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webextensions/taskpanes.xml" ContentType="application/vnd.ms-office.webextensiontaskpanes+xml"/>
  <Override PartName="/xl/webextensions/webextension1.xml" ContentType="application/vnd.ms-office.webextension+xml"/>
  <Override PartName="/xl/metadata.xml" ContentType="application/vnd.openxmlformats-officedocument.spreadsheetml.sheetMetadata+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microsoft.com/office/2011/relationships/webextensiontaskpanes" Target="xl/webextensions/taskpanes.xml"/><Relationship Id="rId2" Type="http://schemas.microsoft.com/office/2020/02/relationships/classificationlabels" Target="docMetadata/LabelInfo.xml"/><Relationship Id="rId1" Type="http://schemas.openxmlformats.org/officeDocument/2006/relationships/officeDocument" Target="xl/workbook.xml"/><Relationship Id="rId6" Type="http://schemas.openxmlformats.org/officeDocument/2006/relationships/custom-properties" Target="docProps/custom.xml"/><Relationship Id="rId5" Type="http://schemas.openxmlformats.org/officeDocument/2006/relationships/extended-properties" Target="docProps/app.xml"/><Relationship Id="rId4" Type="http://schemas.openxmlformats.org/package/2006/relationships/metadata/core-properties" Target="docProps/core.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codeName="ThisWorkbook"/>
  <mc:AlternateContent xmlns:mc="http://schemas.openxmlformats.org/markup-compatibility/2006">
    <mc:Choice Requires="x15">
      <x15ac:absPath xmlns:x15ac="http://schemas.microsoft.com/office/spreadsheetml/2010/11/ac" url="C:\B\Box\PUB25_ProjectPlatinum\Model\Platinum Model\Investor-Facing Model\"/>
    </mc:Choice>
  </mc:AlternateContent>
  <xr:revisionPtr revIDLastSave="0" documentId="8_{6413410C-1696-45F0-A6C8-4B546E62DD1B}" xr6:coauthVersionLast="47" xr6:coauthVersionMax="47" xr10:uidLastSave="{00000000-0000-0000-0000-000000000000}"/>
  <bookViews>
    <workbookView xWindow="-86520" yWindow="-16185" windowWidth="38640" windowHeight="21120" xr2:uid="{03542083-EE79-4503-81B8-1888A8FFD195}"/>
  </bookViews>
  <sheets>
    <sheet name="Disclaimer" sheetId="295" r:id="rId1"/>
    <sheet name="Assumptions&gt;&gt;&gt;" sheetId="68" r:id="rId2"/>
    <sheet name="Dashboard" sheetId="294" r:id="rId3"/>
    <sheet name="Detailed Assumptions" sheetId="34" r:id="rId4"/>
    <sheet name="Outputs&gt;&gt;&gt;" sheetId="301" r:id="rId5"/>
    <sheet name="Returns Analysis" sheetId="151" r:id="rId6"/>
    <sheet name="Debt Schedule" sheetId="72" r:id="rId7"/>
    <sheet name="Portfolio" sheetId="105" r:id="rId8"/>
    <sheet name="Portfolio&gt;&gt;&gt;" sheetId="37" r:id="rId9"/>
    <sheet name="Value Segment" sheetId="99" r:id="rId10"/>
    <sheet name="Mid-Market Segment" sheetId="153" r:id="rId11"/>
    <sheet name="Upper Mid-Market Segment" sheetId="154" r:id="rId12"/>
    <sheet name="Premium Segment" sheetId="155" r:id="rId13"/>
    <sheet name="Closures Overlay" sheetId="103" r:id="rId14"/>
    <sheet name="Disposals Overlay" sheetId="104" r:id="rId15"/>
    <sheet name="Surplus Land Overlay" sheetId="69" r:id="rId16"/>
    <sheet name="&lt;&lt;&lt;Portfolio" sheetId="36" r:id="rId17"/>
    <sheet name="Backups&gt;&gt;&gt;" sheetId="41" r:id="rId18"/>
    <sheet name="Inflation_Curves" sheetId="98" r:id="rId19"/>
    <sheet name="Portfolio_Categorisation" sheetId="46" r:id="rId20"/>
    <sheet name="Index_Tab" sheetId="152" r:id="rId21"/>
  </sheets>
  <definedNames>
    <definedName name="____A2" hidden="1">{"PAGE1",#N/A,FALSE,"BID (3)";"PAGE2",#N/A,FALSE,"BID (3)"}</definedName>
    <definedName name="____A4" hidden="1">{"PAGE1",#N/A,FALSE,"BID (3)";"PAGE2",#N/A,FALSE,"BID (3)"}</definedName>
    <definedName name="____NEW2" hidden="1">{#N/A,#N/A,FALSE,"YTD"}</definedName>
    <definedName name="____new3" hidden="1">{#N/A,#N/A,FALSE,"YTD"}</definedName>
    <definedName name="____NEW6" hidden="1">{#N/A,#N/A,FALSE,"YTD"}</definedName>
    <definedName name="___A2" hidden="1">{"PAGE1",#N/A,FALSE,"BID (3)";"PAGE2",#N/A,FALSE,"BID (3)"}</definedName>
    <definedName name="___A4" hidden="1">{"PAGE1",#N/A,FALSE,"BID (3)";"PAGE2",#N/A,FALSE,"BID (3)"}</definedName>
    <definedName name="___A5" hidden="1">{"PAGE1",#N/A,FALSE,"BID (3)";"PAGE2",#N/A,FALSE,"BID (3)"}</definedName>
    <definedName name="___NEW2" hidden="1">{#N/A,#N/A,FALSE,"YTD"}</definedName>
    <definedName name="___new3" hidden="1">{#N/A,#N/A,FALSE,"YTD"}</definedName>
    <definedName name="___NEW6" hidden="1">{#N/A,#N/A,FALSE,"YTD"}</definedName>
    <definedName name="__123Graph_ACOMMISSION" localSheetId="5" hidden="1">#REF!</definedName>
    <definedName name="__123Graph_ACOMMISSION" hidden="1">#REF!</definedName>
    <definedName name="__123Graph_ACOMPANYMAT" localSheetId="5" hidden="1">#REF!</definedName>
    <definedName name="__123Graph_ACOMPANYMAT" hidden="1">#REF!</definedName>
    <definedName name="__123Graph_ALEASING" hidden="1">#REF!</definedName>
    <definedName name="__123Graph_AODRENT" hidden="1">#REF!</definedName>
    <definedName name="__123Graph_ARENTROLL" hidden="1">#REF!</definedName>
    <definedName name="__123Graph_B" hidden="1">#REF!</definedName>
    <definedName name="__123Graph_BCOMMISSION" hidden="1">#REF!</definedName>
    <definedName name="__123Graph_BLEASING" hidden="1">#REF!</definedName>
    <definedName name="__123Graph_BRENTROLL" hidden="1">#REF!</definedName>
    <definedName name="__123Graph_C" hidden="1">#REF!</definedName>
    <definedName name="__123Graph_CLEASING" hidden="1">#REF!</definedName>
    <definedName name="__123Graph_D" hidden="1">#REF!</definedName>
    <definedName name="__123Graph_DLEASING" hidden="1">#REF!</definedName>
    <definedName name="__123Graph_E" hidden="1">#REF!</definedName>
    <definedName name="__123Graph_F" hidden="1">#REF!</definedName>
    <definedName name="__123Graph_X" hidden="1">#REF!</definedName>
    <definedName name="__A2" hidden="1">{"PAGE1",#N/A,FALSE,"BID (3)";"PAGE2",#N/A,FALSE,"BID (3)"}</definedName>
    <definedName name="__A4" hidden="1">{"PAGE1",#N/A,FALSE,"BID (3)";"PAGE2",#N/A,FALSE,"BID (3)"}</definedName>
    <definedName name="__FDS_HYPERLINK_TOGGLE_STATE__" hidden="1">"ON"</definedName>
    <definedName name="__FDS_UNIQUE_RANGE_ID_GENERATOR_COUNTER" hidden="1">4</definedName>
    <definedName name="__NEW2" hidden="1">{#N/A,#N/A,FALSE,"YTD"}</definedName>
    <definedName name="__new3" hidden="1">{#N/A,#N/A,FALSE,"YTD"}</definedName>
    <definedName name="__NEW6" hidden="1">{#N/A,#N/A,FALSE,"YTD"}</definedName>
    <definedName name="_1__FDSAUDITLINK__" localSheetId="5" hidden="1">{"fdsup://directions/FAT Viewer?action=UPDATE&amp;creator=factset&amp;DYN_ARGS=TRUE&amp;DOC_NAME=FAT:FQL_AUDITING_CLIENT_TEMPLATE.FAT&amp;display_string=Audit&amp;VAR:KEY=IBAFYJIZEJ&amp;VAR:QUERY=RkZfRElWX1lMRChBTk4sMCk=&amp;WINDOW=FIRST_POPUP&amp;HEIGHT=450&amp;WIDTH=450&amp;START_MAXIMIZED=FALS","E&amp;VAR:CALENDAR=FIVEDAY&amp;VAR:SYMBOL=B1L8B6&amp;VAR:INDEX=0"}</definedName>
    <definedName name="_1__FDSAUDITLINK__" hidden="1">{"fdsup://directions/FAT Viewer?action=UPDATE&amp;creator=factset&amp;DYN_ARGS=TRUE&amp;DOC_NAME=FAT:FQL_AUDITING_CLIENT_TEMPLATE.FAT&amp;display_string=Audit&amp;VAR:KEY=IBAFYJIZEJ&amp;VAR:QUERY=RkZfRElWX1lMRChBTk4sMCk=&amp;WINDOW=FIRST_POPUP&amp;HEIGHT=450&amp;WIDTH=450&amp;START_MAXIMIZED=FALS","E&amp;VAR:CALENDAR=FIVEDAY&amp;VAR:SYMBOL=B1L8B6&amp;VAR:INDEX=0"}</definedName>
    <definedName name="_1_0__123Grap" hidden="1">#REF!</definedName>
    <definedName name="_10__123Graph_ANRT_PCE" hidden="1">#REF!</definedName>
    <definedName name="_10_0_0__123Grap" hidden="1">#REF!</definedName>
    <definedName name="_11__123Graph_BADV_GDP" hidden="1">#REF!</definedName>
    <definedName name="_12__123Graph_BADV_GDPR" hidden="1">#REF!</definedName>
    <definedName name="_13__123Graph_BADV_PCE" hidden="1">#REF!</definedName>
    <definedName name="_14__123Graph_BADV_PCGD" hidden="1">#REF!</definedName>
    <definedName name="_15__123Graph_BMAG_PCE" hidden="1">#REF!</definedName>
    <definedName name="_16__123Graph_BNRET_PCE" hidden="1">#REF!</definedName>
    <definedName name="_17__123Graph_BNRT_PCE" hidden="1">#REF!</definedName>
    <definedName name="_18__123Graph_CADV_PCE" hidden="1">#REF!</definedName>
    <definedName name="_18_0__123Grap" hidden="1">#REF!</definedName>
    <definedName name="_19__123Graph_XADV_GDP" hidden="1">#REF!</definedName>
    <definedName name="_2__123Graph_AADV_GDP" hidden="1">#REF!</definedName>
    <definedName name="_2__FDSAUDITLINK__" localSheetId="5" hidden="1">{"fdsup://directions/FAT Viewer?action=UPDATE&amp;creator=factset&amp;DYN_ARGS=TRUE&amp;DOC_NAME=FAT:FQL_AUDITING_CLIENT_TEMPLATE.FAT&amp;display_string=Audit&amp;VAR:KEY=WNIDCXOLSB&amp;VAR:QUERY=RkZfSU5UX0VYUF9ORVQoQU5OLDAp&amp;WINDOW=FIRST_POPUP&amp;HEIGHT=450&amp;WIDTH=450&amp;START_MAXIMIZED=","FALSE&amp;VAR:CALENDAR=FIVEDAY&amp;VAR:SYMBOL=B1L8B6&amp;VAR:INDEX=0"}</definedName>
    <definedName name="_2__FDSAUDITLINK__" hidden="1">{"fdsup://directions/FAT Viewer?action=UPDATE&amp;creator=factset&amp;DYN_ARGS=TRUE&amp;DOC_NAME=FAT:FQL_AUDITING_CLIENT_TEMPLATE.FAT&amp;display_string=Audit&amp;VAR:KEY=WNIDCXOLSB&amp;VAR:QUERY=RkZfSU5UX0VYUF9ORVQoQU5OLDAp&amp;WINDOW=FIRST_POPUP&amp;HEIGHT=450&amp;WIDTH=450&amp;START_MAXIMIZED=","FALSE&amp;VAR:CALENDAR=FIVEDAY&amp;VAR:SYMBOL=B1L8B6&amp;VAR:INDEX=0"}</definedName>
    <definedName name="_2_0__123Grap" hidden="1">#REF!</definedName>
    <definedName name="_20__123Graph_XADV_GDPR" hidden="1">#REF!</definedName>
    <definedName name="_21__123Graph_XADV_PCE" hidden="1">#REF!</definedName>
    <definedName name="_22__123Graph_XADV_PCGD" hidden="1">#REF!</definedName>
    <definedName name="_23__123Graph_XCHART_1" hidden="1">#REF!</definedName>
    <definedName name="_24__123Graph_XMAG_PCE" hidden="1">#REF!</definedName>
    <definedName name="_25__123Graph_XNRET_PCE" hidden="1">#REF!</definedName>
    <definedName name="_26__123Graph_XNRET_RS" hidden="1">#REF!</definedName>
    <definedName name="_27__123Graph_XNRT_PCE" hidden="1">#REF!</definedName>
    <definedName name="_27_0__123Grap" hidden="1">#REF!</definedName>
    <definedName name="_3__123Graph_AADV_GDPR" hidden="1">#REF!</definedName>
    <definedName name="_3__FDSAUDITLINK__" localSheetId="5" hidden="1">{"fdsup://directions/FAT Viewer?action=UPDATE&amp;creator=factset&amp;DYN_ARGS=TRUE&amp;DOC_NAME=FAT:FQL_AUDITING_CLIENT_TEMPLATE.FAT&amp;display_string=Audit&amp;VAR:KEY=KXKNKZWTOL&amp;VAR:QUERY=RkZfRVBTX0RJTChBTk4sMCk=&amp;WINDOW=FIRST_POPUP&amp;HEIGHT=450&amp;WIDTH=450&amp;START_MAXIMIZED=FALS","E&amp;VAR:CALENDAR=FIVEDAY&amp;VAR:SYMBOL=B1YPC3&amp;VAR:INDEX=0"}</definedName>
    <definedName name="_3__FDSAUDITLINK__" hidden="1">{"fdsup://directions/FAT Viewer?action=UPDATE&amp;creator=factset&amp;DYN_ARGS=TRUE&amp;DOC_NAME=FAT:FQL_AUDITING_CLIENT_TEMPLATE.FAT&amp;display_string=Audit&amp;VAR:KEY=KXKNKZWTOL&amp;VAR:QUERY=RkZfRVBTX0RJTChBTk4sMCk=&amp;WINDOW=FIRST_POPUP&amp;HEIGHT=450&amp;WIDTH=450&amp;START_MAXIMIZED=FALS","E&amp;VAR:CALENDAR=FIVEDAY&amp;VAR:SYMBOL=B1YPC3&amp;VAR:INDEX=0"}</definedName>
    <definedName name="_3_0__123Grap" hidden="1">#REF!</definedName>
    <definedName name="_36_0__123Grap" hidden="1">#REF!</definedName>
    <definedName name="_4__123Graph_AADV_PCE" hidden="1">#REF!</definedName>
    <definedName name="_4__FDSAUDITLINK__" localSheetId="5" hidden="1">{"fdsup://directions/FAT Viewer?action=UPDATE&amp;creator=factset&amp;DYN_ARGS=TRUE&amp;DOC_NAME=FAT:FQL_AUDITING_CLIENT_TEMPLATE.FAT&amp;display_string=Audit&amp;VAR:KEY=DCPCRGJOXS&amp;VAR:QUERY=RkZfRVBTX0RJTChBTk4sMCk=&amp;WINDOW=FIRST_POPUP&amp;HEIGHT=450&amp;WIDTH=450&amp;START_MAXIMIZED=FALS","E&amp;VAR:CALENDAR=FIVEDAY&amp;VAR:SYMBOL=B1YPC3&amp;VAR:INDEX=0"}</definedName>
    <definedName name="_4__FDSAUDITLINK__" hidden="1">{"fdsup://directions/FAT Viewer?action=UPDATE&amp;creator=factset&amp;DYN_ARGS=TRUE&amp;DOC_NAME=FAT:FQL_AUDITING_CLIENT_TEMPLATE.FAT&amp;display_string=Audit&amp;VAR:KEY=DCPCRGJOXS&amp;VAR:QUERY=RkZfRVBTX0RJTChBTk4sMCk=&amp;WINDOW=FIRST_POPUP&amp;HEIGHT=450&amp;WIDTH=450&amp;START_MAXIMIZED=FALS","E&amp;VAR:CALENDAR=FIVEDAY&amp;VAR:SYMBOL=B1YPC3&amp;VAR:INDEX=0"}</definedName>
    <definedName name="_4_0__123Grap" hidden="1">#REF!</definedName>
    <definedName name="_45_0_0__123Grap" hidden="1">#REF!</definedName>
    <definedName name="_5__123Graph_AADV_PCGD" hidden="1">#REF!</definedName>
    <definedName name="_5_0_0__123Grap" hidden="1">#REF!</definedName>
    <definedName name="_567" hidden="1">#REF!</definedName>
    <definedName name="_6__123Graph_ACHART_1" hidden="1">#REF!</definedName>
    <definedName name="_6_0__123Grap" hidden="1">#REF!</definedName>
    <definedName name="_7__123Graph_AMAG_PCE" hidden="1">#REF!</definedName>
    <definedName name="_8__123Graph_ANRET_PCE" hidden="1">#REF!</definedName>
    <definedName name="_8_0__123Grap" hidden="1">#REF!</definedName>
    <definedName name="_9__123Graph_ANRET_RS" hidden="1">#REF!</definedName>
    <definedName name="_9_0__123Grap" hidden="1">#REF!</definedName>
    <definedName name="_A2" hidden="1">{#N/A,#N/A,TRUE,"CF brut";#N/A,#N/A,TRUE,"CashFlow";#N/A,#N/A,TRUE,"RCE";#N/A,#N/A,TRUE,"amort"}</definedName>
    <definedName name="_a3" hidden="1">{#N/A,#N/A,TRUE,"CF brut";#N/A,#N/A,TRUE,"CashFlow";#N/A,#N/A,TRUE,"RCE";#N/A,#N/A,TRUE,"amort"}</definedName>
    <definedName name="_A4" hidden="1">{"PAGE1",#N/A,FALSE,"BID (3)";"PAGE2",#N/A,FALSE,"BID (3)"}</definedName>
    <definedName name="_D511" hidden="1">{"MANAGERS",#N/A,FALSE,"MNGRPT1";"cwi",#N/A,FALSE,"MNGRPT1"}</definedName>
    <definedName name="_DOR2" hidden="1">{"MANAGERS",#N/A,FALSE,"MNGRPT1";"cwi",#N/A,FALSE,"MNGRPT1"}</definedName>
    <definedName name="_Fill" hidden="1">#REF!</definedName>
    <definedName name="_Key1" hidden="1">#REF!</definedName>
    <definedName name="_Key2" hidden="1">#REF!</definedName>
    <definedName name="_Key2014" hidden="1">#REF!</definedName>
    <definedName name="_Key3" hidden="1">#REF!</definedName>
    <definedName name="_Key777" hidden="1">#REF!</definedName>
    <definedName name="_NEW2" hidden="1">{#N/A,#N/A,FALSE,"YTD"}</definedName>
    <definedName name="_new3" hidden="1">{#N/A,#N/A,FALSE,"YTD"}</definedName>
    <definedName name="_NEW6" hidden="1">{#N/A,#N/A,FALSE,"YTD"}</definedName>
    <definedName name="_Order1" hidden="1">255</definedName>
    <definedName name="_Order2" hidden="1">255</definedName>
    <definedName name="_Order3" hidden="1">255</definedName>
    <definedName name="_Order4" hidden="1">255</definedName>
    <definedName name="_Regression_Int" hidden="1">1</definedName>
    <definedName name="_Sort" hidden="1">#REF!</definedName>
    <definedName name="_Sort1" hidden="1">#REF!</definedName>
    <definedName name="_Table1_Out" hidden="1">#REF!</definedName>
    <definedName name="_UNDO_UPS_" hidden="1">#REF!</definedName>
    <definedName name="_UNDO_UPS_SEL_" hidden="1">#REF!</definedName>
    <definedName name="_UNDO31X31X_" hidden="1">#REF!</definedName>
    <definedName name="_wvu1" hidden="1">{TRUE,TRUE,-1.25,-0.5,597.75,370.5,FALSE,FALSE,TRUE,TRUE,0,1,11,25,69,0.826923076923077,1,2,TRUE,TRUE,1,TRUE,1,FALSE,100,"Swvu.rollinghalfyear.","ACwvu.rollinghalfyear.",1,FALSE,FALSE,0.748031496062992,0.748031496062992,0.984251968503937,0.984251968503937,1,"","Page &amp;p",FALSE,FALSE,FALSE,FALSE,1,70,#N/A,#N/A,"=R25C10:R89C17","=C1","Rwvu.rollinghalfyear.",#N/A,FALSE,FALSE}</definedName>
    <definedName name="aa" hidden="1">{#N/A,#N/A,TRUE,"CF brut";#N/A,#N/A,TRUE,"CashFlow";#N/A,#N/A,TRUE,"RCE";#N/A,#N/A,TRUE,"amort"}</definedName>
    <definedName name="AAA_DOCTOPS" hidden="1">"AAA_SET"</definedName>
    <definedName name="AAA_duser" hidden="1">"OFF"</definedName>
    <definedName name="aaaaaaaaaaaa" hidden="1">{#N/A,#N/A,TRUE,"CF brut";#N/A,#N/A,TRUE,"CashFlow";#N/A,#N/A,TRUE,"RCE";#N/A,#N/A,TRUE,"amort"}</definedName>
    <definedName name="AAB_Addin5" hidden="1">"AAB_Description for addin 5,Description for addin 5,Description for addin 5,Description for addin 5,Description for addin 5,Description for addin 5"</definedName>
    <definedName name="abc" localSheetId="5" hidden="1">{#N/A,#N/A,TRUE,"Cover sheet";#N/A,#N/A,TRUE,"Summary";#N/A,#N/A,TRUE,"Key Assumptions";#N/A,#N/A,TRUE,"Profit &amp; Loss";#N/A,#N/A,TRUE,"Balance Sheet";#N/A,#N/A,TRUE,"Cashflow";#N/A,#N/A,TRUE,"IRR";#N/A,#N/A,TRUE,"Ratios";#N/A,#N/A,TRUE,"Debt analysis"}</definedName>
    <definedName name="abc" hidden="1">{#N/A,#N/A,TRUE,"Cover sheet";#N/A,#N/A,TRUE,"Summary";#N/A,#N/A,TRUE,"Key Assumptions";#N/A,#N/A,TRUE,"Profit &amp; Loss";#N/A,#N/A,TRUE,"Balance Sheet";#N/A,#N/A,TRUE,"Cashflow";#N/A,#N/A,TRUE,"IRR";#N/A,#N/A,TRUE,"Ratios";#N/A,#N/A,TRUE,"Debt analysis"}</definedName>
    <definedName name="ACwvu.all." hidden="1">#REF!</definedName>
    <definedName name="ACwvu.rollinghalfyear." hidden="1">#REF!,#REF!,#REF!,#REF!</definedName>
    <definedName name="ACwvu.yearly." hidden="1">#REF!,#REF!</definedName>
    <definedName name="anscount" hidden="1">1</definedName>
    <definedName name="appendix4" localSheetId="5" hidden="1">{#N/A,#N/A,TRUE,"Cover sheet";#N/A,#N/A,TRUE,"Summary";#N/A,#N/A,TRUE,"Key Assumptions";#N/A,#N/A,TRUE,"Profit &amp; Loss";#N/A,#N/A,TRUE,"Balance Sheet";#N/A,#N/A,TRUE,"Cashflow";#N/A,#N/A,TRUE,"IRR";#N/A,#N/A,TRUE,"Ratios";#N/A,#N/A,TRUE,"Debt analysis"}</definedName>
    <definedName name="appendix4" hidden="1">{#N/A,#N/A,TRUE,"Cover sheet";#N/A,#N/A,TRUE,"Summary";#N/A,#N/A,TRUE,"Key Assumptions";#N/A,#N/A,TRUE,"Profit &amp; Loss";#N/A,#N/A,TRUE,"Balance Sheet";#N/A,#N/A,TRUE,"Cashflow";#N/A,#N/A,TRUE,"IRR";#N/A,#N/A,TRUE,"Ratios";#N/A,#N/A,TRUE,"Debt analysis"}</definedName>
    <definedName name="AS2DocOpenMode" hidden="1">"AS2DocumentEdit"</definedName>
    <definedName name="asdf" hidden="1">{"MANAGERS",#N/A,FALSE,"MNGRPT1";"cwi",#N/A,FALSE,"MNGRPT1"}</definedName>
    <definedName name="asdfg" hidden="1">{#N/A,#N/A,TRUE,"CF brut";#N/A,#N/A,TRUE,"CashFlow";#N/A,#N/A,TRUE,"RCE";#N/A,#N/A,TRUE,"amort"}</definedName>
    <definedName name="bb" hidden="1">{#N/A,#N/A,TRUE,"CF brut";#N/A,#N/A,TRUE,"CashFlow";#N/A,#N/A,TRUE,"RCE";#N/A,#N/A,TRUE,"amort"}</definedName>
    <definedName name="bbn" hidden="1">{#N/A,#N/A,TRUE,"CF brut";#N/A,#N/A,TRUE,"CashFlow";#N/A,#N/A,TRUE,"RCE";#N/A,#N/A,TRUE,"amort"}</definedName>
    <definedName name="BLPH1" hidden="1">#REF!</definedName>
    <definedName name="BLPH5" hidden="1">#REF!</definedName>
    <definedName name="BLPI1" hidden="1">#REF!</definedName>
    <definedName name="BLPI10" hidden="1">#REF!</definedName>
    <definedName name="BLPI11" hidden="1">#REF!</definedName>
    <definedName name="BLPI12" hidden="1">#REF!</definedName>
    <definedName name="BLPI13" hidden="1">#REF!</definedName>
    <definedName name="BLPI14" hidden="1">#REF!</definedName>
    <definedName name="BLPI15" hidden="1">#REF!</definedName>
    <definedName name="BLPI16" hidden="1">#REF!</definedName>
    <definedName name="BLPI17" hidden="1">#REF!</definedName>
    <definedName name="BLPI18" hidden="1">#REF!</definedName>
    <definedName name="BLPI19" hidden="1">#REF!</definedName>
    <definedName name="BLPI2" hidden="1">#REF!</definedName>
    <definedName name="BLPI20" hidden="1">#REF!</definedName>
    <definedName name="BLPI21" hidden="1">#REF!</definedName>
    <definedName name="BLPI22" hidden="1">#REF!</definedName>
    <definedName name="BLPI23" hidden="1">#REF!</definedName>
    <definedName name="BLPI24" hidden="1">#REF!</definedName>
    <definedName name="BLPI25" hidden="1">#REF!</definedName>
    <definedName name="BLPI26" hidden="1">#REF!</definedName>
    <definedName name="BLPI27" hidden="1">#REF!</definedName>
    <definedName name="BLPI28" hidden="1">#REF!</definedName>
    <definedName name="BLPI29" hidden="1">#REF!</definedName>
    <definedName name="BLPI3" hidden="1">#REF!</definedName>
    <definedName name="BLPI30" hidden="1">#REF!</definedName>
    <definedName name="BLPI31" hidden="1">#REF!</definedName>
    <definedName name="BLPI32" hidden="1">#REF!</definedName>
    <definedName name="BLPI33" hidden="1">#REF!</definedName>
    <definedName name="BLPI34" hidden="1">#REF!</definedName>
    <definedName name="BLPI35" hidden="1">#REF!</definedName>
    <definedName name="BLPI36" hidden="1">#REF!</definedName>
    <definedName name="BLPI37" hidden="1">#REF!</definedName>
    <definedName name="BLPI38" hidden="1">#REF!</definedName>
    <definedName name="BLPI39" hidden="1">#REF!</definedName>
    <definedName name="BLPI4" hidden="1">#REF!</definedName>
    <definedName name="BLPI40" hidden="1">#REF!</definedName>
    <definedName name="BLPI41" hidden="1">#REF!</definedName>
    <definedName name="BLPI42" hidden="1">#REF!</definedName>
    <definedName name="BLPI43" hidden="1">#REF!</definedName>
    <definedName name="BLPI44" hidden="1">#REF!</definedName>
    <definedName name="BLPI45" hidden="1">#REF!</definedName>
    <definedName name="BLPI46" hidden="1">#REF!</definedName>
    <definedName name="BLPI47" hidden="1">#REF!</definedName>
    <definedName name="BLPI48" hidden="1">#REF!</definedName>
    <definedName name="BLPI49" hidden="1">#REF!</definedName>
    <definedName name="BLPI5" hidden="1">#REF!</definedName>
    <definedName name="BLPI50" hidden="1">#REF!</definedName>
    <definedName name="BLPI51" hidden="1">#REF!</definedName>
    <definedName name="BLPI52" hidden="1">#REF!</definedName>
    <definedName name="BLPI53" hidden="1">#REF!</definedName>
    <definedName name="BLPI54" hidden="1">#REF!</definedName>
    <definedName name="BLPI55" hidden="1">#REF!</definedName>
    <definedName name="BLPI56" hidden="1">#REF!</definedName>
    <definedName name="BLPI57" hidden="1">#REF!</definedName>
    <definedName name="BLPI58" hidden="1">#REF!</definedName>
    <definedName name="BLPI59" hidden="1">#REF!</definedName>
    <definedName name="BLPI6" hidden="1">#REF!</definedName>
    <definedName name="BLPI60" hidden="1">#REF!</definedName>
    <definedName name="BLPI61" hidden="1">#REF!</definedName>
    <definedName name="BLPI62" hidden="1">#REF!</definedName>
    <definedName name="BLPI63" hidden="1">#REF!</definedName>
    <definedName name="BLPI64" hidden="1">#REF!</definedName>
    <definedName name="BLPI65" hidden="1">#REF!</definedName>
    <definedName name="BLPI66" hidden="1">#REF!</definedName>
    <definedName name="BLPI67" hidden="1">#REF!</definedName>
    <definedName name="BLPI68" hidden="1">#REF!</definedName>
    <definedName name="BLPI69" hidden="1">#REF!</definedName>
    <definedName name="BLPI7" hidden="1">#REF!</definedName>
    <definedName name="BLPI70" hidden="1">#REF!</definedName>
    <definedName name="BLPI71" hidden="1">#REF!</definedName>
    <definedName name="BLPI72" hidden="1">#REF!</definedName>
    <definedName name="BLPI73" hidden="1">#REF!</definedName>
    <definedName name="BLPI74" hidden="1">#REF!</definedName>
    <definedName name="BLPI75" hidden="1">#REF!</definedName>
    <definedName name="BLPI76" hidden="1">#REF!</definedName>
    <definedName name="BLPI77" hidden="1">#REF!</definedName>
    <definedName name="BLPI78" hidden="1">#REF!</definedName>
    <definedName name="BLPI79" hidden="1">#REF!</definedName>
    <definedName name="BLPI8" hidden="1">#REF!</definedName>
    <definedName name="BLPI80" hidden="1">#REF!</definedName>
    <definedName name="BLPI81" hidden="1">#REF!</definedName>
    <definedName name="BLPI82" hidden="1">#REF!</definedName>
    <definedName name="BLPI83" hidden="1">#REF!</definedName>
    <definedName name="BLPI84" hidden="1">#REF!</definedName>
    <definedName name="BLPI85" hidden="1">#REF!</definedName>
    <definedName name="BLPI86" hidden="1">#REF!</definedName>
    <definedName name="BLPI87" hidden="1">#REF!</definedName>
    <definedName name="BLPI88" hidden="1">#REF!</definedName>
    <definedName name="BLPI89" hidden="1">#REF!</definedName>
    <definedName name="BLPI9" hidden="1">#REF!</definedName>
    <definedName name="BLPI90" hidden="1">#REF!</definedName>
    <definedName name="BLPI91" hidden="1">#REF!</definedName>
    <definedName name="BLPI92" hidden="1">#REF!</definedName>
    <definedName name="BLPI93" hidden="1">#REF!</definedName>
    <definedName name="BLPI94" hidden="1">#REF!</definedName>
    <definedName name="BLPI95" hidden="1">#REF!</definedName>
    <definedName name="BLPI96" hidden="1">#REF!</definedName>
    <definedName name="CIQWBGuid" hidden="1">"Copy of Falcon Site Info 16 11 16_v5.xlsx"</definedName>
    <definedName name="Code" hidden="1">#REF!</definedName>
    <definedName name="d" hidden="1">#REF!</definedName>
    <definedName name="data1" hidden="1">#REF!</definedName>
    <definedName name="data2" hidden="1">#REF!</definedName>
    <definedName name="data3" hidden="1">#REF!</definedName>
    <definedName name="Debt_Calc1_Amort" hidden="1">#REF!</definedName>
    <definedName name="Debt_Calc1_CapExEnd" hidden="1">#REF!</definedName>
    <definedName name="Debt_Calc1_Draw" hidden="1">#REF!</definedName>
    <definedName name="Debt_Calc1_End" hidden="1">#REF!</definedName>
    <definedName name="Debt_Calc1_InitialBalance" hidden="1">#REF!</definedName>
    <definedName name="Debt_Calc1_IO" hidden="1">#REF!</definedName>
    <definedName name="Debt_Calc1_IsPrepaid" hidden="1">#REF!</definedName>
    <definedName name="Debt_Calc1_IsRefied" hidden="1">#REF!</definedName>
    <definedName name="Debt_Calc1_Maturity" hidden="1">#REF!</definedName>
    <definedName name="Debt_Calc1_Start" hidden="1">#REF!</definedName>
    <definedName name="Debt_Calc1_Term" hidden="1">#REF!</definedName>
    <definedName name="Debt_Calc1_Year" hidden="1">#REF!</definedName>
    <definedName name="Debt_Calc2_Amort" hidden="1">#REF!</definedName>
    <definedName name="Debt_Calc2_CapExEnd" hidden="1">#REF!</definedName>
    <definedName name="Debt_Calc2_Draw" hidden="1">#REF!</definedName>
    <definedName name="Debt_Calc2_End" hidden="1">#REF!</definedName>
    <definedName name="Debt_Calc2_InitialBalance" hidden="1">#REF!</definedName>
    <definedName name="Debt_Calc2_IO" hidden="1">#REF!</definedName>
    <definedName name="Debt_Calc2_IsPrepaid" hidden="1">#REF!</definedName>
    <definedName name="Debt_Calc2_IsRefied" hidden="1">#REF!</definedName>
    <definedName name="Debt_Calc2_Maturity" hidden="1">#REF!</definedName>
    <definedName name="Debt_Calc2_Start" hidden="1">#REF!</definedName>
    <definedName name="Debt_Calc2_Term" hidden="1">#REF!</definedName>
    <definedName name="Debt_Calc2_Year" hidden="1">#REF!</definedName>
    <definedName name="Debt_Calc3_Amort" hidden="1">#REF!</definedName>
    <definedName name="Debt_Calc3_CapExEnd" hidden="1">#REF!</definedName>
    <definedName name="Debt_Calc3_Draw" hidden="1">#REF!</definedName>
    <definedName name="Debt_Calc3_End" hidden="1">#REF!</definedName>
    <definedName name="Debt_Calc3_InitialBalance" hidden="1">#REF!</definedName>
    <definedName name="Debt_Calc3_IO" hidden="1">#REF!</definedName>
    <definedName name="Debt_Calc3_IsPrepaid" hidden="1">#REF!</definedName>
    <definedName name="Debt_Calc3_Maturity" hidden="1">#REF!</definedName>
    <definedName name="Debt_Calc3_Refi1" hidden="1">#REF!</definedName>
    <definedName name="Debt_Calc3_Refi2" hidden="1">#REF!</definedName>
    <definedName name="Debt_Calc3_Start" hidden="1">#REF!</definedName>
    <definedName name="Debt_Calc3_Term" hidden="1">#REF!</definedName>
    <definedName name="Debt_CalcType2" hidden="1">#REF!</definedName>
    <definedName name="Debt_CalcType3" hidden="1">#REF!</definedName>
    <definedName name="Debt_CalcType4" hidden="1">#REF!</definedName>
    <definedName name="Debt_CalcType5" hidden="1">#REF!</definedName>
    <definedName name="Debt_CalcTypes" hidden="1">#REF!</definedName>
    <definedName name="Debt_FundType1" hidden="1">#REF!</definedName>
    <definedName name="Debt_FundType2" hidden="1">#REF!</definedName>
    <definedName name="Debt_FundType3" hidden="1">#REF!</definedName>
    <definedName name="Debt_FundTypes" hidden="1">#REF!</definedName>
    <definedName name="DEBT_InitialBalance" hidden="1">#REF!</definedName>
    <definedName name="Debt_InitialBOPBalance" hidden="1">#REF!</definedName>
    <definedName name="DEBT_InitialCapital" hidden="1">#REF!</definedName>
    <definedName name="DEBT_InitialFunding" hidden="1">#REF!</definedName>
    <definedName name="DEBT_InitialInterest" hidden="1">#REF!</definedName>
    <definedName name="Debt_InitialLoanFee" hidden="1">#REF!</definedName>
    <definedName name="DEBT_InitialMaturity" hidden="1">#REF!</definedName>
    <definedName name="Debt_InitialPrepaymentFee" hidden="1">#REF!</definedName>
    <definedName name="DEBT_InitialPrincipal" hidden="1">#REF!</definedName>
    <definedName name="DEBT_InitialRefi" hidden="1">#REF!</definedName>
    <definedName name="Debt_InitialSeniorBalance" hidden="1">#REF!</definedName>
    <definedName name="Debt_InitialSeniorBOPBalance" hidden="1">#REF!</definedName>
    <definedName name="Debt_InitialSeniorInterest" hidden="1">#REF!</definedName>
    <definedName name="Debt_InitialSeniorPrincipal" hidden="1">#REF!</definedName>
    <definedName name="Debt_Label1_Amort" hidden="1">#REF!</definedName>
    <definedName name="Debt_Label1_Amount" hidden="1">#REF!</definedName>
    <definedName name="Debt_Label1_InitialRate" hidden="1">#REF!</definedName>
    <definedName name="Debt_Label1_IO" hidden="1">#REF!</definedName>
    <definedName name="Debt_Label1_Maturity" hidden="1">#REF!</definedName>
    <definedName name="Debt_Label1_Percent" hidden="1">#REF!</definedName>
    <definedName name="Debt_Label1_Term" hidden="1">#REF!</definedName>
    <definedName name="Debt_Label1_Value" hidden="1">#REF!</definedName>
    <definedName name="Debt_Label2_Amort" hidden="1">#REF!</definedName>
    <definedName name="Debt_Label2_Amount" hidden="1">#REF!</definedName>
    <definedName name="Debt_Label2_InitialRate" hidden="1">#REF!</definedName>
    <definedName name="Debt_Label2_IO" hidden="1">#REF!</definedName>
    <definedName name="Debt_Label2_Maturity" hidden="1">#REF!</definedName>
    <definedName name="Debt_Label2_Percent" hidden="1">#REF!</definedName>
    <definedName name="Debt_Label2_Term" hidden="1">#REF!</definedName>
    <definedName name="Debt_Label2_Value" hidden="1">#REF!</definedName>
    <definedName name="Debt_Label3_Amort" hidden="1">#REF!</definedName>
    <definedName name="Debt_Label3_Amount" hidden="1">#REF!</definedName>
    <definedName name="Debt_Label3_InitialRate" hidden="1">#REF!</definedName>
    <definedName name="Debt_Label3_IO" hidden="1">#REF!</definedName>
    <definedName name="Debt_Label3_Maturity" hidden="1">#REF!</definedName>
    <definedName name="Debt_Label3_Percent" hidden="1">#REF!</definedName>
    <definedName name="Debt_Label3_Term" hidden="1">#REF!</definedName>
    <definedName name="Debt_Label3_Value" hidden="1">#REF!</definedName>
    <definedName name="Debt_LoanType1" hidden="1">#REF!</definedName>
    <definedName name="Debt_LoanType2" hidden="1">#REF!</definedName>
    <definedName name="Debt_LoanType4" hidden="1">#REF!</definedName>
    <definedName name="Debt_LoanTypes" hidden="1">#REF!</definedName>
    <definedName name="DEBT_PaymentType1" hidden="1">#REF!</definedName>
    <definedName name="DEBT_PaymentType5" hidden="1">#REF!</definedName>
    <definedName name="DEBT_PaymentTypes" hidden="1">#REF!</definedName>
    <definedName name="Debt_PurchaseRange" hidden="1">0</definedName>
    <definedName name="Debt_RefiTypes" hidden="1">#REF!</definedName>
    <definedName name="Debt_Show1_Amort" hidden="1">#REF!</definedName>
    <definedName name="Debt_Show1_Amount" hidden="1">#REF!</definedName>
    <definedName name="Debt_Show1_CapEx" hidden="1">#REF!</definedName>
    <definedName name="Debt_Show1_FundDate" hidden="1">#REF!</definedName>
    <definedName name="Debt_Show1_FundMethod" hidden="1">#REF!</definedName>
    <definedName name="Debt_Show1_FundPercent" hidden="1">#REF!</definedName>
    <definedName name="Debt_Show1_FundPoints" hidden="1">#REF!</definedName>
    <definedName name="Debt_Show1_Loan" hidden="1">#REF!</definedName>
    <definedName name="Debt_Show1_Rate" hidden="1">#REF!</definedName>
    <definedName name="Debt_Show1_Spread" hidden="1">#REF!</definedName>
    <definedName name="Debt_Show2_Amort" hidden="1">#REF!</definedName>
    <definedName name="Debt_Show2_Amount" hidden="1">#REF!</definedName>
    <definedName name="Debt_Show2_CapEx" hidden="1">#REF!</definedName>
    <definedName name="Debt_Show2_FundDate" hidden="1">#REF!</definedName>
    <definedName name="Debt_Show2_FundMethod" hidden="1">#REF!</definedName>
    <definedName name="Debt_Show2_FundPercent" hidden="1">#REF!</definedName>
    <definedName name="Debt_Show2_FundPoints" hidden="1">#REF!</definedName>
    <definedName name="Debt_Show2_Loan" hidden="1">#REF!</definedName>
    <definedName name="Debt_Show2_Rate" hidden="1">#REF!</definedName>
    <definedName name="Debt_Show2_Spread" hidden="1">#REF!</definedName>
    <definedName name="Debt_Show3_Amort" hidden="1">#REF!</definedName>
    <definedName name="Debt_Show3_Amount" hidden="1">#REF!</definedName>
    <definedName name="Debt_Show3_CapEx" hidden="1">#REF!</definedName>
    <definedName name="Debt_Show3_FundDate" hidden="1">#REF!</definedName>
    <definedName name="Debt_Show3_FundMethod" hidden="1">#REF!</definedName>
    <definedName name="Debt_Show3_FundPercent" hidden="1">#REF!</definedName>
    <definedName name="Debt_Show3_FundPoints" hidden="1">#REF!</definedName>
    <definedName name="Debt_Show3_Loan" hidden="1">#REF!</definedName>
    <definedName name="Debt_Show3_Rate" hidden="1">#REF!</definedName>
    <definedName name="Debt_Show3_Refi" hidden="1">#REF!</definedName>
    <definedName name="Debt_Show3_Refi1" hidden="1">#REF!</definedName>
    <definedName name="Debt_Show3_Refi2" hidden="1">#REF!</definedName>
    <definedName name="Debt_Show3_Spread" hidden="1">#REF!</definedName>
    <definedName name="Debt_SubordinationType2" hidden="1">#REF!</definedName>
    <definedName name="Debt_SubordinationTypes" hidden="1">#REF!</definedName>
    <definedName name="Debt_Yes" hidden="1">#REF!</definedName>
    <definedName name="Debt_YesNo" hidden="1">#REF!</definedName>
    <definedName name="dfddfdf" hidden="1">{#N/A,#N/A,TRUE,"CF brut";#N/A,#N/A,TRUE,"CashFlow";#N/A,#N/A,TRUE,"RCE";#N/A,#N/A,TRUE,"amort"}</definedName>
    <definedName name="Discount" hidden="1">#REF!</definedName>
    <definedName name="display_area_2" hidden="1">#REF!</definedName>
    <definedName name="DOR" hidden="1">{"MANAGERS",#N/A,FALSE,"MNGRPT1";"cwi",#N/A,FALSE,"MNGRPT1"}</definedName>
    <definedName name="dora" hidden="1">{"MANAGERS",#N/A,FALSE,"MNGRPT1";"cwi",#N/A,FALSE,"MNGRPT1"}</definedName>
    <definedName name="edfdsfds" hidden="1">{#N/A,#N/A,TRUE,"CF brut";#N/A,#N/A,TRUE,"CashFlow";#N/A,#N/A,TRUE,"RCE";#N/A,#N/A,TRUE,"amort"}</definedName>
    <definedName name="esnrc16c1" hidden="1">#REF!</definedName>
    <definedName name="esnrc24c1" hidden="1">#REF!</definedName>
    <definedName name="esnrc30c1" hidden="1">#REF!</definedName>
    <definedName name="esnrc4c1" hidden="1">#REF!</definedName>
    <definedName name="esnrc5c1" hidden="1">#REF!</definedName>
    <definedName name="esnrc6c1" hidden="1">#REF!</definedName>
    <definedName name="esnrc7c1" hidden="1">#REF!</definedName>
    <definedName name="ev.Calculation" hidden="1">2</definedName>
    <definedName name="ev.Initialized" hidden="1">FALSE</definedName>
    <definedName name="EV__CVPARAMS__" hidden="1">"Any by Any!$B$17:$C$38;"</definedName>
    <definedName name="EV__EXPOPTIONS__" hidden="1">0</definedName>
    <definedName name="EV__MAXEXPCOLS__" hidden="1">100</definedName>
    <definedName name="EV__MAXEXPROWS__" hidden="1">1000</definedName>
    <definedName name="EV__MEMORYCVW__" hidden="1">0</definedName>
    <definedName name="EV__WBEVMODE__" hidden="1">0</definedName>
    <definedName name="EV__WBREFOPTIONS__" hidden="1">134217783</definedName>
    <definedName name="EV__WBVERSION__" hidden="1">0</definedName>
    <definedName name="FCode" hidden="1">#REF!</definedName>
    <definedName name="FDD_0_0" hidden="1">"A30681"</definedName>
    <definedName name="FDD_0_1" hidden="1">"A31047"</definedName>
    <definedName name="FDD_0_10" hidden="1">"A34334"</definedName>
    <definedName name="FDD_0_11" hidden="1">"A34699"</definedName>
    <definedName name="FDD_0_12" hidden="1">"A35064"</definedName>
    <definedName name="FDD_0_13" hidden="1">"A35430"</definedName>
    <definedName name="FDD_0_14" hidden="1">"A35795"</definedName>
    <definedName name="FDD_0_2" hidden="1">"A31412"</definedName>
    <definedName name="FDD_0_3" hidden="1">"A31777"</definedName>
    <definedName name="FDD_0_4" hidden="1">"A32142"</definedName>
    <definedName name="FDD_0_5" hidden="1">"A32508"</definedName>
    <definedName name="FDD_0_6" hidden="1">"A32873"</definedName>
    <definedName name="FDD_0_7" hidden="1">"A33238"</definedName>
    <definedName name="FDD_0_8" hidden="1">"A33603"</definedName>
    <definedName name="FDD_0_9" hidden="1">"A33969"</definedName>
    <definedName name="FDD_1_0" hidden="1">"U25569"</definedName>
    <definedName name="FDD_10_0" hidden="1">"A25569"</definedName>
    <definedName name="FDD_100_0" hidden="1">"A25569"</definedName>
    <definedName name="FDD_101_0" hidden="1">"A25569"</definedName>
    <definedName name="FDD_102_0" hidden="1">"A25569"</definedName>
    <definedName name="FDD_103_0" hidden="1">"A25569"</definedName>
    <definedName name="FDD_104_0" hidden="1">"A25569"</definedName>
    <definedName name="FDD_105_0" hidden="1">"A25569"</definedName>
    <definedName name="FDD_106_0" hidden="1">"A25569"</definedName>
    <definedName name="FDD_107_0" hidden="1">"A25569"</definedName>
    <definedName name="FDD_108_0" hidden="1">"A25569"</definedName>
    <definedName name="FDD_109_0" hidden="1">"A25569"</definedName>
    <definedName name="FDD_11_0" hidden="1">"A25569"</definedName>
    <definedName name="FDD_110_0" hidden="1">"A25569"</definedName>
    <definedName name="FDD_111_0" hidden="1">"A25569"</definedName>
    <definedName name="FDD_112_0" hidden="1">"A25569"</definedName>
    <definedName name="FDD_113_0" hidden="1">"A25569"</definedName>
    <definedName name="FDD_114_0" hidden="1">"A25569"</definedName>
    <definedName name="FDD_115_0" hidden="1">"A25569"</definedName>
    <definedName name="FDD_116_0" hidden="1">"A25569"</definedName>
    <definedName name="FDD_117_0" hidden="1">"A30681"</definedName>
    <definedName name="FDD_117_1" hidden="1">"A31047"</definedName>
    <definedName name="FDD_117_10" hidden="1">"A34334"</definedName>
    <definedName name="FDD_117_11" hidden="1">"A34699"</definedName>
    <definedName name="FDD_117_12" hidden="1">"A35064"</definedName>
    <definedName name="FDD_117_13" hidden="1">"A35430"</definedName>
    <definedName name="FDD_117_14" hidden="1">"A35795"</definedName>
    <definedName name="FDD_117_2" hidden="1">"A31412"</definedName>
    <definedName name="FDD_117_3" hidden="1">"A31777"</definedName>
    <definedName name="FDD_117_4" hidden="1">"A32142"</definedName>
    <definedName name="FDD_117_5" hidden="1">"A32508"</definedName>
    <definedName name="FDD_117_6" hidden="1">"A32873"</definedName>
    <definedName name="FDD_117_7" hidden="1">"A33238"</definedName>
    <definedName name="FDD_117_8" hidden="1">"A33603"</definedName>
    <definedName name="FDD_117_9" hidden="1">"A33969"</definedName>
    <definedName name="FDD_118_0" hidden="1">"A30681"</definedName>
    <definedName name="FDD_118_1" hidden="1">"A31047"</definedName>
    <definedName name="FDD_118_10" hidden="1">"A34334"</definedName>
    <definedName name="FDD_118_11" hidden="1">"A34699"</definedName>
    <definedName name="FDD_118_12" hidden="1">"A35064"</definedName>
    <definedName name="FDD_118_13" hidden="1">"A35430"</definedName>
    <definedName name="FDD_118_14" hidden="1">"A35795"</definedName>
    <definedName name="FDD_118_2" hidden="1">"A31412"</definedName>
    <definedName name="FDD_118_3" hidden="1">"A31777"</definedName>
    <definedName name="FDD_118_4" hidden="1">"A32142"</definedName>
    <definedName name="FDD_118_5" hidden="1">"A32508"</definedName>
    <definedName name="FDD_118_6" hidden="1">"A32873"</definedName>
    <definedName name="FDD_118_7" hidden="1">"A33238"</definedName>
    <definedName name="FDD_118_8" hidden="1">"A33603"</definedName>
    <definedName name="FDD_118_9" hidden="1">"A33969"</definedName>
    <definedName name="FDD_119_0" hidden="1">"A30681"</definedName>
    <definedName name="FDD_119_1" hidden="1">"A31047"</definedName>
    <definedName name="FDD_119_10" hidden="1">"A34334"</definedName>
    <definedName name="FDD_119_11" hidden="1">"A34699"</definedName>
    <definedName name="FDD_119_12" hidden="1">"A35064"</definedName>
    <definedName name="FDD_119_13" hidden="1">"A35430"</definedName>
    <definedName name="FDD_119_14" hidden="1">"A35795"</definedName>
    <definedName name="FDD_119_2" hidden="1">"A31412"</definedName>
    <definedName name="FDD_119_3" hidden="1">"A31777"</definedName>
    <definedName name="FDD_119_4" hidden="1">"A32142"</definedName>
    <definedName name="FDD_119_5" hidden="1">"A32508"</definedName>
    <definedName name="FDD_119_6" hidden="1">"A32873"</definedName>
    <definedName name="FDD_119_7" hidden="1">"A33238"</definedName>
    <definedName name="FDD_119_8" hidden="1">"A33603"</definedName>
    <definedName name="FDD_119_9" hidden="1">"A33969"</definedName>
    <definedName name="FDD_12_0" hidden="1">"A25569"</definedName>
    <definedName name="FDD_120_0" hidden="1">"A30681"</definedName>
    <definedName name="FDD_120_1" hidden="1">"A31047"</definedName>
    <definedName name="FDD_120_10" hidden="1">"A34334"</definedName>
    <definedName name="FDD_120_11" hidden="1">"A34699"</definedName>
    <definedName name="FDD_120_12" hidden="1">"A35064"</definedName>
    <definedName name="FDD_120_13" hidden="1">"A35430"</definedName>
    <definedName name="FDD_120_14" hidden="1">"A35795"</definedName>
    <definedName name="FDD_120_2" hidden="1">"A31412"</definedName>
    <definedName name="FDD_120_3" hidden="1">"A31777"</definedName>
    <definedName name="FDD_120_4" hidden="1">"A32142"</definedName>
    <definedName name="FDD_120_5" hidden="1">"A32508"</definedName>
    <definedName name="FDD_120_6" hidden="1">"A32873"</definedName>
    <definedName name="FDD_120_7" hidden="1">"A33238"</definedName>
    <definedName name="FDD_120_8" hidden="1">"A33603"</definedName>
    <definedName name="FDD_120_9" hidden="1">"A33969"</definedName>
    <definedName name="FDD_121_0" hidden="1">"A30681"</definedName>
    <definedName name="FDD_121_1" hidden="1">"A31047"</definedName>
    <definedName name="FDD_121_10" hidden="1">"A34334"</definedName>
    <definedName name="FDD_121_11" hidden="1">"A34699"</definedName>
    <definedName name="FDD_121_12" hidden="1">"A35064"</definedName>
    <definedName name="FDD_121_13" hidden="1">"A35430"</definedName>
    <definedName name="FDD_121_14" hidden="1">"A35795"</definedName>
    <definedName name="FDD_121_2" hidden="1">"A31412"</definedName>
    <definedName name="FDD_121_3" hidden="1">"A31777"</definedName>
    <definedName name="FDD_121_4" hidden="1">"A32142"</definedName>
    <definedName name="FDD_121_5" hidden="1">"A32508"</definedName>
    <definedName name="FDD_121_6" hidden="1">"A32873"</definedName>
    <definedName name="FDD_121_7" hidden="1">"A33238"</definedName>
    <definedName name="FDD_121_8" hidden="1">"A33603"</definedName>
    <definedName name="FDD_121_9" hidden="1">"A33969"</definedName>
    <definedName name="FDD_122_0" hidden="1">"A30681"</definedName>
    <definedName name="FDD_122_1" hidden="1">"A31047"</definedName>
    <definedName name="FDD_122_10" hidden="1">"A34334"</definedName>
    <definedName name="FDD_122_11" hidden="1">"A34699"</definedName>
    <definedName name="FDD_122_12" hidden="1">"A35064"</definedName>
    <definedName name="FDD_122_13" hidden="1">"A35430"</definedName>
    <definedName name="FDD_122_14" hidden="1">"A35795"</definedName>
    <definedName name="FDD_122_2" hidden="1">"A31412"</definedName>
    <definedName name="FDD_122_3" hidden="1">"A31777"</definedName>
    <definedName name="FDD_122_4" hidden="1">"A32142"</definedName>
    <definedName name="FDD_122_5" hidden="1">"A32508"</definedName>
    <definedName name="FDD_122_6" hidden="1">"A32873"</definedName>
    <definedName name="FDD_122_7" hidden="1">"A33238"</definedName>
    <definedName name="FDD_122_8" hidden="1">"A33603"</definedName>
    <definedName name="FDD_122_9" hidden="1">"A33969"</definedName>
    <definedName name="FDD_123_0" hidden="1">"A30681"</definedName>
    <definedName name="FDD_123_1" hidden="1">"A31047"</definedName>
    <definedName name="FDD_123_10" hidden="1">"A34334"</definedName>
    <definedName name="FDD_123_11" hidden="1">"A34699"</definedName>
    <definedName name="FDD_123_12" hidden="1">"A35064"</definedName>
    <definedName name="FDD_123_13" hidden="1">"A35430"</definedName>
    <definedName name="FDD_123_14" hidden="1">"A35795"</definedName>
    <definedName name="FDD_123_2" hidden="1">"A31412"</definedName>
    <definedName name="FDD_123_3" hidden="1">"A31777"</definedName>
    <definedName name="FDD_123_4" hidden="1">"A32142"</definedName>
    <definedName name="FDD_123_5" hidden="1">"A32508"</definedName>
    <definedName name="FDD_123_6" hidden="1">"A32873"</definedName>
    <definedName name="FDD_123_7" hidden="1">"A33238"</definedName>
    <definedName name="FDD_123_8" hidden="1">"A33603"</definedName>
    <definedName name="FDD_123_9" hidden="1">"A33969"</definedName>
    <definedName name="FDD_124_0" hidden="1">"A30681"</definedName>
    <definedName name="FDD_124_1" hidden="1">"A31047"</definedName>
    <definedName name="FDD_124_10" hidden="1">"A34334"</definedName>
    <definedName name="FDD_124_11" hidden="1">"A34699"</definedName>
    <definedName name="FDD_124_12" hidden="1">"A35064"</definedName>
    <definedName name="FDD_124_13" hidden="1">"A35430"</definedName>
    <definedName name="FDD_124_14" hidden="1">"A35795"</definedName>
    <definedName name="FDD_124_2" hidden="1">"A31412"</definedName>
    <definedName name="FDD_124_3" hidden="1">"A31777"</definedName>
    <definedName name="FDD_124_4" hidden="1">"A32142"</definedName>
    <definedName name="FDD_124_5" hidden="1">"A32508"</definedName>
    <definedName name="FDD_124_6" hidden="1">"A32873"</definedName>
    <definedName name="FDD_124_7" hidden="1">"A33238"</definedName>
    <definedName name="FDD_124_8" hidden="1">"A33603"</definedName>
    <definedName name="FDD_124_9" hidden="1">"A33969"</definedName>
    <definedName name="FDD_125_0" hidden="1">"A30681"</definedName>
    <definedName name="FDD_125_1" hidden="1">"A31047"</definedName>
    <definedName name="FDD_125_10" hidden="1">"A34334"</definedName>
    <definedName name="FDD_125_11" hidden="1">"A34699"</definedName>
    <definedName name="FDD_125_12" hidden="1">"A35064"</definedName>
    <definedName name="FDD_125_13" hidden="1">"A35430"</definedName>
    <definedName name="FDD_125_14" hidden="1">"A35795"</definedName>
    <definedName name="FDD_125_2" hidden="1">"A31412"</definedName>
    <definedName name="FDD_125_3" hidden="1">"A31777"</definedName>
    <definedName name="FDD_125_4" hidden="1">"A32142"</definedName>
    <definedName name="FDD_125_5" hidden="1">"A32508"</definedName>
    <definedName name="FDD_125_6" hidden="1">"A32873"</definedName>
    <definedName name="FDD_125_7" hidden="1">"A33238"</definedName>
    <definedName name="FDD_125_8" hidden="1">"A33603"</definedName>
    <definedName name="FDD_125_9" hidden="1">"A33969"</definedName>
    <definedName name="FDD_126_0" hidden="1">"A30681"</definedName>
    <definedName name="FDD_126_1" hidden="1">"A31047"</definedName>
    <definedName name="FDD_126_10" hidden="1">"A34334"</definedName>
    <definedName name="FDD_126_11" hidden="1">"A34699"</definedName>
    <definedName name="FDD_126_12" hidden="1">"A35064"</definedName>
    <definedName name="FDD_126_13" hidden="1">"A35430"</definedName>
    <definedName name="FDD_126_14" hidden="1">"A35795"</definedName>
    <definedName name="FDD_126_2" hidden="1">"A31412"</definedName>
    <definedName name="FDD_126_3" hidden="1">"A31777"</definedName>
    <definedName name="FDD_126_4" hidden="1">"A32142"</definedName>
    <definedName name="FDD_126_5" hidden="1">"A32508"</definedName>
    <definedName name="FDD_126_6" hidden="1">"A32873"</definedName>
    <definedName name="FDD_126_7" hidden="1">"A33238"</definedName>
    <definedName name="FDD_126_8" hidden="1">"A33603"</definedName>
    <definedName name="FDD_126_9" hidden="1">"A33969"</definedName>
    <definedName name="FDD_127_0" hidden="1">"A30681"</definedName>
    <definedName name="FDD_127_1" hidden="1">"A31047"</definedName>
    <definedName name="FDD_127_10" hidden="1">"A34334"</definedName>
    <definedName name="FDD_127_11" hidden="1">"A34699"</definedName>
    <definedName name="FDD_127_12" hidden="1">"A35064"</definedName>
    <definedName name="FDD_127_13" hidden="1">"A35430"</definedName>
    <definedName name="FDD_127_14" hidden="1">"A35795"</definedName>
    <definedName name="FDD_127_2" hidden="1">"A31412"</definedName>
    <definedName name="FDD_127_3" hidden="1">"A31777"</definedName>
    <definedName name="FDD_127_4" hidden="1">"A32142"</definedName>
    <definedName name="FDD_127_5" hidden="1">"A32508"</definedName>
    <definedName name="FDD_127_6" hidden="1">"A32873"</definedName>
    <definedName name="FDD_127_7" hidden="1">"A33238"</definedName>
    <definedName name="FDD_127_8" hidden="1">"A33603"</definedName>
    <definedName name="FDD_127_9" hidden="1">"A33969"</definedName>
    <definedName name="FDD_128_0" hidden="1">"A30681"</definedName>
    <definedName name="FDD_128_1" hidden="1">"A31047"</definedName>
    <definedName name="FDD_128_10" hidden="1">"A34334"</definedName>
    <definedName name="FDD_128_11" hidden="1">"A34699"</definedName>
    <definedName name="FDD_128_12" hidden="1">"A35064"</definedName>
    <definedName name="FDD_128_13" hidden="1">"A35430"</definedName>
    <definedName name="FDD_128_14" hidden="1">"A35795"</definedName>
    <definedName name="FDD_128_2" hidden="1">"A31412"</definedName>
    <definedName name="FDD_128_3" hidden="1">"A31777"</definedName>
    <definedName name="FDD_128_4" hidden="1">"A32142"</definedName>
    <definedName name="FDD_128_5" hidden="1">"A32508"</definedName>
    <definedName name="FDD_128_6" hidden="1">"A32873"</definedName>
    <definedName name="FDD_128_7" hidden="1">"A33238"</definedName>
    <definedName name="FDD_128_8" hidden="1">"A33603"</definedName>
    <definedName name="FDD_128_9" hidden="1">"A33969"</definedName>
    <definedName name="FDD_129_0" hidden="1">"A30681"</definedName>
    <definedName name="FDD_129_1" hidden="1">"A31047"</definedName>
    <definedName name="FDD_129_10" hidden="1">"A34334"</definedName>
    <definedName name="FDD_129_11" hidden="1">"A34699"</definedName>
    <definedName name="FDD_129_12" hidden="1">"A35064"</definedName>
    <definedName name="FDD_129_13" hidden="1">"A35430"</definedName>
    <definedName name="FDD_129_14" hidden="1">"A35795"</definedName>
    <definedName name="FDD_129_2" hidden="1">"A31412"</definedName>
    <definedName name="FDD_129_3" hidden="1">"A31777"</definedName>
    <definedName name="FDD_129_4" hidden="1">"A32142"</definedName>
    <definedName name="FDD_129_5" hidden="1">"A32508"</definedName>
    <definedName name="FDD_129_6" hidden="1">"A32873"</definedName>
    <definedName name="FDD_129_7" hidden="1">"A33238"</definedName>
    <definedName name="FDD_129_8" hidden="1">"A33603"</definedName>
    <definedName name="FDD_129_9" hidden="1">"A33969"</definedName>
    <definedName name="FDD_13_0" hidden="1">"A25569"</definedName>
    <definedName name="FDD_130_0" hidden="1">"A30681"</definedName>
    <definedName name="FDD_130_1" hidden="1">"A31047"</definedName>
    <definedName name="FDD_130_10" hidden="1">"A34334"</definedName>
    <definedName name="FDD_130_11" hidden="1">"A34699"</definedName>
    <definedName name="FDD_130_12" hidden="1">"A35064"</definedName>
    <definedName name="FDD_130_13" hidden="1">"A35430"</definedName>
    <definedName name="FDD_130_14" hidden="1">"A35795"</definedName>
    <definedName name="FDD_130_2" hidden="1">"A31412"</definedName>
    <definedName name="FDD_130_3" hidden="1">"A31777"</definedName>
    <definedName name="FDD_130_4" hidden="1">"A32142"</definedName>
    <definedName name="FDD_130_5" hidden="1">"A32508"</definedName>
    <definedName name="FDD_130_6" hidden="1">"A32873"</definedName>
    <definedName name="FDD_130_7" hidden="1">"A33238"</definedName>
    <definedName name="FDD_130_8" hidden="1">"A33603"</definedName>
    <definedName name="FDD_130_9" hidden="1">"A33969"</definedName>
    <definedName name="FDD_131_0" hidden="1">"A30681"</definedName>
    <definedName name="FDD_131_1" hidden="1">"A31047"</definedName>
    <definedName name="FDD_131_10" hidden="1">"A34334"</definedName>
    <definedName name="FDD_131_11" hidden="1">"A34699"</definedName>
    <definedName name="FDD_131_12" hidden="1">"A35064"</definedName>
    <definedName name="FDD_131_13" hidden="1">"A35430"</definedName>
    <definedName name="FDD_131_14" hidden="1">"A35795"</definedName>
    <definedName name="FDD_131_2" hidden="1">"A31412"</definedName>
    <definedName name="FDD_131_3" hidden="1">"A31777"</definedName>
    <definedName name="FDD_131_4" hidden="1">"A32142"</definedName>
    <definedName name="FDD_131_5" hidden="1">"A32508"</definedName>
    <definedName name="FDD_131_6" hidden="1">"A32873"</definedName>
    <definedName name="FDD_131_7" hidden="1">"A33238"</definedName>
    <definedName name="FDD_131_8" hidden="1">"A33603"</definedName>
    <definedName name="FDD_131_9" hidden="1">"A33969"</definedName>
    <definedName name="FDD_132_0" hidden="1">"U30681"</definedName>
    <definedName name="FDD_132_1" hidden="1">"U31047"</definedName>
    <definedName name="FDD_132_10" hidden="1">"U34334"</definedName>
    <definedName name="FDD_132_11" hidden="1">"U34699"</definedName>
    <definedName name="FDD_132_12" hidden="1">"U35064"</definedName>
    <definedName name="FDD_132_13" hidden="1">"U35430"</definedName>
    <definedName name="FDD_132_14" hidden="1">"U35795"</definedName>
    <definedName name="FDD_132_2" hidden="1">"U31412"</definedName>
    <definedName name="FDD_132_3" hidden="1">"U31777"</definedName>
    <definedName name="FDD_132_4" hidden="1">"U32142"</definedName>
    <definedName name="FDD_132_5" hidden="1">"U32508"</definedName>
    <definedName name="FDD_132_6" hidden="1">"U32873"</definedName>
    <definedName name="FDD_132_7" hidden="1">"U33238"</definedName>
    <definedName name="FDD_132_8" hidden="1">"U33603"</definedName>
    <definedName name="FDD_132_9" hidden="1">"U33969"</definedName>
    <definedName name="FDD_133_0" hidden="1">"A30681"</definedName>
    <definedName name="FDD_133_1" hidden="1">"A31047"</definedName>
    <definedName name="FDD_133_10" hidden="1">"A34334"</definedName>
    <definedName name="FDD_133_11" hidden="1">"A34699"</definedName>
    <definedName name="FDD_133_12" hidden="1">"A35064"</definedName>
    <definedName name="FDD_133_13" hidden="1">"A35430"</definedName>
    <definedName name="FDD_133_14" hidden="1">"A35795"</definedName>
    <definedName name="FDD_133_2" hidden="1">"A31412"</definedName>
    <definedName name="FDD_133_3" hidden="1">"A31777"</definedName>
    <definedName name="FDD_133_4" hidden="1">"A32142"</definedName>
    <definedName name="FDD_133_5" hidden="1">"A32508"</definedName>
    <definedName name="FDD_133_6" hidden="1">"A32873"</definedName>
    <definedName name="FDD_133_7" hidden="1">"A33238"</definedName>
    <definedName name="FDD_133_8" hidden="1">"A33603"</definedName>
    <definedName name="FDD_133_9" hidden="1">"A33969"</definedName>
    <definedName name="FDD_134_0" hidden="1">"A30681"</definedName>
    <definedName name="FDD_134_1" hidden="1">"A31047"</definedName>
    <definedName name="FDD_134_10" hidden="1">"A34334"</definedName>
    <definedName name="FDD_134_11" hidden="1">"A34699"</definedName>
    <definedName name="FDD_134_12" hidden="1">"A35064"</definedName>
    <definedName name="FDD_134_13" hidden="1">"A35430"</definedName>
    <definedName name="FDD_134_14" hidden="1">"A35795"</definedName>
    <definedName name="FDD_134_2" hidden="1">"A31412"</definedName>
    <definedName name="FDD_134_3" hidden="1">"A31777"</definedName>
    <definedName name="FDD_134_4" hidden="1">"A32142"</definedName>
    <definedName name="FDD_134_5" hidden="1">"A32508"</definedName>
    <definedName name="FDD_134_6" hidden="1">"A32873"</definedName>
    <definedName name="FDD_134_7" hidden="1">"A33238"</definedName>
    <definedName name="FDD_134_8" hidden="1">"A33603"</definedName>
    <definedName name="FDD_134_9" hidden="1">"A33969"</definedName>
    <definedName name="FDD_135_0" hidden="1">"A30681"</definedName>
    <definedName name="FDD_135_1" hidden="1">"A31047"</definedName>
    <definedName name="FDD_135_10" hidden="1">"A34334"</definedName>
    <definedName name="FDD_135_11" hidden="1">"A34699"</definedName>
    <definedName name="FDD_135_12" hidden="1">"A35064"</definedName>
    <definedName name="FDD_135_13" hidden="1">"A35430"</definedName>
    <definedName name="FDD_135_14" hidden="1">"A35795"</definedName>
    <definedName name="FDD_135_2" hidden="1">"A31412"</definedName>
    <definedName name="FDD_135_3" hidden="1">"A31777"</definedName>
    <definedName name="FDD_135_4" hidden="1">"A32142"</definedName>
    <definedName name="FDD_135_5" hidden="1">"A32508"</definedName>
    <definedName name="FDD_135_6" hidden="1">"A32873"</definedName>
    <definedName name="FDD_135_7" hidden="1">"A33238"</definedName>
    <definedName name="FDD_135_8" hidden="1">"A33603"</definedName>
    <definedName name="FDD_135_9" hidden="1">"A33969"</definedName>
    <definedName name="FDD_136_0" hidden="1">"A30681"</definedName>
    <definedName name="FDD_136_1" hidden="1">"A31047"</definedName>
    <definedName name="FDD_136_10" hidden="1">"A34334"</definedName>
    <definedName name="FDD_136_11" hidden="1">"A34699"</definedName>
    <definedName name="FDD_136_12" hidden="1">"A35064"</definedName>
    <definedName name="FDD_136_13" hidden="1">"A35430"</definedName>
    <definedName name="FDD_136_14" hidden="1">"A35795"</definedName>
    <definedName name="FDD_136_2" hidden="1">"A31412"</definedName>
    <definedName name="FDD_136_3" hidden="1">"A31777"</definedName>
    <definedName name="FDD_136_4" hidden="1">"A32142"</definedName>
    <definedName name="FDD_136_5" hidden="1">"A32508"</definedName>
    <definedName name="FDD_136_6" hidden="1">"A32873"</definedName>
    <definedName name="FDD_136_7" hidden="1">"A33238"</definedName>
    <definedName name="FDD_136_8" hidden="1">"A33603"</definedName>
    <definedName name="FDD_136_9" hidden="1">"A33969"</definedName>
    <definedName name="FDD_137_0" hidden="1">"A30681"</definedName>
    <definedName name="FDD_137_1" hidden="1">"A31047"</definedName>
    <definedName name="FDD_137_10" hidden="1">"A34334"</definedName>
    <definedName name="FDD_137_11" hidden="1">"A34699"</definedName>
    <definedName name="FDD_137_12" hidden="1">"A35064"</definedName>
    <definedName name="FDD_137_13" hidden="1">"A35430"</definedName>
    <definedName name="FDD_137_14" hidden="1">"A35795"</definedName>
    <definedName name="FDD_137_2" hidden="1">"A31412"</definedName>
    <definedName name="FDD_137_3" hidden="1">"A31777"</definedName>
    <definedName name="FDD_137_4" hidden="1">"A32142"</definedName>
    <definedName name="FDD_137_5" hidden="1">"A32508"</definedName>
    <definedName name="FDD_137_6" hidden="1">"A32873"</definedName>
    <definedName name="FDD_137_7" hidden="1">"A33238"</definedName>
    <definedName name="FDD_137_8" hidden="1">"A33603"</definedName>
    <definedName name="FDD_137_9" hidden="1">"A33969"</definedName>
    <definedName name="FDD_138_0" hidden="1">"A30681"</definedName>
    <definedName name="FDD_138_1" hidden="1">"A31047"</definedName>
    <definedName name="FDD_138_10" hidden="1">"A34334"</definedName>
    <definedName name="FDD_138_11" hidden="1">"A34699"</definedName>
    <definedName name="FDD_138_12" hidden="1">"A35064"</definedName>
    <definedName name="FDD_138_13" hidden="1">"A35430"</definedName>
    <definedName name="FDD_138_14" hidden="1">"A35795"</definedName>
    <definedName name="FDD_138_2" hidden="1">"A31412"</definedName>
    <definedName name="FDD_138_3" hidden="1">"A31777"</definedName>
    <definedName name="FDD_138_4" hidden="1">"A32142"</definedName>
    <definedName name="FDD_138_5" hidden="1">"A32508"</definedName>
    <definedName name="FDD_138_6" hidden="1">"A32873"</definedName>
    <definedName name="FDD_138_7" hidden="1">"A33238"</definedName>
    <definedName name="FDD_138_8" hidden="1">"A33603"</definedName>
    <definedName name="FDD_138_9" hidden="1">"A33969"</definedName>
    <definedName name="FDD_139_0" hidden="1">"A30681"</definedName>
    <definedName name="FDD_139_1" hidden="1">"A31047"</definedName>
    <definedName name="FDD_139_10" hidden="1">"U34334"</definedName>
    <definedName name="FDD_139_11" hidden="1">"U34699"</definedName>
    <definedName name="FDD_139_12" hidden="1">"U35064"</definedName>
    <definedName name="FDD_139_13" hidden="1">"U35430"</definedName>
    <definedName name="FDD_139_14" hidden="1">"U35795"</definedName>
    <definedName name="FDD_139_2" hidden="1">"A31412"</definedName>
    <definedName name="FDD_139_3" hidden="1">"U31777"</definedName>
    <definedName name="FDD_139_4" hidden="1">"U32142"</definedName>
    <definedName name="FDD_139_5" hidden="1">"U32508"</definedName>
    <definedName name="FDD_139_6" hidden="1">"U32873"</definedName>
    <definedName name="FDD_139_7" hidden="1">"U33238"</definedName>
    <definedName name="FDD_139_8" hidden="1">"U33603"</definedName>
    <definedName name="FDD_139_9" hidden="1">"U33969"</definedName>
    <definedName name="FDD_14_0" hidden="1">"A25569"</definedName>
    <definedName name="FDD_140_0" hidden="1">"A25569"</definedName>
    <definedName name="FDD_141_0" hidden="1">"A30681"</definedName>
    <definedName name="FDD_141_1" hidden="1">"A31047"</definedName>
    <definedName name="FDD_141_10" hidden="1">"A34334"</definedName>
    <definedName name="FDD_141_11" hidden="1">"A34699"</definedName>
    <definedName name="FDD_141_12" hidden="1">"A35064"</definedName>
    <definedName name="FDD_141_13" hidden="1">"A35430"</definedName>
    <definedName name="FDD_141_14" hidden="1">"A35795"</definedName>
    <definedName name="FDD_141_2" hidden="1">"A31412"</definedName>
    <definedName name="FDD_141_3" hidden="1">"A31777"</definedName>
    <definedName name="FDD_141_4" hidden="1">"A32142"</definedName>
    <definedName name="FDD_141_5" hidden="1">"A32508"</definedName>
    <definedName name="FDD_141_6" hidden="1">"A32873"</definedName>
    <definedName name="FDD_141_7" hidden="1">"A33238"</definedName>
    <definedName name="FDD_141_8" hidden="1">"A33603"</definedName>
    <definedName name="FDD_141_9" hidden="1">"A33969"</definedName>
    <definedName name="FDD_142_0" hidden="1">"A30681"</definedName>
    <definedName name="FDD_142_1" hidden="1">"A31047"</definedName>
    <definedName name="FDD_142_10" hidden="1">"A34334"</definedName>
    <definedName name="FDD_142_11" hidden="1">"A34699"</definedName>
    <definedName name="FDD_142_12" hidden="1">"A35064"</definedName>
    <definedName name="FDD_142_13" hidden="1">"A35430"</definedName>
    <definedName name="FDD_142_14" hidden="1">"A35795"</definedName>
    <definedName name="FDD_142_2" hidden="1">"A31412"</definedName>
    <definedName name="FDD_142_3" hidden="1">"A31777"</definedName>
    <definedName name="FDD_142_4" hidden="1">"A32142"</definedName>
    <definedName name="FDD_142_5" hidden="1">"A32508"</definedName>
    <definedName name="FDD_142_6" hidden="1">"A32873"</definedName>
    <definedName name="FDD_142_7" hidden="1">"A33238"</definedName>
    <definedName name="FDD_142_8" hidden="1">"A33603"</definedName>
    <definedName name="FDD_142_9" hidden="1">"A33969"</definedName>
    <definedName name="FDD_143_0" hidden="1">"A30681"</definedName>
    <definedName name="FDD_143_1" hidden="1">"A31047"</definedName>
    <definedName name="FDD_143_10" hidden="1">"A34334"</definedName>
    <definedName name="FDD_143_11" hidden="1">"A34699"</definedName>
    <definedName name="FDD_143_12" hidden="1">"A35064"</definedName>
    <definedName name="FDD_143_13" hidden="1">"A35430"</definedName>
    <definedName name="FDD_143_14" hidden="1">"A35795"</definedName>
    <definedName name="FDD_143_2" hidden="1">"A31412"</definedName>
    <definedName name="FDD_143_3" hidden="1">"A31777"</definedName>
    <definedName name="FDD_143_4" hidden="1">"A32142"</definedName>
    <definedName name="FDD_143_5" hidden="1">"A32508"</definedName>
    <definedName name="FDD_143_6" hidden="1">"A32873"</definedName>
    <definedName name="FDD_143_7" hidden="1">"A33238"</definedName>
    <definedName name="FDD_143_8" hidden="1">"A33603"</definedName>
    <definedName name="FDD_143_9" hidden="1">"A33969"</definedName>
    <definedName name="FDD_144_0" hidden="1">"A30681"</definedName>
    <definedName name="FDD_144_1" hidden="1">"A31047"</definedName>
    <definedName name="FDD_144_10" hidden="1">"A34334"</definedName>
    <definedName name="FDD_144_11" hidden="1">"A34699"</definedName>
    <definedName name="FDD_144_12" hidden="1">"A35064"</definedName>
    <definedName name="FDD_144_13" hidden="1">"A35430"</definedName>
    <definedName name="FDD_144_14" hidden="1">"A35795"</definedName>
    <definedName name="FDD_144_2" hidden="1">"A31412"</definedName>
    <definedName name="FDD_144_3" hidden="1">"A31777"</definedName>
    <definedName name="FDD_144_4" hidden="1">"A32142"</definedName>
    <definedName name="FDD_144_5" hidden="1">"A32508"</definedName>
    <definedName name="FDD_144_6" hidden="1">"A32873"</definedName>
    <definedName name="FDD_144_7" hidden="1">"A33238"</definedName>
    <definedName name="FDD_144_8" hidden="1">"A33603"</definedName>
    <definedName name="FDD_144_9" hidden="1">"A33969"</definedName>
    <definedName name="FDD_145_0" hidden="1">"A30681"</definedName>
    <definedName name="FDD_145_1" hidden="1">"A31047"</definedName>
    <definedName name="FDD_145_10" hidden="1">"A34334"</definedName>
    <definedName name="FDD_145_11" hidden="1">"A34699"</definedName>
    <definedName name="FDD_145_12" hidden="1">"A35064"</definedName>
    <definedName name="FDD_145_13" hidden="1">"A35430"</definedName>
    <definedName name="FDD_145_14" hidden="1">"A35795"</definedName>
    <definedName name="FDD_145_2" hidden="1">"A31412"</definedName>
    <definedName name="FDD_145_3" hidden="1">"A31777"</definedName>
    <definedName name="FDD_145_4" hidden="1">"A32142"</definedName>
    <definedName name="FDD_145_5" hidden="1">"A32508"</definedName>
    <definedName name="FDD_145_6" hidden="1">"A32873"</definedName>
    <definedName name="FDD_145_7" hidden="1">"A33238"</definedName>
    <definedName name="FDD_145_8" hidden="1">"A33603"</definedName>
    <definedName name="FDD_145_9" hidden="1">"A33969"</definedName>
    <definedName name="FDD_146_0" hidden="1">"A30681"</definedName>
    <definedName name="FDD_146_1" hidden="1">"A31047"</definedName>
    <definedName name="FDD_146_10" hidden="1">"A34334"</definedName>
    <definedName name="FDD_146_11" hidden="1">"A34699"</definedName>
    <definedName name="FDD_146_12" hidden="1">"A35064"</definedName>
    <definedName name="FDD_146_13" hidden="1">"A35430"</definedName>
    <definedName name="FDD_146_14" hidden="1">"A35795"</definedName>
    <definedName name="FDD_146_2" hidden="1">"A31412"</definedName>
    <definedName name="FDD_146_3" hidden="1">"A31777"</definedName>
    <definedName name="FDD_146_4" hidden="1">"A32142"</definedName>
    <definedName name="FDD_146_5" hidden="1">"A32508"</definedName>
    <definedName name="FDD_146_6" hidden="1">"A32873"</definedName>
    <definedName name="FDD_146_7" hidden="1">"A33238"</definedName>
    <definedName name="FDD_146_8" hidden="1">"A33603"</definedName>
    <definedName name="FDD_146_9" hidden="1">"A33969"</definedName>
    <definedName name="FDD_147_0" hidden="1">"U30681"</definedName>
    <definedName name="FDD_147_1" hidden="1">"U31047"</definedName>
    <definedName name="FDD_147_10" hidden="1">"U34334"</definedName>
    <definedName name="FDD_147_11" hidden="1">"U34699"</definedName>
    <definedName name="FDD_147_12" hidden="1">"U35064"</definedName>
    <definedName name="FDD_147_13" hidden="1">"U35430"</definedName>
    <definedName name="FDD_147_14" hidden="1">"U35795"</definedName>
    <definedName name="FDD_147_2" hidden="1">"U31412"</definedName>
    <definedName name="FDD_147_3" hidden="1">"U31777"</definedName>
    <definedName name="FDD_147_4" hidden="1">"U32142"</definedName>
    <definedName name="FDD_147_5" hidden="1">"U32508"</definedName>
    <definedName name="FDD_147_6" hidden="1">"U32873"</definedName>
    <definedName name="FDD_147_7" hidden="1">"U33238"</definedName>
    <definedName name="FDD_147_8" hidden="1">"U33603"</definedName>
    <definedName name="FDD_147_9" hidden="1">"U33969"</definedName>
    <definedName name="FDD_148_0" hidden="1">"A30681"</definedName>
    <definedName name="FDD_148_1" hidden="1">"A31047"</definedName>
    <definedName name="FDD_148_10" hidden="1">"A34334"</definedName>
    <definedName name="FDD_148_11" hidden="1">"A34699"</definedName>
    <definedName name="FDD_148_12" hidden="1">"A35064"</definedName>
    <definedName name="FDD_148_13" hidden="1">"A35430"</definedName>
    <definedName name="FDD_148_14" hidden="1">"A35795"</definedName>
    <definedName name="FDD_148_2" hidden="1">"A31412"</definedName>
    <definedName name="FDD_148_3" hidden="1">"A31777"</definedName>
    <definedName name="FDD_148_4" hidden="1">"A32142"</definedName>
    <definedName name="FDD_148_5" hidden="1">"A32508"</definedName>
    <definedName name="FDD_148_6" hidden="1">"A32873"</definedName>
    <definedName name="FDD_148_7" hidden="1">"A33238"</definedName>
    <definedName name="FDD_148_8" hidden="1">"A33603"</definedName>
    <definedName name="FDD_148_9" hidden="1">"A33969"</definedName>
    <definedName name="FDD_149_0" hidden="1">"U30681"</definedName>
    <definedName name="FDD_149_1" hidden="1">"U31047"</definedName>
    <definedName name="FDD_149_10" hidden="1">"U34334"</definedName>
    <definedName name="FDD_149_11" hidden="1">"U34699"</definedName>
    <definedName name="FDD_149_12" hidden="1">"U35064"</definedName>
    <definedName name="FDD_149_13" hidden="1">"U35430"</definedName>
    <definedName name="FDD_149_14" hidden="1">"A35795"</definedName>
    <definedName name="FDD_149_2" hidden="1">"U31412"</definedName>
    <definedName name="FDD_149_3" hidden="1">"U31777"</definedName>
    <definedName name="FDD_149_4" hidden="1">"U32142"</definedName>
    <definedName name="FDD_149_5" hidden="1">"U32508"</definedName>
    <definedName name="FDD_149_6" hidden="1">"U32873"</definedName>
    <definedName name="FDD_149_7" hidden="1">"U33238"</definedName>
    <definedName name="FDD_149_8" hidden="1">"U33603"</definedName>
    <definedName name="FDD_149_9" hidden="1">"U33969"</definedName>
    <definedName name="FDD_15_0" hidden="1">"A25569"</definedName>
    <definedName name="FDD_151_0" hidden="1">"A30681"</definedName>
    <definedName name="FDD_151_1" hidden="1">"A31047"</definedName>
    <definedName name="FDD_151_10" hidden="1">"A34334"</definedName>
    <definedName name="FDD_151_11" hidden="1">"A34699"</definedName>
    <definedName name="FDD_151_12" hidden="1">"A35064"</definedName>
    <definedName name="FDD_151_13" hidden="1">"A35430"</definedName>
    <definedName name="FDD_151_14" hidden="1">"A35795"</definedName>
    <definedName name="FDD_151_2" hidden="1">"A31412"</definedName>
    <definedName name="FDD_151_3" hidden="1">"A31777"</definedName>
    <definedName name="FDD_151_4" hidden="1">"A32142"</definedName>
    <definedName name="FDD_151_5" hidden="1">"A32508"</definedName>
    <definedName name="FDD_151_6" hidden="1">"A32873"</definedName>
    <definedName name="FDD_151_7" hidden="1">"A33238"</definedName>
    <definedName name="FDD_151_8" hidden="1">"A33603"</definedName>
    <definedName name="FDD_151_9" hidden="1">"A33969"</definedName>
    <definedName name="FDD_152_0" hidden="1">"A30681"</definedName>
    <definedName name="FDD_152_1" hidden="1">"A31047"</definedName>
    <definedName name="FDD_152_10" hidden="1">"A34334"</definedName>
    <definedName name="FDD_152_11" hidden="1">"A34699"</definedName>
    <definedName name="FDD_152_12" hidden="1">"A35064"</definedName>
    <definedName name="FDD_152_13" hidden="1">"A35430"</definedName>
    <definedName name="FDD_152_14" hidden="1">"A35795"</definedName>
    <definedName name="FDD_152_15" hidden="1">"E36160"</definedName>
    <definedName name="FDD_152_2" hidden="1">"A31412"</definedName>
    <definedName name="FDD_152_3" hidden="1">"A31777"</definedName>
    <definedName name="FDD_152_4" hidden="1">"A32142"</definedName>
    <definedName name="FDD_152_5" hidden="1">"A32508"</definedName>
    <definedName name="FDD_152_6" hidden="1">"A32873"</definedName>
    <definedName name="FDD_152_7" hidden="1">"A33238"</definedName>
    <definedName name="FDD_152_8" hidden="1">"A33603"</definedName>
    <definedName name="FDD_152_9" hidden="1">"A33969"</definedName>
    <definedName name="FDD_153_0" hidden="1">"A30681"</definedName>
    <definedName name="FDD_153_1" hidden="1">"A31047"</definedName>
    <definedName name="FDD_153_10" hidden="1">"A34334"</definedName>
    <definedName name="FDD_153_11" hidden="1">"A34699"</definedName>
    <definedName name="FDD_153_12" hidden="1">"A35064"</definedName>
    <definedName name="FDD_153_13" hidden="1">"A35430"</definedName>
    <definedName name="FDD_153_14" hidden="1">"A35795"</definedName>
    <definedName name="FDD_153_2" hidden="1">"A31412"</definedName>
    <definedName name="FDD_153_3" hidden="1">"A31777"</definedName>
    <definedName name="FDD_153_4" hidden="1">"A32142"</definedName>
    <definedName name="FDD_153_5" hidden="1">"A32508"</definedName>
    <definedName name="FDD_153_6" hidden="1">"A32873"</definedName>
    <definedName name="FDD_153_7" hidden="1">"A33238"</definedName>
    <definedName name="FDD_153_8" hidden="1">"A33603"</definedName>
    <definedName name="FDD_153_9" hidden="1">"A33969"</definedName>
    <definedName name="FDD_154_0" hidden="1">"A30681"</definedName>
    <definedName name="FDD_154_1" hidden="1">"A31047"</definedName>
    <definedName name="FDD_154_10" hidden="1">"A34334"</definedName>
    <definedName name="FDD_154_11" hidden="1">"A34699"</definedName>
    <definedName name="FDD_154_12" hidden="1">"A35064"</definedName>
    <definedName name="FDD_154_13" hidden="1">"A35430"</definedName>
    <definedName name="FDD_154_14" hidden="1">"A35795"</definedName>
    <definedName name="FDD_154_2" hidden="1">"A31412"</definedName>
    <definedName name="FDD_154_3" hidden="1">"A31777"</definedName>
    <definedName name="FDD_154_4" hidden="1">"A32142"</definedName>
    <definedName name="FDD_154_5" hidden="1">"A32508"</definedName>
    <definedName name="FDD_154_6" hidden="1">"A32873"</definedName>
    <definedName name="FDD_154_7" hidden="1">"A33238"</definedName>
    <definedName name="FDD_154_8" hidden="1">"A33603"</definedName>
    <definedName name="FDD_154_9" hidden="1">"A33969"</definedName>
    <definedName name="FDD_155_0" hidden="1">"A25569"</definedName>
    <definedName name="FDD_156_0" hidden="1">"A30681"</definedName>
    <definedName name="FDD_156_1" hidden="1">"A31047"</definedName>
    <definedName name="FDD_156_10" hidden="1">"A34334"</definedName>
    <definedName name="FDD_156_11" hidden="1">"A34699"</definedName>
    <definedName name="FDD_156_12" hidden="1">"A35064"</definedName>
    <definedName name="FDD_156_13" hidden="1">"A35430"</definedName>
    <definedName name="FDD_156_14" hidden="1">"A35795"</definedName>
    <definedName name="FDD_156_15" hidden="1">"E36160"</definedName>
    <definedName name="FDD_156_2" hidden="1">"A31412"</definedName>
    <definedName name="FDD_156_3" hidden="1">"A31777"</definedName>
    <definedName name="FDD_156_4" hidden="1">"A32142"</definedName>
    <definedName name="FDD_156_5" hidden="1">"A32508"</definedName>
    <definedName name="FDD_156_6" hidden="1">"A32873"</definedName>
    <definedName name="FDD_156_7" hidden="1">"A33238"</definedName>
    <definedName name="FDD_156_8" hidden="1">"A33603"</definedName>
    <definedName name="FDD_156_9" hidden="1">"A33969"</definedName>
    <definedName name="FDD_157_0" hidden="1">"A30681"</definedName>
    <definedName name="FDD_157_1" hidden="1">"A31047"</definedName>
    <definedName name="FDD_157_10" hidden="1">"A34334"</definedName>
    <definedName name="FDD_157_11" hidden="1">"A34699"</definedName>
    <definedName name="FDD_157_12" hidden="1">"A35064"</definedName>
    <definedName name="FDD_157_13" hidden="1">"A35430"</definedName>
    <definedName name="FDD_157_14" hidden="1">"A35795"</definedName>
    <definedName name="FDD_157_2" hidden="1">"A31412"</definedName>
    <definedName name="FDD_157_3" hidden="1">"A31777"</definedName>
    <definedName name="FDD_157_4" hidden="1">"A32142"</definedName>
    <definedName name="FDD_157_5" hidden="1">"A32508"</definedName>
    <definedName name="FDD_157_6" hidden="1">"A32873"</definedName>
    <definedName name="FDD_157_7" hidden="1">"A33238"</definedName>
    <definedName name="FDD_157_8" hidden="1">"A33603"</definedName>
    <definedName name="FDD_157_9" hidden="1">"A33969"</definedName>
    <definedName name="FDD_158_0" hidden="1">"A30681"</definedName>
    <definedName name="FDD_158_1" hidden="1">"A31047"</definedName>
    <definedName name="FDD_158_10" hidden="1">"A34334"</definedName>
    <definedName name="FDD_158_11" hidden="1">"A34699"</definedName>
    <definedName name="FDD_158_12" hidden="1">"A35064"</definedName>
    <definedName name="FDD_158_13" hidden="1">"A35430"</definedName>
    <definedName name="FDD_158_14" hidden="1">"A35795"</definedName>
    <definedName name="FDD_158_15" hidden="1">"E36160"</definedName>
    <definedName name="FDD_158_2" hidden="1">"A31412"</definedName>
    <definedName name="FDD_158_3" hidden="1">"A31777"</definedName>
    <definedName name="FDD_158_4" hidden="1">"A32142"</definedName>
    <definedName name="FDD_158_5" hidden="1">"A32508"</definedName>
    <definedName name="FDD_158_6" hidden="1">"A32873"</definedName>
    <definedName name="FDD_158_7" hidden="1">"A33238"</definedName>
    <definedName name="FDD_158_8" hidden="1">"A33603"</definedName>
    <definedName name="FDD_158_9" hidden="1">"A33969"</definedName>
    <definedName name="FDD_159_0" hidden="1">"A30681"</definedName>
    <definedName name="FDD_159_1" hidden="1">"A31047"</definedName>
    <definedName name="FDD_159_10" hidden="1">"A34334"</definedName>
    <definedName name="FDD_159_11" hidden="1">"A34699"</definedName>
    <definedName name="FDD_159_12" hidden="1">"A35064"</definedName>
    <definedName name="FDD_159_13" hidden="1">"A35430"</definedName>
    <definedName name="FDD_159_14" hidden="1">"A35795"</definedName>
    <definedName name="FDD_159_2" hidden="1">"A31412"</definedName>
    <definedName name="FDD_159_3" hidden="1">"A31777"</definedName>
    <definedName name="FDD_159_4" hidden="1">"A32142"</definedName>
    <definedName name="FDD_159_5" hidden="1">"A32508"</definedName>
    <definedName name="FDD_159_6" hidden="1">"A32873"</definedName>
    <definedName name="FDD_159_7" hidden="1">"A33238"</definedName>
    <definedName name="FDD_159_8" hidden="1">"A33603"</definedName>
    <definedName name="FDD_159_9" hidden="1">"A33969"</definedName>
    <definedName name="FDD_16_0" hidden="1">"A25569"</definedName>
    <definedName name="FDD_160_0" hidden="1">"A30681"</definedName>
    <definedName name="FDD_160_1" hidden="1">"A31047"</definedName>
    <definedName name="FDD_160_10" hidden="1">"A34334"</definedName>
    <definedName name="FDD_160_11" hidden="1">"A34699"</definedName>
    <definedName name="FDD_160_12" hidden="1">"A35064"</definedName>
    <definedName name="FDD_160_13" hidden="1">"A35430"</definedName>
    <definedName name="FDD_160_14" hidden="1">"A35795"</definedName>
    <definedName name="FDD_160_15" hidden="1">"E36160"</definedName>
    <definedName name="FDD_160_2" hidden="1">"A31412"</definedName>
    <definedName name="FDD_160_3" hidden="1">"A31777"</definedName>
    <definedName name="FDD_160_4" hidden="1">"A32142"</definedName>
    <definedName name="FDD_160_5" hidden="1">"A32508"</definedName>
    <definedName name="FDD_160_6" hidden="1">"A32873"</definedName>
    <definedName name="FDD_160_7" hidden="1">"A33238"</definedName>
    <definedName name="FDD_160_8" hidden="1">"A33603"</definedName>
    <definedName name="FDD_160_9" hidden="1">"A33969"</definedName>
    <definedName name="FDD_161_0" hidden="1">"A30681"</definedName>
    <definedName name="FDD_161_1" hidden="1">"A31047"</definedName>
    <definedName name="FDD_161_10" hidden="1">"A34334"</definedName>
    <definedName name="FDD_161_11" hidden="1">"A34699"</definedName>
    <definedName name="FDD_161_12" hidden="1">"A35064"</definedName>
    <definedName name="FDD_161_13" hidden="1">"A35430"</definedName>
    <definedName name="FDD_161_14" hidden="1">"A35795"</definedName>
    <definedName name="FDD_161_2" hidden="1">"A31412"</definedName>
    <definedName name="FDD_161_3" hidden="1">"A31777"</definedName>
    <definedName name="FDD_161_4" hidden="1">"A32142"</definedName>
    <definedName name="FDD_161_5" hidden="1">"A32508"</definedName>
    <definedName name="FDD_161_6" hidden="1">"A32873"</definedName>
    <definedName name="FDD_161_7" hidden="1">"A33238"</definedName>
    <definedName name="FDD_161_8" hidden="1">"A33603"</definedName>
    <definedName name="FDD_161_9" hidden="1">"A33969"</definedName>
    <definedName name="FDD_162_0" hidden="1">"A30681"</definedName>
    <definedName name="FDD_162_1" hidden="1">"A31047"</definedName>
    <definedName name="FDD_162_10" hidden="1">"A34334"</definedName>
    <definedName name="FDD_162_11" hidden="1">"A34699"</definedName>
    <definedName name="FDD_162_12" hidden="1">"A35064"</definedName>
    <definedName name="FDD_162_13" hidden="1">"A35430"</definedName>
    <definedName name="FDD_162_14" hidden="1">"A35795"</definedName>
    <definedName name="FDD_162_2" hidden="1">"A31412"</definedName>
    <definedName name="FDD_162_3" hidden="1">"A31777"</definedName>
    <definedName name="FDD_162_4" hidden="1">"A32142"</definedName>
    <definedName name="FDD_162_5" hidden="1">"A32508"</definedName>
    <definedName name="FDD_162_6" hidden="1">"A32873"</definedName>
    <definedName name="FDD_162_7" hidden="1">"A33238"</definedName>
    <definedName name="FDD_162_8" hidden="1">"A33603"</definedName>
    <definedName name="FDD_162_9" hidden="1">"A33969"</definedName>
    <definedName name="FDD_163_0" hidden="1">"A30681"</definedName>
    <definedName name="FDD_163_1" hidden="1">"A31047"</definedName>
    <definedName name="FDD_163_10" hidden="1">"A34334"</definedName>
    <definedName name="FDD_163_11" hidden="1">"A34699"</definedName>
    <definedName name="FDD_163_12" hidden="1">"A35064"</definedName>
    <definedName name="FDD_163_13" hidden="1">"A35430"</definedName>
    <definedName name="FDD_163_14" hidden="1">"A35795"</definedName>
    <definedName name="FDD_163_2" hidden="1">"A31412"</definedName>
    <definedName name="FDD_163_3" hidden="1">"A31777"</definedName>
    <definedName name="FDD_163_4" hidden="1">"A32142"</definedName>
    <definedName name="FDD_163_5" hidden="1">"A32508"</definedName>
    <definedName name="FDD_163_6" hidden="1">"A32873"</definedName>
    <definedName name="FDD_163_7" hidden="1">"A33238"</definedName>
    <definedName name="FDD_163_8" hidden="1">"A33603"</definedName>
    <definedName name="FDD_163_9" hidden="1">"A33969"</definedName>
    <definedName name="FDD_164_0" hidden="1">"A25569"</definedName>
    <definedName name="FDD_165_0" hidden="1">"A30681"</definedName>
    <definedName name="FDD_165_1" hidden="1">"A31047"</definedName>
    <definedName name="FDD_165_10" hidden="1">"A34334"</definedName>
    <definedName name="FDD_165_11" hidden="1">"A34699"</definedName>
    <definedName name="FDD_165_12" hidden="1">"A35064"</definedName>
    <definedName name="FDD_165_13" hidden="1">"A35430"</definedName>
    <definedName name="FDD_165_14" hidden="1">"A35795"</definedName>
    <definedName name="FDD_165_2" hidden="1">"A31412"</definedName>
    <definedName name="FDD_165_3" hidden="1">"A31777"</definedName>
    <definedName name="FDD_165_4" hidden="1">"A32142"</definedName>
    <definedName name="FDD_165_5" hidden="1">"A32508"</definedName>
    <definedName name="FDD_165_6" hidden="1">"A32873"</definedName>
    <definedName name="FDD_165_7" hidden="1">"A33238"</definedName>
    <definedName name="FDD_165_8" hidden="1">"A33603"</definedName>
    <definedName name="FDD_165_9" hidden="1">"A33969"</definedName>
    <definedName name="FDD_166_0" hidden="1">"A30681"</definedName>
    <definedName name="FDD_166_1" hidden="1">"A31047"</definedName>
    <definedName name="FDD_166_10" hidden="1">"A34334"</definedName>
    <definedName name="FDD_166_11" hidden="1">"A34699"</definedName>
    <definedName name="FDD_166_12" hidden="1">"A35064"</definedName>
    <definedName name="FDD_166_13" hidden="1">"A35430"</definedName>
    <definedName name="FDD_166_14" hidden="1">"A35795"</definedName>
    <definedName name="FDD_166_2" hidden="1">"A31412"</definedName>
    <definedName name="FDD_166_3" hidden="1">"A31777"</definedName>
    <definedName name="FDD_166_4" hidden="1">"A32142"</definedName>
    <definedName name="FDD_166_5" hidden="1">"A32508"</definedName>
    <definedName name="FDD_166_6" hidden="1">"A32873"</definedName>
    <definedName name="FDD_166_7" hidden="1">"A33238"</definedName>
    <definedName name="FDD_166_8" hidden="1">"A33603"</definedName>
    <definedName name="FDD_166_9" hidden="1">"A33969"</definedName>
    <definedName name="FDD_167_0" hidden="1">"A30681"</definedName>
    <definedName name="FDD_167_1" hidden="1">"A31047"</definedName>
    <definedName name="FDD_167_10" hidden="1">"A34334"</definedName>
    <definedName name="FDD_167_11" hidden="1">"A34699"</definedName>
    <definedName name="FDD_167_12" hidden="1">"A35064"</definedName>
    <definedName name="FDD_167_13" hidden="1">"A35430"</definedName>
    <definedName name="FDD_167_14" hidden="1">"A35795"</definedName>
    <definedName name="FDD_167_2" hidden="1">"A31412"</definedName>
    <definedName name="FDD_167_3" hidden="1">"A31777"</definedName>
    <definedName name="FDD_167_4" hidden="1">"A32142"</definedName>
    <definedName name="FDD_167_5" hidden="1">"A32508"</definedName>
    <definedName name="FDD_167_6" hidden="1">"A32873"</definedName>
    <definedName name="FDD_167_7" hidden="1">"A33238"</definedName>
    <definedName name="FDD_167_8" hidden="1">"A33603"</definedName>
    <definedName name="FDD_167_9" hidden="1">"A33969"</definedName>
    <definedName name="FDD_168_0" hidden="1">"E36160"</definedName>
    <definedName name="FDD_168_1" hidden="1">"E36525"</definedName>
    <definedName name="FDD_168_2" hidden="1">"E36891"</definedName>
    <definedName name="FDD_169_0" hidden="1">"A30681"</definedName>
    <definedName name="FDD_169_1" hidden="1">"A31047"</definedName>
    <definedName name="FDD_169_10" hidden="1">"A34334"</definedName>
    <definedName name="FDD_169_11" hidden="1">"A34699"</definedName>
    <definedName name="FDD_169_12" hidden="1">"A35064"</definedName>
    <definedName name="FDD_169_13" hidden="1">"A35430"</definedName>
    <definedName name="FDD_169_14" hidden="1">"A35795"</definedName>
    <definedName name="FDD_169_2" hidden="1">"A31412"</definedName>
    <definedName name="FDD_169_3" hidden="1">"A31777"</definedName>
    <definedName name="FDD_169_4" hidden="1">"A32142"</definedName>
    <definedName name="FDD_169_5" hidden="1">"A32508"</definedName>
    <definedName name="FDD_169_6" hidden="1">"A32873"</definedName>
    <definedName name="FDD_169_7" hidden="1">"A33238"</definedName>
    <definedName name="FDD_169_8" hidden="1">"A33603"</definedName>
    <definedName name="FDD_169_9" hidden="1">"A33969"</definedName>
    <definedName name="FDD_17_0" hidden="1">"A25569"</definedName>
    <definedName name="FDD_170_0" hidden="1">"A30681"</definedName>
    <definedName name="FDD_170_1" hidden="1">"A31047"</definedName>
    <definedName name="FDD_170_10" hidden="1">"A34334"</definedName>
    <definedName name="FDD_170_11" hidden="1">"A34699"</definedName>
    <definedName name="FDD_170_12" hidden="1">"A35064"</definedName>
    <definedName name="FDD_170_13" hidden="1">"A35430"</definedName>
    <definedName name="FDD_170_14" hidden="1">"A35795"</definedName>
    <definedName name="FDD_170_2" hidden="1">"A31412"</definedName>
    <definedName name="FDD_170_3" hidden="1">"A31777"</definedName>
    <definedName name="FDD_170_4" hidden="1">"A32142"</definedName>
    <definedName name="FDD_170_5" hidden="1">"A32508"</definedName>
    <definedName name="FDD_170_6" hidden="1">"A32873"</definedName>
    <definedName name="FDD_170_7" hidden="1">"A33238"</definedName>
    <definedName name="FDD_170_8" hidden="1">"A33603"</definedName>
    <definedName name="FDD_170_9" hidden="1">"A33969"</definedName>
    <definedName name="FDD_171_0" hidden="1">"A30681"</definedName>
    <definedName name="FDD_171_1" hidden="1">"A31047"</definedName>
    <definedName name="FDD_171_10" hidden="1">"A34334"</definedName>
    <definedName name="FDD_171_11" hidden="1">"A34699"</definedName>
    <definedName name="FDD_171_12" hidden="1">"A35064"</definedName>
    <definedName name="FDD_171_13" hidden="1">"A35430"</definedName>
    <definedName name="FDD_171_14" hidden="1">"A35795"</definedName>
    <definedName name="FDD_171_2" hidden="1">"A31412"</definedName>
    <definedName name="FDD_171_3" hidden="1">"A31777"</definedName>
    <definedName name="FDD_171_4" hidden="1">"A32142"</definedName>
    <definedName name="FDD_171_5" hidden="1">"A32508"</definedName>
    <definedName name="FDD_171_6" hidden="1">"A32873"</definedName>
    <definedName name="FDD_171_7" hidden="1">"A33238"</definedName>
    <definedName name="FDD_171_8" hidden="1">"A33603"</definedName>
    <definedName name="FDD_171_9" hidden="1">"A33969"</definedName>
    <definedName name="FDD_172_0" hidden="1">"A30681"</definedName>
    <definedName name="FDD_172_1" hidden="1">"A31047"</definedName>
    <definedName name="FDD_172_10" hidden="1">"A34334"</definedName>
    <definedName name="FDD_172_11" hidden="1">"A34699"</definedName>
    <definedName name="FDD_172_12" hidden="1">"A35064"</definedName>
    <definedName name="FDD_172_13" hidden="1">"A35430"</definedName>
    <definedName name="FDD_172_14" hidden="1">"A35795"</definedName>
    <definedName name="FDD_172_2" hidden="1">"A31412"</definedName>
    <definedName name="FDD_172_3" hidden="1">"A31777"</definedName>
    <definedName name="FDD_172_4" hidden="1">"A32142"</definedName>
    <definedName name="FDD_172_5" hidden="1">"A32508"</definedName>
    <definedName name="FDD_172_6" hidden="1">"A32873"</definedName>
    <definedName name="FDD_172_7" hidden="1">"A33238"</definedName>
    <definedName name="FDD_172_8" hidden="1">"A33603"</definedName>
    <definedName name="FDD_172_9" hidden="1">"A33969"</definedName>
    <definedName name="FDD_173_0" hidden="1">"A30681"</definedName>
    <definedName name="FDD_173_1" hidden="1">"A31047"</definedName>
    <definedName name="FDD_173_10" hidden="1">"A34334"</definedName>
    <definedName name="FDD_173_11" hidden="1">"A34699"</definedName>
    <definedName name="FDD_173_12" hidden="1">"A35064"</definedName>
    <definedName name="FDD_173_13" hidden="1">"A35430"</definedName>
    <definedName name="FDD_173_14" hidden="1">"A35795"</definedName>
    <definedName name="FDD_173_2" hidden="1">"A31412"</definedName>
    <definedName name="FDD_173_3" hidden="1">"A31777"</definedName>
    <definedName name="FDD_173_4" hidden="1">"A32142"</definedName>
    <definedName name="FDD_173_5" hidden="1">"A32508"</definedName>
    <definedName name="FDD_173_6" hidden="1">"A32873"</definedName>
    <definedName name="FDD_173_7" hidden="1">"A33238"</definedName>
    <definedName name="FDD_173_8" hidden="1">"A33603"</definedName>
    <definedName name="FDD_173_9" hidden="1">"A33969"</definedName>
    <definedName name="FDD_174_0" hidden="1">"A30681"</definedName>
    <definedName name="FDD_174_1" hidden="1">"A31047"</definedName>
    <definedName name="FDD_174_10" hidden="1">"A34334"</definedName>
    <definedName name="FDD_174_11" hidden="1">"A34699"</definedName>
    <definedName name="FDD_174_12" hidden="1">"A35064"</definedName>
    <definedName name="FDD_174_13" hidden="1">"A35430"</definedName>
    <definedName name="FDD_174_14" hidden="1">"A35795"</definedName>
    <definedName name="FDD_174_2" hidden="1">"A31412"</definedName>
    <definedName name="FDD_174_3" hidden="1">"A31777"</definedName>
    <definedName name="FDD_174_4" hidden="1">"A32142"</definedName>
    <definedName name="FDD_174_5" hidden="1">"A32508"</definedName>
    <definedName name="FDD_174_6" hidden="1">"A32873"</definedName>
    <definedName name="FDD_174_7" hidden="1">"A33238"</definedName>
    <definedName name="FDD_174_8" hidden="1">"A33603"</definedName>
    <definedName name="FDD_174_9" hidden="1">"A33969"</definedName>
    <definedName name="FDD_175_0" hidden="1">"E36160"</definedName>
    <definedName name="FDD_175_1" hidden="1">"E36525"</definedName>
    <definedName name="FDD_175_2" hidden="1">"E36891"</definedName>
    <definedName name="FDD_176_0" hidden="1">"E36160"</definedName>
    <definedName name="FDD_176_1" hidden="1">"E36525"</definedName>
    <definedName name="FDD_176_2" hidden="1">"E36891"</definedName>
    <definedName name="FDD_177_0" hidden="1">"E36160"</definedName>
    <definedName name="FDD_177_1" hidden="1">"E36525"</definedName>
    <definedName name="FDD_177_2" hidden="1">"E36891"</definedName>
    <definedName name="FDD_178_0" hidden="1">"E36160"</definedName>
    <definedName name="FDD_178_1" hidden="1">"E36525"</definedName>
    <definedName name="FDD_178_2" hidden="1">"E36891"</definedName>
    <definedName name="FDD_179_0" hidden="1">"E36160"</definedName>
    <definedName name="FDD_179_1" hidden="1">"E36525"</definedName>
    <definedName name="FDD_179_2" hidden="1">"E36891"</definedName>
    <definedName name="FDD_18_0" hidden="1">"A25569"</definedName>
    <definedName name="FDD_180_0" hidden="1">"E36160"</definedName>
    <definedName name="FDD_180_1" hidden="1">"E36525"</definedName>
    <definedName name="FDD_180_2" hidden="1">"E36891"</definedName>
    <definedName name="FDD_181_0" hidden="1">"E36160"</definedName>
    <definedName name="FDD_181_1" hidden="1">"E36525"</definedName>
    <definedName name="FDD_181_2" hidden="1">"E36891"</definedName>
    <definedName name="FDD_182_0" hidden="1">"E36160"</definedName>
    <definedName name="FDD_182_1" hidden="1">"E36525"</definedName>
    <definedName name="FDD_182_2" hidden="1">"E36891"</definedName>
    <definedName name="FDD_183_0" hidden="1">"E36160"</definedName>
    <definedName name="FDD_183_1" hidden="1">"E36525"</definedName>
    <definedName name="FDD_183_2" hidden="1">"E36891"</definedName>
    <definedName name="FDD_184_0" hidden="1">"E36160"</definedName>
    <definedName name="FDD_184_1" hidden="1">"E36525"</definedName>
    <definedName name="FDD_184_2" hidden="1">"E36891"</definedName>
    <definedName name="FDD_185_0" hidden="1">"E36160"</definedName>
    <definedName name="FDD_185_1" hidden="1">"E36525"</definedName>
    <definedName name="FDD_185_2" hidden="1">"E36891"</definedName>
    <definedName name="FDD_186_0" hidden="1">"E36160"</definedName>
    <definedName name="FDD_186_1" hidden="1">"E36525"</definedName>
    <definedName name="FDD_186_2" hidden="1">"E36891"</definedName>
    <definedName name="FDD_187_0" hidden="1">"E36160"</definedName>
    <definedName name="FDD_187_1" hidden="1">"E36525"</definedName>
    <definedName name="FDD_187_2" hidden="1">"E36891"</definedName>
    <definedName name="FDD_188_0" hidden="1">"A30681"</definedName>
    <definedName name="FDD_188_1" hidden="1">"A31047"</definedName>
    <definedName name="FDD_188_10" hidden="1">"A34334"</definedName>
    <definedName name="FDD_188_11" hidden="1">"A34699"</definedName>
    <definedName name="FDD_188_12" hidden="1">"A35064"</definedName>
    <definedName name="FDD_188_13" hidden="1">"A35430"</definedName>
    <definedName name="FDD_188_14" hidden="1">"A35795"</definedName>
    <definedName name="FDD_188_2" hidden="1">"A31412"</definedName>
    <definedName name="FDD_188_3" hidden="1">"A31777"</definedName>
    <definedName name="FDD_188_4" hidden="1">"A32142"</definedName>
    <definedName name="FDD_188_5" hidden="1">"A32508"</definedName>
    <definedName name="FDD_188_6" hidden="1">"A32873"</definedName>
    <definedName name="FDD_188_7" hidden="1">"A33238"</definedName>
    <definedName name="FDD_188_8" hidden="1">"A33603"</definedName>
    <definedName name="FDD_188_9" hidden="1">"A33969"</definedName>
    <definedName name="FDD_189_0" hidden="1">"A30681"</definedName>
    <definedName name="FDD_189_1" hidden="1">"A31047"</definedName>
    <definedName name="FDD_189_10" hidden="1">"A34334"</definedName>
    <definedName name="FDD_189_11" hidden="1">"A34699"</definedName>
    <definedName name="FDD_189_12" hidden="1">"A35064"</definedName>
    <definedName name="FDD_189_13" hidden="1">"A35430"</definedName>
    <definedName name="FDD_189_14" hidden="1">"A35795"</definedName>
    <definedName name="FDD_189_2" hidden="1">"A31412"</definedName>
    <definedName name="FDD_189_3" hidden="1">"A31777"</definedName>
    <definedName name="FDD_189_4" hidden="1">"A32142"</definedName>
    <definedName name="FDD_189_5" hidden="1">"A32508"</definedName>
    <definedName name="FDD_189_6" hidden="1">"A32873"</definedName>
    <definedName name="FDD_189_7" hidden="1">"A33238"</definedName>
    <definedName name="FDD_189_8" hidden="1">"A33603"</definedName>
    <definedName name="FDD_189_9" hidden="1">"A33969"</definedName>
    <definedName name="FDD_19_0" hidden="1">"A25569"</definedName>
    <definedName name="FDD_190_0" hidden="1">"A30681"</definedName>
    <definedName name="FDD_190_1" hidden="1">"A31047"</definedName>
    <definedName name="FDD_190_10" hidden="1">"A34334"</definedName>
    <definedName name="FDD_190_11" hidden="1">"A34699"</definedName>
    <definedName name="FDD_190_12" hidden="1">"A35064"</definedName>
    <definedName name="FDD_190_13" hidden="1">"A35430"</definedName>
    <definedName name="FDD_190_14" hidden="1">"A35795"</definedName>
    <definedName name="FDD_190_2" hidden="1">"A31412"</definedName>
    <definedName name="FDD_190_3" hidden="1">"A31777"</definedName>
    <definedName name="FDD_190_4" hidden="1">"A32142"</definedName>
    <definedName name="FDD_190_5" hidden="1">"A32508"</definedName>
    <definedName name="FDD_190_6" hidden="1">"A32873"</definedName>
    <definedName name="FDD_190_7" hidden="1">"A33238"</definedName>
    <definedName name="FDD_190_8" hidden="1">"A33603"</definedName>
    <definedName name="FDD_190_9" hidden="1">"A33969"</definedName>
    <definedName name="FDD_191_0" hidden="1">"A30681"</definedName>
    <definedName name="FDD_191_1" hidden="1">"A31047"</definedName>
    <definedName name="FDD_191_10" hidden="1">"A34334"</definedName>
    <definedName name="FDD_191_11" hidden="1">"A34699"</definedName>
    <definedName name="FDD_191_12" hidden="1">"A35064"</definedName>
    <definedName name="FDD_191_13" hidden="1">"A35430"</definedName>
    <definedName name="FDD_191_14" hidden="1">"A35795"</definedName>
    <definedName name="FDD_191_2" hidden="1">"A31412"</definedName>
    <definedName name="FDD_191_3" hidden="1">"A31777"</definedName>
    <definedName name="FDD_191_4" hidden="1">"A32142"</definedName>
    <definedName name="FDD_191_5" hidden="1">"A32508"</definedName>
    <definedName name="FDD_191_6" hidden="1">"A32873"</definedName>
    <definedName name="FDD_191_7" hidden="1">"A33238"</definedName>
    <definedName name="FDD_191_8" hidden="1">"A33603"</definedName>
    <definedName name="FDD_191_9" hidden="1">"A33969"</definedName>
    <definedName name="FDD_192_0" hidden="1">"E36160"</definedName>
    <definedName name="FDD_192_1" hidden="1">"E36525"</definedName>
    <definedName name="FDD_192_2" hidden="1">"E36891"</definedName>
    <definedName name="FDD_193_0" hidden="1">"A30681"</definedName>
    <definedName name="FDD_193_1" hidden="1">"A31047"</definedName>
    <definedName name="FDD_193_10" hidden="1">"A34334"</definedName>
    <definedName name="FDD_193_11" hidden="1">"A34699"</definedName>
    <definedName name="FDD_193_12" hidden="1">"A35064"</definedName>
    <definedName name="FDD_193_13" hidden="1">"A35430"</definedName>
    <definedName name="FDD_193_14" hidden="1">"A35795"</definedName>
    <definedName name="FDD_193_2" hidden="1">"A31412"</definedName>
    <definedName name="FDD_193_3" hidden="1">"A31777"</definedName>
    <definedName name="FDD_193_4" hidden="1">"A32142"</definedName>
    <definedName name="FDD_193_5" hidden="1">"A32508"</definedName>
    <definedName name="FDD_193_6" hidden="1">"A32873"</definedName>
    <definedName name="FDD_193_7" hidden="1">"A33238"</definedName>
    <definedName name="FDD_193_8" hidden="1">"A33603"</definedName>
    <definedName name="FDD_193_9" hidden="1">"A33969"</definedName>
    <definedName name="FDD_194_0" hidden="1">"A30681"</definedName>
    <definedName name="FDD_194_1" hidden="1">"A31047"</definedName>
    <definedName name="FDD_194_10" hidden="1">"A34334"</definedName>
    <definedName name="FDD_194_11" hidden="1">"A34699"</definedName>
    <definedName name="FDD_194_12" hidden="1">"A35064"</definedName>
    <definedName name="FDD_194_13" hidden="1">"A35430"</definedName>
    <definedName name="FDD_194_14" hidden="1">"A35795"</definedName>
    <definedName name="FDD_194_2" hidden="1">"A31412"</definedName>
    <definedName name="FDD_194_3" hidden="1">"A31777"</definedName>
    <definedName name="FDD_194_4" hidden="1">"A32142"</definedName>
    <definedName name="FDD_194_5" hidden="1">"A32508"</definedName>
    <definedName name="FDD_194_6" hidden="1">"A32873"</definedName>
    <definedName name="FDD_194_7" hidden="1">"A33238"</definedName>
    <definedName name="FDD_194_8" hidden="1">"A33603"</definedName>
    <definedName name="FDD_194_9" hidden="1">"A33969"</definedName>
    <definedName name="FDD_195_0" hidden="1">"A30681"</definedName>
    <definedName name="FDD_195_1" hidden="1">"A31047"</definedName>
    <definedName name="FDD_195_10" hidden="1">"A34334"</definedName>
    <definedName name="FDD_195_11" hidden="1">"A34699"</definedName>
    <definedName name="FDD_195_12" hidden="1">"A35064"</definedName>
    <definedName name="FDD_195_13" hidden="1">"A35430"</definedName>
    <definedName name="FDD_195_14" hidden="1">"A35795"</definedName>
    <definedName name="FDD_195_2" hidden="1">"A31412"</definedName>
    <definedName name="FDD_195_3" hidden="1">"A31777"</definedName>
    <definedName name="FDD_195_4" hidden="1">"A32142"</definedName>
    <definedName name="FDD_195_5" hidden="1">"A32508"</definedName>
    <definedName name="FDD_195_6" hidden="1">"A32873"</definedName>
    <definedName name="FDD_195_7" hidden="1">"A33238"</definedName>
    <definedName name="FDD_195_8" hidden="1">"A33603"</definedName>
    <definedName name="FDD_195_9" hidden="1">"A33969"</definedName>
    <definedName name="FDD_196_0" hidden="1">"E36160"</definedName>
    <definedName name="FDD_196_1" hidden="1">"E36525"</definedName>
    <definedName name="FDD_196_2" hidden="1">"E36891"</definedName>
    <definedName name="FDD_197_0" hidden="1">"A30681"</definedName>
    <definedName name="FDD_197_1" hidden="1">"A31047"</definedName>
    <definedName name="FDD_197_10" hidden="1">"A34334"</definedName>
    <definedName name="FDD_197_11" hidden="1">"A34699"</definedName>
    <definedName name="FDD_197_12" hidden="1">"A35064"</definedName>
    <definedName name="FDD_197_13" hidden="1">"A35430"</definedName>
    <definedName name="FDD_197_14" hidden="1">"A35795"</definedName>
    <definedName name="FDD_197_2" hidden="1">"A31412"</definedName>
    <definedName name="FDD_197_3" hidden="1">"A31777"</definedName>
    <definedName name="FDD_197_4" hidden="1">"A32142"</definedName>
    <definedName name="FDD_197_5" hidden="1">"A32508"</definedName>
    <definedName name="FDD_197_6" hidden="1">"A32873"</definedName>
    <definedName name="FDD_197_7" hidden="1">"A33238"</definedName>
    <definedName name="FDD_197_8" hidden="1">"A33603"</definedName>
    <definedName name="FDD_197_9" hidden="1">"A33969"</definedName>
    <definedName name="FDD_198_0" hidden="1">"A30681"</definedName>
    <definedName name="FDD_198_1" hidden="1">"A31047"</definedName>
    <definedName name="FDD_198_10" hidden="1">"U34334"</definedName>
    <definedName name="FDD_198_11" hidden="1">"U34699"</definedName>
    <definedName name="FDD_198_12" hidden="1">"U35064"</definedName>
    <definedName name="FDD_198_13" hidden="1">"U35430"</definedName>
    <definedName name="FDD_198_14" hidden="1">"U35795"</definedName>
    <definedName name="FDD_198_2" hidden="1">"A31412"</definedName>
    <definedName name="FDD_198_3" hidden="1">"U31777"</definedName>
    <definedName name="FDD_198_4" hidden="1">"U32142"</definedName>
    <definedName name="FDD_198_5" hidden="1">"U32508"</definedName>
    <definedName name="FDD_198_6" hidden="1">"U32873"</definedName>
    <definedName name="FDD_198_7" hidden="1">"U33238"</definedName>
    <definedName name="FDD_198_8" hidden="1">"U33603"</definedName>
    <definedName name="FDD_198_9" hidden="1">"U33969"</definedName>
    <definedName name="FDD_199_0" hidden="1">"E36160"</definedName>
    <definedName name="FDD_199_1" hidden="1">"E36525"</definedName>
    <definedName name="FDD_199_2" hidden="1">"E36891"</definedName>
    <definedName name="FDD_2_0" hidden="1">"A25569"</definedName>
    <definedName name="FDD_20_0" hidden="1">"A25569"</definedName>
    <definedName name="FDD_200_0" hidden="1">"E36160"</definedName>
    <definedName name="FDD_200_1" hidden="1">"E36525"</definedName>
    <definedName name="FDD_200_2" hidden="1">"E36891"</definedName>
    <definedName name="FDD_201_0" hidden="1">"A30681"</definedName>
    <definedName name="FDD_201_1" hidden="1">"A31047"</definedName>
    <definedName name="FDD_201_10" hidden="1">"A34334"</definedName>
    <definedName name="FDD_201_11" hidden="1">"A34699"</definedName>
    <definedName name="FDD_201_12" hidden="1">"A35064"</definedName>
    <definedName name="FDD_201_13" hidden="1">"A35430"</definedName>
    <definedName name="FDD_201_14" hidden="1">"A35795"</definedName>
    <definedName name="FDD_201_2" hidden="1">"A31412"</definedName>
    <definedName name="FDD_201_3" hidden="1">"A31777"</definedName>
    <definedName name="FDD_201_4" hidden="1">"A32142"</definedName>
    <definedName name="FDD_201_5" hidden="1">"A32508"</definedName>
    <definedName name="FDD_201_6" hidden="1">"A32873"</definedName>
    <definedName name="FDD_201_7" hidden="1">"A33238"</definedName>
    <definedName name="FDD_201_8" hidden="1">"A33603"</definedName>
    <definedName name="FDD_201_9" hidden="1">"A33969"</definedName>
    <definedName name="FDD_202_0" hidden="1">"A30681"</definedName>
    <definedName name="FDD_202_1" hidden="1">"A31047"</definedName>
    <definedName name="FDD_202_10" hidden="1">"A34334"</definedName>
    <definedName name="FDD_202_11" hidden="1">"A34699"</definedName>
    <definedName name="FDD_202_12" hidden="1">"A35064"</definedName>
    <definedName name="FDD_202_13" hidden="1">"A35430"</definedName>
    <definedName name="FDD_202_14" hidden="1">"A35795"</definedName>
    <definedName name="FDD_202_2" hidden="1">"A31412"</definedName>
    <definedName name="FDD_202_3" hidden="1">"A31777"</definedName>
    <definedName name="FDD_202_4" hidden="1">"A32142"</definedName>
    <definedName name="FDD_202_5" hidden="1">"A32508"</definedName>
    <definedName name="FDD_202_6" hidden="1">"A32873"</definedName>
    <definedName name="FDD_202_7" hidden="1">"A33238"</definedName>
    <definedName name="FDD_202_8" hidden="1">"A33603"</definedName>
    <definedName name="FDD_202_9" hidden="1">"A33969"</definedName>
    <definedName name="FDD_203_0" hidden="1">"E36160"</definedName>
    <definedName name="FDD_203_1" hidden="1">"E36525"</definedName>
    <definedName name="FDD_203_2" hidden="1">"E36891"</definedName>
    <definedName name="FDD_204_0" hidden="1">"A25569"</definedName>
    <definedName name="FDD_205_0" hidden="1">"A25569"</definedName>
    <definedName name="FDD_206_0" hidden="1">"A25569"</definedName>
    <definedName name="FDD_207_0" hidden="1">"A25569"</definedName>
    <definedName name="FDD_208_0" hidden="1">"E36160"</definedName>
    <definedName name="FDD_208_1" hidden="1">"E36525"</definedName>
    <definedName name="FDD_208_2" hidden="1">"E36891"</definedName>
    <definedName name="FDD_209_0" hidden="1">"A25569"</definedName>
    <definedName name="FDD_21_0" hidden="1">"A25569"</definedName>
    <definedName name="FDD_210_0" hidden="1">"A25569"</definedName>
    <definedName name="FDD_211_0" hidden="1">"A25569"</definedName>
    <definedName name="FDD_212_0" hidden="1">"A25569"</definedName>
    <definedName name="FDD_213_0" hidden="1">"E36160"</definedName>
    <definedName name="FDD_213_1" hidden="1">"E36525"</definedName>
    <definedName name="FDD_213_2" hidden="1">"E36891"</definedName>
    <definedName name="FDD_214_0" hidden="1">"A25569"</definedName>
    <definedName name="FDD_215_0" hidden="1">"A25569"</definedName>
    <definedName name="FDD_216_0" hidden="1">"A25569"</definedName>
    <definedName name="FDD_217_0" hidden="1">"A25569"</definedName>
    <definedName name="FDD_218_0" hidden="1">"E36160"</definedName>
    <definedName name="FDD_218_1" hidden="1">"E36525"</definedName>
    <definedName name="FDD_218_2" hidden="1">"E36891"</definedName>
    <definedName name="FDD_219_0" hidden="1">"U25569"</definedName>
    <definedName name="FDD_22_0" hidden="1">"A25569"</definedName>
    <definedName name="FDD_220_0" hidden="1">"U25569"</definedName>
    <definedName name="FDD_221_0" hidden="1">"U25569"</definedName>
    <definedName name="FDD_222_0" hidden="1">"U25569"</definedName>
    <definedName name="FDD_223_0" hidden="1">"E36160"</definedName>
    <definedName name="FDD_223_1" hidden="1">"E36525"</definedName>
    <definedName name="FDD_223_2" hidden="1">"E36891"</definedName>
    <definedName name="FDD_224_0" hidden="1">"A25569"</definedName>
    <definedName name="FDD_225_0" hidden="1">"A25569"</definedName>
    <definedName name="FDD_226_0" hidden="1">"A25569"</definedName>
    <definedName name="FDD_227_0" hidden="1">"A25569"</definedName>
    <definedName name="FDD_228_0" hidden="1">"E36160"</definedName>
    <definedName name="FDD_228_1" hidden="1">"E36525"</definedName>
    <definedName name="FDD_228_2" hidden="1">"E36891"</definedName>
    <definedName name="FDD_229_0" hidden="1">"A25569"</definedName>
    <definedName name="FDD_23_0" hidden="1">"A25569"</definedName>
    <definedName name="FDD_230_0" hidden="1">"A25569"</definedName>
    <definedName name="FDD_231_0" hidden="1">"A25569"</definedName>
    <definedName name="FDD_232_0" hidden="1">"A25569"</definedName>
    <definedName name="FDD_233_0" hidden="1">"A25569"</definedName>
    <definedName name="FDD_234_0" hidden="1">"A25569"</definedName>
    <definedName name="FDD_235_0" hidden="1">"A25569"</definedName>
    <definedName name="FDD_236_0" hidden="1">"A25569"</definedName>
    <definedName name="FDD_237_0" hidden="1">"A25569"</definedName>
    <definedName name="FDD_238_0" hidden="1">"A30681"</definedName>
    <definedName name="FDD_238_1" hidden="1">"A31047"</definedName>
    <definedName name="FDD_238_10" hidden="1">"A34334"</definedName>
    <definedName name="FDD_238_11" hidden="1">"A34699"</definedName>
    <definedName name="FDD_238_12" hidden="1">"A35064"</definedName>
    <definedName name="FDD_238_13" hidden="1">"A35430"</definedName>
    <definedName name="FDD_238_14" hidden="1">"A35795"</definedName>
    <definedName name="FDD_238_2" hidden="1">"A31412"</definedName>
    <definedName name="FDD_238_3" hidden="1">"A31777"</definedName>
    <definedName name="FDD_238_4" hidden="1">"A32142"</definedName>
    <definedName name="FDD_238_5" hidden="1">"A32508"</definedName>
    <definedName name="FDD_238_6" hidden="1">"A32873"</definedName>
    <definedName name="FDD_238_7" hidden="1">"A33238"</definedName>
    <definedName name="FDD_238_8" hidden="1">"A33603"</definedName>
    <definedName name="FDD_238_9" hidden="1">"A33969"</definedName>
    <definedName name="FDD_24_0" hidden="1">"A25569"</definedName>
    <definedName name="FDD_243_0" hidden="1">"E36160"</definedName>
    <definedName name="FDD_243_1" hidden="1">"E36525"</definedName>
    <definedName name="FDD_243_2" hidden="1">"E36891"</definedName>
    <definedName name="FDD_244_0" hidden="1">"A25569"</definedName>
    <definedName name="FDD_245_0" hidden="1">"A25569"</definedName>
    <definedName name="FDD_246_0" hidden="1">"A25569"</definedName>
    <definedName name="FDD_247_0" hidden="1">"A25569"</definedName>
    <definedName name="FDD_248_0" hidden="1">"E36160"</definedName>
    <definedName name="FDD_248_1" hidden="1">"E36525"</definedName>
    <definedName name="FDD_248_2" hidden="1">"E36891"</definedName>
    <definedName name="FDD_249_0" hidden="1">"A25569"</definedName>
    <definedName name="FDD_25_0" hidden="1">"A25569"</definedName>
    <definedName name="FDD_250_0" hidden="1">"A25569"</definedName>
    <definedName name="FDD_251_0" hidden="1">"A25569"</definedName>
    <definedName name="FDD_252_0" hidden="1">"A25569"</definedName>
    <definedName name="FDD_253_0" hidden="1">"E36160"</definedName>
    <definedName name="FDD_253_1" hidden="1">"E36525"</definedName>
    <definedName name="FDD_253_2" hidden="1">"E36891"</definedName>
    <definedName name="FDD_254_0" hidden="1">"E36160"</definedName>
    <definedName name="FDD_254_1" hidden="1">"E36525"</definedName>
    <definedName name="FDD_254_2" hidden="1">"E36891"</definedName>
    <definedName name="FDD_255_0" hidden="1">"E36160"</definedName>
    <definedName name="FDD_255_1" hidden="1">"E36525"</definedName>
    <definedName name="FDD_255_2" hidden="1">"E36891"</definedName>
    <definedName name="FDD_256_0" hidden="1">"U36160"</definedName>
    <definedName name="FDD_256_1" hidden="1">"U36525"</definedName>
    <definedName name="FDD_256_2" hidden="1">"U36891"</definedName>
    <definedName name="FDD_257_0" hidden="1">"E36160"</definedName>
    <definedName name="FDD_257_1" hidden="1">"E36525"</definedName>
    <definedName name="FDD_257_2" hidden="1">"E36891"</definedName>
    <definedName name="FDD_258_0" hidden="1">"E36160"</definedName>
    <definedName name="FDD_258_1" hidden="1">"E36525"</definedName>
    <definedName name="FDD_258_2" hidden="1">"E36891"</definedName>
    <definedName name="FDD_259_0" hidden="1">"E36160"</definedName>
    <definedName name="FDD_259_1" hidden="1">"E36525"</definedName>
    <definedName name="FDD_259_2" hidden="1">"E36891"</definedName>
    <definedName name="FDD_26_0" hidden="1">"A25569"</definedName>
    <definedName name="FDD_260_0" hidden="1">"E36160"</definedName>
    <definedName name="FDD_260_1" hidden="1">"E36525"</definedName>
    <definedName name="FDD_260_2" hidden="1">"E36891"</definedName>
    <definedName name="FDD_261_0" hidden="1">"E36160"</definedName>
    <definedName name="FDD_261_1" hidden="1">"E36525"</definedName>
    <definedName name="FDD_261_2" hidden="1">"E36891"</definedName>
    <definedName name="FDD_264_0" hidden="1">"E36160"</definedName>
    <definedName name="FDD_264_1" hidden="1">"E36525"</definedName>
    <definedName name="FDD_264_2" hidden="1">"E36891"</definedName>
    <definedName name="FDD_265_0" hidden="1">"A25569"</definedName>
    <definedName name="FDD_266_0" hidden="1">"A25569"</definedName>
    <definedName name="FDD_267_0" hidden="1">"A25569"</definedName>
    <definedName name="FDD_268_0" hidden="1">"A25569"</definedName>
    <definedName name="FDD_269_0" hidden="1">"E36160"</definedName>
    <definedName name="FDD_269_1" hidden="1">"E36525"</definedName>
    <definedName name="FDD_269_2" hidden="1">"E36891"</definedName>
    <definedName name="FDD_27_0" hidden="1">"A25569"</definedName>
    <definedName name="FDD_270_0" hidden="1">"A25569"</definedName>
    <definedName name="FDD_271_0" hidden="1">"A25569"</definedName>
    <definedName name="FDD_272_0" hidden="1">"A25569"</definedName>
    <definedName name="FDD_273_0" hidden="1">"A25569"</definedName>
    <definedName name="FDD_274_0" hidden="1">"E36160"</definedName>
    <definedName name="FDD_274_1" hidden="1">"E36525"</definedName>
    <definedName name="FDD_274_2" hidden="1">"E36891"</definedName>
    <definedName name="FDD_275_0" hidden="1">"A25569"</definedName>
    <definedName name="FDD_276_0" hidden="1">"A25569"</definedName>
    <definedName name="FDD_277_0" hidden="1">"A25569"</definedName>
    <definedName name="FDD_278_0" hidden="1">"A25569"</definedName>
    <definedName name="FDD_279_0" hidden="1">"E36160"</definedName>
    <definedName name="FDD_279_1" hidden="1">"E36525"</definedName>
    <definedName name="FDD_279_2" hidden="1">"E36891"</definedName>
    <definedName name="FDD_28_0" hidden="1">"A25569"</definedName>
    <definedName name="FDD_280_0" hidden="1">"E36160"</definedName>
    <definedName name="FDD_280_1" hidden="1">"E36525"</definedName>
    <definedName name="FDD_280_2" hidden="1">"E36891"</definedName>
    <definedName name="FDD_281_0" hidden="1">"E36160"</definedName>
    <definedName name="FDD_281_1" hidden="1">"E36525"</definedName>
    <definedName name="FDD_281_2" hidden="1">"E36891"</definedName>
    <definedName name="FDD_282_0" hidden="1">"E36160"</definedName>
    <definedName name="FDD_282_1" hidden="1">"E36525"</definedName>
    <definedName name="FDD_282_2" hidden="1">"E36891"</definedName>
    <definedName name="FDD_283_0" hidden="1">"E36160"</definedName>
    <definedName name="FDD_283_1" hidden="1">"E36525"</definedName>
    <definedName name="FDD_283_2" hidden="1">"E36891"</definedName>
    <definedName name="FDD_284_0" hidden="1">"A30681"</definedName>
    <definedName name="FDD_284_1" hidden="1">"A31047"</definedName>
    <definedName name="FDD_284_10" hidden="1">"A34334"</definedName>
    <definedName name="FDD_284_11" hidden="1">"A34699"</definedName>
    <definedName name="FDD_284_12" hidden="1">"A35064"</definedName>
    <definedName name="FDD_284_13" hidden="1">"A35430"</definedName>
    <definedName name="FDD_284_14" hidden="1">"A35795"</definedName>
    <definedName name="FDD_284_2" hidden="1">"A31412"</definedName>
    <definedName name="FDD_284_3" hidden="1">"A31777"</definedName>
    <definedName name="FDD_284_4" hidden="1">"A32142"</definedName>
    <definedName name="FDD_284_5" hidden="1">"A32508"</definedName>
    <definedName name="FDD_284_6" hidden="1">"A32873"</definedName>
    <definedName name="FDD_284_7" hidden="1">"A33238"</definedName>
    <definedName name="FDD_284_8" hidden="1">"A33603"</definedName>
    <definedName name="FDD_284_9" hidden="1">"A33969"</definedName>
    <definedName name="FDD_285_0" hidden="1">"A35795"</definedName>
    <definedName name="FDD_285_1" hidden="1">"E36160"</definedName>
    <definedName name="FDD_285_10" hidden="1">"E39447"</definedName>
    <definedName name="FDD_285_11" hidden="1">"E39813"</definedName>
    <definedName name="FDD_285_12" hidden="1">"E40178"</definedName>
    <definedName name="FDD_285_13" hidden="1">"E40543"</definedName>
    <definedName name="FDD_285_14" hidden="1">"E40908"</definedName>
    <definedName name="FDD_285_15" hidden="1">"E41274"</definedName>
    <definedName name="FDD_285_16" hidden="1">"E41639"</definedName>
    <definedName name="FDD_285_17" hidden="1">"E42004"</definedName>
    <definedName name="FDD_285_18" hidden="1">"E42369"</definedName>
    <definedName name="FDD_285_19" hidden="1">"E42735"</definedName>
    <definedName name="FDD_285_2" hidden="1">"E36525"</definedName>
    <definedName name="FDD_285_20" hidden="1">"E43100"</definedName>
    <definedName name="FDD_285_21" hidden="1">"E43465"</definedName>
    <definedName name="FDD_285_22" hidden="1">"E43830"</definedName>
    <definedName name="FDD_285_23" hidden="1">"E44196"</definedName>
    <definedName name="FDD_285_24" hidden="1">"E44561"</definedName>
    <definedName name="FDD_285_25" hidden="1">"E44926"</definedName>
    <definedName name="FDD_285_3" hidden="1">"E36891"</definedName>
    <definedName name="FDD_285_4" hidden="1">"E37256"</definedName>
    <definedName name="FDD_285_5" hidden="1">"E37621"</definedName>
    <definedName name="FDD_285_6" hidden="1">"E37986"</definedName>
    <definedName name="FDD_285_7" hidden="1">"E38352"</definedName>
    <definedName name="FDD_285_8" hidden="1">"E38717"</definedName>
    <definedName name="FDD_285_9" hidden="1">"E39082"</definedName>
    <definedName name="FDD_286_0" hidden="1">"E36160"</definedName>
    <definedName name="FDD_286_1" hidden="1">"E36525"</definedName>
    <definedName name="FDD_286_10" hidden="1">"E39813"</definedName>
    <definedName name="FDD_286_11" hidden="1">"E40178"</definedName>
    <definedName name="FDD_286_12" hidden="1">"E40543"</definedName>
    <definedName name="FDD_286_13" hidden="1">"E40908"</definedName>
    <definedName name="FDD_286_14" hidden="1">"E41274"</definedName>
    <definedName name="FDD_286_15" hidden="1">"E41639"</definedName>
    <definedName name="FDD_286_16" hidden="1">"E42004"</definedName>
    <definedName name="FDD_286_17" hidden="1">"E42369"</definedName>
    <definedName name="FDD_286_18" hidden="1">"E42735"</definedName>
    <definedName name="FDD_286_19" hidden="1">"E43100"</definedName>
    <definedName name="FDD_286_2" hidden="1">"E36891"</definedName>
    <definedName name="FDD_286_20" hidden="1">"E43465"</definedName>
    <definedName name="FDD_286_21" hidden="1">"E43830"</definedName>
    <definedName name="FDD_286_22" hidden="1">"E44196"</definedName>
    <definedName name="FDD_286_23" hidden="1">"E44561"</definedName>
    <definedName name="FDD_286_24" hidden="1">"E44926"</definedName>
    <definedName name="FDD_286_3" hidden="1">"E37256"</definedName>
    <definedName name="FDD_286_4" hidden="1">"E37621"</definedName>
    <definedName name="FDD_286_5" hidden="1">"E37986"</definedName>
    <definedName name="FDD_286_6" hidden="1">"E38352"</definedName>
    <definedName name="FDD_286_7" hidden="1">"E38717"</definedName>
    <definedName name="FDD_286_8" hidden="1">"E39082"</definedName>
    <definedName name="FDD_286_9" hidden="1">"E39447"</definedName>
    <definedName name="FDD_287_0" hidden="1">"A25569"</definedName>
    <definedName name="FDD_288_0" hidden="1">"A25569"</definedName>
    <definedName name="FDD_289_0" hidden="1">"A36890"</definedName>
    <definedName name="FDD_29_0" hidden="1">"A25569"</definedName>
    <definedName name="FDD_290_0" hidden="1">"A36890"</definedName>
    <definedName name="FDD_291_0" hidden="1">"A25569"</definedName>
    <definedName name="FDD_295_0" hidden="1">"U25569"</definedName>
    <definedName name="FDD_296_0" hidden="1">"A25569"</definedName>
    <definedName name="FDD_297_0" hidden="1">"A25569"</definedName>
    <definedName name="FDD_298_0" hidden="1">"A25569"</definedName>
    <definedName name="FDD_299_0" hidden="1">"A25569"</definedName>
    <definedName name="FDD_3_0" hidden="1">"A25569"</definedName>
    <definedName name="FDD_30_0" hidden="1">"A25569"</definedName>
    <definedName name="FDD_300_0" hidden="1">"U25569"</definedName>
    <definedName name="FDD_301_0" hidden="1">"U35795"</definedName>
    <definedName name="FDD_301_1" hidden="1">"U36160"</definedName>
    <definedName name="FDD_301_2" hidden="1">"U36525"</definedName>
    <definedName name="FDD_302_0" hidden="1">"U35795"</definedName>
    <definedName name="FDD_302_1" hidden="1">"U36160"</definedName>
    <definedName name="FDD_302_2" hidden="1">"U36525"</definedName>
    <definedName name="FDD_303_0" hidden="1">"U35795"</definedName>
    <definedName name="FDD_303_1" hidden="1">"U36160"</definedName>
    <definedName name="FDD_303_2" hidden="1">"U36525"</definedName>
    <definedName name="FDD_304_0" hidden="1">"U35795"</definedName>
    <definedName name="FDD_304_1" hidden="1">"U36160"</definedName>
    <definedName name="FDD_304_2" hidden="1">"U36525"</definedName>
    <definedName name="FDD_305_0" hidden="1">"A30681"</definedName>
    <definedName name="FDD_305_1" hidden="1">"A31047"</definedName>
    <definedName name="FDD_305_10" hidden="1">"U34334"</definedName>
    <definedName name="FDD_305_11" hidden="1">"U34699"</definedName>
    <definedName name="FDD_305_12" hidden="1">"U35064"</definedName>
    <definedName name="FDD_305_13" hidden="1">"U35430"</definedName>
    <definedName name="FDD_305_14" hidden="1">"U35795"</definedName>
    <definedName name="FDD_305_2" hidden="1">"A31412"</definedName>
    <definedName name="FDD_305_3" hidden="1">"U31777"</definedName>
    <definedName name="FDD_305_4" hidden="1">"U32142"</definedName>
    <definedName name="FDD_305_5" hidden="1">"U32508"</definedName>
    <definedName name="FDD_305_6" hidden="1">"U32873"</definedName>
    <definedName name="FDD_305_7" hidden="1">"U33238"</definedName>
    <definedName name="FDD_305_8" hidden="1">"U33603"</definedName>
    <definedName name="FDD_305_9" hidden="1">"U33969"</definedName>
    <definedName name="FDD_306_0" hidden="1">"U35795"</definedName>
    <definedName name="FDD_306_1" hidden="1">"E36160"</definedName>
    <definedName name="FDD_306_2" hidden="1">"U36525"</definedName>
    <definedName name="FDD_307_0" hidden="1">"A35795"</definedName>
    <definedName name="FDD_307_1" hidden="1">"U36160"</definedName>
    <definedName name="FDD_307_2" hidden="1">"U36525"</definedName>
    <definedName name="FDD_31_0" hidden="1">"A25569"</definedName>
    <definedName name="FDD_32_0" hidden="1">"A25569"</definedName>
    <definedName name="FDD_33_0" hidden="1">"A25569"</definedName>
    <definedName name="FDD_34_0" hidden="1">"A25569"</definedName>
    <definedName name="FDD_35_0" hidden="1">"A25569"</definedName>
    <definedName name="FDD_36_0" hidden="1">"A25569"</definedName>
    <definedName name="FDD_37_0" hidden="1">"A25569"</definedName>
    <definedName name="FDD_38_0" hidden="1">"A25569"</definedName>
    <definedName name="FDD_39_0" hidden="1">"A25569"</definedName>
    <definedName name="FDD_4_0" hidden="1">"A25569"</definedName>
    <definedName name="FDD_40_0" hidden="1">"A25569"</definedName>
    <definedName name="FDD_41_0" hidden="1">"U25569"</definedName>
    <definedName name="FDD_42_0" hidden="1">"U25569"</definedName>
    <definedName name="FDD_43_0" hidden="1">"A25569"</definedName>
    <definedName name="FDD_44_0" hidden="1">"A30681"</definedName>
    <definedName name="FDD_44_1" hidden="1">"A31047"</definedName>
    <definedName name="FDD_44_10" hidden="1">"A34334"</definedName>
    <definedName name="FDD_44_11" hidden="1">"A34699"</definedName>
    <definedName name="FDD_44_12" hidden="1">"A35064"</definedName>
    <definedName name="FDD_44_13" hidden="1">"A35430"</definedName>
    <definedName name="FDD_44_14" hidden="1">"A35795"</definedName>
    <definedName name="FDD_44_2" hidden="1">"A31412"</definedName>
    <definedName name="FDD_44_3" hidden="1">"A31777"</definedName>
    <definedName name="FDD_44_4" hidden="1">"A32142"</definedName>
    <definedName name="FDD_44_5" hidden="1">"A32508"</definedName>
    <definedName name="FDD_44_6" hidden="1">"A32873"</definedName>
    <definedName name="FDD_44_7" hidden="1">"A33238"</definedName>
    <definedName name="FDD_44_8" hidden="1">"A33603"</definedName>
    <definedName name="FDD_44_9" hidden="1">"A33969"</definedName>
    <definedName name="FDD_45_0" hidden="1">"A30681"</definedName>
    <definedName name="FDD_45_1" hidden="1">"A31047"</definedName>
    <definedName name="FDD_45_10" hidden="1">"A34334"</definedName>
    <definedName name="FDD_45_11" hidden="1">"A34699"</definedName>
    <definedName name="FDD_45_12" hidden="1">"A35064"</definedName>
    <definedName name="FDD_45_13" hidden="1">"A35430"</definedName>
    <definedName name="FDD_45_14" hidden="1">"A35795"</definedName>
    <definedName name="FDD_45_2" hidden="1">"A31412"</definedName>
    <definedName name="FDD_45_3" hidden="1">"A31777"</definedName>
    <definedName name="FDD_45_4" hidden="1">"A32142"</definedName>
    <definedName name="FDD_45_5" hidden="1">"A32508"</definedName>
    <definedName name="FDD_45_6" hidden="1">"A32873"</definedName>
    <definedName name="FDD_45_7" hidden="1">"A33238"</definedName>
    <definedName name="FDD_45_8" hidden="1">"A33603"</definedName>
    <definedName name="FDD_45_9" hidden="1">"A33969"</definedName>
    <definedName name="FDD_46_0" hidden="1">"A30681"</definedName>
    <definedName name="FDD_46_1" hidden="1">"A31047"</definedName>
    <definedName name="FDD_46_10" hidden="1">"A34334"</definedName>
    <definedName name="FDD_46_11" hidden="1">"A34699"</definedName>
    <definedName name="FDD_46_12" hidden="1">"A35064"</definedName>
    <definedName name="FDD_46_13" hidden="1">"A35430"</definedName>
    <definedName name="FDD_46_14" hidden="1">"A35795"</definedName>
    <definedName name="FDD_46_2" hidden="1">"A31412"</definedName>
    <definedName name="FDD_46_3" hidden="1">"A31777"</definedName>
    <definedName name="FDD_46_4" hidden="1">"A32142"</definedName>
    <definedName name="FDD_46_5" hidden="1">"A32508"</definedName>
    <definedName name="FDD_46_6" hidden="1">"A32873"</definedName>
    <definedName name="FDD_46_7" hidden="1">"A33238"</definedName>
    <definedName name="FDD_46_8" hidden="1">"A33603"</definedName>
    <definedName name="FDD_46_9" hidden="1">"A33969"</definedName>
    <definedName name="FDD_47_0" hidden="1">"A30681"</definedName>
    <definedName name="FDD_47_1" hidden="1">"A31047"</definedName>
    <definedName name="FDD_47_10" hidden="1">"A34334"</definedName>
    <definedName name="FDD_47_11" hidden="1">"A34699"</definedName>
    <definedName name="FDD_47_12" hidden="1">"A35064"</definedName>
    <definedName name="FDD_47_13" hidden="1">"A35430"</definedName>
    <definedName name="FDD_47_14" hidden="1">"A35795"</definedName>
    <definedName name="FDD_47_2" hidden="1">"A31412"</definedName>
    <definedName name="FDD_47_3" hidden="1">"A31777"</definedName>
    <definedName name="FDD_47_4" hidden="1">"A32142"</definedName>
    <definedName name="FDD_47_5" hidden="1">"A32508"</definedName>
    <definedName name="FDD_47_6" hidden="1">"A32873"</definedName>
    <definedName name="FDD_47_7" hidden="1">"A33238"</definedName>
    <definedName name="FDD_47_8" hidden="1">"A33603"</definedName>
    <definedName name="FDD_47_9" hidden="1">"A33969"</definedName>
    <definedName name="FDD_48_0" hidden="1">"A30681"</definedName>
    <definedName name="FDD_48_1" hidden="1">"A31047"</definedName>
    <definedName name="FDD_48_10" hidden="1">"A34334"</definedName>
    <definedName name="FDD_48_11" hidden="1">"A34699"</definedName>
    <definedName name="FDD_48_12" hidden="1">"A35064"</definedName>
    <definedName name="FDD_48_13" hidden="1">"A35430"</definedName>
    <definedName name="FDD_48_14" hidden="1">"A35795"</definedName>
    <definedName name="FDD_48_2" hidden="1">"A31412"</definedName>
    <definedName name="FDD_48_3" hidden="1">"A31777"</definedName>
    <definedName name="FDD_48_4" hidden="1">"A32142"</definedName>
    <definedName name="FDD_48_5" hidden="1">"A32508"</definedName>
    <definedName name="FDD_48_6" hidden="1">"A32873"</definedName>
    <definedName name="FDD_48_7" hidden="1">"A33238"</definedName>
    <definedName name="FDD_48_8" hidden="1">"A33603"</definedName>
    <definedName name="FDD_48_9" hidden="1">"A33969"</definedName>
    <definedName name="FDD_49_0" hidden="1">"A30681"</definedName>
    <definedName name="FDD_49_1" hidden="1">"A31047"</definedName>
    <definedName name="FDD_49_10" hidden="1">"A34334"</definedName>
    <definedName name="FDD_49_11" hidden="1">"A34699"</definedName>
    <definedName name="FDD_49_12" hidden="1">"A35064"</definedName>
    <definedName name="FDD_49_13" hidden="1">"A35430"</definedName>
    <definedName name="FDD_49_14" hidden="1">"A35795"</definedName>
    <definedName name="FDD_49_2" hidden="1">"A31412"</definedName>
    <definedName name="FDD_49_3" hidden="1">"A31777"</definedName>
    <definedName name="FDD_49_4" hidden="1">"A32142"</definedName>
    <definedName name="FDD_49_5" hidden="1">"A32508"</definedName>
    <definedName name="FDD_49_6" hidden="1">"A32873"</definedName>
    <definedName name="FDD_49_7" hidden="1">"A33238"</definedName>
    <definedName name="FDD_49_8" hidden="1">"A33603"</definedName>
    <definedName name="FDD_49_9" hidden="1">"A33969"</definedName>
    <definedName name="FDD_5_0" hidden="1">"A25569"</definedName>
    <definedName name="FDD_50_0" hidden="1">"A30681"</definedName>
    <definedName name="FDD_50_1" hidden="1">"A31047"</definedName>
    <definedName name="FDD_50_10" hidden="1">"A34334"</definedName>
    <definedName name="FDD_50_11" hidden="1">"A34699"</definedName>
    <definedName name="FDD_50_12" hidden="1">"A35064"</definedName>
    <definedName name="FDD_50_13" hidden="1">"A35430"</definedName>
    <definedName name="FDD_50_14" hidden="1">"A35795"</definedName>
    <definedName name="FDD_50_2" hidden="1">"A31412"</definedName>
    <definedName name="FDD_50_3" hidden="1">"A31777"</definedName>
    <definedName name="FDD_50_4" hidden="1">"A32142"</definedName>
    <definedName name="FDD_50_5" hidden="1">"A32508"</definedName>
    <definedName name="FDD_50_6" hidden="1">"A32873"</definedName>
    <definedName name="FDD_50_7" hidden="1">"A33238"</definedName>
    <definedName name="FDD_50_8" hidden="1">"A33603"</definedName>
    <definedName name="FDD_50_9" hidden="1">"A33969"</definedName>
    <definedName name="FDD_51_0" hidden="1">"A30681"</definedName>
    <definedName name="FDD_51_1" hidden="1">"A31047"</definedName>
    <definedName name="FDD_51_10" hidden="1">"A34334"</definedName>
    <definedName name="FDD_51_11" hidden="1">"A34699"</definedName>
    <definedName name="FDD_51_12" hidden="1">"A35064"</definedName>
    <definedName name="FDD_51_13" hidden="1">"A35430"</definedName>
    <definedName name="FDD_51_14" hidden="1">"A35795"</definedName>
    <definedName name="FDD_51_2" hidden="1">"A31412"</definedName>
    <definedName name="FDD_51_3" hidden="1">"A31777"</definedName>
    <definedName name="FDD_51_4" hidden="1">"A32142"</definedName>
    <definedName name="FDD_51_5" hidden="1">"A32508"</definedName>
    <definedName name="FDD_51_6" hidden="1">"A32873"</definedName>
    <definedName name="FDD_51_7" hidden="1">"A33238"</definedName>
    <definedName name="FDD_51_8" hidden="1">"A33603"</definedName>
    <definedName name="FDD_51_9" hidden="1">"A33969"</definedName>
    <definedName name="FDD_52_0" hidden="1">"A30681"</definedName>
    <definedName name="FDD_52_1" hidden="1">"A31047"</definedName>
    <definedName name="FDD_52_10" hidden="1">"A34334"</definedName>
    <definedName name="FDD_52_11" hidden="1">"A34699"</definedName>
    <definedName name="FDD_52_12" hidden="1">"A35064"</definedName>
    <definedName name="FDD_52_13" hidden="1">"A35430"</definedName>
    <definedName name="FDD_52_14" hidden="1">"A35795"</definedName>
    <definedName name="FDD_52_2" hidden="1">"A31412"</definedName>
    <definedName name="FDD_52_3" hidden="1">"A31777"</definedName>
    <definedName name="FDD_52_4" hidden="1">"A32142"</definedName>
    <definedName name="FDD_52_5" hidden="1">"A32508"</definedName>
    <definedName name="FDD_52_6" hidden="1">"A32873"</definedName>
    <definedName name="FDD_52_7" hidden="1">"A33238"</definedName>
    <definedName name="FDD_52_8" hidden="1">"A33603"</definedName>
    <definedName name="FDD_52_9" hidden="1">"A33969"</definedName>
    <definedName name="FDD_53_0" hidden="1">"U30681"</definedName>
    <definedName name="FDD_53_1" hidden="1">"A31047"</definedName>
    <definedName name="FDD_53_10" hidden="1">"A34334"</definedName>
    <definedName name="FDD_53_11" hidden="1">"A34699"</definedName>
    <definedName name="FDD_53_12" hidden="1">"A35064"</definedName>
    <definedName name="FDD_53_13" hidden="1">"A35430"</definedName>
    <definedName name="FDD_53_14" hidden="1">"A35795"</definedName>
    <definedName name="FDD_53_2" hidden="1">"A31412"</definedName>
    <definedName name="FDD_53_3" hidden="1">"A31777"</definedName>
    <definedName name="FDD_53_4" hidden="1">"A32142"</definedName>
    <definedName name="FDD_53_5" hidden="1">"A32508"</definedName>
    <definedName name="FDD_53_6" hidden="1">"A32873"</definedName>
    <definedName name="FDD_53_7" hidden="1">"A33238"</definedName>
    <definedName name="FDD_53_8" hidden="1">"A33603"</definedName>
    <definedName name="FDD_53_9" hidden="1">"A33969"</definedName>
    <definedName name="FDD_54_0" hidden="1">"A30681"</definedName>
    <definedName name="FDD_54_1" hidden="1">"A31047"</definedName>
    <definedName name="FDD_54_10" hidden="1">"A34334"</definedName>
    <definedName name="FDD_54_11" hidden="1">"A34699"</definedName>
    <definedName name="FDD_54_12" hidden="1">"A35064"</definedName>
    <definedName name="FDD_54_13" hidden="1">"A35430"</definedName>
    <definedName name="FDD_54_14" hidden="1">"A35795"</definedName>
    <definedName name="FDD_54_2" hidden="1">"A31412"</definedName>
    <definedName name="FDD_54_3" hidden="1">"A31777"</definedName>
    <definedName name="FDD_54_4" hidden="1">"A32142"</definedName>
    <definedName name="FDD_54_5" hidden="1">"A32508"</definedName>
    <definedName name="FDD_54_6" hidden="1">"A32873"</definedName>
    <definedName name="FDD_54_7" hidden="1">"A33238"</definedName>
    <definedName name="FDD_54_8" hidden="1">"A33603"</definedName>
    <definedName name="FDD_54_9" hidden="1">"A33969"</definedName>
    <definedName name="FDD_55_0" hidden="1">"A30681"</definedName>
    <definedName name="FDD_55_1" hidden="1">"A31047"</definedName>
    <definedName name="FDD_55_10" hidden="1">"A34334"</definedName>
    <definedName name="FDD_55_11" hidden="1">"A34699"</definedName>
    <definedName name="FDD_55_12" hidden="1">"A35064"</definedName>
    <definedName name="FDD_55_13" hidden="1">"A35430"</definedName>
    <definedName name="FDD_55_14" hidden="1">"A35795"</definedName>
    <definedName name="FDD_55_2" hidden="1">"A31412"</definedName>
    <definedName name="FDD_55_3" hidden="1">"A31777"</definedName>
    <definedName name="FDD_55_4" hidden="1">"A32142"</definedName>
    <definedName name="FDD_55_5" hidden="1">"A32508"</definedName>
    <definedName name="FDD_55_6" hidden="1">"A32873"</definedName>
    <definedName name="FDD_55_7" hidden="1">"A33238"</definedName>
    <definedName name="FDD_55_8" hidden="1">"A33603"</definedName>
    <definedName name="FDD_55_9" hidden="1">"A33969"</definedName>
    <definedName name="FDD_56_0" hidden="1">"A30681"</definedName>
    <definedName name="FDD_56_1" hidden="1">"A31047"</definedName>
    <definedName name="FDD_56_10" hidden="1">"A34334"</definedName>
    <definedName name="FDD_56_11" hidden="1">"A34699"</definedName>
    <definedName name="FDD_56_12" hidden="1">"A35064"</definedName>
    <definedName name="FDD_56_13" hidden="1">"A35430"</definedName>
    <definedName name="FDD_56_14" hidden="1">"A35795"</definedName>
    <definedName name="FDD_56_2" hidden="1">"A31412"</definedName>
    <definedName name="FDD_56_3" hidden="1">"A31777"</definedName>
    <definedName name="FDD_56_4" hidden="1">"A32142"</definedName>
    <definedName name="FDD_56_5" hidden="1">"A32508"</definedName>
    <definedName name="FDD_56_6" hidden="1">"A32873"</definedName>
    <definedName name="FDD_56_7" hidden="1">"A33238"</definedName>
    <definedName name="FDD_56_8" hidden="1">"A33603"</definedName>
    <definedName name="FDD_56_9" hidden="1">"A33969"</definedName>
    <definedName name="FDD_57_0" hidden="1">"A30681"</definedName>
    <definedName name="FDD_57_1" hidden="1">"A31047"</definedName>
    <definedName name="FDD_57_10" hidden="1">"A34334"</definedName>
    <definedName name="FDD_57_11" hidden="1">"A34699"</definedName>
    <definedName name="FDD_57_12" hidden="1">"A35064"</definedName>
    <definedName name="FDD_57_13" hidden="1">"A35430"</definedName>
    <definedName name="FDD_57_14" hidden="1">"A35795"</definedName>
    <definedName name="FDD_57_2" hidden="1">"A31412"</definedName>
    <definedName name="FDD_57_3" hidden="1">"A31777"</definedName>
    <definedName name="FDD_57_4" hidden="1">"A32142"</definedName>
    <definedName name="FDD_57_5" hidden="1">"A32508"</definedName>
    <definedName name="FDD_57_6" hidden="1">"A32873"</definedName>
    <definedName name="FDD_57_7" hidden="1">"A33238"</definedName>
    <definedName name="FDD_57_8" hidden="1">"A33603"</definedName>
    <definedName name="FDD_57_9" hidden="1">"A33969"</definedName>
    <definedName name="FDD_58_0" hidden="1">"A30681"</definedName>
    <definedName name="FDD_58_1" hidden="1">"A31047"</definedName>
    <definedName name="FDD_58_10" hidden="1">"A34334"</definedName>
    <definedName name="FDD_58_11" hidden="1">"A34699"</definedName>
    <definedName name="FDD_58_12" hidden="1">"A35064"</definedName>
    <definedName name="FDD_58_13" hidden="1">"A35430"</definedName>
    <definedName name="FDD_58_14" hidden="1">"A35795"</definedName>
    <definedName name="FDD_58_2" hidden="1">"A31412"</definedName>
    <definedName name="FDD_58_3" hidden="1">"A31777"</definedName>
    <definedName name="FDD_58_4" hidden="1">"A32142"</definedName>
    <definedName name="FDD_58_5" hidden="1">"A32508"</definedName>
    <definedName name="FDD_58_6" hidden="1">"A32873"</definedName>
    <definedName name="FDD_58_7" hidden="1">"A33238"</definedName>
    <definedName name="FDD_58_8" hidden="1">"A33603"</definedName>
    <definedName name="FDD_58_9" hidden="1">"A33969"</definedName>
    <definedName name="FDD_59_0" hidden="1">"A30681"</definedName>
    <definedName name="FDD_59_1" hidden="1">"A31047"</definedName>
    <definedName name="FDD_59_10" hidden="1">"A34334"</definedName>
    <definedName name="FDD_59_11" hidden="1">"A34699"</definedName>
    <definedName name="FDD_59_12" hidden="1">"A35064"</definedName>
    <definedName name="FDD_59_13" hidden="1">"A35430"</definedName>
    <definedName name="FDD_59_14" hidden="1">"A35795"</definedName>
    <definedName name="FDD_59_2" hidden="1">"A31412"</definedName>
    <definedName name="FDD_59_3" hidden="1">"A31777"</definedName>
    <definedName name="FDD_59_4" hidden="1">"A32142"</definedName>
    <definedName name="FDD_59_5" hidden="1">"A32508"</definedName>
    <definedName name="FDD_59_6" hidden="1">"A32873"</definedName>
    <definedName name="FDD_59_7" hidden="1">"A33238"</definedName>
    <definedName name="FDD_59_8" hidden="1">"A33603"</definedName>
    <definedName name="FDD_59_9" hidden="1">"A33969"</definedName>
    <definedName name="FDD_6_0" hidden="1">"A25569"</definedName>
    <definedName name="FDD_60_0" hidden="1">"A30681"</definedName>
    <definedName name="FDD_60_1" hidden="1">"A31047"</definedName>
    <definedName name="FDD_60_10" hidden="1">"A34334"</definedName>
    <definedName name="FDD_60_11" hidden="1">"A34699"</definedName>
    <definedName name="FDD_60_12" hidden="1">"A35064"</definedName>
    <definedName name="FDD_60_13" hidden="1">"A35430"</definedName>
    <definedName name="FDD_60_14" hidden="1">"A35795"</definedName>
    <definedName name="FDD_60_2" hidden="1">"A31412"</definedName>
    <definedName name="FDD_60_3" hidden="1">"A31777"</definedName>
    <definedName name="FDD_60_4" hidden="1">"A32142"</definedName>
    <definedName name="FDD_60_5" hidden="1">"A32508"</definedName>
    <definedName name="FDD_60_6" hidden="1">"A32873"</definedName>
    <definedName name="FDD_60_7" hidden="1">"A33238"</definedName>
    <definedName name="FDD_60_8" hidden="1">"A33603"</definedName>
    <definedName name="FDD_60_9" hidden="1">"A33969"</definedName>
    <definedName name="FDD_61_0" hidden="1">"A30681"</definedName>
    <definedName name="FDD_61_1" hidden="1">"A31047"</definedName>
    <definedName name="FDD_61_10" hidden="1">"A34334"</definedName>
    <definedName name="FDD_61_11" hidden="1">"A34699"</definedName>
    <definedName name="FDD_61_12" hidden="1">"A35064"</definedName>
    <definedName name="FDD_61_13" hidden="1">"A35430"</definedName>
    <definedName name="FDD_61_14" hidden="1">"A35795"</definedName>
    <definedName name="FDD_61_2" hidden="1">"A31412"</definedName>
    <definedName name="FDD_61_3" hidden="1">"A31777"</definedName>
    <definedName name="FDD_61_4" hidden="1">"A32142"</definedName>
    <definedName name="FDD_61_5" hidden="1">"A32508"</definedName>
    <definedName name="FDD_61_6" hidden="1">"A32873"</definedName>
    <definedName name="FDD_61_7" hidden="1">"A33238"</definedName>
    <definedName name="FDD_61_8" hidden="1">"A33603"</definedName>
    <definedName name="FDD_61_9" hidden="1">"A33969"</definedName>
    <definedName name="FDD_62_0" hidden="1">"A30681"</definedName>
    <definedName name="FDD_62_1" hidden="1">"A31047"</definedName>
    <definedName name="FDD_62_10" hidden="1">"A34334"</definedName>
    <definedName name="FDD_62_11" hidden="1">"A34699"</definedName>
    <definedName name="FDD_62_12" hidden="1">"A35064"</definedName>
    <definedName name="FDD_62_13" hidden="1">"A35430"</definedName>
    <definedName name="FDD_62_14" hidden="1">"A35795"</definedName>
    <definedName name="FDD_62_2" hidden="1">"A31412"</definedName>
    <definedName name="FDD_62_3" hidden="1">"A31777"</definedName>
    <definedName name="FDD_62_4" hidden="1">"A32142"</definedName>
    <definedName name="FDD_62_5" hidden="1">"A32508"</definedName>
    <definedName name="FDD_62_6" hidden="1">"A32873"</definedName>
    <definedName name="FDD_62_7" hidden="1">"A33238"</definedName>
    <definedName name="FDD_62_8" hidden="1">"A33603"</definedName>
    <definedName name="FDD_62_9" hidden="1">"A33969"</definedName>
    <definedName name="FDD_63_0" hidden="1">"A30681"</definedName>
    <definedName name="FDD_63_1" hidden="1">"A31047"</definedName>
    <definedName name="FDD_63_10" hidden="1">"A34334"</definedName>
    <definedName name="FDD_63_11" hidden="1">"A34699"</definedName>
    <definedName name="FDD_63_12" hidden="1">"A35064"</definedName>
    <definedName name="FDD_63_13" hidden="1">"A35430"</definedName>
    <definedName name="FDD_63_14" hidden="1">"A35795"</definedName>
    <definedName name="FDD_63_2" hidden="1">"A31412"</definedName>
    <definedName name="FDD_63_3" hidden="1">"A31777"</definedName>
    <definedName name="FDD_63_4" hidden="1">"A32142"</definedName>
    <definedName name="FDD_63_5" hidden="1">"A32508"</definedName>
    <definedName name="FDD_63_6" hidden="1">"A32873"</definedName>
    <definedName name="FDD_63_7" hidden="1">"A33238"</definedName>
    <definedName name="FDD_63_8" hidden="1">"A33603"</definedName>
    <definedName name="FDD_63_9" hidden="1">"A33969"</definedName>
    <definedName name="FDD_64_0" hidden="1">"A30681"</definedName>
    <definedName name="FDD_64_1" hidden="1">"A31047"</definedName>
    <definedName name="FDD_64_10" hidden="1">"A34334"</definedName>
    <definedName name="FDD_64_11" hidden="1">"A34699"</definedName>
    <definedName name="FDD_64_12" hidden="1">"A35064"</definedName>
    <definedName name="FDD_64_13" hidden="1">"A35430"</definedName>
    <definedName name="FDD_64_14" hidden="1">"A35795"</definedName>
    <definedName name="FDD_64_2" hidden="1">"A31412"</definedName>
    <definedName name="FDD_64_3" hidden="1">"A31777"</definedName>
    <definedName name="FDD_64_4" hidden="1">"A32142"</definedName>
    <definedName name="FDD_64_5" hidden="1">"A32508"</definedName>
    <definedName name="FDD_64_6" hidden="1">"A32873"</definedName>
    <definedName name="FDD_64_7" hidden="1">"A33238"</definedName>
    <definedName name="FDD_64_8" hidden="1">"A33603"</definedName>
    <definedName name="FDD_64_9" hidden="1">"A33969"</definedName>
    <definedName name="FDD_65_0" hidden="1">"A30681"</definedName>
    <definedName name="FDD_65_1" hidden="1">"A31047"</definedName>
    <definedName name="FDD_65_10" hidden="1">"A34334"</definedName>
    <definedName name="FDD_65_11" hidden="1">"A34699"</definedName>
    <definedName name="FDD_65_12" hidden="1">"A35064"</definedName>
    <definedName name="FDD_65_13" hidden="1">"A35430"</definedName>
    <definedName name="FDD_65_14" hidden="1">"A35795"</definedName>
    <definedName name="FDD_65_2" hidden="1">"A31412"</definedName>
    <definedName name="FDD_65_3" hidden="1">"A31777"</definedName>
    <definedName name="FDD_65_4" hidden="1">"A32142"</definedName>
    <definedName name="FDD_65_5" hidden="1">"A32508"</definedName>
    <definedName name="FDD_65_6" hidden="1">"A32873"</definedName>
    <definedName name="FDD_65_7" hidden="1">"A33238"</definedName>
    <definedName name="FDD_65_8" hidden="1">"A33603"</definedName>
    <definedName name="FDD_65_9" hidden="1">"A33969"</definedName>
    <definedName name="FDD_66_0" hidden="1">"A30681"</definedName>
    <definedName name="FDD_66_1" hidden="1">"A31047"</definedName>
    <definedName name="FDD_66_10" hidden="1">"A34334"</definedName>
    <definedName name="FDD_66_11" hidden="1">"A34699"</definedName>
    <definedName name="FDD_66_12" hidden="1">"A35064"</definedName>
    <definedName name="FDD_66_13" hidden="1">"A35430"</definedName>
    <definedName name="FDD_66_14" hidden="1">"A35795"</definedName>
    <definedName name="FDD_66_2" hidden="1">"A31412"</definedName>
    <definedName name="FDD_66_3" hidden="1">"A31777"</definedName>
    <definedName name="FDD_66_4" hidden="1">"A32142"</definedName>
    <definedName name="FDD_66_5" hidden="1">"A32508"</definedName>
    <definedName name="FDD_66_6" hidden="1">"A32873"</definedName>
    <definedName name="FDD_66_7" hidden="1">"A33238"</definedName>
    <definedName name="FDD_66_8" hidden="1">"A33603"</definedName>
    <definedName name="FDD_66_9" hidden="1">"A33969"</definedName>
    <definedName name="FDD_67_0" hidden="1">"A30681"</definedName>
    <definedName name="FDD_67_1" hidden="1">"A31047"</definedName>
    <definedName name="FDD_67_10" hidden="1">"A34334"</definedName>
    <definedName name="FDD_67_11" hidden="1">"A34699"</definedName>
    <definedName name="FDD_67_12" hidden="1">"A35064"</definedName>
    <definedName name="FDD_67_13" hidden="1">"A35430"</definedName>
    <definedName name="FDD_67_14" hidden="1">"A35795"</definedName>
    <definedName name="FDD_67_2" hidden="1">"A31412"</definedName>
    <definedName name="FDD_67_3" hidden="1">"A31777"</definedName>
    <definedName name="FDD_67_4" hidden="1">"A32142"</definedName>
    <definedName name="FDD_67_5" hidden="1">"A32508"</definedName>
    <definedName name="FDD_67_6" hidden="1">"A32873"</definedName>
    <definedName name="FDD_67_7" hidden="1">"A33238"</definedName>
    <definedName name="FDD_67_8" hidden="1">"A33603"</definedName>
    <definedName name="FDD_67_9" hidden="1">"A33969"</definedName>
    <definedName name="FDD_68_0" hidden="1">"A30681"</definedName>
    <definedName name="FDD_68_1" hidden="1">"A31047"</definedName>
    <definedName name="FDD_68_10" hidden="1">"A34334"</definedName>
    <definedName name="FDD_68_11" hidden="1">"A34699"</definedName>
    <definedName name="FDD_68_12" hidden="1">"A35064"</definedName>
    <definedName name="FDD_68_13" hidden="1">"A35430"</definedName>
    <definedName name="FDD_68_14" hidden="1">"A35795"</definedName>
    <definedName name="FDD_68_2" hidden="1">"A31412"</definedName>
    <definedName name="FDD_68_3" hidden="1">"A31777"</definedName>
    <definedName name="FDD_68_4" hidden="1">"A32142"</definedName>
    <definedName name="FDD_68_5" hidden="1">"A32508"</definedName>
    <definedName name="FDD_68_6" hidden="1">"A32873"</definedName>
    <definedName name="FDD_68_7" hidden="1">"A33238"</definedName>
    <definedName name="FDD_68_8" hidden="1">"A33603"</definedName>
    <definedName name="FDD_68_9" hidden="1">"A33969"</definedName>
    <definedName name="FDD_69_0" hidden="1">"U30681"</definedName>
    <definedName name="FDD_69_1" hidden="1">"A31047"</definedName>
    <definedName name="FDD_69_10" hidden="1">"A34334"</definedName>
    <definedName name="FDD_69_11" hidden="1">"A34699"</definedName>
    <definedName name="FDD_69_12" hidden="1">"A35064"</definedName>
    <definedName name="FDD_69_13" hidden="1">"A35430"</definedName>
    <definedName name="FDD_69_14" hidden="1">"A35795"</definedName>
    <definedName name="FDD_69_2" hidden="1">"A31412"</definedName>
    <definedName name="FDD_69_3" hidden="1">"A31777"</definedName>
    <definedName name="FDD_69_4" hidden="1">"A32142"</definedName>
    <definedName name="FDD_69_5" hidden="1">"A32508"</definedName>
    <definedName name="FDD_69_6" hidden="1">"A32873"</definedName>
    <definedName name="FDD_69_7" hidden="1">"A33238"</definedName>
    <definedName name="FDD_69_8" hidden="1">"A33603"</definedName>
    <definedName name="FDD_69_9" hidden="1">"A33969"</definedName>
    <definedName name="FDD_7_0" hidden="1">"A25569"</definedName>
    <definedName name="FDD_70_0" hidden="1">"A30681"</definedName>
    <definedName name="FDD_70_1" hidden="1">"A31047"</definedName>
    <definedName name="FDD_70_10" hidden="1">"A34334"</definedName>
    <definedName name="FDD_70_11" hidden="1">"A34699"</definedName>
    <definedName name="FDD_70_12" hidden="1">"A35064"</definedName>
    <definedName name="FDD_70_13" hidden="1">"A35430"</definedName>
    <definedName name="FDD_70_14" hidden="1">"A35795"</definedName>
    <definedName name="FDD_70_2" hidden="1">"A31412"</definedName>
    <definedName name="FDD_70_3" hidden="1">"A31777"</definedName>
    <definedName name="FDD_70_4" hidden="1">"A32142"</definedName>
    <definedName name="FDD_70_5" hidden="1">"A32508"</definedName>
    <definedName name="FDD_70_6" hidden="1">"A32873"</definedName>
    <definedName name="FDD_70_7" hidden="1">"A33238"</definedName>
    <definedName name="FDD_70_8" hidden="1">"A33603"</definedName>
    <definedName name="FDD_70_9" hidden="1">"A33969"</definedName>
    <definedName name="FDD_71_0" hidden="1">"A30681"</definedName>
    <definedName name="FDD_71_1" hidden="1">"A31047"</definedName>
    <definedName name="FDD_71_10" hidden="1">"A34334"</definedName>
    <definedName name="FDD_71_11" hidden="1">"A34699"</definedName>
    <definedName name="FDD_71_12" hidden="1">"A35064"</definedName>
    <definedName name="FDD_71_13" hidden="1">"A35430"</definedName>
    <definedName name="FDD_71_14" hidden="1">"A35795"</definedName>
    <definedName name="FDD_71_2" hidden="1">"A31412"</definedName>
    <definedName name="FDD_71_3" hidden="1">"A31777"</definedName>
    <definedName name="FDD_71_4" hidden="1">"A32142"</definedName>
    <definedName name="FDD_71_5" hidden="1">"A32508"</definedName>
    <definedName name="FDD_71_6" hidden="1">"A32873"</definedName>
    <definedName name="FDD_71_7" hidden="1">"A33238"</definedName>
    <definedName name="FDD_71_8" hidden="1">"A33603"</definedName>
    <definedName name="FDD_71_9" hidden="1">"A33969"</definedName>
    <definedName name="FDD_72_0" hidden="1">"A30681"</definedName>
    <definedName name="FDD_72_1" hidden="1">"A31047"</definedName>
    <definedName name="FDD_72_10" hidden="1">"A34334"</definedName>
    <definedName name="FDD_72_11" hidden="1">"A34699"</definedName>
    <definedName name="FDD_72_12" hidden="1">"A35064"</definedName>
    <definedName name="FDD_72_13" hidden="1">"A35430"</definedName>
    <definedName name="FDD_72_14" hidden="1">"A35795"</definedName>
    <definedName name="FDD_72_2" hidden="1">"A31412"</definedName>
    <definedName name="FDD_72_3" hidden="1">"A31777"</definedName>
    <definedName name="FDD_72_4" hidden="1">"A32142"</definedName>
    <definedName name="FDD_72_5" hidden="1">"A32508"</definedName>
    <definedName name="FDD_72_6" hidden="1">"A32873"</definedName>
    <definedName name="FDD_72_7" hidden="1">"A33238"</definedName>
    <definedName name="FDD_72_8" hidden="1">"A33603"</definedName>
    <definedName name="FDD_72_9" hidden="1">"A33969"</definedName>
    <definedName name="FDD_73_0" hidden="1">"A30681"</definedName>
    <definedName name="FDD_73_1" hidden="1">"A31047"</definedName>
    <definedName name="FDD_73_10" hidden="1">"A34334"</definedName>
    <definedName name="FDD_73_11" hidden="1">"A34699"</definedName>
    <definedName name="FDD_73_12" hidden="1">"A35064"</definedName>
    <definedName name="FDD_73_13" hidden="1">"A35430"</definedName>
    <definedName name="FDD_73_14" hidden="1">"A35795"</definedName>
    <definedName name="FDD_73_2" hidden="1">"A31412"</definedName>
    <definedName name="FDD_73_3" hidden="1">"A31777"</definedName>
    <definedName name="FDD_73_4" hidden="1">"A32142"</definedName>
    <definedName name="FDD_73_5" hidden="1">"A32508"</definedName>
    <definedName name="FDD_73_6" hidden="1">"A32873"</definedName>
    <definedName name="FDD_73_7" hidden="1">"A33238"</definedName>
    <definedName name="FDD_73_8" hidden="1">"A33603"</definedName>
    <definedName name="FDD_73_9" hidden="1">"A33969"</definedName>
    <definedName name="FDD_74_0" hidden="1">"A30681"</definedName>
    <definedName name="FDD_74_1" hidden="1">"A31047"</definedName>
    <definedName name="FDD_74_10" hidden="1">"A34334"</definedName>
    <definedName name="FDD_74_11" hidden="1">"A34699"</definedName>
    <definedName name="FDD_74_12" hidden="1">"A35064"</definedName>
    <definedName name="FDD_74_13" hidden="1">"A35430"</definedName>
    <definedName name="FDD_74_14" hidden="1">"A35795"</definedName>
    <definedName name="FDD_74_2" hidden="1">"A31412"</definedName>
    <definedName name="FDD_74_3" hidden="1">"A31777"</definedName>
    <definedName name="FDD_74_4" hidden="1">"A32142"</definedName>
    <definedName name="FDD_74_5" hidden="1">"A32508"</definedName>
    <definedName name="FDD_74_6" hidden="1">"A32873"</definedName>
    <definedName name="FDD_74_7" hidden="1">"A33238"</definedName>
    <definedName name="FDD_74_8" hidden="1">"A33603"</definedName>
    <definedName name="FDD_74_9" hidden="1">"A33969"</definedName>
    <definedName name="FDD_75_0" hidden="1">"A30681"</definedName>
    <definedName name="FDD_75_1" hidden="1">"A31047"</definedName>
    <definedName name="FDD_75_10" hidden="1">"A34334"</definedName>
    <definedName name="FDD_75_11" hidden="1">"A34699"</definedName>
    <definedName name="FDD_75_12" hidden="1">"A35064"</definedName>
    <definedName name="FDD_75_13" hidden="1">"A35430"</definedName>
    <definedName name="FDD_75_14" hidden="1">"A35795"</definedName>
    <definedName name="FDD_75_2" hidden="1">"A31412"</definedName>
    <definedName name="FDD_75_3" hidden="1">"A31777"</definedName>
    <definedName name="FDD_75_4" hidden="1">"A32142"</definedName>
    <definedName name="FDD_75_5" hidden="1">"A32508"</definedName>
    <definedName name="FDD_75_6" hidden="1">"A32873"</definedName>
    <definedName name="FDD_75_7" hidden="1">"A33238"</definedName>
    <definedName name="FDD_75_8" hidden="1">"A33603"</definedName>
    <definedName name="FDD_75_9" hidden="1">"A33969"</definedName>
    <definedName name="FDD_76_0" hidden="1">"A30681"</definedName>
    <definedName name="FDD_76_1" hidden="1">"A31047"</definedName>
    <definedName name="FDD_76_10" hidden="1">"A34334"</definedName>
    <definedName name="FDD_76_11" hidden="1">"A34699"</definedName>
    <definedName name="FDD_76_12" hidden="1">"A35064"</definedName>
    <definedName name="FDD_76_13" hidden="1">"A35430"</definedName>
    <definedName name="FDD_76_14" hidden="1">"A35795"</definedName>
    <definedName name="FDD_76_2" hidden="1">"A31412"</definedName>
    <definedName name="FDD_76_3" hidden="1">"A31777"</definedName>
    <definedName name="FDD_76_4" hidden="1">"A32142"</definedName>
    <definedName name="FDD_76_5" hidden="1">"A32508"</definedName>
    <definedName name="FDD_76_6" hidden="1">"A32873"</definedName>
    <definedName name="FDD_76_7" hidden="1">"A33238"</definedName>
    <definedName name="FDD_76_8" hidden="1">"A33603"</definedName>
    <definedName name="FDD_76_9" hidden="1">"A33969"</definedName>
    <definedName name="FDD_77_0" hidden="1">"A30681"</definedName>
    <definedName name="FDD_77_1" hidden="1">"A31047"</definedName>
    <definedName name="FDD_77_10" hidden="1">"A34334"</definedName>
    <definedName name="FDD_77_11" hidden="1">"A34699"</definedName>
    <definedName name="FDD_77_12" hidden="1">"A35064"</definedName>
    <definedName name="FDD_77_13" hidden="1">"A35430"</definedName>
    <definedName name="FDD_77_14" hidden="1">"A35795"</definedName>
    <definedName name="FDD_77_2" hidden="1">"A31412"</definedName>
    <definedName name="FDD_77_3" hidden="1">"A31777"</definedName>
    <definedName name="FDD_77_4" hidden="1">"A32142"</definedName>
    <definedName name="FDD_77_5" hidden="1">"A32508"</definedName>
    <definedName name="FDD_77_6" hidden="1">"A32873"</definedName>
    <definedName name="FDD_77_7" hidden="1">"A33238"</definedName>
    <definedName name="FDD_77_8" hidden="1">"A33603"</definedName>
    <definedName name="FDD_77_9" hidden="1">"A33969"</definedName>
    <definedName name="FDD_78_0" hidden="1">"A30681"</definedName>
    <definedName name="FDD_78_1" hidden="1">"A31047"</definedName>
    <definedName name="FDD_78_10" hidden="1">"A34334"</definedName>
    <definedName name="FDD_78_11" hidden="1">"A34699"</definedName>
    <definedName name="FDD_78_12" hidden="1">"A35064"</definedName>
    <definedName name="FDD_78_13" hidden="1">"A35430"</definedName>
    <definedName name="FDD_78_14" hidden="1">"A35795"</definedName>
    <definedName name="FDD_78_2" hidden="1">"A31412"</definedName>
    <definedName name="FDD_78_3" hidden="1">"A31777"</definedName>
    <definedName name="FDD_78_4" hidden="1">"A32142"</definedName>
    <definedName name="FDD_78_5" hidden="1">"A32508"</definedName>
    <definedName name="FDD_78_6" hidden="1">"A32873"</definedName>
    <definedName name="FDD_78_7" hidden="1">"A33238"</definedName>
    <definedName name="FDD_78_8" hidden="1">"A33603"</definedName>
    <definedName name="FDD_78_9" hidden="1">"A33969"</definedName>
    <definedName name="FDD_79_0" hidden="1">"A30681"</definedName>
    <definedName name="FDD_79_1" hidden="1">"A31047"</definedName>
    <definedName name="FDD_79_10" hidden="1">"A34334"</definedName>
    <definedName name="FDD_79_11" hidden="1">"A34699"</definedName>
    <definedName name="FDD_79_12" hidden="1">"A35064"</definedName>
    <definedName name="FDD_79_13" hidden="1">"A35430"</definedName>
    <definedName name="FDD_79_14" hidden="1">"A35795"</definedName>
    <definedName name="FDD_79_2" hidden="1">"A31412"</definedName>
    <definedName name="FDD_79_3" hidden="1">"A31777"</definedName>
    <definedName name="FDD_79_4" hidden="1">"A32142"</definedName>
    <definedName name="FDD_79_5" hidden="1">"A32508"</definedName>
    <definedName name="FDD_79_6" hidden="1">"A32873"</definedName>
    <definedName name="FDD_79_7" hidden="1">"A33238"</definedName>
    <definedName name="FDD_79_8" hidden="1">"A33603"</definedName>
    <definedName name="FDD_79_9" hidden="1">"A33969"</definedName>
    <definedName name="FDD_8_0" hidden="1">"A25569"</definedName>
    <definedName name="FDD_80_0" hidden="1">"A30681"</definedName>
    <definedName name="FDD_80_1" hidden="1">"A31047"</definedName>
    <definedName name="FDD_80_10" hidden="1">"A34334"</definedName>
    <definedName name="FDD_80_11" hidden="1">"A34699"</definedName>
    <definedName name="FDD_80_12" hidden="1">"A35064"</definedName>
    <definedName name="FDD_80_13" hidden="1">"A35430"</definedName>
    <definedName name="FDD_80_14" hidden="1">"A35795"</definedName>
    <definedName name="FDD_80_2" hidden="1">"A31412"</definedName>
    <definedName name="FDD_80_3" hidden="1">"A31777"</definedName>
    <definedName name="FDD_80_4" hidden="1">"A32142"</definedName>
    <definedName name="FDD_80_5" hidden="1">"A32508"</definedName>
    <definedName name="FDD_80_6" hidden="1">"A32873"</definedName>
    <definedName name="FDD_80_7" hidden="1">"A33238"</definedName>
    <definedName name="FDD_80_8" hidden="1">"A33603"</definedName>
    <definedName name="FDD_80_9" hidden="1">"A33969"</definedName>
    <definedName name="FDD_81_0" hidden="1">"A30681"</definedName>
    <definedName name="FDD_81_1" hidden="1">"A31047"</definedName>
    <definedName name="FDD_81_10" hidden="1">"A34334"</definedName>
    <definedName name="FDD_81_11" hidden="1">"A34699"</definedName>
    <definedName name="FDD_81_12" hidden="1">"A35064"</definedName>
    <definedName name="FDD_81_13" hidden="1">"A35430"</definedName>
    <definedName name="FDD_81_14" hidden="1">"A35795"</definedName>
    <definedName name="FDD_81_2" hidden="1">"A31412"</definedName>
    <definedName name="FDD_81_3" hidden="1">"A31777"</definedName>
    <definedName name="FDD_81_4" hidden="1">"A32142"</definedName>
    <definedName name="FDD_81_5" hidden="1">"A32508"</definedName>
    <definedName name="FDD_81_6" hidden="1">"A32873"</definedName>
    <definedName name="FDD_81_7" hidden="1">"A33238"</definedName>
    <definedName name="FDD_81_8" hidden="1">"A33603"</definedName>
    <definedName name="FDD_81_9" hidden="1">"A33969"</definedName>
    <definedName name="FDD_82_0" hidden="1">"A30681"</definedName>
    <definedName name="FDD_82_1" hidden="1">"A31047"</definedName>
    <definedName name="FDD_82_10" hidden="1">"A34334"</definedName>
    <definedName name="FDD_82_11" hidden="1">"A34699"</definedName>
    <definedName name="FDD_82_12" hidden="1">"A35064"</definedName>
    <definedName name="FDD_82_13" hidden="1">"A35430"</definedName>
    <definedName name="FDD_82_14" hidden="1">"A35795"</definedName>
    <definedName name="FDD_82_2" hidden="1">"A31412"</definedName>
    <definedName name="FDD_82_3" hidden="1">"A31777"</definedName>
    <definedName name="FDD_82_4" hidden="1">"A32142"</definedName>
    <definedName name="FDD_82_5" hidden="1">"A32508"</definedName>
    <definedName name="FDD_82_6" hidden="1">"A32873"</definedName>
    <definedName name="FDD_82_7" hidden="1">"A33238"</definedName>
    <definedName name="FDD_82_8" hidden="1">"A33603"</definedName>
    <definedName name="FDD_82_9" hidden="1">"A33969"</definedName>
    <definedName name="FDD_83_0" hidden="1">"A30681"</definedName>
    <definedName name="FDD_83_1" hidden="1">"A31047"</definedName>
    <definedName name="FDD_83_10" hidden="1">"A34334"</definedName>
    <definedName name="FDD_83_11" hidden="1">"A34699"</definedName>
    <definedName name="FDD_83_12" hidden="1">"A35064"</definedName>
    <definedName name="FDD_83_13" hidden="1">"A35430"</definedName>
    <definedName name="FDD_83_14" hidden="1">"A35795"</definedName>
    <definedName name="FDD_83_2" hidden="1">"A31412"</definedName>
    <definedName name="FDD_83_3" hidden="1">"A31777"</definedName>
    <definedName name="FDD_83_4" hidden="1">"A32142"</definedName>
    <definedName name="FDD_83_5" hidden="1">"A32508"</definedName>
    <definedName name="FDD_83_6" hidden="1">"A32873"</definedName>
    <definedName name="FDD_83_7" hidden="1">"A33238"</definedName>
    <definedName name="FDD_83_8" hidden="1">"A33603"</definedName>
    <definedName name="FDD_83_9" hidden="1">"A33969"</definedName>
    <definedName name="FDD_84_0" hidden="1">"A30681"</definedName>
    <definedName name="FDD_84_1" hidden="1">"A31047"</definedName>
    <definedName name="FDD_84_10" hidden="1">"A34334"</definedName>
    <definedName name="FDD_84_11" hidden="1">"A34699"</definedName>
    <definedName name="FDD_84_12" hidden="1">"A35064"</definedName>
    <definedName name="FDD_84_13" hidden="1">"A35430"</definedName>
    <definedName name="FDD_84_14" hidden="1">"A35795"</definedName>
    <definedName name="FDD_84_2" hidden="1">"A31412"</definedName>
    <definedName name="FDD_84_3" hidden="1">"A31777"</definedName>
    <definedName name="FDD_84_4" hidden="1">"A32142"</definedName>
    <definedName name="FDD_84_5" hidden="1">"A32508"</definedName>
    <definedName name="FDD_84_6" hidden="1">"A32873"</definedName>
    <definedName name="FDD_84_7" hidden="1">"A33238"</definedName>
    <definedName name="FDD_84_8" hidden="1">"A33603"</definedName>
    <definedName name="FDD_84_9" hidden="1">"A33969"</definedName>
    <definedName name="FDD_85_0" hidden="1">"A30681"</definedName>
    <definedName name="FDD_85_1" hidden="1">"A31047"</definedName>
    <definedName name="FDD_85_10" hidden="1">"A34334"</definedName>
    <definedName name="FDD_85_11" hidden="1">"A34699"</definedName>
    <definedName name="FDD_85_12" hidden="1">"A35064"</definedName>
    <definedName name="FDD_85_13" hidden="1">"A35430"</definedName>
    <definedName name="FDD_85_14" hidden="1">"A35795"</definedName>
    <definedName name="FDD_85_2" hidden="1">"A31412"</definedName>
    <definedName name="FDD_85_3" hidden="1">"A31777"</definedName>
    <definedName name="FDD_85_4" hidden="1">"A32142"</definedName>
    <definedName name="FDD_85_5" hidden="1">"A32508"</definedName>
    <definedName name="FDD_85_6" hidden="1">"A32873"</definedName>
    <definedName name="FDD_85_7" hidden="1">"A33238"</definedName>
    <definedName name="FDD_85_8" hidden="1">"A33603"</definedName>
    <definedName name="FDD_85_9" hidden="1">"A33969"</definedName>
    <definedName name="FDD_86_0" hidden="1">"A30681"</definedName>
    <definedName name="FDD_86_1" hidden="1">"A31047"</definedName>
    <definedName name="FDD_86_10" hidden="1">"A34334"</definedName>
    <definedName name="FDD_86_11" hidden="1">"A34699"</definedName>
    <definedName name="FDD_86_12" hidden="1">"A35064"</definedName>
    <definedName name="FDD_86_13" hidden="1">"A35430"</definedName>
    <definedName name="FDD_86_14" hidden="1">"A35795"</definedName>
    <definedName name="FDD_86_2" hidden="1">"A31412"</definedName>
    <definedName name="FDD_86_3" hidden="1">"A31777"</definedName>
    <definedName name="FDD_86_4" hidden="1">"A32142"</definedName>
    <definedName name="FDD_86_5" hidden="1">"A32508"</definedName>
    <definedName name="FDD_86_6" hidden="1">"A32873"</definedName>
    <definedName name="FDD_86_7" hidden="1">"A33238"</definedName>
    <definedName name="FDD_86_8" hidden="1">"A33603"</definedName>
    <definedName name="FDD_86_9" hidden="1">"A33969"</definedName>
    <definedName name="FDD_87_0" hidden="1">"A30681"</definedName>
    <definedName name="FDD_87_1" hidden="1">"A31047"</definedName>
    <definedName name="FDD_87_10" hidden="1">"A34334"</definedName>
    <definedName name="FDD_87_11" hidden="1">"A34699"</definedName>
    <definedName name="FDD_87_12" hidden="1">"A35064"</definedName>
    <definedName name="FDD_87_13" hidden="1">"A35430"</definedName>
    <definedName name="FDD_87_14" hidden="1">"A35795"</definedName>
    <definedName name="FDD_87_2" hidden="1">"A31412"</definedName>
    <definedName name="FDD_87_3" hidden="1">"A31777"</definedName>
    <definedName name="FDD_87_4" hidden="1">"A32142"</definedName>
    <definedName name="FDD_87_5" hidden="1">"A32508"</definedName>
    <definedName name="FDD_87_6" hidden="1">"A32873"</definedName>
    <definedName name="FDD_87_7" hidden="1">"A33238"</definedName>
    <definedName name="FDD_87_8" hidden="1">"A33603"</definedName>
    <definedName name="FDD_87_9" hidden="1">"A33969"</definedName>
    <definedName name="FDD_88_0" hidden="1">"A30681"</definedName>
    <definedName name="FDD_88_1" hidden="1">"A31047"</definedName>
    <definedName name="FDD_88_10" hidden="1">"A34334"</definedName>
    <definedName name="FDD_88_11" hidden="1">"A34699"</definedName>
    <definedName name="FDD_88_12" hidden="1">"A35064"</definedName>
    <definedName name="FDD_88_13" hidden="1">"A35430"</definedName>
    <definedName name="FDD_88_14" hidden="1">"A35795"</definedName>
    <definedName name="FDD_88_2" hidden="1">"A31412"</definedName>
    <definedName name="FDD_88_3" hidden="1">"A31777"</definedName>
    <definedName name="FDD_88_4" hidden="1">"A32142"</definedName>
    <definedName name="FDD_88_5" hidden="1">"A32508"</definedName>
    <definedName name="FDD_88_6" hidden="1">"A32873"</definedName>
    <definedName name="FDD_88_7" hidden="1">"A33238"</definedName>
    <definedName name="FDD_88_8" hidden="1">"A33603"</definedName>
    <definedName name="FDD_88_9" hidden="1">"A33969"</definedName>
    <definedName name="FDD_89_0" hidden="1">"A30681"</definedName>
    <definedName name="FDD_89_1" hidden="1">"A31047"</definedName>
    <definedName name="FDD_89_10" hidden="1">"A34334"</definedName>
    <definedName name="FDD_89_11" hidden="1">"A34699"</definedName>
    <definedName name="FDD_89_12" hidden="1">"A35064"</definedName>
    <definedName name="FDD_89_13" hidden="1">"A35430"</definedName>
    <definedName name="FDD_89_14" hidden="1">"A35795"</definedName>
    <definedName name="FDD_89_2" hidden="1">"A31412"</definedName>
    <definedName name="FDD_89_3" hidden="1">"A31777"</definedName>
    <definedName name="FDD_89_4" hidden="1">"A32142"</definedName>
    <definedName name="FDD_89_5" hidden="1">"A32508"</definedName>
    <definedName name="FDD_89_6" hidden="1">"A32873"</definedName>
    <definedName name="FDD_89_7" hidden="1">"A33238"</definedName>
    <definedName name="FDD_89_8" hidden="1">"A33603"</definedName>
    <definedName name="FDD_89_9" hidden="1">"A33969"</definedName>
    <definedName name="FDD_9_0" hidden="1">"A25569"</definedName>
    <definedName name="FDD_90_0" hidden="1">"A30681"</definedName>
    <definedName name="FDD_90_1" hidden="1">"A31047"</definedName>
    <definedName name="FDD_90_10" hidden="1">"A34334"</definedName>
    <definedName name="FDD_90_11" hidden="1">"A34699"</definedName>
    <definedName name="FDD_90_12" hidden="1">"A35064"</definedName>
    <definedName name="FDD_90_13" hidden="1">"A35430"</definedName>
    <definedName name="FDD_90_14" hidden="1">"A35795"</definedName>
    <definedName name="FDD_90_2" hidden="1">"A31412"</definedName>
    <definedName name="FDD_90_3" hidden="1">"A31777"</definedName>
    <definedName name="FDD_90_4" hidden="1">"A32142"</definedName>
    <definedName name="FDD_90_5" hidden="1">"A32508"</definedName>
    <definedName name="FDD_90_6" hidden="1">"A32873"</definedName>
    <definedName name="FDD_90_7" hidden="1">"A33238"</definedName>
    <definedName name="FDD_90_8" hidden="1">"A33603"</definedName>
    <definedName name="FDD_90_9" hidden="1">"A33969"</definedName>
    <definedName name="FDD_91_0" hidden="1">"A30681"</definedName>
    <definedName name="FDD_91_1" hidden="1">"A31047"</definedName>
    <definedName name="FDD_91_10" hidden="1">"A34334"</definedName>
    <definedName name="FDD_91_11" hidden="1">"A34699"</definedName>
    <definedName name="FDD_91_12" hidden="1">"A35064"</definedName>
    <definedName name="FDD_91_13" hidden="1">"A35430"</definedName>
    <definedName name="FDD_91_14" hidden="1">"A35795"</definedName>
    <definedName name="FDD_91_2" hidden="1">"A31412"</definedName>
    <definedName name="FDD_91_3" hidden="1">"A31777"</definedName>
    <definedName name="FDD_91_4" hidden="1">"A32142"</definedName>
    <definedName name="FDD_91_5" hidden="1">"A32508"</definedName>
    <definedName name="FDD_91_6" hidden="1">"A32873"</definedName>
    <definedName name="FDD_91_7" hidden="1">"A33238"</definedName>
    <definedName name="FDD_91_8" hidden="1">"A33603"</definedName>
    <definedName name="FDD_91_9" hidden="1">"A33969"</definedName>
    <definedName name="FDD_92_0" hidden="1">"A30681"</definedName>
    <definedName name="FDD_92_1" hidden="1">"A31047"</definedName>
    <definedName name="FDD_92_10" hidden="1">"A34334"</definedName>
    <definedName name="FDD_92_11" hidden="1">"A34699"</definedName>
    <definedName name="FDD_92_12" hidden="1">"A35064"</definedName>
    <definedName name="FDD_92_13" hidden="1">"A35430"</definedName>
    <definedName name="FDD_92_14" hidden="1">"A35795"</definedName>
    <definedName name="FDD_92_2" hidden="1">"A31412"</definedName>
    <definedName name="FDD_92_3" hidden="1">"A31777"</definedName>
    <definedName name="FDD_92_4" hidden="1">"A32142"</definedName>
    <definedName name="FDD_92_5" hidden="1">"A32508"</definedName>
    <definedName name="FDD_92_6" hidden="1">"A32873"</definedName>
    <definedName name="FDD_92_7" hidden="1">"A33238"</definedName>
    <definedName name="FDD_92_8" hidden="1">"A33603"</definedName>
    <definedName name="FDD_92_9" hidden="1">"A33969"</definedName>
    <definedName name="FDD_93_0" hidden="1">"A30681"</definedName>
    <definedName name="FDD_93_1" hidden="1">"A31047"</definedName>
    <definedName name="FDD_93_10" hidden="1">"A34334"</definedName>
    <definedName name="FDD_93_11" hidden="1">"A34699"</definedName>
    <definedName name="FDD_93_12" hidden="1">"A35064"</definedName>
    <definedName name="FDD_93_13" hidden="1">"A35430"</definedName>
    <definedName name="FDD_93_14" hidden="1">"A35795"</definedName>
    <definedName name="FDD_93_2" hidden="1">"A31412"</definedName>
    <definedName name="FDD_93_3" hidden="1">"A31777"</definedName>
    <definedName name="FDD_93_4" hidden="1">"A32142"</definedName>
    <definedName name="FDD_93_5" hidden="1">"A32508"</definedName>
    <definedName name="FDD_93_6" hidden="1">"A32873"</definedName>
    <definedName name="FDD_93_7" hidden="1">"A33238"</definedName>
    <definedName name="FDD_93_8" hidden="1">"A33603"</definedName>
    <definedName name="FDD_93_9" hidden="1">"A33969"</definedName>
    <definedName name="FDD_94_0" hidden="1">"A30681"</definedName>
    <definedName name="FDD_94_1" hidden="1">"A31047"</definedName>
    <definedName name="FDD_94_10" hidden="1">"A34334"</definedName>
    <definedName name="FDD_94_11" hidden="1">"A34699"</definedName>
    <definedName name="FDD_94_12" hidden="1">"A35064"</definedName>
    <definedName name="FDD_94_13" hidden="1">"A35430"</definedName>
    <definedName name="FDD_94_14" hidden="1">"A35795"</definedName>
    <definedName name="FDD_94_2" hidden="1">"A31412"</definedName>
    <definedName name="FDD_94_3" hidden="1">"A31777"</definedName>
    <definedName name="FDD_94_4" hidden="1">"A32142"</definedName>
    <definedName name="FDD_94_5" hidden="1">"A32508"</definedName>
    <definedName name="FDD_94_6" hidden="1">"A32873"</definedName>
    <definedName name="FDD_94_7" hidden="1">"A33238"</definedName>
    <definedName name="FDD_94_8" hidden="1">"A33603"</definedName>
    <definedName name="FDD_94_9" hidden="1">"A33969"</definedName>
    <definedName name="FDD_95_0" hidden="1">"A30681"</definedName>
    <definedName name="FDD_95_1" hidden="1">"A31047"</definedName>
    <definedName name="FDD_95_10" hidden="1">"A34334"</definedName>
    <definedName name="FDD_95_11" hidden="1">"A34699"</definedName>
    <definedName name="FDD_95_12" hidden="1">"A35064"</definedName>
    <definedName name="FDD_95_13" hidden="1">"A35430"</definedName>
    <definedName name="FDD_95_14" hidden="1">"A35795"</definedName>
    <definedName name="FDD_95_2" hidden="1">"A31412"</definedName>
    <definedName name="FDD_95_3" hidden="1">"A31777"</definedName>
    <definedName name="FDD_95_4" hidden="1">"A32142"</definedName>
    <definedName name="FDD_95_5" hidden="1">"A32508"</definedName>
    <definedName name="FDD_95_6" hidden="1">"A32873"</definedName>
    <definedName name="FDD_95_7" hidden="1">"A33238"</definedName>
    <definedName name="FDD_95_8" hidden="1">"A33603"</definedName>
    <definedName name="FDD_95_9" hidden="1">"A33969"</definedName>
    <definedName name="FDD_96_0" hidden="1">"U30681"</definedName>
    <definedName name="FDD_96_1" hidden="1">"A31047"</definedName>
    <definedName name="FDD_96_10" hidden="1">"A34334"</definedName>
    <definedName name="FDD_96_11" hidden="1">"A34699"</definedName>
    <definedName name="FDD_96_12" hidden="1">"A35064"</definedName>
    <definedName name="FDD_96_13" hidden="1">"A35430"</definedName>
    <definedName name="FDD_96_14" hidden="1">"A35795"</definedName>
    <definedName name="FDD_96_2" hidden="1">"A31412"</definedName>
    <definedName name="FDD_96_3" hidden="1">"A31777"</definedName>
    <definedName name="FDD_96_4" hidden="1">"A32142"</definedName>
    <definedName name="FDD_96_5" hidden="1">"A32508"</definedName>
    <definedName name="FDD_96_6" hidden="1">"A32873"</definedName>
    <definedName name="FDD_96_7" hidden="1">"A33238"</definedName>
    <definedName name="FDD_96_8" hidden="1">"A33603"</definedName>
    <definedName name="FDD_96_9" hidden="1">"A33969"</definedName>
    <definedName name="FDD_97_0" hidden="1">"U30681"</definedName>
    <definedName name="FDD_97_1" hidden="1">"A31047"</definedName>
    <definedName name="FDD_97_10" hidden="1">"A34334"</definedName>
    <definedName name="FDD_97_11" hidden="1">"A34699"</definedName>
    <definedName name="FDD_97_12" hidden="1">"A35064"</definedName>
    <definedName name="FDD_97_13" hidden="1">"A35430"</definedName>
    <definedName name="FDD_97_14" hidden="1">"A35795"</definedName>
    <definedName name="FDD_97_2" hidden="1">"A31412"</definedName>
    <definedName name="FDD_97_3" hidden="1">"A31777"</definedName>
    <definedName name="FDD_97_4" hidden="1">"A32142"</definedName>
    <definedName name="FDD_97_5" hidden="1">"A32508"</definedName>
    <definedName name="FDD_97_6" hidden="1">"A32873"</definedName>
    <definedName name="FDD_97_7" hidden="1">"A33238"</definedName>
    <definedName name="FDD_97_8" hidden="1">"A33603"</definedName>
    <definedName name="FDD_97_9" hidden="1">"A33969"</definedName>
    <definedName name="FDD_98_0" hidden="1">"U30681"</definedName>
    <definedName name="FDD_98_1" hidden="1">"A31047"</definedName>
    <definedName name="FDD_98_10" hidden="1">"A34334"</definedName>
    <definedName name="FDD_98_11" hidden="1">"A34699"</definedName>
    <definedName name="FDD_98_12" hidden="1">"A35064"</definedName>
    <definedName name="FDD_98_13" hidden="1">"A35430"</definedName>
    <definedName name="FDD_98_14" hidden="1">"A35795"</definedName>
    <definedName name="FDD_98_2" hidden="1">"A31412"</definedName>
    <definedName name="FDD_98_3" hidden="1">"A31777"</definedName>
    <definedName name="FDD_98_4" hidden="1">"A32142"</definedName>
    <definedName name="FDD_98_5" hidden="1">"A32508"</definedName>
    <definedName name="FDD_98_6" hidden="1">"A32873"</definedName>
    <definedName name="FDD_98_7" hidden="1">"A33238"</definedName>
    <definedName name="FDD_98_8" hidden="1">"A33603"</definedName>
    <definedName name="FDD_98_9" hidden="1">"A33969"</definedName>
    <definedName name="FDD_99_0" hidden="1">"U30681"</definedName>
    <definedName name="FDD_99_1" hidden="1">"A31047"</definedName>
    <definedName name="FDD_99_10" hidden="1">"A34334"</definedName>
    <definedName name="FDD_99_11" hidden="1">"A34699"</definedName>
    <definedName name="FDD_99_12" hidden="1">"A35064"</definedName>
    <definedName name="FDD_99_13" hidden="1">"A35430"</definedName>
    <definedName name="FDD_99_14" hidden="1">"A35795"</definedName>
    <definedName name="FDD_99_2" hidden="1">"A31412"</definedName>
    <definedName name="FDD_99_3" hidden="1">"A31777"</definedName>
    <definedName name="FDD_99_4" hidden="1">"A32142"</definedName>
    <definedName name="FDD_99_5" hidden="1">"A32508"</definedName>
    <definedName name="FDD_99_6" hidden="1">"A32873"</definedName>
    <definedName name="FDD_99_7" hidden="1">"A33238"</definedName>
    <definedName name="FDD_99_8" hidden="1">"A33603"</definedName>
    <definedName name="FDD_99_9" hidden="1">"A33969"</definedName>
    <definedName name="fgsdgs" hidden="1">#REF!</definedName>
    <definedName name="g" hidden="1">{#N/A,#N/A,TRUE,"CF brut";#N/A,#N/A,TRUE,"CashFlow";#N/A,#N/A,TRUE,"RCE";#N/A,#N/A,TRUE,"amort"}</definedName>
    <definedName name="gergeqr" hidden="1">{#N/A,#N/A,TRUE,"CF brut";#N/A,#N/A,TRUE,"CashFlow";#N/A,#N/A,TRUE,"RCE";#N/A,#N/A,TRUE,"amort"}</definedName>
    <definedName name="gg" hidden="1">#REF!</definedName>
    <definedName name="Hectolitros" hidden="1">{"Acum Div 3",#N/A,FALSE,"Acum Diversos 3"}</definedName>
    <definedName name="HiddenRows" hidden="1">#REF!</definedName>
    <definedName name="Hl" hidden="1">{"Vend Volume 96",#N/A,FALSE,"Vendas Volume 1996"}</definedName>
    <definedName name="hlvdor" hidden="1">{"MANAGERS",#N/A,FALSE,"MNGRPT1";"cwi",#N/A,FALSE,"MNGRPT1"}</definedName>
    <definedName name="hlvimp" hidden="1">{"MANAGERS",#N/A,FALSE,"MNGRPT1";"cwi",#N/A,FALSE,"MNGRPT1"}</definedName>
    <definedName name="hlvshw" hidden="1">{"MANAGERS",#N/A,FALSE,"MNGRPT1";"cwi",#N/A,FALSE,"MNGRPT1"}</definedName>
    <definedName name="hn.ExtDb" hidden="1">FALSE</definedName>
    <definedName name="hn.ModelType" hidden="1">"DEAL"</definedName>
    <definedName name="hn.ModelVersion" hidden="1">1</definedName>
    <definedName name="hn.NoUpload" hidden="1">0</definedName>
    <definedName name="hn.RolledForward" hidden="1">FALSE</definedName>
    <definedName name="HTML_CodePage" hidden="1">1252</definedName>
    <definedName name="HTML_Control" localSheetId="5" hidden="1">{"'NWC03'!$C$81"}</definedName>
    <definedName name="HTML_Control" hidden="1">{"'NWC03'!$C$81"}</definedName>
    <definedName name="HTML_Description" hidden="1">""</definedName>
    <definedName name="HTML_Email" hidden="1">""</definedName>
    <definedName name="HTML_Header" hidden="1">"NWC03"</definedName>
    <definedName name="HTML_LastUpdate" hidden="1">"05/06/2001"</definedName>
    <definedName name="HTML_LineAfter" hidden="1">FALSE</definedName>
    <definedName name="HTML_LineBefore" hidden="1">FALSE</definedName>
    <definedName name="HTML_Name" hidden="1">"admin"</definedName>
    <definedName name="HTML_OBDlg2" hidden="1">TRUE</definedName>
    <definedName name="HTML_OBDlg4" hidden="1">TRUE</definedName>
    <definedName name="HTML_OS" hidden="1">0</definedName>
    <definedName name="HTML_Title" hidden="1">"Workings 01-02 May"</definedName>
    <definedName name="ilvlms" hidden="1">{"MANAGERS",#N/A,FALSE,"MNGRPT1";"cwi",#N/A,FALSE,"MNGRPT1"}</definedName>
    <definedName name="IQ_1_4_CONSTRUCTION_GROSS_LOANS_FFIEC" hidden="1">"c13402"</definedName>
    <definedName name="IQ_1_4_CONSTRUCTION_LL_REC_DOM_FFIEC" hidden="1">"c12899"</definedName>
    <definedName name="IQ_1_4_CONSTRUCTION_LOAN_COMMITMENTS_UNUSED_FFIEC" hidden="1">"c13244"</definedName>
    <definedName name="IQ_1_4_CONSTRUCTION_LOANS_DUE_30_89_FFIEC" hidden="1">"c13257"</definedName>
    <definedName name="IQ_1_4_CONSTRUCTION_LOANS_DUE_90_FFIEC" hidden="1">"c13285"</definedName>
    <definedName name="IQ_1_4_CONSTRUCTION_LOANS_NON_ACCRUAL_FFIEC" hidden="1">"c13311"</definedName>
    <definedName name="IQ_1_4_CONSTRUCTION_RISK_BASED_FFIEC" hidden="1">"c13423"</definedName>
    <definedName name="IQ_1_4_FAMILY_RES_DOM_FFIEC" hidden="1">"c15269"</definedName>
    <definedName name="IQ_30YR_FIXED_MORTGAGE" hidden="1">"c6811"</definedName>
    <definedName name="IQ_30YR_FIXED_MORTGAGE_FC" hidden="1">"c7691"</definedName>
    <definedName name="IQ_30YR_FIXED_MORTGAGE_POP" hidden="1">"c7031"</definedName>
    <definedName name="IQ_30YR_FIXED_MORTGAGE_POP_FC" hidden="1">"c7911"</definedName>
    <definedName name="IQ_30YR_FIXED_MORTGAGE_YOY" hidden="1">"c7251"</definedName>
    <definedName name="IQ_30YR_FIXED_MORTGAGE_YOY_FC" hidden="1">"c8131"</definedName>
    <definedName name="IQ_ABS_AVAIL_SALE_FFIEC" hidden="1">"c12802"</definedName>
    <definedName name="IQ_ABS_FFIEC" hidden="1">"c12788"</definedName>
    <definedName name="IQ_ABS_INVEST_SECURITIES_FFIEC" hidden="1">"c13461"</definedName>
    <definedName name="IQ_ABS_PERIOD" hidden="1">"c13823"</definedName>
    <definedName name="IQ_ABS_PERIOD_EST" hidden="1">"c16122"</definedName>
    <definedName name="IQ_ACCEPTANCES_OTHER_FOREIGN_BANKS_LL_REC_FFIEC" hidden="1">"c15293"</definedName>
    <definedName name="IQ_ACCEPTANCES_OTHER_US_BANKS_LL_REC_FFIEC" hidden="1">"c15292"</definedName>
    <definedName name="IQ_ACCOUNT_CHANGE" hidden="1">"c1449"</definedName>
    <definedName name="IQ_ACCOUNT_CODE_INTEREST_PENALTIES" hidden="1">"c15741"</definedName>
    <definedName name="IQ_ACCOUNTING_FFIEC" hidden="1">"c13054"</definedName>
    <definedName name="IQ_ACCOUNTING_STANDARD" hidden="1">"c4539"</definedName>
    <definedName name="IQ_ACCOUNTS_PAY" hidden="1">"c1343"</definedName>
    <definedName name="IQ_ACCR_INT_PAY" hidden="1">"c1"</definedName>
    <definedName name="IQ_ACCR_INT_PAY_CF" hidden="1">"c2"</definedName>
    <definedName name="IQ_ACCR_INT_RECEIV" hidden="1">"c3"</definedName>
    <definedName name="IQ_ACCR_INT_RECEIV_CF" hidden="1">"c4"</definedName>
    <definedName name="IQ_ACCRUED_EXP" hidden="1">"c1341"</definedName>
    <definedName name="IQ_ACCRUED_INTEREST_RECEIVABLE_FFIEC" hidden="1">"c12842"</definedName>
    <definedName name="IQ_ACCT_RECV_10YR_ANN_CAGR" hidden="1">"c6159"</definedName>
    <definedName name="IQ_ACCT_RECV_10YR_ANN_GROWTH" hidden="1">"c1924"</definedName>
    <definedName name="IQ_ACCT_RECV_1YR_ANN_GROWTH" hidden="1">"c1919"</definedName>
    <definedName name="IQ_ACCT_RECV_2YR_ANN_CAGR" hidden="1">"c6155"</definedName>
    <definedName name="IQ_ACCT_RECV_2YR_ANN_GROWTH" hidden="1">"c1920"</definedName>
    <definedName name="IQ_ACCT_RECV_3YR_ANN_CAGR" hidden="1">"c6156"</definedName>
    <definedName name="IQ_ACCT_RECV_3YR_ANN_GROWTH" hidden="1">"c1921"</definedName>
    <definedName name="IQ_ACCT_RECV_5YR_ANN_CAGR" hidden="1">"c6157"</definedName>
    <definedName name="IQ_ACCT_RECV_5YR_ANN_GROWTH" hidden="1">"c1922"</definedName>
    <definedName name="IQ_ACCT_RECV_7YR_ANN_CAGR" hidden="1">"c6158"</definedName>
    <definedName name="IQ_ACCT_RECV_7YR_ANN_GROWTH" hidden="1">"c1923"</definedName>
    <definedName name="IQ_ACCUM_DEP" hidden="1">"c1340"</definedName>
    <definedName name="IQ_ACCUMULATED_PENSION_OBLIGATION" hidden="1">"c2244"</definedName>
    <definedName name="IQ_ACCUMULATED_PENSION_OBLIGATION_DOMESTIC" hidden="1">"c2657"</definedName>
    <definedName name="IQ_ACCUMULATED_PENSION_OBLIGATION_FOREIGN" hidden="1">"c2665"</definedName>
    <definedName name="IQ_ACQ_COST_SUB" hidden="1">"c2125"</definedName>
    <definedName name="IQ_ACQ_COST_WIRELESS_SUB" hidden="1">"c2125"</definedName>
    <definedName name="IQ_ACQ_COSTS_CAPITALIZED" hidden="1">"c5"</definedName>
    <definedName name="IQ_ACQUIRE_REAL_ESTATE_CF" hidden="1">"c6"</definedName>
    <definedName name="IQ_ACQUISITION_COST_SUB" hidden="1">"c15807"</definedName>
    <definedName name="IQ_ACQUISITION_RE_ASSETS" hidden="1">"c1628"</definedName>
    <definedName name="IQ_ACTUAL_PRODUCTION_ALUM" hidden="1">"c9247"</definedName>
    <definedName name="IQ_ACTUAL_PRODUCTION_CATHODE_COP" hidden="1">"c9192"</definedName>
    <definedName name="IQ_ACTUAL_PRODUCTION_COAL" hidden="1">"c9821"</definedName>
    <definedName name="IQ_ACTUAL_PRODUCTION_COP" hidden="1">"c9191"</definedName>
    <definedName name="IQ_ACTUAL_PRODUCTION_DIAM" hidden="1">"c9671"</definedName>
    <definedName name="IQ_ACTUAL_PRODUCTION_GOLD" hidden="1">"c9032"</definedName>
    <definedName name="IQ_ACTUAL_PRODUCTION_IRON" hidden="1">"c9406"</definedName>
    <definedName name="IQ_ACTUAL_PRODUCTION_LEAD" hidden="1">"c9459"</definedName>
    <definedName name="IQ_ACTUAL_PRODUCTION_MANG" hidden="1">"c9512"</definedName>
    <definedName name="IQ_ACTUAL_PRODUCTION_MET_COAL" hidden="1">"c9761"</definedName>
    <definedName name="IQ_ACTUAL_PRODUCTION_MOLYB" hidden="1">"c9724"</definedName>
    <definedName name="IQ_ACTUAL_PRODUCTION_NICK" hidden="1">"c9300"</definedName>
    <definedName name="IQ_ACTUAL_PRODUCTION_PLAT" hidden="1">"c9138"</definedName>
    <definedName name="IQ_ACTUAL_PRODUCTION_SILVER" hidden="1">"c9085"</definedName>
    <definedName name="IQ_ACTUAL_PRODUCTION_STEAM" hidden="1">"c9791"</definedName>
    <definedName name="IQ_ACTUAL_PRODUCTION_TITAN" hidden="1">"c9565"</definedName>
    <definedName name="IQ_ACTUAL_PRODUCTION_URAN" hidden="1">"c9618"</definedName>
    <definedName name="IQ_ACTUAL_PRODUCTION_ZINC" hidden="1">"c9353"</definedName>
    <definedName name="IQ_AD" hidden="1">"c7"</definedName>
    <definedName name="IQ_ADD_PAID_IN" hidden="1">"c1344"</definedName>
    <definedName name="IQ_ADD_TAX_POSITIONS_CURRENT_YR" hidden="1">"c15733"</definedName>
    <definedName name="IQ_ADD_TAX_POSITIONS_PRIOR_YRS" hidden="1">"c15735"</definedName>
    <definedName name="IQ_ADDIN" hidden="1">"AUTO"</definedName>
    <definedName name="IQ_ADDITIONS_NON_ACCRUAL_ASSET_DURING_QTR_FFIEC" hidden="1">"c15349"</definedName>
    <definedName name="IQ_ADJ_AVG_BANK_ASSETS" hidden="1">"c2671"</definedName>
    <definedName name="IQ_ADJUSTED_NAV_COVERED" hidden="1">"c9963"</definedName>
    <definedName name="IQ_ADJUSTED_NAV_GROUP" hidden="1">"c9949"</definedName>
    <definedName name="IQ_ADMIN_RATIO" hidden="1">"c2784"</definedName>
    <definedName name="IQ_ADVERTISING" hidden="1">"c2246"</definedName>
    <definedName name="IQ_ADVERTISING_MARKETING" hidden="1">"c1566"</definedName>
    <definedName name="IQ_ADVERTISING_MARKETING_EXPENSES_FFIEC" hidden="1">"c13048"</definedName>
    <definedName name="IQ_AE" hidden="1">"c8"</definedName>
    <definedName name="IQ_AE_BNK" hidden="1">"c9"</definedName>
    <definedName name="IQ_AE_BR" hidden="1">"c10"</definedName>
    <definedName name="IQ_AE_FIN" hidden="1">"c11"</definedName>
    <definedName name="IQ_AE_INS" hidden="1">"c12"</definedName>
    <definedName name="IQ_AE_RE" hidden="1">"c6195"</definedName>
    <definedName name="IQ_AE_REIT" hidden="1">"c13"</definedName>
    <definedName name="IQ_AE_UTI" hidden="1">"c14"</definedName>
    <definedName name="IQ_AFFO" hidden="1">"c8756"</definedName>
    <definedName name="IQ_AFFO_DILUTED" hidden="1">"c16188"</definedName>
    <definedName name="IQ_AFFO_PER_SHARE_BASIC" hidden="1">"c8869"</definedName>
    <definedName name="IQ_AFFO_PER_SHARE_DILUTED" hidden="1">"c8870"</definedName>
    <definedName name="IQ_AFS_INVEST_SECURITIES_FFIEC" hidden="1">"c13456"</definedName>
    <definedName name="IQ_AFS_SECURITIES_TIER_1_FFIEC" hidden="1">"c13343"</definedName>
    <definedName name="IQ_AG_PROD_FARM_LOANS_DOM_QUARTERLY_AVG_FFIEC" hidden="1">"c15477"</definedName>
    <definedName name="IQ_AGENCY" hidden="1">"c8960"</definedName>
    <definedName name="IQ_AGENCY_INVEST_SECURITIES_FFIEC" hidden="1">"c13458"</definedName>
    <definedName name="IQ_AGG_CORPORATE_SHARES" hidden="1">"c13781"</definedName>
    <definedName name="IQ_AGG_CORPORATE_VALUE" hidden="1">"c13774"</definedName>
    <definedName name="IQ_AGG_ESOP_SHARES" hidden="1">"c13782"</definedName>
    <definedName name="IQ_AGG_ESOP_VALUE" hidden="1">"c13775"</definedName>
    <definedName name="IQ_AGG_FOUNDATION_SHARES" hidden="1">"c13783"</definedName>
    <definedName name="IQ_AGG_FOUNDATION_VALUE" hidden="1">"c13776"</definedName>
    <definedName name="IQ_AGG_HEDGEFUND_SHARES" hidden="1">"c13785"</definedName>
    <definedName name="IQ_AGG_HEDGEFUND_VALUE" hidden="1">"c13778"</definedName>
    <definedName name="IQ_AGG_INSIDER_SHARES" hidden="1">"c13780"</definedName>
    <definedName name="IQ_AGG_INSIDER_VALUE" hidden="1">"c13773"</definedName>
    <definedName name="IQ_AGG_INSTITUTIONAL_SHARES" hidden="1">"c13779"</definedName>
    <definedName name="IQ_AGG_INSTITUTIONAL_VALUE" hidden="1">"c13772"</definedName>
    <definedName name="IQ_AGG_OTHER_SHARES" hidden="1">"c13784"</definedName>
    <definedName name="IQ_AGG_OTHER_VALUE" hidden="1">"c13777"</definedName>
    <definedName name="IQ_AGRICULTURAL_GROSS_LOANS_FFIEC" hidden="1">"c13413"</definedName>
    <definedName name="IQ_AGRICULTURAL_LOANS_FOREIGN_FFIEC" hidden="1">"c13481"</definedName>
    <definedName name="IQ_AGRICULTURAL_RISK_BASED_FFIEC" hidden="1">"c13434"</definedName>
    <definedName name="IQ_AH_EARNED" hidden="1">"c2744"</definedName>
    <definedName name="IQ_AH_POLICY_BENEFITS_EXP" hidden="1">"c2789"</definedName>
    <definedName name="IQ_AIR_AIRPLANES_NOT_IN_SERVICE" hidden="1">"c2842"</definedName>
    <definedName name="IQ_AIR_AIRPLANES_SUBLEASED" hidden="1">"c2841"</definedName>
    <definedName name="IQ_AIR_ASK" hidden="1">"c2813"</definedName>
    <definedName name="IQ_AIR_ASK_INCREASE" hidden="1">"c2826"</definedName>
    <definedName name="IQ_AIR_ASM" hidden="1">"c2812"</definedName>
    <definedName name="IQ_AIR_ASM_INCREASE" hidden="1">"c2825"</definedName>
    <definedName name="IQ_AIR_AVG_AGE" hidden="1">"c2843"</definedName>
    <definedName name="IQ_AIR_AVG_PSGR_FARE" hidden="1">"c10029"</definedName>
    <definedName name="IQ_AIR_BREAK_EVEN_FACTOR" hidden="1">"c2822"</definedName>
    <definedName name="IQ_AIR_CAPITAL_LEASE" hidden="1">"c2833"</definedName>
    <definedName name="IQ_AIR_COMPLETION_FACTOR" hidden="1">"c2824"</definedName>
    <definedName name="IQ_AIR_ENPLANED_PSGRS" hidden="1">"c2809"</definedName>
    <definedName name="IQ_AIR_FUEL_CONSUMED" hidden="1">"c2806"</definedName>
    <definedName name="IQ_AIR_FUEL_CONSUMED_L" hidden="1">"c2807"</definedName>
    <definedName name="IQ_AIR_FUEL_COST" hidden="1">"c2803"</definedName>
    <definedName name="IQ_AIR_FUEL_COST_L" hidden="1">"c2804"</definedName>
    <definedName name="IQ_AIR_FUEL_EXP" hidden="1">"c2802"</definedName>
    <definedName name="IQ_AIR_FUEL_EXP_PERCENT" hidden="1">"c2805"</definedName>
    <definedName name="IQ_AIR_LEASED" hidden="1">"c2835"</definedName>
    <definedName name="IQ_AIR_LOAD_FACTOR" hidden="1">"c2823"</definedName>
    <definedName name="IQ_AIR_NEW_AIRPLANES" hidden="1">"c2839"</definedName>
    <definedName name="IQ_AIR_NUMBER_HRS_FLOWN" hidden="1">"c10037"</definedName>
    <definedName name="IQ_AIR_NUMBER_OPERATING_AIRCRAFT_AVG" hidden="1">"c10035"</definedName>
    <definedName name="IQ_AIR_NUMBER_TRIPS_FLOWN" hidden="1">"c10030"</definedName>
    <definedName name="IQ_AIR_OPER_EXP_ASK" hidden="1">"c2821"</definedName>
    <definedName name="IQ_AIR_OPER_EXP_ASM" hidden="1">"c2820"</definedName>
    <definedName name="IQ_AIR_OPER_LEASE" hidden="1">"c2834"</definedName>
    <definedName name="IQ_AIR_OPER_REV_YIELD_ASK" hidden="1">"c2819"</definedName>
    <definedName name="IQ_AIR_OPER_REV_YIELD_ASM" hidden="1">"c2818"</definedName>
    <definedName name="IQ_AIR_OPEX_PER_ASK_EXCL_FUEL" hidden="1">"c10034"</definedName>
    <definedName name="IQ_AIR_OPEX_PER_ASM_EXCL_FUEL" hidden="1">"c10033"</definedName>
    <definedName name="IQ_AIR_OPTIONS" hidden="1">"c2837"</definedName>
    <definedName name="IQ_AIR_ORDERS" hidden="1">"c2836"</definedName>
    <definedName name="IQ_AIR_OWNED" hidden="1">"c2832"</definedName>
    <definedName name="IQ_AIR_PERCENTAGE_SALES_VIA_INTERNET" hidden="1">"c10036"</definedName>
    <definedName name="IQ_AIR_PSGR_HAUL_AVG_LENGTH_KM" hidden="1">"c10032"</definedName>
    <definedName name="IQ_AIR_PSGR_HAUL_AVG_LENGTH_MILES" hidden="1">"c10031"</definedName>
    <definedName name="IQ_AIR_PSGR_REV_YIELD_ASK" hidden="1">"c2817"</definedName>
    <definedName name="IQ_AIR_PSGR_REV_YIELD_ASM" hidden="1">"c2816"</definedName>
    <definedName name="IQ_AIR_PSGR_REV_YIELD_RPK" hidden="1">"c2815"</definedName>
    <definedName name="IQ_AIR_PSGR_REV_YIELD_RPM" hidden="1">"c2814"</definedName>
    <definedName name="IQ_AIR_PURCHASE_RIGHTS" hidden="1">"c2838"</definedName>
    <definedName name="IQ_AIR_RETIRED_AIRPLANES" hidden="1">"c2840"</definedName>
    <definedName name="IQ_AIR_REV_PSGRS_CARRIED" hidden="1">"c2808"</definedName>
    <definedName name="IQ_AIR_REV_SCHEDULED_SERVICE" hidden="1">"c2830"</definedName>
    <definedName name="IQ_AIR_RPK" hidden="1">"c2811"</definedName>
    <definedName name="IQ_AIR_RPM" hidden="1">"c2810"</definedName>
    <definedName name="IQ_AIR_STAGE_LENGTH" hidden="1">"c2828"</definedName>
    <definedName name="IQ_AIR_STAGE_LENGTH_KM" hidden="1">"c2829"</definedName>
    <definedName name="IQ_AIR_TOTAL" hidden="1">"c2831"</definedName>
    <definedName name="IQ_AIR_UTILIZATION" hidden="1">"c2827"</definedName>
    <definedName name="IQ_ALL_OTHER_DEPOSITS_FOREIGN_DEP_FFIEC" hidden="1">"c15347"</definedName>
    <definedName name="IQ_ALL_OTHER_INVEST_UNCONSOL_SUBS_FFIEC" hidden="1">"c15275"</definedName>
    <definedName name="IQ_ALL_OTHER_LEASES_CHARGE_OFFS_FFIEC" hidden="1">"c13185"</definedName>
    <definedName name="IQ_ALL_OTHER_LEASES_RECOV_FFIEC" hidden="1">"c13207"</definedName>
    <definedName name="IQ_ALL_OTHER_LOANS_CHARGE_OFFS_FFIEC" hidden="1">"c13183"</definedName>
    <definedName name="IQ_ALL_OTHER_LOANS_RECOV_FFIEC" hidden="1">"c13205"</definedName>
    <definedName name="IQ_ALL_OTHER_TRADING_LIABILITIES_DOM_FFIEC" hidden="1">"c12942"</definedName>
    <definedName name="IQ_ALLOW_BORROW_CONST" hidden="1">"c15"</definedName>
    <definedName name="IQ_ALLOW_CONST" hidden="1">"c1342"</definedName>
    <definedName name="IQ_ALLOW_DOUBT_ACCT" hidden="1">"c2092"</definedName>
    <definedName name="IQ_ALLOW_EQUITY_CONST" hidden="1">"c16"</definedName>
    <definedName name="IQ_ALLOW_LL" hidden="1">"c17"</definedName>
    <definedName name="IQ_ALLOW_LL_LOSSES_FFIEC" hidden="1">"c12810"</definedName>
    <definedName name="IQ_ALLOWABLE_T2_CAPITAL_FFIEC" hidden="1">"c13150"</definedName>
    <definedName name="IQ_ALLOWANCE_10YR_ANN_CAGR" hidden="1">"c6035"</definedName>
    <definedName name="IQ_ALLOWANCE_10YR_ANN_GROWTH" hidden="1">"c18"</definedName>
    <definedName name="IQ_ALLOWANCE_1YR_ANN_GROWTH" hidden="1">"c19"</definedName>
    <definedName name="IQ_ALLOWANCE_2YR_ANN_CAGR" hidden="1">"c6036"</definedName>
    <definedName name="IQ_ALLOWANCE_2YR_ANN_GROWTH" hidden="1">"c20"</definedName>
    <definedName name="IQ_ALLOWANCE_3YR_ANN_CAGR" hidden="1">"c6037"</definedName>
    <definedName name="IQ_ALLOWANCE_3YR_ANN_GROWTH" hidden="1">"c21"</definedName>
    <definedName name="IQ_ALLOWANCE_5YR_ANN_CAGR" hidden="1">"c6038"</definedName>
    <definedName name="IQ_ALLOWANCE_5YR_ANN_GROWTH" hidden="1">"c22"</definedName>
    <definedName name="IQ_ALLOWANCE_7YR_ANN_CAGR" hidden="1">"c6039"</definedName>
    <definedName name="IQ_ALLOWANCE_7YR_ANN_GROWTH" hidden="1">"c23"</definedName>
    <definedName name="IQ_ALLOWANCE_CHARGE_OFFS" hidden="1">"c24"</definedName>
    <definedName name="IQ_ALLOWANCE_CREDIT_LOSSES_OFF_BS_FFIEC" hidden="1">"c12871"</definedName>
    <definedName name="IQ_ALLOWANCE_LL_LOSSES_T2_FFIEC" hidden="1">"c13146"</definedName>
    <definedName name="IQ_ALLOWANCE_NON_PERF_LOANS" hidden="1">"c25"</definedName>
    <definedName name="IQ_ALLOWANCE_TOTAL_LOANS" hidden="1">"c26"</definedName>
    <definedName name="IQ_AMORT_EXP_IMPAIRMENT_OTHER_INTANGIBLE_ASSETS_FFIEC" hidden="1">"c13026"</definedName>
    <definedName name="IQ_AMORTIZATION" hidden="1">"c1591"</definedName>
    <definedName name="IQ_AMOUNT_FINANCIAL_LOC_CONVEYED_FFIEC" hidden="1">"c13250"</definedName>
    <definedName name="IQ_AMOUNT_PERFORMANCE_LOC_CONVEYED_FFIEC" hidden="1">"c13252"</definedName>
    <definedName name="IQ_AMT_OUT" hidden="1">"c2145"</definedName>
    <definedName name="IQ_ANALYST_EMAIL" hidden="1">"c13738"</definedName>
    <definedName name="IQ_ANALYST_NAME" hidden="1">"c13736"</definedName>
    <definedName name="IQ_ANALYST_PHONE" hidden="1">"c13737"</definedName>
    <definedName name="IQ_ANALYST_START_DATE" hidden="1">"c13740"</definedName>
    <definedName name="IQ_ANNU_DISTRIBUTION_UNIT" hidden="1">"c3004"</definedName>
    <definedName name="IQ_ANNUAL_PREMIUM_EQUIVALENT_NEW_BUSINESS" hidden="1">"c9972"</definedName>
    <definedName name="IQ_ANNUALIZED_DIVIDEND" hidden="1">"c1579"</definedName>
    <definedName name="IQ_ANNUITY_LIAB" hidden="1">"c27"</definedName>
    <definedName name="IQ_ANNUITY_PAY" hidden="1">"c28"</definedName>
    <definedName name="IQ_ANNUITY_POLICY_EXP" hidden="1">"c29"</definedName>
    <definedName name="IQ_ANNUITY_REC" hidden="1">"c30"</definedName>
    <definedName name="IQ_ANNUITY_REV" hidden="1">"c31"</definedName>
    <definedName name="IQ_ANNUITY_SALES_FEES_COMMISSIONS_FFIEC" hidden="1">"c13007"</definedName>
    <definedName name="IQ_AP" hidden="1">"c32"</definedName>
    <definedName name="IQ_AP_BNK" hidden="1">"c33"</definedName>
    <definedName name="IQ_AP_BR" hidden="1">"c34"</definedName>
    <definedName name="IQ_AP_FIN" hidden="1">"c35"</definedName>
    <definedName name="IQ_AP_INS" hidden="1">"c36"</definedName>
    <definedName name="IQ_AP_RE" hidden="1">"c6196"</definedName>
    <definedName name="IQ_AP_REIT" hidden="1">"c37"</definedName>
    <definedName name="IQ_AP_UTI" hidden="1">"c38"</definedName>
    <definedName name="IQ_APIC" hidden="1">"c39"</definedName>
    <definedName name="IQ_APPLICABLE_INCOME_TAXES_FTE_FFIEC" hidden="1">"c13853"</definedName>
    <definedName name="IQ_AR" hidden="1">"c40"</definedName>
    <definedName name="IQ_AR_BR" hidden="1">"c41"</definedName>
    <definedName name="IQ_AR_LT" hidden="1">"c42"</definedName>
    <definedName name="IQ_AR_RE" hidden="1">"c6197"</definedName>
    <definedName name="IQ_AR_REIT" hidden="1">"c43"</definedName>
    <definedName name="IQ_AR_TURNS" hidden="1">"c44"</definedName>
    <definedName name="IQ_AR_UTI" hidden="1">"c45"</definedName>
    <definedName name="IQ_ARPU" hidden="1">"c2126"</definedName>
    <definedName name="IQ_ARPU_ANALOG_CABLE" hidden="1">"c2864"</definedName>
    <definedName name="IQ_ARPU_BASIC_CABLE" hidden="1">"c2866"</definedName>
    <definedName name="IQ_ARPU_BBAND" hidden="1">"c2867"</definedName>
    <definedName name="IQ_ARPU_DIG_CABLE" hidden="1">"c2865"</definedName>
    <definedName name="IQ_ARPU_PHONE" hidden="1">"c2868"</definedName>
    <definedName name="IQ_ARPU_POSTPAID_WIRELESS" hidden="1">"c15758"</definedName>
    <definedName name="IQ_ARPU_PREPAID_WIRELESS" hidden="1">"c15759"</definedName>
    <definedName name="IQ_ARPU_RETAIL_WIRELESS" hidden="1">"c15760"</definedName>
    <definedName name="IQ_ARPU_SATELLITE" hidden="1">"c15790"</definedName>
    <definedName name="IQ_ARPU_TOTAL" hidden="1">"c2869"</definedName>
    <definedName name="IQ_ARPU_WHOLESALE_WIRELESS" hidden="1">"c15761"</definedName>
    <definedName name="IQ_ARPU_WIRELESS" hidden="1">"c2126"</definedName>
    <definedName name="IQ_ASSET_MGMT_FEE" hidden="1">"c46"</definedName>
    <definedName name="IQ_ASSET_TURNS" hidden="1">"c47"</definedName>
    <definedName name="IQ_ASSET_WRITEDOWN" hidden="1">"c48"</definedName>
    <definedName name="IQ_ASSET_WRITEDOWN_BNK" hidden="1">"c49"</definedName>
    <definedName name="IQ_ASSET_WRITEDOWN_BR" hidden="1">"c50"</definedName>
    <definedName name="IQ_ASSET_WRITEDOWN_CF" hidden="1">"c51"</definedName>
    <definedName name="IQ_ASSET_WRITEDOWN_CF_BNK" hidden="1">"c52"</definedName>
    <definedName name="IQ_ASSET_WRITEDOWN_CF_BR" hidden="1">"c53"</definedName>
    <definedName name="IQ_ASSET_WRITEDOWN_CF_FIN" hidden="1">"c54"</definedName>
    <definedName name="IQ_ASSET_WRITEDOWN_CF_INS" hidden="1">"c55"</definedName>
    <definedName name="IQ_ASSET_WRITEDOWN_CF_RE" hidden="1">"c6198"</definedName>
    <definedName name="IQ_ASSET_WRITEDOWN_CF_REIT" hidden="1">"c56"</definedName>
    <definedName name="IQ_ASSET_WRITEDOWN_CF_UTI" hidden="1">"c57"</definedName>
    <definedName name="IQ_ASSET_WRITEDOWN_FIN" hidden="1">"c58"</definedName>
    <definedName name="IQ_ASSET_WRITEDOWN_INS" hidden="1">"c59"</definedName>
    <definedName name="IQ_ASSET_WRITEDOWN_RE" hidden="1">"c6199"</definedName>
    <definedName name="IQ_ASSET_WRITEDOWN_REIT" hidden="1">"c60"</definedName>
    <definedName name="IQ_ASSET_WRITEDOWN_SUPPLE" hidden="1">"c13812"</definedName>
    <definedName name="IQ_ASSET_WRITEDOWN_UTI" hidden="1">"c61"</definedName>
    <definedName name="IQ_ASSETS_AP" hidden="1">"c8883"</definedName>
    <definedName name="IQ_ASSETS_AP_ABS" hidden="1">"c8902"</definedName>
    <definedName name="IQ_ASSETS_CAP_LEASE_DEPR" hidden="1">"c2068"</definedName>
    <definedName name="IQ_ASSETS_CAP_LEASE_GROSS" hidden="1">"c2069"</definedName>
    <definedName name="IQ_ASSETS_FAIR_VALUE" hidden="1">"c13843"</definedName>
    <definedName name="IQ_ASSETS_LEVEL_1" hidden="1">"c13839"</definedName>
    <definedName name="IQ_ASSETS_LEVEL_2" hidden="1">"c13840"</definedName>
    <definedName name="IQ_ASSETS_LEVEL_3" hidden="1">"c13841"</definedName>
    <definedName name="IQ_ASSETS_NAME_AP" hidden="1">"c8921"</definedName>
    <definedName name="IQ_ASSETS_NAME_AP_ABS" hidden="1">"c8940"</definedName>
    <definedName name="IQ_ASSETS_NETTING_OTHER_ADJUSTMENTS" hidden="1">"c13842"</definedName>
    <definedName name="IQ_ASSETS_OPER_LEASE_DEPR" hidden="1">"c2070"</definedName>
    <definedName name="IQ_ASSETS_OPER_LEASE_GROSS" hidden="1">"c2071"</definedName>
    <definedName name="IQ_ASSETS_REPRICE_ASSETS_TOT_FFIEC" hidden="1">"c13454"</definedName>
    <definedName name="IQ_ASSIGNED_RESERVES_COAL" hidden="1">"c15912"</definedName>
    <definedName name="IQ_ASSIGNED_RESERVES_TO_TOTAL_RESERVES_COAL" hidden="1">"c15955"</definedName>
    <definedName name="IQ_ASSUMED_AH_EARNED" hidden="1">"c2741"</definedName>
    <definedName name="IQ_ASSUMED_EARNED" hidden="1">"c2731"</definedName>
    <definedName name="IQ_ASSUMED_LIFE_EARNED" hidden="1">"c2736"</definedName>
    <definedName name="IQ_ASSUMED_LIFE_IN_FORCE" hidden="1">"c2766"</definedName>
    <definedName name="IQ_ASSUMED_LOSSES" hidden="1">"c15870"</definedName>
    <definedName name="IQ_ASSUMED_PC_EARNED" hidden="1">"c2746"</definedName>
    <definedName name="IQ_ASSUMED_PREMIUMS_EARNED_GROSS_PREMIUMS_EARNED" hidden="1">"c15886"</definedName>
    <definedName name="IQ_ASSUMED_PREMIUMS_WRITTEN_GROSS_PREMIUMS_WRITTEN" hidden="1">"c15884"</definedName>
    <definedName name="IQ_ASSUMED_WRITTEN" hidden="1">"c2725"</definedName>
    <definedName name="IQ_ATM_FEES_FFIEC" hidden="1">"c13042"</definedName>
    <definedName name="IQ_ATM_INTERCHANGE_EXPENSES_FFIEC" hidden="1">"c13056"</definedName>
    <definedName name="IQ_AUDITOR_NAME" hidden="1">"c1539"</definedName>
    <definedName name="IQ_AUDITOR_OPINION" hidden="1">"c1540"</definedName>
    <definedName name="IQ_AUM" hidden="1">"c10043"</definedName>
    <definedName name="IQ_AUM_EQUITY_FUNDS" hidden="1">"c10039"</definedName>
    <definedName name="IQ_AUM_FIXED_INCOME_FUNDS" hidden="1">"c10040"</definedName>
    <definedName name="IQ_AUM_MONEY_MARKET_FUNDS" hidden="1">"c10041"</definedName>
    <definedName name="IQ_AUM_OTHER" hidden="1">"c10042"</definedName>
    <definedName name="IQ_AUTO_LOANS_TOTAL_LOANS" hidden="1">"c15713"</definedName>
    <definedName name="IQ_AUTO_REGIST_NEW" hidden="1">"c6923"</definedName>
    <definedName name="IQ_AUTO_REGIST_NEW_APR" hidden="1">"c7583"</definedName>
    <definedName name="IQ_AUTO_REGIST_NEW_APR_FC" hidden="1">"c8463"</definedName>
    <definedName name="IQ_AUTO_REGIST_NEW_FC" hidden="1">"c7803"</definedName>
    <definedName name="IQ_AUTO_REGIST_NEW_POP" hidden="1">"c7143"</definedName>
    <definedName name="IQ_AUTO_REGIST_NEW_POP_FC" hidden="1">"c8023"</definedName>
    <definedName name="IQ_AUTO_REGIST_NEW_YOY" hidden="1">"c7363"</definedName>
    <definedName name="IQ_AUTO_REGIST_NEW_YOY_FC" hidden="1">"c8243"</definedName>
    <definedName name="IQ_AUTO_SALES_DOM" hidden="1">"c6852"</definedName>
    <definedName name="IQ_AUTO_SALES_DOM_APR" hidden="1">"c7512"</definedName>
    <definedName name="IQ_AUTO_SALES_DOM_APR_FC" hidden="1">"c8392"</definedName>
    <definedName name="IQ_AUTO_SALES_DOM_FC" hidden="1">"c7732"</definedName>
    <definedName name="IQ_AUTO_SALES_DOM_POP" hidden="1">"c7072"</definedName>
    <definedName name="IQ_AUTO_SALES_DOM_POP_FC" hidden="1">"c7952"</definedName>
    <definedName name="IQ_AUTO_SALES_DOM_YOY" hidden="1">"c7292"</definedName>
    <definedName name="IQ_AUTO_SALES_DOM_YOY_FC" hidden="1">"c8172"</definedName>
    <definedName name="IQ_AUTO_SALES_FOREIGN" hidden="1">"c6873"</definedName>
    <definedName name="IQ_AUTO_SALES_FOREIGN_APR" hidden="1">"c7533"</definedName>
    <definedName name="IQ_AUTO_SALES_FOREIGN_APR_FC" hidden="1">"c8413"</definedName>
    <definedName name="IQ_AUTO_SALES_FOREIGN_FC" hidden="1">"c7753"</definedName>
    <definedName name="IQ_AUTO_SALES_FOREIGN_POP" hidden="1">"c7093"</definedName>
    <definedName name="IQ_AUTO_SALES_FOREIGN_POP_FC" hidden="1">"c7973"</definedName>
    <definedName name="IQ_AUTO_SALES_FOREIGN_YOY" hidden="1">"c7313"</definedName>
    <definedName name="IQ_AUTO_SALES_FOREIGN_YOY_FC" hidden="1">"c8193"</definedName>
    <definedName name="IQ_AUTO_WRITTEN" hidden="1">"c62"</definedName>
    <definedName name="IQ_AVAIL_FOR_SALE_FAIR_VALUE_TOT_FFIEC" hidden="1">"c15399"</definedName>
    <definedName name="IQ_AVAIL_FOR_SALE_LEVEL_1_FFIEC" hidden="1">"c15421"</definedName>
    <definedName name="IQ_AVAIL_FOR_SALE_LEVEL_2_FFIEC" hidden="1">"c15434"</definedName>
    <definedName name="IQ_AVAIL_FOR_SALE_LEVEL_3_FFIEC" hidden="1">"c15447"</definedName>
    <definedName name="IQ_AVAILABLE_SALE_SEC_FFIEC" hidden="1">"c12791"</definedName>
    <definedName name="IQ_AVERAGE_DEPOSITS" hidden="1">"c15256"</definedName>
    <definedName name="IQ_AVERAGE_INTEREST_BEARING_DEPOSITS" hidden="1">"c15254"</definedName>
    <definedName name="IQ_AVERAGE_LOANS_HFI" hidden="1">"c15251"</definedName>
    <definedName name="IQ_AVERAGE_LOANS_HFS" hidden="1">"c15252"</definedName>
    <definedName name="IQ_AVERAGE_NON_INTEREST_BEARING_DEPOSITS" hidden="1">"c15255"</definedName>
    <definedName name="IQ_AVG_BANK_ASSETS" hidden="1">"c2072"</definedName>
    <definedName name="IQ_AVG_BANK_LOANS" hidden="1">"c2073"</definedName>
    <definedName name="IQ_AVG_BROKER_REC" hidden="1">"c63"</definedName>
    <definedName name="IQ_AVG_BROKER_REC_CIQ" hidden="1">"c3612"</definedName>
    <definedName name="IQ_AVG_BROKER_REC_NO" hidden="1">"c64"</definedName>
    <definedName name="IQ_AVG_BROKER_REC_NO_CIQ" hidden="1">"c4657"</definedName>
    <definedName name="IQ_AVG_BROKER_REC_NO_REUT" hidden="1">"c5315"</definedName>
    <definedName name="IQ_AVG_BROKER_REC_NO_THOM" hidden="1">"c5094"</definedName>
    <definedName name="IQ_AVG_BROKER_REC_REUT" hidden="1">"c3630"</definedName>
    <definedName name="IQ_AVG_BROKER_REC_THOM" hidden="1">"c3648"</definedName>
    <definedName name="IQ_AVG_CALORIFIC_VALUE_COAL" hidden="1">"c9828"</definedName>
    <definedName name="IQ_AVG_CALORIFIC_VALUE_MET_COAL" hidden="1">"c9764"</definedName>
    <definedName name="IQ_AVG_CALORIFIC_VALUE_STEAM" hidden="1">"c9794"</definedName>
    <definedName name="IQ_AVG_DAILY_VOL" hidden="1">"c65"</definedName>
    <definedName name="IQ_AVG_EMPLOYEES" hidden="1">"c6019"</definedName>
    <definedName name="IQ_AVG_GRADE_ALUM" hidden="1">"c9254"</definedName>
    <definedName name="IQ_AVG_GRADE_COP" hidden="1">"c9201"</definedName>
    <definedName name="IQ_AVG_GRADE_DIAM" hidden="1">"c9678"</definedName>
    <definedName name="IQ_AVG_GRADE_GOLD" hidden="1">"c9039"</definedName>
    <definedName name="IQ_AVG_GRADE_IRON" hidden="1">"c9413"</definedName>
    <definedName name="IQ_AVG_GRADE_LEAD" hidden="1">"c9466"</definedName>
    <definedName name="IQ_AVG_GRADE_MANG" hidden="1">"c9519"</definedName>
    <definedName name="IQ_AVG_GRADE_MOLYB" hidden="1">"c9731"</definedName>
    <definedName name="IQ_AVG_GRADE_NICK" hidden="1">"c9307"</definedName>
    <definedName name="IQ_AVG_GRADE_PLAT" hidden="1">"c9145"</definedName>
    <definedName name="IQ_AVG_GRADE_SILVER" hidden="1">"c9092"</definedName>
    <definedName name="IQ_AVG_GRADE_TITAN" hidden="1">"c9572"</definedName>
    <definedName name="IQ_AVG_GRADE_URAN" hidden="1">"c9625"</definedName>
    <definedName name="IQ_AVG_GRADE_ZINC" hidden="1">"c9360"</definedName>
    <definedName name="IQ_AVG_INDUSTRY_REC" hidden="1">"c4455"</definedName>
    <definedName name="IQ_AVG_INDUSTRY_REC_CIQ" hidden="1">"c4984"</definedName>
    <definedName name="IQ_AVG_INDUSTRY_REC_NO" hidden="1">"c4454"</definedName>
    <definedName name="IQ_AVG_INT_BEAR_LIAB" hidden="1">"c66"</definedName>
    <definedName name="IQ_AVG_INT_BEAR_LIAB_10YR_ANN_CAGR" hidden="1">"c6040"</definedName>
    <definedName name="IQ_AVG_INT_BEAR_LIAB_10YR_ANN_GROWTH" hidden="1">"c67"</definedName>
    <definedName name="IQ_AVG_INT_BEAR_LIAB_1YR_ANN_GROWTH" hidden="1">"c68"</definedName>
    <definedName name="IQ_AVG_INT_BEAR_LIAB_2YR_ANN_CAGR" hidden="1">"c6041"</definedName>
    <definedName name="IQ_AVG_INT_BEAR_LIAB_2YR_ANN_GROWTH" hidden="1">"c69"</definedName>
    <definedName name="IQ_AVG_INT_BEAR_LIAB_3YR_ANN_CAGR" hidden="1">"c6042"</definedName>
    <definedName name="IQ_AVG_INT_BEAR_LIAB_3YR_ANN_GROWTH" hidden="1">"c70"</definedName>
    <definedName name="IQ_AVG_INT_BEAR_LIAB_5YR_ANN_CAGR" hidden="1">"c6043"</definedName>
    <definedName name="IQ_AVG_INT_BEAR_LIAB_5YR_ANN_GROWTH" hidden="1">"c71"</definedName>
    <definedName name="IQ_AVG_INT_BEAR_LIAB_7YR_ANN_CAGR" hidden="1">"c6044"</definedName>
    <definedName name="IQ_AVG_INT_BEAR_LIAB_7YR_ANN_GROWTH" hidden="1">"c72"</definedName>
    <definedName name="IQ_AVG_INT_EARN_ASSETS" hidden="1">"c73"</definedName>
    <definedName name="IQ_AVG_INT_EARN_ASSETS_10YR_ANN_CAGR" hidden="1">"c6045"</definedName>
    <definedName name="IQ_AVG_INT_EARN_ASSETS_10YR_ANN_GROWTH" hidden="1">"c74"</definedName>
    <definedName name="IQ_AVG_INT_EARN_ASSETS_1YR_ANN_GROWTH" hidden="1">"c75"</definedName>
    <definedName name="IQ_AVG_INT_EARN_ASSETS_2YR_ANN_CAGR" hidden="1">"c6046"</definedName>
    <definedName name="IQ_AVG_INT_EARN_ASSETS_2YR_ANN_GROWTH" hidden="1">"c76"</definedName>
    <definedName name="IQ_AVG_INT_EARN_ASSETS_3YR_ANN_CAGR" hidden="1">"c6047"</definedName>
    <definedName name="IQ_AVG_INT_EARN_ASSETS_3YR_ANN_GROWTH" hidden="1">"c77"</definedName>
    <definedName name="IQ_AVG_INT_EARN_ASSETS_5YR_ANN_CAGR" hidden="1">"c6048"</definedName>
    <definedName name="IQ_AVG_INT_EARN_ASSETS_5YR_ANN_GROWTH" hidden="1">"c78"</definedName>
    <definedName name="IQ_AVG_INT_EARN_ASSETS_7YR_ANN_CAGR" hidden="1">"c6049"</definedName>
    <definedName name="IQ_AVG_INT_EARN_ASSETS_7YR_ANN_GROWTH" hidden="1">"c79"</definedName>
    <definedName name="IQ_AVG_INV_HOMEBUILDING" hidden="1">"c15812"</definedName>
    <definedName name="IQ_AVG_INV_HOMES" hidden="1">"c15810"</definedName>
    <definedName name="IQ_AVG_INV_LAND_LOTS" hidden="1">"c15811"</definedName>
    <definedName name="IQ_AVG_MKTCAP" hidden="1">"c80"</definedName>
    <definedName name="IQ_AVG_PRICE" hidden="1">"c81"</definedName>
    <definedName name="IQ_AVG_PRODUCTION_PER_MINE_ALUM" hidden="1">"c9249"</definedName>
    <definedName name="IQ_AVG_PRODUCTION_PER_MINE_COAL" hidden="1">"c9823"</definedName>
    <definedName name="IQ_AVG_PRODUCTION_PER_MINE_COP" hidden="1">"c9194"</definedName>
    <definedName name="IQ_AVG_PRODUCTION_PER_MINE_DIAM" hidden="1">"c9673"</definedName>
    <definedName name="IQ_AVG_PRODUCTION_PER_MINE_GOLD" hidden="1">"c9034"</definedName>
    <definedName name="IQ_AVG_PRODUCTION_PER_MINE_IRON" hidden="1">"c9408"</definedName>
    <definedName name="IQ_AVG_PRODUCTION_PER_MINE_LEAD" hidden="1">"c9461"</definedName>
    <definedName name="IQ_AVG_PRODUCTION_PER_MINE_MANG" hidden="1">"c9514"</definedName>
    <definedName name="IQ_AVG_PRODUCTION_PER_MINE_MOLYB" hidden="1">"c9726"</definedName>
    <definedName name="IQ_AVG_PRODUCTION_PER_MINE_NICK" hidden="1">"c9302"</definedName>
    <definedName name="IQ_AVG_PRODUCTION_PER_MINE_PLAT" hidden="1">"c9140"</definedName>
    <definedName name="IQ_AVG_PRODUCTION_PER_MINE_SILVER" hidden="1">"c9087"</definedName>
    <definedName name="IQ_AVG_PRODUCTION_PER_MINE_TITAN" hidden="1">"c9567"</definedName>
    <definedName name="IQ_AVG_PRODUCTION_PER_MINE_URAN" hidden="1">"c9620"</definedName>
    <definedName name="IQ_AVG_PRODUCTION_PER_MINE_ZINC" hidden="1">"c9355"</definedName>
    <definedName name="IQ_AVG_REAL_PRICE_POST_TREAT_REFINING_ALUM" hidden="1">"c9259"</definedName>
    <definedName name="IQ_AVG_REAL_PRICE_POST_TREAT_REFINING_COP" hidden="1">"c9206"</definedName>
    <definedName name="IQ_AVG_REAL_PRICE_POST_TREAT_REFINING_DIAM" hidden="1">"c9683"</definedName>
    <definedName name="IQ_AVG_REAL_PRICE_POST_TREAT_REFINING_GOLD" hidden="1">"c9044"</definedName>
    <definedName name="IQ_AVG_REAL_PRICE_POST_TREAT_REFINING_IRON" hidden="1">"c9418"</definedName>
    <definedName name="IQ_AVG_REAL_PRICE_POST_TREAT_REFINING_LEAD" hidden="1">"c9471"</definedName>
    <definedName name="IQ_AVG_REAL_PRICE_POST_TREAT_REFINING_MANG" hidden="1">"c9524"</definedName>
    <definedName name="IQ_AVG_REAL_PRICE_POST_TREAT_REFINING_MOLYB" hidden="1">"c9736"</definedName>
    <definedName name="IQ_AVG_REAL_PRICE_POST_TREAT_REFINING_NICK" hidden="1">"c9311"</definedName>
    <definedName name="IQ_AVG_REAL_PRICE_POST_TREAT_REFINING_PLAT" hidden="1">"c9150"</definedName>
    <definedName name="IQ_AVG_REAL_PRICE_POST_TREAT_REFINING_SILVER" hidden="1">"c9097"</definedName>
    <definedName name="IQ_AVG_REAL_PRICE_POST_TREAT_REFINING_TITAN" hidden="1">"c9577"</definedName>
    <definedName name="IQ_AVG_REAL_PRICE_POST_TREAT_REFINING_URAN" hidden="1">"c9630"</definedName>
    <definedName name="IQ_AVG_REAL_PRICE_POST_TREAT_REFINING_ZINC" hidden="1">"c9365"</definedName>
    <definedName name="IQ_AVG_REAL_PRICE_PRE_TREAT_REFINING_ALUM" hidden="1">"c9258"</definedName>
    <definedName name="IQ_AVG_REAL_PRICE_PRE_TREAT_REFINING_COP" hidden="1">"c9205"</definedName>
    <definedName name="IQ_AVG_REAL_PRICE_PRE_TREAT_REFINING_DIAM" hidden="1">"c9682"</definedName>
    <definedName name="IQ_AVG_REAL_PRICE_PRE_TREAT_REFINING_GOLD" hidden="1">"c9043"</definedName>
    <definedName name="IQ_AVG_REAL_PRICE_PRE_TREAT_REFINING_IRON" hidden="1">"c9417"</definedName>
    <definedName name="IQ_AVG_REAL_PRICE_PRE_TREAT_REFINING_LEAD" hidden="1">"c9470"</definedName>
    <definedName name="IQ_AVG_REAL_PRICE_PRE_TREAT_REFINING_MANG" hidden="1">"c9523"</definedName>
    <definedName name="IQ_AVG_REAL_PRICE_PRE_TREAT_REFINING_MOLYB" hidden="1">"c9735"</definedName>
    <definedName name="IQ_AVG_REAL_PRICE_PRE_TREAT_REFINING_NICK" hidden="1">"c9312"</definedName>
    <definedName name="IQ_AVG_REAL_PRICE_PRE_TREAT_REFINING_PLAT" hidden="1">"c9149"</definedName>
    <definedName name="IQ_AVG_REAL_PRICE_PRE_TREAT_REFINING_SILVER" hidden="1">"c9096"</definedName>
    <definedName name="IQ_AVG_REAL_PRICE_PRE_TREAT_REFINING_TITAN" hidden="1">"c9576"</definedName>
    <definedName name="IQ_AVG_REAL_PRICE_PRE_TREAT_REFINING_URAN" hidden="1">"c9629"</definedName>
    <definedName name="IQ_AVG_REAL_PRICE_PRE_TREAT_REFINING_ZINC" hidden="1">"c9364"</definedName>
    <definedName name="IQ_AVG_REALIZED_PRICE_AFTER_HEDGING_ALUM" hidden="1">"c9257"</definedName>
    <definedName name="IQ_AVG_REALIZED_PRICE_AFTER_HEDGING_COAL" hidden="1">"c9830"</definedName>
    <definedName name="IQ_AVG_REALIZED_PRICE_AFTER_HEDGING_COP" hidden="1">"c9204"</definedName>
    <definedName name="IQ_AVG_REALIZED_PRICE_AFTER_HEDGING_DIAM" hidden="1">"c9681"</definedName>
    <definedName name="IQ_AVG_REALIZED_PRICE_AFTER_HEDGING_GOLD" hidden="1">"c9042"</definedName>
    <definedName name="IQ_AVG_REALIZED_PRICE_AFTER_HEDGING_IRON" hidden="1">"c9416"</definedName>
    <definedName name="IQ_AVG_REALIZED_PRICE_AFTER_HEDGING_LEAD" hidden="1">"c9469"</definedName>
    <definedName name="IQ_AVG_REALIZED_PRICE_AFTER_HEDGING_MANG" hidden="1">"c9522"</definedName>
    <definedName name="IQ_AVG_REALIZED_PRICE_AFTER_HEDGING_MET_COAL" hidden="1">"c9766"</definedName>
    <definedName name="IQ_AVG_REALIZED_PRICE_AFTER_HEDGING_MOLYB" hidden="1">"c9734"</definedName>
    <definedName name="IQ_AVG_REALIZED_PRICE_AFTER_HEDGING_NICK" hidden="1">"c9310"</definedName>
    <definedName name="IQ_AVG_REALIZED_PRICE_AFTER_HEDGING_PLAT" hidden="1">"c9148"</definedName>
    <definedName name="IQ_AVG_REALIZED_PRICE_AFTER_HEDGING_SILVER" hidden="1">"c9095"</definedName>
    <definedName name="IQ_AVG_REALIZED_PRICE_AFTER_HEDGING_STEAM" hidden="1">"c9796"</definedName>
    <definedName name="IQ_AVG_REALIZED_PRICE_AFTER_HEDGING_TITAN" hidden="1">"c9575"</definedName>
    <definedName name="IQ_AVG_REALIZED_PRICE_AFTER_HEDGING_URAN" hidden="1">"c9628"</definedName>
    <definedName name="IQ_AVG_REALIZED_PRICE_AFTER_HEDGING_ZINC" hidden="1">"c9363"</definedName>
    <definedName name="IQ_AVG_REALIZED_PRICE_BEFORE_HEDGING_ALUM" hidden="1">"c9256"</definedName>
    <definedName name="IQ_AVG_REALIZED_PRICE_BEFORE_HEDGING_COAL" hidden="1">"c9829"</definedName>
    <definedName name="IQ_AVG_REALIZED_PRICE_BEFORE_HEDGING_COP" hidden="1">"c9203"</definedName>
    <definedName name="IQ_AVG_REALIZED_PRICE_BEFORE_HEDGING_DIAM" hidden="1">"c9680"</definedName>
    <definedName name="IQ_AVG_REALIZED_PRICE_BEFORE_HEDGING_GOLD" hidden="1">"c9041"</definedName>
    <definedName name="IQ_AVG_REALIZED_PRICE_BEFORE_HEDGING_IRON" hidden="1">"c9415"</definedName>
    <definedName name="IQ_AVG_REALIZED_PRICE_BEFORE_HEDGING_LEAD" hidden="1">"c9468"</definedName>
    <definedName name="IQ_AVG_REALIZED_PRICE_BEFORE_HEDGING_MANG" hidden="1">"c9521"</definedName>
    <definedName name="IQ_AVG_REALIZED_PRICE_BEFORE_HEDGING_MET_COAL" hidden="1">"c9765"</definedName>
    <definedName name="IQ_AVG_REALIZED_PRICE_BEFORE_HEDGING_MOLYB" hidden="1">"c9733"</definedName>
    <definedName name="IQ_AVG_REALIZED_PRICE_BEFORE_HEDGING_NICK" hidden="1">"c9309"</definedName>
    <definedName name="IQ_AVG_REALIZED_PRICE_BEFORE_HEDGING_PLAT" hidden="1">"c9147"</definedName>
    <definedName name="IQ_AVG_REALIZED_PRICE_BEFORE_HEDGING_SILVER" hidden="1">"c9094"</definedName>
    <definedName name="IQ_AVG_REALIZED_PRICE_BEFORE_HEDGING_STEAM" hidden="1">"c9795"</definedName>
    <definedName name="IQ_AVG_REALIZED_PRICE_BEFORE_HEDGING_TITAN" hidden="1">"c9574"</definedName>
    <definedName name="IQ_AVG_REALIZED_PRICE_BEFORE_HEDGING_URAN" hidden="1">"c9627"</definedName>
    <definedName name="IQ_AVG_REALIZED_PRICE_BEFORE_HEDGING_ZINC" hidden="1">"c9362"</definedName>
    <definedName name="IQ_AVG_SHAREOUTSTANDING" hidden="1">"c83"</definedName>
    <definedName name="IQ_AVG_TEMP_EMPLOYEES" hidden="1">"c6020"</definedName>
    <definedName name="IQ_AVG_TEV" hidden="1">"c84"</definedName>
    <definedName name="IQ_AVG_TOTAL_ASSETS_LEVERAGE_CAPITAL_FFIEC" hidden="1">"c13159"</definedName>
    <definedName name="IQ_AVG_TOTAL_ASSETS_LEVERAGE_RATIO_FFIEC" hidden="1">"c13154"</definedName>
    <definedName name="IQ_AVG_VOLUME" hidden="1">"c1346"</definedName>
    <definedName name="IQ_AVG_WAGES" hidden="1">"c6812"</definedName>
    <definedName name="IQ_AVG_WAGES_APR" hidden="1">"c7472"</definedName>
    <definedName name="IQ_AVG_WAGES_APR_FC" hidden="1">"c8352"</definedName>
    <definedName name="IQ_AVG_WAGES_FC" hidden="1">"c7692"</definedName>
    <definedName name="IQ_AVG_WAGES_POP" hidden="1">"c7032"</definedName>
    <definedName name="IQ_AVG_WAGES_POP_FC" hidden="1">"c7912"</definedName>
    <definedName name="IQ_AVG_WAGES_YOY" hidden="1">"c7252"</definedName>
    <definedName name="IQ_AVG_WAGES_YOY_FC" hidden="1">"c8132"</definedName>
    <definedName name="IQ_BALANCE_GOODS_APR_FC_UNUSED" hidden="1">"c8353"</definedName>
    <definedName name="IQ_BALANCE_GOODS_APR_UNUSED" hidden="1">"c7473"</definedName>
    <definedName name="IQ_BALANCE_GOODS_FC_UNUSED" hidden="1">"c7693"</definedName>
    <definedName name="IQ_BALANCE_GOODS_POP_FC_UNUSED" hidden="1">"c7913"</definedName>
    <definedName name="IQ_BALANCE_GOODS_POP_UNUSED" hidden="1">"c7033"</definedName>
    <definedName name="IQ_BALANCE_GOODS_REAL" hidden="1">"c6952"</definedName>
    <definedName name="IQ_BALANCE_GOODS_REAL_APR" hidden="1">"c7612"</definedName>
    <definedName name="IQ_BALANCE_GOODS_REAL_APR_FC" hidden="1">"c8492"</definedName>
    <definedName name="IQ_BALANCE_GOODS_REAL_FC" hidden="1">"c7832"</definedName>
    <definedName name="IQ_BALANCE_GOODS_REAL_POP" hidden="1">"c7172"</definedName>
    <definedName name="IQ_BALANCE_GOODS_REAL_POP_FC" hidden="1">"c8052"</definedName>
    <definedName name="IQ_BALANCE_GOODS_REAL_SAAR" hidden="1">"c6953"</definedName>
    <definedName name="IQ_BALANCE_GOODS_REAL_SAAR_APR" hidden="1">"c7613"</definedName>
    <definedName name="IQ_BALANCE_GOODS_REAL_SAAR_APR_FC" hidden="1">"c8493"</definedName>
    <definedName name="IQ_BALANCE_GOODS_REAL_SAAR_FC" hidden="1">"c7833"</definedName>
    <definedName name="IQ_BALANCE_GOODS_REAL_SAAR_POP" hidden="1">"c7173"</definedName>
    <definedName name="IQ_BALANCE_GOODS_REAL_SAAR_POP_FC" hidden="1">"c8053"</definedName>
    <definedName name="IQ_BALANCE_GOODS_REAL_SAAR_USD_APR_FC" hidden="1">"c11893"</definedName>
    <definedName name="IQ_BALANCE_GOODS_REAL_SAAR_USD_FC" hidden="1">"c11890"</definedName>
    <definedName name="IQ_BALANCE_GOODS_REAL_SAAR_USD_POP_FC" hidden="1">"c11891"</definedName>
    <definedName name="IQ_BALANCE_GOODS_REAL_SAAR_USD_YOY_FC" hidden="1">"c11892"</definedName>
    <definedName name="IQ_BALANCE_GOODS_REAL_SAAR_YOY" hidden="1">"c7393"</definedName>
    <definedName name="IQ_BALANCE_GOODS_REAL_SAAR_YOY_FC" hidden="1">"c8273"</definedName>
    <definedName name="IQ_BALANCE_GOODS_REAL_USD_APR_FC" hidden="1">"c11889"</definedName>
    <definedName name="IQ_BALANCE_GOODS_REAL_USD_FC" hidden="1">"c11886"</definedName>
    <definedName name="IQ_BALANCE_GOODS_REAL_USD_POP_FC" hidden="1">"c11887"</definedName>
    <definedName name="IQ_BALANCE_GOODS_REAL_USD_YOY_FC" hidden="1">"c11888"</definedName>
    <definedName name="IQ_BALANCE_GOODS_REAL_YOY" hidden="1">"c7392"</definedName>
    <definedName name="IQ_BALANCE_GOODS_REAL_YOY_FC" hidden="1">"c8272"</definedName>
    <definedName name="IQ_BALANCE_GOODS_SAAR" hidden="1">"c6814"</definedName>
    <definedName name="IQ_BALANCE_GOODS_SAAR_APR" hidden="1">"c7474"</definedName>
    <definedName name="IQ_BALANCE_GOODS_SAAR_APR_FC" hidden="1">"c8354"</definedName>
    <definedName name="IQ_BALANCE_GOODS_SAAR_FC" hidden="1">"c7694"</definedName>
    <definedName name="IQ_BALANCE_GOODS_SAAR_POP" hidden="1">"c7034"</definedName>
    <definedName name="IQ_BALANCE_GOODS_SAAR_POP_FC" hidden="1">"c7914"</definedName>
    <definedName name="IQ_BALANCE_GOODS_SAAR_USD_APR_FC" hidden="1">"c11762"</definedName>
    <definedName name="IQ_BALANCE_GOODS_SAAR_USD_FC" hidden="1">"c11759"</definedName>
    <definedName name="IQ_BALANCE_GOODS_SAAR_USD_POP_FC" hidden="1">"c11760"</definedName>
    <definedName name="IQ_BALANCE_GOODS_SAAR_USD_YOY_FC" hidden="1">"c11761"</definedName>
    <definedName name="IQ_BALANCE_GOODS_SAAR_YOY" hidden="1">"c7254"</definedName>
    <definedName name="IQ_BALANCE_GOODS_SAAR_YOY_FC" hidden="1">"c8134"</definedName>
    <definedName name="IQ_BALANCE_GOODS_UNUSED" hidden="1">"c6813"</definedName>
    <definedName name="IQ_BALANCE_GOODS_USD_APR_FC" hidden="1">"c11758"</definedName>
    <definedName name="IQ_BALANCE_GOODS_USD_FC" hidden="1">"c11755"</definedName>
    <definedName name="IQ_BALANCE_GOODS_USD_POP_FC" hidden="1">"c11756"</definedName>
    <definedName name="IQ_BALANCE_GOODS_USD_YOY_FC" hidden="1">"c11757"</definedName>
    <definedName name="IQ_BALANCE_GOODS_YOY_FC_UNUSED" hidden="1">"c8133"</definedName>
    <definedName name="IQ_BALANCE_GOODS_YOY_UNUSED" hidden="1">"c7253"</definedName>
    <definedName name="IQ_BALANCE_SERV_APR_FC_UNUSED" hidden="1">"c8355"</definedName>
    <definedName name="IQ_BALANCE_SERV_APR_UNUSED" hidden="1">"c7475"</definedName>
    <definedName name="IQ_BALANCE_SERV_FC_UNUSED" hidden="1">"c7695"</definedName>
    <definedName name="IQ_BALANCE_SERV_POP_FC_UNUSED" hidden="1">"c7915"</definedName>
    <definedName name="IQ_BALANCE_SERV_POP_UNUSED" hidden="1">"c7035"</definedName>
    <definedName name="IQ_BALANCE_SERV_SAAR" hidden="1">"c6816"</definedName>
    <definedName name="IQ_BALANCE_SERV_SAAR_APR" hidden="1">"c7476"</definedName>
    <definedName name="IQ_BALANCE_SERV_SAAR_APR_FC" hidden="1">"c8356"</definedName>
    <definedName name="IQ_BALANCE_SERV_SAAR_FC" hidden="1">"c7696"</definedName>
    <definedName name="IQ_BALANCE_SERV_SAAR_POP" hidden="1">"c7036"</definedName>
    <definedName name="IQ_BALANCE_SERV_SAAR_POP_FC" hidden="1">"c7916"</definedName>
    <definedName name="IQ_BALANCE_SERV_SAAR_YOY" hidden="1">"c7256"</definedName>
    <definedName name="IQ_BALANCE_SERV_SAAR_YOY_FC" hidden="1">"c8136"</definedName>
    <definedName name="IQ_BALANCE_SERV_UNUSED" hidden="1">"c6815"</definedName>
    <definedName name="IQ_BALANCE_SERV_USD_APR_FC" hidden="1">"c11766"</definedName>
    <definedName name="IQ_BALANCE_SERV_USD_FC" hidden="1">"c11763"</definedName>
    <definedName name="IQ_BALANCE_SERV_USD_POP_FC" hidden="1">"c11764"</definedName>
    <definedName name="IQ_BALANCE_SERV_USD_YOY_FC" hidden="1">"c11765"</definedName>
    <definedName name="IQ_BALANCE_SERV_YOY_FC_UNUSED" hidden="1">"c8135"</definedName>
    <definedName name="IQ_BALANCE_SERV_YOY_UNUSED" hidden="1">"c7255"</definedName>
    <definedName name="IQ_BALANCE_SERVICES_REAL" hidden="1">"c6954"</definedName>
    <definedName name="IQ_BALANCE_SERVICES_REAL_APR" hidden="1">"c7614"</definedName>
    <definedName name="IQ_BALANCE_SERVICES_REAL_APR_FC" hidden="1">"c8494"</definedName>
    <definedName name="IQ_BALANCE_SERVICES_REAL_FC" hidden="1">"c7834"</definedName>
    <definedName name="IQ_BALANCE_SERVICES_REAL_POP" hidden="1">"c7174"</definedName>
    <definedName name="IQ_BALANCE_SERVICES_REAL_POP_FC" hidden="1">"c8054"</definedName>
    <definedName name="IQ_BALANCE_SERVICES_REAL_SAAR" hidden="1">"c6955"</definedName>
    <definedName name="IQ_BALANCE_SERVICES_REAL_SAAR_APR" hidden="1">"c7615"</definedName>
    <definedName name="IQ_BALANCE_SERVICES_REAL_SAAR_APR_FC" hidden="1">"c8495"</definedName>
    <definedName name="IQ_BALANCE_SERVICES_REAL_SAAR_FC" hidden="1">"c7835"</definedName>
    <definedName name="IQ_BALANCE_SERVICES_REAL_SAAR_POP" hidden="1">"c7175"</definedName>
    <definedName name="IQ_BALANCE_SERVICES_REAL_SAAR_POP_FC" hidden="1">"c8055"</definedName>
    <definedName name="IQ_BALANCE_SERVICES_REAL_SAAR_YOY" hidden="1">"c7395"</definedName>
    <definedName name="IQ_BALANCE_SERVICES_REAL_SAAR_YOY_FC" hidden="1">"c8275"</definedName>
    <definedName name="IQ_BALANCE_SERVICES_REAL_USD_APR_FC" hidden="1">"c11897"</definedName>
    <definedName name="IQ_BALANCE_SERVICES_REAL_USD_FC" hidden="1">"c11894"</definedName>
    <definedName name="IQ_BALANCE_SERVICES_REAL_USD_POP_FC" hidden="1">"c11895"</definedName>
    <definedName name="IQ_BALANCE_SERVICES_REAL_USD_YOY_FC" hidden="1">"c11896"</definedName>
    <definedName name="IQ_BALANCE_SERVICES_REAL_YOY" hidden="1">"c7394"</definedName>
    <definedName name="IQ_BALANCE_SERVICES_REAL_YOY_FC" hidden="1">"c8274"</definedName>
    <definedName name="IQ_BALANCE_TRADE_APR_FC_UNUSED" hidden="1">"c8357"</definedName>
    <definedName name="IQ_BALANCE_TRADE_APR_UNUSED" hidden="1">"c7477"</definedName>
    <definedName name="IQ_BALANCE_TRADE_FC_UNUSED" hidden="1">"c7697"</definedName>
    <definedName name="IQ_BALANCE_TRADE_POP_FC_UNUSED" hidden="1">"c7917"</definedName>
    <definedName name="IQ_BALANCE_TRADE_POP_UNUSED" hidden="1">"c7037"</definedName>
    <definedName name="IQ_BALANCE_TRADE_REAL" hidden="1">"c6956"</definedName>
    <definedName name="IQ_BALANCE_TRADE_REAL_APR" hidden="1">"c7616"</definedName>
    <definedName name="IQ_BALANCE_TRADE_REAL_APR_FC" hidden="1">"c8496"</definedName>
    <definedName name="IQ_BALANCE_TRADE_REAL_FC" hidden="1">"c7836"</definedName>
    <definedName name="IQ_BALANCE_TRADE_REAL_POP" hidden="1">"c7176"</definedName>
    <definedName name="IQ_BALANCE_TRADE_REAL_POP_FC" hidden="1">"c8056"</definedName>
    <definedName name="IQ_BALANCE_TRADE_REAL_SAAR" hidden="1">"c6957"</definedName>
    <definedName name="IQ_BALANCE_TRADE_REAL_SAAR_APR" hidden="1">"c7617"</definedName>
    <definedName name="IQ_BALANCE_TRADE_REAL_SAAR_APR_FC" hidden="1">"c8497"</definedName>
    <definedName name="IQ_BALANCE_TRADE_REAL_SAAR_FC" hidden="1">"c7837"</definedName>
    <definedName name="IQ_BALANCE_TRADE_REAL_SAAR_POP" hidden="1">"c7177"</definedName>
    <definedName name="IQ_BALANCE_TRADE_REAL_SAAR_POP_FC" hidden="1">"c8057"</definedName>
    <definedName name="IQ_BALANCE_TRADE_REAL_SAAR_USD_APR_FC" hidden="1">"c11905"</definedName>
    <definedName name="IQ_BALANCE_TRADE_REAL_SAAR_USD_FC" hidden="1">"c11902"</definedName>
    <definedName name="IQ_BALANCE_TRADE_REAL_SAAR_USD_POP_FC" hidden="1">"c11903"</definedName>
    <definedName name="IQ_BALANCE_TRADE_REAL_SAAR_USD_YOY_FC" hidden="1">"c11904"</definedName>
    <definedName name="IQ_BALANCE_TRADE_REAL_SAAR_YOY" hidden="1">"c7397"</definedName>
    <definedName name="IQ_BALANCE_TRADE_REAL_SAAR_YOY_FC" hidden="1">"c8277"</definedName>
    <definedName name="IQ_BALANCE_TRADE_REAL_USD_APR_FC" hidden="1">"c11901"</definedName>
    <definedName name="IQ_BALANCE_TRADE_REAL_USD_FC" hidden="1">"c11898"</definedName>
    <definedName name="IQ_BALANCE_TRADE_REAL_USD_POP_FC" hidden="1">"c11899"</definedName>
    <definedName name="IQ_BALANCE_TRADE_REAL_USD_YOY_FC" hidden="1">"c11900"</definedName>
    <definedName name="IQ_BALANCE_TRADE_REAL_YOY" hidden="1">"c7396"</definedName>
    <definedName name="IQ_BALANCE_TRADE_REAL_YOY_FC" hidden="1">"c8276"</definedName>
    <definedName name="IQ_BALANCE_TRADE_SAAR" hidden="1">"c6818"</definedName>
    <definedName name="IQ_BALANCE_TRADE_SAAR_APR" hidden="1">"c7478"</definedName>
    <definedName name="IQ_BALANCE_TRADE_SAAR_APR_FC" hidden="1">"c8358"</definedName>
    <definedName name="IQ_BALANCE_TRADE_SAAR_FC" hidden="1">"c7698"</definedName>
    <definedName name="IQ_BALANCE_TRADE_SAAR_POP" hidden="1">"c7038"</definedName>
    <definedName name="IQ_BALANCE_TRADE_SAAR_POP_FC" hidden="1">"c7918"</definedName>
    <definedName name="IQ_BALANCE_TRADE_SAAR_USD_APR_FC" hidden="1">"c11774"</definedName>
    <definedName name="IQ_BALANCE_TRADE_SAAR_USD_FC" hidden="1">"c11771"</definedName>
    <definedName name="IQ_BALANCE_TRADE_SAAR_USD_POP_FC" hidden="1">"c11772"</definedName>
    <definedName name="IQ_BALANCE_TRADE_SAAR_USD_YOY_FC" hidden="1">"c11773"</definedName>
    <definedName name="IQ_BALANCE_TRADE_SAAR_YOY" hidden="1">"c7258"</definedName>
    <definedName name="IQ_BALANCE_TRADE_SAAR_YOY_FC" hidden="1">"c8138"</definedName>
    <definedName name="IQ_BALANCE_TRADE_UNUSED" hidden="1">"c6817"</definedName>
    <definedName name="IQ_BALANCE_TRADE_USD_APR_FC" hidden="1">"c11770"</definedName>
    <definedName name="IQ_BALANCE_TRADE_USD_FC" hidden="1">"c11767"</definedName>
    <definedName name="IQ_BALANCE_TRADE_USD_POP_FC" hidden="1">"c11768"</definedName>
    <definedName name="IQ_BALANCE_TRADE_USD_YOY_FC" hidden="1">"c11769"</definedName>
    <definedName name="IQ_BALANCE_TRADE_YOY_FC_UNUSED" hidden="1">"c8137"</definedName>
    <definedName name="IQ_BALANCE_TRADE_YOY_UNUSED" hidden="1">"c7257"</definedName>
    <definedName name="IQ_BANK_DEBT" hidden="1">"c2544"</definedName>
    <definedName name="IQ_BANK_DEBT_PCT" hidden="1">"c2545"</definedName>
    <definedName name="IQ_BANK_LOAN_LIST" hidden="1">"c13507"</definedName>
    <definedName name="IQ_BANKING_FEES_OPERATING_INC_FFIEC" hidden="1">"c13386"</definedName>
    <definedName name="IQ_BANKS_FOREIGN_COUNTRIES_NON_TRANS_ACCTS_FFIEC" hidden="1">"c15326"</definedName>
    <definedName name="IQ_BANKS_FOREIGN_COUNTRIES_TRANS_ACCTS_FFIEC" hidden="1">"c15318"</definedName>
    <definedName name="IQ_BASE_RENT" hidden="1">"c16017"</definedName>
    <definedName name="IQ_BASE_RENT_OPERATING_LEASE_EXPIRING_AFTER_FIVE" hidden="1">"c16107"</definedName>
    <definedName name="IQ_BASE_RENT_OPERATING_LEASE_EXPIRING_CY" hidden="1">"c16101"</definedName>
    <definedName name="IQ_BASE_RENT_OPERATING_LEASE_EXPIRING_CY1" hidden="1">"c16102"</definedName>
    <definedName name="IQ_BASE_RENT_OPERATING_LEASE_EXPIRING_CY2" hidden="1">"c16103"</definedName>
    <definedName name="IQ_BASE_RENT_OPERATING_LEASE_EXPIRING_CY3" hidden="1">"c16104"</definedName>
    <definedName name="IQ_BASE_RENT_OPERATING_LEASE_EXPIRING_CY4" hidden="1">"c16105"</definedName>
    <definedName name="IQ_BASE_RENT_OPERATING_LEASE_EXPIRING_NEXT_FIVE" hidden="1">"c16106"</definedName>
    <definedName name="IQ_BASE_RENT_OPERATING_LEASE_EXPIRING_TOTAL" hidden="1">"c16108"</definedName>
    <definedName name="IQ_BASE_RENT_RENTAL_REVENUE" hidden="1">"c16062"</definedName>
    <definedName name="IQ_BASIC_EPS_EXCL" hidden="1">"c85"</definedName>
    <definedName name="IQ_BASIC_EPS_INCL" hidden="1">"c86"</definedName>
    <definedName name="IQ_BASIC_NAV_SHARES" hidden="1">"c16012"</definedName>
    <definedName name="IQ_BASIC_NORMAL_EPS" hidden="1">"c1592"</definedName>
    <definedName name="IQ_BASIC_OUTSTANDING_CURRENT_EST" hidden="1">"c4128"</definedName>
    <definedName name="IQ_BASIC_OUTSTANDING_CURRENT_HIGH_EST" hidden="1">"c4129"</definedName>
    <definedName name="IQ_BASIC_OUTSTANDING_CURRENT_LOW_EST" hidden="1">"c4130"</definedName>
    <definedName name="IQ_BASIC_OUTSTANDING_CURRENT_MEDIAN_EST" hidden="1">"c4131"</definedName>
    <definedName name="IQ_BASIC_OUTSTANDING_CURRENT_NUM_EST" hidden="1">"c4132"</definedName>
    <definedName name="IQ_BASIC_OUTSTANDING_CURRENT_STDDEV_EST" hidden="1">"c4133"</definedName>
    <definedName name="IQ_BASIC_OUTSTANDING_EST" hidden="1">"c4134"</definedName>
    <definedName name="IQ_BASIC_OUTSTANDING_HIGH_EST" hidden="1">"c4135"</definedName>
    <definedName name="IQ_BASIC_OUTSTANDING_LOW_EST" hidden="1">"c4136"</definedName>
    <definedName name="IQ_BASIC_OUTSTANDING_MEDIAN_EST" hidden="1">"c4137"</definedName>
    <definedName name="IQ_BASIC_OUTSTANDING_NUM_EST" hidden="1">"c4138"</definedName>
    <definedName name="IQ_BASIC_OUTSTANDING_STDDEV_EST" hidden="1">"c4139"</definedName>
    <definedName name="IQ_BASIC_WEIGHT" hidden="1">"c87"</definedName>
    <definedName name="IQ_BASIC_WEIGHT_EST" hidden="1">"c4140"</definedName>
    <definedName name="IQ_BASIC_WEIGHT_GUIDANCE" hidden="1">"c4141"</definedName>
    <definedName name="IQ_BASIC_WEIGHT_HIGH_EST" hidden="1">"c4142"</definedName>
    <definedName name="IQ_BASIC_WEIGHT_LOW_EST" hidden="1">"c4143"</definedName>
    <definedName name="IQ_BASIC_WEIGHT_MEDIAN_EST" hidden="1">"c4144"</definedName>
    <definedName name="IQ_BASIC_WEIGHT_NUM_EST" hidden="1">"c4145"</definedName>
    <definedName name="IQ_BASIC_WEIGHT_STDDEV_EST" hidden="1">"c4146"</definedName>
    <definedName name="IQ_BENCHMARK_SECURITY" hidden="1">"c2154"</definedName>
    <definedName name="IQ_BENCHMARK_SPRD" hidden="1">"c2153"</definedName>
    <definedName name="IQ_BENCHMARK_YIELD" hidden="1">"c8955"</definedName>
    <definedName name="IQ_BETA" hidden="1">"c2133"</definedName>
    <definedName name="IQ_BETA_1YR" hidden="1">"c1966"</definedName>
    <definedName name="IQ_BETA_1YR_RSQ" hidden="1">"c2132"</definedName>
    <definedName name="IQ_BETA_2YR" hidden="1">"c1965"</definedName>
    <definedName name="IQ_BETA_2YR_RSQ" hidden="1">"c2131"</definedName>
    <definedName name="IQ_BETA_5YR" hidden="1">"c88"</definedName>
    <definedName name="IQ_BETA_5YR_RSQ" hidden="1">"c2130"</definedName>
    <definedName name="IQ_BIG_INT_BEAR_CD" hidden="1">"c89"</definedName>
    <definedName name="IQ_BOARD_MEMBER" hidden="1">"c96"</definedName>
    <definedName name="IQ_BOARD_MEMBER_ASSISTANT_EMAIL" hidden="1">"c15179"</definedName>
    <definedName name="IQ_BOARD_MEMBER_ASSISTANT_FAX" hidden="1">"c15181"</definedName>
    <definedName name="IQ_BOARD_MEMBER_ASSISTANT_NAME" hidden="1">"c15178"</definedName>
    <definedName name="IQ_BOARD_MEMBER_ASSISTANT_PHONE" hidden="1">"c15180"</definedName>
    <definedName name="IQ_BOARD_MEMBER_BACKGROUND" hidden="1">"c2101"</definedName>
    <definedName name="IQ_BOARD_MEMBER_DIRECT_FAX" hidden="1">"c15176"</definedName>
    <definedName name="IQ_BOARD_MEMBER_DIRECT_PHONE" hidden="1">"c15175"</definedName>
    <definedName name="IQ_BOARD_MEMBER_EMAIL" hidden="1">"c15177"</definedName>
    <definedName name="IQ_BOARD_MEMBER_ID" hidden="1">"c13756"</definedName>
    <definedName name="IQ_BOARD_MEMBER_MAIN_FAX" hidden="1">"c15174"</definedName>
    <definedName name="IQ_BOARD_MEMBER_MAIN_PHONE" hidden="1">"c15173"</definedName>
    <definedName name="IQ_BOARD_MEMBER_OFFICE_ADDRESS" hidden="1">"c15172"</definedName>
    <definedName name="IQ_BOARD_MEMBER_TITLE" hidden="1">"c97"</definedName>
    <definedName name="IQ_BOND_COUPON" hidden="1">"c2183"</definedName>
    <definedName name="IQ_BOND_COUPON_TYPE" hidden="1">"c2184"</definedName>
    <definedName name="IQ_BOND_LIST" hidden="1">"c13505"</definedName>
    <definedName name="IQ_BOND_PRICE" hidden="1">"c2162"</definedName>
    <definedName name="IQ_BORROWED_MONEY_QUARTERLY_AVG_FFIEC" hidden="1">"c13091"</definedName>
    <definedName name="IQ_BORROWINGS_LESS_1YR_ASSETS_TOT_FFIEC" hidden="1">"c13450"</definedName>
    <definedName name="IQ_BROK_COMISSION" hidden="1">"c98"</definedName>
    <definedName name="IQ_BROK_COMMISSION" hidden="1">"c3514"</definedName>
    <definedName name="IQ_BROKER_DEPOSIT_LESS_THAN_100000_1_YR_LESS_FFIEC" hidden="1">"c15307"</definedName>
    <definedName name="IQ_BROKER_DEPOSIT_LESS_THAN_100000_1_YR_MORE_FFIEC" hidden="1">"c15308"</definedName>
    <definedName name="IQ_BROKER_DEPOSIT_LESS_THAN_100000_FFIEC" hidden="1">"c15306"</definedName>
    <definedName name="IQ_BROKER_DEPOSIT_MORE_THAN_100000_1_YR_LESS_FFIEC" hidden="1">"c15310"</definedName>
    <definedName name="IQ_BROKER_DEPOSIT_MORE_THAN_100000_1_YR_MORE_FFIEC" hidden="1">"c15311"</definedName>
    <definedName name="IQ_BROKER_DEPOSIT_MORE_THAN_100000_FFIEC" hidden="1">"c15309"</definedName>
    <definedName name="IQ_BUDGET_BALANCE_APR_FC_UNUSED" hidden="1">"c8359"</definedName>
    <definedName name="IQ_BUDGET_BALANCE_APR_UNUSED" hidden="1">"c7479"</definedName>
    <definedName name="IQ_BUDGET_BALANCE_FC_UNUSED" hidden="1">"c7699"</definedName>
    <definedName name="IQ_BUDGET_BALANCE_POP_FC_UNUSED" hidden="1">"c7919"</definedName>
    <definedName name="IQ_BUDGET_BALANCE_POP_UNUSED" hidden="1">"c7039"</definedName>
    <definedName name="IQ_BUDGET_BALANCE_SAAR" hidden="1">"c6820"</definedName>
    <definedName name="IQ_BUDGET_BALANCE_SAAR_APR" hidden="1">"c7480"</definedName>
    <definedName name="IQ_BUDGET_BALANCE_SAAR_APR_FC" hidden="1">"c8360"</definedName>
    <definedName name="IQ_BUDGET_BALANCE_SAAR_FC" hidden="1">"c7700"</definedName>
    <definedName name="IQ_BUDGET_BALANCE_SAAR_POP" hidden="1">"c7040"</definedName>
    <definedName name="IQ_BUDGET_BALANCE_SAAR_POP_FC" hidden="1">"c7920"</definedName>
    <definedName name="IQ_BUDGET_BALANCE_SAAR_YOY" hidden="1">"c7260"</definedName>
    <definedName name="IQ_BUDGET_BALANCE_SAAR_YOY_FC" hidden="1">"c8140"</definedName>
    <definedName name="IQ_BUDGET_BALANCE_UNUSED" hidden="1">"c6819"</definedName>
    <definedName name="IQ_BUDGET_BALANCE_YOY_FC_UNUSED" hidden="1">"c8139"</definedName>
    <definedName name="IQ_BUDGET_BALANCE_YOY_UNUSED" hidden="1">"c7259"</definedName>
    <definedName name="IQ_BUDGET_RECEIPTS_APR_FC_UNUSED" hidden="1">"c8361"</definedName>
    <definedName name="IQ_BUDGET_RECEIPTS_APR_UNUSED" hidden="1">"c7481"</definedName>
    <definedName name="IQ_BUDGET_RECEIPTS_FC_UNUSED" hidden="1">"c7701"</definedName>
    <definedName name="IQ_BUDGET_RECEIPTS_POP_FC_UNUSED" hidden="1">"c7921"</definedName>
    <definedName name="IQ_BUDGET_RECEIPTS_POP_UNUSED" hidden="1">"c7041"</definedName>
    <definedName name="IQ_BUDGET_RECEIPTS_UNUSED" hidden="1">"c6821"</definedName>
    <definedName name="IQ_BUDGET_RECEIPTS_YOY_FC_UNUSED" hidden="1">"c8141"</definedName>
    <definedName name="IQ_BUDGET_RECEIPTS_YOY_UNUSED" hidden="1">"c7261"</definedName>
    <definedName name="IQ_BUDGET_SPENDING" hidden="1">"c6822"</definedName>
    <definedName name="IQ_BUDGET_SPENDING_APR" hidden="1">"c7482"</definedName>
    <definedName name="IQ_BUDGET_SPENDING_APR_FC" hidden="1">"c8362"</definedName>
    <definedName name="IQ_BUDGET_SPENDING_FC" hidden="1">"c7702"</definedName>
    <definedName name="IQ_BUDGET_SPENDING_POP" hidden="1">"c7042"</definedName>
    <definedName name="IQ_BUDGET_SPENDING_POP_FC" hidden="1">"c7922"</definedName>
    <definedName name="IQ_BUDGET_SPENDING_REAL" hidden="1">"c6958"</definedName>
    <definedName name="IQ_BUDGET_SPENDING_REAL_APR" hidden="1">"c7618"</definedName>
    <definedName name="IQ_BUDGET_SPENDING_REAL_APR_FC" hidden="1">"c8498"</definedName>
    <definedName name="IQ_BUDGET_SPENDING_REAL_FC" hidden="1">"c7838"</definedName>
    <definedName name="IQ_BUDGET_SPENDING_REAL_POP" hidden="1">"c7178"</definedName>
    <definedName name="IQ_BUDGET_SPENDING_REAL_POP_FC" hidden="1">"c8058"</definedName>
    <definedName name="IQ_BUDGET_SPENDING_REAL_SAAR" hidden="1">"c6959"</definedName>
    <definedName name="IQ_BUDGET_SPENDING_REAL_SAAR_APR" hidden="1">"c7619"</definedName>
    <definedName name="IQ_BUDGET_SPENDING_REAL_SAAR_APR_FC" hidden="1">"c8499"</definedName>
    <definedName name="IQ_BUDGET_SPENDING_REAL_SAAR_FC" hidden="1">"c7839"</definedName>
    <definedName name="IQ_BUDGET_SPENDING_REAL_SAAR_POP" hidden="1">"c7179"</definedName>
    <definedName name="IQ_BUDGET_SPENDING_REAL_SAAR_POP_FC" hidden="1">"c8059"</definedName>
    <definedName name="IQ_BUDGET_SPENDING_REAL_SAAR_USD" hidden="1">"c11906"</definedName>
    <definedName name="IQ_BUDGET_SPENDING_REAL_SAAR_USD_APR" hidden="1">"c11909"</definedName>
    <definedName name="IQ_BUDGET_SPENDING_REAL_SAAR_USD_POP" hidden="1">"c11907"</definedName>
    <definedName name="IQ_BUDGET_SPENDING_REAL_SAAR_USD_YOY" hidden="1">"c11908"</definedName>
    <definedName name="IQ_BUDGET_SPENDING_REAL_SAAR_YOY" hidden="1">"c7399"</definedName>
    <definedName name="IQ_BUDGET_SPENDING_REAL_SAAR_YOY_FC" hidden="1">"c8279"</definedName>
    <definedName name="IQ_BUDGET_SPENDING_REAL_YOY" hidden="1">"c7398"</definedName>
    <definedName name="IQ_BUDGET_SPENDING_REAL_YOY_FC" hidden="1">"c8278"</definedName>
    <definedName name="IQ_BUDGET_SPENDING_SAAR" hidden="1">"c6823"</definedName>
    <definedName name="IQ_BUDGET_SPENDING_SAAR_APR" hidden="1">"c7483"</definedName>
    <definedName name="IQ_BUDGET_SPENDING_SAAR_APR_FC" hidden="1">"c8363"</definedName>
    <definedName name="IQ_BUDGET_SPENDING_SAAR_FC" hidden="1">"c7703"</definedName>
    <definedName name="IQ_BUDGET_SPENDING_SAAR_POP" hidden="1">"c7043"</definedName>
    <definedName name="IQ_BUDGET_SPENDING_SAAR_POP_FC" hidden="1">"c7923"</definedName>
    <definedName name="IQ_BUDGET_SPENDING_SAAR_USD_APR_FC" hidden="1">"c11782"</definedName>
    <definedName name="IQ_BUDGET_SPENDING_SAAR_USD_FC" hidden="1">"c11779"</definedName>
    <definedName name="IQ_BUDGET_SPENDING_SAAR_USD_POP_FC" hidden="1">"c11780"</definedName>
    <definedName name="IQ_BUDGET_SPENDING_SAAR_USD_YOY_FC" hidden="1">"c11781"</definedName>
    <definedName name="IQ_BUDGET_SPENDING_SAAR_YOY" hidden="1">"c7263"</definedName>
    <definedName name="IQ_BUDGET_SPENDING_SAAR_YOY_FC" hidden="1">"c8143"</definedName>
    <definedName name="IQ_BUDGET_SPENDING_USD_APR_FC" hidden="1">"c11778"</definedName>
    <definedName name="IQ_BUDGET_SPENDING_USD_FC" hidden="1">"c11775"</definedName>
    <definedName name="IQ_BUDGET_SPENDING_USD_POP_FC" hidden="1">"c11776"</definedName>
    <definedName name="IQ_BUDGET_SPENDING_USD_YOY_FC" hidden="1">"c11777"</definedName>
    <definedName name="IQ_BUDGET_SPENDING_YOY" hidden="1">"c7262"</definedName>
    <definedName name="IQ_BUDGET_SPENDING_YOY_FC" hidden="1">"c8142"</definedName>
    <definedName name="IQ_BUILDINGS" hidden="1">"c99"</definedName>
    <definedName name="IQ_BUS_SEG_ASSETS" hidden="1">"c4067"</definedName>
    <definedName name="IQ_BUS_SEG_ASSETS_ABS" hidden="1">"c4089"</definedName>
    <definedName name="IQ_BUS_SEG_ASSETS_TOTAL" hidden="1">"c4112"</definedName>
    <definedName name="IQ_BUS_SEG_CAPEX" hidden="1">"c4079"</definedName>
    <definedName name="IQ_BUS_SEG_CAPEX_ABS" hidden="1">"c4101"</definedName>
    <definedName name="IQ_BUS_SEG_CAPEX_TOTAL" hidden="1">"c4116"</definedName>
    <definedName name="IQ_BUS_SEG_DA" hidden="1">"c4078"</definedName>
    <definedName name="IQ_BUS_SEG_DA_ABS" hidden="1">"c4100"</definedName>
    <definedName name="IQ_BUS_SEG_DA_TOTAL" hidden="1">"c4115"</definedName>
    <definedName name="IQ_BUS_SEG_DESCRIPTION" hidden="1">"c15589"</definedName>
    <definedName name="IQ_BUS_SEG_DESCRIPTION_ABS" hidden="1">"c15577"</definedName>
    <definedName name="IQ_BUS_SEG_EARNINGS_OP" hidden="1">"c4063"</definedName>
    <definedName name="IQ_BUS_SEG_EARNINGS_OP_ABS" hidden="1">"c4085"</definedName>
    <definedName name="IQ_BUS_SEG_EARNINGS_OP_TOTAL" hidden="1">"c4108"</definedName>
    <definedName name="IQ_BUS_SEG_EBT" hidden="1">"c4064"</definedName>
    <definedName name="IQ_BUS_SEG_EBT_ABS" hidden="1">"c4086"</definedName>
    <definedName name="IQ_BUS_SEG_EBT_TOTAL" hidden="1">"c4110"</definedName>
    <definedName name="IQ_BUS_SEG_GP" hidden="1">"c4066"</definedName>
    <definedName name="IQ_BUS_SEG_GP_ABS" hidden="1">"c4088"</definedName>
    <definedName name="IQ_BUS_SEG_GP_TOTAL" hidden="1">"c4109"</definedName>
    <definedName name="IQ_BUS_SEG_INC_TAX" hidden="1">"c4077"</definedName>
    <definedName name="IQ_BUS_SEG_INC_TAX_ABS" hidden="1">"c4099"</definedName>
    <definedName name="IQ_BUS_SEG_INC_TAX_TOTAL" hidden="1">"c4114"</definedName>
    <definedName name="IQ_BUS_SEG_INTEREST_EXP" hidden="1">"c4076"</definedName>
    <definedName name="IQ_BUS_SEG_INTEREST_EXP_ABS" hidden="1">"c4098"</definedName>
    <definedName name="IQ_BUS_SEG_INTEREST_EXP_TOTAL" hidden="1">"c4113"</definedName>
    <definedName name="IQ_BUS_SEG_NAIC" hidden="1">"c15588"</definedName>
    <definedName name="IQ_BUS_SEG_NAIC_ABS" hidden="1">"c15576"</definedName>
    <definedName name="IQ_BUS_SEG_NAME" hidden="1">"c5482"</definedName>
    <definedName name="IQ_BUS_SEG_NAME_ABS" hidden="1">"c5483"</definedName>
    <definedName name="IQ_BUS_SEG_NI" hidden="1">"c4065"</definedName>
    <definedName name="IQ_BUS_SEG_NI_ABS" hidden="1">"c4087"</definedName>
    <definedName name="IQ_BUS_SEG_NI_TOTAL" hidden="1">"c4111"</definedName>
    <definedName name="IQ_BUS_SEG_OPER_INC" hidden="1">"c4062"</definedName>
    <definedName name="IQ_BUS_SEG_OPER_INC_ABS" hidden="1">"c4084"</definedName>
    <definedName name="IQ_BUS_SEG_OPER_INC_TOTAL" hidden="1">"c4107"</definedName>
    <definedName name="IQ_BUS_SEG_PRIMARY_GIC" hidden="1">"c15584"</definedName>
    <definedName name="IQ_BUS_SEG_PRIMARY_GIC_ABS" hidden="1">"c15572"</definedName>
    <definedName name="IQ_BUS_SEG_PRIMARY_SIC" hidden="1">"c15586"</definedName>
    <definedName name="IQ_BUS_SEG_PRIMARY_SIC_ABS" hidden="1">"c15574"</definedName>
    <definedName name="IQ_BUS_SEG_REV" hidden="1">"c4068"</definedName>
    <definedName name="IQ_BUS_SEG_REV_ABS" hidden="1">"c4090"</definedName>
    <definedName name="IQ_BUS_SEG_REV_TOTAL" hidden="1">"c4106"</definedName>
    <definedName name="IQ_BUS_SEG_SECONDARY_GIC" hidden="1">"c15585"</definedName>
    <definedName name="IQ_BUS_SEG_SECONDARY_GIC_ABS" hidden="1">"c15573"</definedName>
    <definedName name="IQ_BUS_SEG_SECONDARY_SIC" hidden="1">"c15587"</definedName>
    <definedName name="IQ_BUS_SEG_SECONDARY_SIC_ABS" hidden="1">"c15575"</definedName>
    <definedName name="IQ_BUSINESS_COMBINATIONS_FFIEC" hidden="1">"c12967"</definedName>
    <definedName name="IQ_BUSINESS_DESCRIPTION" hidden="1">"c322"</definedName>
    <definedName name="IQ_BV_ACT_OR_EST_CIQ" hidden="1">"c5068"</definedName>
    <definedName name="IQ_BV_EST" hidden="1">"c5624"</definedName>
    <definedName name="IQ_BV_HIGH_EST" hidden="1">"c5626"</definedName>
    <definedName name="IQ_BV_LOW_EST" hidden="1">"c5627"</definedName>
    <definedName name="IQ_BV_MEDIAN_EST" hidden="1">"c5625"</definedName>
    <definedName name="IQ_BV_NUM_EST" hidden="1">"c5628"</definedName>
    <definedName name="IQ_BV_OVER_SHARES" hidden="1">"c1349"</definedName>
    <definedName name="IQ_BV_SHARE" hidden="1">"c100"</definedName>
    <definedName name="IQ_BV_SHARE_ACT_OR_EST" hidden="1">"c3587"</definedName>
    <definedName name="IQ_BV_SHARE_ACT_OR_EST_REUT" hidden="1">"c5477"</definedName>
    <definedName name="IQ_BV_SHARE_ACT_OR_EST_THOM" hidden="1">"c5312"</definedName>
    <definedName name="IQ_BV_SHARE_EST" hidden="1">"c3541"</definedName>
    <definedName name="IQ_BV_SHARE_EST_REUT" hidden="1">"c5439"</definedName>
    <definedName name="IQ_BV_SHARE_EST_THOM" hidden="1">"c4020"</definedName>
    <definedName name="IQ_BV_SHARE_HIGH_EST" hidden="1">"c3542"</definedName>
    <definedName name="IQ_BV_SHARE_HIGH_EST_REUT" hidden="1">"c5441"</definedName>
    <definedName name="IQ_BV_SHARE_HIGH_EST_THOM" hidden="1">"c4022"</definedName>
    <definedName name="IQ_BV_SHARE_LOW_EST" hidden="1">"c3543"</definedName>
    <definedName name="IQ_BV_SHARE_LOW_EST_REUT" hidden="1">"c5442"</definedName>
    <definedName name="IQ_BV_SHARE_LOW_EST_THOM" hidden="1">"c4023"</definedName>
    <definedName name="IQ_BV_SHARE_MEDIAN_EST" hidden="1">"c3544"</definedName>
    <definedName name="IQ_BV_SHARE_MEDIAN_EST_REUT" hidden="1">"c5440"</definedName>
    <definedName name="IQ_BV_SHARE_MEDIAN_EST_THOM" hidden="1">"c4021"</definedName>
    <definedName name="IQ_BV_SHARE_NUM_EST" hidden="1">"c3539"</definedName>
    <definedName name="IQ_BV_SHARE_NUM_EST_REUT" hidden="1">"c5443"</definedName>
    <definedName name="IQ_BV_SHARE_NUM_EST_THOM" hidden="1">"c4024"</definedName>
    <definedName name="IQ_BV_SHARE_STDDEV_EST" hidden="1">"c3540"</definedName>
    <definedName name="IQ_BV_SHARE_STDDEV_EST_REUT" hidden="1">"c5444"</definedName>
    <definedName name="IQ_BV_SHARE_STDDEV_EST_THOM" hidden="1">"c4025"</definedName>
    <definedName name="IQ_BV_STDDEV_EST" hidden="1">"c5629"</definedName>
    <definedName name="IQ_CA_AP" hidden="1">"c8881"</definedName>
    <definedName name="IQ_CA_AP_ABS" hidden="1">"c8900"</definedName>
    <definedName name="IQ_CA_NAME_AP" hidden="1">"c8919"</definedName>
    <definedName name="IQ_CA_NAME_AP_ABS" hidden="1">"c8938"</definedName>
    <definedName name="IQ_CABLE_ARPU" hidden="1">"c2869"</definedName>
    <definedName name="IQ_CABLE_ARPU_ANALOG" hidden="1">"c2864"</definedName>
    <definedName name="IQ_CABLE_ARPU_BASIC" hidden="1">"c2866"</definedName>
    <definedName name="IQ_CABLE_ARPU_BBAND" hidden="1">"c2867"</definedName>
    <definedName name="IQ_CABLE_ARPU_DIG" hidden="1">"c2865"</definedName>
    <definedName name="IQ_CABLE_ARPU_PHONE" hidden="1">"c2868"</definedName>
    <definedName name="IQ_CABLE_BASIC_PENETRATION" hidden="1">"c2850"</definedName>
    <definedName name="IQ_CABLE_BBAND_PENETRATION" hidden="1">"c2852"</definedName>
    <definedName name="IQ_CABLE_BBAND_PENETRATION_THP" hidden="1">"c2851"</definedName>
    <definedName name="IQ_CABLE_CHURN" hidden="1">"c2874"</definedName>
    <definedName name="IQ_CABLE_CHURN_BASIC" hidden="1">"c2871"</definedName>
    <definedName name="IQ_CABLE_CHURN_BBAND" hidden="1">"c2872"</definedName>
    <definedName name="IQ_CABLE_CHURN_DIG" hidden="1">"c2870"</definedName>
    <definedName name="IQ_CABLE_CHURN_PHONE" hidden="1">"c2873"</definedName>
    <definedName name="IQ_CABLE_HOMES_PER_MILE" hidden="1">"c2849"</definedName>
    <definedName name="IQ_CABLE_HP_BBAND" hidden="1">"c2845"</definedName>
    <definedName name="IQ_CABLE_HP_DIG" hidden="1">"c2844"</definedName>
    <definedName name="IQ_CABLE_HP_PHONE" hidden="1">"c2846"</definedName>
    <definedName name="IQ_CABLE_MILES_PASSED" hidden="1">"c2848"</definedName>
    <definedName name="IQ_CABLE_OTHER_REV" hidden="1">"c2882"</definedName>
    <definedName name="IQ_CABLE_PHONE_PENETRATION" hidden="1">"c2853"</definedName>
    <definedName name="IQ_CABLE_PROGRAMMING_COSTS" hidden="1">"c2884"</definedName>
    <definedName name="IQ_CABLE_REV_ADVERT" hidden="1">"c2880"</definedName>
    <definedName name="IQ_CABLE_REV_ANALOG" hidden="1">"c2875"</definedName>
    <definedName name="IQ_CABLE_REV_BASIC" hidden="1">"c2877"</definedName>
    <definedName name="IQ_CABLE_REV_BBAND" hidden="1">"c2878"</definedName>
    <definedName name="IQ_CABLE_REV_COMMERCIAL" hidden="1">"c2881"</definedName>
    <definedName name="IQ_CABLE_REV_DIG" hidden="1">"c2876"</definedName>
    <definedName name="IQ_CABLE_REV_PHONE" hidden="1">"c2879"</definedName>
    <definedName name="IQ_CABLE_RGU" hidden="1">"c2863"</definedName>
    <definedName name="IQ_CABLE_SUBS_ANALOG" hidden="1">"c2855"</definedName>
    <definedName name="IQ_CABLE_SUBS_BASIC" hidden="1">"c2857"</definedName>
    <definedName name="IQ_CABLE_SUBS_BBAND" hidden="1">"c2858"</definedName>
    <definedName name="IQ_CABLE_SUBS_BUNDLED" hidden="1">"c2861"</definedName>
    <definedName name="IQ_CABLE_SUBS_BUS_PHONE" hidden="1">"c15773"</definedName>
    <definedName name="IQ_CABLE_SUBS_DIG" hidden="1">"c2856"</definedName>
    <definedName name="IQ_CABLE_SUBS_LONG_DIST_PHONE" hidden="1">"c15775"</definedName>
    <definedName name="IQ_CABLE_SUBS_NON_VIDEO" hidden="1">"c2860"</definedName>
    <definedName name="IQ_CABLE_SUBS_PHONE" hidden="1">"c2859"</definedName>
    <definedName name="IQ_CABLE_SUBS_RES_PHONE" hidden="1">"c15772"</definedName>
    <definedName name="IQ_CABLE_SUBS_SATELITE" hidden="1">"c15771"</definedName>
    <definedName name="IQ_CABLE_SUBS_TOTAL" hidden="1">"c2862"</definedName>
    <definedName name="IQ_CABLE_SUBS_WHOLE_PHONE" hidden="1">"c15774"</definedName>
    <definedName name="IQ_CABLE_THP" hidden="1">"c2847"</definedName>
    <definedName name="IQ_CABLE_TOTAL_PENETRATION" hidden="1">"c2854"</definedName>
    <definedName name="IQ_CABLE_TOTAL_REV" hidden="1">"c2883"</definedName>
    <definedName name="IQ_CAL_Q" hidden="1">"c101"</definedName>
    <definedName name="IQ_CAL_Q_EST" hidden="1">"c6796"</definedName>
    <definedName name="IQ_CAL_Q_EST_CIQ" hidden="1">"c6808"</definedName>
    <definedName name="IQ_CAL_Q_EST_THOM" hidden="1">"c6804"</definedName>
    <definedName name="IQ_CAL_Y" hidden="1">"c102"</definedName>
    <definedName name="IQ_CAL_Y_EST" hidden="1">"c6797"</definedName>
    <definedName name="IQ_CAL_Y_EST_CIQ" hidden="1">"c6809"</definedName>
    <definedName name="IQ_CAL_Y_EST_THOM" hidden="1">"c6805"</definedName>
    <definedName name="IQ_CALC_TYPE_BS" hidden="1">"c3086"</definedName>
    <definedName name="IQ_CALC_TYPE_CF" hidden="1">"c3085"</definedName>
    <definedName name="IQ_CALC_TYPE_IS" hidden="1">"c3084"</definedName>
    <definedName name="IQ_CALL_DATE_SCHEDULE" hidden="1">"c2481"</definedName>
    <definedName name="IQ_CALL_FEATURE" hidden="1">"c2197"</definedName>
    <definedName name="IQ_CALL_PRICE_SCHEDULE" hidden="1">"c2482"</definedName>
    <definedName name="IQ_CALLABLE" hidden="1">"c2196"</definedName>
    <definedName name="IQ_CAP_INVEST_CABLE" hidden="1">"c15794"</definedName>
    <definedName name="IQ_CAP_INVEST_COMMERCIAL" hidden="1">"c15800"</definedName>
    <definedName name="IQ_CAP_INVEST_CUST_PREMISE_EQUIP" hidden="1">"c15795"</definedName>
    <definedName name="IQ_CAP_INVEST_LINE_EXTENSIONS" hidden="1">"c15797"</definedName>
    <definedName name="IQ_CAP_INVEST_SCALABLE_INFRASTRUCTURE" hidden="1">"c15796"</definedName>
    <definedName name="IQ_CAP_INVEST_SUPPORT" hidden="1">"c15799"</definedName>
    <definedName name="IQ_CAP_INVEST_UPGRADE_REBUILD" hidden="1">"c15798"</definedName>
    <definedName name="IQ_CAP_LOSS_CF_1YR" hidden="1">"c3474"</definedName>
    <definedName name="IQ_CAP_LOSS_CF_2YR" hidden="1">"c3475"</definedName>
    <definedName name="IQ_CAP_LOSS_CF_3YR" hidden="1">"c3476"</definedName>
    <definedName name="IQ_CAP_LOSS_CF_4YR" hidden="1">"c3477"</definedName>
    <definedName name="IQ_CAP_LOSS_CF_5YR" hidden="1">"c3478"</definedName>
    <definedName name="IQ_CAP_LOSS_CF_AFTER_FIVE" hidden="1">"c3479"</definedName>
    <definedName name="IQ_CAP_LOSS_CF_MAX_YEAR" hidden="1">"c3482"</definedName>
    <definedName name="IQ_CAP_LOSS_CF_NO_EXP" hidden="1">"c3480"</definedName>
    <definedName name="IQ_CAP_LOSS_CF_TOTAL" hidden="1">"c3481"</definedName>
    <definedName name="IQ_CAP_UTIL_RATE" hidden="1">"c6824"</definedName>
    <definedName name="IQ_CAP_UTIL_RATE_POP" hidden="1">"c7044"</definedName>
    <definedName name="IQ_CAP_UTIL_RATE_YOY" hidden="1">"c7264"</definedName>
    <definedName name="IQ_CAPEX" hidden="1">"c103"</definedName>
    <definedName name="IQ_CAPEX_10YR_ANN_CAGR" hidden="1">"c6050"</definedName>
    <definedName name="IQ_CAPEX_10YR_ANN_GROWTH" hidden="1">"c104"</definedName>
    <definedName name="IQ_CAPEX_1YR_ANN_GROWTH" hidden="1">"c105"</definedName>
    <definedName name="IQ_CAPEX_2YR_ANN_CAGR" hidden="1">"c6051"</definedName>
    <definedName name="IQ_CAPEX_2YR_ANN_GROWTH" hidden="1">"c106"</definedName>
    <definedName name="IQ_CAPEX_3YR_ANN_CAGR" hidden="1">"c6052"</definedName>
    <definedName name="IQ_CAPEX_3YR_ANN_GROWTH" hidden="1">"c107"</definedName>
    <definedName name="IQ_CAPEX_5YR_ANN_CAGR" hidden="1">"c6053"</definedName>
    <definedName name="IQ_CAPEX_5YR_ANN_GROWTH" hidden="1">"c108"</definedName>
    <definedName name="IQ_CAPEX_7YR_ANN_CAGR" hidden="1">"c6054"</definedName>
    <definedName name="IQ_CAPEX_7YR_ANN_GROWTH" hidden="1">"c109"</definedName>
    <definedName name="IQ_CAPEX_ACT_OR_EST" hidden="1">"c3584"</definedName>
    <definedName name="IQ_CAPEX_ACT_OR_EST_REUT" hidden="1">"c5474"</definedName>
    <definedName name="IQ_CAPEX_ACT_OR_EST_THOM" hidden="1">"c5546"</definedName>
    <definedName name="IQ_CAPEX_BNK" hidden="1">"c110"</definedName>
    <definedName name="IQ_CAPEX_BR" hidden="1">"c111"</definedName>
    <definedName name="IQ_CAPEX_EST" hidden="1">"c3523"</definedName>
    <definedName name="IQ_CAPEX_EST_REUT" hidden="1">"c3969"</definedName>
    <definedName name="IQ_CAPEX_EST_THOM" hidden="1">"c5502"</definedName>
    <definedName name="IQ_CAPEX_FIN" hidden="1">"c112"</definedName>
    <definedName name="IQ_CAPEX_GUIDANCE" hidden="1">"c4150"</definedName>
    <definedName name="IQ_CAPEX_HIGH_EST" hidden="1">"c3524"</definedName>
    <definedName name="IQ_CAPEX_HIGH_EST_REUT" hidden="1">"c3971"</definedName>
    <definedName name="IQ_CAPEX_HIGH_EST_THOM" hidden="1">"c5504"</definedName>
    <definedName name="IQ_CAPEX_HIGH_GUIDANCE" hidden="1">"c4180"</definedName>
    <definedName name="IQ_CAPEX_INS" hidden="1">"c113"</definedName>
    <definedName name="IQ_CAPEX_LOW_EST" hidden="1">"c3525"</definedName>
    <definedName name="IQ_CAPEX_LOW_EST_REUT" hidden="1">"c3972"</definedName>
    <definedName name="IQ_CAPEX_LOW_EST_THOM" hidden="1">"c5505"</definedName>
    <definedName name="IQ_CAPEX_LOW_GUIDANCE" hidden="1">"c4220"</definedName>
    <definedName name="IQ_CAPEX_MEDIAN_EST" hidden="1">"c3526"</definedName>
    <definedName name="IQ_CAPEX_MEDIAN_EST_REUT" hidden="1">"c3970"</definedName>
    <definedName name="IQ_CAPEX_MEDIAN_EST_THOM" hidden="1">"c5503"</definedName>
    <definedName name="IQ_CAPEX_NUM_EST" hidden="1">"c3521"</definedName>
    <definedName name="IQ_CAPEX_NUM_EST_REUT" hidden="1">"c3973"</definedName>
    <definedName name="IQ_CAPEX_NUM_EST_THOM" hidden="1">"c5506"</definedName>
    <definedName name="IQ_CAPEX_STDDEV_EST" hidden="1">"c3522"</definedName>
    <definedName name="IQ_CAPEX_STDDEV_EST_REUT" hidden="1">"c3974"</definedName>
    <definedName name="IQ_CAPEX_STDDEV_EST_THOM" hidden="1">"c5507"</definedName>
    <definedName name="IQ_CAPEX_UTI" hidden="1">"c114"</definedName>
    <definedName name="IQ_CAPITAL_ALLOCATION_ADJUSTMENT_FOREIGN_FFIEC" hidden="1">"c15389"</definedName>
    <definedName name="IQ_CAPITAL_LEASE" hidden="1">"c1350"</definedName>
    <definedName name="IQ_CAPITAL_LEASES" hidden="1">"c115"</definedName>
    <definedName name="IQ_CAPITAL_LEASES_TOTAL" hidden="1">"c3031"</definedName>
    <definedName name="IQ_CAPITAL_LEASES_TOTAL_PCT" hidden="1">"c2506"</definedName>
    <definedName name="IQ_CAPITAL_RAISED_PERIOD_COVERED" hidden="1">"c9959"</definedName>
    <definedName name="IQ_CAPITAL_RAISED_PERIOD_GROUP" hidden="1">"c9945"</definedName>
    <definedName name="IQ_CAPITALIZED_INTEREST" hidden="1">"c2076"</definedName>
    <definedName name="IQ_CAPITALIZED_INTEREST_BOP" hidden="1">"c3459"</definedName>
    <definedName name="IQ_CAPITALIZED_INTEREST_EOP" hidden="1">"c3464"</definedName>
    <definedName name="IQ_CAPITALIZED_INTEREST_EXP" hidden="1">"c3461"</definedName>
    <definedName name="IQ_CAPITALIZED_INTEREST_OTHER_ADJ" hidden="1">"c3463"</definedName>
    <definedName name="IQ_CAPITALIZED_INTEREST_WRITE_OFF" hidden="1">"c3462"</definedName>
    <definedName name="IQ_CASH" hidden="1">"c1458"</definedName>
    <definedName name="IQ_CASH_ACQUIRE_CF" hidden="1">"c116"</definedName>
    <definedName name="IQ_CASH_BALANCES_DUE_FFIEC" hidden="1">"c12773"</definedName>
    <definedName name="IQ_CASH_BANKS_FOREIGN_COUNTRIES_DOM_FFIEC" hidden="1">"c15289"</definedName>
    <definedName name="IQ_CASH_COLLECTION_UNPOSTED_DEBITS_CURRENCY_FFIEC" hidden="1">"c15279"</definedName>
    <definedName name="IQ_CASH_COLLECTION_UNPOSTED_DEBITS_DOM_FFIEC" hidden="1">"c15286"</definedName>
    <definedName name="IQ_CASH_CONVERSION" hidden="1">"c117"</definedName>
    <definedName name="IQ_CASH_COST_ALUM" hidden="1">"c9252"</definedName>
    <definedName name="IQ_CASH_COST_COAL" hidden="1">"c9825"</definedName>
    <definedName name="IQ_CASH_COST_COP" hidden="1">"c9199"</definedName>
    <definedName name="IQ_CASH_COST_DIAM" hidden="1">"c9676"</definedName>
    <definedName name="IQ_CASH_COST_GOLD" hidden="1">"c9037"</definedName>
    <definedName name="IQ_CASH_COST_IRON" hidden="1">"c9411"</definedName>
    <definedName name="IQ_CASH_COST_LEAD" hidden="1">"c9464"</definedName>
    <definedName name="IQ_CASH_COST_MANG" hidden="1">"c9517"</definedName>
    <definedName name="IQ_CASH_COST_MET_COAL" hidden="1">"c9762"</definedName>
    <definedName name="IQ_CASH_COST_MOLYB" hidden="1">"c9729"</definedName>
    <definedName name="IQ_CASH_COST_NICK" hidden="1">"c9305"</definedName>
    <definedName name="IQ_CASH_COST_PER_SUB" hidden="1">"c15763"</definedName>
    <definedName name="IQ_CASH_COST_PLAT" hidden="1">"c9143"</definedName>
    <definedName name="IQ_CASH_COST_SILVER" hidden="1">"c9090"</definedName>
    <definedName name="IQ_CASH_COST_STEAM" hidden="1">"c9792"</definedName>
    <definedName name="IQ_CASH_COST_TITAN" hidden="1">"c9570"</definedName>
    <definedName name="IQ_CASH_COST_URAN" hidden="1">"c9623"</definedName>
    <definedName name="IQ_CASH_COST_ZINC" hidden="1">"c9358"</definedName>
    <definedName name="IQ_CASH_DEPOSITORY_INSTIT_US_DOM_FFIEC" hidden="1">"c15288"</definedName>
    <definedName name="IQ_CASH_DUE_BANKS" hidden="1">"c1351"</definedName>
    <definedName name="IQ_CASH_DUE_OTHER_FED_RESERVE_BANKS_DOM_FFIEC" hidden="1">"c15290"</definedName>
    <definedName name="IQ_CASH_DUE_OTHER_FED_RESERVE_BANKS_FFIEC" hidden="1">"c15284"</definedName>
    <definedName name="IQ_CASH_DUE_US_BRANCH_FOREIGN_BANK_FFIEC" hidden="1">"c15280"</definedName>
    <definedName name="IQ_CASH_EPS_ACT_OR_EST" hidden="1">"c5638"</definedName>
    <definedName name="IQ_CASH_EPS_ACT_OR_EST_THOM" hidden="1">"c5646"</definedName>
    <definedName name="IQ_CASH_EPS_EST" hidden="1">"c5631"</definedName>
    <definedName name="IQ_CASH_EPS_EST_THOM" hidden="1">"c5639"</definedName>
    <definedName name="IQ_CASH_EPS_HIGH_EST" hidden="1">"c5633"</definedName>
    <definedName name="IQ_CASH_EPS_HIGH_EST_THOM" hidden="1">"c5641"</definedName>
    <definedName name="IQ_CASH_EPS_LOW_EST" hidden="1">"c5634"</definedName>
    <definedName name="IQ_CASH_EPS_LOW_EST_THOM" hidden="1">"c5642"</definedName>
    <definedName name="IQ_CASH_EPS_MEDIAN_EST" hidden="1">"c5632"</definedName>
    <definedName name="IQ_CASH_EPS_MEDIAN_EST_THOM" hidden="1">"c5640"</definedName>
    <definedName name="IQ_CASH_EPS_NUM_EST" hidden="1">"c5635"</definedName>
    <definedName name="IQ_CASH_EPS_NUM_EST_THOM" hidden="1">"c5643"</definedName>
    <definedName name="IQ_CASH_EPS_STDDEV_EST" hidden="1">"c5636"</definedName>
    <definedName name="IQ_CASH_EPS_STDDEV_EST_THOM" hidden="1">"c5644"</definedName>
    <definedName name="IQ_CASH_EQUIV" hidden="1">"c118"</definedName>
    <definedName name="IQ_CASH_FINAN" hidden="1">"c119"</definedName>
    <definedName name="IQ_CASH_FINAN_AP" hidden="1">"c8890"</definedName>
    <definedName name="IQ_CASH_FINAN_AP_ABS" hidden="1">"c8909"</definedName>
    <definedName name="IQ_CASH_FINAN_NAME_AP" hidden="1">"c8928"</definedName>
    <definedName name="IQ_CASH_FINAN_NAME_AP_ABS" hidden="1">"c8947"</definedName>
    <definedName name="IQ_CASH_FINAN_SUBTOTAL_AP" hidden="1">"c10111"</definedName>
    <definedName name="IQ_CASH_FLOW_ACT_OR_EST" hidden="1">"c4154"</definedName>
    <definedName name="IQ_CASH_FLOW_ACT_OR_EST_CIQ" hidden="1">"c4566"</definedName>
    <definedName name="IQ_CASH_FLOW_EST" hidden="1">"c4153"</definedName>
    <definedName name="IQ_CASH_FLOW_GUIDANCE" hidden="1">"c4155"</definedName>
    <definedName name="IQ_CASH_FLOW_HIGH_EST" hidden="1">"c4156"</definedName>
    <definedName name="IQ_CASH_FLOW_HIGH_GUIDANCE" hidden="1">"c4201"</definedName>
    <definedName name="IQ_CASH_FLOW_LOW_EST" hidden="1">"c4157"</definedName>
    <definedName name="IQ_CASH_FLOW_LOW_GUIDANCE" hidden="1">"c4241"</definedName>
    <definedName name="IQ_CASH_FLOW_MEDIAN_EST" hidden="1">"c4158"</definedName>
    <definedName name="IQ_CASH_FLOW_NUM_EST" hidden="1">"c4159"</definedName>
    <definedName name="IQ_CASH_FLOW_STDDEV_EST" hidden="1">"c4160"</definedName>
    <definedName name="IQ_CASH_FOREIGN_BRANCH_OTHER_US_BANKS_FFIEC" hidden="1">"c15282"</definedName>
    <definedName name="IQ_CASH_INTEREST" hidden="1">"c120"</definedName>
    <definedName name="IQ_CASH_INTEREST_FINAN" hidden="1">"c6295"</definedName>
    <definedName name="IQ_CASH_INTEREST_INVEST" hidden="1">"c6294"</definedName>
    <definedName name="IQ_CASH_INTEREST_NET" hidden="1">"c12753"</definedName>
    <definedName name="IQ_CASH_INTEREST_OPER" hidden="1">"c6293"</definedName>
    <definedName name="IQ_CASH_INTEREST_RECEIVED" hidden="1">"c12754"</definedName>
    <definedName name="IQ_CASH_INVEST" hidden="1">"c121"</definedName>
    <definedName name="IQ_CASH_INVEST_AP" hidden="1">"c8889"</definedName>
    <definedName name="IQ_CASH_INVEST_AP_ABS" hidden="1">"c8908"</definedName>
    <definedName name="IQ_CASH_INVEST_NAME_AP" hidden="1">"c8927"</definedName>
    <definedName name="IQ_CASH_INVEST_NAME_AP_ABS" hidden="1">"c8946"</definedName>
    <definedName name="IQ_CASH_INVEST_SUBTOTAL_AP" hidden="1">"c8991"</definedName>
    <definedName name="IQ_CASH_OPER" hidden="1">"c122"</definedName>
    <definedName name="IQ_CASH_OPER_ACT_OR_EST" hidden="1">"c4164"</definedName>
    <definedName name="IQ_CASH_OPER_ACT_OR_EST_CIQ" hidden="1">"c4576"</definedName>
    <definedName name="IQ_CASH_OPER_AP" hidden="1">"c8888"</definedName>
    <definedName name="IQ_CASH_OPER_AP_ABS" hidden="1">"c8907"</definedName>
    <definedName name="IQ_CASH_OPER_EST" hidden="1">"c4163"</definedName>
    <definedName name="IQ_CASH_OPER_GUIDANCE" hidden="1">"c4165"</definedName>
    <definedName name="IQ_CASH_OPER_HIGH_EST" hidden="1">"c4166"</definedName>
    <definedName name="IQ_CASH_OPER_HIGH_GUIDANCE" hidden="1">"c4185"</definedName>
    <definedName name="IQ_CASH_OPER_LOW_EST" hidden="1">"c4244"</definedName>
    <definedName name="IQ_CASH_OPER_LOW_GUIDANCE" hidden="1">"c4225"</definedName>
    <definedName name="IQ_CASH_OPER_MEDIAN_EST" hidden="1">"c4245"</definedName>
    <definedName name="IQ_CASH_OPER_NAME_AP" hidden="1">"c8926"</definedName>
    <definedName name="IQ_CASH_OPER_NAME_AP_ABS" hidden="1">"c8945"</definedName>
    <definedName name="IQ_CASH_OPER_NUM_EST" hidden="1">"c4246"</definedName>
    <definedName name="IQ_CASH_OPER_STDDEV_EST" hidden="1">"c4247"</definedName>
    <definedName name="IQ_CASH_OPER_SUBTOTAL_AP" hidden="1">"c8990"</definedName>
    <definedName name="IQ_CASH_OTHER_ADJ_AP" hidden="1">"c8891"</definedName>
    <definedName name="IQ_CASH_OTHER_ADJ_AP_ABS" hidden="1">"c8910"</definedName>
    <definedName name="IQ_CASH_OTHER_ADJ_NAME_AP" hidden="1">"c8929"</definedName>
    <definedName name="IQ_CASH_OTHER_ADJ_NAME_AP_ABS" hidden="1">"c8948"</definedName>
    <definedName name="IQ_CASH_OTHER_BANKS_FOREIGN_COUNTRIES_FFIEC" hidden="1">"c15283"</definedName>
    <definedName name="IQ_CASH_OTHER_US_COMM_BANK_DEP_INSTIT_FFIEC" hidden="1">"c15281"</definedName>
    <definedName name="IQ_CASH_SEGREG" hidden="1">"c123"</definedName>
    <definedName name="IQ_CASH_SHARE" hidden="1">"c1911"</definedName>
    <definedName name="IQ_CASH_ST" hidden="1">"c1355"</definedName>
    <definedName name="IQ_CASH_ST_INVEST" hidden="1">"c124"</definedName>
    <definedName name="IQ_CASH_ST_INVEST_EST" hidden="1">"c4249"</definedName>
    <definedName name="IQ_CASH_ST_INVEST_GUIDANCE" hidden="1">"c4250"</definedName>
    <definedName name="IQ_CASH_ST_INVEST_HIGH_EST" hidden="1">"c4251"</definedName>
    <definedName name="IQ_CASH_ST_INVEST_HIGH_GUIDANCE" hidden="1">"c4195"</definedName>
    <definedName name="IQ_CASH_ST_INVEST_LOW_EST" hidden="1">"c4252"</definedName>
    <definedName name="IQ_CASH_ST_INVEST_LOW_GUIDANCE" hidden="1">"c4235"</definedName>
    <definedName name="IQ_CASH_ST_INVEST_MEDIAN_EST" hidden="1">"c4253"</definedName>
    <definedName name="IQ_CASH_ST_INVEST_NUM_EST" hidden="1">"c4254"</definedName>
    <definedName name="IQ_CASH_ST_INVEST_STDDEV_EST" hidden="1">"c4255"</definedName>
    <definedName name="IQ_CASH_STRUCTURED_PRODUCTS_AVAIL_SALE_FFIEC" hidden="1">"c15263"</definedName>
    <definedName name="IQ_CASH_STRUCTURED_PRODUCTS_FFIEC" hidden="1">"c15260"</definedName>
    <definedName name="IQ_CASH_TAXES" hidden="1">"c125"</definedName>
    <definedName name="IQ_CASH_TAXES_FINAN" hidden="1">"c6292"</definedName>
    <definedName name="IQ_CASH_TAXES_INVEST" hidden="1">"c6291"</definedName>
    <definedName name="IQ_CASH_TAXES_OPER" hidden="1">"c6290"</definedName>
    <definedName name="IQ_CATASTROPHIC_LOSS_RATIO" hidden="1">"c15881"</definedName>
    <definedName name="IQ_CDS_5YR_CIQID" hidden="1">"c11751"</definedName>
    <definedName name="IQ_CDS_ASK" hidden="1">"c6027"</definedName>
    <definedName name="IQ_CDS_BID" hidden="1">"c6026"</definedName>
    <definedName name="IQ_CDS_COUPON" hidden="1">"c15234"</definedName>
    <definedName name="IQ_CDS_CURRENCY" hidden="1">"c6031"</definedName>
    <definedName name="IQ_CDS_DERIVATIVES_BENEFICIARY_FFIEC" hidden="1">"c13119"</definedName>
    <definedName name="IQ_CDS_DERIVATIVES_GUARANTOR_FFIEC" hidden="1">"c13112"</definedName>
    <definedName name="IQ_CDS_EVAL_DATE" hidden="1">"c6029"</definedName>
    <definedName name="IQ_CDS_LIST" hidden="1">"c13510"</definedName>
    <definedName name="IQ_CDS_LOAN_LIST" hidden="1">"c13518"</definedName>
    <definedName name="IQ_CDS_MID" hidden="1">"c6028"</definedName>
    <definedName name="IQ_CDS_NAME" hidden="1">"c6034"</definedName>
    <definedName name="IQ_CDS_NEXT_SERIES_ID" hidden="1">"c15231"</definedName>
    <definedName name="IQ_CDS_PREV_SERIES_ID" hidden="1">"c15232"</definedName>
    <definedName name="IQ_CDS_PRICE_TYPE" hidden="1">"c15233"</definedName>
    <definedName name="IQ_CDS_SENIOR_LIST" hidden="1">"c13508"</definedName>
    <definedName name="IQ_CDS_SUB_LIST" hidden="1">"c13509"</definedName>
    <definedName name="IQ_CDS_TERM" hidden="1">"c6030"</definedName>
    <definedName name="IQ_CDS_TYPE" hidden="1">"c6025"</definedName>
    <definedName name="IQ_CEDED_AH_EARNED" hidden="1">"c2743"</definedName>
    <definedName name="IQ_CEDED_CLAIM_ADJ_EXP_RESERVE_BOP" hidden="1">"c15875"</definedName>
    <definedName name="IQ_CEDED_CLAIM_EXP_INCUR" hidden="1">"c2756"</definedName>
    <definedName name="IQ_CEDED_CLAIM_EXP_PAID" hidden="1">"c2759"</definedName>
    <definedName name="IQ_CEDED_CLAIM_EXP_RES" hidden="1">"c2753"</definedName>
    <definedName name="IQ_CEDED_EARNED" hidden="1">"c2733"</definedName>
    <definedName name="IQ_CEDED_LIFE_EARNED" hidden="1">"c2738"</definedName>
    <definedName name="IQ_CEDED_LIFE_IN_FORCE" hidden="1">"c2768"</definedName>
    <definedName name="IQ_CEDED_LOSSES" hidden="1">"c15872"</definedName>
    <definedName name="IQ_CEDED_PC_EARNED" hidden="1">"c2748"</definedName>
    <definedName name="IQ_CEDED_PREMIUMS_EARNED_GROSS_PREMIUMS_EARNED" hidden="1">"c15887"</definedName>
    <definedName name="IQ_CEDED_PREMIUMS_WRITTEN_GROSS_PREMIUMS_WRITTEN" hidden="1">"c15885"</definedName>
    <definedName name="IQ_CEDED_WRITTEN" hidden="1">"c2727"</definedName>
    <definedName name="IQ_CEO_ID" hidden="1">"c15210"</definedName>
    <definedName name="IQ_CEO_NAME" hidden="1">"c15209"</definedName>
    <definedName name="IQ_CERTIFIED_OFFICIAL_CHECKS_TRANS_ACCTS_FFIEC" hidden="1">"c15320"</definedName>
    <definedName name="IQ_CFO_10YR_ANN_CAGR" hidden="1">"c6055"</definedName>
    <definedName name="IQ_CFO_10YR_ANN_GROWTH" hidden="1">"c126"</definedName>
    <definedName name="IQ_CFO_1YR_ANN_GROWTH" hidden="1">"c127"</definedName>
    <definedName name="IQ_CFO_2YR_ANN_CAGR" hidden="1">"c6056"</definedName>
    <definedName name="IQ_CFO_2YR_ANN_GROWTH" hidden="1">"c128"</definedName>
    <definedName name="IQ_CFO_3YR_ANN_CAGR" hidden="1">"c6057"</definedName>
    <definedName name="IQ_CFO_3YR_ANN_GROWTH" hidden="1">"c129"</definedName>
    <definedName name="IQ_CFO_5YR_ANN_CAGR" hidden="1">"c6058"</definedName>
    <definedName name="IQ_CFO_5YR_ANN_GROWTH" hidden="1">"c130"</definedName>
    <definedName name="IQ_CFO_7YR_ANN_CAGR" hidden="1">"c6059"</definedName>
    <definedName name="IQ_CFO_7YR_ANN_GROWTH" hidden="1">"c131"</definedName>
    <definedName name="IQ_CFO_CURRENT_LIAB" hidden="1">"c132"</definedName>
    <definedName name="IQ_CFO_ID" hidden="1">"c15212"</definedName>
    <definedName name="IQ_CFO_NAME" hidden="1">"c15211"</definedName>
    <definedName name="IQ_CFPS_ACT_OR_EST" hidden="1">"c2217"</definedName>
    <definedName name="IQ_CFPS_ACT_OR_EST_REUT" hidden="1">"c5463"</definedName>
    <definedName name="IQ_CFPS_ACT_OR_EST_THOM" hidden="1">"c5301"</definedName>
    <definedName name="IQ_CFPS_EST" hidden="1">"c1667"</definedName>
    <definedName name="IQ_CFPS_EST_REUT" hidden="1">"c3844"</definedName>
    <definedName name="IQ_CFPS_EST_THOM" hidden="1">"c4006"</definedName>
    <definedName name="IQ_CFPS_GUIDANCE" hidden="1">"c4256"</definedName>
    <definedName name="IQ_CFPS_HIGH_EST" hidden="1">"c1669"</definedName>
    <definedName name="IQ_CFPS_HIGH_EST_REUT" hidden="1">"c3846"</definedName>
    <definedName name="IQ_CFPS_HIGH_EST_THOM" hidden="1">"c4008"</definedName>
    <definedName name="IQ_CFPS_HIGH_GUIDANCE" hidden="1">"c4167"</definedName>
    <definedName name="IQ_CFPS_LOW_EST" hidden="1">"c1670"</definedName>
    <definedName name="IQ_CFPS_LOW_EST_REUT" hidden="1">"c3847"</definedName>
    <definedName name="IQ_CFPS_LOW_EST_THOM" hidden="1">"c4009"</definedName>
    <definedName name="IQ_CFPS_LOW_GUIDANCE" hidden="1">"c4207"</definedName>
    <definedName name="IQ_CFPS_MEDIAN_EST" hidden="1">"c1668"</definedName>
    <definedName name="IQ_CFPS_MEDIAN_EST_REUT" hidden="1">"c3845"</definedName>
    <definedName name="IQ_CFPS_MEDIAN_EST_THOM" hidden="1">"c4007"</definedName>
    <definedName name="IQ_CFPS_NUM_EST" hidden="1">"c1671"</definedName>
    <definedName name="IQ_CFPS_NUM_EST_REUT" hidden="1">"c3848"</definedName>
    <definedName name="IQ_CFPS_NUM_EST_THOM" hidden="1">"c4010"</definedName>
    <definedName name="IQ_CFPS_STDDEV_EST" hidden="1">"c1672"</definedName>
    <definedName name="IQ_CFPS_STDDEV_EST_REUT" hidden="1">"c3849"</definedName>
    <definedName name="IQ_CFPS_STDDEV_EST_THOM" hidden="1">"c4011"</definedName>
    <definedName name="IQ_CH" hidden="1">110000</definedName>
    <definedName name="IQ_CHAIRMAN_ID" hidden="1">"c15218"</definedName>
    <definedName name="IQ_CHAIRMAN_NAME" hidden="1">"c15217"</definedName>
    <definedName name="IQ_CHANGE_AP" hidden="1">"c133"</definedName>
    <definedName name="IQ_CHANGE_AP_BNK" hidden="1">"c134"</definedName>
    <definedName name="IQ_CHANGE_AP_BR" hidden="1">"c135"</definedName>
    <definedName name="IQ_CHANGE_AP_FIN" hidden="1">"c136"</definedName>
    <definedName name="IQ_CHANGE_AP_INS" hidden="1">"c137"</definedName>
    <definedName name="IQ_CHANGE_AP_RE" hidden="1">"c6200"</definedName>
    <definedName name="IQ_CHANGE_AP_REIT" hidden="1">"c138"</definedName>
    <definedName name="IQ_CHANGE_AP_UTI" hidden="1">"c139"</definedName>
    <definedName name="IQ_CHANGE_AR" hidden="1">"c140"</definedName>
    <definedName name="IQ_CHANGE_AR_BNK" hidden="1">"c141"</definedName>
    <definedName name="IQ_CHANGE_AR_BR" hidden="1">"c142"</definedName>
    <definedName name="IQ_CHANGE_AR_FIN" hidden="1">"c143"</definedName>
    <definedName name="IQ_CHANGE_AR_INS" hidden="1">"c144"</definedName>
    <definedName name="IQ_CHANGE_AR_RE" hidden="1">"c6201"</definedName>
    <definedName name="IQ_CHANGE_AR_REIT" hidden="1">"c145"</definedName>
    <definedName name="IQ_CHANGE_AR_UTI" hidden="1">"c146"</definedName>
    <definedName name="IQ_CHANGE_DEF_TAX" hidden="1">"c147"</definedName>
    <definedName name="IQ_CHANGE_DEF_TAX_TOTAL" hidden="1">"c15557"</definedName>
    <definedName name="IQ_CHANGE_DEPOSIT_ACCT" hidden="1">"c148"</definedName>
    <definedName name="IQ_CHANGE_FAIR_VALUE_FINANCIAL_LIAB_T1_FFIEC" hidden="1">"c13138"</definedName>
    <definedName name="IQ_CHANGE_FAIR_VALUE_OPTIONS_FFIEC" hidden="1">"c13045"</definedName>
    <definedName name="IQ_CHANGE_INC_TAX" hidden="1">"c149"</definedName>
    <definedName name="IQ_CHANGE_INS_RES_LIAB" hidden="1">"c150"</definedName>
    <definedName name="IQ_CHANGE_INVENT" hidden="1">"c6826"</definedName>
    <definedName name="IQ_CHANGE_INVENT_APR" hidden="1">"c7486"</definedName>
    <definedName name="IQ_CHANGE_INVENT_POP" hidden="1">"c7046"</definedName>
    <definedName name="IQ_CHANGE_INVENT_REAL_APR_FC_UNUSED" hidden="1">"c8500"</definedName>
    <definedName name="IQ_CHANGE_INVENT_REAL_APR_UNUSED" hidden="1">"c7620"</definedName>
    <definedName name="IQ_CHANGE_INVENT_REAL_FC_UNUSED" hidden="1">"c7840"</definedName>
    <definedName name="IQ_CHANGE_INVENT_REAL_POP_FC_UNUSED" hidden="1">"c8060"</definedName>
    <definedName name="IQ_CHANGE_INVENT_REAL_POP_UNUSED" hidden="1">"c7180"</definedName>
    <definedName name="IQ_CHANGE_INVENT_REAL_SAAR" hidden="1">"c6962"</definedName>
    <definedName name="IQ_CHANGE_INVENT_REAL_SAAR_APR" hidden="1">"c7622"</definedName>
    <definedName name="IQ_CHANGE_INVENT_REAL_SAAR_APR_FC" hidden="1">"c8502"</definedName>
    <definedName name="IQ_CHANGE_INVENT_REAL_SAAR_FC" hidden="1">"c7842"</definedName>
    <definedName name="IQ_CHANGE_INVENT_REAL_SAAR_POP" hidden="1">"c7182"</definedName>
    <definedName name="IQ_CHANGE_INVENT_REAL_SAAR_POP_FC" hidden="1">"c8062"</definedName>
    <definedName name="IQ_CHANGE_INVENT_REAL_SAAR_USD_APR_FC" hidden="1">"c11917"</definedName>
    <definedName name="IQ_CHANGE_INVENT_REAL_SAAR_USD_FC" hidden="1">"c11914"</definedName>
    <definedName name="IQ_CHANGE_INVENT_REAL_SAAR_USD_POP_FC" hidden="1">"c11915"</definedName>
    <definedName name="IQ_CHANGE_INVENT_REAL_SAAR_USD_YOY_FC" hidden="1">"c11916"</definedName>
    <definedName name="IQ_CHANGE_INVENT_REAL_SAAR_YOY" hidden="1">"c7402"</definedName>
    <definedName name="IQ_CHANGE_INVENT_REAL_SAAR_YOY_FC" hidden="1">"c8282"</definedName>
    <definedName name="IQ_CHANGE_INVENT_REAL_UNUSED" hidden="1">"c6960"</definedName>
    <definedName name="IQ_CHANGE_INVENT_REAL_USD_APR_FC" hidden="1">"c11913"</definedName>
    <definedName name="IQ_CHANGE_INVENT_REAL_USD_FC" hidden="1">"c11910"</definedName>
    <definedName name="IQ_CHANGE_INVENT_REAL_USD_POP_FC" hidden="1">"c11911"</definedName>
    <definedName name="IQ_CHANGE_INVENT_REAL_USD_YOY_FC" hidden="1">"c11912"</definedName>
    <definedName name="IQ_CHANGE_INVENT_REAL_YOY_FC_UNUSED" hidden="1">"c8280"</definedName>
    <definedName name="IQ_CHANGE_INVENT_REAL_YOY_UNUSED" hidden="1">"c7400"</definedName>
    <definedName name="IQ_CHANGE_INVENT_SAAR" hidden="1">"c6827"</definedName>
    <definedName name="IQ_CHANGE_INVENT_SAAR_APR" hidden="1">"c7487"</definedName>
    <definedName name="IQ_CHANGE_INVENT_SAAR_APR_FC" hidden="1">"c8367"</definedName>
    <definedName name="IQ_CHANGE_INVENT_SAAR_FC" hidden="1">"c7707"</definedName>
    <definedName name="IQ_CHANGE_INVENT_SAAR_POP" hidden="1">"c7047"</definedName>
    <definedName name="IQ_CHANGE_INVENT_SAAR_POP_FC" hidden="1">"c7927"</definedName>
    <definedName name="IQ_CHANGE_INVENT_SAAR_YOY" hidden="1">"c7267"</definedName>
    <definedName name="IQ_CHANGE_INVENT_SAAR_YOY_FC" hidden="1">"c8147"</definedName>
    <definedName name="IQ_CHANGE_INVENT_YOY" hidden="1">"c7266"</definedName>
    <definedName name="IQ_CHANGE_INVENTORY" hidden="1">"c151"</definedName>
    <definedName name="IQ_CHANGE_NET_OPER_ASSETS" hidden="1">"c3592"</definedName>
    <definedName name="IQ_CHANGE_NET_WORKING_CAPITAL" hidden="1">"c1909"</definedName>
    <definedName name="IQ_CHANGE_OTHER_NET_OPER_ASSETS" hidden="1">"c3593"</definedName>
    <definedName name="IQ_CHANGE_OTHER_NET_OPER_ASSETS_BNK" hidden="1">"c3594"</definedName>
    <definedName name="IQ_CHANGE_OTHER_NET_OPER_ASSETS_BR" hidden="1">"c3595"</definedName>
    <definedName name="IQ_CHANGE_OTHER_NET_OPER_ASSETS_FIN" hidden="1">"c3596"</definedName>
    <definedName name="IQ_CHANGE_OTHER_NET_OPER_ASSETS_INS" hidden="1">"c3597"</definedName>
    <definedName name="IQ_CHANGE_OTHER_NET_OPER_ASSETS_RE" hidden="1">"c6285"</definedName>
    <definedName name="IQ_CHANGE_OTHER_NET_OPER_ASSETS_REIT" hidden="1">"c3598"</definedName>
    <definedName name="IQ_CHANGE_OTHER_NET_OPER_ASSETS_UTI" hidden="1">"c3599"</definedName>
    <definedName name="IQ_CHANGE_OTHER_WORK_CAP" hidden="1">"c152"</definedName>
    <definedName name="IQ_CHANGE_OTHER_WORK_CAP_BNK" hidden="1">"c153"</definedName>
    <definedName name="IQ_CHANGE_OTHER_WORK_CAP_BR" hidden="1">"c154"</definedName>
    <definedName name="IQ_CHANGE_OTHER_WORK_CAP_FIN" hidden="1">"c155"</definedName>
    <definedName name="IQ_CHANGE_OTHER_WORK_CAP_INS" hidden="1">"c156"</definedName>
    <definedName name="IQ_CHANGE_OTHER_WORK_CAP_REIT" hidden="1">"c157"</definedName>
    <definedName name="IQ_CHANGE_OTHER_WORK_CAP_UTI" hidden="1">"c158"</definedName>
    <definedName name="IQ_CHANGE_PRIVATE_INVENT" hidden="1">"c6828"</definedName>
    <definedName name="IQ_CHANGE_PRIVATE_INVENT_APR" hidden="1">"c7488"</definedName>
    <definedName name="IQ_CHANGE_PRIVATE_INVENT_APR_FC" hidden="1">"c8368"</definedName>
    <definedName name="IQ_CHANGE_PRIVATE_INVENT_FC" hidden="1">"c7708"</definedName>
    <definedName name="IQ_CHANGE_PRIVATE_INVENT_POP" hidden="1">"c7048"</definedName>
    <definedName name="IQ_CHANGE_PRIVATE_INVENT_POP_FC" hidden="1">"c7928"</definedName>
    <definedName name="IQ_CHANGE_PRIVATE_INVENT_YOY" hidden="1">"c7268"</definedName>
    <definedName name="IQ_CHANGE_PRIVATE_INVENT_YOY_FC" hidden="1">"c8148"</definedName>
    <definedName name="IQ_CHANGE_TRADING_ASSETS" hidden="1">"c159"</definedName>
    <definedName name="IQ_CHANGE_UNEARN_REV" hidden="1">"c160"</definedName>
    <definedName name="IQ_CHANGE_UNRECOG_TAX_BENEFIT_1_YR_MAX" hidden="1">"c15747"</definedName>
    <definedName name="IQ_CHANGE_UNRECOG_TAX_BENEFIT_1_YR_MIN" hidden="1">"c15746"</definedName>
    <definedName name="IQ_CHANGE_WORK_CAP" hidden="1">"c161"</definedName>
    <definedName name="IQ_CHANGES_WORK_CAP" hidden="1">"c1357"</definedName>
    <definedName name="IQ_CHARGE_OFFS_GROSS" hidden="1">"c162"</definedName>
    <definedName name="IQ_CHARGE_OFFS_NET" hidden="1">"c163"</definedName>
    <definedName name="IQ_CHARGE_OFFS_RECOVERED" hidden="1">"c164"</definedName>
    <definedName name="IQ_CHARGE_OFFS_TOTAL_AVG_LOANS" hidden="1">"c165"</definedName>
    <definedName name="IQ_CHICAGO_PMI" hidden="1">"c6829"</definedName>
    <definedName name="IQ_CHICAGO_PMI_APR" hidden="1">"c7489"</definedName>
    <definedName name="IQ_CHICAGO_PMI_APR_FC" hidden="1">"c8369"</definedName>
    <definedName name="IQ_CHICAGO_PMI_FC" hidden="1">"c7709"</definedName>
    <definedName name="IQ_CHICAGO_PMI_POP" hidden="1">"c7049"</definedName>
    <definedName name="IQ_CHICAGO_PMI_POP_FC" hidden="1">"c7929"</definedName>
    <definedName name="IQ_CHICAGO_PMI_YOY" hidden="1">"c7269"</definedName>
    <definedName name="IQ_CHICAGO_PMI_YOY_FC" hidden="1">"c8149"</definedName>
    <definedName name="IQ_CHURN_BASIC_CABLE" hidden="1">"c2871"</definedName>
    <definedName name="IQ_CHURN_BBAND" hidden="1">"c2872"</definedName>
    <definedName name="IQ_CHURN_DIG_CABLE" hidden="1">"c2870"</definedName>
    <definedName name="IQ_CHURN_PHONE" hidden="1">"c2873"</definedName>
    <definedName name="IQ_CHURN_POSTPAID_WIRELESS" hidden="1">"c2121"</definedName>
    <definedName name="IQ_CHURN_PREPAID_WIRELESS" hidden="1">"c2120"</definedName>
    <definedName name="IQ_CHURN_SATELLITE" hidden="1">"c15791"</definedName>
    <definedName name="IQ_CHURN_TOTAL" hidden="1">"c2874"</definedName>
    <definedName name="IQ_CHURN_TOTAL_WIRELESS" hidden="1">"c2122"</definedName>
    <definedName name="IQ_CITY" hidden="1">"c166"</definedName>
    <definedName name="IQ_CL_AP" hidden="1">"c8884"</definedName>
    <definedName name="IQ_CL_AP_ABS" hidden="1">"c8903"</definedName>
    <definedName name="IQ_CL_DUE_AFTER_FIVE" hidden="1">"c167"</definedName>
    <definedName name="IQ_CL_DUE_CY" hidden="1">"c168"</definedName>
    <definedName name="IQ_CL_DUE_CY1" hidden="1">"c169"</definedName>
    <definedName name="IQ_CL_DUE_CY2" hidden="1">"c170"</definedName>
    <definedName name="IQ_CL_DUE_CY3" hidden="1">"c171"</definedName>
    <definedName name="IQ_CL_DUE_CY4" hidden="1">"c172"</definedName>
    <definedName name="IQ_CL_DUE_NEXT_FIVE" hidden="1">"c173"</definedName>
    <definedName name="IQ_CL_NAME_AP" hidden="1">"c8922"</definedName>
    <definedName name="IQ_CL_NAME_AP_ABS" hidden="1">"c8941"</definedName>
    <definedName name="IQ_CL_OBLIGATION_IMMEDIATE" hidden="1">"c2253"</definedName>
    <definedName name="IQ_CLAIMS_ADJUSTMENT_EXP_PC_FFIEC" hidden="1">"c13100"</definedName>
    <definedName name="IQ_CLASS_MARKETCAP" hidden="1">"c13512"</definedName>
    <definedName name="IQ_CLASS_SHARESOUTSTANDING" hidden="1">"c13513"</definedName>
    <definedName name="IQ_CLASSA_OPTIONS_BEG_OS" hidden="1">"c2679"</definedName>
    <definedName name="IQ_CLASSA_OPTIONS_CANCELLED" hidden="1">"c2682"</definedName>
    <definedName name="IQ_CLASSA_OPTIONS_END_OS" hidden="1">"c2683"</definedName>
    <definedName name="IQ_CLASSA_OPTIONS_EXERCISABLE_END_OS" hidden="1">"c5809"</definedName>
    <definedName name="IQ_CLASSA_OPTIONS_EXERCISED" hidden="1">"c2681"</definedName>
    <definedName name="IQ_CLASSA_OPTIONS_GRANTED" hidden="1">"c2680"</definedName>
    <definedName name="IQ_CLASSA_OPTIONS_STRIKE_PRICE_BEG_OS" hidden="1">"c5810"</definedName>
    <definedName name="IQ_CLASSA_OPTIONS_STRIKE_PRICE_CANCELLED" hidden="1">"c5812"</definedName>
    <definedName name="IQ_CLASSA_OPTIONS_STRIKE_PRICE_EXERCISABLE" hidden="1">"c5813"</definedName>
    <definedName name="IQ_CLASSA_OPTIONS_STRIKE_PRICE_EXERCISED" hidden="1">"c5811"</definedName>
    <definedName name="IQ_CLASSA_OPTIONS_STRIKE_PRICE_OS" hidden="1">"c2684"</definedName>
    <definedName name="IQ_CLASSA_OUTSTANDING_BS_DATE" hidden="1">"c1971"</definedName>
    <definedName name="IQ_CLASSA_OUTSTANDING_FILING_DATE" hidden="1">"c1973"</definedName>
    <definedName name="IQ_CLASSA_STRIKE_PRICE_GRANTED" hidden="1">"c2685"</definedName>
    <definedName name="IQ_CLASSA_WARRANTS_BEG_OS" hidden="1">"c2705"</definedName>
    <definedName name="IQ_CLASSA_WARRANTS_CANCELLED" hidden="1">"c2708"</definedName>
    <definedName name="IQ_CLASSA_WARRANTS_END_OS" hidden="1">"c2709"</definedName>
    <definedName name="IQ_CLASSA_WARRANTS_EXERCISED" hidden="1">"c2707"</definedName>
    <definedName name="IQ_CLASSA_WARRANTS_ISSUED" hidden="1">"c2706"</definedName>
    <definedName name="IQ_CLASSA_WARRANTS_STRIKE_PRICE_ISSUED" hidden="1">"c2711"</definedName>
    <definedName name="IQ_CLASSA_WARRANTS_STRIKE_PRICE_OS" hidden="1">"c2710"</definedName>
    <definedName name="IQ_CLOSED_END_1_4_FAM_LOANS_TOT_LOANS_FFIEC" hidden="1">"c13866"</definedName>
    <definedName name="IQ_CLOSED_END_1_4_FIRST_LIENS_TRADING_DOM_FFIEC" hidden="1">"c12928"</definedName>
    <definedName name="IQ_CLOSED_END_1_4_JR_LIENS_LL_REC_DOM_FFIEC" hidden="1">"c12904"</definedName>
    <definedName name="IQ_CLOSED_END_1_4_JUNIOR_LIENS_TRADING_DOM_FFIEC" hidden="1">"c12929"</definedName>
    <definedName name="IQ_CLOSED_END_SEC_1_4_1ST_LIENS_CHARGE_OFFS_FFIEC" hidden="1">"c13169"</definedName>
    <definedName name="IQ_CLOSED_END_SEC_1_4_1ST_LIENS_DUE_30_89_FFIEC" hidden="1">"c13261"</definedName>
    <definedName name="IQ_CLOSED_END_SEC_1_4_1ST_LIENS_DUE_90_FFIEC" hidden="1">"c13289"</definedName>
    <definedName name="IQ_CLOSED_END_SEC_1_4_1ST_LIENS_NON_ACCRUAL_FFIEC" hidden="1">"c13315"</definedName>
    <definedName name="IQ_CLOSED_END_SEC_1_4_1ST_LIENS_RECOV_FFIEC" hidden="1">"c13191"</definedName>
    <definedName name="IQ_CLOSED_END_SEC_1_4_JR_LIENS_CHARGE_OFFS_FFIEC" hidden="1">"c13170"</definedName>
    <definedName name="IQ_CLOSED_END_SEC_1_4_JR_LIENS_DUE_30_89_FFIEC" hidden="1">"c13262"</definedName>
    <definedName name="IQ_CLOSED_END_SEC_1_4_JR_LIENS_DUE_90_FFIEC" hidden="1">"c13290"</definedName>
    <definedName name="IQ_CLOSED_END_SEC_1_4_JR_LIENS_NON_ACCRUAL_FFIEC" hidden="1">"c13316"</definedName>
    <definedName name="IQ_CLOSED_END_SEC_1_4_JR_LIENS_RECOV_FFIEC" hidden="1">"c13192"</definedName>
    <definedName name="IQ_CLOSED_END_SEC_1_4_RESIDENT_CHARGE_OFFS_FFIEC" hidden="1">"c15397"</definedName>
    <definedName name="IQ_CLOSED_END_SEC_1_4_RESIDENT_DUE_30_89_FFIEC" hidden="1">"c15413"</definedName>
    <definedName name="IQ_CLOSED_END_SEC_1_4_RESIDENT_DUE_90_FFIEC" hidden="1">"c15417"</definedName>
    <definedName name="IQ_CLOSED_END_SEC_1_4_RESIDENT_NON_ACCRUAL_FFIEC" hidden="1">"c15460"</definedName>
    <definedName name="IQ_CLOSED_END_SEC_1_4_RESIDENT_RECOV_FFIEC" hidden="1">"c15398"</definedName>
    <definedName name="IQ_CLOSED_END_SECURED_1_4_FIRST_LIENS_LL_REC_DOM_FFIEC" hidden="1">"c12903"</definedName>
    <definedName name="IQ_CLOSED_LOANS_GROSS_LOANS_FFIEC" hidden="1">"c13399"</definedName>
    <definedName name="IQ_CLOSED_LOANS_RISK_BASED_FFIEC" hidden="1">"c13420"</definedName>
    <definedName name="IQ_CLOSEPRICE" hidden="1">"c174"</definedName>
    <definedName name="IQ_CLOSEPRICE_ADJ" hidden="1">"c2115"</definedName>
    <definedName name="IQ_CMBS_ISSUED_AVAIL_SALE_FFIEC" hidden="1">"c12800"</definedName>
    <definedName name="IQ_CMBS_ISSUED_FFIEC" hidden="1">"c12786"</definedName>
    <definedName name="IQ_COAL_SALES_TO_OPERATING_REVENUE_COAL" hidden="1">"c15954"</definedName>
    <definedName name="IQ_COGS" hidden="1">"c175"</definedName>
    <definedName name="IQ_COLLATERAL_TYPE" hidden="1">"c8954"</definedName>
    <definedName name="IQ_COM_TARGET_PRICE" hidden="1">"c13606"</definedName>
    <definedName name="IQ_COM_TARGET_PRICE_CIQ" hidden="1">"c13599"</definedName>
    <definedName name="IQ_COM_TARGET_PRICE_HIGH" hidden="1">"c13607"</definedName>
    <definedName name="IQ_COM_TARGET_PRICE_HIGH_CIQ" hidden="1">"c13600"</definedName>
    <definedName name="IQ_COM_TARGET_PRICE_LOW" hidden="1">"c13608"</definedName>
    <definedName name="IQ_COM_TARGET_PRICE_LOW_CIQ" hidden="1">"c13601"</definedName>
    <definedName name="IQ_COM_TARGET_PRICE_MEDIAN" hidden="1">"c13609"</definedName>
    <definedName name="IQ_COM_TARGET_PRICE_MEDIAN_CIQ" hidden="1">"c13602"</definedName>
    <definedName name="IQ_COM_TARGET_PRICE_NUM" hidden="1">"c13604"</definedName>
    <definedName name="IQ_COM_TARGET_PRICE_NUM_CIQ" hidden="1">"c13597"</definedName>
    <definedName name="IQ_COM_TARGET_PRICE_STDDEV" hidden="1">"c13605"</definedName>
    <definedName name="IQ_COM_TARGET_PRICE_STDDEV_CIQ" hidden="1">"c13598"</definedName>
    <definedName name="IQ_COMBINED_RATIO" hidden="1">"c176"</definedName>
    <definedName name="IQ_COMM_BANKS_OTHER_DEP_INST_US_TRANS_ACCTS_FFIEC" hidden="1">"c15317"</definedName>
    <definedName name="IQ_COMM_BANKS_OTHER_INST_US_NON_TRANS_ACCTS_FFIEC" hidden="1">"c15325"</definedName>
    <definedName name="IQ_COMM_IND_LOANS_TOT_LOANS_FFIEC" hidden="1">"c13874"</definedName>
    <definedName name="IQ_COMM_INDUSTRIAL_LL_REC_FFIEC" hidden="1">"c18880"</definedName>
    <definedName name="IQ_COMM_INDUSTRIAL_LOANS_FFIEC" hidden="1">"c12821"</definedName>
    <definedName name="IQ_COMM_INDUSTRIAL_NON_US_LL_REC_FFIEC" hidden="1">"c12888"</definedName>
    <definedName name="IQ_COMM_INDUSTRIAL_US_LL_REC_FFIEC" hidden="1">"c12887"</definedName>
    <definedName name="IQ_COMM_RE_FARM_LOANS_TOT_LOANS_FFIEC" hidden="1">"c13872"</definedName>
    <definedName name="IQ_COMM_RE_NONFARM_NONRES_TOT_LOANS_FFIEC" hidden="1">"c13871"</definedName>
    <definedName name="IQ_COMMERCIAL_DOM" hidden="1">"c177"</definedName>
    <definedName name="IQ_COMMERCIAL_FIRE_WRITTEN" hidden="1">"c178"</definedName>
    <definedName name="IQ_COMMERCIAL_INDUSTRIAL_DOM_QUARTERLY_AVG_FFIEC" hidden="1">"c15478"</definedName>
    <definedName name="IQ_COMMERCIAL_INDUSTRIAL_GROSS_LOANS_FFIEC" hidden="1">"c13410"</definedName>
    <definedName name="IQ_COMMERCIAL_INDUSTRIAL_LOANS_DUE_30_89_FFIEC" hidden="1">"c13271"</definedName>
    <definedName name="IQ_COMMERCIAL_INDUSTRIAL_LOANS_DUE_90_FFIEC" hidden="1">"c13297"</definedName>
    <definedName name="IQ_COMMERCIAL_INDUSTRIAL_LOANS_LL_REC_DOM_FFIEC" hidden="1">"c12910"</definedName>
    <definedName name="IQ_COMMERCIAL_INDUSTRIAL_LOANS_NON_ACCRUAL_FFIEC" hidden="1">"c13323"</definedName>
    <definedName name="IQ_COMMERCIAL_INDUSTRIAL_NON_US_CHARGE_OFFS_FFIEC" hidden="1">"c13179"</definedName>
    <definedName name="IQ_COMMERCIAL_INDUSTRIAL_NON_US_DUE_30_89_FFIEC" hidden="1">"c15415"</definedName>
    <definedName name="IQ_COMMERCIAL_INDUSTRIAL_NON_US_DUE_90_FFIEC" hidden="1">"c15419"</definedName>
    <definedName name="IQ_COMMERCIAL_INDUSTRIAL_NON_US_NON_ACCRUAL_FFIEC" hidden="1">"c15464"</definedName>
    <definedName name="IQ_COMMERCIAL_INDUSTRIAL_NON_US_RECOV_FFIEC" hidden="1">"c13201"</definedName>
    <definedName name="IQ_COMMERCIAL_INDUSTRIAL_RISK_BASED_FFIEC" hidden="1">"c13431"</definedName>
    <definedName name="IQ_COMMERCIAL_INDUSTRIAL_TRADING_DOM_FFIEC" hidden="1">"c12932"</definedName>
    <definedName name="IQ_COMMERCIAL_INDUSTRIAL_US_CHARGE_OFFS_FFIEC" hidden="1">"c13178"</definedName>
    <definedName name="IQ_COMMERCIAL_INDUSTRIAL_US_DUE_30_89_FFIEC" hidden="1">"c15414"</definedName>
    <definedName name="IQ_COMMERCIAL_INDUSTRIAL_US_DUE_90_FFIEC" hidden="1">"c15418"</definedName>
    <definedName name="IQ_COMMERCIAL_INDUSTRIAL_US_NON_ACCRUAL_FFIEC" hidden="1">"c15463"</definedName>
    <definedName name="IQ_COMMERCIAL_INDUSTRIAL_US_RECOV_FFIEC" hidden="1">"c13200"</definedName>
    <definedName name="IQ_COMMERCIAL_INVEST_CABLE_INVEST" hidden="1">"c15806"</definedName>
    <definedName name="IQ_COMMERCIAL_LOANS_TOTAL_LOANS" hidden="1">"c15709"</definedName>
    <definedName name="IQ_COMMERCIAL_MORT" hidden="1">"c179"</definedName>
    <definedName name="IQ_COMMERCIAL_OTHER_LOC_FFIEC" hidden="1">"c13253"</definedName>
    <definedName name="IQ_COMMERCIAL_PAPER_ASSETS_TOT_FFIEC" hidden="1">"c13449"</definedName>
    <definedName name="IQ_COMMERCIAL_PAPER_FFIEC" hidden="1">"c12863"</definedName>
    <definedName name="IQ_COMMERCIAL_RE_GROSS_LOANS_FFIEC" hidden="1">"c13400"</definedName>
    <definedName name="IQ_COMMERCIAL_RE_LOANS_TOTAL_LOANS" hidden="1">"c15710"</definedName>
    <definedName name="IQ_COMMERCIAL_RE_RISK_BASED_FFIEC" hidden="1">"c13421"</definedName>
    <definedName name="IQ_COMMISS_FEES" hidden="1">"c180"</definedName>
    <definedName name="IQ_COMMISSION_DEF" hidden="1">"c181"</definedName>
    <definedName name="IQ_COMMITMENTS_BUY_SEC_OTHER_OFF_BS_FFIEC" hidden="1">"c13128"</definedName>
    <definedName name="IQ_COMMITMENTS_COMMERCIAL_RE_UNUSED_FFIEC" hidden="1">"c13243"</definedName>
    <definedName name="IQ_COMMITMENTS_SELL_SEC_OTHER_OFF_BS_FFIEC" hidden="1">"c13129"</definedName>
    <definedName name="IQ_COMMODITY_EXPOSURE_FFIEC" hidden="1">"c13061"</definedName>
    <definedName name="IQ_COMMON" hidden="1">"c182"</definedName>
    <definedName name="IQ_COMMON_APIC" hidden="1">"c183"</definedName>
    <definedName name="IQ_COMMON_APIC_BNK" hidden="1">"c184"</definedName>
    <definedName name="IQ_COMMON_APIC_BR" hidden="1">"c185"</definedName>
    <definedName name="IQ_COMMON_APIC_FIN" hidden="1">"c186"</definedName>
    <definedName name="IQ_COMMON_APIC_INS" hidden="1">"c187"</definedName>
    <definedName name="IQ_COMMON_APIC_RE" hidden="1">"c6202"</definedName>
    <definedName name="IQ_COMMON_APIC_REIT" hidden="1">"c188"</definedName>
    <definedName name="IQ_COMMON_APIC_UTI" hidden="1">"c189"</definedName>
    <definedName name="IQ_COMMON_DIV" hidden="1">"c3006"</definedName>
    <definedName name="IQ_COMMON_DIV_CF" hidden="1">"c190"</definedName>
    <definedName name="IQ_COMMON_EQUITY_10YR_ANN_CAGR" hidden="1">"c6060"</definedName>
    <definedName name="IQ_COMMON_EQUITY_10YR_ANN_GROWTH" hidden="1">"c191"</definedName>
    <definedName name="IQ_COMMON_EQUITY_1YR_ANN_GROWTH" hidden="1">"c192"</definedName>
    <definedName name="IQ_COMMON_EQUITY_2YR_ANN_CAGR" hidden="1">"c6061"</definedName>
    <definedName name="IQ_COMMON_EQUITY_2YR_ANN_GROWTH" hidden="1">"c193"</definedName>
    <definedName name="IQ_COMMON_EQUITY_3YR_ANN_CAGR" hidden="1">"c6062"</definedName>
    <definedName name="IQ_COMMON_EQUITY_3YR_ANN_GROWTH" hidden="1">"c194"</definedName>
    <definedName name="IQ_COMMON_EQUITY_5YR_ANN_CAGR" hidden="1">"c6063"</definedName>
    <definedName name="IQ_COMMON_EQUITY_5YR_ANN_GROWTH" hidden="1">"c195"</definedName>
    <definedName name="IQ_COMMON_EQUITY_7YR_ANN_CAGR" hidden="1">"c6064"</definedName>
    <definedName name="IQ_COMMON_EQUITY_7YR_ANN_GROWTH" hidden="1">"c196"</definedName>
    <definedName name="IQ_COMMON_ISSUED" hidden="1">"c197"</definedName>
    <definedName name="IQ_COMMON_ISSUED_BNK" hidden="1">"c198"</definedName>
    <definedName name="IQ_COMMON_ISSUED_BR" hidden="1">"c199"</definedName>
    <definedName name="IQ_COMMON_ISSUED_FIN" hidden="1">"c200"</definedName>
    <definedName name="IQ_COMMON_ISSUED_INS" hidden="1">"c201"</definedName>
    <definedName name="IQ_COMMON_ISSUED_RE" hidden="1">"c6203"</definedName>
    <definedName name="IQ_COMMON_ISSUED_REIT" hidden="1">"c202"</definedName>
    <definedName name="IQ_COMMON_ISSUED_UTI" hidden="1">"c203"</definedName>
    <definedName name="IQ_COMMON_PER_ADR" hidden="1">"c204"</definedName>
    <definedName name="IQ_COMMON_PREF_DIV_CF" hidden="1">"c205"</definedName>
    <definedName name="IQ_COMMON_REP" hidden="1">"c206"</definedName>
    <definedName name="IQ_COMMON_REP_BNK" hidden="1">"c207"</definedName>
    <definedName name="IQ_COMMON_REP_BR" hidden="1">"c208"</definedName>
    <definedName name="IQ_COMMON_REP_FIN" hidden="1">"c209"</definedName>
    <definedName name="IQ_COMMON_REP_INS" hidden="1">"c210"</definedName>
    <definedName name="IQ_COMMON_REP_RE" hidden="1">"c6204"</definedName>
    <definedName name="IQ_COMMON_REP_REIT" hidden="1">"c211"</definedName>
    <definedName name="IQ_COMMON_REP_UTI" hidden="1">"c212"</definedName>
    <definedName name="IQ_COMMON_STOCK" hidden="1">"c1358"</definedName>
    <definedName name="IQ_COMMON_STOCK_FFIEC" hidden="1">"c12876"</definedName>
    <definedName name="IQ_COMP_BENEFITS" hidden="1">"c213"</definedName>
    <definedName name="IQ_COMPANY_ADDRESS" hidden="1">"c214"</definedName>
    <definedName name="IQ_COMPANY_ID" hidden="1">"c3513"</definedName>
    <definedName name="IQ_COMPANY_NAME" hidden="1">"c215"</definedName>
    <definedName name="IQ_COMPANY_NAME_LONG" hidden="1">"c1585"</definedName>
    <definedName name="IQ_COMPANY_NOTE" hidden="1">"c6792"</definedName>
    <definedName name="IQ_COMPANY_PHONE" hidden="1">"c216"</definedName>
    <definedName name="IQ_COMPANY_STATUS" hidden="1">"c2097"</definedName>
    <definedName name="IQ_COMPANY_STREET1" hidden="1">"c217"</definedName>
    <definedName name="IQ_COMPANY_STREET2" hidden="1">"c218"</definedName>
    <definedName name="IQ_COMPANY_TICKER" hidden="1">"c219"</definedName>
    <definedName name="IQ_COMPANY_TICKER_NO_EXCH" hidden="1">"c15490"</definedName>
    <definedName name="IQ_COMPANY_TYPE" hidden="1">"c2096"</definedName>
    <definedName name="IQ_COMPANY_WEBSITE" hidden="1">"c220"</definedName>
    <definedName name="IQ_COMPANY_ZIP" hidden="1">"c221"</definedName>
    <definedName name="IQ_COMPETITOR_ALL" hidden="1">"c13754"</definedName>
    <definedName name="IQ_COMPETITOR_NAMED_BY_COMPANY" hidden="1">"c13751"</definedName>
    <definedName name="IQ_COMPETITOR_NAMED_BY_COMPETITOR" hidden="1">"c13752"</definedName>
    <definedName name="IQ_COMPETITOR_NAMED_BY_THIRDPARTY" hidden="1">"c13753"</definedName>
    <definedName name="IQ_COMPOSITE_CYCLICAL_IND" hidden="1">"c6830"</definedName>
    <definedName name="IQ_COMPOSITE_CYCLICAL_IND_APR" hidden="1">"c7490"</definedName>
    <definedName name="IQ_COMPOSITE_CYCLICAL_IND_APR_FC" hidden="1">"c8370"</definedName>
    <definedName name="IQ_COMPOSITE_CYCLICAL_IND_FC" hidden="1">"c7710"</definedName>
    <definedName name="IQ_COMPOSITE_CYCLICAL_IND_POP" hidden="1">"c7050"</definedName>
    <definedName name="IQ_COMPOSITE_CYCLICAL_IND_POP_FC" hidden="1">"c7930"</definedName>
    <definedName name="IQ_COMPOSITE_CYCLICAL_IND_YOY" hidden="1">"c7270"</definedName>
    <definedName name="IQ_COMPOSITE_CYCLICAL_IND_YOY_FC" hidden="1">"c8150"</definedName>
    <definedName name="IQ_CONSOL_BEDS" hidden="1">"c8782"</definedName>
    <definedName name="IQ_CONSOL_PROP_OPERATIONAL" hidden="1">"c8758"</definedName>
    <definedName name="IQ_CONSOL_PROP_OTHER_OWNED" hidden="1">"c8760"</definedName>
    <definedName name="IQ_CONSOL_PROP_TOTAL" hidden="1">"c8761"</definedName>
    <definedName name="IQ_CONSOL_PROP_UNDEVELOPED" hidden="1">"c8759"</definedName>
    <definedName name="IQ_CONSOL_ROOMS" hidden="1">"c8786"</definedName>
    <definedName name="IQ_CONSOL_SQ_FT_OPERATIONAL" hidden="1">"c8774"</definedName>
    <definedName name="IQ_CONSOL_SQ_FT_OTHER_OWNED" hidden="1">"c8776"</definedName>
    <definedName name="IQ_CONSOL_SQ_FT_TOTAL" hidden="1">"c8777"</definedName>
    <definedName name="IQ_CONSOL_SQ_FT_UNDEVELOPED" hidden="1">"c8775"</definedName>
    <definedName name="IQ_CONSOL_UNITS_OPERATIONAL" hidden="1">"c8766"</definedName>
    <definedName name="IQ_CONSOL_UNITS_OTHER_OWNED" hidden="1">"c8768"</definedName>
    <definedName name="IQ_CONSOL_UNITS_TOTAL" hidden="1">"c8769"</definedName>
    <definedName name="IQ_CONSOL_UNITS_UNDEVELOPED" hidden="1">"c8767"</definedName>
    <definedName name="IQ_CONSOLIDATED_ASSETS_QUARTERLY_AVG_FFIEC" hidden="1">"c13087"</definedName>
    <definedName name="IQ_CONSOLIDATED_NI_FOREIGN_FFIEC" hidden="1">"c15396"</definedName>
    <definedName name="IQ_CONST_LAND_DEV_LOANS_TOT_LOANS_FFIEC" hidden="1">"c13865"</definedName>
    <definedName name="IQ_CONST_LAND_DEVELOP_OTHER_DOM_CHARGE_OFFS_FFIEC" hidden="1">"c13628"</definedName>
    <definedName name="IQ_CONST_LAND_DEVELOP_OTHER_DOM_RECOV_FFIEC" hidden="1">"c13632"</definedName>
    <definedName name="IQ_CONSTRUCTION_LAND_DEV_DOM_FFIEC" hidden="1">"c15267"</definedName>
    <definedName name="IQ_CONSTRUCTION_LL_REC_DOM_FFIEC" hidden="1">"c12900"</definedName>
    <definedName name="IQ_CONSTRUCTION_LOANS" hidden="1">"c222"</definedName>
    <definedName name="IQ_CONSTRUCTION_LOANS_DOM_DUE_30_89_FFIEC" hidden="1">"c13256"</definedName>
    <definedName name="IQ_CONSTRUCTION_LOANS_DOM_DUE_90_FFIEC" hidden="1">"c13284"</definedName>
    <definedName name="IQ_CONSTRUCTION_LOANS_DOM_NON_ACCRUAL_FFIEC" hidden="1">"c13310"</definedName>
    <definedName name="IQ_CONSTRUCTION_LOANS_GROSS_LOANS_FFIEC" hidden="1">"c13401"</definedName>
    <definedName name="IQ_CONSTRUCTION_LOANS_TOTAL_LOANS" hidden="1">"c15711"</definedName>
    <definedName name="IQ_CONSTRUCTION_RISK_BASED_FFIEC" hidden="1">"c13422"</definedName>
    <definedName name="IQ_CONSULTING_FFIEC" hidden="1">"c13055"</definedName>
    <definedName name="IQ_CONSUMER_COMFORT" hidden="1">"c6831"</definedName>
    <definedName name="IQ_CONSUMER_COMFORT_APR" hidden="1">"c7491"</definedName>
    <definedName name="IQ_CONSUMER_COMFORT_APR_FC" hidden="1">"c8371"</definedName>
    <definedName name="IQ_CONSUMER_COMFORT_FC" hidden="1">"c7711"</definedName>
    <definedName name="IQ_CONSUMER_COMFORT_POP" hidden="1">"c7051"</definedName>
    <definedName name="IQ_CONSUMER_COMFORT_POP_FC" hidden="1">"c7931"</definedName>
    <definedName name="IQ_CONSUMER_CONFIDENCE" hidden="1">"c6832"</definedName>
    <definedName name="IQ_CONSUMER_CONFIDENCE_APR" hidden="1">"c7492"</definedName>
    <definedName name="IQ_CONSUMER_CONFIDENCE_APR_FC" hidden="1">"c8372"</definedName>
    <definedName name="IQ_CONSUMER_CONFIDENCE_FC" hidden="1">"c7712"</definedName>
    <definedName name="IQ_CONSUMER_CONFIDENCE_POP" hidden="1">"c7052"</definedName>
    <definedName name="IQ_CONSUMER_CONFIDENCE_POP_FC" hidden="1">"c7932"</definedName>
    <definedName name="IQ_CONSUMER_CONFIDENCE_YOY" hidden="1">"c7272"</definedName>
    <definedName name="IQ_CONSUMER_CONFIDENCE_YOY_FC" hidden="1">"c8152"</definedName>
    <definedName name="IQ_CONSUMER_LEASES_LL_REC_FFIEC" hidden="1">"c12895"</definedName>
    <definedName name="IQ_CONSUMER_LENDING" hidden="1">"c6833"</definedName>
    <definedName name="IQ_CONSUMER_LENDING_APR" hidden="1">"c7493"</definedName>
    <definedName name="IQ_CONSUMER_LENDING_APR_FC" hidden="1">"c8373"</definedName>
    <definedName name="IQ_CONSUMER_LENDING_FC" hidden="1">"c7713"</definedName>
    <definedName name="IQ_CONSUMER_LENDING_GROSS" hidden="1">"c6878"</definedName>
    <definedName name="IQ_CONSUMER_LENDING_GROSS_APR" hidden="1">"c7538"</definedName>
    <definedName name="IQ_CONSUMER_LENDING_GROSS_APR_FC" hidden="1">"c8418"</definedName>
    <definedName name="IQ_CONSUMER_LENDING_GROSS_FC" hidden="1">"c7758"</definedName>
    <definedName name="IQ_CONSUMER_LENDING_GROSS_POP" hidden="1">"c7098"</definedName>
    <definedName name="IQ_CONSUMER_LENDING_GROSS_POP_FC" hidden="1">"c7978"</definedName>
    <definedName name="IQ_CONSUMER_LENDING_GROSS_YOY" hidden="1">"c7318"</definedName>
    <definedName name="IQ_CONSUMER_LENDING_GROSS_YOY_FC" hidden="1">"c8198"</definedName>
    <definedName name="IQ_CONSUMER_LENDING_NET" hidden="1">"c6922"</definedName>
    <definedName name="IQ_CONSUMER_LENDING_NET_APR" hidden="1">"c7582"</definedName>
    <definedName name="IQ_CONSUMER_LENDING_NET_APR_FC" hidden="1">"c8462"</definedName>
    <definedName name="IQ_CONSUMER_LENDING_NET_FC" hidden="1">"c7802"</definedName>
    <definedName name="IQ_CONSUMER_LENDING_NET_POP" hidden="1">"c7142"</definedName>
    <definedName name="IQ_CONSUMER_LENDING_NET_POP_FC" hidden="1">"c8022"</definedName>
    <definedName name="IQ_CONSUMER_LENDING_NET_YOY" hidden="1">"c7362"</definedName>
    <definedName name="IQ_CONSUMER_LENDING_NET_YOY_FC" hidden="1">"c8242"</definedName>
    <definedName name="IQ_CONSUMER_LENDING_POP" hidden="1">"c7053"</definedName>
    <definedName name="IQ_CONSUMER_LENDING_POP_FC" hidden="1">"c7933"</definedName>
    <definedName name="IQ_CONSUMER_LENDING_TOTAL" hidden="1">"c7018"</definedName>
    <definedName name="IQ_CONSUMER_LENDING_TOTAL_APR" hidden="1">"c7678"</definedName>
    <definedName name="IQ_CONSUMER_LENDING_TOTAL_APR_FC" hidden="1">"c8558"</definedName>
    <definedName name="IQ_CONSUMER_LENDING_TOTAL_FC" hidden="1">"c7898"</definedName>
    <definedName name="IQ_CONSUMER_LENDING_TOTAL_POP" hidden="1">"c7238"</definedName>
    <definedName name="IQ_CONSUMER_LENDING_TOTAL_POP_FC" hidden="1">"c8118"</definedName>
    <definedName name="IQ_CONSUMER_LENDING_TOTAL_YOY" hidden="1">"c7458"</definedName>
    <definedName name="IQ_CONSUMER_LENDING_TOTAL_YOY_FC" hidden="1">"c8338"</definedName>
    <definedName name="IQ_CONSUMER_LENDING_YOY" hidden="1">"c7273"</definedName>
    <definedName name="IQ_CONSUMER_LENDING_YOY_FC" hidden="1">"c8153"</definedName>
    <definedName name="IQ_CONSUMER_LOANS" hidden="1">"c223"</definedName>
    <definedName name="IQ_CONSUMER_LOANS_LL_REC_DOM_FFIEC" hidden="1">"c12911"</definedName>
    <definedName name="IQ_CONSUMER_LOANS_TOT_LOANS_FFIEC" hidden="1">"c13875"</definedName>
    <definedName name="IQ_CONSUMER_LOANS_TOTAL_LOANS" hidden="1">"c15712"</definedName>
    <definedName name="IQ_CONSUMER_SPENDING" hidden="1">"c6834"</definedName>
    <definedName name="IQ_CONSUMER_SPENDING_APR" hidden="1">"c7494"</definedName>
    <definedName name="IQ_CONSUMER_SPENDING_APR_FC" hidden="1">"c8374"</definedName>
    <definedName name="IQ_CONSUMER_SPENDING_DURABLE" hidden="1">"c6835"</definedName>
    <definedName name="IQ_CONSUMER_SPENDING_DURABLE_APR" hidden="1">"c7495"</definedName>
    <definedName name="IQ_CONSUMER_SPENDING_DURABLE_APR_FC" hidden="1">"c8375"</definedName>
    <definedName name="IQ_CONSUMER_SPENDING_DURABLE_FC" hidden="1">"c7715"</definedName>
    <definedName name="IQ_CONSUMER_SPENDING_DURABLE_POP" hidden="1">"c7055"</definedName>
    <definedName name="IQ_CONSUMER_SPENDING_DURABLE_POP_FC" hidden="1">"c7935"</definedName>
    <definedName name="IQ_CONSUMER_SPENDING_DURABLE_REAL" hidden="1">"c6964"</definedName>
    <definedName name="IQ_CONSUMER_SPENDING_DURABLE_REAL_APR" hidden="1">"c7624"</definedName>
    <definedName name="IQ_CONSUMER_SPENDING_DURABLE_REAL_APR_FC" hidden="1">"c8504"</definedName>
    <definedName name="IQ_CONSUMER_SPENDING_DURABLE_REAL_FC" hidden="1">"c7844"</definedName>
    <definedName name="IQ_CONSUMER_SPENDING_DURABLE_REAL_POP" hidden="1">"c7184"</definedName>
    <definedName name="IQ_CONSUMER_SPENDING_DURABLE_REAL_POP_FC" hidden="1">"c8064"</definedName>
    <definedName name="IQ_CONSUMER_SPENDING_DURABLE_REAL_SAAR" hidden="1">"c6965"</definedName>
    <definedName name="IQ_CONSUMER_SPENDING_DURABLE_REAL_SAAR_APR" hidden="1">"c7625"</definedName>
    <definedName name="IQ_CONSUMER_SPENDING_DURABLE_REAL_SAAR_APR_FC" hidden="1">"c8505"</definedName>
    <definedName name="IQ_CONSUMER_SPENDING_DURABLE_REAL_SAAR_FC" hidden="1">"c7845"</definedName>
    <definedName name="IQ_CONSUMER_SPENDING_DURABLE_REAL_SAAR_POP" hidden="1">"c7185"</definedName>
    <definedName name="IQ_CONSUMER_SPENDING_DURABLE_REAL_SAAR_POP_FC" hidden="1">"c8065"</definedName>
    <definedName name="IQ_CONSUMER_SPENDING_DURABLE_REAL_SAAR_YOY" hidden="1">"c7405"</definedName>
    <definedName name="IQ_CONSUMER_SPENDING_DURABLE_REAL_SAAR_YOY_FC" hidden="1">"c8285"</definedName>
    <definedName name="IQ_CONSUMER_SPENDING_DURABLE_REAL_YOY" hidden="1">"c7404"</definedName>
    <definedName name="IQ_CONSUMER_SPENDING_DURABLE_REAL_YOY_FC" hidden="1">"c8284"</definedName>
    <definedName name="IQ_CONSUMER_SPENDING_DURABLE_YOY" hidden="1">"c7275"</definedName>
    <definedName name="IQ_CONSUMER_SPENDING_DURABLE_YOY_FC" hidden="1">"c8155"</definedName>
    <definedName name="IQ_CONSUMER_SPENDING_FC" hidden="1">"c7714"</definedName>
    <definedName name="IQ_CONSUMER_SPENDING_NONDURABLE" hidden="1">"c6836"</definedName>
    <definedName name="IQ_CONSUMER_SPENDING_NONDURABLE_APR" hidden="1">"c7496"</definedName>
    <definedName name="IQ_CONSUMER_SPENDING_NONDURABLE_APR_FC" hidden="1">"c8376"</definedName>
    <definedName name="IQ_CONSUMER_SPENDING_NONDURABLE_FC" hidden="1">"c7716"</definedName>
    <definedName name="IQ_CONSUMER_SPENDING_NONDURABLE_POP" hidden="1">"c7056"</definedName>
    <definedName name="IQ_CONSUMER_SPENDING_NONDURABLE_POP_FC" hidden="1">"c7936"</definedName>
    <definedName name="IQ_CONSUMER_SPENDING_NONDURABLE_REAL" hidden="1">"c6966"</definedName>
    <definedName name="IQ_CONSUMER_SPENDING_NONDURABLE_REAL_APR" hidden="1">"c7626"</definedName>
    <definedName name="IQ_CONSUMER_SPENDING_NONDURABLE_REAL_APR_FC" hidden="1">"c8506"</definedName>
    <definedName name="IQ_CONSUMER_SPENDING_NONDURABLE_REAL_FC" hidden="1">"c7846"</definedName>
    <definedName name="IQ_CONSUMER_SPENDING_NONDURABLE_REAL_POP" hidden="1">"c7186"</definedName>
    <definedName name="IQ_CONSUMER_SPENDING_NONDURABLE_REAL_POP_FC" hidden="1">"c8066"</definedName>
    <definedName name="IQ_CONSUMER_SPENDING_NONDURABLE_REAL_SAAR" hidden="1">"c6967"</definedName>
    <definedName name="IQ_CONSUMER_SPENDING_NONDURABLE_REAL_SAAR_APR" hidden="1">"c7627"</definedName>
    <definedName name="IQ_CONSUMER_SPENDING_NONDURABLE_REAL_SAAR_APR_FC" hidden="1">"c8507"</definedName>
    <definedName name="IQ_CONSUMER_SPENDING_NONDURABLE_REAL_SAAR_FC" hidden="1">"c7847"</definedName>
    <definedName name="IQ_CONSUMER_SPENDING_NONDURABLE_REAL_SAAR_POP" hidden="1">"c7187"</definedName>
    <definedName name="IQ_CONSUMER_SPENDING_NONDURABLE_REAL_SAAR_POP_FC" hidden="1">"c8067"</definedName>
    <definedName name="IQ_CONSUMER_SPENDING_NONDURABLE_REAL_SAAR_YOY" hidden="1">"c7407"</definedName>
    <definedName name="IQ_CONSUMER_SPENDING_NONDURABLE_REAL_SAAR_YOY_FC" hidden="1">"c8287"</definedName>
    <definedName name="IQ_CONSUMER_SPENDING_NONDURABLE_REAL_YOY" hidden="1">"c7406"</definedName>
    <definedName name="IQ_CONSUMER_SPENDING_NONDURABLE_REAL_YOY_FC" hidden="1">"c8286"</definedName>
    <definedName name="IQ_CONSUMER_SPENDING_NONDURABLE_YOY" hidden="1">"c7276"</definedName>
    <definedName name="IQ_CONSUMER_SPENDING_NONDURABLE_YOY_FC" hidden="1">"c8156"</definedName>
    <definedName name="IQ_CONSUMER_SPENDING_POP" hidden="1">"c7054"</definedName>
    <definedName name="IQ_CONSUMER_SPENDING_POP_FC" hidden="1">"c7934"</definedName>
    <definedName name="IQ_CONSUMER_SPENDING_REAL" hidden="1">"c6963"</definedName>
    <definedName name="IQ_CONSUMER_SPENDING_REAL_APR" hidden="1">"c7623"</definedName>
    <definedName name="IQ_CONSUMER_SPENDING_REAL_APR_FC" hidden="1">"c8503"</definedName>
    <definedName name="IQ_CONSUMER_SPENDING_REAL_FC" hidden="1">"c7843"</definedName>
    <definedName name="IQ_CONSUMER_SPENDING_REAL_POP" hidden="1">"c7183"</definedName>
    <definedName name="IQ_CONSUMER_SPENDING_REAL_POP_FC" hidden="1">"c8063"</definedName>
    <definedName name="IQ_CONSUMER_SPENDING_REAL_SAAR" hidden="1">"c6968"</definedName>
    <definedName name="IQ_CONSUMER_SPENDING_REAL_SAAR_APR" hidden="1">"c7628"</definedName>
    <definedName name="IQ_CONSUMER_SPENDING_REAL_SAAR_APR_FC" hidden="1">"c8508"</definedName>
    <definedName name="IQ_CONSUMER_SPENDING_REAL_SAAR_FC" hidden="1">"c7848"</definedName>
    <definedName name="IQ_CONSUMER_SPENDING_REAL_SAAR_POP" hidden="1">"c7188"</definedName>
    <definedName name="IQ_CONSUMER_SPENDING_REAL_SAAR_POP_FC" hidden="1">"c8068"</definedName>
    <definedName name="IQ_CONSUMER_SPENDING_REAL_SAAR_YOY" hidden="1">"c7408"</definedName>
    <definedName name="IQ_CONSUMER_SPENDING_REAL_SAAR_YOY_FC" hidden="1">"c8288"</definedName>
    <definedName name="IQ_CONSUMER_SPENDING_REAL_USD_APR_FC" hidden="1">"c11921"</definedName>
    <definedName name="IQ_CONSUMER_SPENDING_REAL_USD_FC" hidden="1">"c11918"</definedName>
    <definedName name="IQ_CONSUMER_SPENDING_REAL_USD_POP_FC" hidden="1">"c11919"</definedName>
    <definedName name="IQ_CONSUMER_SPENDING_REAL_USD_YOY_FC" hidden="1">"c11920"</definedName>
    <definedName name="IQ_CONSUMER_SPENDING_REAL_YOY" hidden="1">"c7403"</definedName>
    <definedName name="IQ_CONSUMER_SPENDING_REAL_YOY_FC" hidden="1">"c8283"</definedName>
    <definedName name="IQ_CONSUMER_SPENDING_SERVICES" hidden="1">"c6837"</definedName>
    <definedName name="IQ_CONSUMER_SPENDING_SERVICES_APR" hidden="1">"c7497"</definedName>
    <definedName name="IQ_CONSUMER_SPENDING_SERVICES_APR_FC" hidden="1">"c8377"</definedName>
    <definedName name="IQ_CONSUMER_SPENDING_SERVICES_FC" hidden="1">"c7717"</definedName>
    <definedName name="IQ_CONSUMER_SPENDING_SERVICES_POP" hidden="1">"c7057"</definedName>
    <definedName name="IQ_CONSUMER_SPENDING_SERVICES_POP_FC" hidden="1">"c7937"</definedName>
    <definedName name="IQ_CONSUMER_SPENDING_SERVICES_REAL" hidden="1">"c6969"</definedName>
    <definedName name="IQ_CONSUMER_SPENDING_SERVICES_REAL_APR" hidden="1">"c7629"</definedName>
    <definedName name="IQ_CONSUMER_SPENDING_SERVICES_REAL_APR_FC" hidden="1">"c8509"</definedName>
    <definedName name="IQ_CONSUMER_SPENDING_SERVICES_REAL_FC" hidden="1">"c7849"</definedName>
    <definedName name="IQ_CONSUMER_SPENDING_SERVICES_REAL_POP" hidden="1">"c7189"</definedName>
    <definedName name="IQ_CONSUMER_SPENDING_SERVICES_REAL_POP_FC" hidden="1">"c8069"</definedName>
    <definedName name="IQ_CONSUMER_SPENDING_SERVICES_REAL_SAAR" hidden="1">"c6970"</definedName>
    <definedName name="IQ_CONSUMER_SPENDING_SERVICES_REAL_SAAR_APR" hidden="1">"c7630"</definedName>
    <definedName name="IQ_CONSUMER_SPENDING_SERVICES_REAL_SAAR_APR_FC" hidden="1">"c8510"</definedName>
    <definedName name="IQ_CONSUMER_SPENDING_SERVICES_REAL_SAAR_FC" hidden="1">"c7850"</definedName>
    <definedName name="IQ_CONSUMER_SPENDING_SERVICES_REAL_SAAR_POP" hidden="1">"c7190"</definedName>
    <definedName name="IQ_CONSUMER_SPENDING_SERVICES_REAL_SAAR_POP_FC" hidden="1">"c8070"</definedName>
    <definedName name="IQ_CONSUMER_SPENDING_SERVICES_REAL_SAAR_YOY" hidden="1">"c7410"</definedName>
    <definedName name="IQ_CONSUMER_SPENDING_SERVICES_REAL_SAAR_YOY_FC" hidden="1">"c8290"</definedName>
    <definedName name="IQ_CONSUMER_SPENDING_SERVICES_REAL_YOY" hidden="1">"c7409"</definedName>
    <definedName name="IQ_CONSUMER_SPENDING_SERVICES_REAL_YOY_FC" hidden="1">"c8289"</definedName>
    <definedName name="IQ_CONSUMER_SPENDING_SERVICES_YOY" hidden="1">"c7277"</definedName>
    <definedName name="IQ_CONSUMER_SPENDING_SERVICES_YOY_FC" hidden="1">"c8157"</definedName>
    <definedName name="IQ_CONSUMER_SPENDING_YOY" hidden="1">"c7274"</definedName>
    <definedName name="IQ_CONSUMER_SPENDING_YOY_FC" hidden="1">"c8154"</definedName>
    <definedName name="IQ_CONTINGENT_LIABILITIES" hidden="1">"c18873"</definedName>
    <definedName name="IQ_CONTRACT_OBLIGATION_AFTER_FIVE" hidden="1">"c15691"</definedName>
    <definedName name="IQ_CONTRACT_OBLIGATION_CY" hidden="1">"c15685"</definedName>
    <definedName name="IQ_CONTRACT_OBLIGATION_CY1" hidden="1">"c15686"</definedName>
    <definedName name="IQ_CONTRACT_OBLIGATION_CY2" hidden="1">"c15687"</definedName>
    <definedName name="IQ_CONTRACT_OBLIGATION_CY3" hidden="1">"c15688"</definedName>
    <definedName name="IQ_CONTRACT_OBLIGATION_CY4" hidden="1">"c15689"</definedName>
    <definedName name="IQ_CONTRACT_OBLIGATION_NEXT_FIVE" hidden="1">"c15690"</definedName>
    <definedName name="IQ_CONTRACT_OBLIGATION_TOTAL" hidden="1">"c15692"</definedName>
    <definedName name="IQ_CONTRIBUTOR_CIQID" hidden="1">"c13742"</definedName>
    <definedName name="IQ_CONTRIBUTOR_NAME" hidden="1">"c13735"</definedName>
    <definedName name="IQ_CONTRIBUTOR_START_DATE" hidden="1">"c13741"</definedName>
    <definedName name="IQ_CONV_DATE" hidden="1">"c2191"</definedName>
    <definedName name="IQ_CONV_EXP_DATE" hidden="1">"c3043"</definedName>
    <definedName name="IQ_CONV_PARITY" hidden="1">"c16197"</definedName>
    <definedName name="IQ_CONV_PREMIUM" hidden="1">"c2195"</definedName>
    <definedName name="IQ_CONV_PRICE" hidden="1">"c2193"</definedName>
    <definedName name="IQ_CONV_PRICE_ISSUE" hidden="1">"c16195"</definedName>
    <definedName name="IQ_CONV_PRICE_PREM_ISSUE" hidden="1">"c16196"</definedName>
    <definedName name="IQ_CONV_PRICE_PREMIUM" hidden="1">"c16198"</definedName>
    <definedName name="IQ_CONV_PT_PREMIUM" hidden="1">"c16199"</definedName>
    <definedName name="IQ_CONV_PT_PREMIUM_PCT" hidden="1">"c16200"</definedName>
    <definedName name="IQ_CONV_RATE" hidden="1">"c2192"</definedName>
    <definedName name="IQ_CONV_RATIO" hidden="1">"c2192"</definedName>
    <definedName name="IQ_CONV_SECURITY" hidden="1">"c2189"</definedName>
    <definedName name="IQ_CONV_SECURITY_ISSUER" hidden="1">"c2190"</definedName>
    <definedName name="IQ_CONV_SECURITY_PRICE" hidden="1">"c2194"</definedName>
    <definedName name="IQ_CONVERSION_COMMON_FFIEC" hidden="1">"c12964"</definedName>
    <definedName name="IQ_CONVERSION_PREF_FFIEC" hidden="1">"c12962"</definedName>
    <definedName name="IQ_CONVERT" hidden="1">"c2536"</definedName>
    <definedName name="IQ_CONVERT_PCT" hidden="1">"c2537"</definedName>
    <definedName name="IQ_CONVEXITY" hidden="1">"c2182"</definedName>
    <definedName name="IQ_COO_ID" hidden="1">"c15222"</definedName>
    <definedName name="IQ_COO_NAME" hidden="1">"c15221"</definedName>
    <definedName name="IQ_CORE_DEPOSITS_ASSETS_TOT_FFIEC" hidden="1">"c13442"</definedName>
    <definedName name="IQ_CORE_DEPOSITS_FFIEC" hidden="1">"c13862"</definedName>
    <definedName name="IQ_CORE_DEPOSITS_TOT_DEPOSITS_FFIEC" hidden="1">"c13911"</definedName>
    <definedName name="IQ_CORE_TIER_ONE_CAPITAL" hidden="1">"c15244"</definedName>
    <definedName name="IQ_CORE_TIER_ONE_CAPITAL_RATIO" hidden="1">"c15240"</definedName>
    <definedName name="IQ_CORP_GOODS_PRICE_INDEX_APR_FC_UNUSED" hidden="1">"c8381"</definedName>
    <definedName name="IQ_CORP_GOODS_PRICE_INDEX_APR_UNUSED" hidden="1">"c7501"</definedName>
    <definedName name="IQ_CORP_GOODS_PRICE_INDEX_FC_UNUSED" hidden="1">"c7721"</definedName>
    <definedName name="IQ_CORP_GOODS_PRICE_INDEX_POP_FC_UNUSED" hidden="1">"c7941"</definedName>
    <definedName name="IQ_CORP_GOODS_PRICE_INDEX_POP_UNUSED" hidden="1">"c7061"</definedName>
    <definedName name="IQ_CORP_GOODS_PRICE_INDEX_UNUSED" hidden="1">"c6841"</definedName>
    <definedName name="IQ_CORP_GOODS_PRICE_INDEX_YOY_FC_UNUSED" hidden="1">"c8161"</definedName>
    <definedName name="IQ_CORP_GOODS_PRICE_INDEX_YOY_UNUSED" hidden="1">"c7281"</definedName>
    <definedName name="IQ_CORP_PROFITS" hidden="1">"c6843"</definedName>
    <definedName name="IQ_CORP_PROFITS_AFTER_TAX_SAAR" hidden="1">"c6842"</definedName>
    <definedName name="IQ_CORP_PROFITS_AFTER_TAX_SAAR_APR" hidden="1">"c7502"</definedName>
    <definedName name="IQ_CORP_PROFITS_AFTER_TAX_SAAR_APR_FC" hidden="1">"c8382"</definedName>
    <definedName name="IQ_CORP_PROFITS_AFTER_TAX_SAAR_FC" hidden="1">"c7722"</definedName>
    <definedName name="IQ_CORP_PROFITS_AFTER_TAX_SAAR_POP" hidden="1">"c7062"</definedName>
    <definedName name="IQ_CORP_PROFITS_AFTER_TAX_SAAR_POP_FC" hidden="1">"c7942"</definedName>
    <definedName name="IQ_CORP_PROFITS_AFTER_TAX_SAAR_YOY" hidden="1">"c7282"</definedName>
    <definedName name="IQ_CORP_PROFITS_AFTER_TAX_SAAR_YOY_FC" hidden="1">"c8162"</definedName>
    <definedName name="IQ_CORP_PROFITS_APR" hidden="1">"c7503"</definedName>
    <definedName name="IQ_CORP_PROFITS_APR_FC" hidden="1">"c8383"</definedName>
    <definedName name="IQ_CORP_PROFITS_FC" hidden="1">"c7723"</definedName>
    <definedName name="IQ_CORP_PROFITS_POP" hidden="1">"c7063"</definedName>
    <definedName name="IQ_CORP_PROFITS_POP_FC" hidden="1">"c7943"</definedName>
    <definedName name="IQ_CORP_PROFITS_SAAR" hidden="1">"c6844"</definedName>
    <definedName name="IQ_CORP_PROFITS_SAAR_APR" hidden="1">"c7504"</definedName>
    <definedName name="IQ_CORP_PROFITS_SAAR_APR_FC" hidden="1">"c8384"</definedName>
    <definedName name="IQ_CORP_PROFITS_SAAR_FC" hidden="1">"c7724"</definedName>
    <definedName name="IQ_CORP_PROFITS_SAAR_POP" hidden="1">"c7064"</definedName>
    <definedName name="IQ_CORP_PROFITS_SAAR_POP_FC" hidden="1">"c7944"</definedName>
    <definedName name="IQ_CORP_PROFITS_SAAR_YOY" hidden="1">"c7284"</definedName>
    <definedName name="IQ_CORP_PROFITS_SAAR_YOY_FC" hidden="1">"c8164"</definedName>
    <definedName name="IQ_CORP_PROFITS_YOY" hidden="1">"c7283"</definedName>
    <definedName name="IQ_CORP_PROFITS_YOY_FC" hidden="1">"c8163"</definedName>
    <definedName name="IQ_CORPORATE_OVER_TOTAL" hidden="1">"c13767"</definedName>
    <definedName name="IQ_COST_BORROWED_FUNDS_FFIEC" hidden="1">"c13492"</definedName>
    <definedName name="IQ_COST_BORROWING" hidden="1">"c2936"</definedName>
    <definedName name="IQ_COST_BORROWINGS" hidden="1">"c225"</definedName>
    <definedName name="IQ_COST_CAPITAL_NEW_BUSINESS" hidden="1">"c9968"</definedName>
    <definedName name="IQ_COST_FOREIGN_DEPOSITS_FFIEC" hidden="1">"c13490"</definedName>
    <definedName name="IQ_COST_FUNDS" hidden="1">"c15726"</definedName>
    <definedName name="IQ_COST_FUNDS_PURCHASED_FFIEC" hidden="1">"c13491"</definedName>
    <definedName name="IQ_COST_INT_DEPOSITS_FFIEC" hidden="1">"c13489"</definedName>
    <definedName name="IQ_COST_REV" hidden="1">"c226"</definedName>
    <definedName name="IQ_COST_REVENUE" hidden="1">"c1359"</definedName>
    <definedName name="IQ_COST_SALES_COAL" hidden="1">"c15933"</definedName>
    <definedName name="IQ_COST_SALES_PER_UNIT_SOLD_COAL" hidden="1">"c15944"</definedName>
    <definedName name="IQ_COST_SALES_TO_SALES_COAL" hidden="1">"c15951"</definedName>
    <definedName name="IQ_COST_SAVINGS" hidden="1">"c227"</definedName>
    <definedName name="IQ_COST_SERVICE" hidden="1">"c228"</definedName>
    <definedName name="IQ_COST_SOLVENCY_CAPITAL_COVERED" hidden="1">"c9965"</definedName>
    <definedName name="IQ_COST_SOLVENCY_CAPITAL_GROUP" hidden="1">"c9951"</definedName>
    <definedName name="IQ_COST_TOTAL_BORROWINGS" hidden="1">"c229"</definedName>
    <definedName name="IQ_COUNTRY_NAME" hidden="1">"c230"</definedName>
    <definedName name="IQ_COUNTRY_NAME_ECON" hidden="1">"c11752"</definedName>
    <definedName name="IQ_COUPON_FORMULA" hidden="1">"c8965"</definedName>
    <definedName name="IQ_COVERAGE_RATIO" hidden="1">"c15243"</definedName>
    <definedName name="IQ_COVERED_POPS" hidden="1">"c2124"</definedName>
    <definedName name="IQ_COVERED_WIRELESS_POPS" hidden="1">"c2124"</definedName>
    <definedName name="IQ_CP" hidden="1">"c2495"</definedName>
    <definedName name="IQ_CP_PCT" hidden="1">"c2496"</definedName>
    <definedName name="IQ_CPI" hidden="1">"c6845"</definedName>
    <definedName name="IQ_CPI_APR" hidden="1">"c7505"</definedName>
    <definedName name="IQ_CPI_APR_FC" hidden="1">"c8385"</definedName>
    <definedName name="IQ_CPI_CORE" hidden="1">"c6838"</definedName>
    <definedName name="IQ_CPI_CORE_APR" hidden="1">"c7498"</definedName>
    <definedName name="IQ_CPI_CORE_POP" hidden="1">"c7058"</definedName>
    <definedName name="IQ_CPI_CORE_YOY" hidden="1">"c7278"</definedName>
    <definedName name="IQ_CPI_FC" hidden="1">"c7725"</definedName>
    <definedName name="IQ_CPI_POP" hidden="1">"c7065"</definedName>
    <definedName name="IQ_CPI_POP_FC" hidden="1">"c7945"</definedName>
    <definedName name="IQ_CPI_YOY" hidden="1">"c7285"</definedName>
    <definedName name="IQ_CPI_YOY_FC" hidden="1">"c8165"</definedName>
    <definedName name="IQ_CQ" hidden="1">5000</definedName>
    <definedName name="IQ_CREDIT_CARD_FEE_BNK" hidden="1">"c231"</definedName>
    <definedName name="IQ_CREDIT_CARD_FEE_FIN" hidden="1">"c1583"</definedName>
    <definedName name="IQ_CREDIT_CARD_GROSS_LOANS_FFIEC" hidden="1">"c13412"</definedName>
    <definedName name="IQ_CREDIT_CARD_INTERCHANGE_FEES_FFIEC" hidden="1">"c13046"</definedName>
    <definedName name="IQ_CREDIT_CARD_LINES_UNUSED_FFIEC" hidden="1">"c13242"</definedName>
    <definedName name="IQ_CREDIT_CARD_LOANS_CHARGE_OFFS_FFIEC" hidden="1">"c13180"</definedName>
    <definedName name="IQ_CREDIT_CARD_LOANS_DOM_QUARTERLY_AVG_FFIEC" hidden="1">"c15480"</definedName>
    <definedName name="IQ_CREDIT_CARD_LOANS_DUE_30_89_FFIEC" hidden="1">"c13272"</definedName>
    <definedName name="IQ_CREDIT_CARD_LOANS_DUE_90_FFIEC" hidden="1">"c13298"</definedName>
    <definedName name="IQ_CREDIT_CARD_LOANS_NON_ACCRUAL_FFIEC" hidden="1">"c13324"</definedName>
    <definedName name="IQ_CREDIT_CARD_LOANS_RECOV_FFIEC" hidden="1">"c13202"</definedName>
    <definedName name="IQ_CREDIT_CARD_RISK_BASED_FFIEC" hidden="1">"c13433"</definedName>
    <definedName name="IQ_CREDIT_CARDS_CONSUMER_LOANS_FFIEC" hidden="1">"c12822"</definedName>
    <definedName name="IQ_CREDIT_CARDS_LL_REC_FFIEC" hidden="1">"c12889"</definedName>
    <definedName name="IQ_CREDIT_CARDS_LOANS_TRADING_DOM_FFIEC" hidden="1">"c12933"</definedName>
    <definedName name="IQ_CREDIT_EXPOSURE" hidden="1">"c10038"</definedName>
    <definedName name="IQ_CREDIT_EXPOSURE_FFIEC" hidden="1">"c13062"</definedName>
    <definedName name="IQ_CREDIT_LOSS_CF" hidden="1">"c232"</definedName>
    <definedName name="IQ_CREDIT_LOSSES_DERIVATIVES_FFIEC" hidden="1">"c13068"</definedName>
    <definedName name="IQ_CREDIT_OPTIONS_DERIVATIVES_BENEFICIARY_FFIEC" hidden="1">"c13121"</definedName>
    <definedName name="IQ_CREDIT_OPTIONS_DERIVATIVES_GUARANTOR_FFIEC" hidden="1">"c13114"</definedName>
    <definedName name="IQ_CUMULATIVE_PREFERREDS_T2_FFIEC" hidden="1">"c13145"</definedName>
    <definedName name="IQ_CUMULATIVE_SPLIT_FACTOR" hidden="1">"c2094"</definedName>
    <definedName name="IQ_CURR_ACCT_BALANCE_APR_FC_UNUSED" hidden="1">"c8387"</definedName>
    <definedName name="IQ_CURR_ACCT_BALANCE_APR_UNUSED" hidden="1">"c7507"</definedName>
    <definedName name="IQ_CURR_ACCT_BALANCE_FC_UNUSED" hidden="1">"c7727"</definedName>
    <definedName name="IQ_CURR_ACCT_BALANCE_PCT" hidden="1">"c6846"</definedName>
    <definedName name="IQ_CURR_ACCT_BALANCE_PCT_FC" hidden="1">"c7726"</definedName>
    <definedName name="IQ_CURR_ACCT_BALANCE_PCT_POP" hidden="1">"c7066"</definedName>
    <definedName name="IQ_CURR_ACCT_BALANCE_PCT_POP_FC" hidden="1">"c7946"</definedName>
    <definedName name="IQ_CURR_ACCT_BALANCE_PCT_YOY" hidden="1">"c7286"</definedName>
    <definedName name="IQ_CURR_ACCT_BALANCE_PCT_YOY_FC" hidden="1">"c8166"</definedName>
    <definedName name="IQ_CURR_ACCT_BALANCE_POP_FC_UNUSED" hidden="1">"c7947"</definedName>
    <definedName name="IQ_CURR_ACCT_BALANCE_POP_UNUSED" hidden="1">"c7067"</definedName>
    <definedName name="IQ_CURR_ACCT_BALANCE_SAAR" hidden="1">"c6848"</definedName>
    <definedName name="IQ_CURR_ACCT_BALANCE_SAAR_APR" hidden="1">"c7508"</definedName>
    <definedName name="IQ_CURR_ACCT_BALANCE_SAAR_APR_FC" hidden="1">"c8388"</definedName>
    <definedName name="IQ_CURR_ACCT_BALANCE_SAAR_FC" hidden="1">"c7728"</definedName>
    <definedName name="IQ_CURR_ACCT_BALANCE_SAAR_POP" hidden="1">"c7068"</definedName>
    <definedName name="IQ_CURR_ACCT_BALANCE_SAAR_POP_FC" hidden="1">"c7948"</definedName>
    <definedName name="IQ_CURR_ACCT_BALANCE_SAAR_USD_APR_FC" hidden="1">"c11797"</definedName>
    <definedName name="IQ_CURR_ACCT_BALANCE_SAAR_USD_FC" hidden="1">"c11794"</definedName>
    <definedName name="IQ_CURR_ACCT_BALANCE_SAAR_USD_POP_FC" hidden="1">"c11795"</definedName>
    <definedName name="IQ_CURR_ACCT_BALANCE_SAAR_USD_YOY_FC" hidden="1">"c11796"</definedName>
    <definedName name="IQ_CURR_ACCT_BALANCE_SAAR_YOY" hidden="1">"c7288"</definedName>
    <definedName name="IQ_CURR_ACCT_BALANCE_SAAR_YOY_FC" hidden="1">"c8168"</definedName>
    <definedName name="IQ_CURR_ACCT_BALANCE_UNUSED" hidden="1">"c6847"</definedName>
    <definedName name="IQ_CURR_ACCT_BALANCE_USD" hidden="1">"c11786"</definedName>
    <definedName name="IQ_CURR_ACCT_BALANCE_USD_APR" hidden="1">"c11789"</definedName>
    <definedName name="IQ_CURR_ACCT_BALANCE_USD_APR_FC" hidden="1">"c11793"</definedName>
    <definedName name="IQ_CURR_ACCT_BALANCE_USD_FC" hidden="1">"c11790"</definedName>
    <definedName name="IQ_CURR_ACCT_BALANCE_USD_POP" hidden="1">"c11787"</definedName>
    <definedName name="IQ_CURR_ACCT_BALANCE_USD_POP_FC" hidden="1">"c11791"</definedName>
    <definedName name="IQ_CURR_ACCT_BALANCE_USD_YOY" hidden="1">"c11788"</definedName>
    <definedName name="IQ_CURR_ACCT_BALANCE_USD_YOY_FC" hidden="1">"c11792"</definedName>
    <definedName name="IQ_CURR_ACCT_BALANCE_YOY_FC_UNUSED" hidden="1">"c8167"</definedName>
    <definedName name="IQ_CURR_ACCT_BALANCE_YOY_UNUSED" hidden="1">"c7287"</definedName>
    <definedName name="IQ_CURR_ACCT_INC_RECEIPTS" hidden="1">"c6849"</definedName>
    <definedName name="IQ_CURR_ACCT_INC_RECEIPTS_APR" hidden="1">"c7509"</definedName>
    <definedName name="IQ_CURR_ACCT_INC_RECEIPTS_APR_FC" hidden="1">"c8389"</definedName>
    <definedName name="IQ_CURR_ACCT_INC_RECEIPTS_FC" hidden="1">"c7729"</definedName>
    <definedName name="IQ_CURR_ACCT_INC_RECEIPTS_POP" hidden="1">"c7069"</definedName>
    <definedName name="IQ_CURR_ACCT_INC_RECEIPTS_POP_FC" hidden="1">"c7949"</definedName>
    <definedName name="IQ_CURR_ACCT_INC_RECEIPTS_YOY" hidden="1">"c7289"</definedName>
    <definedName name="IQ_CURR_ACCT_INC_RECEIPTS_YOY_FC" hidden="1">"c8169"</definedName>
    <definedName name="IQ_CURR_DOMESTIC_TAXES" hidden="1">"c2074"</definedName>
    <definedName name="IQ_CURR_FOREIGN_TAXES" hidden="1">"c2075"</definedName>
    <definedName name="IQ_CURRENCY_COIN_DOM_FFIEC" hidden="1">"c15287"</definedName>
    <definedName name="IQ_CURRENCY_FACTOR_BS" hidden="1">"c233"</definedName>
    <definedName name="IQ_CURRENCY_FACTOR_IS" hidden="1">"c234"</definedName>
    <definedName name="IQ_CURRENCY_GAIN" hidden="1">"c235"</definedName>
    <definedName name="IQ_CURRENCY_GAIN_BR" hidden="1">"c236"</definedName>
    <definedName name="IQ_CURRENCY_GAIN_FIN" hidden="1">"c237"</definedName>
    <definedName name="IQ_CURRENCY_GAIN_INS" hidden="1">"c238"</definedName>
    <definedName name="IQ_CURRENCY_GAIN_RE" hidden="1">"c6205"</definedName>
    <definedName name="IQ_CURRENCY_GAIN_REIT" hidden="1">"c239"</definedName>
    <definedName name="IQ_CURRENCY_GAIN_UTI" hidden="1">"c240"</definedName>
    <definedName name="IQ_CURRENT_BENCHMARK" hidden="1">"c6780"</definedName>
    <definedName name="IQ_CURRENT_BENCHMARK_CIQID" hidden="1">"c6781"</definedName>
    <definedName name="IQ_CURRENT_BENCHMARK_MATURITY" hidden="1">"c6782"</definedName>
    <definedName name="IQ_CURRENT_PORT" hidden="1">"c241"</definedName>
    <definedName name="IQ_CURRENT_PORT_BNK" hidden="1">"c242"</definedName>
    <definedName name="IQ_CURRENT_PORT_DEBT" hidden="1">"c243"</definedName>
    <definedName name="IQ_CURRENT_PORT_DEBT_BNK" hidden="1">"c244"</definedName>
    <definedName name="IQ_CURRENT_PORT_DEBT_BR" hidden="1">"c1567"</definedName>
    <definedName name="IQ_CURRENT_PORT_DEBT_FIN" hidden="1">"c1568"</definedName>
    <definedName name="IQ_CURRENT_PORT_DEBT_INS" hidden="1">"c1569"</definedName>
    <definedName name="IQ_CURRENT_PORT_DEBT_RE" hidden="1">"c6283"</definedName>
    <definedName name="IQ_CURRENT_PORT_DEBT_REIT" hidden="1">"c1570"</definedName>
    <definedName name="IQ_CURRENT_PORT_DEBT_UTI" hidden="1">"c1571"</definedName>
    <definedName name="IQ_CURRENT_PORT_FHLB_DEBT" hidden="1">"c5657"</definedName>
    <definedName name="IQ_CURRENT_PORT_LEASES" hidden="1">"c245"</definedName>
    <definedName name="IQ_CURRENT_PORT_PCT" hidden="1">"c2541"</definedName>
    <definedName name="IQ_CURRENT_RATIO" hidden="1">"c246"</definedName>
    <definedName name="IQ_CUST_PREMISE_EQUIP_CABLE_INVEST" hidden="1">"c15801"</definedName>
    <definedName name="IQ_CUSTOMER_LIAB_ACCEPTANCES_OUT_FFIEC" hidden="1">"c12835"</definedName>
    <definedName name="IQ_CY" hidden="1">10000</definedName>
    <definedName name="IQ_DA" hidden="1">"c247"</definedName>
    <definedName name="IQ_DA_BR" hidden="1">"c248"</definedName>
    <definedName name="IQ_DA_CF" hidden="1">"c249"</definedName>
    <definedName name="IQ_DA_CF_BNK" hidden="1">"c250"</definedName>
    <definedName name="IQ_DA_CF_BR" hidden="1">"c251"</definedName>
    <definedName name="IQ_DA_CF_FIN" hidden="1">"c252"</definedName>
    <definedName name="IQ_DA_CF_INS" hidden="1">"c253"</definedName>
    <definedName name="IQ_DA_CF_RE" hidden="1">"c6206"</definedName>
    <definedName name="IQ_DA_CF_REIT" hidden="1">"c254"</definedName>
    <definedName name="IQ_DA_CF_UTI" hidden="1">"c255"</definedName>
    <definedName name="IQ_DA_EBITDA" hidden="1">"c5528"</definedName>
    <definedName name="IQ_DA_FIN" hidden="1">"c256"</definedName>
    <definedName name="IQ_DA_INS" hidden="1">"c257"</definedName>
    <definedName name="IQ_DA_RE" hidden="1">"c6207"</definedName>
    <definedName name="IQ_DA_REIT" hidden="1">"c258"</definedName>
    <definedName name="IQ_DA_SUPPL" hidden="1">"c259"</definedName>
    <definedName name="IQ_DA_SUPPL_BR" hidden="1">"c260"</definedName>
    <definedName name="IQ_DA_SUPPL_CF" hidden="1">"c261"</definedName>
    <definedName name="IQ_DA_SUPPL_CF_BNK" hidden="1">"c262"</definedName>
    <definedName name="IQ_DA_SUPPL_CF_BR" hidden="1">"c263"</definedName>
    <definedName name="IQ_DA_SUPPL_CF_FIN" hidden="1">"c264"</definedName>
    <definedName name="IQ_DA_SUPPL_CF_INS" hidden="1">"c265"</definedName>
    <definedName name="IQ_DA_SUPPL_CF_RE" hidden="1">"c6208"</definedName>
    <definedName name="IQ_DA_SUPPL_CF_REIT" hidden="1">"c266"</definedName>
    <definedName name="IQ_DA_SUPPL_CF_UTI" hidden="1">"c267"</definedName>
    <definedName name="IQ_DA_SUPPL_FIN" hidden="1">"c268"</definedName>
    <definedName name="IQ_DA_SUPPL_INS" hidden="1">"c269"</definedName>
    <definedName name="IQ_DA_SUPPL_RE" hidden="1">"c6209"</definedName>
    <definedName name="IQ_DA_SUPPL_REIT" hidden="1">"c270"</definedName>
    <definedName name="IQ_DA_SUPPL_UTI" hidden="1">"c271"</definedName>
    <definedName name="IQ_DA_UTI" hidden="1">"c272"</definedName>
    <definedName name="IQ_DAILY">500000</definedName>
    <definedName name="IQ_DATA_PROCESSING_EXP_FFIEC" hidden="1">"c13047"</definedName>
    <definedName name="IQ_DATED_DATE" hidden="1">"c2185"</definedName>
    <definedName name="IQ_DAY_COUNT" hidden="1">"c2161"</definedName>
    <definedName name="IQ_DAYS_COVER_SHORT" hidden="1">"c1578"</definedName>
    <definedName name="IQ_DAYS_DELAY" hidden="1">"c8963"</definedName>
    <definedName name="IQ_DAYS_INVENTORY_OUT" hidden="1">"c273"</definedName>
    <definedName name="IQ_DAYS_PAY_OUTST" hidden="1">"c1362"</definedName>
    <definedName name="IQ_DAYS_PAYABLE_OUT" hidden="1">"c274"</definedName>
    <definedName name="IQ_DAYS_SALES_OUT" hidden="1">"c275"</definedName>
    <definedName name="IQ_DAYS_SALES_OUTST" hidden="1">"c1363"</definedName>
    <definedName name="IQ_DEBT_1_5_INVEST_SECURITIES_FFIEC" hidden="1">"c13465"</definedName>
    <definedName name="IQ_DEBT_ADJ" hidden="1">"c2515"</definedName>
    <definedName name="IQ_DEBT_ADJ_PCT" hidden="1">"c2516"</definedName>
    <definedName name="IQ_DEBT_EQUITY_EST" hidden="1">"c4257"</definedName>
    <definedName name="IQ_DEBT_EQUITY_HIGH_EST" hidden="1">"c4258"</definedName>
    <definedName name="IQ_DEBT_EQUITY_LOW_EST" hidden="1">"c4259"</definedName>
    <definedName name="IQ_DEBT_EQUITY_MEDIAN_EST" hidden="1">"c4260"</definedName>
    <definedName name="IQ_DEBT_EQUITY_NUM_EST" hidden="1">"c4261"</definedName>
    <definedName name="IQ_DEBT_EQUITY_STDDEV_EST" hidden="1">"c4262"</definedName>
    <definedName name="IQ_DEBT_EQUIV_NET_PBO" hidden="1">"c2938"</definedName>
    <definedName name="IQ_DEBT_EQUIV_OPER_LEASE" hidden="1">"c2935"</definedName>
    <definedName name="IQ_DEBT_LESS_1YR_INVEST_SECURITIES_FFIEC" hidden="1">"c13464"</definedName>
    <definedName name="IQ_DEBT_MATURING_MORE_THAN_ONE_YEAR_FFIEC" hidden="1">"c13164"</definedName>
    <definedName name="IQ_DEBT_MATURING_WITHIN_ONE_YEAR_FFIEC" hidden="1">"c13163"</definedName>
    <definedName name="IQ_DEBT_SEC_OVER_5YR_INVEST_SECURITIES_FFIEC" hidden="1">"c13466"</definedName>
    <definedName name="IQ_DEBT_SECURITIES_FOREIGN_FFIEC" hidden="1">"c13484"</definedName>
    <definedName name="IQ_DEBT_SECURITIES_OTHER_ASSETS_DUE_30_89_FFIEC" hidden="1">"c13279"</definedName>
    <definedName name="IQ_DEBT_SECURITIES_OTHER_ASSETS_DUE_90_FFIEC" hidden="1">"c13305"</definedName>
    <definedName name="IQ_DEBT_SECURITIES_OTHER_ASSETS_NON_ACCRUAL_FFIEC" hidden="1">"c13331"</definedName>
    <definedName name="IQ_DECREASE_INT_EXPENSE_FFIEC" hidden="1">"c13064"</definedName>
    <definedName name="IQ_DEDUCTIONS_TOTAL_RISK_BASED_CAPITAL_FFIEC" hidden="1">"c13152"</definedName>
    <definedName name="IQ_DEF_ACQ_CST" hidden="1">"c1364"</definedName>
    <definedName name="IQ_DEF_AMORT" hidden="1">"c276"</definedName>
    <definedName name="IQ_DEF_AMORT_BNK" hidden="1">"c277"</definedName>
    <definedName name="IQ_DEF_AMORT_BR" hidden="1">"c278"</definedName>
    <definedName name="IQ_DEF_AMORT_FIN" hidden="1">"c279"</definedName>
    <definedName name="IQ_DEF_AMORT_INS" hidden="1">"c280"</definedName>
    <definedName name="IQ_DEF_AMORT_REIT" hidden="1">"c281"</definedName>
    <definedName name="IQ_DEF_AMORT_UTI" hidden="1">"c282"</definedName>
    <definedName name="IQ_DEF_BENEFIT_INTEREST_COST" hidden="1">"c283"</definedName>
    <definedName name="IQ_DEF_BENEFIT_INTEREST_COST_DOMESTIC" hidden="1">"c2652"</definedName>
    <definedName name="IQ_DEF_BENEFIT_INTEREST_COST_FOREIGN" hidden="1">"c2660"</definedName>
    <definedName name="IQ_DEF_BENEFIT_OTHER_COST" hidden="1">"c284"</definedName>
    <definedName name="IQ_DEF_BENEFIT_OTHER_COST_DOMESTIC" hidden="1">"c2654"</definedName>
    <definedName name="IQ_DEF_BENEFIT_OTHER_COST_FOREIGN" hidden="1">"c2662"</definedName>
    <definedName name="IQ_DEF_BENEFIT_ROA" hidden="1">"c285"</definedName>
    <definedName name="IQ_DEF_BENEFIT_ROA_DOMESTIC" hidden="1">"c2653"</definedName>
    <definedName name="IQ_DEF_BENEFIT_ROA_FOREIGN" hidden="1">"c2661"</definedName>
    <definedName name="IQ_DEF_BENEFIT_SERVICE_COST" hidden="1">"c286"</definedName>
    <definedName name="IQ_DEF_BENEFIT_SERVICE_COST_DOMESTIC" hidden="1">"c2651"</definedName>
    <definedName name="IQ_DEF_BENEFIT_SERVICE_COST_FOREIGN" hidden="1">"c2659"</definedName>
    <definedName name="IQ_DEF_BENEFIT_TOTAL_COST" hidden="1">"c287"</definedName>
    <definedName name="IQ_DEF_BENEFIT_TOTAL_COST_DOMESTIC" hidden="1">"c2655"</definedName>
    <definedName name="IQ_DEF_BENEFIT_TOTAL_COST_FOREIGN" hidden="1">"c2663"</definedName>
    <definedName name="IQ_DEF_CHARGES_BR" hidden="1">"c288"</definedName>
    <definedName name="IQ_DEF_CHARGES_CF" hidden="1">"c289"</definedName>
    <definedName name="IQ_DEF_CHARGES_FIN" hidden="1">"c290"</definedName>
    <definedName name="IQ_DEF_CHARGES_INS" hidden="1">"c291"</definedName>
    <definedName name="IQ_DEF_CHARGES_LT" hidden="1">"c292"</definedName>
    <definedName name="IQ_DEF_CHARGES_LT_BNK" hidden="1">"c293"</definedName>
    <definedName name="IQ_DEF_CHARGES_LT_BR" hidden="1">"c294"</definedName>
    <definedName name="IQ_DEF_CHARGES_LT_FIN" hidden="1">"c295"</definedName>
    <definedName name="IQ_DEF_CHARGES_LT_INS" hidden="1">"c296"</definedName>
    <definedName name="IQ_DEF_CHARGES_LT_RE" hidden="1">"c6210"</definedName>
    <definedName name="IQ_DEF_CHARGES_LT_REIT" hidden="1">"c297"</definedName>
    <definedName name="IQ_DEF_CHARGES_LT_UTI" hidden="1">"c298"</definedName>
    <definedName name="IQ_DEF_CHARGES_RE" hidden="1">"c6211"</definedName>
    <definedName name="IQ_DEF_CHARGES_REIT" hidden="1">"c299"</definedName>
    <definedName name="IQ_DEF_CONTRIBUTION_TOTAL_COST" hidden="1">"c300"</definedName>
    <definedName name="IQ_DEF_INC_TAX" hidden="1">"c1365"</definedName>
    <definedName name="IQ_DEF_POLICY_ACQ_COSTS" hidden="1">"c301"</definedName>
    <definedName name="IQ_DEF_POLICY_ACQ_COSTS_CF" hidden="1">"c302"</definedName>
    <definedName name="IQ_DEF_POLICY_AMORT" hidden="1">"c303"</definedName>
    <definedName name="IQ_DEF_SPENDING_REAL_SAAR" hidden="1">"c6971"</definedName>
    <definedName name="IQ_DEF_SPENDING_REAL_SAAR_APR" hidden="1">"c7631"</definedName>
    <definedName name="IQ_DEF_SPENDING_REAL_SAAR_APR_FC" hidden="1">"c8511"</definedName>
    <definedName name="IQ_DEF_SPENDING_REAL_SAAR_FC" hidden="1">"c7851"</definedName>
    <definedName name="IQ_DEF_SPENDING_REAL_SAAR_POP" hidden="1">"c7191"</definedName>
    <definedName name="IQ_DEF_SPENDING_REAL_SAAR_POP_FC" hidden="1">"c8071"</definedName>
    <definedName name="IQ_DEF_SPENDING_REAL_SAAR_YOY" hidden="1">"c7411"</definedName>
    <definedName name="IQ_DEF_SPENDING_REAL_SAAR_YOY_FC" hidden="1">"c8291"</definedName>
    <definedName name="IQ_DEF_TAX_ASSET_LT_BR" hidden="1">"c304"</definedName>
    <definedName name="IQ_DEF_TAX_ASSET_LT_FIN" hidden="1">"c305"</definedName>
    <definedName name="IQ_DEF_TAX_ASSET_LT_INS" hidden="1">"c306"</definedName>
    <definedName name="IQ_DEF_TAX_ASSET_LT_RE" hidden="1">"c6212"</definedName>
    <definedName name="IQ_DEF_TAX_ASSET_LT_REIT" hidden="1">"c307"</definedName>
    <definedName name="IQ_DEF_TAX_ASSET_LT_UTI" hidden="1">"c308"</definedName>
    <definedName name="IQ_DEF_TAX_ASSETS_CURRENT" hidden="1">"c309"</definedName>
    <definedName name="IQ_DEF_TAX_ASSETS_LT" hidden="1">"c310"</definedName>
    <definedName name="IQ_DEF_TAX_ASSETS_LT_BNK" hidden="1">"c311"</definedName>
    <definedName name="IQ_DEF_TAX_LIAB_CURRENT" hidden="1">"c312"</definedName>
    <definedName name="IQ_DEF_TAX_LIAB_LT" hidden="1">"c313"</definedName>
    <definedName name="IQ_DEF_TAX_LIAB_LT_BNK" hidden="1">"c314"</definedName>
    <definedName name="IQ_DEF_TAX_LIAB_LT_BR" hidden="1">"c315"</definedName>
    <definedName name="IQ_DEF_TAX_LIAB_LT_FIN" hidden="1">"c316"</definedName>
    <definedName name="IQ_DEF_TAX_LIAB_LT_INS" hidden="1">"c317"</definedName>
    <definedName name="IQ_DEF_TAX_LIAB_LT_RE" hidden="1">"c6213"</definedName>
    <definedName name="IQ_DEF_TAX_LIAB_LT_REIT" hidden="1">"c318"</definedName>
    <definedName name="IQ_DEF_TAX_LIAB_LT_UTI" hidden="1">"c319"</definedName>
    <definedName name="IQ_DEFERRED_CONTINGENT_RENT" hidden="1">"c16181"</definedName>
    <definedName name="IQ_DEFERRED_DOMESTIC_TAXES" hidden="1">"c2077"</definedName>
    <definedName name="IQ_DEFERRED_FOREIGN_TAXES" hidden="1">"c2078"</definedName>
    <definedName name="IQ_DEFERRED_INC_TAX" hidden="1">"c1447"</definedName>
    <definedName name="IQ_DEFERRED_TAX_ASSETS_FFIEC" hidden="1">"c12843"</definedName>
    <definedName name="IQ_DEFERRED_TAX_ASSETS_T1_FFIEC" hidden="1">"c13141"</definedName>
    <definedName name="IQ_DEFERRED_TAX_LIAB_FFIEC" hidden="1">"c12870"</definedName>
    <definedName name="IQ_DEFERRED_TAX_NAV" hidden="1">"c16003"</definedName>
    <definedName name="IQ_DEFERRED_TAX_NNAV" hidden="1">"c16008"</definedName>
    <definedName name="IQ_DEFERRED_TAXES" hidden="1">"c1356"</definedName>
    <definedName name="IQ_DELIVERED_HOMES_NEW_ORDERS" hidden="1">"c15821"</definedName>
    <definedName name="IQ_DELIVERED_HOMES_PRICE_NEW_ORDER_PRICE" hidden="1">"c15822"</definedName>
    <definedName name="IQ_DEMAND_DEP" hidden="1">"c320"</definedName>
    <definedName name="IQ_DEMAND_DEPOSITS_COMMERCIAL_BANK_SUBS_FFIEC" hidden="1">"c12945"</definedName>
    <definedName name="IQ_DEMAND_DEPOSITS_TOT_DEPOSITS_FFIEC" hidden="1">"c13902"</definedName>
    <definedName name="IQ_DEPOSITORY_INST_ACCEPTANCES_LL_REC_DOM_FFIEC" hidden="1">"c12908"</definedName>
    <definedName name="IQ_DEPOSITORY_INST_GROSS_LOANS_FFIEC" hidden="1">"c13409"</definedName>
    <definedName name="IQ_DEPOSITORY_INST_RISK_BASED_FFIEC" hidden="1">"c13430"</definedName>
    <definedName name="IQ_DEPOSITS_100K_MORE_ASSETS_TOT_FFIEC" hidden="1">"c13444"</definedName>
    <definedName name="IQ_DEPOSITS_DOM_FFIEC" hidden="1">"c12850"</definedName>
    <definedName name="IQ_DEPOSITS_FAIR_VALUE_TOT_FFIEC" hidden="1">"c13213"</definedName>
    <definedName name="IQ_DEPOSITS_FIN" hidden="1">"c321"</definedName>
    <definedName name="IQ_DEPOSITS_FOREIGN_BANKS_FOREIGN_AGENCIES_FFIEC" hidden="1">"c15344"</definedName>
    <definedName name="IQ_DEPOSITS_FOREIGN_FFIEC" hidden="1">"c12853"</definedName>
    <definedName name="IQ_DEPOSITS_INTEREST_SECURITIES" hidden="1">"c5509"</definedName>
    <definedName name="IQ_DEPOSITS_LESS_100K_COMMERCIAL_BANK_SUBS_FFIEC" hidden="1">"c12948"</definedName>
    <definedName name="IQ_DEPOSITS_LEVEL_1_FFIEC" hidden="1">"c13221"</definedName>
    <definedName name="IQ_DEPOSITS_LEVEL_2_FFIEC" hidden="1">"c13229"</definedName>
    <definedName name="IQ_DEPOSITS_LEVEL_3_FFIEC" hidden="1">"c13237"</definedName>
    <definedName name="IQ_DEPOSITS_MORE_100K_COMMERCIAL_BANK_SUBS_FFIEC" hidden="1">"c12949"</definedName>
    <definedName name="IQ_DEPRE_AMORT" hidden="1">"c1360"</definedName>
    <definedName name="IQ_DEPRE_AMORT_SUPPL" hidden="1">"c1593"</definedName>
    <definedName name="IQ_DEPRE_DEPLE" hidden="1">"c1361"</definedName>
    <definedName name="IQ_DEPRE_SUPP" hidden="1">"c1443"</definedName>
    <definedName name="IQ_DERIVATIVE_ASSETS_FAIR_VALUE_TOT_FFIEC" hidden="1">"c15403"</definedName>
    <definedName name="IQ_DERIVATIVE_ASSETS_LEVEL_1_FFIEC" hidden="1">"c15425"</definedName>
    <definedName name="IQ_DERIVATIVE_ASSETS_LEVEL_2_FFIEC" hidden="1">"c15438"</definedName>
    <definedName name="IQ_DERIVATIVE_ASSETS_LEVEL_3_FFIEC" hidden="1">"c15451"</definedName>
    <definedName name="IQ_DERIVATIVE_LIABILITIES_FAIR_VALUE_TOT_FFIEC" hidden="1">"c15407"</definedName>
    <definedName name="IQ_DERIVATIVE_LIABILITIES_LEVEL_1_FFIEC" hidden="1">"c15429"</definedName>
    <definedName name="IQ_DERIVATIVE_LIABILITIES_LEVEL_2_FFIEC" hidden="1">"c15442"</definedName>
    <definedName name="IQ_DERIVATIVE_LIABILITIES_LEVEL_3_FFIEC" hidden="1">"c15455"</definedName>
    <definedName name="IQ_DERIVATIVES_NEGATIVE_FAIR_VALUE_DOM_FFIEC" hidden="1">"c12943"</definedName>
    <definedName name="IQ_DERIVATIVES_NEGATIVE_VALUE_FFIEC" hidden="1">"c12861"</definedName>
    <definedName name="IQ_DERIVATIVES_POS_FAIR_VALUE_FFIEC" hidden="1">"c12827"</definedName>
    <definedName name="IQ_DERIVATIVES_POSITIVE_FAIR_VALUE_TRADING_DOM_FFIEC" hidden="1">"c12938"</definedName>
    <definedName name="IQ_DESCRIPTION_LONG" hidden="1">"c1520"</definedName>
    <definedName name="IQ_DEVELOP_LAND" hidden="1">"c323"</definedName>
    <definedName name="IQ_DEVELOPMENT_EXPENSE" hidden="1">"c16040"</definedName>
    <definedName name="IQ_DEVELOPMENT_REVENUE" hidden="1">"c16024"</definedName>
    <definedName name="IQ_DIC" hidden="1">"c13834"</definedName>
    <definedName name="IQ_DIFF_LASTCLOSE_TARGET_PRICE" hidden="1">"c1854"</definedName>
    <definedName name="IQ_DIFF_LASTCLOSE_TARGET_PRICE_CIQ" hidden="1">"c4767"</definedName>
    <definedName name="IQ_DIFF_LASTCLOSE_TARGET_PRICE_REUT" hidden="1">"c5436"</definedName>
    <definedName name="IQ_DIFF_LASTCLOSE_TARGET_PRICE_THOM" hidden="1">"c5278"</definedName>
    <definedName name="IQ_DIG_SUB_BASIC_SUB" hidden="1">"c15788"</definedName>
    <definedName name="IQ_DIGITAL_SUB_TOTAL_HOMES_PASSED" hidden="1">"c15769"</definedName>
    <definedName name="IQ_DIGITAL_VIDEO_PENETRATION" hidden="1">"c15768"</definedName>
    <definedName name="IQ_DILUT_ADJUST" hidden="1">"c1621"</definedName>
    <definedName name="IQ_DILUT_EPS_EXCL" hidden="1">"c324"</definedName>
    <definedName name="IQ_DILUT_EPS_INCL" hidden="1">"c325"</definedName>
    <definedName name="IQ_DILUT_EPS_NORM" hidden="1">"c1903"</definedName>
    <definedName name="IQ_DILUT_NI" hidden="1">"c2079"</definedName>
    <definedName name="IQ_DILUT_NORMAL_EPS" hidden="1">"c1594"</definedName>
    <definedName name="IQ_DILUT_OUTSTANDING_CURRENT_EST" hidden="1">"c4263"</definedName>
    <definedName name="IQ_DILUT_OUTSTANDING_CURRENT_HIGH_EST" hidden="1">"c4264"</definedName>
    <definedName name="IQ_DILUT_OUTSTANDING_CURRENT_LOW_EST" hidden="1">"c4265"</definedName>
    <definedName name="IQ_DILUT_OUTSTANDING_CURRENT_MEDIAN_EST" hidden="1">"c4266"</definedName>
    <definedName name="IQ_DILUT_OUTSTANDING_CURRENT_NUM_EST" hidden="1">"c4267"</definedName>
    <definedName name="IQ_DILUT_OUTSTANDING_CURRENT_STDDEV_EST" hidden="1">"c4268"</definedName>
    <definedName name="IQ_DILUT_WEIGHT" hidden="1">"c326"</definedName>
    <definedName name="IQ_DILUT_WEIGHT_EST" hidden="1">"c4269"</definedName>
    <definedName name="IQ_DILUT_WEIGHT_GUIDANCE" hidden="1">"c4270"</definedName>
    <definedName name="IQ_DILUT_WEIGHT_HIGH_EST" hidden="1">"c4271"</definedName>
    <definedName name="IQ_DILUT_WEIGHT_LOW_EST" hidden="1">"c4272"</definedName>
    <definedName name="IQ_DILUT_WEIGHT_MEDIAN_EST" hidden="1">"c4273"</definedName>
    <definedName name="IQ_DILUT_WEIGHT_NUM_EST" hidden="1">"c4274"</definedName>
    <definedName name="IQ_DILUT_WEIGHT_STDDEV_EST" hidden="1">"c4275"</definedName>
    <definedName name="IQ_DILUTED_EPRA_NAV" hidden="1">"c16005"</definedName>
    <definedName name="IQ_DILUTED_EPRA_NAV_SHARE_RE" hidden="1">"c16014"</definedName>
    <definedName name="IQ_DILUTED_EPRA_NNAV" hidden="1">"c16010"</definedName>
    <definedName name="IQ_DILUTED_EPRA_NNAV_SHARE_RE" hidden="1">"c16015"</definedName>
    <definedName name="IQ_DILUTED_NAV_RE" hidden="1">"c15998"</definedName>
    <definedName name="IQ_DILUTED_NAV_SHARE_RE" hidden="1">"c16013"</definedName>
    <definedName name="IQ_DILUTED_NAV_SHARES" hidden="1">"c16016"</definedName>
    <definedName name="IQ_DILUTION_EFFECT_NAV" hidden="1">"c15997"</definedName>
    <definedName name="IQ_DIRECT_AH_EARNED" hidden="1">"c2740"</definedName>
    <definedName name="IQ_DIRECT_EARNED" hidden="1">"c2730"</definedName>
    <definedName name="IQ_DIRECT_INDIRECT_RE_VENTURES_FFIEC" hidden="1">"c15266"</definedName>
    <definedName name="IQ_DIRECT_INDIRECT_RE_VENTURES_UNCONSOL_FFIEC" hidden="1">"c15274"</definedName>
    <definedName name="IQ_DIRECT_LIFE_EARNED" hidden="1">"c2735"</definedName>
    <definedName name="IQ_DIRECT_LIFE_IN_FORCE" hidden="1">"c2765"</definedName>
    <definedName name="IQ_DIRECT_LOSSES" hidden="1">"c15869"</definedName>
    <definedName name="IQ_DIRECT_PC_EARNED" hidden="1">"c2745"</definedName>
    <definedName name="IQ_DIRECT_WRITTEN" hidden="1">"c2724"</definedName>
    <definedName name="IQ_DIRECTORS_FEES_FFIEC" hidden="1">"c13049"</definedName>
    <definedName name="IQ_DISALLOWED_DEFERRED_TAX_ASSETS_FFIEC" hidden="1">"c13157"</definedName>
    <definedName name="IQ_DISALLOWED_GOODWILL_INTANGIBLE_ASSETS_FFIEC" hidden="1">"c13155"</definedName>
    <definedName name="IQ_DISALLOWED_GOODWILL_INTANGIBLES_T1_FFIEC" hidden="1">"c13137"</definedName>
    <definedName name="IQ_DISALLOWED_SERVICING_ASSETS_FFIEC" hidden="1">"c13156"</definedName>
    <definedName name="IQ_DISALLOWED_SERVICING_ASSETS_T1_FFIEC" hidden="1">"c13140"</definedName>
    <definedName name="IQ_DISCONT_OPER" hidden="1">"c1367"</definedName>
    <definedName name="IQ_DISCOUNT_RATE_PENSION_DOMESTIC" hidden="1">"c327"</definedName>
    <definedName name="IQ_DISCOUNT_RATE_PENSION_FOREIGN" hidden="1">"c328"</definedName>
    <definedName name="IQ_DISCRETIONARY_CAPEX" hidden="1">"c16183"</definedName>
    <definedName name="IQ_DISPOSABLE_PERSONAL_INC" hidden="1">"c6850"</definedName>
    <definedName name="IQ_DISPOSABLE_PERSONAL_INC_APR" hidden="1">"c7510"</definedName>
    <definedName name="IQ_DISPOSABLE_PERSONAL_INC_APR_FC" hidden="1">"c8390"</definedName>
    <definedName name="IQ_DISPOSABLE_PERSONAL_INC_FC" hidden="1">"c7730"</definedName>
    <definedName name="IQ_DISPOSABLE_PERSONAL_INC_POP" hidden="1">"c7070"</definedName>
    <definedName name="IQ_DISPOSABLE_PERSONAL_INC_POP_FC" hidden="1">"c7950"</definedName>
    <definedName name="IQ_DISPOSABLE_PERSONAL_INC_REAL" hidden="1">"c11922"</definedName>
    <definedName name="IQ_DISPOSABLE_PERSONAL_INC_REAL_APR" hidden="1">"c11925"</definedName>
    <definedName name="IQ_DISPOSABLE_PERSONAL_INC_REAL_POP" hidden="1">"c11923"</definedName>
    <definedName name="IQ_DISPOSABLE_PERSONAL_INC_REAL_YOY" hidden="1">"c11924"</definedName>
    <definedName name="IQ_DISPOSABLE_PERSONAL_INC_SAAR" hidden="1">"c6851"</definedName>
    <definedName name="IQ_DISPOSABLE_PERSONAL_INC_SAAR_APR" hidden="1">"c7511"</definedName>
    <definedName name="IQ_DISPOSABLE_PERSONAL_INC_SAAR_APR_FC" hidden="1">"c8391"</definedName>
    <definedName name="IQ_DISPOSABLE_PERSONAL_INC_SAAR_FC" hidden="1">"c7731"</definedName>
    <definedName name="IQ_DISPOSABLE_PERSONAL_INC_SAAR_POP" hidden="1">"c7071"</definedName>
    <definedName name="IQ_DISPOSABLE_PERSONAL_INC_SAAR_POP_FC" hidden="1">"c7951"</definedName>
    <definedName name="IQ_DISPOSABLE_PERSONAL_INC_SAAR_USD_APR_FC" hidden="1">"c11805"</definedName>
    <definedName name="IQ_DISPOSABLE_PERSONAL_INC_SAAR_USD_FC" hidden="1">"c11802"</definedName>
    <definedName name="IQ_DISPOSABLE_PERSONAL_INC_SAAR_USD_POP_FC" hidden="1">"c11803"</definedName>
    <definedName name="IQ_DISPOSABLE_PERSONAL_INC_SAAR_USD_YOY_FC" hidden="1">"c11804"</definedName>
    <definedName name="IQ_DISPOSABLE_PERSONAL_INC_SAAR_YOY" hidden="1">"c7291"</definedName>
    <definedName name="IQ_DISPOSABLE_PERSONAL_INC_SAAR_YOY_FC" hidden="1">"c8171"</definedName>
    <definedName name="IQ_DISPOSABLE_PERSONAL_INC_USD_APR_FC" hidden="1">"c11801"</definedName>
    <definedName name="IQ_DISPOSABLE_PERSONAL_INC_USD_FC" hidden="1">"c11798"</definedName>
    <definedName name="IQ_DISPOSABLE_PERSONAL_INC_USD_POP_FC" hidden="1">"c11799"</definedName>
    <definedName name="IQ_DISPOSABLE_PERSONAL_INC_USD_YOY_FC" hidden="1">"c11800"</definedName>
    <definedName name="IQ_DISPOSABLE_PERSONAL_INC_YOY" hidden="1">"c7290"</definedName>
    <definedName name="IQ_DISPOSABLE_PERSONAL_INC_YOY_FC" hidden="1">"c8170"</definedName>
    <definedName name="IQ_DISTR_EXCESS_EARN" hidden="1">"c329"</definedName>
    <definedName name="IQ_DISTRIBUTABLE_CASH" hidden="1">"c3002"</definedName>
    <definedName name="IQ_DISTRIBUTABLE_CASH_ACT_OR_EST" hidden="1">"c4278"</definedName>
    <definedName name="IQ_DISTRIBUTABLE_CASH_ACT_OR_EST_CIQ" hidden="1">"c4803"</definedName>
    <definedName name="IQ_DISTRIBUTABLE_CASH_EST" hidden="1">"c4277"</definedName>
    <definedName name="IQ_DISTRIBUTABLE_CASH_GUIDANCE" hidden="1">"c4279"</definedName>
    <definedName name="IQ_DISTRIBUTABLE_CASH_HIGH_EST" hidden="1">"c4280"</definedName>
    <definedName name="IQ_DISTRIBUTABLE_CASH_HIGH_GUIDANCE" hidden="1">"c4198"</definedName>
    <definedName name="IQ_DISTRIBUTABLE_CASH_LOW_EST" hidden="1">"c4281"</definedName>
    <definedName name="IQ_DISTRIBUTABLE_CASH_LOW_GUIDANCE" hidden="1">"c4238"</definedName>
    <definedName name="IQ_DISTRIBUTABLE_CASH_MEDIAN_EST" hidden="1">"c4282"</definedName>
    <definedName name="IQ_DISTRIBUTABLE_CASH_NUM_EST" hidden="1">"c4283"</definedName>
    <definedName name="IQ_DISTRIBUTABLE_CASH_PAYOUT" hidden="1">"c3005"</definedName>
    <definedName name="IQ_DISTRIBUTABLE_CASH_PER_SHARE_DILUTED" hidden="1">"c16191"</definedName>
    <definedName name="IQ_DISTRIBUTABLE_CASH_SHARE" hidden="1">"c3003"</definedName>
    <definedName name="IQ_DISTRIBUTABLE_CASH_SHARE_ACT_OR_EST" hidden="1">"c4286"</definedName>
    <definedName name="IQ_DISTRIBUTABLE_CASH_SHARE_ACT_OR_EST_CIQ" hidden="1">"c4811"</definedName>
    <definedName name="IQ_DISTRIBUTABLE_CASH_SHARE_EST" hidden="1">"c4285"</definedName>
    <definedName name="IQ_DISTRIBUTABLE_CASH_SHARE_GUIDANCE" hidden="1">"c4287"</definedName>
    <definedName name="IQ_DISTRIBUTABLE_CASH_SHARE_HIGH_EST" hidden="1">"c4288"</definedName>
    <definedName name="IQ_DISTRIBUTABLE_CASH_SHARE_HIGH_GUIDANCE" hidden="1">"c4199"</definedName>
    <definedName name="IQ_DISTRIBUTABLE_CASH_SHARE_LOW_EST" hidden="1">"c4289"</definedName>
    <definedName name="IQ_DISTRIBUTABLE_CASH_SHARE_LOW_GUIDANCE" hidden="1">"c4239"</definedName>
    <definedName name="IQ_DISTRIBUTABLE_CASH_SHARE_MEDIAN_EST" hidden="1">"c4290"</definedName>
    <definedName name="IQ_DISTRIBUTABLE_CASH_SHARE_NUM_EST" hidden="1">"c4291"</definedName>
    <definedName name="IQ_DISTRIBUTABLE_CASH_SHARE_STDDEV_EST" hidden="1">"c4292"</definedName>
    <definedName name="IQ_DISTRIBUTABLE_CASH_SHARES_BASIC" hidden="1">"c16189"</definedName>
    <definedName name="IQ_DISTRIBUTABLE_CASH_SHARES_DILUTED" hidden="1">"c16190"</definedName>
    <definedName name="IQ_DISTRIBUTABLE_CASH_STDDEV_EST" hidden="1">"c4294"</definedName>
    <definedName name="IQ_DIV_AMOUNT" hidden="1">"c3041"</definedName>
    <definedName name="IQ_DIV_PAYMENT_DATE" hidden="1">"c2205"</definedName>
    <definedName name="IQ_DIV_PAYMENT_TYPE" hidden="1">"c12752"</definedName>
    <definedName name="IQ_DIV_RECORD_DATE" hidden="1">"c2204"</definedName>
    <definedName name="IQ_DIV_SHARE" hidden="1">"c330"</definedName>
    <definedName name="IQ_DIVEST_CF" hidden="1">"c331"</definedName>
    <definedName name="IQ_DIVID_SHARE" hidden="1">"c1366"</definedName>
    <definedName name="IQ_DIVIDEND_EST" hidden="1">"c4296"</definedName>
    <definedName name="IQ_DIVIDEND_HIGH_EST" hidden="1">"c4297"</definedName>
    <definedName name="IQ_DIVIDEND_LOW_EST" hidden="1">"c4298"</definedName>
    <definedName name="IQ_DIVIDEND_MEDIAN_EST" hidden="1">"c4299"</definedName>
    <definedName name="IQ_DIVIDEND_NUM_EST" hidden="1">"c4300"</definedName>
    <definedName name="IQ_DIVIDEND_STDDEV_EST" hidden="1">"c4301"</definedName>
    <definedName name="IQ_DIVIDEND_YIELD" hidden="1">"c332"</definedName>
    <definedName name="IQ_DIVIDENDS_DECLARED_COMMON_FFIEC" hidden="1">"c12969"</definedName>
    <definedName name="IQ_DIVIDENDS_DECLARED_PREFERRED_FFIEC" hidden="1">"c12968"</definedName>
    <definedName name="IQ_DIVIDENDS_NET_INCOME_FFIEC" hidden="1">"c13349"</definedName>
    <definedName name="IQ_DIVIDENDS_PAID_DECLARED_PERIOD_COVERED" hidden="1">"c9960"</definedName>
    <definedName name="IQ_DIVIDENDS_PAID_DECLARED_PERIOD_GROUP" hidden="1">"c9946"</definedName>
    <definedName name="IQ_DNB_OTHER_EXP_INC_TAX_US" hidden="1">"c6787"</definedName>
    <definedName name="IQ_DNTM" hidden="1">700000</definedName>
    <definedName name="IQ_DO" hidden="1">"c333"</definedName>
    <definedName name="IQ_DO_ASSETS_CURRENT" hidden="1">"c334"</definedName>
    <definedName name="IQ_DO_ASSETS_LT" hidden="1">"c335"</definedName>
    <definedName name="IQ_DO_CF" hidden="1">"c336"</definedName>
    <definedName name="IQ_DOC_CLAUSE" hidden="1">"c6032"</definedName>
    <definedName name="IQ_DOM_OFFICE_DEPOSITS_TOT_DEPOSITS_FFIEC" hidden="1">"c13910"</definedName>
    <definedName name="IQ_DPAC_ACC" hidden="1">"c2799"</definedName>
    <definedName name="IQ_DPAC_AMORT" hidden="1">"c2795"</definedName>
    <definedName name="IQ_DPAC_BEG" hidden="1">"c2791"</definedName>
    <definedName name="IQ_DPAC_COMMISSIONS" hidden="1">"c2792"</definedName>
    <definedName name="IQ_DPAC_END" hidden="1">"c2801"</definedName>
    <definedName name="IQ_DPAC_FX" hidden="1">"c2798"</definedName>
    <definedName name="IQ_DPAC_OTHER_ADJ" hidden="1">"c2800"</definedName>
    <definedName name="IQ_DPAC_OTHERS" hidden="1">"c2793"</definedName>
    <definedName name="IQ_DPAC_PERIOD" hidden="1">"c2794"</definedName>
    <definedName name="IQ_DPAC_REAL_GAIN" hidden="1">"c2797"</definedName>
    <definedName name="IQ_DPAC_UNREAL_GAIN" hidden="1">"c2796"</definedName>
    <definedName name="IQ_DPS_10YR_ANN_CAGR" hidden="1">"c6065"</definedName>
    <definedName name="IQ_DPS_10YR_ANN_GROWTH" hidden="1">"c337"</definedName>
    <definedName name="IQ_DPS_1YR_ANN_GROWTH" hidden="1">"c338"</definedName>
    <definedName name="IQ_DPS_2YR_ANN_CAGR" hidden="1">"c6066"</definedName>
    <definedName name="IQ_DPS_2YR_ANN_GROWTH" hidden="1">"c339"</definedName>
    <definedName name="IQ_DPS_3YR_ANN_CAGR" hidden="1">"c6067"</definedName>
    <definedName name="IQ_DPS_3YR_ANN_GROWTH" hidden="1">"c340"</definedName>
    <definedName name="IQ_DPS_5YR_ANN_CAGR" hidden="1">"c6068"</definedName>
    <definedName name="IQ_DPS_5YR_ANN_GROWTH" hidden="1">"c341"</definedName>
    <definedName name="IQ_DPS_7YR_ANN_CAGR" hidden="1">"c6069"</definedName>
    <definedName name="IQ_DPS_7YR_ANN_GROWTH" hidden="1">"c342"</definedName>
    <definedName name="IQ_DPS_ACT_OR_EST" hidden="1">"c2218"</definedName>
    <definedName name="IQ_DPS_ACT_OR_EST_REUT" hidden="1">"c5464"</definedName>
    <definedName name="IQ_DPS_ACT_OR_EST_THOM" hidden="1">"c5302"</definedName>
    <definedName name="IQ_DPS_EST" hidden="1">"c1674"</definedName>
    <definedName name="IQ_DPS_EST_BOTTOM_UP" hidden="1">"c5493"</definedName>
    <definedName name="IQ_DPS_EST_BOTTOM_UP_REUT" hidden="1">"c5501"</definedName>
    <definedName name="IQ_DPS_EST_REUT" hidden="1">"c3851"</definedName>
    <definedName name="IQ_DPS_EST_THOM" hidden="1">"c4013"</definedName>
    <definedName name="IQ_DPS_GUIDANCE" hidden="1">"c4302"</definedName>
    <definedName name="IQ_DPS_HIGH_EST" hidden="1">"c1676"</definedName>
    <definedName name="IQ_DPS_HIGH_EST_REUT" hidden="1">"c3853"</definedName>
    <definedName name="IQ_DPS_HIGH_EST_THOM" hidden="1">"c4015"</definedName>
    <definedName name="IQ_DPS_HIGH_GUIDANCE" hidden="1">"c4168"</definedName>
    <definedName name="IQ_DPS_LOW_EST" hidden="1">"c1677"</definedName>
    <definedName name="IQ_DPS_LOW_EST_REUT" hidden="1">"c3854"</definedName>
    <definedName name="IQ_DPS_LOW_EST_THOM" hidden="1">"c4016"</definedName>
    <definedName name="IQ_DPS_LOW_GUIDANCE" hidden="1">"c4208"</definedName>
    <definedName name="IQ_DPS_MEDIAN_EST" hidden="1">"c1675"</definedName>
    <definedName name="IQ_DPS_MEDIAN_EST_REUT" hidden="1">"c3852"</definedName>
    <definedName name="IQ_DPS_MEDIAN_EST_THOM" hidden="1">"c4014"</definedName>
    <definedName name="IQ_DPS_NUM_EST" hidden="1">"c1678"</definedName>
    <definedName name="IQ_DPS_NUM_EST_REUT" hidden="1">"c3855"</definedName>
    <definedName name="IQ_DPS_NUM_EST_THOM" hidden="1">"c4017"</definedName>
    <definedName name="IQ_DPS_STDDEV_EST" hidden="1">"c1679"</definedName>
    <definedName name="IQ_DPS_STDDEV_EST_REUT" hidden="1">"c3856"</definedName>
    <definedName name="IQ_DPS_STDDEV_EST_THOM" hidden="1">"c4018"</definedName>
    <definedName name="IQ_DURABLE_INVENTORIES" hidden="1">"c6853"</definedName>
    <definedName name="IQ_DURABLE_INVENTORIES_APR" hidden="1">"c7513"</definedName>
    <definedName name="IQ_DURABLE_INVENTORIES_APR_FC" hidden="1">"c8393"</definedName>
    <definedName name="IQ_DURABLE_INVENTORIES_FC" hidden="1">"c7733"</definedName>
    <definedName name="IQ_DURABLE_INVENTORIES_POP" hidden="1">"c7073"</definedName>
    <definedName name="IQ_DURABLE_INVENTORIES_POP_FC" hidden="1">"c7953"</definedName>
    <definedName name="IQ_DURABLE_INVENTORIES_YOY" hidden="1">"c7293"</definedName>
    <definedName name="IQ_DURABLE_INVENTORIES_YOY_FC" hidden="1">"c8173"</definedName>
    <definedName name="IQ_DURABLE_ORDERS" hidden="1">"c6854"</definedName>
    <definedName name="IQ_DURABLE_ORDERS_APR" hidden="1">"c7514"</definedName>
    <definedName name="IQ_DURABLE_ORDERS_APR_FC" hidden="1">"c8394"</definedName>
    <definedName name="IQ_DURABLE_ORDERS_FC" hidden="1">"c7734"</definedName>
    <definedName name="IQ_DURABLE_ORDERS_POP" hidden="1">"c7074"</definedName>
    <definedName name="IQ_DURABLE_ORDERS_POP_FC" hidden="1">"c7954"</definedName>
    <definedName name="IQ_DURABLE_ORDERS_YOY" hidden="1">"c7294"</definedName>
    <definedName name="IQ_DURABLE_ORDERS_YOY_FC" hidden="1">"c8174"</definedName>
    <definedName name="IQ_DURABLE_SHIPMENTS" hidden="1">"c6855"</definedName>
    <definedName name="IQ_DURABLE_SHIPMENTS_APR" hidden="1">"c7515"</definedName>
    <definedName name="IQ_DURABLE_SHIPMENTS_APR_FC" hidden="1">"c8395"</definedName>
    <definedName name="IQ_DURABLE_SHIPMENTS_FC" hidden="1">"c7735"</definedName>
    <definedName name="IQ_DURABLE_SHIPMENTS_POP" hidden="1">"c7075"</definedName>
    <definedName name="IQ_DURABLE_SHIPMENTS_POP_FC" hidden="1">"c7955"</definedName>
    <definedName name="IQ_DURABLE_SHIPMENTS_YOY" hidden="1">"c7295"</definedName>
    <definedName name="IQ_DURABLE_SHIPMENTS_YOY_FC" hidden="1">"c8175"</definedName>
    <definedName name="IQ_DURATION" hidden="1">"c2181"</definedName>
    <definedName name="IQ_EARNING_ASSET_INT_BEAR_LIABILITIES" hidden="1">"c15703"</definedName>
    <definedName name="IQ_EARNING_ASSET_YIELD" hidden="1">"c343"</definedName>
    <definedName name="IQ_EARNING_ASSETS_AVG_ASSETS_FFIEC" hidden="1">"c13354"</definedName>
    <definedName name="IQ_EARNING_ASSETS_QUARTERLY_AVG_FFIEC" hidden="1">"c13086"</definedName>
    <definedName name="IQ_EARNING_ASSETS_REPRICE_ASSETS_TOT_FFIEC" hidden="1">"c13451"</definedName>
    <definedName name="IQ_EARNING_CO" hidden="1">"c344"</definedName>
    <definedName name="IQ_EARNING_CO_10YR_ANN_CAGR" hidden="1">"c6070"</definedName>
    <definedName name="IQ_EARNING_CO_10YR_ANN_GROWTH" hidden="1">"c345"</definedName>
    <definedName name="IQ_EARNING_CO_1YR_ANN_GROWTH" hidden="1">"c346"</definedName>
    <definedName name="IQ_EARNING_CO_2YR_ANN_CAGR" hidden="1">"c6071"</definedName>
    <definedName name="IQ_EARNING_CO_2YR_ANN_GROWTH" hidden="1">"c347"</definedName>
    <definedName name="IQ_EARNING_CO_3YR_ANN_CAGR" hidden="1">"c6072"</definedName>
    <definedName name="IQ_EARNING_CO_3YR_ANN_GROWTH" hidden="1">"c348"</definedName>
    <definedName name="IQ_EARNING_CO_5YR_ANN_CAGR" hidden="1">"c6073"</definedName>
    <definedName name="IQ_EARNING_CO_5YR_ANN_GROWTH" hidden="1">"c349"</definedName>
    <definedName name="IQ_EARNING_CO_7YR_ANN_CAGR" hidden="1">"c6074"</definedName>
    <definedName name="IQ_EARNING_CO_7YR_ANN_GROWTH" hidden="1">"c350"</definedName>
    <definedName name="IQ_EARNING_CO_MARGIN" hidden="1">"c351"</definedName>
    <definedName name="IQ_EARNINGS_ANNOUNCE_DATE" hidden="1">"c1649"</definedName>
    <definedName name="IQ_EARNINGS_ANNOUNCE_DATE_CIQ" hidden="1">"c4656"</definedName>
    <definedName name="IQ_EARNINGS_ANNOUNCE_DATE_REUT" hidden="1">"c5314"</definedName>
    <definedName name="IQ_EARNINGS_ANNOUNCE_DATE_THOM" hidden="1">"c5093"</definedName>
    <definedName name="IQ_EARNINGS_CO_FFIEC" hidden="1">"c13032"</definedName>
    <definedName name="IQ_EARNINGS_CONT_OPS_HOMEBUILDING_SALES" hidden="1">"c15817"</definedName>
    <definedName name="IQ_EARNINGS_COVERAGE_LOSSES_FFIEC" hidden="1">"c13351"</definedName>
    <definedName name="IQ_EARNINGS_LIFE_INSURANCE_FFIEC" hidden="1">"c13041"</definedName>
    <definedName name="IQ_EARNINGS_PERIOD_COVERED" hidden="1">"c9958"</definedName>
    <definedName name="IQ_EARNINGS_PERIOD_GROUP" hidden="1">"c9944"</definedName>
    <definedName name="IQ_EBIT" hidden="1">"c352"</definedName>
    <definedName name="IQ_EBIT_10YR_ANN_CAGR" hidden="1">"c6075"</definedName>
    <definedName name="IQ_EBIT_10YR_ANN_GROWTH" hidden="1">"c353"</definedName>
    <definedName name="IQ_EBIT_1YR_ANN_GROWTH" hidden="1">"c354"</definedName>
    <definedName name="IQ_EBIT_2YR_ANN_CAGR" hidden="1">"c6076"</definedName>
    <definedName name="IQ_EBIT_2YR_ANN_GROWTH" hidden="1">"c355"</definedName>
    <definedName name="IQ_EBIT_3YR_ANN_CAGR" hidden="1">"c6077"</definedName>
    <definedName name="IQ_EBIT_3YR_ANN_GROWTH" hidden="1">"c356"</definedName>
    <definedName name="IQ_EBIT_5YR_ANN_CAGR" hidden="1">"c6078"</definedName>
    <definedName name="IQ_EBIT_5YR_ANN_GROWTH" hidden="1">"c357"</definedName>
    <definedName name="IQ_EBIT_7YR_ANN_CAGR" hidden="1">"c6079"</definedName>
    <definedName name="IQ_EBIT_7YR_ANN_GROWTH" hidden="1">"c358"</definedName>
    <definedName name="IQ_EBIT_ACT_OR_EST" hidden="1">"c2219"</definedName>
    <definedName name="IQ_EBIT_ACT_OR_EST_REUT" hidden="1">"c5465"</definedName>
    <definedName name="IQ_EBIT_ACT_OR_EST_THOM" hidden="1">"c5303"</definedName>
    <definedName name="IQ_EBIT_EQ_INC" hidden="1">"c3498"</definedName>
    <definedName name="IQ_EBIT_EQ_INC_EXCL_SBC" hidden="1">"c3502"</definedName>
    <definedName name="IQ_EBIT_EST" hidden="1">"c1681"</definedName>
    <definedName name="IQ_EBIT_EST_REUT" hidden="1">"c5333"</definedName>
    <definedName name="IQ_EBIT_EST_THOM" hidden="1">"c5105"</definedName>
    <definedName name="IQ_EBIT_EXCL_SBC" hidden="1">"c3082"</definedName>
    <definedName name="IQ_EBIT_GUIDANCE" hidden="1">"c4303"</definedName>
    <definedName name="IQ_EBIT_GW_ACT_OR_EST" hidden="1">"c4306"</definedName>
    <definedName name="IQ_EBIT_GW_EST" hidden="1">"c4305"</definedName>
    <definedName name="IQ_EBIT_GW_GUIDANCE" hidden="1">"c4307"</definedName>
    <definedName name="IQ_EBIT_GW_HIGH_EST" hidden="1">"c4308"</definedName>
    <definedName name="IQ_EBIT_GW_HIGH_GUIDANCE" hidden="1">"c4171"</definedName>
    <definedName name="IQ_EBIT_GW_LOW_EST" hidden="1">"c4309"</definedName>
    <definedName name="IQ_EBIT_GW_LOW_GUIDANCE" hidden="1">"c4211"</definedName>
    <definedName name="IQ_EBIT_GW_MEDIAN_EST" hidden="1">"c4310"</definedName>
    <definedName name="IQ_EBIT_GW_NUM_EST" hidden="1">"c4311"</definedName>
    <definedName name="IQ_EBIT_GW_STDDEV_EST" hidden="1">"c4312"</definedName>
    <definedName name="IQ_EBIT_HIGH_EST" hidden="1">"c1683"</definedName>
    <definedName name="IQ_EBIT_HIGH_EST_REUT" hidden="1">"c5335"</definedName>
    <definedName name="IQ_EBIT_HIGH_EST_THOM" hidden="1">"c5107"</definedName>
    <definedName name="IQ_EBIT_HIGH_GUIDANCE" hidden="1">"c4172"</definedName>
    <definedName name="IQ_EBIT_HOMEBUILDING_SALES" hidden="1">"c15815"</definedName>
    <definedName name="IQ_EBIT_INT" hidden="1">"c360"</definedName>
    <definedName name="IQ_EBIT_LOW_EST" hidden="1">"c1684"</definedName>
    <definedName name="IQ_EBIT_LOW_EST_REUT" hidden="1">"c5336"</definedName>
    <definedName name="IQ_EBIT_LOW_EST_THOM" hidden="1">"c5108"</definedName>
    <definedName name="IQ_EBIT_LOW_GUIDANCE" hidden="1">"c4212"</definedName>
    <definedName name="IQ_EBIT_MARGIN" hidden="1">"c359"</definedName>
    <definedName name="IQ_EBIT_MEDIAN_EST" hidden="1">"c1682"</definedName>
    <definedName name="IQ_EBIT_MEDIAN_EST_REUT" hidden="1">"c5334"</definedName>
    <definedName name="IQ_EBIT_MEDIAN_EST_THOM" hidden="1">"c5106"</definedName>
    <definedName name="IQ_EBIT_NUM_EST" hidden="1">"c1685"</definedName>
    <definedName name="IQ_EBIT_NUM_EST_REUT" hidden="1">"c5337"</definedName>
    <definedName name="IQ_EBIT_NUM_EST_THOM" hidden="1">"c5109"</definedName>
    <definedName name="IQ_EBIT_OVER_IE" hidden="1">"c1369"</definedName>
    <definedName name="IQ_EBIT_SBC_ACT_OR_EST" hidden="1">"c4316"</definedName>
    <definedName name="IQ_EBIT_SBC_ACT_OR_EST_CIQ" hidden="1">"c4841"</definedName>
    <definedName name="IQ_EBIT_SBC_EST" hidden="1">"c4315"</definedName>
    <definedName name="IQ_EBIT_SBC_GUIDANCE" hidden="1">"c4317"</definedName>
    <definedName name="IQ_EBIT_SBC_GW_ACT_OR_EST" hidden="1">"c4320"</definedName>
    <definedName name="IQ_EBIT_SBC_GW_ACT_OR_EST_CIQ" hidden="1">"c4845"</definedName>
    <definedName name="IQ_EBIT_SBC_GW_EST" hidden="1">"c4319"</definedName>
    <definedName name="IQ_EBIT_SBC_GW_GUIDANCE" hidden="1">"c4321"</definedName>
    <definedName name="IQ_EBIT_SBC_GW_HIGH_EST" hidden="1">"c4322"</definedName>
    <definedName name="IQ_EBIT_SBC_GW_HIGH_GUIDANCE" hidden="1">"c4193"</definedName>
    <definedName name="IQ_EBIT_SBC_GW_LOW_EST" hidden="1">"c4323"</definedName>
    <definedName name="IQ_EBIT_SBC_GW_LOW_GUIDANCE" hidden="1">"c4233"</definedName>
    <definedName name="IQ_EBIT_SBC_GW_MEDIAN_EST" hidden="1">"c4324"</definedName>
    <definedName name="IQ_EBIT_SBC_GW_NUM_EST" hidden="1">"c4325"</definedName>
    <definedName name="IQ_EBIT_SBC_GW_STDDEV_EST" hidden="1">"c4326"</definedName>
    <definedName name="IQ_EBIT_SBC_HIGH_EST" hidden="1">"c4328"</definedName>
    <definedName name="IQ_EBIT_SBC_HIGH_GUIDANCE" hidden="1">"c4192"</definedName>
    <definedName name="IQ_EBIT_SBC_LOW_EST" hidden="1">"c4329"</definedName>
    <definedName name="IQ_EBIT_SBC_LOW_GUIDANCE" hidden="1">"c4232"</definedName>
    <definedName name="IQ_EBIT_SBC_MEDIAN_EST" hidden="1">"c4330"</definedName>
    <definedName name="IQ_EBIT_SBC_NUM_EST" hidden="1">"c4331"</definedName>
    <definedName name="IQ_EBIT_SBC_STDDEV_EST" hidden="1">"c4332"</definedName>
    <definedName name="IQ_EBIT_STDDEV_EST" hidden="1">"c1686"</definedName>
    <definedName name="IQ_EBIT_STDDEV_EST_REUT" hidden="1">"c5338"</definedName>
    <definedName name="IQ_EBIT_STDDEV_EST_THOM" hidden="1">"c5110"</definedName>
    <definedName name="IQ_EBITA" hidden="1">"c1910"</definedName>
    <definedName name="IQ_EBITA_10YR_ANN_CAGR" hidden="1">"c6184"</definedName>
    <definedName name="IQ_EBITA_10YR_ANN_GROWTH" hidden="1">"c1954"</definedName>
    <definedName name="IQ_EBITA_1YR_ANN_GROWTH" hidden="1">"c1949"</definedName>
    <definedName name="IQ_EBITA_2YR_ANN_CAGR" hidden="1">"c6180"</definedName>
    <definedName name="IQ_EBITA_2YR_ANN_GROWTH" hidden="1">"c1950"</definedName>
    <definedName name="IQ_EBITA_3YR_ANN_CAGR" hidden="1">"c6181"</definedName>
    <definedName name="IQ_EBITA_3YR_ANN_GROWTH" hidden="1">"c1951"</definedName>
    <definedName name="IQ_EBITA_5YR_ANN_CAGR" hidden="1">"c6182"</definedName>
    <definedName name="IQ_EBITA_5YR_ANN_GROWTH" hidden="1">"c1952"</definedName>
    <definedName name="IQ_EBITA_7YR_ANN_CAGR" hidden="1">"c6183"</definedName>
    <definedName name="IQ_EBITA_7YR_ANN_GROWTH" hidden="1">"c1953"</definedName>
    <definedName name="IQ_EBITA_EQ_INC" hidden="1">"c3497"</definedName>
    <definedName name="IQ_EBITA_EQ_INC_EXCL_SBC" hidden="1">"c3501"</definedName>
    <definedName name="IQ_EBITA_EXCL_SBC" hidden="1">"c3080"</definedName>
    <definedName name="IQ_EBITA_MARGIN" hidden="1">"c1963"</definedName>
    <definedName name="IQ_EBITDA" hidden="1">"c361"</definedName>
    <definedName name="IQ_EBITDA_10YR_ANN_CAGR" hidden="1">"c6080"</definedName>
    <definedName name="IQ_EBITDA_10YR_ANN_GROWTH" hidden="1">"c362"</definedName>
    <definedName name="IQ_EBITDA_1YR_ANN_GROWTH" hidden="1">"c363"</definedName>
    <definedName name="IQ_EBITDA_2YR_ANN_CAGR" hidden="1">"c6081"</definedName>
    <definedName name="IQ_EBITDA_2YR_ANN_GROWTH" hidden="1">"c364"</definedName>
    <definedName name="IQ_EBITDA_3YR_ANN_CAGR" hidden="1">"c6082"</definedName>
    <definedName name="IQ_EBITDA_3YR_ANN_GROWTH" hidden="1">"c365"</definedName>
    <definedName name="IQ_EBITDA_5YR_ANN_CAGR" hidden="1">"c6083"</definedName>
    <definedName name="IQ_EBITDA_5YR_ANN_GROWTH" hidden="1">"c366"</definedName>
    <definedName name="IQ_EBITDA_7YR_ANN_CAGR" hidden="1">"c6084"</definedName>
    <definedName name="IQ_EBITDA_7YR_ANN_GROWTH" hidden="1">"c367"</definedName>
    <definedName name="IQ_EBITDA_ACT_OR_EST" hidden="1">"c2215"</definedName>
    <definedName name="IQ_EBITDA_ACT_OR_EST_CIQ" hidden="1">"c5060"</definedName>
    <definedName name="IQ_EBITDA_ACT_OR_EST_REUT" hidden="1">"c5462"</definedName>
    <definedName name="IQ_EBITDA_ACT_OR_EST_THOM" hidden="1">"c5300"</definedName>
    <definedName name="IQ_EBITDA_CAPEX_INT" hidden="1">"c368"</definedName>
    <definedName name="IQ_EBITDA_CAPEX_OVER_TOTAL_IE" hidden="1">"c1370"</definedName>
    <definedName name="IQ_EBITDA_EQ_INC" hidden="1">"c3496"</definedName>
    <definedName name="IQ_EBITDA_EQ_INC_EXCL_SBC" hidden="1">"c3500"</definedName>
    <definedName name="IQ_EBITDA_EST" hidden="1">"c369"</definedName>
    <definedName name="IQ_EBITDA_EST_CIQ" hidden="1">"c3622"</definedName>
    <definedName name="IQ_EBITDA_EST_REUT" hidden="1">"c3640"</definedName>
    <definedName name="IQ_EBITDA_EST_THOM" hidden="1">"c3658"</definedName>
    <definedName name="IQ_EBITDA_EXCL_SBC" hidden="1">"c3081"</definedName>
    <definedName name="IQ_EBITDA_GUIDANCE" hidden="1">"c4334"</definedName>
    <definedName name="IQ_EBITDA_HIGH_EST" hidden="1">"c370"</definedName>
    <definedName name="IQ_EBITDA_HIGH_EST_CIQ" hidden="1">"c3624"</definedName>
    <definedName name="IQ_EBITDA_HIGH_EST_REUT" hidden="1">"c3642"</definedName>
    <definedName name="IQ_EBITDA_HIGH_EST_THOM" hidden="1">"c3660"</definedName>
    <definedName name="IQ_EBITDA_HIGH_GUIDANCE" hidden="1">"c4170"</definedName>
    <definedName name="IQ_EBITDA_HOMEBUILDING_SALES" hidden="1">"c15814"</definedName>
    <definedName name="IQ_EBITDA_INT" hidden="1">"c373"</definedName>
    <definedName name="IQ_EBITDA_LOW_EST" hidden="1">"c371"</definedName>
    <definedName name="IQ_EBITDA_LOW_EST_CIQ" hidden="1">"c3625"</definedName>
    <definedName name="IQ_EBITDA_LOW_EST_REUT" hidden="1">"c3643"</definedName>
    <definedName name="IQ_EBITDA_LOW_EST_THOM" hidden="1">"c3661"</definedName>
    <definedName name="IQ_EBITDA_LOW_GUIDANCE" hidden="1">"c4210"</definedName>
    <definedName name="IQ_EBITDA_MARGIN" hidden="1">"c372"</definedName>
    <definedName name="IQ_EBITDA_MEDIAN_EST" hidden="1">"c1663"</definedName>
    <definedName name="IQ_EBITDA_MEDIAN_EST_CIQ" hidden="1">"c3623"</definedName>
    <definedName name="IQ_EBITDA_MEDIAN_EST_REUT" hidden="1">"c3641"</definedName>
    <definedName name="IQ_EBITDA_MEDIAN_EST_THOM" hidden="1">"c3659"</definedName>
    <definedName name="IQ_EBITDA_NUM_EST" hidden="1">"c374"</definedName>
    <definedName name="IQ_EBITDA_NUM_EST_CIQ" hidden="1">"c3626"</definedName>
    <definedName name="IQ_EBITDA_NUM_EST_REUT" hidden="1">"c3644"</definedName>
    <definedName name="IQ_EBITDA_NUM_EST_THOM" hidden="1">"c3662"</definedName>
    <definedName name="IQ_EBITDA_OVER_TOTAL_IE" hidden="1">"c1371"</definedName>
    <definedName name="IQ_EBITDA_SBC_ACT_OR_EST" hidden="1">"c4337"</definedName>
    <definedName name="IQ_EBITDA_SBC_ACT_OR_EST_CIQ" hidden="1">"c4862"</definedName>
    <definedName name="IQ_EBITDA_SBC_EST" hidden="1">"c4336"</definedName>
    <definedName name="IQ_EBITDA_SBC_GUIDANCE" hidden="1">"c4338"</definedName>
    <definedName name="IQ_EBITDA_SBC_HIGH_EST" hidden="1">"c4339"</definedName>
    <definedName name="IQ_EBITDA_SBC_HIGH_GUIDANCE" hidden="1">"c4194"</definedName>
    <definedName name="IQ_EBITDA_SBC_LOW_EST" hidden="1">"c4340"</definedName>
    <definedName name="IQ_EBITDA_SBC_LOW_GUIDANCE" hidden="1">"c4234"</definedName>
    <definedName name="IQ_EBITDA_SBC_MEDIAN_EST" hidden="1">"c4341"</definedName>
    <definedName name="IQ_EBITDA_SBC_NUM_EST" hidden="1">"c4342"</definedName>
    <definedName name="IQ_EBITDA_SBC_STDDEV_EST" hidden="1">"c4343"</definedName>
    <definedName name="IQ_EBITDA_STDDEV_EST" hidden="1">"c375"</definedName>
    <definedName name="IQ_EBITDA_STDDEV_EST_CIQ" hidden="1">"c3627"</definedName>
    <definedName name="IQ_EBITDA_STDDEV_EST_REUT" hidden="1">"c3645"</definedName>
    <definedName name="IQ_EBITDA_STDDEV_EST_THOM" hidden="1">"c3663"</definedName>
    <definedName name="IQ_EBITDAR" hidden="1">"c2989"</definedName>
    <definedName name="IQ_EBITDAR_EQ_INC" hidden="1">"c3499"</definedName>
    <definedName name="IQ_EBITDAR_EQ_INC_EXCL_SBC" hidden="1">"c3503"</definedName>
    <definedName name="IQ_EBITDAR_EXCL_SBC" hidden="1">"c3083"</definedName>
    <definedName name="IQ_EBT" hidden="1">"c376"</definedName>
    <definedName name="IQ_EBT_BNK" hidden="1">"c377"</definedName>
    <definedName name="IQ_EBT_BR" hidden="1">"c378"</definedName>
    <definedName name="IQ_EBT_EXCL" hidden="1">"c379"</definedName>
    <definedName name="IQ_EBT_EXCL_BNK" hidden="1">"c380"</definedName>
    <definedName name="IQ_EBT_EXCL_BR" hidden="1">"c381"</definedName>
    <definedName name="IQ_EBT_EXCL_FIN" hidden="1">"c382"</definedName>
    <definedName name="IQ_EBT_EXCL_INS" hidden="1">"c383"</definedName>
    <definedName name="IQ_EBT_EXCL_MARGIN" hidden="1">"c1462"</definedName>
    <definedName name="IQ_EBT_EXCL_RE" hidden="1">"c6214"</definedName>
    <definedName name="IQ_EBT_EXCL_REIT" hidden="1">"c384"</definedName>
    <definedName name="IQ_EBT_EXCL_UTI" hidden="1">"c385"</definedName>
    <definedName name="IQ_EBT_FFIEC" hidden="1">"c13029"</definedName>
    <definedName name="IQ_EBT_FIN" hidden="1">"c386"</definedName>
    <definedName name="IQ_EBT_FTE_FFIEC" hidden="1">"c13037"</definedName>
    <definedName name="IQ_EBT_GAAP_GUIDANCE" hidden="1">"c4345"</definedName>
    <definedName name="IQ_EBT_GAAP_HIGH_GUIDANCE" hidden="1">"c4174"</definedName>
    <definedName name="IQ_EBT_GAAP_LOW_GUIDANCE" hidden="1">"c4214"</definedName>
    <definedName name="IQ_EBT_GUIDANCE" hidden="1">"c4346"</definedName>
    <definedName name="IQ_EBT_GW_GUIDANCE" hidden="1">"c4347"</definedName>
    <definedName name="IQ_EBT_GW_HIGH_GUIDANCE" hidden="1">"c4175"</definedName>
    <definedName name="IQ_EBT_GW_LOW_GUIDANCE" hidden="1">"c4215"</definedName>
    <definedName name="IQ_EBT_HIGH_GUIDANCE" hidden="1">"c4173"</definedName>
    <definedName name="IQ_EBT_HOMEBUILDING_SALES" hidden="1">"c15816"</definedName>
    <definedName name="IQ_EBT_INCL_MARGIN" hidden="1">"c387"</definedName>
    <definedName name="IQ_EBT_INS" hidden="1">"c388"</definedName>
    <definedName name="IQ_EBT_LOW_GUIDANCE" hidden="1">"c4213"</definedName>
    <definedName name="IQ_EBT_RE" hidden="1">"c6215"</definedName>
    <definedName name="IQ_EBT_REIT" hidden="1">"c389"</definedName>
    <definedName name="IQ_EBT_SBC_ACT_OR_EST" hidden="1">"c4350"</definedName>
    <definedName name="IQ_EBT_SBC_ACT_OR_EST_CIQ" hidden="1">"c4875"</definedName>
    <definedName name="IQ_EBT_SBC_EST" hidden="1">"c4349"</definedName>
    <definedName name="IQ_EBT_SBC_GUIDANCE" hidden="1">"c4351"</definedName>
    <definedName name="IQ_EBT_SBC_GW_ACT_OR_EST" hidden="1">"c4354"</definedName>
    <definedName name="IQ_EBT_SBC_GW_ACT_OR_EST_CIQ" hidden="1">"c4879"</definedName>
    <definedName name="IQ_EBT_SBC_GW_EST" hidden="1">"c4353"</definedName>
    <definedName name="IQ_EBT_SBC_GW_GUIDANCE" hidden="1">"c4355"</definedName>
    <definedName name="IQ_EBT_SBC_GW_HIGH_EST" hidden="1">"c4356"</definedName>
    <definedName name="IQ_EBT_SBC_GW_HIGH_GUIDANCE" hidden="1">"c4191"</definedName>
    <definedName name="IQ_EBT_SBC_GW_LOW_EST" hidden="1">"c4357"</definedName>
    <definedName name="IQ_EBT_SBC_GW_LOW_GUIDANCE" hidden="1">"c4231"</definedName>
    <definedName name="IQ_EBT_SBC_GW_MEDIAN_EST" hidden="1">"c4358"</definedName>
    <definedName name="IQ_EBT_SBC_GW_NUM_EST" hidden="1">"c4359"</definedName>
    <definedName name="IQ_EBT_SBC_GW_STDDEV_EST" hidden="1">"c4360"</definedName>
    <definedName name="IQ_EBT_SBC_HIGH_EST" hidden="1">"c4362"</definedName>
    <definedName name="IQ_EBT_SBC_HIGH_GUIDANCE" hidden="1">"c4190"</definedName>
    <definedName name="IQ_EBT_SBC_LOW_EST" hidden="1">"c4363"</definedName>
    <definedName name="IQ_EBT_SBC_LOW_GUIDANCE" hidden="1">"c4230"</definedName>
    <definedName name="IQ_EBT_SBC_MEDIAN_EST" hidden="1">"c4364"</definedName>
    <definedName name="IQ_EBT_SBC_NUM_EST" hidden="1">"c4365"</definedName>
    <definedName name="IQ_EBT_SBC_STDDEV_EST" hidden="1">"c4366"</definedName>
    <definedName name="IQ_EBT_SUBTOTAL_AP" hidden="1">"c8982"</definedName>
    <definedName name="IQ_EBT_UTI" hidden="1">"c390"</definedName>
    <definedName name="IQ_ECO_METRIC_6825_UNUSED" hidden="1">"c6825"</definedName>
    <definedName name="IQ_ECO_METRIC_6839_UNUSED" hidden="1">"c6839"</definedName>
    <definedName name="IQ_ECO_METRIC_6896_UNUSED" hidden="1">"c6896"</definedName>
    <definedName name="IQ_ECO_METRIC_6897_UNUSED" hidden="1">"c6897"</definedName>
    <definedName name="IQ_ECO_METRIC_6927" hidden="1">"c6927"</definedName>
    <definedName name="IQ_ECO_METRIC_6988_UNUSED" hidden="1">"c6988"</definedName>
    <definedName name="IQ_ECO_METRIC_7045_UNUSED" hidden="1">"c7045"</definedName>
    <definedName name="IQ_ECO_METRIC_7059_UNUSED" hidden="1">"c7059"</definedName>
    <definedName name="IQ_ECO_METRIC_7116_UNUSED" hidden="1">"c7116"</definedName>
    <definedName name="IQ_ECO_METRIC_7117_UNUSED" hidden="1">"c7117"</definedName>
    <definedName name="IQ_ECO_METRIC_7147" hidden="1">"c7147"</definedName>
    <definedName name="IQ_ECO_METRIC_7208_UNUSED" hidden="1">"c7208"</definedName>
    <definedName name="IQ_ECO_METRIC_7265_UNUSED" hidden="1">"c7265"</definedName>
    <definedName name="IQ_ECO_METRIC_7279_UNUSED" hidden="1">"c7279"</definedName>
    <definedName name="IQ_ECO_METRIC_7336_UNUSED" hidden="1">"c7336"</definedName>
    <definedName name="IQ_ECO_METRIC_7337_UNUSED" hidden="1">"c7337"</definedName>
    <definedName name="IQ_ECO_METRIC_7367" hidden="1">"c7367"</definedName>
    <definedName name="IQ_ECO_METRIC_7428_UNUSED" hidden="1">"c7428"</definedName>
    <definedName name="IQ_ECO_METRIC_7556_UNUSED" hidden="1">"c7556"</definedName>
    <definedName name="IQ_ECO_METRIC_7557_UNUSED" hidden="1">"c7557"</definedName>
    <definedName name="IQ_ECO_METRIC_7587" hidden="1">"c7587"</definedName>
    <definedName name="IQ_ECO_METRIC_7648_UNUSED" hidden="1">"c7648"</definedName>
    <definedName name="IQ_ECO_METRIC_7704" hidden="1">"c7704"</definedName>
    <definedName name="IQ_ECO_METRIC_7705_UNUSED" hidden="1">"c7705"</definedName>
    <definedName name="IQ_ECO_METRIC_7706" hidden="1">"c7706"</definedName>
    <definedName name="IQ_ECO_METRIC_7718" hidden="1">"c7718"</definedName>
    <definedName name="IQ_ECO_METRIC_7719_UNUSED" hidden="1">"c7719"</definedName>
    <definedName name="IQ_ECO_METRIC_7776_UNUSED" hidden="1">"c7776"</definedName>
    <definedName name="IQ_ECO_METRIC_7777_UNUSED" hidden="1">"c7777"</definedName>
    <definedName name="IQ_ECO_METRIC_7807" hidden="1">"c7807"</definedName>
    <definedName name="IQ_ECO_METRIC_7811" hidden="1">"c7811"</definedName>
    <definedName name="IQ_ECO_METRIC_7868_UNUSED" hidden="1">"c7868"</definedName>
    <definedName name="IQ_ECO_METRIC_7873" hidden="1">"c7873"</definedName>
    <definedName name="IQ_ECO_METRIC_7924" hidden="1">"c7924"</definedName>
    <definedName name="IQ_ECO_METRIC_7925_UNUSED" hidden="1">"c7925"</definedName>
    <definedName name="IQ_ECO_METRIC_7926" hidden="1">"c7926"</definedName>
    <definedName name="IQ_ECO_METRIC_7938" hidden="1">"c7938"</definedName>
    <definedName name="IQ_ECO_METRIC_7939_UNUSED" hidden="1">"c7939"</definedName>
    <definedName name="IQ_ECO_METRIC_7996_UNUSED" hidden="1">"c7996"</definedName>
    <definedName name="IQ_ECO_METRIC_7997_UNUSED" hidden="1">"c7997"</definedName>
    <definedName name="IQ_ECO_METRIC_8027" hidden="1">"c8027"</definedName>
    <definedName name="IQ_ECO_METRIC_8031" hidden="1">"c8031"</definedName>
    <definedName name="IQ_ECO_METRIC_8088_UNUSED" hidden="1">"c8088"</definedName>
    <definedName name="IQ_ECO_METRIC_8093" hidden="1">"c8093"</definedName>
    <definedName name="IQ_ECO_METRIC_8144" hidden="1">"c8144"</definedName>
    <definedName name="IQ_ECO_METRIC_8145_UNUSED" hidden="1">"c8145"</definedName>
    <definedName name="IQ_ECO_METRIC_8146" hidden="1">"c8146"</definedName>
    <definedName name="IQ_ECO_METRIC_8158" hidden="1">"c8158"</definedName>
    <definedName name="IQ_ECO_METRIC_8159_UNUSED" hidden="1">"c8159"</definedName>
    <definedName name="IQ_ECO_METRIC_8216_UNUSED" hidden="1">"c8216"</definedName>
    <definedName name="IQ_ECO_METRIC_8217_UNUSED" hidden="1">"c8217"</definedName>
    <definedName name="IQ_ECO_METRIC_8247" hidden="1">"c8247"</definedName>
    <definedName name="IQ_ECO_METRIC_8251" hidden="1">"c8251"</definedName>
    <definedName name="IQ_ECO_METRIC_8308_UNUSED" hidden="1">"c8308"</definedName>
    <definedName name="IQ_ECO_METRIC_8313" hidden="1">"c8313"</definedName>
    <definedName name="IQ_ECO_METRIC_8366" hidden="1">"c8366"</definedName>
    <definedName name="IQ_ECO_METRIC_8378" hidden="1">"c8378"</definedName>
    <definedName name="IQ_ECO_METRIC_8436_UNUSED" hidden="1">"c8436"</definedName>
    <definedName name="IQ_ECO_METRIC_8437_UNUSED" hidden="1">"c8437"</definedName>
    <definedName name="IQ_ECO_METRIC_8467" hidden="1">"c8467"</definedName>
    <definedName name="IQ_ECO_METRIC_8471" hidden="1">"c8471"</definedName>
    <definedName name="IQ_ECO_METRIC_8528_UNUSED" hidden="1">"c8528"</definedName>
    <definedName name="IQ_ECO_METRIC_8533" hidden="1">"c8533"</definedName>
    <definedName name="IQ_ECS_AUTHORIZED_SHARES" hidden="1">"c5583"</definedName>
    <definedName name="IQ_ECS_AUTHORIZED_SHARES_ABS" hidden="1">"c5597"</definedName>
    <definedName name="IQ_ECS_AUTHORIZED_SHARES_OTHER" hidden="1">"c15613"</definedName>
    <definedName name="IQ_ECS_AUTHORIZED_SHARES_OTHER_ABS" hidden="1">"c15630"</definedName>
    <definedName name="IQ_ECS_CONVERT_FACTOR" hidden="1">"c5581"</definedName>
    <definedName name="IQ_ECS_CONVERT_FACTOR_ABS" hidden="1">"c5595"</definedName>
    <definedName name="IQ_ECS_CONVERT_FACTOR_OTHER" hidden="1">"c15611"</definedName>
    <definedName name="IQ_ECS_CONVERT_FACTOR_OTHER_ABS" hidden="1">"c15628"</definedName>
    <definedName name="IQ_ECS_CONVERT_INTO" hidden="1">"c5580"</definedName>
    <definedName name="IQ_ECS_CONVERT_INTO_ABS" hidden="1">"c5594"</definedName>
    <definedName name="IQ_ECS_CONVERT_INTO_OTHER" hidden="1">"c15610"</definedName>
    <definedName name="IQ_ECS_CONVERT_INTO_OTHER_ABS" hidden="1">"c15627"</definedName>
    <definedName name="IQ_ECS_CONVERT_PRIMARY_FACTOR" hidden="1">"c15592"</definedName>
    <definedName name="IQ_ECS_CONVERT_PRIMARY_FACTOR_ABS" hidden="1">"c15596"</definedName>
    <definedName name="IQ_ECS_CONVERT_TYPE" hidden="1">"c5579"</definedName>
    <definedName name="IQ_ECS_CONVERT_TYPE_ABS" hidden="1">"c5593"</definedName>
    <definedName name="IQ_ECS_CONVERT_TYPE_OTHER" hidden="1">"c15609"</definedName>
    <definedName name="IQ_ECS_CONVERT_TYPE_OTHER_ABS" hidden="1">"c15626"</definedName>
    <definedName name="IQ_ECS_INACTIVE_DATE" hidden="1">"c5576"</definedName>
    <definedName name="IQ_ECS_INACTIVE_DATE_ABS" hidden="1">"c5590"</definedName>
    <definedName name="IQ_ECS_INACTIVE_DATE_OTHER" hidden="1">"c15606"</definedName>
    <definedName name="IQ_ECS_INACTIVE_DATE_OTHER_ABS" hidden="1">"c15623"</definedName>
    <definedName name="IQ_ECS_NAME" hidden="1">"c5571"</definedName>
    <definedName name="IQ_ECS_NAME_ABS" hidden="1">"c5585"</definedName>
    <definedName name="IQ_ECS_NAME_OTHER" hidden="1">"c15599"</definedName>
    <definedName name="IQ_ECS_NAME_OTHER_ABS" hidden="1">"c15616"</definedName>
    <definedName name="IQ_ECS_NUM_SHAREHOLDERS" hidden="1">"c5584"</definedName>
    <definedName name="IQ_ECS_NUM_SHAREHOLDERS_ABS" hidden="1">"c5598"</definedName>
    <definedName name="IQ_ECS_NUM_SHAREHOLDERS_OTHER" hidden="1">"c15615"</definedName>
    <definedName name="IQ_ECS_NUM_SHAREHOLDERS_OTHER_ABS" hidden="1">"c15632"</definedName>
    <definedName name="IQ_ECS_PAR_VALUE" hidden="1">"c5577"</definedName>
    <definedName name="IQ_ECS_PAR_VALUE_ABS" hidden="1">"c5591"</definedName>
    <definedName name="IQ_ECS_PAR_VALUE_CURRENCY" hidden="1">"c5578"</definedName>
    <definedName name="IQ_ECS_PAR_VALUE_CURRENCY_ABS" hidden="1">"c5592"</definedName>
    <definedName name="IQ_ECS_PAR_VALUE_CURRENCY_OTHER" hidden="1">"c15608"</definedName>
    <definedName name="IQ_ECS_PAR_VALUE_CURRENCY_OTHER_ABS" hidden="1">"c15625"</definedName>
    <definedName name="IQ_ECS_PAR_VALUE_OTHER" hidden="1">"c15607"</definedName>
    <definedName name="IQ_ECS_PAR_VALUE_OTHER_ABS" hidden="1">"c15624"</definedName>
    <definedName name="IQ_ECS_PARTICIPATE_FLAG" hidden="1">"c15591"</definedName>
    <definedName name="IQ_ECS_PARTICIPATE_FLAG_ABS" hidden="1">"c15595"</definedName>
    <definedName name="IQ_ECS_PARTICIPATE_FLAG_OTHER" hidden="1">"c15614"</definedName>
    <definedName name="IQ_ECS_PARTICIPATE_FLAG_OTHER_ABS" hidden="1">"c15631"</definedName>
    <definedName name="IQ_ECS_SHARES_OUT_BS_DATE" hidden="1">"c5572"</definedName>
    <definedName name="IQ_ECS_SHARES_OUT_BS_DATE_ABS" hidden="1">"c5586"</definedName>
    <definedName name="IQ_ECS_SHARES_OUT_BS_DATE_OTHER" hidden="1">"c15600"</definedName>
    <definedName name="IQ_ECS_SHARES_OUT_BS_DATE_OTHER_ABS" hidden="1">"c15617"</definedName>
    <definedName name="IQ_ECS_SHARES_OUT_FILING_DATE" hidden="1">"c5573"</definedName>
    <definedName name="IQ_ECS_SHARES_OUT_FILING_DATE_ABS" hidden="1">"c5587"</definedName>
    <definedName name="IQ_ECS_SHARES_OUT_FILING_DATE_OTHER" hidden="1">"c15601"</definedName>
    <definedName name="IQ_ECS_SHARES_OUT_FILING_DATE_OTHER_ABS" hidden="1">"c15618"</definedName>
    <definedName name="IQ_ECS_START_DATE" hidden="1">"c5575"</definedName>
    <definedName name="IQ_ECS_START_DATE_ABS" hidden="1">"c5589"</definedName>
    <definedName name="IQ_ECS_START_DATE_OTHER" hidden="1">"c15605"</definedName>
    <definedName name="IQ_ECS_START_DATE_OTHER_ABS" hidden="1">"c15622"</definedName>
    <definedName name="IQ_ECS_TICKER" hidden="1">"c15594"</definedName>
    <definedName name="IQ_ECS_TICKER_ABS" hidden="1">"c15598"</definedName>
    <definedName name="IQ_ECS_TICKER_OTHER" hidden="1">"c15603"</definedName>
    <definedName name="IQ_ECS_TICKER_OTHER_ABS" hidden="1">"c15620"</definedName>
    <definedName name="IQ_ECS_TRADING_ITEM_CIQID" hidden="1">"c15593"</definedName>
    <definedName name="IQ_ECS_TRADING_ITEM_CIQID_ABS" hidden="1">"c15597"</definedName>
    <definedName name="IQ_ECS_TRADING_ITEM_CIQID_OTHER" hidden="1">"c15602"</definedName>
    <definedName name="IQ_ECS_TRADING_ITEM_CIQID_OTHER_ABS" hidden="1">"c15619"</definedName>
    <definedName name="IQ_ECS_TYPE" hidden="1">"c5574"</definedName>
    <definedName name="IQ_ECS_TYPE_ABS" hidden="1">"c5588"</definedName>
    <definedName name="IQ_ECS_TYPE_OTHER" hidden="1">"c15604"</definedName>
    <definedName name="IQ_ECS_TYPE_OTHER_ABS" hidden="1">"c15621"</definedName>
    <definedName name="IQ_ECS_VOTING" hidden="1">"c5582"</definedName>
    <definedName name="IQ_ECS_VOTING_ABS" hidden="1">"c5596"</definedName>
    <definedName name="IQ_ECS_VOTING_OTHER" hidden="1">"c15612"</definedName>
    <definedName name="IQ_ECS_VOTING_OTHER_ABS" hidden="1">"c15629"</definedName>
    <definedName name="IQ_EFFECT_SPECIAL_CHARGE" hidden="1">"c1595"</definedName>
    <definedName name="IQ_EFFECT_TAX_RATE" hidden="1">"c1899"</definedName>
    <definedName name="IQ_EFFECTIVE_DATE" hidden="1">"c8966"</definedName>
    <definedName name="IQ_EFFICIENCY_RATIO" hidden="1">"c391"</definedName>
    <definedName name="IQ_ELIMINATIONS_CONSOL_OFFICES_FOREIGN_FFIEC" hidden="1">"c15395"</definedName>
    <definedName name="IQ_EMBEDDED_VAL_COVERED" hidden="1">"c9962"</definedName>
    <definedName name="IQ_EMBEDDED_VAL_COVERED_BEG" hidden="1">"c9957"</definedName>
    <definedName name="IQ_EMBEDDED_VAL_GROUP" hidden="1">"c9948"</definedName>
    <definedName name="IQ_EMBEDDED_VAL_GROUP_BEG" hidden="1">"c9943"</definedName>
    <definedName name="IQ_EMPLOY_COST_INDEX_BENEFITS" hidden="1">"c6857"</definedName>
    <definedName name="IQ_EMPLOY_COST_INDEX_BENEFITS_APR" hidden="1">"c7517"</definedName>
    <definedName name="IQ_EMPLOY_COST_INDEX_BENEFITS_APR_FC" hidden="1">"c8397"</definedName>
    <definedName name="IQ_EMPLOY_COST_INDEX_BENEFITS_FC" hidden="1">"c7737"</definedName>
    <definedName name="IQ_EMPLOY_COST_INDEX_BENEFITS_POP" hidden="1">"c7077"</definedName>
    <definedName name="IQ_EMPLOY_COST_INDEX_BENEFITS_POP_FC" hidden="1">"c7957"</definedName>
    <definedName name="IQ_EMPLOY_COST_INDEX_BENEFITS_YOY" hidden="1">"c7297"</definedName>
    <definedName name="IQ_EMPLOY_COST_INDEX_BENEFITS_YOY_FC" hidden="1">"c8177"</definedName>
    <definedName name="IQ_EMPLOY_COST_INDEX_COMP" hidden="1">"c6856"</definedName>
    <definedName name="IQ_EMPLOY_COST_INDEX_COMP_APR" hidden="1">"c7516"</definedName>
    <definedName name="IQ_EMPLOY_COST_INDEX_COMP_APR_FC" hidden="1">"c8396"</definedName>
    <definedName name="IQ_EMPLOY_COST_INDEX_COMP_FC" hidden="1">"c7736"</definedName>
    <definedName name="IQ_EMPLOY_COST_INDEX_COMP_POP" hidden="1">"c7076"</definedName>
    <definedName name="IQ_EMPLOY_COST_INDEX_COMP_POP_FC" hidden="1">"c7956"</definedName>
    <definedName name="IQ_EMPLOY_COST_INDEX_COMP_YOY" hidden="1">"c7296"</definedName>
    <definedName name="IQ_EMPLOY_COST_INDEX_COMP_YOY_FC" hidden="1">"c8176"</definedName>
    <definedName name="IQ_EMPLOY_COST_INDEX_WAGE_SALARY" hidden="1">"c6858"</definedName>
    <definedName name="IQ_EMPLOY_COST_INDEX_WAGE_SALARY_APR" hidden="1">"c7518"</definedName>
    <definedName name="IQ_EMPLOY_COST_INDEX_WAGE_SALARY_APR_FC" hidden="1">"c8398"</definedName>
    <definedName name="IQ_EMPLOY_COST_INDEX_WAGE_SALARY_FC" hidden="1">"c7738"</definedName>
    <definedName name="IQ_EMPLOY_COST_INDEX_WAGE_SALARY_POP" hidden="1">"c7078"</definedName>
    <definedName name="IQ_EMPLOY_COST_INDEX_WAGE_SALARY_POP_FC" hidden="1">"c7958"</definedName>
    <definedName name="IQ_EMPLOY_COST_INDEX_WAGE_SALARY_YOY" hidden="1">"c7298"</definedName>
    <definedName name="IQ_EMPLOY_COST_INDEX_WAGE_SALARY_YOY_FC" hidden="1">"c8178"</definedName>
    <definedName name="IQ_EMPLOYEES" hidden="1">"c392"</definedName>
    <definedName name="IQ_EMPLOYEES_FFIEC" hidden="1">"c13035"</definedName>
    <definedName name="IQ_EMPLOYEES_UNDER_UNION_CONTRACTS" hidden="1">"c16109"</definedName>
    <definedName name="IQ_ENTERPRISE_VALUE" hidden="1">"c1348"</definedName>
    <definedName name="IQ_ENTREPRENEURAL_PROPERTY_INC" hidden="1">"c6859"</definedName>
    <definedName name="IQ_ENTREPRENEURAL_PROPERTY_INC_APR" hidden="1">"c7519"</definedName>
    <definedName name="IQ_ENTREPRENEURAL_PROPERTY_INC_APR_FC" hidden="1">"c8399"</definedName>
    <definedName name="IQ_ENTREPRENEURAL_PROPERTY_INC_FC" hidden="1">"c7739"</definedName>
    <definedName name="IQ_ENTREPRENEURAL_PROPERTY_INC_POP" hidden="1">"c7079"</definedName>
    <definedName name="IQ_ENTREPRENEURAL_PROPERTY_INC_POP_FC" hidden="1">"c7959"</definedName>
    <definedName name="IQ_ENTREPRENEURAL_PROPERTY_INC_YOY" hidden="1">"c7299"</definedName>
    <definedName name="IQ_ENTREPRENEURAL_PROPERTY_INC_YOY_FC" hidden="1">"c8179"</definedName>
    <definedName name="IQ_EPS_10YR_ANN_CAGR" hidden="1">"c6085"</definedName>
    <definedName name="IQ_EPS_10YR_ANN_GROWTH" hidden="1">"c393"</definedName>
    <definedName name="IQ_EPS_1YR_ANN_GROWTH" hidden="1">"c394"</definedName>
    <definedName name="IQ_EPS_2YR_ANN_CAGR" hidden="1">"c6086"</definedName>
    <definedName name="IQ_EPS_2YR_ANN_GROWTH" hidden="1">"c395"</definedName>
    <definedName name="IQ_EPS_3YR_ANN_CAGR" hidden="1">"c6087"</definedName>
    <definedName name="IQ_EPS_3YR_ANN_GROWTH" hidden="1">"c396"</definedName>
    <definedName name="IQ_EPS_5YR_ANN_CAGR" hidden="1">"c6088"</definedName>
    <definedName name="IQ_EPS_5YR_ANN_GROWTH" hidden="1">"c397"</definedName>
    <definedName name="IQ_EPS_7YR_ANN_CAGR" hidden="1">"c6089"</definedName>
    <definedName name="IQ_EPS_7YR_ANN_GROWTH" hidden="1">"c398"</definedName>
    <definedName name="IQ_EPS_ACT_OR_EST" hidden="1">"c2213"</definedName>
    <definedName name="IQ_EPS_ACT_OR_EST_CIQ" hidden="1">"c5058"</definedName>
    <definedName name="IQ_EPS_ACT_OR_EST_REUT" hidden="1">"c5460"</definedName>
    <definedName name="IQ_EPS_ACT_OR_EST_THOM" hidden="1">"c5298"</definedName>
    <definedName name="IQ_EPS_AP" hidden="1">"c8880"</definedName>
    <definedName name="IQ_EPS_AP_ABS" hidden="1">"c8899"</definedName>
    <definedName name="IQ_EPS_EST" hidden="1">"c399"</definedName>
    <definedName name="IQ_EPS_EST_BOTTOM_UP" hidden="1">"c5489"</definedName>
    <definedName name="IQ_EPS_EST_BOTTOM_UP_CIQ" hidden="1">"c12026"</definedName>
    <definedName name="IQ_EPS_EST_BOTTOM_UP_REUT" hidden="1">"c5497"</definedName>
    <definedName name="IQ_EPS_EST_BOTTOM_UP_THOM" hidden="1">"c5647"</definedName>
    <definedName name="IQ_EPS_EST_CIQ" hidden="1">"c4994"</definedName>
    <definedName name="IQ_EPS_EST_REUT" hidden="1">"c5453"</definedName>
    <definedName name="IQ_EPS_EST_THOM" hidden="1">"c5290"</definedName>
    <definedName name="IQ_EPS_EXCL_GUIDANCE" hidden="1">"c4368"</definedName>
    <definedName name="IQ_EPS_EXCL_HIGH_GUIDANCE" hidden="1">"c4369"</definedName>
    <definedName name="IQ_EPS_EXCL_LOW_GUIDANCE" hidden="1">"c4204"</definedName>
    <definedName name="IQ_EPS_GAAP_GUIDANCE" hidden="1">"c4370"</definedName>
    <definedName name="IQ_EPS_GAAP_HIGH_GUIDANCE" hidden="1">"c4371"</definedName>
    <definedName name="IQ_EPS_GAAP_LOW_GUIDANCE" hidden="1">"c4205"</definedName>
    <definedName name="IQ_EPS_GW_ACT_OR_EST" hidden="1">"c2223"</definedName>
    <definedName name="IQ_EPS_GW_ACT_OR_EST_CIQ" hidden="1">"c5066"</definedName>
    <definedName name="IQ_EPS_GW_ACT_OR_EST_REUT" hidden="1">"c5469"</definedName>
    <definedName name="IQ_EPS_GW_EST" hidden="1">"c1737"</definedName>
    <definedName name="IQ_EPS_GW_EST_BOTTOM_UP" hidden="1">"c5491"</definedName>
    <definedName name="IQ_EPS_GW_EST_BOTTOM_UP_CIQ" hidden="1">"c12028"</definedName>
    <definedName name="IQ_EPS_GW_EST_BOTTOM_UP_REUT" hidden="1">"c5499"</definedName>
    <definedName name="IQ_EPS_GW_EST_CIQ" hidden="1">"c4723"</definedName>
    <definedName name="IQ_EPS_GW_EST_REUT" hidden="1">"c5389"</definedName>
    <definedName name="IQ_EPS_GW_EST_THOM" hidden="1">"c5133"</definedName>
    <definedName name="IQ_EPS_GW_GUIDANCE" hidden="1">"c4372"</definedName>
    <definedName name="IQ_EPS_GW_HIGH_EST" hidden="1">"c1739"</definedName>
    <definedName name="IQ_EPS_GW_HIGH_EST_CIQ" hidden="1">"c4725"</definedName>
    <definedName name="IQ_EPS_GW_HIGH_EST_REUT" hidden="1">"c5391"</definedName>
    <definedName name="IQ_EPS_GW_HIGH_EST_THOM" hidden="1">"c5135"</definedName>
    <definedName name="IQ_EPS_GW_HIGH_GUIDANCE" hidden="1">"c4373"</definedName>
    <definedName name="IQ_EPS_GW_LOW_EST" hidden="1">"c1740"</definedName>
    <definedName name="IQ_EPS_GW_LOW_EST_CIQ" hidden="1">"c4726"</definedName>
    <definedName name="IQ_EPS_GW_LOW_EST_REUT" hidden="1">"c5392"</definedName>
    <definedName name="IQ_EPS_GW_LOW_EST_THOM" hidden="1">"c5136"</definedName>
    <definedName name="IQ_EPS_GW_LOW_GUIDANCE" hidden="1">"c4206"</definedName>
    <definedName name="IQ_EPS_GW_MEDIAN_EST" hidden="1">"c1738"</definedName>
    <definedName name="IQ_EPS_GW_MEDIAN_EST_CIQ" hidden="1">"c4724"</definedName>
    <definedName name="IQ_EPS_GW_MEDIAN_EST_REUT" hidden="1">"c5390"</definedName>
    <definedName name="IQ_EPS_GW_MEDIAN_EST_THOM" hidden="1">"c5134"</definedName>
    <definedName name="IQ_EPS_GW_NUM_EST" hidden="1">"c1741"</definedName>
    <definedName name="IQ_EPS_GW_NUM_EST_CIQ" hidden="1">"c4727"</definedName>
    <definedName name="IQ_EPS_GW_NUM_EST_REUT" hidden="1">"c5393"</definedName>
    <definedName name="IQ_EPS_GW_NUM_EST_THOM" hidden="1">"c5137"</definedName>
    <definedName name="IQ_EPS_GW_STDDEV_EST" hidden="1">"c1742"</definedName>
    <definedName name="IQ_EPS_GW_STDDEV_EST_CIQ" hidden="1">"c4728"</definedName>
    <definedName name="IQ_EPS_GW_STDDEV_EST_REUT" hidden="1">"c5394"</definedName>
    <definedName name="IQ_EPS_GW_STDDEV_EST_THOM" hidden="1">"c5138"</definedName>
    <definedName name="IQ_EPS_HIGH_EST" hidden="1">"c400"</definedName>
    <definedName name="IQ_EPS_HIGH_EST_CIQ" hidden="1">"c4995"</definedName>
    <definedName name="IQ_EPS_HIGH_EST_REUT" hidden="1">"c5454"</definedName>
    <definedName name="IQ_EPS_HIGH_EST_THOM" hidden="1">"c5291"</definedName>
    <definedName name="IQ_EPS_LOW_EST" hidden="1">"c401"</definedName>
    <definedName name="IQ_EPS_LOW_EST_CIQ" hidden="1">"c4996"</definedName>
    <definedName name="IQ_EPS_LOW_EST_REUT" hidden="1">"c5455"</definedName>
    <definedName name="IQ_EPS_LOW_EST_THOM" hidden="1">"c5292"</definedName>
    <definedName name="IQ_EPS_MEDIAN_EST" hidden="1">"c1661"</definedName>
    <definedName name="IQ_EPS_MEDIAN_EST_CIQ" hidden="1">"c4997"</definedName>
    <definedName name="IQ_EPS_MEDIAN_EST_REUT" hidden="1">"c5456"</definedName>
    <definedName name="IQ_EPS_MEDIAN_EST_THOM" hidden="1">"c5293"</definedName>
    <definedName name="IQ_EPS_NAME_AP" hidden="1">"c8918"</definedName>
    <definedName name="IQ_EPS_NAME_AP_ABS" hidden="1">"c8937"</definedName>
    <definedName name="IQ_EPS_NORM" hidden="1">"c1902"</definedName>
    <definedName name="IQ_EPS_NORM_EST" hidden="1">"c2226"</definedName>
    <definedName name="IQ_EPS_NORM_EST_BOTTOM_UP" hidden="1">"c5490"</definedName>
    <definedName name="IQ_EPS_NORM_EST_BOTTOM_UP_CIQ" hidden="1">"c12027"</definedName>
    <definedName name="IQ_EPS_NORM_EST_BOTTOM_UP_REUT" hidden="1">"c5498"</definedName>
    <definedName name="IQ_EPS_NORM_EST_CIQ" hidden="1">"c4667"</definedName>
    <definedName name="IQ_EPS_NORM_EST_REUT" hidden="1">"c5326"</definedName>
    <definedName name="IQ_EPS_NORM_HIGH_EST" hidden="1">"c2228"</definedName>
    <definedName name="IQ_EPS_NORM_HIGH_EST_CIQ" hidden="1">"c4669"</definedName>
    <definedName name="IQ_EPS_NORM_HIGH_EST_REUT" hidden="1">"c5328"</definedName>
    <definedName name="IQ_EPS_NORM_LOW_EST" hidden="1">"c2229"</definedName>
    <definedName name="IQ_EPS_NORM_LOW_EST_CIQ" hidden="1">"c4670"</definedName>
    <definedName name="IQ_EPS_NORM_LOW_EST_REUT" hidden="1">"c5329"</definedName>
    <definedName name="IQ_EPS_NORM_MEDIAN_EST" hidden="1">"c2227"</definedName>
    <definedName name="IQ_EPS_NORM_MEDIAN_EST_CIQ" hidden="1">"c4668"</definedName>
    <definedName name="IQ_EPS_NORM_MEDIAN_EST_REUT" hidden="1">"c5327"</definedName>
    <definedName name="IQ_EPS_NORM_NUM_EST" hidden="1">"c2230"</definedName>
    <definedName name="IQ_EPS_NORM_NUM_EST_CIQ" hidden="1">"c4671"</definedName>
    <definedName name="IQ_EPS_NORM_NUM_EST_REUT" hidden="1">"c5330"</definedName>
    <definedName name="IQ_EPS_NORM_STDDEV_EST" hidden="1">"c2231"</definedName>
    <definedName name="IQ_EPS_NORM_STDDEV_EST_CIQ" hidden="1">"c4672"</definedName>
    <definedName name="IQ_EPS_NORM_STDDEV_EST_REUT" hidden="1">"c5331"</definedName>
    <definedName name="IQ_EPS_NUM_EST" hidden="1">"c402"</definedName>
    <definedName name="IQ_EPS_NUM_EST_CIQ" hidden="1">"c4992"</definedName>
    <definedName name="IQ_EPS_NUM_EST_REUT" hidden="1">"c5451"</definedName>
    <definedName name="IQ_EPS_NUM_EST_THOM" hidden="1">"c5288"</definedName>
    <definedName name="IQ_EPS_REPORT_ACT_OR_EST" hidden="1">"c2224"</definedName>
    <definedName name="IQ_EPS_REPORT_ACT_OR_EST_CIQ" hidden="1">"c5067"</definedName>
    <definedName name="IQ_EPS_REPORT_ACT_OR_EST_REUT" hidden="1">"c5470"</definedName>
    <definedName name="IQ_EPS_REPORT_ACT_OR_EST_THOM" hidden="1">"c5307"</definedName>
    <definedName name="IQ_EPS_REPORTED_EST" hidden="1">"c1744"</definedName>
    <definedName name="IQ_EPS_REPORTED_EST_BOTTOM_UP" hidden="1">"c5492"</definedName>
    <definedName name="IQ_EPS_REPORTED_EST_BOTTOM_UP_CIQ" hidden="1">"c12029"</definedName>
    <definedName name="IQ_EPS_REPORTED_EST_BOTTOM_UP_REUT" hidden="1">"c5500"</definedName>
    <definedName name="IQ_EPS_REPORTED_EST_CIQ" hidden="1">"c4730"</definedName>
    <definedName name="IQ_EPS_REPORTED_EST_REUT" hidden="1">"c5396"</definedName>
    <definedName name="IQ_EPS_REPORTED_EST_THOM" hidden="1">"c5140"</definedName>
    <definedName name="IQ_EPS_REPORTED_HIGH_EST" hidden="1">"c1746"</definedName>
    <definedName name="IQ_EPS_REPORTED_HIGH_EST_CIQ" hidden="1">"c4732"</definedName>
    <definedName name="IQ_EPS_REPORTED_HIGH_EST_REUT" hidden="1">"c5398"</definedName>
    <definedName name="IQ_EPS_REPORTED_HIGH_EST_THOM" hidden="1">"c5142"</definedName>
    <definedName name="IQ_EPS_REPORTED_LOW_EST" hidden="1">"c1747"</definedName>
    <definedName name="IQ_EPS_REPORTED_LOW_EST_CIQ" hidden="1">"c4733"</definedName>
    <definedName name="IQ_EPS_REPORTED_LOW_EST_REUT" hidden="1">"c5399"</definedName>
    <definedName name="IQ_EPS_REPORTED_LOW_EST_THOM" hidden="1">"c5143"</definedName>
    <definedName name="IQ_EPS_REPORTED_MEDIAN_EST" hidden="1">"c1745"</definedName>
    <definedName name="IQ_EPS_REPORTED_MEDIAN_EST_CIQ" hidden="1">"c4731"</definedName>
    <definedName name="IQ_EPS_REPORTED_MEDIAN_EST_REUT" hidden="1">"c5397"</definedName>
    <definedName name="IQ_EPS_REPORTED_MEDIAN_EST_THOM" hidden="1">"c5141"</definedName>
    <definedName name="IQ_EPS_REPORTED_NUM_EST" hidden="1">"c1748"</definedName>
    <definedName name="IQ_EPS_REPORTED_NUM_EST_CIQ" hidden="1">"c4734"</definedName>
    <definedName name="IQ_EPS_REPORTED_NUM_EST_REUT" hidden="1">"c5400"</definedName>
    <definedName name="IQ_EPS_REPORTED_NUM_EST_THOM" hidden="1">"c5144"</definedName>
    <definedName name="IQ_EPS_REPORTED_STDDEV_EST" hidden="1">"c1749"</definedName>
    <definedName name="IQ_EPS_REPORTED_STDDEV_EST_CIQ" hidden="1">"c4735"</definedName>
    <definedName name="IQ_EPS_REPORTED_STDDEV_EST_REUT" hidden="1">"c5401"</definedName>
    <definedName name="IQ_EPS_REPORTED_STDDEV_EST_THOM" hidden="1">"c5145"</definedName>
    <definedName name="IQ_EPS_SBC_ACT_OR_EST" hidden="1">"c4376"</definedName>
    <definedName name="IQ_EPS_SBC_ACT_OR_EST_CIQ" hidden="1">"c4901"</definedName>
    <definedName name="IQ_EPS_SBC_EST" hidden="1">"c4375"</definedName>
    <definedName name="IQ_EPS_SBC_GUIDANCE" hidden="1">"c4377"</definedName>
    <definedName name="IQ_EPS_SBC_GW_ACT_OR_EST" hidden="1">"c4380"</definedName>
    <definedName name="IQ_EPS_SBC_GW_ACT_OR_EST_CIQ" hidden="1">"c4905"</definedName>
    <definedName name="IQ_EPS_SBC_GW_EST" hidden="1">"c4379"</definedName>
    <definedName name="IQ_EPS_SBC_GW_GUIDANCE" hidden="1">"c4381"</definedName>
    <definedName name="IQ_EPS_SBC_GW_HIGH_EST" hidden="1">"c4382"</definedName>
    <definedName name="IQ_EPS_SBC_GW_HIGH_GUIDANCE" hidden="1">"c4189"</definedName>
    <definedName name="IQ_EPS_SBC_GW_LOW_EST" hidden="1">"c4383"</definedName>
    <definedName name="IQ_EPS_SBC_GW_LOW_GUIDANCE" hidden="1">"c4229"</definedName>
    <definedName name="IQ_EPS_SBC_GW_MEDIAN_EST" hidden="1">"c4384"</definedName>
    <definedName name="IQ_EPS_SBC_GW_NUM_EST" hidden="1">"c4385"</definedName>
    <definedName name="IQ_EPS_SBC_GW_STDDEV_EST" hidden="1">"c4386"</definedName>
    <definedName name="IQ_EPS_SBC_HIGH_EST" hidden="1">"c4388"</definedName>
    <definedName name="IQ_EPS_SBC_HIGH_GUIDANCE" hidden="1">"c4188"</definedName>
    <definedName name="IQ_EPS_SBC_LOW_EST" hidden="1">"c4389"</definedName>
    <definedName name="IQ_EPS_SBC_LOW_GUIDANCE" hidden="1">"c4228"</definedName>
    <definedName name="IQ_EPS_SBC_MEDIAN_EST" hidden="1">"c4390"</definedName>
    <definedName name="IQ_EPS_SBC_NUM_EST" hidden="1">"c4391"</definedName>
    <definedName name="IQ_EPS_SBC_STDDEV_EST" hidden="1">"c4392"</definedName>
    <definedName name="IQ_EPS_STDDEV_EST" hidden="1">"c403"</definedName>
    <definedName name="IQ_EPS_STDDEV_EST_CIQ" hidden="1">"c4993"</definedName>
    <definedName name="IQ_EPS_STDDEV_EST_REUT" hidden="1">"c5452"</definedName>
    <definedName name="IQ_EPS_STDDEV_EST_THOM" hidden="1">"c5289"</definedName>
    <definedName name="IQ_EQUITY_AFFIL" hidden="1">"c1451"</definedName>
    <definedName name="IQ_EQUITY_AP" hidden="1">"c8887"</definedName>
    <definedName name="IQ_EQUITY_AP_ABS" hidden="1">"c8906"</definedName>
    <definedName name="IQ_EQUITY_ASSETS_TOT_FFIEC" hidden="1">"c13436"</definedName>
    <definedName name="IQ_EQUITY_BEG_EXCL_FFIEC" hidden="1">"c12957"</definedName>
    <definedName name="IQ_EQUITY_BEG_FFIEC" hidden="1">"c12959"</definedName>
    <definedName name="IQ_EQUITY_CAPITAL_QUARTERLY_AVG_FFIEC" hidden="1">"c13092"</definedName>
    <definedName name="IQ_EQUITY_ENDING_FFIEC" hidden="1">"c12973"</definedName>
    <definedName name="IQ_EQUITY_INDEX_EXPOSURE_FFIEC" hidden="1">"c13060"</definedName>
    <definedName name="IQ_EQUITY_LIST" hidden="1">"c15158"</definedName>
    <definedName name="IQ_EQUITY_METHOD" hidden="1">"c404"</definedName>
    <definedName name="IQ_EQUITY_NAME_AP" hidden="1">"c8925"</definedName>
    <definedName name="IQ_EQUITY_NAME_AP_ABS" hidden="1">"c8944"</definedName>
    <definedName name="IQ_EQUITY_SEC_FAIR_VALUE_FFIEC" hidden="1">"c12805"</definedName>
    <definedName name="IQ_EQUITY_SEC_INVEST_SECURITIES_FFIEC" hidden="1">"c13463"</definedName>
    <definedName name="IQ_EQUITY_SECURITIES_QUARTERLY_AVG_FFIEC" hidden="1">"c15474"</definedName>
    <definedName name="IQ_EQUITY_SECURITIES_WITHOUT_FAIR_VALUES_FFIEC" hidden="1">"c12846"</definedName>
    <definedName name="IQ_EQUITY_TIER_ONE_CAPITAL" hidden="1">"c15246"</definedName>
    <definedName name="IQ_EQUITY_TIER_ONE_CAPITAL_RATIO" hidden="1">"c15242"</definedName>
    <definedName name="IQ_EQV_OVER_BV" hidden="1">"c1596"</definedName>
    <definedName name="IQ_EQV_OVER_LTM_PRETAX_INC" hidden="1">"c1390"</definedName>
    <definedName name="IQ_ESOP_DEBT" hidden="1">"c1597"</definedName>
    <definedName name="IQ_ESOP_DEBT_GUARANTEED_FFIEC" hidden="1">"c12971"</definedName>
    <definedName name="IQ_ESOP_OVER_TOTAL" hidden="1">"c13768"</definedName>
    <definedName name="IQ_EST_ACT_BV" hidden="1">"c5630"</definedName>
    <definedName name="IQ_EST_ACT_BV_SHARE" hidden="1">"c3549"</definedName>
    <definedName name="IQ_EST_ACT_BV_SHARE_REUT" hidden="1">"c5445"</definedName>
    <definedName name="IQ_EST_ACT_BV_SHARE_THOM" hidden="1">"c4026"</definedName>
    <definedName name="IQ_EST_ACT_CAPEX" hidden="1">"c3546"</definedName>
    <definedName name="IQ_EST_ACT_CAPEX_REUT" hidden="1">"c3975"</definedName>
    <definedName name="IQ_EST_ACT_CAPEX_THOM" hidden="1">"c5508"</definedName>
    <definedName name="IQ_EST_ACT_CASH_EPS" hidden="1">"c5637"</definedName>
    <definedName name="IQ_EST_ACT_CASH_EPS_THOM" hidden="1">"c5645"</definedName>
    <definedName name="IQ_EST_ACT_CASH_FLOW" hidden="1">"c4394"</definedName>
    <definedName name="IQ_EST_ACT_CASH_OPER" hidden="1">"c4395"</definedName>
    <definedName name="IQ_EST_ACT_CFPS" hidden="1">"c1673"</definedName>
    <definedName name="IQ_EST_ACT_CFPS_REUT" hidden="1">"c3850"</definedName>
    <definedName name="IQ_EST_ACT_CFPS_THOM" hidden="1">"c4012"</definedName>
    <definedName name="IQ_EST_ACT_DISTRIBUTABLE_CASH" hidden="1">"c4396"</definedName>
    <definedName name="IQ_EST_ACT_DISTRIBUTABLE_CASH_SHARE" hidden="1">"c4397"</definedName>
    <definedName name="IQ_EST_ACT_DPS" hidden="1">"c1680"</definedName>
    <definedName name="IQ_EST_ACT_DPS_REUT" hidden="1">"c3857"</definedName>
    <definedName name="IQ_EST_ACT_DPS_THOM" hidden="1">"c4019"</definedName>
    <definedName name="IQ_EST_ACT_EBIT" hidden="1">"c1687"</definedName>
    <definedName name="IQ_EST_ACT_EBIT_GW" hidden="1">"c4398"</definedName>
    <definedName name="IQ_EST_ACT_EBIT_REUT" hidden="1">"c5339"</definedName>
    <definedName name="IQ_EST_ACT_EBIT_SBC" hidden="1">"c4399"</definedName>
    <definedName name="IQ_EST_ACT_EBIT_SBC_GW" hidden="1">"c4400"</definedName>
    <definedName name="IQ_EST_ACT_EBIT_THOM" hidden="1">"c5111"</definedName>
    <definedName name="IQ_EST_ACT_EBITDA" hidden="1">"c1664"</definedName>
    <definedName name="IQ_EST_ACT_EBITDA_CIQ" hidden="1">"c3667"</definedName>
    <definedName name="IQ_EST_ACT_EBITDA_REUT" hidden="1">"c3836"</definedName>
    <definedName name="IQ_EST_ACT_EBITDA_SBC" hidden="1">"c4401"</definedName>
    <definedName name="IQ_EST_ACT_EBITDA_THOM" hidden="1">"c3998"</definedName>
    <definedName name="IQ_EST_ACT_EBT_SBC" hidden="1">"c4402"</definedName>
    <definedName name="IQ_EST_ACT_EBT_SBC_GW" hidden="1">"c4403"</definedName>
    <definedName name="IQ_EST_ACT_EPS" hidden="1">"c1648"</definedName>
    <definedName name="IQ_EST_ACT_EPS_CIQ" hidden="1">"c4998"</definedName>
    <definedName name="IQ_EST_ACT_EPS_GW" hidden="1">"c1743"</definedName>
    <definedName name="IQ_EST_ACT_EPS_GW_CIQ" hidden="1">"c4729"</definedName>
    <definedName name="IQ_EST_ACT_EPS_GW_REUT" hidden="1">"c5395"</definedName>
    <definedName name="IQ_EST_ACT_EPS_GW_THOM" hidden="1">"c5139"</definedName>
    <definedName name="IQ_EST_ACT_EPS_NORM" hidden="1">"c2232"</definedName>
    <definedName name="IQ_EST_ACT_EPS_NORM_CIQ" hidden="1">"c4673"</definedName>
    <definedName name="IQ_EST_ACT_EPS_NORM_REUT" hidden="1">"c5332"</definedName>
    <definedName name="IQ_EST_ACT_EPS_REPORTED" hidden="1">"c1750"</definedName>
    <definedName name="IQ_EST_ACT_EPS_REPORTED_CIQ" hidden="1">"c4736"</definedName>
    <definedName name="IQ_EST_ACT_EPS_REPORTED_REUT" hidden="1">"c5402"</definedName>
    <definedName name="IQ_EST_ACT_EPS_REPORTED_THOM" hidden="1">"c5146"</definedName>
    <definedName name="IQ_EST_ACT_EPS_REUT" hidden="1">"c5457"</definedName>
    <definedName name="IQ_EST_ACT_EPS_SBC" hidden="1">"c4404"</definedName>
    <definedName name="IQ_EST_ACT_EPS_SBC_GW" hidden="1">"c4405"</definedName>
    <definedName name="IQ_EST_ACT_EPS_THOM" hidden="1">"c5294"</definedName>
    <definedName name="IQ_EST_ACT_FFO" hidden="1">"c4407"</definedName>
    <definedName name="IQ_EST_ACT_FFO_ADJ" hidden="1">"c4406"</definedName>
    <definedName name="IQ_EST_ACT_FFO_REUT" hidden="1">"c3843"</definedName>
    <definedName name="IQ_EST_ACT_FFO_SHARE" hidden="1">"c1666"</definedName>
    <definedName name="IQ_EST_ACT_FFO_SHARE_THOM" hidden="1">"c4005"</definedName>
    <definedName name="IQ_EST_ACT_GROSS_MARGIN" hidden="1">"c5553"</definedName>
    <definedName name="IQ_EST_ACT_GROSS_MARGIN_THOM" hidden="1">"c5561"</definedName>
    <definedName name="IQ_EST_ACT_MAINT_CAPEX" hidden="1">"c4408"</definedName>
    <definedName name="IQ_EST_ACT_NAV" hidden="1">"c1757"</definedName>
    <definedName name="IQ_EST_ACT_NAV_SHARE" hidden="1">"c5608"</definedName>
    <definedName name="IQ_EST_ACT_NAV_SHARE_REUT" hidden="1">"c5616"</definedName>
    <definedName name="IQ_EST_ACT_NAV_THOM" hidden="1">"c5600"</definedName>
    <definedName name="IQ_EST_ACT_NET_DEBT" hidden="1">"c3545"</definedName>
    <definedName name="IQ_EST_ACT_NET_DEBT_REUT" hidden="1">"c5446"</definedName>
    <definedName name="IQ_EST_ACT_NET_DEBT_THOM" hidden="1">"c4033"</definedName>
    <definedName name="IQ_EST_ACT_NI" hidden="1">"c1722"</definedName>
    <definedName name="IQ_EST_ACT_NI_GW" hidden="1">"c1729"</definedName>
    <definedName name="IQ_EST_ACT_NI_GW_REUT" hidden="1">"c5381"</definedName>
    <definedName name="IQ_EST_ACT_NI_REPORTED" hidden="1">"c1736"</definedName>
    <definedName name="IQ_EST_ACT_NI_REPORTED_REUT" hidden="1">"c5388"</definedName>
    <definedName name="IQ_EST_ACT_NI_REUT" hidden="1">"c5374"</definedName>
    <definedName name="IQ_EST_ACT_NI_SBC" hidden="1">"c4409"</definedName>
    <definedName name="IQ_EST_ACT_NI_SBC_GW" hidden="1">"c4410"</definedName>
    <definedName name="IQ_EST_ACT_NI_THOM" hidden="1">"c5132"</definedName>
    <definedName name="IQ_EST_ACT_OPER_INC" hidden="1">"c1694"</definedName>
    <definedName name="IQ_EST_ACT_OPER_INC_REUT" hidden="1">"c5346"</definedName>
    <definedName name="IQ_EST_ACT_OPER_INC_THOM" hidden="1">"c5118"</definedName>
    <definedName name="IQ_EST_ACT_PRETAX_GW_INC" hidden="1">"c1708"</definedName>
    <definedName name="IQ_EST_ACT_PRETAX_GW_INC_REUT" hidden="1">"c5360"</definedName>
    <definedName name="IQ_EST_ACT_PRETAX_INC" hidden="1">"c1701"</definedName>
    <definedName name="IQ_EST_ACT_PRETAX_INC_REUT" hidden="1">"c5353"</definedName>
    <definedName name="IQ_EST_ACT_PRETAX_INC_THOM" hidden="1">"c5125"</definedName>
    <definedName name="IQ_EST_ACT_PRETAX_REPORT_INC" hidden="1">"c1715"</definedName>
    <definedName name="IQ_EST_ACT_PRETAX_REPORT_INC_REUT" hidden="1">"c5367"</definedName>
    <definedName name="IQ_EST_ACT_RECURRING_PROFIT" hidden="1">"c4411"</definedName>
    <definedName name="IQ_EST_ACT_RECURRING_PROFIT_SHARE" hidden="1">"c4412"</definedName>
    <definedName name="IQ_EST_ACT_RETURN_ASSETS" hidden="1">"c3547"</definedName>
    <definedName name="IQ_EST_ACT_RETURN_ASSETS_REUT" hidden="1">"c3996"</definedName>
    <definedName name="IQ_EST_ACT_RETURN_ASSETS_THOM" hidden="1">"c4040"</definedName>
    <definedName name="IQ_EST_ACT_RETURN_EQUITY" hidden="1">"c3548"</definedName>
    <definedName name="IQ_EST_ACT_RETURN_EQUITY_REUT" hidden="1">"c3989"</definedName>
    <definedName name="IQ_EST_ACT_RETURN_EQUITY_THOM" hidden="1">"c5287"</definedName>
    <definedName name="IQ_EST_ACT_REV" hidden="1">"c2113"</definedName>
    <definedName name="IQ_EST_ACT_REV_CIQ" hidden="1">"c3666"</definedName>
    <definedName name="IQ_EST_ACT_REV_REUT" hidden="1">"c3835"</definedName>
    <definedName name="IQ_EST_ACT_REV_THOM" hidden="1">"c3997"</definedName>
    <definedName name="IQ_EST_BV_SHARE_DIFF" hidden="1">"c4147"</definedName>
    <definedName name="IQ_EST_BV_SHARE_SURPRISE_PERCENT" hidden="1">"c4148"</definedName>
    <definedName name="IQ_EST_CAPEX_DIFF" hidden="1">"c4149"</definedName>
    <definedName name="IQ_EST_CAPEX_GROWTH_1YR" hidden="1">"c3588"</definedName>
    <definedName name="IQ_EST_CAPEX_GROWTH_1YR_REUT" hidden="1">"c5447"</definedName>
    <definedName name="IQ_EST_CAPEX_GROWTH_1YR_THOM" hidden="1">"c5542"</definedName>
    <definedName name="IQ_EST_CAPEX_GROWTH_2YR" hidden="1">"c3589"</definedName>
    <definedName name="IQ_EST_CAPEX_GROWTH_2YR_REUT" hidden="1">"c5448"</definedName>
    <definedName name="IQ_EST_CAPEX_GROWTH_2YR_THOM" hidden="1">"c5543"</definedName>
    <definedName name="IQ_EST_CAPEX_GROWTH_Q_1YR" hidden="1">"c3590"</definedName>
    <definedName name="IQ_EST_CAPEX_GROWTH_Q_1YR_REUT" hidden="1">"c5449"</definedName>
    <definedName name="IQ_EST_CAPEX_GROWTH_Q_1YR_THOM" hidden="1">"c5544"</definedName>
    <definedName name="IQ_EST_CAPEX_SEQ_GROWTH_Q" hidden="1">"c3591"</definedName>
    <definedName name="IQ_EST_CAPEX_SEQ_GROWTH_Q_REUT" hidden="1">"c5450"</definedName>
    <definedName name="IQ_EST_CAPEX_SEQ_GROWTH_Q_THOM" hidden="1">"c5545"</definedName>
    <definedName name="IQ_EST_CAPEX_SURPRISE_PERCENT" hidden="1">"c4151"</definedName>
    <definedName name="IQ_EST_CASH_FLOW_DIFF" hidden="1">"c4152"</definedName>
    <definedName name="IQ_EST_CASH_FLOW_SURPRISE_PERCENT" hidden="1">"c4161"</definedName>
    <definedName name="IQ_EST_CASH_OPER_DIFF" hidden="1">"c4162"</definedName>
    <definedName name="IQ_EST_CASH_OPER_SURPRISE_PERCENT" hidden="1">"c4248"</definedName>
    <definedName name="IQ_EST_CFPS_DIFF" hidden="1">"c1871"</definedName>
    <definedName name="IQ_EST_CFPS_DIFF_REUT" hidden="1">"c3892"</definedName>
    <definedName name="IQ_EST_CFPS_DIFF_THOM" hidden="1">"c5188"</definedName>
    <definedName name="IQ_EST_CFPS_GROWTH_1YR" hidden="1">"c1774"</definedName>
    <definedName name="IQ_EST_CFPS_GROWTH_1YR_REUT" hidden="1">"c3878"</definedName>
    <definedName name="IQ_EST_CFPS_GROWTH_1YR_THOM" hidden="1">"c5174"</definedName>
    <definedName name="IQ_EST_CFPS_GROWTH_2YR" hidden="1">"c1775"</definedName>
    <definedName name="IQ_EST_CFPS_GROWTH_2YR_REUT" hidden="1">"c3879"</definedName>
    <definedName name="IQ_EST_CFPS_GROWTH_2YR_THOM" hidden="1">"c5175"</definedName>
    <definedName name="IQ_EST_CFPS_GROWTH_Q_1YR" hidden="1">"c1776"</definedName>
    <definedName name="IQ_EST_CFPS_GROWTH_Q_1YR_REUT" hidden="1">"c3880"</definedName>
    <definedName name="IQ_EST_CFPS_GROWTH_Q_1YR_THOM" hidden="1">"c5176"</definedName>
    <definedName name="IQ_EST_CFPS_SEQ_GROWTH_Q" hidden="1">"c1777"</definedName>
    <definedName name="IQ_EST_CFPS_SEQ_GROWTH_Q_REUT" hidden="1">"c3881"</definedName>
    <definedName name="IQ_EST_CFPS_SEQ_GROWTH_Q_THOM" hidden="1">"c5177"</definedName>
    <definedName name="IQ_EST_CFPS_SURPRISE_PERCENT" hidden="1">"c1872"</definedName>
    <definedName name="IQ_EST_CFPS_SURPRISE_PERCENT_REUT" hidden="1">"c3893"</definedName>
    <definedName name="IQ_EST_CFPS_SURPRISE_PERCENT_THOM" hidden="1">"c5189"</definedName>
    <definedName name="IQ_EST_CURRENCY" hidden="1">"c2140"</definedName>
    <definedName name="IQ_EST_CURRENCY_CIQ" hidden="1">"c4769"</definedName>
    <definedName name="IQ_EST_CURRENCY_REUT" hidden="1">"c5437"</definedName>
    <definedName name="IQ_EST_CURRENCY_THOM" hidden="1">"c5280"</definedName>
    <definedName name="IQ_EST_DATE" hidden="1">"c1634"</definedName>
    <definedName name="IQ_EST_DATE_CIQ" hidden="1">"c4770"</definedName>
    <definedName name="IQ_EST_DATE_REUT" hidden="1">"c5438"</definedName>
    <definedName name="IQ_EST_DATE_THOM" hidden="1">"c5281"</definedName>
    <definedName name="IQ_EST_DISTRIBUTABLE_CASH_DIFF" hidden="1">"c4276"</definedName>
    <definedName name="IQ_EST_DISTRIBUTABLE_CASH_GROWTH_1YR" hidden="1">"c4413"</definedName>
    <definedName name="IQ_EST_DISTRIBUTABLE_CASH_GROWTH_2YR" hidden="1">"c4414"</definedName>
    <definedName name="IQ_EST_DISTRIBUTABLE_CASH_GROWTH_Q_1YR" hidden="1">"c4415"</definedName>
    <definedName name="IQ_EST_DISTRIBUTABLE_CASH_SEQ_GROWTH_Q" hidden="1">"c4416"</definedName>
    <definedName name="IQ_EST_DISTRIBUTABLE_CASH_SHARE_DIFF" hidden="1">"c4284"</definedName>
    <definedName name="IQ_EST_DISTRIBUTABLE_CASH_SHARE_GROWTH_1YR" hidden="1">"c4417"</definedName>
    <definedName name="IQ_EST_DISTRIBUTABLE_CASH_SHARE_GROWTH_2YR" hidden="1">"c4418"</definedName>
    <definedName name="IQ_EST_DISTRIBUTABLE_CASH_SHARE_GROWTH_Q_1YR" hidden="1">"c4419"</definedName>
    <definedName name="IQ_EST_DISTRIBUTABLE_CASH_SHARE_SEQ_GROWTH_Q" hidden="1">"c4420"</definedName>
    <definedName name="IQ_EST_DISTRIBUTABLE_CASH_SHARE_SURPRISE_PERCENT" hidden="1">"c4293"</definedName>
    <definedName name="IQ_EST_DISTRIBUTABLE_CASH_SURPRISE_PERCENT" hidden="1">"c4295"</definedName>
    <definedName name="IQ_EST_DPS_DIFF" hidden="1">"c1873"</definedName>
    <definedName name="IQ_EST_DPS_DIFF_REUT" hidden="1">"c3894"</definedName>
    <definedName name="IQ_EST_DPS_DIFF_THOM" hidden="1">"c5190"</definedName>
    <definedName name="IQ_EST_DPS_GROWTH_1YR" hidden="1">"c1778"</definedName>
    <definedName name="IQ_EST_DPS_GROWTH_1YR_REUT" hidden="1">"c3882"</definedName>
    <definedName name="IQ_EST_DPS_GROWTH_1YR_THOM" hidden="1">"c5178"</definedName>
    <definedName name="IQ_EST_DPS_GROWTH_2YR" hidden="1">"c1779"</definedName>
    <definedName name="IQ_EST_DPS_GROWTH_2YR_REUT" hidden="1">"c3883"</definedName>
    <definedName name="IQ_EST_DPS_GROWTH_2YR_THOM" hidden="1">"c5179"</definedName>
    <definedName name="IQ_EST_DPS_GROWTH_Q_1YR" hidden="1">"c1780"</definedName>
    <definedName name="IQ_EST_DPS_GROWTH_Q_1YR_REUT" hidden="1">"c3884"</definedName>
    <definedName name="IQ_EST_DPS_GROWTH_Q_1YR_THOM" hidden="1">"c5180"</definedName>
    <definedName name="IQ_EST_DPS_SEQ_GROWTH_Q" hidden="1">"c1781"</definedName>
    <definedName name="IQ_EST_DPS_SEQ_GROWTH_Q_REUT" hidden="1">"c3885"</definedName>
    <definedName name="IQ_EST_DPS_SEQ_GROWTH_Q_THOM" hidden="1">"c5181"</definedName>
    <definedName name="IQ_EST_DPS_SURPRISE_PERCENT" hidden="1">"c1874"</definedName>
    <definedName name="IQ_EST_DPS_SURPRISE_PERCENT_REUT" hidden="1">"c3895"</definedName>
    <definedName name="IQ_EST_DPS_SURPRISE_PERCENT_THOM" hidden="1">"c5191"</definedName>
    <definedName name="IQ_EST_EBIT_DIFF" hidden="1">"c1875"</definedName>
    <definedName name="IQ_EST_EBIT_DIFF_REUT" hidden="1">"c5413"</definedName>
    <definedName name="IQ_EST_EBIT_DIFF_THOM" hidden="1">"c5192"</definedName>
    <definedName name="IQ_EST_EBIT_GW_DIFF" hidden="1">"c4304"</definedName>
    <definedName name="IQ_EST_EBIT_GW_SURPRISE_PERCENT" hidden="1">"c4313"</definedName>
    <definedName name="IQ_EST_EBIT_SBC_DIFF" hidden="1">"c4314"</definedName>
    <definedName name="IQ_EST_EBIT_SBC_GW_DIFF" hidden="1">"c4318"</definedName>
    <definedName name="IQ_EST_EBIT_SBC_GW_SURPRISE_PERCENT" hidden="1">"c4327"</definedName>
    <definedName name="IQ_EST_EBIT_SBC_SURPRISE_PERCENT" hidden="1">"c4333"</definedName>
    <definedName name="IQ_EST_EBIT_SURPRISE_PERCENT" hidden="1">"c1876"</definedName>
    <definedName name="IQ_EST_EBIT_SURPRISE_PERCENT_REUT" hidden="1">"c5414"</definedName>
    <definedName name="IQ_EST_EBIT_SURPRISE_PERCENT_THOM" hidden="1">"c5193"</definedName>
    <definedName name="IQ_EST_EBITDA_DIFF" hidden="1">"c1867"</definedName>
    <definedName name="IQ_EST_EBITDA_DIFF_CIQ" hidden="1">"c3719"</definedName>
    <definedName name="IQ_EST_EBITDA_DIFF_REUT" hidden="1">"c3888"</definedName>
    <definedName name="IQ_EST_EBITDA_DIFF_THOM" hidden="1">"c5184"</definedName>
    <definedName name="IQ_EST_EBITDA_GROWTH_1YR" hidden="1">"c1766"</definedName>
    <definedName name="IQ_EST_EBITDA_GROWTH_1YR_CIQ" hidden="1">"c3695"</definedName>
    <definedName name="IQ_EST_EBITDA_GROWTH_1YR_REUT" hidden="1">"c3864"</definedName>
    <definedName name="IQ_EST_EBITDA_GROWTH_1YR_THOM" hidden="1">"c5161"</definedName>
    <definedName name="IQ_EST_EBITDA_GROWTH_2YR" hidden="1">"c1767"</definedName>
    <definedName name="IQ_EST_EBITDA_GROWTH_2YR_CIQ" hidden="1">"c3696"</definedName>
    <definedName name="IQ_EST_EBITDA_GROWTH_2YR_REUT" hidden="1">"c3865"</definedName>
    <definedName name="IQ_EST_EBITDA_GROWTH_2YR_THOM" hidden="1">"c5162"</definedName>
    <definedName name="IQ_EST_EBITDA_GROWTH_Q_1YR" hidden="1">"c1768"</definedName>
    <definedName name="IQ_EST_EBITDA_GROWTH_Q_1YR_CIQ" hidden="1">"c3697"</definedName>
    <definedName name="IQ_EST_EBITDA_GROWTH_Q_1YR_REUT" hidden="1">"c3866"</definedName>
    <definedName name="IQ_EST_EBITDA_GROWTH_Q_1YR_THOM" hidden="1">"c5163"</definedName>
    <definedName name="IQ_EST_EBITDA_SBC_DIFF" hidden="1">"c4335"</definedName>
    <definedName name="IQ_EST_EBITDA_SBC_SURPRISE_PERCENT" hidden="1">"c4344"</definedName>
    <definedName name="IQ_EST_EBITDA_SEQ_GROWTH_Q" hidden="1">"c1769"</definedName>
    <definedName name="IQ_EST_EBITDA_SEQ_GROWTH_Q_CIQ" hidden="1">"c3698"</definedName>
    <definedName name="IQ_EST_EBITDA_SEQ_GROWTH_Q_REUT" hidden="1">"c3867"</definedName>
    <definedName name="IQ_EST_EBITDA_SEQ_GROWTH_Q_THOM" hidden="1">"c5164"</definedName>
    <definedName name="IQ_EST_EBITDA_SURPRISE_PERCENT" hidden="1">"c1868"</definedName>
    <definedName name="IQ_EST_EBITDA_SURPRISE_PERCENT_CIQ" hidden="1">"c3720"</definedName>
    <definedName name="IQ_EST_EBITDA_SURPRISE_PERCENT_REUT" hidden="1">"c3889"</definedName>
    <definedName name="IQ_EST_EBITDA_SURPRISE_PERCENT_THOM" hidden="1">"c5185"</definedName>
    <definedName name="IQ_EST_EBT_SBC_DIFF" hidden="1">"c4348"</definedName>
    <definedName name="IQ_EST_EBT_SBC_GW_DIFF" hidden="1">"c4352"</definedName>
    <definedName name="IQ_EST_EBT_SBC_GW_SURPRISE_PERCENT" hidden="1">"c4361"</definedName>
    <definedName name="IQ_EST_EBT_SBC_SURPRISE_PERCENT" hidden="1">"c4367"</definedName>
    <definedName name="IQ_EST_EPS_DIFF" hidden="1">"c1864"</definedName>
    <definedName name="IQ_EST_EPS_DIFF_CIQ" hidden="1">"c4999"</definedName>
    <definedName name="IQ_EST_EPS_DIFF_REUT" hidden="1">"c5458"</definedName>
    <definedName name="IQ_EST_EPS_DIFF_THOM" hidden="1">"c5295"</definedName>
    <definedName name="IQ_EST_EPS_GROWTH_1YR" hidden="1">"c1636"</definedName>
    <definedName name="IQ_EST_EPS_GROWTH_1YR_CIQ" hidden="1">"c3628"</definedName>
    <definedName name="IQ_EST_EPS_GROWTH_1YR_REUT" hidden="1">"c3646"</definedName>
    <definedName name="IQ_EST_EPS_GROWTH_1YR_THOM" hidden="1">"c3664"</definedName>
    <definedName name="IQ_EST_EPS_GROWTH_2YR" hidden="1">"c1637"</definedName>
    <definedName name="IQ_EST_EPS_GROWTH_2YR_CIQ" hidden="1">"c3689"</definedName>
    <definedName name="IQ_EST_EPS_GROWTH_2YR_REUT" hidden="1">"c3858"</definedName>
    <definedName name="IQ_EST_EPS_GROWTH_2YR_THOM" hidden="1">"c5154"</definedName>
    <definedName name="IQ_EST_EPS_GROWTH_5YR" hidden="1">"c1655"</definedName>
    <definedName name="IQ_EST_EPS_GROWTH_5YR_BOTTOM_UP" hidden="1">"c5487"</definedName>
    <definedName name="IQ_EST_EPS_GROWTH_5YR_BOTTOM_UP_CIQ" hidden="1">"c12024"</definedName>
    <definedName name="IQ_EST_EPS_GROWTH_5YR_BOTTOM_UP_REUT" hidden="1">"c5495"</definedName>
    <definedName name="IQ_EST_EPS_GROWTH_5YR_CIQ" hidden="1">"c3615"</definedName>
    <definedName name="IQ_EST_EPS_GROWTH_5YR_HIGH" hidden="1">"c1657"</definedName>
    <definedName name="IQ_EST_EPS_GROWTH_5YR_HIGH_CIQ" hidden="1">"c4663"</definedName>
    <definedName name="IQ_EST_EPS_GROWTH_5YR_HIGH_REUT" hidden="1">"c5322"</definedName>
    <definedName name="IQ_EST_EPS_GROWTH_5YR_HIGH_THOM" hidden="1">"c5101"</definedName>
    <definedName name="IQ_EST_EPS_GROWTH_5YR_LOW" hidden="1">"c1658"</definedName>
    <definedName name="IQ_EST_EPS_GROWTH_5YR_LOW_CIQ" hidden="1">"c4664"</definedName>
    <definedName name="IQ_EST_EPS_GROWTH_5YR_LOW_REUT" hidden="1">"c5323"</definedName>
    <definedName name="IQ_EST_EPS_GROWTH_5YR_LOW_THOM" hidden="1">"c5102"</definedName>
    <definedName name="IQ_EST_EPS_GROWTH_5YR_MEDIAN" hidden="1">"c1656"</definedName>
    <definedName name="IQ_EST_EPS_GROWTH_5YR_MEDIAN_CIQ" hidden="1">"c5480"</definedName>
    <definedName name="IQ_EST_EPS_GROWTH_5YR_MEDIAN_REUT" hidden="1">"c5321"</definedName>
    <definedName name="IQ_EST_EPS_GROWTH_5YR_MEDIAN_THOM" hidden="1">"c5100"</definedName>
    <definedName name="IQ_EST_EPS_GROWTH_5YR_NUM" hidden="1">"c1659"</definedName>
    <definedName name="IQ_EST_EPS_GROWTH_5YR_NUM_CIQ" hidden="1">"c4665"</definedName>
    <definedName name="IQ_EST_EPS_GROWTH_5YR_NUM_REUT" hidden="1">"c5324"</definedName>
    <definedName name="IQ_EST_EPS_GROWTH_5YR_NUM_THOM" hidden="1">"c5103"</definedName>
    <definedName name="IQ_EST_EPS_GROWTH_5YR_REUT" hidden="1">"c3633"</definedName>
    <definedName name="IQ_EST_EPS_GROWTH_5YR_STDDEV" hidden="1">"c1660"</definedName>
    <definedName name="IQ_EST_EPS_GROWTH_5YR_STDDEV_CIQ" hidden="1">"c4666"</definedName>
    <definedName name="IQ_EST_EPS_GROWTH_5YR_STDDEV_REUT" hidden="1">"c5325"</definedName>
    <definedName name="IQ_EST_EPS_GROWTH_5YR_STDDEV_THOM" hidden="1">"c5104"</definedName>
    <definedName name="IQ_EST_EPS_GROWTH_5YR_THOM" hidden="1">"c3651"</definedName>
    <definedName name="IQ_EST_EPS_GROWTH_Q_1YR" hidden="1">"c1641"</definedName>
    <definedName name="IQ_EST_EPS_GROWTH_Q_1YR_CIQ" hidden="1">"c4744"</definedName>
    <definedName name="IQ_EST_EPS_GROWTH_Q_1YR_REUT" hidden="1">"c5410"</definedName>
    <definedName name="IQ_EST_EPS_GROWTH_Q_1YR_THOM" hidden="1">"c5155"</definedName>
    <definedName name="IQ_EST_EPS_GW_DIFF" hidden="1">"c1891"</definedName>
    <definedName name="IQ_EST_EPS_GW_DIFF_CIQ" hidden="1">"c4761"</definedName>
    <definedName name="IQ_EST_EPS_GW_DIFF_REUT" hidden="1">"c5429"</definedName>
    <definedName name="IQ_EST_EPS_GW_DIFF_THOM" hidden="1">"c5200"</definedName>
    <definedName name="IQ_EST_EPS_GW_SURPRISE_PERCENT" hidden="1">"c1892"</definedName>
    <definedName name="IQ_EST_EPS_GW_SURPRISE_PERCENT_CIQ" hidden="1">"c4762"</definedName>
    <definedName name="IQ_EST_EPS_GW_SURPRISE_PERCENT_REUT" hidden="1">"c5430"</definedName>
    <definedName name="IQ_EST_EPS_GW_SURPRISE_PERCENT_THOM" hidden="1">"c5201"</definedName>
    <definedName name="IQ_EST_EPS_NORM_DIFF" hidden="1">"c2247"</definedName>
    <definedName name="IQ_EST_EPS_NORM_DIFF_CIQ" hidden="1">"c4745"</definedName>
    <definedName name="IQ_EST_EPS_NORM_DIFF_REUT" hidden="1">"c5411"</definedName>
    <definedName name="IQ_EST_EPS_NORM_SURPRISE_PERCENT" hidden="1">"c2248"</definedName>
    <definedName name="IQ_EST_EPS_NORM_SURPRISE_PERCENT_CIQ" hidden="1">"c4746"</definedName>
    <definedName name="IQ_EST_EPS_NORM_SURPRISE_PERCENT_REUT" hidden="1">"c5412"</definedName>
    <definedName name="IQ_EST_EPS_REPORT_DIFF" hidden="1">"c1893"</definedName>
    <definedName name="IQ_EST_EPS_REPORT_DIFF_CIQ" hidden="1">"c4763"</definedName>
    <definedName name="IQ_EST_EPS_REPORT_DIFF_REUT" hidden="1">"c5431"</definedName>
    <definedName name="IQ_EST_EPS_REPORT_DIFF_THOM" hidden="1">"c5202"</definedName>
    <definedName name="IQ_EST_EPS_REPORT_SURPRISE_PERCENT" hidden="1">"c1894"</definedName>
    <definedName name="IQ_EST_EPS_REPORT_SURPRISE_PERCENT_CIQ" hidden="1">"c4764"</definedName>
    <definedName name="IQ_EST_EPS_REPORT_SURPRISE_PERCENT_REUT" hidden="1">"c5432"</definedName>
    <definedName name="IQ_EST_EPS_REPORT_SURPRISE_PERCENT_THOM" hidden="1">"c5203"</definedName>
    <definedName name="IQ_EST_EPS_SBC_DIFF" hidden="1">"c4374"</definedName>
    <definedName name="IQ_EST_EPS_SBC_GW_DIFF" hidden="1">"c4378"</definedName>
    <definedName name="IQ_EST_EPS_SBC_GW_SURPRISE_PERCENT" hidden="1">"c4387"</definedName>
    <definedName name="IQ_EST_EPS_SBC_SURPRISE_PERCENT" hidden="1">"c4393"</definedName>
    <definedName name="IQ_EST_EPS_SEQ_GROWTH_Q" hidden="1">"c1764"</definedName>
    <definedName name="IQ_EST_EPS_SEQ_GROWTH_Q_CIQ" hidden="1">"c3690"</definedName>
    <definedName name="IQ_EST_EPS_SEQ_GROWTH_Q_REUT" hidden="1">"c3859"</definedName>
    <definedName name="IQ_EST_EPS_SEQ_GROWTH_Q_THOM" hidden="1">"c5156"</definedName>
    <definedName name="IQ_EST_EPS_SURPRISE_PERCENT" hidden="1">"c1635"</definedName>
    <definedName name="IQ_EST_EPS_SURPRISE_PERCENT_CIQ" hidden="1">"c5000"</definedName>
    <definedName name="IQ_EST_EPS_SURPRISE_PERCENT_REUT" hidden="1">"c5459"</definedName>
    <definedName name="IQ_EST_EPS_SURPRISE_PERCENT_THOM" hidden="1">"c5296"</definedName>
    <definedName name="IQ_EST_FAIR_VALUE_MORT_SERVICING_ASSETS_FFIEC" hidden="1">"c12956"</definedName>
    <definedName name="IQ_EST_FFO_ADJ_DIFF" hidden="1">"c4433"</definedName>
    <definedName name="IQ_EST_FFO_ADJ_GROWTH_1YR" hidden="1">"c4421"</definedName>
    <definedName name="IQ_EST_FFO_ADJ_GROWTH_2YR" hidden="1">"c4422"</definedName>
    <definedName name="IQ_EST_FFO_ADJ_GROWTH_Q_1YR" hidden="1">"c4423"</definedName>
    <definedName name="IQ_EST_FFO_ADJ_SEQ_GROWTH_Q" hidden="1">"c4424"</definedName>
    <definedName name="IQ_EST_FFO_ADJ_SURPRISE_PERCENT" hidden="1">"c4442"</definedName>
    <definedName name="IQ_EST_FFO_DIFF" hidden="1">"c4444"</definedName>
    <definedName name="IQ_EST_FFO_DIFF_REUT" hidden="1">"c3890"</definedName>
    <definedName name="IQ_EST_FFO_GROWTH_1YR" hidden="1">"c4425"</definedName>
    <definedName name="IQ_EST_FFO_GROWTH_1YR_REUT" hidden="1">"c3874"</definedName>
    <definedName name="IQ_EST_FFO_GROWTH_1YR_THOM" hidden="1">"c5170"</definedName>
    <definedName name="IQ_EST_FFO_GROWTH_2YR" hidden="1">"c4426"</definedName>
    <definedName name="IQ_EST_FFO_GROWTH_2YR_REUT" hidden="1">"c3875"</definedName>
    <definedName name="IQ_EST_FFO_GROWTH_2YR_THOM" hidden="1">"c5171"</definedName>
    <definedName name="IQ_EST_FFO_GROWTH_Q_1YR" hidden="1">"c4427"</definedName>
    <definedName name="IQ_EST_FFO_GROWTH_Q_1YR_REUT" hidden="1">"c3876"</definedName>
    <definedName name="IQ_EST_FFO_GROWTH_Q_1YR_THOM" hidden="1">"c5172"</definedName>
    <definedName name="IQ_EST_FFO_SEQ_GROWTH_Q" hidden="1">"c4428"</definedName>
    <definedName name="IQ_EST_FFO_SEQ_GROWTH_Q_REUT" hidden="1">"c3877"</definedName>
    <definedName name="IQ_EST_FFO_SEQ_GROWTH_Q_THOM" hidden="1">"c5173"</definedName>
    <definedName name="IQ_EST_FFO_SHARE_DIFF" hidden="1">"c1869"</definedName>
    <definedName name="IQ_EST_FFO_SHARE_DIFF_THOM" hidden="1">"c5186"</definedName>
    <definedName name="IQ_EST_FFO_SHARE_GROWTH_1YR" hidden="1">"c1770"</definedName>
    <definedName name="IQ_EST_FFO_SHARE_GROWTH_2YR" hidden="1">"c1771"</definedName>
    <definedName name="IQ_EST_FFO_SHARE_GROWTH_Q_1YR" hidden="1">"c1772"</definedName>
    <definedName name="IQ_EST_FFO_SHARE_SEQ_GROWTH_Q" hidden="1">"c1773"</definedName>
    <definedName name="IQ_EST_FFO_SHARE_SURPRISE_PERCENT" hidden="1">"c1870"</definedName>
    <definedName name="IQ_EST_FFO_SHARE_SURPRISE_PERCENT_THOM" hidden="1">"c5187"</definedName>
    <definedName name="IQ_EST_FFO_SURPRISE_PERCENT" hidden="1">"c4453"</definedName>
    <definedName name="IQ_EST_FFO_SURPRISE_PERCENT_REUT" hidden="1">"c3891"</definedName>
    <definedName name="IQ_EST_FOOTNOTE" hidden="1">"c4540"</definedName>
    <definedName name="IQ_EST_FOOTNOTE_CIQ" hidden="1">"c12022"</definedName>
    <definedName name="IQ_EST_FOOTNOTE_REUT" hidden="1">"c5478"</definedName>
    <definedName name="IQ_EST_FOOTNOTE_THOM" hidden="1">"c5313"</definedName>
    <definedName name="IQ_EST_MAINT_CAPEX_DIFF" hidden="1">"c4456"</definedName>
    <definedName name="IQ_EST_MAINT_CAPEX_GROWTH_1YR" hidden="1">"c4429"</definedName>
    <definedName name="IQ_EST_MAINT_CAPEX_GROWTH_2YR" hidden="1">"c4430"</definedName>
    <definedName name="IQ_EST_MAINT_CAPEX_GROWTH_Q_1YR" hidden="1">"c4431"</definedName>
    <definedName name="IQ_EST_MAINT_CAPEX_SEQ_GROWTH_Q" hidden="1">"c4432"</definedName>
    <definedName name="IQ_EST_MAINT_CAPEX_SURPRISE_PERCENT" hidden="1">"c4465"</definedName>
    <definedName name="IQ_EST_NAV_DIFF" hidden="1">"c1895"</definedName>
    <definedName name="IQ_EST_NAV_SHARE_SURPRISE_PERCENT" hidden="1">"c1896"</definedName>
    <definedName name="IQ_EST_NAV_SURPRISE_PERCENT" hidden="1">"c12040"</definedName>
    <definedName name="IQ_EST_NET_DEBT_DIFF" hidden="1">"c4466"</definedName>
    <definedName name="IQ_EST_NET_DEBT_SURPRISE_PERCENT" hidden="1">"c4468"</definedName>
    <definedName name="IQ_EST_NEXT_EARNINGS_DATE" hidden="1">"c13591"</definedName>
    <definedName name="IQ_EST_NI_DIFF" hidden="1">"c1885"</definedName>
    <definedName name="IQ_EST_NI_DIFF_REUT" hidden="1">"c5423"</definedName>
    <definedName name="IQ_EST_NI_DIFF_THOM" hidden="1">"c5198"</definedName>
    <definedName name="IQ_EST_NI_GW_DIFF" hidden="1">"c1887"</definedName>
    <definedName name="IQ_EST_NI_GW_DIFF_REUT" hidden="1">"c5425"</definedName>
    <definedName name="IQ_EST_NI_GW_SURPRISE_PERCENT" hidden="1">"c1888"</definedName>
    <definedName name="IQ_EST_NI_GW_SURPRISE_PERCENT_REUT" hidden="1">"c5426"</definedName>
    <definedName name="IQ_EST_NI_REPORT_DIFF" hidden="1">"c1889"</definedName>
    <definedName name="IQ_EST_NI_REPORT_DIFF_REUT" hidden="1">"c5427"</definedName>
    <definedName name="IQ_EST_NI_REPORT_SURPRISE_PERCENT" hidden="1">"c1890"</definedName>
    <definedName name="IQ_EST_NI_REPORT_SURPRISE_PERCENT_REUT" hidden="1">"c5428"</definedName>
    <definedName name="IQ_EST_NI_SBC_DIFF" hidden="1">"c4472"</definedName>
    <definedName name="IQ_EST_NI_SBC_GW_DIFF" hidden="1">"c4476"</definedName>
    <definedName name="IQ_EST_NI_SBC_GW_SURPRISE_PERCENT" hidden="1">"c4485"</definedName>
    <definedName name="IQ_EST_NI_SBC_SURPRISE_PERCENT" hidden="1">"c4491"</definedName>
    <definedName name="IQ_EST_NI_SURPRISE_PERCENT" hidden="1">"c1886"</definedName>
    <definedName name="IQ_EST_NI_SURPRISE_PERCENT_REUT" hidden="1">"c5424"</definedName>
    <definedName name="IQ_EST_NI_SURPRISE_PERCENT_THOM" hidden="1">"c5199"</definedName>
    <definedName name="IQ_EST_NUM_BUY" hidden="1">"c1759"</definedName>
    <definedName name="IQ_EST_NUM_HIGH_REC" hidden="1">"c5649"</definedName>
    <definedName name="IQ_EST_NUM_HIGH_REC_CIQ" hidden="1">"c3701"</definedName>
    <definedName name="IQ_EST_NUM_HIGH_REC_REUT" hidden="1">"c3870"</definedName>
    <definedName name="IQ_EST_NUM_HIGH_REC_THOM" hidden="1">"c5166"</definedName>
    <definedName name="IQ_EST_NUM_HIGHEST_REC" hidden="1">"c5648"</definedName>
    <definedName name="IQ_EST_NUM_HIGHEST_REC_CIQ" hidden="1">"c3700"</definedName>
    <definedName name="IQ_EST_NUM_HIGHEST_REC_REUT" hidden="1">"c3869"</definedName>
    <definedName name="IQ_EST_NUM_HIGHEST_REC_THOM" hidden="1">"c5165"</definedName>
    <definedName name="IQ_EST_NUM_HOLD" hidden="1">"c1761"</definedName>
    <definedName name="IQ_EST_NUM_LOW_REC" hidden="1">"c5651"</definedName>
    <definedName name="IQ_EST_NUM_LOW_REC_CIQ" hidden="1">"c3703"</definedName>
    <definedName name="IQ_EST_NUM_LOW_REC_REUT" hidden="1">"c3872"</definedName>
    <definedName name="IQ_EST_NUM_LOW_REC_THOM" hidden="1">"c5168"</definedName>
    <definedName name="IQ_EST_NUM_LOWEST_REC" hidden="1">"c5652"</definedName>
    <definedName name="IQ_EST_NUM_LOWEST_REC_CIQ" hidden="1">"c3704"</definedName>
    <definedName name="IQ_EST_NUM_LOWEST_REC_REUT" hidden="1">"c3873"</definedName>
    <definedName name="IQ_EST_NUM_LOWEST_REC_THOM" hidden="1">"c5169"</definedName>
    <definedName name="IQ_EST_NUM_NEUTRAL_REC" hidden="1">"c5650"</definedName>
    <definedName name="IQ_EST_NUM_NEUTRAL_REC_CIQ" hidden="1">"c3702"</definedName>
    <definedName name="IQ_EST_NUM_NEUTRAL_REC_REUT" hidden="1">"c3871"</definedName>
    <definedName name="IQ_EST_NUM_NEUTRAL_REC_THOM" hidden="1">"c5167"</definedName>
    <definedName name="IQ_EST_NUM_NO_OPINION" hidden="1">"c1758"</definedName>
    <definedName name="IQ_EST_NUM_NO_OPINION_CIQ" hidden="1">"c3699"</definedName>
    <definedName name="IQ_EST_NUM_NO_OPINION_REUT" hidden="1">"c3868"</definedName>
    <definedName name="IQ_EST_NUM_OUTPERFORM" hidden="1">"c1760"</definedName>
    <definedName name="IQ_EST_NUM_SELL" hidden="1">"c1763"</definedName>
    <definedName name="IQ_EST_NUM_UNDERPERFORM" hidden="1">"c1762"</definedName>
    <definedName name="IQ_EST_OPER_INC_DIFF" hidden="1">"c1877"</definedName>
    <definedName name="IQ_EST_OPER_INC_DIFF_REUT" hidden="1">"c5415"</definedName>
    <definedName name="IQ_EST_OPER_INC_DIFF_THOM" hidden="1">"c5194"</definedName>
    <definedName name="IQ_EST_OPER_INC_SURPRISE_PERCENT" hidden="1">"c1878"</definedName>
    <definedName name="IQ_EST_OPER_INC_SURPRISE_PERCENT_REUT" hidden="1">"c5416"</definedName>
    <definedName name="IQ_EST_OPER_INC_SURPRISE_PERCENT_THOM" hidden="1">"c5195"</definedName>
    <definedName name="IQ_EST_PRE_TAX_DIFF" hidden="1">"c1879"</definedName>
    <definedName name="IQ_EST_PRE_TAX_DIFF_REUT" hidden="1">"c5417"</definedName>
    <definedName name="IQ_EST_PRE_TAX_DIFF_THOM" hidden="1">"c5196"</definedName>
    <definedName name="IQ_EST_PRE_TAX_GW_DIFF" hidden="1">"c1881"</definedName>
    <definedName name="IQ_EST_PRE_TAX_GW_DIFF_REUT" hidden="1">"c5419"</definedName>
    <definedName name="IQ_EST_PRE_TAX_GW_SURPRISE_PERCENT" hidden="1">"c1882"</definedName>
    <definedName name="IQ_EST_PRE_TAX_GW_SURPRISE_PERCENT_REUT" hidden="1">"c5420"</definedName>
    <definedName name="IQ_EST_PRE_TAX_REPORT_DIFF" hidden="1">"c1883"</definedName>
    <definedName name="IQ_EST_PRE_TAX_REPORT_DIFF_REUT" hidden="1">"c5421"</definedName>
    <definedName name="IQ_EST_PRE_TAX_REPORT_SURPRISE_PERCENT" hidden="1">"c1884"</definedName>
    <definedName name="IQ_EST_PRE_TAX_REPORT_SURPRISE_PERCENT_REUT" hidden="1">"c5422"</definedName>
    <definedName name="IQ_EST_PRE_TAX_SURPRISE_PERCENT" hidden="1">"c1880"</definedName>
    <definedName name="IQ_EST_PRE_TAX_SURPRISE_PERCENT_REUT" hidden="1">"c5418"</definedName>
    <definedName name="IQ_EST_PRE_TAX_SURPRISE_PERCENT_THOM" hidden="1">"c5197"</definedName>
    <definedName name="IQ_EST_RECURRING_PROFIT_SHARE_DIFF" hidden="1">"c4505"</definedName>
    <definedName name="IQ_EST_RECURRING_PROFIT_SHARE_SURPRISE_PERCENT" hidden="1">"c4515"</definedName>
    <definedName name="IQ_EST_REV_DIFF" hidden="1">"c1865"</definedName>
    <definedName name="IQ_EST_REV_DIFF_CIQ" hidden="1">"c3717"</definedName>
    <definedName name="IQ_EST_REV_DIFF_REUT" hidden="1">"c3886"</definedName>
    <definedName name="IQ_EST_REV_DIFF_THOM" hidden="1">"c5182"</definedName>
    <definedName name="IQ_EST_REV_GROWTH_1YR" hidden="1">"c1638"</definedName>
    <definedName name="IQ_EST_REV_GROWTH_1YR_CIQ" hidden="1">"c3691"</definedName>
    <definedName name="IQ_EST_REV_GROWTH_1YR_REUT" hidden="1">"c3860"</definedName>
    <definedName name="IQ_EST_REV_GROWTH_1YR_THOM" hidden="1">"c5157"</definedName>
    <definedName name="IQ_EST_REV_GROWTH_2YR" hidden="1">"c1639"</definedName>
    <definedName name="IQ_EST_REV_GROWTH_2YR_CIQ" hidden="1">"c3692"</definedName>
    <definedName name="IQ_EST_REV_GROWTH_2YR_REUT" hidden="1">"c3861"</definedName>
    <definedName name="IQ_EST_REV_GROWTH_2YR_THOM" hidden="1">"c5158"</definedName>
    <definedName name="IQ_EST_REV_GROWTH_Q_1YR" hidden="1">"c1640"</definedName>
    <definedName name="IQ_EST_REV_GROWTH_Q_1YR_CIQ" hidden="1">"c3693"</definedName>
    <definedName name="IQ_EST_REV_GROWTH_Q_1YR_REUT" hidden="1">"c3862"</definedName>
    <definedName name="IQ_EST_REV_GROWTH_Q_1YR_THOM" hidden="1">"c5159"</definedName>
    <definedName name="IQ_EST_REV_SEQ_GROWTH_Q" hidden="1">"c1765"</definedName>
    <definedName name="IQ_EST_REV_SEQ_GROWTH_Q_CIQ" hidden="1">"c3694"</definedName>
    <definedName name="IQ_EST_REV_SEQ_GROWTH_Q_REUT" hidden="1">"c3863"</definedName>
    <definedName name="IQ_EST_REV_SEQ_GROWTH_Q_THOM" hidden="1">"c5160"</definedName>
    <definedName name="IQ_EST_REV_SURPRISE_PERCENT" hidden="1">"c1866"</definedName>
    <definedName name="IQ_EST_REV_SURPRISE_PERCENT_CIQ" hidden="1">"c3718"</definedName>
    <definedName name="IQ_EST_REV_SURPRISE_PERCENT_REUT" hidden="1">"c3887"</definedName>
    <definedName name="IQ_EST_REV_SURPRISE_PERCENT_THOM" hidden="1">"c5183"</definedName>
    <definedName name="IQ_EST_VENDOR" hidden="1">"c5564"</definedName>
    <definedName name="IQ_EV_OVER_EMPLOYEE" hidden="1">"c1428"</definedName>
    <definedName name="IQ_EV_OVER_LTM_EBIT" hidden="1">"c1426"</definedName>
    <definedName name="IQ_EV_OVER_LTM_EBITDA" hidden="1">"c1427"</definedName>
    <definedName name="IQ_EV_OVER_LTM_REVENUE" hidden="1">"c1429"</definedName>
    <definedName name="IQ_EVAL_DATE" hidden="1">"c2180"</definedName>
    <definedName name="IQ_EVENT_DATE" hidden="1">"c13819"</definedName>
    <definedName name="IQ_EVENT_ID" hidden="1">"c13818"</definedName>
    <definedName name="IQ_EVENT_TIME" hidden="1">"c13820"</definedName>
    <definedName name="IQ_EVENT_TYPE" hidden="1">"c13821"</definedName>
    <definedName name="IQ_EXCHANGE" hidden="1">"c405"</definedName>
    <definedName name="IQ_EXCISE_TAXES_EXCL_SALES" hidden="1">"c5515"</definedName>
    <definedName name="IQ_EXCISE_TAXES_INCL_SALES" hidden="1">"c5514"</definedName>
    <definedName name="IQ_EXERCISE_PRICE" hidden="1">"c1897"</definedName>
    <definedName name="IQ_EXERCISED" hidden="1">"c406"</definedName>
    <definedName name="IQ_EXP_REIMBURSE_RENTAL_REVENUE" hidden="1">"c16064"</definedName>
    <definedName name="IQ_EXP_RETURN_PENSION_DOMESTIC" hidden="1">"c407"</definedName>
    <definedName name="IQ_EXP_RETURN_PENSION_FOREIGN" hidden="1">"c408"</definedName>
    <definedName name="IQ_EXPENSE_REIMBURSEMENTS" hidden="1">"c16020"</definedName>
    <definedName name="IQ_EXPENSES_AP" hidden="1">"c8875"</definedName>
    <definedName name="IQ_EXPENSES_AP_ABS" hidden="1">"c8894"</definedName>
    <definedName name="IQ_EXPENSES_FIXED_ASSETS_FFIEC" hidden="1">"c13024"</definedName>
    <definedName name="IQ_EXPENSES_NAME_AP" hidden="1">"c8913"</definedName>
    <definedName name="IQ_EXPENSES_NAME_AP_ABS" hidden="1">"c8932"</definedName>
    <definedName name="IQ_EXPLORATION_EXPENDITURE_ALUM" hidden="1">"c9255"</definedName>
    <definedName name="IQ_EXPLORATION_EXPENDITURE_COAL" hidden="1">"c9827"</definedName>
    <definedName name="IQ_EXPLORATION_EXPENDITURE_COP" hidden="1">"c9202"</definedName>
    <definedName name="IQ_EXPLORATION_EXPENDITURE_DIAM" hidden="1">"c9679"</definedName>
    <definedName name="IQ_EXPLORATION_EXPENDITURE_GOLD" hidden="1">"c9040"</definedName>
    <definedName name="IQ_EXPLORATION_EXPENDITURE_IRON" hidden="1">"c9414"</definedName>
    <definedName name="IQ_EXPLORATION_EXPENDITURE_LEAD" hidden="1">"c9467"</definedName>
    <definedName name="IQ_EXPLORATION_EXPENDITURE_MANG" hidden="1">"c9520"</definedName>
    <definedName name="IQ_EXPLORATION_EXPENDITURE_MOLYB" hidden="1">"c9732"</definedName>
    <definedName name="IQ_EXPLORATION_EXPENDITURE_NICK" hidden="1">"c9308"</definedName>
    <definedName name="IQ_EXPLORATION_EXPENDITURE_PLAT" hidden="1">"c9146"</definedName>
    <definedName name="IQ_EXPLORATION_EXPENDITURE_SILVER" hidden="1">"c9093"</definedName>
    <definedName name="IQ_EXPLORATION_EXPENDITURE_TITAN" hidden="1">"c9573"</definedName>
    <definedName name="IQ_EXPLORATION_EXPENDITURE_URAN" hidden="1">"c9626"</definedName>
    <definedName name="IQ_EXPLORATION_EXPENDITURE_ZINC" hidden="1">"c9361"</definedName>
    <definedName name="IQ_EXPLORE_DRILL" hidden="1">"c409"</definedName>
    <definedName name="IQ_EXPLORE_DRILL_EXP_TOTAL" hidden="1">"c13850"</definedName>
    <definedName name="IQ_EXPORT_PRICE_INDEX" hidden="1">"c6860"</definedName>
    <definedName name="IQ_EXPORT_PRICE_INDEX_APR" hidden="1">"c7520"</definedName>
    <definedName name="IQ_EXPORT_PRICE_INDEX_APR_FC" hidden="1">"c8400"</definedName>
    <definedName name="IQ_EXPORT_PRICE_INDEX_FC" hidden="1">"c7740"</definedName>
    <definedName name="IQ_EXPORT_PRICE_INDEX_POP" hidden="1">"c7080"</definedName>
    <definedName name="IQ_EXPORT_PRICE_INDEX_POP_FC" hidden="1">"c7960"</definedName>
    <definedName name="IQ_EXPORT_PRICE_INDEX_YOY" hidden="1">"c7300"</definedName>
    <definedName name="IQ_EXPORT_PRICE_INDEX_YOY_FC" hidden="1">"c8180"</definedName>
    <definedName name="IQ_EXPORTS_APR_FC_UNUSED" hidden="1">"c8401"</definedName>
    <definedName name="IQ_EXPORTS_APR_UNUSED" hidden="1">"c7521"</definedName>
    <definedName name="IQ_EXPORTS_FACTOR_SERVICES" hidden="1">"c6862"</definedName>
    <definedName name="IQ_EXPORTS_FACTOR_SERVICES_APR" hidden="1">"c7522"</definedName>
    <definedName name="IQ_EXPORTS_FACTOR_SERVICES_APR_FC" hidden="1">"c8402"</definedName>
    <definedName name="IQ_EXPORTS_FACTOR_SERVICES_FC" hidden="1">"c7742"</definedName>
    <definedName name="IQ_EXPORTS_FACTOR_SERVICES_POP" hidden="1">"c7082"</definedName>
    <definedName name="IQ_EXPORTS_FACTOR_SERVICES_POP_FC" hidden="1">"c7962"</definedName>
    <definedName name="IQ_EXPORTS_FACTOR_SERVICES_SAAR" hidden="1">"c6863"</definedName>
    <definedName name="IQ_EXPORTS_FACTOR_SERVICES_SAAR_APR" hidden="1">"c7523"</definedName>
    <definedName name="IQ_EXPORTS_FACTOR_SERVICES_SAAR_APR_FC" hidden="1">"c8403"</definedName>
    <definedName name="IQ_EXPORTS_FACTOR_SERVICES_SAAR_FC" hidden="1">"c7743"</definedName>
    <definedName name="IQ_EXPORTS_FACTOR_SERVICES_SAAR_POP" hidden="1">"c7083"</definedName>
    <definedName name="IQ_EXPORTS_FACTOR_SERVICES_SAAR_POP_FC" hidden="1">"c7963"</definedName>
    <definedName name="IQ_EXPORTS_FACTOR_SERVICES_SAAR_USD_APR_FC" hidden="1">"c11817"</definedName>
    <definedName name="IQ_EXPORTS_FACTOR_SERVICES_SAAR_USD_FC" hidden="1">"c11814"</definedName>
    <definedName name="IQ_EXPORTS_FACTOR_SERVICES_SAAR_USD_POP_FC" hidden="1">"c11815"</definedName>
    <definedName name="IQ_EXPORTS_FACTOR_SERVICES_SAAR_USD_YOY_FC" hidden="1">"c11816"</definedName>
    <definedName name="IQ_EXPORTS_FACTOR_SERVICES_SAAR_YOY" hidden="1">"c7303"</definedName>
    <definedName name="IQ_EXPORTS_FACTOR_SERVICES_SAAR_YOY_FC" hidden="1">"c8183"</definedName>
    <definedName name="IQ_EXPORTS_FACTOR_SERVICES_USD_APR_FC" hidden="1">"c11813"</definedName>
    <definedName name="IQ_EXPORTS_FACTOR_SERVICES_USD_FC" hidden="1">"c11810"</definedName>
    <definedName name="IQ_EXPORTS_FACTOR_SERVICES_USD_POP_FC" hidden="1">"c11811"</definedName>
    <definedName name="IQ_EXPORTS_FACTOR_SERVICES_USD_YOY_FC" hidden="1">"c11812"</definedName>
    <definedName name="IQ_EXPORTS_FACTOR_SERVICES_YOY" hidden="1">"c7302"</definedName>
    <definedName name="IQ_EXPORTS_FACTOR_SERVICES_YOY_FC" hidden="1">"c8182"</definedName>
    <definedName name="IQ_EXPORTS_FC_UNUSED" hidden="1">"c7741"</definedName>
    <definedName name="IQ_EXPORTS_GOODS" hidden="1">"c6864"</definedName>
    <definedName name="IQ_EXPORTS_GOODS_APR" hidden="1">"c7524"</definedName>
    <definedName name="IQ_EXPORTS_GOODS_APR_FC" hidden="1">"c8404"</definedName>
    <definedName name="IQ_EXPORTS_GOODS_FC" hidden="1">"c7744"</definedName>
    <definedName name="IQ_EXPORTS_GOODS_NONFACTOR_SERVICES" hidden="1">"c6865"</definedName>
    <definedName name="IQ_EXPORTS_GOODS_NONFACTOR_SERVICES_APR" hidden="1">"c7525"</definedName>
    <definedName name="IQ_EXPORTS_GOODS_NONFACTOR_SERVICES_APR_FC" hidden="1">"c8405"</definedName>
    <definedName name="IQ_EXPORTS_GOODS_NONFACTOR_SERVICES_FC" hidden="1">"c7745"</definedName>
    <definedName name="IQ_EXPORTS_GOODS_NONFACTOR_SERVICES_POP" hidden="1">"c7085"</definedName>
    <definedName name="IQ_EXPORTS_GOODS_NONFACTOR_SERVICES_POP_FC" hidden="1">"c7965"</definedName>
    <definedName name="IQ_EXPORTS_GOODS_NONFACTOR_SERVICES_YOY" hidden="1">"c7305"</definedName>
    <definedName name="IQ_EXPORTS_GOODS_NONFACTOR_SERVICES_YOY_FC" hidden="1">"c8185"</definedName>
    <definedName name="IQ_EXPORTS_GOODS_POP" hidden="1">"c7084"</definedName>
    <definedName name="IQ_EXPORTS_GOODS_POP_FC" hidden="1">"c7964"</definedName>
    <definedName name="IQ_EXPORTS_GOODS_REAL" hidden="1">"c6973"</definedName>
    <definedName name="IQ_EXPORTS_GOODS_REAL_APR" hidden="1">"c7633"</definedName>
    <definedName name="IQ_EXPORTS_GOODS_REAL_APR_FC" hidden="1">"c8513"</definedName>
    <definedName name="IQ_EXPORTS_GOODS_REAL_FC" hidden="1">"c7853"</definedName>
    <definedName name="IQ_EXPORTS_GOODS_REAL_POP" hidden="1">"c7193"</definedName>
    <definedName name="IQ_EXPORTS_GOODS_REAL_POP_FC" hidden="1">"c8073"</definedName>
    <definedName name="IQ_EXPORTS_GOODS_REAL_SAAR" hidden="1">"c11930"</definedName>
    <definedName name="IQ_EXPORTS_GOODS_REAL_SAAR_APR" hidden="1">"c11933"</definedName>
    <definedName name="IQ_EXPORTS_GOODS_REAL_SAAR_APR_FC_UNUSED" hidden="1">"c8512"</definedName>
    <definedName name="IQ_EXPORTS_GOODS_REAL_SAAR_APR_UNUSED" hidden="1">"c7632"</definedName>
    <definedName name="IQ_EXPORTS_GOODS_REAL_SAAR_FC_UNUSED" hidden="1">"c7852"</definedName>
    <definedName name="IQ_EXPORTS_GOODS_REAL_SAAR_POP" hidden="1">"c11931"</definedName>
    <definedName name="IQ_EXPORTS_GOODS_REAL_SAAR_POP_FC_UNUSED" hidden="1">"c8072"</definedName>
    <definedName name="IQ_EXPORTS_GOODS_REAL_SAAR_POP_UNUSED" hidden="1">"c7192"</definedName>
    <definedName name="IQ_EXPORTS_GOODS_REAL_SAAR_UNUSED" hidden="1">"c6972"</definedName>
    <definedName name="IQ_EXPORTS_GOODS_REAL_SAAR_YOY" hidden="1">"c11932"</definedName>
    <definedName name="IQ_EXPORTS_GOODS_REAL_SAAR_YOY_FC_UNUSED" hidden="1">"c8292"</definedName>
    <definedName name="IQ_EXPORTS_GOODS_REAL_SAAR_YOY_UNUSED" hidden="1">"c7412"</definedName>
    <definedName name="IQ_EXPORTS_GOODS_REAL_YOY" hidden="1">"c7413"</definedName>
    <definedName name="IQ_EXPORTS_GOODS_REAL_YOY_FC" hidden="1">"c8293"</definedName>
    <definedName name="IQ_EXPORTS_GOODS_SERVICES" hidden="1">"c6866"</definedName>
    <definedName name="IQ_EXPORTS_GOODS_SERVICES_APR" hidden="1">"c7526"</definedName>
    <definedName name="IQ_EXPORTS_GOODS_SERVICES_APR_FC" hidden="1">"c8406"</definedName>
    <definedName name="IQ_EXPORTS_GOODS_SERVICES_FC" hidden="1">"c7746"</definedName>
    <definedName name="IQ_EXPORTS_GOODS_SERVICES_POP" hidden="1">"c7086"</definedName>
    <definedName name="IQ_EXPORTS_GOODS_SERVICES_POP_FC" hidden="1">"c7966"</definedName>
    <definedName name="IQ_EXPORTS_GOODS_SERVICES_REAL" hidden="1">"c6974"</definedName>
    <definedName name="IQ_EXPORTS_GOODS_SERVICES_REAL_APR" hidden="1">"c7634"</definedName>
    <definedName name="IQ_EXPORTS_GOODS_SERVICES_REAL_APR_FC" hidden="1">"c8514"</definedName>
    <definedName name="IQ_EXPORTS_GOODS_SERVICES_REAL_FC" hidden="1">"c7854"</definedName>
    <definedName name="IQ_EXPORTS_GOODS_SERVICES_REAL_POP" hidden="1">"c7194"</definedName>
    <definedName name="IQ_EXPORTS_GOODS_SERVICES_REAL_POP_FC" hidden="1">"c8074"</definedName>
    <definedName name="IQ_EXPORTS_GOODS_SERVICES_REAL_SAAR" hidden="1">"c6975"</definedName>
    <definedName name="IQ_EXPORTS_GOODS_SERVICES_REAL_SAAR_APR" hidden="1">"c7635"</definedName>
    <definedName name="IQ_EXPORTS_GOODS_SERVICES_REAL_SAAR_APR_FC" hidden="1">"c8515"</definedName>
    <definedName name="IQ_EXPORTS_GOODS_SERVICES_REAL_SAAR_FC" hidden="1">"c7855"</definedName>
    <definedName name="IQ_EXPORTS_GOODS_SERVICES_REAL_SAAR_POP" hidden="1">"c7195"</definedName>
    <definedName name="IQ_EXPORTS_GOODS_SERVICES_REAL_SAAR_POP_FC" hidden="1">"c8075"</definedName>
    <definedName name="IQ_EXPORTS_GOODS_SERVICES_REAL_SAAR_YOY" hidden="1">"c7415"</definedName>
    <definedName name="IQ_EXPORTS_GOODS_SERVICES_REAL_SAAR_YOY_FC" hidden="1">"c8295"</definedName>
    <definedName name="IQ_EXPORTS_GOODS_SERVICES_REAL_USD" hidden="1">"c11926"</definedName>
    <definedName name="IQ_EXPORTS_GOODS_SERVICES_REAL_USD_APR" hidden="1">"c11929"</definedName>
    <definedName name="IQ_EXPORTS_GOODS_SERVICES_REAL_USD_POP" hidden="1">"c11927"</definedName>
    <definedName name="IQ_EXPORTS_GOODS_SERVICES_REAL_USD_YOY" hidden="1">"c11928"</definedName>
    <definedName name="IQ_EXPORTS_GOODS_SERVICES_REAL_YOY" hidden="1">"c7414"</definedName>
    <definedName name="IQ_EXPORTS_GOODS_SERVICES_REAL_YOY_FC" hidden="1">"c8294"</definedName>
    <definedName name="IQ_EXPORTS_GOODS_SERVICES_SAAR" hidden="1">"c6867"</definedName>
    <definedName name="IQ_EXPORTS_GOODS_SERVICES_SAAR_APR" hidden="1">"c7527"</definedName>
    <definedName name="IQ_EXPORTS_GOODS_SERVICES_SAAR_APR_FC" hidden="1">"c8407"</definedName>
    <definedName name="IQ_EXPORTS_GOODS_SERVICES_SAAR_FC" hidden="1">"c7747"</definedName>
    <definedName name="IQ_EXPORTS_GOODS_SERVICES_SAAR_POP" hidden="1">"c7087"</definedName>
    <definedName name="IQ_EXPORTS_GOODS_SERVICES_SAAR_POP_FC" hidden="1">"c7967"</definedName>
    <definedName name="IQ_EXPORTS_GOODS_SERVICES_SAAR_YOY" hidden="1">"c7307"</definedName>
    <definedName name="IQ_EXPORTS_GOODS_SERVICES_SAAR_YOY_FC" hidden="1">"c8187"</definedName>
    <definedName name="IQ_EXPORTS_GOODS_SERVICES_USD" hidden="1">"c11822"</definedName>
    <definedName name="IQ_EXPORTS_GOODS_SERVICES_USD_APR" hidden="1">"c11825"</definedName>
    <definedName name="IQ_EXPORTS_GOODS_SERVICES_USD_POP" hidden="1">"c11823"</definedName>
    <definedName name="IQ_EXPORTS_GOODS_SERVICES_USD_YOY" hidden="1">"c11824"</definedName>
    <definedName name="IQ_EXPORTS_GOODS_SERVICES_YOY" hidden="1">"c7306"</definedName>
    <definedName name="IQ_EXPORTS_GOODS_SERVICES_YOY_FC" hidden="1">"c8186"</definedName>
    <definedName name="IQ_EXPORTS_GOODS_USD" hidden="1">"c11818"</definedName>
    <definedName name="IQ_EXPORTS_GOODS_USD_APR" hidden="1">"c11821"</definedName>
    <definedName name="IQ_EXPORTS_GOODS_USD_POP" hidden="1">"c11819"</definedName>
    <definedName name="IQ_EXPORTS_GOODS_USD_YOY" hidden="1">"c11820"</definedName>
    <definedName name="IQ_EXPORTS_GOODS_YOY" hidden="1">"c7304"</definedName>
    <definedName name="IQ_EXPORTS_GOODS_YOY_FC" hidden="1">"c8184"</definedName>
    <definedName name="IQ_EXPORTS_NONFACTOR_SERVICES" hidden="1">"c6868"</definedName>
    <definedName name="IQ_EXPORTS_NONFACTOR_SERVICES_APR" hidden="1">"c7528"</definedName>
    <definedName name="IQ_EXPORTS_NONFACTOR_SERVICES_APR_FC" hidden="1">"c8408"</definedName>
    <definedName name="IQ_EXPORTS_NONFACTOR_SERVICES_FC" hidden="1">"c7748"</definedName>
    <definedName name="IQ_EXPORTS_NONFACTOR_SERVICES_POP" hidden="1">"c7088"</definedName>
    <definedName name="IQ_EXPORTS_NONFACTOR_SERVICES_POP_FC" hidden="1">"c7968"</definedName>
    <definedName name="IQ_EXPORTS_NONFACTOR_SERVICES_YOY" hidden="1">"c7308"</definedName>
    <definedName name="IQ_EXPORTS_NONFACTOR_SERVICES_YOY_FC" hidden="1">"c8188"</definedName>
    <definedName name="IQ_EXPORTS_POP_FC_UNUSED" hidden="1">"c7961"</definedName>
    <definedName name="IQ_EXPORTS_POP_UNUSED" hidden="1">"c7081"</definedName>
    <definedName name="IQ_EXPORTS_SERVICES_REAL" hidden="1">"c6977"</definedName>
    <definedName name="IQ_EXPORTS_SERVICES_REAL_APR" hidden="1">"c7637"</definedName>
    <definedName name="IQ_EXPORTS_SERVICES_REAL_APR_FC" hidden="1">"c8517"</definedName>
    <definedName name="IQ_EXPORTS_SERVICES_REAL_FC" hidden="1">"c7857"</definedName>
    <definedName name="IQ_EXPORTS_SERVICES_REAL_POP" hidden="1">"c7197"</definedName>
    <definedName name="IQ_EXPORTS_SERVICES_REAL_POP_FC" hidden="1">"c8077"</definedName>
    <definedName name="IQ_EXPORTS_SERVICES_REAL_SAAR" hidden="1">"c11934"</definedName>
    <definedName name="IQ_EXPORTS_SERVICES_REAL_SAAR_APR" hidden="1">"c11937"</definedName>
    <definedName name="IQ_EXPORTS_SERVICES_REAL_SAAR_APR_FC_UNUSED" hidden="1">"c8516"</definedName>
    <definedName name="IQ_EXPORTS_SERVICES_REAL_SAAR_APR_UNUSED" hidden="1">"c7636"</definedName>
    <definedName name="IQ_EXPORTS_SERVICES_REAL_SAAR_FC_UNUSED" hidden="1">"c7856"</definedName>
    <definedName name="IQ_EXPORTS_SERVICES_REAL_SAAR_POP" hidden="1">"c11935"</definedName>
    <definedName name="IQ_EXPORTS_SERVICES_REAL_SAAR_POP_FC_UNUSED" hidden="1">"c8076"</definedName>
    <definedName name="IQ_EXPORTS_SERVICES_REAL_SAAR_POP_UNUSED" hidden="1">"c7196"</definedName>
    <definedName name="IQ_EXPORTS_SERVICES_REAL_SAAR_UNUSED" hidden="1">"c6976"</definedName>
    <definedName name="IQ_EXPORTS_SERVICES_REAL_SAAR_YOY" hidden="1">"c11936"</definedName>
    <definedName name="IQ_EXPORTS_SERVICES_REAL_SAAR_YOY_FC_UNUSED" hidden="1">"c8296"</definedName>
    <definedName name="IQ_EXPORTS_SERVICES_REAL_SAAR_YOY_UNUSED" hidden="1">"c7416"</definedName>
    <definedName name="IQ_EXPORTS_SERVICES_REAL_YOY" hidden="1">"c7417"</definedName>
    <definedName name="IQ_EXPORTS_SERVICES_REAL_YOY_FC" hidden="1">"c8297"</definedName>
    <definedName name="IQ_EXPORTS_UNUSED" hidden="1">"c6861"</definedName>
    <definedName name="IQ_EXPORTS_USD" hidden="1">"c11806"</definedName>
    <definedName name="IQ_EXPORTS_USD_APR" hidden="1">"c11809"</definedName>
    <definedName name="IQ_EXPORTS_USD_POP" hidden="1">"c11807"</definedName>
    <definedName name="IQ_EXPORTS_USD_YOY" hidden="1">"c11808"</definedName>
    <definedName name="IQ_EXPORTS_YOY_FC_UNUSED" hidden="1">"c8181"</definedName>
    <definedName name="IQ_EXPORTS_YOY_UNUSED" hidden="1">"c7301"</definedName>
    <definedName name="IQ_EXTRA_ACC_ITEMS" hidden="1">"c410"</definedName>
    <definedName name="IQ_EXTRA_ACC_ITEMS_BNK" hidden="1">"c411"</definedName>
    <definedName name="IQ_EXTRA_ACC_ITEMS_BR" hidden="1">"c412"</definedName>
    <definedName name="IQ_EXTRA_ACC_ITEMS_FIN" hidden="1">"c413"</definedName>
    <definedName name="IQ_EXTRA_ACC_ITEMS_INS" hidden="1">"c414"</definedName>
    <definedName name="IQ_EXTRA_ACC_ITEMS_RE" hidden="1">"c6216"</definedName>
    <definedName name="IQ_EXTRA_ACC_ITEMS_REIT" hidden="1">"c415"</definedName>
    <definedName name="IQ_EXTRA_ACC_ITEMS_UTI" hidden="1">"c416"</definedName>
    <definedName name="IQ_EXTRA_AVG_ASSETS_FFIEC" hidden="1">"c13369"</definedName>
    <definedName name="IQ_EXTRA_ITEMS" hidden="1">"c1459"</definedName>
    <definedName name="IQ_EXTRA_ITEMS_OTHER_ADJUSTMENTS_FOREIGN_FFIEC" hidden="1">"c15392"</definedName>
    <definedName name="IQ_EXTRAORDINARY_ITEMS_FFIEC" hidden="1">"c13033"</definedName>
    <definedName name="IQ_FAD" hidden="1">"c8757"</definedName>
    <definedName name="IQ_FAD_PAYOUT_RATIO" hidden="1">"c8872"</definedName>
    <definedName name="IQ_FAIR_VALUE_CHANGE_INCL_EARNINGS" hidden="1">"c13849"</definedName>
    <definedName name="IQ_FAIR_VALUE_DEBT" hidden="1">"c16007"</definedName>
    <definedName name="IQ_FAIR_VALUE_FIN_INSTRUMENTS_NAV" hidden="1">"c16002"</definedName>
    <definedName name="IQ_FAIR_VALUE_FIN_INSTRUMENTS_NNAV" hidden="1">"c16006"</definedName>
    <definedName name="IQ_FAIR_VALUE_TRADING_PROP" hidden="1">"c16001"</definedName>
    <definedName name="IQ_FARM_LOANS_TOT_LOANS_FFIEC" hidden="1">"c13870"</definedName>
    <definedName name="IQ_FARMLAND_DOM_FFIEC" hidden="1">"c15268"</definedName>
    <definedName name="IQ_FDIC" hidden="1">"c417"</definedName>
    <definedName name="IQ_FDIC_DEPOSIT_INSURANCE_FFIEC" hidden="1">"c13053"</definedName>
    <definedName name="IQ_FED_BUDGET_RECEIPTS" hidden="1">"c6869"</definedName>
    <definedName name="IQ_FED_BUDGET_RECEIPTS_APR" hidden="1">"c7529"</definedName>
    <definedName name="IQ_FED_BUDGET_RECEIPTS_APR_FC" hidden="1">"c8409"</definedName>
    <definedName name="IQ_FED_BUDGET_RECEIPTS_FC" hidden="1">"c7749"</definedName>
    <definedName name="IQ_FED_BUDGET_RECEIPTS_POP" hidden="1">"c7089"</definedName>
    <definedName name="IQ_FED_BUDGET_RECEIPTS_POP_FC" hidden="1">"c7969"</definedName>
    <definedName name="IQ_FED_BUDGET_RECEIPTS_YOY" hidden="1">"c7309"</definedName>
    <definedName name="IQ_FED_BUDGET_RECEIPTS_YOY_FC" hidden="1">"c8189"</definedName>
    <definedName name="IQ_FED_FUND_PURCHASED_SEC_SOLD_REPURCHASE_FFIEC" hidden="1">"c15489"</definedName>
    <definedName name="IQ_FED_FUND_SOLD_SEC_PURCHASED_RESELL_FFIEC" hidden="1">"c15488"</definedName>
    <definedName name="IQ_FED_FUNDS_PURCH_SEC_SOLD_FAIR_VALUE_TOT_FFIEC" hidden="1">"c15406"</definedName>
    <definedName name="IQ_FED_FUNDS_PURCH_SEC_SOLD_LEVEL_1_FFIEC" hidden="1">"c15428"</definedName>
    <definedName name="IQ_FED_FUNDS_PURCH_SEC_SOLD_LEVEL_2_FFIEC" hidden="1">"c15441"</definedName>
    <definedName name="IQ_FED_FUNDS_PURCH_SEC_SOLD_LEVEL_3_FFIEC" hidden="1">"c15454"</definedName>
    <definedName name="IQ_FED_FUNDS_PURCHASED_DOM_FFIEC" hidden="1">"c12856"</definedName>
    <definedName name="IQ_FED_FUNDS_PURCHASED_QUARTERLY_AVG_FFIEC" hidden="1">"c13090"</definedName>
    <definedName name="IQ_FED_FUNDS_SOLD_DOM_FFIEC" hidden="1">"c12806"</definedName>
    <definedName name="IQ_FED_FUNDS_SOLD_QUARTERLY_AVG_FFIEC" hidden="1">"c13080"</definedName>
    <definedName name="IQ_FED_FUNDS_SOLD_SEC_PURCH_FAIR_VALUE_TOT_FFIEC" hidden="1">"c15402"</definedName>
    <definedName name="IQ_FED_FUNDS_SOLD_SEC_PURCH_LEVEL_1_FFIEC" hidden="1">"c15424"</definedName>
    <definedName name="IQ_FED_FUNDS_SOLD_SEC_PURCH_LEVEL_2_FFIEC" hidden="1">"c15437"</definedName>
    <definedName name="IQ_FED_FUNDS_SOLD_SEC_PURCH_LEVEL_3_FFIEC" hidden="1">"c15450"</definedName>
    <definedName name="IQ_FEDFUNDS_SOLD" hidden="1">"c2256"</definedName>
    <definedName name="IQ_FEES_COMMISSIONS_BROKERAGE_FFIEC" hidden="1">"c13005"</definedName>
    <definedName name="IQ_FEES_OTHER_INCOME" hidden="1">"c15257"</definedName>
    <definedName name="IQ_FFO" hidden="1">"c1574"</definedName>
    <definedName name="IQ_FFO_ACT_OR_EST" hidden="1">"c4446"</definedName>
    <definedName name="IQ_FFO_ADJ_ACT_OR_EST" hidden="1">"c4435"</definedName>
    <definedName name="IQ_FFO_ADJ_ACT_OR_EST_CIQ" hidden="1">"c4960"</definedName>
    <definedName name="IQ_FFO_ADJ_EST" hidden="1">"c4434"</definedName>
    <definedName name="IQ_FFO_ADJ_GUIDANCE" hidden="1">"c4436"</definedName>
    <definedName name="IQ_FFO_ADJ_HIGH_EST" hidden="1">"c4437"</definedName>
    <definedName name="IQ_FFO_ADJ_HIGH_GUIDANCE" hidden="1">"c4202"</definedName>
    <definedName name="IQ_FFO_ADJ_LOW_EST" hidden="1">"c4438"</definedName>
    <definedName name="IQ_FFO_ADJ_LOW_GUIDANCE" hidden="1">"c4242"</definedName>
    <definedName name="IQ_FFO_ADJ_MEDIAN_EST" hidden="1">"c4439"</definedName>
    <definedName name="IQ_FFO_ADJ_NUM_EST" hidden="1">"c4440"</definedName>
    <definedName name="IQ_FFO_ADJ_STDDEV_EST" hidden="1">"c4441"</definedName>
    <definedName name="IQ_FFO_DILUTED" hidden="1">"c16186"</definedName>
    <definedName name="IQ_FFO_EST" hidden="1">"c4445"</definedName>
    <definedName name="IQ_FFO_EST_REUT" hidden="1">"c3837"</definedName>
    <definedName name="IQ_FFO_GUIDANCE" hidden="1">"c4443"</definedName>
    <definedName name="IQ_FFO_HIGH_EST" hidden="1">"c4448"</definedName>
    <definedName name="IQ_FFO_HIGH_EST_REUT" hidden="1">"c3839"</definedName>
    <definedName name="IQ_FFO_HIGH_GUIDANCE" hidden="1">"c4184"</definedName>
    <definedName name="IQ_FFO_LOW_EST" hidden="1">"c4449"</definedName>
    <definedName name="IQ_FFO_LOW_EST_REUT" hidden="1">"c3840"</definedName>
    <definedName name="IQ_FFO_LOW_GUIDANCE" hidden="1">"c4224"</definedName>
    <definedName name="IQ_FFO_MEDIAN_EST" hidden="1">"c4450"</definedName>
    <definedName name="IQ_FFO_MEDIAN_EST_REUT" hidden="1">"c3838"</definedName>
    <definedName name="IQ_FFO_NUM_EST" hidden="1">"c4451"</definedName>
    <definedName name="IQ_FFO_NUM_EST_REUT" hidden="1">"c3841"</definedName>
    <definedName name="IQ_FFO_PAYOUT_RATIO" hidden="1">"c3492"</definedName>
    <definedName name="IQ_FFO_PER_SHARE_BASIC" hidden="1">"c8867"</definedName>
    <definedName name="IQ_FFO_PER_SHARE_DILUTED" hidden="1">"c8868"</definedName>
    <definedName name="IQ_FFO_SHARE_ACT_OR_EST" hidden="1">"c2216"</definedName>
    <definedName name="IQ_FFO_SHARE_ACT_OR_EST_CIQ" hidden="1">"c4971"</definedName>
    <definedName name="IQ_FFO_SHARE_EST" hidden="1">"c418"</definedName>
    <definedName name="IQ_FFO_SHARE_EST_THOM" hidden="1">"c3999"</definedName>
    <definedName name="IQ_FFO_SHARE_GUIDANCE" hidden="1">"c4447"</definedName>
    <definedName name="IQ_FFO_SHARE_HIGH_EST" hidden="1">"c419"</definedName>
    <definedName name="IQ_FFO_SHARE_HIGH_EST_THOM" hidden="1">"c4001"</definedName>
    <definedName name="IQ_FFO_SHARE_HIGH_GUIDANCE" hidden="1">"c4203"</definedName>
    <definedName name="IQ_FFO_SHARE_LOW_EST" hidden="1">"c420"</definedName>
    <definedName name="IQ_FFO_SHARE_LOW_EST_THOM" hidden="1">"c4002"</definedName>
    <definedName name="IQ_FFO_SHARE_LOW_GUIDANCE" hidden="1">"c4243"</definedName>
    <definedName name="IQ_FFO_SHARE_MEDIAN_EST" hidden="1">"c1665"</definedName>
    <definedName name="IQ_FFO_SHARE_MEDIAN_EST_THOM" hidden="1">"c4000"</definedName>
    <definedName name="IQ_FFO_SHARE_NUM_EST" hidden="1">"c421"</definedName>
    <definedName name="IQ_FFO_SHARE_NUM_EST_THOM" hidden="1">"c4003"</definedName>
    <definedName name="IQ_FFO_SHARE_STDDEV_EST" hidden="1">"c422"</definedName>
    <definedName name="IQ_FFO_SHARE_STDDEV_EST_THOM" hidden="1">"c4004"</definedName>
    <definedName name="IQ_FFO_SHARES_BASIC" hidden="1">"c16185"</definedName>
    <definedName name="IQ_FFO_SHARES_DILUTED" hidden="1">"c16187"</definedName>
    <definedName name="IQ_FFO_STDDEV_EST" hidden="1">"c4452"</definedName>
    <definedName name="IQ_FFO_STDDEV_EST_REUT" hidden="1">"c3842"</definedName>
    <definedName name="IQ_FFO_TOTAL_REVENUE" hidden="1">"c16060"</definedName>
    <definedName name="IQ_FH" hidden="1">100000</definedName>
    <definedName name="IQ_FHLB_DEBT" hidden="1">"c423"</definedName>
    <definedName name="IQ_FHLB_DUE_CY" hidden="1">"c2080"</definedName>
    <definedName name="IQ_FHLB_DUE_CY1" hidden="1">"c2081"</definedName>
    <definedName name="IQ_FHLB_DUE_CY2" hidden="1">"c2082"</definedName>
    <definedName name="IQ_FHLB_DUE_CY3" hidden="1">"c2083"</definedName>
    <definedName name="IQ_FHLB_DUE_CY4" hidden="1">"c2084"</definedName>
    <definedName name="IQ_FHLB_DUE_NEXT_FIVE" hidden="1">"c2085"</definedName>
    <definedName name="IQ_FIDUCIARY_INCOME_OPERATING_INC_FFIEC" hidden="1">"c13383"</definedName>
    <definedName name="IQ_FILING_CURRENCY" hidden="1">"c2129"</definedName>
    <definedName name="IQ_FILING_CURRENCY_AP" hidden="1">"c11747"</definedName>
    <definedName name="IQ_FILINGDATE_BS" hidden="1">"c424"</definedName>
    <definedName name="IQ_FILINGDATE_CF" hidden="1">"c425"</definedName>
    <definedName name="IQ_FILINGDATE_IS" hidden="1">"c426"</definedName>
    <definedName name="IQ_FILM_RIGHTS" hidden="1">"c2254"</definedName>
    <definedName name="IQ_FIN_DATA_SOURCE" hidden="1">"c6788"</definedName>
    <definedName name="IQ_FIN_DIV_ASSETS_CURRENT" hidden="1">"c427"</definedName>
    <definedName name="IQ_FIN_DIV_ASSETS_LT" hidden="1">"c428"</definedName>
    <definedName name="IQ_FIN_DIV_CASH_EQUIV" hidden="1">"c6289"</definedName>
    <definedName name="IQ_FIN_DIV_DEBT_CURRENT" hidden="1">"c429"</definedName>
    <definedName name="IQ_FIN_DIV_DEBT_LT" hidden="1">"c430"</definedName>
    <definedName name="IQ_FIN_DIV_DEBT_TOTAL" hidden="1">"c5656"</definedName>
    <definedName name="IQ_FIN_DIV_EXP" hidden="1">"c431"</definedName>
    <definedName name="IQ_FIN_DIV_INT_EXP" hidden="1">"c432"</definedName>
    <definedName name="IQ_FIN_DIV_LIAB_CURRENT" hidden="1">"c433"</definedName>
    <definedName name="IQ_FIN_DIV_LIAB_LT" hidden="1">"c434"</definedName>
    <definedName name="IQ_FIN_DIV_LOANS_CURRENT" hidden="1">"c435"</definedName>
    <definedName name="IQ_FIN_DIV_LOANS_LT" hidden="1">"c436"</definedName>
    <definedName name="IQ_FIN_DIV_LT_DEBT_TOTAL" hidden="1">"c5655"</definedName>
    <definedName name="IQ_FIN_DIV_REV" hidden="1">"c437"</definedName>
    <definedName name="IQ_FIN_DIV_ST_DEBT_TOTAL" hidden="1">"c5527"</definedName>
    <definedName name="IQ_FIN_DIV_ST_INVEST" hidden="1">"c6288"</definedName>
    <definedName name="IQ_FINANCIAL_LOC_FOREIGN_GUARANTEES_FFIEC" hidden="1">"c13249"</definedName>
    <definedName name="IQ_FINANCIAL_SERVICING_ASSETS_FAIR_VALUE_TOT_FFIEC" hidden="1">"c13212"</definedName>
    <definedName name="IQ_FINANCIAL_SERVICING_ASSETS_LEVEL_1_FFIEC" hidden="1">"c13220"</definedName>
    <definedName name="IQ_FINANCIAL_SERVICING_ASSETS_LEVEL_2_FFIEC" hidden="1">"c13228"</definedName>
    <definedName name="IQ_FINANCIAL_SERVICING_ASSETS_LEVEL_3_FFIEC" hidden="1">"c13236"</definedName>
    <definedName name="IQ_FINANCIAL_SERVICING_LIAB_FAIR_VALUE_TOT_FFIEC" hidden="1">"c13215"</definedName>
    <definedName name="IQ_FINANCIAL_SERVICING_LIAB_LEVEL_1_FFIEC" hidden="1">"c13223"</definedName>
    <definedName name="IQ_FINANCIAL_SERVICING_LIAB_LEVEL_2_FFIEC" hidden="1">"c13231"</definedName>
    <definedName name="IQ_FINANCIAL_SERVICING_LIAB_LEVEL_3_FFIEC" hidden="1">"c13239"</definedName>
    <definedName name="IQ_FINANCING_CASH" hidden="1">"c1405"</definedName>
    <definedName name="IQ_FINANCING_CASH_SUPPL" hidden="1">"c1406"</definedName>
    <definedName name="IQ_FINANCING_OBLIG_CURRENT" hidden="1">"c11753"</definedName>
    <definedName name="IQ_FINANCING_OBLIG_NON_CURRENT" hidden="1">"c11754"</definedName>
    <definedName name="IQ_FINISHED_INV" hidden="1">"c438"</definedName>
    <definedName name="IQ_FIRST_INT_DATE" hidden="1">"c2186"</definedName>
    <definedName name="IQ_FIRST_YEAR_LIFE" hidden="1">"c439"</definedName>
    <definedName name="IQ_FIRST_YEAR_LIFE_PREM" hidden="1">"c2787"</definedName>
    <definedName name="IQ_FIRST_YEAR_PREM" hidden="1">"c2786"</definedName>
    <definedName name="IQ_FIRSTPRICINGDATE" hidden="1">"c3050"</definedName>
    <definedName name="IQ_FISCAL_Q" hidden="1">"c440"</definedName>
    <definedName name="IQ_FISCAL_Q_EST" hidden="1">"c6794"</definedName>
    <definedName name="IQ_FISCAL_Q_EST_CIQ" hidden="1">"c6806"</definedName>
    <definedName name="IQ_FISCAL_Q_EST_THOM" hidden="1">"c6802"</definedName>
    <definedName name="IQ_FISCAL_Y" hidden="1">"c441"</definedName>
    <definedName name="IQ_FISCAL_Y_EST" hidden="1">"c6795"</definedName>
    <definedName name="IQ_FISCAL_Y_EST_CIQ" hidden="1">"c6807"</definedName>
    <definedName name="IQ_FISCAL_Y_EST_THOM" hidden="1">"c6803"</definedName>
    <definedName name="IQ_FIVE_PERCENT_OWNER" hidden="1">"c442"</definedName>
    <definedName name="IQ_FIVEPERCENT_PERCENT" hidden="1">"c443"</definedName>
    <definedName name="IQ_FIVEPERCENT_SHARES" hidden="1">"c444"</definedName>
    <definedName name="IQ_FIX_FREQUENCY" hidden="1">"c8964"</definedName>
    <definedName name="IQ_FIXED_ASSET_TURNS" hidden="1">"c445"</definedName>
    <definedName name="IQ_FIXED_INCOME_LIST" hidden="1">"c13504"</definedName>
    <definedName name="IQ_FIXED_INVEST_APR_FC_UNUSED" hidden="1">"c8410"</definedName>
    <definedName name="IQ_FIXED_INVEST_APR_UNUSED" hidden="1">"c7530"</definedName>
    <definedName name="IQ_FIXED_INVEST_FC_UNUSED" hidden="1">"c7750"</definedName>
    <definedName name="IQ_FIXED_INVEST_MACH_EQUIP" hidden="1">"c6871"</definedName>
    <definedName name="IQ_FIXED_INVEST_MACH_EQUIP_APR" hidden="1">"c7531"</definedName>
    <definedName name="IQ_FIXED_INVEST_MACH_EQUIP_APR_FC" hidden="1">"c8411"</definedName>
    <definedName name="IQ_FIXED_INVEST_MACH_EQUIP_FC" hidden="1">"c7751"</definedName>
    <definedName name="IQ_FIXED_INVEST_MACH_EQUIP_POP" hidden="1">"c7091"</definedName>
    <definedName name="IQ_FIXED_INVEST_MACH_EQUIP_POP_FC" hidden="1">"c7971"</definedName>
    <definedName name="IQ_FIXED_INVEST_MACH_EQUIP_REAL" hidden="1">"c6979"</definedName>
    <definedName name="IQ_FIXED_INVEST_MACH_EQUIP_REAL_APR" hidden="1">"c7639"</definedName>
    <definedName name="IQ_FIXED_INVEST_MACH_EQUIP_REAL_APR_FC" hidden="1">"c8519"</definedName>
    <definedName name="IQ_FIXED_INVEST_MACH_EQUIP_REAL_FC" hidden="1">"c7859"</definedName>
    <definedName name="IQ_FIXED_INVEST_MACH_EQUIP_REAL_POP" hidden="1">"c7199"</definedName>
    <definedName name="IQ_FIXED_INVEST_MACH_EQUIP_REAL_POP_FC" hidden="1">"c8079"</definedName>
    <definedName name="IQ_FIXED_INVEST_MACH_EQUIP_REAL_YOY" hidden="1">"c7419"</definedName>
    <definedName name="IQ_FIXED_INVEST_MACH_EQUIP_REAL_YOY_FC" hidden="1">"c8299"</definedName>
    <definedName name="IQ_FIXED_INVEST_MACH_EQUIP_YOY" hidden="1">"c7311"</definedName>
    <definedName name="IQ_FIXED_INVEST_MACH_EQUIP_YOY_FC" hidden="1">"c8191"</definedName>
    <definedName name="IQ_FIXED_INVEST_POP_FC_UNUSED" hidden="1">"c7970"</definedName>
    <definedName name="IQ_FIXED_INVEST_POP_UNUSED" hidden="1">"c7090"</definedName>
    <definedName name="IQ_FIXED_INVEST_REAL_APR_FC_UNUSED" hidden="1">"c8518"</definedName>
    <definedName name="IQ_FIXED_INVEST_REAL_APR_UNUSED" hidden="1">"c7638"</definedName>
    <definedName name="IQ_FIXED_INVEST_REAL_FC_UNUSED" hidden="1">"c7858"</definedName>
    <definedName name="IQ_FIXED_INVEST_REAL_POP_FC_UNUSED" hidden="1">"c8078"</definedName>
    <definedName name="IQ_FIXED_INVEST_REAL_POP_UNUSED" hidden="1">"c7198"</definedName>
    <definedName name="IQ_FIXED_INVEST_REAL_SAAR" hidden="1">"c6980"</definedName>
    <definedName name="IQ_FIXED_INVEST_REAL_SAAR_APR" hidden="1">"c7640"</definedName>
    <definedName name="IQ_FIXED_INVEST_REAL_SAAR_APR_FC" hidden="1">"c8520"</definedName>
    <definedName name="IQ_FIXED_INVEST_REAL_SAAR_FC" hidden="1">"c7860"</definedName>
    <definedName name="IQ_FIXED_INVEST_REAL_SAAR_POP" hidden="1">"c7200"</definedName>
    <definedName name="IQ_FIXED_INVEST_REAL_SAAR_POP_FC" hidden="1">"c8080"</definedName>
    <definedName name="IQ_FIXED_INVEST_REAL_SAAR_USD_APR_FC" hidden="1">"c11945"</definedName>
    <definedName name="IQ_FIXED_INVEST_REAL_SAAR_USD_FC" hidden="1">"c11942"</definedName>
    <definedName name="IQ_FIXED_INVEST_REAL_SAAR_USD_POP_FC" hidden="1">"c11943"</definedName>
    <definedName name="IQ_FIXED_INVEST_REAL_SAAR_USD_YOY_FC" hidden="1">"c11944"</definedName>
    <definedName name="IQ_FIXED_INVEST_REAL_SAAR_YOY" hidden="1">"c7420"</definedName>
    <definedName name="IQ_FIXED_INVEST_REAL_SAAR_YOY_FC" hidden="1">"c8300"</definedName>
    <definedName name="IQ_FIXED_INVEST_REAL_UNUSED" hidden="1">"c6978"</definedName>
    <definedName name="IQ_FIXED_INVEST_REAL_USD_APR_FC" hidden="1">"c11941"</definedName>
    <definedName name="IQ_FIXED_INVEST_REAL_USD_FC" hidden="1">"c11938"</definedName>
    <definedName name="IQ_FIXED_INVEST_REAL_USD_POP_FC" hidden="1">"c11939"</definedName>
    <definedName name="IQ_FIXED_INVEST_REAL_USD_YOY_FC" hidden="1">"c11940"</definedName>
    <definedName name="IQ_FIXED_INVEST_REAL_YOY_FC_UNUSED" hidden="1">"c8298"</definedName>
    <definedName name="IQ_FIXED_INVEST_REAL_YOY_UNUSED" hidden="1">"c7418"</definedName>
    <definedName name="IQ_FIXED_INVEST_SAAR" hidden="1">"c6872"</definedName>
    <definedName name="IQ_FIXED_INVEST_SAAR_APR" hidden="1">"c7532"</definedName>
    <definedName name="IQ_FIXED_INVEST_SAAR_APR_FC" hidden="1">"c8412"</definedName>
    <definedName name="IQ_FIXED_INVEST_SAAR_FC" hidden="1">"c7752"</definedName>
    <definedName name="IQ_FIXED_INVEST_SAAR_POP" hidden="1">"c7092"</definedName>
    <definedName name="IQ_FIXED_INVEST_SAAR_POP_FC" hidden="1">"c7972"</definedName>
    <definedName name="IQ_FIXED_INVEST_SAAR_USD_APR_FC" hidden="1">"c11833"</definedName>
    <definedName name="IQ_FIXED_INVEST_SAAR_USD_FC" hidden="1">"c11830"</definedName>
    <definedName name="IQ_FIXED_INVEST_SAAR_USD_POP_FC" hidden="1">"c11831"</definedName>
    <definedName name="IQ_FIXED_INVEST_SAAR_USD_YOY_FC" hidden="1">"c11832"</definedName>
    <definedName name="IQ_FIXED_INVEST_SAAR_YOY" hidden="1">"c7312"</definedName>
    <definedName name="IQ_FIXED_INVEST_SAAR_YOY_FC" hidden="1">"c8192"</definedName>
    <definedName name="IQ_FIXED_INVEST_UNUSED" hidden="1">"c6870"</definedName>
    <definedName name="IQ_FIXED_INVEST_USD_APR_FC" hidden="1">"c11829"</definedName>
    <definedName name="IQ_FIXED_INVEST_USD_FC" hidden="1">"c11826"</definedName>
    <definedName name="IQ_FIXED_INVEST_USD_POP_FC" hidden="1">"c11827"</definedName>
    <definedName name="IQ_FIXED_INVEST_USD_YOY_FC" hidden="1">"c11828"</definedName>
    <definedName name="IQ_FIXED_INVEST_YOY_FC_UNUSED" hidden="1">"c8190"</definedName>
    <definedName name="IQ_FIXED_INVEST_YOY_UNUSED" hidden="1">"c7310"</definedName>
    <definedName name="IQ_FLOAT_PERCENT" hidden="1">"c1575"</definedName>
    <definedName name="IQ_FORECLOSED_PROP_GNMA_LOANS_FFIEC" hidden="1">"c15272"</definedName>
    <definedName name="IQ_FOREIGN_BANKS_DUE_30_89_FFIEC" hidden="1">"c13269"</definedName>
    <definedName name="IQ_FOREIGN_BANKS_DUE_90_FFIEC" hidden="1">"c13295"</definedName>
    <definedName name="IQ_FOREIGN_BANKS_NON_ACCRUAL_FFIEC" hidden="1">"c13321"</definedName>
    <definedName name="IQ_FOREIGN_DEP_IB" hidden="1">"c446"</definedName>
    <definedName name="IQ_FOREIGN_DEP_NON_IB" hidden="1">"c447"</definedName>
    <definedName name="IQ_FOREIGN_DEPOSITS_ASSETS_TOT_FFIEC" hidden="1">"c13445"</definedName>
    <definedName name="IQ_FOREIGN_DEPOSITS_TOT_FFIEC" hidden="1">"c13486"</definedName>
    <definedName name="IQ_FOREIGN_DEPOSITS_TOTAL_DEPOSITS" hidden="1">"c15719"</definedName>
    <definedName name="IQ_FOREIGN_EXCHANGE" hidden="1">"c1376"</definedName>
    <definedName name="IQ_FOREIGN_GOVT_OFFICIAL_INST_FOREIGN_DEP_FFIEC" hidden="1">"c15345"</definedName>
    <definedName name="IQ_FOREIGN_GOVT_OFFICIAL_INST_NON_TRANS_ACCTS_FFIEC" hidden="1">"c15327"</definedName>
    <definedName name="IQ_FOREIGN_GOVT_OFFICIAL_INST_TRANS_ACCTS_FFIEC" hidden="1">"c15319"</definedName>
    <definedName name="IQ_FOREIGN_LL_REC_FFIEC" hidden="1">"c12892"</definedName>
    <definedName name="IQ_FOREIGN_LOANS" hidden="1">"c448"</definedName>
    <definedName name="IQ_FOREIGN_LOANS_LEASES_FOREIGN_FFIEC" hidden="1">"c13478"</definedName>
    <definedName name="IQ_FOREIGN_LOANS_TOTAL_LOANS" hidden="1">"c15714"</definedName>
    <definedName name="IQ_FOUNDATION_OVER_TOTAL" hidden="1">"c13769"</definedName>
    <definedName name="IQ_FQ" hidden="1">500</definedName>
    <definedName name="IQ_FUEL" hidden="1">"c449"</definedName>
    <definedName name="IQ_FULL_TIME" hidden="1">"c450"</definedName>
    <definedName name="IQ_FULLY_INSURED_BROKERED_DEPOSITS_FFIEC" hidden="1">"c15305"</definedName>
    <definedName name="IQ_FUND_FEE_INC_NON_INT_INC_FFIEC" hidden="1">"c13493"</definedName>
    <definedName name="IQ_FUND_NAV" hidden="1">"c15225"</definedName>
    <definedName name="IQ_FUNDING_DEPENDENCE_FFIEC" hidden="1">"c13336"</definedName>
    <definedName name="IQ_FUNDING_DEPENDENCE_ST_FFIEC" hidden="1">"c13337"</definedName>
    <definedName name="IQ_FUNDS_PURCHASED_ASSETS_TOT_FFIEC" hidden="1">"c13446"</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X" hidden="1">"c451"</definedName>
    <definedName name="IQ_FX_CONTRACTS_FFIEC" hidden="1">"c13125"</definedName>
    <definedName name="IQ_FX_EXPOSURE_FFIEC" hidden="1">"c13059"</definedName>
    <definedName name="IQ_FY" hidden="1">1000</definedName>
    <definedName name="IQ_GA_EXP" hidden="1">"c2241"</definedName>
    <definedName name="IQ_GAAP_BS" hidden="1">"c6789"</definedName>
    <definedName name="IQ_GAAP_CF" hidden="1">"c6790"</definedName>
    <definedName name="IQ_GAAP_EST_CIQ" hidden="1">"c13924"</definedName>
    <definedName name="IQ_GAAP_IS" hidden="1">"c6194"</definedName>
    <definedName name="IQ_GAIN_ASSETS" hidden="1">"c452"</definedName>
    <definedName name="IQ_GAIN_ASSETS_BNK" hidden="1">"c453"</definedName>
    <definedName name="IQ_GAIN_ASSETS_BR" hidden="1">"c454"</definedName>
    <definedName name="IQ_GAIN_ASSETS_CF" hidden="1">"c455"</definedName>
    <definedName name="IQ_GAIN_ASSETS_CF_BNK" hidden="1">"c456"</definedName>
    <definedName name="IQ_GAIN_ASSETS_CF_BR" hidden="1">"c457"</definedName>
    <definedName name="IQ_GAIN_ASSETS_CF_FIN" hidden="1">"c458"</definedName>
    <definedName name="IQ_GAIN_ASSETS_CF_INS" hidden="1">"c459"</definedName>
    <definedName name="IQ_GAIN_ASSETS_CF_RE" hidden="1">"c6217"</definedName>
    <definedName name="IQ_GAIN_ASSETS_CF_REIT" hidden="1">"c460"</definedName>
    <definedName name="IQ_GAIN_ASSETS_CF_UTI" hidden="1">"c461"</definedName>
    <definedName name="IQ_GAIN_ASSETS_FIN" hidden="1">"c462"</definedName>
    <definedName name="IQ_GAIN_ASSETS_INS" hidden="1">"c463"</definedName>
    <definedName name="IQ_GAIN_ASSETS_RE" hidden="1">"c6218"</definedName>
    <definedName name="IQ_GAIN_ASSETS_REIT" hidden="1">"c471"</definedName>
    <definedName name="IQ_GAIN_ASSETS_REV" hidden="1">"c472"</definedName>
    <definedName name="IQ_GAIN_ASSETS_REV_BNK" hidden="1">"c473"</definedName>
    <definedName name="IQ_GAIN_ASSETS_REV_BR" hidden="1">"c474"</definedName>
    <definedName name="IQ_GAIN_ASSETS_REV_FIN" hidden="1">"c475"</definedName>
    <definedName name="IQ_GAIN_ASSETS_REV_INS" hidden="1">"c476"</definedName>
    <definedName name="IQ_GAIN_ASSETS_REV_RE" hidden="1">"c6219"</definedName>
    <definedName name="IQ_GAIN_ASSETS_REV_REIT" hidden="1">"c477"</definedName>
    <definedName name="IQ_GAIN_ASSETS_REV_UTI" hidden="1">"c478"</definedName>
    <definedName name="IQ_GAIN_ASSETS_UTI" hidden="1">"c479"</definedName>
    <definedName name="IQ_GAIN_CREDIT_DERIVATIVES_FFIEC" hidden="1">"c13066"</definedName>
    <definedName name="IQ_GAIN_CREDIT_DERIVATIVES_NON_TRADING_FFIEC" hidden="1">"c13067"</definedName>
    <definedName name="IQ_GAIN_INVEST" hidden="1">"c1463"</definedName>
    <definedName name="IQ_GAIN_INVEST_BNK" hidden="1">"c1582"</definedName>
    <definedName name="IQ_GAIN_INVEST_BR" hidden="1">"c1464"</definedName>
    <definedName name="IQ_GAIN_INVEST_CF" hidden="1">"c480"</definedName>
    <definedName name="IQ_GAIN_INVEST_CF_BNK" hidden="1">"c481"</definedName>
    <definedName name="IQ_GAIN_INVEST_CF_BR" hidden="1">"c482"</definedName>
    <definedName name="IQ_GAIN_INVEST_CF_FIN" hidden="1">"c483"</definedName>
    <definedName name="IQ_GAIN_INVEST_CF_INS" hidden="1">"c484"</definedName>
    <definedName name="IQ_GAIN_INVEST_CF_RE" hidden="1">"c6220"</definedName>
    <definedName name="IQ_GAIN_INVEST_CF_REIT" hidden="1">"c485"</definedName>
    <definedName name="IQ_GAIN_INVEST_CF_UTI" hidden="1">"c486"</definedName>
    <definedName name="IQ_GAIN_INVEST_FIN" hidden="1">"c1465"</definedName>
    <definedName name="IQ_GAIN_INVEST_INS" hidden="1">"c1466"</definedName>
    <definedName name="IQ_GAIN_INVEST_RE" hidden="1">"c6278"</definedName>
    <definedName name="IQ_GAIN_INVEST_REIT" hidden="1">"c1467"</definedName>
    <definedName name="IQ_GAIN_INVEST_REV" hidden="1">"c494"</definedName>
    <definedName name="IQ_GAIN_INVEST_REV_BNK" hidden="1">"c495"</definedName>
    <definedName name="IQ_GAIN_INVEST_REV_BR" hidden="1">"c496"</definedName>
    <definedName name="IQ_GAIN_INVEST_REV_FIN" hidden="1">"c497"</definedName>
    <definedName name="IQ_GAIN_INVEST_REV_INS" hidden="1">"c498"</definedName>
    <definedName name="IQ_GAIN_INVEST_REV_RE" hidden="1">"c6221"</definedName>
    <definedName name="IQ_GAIN_INVEST_REV_REIT" hidden="1">"c499"</definedName>
    <definedName name="IQ_GAIN_INVEST_REV_UTI" hidden="1">"c500"</definedName>
    <definedName name="IQ_GAIN_INVEST_UTI" hidden="1">"c1468"</definedName>
    <definedName name="IQ_GAIN_LOANS_REC" hidden="1">"c501"</definedName>
    <definedName name="IQ_GAIN_LOANS_RECEIV" hidden="1">"c502"</definedName>
    <definedName name="IQ_GAIN_LOANS_RECEIV_REV_FIN" hidden="1">"c503"</definedName>
    <definedName name="IQ_GAIN_LOANS_REV" hidden="1">"c504"</definedName>
    <definedName name="IQ_GAIN_LOSS_HTM_AFS_SECURITIES_FOREIGN_FFIEC" hidden="1">"c15384"</definedName>
    <definedName name="IQ_GAIN_SALE_ASSETS" hidden="1">"c1377"</definedName>
    <definedName name="IQ_GAINS_AFS_AVG_ASSETS_FFIEC" hidden="1">"c13364"</definedName>
    <definedName name="IQ_GAINS_ASSETS_TOT_FFIEC" hidden="1">"c13073"</definedName>
    <definedName name="IQ_GAINS_AVAIL_SALE_EQUITY_SEC_T2_FFIEC" hidden="1">"c13147"</definedName>
    <definedName name="IQ_GAINS_AVAIL_SALE_SEC_T1_FFIEC" hidden="1">"c13131"</definedName>
    <definedName name="IQ_GAINS_CASH_FLOW_HEDGES_T1_FFIEC" hidden="1">"c13133"</definedName>
    <definedName name="IQ_GAINS_HTM_AVG_ASSETS_FFIEC" hidden="1">"c13363"</definedName>
    <definedName name="IQ_GAINS_INSTRUMENT_SPECIFIC_CREDIT_RISK_LIAB_FFIEC" hidden="1">"c13076"</definedName>
    <definedName name="IQ_GAINS_INSTRUMENT_SPECIFIC_RISK_FFIEC" hidden="1">"c13074"</definedName>
    <definedName name="IQ_GAINS_INSURANCE_ACTIVITIES_FFIEC" hidden="1">"c13072"</definedName>
    <definedName name="IQ_GAINS_LIABILITIES_FFIEC" hidden="1">"c13075"</definedName>
    <definedName name="IQ_GAINS_SALE_LOANS_LEASES_FFIEC" hidden="1">"c13013"</definedName>
    <definedName name="IQ_GAINS_SALE_OTHER_ASSETS_FFIEC" hidden="1">"c13015"</definedName>
    <definedName name="IQ_GAINS_SALE_OTHER_RE_OWNED_FFIEC" hidden="1">"c13014"</definedName>
    <definedName name="IQ_GAINS_SECURITIZATION_OPERATING_INC_FFIEC" hidden="1">"c13391"</definedName>
    <definedName name="IQ_GDP" hidden="1">"c6874"</definedName>
    <definedName name="IQ_GDP_APR" hidden="1">"c7534"</definedName>
    <definedName name="IQ_GDP_APR_FC" hidden="1">"c8414"</definedName>
    <definedName name="IQ_GDP_FC" hidden="1">"c7754"</definedName>
    <definedName name="IQ_GDP_POP" hidden="1">"c7094"</definedName>
    <definedName name="IQ_GDP_POP_FC" hidden="1">"c7974"</definedName>
    <definedName name="IQ_GDP_REAL" hidden="1">"c6981"</definedName>
    <definedName name="IQ_GDP_REAL_APR" hidden="1">"c7641"</definedName>
    <definedName name="IQ_GDP_REAL_APR_FC" hidden="1">"c8521"</definedName>
    <definedName name="IQ_GDP_REAL_FC" hidden="1">"c7861"</definedName>
    <definedName name="IQ_GDP_REAL_POP" hidden="1">"c7201"</definedName>
    <definedName name="IQ_GDP_REAL_POP_FC" hidden="1">"c8081"</definedName>
    <definedName name="IQ_GDP_REAL_SAAR" hidden="1">"c6982"</definedName>
    <definedName name="IQ_GDP_REAL_SAAR_APR" hidden="1">"c7642"</definedName>
    <definedName name="IQ_GDP_REAL_SAAR_APR_FC" hidden="1">"c8522"</definedName>
    <definedName name="IQ_GDP_REAL_SAAR_FC" hidden="1">"c7862"</definedName>
    <definedName name="IQ_GDP_REAL_SAAR_POP" hidden="1">"c7202"</definedName>
    <definedName name="IQ_GDP_REAL_SAAR_POP_FC" hidden="1">"c8082"</definedName>
    <definedName name="IQ_GDP_REAL_SAAR_YOY" hidden="1">"c7422"</definedName>
    <definedName name="IQ_GDP_REAL_SAAR_YOY_FC" hidden="1">"c8302"</definedName>
    <definedName name="IQ_GDP_REAL_USD" hidden="1">"c11946"</definedName>
    <definedName name="IQ_GDP_REAL_USD_APR" hidden="1">"c11949"</definedName>
    <definedName name="IQ_GDP_REAL_USD_POP" hidden="1">"c11947"</definedName>
    <definedName name="IQ_GDP_REAL_USD_YOY" hidden="1">"c11948"</definedName>
    <definedName name="IQ_GDP_REAL_YOY" hidden="1">"c7421"</definedName>
    <definedName name="IQ_GDP_REAL_YOY_FC" hidden="1">"c8301"</definedName>
    <definedName name="IQ_GDP_SAAR" hidden="1">"c6875"</definedName>
    <definedName name="IQ_GDP_SAAR_APR" hidden="1">"c7535"</definedName>
    <definedName name="IQ_GDP_SAAR_APR_FC" hidden="1">"c8415"</definedName>
    <definedName name="IQ_GDP_SAAR_FC" hidden="1">"c7755"</definedName>
    <definedName name="IQ_GDP_SAAR_POP" hidden="1">"c7095"</definedName>
    <definedName name="IQ_GDP_SAAR_POP_FC" hidden="1">"c7975"</definedName>
    <definedName name="IQ_GDP_SAAR_YOY" hidden="1">"c7315"</definedName>
    <definedName name="IQ_GDP_SAAR_YOY_FC" hidden="1">"c8195"</definedName>
    <definedName name="IQ_GDP_USD" hidden="1">"c11834"</definedName>
    <definedName name="IQ_GDP_USD_APR" hidden="1">"c11837"</definedName>
    <definedName name="IQ_GDP_USD_POP" hidden="1">"c11835"</definedName>
    <definedName name="IQ_GDP_USD_YOY" hidden="1">"c11836"</definedName>
    <definedName name="IQ_GDP_YOY" hidden="1">"c7314"</definedName>
    <definedName name="IQ_GDP_YOY_FC" hidden="1">"c8194"</definedName>
    <definedName name="IQ_GENERAL_ALLOWANCE" hidden="1">"c15248"</definedName>
    <definedName name="IQ_GEO_SEG_ASSETS" hidden="1">"c4069"</definedName>
    <definedName name="IQ_GEO_SEG_ASSETS_ABS" hidden="1">"c4091"</definedName>
    <definedName name="IQ_GEO_SEG_ASSETS_TOTAL" hidden="1">"c4123"</definedName>
    <definedName name="IQ_GEO_SEG_CAPEX" hidden="1">"c4083"</definedName>
    <definedName name="IQ_GEO_SEG_CAPEX_ABS" hidden="1">"c4105"</definedName>
    <definedName name="IQ_GEO_SEG_CAPEX_TOTAL" hidden="1">"c4127"</definedName>
    <definedName name="IQ_GEO_SEG_DA" hidden="1">"c4082"</definedName>
    <definedName name="IQ_GEO_SEG_DA_ABS" hidden="1">"c4104"</definedName>
    <definedName name="IQ_GEO_SEG_DA_TOTAL" hidden="1">"c4126"</definedName>
    <definedName name="IQ_GEO_SEG_EARNINGS_OP" hidden="1">"c4073"</definedName>
    <definedName name="IQ_GEO_SEG_EARNINGS_OP_ABS" hidden="1">"c4095"</definedName>
    <definedName name="IQ_GEO_SEG_EARNINGS_OP_TOTAL" hidden="1">"c4119"</definedName>
    <definedName name="IQ_GEO_SEG_EBT" hidden="1">"c4072"</definedName>
    <definedName name="IQ_GEO_SEG_EBT_ABS" hidden="1">"c4094"</definedName>
    <definedName name="IQ_GEO_SEG_EBT_TOTAL" hidden="1">"c4121"</definedName>
    <definedName name="IQ_GEO_SEG_GP" hidden="1">"c4070"</definedName>
    <definedName name="IQ_GEO_SEG_GP_ABS" hidden="1">"c4092"</definedName>
    <definedName name="IQ_GEO_SEG_GP_TOTAL" hidden="1">"c4120"</definedName>
    <definedName name="IQ_GEO_SEG_INC_TAX" hidden="1">"c4081"</definedName>
    <definedName name="IQ_GEO_SEG_INC_TAX_ABS" hidden="1">"c4103"</definedName>
    <definedName name="IQ_GEO_SEG_INC_TAX_TOTAL" hidden="1">"c4125"</definedName>
    <definedName name="IQ_GEO_SEG_INTEREST_EXP" hidden="1">"c4080"</definedName>
    <definedName name="IQ_GEO_SEG_INTEREST_EXP_ABS" hidden="1">"c4102"</definedName>
    <definedName name="IQ_GEO_SEG_INTEREST_EXP_TOTAL" hidden="1">"c4124"</definedName>
    <definedName name="IQ_GEO_SEG_NAME" hidden="1">"c5484"</definedName>
    <definedName name="IQ_GEO_SEG_NAME_ABS" hidden="1">"c5485"</definedName>
    <definedName name="IQ_GEO_SEG_NI" hidden="1">"c4071"</definedName>
    <definedName name="IQ_GEO_SEG_NI_ABS" hidden="1">"c4093"</definedName>
    <definedName name="IQ_GEO_SEG_NI_TOTAL" hidden="1">"c4122"</definedName>
    <definedName name="IQ_GEO_SEG_OPER_INC" hidden="1">"c4075"</definedName>
    <definedName name="IQ_GEO_SEG_OPER_INC_ABS" hidden="1">"c4097"</definedName>
    <definedName name="IQ_GEO_SEG_OPER_INC_TOTAL" hidden="1">"c4118"</definedName>
    <definedName name="IQ_GEO_SEG_REV" hidden="1">"c4074"</definedName>
    <definedName name="IQ_GEO_SEG_REV_ABS" hidden="1">"c4096"</definedName>
    <definedName name="IQ_GEO_SEG_REV_TOTAL" hidden="1">"c4117"</definedName>
    <definedName name="IQ_GLA_PCT_LEASED_CONSOL" hidden="1">"c8810"</definedName>
    <definedName name="IQ_GLA_PCT_LEASED_MANAGED" hidden="1">"c8812"</definedName>
    <definedName name="IQ_GLA_PCT_LEASED_OTHER" hidden="1">"c8813"</definedName>
    <definedName name="IQ_GLA_PCT_LEASED_TOTAL" hidden="1">"c8814"</definedName>
    <definedName name="IQ_GLA_PCT_LEASED_UNCONSOL" hidden="1">"c8811"</definedName>
    <definedName name="IQ_GLA_SQ_FT_CONSOL" hidden="1">"c8790"</definedName>
    <definedName name="IQ_GLA_SQ_FT_MANAGED" hidden="1">"c8792"</definedName>
    <definedName name="IQ_GLA_SQ_FT_OTHER" hidden="1">"c8793"</definedName>
    <definedName name="IQ_GLA_SQ_FT_TOTAL" hidden="1">"c8794"</definedName>
    <definedName name="IQ_GLA_SQ_FT_UNCONSOL" hidden="1">"c8791"</definedName>
    <definedName name="IQ_GLA_SQ_METER_CONSOL" hidden="1">"c8795"</definedName>
    <definedName name="IQ_GLA_SQ_METER_MANAGED" hidden="1">"c8797"</definedName>
    <definedName name="IQ_GLA_SQ_METER_OTHER" hidden="1">"c8798"</definedName>
    <definedName name="IQ_GLA_SQ_METER_TOTAL" hidden="1">"c8799"</definedName>
    <definedName name="IQ_GLA_SQ_METER_UNCONSOL" hidden="1">"c8796"</definedName>
    <definedName name="IQ_GOODWILL_FFIEC" hidden="1">"c12836"</definedName>
    <definedName name="IQ_GOODWILL_IMPAIRMENT_FFIEC" hidden="1">"c13025"</definedName>
    <definedName name="IQ_GOODWILL_NET" hidden="1">"c1380"</definedName>
    <definedName name="IQ_GOVT_PERSONAL_TAXES_RECEIPTS" hidden="1">"c6876"</definedName>
    <definedName name="IQ_GOVT_PERSONAL_TAXES_RECEIPTS_APR" hidden="1">"c7536"</definedName>
    <definedName name="IQ_GOVT_PERSONAL_TAXES_RECEIPTS_APR_FC" hidden="1">"c8416"</definedName>
    <definedName name="IQ_GOVT_PERSONAL_TAXES_RECEIPTS_FC" hidden="1">"c7756"</definedName>
    <definedName name="IQ_GOVT_PERSONAL_TAXES_RECEIPTS_POP" hidden="1">"c7096"</definedName>
    <definedName name="IQ_GOVT_PERSONAL_TAXES_RECEIPTS_POP_FC" hidden="1">"c7976"</definedName>
    <definedName name="IQ_GOVT_PERSONAL_TAXES_RECEIPTS_YOY" hidden="1">"c7316"</definedName>
    <definedName name="IQ_GOVT_PERSONAL_TAXES_RECEIPTS_YOY_FC" hidden="1">"c8196"</definedName>
    <definedName name="IQ_GOVT_RECEIPTS" hidden="1">"c6877"</definedName>
    <definedName name="IQ_GOVT_RECEIPTS_APR" hidden="1">"c7537"</definedName>
    <definedName name="IQ_GOVT_RECEIPTS_APR_FC" hidden="1">"c8417"</definedName>
    <definedName name="IQ_GOVT_RECEIPTS_FC" hidden="1">"c7757"</definedName>
    <definedName name="IQ_GOVT_RECEIPTS_POP" hidden="1">"c7097"</definedName>
    <definedName name="IQ_GOVT_RECEIPTS_POP_FC" hidden="1">"c7977"</definedName>
    <definedName name="IQ_GOVT_RECEIPTS_YOY" hidden="1">"c7317"</definedName>
    <definedName name="IQ_GOVT_RECEIPTS_YOY_FC" hidden="1">"c8197"</definedName>
    <definedName name="IQ_GP" hidden="1">"c511"</definedName>
    <definedName name="IQ_GP_10YR_ANN_CAGR" hidden="1">"c6090"</definedName>
    <definedName name="IQ_GP_10YR_ANN_GROWTH" hidden="1">"c512"</definedName>
    <definedName name="IQ_GP_1YR_ANN_GROWTH" hidden="1">"c513"</definedName>
    <definedName name="IQ_GP_2YR_ANN_CAGR" hidden="1">"c6091"</definedName>
    <definedName name="IQ_GP_2YR_ANN_GROWTH" hidden="1">"c514"</definedName>
    <definedName name="IQ_GP_3YR_ANN_CAGR" hidden="1">"c6092"</definedName>
    <definedName name="IQ_GP_3YR_ANN_GROWTH" hidden="1">"c515"</definedName>
    <definedName name="IQ_GP_5YR_ANN_CAGR" hidden="1">"c6093"</definedName>
    <definedName name="IQ_GP_5YR_ANN_GROWTH" hidden="1">"c516"</definedName>
    <definedName name="IQ_GP_7YR_ANN_CAGR" hidden="1">"c6094"</definedName>
    <definedName name="IQ_GP_7YR_ANN_GROWTH" hidden="1">"c517"</definedName>
    <definedName name="IQ_GPPE" hidden="1">"c518"</definedName>
    <definedName name="IQ_GROSS_ADD_BASIC" hidden="1">"c15776"</definedName>
    <definedName name="IQ_GROSS_ADD_BBAND" hidden="1">"c15779"</definedName>
    <definedName name="IQ_GROSS_ADD_DIG" hidden="1">"c15777"</definedName>
    <definedName name="IQ_GROSS_ADD_PHONE" hidden="1">"c15780"</definedName>
    <definedName name="IQ_GROSS_ADD_POSTPAID_WIRELESS" hidden="1">"c15750"</definedName>
    <definedName name="IQ_GROSS_ADD_PREPAID_WIRELESS" hidden="1">"c15751"</definedName>
    <definedName name="IQ_GROSS_ADD_RESELL_WHOLESALE_WIRELESS" hidden="1">"c15752"</definedName>
    <definedName name="IQ_GROSS_ADD_RGU" hidden="1">"c15781"</definedName>
    <definedName name="IQ_GROSS_ADD_SATELLITE" hidden="1">"c15778"</definedName>
    <definedName name="IQ_GROSS_ADD_TOTAL_WIRELESS" hidden="1">"c15753"</definedName>
    <definedName name="IQ_GROSS_AH_EARNED" hidden="1">"c2742"</definedName>
    <definedName name="IQ_GROSS_CLAIM_ADJ_EXP_RESERVE_BOP" hidden="1">"c15874"</definedName>
    <definedName name="IQ_GROSS_CLAIM_EXP_INCUR" hidden="1">"c2755"</definedName>
    <definedName name="IQ_GROSS_CLAIM_EXP_PAID" hidden="1">"c2758"</definedName>
    <definedName name="IQ_GROSS_CLAIM_EXP_RES" hidden="1">"c2752"</definedName>
    <definedName name="IQ_GROSS_DIVID" hidden="1">"c1446"</definedName>
    <definedName name="IQ_GROSS_EARNED" hidden="1">"c2732"</definedName>
    <definedName name="IQ_GROSS_LIFE_EARNED" hidden="1">"c2737"</definedName>
    <definedName name="IQ_GROSS_LIFE_IN_FORCE" hidden="1">"c2767"</definedName>
    <definedName name="IQ_GROSS_LOANS" hidden="1">"c521"</definedName>
    <definedName name="IQ_GROSS_LOANS_10YR_ANN_CAGR" hidden="1">"c6095"</definedName>
    <definedName name="IQ_GROSS_LOANS_10YR_ANN_GROWTH" hidden="1">"c522"</definedName>
    <definedName name="IQ_GROSS_LOANS_1YR_ANN_GROWTH" hidden="1">"c523"</definedName>
    <definedName name="IQ_GROSS_LOANS_2YR_ANN_CAGR" hidden="1">"c6096"</definedName>
    <definedName name="IQ_GROSS_LOANS_2YR_ANN_GROWTH" hidden="1">"c524"</definedName>
    <definedName name="IQ_GROSS_LOANS_3YR_ANN_CAGR" hidden="1">"c6097"</definedName>
    <definedName name="IQ_GROSS_LOANS_3YR_ANN_GROWTH" hidden="1">"c525"</definedName>
    <definedName name="IQ_GROSS_LOANS_5YR_ANN_CAGR" hidden="1">"c6098"</definedName>
    <definedName name="IQ_GROSS_LOANS_5YR_ANN_GROWTH" hidden="1">"c526"</definedName>
    <definedName name="IQ_GROSS_LOANS_7YR_ANN_CAGR" hidden="1">"c6099"</definedName>
    <definedName name="IQ_GROSS_LOANS_7YR_ANN_GROWTH" hidden="1">"c527"</definedName>
    <definedName name="IQ_GROSS_LOANS_TOTAL_DEPOSITS" hidden="1">"c528"</definedName>
    <definedName name="IQ_GROSS_LOSSES" hidden="1">"c15871"</definedName>
    <definedName name="IQ_GROSS_LOSSES_AVG_LOANS_FFIEC" hidden="1">"c13475"</definedName>
    <definedName name="IQ_GROSS_MARGIN" hidden="1">"c529"</definedName>
    <definedName name="IQ_GROSS_MARGIN_ACT_OR_EST" hidden="1">"c5554"</definedName>
    <definedName name="IQ_GROSS_MARGIN_ACT_OR_EST_THOM" hidden="1">"c5562"</definedName>
    <definedName name="IQ_GROSS_MARGIN_EST" hidden="1">"c5547"</definedName>
    <definedName name="IQ_GROSS_MARGIN_EST_THOM" hidden="1">"c5555"</definedName>
    <definedName name="IQ_GROSS_MARGIN_HIGH_EST" hidden="1">"c5549"</definedName>
    <definedName name="IQ_GROSS_MARGIN_HIGH_EST_THOM" hidden="1">"c5557"</definedName>
    <definedName name="IQ_GROSS_MARGIN_LOW_EST" hidden="1">"c5550"</definedName>
    <definedName name="IQ_GROSS_MARGIN_LOW_EST_THOM" hidden="1">"c5558"</definedName>
    <definedName name="IQ_GROSS_MARGIN_MEDIAN_EST" hidden="1">"c5548"</definedName>
    <definedName name="IQ_GROSS_MARGIN_MEDIAN_EST_THOM" hidden="1">"c5556"</definedName>
    <definedName name="IQ_GROSS_MARGIN_NUM_EST" hidden="1">"c5551"</definedName>
    <definedName name="IQ_GROSS_MARGIN_NUM_EST_THOM" hidden="1">"c5559"</definedName>
    <definedName name="IQ_GROSS_MARGIN_STDDEV_EST" hidden="1">"c5552"</definedName>
    <definedName name="IQ_GROSS_MARGIN_STDDEV_EST_THOM" hidden="1">"c5560"</definedName>
    <definedName name="IQ_GROSS_PC_EARNED" hidden="1">"c2747"</definedName>
    <definedName name="IQ_GROSS_PREMIUMS_WRITTEN_AVG_ASSETS" hidden="1">"c15893"</definedName>
    <definedName name="IQ_GROSS_PREMIUMS_WRITTEN_AVG_EQUITY" hidden="1">"c15892"</definedName>
    <definedName name="IQ_GROSS_PREMIUMS_WRITTEN_AVG_STATUTORY_SURPLUS" hidden="1">"c15894"</definedName>
    <definedName name="IQ_GROSS_PROFIT" hidden="1">"c1378"</definedName>
    <definedName name="IQ_GROSS_SPRD" hidden="1">"c2155"</definedName>
    <definedName name="IQ_GROSS_WRITTEN" hidden="1">"c2726"</definedName>
    <definedName name="IQ_GROUP_EMBEDDED_VALUE_ASSET_MANAGEMENT" hidden="1">"c9955"</definedName>
    <definedName name="IQ_GROUP_EMBEDDED_VALUE_HEALTH" hidden="1">"c9954"</definedName>
    <definedName name="IQ_GROUP_EMBEDDED_VALUE_LIFE" hidden="1">"c9953"</definedName>
    <definedName name="IQ_GROUP_EMBEDDED_VALUE_LIFE_OTHER" hidden="1">"c9956"</definedName>
    <definedName name="IQ_GVKEY" hidden="1">"c15590"</definedName>
    <definedName name="IQ_GVKEY_OTHER" hidden="1">"c15633"</definedName>
    <definedName name="IQ_GW" hidden="1">"c530"</definedName>
    <definedName name="IQ_GW_AMORT_BR" hidden="1">"c532"</definedName>
    <definedName name="IQ_GW_AMORT_FIN" hidden="1">"c540"</definedName>
    <definedName name="IQ_GW_AMORT_INS" hidden="1">"c541"</definedName>
    <definedName name="IQ_GW_AMORT_REIT" hidden="1">"c542"</definedName>
    <definedName name="IQ_GW_AMORT_UTI" hidden="1">"c543"</definedName>
    <definedName name="IQ_GW_INTAN_AMORT" hidden="1">"c1469"</definedName>
    <definedName name="IQ_GW_INTAN_AMORT_BNK" hidden="1">"c544"</definedName>
    <definedName name="IQ_GW_INTAN_AMORT_BR" hidden="1">"c1470"</definedName>
    <definedName name="IQ_GW_INTAN_AMORT_CF" hidden="1">"c1471"</definedName>
    <definedName name="IQ_GW_INTAN_AMORT_CF_BNK" hidden="1">"c1472"</definedName>
    <definedName name="IQ_GW_INTAN_AMORT_CF_BR" hidden="1">"c1473"</definedName>
    <definedName name="IQ_GW_INTAN_AMORT_CF_FIN" hidden="1">"c1474"</definedName>
    <definedName name="IQ_GW_INTAN_AMORT_CF_INS" hidden="1">"c1475"</definedName>
    <definedName name="IQ_GW_INTAN_AMORT_CF_RE" hidden="1">"c6279"</definedName>
    <definedName name="IQ_GW_INTAN_AMORT_CF_REIT" hidden="1">"c1476"</definedName>
    <definedName name="IQ_GW_INTAN_AMORT_CF_UTI" hidden="1">"c1477"</definedName>
    <definedName name="IQ_GW_INTAN_AMORT_FIN" hidden="1">"c1478"</definedName>
    <definedName name="IQ_GW_INTAN_AMORT_INS" hidden="1">"c1479"</definedName>
    <definedName name="IQ_GW_INTAN_AMORT_RE" hidden="1">"c6280"</definedName>
    <definedName name="IQ_GW_INTAN_AMORT_REIT" hidden="1">"c1480"</definedName>
    <definedName name="IQ_GW_INTAN_AMORT_UTI" hidden="1">"c1481"</definedName>
    <definedName name="IQ_HC_ADJUSTED_DISCHARGES" hidden="1">"c9977"</definedName>
    <definedName name="IQ_HC_ADMISSIONS" hidden="1">"c5953"</definedName>
    <definedName name="IQ_HC_ADMISSIONS_GROWTH" hidden="1">"c5997"</definedName>
    <definedName name="IQ_HC_ADMISSIONS_MANAGED_CARE" hidden="1">"c5956"</definedName>
    <definedName name="IQ_HC_ADMISSIONS_MEDICAID" hidden="1">"c5955"</definedName>
    <definedName name="IQ_HC_ADMISSIONS_MEDICARE" hidden="1">"c5954"</definedName>
    <definedName name="IQ_HC_ADMISSIONS_OTHER" hidden="1">"c5957"</definedName>
    <definedName name="IQ_HC_ADMISSIONS_SF" hidden="1">"c6006"</definedName>
    <definedName name="IQ_HC_ALFS" hidden="1">"c5952"</definedName>
    <definedName name="IQ_HC_ASO_COVERED_LIVES" hidden="1">"c9982"</definedName>
    <definedName name="IQ_HC_ASO_MEMBERSHIP" hidden="1">"c9985"</definedName>
    <definedName name="IQ_HC_AVG_BEDS_SVC" hidden="1">"c5951"</definedName>
    <definedName name="IQ_HC_AVG_DAILY_CENSUS" hidden="1">"c5965"</definedName>
    <definedName name="IQ_HC_AVG_LICENSED_BEDS" hidden="1">"c5949"</definedName>
    <definedName name="IQ_HC_AVG_LICENSED_BEDS_SF" hidden="1">"c6004"</definedName>
    <definedName name="IQ_HC_AVG_STAY" hidden="1">"c5966"</definedName>
    <definedName name="IQ_HC_AVG_STAY_SF" hidden="1">"c6016"</definedName>
    <definedName name="IQ_HC_BEDS_SVC" hidden="1">"c5950"</definedName>
    <definedName name="IQ_HC_CASES" hidden="1">"c9978"</definedName>
    <definedName name="IQ_HC_CLAIMS_RESERVES" hidden="1">"c9989"</definedName>
    <definedName name="IQ_HC_DAYS_REV_OUT" hidden="1">"c5993"</definedName>
    <definedName name="IQ_HC_DISCHARGES" hidden="1">"c9976"</definedName>
    <definedName name="IQ_HC_EQUIV_ADMISSIONS_GROWTH" hidden="1">"c5998"</definedName>
    <definedName name="IQ_HC_EQUIVALENT_ADMISSIONS" hidden="1">"c5958"</definedName>
    <definedName name="IQ_HC_EQUIVALENT_ADMISSIONS_SF" hidden="1">"c6007"</definedName>
    <definedName name="IQ_HC_EQUIVALENT_PATIENT_DAYS" hidden="1">"c9980"</definedName>
    <definedName name="IQ_HC_ER_VISITS" hidden="1">"c5964"</definedName>
    <definedName name="IQ_HC_ER_VISITS_SF" hidden="1">"c6017"</definedName>
    <definedName name="IQ_HC_GROSS_INPATIENT_REV" hidden="1">"c5987"</definedName>
    <definedName name="IQ_HC_GROSS_OUTPATIENT_REV" hidden="1">"c5988"</definedName>
    <definedName name="IQ_HC_GROSS_PATIENT_REV" hidden="1">"c5989"</definedName>
    <definedName name="IQ_HC_HOSP_FACILITIES_CONSOL" hidden="1">"c5945"</definedName>
    <definedName name="IQ_HC_HOSP_FACILITIES_CONSOL_SF" hidden="1">"c6000"</definedName>
    <definedName name="IQ_HC_HOSP_FACILITIES_NON_CONSOL" hidden="1">"c5946"</definedName>
    <definedName name="IQ_HC_HOSP_FACILITIES_NON_CONSOL_SF" hidden="1">"c6001"</definedName>
    <definedName name="IQ_HC_HOSP_FACILITIES_TOTAL" hidden="1">"c5947"</definedName>
    <definedName name="IQ_HC_HOSP_FACILITIES_TOTAL_SF" hidden="1">"c6002"</definedName>
    <definedName name="IQ_HC_INPATIENT_PROCEDURES" hidden="1">"c5961"</definedName>
    <definedName name="IQ_HC_INPATIENT_PROCEDURES_SF" hidden="1">"c6011"</definedName>
    <definedName name="IQ_HC_INPATIENT_REV_PER_ADMISSION" hidden="1">"c5994"</definedName>
    <definedName name="IQ_HC_INTPATIENT_SVCS_PCT_REV" hidden="1">"c5975"</definedName>
    <definedName name="IQ_HC_INTPATIENT_SVCS_PCT_REV_SF" hidden="1">"c6015"</definedName>
    <definedName name="IQ_HC_LICENSED_BEDS" hidden="1">"c5948"</definedName>
    <definedName name="IQ_HC_LICENSED_BEDS_SF" hidden="1">"c6003"</definedName>
    <definedName name="IQ_HC_MANAGED_CARE_PCT_ADMISSIONS" hidden="1">"c5982"</definedName>
    <definedName name="IQ_HC_MANAGED_CARE_PCT_REV" hidden="1">"c5978"</definedName>
    <definedName name="IQ_HC_MEDICAID_PCT_ADMISSIONS" hidden="1">"c5981"</definedName>
    <definedName name="IQ_HC_MEDICAID_PCT_REV" hidden="1">"c5977"</definedName>
    <definedName name="IQ_HC_MEDICAL_EXPENSE_RATIO" hidden="1">"c9987"</definedName>
    <definedName name="IQ_HC_MEDICARE_PCT_ADMISSIONS" hidden="1">"c5980"</definedName>
    <definedName name="IQ_HC_MEDICARE_PCT_REV" hidden="1">"c5976"</definedName>
    <definedName name="IQ_HC_NET_INPATIENT_REV" hidden="1">"c5984"</definedName>
    <definedName name="IQ_HC_NET_OUTPATIENT_REV" hidden="1">"c5985"</definedName>
    <definedName name="IQ_HC_NET_PATIENT_REV" hidden="1">"c5986"</definedName>
    <definedName name="IQ_HC_NET_PATIENT_REV_SF" hidden="1">"c6005"</definedName>
    <definedName name="IQ_HC_OCC_RATE" hidden="1">"c5967"</definedName>
    <definedName name="IQ_HC_OCC_RATE_LICENSED_BEDS" hidden="1">"c5968"</definedName>
    <definedName name="IQ_HC_OCC_RATE_SF" hidden="1">"c6009"</definedName>
    <definedName name="IQ_HC_OPEX_SUPPLIES" hidden="1">"c5990"</definedName>
    <definedName name="IQ_HC_OTHER_OPEX_PCT_REV" hidden="1">"c5973"</definedName>
    <definedName name="IQ_HC_OUTPATIENT_PROCEDURES" hidden="1">"c5962"</definedName>
    <definedName name="IQ_HC_OUTPATIENT_PROCEDURES_SF" hidden="1">"c6012"</definedName>
    <definedName name="IQ_HC_OUTPATIENT_REV_PER_ADMISSION" hidden="1">"c5995"</definedName>
    <definedName name="IQ_HC_OUTPATIENT_SVCS_PCT_REV" hidden="1">"c5974"</definedName>
    <definedName name="IQ_HC_OUTPATIENT_SVCS_PCT_REV_SF" hidden="1">"c6014"</definedName>
    <definedName name="IQ_HC_PATIENT_DAYS" hidden="1">"c5960"</definedName>
    <definedName name="IQ_HC_PATIENT_DAYS_SF" hidden="1">"c6010"</definedName>
    <definedName name="IQ_HC_PROF_GEN_LIAB_CLAIM_PAID" hidden="1">"c5991"</definedName>
    <definedName name="IQ_HC_PROF_GEN_LIAB_EXP_BENEFIT" hidden="1">"c5992"</definedName>
    <definedName name="IQ_HC_PROVISION_DOUBTFUL_PCT_REV" hidden="1">"c5972"</definedName>
    <definedName name="IQ_HC_REV_GROWTH" hidden="1">"c5996"</definedName>
    <definedName name="IQ_HC_REV_PER_CASE" hidden="1">"c9979"</definedName>
    <definedName name="IQ_HC_REV_PER_DISCHARGE" hidden="1">"c9990"</definedName>
    <definedName name="IQ_HC_REV_PER_EQUIV_ADMISSION" hidden="1">"c5959"</definedName>
    <definedName name="IQ_HC_REV_PER_EQUIV_ADMISSION_SF" hidden="1">"c6008"</definedName>
    <definedName name="IQ_HC_REV_PER_EQUIV_ADMISSIONS_GROWTH" hidden="1">"c5999"</definedName>
    <definedName name="IQ_HC_REV_PER_PATIENT_DAY" hidden="1">"c5969"</definedName>
    <definedName name="IQ_HC_REV_PER_PATIENT_DAY_SF" hidden="1">"c6018"</definedName>
    <definedName name="IQ_HC_RISK_COVERED_LIVES" hidden="1">"c9981"</definedName>
    <definedName name="IQ_HC_RISK_MEMBERSHIP" hidden="1">"c9984"</definedName>
    <definedName name="IQ_HC_SALARIES_PCT_REV" hidden="1">"c5970"</definedName>
    <definedName name="IQ_HC_SGA_MARGIN" hidden="1">"c9988"</definedName>
    <definedName name="IQ_HC_SUPPLIES_PCT_REV" hidden="1">"c5971"</definedName>
    <definedName name="IQ_HC_TOTAL_COVERED_LIVES" hidden="1">"c9983"</definedName>
    <definedName name="IQ_HC_TOTAL_MEMBERSHIP" hidden="1">"c9986"</definedName>
    <definedName name="IQ_HC_TOTAL_PROCEDURES" hidden="1">"c5963"</definedName>
    <definedName name="IQ_HC_TOTAL_PROCEDURES_SF" hidden="1">"c6013"</definedName>
    <definedName name="IQ_HC_UNINSURED_PCT_ADMISSIONS" hidden="1">"c5983"</definedName>
    <definedName name="IQ_HC_UNINSURED_PCT_REV" hidden="1">"c5979"</definedName>
    <definedName name="IQ_HEDGEFUND_OVER_TOTAL" hidden="1">"c13771"</definedName>
    <definedName name="IQ_HG_ACQUIRED_FRANCHISE_HOTEL_PROPERTIES" hidden="1">"c8584"</definedName>
    <definedName name="IQ_HG_ACQUIRED_FRANCHISE_ROOMS" hidden="1">"c8614"</definedName>
    <definedName name="IQ_HG_ACQUIRED_HOTEL_PROPERTIES" hidden="1">"c8572"</definedName>
    <definedName name="IQ_HG_ACQUIRED_MANAGED_HOTEL_PROPERTIES" hidden="1">"c8590"</definedName>
    <definedName name="IQ_HG_ACQUIRED_MANAGED_ROOMS" hidden="1">"c8620"</definedName>
    <definedName name="IQ_HG_ACQUIRED_OTHER_HOTEL_PROPERTIES" hidden="1">"c8596"</definedName>
    <definedName name="IQ_HG_ACQUIRED_OTHER_ROOMS" hidden="1">"c8626"</definedName>
    <definedName name="IQ_HG_ACQUIRED_OWNED_HOTEL_PROPERTIES" hidden="1">"c8578"</definedName>
    <definedName name="IQ_HG_ACQUIRED_OWNED_ROOMS" hidden="1">"c8608"</definedName>
    <definedName name="IQ_HG_ACQUIRED_ROOMS" hidden="1">"c8602"</definedName>
    <definedName name="IQ_HG_ADR_CHANGE_FRANCHISE" hidden="1">"c8684"</definedName>
    <definedName name="IQ_HG_ADR_CHANGE_MANAGED" hidden="1">"c8685"</definedName>
    <definedName name="IQ_HG_ADR_CHANGE_OTHER" hidden="1">"c8686"</definedName>
    <definedName name="IQ_HG_ADR_CHANGE_OWNED" hidden="1">"c8683"</definedName>
    <definedName name="IQ_HG_ADR_CHANGE_OWNED_COMP" hidden="1">"c8709"</definedName>
    <definedName name="IQ_HG_ADR_CHANGE_TOTAL" hidden="1">"c8687"</definedName>
    <definedName name="IQ_HG_ADR_CHANGE_TOTAL_COMP" hidden="1">"c8710"</definedName>
    <definedName name="IQ_HG_ADR_FRANCHISE" hidden="1">"c8664"</definedName>
    <definedName name="IQ_HG_ADR_MANAGED" hidden="1">"c8665"</definedName>
    <definedName name="IQ_HG_ADR_OTHER" hidden="1">"c8666"</definedName>
    <definedName name="IQ_HG_ADR_OWNED" hidden="1">"c8663"</definedName>
    <definedName name="IQ_HG_ADR_OWNED_COMP" hidden="1">"c8701"</definedName>
    <definedName name="IQ_HG_ADR_TOTAL" hidden="1">"c8667"</definedName>
    <definedName name="IQ_HG_ADR_TOTAL_COMP" hidden="1">"c8702"</definedName>
    <definedName name="IQ_HG_CASINO_EXP_DIRECT_OPERATING_EXP" hidden="1">"c15981"</definedName>
    <definedName name="IQ_HG_CASINO_GROSS_PROFIT" hidden="1">"c15974"</definedName>
    <definedName name="IQ_HG_CASINO_MARGIN" hidden="1">"c15976"</definedName>
    <definedName name="IQ_HG_CASINO_OPERATING_MARGIN" hidden="1">"c15977"</definedName>
    <definedName name="IQ_HG_CASINOS_JV" hidden="1">"c8631"</definedName>
    <definedName name="IQ_HG_CASINOS_MANAGED" hidden="1">"c8632"</definedName>
    <definedName name="IQ_HG_CASINOS_OWNED" hidden="1">"c8630"</definedName>
    <definedName name="IQ_HG_CASINOS_TOTAL" hidden="1">"c8633"</definedName>
    <definedName name="IQ_HG_CLOSED_FRANCHISE_HOTEL_PROPERTIES" hidden="1">"c8586"</definedName>
    <definedName name="IQ_HG_CLOSED_FRANCHISE_ROOMS" hidden="1">"c8616"</definedName>
    <definedName name="IQ_HG_CLOSED_HOTEL_PROPERTIES" hidden="1">"c8574"</definedName>
    <definedName name="IQ_HG_CLOSED_MANAGED_HOTEL_PROPERTIES" hidden="1">"c8592"</definedName>
    <definedName name="IQ_HG_CLOSED_MANAGED_ROOMS" hidden="1">"c8622"</definedName>
    <definedName name="IQ_HG_CLOSED_OTHER_HOTEL_PROPERTIES" hidden="1">"c8598"</definedName>
    <definedName name="IQ_HG_CLOSED_OTHER_ROOMS" hidden="1">"c8628"</definedName>
    <definedName name="IQ_HG_CLOSED_OWNED_HOTEL_PROPERTIES" hidden="1">"c8580"</definedName>
    <definedName name="IQ_HG_CLOSED_OWNED_ROOMS" hidden="1">"c8610"</definedName>
    <definedName name="IQ_HG_CLOSED_ROOMS" hidden="1">"c8604"</definedName>
    <definedName name="IQ_HG_CONFERENCE_SPACE" hidden="1">"c15971"</definedName>
    <definedName name="IQ_HG_EXP_CASINO" hidden="1">"c8733"</definedName>
    <definedName name="IQ_HG_EXP_DEVELOPMENT" hidden="1">"c8738"</definedName>
    <definedName name="IQ_HG_EXP_DIRECT_CASINO_GAMING" hidden="1">"c15994"</definedName>
    <definedName name="IQ_HG_EXP_ENTERTAINMENT" hidden="1">"c8736"</definedName>
    <definedName name="IQ_HG_EXP_FOOD_BEV" hidden="1">"c8734"</definedName>
    <definedName name="IQ_HG_EXP_FRANCHISE_MANAGEMENT" hidden="1">"c8744"</definedName>
    <definedName name="IQ_HG_EXP_OTHER_DIRECT_HOTEL_MOTEL" hidden="1">"c15995"</definedName>
    <definedName name="IQ_HG_EXP_OTHER_MNGD_FRANCHISE_PROP" hidden="1">"c8742"</definedName>
    <definedName name="IQ_HG_EXP_OWNED_LEASED_CONSOL_JV" hidden="1">"c8740"</definedName>
    <definedName name="IQ_HG_EXP_REIMBURSEMENTS" hidden="1">"c8743"</definedName>
    <definedName name="IQ_HG_EXP_RETAIL" hidden="1">"c8737"</definedName>
    <definedName name="IQ_HG_EXP_ROOMS" hidden="1">"c8735"</definedName>
    <definedName name="IQ_HG_EXP_THEATRE_CONCESSION" hidden="1">"c8739"</definedName>
    <definedName name="IQ_HG_EXP_VACA_OWNERSHIP_RES" hidden="1">"c8741"</definedName>
    <definedName name="IQ_HG_FOOD_BEV_EXP_DIRECT_OPERATING_EXP" hidden="1">"c15980"</definedName>
    <definedName name="IQ_HG_FOOD_BEV_REV_TOTAL_REV" hidden="1">"c15983"</definedName>
    <definedName name="IQ_HG_FOOD_PROM_COSTS" hidden="1">"c8746"</definedName>
    <definedName name="IQ_HG_FRANCHISE_HOTEL_PROPERTIES_BEG" hidden="1">"c8582"</definedName>
    <definedName name="IQ_HG_FRANCHISE_ROOMS_BEG" hidden="1">"c8612"</definedName>
    <definedName name="IQ_HG_GAMING_SPACE_JV" hidden="1">"c8635"</definedName>
    <definedName name="IQ_HG_GAMING_SPACE_MANAGED" hidden="1">"c8636"</definedName>
    <definedName name="IQ_HG_GAMING_SPACE_OWNED" hidden="1">"c8634"</definedName>
    <definedName name="IQ_HG_GAMING_SPACE_TOTAL" hidden="1">"c8637"</definedName>
    <definedName name="IQ_HG_HOTEL_PROPERTIES_BEG" hidden="1">"c8570"</definedName>
    <definedName name="IQ_HG_LAND_AVAIL_JV" hidden="1">"c8647"</definedName>
    <definedName name="IQ_HG_LAND_AVAIL_MANAGED" hidden="1">"c8648"</definedName>
    <definedName name="IQ_HG_LAND_AVAIL_OWNED" hidden="1">"c8646"</definedName>
    <definedName name="IQ_HG_LAND_AVAIL_TOTAL" hidden="1">"c8649"</definedName>
    <definedName name="IQ_HG_LAND_JV" hidden="1">"c8651"</definedName>
    <definedName name="IQ_HG_LAND_MANAGED" hidden="1">"c8652"</definedName>
    <definedName name="IQ_HG_LAND_OWNED" hidden="1">"c8650"</definedName>
    <definedName name="IQ_HG_LAND_TOTAL" hidden="1">"c8653"</definedName>
    <definedName name="IQ_HG_MANAGED_HOTEL_PROPERTIES_BEG" hidden="1">"c8588"</definedName>
    <definedName name="IQ_HG_MANAGED_ROOMS_BEG" hidden="1">"c8618"</definedName>
    <definedName name="IQ_HG_NUMBER_SUITES" hidden="1">"c15970"</definedName>
    <definedName name="IQ_HG_NUMBER_TABLES_AVG" hidden="1">"c15973"</definedName>
    <definedName name="IQ_HG_OCCUPANCY_CHANGE_FRANCHISE" hidden="1">"c8675"</definedName>
    <definedName name="IQ_HG_OCCUPANCY_CHANGE_MANAGED" hidden="1">"c8677"</definedName>
    <definedName name="IQ_HG_OCCUPANCY_CHANGE_OTHER" hidden="1">"c8679"</definedName>
    <definedName name="IQ_HG_OCCUPANCY_CHANGE_OWNED" hidden="1">"c8673"</definedName>
    <definedName name="IQ_HG_OCCUPANCY_CHANGE_OWNED_COMP" hidden="1">"c8705"</definedName>
    <definedName name="IQ_HG_OCCUPANCY_CHANGE_TOTAL" hidden="1">"c8681"</definedName>
    <definedName name="IQ_HG_OCCUPANCY_CHANGE_TOTAL_COMP" hidden="1">"c8707"</definedName>
    <definedName name="IQ_HG_OCCUPANCY_FRANCHISE" hidden="1">"c8659"</definedName>
    <definedName name="IQ_HG_OCCUPANCY_INCDEC_FRANCHISE" hidden="1">"c8676"</definedName>
    <definedName name="IQ_HG_OCCUPANCY_INCDEC_MANAGED" hidden="1">"c8678"</definedName>
    <definedName name="IQ_HG_OCCUPANCY_INCDEC_OTHER" hidden="1">"c8680"</definedName>
    <definedName name="IQ_HG_OCCUPANCY_INCDEC_OWNED" hidden="1">"c8674"</definedName>
    <definedName name="IQ_HG_OCCUPANCY_INCDEC_OWNED_COMP" hidden="1">"c8706"</definedName>
    <definedName name="IQ_HG_OCCUPANCY_INCDEC_TOTAL" hidden="1">"c8682"</definedName>
    <definedName name="IQ_HG_OCCUPANCY_INCDEC_TOTAL_COMP" hidden="1">"c8708"</definedName>
    <definedName name="IQ_HG_OCCUPANCY_MANAGED" hidden="1">"c8660"</definedName>
    <definedName name="IQ_HG_OCCUPANCY_OTHER" hidden="1">"c8661"</definedName>
    <definedName name="IQ_HG_OCCUPANCY_OWNED" hidden="1">"c8658"</definedName>
    <definedName name="IQ_HG_OCCUPANCY_OWNED_COMP" hidden="1">"c8699"</definedName>
    <definedName name="IQ_HG_OCCUPANCY_TOTAL" hidden="1">"c8662"</definedName>
    <definedName name="IQ_HG_OCCUPANCY_TOTAL_COMP" hidden="1">"c8700"</definedName>
    <definedName name="IQ_HG_OPENED_FRANCHISE_HOTEL_PROPERTIES" hidden="1">"c8583"</definedName>
    <definedName name="IQ_HG_OPENED_FRANCHISE_ROOMS" hidden="1">"c8613"</definedName>
    <definedName name="IQ_HG_OPENED_HOTEL_PROPERTIES" hidden="1">"c8571"</definedName>
    <definedName name="IQ_HG_OPENED_MANAGED_HOTEL_PROPERTIES" hidden="1">"c8589"</definedName>
    <definedName name="IQ_HG_OPENED_MANAGED_ROOMS" hidden="1">"c8619"</definedName>
    <definedName name="IQ_HG_OPENED_OTHER_HOTEL_PROPERTIES" hidden="1">"c8595"</definedName>
    <definedName name="IQ_HG_OPENED_OTHER_ROOMS" hidden="1">"c8625"</definedName>
    <definedName name="IQ_HG_OPENED_OWNED_HOTEL_PROPERTIES" hidden="1">"c8577"</definedName>
    <definedName name="IQ_HG_OPENED_OWNED_ROOMS" hidden="1">"c8607"</definedName>
    <definedName name="IQ_HG_OPENED_ROOMS" hidden="1">"c8601"</definedName>
    <definedName name="IQ_HG_OTHER_HOTEL_PROPERTIES_BEG" hidden="1">"c8594"</definedName>
    <definedName name="IQ_HG_OTHER_PROM_COSTS" hidden="1">"c8747"</definedName>
    <definedName name="IQ_HG_OTHER_ROOMS_BEG" hidden="1">"c8624"</definedName>
    <definedName name="IQ_HG_OWNED_HOTEL_PROPERTIES_BEG" hidden="1">"c8576"</definedName>
    <definedName name="IQ_HG_OWNED_ROOMS_BEG" hidden="1">"c8606"</definedName>
    <definedName name="IQ_HG_PARKING_SPACES_JV" hidden="1">"c8655"</definedName>
    <definedName name="IQ_HG_PARKING_SPACES_MANAGED" hidden="1">"c8656"</definedName>
    <definedName name="IQ_HG_PARKING_SPACES_OWNED" hidden="1">"c8654"</definedName>
    <definedName name="IQ_HG_PARKING_SPACES_TOTAL" hidden="1">"c8657"</definedName>
    <definedName name="IQ_HG_PROMO_ALLOW_GROSS_OPERATING_REV" hidden="1">"c15979"</definedName>
    <definedName name="IQ_HG_REV_BASE_MANAGEMENT_FEES" hidden="1">"c8726"</definedName>
    <definedName name="IQ_HG_REV_CASINO" hidden="1">"c8713"</definedName>
    <definedName name="IQ_HG_REV_COST_REIMBURSEMENT" hidden="1">"c8728"</definedName>
    <definedName name="IQ_HG_REV_ENTERTAINMENT" hidden="1">"c8716"</definedName>
    <definedName name="IQ_HG_REV_FOOD_BEV" hidden="1">"c8714"</definedName>
    <definedName name="IQ_HG_REV_FRANCHISE" hidden="1">"c8725"</definedName>
    <definedName name="IQ_HG_REV_GROSS_OPERATING" hidden="1">"c15993"</definedName>
    <definedName name="IQ_HG_REV_INCENTIVE_MANAGEMENT_FEES" hidden="1">"c8727"</definedName>
    <definedName name="IQ_HG_REV_MANAGEMENT_FEES" hidden="1">"c8718"</definedName>
    <definedName name="IQ_HG_REV_OTHER_CASINO" hidden="1">"c15992"</definedName>
    <definedName name="IQ_HG_REV_OTHER_MNGD_FRANCHISE_PROP" hidden="1">"c8730"</definedName>
    <definedName name="IQ_HG_REV_OTHER_OP_SEGMENT" hidden="1">"c8721"</definedName>
    <definedName name="IQ_HG_REV_OTHER_OWNERSHIP_MIX" hidden="1">"c8731"</definedName>
    <definedName name="IQ_HG_REV_OWNED_LEASED_CONSOL_JV_HOTELS" hidden="1">"c8724"</definedName>
    <definedName name="IQ_HG_REV_PROMOTIONAL_ALLOWANCE" hidden="1">"c8722"</definedName>
    <definedName name="IQ_HG_REV_RACING" hidden="1">"c8719"</definedName>
    <definedName name="IQ_HG_REV_RETAIL" hidden="1">"c8717"</definedName>
    <definedName name="IQ_HG_REV_ROOMS" hidden="1">"c8715"</definedName>
    <definedName name="IQ_HG_REV_SLOT_MACHINE" hidden="1">"c15990"</definedName>
    <definedName name="IQ_HG_REV_TABLE" hidden="1">"c15991"</definedName>
    <definedName name="IQ_HG_REV_THEATRE_CONCESSION" hidden="1">"c8720"</definedName>
    <definedName name="IQ_HG_REV_TOTAL_OP_SEGMENT" hidden="1">"c8723"</definedName>
    <definedName name="IQ_HG_REV_TOTAL_OWNERSHIP_MIX" hidden="1">"c8732"</definedName>
    <definedName name="IQ_HG_REV_VACA_OWNERSHIP_RES_SALES_SVCS" hidden="1">"c8729"</definedName>
    <definedName name="IQ_HG_REVENUES_CHANGE_OWNED_COMP" hidden="1">"c8697"</definedName>
    <definedName name="IQ_HG_REVENUES_CHANGE_TOTAL_COMP" hidden="1">"c8698"</definedName>
    <definedName name="IQ_HG_REVPAR_CHANGE_MANAGED" hidden="1">"c8690"</definedName>
    <definedName name="IQ_HG_REVPAR_CHANGE_OTHER" hidden="1">"c8691"</definedName>
    <definedName name="IQ_HG_REVPAR_CHANGE_OWNED" hidden="1">"c8688"</definedName>
    <definedName name="IQ_HG_REVPAR_CHANGE_OWNED_COMP" hidden="1">"c8711"</definedName>
    <definedName name="IQ_HG_REVPAR_CHANGE_TOTAL" hidden="1">"c8692"</definedName>
    <definedName name="IQ_HG_REVPAR_CHANGE_TOTAL_COMP" hidden="1">"c8712"</definedName>
    <definedName name="IQ_HG_REVPAR_CHNAGE_FRANCHISE" hidden="1">"c8689"</definedName>
    <definedName name="IQ_HG_REVPAR_FRANCHISE" hidden="1">"c8669"</definedName>
    <definedName name="IQ_HG_REVPAR_MANAGED" hidden="1">"c8670"</definedName>
    <definedName name="IQ_HG_REVPAR_OTHER" hidden="1">"c8671"</definedName>
    <definedName name="IQ_HG_REVPAR_OWNED" hidden="1">"c8668"</definedName>
    <definedName name="IQ_HG_REVPAR_OWNED_COMP" hidden="1">"c8703"</definedName>
    <definedName name="IQ_HG_REVPAR_TOTAL" hidden="1">"c8672"</definedName>
    <definedName name="IQ_HG_REVPAR_TOTAL_COMP" hidden="1">"c8704"</definedName>
    <definedName name="IQ_HG_ROOM_EXP_DIRECT_OPERATING_EXP" hidden="1">"c15982"</definedName>
    <definedName name="IQ_HG_ROOM_GROSS_PROFIT" hidden="1">"c15975"</definedName>
    <definedName name="IQ_HG_ROOM_MARGIN" hidden="1">"c15978"</definedName>
    <definedName name="IQ_HG_ROOM_PROM_COSTS" hidden="1">"c8745"</definedName>
    <definedName name="IQ_HG_ROOM_REV_TOTAL_REV" hidden="1">"c15984"</definedName>
    <definedName name="IQ_HG_ROOMS_BEG" hidden="1">"c8600"</definedName>
    <definedName name="IQ_HG_SAME_PROPERTIES_CASINO_REV_CHANGE" hidden="1">"c15987"</definedName>
    <definedName name="IQ_HG_SAME_PROPERTIES_FOOD_BEV_REV_CHANGE" hidden="1">"c15989"</definedName>
    <definedName name="IQ_HG_SAME_PROPERTIES_ROOM_REV_CHANGE" hidden="1">"c15988"</definedName>
    <definedName name="IQ_HG_SAME_PROPERTIES_SLOT_MACHINE_REV_CHANGE" hidden="1">"c15985"</definedName>
    <definedName name="IQ_HG_SAME_PROPERTIES_TABLE_REV_CHANGE" hidden="1">"c15986"</definedName>
    <definedName name="IQ_HG_SLOT_MACHINES_AVG" hidden="1">"c15972"</definedName>
    <definedName name="IQ_HG_SLOT_MACHINES_JV" hidden="1">"c8639"</definedName>
    <definedName name="IQ_HG_SLOT_MACHINES_MANAGED" hidden="1">"c8640"</definedName>
    <definedName name="IQ_HG_SLOT_MACHINES_OWNED" hidden="1">"c8638"</definedName>
    <definedName name="IQ_HG_SLOT_MACHINES_TOTAL" hidden="1">"c8641"</definedName>
    <definedName name="IQ_HG_SOLD_FRANCHISE_HOTEL_PROPERTIES" hidden="1">"c8585"</definedName>
    <definedName name="IQ_HG_SOLD_FRANCHISE_ROOMS" hidden="1">"c8615"</definedName>
    <definedName name="IQ_HG_SOLD_HOTEL_PROPERTIES" hidden="1">"c8573"</definedName>
    <definedName name="IQ_HG_SOLD_MANAGED_HOTEL_PROPERTIES" hidden="1">"c8591"</definedName>
    <definedName name="IQ_HG_SOLD_MANAGED_ROOMS" hidden="1">"c8621"</definedName>
    <definedName name="IQ_HG_SOLD_OTHER_HOTEL_PROPERTIES" hidden="1">"c8597"</definedName>
    <definedName name="IQ_HG_SOLD_OTHER_ROOMS" hidden="1">"c8627"</definedName>
    <definedName name="IQ_HG_SOLD_OWNED_HOTEL_PROPERTIES" hidden="1">"c8579"</definedName>
    <definedName name="IQ_HG_SOLD_OWNED_ROOMS" hidden="1">"c8609"</definedName>
    <definedName name="IQ_HG_SOLD_ROOMS" hidden="1">"c8603"</definedName>
    <definedName name="IQ_HG_TABLE_GAMES_JV" hidden="1">"c16124"</definedName>
    <definedName name="IQ_HG_TABLE_GAMES_MANAGED" hidden="1">"c16125"</definedName>
    <definedName name="IQ_HG_TABLE_GAMES_OWNED" hidden="1">"c16123"</definedName>
    <definedName name="IQ_HG_TABLE_GAMES_TOTAL" hidden="1">"c16126"</definedName>
    <definedName name="IQ_HG_TABLES_JV" hidden="1">"c8643"</definedName>
    <definedName name="IQ_HG_TABLES_MANAGED" hidden="1">"c8644"</definedName>
    <definedName name="IQ_HG_TABLES_OWNED" hidden="1">"c8642"</definedName>
    <definedName name="IQ_HG_TABLES_TOTAL" hidden="1">"c8645"</definedName>
    <definedName name="IQ_HG_TOTAL_FRANCHISE_HOTEL_PROPERTIES" hidden="1">"c8587"</definedName>
    <definedName name="IQ_HG_TOTAL_FRANCHISE_ROOMS" hidden="1">"c8617"</definedName>
    <definedName name="IQ_HG_TOTAL_HOTEL_PROPERTIES" hidden="1">"c8575"</definedName>
    <definedName name="IQ_HG_TOTAL_MANAGED_HOTEL_PROPERTIES" hidden="1">"c8593"</definedName>
    <definedName name="IQ_HG_TOTAL_MANAGED_ROOMS" hidden="1">"c8623"</definedName>
    <definedName name="IQ_HG_TOTAL_OTHER_HOTEL_PROPERTIES" hidden="1">"c8599"</definedName>
    <definedName name="IQ_HG_TOTAL_OTHER_ROOMS" hidden="1">"c8629"</definedName>
    <definedName name="IQ_HG_TOTAL_OWNED_HOTEL_PROPERTIES" hidden="1">"c8581"</definedName>
    <definedName name="IQ_HG_TOTAL_OWNED_PROPERTIES_COMP" hidden="1">"c8693"</definedName>
    <definedName name="IQ_HG_TOTAL_OWNED_ROOMS" hidden="1">"c8611"</definedName>
    <definedName name="IQ_HG_TOTAL_OWNED_ROOMS_COMP" hidden="1">"c8695"</definedName>
    <definedName name="IQ_HG_TOTAL_PROM_COSTS" hidden="1">"c8748"</definedName>
    <definedName name="IQ_HG_TOTAL_PROPERTIES_COMP" hidden="1">"c8694"</definedName>
    <definedName name="IQ_HG_TOTAL_ROOMS" hidden="1">"c8605"</definedName>
    <definedName name="IQ_HG_TOTAL_ROOMS_COMP" hidden="1">"c8696"</definedName>
    <definedName name="IQ_HIGH_LOW_CLOSEPRICE_DATE" hidden="1">"c1204"</definedName>
    <definedName name="IQ_HIGH_SULFUR_CONTENT_RESERVES_COAL" hidden="1">"c15928"</definedName>
    <definedName name="IQ_HIGH_SULFURE_RESERVES_TO_TOTAL_RESERVES_COAL" hidden="1">"c15963"</definedName>
    <definedName name="IQ_HIGH_TARGET_PRICE" hidden="1">"c1651"</definedName>
    <definedName name="IQ_HIGH_TARGET_PRICE_CIQ" hidden="1">"c4659"</definedName>
    <definedName name="IQ_HIGH_TARGET_PRICE_REUT" hidden="1">"c5317"</definedName>
    <definedName name="IQ_HIGH_TARGET_PRICE_THOM" hidden="1">"c5096"</definedName>
    <definedName name="IQ_HIGHPRICE" hidden="1">"c545"</definedName>
    <definedName name="IQ_HOLDER_CIQID" hidden="1">"c13787"</definedName>
    <definedName name="IQ_HOLDER_CIQID_SECURITY" hidden="1">"c13794"</definedName>
    <definedName name="IQ_HOLDER_DERIVATIVES" hidden="1">"c13789"</definedName>
    <definedName name="IQ_HOLDER_DERIVATIVES_SECURITY" hidden="1">"c13796"</definedName>
    <definedName name="IQ_HOLDER_NAME" hidden="1">"c13786"</definedName>
    <definedName name="IQ_HOLDER_NAME_SECURITY" hidden="1">"c13793"</definedName>
    <definedName name="IQ_HOLDER_PERCENT" hidden="1">"c13790"</definedName>
    <definedName name="IQ_HOLDER_PERCENT_SECURITY" hidden="1">"c13831"</definedName>
    <definedName name="IQ_HOLDER_POSITION_DATE" hidden="1">"c13792"</definedName>
    <definedName name="IQ_HOLDER_POSITION_DATE_SECURITY" hidden="1">"c13798"</definedName>
    <definedName name="IQ_HOLDER_SHARES" hidden="1">"c13788"</definedName>
    <definedName name="IQ_HOLDER_SHARES_SECURITY" hidden="1">"c13795"</definedName>
    <definedName name="IQ_HOLDER_VALUE" hidden="1">"c13791"</definedName>
    <definedName name="IQ_HOLDER_VALUE_SECURITY" hidden="1">"c13797"</definedName>
    <definedName name="IQ_HOLDING_CIQID" hidden="1">"c13802"</definedName>
    <definedName name="IQ_HOLDING_NAME" hidden="1">"c13799"</definedName>
    <definedName name="IQ_HOLDING_PERCENT" hidden="1">"c13805"</definedName>
    <definedName name="IQ_HOLDING_PERCENT_PORTFOLIO" hidden="1">"c13806"</definedName>
    <definedName name="IQ_HOLDING_POSITION_DATE" hidden="1">"c13808"</definedName>
    <definedName name="IQ_HOLDING_SECURITY_TYPE" hidden="1">"c13803"</definedName>
    <definedName name="IQ_HOLDING_SHARES" hidden="1">"c13804"</definedName>
    <definedName name="IQ_HOLDING_TICKER" hidden="1">"c13800"</definedName>
    <definedName name="IQ_HOLDING_TRADING_ITEM_CIQID" hidden="1">"c13801"</definedName>
    <definedName name="IQ_HOLDING_VALUE" hidden="1">"c13807"</definedName>
    <definedName name="IQ_HOME_AVG_LOAN_SIZE" hidden="1">"c5911"</definedName>
    <definedName name="IQ_HOME_BACKLOG" hidden="1">"c5844"</definedName>
    <definedName name="IQ_HOME_BACKLOG_AVG_JV" hidden="1">"c5848"</definedName>
    <definedName name="IQ_HOME_BACKLOG_AVG_JV_GROWTH" hidden="1">"c5928"</definedName>
    <definedName name="IQ_HOME_BACKLOG_AVG_JV_INC" hidden="1">"c5851"</definedName>
    <definedName name="IQ_HOME_BACKLOG_AVG_JV_INC_GROWTH" hidden="1">"c5931"</definedName>
    <definedName name="IQ_HOME_BACKLOG_AVG_PRICE" hidden="1">"c5845"</definedName>
    <definedName name="IQ_HOME_BACKLOG_AVG_PRICE_GROWTH" hidden="1">"c5925"</definedName>
    <definedName name="IQ_HOME_BACKLOG_GROWTH" hidden="1">"c5924"</definedName>
    <definedName name="IQ_HOME_BACKLOG_JV" hidden="1">"c5847"</definedName>
    <definedName name="IQ_HOME_BACKLOG_JV_GROWTH" hidden="1">"c5927"</definedName>
    <definedName name="IQ_HOME_BACKLOG_JV_INC" hidden="1">"c5850"</definedName>
    <definedName name="IQ_HOME_BACKLOG_JV_INC_GROWTH" hidden="1">"c5930"</definedName>
    <definedName name="IQ_HOME_BACKLOG_VALUE" hidden="1">"c5846"</definedName>
    <definedName name="IQ_HOME_BACKLOG_VALUE_GROWTH" hidden="1">"c5926"</definedName>
    <definedName name="IQ_HOME_BACKLOG_VALUE_JV" hidden="1">"c5849"</definedName>
    <definedName name="IQ_HOME_BACKLOG_VALUE_JV_GROWTH" hidden="1">"c5929"</definedName>
    <definedName name="IQ_HOME_BACKLOG_VALUE_JV_INC" hidden="1">"c5852"</definedName>
    <definedName name="IQ_HOME_BACKLOG_VALUE_JV_INC_GROWTH" hidden="1">"c5932"</definedName>
    <definedName name="IQ_HOME_CANCELLATION_RATE" hidden="1">"c16192"</definedName>
    <definedName name="IQ_HOME_CANCELLATION_RATE_INCL_JV" hidden="1">"c16194"</definedName>
    <definedName name="IQ_HOME_CANCELLATION_RATE_JV" hidden="1">"c16193"</definedName>
    <definedName name="IQ_HOME_COMMUNITIES_ACTIVE" hidden="1">"c5862"</definedName>
    <definedName name="IQ_HOME_COMMUNITIES_ACTIVE_GROWTH" hidden="1">"c5942"</definedName>
    <definedName name="IQ_HOME_COMMUNITIES_ACTIVE_JV" hidden="1">"c5863"</definedName>
    <definedName name="IQ_HOME_COMMUNITIES_ACTIVE_JV_GROWTH" hidden="1">"c5943"</definedName>
    <definedName name="IQ_HOME_COMMUNITIES_ACTIVE_JV_INC" hidden="1">"c5864"</definedName>
    <definedName name="IQ_HOME_COMMUNITIES_ACTIVE_JV_INC_GROWTH" hidden="1">"c5944"</definedName>
    <definedName name="IQ_HOME_COST_CONSTRUCTION_SVCS" hidden="1">"c5882"</definedName>
    <definedName name="IQ_HOME_COST_ELIMINATIONS_OTHER" hidden="1">"c5883"</definedName>
    <definedName name="IQ_HOME_COST_FINANCIAL_SVCS" hidden="1">"c5881"</definedName>
    <definedName name="IQ_HOME_COST_HOUSING" hidden="1">"c5877"</definedName>
    <definedName name="IQ_HOME_COST_LAND_LOT" hidden="1">"c5878"</definedName>
    <definedName name="IQ_HOME_COST_OTHER_HOMEBUILDING" hidden="1">"c5879"</definedName>
    <definedName name="IQ_HOME_COST_TOTAL" hidden="1">"c5884"</definedName>
    <definedName name="IQ_HOME_COST_TOTAL_HOMEBUILDING" hidden="1">"c5880"</definedName>
    <definedName name="IQ_HOME_DELIVERED" hidden="1">"c5835"</definedName>
    <definedName name="IQ_HOME_DELIVERED_AVG_PRICE" hidden="1">"c5836"</definedName>
    <definedName name="IQ_HOME_DELIVERED_AVG_PRICE_GROWTH" hidden="1">"c5916"</definedName>
    <definedName name="IQ_HOME_DELIVERED_AVG_PRICE_JV" hidden="1">"c5839"</definedName>
    <definedName name="IQ_HOME_DELIVERED_AVG_PRICE_JV_GROWTH" hidden="1">"c5919"</definedName>
    <definedName name="IQ_HOME_DELIVERED_AVG_PRICE_JV_INC" hidden="1">"c5842"</definedName>
    <definedName name="IQ_HOME_DELIVERED_AVG_PRICE_JV_INC_GROWTH" hidden="1">"c5922"</definedName>
    <definedName name="IQ_HOME_DELIVERED_GROWTH" hidden="1">"c5915"</definedName>
    <definedName name="IQ_HOME_DELIVERED_JV" hidden="1">"c5838"</definedName>
    <definedName name="IQ_HOME_DELIVERED_JV_GROWTH" hidden="1">"c5918"</definedName>
    <definedName name="IQ_HOME_DELIVERED_JV_INC" hidden="1">"c5841"</definedName>
    <definedName name="IQ_HOME_DELIVERED_JV_INC_GROWTH" hidden="1">"c5921"</definedName>
    <definedName name="IQ_HOME_DELIVERED_VALUE" hidden="1">"c5837"</definedName>
    <definedName name="IQ_HOME_DELIVERED_VALUE_GROWTH" hidden="1">"c5917"</definedName>
    <definedName name="IQ_HOME_DELIVERED_VALUE_JV" hidden="1">"c5840"</definedName>
    <definedName name="IQ_HOME_DELIVERED_VALUE_JV_GROWTH" hidden="1">"c5920"</definedName>
    <definedName name="IQ_HOME_DELIVERED_VALUE_JV_INC" hidden="1">"c5843"</definedName>
    <definedName name="IQ_HOME_DELIVERED_VALUE_JV_INC_GROWTH" hidden="1">"c5923"</definedName>
    <definedName name="IQ_HOME_EQUITY_LOANS_TOT_LOANS_FFIEC" hidden="1">"c13867"</definedName>
    <definedName name="IQ_HOME_FINISHED_HOMES_CIP" hidden="1">"c5865"</definedName>
    <definedName name="IQ_HOME_FIRSTLIEN_MORT_ORIGINATED" hidden="1">"c5905"</definedName>
    <definedName name="IQ_HOME_FIRSTLIEN_MORT_ORIGINATED_VOL" hidden="1">"c5908"</definedName>
    <definedName name="IQ_HOME_HUC" hidden="1">"c5822"</definedName>
    <definedName name="IQ_HOME_HUC_JV" hidden="1">"c5823"</definedName>
    <definedName name="IQ_HOME_HUC_JV_INC" hidden="1">"c5824"</definedName>
    <definedName name="IQ_HOME_INV_NOT_OWNED" hidden="1">"c5868"</definedName>
    <definedName name="IQ_HOME_LAND_DEVELOPMENT" hidden="1">"c5866"</definedName>
    <definedName name="IQ_HOME_LAND_FUTURE_DEVELOPMENT" hidden="1">"c5867"</definedName>
    <definedName name="IQ_HOME_LOAN_APPLICATIONS" hidden="1">"c5910"</definedName>
    <definedName name="IQ_HOME_LOANS_SOLD_COUNT" hidden="1">"c5912"</definedName>
    <definedName name="IQ_HOME_LOANS_SOLD_VALUE" hidden="1">"c5913"</definedName>
    <definedName name="IQ_HOME_LOTS_CONTROLLED" hidden="1">"c5831"</definedName>
    <definedName name="IQ_HOME_LOTS_FINISHED" hidden="1">"c5827"</definedName>
    <definedName name="IQ_HOME_LOTS_HELD_SALE" hidden="1">"c5830"</definedName>
    <definedName name="IQ_HOME_LOTS_JV" hidden="1">"c5833"</definedName>
    <definedName name="IQ_HOME_LOTS_JV_INC" hidden="1">"c5834"</definedName>
    <definedName name="IQ_HOME_LOTS_OTHER" hidden="1">"c5832"</definedName>
    <definedName name="IQ_HOME_LOTS_OWNED" hidden="1">"c5828"</definedName>
    <definedName name="IQ_HOME_LOTS_UNDER_DEVELOPMENT" hidden="1">"c5826"</definedName>
    <definedName name="IQ_HOME_LOTS_UNDER_OPTION" hidden="1">"c5829"</definedName>
    <definedName name="IQ_HOME_LOTS_UNDEVELOPED" hidden="1">"c5825"</definedName>
    <definedName name="IQ_HOME_MORT_CAPTURE_RATE" hidden="1">"c5906"</definedName>
    <definedName name="IQ_HOME_MORT_ORIGINATED" hidden="1">"c5907"</definedName>
    <definedName name="IQ_HOME_OBLIGATIONS_INV_NOT_OWNED" hidden="1">"c5914"</definedName>
    <definedName name="IQ_HOME_ORDERS" hidden="1">"c5853"</definedName>
    <definedName name="IQ_HOME_ORDERS_AVG_PRICE" hidden="1">"c5854"</definedName>
    <definedName name="IQ_HOME_ORDERS_AVG_PRICE_GROWTH" hidden="1">"c5934"</definedName>
    <definedName name="IQ_HOME_ORDERS_AVG_PRICE_JV" hidden="1">"c5857"</definedName>
    <definedName name="IQ_HOME_ORDERS_AVG_PRICE_JV_GROWTH" hidden="1">"c5937"</definedName>
    <definedName name="IQ_HOME_ORDERS_AVG_PRICE_JV_INC" hidden="1">"c5860"</definedName>
    <definedName name="IQ_HOME_ORDERS_AVG_PRICE_JV_INC_GROWTH" hidden="1">"c5940"</definedName>
    <definedName name="IQ_HOME_ORDERS_GROWTH" hidden="1">"c5933"</definedName>
    <definedName name="IQ_HOME_ORDERS_JV" hidden="1">"c5856"</definedName>
    <definedName name="IQ_HOME_ORDERS_JV_GROWTH" hidden="1">"c5936"</definedName>
    <definedName name="IQ_HOME_ORDERS_JV_INC" hidden="1">"c5859"</definedName>
    <definedName name="IQ_HOME_ORDERS_JV_INC_GROWTH" hidden="1">"c5939"</definedName>
    <definedName name="IQ_HOME_ORDERS_VALUE" hidden="1">"c5855"</definedName>
    <definedName name="IQ_HOME_ORDERS_VALUE_GROWTH" hidden="1">"c5935"</definedName>
    <definedName name="IQ_HOME_ORDERS_VALUE_JV" hidden="1">"c5858"</definedName>
    <definedName name="IQ_HOME_ORDERS_VALUE_JV_GROWTH" hidden="1">"c5938"</definedName>
    <definedName name="IQ_HOME_ORDERS_VALUE_JV_INC" hidden="1">"c5861"</definedName>
    <definedName name="IQ_HOME_ORDERS_VALUE_JV_INC_GROWTH" hidden="1">"c5941"</definedName>
    <definedName name="IQ_HOME_ORIGINATION_TOTAL" hidden="1">"c5909"</definedName>
    <definedName name="IQ_HOME_PRETAX_INC_CONSTRUCTION_SVCS" hidden="1">"c5890"</definedName>
    <definedName name="IQ_HOME_PRETAX_INC_ELIMINATIONS_OTHER" hidden="1">"c5891"</definedName>
    <definedName name="IQ_HOME_PRETAX_INC_FINANCIAL_SVCS" hidden="1">"c5889"</definedName>
    <definedName name="IQ_HOME_PRETAX_INC_HOUSING" hidden="1">"c5885"</definedName>
    <definedName name="IQ_HOME_PRETAX_INC_LAND_LOT" hidden="1">"c5886"</definedName>
    <definedName name="IQ_HOME_PRETAX_INC_OTHER_HOMEBUILDING" hidden="1">"c5887"</definedName>
    <definedName name="IQ_HOME_PRETAX_INC_TOTAL" hidden="1">"c5892"</definedName>
    <definedName name="IQ_HOME_PRETAX_INC_TOTAL_HOMEBUILDING" hidden="1">"c5888"</definedName>
    <definedName name="IQ_HOME_PURCH_OBLIGATION_1YR" hidden="1">"c5898"</definedName>
    <definedName name="IQ_HOME_PURCH_OBLIGATION_2YR" hidden="1">"c5899"</definedName>
    <definedName name="IQ_HOME_PURCH_OBLIGATION_3YR" hidden="1">"c5900"</definedName>
    <definedName name="IQ_HOME_PURCH_OBLIGATION_4YR" hidden="1">"c5901"</definedName>
    <definedName name="IQ_HOME_PURCH_OBLIGATION_5YR" hidden="1">"c5902"</definedName>
    <definedName name="IQ_HOME_PURCH_OBLIGATION_AFTER5" hidden="1">"c5903"</definedName>
    <definedName name="IQ_HOME_PURCH_OBLIGATION_TOTAL" hidden="1">"c5904"</definedName>
    <definedName name="IQ_HOME_REV_CONSTRUCTION_SERVICES" hidden="1">"c5874"</definedName>
    <definedName name="IQ_HOME_REV_ELIMINATIONS_OTHER" hidden="1">"c5875"</definedName>
    <definedName name="IQ_HOME_REV_FINANCIAL_SERVICES" hidden="1">"c5873"</definedName>
    <definedName name="IQ_HOME_REV_HOUSING" hidden="1">"c5872"</definedName>
    <definedName name="IQ_HOME_REV_LAND_LOT" hidden="1">"c5870"</definedName>
    <definedName name="IQ_HOME_REV_OTHER_HOMEBUILDING" hidden="1">"c5871"</definedName>
    <definedName name="IQ_HOME_REV_TOTAL" hidden="1">"c5876"</definedName>
    <definedName name="IQ_HOME_SALES_NEW" hidden="1">"c6924"</definedName>
    <definedName name="IQ_HOME_SALES_NEW_APR" hidden="1">"c7584"</definedName>
    <definedName name="IQ_HOME_SALES_NEW_APR_FC" hidden="1">"c8464"</definedName>
    <definedName name="IQ_HOME_SALES_NEW_FC" hidden="1">"c7804"</definedName>
    <definedName name="IQ_HOME_SALES_NEW_POP" hidden="1">"c7144"</definedName>
    <definedName name="IQ_HOME_SALES_NEW_POP_FC" hidden="1">"c8024"</definedName>
    <definedName name="IQ_HOME_SALES_NEW_YOY" hidden="1">"c7364"</definedName>
    <definedName name="IQ_HOME_SALES_NEW_YOY_FC" hidden="1">"c8244"</definedName>
    <definedName name="IQ_HOME_TOTAL_INV" hidden="1">"c5869"</definedName>
    <definedName name="IQ_HOME_WARRANTY_RES_BEG" hidden="1">"c5893"</definedName>
    <definedName name="IQ_HOME_WARRANTY_RES_END" hidden="1">"c5897"</definedName>
    <definedName name="IQ_HOME_WARRANTY_RES_ISS" hidden="1">"c5894"</definedName>
    <definedName name="IQ_HOME_WARRANTY_RES_OTHER" hidden="1">"c5896"</definedName>
    <definedName name="IQ_HOME_WARRANTY_RES_PAY" hidden="1">"c5895"</definedName>
    <definedName name="IQ_HOMEBUILDING_COGS_SALES" hidden="1">"c15813"</definedName>
    <definedName name="IQ_HOMEBUILDING_INV_TURN" hidden="1">"c15819"</definedName>
    <definedName name="IQ_HOMEBUILDING_TURN" hidden="1">"c15820"</definedName>
    <definedName name="IQ_HOMEOWNERS_WRITTEN" hidden="1">"c546"</definedName>
    <definedName name="IQ_HOTEL_OPERATING_EXPENSE" hidden="1">"c16042"</definedName>
    <definedName name="IQ_HOTEL_OPERATING_REVENUE" hidden="1">"c16026"</definedName>
    <definedName name="IQ_HOURLY_COMP" hidden="1">"c6879"</definedName>
    <definedName name="IQ_HOURLY_COMP_APR" hidden="1">"c7539"</definedName>
    <definedName name="IQ_HOURLY_COMP_APR_FC" hidden="1">"c8419"</definedName>
    <definedName name="IQ_HOURLY_COMP_FC" hidden="1">"c7759"</definedName>
    <definedName name="IQ_HOURLY_COMP_POP" hidden="1">"c7099"</definedName>
    <definedName name="IQ_HOURLY_COMP_POP_FC" hidden="1">"c7979"</definedName>
    <definedName name="IQ_HOURLY_COMP_YOY" hidden="1">"c7319"</definedName>
    <definedName name="IQ_HOURLY_COMP_YOY_FC" hidden="1">"c8199"</definedName>
    <definedName name="IQ_HOUSING_COMPLETIONS" hidden="1">"c6881"</definedName>
    <definedName name="IQ_HOUSING_COMPLETIONS_APR" hidden="1">"c7541"</definedName>
    <definedName name="IQ_HOUSING_COMPLETIONS_APR_FC" hidden="1">"c8421"</definedName>
    <definedName name="IQ_HOUSING_COMPLETIONS_FC" hidden="1">"c7761"</definedName>
    <definedName name="IQ_HOUSING_COMPLETIONS_POP" hidden="1">"c7101"</definedName>
    <definedName name="IQ_HOUSING_COMPLETIONS_POP_FC" hidden="1">"c7981"</definedName>
    <definedName name="IQ_HOUSING_COMPLETIONS_SINGLE_FAM_APR_FC_UNUSED" hidden="1">"c8422"</definedName>
    <definedName name="IQ_HOUSING_COMPLETIONS_SINGLE_FAM_APR_UNUSED" hidden="1">"c7542"</definedName>
    <definedName name="IQ_HOUSING_COMPLETIONS_SINGLE_FAM_FC_UNUSED" hidden="1">"c7762"</definedName>
    <definedName name="IQ_HOUSING_COMPLETIONS_SINGLE_FAM_POP_FC_UNUSED" hidden="1">"c7982"</definedName>
    <definedName name="IQ_HOUSING_COMPLETIONS_SINGLE_FAM_POP_UNUSED" hidden="1">"c7102"</definedName>
    <definedName name="IQ_HOUSING_COMPLETIONS_SINGLE_FAM_UNUSED" hidden="1">"c6882"</definedName>
    <definedName name="IQ_HOUSING_COMPLETIONS_SINGLE_FAM_YOY_FC_UNUSED" hidden="1">"c8202"</definedName>
    <definedName name="IQ_HOUSING_COMPLETIONS_SINGLE_FAM_YOY_UNUSED" hidden="1">"c7322"</definedName>
    <definedName name="IQ_HOUSING_COMPLETIONS_YOY" hidden="1">"c7321"</definedName>
    <definedName name="IQ_HOUSING_COMPLETIONS_YOY_FC" hidden="1">"c8201"</definedName>
    <definedName name="IQ_HOUSING_PERMITS" hidden="1">"c6883"</definedName>
    <definedName name="IQ_HOUSING_PERMITS_APR" hidden="1">"c7543"</definedName>
    <definedName name="IQ_HOUSING_PERMITS_APR_FC" hidden="1">"c8423"</definedName>
    <definedName name="IQ_HOUSING_PERMITS_FC" hidden="1">"c7763"</definedName>
    <definedName name="IQ_HOUSING_PERMITS_POP" hidden="1">"c7103"</definedName>
    <definedName name="IQ_HOUSING_PERMITS_POP_FC" hidden="1">"c7983"</definedName>
    <definedName name="IQ_HOUSING_PERMITS_YOY" hidden="1">"c7323"</definedName>
    <definedName name="IQ_HOUSING_PERMITS_YOY_FC" hidden="1">"c8203"</definedName>
    <definedName name="IQ_HOUSING_STARTS" hidden="1">"c6884"</definedName>
    <definedName name="IQ_HOUSING_STARTS_APR" hidden="1">"c7544"</definedName>
    <definedName name="IQ_HOUSING_STARTS_APR_FC" hidden="1">"c8424"</definedName>
    <definedName name="IQ_HOUSING_STARTS_FC" hidden="1">"c7764"</definedName>
    <definedName name="IQ_HOUSING_STARTS_POP" hidden="1">"c7104"</definedName>
    <definedName name="IQ_HOUSING_STARTS_POP_FC" hidden="1">"c7984"</definedName>
    <definedName name="IQ_HOUSING_STARTS_SAAR" hidden="1">"c6885"</definedName>
    <definedName name="IQ_HOUSING_STARTS_SAAR_APR" hidden="1">"c7545"</definedName>
    <definedName name="IQ_HOUSING_STARTS_SAAR_APR_FC" hidden="1">"c8425"</definedName>
    <definedName name="IQ_HOUSING_STARTS_SAAR_FC" hidden="1">"c7765"</definedName>
    <definedName name="IQ_HOUSING_STARTS_SAAR_POP" hidden="1">"c7105"</definedName>
    <definedName name="IQ_HOUSING_STARTS_SAAR_POP_FC" hidden="1">"c7985"</definedName>
    <definedName name="IQ_HOUSING_STARTS_SAAR_YOY" hidden="1">"c7325"</definedName>
    <definedName name="IQ_HOUSING_STARTS_SAAR_YOY_FC" hidden="1">"c8205"</definedName>
    <definedName name="IQ_HOUSING_STARTS_YOY" hidden="1">"c7324"</definedName>
    <definedName name="IQ_HOUSING_STARTS_YOY_FC" hidden="1">"c8204"</definedName>
    <definedName name="IQ_HRS_WORKED_FULL_PT" hidden="1">"c6880"</definedName>
    <definedName name="IQ_HRS_WORKED_FULL_PT_APR" hidden="1">"c7540"</definedName>
    <definedName name="IQ_HRS_WORKED_FULL_PT_APR_FC" hidden="1">"c8420"</definedName>
    <definedName name="IQ_HRS_WORKED_FULL_PT_FC" hidden="1">"c7760"</definedName>
    <definedName name="IQ_HRS_WORKED_FULL_PT_POP" hidden="1">"c7100"</definedName>
    <definedName name="IQ_HRS_WORKED_FULL_PT_POP_FC" hidden="1">"c7980"</definedName>
    <definedName name="IQ_HRS_WORKED_FULL_PT_YOY" hidden="1">"c7320"</definedName>
    <definedName name="IQ_HRS_WORKED_FULL_PT_YOY_FC" hidden="1">"c8200"</definedName>
    <definedName name="IQ_HTM_INVEST_SECURITIES_FFIEC" hidden="1">"c13455"</definedName>
    <definedName name="IQ_HTM_SECURITIES_TIER_1_FFIEC" hidden="1">"c13342"</definedName>
    <definedName name="IQ_HYBRID_CAPITAL" hidden="1">"c15245"</definedName>
    <definedName name="IQ_HYBRID_STRUCTURED_PRODUCTS_AVAIL_SALE_FFIEC" hidden="1">"c15265"</definedName>
    <definedName name="IQ_HYBRID_STRUCTURED_PRODUCTS_FFIEC" hidden="1">"c15262"</definedName>
    <definedName name="IQ_IB_ADVISORY_UNDERWRITING_FEES_FOREIGN_FFIEC" hidden="1">"c15378"</definedName>
    <definedName name="IQ_IBF_COMM_INDUST_LOANS_FFIEC" hidden="1">"c15298"</definedName>
    <definedName name="IQ_IBF_DEPOSIT_LIABILITIES_DUE_TO_BANKS_FFIEC" hidden="1">"c15300"</definedName>
    <definedName name="IQ_IM_AVG_REV_PER_CLICK" hidden="1">"c9991"</definedName>
    <definedName name="IQ_IM_NUMBER_PAGE_VIEWS" hidden="1">"c9993"</definedName>
    <definedName name="IQ_IM_NUMBER_PAID_CLICKS" hidden="1">"c9995"</definedName>
    <definedName name="IQ_IM_NUMBER_PAID_CLICKS_GROWTH" hidden="1">"c9996"</definedName>
    <definedName name="IQ_IM_PAGE_VIEWS_GROWTH" hidden="1">"c9994"</definedName>
    <definedName name="IQ_IM_REV_PER_PAGE_VIEW_GROWTH" hidden="1">"c9992"</definedName>
    <definedName name="IQ_IM_TRAFFIC_ACQUISITION_CHANGE" hidden="1">"c9998"</definedName>
    <definedName name="IQ_IM_TRAFFIC_ACQUISITION_COST_TO_AD_REV_RATIO" hidden="1">"c10000"</definedName>
    <definedName name="IQ_IM_TRAFFIC_ACQUISITION_COST_TO_TOTAL_REV_RATIO" hidden="1">"c9999"</definedName>
    <definedName name="IQ_IM_TRAFFIC_ACQUISITION_COSTS" hidden="1">"c9997"</definedName>
    <definedName name="IQ_IMPACT_UNRECOG_TAX_BENEFIT_EFFECTIVE_TAX" hidden="1">"c15748"</definedName>
    <definedName name="IQ_IMPAIR_OIL" hidden="1">"c547"</definedName>
    <definedName name="IQ_IMPAIRED_LOANS" hidden="1">"c15250"</definedName>
    <definedName name="IQ_IMPAIRMENT_GW" hidden="1">"c548"</definedName>
    <definedName name="IQ_IMPAIRMENT_GW_SUPPLE" hidden="1">"c13811"</definedName>
    <definedName name="IQ_IMPORT_PRICE_INDEX" hidden="1">"c6886"</definedName>
    <definedName name="IQ_IMPORT_PRICE_INDEX_APR" hidden="1">"c7546"</definedName>
    <definedName name="IQ_IMPORT_PRICE_INDEX_APR_FC" hidden="1">"c8426"</definedName>
    <definedName name="IQ_IMPORT_PRICE_INDEX_FC" hidden="1">"c7766"</definedName>
    <definedName name="IQ_IMPORT_PRICE_INDEX_POP" hidden="1">"c7106"</definedName>
    <definedName name="IQ_IMPORT_PRICE_INDEX_POP_FC" hidden="1">"c7986"</definedName>
    <definedName name="IQ_IMPORT_PRICE_INDEX_YOY" hidden="1">"c7326"</definedName>
    <definedName name="IQ_IMPORT_PRICE_INDEX_YOY_FC" hidden="1">"c8206"</definedName>
    <definedName name="IQ_IMPORTS_GOODS" hidden="1">"c6887"</definedName>
    <definedName name="IQ_IMPORTS_GOODS_APR" hidden="1">"c7547"</definedName>
    <definedName name="IQ_IMPORTS_GOODS_APR_FC" hidden="1">"c8427"</definedName>
    <definedName name="IQ_IMPORTS_GOODS_FC" hidden="1">"c7767"</definedName>
    <definedName name="IQ_IMPORTS_GOODS_NONFACTOR_SERVICES" hidden="1">"c6888"</definedName>
    <definedName name="IQ_IMPORTS_GOODS_NONFACTOR_SERVICES_APR" hidden="1">"c7548"</definedName>
    <definedName name="IQ_IMPORTS_GOODS_NONFACTOR_SERVICES_APR_FC" hidden="1">"c8428"</definedName>
    <definedName name="IQ_IMPORTS_GOODS_NONFACTOR_SERVICES_FC" hidden="1">"c7768"</definedName>
    <definedName name="IQ_IMPORTS_GOODS_NONFACTOR_SERVICES_POP" hidden="1">"c7108"</definedName>
    <definedName name="IQ_IMPORTS_GOODS_NONFACTOR_SERVICES_POP_FC" hidden="1">"c7988"</definedName>
    <definedName name="IQ_IMPORTS_GOODS_NONFACTOR_SERVICES_YOY" hidden="1">"c7328"</definedName>
    <definedName name="IQ_IMPORTS_GOODS_NONFACTOR_SERVICES_YOY_FC" hidden="1">"c8208"</definedName>
    <definedName name="IQ_IMPORTS_GOODS_POP" hidden="1">"c7107"</definedName>
    <definedName name="IQ_IMPORTS_GOODS_POP_FC" hidden="1">"c7987"</definedName>
    <definedName name="IQ_IMPORTS_GOODS_REAL" hidden="1">"c11950"</definedName>
    <definedName name="IQ_IMPORTS_GOODS_REAL_APR" hidden="1">"c11953"</definedName>
    <definedName name="IQ_IMPORTS_GOODS_REAL_POP" hidden="1">"c11951"</definedName>
    <definedName name="IQ_IMPORTS_GOODS_REAL_SAAR_APR_FC_UNUSED" hidden="1">"c8523"</definedName>
    <definedName name="IQ_IMPORTS_GOODS_REAL_SAAR_APR_UNUSED" hidden="1">"c7643"</definedName>
    <definedName name="IQ_IMPORTS_GOODS_REAL_SAAR_FC_UNUSED" hidden="1">"c7863"</definedName>
    <definedName name="IQ_IMPORTS_GOODS_REAL_SAAR_POP_FC_UNUSED" hidden="1">"c8083"</definedName>
    <definedName name="IQ_IMPORTS_GOODS_REAL_SAAR_POP_UNUSED" hidden="1">"c7203"</definedName>
    <definedName name="IQ_IMPORTS_GOODS_REAL_SAAR_UNUSED" hidden="1">"c6983"</definedName>
    <definedName name="IQ_IMPORTS_GOODS_REAL_SAAR_YOY_FC_UNUSED" hidden="1">"c8303"</definedName>
    <definedName name="IQ_IMPORTS_GOODS_REAL_SAAR_YOY_UNUSED" hidden="1">"c7423"</definedName>
    <definedName name="IQ_IMPORTS_GOODS_REAL_YOY" hidden="1">"c11952"</definedName>
    <definedName name="IQ_IMPORTS_GOODS_SAAR" hidden="1">"c6891"</definedName>
    <definedName name="IQ_IMPORTS_GOODS_SAAR_APR" hidden="1">"c7551"</definedName>
    <definedName name="IQ_IMPORTS_GOODS_SAAR_APR_FC" hidden="1">"c8431"</definedName>
    <definedName name="IQ_IMPORTS_GOODS_SAAR_FC" hidden="1">"c7771"</definedName>
    <definedName name="IQ_IMPORTS_GOODS_SAAR_POP" hidden="1">"c7111"</definedName>
    <definedName name="IQ_IMPORTS_GOODS_SAAR_POP_FC" hidden="1">"c7991"</definedName>
    <definedName name="IQ_IMPORTS_GOODS_SAAR_USD_APR_FC" hidden="1">"c11849"</definedName>
    <definedName name="IQ_IMPORTS_GOODS_SAAR_USD_FC" hidden="1">"c11846"</definedName>
    <definedName name="IQ_IMPORTS_GOODS_SAAR_USD_POP_FC" hidden="1">"c11847"</definedName>
    <definedName name="IQ_IMPORTS_GOODS_SAAR_USD_YOY_FC" hidden="1">"c11848"</definedName>
    <definedName name="IQ_IMPORTS_GOODS_SAAR_YOY" hidden="1">"c7331"</definedName>
    <definedName name="IQ_IMPORTS_GOODS_SAAR_YOY_FC" hidden="1">"c8211"</definedName>
    <definedName name="IQ_IMPORTS_GOODS_SERVICES_APR_FC_UNUSED" hidden="1">"c8429"</definedName>
    <definedName name="IQ_IMPORTS_GOODS_SERVICES_APR_UNUSED" hidden="1">"c7549"</definedName>
    <definedName name="IQ_IMPORTS_GOODS_SERVICES_FC_UNUSED" hidden="1">"c7769"</definedName>
    <definedName name="IQ_IMPORTS_GOODS_SERVICES_POP_FC_UNUSED" hidden="1">"c7989"</definedName>
    <definedName name="IQ_IMPORTS_GOODS_SERVICES_POP_UNUSED" hidden="1">"c7109"</definedName>
    <definedName name="IQ_IMPORTS_GOODS_SERVICES_REAL" hidden="1">"c6985"</definedName>
    <definedName name="IQ_IMPORTS_GOODS_SERVICES_REAL_APR" hidden="1">"c7645"</definedName>
    <definedName name="IQ_IMPORTS_GOODS_SERVICES_REAL_APR_FC" hidden="1">"c8525"</definedName>
    <definedName name="IQ_IMPORTS_GOODS_SERVICES_REAL_FC" hidden="1">"c7865"</definedName>
    <definedName name="IQ_IMPORTS_GOODS_SERVICES_REAL_POP" hidden="1">"c7205"</definedName>
    <definedName name="IQ_IMPORTS_GOODS_SERVICES_REAL_POP_FC" hidden="1">"c8085"</definedName>
    <definedName name="IQ_IMPORTS_GOODS_SERVICES_REAL_SAAR" hidden="1">"c11958"</definedName>
    <definedName name="IQ_IMPORTS_GOODS_SERVICES_REAL_SAAR_APR" hidden="1">"c11961"</definedName>
    <definedName name="IQ_IMPORTS_GOODS_SERVICES_REAL_SAAR_APR_FC_UNUSED" hidden="1">"c8524"</definedName>
    <definedName name="IQ_IMPORTS_GOODS_SERVICES_REAL_SAAR_APR_UNUSED" hidden="1">"c7644"</definedName>
    <definedName name="IQ_IMPORTS_GOODS_SERVICES_REAL_SAAR_FC_UNUSED" hidden="1">"c7864"</definedName>
    <definedName name="IQ_IMPORTS_GOODS_SERVICES_REAL_SAAR_POP" hidden="1">"c11959"</definedName>
    <definedName name="IQ_IMPORTS_GOODS_SERVICES_REAL_SAAR_POP_FC_UNUSED" hidden="1">"c8084"</definedName>
    <definedName name="IQ_IMPORTS_GOODS_SERVICES_REAL_SAAR_POP_UNUSED" hidden="1">"c7204"</definedName>
    <definedName name="IQ_IMPORTS_GOODS_SERVICES_REAL_SAAR_UNUSED" hidden="1">"c6984"</definedName>
    <definedName name="IQ_IMPORTS_GOODS_SERVICES_REAL_SAAR_USD" hidden="1">"c11962"</definedName>
    <definedName name="IQ_IMPORTS_GOODS_SERVICES_REAL_SAAR_USD_APR" hidden="1">"c11965"</definedName>
    <definedName name="IQ_IMPORTS_GOODS_SERVICES_REAL_SAAR_USD_APR_FC" hidden="1">"c11969"</definedName>
    <definedName name="IQ_IMPORTS_GOODS_SERVICES_REAL_SAAR_USD_FC" hidden="1">"c11966"</definedName>
    <definedName name="IQ_IMPORTS_GOODS_SERVICES_REAL_SAAR_USD_POP" hidden="1">"c11963"</definedName>
    <definedName name="IQ_IMPORTS_GOODS_SERVICES_REAL_SAAR_USD_POP_FC" hidden="1">"c11967"</definedName>
    <definedName name="IQ_IMPORTS_GOODS_SERVICES_REAL_SAAR_USD_YOY" hidden="1">"c11964"</definedName>
    <definedName name="IQ_IMPORTS_GOODS_SERVICES_REAL_SAAR_USD_YOY_FC" hidden="1">"c11968"</definedName>
    <definedName name="IQ_IMPORTS_GOODS_SERVICES_REAL_SAAR_YOY" hidden="1">"c11960"</definedName>
    <definedName name="IQ_IMPORTS_GOODS_SERVICES_REAL_SAAR_YOY_FC_UNUSED" hidden="1">"c8304"</definedName>
    <definedName name="IQ_IMPORTS_GOODS_SERVICES_REAL_SAAR_YOY_UNUSED" hidden="1">"c7424"</definedName>
    <definedName name="IQ_IMPORTS_GOODS_SERVICES_REAL_USD" hidden="1">"c11954"</definedName>
    <definedName name="IQ_IMPORTS_GOODS_SERVICES_REAL_USD_APR" hidden="1">"c11957"</definedName>
    <definedName name="IQ_IMPORTS_GOODS_SERVICES_REAL_USD_POP" hidden="1">"c11955"</definedName>
    <definedName name="IQ_IMPORTS_GOODS_SERVICES_REAL_USD_YOY" hidden="1">"c11956"</definedName>
    <definedName name="IQ_IMPORTS_GOODS_SERVICES_REAL_YOY" hidden="1">"c7425"</definedName>
    <definedName name="IQ_IMPORTS_GOODS_SERVICES_REAL_YOY_FC" hidden="1">"c8305"</definedName>
    <definedName name="IQ_IMPORTS_GOODS_SERVICES_SAAR" hidden="1">"c6890"</definedName>
    <definedName name="IQ_IMPORTS_GOODS_SERVICES_SAAR_APR" hidden="1">"c7550"</definedName>
    <definedName name="IQ_IMPORTS_GOODS_SERVICES_SAAR_APR_FC" hidden="1">"c8430"</definedName>
    <definedName name="IQ_IMPORTS_GOODS_SERVICES_SAAR_FC" hidden="1">"c7770"</definedName>
    <definedName name="IQ_IMPORTS_GOODS_SERVICES_SAAR_POP" hidden="1">"c7110"</definedName>
    <definedName name="IQ_IMPORTS_GOODS_SERVICES_SAAR_POP_FC" hidden="1">"c7990"</definedName>
    <definedName name="IQ_IMPORTS_GOODS_SERVICES_SAAR_YOY" hidden="1">"c7330"</definedName>
    <definedName name="IQ_IMPORTS_GOODS_SERVICES_SAAR_YOY_FC" hidden="1">"c8210"</definedName>
    <definedName name="IQ_IMPORTS_GOODS_SERVICES_UNUSED" hidden="1">"c6889"</definedName>
    <definedName name="IQ_IMPORTS_GOODS_SERVICES_USD" hidden="1">"c11842"</definedName>
    <definedName name="IQ_IMPORTS_GOODS_SERVICES_USD_APR" hidden="1">"c11845"</definedName>
    <definedName name="IQ_IMPORTS_GOODS_SERVICES_USD_POP" hidden="1">"c11843"</definedName>
    <definedName name="IQ_IMPORTS_GOODS_SERVICES_USD_YOY" hidden="1">"c11844"</definedName>
    <definedName name="IQ_IMPORTS_GOODS_SERVICES_YOY_FC_UNUSED" hidden="1">"c8209"</definedName>
    <definedName name="IQ_IMPORTS_GOODS_SERVICES_YOY_UNUSED" hidden="1">"c7329"</definedName>
    <definedName name="IQ_IMPORTS_GOODS_USD_APR_FC" hidden="1">"c11841"</definedName>
    <definedName name="IQ_IMPORTS_GOODS_USD_FC" hidden="1">"c11838"</definedName>
    <definedName name="IQ_IMPORTS_GOODS_USD_POP_FC" hidden="1">"c11839"</definedName>
    <definedName name="IQ_IMPORTS_GOODS_USD_YOY_FC" hidden="1">"c11840"</definedName>
    <definedName name="IQ_IMPORTS_GOODS_YOY" hidden="1">"c7327"</definedName>
    <definedName name="IQ_IMPORTS_GOODS_YOY_FC" hidden="1">"c8207"</definedName>
    <definedName name="IQ_IMPORTS_NONFACTOR_SERVICES" hidden="1">"c6892"</definedName>
    <definedName name="IQ_IMPORTS_NONFACTOR_SERVICES_APR" hidden="1">"c7552"</definedName>
    <definedName name="IQ_IMPORTS_NONFACTOR_SERVICES_APR_FC" hidden="1">"c8432"</definedName>
    <definedName name="IQ_IMPORTS_NONFACTOR_SERVICES_FC" hidden="1">"c7772"</definedName>
    <definedName name="IQ_IMPORTS_NONFACTOR_SERVICES_POP" hidden="1">"c7112"</definedName>
    <definedName name="IQ_IMPORTS_NONFACTOR_SERVICES_POP_FC" hidden="1">"c7992"</definedName>
    <definedName name="IQ_IMPORTS_NONFACTOR_SERVICES_SAAR" hidden="1">"c6893"</definedName>
    <definedName name="IQ_IMPORTS_NONFACTOR_SERVICES_SAAR_APR" hidden="1">"c7553"</definedName>
    <definedName name="IQ_IMPORTS_NONFACTOR_SERVICES_SAAR_APR_FC" hidden="1">"c8433"</definedName>
    <definedName name="IQ_IMPORTS_NONFACTOR_SERVICES_SAAR_FC" hidden="1">"c7773"</definedName>
    <definedName name="IQ_IMPORTS_NONFACTOR_SERVICES_SAAR_POP" hidden="1">"c7113"</definedName>
    <definedName name="IQ_IMPORTS_NONFACTOR_SERVICES_SAAR_POP_FC" hidden="1">"c7993"</definedName>
    <definedName name="IQ_IMPORTS_NONFACTOR_SERVICES_SAAR_USD_APR_FC" hidden="1">"c11857"</definedName>
    <definedName name="IQ_IMPORTS_NONFACTOR_SERVICES_SAAR_USD_FC" hidden="1">"c11854"</definedName>
    <definedName name="IQ_IMPORTS_NONFACTOR_SERVICES_SAAR_USD_POP_FC" hidden="1">"c11855"</definedName>
    <definedName name="IQ_IMPORTS_NONFACTOR_SERVICES_SAAR_USD_YOY_FC" hidden="1">"c11856"</definedName>
    <definedName name="IQ_IMPORTS_NONFACTOR_SERVICES_SAAR_YOY" hidden="1">"c7333"</definedName>
    <definedName name="IQ_IMPORTS_NONFACTOR_SERVICES_SAAR_YOY_FC" hidden="1">"c8213"</definedName>
    <definedName name="IQ_IMPORTS_NONFACTOR_SERVICES_USD_APR_FC" hidden="1">"c11853"</definedName>
    <definedName name="IQ_IMPORTS_NONFACTOR_SERVICES_USD_FC" hidden="1">"c11850"</definedName>
    <definedName name="IQ_IMPORTS_NONFACTOR_SERVICES_USD_POP_FC" hidden="1">"c11851"</definedName>
    <definedName name="IQ_IMPORTS_NONFACTOR_SERVICES_USD_YOY_FC" hidden="1">"c11852"</definedName>
    <definedName name="IQ_IMPORTS_NONFACTOR_SERVICES_YOY" hidden="1">"c7332"</definedName>
    <definedName name="IQ_IMPORTS_NONFACTOR_SERVICES_YOY_FC" hidden="1">"c8212"</definedName>
    <definedName name="IQ_IMPORTS_SERVICES" hidden="1">"c11858"</definedName>
    <definedName name="IQ_IMPORTS_SERVICES_APR" hidden="1">"c11861"</definedName>
    <definedName name="IQ_IMPORTS_SERVICES_POP" hidden="1">"c11859"</definedName>
    <definedName name="IQ_IMPORTS_SERVICES_REAL" hidden="1">"c6986"</definedName>
    <definedName name="IQ_IMPORTS_SERVICES_REAL_APR" hidden="1">"c7646"</definedName>
    <definedName name="IQ_IMPORTS_SERVICES_REAL_APR_FC" hidden="1">"c8526"</definedName>
    <definedName name="IQ_IMPORTS_SERVICES_REAL_FC" hidden="1">"c7866"</definedName>
    <definedName name="IQ_IMPORTS_SERVICES_REAL_POP" hidden="1">"c7206"</definedName>
    <definedName name="IQ_IMPORTS_SERVICES_REAL_POP_FC" hidden="1">"c8086"</definedName>
    <definedName name="IQ_IMPORTS_SERVICES_REAL_YOY" hidden="1">"c7426"</definedName>
    <definedName name="IQ_IMPORTS_SERVICES_REAL_YOY_FC" hidden="1">"c8306"</definedName>
    <definedName name="IQ_IMPORTS_SERVICES_YOY" hidden="1">"c11860"</definedName>
    <definedName name="IQ_IMPUT_OPER_LEASE_DEPR" hidden="1">"c2987"</definedName>
    <definedName name="IQ_IMPUT_OPER_LEASE_INT_EXP" hidden="1">"c2986"</definedName>
    <definedName name="IQ_INC_AFTER_TAX" hidden="1">"c1598"</definedName>
    <definedName name="IQ_INC_AVAIL_EXCL" hidden="1">"c1395"</definedName>
    <definedName name="IQ_INC_AVAIL_INCL" hidden="1">"c1396"</definedName>
    <definedName name="IQ_INC_BEFORE_TAX" hidden="1">"c1375"</definedName>
    <definedName name="IQ_INC_DOM_LOANS_FFIEC" hidden="1">"c12975"</definedName>
    <definedName name="IQ_INC_EQUITY" hidden="1">"c549"</definedName>
    <definedName name="IQ_INC_EQUITY_BR" hidden="1">"c550"</definedName>
    <definedName name="IQ_INC_EQUITY_CF" hidden="1">"c551"</definedName>
    <definedName name="IQ_INC_EQUITY_FIN" hidden="1">"c552"</definedName>
    <definedName name="IQ_INC_EQUITY_INS" hidden="1">"c553"</definedName>
    <definedName name="IQ_INC_EQUITY_RE" hidden="1">"c6222"</definedName>
    <definedName name="IQ_INC_EQUITY_REC_BNK" hidden="1">"c554"</definedName>
    <definedName name="IQ_INC_EQUITY_REIT" hidden="1">"c555"</definedName>
    <definedName name="IQ_INC_EQUITY_REV_BNK" hidden="1">"c556"</definedName>
    <definedName name="IQ_INC_EQUITY_UTI" hidden="1">"c557"</definedName>
    <definedName name="IQ_INC_REAL_ESTATE_REC" hidden="1">"c558"</definedName>
    <definedName name="IQ_INC_REAL_ESTATE_REV" hidden="1">"c559"</definedName>
    <definedName name="IQ_INC_TAX" hidden="1">"c560"</definedName>
    <definedName name="IQ_INC_TAX_EXCL" hidden="1">"c1599"</definedName>
    <definedName name="IQ_INC_TAX_PAY_CURRENT" hidden="1">"c561"</definedName>
    <definedName name="IQ_INC_TRADE_ACT" hidden="1">"c562"</definedName>
    <definedName name="IQ_INCOME_CHECKS_FFIEC" hidden="1">"c13040"</definedName>
    <definedName name="IQ_INCOME_FIDUCIARY_ACTIVITIES_FFIEC" hidden="1">"c13002"</definedName>
    <definedName name="IQ_INCOME_LEASE_FINANCING_REC_FFIEC" hidden="1">"c12980"</definedName>
    <definedName name="IQ_INCOME_LOANS_LEASES_TAX_EXEMPT_FFIEC" hidden="1">"c13038"</definedName>
    <definedName name="IQ_INCOME_OTHER_INSURANCE_ACTIVITIES_FFIEC" hidden="1">"c13009"</definedName>
    <definedName name="IQ_INCOME_SALE_MUTUAL_FUNDS_DOM_FFIEC" hidden="1">"c13069"</definedName>
    <definedName name="IQ_INCOME_SECURITIES_TAX_EXEMPT_FFIEC" hidden="1">"c13039"</definedName>
    <definedName name="IQ_INCOME_TAX_FOREIGN_FFIEC" hidden="1">"c15391"</definedName>
    <definedName name="IQ_INCOME_TAXES_FFIEC" hidden="1">"c13030"</definedName>
    <definedName name="IQ_INCREASE_INT_INCOME_FFIEC" hidden="1">"c13063"</definedName>
    <definedName name="IQ_INDEX_CURRENCY" hidden="1">"c15224"</definedName>
    <definedName name="IQ_INDEX_LEADING_IND" hidden="1">"c6894"</definedName>
    <definedName name="IQ_INDEX_LEADING_IND_APR" hidden="1">"c7554"</definedName>
    <definedName name="IQ_INDEX_LEADING_IND_APR_FC" hidden="1">"c8434"</definedName>
    <definedName name="IQ_INDEX_LEADING_IND_FC" hidden="1">"c7774"</definedName>
    <definedName name="IQ_INDEX_LEADING_IND_POP" hidden="1">"c7114"</definedName>
    <definedName name="IQ_INDEX_LEADING_IND_POP_FC" hidden="1">"c7994"</definedName>
    <definedName name="IQ_INDEX_LEADING_IND_YOY" hidden="1">"c7334"</definedName>
    <definedName name="IQ_INDEX_LEADING_IND_YOY_FC" hidden="1">"c8214"</definedName>
    <definedName name="IQ_INDEX_TYPE" hidden="1">"c15223"</definedName>
    <definedName name="IQ_INDICATED_ATTRIB_ORE_RESOURCES_ALUM" hidden="1">"c9238"</definedName>
    <definedName name="IQ_INDICATED_ATTRIB_ORE_RESOURCES_COP" hidden="1">"c9182"</definedName>
    <definedName name="IQ_INDICATED_ATTRIB_ORE_RESOURCES_DIAM" hidden="1">"c9662"</definedName>
    <definedName name="IQ_INDICATED_ATTRIB_ORE_RESOURCES_GOLD" hidden="1">"c9023"</definedName>
    <definedName name="IQ_INDICATED_ATTRIB_ORE_RESOURCES_IRON" hidden="1">"c9397"</definedName>
    <definedName name="IQ_INDICATED_ATTRIB_ORE_RESOURCES_LEAD" hidden="1">"c9450"</definedName>
    <definedName name="IQ_INDICATED_ATTRIB_ORE_RESOURCES_MANG" hidden="1">"c9503"</definedName>
    <definedName name="IQ_INDICATED_ATTRIB_ORE_RESOURCES_MOLYB" hidden="1">"c9715"</definedName>
    <definedName name="IQ_INDICATED_ATTRIB_ORE_RESOURCES_NICK" hidden="1">"c9291"</definedName>
    <definedName name="IQ_INDICATED_ATTRIB_ORE_RESOURCES_PLAT" hidden="1">"c9129"</definedName>
    <definedName name="IQ_INDICATED_ATTRIB_ORE_RESOURCES_SILVER" hidden="1">"c9076"</definedName>
    <definedName name="IQ_INDICATED_ATTRIB_ORE_RESOURCES_TITAN" hidden="1">"c9556"</definedName>
    <definedName name="IQ_INDICATED_ATTRIB_ORE_RESOURCES_URAN" hidden="1">"c9609"</definedName>
    <definedName name="IQ_INDICATED_ATTRIB_ORE_RESOURCES_ZINC" hidden="1">"c9344"</definedName>
    <definedName name="IQ_INDICATED_ORE_RESOURCES_ALUM" hidden="1">"c9224"</definedName>
    <definedName name="IQ_INDICATED_ORE_RESOURCES_COP" hidden="1">"c9168"</definedName>
    <definedName name="IQ_INDICATED_ORE_RESOURCES_DIAM" hidden="1">"c9648"</definedName>
    <definedName name="IQ_INDICATED_ORE_RESOURCES_GOLD" hidden="1">"c9009"</definedName>
    <definedName name="IQ_INDICATED_ORE_RESOURCES_IRON" hidden="1">"c9383"</definedName>
    <definedName name="IQ_INDICATED_ORE_RESOURCES_LEAD" hidden="1">"c9436"</definedName>
    <definedName name="IQ_INDICATED_ORE_RESOURCES_MANG" hidden="1">"c9489"</definedName>
    <definedName name="IQ_INDICATED_ORE_RESOURCES_MOLYB" hidden="1">"c9701"</definedName>
    <definedName name="IQ_INDICATED_ORE_RESOURCES_NICK" hidden="1">"c9277"</definedName>
    <definedName name="IQ_INDICATED_ORE_RESOURCES_PLAT" hidden="1">"c9115"</definedName>
    <definedName name="IQ_INDICATED_ORE_RESOURCES_SILVER" hidden="1">"c9062"</definedName>
    <definedName name="IQ_INDICATED_ORE_RESOURCES_TITAN" hidden="1">"c9542"</definedName>
    <definedName name="IQ_INDICATED_ORE_RESOURCES_URAN" hidden="1">"c9595"</definedName>
    <definedName name="IQ_INDICATED_ORE_RESOURCES_ZINC" hidden="1">"c9330"</definedName>
    <definedName name="IQ_INDICATED_RECOV_ATTRIB_RESOURCES_ALUM" hidden="1">"c9243"</definedName>
    <definedName name="IQ_INDICATED_RECOV_ATTRIB_RESOURCES_COAL" hidden="1">"c9817"</definedName>
    <definedName name="IQ_INDICATED_RECOV_ATTRIB_RESOURCES_COP" hidden="1">"c9187"</definedName>
    <definedName name="IQ_INDICATED_RECOV_ATTRIB_RESOURCES_DIAM" hidden="1">"c9667"</definedName>
    <definedName name="IQ_INDICATED_RECOV_ATTRIB_RESOURCES_GOLD" hidden="1">"c9028"</definedName>
    <definedName name="IQ_INDICATED_RECOV_ATTRIB_RESOURCES_IRON" hidden="1">"c9402"</definedName>
    <definedName name="IQ_INDICATED_RECOV_ATTRIB_RESOURCES_LEAD" hidden="1">"c9455"</definedName>
    <definedName name="IQ_INDICATED_RECOV_ATTRIB_RESOURCES_MANG" hidden="1">"c9508"</definedName>
    <definedName name="IQ_INDICATED_RECOV_ATTRIB_RESOURCES_MET_COAL" hidden="1">"c9757"</definedName>
    <definedName name="IQ_INDICATED_RECOV_ATTRIB_RESOURCES_MOLYB" hidden="1">"c9720"</definedName>
    <definedName name="IQ_INDICATED_RECOV_ATTRIB_RESOURCES_NICK" hidden="1">"c9296"</definedName>
    <definedName name="IQ_INDICATED_RECOV_ATTRIB_RESOURCES_PLAT" hidden="1">"c9134"</definedName>
    <definedName name="IQ_INDICATED_RECOV_ATTRIB_RESOURCES_SILVER" hidden="1">"c9081"</definedName>
    <definedName name="IQ_INDICATED_RECOV_ATTRIB_RESOURCES_STEAM" hidden="1">"c9787"</definedName>
    <definedName name="IQ_INDICATED_RECOV_ATTRIB_RESOURCES_TITAN" hidden="1">"c9561"</definedName>
    <definedName name="IQ_INDICATED_RECOV_ATTRIB_RESOURCES_URAN" hidden="1">"c9614"</definedName>
    <definedName name="IQ_INDICATED_RECOV_ATTRIB_RESOURCES_ZINC" hidden="1">"c9349"</definedName>
    <definedName name="IQ_INDICATED_RECOV_RESOURCES_ALUM" hidden="1">"c9233"</definedName>
    <definedName name="IQ_INDICATED_RECOV_RESOURCES_COAL" hidden="1">"c9812"</definedName>
    <definedName name="IQ_INDICATED_RECOV_RESOURCES_COP" hidden="1">"c9177"</definedName>
    <definedName name="IQ_INDICATED_RECOV_RESOURCES_DIAM" hidden="1">"c9657"</definedName>
    <definedName name="IQ_INDICATED_RECOV_RESOURCES_GOLD" hidden="1">"c9018"</definedName>
    <definedName name="IQ_INDICATED_RECOV_RESOURCES_IRON" hidden="1">"c9392"</definedName>
    <definedName name="IQ_INDICATED_RECOV_RESOURCES_LEAD" hidden="1">"c9445"</definedName>
    <definedName name="IQ_INDICATED_RECOV_RESOURCES_MANG" hidden="1">"c9498"</definedName>
    <definedName name="IQ_INDICATED_RECOV_RESOURCES_MET_COAL" hidden="1">"c9752"</definedName>
    <definedName name="IQ_INDICATED_RECOV_RESOURCES_MOLYB" hidden="1">"c9710"</definedName>
    <definedName name="IQ_INDICATED_RECOV_RESOURCES_NICK" hidden="1">"c9286"</definedName>
    <definedName name="IQ_INDICATED_RECOV_RESOURCES_PLAT" hidden="1">"c9124"</definedName>
    <definedName name="IQ_INDICATED_RECOV_RESOURCES_SILVER" hidden="1">"c9071"</definedName>
    <definedName name="IQ_INDICATED_RECOV_RESOURCES_STEAM" hidden="1">"c9782"</definedName>
    <definedName name="IQ_INDICATED_RECOV_RESOURCES_TITAN" hidden="1">"c9551"</definedName>
    <definedName name="IQ_INDICATED_RECOV_RESOURCES_URAN" hidden="1">"c9604"</definedName>
    <definedName name="IQ_INDICATED_RECOV_RESOURCES_ZINC" hidden="1">"c9339"</definedName>
    <definedName name="IQ_INDICATED_RESOURCES_CALORIFIC_VALUE_COAL" hidden="1">"c9807"</definedName>
    <definedName name="IQ_INDICATED_RESOURCES_CALORIFIC_VALUE_MET_COAL" hidden="1">"c9747"</definedName>
    <definedName name="IQ_INDICATED_RESOURCES_CALORIFIC_VALUE_STEAM" hidden="1">"c9777"</definedName>
    <definedName name="IQ_INDICATED_RESOURCES_GRADE_ALUM" hidden="1">"c9225"</definedName>
    <definedName name="IQ_INDICATED_RESOURCES_GRADE_COP" hidden="1">"c9169"</definedName>
    <definedName name="IQ_INDICATED_RESOURCES_GRADE_DIAM" hidden="1">"c9649"</definedName>
    <definedName name="IQ_INDICATED_RESOURCES_GRADE_GOLD" hidden="1">"c9010"</definedName>
    <definedName name="IQ_INDICATED_RESOURCES_GRADE_IRON" hidden="1">"c9384"</definedName>
    <definedName name="IQ_INDICATED_RESOURCES_GRADE_LEAD" hidden="1">"c9437"</definedName>
    <definedName name="IQ_INDICATED_RESOURCES_GRADE_MANG" hidden="1">"c9490"</definedName>
    <definedName name="IQ_INDICATED_RESOURCES_GRADE_MOLYB" hidden="1">"c9702"</definedName>
    <definedName name="IQ_INDICATED_RESOURCES_GRADE_NICK" hidden="1">"c9278"</definedName>
    <definedName name="IQ_INDICATED_RESOURCES_GRADE_PLAT" hidden="1">"c9116"</definedName>
    <definedName name="IQ_INDICATED_RESOURCES_GRADE_SILVER" hidden="1">"c9063"</definedName>
    <definedName name="IQ_INDICATED_RESOURCES_GRADE_TITAN" hidden="1">"c9543"</definedName>
    <definedName name="IQ_INDICATED_RESOURCES_GRADE_URAN" hidden="1">"c9596"</definedName>
    <definedName name="IQ_INDICATED_RESOURCES_GRADE_ZINC" hidden="1">"c9331"</definedName>
    <definedName name="IQ_INDIVIDUAL" hidden="1">"c15182"</definedName>
    <definedName name="IQ_INDIVIDUAL_ACTIVE_BOARD_MEMBERSHIPS" hidden="1">"c15201"</definedName>
    <definedName name="IQ_INDIVIDUAL_ACTIVE_PRO_AFFILIATIONS" hidden="1">"c15199"</definedName>
    <definedName name="IQ_INDIVIDUAL_AGE" hidden="1">"c15191"</definedName>
    <definedName name="IQ_INDIVIDUAL_ASSISTANT_EMAIL" hidden="1">"c15206"</definedName>
    <definedName name="IQ_INDIVIDUAL_ASSISTANT_FAX" hidden="1">"c15208"</definedName>
    <definedName name="IQ_INDIVIDUAL_ASSISTANT_NAME" hidden="1">"c15205"</definedName>
    <definedName name="IQ_INDIVIDUAL_ASSISTANT_PHONE" hidden="1">"c15207"</definedName>
    <definedName name="IQ_INDIVIDUAL_BACKGROUND" hidden="1">"c15184"</definedName>
    <definedName name="IQ_INDIVIDUAL_DIRECT_FAX" hidden="1">"c15189"</definedName>
    <definedName name="IQ_INDIVIDUAL_DIRECT_PHONE" hidden="1">"c15188"</definedName>
    <definedName name="IQ_INDIVIDUAL_EDUCATION" hidden="1">"c15203"</definedName>
    <definedName name="IQ_INDIVIDUAL_EMAIL" hidden="1">"c15193"</definedName>
    <definedName name="IQ_INDIVIDUAL_FAMILY_LOAN_DOM_QUARTERLY_AVG_FFIEC" hidden="1">"c15479"</definedName>
    <definedName name="IQ_INDIVIDUAL_HOME_ADDRESS" hidden="1">"c15194"</definedName>
    <definedName name="IQ_INDIVIDUAL_HOME_FAX" hidden="1">"c15196"</definedName>
    <definedName name="IQ_INDIVIDUAL_HOME_PHONE" hidden="1">"c15195"</definedName>
    <definedName name="IQ_INDIVIDUAL_MAIN_FAX" hidden="1">"c15187"</definedName>
    <definedName name="IQ_INDIVIDUAL_MAIN_PHONE" hidden="1">"c15186"</definedName>
    <definedName name="IQ_INDIVIDUAL_MOBILE" hidden="1">"c15198"</definedName>
    <definedName name="IQ_INDIVIDUAL_NICKNAME" hidden="1">"c15192"</definedName>
    <definedName name="IQ_INDIVIDUAL_NOTES" hidden="1">"c15204"</definedName>
    <definedName name="IQ_INDIVIDUAL_OFFICE_ADDRESS" hidden="1">"c15185"</definedName>
    <definedName name="IQ_INDIVIDUAL_OTHER_PHONE" hidden="1">"c15197"</definedName>
    <definedName name="IQ_INDIVIDUAL_PARTNER_CORP_NON_TRANS_ACCTS_FFIEC" hidden="1">"c15322"</definedName>
    <definedName name="IQ_INDIVIDUAL_PARTNER_CORP_TRANS_ACCTS_FFIEC" hidden="1">"c15314"</definedName>
    <definedName name="IQ_INDIVIDUAL_PARTNER_CORPS_FOREIGN_DEP_FFIEC" hidden="1">"c15342"</definedName>
    <definedName name="IQ_INDIVIDUAL_PRIOR_BOARD_MEMBERSHIPS" hidden="1">"c15202"</definedName>
    <definedName name="IQ_INDIVIDUAL_PRIOR_PRO_AFFILIATIONS" hidden="1">"c15200"</definedName>
    <definedName name="IQ_INDIVIDUAL_SPECIALTY" hidden="1">"c15190"</definedName>
    <definedName name="IQ_INDIVIDUAL_TITLE" hidden="1">"c15183"</definedName>
    <definedName name="IQ_INDIVIDUALS_GROSS_LOANS_FFIEC" hidden="1">"c13411"</definedName>
    <definedName name="IQ_INDIVIDUALS_RISK_BASED_FFIEC" hidden="1">"c13432"</definedName>
    <definedName name="IQ_INDUSTRIAL_PROD" hidden="1">"c6895"</definedName>
    <definedName name="IQ_INDUSTRIAL_PROD_APR" hidden="1">"c7555"</definedName>
    <definedName name="IQ_INDUSTRIAL_PROD_APR_FC" hidden="1">"c8435"</definedName>
    <definedName name="IQ_INDUSTRIAL_PROD_FC" hidden="1">"c7775"</definedName>
    <definedName name="IQ_INDUSTRIAL_PROD_POP" hidden="1">"c7115"</definedName>
    <definedName name="IQ_INDUSTRIAL_PROD_POP_FC" hidden="1">"c7995"</definedName>
    <definedName name="IQ_INDUSTRIAL_PROD_YOY" hidden="1">"c7335"</definedName>
    <definedName name="IQ_INDUSTRIAL_PROD_YOY_FC" hidden="1">"c8215"</definedName>
    <definedName name="IQ_INDUSTRY" hidden="1">"c3601"</definedName>
    <definedName name="IQ_INDUSTRY_GROUP" hidden="1">"c3602"</definedName>
    <definedName name="IQ_INDUSTRY_SECTOR" hidden="1">"c3603"</definedName>
    <definedName name="IQ_INFERRED_ATTRIB_ORE_RESOURCES_ALUM" hidden="1">"c9240"</definedName>
    <definedName name="IQ_INFERRED_ATTRIB_ORE_RESOURCES_COP" hidden="1">"c9184"</definedName>
    <definedName name="IQ_INFERRED_ATTRIB_ORE_RESOURCES_DIAM" hidden="1">"c9664"</definedName>
    <definedName name="IQ_INFERRED_ATTRIB_ORE_RESOURCES_GOLD" hidden="1">"c9025"</definedName>
    <definedName name="IQ_INFERRED_ATTRIB_ORE_RESOURCES_IRON" hidden="1">"c9399"</definedName>
    <definedName name="IQ_INFERRED_ATTRIB_ORE_RESOURCES_LEAD" hidden="1">"c9452"</definedName>
    <definedName name="IQ_INFERRED_ATTRIB_ORE_RESOURCES_MANG" hidden="1">"c9505"</definedName>
    <definedName name="IQ_INFERRED_ATTRIB_ORE_RESOURCES_MOLYB" hidden="1">"c9717"</definedName>
    <definedName name="IQ_INFERRED_ATTRIB_ORE_RESOURCES_NICK" hidden="1">"c9293"</definedName>
    <definedName name="IQ_INFERRED_ATTRIB_ORE_RESOURCES_PLAT" hidden="1">"c9131"</definedName>
    <definedName name="IQ_INFERRED_ATTRIB_ORE_RESOURCES_SILVER" hidden="1">"c9078"</definedName>
    <definedName name="IQ_INFERRED_ATTRIB_ORE_RESOURCES_TITAN" hidden="1">"c9558"</definedName>
    <definedName name="IQ_INFERRED_ATTRIB_ORE_RESOURCES_URAN" hidden="1">"c9611"</definedName>
    <definedName name="IQ_INFERRED_ATTRIB_ORE_RESOURCES_ZINC" hidden="1">"c9346"</definedName>
    <definedName name="IQ_INFERRED_ORE_RESOURCES_ALUM" hidden="1">"c9228"</definedName>
    <definedName name="IQ_INFERRED_ORE_RESOURCES_COP" hidden="1">"c9172"</definedName>
    <definedName name="IQ_INFERRED_ORE_RESOURCES_DIAM" hidden="1">"c9652"</definedName>
    <definedName name="IQ_INFERRED_ORE_RESOURCES_GOLD" hidden="1">"c9013"</definedName>
    <definedName name="IQ_INFERRED_ORE_RESOURCES_IRON" hidden="1">"c9387"</definedName>
    <definedName name="IQ_INFERRED_ORE_RESOURCES_LEAD" hidden="1">"c9440"</definedName>
    <definedName name="IQ_INFERRED_ORE_RESOURCES_MANG" hidden="1">"c9493"</definedName>
    <definedName name="IQ_INFERRED_ORE_RESOURCES_MOLYB" hidden="1">"c9705"</definedName>
    <definedName name="IQ_INFERRED_ORE_RESOURCES_NICK" hidden="1">"c9281"</definedName>
    <definedName name="IQ_INFERRED_ORE_RESOURCES_PLAT" hidden="1">"c9119"</definedName>
    <definedName name="IQ_INFERRED_ORE_RESOURCES_SILVER" hidden="1">"c9066"</definedName>
    <definedName name="IQ_INFERRED_ORE_RESOURCES_TITAN" hidden="1">"c9546"</definedName>
    <definedName name="IQ_INFERRED_ORE_RESOURCES_URAN" hidden="1">"c9599"</definedName>
    <definedName name="IQ_INFERRED_ORE_RESOURCES_ZINC" hidden="1">"c9334"</definedName>
    <definedName name="IQ_INFERRED_RECOV_ATTRIB_RESOURCES_ALUM" hidden="1">"c9245"</definedName>
    <definedName name="IQ_INFERRED_RECOV_ATTRIB_RESOURCES_COAL" hidden="1">"c9819"</definedName>
    <definedName name="IQ_INFERRED_RECOV_ATTRIB_RESOURCES_COP" hidden="1">"c9189"</definedName>
    <definedName name="IQ_INFERRED_RECOV_ATTRIB_RESOURCES_DIAM" hidden="1">"c9669"</definedName>
    <definedName name="IQ_INFERRED_RECOV_ATTRIB_RESOURCES_GOLD" hidden="1">"c9030"</definedName>
    <definedName name="IQ_INFERRED_RECOV_ATTRIB_RESOURCES_IRON" hidden="1">"c9404"</definedName>
    <definedName name="IQ_INFERRED_RECOV_ATTRIB_RESOURCES_LEAD" hidden="1">"c9457"</definedName>
    <definedName name="IQ_INFERRED_RECOV_ATTRIB_RESOURCES_MANG" hidden="1">"c9510"</definedName>
    <definedName name="IQ_INFERRED_RECOV_ATTRIB_RESOURCES_MET_COAL" hidden="1">"c9759"</definedName>
    <definedName name="IQ_INFERRED_RECOV_ATTRIB_RESOURCES_MOLYB" hidden="1">"c9722"</definedName>
    <definedName name="IQ_INFERRED_RECOV_ATTRIB_RESOURCES_NICK" hidden="1">"c9298"</definedName>
    <definedName name="IQ_INFERRED_RECOV_ATTRIB_RESOURCES_PLAT" hidden="1">"c9136"</definedName>
    <definedName name="IQ_INFERRED_RECOV_ATTRIB_RESOURCES_SILVER" hidden="1">"c9083"</definedName>
    <definedName name="IQ_INFERRED_RECOV_ATTRIB_RESOURCES_STEAM" hidden="1">"c9789"</definedName>
    <definedName name="IQ_INFERRED_RECOV_ATTRIB_RESOURCES_TITAN" hidden="1">"c9563"</definedName>
    <definedName name="IQ_INFERRED_RECOV_ATTRIB_RESOURCES_URAN" hidden="1">"c9616"</definedName>
    <definedName name="IQ_INFERRED_RECOV_ATTRIB_RESOURCES_ZINC" hidden="1">"c9351"</definedName>
    <definedName name="IQ_INFERRED_RECOV_RESOURCES_ALUM" hidden="1">"c9235"</definedName>
    <definedName name="IQ_INFERRED_RECOV_RESOURCES_COAL" hidden="1">"c9814"</definedName>
    <definedName name="IQ_INFERRED_RECOV_RESOURCES_COP" hidden="1">"c9179"</definedName>
    <definedName name="IQ_INFERRED_RECOV_RESOURCES_DIAM" hidden="1">"c9659"</definedName>
    <definedName name="IQ_INFERRED_RECOV_RESOURCES_GOLD" hidden="1">"c9020"</definedName>
    <definedName name="IQ_INFERRED_RECOV_RESOURCES_IRON" hidden="1">"c9394"</definedName>
    <definedName name="IQ_INFERRED_RECOV_RESOURCES_LEAD" hidden="1">"c9447"</definedName>
    <definedName name="IQ_INFERRED_RECOV_RESOURCES_MANG" hidden="1">"c9500"</definedName>
    <definedName name="IQ_INFERRED_RECOV_RESOURCES_MET_COAL" hidden="1">"c9754"</definedName>
    <definedName name="IQ_INFERRED_RECOV_RESOURCES_MOLYB" hidden="1">"c9712"</definedName>
    <definedName name="IQ_INFERRED_RECOV_RESOURCES_NICK" hidden="1">"c9288"</definedName>
    <definedName name="IQ_INFERRED_RECOV_RESOURCES_PLAT" hidden="1">"c9126"</definedName>
    <definedName name="IQ_INFERRED_RECOV_RESOURCES_SILVER" hidden="1">"c9073"</definedName>
    <definedName name="IQ_INFERRED_RECOV_RESOURCES_STEAM" hidden="1">"c9784"</definedName>
    <definedName name="IQ_INFERRED_RECOV_RESOURCES_TITAN" hidden="1">"c9553"</definedName>
    <definedName name="IQ_INFERRED_RECOV_RESOURCES_URAN" hidden="1">"c9606"</definedName>
    <definedName name="IQ_INFERRED_RECOV_RESOURCES_ZINC" hidden="1">"c9341"</definedName>
    <definedName name="IQ_INFERRED_RESOURCES_CALORIFIC_VALUE_COAL" hidden="1">"c9809"</definedName>
    <definedName name="IQ_INFERRED_RESOURCES_CALORIFIC_VALUE_MET_COAL" hidden="1">"c9749"</definedName>
    <definedName name="IQ_INFERRED_RESOURCES_CALORIFIC_VALUE_STEAM" hidden="1">"c9779"</definedName>
    <definedName name="IQ_INFERRED_RESOURCES_GRADE_ALUM" hidden="1">"c9229"</definedName>
    <definedName name="IQ_INFERRED_RESOURCES_GRADE_COP" hidden="1">"c9173"</definedName>
    <definedName name="IQ_INFERRED_RESOURCES_GRADE_DIAM" hidden="1">"c9653"</definedName>
    <definedName name="IQ_INFERRED_RESOURCES_GRADE_GOLD" hidden="1">"c9014"</definedName>
    <definedName name="IQ_INFERRED_RESOURCES_GRADE_IRON" hidden="1">"c9388"</definedName>
    <definedName name="IQ_INFERRED_RESOURCES_GRADE_LEAD" hidden="1">"c9441"</definedName>
    <definedName name="IQ_INFERRED_RESOURCES_GRADE_MANG" hidden="1">"c9494"</definedName>
    <definedName name="IQ_INFERRED_RESOURCES_GRADE_MOLYB" hidden="1">"c9706"</definedName>
    <definedName name="IQ_INFERRED_RESOURCES_GRADE_NICK" hidden="1">"c9282"</definedName>
    <definedName name="IQ_INFERRED_RESOURCES_GRADE_PLAT" hidden="1">"c9120"</definedName>
    <definedName name="IQ_INFERRED_RESOURCES_GRADE_SILVER" hidden="1">"c9067"</definedName>
    <definedName name="IQ_INFERRED_RESOURCES_GRADE_TITAN" hidden="1">"c9547"</definedName>
    <definedName name="IQ_INFERRED_RESOURCES_GRADE_URAN" hidden="1">"c9600"</definedName>
    <definedName name="IQ_INFERRED_RESOURCES_GRADE_ZINC" hidden="1">"c9335"</definedName>
    <definedName name="IQ_INFLATION_RATE" hidden="1">"c6899"</definedName>
    <definedName name="IQ_INFLATION_RATE_CORE" hidden="1">"c11783"</definedName>
    <definedName name="IQ_INFLATION_RATE_CORE_POP" hidden="1">"c11784"</definedName>
    <definedName name="IQ_INFLATION_RATE_CORE_YOY" hidden="1">"c11785"</definedName>
    <definedName name="IQ_INFLATION_RATE_FC" hidden="1">"c7779"</definedName>
    <definedName name="IQ_INFLATION_RATE_POP" hidden="1">"c7119"</definedName>
    <definedName name="IQ_INFLATION_RATE_POP_FC" hidden="1">"c7999"</definedName>
    <definedName name="IQ_INFLATION_RATE_YOY" hidden="1">"c7339"</definedName>
    <definedName name="IQ_INFLATION_RATE_YOY_FC" hidden="1">"c8219"</definedName>
    <definedName name="IQ_INITIAL_CLAIMS" hidden="1">"c6900"</definedName>
    <definedName name="IQ_INITIAL_CLAIMS_APR" hidden="1">"c7560"</definedName>
    <definedName name="IQ_INITIAL_CLAIMS_APR_FC" hidden="1">"c8440"</definedName>
    <definedName name="IQ_INITIAL_CLAIMS_FC" hidden="1">"c7780"</definedName>
    <definedName name="IQ_INITIAL_CLAIMS_POP" hidden="1">"c7120"</definedName>
    <definedName name="IQ_INITIAL_CLAIMS_POP_FC" hidden="1">"c8000"</definedName>
    <definedName name="IQ_INS_ANNUITY_LIAB" hidden="1">"c563"</definedName>
    <definedName name="IQ_INS_ANNUITY_REV" hidden="1">"c2788"</definedName>
    <definedName name="IQ_INS_DIV_EXP" hidden="1">"c564"</definedName>
    <definedName name="IQ_INS_DIV_REV" hidden="1">"c565"</definedName>
    <definedName name="IQ_INS_IN_FORCE" hidden="1">"c566"</definedName>
    <definedName name="IQ_INS_LIAB" hidden="1">"c567"</definedName>
    <definedName name="IQ_INS_POLICY_EXP" hidden="1">"c568"</definedName>
    <definedName name="IQ_INS_REV" hidden="1">"c569"</definedName>
    <definedName name="IQ_INS_SETTLE" hidden="1">"c570"</definedName>
    <definedName name="IQ_INS_SETTLE_BNK" hidden="1">"c571"</definedName>
    <definedName name="IQ_INS_SETTLE_BR" hidden="1">"c572"</definedName>
    <definedName name="IQ_INS_SETTLE_FIN" hidden="1">"c573"</definedName>
    <definedName name="IQ_INS_SETTLE_INS" hidden="1">"c574"</definedName>
    <definedName name="IQ_INS_SETTLE_RE" hidden="1">"c6223"</definedName>
    <definedName name="IQ_INS_SETTLE_REIT" hidden="1">"c575"</definedName>
    <definedName name="IQ_INS_SETTLE_SUPPLE" hidden="1">"c13814"</definedName>
    <definedName name="IQ_INS_SETTLE_UTI" hidden="1">"c576"</definedName>
    <definedName name="IQ_INSIDER_3MTH_BOUGHT_PCT" hidden="1">"c1534"</definedName>
    <definedName name="IQ_INSIDER_3MTH_NET_PCT" hidden="1">"c1535"</definedName>
    <definedName name="IQ_INSIDER_3MTH_SOLD_PCT" hidden="1">"c1533"</definedName>
    <definedName name="IQ_INSIDER_6MTH_BOUGHT_PCT" hidden="1">"c1537"</definedName>
    <definedName name="IQ_INSIDER_6MTH_NET_PCT" hidden="1">"c1538"</definedName>
    <definedName name="IQ_INSIDER_6MTH_SOLD_PCT" hidden="1">"c1536"</definedName>
    <definedName name="IQ_INSIDER_OVER_TOTAL" hidden="1">"c1581"</definedName>
    <definedName name="IQ_INSIDER_OWNER" hidden="1">"c577"</definedName>
    <definedName name="IQ_INSIDER_PERCENT" hidden="1">"c578"</definedName>
    <definedName name="IQ_INSIDER_SHARES" hidden="1">"c579"</definedName>
    <definedName name="IQ_INST_DEPOSITS" hidden="1">"c89"</definedName>
    <definedName name="IQ_INSTITUTIONAL_OVER_TOTAL" hidden="1">"c1580"</definedName>
    <definedName name="IQ_INSTITUTIONAL_OWNER" hidden="1">"c580"</definedName>
    <definedName name="IQ_INSTITUTIONAL_PERCENT" hidden="1">"c581"</definedName>
    <definedName name="IQ_INSTITUTIONAL_SHARES" hidden="1">"c582"</definedName>
    <definedName name="IQ_INSUR_RECEIV" hidden="1">"c1600"</definedName>
    <definedName name="IQ_INSURANCE_REINSURANCE_UNDERWRITING_INCOME_FFIEC" hidden="1">"c13008"</definedName>
    <definedName name="IQ_INSURANCE_REV_OPERATING_INC_FFIEC" hidden="1">"c13387"</definedName>
    <definedName name="IQ_INT_BEARING_DEPOSITS" hidden="1">"c1166"</definedName>
    <definedName name="IQ_INT_BEARING_FUNDS_AVG_ASSETS_FFIEC" hidden="1">"c13355"</definedName>
    <definedName name="IQ_INT_BEARING_LIABILITIES_REPRICE_ASSETS_TOT_FFIEC" hidden="1">"c13452"</definedName>
    <definedName name="IQ_INT_BORROW" hidden="1">"c583"</definedName>
    <definedName name="IQ_INT_DEPOSITS" hidden="1">"c584"</definedName>
    <definedName name="IQ_INT_DEPOSITS_DOM_FFIEC" hidden="1">"c12852"</definedName>
    <definedName name="IQ_INT_DEPOSITS_DOM_QUARTERLY_AVG_FFIEC" hidden="1">"c13088"</definedName>
    <definedName name="IQ_INT_DEPOSITS_FOREIGN_FFIEC" hidden="1">"c12855"</definedName>
    <definedName name="IQ_INT_DEPOSITS_FOREIGN_QUARTERLY_AVG_FFIEC" hidden="1">"c13089"</definedName>
    <definedName name="IQ_INT_DIV_INC" hidden="1">"c585"</definedName>
    <definedName name="IQ_INT_DIV_INC_MBS_FFIEC" hidden="1">"c12984"</definedName>
    <definedName name="IQ_INT_DIV_INC_SECURITIES_FFIEC" hidden="1">"c12982"</definedName>
    <definedName name="IQ_INT_DIV_INC_SECURITIES_OTHER_FFIEC" hidden="1">"c12985"</definedName>
    <definedName name="IQ_INT_DIV_INC_TREASURY_SECURITIES_FFIEC" hidden="1">"c12983"</definedName>
    <definedName name="IQ_INT_EXP_AVG_ASSETS_FFIEC" hidden="1">"c13357"</definedName>
    <definedName name="IQ_INT_EXP_BR" hidden="1">"c586"</definedName>
    <definedName name="IQ_INT_EXP_COVERAGE" hidden="1">"c587"</definedName>
    <definedName name="IQ_INT_EXP_EARNING_ASSETS_FFIEC" hidden="1">"c13376"</definedName>
    <definedName name="IQ_INT_EXP_FED_FUNDS_PURCHASED_FFIEC" hidden="1">"c12996"</definedName>
    <definedName name="IQ_INT_EXP_FIN" hidden="1">"c588"</definedName>
    <definedName name="IQ_INT_EXP_INCL_CAP" hidden="1">"c2988"</definedName>
    <definedName name="IQ_INT_EXP_INS" hidden="1">"c589"</definedName>
    <definedName name="IQ_INT_EXP_LTD" hidden="1">"c2086"</definedName>
    <definedName name="IQ_INT_EXP_RE" hidden="1">"c6224"</definedName>
    <definedName name="IQ_INT_EXP_REIT" hidden="1">"c590"</definedName>
    <definedName name="IQ_INT_EXP_TOTAL" hidden="1">"c591"</definedName>
    <definedName name="IQ_INT_EXP_TOTAL_BNK_SUBTOTAL_AP" hidden="1">"c8977"</definedName>
    <definedName name="IQ_INT_EXP_UTI" hidden="1">"c592"</definedName>
    <definedName name="IQ_INT_EXPENSE_AVG_ASSET" hidden="1">"c15705"</definedName>
    <definedName name="IQ_INT_FEE_INC_ACCEPTANCE_OTHER_BANKS_DOM_FFIEC" hidden="1">"c15357"</definedName>
    <definedName name="IQ_INT_FEE_INC_AGRICULTURE_LOANS_FARMERS_DOM_FFIEC" hidden="1">"c15355"</definedName>
    <definedName name="IQ_INT_FEE_INC_COMM_IND_LOANS_DOM_FFIEC" hidden="1">"c15356"</definedName>
    <definedName name="IQ_INT_FEE_INC_CREDIT_CARDS_DOM_FFIEC" hidden="1">"c15358"</definedName>
    <definedName name="IQ_INT_FEE_INC_DEPOSITORY_LOANS_DOM_FFIEC" hidden="1">"c15354"</definedName>
    <definedName name="IQ_INT_FEE_INC_FOREIGN_GOVT_LOANS_DOM_FFIEC" hidden="1">"c15360"</definedName>
    <definedName name="IQ_INT_FEE_INC_INDIVIDUAL_LOANS_DOM_FFIEC" hidden="1">"c15359"</definedName>
    <definedName name="IQ_INT_FEE_INC_LOANS_1_4_DOM_FFIEC" hidden="1">"c12976"</definedName>
    <definedName name="IQ_INT_FEE_INC_LOANS_DOM_FFIEC" hidden="1">"c13335"</definedName>
    <definedName name="IQ_INT_FEE_INC_LOANS_FOREIGN_FFIEC" hidden="1">"c12979"</definedName>
    <definedName name="IQ_INT_FEE_INC_LOANS_OTHER_DOM_FFIEC" hidden="1">"c12978"</definedName>
    <definedName name="IQ_INT_FEE_INC_RE_LOANS_DOM_FFIEC" hidden="1">"c15353"</definedName>
    <definedName name="IQ_INT_FEE_INC_SECURED_RE_DOM_FFIEC" hidden="1">"c12977"</definedName>
    <definedName name="IQ_INT_FEE_INC_TAX_EXEMPT_OBLIGATIONS_DOM_FFIEC" hidden="1">"c15362"</definedName>
    <definedName name="IQ_INT_FEE_INC_TAXABLE_OBLIGATIONS_DOM_FFIEC" hidden="1">"c15361"</definedName>
    <definedName name="IQ_INT_FEE_INCOME_FFIEC" hidden="1">"c12974"</definedName>
    <definedName name="IQ_INT_INC_AVG_ASSETS_FFIEC" hidden="1">"c13356"</definedName>
    <definedName name="IQ_INT_INC_BR" hidden="1">"c593"</definedName>
    <definedName name="IQ_INT_INC_DUE_DEPOSITORY_INSTITUTIONS_FFIEC" hidden="1">"c12981"</definedName>
    <definedName name="IQ_INT_INC_EARNING_ASSETS_FFIEC" hidden="1">"c13375"</definedName>
    <definedName name="IQ_INT_INC_FED_FUNDS_SOLD_FFIEC" hidden="1">"c12987"</definedName>
    <definedName name="IQ_INT_INC_FIN" hidden="1">"c594"</definedName>
    <definedName name="IQ_INT_INC_INVEST" hidden="1">"c595"</definedName>
    <definedName name="IQ_INT_INC_LOANS" hidden="1">"c596"</definedName>
    <definedName name="IQ_INT_INC_RE" hidden="1">"c6225"</definedName>
    <definedName name="IQ_INT_INC_REIT" hidden="1">"c597"</definedName>
    <definedName name="IQ_INT_INC_TE_AVG_ASSETS_FFIEC" hidden="1">"c13358"</definedName>
    <definedName name="IQ_INT_INC_TE_EARNING_ASSETS_FFIEC" hidden="1">"c13377"</definedName>
    <definedName name="IQ_INT_INC_TOTAL" hidden="1">"c598"</definedName>
    <definedName name="IQ_INT_INC_TOTAL_BNK_SUBTOTAL_AP" hidden="1">"c8976"</definedName>
    <definedName name="IQ_INT_INC_TRADING_ASSETS_FFIEC" hidden="1">"c12986"</definedName>
    <definedName name="IQ_INT_INC_UTI" hidden="1">"c599"</definedName>
    <definedName name="IQ_INT_INCOME_AVG_ASSET" hidden="1">"c15704"</definedName>
    <definedName name="IQ_INT_INCOME_FTE_AVG_ASSETS_FFIEC" hidden="1">"c13856"</definedName>
    <definedName name="IQ_INT_INCOME_FTE_AVG_EARNING_ASSETS_FFIEC" hidden="1">"c13857"</definedName>
    <definedName name="IQ_INT_INCOME_FTE_FFIEC" hidden="1">"c13852"</definedName>
    <definedName name="IQ_INT_INV_INC" hidden="1">"c600"</definedName>
    <definedName name="IQ_INT_INV_INC_RE" hidden="1">"c6226"</definedName>
    <definedName name="IQ_INT_INV_INC_REIT" hidden="1">"c601"</definedName>
    <definedName name="IQ_INT_INV_INC_UTI" hidden="1">"c602"</definedName>
    <definedName name="IQ_INT_ON_BORROWING_COVERAGE" hidden="1">"c603"</definedName>
    <definedName name="IQ_INT_ON_DEPOSITS_DOM_FFIEC" hidden="1">"c12991"</definedName>
    <definedName name="IQ_INT_ON_DEPOSITS_FFIEC" hidden="1">"c12990"</definedName>
    <definedName name="IQ_INT_ON_DEPOSITS_FOREIGN_FFIEC" hidden="1">"c12995"</definedName>
    <definedName name="IQ_INT_RATE_EXPOSURE_FFIEC" hidden="1">"c13058"</definedName>
    <definedName name="IQ_INT_RATE_SPREAD" hidden="1">"c604"</definedName>
    <definedName name="IQ_INT_SAVINGS_DEPOSITS_MMDA_DOM_FFIEC" hidden="1">"c15364"</definedName>
    <definedName name="IQ_INT_SUB_NOTES_FFIEC" hidden="1">"c12998"</definedName>
    <definedName name="IQ_INT_TIME_DEPOSITS_LESS_THAN_100K_DOM_FFIEC" hidden="1">"c12993"</definedName>
    <definedName name="IQ_INT_TIME_DEPOSITS_MORE_THAN_100K_DOM_FFIEC" hidden="1">"c12992"</definedName>
    <definedName name="IQ_INT_TRADING_LIABILITIES_FFIEC" hidden="1">"c12997"</definedName>
    <definedName name="IQ_INT_TRANSACTION_ACCOUNTS_DOM_FFIEC" hidden="1">"c15363"</definedName>
    <definedName name="IQ_INTANGIBLES_NET" hidden="1">"c1407"</definedName>
    <definedName name="IQ_INTEREST_ACCRUED_ON_DEPOSITS_DOM_FFIEC" hidden="1">"c15277"</definedName>
    <definedName name="IQ_INTEREST_BEARING_BALANCES_QUARTERLY_AVG_FFIEC" hidden="1">"c15467"</definedName>
    <definedName name="IQ_INTEREST_BEARING_CASH_FFIEC" hidden="1">"c15259"</definedName>
    <definedName name="IQ_INTEREST_BEARING_CASH_FOREIGN_FFIEC" hidden="1">"c12776"</definedName>
    <definedName name="IQ_INTEREST_BEARING_CASH_US_FFIEC" hidden="1">"c12775"</definedName>
    <definedName name="IQ_INTEREST_BEARING_TRANS_DOM_QUARTERLY_AVG_FFIEC" hidden="1">"c15484"</definedName>
    <definedName name="IQ_INTEREST_CASH_DEPOSITS" hidden="1">"c2255"</definedName>
    <definedName name="IQ_INTEREST_EXP" hidden="1">"c618"</definedName>
    <definedName name="IQ_INTEREST_EXP_NET" hidden="1">"c1450"</definedName>
    <definedName name="IQ_INTEREST_EXP_NON" hidden="1">"c1383"</definedName>
    <definedName name="IQ_INTEREST_EXP_SUPPL" hidden="1">"c1460"</definedName>
    <definedName name="IQ_INTEREST_INC" hidden="1">"c1393"</definedName>
    <definedName name="IQ_INTEREST_INC_NON" hidden="1">"c1384"</definedName>
    <definedName name="IQ_INTEREST_INVEST_INC" hidden="1">"c619"</definedName>
    <definedName name="IQ_INTEREST_PENALTIES_RECOG_BS_AFTER_TAX" hidden="1">"c15745"</definedName>
    <definedName name="IQ_INTEREST_PENALTIES_RECOG_BS_PRE_TAX" hidden="1">"c15744"</definedName>
    <definedName name="IQ_INTEREST_PENALTIES_RECOG_IS_AFTER_TAX" hidden="1">"c15743"</definedName>
    <definedName name="IQ_INTEREST_PENALTIES_RECOG_IS_PRE_TAX" hidden="1">"c15742"</definedName>
    <definedName name="IQ_INTERNAL_ALLOCATIONS_INC_EXP_FOREIGN_FFIEC" hidden="1">"c15394"</definedName>
    <definedName name="IQ_INV_10YR_ANN_CAGR" hidden="1">"c6164"</definedName>
    <definedName name="IQ_INV_10YR_ANN_GROWTH" hidden="1">"c1930"</definedName>
    <definedName name="IQ_INV_1YR_ANN_GROWTH" hidden="1">"c1925"</definedName>
    <definedName name="IQ_INV_2YR_ANN_CAGR" hidden="1">"c6160"</definedName>
    <definedName name="IQ_INV_2YR_ANN_GROWTH" hidden="1">"c1926"</definedName>
    <definedName name="IQ_INV_3YR_ANN_CAGR" hidden="1">"c6161"</definedName>
    <definedName name="IQ_INV_3YR_ANN_GROWTH" hidden="1">"c1927"</definedName>
    <definedName name="IQ_INV_5YR_ANN_CAGR" hidden="1">"c6162"</definedName>
    <definedName name="IQ_INV_5YR_ANN_GROWTH" hidden="1">"c1928"</definedName>
    <definedName name="IQ_INV_7YR_ANN_CAGR" hidden="1">"c6163"</definedName>
    <definedName name="IQ_INV_7YR_ANN_GROWTH" hidden="1">"c1929"</definedName>
    <definedName name="IQ_INV_BANKING_FEE" hidden="1">"c620"</definedName>
    <definedName name="IQ_INV_METHOD" hidden="1">"c621"</definedName>
    <definedName name="IQ_INV_REL_ID" hidden="1">"c15220"</definedName>
    <definedName name="IQ_INV_REL_NAME" hidden="1">"c15219"</definedName>
    <definedName name="IQ_INVENTORIES" hidden="1">"c6901"</definedName>
    <definedName name="IQ_INVENTORIES_APR" hidden="1">"c7561"</definedName>
    <definedName name="IQ_INVENTORIES_APR_FC" hidden="1">"c8441"</definedName>
    <definedName name="IQ_INVENTORIES_FC" hidden="1">"c7781"</definedName>
    <definedName name="IQ_INVENTORIES_POP" hidden="1">"c7121"</definedName>
    <definedName name="IQ_INVENTORIES_POP_FC" hidden="1">"c8001"</definedName>
    <definedName name="IQ_INVENTORIES_YOY" hidden="1">"c7341"</definedName>
    <definedName name="IQ_INVENTORIES_YOY_FC" hidden="1">"c8221"</definedName>
    <definedName name="IQ_INVENTORY" hidden="1">"c622"</definedName>
    <definedName name="IQ_INVENTORY_TURNS" hidden="1">"c623"</definedName>
    <definedName name="IQ_INVENTORY_UTI" hidden="1">"c624"</definedName>
    <definedName name="IQ_INVEST_DEBT" hidden="1">"c625"</definedName>
    <definedName name="IQ_INVEST_EQUITY_PREF" hidden="1">"c626"</definedName>
    <definedName name="IQ_INVEST_FHLB" hidden="1">"c627"</definedName>
    <definedName name="IQ_INVEST_GOV_SECURITY" hidden="1">"c5510"</definedName>
    <definedName name="IQ_INVEST_LOANS_CF" hidden="1">"c628"</definedName>
    <definedName name="IQ_INVEST_LOANS_CF_BNK" hidden="1">"c629"</definedName>
    <definedName name="IQ_INVEST_LOANS_CF_BR" hidden="1">"c630"</definedName>
    <definedName name="IQ_INVEST_LOANS_CF_FIN" hidden="1">"c631"</definedName>
    <definedName name="IQ_INVEST_LOANS_CF_INS" hidden="1">"c632"</definedName>
    <definedName name="IQ_INVEST_LOANS_CF_RE" hidden="1">"c6227"</definedName>
    <definedName name="IQ_INVEST_LOANS_CF_REIT" hidden="1">"c633"</definedName>
    <definedName name="IQ_INVEST_LOANS_CF_UTI" hidden="1">"c634"</definedName>
    <definedName name="IQ_INVEST_MUNI_SECURITY" hidden="1">"c5512"</definedName>
    <definedName name="IQ_INVEST_REAL_ESTATE" hidden="1">"c635"</definedName>
    <definedName name="IQ_INVEST_SECURITIES_ASSETS_TOT_FFIEC" hidden="1">"c13440"</definedName>
    <definedName name="IQ_INVEST_SECURITY" hidden="1">"c636"</definedName>
    <definedName name="IQ_INVEST_SECURITY_CF" hidden="1">"c637"</definedName>
    <definedName name="IQ_INVEST_SECURITY_CF_BNK" hidden="1">"c638"</definedName>
    <definedName name="IQ_INVEST_SECURITY_CF_BR" hidden="1">"c639"</definedName>
    <definedName name="IQ_INVEST_SECURITY_CF_FIN" hidden="1">"c640"</definedName>
    <definedName name="IQ_INVEST_SECURITY_CF_INS" hidden="1">"c641"</definedName>
    <definedName name="IQ_INVEST_SECURITY_CF_RE" hidden="1">"c6228"</definedName>
    <definedName name="IQ_INVEST_SECURITY_CF_REIT" hidden="1">"c642"</definedName>
    <definedName name="IQ_INVEST_SECURITY_CF_UTI" hidden="1">"c643"</definedName>
    <definedName name="IQ_INVEST_SECURITY_SUPPL" hidden="1">"c5511"</definedName>
    <definedName name="IQ_INVEST_UNCONSOLIDATED_SUBS_FFIEC" hidden="1">"c12834"</definedName>
    <definedName name="IQ_INVESTMENT_BANKING_BROKERAGE_FEES_FFIEC" hidden="1">"c13627"</definedName>
    <definedName name="IQ_INVESTMENT_BANKING_FEES_COMMISSIONS_FFIEC" hidden="1">"c13006"</definedName>
    <definedName name="IQ_INVESTMENT_PARTNERSHIP" hidden="1">"c16072"</definedName>
    <definedName name="IQ_IPRD" hidden="1">"c644"</definedName>
    <definedName name="IQ_IPRD_SUPPLE" hidden="1">"c13813"</definedName>
    <definedName name="IQ_ISIN" hidden="1">"c12041"</definedName>
    <definedName name="IQ_ISM_INDEX" hidden="1">"c6902"</definedName>
    <definedName name="IQ_ISM_INDEX_APR" hidden="1">"c7562"</definedName>
    <definedName name="IQ_ISM_INDEX_APR_FC" hidden="1">"c8442"</definedName>
    <definedName name="IQ_ISM_INDEX_FC" hidden="1">"c7782"</definedName>
    <definedName name="IQ_ISM_INDEX_POP" hidden="1">"c7122"</definedName>
    <definedName name="IQ_ISM_INDEX_POP_FC" hidden="1">"c8002"</definedName>
    <definedName name="IQ_ISM_INDEX_YOY" hidden="1">"c7342"</definedName>
    <definedName name="IQ_ISM_INDEX_YOY_FC" hidden="1">"c8222"</definedName>
    <definedName name="IQ_ISM_SERVICES_APR_FC_UNUSED" hidden="1">"c8443"</definedName>
    <definedName name="IQ_ISM_SERVICES_APR_UNUSED" hidden="1">"c7563"</definedName>
    <definedName name="IQ_ISM_SERVICES_FC_UNUSED" hidden="1">"c7783"</definedName>
    <definedName name="IQ_ISM_SERVICES_INDEX" hidden="1">"c11862"</definedName>
    <definedName name="IQ_ISM_SERVICES_INDEX_APR" hidden="1">"c11865"</definedName>
    <definedName name="IQ_ISM_SERVICES_INDEX_POP" hidden="1">"c11863"</definedName>
    <definedName name="IQ_ISM_SERVICES_INDEX_YOY" hidden="1">"c11864"</definedName>
    <definedName name="IQ_ISM_SERVICES_POP_FC_UNUSED" hidden="1">"c8003"</definedName>
    <definedName name="IQ_ISM_SERVICES_POP_UNUSED" hidden="1">"c7123"</definedName>
    <definedName name="IQ_ISM_SERVICES_UNUSED" hidden="1">"c6903"</definedName>
    <definedName name="IQ_ISM_SERVICES_YOY_FC_UNUSED" hidden="1">"c8223"</definedName>
    <definedName name="IQ_ISM_SERVICES_YOY_UNUSED" hidden="1">"c7343"</definedName>
    <definedName name="IQ_ISS_DEBT_NET" hidden="1">"c1391"</definedName>
    <definedName name="IQ_ISS_STOCK_NET" hidden="1">"c1601"</definedName>
    <definedName name="IQ_ISSUE_CURRENCY" hidden="1">"c2156"</definedName>
    <definedName name="IQ_ISSUE_NAME" hidden="1">"c2142"</definedName>
    <definedName name="IQ_ISSUER" hidden="1">"c2143"</definedName>
    <definedName name="IQ_ISSUER_CIQID" hidden="1">"c2258"</definedName>
    <definedName name="IQ_ISSUER_PARENT" hidden="1">"c2144"</definedName>
    <definedName name="IQ_ISSUER_PARENT_CIQID" hidden="1">"c2260"</definedName>
    <definedName name="IQ_ISSUER_PARENT_TICKER" hidden="1">"c2259"</definedName>
    <definedName name="IQ_ISSUER_TICKER" hidden="1">"c2252"</definedName>
    <definedName name="IQ_JR_SUB_DEBT" hidden="1">"c2534"</definedName>
    <definedName name="IQ_JR_SUB_DEBT_EBITDA" hidden="1">"c2560"</definedName>
    <definedName name="IQ_JR_SUB_DEBT_EBITDA_CAPEX" hidden="1">"c2561"</definedName>
    <definedName name="IQ_JR_SUB_DEBT_PCT" hidden="1">"c2535"</definedName>
    <definedName name="IQ_KEY_DEV_COMPANY_ID" hidden="1">"c13830"</definedName>
    <definedName name="IQ_KEY_DEV_COMPANY_NAME" hidden="1">"c13829"</definedName>
    <definedName name="IQ_KEY_DEV_DATE" hidden="1">"c13763"</definedName>
    <definedName name="IQ_KEY_DEV_HEADLINE" hidden="1">"c13761"</definedName>
    <definedName name="IQ_KEY_DEV_ID" hidden="1">"c13760"</definedName>
    <definedName name="IQ_KEY_DEV_ID_INCL_SUBS" hidden="1">"c13832"</definedName>
    <definedName name="IQ_KEY_DEV_SITUATION" hidden="1">"c13762"</definedName>
    <definedName name="IQ_KEY_DEV_SOURCE" hidden="1">"c13765"</definedName>
    <definedName name="IQ_KEY_DEV_TIME" hidden="1">"c13833"</definedName>
    <definedName name="IQ_KEY_DEV_TRANSACTION_ID" hidden="1">"c13766"</definedName>
    <definedName name="IQ_KEY_DEV_TYPE" hidden="1">"c13764"</definedName>
    <definedName name="IQ_LAND" hidden="1">"c645"</definedName>
    <definedName name="IQ_LAND_MINERAL_RIGHTS_TO_PPE_GROSS_COAL" hidden="1">"c15949"</definedName>
    <definedName name="IQ_LAND_MINERAL_RIGHTS_TO_PPE_NET_COAL" hidden="1">"c15950"</definedName>
    <definedName name="IQ_LANDS_MINERAL_RIGHTS_GROSS_COAL" hidden="1">"c15938"</definedName>
    <definedName name="IQ_LANDS_MINERAL_RIGHTS_NET_COAL" hidden="1">"c15939"</definedName>
    <definedName name="IQ_LAPSE_STATUTE_LIMITATIONS" hidden="1">"c15738"</definedName>
    <definedName name="IQ_LARGE_CAP_LABOR_COST_INDEX" hidden="1">"c6904"</definedName>
    <definedName name="IQ_LARGE_CAP_LABOR_COST_INDEX_APR" hidden="1">"c7564"</definedName>
    <definedName name="IQ_LARGE_CAP_LABOR_COST_INDEX_APR_FC" hidden="1">"c8444"</definedName>
    <definedName name="IQ_LARGE_CAP_LABOR_COST_INDEX_FC" hidden="1">"c7784"</definedName>
    <definedName name="IQ_LARGE_CAP_LABOR_COST_INDEX_POP" hidden="1">"c7124"</definedName>
    <definedName name="IQ_LARGE_CAP_LABOR_COST_INDEX_POP_FC" hidden="1">"c8004"</definedName>
    <definedName name="IQ_LARGE_CAP_LABOR_COST_INDEX_YOY" hidden="1">"c7344"</definedName>
    <definedName name="IQ_LARGE_CAP_LABOR_COST_INDEX_YOY_FC" hidden="1">"c8224"</definedName>
    <definedName name="IQ_LAST_PMT_DATE" hidden="1">"c2188"</definedName>
    <definedName name="IQ_LAST_SPLIT_DATE" hidden="1">"c2095"</definedName>
    <definedName name="IQ_LAST_SPLIT_FACTOR" hidden="1">"c2093"</definedName>
    <definedName name="IQ_LASTPRICINGDATE" hidden="1">"c3051"</definedName>
    <definedName name="IQ_LASTSALEPRICE" hidden="1">"c646"</definedName>
    <definedName name="IQ_LASTSALEPRICE_DATE" hidden="1">"c2109"</definedName>
    <definedName name="IQ_LATEST_MONTHLY_FACTOR" hidden="1">"c8971"</definedName>
    <definedName name="IQ_LATEST_MONTHLY_FACTOR_DATE" hidden="1">"c8972"</definedName>
    <definedName name="IQ_LATESTK" hidden="1">1000</definedName>
    <definedName name="IQ_LATESTQ" hidden="1">500</definedName>
    <definedName name="IQ_LEAD_UNDERWRITER" hidden="1">"c8957"</definedName>
    <definedName name="IQ_LEASE_EXPENSE" hidden="1">"c16039"</definedName>
    <definedName name="IQ_LEASE_FIN_RECEIVABLES_NON_US_CHARGE_OFFS_FFIEC" hidden="1">"c13631"</definedName>
    <definedName name="IQ_LEASE_FIN_RECEIVABLES_NON_US_RECOV_FFIEC" hidden="1">"c13635"</definedName>
    <definedName name="IQ_LEASE_FIN_RECEIVABLES_US_CHARGE_OFFS_FFIEC" hidden="1">"c13630"</definedName>
    <definedName name="IQ_LEASE_FIN_RECEIVABLES_US_RECOV_FFIEC" hidden="1">"c13634"</definedName>
    <definedName name="IQ_LEASE_FINANCE" hidden="1">"c5654"</definedName>
    <definedName name="IQ_LEASE_FINANCING_REC_DUE_30_89_FFIEC" hidden="1">"c13276"</definedName>
    <definedName name="IQ_LEASE_FINANCING_REC_DUE_90_FFIEC" hidden="1">"c13302"</definedName>
    <definedName name="IQ_LEASE_FINANCING_REC_NON_ACCRUAL_FFIEC" hidden="1">"c13328"</definedName>
    <definedName name="IQ_LEASE_FINANCING_RECEIVABLES_DOM_FFIEC" hidden="1">"c12915"</definedName>
    <definedName name="IQ_LEASE_FINANCING_RECEIVABLES_QUARTERLY_AVG_FFIEC" hidden="1">"c15483"</definedName>
    <definedName name="IQ_LEASE_PMT_REC_AFTER_FIVE" hidden="1">"c16099"</definedName>
    <definedName name="IQ_LEASE_PMT_REC_CY" hidden="1">"c16093"</definedName>
    <definedName name="IQ_LEASE_PMT_REC_CY1" hidden="1">"c16094"</definedName>
    <definedName name="IQ_LEASE_PMT_REC_CY2" hidden="1">"c16095"</definedName>
    <definedName name="IQ_LEASE_PMT_REC_CY3" hidden="1">"c16096"</definedName>
    <definedName name="IQ_LEASE_PMT_REC_CY4" hidden="1">"c16097"</definedName>
    <definedName name="IQ_LEASE_PMT_REC_NEXT_FIVE" hidden="1">"c16098"</definedName>
    <definedName name="IQ_LEASE_PMT_REC_TOTAL" hidden="1">"c16100"</definedName>
    <definedName name="IQ_LEASE_RECEIVABLES_FOREIGN_FFIEC" hidden="1">"c13483"</definedName>
    <definedName name="IQ_LEASE_REVENUE" hidden="1">"c16023"</definedName>
    <definedName name="IQ_LEASE_TERMINATION_FEES" hidden="1">"c16182"</definedName>
    <definedName name="IQ_LEASED_RESERVES_COAL" hidden="1">"c15918"</definedName>
    <definedName name="IQ_LEASED_RESERVES_TO_TOTAL_RESERVES_COAL" hidden="1">"c15958"</definedName>
    <definedName name="IQ_LEASES_INDIVIDUALS_CHARGE_OFFS_FFIEC" hidden="1">"c13184"</definedName>
    <definedName name="IQ_LEASES_INDIVIDUALS_RECOV_FFIEC" hidden="1">"c13206"</definedName>
    <definedName name="IQ_LEASES_PERSONAL_EXP_DUE_30_89_FFIEC" hidden="1">"c13277"</definedName>
    <definedName name="IQ_LEASES_PERSONAL_EXP_DUE_90_FFIEC" hidden="1">"c13303"</definedName>
    <definedName name="IQ_LEASES_PERSONAL_EXP_NON_ACCRUAL_FFIEC" hidden="1">"c13329"</definedName>
    <definedName name="IQ_LEGAL_FEES_FFIEC" hidden="1">"c13052"</definedName>
    <definedName name="IQ_LEGAL_SETTLE" hidden="1">"c647"</definedName>
    <definedName name="IQ_LEGAL_SETTLE_BNK" hidden="1">"c648"</definedName>
    <definedName name="IQ_LEGAL_SETTLE_BR" hidden="1">"c649"</definedName>
    <definedName name="IQ_LEGAL_SETTLE_FIN" hidden="1">"c650"</definedName>
    <definedName name="IQ_LEGAL_SETTLE_INS" hidden="1">"c651"</definedName>
    <definedName name="IQ_LEGAL_SETTLE_RE" hidden="1">"c6229"</definedName>
    <definedName name="IQ_LEGAL_SETTLE_REIT" hidden="1">"c652"</definedName>
    <definedName name="IQ_LEGAL_SETTLE_SUPPLE" hidden="1">"c13815"</definedName>
    <definedName name="IQ_LEGAL_SETTLE_UTI" hidden="1">"c653"</definedName>
    <definedName name="IQ_LEVERAGE_RATIO" hidden="1">"c654"</definedName>
    <definedName name="IQ_LEVERED_FCF" hidden="1">"c1907"</definedName>
    <definedName name="IQ_LFCF_10YR_ANN_CAGR" hidden="1">"c6174"</definedName>
    <definedName name="IQ_LFCF_10YR_ANN_GROWTH" hidden="1">"c1942"</definedName>
    <definedName name="IQ_LFCF_1YR_ANN_GROWTH" hidden="1">"c1937"</definedName>
    <definedName name="IQ_LFCF_2YR_ANN_CAGR" hidden="1">"c6170"</definedName>
    <definedName name="IQ_LFCF_2YR_ANN_GROWTH" hidden="1">"c1938"</definedName>
    <definedName name="IQ_LFCF_3YR_ANN_CAGR" hidden="1">"c6171"</definedName>
    <definedName name="IQ_LFCF_3YR_ANN_GROWTH" hidden="1">"c1939"</definedName>
    <definedName name="IQ_LFCF_5YR_ANN_CAGR" hidden="1">"c6172"</definedName>
    <definedName name="IQ_LFCF_5YR_ANN_GROWTH" hidden="1">"c1940"</definedName>
    <definedName name="IQ_LFCF_7YR_ANN_CAGR" hidden="1">"c6173"</definedName>
    <definedName name="IQ_LFCF_7YR_ANN_GROWTH" hidden="1">"c1941"</definedName>
    <definedName name="IQ_LFCF_MARGIN" hidden="1">"c1961"</definedName>
    <definedName name="IQ_LH_STATUTORY_SURPLUS" hidden="1">"c2771"</definedName>
    <definedName name="IQ_LIAB_AP" hidden="1">"c8886"</definedName>
    <definedName name="IQ_LIAB_AP_ABS" hidden="1">"c8905"</definedName>
    <definedName name="IQ_LIAB_NAME_AP" hidden="1">"c8924"</definedName>
    <definedName name="IQ_LIAB_NAME_AP_ABS" hidden="1">"c8943"</definedName>
    <definedName name="IQ_LIABILITIES_FAIR_VALUE" hidden="1">"c13848"</definedName>
    <definedName name="IQ_LIABILITIES_LEVEL_1" hidden="1">"c13844"</definedName>
    <definedName name="IQ_LIABILITIES_LEVEL_2" hidden="1">"c13845"</definedName>
    <definedName name="IQ_LIABILITIES_LEVEL_3" hidden="1">"c13846"</definedName>
    <definedName name="IQ_LIABILITIES_NETTING_OTHER_ADJUSTMENTS" hidden="1">"c13847"</definedName>
    <definedName name="IQ_LIABILITY_ACCEPTANCES_OUT_FFIEC" hidden="1">"c12866"</definedName>
    <definedName name="IQ_LIABILITY_SHORT_POSITIONS_DOM_FFIEC" hidden="1">"c12941"</definedName>
    <definedName name="IQ_LICENSED_POPS" hidden="1">"c2123"</definedName>
    <definedName name="IQ_LICENSED_WIRELESS_POPS" hidden="1">"c2123"</definedName>
    <definedName name="IQ_LIFE_EARNED" hidden="1">"c2739"</definedName>
    <definedName name="IQ_LIFE_INSURANCE_ASSETS_FFIEC" hidden="1">"c12847"</definedName>
    <definedName name="IQ_LIFOR" hidden="1">"c655"</definedName>
    <definedName name="IQ_LINE_EXTENSIONS_CABLE_INVEST" hidden="1">"c15803"</definedName>
    <definedName name="IQ_LIQUID_ASSETS_ASSETS_TOT_FFIEC" hidden="1">"c13439"</definedName>
    <definedName name="IQ_LIQUID_ASSETS_NONCORE_FUNDING_FFIEC" hidden="1">"c13339"</definedName>
    <definedName name="IQ_LIQUIDATION_VALUE_PREFERRED_CONVERT" hidden="1">"c13835"</definedName>
    <definedName name="IQ_LIQUIDATION_VALUE_PREFERRED_NON_REDEEM" hidden="1">"c13836"</definedName>
    <definedName name="IQ_LIQUIDATION_VALUE_PREFERRED_REDEEM" hidden="1">"c13837"</definedName>
    <definedName name="IQ_LL" hidden="1">"c656"</definedName>
    <definedName name="IQ_LOAN_ALLOW_GROSS_LOANS_FFIEC" hidden="1">"c13415"</definedName>
    <definedName name="IQ_LOAN_ALLOWANCE_GROSS_LOSSES_FFIEC" hidden="1">"c13352"</definedName>
    <definedName name="IQ_LOAN_ALLOWANCE_NET_LOANS_FFIEC" hidden="1">"c13472"</definedName>
    <definedName name="IQ_LOAN_ALLOWANCE_NONACCRUAL_ASSETS_FFIEC" hidden="1">"c13473"</definedName>
    <definedName name="IQ_LOAN_ALLOWANCE_PAST_DUE_NONACCRUAL_FFIEC" hidden="1">"c13474"</definedName>
    <definedName name="IQ_LOAN_COMMITMENTS_FAIR_VALUE_TOT_FFIEC" hidden="1">"c13216"</definedName>
    <definedName name="IQ_LOAN_COMMITMENTS_LEVEL_1_FFIEC" hidden="1">"c13224"</definedName>
    <definedName name="IQ_LOAN_COMMITMENTS_LEVEL_2_FFIEC" hidden="1">"c13232"</definedName>
    <definedName name="IQ_LOAN_COMMITMENTS_LEVEL_3_FFIEC" hidden="1">"c13240"</definedName>
    <definedName name="IQ_LOAN_LEASE_RECEIV" hidden="1">"c657"</definedName>
    <definedName name="IQ_LOAN_LOSS" hidden="1">"c1386"</definedName>
    <definedName name="IQ_LOAN_LOSS_ALLOWANCE_NON_PERF_ASSETS_FFIEC" hidden="1">"c13912"</definedName>
    <definedName name="IQ_LOAN_LOSS_PROVISION_FOREIGN_FFIEC" hidden="1">"c15382"</definedName>
    <definedName name="IQ_LOAN_LOSSES_AVERAGE_LOANS_FFIEC" hidden="1">"c13350"</definedName>
    <definedName name="IQ_LOAN_SERVICE_REV" hidden="1">"c658"</definedName>
    <definedName name="IQ_LOANS_AGRICULTURAL_PROD_LL_REC_FFIEC" hidden="1">"c12886"</definedName>
    <definedName name="IQ_LOANS_CF" hidden="1">"c659"</definedName>
    <definedName name="IQ_LOANS_CF_BNK" hidden="1">"c660"</definedName>
    <definedName name="IQ_LOANS_CF_BR" hidden="1">"c661"</definedName>
    <definedName name="IQ_LOANS_CF_FIN" hidden="1">"c662"</definedName>
    <definedName name="IQ_LOANS_CF_INS" hidden="1">"c663"</definedName>
    <definedName name="IQ_LOANS_CF_RE" hidden="1">"c6230"</definedName>
    <definedName name="IQ_LOANS_CF_REIT" hidden="1">"c664"</definedName>
    <definedName name="IQ_LOANS_CF_UTI" hidden="1">"c665"</definedName>
    <definedName name="IQ_LOANS_DEPOSITORY_INST_US_LL_REC_FFIEC" hidden="1">"c12884"</definedName>
    <definedName name="IQ_LOANS_DOM_QUARTERLY_AVG_FFIEC" hidden="1">"c13084"</definedName>
    <definedName name="IQ_LOANS_FARMERS_CHARGE_OFFS_FFIEC" hidden="1">"c13177"</definedName>
    <definedName name="IQ_LOANS_FARMERS_RECOV_FFIEC" hidden="1">"c13199"</definedName>
    <definedName name="IQ_LOANS_FINANCE_AGRICULTURAL_DUE_30_89_FFIEC" hidden="1">"c13270"</definedName>
    <definedName name="IQ_LOANS_FINANCE_AGRICULTURAL_DUE_90_FFIEC" hidden="1">"c13296"</definedName>
    <definedName name="IQ_LOANS_FINANCE_AGRICULTURAL_NON_ACCRUAL_FFIEC" hidden="1">"c13322"</definedName>
    <definedName name="IQ_LOANS_FINANCE_AGRICULTURAL_PROD_LL_REC_DOM_FFIEC" hidden="1">"c12909"</definedName>
    <definedName name="IQ_LOANS_FOR_SALE" hidden="1">"c666"</definedName>
    <definedName name="IQ_LOANS_FOREIGN_GOV_CHARGE_OFFS_FFIEC" hidden="1">"c13182"</definedName>
    <definedName name="IQ_LOANS_FOREIGN_GOV_DUE_30_89_FFIEC" hidden="1">"c13274"</definedName>
    <definedName name="IQ_LOANS_FOREIGN_GOV_DUE_90_FFIEC" hidden="1">"c13300"</definedName>
    <definedName name="IQ_LOANS_FOREIGN_GOV_LL_REC_DOM_FFIEC" hidden="1">"c12912"</definedName>
    <definedName name="IQ_LOANS_FOREIGN_GOV_NON_ACCRUAL_FFIEC" hidden="1">"c13326"</definedName>
    <definedName name="IQ_LOANS_FOREIGN_GOV_RECOV_FFIEC" hidden="1">"c13204"</definedName>
    <definedName name="IQ_LOANS_FOREIGN_INST_CHARGE_OFFS_FFIEC" hidden="1">"c13176"</definedName>
    <definedName name="IQ_LOANS_FOREIGN_INST_RECOV_FFIEC" hidden="1">"c13198"</definedName>
    <definedName name="IQ_LOANS_FOREIGN_LL_REC_FFIEC" hidden="1">"c12885"</definedName>
    <definedName name="IQ_LOANS_GOV_GUARANTEED_DUE_30_89_FFIEC" hidden="1">"c13281"</definedName>
    <definedName name="IQ_LOANS_GOV_GUARANTEED_DUE_90_FFIEC" hidden="1">"c13307"</definedName>
    <definedName name="IQ_LOANS_GOV_GUARANTEED_EXCL_GNMA_DUE_30_89_FFIEC" hidden="1">"c13282"</definedName>
    <definedName name="IQ_LOANS_GOV_GUARANTEED_EXCL_GNMA_DUE_90_FFIEC" hidden="1">"c13308"</definedName>
    <definedName name="IQ_LOANS_GOV_GUARANTEED_EXCL_GNMA_NON_ACCRUAL_FFIEC" hidden="1">"c13333"</definedName>
    <definedName name="IQ_LOANS_GOV_GUARANTEED_NON_ACCRUAL_FFIEC" hidden="1">"c13332"</definedName>
    <definedName name="IQ_LOANS_INDIVIDUALS_FOREIGN_FFIEC" hidden="1">"c13480"</definedName>
    <definedName name="IQ_LOANS_LEASES_ASSETS_TOT_FFIEC" hidden="1">"c13437"</definedName>
    <definedName name="IQ_LOANS_LEASES_FAIR_VALUE_TOT_FFIEC" hidden="1">"c13209"</definedName>
    <definedName name="IQ_LOANS_LEASES_HELD_SALE_FFIEC" hidden="1">"c12808"</definedName>
    <definedName name="IQ_LOANS_LEASES_HFI_FAIR_VALUE_TOT_FFIEC" hidden="1">"c15401"</definedName>
    <definedName name="IQ_LOANS_LEASES_HFI_LEVEL_1_FFIEC" hidden="1">"c15423"</definedName>
    <definedName name="IQ_LOANS_LEASES_HFI_LEVEL_2_FFIEC" hidden="1">"c15436"</definedName>
    <definedName name="IQ_LOANS_LEASES_HFI_LEVEL_3_FFIEC" hidden="1">"c15449"</definedName>
    <definedName name="IQ_LOANS_LEASES_HFS_FAIR_VALUE_TOT_FFIEC" hidden="1">"c15400"</definedName>
    <definedName name="IQ_LOANS_LEASES_HFS_LEVEL_1_FFIEC" hidden="1">"c15422"</definedName>
    <definedName name="IQ_LOANS_LEASES_HFS_LEVEL_2_FFIEC" hidden="1">"c15435"</definedName>
    <definedName name="IQ_LOANS_LEASES_HFS_LEVEL_3_FFIEC" hidden="1">"c15448"</definedName>
    <definedName name="IQ_LOANS_LEASES_LEVEL_1_FFIEC" hidden="1">"c13217"</definedName>
    <definedName name="IQ_LOANS_LEASES_LEVEL_2_FFIEC" hidden="1">"c13225"</definedName>
    <definedName name="IQ_LOANS_LEASES_LEVEL_3_FFIEC" hidden="1">"c13233"</definedName>
    <definedName name="IQ_LOANS_LEASES_NET_UNEARNED_INC_ALLOWANCE_FFIEC" hidden="1">"c12811"</definedName>
    <definedName name="IQ_LOANS_LEASES_NET_UNEARNED_INCOME_FFIEC" hidden="1">"c12809"</definedName>
    <definedName name="IQ_LOANS_LEASES_QUARTERLY_AVG_FFIEC" hidden="1">"c13081"</definedName>
    <definedName name="IQ_LOANS_LOC_ASSETS_TOT_FFIEC" hidden="1">"c13441"</definedName>
    <definedName name="IQ_LOANS_PAST_DUE" hidden="1">"c667"</definedName>
    <definedName name="IQ_LOANS_PURCHASING_CARRYING_SECURITIES_LL_REC_DOM_FFIEC" hidden="1">"c12913"</definedName>
    <definedName name="IQ_LOANS_RECEIV_CURRENT" hidden="1">"c668"</definedName>
    <definedName name="IQ_LOANS_RECEIV_LT" hidden="1">"c669"</definedName>
    <definedName name="IQ_LOANS_RECEIV_LT_UTI" hidden="1">"c670"</definedName>
    <definedName name="IQ_LOANS_SEC_RE_FOREIGN_CHARGE_OFFS_FFIEC" hidden="1">"c13174"</definedName>
    <definedName name="IQ_LOANS_SEC_RE_FOREIGN_RECOV_FFIEC" hidden="1">"c13196"</definedName>
    <definedName name="IQ_LOANS_SECURED_1_4_DOM_QUARTERLY_AVG_FFIEC" hidden="1">"c13082"</definedName>
    <definedName name="IQ_LOANS_SECURED_CONSTRUCTION_TRADING_DOM_FFIEC" hidden="1">"c12925"</definedName>
    <definedName name="IQ_LOANS_SECURED_FARMLAND_TRADING_DOM_FFIEC" hidden="1">"c12926"</definedName>
    <definedName name="IQ_LOANS_SECURED_RE_DOM_QUARTERLY_AVG_FFIEC" hidden="1">"c13083"</definedName>
    <definedName name="IQ_LOANS_SECURED_RE_FFIEC" hidden="1">"c12820"</definedName>
    <definedName name="IQ_LOANS_SECURED_RE_LL_REC_FFIEC" hidden="1">"c12883"</definedName>
    <definedName name="IQ_LOANS_US_INST_CHARGE_OFFS_FFIEC" hidden="1">"c13175"</definedName>
    <definedName name="IQ_LOANS_US_INST_RECOV_FFIEC" hidden="1">"c13197"</definedName>
    <definedName name="IQ_LONG_TERM_DEBT" hidden="1">"c1387"</definedName>
    <definedName name="IQ_LONG_TERM_DEBT_OVER_TOTAL_CAP" hidden="1">"c1388"</definedName>
    <definedName name="IQ_LONG_TERM_GROWTH" hidden="1">"c671"</definedName>
    <definedName name="IQ_LONG_TERM_INV" hidden="1">"c1389"</definedName>
    <definedName name="IQ_LOSS_AVAIL_SALE_EQUITY_SEC_T1_FFIEC" hidden="1">"c13132"</definedName>
    <definedName name="IQ_LOSS_LOSS_EXP" hidden="1">"c672"</definedName>
    <definedName name="IQ_LOSS_TO_NET_EARNED" hidden="1">"c2751"</definedName>
    <definedName name="IQ_LOW_SULFUR_CONTENT_RESERVES_COAL" hidden="1">"c15924"</definedName>
    <definedName name="IQ_LOW_SULFURE_RESERVES_TO_TOTAL_RESERVES_COAL" hidden="1">"c15961"</definedName>
    <definedName name="IQ_LOW_TARGET_PRICE" hidden="1">"c1652"</definedName>
    <definedName name="IQ_LOW_TARGET_PRICE_CIQ" hidden="1">"c4660"</definedName>
    <definedName name="IQ_LOW_TARGET_PRICE_REUT" hidden="1">"c5318"</definedName>
    <definedName name="IQ_LOW_TARGET_PRICE_THOM" hidden="1">"c5097"</definedName>
    <definedName name="IQ_LOWPRICE" hidden="1">"c673"</definedName>
    <definedName name="IQ_LT_ASSETS_AP" hidden="1">"c8882"</definedName>
    <definedName name="IQ_LT_ASSETS_AP_ABS" hidden="1">"c8901"</definedName>
    <definedName name="IQ_LT_ASSETS_NAME_AP" hidden="1">"c8920"</definedName>
    <definedName name="IQ_LT_ASSETS_NAME_AP_ABS" hidden="1">"c8939"</definedName>
    <definedName name="IQ_LT_DEBT" hidden="1">"c674"</definedName>
    <definedName name="IQ_LT_DEBT_BNK" hidden="1">"c675"</definedName>
    <definedName name="IQ_LT_DEBT_BR" hidden="1">"c676"</definedName>
    <definedName name="IQ_LT_DEBT_CAPITAL" hidden="1">"c677"</definedName>
    <definedName name="IQ_LT_DEBT_CAPITAL_LEASES" hidden="1">"c2542"</definedName>
    <definedName name="IQ_LT_DEBT_CAPITAL_LEASES_PCT" hidden="1">"c2543"</definedName>
    <definedName name="IQ_LT_DEBT_EQUITY" hidden="1">"c678"</definedName>
    <definedName name="IQ_LT_DEBT_FIN" hidden="1">"c679"</definedName>
    <definedName name="IQ_LT_DEBT_INS" hidden="1">"c680"</definedName>
    <definedName name="IQ_LT_DEBT_ISSUED" hidden="1">"c681"</definedName>
    <definedName name="IQ_LT_DEBT_ISSUED_BNK" hidden="1">"c682"</definedName>
    <definedName name="IQ_LT_DEBT_ISSUED_BR" hidden="1">"c683"</definedName>
    <definedName name="IQ_LT_DEBT_ISSUED_FIN" hidden="1">"c684"</definedName>
    <definedName name="IQ_LT_DEBT_ISSUED_INS" hidden="1">"c685"</definedName>
    <definedName name="IQ_LT_DEBT_ISSUED_RE" hidden="1">"c6231"</definedName>
    <definedName name="IQ_LT_DEBT_ISSUED_REIT" hidden="1">"c686"</definedName>
    <definedName name="IQ_LT_DEBT_ISSUED_UTI" hidden="1">"c687"</definedName>
    <definedName name="IQ_LT_DEBT_MATURING_1YR_INT_SENSITIVITY_FFIEC" hidden="1">"c13097"</definedName>
    <definedName name="IQ_LT_DEBT_RE" hidden="1">"c6232"</definedName>
    <definedName name="IQ_LT_DEBT_REIT" hidden="1">"c688"</definedName>
    <definedName name="IQ_LT_DEBT_REPAID" hidden="1">"c689"</definedName>
    <definedName name="IQ_LT_DEBT_REPAID_BNK" hidden="1">"c690"</definedName>
    <definedName name="IQ_LT_DEBT_REPAID_BR" hidden="1">"c691"</definedName>
    <definedName name="IQ_LT_DEBT_REPAID_FIN" hidden="1">"c692"</definedName>
    <definedName name="IQ_LT_DEBT_REPAID_INS" hidden="1">"c693"</definedName>
    <definedName name="IQ_LT_DEBT_REPAID_RE" hidden="1">"c6233"</definedName>
    <definedName name="IQ_LT_DEBT_REPAID_REIT" hidden="1">"c694"</definedName>
    <definedName name="IQ_LT_DEBT_REPAID_UTI" hidden="1">"c695"</definedName>
    <definedName name="IQ_LT_DEBT_REPRICE_ASSETS_TOT_FFIEC" hidden="1">"c13453"</definedName>
    <definedName name="IQ_LT_DEBT_REPRICING_WITHIN_1_YR_INT_SENSITIVITY_FFIEC" hidden="1">"c13095"</definedName>
    <definedName name="IQ_LT_DEBT_UTI" hidden="1">"c696"</definedName>
    <definedName name="IQ_LT_INVEST" hidden="1">"c697"</definedName>
    <definedName name="IQ_LT_INVEST_BR" hidden="1">"c698"</definedName>
    <definedName name="IQ_LT_INVEST_FIN" hidden="1">"c699"</definedName>
    <definedName name="IQ_LT_INVEST_RE" hidden="1">"c6234"</definedName>
    <definedName name="IQ_LT_INVEST_REIT" hidden="1">"c700"</definedName>
    <definedName name="IQ_LT_INVEST_UTI" hidden="1">"c701"</definedName>
    <definedName name="IQ_LT_LIAB_AP" hidden="1">"c8885"</definedName>
    <definedName name="IQ_LT_LIAB_AP_ABS" hidden="1">"c8904"</definedName>
    <definedName name="IQ_LT_LIAB_NAME_AP" hidden="1">"c8923"</definedName>
    <definedName name="IQ_LT_LIAB_NAME_AP_ABS" hidden="1">"c8942"</definedName>
    <definedName name="IQ_LT_NOTE_RECEIV" hidden="1">"c1602"</definedName>
    <definedName name="IQ_LTD_DUE_AFTER_FIVE" hidden="1">"c704"</definedName>
    <definedName name="IQ_LTD_DUE_CY" hidden="1">"c705"</definedName>
    <definedName name="IQ_LTD_DUE_CY1" hidden="1">"c706"</definedName>
    <definedName name="IQ_LTD_DUE_CY2" hidden="1">"c707"</definedName>
    <definedName name="IQ_LTD_DUE_CY3" hidden="1">"c708"</definedName>
    <definedName name="IQ_LTD_DUE_CY4" hidden="1">"c709"</definedName>
    <definedName name="IQ_LTD_DUE_NEXT_FIVE" hidden="1">"c710"</definedName>
    <definedName name="IQ_LTM" hidden="1">2000</definedName>
    <definedName name="IQ_LTM_REVENUE_OVER_EMPLOYEES" hidden="1">"c1437"</definedName>
    <definedName name="IQ_LTMMONTH" hidden="1">120000</definedName>
    <definedName name="IQ_M1" hidden="1">"c6906"</definedName>
    <definedName name="IQ_M1_APR" hidden="1">"c7566"</definedName>
    <definedName name="IQ_M1_APR_FC" hidden="1">"c8446"</definedName>
    <definedName name="IQ_M1_FC" hidden="1">"c7786"</definedName>
    <definedName name="IQ_M1_POP" hidden="1">"c7126"</definedName>
    <definedName name="IQ_M1_POP_FC" hidden="1">"c8006"</definedName>
    <definedName name="IQ_M1_YOY" hidden="1">"c7346"</definedName>
    <definedName name="IQ_M1_YOY_FC" hidden="1">"c8226"</definedName>
    <definedName name="IQ_M2" hidden="1">"c6907"</definedName>
    <definedName name="IQ_M2_APR" hidden="1">"c7567"</definedName>
    <definedName name="IQ_M2_APR_FC" hidden="1">"c8447"</definedName>
    <definedName name="IQ_M2_FC" hidden="1">"c7787"</definedName>
    <definedName name="IQ_M2_POP" hidden="1">"c7127"</definedName>
    <definedName name="IQ_M2_POP_FC" hidden="1">"c8007"</definedName>
    <definedName name="IQ_M2_YOY" hidden="1">"c7347"</definedName>
    <definedName name="IQ_M2_YOY_FC" hidden="1">"c8227"</definedName>
    <definedName name="IQ_M3" hidden="1">"c6908"</definedName>
    <definedName name="IQ_M3_APR" hidden="1">"c7568"</definedName>
    <definedName name="IQ_M3_APR_FC" hidden="1">"c8448"</definedName>
    <definedName name="IQ_M3_FC" hidden="1">"c7788"</definedName>
    <definedName name="IQ_M3_POP" hidden="1">"c7128"</definedName>
    <definedName name="IQ_M3_POP_FC" hidden="1">"c8008"</definedName>
    <definedName name="IQ_M3_YOY" hidden="1">"c7348"</definedName>
    <definedName name="IQ_M3_YOY_FC" hidden="1">"c8228"</definedName>
    <definedName name="IQ_MACHINERY" hidden="1">"c711"</definedName>
    <definedName name="IQ_MAINT_CAPEX" hidden="1">"c2947"</definedName>
    <definedName name="IQ_MAINT_CAPEX_ACT_OR_EST" hidden="1">"c4458"</definedName>
    <definedName name="IQ_MAINT_CAPEX_ACT_OR_EST_CIQ" hidden="1">"c4987"</definedName>
    <definedName name="IQ_MAINT_CAPEX_EST" hidden="1">"c4457"</definedName>
    <definedName name="IQ_MAINT_CAPEX_GUIDANCE" hidden="1">"c4459"</definedName>
    <definedName name="IQ_MAINT_CAPEX_HIGH_EST" hidden="1">"c4460"</definedName>
    <definedName name="IQ_MAINT_CAPEX_HIGH_GUIDANCE" hidden="1">"c4197"</definedName>
    <definedName name="IQ_MAINT_CAPEX_LOW_EST" hidden="1">"c4461"</definedName>
    <definedName name="IQ_MAINT_CAPEX_LOW_GUIDANCE" hidden="1">"c4237"</definedName>
    <definedName name="IQ_MAINT_CAPEX_MEDIAN_EST" hidden="1">"c4462"</definedName>
    <definedName name="IQ_MAINT_CAPEX_NUM_EST" hidden="1">"c4463"</definedName>
    <definedName name="IQ_MAINT_CAPEX_STDDEV_EST" hidden="1">"c4464"</definedName>
    <definedName name="IQ_MAINT_REPAIR" hidden="1">"c2087"</definedName>
    <definedName name="IQ_MAKE_WHOLE_END_DATE" hidden="1">"c2493"</definedName>
    <definedName name="IQ_MAKE_WHOLE_SPREAD" hidden="1">"c2494"</definedName>
    <definedName name="IQ_MAKE_WHOLE_START_DATE" hidden="1">"c2492"</definedName>
    <definedName name="IQ_MAN_INVENTORIES" hidden="1">"c6913"</definedName>
    <definedName name="IQ_MAN_INVENTORIES_APR" hidden="1">"c7573"</definedName>
    <definedName name="IQ_MAN_INVENTORIES_APR_FC" hidden="1">"c8453"</definedName>
    <definedName name="IQ_MAN_INVENTORIES_FC" hidden="1">"c7793"</definedName>
    <definedName name="IQ_MAN_INVENTORIES_POP" hidden="1">"c7133"</definedName>
    <definedName name="IQ_MAN_INVENTORIES_POP_FC" hidden="1">"c8013"</definedName>
    <definedName name="IQ_MAN_INVENTORIES_YOY" hidden="1">"c7353"</definedName>
    <definedName name="IQ_MAN_INVENTORIES_YOY_FC" hidden="1">"c8233"</definedName>
    <definedName name="IQ_MAN_IS_RATIO" hidden="1">"c6912"</definedName>
    <definedName name="IQ_MAN_IS_RATIO_APR" hidden="1">"c7572"</definedName>
    <definedName name="IQ_MAN_IS_RATIO_APR_FC" hidden="1">"c8452"</definedName>
    <definedName name="IQ_MAN_IS_RATIO_FC" hidden="1">"c7792"</definedName>
    <definedName name="IQ_MAN_IS_RATIO_POP" hidden="1">"c7132"</definedName>
    <definedName name="IQ_MAN_IS_RATIO_POP_FC" hidden="1">"c8012"</definedName>
    <definedName name="IQ_MAN_IS_RATIO_YOY" hidden="1">"c7352"</definedName>
    <definedName name="IQ_MAN_IS_RATIO_YOY_FC" hidden="1">"c8232"</definedName>
    <definedName name="IQ_MAN_ORDERS" hidden="1">"c6914"</definedName>
    <definedName name="IQ_MAN_ORDERS_APR" hidden="1">"c7574"</definedName>
    <definedName name="IQ_MAN_ORDERS_APR_FC" hidden="1">"c8454"</definedName>
    <definedName name="IQ_MAN_ORDERS_FC" hidden="1">"c7794"</definedName>
    <definedName name="IQ_MAN_ORDERS_POP" hidden="1">"c7134"</definedName>
    <definedName name="IQ_MAN_ORDERS_POP_FC" hidden="1">"c8014"</definedName>
    <definedName name="IQ_MAN_ORDERS_YOY" hidden="1">"c7354"</definedName>
    <definedName name="IQ_MAN_ORDERS_YOY_FC" hidden="1">"c8234"</definedName>
    <definedName name="IQ_MAN_OUTPUT_HR" hidden="1">"c6915"</definedName>
    <definedName name="IQ_MAN_OUTPUT_HR_APR" hidden="1">"c7575"</definedName>
    <definedName name="IQ_MAN_OUTPUT_HR_APR_FC" hidden="1">"c8455"</definedName>
    <definedName name="IQ_MAN_OUTPUT_HR_FC" hidden="1">"c7795"</definedName>
    <definedName name="IQ_MAN_OUTPUT_HR_POP" hidden="1">"c7135"</definedName>
    <definedName name="IQ_MAN_OUTPUT_HR_POP_FC" hidden="1">"c8015"</definedName>
    <definedName name="IQ_MAN_OUTPUT_HR_YOY" hidden="1">"c7355"</definedName>
    <definedName name="IQ_MAN_OUTPUT_HR_YOY_FC" hidden="1">"c8235"</definedName>
    <definedName name="IQ_MAN_PAYROLLS" hidden="1">"c6916"</definedName>
    <definedName name="IQ_MAN_PAYROLLS_APR" hidden="1">"c7576"</definedName>
    <definedName name="IQ_MAN_PAYROLLS_APR_FC" hidden="1">"c8456"</definedName>
    <definedName name="IQ_MAN_PAYROLLS_FC" hidden="1">"c7796"</definedName>
    <definedName name="IQ_MAN_PAYROLLS_POP" hidden="1">"c7136"</definedName>
    <definedName name="IQ_MAN_PAYROLLS_POP_FC" hidden="1">"c8016"</definedName>
    <definedName name="IQ_MAN_PAYROLLS_YOY" hidden="1">"c7356"</definedName>
    <definedName name="IQ_MAN_PAYROLLS_YOY_FC" hidden="1">"c8236"</definedName>
    <definedName name="IQ_MAN_SHIPMENTS" hidden="1">"c6917"</definedName>
    <definedName name="IQ_MAN_SHIPMENTS_APR" hidden="1">"c7577"</definedName>
    <definedName name="IQ_MAN_SHIPMENTS_APR_FC" hidden="1">"c8457"</definedName>
    <definedName name="IQ_MAN_SHIPMENTS_FC" hidden="1">"c7797"</definedName>
    <definedName name="IQ_MAN_SHIPMENTS_POP" hidden="1">"c7137"</definedName>
    <definedName name="IQ_MAN_SHIPMENTS_POP_FC" hidden="1">"c8017"</definedName>
    <definedName name="IQ_MAN_SHIPMENTS_YOY" hidden="1">"c7357"</definedName>
    <definedName name="IQ_MAN_SHIPMENTS_YOY_FC" hidden="1">"c8237"</definedName>
    <definedName name="IQ_MAN_TOTAL_HR" hidden="1">"c6918"</definedName>
    <definedName name="IQ_MAN_TOTAL_HR_APR" hidden="1">"c7578"</definedName>
    <definedName name="IQ_MAN_TOTAL_HR_APR_FC" hidden="1">"c8458"</definedName>
    <definedName name="IQ_MAN_TOTAL_HR_FC" hidden="1">"c7798"</definedName>
    <definedName name="IQ_MAN_TOTAL_HR_POP" hidden="1">"c7138"</definedName>
    <definedName name="IQ_MAN_TOTAL_HR_POP_FC" hidden="1">"c8018"</definedName>
    <definedName name="IQ_MAN_TOTAL_HR_YOY" hidden="1">"c7358"</definedName>
    <definedName name="IQ_MAN_TOTAL_HR_YOY_FC" hidden="1">"c8238"</definedName>
    <definedName name="IQ_MAN_TRADE_INVENTORIES" hidden="1">"c6910"</definedName>
    <definedName name="IQ_MAN_TRADE_INVENTORIES_APR" hidden="1">"c7570"</definedName>
    <definedName name="IQ_MAN_TRADE_INVENTORIES_APR_FC" hidden="1">"c8450"</definedName>
    <definedName name="IQ_MAN_TRADE_INVENTORIES_FC" hidden="1">"c7790"</definedName>
    <definedName name="IQ_MAN_TRADE_INVENTORIES_POP" hidden="1">"c7130"</definedName>
    <definedName name="IQ_MAN_TRADE_INVENTORIES_POP_FC" hidden="1">"c8010"</definedName>
    <definedName name="IQ_MAN_TRADE_INVENTORIES_YOY" hidden="1">"c7350"</definedName>
    <definedName name="IQ_MAN_TRADE_INVENTORIES_YOY_FC" hidden="1">"c8230"</definedName>
    <definedName name="IQ_MAN_TRADE_IS_RATIO" hidden="1">"c6909"</definedName>
    <definedName name="IQ_MAN_TRADE_IS_RATIO_FC" hidden="1">"c7789"</definedName>
    <definedName name="IQ_MAN_TRADE_IS_RATIO_POP" hidden="1">"c7129"</definedName>
    <definedName name="IQ_MAN_TRADE_IS_RATIO_POP_FC" hidden="1">"c8009"</definedName>
    <definedName name="IQ_MAN_TRADE_IS_RATIO_YOY" hidden="1">"c7349"</definedName>
    <definedName name="IQ_MAN_TRADE_IS_RATIO_YOY_FC" hidden="1">"c8229"</definedName>
    <definedName name="IQ_MAN_TRADE_SALES" hidden="1">"c6911"</definedName>
    <definedName name="IQ_MAN_TRADE_SALES_APR" hidden="1">"c7571"</definedName>
    <definedName name="IQ_MAN_TRADE_SALES_APR_FC" hidden="1">"c8451"</definedName>
    <definedName name="IQ_MAN_TRADE_SALES_FC" hidden="1">"c7791"</definedName>
    <definedName name="IQ_MAN_TRADE_SALES_POP" hidden="1">"c7131"</definedName>
    <definedName name="IQ_MAN_TRADE_SALES_POP_FC" hidden="1">"c8011"</definedName>
    <definedName name="IQ_MAN_TRADE_SALES_YOY" hidden="1">"c7351"</definedName>
    <definedName name="IQ_MAN_TRADE_SALES_YOY_FC" hidden="1">"c8231"</definedName>
    <definedName name="IQ_MAN_WAGES" hidden="1">"c6919"</definedName>
    <definedName name="IQ_MAN_WAGES_APR" hidden="1">"c7579"</definedName>
    <definedName name="IQ_MAN_WAGES_APR_FC" hidden="1">"c8459"</definedName>
    <definedName name="IQ_MAN_WAGES_FC" hidden="1">"c7799"</definedName>
    <definedName name="IQ_MAN_WAGES_POP" hidden="1">"c7139"</definedName>
    <definedName name="IQ_MAN_WAGES_POP_FC" hidden="1">"c8019"</definedName>
    <definedName name="IQ_MAN_WAGES_YOY" hidden="1">"c7359"</definedName>
    <definedName name="IQ_MAN_WAGES_YOY_FC" hidden="1">"c8239"</definedName>
    <definedName name="IQ_MANAGED_PROP" hidden="1">"c8763"</definedName>
    <definedName name="IQ_MANAGED_SQ_FT" hidden="1">"c8779"</definedName>
    <definedName name="IQ_MANAGED_UNITS" hidden="1">"c8771"</definedName>
    <definedName name="IQ_MARGIN_ANNUAL_PREMIUM_EQUIVALENT_NEW_BUSINESS" hidden="1">"c9970"</definedName>
    <definedName name="IQ_MARGIN_PV_PREMIUMS_NEW_BUSINESS" hidden="1">"c9971"</definedName>
    <definedName name="IQ_MARKET_CAP_LFCF" hidden="1">"c2209"</definedName>
    <definedName name="IQ_MARKETCAP" hidden="1">"c712"</definedName>
    <definedName name="IQ_MARKETING" hidden="1">"c2239"</definedName>
    <definedName name="IQ_MARKETING_PROMOTION_EXPENSE" hidden="1">"c16035"</definedName>
    <definedName name="IQ_MATERIALS_SUPPLES_INVENTORY_COAL" hidden="1">"c15942"</definedName>
    <definedName name="IQ_MATURITY_DATE" hidden="1">"c2146"</definedName>
    <definedName name="IQ_MBS_INVEST_SECURITIES_FFIEC" hidden="1">"c13460"</definedName>
    <definedName name="IQ_MBS_OTHER_ISSUED_FNMA_OTHERS_AVAIL_SALE_FFIEC" hidden="1">"c12799"</definedName>
    <definedName name="IQ_MBS_OTHER_ISSUED_FNMA_OTHERS_FFIEC" hidden="1">"c12785"</definedName>
    <definedName name="IQ_MBS_PASS_THROUGH_FNMA_AVAIL_SALE_FFIEC" hidden="1">"c12797"</definedName>
    <definedName name="IQ_MBS_PASS_THROUGH_FNMA_FFIEC" hidden="1">"c12783"</definedName>
    <definedName name="IQ_MBS_PASS_THROUGH_GNMA_AVAIL_SALE_FFIEC" hidden="1">"c12796"</definedName>
    <definedName name="IQ_MBS_PASS_THROUGH_GNMA_FFIEC" hidden="1">"c12782"</definedName>
    <definedName name="IQ_MBS_PASS_THROUGH_ISSUED_FNMA_GNMA_TRADING_DOM_FFIEC" hidden="1">"c12921"</definedName>
    <definedName name="IQ_MBS_PASS_THROUGH_OTHER_AVAIL_SALE_FFIEC" hidden="1">"c12798"</definedName>
    <definedName name="IQ_MBS_PASS_THROUGH_OTHER_FFIEC" hidden="1">"c12784"</definedName>
    <definedName name="IQ_MBS_QUARTERLY_AVG_FFIEC" hidden="1">"c15471"</definedName>
    <definedName name="IQ_MC_ASO_COVERED_LIVES" hidden="1">"c9918"</definedName>
    <definedName name="IQ_MC_ASO_MEMBERSHIP" hidden="1">"c9921"</definedName>
    <definedName name="IQ_MC_CLAIMS_RESERVES" hidden="1">"c9941"</definedName>
    <definedName name="IQ_MC_COMBINED_RATIO" hidden="1">"c9933"</definedName>
    <definedName name="IQ_MC_COMMERCIAL_ASO_FEES" hidden="1">"c15862"</definedName>
    <definedName name="IQ_MC_COMMERCIAL_NON_RISK_MEMBERS" hidden="1">"c15835"</definedName>
    <definedName name="IQ_MC_COMMERCIAL_PREMIUMS" hidden="1">"c15852"</definedName>
    <definedName name="IQ_MC_DAYS_CLAIMS_PAYABLE" hidden="1">"c9937"</definedName>
    <definedName name="IQ_MC_DAYS_CLAIMS_PAYABLE_EXCL_CAPITATION" hidden="1">"c9938"</definedName>
    <definedName name="IQ_MC_DENTAL_MEMBERS" hidden="1">"c15832"</definedName>
    <definedName name="IQ_MC_DENTAL_PREMIUMS" hidden="1">"c15858"</definedName>
    <definedName name="IQ_MC_HMO_MEMBERS" hidden="1">"c15824"</definedName>
    <definedName name="IQ_MC_HMO_PREMIUMS" hidden="1">"c15850"</definedName>
    <definedName name="IQ_MC_INDEMNITY_MEMBERS" hidden="1">"c15825"</definedName>
    <definedName name="IQ_MC_INDEMNITY_PREMIUMS" hidden="1">"c15851"</definedName>
    <definedName name="IQ_MC_MEDICAID_ASO_FEES" hidden="1">"c15865"</definedName>
    <definedName name="IQ_MC_MEDICAID_MEMBERS" hidden="1">"c15830"</definedName>
    <definedName name="IQ_MC_MEDICAID_NON_RISK_MEMBERS" hidden="1">"c15838"</definedName>
    <definedName name="IQ_MC_MEDICAID_PREMIUMS" hidden="1">"c15856"</definedName>
    <definedName name="IQ_MC_MEDICAL_COST" hidden="1">"c15847"</definedName>
    <definedName name="IQ_MC_MEDICAL_COSTS_PMPM" hidden="1">"c9925"</definedName>
    <definedName name="IQ_MC_MEDICARE_ASO_FEES" hidden="1">"c15864"</definedName>
    <definedName name="IQ_MC_MEDICARE_MEMBERS" hidden="1">"c15828"</definedName>
    <definedName name="IQ_MC_MEDICARE_NON_RISK_MEMBERS" hidden="1">"c15837"</definedName>
    <definedName name="IQ_MC_MEDICARE_PART_D_MEMBERS" hidden="1">"c15829"</definedName>
    <definedName name="IQ_MC_MEDICARE_PART_D_PREMIUMS" hidden="1">"c15855"</definedName>
    <definedName name="IQ_MC_MEDICARE_PREMIUMS" hidden="1">"c15854"</definedName>
    <definedName name="IQ_MC_MILITARY_ASO_FEES" hidden="1">"c15863"</definedName>
    <definedName name="IQ_MC_MILITARY_MEMBERS" hidden="1">"c15827"</definedName>
    <definedName name="IQ_MC_MILITARY_NON_RISK_MEMBERS" hidden="1">"c15836"</definedName>
    <definedName name="IQ_MC_MILITARY_PREMIUMS" hidden="1">"c15853"</definedName>
    <definedName name="IQ_MC_NET_INVESTMENT_INCOME" hidden="1">"c15845"</definedName>
    <definedName name="IQ_MC_OTHER_REV" hidden="1">"c15846"</definedName>
    <definedName name="IQ_MC_PARENT_CASH" hidden="1">"c9942"</definedName>
    <definedName name="IQ_MC_PPO_POS_MEMBERS" hidden="1">"c15823"</definedName>
    <definedName name="IQ_MC_PPO_POS_PREMIUMS" hidden="1">"c15849"</definedName>
    <definedName name="IQ_MC_PREMIUMS" hidden="1">"c15861"</definedName>
    <definedName name="IQ_MC_PREMIUMS_PMPM" hidden="1">"c9924"</definedName>
    <definedName name="IQ_MC_RATIO" hidden="1">"c2783"</definedName>
    <definedName name="IQ_MC_RECEIPT_CYCLE_TIME_DAYS" hidden="1">"c9939"</definedName>
    <definedName name="IQ_MC_RECEIPT_CYCLE_TIME_MONTHS" hidden="1">"c9940"</definedName>
    <definedName name="IQ_MC_RISK_COVERED_LIVES" hidden="1">"c9917"</definedName>
    <definedName name="IQ_MC_RISK_MEMBERSHIP" hidden="1">"c9920"</definedName>
    <definedName name="IQ_MC_SELLILNG_COSTS_RATIO" hidden="1">"c9928"</definedName>
    <definedName name="IQ_MC_SGA_PMPM" hidden="1">"c9926"</definedName>
    <definedName name="IQ_MC_SPECIALTY_ASO_FEES" hidden="1">"c15867"</definedName>
    <definedName name="IQ_MC_SPECIALTY_NON_RISK_MEMBERS" hidden="1">"c15840"</definedName>
    <definedName name="IQ_MC_STATUTORY_SURPLUS" hidden="1">"c2772"</definedName>
    <definedName name="IQ_MC_TANGIBLE_EQUITY_MEDICAL_COST" hidden="1">"c15848"</definedName>
    <definedName name="IQ_MC_TANGIBLE_EQUITY_PER_MEMBER" hidden="1">"c15843"</definedName>
    <definedName name="IQ_MC_TOTAL_ASO_FEES" hidden="1">"c15868"</definedName>
    <definedName name="IQ_MC_TOTAL_COMMERCIAL_MEMBERS" hidden="1">"c15826"</definedName>
    <definedName name="IQ_MC_TOTAL_COVERED_LIVES" hidden="1">"c9919"</definedName>
    <definedName name="IQ_MC_TOTAL_EQUITY_PER_MEMBER" hidden="1">"c15842"</definedName>
    <definedName name="IQ_MC_TOTAL_GOVT_ASO_FEES" hidden="1">"c15866"</definedName>
    <definedName name="IQ_MC_TOTAL_GOVT_MEMBERS" hidden="1">"c15831"</definedName>
    <definedName name="IQ_MC_TOTAL_GOVT_NON_RISK_MEMBERS" hidden="1">"c15839"</definedName>
    <definedName name="IQ_MC_TOTAL_GOVT_PREMIUMS" hidden="1">"c15857"</definedName>
    <definedName name="IQ_MC_TOTAL_MEMBERSHIP" hidden="1">"c9922"</definedName>
    <definedName name="IQ_MC_TOTAL_MEMBERSHIP_CAPITATION" hidden="1">"c9923"</definedName>
    <definedName name="IQ_MC_TOTAL_OTHER_MEMBERS" hidden="1">"c15833"</definedName>
    <definedName name="IQ_MC_TOTAL_OTHER_PREMIUMS" hidden="1">"c15859"</definedName>
    <definedName name="IQ_MC_TOTAL_RESERVES_PER_MEMBER" hidden="1">"c15844"</definedName>
    <definedName name="IQ_MC_TOTAL_SEPCIALTY_MEMBERS" hidden="1">"c15834"</definedName>
    <definedName name="IQ_MC_TOTAL_SEPCIALTY_PREMIUMS" hidden="1">"c15860"</definedName>
    <definedName name="IQ_MC_TOTAL_STATUTORY_CAPITAL_SURPLUS_PER_MEMBER" hidden="1">"c15841"</definedName>
    <definedName name="IQ_MC_UNPROCESSED_CLAIMS_INVENTORY_DAYS" hidden="1">"c9936"</definedName>
    <definedName name="IQ_MC_UNPROCESSED_CLAIMS_INVENTORY_NUMBER" hidden="1">"c9934"</definedName>
    <definedName name="IQ_MC_UNPROCESSED_CLAIMS_INVENTORY_VALUE" hidden="1">"c9935"</definedName>
    <definedName name="IQ_MEASURED_ATTRIB_ORE_RESOURCES_ALUM" hidden="1">"c9237"</definedName>
    <definedName name="IQ_MEASURED_ATTRIB_ORE_RESOURCES_COP" hidden="1">"c9181"</definedName>
    <definedName name="IQ_MEASURED_ATTRIB_ORE_RESOURCES_DIAM" hidden="1">"c9661"</definedName>
    <definedName name="IQ_MEASURED_ATTRIB_ORE_RESOURCES_GOLD" hidden="1">"c9022"</definedName>
    <definedName name="IQ_MEASURED_ATTRIB_ORE_RESOURCES_IRON" hidden="1">"c9396"</definedName>
    <definedName name="IQ_MEASURED_ATTRIB_ORE_RESOURCES_LEAD" hidden="1">"c9449"</definedName>
    <definedName name="IQ_MEASURED_ATTRIB_ORE_RESOURCES_MANG" hidden="1">"c9502"</definedName>
    <definedName name="IQ_MEASURED_ATTRIB_ORE_RESOURCES_MOLYB" hidden="1">"c9714"</definedName>
    <definedName name="IQ_MEASURED_ATTRIB_ORE_RESOURCES_NICK" hidden="1">"c9290"</definedName>
    <definedName name="IQ_MEASURED_ATTRIB_ORE_RESOURCES_PLAT" hidden="1">"c9128"</definedName>
    <definedName name="IQ_MEASURED_ATTRIB_ORE_RESOURCES_SILVER" hidden="1">"c9075"</definedName>
    <definedName name="IQ_MEASURED_ATTRIB_ORE_RESOURCES_TITAN" hidden="1">"c9555"</definedName>
    <definedName name="IQ_MEASURED_ATTRIB_ORE_RESOURCES_URAN" hidden="1">"c9608"</definedName>
    <definedName name="IQ_MEASURED_ATTRIB_ORE_RESOURCES_ZINC" hidden="1">"c9343"</definedName>
    <definedName name="IQ_MEASURED_INDICATED_ATTRIB_ORE_RESOURCES_ALUM" hidden="1">"c9239"</definedName>
    <definedName name="IQ_MEASURED_INDICATED_ATTRIB_ORE_RESOURCES_COP" hidden="1">"c9183"</definedName>
    <definedName name="IQ_MEASURED_INDICATED_ATTRIB_ORE_RESOURCES_DIAM" hidden="1">"c9663"</definedName>
    <definedName name="IQ_MEASURED_INDICATED_ATTRIB_ORE_RESOURCES_GOLD" hidden="1">"c9024"</definedName>
    <definedName name="IQ_MEASURED_INDICATED_ATTRIB_ORE_RESOURCES_IRON" hidden="1">"c9398"</definedName>
    <definedName name="IQ_MEASURED_INDICATED_ATTRIB_ORE_RESOURCES_LEAD" hidden="1">"c9451"</definedName>
    <definedName name="IQ_MEASURED_INDICATED_ATTRIB_ORE_RESOURCES_MANG" hidden="1">"c9504"</definedName>
    <definedName name="IQ_MEASURED_INDICATED_ATTRIB_ORE_RESOURCES_MOLYB" hidden="1">"c9716"</definedName>
    <definedName name="IQ_MEASURED_INDICATED_ATTRIB_ORE_RESOURCES_NICK" hidden="1">"c9292"</definedName>
    <definedName name="IQ_MEASURED_INDICATED_ATTRIB_ORE_RESOURCES_PLAT" hidden="1">"c9130"</definedName>
    <definedName name="IQ_MEASURED_INDICATED_ATTRIB_ORE_RESOURCES_SILVER" hidden="1">"c9077"</definedName>
    <definedName name="IQ_MEASURED_INDICATED_ATTRIB_ORE_RESOURCES_TITAN" hidden="1">"c9557"</definedName>
    <definedName name="IQ_MEASURED_INDICATED_ATTRIB_ORE_RESOURCES_URAN" hidden="1">"c9610"</definedName>
    <definedName name="IQ_MEASURED_INDICATED_ATTRIB_ORE_RESOURCES_ZINC" hidden="1">"c9345"</definedName>
    <definedName name="IQ_MEASURED_INDICATED_ORE_RESOURCES_ALUM" hidden="1">"c9226"</definedName>
    <definedName name="IQ_MEASURED_INDICATED_ORE_RESOURCES_COP" hidden="1">"c9170"</definedName>
    <definedName name="IQ_MEASURED_INDICATED_ORE_RESOURCES_DIAM" hidden="1">"c9650"</definedName>
    <definedName name="IQ_MEASURED_INDICATED_ORE_RESOURCES_GOLD" hidden="1">"c9011"</definedName>
    <definedName name="IQ_MEASURED_INDICATED_ORE_RESOURCES_IRON" hidden="1">"c9385"</definedName>
    <definedName name="IQ_MEASURED_INDICATED_ORE_RESOURCES_LEAD" hidden="1">"c9438"</definedName>
    <definedName name="IQ_MEASURED_INDICATED_ORE_RESOURCES_MANG" hidden="1">"c9491"</definedName>
    <definedName name="IQ_MEASURED_INDICATED_ORE_RESOURCES_MOLYB" hidden="1">"c9703"</definedName>
    <definedName name="IQ_MEASURED_INDICATED_ORE_RESOURCES_NICK" hidden="1">"c9279"</definedName>
    <definedName name="IQ_MEASURED_INDICATED_ORE_RESOURCES_PLAT" hidden="1">"c9117"</definedName>
    <definedName name="IQ_MEASURED_INDICATED_ORE_RESOURCES_SILVER" hidden="1">"c9064"</definedName>
    <definedName name="IQ_MEASURED_INDICATED_ORE_RESOURCES_TITAN" hidden="1">"c9544"</definedName>
    <definedName name="IQ_MEASURED_INDICATED_ORE_RESOURCES_URAN" hidden="1">"c9597"</definedName>
    <definedName name="IQ_MEASURED_INDICATED_ORE_RESOURCES_ZINC" hidden="1">"c9332"</definedName>
    <definedName name="IQ_MEASURED_INDICATED_RECOV_RESOURCES_ALUM" hidden="1">"c9234"</definedName>
    <definedName name="IQ_MEASURED_INDICATED_RECOV_RESOURCES_COAL" hidden="1">"c9813"</definedName>
    <definedName name="IQ_MEASURED_INDICATED_RECOV_RESOURCES_COP" hidden="1">"c9178"</definedName>
    <definedName name="IQ_MEASURED_INDICATED_RECOV_RESOURCES_DIAM" hidden="1">"c9658"</definedName>
    <definedName name="IQ_MEASURED_INDICATED_RECOV_RESOURCES_GOLD" hidden="1">"c9019"</definedName>
    <definedName name="IQ_MEASURED_INDICATED_RECOV_RESOURCES_IRON" hidden="1">"c9393"</definedName>
    <definedName name="IQ_MEASURED_INDICATED_RECOV_RESOURCES_LEAD" hidden="1">"c9446"</definedName>
    <definedName name="IQ_MEASURED_INDICATED_RECOV_RESOURCES_MANG" hidden="1">"c9499"</definedName>
    <definedName name="IQ_MEASURED_INDICATED_RECOV_RESOURCES_MET_COAL" hidden="1">"c9753"</definedName>
    <definedName name="IQ_MEASURED_INDICATED_RECOV_RESOURCES_MOLYB" hidden="1">"c9711"</definedName>
    <definedName name="IQ_MEASURED_INDICATED_RECOV_RESOURCES_NICK" hidden="1">"c9287"</definedName>
    <definedName name="IQ_MEASURED_INDICATED_RECOV_RESOURCES_PLAT" hidden="1">"c9125"</definedName>
    <definedName name="IQ_MEASURED_INDICATED_RECOV_RESOURCES_SILVER" hidden="1">"c9072"</definedName>
    <definedName name="IQ_MEASURED_INDICATED_RECOV_RESOURCES_STEAM" hidden="1">"c9783"</definedName>
    <definedName name="IQ_MEASURED_INDICATED_RECOV_RESOURCES_TITAN" hidden="1">"c9552"</definedName>
    <definedName name="IQ_MEASURED_INDICATED_RECOV_RESOURCES_URAN" hidden="1">"c9605"</definedName>
    <definedName name="IQ_MEASURED_INDICATED_RECOV_RESOURCES_ZINC" hidden="1">"c9340"</definedName>
    <definedName name="IQ_MEASURED_INDICATED_RESOURCES_GRADE_ALUM" hidden="1">"c9227"</definedName>
    <definedName name="IQ_MEASURED_INDICATED_RESOURCES_GRADE_COP" hidden="1">"c9171"</definedName>
    <definedName name="IQ_MEASURED_INDICATED_RESOURCES_GRADE_DIAM" hidden="1">"c9651"</definedName>
    <definedName name="IQ_MEASURED_INDICATED_RESOURCES_GRADE_GOLD" hidden="1">"c9012"</definedName>
    <definedName name="IQ_MEASURED_INDICATED_RESOURCES_GRADE_IRON" hidden="1">"c9386"</definedName>
    <definedName name="IQ_MEASURED_INDICATED_RESOURCES_GRADE_LEAD" hidden="1">"c9439"</definedName>
    <definedName name="IQ_MEASURED_INDICATED_RESOURCES_GRADE_MANG" hidden="1">"c9492"</definedName>
    <definedName name="IQ_MEASURED_INDICATED_RESOURCES_GRADE_MOLYB" hidden="1">"c9704"</definedName>
    <definedName name="IQ_MEASURED_INDICATED_RESOURCES_GRADE_NICK" hidden="1">"c9280"</definedName>
    <definedName name="IQ_MEASURED_INDICATED_RESOURCES_GRADE_PLAT" hidden="1">"c9118"</definedName>
    <definedName name="IQ_MEASURED_INDICATED_RESOURCES_GRADE_SILVER" hidden="1">"c9065"</definedName>
    <definedName name="IQ_MEASURED_INDICATED_RESOURCES_GRADE_TITAN" hidden="1">"c9545"</definedName>
    <definedName name="IQ_MEASURED_INDICATED_RESOURCES_GRADE_URAN" hidden="1">"c9598"</definedName>
    <definedName name="IQ_MEASURED_INDICATED_RESOURCES_GRADE_ZINC" hidden="1">"c9333"</definedName>
    <definedName name="IQ_MEASURED_ORE_RESOURCES_ALUM" hidden="1">"c9222"</definedName>
    <definedName name="IQ_MEASURED_ORE_RESOURCES_COP" hidden="1">"c9166"</definedName>
    <definedName name="IQ_MEASURED_ORE_RESOURCES_DIAM" hidden="1">"c9646"</definedName>
    <definedName name="IQ_MEASURED_ORE_RESOURCES_GOLD" hidden="1">"c9007"</definedName>
    <definedName name="IQ_MEASURED_ORE_RESOURCES_IRON" hidden="1">"c9381"</definedName>
    <definedName name="IQ_MEASURED_ORE_RESOURCES_LEAD" hidden="1">"c9434"</definedName>
    <definedName name="IQ_MEASURED_ORE_RESOURCES_MANG" hidden="1">"c9487"</definedName>
    <definedName name="IQ_MEASURED_ORE_RESOURCES_MOLYB" hidden="1">"c9699"</definedName>
    <definedName name="IQ_MEASURED_ORE_RESOURCES_NICK" hidden="1">"c9275"</definedName>
    <definedName name="IQ_MEASURED_ORE_RESOURCES_PLAT" hidden="1">"c9113"</definedName>
    <definedName name="IQ_MEASURED_ORE_RESOURCES_SILVER" hidden="1">"c9060"</definedName>
    <definedName name="IQ_MEASURED_ORE_RESOURCES_TITAN" hidden="1">"c9540"</definedName>
    <definedName name="IQ_MEASURED_ORE_RESOURCES_URAN" hidden="1">"c9593"</definedName>
    <definedName name="IQ_MEASURED_ORE_RESOURCES_ZINC" hidden="1">"c9328"</definedName>
    <definedName name="IQ_MEASURED_RECOV_ATTRIB_RESOURCES_ALUM" hidden="1">"c9242"</definedName>
    <definedName name="IQ_MEASURED_RECOV_ATTRIB_RESOURCES_COAL" hidden="1">"c9816"</definedName>
    <definedName name="IQ_MEASURED_RECOV_ATTRIB_RESOURCES_COP" hidden="1">"c9186"</definedName>
    <definedName name="IQ_MEASURED_RECOV_ATTRIB_RESOURCES_DIAM" hidden="1">"c9666"</definedName>
    <definedName name="IQ_MEASURED_RECOV_ATTRIB_RESOURCES_GOLD" hidden="1">"c9027"</definedName>
    <definedName name="IQ_MEASURED_RECOV_ATTRIB_RESOURCES_IRON" hidden="1">"c9401"</definedName>
    <definedName name="IQ_MEASURED_RECOV_ATTRIB_RESOURCES_LEAD" hidden="1">"c9454"</definedName>
    <definedName name="IQ_MEASURED_RECOV_ATTRIB_RESOURCES_MANG" hidden="1">"c9507"</definedName>
    <definedName name="IQ_MEASURED_RECOV_ATTRIB_RESOURCES_MET_COAL" hidden="1">"c9756"</definedName>
    <definedName name="IQ_MEASURED_RECOV_ATTRIB_RESOURCES_MOLYB" hidden="1">"c9719"</definedName>
    <definedName name="IQ_MEASURED_RECOV_ATTRIB_RESOURCES_NICK" hidden="1">"c9295"</definedName>
    <definedName name="IQ_MEASURED_RECOV_ATTRIB_RESOURCES_PLAT" hidden="1">"c9133"</definedName>
    <definedName name="IQ_MEASURED_RECOV_ATTRIB_RESOURCES_SILVER" hidden="1">"c9080"</definedName>
    <definedName name="IQ_MEASURED_RECOV_ATTRIB_RESOURCES_STEAM" hidden="1">"c9786"</definedName>
    <definedName name="IQ_MEASURED_RECOV_ATTRIB_RESOURCES_TITAN" hidden="1">"c9560"</definedName>
    <definedName name="IQ_MEASURED_RECOV_ATTRIB_RESOURCES_URAN" hidden="1">"c9613"</definedName>
    <definedName name="IQ_MEASURED_RECOV_ATTRIB_RESOURCES_ZINC" hidden="1">"c9348"</definedName>
    <definedName name="IQ_MEASURED_RECOV_RESOURCES_ALUM" hidden="1">"c9232"</definedName>
    <definedName name="IQ_MEASURED_RECOV_RESOURCES_COAL" hidden="1">"c9811"</definedName>
    <definedName name="IQ_MEASURED_RECOV_RESOURCES_COP" hidden="1">"c9176"</definedName>
    <definedName name="IQ_MEASURED_RECOV_RESOURCES_DIAM" hidden="1">"c9656"</definedName>
    <definedName name="IQ_MEASURED_RECOV_RESOURCES_GOLD" hidden="1">"c9017"</definedName>
    <definedName name="IQ_MEASURED_RECOV_RESOURCES_IRON" hidden="1">"c9391"</definedName>
    <definedName name="IQ_MEASURED_RECOV_RESOURCES_LEAD" hidden="1">"c9444"</definedName>
    <definedName name="IQ_MEASURED_RECOV_RESOURCES_MANG" hidden="1">"c9497"</definedName>
    <definedName name="IQ_MEASURED_RECOV_RESOURCES_MET_COAL" hidden="1">"c9751"</definedName>
    <definedName name="IQ_MEASURED_RECOV_RESOURCES_MOLYB" hidden="1">"c9709"</definedName>
    <definedName name="IQ_MEASURED_RECOV_RESOURCES_NICK" hidden="1">"c9285"</definedName>
    <definedName name="IQ_MEASURED_RECOV_RESOURCES_PLAT" hidden="1">"c9123"</definedName>
    <definedName name="IQ_MEASURED_RECOV_RESOURCES_SILVER" hidden="1">"c9070"</definedName>
    <definedName name="IQ_MEASURED_RECOV_RESOURCES_STEAM" hidden="1">"c9781"</definedName>
    <definedName name="IQ_MEASURED_RECOV_RESOURCES_TITAN" hidden="1">"c9550"</definedName>
    <definedName name="IQ_MEASURED_RECOV_RESOURCES_URAN" hidden="1">"c9603"</definedName>
    <definedName name="IQ_MEASURED_RECOV_RESOURCES_ZINC" hidden="1">"c9338"</definedName>
    <definedName name="IQ_MEASURED_RESOURCES_CALORIFIC_VALUE_COAL" hidden="1">"c9806"</definedName>
    <definedName name="IQ_MEASURED_RESOURCES_CALORIFIC_VALUE_MET_COAL" hidden="1">"c9746"</definedName>
    <definedName name="IQ_MEASURED_RESOURCES_CALORIFIC_VALUE_STEAM" hidden="1">"c9776"</definedName>
    <definedName name="IQ_MEASURED_RESOURCES_GRADE_ALUM" hidden="1">"c9223"</definedName>
    <definedName name="IQ_MEASURED_RESOURCES_GRADE_COP" hidden="1">"c9167"</definedName>
    <definedName name="IQ_MEASURED_RESOURCES_GRADE_DIAM" hidden="1">"c9647"</definedName>
    <definedName name="IQ_MEASURED_RESOURCES_GRADE_GOLD" hidden="1">"c9008"</definedName>
    <definedName name="IQ_MEASURED_RESOURCES_GRADE_IRON" hidden="1">"c9382"</definedName>
    <definedName name="IQ_MEASURED_RESOURCES_GRADE_LEAD" hidden="1">"c9435"</definedName>
    <definedName name="IQ_MEASURED_RESOURCES_GRADE_MANG" hidden="1">"c9488"</definedName>
    <definedName name="IQ_MEASURED_RESOURCES_GRADE_MOLYB" hidden="1">"c9700"</definedName>
    <definedName name="IQ_MEASURED_RESOURCES_GRADE_NICK" hidden="1">"c9276"</definedName>
    <definedName name="IQ_MEASURED_RESOURCES_GRADE_PLAT" hidden="1">"c9114"</definedName>
    <definedName name="IQ_MEASURED_RESOURCES_GRADE_SILVER" hidden="1">"c9061"</definedName>
    <definedName name="IQ_MEASURED_RESOURCES_GRADE_TITAN" hidden="1">"c9541"</definedName>
    <definedName name="IQ_MEASURED_RESOURCES_GRADE_URAN" hidden="1">"c9594"</definedName>
    <definedName name="IQ_MEASURED_RESOURCES_GRADE_ZINC" hidden="1">"c9329"</definedName>
    <definedName name="IQ_MEDIAN_NEW_HOME_SALES_APR_FC_UNUSED" hidden="1">"c8460"</definedName>
    <definedName name="IQ_MEDIAN_NEW_HOME_SALES_APR_UNUSED" hidden="1">"c7580"</definedName>
    <definedName name="IQ_MEDIAN_NEW_HOME_SALES_FC_UNUSED" hidden="1">"c7800"</definedName>
    <definedName name="IQ_MEDIAN_NEW_HOME_SALES_POP_FC_UNUSED" hidden="1">"c8020"</definedName>
    <definedName name="IQ_MEDIAN_NEW_HOME_SALES_POP_UNUSED" hidden="1">"c7140"</definedName>
    <definedName name="IQ_MEDIAN_NEW_HOME_SALES_UNUSED" hidden="1">"c6920"</definedName>
    <definedName name="IQ_MEDIAN_NEW_HOME_SALES_YOY_FC_UNUSED" hidden="1">"c8240"</definedName>
    <definedName name="IQ_MEDIAN_NEW_HOME_SALES_YOY_UNUSED" hidden="1">"c7360"</definedName>
    <definedName name="IQ_MEDIAN_TARGET_PRICE" hidden="1">"c1650"</definedName>
    <definedName name="IQ_MEDIAN_TARGET_PRICE_CIQ" hidden="1">"c4658"</definedName>
    <definedName name="IQ_MEDIAN_TARGET_PRICE_REUT" hidden="1">"c5316"</definedName>
    <definedName name="IQ_MEDIAN_TARGET_PRICE_THOM" hidden="1">"c5095"</definedName>
    <definedName name="IQ_MEDIUM_SULFUR_CONTENT_RESERVES_COAL" hidden="1">"c15926"</definedName>
    <definedName name="IQ_MEDIUM_SULFURE_RESERVES_TO_TOTAL_RESERVES_COAL" hidden="1">"c15962"</definedName>
    <definedName name="IQ_MERGER" hidden="1">"c713"</definedName>
    <definedName name="IQ_MERGER_BNK" hidden="1">"c714"</definedName>
    <definedName name="IQ_MERGER_BR" hidden="1">"c715"</definedName>
    <definedName name="IQ_MERGER_FIN" hidden="1">"c716"</definedName>
    <definedName name="IQ_MERGER_INS" hidden="1">"c717"</definedName>
    <definedName name="IQ_MERGER_RE" hidden="1">"c6235"</definedName>
    <definedName name="IQ_MERGER_REIT" hidden="1">"c718"</definedName>
    <definedName name="IQ_MERGER_RESTRUCTURE" hidden="1">"c719"</definedName>
    <definedName name="IQ_MERGER_RESTRUCTURE_BNK" hidden="1">"c720"</definedName>
    <definedName name="IQ_MERGER_RESTRUCTURE_BR" hidden="1">"c721"</definedName>
    <definedName name="IQ_MERGER_RESTRUCTURE_FIN" hidden="1">"c722"</definedName>
    <definedName name="IQ_MERGER_RESTRUCTURE_INS" hidden="1">"c723"</definedName>
    <definedName name="IQ_MERGER_RESTRUCTURE_RE" hidden="1">"c6236"</definedName>
    <definedName name="IQ_MERGER_RESTRUCTURE_REIT" hidden="1">"c724"</definedName>
    <definedName name="IQ_MERGER_RESTRUCTURE_UTI" hidden="1">"c725"</definedName>
    <definedName name="IQ_MERGER_SUPPLE" hidden="1">"c13810"</definedName>
    <definedName name="IQ_MERGER_UTI" hidden="1">"c726"</definedName>
    <definedName name="IQ_MI_RECOV_ATTRIB_RESOURCES_ALUM" hidden="1">"c9244"</definedName>
    <definedName name="IQ_MI_RECOV_ATTRIB_RESOURCES_COAL" hidden="1">"c9818"</definedName>
    <definedName name="IQ_MI_RECOV_ATTRIB_RESOURCES_COP" hidden="1">"c9188"</definedName>
    <definedName name="IQ_MI_RECOV_ATTRIB_RESOURCES_DIAM" hidden="1">"c9668"</definedName>
    <definedName name="IQ_MI_RECOV_ATTRIB_RESOURCES_GOLD" hidden="1">"c9029"</definedName>
    <definedName name="IQ_MI_RECOV_ATTRIB_RESOURCES_IRON" hidden="1">"c9403"</definedName>
    <definedName name="IQ_MI_RECOV_ATTRIB_RESOURCES_LEAD" hidden="1">"c9456"</definedName>
    <definedName name="IQ_MI_RECOV_ATTRIB_RESOURCES_MANG" hidden="1">"c9509"</definedName>
    <definedName name="IQ_MI_RECOV_ATTRIB_RESOURCES_MET_COAL" hidden="1">"c9758"</definedName>
    <definedName name="IQ_MI_RECOV_ATTRIB_RESOURCES_MOLYB" hidden="1">"c9721"</definedName>
    <definedName name="IQ_MI_RECOV_ATTRIB_RESOURCES_NICK" hidden="1">"c9297"</definedName>
    <definedName name="IQ_MI_RECOV_ATTRIB_RESOURCES_PLAT" hidden="1">"c9135"</definedName>
    <definedName name="IQ_MI_RECOV_ATTRIB_RESOURCES_SILVER" hidden="1">"c9082"</definedName>
    <definedName name="IQ_MI_RECOV_ATTRIB_RESOURCES_STEAM" hidden="1">"c9788"</definedName>
    <definedName name="IQ_MI_RECOV_ATTRIB_RESOURCES_TITAN" hidden="1">"c9562"</definedName>
    <definedName name="IQ_MI_RECOV_ATTRIB_RESOURCES_URAN" hidden="1">"c9615"</definedName>
    <definedName name="IQ_MI_RECOV_ATTRIB_RESOURCES_ZINC" hidden="1">"c9350"</definedName>
    <definedName name="IQ_MI_RESOURCES_CALORIFIC_VALUE_COAL" hidden="1">"c9808"</definedName>
    <definedName name="IQ_MI_RESOURCES_CALORIFIC_VALUE_MET_COAL" hidden="1">"c9748"</definedName>
    <definedName name="IQ_MI_RESOURCES_CALORIFIC_VALUE_STEAM" hidden="1">"c9778"</definedName>
    <definedName name="IQ_MILES_PASSED" hidden="1">"c2848"</definedName>
    <definedName name="IQ_MIN_USE_PER_SUB" hidden="1">"c15764"</definedName>
    <definedName name="IQ_MINE_DEVELOPMENT_GROSS_COAL" hidden="1">"c15940"</definedName>
    <definedName name="IQ_MINORITY_INT_AVG_ASSETS_FFIEC" hidden="1">"c13367"</definedName>
    <definedName name="IQ_MINORITY_INT_BS_FFIEC" hidden="1">"c12874"</definedName>
    <definedName name="IQ_MINORITY_INT_FFIEC" hidden="1">"c13031"</definedName>
    <definedName name="IQ_MINORITY_INTEREST" hidden="1">"c727"</definedName>
    <definedName name="IQ_MINORITY_INTEREST_BNK" hidden="1">"c728"</definedName>
    <definedName name="IQ_MINORITY_INTEREST_BR" hidden="1">"c729"</definedName>
    <definedName name="IQ_MINORITY_INTEREST_CF" hidden="1">"c730"</definedName>
    <definedName name="IQ_MINORITY_INTEREST_FIN" hidden="1">"c731"</definedName>
    <definedName name="IQ_MINORITY_INTEREST_INS" hidden="1">"c732"</definedName>
    <definedName name="IQ_MINORITY_INTEREST_IS" hidden="1">"c733"</definedName>
    <definedName name="IQ_MINORITY_INTEREST_RE" hidden="1">"c6237"</definedName>
    <definedName name="IQ_MINORITY_INTEREST_REIT" hidden="1">"c734"</definedName>
    <definedName name="IQ_MINORITY_INTEREST_TOTAL" hidden="1">"c1905"</definedName>
    <definedName name="IQ_MINORITY_INTEREST_UTI" hidden="1">"c735"</definedName>
    <definedName name="IQ_MINTUTES_USED_LOCAL" hidden="1">"c15808"</definedName>
    <definedName name="IQ_MINTUTES_USED_LONG_DIST" hidden="1">"c15809"</definedName>
    <definedName name="IQ_MISC_ADJUST_CF" hidden="1">"c736"</definedName>
    <definedName name="IQ_MISC_EARN_ADJ" hidden="1">"c1603"</definedName>
    <definedName name="IQ_MKTCAP_EBT_EXCL" hidden="1">"c737"</definedName>
    <definedName name="IQ_MKTCAP_EBT_EXCL_AVG" hidden="1">"c738"</definedName>
    <definedName name="IQ_MKTCAP_EBT_INCL_AVG" hidden="1">"c739"</definedName>
    <definedName name="IQ_MKTCAP_TOTAL_REV" hidden="1">"c740"</definedName>
    <definedName name="IQ_MKTCAP_TOTAL_REV_AVG" hidden="1">"c741"</definedName>
    <definedName name="IQ_MKTCAP_TOTAL_REV_FWD" hidden="1">"c742"</definedName>
    <definedName name="IQ_MKTCAP_TOTAL_REV_FWD_CIQ" hidden="1">"c4041"</definedName>
    <definedName name="IQ_MKTCAP_TOTAL_REV_FWD_REUT" hidden="1">"c4048"</definedName>
    <definedName name="IQ_MKTCAP_TOTAL_REV_FWD_THOM" hidden="1">"c4055"</definedName>
    <definedName name="IQ_MM_ACCOUNT" hidden="1">"c743"</definedName>
    <definedName name="IQ_MM_ACCRETION_EXPENSE" hidden="1">"c9845"</definedName>
    <definedName name="IQ_MM_ARO_BEG" hidden="1">"c9842"</definedName>
    <definedName name="IQ_MM_ARO_TOTAL" hidden="1">"c9850"</definedName>
    <definedName name="IQ_MM_CURRENT_PORT_ARO" hidden="1">"c9851"</definedName>
    <definedName name="IQ_MM_DEVELOPED_ACREAGE" hidden="1">"c9832"</definedName>
    <definedName name="IQ_MM_DEVELOPED_SQ_KMS" hidden="1">"c9831"</definedName>
    <definedName name="IQ_MM_DEVELOPED_SQ_MILES" hidden="1">"c9833"</definedName>
    <definedName name="IQ_MM_EXPLORATION_EXPENDITURE_TOT" hidden="1">"c9840"</definedName>
    <definedName name="IQ_MM_FX_ADJUSTMENT" hidden="1">"c9847"</definedName>
    <definedName name="IQ_MM_LIABILITIES_INCURRED_ACQUIRED" hidden="1">"c9843"</definedName>
    <definedName name="IQ_MM_LIABILITIES_REL_SPIN_OFFS" hidden="1">"c9848"</definedName>
    <definedName name="IQ_MM_LIABILITIES_SETTLED_DISPOSED" hidden="1">"c9844"</definedName>
    <definedName name="IQ_MM_NON_CURRENT_PORT_ARO" hidden="1">"c9852"</definedName>
    <definedName name="IQ_MM_NUMBER_MINES" hidden="1">"c9839"</definedName>
    <definedName name="IQ_MM_OTHER_ADJUSTMENTS_ARO" hidden="1">"c9849"</definedName>
    <definedName name="IQ_MM_REMAINING_MINE_LIFE" hidden="1">"c9838"</definedName>
    <definedName name="IQ_MM_RESOURCES_INCL_EXCL_RESERVES" hidden="1">"c9841"</definedName>
    <definedName name="IQ_MM_REVISIONS_ESTIMATE" hidden="1">"c9846"</definedName>
    <definedName name="IQ_MM_STRIPPING_RATIO" hidden="1">"c9837"</definedName>
    <definedName name="IQ_MM_UNDEVELOPED_ACREAGE" hidden="1">"c9835"</definedName>
    <definedName name="IQ_MM_UNDEVELOPED_SQ_KMS" hidden="1">"c9834"</definedName>
    <definedName name="IQ_MM_UNDEVELOPED_SQ_MILES" hidden="1">"c9836"</definedName>
    <definedName name="IQ_MMDA_NON_TRANS_ACCTS_FFIEC" hidden="1">"c15330"</definedName>
    <definedName name="IQ_MMDA_SAVINGS_TOT_DEPOSITS_FFIEC" hidden="1">"c13905"</definedName>
    <definedName name="IQ_MONEY_MARKET_ACCOUNTS_COMMERCIAL_BANK_SUBS_FFIEC" hidden="1">"c12947"</definedName>
    <definedName name="IQ_MONEY_MARKET_ACCOUNTS_OTHER_INSTITUTIONS_FFIEC" hidden="1">"c12952"</definedName>
    <definedName name="IQ_MONEY_MKT_DEPOSITS_TOTAL_DEPOSITS" hidden="1">"c15720"</definedName>
    <definedName name="IQ_MONEY_MKT_SAVINGS_ACCT_DEPOSITS_TOTAL_DEPOSITS" hidden="1">"c15722"</definedName>
    <definedName name="IQ_MONTH" hidden="1">15000</definedName>
    <definedName name="IQ_MORT_BANK_ACT" hidden="1">"c744"</definedName>
    <definedName name="IQ_MORT_BANKING_FEE" hidden="1">"c745"</definedName>
    <definedName name="IQ_MORT_INT_INC" hidden="1">"c746"</definedName>
    <definedName name="IQ_MORT_LOANS" hidden="1">"c747"</definedName>
    <definedName name="IQ_MORT_SECURITY" hidden="1">"c748"</definedName>
    <definedName name="IQ_MORTGAGE_DEBT_UNDER_CAPITAL_LEASES_FFIEC" hidden="1">"c15276"</definedName>
    <definedName name="IQ_MORTGAGE_SERV_RIGHTS" hidden="1">"c2242"</definedName>
    <definedName name="IQ_MORTGAGE_SERVICING_ASSETS_FFIEC" hidden="1">"c12838"</definedName>
    <definedName name="IQ_MTD" hidden="1">800000</definedName>
    <definedName name="IQ_MTM_ADJ" hidden="1">"c16000"</definedName>
    <definedName name="IQ_MULTI_RES_PROPERTIES_TRADING_DOM_FFIEC" hidden="1">"c12930"</definedName>
    <definedName name="IQ_MULTIFAM_5_LOANS_TOT_LOANS_FFIEC" hidden="1">"c13869"</definedName>
    <definedName name="IQ_MULTIFAMILY_LOANS_GROSS_LOANS_FFIEC" hidden="1">"c13404"</definedName>
    <definedName name="IQ_MULTIFAMILY_LOANS_RISK_BASED_FFIEC" hidden="1">"c13425"</definedName>
    <definedName name="IQ_MULTIFAMILY_RES_DOM_FFIEC" hidden="1">"c15270"</definedName>
    <definedName name="IQ_MUNI_ADVALOREM_TAX" hidden="1">"c15144"</definedName>
    <definedName name="IQ_MUNI_AMT_TAX" hidden="1">"c15146"</definedName>
    <definedName name="IQ_MUNI_BANK_QUALIFIED" hidden="1">"c15148"</definedName>
    <definedName name="IQ_MUNI_DEP_TRUST_ELIGIBLE" hidden="1">"c15149"</definedName>
    <definedName name="IQ_MUNI_ECONOMIC_DEFEASANCE" hidden="1">"c15151"</definedName>
    <definedName name="IQ_MUNI_ESCROW" hidden="1">"c15228"</definedName>
    <definedName name="IQ_MUNI_FED_TAX" hidden="1">"c15147"</definedName>
    <definedName name="IQ_MUNI_LEGAL_DEFEASANCE" hidden="1">"c15150"</definedName>
    <definedName name="IQ_MUNI_OFFERING_TYPE" hidden="1">"c15143"</definedName>
    <definedName name="IQ_MUNI_OPTIONAL_REDEMPTION_DEFEASANCE" hidden="1">"c15152"</definedName>
    <definedName name="IQ_MUNI_PRE_REFUNDED_DATE" hidden="1">"c15154"</definedName>
    <definedName name="IQ_MUNI_PRE_REFUNDED_DATED_DATE" hidden="1">"c15156"</definedName>
    <definedName name="IQ_MUNI_PRE_REFUNDED_PRICE" hidden="1">"c15155"</definedName>
    <definedName name="IQ_MUNI_PRE_REFUNDED_TYPE" hidden="1">"c15153"</definedName>
    <definedName name="IQ_MUNI_PURPOSE" hidden="1">"c15226"</definedName>
    <definedName name="IQ_MUNI_STATE_TAX" hidden="1">"c15145"</definedName>
    <definedName name="IQ_MUNI_TERRITORY" hidden="1">"c15142"</definedName>
    <definedName name="IQ_MUNI_TYPE" hidden="1">"c15227"</definedName>
    <definedName name="IQ_MUNICIPAL_INVEST_SECURITIES_FFIEC" hidden="1">"c13459"</definedName>
    <definedName name="IQ_NAMES_REVISION_DATE_" hidden="1">"09/28/2016 15:25:20"</definedName>
    <definedName name="IQ_NAPM_BUS_CONDITIONS" hidden="1">"c6921"</definedName>
    <definedName name="IQ_NAPM_BUS_CONDITIONS_APR" hidden="1">"c7581"</definedName>
    <definedName name="IQ_NAPM_BUS_CONDITIONS_APR_FC" hidden="1">"c8461"</definedName>
    <definedName name="IQ_NAPM_BUS_CONDITIONS_FC" hidden="1">"c7801"</definedName>
    <definedName name="IQ_NAPM_BUS_CONDITIONS_POP" hidden="1">"c7141"</definedName>
    <definedName name="IQ_NAPM_BUS_CONDITIONS_POP_FC" hidden="1">"c8021"</definedName>
    <definedName name="IQ_NAPM_BUS_CONDITIONS_YOY" hidden="1">"c7361"</definedName>
    <definedName name="IQ_NAPM_BUS_CONDITIONS_YOY_FC" hidden="1">"c8241"</definedName>
    <definedName name="IQ_NATIVE_COMPANY_NAME" hidden="1">"c13822"</definedName>
    <definedName name="IQ_NAV_ACT_OR_EST" hidden="1">"c2225"</definedName>
    <definedName name="IQ_NAV_ACT_OR_EST_THOM" hidden="1">"c5607"</definedName>
    <definedName name="IQ_NAV_EST" hidden="1">"c1751"</definedName>
    <definedName name="IQ_NAV_EST_THOM" hidden="1">"c5601"</definedName>
    <definedName name="IQ_NAV_HIGH_EST" hidden="1">"c1753"</definedName>
    <definedName name="IQ_NAV_HIGH_EST_THOM" hidden="1">"c5604"</definedName>
    <definedName name="IQ_NAV_LOW_EST" hidden="1">"c1754"</definedName>
    <definedName name="IQ_NAV_LOW_EST_THOM" hidden="1">"c5605"</definedName>
    <definedName name="IQ_NAV_MEDIAN_EST" hidden="1">"c1752"</definedName>
    <definedName name="IQ_NAV_MEDIAN_EST_THOM" hidden="1">"c5602"</definedName>
    <definedName name="IQ_NAV_NUM_EST" hidden="1">"c1755"</definedName>
    <definedName name="IQ_NAV_NUM_EST_THOM" hidden="1">"c5606"</definedName>
    <definedName name="IQ_NAV_RE" hidden="1">"c15996"</definedName>
    <definedName name="IQ_NAV_SHARE_ACT_OR_EST" hidden="1">"c2225"</definedName>
    <definedName name="IQ_NAV_SHARE_ACT_OR_EST_REUT" hidden="1">"c5623"</definedName>
    <definedName name="IQ_NAV_SHARE_EST" hidden="1">"c5609"</definedName>
    <definedName name="IQ_NAV_SHARE_EST_REUT" hidden="1">"c5617"</definedName>
    <definedName name="IQ_NAV_SHARE_HIGH_EST" hidden="1">"c5612"</definedName>
    <definedName name="IQ_NAV_SHARE_HIGH_EST_REUT" hidden="1">"c5620"</definedName>
    <definedName name="IQ_NAV_SHARE_LOW_EST" hidden="1">"c5613"</definedName>
    <definedName name="IQ_NAV_SHARE_LOW_EST_REUT" hidden="1">"c5621"</definedName>
    <definedName name="IQ_NAV_SHARE_MEDIAN_EST" hidden="1">"c5610"</definedName>
    <definedName name="IQ_NAV_SHARE_MEDIAN_EST_REUT" hidden="1">"c5618"</definedName>
    <definedName name="IQ_NAV_SHARE_NUM_EST" hidden="1">"c5614"</definedName>
    <definedName name="IQ_NAV_SHARE_NUM_EST_REUT" hidden="1">"c5622"</definedName>
    <definedName name="IQ_NAV_SHARE_RE" hidden="1">"c16011"</definedName>
    <definedName name="IQ_NAV_SHARE_STDDEV_EST" hidden="1">"c5611"</definedName>
    <definedName name="IQ_NAV_SHARE_STDDEV_EST_REUT" hidden="1">"c5619"</definedName>
    <definedName name="IQ_NAV_STDDEV_EST" hidden="1">"c1756"</definedName>
    <definedName name="IQ_NAV_STDDEV_EST_THOM" hidden="1">"c5603"</definedName>
    <definedName name="IQ_NCLS_CLOSED_END_1_4_FAM_LOANS_TOT_LOANS_FFIEC" hidden="1">"c13891"</definedName>
    <definedName name="IQ_NCLS_COMM_IND_LOANS_TOT_LOANS_FFIEC" hidden="1">"c13898"</definedName>
    <definedName name="IQ_NCLS_COMM_RE_FARM_LOANS_TOT_LOANS_FFIEC" hidden="1">"c13897"</definedName>
    <definedName name="IQ_NCLS_COMM_RE_NONFARM_NONRES_TOT_LOANS_FFIEC" hidden="1">"c13896"</definedName>
    <definedName name="IQ_NCLS_CONST_LAND_DEV_LOANS_TOT_LOANS_FFIEC" hidden="1">"c13890"</definedName>
    <definedName name="IQ_NCLS_CONSUMER_LOANS_TOT_LOANS_FFIEC" hidden="1">"c13899"</definedName>
    <definedName name="IQ_NCLS_FARM_LOANS_TOT_LOANS_FFIEC" hidden="1">"c13895"</definedName>
    <definedName name="IQ_NCLS_HOME_EQUITY_LOANS_TOT_LOANS_FFIEC" hidden="1">"c13892"</definedName>
    <definedName name="IQ_NCLS_MULTIFAM_5_LOANS_TOT_LOANS_FFIEC" hidden="1">"c13894"</definedName>
    <definedName name="IQ_NCLS_TOT_1_4_FAM_LOANS_TOT_LOANS_FFIEC" hidden="1">"c13893"</definedName>
    <definedName name="IQ_NCLS_TOT_LEASES_TOT_LOANS_FFIEC" hidden="1">"c13900"</definedName>
    <definedName name="IQ_NCLS_TOT_LOANS_TOT_LOANS_FFIEC" hidden="1">"c13901"</definedName>
    <definedName name="IQ_NCOS_CLOSED_END_1_4_FAM_LOANS_TOT_LOANS_FFIEC" hidden="1">"c13879"</definedName>
    <definedName name="IQ_NCOS_COMM_IND_LOANS_TOT_LOANS_FFIEC" hidden="1">"c13886"</definedName>
    <definedName name="IQ_NCOS_COMM_RE_FARM_LOANS_TOT_LOANS_FFIEC" hidden="1">"c13885"</definedName>
    <definedName name="IQ_NCOS_COMM_RE_NONFARM_NONRES_TOT_LOANS_FFIEC" hidden="1">"c13884"</definedName>
    <definedName name="IQ_NCOS_CONST_LAND_DEV_LOANS_TOT_LOANS_FFIEC" hidden="1">"c13878"</definedName>
    <definedName name="IQ_NCOS_CONSUMER_LOANS_TOT_LOANS_FFIEC" hidden="1">"c13887"</definedName>
    <definedName name="IQ_NCOS_FARM_LOANS_TOT_LOANS_FFIEC" hidden="1">"c13883"</definedName>
    <definedName name="IQ_NCOS_HOME_EQUITY_LOANS_TOT_LOANS_FFIEC" hidden="1">"c13880"</definedName>
    <definedName name="IQ_NCOS_MULTIFAM_5_LOANS_TOT_LOANS_FFIEC" hidden="1">"c13882"</definedName>
    <definedName name="IQ_NCOS_TOT_1_4_FAM_LOANS_TOT_LOANS_FFIEC" hidden="1">"c13881"</definedName>
    <definedName name="IQ_NCOS_TOT_LEASES_TOT_LOANS_FFIEC" hidden="1">"c13888"</definedName>
    <definedName name="IQ_NCOS_TOT_LOANS_TOT_LOANS_FFIEC" hidden="1">"c13889"</definedName>
    <definedName name="IQ_NEGATIVE_FAIR_VALUE_DERIVATIVES_BENEFICIARY_FFIEC" hidden="1">"c13124"</definedName>
    <definedName name="IQ_NEGATIVE_FAIR_VALUE_DERIVATIVES_GUARANTOR_FFIEC" hidden="1">"c13117"</definedName>
    <definedName name="IQ_NET_ADD_BASIC" hidden="1">"c15782"</definedName>
    <definedName name="IQ_NET_ADD_BBAND" hidden="1">"c15785"</definedName>
    <definedName name="IQ_NET_ADD_DIG" hidden="1">"c15783"</definedName>
    <definedName name="IQ_NET_ADD_PHONE" hidden="1">"c15786"</definedName>
    <definedName name="IQ_NET_ADD_POSTPAID_WIRELESS" hidden="1">"c15754"</definedName>
    <definedName name="IQ_NET_ADD_PREPAID_WIRELESS" hidden="1">"c15755"</definedName>
    <definedName name="IQ_NET_ADD_RESELL_WHOLESALE_WIRELESS" hidden="1">"c15756"</definedName>
    <definedName name="IQ_NET_ADD_RGU" hidden="1">"c15787"</definedName>
    <definedName name="IQ_NET_ADD_SATELLITE" hidden="1">"c15784"</definedName>
    <definedName name="IQ_NET_ADD_TOTAL_WIRELESS" hidden="1">"c15757"</definedName>
    <definedName name="IQ_NET_BOOKING_LOCATION_ADJUSTMENT_FOREIGN_FFIEC" hidden="1">"c15385"</definedName>
    <definedName name="IQ_NET_CHANGE" hidden="1">"c749"</definedName>
    <definedName name="IQ_NET_CLAIM_ADJ_EXP_RESERVE_BOP" hidden="1">"c15877"</definedName>
    <definedName name="IQ_NET_CLAIM_EXP_INCUR" hidden="1">"c2757"</definedName>
    <definedName name="IQ_NET_CLAIM_EXP_INCUR_CY" hidden="1">"c2761"</definedName>
    <definedName name="IQ_NET_CLAIM_EXP_INCUR_PY" hidden="1">"c2762"</definedName>
    <definedName name="IQ_NET_CLAIM_EXP_PAID" hidden="1">"c2760"</definedName>
    <definedName name="IQ_NET_CLAIM_EXP_PAID_CY" hidden="1">"c2763"</definedName>
    <definedName name="IQ_NET_CLAIM_EXP_PAID_PY" hidden="1">"c2764"</definedName>
    <definedName name="IQ_NET_CLAIM_EXP_RES" hidden="1">"c2754"</definedName>
    <definedName name="IQ_NET_DEBT" hidden="1">"c1584"</definedName>
    <definedName name="IQ_NET_DEBT_ACT_OR_EST" hidden="1">"c3583"</definedName>
    <definedName name="IQ_NET_DEBT_ACT_OR_EST_REUT" hidden="1">"c5473"</definedName>
    <definedName name="IQ_NET_DEBT_ACT_OR_EST_THOM" hidden="1">"c5309"</definedName>
    <definedName name="IQ_NET_DEBT_EBITDA" hidden="1">"c750"</definedName>
    <definedName name="IQ_NET_DEBT_EBITDA_CAPEX" hidden="1">"c2949"</definedName>
    <definedName name="IQ_NET_DEBT_EST" hidden="1">"c3517"</definedName>
    <definedName name="IQ_NET_DEBT_EST_REUT" hidden="1">"c3976"</definedName>
    <definedName name="IQ_NET_DEBT_EST_THOM" hidden="1">"c4027"</definedName>
    <definedName name="IQ_NET_DEBT_GUIDANCE" hidden="1">"c4467"</definedName>
    <definedName name="IQ_NET_DEBT_HIGH_EST" hidden="1">"c3518"</definedName>
    <definedName name="IQ_NET_DEBT_HIGH_EST_REUT" hidden="1">"c3978"</definedName>
    <definedName name="IQ_NET_DEBT_HIGH_EST_THOM" hidden="1">"c4029"</definedName>
    <definedName name="IQ_NET_DEBT_HIGH_GUIDANCE" hidden="1">"c4181"</definedName>
    <definedName name="IQ_NET_DEBT_ISSUED" hidden="1">"c751"</definedName>
    <definedName name="IQ_NET_DEBT_ISSUED_BNK" hidden="1">"c752"</definedName>
    <definedName name="IQ_NET_DEBT_ISSUED_BR" hidden="1">"c753"</definedName>
    <definedName name="IQ_NET_DEBT_ISSUED_FIN" hidden="1">"c754"</definedName>
    <definedName name="IQ_NET_DEBT_ISSUED_INS" hidden="1">"c755"</definedName>
    <definedName name="IQ_NET_DEBT_ISSUED_RE" hidden="1">"c6238"</definedName>
    <definedName name="IQ_NET_DEBT_ISSUED_REIT" hidden="1">"c756"</definedName>
    <definedName name="IQ_NET_DEBT_ISSUED_UTI" hidden="1">"c757"</definedName>
    <definedName name="IQ_NET_DEBT_LOW_EST" hidden="1">"c3519"</definedName>
    <definedName name="IQ_NET_DEBT_LOW_EST_REUT" hidden="1">"c3979"</definedName>
    <definedName name="IQ_NET_DEBT_LOW_EST_THOM" hidden="1">"c4030"</definedName>
    <definedName name="IQ_NET_DEBT_LOW_GUIDANCE" hidden="1">"c4221"</definedName>
    <definedName name="IQ_NET_DEBT_MEDIAN_EST" hidden="1">"c3520"</definedName>
    <definedName name="IQ_NET_DEBT_MEDIAN_EST_REUT" hidden="1">"c3977"</definedName>
    <definedName name="IQ_NET_DEBT_MEDIAN_EST_THOM" hidden="1">"c4028"</definedName>
    <definedName name="IQ_NET_DEBT_NUM_EST" hidden="1">"c3515"</definedName>
    <definedName name="IQ_NET_DEBT_NUM_EST_REUT" hidden="1">"c3980"</definedName>
    <definedName name="IQ_NET_DEBT_NUM_EST_THOM" hidden="1">"c4031"</definedName>
    <definedName name="IQ_NET_DEBT_STDDEV_EST" hidden="1">"c3516"</definedName>
    <definedName name="IQ_NET_DEBT_STDDEV_EST_REUT" hidden="1">"c3981"</definedName>
    <definedName name="IQ_NET_DEBT_STDDEV_EST_THOM" hidden="1">"c4032"</definedName>
    <definedName name="IQ_NET_EARNED" hidden="1">"c2734"</definedName>
    <definedName name="IQ_NET_FUNDS_PURCHASED_ASSETS_TOT_FFIEC" hidden="1">"c13448"</definedName>
    <definedName name="IQ_NET_GAIN_LOSS_OREO_EXP_FFIEC" hidden="1">"c15370"</definedName>
    <definedName name="IQ_NET_GAIN_LOSS_OREO_INC_FFIEC" hidden="1">"c15367"</definedName>
    <definedName name="IQ_NET_GAIN_LOSS_SALES_LOANS_EXP_FFIEC" hidden="1">"c15371"</definedName>
    <definedName name="IQ_NET_GAIN_LOSS_SALES_LOANS_INC_FFIEC" hidden="1">"c15368"</definedName>
    <definedName name="IQ_NET_GAIN_SALE_PREMISES_FIXED_ASSETS_EXP_FFIEC" hidden="1">"c15372"</definedName>
    <definedName name="IQ_NET_GAIN_SALE_PREMISES_FIXED_ASSETS_INC_FFIEC" hidden="1">"c15369"</definedName>
    <definedName name="IQ_NET_INC" hidden="1">"c1394"</definedName>
    <definedName name="IQ_NET_INC_BEFORE" hidden="1">"c1368"</definedName>
    <definedName name="IQ_NET_INC_CF" hidden="1">"c1397"</definedName>
    <definedName name="IQ_NET_INC_MARGIN" hidden="1">"c1398"</definedName>
    <definedName name="IQ_NET_INCOME_HOMEBUILDING_SALES" hidden="1">"c15818"</definedName>
    <definedName name="IQ_NET_INCOME_LH_FFIEC" hidden="1">"c13110"</definedName>
    <definedName name="IQ_NET_INCOME_PC_FFIEC" hidden="1">"c13103"</definedName>
    <definedName name="IQ_NET_INCOME_SHE_FFIEC" hidden="1">"c12960"</definedName>
    <definedName name="IQ_NET_INT_INC_10YR_ANN_CAGR" hidden="1">"c6100"</definedName>
    <definedName name="IQ_NET_INT_INC_10YR_ANN_GROWTH" hidden="1">"c758"</definedName>
    <definedName name="IQ_NET_INT_INC_1YR_ANN_GROWTH" hidden="1">"c759"</definedName>
    <definedName name="IQ_NET_INT_INC_2YR_ANN_CAGR" hidden="1">"c6101"</definedName>
    <definedName name="IQ_NET_INT_INC_2YR_ANN_GROWTH" hidden="1">"c760"</definedName>
    <definedName name="IQ_NET_INT_INC_3YR_ANN_CAGR" hidden="1">"c6102"</definedName>
    <definedName name="IQ_NET_INT_INC_3YR_ANN_GROWTH" hidden="1">"c761"</definedName>
    <definedName name="IQ_NET_INT_INC_5YR_ANN_CAGR" hidden="1">"c6103"</definedName>
    <definedName name="IQ_NET_INT_INC_5YR_ANN_GROWTH" hidden="1">"c762"</definedName>
    <definedName name="IQ_NET_INT_INC_7YR_ANN_CAGR" hidden="1">"c6104"</definedName>
    <definedName name="IQ_NET_INT_INC_7YR_ANN_GROWTH" hidden="1">"c763"</definedName>
    <definedName name="IQ_NET_INT_INC_AFTER_LL_BNK_SUBTOTAL_AP" hidden="1">"c8979"</definedName>
    <definedName name="IQ_NET_INT_INC_BNK" hidden="1">"c764"</definedName>
    <definedName name="IQ_NET_INT_INC_BNK_AP" hidden="1">"c8874"</definedName>
    <definedName name="IQ_NET_INT_INC_BNK_AP_ABS" hidden="1">"c8893"</definedName>
    <definedName name="IQ_NET_INT_INC_BNK_NAME_AP" hidden="1">"c8912"</definedName>
    <definedName name="IQ_NET_INT_INC_BNK_NAME_AP_ABS" hidden="1">"c8931"</definedName>
    <definedName name="IQ_NET_INT_INC_BNK_SUBTOTAL_AP" hidden="1">"c8978"</definedName>
    <definedName name="IQ_NET_INT_INC_BR" hidden="1">"c765"</definedName>
    <definedName name="IQ_NET_INT_INC_FIN" hidden="1">"c766"</definedName>
    <definedName name="IQ_NET_INT_INC_TOTAL_REV" hidden="1">"c767"</definedName>
    <definedName name="IQ_NET_INT_INCOME_AVG_ASSET" hidden="1">"c15706"</definedName>
    <definedName name="IQ_NET_INT_INCOME_FFIEC" hidden="1">"c13001"</definedName>
    <definedName name="IQ_NET_INT_INCOME_FTE_FFIEC" hidden="1">"c13036"</definedName>
    <definedName name="IQ_NET_INT_MARGIN" hidden="1">"c768"</definedName>
    <definedName name="IQ_NET_INTEREST_EXP" hidden="1">"c769"</definedName>
    <definedName name="IQ_NET_INTEREST_EXP_RE" hidden="1">"c6239"</definedName>
    <definedName name="IQ_NET_INTEREST_EXP_REIT" hidden="1">"c770"</definedName>
    <definedName name="IQ_NET_INTEREST_EXP_UTI" hidden="1">"c771"</definedName>
    <definedName name="IQ_NET_INTEREST_INC" hidden="1">"c1392"</definedName>
    <definedName name="IQ_NET_INTEREST_INC_AFTER_LL" hidden="1">"c1604"</definedName>
    <definedName name="IQ_NET_INTEREST_INC_INTERNATIONAL_OPS_FFIEC" hidden="1">"c15375"</definedName>
    <definedName name="IQ_NET_LIFE_INS_IN_FORCE" hidden="1">"c2769"</definedName>
    <definedName name="IQ_NET_LOANS" hidden="1">"c772"</definedName>
    <definedName name="IQ_NET_LOANS_10YR_ANN_CAGR" hidden="1">"c6105"</definedName>
    <definedName name="IQ_NET_LOANS_10YR_ANN_GROWTH" hidden="1">"c773"</definedName>
    <definedName name="IQ_NET_LOANS_1YR_ANN_GROWTH" hidden="1">"c774"</definedName>
    <definedName name="IQ_NET_LOANS_2YR_ANN_CAGR" hidden="1">"c6106"</definedName>
    <definedName name="IQ_NET_LOANS_2YR_ANN_GROWTH" hidden="1">"c775"</definedName>
    <definedName name="IQ_NET_LOANS_3YR_ANN_CAGR" hidden="1">"c6107"</definedName>
    <definedName name="IQ_NET_LOANS_3YR_ANN_GROWTH" hidden="1">"c776"</definedName>
    <definedName name="IQ_NET_LOANS_5YR_ANN_CAGR" hidden="1">"c6108"</definedName>
    <definedName name="IQ_NET_LOANS_5YR_ANN_GROWTH" hidden="1">"c777"</definedName>
    <definedName name="IQ_NET_LOANS_7YR_ANN_CAGR" hidden="1">"c6109"</definedName>
    <definedName name="IQ_NET_LOANS_7YR_ANN_GROWTH" hidden="1">"c778"</definedName>
    <definedName name="IQ_NET_LOANS_CORE_DEPOSITS_FFIEC" hidden="1">"c13341"</definedName>
    <definedName name="IQ_NET_LOANS_DEPOSITS_FFIEC" hidden="1">"c13340"</definedName>
    <definedName name="IQ_NET_LOANS_EQUITY_FFIEC" hidden="1">"c13347"</definedName>
    <definedName name="IQ_NET_LOANS_TOTAL_DEPOSITS" hidden="1">"c779"</definedName>
    <definedName name="IQ_NET_LOSSES" hidden="1">"c15873"</definedName>
    <definedName name="IQ_NET_NONINTEREST_INC_EXP_INTERNATIONAL_OPS_FFIEC" hidden="1">"c15387"</definedName>
    <definedName name="IQ_NET_PREMIUM_WRITTEN_STATUTORY_SURPLUS" hidden="1">"c15880"</definedName>
    <definedName name="IQ_NET_PREMIUMS_WRITTEN_AVG_ASSETS" hidden="1">"c15888"</definedName>
    <definedName name="IQ_NET_PREMIUMS_WRITTEN_AVG_EQUITY" hidden="1">"c15891"</definedName>
    <definedName name="IQ_NET_PREMIUMS_WRITTEN_AVG_STATUTORY_SURPLUS" hidden="1">"c15890"</definedName>
    <definedName name="IQ_NET_PREMIUMS_WRITTEN_GROSS_PREMIUMS_WRITTEN" hidden="1">"c15889"</definedName>
    <definedName name="IQ_NET_RENTAL_EXP_FN" hidden="1">"c780"</definedName>
    <definedName name="IQ_NET_SECURITIZATION_INC_FOREIGN_FFIEC" hidden="1">"c15379"</definedName>
    <definedName name="IQ_NET_TO_GROSS_EARNED" hidden="1">"c2750"</definedName>
    <definedName name="IQ_NET_TO_GROSS_WRITTEN" hidden="1">"c2729"</definedName>
    <definedName name="IQ_NET_WORKING_CAP" hidden="1">"c3493"</definedName>
    <definedName name="IQ_NET_WRITTEN" hidden="1">"c2728"</definedName>
    <definedName name="IQ_NEW_PREM" hidden="1">"c2785"</definedName>
    <definedName name="IQ_NEWS" hidden="1">"c13743"</definedName>
    <definedName name="IQ_NEWS_DATE" hidden="1">"c13746"</definedName>
    <definedName name="IQ_NEWS_SOURCE" hidden="1">"c13745"</definedName>
    <definedName name="IQ_NEWS_TIME" hidden="1">"c13759"</definedName>
    <definedName name="IQ_NEWS_URL" hidden="1">"c13744"</definedName>
    <definedName name="IQ_NEXT_CALL_DATE" hidden="1">"c2198"</definedName>
    <definedName name="IQ_NEXT_CALL_PRICE" hidden="1">"c2199"</definedName>
    <definedName name="IQ_NEXT_EARNINGS_DATE" hidden="1">"c13592"</definedName>
    <definedName name="IQ_NEXT_INT_DATE" hidden="1">"c2187"</definedName>
    <definedName name="IQ_NEXT_PUT_DATE" hidden="1">"c2200"</definedName>
    <definedName name="IQ_NEXT_PUT_PRICE" hidden="1">"c2201"</definedName>
    <definedName name="IQ_NEXT_SINK_FUND_AMOUNT" hidden="1">"c2490"</definedName>
    <definedName name="IQ_NEXT_SINK_FUND_DATE" hidden="1">"c2489"</definedName>
    <definedName name="IQ_NEXT_SINK_FUND_PRICE" hidden="1">"c2491"</definedName>
    <definedName name="IQ_NEXT_YR_PROD_EST_MAX_ALUM" hidden="1">"c9251"</definedName>
    <definedName name="IQ_NEXT_YR_PROD_EST_MAX_CATHODE_COP" hidden="1">"c9198"</definedName>
    <definedName name="IQ_NEXT_YR_PROD_EST_MAX_COP" hidden="1">"c9196"</definedName>
    <definedName name="IQ_NEXT_YR_PROD_EST_MAX_DIAM" hidden="1">"c9675"</definedName>
    <definedName name="IQ_NEXT_YR_PROD_EST_MAX_GOLD" hidden="1">"c9036"</definedName>
    <definedName name="IQ_NEXT_YR_PROD_EST_MAX_IRON" hidden="1">"c9410"</definedName>
    <definedName name="IQ_NEXT_YR_PROD_EST_MAX_LEAD" hidden="1">"c9463"</definedName>
    <definedName name="IQ_NEXT_YR_PROD_EST_MAX_MANG" hidden="1">"c9516"</definedName>
    <definedName name="IQ_NEXT_YR_PROD_EST_MAX_MOLYB" hidden="1">"c9728"</definedName>
    <definedName name="IQ_NEXT_YR_PROD_EST_MAX_NICK" hidden="1">"c9304"</definedName>
    <definedName name="IQ_NEXT_YR_PROD_EST_MAX_PLAT" hidden="1">"c9142"</definedName>
    <definedName name="IQ_NEXT_YR_PROD_EST_MAX_SILVER" hidden="1">"c9089"</definedName>
    <definedName name="IQ_NEXT_YR_PROD_EST_MAX_TITAN" hidden="1">"c9569"</definedName>
    <definedName name="IQ_NEXT_YR_PROD_EST_MAX_URAN" hidden="1">"c9622"</definedName>
    <definedName name="IQ_NEXT_YR_PROD_EST_MAX_ZINC" hidden="1">"c9357"</definedName>
    <definedName name="IQ_NEXT_YR_PROD_EST_MIN_ALUM" hidden="1">"c9250"</definedName>
    <definedName name="IQ_NEXT_YR_PROD_EST_MIN_CATHODE_COP" hidden="1">"c9197"</definedName>
    <definedName name="IQ_NEXT_YR_PROD_EST_MIN_COP" hidden="1">"c9195"</definedName>
    <definedName name="IQ_NEXT_YR_PROD_EST_MIN_DIAM" hidden="1">"c9674"</definedName>
    <definedName name="IQ_NEXT_YR_PROD_EST_MIN_GOLD" hidden="1">"c9035"</definedName>
    <definedName name="IQ_NEXT_YR_PROD_EST_MIN_IRON" hidden="1">"c9409"</definedName>
    <definedName name="IQ_NEXT_YR_PROD_EST_MIN_LEAD" hidden="1">"c9462"</definedName>
    <definedName name="IQ_NEXT_YR_PROD_EST_MIN_MANG" hidden="1">"c9515"</definedName>
    <definedName name="IQ_NEXT_YR_PROD_EST_MIN_MOLYB" hidden="1">"c9727"</definedName>
    <definedName name="IQ_NEXT_YR_PROD_EST_MIN_NICK" hidden="1">"c9303"</definedName>
    <definedName name="IQ_NEXT_YR_PROD_EST_MIN_PLAT" hidden="1">"c9141"</definedName>
    <definedName name="IQ_NEXT_YR_PROD_EST_MIN_SILVER" hidden="1">"c9088"</definedName>
    <definedName name="IQ_NEXT_YR_PROD_EST_MIN_TITAN" hidden="1">"c9568"</definedName>
    <definedName name="IQ_NEXT_YR_PROD_EST_MIN_URAN" hidden="1">"c9621"</definedName>
    <definedName name="IQ_NEXT_YR_PROD_EST_MIN_ZINC" hidden="1">"c9356"</definedName>
    <definedName name="IQ_NI" hidden="1">"c781"</definedName>
    <definedName name="IQ_NI_10YR_ANN_CAGR" hidden="1">"c6110"</definedName>
    <definedName name="IQ_NI_10YR_ANN_GROWTH" hidden="1">"c782"</definedName>
    <definedName name="IQ_NI_1YR_ANN_GROWTH" hidden="1">"c783"</definedName>
    <definedName name="IQ_NI_2YR_ANN_CAGR" hidden="1">"c6111"</definedName>
    <definedName name="IQ_NI_2YR_ANN_GROWTH" hidden="1">"c784"</definedName>
    <definedName name="IQ_NI_3YR_ANN_CAGR" hidden="1">"c6112"</definedName>
    <definedName name="IQ_NI_3YR_ANN_GROWTH" hidden="1">"c785"</definedName>
    <definedName name="IQ_NI_5YR_ANN_CAGR" hidden="1">"c6113"</definedName>
    <definedName name="IQ_NI_5YR_ANN_GROWTH" hidden="1">"c786"</definedName>
    <definedName name="IQ_NI_7YR_ANN_CAGR" hidden="1">"c6114"</definedName>
    <definedName name="IQ_NI_7YR_ANN_GROWTH" hidden="1">"c787"</definedName>
    <definedName name="IQ_NI_ACT_OR_EST" hidden="1">"c2222"</definedName>
    <definedName name="IQ_NI_ACT_OR_EST_REUT" hidden="1">"c5468"</definedName>
    <definedName name="IQ_NI_ACT_OR_EST_THOM" hidden="1">"c5306"</definedName>
    <definedName name="IQ_NI_AFTER_CAPITALIZED" hidden="1">"c788"</definedName>
    <definedName name="IQ_NI_AVAIL_EXCL" hidden="1">"c789"</definedName>
    <definedName name="IQ_NI_AVAIL_EXCL_MARGIN" hidden="1">"c790"</definedName>
    <definedName name="IQ_NI_AVAIL_INCL" hidden="1">"c791"</definedName>
    <definedName name="IQ_NI_AVAIL_SUBTOTAL_AP" hidden="1">"c8984"</definedName>
    <definedName name="IQ_NI_AVG_ASSETS_FFIEC" hidden="1">"c13370"</definedName>
    <definedName name="IQ_NI_BANK_AND_NONCONTROLLING_INTEREST_FFIEC" hidden="1">"c15365"</definedName>
    <definedName name="IQ_NI_BEFORE_CAPITALIZED" hidden="1">"c792"</definedName>
    <definedName name="IQ_NI_BEFORE_INTERNAL_ALLOCATIONS_FOREIGN_FFIEC" hidden="1">"c15393"</definedName>
    <definedName name="IQ_NI_CF" hidden="1">"c793"</definedName>
    <definedName name="IQ_NI_CHARGES_AP" hidden="1">"c8879"</definedName>
    <definedName name="IQ_NI_CHARGES_AP_ABS" hidden="1">"c8898"</definedName>
    <definedName name="IQ_NI_CHARGES_NAME_AP" hidden="1">"c8917"</definedName>
    <definedName name="IQ_NI_CHARGES_NAME_AP_ABS" hidden="1">"c8936"</definedName>
    <definedName name="IQ_NI_EST" hidden="1">"c1716"</definedName>
    <definedName name="IQ_NI_EST_REUT" hidden="1">"c5368"</definedName>
    <definedName name="IQ_NI_EST_THOM" hidden="1">"c5126"</definedName>
    <definedName name="IQ_NI_FFIEC" hidden="1">"c13034"</definedName>
    <definedName name="IQ_NI_GAAP_GUIDANCE" hidden="1">"c4470"</definedName>
    <definedName name="IQ_NI_GAAP_HIGH_GUIDANCE" hidden="1">"c4177"</definedName>
    <definedName name="IQ_NI_GAAP_LOW_GUIDANCE" hidden="1">"c4217"</definedName>
    <definedName name="IQ_NI_GUIDANCE" hidden="1">"c4469"</definedName>
    <definedName name="IQ_NI_GW_EST" hidden="1">"c1723"</definedName>
    <definedName name="IQ_NI_GW_EST_REUT" hidden="1">"c5375"</definedName>
    <definedName name="IQ_NI_GW_GUIDANCE" hidden="1">"c4471"</definedName>
    <definedName name="IQ_NI_GW_HIGH_EST" hidden="1">"c1725"</definedName>
    <definedName name="IQ_NI_GW_HIGH_EST_REUT" hidden="1">"c5377"</definedName>
    <definedName name="IQ_NI_GW_HIGH_GUIDANCE" hidden="1">"c4178"</definedName>
    <definedName name="IQ_NI_GW_LOW_EST" hidden="1">"c1726"</definedName>
    <definedName name="IQ_NI_GW_LOW_EST_REUT" hidden="1">"c5378"</definedName>
    <definedName name="IQ_NI_GW_LOW_GUIDANCE" hidden="1">"c4218"</definedName>
    <definedName name="IQ_NI_GW_MEDIAN_EST" hidden="1">"c1724"</definedName>
    <definedName name="IQ_NI_GW_MEDIAN_EST_REUT" hidden="1">"c5376"</definedName>
    <definedName name="IQ_NI_GW_NUM_EST" hidden="1">"c1727"</definedName>
    <definedName name="IQ_NI_GW_NUM_EST_REUT" hidden="1">"c5379"</definedName>
    <definedName name="IQ_NI_GW_STDDEV_EST" hidden="1">"c1728"</definedName>
    <definedName name="IQ_NI_GW_STDDEV_EST_REUT" hidden="1">"c5380"</definedName>
    <definedName name="IQ_NI_HIGH_EST" hidden="1">"c1718"</definedName>
    <definedName name="IQ_NI_HIGH_EST_REUT" hidden="1">"c5370"</definedName>
    <definedName name="IQ_NI_HIGH_EST_THOM" hidden="1">"c5128"</definedName>
    <definedName name="IQ_NI_HIGH_GUIDANCE" hidden="1">"c4176"</definedName>
    <definedName name="IQ_NI_LOW_EST" hidden="1">"c1719"</definedName>
    <definedName name="IQ_NI_LOW_EST_REUT" hidden="1">"c5371"</definedName>
    <definedName name="IQ_NI_LOW_EST_THOM" hidden="1">"c5129"</definedName>
    <definedName name="IQ_NI_LOW_GUIDANCE" hidden="1">"c4216"</definedName>
    <definedName name="IQ_NI_MARGIN" hidden="1">"c794"</definedName>
    <definedName name="IQ_NI_MEDIAN_EST" hidden="1">"c1717"</definedName>
    <definedName name="IQ_NI_MEDIAN_EST_REUT" hidden="1">"c5369"</definedName>
    <definedName name="IQ_NI_MEDIAN_EST_THOM" hidden="1">"c5127"</definedName>
    <definedName name="IQ_NI_NON_CONTROLLING_INTERESTS_FFIEC" hidden="1">"c15366"</definedName>
    <definedName name="IQ_NI_NORM" hidden="1">"c1901"</definedName>
    <definedName name="IQ_NI_NORM_10YR_ANN_CAGR" hidden="1">"c6189"</definedName>
    <definedName name="IQ_NI_NORM_10YR_ANN_GROWTH" hidden="1">"c1960"</definedName>
    <definedName name="IQ_NI_NORM_1YR_ANN_GROWTH" hidden="1">"c1955"</definedName>
    <definedName name="IQ_NI_NORM_2YR_ANN_CAGR" hidden="1">"c6185"</definedName>
    <definedName name="IQ_NI_NORM_2YR_ANN_GROWTH" hidden="1">"c1956"</definedName>
    <definedName name="IQ_NI_NORM_3YR_ANN_CAGR" hidden="1">"c6186"</definedName>
    <definedName name="IQ_NI_NORM_3YR_ANN_GROWTH" hidden="1">"c1957"</definedName>
    <definedName name="IQ_NI_NORM_5YR_ANN_CAGR" hidden="1">"c6187"</definedName>
    <definedName name="IQ_NI_NORM_5YR_ANN_GROWTH" hidden="1">"c1958"</definedName>
    <definedName name="IQ_NI_NORM_7YR_ANN_CAGR" hidden="1">"c6188"</definedName>
    <definedName name="IQ_NI_NORM_7YR_ANN_GROWTH" hidden="1">"c1959"</definedName>
    <definedName name="IQ_NI_NORM_MARGIN" hidden="1">"c1964"</definedName>
    <definedName name="IQ_NI_NUM_EST" hidden="1">"c1720"</definedName>
    <definedName name="IQ_NI_NUM_EST_REUT" hidden="1">"c5372"</definedName>
    <definedName name="IQ_NI_NUM_EST_THOM" hidden="1">"c5130"</definedName>
    <definedName name="IQ_NI_REPORTED_EST" hidden="1">"c1730"</definedName>
    <definedName name="IQ_NI_REPORTED_EST_REUT" hidden="1">"c5382"</definedName>
    <definedName name="IQ_NI_REPORTED_HIGH_EST" hidden="1">"c1732"</definedName>
    <definedName name="IQ_NI_REPORTED_HIGH_EST_REUT" hidden="1">"c5384"</definedName>
    <definedName name="IQ_NI_REPORTED_LOW_EST" hidden="1">"c1733"</definedName>
    <definedName name="IQ_NI_REPORTED_LOW_EST_REUT" hidden="1">"c5385"</definedName>
    <definedName name="IQ_NI_REPORTED_MEDIAN_EST" hidden="1">"c1731"</definedName>
    <definedName name="IQ_NI_REPORTED_MEDIAN_EST_REUT" hidden="1">"c5383"</definedName>
    <definedName name="IQ_NI_REPORTED_NUM_EST" hidden="1">"c1734"</definedName>
    <definedName name="IQ_NI_REPORTED_NUM_EST_REUT" hidden="1">"c5386"</definedName>
    <definedName name="IQ_NI_REPORTED_STDDEV_EST" hidden="1">"c1735"</definedName>
    <definedName name="IQ_NI_REPORTED_STDDEV_EST_REUT" hidden="1">"c5387"</definedName>
    <definedName name="IQ_NI_SBC_ACT_OR_EST" hidden="1">"c4474"</definedName>
    <definedName name="IQ_NI_SBC_ACT_OR_EST_CIQ" hidden="1">"c5012"</definedName>
    <definedName name="IQ_NI_SBC_EST" hidden="1">"c4473"</definedName>
    <definedName name="IQ_NI_SBC_GUIDANCE" hidden="1">"c4475"</definedName>
    <definedName name="IQ_NI_SBC_GW_ACT_OR_EST" hidden="1">"c4478"</definedName>
    <definedName name="IQ_NI_SBC_GW_ACT_OR_EST_CIQ" hidden="1">"c5016"</definedName>
    <definedName name="IQ_NI_SBC_GW_EST" hidden="1">"c4477"</definedName>
    <definedName name="IQ_NI_SBC_GW_GUIDANCE" hidden="1">"c4479"</definedName>
    <definedName name="IQ_NI_SBC_GW_HIGH_EST" hidden="1">"c4480"</definedName>
    <definedName name="IQ_NI_SBC_GW_HIGH_GUIDANCE" hidden="1">"c4187"</definedName>
    <definedName name="IQ_NI_SBC_GW_LOW_EST" hidden="1">"c4481"</definedName>
    <definedName name="IQ_NI_SBC_GW_LOW_GUIDANCE" hidden="1">"c4227"</definedName>
    <definedName name="IQ_NI_SBC_GW_MEDIAN_EST" hidden="1">"c4482"</definedName>
    <definedName name="IQ_NI_SBC_GW_NUM_EST" hidden="1">"c4483"</definedName>
    <definedName name="IQ_NI_SBC_GW_STDDEV_EST" hidden="1">"c4484"</definedName>
    <definedName name="IQ_NI_SBC_HIGH_EST" hidden="1">"c4486"</definedName>
    <definedName name="IQ_NI_SBC_HIGH_GUIDANCE" hidden="1">"c4186"</definedName>
    <definedName name="IQ_NI_SBC_LOW_EST" hidden="1">"c4487"</definedName>
    <definedName name="IQ_NI_SBC_LOW_GUIDANCE" hidden="1">"c4226"</definedName>
    <definedName name="IQ_NI_SBC_MEDIAN_EST" hidden="1">"c4488"</definedName>
    <definedName name="IQ_NI_SBC_NUM_EST" hidden="1">"c4489"</definedName>
    <definedName name="IQ_NI_SBC_STDDEV_EST" hidden="1">"c4490"</definedName>
    <definedName name="IQ_NI_SFAS" hidden="1">"c795"</definedName>
    <definedName name="IQ_NI_STDDEV_EST" hidden="1">"c1721"</definedName>
    <definedName name="IQ_NI_STDDEV_EST_REUT" hidden="1">"c5373"</definedName>
    <definedName name="IQ_NI_STDDEV_EST_THOM" hidden="1">"c5131"</definedName>
    <definedName name="IQ_NI_SUBTOTAL_AP" hidden="1">"c8983"</definedName>
    <definedName name="IQ_NLA_PCT_LEASED_CONSOL" hidden="1">"c8815"</definedName>
    <definedName name="IQ_NLA_PCT_LEASED_MANAGED" hidden="1">"c8817"</definedName>
    <definedName name="IQ_NLA_PCT_LEASED_OTHER" hidden="1">"c8818"</definedName>
    <definedName name="IQ_NLA_PCT_LEASED_TOTAL" hidden="1">"c8819"</definedName>
    <definedName name="IQ_NLA_PCT_LEASED_UNCONSOL" hidden="1">"c8816"</definedName>
    <definedName name="IQ_NLA_SQ_FT_CONSOL" hidden="1">"c8800"</definedName>
    <definedName name="IQ_NLA_SQ_FT_MANAGED" hidden="1">"c8802"</definedName>
    <definedName name="IQ_NLA_SQ_FT_OTHER" hidden="1">"c8803"</definedName>
    <definedName name="IQ_NLA_SQ_FT_TOTAL" hidden="1">"c8804"</definedName>
    <definedName name="IQ_NLA_SQ_FT_UNCONSOL" hidden="1">"c8801"</definedName>
    <definedName name="IQ_NLA_SQ_METER_CONSOL" hidden="1">"c8805"</definedName>
    <definedName name="IQ_NLA_SQ_METER_MANAGED" hidden="1">"c8807"</definedName>
    <definedName name="IQ_NLA_SQ_METER_OTHER" hidden="1">"c8808"</definedName>
    <definedName name="IQ_NLA_SQ_METER_TOTAL" hidden="1">"c8809"</definedName>
    <definedName name="IQ_NLA_SQ_METER_UNCONSOL" hidden="1">"c8806"</definedName>
    <definedName name="IQ_NOI_INCL_UNCONSOL" hidden="1">"c16068"</definedName>
    <definedName name="IQ_NOL_CF_1YR" hidden="1">"c3465"</definedName>
    <definedName name="IQ_NOL_CF_2YR" hidden="1">"c3466"</definedName>
    <definedName name="IQ_NOL_CF_3YR" hidden="1">"c3467"</definedName>
    <definedName name="IQ_NOL_CF_4YR" hidden="1">"c3468"</definedName>
    <definedName name="IQ_NOL_CF_5YR" hidden="1">"c3469"</definedName>
    <definedName name="IQ_NOL_CF_AFTER_FIVE" hidden="1">"c3470"</definedName>
    <definedName name="IQ_NOL_CF_MAX_YEAR" hidden="1">"c3473"</definedName>
    <definedName name="IQ_NOL_CF_NO_EXP" hidden="1">"c3471"</definedName>
    <definedName name="IQ_NOL_CF_TOTAL" hidden="1">"c3472"</definedName>
    <definedName name="IQ_NON_ACCRU_ALLOW_RECEIVABLES_FFIEC" hidden="1">"c13353"</definedName>
    <definedName name="IQ_NON_ACCRUAL_ASSET_SOLD_DURING_QTR_FFIEC" hidden="1">"c15350"</definedName>
    <definedName name="IQ_NON_ACCRUAL_LOANS" hidden="1">"c796"</definedName>
    <definedName name="IQ_NON_CASH" hidden="1">"c1399"</definedName>
    <definedName name="IQ_NON_CASH_ITEMS" hidden="1">"c797"</definedName>
    <definedName name="IQ_NON_CD_DEPOSITS" hidden="1">"c15718"</definedName>
    <definedName name="IQ_NON_CD_DEPOSITS_TOTAL_DEPOSITS" hidden="1">"c15725"</definedName>
    <definedName name="IQ_NON_CURRENT_LOANS_FFIEC" hidden="1">"c13860"</definedName>
    <definedName name="IQ_NON_FARM_NONRES_PROPERTIES_TRADING_DOM_FFIEC" hidden="1">"c12931"</definedName>
    <definedName name="IQ_NON_INS_EXP" hidden="1">"c798"</definedName>
    <definedName name="IQ_NON_INS_REV" hidden="1">"c799"</definedName>
    <definedName name="IQ_NON_INT_BAL_OTHER_INSTITUTIONS_FFIEC" hidden="1">"c12950"</definedName>
    <definedName name="IQ_NON_INT_BEAR_CD" hidden="1">"c800"</definedName>
    <definedName name="IQ_NON_INT_BEARING_DEPOSITS" hidden="1">"c800"</definedName>
    <definedName name="IQ_NON_INT_DEPOSITS_DOM_FFIEC" hidden="1">"c12851"</definedName>
    <definedName name="IQ_NON_INT_DEPOSITS_FOREIGN_FFIEC" hidden="1">"c12854"</definedName>
    <definedName name="IQ_NON_INT_EXP" hidden="1">"c801"</definedName>
    <definedName name="IQ_NON_INT_EXP_AVG_ASSETS_FFIEC" hidden="1">"c18878"</definedName>
    <definedName name="IQ_NON_INT_EXP_BNK_AP" hidden="1">"c8877"</definedName>
    <definedName name="IQ_NON_INT_EXP_BNK_AP_ABS" hidden="1">"c8896"</definedName>
    <definedName name="IQ_NON_INT_EXP_BNK_NAME_AP" hidden="1">"c8915"</definedName>
    <definedName name="IQ_NON_INT_EXP_BNK_NAME_AP_ABS" hidden="1">"c8934"</definedName>
    <definedName name="IQ_NON_INT_EXP_BNK_SUBTOTAL_AP" hidden="1">"c8981"</definedName>
    <definedName name="IQ_NON_INT_EXPENSE_AVG_ASSET" hidden="1">"c15708"</definedName>
    <definedName name="IQ_NON_INT_EXPENSE_FFIEC" hidden="1">"c13028"</definedName>
    <definedName name="IQ_NON_INT_INC" hidden="1">"c802"</definedName>
    <definedName name="IQ_NON_INT_INC_10YR_ANN_CAGR" hidden="1">"c6115"</definedName>
    <definedName name="IQ_NON_INT_INC_10YR_ANN_GROWTH" hidden="1">"c803"</definedName>
    <definedName name="IQ_NON_INT_INC_1YR_ANN_GROWTH" hidden="1">"c804"</definedName>
    <definedName name="IQ_NON_INT_INC_2YR_ANN_CAGR" hidden="1">"c6116"</definedName>
    <definedName name="IQ_NON_INT_INC_2YR_ANN_GROWTH" hidden="1">"c805"</definedName>
    <definedName name="IQ_NON_INT_INC_3YR_ANN_CAGR" hidden="1">"c6117"</definedName>
    <definedName name="IQ_NON_INT_INC_3YR_ANN_GROWTH" hidden="1">"c806"</definedName>
    <definedName name="IQ_NON_INT_INC_5YR_ANN_CAGR" hidden="1">"c6118"</definedName>
    <definedName name="IQ_NON_INT_INC_5YR_ANN_GROWTH" hidden="1">"c807"</definedName>
    <definedName name="IQ_NON_INT_INC_7YR_ANN_CAGR" hidden="1">"c6119"</definedName>
    <definedName name="IQ_NON_INT_INC_7YR_ANN_GROWTH" hidden="1">"c808"</definedName>
    <definedName name="IQ_NON_INT_INC_AVG_ASSETS_FFIEC" hidden="1">"c13359"</definedName>
    <definedName name="IQ_NON_INT_INC_BNK_AP" hidden="1">"c8876"</definedName>
    <definedName name="IQ_NON_INT_INC_BNK_AP_ABS" hidden="1">"c8895"</definedName>
    <definedName name="IQ_NON_INT_INC_BNK_NAME_AP" hidden="1">"c8914"</definedName>
    <definedName name="IQ_NON_INT_INC_BNK_NAME_AP_ABS" hidden="1">"c8933"</definedName>
    <definedName name="IQ_NON_INT_INC_BNK_SUBTOTAL_AP" hidden="1">"c8980"</definedName>
    <definedName name="IQ_NON_INT_INC_OPERATING_INC_FFIEC" hidden="1">"c13382"</definedName>
    <definedName name="IQ_NON_INT_INCOME_AVG_ASSET" hidden="1">"c15707"</definedName>
    <definedName name="IQ_NON_INT_INCOME_FFIEC" hidden="1">"c13017"</definedName>
    <definedName name="IQ_NON_INTEREST_EXP" hidden="1">"c1400"</definedName>
    <definedName name="IQ_NON_INTEREST_INC" hidden="1">"c1401"</definedName>
    <definedName name="IQ_NON_OPER_EXP" hidden="1">"c809"</definedName>
    <definedName name="IQ_NON_OPER_INC" hidden="1">"c810"</definedName>
    <definedName name="IQ_NON_PERF_ASSETS_10YR_ANN_CAGR" hidden="1">"c6120"</definedName>
    <definedName name="IQ_NON_PERF_ASSETS_10YR_ANN_GROWTH" hidden="1">"c811"</definedName>
    <definedName name="IQ_NON_PERF_ASSETS_1YR_ANN_GROWTH" hidden="1">"c812"</definedName>
    <definedName name="IQ_NON_PERF_ASSETS_2YR_ANN_CAGR" hidden="1">"c6121"</definedName>
    <definedName name="IQ_NON_PERF_ASSETS_2YR_ANN_GROWTH" hidden="1">"c813"</definedName>
    <definedName name="IQ_NON_PERF_ASSETS_3YR_ANN_CAGR" hidden="1">"c6122"</definedName>
    <definedName name="IQ_NON_PERF_ASSETS_3YR_ANN_GROWTH" hidden="1">"c814"</definedName>
    <definedName name="IQ_NON_PERF_ASSETS_5YR_ANN_CAGR" hidden="1">"c6123"</definedName>
    <definedName name="IQ_NON_PERF_ASSETS_5YR_ANN_GROWTH" hidden="1">"c815"</definedName>
    <definedName name="IQ_NON_PERF_ASSETS_7YR_ANN_CAGR" hidden="1">"c6124"</definedName>
    <definedName name="IQ_NON_PERF_ASSETS_7YR_ANN_GROWTH" hidden="1">"c816"</definedName>
    <definedName name="IQ_NON_PERF_ASSETS_EQUITY" hidden="1">"c15702"</definedName>
    <definedName name="IQ_NON_PERF_ASSETS_LOANS_OREO" hidden="1">"c15701"</definedName>
    <definedName name="IQ_NON_PERF_ASSETS_TOTAL_ASSETS" hidden="1">"c817"</definedName>
    <definedName name="IQ_NON_PERF_LOANS_10YR_ANN_CAGR" hidden="1">"c6125"</definedName>
    <definedName name="IQ_NON_PERF_LOANS_10YR_ANN_GROWTH" hidden="1">"c818"</definedName>
    <definedName name="IQ_NON_PERF_LOANS_1YR_ANN_GROWTH" hidden="1">"c819"</definedName>
    <definedName name="IQ_NON_PERF_LOANS_2YR_ANN_CAGR" hidden="1">"c6126"</definedName>
    <definedName name="IQ_NON_PERF_LOANS_2YR_ANN_GROWTH" hidden="1">"c820"</definedName>
    <definedName name="IQ_NON_PERF_LOANS_3YR_ANN_CAGR" hidden="1">"c6127"</definedName>
    <definedName name="IQ_NON_PERF_LOANS_3YR_ANN_GROWTH" hidden="1">"c821"</definedName>
    <definedName name="IQ_NON_PERF_LOANS_5YR_ANN_CAGR" hidden="1">"c6128"</definedName>
    <definedName name="IQ_NON_PERF_LOANS_5YR_ANN_GROWTH" hidden="1">"c822"</definedName>
    <definedName name="IQ_NON_PERF_LOANS_7YR_ANN_CAGR" hidden="1">"c6129"</definedName>
    <definedName name="IQ_NON_PERF_LOANS_7YR_ANN_GROWTH" hidden="1">"c823"</definedName>
    <definedName name="IQ_NON_PERF_LOANS_TOTAL_ASSETS" hidden="1">"c824"</definedName>
    <definedName name="IQ_NON_PERF_LOANS_TOTAL_LOANS" hidden="1">"c825"</definedName>
    <definedName name="IQ_NON_PERFORMING_ASSETS" hidden="1">"c826"</definedName>
    <definedName name="IQ_NON_PERFORMING_ASSETS_FFIEC" hidden="1">"c13859"</definedName>
    <definedName name="IQ_NON_PERFORMING_LOANS" hidden="1">"c827"</definedName>
    <definedName name="IQ_NON_PERFORMING_LOANS_FFIEC" hidden="1">"c13861"</definedName>
    <definedName name="IQ_NON_RE_DA" hidden="1">"c16179"</definedName>
    <definedName name="IQ_NON_RENTAL_NOI" hidden="1">"c16066"</definedName>
    <definedName name="IQ_NON_RENTAL_OPERATING_EXPENSE" hidden="1">"c16046"</definedName>
    <definedName name="IQ_NON_US_ADDRESS_LEASE_FIN_REC_FFIEC" hidden="1">"c13625"</definedName>
    <definedName name="IQ_NONCASH_INCOME_AMORT_CLOSED_END_LOANS_FFIEC" hidden="1">"c13078"</definedName>
    <definedName name="IQ_NONCASH_PENSION_EXP" hidden="1">"c3000"</definedName>
    <definedName name="IQ_NONCORE_ASSETS_TOT_FFIEC" hidden="1">"c13443"</definedName>
    <definedName name="IQ_NONDEF_CAPITAL_GOODS_ORDERS" hidden="1">"c6932"</definedName>
    <definedName name="IQ_NONDEF_CAPITAL_GOODS_ORDERS_APR" hidden="1">"c7592"</definedName>
    <definedName name="IQ_NONDEF_CAPITAL_GOODS_ORDERS_APR_FC" hidden="1">"c8472"</definedName>
    <definedName name="IQ_NONDEF_CAPITAL_GOODS_ORDERS_FC" hidden="1">"c7812"</definedName>
    <definedName name="IQ_NONDEF_CAPITAL_GOODS_ORDERS_POP" hidden="1">"c7152"</definedName>
    <definedName name="IQ_NONDEF_CAPITAL_GOODS_ORDERS_POP_FC" hidden="1">"c8032"</definedName>
    <definedName name="IQ_NONDEF_CAPITAL_GOODS_ORDERS_YOY" hidden="1">"c7372"</definedName>
    <definedName name="IQ_NONDEF_CAPITAL_GOODS_ORDERS_YOY_FC" hidden="1">"c8252"</definedName>
    <definedName name="IQ_NONDEF_CAPITAL_GOODS_SHIPMENTS" hidden="1">"c6933"</definedName>
    <definedName name="IQ_NONDEF_CAPITAL_GOODS_SHIPMENTS_APR" hidden="1">"c7593"</definedName>
    <definedName name="IQ_NONDEF_CAPITAL_GOODS_SHIPMENTS_APR_FC" hidden="1">"c8473"</definedName>
    <definedName name="IQ_NONDEF_CAPITAL_GOODS_SHIPMENTS_FC" hidden="1">"c7813"</definedName>
    <definedName name="IQ_NONDEF_CAPITAL_GOODS_SHIPMENTS_POP" hidden="1">"c7153"</definedName>
    <definedName name="IQ_NONDEF_CAPITAL_GOODS_SHIPMENTS_POP_FC" hidden="1">"c8033"</definedName>
    <definedName name="IQ_NONDEF_CAPITAL_GOODS_SHIPMENTS_YOY" hidden="1">"c7373"</definedName>
    <definedName name="IQ_NONDEF_CAPITAL_GOODS_SHIPMENTS_YOY_FC" hidden="1">"c8253"</definedName>
    <definedName name="IQ_NONDEF_SPENDING_SAAR" hidden="1">"c6934"</definedName>
    <definedName name="IQ_NONDEF_SPENDING_SAAR_APR" hidden="1">"c7594"</definedName>
    <definedName name="IQ_NONDEF_SPENDING_SAAR_APR_FC" hidden="1">"c8474"</definedName>
    <definedName name="IQ_NONDEF_SPENDING_SAAR_FC" hidden="1">"c7814"</definedName>
    <definedName name="IQ_NONDEF_SPENDING_SAAR_POP" hidden="1">"c7154"</definedName>
    <definedName name="IQ_NONDEF_SPENDING_SAAR_POP_FC" hidden="1">"c8034"</definedName>
    <definedName name="IQ_NONDEF_SPENDING_SAAR_YOY" hidden="1">"c7374"</definedName>
    <definedName name="IQ_NONDEF_SPENDING_SAAR_YOY_FC" hidden="1">"c8254"</definedName>
    <definedName name="IQ_NONFARM_EMP_HRS_PCT_CHANGE" hidden="1">"c6935"</definedName>
    <definedName name="IQ_NONFARM_EMP_HRS_PCT_CHANGE_FC" hidden="1">"c7815"</definedName>
    <definedName name="IQ_NONFARM_EMP_HRS_PCT_CHANGE_POP" hidden="1">"c7155"</definedName>
    <definedName name="IQ_NONFARM_EMP_HRS_PCT_CHANGE_POP_FC" hidden="1">"c8035"</definedName>
    <definedName name="IQ_NONFARM_EMP_HRS_PCT_CHANGE_YOY" hidden="1">"c7375"</definedName>
    <definedName name="IQ_NONFARM_EMP_HRS_PCT_CHANGE_YOY_FC" hidden="1">"c8255"</definedName>
    <definedName name="IQ_NONFARM_NONRES_DOM_FFIEC" hidden="1">"c15271"</definedName>
    <definedName name="IQ_NONFARM_NONRES_GROSS_LOANS_FFIEC" hidden="1">"c13405"</definedName>
    <definedName name="IQ_NONFARM_NONRES_LL_REC_DOM_FFIEC" hidden="1">"c13626"</definedName>
    <definedName name="IQ_NONFARM_NONRES_RISK_BASED_FFIEC" hidden="1">"c13426"</definedName>
    <definedName name="IQ_NONFARM_OUTPUT_PER_HR" hidden="1">"c6936"</definedName>
    <definedName name="IQ_NONFARM_OUTPUT_PER_HR_APR" hidden="1">"c7596"</definedName>
    <definedName name="IQ_NONFARM_OUTPUT_PER_HR_APR_FC" hidden="1">"c8476"</definedName>
    <definedName name="IQ_NONFARM_OUTPUT_PER_HR_FC" hidden="1">"c7816"</definedName>
    <definedName name="IQ_NONFARM_OUTPUT_PER_HR_POP" hidden="1">"c7156"</definedName>
    <definedName name="IQ_NONFARM_OUTPUT_PER_HR_POP_FC" hidden="1">"c8036"</definedName>
    <definedName name="IQ_NONFARM_OUTPUT_PER_HR_YOY" hidden="1">"c7376"</definedName>
    <definedName name="IQ_NONFARM_OUTPUT_PER_HR_YOY_FC" hidden="1">"c8256"</definedName>
    <definedName name="IQ_NONFARM_PAYROLLS" hidden="1">"c6926"</definedName>
    <definedName name="IQ_NONFARM_PAYROLLS_APR" hidden="1">"c7586"</definedName>
    <definedName name="IQ_NONFARM_PAYROLLS_APR_FC" hidden="1">"c8466"</definedName>
    <definedName name="IQ_NONFARM_PAYROLLS_FC" hidden="1">"c7806"</definedName>
    <definedName name="IQ_NONFARM_PAYROLLS_POP" hidden="1">"c7146"</definedName>
    <definedName name="IQ_NONFARM_PAYROLLS_POP_FC" hidden="1">"c8026"</definedName>
    <definedName name="IQ_NONFARM_PAYROLLS_YOY" hidden="1">"c7366"</definedName>
    <definedName name="IQ_NONFARM_PAYROLLS_YOY_FC" hidden="1">"c8246"</definedName>
    <definedName name="IQ_NONFARM_TOTAL_HR_INDEX" hidden="1">"c6937"</definedName>
    <definedName name="IQ_NONFARM_TOTAL_HR_INDEX_APR" hidden="1">"c7597"</definedName>
    <definedName name="IQ_NONFARM_TOTAL_HR_INDEX_APR_FC" hidden="1">"c8477"</definedName>
    <definedName name="IQ_NONFARM_TOTAL_HR_INDEX_FC" hidden="1">"c7817"</definedName>
    <definedName name="IQ_NONFARM_TOTAL_HR_INDEX_POP" hidden="1">"c7157"</definedName>
    <definedName name="IQ_NONFARM_TOTAL_HR_INDEX_POP_FC" hidden="1">"c8037"</definedName>
    <definedName name="IQ_NONFARM_TOTAL_HR_INDEX_YOY" hidden="1">"c7377"</definedName>
    <definedName name="IQ_NONFARM_TOTAL_HR_INDEX_YOY_FC" hidden="1">"c8257"</definedName>
    <definedName name="IQ_NONFARM_WAGES" hidden="1">"c6938"</definedName>
    <definedName name="IQ_NONFARM_WAGES_APR" hidden="1">"c7598"</definedName>
    <definedName name="IQ_NONFARM_WAGES_APR_FC" hidden="1">"c8478"</definedName>
    <definedName name="IQ_NONFARM_WAGES_FC" hidden="1">"c7818"</definedName>
    <definedName name="IQ_NONFARM_WAGES_INDEX" hidden="1">"c6939"</definedName>
    <definedName name="IQ_NONFARM_WAGES_INDEX_APR" hidden="1">"c7599"</definedName>
    <definedName name="IQ_NONFARM_WAGES_INDEX_APR_FC" hidden="1">"c8479"</definedName>
    <definedName name="IQ_NONFARM_WAGES_INDEX_FC" hidden="1">"c7819"</definedName>
    <definedName name="IQ_NONFARM_WAGES_INDEX_POP" hidden="1">"c7159"</definedName>
    <definedName name="IQ_NONFARM_WAGES_INDEX_POP_FC" hidden="1">"c8039"</definedName>
    <definedName name="IQ_NONFARM_WAGES_INDEX_YOY" hidden="1">"c7379"</definedName>
    <definedName name="IQ_NONFARM_WAGES_INDEX_YOY_FC" hidden="1">"c8259"</definedName>
    <definedName name="IQ_NONFARM_WAGES_POP" hidden="1">"c7158"</definedName>
    <definedName name="IQ_NONFARM_WAGES_POP_FC" hidden="1">"c8038"</definedName>
    <definedName name="IQ_NONFARM_WAGES_YOY" hidden="1">"c7378"</definedName>
    <definedName name="IQ_NONFARM_WAGES_YOY_FC" hidden="1">"c8258"</definedName>
    <definedName name="IQ_NONINTEREST_BEARING_CASH_FFIEC" hidden="1">"c12774"</definedName>
    <definedName name="IQ_NONINTEREST_INC_FOREIGN_FFIEC" hidden="1">"c15376"</definedName>
    <definedName name="IQ_NONQUALIFYING_PREFERRED_T1_FFIEC" hidden="1">"c13134"</definedName>
    <definedName name="IQ_NONRECOURSE_DEBT" hidden="1">"c2550"</definedName>
    <definedName name="IQ_NONRECOURSE_DEBT_PCT" hidden="1">"c2551"</definedName>
    <definedName name="IQ_NONRES_FIXED_INVEST" hidden="1">"c6931"</definedName>
    <definedName name="IQ_NONRES_FIXED_INVEST_APR" hidden="1">"c7591"</definedName>
    <definedName name="IQ_NONRES_FIXED_INVEST_POP" hidden="1">"c7151"</definedName>
    <definedName name="IQ_NONRES_FIXED_INVEST_PRIV_APR_FC_UNUSED" hidden="1">"c8468"</definedName>
    <definedName name="IQ_NONRES_FIXED_INVEST_PRIV_APR_UNUSED" hidden="1">"c7588"</definedName>
    <definedName name="IQ_NONRES_FIXED_INVEST_PRIV_FC_UNUSED" hidden="1">"c7808"</definedName>
    <definedName name="IQ_NONRES_FIXED_INVEST_PRIV_POP_FC_UNUSED" hidden="1">"c8028"</definedName>
    <definedName name="IQ_NONRES_FIXED_INVEST_PRIV_POP_UNUSED" hidden="1">"c7148"</definedName>
    <definedName name="IQ_NONRES_FIXED_INVEST_PRIV_REAL" hidden="1">"c6989"</definedName>
    <definedName name="IQ_NONRES_FIXED_INVEST_PRIV_REAL_APR" hidden="1">"c7649"</definedName>
    <definedName name="IQ_NONRES_FIXED_INVEST_PRIV_REAL_APR_FC" hidden="1">"c8529"</definedName>
    <definedName name="IQ_NONRES_FIXED_INVEST_PRIV_REAL_FC" hidden="1">"c7869"</definedName>
    <definedName name="IQ_NONRES_FIXED_INVEST_PRIV_REAL_POP" hidden="1">"c7209"</definedName>
    <definedName name="IQ_NONRES_FIXED_INVEST_PRIV_REAL_POP_FC" hidden="1">"c8089"</definedName>
    <definedName name="IQ_NONRES_FIXED_INVEST_PRIV_REAL_SAAR" hidden="1">"c6990"</definedName>
    <definedName name="IQ_NONRES_FIXED_INVEST_PRIV_REAL_SAAR_APR" hidden="1">"c7650"</definedName>
    <definedName name="IQ_NONRES_FIXED_INVEST_PRIV_REAL_SAAR_APR_FC" hidden="1">"c8530"</definedName>
    <definedName name="IQ_NONRES_FIXED_INVEST_PRIV_REAL_SAAR_FC" hidden="1">"c7870"</definedName>
    <definedName name="IQ_NONRES_FIXED_INVEST_PRIV_REAL_SAAR_POP" hidden="1">"c7210"</definedName>
    <definedName name="IQ_NONRES_FIXED_INVEST_PRIV_REAL_SAAR_POP_FC" hidden="1">"c8090"</definedName>
    <definedName name="IQ_NONRES_FIXED_INVEST_PRIV_REAL_SAAR_USD_APR_FC" hidden="1">"c11981"</definedName>
    <definedName name="IQ_NONRES_FIXED_INVEST_PRIV_REAL_SAAR_USD_FC" hidden="1">"c11978"</definedName>
    <definedName name="IQ_NONRES_FIXED_INVEST_PRIV_REAL_SAAR_USD_POP_FC" hidden="1">"c11979"</definedName>
    <definedName name="IQ_NONRES_FIXED_INVEST_PRIV_REAL_SAAR_USD_YOY_FC" hidden="1">"c11980"</definedName>
    <definedName name="IQ_NONRES_FIXED_INVEST_PRIV_REAL_SAAR_YOY" hidden="1">"c7430"</definedName>
    <definedName name="IQ_NONRES_FIXED_INVEST_PRIV_REAL_SAAR_YOY_FC" hidden="1">"c8310"</definedName>
    <definedName name="IQ_NONRES_FIXED_INVEST_PRIV_REAL_USD_APR_FC" hidden="1">"c11977"</definedName>
    <definedName name="IQ_NONRES_FIXED_INVEST_PRIV_REAL_USD_FC" hidden="1">"c11974"</definedName>
    <definedName name="IQ_NONRES_FIXED_INVEST_PRIV_REAL_USD_POP_FC" hidden="1">"c11975"</definedName>
    <definedName name="IQ_NONRES_FIXED_INVEST_PRIV_REAL_USD_YOY_FC" hidden="1">"c11976"</definedName>
    <definedName name="IQ_NONRES_FIXED_INVEST_PRIV_REAL_YOY" hidden="1">"c7429"</definedName>
    <definedName name="IQ_NONRES_FIXED_INVEST_PRIV_REAL_YOY_FC" hidden="1">"c8309"</definedName>
    <definedName name="IQ_NONRES_FIXED_INVEST_PRIV_SAAR" hidden="1">"c6929"</definedName>
    <definedName name="IQ_NONRES_FIXED_INVEST_PRIV_SAAR_APR" hidden="1">"c7589"</definedName>
    <definedName name="IQ_NONRES_FIXED_INVEST_PRIV_SAAR_APR_FC" hidden="1">"c8469"</definedName>
    <definedName name="IQ_NONRES_FIXED_INVEST_PRIV_SAAR_FC" hidden="1">"c7809"</definedName>
    <definedName name="IQ_NONRES_FIXED_INVEST_PRIV_SAAR_POP" hidden="1">"c7149"</definedName>
    <definedName name="IQ_NONRES_FIXED_INVEST_PRIV_SAAR_POP_FC" hidden="1">"c8029"</definedName>
    <definedName name="IQ_NONRES_FIXED_INVEST_PRIV_SAAR_USD_APR_FC" hidden="1">"c11877"</definedName>
    <definedName name="IQ_NONRES_FIXED_INVEST_PRIV_SAAR_USD_FC" hidden="1">"c11874"</definedName>
    <definedName name="IQ_NONRES_FIXED_INVEST_PRIV_SAAR_USD_POP_FC" hidden="1">"c11875"</definedName>
    <definedName name="IQ_NONRES_FIXED_INVEST_PRIV_SAAR_USD_YOY_FC" hidden="1">"c11876"</definedName>
    <definedName name="IQ_NONRES_FIXED_INVEST_PRIV_SAAR_YOY" hidden="1">"c7369"</definedName>
    <definedName name="IQ_NONRES_FIXED_INVEST_PRIV_SAAR_YOY_FC" hidden="1">"c8249"</definedName>
    <definedName name="IQ_NONRES_FIXED_INVEST_PRIV_UNUSED" hidden="1">"c6928"</definedName>
    <definedName name="IQ_NONRES_FIXED_INVEST_PRIV_USD_APR_FC" hidden="1">"c11873"</definedName>
    <definedName name="IQ_NONRES_FIXED_INVEST_PRIV_USD_FC" hidden="1">"c11870"</definedName>
    <definedName name="IQ_NONRES_FIXED_INVEST_PRIV_USD_POP_FC" hidden="1">"c11871"</definedName>
    <definedName name="IQ_NONRES_FIXED_INVEST_PRIV_USD_YOY_FC" hidden="1">"c11872"</definedName>
    <definedName name="IQ_NONRES_FIXED_INVEST_PRIV_YOY_FC_UNUSED" hidden="1">"c8248"</definedName>
    <definedName name="IQ_NONRES_FIXED_INVEST_PRIV_YOY_UNUSED" hidden="1">"c7368"</definedName>
    <definedName name="IQ_NONRES_FIXED_INVEST_REAL" hidden="1">"c6993"</definedName>
    <definedName name="IQ_NONRES_FIXED_INVEST_REAL_APR" hidden="1">"c7653"</definedName>
    <definedName name="IQ_NONRES_FIXED_INVEST_REAL_POP" hidden="1">"c7213"</definedName>
    <definedName name="IQ_NONRES_FIXED_INVEST_REAL_SAAR" hidden="1">"c6987"</definedName>
    <definedName name="IQ_NONRES_FIXED_INVEST_REAL_SAAR_APR" hidden="1">"c7647"</definedName>
    <definedName name="IQ_NONRES_FIXED_INVEST_REAL_SAAR_APR_FC" hidden="1">"c8527"</definedName>
    <definedName name="IQ_NONRES_FIXED_INVEST_REAL_SAAR_FC" hidden="1">"c7867"</definedName>
    <definedName name="IQ_NONRES_FIXED_INVEST_REAL_SAAR_POP" hidden="1">"c7207"</definedName>
    <definedName name="IQ_NONRES_FIXED_INVEST_REAL_SAAR_POP_FC" hidden="1">"c8087"</definedName>
    <definedName name="IQ_NONRES_FIXED_INVEST_REAL_SAAR_YOY" hidden="1">"c7427"</definedName>
    <definedName name="IQ_NONRES_FIXED_INVEST_REAL_SAAR_YOY_FC" hidden="1">"c8307"</definedName>
    <definedName name="IQ_NONRES_FIXED_INVEST_REAL_USD_APR_FC" hidden="1">"c11973"</definedName>
    <definedName name="IQ_NONRES_FIXED_INVEST_REAL_USD_FC" hidden="1">"c11970"</definedName>
    <definedName name="IQ_NONRES_FIXED_INVEST_REAL_USD_POP_FC" hidden="1">"c11971"</definedName>
    <definedName name="IQ_NONRES_FIXED_INVEST_REAL_USD_YOY_FC" hidden="1">"c11972"</definedName>
    <definedName name="IQ_NONRES_FIXED_INVEST_REAL_YOY" hidden="1">"c7433"</definedName>
    <definedName name="IQ_NONRES_FIXED_INVEST_STRUCT" hidden="1">"c6930"</definedName>
    <definedName name="IQ_NONRES_FIXED_INVEST_STRUCT_APR" hidden="1">"c7590"</definedName>
    <definedName name="IQ_NONRES_FIXED_INVEST_STRUCT_APR_FC" hidden="1">"c8470"</definedName>
    <definedName name="IQ_NONRES_FIXED_INVEST_STRUCT_FC" hidden="1">"c7810"</definedName>
    <definedName name="IQ_NONRES_FIXED_INVEST_STRUCT_POP" hidden="1">"c7150"</definedName>
    <definedName name="IQ_NONRES_FIXED_INVEST_STRUCT_POP_FC" hidden="1">"c8030"</definedName>
    <definedName name="IQ_NONRES_FIXED_INVEST_STRUCT_REAL" hidden="1">"c6992"</definedName>
    <definedName name="IQ_NONRES_FIXED_INVEST_STRUCT_REAL_APR" hidden="1">"c7652"</definedName>
    <definedName name="IQ_NONRES_FIXED_INVEST_STRUCT_REAL_APR_FC" hidden="1">"c8532"</definedName>
    <definedName name="IQ_NONRES_FIXED_INVEST_STRUCT_REAL_FC" hidden="1">"c7872"</definedName>
    <definedName name="IQ_NONRES_FIXED_INVEST_STRUCT_REAL_POP" hidden="1">"c7212"</definedName>
    <definedName name="IQ_NONRES_FIXED_INVEST_STRUCT_REAL_POP_FC" hidden="1">"c8092"</definedName>
    <definedName name="IQ_NONRES_FIXED_INVEST_STRUCT_REAL_SAAR" hidden="1">"c6991"</definedName>
    <definedName name="IQ_NONRES_FIXED_INVEST_STRUCT_REAL_SAAR_APR" hidden="1">"c7651"</definedName>
    <definedName name="IQ_NONRES_FIXED_INVEST_STRUCT_REAL_SAAR_APR_FC" hidden="1">"c8531"</definedName>
    <definedName name="IQ_NONRES_FIXED_INVEST_STRUCT_REAL_SAAR_FC" hidden="1">"c7871"</definedName>
    <definedName name="IQ_NONRES_FIXED_INVEST_STRUCT_REAL_SAAR_POP" hidden="1">"c7211"</definedName>
    <definedName name="IQ_NONRES_FIXED_INVEST_STRUCT_REAL_SAAR_POP_FC" hidden="1">"c8091"</definedName>
    <definedName name="IQ_NONRES_FIXED_INVEST_STRUCT_REAL_SAAR_YOY" hidden="1">"c7431"</definedName>
    <definedName name="IQ_NONRES_FIXED_INVEST_STRUCT_REAL_SAAR_YOY_FC" hidden="1">"c8311"</definedName>
    <definedName name="IQ_NONRES_FIXED_INVEST_STRUCT_REAL_USD_APR_FC" hidden="1">"c11985"</definedName>
    <definedName name="IQ_NONRES_FIXED_INVEST_STRUCT_REAL_USD_FC" hidden="1">"c11982"</definedName>
    <definedName name="IQ_NONRES_FIXED_INVEST_STRUCT_REAL_USD_POP_FC" hidden="1">"c11983"</definedName>
    <definedName name="IQ_NONRES_FIXED_INVEST_STRUCT_REAL_USD_YOY_FC" hidden="1">"c11984"</definedName>
    <definedName name="IQ_NONRES_FIXED_INVEST_STRUCT_REAL_YOY" hidden="1">"c7432"</definedName>
    <definedName name="IQ_NONRES_FIXED_INVEST_STRUCT_REAL_YOY_FC" hidden="1">"c8312"</definedName>
    <definedName name="IQ_NONRES_FIXED_INVEST_STRUCT_USD_APR_FC" hidden="1">"c11881"</definedName>
    <definedName name="IQ_NONRES_FIXED_INVEST_STRUCT_USD_FC" hidden="1">"c11878"</definedName>
    <definedName name="IQ_NONRES_FIXED_INVEST_STRUCT_USD_POP_FC" hidden="1">"c11879"</definedName>
    <definedName name="IQ_NONRES_FIXED_INVEST_STRUCT_USD_YOY_FC" hidden="1">"c11880"</definedName>
    <definedName name="IQ_NONRES_FIXED_INVEST_STRUCT_YOY" hidden="1">"c7370"</definedName>
    <definedName name="IQ_NONRES_FIXED_INVEST_STRUCT_YOY_FC" hidden="1">"c8250"</definedName>
    <definedName name="IQ_NONRES_FIXED_INVEST_USD_APR_FC" hidden="1">"c11869"</definedName>
    <definedName name="IQ_NONRES_FIXED_INVEST_USD_FC" hidden="1">"c11866"</definedName>
    <definedName name="IQ_NONRES_FIXED_INVEST_USD_POP_FC" hidden="1">"c11867"</definedName>
    <definedName name="IQ_NONRES_FIXED_INVEST_USD_YOY_FC" hidden="1">"c11868"</definedName>
    <definedName name="IQ_NONRES_FIXED_INVEST_YOY" hidden="1">"c7371"</definedName>
    <definedName name="IQ_NONTRADING_SECURITIES_FAIR_VALUE_TOT_FFIEC" hidden="1">"c13211"</definedName>
    <definedName name="IQ_NONTRADING_SECURITIES_LEVEL_1_FFIEC" hidden="1">"c13219"</definedName>
    <definedName name="IQ_NONTRADING_SECURITIES_LEVEL_2_FFIEC" hidden="1">"c13227"</definedName>
    <definedName name="IQ_NONTRADING_SECURITIES_LEVEL_3_FFIEC" hidden="1">"c13235"</definedName>
    <definedName name="IQ_NONUTIL_REV" hidden="1">"c2089"</definedName>
    <definedName name="IQ_NORM_EPS_ACT_OR_EST" hidden="1">"c2249"</definedName>
    <definedName name="IQ_NORM_EPS_ACT_OR_EST_CIQ" hidden="1">"c5069"</definedName>
    <definedName name="IQ_NORM_EPS_ACT_OR_EST_REUT" hidden="1">"c5472"</definedName>
    <definedName name="IQ_NORMAL_INC_AFTER" hidden="1">"c1605"</definedName>
    <definedName name="IQ_NORMAL_INC_AVAIL" hidden="1">"c1606"</definedName>
    <definedName name="IQ_NORMAL_INC_BEFORE" hidden="1">"c1607"</definedName>
    <definedName name="IQ_NOTES_PAY" hidden="1">"c1423"</definedName>
    <definedName name="IQ_NOTIONAL_AMT_DERIVATIVES_BENEFICIARY_FFIEC" hidden="1">"c13118"</definedName>
    <definedName name="IQ_NOTIONAL_AMT_DERIVATIVES_GUARANTOR_FFIEC" hidden="1">"c13111"</definedName>
    <definedName name="IQ_NOW_ACCOUNT" hidden="1">"c828"</definedName>
    <definedName name="IQ_NOW_ATS_ACCOUNTS_COMMERCIAL_BANK_SUBS_FFIEC" hidden="1">"c12946"</definedName>
    <definedName name="IQ_NOW_ATS_ACCOUNTS_OTHER_INSTITUTIONS_FFIEC" hidden="1">"c12951"</definedName>
    <definedName name="IQ_NOW_OTHER_TRANS_ACCTS_TOT_DEPOSITS_FFIEC" hidden="1">"c13903"</definedName>
    <definedName name="IQ_NPPE" hidden="1">"c829"</definedName>
    <definedName name="IQ_NPPE_10YR_ANN_CAGR" hidden="1">"c6130"</definedName>
    <definedName name="IQ_NPPE_10YR_ANN_GROWTH" hidden="1">"c830"</definedName>
    <definedName name="IQ_NPPE_1YR_ANN_GROWTH" hidden="1">"c831"</definedName>
    <definedName name="IQ_NPPE_2YR_ANN_CAGR" hidden="1">"c6131"</definedName>
    <definedName name="IQ_NPPE_2YR_ANN_GROWTH" hidden="1">"c832"</definedName>
    <definedName name="IQ_NPPE_3YR_ANN_CAGR" hidden="1">"c6132"</definedName>
    <definedName name="IQ_NPPE_3YR_ANN_GROWTH" hidden="1">"c833"</definedName>
    <definedName name="IQ_NPPE_5YR_ANN_CAGR" hidden="1">"c6133"</definedName>
    <definedName name="IQ_NPPE_5YR_ANN_GROWTH" hidden="1">"c834"</definedName>
    <definedName name="IQ_NPPE_7YR_ANN_CAGR" hidden="1">"c6134"</definedName>
    <definedName name="IQ_NPPE_7YR_ANN_GROWTH" hidden="1">"c835"</definedName>
    <definedName name="IQ_NTM" hidden="1">6000</definedName>
    <definedName name="IQ_NUKE" hidden="1">"c836"</definedName>
    <definedName name="IQ_NUKE_CF" hidden="1">"c837"</definedName>
    <definedName name="IQ_NUKE_CONTR" hidden="1">"c838"</definedName>
    <definedName name="IQ_NUM_BRANCHES" hidden="1">"c2088"</definedName>
    <definedName name="IQ_NUM_CONTRIBUTORS" hidden="1">"c13739"</definedName>
    <definedName name="IQ_NUMBER_ADRHOLDERS" hidden="1">"c1970"</definedName>
    <definedName name="IQ_NUMBER_CELL_SITES" hidden="1">"c15762"</definedName>
    <definedName name="IQ_NUMBER_DAYS" hidden="1">"c1904"</definedName>
    <definedName name="IQ_NUMBER_MINES_ALUM" hidden="1">"c9248"</definedName>
    <definedName name="IQ_NUMBER_MINES_COAL" hidden="1">"c9822"</definedName>
    <definedName name="IQ_NUMBER_MINES_COP" hidden="1">"c9193"</definedName>
    <definedName name="IQ_NUMBER_MINES_DIAM" hidden="1">"c9672"</definedName>
    <definedName name="IQ_NUMBER_MINES_GOLD" hidden="1">"c9033"</definedName>
    <definedName name="IQ_NUMBER_MINES_IRON" hidden="1">"c9407"</definedName>
    <definedName name="IQ_NUMBER_MINES_LEAD" hidden="1">"c9460"</definedName>
    <definedName name="IQ_NUMBER_MINES_MANG" hidden="1">"c9513"</definedName>
    <definedName name="IQ_NUMBER_MINES_MOLYB" hidden="1">"c9725"</definedName>
    <definedName name="IQ_NUMBER_MINES_NICK" hidden="1">"c9301"</definedName>
    <definedName name="IQ_NUMBER_MINES_PLAT" hidden="1">"c9139"</definedName>
    <definedName name="IQ_NUMBER_MINES_SILVER" hidden="1">"c9086"</definedName>
    <definedName name="IQ_NUMBER_MINES_TITAN" hidden="1">"c9566"</definedName>
    <definedName name="IQ_NUMBER_MINES_URAN" hidden="1">"c9619"</definedName>
    <definedName name="IQ_NUMBER_MINES_ZINC" hidden="1">"c9354"</definedName>
    <definedName name="IQ_NUMBER_SHAREHOLDERS" hidden="1">"c1967"</definedName>
    <definedName name="IQ_NUMBER_SHAREHOLDERS_CLASSA" hidden="1">"c1968"</definedName>
    <definedName name="IQ_NUMBER_SHAREHOLDERS_OTHER" hidden="1">"c1969"</definedName>
    <definedName name="IQ_NUMBER_WIRELESS_TOWERS" hidden="1">"c15766"</definedName>
    <definedName name="IQ_OBLIGATION_STATES_POLI_SUBD_US_LL_REC_DOM_FFIEC" hidden="1">"c15295"</definedName>
    <definedName name="IQ_OBLIGATION_STATES_POLI_SUBD_US_LL_REC_FFIEC" hidden="1">"c15294"</definedName>
    <definedName name="IQ_OCCUPANCY_CONSOL" hidden="1">"c8840"</definedName>
    <definedName name="IQ_OCCUPANCY_EXP_AVG_ASSETS_FFIEC" hidden="1">"c13372"</definedName>
    <definedName name="IQ_OCCUPANCY_EXP_OPERATING_INC_FFIEC" hidden="1">"c13380"</definedName>
    <definedName name="IQ_OCCUPANCY_MANAGED" hidden="1">"c8842"</definedName>
    <definedName name="IQ_OCCUPANCY_OTHER" hidden="1">"c8843"</definedName>
    <definedName name="IQ_OCCUPANCY_SAME_PROP" hidden="1">"c8845"</definedName>
    <definedName name="IQ_OCCUPANCY_TOTAL" hidden="1">"c8844"</definedName>
    <definedName name="IQ_OCCUPANCY_UNCONSOL" hidden="1">"c8841"</definedName>
    <definedName name="IQ_OCCUPY_EXP" hidden="1">"c839"</definedName>
    <definedName name="IQ_OFFER_AMOUNT" hidden="1">"c2152"</definedName>
    <definedName name="IQ_OFFER_COUPON" hidden="1">"c2147"</definedName>
    <definedName name="IQ_OFFER_COUPON_TYPE" hidden="1">"c2148"</definedName>
    <definedName name="IQ_OFFER_DATE" hidden="1">"c2149"</definedName>
    <definedName name="IQ_OFFER_PRICE" hidden="1">"c2150"</definedName>
    <definedName name="IQ_OFFER_YIELD" hidden="1">"c2151"</definedName>
    <definedName name="IQ_OG_10DISC" hidden="1">"c1998"</definedName>
    <definedName name="IQ_OG_10DISC_GAS" hidden="1">"c2018"</definedName>
    <definedName name="IQ_OG_10DISC_OIL" hidden="1">"c2008"</definedName>
    <definedName name="IQ_OG_ACQ_COST_PROVED" hidden="1">"c1975"</definedName>
    <definedName name="IQ_OG_ACQ_COST_PROVED_GAS" hidden="1">"c1987"</definedName>
    <definedName name="IQ_OG_ACQ_COST_PROVED_OIL" hidden="1">"c1981"</definedName>
    <definedName name="IQ_OG_ACQ_COST_UNPROVED" hidden="1">"c1976"</definedName>
    <definedName name="IQ_OG_ACQ_COST_UNPROVED_GAS" hidden="1">"c1988"</definedName>
    <definedName name="IQ_OG_ACQ_COST_UNPROVED_OIL" hidden="1">"c1982"</definedName>
    <definedName name="IQ_OG_AVG_DAILY_GAS_EQUIV_PRODUCTION_MMCFE" hidden="1">"c10061"</definedName>
    <definedName name="IQ_OG_AVG_DAILY_OIL_EQUIV_PRODUCTION_KBOE" hidden="1">"c10060"</definedName>
    <definedName name="IQ_OG_AVG_DAILY_PROD_GAS" hidden="1">"c2910"</definedName>
    <definedName name="IQ_OG_AVG_DAILY_PROD_NGL" hidden="1">"c2911"</definedName>
    <definedName name="IQ_OG_AVG_DAILY_PROD_OIL" hidden="1">"c2909"</definedName>
    <definedName name="IQ_OG_AVG_DAILY_PRODUCTION_GAS_MMCM" hidden="1">"c10059"</definedName>
    <definedName name="IQ_OG_AVG_DAILY_SALES_VOL_EQ_INC_GAS" hidden="1">"c5797"</definedName>
    <definedName name="IQ_OG_AVG_DAILY_SALES_VOL_EQ_INC_NGL" hidden="1">"c5798"</definedName>
    <definedName name="IQ_OG_AVG_DAILY_SALES_VOL_EQ_INC_OIL" hidden="1">"c5796"</definedName>
    <definedName name="IQ_OG_AVG_GAS_PRICE_CBM_HEDGED" hidden="1">"c10054"</definedName>
    <definedName name="IQ_OG_AVG_GAS_PRICE_CBM_UNHEDGED" hidden="1">"c10055"</definedName>
    <definedName name="IQ_OG_AVG_PRODUCTION_COST_BBL" hidden="1">"c10062"</definedName>
    <definedName name="IQ_OG_AVG_PRODUCTION_COST_BOE" hidden="1">"c10064"</definedName>
    <definedName name="IQ_OG_AVG_PRODUCTION_COST_MCF" hidden="1">"c10063"</definedName>
    <definedName name="IQ_OG_AVG_PRODUCTION_COST_MCFE" hidden="1">"c10065"</definedName>
    <definedName name="IQ_OG_CLOSE_BALANCE_GAS" hidden="1">"c2049"</definedName>
    <definedName name="IQ_OG_CLOSE_BALANCE_NGL" hidden="1">"c2920"</definedName>
    <definedName name="IQ_OG_CLOSE_BALANCE_OIL" hidden="1">"c2037"</definedName>
    <definedName name="IQ_OG_DAILY_PRDUCTION_GROWTH_GAS" hidden="1">"c12732"</definedName>
    <definedName name="IQ_OG_DAILY_PRDUCTION_GROWTH_GAS_EQUIVALENT" hidden="1">"c12733"</definedName>
    <definedName name="IQ_OG_DAILY_PRDUCTION_GROWTH_NGL" hidden="1">"c12734"</definedName>
    <definedName name="IQ_OG_DAILY_PRDUCTION_GROWTH_OIL" hidden="1">"c12735"</definedName>
    <definedName name="IQ_OG_DAILY_PRDUCTION_GROWTH_OIL_EQUIVALENT" hidden="1">"c12736"</definedName>
    <definedName name="IQ_OG_DAILY_PRODUCTION_GROWTH_GAS" hidden="1">"c10073"</definedName>
    <definedName name="IQ_OG_DAILY_PRODUCTION_GROWTH_GAS_EQUIVALENT" hidden="1">"c10076"</definedName>
    <definedName name="IQ_OG_DAILY_PRODUCTION_GROWTH_NGL" hidden="1">"c10074"</definedName>
    <definedName name="IQ_OG_DAILY_PRODUCTION_GROWTH_OIL" hidden="1">"c10072"</definedName>
    <definedName name="IQ_OG_DAILY_PRODUCTION_GROWTH_OIL_EQUIVALENT" hidden="1">"c10075"</definedName>
    <definedName name="IQ_OG_DCF_BEFORE_TAXES" hidden="1">"c2023"</definedName>
    <definedName name="IQ_OG_DCF_BEFORE_TAXES_GAS" hidden="1">"c2025"</definedName>
    <definedName name="IQ_OG_DCF_BEFORE_TAXES_OIL" hidden="1">"c2024"</definedName>
    <definedName name="IQ_OG_DEVELOPED_ACRE_GROSS_EQ_INC" hidden="1">"c5802"</definedName>
    <definedName name="IQ_OG_DEVELOPED_ACRE_NET_EQ_INC" hidden="1">"c5803"</definedName>
    <definedName name="IQ_OG_DEVELOPED_RESERVES_GAS" hidden="1">"c2053"</definedName>
    <definedName name="IQ_OG_DEVELOPED_RESERVES_GAS_BCM" hidden="1">"c10045"</definedName>
    <definedName name="IQ_OG_DEVELOPED_RESERVES_NGL" hidden="1">"c2922"</definedName>
    <definedName name="IQ_OG_DEVELOPED_RESERVES_OIL" hidden="1">"c2054"</definedName>
    <definedName name="IQ_OG_DEVELOPMENT_COSTS" hidden="1">"c1978"</definedName>
    <definedName name="IQ_OG_DEVELOPMENT_COSTS_GAS" hidden="1">"c1990"</definedName>
    <definedName name="IQ_OG_DEVELOPMENT_COSTS_OIL" hidden="1">"c1984"</definedName>
    <definedName name="IQ_OG_EQUITY_AFFILIATES_RESERVES_GAS_BCM" hidden="1">"c10047"</definedName>
    <definedName name="IQ_OG_EQUITY_DCF" hidden="1">"c2002"</definedName>
    <definedName name="IQ_OG_EQUITY_DCF_GAS" hidden="1">"c2022"</definedName>
    <definedName name="IQ_OG_EQUITY_DCF_OIL" hidden="1">"c2012"</definedName>
    <definedName name="IQ_OG_EQUTY_RESERVES_GAS" hidden="1">"c2050"</definedName>
    <definedName name="IQ_OG_EQUTY_RESERVES_NGL" hidden="1">"c2921"</definedName>
    <definedName name="IQ_OG_EQUTY_RESERVES_OIL" hidden="1">"c2038"</definedName>
    <definedName name="IQ_OG_EXPLORATION_COSTS" hidden="1">"c1977"</definedName>
    <definedName name="IQ_OG_EXPLORATION_COSTS_GAS" hidden="1">"c1989"</definedName>
    <definedName name="IQ_OG_EXPLORATION_COSTS_OIL" hidden="1">"c1983"</definedName>
    <definedName name="IQ_OG_EXPLORATION_DEVELOPMENT_COST" hidden="1">"c10081"</definedName>
    <definedName name="IQ_OG_EXT_DISC_GAS" hidden="1">"c2043"</definedName>
    <definedName name="IQ_OG_EXT_DISC_NGL" hidden="1">"c2914"</definedName>
    <definedName name="IQ_OG_EXT_DISC_OIL" hidden="1">"c2031"</definedName>
    <definedName name="IQ_OG_FUTURE_CASH_INFLOWS" hidden="1">"c1993"</definedName>
    <definedName name="IQ_OG_FUTURE_CASH_INFLOWS_GAS" hidden="1">"c2013"</definedName>
    <definedName name="IQ_OG_FUTURE_CASH_INFLOWS_OIL" hidden="1">"c2003"</definedName>
    <definedName name="IQ_OG_FUTURE_DEVELOPMENT_COSTS" hidden="1">"c1995"</definedName>
    <definedName name="IQ_OG_FUTURE_DEVELOPMENT_COSTS_GAS" hidden="1">"c2015"</definedName>
    <definedName name="IQ_OG_FUTURE_DEVELOPMENT_COSTS_OIL" hidden="1">"c2005"</definedName>
    <definedName name="IQ_OG_FUTURE_INC_TAXES" hidden="1">"c1997"</definedName>
    <definedName name="IQ_OG_FUTURE_INC_TAXES_GAS" hidden="1">"c2017"</definedName>
    <definedName name="IQ_OG_FUTURE_INC_TAXES_OIL" hidden="1">"c2007"</definedName>
    <definedName name="IQ_OG_FUTURE_PRODUCTION_COSTS" hidden="1">"c1994"</definedName>
    <definedName name="IQ_OG_FUTURE_PRODUCTION_COSTS_GAS" hidden="1">"c2014"</definedName>
    <definedName name="IQ_OG_FUTURE_PRODUCTION_COSTS_OIL" hidden="1">"c2004"</definedName>
    <definedName name="IQ_OG_GAS_PRICE_HEDGED" hidden="1">"c2056"</definedName>
    <definedName name="IQ_OG_GAS_PRICE_UNHEDGED" hidden="1">"c2058"</definedName>
    <definedName name="IQ_OG_GROSS_DEVELOPED_AREA_SQ_KM" hidden="1">"c10079"</definedName>
    <definedName name="IQ_OG_GROSS_DEVELOPMENT_DRY_WELLS_DRILLED" hidden="1">"c10098"</definedName>
    <definedName name="IQ_OG_GROSS_DEVELOPMENT_PRODUCTIVE_WELLS_DRILLED" hidden="1">"c10097"</definedName>
    <definedName name="IQ_OG_GROSS_DEVELOPMENT_PRODUCTIVE_WELLS_DRILLED_GAS" hidden="1">"c15907"</definedName>
    <definedName name="IQ_OG_GROSS_DEVELOPMENT_PRODUCTIVE_WELLS_DRILLED_OIL" hidden="1">"c15906"</definedName>
    <definedName name="IQ_OG_GROSS_DEVELOPMENT_TOTAL_WELLS_DRILLED" hidden="1">"c10099"</definedName>
    <definedName name="IQ_OG_GROSS_EXPLORATORY_DRY_WELLS_DRILLED" hidden="1">"c10095"</definedName>
    <definedName name="IQ_OG_GROSS_EXPLORATORY_PRODUCTIVE_WELLS_DRILLED" hidden="1">"c10094"</definedName>
    <definedName name="IQ_OG_GROSS_EXPLORATORY_PRODUCTIVE_WELLS_DRILLED_GAS" hidden="1">"c15905"</definedName>
    <definedName name="IQ_OG_GROSS_EXPLORATORY_PRODUCTIVE_WELLS_DRILLED_OIL" hidden="1">"c15904"</definedName>
    <definedName name="IQ_OG_GROSS_EXPLORATORY_TOTAL_WELLS_DRILLED" hidden="1">"c10096"</definedName>
    <definedName name="IQ_OG_GROSS_OPERATED_WELLS" hidden="1">"c10092"</definedName>
    <definedName name="IQ_OG_GROSS_PRODUCING_WELLS_GAS" hidden="1">"c15897"</definedName>
    <definedName name="IQ_OG_GROSS_PRODUCING_WELLS_OIL" hidden="1">"c15896"</definedName>
    <definedName name="IQ_OG_GROSS_PRODUCTIVE_WELLS_DRILLED_GAS" hidden="1">"c15901"</definedName>
    <definedName name="IQ_OG_GROSS_PRODUCTIVE_WELLS_DRILLED_OIL" hidden="1">"c15900"</definedName>
    <definedName name="IQ_OG_GROSS_PRODUCTIVE_WELLS_GAS" hidden="1">"c10087"</definedName>
    <definedName name="IQ_OG_GROSS_PRODUCTIVE_WELLS_OIL" hidden="1">"c10086"</definedName>
    <definedName name="IQ_OG_GROSS_PRODUCTIVE_WELLS_TOTAL" hidden="1">"c10088"</definedName>
    <definedName name="IQ_OG_GROSS_TOTAL_WELLS_DRILLED" hidden="1">"c10100"</definedName>
    <definedName name="IQ_OG_GROSS_UNDEVELOPED_AREA_SQ_KM" hidden="1">"c10077"</definedName>
    <definedName name="IQ_OG_GROSS_WELLS_DRILLING" hidden="1">"c10108"</definedName>
    <definedName name="IQ_OG_IMPROVED_RECOVERY_GAS" hidden="1">"c2044"</definedName>
    <definedName name="IQ_OG_IMPROVED_RECOVERY_NGL" hidden="1">"c2915"</definedName>
    <definedName name="IQ_OG_IMPROVED_RECOVERY_OIL" hidden="1">"c2032"</definedName>
    <definedName name="IQ_OG_LIQUID_GAS_PRICE_HEDGED" hidden="1">"c2233"</definedName>
    <definedName name="IQ_OG_LIQUID_GAS_PRICE_UNHEDGED" hidden="1">"c2234"</definedName>
    <definedName name="IQ_OG_NET_DEVELOPED_AREA_SQ_KM" hidden="1">"c10080"</definedName>
    <definedName name="IQ_OG_NET_DEVELOPMENT_DRY_WELLS_DRILLED" hidden="1">"c10105"</definedName>
    <definedName name="IQ_OG_NET_DEVELOPMENT_PRODUCTIVE_WELLS_DRILLED" hidden="1">"c10104"</definedName>
    <definedName name="IQ_OG_NET_DEVELOPMENT_PRODUCTIVE_WELLS_DRILLED_GAS" hidden="1">"c15911"</definedName>
    <definedName name="IQ_OG_NET_DEVELOPMENT_PRODUCTIVE_WELLS_DRILLED_OIL" hidden="1">"c15910"</definedName>
    <definedName name="IQ_OG_NET_DEVELOPMENT_TOTAL_WELLS_DRILLED" hidden="1">"c10106"</definedName>
    <definedName name="IQ_OG_NET_EXPLORATORY_DRY_WELLS_DRILLED" hidden="1">"c10102"</definedName>
    <definedName name="IQ_OG_NET_EXPLORATORY_PRODUCTIVE_WELLS_DRILLED" hidden="1">"c10101"</definedName>
    <definedName name="IQ_OG_NET_EXPLORATORY_PRODUCTIVE_WELLS_DRILLED_GAS" hidden="1">"c15909"</definedName>
    <definedName name="IQ_OG_NET_EXPLORATORY_PRODUCTIVE_WELLS_DRILLED_OIL" hidden="1">"c15908"</definedName>
    <definedName name="IQ_OG_NET_EXPLORATORY_TOTAL_WELLS_DRILLED" hidden="1">"c10103"</definedName>
    <definedName name="IQ_OG_NET_FUTURE_CASH_FLOWS" hidden="1">"c1996"</definedName>
    <definedName name="IQ_OG_NET_FUTURE_CASH_FLOWS_GAS" hidden="1">"c2016"</definedName>
    <definedName name="IQ_OG_NET_FUTURE_CASH_FLOWS_OIL" hidden="1">"c2006"</definedName>
    <definedName name="IQ_OG_NET_OPERATED_WELLS" hidden="1">"c10093"</definedName>
    <definedName name="IQ_OG_NET_PRODUCING_WELLS_GAS" hidden="1">"c15899"</definedName>
    <definedName name="IQ_OG_NET_PRODUCING_WELLS_OIL" hidden="1">"c15898"</definedName>
    <definedName name="IQ_OG_NET_PRODUCTIVE_WELLS_DRILLED_GAS" hidden="1">"c15903"</definedName>
    <definedName name="IQ_OG_NET_PRODUCTIVE_WELLS_DRILLED_OIL" hidden="1">"c15902"</definedName>
    <definedName name="IQ_OG_NET_PRODUCTIVE_WELLS_GAS" hidden="1">"c10090"</definedName>
    <definedName name="IQ_OG_NET_PRODUCTIVE_WELLS_OIL" hidden="1">"c10089"</definedName>
    <definedName name="IQ_OG_NET_PRODUCTIVE_WELLS_TOTAL" hidden="1">"c10091"</definedName>
    <definedName name="IQ_OG_NET_TOTAL_WELLS_DRILLED" hidden="1">"c10107"</definedName>
    <definedName name="IQ_OG_NET_UNDEVELOPED_AREA_SQ_KM" hidden="1">"c10078"</definedName>
    <definedName name="IQ_OG_NET_WELLS_DRILLING" hidden="1">"c10109"</definedName>
    <definedName name="IQ_OG_NUMBER_WELLS_NEW" hidden="1">"c10085"</definedName>
    <definedName name="IQ_OG_OIL_PRICE_HEDGED" hidden="1">"c2055"</definedName>
    <definedName name="IQ_OG_OIL_PRICE_UNHEDGED" hidden="1">"c2057"</definedName>
    <definedName name="IQ_OG_OPEN_BALANCE_GAS" hidden="1">"c2041"</definedName>
    <definedName name="IQ_OG_OPEN_BALANCE_NGL" hidden="1">"c2912"</definedName>
    <definedName name="IQ_OG_OPEN_BALANCE_OIL" hidden="1">"c2029"</definedName>
    <definedName name="IQ_OG_OTHER_ADJ_FCF" hidden="1">"c1999"</definedName>
    <definedName name="IQ_OG_OTHER_ADJ_FCF_GAS" hidden="1">"c2019"</definedName>
    <definedName name="IQ_OG_OTHER_ADJ_FCF_OIL" hidden="1">"c2009"</definedName>
    <definedName name="IQ_OG_OTHER_ADJ_GAS" hidden="1">"c2048"</definedName>
    <definedName name="IQ_OG_OTHER_ADJ_NGL" hidden="1">"c2919"</definedName>
    <definedName name="IQ_OG_OTHER_ADJ_OIL" hidden="1">"c2036"</definedName>
    <definedName name="IQ_OG_OTHER_COSTS" hidden="1">"c1979"</definedName>
    <definedName name="IQ_OG_OTHER_COSTS_GAS" hidden="1">"c1991"</definedName>
    <definedName name="IQ_OG_OTHER_COSTS_OIL" hidden="1">"c1985"</definedName>
    <definedName name="IQ_OG_PRDUCTION_GROWTH_GAS" hidden="1">"c12737"</definedName>
    <definedName name="IQ_OG_PRDUCTION_GROWTH_GAS_EQUIVALENT" hidden="1">"c12738"</definedName>
    <definedName name="IQ_OG_PRDUCTION_GROWTH_NGL" hidden="1">"c12739"</definedName>
    <definedName name="IQ_OG_PRDUCTION_GROWTH_OIL" hidden="1">"c12740"</definedName>
    <definedName name="IQ_OG_PRDUCTION_GROWTH_OIL_EQUIVALENT" hidden="1">"c12741"</definedName>
    <definedName name="IQ_OG_PRDUCTION_GROWTH_TOAL" hidden="1">"c12742"</definedName>
    <definedName name="IQ_OG_PRODUCTION_GAS" hidden="1">"c2047"</definedName>
    <definedName name="IQ_OG_PRODUCTION_GROWTH_GAS" hidden="1">"c10067"</definedName>
    <definedName name="IQ_OG_PRODUCTION_GROWTH_GAS_EQUIVALENT" hidden="1">"c10070"</definedName>
    <definedName name="IQ_OG_PRODUCTION_GROWTH_NGL" hidden="1">"c10068"</definedName>
    <definedName name="IQ_OG_PRODUCTION_GROWTH_OIL" hidden="1">"c10066"</definedName>
    <definedName name="IQ_OG_PRODUCTION_GROWTH_OIL_EQUIVALENT" hidden="1">"c10069"</definedName>
    <definedName name="IQ_OG_PRODUCTION_GROWTH_TOTAL" hidden="1">"c10071"</definedName>
    <definedName name="IQ_OG_PRODUCTION_NGL" hidden="1">"c2918"</definedName>
    <definedName name="IQ_OG_PRODUCTION_OIL" hidden="1">"c2035"</definedName>
    <definedName name="IQ_OG_PURCHASES_GAS" hidden="1">"c2045"</definedName>
    <definedName name="IQ_OG_PURCHASES_NGL" hidden="1">"c2916"</definedName>
    <definedName name="IQ_OG_PURCHASES_OIL" hidden="1">"c2033"</definedName>
    <definedName name="IQ_OG_RESERVE_REPLACEMENT_RATIO" hidden="1">"c5799"</definedName>
    <definedName name="IQ_OG_REVISIONS_GAS" hidden="1">"c2042"</definedName>
    <definedName name="IQ_OG_REVISIONS_NGL" hidden="1">"c2913"</definedName>
    <definedName name="IQ_OG_REVISIONS_OIL" hidden="1">"c2030"</definedName>
    <definedName name="IQ_OG_RIGS_NON_OPERATED" hidden="1">"c10083"</definedName>
    <definedName name="IQ_OG_RIGS_OPERATED" hidden="1">"c10082"</definedName>
    <definedName name="IQ_OG_RIGS_TOTAL" hidden="1">"c10084"</definedName>
    <definedName name="IQ_OG_SALES_IN_PLACE_GAS" hidden="1">"c2046"</definedName>
    <definedName name="IQ_OG_SALES_IN_PLACE_NGL" hidden="1">"c2917"</definedName>
    <definedName name="IQ_OG_SALES_IN_PLACE_OIL" hidden="1">"c2034"</definedName>
    <definedName name="IQ_OG_SALES_VOL_EQ_INC_GAS" hidden="1">"c5794"</definedName>
    <definedName name="IQ_OG_SALES_VOL_EQ_INC_NGL" hidden="1">"c5795"</definedName>
    <definedName name="IQ_OG_SALES_VOL_EQ_INC_OIL" hidden="1">"c5793"</definedName>
    <definedName name="IQ_OG_STANDARDIZED_DCF" hidden="1">"c2000"</definedName>
    <definedName name="IQ_OG_STANDARDIZED_DCF_GAS" hidden="1">"c2020"</definedName>
    <definedName name="IQ_OG_STANDARDIZED_DCF_HEDGED" hidden="1">"c2001"</definedName>
    <definedName name="IQ_OG_STANDARDIZED_DCF_HEDGED_GAS" hidden="1">"c2021"</definedName>
    <definedName name="IQ_OG_STANDARDIZED_DCF_HEDGED_OIL" hidden="1">"c2011"</definedName>
    <definedName name="IQ_OG_STANDARDIZED_DCF_OIL" hidden="1">"c2010"</definedName>
    <definedName name="IQ_OG_TAXES" hidden="1">"c2026"</definedName>
    <definedName name="IQ_OG_TAXES_GAS" hidden="1">"c2028"</definedName>
    <definedName name="IQ_OG_TAXES_OIL" hidden="1">"c2027"</definedName>
    <definedName name="IQ_OG_TOTAL_COSTS" hidden="1">"c1980"</definedName>
    <definedName name="IQ_OG_TOTAL_COSTS_GAS" hidden="1">"c1992"</definedName>
    <definedName name="IQ_OG_TOTAL_COSTS_OIL" hidden="1">"c1986"</definedName>
    <definedName name="IQ_OG_TOTAL_EST_PROVED_RESERVES_GAS" hidden="1">"c2052"</definedName>
    <definedName name="IQ_OG_TOTAL_GAS_EQUIV_PRODUCTION_BCFE" hidden="1">"c10058"</definedName>
    <definedName name="IQ_OG_TOTAL_GAS_PRODUCTION" hidden="1">"c2060"</definedName>
    <definedName name="IQ_OG_TOTAL_LIQUID_GAS_PRODUCTION" hidden="1">"c2235"</definedName>
    <definedName name="IQ_OG_TOTAL_OIL_EQUIV_PRODUCTION_MMBOE" hidden="1">"c10057"</definedName>
    <definedName name="IQ_OG_TOTAL_OIL_PRODUCTION" hidden="1">"c2059"</definedName>
    <definedName name="IQ_OG_TOTAL_OIL_PRODUCTON" hidden="1">"c2059"</definedName>
    <definedName name="IQ_OG_TOTAL_POSSIBLE_RESERVES_GAS_BCF" hidden="1">"c10050"</definedName>
    <definedName name="IQ_OG_TOTAL_POSSIBLE_RESERVES_GAS_BCM" hidden="1">"c10051"</definedName>
    <definedName name="IQ_OG_TOTAL_POSSIBLE_RESERVES_OIL_MMBBLS" hidden="1">"c10053"</definedName>
    <definedName name="IQ_OG_TOTAL_PROBABLE_RESERVES_GAS_BCF" hidden="1">"c10048"</definedName>
    <definedName name="IQ_OG_TOTAL_PROBABLE_RESERVES_GAS_BCM" hidden="1">"c10049"</definedName>
    <definedName name="IQ_OG_TOTAL_PROBABLE_RESERVES_OIL_MMBBLS" hidden="1">"c10052"</definedName>
    <definedName name="IQ_OG_TOTAL_PRODUCTION_GAS_BCM" hidden="1">"c10056"</definedName>
    <definedName name="IQ_OG_TOTAL_PROVED_RESERVES_GAS_BCM" hidden="1">"c10046"</definedName>
    <definedName name="IQ_OG_UNDEVELOPED_ACRE_GROSS_EQ_INC" hidden="1">"c5800"</definedName>
    <definedName name="IQ_OG_UNDEVELOPED_ACRE_NET_EQ_INC" hidden="1">"c5801"</definedName>
    <definedName name="IQ_OG_UNDEVELOPED_RESERVES_GAS" hidden="1">"c2051"</definedName>
    <definedName name="IQ_OG_UNDEVELOPED_RESERVES_GAS_BCM" hidden="1">"c10044"</definedName>
    <definedName name="IQ_OG_UNDEVELOPED_RESERVES_NGL" hidden="1">"c2923"</definedName>
    <definedName name="IQ_OG_UNDEVELOPED_RESERVES_OIL" hidden="1">"c2039"</definedName>
    <definedName name="IQ_OIL_IMPAIR" hidden="1">"c840"</definedName>
    <definedName name="IQ_OL_COMM_AFTER_FIVE" hidden="1">"c841"</definedName>
    <definedName name="IQ_OL_COMM_CY" hidden="1">"c842"</definedName>
    <definedName name="IQ_OL_COMM_CY1" hidden="1">"c843"</definedName>
    <definedName name="IQ_OL_COMM_CY2" hidden="1">"c844"</definedName>
    <definedName name="IQ_OL_COMM_CY3" hidden="1">"c845"</definedName>
    <definedName name="IQ_OL_COMM_CY4" hidden="1">"c846"</definedName>
    <definedName name="IQ_OL_COMM_NEXT_FIVE" hidden="1">"c847"</definedName>
    <definedName name="IQ_OPEB_ACCRUED_LIAB" hidden="1">"c3308"</definedName>
    <definedName name="IQ_OPEB_ACCRUED_LIAB_DOM" hidden="1">"c3306"</definedName>
    <definedName name="IQ_OPEB_ACCRUED_LIAB_FOREIGN" hidden="1">"c3307"</definedName>
    <definedName name="IQ_OPEB_ACCUM_OTHER_CI" hidden="1">"c3314"</definedName>
    <definedName name="IQ_OPEB_ACCUM_OTHER_CI_DOM" hidden="1">"c3312"</definedName>
    <definedName name="IQ_OPEB_ACCUM_OTHER_CI_FOREIGN" hidden="1">"c3313"</definedName>
    <definedName name="IQ_OPEB_ACT_NEXT" hidden="1">"c5774"</definedName>
    <definedName name="IQ_OPEB_ACT_NEXT_DOM" hidden="1">"c5772"</definedName>
    <definedName name="IQ_OPEB_ACT_NEXT_FOREIGN" hidden="1">"c5773"</definedName>
    <definedName name="IQ_OPEB_AMT_RECOG_NEXT" hidden="1">"c5783"</definedName>
    <definedName name="IQ_OPEB_AMT_RECOG_NEXT_DOM" hidden="1">"c5781"</definedName>
    <definedName name="IQ_OPEB_AMT_RECOG_NEXT_FOREIGN" hidden="1">"c5782"</definedName>
    <definedName name="IQ_OPEB_ASSETS" hidden="1">"c3356"</definedName>
    <definedName name="IQ_OPEB_ASSETS_ACQ" hidden="1">"c3347"</definedName>
    <definedName name="IQ_OPEB_ASSETS_ACQ_DOM" hidden="1">"c3345"</definedName>
    <definedName name="IQ_OPEB_ASSETS_ACQ_FOREIGN" hidden="1">"c3346"</definedName>
    <definedName name="IQ_OPEB_ASSETS_ACTUAL_RETURN" hidden="1">"c3332"</definedName>
    <definedName name="IQ_OPEB_ASSETS_ACTUAL_RETURN_DOM" hidden="1">"c3330"</definedName>
    <definedName name="IQ_OPEB_ASSETS_ACTUAL_RETURN_FOREIGN" hidden="1">"c3331"</definedName>
    <definedName name="IQ_OPEB_ASSETS_BEG" hidden="1">"c3329"</definedName>
    <definedName name="IQ_OPEB_ASSETS_BEG_DOM" hidden="1">"c3327"</definedName>
    <definedName name="IQ_OPEB_ASSETS_BEG_FOREIGN" hidden="1">"c3328"</definedName>
    <definedName name="IQ_OPEB_ASSETS_BENEFITS_PAID" hidden="1">"c3341"</definedName>
    <definedName name="IQ_OPEB_ASSETS_BENEFITS_PAID_DOM" hidden="1">"c3339"</definedName>
    <definedName name="IQ_OPEB_ASSETS_BENEFITS_PAID_FOREIGN" hidden="1">"c3340"</definedName>
    <definedName name="IQ_OPEB_ASSETS_CURTAIL" hidden="1">"c3350"</definedName>
    <definedName name="IQ_OPEB_ASSETS_CURTAIL_DOM" hidden="1">"c3348"</definedName>
    <definedName name="IQ_OPEB_ASSETS_CURTAIL_FOREIGN" hidden="1">"c3349"</definedName>
    <definedName name="IQ_OPEB_ASSETS_DOM" hidden="1">"c3354"</definedName>
    <definedName name="IQ_OPEB_ASSETS_EMPLOYER_CONTRIBUTIONS" hidden="1">"c3335"</definedName>
    <definedName name="IQ_OPEB_ASSETS_EMPLOYER_CONTRIBUTIONS_DOM" hidden="1">"c3333"</definedName>
    <definedName name="IQ_OPEB_ASSETS_EMPLOYER_CONTRIBUTIONS_FOREIGN" hidden="1">"c3334"</definedName>
    <definedName name="IQ_OPEB_ASSETS_FOREIGN" hidden="1">"c3355"</definedName>
    <definedName name="IQ_OPEB_ASSETS_FX_ADJ" hidden="1">"c3344"</definedName>
    <definedName name="IQ_OPEB_ASSETS_FX_ADJ_DOM" hidden="1">"c3342"</definedName>
    <definedName name="IQ_OPEB_ASSETS_FX_ADJ_FOREIGN" hidden="1">"c3343"</definedName>
    <definedName name="IQ_OPEB_ASSETS_OTHER_PLAN_ADJ" hidden="1">"c3353"</definedName>
    <definedName name="IQ_OPEB_ASSETS_OTHER_PLAN_ADJ_DOM" hidden="1">"c3351"</definedName>
    <definedName name="IQ_OPEB_ASSETS_OTHER_PLAN_ADJ_FOREIGN" hidden="1">"c3352"</definedName>
    <definedName name="IQ_OPEB_ASSETS_PARTICIP_CONTRIBUTIONS" hidden="1">"c3338"</definedName>
    <definedName name="IQ_OPEB_ASSETS_PARTICIP_CONTRIBUTIONS_DOM" hidden="1">"c3336"</definedName>
    <definedName name="IQ_OPEB_ASSETS_PARTICIP_CONTRIBUTIONS_FOREIGN" hidden="1">"c3337"</definedName>
    <definedName name="IQ_OPEB_BENEFIT_INFO_DATE" hidden="1">"c3410"</definedName>
    <definedName name="IQ_OPEB_BENEFIT_INFO_DATE_DOM" hidden="1">"c3408"</definedName>
    <definedName name="IQ_OPEB_BENEFIT_INFO_DATE_FOREIGN" hidden="1">"c3409"</definedName>
    <definedName name="IQ_OPEB_BREAKDOWN_EQ" hidden="1">"c3275"</definedName>
    <definedName name="IQ_OPEB_BREAKDOWN_EQ_DOM" hidden="1">"c3273"</definedName>
    <definedName name="IQ_OPEB_BREAKDOWN_EQ_FOREIGN" hidden="1">"c3274"</definedName>
    <definedName name="IQ_OPEB_BREAKDOWN_FI" hidden="1">"c3278"</definedName>
    <definedName name="IQ_OPEB_BREAKDOWN_FI_DOM" hidden="1">"c3276"</definedName>
    <definedName name="IQ_OPEB_BREAKDOWN_FI_FOREIGN" hidden="1">"c3277"</definedName>
    <definedName name="IQ_OPEB_BREAKDOWN_OTHER" hidden="1">"c3284"</definedName>
    <definedName name="IQ_OPEB_BREAKDOWN_OTHER_DOM" hidden="1">"c3282"</definedName>
    <definedName name="IQ_OPEB_BREAKDOWN_OTHER_FOREIGN" hidden="1">"c3283"</definedName>
    <definedName name="IQ_OPEB_BREAKDOWN_PCT_EQ" hidden="1">"c3263"</definedName>
    <definedName name="IQ_OPEB_BREAKDOWN_PCT_EQ_DOM" hidden="1">"c3261"</definedName>
    <definedName name="IQ_OPEB_BREAKDOWN_PCT_EQ_FOREIGN" hidden="1">"c3262"</definedName>
    <definedName name="IQ_OPEB_BREAKDOWN_PCT_FI" hidden="1">"c3266"</definedName>
    <definedName name="IQ_OPEB_BREAKDOWN_PCT_FI_DOM" hidden="1">"c3264"</definedName>
    <definedName name="IQ_OPEB_BREAKDOWN_PCT_FI_FOREIGN" hidden="1">"c3265"</definedName>
    <definedName name="IQ_OPEB_BREAKDOWN_PCT_OTHER" hidden="1">"c3272"</definedName>
    <definedName name="IQ_OPEB_BREAKDOWN_PCT_OTHER_DOM" hidden="1">"c3270"</definedName>
    <definedName name="IQ_OPEB_BREAKDOWN_PCT_OTHER_FOREIGN" hidden="1">"c3271"</definedName>
    <definedName name="IQ_OPEB_BREAKDOWN_PCT_RE" hidden="1">"c3269"</definedName>
    <definedName name="IQ_OPEB_BREAKDOWN_PCT_RE_DOM" hidden="1">"c3267"</definedName>
    <definedName name="IQ_OPEB_BREAKDOWN_PCT_RE_FOREIGN" hidden="1">"c3268"</definedName>
    <definedName name="IQ_OPEB_BREAKDOWN_RE" hidden="1">"c3281"</definedName>
    <definedName name="IQ_OPEB_BREAKDOWN_RE_DOM" hidden="1">"c3279"</definedName>
    <definedName name="IQ_OPEB_BREAKDOWN_RE_FOREIGN" hidden="1">"c3280"</definedName>
    <definedName name="IQ_OPEB_CI_ACT" hidden="1">"c5759"</definedName>
    <definedName name="IQ_OPEB_CI_ACT_DOM" hidden="1">"c5757"</definedName>
    <definedName name="IQ_OPEB_CI_ACT_FOREIGN" hidden="1">"c5758"</definedName>
    <definedName name="IQ_OPEB_CI_NET_AMT_RECOG" hidden="1">"c5771"</definedName>
    <definedName name="IQ_OPEB_CI_NET_AMT_RECOG_DOM" hidden="1">"c5769"</definedName>
    <definedName name="IQ_OPEB_CI_NET_AMT_RECOG_FOREIGN" hidden="1">"c5770"</definedName>
    <definedName name="IQ_OPEB_CI_OTHER_MISC_ADJ" hidden="1">"c5768"</definedName>
    <definedName name="IQ_OPEB_CI_OTHER_MISC_ADJ_DOM" hidden="1">"c5766"</definedName>
    <definedName name="IQ_OPEB_CI_OTHER_MISC_ADJ_FOREIGN" hidden="1">"c5767"</definedName>
    <definedName name="IQ_OPEB_CI_PRIOR_SERVICE" hidden="1">"c5762"</definedName>
    <definedName name="IQ_OPEB_CI_PRIOR_SERVICE_DOM" hidden="1">"c5760"</definedName>
    <definedName name="IQ_OPEB_CI_PRIOR_SERVICE_FOREIGN" hidden="1">"c5761"</definedName>
    <definedName name="IQ_OPEB_CI_TRANSITION" hidden="1">"c5765"</definedName>
    <definedName name="IQ_OPEB_CI_TRANSITION_DOM" hidden="1">"c5763"</definedName>
    <definedName name="IQ_OPEB_CI_TRANSITION_FOREIGN" hidden="1">"c5764"</definedName>
    <definedName name="IQ_OPEB_CL" hidden="1">"c5789"</definedName>
    <definedName name="IQ_OPEB_CL_DOM" hidden="1">"c5787"</definedName>
    <definedName name="IQ_OPEB_CL_FOREIGN" hidden="1">"c5788"</definedName>
    <definedName name="IQ_OPEB_DECREASE_EFFECT_PBO" hidden="1">"c3458"</definedName>
    <definedName name="IQ_OPEB_DECREASE_EFFECT_PBO_DOM" hidden="1">"c3456"</definedName>
    <definedName name="IQ_OPEB_DECREASE_EFFECT_PBO_FOREIGN" hidden="1">"c3457"</definedName>
    <definedName name="IQ_OPEB_DECREASE_EFFECT_SERVICE_INT_COST" hidden="1">"c3455"</definedName>
    <definedName name="IQ_OPEB_DECREASE_EFFECT_SERVICE_INT_COST_DOM" hidden="1">"c3453"</definedName>
    <definedName name="IQ_OPEB_DECREASE_EFFECT_SERVICE_INT_COST_FOREIGN" hidden="1">"c3454"</definedName>
    <definedName name="IQ_OPEB_DISC_RATE_MAX" hidden="1">"c3422"</definedName>
    <definedName name="IQ_OPEB_DISC_RATE_MAX_DOM" hidden="1">"c3420"</definedName>
    <definedName name="IQ_OPEB_DISC_RATE_MAX_FOREIGN" hidden="1">"c3421"</definedName>
    <definedName name="IQ_OPEB_DISC_RATE_MIN" hidden="1">"c3419"</definedName>
    <definedName name="IQ_OPEB_DISC_RATE_MIN_DOM" hidden="1">"c3417"</definedName>
    <definedName name="IQ_OPEB_DISC_RATE_MIN_FOREIGN" hidden="1">"c3418"</definedName>
    <definedName name="IQ_OPEB_EST_BENEFIT_1YR" hidden="1">"c3287"</definedName>
    <definedName name="IQ_OPEB_EST_BENEFIT_1YR_DOM" hidden="1">"c3285"</definedName>
    <definedName name="IQ_OPEB_EST_BENEFIT_1YR_FOREIGN" hidden="1">"c3286"</definedName>
    <definedName name="IQ_OPEB_EST_BENEFIT_2YR" hidden="1">"c3290"</definedName>
    <definedName name="IQ_OPEB_EST_BENEFIT_2YR_DOM" hidden="1">"c3288"</definedName>
    <definedName name="IQ_OPEB_EST_BENEFIT_2YR_FOREIGN" hidden="1">"c3289"</definedName>
    <definedName name="IQ_OPEB_EST_BENEFIT_3YR" hidden="1">"c3293"</definedName>
    <definedName name="IQ_OPEB_EST_BENEFIT_3YR_DOM" hidden="1">"c3291"</definedName>
    <definedName name="IQ_OPEB_EST_BENEFIT_3YR_FOREIGN" hidden="1">"c3292"</definedName>
    <definedName name="IQ_OPEB_EST_BENEFIT_4YR" hidden="1">"c3296"</definedName>
    <definedName name="IQ_OPEB_EST_BENEFIT_4YR_DOM" hidden="1">"c3294"</definedName>
    <definedName name="IQ_OPEB_EST_BENEFIT_4YR_FOREIGN" hidden="1">"c3295"</definedName>
    <definedName name="IQ_OPEB_EST_BENEFIT_5YR" hidden="1">"c3299"</definedName>
    <definedName name="IQ_OPEB_EST_BENEFIT_5YR_DOM" hidden="1">"c3297"</definedName>
    <definedName name="IQ_OPEB_EST_BENEFIT_5YR_FOREIGN" hidden="1">"c3298"</definedName>
    <definedName name="IQ_OPEB_EST_BENEFIT_AFTER5" hidden="1">"c3302"</definedName>
    <definedName name="IQ_OPEB_EST_BENEFIT_AFTER5_DOM" hidden="1">"c3300"</definedName>
    <definedName name="IQ_OPEB_EST_BENEFIT_AFTER5_FOREIGN" hidden="1">"c3301"</definedName>
    <definedName name="IQ_OPEB_EXP_RATE_RETURN_MAX" hidden="1">"c3434"</definedName>
    <definedName name="IQ_OPEB_EXP_RATE_RETURN_MAX_DOM" hidden="1">"c3432"</definedName>
    <definedName name="IQ_OPEB_EXP_RATE_RETURN_MAX_FOREIGN" hidden="1">"c3433"</definedName>
    <definedName name="IQ_OPEB_EXP_RATE_RETURN_MIN" hidden="1">"c3431"</definedName>
    <definedName name="IQ_OPEB_EXP_RATE_RETURN_MIN_DOM" hidden="1">"c3429"</definedName>
    <definedName name="IQ_OPEB_EXP_RATE_RETURN_MIN_FOREIGN" hidden="1">"c3430"</definedName>
    <definedName name="IQ_OPEB_EXP_RETURN" hidden="1">"c3398"</definedName>
    <definedName name="IQ_OPEB_EXP_RETURN_DOM" hidden="1">"c3396"</definedName>
    <definedName name="IQ_OPEB_EXP_RETURN_FOREIGN" hidden="1">"c3397"</definedName>
    <definedName name="IQ_OPEB_HEALTH_COST_TREND_INITIAL" hidden="1">"c3413"</definedName>
    <definedName name="IQ_OPEB_HEALTH_COST_TREND_INITIAL_DOM" hidden="1">"c3411"</definedName>
    <definedName name="IQ_OPEB_HEALTH_COST_TREND_INITIAL_FOREIGN" hidden="1">"c3412"</definedName>
    <definedName name="IQ_OPEB_HEALTH_COST_TREND_ULTIMATE" hidden="1">"c3416"</definedName>
    <definedName name="IQ_OPEB_HEALTH_COST_TREND_ULTIMATE_DOM" hidden="1">"c3414"</definedName>
    <definedName name="IQ_OPEB_HEALTH_COST_TREND_ULTIMATE_FOREIGN" hidden="1">"c3415"</definedName>
    <definedName name="IQ_OPEB_INCREASE_EFFECT_PBO" hidden="1">"c3452"</definedName>
    <definedName name="IQ_OPEB_INCREASE_EFFECT_PBO_DOM" hidden="1">"c3450"</definedName>
    <definedName name="IQ_OPEB_INCREASE_EFFECT_PBO_FOREIGN" hidden="1">"c3451"</definedName>
    <definedName name="IQ_OPEB_INCREASE_EFFECT_SERVICE_INT_COST" hidden="1">"c3449"</definedName>
    <definedName name="IQ_OPEB_INCREASE_EFFECT_SERVICE_INT_COST_DOM" hidden="1">"c3447"</definedName>
    <definedName name="IQ_OPEB_INCREASE_EFFECT_SERVICE_INT_COST_FOREIGN" hidden="1">"c3448"</definedName>
    <definedName name="IQ_OPEB_INTAN_ASSETS" hidden="1">"c3311"</definedName>
    <definedName name="IQ_OPEB_INTAN_ASSETS_DOM" hidden="1">"c3309"</definedName>
    <definedName name="IQ_OPEB_INTAN_ASSETS_FOREIGN" hidden="1">"c3310"</definedName>
    <definedName name="IQ_OPEB_INTEREST_COST" hidden="1">"c3395"</definedName>
    <definedName name="IQ_OPEB_INTEREST_COST_DOM" hidden="1">"c3393"</definedName>
    <definedName name="IQ_OPEB_INTEREST_COST_FOREIGN" hidden="1">"c3394"</definedName>
    <definedName name="IQ_OPEB_LT_ASSETS" hidden="1">"c5786"</definedName>
    <definedName name="IQ_OPEB_LT_ASSETS_DOM" hidden="1">"c5784"</definedName>
    <definedName name="IQ_OPEB_LT_ASSETS_FOREIGN" hidden="1">"c5785"</definedName>
    <definedName name="IQ_OPEB_LT_LIAB" hidden="1">"c5792"</definedName>
    <definedName name="IQ_OPEB_LT_LIAB_DOM" hidden="1">"c5790"</definedName>
    <definedName name="IQ_OPEB_LT_LIAB_FOREIGN" hidden="1">"c5791"</definedName>
    <definedName name="IQ_OPEB_NET_ASSET_RECOG" hidden="1">"c3326"</definedName>
    <definedName name="IQ_OPEB_NET_ASSET_RECOG_DOM" hidden="1">"c3324"</definedName>
    <definedName name="IQ_OPEB_NET_ASSET_RECOG_FOREIGN" hidden="1">"c3325"</definedName>
    <definedName name="IQ_OPEB_OBLIGATION_ACCUMULATED" hidden="1">"c3407"</definedName>
    <definedName name="IQ_OPEB_OBLIGATION_ACCUMULATED_DOM" hidden="1">"c3405"</definedName>
    <definedName name="IQ_OPEB_OBLIGATION_ACCUMULATED_FOREIGN" hidden="1">"c3406"</definedName>
    <definedName name="IQ_OPEB_OBLIGATION_ACQ" hidden="1">"c3380"</definedName>
    <definedName name="IQ_OPEB_OBLIGATION_ACQ_DOM" hidden="1">"c3378"</definedName>
    <definedName name="IQ_OPEB_OBLIGATION_ACQ_FOREIGN" hidden="1">"c3379"</definedName>
    <definedName name="IQ_OPEB_OBLIGATION_ACTUARIAL_GAIN_LOSS" hidden="1">"c3371"</definedName>
    <definedName name="IQ_OPEB_OBLIGATION_ACTUARIAL_GAIN_LOSS_DOM" hidden="1">"c3369"</definedName>
    <definedName name="IQ_OPEB_OBLIGATION_ACTUARIAL_GAIN_LOSS_FOREIGN" hidden="1">"c3370"</definedName>
    <definedName name="IQ_OPEB_OBLIGATION_BEG" hidden="1">"c3359"</definedName>
    <definedName name="IQ_OPEB_OBLIGATION_BEG_DOM" hidden="1">"c3357"</definedName>
    <definedName name="IQ_OPEB_OBLIGATION_BEG_FOREIGN" hidden="1">"c3358"</definedName>
    <definedName name="IQ_OPEB_OBLIGATION_CURTAIL" hidden="1">"c3383"</definedName>
    <definedName name="IQ_OPEB_OBLIGATION_CURTAIL_DOM" hidden="1">"c3381"</definedName>
    <definedName name="IQ_OPEB_OBLIGATION_CURTAIL_FOREIGN" hidden="1">"c3382"</definedName>
    <definedName name="IQ_OPEB_OBLIGATION_EMPLOYEE_CONTRIBUTIONS" hidden="1">"c3368"</definedName>
    <definedName name="IQ_OPEB_OBLIGATION_EMPLOYEE_CONTRIBUTIONS_DOM" hidden="1">"c3366"</definedName>
    <definedName name="IQ_OPEB_OBLIGATION_EMPLOYEE_CONTRIBUTIONS_FOREIGN" hidden="1">"c3367"</definedName>
    <definedName name="IQ_OPEB_OBLIGATION_FX_ADJ" hidden="1">"c3377"</definedName>
    <definedName name="IQ_OPEB_OBLIGATION_FX_ADJ_DOM" hidden="1">"c3375"</definedName>
    <definedName name="IQ_OPEB_OBLIGATION_FX_ADJ_FOREIGN" hidden="1">"c3376"</definedName>
    <definedName name="IQ_OPEB_OBLIGATION_INTEREST_COST" hidden="1">"c3365"</definedName>
    <definedName name="IQ_OPEB_OBLIGATION_INTEREST_COST_DOM" hidden="1">"c3363"</definedName>
    <definedName name="IQ_OPEB_OBLIGATION_INTEREST_COST_FOREIGN" hidden="1">"c3364"</definedName>
    <definedName name="IQ_OPEB_OBLIGATION_OTHER_PLAN_ADJ" hidden="1">"c3386"</definedName>
    <definedName name="IQ_OPEB_OBLIGATION_OTHER_PLAN_ADJ_DOM" hidden="1">"c3384"</definedName>
    <definedName name="IQ_OPEB_OBLIGATION_OTHER_PLAN_ADJ_FOREIGN" hidden="1">"c3385"</definedName>
    <definedName name="IQ_OPEB_OBLIGATION_PAID" hidden="1">"c3374"</definedName>
    <definedName name="IQ_OPEB_OBLIGATION_PAID_DOM" hidden="1">"c3372"</definedName>
    <definedName name="IQ_OPEB_OBLIGATION_PAID_FOREIGN" hidden="1">"c3373"</definedName>
    <definedName name="IQ_OPEB_OBLIGATION_PROJECTED" hidden="1">"c3389"</definedName>
    <definedName name="IQ_OPEB_OBLIGATION_PROJECTED_DOM" hidden="1">"c3387"</definedName>
    <definedName name="IQ_OPEB_OBLIGATION_PROJECTED_FOREIGN" hidden="1">"c3388"</definedName>
    <definedName name="IQ_OPEB_OBLIGATION_SERVICE_COST" hidden="1">"c3362"</definedName>
    <definedName name="IQ_OPEB_OBLIGATION_SERVICE_COST_DOM" hidden="1">"c3360"</definedName>
    <definedName name="IQ_OPEB_OBLIGATION_SERVICE_COST_FOREIGN" hidden="1">"c3361"</definedName>
    <definedName name="IQ_OPEB_OTHER" hidden="1">"c3317"</definedName>
    <definedName name="IQ_OPEB_OTHER_ADJ" hidden="1">"c3323"</definedName>
    <definedName name="IQ_OPEB_OTHER_ADJ_DOM" hidden="1">"c3321"</definedName>
    <definedName name="IQ_OPEB_OTHER_ADJ_FOREIGN" hidden="1">"c3322"</definedName>
    <definedName name="IQ_OPEB_OTHER_COST" hidden="1">"c3401"</definedName>
    <definedName name="IQ_OPEB_OTHER_COST_DOM" hidden="1">"c3399"</definedName>
    <definedName name="IQ_OPEB_OTHER_COST_FOREIGN" hidden="1">"c3400"</definedName>
    <definedName name="IQ_OPEB_OTHER_DOM" hidden="1">"c3315"</definedName>
    <definedName name="IQ_OPEB_OTHER_FOREIGN" hidden="1">"c3316"</definedName>
    <definedName name="IQ_OPEB_PBO_ASSUMED_RATE_RET_MAX" hidden="1">"c3440"</definedName>
    <definedName name="IQ_OPEB_PBO_ASSUMED_RATE_RET_MAX_DOM" hidden="1">"c3438"</definedName>
    <definedName name="IQ_OPEB_PBO_ASSUMED_RATE_RET_MAX_FOREIGN" hidden="1">"c3439"</definedName>
    <definedName name="IQ_OPEB_PBO_ASSUMED_RATE_RET_MIN" hidden="1">"c3437"</definedName>
    <definedName name="IQ_OPEB_PBO_ASSUMED_RATE_RET_MIN_DOM" hidden="1">"c3435"</definedName>
    <definedName name="IQ_OPEB_PBO_ASSUMED_RATE_RET_MIN_FOREIGN" hidden="1">"c3436"</definedName>
    <definedName name="IQ_OPEB_PBO_RATE_COMP_INCREASE_MAX" hidden="1">"c3446"</definedName>
    <definedName name="IQ_OPEB_PBO_RATE_COMP_INCREASE_MAX_DOM" hidden="1">"c3444"</definedName>
    <definedName name="IQ_OPEB_PBO_RATE_COMP_INCREASE_MAX_FOREIGN" hidden="1">"c3445"</definedName>
    <definedName name="IQ_OPEB_PBO_RATE_COMP_INCREASE_MIN" hidden="1">"c3443"</definedName>
    <definedName name="IQ_OPEB_PBO_RATE_COMP_INCREASE_MIN_DOM" hidden="1">"c3441"</definedName>
    <definedName name="IQ_OPEB_PBO_RATE_COMP_INCREASE_MIN_FOREIGN" hidden="1">"c3442"</definedName>
    <definedName name="IQ_OPEB_PREPAID_COST" hidden="1">"c3305"</definedName>
    <definedName name="IQ_OPEB_PREPAID_COST_DOM" hidden="1">"c3303"</definedName>
    <definedName name="IQ_OPEB_PREPAID_COST_FOREIGN" hidden="1">"c3304"</definedName>
    <definedName name="IQ_OPEB_PRIOR_SERVICE_NEXT" hidden="1">"c5777"</definedName>
    <definedName name="IQ_OPEB_PRIOR_SERVICE_NEXT_DOM" hidden="1">"c5775"</definedName>
    <definedName name="IQ_OPEB_PRIOR_SERVICE_NEXT_FOREIGN" hidden="1">"c5776"</definedName>
    <definedName name="IQ_OPEB_RATE_COMP_INCREASE_MAX" hidden="1">"c3428"</definedName>
    <definedName name="IQ_OPEB_RATE_COMP_INCREASE_MAX_DOM" hidden="1">"c3426"</definedName>
    <definedName name="IQ_OPEB_RATE_COMP_INCREASE_MAX_FOREIGN" hidden="1">"c3427"</definedName>
    <definedName name="IQ_OPEB_RATE_COMP_INCREASE_MIN" hidden="1">"c3425"</definedName>
    <definedName name="IQ_OPEB_RATE_COMP_INCREASE_MIN_DOM" hidden="1">"c3423"</definedName>
    <definedName name="IQ_OPEB_RATE_COMP_INCREASE_MIN_FOREIGN" hidden="1">"c3424"</definedName>
    <definedName name="IQ_OPEB_SERVICE_COST" hidden="1">"c3392"</definedName>
    <definedName name="IQ_OPEB_SERVICE_COST_DOM" hidden="1">"c3390"</definedName>
    <definedName name="IQ_OPEB_SERVICE_COST_FOREIGN" hidden="1">"c3391"</definedName>
    <definedName name="IQ_OPEB_TOTAL_COST" hidden="1">"c3404"</definedName>
    <definedName name="IQ_OPEB_TOTAL_COST_DOM" hidden="1">"c3402"</definedName>
    <definedName name="IQ_OPEB_TOTAL_COST_FOREIGN" hidden="1">"c3403"</definedName>
    <definedName name="IQ_OPEB_TRANSITION_NEXT" hidden="1">"c5780"</definedName>
    <definedName name="IQ_OPEB_TRANSITION_NEXT_DOM" hidden="1">"c5778"</definedName>
    <definedName name="IQ_OPEB_TRANSITION_NEXT_FOREIGN" hidden="1">"c5779"</definedName>
    <definedName name="IQ_OPEB_UNRECOG_PRIOR" hidden="1">"c3320"</definedName>
    <definedName name="IQ_OPEB_UNRECOG_PRIOR_DOM" hidden="1">"c3318"</definedName>
    <definedName name="IQ_OPEB_UNRECOG_PRIOR_FOREIGN" hidden="1">"c3319"</definedName>
    <definedName name="IQ_OPENPRICE" hidden="1">"c848"</definedName>
    <definedName name="IQ_OPER_INC" hidden="1">"c849"</definedName>
    <definedName name="IQ_OPER_INC_ACT_OR_EST" hidden="1">"c2220"</definedName>
    <definedName name="IQ_OPER_INC_ACT_OR_EST_REUT" hidden="1">"c5466"</definedName>
    <definedName name="IQ_OPER_INC_ACT_OR_EST_THOM" hidden="1">"c5304"</definedName>
    <definedName name="IQ_OPER_INC_BR" hidden="1">"c850"</definedName>
    <definedName name="IQ_OPER_INC_EST" hidden="1">"c1688"</definedName>
    <definedName name="IQ_OPER_INC_EST_REUT" hidden="1">"c5340"</definedName>
    <definedName name="IQ_OPER_INC_EST_THOM" hidden="1">"c5112"</definedName>
    <definedName name="IQ_OPER_INC_FIN" hidden="1">"c851"</definedName>
    <definedName name="IQ_OPER_INC_HIGH_EST" hidden="1">"c1690"</definedName>
    <definedName name="IQ_OPER_INC_HIGH_EST_REUT" hidden="1">"c5342"</definedName>
    <definedName name="IQ_OPER_INC_HIGH_EST_THOM" hidden="1">"c5114"</definedName>
    <definedName name="IQ_OPER_INC_INS" hidden="1">"c852"</definedName>
    <definedName name="IQ_OPER_INC_LOW_EST" hidden="1">"c1691"</definedName>
    <definedName name="IQ_OPER_INC_LOW_EST_REUT" hidden="1">"c5343"</definedName>
    <definedName name="IQ_OPER_INC_LOW_EST_THOM" hidden="1">"c5115"</definedName>
    <definedName name="IQ_OPER_INC_MARGIN" hidden="1">"c1448"</definedName>
    <definedName name="IQ_OPER_INC_MEDIAN_EST" hidden="1">"c1689"</definedName>
    <definedName name="IQ_OPER_INC_MEDIAN_EST_REUT" hidden="1">"c5341"</definedName>
    <definedName name="IQ_OPER_INC_MEDIAN_EST_THOM" hidden="1">"c5113"</definedName>
    <definedName name="IQ_OPER_INC_NUM_EST" hidden="1">"c1692"</definedName>
    <definedName name="IQ_OPER_INC_NUM_EST_REUT" hidden="1">"c5344"</definedName>
    <definedName name="IQ_OPER_INC_NUM_EST_THOM" hidden="1">"c5116"</definedName>
    <definedName name="IQ_OPER_INC_RE" hidden="1">"c6240"</definedName>
    <definedName name="IQ_OPER_INC_REIT" hidden="1">"c853"</definedName>
    <definedName name="IQ_OPER_INC_STDDEV_EST" hidden="1">"c1693"</definedName>
    <definedName name="IQ_OPER_INC_STDDEV_EST_REUT" hidden="1">"c5345"</definedName>
    <definedName name="IQ_OPER_INC_STDDEV_EST_THOM" hidden="1">"c5117"</definedName>
    <definedName name="IQ_OPER_INC_UTI" hidden="1">"c854"</definedName>
    <definedName name="IQ_OPERATING_EXP_AVG_ASSETS_FFIEC" hidden="1">"c13373"</definedName>
    <definedName name="IQ_OPERATING_INC_AVG_ASSETS_FFIEC" hidden="1">"c13368"</definedName>
    <definedName name="IQ_OPERATING_INC_TE_AVG_ASSETS_FFIEC" hidden="1">"c13360"</definedName>
    <definedName name="IQ_OPERATING_NOI_AVG_GROSS_PROP" hidden="1">"c16058"</definedName>
    <definedName name="IQ_OPERATIONS_EXP" hidden="1">"c855"</definedName>
    <definedName name="IQ_OPTIONS_BEG_OS" hidden="1">"c1572"</definedName>
    <definedName name="IQ_OPTIONS_CANCELLED" hidden="1">"c856"</definedName>
    <definedName name="IQ_OPTIONS_END_OS" hidden="1">"c1573"</definedName>
    <definedName name="IQ_OPTIONS_EXERCISABLE_END_OS" hidden="1">"c5804"</definedName>
    <definedName name="IQ_OPTIONS_EXERCISED" hidden="1">"c2116"</definedName>
    <definedName name="IQ_OPTIONS_GRANTED" hidden="1">"c2673"</definedName>
    <definedName name="IQ_OPTIONS_ISSUED" hidden="1">"c857"</definedName>
    <definedName name="IQ_OPTIONS_STRIKE_PRICE_BEG_OS" hidden="1">"c5805"</definedName>
    <definedName name="IQ_OPTIONS_STRIKE_PRICE_CANCELLED" hidden="1">"c5807"</definedName>
    <definedName name="IQ_OPTIONS_STRIKE_PRICE_EXERCISABLE" hidden="1">"c5808"</definedName>
    <definedName name="IQ_OPTIONS_STRIKE_PRICE_EXERCISED" hidden="1">"c5806"</definedName>
    <definedName name="IQ_OPTIONS_STRIKE_PRICE_GRANTED" hidden="1">"c2678"</definedName>
    <definedName name="IQ_OPTIONS_STRIKE_PRICE_OS" hidden="1">"c2677"</definedName>
    <definedName name="IQ_ORDER_BACKLOG" hidden="1">"c2090"</definedName>
    <definedName name="IQ_OREO_FFIEC" hidden="1">"c12831"</definedName>
    <definedName name="IQ_OREO_FOREIGN_FFIEC" hidden="1">"c15273"</definedName>
    <definedName name="IQ_OREO_OTHER_FFIEC" hidden="1">"c12833"</definedName>
    <definedName name="IQ_OTHER_ADDITIONS_T1_FFIEC" hidden="1">"c13142"</definedName>
    <definedName name="IQ_OTHER_ADDITIONS_T2_FFIEC" hidden="1">"c13148"</definedName>
    <definedName name="IQ_OTHER_ADJ_CLAIM_ADJ_EXP_INCURRED" hidden="1">"c15878"</definedName>
    <definedName name="IQ_OTHER_ADJ_CLAIM_ADJ_EXP_PAID" hidden="1">"c15879"</definedName>
    <definedName name="IQ_OTHER_ADJ_RESERVE_BOP" hidden="1">"c15876"</definedName>
    <definedName name="IQ_OTHER_ADJ_RESERVES" hidden="1">"c15882"</definedName>
    <definedName name="IQ_OTHER_ADJUST_GROSS_LOANS" hidden="1">"c859"</definedName>
    <definedName name="IQ_OTHER_ADJUSTMENTS_COVERED" hidden="1">"c9961"</definedName>
    <definedName name="IQ_OTHER_ADJUSTMENTS_FFIEC" hidden="1">"c12972"</definedName>
    <definedName name="IQ_OTHER_ADJUSTMENTS_GROUP" hidden="1">"c9947"</definedName>
    <definedName name="IQ_OTHER_AFFO" hidden="1">"c16180"</definedName>
    <definedName name="IQ_OTHER_AMORT" hidden="1">"c5563"</definedName>
    <definedName name="IQ_OTHER_AMORT_BNK" hidden="1">"c5565"</definedName>
    <definedName name="IQ_OTHER_AMORT_BR" hidden="1">"c5566"</definedName>
    <definedName name="IQ_OTHER_AMORT_FIN" hidden="1">"c5567"</definedName>
    <definedName name="IQ_OTHER_AMORT_INS" hidden="1">"c5568"</definedName>
    <definedName name="IQ_OTHER_AMORT_RE" hidden="1">"c6287"</definedName>
    <definedName name="IQ_OTHER_AMORT_REIT" hidden="1">"c5569"</definedName>
    <definedName name="IQ_OTHER_AMORT_UTI" hidden="1">"c5570"</definedName>
    <definedName name="IQ_OTHER_ASSETS" hidden="1">"c860"</definedName>
    <definedName name="IQ_OTHER_ASSETS_BNK" hidden="1">"c861"</definedName>
    <definedName name="IQ_OTHER_ASSETS_BR" hidden="1">"c862"</definedName>
    <definedName name="IQ_OTHER_ASSETS_FFIEC" hidden="1">"c12848"</definedName>
    <definedName name="IQ_OTHER_ASSETS_FIN" hidden="1">"c863"</definedName>
    <definedName name="IQ_OTHER_ASSETS_INS" hidden="1">"c864"</definedName>
    <definedName name="IQ_OTHER_ASSETS_RE" hidden="1">"c6241"</definedName>
    <definedName name="IQ_OTHER_ASSETS_REIT" hidden="1">"c865"</definedName>
    <definedName name="IQ_OTHER_ASSETS_SERV_RIGHTS" hidden="1">"c2243"</definedName>
    <definedName name="IQ_OTHER_ASSETS_TOTAL_FFIEC" hidden="1">"c12841"</definedName>
    <definedName name="IQ_OTHER_ASSETS_UTI" hidden="1">"c866"</definedName>
    <definedName name="IQ_OTHER_BEARING_LIAB" hidden="1">"c1608"</definedName>
    <definedName name="IQ_OTHER_BEDS" hidden="1">"c8784"</definedName>
    <definedName name="IQ_OTHER_BENEFITS_OBLIGATION" hidden="1">"c867"</definedName>
    <definedName name="IQ_OTHER_BORROWED_MONEY_FAIR_VALUE_TOT_FFIEC" hidden="1">"c15409"</definedName>
    <definedName name="IQ_OTHER_BORROWED_MONEY_FFIEC" hidden="1">"c12862"</definedName>
    <definedName name="IQ_OTHER_BORROWED_MONEY_LEVEL_1_FFIEC" hidden="1">"c15431"</definedName>
    <definedName name="IQ_OTHER_BORROWED_MONEY_LEVEL_2_FFIEC" hidden="1">"c15444"</definedName>
    <definedName name="IQ_OTHER_BORROWED_MONEY_LEVEL_3_FFIEC" hidden="1">"c15457"</definedName>
    <definedName name="IQ_OTHER_BORROWED_MONEY_LT_FFIEC" hidden="1">"c12865"</definedName>
    <definedName name="IQ_OTHER_BORROWED_MONEY_ST_FFIEC" hidden="1">"c12864"</definedName>
    <definedName name="IQ_OTHER_CA" hidden="1">"c868"</definedName>
    <definedName name="IQ_OTHER_CA_SUPPL" hidden="1">"c869"</definedName>
    <definedName name="IQ_OTHER_CA_SUPPL_BNK" hidden="1">"c870"</definedName>
    <definedName name="IQ_OTHER_CA_SUPPL_BR" hidden="1">"c871"</definedName>
    <definedName name="IQ_OTHER_CA_SUPPL_FIN" hidden="1">"c872"</definedName>
    <definedName name="IQ_OTHER_CA_SUPPL_INS" hidden="1">"c873"</definedName>
    <definedName name="IQ_OTHER_CA_SUPPL_RE" hidden="1">"c6242"</definedName>
    <definedName name="IQ_OTHER_CA_SUPPL_REIT" hidden="1">"c874"</definedName>
    <definedName name="IQ_OTHER_CA_SUPPL_UTI" hidden="1">"c875"</definedName>
    <definedName name="IQ_OTHER_CA_UTI" hidden="1">"c876"</definedName>
    <definedName name="IQ_OTHER_CL" hidden="1">"c877"</definedName>
    <definedName name="IQ_OTHER_CL_SUPPL" hidden="1">"c878"</definedName>
    <definedName name="IQ_OTHER_CL_SUPPL_BNK" hidden="1">"c879"</definedName>
    <definedName name="IQ_OTHER_CL_SUPPL_BR" hidden="1">"c880"</definedName>
    <definedName name="IQ_OTHER_CL_SUPPL_FIN" hidden="1">"c881"</definedName>
    <definedName name="IQ_OTHER_CL_SUPPL_INS" hidden="1">"c6021"</definedName>
    <definedName name="IQ_OTHER_CL_SUPPL_RE" hidden="1">"c6243"</definedName>
    <definedName name="IQ_OTHER_CL_SUPPL_REIT" hidden="1">"c882"</definedName>
    <definedName name="IQ_OTHER_CL_SUPPL_UTI" hidden="1">"c883"</definedName>
    <definedName name="IQ_OTHER_CL_UTI" hidden="1">"c884"</definedName>
    <definedName name="IQ_OTHER_COMPREHENSIVE_INCOME_FFIEC" hidden="1">"c12970"</definedName>
    <definedName name="IQ_OTHER_CONSTRUCTION_GROSS_LOANS_FFIEC" hidden="1">"c13403"</definedName>
    <definedName name="IQ_OTHER_CONSTRUCTION_LOANS_DUE_30_89_FFIEC" hidden="1">"c13258"</definedName>
    <definedName name="IQ_OTHER_CONSTRUCTION_LOANS_DUE_90_FFIEC" hidden="1">"c13286"</definedName>
    <definedName name="IQ_OTHER_CONSTRUCTION_LOANS_NON_ACCRUAL_FFIEC" hidden="1">"c13312"</definedName>
    <definedName name="IQ_OTHER_CONSTRUCTION_LOANS_UNUSED_FFIEC" hidden="1">"c13245"</definedName>
    <definedName name="IQ_OTHER_CONSTRUCTION_RISK_BASED_FFIEC" hidden="1">"c13424"</definedName>
    <definedName name="IQ_OTHER_CONSUMER_LL_REC_FFIEC" hidden="1">"c12891"</definedName>
    <definedName name="IQ_OTHER_CONSUMER_LOANS_FFIEC" hidden="1">"c12824"</definedName>
    <definedName name="IQ_OTHER_CONSUMER_LOANS_TRADING_DOM_FFIEC" hidden="1">"c12935"</definedName>
    <definedName name="IQ_OTHER_CURRENT_ASSETS" hidden="1">"c1403"</definedName>
    <definedName name="IQ_OTHER_CURRENT_LIAB" hidden="1">"c1404"</definedName>
    <definedName name="IQ_OTHER_DEBT" hidden="1">"c2507"</definedName>
    <definedName name="IQ_OTHER_DEBT_PCT" hidden="1">"c2508"</definedName>
    <definedName name="IQ_OTHER_DEBT_SEC_DOM_AVAIL_SALE_FFIEC" hidden="1">"c12803"</definedName>
    <definedName name="IQ_OTHER_DEBT_SEC_FOREIGN_AVAIL_SALE_FFIEC" hidden="1">"c12804"</definedName>
    <definedName name="IQ_OTHER_DEBT_SEC_INVEST_SECURITIES_FFIEC" hidden="1">"c13462"</definedName>
    <definedName name="IQ_OTHER_DEBT_SEC_TRADING_DOM_FFIEC" hidden="1">"c12924"</definedName>
    <definedName name="IQ_OTHER_DEBT_SEC_TRADING_FFIEC" hidden="1">"c12819"</definedName>
    <definedName name="IQ_OTHER_DEBT_SECURITIES_DOM_FFIEC" hidden="1">"c12789"</definedName>
    <definedName name="IQ_OTHER_DEBT_SECURITIES_FOREIGN_FFIEC" hidden="1">"c12790"</definedName>
    <definedName name="IQ_OTHER_DEBT_SECURITIES_QUARTERLY_AVG_FFIEC" hidden="1">"c15473"</definedName>
    <definedName name="IQ_OTHER_DEDUCTIONS_LEVERAGE_RATIO_FFIEC" hidden="1">"c13158"</definedName>
    <definedName name="IQ_OTHER_DEP" hidden="1">"c885"</definedName>
    <definedName name="IQ_OTHER_DEPOSITS_FFIEC" hidden="1">"c12994"</definedName>
    <definedName name="IQ_OTHER_DEPOSITS_TOTAL_DEPOSITS" hidden="1">"c15724"</definedName>
    <definedName name="IQ_OTHER_DERIVATIVES_BENEFICIARY_FFIEC" hidden="1">"c13122"</definedName>
    <definedName name="IQ_OTHER_DERIVATIVES_GUARANTOR_FFIEC" hidden="1">"c13115"</definedName>
    <definedName name="IQ_OTHER_DEVELOPMENT_EXPENSE" hidden="1">"c16041"</definedName>
    <definedName name="IQ_OTHER_DEVELOPMENT_REVENUE" hidden="1">"c16025"</definedName>
    <definedName name="IQ_OTHER_EARNING" hidden="1">"c1609"</definedName>
    <definedName name="IQ_OTHER_EPRA_NAV_ADJ" hidden="1">"c16004"</definedName>
    <definedName name="IQ_OTHER_EPRA_NNAV_ADJ" hidden="1">"c16009"</definedName>
    <definedName name="IQ_OTHER_EQUITY" hidden="1">"c886"</definedName>
    <definedName name="IQ_OTHER_EQUITY_BNK" hidden="1">"c887"</definedName>
    <definedName name="IQ_OTHER_EQUITY_BR" hidden="1">"c888"</definedName>
    <definedName name="IQ_OTHER_EQUITY_CAPITAL_COMPS_FFIEC" hidden="1">"c12880"</definedName>
    <definedName name="IQ_OTHER_EQUITY_FFIEC" hidden="1">"c12879"</definedName>
    <definedName name="IQ_OTHER_EQUITY_FIN" hidden="1">"c889"</definedName>
    <definedName name="IQ_OTHER_EQUITY_INS" hidden="1">"c890"</definedName>
    <definedName name="IQ_OTHER_EQUITY_RE" hidden="1">"c6244"</definedName>
    <definedName name="IQ_OTHER_EQUITY_REIT" hidden="1">"c891"</definedName>
    <definedName name="IQ_OTHER_EQUITY_UTI" hidden="1">"c892"</definedName>
    <definedName name="IQ_OTHER_EXP_OPERATING_INC_FFIEC" hidden="1">"c13381"</definedName>
    <definedName name="IQ_OTHER_FAD" hidden="1">"c16184"</definedName>
    <definedName name="IQ_OTHER_FINANCE_ACT" hidden="1">"c893"</definedName>
    <definedName name="IQ_OTHER_FINANCE_ACT_BNK" hidden="1">"c894"</definedName>
    <definedName name="IQ_OTHER_FINANCE_ACT_BR" hidden="1">"c895"</definedName>
    <definedName name="IQ_OTHER_FINANCE_ACT_FIN" hidden="1">"c896"</definedName>
    <definedName name="IQ_OTHER_FINANCE_ACT_INS" hidden="1">"c897"</definedName>
    <definedName name="IQ_OTHER_FINANCE_ACT_RE" hidden="1">"c6245"</definedName>
    <definedName name="IQ_OTHER_FINANCE_ACT_REIT" hidden="1">"c898"</definedName>
    <definedName name="IQ_OTHER_FINANCE_ACT_SUPPL" hidden="1">"c899"</definedName>
    <definedName name="IQ_OTHER_FINANCE_ACT_SUPPL_BNK" hidden="1">"c900"</definedName>
    <definedName name="IQ_OTHER_FINANCE_ACT_SUPPL_BR" hidden="1">"c901"</definedName>
    <definedName name="IQ_OTHER_FINANCE_ACT_SUPPL_FIN" hidden="1">"c902"</definedName>
    <definedName name="IQ_OTHER_FINANCE_ACT_SUPPL_INS" hidden="1">"c903"</definedName>
    <definedName name="IQ_OTHER_FINANCE_ACT_SUPPL_RE" hidden="1">"c6246"</definedName>
    <definedName name="IQ_OTHER_FINANCE_ACT_SUPPL_REIT" hidden="1">"c904"</definedName>
    <definedName name="IQ_OTHER_FINANCE_ACT_SUPPL_UTI" hidden="1">"c905"</definedName>
    <definedName name="IQ_OTHER_FINANCE_ACT_UTI" hidden="1">"c906"</definedName>
    <definedName name="IQ_OTHER_FOREIGN_LOANS_FOREIGN_FFIEC" hidden="1">"c13482"</definedName>
    <definedName name="IQ_OTHER_IBF_DEPOSIT_LIABILITIES_FFIEC" hidden="1">"c15301"</definedName>
    <definedName name="IQ_OTHER_INDIVIDUAL_FAMILY_DOM_QUARTERLY_AVG_FFIEC" hidden="1">"c15481"</definedName>
    <definedName name="IQ_OTHER_INSURANCE_PREMIUMS_FFIEC" hidden="1">"c13071"</definedName>
    <definedName name="IQ_OTHER_INT_EXPENSE_FFIEC" hidden="1">"c12999"</definedName>
    <definedName name="IQ_OTHER_INT_INCOME_FFIEC" hidden="1">"c12988"</definedName>
    <definedName name="IQ_OTHER_INTAN" hidden="1">"c907"</definedName>
    <definedName name="IQ_OTHER_INTAN_BNK" hidden="1">"c908"</definedName>
    <definedName name="IQ_OTHER_INTAN_BR" hidden="1">"c909"</definedName>
    <definedName name="IQ_OTHER_INTAN_FIN" hidden="1">"c910"</definedName>
    <definedName name="IQ_OTHER_INTAN_INS" hidden="1">"c911"</definedName>
    <definedName name="IQ_OTHER_INTAN_RE" hidden="1">"c6247"</definedName>
    <definedName name="IQ_OTHER_INTAN_REIT" hidden="1">"c912"</definedName>
    <definedName name="IQ_OTHER_INTAN_UTI" hidden="1">"c913"</definedName>
    <definedName name="IQ_OTHER_INTANGIBLE_ASSETS_FFIEC" hidden="1">"c12837"</definedName>
    <definedName name="IQ_OTHER_INTANGIBLE_ASSETS_TOT_FFIEC" hidden="1">"c12840"</definedName>
    <definedName name="IQ_OTHER_INV" hidden="1">"c914"</definedName>
    <definedName name="IQ_OTHER_INVEST" hidden="1">"c915"</definedName>
    <definedName name="IQ_OTHER_INVEST_ACT" hidden="1">"c916"</definedName>
    <definedName name="IQ_OTHER_INVEST_ACT_BNK" hidden="1">"c917"</definedName>
    <definedName name="IQ_OTHER_INVEST_ACT_BR" hidden="1">"c918"</definedName>
    <definedName name="IQ_OTHER_INVEST_ACT_FIN" hidden="1">"c919"</definedName>
    <definedName name="IQ_OTHER_INVEST_ACT_INS" hidden="1">"c920"</definedName>
    <definedName name="IQ_OTHER_INVEST_ACT_RE" hidden="1">"c6248"</definedName>
    <definedName name="IQ_OTHER_INVEST_ACT_REIT" hidden="1">"c921"</definedName>
    <definedName name="IQ_OTHER_INVEST_ACT_SUPPL" hidden="1">"c922"</definedName>
    <definedName name="IQ_OTHER_INVEST_ACT_SUPPL_BNK" hidden="1">"c923"</definedName>
    <definedName name="IQ_OTHER_INVEST_ACT_SUPPL_BR" hidden="1">"c924"</definedName>
    <definedName name="IQ_OTHER_INVEST_ACT_SUPPL_FIN" hidden="1">"c925"</definedName>
    <definedName name="IQ_OTHER_INVEST_ACT_SUPPL_INS" hidden="1">"c926"</definedName>
    <definedName name="IQ_OTHER_INVEST_ACT_SUPPL_RE" hidden="1">"c6249"</definedName>
    <definedName name="IQ_OTHER_INVEST_ACT_SUPPL_REIT" hidden="1">"c927"</definedName>
    <definedName name="IQ_OTHER_INVEST_ACT_SUPPL_UTI" hidden="1">"c928"</definedName>
    <definedName name="IQ_OTHER_INVEST_ACT_UTI" hidden="1">"c929"</definedName>
    <definedName name="IQ_OTHER_INVESTING" hidden="1">"c1408"</definedName>
    <definedName name="IQ_OTHER_LEASES_DUE_30_89_FFIEC" hidden="1">"c13278"</definedName>
    <definedName name="IQ_OTHER_LEASES_DUE_90_FFIEC" hidden="1">"c13304"</definedName>
    <definedName name="IQ_OTHER_LEASES_LL_REC_FFIEC" hidden="1">"c12896"</definedName>
    <definedName name="IQ_OTHER_LEASES_NON_ACCRUAL_FFIEC" hidden="1">"c13330"</definedName>
    <definedName name="IQ_OTHER_LIAB" hidden="1">"c930"</definedName>
    <definedName name="IQ_OTHER_LIAB_BNK" hidden="1">"c931"</definedName>
    <definedName name="IQ_OTHER_LIAB_BR" hidden="1">"c932"</definedName>
    <definedName name="IQ_OTHER_LIAB_FIN" hidden="1">"c933"</definedName>
    <definedName name="IQ_OTHER_LIAB_INS" hidden="1">"c934"</definedName>
    <definedName name="IQ_OTHER_LIAB_LT" hidden="1">"c935"</definedName>
    <definedName name="IQ_OTHER_LIAB_LT_BNK" hidden="1">"c936"</definedName>
    <definedName name="IQ_OTHER_LIAB_LT_BR" hidden="1">"c937"</definedName>
    <definedName name="IQ_OTHER_LIAB_LT_FIN" hidden="1">"c938"</definedName>
    <definedName name="IQ_OTHER_LIAB_LT_INS" hidden="1">"c939"</definedName>
    <definedName name="IQ_OTHER_LIAB_LT_RE" hidden="1">"c6250"</definedName>
    <definedName name="IQ_OTHER_LIAB_LT_REIT" hidden="1">"c940"</definedName>
    <definedName name="IQ_OTHER_LIAB_LT_UTI" hidden="1">"c941"</definedName>
    <definedName name="IQ_OTHER_LIAB_RE" hidden="1">"c6251"</definedName>
    <definedName name="IQ_OTHER_LIAB_REIT" hidden="1">"c942"</definedName>
    <definedName name="IQ_OTHER_LIAB_UTI" hidden="1">"c943"</definedName>
    <definedName name="IQ_OTHER_LIAB_WRITTEN" hidden="1">"c944"</definedName>
    <definedName name="IQ_OTHER_LIABILITIES_FFIEC" hidden="1">"c12872"</definedName>
    <definedName name="IQ_OTHER_LIABILITIES_TOTAL_FFIEC" hidden="1">"c12869"</definedName>
    <definedName name="IQ_OTHER_LL_REC_FFIEC" hidden="1">"c12894"</definedName>
    <definedName name="IQ_OTHER_LOANS" hidden="1">"c945"</definedName>
    <definedName name="IQ_OTHER_LOANS_DUE_30_89_FFIEC" hidden="1">"c13275"</definedName>
    <definedName name="IQ_OTHER_LOANS_DUE_90_FFIEC" hidden="1">"c13301"</definedName>
    <definedName name="IQ_OTHER_LOANS_FFIEC" hidden="1">"c12825"</definedName>
    <definedName name="IQ_OTHER_LOANS_GROSS_LOANS_FFIEC" hidden="1">"c13414"</definedName>
    <definedName name="IQ_OTHER_LOANS_INDIVIDUALS_CHARGE_OFFS_FFIEC" hidden="1">"c13181"</definedName>
    <definedName name="IQ_OTHER_LOANS_INDIVIDUALS_DUE_30_89_FFIEC" hidden="1">"c13273"</definedName>
    <definedName name="IQ_OTHER_LOANS_INDIVIDUALS_DUE_90_FFIEC" hidden="1">"c13299"</definedName>
    <definedName name="IQ_OTHER_LOANS_INDIVIDUALS_NON_ACCRUAL_FFIEC" hidden="1">"c13325"</definedName>
    <definedName name="IQ_OTHER_LOANS_INDIVIDUALS_RECOV_FFIEC" hidden="1">"c13203"</definedName>
    <definedName name="IQ_OTHER_LOANS_LL_REC_DOM_FFIEC" hidden="1">"c12914"</definedName>
    <definedName name="IQ_OTHER_LOANS_NON_ACCRUAL_FFIEC" hidden="1">"c13327"</definedName>
    <definedName name="IQ_OTHER_LOANS_RISK_BASED_FFIEC" hidden="1">"c13435"</definedName>
    <definedName name="IQ_OTHER_LOANS_TOTAL_LOANS" hidden="1">"c15716"</definedName>
    <definedName name="IQ_OTHER_LOANS_TRADING_DOM_FFIEC" hidden="1">"c12936"</definedName>
    <definedName name="IQ_OTHER_LONG_TERM" hidden="1">"c1409"</definedName>
    <definedName name="IQ_OTHER_LT_ASSETS" hidden="1">"c946"</definedName>
    <definedName name="IQ_OTHER_LT_ASSETS_BNK" hidden="1">"c947"</definedName>
    <definedName name="IQ_OTHER_LT_ASSETS_BR" hidden="1">"c948"</definedName>
    <definedName name="IQ_OTHER_LT_ASSETS_FIN" hidden="1">"c949"</definedName>
    <definedName name="IQ_OTHER_LT_ASSETS_INS" hidden="1">"c950"</definedName>
    <definedName name="IQ_OTHER_LT_ASSETS_RE" hidden="1">"c6252"</definedName>
    <definedName name="IQ_OTHER_LT_ASSETS_REIT" hidden="1">"c951"</definedName>
    <definedName name="IQ_OTHER_LT_ASSETS_UTI" hidden="1">"c952"</definedName>
    <definedName name="IQ_OTHER_MBS_AVAIL_SALE_FFIEC" hidden="1">"c12801"</definedName>
    <definedName name="IQ_OTHER_MBS_FFIEC" hidden="1">"c12787"</definedName>
    <definedName name="IQ_OTHER_MBS_ISSUED_FNMA_GNMA_TRADING_DOM_FFIEC" hidden="1">"c12922"</definedName>
    <definedName name="IQ_OTHER_MBS_ISSUED_FNMA_GNMA_TRADING_FFIEC" hidden="1">"c12817"</definedName>
    <definedName name="IQ_OTHER_MBS_TRADING_DOM_FFIEC" hidden="1">"c12923"</definedName>
    <definedName name="IQ_OTHER_MBS_TRADING_FFIEC" hidden="1">"c12818"</definedName>
    <definedName name="IQ_OTHER_MINING_REVENUE_COAL" hidden="1">"c15931"</definedName>
    <definedName name="IQ_OTHER_NET" hidden="1">"c1453"</definedName>
    <definedName name="IQ_OTHER_NON_INT_ALLOCATIONS_FFIEC" hidden="1">"c13065"</definedName>
    <definedName name="IQ_OTHER_NON_INT_EXP" hidden="1">"c953"</definedName>
    <definedName name="IQ_OTHER_NON_INT_EXP_FFIEC" hidden="1">"c13027"</definedName>
    <definedName name="IQ_OTHER_NON_INT_EXP_TOTAL" hidden="1">"c954"</definedName>
    <definedName name="IQ_OTHER_NON_INT_INC" hidden="1">"c955"</definedName>
    <definedName name="IQ_OTHER_NON_INT_INC_OPERATING_INC_FFIEC" hidden="1">"c13392"</definedName>
    <definedName name="IQ_OTHER_NON_INT_INCOME_FFIEC" hidden="1">"c13016"</definedName>
    <definedName name="IQ_OTHER_NON_OPER_EXP" hidden="1">"c956"</definedName>
    <definedName name="IQ_OTHER_NON_OPER_EXP_BR" hidden="1">"c957"</definedName>
    <definedName name="IQ_OTHER_NON_OPER_EXP_FIN" hidden="1">"c958"</definedName>
    <definedName name="IQ_OTHER_NON_OPER_EXP_INS" hidden="1">"c959"</definedName>
    <definedName name="IQ_OTHER_NON_OPER_EXP_RE" hidden="1">"c6253"</definedName>
    <definedName name="IQ_OTHER_NON_OPER_EXP_REIT" hidden="1">"c960"</definedName>
    <definedName name="IQ_OTHER_NON_OPER_EXP_SUPPL" hidden="1">"c961"</definedName>
    <definedName name="IQ_OTHER_NON_OPER_EXP_SUPPL_BR" hidden="1">"c962"</definedName>
    <definedName name="IQ_OTHER_NON_OPER_EXP_SUPPL_FIN" hidden="1">"c963"</definedName>
    <definedName name="IQ_OTHER_NON_OPER_EXP_SUPPL_INS" hidden="1">"c964"</definedName>
    <definedName name="IQ_OTHER_NON_OPER_EXP_SUPPL_RE" hidden="1">"c6254"</definedName>
    <definedName name="IQ_OTHER_NON_OPER_EXP_SUPPL_REIT" hidden="1">"c965"</definedName>
    <definedName name="IQ_OTHER_NON_OPER_EXP_SUPPL_UTI" hidden="1">"c966"</definedName>
    <definedName name="IQ_OTHER_NON_OPER_EXP_UTI" hidden="1">"c967"</definedName>
    <definedName name="IQ_OTHER_NONFARM_NONRES_GROSS_LOANS_FFIEC" hidden="1">"c13407"</definedName>
    <definedName name="IQ_OTHER_NONFARM_NONRES_LL_REC_DOM_FFIEC" hidden="1">"c12907"</definedName>
    <definedName name="IQ_OTHER_NONFARM_NONRES_RISK_BASED_FFIEC" hidden="1">"c13428"</definedName>
    <definedName name="IQ_OTHER_NONINTEREST_INC_FOREIGN_FFIEC" hidden="1">"c15380"</definedName>
    <definedName name="IQ_OTHER_OFF_BS_ITEMS_FFIEC" hidden="1">"c13126"</definedName>
    <definedName name="IQ_OTHER_OPER" hidden="1">"c982"</definedName>
    <definedName name="IQ_OTHER_OPER_ACT" hidden="1">"c983"</definedName>
    <definedName name="IQ_OTHER_OPER_ACT_BNK" hidden="1">"c984"</definedName>
    <definedName name="IQ_OTHER_OPER_ACT_BR" hidden="1">"c985"</definedName>
    <definedName name="IQ_OTHER_OPER_ACT_FIN" hidden="1">"c986"</definedName>
    <definedName name="IQ_OTHER_OPER_ACT_INS" hidden="1">"c987"</definedName>
    <definedName name="IQ_OTHER_OPER_ACT_RE" hidden="1">"c6255"</definedName>
    <definedName name="IQ_OTHER_OPER_ACT_REIT" hidden="1">"c988"</definedName>
    <definedName name="IQ_OTHER_OPER_ACT_UTI" hidden="1">"c989"</definedName>
    <definedName name="IQ_OTHER_OPER_BR" hidden="1">"c990"</definedName>
    <definedName name="IQ_OTHER_OPER_FIN" hidden="1">"c991"</definedName>
    <definedName name="IQ_OTHER_OPER_INS" hidden="1">"c992"</definedName>
    <definedName name="IQ_OTHER_OPER_RE" hidden="1">"c6256"</definedName>
    <definedName name="IQ_OTHER_OPER_REIT" hidden="1">"c993"</definedName>
    <definedName name="IQ_OTHER_OPER_SUPPL_BR" hidden="1">"c994"</definedName>
    <definedName name="IQ_OTHER_OPER_SUPPL_FIN" hidden="1">"c995"</definedName>
    <definedName name="IQ_OTHER_OPER_SUPPL_INS" hidden="1">"c996"</definedName>
    <definedName name="IQ_OTHER_OPER_SUPPL_RE" hidden="1">"c6257"</definedName>
    <definedName name="IQ_OTHER_OPER_SUPPL_REIT" hidden="1">"c997"</definedName>
    <definedName name="IQ_OTHER_OPER_SUPPL_UTI" hidden="1">"c998"</definedName>
    <definedName name="IQ_OTHER_OPER_TOT_BNK" hidden="1">"c999"</definedName>
    <definedName name="IQ_OTHER_OPER_TOT_BR" hidden="1">"c1000"</definedName>
    <definedName name="IQ_OTHER_OPER_TOT_FIN" hidden="1">"c1001"</definedName>
    <definedName name="IQ_OTHER_OPER_TOT_INS" hidden="1">"c1002"</definedName>
    <definedName name="IQ_OTHER_OPER_TOT_RE" hidden="1">"c6258"</definedName>
    <definedName name="IQ_OTHER_OPER_TOT_REIT" hidden="1">"c1003"</definedName>
    <definedName name="IQ_OTHER_OPER_TOT_UTI" hidden="1">"c1004"</definedName>
    <definedName name="IQ_OTHER_OPER_UTI" hidden="1">"c1005"</definedName>
    <definedName name="IQ_OTHER_OPTIONS_BEG_OS" hidden="1">"c2686"</definedName>
    <definedName name="IQ_OTHER_OPTIONS_CANCELLED" hidden="1">"c2689"</definedName>
    <definedName name="IQ_OTHER_OPTIONS_END_OS" hidden="1">"c2690"</definedName>
    <definedName name="IQ_OTHER_OPTIONS_EXERCISABLE_END_OS" hidden="1">"c5814"</definedName>
    <definedName name="IQ_OTHER_OPTIONS_EXERCISED" hidden="1">"c2688"</definedName>
    <definedName name="IQ_OTHER_OPTIONS_GRANTED" hidden="1">"c2687"</definedName>
    <definedName name="IQ_OTHER_OPTIONS_STRIKE_PRICE_BEG_OS" hidden="1">"c5815"</definedName>
    <definedName name="IQ_OTHER_OPTIONS_STRIKE_PRICE_CANCELLED" hidden="1">"c5817"</definedName>
    <definedName name="IQ_OTHER_OPTIONS_STRIKE_PRICE_EXERCISABLE" hidden="1">"c5818"</definedName>
    <definedName name="IQ_OTHER_OPTIONS_STRIKE_PRICE_EXERCISED" hidden="1">"c5816"</definedName>
    <definedName name="IQ_OTHER_OPTIONS_STRIKE_PRICE_OS" hidden="1">"c2691"</definedName>
    <definedName name="IQ_OTHER_OUTSTANDING_BS_DATE" hidden="1">"c1972"</definedName>
    <definedName name="IQ_OTHER_OUTSTANDING_FILING_DATE" hidden="1">"c1974"</definedName>
    <definedName name="IQ_OTHER_OVER_TOTAL" hidden="1">"c13770"</definedName>
    <definedName name="IQ_OTHER_PC_WRITTEN" hidden="1">"c1006"</definedName>
    <definedName name="IQ_OTHER_PROP" hidden="1">"c8764"</definedName>
    <definedName name="IQ_OTHER_PROP_OPERATING_EXPENSE" hidden="1">"c16043"</definedName>
    <definedName name="IQ_OTHER_PROP_OPERATING_REVENUE" hidden="1">"c16027"</definedName>
    <definedName name="IQ_OTHER_REAL_ESTATE" hidden="1">"c1007"</definedName>
    <definedName name="IQ_OTHER_RECEIV" hidden="1">"c1008"</definedName>
    <definedName name="IQ_OTHER_RECEIV_INS" hidden="1">"c1009"</definedName>
    <definedName name="IQ_OTHER_REV" hidden="1">"c1010"</definedName>
    <definedName name="IQ_OTHER_REV_BR" hidden="1">"c1011"</definedName>
    <definedName name="IQ_OTHER_REV_FIN" hidden="1">"c1012"</definedName>
    <definedName name="IQ_OTHER_REV_INS" hidden="1">"c1013"</definedName>
    <definedName name="IQ_OTHER_REV_RE" hidden="1">"c6259"</definedName>
    <definedName name="IQ_OTHER_REV_REIT" hidden="1">"c1014"</definedName>
    <definedName name="IQ_OTHER_REV_SUPPL" hidden="1">"c1015"</definedName>
    <definedName name="IQ_OTHER_REV_SUPPL_BR" hidden="1">"c1016"</definedName>
    <definedName name="IQ_OTHER_REV_SUPPL_FIN" hidden="1">"c1017"</definedName>
    <definedName name="IQ_OTHER_REV_SUPPL_INS" hidden="1">"c1018"</definedName>
    <definedName name="IQ_OTHER_REV_SUPPL_RE" hidden="1">"c6260"</definedName>
    <definedName name="IQ_OTHER_REV_SUPPL_REIT" hidden="1">"c1019"</definedName>
    <definedName name="IQ_OTHER_REV_SUPPL_UTI" hidden="1">"c1020"</definedName>
    <definedName name="IQ_OTHER_REV_UTI" hidden="1">"c1021"</definedName>
    <definedName name="IQ_OTHER_REVENUE" hidden="1">"c1410"</definedName>
    <definedName name="IQ_OTHER_REVOL_CREDIT_CONSUMER_LOANS_FFIEC" hidden="1">"c12823"</definedName>
    <definedName name="IQ_OTHER_REVOLVING_CREDIT_LL_REC_FFIEC" hidden="1">"c12890"</definedName>
    <definedName name="IQ_OTHER_REVOLVING_CREDIT_LOANS_TRADING_DOM_FFIEC" hidden="1">"c12934"</definedName>
    <definedName name="IQ_OTHER_ROOMS" hidden="1">"c8788"</definedName>
    <definedName name="IQ_OTHER_SAVINGS_DEPOSITS_NON_TRANS_ACCTS_FFIEC" hidden="1">"c15331"</definedName>
    <definedName name="IQ_OTHER_SECURITIES_QUARTERLY_AVG_FFIEC" hidden="1">"c15472"</definedName>
    <definedName name="IQ_OTHER_SQ_FT" hidden="1">"c8780"</definedName>
    <definedName name="IQ_OTHER_STRIKE_PRICE_GRANTED" hidden="1">"c2692"</definedName>
    <definedName name="IQ_OTHER_TAX_EQUIVALENT_ADJUSTMENTS_FFIEC" hidden="1">"c13855"</definedName>
    <definedName name="IQ_OTHER_TRADING_ASSETS_FAIR_VALUE_TOT_FFIEC" hidden="1">"c15404"</definedName>
    <definedName name="IQ_OTHER_TRADING_ASSETS_FFIEC" hidden="1">"c12826"</definedName>
    <definedName name="IQ_OTHER_TRADING_ASSETS_LEVEL_1_FFIEC" hidden="1">"c15426"</definedName>
    <definedName name="IQ_OTHER_TRADING_ASSETS_LEVEL_2_FFIEC" hidden="1">"c15439"</definedName>
    <definedName name="IQ_OTHER_TRADING_ASSETS_LEVEL_3_FFIEC" hidden="1">"c15452"</definedName>
    <definedName name="IQ_OTHER_TRADING_ASSETS_TOTAL_FFIEC" hidden="1">"c12937"</definedName>
    <definedName name="IQ_OTHER_TRADING_LIABILITIES_FAIR_VALUE_TOT_FFIEC" hidden="1">"c15408"</definedName>
    <definedName name="IQ_OTHER_TRADING_LIABILITIES_FFIEC" hidden="1">"c12860"</definedName>
    <definedName name="IQ_OTHER_TRADING_LIABILITIES_LEVEL_1_FFIEC" hidden="1">"c15430"</definedName>
    <definedName name="IQ_OTHER_TRADING_LIABILITIES_LEVEL_2_FFIEC" hidden="1">"c15443"</definedName>
    <definedName name="IQ_OTHER_TRADING_LIABILITIES_LEVEL_3_FFIEC" hidden="1">"c15456"</definedName>
    <definedName name="IQ_OTHER_UNDRAWN" hidden="1">"c2522"</definedName>
    <definedName name="IQ_OTHER_UNITS" hidden="1">"c8772"</definedName>
    <definedName name="IQ_OTHER_UNUSED_FFIEC" hidden="1">"c13248"</definedName>
    <definedName name="IQ_OTHER_UNUSUAL" hidden="1">"c1488"</definedName>
    <definedName name="IQ_OTHER_UNUSUAL_BNK" hidden="1">"c1560"</definedName>
    <definedName name="IQ_OTHER_UNUSUAL_BR" hidden="1">"c1561"</definedName>
    <definedName name="IQ_OTHER_UNUSUAL_FIN" hidden="1">"c1562"</definedName>
    <definedName name="IQ_OTHER_UNUSUAL_INS" hidden="1">"c1563"</definedName>
    <definedName name="IQ_OTHER_UNUSUAL_RE" hidden="1">"c6282"</definedName>
    <definedName name="IQ_OTHER_UNUSUAL_REIT" hidden="1">"c1564"</definedName>
    <definedName name="IQ_OTHER_UNUSUAL_SUPPL" hidden="1">"c1494"</definedName>
    <definedName name="IQ_OTHER_UNUSUAL_SUPPL_BNK" hidden="1">"c1495"</definedName>
    <definedName name="IQ_OTHER_UNUSUAL_SUPPL_BR" hidden="1">"c1496"</definedName>
    <definedName name="IQ_OTHER_UNUSUAL_SUPPL_FIN" hidden="1">"c1497"</definedName>
    <definedName name="IQ_OTHER_UNUSUAL_SUPPL_INS" hidden="1">"c1498"</definedName>
    <definedName name="IQ_OTHER_UNUSUAL_SUPPL_RE" hidden="1">"c6281"</definedName>
    <definedName name="IQ_OTHER_UNUSUAL_SUPPL_REIT" hidden="1">"c1499"</definedName>
    <definedName name="IQ_OTHER_UNUSUAL_SUPPL_UTI" hidden="1">"c1500"</definedName>
    <definedName name="IQ_OTHER_UNUSUAL_SUPPLE" hidden="1">"c13816"</definedName>
    <definedName name="IQ_OTHER_UNUSUAL_UTI" hidden="1">"c1565"</definedName>
    <definedName name="IQ_OTHER_WARRANTS_BEG_OS" hidden="1">"c2712"</definedName>
    <definedName name="IQ_OTHER_WARRANTS_CANCELLED" hidden="1">"c2715"</definedName>
    <definedName name="IQ_OTHER_WARRANTS_END_OS" hidden="1">"c2716"</definedName>
    <definedName name="IQ_OTHER_WARRANTS_EXERCISED" hidden="1">"c2714"</definedName>
    <definedName name="IQ_OTHER_WARRANTS_ISSUED" hidden="1">"c2713"</definedName>
    <definedName name="IQ_OTHER_WARRANTS_STRIKE_PRICE_ISSUED" hidden="1">"c2718"</definedName>
    <definedName name="IQ_OTHER_WARRANTS_STRIKE_PRICE_OS" hidden="1">"c2717"</definedName>
    <definedName name="IQ_OUTSTANDING_BS_DATE" hidden="1">"c2128"</definedName>
    <definedName name="IQ_OUTSTANDING_FILING_DATE" hidden="1">"c1023"</definedName>
    <definedName name="IQ_OVERHEAD_EXP_AVG_ASSETS_FFIEC" hidden="1">"c13361"</definedName>
    <definedName name="IQ_OVERHEAD_EXP_REV_FFIEC" hidden="1">"c13494"</definedName>
    <definedName name="IQ_OVERHEAD_NON_INT_INC_AVG_ASSETS_FFIEC" hidden="1">"c13374"</definedName>
    <definedName name="IQ_OVERHEAD_NON_INT_OPERATING_INC_FFIEC" hidden="1">"c13393"</definedName>
    <definedName name="IQ_OVERHEAD_OPERATING_INC_FFIEC" hidden="1">"c13378"</definedName>
    <definedName name="IQ_OWNED_RESERVES_COAL" hidden="1">"c15916"</definedName>
    <definedName name="IQ_OWNED_RESERVES_TO_TOTAL_RESERVES_COAL" hidden="1">"c15957"</definedName>
    <definedName name="IQ_OWNER_OCCUPIED_GROSS_LOANS_FFIEC" hidden="1">"c13406"</definedName>
    <definedName name="IQ_OWNER_OCCUPIED_LOANS_RISK_BASED_FFIEC" hidden="1">"c13427"</definedName>
    <definedName name="IQ_OWNER_OCCUPIED_NONFARM_NONRES_LL_REC_DOM_FFIEC" hidden="1">"c12906"</definedName>
    <definedName name="IQ_OWNERSHIP" hidden="1">"c2160"</definedName>
    <definedName name="IQ_PART_TIME" hidden="1">"c1024"</definedName>
    <definedName name="IQ_PARTICIPATIONS_ACCEPTANCES_FFIEC" hidden="1">"c13254"</definedName>
    <definedName name="IQ_PARTNERSHIP_INC_RE" hidden="1">"c12039"</definedName>
    <definedName name="IQ_PASS_THROUGH_FNMA_GNMA_TRADING_FFIEC" hidden="1">"c12816"</definedName>
    <definedName name="IQ_PAST_DUE_ALLOW_GROSS_LOANS_FFIEC" hidden="1">"c13416"</definedName>
    <definedName name="IQ_PAY_ACCRUED" hidden="1">"c1457"</definedName>
    <definedName name="IQ_PAYOUT_RATIO" hidden="1">"c1900"</definedName>
    <definedName name="IQ_PBV" hidden="1">"c1025"</definedName>
    <definedName name="IQ_PBV_AVG" hidden="1">"c1026"</definedName>
    <definedName name="IQ_PBV_FWD" hidden="1">"c15235"</definedName>
    <definedName name="IQ_PBV_FWD_THOM" hidden="1">"c15237"</definedName>
    <definedName name="IQ_PC_EARNED" hidden="1">"c2749"</definedName>
    <definedName name="IQ_PC_GAAP_COMBINED_RATIO" hidden="1">"c2781"</definedName>
    <definedName name="IQ_PC_GAAP_COMBINED_RATIO_EXCL_CL" hidden="1">"c2782"</definedName>
    <definedName name="IQ_PC_GAAP_EXPENSE_RATIO" hidden="1">"c2780"</definedName>
    <definedName name="IQ_PC_GAAP_LOSS" hidden="1">"c2779"</definedName>
    <definedName name="IQ_PC_POLICY_BENEFITS_EXP" hidden="1">"c2790"</definedName>
    <definedName name="IQ_PC_STAT_COMBINED_RATIO" hidden="1">"c2778"</definedName>
    <definedName name="IQ_PC_STAT_COMBINED_RATIO_EXCL_DIV" hidden="1">"c2777"</definedName>
    <definedName name="IQ_PC_STAT_DIVIDEND_RATIO" hidden="1">"c2776"</definedName>
    <definedName name="IQ_PC_STAT_EXPENSE_RATIO" hidden="1">"c2775"</definedName>
    <definedName name="IQ_PC_STAT_LOSS_RATIO" hidden="1">"c2774"</definedName>
    <definedName name="IQ_PC_STATUTORY_SURPLUS" hidden="1">"c2770"</definedName>
    <definedName name="IQ_PC_WRITTEN" hidden="1">"c1027"</definedName>
    <definedName name="IQ_PE_EXCL" hidden="1">"c1028"</definedName>
    <definedName name="IQ_PE_EXCL_AVG" hidden="1">"c1029"</definedName>
    <definedName name="IQ_PE_EXCL_FWD" hidden="1">"c1030"</definedName>
    <definedName name="IQ_PE_EXCL_FWD_CIQ" hidden="1">"c4042"</definedName>
    <definedName name="IQ_PE_EXCL_FWD_REUT" hidden="1">"c4049"</definedName>
    <definedName name="IQ_PE_EXCL_FWD_THOM" hidden="1">"c4056"</definedName>
    <definedName name="IQ_PE_NORMALIZED" hidden="1">"c2207"</definedName>
    <definedName name="IQ_PE_RATIO" hidden="1">"c1610"</definedName>
    <definedName name="IQ_PEG_FWD" hidden="1">"c1863"</definedName>
    <definedName name="IQ_PEG_FWD_CIQ" hidden="1">"c4045"</definedName>
    <definedName name="IQ_PEG_FWD_REUT" hidden="1">"c4052"</definedName>
    <definedName name="IQ_PEG_FWD_THOM" hidden="1">"c4059"</definedName>
    <definedName name="IQ_PENETRATION_BASIC_CABLE" hidden="1">"c2850"</definedName>
    <definedName name="IQ_PENETRATION_BBAND" hidden="1">"c2852"</definedName>
    <definedName name="IQ_PENETRATION_BBAND_THP" hidden="1">"c2851"</definedName>
    <definedName name="IQ_PENETRATION_PHONE" hidden="1">"c2853"</definedName>
    <definedName name="IQ_PENSION" hidden="1">"c1031"</definedName>
    <definedName name="IQ_PENSION_ACCRUED_LIAB" hidden="1">"c3134"</definedName>
    <definedName name="IQ_PENSION_ACCRUED_LIAB_DOM" hidden="1">"c3132"</definedName>
    <definedName name="IQ_PENSION_ACCRUED_LIAB_FOREIGN" hidden="1">"c3133"</definedName>
    <definedName name="IQ_PENSION_ACCUM_OTHER_CI" hidden="1">"c3140"</definedName>
    <definedName name="IQ_PENSION_ACCUM_OTHER_CI_DOM" hidden="1">"c3138"</definedName>
    <definedName name="IQ_PENSION_ACCUM_OTHER_CI_FOREIGN" hidden="1">"c3139"</definedName>
    <definedName name="IQ_PENSION_ACCUMULATED_OBLIGATION" hidden="1">"c3570"</definedName>
    <definedName name="IQ_PENSION_ACCUMULATED_OBLIGATION_DOMESTIC" hidden="1">"c3568"</definedName>
    <definedName name="IQ_PENSION_ACCUMULATED_OBLIGATION_FOREIGN" hidden="1">"c3569"</definedName>
    <definedName name="IQ_PENSION_ACT_NEXT" hidden="1">"c5738"</definedName>
    <definedName name="IQ_PENSION_ACT_NEXT_DOM" hidden="1">"c5736"</definedName>
    <definedName name="IQ_PENSION_ACT_NEXT_FOREIGN" hidden="1">"c5737"</definedName>
    <definedName name="IQ_PENSION_AMT_RECOG_NEXT_DOM" hidden="1">"c5745"</definedName>
    <definedName name="IQ_PENSION_AMT_RECOG_NEXT_FOREIGN" hidden="1">"c5746"</definedName>
    <definedName name="IQ_PENSION_AMT_RECOG_PERIOD" hidden="1">"c5747"</definedName>
    <definedName name="IQ_PENSION_ASSETS" hidden="1">"c3182"</definedName>
    <definedName name="IQ_PENSION_ASSETS_ACQ" hidden="1">"c3173"</definedName>
    <definedName name="IQ_PENSION_ASSETS_ACQ_DOM" hidden="1">"c3171"</definedName>
    <definedName name="IQ_PENSION_ASSETS_ACQ_FOREIGN" hidden="1">"c3172"</definedName>
    <definedName name="IQ_PENSION_ASSETS_ACTUAL_RETURN" hidden="1">"c3158"</definedName>
    <definedName name="IQ_PENSION_ASSETS_ACTUAL_RETURN_DOM" hidden="1">"c3156"</definedName>
    <definedName name="IQ_PENSION_ASSETS_ACTUAL_RETURN_FOREIGN" hidden="1">"c3157"</definedName>
    <definedName name="IQ_PENSION_ASSETS_BEG" hidden="1">"c3155"</definedName>
    <definedName name="IQ_PENSION_ASSETS_BEG_DOM" hidden="1">"c3153"</definedName>
    <definedName name="IQ_PENSION_ASSETS_BEG_FOREIGN" hidden="1">"c3154"</definedName>
    <definedName name="IQ_PENSION_ASSETS_BENEFITS_PAID" hidden="1">"c3167"</definedName>
    <definedName name="IQ_PENSION_ASSETS_BENEFITS_PAID_DOM" hidden="1">"c3165"</definedName>
    <definedName name="IQ_PENSION_ASSETS_BENEFITS_PAID_FOREIGN" hidden="1">"c3166"</definedName>
    <definedName name="IQ_PENSION_ASSETS_CURTAIL" hidden="1">"c3176"</definedName>
    <definedName name="IQ_PENSION_ASSETS_CURTAIL_DOM" hidden="1">"c3174"</definedName>
    <definedName name="IQ_PENSION_ASSETS_CURTAIL_FOREIGN" hidden="1">"c3175"</definedName>
    <definedName name="IQ_PENSION_ASSETS_DOM" hidden="1">"c3180"</definedName>
    <definedName name="IQ_PENSION_ASSETS_EMPLOYER_CONTRIBUTIONS" hidden="1">"c3161"</definedName>
    <definedName name="IQ_PENSION_ASSETS_EMPLOYER_CONTRIBUTIONS_DOM" hidden="1">"c3159"</definedName>
    <definedName name="IQ_PENSION_ASSETS_EMPLOYER_CONTRIBUTIONS_FOREIGN" hidden="1">"c3160"</definedName>
    <definedName name="IQ_PENSION_ASSETS_FOREIGN" hidden="1">"c3181"</definedName>
    <definedName name="IQ_PENSION_ASSETS_FX_ADJ" hidden="1">"c3170"</definedName>
    <definedName name="IQ_PENSION_ASSETS_FX_ADJ_DOM" hidden="1">"c3168"</definedName>
    <definedName name="IQ_PENSION_ASSETS_FX_ADJ_FOREIGN" hidden="1">"c3169"</definedName>
    <definedName name="IQ_PENSION_ASSETS_OTHER_PLAN_ADJ" hidden="1">"c3179"</definedName>
    <definedName name="IQ_PENSION_ASSETS_OTHER_PLAN_ADJ_DOM" hidden="1">"c3177"</definedName>
    <definedName name="IQ_PENSION_ASSETS_OTHER_PLAN_ADJ_FOREIGN" hidden="1">"c3178"</definedName>
    <definedName name="IQ_PENSION_ASSETS_PARTICIP_CONTRIBUTIONS" hidden="1">"c3164"</definedName>
    <definedName name="IQ_PENSION_ASSETS_PARTICIP_CONTRIBUTIONS_DOM" hidden="1">"c3162"</definedName>
    <definedName name="IQ_PENSION_ASSETS_PARTICIP_CONTRIBUTIONS_FOREIGN" hidden="1">"c3163"</definedName>
    <definedName name="IQ_PENSION_BENEFIT_INFO_DATE" hidden="1">"c3230"</definedName>
    <definedName name="IQ_PENSION_BENEFIT_INFO_DATE_DOM" hidden="1">"c3228"</definedName>
    <definedName name="IQ_PENSION_BENEFIT_INFO_DATE_FOREIGN" hidden="1">"c3229"</definedName>
    <definedName name="IQ_PENSION_BREAKDOWN_EQ" hidden="1">"c3101"</definedName>
    <definedName name="IQ_PENSION_BREAKDOWN_EQ_DOM" hidden="1">"c3099"</definedName>
    <definedName name="IQ_PENSION_BREAKDOWN_EQ_FOREIGN" hidden="1">"c3100"</definedName>
    <definedName name="IQ_PENSION_BREAKDOWN_FI" hidden="1">"c3104"</definedName>
    <definedName name="IQ_PENSION_BREAKDOWN_FI_DOM" hidden="1">"c3102"</definedName>
    <definedName name="IQ_PENSION_BREAKDOWN_FI_FOREIGN" hidden="1">"c3103"</definedName>
    <definedName name="IQ_PENSION_BREAKDOWN_OTHER" hidden="1">"c3110"</definedName>
    <definedName name="IQ_PENSION_BREAKDOWN_OTHER_DOM" hidden="1">"c3108"</definedName>
    <definedName name="IQ_PENSION_BREAKDOWN_OTHER_FOREIGN" hidden="1">"c3109"</definedName>
    <definedName name="IQ_PENSION_BREAKDOWN_PCT_EQ" hidden="1">"c3089"</definedName>
    <definedName name="IQ_PENSION_BREAKDOWN_PCT_EQ_DOM" hidden="1">"c3087"</definedName>
    <definedName name="IQ_PENSION_BREAKDOWN_PCT_EQ_FOREIGN" hidden="1">"c3088"</definedName>
    <definedName name="IQ_PENSION_BREAKDOWN_PCT_FI" hidden="1">"c3092"</definedName>
    <definedName name="IQ_PENSION_BREAKDOWN_PCT_FI_DOM" hidden="1">"c3090"</definedName>
    <definedName name="IQ_PENSION_BREAKDOWN_PCT_FI_FOREIGN" hidden="1">"c3091"</definedName>
    <definedName name="IQ_PENSION_BREAKDOWN_PCT_OTHER" hidden="1">"c3098"</definedName>
    <definedName name="IQ_PENSION_BREAKDOWN_PCT_OTHER_DOM" hidden="1">"c3096"</definedName>
    <definedName name="IQ_PENSION_BREAKDOWN_PCT_OTHER_FOREIGN" hidden="1">"c3097"</definedName>
    <definedName name="IQ_PENSION_BREAKDOWN_PCT_RE" hidden="1">"c3095"</definedName>
    <definedName name="IQ_PENSION_BREAKDOWN_PCT_RE_DOM" hidden="1">"c3093"</definedName>
    <definedName name="IQ_PENSION_BREAKDOWN_PCT_RE_FOREIGN" hidden="1">"c3094"</definedName>
    <definedName name="IQ_PENSION_BREAKDOWN_RE" hidden="1">"c3107"</definedName>
    <definedName name="IQ_PENSION_BREAKDOWN_RE_DOM" hidden="1">"c3105"</definedName>
    <definedName name="IQ_PENSION_BREAKDOWN_RE_FOREIGN" hidden="1">"c3106"</definedName>
    <definedName name="IQ_PENSION_CI_ACT" hidden="1">"c5723"</definedName>
    <definedName name="IQ_PENSION_CI_ACT_DOM" hidden="1">"c5721"</definedName>
    <definedName name="IQ_PENSION_CI_ACT_FOREIGN" hidden="1">"c5722"</definedName>
    <definedName name="IQ_PENSION_CI_NET_AMT_RECOG" hidden="1">"c5735"</definedName>
    <definedName name="IQ_PENSION_CI_NET_AMT_RECOG_DOM" hidden="1">"c5733"</definedName>
    <definedName name="IQ_PENSION_CI_NET_AMT_RECOG_FOREIGN" hidden="1">"c5734"</definedName>
    <definedName name="IQ_PENSION_CI_OTHER_MISC_ADJ" hidden="1">"c5732"</definedName>
    <definedName name="IQ_PENSION_CI_OTHER_MISC_ADJ_DOM" hidden="1">"c5730"</definedName>
    <definedName name="IQ_PENSION_CI_OTHER_MISC_ADJ_FOREIGN" hidden="1">"c5731"</definedName>
    <definedName name="IQ_PENSION_CI_PRIOR_SERVICE" hidden="1">"c5726"</definedName>
    <definedName name="IQ_PENSION_CI_PRIOR_SERVICE_DOM" hidden="1">"c5724"</definedName>
    <definedName name="IQ_PENSION_CI_PRIOR_SERVICE_FOREIGN" hidden="1">"c5725"</definedName>
    <definedName name="IQ_PENSION_CI_TRANSITION" hidden="1">"c5729"</definedName>
    <definedName name="IQ_PENSION_CI_TRANSITION_DOM" hidden="1">"c5727"</definedName>
    <definedName name="IQ_PENSION_CI_TRANSITION_FOREIGN" hidden="1">"c5728"</definedName>
    <definedName name="IQ_PENSION_CL" hidden="1">"c5753"</definedName>
    <definedName name="IQ_PENSION_CL_DOM" hidden="1">"c5751"</definedName>
    <definedName name="IQ_PENSION_CL_FOREIGN" hidden="1">"c5752"</definedName>
    <definedName name="IQ_PENSION_CONTRIBUTION_TOTAL_COST" hidden="1">"c3559"</definedName>
    <definedName name="IQ_PENSION_DISC_RATE_MAX" hidden="1">"c3236"</definedName>
    <definedName name="IQ_PENSION_DISC_RATE_MAX_DOM" hidden="1">"c3234"</definedName>
    <definedName name="IQ_PENSION_DISC_RATE_MAX_FOREIGN" hidden="1">"c3235"</definedName>
    <definedName name="IQ_PENSION_DISC_RATE_MIN" hidden="1">"c3233"</definedName>
    <definedName name="IQ_PENSION_DISC_RATE_MIN_DOM" hidden="1">"c3231"</definedName>
    <definedName name="IQ_PENSION_DISC_RATE_MIN_FOREIGN" hidden="1">"c3232"</definedName>
    <definedName name="IQ_PENSION_DISCOUNT_RATE_DOMESTIC" hidden="1">"c3573"</definedName>
    <definedName name="IQ_PENSION_DISCOUNT_RATE_FOREIGN" hidden="1">"c3574"</definedName>
    <definedName name="IQ_PENSION_EST_BENEFIT_1YR" hidden="1">"c3113"</definedName>
    <definedName name="IQ_PENSION_EST_BENEFIT_1YR_DOM" hidden="1">"c3111"</definedName>
    <definedName name="IQ_PENSION_EST_BENEFIT_1YR_FOREIGN" hidden="1">"c3112"</definedName>
    <definedName name="IQ_PENSION_EST_BENEFIT_2YR" hidden="1">"c3116"</definedName>
    <definedName name="IQ_PENSION_EST_BENEFIT_2YR_DOM" hidden="1">"c3114"</definedName>
    <definedName name="IQ_PENSION_EST_BENEFIT_2YR_FOREIGN" hidden="1">"c3115"</definedName>
    <definedName name="IQ_PENSION_EST_BENEFIT_3YR" hidden="1">"c3119"</definedName>
    <definedName name="IQ_PENSION_EST_BENEFIT_3YR_DOM" hidden="1">"c3117"</definedName>
    <definedName name="IQ_PENSION_EST_BENEFIT_3YR_FOREIGN" hidden="1">"c3118"</definedName>
    <definedName name="IQ_PENSION_EST_BENEFIT_4YR" hidden="1">"c3122"</definedName>
    <definedName name="IQ_PENSION_EST_BENEFIT_4YR_DOM" hidden="1">"c3120"</definedName>
    <definedName name="IQ_PENSION_EST_BENEFIT_4YR_FOREIGN" hidden="1">"c3121"</definedName>
    <definedName name="IQ_PENSION_EST_BENEFIT_5YR" hidden="1">"c3125"</definedName>
    <definedName name="IQ_PENSION_EST_BENEFIT_5YR_DOM" hidden="1">"c3123"</definedName>
    <definedName name="IQ_PENSION_EST_BENEFIT_5YR_FOREIGN" hidden="1">"c3124"</definedName>
    <definedName name="IQ_PENSION_EST_BENEFIT_AFTER5" hidden="1">"c3128"</definedName>
    <definedName name="IQ_PENSION_EST_BENEFIT_AFTER5_DOM" hidden="1">"c3126"</definedName>
    <definedName name="IQ_PENSION_EST_BENEFIT_AFTER5_FOREIGN" hidden="1">"c3127"</definedName>
    <definedName name="IQ_PENSION_EST_CONTRIBUTIONS_NEXTYR" hidden="1">"c3218"</definedName>
    <definedName name="IQ_PENSION_EST_CONTRIBUTIONS_NEXTYR_DOM" hidden="1">"c3216"</definedName>
    <definedName name="IQ_PENSION_EST_CONTRIBUTIONS_NEXTYR_FOREIGN" hidden="1">"c3217"</definedName>
    <definedName name="IQ_PENSION_EXP_RATE_RETURN_MAX" hidden="1">"c3248"</definedName>
    <definedName name="IQ_PENSION_EXP_RATE_RETURN_MAX_DOM" hidden="1">"c3246"</definedName>
    <definedName name="IQ_PENSION_EXP_RATE_RETURN_MAX_FOREIGN" hidden="1">"c3247"</definedName>
    <definedName name="IQ_PENSION_EXP_RATE_RETURN_MIN" hidden="1">"c3245"</definedName>
    <definedName name="IQ_PENSION_EXP_RATE_RETURN_MIN_DOM" hidden="1">"c3243"</definedName>
    <definedName name="IQ_PENSION_EXP_RATE_RETURN_MIN_FOREIGN" hidden="1">"c3244"</definedName>
    <definedName name="IQ_PENSION_EXP_RETURN_DOMESTIC" hidden="1">"c3571"</definedName>
    <definedName name="IQ_PENSION_EXP_RETURN_FOREIGN" hidden="1">"c3572"</definedName>
    <definedName name="IQ_PENSION_INTAN_ASSETS" hidden="1">"c3137"</definedName>
    <definedName name="IQ_PENSION_INTAN_ASSETS_DOM" hidden="1">"c3135"</definedName>
    <definedName name="IQ_PENSION_INTAN_ASSETS_FOREIGN" hidden="1">"c3136"</definedName>
    <definedName name="IQ_PENSION_INTEREST_COST" hidden="1">"c3582"</definedName>
    <definedName name="IQ_PENSION_INTEREST_COST_DOM" hidden="1">"c3580"</definedName>
    <definedName name="IQ_PENSION_INTEREST_COST_FOREIGN" hidden="1">"c3581"</definedName>
    <definedName name="IQ_PENSION_LT_ASSETS" hidden="1">"c5750"</definedName>
    <definedName name="IQ_PENSION_LT_ASSETS_DOM" hidden="1">"c5748"</definedName>
    <definedName name="IQ_PENSION_LT_ASSETS_FOREIGN" hidden="1">"c5749"</definedName>
    <definedName name="IQ_PENSION_LT_LIAB" hidden="1">"c5756"</definedName>
    <definedName name="IQ_PENSION_LT_LIAB_DOM" hidden="1">"c5754"</definedName>
    <definedName name="IQ_PENSION_LT_LIAB_FOREIGN" hidden="1">"c5755"</definedName>
    <definedName name="IQ_PENSION_NET_ASSET_RECOG" hidden="1">"c3152"</definedName>
    <definedName name="IQ_PENSION_NET_ASSET_RECOG_DOM" hidden="1">"c3150"</definedName>
    <definedName name="IQ_PENSION_NET_ASSET_RECOG_FOREIGN" hidden="1">"c3151"</definedName>
    <definedName name="IQ_PENSION_OBLIGATION_ACQ" hidden="1">"c3206"</definedName>
    <definedName name="IQ_PENSION_OBLIGATION_ACQ_DOM" hidden="1">"c3204"</definedName>
    <definedName name="IQ_PENSION_OBLIGATION_ACQ_FOREIGN" hidden="1">"c3205"</definedName>
    <definedName name="IQ_PENSION_OBLIGATION_ACTUARIAL_GAIN_LOSS" hidden="1">"c3197"</definedName>
    <definedName name="IQ_PENSION_OBLIGATION_ACTUARIAL_GAIN_LOSS_DOM" hidden="1">"c3195"</definedName>
    <definedName name="IQ_PENSION_OBLIGATION_ACTUARIAL_GAIN_LOSS_FOREIGN" hidden="1">"c3196"</definedName>
    <definedName name="IQ_PENSION_OBLIGATION_BEG" hidden="1">"c3185"</definedName>
    <definedName name="IQ_PENSION_OBLIGATION_BEG_DOM" hidden="1">"c3183"</definedName>
    <definedName name="IQ_PENSION_OBLIGATION_BEG_FOREIGN" hidden="1">"c3184"</definedName>
    <definedName name="IQ_PENSION_OBLIGATION_CURTAIL" hidden="1">"c3209"</definedName>
    <definedName name="IQ_PENSION_OBLIGATION_CURTAIL_DOM" hidden="1">"c3207"</definedName>
    <definedName name="IQ_PENSION_OBLIGATION_CURTAIL_FOREIGN" hidden="1">"c3208"</definedName>
    <definedName name="IQ_PENSION_OBLIGATION_EMPLOYEE_CONTRIBUTIONS" hidden="1">"c3194"</definedName>
    <definedName name="IQ_PENSION_OBLIGATION_EMPLOYEE_CONTRIBUTIONS_DOM" hidden="1">"c3192"</definedName>
    <definedName name="IQ_PENSION_OBLIGATION_EMPLOYEE_CONTRIBUTIONS_FOREIGN" hidden="1">"c3193"</definedName>
    <definedName name="IQ_PENSION_OBLIGATION_FX_ADJ" hidden="1">"c3203"</definedName>
    <definedName name="IQ_PENSION_OBLIGATION_FX_ADJ_DOM" hidden="1">"c3201"</definedName>
    <definedName name="IQ_PENSION_OBLIGATION_FX_ADJ_FOREIGN" hidden="1">"c3202"</definedName>
    <definedName name="IQ_PENSION_OBLIGATION_INTEREST_COST" hidden="1">"c3191"</definedName>
    <definedName name="IQ_PENSION_OBLIGATION_INTEREST_COST_DOM" hidden="1">"c3189"</definedName>
    <definedName name="IQ_PENSION_OBLIGATION_INTEREST_COST_FOREIGN" hidden="1">"c3190"</definedName>
    <definedName name="IQ_PENSION_OBLIGATION_OTHER_COST" hidden="1">"c3555"</definedName>
    <definedName name="IQ_PENSION_OBLIGATION_OTHER_COST_DOM" hidden="1">"c3553"</definedName>
    <definedName name="IQ_PENSION_OBLIGATION_OTHER_COST_FOREIGN" hidden="1">"c3554"</definedName>
    <definedName name="IQ_PENSION_OBLIGATION_OTHER_PLAN_ADJ" hidden="1">"c3212"</definedName>
    <definedName name="IQ_PENSION_OBLIGATION_OTHER_PLAN_ADJ_DOM" hidden="1">"c3210"</definedName>
    <definedName name="IQ_PENSION_OBLIGATION_OTHER_PLAN_ADJ_FOREIGN" hidden="1">"c3211"</definedName>
    <definedName name="IQ_PENSION_OBLIGATION_PAID" hidden="1">"c3200"</definedName>
    <definedName name="IQ_PENSION_OBLIGATION_PAID_DOM" hidden="1">"c3198"</definedName>
    <definedName name="IQ_PENSION_OBLIGATION_PAID_FOREIGN" hidden="1">"c3199"</definedName>
    <definedName name="IQ_PENSION_OBLIGATION_PROJECTED" hidden="1">"c3215"</definedName>
    <definedName name="IQ_PENSION_OBLIGATION_PROJECTED_DOM" hidden="1">"c3213"</definedName>
    <definedName name="IQ_PENSION_OBLIGATION_PROJECTED_FOREIGN" hidden="1">"c3214"</definedName>
    <definedName name="IQ_PENSION_OBLIGATION_ROA" hidden="1">"c3552"</definedName>
    <definedName name="IQ_PENSION_OBLIGATION_ROA_DOM" hidden="1">"c3550"</definedName>
    <definedName name="IQ_PENSION_OBLIGATION_ROA_FOREIGN" hidden="1">"c3551"</definedName>
    <definedName name="IQ_PENSION_OBLIGATION_SERVICE_COST" hidden="1">"c3188"</definedName>
    <definedName name="IQ_PENSION_OBLIGATION_SERVICE_COST_DOM" hidden="1">"c3186"</definedName>
    <definedName name="IQ_PENSION_OBLIGATION_SERVICE_COST_FOREIGN" hidden="1">"c3187"</definedName>
    <definedName name="IQ_PENSION_OBLIGATION_TOTAL_COST" hidden="1">"c3558"</definedName>
    <definedName name="IQ_PENSION_OBLIGATION_TOTAL_COST_DOM" hidden="1">"c3556"</definedName>
    <definedName name="IQ_PENSION_OBLIGATION_TOTAL_COST_FOREIGN" hidden="1">"c3557"</definedName>
    <definedName name="IQ_PENSION_OTHER" hidden="1">"c3143"</definedName>
    <definedName name="IQ_PENSION_OTHER_ADJ" hidden="1">"c3149"</definedName>
    <definedName name="IQ_PENSION_OTHER_ADJ_DOM" hidden="1">"c3147"</definedName>
    <definedName name="IQ_PENSION_OTHER_ADJ_FOREIGN" hidden="1">"c3148"</definedName>
    <definedName name="IQ_PENSION_OTHER_DOM" hidden="1">"c3141"</definedName>
    <definedName name="IQ_PENSION_OTHER_FOREIGN" hidden="1">"c3142"</definedName>
    <definedName name="IQ_PENSION_PBO_ASSUMED_RATE_RET_MAX" hidden="1">"c3254"</definedName>
    <definedName name="IQ_PENSION_PBO_ASSUMED_RATE_RET_MAX_DOM" hidden="1">"c3252"</definedName>
    <definedName name="IQ_PENSION_PBO_ASSUMED_RATE_RET_MAX_FOREIGN" hidden="1">"c3253"</definedName>
    <definedName name="IQ_PENSION_PBO_ASSUMED_RATE_RET_MIN" hidden="1">"c3251"</definedName>
    <definedName name="IQ_PENSION_PBO_ASSUMED_RATE_RET_MIN_DOM" hidden="1">"c3249"</definedName>
    <definedName name="IQ_PENSION_PBO_ASSUMED_RATE_RET_MIN_FOREIGN" hidden="1">"c3250"</definedName>
    <definedName name="IQ_PENSION_PBO_RATE_COMP_INCREASE_MAX" hidden="1">"c3260"</definedName>
    <definedName name="IQ_PENSION_PBO_RATE_COMP_INCREASE_MAX_DOM" hidden="1">"c3258"</definedName>
    <definedName name="IQ_PENSION_PBO_RATE_COMP_INCREASE_MAX_FOREIGN" hidden="1">"c3259"</definedName>
    <definedName name="IQ_PENSION_PBO_RATE_COMP_INCREASE_MIN" hidden="1">"c3257"</definedName>
    <definedName name="IQ_PENSION_PBO_RATE_COMP_INCREASE_MIN_DOM" hidden="1">"c3255"</definedName>
    <definedName name="IQ_PENSION_PBO_RATE_COMP_INCREASE_MIN_FOREIGN" hidden="1">"c3256"</definedName>
    <definedName name="IQ_PENSION_PREPAID_COST" hidden="1">"c3131"</definedName>
    <definedName name="IQ_PENSION_PREPAID_COST_DOM" hidden="1">"c3129"</definedName>
    <definedName name="IQ_PENSION_PREPAID_COST_FOREIGN" hidden="1">"c3130"</definedName>
    <definedName name="IQ_PENSION_PRIOR_SERVICE_NEXT" hidden="1">"c5741"</definedName>
    <definedName name="IQ_PENSION_PRIOR_SERVICE_NEXT_DOM" hidden="1">"c5739"</definedName>
    <definedName name="IQ_PENSION_PRIOR_SERVICE_NEXT_FOREIGN" hidden="1">"c5740"</definedName>
    <definedName name="IQ_PENSION_PROJECTED_OBLIGATION" hidden="1">"c3566"</definedName>
    <definedName name="IQ_PENSION_PROJECTED_OBLIGATION_DOMESTIC" hidden="1">"c3564"</definedName>
    <definedName name="IQ_PENSION_PROJECTED_OBLIGATION_FOREIGN" hidden="1">"c3565"</definedName>
    <definedName name="IQ_PENSION_QUART_ADDL_CONTRIBUTIONS_EXP" hidden="1">"c3224"</definedName>
    <definedName name="IQ_PENSION_QUART_ADDL_CONTRIBUTIONS_EXP_DOM" hidden="1">"c3222"</definedName>
    <definedName name="IQ_PENSION_QUART_ADDL_CONTRIBUTIONS_EXP_FOREIGN" hidden="1">"c3223"</definedName>
    <definedName name="IQ_PENSION_QUART_EMPLOYER_CONTRIBUTIONS" hidden="1">"c3221"</definedName>
    <definedName name="IQ_PENSION_QUART_EMPLOYER_CONTRIBUTIONS_DOM" hidden="1">"c3219"</definedName>
    <definedName name="IQ_PENSION_QUART_EMPLOYER_CONTRIBUTIONS_FOREIGN" hidden="1">"c3220"</definedName>
    <definedName name="IQ_PENSION_RATE_COMP_GROWTH_DOMESTIC" hidden="1">"c3575"</definedName>
    <definedName name="IQ_PENSION_RATE_COMP_GROWTH_FOREIGN" hidden="1">"c3576"</definedName>
    <definedName name="IQ_PENSION_RATE_COMP_INCREASE_MAX" hidden="1">"c3242"</definedName>
    <definedName name="IQ_PENSION_RATE_COMP_INCREASE_MAX_DOM" hidden="1">"c3240"</definedName>
    <definedName name="IQ_PENSION_RATE_COMP_INCREASE_MAX_FOREIGN" hidden="1">"c3241"</definedName>
    <definedName name="IQ_PENSION_RATE_COMP_INCREASE_MIN" hidden="1">"c3239"</definedName>
    <definedName name="IQ_PENSION_RATE_COMP_INCREASE_MIN_DOM" hidden="1">"c3237"</definedName>
    <definedName name="IQ_PENSION_RATE_COMP_INCREASE_MIN_FOREIGN" hidden="1">"c3238"</definedName>
    <definedName name="IQ_PENSION_SERVICE_COST" hidden="1">"c3579"</definedName>
    <definedName name="IQ_PENSION_SERVICE_COST_DOM" hidden="1">"c3577"</definedName>
    <definedName name="IQ_PENSION_SERVICE_COST_FOREIGN" hidden="1">"c3578"</definedName>
    <definedName name="IQ_PENSION_TOTAL_ASSETS" hidden="1">"c3563"</definedName>
    <definedName name="IQ_PENSION_TOTAL_ASSETS_DOMESTIC" hidden="1">"c3561"</definedName>
    <definedName name="IQ_PENSION_TOTAL_ASSETS_FOREIGN" hidden="1">"c3562"</definedName>
    <definedName name="IQ_PENSION_TOTAL_EXP" hidden="1">"c3560"</definedName>
    <definedName name="IQ_PENSION_TRANSITION_NEXT" hidden="1">"c5744"</definedName>
    <definedName name="IQ_PENSION_TRANSITION_NEXT_DOM" hidden="1">"c5742"</definedName>
    <definedName name="IQ_PENSION_TRANSITION_NEXT_FOREIGN" hidden="1">"c5743"</definedName>
    <definedName name="IQ_PENSION_UNFUNDED_ADDL_MIN_LIAB" hidden="1">"c3227"</definedName>
    <definedName name="IQ_PENSION_UNFUNDED_ADDL_MIN_LIAB_DOM" hidden="1">"c3225"</definedName>
    <definedName name="IQ_PENSION_UNFUNDED_ADDL_MIN_LIAB_FOREIGN" hidden="1">"c3226"</definedName>
    <definedName name="IQ_PENSION_UNRECOG_PRIOR" hidden="1">"c3146"</definedName>
    <definedName name="IQ_PENSION_UNRECOG_PRIOR_DOM" hidden="1">"c3144"</definedName>
    <definedName name="IQ_PENSION_UNRECOG_PRIOR_FOREIGN" hidden="1">"c3145"</definedName>
    <definedName name="IQ_PENSION_UV_LIAB" hidden="1">"c3567"</definedName>
    <definedName name="IQ_PERCENT_CHANGE_EST_5YR_GROWTH_RATE_12MONTHS" hidden="1">"c1852"</definedName>
    <definedName name="IQ_PERCENT_CHANGE_EST_5YR_GROWTH_RATE_12MONTHS_CIQ" hidden="1">"c3790"</definedName>
    <definedName name="IQ_PERCENT_CHANGE_EST_5YR_GROWTH_RATE_12MONTHS_REUT" hidden="1">"c3959"</definedName>
    <definedName name="IQ_PERCENT_CHANGE_EST_5YR_GROWTH_RATE_12MONTHS_THOM" hidden="1">"c5269"</definedName>
    <definedName name="IQ_PERCENT_CHANGE_EST_5YR_GROWTH_RATE_18MONTHS" hidden="1">"c1853"</definedName>
    <definedName name="IQ_PERCENT_CHANGE_EST_5YR_GROWTH_RATE_18MONTHS_CIQ" hidden="1">"c3791"</definedName>
    <definedName name="IQ_PERCENT_CHANGE_EST_5YR_GROWTH_RATE_18MONTHS_REUT" hidden="1">"c3960"</definedName>
    <definedName name="IQ_PERCENT_CHANGE_EST_5YR_GROWTH_RATE_18MONTHS_THOM" hidden="1">"c5270"</definedName>
    <definedName name="IQ_PERCENT_CHANGE_EST_5YR_GROWTH_RATE_3MONTHS" hidden="1">"c1849"</definedName>
    <definedName name="IQ_PERCENT_CHANGE_EST_5YR_GROWTH_RATE_3MONTHS_CIQ" hidden="1">"c3787"</definedName>
    <definedName name="IQ_PERCENT_CHANGE_EST_5YR_GROWTH_RATE_3MONTHS_REUT" hidden="1">"c3956"</definedName>
    <definedName name="IQ_PERCENT_CHANGE_EST_5YR_GROWTH_RATE_3MONTHS_THOM" hidden="1">"c5266"</definedName>
    <definedName name="IQ_PERCENT_CHANGE_EST_5YR_GROWTH_RATE_6MONTHS" hidden="1">"c1850"</definedName>
    <definedName name="IQ_PERCENT_CHANGE_EST_5YR_GROWTH_RATE_6MONTHS_CIQ" hidden="1">"c3788"</definedName>
    <definedName name="IQ_PERCENT_CHANGE_EST_5YR_GROWTH_RATE_6MONTHS_REUT" hidden="1">"c3957"</definedName>
    <definedName name="IQ_PERCENT_CHANGE_EST_5YR_GROWTH_RATE_6MONTHS_THOM" hidden="1">"c5267"</definedName>
    <definedName name="IQ_PERCENT_CHANGE_EST_5YR_GROWTH_RATE_9MONTHS" hidden="1">"c1851"</definedName>
    <definedName name="IQ_PERCENT_CHANGE_EST_5YR_GROWTH_RATE_9MONTHS_CIQ" hidden="1">"c3789"</definedName>
    <definedName name="IQ_PERCENT_CHANGE_EST_5YR_GROWTH_RATE_9MONTHS_REUT" hidden="1">"c3958"</definedName>
    <definedName name="IQ_PERCENT_CHANGE_EST_5YR_GROWTH_RATE_9MONTHS_THOM" hidden="1">"c5268"</definedName>
    <definedName name="IQ_PERCENT_CHANGE_EST_5YR_GROWTH_RATE_DAY" hidden="1">"c1846"</definedName>
    <definedName name="IQ_PERCENT_CHANGE_EST_5YR_GROWTH_RATE_DAY_CIQ" hidden="1">"c3785"</definedName>
    <definedName name="IQ_PERCENT_CHANGE_EST_5YR_GROWTH_RATE_DAY_REUT" hidden="1">"c3954"</definedName>
    <definedName name="IQ_PERCENT_CHANGE_EST_5YR_GROWTH_RATE_DAY_THOM" hidden="1">"c5264"</definedName>
    <definedName name="IQ_PERCENT_CHANGE_EST_5YR_GROWTH_RATE_MONTH" hidden="1">"c1848"</definedName>
    <definedName name="IQ_PERCENT_CHANGE_EST_5YR_GROWTH_RATE_MONTH_CIQ" hidden="1">"c3786"</definedName>
    <definedName name="IQ_PERCENT_CHANGE_EST_5YR_GROWTH_RATE_MONTH_REUT" hidden="1">"c3955"</definedName>
    <definedName name="IQ_PERCENT_CHANGE_EST_5YR_GROWTH_RATE_MONTH_THOM" hidden="1">"c5265"</definedName>
    <definedName name="IQ_PERCENT_CHANGE_EST_5YR_GROWTH_RATE_WEEK" hidden="1">"c1847"</definedName>
    <definedName name="IQ_PERCENT_CHANGE_EST_5YR_GROWTH_RATE_WEEK_CIQ" hidden="1">"c3797"</definedName>
    <definedName name="IQ_PERCENT_CHANGE_EST_5YR_GROWTH_RATE_WEEK_REUT" hidden="1">"c5435"</definedName>
    <definedName name="IQ_PERCENT_CHANGE_EST_5YR_GROWTH_RATE_WEEK_THOM" hidden="1">"c5277"</definedName>
    <definedName name="IQ_PERCENT_CHANGE_EST_CFPS_12MONTHS" hidden="1">"c1812"</definedName>
    <definedName name="IQ_PERCENT_CHANGE_EST_CFPS_12MONTHS_REUT" hidden="1">"c3924"</definedName>
    <definedName name="IQ_PERCENT_CHANGE_EST_CFPS_12MONTHS_THOM" hidden="1">"c5234"</definedName>
    <definedName name="IQ_PERCENT_CHANGE_EST_CFPS_18MONTHS" hidden="1">"c1813"</definedName>
    <definedName name="IQ_PERCENT_CHANGE_EST_CFPS_18MONTHS_REUT" hidden="1">"c3925"</definedName>
    <definedName name="IQ_PERCENT_CHANGE_EST_CFPS_18MONTHS_THOM" hidden="1">"c5235"</definedName>
    <definedName name="IQ_PERCENT_CHANGE_EST_CFPS_3MONTHS" hidden="1">"c1809"</definedName>
    <definedName name="IQ_PERCENT_CHANGE_EST_CFPS_3MONTHS_REUT" hidden="1">"c3921"</definedName>
    <definedName name="IQ_PERCENT_CHANGE_EST_CFPS_3MONTHS_THOM" hidden="1">"c5231"</definedName>
    <definedName name="IQ_PERCENT_CHANGE_EST_CFPS_6MONTHS" hidden="1">"c1810"</definedName>
    <definedName name="IQ_PERCENT_CHANGE_EST_CFPS_6MONTHS_REUT" hidden="1">"c3922"</definedName>
    <definedName name="IQ_PERCENT_CHANGE_EST_CFPS_6MONTHS_THOM" hidden="1">"c5232"</definedName>
    <definedName name="IQ_PERCENT_CHANGE_EST_CFPS_9MONTHS" hidden="1">"c1811"</definedName>
    <definedName name="IQ_PERCENT_CHANGE_EST_CFPS_9MONTHS_REUT" hidden="1">"c3923"</definedName>
    <definedName name="IQ_PERCENT_CHANGE_EST_CFPS_9MONTHS_THOM" hidden="1">"c5233"</definedName>
    <definedName name="IQ_PERCENT_CHANGE_EST_CFPS_DAY" hidden="1">"c1806"</definedName>
    <definedName name="IQ_PERCENT_CHANGE_EST_CFPS_DAY_REUT" hidden="1">"c3919"</definedName>
    <definedName name="IQ_PERCENT_CHANGE_EST_CFPS_DAY_THOM" hidden="1">"c5229"</definedName>
    <definedName name="IQ_PERCENT_CHANGE_EST_CFPS_MONTH" hidden="1">"c1808"</definedName>
    <definedName name="IQ_PERCENT_CHANGE_EST_CFPS_MONTH_REUT" hidden="1">"c3920"</definedName>
    <definedName name="IQ_PERCENT_CHANGE_EST_CFPS_MONTH_THOM" hidden="1">"c5230"</definedName>
    <definedName name="IQ_PERCENT_CHANGE_EST_CFPS_WEEK" hidden="1">"c1807"</definedName>
    <definedName name="IQ_PERCENT_CHANGE_EST_CFPS_WEEK_REUT" hidden="1">"c3962"</definedName>
    <definedName name="IQ_PERCENT_CHANGE_EST_CFPS_WEEK_THOM" hidden="1">"c5272"</definedName>
    <definedName name="IQ_PERCENT_CHANGE_EST_DPS_12MONTHS" hidden="1">"c1820"</definedName>
    <definedName name="IQ_PERCENT_CHANGE_EST_DPS_12MONTHS_REUT" hidden="1">"c3931"</definedName>
    <definedName name="IQ_PERCENT_CHANGE_EST_DPS_12MONTHS_THOM" hidden="1">"c5241"</definedName>
    <definedName name="IQ_PERCENT_CHANGE_EST_DPS_18MONTHS" hidden="1">"c1821"</definedName>
    <definedName name="IQ_PERCENT_CHANGE_EST_DPS_18MONTHS_REUT" hidden="1">"c3932"</definedName>
    <definedName name="IQ_PERCENT_CHANGE_EST_DPS_18MONTHS_THOM" hidden="1">"c5242"</definedName>
    <definedName name="IQ_PERCENT_CHANGE_EST_DPS_3MONTHS" hidden="1">"c1817"</definedName>
    <definedName name="IQ_PERCENT_CHANGE_EST_DPS_3MONTHS_REUT" hidden="1">"c3928"</definedName>
    <definedName name="IQ_PERCENT_CHANGE_EST_DPS_3MONTHS_THOM" hidden="1">"c5238"</definedName>
    <definedName name="IQ_PERCENT_CHANGE_EST_DPS_6MONTHS" hidden="1">"c1818"</definedName>
    <definedName name="IQ_PERCENT_CHANGE_EST_DPS_6MONTHS_REUT" hidden="1">"c3929"</definedName>
    <definedName name="IQ_PERCENT_CHANGE_EST_DPS_6MONTHS_THOM" hidden="1">"c5239"</definedName>
    <definedName name="IQ_PERCENT_CHANGE_EST_DPS_9MONTHS" hidden="1">"c1819"</definedName>
    <definedName name="IQ_PERCENT_CHANGE_EST_DPS_9MONTHS_REUT" hidden="1">"c3930"</definedName>
    <definedName name="IQ_PERCENT_CHANGE_EST_DPS_9MONTHS_THOM" hidden="1">"c5240"</definedName>
    <definedName name="IQ_PERCENT_CHANGE_EST_DPS_DAY" hidden="1">"c1814"</definedName>
    <definedName name="IQ_PERCENT_CHANGE_EST_DPS_DAY_REUT" hidden="1">"c3926"</definedName>
    <definedName name="IQ_PERCENT_CHANGE_EST_DPS_DAY_THOM" hidden="1">"c5236"</definedName>
    <definedName name="IQ_PERCENT_CHANGE_EST_DPS_MONTH" hidden="1">"c1816"</definedName>
    <definedName name="IQ_PERCENT_CHANGE_EST_DPS_MONTH_REUT" hidden="1">"c3927"</definedName>
    <definedName name="IQ_PERCENT_CHANGE_EST_DPS_MONTH_THOM" hidden="1">"c5237"</definedName>
    <definedName name="IQ_PERCENT_CHANGE_EST_DPS_WEEK" hidden="1">"c1815"</definedName>
    <definedName name="IQ_PERCENT_CHANGE_EST_DPS_WEEK_REUT" hidden="1">"c3963"</definedName>
    <definedName name="IQ_PERCENT_CHANGE_EST_DPS_WEEK_THOM" hidden="1">"c5273"</definedName>
    <definedName name="IQ_PERCENT_CHANGE_EST_EBITDA_12MONTHS" hidden="1">"c1804"</definedName>
    <definedName name="IQ_PERCENT_CHANGE_EST_EBITDA_12MONTHS_CIQ" hidden="1">"c3748"</definedName>
    <definedName name="IQ_PERCENT_CHANGE_EST_EBITDA_12MONTHS_REUT" hidden="1">"c3917"</definedName>
    <definedName name="IQ_PERCENT_CHANGE_EST_EBITDA_12MONTHS_THOM" hidden="1">"c5227"</definedName>
    <definedName name="IQ_PERCENT_CHANGE_EST_EBITDA_18MONTHS" hidden="1">"c1805"</definedName>
    <definedName name="IQ_PERCENT_CHANGE_EST_EBITDA_18MONTHS_CIQ" hidden="1">"c3749"</definedName>
    <definedName name="IQ_PERCENT_CHANGE_EST_EBITDA_18MONTHS_REUT" hidden="1">"c3918"</definedName>
    <definedName name="IQ_PERCENT_CHANGE_EST_EBITDA_18MONTHS_THOM" hidden="1">"c5228"</definedName>
    <definedName name="IQ_PERCENT_CHANGE_EST_EBITDA_3MONTHS" hidden="1">"c1801"</definedName>
    <definedName name="IQ_PERCENT_CHANGE_EST_EBITDA_3MONTHS_CIQ" hidden="1">"c3745"</definedName>
    <definedName name="IQ_PERCENT_CHANGE_EST_EBITDA_3MONTHS_REUT" hidden="1">"c3914"</definedName>
    <definedName name="IQ_PERCENT_CHANGE_EST_EBITDA_3MONTHS_THOM" hidden="1">"c5224"</definedName>
    <definedName name="IQ_PERCENT_CHANGE_EST_EBITDA_6MONTHS" hidden="1">"c1802"</definedName>
    <definedName name="IQ_PERCENT_CHANGE_EST_EBITDA_6MONTHS_CIQ" hidden="1">"c3746"</definedName>
    <definedName name="IQ_PERCENT_CHANGE_EST_EBITDA_6MONTHS_REUT" hidden="1">"c3915"</definedName>
    <definedName name="IQ_PERCENT_CHANGE_EST_EBITDA_6MONTHS_THOM" hidden="1">"c5225"</definedName>
    <definedName name="IQ_PERCENT_CHANGE_EST_EBITDA_9MONTHS" hidden="1">"c1803"</definedName>
    <definedName name="IQ_PERCENT_CHANGE_EST_EBITDA_9MONTHS_CIQ" hidden="1">"c3747"</definedName>
    <definedName name="IQ_PERCENT_CHANGE_EST_EBITDA_9MONTHS_REUT" hidden="1">"c3916"</definedName>
    <definedName name="IQ_PERCENT_CHANGE_EST_EBITDA_9MONTHS_THOM" hidden="1">"c5226"</definedName>
    <definedName name="IQ_PERCENT_CHANGE_EST_EBITDA_DAY" hidden="1">"c1798"</definedName>
    <definedName name="IQ_PERCENT_CHANGE_EST_EBITDA_DAY_CIQ" hidden="1">"c3743"</definedName>
    <definedName name="IQ_PERCENT_CHANGE_EST_EBITDA_DAY_REUT" hidden="1">"c3912"</definedName>
    <definedName name="IQ_PERCENT_CHANGE_EST_EBITDA_DAY_THOM" hidden="1">"c5222"</definedName>
    <definedName name="IQ_PERCENT_CHANGE_EST_EBITDA_MONTH" hidden="1">"c1800"</definedName>
    <definedName name="IQ_PERCENT_CHANGE_EST_EBITDA_MONTH_CIQ" hidden="1">"c3744"</definedName>
    <definedName name="IQ_PERCENT_CHANGE_EST_EBITDA_MONTH_REUT" hidden="1">"c3913"</definedName>
    <definedName name="IQ_PERCENT_CHANGE_EST_EBITDA_MONTH_THOM" hidden="1">"c5223"</definedName>
    <definedName name="IQ_PERCENT_CHANGE_EST_EBITDA_WEEK" hidden="1">"c1799"</definedName>
    <definedName name="IQ_PERCENT_CHANGE_EST_EBITDA_WEEK_CIQ" hidden="1">"c3792"</definedName>
    <definedName name="IQ_PERCENT_CHANGE_EST_EBITDA_WEEK_REUT" hidden="1">"c3961"</definedName>
    <definedName name="IQ_PERCENT_CHANGE_EST_EBITDA_WEEK_THOM" hidden="1">"c5271"</definedName>
    <definedName name="IQ_PERCENT_CHANGE_EST_EPS_12MONTHS" hidden="1">"c1788"</definedName>
    <definedName name="IQ_PERCENT_CHANGE_EST_EPS_12MONTHS_CIQ" hidden="1">"c3733"</definedName>
    <definedName name="IQ_PERCENT_CHANGE_EST_EPS_12MONTHS_REUT" hidden="1">"c3902"</definedName>
    <definedName name="IQ_PERCENT_CHANGE_EST_EPS_12MONTHS_THOM" hidden="1">"c5212"</definedName>
    <definedName name="IQ_PERCENT_CHANGE_EST_EPS_18MONTHS" hidden="1">"c1789"</definedName>
    <definedName name="IQ_PERCENT_CHANGE_EST_EPS_18MONTHS_CIQ" hidden="1">"c3734"</definedName>
    <definedName name="IQ_PERCENT_CHANGE_EST_EPS_18MONTHS_REUT" hidden="1">"c3903"</definedName>
    <definedName name="IQ_PERCENT_CHANGE_EST_EPS_18MONTHS_THOM" hidden="1">"c5213"</definedName>
    <definedName name="IQ_PERCENT_CHANGE_EST_EPS_3MONTHS" hidden="1">"c1785"</definedName>
    <definedName name="IQ_PERCENT_CHANGE_EST_EPS_3MONTHS_CIQ" hidden="1">"c3730"</definedName>
    <definedName name="IQ_PERCENT_CHANGE_EST_EPS_3MONTHS_REUT" hidden="1">"c3899"</definedName>
    <definedName name="IQ_PERCENT_CHANGE_EST_EPS_3MONTHS_THOM" hidden="1">"c5209"</definedName>
    <definedName name="IQ_PERCENT_CHANGE_EST_EPS_6MONTHS" hidden="1">"c1786"</definedName>
    <definedName name="IQ_PERCENT_CHANGE_EST_EPS_6MONTHS_CIQ" hidden="1">"c3731"</definedName>
    <definedName name="IQ_PERCENT_CHANGE_EST_EPS_6MONTHS_REUT" hidden="1">"c3900"</definedName>
    <definedName name="IQ_PERCENT_CHANGE_EST_EPS_6MONTHS_THOM" hidden="1">"c5210"</definedName>
    <definedName name="IQ_PERCENT_CHANGE_EST_EPS_9MONTHS" hidden="1">"c1787"</definedName>
    <definedName name="IQ_PERCENT_CHANGE_EST_EPS_9MONTHS_CIQ" hidden="1">"c3732"</definedName>
    <definedName name="IQ_PERCENT_CHANGE_EST_EPS_9MONTHS_REUT" hidden="1">"c3901"</definedName>
    <definedName name="IQ_PERCENT_CHANGE_EST_EPS_9MONTHS_THOM" hidden="1">"c5211"</definedName>
    <definedName name="IQ_PERCENT_CHANGE_EST_EPS_DAY" hidden="1">"c1782"</definedName>
    <definedName name="IQ_PERCENT_CHANGE_EST_EPS_DAY_CIQ" hidden="1">"c3727"</definedName>
    <definedName name="IQ_PERCENT_CHANGE_EST_EPS_DAY_REUT" hidden="1">"c3896"</definedName>
    <definedName name="IQ_PERCENT_CHANGE_EST_EPS_DAY_THOM" hidden="1">"c5206"</definedName>
    <definedName name="IQ_PERCENT_CHANGE_EST_EPS_MONTH" hidden="1">"c1784"</definedName>
    <definedName name="IQ_PERCENT_CHANGE_EST_EPS_MONTH_CIQ" hidden="1">"c3729"</definedName>
    <definedName name="IQ_PERCENT_CHANGE_EST_EPS_MONTH_REUT" hidden="1">"c3898"</definedName>
    <definedName name="IQ_PERCENT_CHANGE_EST_EPS_MONTH_THOM" hidden="1">"c5208"</definedName>
    <definedName name="IQ_PERCENT_CHANGE_EST_EPS_WEEK" hidden="1">"c1783"</definedName>
    <definedName name="IQ_PERCENT_CHANGE_EST_EPS_WEEK_CIQ" hidden="1">"c3728"</definedName>
    <definedName name="IQ_PERCENT_CHANGE_EST_EPS_WEEK_REUT" hidden="1">"c3897"</definedName>
    <definedName name="IQ_PERCENT_CHANGE_EST_EPS_WEEK_THOM" hidden="1">"c5207"</definedName>
    <definedName name="IQ_PERCENT_CHANGE_EST_FFO_12MONTHS" hidden="1">"c1828"</definedName>
    <definedName name="IQ_PERCENT_CHANGE_EST_FFO_12MONTHS_REUT" hidden="1">"c3938"</definedName>
    <definedName name="IQ_PERCENT_CHANGE_EST_FFO_18MONTHS" hidden="1">"c1829"</definedName>
    <definedName name="IQ_PERCENT_CHANGE_EST_FFO_18MONTHS_REUT" hidden="1">"c3939"</definedName>
    <definedName name="IQ_PERCENT_CHANGE_EST_FFO_3MONTHS" hidden="1">"c1825"</definedName>
    <definedName name="IQ_PERCENT_CHANGE_EST_FFO_3MONTHS_REUT" hidden="1">"c3935"</definedName>
    <definedName name="IQ_PERCENT_CHANGE_EST_FFO_6MONTHS" hidden="1">"c1826"</definedName>
    <definedName name="IQ_PERCENT_CHANGE_EST_FFO_6MONTHS_REUT" hidden="1">"c3936"</definedName>
    <definedName name="IQ_PERCENT_CHANGE_EST_FFO_9MONTHS" hidden="1">"c1827"</definedName>
    <definedName name="IQ_PERCENT_CHANGE_EST_FFO_9MONTHS_REUT" hidden="1">"c3937"</definedName>
    <definedName name="IQ_PERCENT_CHANGE_EST_FFO_DAY" hidden="1">"c1822"</definedName>
    <definedName name="IQ_PERCENT_CHANGE_EST_FFO_DAY_REUT" hidden="1">"c3933"</definedName>
    <definedName name="IQ_PERCENT_CHANGE_EST_FFO_MONTH" hidden="1">"c1824"</definedName>
    <definedName name="IQ_PERCENT_CHANGE_EST_FFO_MONTH_REUT" hidden="1">"c3934"</definedName>
    <definedName name="IQ_PERCENT_CHANGE_EST_FFO_SHARE_12MONTHS" hidden="1">"c1828"</definedName>
    <definedName name="IQ_PERCENT_CHANGE_EST_FFO_SHARE_12MONTHS_THOM" hidden="1">"c5248"</definedName>
    <definedName name="IQ_PERCENT_CHANGE_EST_FFO_SHARE_18MONTHS" hidden="1">"c1829"</definedName>
    <definedName name="IQ_PERCENT_CHANGE_EST_FFO_SHARE_18MONTHS_THOM" hidden="1">"c5249"</definedName>
    <definedName name="IQ_PERCENT_CHANGE_EST_FFO_SHARE_3MONTHS" hidden="1">"c1825"</definedName>
    <definedName name="IQ_PERCENT_CHANGE_EST_FFO_SHARE_3MONTHS_THOM" hidden="1">"c5245"</definedName>
    <definedName name="IQ_PERCENT_CHANGE_EST_FFO_SHARE_6MONTHS" hidden="1">"c1826"</definedName>
    <definedName name="IQ_PERCENT_CHANGE_EST_FFO_SHARE_6MONTHS_THOM" hidden="1">"c5246"</definedName>
    <definedName name="IQ_PERCENT_CHANGE_EST_FFO_SHARE_9MONTHS" hidden="1">"c1827"</definedName>
    <definedName name="IQ_PERCENT_CHANGE_EST_FFO_SHARE_9MONTHS_THOM" hidden="1">"c5247"</definedName>
    <definedName name="IQ_PERCENT_CHANGE_EST_FFO_SHARE_DAY" hidden="1">"c1822"</definedName>
    <definedName name="IQ_PERCENT_CHANGE_EST_FFO_SHARE_DAY_THOM" hidden="1">"c5243"</definedName>
    <definedName name="IQ_PERCENT_CHANGE_EST_FFO_SHARE_MONTH" hidden="1">"c1824"</definedName>
    <definedName name="IQ_PERCENT_CHANGE_EST_FFO_SHARE_MONTH_THOM" hidden="1">"c5244"</definedName>
    <definedName name="IQ_PERCENT_CHANGE_EST_FFO_SHARE_WEEK" hidden="1">"c1823"</definedName>
    <definedName name="IQ_PERCENT_CHANGE_EST_FFO_SHARE_WEEK_THOM" hidden="1">"c5274"</definedName>
    <definedName name="IQ_PERCENT_CHANGE_EST_FFO_WEEK" hidden="1">"c1823"</definedName>
    <definedName name="IQ_PERCENT_CHANGE_EST_FFO_WEEK_REUT" hidden="1">"c3964"</definedName>
    <definedName name="IQ_PERCENT_CHANGE_EST_PRICE_TARGET_12MONTHS" hidden="1">"c1844"</definedName>
    <definedName name="IQ_PERCENT_CHANGE_EST_PRICE_TARGET_12MONTHS_CIQ" hidden="1">"c3783"</definedName>
    <definedName name="IQ_PERCENT_CHANGE_EST_PRICE_TARGET_12MONTHS_REUT" hidden="1">"c3952"</definedName>
    <definedName name="IQ_PERCENT_CHANGE_EST_PRICE_TARGET_12MONTHS_THOM" hidden="1">"c5262"</definedName>
    <definedName name="IQ_PERCENT_CHANGE_EST_PRICE_TARGET_18MONTHS" hidden="1">"c1845"</definedName>
    <definedName name="IQ_PERCENT_CHANGE_EST_PRICE_TARGET_18MONTHS_CIQ" hidden="1">"c3784"</definedName>
    <definedName name="IQ_PERCENT_CHANGE_EST_PRICE_TARGET_18MONTHS_REUT" hidden="1">"c3953"</definedName>
    <definedName name="IQ_PERCENT_CHANGE_EST_PRICE_TARGET_18MONTHS_THOM" hidden="1">"c5263"</definedName>
    <definedName name="IQ_PERCENT_CHANGE_EST_PRICE_TARGET_3MONTHS" hidden="1">"c1841"</definedName>
    <definedName name="IQ_PERCENT_CHANGE_EST_PRICE_TARGET_3MONTHS_CIQ" hidden="1">"c3780"</definedName>
    <definedName name="IQ_PERCENT_CHANGE_EST_PRICE_TARGET_3MONTHS_REUT" hidden="1">"c3949"</definedName>
    <definedName name="IQ_PERCENT_CHANGE_EST_PRICE_TARGET_3MONTHS_THOM" hidden="1">"c5259"</definedName>
    <definedName name="IQ_PERCENT_CHANGE_EST_PRICE_TARGET_6MONTHS" hidden="1">"c1842"</definedName>
    <definedName name="IQ_PERCENT_CHANGE_EST_PRICE_TARGET_6MONTHS_CIQ" hidden="1">"c3781"</definedName>
    <definedName name="IQ_PERCENT_CHANGE_EST_PRICE_TARGET_6MONTHS_REUT" hidden="1">"c3950"</definedName>
    <definedName name="IQ_PERCENT_CHANGE_EST_PRICE_TARGET_6MONTHS_THOM" hidden="1">"c5260"</definedName>
    <definedName name="IQ_PERCENT_CHANGE_EST_PRICE_TARGET_9MONTHS" hidden="1">"c1843"</definedName>
    <definedName name="IQ_PERCENT_CHANGE_EST_PRICE_TARGET_9MONTHS_CIQ" hidden="1">"c3782"</definedName>
    <definedName name="IQ_PERCENT_CHANGE_EST_PRICE_TARGET_9MONTHS_REUT" hidden="1">"c3951"</definedName>
    <definedName name="IQ_PERCENT_CHANGE_EST_PRICE_TARGET_9MONTHS_THOM" hidden="1">"c5261"</definedName>
    <definedName name="IQ_PERCENT_CHANGE_EST_PRICE_TARGET_DAY" hidden="1">"c1838"</definedName>
    <definedName name="IQ_PERCENT_CHANGE_EST_PRICE_TARGET_DAY_CIQ" hidden="1">"c3778"</definedName>
    <definedName name="IQ_PERCENT_CHANGE_EST_PRICE_TARGET_DAY_REUT" hidden="1">"c3947"</definedName>
    <definedName name="IQ_PERCENT_CHANGE_EST_PRICE_TARGET_DAY_THOM" hidden="1">"c5257"</definedName>
    <definedName name="IQ_PERCENT_CHANGE_EST_PRICE_TARGET_MONTH" hidden="1">"c1840"</definedName>
    <definedName name="IQ_PERCENT_CHANGE_EST_PRICE_TARGET_MONTH_CIQ" hidden="1">"c3779"</definedName>
    <definedName name="IQ_PERCENT_CHANGE_EST_PRICE_TARGET_MONTH_REUT" hidden="1">"c3948"</definedName>
    <definedName name="IQ_PERCENT_CHANGE_EST_PRICE_TARGET_MONTH_THOM" hidden="1">"c5258"</definedName>
    <definedName name="IQ_PERCENT_CHANGE_EST_PRICE_TARGET_WEEK" hidden="1">"c1839"</definedName>
    <definedName name="IQ_PERCENT_CHANGE_EST_PRICE_TARGET_WEEK_CIQ" hidden="1">"c3798"</definedName>
    <definedName name="IQ_PERCENT_CHANGE_EST_PRICE_TARGET_WEEK_REUT" hidden="1">"c3967"</definedName>
    <definedName name="IQ_PERCENT_CHANGE_EST_PRICE_TARGET_WEEK_THOM" hidden="1">"c5276"</definedName>
    <definedName name="IQ_PERCENT_CHANGE_EST_RECO_12MONTHS" hidden="1">"c1836"</definedName>
    <definedName name="IQ_PERCENT_CHANGE_EST_RECO_12MONTHS_CIQ" hidden="1">"c3776"</definedName>
    <definedName name="IQ_PERCENT_CHANGE_EST_RECO_12MONTHS_REUT" hidden="1">"c3945"</definedName>
    <definedName name="IQ_PERCENT_CHANGE_EST_RECO_12MONTHS_THOM" hidden="1">"c5255"</definedName>
    <definedName name="IQ_PERCENT_CHANGE_EST_RECO_18MONTHS" hidden="1">"c1837"</definedName>
    <definedName name="IQ_PERCENT_CHANGE_EST_RECO_18MONTHS_CIQ" hidden="1">"c3777"</definedName>
    <definedName name="IQ_PERCENT_CHANGE_EST_RECO_18MONTHS_REUT" hidden="1">"c3946"</definedName>
    <definedName name="IQ_PERCENT_CHANGE_EST_RECO_18MONTHS_THOM" hidden="1">"c5256"</definedName>
    <definedName name="IQ_PERCENT_CHANGE_EST_RECO_3MONTHS" hidden="1">"c1833"</definedName>
    <definedName name="IQ_PERCENT_CHANGE_EST_RECO_3MONTHS_CIQ" hidden="1">"c3773"</definedName>
    <definedName name="IQ_PERCENT_CHANGE_EST_RECO_3MONTHS_REUT" hidden="1">"c3942"</definedName>
    <definedName name="IQ_PERCENT_CHANGE_EST_RECO_3MONTHS_THOM" hidden="1">"c5252"</definedName>
    <definedName name="IQ_PERCENT_CHANGE_EST_RECO_6MONTHS" hidden="1">"c1834"</definedName>
    <definedName name="IQ_PERCENT_CHANGE_EST_RECO_6MONTHS_CIQ" hidden="1">"c3774"</definedName>
    <definedName name="IQ_PERCENT_CHANGE_EST_RECO_6MONTHS_REUT" hidden="1">"c3943"</definedName>
    <definedName name="IQ_PERCENT_CHANGE_EST_RECO_6MONTHS_THOM" hidden="1">"c5253"</definedName>
    <definedName name="IQ_PERCENT_CHANGE_EST_RECO_9MONTHS" hidden="1">"c1835"</definedName>
    <definedName name="IQ_PERCENT_CHANGE_EST_RECO_9MONTHS_CIQ" hidden="1">"c3775"</definedName>
    <definedName name="IQ_PERCENT_CHANGE_EST_RECO_9MONTHS_REUT" hidden="1">"c3944"</definedName>
    <definedName name="IQ_PERCENT_CHANGE_EST_RECO_9MONTHS_THOM" hidden="1">"c5254"</definedName>
    <definedName name="IQ_PERCENT_CHANGE_EST_RECO_DAY" hidden="1">"c1830"</definedName>
    <definedName name="IQ_PERCENT_CHANGE_EST_RECO_DAY_CIQ" hidden="1">"c3771"</definedName>
    <definedName name="IQ_PERCENT_CHANGE_EST_RECO_DAY_REUT" hidden="1">"c3940"</definedName>
    <definedName name="IQ_PERCENT_CHANGE_EST_RECO_DAY_THOM" hidden="1">"c5250"</definedName>
    <definedName name="IQ_PERCENT_CHANGE_EST_RECO_MONTH" hidden="1">"c1832"</definedName>
    <definedName name="IQ_PERCENT_CHANGE_EST_RECO_MONTH_CIQ" hidden="1">"c3772"</definedName>
    <definedName name="IQ_PERCENT_CHANGE_EST_RECO_MONTH_REUT" hidden="1">"c3941"</definedName>
    <definedName name="IQ_PERCENT_CHANGE_EST_RECO_MONTH_THOM" hidden="1">"c5251"</definedName>
    <definedName name="IQ_PERCENT_CHANGE_EST_RECO_WEEK" hidden="1">"c1831"</definedName>
    <definedName name="IQ_PERCENT_CHANGE_EST_RECO_WEEK_CIQ" hidden="1">"c3796"</definedName>
    <definedName name="IQ_PERCENT_CHANGE_EST_RECO_WEEK_REUT" hidden="1">"c3966"</definedName>
    <definedName name="IQ_PERCENT_CHANGE_EST_RECO_WEEK_THOM" hidden="1">"c5275"</definedName>
    <definedName name="IQ_PERCENT_CHANGE_EST_REV_12MONTHS" hidden="1">"c1796"</definedName>
    <definedName name="IQ_PERCENT_CHANGE_EST_REV_12MONTHS_CIQ" hidden="1">"c3741"</definedName>
    <definedName name="IQ_PERCENT_CHANGE_EST_REV_12MONTHS_REUT" hidden="1">"c3910"</definedName>
    <definedName name="IQ_PERCENT_CHANGE_EST_REV_12MONTHS_THOM" hidden="1">"c5220"</definedName>
    <definedName name="IQ_PERCENT_CHANGE_EST_REV_18MONTHS" hidden="1">"c1797"</definedName>
    <definedName name="IQ_PERCENT_CHANGE_EST_REV_18MONTHS_CIQ" hidden="1">"c3742"</definedName>
    <definedName name="IQ_PERCENT_CHANGE_EST_REV_18MONTHS_REUT" hidden="1">"c3911"</definedName>
    <definedName name="IQ_PERCENT_CHANGE_EST_REV_18MONTHS_THOM" hidden="1">"c5221"</definedName>
    <definedName name="IQ_PERCENT_CHANGE_EST_REV_3MONTHS" hidden="1">"c1793"</definedName>
    <definedName name="IQ_PERCENT_CHANGE_EST_REV_3MONTHS_CIQ" hidden="1">"c3738"</definedName>
    <definedName name="IQ_PERCENT_CHANGE_EST_REV_3MONTHS_REUT" hidden="1">"c3907"</definedName>
    <definedName name="IQ_PERCENT_CHANGE_EST_REV_3MONTHS_THOM" hidden="1">"c5217"</definedName>
    <definedName name="IQ_PERCENT_CHANGE_EST_REV_6MONTHS" hidden="1">"c1794"</definedName>
    <definedName name="IQ_PERCENT_CHANGE_EST_REV_6MONTHS_CIQ" hidden="1">"c3739"</definedName>
    <definedName name="IQ_PERCENT_CHANGE_EST_REV_6MONTHS_REUT" hidden="1">"c3908"</definedName>
    <definedName name="IQ_PERCENT_CHANGE_EST_REV_6MONTHS_THOM" hidden="1">"c5218"</definedName>
    <definedName name="IQ_PERCENT_CHANGE_EST_REV_9MONTHS" hidden="1">"c1795"</definedName>
    <definedName name="IQ_PERCENT_CHANGE_EST_REV_9MONTHS_CIQ" hidden="1">"c3740"</definedName>
    <definedName name="IQ_PERCENT_CHANGE_EST_REV_9MONTHS_REUT" hidden="1">"c3909"</definedName>
    <definedName name="IQ_PERCENT_CHANGE_EST_REV_9MONTHS_THOM" hidden="1">"c5219"</definedName>
    <definedName name="IQ_PERCENT_CHANGE_EST_REV_DAY" hidden="1">"c1790"</definedName>
    <definedName name="IQ_PERCENT_CHANGE_EST_REV_DAY_CIQ" hidden="1">"c3735"</definedName>
    <definedName name="IQ_PERCENT_CHANGE_EST_REV_DAY_REUT" hidden="1">"c3904"</definedName>
    <definedName name="IQ_PERCENT_CHANGE_EST_REV_DAY_THOM" hidden="1">"c5214"</definedName>
    <definedName name="IQ_PERCENT_CHANGE_EST_REV_MONTH" hidden="1">"c1792"</definedName>
    <definedName name="IQ_PERCENT_CHANGE_EST_REV_MONTH_CIQ" hidden="1">"c3737"</definedName>
    <definedName name="IQ_PERCENT_CHANGE_EST_REV_MONTH_REUT" hidden="1">"c3906"</definedName>
    <definedName name="IQ_PERCENT_CHANGE_EST_REV_MONTH_THOM" hidden="1">"c5216"</definedName>
    <definedName name="IQ_PERCENT_CHANGE_EST_REV_WEEK" hidden="1">"c1791"</definedName>
    <definedName name="IQ_PERCENT_CHANGE_EST_REV_WEEK_CIQ" hidden="1">"c3736"</definedName>
    <definedName name="IQ_PERCENT_CHANGE_EST_REV_WEEK_REUT" hidden="1">"c3905"</definedName>
    <definedName name="IQ_PERCENT_CHANGE_EST_REV_WEEK_THOM" hidden="1">"c5215"</definedName>
    <definedName name="IQ_PERCENTAGE_RENT" hidden="1">"c16018"</definedName>
    <definedName name="IQ_PERCENTAGE_RENT_RENTAL_REVENUE" hidden="1">"c16063"</definedName>
    <definedName name="IQ_PERFORMANCE_LOC_FOREIGN_GUARANTEES_FFIEC" hidden="1">"c13251"</definedName>
    <definedName name="IQ_PERIODDATE" hidden="1">"c1414"</definedName>
    <definedName name="IQ_PERIODDATE_AP" hidden="1">"c11745"</definedName>
    <definedName name="IQ_PERIODDATE_BS" hidden="1">"c1032"</definedName>
    <definedName name="IQ_PERIODDATE_CF" hidden="1">"c1033"</definedName>
    <definedName name="IQ_PERIODDATE_FFIEC" hidden="1">"c13645"</definedName>
    <definedName name="IQ_PERIODDATE_IS" hidden="1">"c1034"</definedName>
    <definedName name="IQ_PERIODLENGTH_AP" hidden="1">"c11746"</definedName>
    <definedName name="IQ_PERIODLENGTH_CF" hidden="1">"c1502"</definedName>
    <definedName name="IQ_PERIODLENGTH_IS" hidden="1">"c1503"</definedName>
    <definedName name="IQ_PERSONAL_CONSUMER_SPENDING_DURABLE" hidden="1">"c6942"</definedName>
    <definedName name="IQ_PERSONAL_CONSUMER_SPENDING_DURABLE_APR" hidden="1">"c7602"</definedName>
    <definedName name="IQ_PERSONAL_CONSUMER_SPENDING_DURABLE_APR_FC" hidden="1">"c8482"</definedName>
    <definedName name="IQ_PERSONAL_CONSUMER_SPENDING_DURABLE_FC" hidden="1">"c7822"</definedName>
    <definedName name="IQ_PERSONAL_CONSUMER_SPENDING_DURABLE_POP" hidden="1">"c7162"</definedName>
    <definedName name="IQ_PERSONAL_CONSUMER_SPENDING_DURABLE_POP_FC" hidden="1">"c8042"</definedName>
    <definedName name="IQ_PERSONAL_CONSUMER_SPENDING_DURABLE_YOY" hidden="1">"c7382"</definedName>
    <definedName name="IQ_PERSONAL_CONSUMER_SPENDING_DURABLE_YOY_FC" hidden="1">"c8262"</definedName>
    <definedName name="IQ_PERSONAL_CONSUMER_SPENDING_NONDURABLE" hidden="1">"c6940"</definedName>
    <definedName name="IQ_PERSONAL_CONSUMER_SPENDING_NONDURABLE_APR" hidden="1">"c7600"</definedName>
    <definedName name="IQ_PERSONAL_CONSUMER_SPENDING_NONDURABLE_APR_FC" hidden="1">"c8480"</definedName>
    <definedName name="IQ_PERSONAL_CONSUMER_SPENDING_NONDURABLE_FC" hidden="1">"c7820"</definedName>
    <definedName name="IQ_PERSONAL_CONSUMER_SPENDING_NONDURABLE_POP" hidden="1">"c7160"</definedName>
    <definedName name="IQ_PERSONAL_CONSUMER_SPENDING_NONDURABLE_POP_FC" hidden="1">"c8040"</definedName>
    <definedName name="IQ_PERSONAL_CONSUMER_SPENDING_NONDURABLE_YOY" hidden="1">"c7380"</definedName>
    <definedName name="IQ_PERSONAL_CONSUMER_SPENDING_NONDURABLE_YOY_FC" hidden="1">"c8260"</definedName>
    <definedName name="IQ_PERSONAL_CONSUMER_SPENDING_REAL" hidden="1">"c6994"</definedName>
    <definedName name="IQ_PERSONAL_CONSUMER_SPENDING_REAL_APR" hidden="1">"c7654"</definedName>
    <definedName name="IQ_PERSONAL_CONSUMER_SPENDING_REAL_APR_FC" hidden="1">"c8534"</definedName>
    <definedName name="IQ_PERSONAL_CONSUMER_SPENDING_REAL_FC" hidden="1">"c7874"</definedName>
    <definedName name="IQ_PERSONAL_CONSUMER_SPENDING_REAL_POP" hidden="1">"c7214"</definedName>
    <definedName name="IQ_PERSONAL_CONSUMER_SPENDING_REAL_POP_FC" hidden="1">"c8094"</definedName>
    <definedName name="IQ_PERSONAL_CONSUMER_SPENDING_REAL_YOY" hidden="1">"c7434"</definedName>
    <definedName name="IQ_PERSONAL_CONSUMER_SPENDING_REAL_YOY_FC" hidden="1">"c8314"</definedName>
    <definedName name="IQ_PERSONAL_CONSUMER_SPENDING_SERVICES" hidden="1">"c6941"</definedName>
    <definedName name="IQ_PERSONAL_CONSUMER_SPENDING_SERVICES_APR" hidden="1">"c7601"</definedName>
    <definedName name="IQ_PERSONAL_CONSUMER_SPENDING_SERVICES_APR_FC" hidden="1">"c8481"</definedName>
    <definedName name="IQ_PERSONAL_CONSUMER_SPENDING_SERVICES_FC" hidden="1">"c7821"</definedName>
    <definedName name="IQ_PERSONAL_CONSUMER_SPENDING_SERVICES_POP" hidden="1">"c7161"</definedName>
    <definedName name="IQ_PERSONAL_CONSUMER_SPENDING_SERVICES_POP_FC" hidden="1">"c8041"</definedName>
    <definedName name="IQ_PERSONAL_CONSUMER_SPENDING_SERVICES_YOY" hidden="1">"c7381"</definedName>
    <definedName name="IQ_PERSONAL_CONSUMER_SPENDING_SERVICES_YOY_FC" hidden="1">"c8261"</definedName>
    <definedName name="IQ_PERSONAL_INCOME" hidden="1">"c6943"</definedName>
    <definedName name="IQ_PERSONAL_INCOME_APR" hidden="1">"c7603"</definedName>
    <definedName name="IQ_PERSONAL_INCOME_APR_FC" hidden="1">"c8483"</definedName>
    <definedName name="IQ_PERSONAL_INCOME_FC" hidden="1">"c7823"</definedName>
    <definedName name="IQ_PERSONAL_INCOME_POP" hidden="1">"c7163"</definedName>
    <definedName name="IQ_PERSONAL_INCOME_POP_FC" hidden="1">"c8043"</definedName>
    <definedName name="IQ_PERSONAL_INCOME_SAAR" hidden="1">"c6944"</definedName>
    <definedName name="IQ_PERSONAL_INCOME_SAAR_APR" hidden="1">"c7604"</definedName>
    <definedName name="IQ_PERSONAL_INCOME_SAAR_APR_FC" hidden="1">"c8484"</definedName>
    <definedName name="IQ_PERSONAL_INCOME_SAAR_FC" hidden="1">"c7824"</definedName>
    <definedName name="IQ_PERSONAL_INCOME_SAAR_POP" hidden="1">"c7164"</definedName>
    <definedName name="IQ_PERSONAL_INCOME_SAAR_POP_FC" hidden="1">"c8044"</definedName>
    <definedName name="IQ_PERSONAL_INCOME_SAAR_YOY" hidden="1">"c7384"</definedName>
    <definedName name="IQ_PERSONAL_INCOME_SAAR_YOY_FC" hidden="1">"c8264"</definedName>
    <definedName name="IQ_PERSONAL_INCOME_USD_APR_FC" hidden="1">"c11885"</definedName>
    <definedName name="IQ_PERSONAL_INCOME_USD_FC" hidden="1">"c11882"</definedName>
    <definedName name="IQ_PERSONAL_INCOME_USD_POP_FC" hidden="1">"c11883"</definedName>
    <definedName name="IQ_PERSONAL_INCOME_USD_YOY_FC" hidden="1">"c11884"</definedName>
    <definedName name="IQ_PERSONAL_INCOME_YOY" hidden="1">"c7383"</definedName>
    <definedName name="IQ_PERSONAL_INCOME_YOY_FC" hidden="1">"c8263"</definedName>
    <definedName name="IQ_PERSONNEL_EXP_AVG_ASSETS_FFIEC" hidden="1">"c13371"</definedName>
    <definedName name="IQ_PERSONNEL_EXP_OPERATING_INC_FFIEC" hidden="1">"c13379"</definedName>
    <definedName name="IQ_PERTYPE" hidden="1">"c1611"</definedName>
    <definedName name="IQ_PHARMBIO_NUMBER_LICENSED_PATENT_APP" hidden="1">"c10018"</definedName>
    <definedName name="IQ_PHARMBIO_NUMBER_LICENSED_PATENTS" hidden="1">"c10017"</definedName>
    <definedName name="IQ_PHARMBIO_NUMBER_PATENTS" hidden="1">"c10015"</definedName>
    <definedName name="IQ_PHARMBIO_NUMBER_PROD__APPROVED_DURING_PERIOD" hidden="1">"c12750"</definedName>
    <definedName name="IQ_PHARMBIO_NUMBER_PROD__CLINICAL_DEV" hidden="1">"c12745"</definedName>
    <definedName name="IQ_PHARMBIO_NUMBER_PROD__LAUNCHED_DURING_PERIOD" hidden="1">"c12751"</definedName>
    <definedName name="IQ_PHARMBIO_NUMBER_PROD__PHASE_I" hidden="1">"c12746"</definedName>
    <definedName name="IQ_PHARMBIO_NUMBER_PROD__PHASE_II" hidden="1">"c12747"</definedName>
    <definedName name="IQ_PHARMBIO_NUMBER_PROD__PHASE_III" hidden="1">"c12748"</definedName>
    <definedName name="IQ_PHARMBIO_NUMBER_PROD__PRE_CLINICAL_TRIALS" hidden="1">"c12744"</definedName>
    <definedName name="IQ_PHARMBIO_NUMBER_PROD__PRE_REGISTRATION" hidden="1">"c12749"</definedName>
    <definedName name="IQ_PHARMBIO_NUMBER_PROD__RESEARCH_DEV" hidden="1">"c12743"</definedName>
    <definedName name="IQ_PHARMBIO_NUMBER_PROD_APPROVED_DURING_PERIOD" hidden="1">"c10027"</definedName>
    <definedName name="IQ_PHARMBIO_NUMBER_PROD_CLINICAL_DEV" hidden="1">"c10022"</definedName>
    <definedName name="IQ_PHARMBIO_NUMBER_PROD_DISCOVERY_RESEARCH" hidden="1">"c10019"</definedName>
    <definedName name="IQ_PHARMBIO_NUMBER_PROD_LAUNCHED_DURING_PERIOD" hidden="1">"c10028"</definedName>
    <definedName name="IQ_PHARMBIO_NUMBER_PROD_PHASE_I" hidden="1">"c10023"</definedName>
    <definedName name="IQ_PHARMBIO_NUMBER_PROD_PHASE_II" hidden="1">"c10024"</definedName>
    <definedName name="IQ_PHARMBIO_NUMBER_PROD_PHASE_III" hidden="1">"c10025"</definedName>
    <definedName name="IQ_PHARMBIO_NUMBER_PROD_PRE_CLINICAL_TRIALS" hidden="1">"c10021"</definedName>
    <definedName name="IQ_PHARMBIO_NUMBER_PROD_PRE_REGISTRATION" hidden="1">"c10026"</definedName>
    <definedName name="IQ_PHARMBIO_NUMBER_PROD_RESEARCH_DEV" hidden="1">"c10020"</definedName>
    <definedName name="IQ_PHARMBIO_PATENT_APP" hidden="1">"c10016"</definedName>
    <definedName name="IQ_PHILADELPHIA_FED_DIFFUSION_INDEX" hidden="1">"c6945"</definedName>
    <definedName name="IQ_PHILADELPHIA_FED_DIFFUSION_INDEX_APR" hidden="1">"c7605"</definedName>
    <definedName name="IQ_PHILADELPHIA_FED_DIFFUSION_INDEX_APR_FC" hidden="1">"c8485"</definedName>
    <definedName name="IQ_PHILADELPHIA_FED_DIFFUSION_INDEX_FC" hidden="1">"c7825"</definedName>
    <definedName name="IQ_PHILADELPHIA_FED_DIFFUSION_INDEX_POP" hidden="1">"c7165"</definedName>
    <definedName name="IQ_PHILADELPHIA_FED_DIFFUSION_INDEX_POP_FC" hidden="1">"c8045"</definedName>
    <definedName name="IQ_PHILADELPHIA_FED_DIFFUSION_INDEX_YOY" hidden="1">"c7385"</definedName>
    <definedName name="IQ_PHILADELPHIA_FED_DIFFUSION_INDEX_YOY_FC" hidden="1">"c8265"</definedName>
    <definedName name="IQ_PLEDGED_SEC_INVEST_SECURITIES_FFIEC" hidden="1">"c13467"</definedName>
    <definedName name="IQ_PLL" hidden="1">"c2114"</definedName>
    <definedName name="IQ_PMAC_DIFFUSION_INDEX" hidden="1">"c6946"</definedName>
    <definedName name="IQ_PMAC_DIFFUSION_INDEX_APR" hidden="1">"c7606"</definedName>
    <definedName name="IQ_PMAC_DIFFUSION_INDEX_APR_FC" hidden="1">"c8486"</definedName>
    <definedName name="IQ_PMAC_DIFFUSION_INDEX_FC" hidden="1">"c7826"</definedName>
    <definedName name="IQ_PMAC_DIFFUSION_INDEX_POP" hidden="1">"c7166"</definedName>
    <definedName name="IQ_PMAC_DIFFUSION_INDEX_POP_FC" hidden="1">"c8046"</definedName>
    <definedName name="IQ_PMAC_DIFFUSION_INDEX_YOY" hidden="1">"c7386"</definedName>
    <definedName name="IQ_PMAC_DIFFUSION_INDEX_YOY_FC" hidden="1">"c8266"</definedName>
    <definedName name="IQ_PMT_FREQ" hidden="1">"c2236"</definedName>
    <definedName name="IQ_POISON_PUT_EFFECT_DATE" hidden="1">"c2486"</definedName>
    <definedName name="IQ_POISON_PUT_EXPIRATION_DATE" hidden="1">"c2487"</definedName>
    <definedName name="IQ_POISON_PUT_PRICE" hidden="1">"c2488"</definedName>
    <definedName name="IQ_POLICY_BENEFITS" hidden="1">"c1036"</definedName>
    <definedName name="IQ_POLICY_COST" hidden="1">"c1037"</definedName>
    <definedName name="IQ_POLICY_LIAB" hidden="1">"c1612"</definedName>
    <definedName name="IQ_POLICY_LOANS" hidden="1">"c1038"</definedName>
    <definedName name="IQ_POLICYHOLDER_BENEFITS_LH_FFIEC" hidden="1">"c13107"</definedName>
    <definedName name="IQ_POOL_AMT_ORIGINAL" hidden="1">"c8970"</definedName>
    <definedName name="IQ_POOL_NAME" hidden="1">"c8967"</definedName>
    <definedName name="IQ_POOL_NUMBER" hidden="1">"c8968"</definedName>
    <definedName name="IQ_POOL_TYPE" hidden="1">"c8969"</definedName>
    <definedName name="IQ_POSITIVE_FAIR_VALUE_DERIVATIVES_BENEFICIARY_FFIEC" hidden="1">"c13123"</definedName>
    <definedName name="IQ_POSITIVE_FAIR_VALUE_DERIVATIVES_GUARANTOR_FFIEC" hidden="1">"c13116"</definedName>
    <definedName name="IQ_POST_RETIRE_EXP" hidden="1">"c1039"</definedName>
    <definedName name="IQ_POSTAGE_FFIEC" hidden="1">"c13051"</definedName>
    <definedName name="IQ_POSTPAID_CHURN" hidden="1">"c2121"</definedName>
    <definedName name="IQ_POSTPAID_SUBS" hidden="1">"c2118"</definedName>
    <definedName name="IQ_POTENTIAL_UPSIDE" hidden="1">"c1855"</definedName>
    <definedName name="IQ_POTENTIAL_UPSIDE_CIQ" hidden="1">"c3799"</definedName>
    <definedName name="IQ_POTENTIAL_UPSIDE_REUT" hidden="1">"c3968"</definedName>
    <definedName name="IQ_POTENTIAL_UPSIDE_THOM" hidden="1">"c5279"</definedName>
    <definedName name="IQ_PP_ATTRIB_ORE_RESERVES_ALUM" hidden="1">"c9218"</definedName>
    <definedName name="IQ_PP_ATTRIB_ORE_RESERVES_COP" hidden="1">"c9162"</definedName>
    <definedName name="IQ_PP_ATTRIB_ORE_RESERVES_DIAM" hidden="1">"c9642"</definedName>
    <definedName name="IQ_PP_ATTRIB_ORE_RESERVES_GOLD" hidden="1">"c9003"</definedName>
    <definedName name="IQ_PP_ATTRIB_ORE_RESERVES_IRON" hidden="1">"c9377"</definedName>
    <definedName name="IQ_PP_ATTRIB_ORE_RESERVES_LEAD" hidden="1">"c9430"</definedName>
    <definedName name="IQ_PP_ATTRIB_ORE_RESERVES_MANG" hidden="1">"c9483"</definedName>
    <definedName name="IQ_PP_ATTRIB_ORE_RESERVES_MOLYB" hidden="1">"c9695"</definedName>
    <definedName name="IQ_PP_ATTRIB_ORE_RESERVES_NICK" hidden="1">"c9271"</definedName>
    <definedName name="IQ_PP_ATTRIB_ORE_RESERVES_PLAT" hidden="1">"c9109"</definedName>
    <definedName name="IQ_PP_ATTRIB_ORE_RESERVES_SILVER" hidden="1">"c9056"</definedName>
    <definedName name="IQ_PP_ATTRIB_ORE_RESERVES_TITAN" hidden="1">"c9536"</definedName>
    <definedName name="IQ_PP_ATTRIB_ORE_RESERVES_URAN" hidden="1">"c9589"</definedName>
    <definedName name="IQ_PP_ATTRIB_ORE_RESERVES_ZINC" hidden="1">"c9324"</definedName>
    <definedName name="IQ_PP_ORE_RESERVES_ALUM" hidden="1">"c9211"</definedName>
    <definedName name="IQ_PP_ORE_RESERVES_COP" hidden="1">"c9155"</definedName>
    <definedName name="IQ_PP_ORE_RESERVES_DIAM" hidden="1">"c9635"</definedName>
    <definedName name="IQ_PP_ORE_RESERVES_GOLD" hidden="1">"c8996"</definedName>
    <definedName name="IQ_PP_ORE_RESERVES_IRON" hidden="1">"c9370"</definedName>
    <definedName name="IQ_PP_ORE_RESERVES_LEAD" hidden="1">"c9423"</definedName>
    <definedName name="IQ_PP_ORE_RESERVES_MANG" hidden="1">"c9476"</definedName>
    <definedName name="IQ_PP_ORE_RESERVES_MOLYB" hidden="1">"c9688"</definedName>
    <definedName name="IQ_PP_ORE_RESERVES_NICK" hidden="1">"c9264"</definedName>
    <definedName name="IQ_PP_ORE_RESERVES_PLAT" hidden="1">"c9102"</definedName>
    <definedName name="IQ_PP_ORE_RESERVES_SILVER" hidden="1">"c9049"</definedName>
    <definedName name="IQ_PP_ORE_RESERVES_TITAN" hidden="1">"c9529"</definedName>
    <definedName name="IQ_PP_ORE_RESERVES_URAN" hidden="1">"c9582"</definedName>
    <definedName name="IQ_PP_ORE_RESERVES_ZINC" hidden="1">"c9317"</definedName>
    <definedName name="IQ_PP_RECOV_ATTRIB_RESERVES_ALUM" hidden="1">"c9221"</definedName>
    <definedName name="IQ_PP_RECOV_ATTRIB_RESERVES_COAL" hidden="1">"c9805"</definedName>
    <definedName name="IQ_PP_RECOV_ATTRIB_RESERVES_COP" hidden="1">"c9165"</definedName>
    <definedName name="IQ_PP_RECOV_ATTRIB_RESERVES_DIAM" hidden="1">"c9645"</definedName>
    <definedName name="IQ_PP_RECOV_ATTRIB_RESERVES_GOLD" hidden="1">"c9006"</definedName>
    <definedName name="IQ_PP_RECOV_ATTRIB_RESERVES_IRON" hidden="1">"c9380"</definedName>
    <definedName name="IQ_PP_RECOV_ATTRIB_RESERVES_LEAD" hidden="1">"c9433"</definedName>
    <definedName name="IQ_PP_RECOV_ATTRIB_RESERVES_MANG" hidden="1">"c9486"</definedName>
    <definedName name="IQ_PP_RECOV_ATTRIB_RESERVES_MET_COAL" hidden="1">"c9745"</definedName>
    <definedName name="IQ_PP_RECOV_ATTRIB_RESERVES_MOLYB" hidden="1">"c9698"</definedName>
    <definedName name="IQ_PP_RECOV_ATTRIB_RESERVES_NICK" hidden="1">"c9274"</definedName>
    <definedName name="IQ_PP_RECOV_ATTRIB_RESERVES_PLAT" hidden="1">"c9112"</definedName>
    <definedName name="IQ_PP_RECOV_ATTRIB_RESERVES_SILVER" hidden="1">"c9059"</definedName>
    <definedName name="IQ_PP_RECOV_ATTRIB_RESERVES_STEAM" hidden="1">"c9775"</definedName>
    <definedName name="IQ_PP_RECOV_ATTRIB_RESERVES_TITAN" hidden="1">"c9539"</definedName>
    <definedName name="IQ_PP_RECOV_ATTRIB_RESERVES_URAN" hidden="1">"c9592"</definedName>
    <definedName name="IQ_PP_RECOV_ATTRIB_RESERVES_ZINC" hidden="1">"c9327"</definedName>
    <definedName name="IQ_PP_RECOV_RESERVES_ALUM" hidden="1">"c9215"</definedName>
    <definedName name="IQ_PP_RECOV_RESERVES_COAL" hidden="1">"c9802"</definedName>
    <definedName name="IQ_PP_RECOV_RESERVES_COP" hidden="1">"c9159"</definedName>
    <definedName name="IQ_PP_RECOV_RESERVES_DIAM" hidden="1">"c9639"</definedName>
    <definedName name="IQ_PP_RECOV_RESERVES_GOLD" hidden="1">"c9000"</definedName>
    <definedName name="IQ_PP_RECOV_RESERVES_IRON" hidden="1">"c9374"</definedName>
    <definedName name="IQ_PP_RECOV_RESERVES_LEAD" hidden="1">"c9427"</definedName>
    <definedName name="IQ_PP_RECOV_RESERVES_MANG" hidden="1">"c9480"</definedName>
    <definedName name="IQ_PP_RECOV_RESERVES_MET_COAL" hidden="1">"c9742"</definedName>
    <definedName name="IQ_PP_RECOV_RESERVES_MOLYB" hidden="1">"c9692"</definedName>
    <definedName name="IQ_PP_RECOV_RESERVES_NICK" hidden="1">"c9268"</definedName>
    <definedName name="IQ_PP_RECOV_RESERVES_PLAT" hidden="1">"c9106"</definedName>
    <definedName name="IQ_PP_RECOV_RESERVES_SILVER" hidden="1">"c9053"</definedName>
    <definedName name="IQ_PP_RECOV_RESERVES_STEAM" hidden="1">"c9772"</definedName>
    <definedName name="IQ_PP_RECOV_RESERVES_TITAN" hidden="1">"c9533"</definedName>
    <definedName name="IQ_PP_RECOV_RESERVES_URAN" hidden="1">"c9586"</definedName>
    <definedName name="IQ_PP_RECOV_RESERVES_ZINC" hidden="1">"c9321"</definedName>
    <definedName name="IQ_PP_RESERVES_CALORIFIC_VALUE_COAL" hidden="1">"c9799"</definedName>
    <definedName name="IQ_PP_RESERVES_CALORIFIC_VALUE_MET_COAL" hidden="1">"c9739"</definedName>
    <definedName name="IQ_PP_RESERVES_CALORIFIC_VALUE_STEAM" hidden="1">"c9769"</definedName>
    <definedName name="IQ_PP_RESERVES_GRADE_ALUM" hidden="1">"c9212"</definedName>
    <definedName name="IQ_PP_RESERVES_GRADE_COP" hidden="1">"c9156"</definedName>
    <definedName name="IQ_PP_RESERVES_GRADE_DIAM" hidden="1">"c9636"</definedName>
    <definedName name="IQ_PP_RESERVES_GRADE_GOLD" hidden="1">"c8997"</definedName>
    <definedName name="IQ_PP_RESERVES_GRADE_IRON" hidden="1">"c9371"</definedName>
    <definedName name="IQ_PP_RESERVES_GRADE_LEAD" hidden="1">"c9424"</definedName>
    <definedName name="IQ_PP_RESERVES_GRADE_MANG" hidden="1">"c9477"</definedName>
    <definedName name="IQ_PP_RESERVES_GRADE_MOLYB" hidden="1">"c9689"</definedName>
    <definedName name="IQ_PP_RESERVES_GRADE_NICK" hidden="1">"c9265"</definedName>
    <definedName name="IQ_PP_RESERVES_GRADE_PLAT" hidden="1">"c9103"</definedName>
    <definedName name="IQ_PP_RESERVES_GRADE_SILVER" hidden="1">"c9050"</definedName>
    <definedName name="IQ_PP_RESERVES_GRADE_TITAN" hidden="1">"c9530"</definedName>
    <definedName name="IQ_PP_RESERVES_GRADE_URAN" hidden="1">"c9583"</definedName>
    <definedName name="IQ_PP_RESERVES_GRADE_ZINC" hidden="1">"c9318"</definedName>
    <definedName name="IQ_PPI" hidden="1">"c6810"</definedName>
    <definedName name="IQ_PPI_APR" hidden="1">"c7470"</definedName>
    <definedName name="IQ_PPI_APR_FC" hidden="1">"c8350"</definedName>
    <definedName name="IQ_PPI_CORE" hidden="1">"c6840"</definedName>
    <definedName name="IQ_PPI_CORE_APR" hidden="1">"c7500"</definedName>
    <definedName name="IQ_PPI_CORE_APR_FC" hidden="1">"c8380"</definedName>
    <definedName name="IQ_PPI_CORE_FC" hidden="1">"c7720"</definedName>
    <definedName name="IQ_PPI_CORE_POP" hidden="1">"c7060"</definedName>
    <definedName name="IQ_PPI_CORE_POP_FC" hidden="1">"c7940"</definedName>
    <definedName name="IQ_PPI_CORE_YOY" hidden="1">"c7280"</definedName>
    <definedName name="IQ_PPI_CORE_YOY_FC" hidden="1">"c8160"</definedName>
    <definedName name="IQ_PPI_FC" hidden="1">"c7690"</definedName>
    <definedName name="IQ_PPI_POP" hidden="1">"c7030"</definedName>
    <definedName name="IQ_PPI_POP_FC" hidden="1">"c7910"</definedName>
    <definedName name="IQ_PPI_YOY" hidden="1">"c7250"</definedName>
    <definedName name="IQ_PPI_YOY_FC" hidden="1">"c8130"</definedName>
    <definedName name="IQ_PRE_OPEN_COST" hidden="1">"c1040"</definedName>
    <definedName name="IQ_PRE_TAX_ACT_OR_EST" hidden="1">"c2221"</definedName>
    <definedName name="IQ_PRE_TAX_ACT_OR_EST_REUT" hidden="1">"c5467"</definedName>
    <definedName name="IQ_PRE_TAX_ACT_OR_EST_THOM" hidden="1">"c5305"</definedName>
    <definedName name="IQ_PREF_CONVERT" hidden="1">"c1041"</definedName>
    <definedName name="IQ_PREF_DIV_CF" hidden="1">"c1042"</definedName>
    <definedName name="IQ_PREF_DIV_OTHER" hidden="1">"c1043"</definedName>
    <definedName name="IQ_PREF_DIVID" hidden="1">"c1461"</definedName>
    <definedName name="IQ_PREF_EQUITY" hidden="1">"c1044"</definedName>
    <definedName name="IQ_PREF_ISSUED" hidden="1">"c1045"</definedName>
    <definedName name="IQ_PREF_ISSUED_BNK" hidden="1">"c1046"</definedName>
    <definedName name="IQ_PREF_ISSUED_BR" hidden="1">"c1047"</definedName>
    <definedName name="IQ_PREF_ISSUED_FIN" hidden="1">"c1048"</definedName>
    <definedName name="IQ_PREF_ISSUED_INS" hidden="1">"c1049"</definedName>
    <definedName name="IQ_PREF_ISSUED_RE" hidden="1">"c6261"</definedName>
    <definedName name="IQ_PREF_ISSUED_REIT" hidden="1">"c1050"</definedName>
    <definedName name="IQ_PREF_ISSUED_UTI" hidden="1">"c1051"</definedName>
    <definedName name="IQ_PREF_NON_REDEEM" hidden="1">"c1052"</definedName>
    <definedName name="IQ_PREF_OTHER" hidden="1">"c1053"</definedName>
    <definedName name="IQ_PREF_OTHER_BNK" hidden="1">"c1054"</definedName>
    <definedName name="IQ_PREF_OTHER_BR" hidden="1">"c1055"</definedName>
    <definedName name="IQ_PREF_OTHER_FIN" hidden="1">"c1056"</definedName>
    <definedName name="IQ_PREF_OTHER_INS" hidden="1">"c1057"</definedName>
    <definedName name="IQ_PREF_OTHER_RE" hidden="1">"c6262"</definedName>
    <definedName name="IQ_PREF_OTHER_REIT" hidden="1">"c1058"</definedName>
    <definedName name="IQ_PREF_OTHER_UTI" hidden="1">"c6022"</definedName>
    <definedName name="IQ_PREF_REDEEM" hidden="1">"c1059"</definedName>
    <definedName name="IQ_PREF_REP" hidden="1">"c1060"</definedName>
    <definedName name="IQ_PREF_REP_BNK" hidden="1">"c1061"</definedName>
    <definedName name="IQ_PREF_REP_BR" hidden="1">"c1062"</definedName>
    <definedName name="IQ_PREF_REP_FIN" hidden="1">"c1063"</definedName>
    <definedName name="IQ_PREF_REP_INS" hidden="1">"c1064"</definedName>
    <definedName name="IQ_PREF_REP_RE" hidden="1">"c6263"</definedName>
    <definedName name="IQ_PREF_REP_REIT" hidden="1">"c1065"</definedName>
    <definedName name="IQ_PREF_REP_UTI" hidden="1">"c1066"</definedName>
    <definedName name="IQ_PREF_STOCK" hidden="1">"c1416"</definedName>
    <definedName name="IQ_PREF_STOCK_FFIEC" hidden="1">"c12875"</definedName>
    <definedName name="IQ_PREF_TOT" hidden="1">"c1415"</definedName>
    <definedName name="IQ_PREFERRED_DEPOSITS_FFIEC" hidden="1">"c15312"</definedName>
    <definedName name="IQ_PREFERRED_LIST" hidden="1">"c13506"</definedName>
    <definedName name="IQ_PREMISES_FIXED_ASSETS_CAP_LEASES_FFIEC" hidden="1">"c12830"</definedName>
    <definedName name="IQ_PREMIUM_INSURANCE_CREDIT_FFIEC" hidden="1">"c13070"</definedName>
    <definedName name="IQ_PREMIUMS_ANNUITY_REV" hidden="1">"c1067"</definedName>
    <definedName name="IQ_PREPAID_CHURN" hidden="1">"c2120"</definedName>
    <definedName name="IQ_PREPAID_EXP" hidden="1">"c1068"</definedName>
    <definedName name="IQ_PREPAID_EXPEN" hidden="1">"c1418"</definedName>
    <definedName name="IQ_PREPAID_SUBS" hidden="1">"c2117"</definedName>
    <definedName name="IQ_PRESIDENT_ID" hidden="1">"c15216"</definedName>
    <definedName name="IQ_PRESIDENT_NAME" hidden="1">"c15215"</definedName>
    <definedName name="IQ_PRETAX_GW_INC_EST" hidden="1">"c1702"</definedName>
    <definedName name="IQ_PRETAX_GW_INC_EST_REUT" hidden="1">"c5354"</definedName>
    <definedName name="IQ_PRETAX_GW_INC_HIGH_EST" hidden="1">"c1704"</definedName>
    <definedName name="IQ_PRETAX_GW_INC_HIGH_EST_REUT" hidden="1">"c5356"</definedName>
    <definedName name="IQ_PRETAX_GW_INC_LOW_EST" hidden="1">"c1705"</definedName>
    <definedName name="IQ_PRETAX_GW_INC_LOW_EST_REUT" hidden="1">"c5357"</definedName>
    <definedName name="IQ_PRETAX_GW_INC_MEDIAN_EST" hidden="1">"c1703"</definedName>
    <definedName name="IQ_PRETAX_GW_INC_MEDIAN_EST_REUT" hidden="1">"c5355"</definedName>
    <definedName name="IQ_PRETAX_GW_INC_NUM_EST" hidden="1">"c1706"</definedName>
    <definedName name="IQ_PRETAX_GW_INC_NUM_EST_REUT" hidden="1">"c5358"</definedName>
    <definedName name="IQ_PRETAX_GW_INC_STDDEV_EST" hidden="1">"c1707"</definedName>
    <definedName name="IQ_PRETAX_GW_INC_STDDEV_EST_REUT" hidden="1">"c5359"</definedName>
    <definedName name="IQ_PRETAX_INC_AFTER_CAP_ALLOCATION_FOREIGN_FFIEC" hidden="1">"c15390"</definedName>
    <definedName name="IQ_PRETAX_INC_BEFORE_CAP_ALLOCATION_FOREIGN_FFIEC" hidden="1">"c15388"</definedName>
    <definedName name="IQ_PRETAX_INC_EST" hidden="1">"c1695"</definedName>
    <definedName name="IQ_PRETAX_INC_EST_REUT" hidden="1">"c5347"</definedName>
    <definedName name="IQ_PRETAX_INC_EST_THOM" hidden="1">"c5119"</definedName>
    <definedName name="IQ_PRETAX_INC_HIGH_EST" hidden="1">"c1697"</definedName>
    <definedName name="IQ_PRETAX_INC_HIGH_EST_REUT" hidden="1">"c5349"</definedName>
    <definedName name="IQ_PRETAX_INC_HIGH_EST_THOM" hidden="1">"c5121"</definedName>
    <definedName name="IQ_PRETAX_INC_LOW_EST" hidden="1">"c1698"</definedName>
    <definedName name="IQ_PRETAX_INC_LOW_EST_REUT" hidden="1">"c5350"</definedName>
    <definedName name="IQ_PRETAX_INC_LOW_EST_THOM" hidden="1">"c5122"</definedName>
    <definedName name="IQ_PRETAX_INC_MEDIAN_EST" hidden="1">"c1696"</definedName>
    <definedName name="IQ_PRETAX_INC_MEDIAN_EST_REUT" hidden="1">"c5348"</definedName>
    <definedName name="IQ_PRETAX_INC_MEDIAN_EST_THOM" hidden="1">"c5120"</definedName>
    <definedName name="IQ_PRETAX_INC_NUM_EST" hidden="1">"c1699"</definedName>
    <definedName name="IQ_PRETAX_INC_NUM_EST_REUT" hidden="1">"c5351"</definedName>
    <definedName name="IQ_PRETAX_INC_NUM_EST_THOM" hidden="1">"c5123"</definedName>
    <definedName name="IQ_PRETAX_INC_STDDEV_EST" hidden="1">"c1700"</definedName>
    <definedName name="IQ_PRETAX_INC_STDDEV_EST_REUT" hidden="1">"c5352"</definedName>
    <definedName name="IQ_PRETAX_INC_STDDEV_EST_THOM" hidden="1">"c5124"</definedName>
    <definedName name="IQ_PRETAX_OPERATING_INC_AVG_ASSETS_FFIEC" hidden="1">"c13365"</definedName>
    <definedName name="IQ_PRETAX_REPORT_INC_EST" hidden="1">"c1709"</definedName>
    <definedName name="IQ_PRETAX_REPORT_INC_EST_REUT" hidden="1">"c5361"</definedName>
    <definedName name="IQ_PRETAX_REPORT_INC_HIGH_EST" hidden="1">"c1711"</definedName>
    <definedName name="IQ_PRETAX_REPORT_INC_HIGH_EST_REUT" hidden="1">"c5363"</definedName>
    <definedName name="IQ_PRETAX_REPORT_INC_LOW_EST" hidden="1">"c1712"</definedName>
    <definedName name="IQ_PRETAX_REPORT_INC_LOW_EST_REUT" hidden="1">"c5364"</definedName>
    <definedName name="IQ_PRETAX_REPORT_INC_MEDIAN_EST" hidden="1">"c1710"</definedName>
    <definedName name="IQ_PRETAX_REPORT_INC_MEDIAN_EST_REUT" hidden="1">"c5362"</definedName>
    <definedName name="IQ_PRETAX_REPORT_INC_NUM_EST" hidden="1">"c1713"</definedName>
    <definedName name="IQ_PRETAX_REPORT_INC_NUM_EST_REUT" hidden="1">"c5365"</definedName>
    <definedName name="IQ_PRETAX_REPORT_INC_STDDEV_EST" hidden="1">"c1714"</definedName>
    <definedName name="IQ_PRETAX_REPORT_INC_STDDEV_EST_REUT" hidden="1">"c5366"</definedName>
    <definedName name="IQ_PREV_MONTHLY_FACTOR" hidden="1">"c8973"</definedName>
    <definedName name="IQ_PREV_MONTHLY_FACTOR_DATE" hidden="1">"c8974"</definedName>
    <definedName name="IQ_PRICE_CFPS_FWD" hidden="1">"c2237"</definedName>
    <definedName name="IQ_PRICE_CFPS_FWD_REUT" hidden="1">"c4053"</definedName>
    <definedName name="IQ_PRICE_CFPS_FWD_THOM" hidden="1">"c4060"</definedName>
    <definedName name="IQ_PRICE_OVER_BVPS" hidden="1">"c1412"</definedName>
    <definedName name="IQ_PRICE_OVER_LTM_EPS" hidden="1">"c1413"</definedName>
    <definedName name="IQ_PRICE_PAID_FARM_INDEX" hidden="1">"c6948"</definedName>
    <definedName name="IQ_PRICE_PAID_FARM_INDEX_APR" hidden="1">"c7608"</definedName>
    <definedName name="IQ_PRICE_PAID_FARM_INDEX_APR_FC" hidden="1">"c8488"</definedName>
    <definedName name="IQ_PRICE_PAID_FARM_INDEX_FC" hidden="1">"c7828"</definedName>
    <definedName name="IQ_PRICE_PAID_FARM_INDEX_POP" hidden="1">"c7168"</definedName>
    <definedName name="IQ_PRICE_PAID_FARM_INDEX_POP_FC" hidden="1">"c8048"</definedName>
    <definedName name="IQ_PRICE_PAID_FARM_INDEX_YOY" hidden="1">"c7388"</definedName>
    <definedName name="IQ_PRICE_PAID_FARM_INDEX_YOY_FC" hidden="1">"c8268"</definedName>
    <definedName name="IQ_PRICE_TARGET" hidden="1">"c82"</definedName>
    <definedName name="IQ_PRICE_TARGET_BOTTOM_UP" hidden="1">"c5486"</definedName>
    <definedName name="IQ_PRICE_TARGET_BOTTOM_UP_CIQ" hidden="1">"c12023"</definedName>
    <definedName name="IQ_PRICE_TARGET_BOTTOM_UP_REUT" hidden="1">"c5494"</definedName>
    <definedName name="IQ_PRICE_TARGET_CIQ" hidden="1">"c3613"</definedName>
    <definedName name="IQ_PRICE_TARGET_REUT" hidden="1">"c3631"</definedName>
    <definedName name="IQ_PRICE_TARGET_THOM" hidden="1">"c3649"</definedName>
    <definedName name="IQ_PRICE_VOL_HIST_2YR" hidden="1">"c15637"</definedName>
    <definedName name="IQ_PRICE_VOL_HIST_3MTH" hidden="1">"c15634"</definedName>
    <definedName name="IQ_PRICE_VOL_HIST_5YR" hidden="1">"c15638"</definedName>
    <definedName name="IQ_PRICE_VOL_HIST_6MTH" hidden="1">"c15635"</definedName>
    <definedName name="IQ_PRICE_VOL_HIST_YR" hidden="1">"c15636"</definedName>
    <definedName name="IQ_PRICE_VOLATILITY_EST" hidden="1">"c4492"</definedName>
    <definedName name="IQ_PRICE_VOLATILITY_HIGH" hidden="1">"c4493"</definedName>
    <definedName name="IQ_PRICE_VOLATILITY_LOW" hidden="1">"c4494"</definedName>
    <definedName name="IQ_PRICE_VOLATILITY_MEDIAN" hidden="1">"c4495"</definedName>
    <definedName name="IQ_PRICE_VOLATILITY_NUM" hidden="1">"c4496"</definedName>
    <definedName name="IQ_PRICE_VOLATILITY_STDDEV" hidden="1">"c4497"</definedName>
    <definedName name="IQ_PRICEDATE" hidden="1">"c1069"</definedName>
    <definedName name="IQ_PRICING_DATE" hidden="1">"c1613"</definedName>
    <definedName name="IQ_PRIMARY_EPS_TYPE" hidden="1">"c4498"</definedName>
    <definedName name="IQ_PRIMARY_EPS_TYPE_REUT" hidden="1">"c5481"</definedName>
    <definedName name="IQ_PRIMARY_INDUSTRY" hidden="1">"c1070"</definedName>
    <definedName name="IQ_PRINCIPAL_AMT" hidden="1">"c2157"</definedName>
    <definedName name="IQ_PRIVATE_CONST_TOTAL_APR_FC_UNUSED" hidden="1">"c8559"</definedName>
    <definedName name="IQ_PRIVATE_CONST_TOTAL_APR_UNUSED" hidden="1">"c7679"</definedName>
    <definedName name="IQ_PRIVATE_CONST_TOTAL_FC_UNUSED" hidden="1">"c7899"</definedName>
    <definedName name="IQ_PRIVATE_CONST_TOTAL_POP_FC_UNUSED" hidden="1">"c8119"</definedName>
    <definedName name="IQ_PRIVATE_CONST_TOTAL_POP_UNUSED" hidden="1">"c7239"</definedName>
    <definedName name="IQ_PRIVATE_CONST_TOTAL_UNUSED" hidden="1">"c7019"</definedName>
    <definedName name="IQ_PRIVATE_CONST_TOTAL_YOY_FC_UNUSED" hidden="1">"c8339"</definedName>
    <definedName name="IQ_PRIVATE_CONST_TOTAL_YOY_UNUSED" hidden="1">"c7459"</definedName>
    <definedName name="IQ_PRIVATE_FIXED_INVEST_TOTAL" hidden="1">"c12006"</definedName>
    <definedName name="IQ_PRIVATE_FIXED_INVEST_TOTAL_APR" hidden="1">"c12009"</definedName>
    <definedName name="IQ_PRIVATE_FIXED_INVEST_TOTAL_POP" hidden="1">"c12007"</definedName>
    <definedName name="IQ_PRIVATE_FIXED_INVEST_TOTAL_YOY" hidden="1">"c12008"</definedName>
    <definedName name="IQ_PRIVATE_NONRES_CONST_IMPROV" hidden="1">"c6949"</definedName>
    <definedName name="IQ_PRIVATE_NONRES_CONST_IMPROV_APR" hidden="1">"c7609"</definedName>
    <definedName name="IQ_PRIVATE_NONRES_CONST_IMPROV_APR_FC" hidden="1">"c8489"</definedName>
    <definedName name="IQ_PRIVATE_NONRES_CONST_IMPROV_FC" hidden="1">"c7829"</definedName>
    <definedName name="IQ_PRIVATE_NONRES_CONST_IMPROV_POP" hidden="1">"c7169"</definedName>
    <definedName name="IQ_PRIVATE_NONRES_CONST_IMPROV_POP_FC" hidden="1">"c8049"</definedName>
    <definedName name="IQ_PRIVATE_NONRES_CONST_IMPROV_YOY" hidden="1">"c7389"</definedName>
    <definedName name="IQ_PRIVATE_NONRES_CONST_IMPROV_YOY_FC" hidden="1">"c8269"</definedName>
    <definedName name="IQ_PRIVATE_RES_CONST_IMPROV" hidden="1">"c6950"</definedName>
    <definedName name="IQ_PRIVATE_RES_CONST_IMPROV_APR" hidden="1">"c7610"</definedName>
    <definedName name="IQ_PRIVATE_RES_CONST_IMPROV_APR_FC" hidden="1">"c8490"</definedName>
    <definedName name="IQ_PRIVATE_RES_CONST_IMPROV_FC" hidden="1">"c7830"</definedName>
    <definedName name="IQ_PRIVATE_RES_CONST_IMPROV_POP" hidden="1">"c7170"</definedName>
    <definedName name="IQ_PRIVATE_RES_CONST_IMPROV_POP_FC" hidden="1">"c8050"</definedName>
    <definedName name="IQ_PRIVATE_RES_CONST_IMPROV_YOY" hidden="1">"c7390"</definedName>
    <definedName name="IQ_PRIVATE_RES_CONST_IMPROV_YOY_FC" hidden="1">"c8270"</definedName>
    <definedName name="IQ_PRIVATE_RES_CONST_REAL_APR_FC_UNUSED" hidden="1">"c8535"</definedName>
    <definedName name="IQ_PRIVATE_RES_CONST_REAL_APR_UNUSED" hidden="1">"c7655"</definedName>
    <definedName name="IQ_PRIVATE_RES_CONST_REAL_FC_UNUSED" hidden="1">"c7875"</definedName>
    <definedName name="IQ_PRIVATE_RES_CONST_REAL_POP_FC_UNUSED" hidden="1">"c8095"</definedName>
    <definedName name="IQ_PRIVATE_RES_CONST_REAL_POP_UNUSED" hidden="1">"c7215"</definedName>
    <definedName name="IQ_PRIVATE_RES_CONST_REAL_UNUSED" hidden="1">"c6995"</definedName>
    <definedName name="IQ_PRIVATE_RES_CONST_REAL_YOY_FC_UNUSED" hidden="1">"c8315"</definedName>
    <definedName name="IQ_PRIVATE_RES_CONST_REAL_YOY_UNUSED" hidden="1">"c7435"</definedName>
    <definedName name="IQ_PRIVATE_RES_FIXED_INVEST_REAL" hidden="1">"c11986"</definedName>
    <definedName name="IQ_PRIVATE_RES_FIXED_INVEST_REAL_APR" hidden="1">"c11989"</definedName>
    <definedName name="IQ_PRIVATE_RES_FIXED_INVEST_REAL_POP" hidden="1">"c11987"</definedName>
    <definedName name="IQ_PRIVATE_RES_FIXED_INVEST_REAL_YOY" hidden="1">"c11988"</definedName>
    <definedName name="IQ_PRO_FORMA_BASIC_EPS" hidden="1">"c1614"</definedName>
    <definedName name="IQ_PRO_FORMA_DILUT_EPS" hidden="1">"c1615"</definedName>
    <definedName name="IQ_PRO_FORMA_NET_INC" hidden="1">"c1452"</definedName>
    <definedName name="IQ_PROBABLE_ATTRIB_ORE_RESERVES_ALUM" hidden="1">"c9217"</definedName>
    <definedName name="IQ_PROBABLE_ATTRIB_ORE_RESERVES_COP" hidden="1">"c9161"</definedName>
    <definedName name="IQ_PROBABLE_ATTRIB_ORE_RESERVES_DIAM" hidden="1">"c9641"</definedName>
    <definedName name="IQ_PROBABLE_ATTRIB_ORE_RESERVES_GOLD" hidden="1">"c9002"</definedName>
    <definedName name="IQ_PROBABLE_ATTRIB_ORE_RESERVES_IRON" hidden="1">"c9376"</definedName>
    <definedName name="IQ_PROBABLE_ATTRIB_ORE_RESERVES_LEAD" hidden="1">"c9429"</definedName>
    <definedName name="IQ_PROBABLE_ATTRIB_ORE_RESERVES_MANG" hidden="1">"c9482"</definedName>
    <definedName name="IQ_PROBABLE_ATTRIB_ORE_RESERVES_MOLYB" hidden="1">"c9694"</definedName>
    <definedName name="IQ_PROBABLE_ATTRIB_ORE_RESERVES_NICK" hidden="1">"c9270"</definedName>
    <definedName name="IQ_PROBABLE_ATTRIB_ORE_RESERVES_PLAT" hidden="1">"c9108"</definedName>
    <definedName name="IQ_PROBABLE_ATTRIB_ORE_RESERVES_SILVER" hidden="1">"c9055"</definedName>
    <definedName name="IQ_PROBABLE_ATTRIB_ORE_RESERVES_TITAN" hidden="1">"c9535"</definedName>
    <definedName name="IQ_PROBABLE_ATTRIB_ORE_RESERVES_URAN" hidden="1">"c9588"</definedName>
    <definedName name="IQ_PROBABLE_ATTRIB_ORE_RESERVES_ZINC" hidden="1">"c9323"</definedName>
    <definedName name="IQ_PROBABLE_ORE_RESERVES_ALUM" hidden="1">"c9209"</definedName>
    <definedName name="IQ_PROBABLE_ORE_RESERVES_COP" hidden="1">"c9153"</definedName>
    <definedName name="IQ_PROBABLE_ORE_RESERVES_DIAM" hidden="1">"c9633"</definedName>
    <definedName name="IQ_PROBABLE_ORE_RESERVES_GOLD" hidden="1">"c8994"</definedName>
    <definedName name="IQ_PROBABLE_ORE_RESERVES_IRON" hidden="1">"c9368"</definedName>
    <definedName name="IQ_PROBABLE_ORE_RESERVES_LEAD" hidden="1">"c9421"</definedName>
    <definedName name="IQ_PROBABLE_ORE_RESERVES_MANG" hidden="1">"c9474"</definedName>
    <definedName name="IQ_PROBABLE_ORE_RESERVES_MOLYB" hidden="1">"c9686"</definedName>
    <definedName name="IQ_PROBABLE_ORE_RESERVES_NICK" hidden="1">"c9262"</definedName>
    <definedName name="IQ_PROBABLE_ORE_RESERVES_PLAT" hidden="1">"c9100"</definedName>
    <definedName name="IQ_PROBABLE_ORE_RESERVES_SILVER" hidden="1">"c9047"</definedName>
    <definedName name="IQ_PROBABLE_ORE_RESERVES_TITAN" hidden="1">"c9527"</definedName>
    <definedName name="IQ_PROBABLE_ORE_RESERVES_URAN" hidden="1">"c9580"</definedName>
    <definedName name="IQ_PROBABLE_ORE_RESERVES_ZINC" hidden="1">"c9315"</definedName>
    <definedName name="IQ_PROBABLE_RECOV_ATTRIB_RESERVES_ALUM" hidden="1">"c9220"</definedName>
    <definedName name="IQ_PROBABLE_RECOV_ATTRIB_RESERVES_COAL" hidden="1">"c9804"</definedName>
    <definedName name="IQ_PROBABLE_RECOV_ATTRIB_RESERVES_COP" hidden="1">"c9164"</definedName>
    <definedName name="IQ_PROBABLE_RECOV_ATTRIB_RESERVES_DIAM" hidden="1">"c9644"</definedName>
    <definedName name="IQ_PROBABLE_RECOV_ATTRIB_RESERVES_GOLD" hidden="1">"c9005"</definedName>
    <definedName name="IQ_PROBABLE_RECOV_ATTRIB_RESERVES_IRON" hidden="1">"c9379"</definedName>
    <definedName name="IQ_PROBABLE_RECOV_ATTRIB_RESERVES_LEAD" hidden="1">"c9432"</definedName>
    <definedName name="IQ_PROBABLE_RECOV_ATTRIB_RESERVES_MANG" hidden="1">"c9485"</definedName>
    <definedName name="IQ_PROBABLE_RECOV_ATTRIB_RESERVES_MET_COAL" hidden="1">"c9744"</definedName>
    <definedName name="IQ_PROBABLE_RECOV_ATTRIB_RESERVES_MOLYB" hidden="1">"c9697"</definedName>
    <definedName name="IQ_PROBABLE_RECOV_ATTRIB_RESERVES_NICK" hidden="1">"c9273"</definedName>
    <definedName name="IQ_PROBABLE_RECOV_ATTRIB_RESERVES_PLAT" hidden="1">"c9111"</definedName>
    <definedName name="IQ_PROBABLE_RECOV_ATTRIB_RESERVES_SILVER" hidden="1">"c9058"</definedName>
    <definedName name="IQ_PROBABLE_RECOV_ATTRIB_RESERVES_STEAM" hidden="1">"c9774"</definedName>
    <definedName name="IQ_PROBABLE_RECOV_ATTRIB_RESERVES_TITAN" hidden="1">"c9538"</definedName>
    <definedName name="IQ_PROBABLE_RECOV_ATTRIB_RESERVES_URAN" hidden="1">"c9591"</definedName>
    <definedName name="IQ_PROBABLE_RECOV_ATTRIB_RESERVES_ZINC" hidden="1">"c9326"</definedName>
    <definedName name="IQ_PROBABLE_RECOV_RESERVES_ALUM" hidden="1">"c9214"</definedName>
    <definedName name="IQ_PROBABLE_RECOV_RESERVES_COAL" hidden="1">"c9801"</definedName>
    <definedName name="IQ_PROBABLE_RECOV_RESERVES_COP" hidden="1">"c9158"</definedName>
    <definedName name="IQ_PROBABLE_RECOV_RESERVES_DIAM" hidden="1">"c9638"</definedName>
    <definedName name="IQ_PROBABLE_RECOV_RESERVES_GOLD" hidden="1">"c8999"</definedName>
    <definedName name="IQ_PROBABLE_RECOV_RESERVES_IRON" hidden="1">"c9373"</definedName>
    <definedName name="IQ_PROBABLE_RECOV_RESERVES_LEAD" hidden="1">"c9426"</definedName>
    <definedName name="IQ_PROBABLE_RECOV_RESERVES_MANG" hidden="1">"c9479"</definedName>
    <definedName name="IQ_PROBABLE_RECOV_RESERVES_MET_COAL" hidden="1">"c9741"</definedName>
    <definedName name="IQ_PROBABLE_RECOV_RESERVES_MOLYB" hidden="1">"c9691"</definedName>
    <definedName name="IQ_PROBABLE_RECOV_RESERVES_NICK" hidden="1">"c9267"</definedName>
    <definedName name="IQ_PROBABLE_RECOV_RESERVES_PLAT" hidden="1">"c9105"</definedName>
    <definedName name="IQ_PROBABLE_RECOV_RESERVES_SILVER" hidden="1">"c9052"</definedName>
    <definedName name="IQ_PROBABLE_RECOV_RESERVES_STEAM" hidden="1">"c9771"</definedName>
    <definedName name="IQ_PROBABLE_RECOV_RESERVES_TITAN" hidden="1">"c9532"</definedName>
    <definedName name="IQ_PROBABLE_RECOV_RESERVES_URAN" hidden="1">"c9585"</definedName>
    <definedName name="IQ_PROBABLE_RECOV_RESERVES_ZINC" hidden="1">"c9320"</definedName>
    <definedName name="IQ_PROBABLE_RESERVES_CALORIFIC_VALUE_COAL" hidden="1">"c9798"</definedName>
    <definedName name="IQ_PROBABLE_RESERVES_CALORIFIC_VALUE_MET_COAL" hidden="1">"c9738"</definedName>
    <definedName name="IQ_PROBABLE_RESERVES_CALORIFIC_VALUE_STEAM" hidden="1">"c9768"</definedName>
    <definedName name="IQ_PROBABLE_RESERVES_GRADE_ALUM" hidden="1">"c9210"</definedName>
    <definedName name="IQ_PROBABLE_RESERVES_GRADE_COP" hidden="1">"c9154"</definedName>
    <definedName name="IQ_PROBABLE_RESERVES_GRADE_DIAM" hidden="1">"c9634"</definedName>
    <definedName name="IQ_PROBABLE_RESERVES_GRADE_GOLD" hidden="1">"c8995"</definedName>
    <definedName name="IQ_PROBABLE_RESERVES_GRADE_IRON" hidden="1">"c9369"</definedName>
    <definedName name="IQ_PROBABLE_RESERVES_GRADE_LEAD" hidden="1">"c9422"</definedName>
    <definedName name="IQ_PROBABLE_RESERVES_GRADE_MANG" hidden="1">"c9475"</definedName>
    <definedName name="IQ_PROBABLE_RESERVES_GRADE_MOLYB" hidden="1">"c9687"</definedName>
    <definedName name="IQ_PROBABLE_RESERVES_GRADE_NICK" hidden="1">"c9263"</definedName>
    <definedName name="IQ_PROBABLE_RESERVES_GRADE_PLAT" hidden="1">"c9101"</definedName>
    <definedName name="IQ_PROBABLE_RESERVES_GRADE_SILVER" hidden="1">"c9048"</definedName>
    <definedName name="IQ_PROBABLE_RESERVES_GRADE_TITAN" hidden="1">"c9528"</definedName>
    <definedName name="IQ_PROBABLE_RESERVES_GRADE_URAN" hidden="1">"c9581"</definedName>
    <definedName name="IQ_PROBABLE_RESERVES_GRADE_ZINC" hidden="1">"c9316"</definedName>
    <definedName name="IQ_PROBABLE_RESERVES_TO_TOTAL_RESERVES_COAL" hidden="1">"c15953"</definedName>
    <definedName name="IQ_PRODUCTION_COST_ALUM" hidden="1">"c9253"</definedName>
    <definedName name="IQ_PRODUCTION_COST_COAL" hidden="1">"c9826"</definedName>
    <definedName name="IQ_PRODUCTION_COST_COP" hidden="1">"c9200"</definedName>
    <definedName name="IQ_PRODUCTION_COST_DIAM" hidden="1">"c9677"</definedName>
    <definedName name="IQ_PRODUCTION_COST_GOLD" hidden="1">"c9038"</definedName>
    <definedName name="IQ_PRODUCTION_COST_IRON" hidden="1">"c9412"</definedName>
    <definedName name="IQ_PRODUCTION_COST_LEAD" hidden="1">"c9465"</definedName>
    <definedName name="IQ_PRODUCTION_COST_MANG" hidden="1">"c9518"</definedName>
    <definedName name="IQ_PRODUCTION_COST_MET_COAL" hidden="1">"c9763"</definedName>
    <definedName name="IQ_PRODUCTION_COST_MOLYB" hidden="1">"c9730"</definedName>
    <definedName name="IQ_PRODUCTION_COST_NICK" hidden="1">"c9306"</definedName>
    <definedName name="IQ_PRODUCTION_COST_PLAT" hidden="1">"c9144"</definedName>
    <definedName name="IQ_PRODUCTION_COST_SILVER" hidden="1">"c9091"</definedName>
    <definedName name="IQ_PRODUCTION_COST_STEAM" hidden="1">"c9793"</definedName>
    <definedName name="IQ_PRODUCTION_COST_TITAN" hidden="1">"c9571"</definedName>
    <definedName name="IQ_PRODUCTION_COST_URAN" hidden="1">"c9624"</definedName>
    <definedName name="IQ_PRODUCTION_COST_ZINC" hidden="1">"c9359"</definedName>
    <definedName name="IQ_PRODUCTION_TO_SOLD_COAL" hidden="1">"c15945"</definedName>
    <definedName name="IQ_PROFESSIONAL" hidden="1">"c1071"</definedName>
    <definedName name="IQ_PROFESSIONAL_ASSISTANT_EMAIL" hidden="1">"c15169"</definedName>
    <definedName name="IQ_PROFESSIONAL_ASSISTANT_FAX" hidden="1">"c15171"</definedName>
    <definedName name="IQ_PROFESSIONAL_ASSISTANT_NAME" hidden="1">"c15168"</definedName>
    <definedName name="IQ_PROFESSIONAL_ASSISTANT_PHONE" hidden="1">"c15170"</definedName>
    <definedName name="IQ_PROFESSIONAL_BACKGROUND" hidden="1">"c15161"</definedName>
    <definedName name="IQ_PROFESSIONAL_DIRECT_FAX" hidden="1">"c15166"</definedName>
    <definedName name="IQ_PROFESSIONAL_DIRECT_PHONE" hidden="1">"c15165"</definedName>
    <definedName name="IQ_PROFESSIONAL_EMAIL" hidden="1">"c15167"</definedName>
    <definedName name="IQ_PROFESSIONAL_ID" hidden="1">"c13755"</definedName>
    <definedName name="IQ_PROFESSIONAL_MAIN_FAX" hidden="1">"c15164"</definedName>
    <definedName name="IQ_PROFESSIONAL_MAIN_PHONE" hidden="1">"c15163"</definedName>
    <definedName name="IQ_PROFESSIONAL_OFFICE_ADDRESS" hidden="1">"c15162"</definedName>
    <definedName name="IQ_PROFESSIONAL_TITLE" hidden="1">"c1072"</definedName>
    <definedName name="IQ_PROFIT_AFTER_COST_CAPITAL_NEW_BUSINESS" hidden="1">"c9969"</definedName>
    <definedName name="IQ_PROFIT_BEFORE_COST_CAPITAL_NEW_BUSINESS" hidden="1">"c9967"</definedName>
    <definedName name="IQ_PROGRAMMING_COSTS" hidden="1">"c2884"</definedName>
    <definedName name="IQ_PROJECTED_PENSION_OBLIGATION" hidden="1">"c1292"</definedName>
    <definedName name="IQ_PROJECTED_PENSION_OBLIGATION_DOMESTIC" hidden="1">"c2656"</definedName>
    <definedName name="IQ_PROJECTED_PENSION_OBLIGATION_FOREIGN" hidden="1">"c2664"</definedName>
    <definedName name="IQ_PROP_MGMT_EXPENSE" hidden="1">"c16038"</definedName>
    <definedName name="IQ_PROP_MGMT_INCOME" hidden="1">"c16028"</definedName>
    <definedName name="IQ_PROP_OPERATING_EXPENSE" hidden="1">"c16037"</definedName>
    <definedName name="IQ_PROP_RENTAL_REVENUE" hidden="1">"c16019"</definedName>
    <definedName name="IQ_PROP_SALES_EXPENSE" hidden="1">"c16044"</definedName>
    <definedName name="IQ_PROPERTY_EXP" hidden="1">"c1073"</definedName>
    <definedName name="IQ_PROPERTY_GROSS" hidden="1">"c1379"</definedName>
    <definedName name="IQ_PROPERTY_MGMT_FEE" hidden="1">"c1074"</definedName>
    <definedName name="IQ_PROPERTY_NET" hidden="1">"c1402"</definedName>
    <definedName name="IQ_PROPERTY_TAX_INSURANCE" hidden="1">"c16033"</definedName>
    <definedName name="IQ_PROV_BAD_DEBTS" hidden="1">"c1075"</definedName>
    <definedName name="IQ_PROV_BAD_DEBTS_CF" hidden="1">"c1076"</definedName>
    <definedName name="IQ_PROVED_ATTRIB_ORE_RESERVES_ALUM" hidden="1">"c9216"</definedName>
    <definedName name="IQ_PROVED_ATTRIB_ORE_RESERVES_COP" hidden="1">"c9160"</definedName>
    <definedName name="IQ_PROVED_ATTRIB_ORE_RESERVES_DIAM" hidden="1">"c9640"</definedName>
    <definedName name="IQ_PROVED_ATTRIB_ORE_RESERVES_GOLD" hidden="1">"c9001"</definedName>
    <definedName name="IQ_PROVED_ATTRIB_ORE_RESERVES_IRON" hidden="1">"c9375"</definedName>
    <definedName name="IQ_PROVED_ATTRIB_ORE_RESERVES_LEAD" hidden="1">"c9428"</definedName>
    <definedName name="IQ_PROVED_ATTRIB_ORE_RESERVES_MANG" hidden="1">"c9481"</definedName>
    <definedName name="IQ_PROVED_ATTRIB_ORE_RESERVES_MOLYB" hidden="1">"c9693"</definedName>
    <definedName name="IQ_PROVED_ATTRIB_ORE_RESERVES_NICK" hidden="1">"c9269"</definedName>
    <definedName name="IQ_PROVED_ATTRIB_ORE_RESERVES_PLAT" hidden="1">"c9107"</definedName>
    <definedName name="IQ_PROVED_ATTRIB_ORE_RESERVES_SILVER" hidden="1">"c9054"</definedName>
    <definedName name="IQ_PROVED_ATTRIB_ORE_RESERVES_TITAN" hidden="1">"c9534"</definedName>
    <definedName name="IQ_PROVED_ATTRIB_ORE_RESERVES_URAN" hidden="1">"c9587"</definedName>
    <definedName name="IQ_PROVED_ATTRIB_ORE_RESERVES_ZINC" hidden="1">"c9322"</definedName>
    <definedName name="IQ_PROVED_ORE_RESERVES_ALUM" hidden="1">"c9207"</definedName>
    <definedName name="IQ_PROVED_ORE_RESERVES_COP" hidden="1">"c9151"</definedName>
    <definedName name="IQ_PROVED_ORE_RESERVES_DIAM" hidden="1">"c9631"</definedName>
    <definedName name="IQ_PROVED_ORE_RESERVES_GOLD" hidden="1">"c8992"</definedName>
    <definedName name="IQ_PROVED_ORE_RESERVES_IRON" hidden="1">"c9366"</definedName>
    <definedName name="IQ_PROVED_ORE_RESERVES_LEAD" hidden="1">"c9419"</definedName>
    <definedName name="IQ_PROVED_ORE_RESERVES_MANG" hidden="1">"c9472"</definedName>
    <definedName name="IQ_PROVED_ORE_RESERVES_MOLYB" hidden="1">"c9684"</definedName>
    <definedName name="IQ_PROVED_ORE_RESERVES_NICK" hidden="1">"c9260"</definedName>
    <definedName name="IQ_PROVED_ORE_RESERVES_PLAT" hidden="1">"c9098"</definedName>
    <definedName name="IQ_PROVED_ORE_RESERVES_SILVER" hidden="1">"c9045"</definedName>
    <definedName name="IQ_PROVED_ORE_RESERVES_TITAN" hidden="1">"c9525"</definedName>
    <definedName name="IQ_PROVED_ORE_RESERVES_URAN" hidden="1">"c9578"</definedName>
    <definedName name="IQ_PROVED_ORE_RESERVES_ZINC" hidden="1">"c9313"</definedName>
    <definedName name="IQ_PROVED_RECOV_ATTRIB_RESERVES_ALUM" hidden="1">"c9219"</definedName>
    <definedName name="IQ_PROVED_RECOV_ATTRIB_RESERVES_COAL" hidden="1">"c9803"</definedName>
    <definedName name="IQ_PROVED_RECOV_ATTRIB_RESERVES_COP" hidden="1">"c9163"</definedName>
    <definedName name="IQ_PROVED_RECOV_ATTRIB_RESERVES_DIAM" hidden="1">"c9643"</definedName>
    <definedName name="IQ_PROVED_RECOV_ATTRIB_RESERVES_GOLD" hidden="1">"c9004"</definedName>
    <definedName name="IQ_PROVED_RECOV_ATTRIB_RESERVES_IRON" hidden="1">"c9378"</definedName>
    <definedName name="IQ_PROVED_RECOV_ATTRIB_RESERVES_LEAD" hidden="1">"c9431"</definedName>
    <definedName name="IQ_PROVED_RECOV_ATTRIB_RESERVES_MANG" hidden="1">"c9484"</definedName>
    <definedName name="IQ_PROVED_RECOV_ATTRIB_RESERVES_MET_COAL" hidden="1">"c9743"</definedName>
    <definedName name="IQ_PROVED_RECOV_ATTRIB_RESERVES_MOLYB" hidden="1">"c9696"</definedName>
    <definedName name="IQ_PROVED_RECOV_ATTRIB_RESERVES_NICK" hidden="1">"c9272"</definedName>
    <definedName name="IQ_PROVED_RECOV_ATTRIB_RESERVES_PLAT" hidden="1">"c9110"</definedName>
    <definedName name="IQ_PROVED_RECOV_ATTRIB_RESERVES_SILVER" hidden="1">"c9057"</definedName>
    <definedName name="IQ_PROVED_RECOV_ATTRIB_RESERVES_STEAM" hidden="1">"c9773"</definedName>
    <definedName name="IQ_PROVED_RECOV_ATTRIB_RESERVES_TITAN" hidden="1">"c9537"</definedName>
    <definedName name="IQ_PROVED_RECOV_ATTRIB_RESERVES_URAN" hidden="1">"c9590"</definedName>
    <definedName name="IQ_PROVED_RECOV_ATTRIB_RESERVES_ZINC" hidden="1">"c9325"</definedName>
    <definedName name="IQ_PROVED_RECOV_RESERVES_ALUM" hidden="1">"c9213"</definedName>
    <definedName name="IQ_PROVED_RECOV_RESERVES_COAL" hidden="1">"c9800"</definedName>
    <definedName name="IQ_PROVED_RECOV_RESERVES_COP" hidden="1">"c9157"</definedName>
    <definedName name="IQ_PROVED_RECOV_RESERVES_DIAM" hidden="1">"c9637"</definedName>
    <definedName name="IQ_PROVED_RECOV_RESERVES_GOLD" hidden="1">"c8998"</definedName>
    <definedName name="IQ_PROVED_RECOV_RESERVES_IRON" hidden="1">"c9372"</definedName>
    <definedName name="IQ_PROVED_RECOV_RESERVES_LEAD" hidden="1">"c9425"</definedName>
    <definedName name="IQ_PROVED_RECOV_RESERVES_MANG" hidden="1">"c9478"</definedName>
    <definedName name="IQ_PROVED_RECOV_RESERVES_MET_COAL" hidden="1">"c9740"</definedName>
    <definedName name="IQ_PROVED_RECOV_RESERVES_MOLYB" hidden="1">"c9690"</definedName>
    <definedName name="IQ_PROVED_RECOV_RESERVES_NICK" hidden="1">"c9266"</definedName>
    <definedName name="IQ_PROVED_RECOV_RESERVES_PLAT" hidden="1">"c9104"</definedName>
    <definedName name="IQ_PROVED_RECOV_RESERVES_SILVER" hidden="1">"c9051"</definedName>
    <definedName name="IQ_PROVED_RECOV_RESERVES_STEAM" hidden="1">"c9770"</definedName>
    <definedName name="IQ_PROVED_RECOV_RESERVES_TITAN" hidden="1">"c9531"</definedName>
    <definedName name="IQ_PROVED_RECOV_RESERVES_URAN" hidden="1">"c9584"</definedName>
    <definedName name="IQ_PROVED_RECOV_RESERVES_ZINC" hidden="1">"c9319"</definedName>
    <definedName name="IQ_PROVED_RESERVES_CALORIFIC_VALUE_COAL" hidden="1">"c9797"</definedName>
    <definedName name="IQ_PROVED_RESERVES_CALORIFIC_VALUE_MET_COAL" hidden="1">"c9737"</definedName>
    <definedName name="IQ_PROVED_RESERVES_CALORIFIC_VALUE_STEAM" hidden="1">"c9767"</definedName>
    <definedName name="IQ_PROVED_RESERVES_GRADE_ALUM" hidden="1">"c9208"</definedName>
    <definedName name="IQ_PROVED_RESERVES_GRADE_COP" hidden="1">"c9152"</definedName>
    <definedName name="IQ_PROVED_RESERVES_GRADE_DIAM" hidden="1">"c9632"</definedName>
    <definedName name="IQ_PROVED_RESERVES_GRADE_GOLD" hidden="1">"c8993"</definedName>
    <definedName name="IQ_PROVED_RESERVES_GRADE_IRON" hidden="1">"c9367"</definedName>
    <definedName name="IQ_PROVED_RESERVES_GRADE_LEAD" hidden="1">"c9420"</definedName>
    <definedName name="IQ_PROVED_RESERVES_GRADE_MANG" hidden="1">"c9473"</definedName>
    <definedName name="IQ_PROVED_RESERVES_GRADE_MOLYB" hidden="1">"c9685"</definedName>
    <definedName name="IQ_PROVED_RESERVES_GRADE_NICK" hidden="1">"c9261"</definedName>
    <definedName name="IQ_PROVED_RESERVES_GRADE_PLAT" hidden="1">"c9099"</definedName>
    <definedName name="IQ_PROVED_RESERVES_GRADE_SILVER" hidden="1">"c9046"</definedName>
    <definedName name="IQ_PROVED_RESERVES_GRADE_TITAN" hidden="1">"c9526"</definedName>
    <definedName name="IQ_PROVED_RESERVES_GRADE_URAN" hidden="1">"c9579"</definedName>
    <definedName name="IQ_PROVED_RESERVES_GRADE_ZINC" hidden="1">"c9314"</definedName>
    <definedName name="IQ_PROVEN_RESERVES_TO_TOTAL_RESERVES_COAL" hidden="1">"c15952"</definedName>
    <definedName name="IQ_PROVISION_10YR_ANN_CAGR" hidden="1">"c6135"</definedName>
    <definedName name="IQ_PROVISION_10YR_ANN_GROWTH" hidden="1">"c1077"</definedName>
    <definedName name="IQ_PROVISION_1YR_ANN_GROWTH" hidden="1">"c1078"</definedName>
    <definedName name="IQ_PROVISION_2YR_ANN_CAGR" hidden="1">"c6136"</definedName>
    <definedName name="IQ_PROVISION_2YR_ANN_GROWTH" hidden="1">"c1079"</definedName>
    <definedName name="IQ_PROVISION_3YR_ANN_CAGR" hidden="1">"c6137"</definedName>
    <definedName name="IQ_PROVISION_3YR_ANN_GROWTH" hidden="1">"c1080"</definedName>
    <definedName name="IQ_PROVISION_5YR_ANN_CAGR" hidden="1">"c6138"</definedName>
    <definedName name="IQ_PROVISION_5YR_ANN_GROWTH" hidden="1">"c1081"</definedName>
    <definedName name="IQ_PROVISION_7YR_ANN_CAGR" hidden="1">"c6139"</definedName>
    <definedName name="IQ_PROVISION_7YR_ANN_GROWTH" hidden="1">"c1082"</definedName>
    <definedName name="IQ_PROVISION_AVG_LOANS" hidden="1">"c15717"</definedName>
    <definedName name="IQ_PROVISION_CHARGE_OFFS" hidden="1">"c1083"</definedName>
    <definedName name="IQ_PROVISION_LL_FFIEC" hidden="1">"c13019"</definedName>
    <definedName name="IQ_PROVISION_LOAN_LOSS_AVG_ASSETS_FFIEC" hidden="1">"c18879"</definedName>
    <definedName name="IQ_PROVISION_LOSSES_AVG_ASSETS_FFIEC" hidden="1">"c13362"</definedName>
    <definedName name="IQ_PROVISION_LOSSES_AVG_LOANS_FFIEC" hidden="1">"c13470"</definedName>
    <definedName name="IQ_PROVISION_LOSSES_NET_LOSSES_FFIEC" hidden="1">"c13471"</definedName>
    <definedName name="IQ_PTBV" hidden="1">"c1084"</definedName>
    <definedName name="IQ_PTBV_AVG" hidden="1">"c1085"</definedName>
    <definedName name="IQ_PURCHASE_TREASURY_FFIEC" hidden="1">"c12966"</definedName>
    <definedName name="IQ_PURCHASED_COAL" hidden="1">"c15934"</definedName>
    <definedName name="IQ_PURCHASED_CREDIT_RELS_SERVICING_ASSETS_FFIEC" hidden="1">"c12839"</definedName>
    <definedName name="IQ_PURCHASED_PRODUCTION_TO_SOLD_COAL" hidden="1">"c15947"</definedName>
    <definedName name="IQ_PURCHASED_TO_PRODUCTION_COAL" hidden="1">"c15948"</definedName>
    <definedName name="IQ_PURCHASED_TO_SOLD_COAL" hidden="1">"c15946"</definedName>
    <definedName name="IQ_PURCHASES_EQUIP_NONRES_SAAR_APR_FC_UNUSED" hidden="1">"c8491"</definedName>
    <definedName name="IQ_PURCHASES_EQUIP_NONRES_SAAR_APR_UNUSED" hidden="1">"c7611"</definedName>
    <definedName name="IQ_PURCHASES_EQUIP_NONRES_SAAR_FC_UNUSED" hidden="1">"c7831"</definedName>
    <definedName name="IQ_PURCHASES_EQUIP_NONRES_SAAR_POP_FC_UNUSED" hidden="1">"c8051"</definedName>
    <definedName name="IQ_PURCHASES_EQUIP_NONRES_SAAR_POP_UNUSED" hidden="1">"c7171"</definedName>
    <definedName name="IQ_PURCHASES_EQUIP_NONRES_SAAR_UNUSED" hidden="1">"c6951"</definedName>
    <definedName name="IQ_PURCHASES_EQUIP_NONRES_SAAR_YOY_FC_UNUSED" hidden="1">"c8271"</definedName>
    <definedName name="IQ_PURCHASES_EQUIP_NONRES_SAAR_YOY_UNUSED" hidden="1">"c7391"</definedName>
    <definedName name="IQ_PURCHASING_SECURITIES_LL_REC_FFIEC" hidden="1">"c12893"</definedName>
    <definedName name="IQ_PUT_DATE_SCHEDULE" hidden="1">"c2483"</definedName>
    <definedName name="IQ_PUT_NOTIFICATION" hidden="1">"c2485"</definedName>
    <definedName name="IQ_PUT_PRICE_SCHEDULE" hidden="1">"c2484"</definedName>
    <definedName name="IQ_PV_PREMIUMS_NEW_BUSINESS" hidden="1">"c9973"</definedName>
    <definedName name="IQ_QTD" hidden="1">750000</definedName>
    <definedName name="IQ_QUALIFYING_MINORITY_INT_T1_FFIEC" hidden="1">"c13135"</definedName>
    <definedName name="IQ_QUALIFYING_SUB_DEBT_REDEEM_PREF_T2_FFIEC" hidden="1">"c13144"</definedName>
    <definedName name="IQ_QUALIFYING_TRUST_PREFERRED_T1_FFIEC" hidden="1">"c13136"</definedName>
    <definedName name="IQ_QUICK_COMP" hidden="1">"c13750"</definedName>
    <definedName name="IQ_QUICK_RATIO" hidden="1">"c1086"</definedName>
    <definedName name="IQ_RATE_COMP_GROWTH_DOMESTIC" hidden="1">"c1087"</definedName>
    <definedName name="IQ_RATE_COMP_GROWTH_FOREIGN" hidden="1">"c1088"</definedName>
    <definedName name="IQ_RAW_INV" hidden="1">"c1089"</definedName>
    <definedName name="IQ_RAW_SALEABLE_INVENTORY_COAL" hidden="1">"c15941"</definedName>
    <definedName name="IQ_RC" hidden="1">"c2497"</definedName>
    <definedName name="IQ_RC_PCT" hidden="1">"c2498"</definedName>
    <definedName name="IQ_RD_EXP" hidden="1">"c1090"</definedName>
    <definedName name="IQ_RD_EXP_FN" hidden="1">"c1091"</definedName>
    <definedName name="IQ_RE" hidden="1">"c1092"</definedName>
    <definedName name="IQ_RE_1_4_RISK_BASED_FFIEC" hidden="1">"c13418"</definedName>
    <definedName name="IQ_RE_ACQ_SATISFACTION_DEBTS_FFIEC" hidden="1">"c12832"</definedName>
    <definedName name="IQ_RE_DEPR_AMORT" hidden="1">"c8750"</definedName>
    <definedName name="IQ_RE_DEPRECIATION" hidden="1">"c16045"</definedName>
    <definedName name="IQ_RE_FARMLAND_GROSS_LOANS_FFIEC" hidden="1">"c13408"</definedName>
    <definedName name="IQ_RE_FARMLAND_RISK_BASED_FFIEC" hidden="1">"c13429"</definedName>
    <definedName name="IQ_RE_FCCR" hidden="1">"c8858"</definedName>
    <definedName name="IQ_RE_FCCR_CONT_OPS" hidden="1">"c8859"</definedName>
    <definedName name="IQ_RE_FCCR_INCL_DISC_OPS" hidden="1">"c8860"</definedName>
    <definedName name="IQ_RE_FCCR_INCL_PREF_DIV" hidden="1">"c8861"</definedName>
    <definedName name="IQ_RE_FCCR_INCL_PREF_DIV_CONT_OPS" hidden="1">"c8862"</definedName>
    <definedName name="IQ_RE_FCCR_INCL_PREF_DIV_INCL_DISC_OPS" hidden="1">"c8863"</definedName>
    <definedName name="IQ_RE_FIXED_CHARGES" hidden="1">"c8856"</definedName>
    <definedName name="IQ_RE_FIXED_CHARGES_INCL_PREF_DIV" hidden="1">"c8857"</definedName>
    <definedName name="IQ_RE_FOREIGN_FFIEC" hidden="1">"c13479"</definedName>
    <definedName name="IQ_RE_GAIN_LOSS_SALE_ASSETS" hidden="1">"c8751"</definedName>
    <definedName name="IQ_RE_LOANS_1_4_GROSS_LOANS_FFIEC" hidden="1">"c13397"</definedName>
    <definedName name="IQ_RE_LOANS_DOM_QUARTERLY_AVG_FFIEC" hidden="1">"c15476"</definedName>
    <definedName name="IQ_RE_LOANS_GROSS_LOANS_FFIEC" hidden="1">"c13396"</definedName>
    <definedName name="IQ_RE_MAINT_CAPEX" hidden="1">"c8755"</definedName>
    <definedName name="IQ_RE_MINORITY_INTEREST" hidden="1">"c8752"</definedName>
    <definedName name="IQ_RE_NET_INCOME" hidden="1">"c8749"</definedName>
    <definedName name="IQ_RE_NOI" hidden="1">"c8864"</definedName>
    <definedName name="IQ_RE_NOI_GROWTH_SAME_PROP" hidden="1">"c8866"</definedName>
    <definedName name="IQ_RE_NOI_SAME_PROP" hidden="1">"c8865"</definedName>
    <definedName name="IQ_RE_OTHER_ITEMS" hidden="1">"c8753"</definedName>
    <definedName name="IQ_RE_RENTAL_EXPENSE" hidden="1">"c16036"</definedName>
    <definedName name="IQ_RE_RISK_BASED_FFIEC" hidden="1">"c13417"</definedName>
    <definedName name="IQ_REAL_ESTATE" hidden="1">"c1093"</definedName>
    <definedName name="IQ_REAL_ESTATE_ASSETS" hidden="1">"c1094"</definedName>
    <definedName name="IQ_REALIZED_GAINS_AVAIL_SALE_SEC_FFIEC" hidden="1">"c13022"</definedName>
    <definedName name="IQ_REALIZED_GAINS_HELD_MATURITY_SEC_FFIEC" hidden="1">"c13021"</definedName>
    <definedName name="IQ_REALIZED_GAINS_SEC_TOT_FFIEC" hidden="1">"c13517"</definedName>
    <definedName name="IQ_RECOVERIES_AVG_LOANS_FFIEC" hidden="1">"c13476"</definedName>
    <definedName name="IQ_RECURRING_PROFIT_ACT_OR_EST" hidden="1">"c4507"</definedName>
    <definedName name="IQ_RECURRING_PROFIT_ACT_OR_EST_CIQ" hidden="1">"c5045"</definedName>
    <definedName name="IQ_RECURRING_PROFIT_EST" hidden="1">"c4499"</definedName>
    <definedName name="IQ_RECURRING_PROFIT_GUIDANCE" hidden="1">"c4500"</definedName>
    <definedName name="IQ_RECURRING_PROFIT_HIGH_EST" hidden="1">"c4501"</definedName>
    <definedName name="IQ_RECURRING_PROFIT_HIGH_GUIDANCE" hidden="1">"c4179"</definedName>
    <definedName name="IQ_RECURRING_PROFIT_LOW_EST" hidden="1">"c4502"</definedName>
    <definedName name="IQ_RECURRING_PROFIT_LOW_GUIDANCE" hidden="1">"c4219"</definedName>
    <definedName name="IQ_RECURRING_PROFIT_MEDIAN_EST" hidden="1">"c4503"</definedName>
    <definedName name="IQ_RECURRING_PROFIT_NUM_EST" hidden="1">"c4504"</definedName>
    <definedName name="IQ_RECURRING_PROFIT_SHARE_ACT_OR_EST" hidden="1">"c4508"</definedName>
    <definedName name="IQ_RECURRING_PROFIT_SHARE_ACT_OR_EST_CIQ" hidden="1">"c5046"</definedName>
    <definedName name="IQ_RECURRING_PROFIT_SHARE_EST" hidden="1">"c4506"</definedName>
    <definedName name="IQ_RECURRING_PROFIT_SHARE_GUIDANCE" hidden="1">"c4509"</definedName>
    <definedName name="IQ_RECURRING_PROFIT_SHARE_HIGH_EST" hidden="1">"c4510"</definedName>
    <definedName name="IQ_RECURRING_PROFIT_SHARE_HIGH_GUIDANCE" hidden="1">"c4200"</definedName>
    <definedName name="IQ_RECURRING_PROFIT_SHARE_LOW_EST" hidden="1">"c4511"</definedName>
    <definedName name="IQ_RECURRING_PROFIT_SHARE_LOW_GUIDANCE" hidden="1">"c4240"</definedName>
    <definedName name="IQ_RECURRING_PROFIT_SHARE_MEDIAN_EST" hidden="1">"c4512"</definedName>
    <definedName name="IQ_RECURRING_PROFIT_SHARE_NUM_EST" hidden="1">"c4513"</definedName>
    <definedName name="IQ_RECURRING_PROFIT_SHARE_STDDEV_EST" hidden="1">"c4514"</definedName>
    <definedName name="IQ_RECURRING_PROFIT_STDDEV_EST" hidden="1">"c4516"</definedName>
    <definedName name="IQ_REDEEM_PREF_STOCK" hidden="1">"c1417"</definedName>
    <definedName name="IQ_REDUCTION_TAX_POSITION_CURRENT_YR" hidden="1">"c15734"</definedName>
    <definedName name="IQ_REDUCTION_TAX_POSITION_PRIOR_YRS" hidden="1">"c15736"</definedName>
    <definedName name="IQ_REF_ENTITY" hidden="1">"c6033"</definedName>
    <definedName name="IQ_REF_ENTITY_CIQID" hidden="1">"c6024"</definedName>
    <definedName name="IQ_REF_ENTITY_TICKER" hidden="1">"c6023"</definedName>
    <definedName name="IQ_REG_ASSETS" hidden="1">"c1095"</definedName>
    <definedName name="IQ_REINSUR_PAY" hidden="1">"c1096"</definedName>
    <definedName name="IQ_REINSUR_PAY_CF" hidden="1">"c1097"</definedName>
    <definedName name="IQ_REINSUR_RECOVER" hidden="1">"c1098"</definedName>
    <definedName name="IQ_REINSUR_RECOVER_CF" hidden="1">"c1099"</definedName>
    <definedName name="IQ_REINSURANCE" hidden="1">"c1100"</definedName>
    <definedName name="IQ_REINSURANCE_RECOVERABLE_ASSETS_LH_FFIEC" hidden="1">"c13104"</definedName>
    <definedName name="IQ_REINSURANCE_RECOVERABLE_ASSETS_PC_FFIEC" hidden="1">"c13098"</definedName>
    <definedName name="IQ_RENT_AVG_PROP" hidden="1">"c16056"</definedName>
    <definedName name="IQ_RENT_OTHER_INC_FROM_OREO_FFIEC" hidden="1">"c13043"</definedName>
    <definedName name="IQ_RENT_PER_SQ_FT_AVG_CONSOL" hidden="1">"c8846"</definedName>
    <definedName name="IQ_RENT_PER_SQ_FT_AVG_MANAGED" hidden="1">"c8848"</definedName>
    <definedName name="IQ_RENT_PER_SQ_FT_AVG_OTHER" hidden="1">"c8849"</definedName>
    <definedName name="IQ_RENT_PER_SQ_FT_AVG_TOTAL" hidden="1">"c8850"</definedName>
    <definedName name="IQ_RENT_PER_SQ_FT_AVG_UNCONSOL" hidden="1">"c8847"</definedName>
    <definedName name="IQ_RENT_PER_SQ_METER_AVG_CONSOL" hidden="1">"c8851"</definedName>
    <definedName name="IQ_RENT_PER_SQ_METER_AVG_MANAGED" hidden="1">"c8853"</definedName>
    <definedName name="IQ_RENT_PER_SQ_METER_AVG_OTHER" hidden="1">"c8854"</definedName>
    <definedName name="IQ_RENT_PER_SQ_METER_AVG_TOTAL" hidden="1">"c8855"</definedName>
    <definedName name="IQ_RENT_PER_SQ_METER_AVG_UNCONSOL" hidden="1">"c8852"</definedName>
    <definedName name="IQ_RENT_SAFE_DEPOSIT_FFIEC" hidden="1">"c13044"</definedName>
    <definedName name="IQ_RENTAL_NOI" hidden="1">"c16065"</definedName>
    <definedName name="IQ_RENTAL_NOI_AVG_GROSS_PROP" hidden="1">"c16057"</definedName>
    <definedName name="IQ_RENTAL_NOI_TOTAL_RENT_REVENUE" hidden="1">"c16061"</definedName>
    <definedName name="IQ_RENTAL_REV" hidden="1">"c1101"</definedName>
    <definedName name="IQ_REPAIRS_MAINTENANCE" hidden="1">"c16032"</definedName>
    <definedName name="IQ_REPRICEABLE_EARNING_ASSETS_INT_SENSITIVITY_FFIEC" hidden="1">"c13093"</definedName>
    <definedName name="IQ_REPRICEABLE_INT_DEPOSITS_INT_SENSITIVITY_FFIEC" hidden="1">"c13094"</definedName>
    <definedName name="IQ_REPURCHASED_REBOOKED_GNMA_DUE_30_89_FFIEC" hidden="1">"c13283"</definedName>
    <definedName name="IQ_REPURCHASED_REBOOKED_GNMA_DUE_90_FFIEC" hidden="1">"c13309"</definedName>
    <definedName name="IQ_REPURCHASED_REBOOKED_GNMA_NON_ACCRUAL_FFIEC" hidden="1">"c13334"</definedName>
    <definedName name="IQ_RES_CONST_REAL_APR_FC_UNUSED" hidden="1">"c8536"</definedName>
    <definedName name="IQ_RES_CONST_REAL_APR_UNUSED" hidden="1">"c7656"</definedName>
    <definedName name="IQ_RES_CONST_REAL_FC_UNUSED" hidden="1">"c7876"</definedName>
    <definedName name="IQ_RES_CONST_REAL_POP_FC_UNUSED" hidden="1">"c8096"</definedName>
    <definedName name="IQ_RES_CONST_REAL_POP_UNUSED" hidden="1">"c7216"</definedName>
    <definedName name="IQ_RES_CONST_REAL_SAAR_APR_FC_UNUSED" hidden="1">"c8537"</definedName>
    <definedName name="IQ_RES_CONST_REAL_SAAR_APR_UNUSED" hidden="1">"c7657"</definedName>
    <definedName name="IQ_RES_CONST_REAL_SAAR_FC_UNUSED" hidden="1">"c7877"</definedName>
    <definedName name="IQ_RES_CONST_REAL_SAAR_POP_FC_UNUSED" hidden="1">"c8097"</definedName>
    <definedName name="IQ_RES_CONST_REAL_SAAR_POP_UNUSED" hidden="1">"c7217"</definedName>
    <definedName name="IQ_RES_CONST_REAL_SAAR_UNUSED" hidden="1">"c6997"</definedName>
    <definedName name="IQ_RES_CONST_REAL_SAAR_YOY_FC_UNUSED" hidden="1">"c8317"</definedName>
    <definedName name="IQ_RES_CONST_REAL_SAAR_YOY_UNUSED" hidden="1">"c7437"</definedName>
    <definedName name="IQ_RES_CONST_REAL_UNUSED" hidden="1">"c6996"</definedName>
    <definedName name="IQ_RES_CONST_REAL_YOY_FC_UNUSED" hidden="1">"c8316"</definedName>
    <definedName name="IQ_RES_CONST_REAL_YOY_UNUSED" hidden="1">"c7436"</definedName>
    <definedName name="IQ_RES_CONST_SAAR_APR_FC_UNUSED" hidden="1">"c8540"</definedName>
    <definedName name="IQ_RES_CONST_SAAR_APR_UNUSED" hidden="1">"c7660"</definedName>
    <definedName name="IQ_RES_CONST_SAAR_FC_UNUSED" hidden="1">"c7880"</definedName>
    <definedName name="IQ_RES_CONST_SAAR_POP_FC_UNUSED" hidden="1">"c8100"</definedName>
    <definedName name="IQ_RES_CONST_SAAR_POP_UNUSED" hidden="1">"c7220"</definedName>
    <definedName name="IQ_RES_CONST_SAAR_UNUSED" hidden="1">"c7000"</definedName>
    <definedName name="IQ_RES_CONST_SAAR_YOY_FC_UNUSED" hidden="1">"c8320"</definedName>
    <definedName name="IQ_RES_CONST_SAAR_YOY_UNUSED" hidden="1">"c7440"</definedName>
    <definedName name="IQ_RES_FIXED_INVEST" hidden="1">"c7001"</definedName>
    <definedName name="IQ_RES_FIXED_INVEST_APR" hidden="1">"c7661"</definedName>
    <definedName name="IQ_RES_FIXED_INVEST_APR_FC" hidden="1">"c8541"</definedName>
    <definedName name="IQ_RES_FIXED_INVEST_FC" hidden="1">"c7881"</definedName>
    <definedName name="IQ_RES_FIXED_INVEST_POP" hidden="1">"c7221"</definedName>
    <definedName name="IQ_RES_FIXED_INVEST_POP_FC" hidden="1">"c8101"</definedName>
    <definedName name="IQ_RES_FIXED_INVEST_REAL" hidden="1">"c6998"</definedName>
    <definedName name="IQ_RES_FIXED_INVEST_REAL_APR" hidden="1">"c7658"</definedName>
    <definedName name="IQ_RES_FIXED_INVEST_REAL_APR_FC" hidden="1">"c8538"</definedName>
    <definedName name="IQ_RES_FIXED_INVEST_REAL_FC" hidden="1">"c7878"</definedName>
    <definedName name="IQ_RES_FIXED_INVEST_REAL_POP" hidden="1">"c7218"</definedName>
    <definedName name="IQ_RES_FIXED_INVEST_REAL_POP_FC" hidden="1">"c8098"</definedName>
    <definedName name="IQ_RES_FIXED_INVEST_REAL_YOY" hidden="1">"c7438"</definedName>
    <definedName name="IQ_RES_FIXED_INVEST_REAL_YOY_FC" hidden="1">"c8318"</definedName>
    <definedName name="IQ_RES_FIXED_INVEST_SAAR" hidden="1">"c11994"</definedName>
    <definedName name="IQ_RES_FIXED_INVEST_SAAR_APR" hidden="1">"c11997"</definedName>
    <definedName name="IQ_RES_FIXED_INVEST_SAAR_POP" hidden="1">"c11995"</definedName>
    <definedName name="IQ_RES_FIXED_INVEST_SAAR_REAL" hidden="1">"c11990"</definedName>
    <definedName name="IQ_RES_FIXED_INVEST_SAAR_REAL_APR" hidden="1">"c11993"</definedName>
    <definedName name="IQ_RES_FIXED_INVEST_SAAR_REAL_POP" hidden="1">"c11991"</definedName>
    <definedName name="IQ_RES_FIXED_INVEST_SAAR_REAL_YOY" hidden="1">"c11992"</definedName>
    <definedName name="IQ_RES_FIXED_INVEST_SAAR_YOY" hidden="1">"c11996"</definedName>
    <definedName name="IQ_RES_FIXED_INVEST_YOY" hidden="1">"c7441"</definedName>
    <definedName name="IQ_RES_FIXED_INVEST_YOY_FC" hidden="1">"c8321"</definedName>
    <definedName name="IQ_RESEARCH_DEV" hidden="1">"c1419"</definedName>
    <definedName name="IQ_RESIDENTIAL_LOANS" hidden="1">"c1102"</definedName>
    <definedName name="IQ_REST_ACQUIRED_AFFILIATED_OTHER_RESTAURANTS" hidden="1">"c9873"</definedName>
    <definedName name="IQ_REST_ACQUIRED_FRANCHISE_RESTAURANTS" hidden="1">"c9867"</definedName>
    <definedName name="IQ_REST_ACQUIRED_OWNED_RESTAURANTS" hidden="1">"c9861"</definedName>
    <definedName name="IQ_REST_ACQUIRED_RESTAURANTS" hidden="1">"c9855"</definedName>
    <definedName name="IQ_REST_AFFILIATED_OTHER_RESTAURANTS_BEG" hidden="1">"c9871"</definedName>
    <definedName name="IQ_REST_AVG_VALUE_TRANSACTION" hidden="1">"c9887"</definedName>
    <definedName name="IQ_REST_AVG_VALUE_TRANSACTION_GROWTH" hidden="1">"c9888"</definedName>
    <definedName name="IQ_REST_AVG_WEEKLY_SALES" hidden="1">"c9879"</definedName>
    <definedName name="IQ_REST_AVG_WEEKLY_SALES_FRANCHISE" hidden="1">"c9877"</definedName>
    <definedName name="IQ_REST_AVG_WEEKLY_SALES_OWNED" hidden="1">"c9878"</definedName>
    <definedName name="IQ_REST_CLOSED_AFFILIATED_OTHER_RESTAURANTS" hidden="1">"c9874"</definedName>
    <definedName name="IQ_REST_CLOSED_FRANCHISE_RESTAURANTS" hidden="1">"c9868"</definedName>
    <definedName name="IQ_REST_CLOSED_OWNED_RESTAURANTS" hidden="1">"c9862"</definedName>
    <definedName name="IQ_REST_CLOSED_RESTAURANTS" hidden="1">"c9856"</definedName>
    <definedName name="IQ_REST_FRANCHISE_RESTAURANTS_BEG" hidden="1">"c9865"</definedName>
    <definedName name="IQ_REST_GUEST_COUNT_GROWTH" hidden="1">"c9889"</definedName>
    <definedName name="IQ_REST_OPENED_AFFILIATED_OTHER_RESTAURANTS" hidden="1">"c9872"</definedName>
    <definedName name="IQ_REST_OPENED_FRANCHISE_RESTAURANTS" hidden="1">"c9866"</definedName>
    <definedName name="IQ_REST_OPENED_OWNED_RESTAURANTS" hidden="1">"c9860"</definedName>
    <definedName name="IQ_REST_OPENED_RESTAURANTS" hidden="1">"c9854"</definedName>
    <definedName name="IQ_REST_OPERATING_MARGIN" hidden="1">"c9886"</definedName>
    <definedName name="IQ_REST_OWNED_RESTAURANTS_BEG" hidden="1">"c9859"</definedName>
    <definedName name="IQ_REST_RESTAURANTS_BEG" hidden="1">"c9853"</definedName>
    <definedName name="IQ_REST_SAME_RESTAURANT_SALES" hidden="1">"c9885"</definedName>
    <definedName name="IQ_REST_SAME_RESTAURANT_SALES_FRANCHISE" hidden="1">"c9883"</definedName>
    <definedName name="IQ_REST_SAME_RESTAURANT_SALES_GROWTH" hidden="1">"c9882"</definedName>
    <definedName name="IQ_REST_SAME_RESTAURANT_SALES_GROWTH_FRANCHISE" hidden="1">"c9880"</definedName>
    <definedName name="IQ_REST_SAME_RESTAURANT_SALES_GROWTH_OWNED" hidden="1">"c9881"</definedName>
    <definedName name="IQ_REST_SAME_RESTAURANT_SALES_OWNED" hidden="1">"c9884"</definedName>
    <definedName name="IQ_REST_SOLD_AFFILIATED_OTHER_RESTAURANTS" hidden="1">"c9875"</definedName>
    <definedName name="IQ_REST_SOLD_FRANCHISE_RESTAURANTS" hidden="1">"c9869"</definedName>
    <definedName name="IQ_REST_SOLD_OWNED_RESTAURANTS" hidden="1">"c9863"</definedName>
    <definedName name="IQ_REST_SOLD_RESTAURANTS" hidden="1">"c9857"</definedName>
    <definedName name="IQ_REST_TOTAL_AFFILIATED_OTHER_RESTAURANTS" hidden="1">"c9876"</definedName>
    <definedName name="IQ_REST_TOTAL_FRANCHISE_RESTAURANTS" hidden="1">"c9870"</definedName>
    <definedName name="IQ_REST_TOTAL_OWNED_RESTAURANTS" hidden="1">"c9864"</definedName>
    <definedName name="IQ_REST_TOTAL_RESTAURANTS" hidden="1">"c9858"</definedName>
    <definedName name="IQ_RESTATEMENT_BS" hidden="1">"c1643"</definedName>
    <definedName name="IQ_RESTATEMENT_CF" hidden="1">"c1644"</definedName>
    <definedName name="IQ_RESTATEMENT_IS" hidden="1">"c1642"</definedName>
    <definedName name="IQ_RESTATEMENTS_FFIEC" hidden="1">"c12958"</definedName>
    <definedName name="IQ_RESTR_STOCK_COMP" hidden="1">"c3506"</definedName>
    <definedName name="IQ_RESTR_STOCK_COMP_PRETAX" hidden="1">"c3504"</definedName>
    <definedName name="IQ_RESTR_STOCK_COMP_TAX" hidden="1">"c3505"</definedName>
    <definedName name="IQ_RESTRICTED_CASH" hidden="1">"c1103"</definedName>
    <definedName name="IQ_RESTRICTED_CASH_NON_CURRENT" hidden="1">"c6192"</definedName>
    <definedName name="IQ_RESTRICTED_CASH_TOTAL" hidden="1">"c6193"</definedName>
    <definedName name="IQ_RESTRUCTURE" hidden="1">"c1104"</definedName>
    <definedName name="IQ_RESTRUCTURE_BNK" hidden="1">"c1105"</definedName>
    <definedName name="IQ_RESTRUCTURE_BR" hidden="1">"c1106"</definedName>
    <definedName name="IQ_RESTRUCTURE_CF" hidden="1">"c1107"</definedName>
    <definedName name="IQ_RESTRUCTURE_FIN" hidden="1">"c1108"</definedName>
    <definedName name="IQ_RESTRUCTURE_INS" hidden="1">"c1109"</definedName>
    <definedName name="IQ_RESTRUCTURE_RE" hidden="1">"c6264"</definedName>
    <definedName name="IQ_RESTRUCTURE_REIT" hidden="1">"c1110"</definedName>
    <definedName name="IQ_RESTRUCTURE_SUPPLE" hidden="1">"c13809"</definedName>
    <definedName name="IQ_RESTRUCTURE_UTI" hidden="1">"c1111"</definedName>
    <definedName name="IQ_RESTRUCTURED_LOANS" hidden="1">"c1112"</definedName>
    <definedName name="IQ_RETAIL_ACQUIRED_AFFILIATED_OTHER_STORES" hidden="1">"c9892"</definedName>
    <definedName name="IQ_RETAIL_ACQUIRED_FRANCHISE_STORES" hidden="1">"c2903"</definedName>
    <definedName name="IQ_RETAIL_ACQUIRED_OWNED_STORES" hidden="1">"c2895"</definedName>
    <definedName name="IQ_RETAIL_ACQUIRED_STORES" hidden="1">"c2887"</definedName>
    <definedName name="IQ_RETAIL_AFFILIATED_OTHER_STORES_BEG" hidden="1">"c9890"</definedName>
    <definedName name="IQ_RETAIL_AVG_SQ_METERS_GROSS" hidden="1">"c9908"</definedName>
    <definedName name="IQ_RETAIL_AVG_SQ_METERS_NET" hidden="1">"c9907"</definedName>
    <definedName name="IQ_RETAIL_AVG_STORE_SIZE_GROSS" hidden="1">"c2066"</definedName>
    <definedName name="IQ_RETAIL_AVG_STORE_SIZE_NET" hidden="1">"c2067"</definedName>
    <definedName name="IQ_RETAIL_AVG_VALUE_TRANSACTION" hidden="1">"c9915"</definedName>
    <definedName name="IQ_RETAIL_AVG_VALUE_TRANSACTION_GROWTH" hidden="1">"c9916"</definedName>
    <definedName name="IQ_RETAIL_AVG_WK_SALES" hidden="1">"c2891"</definedName>
    <definedName name="IQ_RETAIL_AVG_WK_SALES_FRANCHISE" hidden="1">"c2899"</definedName>
    <definedName name="IQ_RETAIL_AVG_WK_SALES_OWNED" hidden="1">"c2907"</definedName>
    <definedName name="IQ_RETAIL_CATALOG_REVENUES" hidden="1">"c9903"</definedName>
    <definedName name="IQ_RETAIL_CLOSED_AFFILIATED_OTHER_STORES" hidden="1">"c9893"</definedName>
    <definedName name="IQ_RETAIL_CLOSED_FRANCHISE_STORES" hidden="1">"c2896"</definedName>
    <definedName name="IQ_RETAIL_CLOSED_OWNED_STORES" hidden="1">"c2904"</definedName>
    <definedName name="IQ_RETAIL_CLOSED_STORES" hidden="1">"c2063"</definedName>
    <definedName name="IQ_RETAIL_FRANCHISE_STORES_BEG" hidden="1">"c2893"</definedName>
    <definedName name="IQ_RETAIL_GROSS_MARGIN" hidden="1">"c9899"</definedName>
    <definedName name="IQ_RETAIL_IS_RATIO" hidden="1">"c7002"</definedName>
    <definedName name="IQ_RETAIL_IS_RATIO_FC" hidden="1">"c7882"</definedName>
    <definedName name="IQ_RETAIL_IS_RATIO_POP" hidden="1">"c7222"</definedName>
    <definedName name="IQ_RETAIL_IS_RATIO_POP_FC" hidden="1">"c8102"</definedName>
    <definedName name="IQ_RETAIL_IS_RATIO_YOY" hidden="1">"c7442"</definedName>
    <definedName name="IQ_RETAIL_IS_RATIO_YOY_FC" hidden="1">"c8322"</definedName>
    <definedName name="IQ_RETAIL_MERCHANDISE_MARGIN" hidden="1">"c9901"</definedName>
    <definedName name="IQ_RETAIL_ONLINE_REVENUES" hidden="1">"c9904"</definedName>
    <definedName name="IQ_RETAIL_OPENED_AFFILIATED_OTHER_STORES" hidden="1">"c9891"</definedName>
    <definedName name="IQ_RETAIL_OPENED_FRANCHISE_STORES" hidden="1">"c2894"</definedName>
    <definedName name="IQ_RETAIL_OPENED_OWNED_STORES" hidden="1">"c2902"</definedName>
    <definedName name="IQ_RETAIL_OPENED_STORES" hidden="1">"c2062"</definedName>
    <definedName name="IQ_RETAIL_OPERATING_MARGIN" hidden="1">"c9900"</definedName>
    <definedName name="IQ_RETAIL_OWNED_STORES_BEG" hidden="1">"c2901"</definedName>
    <definedName name="IQ_RETAIL_REVENUES" hidden="1">"c9902"</definedName>
    <definedName name="IQ_RETAIL_SALES" hidden="1">"c7003"</definedName>
    <definedName name="IQ_RETAIL_SALES_APR" hidden="1">"c7663"</definedName>
    <definedName name="IQ_RETAIL_SALES_APR_FC" hidden="1">"c8543"</definedName>
    <definedName name="IQ_RETAIL_SALES_CATALOG" hidden="1">"c16128"</definedName>
    <definedName name="IQ_RETAIL_SALES_FC" hidden="1">"c7883"</definedName>
    <definedName name="IQ_RETAIL_SALES_FOOD" hidden="1">"c7004"</definedName>
    <definedName name="IQ_RETAIL_SALES_FOOD_APR" hidden="1">"c7664"</definedName>
    <definedName name="IQ_RETAIL_SALES_FOOD_APR_FC" hidden="1">"c8544"</definedName>
    <definedName name="IQ_RETAIL_SALES_FOOD_EXCL_VEHICLE" hidden="1">"c7005"</definedName>
    <definedName name="IQ_RETAIL_SALES_FOOD_EXCL_VEHICLE_APR" hidden="1">"c7665"</definedName>
    <definedName name="IQ_RETAIL_SALES_FOOD_EXCL_VEHICLE_APR_FC" hidden="1">"c8545"</definedName>
    <definedName name="IQ_RETAIL_SALES_FOOD_EXCL_VEHICLE_FC" hidden="1">"c7885"</definedName>
    <definedName name="IQ_RETAIL_SALES_FOOD_EXCL_VEHICLE_POP" hidden="1">"c7225"</definedName>
    <definedName name="IQ_RETAIL_SALES_FOOD_EXCL_VEHICLE_POP_FC" hidden="1">"c8105"</definedName>
    <definedName name="IQ_RETAIL_SALES_FOOD_EXCL_VEHICLE_YOY" hidden="1">"c7445"</definedName>
    <definedName name="IQ_RETAIL_SALES_FOOD_EXCL_VEHICLE_YOY_FC" hidden="1">"c8325"</definedName>
    <definedName name="IQ_RETAIL_SALES_FOOD_FC" hidden="1">"c7884"</definedName>
    <definedName name="IQ_RETAIL_SALES_FOOD_POP" hidden="1">"c7224"</definedName>
    <definedName name="IQ_RETAIL_SALES_FOOD_POP_FC" hidden="1">"c8104"</definedName>
    <definedName name="IQ_RETAIL_SALES_FOOD_YOY" hidden="1">"c7444"</definedName>
    <definedName name="IQ_RETAIL_SALES_FOOD_YOY_FC" hidden="1">"c8324"</definedName>
    <definedName name="IQ_RETAIL_SALES_ONLINE" hidden="1">"c16129"</definedName>
    <definedName name="IQ_RETAIL_SALES_POP" hidden="1">"c7223"</definedName>
    <definedName name="IQ_RETAIL_SALES_POP_FC" hidden="1">"c8103"</definedName>
    <definedName name="IQ_RETAIL_SALES_RETAIL" hidden="1">"c16127"</definedName>
    <definedName name="IQ_RETAIL_SALES_SAAR" hidden="1">"c7009"</definedName>
    <definedName name="IQ_RETAIL_SALES_SAAR_APR" hidden="1">"c7669"</definedName>
    <definedName name="IQ_RETAIL_SALES_SAAR_APR_FC" hidden="1">"c8549"</definedName>
    <definedName name="IQ_RETAIL_SALES_SAAR_FC" hidden="1">"c7889"</definedName>
    <definedName name="IQ_RETAIL_SALES_SAAR_POP" hidden="1">"c7229"</definedName>
    <definedName name="IQ_RETAIL_SALES_SAAR_POP_FC" hidden="1">"c8109"</definedName>
    <definedName name="IQ_RETAIL_SALES_SAAR_YOY" hidden="1">"c7449"</definedName>
    <definedName name="IQ_RETAIL_SALES_SAAR_YOY_FC" hidden="1">"c8329"</definedName>
    <definedName name="IQ_RETAIL_SALES_SQ_METER_COMPARABLE_GROSS" hidden="1">"c9914"</definedName>
    <definedName name="IQ_RETAIL_SALES_SQ_METER_COMPARABLE_NET" hidden="1">"c9913"</definedName>
    <definedName name="IQ_RETAIL_SALES_SQ_METER_GROSS" hidden="1">"c9910"</definedName>
    <definedName name="IQ_RETAIL_SALES_SQ_METER_NET" hidden="1">"c9909"</definedName>
    <definedName name="IQ_RETAIL_SALES_SQ_METER_OWNED_GROSS" hidden="1">"c9912"</definedName>
    <definedName name="IQ_RETAIL_SALES_SQ_METER_OWNED_NET" hidden="1">"c9911"</definedName>
    <definedName name="IQ_RETAIL_SALES_SQFT_ALL_GROSS" hidden="1">"c2138"</definedName>
    <definedName name="IQ_RETAIL_SALES_SQFT_ALL_NET" hidden="1">"c2139"</definedName>
    <definedName name="IQ_RETAIL_SALES_SQFT_COMPARABLE_GROSS" hidden="1">"c2136"</definedName>
    <definedName name="IQ_RETAIL_SALES_SQFT_COMPARABLE_NET" hidden="1">"c2137"</definedName>
    <definedName name="IQ_RETAIL_SALES_SQFT_OWNED_GROSS" hidden="1">"c2134"</definedName>
    <definedName name="IQ_RETAIL_SALES_SQFT_OWNED_NET" hidden="1">"c2135"</definedName>
    <definedName name="IQ_RETAIL_SALES_VALUE_INDEX" hidden="1">"c7006"</definedName>
    <definedName name="IQ_RETAIL_SALES_VALUE_INDEX_APR" hidden="1">"c7666"</definedName>
    <definedName name="IQ_RETAIL_SALES_VALUE_INDEX_APR_FC" hidden="1">"c8546"</definedName>
    <definedName name="IQ_RETAIL_SALES_VALUE_INDEX_FC" hidden="1">"c7886"</definedName>
    <definedName name="IQ_RETAIL_SALES_VALUE_INDEX_POP" hidden="1">"c7226"</definedName>
    <definedName name="IQ_RETAIL_SALES_VALUE_INDEX_POP_FC" hidden="1">"c8106"</definedName>
    <definedName name="IQ_RETAIL_SALES_VALUE_INDEX_YOY" hidden="1">"c7446"</definedName>
    <definedName name="IQ_RETAIL_SALES_VALUE_INDEX_YOY_FC" hidden="1">"c8326"</definedName>
    <definedName name="IQ_RETAIL_SALES_VOL_INDEX" hidden="1">"c7007"</definedName>
    <definedName name="IQ_RETAIL_SALES_VOL_INDEX_APR" hidden="1">"c7667"</definedName>
    <definedName name="IQ_RETAIL_SALES_VOL_INDEX_APR_FC" hidden="1">"c8547"</definedName>
    <definedName name="IQ_RETAIL_SALES_VOL_INDEX_EXCL_MOTOR" hidden="1">"c7008"</definedName>
    <definedName name="IQ_RETAIL_SALES_VOL_INDEX_EXCL_MOTOR_APR" hidden="1">"c7668"</definedName>
    <definedName name="IQ_RETAIL_SALES_VOL_INDEX_EXCL_MOTOR_APR_FC" hidden="1">"c8548"</definedName>
    <definedName name="IQ_RETAIL_SALES_VOL_INDEX_EXCL_MOTOR_FC" hidden="1">"c7888"</definedName>
    <definedName name="IQ_RETAIL_SALES_VOL_INDEX_EXCL_MOTOR_POP" hidden="1">"c7228"</definedName>
    <definedName name="IQ_RETAIL_SALES_VOL_INDEX_EXCL_MOTOR_POP_FC" hidden="1">"c8108"</definedName>
    <definedName name="IQ_RETAIL_SALES_VOL_INDEX_EXCL_MOTOR_YOY" hidden="1">"c7448"</definedName>
    <definedName name="IQ_RETAIL_SALES_VOL_INDEX_EXCL_MOTOR_YOY_FC" hidden="1">"c8328"</definedName>
    <definedName name="IQ_RETAIL_SALES_VOL_INDEX_FC" hidden="1">"c7887"</definedName>
    <definedName name="IQ_RETAIL_SALES_VOL_INDEX_POP" hidden="1">"c7227"</definedName>
    <definedName name="IQ_RETAIL_SALES_VOL_INDEX_POP_FC" hidden="1">"c8107"</definedName>
    <definedName name="IQ_RETAIL_SALES_VOL_INDEX_YOY" hidden="1">"c7447"</definedName>
    <definedName name="IQ_RETAIL_SALES_VOL_INDEX_YOY_FC" hidden="1">"c8327"</definedName>
    <definedName name="IQ_RETAIL_SALES_YOY" hidden="1">"c7443"</definedName>
    <definedName name="IQ_RETAIL_SALES_YOY_FC" hidden="1">"c8323"</definedName>
    <definedName name="IQ_RETAIL_SAME_STORE_SALES" hidden="1">"c9898"</definedName>
    <definedName name="IQ_RETAIL_SAME_STORE_SALES_FRANCHISE" hidden="1">"c9896"</definedName>
    <definedName name="IQ_RETAIL_SAME_STORE_SALES_OWNED" hidden="1">"c9897"</definedName>
    <definedName name="IQ_RETAIL_SOLD_AFFILIATED_OTHER_STORES" hidden="1">"c9894"</definedName>
    <definedName name="IQ_RETAIL_SOLD_FRANCHISE_STORES" hidden="1">"c2897"</definedName>
    <definedName name="IQ_RETAIL_SOLD_OWNED_STORES" hidden="1">"c2905"</definedName>
    <definedName name="IQ_RETAIL_SOLD_STORES" hidden="1">"c2889"</definedName>
    <definedName name="IQ_RETAIL_SQ_FOOTAGE" hidden="1">"c2064"</definedName>
    <definedName name="IQ_RETAIL_STORE_SELLING_AREA" hidden="1">"c2065"</definedName>
    <definedName name="IQ_RETAIL_STORES_BEG" hidden="1">"c2885"</definedName>
    <definedName name="IQ_RETAIL_TOTAL_AFFILIATED_OTHER_STORES" hidden="1">"c9895"</definedName>
    <definedName name="IQ_RETAIL_TOTAL_FRANCHISE_STORES" hidden="1">"c2898"</definedName>
    <definedName name="IQ_RETAIL_TOTAL_OWNED_STORES" hidden="1">"c2906"</definedName>
    <definedName name="IQ_RETAIL_TOTAL_SQ_METERS_GROSS" hidden="1">"c9906"</definedName>
    <definedName name="IQ_RETAIL_TOTAL_SQ_METERS_NET" hidden="1">"c9905"</definedName>
    <definedName name="IQ_RETAIL_TOTAL_STORES" hidden="1">"c2061"</definedName>
    <definedName name="IQ_RETAIL_WHOLESALE_REVENUES" hidden="1">"c15895"</definedName>
    <definedName name="IQ_RETAINED_EARN" hidden="1">"c1420"</definedName>
    <definedName name="IQ_RETAINED_EARNINGS_EQUITY_FFIEC" hidden="1">"c13348"</definedName>
    <definedName name="IQ_RETAINED_EARNINGS_FFIEC" hidden="1">"c12878"</definedName>
    <definedName name="IQ_RETURN_ASSETS" hidden="1">"c1113"</definedName>
    <definedName name="IQ_RETURN_ASSETS_ACT_OR_EST" hidden="1">"c3585"</definedName>
    <definedName name="IQ_RETURN_ASSETS_ACT_OR_EST_REUT" hidden="1">"c5475"</definedName>
    <definedName name="IQ_RETURN_ASSETS_ACT_OR_EST_THOM" hidden="1">"c5310"</definedName>
    <definedName name="IQ_RETURN_ASSETS_BANK" hidden="1">"c1114"</definedName>
    <definedName name="IQ_RETURN_ASSETS_BROK" hidden="1">"c1115"</definedName>
    <definedName name="IQ_RETURN_ASSETS_EST" hidden="1">"c3529"</definedName>
    <definedName name="IQ_RETURN_ASSETS_EST_REUT" hidden="1">"c3990"</definedName>
    <definedName name="IQ_RETURN_ASSETS_EST_THOM" hidden="1">"c4034"</definedName>
    <definedName name="IQ_RETURN_ASSETS_FS" hidden="1">"c1116"</definedName>
    <definedName name="IQ_RETURN_ASSETS_GUIDANCE" hidden="1">"c4517"</definedName>
    <definedName name="IQ_RETURN_ASSETS_HIGH_EST" hidden="1">"c3530"</definedName>
    <definedName name="IQ_RETURN_ASSETS_HIGH_EST_REUT" hidden="1">"c3992"</definedName>
    <definedName name="IQ_RETURN_ASSETS_HIGH_EST_THOM" hidden="1">"c4036"</definedName>
    <definedName name="IQ_RETURN_ASSETS_HIGH_GUIDANCE" hidden="1">"c4183"</definedName>
    <definedName name="IQ_RETURN_ASSETS_LOW_EST" hidden="1">"c3531"</definedName>
    <definedName name="IQ_RETURN_ASSETS_LOW_EST_REUT" hidden="1">"c3993"</definedName>
    <definedName name="IQ_RETURN_ASSETS_LOW_EST_THOM" hidden="1">"c4037"</definedName>
    <definedName name="IQ_RETURN_ASSETS_LOW_GUIDANCE" hidden="1">"c4223"</definedName>
    <definedName name="IQ_RETURN_ASSETS_MEDIAN_EST" hidden="1">"c3532"</definedName>
    <definedName name="IQ_RETURN_ASSETS_MEDIAN_EST_REUT" hidden="1">"c3991"</definedName>
    <definedName name="IQ_RETURN_ASSETS_MEDIAN_EST_THOM" hidden="1">"c4035"</definedName>
    <definedName name="IQ_RETURN_ASSETS_NUM_EST" hidden="1">"c3527"</definedName>
    <definedName name="IQ_RETURN_ASSETS_NUM_EST_REUT" hidden="1">"c3994"</definedName>
    <definedName name="IQ_RETURN_ASSETS_NUM_EST_THOM" hidden="1">"c4038"</definedName>
    <definedName name="IQ_RETURN_ASSETS_STDDEV_EST" hidden="1">"c3528"</definedName>
    <definedName name="IQ_RETURN_ASSETS_STDDEV_EST_REUT" hidden="1">"c3995"</definedName>
    <definedName name="IQ_RETURN_ASSETS_STDDEV_EST_THOM" hidden="1">"c4039"</definedName>
    <definedName name="IQ_RETURN_CAPITAL" hidden="1">"c1117"</definedName>
    <definedName name="IQ_RETURN_COMMON_EQUITY" hidden="1">"c13838"</definedName>
    <definedName name="IQ_RETURN_EMBEDDED_VALUE" hidden="1">"c9974"</definedName>
    <definedName name="IQ_RETURN_EQUITY" hidden="1">"c1118"</definedName>
    <definedName name="IQ_RETURN_EQUITY_ACT_OR_EST" hidden="1">"c3586"</definedName>
    <definedName name="IQ_RETURN_EQUITY_ACT_OR_EST_REUT" hidden="1">"c5476"</definedName>
    <definedName name="IQ_RETURN_EQUITY_ACT_OR_EST_THOM" hidden="1">"c5311"</definedName>
    <definedName name="IQ_RETURN_EQUITY_BANK" hidden="1">"c1119"</definedName>
    <definedName name="IQ_RETURN_EQUITY_BROK" hidden="1">"c1120"</definedName>
    <definedName name="IQ_RETURN_EQUITY_EST" hidden="1">"c3535"</definedName>
    <definedName name="IQ_RETURN_EQUITY_EST_REUT" hidden="1">"c3983"</definedName>
    <definedName name="IQ_RETURN_EQUITY_EST_THOM" hidden="1">"c5479"</definedName>
    <definedName name="IQ_RETURN_EQUITY_FS" hidden="1">"c1121"</definedName>
    <definedName name="IQ_RETURN_EQUITY_GUIDANCE" hidden="1">"c4518"</definedName>
    <definedName name="IQ_RETURN_EQUITY_HIGH_EST" hidden="1">"c3536"</definedName>
    <definedName name="IQ_RETURN_EQUITY_HIGH_EST_REUT" hidden="1">"c3985"</definedName>
    <definedName name="IQ_RETURN_EQUITY_HIGH_EST_THOM" hidden="1">"c5283"</definedName>
    <definedName name="IQ_RETURN_EQUITY_HIGH_GUIDANCE" hidden="1">"c4182"</definedName>
    <definedName name="IQ_RETURN_EQUITY_LOW_EST" hidden="1">"c3537"</definedName>
    <definedName name="IQ_RETURN_EQUITY_LOW_EST_REUT" hidden="1">"c3986"</definedName>
    <definedName name="IQ_RETURN_EQUITY_LOW_EST_THOM" hidden="1">"c5284"</definedName>
    <definedName name="IQ_RETURN_EQUITY_LOW_GUIDANCE" hidden="1">"c4222"</definedName>
    <definedName name="IQ_RETURN_EQUITY_MEDIAN_EST" hidden="1">"c3538"</definedName>
    <definedName name="IQ_RETURN_EQUITY_MEDIAN_EST_REUT" hidden="1">"c3984"</definedName>
    <definedName name="IQ_RETURN_EQUITY_MEDIAN_EST_THOM" hidden="1">"c5282"</definedName>
    <definedName name="IQ_RETURN_EQUITY_NUM_EST" hidden="1">"c3533"</definedName>
    <definedName name="IQ_RETURN_EQUITY_NUM_EST_REUT" hidden="1">"c3987"</definedName>
    <definedName name="IQ_RETURN_EQUITY_NUM_EST_THOM" hidden="1">"c5285"</definedName>
    <definedName name="IQ_RETURN_EQUITY_STDDEV_EST" hidden="1">"c3534"</definedName>
    <definedName name="IQ_RETURN_EQUITY_STDDEV_EST_REUT" hidden="1">"c3988"</definedName>
    <definedName name="IQ_RETURN_EQUITY_STDDEV_EST_THOM" hidden="1">"c5286"</definedName>
    <definedName name="IQ_RETURN_INVESTMENT" hidden="1">"c1421"</definedName>
    <definedName name="IQ_REV" hidden="1">"c1122"</definedName>
    <definedName name="IQ_REV_AP" hidden="1">"c8873"</definedName>
    <definedName name="IQ_REV_AP_ABS" hidden="1">"c8892"</definedName>
    <definedName name="IQ_REV_BEFORE_LL" hidden="1">"c1123"</definedName>
    <definedName name="IQ_REV_BEFORE_LOAN_LOSS_FOREIGN_FFIEC" hidden="1">"c15381"</definedName>
    <definedName name="IQ_REV_NAME_AP" hidden="1">"c8911"</definedName>
    <definedName name="IQ_REV_NAME_AP_ABS" hidden="1">"c8930"</definedName>
    <definedName name="IQ_REV_STDDEV_EST" hidden="1">"c1124"</definedName>
    <definedName name="IQ_REV_STDDEV_EST_CIQ" hidden="1">"c3621"</definedName>
    <definedName name="IQ_REV_STDDEV_EST_REUT" hidden="1">"c3639"</definedName>
    <definedName name="IQ_REV_STDDEV_EST_THOM" hidden="1">"c3657"</definedName>
    <definedName name="IQ_REV_UTI" hidden="1">"c1125"</definedName>
    <definedName name="IQ_REVALUATION_GAINS_DERIVATIVE_DOM_FFIEC" hidden="1">"c12828"</definedName>
    <definedName name="IQ_REVALUATION_GAINS_DERIVATIVE_FOREIGN_FFIEC" hidden="1">"c12829"</definedName>
    <definedName name="IQ_REVALUATION_NON_TRADING_PROP" hidden="1">"c15999"</definedName>
    <definedName name="IQ_REVENUE" hidden="1">"c1422"</definedName>
    <definedName name="IQ_REVENUE_ACT_OR_EST" hidden="1">"c2214"</definedName>
    <definedName name="IQ_REVENUE_ACT_OR_EST_CIQ" hidden="1">"c5059"</definedName>
    <definedName name="IQ_REVENUE_ACT_OR_EST_REUT" hidden="1">"c5461"</definedName>
    <definedName name="IQ_REVENUE_ACT_OR_EST_THOM" hidden="1">"c5299"</definedName>
    <definedName name="IQ_REVENUE_ADVERTISING" hidden="1">"c2880"</definedName>
    <definedName name="IQ_REVENUE_ANALOG_CABLE" hidden="1">"c2875"</definedName>
    <definedName name="IQ_REVENUE_BASIC_CABLE" hidden="1">"c2877"</definedName>
    <definedName name="IQ_REVENUE_BBAND" hidden="1">"c2878"</definedName>
    <definedName name="IQ_REVENUE_BEFORE_LL_FFIEC" hidden="1">"c13018"</definedName>
    <definedName name="IQ_REVENUE_COMMERCIAL" hidden="1">"c2881"</definedName>
    <definedName name="IQ_REVENUE_DIGITAL_CABLE" hidden="1">"c2876"</definedName>
    <definedName name="IQ_REVENUE_EST" hidden="1">"c1126"</definedName>
    <definedName name="IQ_REVENUE_EST_BOTTOM_UP" hidden="1">"c5488"</definedName>
    <definedName name="IQ_REVENUE_EST_BOTTOM_UP_CIQ" hidden="1">"c12025"</definedName>
    <definedName name="IQ_REVENUE_EST_BOTTOM_UP_REUT" hidden="1">"c5496"</definedName>
    <definedName name="IQ_REVENUE_EST_CIQ" hidden="1">"c3616"</definedName>
    <definedName name="IQ_REVENUE_EST_REUT" hidden="1">"c3634"</definedName>
    <definedName name="IQ_REVENUE_EST_THOM" hidden="1">"c3652"</definedName>
    <definedName name="IQ_REVENUE_GUIDANCE" hidden="1">"c4519"</definedName>
    <definedName name="IQ_REVENUE_HIGH_EST" hidden="1">"c1127"</definedName>
    <definedName name="IQ_REVENUE_HIGH_EST_CIQ" hidden="1">"c3618"</definedName>
    <definedName name="IQ_REVENUE_HIGH_EST_REUT" hidden="1">"c3636"</definedName>
    <definedName name="IQ_REVENUE_HIGH_EST_THOM" hidden="1">"c3654"</definedName>
    <definedName name="IQ_REVENUE_HIGH_GUIDANCE" hidden="1">"c4169"</definedName>
    <definedName name="IQ_REVENUE_LOW_EST" hidden="1">"c1128"</definedName>
    <definedName name="IQ_REVENUE_LOW_EST_CIQ" hidden="1">"c3619"</definedName>
    <definedName name="IQ_REVENUE_LOW_EST_REUT" hidden="1">"c3637"</definedName>
    <definedName name="IQ_REVENUE_LOW_EST_THOM" hidden="1">"c3655"</definedName>
    <definedName name="IQ_REVENUE_LOW_GUIDANCE" hidden="1">"c4209"</definedName>
    <definedName name="IQ_REVENUE_MEDIAN_EST" hidden="1">"c1662"</definedName>
    <definedName name="IQ_REVENUE_MEDIAN_EST_CIQ" hidden="1">"c3617"</definedName>
    <definedName name="IQ_REVENUE_MEDIAN_EST_REUT" hidden="1">"c3635"</definedName>
    <definedName name="IQ_REVENUE_MEDIAN_EST_THOM" hidden="1">"c3653"</definedName>
    <definedName name="IQ_REVENUE_NUM_EST" hidden="1">"c1129"</definedName>
    <definedName name="IQ_REVENUE_NUM_EST_CIQ" hidden="1">"c3620"</definedName>
    <definedName name="IQ_REVENUE_NUM_EST_REUT" hidden="1">"c3638"</definedName>
    <definedName name="IQ_REVENUE_NUM_EST_THOM" hidden="1">"c3656"</definedName>
    <definedName name="IQ_REVENUE_OTHER" hidden="1">"c2882"</definedName>
    <definedName name="IQ_REVENUE_PHONE" hidden="1">"c2879"</definedName>
    <definedName name="IQ_REVENUE_TOTAL" hidden="1">"c2883"</definedName>
    <definedName name="IQ_REVENUES_SATELLITE" hidden="1">"c15792"</definedName>
    <definedName name="IQ_REVENUES_WIRELESS" hidden="1">"c15793"</definedName>
    <definedName name="IQ_REVISION_DATE_" hidden="1">39659.4150462963</definedName>
    <definedName name="IQ_REVOLV_OPEN_SECURED_1_4_LL_REC_DOM_FFIEC" hidden="1">"c12902"</definedName>
    <definedName name="IQ_REVOLVING_HOME_EQUITY_LINES_UNUSED_FFIEC" hidden="1">"c13241"</definedName>
    <definedName name="IQ_REVOLVING_LOANS_GROSS_LOANS_FFIEC" hidden="1">"c13398"</definedName>
    <definedName name="IQ_REVOLVING_LOANS_RISK_BASED_FFIEC" hidden="1">"c13419"</definedName>
    <definedName name="IQ_REVOLVING_LOANS_SEC_1_4_DOM_CHARGE_OFFS_FFIEC" hidden="1">"c13168"</definedName>
    <definedName name="IQ_REVOLVING_LOANS_SEC_1_4_DOM_RECOV_FFIEC" hidden="1">"c13190"</definedName>
    <definedName name="IQ_REVOLVING_OPEN_END_1_4_TRADING_DOM_FFIEC" hidden="1">"c12927"</definedName>
    <definedName name="IQ_REVOLVING_SECURED_1_4_DUE_30_89_FFIEC" hidden="1">"c13260"</definedName>
    <definedName name="IQ_REVOLVING_SECURED_1_4_DUE_90_FFIEC" hidden="1">"c13288"</definedName>
    <definedName name="IQ_REVOLVING_SECURED_1_4_NON_ACCRUAL_FFIEC" hidden="1">"c13314"</definedName>
    <definedName name="IQ_RGU" hidden="1">"c2863"</definedName>
    <definedName name="IQ_RISK_ADJ_BANK_ASSETS" hidden="1">"c2670"</definedName>
    <definedName name="IQ_RISK_WEIGHTED_ASSETS_0_PCT_FFIEC" hidden="1">"c18874"</definedName>
    <definedName name="IQ_RISK_WEIGHTED_ASSETS_100_PCT_FFIEC" hidden="1">"c18877"</definedName>
    <definedName name="IQ_RISK_WEIGHTED_ASSETS_20_PCT_FFIEC" hidden="1">"c18875"</definedName>
    <definedName name="IQ_RISK_WEIGHTED_ASSETS_50_PCT_FFIEC" hidden="1">"c18876"</definedName>
    <definedName name="IQ_ROAM_MIN_USE_OTHER_CARRIERS" hidden="1">"c15765"</definedName>
    <definedName name="IQ_ROYALTIES_DUE_AFTER_FIVE" hidden="1">"c15969"</definedName>
    <definedName name="IQ_ROYALTIES_DUE_CY" hidden="1">"c15964"</definedName>
    <definedName name="IQ_ROYALTIES_DUE_CY1" hidden="1">"c15965"</definedName>
    <definedName name="IQ_ROYALTIES_DUE_CY2" hidden="1">"c15966"</definedName>
    <definedName name="IQ_ROYALTIES_DUE_CY3" hidden="1">"c15967"</definedName>
    <definedName name="IQ_ROYALTIES_DUE_CY4" hidden="1">"c15968"</definedName>
    <definedName name="IQ_ROYALTY_REVENUE_COAL" hidden="1">"c15932"</definedName>
    <definedName name="IQ_RSI" hidden="1">"c12704"</definedName>
    <definedName name="IQ_RSI_ADJ" hidden="1">"c12705"</definedName>
    <definedName name="IQ_SALARIED_WORKFORCE" hidden="1">"c7010"</definedName>
    <definedName name="IQ_SALARIED_WORKFORCE_APR" hidden="1">"c7670"</definedName>
    <definedName name="IQ_SALARIED_WORKFORCE_APR_FC" hidden="1">"c8550"</definedName>
    <definedName name="IQ_SALARIED_WORKFORCE_FC" hidden="1">"c7890"</definedName>
    <definedName name="IQ_SALARIED_WORKFORCE_POP" hidden="1">"c7230"</definedName>
    <definedName name="IQ_SALARIED_WORKFORCE_POP_FC" hidden="1">"c8110"</definedName>
    <definedName name="IQ_SALARIED_WORKFORCE_YOY" hidden="1">"c7450"</definedName>
    <definedName name="IQ_SALARIED_WORKFORCE_YOY_FC" hidden="1">"c8330"</definedName>
    <definedName name="IQ_SALARIES_EMPLOYEE_BENEFITS_FFIEC" hidden="1">"c13023"</definedName>
    <definedName name="IQ_SALARIES_OTHER_BENEFITS" hidden="1">"c16176"</definedName>
    <definedName name="IQ_SALARY" hidden="1">"c1130"</definedName>
    <definedName name="IQ_SALE_COMMON_GROSS_FFIEC" hidden="1">"c12963"</definedName>
    <definedName name="IQ_SALE_CONVERSION_ACQUISITION_NET_COMMON_FFIEC" hidden="1">"c15351"</definedName>
    <definedName name="IQ_SALE_INTAN_CF" hidden="1">"c1131"</definedName>
    <definedName name="IQ_SALE_INTAN_CF_BNK" hidden="1">"c1132"</definedName>
    <definedName name="IQ_SALE_INTAN_CF_BR" hidden="1">"c1133"</definedName>
    <definedName name="IQ_SALE_INTAN_CF_FIN" hidden="1">"c1134"</definedName>
    <definedName name="IQ_SALE_INTAN_CF_INS" hidden="1">"c1135"</definedName>
    <definedName name="IQ_SALE_INTAN_CF_RE" hidden="1">"c6284"</definedName>
    <definedName name="IQ_SALE_INTAN_CF_REIT" hidden="1">"c1627"</definedName>
    <definedName name="IQ_SALE_INTAN_CF_UTI" hidden="1">"c1136"</definedName>
    <definedName name="IQ_SALE_PPE_CF" hidden="1">"c1137"</definedName>
    <definedName name="IQ_SALE_PPE_CF_BNK" hidden="1">"c1138"</definedName>
    <definedName name="IQ_SALE_PPE_CF_BR" hidden="1">"c1139"</definedName>
    <definedName name="IQ_SALE_PPE_CF_FIN" hidden="1">"c1140"</definedName>
    <definedName name="IQ_SALE_PPE_CF_INS" hidden="1">"c1141"</definedName>
    <definedName name="IQ_SALE_PPE_CF_UTI" hidden="1">"c1142"</definedName>
    <definedName name="IQ_SALE_PREF_FFIEC" hidden="1">"c12961"</definedName>
    <definedName name="IQ_SALE_PROP" hidden="1">"c16029"</definedName>
    <definedName name="IQ_SALE_RE_ASSETS" hidden="1">"c1629"</definedName>
    <definedName name="IQ_SALE_REAL_ESTATE_CF" hidden="1">"c1143"</definedName>
    <definedName name="IQ_SALE_REAL_ESTATE_CF_BNK" hidden="1">"c1144"</definedName>
    <definedName name="IQ_SALE_REAL_ESTATE_CF_BR" hidden="1">"c1145"</definedName>
    <definedName name="IQ_SALE_REAL_ESTATE_CF_FIN" hidden="1">"c1146"</definedName>
    <definedName name="IQ_SALE_REAL_ESTATE_CF_INS" hidden="1">"c1147"</definedName>
    <definedName name="IQ_SALE_REAL_ESTATE_CF_UTI" hidden="1">"c1148"</definedName>
    <definedName name="IQ_SALE_TREASURY_FFIEC" hidden="1">"c12965"</definedName>
    <definedName name="IQ_SALES_COAL" hidden="1">"c15930"</definedName>
    <definedName name="IQ_SALES_MARKETING" hidden="1">"c2240"</definedName>
    <definedName name="IQ_SALES_TO_TOTAL_REVENUE_COAL" hidden="1">"c15943"</definedName>
    <definedName name="IQ_SAME_PROP_AGG_GLA" hidden="1">"c16055"</definedName>
    <definedName name="IQ_SAME_PROP_AGG_UNITS" hidden="1">"c16053"</definedName>
    <definedName name="IQ_SAME_PROP_EXPENSE" hidden="1">"c16050"</definedName>
    <definedName name="IQ_SAME_PROP_EXPENSE_GROWTH" hidden="1">"c16051"</definedName>
    <definedName name="IQ_SAME_PROP_NUMBER_PROP" hidden="1">"c16052"</definedName>
    <definedName name="IQ_SAME_PROP_PORTFOLIO_AREA" hidden="1">"c16054"</definedName>
    <definedName name="IQ_SAME_PROP_REV_GROWTH" hidden="1">"c16049"</definedName>
    <definedName name="IQ_SAME_PROP_REVENUE" hidden="1">"c16048"</definedName>
    <definedName name="IQ_SAME_STORE" hidden="1">"c1149"</definedName>
    <definedName name="IQ_SAME_STORE_FRANCHISE" hidden="1">"c2900"</definedName>
    <definedName name="IQ_SAME_STORE_OWNED" hidden="1">"c2908"</definedName>
    <definedName name="IQ_SAME_STORE_TOTAL" hidden="1">"c2892"</definedName>
    <definedName name="IQ_SAVING_DEP" hidden="1">"c1150"</definedName>
    <definedName name="IQ_SAVINGS_ACCT_DEPOSITS_TOTAL_DEPOSITS" hidden="1">"c15721"</definedName>
    <definedName name="IQ_SAVINGS_DEPOSITS_NON_TRANS_ACCTS_FFIEC" hidden="1">"c15329"</definedName>
    <definedName name="IQ_SAVINGS_DEPOSITS_QUARTERLY_AVG_FFIEC" hidden="1">"c15485"</definedName>
    <definedName name="IQ_SAVINGS_RATE_DISP_INC_PCT" hidden="1">"c7011"</definedName>
    <definedName name="IQ_SAVINGS_RATE_DISP_INC_PCT_FC" hidden="1">"c7891"</definedName>
    <definedName name="IQ_SAVINGS_RATE_DISP_INC_PCT_POP" hidden="1">"c7231"</definedName>
    <definedName name="IQ_SAVINGS_RATE_DISP_INC_PCT_POP_FC" hidden="1">"c8111"</definedName>
    <definedName name="IQ_SAVINGS_RATE_DISP_INC_PCT_YOY" hidden="1">"c7451"</definedName>
    <definedName name="IQ_SAVINGS_RATE_DISP_INC_PCT_YOY_FC" hidden="1">"c8331"</definedName>
    <definedName name="IQ_SAVINGS_RATE_GDP_PCT" hidden="1">"c7012"</definedName>
    <definedName name="IQ_SAVINGS_RATE_GDP_PCT_FC" hidden="1">"c7892"</definedName>
    <definedName name="IQ_SAVINGS_RATE_GDP_PCT_POP" hidden="1">"c7232"</definedName>
    <definedName name="IQ_SAVINGS_RATE_GDP_PCT_POP_FC" hidden="1">"c8112"</definedName>
    <definedName name="IQ_SAVINGS_RATE_GDP_PCT_YOY" hidden="1">"c7452"</definedName>
    <definedName name="IQ_SAVINGS_RATE_GDP_PCT_YOY_FC" hidden="1">"c8332"</definedName>
    <definedName name="IQ_SAVINGS_RATE_PERSONAL_INC_PCT" hidden="1">"c7013"</definedName>
    <definedName name="IQ_SAVINGS_RATE_PERSONAL_INC_PCT_FC" hidden="1">"c7893"</definedName>
    <definedName name="IQ_SAVINGS_RATE_PERSONAL_INC_PCT_POP" hidden="1">"c7233"</definedName>
    <definedName name="IQ_SAVINGS_RATE_PERSONAL_INC_PCT_POP_FC" hidden="1">"c8113"</definedName>
    <definedName name="IQ_SAVINGS_RATE_PERSONAL_INC_PCT_YOY" hidden="1">"c7453"</definedName>
    <definedName name="IQ_SAVINGS_RATE_PERSONAL_INC_PCT_YOY_FC" hidden="1">"c8333"</definedName>
    <definedName name="IQ_SBC_EXPENSE_FFIEC" hidden="1">"c13077"</definedName>
    <definedName name="IQ_SCALABLE_INFRASTRUCTURE_CABLE_INVEST" hidden="1">"c15802"</definedName>
    <definedName name="IQ_SEC_1_4_CONSTRUCTION_DOM_CHARGE_OFFS_FFIEC" hidden="1">"c13165"</definedName>
    <definedName name="IQ_SEC_1_4_CONSTRUCTION_DOM_RECOV_FFIEC" hidden="1">"c13187"</definedName>
    <definedName name="IQ_SEC_BORROWED_OFF_BS_FFIEC" hidden="1">"c13127"</definedName>
    <definedName name="IQ_SEC_FARMLAND_DOM_CHARGE_OFFS_FFIEC" hidden="1">"c13167"</definedName>
    <definedName name="IQ_SEC_FARMLAND_DOM_RECOV_FFIEC" hidden="1">"c13189"</definedName>
    <definedName name="IQ_SEC_FUNDS_PURCHASED_ASSETS_TOT_FFIEC" hidden="1">"c13447"</definedName>
    <definedName name="IQ_SEC_ISSUED_US_AVAIL_SALE_FFIEC" hidden="1">"c12795"</definedName>
    <definedName name="IQ_SEC_ISSUED_US_TRADING_DOM_FFIEC" hidden="1">"c12920"</definedName>
    <definedName name="IQ_SEC_ISSUED_US_TRADING_FFIEC" hidden="1">"c12815"</definedName>
    <definedName name="IQ_SEC_MULTIFAM_DOM_CHARGE_OFFS_FFIEC" hidden="1">"c13171"</definedName>
    <definedName name="IQ_SEC_MULTIFAM_DOM_DUE_30_89_FFIEC" hidden="1">"c13263"</definedName>
    <definedName name="IQ_SEC_MULTIFAM_DOM_DUE_90_FFIEC" hidden="1">"c13291"</definedName>
    <definedName name="IQ_SEC_MULTIFAM_DOM_NON_ACCRUAL_FFIEC" hidden="1">"c13317"</definedName>
    <definedName name="IQ_SEC_MULTIFAM_DOM_RECOV_FFIEC" hidden="1">"c13193"</definedName>
    <definedName name="IQ_SEC_NONFARM_NONRES_CHARGE_OFFS_FFIEC" hidden="1">"c13629"</definedName>
    <definedName name="IQ_SEC_NONFARM_NONRES_DOM_OFFICES_DUE_30_89_FFIEC" hidden="1">"c13264"</definedName>
    <definedName name="IQ_SEC_NONFARM_NONRES_DOM_OFFICES_DUE_90_FFIEC" hidden="1">"c13292"</definedName>
    <definedName name="IQ_SEC_NONFARM_NONRES_DOM_OFFICES_NON_ACCRUAL_FFIEC" hidden="1">"c13318"</definedName>
    <definedName name="IQ_SEC_NONFARM_NONRES_RECOV_FFIEC" hidden="1">"c13633"</definedName>
    <definedName name="IQ_SEC_OTHER_CONSTRUCTION_DOM_CHARGE_OFFS_FFIEC" hidden="1">"c13166"</definedName>
    <definedName name="IQ_SEC_OTHER_CONSTRUCTION_DOM_RECOV_FFIEC" hidden="1">"c13188"</definedName>
    <definedName name="IQ_SEC_OTHER_NONFARM_NONRES_CHARGE_OFFS_FFIEC" hidden="1">"c13173"</definedName>
    <definedName name="IQ_SEC_OTHER_NONFARM_NONRES_DUE_30_89_FFIEC" hidden="1">"c13266"</definedName>
    <definedName name="IQ_SEC_OTHER_NONFARM_NONRES_DUE_90_FFIEC" hidden="1">"c13637"</definedName>
    <definedName name="IQ_SEC_OTHER_NONFARM_NONRES_NON_ACCRUAL_FFIEC" hidden="1">"c15462"</definedName>
    <definedName name="IQ_SEC_OTHER_NONFARM_NONRES_RECOV_FFIEC" hidden="1">"c13195"</definedName>
    <definedName name="IQ_SEC_OWNER_NONFARM_NONRES_CHARGE_OFFS_FFIEC" hidden="1">"c13172"</definedName>
    <definedName name="IQ_SEC_OWNER_NONFARM_NONRES_DUE_30_89_FFIEC" hidden="1">"c13265"</definedName>
    <definedName name="IQ_SEC_OWNER_NONFARM_NONRES_DUE_90_FFIEC" hidden="1">"c13636"</definedName>
    <definedName name="IQ_SEC_OWNER_NONFARM_NONRES_NON_ACCRUAL_FFIEC" hidden="1">"c15461"</definedName>
    <definedName name="IQ_SEC_OWNER_NONFARM_NONRES_RECOV_FFIEC" hidden="1">"c13194"</definedName>
    <definedName name="IQ_SEC_PURCHASED_RESELL" hidden="1">"c5513"</definedName>
    <definedName name="IQ_SEC_PURCHASED_RESELL_FFIEC" hidden="1">"c12807"</definedName>
    <definedName name="IQ_SEC_RE_FOREIGN_DUE_30_89_FFIEC" hidden="1">"c13267"</definedName>
    <definedName name="IQ_SEC_RE_FOREIGN_DUE_90_FFIEC" hidden="1">"c13293"</definedName>
    <definedName name="IQ_SEC_RE_FOREIGN_NON_ACCRUAL_FFIEC" hidden="1">"c13319"</definedName>
    <definedName name="IQ_SEC_SOLD_REPURCHASE_FFIEC" hidden="1">"c12857"</definedName>
    <definedName name="IQ_SECUR_RECEIV" hidden="1">"c1151"</definedName>
    <definedName name="IQ_SECURED_DEBT" hidden="1">"c2546"</definedName>
    <definedName name="IQ_SECURED_DEBT_PCT" hidden="1">"c2547"</definedName>
    <definedName name="IQ_SECURED_FARMLAND_DOM_DUE_30_89_FFIEC" hidden="1">"c13259"</definedName>
    <definedName name="IQ_SECURED_FARMLAND_DOM_DUE_90_FFIEC" hidden="1">"c13287"</definedName>
    <definedName name="IQ_SECURED_FARMLAND_DOM_NON_ACCRUAL_FFIEC" hidden="1">"c13313"</definedName>
    <definedName name="IQ_SECURED_FARMLAND_LL_REC_DOM_FFIEC" hidden="1">"c12901"</definedName>
    <definedName name="IQ_SECURED_MULTI_RES_LL_REC_DOM_FFIEC" hidden="1">"c12905"</definedName>
    <definedName name="IQ_SECURITIES_HELD_MATURITY_FFIEC" hidden="1">"c12777"</definedName>
    <definedName name="IQ_SECURITIES_ISSUED_US_FFIEC" hidden="1">"c12781"</definedName>
    <definedName name="IQ_SECURITIES_LENT_FFIEC" hidden="1">"c13255"</definedName>
    <definedName name="IQ_SECURITIES_QUARTERLY_AVG_FFIEC" hidden="1">"c13079"</definedName>
    <definedName name="IQ_SECURITIES_STATE_POLI_SUBD_QUARTERLY_AVG_FFIEC" hidden="1">"c15470"</definedName>
    <definedName name="IQ_SECURITIES_UNDERWRITING_UNUSED_FFIEC" hidden="1">"c13247"</definedName>
    <definedName name="IQ_SECURITIZATION_INC_OPERATING_INC_FFIEC" hidden="1">"c13390"</definedName>
    <definedName name="IQ_SECURITIZATION_INCOME_FFIEC" hidden="1">"c13012"</definedName>
    <definedName name="IQ_SECURITY_ACTIVE_STATUS" hidden="1">"c15160"</definedName>
    <definedName name="IQ_SECURITY_BORROW" hidden="1">"c1152"</definedName>
    <definedName name="IQ_SECURITY_LEVEL" hidden="1">"c2159"</definedName>
    <definedName name="IQ_SECURITY_NAME" hidden="1">"c15159"</definedName>
    <definedName name="IQ_SECURITY_NOTES" hidden="1">"c2202"</definedName>
    <definedName name="IQ_SECURITY_OWN" hidden="1">"c1153"</definedName>
    <definedName name="IQ_SECURITY_RESELL" hidden="1">"c1154"</definedName>
    <definedName name="IQ_SECURITY_TYPE" hidden="1">"c2158"</definedName>
    <definedName name="IQ_SELECTED_FOREIGN_ASSETS_FFIEC" hidden="1">"c13485"</definedName>
    <definedName name="IQ_SEMI_BACKLOG" hidden="1">"c10005"</definedName>
    <definedName name="IQ_SEMI_BACKLOG_AVG_PRICE" hidden="1">"c10006"</definedName>
    <definedName name="IQ_SEMI_BACKLOG_VALUE" hidden="1">"c10007"</definedName>
    <definedName name="IQ_SEMI_BOOK_TO_BILL_RATIO" hidden="1">"c10008"</definedName>
    <definedName name="IQ_SEMI_ORDER_AVG_PRICE" hidden="1">"c10002"</definedName>
    <definedName name="IQ_SEMI_ORDER_VALUE" hidden="1">"c10003"</definedName>
    <definedName name="IQ_SEMI_ORDER_VALUE_CHANGE" hidden="1">"c10004"</definedName>
    <definedName name="IQ_SEMI_ORDERS" hidden="1">"c10001"</definedName>
    <definedName name="IQ_SEMI_WARRANTY_RES_ACQ" hidden="1">"c10011"</definedName>
    <definedName name="IQ_SEMI_WARRANTY_RES_BEG" hidden="1">"c10009"</definedName>
    <definedName name="IQ_SEMI_WARRANTY_RES_END" hidden="1">"c10014"</definedName>
    <definedName name="IQ_SEMI_WARRANTY_RES_ISS" hidden="1">"c10010"</definedName>
    <definedName name="IQ_SEMI_WARRANTY_RES_OTHER" hidden="1">"c10013"</definedName>
    <definedName name="IQ_SEMI_WARRANTY_RES_PAY" hidden="1">"c10012"</definedName>
    <definedName name="IQ_SEP_ACCOUNT_ASSETS_LH_FFIEC" hidden="1">"c13105"</definedName>
    <definedName name="IQ_SEPARATE_ACCOUNT_LIAB_LH_FFIEC" hidden="1">"c13108"</definedName>
    <definedName name="IQ_SEPARATE_ACCT_ASSETS" hidden="1">"c1155"</definedName>
    <definedName name="IQ_SEPARATE_ACCT_LIAB" hidden="1">"c1156"</definedName>
    <definedName name="IQ_SERV_CHARGE_DEPOSITS" hidden="1">"c1157"</definedName>
    <definedName name="IQ_SERVICE_CHARGES_DEPOSIT_ACCOUNTS_DOM_FFIEC" hidden="1">"c13003"</definedName>
    <definedName name="IQ_SERVICE_CHARGES_OPERATING_INC_FFIEC" hidden="1">"c13384"</definedName>
    <definedName name="IQ_SERVICE_FEE" hidden="1">"c8951"</definedName>
    <definedName name="IQ_SERVICING_FEES_FFIEC" hidden="1">"c13011"</definedName>
    <definedName name="IQ_SERVICING_FEES_OPERATING_INC_FFIEC" hidden="1">"c13389"</definedName>
    <definedName name="IQ_SETTLEMENTS_TAX_AUTHORITIES" hidden="1">"c15737"</definedName>
    <definedName name="IQ_SGA" hidden="1">"c1158"</definedName>
    <definedName name="IQ_SGA_BNK" hidden="1">"c1159"</definedName>
    <definedName name="IQ_SGA_INS" hidden="1">"c1160"</definedName>
    <definedName name="IQ_SGA_MARGIN" hidden="1">"c1898"</definedName>
    <definedName name="IQ_SGA_RE" hidden="1">"c6265"</definedName>
    <definedName name="IQ_SGA_REIT" hidden="1">"c1161"</definedName>
    <definedName name="IQ_SGA_SUPPL" hidden="1">"c1162"</definedName>
    <definedName name="IQ_SGA_UTI" hidden="1">"c1163"</definedName>
    <definedName name="IQ_SHARE_PARTNERSHIP_ASSETS" hidden="1">"c16071"</definedName>
    <definedName name="IQ_SHARE_PARTNERSHIP_CURRENT_ASSETS" hidden="1">"c16069"</definedName>
    <definedName name="IQ_SHARE_PARTNERSHIP_CURRENT_LIAB" hidden="1">"c16073"</definedName>
    <definedName name="IQ_SHARE_PARTNERSHIP_CURRENT_TAX" hidden="1">"c16091"</definedName>
    <definedName name="IQ_SHARE_PARTNERSHIP_DEBT" hidden="1">"c16078"</definedName>
    <definedName name="IQ_SHARE_PARTNERSHIP_DEFERRED_TAX" hidden="1">"c16092"</definedName>
    <definedName name="IQ_SHARE_PARTNERSHIP_DEPRECIATION" hidden="1">"c16089"</definedName>
    <definedName name="IQ_SHARE_PARTNERSHIP_FLOAT_DEBT" hidden="1">"c16077"</definedName>
    <definedName name="IQ_SHARE_PARTNERSHIP_FR_DEBT" hidden="1">"c16076"</definedName>
    <definedName name="IQ_SHARE_PARTNERSHIP_INT_EXPENSE" hidden="1">"c16088"</definedName>
    <definedName name="IQ_SHARE_PARTNERSHIP_INT_INCOME" hidden="1">"c16090"</definedName>
    <definedName name="IQ_SHARE_PARTNERSHIP_LIAB" hidden="1">"c16075"</definedName>
    <definedName name="IQ_SHARE_PARTNERSHIP_LT_ASSETS" hidden="1">"c16070"</definedName>
    <definedName name="IQ_SHARE_PARTNERSHIP_NOI" hidden="1">"c16084"</definedName>
    <definedName name="IQ_SHARE_PARTNERSHIP_NON_CURRENT_LIAB" hidden="1">"c16074"</definedName>
    <definedName name="IQ_SHARE_PARTNERSHIP_OPEX" hidden="1">"c16086"</definedName>
    <definedName name="IQ_SHARE_PARTNERSHIP_OTHER_EXPENSE" hidden="1">"c16087"</definedName>
    <definedName name="IQ_SHARE_PARTNERSHIP_OTHER_INCOME" hidden="1">"c16085"</definedName>
    <definedName name="IQ_SHARE_PARTNERSHIP_REVENUE" hidden="1">"c16083"</definedName>
    <definedName name="IQ_SHARE_RE_ASSET" hidden="1">"c16082"</definedName>
    <definedName name="IQ_SHARE_RE_ASSET_DEVELOP_PROP" hidden="1">"c16080"</definedName>
    <definedName name="IQ_SHARE_RE_ASSET_INV_PROP" hidden="1">"c16079"</definedName>
    <definedName name="IQ_SHARE_RE_ASSET_OTHER" hidden="1">"c16081"</definedName>
    <definedName name="IQ_SHAREOUTSTANDING" hidden="1">"c1347"</definedName>
    <definedName name="IQ_SHARES_PER_DR" hidden="1">"c204"</definedName>
    <definedName name="IQ_SHARES_PURCHASED_AVERAGE_PRICE" hidden="1">"c5821"</definedName>
    <definedName name="IQ_SHARES_PURCHASED_QUARTER" hidden="1">"c5820"</definedName>
    <definedName name="IQ_SHARESOUTSTANDING" hidden="1">"c1164"</definedName>
    <definedName name="IQ_SHORT_INTEREST" hidden="1">"c1165"</definedName>
    <definedName name="IQ_SHORT_INTEREST_OVER_FLOAT" hidden="1">"c1577"</definedName>
    <definedName name="IQ_SHORT_INTEREST_PERCENT" hidden="1">"c1576"</definedName>
    <definedName name="IQ_SHORT_POSITIONS_FFIEC" hidden="1">"c12859"</definedName>
    <definedName name="IQ_SHORT_TERM_INVEST" hidden="1">"c1425"</definedName>
    <definedName name="IQ_SMALL_INT_BEAR_CD" hidden="1">"c1166"</definedName>
    <definedName name="IQ_SOC_SEC_RECEIPTS_SAAR_USD_APR_FC" hidden="1">"c12005"</definedName>
    <definedName name="IQ_SOC_SEC_RECEIPTS_SAAR_USD_FC" hidden="1">"c12002"</definedName>
    <definedName name="IQ_SOC_SEC_RECEIPTS_SAAR_USD_POP_FC" hidden="1">"c12003"</definedName>
    <definedName name="IQ_SOC_SEC_RECEIPTS_SAAR_USD_YOY_FC" hidden="1">"c12004"</definedName>
    <definedName name="IQ_SOC_SEC_RECEIPTS_USD_APR_FC" hidden="1">"c12001"</definedName>
    <definedName name="IQ_SOC_SEC_RECEIPTS_USD_FC" hidden="1">"c11998"</definedName>
    <definedName name="IQ_SOC_SEC_RECEIPTS_USD_POP_FC" hidden="1">"c11999"</definedName>
    <definedName name="IQ_SOC_SEC_RECEIPTS_USD_YOY_FC" hidden="1">"c12000"</definedName>
    <definedName name="IQ_SOCIAL_SEC_RECEIPTS" hidden="1">"c7015"</definedName>
    <definedName name="IQ_SOCIAL_SEC_RECEIPTS_APR" hidden="1">"c7675"</definedName>
    <definedName name="IQ_SOCIAL_SEC_RECEIPTS_APR_FC" hidden="1">"c8555"</definedName>
    <definedName name="IQ_SOCIAL_SEC_RECEIPTS_FC" hidden="1">"c7895"</definedName>
    <definedName name="IQ_SOCIAL_SEC_RECEIPTS_POP" hidden="1">"c7235"</definedName>
    <definedName name="IQ_SOCIAL_SEC_RECEIPTS_POP_FC" hidden="1">"c8115"</definedName>
    <definedName name="IQ_SOCIAL_SEC_RECEIPTS_SAAR" hidden="1">"c7016"</definedName>
    <definedName name="IQ_SOCIAL_SEC_RECEIPTS_SAAR_APR" hidden="1">"c7676"</definedName>
    <definedName name="IQ_SOCIAL_SEC_RECEIPTS_SAAR_APR_FC" hidden="1">"c8556"</definedName>
    <definedName name="IQ_SOCIAL_SEC_RECEIPTS_SAAR_FC" hidden="1">"c7896"</definedName>
    <definedName name="IQ_SOCIAL_SEC_RECEIPTS_SAAR_POP" hidden="1">"c7236"</definedName>
    <definedName name="IQ_SOCIAL_SEC_RECEIPTS_SAAR_POP_FC" hidden="1">"c8116"</definedName>
    <definedName name="IQ_SOCIAL_SEC_RECEIPTS_SAAR_YOY" hidden="1">"c7456"</definedName>
    <definedName name="IQ_SOCIAL_SEC_RECEIPTS_SAAR_YOY_FC" hidden="1">"c8336"</definedName>
    <definedName name="IQ_SOCIAL_SEC_RECEIPTS_YOY" hidden="1">"c7455"</definedName>
    <definedName name="IQ_SOCIAL_SEC_RECEIPTS_YOY_FC" hidden="1">"c8335"</definedName>
    <definedName name="IQ_SOFTWARE" hidden="1">"c1167"</definedName>
    <definedName name="IQ_SOLD_COAL" hidden="1">"c15936"</definedName>
    <definedName name="IQ_SOURCE" hidden="1">"c1168"</definedName>
    <definedName name="IQ_SP" hidden="1">"c2171"</definedName>
    <definedName name="IQ_SP_BANK" hidden="1">"c2637"</definedName>
    <definedName name="IQ_SP_BANK_ACTION" hidden="1">"c2636"</definedName>
    <definedName name="IQ_SP_BANK_DATE" hidden="1">"c2635"</definedName>
    <definedName name="IQ_SP_DATE" hidden="1">"c2172"</definedName>
    <definedName name="IQ_SP_FIN_ENHANCE_FX" hidden="1">"c2631"</definedName>
    <definedName name="IQ_SP_FIN_ENHANCE_FX_ACTION" hidden="1">"c2630"</definedName>
    <definedName name="IQ_SP_FIN_ENHANCE_FX_DATE" hidden="1">"c2629"</definedName>
    <definedName name="IQ_SP_FIN_ENHANCE_LC" hidden="1">"c2634"</definedName>
    <definedName name="IQ_SP_FIN_ENHANCE_LC_ACTION" hidden="1">"c2633"</definedName>
    <definedName name="IQ_SP_FIN_ENHANCE_LC_DATE" hidden="1">"c2632"</definedName>
    <definedName name="IQ_SP_FIN_STRENGTH_LC_ACTION_LT" hidden="1">"c2625"</definedName>
    <definedName name="IQ_SP_FIN_STRENGTH_LC_ACTION_ST" hidden="1">"c2626"</definedName>
    <definedName name="IQ_SP_FIN_STRENGTH_LC_DATE_LT" hidden="1">"c2623"</definedName>
    <definedName name="IQ_SP_FIN_STRENGTH_LC_DATE_ST" hidden="1">"c2624"</definedName>
    <definedName name="IQ_SP_FIN_STRENGTH_LC_LT" hidden="1">"c2627"</definedName>
    <definedName name="IQ_SP_FIN_STRENGTH_LC_ST" hidden="1">"c2628"</definedName>
    <definedName name="IQ_SP_FX_ACTION_LT" hidden="1">"c2613"</definedName>
    <definedName name="IQ_SP_FX_ACTION_ST" hidden="1">"c2614"</definedName>
    <definedName name="IQ_SP_FX_DATE_LT" hidden="1">"c2611"</definedName>
    <definedName name="IQ_SP_FX_DATE_ST" hidden="1">"c2612"</definedName>
    <definedName name="IQ_SP_FX_LT" hidden="1">"c2615"</definedName>
    <definedName name="IQ_SP_FX_ST" hidden="1">"c2616"</definedName>
    <definedName name="IQ_SP_ISSUE_ACTION" hidden="1">"c2644"</definedName>
    <definedName name="IQ_SP_ISSUE_DATE" hidden="1">"c2643"</definedName>
    <definedName name="IQ_SP_ISSUE_LT" hidden="1">"c2645"</definedName>
    <definedName name="IQ_SP_ISSUE_NSR_ACTION_LT" hidden="1">"c13616"</definedName>
    <definedName name="IQ_SP_ISSUE_NSR_ACTION_ST" hidden="1">"c13622"</definedName>
    <definedName name="IQ_SP_ISSUE_NSR_DATE_LT" hidden="1">"c13615"</definedName>
    <definedName name="IQ_SP_ISSUE_NSR_DATE_ST" hidden="1">"c13621"</definedName>
    <definedName name="IQ_SP_ISSUE_NSR_LT" hidden="1">"c13614"</definedName>
    <definedName name="IQ_SP_ISSUE_NSR_ST" hidden="1">"c13620"</definedName>
    <definedName name="IQ_SP_ISSUE_OUTLOOK_WATCH" hidden="1">"c2650"</definedName>
    <definedName name="IQ_SP_ISSUE_OUTLOOK_WATCH_DATE" hidden="1">"c2649"</definedName>
    <definedName name="IQ_SP_ISSUE_RECOVER" hidden="1">"c2648"</definedName>
    <definedName name="IQ_SP_ISSUE_RECOVER_ACTION" hidden="1">"c2647"</definedName>
    <definedName name="IQ_SP_ISSUE_RECOVER_DATE" hidden="1">"c2646"</definedName>
    <definedName name="IQ_SP_LC_ACTION_LT" hidden="1">"c2619"</definedName>
    <definedName name="IQ_SP_LC_ACTION_ST" hidden="1">"c2620"</definedName>
    <definedName name="IQ_SP_LC_DATE_LT" hidden="1">"c2617"</definedName>
    <definedName name="IQ_SP_LC_DATE_ST" hidden="1">"c2618"</definedName>
    <definedName name="IQ_SP_LC_LT" hidden="1">"c2621"</definedName>
    <definedName name="IQ_SP_LC_ST" hidden="1">"c2622"</definedName>
    <definedName name="IQ_SP_NSR_ACTION_LT" hidden="1">"c13613"</definedName>
    <definedName name="IQ_SP_NSR_ACTION_ST" hidden="1">"c13619"</definedName>
    <definedName name="IQ_SP_NSR_DATE_LT" hidden="1">"c13612"</definedName>
    <definedName name="IQ_SP_NSR_DATE_ST" hidden="1">"c13618"</definedName>
    <definedName name="IQ_SP_NSR_LT" hidden="1">"c13611"</definedName>
    <definedName name="IQ_SP_NSR_ST" hidden="1">"c13617"</definedName>
    <definedName name="IQ_SP_OUTLOOK_WATCH" hidden="1">"c2639"</definedName>
    <definedName name="IQ_SP_OUTLOOK_WATCH_DATE" hidden="1">"c2638"</definedName>
    <definedName name="IQ_SP_REASON" hidden="1">"c2174"</definedName>
    <definedName name="IQ_SP_STATUS" hidden="1">"c2173"</definedName>
    <definedName name="IQ_SPECIAL_DIV_CF" hidden="1">"c1169"</definedName>
    <definedName name="IQ_SPECIAL_DIV_CF_BNK" hidden="1">"c1170"</definedName>
    <definedName name="IQ_SPECIAL_DIV_CF_BR" hidden="1">"c1171"</definedName>
    <definedName name="IQ_SPECIAL_DIV_CF_FIN" hidden="1">"c1172"</definedName>
    <definedName name="IQ_SPECIAL_DIV_CF_INS" hidden="1">"c1173"</definedName>
    <definedName name="IQ_SPECIAL_DIV_CF_RE" hidden="1">"c6266"</definedName>
    <definedName name="IQ_SPECIAL_DIV_CF_REIT" hidden="1">"c1174"</definedName>
    <definedName name="IQ_SPECIAL_DIV_CF_UTI" hidden="1">"c1175"</definedName>
    <definedName name="IQ_SPECIAL_DIV_SHARE" hidden="1">"c3007"</definedName>
    <definedName name="IQ_SPECIFIC_ALLOWANCE" hidden="1">"c15247"</definedName>
    <definedName name="IQ_SQ_FT_LEASED_GROSS_CONSOL" hidden="1">"c8820"</definedName>
    <definedName name="IQ_SQ_FT_LEASED_GROSS_MANAGED" hidden="1">"c8822"</definedName>
    <definedName name="IQ_SQ_FT_LEASED_GROSS_OTHER" hidden="1">"c8823"</definedName>
    <definedName name="IQ_SQ_FT_LEASED_GROSS_TOTAL" hidden="1">"c8824"</definedName>
    <definedName name="IQ_SQ_FT_LEASED_GROSS_UNCONSOL" hidden="1">"c8821"</definedName>
    <definedName name="IQ_SQ_FT_LEASED_NET_CONSOL" hidden="1">"c8825"</definedName>
    <definedName name="IQ_SQ_FT_LEASED_NET_MANAGED" hidden="1">"c8827"</definedName>
    <definedName name="IQ_SQ_FT_LEASED_NET_OTHER" hidden="1">"c8828"</definedName>
    <definedName name="IQ_SQ_FT_LEASED_NET_TOTAL" hidden="1">"c8829"</definedName>
    <definedName name="IQ_SQ_FT_LEASED_NET_UNCONSOL" hidden="1">"c8826"</definedName>
    <definedName name="IQ_SQ_METER_LEASED_GROSS_CONSOL" hidden="1">"c8830"</definedName>
    <definedName name="IQ_SQ_METER_LEASED_GROSS_MANAGED" hidden="1">"c8832"</definedName>
    <definedName name="IQ_SQ_METER_LEASED_GROSS_OTHER" hidden="1">"c8833"</definedName>
    <definedName name="IQ_SQ_METER_LEASED_GROSS_TOTAL" hidden="1">"c8834"</definedName>
    <definedName name="IQ_SQ_METER_LEASED_GROSS_UNCONSOL" hidden="1">"c8831"</definedName>
    <definedName name="IQ_SQ_METER_LEASED_NET_CONSOL" hidden="1">"c8835"</definedName>
    <definedName name="IQ_SQ_METER_LEASED_NET_MANAGED" hidden="1">"c8837"</definedName>
    <definedName name="IQ_SQ_METER_LEASED_NET_OTHER" hidden="1">"c8838"</definedName>
    <definedName name="IQ_SQ_METER_LEASED_NET_TOTAL" hidden="1">"c8839"</definedName>
    <definedName name="IQ_SQ_METER_LEASED_NET_UNCONSOL" hidden="1">"c8836"</definedName>
    <definedName name="IQ_SR_BONDS_NOTES" hidden="1">"c2501"</definedName>
    <definedName name="IQ_SR_BONDS_NOTES_PCT" hidden="1">"c2502"</definedName>
    <definedName name="IQ_SR_DEBT" hidden="1">"c2526"</definedName>
    <definedName name="IQ_SR_DEBT_EBITDA" hidden="1">"c2552"</definedName>
    <definedName name="IQ_SR_DEBT_EBITDA_CAPEX" hidden="1">"c2553"</definedName>
    <definedName name="IQ_SR_DEBT_PCT" hidden="1">"c2527"</definedName>
    <definedName name="IQ_SR_SUB_DEBT" hidden="1">"c2530"</definedName>
    <definedName name="IQ_SR_SUB_DEBT_EBITDA" hidden="1">"c2556"</definedName>
    <definedName name="IQ_SR_SUB_DEBT_EBITDA_CAPEX" hidden="1">"c2557"</definedName>
    <definedName name="IQ_SR_SUB_DEBT_PCT" hidden="1">"c2531"</definedName>
    <definedName name="IQ_ST_DEBT" hidden="1">"c1176"</definedName>
    <definedName name="IQ_ST_DEBT_BNK" hidden="1">"c1177"</definedName>
    <definedName name="IQ_ST_DEBT_BR" hidden="1">"c1178"</definedName>
    <definedName name="IQ_ST_DEBT_FIN" hidden="1">"c1179"</definedName>
    <definedName name="IQ_ST_DEBT_INS" hidden="1">"c1180"</definedName>
    <definedName name="IQ_ST_DEBT_ISSUED" hidden="1">"c1181"</definedName>
    <definedName name="IQ_ST_DEBT_ISSUED_BNK" hidden="1">"c1182"</definedName>
    <definedName name="IQ_ST_DEBT_ISSUED_BR" hidden="1">"c1183"</definedName>
    <definedName name="IQ_ST_DEBT_ISSUED_FIN" hidden="1">"c1184"</definedName>
    <definedName name="IQ_ST_DEBT_ISSUED_INS" hidden="1">"c1185"</definedName>
    <definedName name="IQ_ST_DEBT_ISSUED_RE" hidden="1">"c6267"</definedName>
    <definedName name="IQ_ST_DEBT_ISSUED_REIT" hidden="1">"c1186"</definedName>
    <definedName name="IQ_ST_DEBT_ISSUED_UTI" hidden="1">"c1187"</definedName>
    <definedName name="IQ_ST_DEBT_PCT" hidden="1">"c2539"</definedName>
    <definedName name="IQ_ST_DEBT_RE" hidden="1">"c6268"</definedName>
    <definedName name="IQ_ST_DEBT_REIT" hidden="1">"c1188"</definedName>
    <definedName name="IQ_ST_DEBT_REPAID" hidden="1">"c1189"</definedName>
    <definedName name="IQ_ST_DEBT_REPAID_BNK" hidden="1">"c1190"</definedName>
    <definedName name="IQ_ST_DEBT_REPAID_BR" hidden="1">"c1191"</definedName>
    <definedName name="IQ_ST_DEBT_REPAID_FIN" hidden="1">"c1192"</definedName>
    <definedName name="IQ_ST_DEBT_REPAID_INS" hidden="1">"c1193"</definedName>
    <definedName name="IQ_ST_DEBT_REPAID_RE" hidden="1">"c6269"</definedName>
    <definedName name="IQ_ST_DEBT_REPAID_REIT" hidden="1">"c1194"</definedName>
    <definedName name="IQ_ST_DEBT_REPAID_UTI" hidden="1">"c1195"</definedName>
    <definedName name="IQ_ST_DEBT_UTI" hidden="1">"c1196"</definedName>
    <definedName name="IQ_ST_FHLB_DEBT" hidden="1">"c5658"</definedName>
    <definedName name="IQ_ST_INVEST" hidden="1">"c1197"</definedName>
    <definedName name="IQ_ST_INVEST_ASSETS_TOT_FFIEC" hidden="1">"c13438"</definedName>
    <definedName name="IQ_ST_INVEST_ST_NONCORE_FUNDING_FFIEC" hidden="1">"c13338"</definedName>
    <definedName name="IQ_ST_INVEST_UTI" hidden="1">"c1198"</definedName>
    <definedName name="IQ_ST_NOTE_RECEIV" hidden="1">"c1199"</definedName>
    <definedName name="IQ_STANDBY_LOC_FHLB_BANK_BEHALF_OFF_BS_FFIEC" hidden="1">"c15412"</definedName>
    <definedName name="IQ_STATE" hidden="1">"c1200"</definedName>
    <definedName name="IQ_STATE_LOCAL_SPENDING_SAAR" hidden="1">"c7017"</definedName>
    <definedName name="IQ_STATE_LOCAL_SPENDING_SAAR_APR" hidden="1">"c7677"</definedName>
    <definedName name="IQ_STATE_LOCAL_SPENDING_SAAR_APR_FC" hidden="1">"c8557"</definedName>
    <definedName name="IQ_STATE_LOCAL_SPENDING_SAAR_FC" hidden="1">"c7897"</definedName>
    <definedName name="IQ_STATE_LOCAL_SPENDING_SAAR_POP" hidden="1">"c7237"</definedName>
    <definedName name="IQ_STATE_LOCAL_SPENDING_SAAR_POP_FC" hidden="1">"c8117"</definedName>
    <definedName name="IQ_STATE_LOCAL_SPENDING_SAAR_YOY" hidden="1">"c7457"</definedName>
    <definedName name="IQ_STATE_LOCAL_SPENDING_SAAR_YOY_FC" hidden="1">"c8337"</definedName>
    <definedName name="IQ_STATES_POLI_SUBD_US_NON_TRANS_ACCTS_FFIEC" hidden="1">"c15324"</definedName>
    <definedName name="IQ_STATES_POLI_SUBD_US_TRANS_ACCTS_FFIEC" hidden="1">"c15316"</definedName>
    <definedName name="IQ_STATUTORY_SURPLUS" hidden="1">"c1201"</definedName>
    <definedName name="IQ_STATUTORY_SURPLUS_GAAP_EQUITY" hidden="1">"c15883"</definedName>
    <definedName name="IQ_STOCK_BASED" hidden="1">"c1202"</definedName>
    <definedName name="IQ_STOCK_BASED_AT" hidden="1">"c2999"</definedName>
    <definedName name="IQ_STOCK_BASED_CF" hidden="1">"c1203"</definedName>
    <definedName name="IQ_STOCK_BASED_COGS" hidden="1">"c2990"</definedName>
    <definedName name="IQ_STOCK_BASED_COMP" hidden="1">"c3512"</definedName>
    <definedName name="IQ_STOCK_BASED_COMP_PRETAX" hidden="1">"c3510"</definedName>
    <definedName name="IQ_STOCK_BASED_COMP_TAX" hidden="1">"c3511"</definedName>
    <definedName name="IQ_STOCK_BASED_EST" hidden="1">"c4520"</definedName>
    <definedName name="IQ_STOCK_BASED_EXPLORE_DRILL" hidden="1">"c13851"</definedName>
    <definedName name="IQ_STOCK_BASED_GA" hidden="1">"c2993"</definedName>
    <definedName name="IQ_STOCK_BASED_HIGH_EST" hidden="1">"c4521"</definedName>
    <definedName name="IQ_STOCK_BASED_LOW_EST" hidden="1">"c4522"</definedName>
    <definedName name="IQ_STOCK_BASED_MEDIAN_EST" hidden="1">"c4523"</definedName>
    <definedName name="IQ_STOCK_BASED_NUM_EST" hidden="1">"c4524"</definedName>
    <definedName name="IQ_STOCK_BASED_OTHER" hidden="1">"c2995"</definedName>
    <definedName name="IQ_STOCK_BASED_RD" hidden="1">"c2991"</definedName>
    <definedName name="IQ_STOCK_BASED_SGA" hidden="1">"c2994"</definedName>
    <definedName name="IQ_STOCK_BASED_SM" hidden="1">"c2992"</definedName>
    <definedName name="IQ_STOCK_BASED_STDDEV_EST" hidden="1">"c4525"</definedName>
    <definedName name="IQ_STOCK_BASED_TOTAL" hidden="1">"c3040"</definedName>
    <definedName name="IQ_STOCK_OPTIONS_COMP" hidden="1">"c3509"</definedName>
    <definedName name="IQ_STOCK_OPTIONS_COMP_PRETAX" hidden="1">"c3507"</definedName>
    <definedName name="IQ_STOCK_OPTIONS_COMP_TAX" hidden="1">"c3508"</definedName>
    <definedName name="IQ_STRAIGHT_LINE_RENT_ADJ" hidden="1">"c16178"</definedName>
    <definedName name="IQ_STRATEGY_NOTE" hidden="1">"c6791"</definedName>
    <definedName name="IQ_STRIKE_PRICE_ISSUED" hidden="1">"c1645"</definedName>
    <definedName name="IQ_STRIKE_PRICE_OS" hidden="1">"c1646"</definedName>
    <definedName name="IQ_STRIPS_RECEIVABLE_MORTGAGE_LOANS_FFIEC" hidden="1">"c12844"</definedName>
    <definedName name="IQ_STRIPS_RECEIVABLE_OTHER_FFIEC" hidden="1">"c12845"</definedName>
    <definedName name="IQ_STRUCT_FIN_CLASS" hidden="1">"c8950"</definedName>
    <definedName name="IQ_STRUCT_FIN_SERIES" hidden="1">"c8956"</definedName>
    <definedName name="IQ_STRUCTURED_NOTES_INVEST_SECURITIES_FFIEC" hidden="1">"c13468"</definedName>
    <definedName name="IQ_STRUCTURING_NOTES_TIER_1_FFIEC" hidden="1">"c13344"</definedName>
    <definedName name="IQ_STW" hidden="1">"c2166"</definedName>
    <definedName name="IQ_SUB_BONDS_NOTES" hidden="1">"c2503"</definedName>
    <definedName name="IQ_SUB_BONDS_NOTES_PCT" hidden="1">"c2504"</definedName>
    <definedName name="IQ_SUB_DEBT" hidden="1">"c2532"</definedName>
    <definedName name="IQ_SUB_DEBT_EBITDA" hidden="1">"c2558"</definedName>
    <definedName name="IQ_SUB_DEBT_EBITDA_CAPEX" hidden="1">"c2559"</definedName>
    <definedName name="IQ_SUB_DEBT_PCT" hidden="1">"c2533"</definedName>
    <definedName name="IQ_SUB_LEASE_AFTER_FIVE" hidden="1">"c1207"</definedName>
    <definedName name="IQ_SUB_LEASE_INC_CY" hidden="1">"c1208"</definedName>
    <definedName name="IQ_SUB_LEASE_INC_CY1" hidden="1">"c1209"</definedName>
    <definedName name="IQ_SUB_LEASE_INC_CY2" hidden="1">"c1210"</definedName>
    <definedName name="IQ_SUB_LEASE_INC_CY3" hidden="1">"c1211"</definedName>
    <definedName name="IQ_SUB_LEASE_INC_CY4" hidden="1">"c1212"</definedName>
    <definedName name="IQ_SUB_LEASE_NEXT_FIVE" hidden="1">"c1213"</definedName>
    <definedName name="IQ_SUB_NOTES_DEBENTURES_FAIR_VALUE_TOT_FFIEC" hidden="1">"c15410"</definedName>
    <definedName name="IQ_SUB_NOTES_DEBENTURES_FFIEC" hidden="1">"c12867"</definedName>
    <definedName name="IQ_SUB_NOTES_DEBENTURES_LEVEL_1_FFIEC" hidden="1">"c15432"</definedName>
    <definedName name="IQ_SUB_NOTES_DEBENTURES_LEVEL_2_FFIEC" hidden="1">"c15445"</definedName>
    <definedName name="IQ_SUB_NOTES_DEBENTURES_LEVEL_3_FFIEC" hidden="1">"c15458"</definedName>
    <definedName name="IQ_SUB_NOTES_PAYABLE_UNCONSOLIDATED_TRUSTS_FFIEC" hidden="1">"c12868"</definedName>
    <definedName name="IQ_SUBS_ANALOG_CABLE" hidden="1">"c2855"</definedName>
    <definedName name="IQ_SUBS_BASIC_CABLE" hidden="1">"c2857"</definedName>
    <definedName name="IQ_SUBS_BBAND" hidden="1">"c2858"</definedName>
    <definedName name="IQ_SUBS_BUNDLED" hidden="1">"c2861"</definedName>
    <definedName name="IQ_SUBS_DIG_CABLE" hidden="1">"c2856"</definedName>
    <definedName name="IQ_SUBS_NON_VIDEO" hidden="1">"c2860"</definedName>
    <definedName name="IQ_SUBS_PHONE" hidden="1">"c2859"</definedName>
    <definedName name="IQ_SUBS_POSTPAID_WIRELESS" hidden="1">"c2118"</definedName>
    <definedName name="IQ_SUBS_PREPAID_WIRELESS" hidden="1">"c2117"</definedName>
    <definedName name="IQ_SUBS_RESELL_WHOLESALE_WIRELESS" hidden="1">"c15749"</definedName>
    <definedName name="IQ_SUBS_TOTAL" hidden="1">"c2862"</definedName>
    <definedName name="IQ_SUBS_TOTAL_WIRELESS" hidden="1">"c2119"</definedName>
    <definedName name="IQ_SUPPLIES_FFIEC" hidden="1">"c13050"</definedName>
    <definedName name="IQ_SUPPORT_INFRASTRUCTURE_CABLE_INVEST" hidden="1">"c15805"</definedName>
    <definedName name="IQ_SURFACE_RESERVES_COAL" hidden="1">"c15920"</definedName>
    <definedName name="IQ_SURFACE_RESERVES_TO_TOTAL_RESERVES_COAL" hidden="1">"c15959"</definedName>
    <definedName name="IQ_SURPLUS_FFIEC" hidden="1">"c12877"</definedName>
    <definedName name="IQ_SVA" hidden="1">"c1214"</definedName>
    <definedName name="IQ_SYNTHETIC_STRUCTURED_PRODUCTS_AVAIL_SALE_FFIEC" hidden="1">"c15264"</definedName>
    <definedName name="IQ_SYNTHETIC_STRUCTURED_PRODUCTS_FFIEC" hidden="1">"c15261"</definedName>
    <definedName name="IQ_TANGIBLE_ASSETS_FFIEC" hidden="1">"c13916"</definedName>
    <definedName name="IQ_TANGIBLE_COMMON_EQUITY_FFIEC" hidden="1">"c13914"</definedName>
    <definedName name="IQ_TANGIBLE_EQUITY_ASSETS_FFIEC" hidden="1">"c13346"</definedName>
    <definedName name="IQ_TANGIBLE_EQUITY_FFIEC" hidden="1">"c13915"</definedName>
    <definedName name="IQ_TANGIBLE_TIER_1_LEVERAGE_FFIEC" hidden="1">"c13345"</definedName>
    <definedName name="IQ_TARGET_PRICE_NUM" hidden="1">"c1653"</definedName>
    <definedName name="IQ_TARGET_PRICE_NUM_CIQ" hidden="1">"c4661"</definedName>
    <definedName name="IQ_TARGET_PRICE_NUM_REUT" hidden="1">"c5319"</definedName>
    <definedName name="IQ_TARGET_PRICE_NUM_THOM" hidden="1">"c5098"</definedName>
    <definedName name="IQ_TARGET_PRICE_STDDEV" hidden="1">"c1654"</definedName>
    <definedName name="IQ_TARGET_PRICE_STDDEV_CIQ" hidden="1">"c4662"</definedName>
    <definedName name="IQ_TARGET_PRICE_STDDEV_REUT" hidden="1">"c5320"</definedName>
    <definedName name="IQ_TARGET_PRICE_STDDEV_THOM" hidden="1">"c5099"</definedName>
    <definedName name="IQ_TAX_BENEFIT_CF_1YR" hidden="1">"c3483"</definedName>
    <definedName name="IQ_TAX_BENEFIT_CF_2YR" hidden="1">"c3484"</definedName>
    <definedName name="IQ_TAX_BENEFIT_CF_3YR" hidden="1">"c3485"</definedName>
    <definedName name="IQ_TAX_BENEFIT_CF_4YR" hidden="1">"c3486"</definedName>
    <definedName name="IQ_TAX_BENEFIT_CF_5YR" hidden="1">"c3487"</definedName>
    <definedName name="IQ_TAX_BENEFIT_CF_AFTER_FIVE" hidden="1">"c3488"</definedName>
    <definedName name="IQ_TAX_BENEFIT_CF_MAX_YEAR" hidden="1">"c3491"</definedName>
    <definedName name="IQ_TAX_BENEFIT_CF_NO_EXP" hidden="1">"c3489"</definedName>
    <definedName name="IQ_TAX_BENEFIT_CF_TOTAL" hidden="1">"c3490"</definedName>
    <definedName name="IQ_TAX_BENEFIT_OPTIONS" hidden="1">"c1215"</definedName>
    <definedName name="IQ_TAX_EQUIV_NET_INT_INC" hidden="1">"c1216"</definedName>
    <definedName name="IQ_TAX_EQUIVALENT_ADJUSTMENTS_FFIEC" hidden="1">"c13854"</definedName>
    <definedName name="IQ_TAX_OTHER_EXP_AP" hidden="1">"c8878"</definedName>
    <definedName name="IQ_TAX_OTHER_EXP_AP_ABS" hidden="1">"c8897"</definedName>
    <definedName name="IQ_TAX_OTHER_EXP_NAME_AP" hidden="1">"c8916"</definedName>
    <definedName name="IQ_TAX_OTHER_EXP_NAME_AP_ABS" hidden="1">"c8935"</definedName>
    <definedName name="IQ_TAXES_ADJ_NOI_FFIEC" hidden="1">"c13395"</definedName>
    <definedName name="IQ_TAXES_NOI_FFIEC" hidden="1">"c13394"</definedName>
    <definedName name="IQ_TAXES_TE_AVG_ASSETS_FFIEC" hidden="1">"c13366"</definedName>
    <definedName name="IQ_TBV" hidden="1">"c1906"</definedName>
    <definedName name="IQ_TBV_10YR_ANN_CAGR" hidden="1">"c6169"</definedName>
    <definedName name="IQ_TBV_10YR_ANN_GROWTH" hidden="1">"c1936"</definedName>
    <definedName name="IQ_TBV_1YR_ANN_GROWTH" hidden="1">"c1931"</definedName>
    <definedName name="IQ_TBV_2YR_ANN_CAGR" hidden="1">"c6165"</definedName>
    <definedName name="IQ_TBV_2YR_ANN_GROWTH" hidden="1">"c1932"</definedName>
    <definedName name="IQ_TBV_3YR_ANN_CAGR" hidden="1">"c6166"</definedName>
    <definedName name="IQ_TBV_3YR_ANN_GROWTH" hidden="1">"c1933"</definedName>
    <definedName name="IQ_TBV_5YR_ANN_CAGR" hidden="1">"c6167"</definedName>
    <definedName name="IQ_TBV_5YR_ANN_GROWTH" hidden="1">"c1934"</definedName>
    <definedName name="IQ_TBV_7YR_ANN_CAGR" hidden="1">"c6168"</definedName>
    <definedName name="IQ_TBV_7YR_ANN_GROWTH" hidden="1">"c1935"</definedName>
    <definedName name="IQ_TBV_EXCL_FFIEC" hidden="1">"c13516"</definedName>
    <definedName name="IQ_TBV_SHARE" hidden="1">"c1217"</definedName>
    <definedName name="IQ_TELECOM_FFIEC" hidden="1">"c13057"</definedName>
    <definedName name="IQ_TEMPLATE" hidden="1">"c1521"</definedName>
    <definedName name="IQ_TENANT" hidden="1">"c1218"</definedName>
    <definedName name="IQ_TENANT_LEASE_COMMISSION" hidden="1">"c16177"</definedName>
    <definedName name="IQ_TERM_LOANS" hidden="1">"c2499"</definedName>
    <definedName name="IQ_TERM_LOANS_PCT" hidden="1">"c2500"</definedName>
    <definedName name="IQ_TEV" hidden="1">"c1219"</definedName>
    <definedName name="IQ_TEV_EBIT" hidden="1">"c1220"</definedName>
    <definedName name="IQ_TEV_EBIT_AVG" hidden="1">"c1221"</definedName>
    <definedName name="IQ_TEV_EBIT_FWD" hidden="1">"c2238"</definedName>
    <definedName name="IQ_TEV_EBIT_FWD_REUT" hidden="1">"c4054"</definedName>
    <definedName name="IQ_TEV_EBIT_FWD_THOM" hidden="1">"c4061"</definedName>
    <definedName name="IQ_TEV_EBITDA" hidden="1">"c1222"</definedName>
    <definedName name="IQ_TEV_EBITDA_AVG" hidden="1">"c1223"</definedName>
    <definedName name="IQ_TEV_EBITDA_FWD" hidden="1">"c1224"</definedName>
    <definedName name="IQ_TEV_EBITDA_FWD_CIQ" hidden="1">"c4043"</definedName>
    <definedName name="IQ_TEV_EBITDA_FWD_REUT" hidden="1">"c4050"</definedName>
    <definedName name="IQ_TEV_EBITDA_FWD_THOM" hidden="1">"c4057"</definedName>
    <definedName name="IQ_TEV_EMPLOYEE_AVG" hidden="1">"c1225"</definedName>
    <definedName name="IQ_TEV_EST" hidden="1">"c4526"</definedName>
    <definedName name="IQ_TEV_EST_THOM" hidden="1">"c5529"</definedName>
    <definedName name="IQ_TEV_HIGH_EST" hidden="1">"c4527"</definedName>
    <definedName name="IQ_TEV_HIGH_EST_THOM" hidden="1">"c5530"</definedName>
    <definedName name="IQ_TEV_LOW_EST" hidden="1">"c4528"</definedName>
    <definedName name="IQ_TEV_LOW_EST_THOM" hidden="1">"c5531"</definedName>
    <definedName name="IQ_TEV_MEDIAN_EST" hidden="1">"c4529"</definedName>
    <definedName name="IQ_TEV_MEDIAN_EST_THOM" hidden="1">"c5532"</definedName>
    <definedName name="IQ_TEV_NUM_EST" hidden="1">"c4530"</definedName>
    <definedName name="IQ_TEV_NUM_EST_THOM" hidden="1">"c5533"</definedName>
    <definedName name="IQ_TEV_STDDEV_EST" hidden="1">"c4531"</definedName>
    <definedName name="IQ_TEV_STDDEV_EST_THOM" hidden="1">"c5534"</definedName>
    <definedName name="IQ_TEV_TOTAL_REV" hidden="1">"c1226"</definedName>
    <definedName name="IQ_TEV_TOTAL_REV_AVG" hidden="1">"c1227"</definedName>
    <definedName name="IQ_TEV_TOTAL_REV_FWD" hidden="1">"c1228"</definedName>
    <definedName name="IQ_TEV_TOTAL_REV_FWD_CIQ" hidden="1">"c4044"</definedName>
    <definedName name="IQ_TEV_TOTAL_REV_FWD_REUT" hidden="1">"c4051"</definedName>
    <definedName name="IQ_TEV_TOTAL_REV_FWD_THOM" hidden="1">"c4058"</definedName>
    <definedName name="IQ_TEV_UFCF" hidden="1">"c2208"</definedName>
    <definedName name="IQ_TIER_1_CAPITAL_BEFORE_CHARGES_T1_FFIEC" hidden="1">"c13139"</definedName>
    <definedName name="IQ_TIER_1_CAPITAL_FFIEC" hidden="1">"c13143"</definedName>
    <definedName name="IQ_TIER_1_LEVERAGE_RATIO_FFIEC" hidden="1">"c13160"</definedName>
    <definedName name="IQ_TIER_1_RISK_BASED_CAPITAL_RATIO_FFIEC" hidden="1">"c13161"</definedName>
    <definedName name="IQ_TIER_2_CAPITAL_FFIEC" hidden="1">"c13149"</definedName>
    <definedName name="IQ_TIER_3_CAPITAL_ALLOCATED_MARKET_RISK_FFIEC" hidden="1">"c13151"</definedName>
    <definedName name="IQ_TIER_ONE_CAPITAL" hidden="1">"c2667"</definedName>
    <definedName name="IQ_TIER_ONE_RATIO" hidden="1">"c1229"</definedName>
    <definedName name="IQ_TIER_TWO_CAPITAL" hidden="1">"c2669"</definedName>
    <definedName name="IQ_TIER_TWO_CAPITAL_RATIO" hidden="1">"c15241"</definedName>
    <definedName name="IQ_TIME_DEP" hidden="1">"c1230"</definedName>
    <definedName name="IQ_TIME_DEPOSIT_LESS_100000_QUARTERLY_AVG_FFIEC" hidden="1">"c15487"</definedName>
    <definedName name="IQ_TIME_DEPOSIT_MORE_100000_QUARTERLY_AVG_FFIEC" hidden="1">"c15486"</definedName>
    <definedName name="IQ_TIME_DEPOSITS_LESS_100K_OTHER_INSTITUTIONS_FFIEC" hidden="1">"c12953"</definedName>
    <definedName name="IQ_TIME_DEPOSITS_LESS_100K_TOT_DEPOSITS_FFIEC" hidden="1">"c13907"</definedName>
    <definedName name="IQ_TIME_DEPOSITS_MORE_100K_OTHER_INSTITUTIONS_FFIEC" hidden="1">"c12954"</definedName>
    <definedName name="IQ_TIME_DEPOSITS_MORE_100K_TOT_DEPOSITS_FFIEC" hidden="1">"c13906"</definedName>
    <definedName name="IQ_TIME_DEPOSITS_TOTAL_DEPOSITS" hidden="1">"c15723"</definedName>
    <definedName name="IQ_TODAY" hidden="1">0</definedName>
    <definedName name="IQ_TOT_1_4_FAM_LOANS_TOT_LOANS_FFIEC" hidden="1">"c13868"</definedName>
    <definedName name="IQ_TOT_ADJ_INC" hidden="1">"c1616"</definedName>
    <definedName name="IQ_TOT_LEASES_TOT_LOANS_FFIEC" hidden="1">"c13876"</definedName>
    <definedName name="IQ_TOT_NON_RE_LOANS_TOT_LOANS_FFIEC" hidden="1">"c13877"</definedName>
    <definedName name="IQ_TOT_NONTRANS_ACCTS_TOT_DEPOSITS_FFIEC" hidden="1">"c13909"</definedName>
    <definedName name="IQ_TOT_RE_LOANS_TOT_LOANS_FFIEC" hidden="1">"c13873"</definedName>
    <definedName name="IQ_TOT_TIME_DEPOSITS_TOT_DEPOSITS_FFIEC" hidden="1">"c13908"</definedName>
    <definedName name="IQ_TOTAL_AR_BR" hidden="1">"c1231"</definedName>
    <definedName name="IQ_TOTAL_AR_RE" hidden="1">"c6270"</definedName>
    <definedName name="IQ_TOTAL_AR_REIT" hidden="1">"c1232"</definedName>
    <definedName name="IQ_TOTAL_AR_UTI" hidden="1">"c1233"</definedName>
    <definedName name="IQ_TOTAL_ASSETS" hidden="1">"c1234"</definedName>
    <definedName name="IQ_TOTAL_ASSETS_10YR_ANN_CAGR" hidden="1">"c6140"</definedName>
    <definedName name="IQ_TOTAL_ASSETS_10YR_ANN_GROWTH" hidden="1">"c1235"</definedName>
    <definedName name="IQ_TOTAL_ASSETS_1YR_ANN_GROWTH" hidden="1">"c1236"</definedName>
    <definedName name="IQ_TOTAL_ASSETS_2YR_ANN_CAGR" hidden="1">"c6141"</definedName>
    <definedName name="IQ_TOTAL_ASSETS_2YR_ANN_GROWTH" hidden="1">"c1237"</definedName>
    <definedName name="IQ_TOTAL_ASSETS_3YR_ANN_CAGR" hidden="1">"c6142"</definedName>
    <definedName name="IQ_TOTAL_ASSETS_3YR_ANN_GROWTH" hidden="1">"c1238"</definedName>
    <definedName name="IQ_TOTAL_ASSETS_5YR_ANN_CAGR" hidden="1">"c6143"</definedName>
    <definedName name="IQ_TOTAL_ASSETS_5YR_ANN_GROWTH" hidden="1">"c1239"</definedName>
    <definedName name="IQ_TOTAL_ASSETS_7YR_ANN_CAGR" hidden="1">"c6144"</definedName>
    <definedName name="IQ_TOTAL_ASSETS_7YR_ANN_GROWTH" hidden="1">"c1240"</definedName>
    <definedName name="IQ_TOTAL_ASSETS_BNK_SUBTOTAL_AP" hidden="1">"c13644"</definedName>
    <definedName name="IQ_TOTAL_ASSETS_FAIR_VALUE_TOT_FFIEC" hidden="1">"c15405"</definedName>
    <definedName name="IQ_TOTAL_ASSETS_FFIEC" hidden="1">"c12849"</definedName>
    <definedName name="IQ_TOTAL_ASSETS_LEVEL_1_FFIEC" hidden="1">"c15427"</definedName>
    <definedName name="IQ_TOTAL_ASSETS_LEVEL_2_FFIEC" hidden="1">"c15440"</definedName>
    <definedName name="IQ_TOTAL_ASSETS_LEVEL_3_FFIEC" hidden="1">"c15453"</definedName>
    <definedName name="IQ_TOTAL_ASSETS_LH_FFIEC" hidden="1">"c13106"</definedName>
    <definedName name="IQ_TOTAL_ASSETS_PC_FFIEC" hidden="1">"c13099"</definedName>
    <definedName name="IQ_TOTAL_ASSETS_SUBTOTAL_AP" hidden="1">"c8985"</definedName>
    <definedName name="IQ_TOTAL_ATTRIB_ORE_RESOURCES_ALUM" hidden="1">"c9241"</definedName>
    <definedName name="IQ_TOTAL_ATTRIB_ORE_RESOURCES_COP" hidden="1">"c9185"</definedName>
    <definedName name="IQ_TOTAL_ATTRIB_ORE_RESOURCES_DIAM" hidden="1">"c9665"</definedName>
    <definedName name="IQ_TOTAL_ATTRIB_ORE_RESOURCES_GOLD" hidden="1">"c9026"</definedName>
    <definedName name="IQ_TOTAL_ATTRIB_ORE_RESOURCES_IRON" hidden="1">"c9400"</definedName>
    <definedName name="IQ_TOTAL_ATTRIB_ORE_RESOURCES_LEAD" hidden="1">"c9453"</definedName>
    <definedName name="IQ_TOTAL_ATTRIB_ORE_RESOURCES_MANG" hidden="1">"c9506"</definedName>
    <definedName name="IQ_TOTAL_ATTRIB_ORE_RESOURCES_MOLYB" hidden="1">"c9718"</definedName>
    <definedName name="IQ_TOTAL_ATTRIB_ORE_RESOURCES_NICK" hidden="1">"c9294"</definedName>
    <definedName name="IQ_TOTAL_ATTRIB_ORE_RESOURCES_PLAT" hidden="1">"c9132"</definedName>
    <definedName name="IQ_TOTAL_ATTRIB_ORE_RESOURCES_SILVER" hidden="1">"c9079"</definedName>
    <definedName name="IQ_TOTAL_ATTRIB_ORE_RESOURCES_TITAN" hidden="1">"c9559"</definedName>
    <definedName name="IQ_TOTAL_ATTRIB_ORE_RESOURCES_URAN" hidden="1">"c9612"</definedName>
    <definedName name="IQ_TOTAL_ATTRIB_ORE_RESOURCES_ZINC" hidden="1">"c9347"</definedName>
    <definedName name="IQ_TOTAL_AVG_CE_TOTAL_AVG_ASSETS" hidden="1">"c1241"</definedName>
    <definedName name="IQ_TOTAL_AVG_EQUITY_TOTAL_AVG_ASSETS" hidden="1">"c1242"</definedName>
    <definedName name="IQ_TOTAL_BANK_CAPITAL" hidden="1">"c2668"</definedName>
    <definedName name="IQ_TOTAL_BEDS" hidden="1">"c8785"</definedName>
    <definedName name="IQ_TOTAL_BROKERED_DEPOSIT_FFIEC" hidden="1">"c15304"</definedName>
    <definedName name="IQ_TOTAL_CA" hidden="1">"c1243"</definedName>
    <definedName name="IQ_TOTAL_CA_SUBTOTAL_AP" hidden="1">"c8986"</definedName>
    <definedName name="IQ_TOTAL_CAP" hidden="1">"c1507"</definedName>
    <definedName name="IQ_TOTAL_CAPITAL_RATIO" hidden="1">"c1244"</definedName>
    <definedName name="IQ_TOTAL_CASH_DIVID" hidden="1">"c1455"</definedName>
    <definedName name="IQ_TOTAL_CASH_DUE_DEPOSITORY_INSTIT_DOM_FFIEC" hidden="1">"c15291"</definedName>
    <definedName name="IQ_TOTAL_CASH_DUE_DEPOSITORY_INSTIT_FFIEC" hidden="1">"c15285"</definedName>
    <definedName name="IQ_TOTAL_CASH_FINAN" hidden="1">"c1352"</definedName>
    <definedName name="IQ_TOTAL_CASH_INVEST" hidden="1">"c1353"</definedName>
    <definedName name="IQ_TOTAL_CASH_OPER" hidden="1">"c1354"</definedName>
    <definedName name="IQ_TOTAL_CHURN" hidden="1">"c2122"</definedName>
    <definedName name="IQ_TOTAL_CL" hidden="1">"c1245"</definedName>
    <definedName name="IQ_TOTAL_CL_SUBTOTAL_AP" hidden="1">"c8987"</definedName>
    <definedName name="IQ_TOTAL_COAL_PRODUCTION_COAL" hidden="1">"c9824"</definedName>
    <definedName name="IQ_TOTAL_COMMON" hidden="1">"c1411"</definedName>
    <definedName name="IQ_TOTAL_COMMON_EQUITY" hidden="1">"c1246"</definedName>
    <definedName name="IQ_TOTAL_COMMON_EQUITY_FFIEC" hidden="1">"c13913"</definedName>
    <definedName name="IQ_TOTAL_COMMON_EQUITY_TOTAL_ASSETS_FFIEC" hidden="1">"c13864"</definedName>
    <definedName name="IQ_TOTAL_COMMON_SHARES_OUT_FFIEC" hidden="1">"c12955"</definedName>
    <definedName name="IQ_TOTAL_CONSTRUCTION_LL_REC_DOM_FFIEC" hidden="1">"c13515"</definedName>
    <definedName name="IQ_TOTAL_CURRENT_ASSETS" hidden="1">"c1430"</definedName>
    <definedName name="IQ_TOTAL_CURRENT_LIAB" hidden="1">"c1431"</definedName>
    <definedName name="IQ_TOTAL_DEBT" hidden="1">"c1247"</definedName>
    <definedName name="IQ_TOTAL_DEBT_CAPITAL" hidden="1">"c1248"</definedName>
    <definedName name="IQ_TOTAL_DEBT_CURRENT" hidden="1">"c6190"</definedName>
    <definedName name="IQ_TOTAL_DEBT_EBITDA" hidden="1">"c1249"</definedName>
    <definedName name="IQ_TOTAL_DEBT_EBITDA_CAPEX" hidden="1">"c2948"</definedName>
    <definedName name="IQ_TOTAL_DEBT_EQUITY" hidden="1">"c1250"</definedName>
    <definedName name="IQ_TOTAL_DEBT_EST" hidden="1">"c4532"</definedName>
    <definedName name="IQ_TOTAL_DEBT_EXCL_FIN" hidden="1">"c2937"</definedName>
    <definedName name="IQ_TOTAL_DEBT_GUIDANCE" hidden="1">"c4533"</definedName>
    <definedName name="IQ_TOTAL_DEBT_HIGH_EST" hidden="1">"c4534"</definedName>
    <definedName name="IQ_TOTAL_DEBT_HIGH_GUIDANCE" hidden="1">"c4196"</definedName>
    <definedName name="IQ_TOTAL_DEBT_ISSUED" hidden="1">"c1251"</definedName>
    <definedName name="IQ_TOTAL_DEBT_ISSUED_BNK" hidden="1">"c1252"</definedName>
    <definedName name="IQ_TOTAL_DEBT_ISSUED_BR" hidden="1">"c1253"</definedName>
    <definedName name="IQ_TOTAL_DEBT_ISSUED_FIN" hidden="1">"c1254"</definedName>
    <definedName name="IQ_TOTAL_DEBT_ISSUED_RE" hidden="1">"c6271"</definedName>
    <definedName name="IQ_TOTAL_DEBT_ISSUED_REIT" hidden="1">"c1255"</definedName>
    <definedName name="IQ_TOTAL_DEBT_ISSUED_UTI" hidden="1">"c1256"</definedName>
    <definedName name="IQ_TOTAL_DEBT_ISSUES_INS" hidden="1">"c1257"</definedName>
    <definedName name="IQ_TOTAL_DEBT_LOW_EST" hidden="1">"c4535"</definedName>
    <definedName name="IQ_TOTAL_DEBT_LOW_GUIDANCE" hidden="1">"c4236"</definedName>
    <definedName name="IQ_TOTAL_DEBT_MEDIAN_EST" hidden="1">"c4536"</definedName>
    <definedName name="IQ_TOTAL_DEBT_NON_CURRENT" hidden="1">"c6191"</definedName>
    <definedName name="IQ_TOTAL_DEBT_NUM_EST" hidden="1">"c4537"</definedName>
    <definedName name="IQ_TOTAL_DEBT_OVER_EBITDA" hidden="1">"c1433"</definedName>
    <definedName name="IQ_TOTAL_DEBT_OVER_TOTAL_BV" hidden="1">"c1434"</definedName>
    <definedName name="IQ_TOTAL_DEBT_OVER_TOTAL_CAP" hidden="1">"c1432"</definedName>
    <definedName name="IQ_TOTAL_DEBT_REPAID" hidden="1">"c1258"</definedName>
    <definedName name="IQ_TOTAL_DEBT_REPAID_BNK" hidden="1">"c1259"</definedName>
    <definedName name="IQ_TOTAL_DEBT_REPAID_BR" hidden="1">"c1260"</definedName>
    <definedName name="IQ_TOTAL_DEBT_REPAID_FIN" hidden="1">"c1261"</definedName>
    <definedName name="IQ_TOTAL_DEBT_REPAID_INS" hidden="1">"c1262"</definedName>
    <definedName name="IQ_TOTAL_DEBT_REPAID_RE" hidden="1">"c6272"</definedName>
    <definedName name="IQ_TOTAL_DEBT_REPAID_REIT" hidden="1">"c1263"</definedName>
    <definedName name="IQ_TOTAL_DEBT_REPAID_UTI" hidden="1">"c1264"</definedName>
    <definedName name="IQ_TOTAL_DEBT_STDDEV_EST" hidden="1">"c4538"</definedName>
    <definedName name="IQ_TOTAL_DEPOSITS" hidden="1">"c1265"</definedName>
    <definedName name="IQ_TOTAL_DEPOSITS_DOM_FFIEC" hidden="1">"c15313"</definedName>
    <definedName name="IQ_TOTAL_DEPOSITS_FFIEC" hidden="1">"c13623"</definedName>
    <definedName name="IQ_TOTAL_DEPOSITS_SUPPLE" hidden="1">"c15253"</definedName>
    <definedName name="IQ_TOTAL_DIV_PAID_CF" hidden="1">"c1266"</definedName>
    <definedName name="IQ_TOTAL_EMPLOYEE" hidden="1">"c2141"</definedName>
    <definedName name="IQ_TOTAL_EMPLOYEES" hidden="1">"c1522"</definedName>
    <definedName name="IQ_TOTAL_EQUITY" hidden="1">"c1267"</definedName>
    <definedName name="IQ_TOTAL_EQUITY_10YR_ANN_CAGR" hidden="1">"c6145"</definedName>
    <definedName name="IQ_TOTAL_EQUITY_10YR_ANN_GROWTH" hidden="1">"c1268"</definedName>
    <definedName name="IQ_TOTAL_EQUITY_1YR_ANN_GROWTH" hidden="1">"c1269"</definedName>
    <definedName name="IQ_TOTAL_EQUITY_2YR_ANN_CAGR" hidden="1">"c6146"</definedName>
    <definedName name="IQ_TOTAL_EQUITY_2YR_ANN_GROWTH" hidden="1">"c1270"</definedName>
    <definedName name="IQ_TOTAL_EQUITY_3YR_ANN_CAGR" hidden="1">"c6147"</definedName>
    <definedName name="IQ_TOTAL_EQUITY_3YR_ANN_GROWTH" hidden="1">"c1271"</definedName>
    <definedName name="IQ_TOTAL_EQUITY_5YR_ANN_CAGR" hidden="1">"c6148"</definedName>
    <definedName name="IQ_TOTAL_EQUITY_5YR_ANN_GROWTH" hidden="1">"c1272"</definedName>
    <definedName name="IQ_TOTAL_EQUITY_7YR_ANN_CAGR" hidden="1">"c6149"</definedName>
    <definedName name="IQ_TOTAL_EQUITY_7YR_ANN_GROWTH" hidden="1">"c1273"</definedName>
    <definedName name="IQ_TOTAL_EQUITY_ALLOWANCE_TOTAL_LOANS" hidden="1">"c1274"</definedName>
    <definedName name="IQ_TOTAL_EQUITY_CAPITAL_T1_FFIEC" hidden="1">"c13130"</definedName>
    <definedName name="IQ_TOTAL_EQUITY_FFIEC" hidden="1">"c12881"</definedName>
    <definedName name="IQ_TOTAL_EQUITY_INCL_MINORITY_INTEREST_FFIEC" hidden="1">"c15278"</definedName>
    <definedName name="IQ_TOTAL_EQUITY_LH_FFIEC" hidden="1">"c13109"</definedName>
    <definedName name="IQ_TOTAL_EQUITY_PC_FFIEC" hidden="1">"c13102"</definedName>
    <definedName name="IQ_TOTAL_EQUITY_SUBTOTAL_AP" hidden="1">"c8989"</definedName>
    <definedName name="IQ_TOTAL_EQUITY_TOTAL_ASSETS_FFIEC" hidden="1">"c13863"</definedName>
    <definedName name="IQ_TOTAL_FOREIGN_DEPOSITS_FFIEC" hidden="1">"c15348"</definedName>
    <definedName name="IQ_TOTAL_FOREIGN_LOANS_QUARTERLY_AVG_FFIEC" hidden="1">"c15482"</definedName>
    <definedName name="IQ_TOTAL_IBF_ASSETS_CONSOL_BANK_FFIEC" hidden="1">"c15299"</definedName>
    <definedName name="IQ_TOTAL_IBF_LIABILITIES_FFIEC" hidden="1">"c15302"</definedName>
    <definedName name="IQ_TOTAL_IBF_LL_REC_FFIEC" hidden="1">"c15297"</definedName>
    <definedName name="IQ_TOTAL_INT_EXPENSE_FFIEC" hidden="1">"c13000"</definedName>
    <definedName name="IQ_TOTAL_INT_INCOME_FFIEC" hidden="1">"c12989"</definedName>
    <definedName name="IQ_TOTAL_INTEREST_EXP" hidden="1">"c1382"</definedName>
    <definedName name="IQ_TOTAL_INTEREST_EXP_FOREIGN_FFIEC" hidden="1">"c15374"</definedName>
    <definedName name="IQ_TOTAL_INTEREST_INC_FOREIGN_FFIEC" hidden="1">"c15373"</definedName>
    <definedName name="IQ_TOTAL_INVENTORY" hidden="1">"c1385"</definedName>
    <definedName name="IQ_TOTAL_INVEST" hidden="1">"c1275"</definedName>
    <definedName name="IQ_TOTAL_IRA_KEOGH_PLAN_ACCOUNTS_FFIEC" hidden="1">"c15303"</definedName>
    <definedName name="IQ_TOTAL_LIAB" hidden="1">"c1276"</definedName>
    <definedName name="IQ_TOTAL_LIAB_BNK" hidden="1">"c1277"</definedName>
    <definedName name="IQ_TOTAL_LIAB_BR" hidden="1">"c1278"</definedName>
    <definedName name="IQ_TOTAL_LIAB_EQUITY" hidden="1">"c1279"</definedName>
    <definedName name="IQ_TOTAL_LIAB_EQUITY_SUBTOTAL_AP" hidden="1">"c8988"</definedName>
    <definedName name="IQ_TOTAL_LIAB_FIN" hidden="1">"c1280"</definedName>
    <definedName name="IQ_TOTAL_LIAB_INS" hidden="1">"c1281"</definedName>
    <definedName name="IQ_TOTAL_LIAB_RE" hidden="1">"c6273"</definedName>
    <definedName name="IQ_TOTAL_LIAB_REIT" hidden="1">"c1282"</definedName>
    <definedName name="IQ_TOTAL_LIAB_SHAREHOLD" hidden="1">"c1435"</definedName>
    <definedName name="IQ_TOTAL_LIAB_TOTAL_ASSETS" hidden="1">"c1283"</definedName>
    <definedName name="IQ_TOTAL_LIABILITIES_EQUITY_FFIEC" hidden="1">"c12882"</definedName>
    <definedName name="IQ_TOTAL_LIABILITIES_FAIR_VALUE_TOT_FFIEC" hidden="1">"c15411"</definedName>
    <definedName name="IQ_TOTAL_LIABILITIES_FFIEC" hidden="1">"c12873"</definedName>
    <definedName name="IQ_TOTAL_LIABILITIES_LEVEL_1_FFIEC" hidden="1">"c15433"</definedName>
    <definedName name="IQ_TOTAL_LIABILITIES_LEVEL_2_FFIEC" hidden="1">"c15446"</definedName>
    <definedName name="IQ_TOTAL_LIABILITIES_LEVEL_3_FFIEC" hidden="1">"c15459"</definedName>
    <definedName name="IQ_TOTAL_LL_REC_DOM_FFIEC" hidden="1">"c12917"</definedName>
    <definedName name="IQ_TOTAL_LL_REC_FFIEC" hidden="1">"c12898"</definedName>
    <definedName name="IQ_TOTAL_LOANS" hidden="1">"c5653"</definedName>
    <definedName name="IQ_TOTAL_LOANS_DOM_QUARTERLY_AVG_FFIEC" hidden="1">"c15475"</definedName>
    <definedName name="IQ_TOTAL_LOANS_LEASES_AND_OTHER_DUE_30_89_FFIEC" hidden="1">"c15416"</definedName>
    <definedName name="IQ_TOTAL_LOANS_LEASES_AND_OTHER_DUE_90_FFIEC" hidden="1">"c15420"</definedName>
    <definedName name="IQ_TOTAL_LOANS_LEASES_AND_OTHER_NON_ACCRUAL_FFIEC" hidden="1">"c15466"</definedName>
    <definedName name="IQ_TOTAL_LOANS_LEASES_CHARGE_OFFS_FFIEC" hidden="1">"c13186"</definedName>
    <definedName name="IQ_TOTAL_LOANS_LEASES_DUE_30_89_FFIEC" hidden="1">"c13280"</definedName>
    <definedName name="IQ_TOTAL_LOANS_LEASES_DUE_90_FFIEC" hidden="1">"c13306"</definedName>
    <definedName name="IQ_TOTAL_LOANS_LEASES_NON_ACCRUAL_FFIEC" hidden="1">"c13757"</definedName>
    <definedName name="IQ_TOTAL_LOANS_LEASES_RECOV_FFIEC" hidden="1">"c13208"</definedName>
    <definedName name="IQ_TOTAL_LONG_DEBT" hidden="1">"c1617"</definedName>
    <definedName name="IQ_TOTAL_NON_REC" hidden="1">"c1444"</definedName>
    <definedName name="IQ_TOTAL_NON_TRANS_ACCTS_FFIEC" hidden="1">"c15328"</definedName>
    <definedName name="IQ_TOTAL_NONINTEREST_EXPENSE_FOREIGN_FFIEC" hidden="1">"c15386"</definedName>
    <definedName name="IQ_TOTAL_OPER_EXP_BR" hidden="1">"c1284"</definedName>
    <definedName name="IQ_TOTAL_OPER_EXP_FIN" hidden="1">"c1285"</definedName>
    <definedName name="IQ_TOTAL_OPER_EXP_INS" hidden="1">"c1286"</definedName>
    <definedName name="IQ_TOTAL_OPER_EXP_RE" hidden="1">"c6274"</definedName>
    <definedName name="IQ_TOTAL_OPER_EXP_REIT" hidden="1">"c1287"</definedName>
    <definedName name="IQ_TOTAL_OPER_EXP_UTI" hidden="1">"c1288"</definedName>
    <definedName name="IQ_TOTAL_OPER_EXPEN" hidden="1">"c1445"</definedName>
    <definedName name="IQ_TOTAL_OPERATING_EXPENSE" hidden="1">"c16047"</definedName>
    <definedName name="IQ_TOTAL_OPERATING_REVENUE" hidden="1">"c16030"</definedName>
    <definedName name="IQ_TOTAL_OPTIONS_BEG_OS" hidden="1">"c2693"</definedName>
    <definedName name="IQ_TOTAL_OPTIONS_CANCELLED" hidden="1">"c2696"</definedName>
    <definedName name="IQ_TOTAL_OPTIONS_END_OS" hidden="1">"c2697"</definedName>
    <definedName name="IQ_TOTAL_OPTIONS_EXERCISABLE_END_OS" hidden="1">"c5819"</definedName>
    <definedName name="IQ_TOTAL_OPTIONS_EXERCISED" hidden="1">"c2695"</definedName>
    <definedName name="IQ_TOTAL_OPTIONS_GRANTED" hidden="1">"c2694"</definedName>
    <definedName name="IQ_TOTAL_ORE_RESOURCES_ALUM" hidden="1">"c9230"</definedName>
    <definedName name="IQ_TOTAL_ORE_RESOURCES_COP" hidden="1">"c9174"</definedName>
    <definedName name="IQ_TOTAL_ORE_RESOURCES_DIAM" hidden="1">"c9654"</definedName>
    <definedName name="IQ_TOTAL_ORE_RESOURCES_GOLD" hidden="1">"c9015"</definedName>
    <definedName name="IQ_TOTAL_ORE_RESOURCES_IRON" hidden="1">"c9389"</definedName>
    <definedName name="IQ_TOTAL_ORE_RESOURCES_LEAD" hidden="1">"c9442"</definedName>
    <definedName name="IQ_TOTAL_ORE_RESOURCES_MANG" hidden="1">"c9495"</definedName>
    <definedName name="IQ_TOTAL_ORE_RESOURCES_MOLYB" hidden="1">"c9707"</definedName>
    <definedName name="IQ_TOTAL_ORE_RESOURCES_NICK" hidden="1">"c9283"</definedName>
    <definedName name="IQ_TOTAL_ORE_RESOURCES_PLAT" hidden="1">"c9121"</definedName>
    <definedName name="IQ_TOTAL_ORE_RESOURCES_SILVER" hidden="1">"c9068"</definedName>
    <definedName name="IQ_TOTAL_ORE_RESOURCES_TITAN" hidden="1">"c9548"</definedName>
    <definedName name="IQ_TOTAL_ORE_RESOURCES_URAN" hidden="1">"c9601"</definedName>
    <definedName name="IQ_TOTAL_ORE_RESOURCES_ZINC" hidden="1">"c9336"</definedName>
    <definedName name="IQ_TOTAL_OTHER_OPER" hidden="1">"c1289"</definedName>
    <definedName name="IQ_TOTAL_OUTSTANDING_BS_DATE" hidden="1">"c1022"</definedName>
    <definedName name="IQ_TOTAL_OUTSTANDING_FILING_DATE" hidden="1">"c2107"</definedName>
    <definedName name="IQ_TOTAL_PENSION_ASSETS" hidden="1">"c1290"</definedName>
    <definedName name="IQ_TOTAL_PENSION_ASSETS_DOMESTIC" hidden="1">"c2658"</definedName>
    <definedName name="IQ_TOTAL_PENSION_ASSETS_FOREIGN" hidden="1">"c2666"</definedName>
    <definedName name="IQ_TOTAL_PENSION_EXP" hidden="1">"c1291"</definedName>
    <definedName name="IQ_TOTAL_PENSION_OBLIGATION" hidden="1">"c1292"</definedName>
    <definedName name="IQ_TOTAL_PRINCIPAL" hidden="1">"c2509"</definedName>
    <definedName name="IQ_TOTAL_PRINCIPAL_PCT" hidden="1">"c2510"</definedName>
    <definedName name="IQ_TOTAL_PROP" hidden="1">"c8765"</definedName>
    <definedName name="IQ_TOTAL_PROVED_RESERVES_NGL" hidden="1">"c2924"</definedName>
    <definedName name="IQ_TOTAL_PROVED_RESERVES_OIL" hidden="1">"c2040"</definedName>
    <definedName name="IQ_TOTAL_RE_LOANS_TOTAL_LOANS" hidden="1">"c15715"</definedName>
    <definedName name="IQ_TOTAL_RE_NOI_AVG_GROSS_PROP" hidden="1">"c16059"</definedName>
    <definedName name="IQ_TOTAL_RECEIV" hidden="1">"c1293"</definedName>
    <definedName name="IQ_TOTAL_RECOV_ATTRIB_RESOURCES_ALUM" hidden="1">"c9246"</definedName>
    <definedName name="IQ_TOTAL_RECOV_ATTRIB_RESOURCES_COAL" hidden="1">"c9820"</definedName>
    <definedName name="IQ_TOTAL_RECOV_ATTRIB_RESOURCES_COP" hidden="1">"c9190"</definedName>
    <definedName name="IQ_TOTAL_RECOV_ATTRIB_RESOURCES_DIAM" hidden="1">"c9670"</definedName>
    <definedName name="IQ_TOTAL_RECOV_ATTRIB_RESOURCES_GOLD" hidden="1">"c9031"</definedName>
    <definedName name="IQ_TOTAL_RECOV_ATTRIB_RESOURCES_IRON" hidden="1">"c9405"</definedName>
    <definedName name="IQ_TOTAL_RECOV_ATTRIB_RESOURCES_LEAD" hidden="1">"c9458"</definedName>
    <definedName name="IQ_TOTAL_RECOV_ATTRIB_RESOURCES_MANG" hidden="1">"c9511"</definedName>
    <definedName name="IQ_TOTAL_RECOV_ATTRIB_RESOURCES_MET_COAL" hidden="1">"c9760"</definedName>
    <definedName name="IQ_TOTAL_RECOV_ATTRIB_RESOURCES_MOLYB" hidden="1">"c9723"</definedName>
    <definedName name="IQ_TOTAL_RECOV_ATTRIB_RESOURCES_NICK" hidden="1">"c9299"</definedName>
    <definedName name="IQ_TOTAL_RECOV_ATTRIB_RESOURCES_PLAT" hidden="1">"c9137"</definedName>
    <definedName name="IQ_TOTAL_RECOV_ATTRIB_RESOURCES_SILVER" hidden="1">"c9084"</definedName>
    <definedName name="IQ_TOTAL_RECOV_ATTRIB_RESOURCES_STEAM" hidden="1">"c9790"</definedName>
    <definedName name="IQ_TOTAL_RECOV_ATTRIB_RESOURCES_TITAN" hidden="1">"c9564"</definedName>
    <definedName name="IQ_TOTAL_RECOV_ATTRIB_RESOURCES_URAN" hidden="1">"c9617"</definedName>
    <definedName name="IQ_TOTAL_RECOV_ATTRIB_RESOURCES_ZINC" hidden="1">"c9352"</definedName>
    <definedName name="IQ_TOTAL_RECOV_RESOURCES_ALUM" hidden="1">"c9236"</definedName>
    <definedName name="IQ_TOTAL_RECOV_RESOURCES_COAL" hidden="1">"c9815"</definedName>
    <definedName name="IQ_TOTAL_RECOV_RESOURCES_COP" hidden="1">"c9180"</definedName>
    <definedName name="IQ_TOTAL_RECOV_RESOURCES_DIAM" hidden="1">"c9660"</definedName>
    <definedName name="IQ_TOTAL_RECOV_RESOURCES_GOLD" hidden="1">"c9021"</definedName>
    <definedName name="IQ_TOTAL_RECOV_RESOURCES_IRON" hidden="1">"c9395"</definedName>
    <definedName name="IQ_TOTAL_RECOV_RESOURCES_LEAD" hidden="1">"c9448"</definedName>
    <definedName name="IQ_TOTAL_RECOV_RESOURCES_MANG" hidden="1">"c9501"</definedName>
    <definedName name="IQ_TOTAL_RECOV_RESOURCES_MET_COAL" hidden="1">"c9755"</definedName>
    <definedName name="IQ_TOTAL_RECOV_RESOURCES_MOLYB" hidden="1">"c9713"</definedName>
    <definedName name="IQ_TOTAL_RECOV_RESOURCES_NICK" hidden="1">"c9289"</definedName>
    <definedName name="IQ_TOTAL_RECOV_RESOURCES_PLAT" hidden="1">"c9127"</definedName>
    <definedName name="IQ_TOTAL_RECOV_RESOURCES_SILVER" hidden="1">"c9074"</definedName>
    <definedName name="IQ_TOTAL_RECOV_RESOURCES_STEAM" hidden="1">"c9785"</definedName>
    <definedName name="IQ_TOTAL_RECOV_RESOURCES_TITAN" hidden="1">"c9554"</definedName>
    <definedName name="IQ_TOTAL_RECOV_RESOURCES_URAN" hidden="1">"c9607"</definedName>
    <definedName name="IQ_TOTAL_RECOV_RESOURCES_ZINC" hidden="1">"c9342"</definedName>
    <definedName name="IQ_TOTAL_RENTAL_REVENUE" hidden="1">"c16022"</definedName>
    <definedName name="IQ_TOTAL_RESOURCES_CALORIFIC_VALUE_COAL" hidden="1">"c9810"</definedName>
    <definedName name="IQ_TOTAL_RESOURCES_CALORIFIC_VALUE_MET_COAL" hidden="1">"c9750"</definedName>
    <definedName name="IQ_TOTAL_RESOURCES_CALORIFIC_VALUE_STEAM" hidden="1">"c9780"</definedName>
    <definedName name="IQ_TOTAL_RESOURCES_GRADE_ALUM" hidden="1">"c9231"</definedName>
    <definedName name="IQ_TOTAL_RESOURCES_GRADE_COP" hidden="1">"c9175"</definedName>
    <definedName name="IQ_TOTAL_RESOURCES_GRADE_DIAM" hidden="1">"c9655"</definedName>
    <definedName name="IQ_TOTAL_RESOURCES_GRADE_GOLD" hidden="1">"c9016"</definedName>
    <definedName name="IQ_TOTAL_RESOURCES_GRADE_IRON" hidden="1">"c9390"</definedName>
    <definedName name="IQ_TOTAL_RESOURCES_GRADE_LEAD" hidden="1">"c9443"</definedName>
    <definedName name="IQ_TOTAL_RESOURCES_GRADE_MANG" hidden="1">"c9496"</definedName>
    <definedName name="IQ_TOTAL_RESOURCES_GRADE_MOLYB" hidden="1">"c9708"</definedName>
    <definedName name="IQ_TOTAL_RESOURCES_GRADE_NICK" hidden="1">"c9284"</definedName>
    <definedName name="IQ_TOTAL_RESOURCES_GRADE_PLAT" hidden="1">"c9122"</definedName>
    <definedName name="IQ_TOTAL_RESOURCES_GRADE_SILVER" hidden="1">"c9069"</definedName>
    <definedName name="IQ_TOTAL_RESOURCES_GRADE_TITAN" hidden="1">"c9549"</definedName>
    <definedName name="IQ_TOTAL_RESOURCES_GRADE_URAN" hidden="1">"c9602"</definedName>
    <definedName name="IQ_TOTAL_RESOURCES_GRADE_ZINC" hidden="1">"c9337"</definedName>
    <definedName name="IQ_TOTAL_RETURN_SWAPS_DERIVATIVES_BENEFICIARY_FFIEC" hidden="1">"c13120"</definedName>
    <definedName name="IQ_TOTAL_RETURN_SWAPS_DERIVATIVES_GUARANTOR_FFIEC" hidden="1">"c13113"</definedName>
    <definedName name="IQ_TOTAL_REV" hidden="1">"c1294"</definedName>
    <definedName name="IQ_TOTAL_REV_10YR_ANN_CAGR" hidden="1">"c6150"</definedName>
    <definedName name="IQ_TOTAL_REV_10YR_ANN_GROWTH" hidden="1">"c1295"</definedName>
    <definedName name="IQ_TOTAL_REV_1YR_ANN_GROWTH" hidden="1">"c1296"</definedName>
    <definedName name="IQ_TOTAL_REV_2YR_ANN_CAGR" hidden="1">"c6151"</definedName>
    <definedName name="IQ_TOTAL_REV_2YR_ANN_GROWTH" hidden="1">"c1297"</definedName>
    <definedName name="IQ_TOTAL_REV_3YR_ANN_CAGR" hidden="1">"c6152"</definedName>
    <definedName name="IQ_TOTAL_REV_3YR_ANN_GROWTH" hidden="1">"c1298"</definedName>
    <definedName name="IQ_TOTAL_REV_5YR_ANN_CAGR" hidden="1">"c6153"</definedName>
    <definedName name="IQ_TOTAL_REV_5YR_ANN_GROWTH" hidden="1">"c1299"</definedName>
    <definedName name="IQ_TOTAL_REV_7YR_ANN_CAGR" hidden="1">"c6154"</definedName>
    <definedName name="IQ_TOTAL_REV_7YR_ANN_GROWTH" hidden="1">"c1300"</definedName>
    <definedName name="IQ_TOTAL_REV_AS_REPORTED" hidden="1">"c1301"</definedName>
    <definedName name="IQ_TOTAL_REV_BNK" hidden="1">"c1302"</definedName>
    <definedName name="IQ_TOTAL_REV_BR" hidden="1">"c1303"</definedName>
    <definedName name="IQ_TOTAL_REV_EMPLOYEE" hidden="1">"c1304"</definedName>
    <definedName name="IQ_TOTAL_REV_FIN" hidden="1">"c1305"</definedName>
    <definedName name="IQ_TOTAL_REV_INS" hidden="1">"c1306"</definedName>
    <definedName name="IQ_TOTAL_REV_RE" hidden="1">"c6275"</definedName>
    <definedName name="IQ_TOTAL_REV_REIT" hidden="1">"c1307"</definedName>
    <definedName name="IQ_TOTAL_REV_SHARE" hidden="1">"c1912"</definedName>
    <definedName name="IQ_TOTAL_REV_SUBTOTAL_AP" hidden="1">"c8975"</definedName>
    <definedName name="IQ_TOTAL_REV_UTI" hidden="1">"c1308"</definedName>
    <definedName name="IQ_TOTAL_REVENUE" hidden="1">"c1436"</definedName>
    <definedName name="IQ_TOTAL_REVENUE_FFIEC" hidden="1">"c13020"</definedName>
    <definedName name="IQ_TOTAL_REVENUE_FOREIGN_FFIEC" hidden="1">"c15383"</definedName>
    <definedName name="IQ_TOTAL_RISK_BASED_CAPITAL_FFIEC" hidden="1">"c13153"</definedName>
    <definedName name="IQ_TOTAL_RISK_BASED_CAPITAL_RATIO_FFIEC" hidden="1">"c13162"</definedName>
    <definedName name="IQ_TOTAL_RISK_WEIGHTED_ASSETS_FFIEC" hidden="1">"c13858"</definedName>
    <definedName name="IQ_TOTAL_ROOMS" hidden="1">"c8789"</definedName>
    <definedName name="IQ_TOTAL_SPECIAL" hidden="1">"c1618"</definedName>
    <definedName name="IQ_TOTAL_SQ_FT" hidden="1">"c8781"</definedName>
    <definedName name="IQ_TOTAL_ST_BORROW" hidden="1">"c1424"</definedName>
    <definedName name="IQ_TOTAL_SUB_DEBT" hidden="1">"c2528"</definedName>
    <definedName name="IQ_TOTAL_SUB_DEBT_EBITDA" hidden="1">"c2554"</definedName>
    <definedName name="IQ_TOTAL_SUB_DEBT_EBITDA_CAPEX" hidden="1">"c2555"</definedName>
    <definedName name="IQ_TOTAL_SUB_DEBT_PCT" hidden="1">"c2529"</definedName>
    <definedName name="IQ_TOTAL_SUBS" hidden="1">"c2119"</definedName>
    <definedName name="IQ_TOTAL_TIME_LESS_100000_1_TO_3_YEARS_FFIEC" hidden="1">"c15335"</definedName>
    <definedName name="IQ_TOTAL_TIME_LESS_100000_3_MONTHS_LESS_FFIEC" hidden="1">"c15333"</definedName>
    <definedName name="IQ_TOTAL_TIME_LESS_100000_3_TO_12_MONTHS_FFIEC" hidden="1">"c15334"</definedName>
    <definedName name="IQ_TOTAL_TIME_LESS_100000_FFIEC" hidden="1">"c15332"</definedName>
    <definedName name="IQ_TOTAL_TIME_LESS_100000_OVER_3_YEARS_FFIEC" hidden="1">"c15336"</definedName>
    <definedName name="IQ_TOTAL_TIME_MORE_100000_1_TO_3_YEARS_FFIEC" hidden="1">"c15340"</definedName>
    <definedName name="IQ_TOTAL_TIME_MORE_100000_3_MONTHS_LESS_FFIEC" hidden="1">"c15338"</definedName>
    <definedName name="IQ_TOTAL_TIME_MORE_100000_3_TO_12_MONTHS_FFIEC" hidden="1">"c15339"</definedName>
    <definedName name="IQ_TOTAL_TIME_MORE_100000_FFIEC" hidden="1">"c15337"</definedName>
    <definedName name="IQ_TOTAL_TIME_MORE_100000_OVER_3_YEARS_FFIEC" hidden="1">"c15341"</definedName>
    <definedName name="IQ_TOTAL_TRADING_ASSETS_FFIEC" hidden="1">"c12939"</definedName>
    <definedName name="IQ_TOTAL_TRADING_LIAB_DOM_FFIEC" hidden="1">"c12944"</definedName>
    <definedName name="IQ_TOTAL_TRADING_LIAB_FOREIGN_FFIEC" hidden="1">"c15296"</definedName>
    <definedName name="IQ_TOTAL_TRANS_ACCTS_FFIEC" hidden="1">"c15321"</definedName>
    <definedName name="IQ_TOTAL_UNITS" hidden="1">"c8773"</definedName>
    <definedName name="IQ_TOTAL_UNUSUAL" hidden="1">"c1508"</definedName>
    <definedName name="IQ_TOTAL_UNUSUAL_BNK" hidden="1">"c5516"</definedName>
    <definedName name="IQ_TOTAL_UNUSUAL_BR" hidden="1">"c5517"</definedName>
    <definedName name="IQ_TOTAL_UNUSUAL_FIN" hidden="1">"c5518"</definedName>
    <definedName name="IQ_TOTAL_UNUSUAL_INS" hidden="1">"c5519"</definedName>
    <definedName name="IQ_TOTAL_UNUSUAL_RE" hidden="1">"c6286"</definedName>
    <definedName name="IQ_TOTAL_UNUSUAL_REIT" hidden="1">"c5520"</definedName>
    <definedName name="IQ_TOTAL_UNUSUAL_SUPPLE" hidden="1">"c13817"</definedName>
    <definedName name="IQ_TOTAL_UNUSUAL_UTI" hidden="1">"c5521"</definedName>
    <definedName name="IQ_TOTAL_WARRANTS_BEG_OS" hidden="1">"c2719"</definedName>
    <definedName name="IQ_TOTAL_WARRANTS_CANCELLED" hidden="1">"c2722"</definedName>
    <definedName name="IQ_TOTAL_WARRANTS_END_OS" hidden="1">"c2723"</definedName>
    <definedName name="IQ_TOTAL_WARRANTS_EXERCISED" hidden="1">"c2721"</definedName>
    <definedName name="IQ_TOTAL_WARRANTS_ISSUED" hidden="1">"c2720"</definedName>
    <definedName name="IQ_TR_ACCT_METHOD" hidden="1">"c2363"</definedName>
    <definedName name="IQ_TR_ACQ_52_WK_HI_PCT" hidden="1">"c2348"</definedName>
    <definedName name="IQ_TR_ACQ_52_WK_LOW_PCT" hidden="1">"c2347"</definedName>
    <definedName name="IQ_TR_ACQ_CASH_ST_INVEST" hidden="1">"c2372"</definedName>
    <definedName name="IQ_TR_ACQ_CLOSEPRICE_1D" hidden="1">"c3027"</definedName>
    <definedName name="IQ_TR_ACQ_DILUT_EPS_EXCL" hidden="1">"c3028"</definedName>
    <definedName name="IQ_TR_ACQ_EARNING_CO" hidden="1">"c2379"</definedName>
    <definedName name="IQ_TR_ACQ_EBIT" hidden="1">"c2380"</definedName>
    <definedName name="IQ_TR_ACQ_EBIT_EQ_INC" hidden="1">"c3611"</definedName>
    <definedName name="IQ_TR_ACQ_EBITDA" hidden="1">"c2381"</definedName>
    <definedName name="IQ_TR_ACQ_EBITDA_EQ_INC" hidden="1">"c3610"</definedName>
    <definedName name="IQ_TR_ACQ_FILING_CURRENCY" hidden="1">"c3033"</definedName>
    <definedName name="IQ_TR_ACQ_FILINGDATE" hidden="1">"c3607"</definedName>
    <definedName name="IQ_TR_ACQ_MCAP_1DAY" hidden="1">"c2345"</definedName>
    <definedName name="IQ_TR_ACQ_MIN_INT" hidden="1">"c2374"</definedName>
    <definedName name="IQ_TR_ACQ_NET_DEBT" hidden="1">"c2373"</definedName>
    <definedName name="IQ_TR_ACQ_NI" hidden="1">"c2378"</definedName>
    <definedName name="IQ_TR_ACQ_PERIODDATE" hidden="1">"c3606"</definedName>
    <definedName name="IQ_TR_ACQ_PRICEDATE_1D" hidden="1">"c2346"</definedName>
    <definedName name="IQ_TR_ACQ_RETURN" hidden="1">"c2349"</definedName>
    <definedName name="IQ_TR_ACQ_STOCKYEARHIGH_1D" hidden="1">"c2343"</definedName>
    <definedName name="IQ_TR_ACQ_STOCKYEARLOW_1D" hidden="1">"c2344"</definedName>
    <definedName name="IQ_TR_ACQ_TOTAL_ASSETS" hidden="1">"c2371"</definedName>
    <definedName name="IQ_TR_ACQ_TOTAL_COMMON_EQ" hidden="1">"c2377"</definedName>
    <definedName name="IQ_TR_ACQ_TOTAL_DEBT" hidden="1">"c2376"</definedName>
    <definedName name="IQ_TR_ACQ_TOTAL_PREF" hidden="1">"c2375"</definedName>
    <definedName name="IQ_TR_ACQ_TOTAL_REV" hidden="1">"c2382"</definedName>
    <definedName name="IQ_TR_ADJ_SIZE" hidden="1">"c3024"</definedName>
    <definedName name="IQ_TR_ANN_DATE" hidden="1">"c2395"</definedName>
    <definedName name="IQ_TR_ANN_DATE_BL" hidden="1">"c2394"</definedName>
    <definedName name="IQ_TR_BID_DATE" hidden="1">"c2357"</definedName>
    <definedName name="IQ_TR_BLUESKY_FEES" hidden="1">"c2277"</definedName>
    <definedName name="IQ_TR_BUY_ACC_ADVISORS" hidden="1">"c3048"</definedName>
    <definedName name="IQ_TR_BUY_FIN_ADVISORS" hidden="1">"c3045"</definedName>
    <definedName name="IQ_TR_BUY_LEG_ADVISORS" hidden="1">"c2387"</definedName>
    <definedName name="IQ_TR_BUY_TERM_FEE" hidden="1">"c13638"</definedName>
    <definedName name="IQ_TR_BUY_TERM_FEE_PCT" hidden="1">"c13639"</definedName>
    <definedName name="IQ_TR_BUYBACK_TO_CLOSE" hidden="1">"c13919"</definedName>
    <definedName name="IQ_TR_BUYBACK_TO_HIGH" hidden="1">"c13917"</definedName>
    <definedName name="IQ_TR_BUYBACK_TO_LOW" hidden="1">"c13918"</definedName>
    <definedName name="IQ_TR_BUYER_ID" hidden="1">"c2404"</definedName>
    <definedName name="IQ_TR_BUYERNAME" hidden="1">"c2401"</definedName>
    <definedName name="IQ_TR_CANCELLED_DATE" hidden="1">"c2284"</definedName>
    <definedName name="IQ_TR_CASH_CONSID_PCT" hidden="1">"c2296"</definedName>
    <definedName name="IQ_TR_CASH_ST_INVEST" hidden="1">"c3025"</definedName>
    <definedName name="IQ_TR_CHANGE_CONTROL" hidden="1">"c2365"</definedName>
    <definedName name="IQ_TR_CLOSED_DATE" hidden="1">"c2283"</definedName>
    <definedName name="IQ_TR_CO_NET_PROCEEDS" hidden="1">"c2268"</definedName>
    <definedName name="IQ_TR_CO_NET_PROCEEDS_PCT" hidden="1">"c2270"</definedName>
    <definedName name="IQ_TR_COMMENTS" hidden="1">"c2383"</definedName>
    <definedName name="IQ_TR_CURRENCY" hidden="1">"c3016"</definedName>
    <definedName name="IQ_TR_DEAL_APPROACH" hidden="1">"c12706"</definedName>
    <definedName name="IQ_TR_DEAL_ATTITUDE" hidden="1">"c2364"</definedName>
    <definedName name="IQ_TR_DEAL_CONDITIONS" hidden="1">"c2367"</definedName>
    <definedName name="IQ_TR_DEAL_RESOLUTION" hidden="1">"c2391"</definedName>
    <definedName name="IQ_TR_DEAL_RESPONSES" hidden="1">"c2366"</definedName>
    <definedName name="IQ_TR_DEBT_CONSID_PCT" hidden="1">"c2299"</definedName>
    <definedName name="IQ_TR_DEF_AGRMT_DATE" hidden="1">"c2285"</definedName>
    <definedName name="IQ_TR_DISCLOSED_FEES_EXP" hidden="1">"c2288"</definedName>
    <definedName name="IQ_TR_EARNOUTS" hidden="1">"c3023"</definedName>
    <definedName name="IQ_TR_EXPIRED_DATE" hidden="1">"c2412"</definedName>
    <definedName name="IQ_TR_GROSS_OFFERING_AMT" hidden="1">"c2262"</definedName>
    <definedName name="IQ_TR_HYBRID_CONSID_PCT" hidden="1">"c2300"</definedName>
    <definedName name="IQ_TR_IMPLIED_EQ" hidden="1">"c3018"</definedName>
    <definedName name="IQ_TR_IMPLIED_EQ_BV" hidden="1">"c3019"</definedName>
    <definedName name="IQ_TR_IMPLIED_EQ_NI_LTM" hidden="1">"c3020"</definedName>
    <definedName name="IQ_TR_IMPLIED_EV" hidden="1">"c2301"</definedName>
    <definedName name="IQ_TR_IMPLIED_EV_BV" hidden="1">"c2306"</definedName>
    <definedName name="IQ_TR_IMPLIED_EV_EBIT" hidden="1">"c2302"</definedName>
    <definedName name="IQ_TR_IMPLIED_EV_EBITDA" hidden="1">"c2303"</definedName>
    <definedName name="IQ_TR_IMPLIED_EV_NI_LTM" hidden="1">"c2307"</definedName>
    <definedName name="IQ_TR_IMPLIED_EV_REV" hidden="1">"c2304"</definedName>
    <definedName name="IQ_TR_INIT_FILED_DATE" hidden="1">"c3495"</definedName>
    <definedName name="IQ_TR_LOI_DATE" hidden="1">"c2282"</definedName>
    <definedName name="IQ_TR_MAJ_MIN_STAKE" hidden="1">"c2389"</definedName>
    <definedName name="IQ_TR_NEGOTIATED_BUYBACK_PRICE" hidden="1">"c2414"</definedName>
    <definedName name="IQ_TR_NET_ASSUM_LIABILITIES" hidden="1">"c2308"</definedName>
    <definedName name="IQ_TR_NET_PROCEEDS" hidden="1">"c2267"</definedName>
    <definedName name="IQ_TR_OFFER_DATE" hidden="1">"c2265"</definedName>
    <definedName name="IQ_TR_OFFER_DATE_MA" hidden="1">"c3035"</definedName>
    <definedName name="IQ_TR_OFFER_PER_SHARE" hidden="1">"c3017"</definedName>
    <definedName name="IQ_TR_OPTIONS_CONSID_PCT" hidden="1">"c2311"</definedName>
    <definedName name="IQ_TR_OTHER_CONSID" hidden="1">"c3022"</definedName>
    <definedName name="IQ_TR_PCT_SOUGHT" hidden="1">"c2309"</definedName>
    <definedName name="IQ_TR_PFEATURES" hidden="1">"c2384"</definedName>
    <definedName name="IQ_TR_PIPE_CONV_PRICE_SHARE" hidden="1">"c2292"</definedName>
    <definedName name="IQ_TR_PIPE_CPN_PCT" hidden="1">"c2291"</definedName>
    <definedName name="IQ_TR_PIPE_NUMBER_SHARES" hidden="1">"c2293"</definedName>
    <definedName name="IQ_TR_PIPE_PPS" hidden="1">"c2290"</definedName>
    <definedName name="IQ_TR_POSTMONEY_VAL" hidden="1">"c2286"</definedName>
    <definedName name="IQ_TR_PREDEAL_SITUATION" hidden="1">"c2390"</definedName>
    <definedName name="IQ_TR_PREF_CONSID_PCT" hidden="1">"c2310"</definedName>
    <definedName name="IQ_TR_PREMONEY_VAL" hidden="1">"c2287"</definedName>
    <definedName name="IQ_TR_PRINTING_FEES" hidden="1">"c2276"</definedName>
    <definedName name="IQ_TR_PT_MONETARY_VALUES" hidden="1">"c2415"</definedName>
    <definedName name="IQ_TR_PT_NUMBER_SHARES" hidden="1">"c2417"</definedName>
    <definedName name="IQ_TR_PT_OFFER_PER_SHARE" hidden="1">"c18872"</definedName>
    <definedName name="IQ_TR_PT_PCT_SHARES" hidden="1">"c2416"</definedName>
    <definedName name="IQ_TR_RATING_FEES" hidden="1">"c2275"</definedName>
    <definedName name="IQ_TR_REG_EFFECT_DATE" hidden="1">"c2264"</definedName>
    <definedName name="IQ_TR_REG_FILED_DATE" hidden="1">"c2263"</definedName>
    <definedName name="IQ_TR_REGISTRATION_FEES" hidden="1">"c2274"</definedName>
    <definedName name="IQ_TR_RENEWAL_BUYBACK" hidden="1">"c2413"</definedName>
    <definedName name="IQ_TR_ROUND_NUMBER" hidden="1">"c2295"</definedName>
    <definedName name="IQ_TR_SEC_FEES" hidden="1">"c2274"</definedName>
    <definedName name="IQ_TR_SECURITY_TYPE_REG" hidden="1">"c2279"</definedName>
    <definedName name="IQ_TR_SELL_ACC_ADVISORS" hidden="1">"c3049"</definedName>
    <definedName name="IQ_TR_SELL_FIN_ADVISORS" hidden="1">"c3046"</definedName>
    <definedName name="IQ_TR_SELL_LEG_ADVISORS" hidden="1">"c2388"</definedName>
    <definedName name="IQ_TR_SELL_TERM_FEE" hidden="1">"c2298"</definedName>
    <definedName name="IQ_TR_SELL_TERM_FEE_PCT" hidden="1">"c2297"</definedName>
    <definedName name="IQ_TR_SELLER_ID" hidden="1">"c2406"</definedName>
    <definedName name="IQ_TR_SELLERNAME" hidden="1">"c2402"</definedName>
    <definedName name="IQ_TR_SFEATURES" hidden="1">"c2385"</definedName>
    <definedName name="IQ_TR_SH_NET_PROCEEDS" hidden="1">"c2269"</definedName>
    <definedName name="IQ_TR_SH_NET_PROCEEDS_PCT" hidden="1">"c2271"</definedName>
    <definedName name="IQ_TR_SPECIAL_COMMITTEE" hidden="1">"c2362"</definedName>
    <definedName name="IQ_TR_STATUS" hidden="1">"c2399"</definedName>
    <definedName name="IQ_TR_STOCK_CONSID_PCT" hidden="1">"c2312"</definedName>
    <definedName name="IQ_TR_SUSPENDED_DATE" hidden="1">"c2407"</definedName>
    <definedName name="IQ_TR_TARGET_52WKHI_PCT" hidden="1">"c2351"</definedName>
    <definedName name="IQ_TR_TARGET_52WKLOW_PCT" hidden="1">"c2350"</definedName>
    <definedName name="IQ_TR_TARGET_ACC_ADVISORS" hidden="1">"c3047"</definedName>
    <definedName name="IQ_TR_TARGET_CASH_ST_INVEST" hidden="1">"c2327"</definedName>
    <definedName name="IQ_TR_TARGET_CLOSEPRICE_1D" hidden="1">"c2352"</definedName>
    <definedName name="IQ_TR_TARGET_CLOSEPRICE_1M" hidden="1">"c2354"</definedName>
    <definedName name="IQ_TR_TARGET_CLOSEPRICE_1W" hidden="1">"c2353"</definedName>
    <definedName name="IQ_TR_TARGET_DILUT_EPS_EXCL" hidden="1">"c2324"</definedName>
    <definedName name="IQ_TR_TARGET_EARNING_CO" hidden="1">"c2332"</definedName>
    <definedName name="IQ_TR_TARGET_EBIT" hidden="1">"c2333"</definedName>
    <definedName name="IQ_TR_TARGET_EBIT_EQ_INC" hidden="1">"c3609"</definedName>
    <definedName name="IQ_TR_TARGET_EBITDA" hidden="1">"c2334"</definedName>
    <definedName name="IQ_TR_TARGET_EBITDA_EQ_INC" hidden="1">"c3608"</definedName>
    <definedName name="IQ_TR_TARGET_FILING_CURRENCY" hidden="1">"c3034"</definedName>
    <definedName name="IQ_TR_TARGET_FILINGDATE" hidden="1">"c3605"</definedName>
    <definedName name="IQ_TR_TARGET_FIN_ADVISORS" hidden="1">"c3044"</definedName>
    <definedName name="IQ_TR_TARGET_ID" hidden="1">"c2405"</definedName>
    <definedName name="IQ_TR_TARGET_LEG_ADVISORS" hidden="1">"c2386"</definedName>
    <definedName name="IQ_TR_TARGET_MARKETCAP" hidden="1">"c2342"</definedName>
    <definedName name="IQ_TR_TARGET_MIN_INT" hidden="1">"c2328"</definedName>
    <definedName name="IQ_TR_TARGET_NET_DEBT" hidden="1">"c2326"</definedName>
    <definedName name="IQ_TR_TARGET_NI" hidden="1">"c2331"</definedName>
    <definedName name="IQ_TR_TARGET_PERIODDATE" hidden="1">"c3604"</definedName>
    <definedName name="IQ_TR_TARGET_PRICEDATE_1D" hidden="1">"c2341"</definedName>
    <definedName name="IQ_TR_TARGET_RETURN" hidden="1">"c2355"</definedName>
    <definedName name="IQ_TR_TARGET_SEC_DETAIL" hidden="1">"c3021"</definedName>
    <definedName name="IQ_TR_TARGET_SEC_TI_ID" hidden="1">"c2368"</definedName>
    <definedName name="IQ_TR_TARGET_SEC_TYPE" hidden="1">"c2369"</definedName>
    <definedName name="IQ_TR_TARGET_SPD" hidden="1">"c2313"</definedName>
    <definedName name="IQ_TR_TARGET_SPD_PCT" hidden="1">"c2314"</definedName>
    <definedName name="IQ_TR_TARGET_STOCKPREMIUM_1D" hidden="1">"c2336"</definedName>
    <definedName name="IQ_TR_TARGET_STOCKPREMIUM_1M" hidden="1">"c2337"</definedName>
    <definedName name="IQ_TR_TARGET_STOCKPREMIUM_1W" hidden="1">"c2338"</definedName>
    <definedName name="IQ_TR_TARGET_STOCKYEARHIGH_1D" hidden="1">"c2339"</definedName>
    <definedName name="IQ_TR_TARGET_STOCKYEARLOW_1D" hidden="1">"c2340"</definedName>
    <definedName name="IQ_TR_TARGET_TOTAL_ASSETS" hidden="1">"c2325"</definedName>
    <definedName name="IQ_TR_TARGET_TOTAL_COMMON_EQ" hidden="1">"c2421"</definedName>
    <definedName name="IQ_TR_TARGET_TOTAL_DEBT" hidden="1">"c2330"</definedName>
    <definedName name="IQ_TR_TARGET_TOTAL_PREF" hidden="1">"c2329"</definedName>
    <definedName name="IQ_TR_TARGET_TOTAL_REV" hidden="1">"c2335"</definedName>
    <definedName name="IQ_TR_TARGETNAME" hidden="1">"c2403"</definedName>
    <definedName name="IQ_TR_TERM_FEE" hidden="1">"c2298"</definedName>
    <definedName name="IQ_TR_TERM_FEE_PCT" hidden="1">"c2297"</definedName>
    <definedName name="IQ_TR_TODATE" hidden="1">"c3036"</definedName>
    <definedName name="IQ_TR_TODATE_MONETARY_VALUE" hidden="1">"c2418"</definedName>
    <definedName name="IQ_TR_TODATE_NUMBER_SHARES" hidden="1">"c2420"</definedName>
    <definedName name="IQ_TR_TODATE_PCT_SHARES" hidden="1">"c2419"</definedName>
    <definedName name="IQ_TR_TOTAL_ACCT_FEES" hidden="1">"c2273"</definedName>
    <definedName name="IQ_TR_TOTAL_CASH" hidden="1">"c2315"</definedName>
    <definedName name="IQ_TR_TOTAL_CONSID_SH" hidden="1">"c2316"</definedName>
    <definedName name="IQ_TR_TOTAL_DEBT" hidden="1">"c2317"</definedName>
    <definedName name="IQ_TR_TOTAL_GROSS_TV" hidden="1">"c2318"</definedName>
    <definedName name="IQ_TR_TOTAL_HYBRID" hidden="1">"c2319"</definedName>
    <definedName name="IQ_TR_TOTAL_LEGAL_FEES" hidden="1">"c2272"</definedName>
    <definedName name="IQ_TR_TOTAL_NET_TV" hidden="1">"c2320"</definedName>
    <definedName name="IQ_TR_TOTAL_NEWMONEY" hidden="1">"c2289"</definedName>
    <definedName name="IQ_TR_TOTAL_OPTIONS" hidden="1">"c2322"</definedName>
    <definedName name="IQ_TR_TOTAL_OPTIONS_BUYER" hidden="1">"c3026"</definedName>
    <definedName name="IQ_TR_TOTAL_PREFERRED" hidden="1">"c2321"</definedName>
    <definedName name="IQ_TR_TOTAL_REG_AMT" hidden="1">"c2261"</definedName>
    <definedName name="IQ_TR_TOTAL_STOCK" hidden="1">"c2323"</definedName>
    <definedName name="IQ_TR_TOTAL_TAKEDOWNS" hidden="1">"c2278"</definedName>
    <definedName name="IQ_TR_TOTAL_UW_COMP" hidden="1">"c2280"</definedName>
    <definedName name="IQ_TR_TOTALVALUE" hidden="1">"c2400"</definedName>
    <definedName name="IQ_TR_TRANSACTION_TYPE" hidden="1">"c2398"</definedName>
    <definedName name="IQ_TR_WITHDRAWN_DTE" hidden="1">"c2266"</definedName>
    <definedName name="IQ_TRADE_AR" hidden="1">"c1345"</definedName>
    <definedName name="IQ_TRADE_PRINCIPAL" hidden="1">"c1309"</definedName>
    <definedName name="IQ_TRADING_ASSETS" hidden="1">"c1310"</definedName>
    <definedName name="IQ_TRADING_ASSETS_FAIR_VALUE_TOT_FFIEC" hidden="1">"c13210"</definedName>
    <definedName name="IQ_TRADING_ASSETS_FFIEC" hidden="1">"c12812"</definedName>
    <definedName name="IQ_TRADING_ASSETS_FOREIGN_FFIEC" hidden="1">"c12940"</definedName>
    <definedName name="IQ_TRADING_ASSETS_LEVEL_1_FFIEC" hidden="1">"c13218"</definedName>
    <definedName name="IQ_TRADING_ASSETS_LEVEL_2_FFIEC" hidden="1">"c13226"</definedName>
    <definedName name="IQ_TRADING_ASSETS_LEVEL_3_FFIEC" hidden="1">"c13234"</definedName>
    <definedName name="IQ_TRADING_ASSETS_QUARTERLY_AVG_FFIEC" hidden="1">"c13085"</definedName>
    <definedName name="IQ_TRADING_CURRENCY" hidden="1">"c2212"</definedName>
    <definedName name="IQ_TRADING_ITEM_CIQID" hidden="1">"c8949"</definedName>
    <definedName name="IQ_TRADING_LIABILITIES_FAIR_VALUE_TOT_FFIEC" hidden="1">"c13214"</definedName>
    <definedName name="IQ_TRADING_LIABILITIES_FFIEC" hidden="1">"c12858"</definedName>
    <definedName name="IQ_TRADING_LIABILITIES_LEVEL_1_FFIEC" hidden="1">"c13222"</definedName>
    <definedName name="IQ_TRADING_LIABILITIES_LEVEL_2_FFIEC" hidden="1">"c13230"</definedName>
    <definedName name="IQ_TRADING_LIABILITIES_LEVEL_3_FFIEC" hidden="1">"c13238"</definedName>
    <definedName name="IQ_TRADING_REV_FOREIGN_FFIEC" hidden="1">"c15377"</definedName>
    <definedName name="IQ_TRADING_REV_OPERATING_INC_FFIEC" hidden="1">"c13385"</definedName>
    <definedName name="IQ_TRADING_REVENUE_FFIEC" hidden="1">"c13004"</definedName>
    <definedName name="IQ_TRANS_ACCTS_TOT_DEPOSITS_FFIEC" hidden="1">"c13904"</definedName>
    <definedName name="IQ_TRANS_IMPACT_FIN_48_CURRENT_ASSETS" hidden="1">"c15727"</definedName>
    <definedName name="IQ_TRANS_IMPACT_FIN_48_CURRENT_LIABILITIES" hidden="1">"c15729"</definedName>
    <definedName name="IQ_TRANS_IMPACT_FIN_48_LT_ASSETS" hidden="1">"c15728"</definedName>
    <definedName name="IQ_TRANS_IMPACT_FIN_48_NON_CURRENT_LIABILITIES" hidden="1">"c15730"</definedName>
    <definedName name="IQ_TRANS_IMPACT_FIN_48_RETAINED_EARNINGS" hidden="1">"c15731"</definedName>
    <definedName name="IQ_TRANSACTION_LIST" hidden="1">"c15126"</definedName>
    <definedName name="IQ_TRANSACTION_LIST_BANKRUPTCY" hidden="1">"c15131"</definedName>
    <definedName name="IQ_TRANSACTION_LIST_BUYBACK" hidden="1">"c15129"</definedName>
    <definedName name="IQ_TRANSACTION_LIST_INCL_SUBS" hidden="1">"c15132"</definedName>
    <definedName name="IQ_TRANSACTION_LIST_INCL_SUBS_BANKRUPTCY" hidden="1">"c15137"</definedName>
    <definedName name="IQ_TRANSACTION_LIST_INCL_SUBS_BUYBACK" hidden="1">"c15135"</definedName>
    <definedName name="IQ_TRANSACTION_LIST_INCL_SUBS_MA" hidden="1">"c15133"</definedName>
    <definedName name="IQ_TRANSACTION_LIST_INCL_SUBS_PO" hidden="1">"c15136"</definedName>
    <definedName name="IQ_TRANSACTION_LIST_INCL_SUBS_PP" hidden="1">"c15134"</definedName>
    <definedName name="IQ_TRANSACTION_LIST_MA" hidden="1">"c15127"</definedName>
    <definedName name="IQ_TRANSACTION_LIST_PO" hidden="1">"c15130"</definedName>
    <definedName name="IQ_TRANSACTION_LIST_PP" hidden="1">"c15128"</definedName>
    <definedName name="IQ_TREASURER_ID" hidden="1">"c15214"</definedName>
    <definedName name="IQ_TREASURER_NAME" hidden="1">"c15213"</definedName>
    <definedName name="IQ_TREASURY" hidden="1">"c1311"</definedName>
    <definedName name="IQ_TREASURY_INVEST_SECURITIES_FFIEC" hidden="1">"c13457"</definedName>
    <definedName name="IQ_TREASURY_OTHER_EQUITY" hidden="1">"c1312"</definedName>
    <definedName name="IQ_TREASURY_OTHER_EQUITY_BNK" hidden="1">"c1313"</definedName>
    <definedName name="IQ_TREASURY_OTHER_EQUITY_BR" hidden="1">"c1314"</definedName>
    <definedName name="IQ_TREASURY_OTHER_EQUITY_FIN" hidden="1">"c1315"</definedName>
    <definedName name="IQ_TREASURY_OTHER_EQUITY_INS" hidden="1">"c1316"</definedName>
    <definedName name="IQ_TREASURY_OTHER_EQUITY_RE" hidden="1">"c6276"</definedName>
    <definedName name="IQ_TREASURY_OTHER_EQUITY_REIT" hidden="1">"c1317"</definedName>
    <definedName name="IQ_TREASURY_OTHER_EQUITY_UTI" hidden="1">"c1318"</definedName>
    <definedName name="IQ_TREASURY_STOCK" hidden="1">"c1438"</definedName>
    <definedName name="IQ_TREASURY_STOCK_TRANSACTIONS_FFIEC" hidden="1">"c15352"</definedName>
    <definedName name="IQ_TRUCK_ASSEMBLIES" hidden="1">"c7021"</definedName>
    <definedName name="IQ_TRUCK_ASSEMBLIES_APR" hidden="1">"c7681"</definedName>
    <definedName name="IQ_TRUCK_ASSEMBLIES_APR_FC" hidden="1">"c8561"</definedName>
    <definedName name="IQ_TRUCK_ASSEMBLIES_FC" hidden="1">"c7901"</definedName>
    <definedName name="IQ_TRUCK_ASSEMBLIES_POP" hidden="1">"c7241"</definedName>
    <definedName name="IQ_TRUCK_ASSEMBLIES_POP_FC" hidden="1">"c8121"</definedName>
    <definedName name="IQ_TRUCK_ASSEMBLIES_YOY" hidden="1">"c7461"</definedName>
    <definedName name="IQ_TRUCK_ASSEMBLIES_YOY_FC" hidden="1">"c8341"</definedName>
    <definedName name="IQ_TRUST_INC" hidden="1">"c1319"</definedName>
    <definedName name="IQ_TRUST_PREF" hidden="1">"c1320"</definedName>
    <definedName name="IQ_TRUST_PREFERRED" hidden="1">"c3029"</definedName>
    <definedName name="IQ_TRUST_PREFERRED_PCT" hidden="1">"c3030"</definedName>
    <definedName name="IQ_TRUSTEE" hidden="1">"c8959"</definedName>
    <definedName name="IQ_UFCF_10YR_ANN_CAGR" hidden="1">"c6179"</definedName>
    <definedName name="IQ_UFCF_10YR_ANN_GROWTH" hidden="1">"c1948"</definedName>
    <definedName name="IQ_UFCF_1YR_ANN_GROWTH" hidden="1">"c1943"</definedName>
    <definedName name="IQ_UFCF_2YR_ANN_CAGR" hidden="1">"c6175"</definedName>
    <definedName name="IQ_UFCF_2YR_ANN_GROWTH" hidden="1">"c1944"</definedName>
    <definedName name="IQ_UFCF_3YR_ANN_CAGR" hidden="1">"c6176"</definedName>
    <definedName name="IQ_UFCF_3YR_ANN_GROWTH" hidden="1">"c1945"</definedName>
    <definedName name="IQ_UFCF_5YR_ANN_CAGR" hidden="1">"c6177"</definedName>
    <definedName name="IQ_UFCF_5YR_ANN_GROWTH" hidden="1">"c1946"</definedName>
    <definedName name="IQ_UFCF_7YR_ANN_CAGR" hidden="1">"c6178"</definedName>
    <definedName name="IQ_UFCF_7YR_ANN_GROWTH" hidden="1">"c1947"</definedName>
    <definedName name="IQ_UFCF_MARGIN" hidden="1">"c1962"</definedName>
    <definedName name="IQ_ULT_PARENT" hidden="1">"c3037"</definedName>
    <definedName name="IQ_ULT_PARENT_CIQID" hidden="1">"c3039"</definedName>
    <definedName name="IQ_ULT_PARENT_TICKER" hidden="1">"c3038"</definedName>
    <definedName name="IQ_UNAMORT_DISC" hidden="1">"c2513"</definedName>
    <definedName name="IQ_UNAMORT_DISC_PCT" hidden="1">"c2514"</definedName>
    <definedName name="IQ_UNAMORT_PREMIUM" hidden="1">"c2511"</definedName>
    <definedName name="IQ_UNAMORT_PREMIUM_PCT" hidden="1">"c2512"</definedName>
    <definedName name="IQ_UNASSIGNED_RESERVES_COAL" hidden="1">"c15914"</definedName>
    <definedName name="IQ_UNASSIGNED_RESERVES_TO_TOTAL_RESERVES_COAL" hidden="1">"c15956"</definedName>
    <definedName name="IQ_UNCLASSIFIED_PROPERTY_OPERATING_EXPENSE" hidden="1">"c16034"</definedName>
    <definedName name="IQ_UNCLASSIFIED_RENTAL_INCOME" hidden="1">"c16021"</definedName>
    <definedName name="IQ_UNCONSOL_BEDS" hidden="1">"c8783"</definedName>
    <definedName name="IQ_UNCONSOL_NOI" hidden="1">"c16067"</definedName>
    <definedName name="IQ_UNCONSOL_PROP" hidden="1">"c8762"</definedName>
    <definedName name="IQ_UNCONSOL_ROOMS" hidden="1">"c8787"</definedName>
    <definedName name="IQ_UNCONSOL_SQ_FT" hidden="1">"c8778"</definedName>
    <definedName name="IQ_UNCONSOL_UNITS" hidden="1">"c8770"</definedName>
    <definedName name="IQ_UNDERGROUND_RESERVES_COAL" hidden="1">"c15922"</definedName>
    <definedName name="IQ_UNDERGROUND_RESERVES_TO_TOTAL_RESERVES_COAL" hidden="1">"c15960"</definedName>
    <definedName name="IQ_UNDERWRITER" hidden="1">"c8958"</definedName>
    <definedName name="IQ_UNDERWRITING_PROFIT" hidden="1">"c9975"</definedName>
    <definedName name="IQ_UNDRAWN_CP" hidden="1">"c2518"</definedName>
    <definedName name="IQ_UNDRAWN_CREDIT" hidden="1">"c3032"</definedName>
    <definedName name="IQ_UNDRAWN_RC" hidden="1">"c2517"</definedName>
    <definedName name="IQ_UNDRAWN_TL" hidden="1">"c2519"</definedName>
    <definedName name="IQ_UNEARN_PREMIUM" hidden="1">"c1321"</definedName>
    <definedName name="IQ_UNEARN_REV_CURRENT" hidden="1">"c1322"</definedName>
    <definedName name="IQ_UNEARN_REV_CURRENT_BNK" hidden="1">"c1323"</definedName>
    <definedName name="IQ_UNEARN_REV_CURRENT_BR" hidden="1">"c1324"</definedName>
    <definedName name="IQ_UNEARN_REV_CURRENT_FIN" hidden="1">"c1325"</definedName>
    <definedName name="IQ_UNEARN_REV_CURRENT_INS" hidden="1">"c1326"</definedName>
    <definedName name="IQ_UNEARN_REV_CURRENT_RE" hidden="1">"c6277"</definedName>
    <definedName name="IQ_UNEARN_REV_CURRENT_REIT" hidden="1">"c1327"</definedName>
    <definedName name="IQ_UNEARN_REV_CURRENT_UTI" hidden="1">"c1328"</definedName>
    <definedName name="IQ_UNEARN_REV_LT" hidden="1">"c1329"</definedName>
    <definedName name="IQ_UNEARNED_INCOME_LL_REC_DOM_FFIEC" hidden="1">"c12916"</definedName>
    <definedName name="IQ_UNEARNED_INCOME_LL_REC_FFIEC" hidden="1">"c12897"</definedName>
    <definedName name="IQ_UNEARNED_PREMIUMS_PC_FFIEC" hidden="1">"c13101"</definedName>
    <definedName name="IQ_UNEMPLOYMENT_RATE" hidden="1">"c7023"</definedName>
    <definedName name="IQ_UNEMPLOYMENT_RATE_FC" hidden="1">"c7903"</definedName>
    <definedName name="IQ_UNEMPLOYMENT_RATE_POP" hidden="1">"c7243"</definedName>
    <definedName name="IQ_UNEMPLOYMENT_RATE_POP_FC" hidden="1">"c8123"</definedName>
    <definedName name="IQ_UNEMPLOYMENT_RATE_YOY" hidden="1">"c7463"</definedName>
    <definedName name="IQ_UNEMPLOYMENT_RATE_YOY_FC" hidden="1">"c8343"</definedName>
    <definedName name="IQ_UNIT_LABOR_COST_INDEX" hidden="1">"c7025"</definedName>
    <definedName name="IQ_UNIT_LABOR_COST_INDEX_APR" hidden="1">"c7685"</definedName>
    <definedName name="IQ_UNIT_LABOR_COST_INDEX_APR_FC" hidden="1">"c8565"</definedName>
    <definedName name="IQ_UNIT_LABOR_COST_INDEX_FC" hidden="1">"c7905"</definedName>
    <definedName name="IQ_UNIT_LABOR_COST_INDEX_PCT_CHANGE" hidden="1">"c7024"</definedName>
    <definedName name="IQ_UNIT_LABOR_COST_INDEX_PCT_CHANGE_FC" hidden="1">"c7904"</definedName>
    <definedName name="IQ_UNIT_LABOR_COST_INDEX_PCT_CHANGE_POP" hidden="1">"c7244"</definedName>
    <definedName name="IQ_UNIT_LABOR_COST_INDEX_PCT_CHANGE_POP_FC" hidden="1">"c8124"</definedName>
    <definedName name="IQ_UNIT_LABOR_COST_INDEX_PCT_CHANGE_YOY" hidden="1">"c7464"</definedName>
    <definedName name="IQ_UNIT_LABOR_COST_INDEX_PCT_CHANGE_YOY_FC" hidden="1">"c8344"</definedName>
    <definedName name="IQ_UNIT_LABOR_COST_INDEX_POP" hidden="1">"c7245"</definedName>
    <definedName name="IQ_UNIT_LABOR_COST_INDEX_POP_FC" hidden="1">"c8125"</definedName>
    <definedName name="IQ_UNIT_LABOR_COST_INDEX_YOY" hidden="1">"c7465"</definedName>
    <definedName name="IQ_UNIT_LABOR_COST_INDEX_YOY_FC" hidden="1">"c8345"</definedName>
    <definedName name="IQ_UNLEVERED_FCF" hidden="1">"c1908"</definedName>
    <definedName name="IQ_UNPAID_CLAIMS" hidden="1">"c1330"</definedName>
    <definedName name="IQ_UNREALIZED_GAIN" hidden="1">"c1619"</definedName>
    <definedName name="IQ_UNRECOG_TAX_BENEFIT_BEG_PERIOD" hidden="1">"c15732"</definedName>
    <definedName name="IQ_UNRECOG_TAX_BENEFIT_END_PERIOD" hidden="1">"c15740"</definedName>
    <definedName name="IQ_UNRECOG_TAX_BENEFIT_OTHER_ADJ" hidden="1">"c15739"</definedName>
    <definedName name="IQ_UNSECURED_COMMITMENTS_COMMERCIAL_RE_UNUSED_FFIEC" hidden="1">"c13246"</definedName>
    <definedName name="IQ_UNSECURED_DEBT" hidden="1">"c2548"</definedName>
    <definedName name="IQ_UNSECURED_DEBT_PCT" hidden="1">"c2549"</definedName>
    <definedName name="IQ_UNUSUAL_EXP" hidden="1">"c1456"</definedName>
    <definedName name="IQ_UPGRADE_REBUILD_CABLE_INVEST" hidden="1">"c15804"</definedName>
    <definedName name="IQ_US_ADDRESS_LEASE_FIN_REC_FFIEC" hidden="1">"c13624"</definedName>
    <definedName name="IQ_US_AGENCY_OBLIG_FFIEC" hidden="1">"c12779"</definedName>
    <definedName name="IQ_US_AGENCY_OBLIG_TRADING_DOM_FFIEC" hidden="1">"c12919"</definedName>
    <definedName name="IQ_US_AGENCY_OBLIG_TRADING_FFIEC" hidden="1">"c12814"</definedName>
    <definedName name="IQ_US_AGENCY_OBLIGATIONS_AVAIL_SALE_FFIEC" hidden="1">"c12793"</definedName>
    <definedName name="IQ_US_BANKS_OTHER_INST_FOREIGN_DEP_FFIEC" hidden="1">"c15343"</definedName>
    <definedName name="IQ_US_GAAP" hidden="1">"c1331"</definedName>
    <definedName name="IQ_US_GAAP_BASIC_EPS_EXCL" hidden="1">"c2984"</definedName>
    <definedName name="IQ_US_GAAP_BASIC_EPS_INCL" hidden="1">"c2982"</definedName>
    <definedName name="IQ_US_GAAP_BASIC_WEIGHT" hidden="1">"c2980"</definedName>
    <definedName name="IQ_US_GAAP_CA_ADJ" hidden="1">"c2925"</definedName>
    <definedName name="IQ_US_GAAP_CASH_FINAN" hidden="1">"c2945"</definedName>
    <definedName name="IQ_US_GAAP_CASH_FINAN_ADJ" hidden="1">"c2941"</definedName>
    <definedName name="IQ_US_GAAP_CASH_INVEST" hidden="1">"c2944"</definedName>
    <definedName name="IQ_US_GAAP_CASH_INVEST_ADJ" hidden="1">"c2940"</definedName>
    <definedName name="IQ_US_GAAP_CASH_OPER" hidden="1">"c2943"</definedName>
    <definedName name="IQ_US_GAAP_CASH_OPER_ADJ" hidden="1">"c2939"</definedName>
    <definedName name="IQ_US_GAAP_CL_ADJ" hidden="1">"c2927"</definedName>
    <definedName name="IQ_US_GAAP_COST_REV_ADJ" hidden="1">"c2951"</definedName>
    <definedName name="IQ_US_GAAP_DILUT_EPS_EXCL" hidden="1">"c2985"</definedName>
    <definedName name="IQ_US_GAAP_DILUT_EPS_INCL" hidden="1">"c2983"</definedName>
    <definedName name="IQ_US_GAAP_DILUT_NI" hidden="1">"c2979"</definedName>
    <definedName name="IQ_US_GAAP_DILUT_WEIGHT" hidden="1">"c2981"</definedName>
    <definedName name="IQ_US_GAAP_DO_ADJ" hidden="1">"c2959"</definedName>
    <definedName name="IQ_US_GAAP_EXTRA_ACC_ITEMS_ADJ" hidden="1">"c2958"</definedName>
    <definedName name="IQ_US_GAAP_INC_TAX_ADJ" hidden="1">"c2961"</definedName>
    <definedName name="IQ_US_GAAP_INTEREST_EXP_ADJ" hidden="1">"c2957"</definedName>
    <definedName name="IQ_US_GAAP_LIAB_LT_ADJ" hidden="1">"c2928"</definedName>
    <definedName name="IQ_US_GAAP_LIAB_TOTAL_LIAB" hidden="1">"c2933"</definedName>
    <definedName name="IQ_US_GAAP_MINORITY_INTEREST_IS_ADJ" hidden="1">"c2960"</definedName>
    <definedName name="IQ_US_GAAP_NCA_ADJ" hidden="1">"c2926"</definedName>
    <definedName name="IQ_US_GAAP_NET_CHANGE" hidden="1">"c2946"</definedName>
    <definedName name="IQ_US_GAAP_NET_CHANGE_ADJ" hidden="1">"c2942"</definedName>
    <definedName name="IQ_US_GAAP_NI" hidden="1">"c2976"</definedName>
    <definedName name="IQ_US_GAAP_NI_ADJ" hidden="1">"c2963"</definedName>
    <definedName name="IQ_US_GAAP_NI_AVAIL_INCL" hidden="1">"c2978"</definedName>
    <definedName name="IQ_US_GAAP_OTHER_ADJ_ADJ" hidden="1">"c2962"</definedName>
    <definedName name="IQ_US_GAAP_OTHER_NON_OPER_ADJ" hidden="1">"c2955"</definedName>
    <definedName name="IQ_US_GAAP_OTHER_OPER_ADJ" hidden="1">"c2954"</definedName>
    <definedName name="IQ_US_GAAP_RD_ADJ" hidden="1">"c2953"</definedName>
    <definedName name="IQ_US_GAAP_SGA_ADJ" hidden="1">"c2952"</definedName>
    <definedName name="IQ_US_GAAP_TOTAL_ASSETS" hidden="1">"c2931"</definedName>
    <definedName name="IQ_US_GAAP_TOTAL_EQUITY" hidden="1">"c2934"</definedName>
    <definedName name="IQ_US_GAAP_TOTAL_EQUITY_ADJ" hidden="1">"c2929"</definedName>
    <definedName name="IQ_US_GAAP_TOTAL_REV_ADJ" hidden="1">"c2950"</definedName>
    <definedName name="IQ_US_GAAP_TOTAL_UNUSUAL_ADJ" hidden="1">"c2956"</definedName>
    <definedName name="IQ_US_GOVT_NON_TRANS_ACCTS_FFIEC" hidden="1">"c15323"</definedName>
    <definedName name="IQ_US_GOVT_STATE_POLI_SUBD_IN_US_FOREIGN_DEP_FFIEC" hidden="1">"c15346"</definedName>
    <definedName name="IQ_US_GOVT_TRANS_ACCTS_FFIEC" hidden="1">"c15315"</definedName>
    <definedName name="IQ_US_INST_DUE_30_89_FFIEC" hidden="1">"c13268"</definedName>
    <definedName name="IQ_US_INST_DUE_90_FFIEC" hidden="1">"c13294"</definedName>
    <definedName name="IQ_US_INST_NON_ACCRUAL_FFIEC" hidden="1">"c13320"</definedName>
    <definedName name="IQ_US_SPONSORED_AGENCY_OBLIG_AVAIL_SALE_FFIEC" hidden="1">"c12794"</definedName>
    <definedName name="IQ_US_SPONSORED_AGENCY_OBLIG_FFIEC" hidden="1">"c12780"</definedName>
    <definedName name="IQ_US_TREASURY_SEC_AVAIL_SALE_FFIEC" hidden="1">"c12792"</definedName>
    <definedName name="IQ_US_TREASURY_SEC_TRADING_DOM_FFIEC" hidden="1">"c12918"</definedName>
    <definedName name="IQ_US_TREASURY_SEC_TRADING_FFIEC" hidden="1">"c12813"</definedName>
    <definedName name="IQ_US_TREASURY_SECURITIES_FFIEC" hidden="1">"c12778"</definedName>
    <definedName name="IQ_UST_SEC_GOVT_AGENCY_CORP_QUARTERLY_AVG_FFIEC" hidden="1">"c15469"</definedName>
    <definedName name="IQ_UST_SECURITIES_GOVT_AGENCY_QUARTERLY_AVG_FFIEC" hidden="1">"c15468"</definedName>
    <definedName name="IQ_UTIL_PPE_NET" hidden="1">"c1620"</definedName>
    <definedName name="IQ_UTIL_REV" hidden="1">"c2091"</definedName>
    <definedName name="IQ_UTILITY_EXPENSE" hidden="1">"c16031"</definedName>
    <definedName name="IQ_UV_PENSION_LIAB" hidden="1">"c1332"</definedName>
    <definedName name="IQ_VALUE_TRADED" hidden="1">"c1519"</definedName>
    <definedName name="IQ_VALUE_TRADED_LAST_3MTH" hidden="1">"c1530"</definedName>
    <definedName name="IQ_VALUE_TRADED_LAST_6MTH" hidden="1">"c1531"</definedName>
    <definedName name="IQ_VALUE_TRADED_LAST_MTH" hidden="1">"c1529"</definedName>
    <definedName name="IQ_VALUE_TRADED_LAST_WK" hidden="1">"c1528"</definedName>
    <definedName name="IQ_VALUE_TRADED_LAST_YR" hidden="1">"c1532"</definedName>
    <definedName name="IQ_VARIABLE_RATE_PREFERREDS_INT_SENSITIVITY_FFIEC" hidden="1">"c13096"</definedName>
    <definedName name="IQ_VC_REV_OPERATING_INC_FFIEC" hidden="1">"c13388"</definedName>
    <definedName name="IQ_VEHICLE_ASSEMBLIES_LIGHT" hidden="1">"c6905"</definedName>
    <definedName name="IQ_VEHICLE_ASSEMBLIES_LIGHT_APR" hidden="1">"c7565"</definedName>
    <definedName name="IQ_VEHICLE_ASSEMBLIES_LIGHT_APR_FC" hidden="1">"c8445"</definedName>
    <definedName name="IQ_VEHICLE_ASSEMBLIES_LIGHT_FC" hidden="1">"c7785"</definedName>
    <definedName name="IQ_VEHICLE_ASSEMBLIES_LIGHT_NEW" hidden="1">"c6925"</definedName>
    <definedName name="IQ_VEHICLE_ASSEMBLIES_LIGHT_NEW_APR" hidden="1">"c7585"</definedName>
    <definedName name="IQ_VEHICLE_ASSEMBLIES_LIGHT_NEW_APR_FC" hidden="1">"c8465"</definedName>
    <definedName name="IQ_VEHICLE_ASSEMBLIES_LIGHT_NEW_FC" hidden="1">"c7805"</definedName>
    <definedName name="IQ_VEHICLE_ASSEMBLIES_LIGHT_NEW_POP" hidden="1">"c7145"</definedName>
    <definedName name="IQ_VEHICLE_ASSEMBLIES_LIGHT_NEW_POP_FC" hidden="1">"c8025"</definedName>
    <definedName name="IQ_VEHICLE_ASSEMBLIES_LIGHT_NEW_YOY" hidden="1">"c7365"</definedName>
    <definedName name="IQ_VEHICLE_ASSEMBLIES_LIGHT_NEW_YOY_FC" hidden="1">"c8245"</definedName>
    <definedName name="IQ_VEHICLE_ASSEMBLIES_LIGHT_POP" hidden="1">"c7125"</definedName>
    <definedName name="IQ_VEHICLE_ASSEMBLIES_LIGHT_POP_FC" hidden="1">"c8005"</definedName>
    <definedName name="IQ_VEHICLE_ASSEMBLIES_LIGHT_YOY" hidden="1">"c7345"</definedName>
    <definedName name="IQ_VEHICLE_ASSEMBLIES_LIGHT_YOY_FC" hidden="1">"c8225"</definedName>
    <definedName name="IQ_VEHICLE_ASSEMBLIES_TOTAL" hidden="1">"c7020"</definedName>
    <definedName name="IQ_VEHICLE_ASSEMBLIES_TOTAL_APR" hidden="1">"c7680"</definedName>
    <definedName name="IQ_VEHICLE_ASSEMBLIES_TOTAL_APR_FC" hidden="1">"c8560"</definedName>
    <definedName name="IQ_VEHICLE_ASSEMBLIES_TOTAL_FC" hidden="1">"c7900"</definedName>
    <definedName name="IQ_VEHICLE_ASSEMBLIES_TOTAL_POP" hidden="1">"c7240"</definedName>
    <definedName name="IQ_VEHICLE_ASSEMBLIES_TOTAL_POP_FC" hidden="1">"c8120"</definedName>
    <definedName name="IQ_VEHICLE_ASSEMBLIES_TOTAL_YOY" hidden="1">"c7460"</definedName>
    <definedName name="IQ_VEHICLE_ASSEMBLIES_TOTAL_YOY_FC" hidden="1">"c8340"</definedName>
    <definedName name="IQ_VEHICLE_LOANS" hidden="1">"c15249"</definedName>
    <definedName name="IQ_VENTURE_CAPITAL_REVENUE_FFIEC" hidden="1">"c13010"</definedName>
    <definedName name="IQ_VIF_AFTER_COST_CAPITAL_COVERED" hidden="1">"c9966"</definedName>
    <definedName name="IQ_VIF_AFTER_COST_CAPITAL_GROUP" hidden="1">"c9952"</definedName>
    <definedName name="IQ_VIF_BEFORE_COST_CAPITAL_COVERED" hidden="1">"c9964"</definedName>
    <definedName name="IQ_VIF_BEFORE_COST_CAPITAL_GROUP" hidden="1">"c9950"</definedName>
    <definedName name="IQ_VOICE_SUB_BASIC_SUB" hidden="1">"c15789"</definedName>
    <definedName name="IQ_VOICE_SUB_TOTAL_HOMES_PASSED" hidden="1">"c15770"</definedName>
    <definedName name="IQ_VOL_LAST_3MTH" hidden="1">"c1525"</definedName>
    <definedName name="IQ_VOL_LAST_6MTH" hidden="1">"c1526"</definedName>
    <definedName name="IQ_VOL_LAST_MTH" hidden="1">"c1524"</definedName>
    <definedName name="IQ_VOL_LAST_WK" hidden="1">"c1523"</definedName>
    <definedName name="IQ_VOL_LAST_YR" hidden="1">"c1527"</definedName>
    <definedName name="IQ_VOLUME" hidden="1">"c1333"</definedName>
    <definedName name="IQ_VWAP" hidden="1">"c13514"</definedName>
    <definedName name="IQ_WAC_CURRENT" hidden="1">"c8961"</definedName>
    <definedName name="IQ_WAC_ORIGINAL" hidden="1">"c8953"</definedName>
    <definedName name="IQ_WAM_CURRENT" hidden="1">"c8962"</definedName>
    <definedName name="IQ_WAM_ORIGINAL" hidden="1">"c8952"</definedName>
    <definedName name="IQ_WARRANTS_BEG_OS" hidden="1">"c2698"</definedName>
    <definedName name="IQ_WARRANTS_CANCELLED" hidden="1">"c2701"</definedName>
    <definedName name="IQ_WARRANTS_END_OS" hidden="1">"c2702"</definedName>
    <definedName name="IQ_WARRANTS_EXERCISED" hidden="1">"c2700"</definedName>
    <definedName name="IQ_WARRANTS_ISSUED" hidden="1">"c2699"</definedName>
    <definedName name="IQ_WARRANTS_STRIKE_PRICE_ISSUED" hidden="1">"c2704"</definedName>
    <definedName name="IQ_WARRANTS_STRIKE_PRICE_OS" hidden="1">"c2703"</definedName>
    <definedName name="IQ_WEEK" hidden="1">50000</definedName>
    <definedName name="IQ_WEIGHTED_AVG_PRICE" hidden="1">"c1334"</definedName>
    <definedName name="IQ_WHOLESALE_INVENTORIES" hidden="1">"c7027"</definedName>
    <definedName name="IQ_WHOLESALE_INVENTORIES_APR" hidden="1">"c7687"</definedName>
    <definedName name="IQ_WHOLESALE_INVENTORIES_APR_FC" hidden="1">"c8567"</definedName>
    <definedName name="IQ_WHOLESALE_INVENTORIES_FC" hidden="1">"c7907"</definedName>
    <definedName name="IQ_WHOLESALE_INVENTORIES_POP" hidden="1">"c7247"</definedName>
    <definedName name="IQ_WHOLESALE_INVENTORIES_POP_FC" hidden="1">"c8127"</definedName>
    <definedName name="IQ_WHOLESALE_INVENTORIES_YOY" hidden="1">"c7467"</definedName>
    <definedName name="IQ_WHOLESALE_INVENTORIES_YOY_FC" hidden="1">"c8347"</definedName>
    <definedName name="IQ_WHOLESALE_IS_RATIO" hidden="1">"c7026"</definedName>
    <definedName name="IQ_WHOLESALE_IS_RATIO_FC" hidden="1">"c7906"</definedName>
    <definedName name="IQ_WHOLESALE_IS_RATIO_POP" hidden="1">"c7246"</definedName>
    <definedName name="IQ_WHOLESALE_IS_RATIO_POP_FC" hidden="1">"c8126"</definedName>
    <definedName name="IQ_WHOLESALE_IS_RATIO_YOY" hidden="1">"c7466"</definedName>
    <definedName name="IQ_WHOLESALE_IS_RATIO_YOY_FC" hidden="1">"c8346"</definedName>
    <definedName name="IQ_WHOLESALE_SALES" hidden="1">"c7028"</definedName>
    <definedName name="IQ_WHOLESALE_SALES_APR" hidden="1">"c7688"</definedName>
    <definedName name="IQ_WHOLESALE_SALES_APR_FC" hidden="1">"c8568"</definedName>
    <definedName name="IQ_WHOLESALE_SALES_FC" hidden="1">"c7908"</definedName>
    <definedName name="IQ_WHOLESALE_SALES_INDEX" hidden="1">"c7029"</definedName>
    <definedName name="IQ_WHOLESALE_SALES_INDEX_APR" hidden="1">"c7689"</definedName>
    <definedName name="IQ_WHOLESALE_SALES_INDEX_APR_FC" hidden="1">"c8569"</definedName>
    <definedName name="IQ_WHOLESALE_SALES_INDEX_FC" hidden="1">"c7909"</definedName>
    <definedName name="IQ_WHOLESALE_SALES_INDEX_POP" hidden="1">"c7249"</definedName>
    <definedName name="IQ_WHOLESALE_SALES_INDEX_POP_FC" hidden="1">"c8129"</definedName>
    <definedName name="IQ_WHOLESALE_SALES_INDEX_YOY" hidden="1">"c7469"</definedName>
    <definedName name="IQ_WHOLESALE_SALES_INDEX_YOY_FC" hidden="1">"c8349"</definedName>
    <definedName name="IQ_WHOLESALE_SALES_POP" hidden="1">"c7248"</definedName>
    <definedName name="IQ_WHOLESALE_SALES_POP_FC" hidden="1">"c8128"</definedName>
    <definedName name="IQ_WHOLESALE_SALES_YOY" hidden="1">"c7468"</definedName>
    <definedName name="IQ_WHOLESALE_SALES_YOY_FC" hidden="1">"c8348"</definedName>
    <definedName name="IQ_WIP_INV" hidden="1">"c1335"</definedName>
    <definedName name="IQ_WIRELESS_PENETRATION" hidden="1">"c15767"</definedName>
    <definedName name="IQ_WORKING_CAP" hidden="1">"c3494"</definedName>
    <definedName name="IQ_WORKMEN_WRITTEN" hidden="1">"c1336"</definedName>
    <definedName name="IQ_WTD_AVG_IR_AFTER_FIVE" hidden="1">"c15700"</definedName>
    <definedName name="IQ_WTD_AVG_IR_CY" hidden="1">"c15695"</definedName>
    <definedName name="IQ_WTD_AVG_IR_CY1" hidden="1">"c15696"</definedName>
    <definedName name="IQ_WTD_AVG_IR_CY2" hidden="1">"c15697"</definedName>
    <definedName name="IQ_WTD_AVG_IR_CY3" hidden="1">"c15698"</definedName>
    <definedName name="IQ_WTD_AVG_IR_CY4" hidden="1">"c15699"</definedName>
    <definedName name="IQ_WTD_AVG_IR_LT_DEBT" hidden="1">"c15693"</definedName>
    <definedName name="IQ_WTD_AVG_IR_TOTAL_DEBT" hidden="1">"c15694"</definedName>
    <definedName name="IQ_XDIV_DATE" hidden="1">"c2203"</definedName>
    <definedName name="IQ_YEAR_FOUNDED" hidden="1">"c6793"</definedName>
    <definedName name="IQ_YEARHIGH" hidden="1">"c1337"</definedName>
    <definedName name="IQ_YEARHIGH_DATE" hidden="1">"c2250"</definedName>
    <definedName name="IQ_YEARLOW" hidden="1">"c1338"</definedName>
    <definedName name="IQ_YEARLOW_DATE" hidden="1">"c2251"</definedName>
    <definedName name="IQ_YIELD_FED_FUNDS_SOLD_FFIEC" hidden="1">"c13487"</definedName>
    <definedName name="IQ_YIELD_TRADING_ASSETS_FFIEC" hidden="1">"c13488"</definedName>
    <definedName name="IQ_YTD" hidden="1">3000</definedName>
    <definedName name="IQ_YTDMONTH" hidden="1">130000</definedName>
    <definedName name="IQ_YTW" hidden="1">"c2163"</definedName>
    <definedName name="IQ_YTW_DATE" hidden="1">"c2164"</definedName>
    <definedName name="IQ_YTW_DATE_TYPE" hidden="1">"c2165"</definedName>
    <definedName name="IQ_Z_SCORE" hidden="1">"c1339"</definedName>
    <definedName name="IsColHidden" hidden="1">FALSE</definedName>
    <definedName name="IsLTMColHidden" hidden="1">FALSE</definedName>
    <definedName name="K2_WBEVMODE" hidden="1">0</definedName>
    <definedName name="litros" hidden="1">{"Acum Div 1",#N/A,FALSE,"Acum Diversos 1"}</definedName>
    <definedName name="lklklk" hidden="1">{#N/A,#N/A,TRUE,"CF brut";#N/A,#N/A,TRUE,"CashFlow";#N/A,#N/A,TRUE,"RCE";#N/A,#N/A,TRUE,"amort"}</definedName>
    <definedName name="LLCP" hidden="1">{"PAGE1",#N/A,FALSE,"BID (3)";"PAGE2",#N/A,FALSE,"BID (3)"}</definedName>
    <definedName name="llcp3" hidden="1">{"PAGE1",#N/A,FALSE,"BID (3)";"PAGE2",#N/A,FALSE,"BID (3)"}</definedName>
    <definedName name="LLCP6" hidden="1">{"PAGE1",#N/A,FALSE,"BID (3)";"PAGE2",#N/A,FALSE,"BID (3)"}</definedName>
    <definedName name="LLCP8" hidden="1">{"PAGE1",#N/A,FALSE,"BID (3)";"PAGE2",#N/A,FALSE,"BID (3)"}</definedName>
    <definedName name="LLCPCS" hidden="1">{"PAGE1",#N/A,FALSE,"BID (3)";"PAGE2",#N/A,FALSE,"BID (3)"}</definedName>
    <definedName name="LLCPCS1" hidden="1">{"PAGE1",#N/A,FALSE,"BID (3)";"PAGE2",#N/A,FALSE,"BID (3)"}</definedName>
    <definedName name="LLCPCS9" hidden="1">{"PAGE1",#N/A,FALSE,"BID (3)";"PAGE2",#N/A,FALSE,"BID (3)"}</definedName>
    <definedName name="LLCPISI9" hidden="1">{"PAGE1",#N/A,FALSE,"BID (3)";"PAGE2",#N/A,FALSE,"BID (3)"}</definedName>
    <definedName name="loki" hidden="1">{#N/A,#N/A,TRUE,"CF brut";#N/A,#N/A,TRUE,"CashFlow";#N/A,#N/A,TRUE,"RCE";#N/A,#N/A,TRUE,"amort"}</definedName>
    <definedName name="mmmmmmmmmmmmm" hidden="1">{#N/A,#N/A,TRUE,"CF brut";#N/A,#N/A,TRUE,"CashFlow";#N/A,#N/A,TRUE,"RCE";#N/A,#N/A,TRUE,"amort"}</definedName>
    <definedName name="NEWCS" hidden="1">{#N/A,#N/A,FALSE,"YTD"}</definedName>
    <definedName name="NEWCS10" hidden="1">{#N/A,#N/A,FALSE,"YTD"}</definedName>
    <definedName name="NEWCS6" hidden="1">{#N/A,#N/A,FALSE,"YTD"}</definedName>
    <definedName name="NEWCS9" hidden="1">{#N/A,#N/A,FALSE,"YTD"}</definedName>
    <definedName name="OrderTable" hidden="1">#REF!</definedName>
    <definedName name="othershw" hidden="1">{"MANAGERS",#N/A,FALSE,"MNGRPT1";"cwi",#N/A,FALSE,"MNGRPT1"}</definedName>
    <definedName name="p" hidden="1">#REF!</definedName>
    <definedName name="Param_CumRent" hidden="1">#REF!</definedName>
    <definedName name="Param_CumRent_2" hidden="1">#REF!</definedName>
    <definedName name="Param_CurrentDate" hidden="1">#REF!</definedName>
    <definedName name="Param_DRCredit" hidden="1">#REF!</definedName>
    <definedName name="Param_DRCredit_2" hidden="1">#REF!</definedName>
    <definedName name="Param_DRNonCredit" hidden="1">#REF!</definedName>
    <definedName name="Param_DRNonCredit_2" hidden="1">#REF!</definedName>
    <definedName name="Param_IncludeCPI" hidden="1">#REF!</definedName>
    <definedName name="Param_IncludeCPI_2" hidden="1">#REF!</definedName>
    <definedName name="Param_IncludePercentRent" hidden="1">#REF!</definedName>
    <definedName name="Param_IncludePercentRent_2" hidden="1">#REF!</definedName>
    <definedName name="Param_IncludePW" hidden="1">#REF!</definedName>
    <definedName name="Param_IncludePW_2" hidden="1">#REF!</definedName>
    <definedName name="Param_Inclusion" hidden="1">#REF!</definedName>
    <definedName name="Param_Inclusion_2" hidden="1">#REF!</definedName>
    <definedName name="Param_PVAbatement" hidden="1">#REF!</definedName>
    <definedName name="Param_PVAbatement_2" hidden="1">#REF!</definedName>
    <definedName name="Param_SLAbatement" hidden="1">#REF!</definedName>
    <definedName name="Param_SLAbatement_2" hidden="1">#REF!</definedName>
    <definedName name="Param_VacMarket" hidden="1">#REF!</definedName>
    <definedName name="Param_VacRenew" hidden="1">#REF!</definedName>
    <definedName name="Param_VacVacate" hidden="1">#REF!</definedName>
    <definedName name="pippo" hidden="1">#REF!</definedName>
    <definedName name="pp" hidden="1">{#N/A,#N/A,TRUE,"CF brut";#N/A,#N/A,TRUE,"CashFlow";#N/A,#N/A,TRUE,"RCE";#N/A,#N/A,TRUE,"amort"}</definedName>
    <definedName name="Pres" localSheetId="5" hidden="1">{#N/A,#N/A,TRUE,"Cover sheet";#N/A,#N/A,TRUE,"Summary";#N/A,#N/A,TRUE,"Key Assumptions";#N/A,#N/A,TRUE,"Profit &amp; Loss";#N/A,#N/A,TRUE,"Balance Sheet";#N/A,#N/A,TRUE,"Cashflow";#N/A,#N/A,TRUE,"IRR";#N/A,#N/A,TRUE,"Ratios";#N/A,#N/A,TRUE,"Debt analysis"}</definedName>
    <definedName name="Pres" hidden="1">{#N/A,#N/A,TRUE,"Cover sheet";#N/A,#N/A,TRUE,"Summary";#N/A,#N/A,TRUE,"Key Assumptions";#N/A,#N/A,TRUE,"Profit &amp; Loss";#N/A,#N/A,TRUE,"Balance Sheet";#N/A,#N/A,TRUE,"Cashflow";#N/A,#N/A,TRUE,"IRR";#N/A,#N/A,TRUE,"Ratios";#N/A,#N/A,TRUE,"Debt analysis"}</definedName>
    <definedName name="_xlnm.Print_Area" localSheetId="2">Dashboard!$B$2:$K$93</definedName>
    <definedName name="_xlnm.Print_Area" localSheetId="3">'Detailed Assumptions'!$C$3:$AJ$171</definedName>
    <definedName name="_xlnm.Print_Area" localSheetId="20">Index_Tab!$B$1:$L$45</definedName>
    <definedName name="_xlnm.Print_Area" localSheetId="19">Portfolio_Categorisation!$B$2:$K$29</definedName>
    <definedName name="ProdForm" hidden="1">#REF!</definedName>
    <definedName name="Product" hidden="1">#REF!</definedName>
    <definedName name="prolinks_009aeb2a27334d569d64575c1d054b53" hidden="1">#REF!</definedName>
    <definedName name="prolinks_0136cc0742c844ddb798d82706290265" hidden="1">#REF!</definedName>
    <definedName name="prolinks_01880dea77dc471cbba7c5187b262d03" hidden="1">#REF!</definedName>
    <definedName name="prolinks_029233a1db8d4bc2928b3172e6175686" hidden="1">#REF!</definedName>
    <definedName name="prolinks_0397978a27d3434cba4c920f520a1bad" hidden="1">#REF!</definedName>
    <definedName name="prolinks_03f438206ddb48cab0ce2c12a19ce00d" hidden="1">#REF!</definedName>
    <definedName name="prolinks_03fe9d699ff94e5b8d90f07f6d0e2dd9" hidden="1">#REF!</definedName>
    <definedName name="prolinks_05011969e4b949c9aa12a4e67f99e290" hidden="1">#REF!</definedName>
    <definedName name="prolinks_058725ad652a438c85f0edd439d509d8" hidden="1">#REF!</definedName>
    <definedName name="prolinks_07339c9288724fb7b7c900f9848c409a" hidden="1">#REF!</definedName>
    <definedName name="prolinks_085fdd1ec31643f48d745542503afd13" hidden="1">#REF!</definedName>
    <definedName name="prolinks_08f2d8f227ae43aeb3ee3f2d169e2956" hidden="1">#REF!</definedName>
    <definedName name="prolinks_09146a57ee2a42b0bf96072138e46a9f" hidden="1">#REF!</definedName>
    <definedName name="prolinks_09809284dbf844c4af23b655531167e0" hidden="1">#REF!</definedName>
    <definedName name="prolinks_0a7c2f41008e4f079dcd6c6e056fce9a" hidden="1">#REF!</definedName>
    <definedName name="prolinks_0fad990377ee4775b3e6cf2f532cc061" hidden="1">#REF!</definedName>
    <definedName name="prolinks_1023820afd384dc9b1b2e141b0f21b63" hidden="1">#REF!</definedName>
    <definedName name="prolinks_102b4e923db143ed864488b1e27a79b7" hidden="1">#REF!</definedName>
    <definedName name="prolinks_111f7a1a08164e90bc41ef0cdc3852b8" hidden="1">#REF!</definedName>
    <definedName name="prolinks_140d9185a62d4bdeaae62259f7752a44" hidden="1">#REF!</definedName>
    <definedName name="prolinks_1498a15046354b14b05b4f053716268f" hidden="1">#REF!</definedName>
    <definedName name="prolinks_193bbe53210e49fd94aee5f899109469" hidden="1">#REF!</definedName>
    <definedName name="prolinks_195feba628a14bdcace95726f15395c0" hidden="1">#REF!</definedName>
    <definedName name="prolinks_1b3ff47273fc4bb080f53ec98ac7ea00" hidden="1">#REF!</definedName>
    <definedName name="prolinks_1e0605fe962841de820ad2ea80089688" hidden="1">#REF!</definedName>
    <definedName name="prolinks_1e50f260e5454829874c5978a0e223bb" hidden="1">#REF!</definedName>
    <definedName name="prolinks_2030244f4225425da7a057f1124dc4a2" hidden="1">#REF!</definedName>
    <definedName name="prolinks_208aa26c9ae34def92940525b1cca7ef" hidden="1">#REF!</definedName>
    <definedName name="prolinks_2148cff80fb4459bad9d67d5197d783e" hidden="1">#REF!</definedName>
    <definedName name="prolinks_21e7eb4083b1484891fd658a722ad206" hidden="1">#REF!</definedName>
    <definedName name="prolinks_24f070b681cb40b0988c4b8529195b06" hidden="1">#REF!</definedName>
    <definedName name="prolinks_252e771a568144cbba9b680115738f5f" hidden="1">#REF!</definedName>
    <definedName name="prolinks_254d3d1128094de5b22ce9dad4799c3a" hidden="1">#REF!</definedName>
    <definedName name="prolinks_2586d3151ec14640b4c418ad68603388" hidden="1">#REF!</definedName>
    <definedName name="prolinks_25c062a745154d64946570516d4246e5" hidden="1">#REF!</definedName>
    <definedName name="prolinks_26b423bcdbb34fd09889028dfcb42843" hidden="1">#REF!</definedName>
    <definedName name="prolinks_27223a578e7b41d49cbcd21e29f2b9a1" hidden="1">#REF!</definedName>
    <definedName name="prolinks_2a16d4723c3b42c484925ef1ae0f11a0" hidden="1">#REF!</definedName>
    <definedName name="prolinks_2a334409e7df49a5aefccc9bbe6d11f5" hidden="1">#REF!</definedName>
    <definedName name="prolinks_2afc61db0b374c06b534150d687b3bdb" hidden="1">#REF!</definedName>
    <definedName name="prolinks_2c0b1a4e69a74def89473591b50fc065" hidden="1">#REF!</definedName>
    <definedName name="prolinks_2d2a3a64d91f484f88db6dc5068090ab" hidden="1">#REF!</definedName>
    <definedName name="prolinks_2da34233562d4201b0ae99020e13dc20" hidden="1">#REF!</definedName>
    <definedName name="prolinks_2f06152d71664d12976bc0e56cdb0749" hidden="1">#REF!</definedName>
    <definedName name="prolinks_303ced4d82134ccb96c88e4ae74c7ae6" hidden="1">#REF!</definedName>
    <definedName name="prolinks_31b61ea4228e4e6d973ee0ca4a85a7ff" hidden="1">#REF!</definedName>
    <definedName name="prolinks_35ba6c51e7544d46ac1a0f06cff28186" hidden="1">#REF!</definedName>
    <definedName name="prolinks_362eca467f3441da86550b3f5fd67f5e" hidden="1">#REF!</definedName>
    <definedName name="prolinks_373f212e1fa14ab8bbc4f0eab47dba42" hidden="1">#REF!</definedName>
    <definedName name="prolinks_3837d8893347434abf1acca5fe4354d8" hidden="1">#REF!</definedName>
    <definedName name="prolinks_38c3e9a3a73d41bfb8d747a5ae7900d9" hidden="1">#REF!</definedName>
    <definedName name="prolinks_392f69d2fec9443abe21e8bf13b145cc" hidden="1">#REF!</definedName>
    <definedName name="prolinks_395ec02dea774ea4a6e7ceebe65490bb" hidden="1">#REF!</definedName>
    <definedName name="prolinks_3a7687fefb4f459db4b660e4a43f0b67" hidden="1">#REF!</definedName>
    <definedName name="prolinks_3b1117fd81a64f2eba181adfd044fdad" hidden="1">#REF!</definedName>
    <definedName name="prolinks_3b630e110f2f423aa5c2835af3316acb" hidden="1">#REF!</definedName>
    <definedName name="prolinks_3c57bcdd2df749a9a19eba2fb96cdefd" hidden="1">#REF!</definedName>
    <definedName name="prolinks_3e21dc7ef0304788a7469eaba942738c" hidden="1">#REF!</definedName>
    <definedName name="prolinks_3e230f528a4049d886df9aa7cc984a1d" hidden="1">#REF!</definedName>
    <definedName name="prolinks_3e6ae1d9c4904c5f93b9c8778735124d" hidden="1">#REF!</definedName>
    <definedName name="prolinks_40abbc3a606e4c478960741e7eb4f8a7" hidden="1">#REF!</definedName>
    <definedName name="prolinks_42e4ef2aa6f64c7da834c4bd54b2e701" hidden="1">#REF!</definedName>
    <definedName name="prolinks_4523121e30664226b478a60c7cfb9ef1" hidden="1">#REF!</definedName>
    <definedName name="prolinks_4612ac7943ba46ba8c179b7dabfff10c" hidden="1">#REF!</definedName>
    <definedName name="prolinks_473682d3a99847c1b04807b52f2edfcd" hidden="1">#REF!</definedName>
    <definedName name="prolinks_47dc8373f3d74b4aadda68abfdb2dae2" hidden="1">#REF!</definedName>
    <definedName name="prolinks_48076fba9c7c48d18dcebb920eb514be" hidden="1">#REF!</definedName>
    <definedName name="prolinks_49246fd015ed41fba3931805e73c688a" hidden="1">#REF!</definedName>
    <definedName name="prolinks_49f9147742cf44e2b7d4d5a29264af98" hidden="1">#REF!</definedName>
    <definedName name="prolinks_4d4a2424034d4aacafee92f87e7da5fb" hidden="1">#REF!</definedName>
    <definedName name="prolinks_4d85302905a34efaab0b278032704e21" hidden="1">#REF!</definedName>
    <definedName name="prolinks_4dd6e5e1435e48129f0b38ea34e3ac95" hidden="1">#REF!</definedName>
    <definedName name="prolinks_4e8fdaa136644240bd03dc910d44c204" hidden="1">#REF!</definedName>
    <definedName name="prolinks_4fd933b87da8426b9e97907ce4f37913" hidden="1">#REF!</definedName>
    <definedName name="prolinks_50933d6ca37f4133833e5fc0f5d5e1eb" hidden="1">#REF!</definedName>
    <definedName name="prolinks_53a7c3048b3f4e409ef288aa78089f42" hidden="1">#REF!</definedName>
    <definedName name="prolinks_547e4305f4b046e9b308560bbc64f9ae" hidden="1">#REF!</definedName>
    <definedName name="prolinks_5527f4d8160f42e89a682e4fa650ec8a" hidden="1">#REF!</definedName>
    <definedName name="prolinks_579e321e40d947c3a52f6749f431c9de" hidden="1">#REF!</definedName>
    <definedName name="prolinks_5a0efc85ba68494694e0970aa55f2a8f" hidden="1">#REF!</definedName>
    <definedName name="prolinks_5ca4cfd4566a494f915aa7d864039942" hidden="1">#REF!</definedName>
    <definedName name="prolinks_5d112cea37d34e50bb07a90bbd6621a7" hidden="1">#REF!</definedName>
    <definedName name="prolinks_5ef5d27bdf4d4531b11406ea07165c7b" hidden="1">#REF!</definedName>
    <definedName name="prolinks_5eff23fc7f7748da81cb71e6d7d49ad5" hidden="1">#REF!</definedName>
    <definedName name="prolinks_5fced6324bf14fbb9506ea35b5eb16ca" hidden="1">#REF!</definedName>
    <definedName name="prolinks_61033325521c4332a40c3f3d3d7a76d7" hidden="1">#REF!</definedName>
    <definedName name="prolinks_633b7fe026b9473fb11a750940e4a5a0" hidden="1">#REF!</definedName>
    <definedName name="prolinks_63b819c1f7c04af89a13feee2ac140ef" hidden="1">#REF!</definedName>
    <definedName name="prolinks_66352413c2cb4e2680332b591dd65358" hidden="1">#REF!</definedName>
    <definedName name="prolinks_665b4cc480fe4a2eabc935675b5fb6b1" hidden="1">#REF!</definedName>
    <definedName name="prolinks_66ecc44750ea4c59a3bfe0d818f9e1ea" hidden="1">#REF!</definedName>
    <definedName name="prolinks_67246f6df2074869904fff004a2e4aa4" hidden="1">#REF!</definedName>
    <definedName name="prolinks_684cc9a306ba4260a858f63143887bc4" hidden="1">#REF!</definedName>
    <definedName name="prolinks_68557ad165d84e559461fdef1034d176" hidden="1">#REF!</definedName>
    <definedName name="prolinks_688e82548b96477293abc9b95e062633" hidden="1">#REF!</definedName>
    <definedName name="prolinks_692dc9c3b6094a1aa78e71c5405f4304" hidden="1">#REF!</definedName>
    <definedName name="prolinks_6995d2ef6d5846ab918ebcd16e115cb3" hidden="1">#REF!</definedName>
    <definedName name="prolinks_6ac3454d52744ddcaf7bb286a67050a2" hidden="1">#REF!</definedName>
    <definedName name="prolinks_6c5d66229e87465b837f61c4c0c6e253" hidden="1">#REF!</definedName>
    <definedName name="prolinks_6cfe2b62645e4f73848416a8d1180e98" hidden="1">#REF!</definedName>
    <definedName name="prolinks_6d362b50f98a4cd78ba3323d3989f7b9" hidden="1">#REF!</definedName>
    <definedName name="prolinks_6e7f195438464cffac8d7d63349dc649" hidden="1">#REF!</definedName>
    <definedName name="prolinks_6ec8dd5a73dc4ddfaf93aadf819b1da6" hidden="1">#REF!</definedName>
    <definedName name="prolinks_6f8aa06dae4e4b0bb823c6c5ab4a3023" hidden="1">#REF!</definedName>
    <definedName name="prolinks_70541db52e954acc8cf5c1e137a206e2" hidden="1">#REF!</definedName>
    <definedName name="prolinks_70dc8e2b86004c69aef41eac5c174523" hidden="1">#REF!</definedName>
    <definedName name="prolinks_70f632de0d724d428d5a129ea6401d1a" hidden="1">#REF!</definedName>
    <definedName name="prolinks_727c91dc90294355a78bafa8fe18b73f" hidden="1">#REF!</definedName>
    <definedName name="prolinks_74c43819414f4967963e49301d060f5e" hidden="1">#REF!</definedName>
    <definedName name="prolinks_751abc055b9340789a1418b5fbabf702" hidden="1">#REF!</definedName>
    <definedName name="prolinks_7552b31879a741debd69a51a84f9b939" hidden="1">#REF!</definedName>
    <definedName name="prolinks_759bb4a429ec42a08ccde53a9918a858" hidden="1">#REF!</definedName>
    <definedName name="prolinks_7a533393ae6243c6bfef295441b2d512" hidden="1">#REF!</definedName>
    <definedName name="prolinks_7c0d1d4d1e3e4c1d9ac237c7079be8a1" hidden="1">#REF!</definedName>
    <definedName name="prolinks_7c5d407519234d87866411a1a01eed5a" hidden="1">#REF!</definedName>
    <definedName name="prolinks_7c7dfc123a2148ed812891ac77d800c1" hidden="1">#REF!</definedName>
    <definedName name="prolinks_7ce324372b2641e19c09def904d4666e" hidden="1">#REF!</definedName>
    <definedName name="prolinks_7d4616bd03c74c2f8984c97490380470" hidden="1">#REF!</definedName>
    <definedName name="prolinks_7fabb20968914e2788a99359e0c8c505" hidden="1">#REF!</definedName>
    <definedName name="prolinks_7ffafc17cb2b4d80b76d2ab363ee52b5" hidden="1">#REF!</definedName>
    <definedName name="prolinks_807d5941df424da5a3fd9eb88cc6f4c4" hidden="1">#REF!</definedName>
    <definedName name="prolinks_816335aedd0b4968940e23efea85221c" hidden="1">#REF!</definedName>
    <definedName name="prolinks_821e801dcd644261b93dfb14d4abf143" hidden="1">#REF!</definedName>
    <definedName name="prolinks_832e0e1ac0fd4f92a08b139f2c1bfc63" hidden="1">#REF!</definedName>
    <definedName name="prolinks_83a223a9cd69417b8a2236f4eb8093ec" hidden="1">#REF!</definedName>
    <definedName name="prolinks_83e8a3b95a8b4297bddbfc35f9bc6d67" hidden="1">#REF!</definedName>
    <definedName name="prolinks_8506a0f849b7442e8130f4e476d657ed" hidden="1">#REF!</definedName>
    <definedName name="prolinks_85cbc4e52e434f35bab9322d188d848b" hidden="1">#REF!</definedName>
    <definedName name="prolinks_86ab15a0b4484336a6ab4ef9d271fb88" hidden="1">#REF!</definedName>
    <definedName name="prolinks_86dab6c1e7b440fe910da4172c098c97" hidden="1">#REF!</definedName>
    <definedName name="prolinks_8727aadbddbe4e5a81bb32869a354ef0" hidden="1">#REF!</definedName>
    <definedName name="prolinks_878e25f0c5aa4f7d998e11ae19aff7fd" hidden="1">#REF!</definedName>
    <definedName name="prolinks_87d8a325bf6545959565655c85af2f3a" hidden="1">#REF!</definedName>
    <definedName name="prolinks_87ed11fcd9c5454c8c1b0096a5987ac8" hidden="1">#REF!</definedName>
    <definedName name="prolinks_8a20974e12fb4be3972c3d310366be88" hidden="1">#REF!</definedName>
    <definedName name="prolinks_8dc82674730f4a10bf051a1911ef23b5" hidden="1">#REF!</definedName>
    <definedName name="prolinks_8e3354f7264649d7b0b7ef2813a916a8" hidden="1">#REF!</definedName>
    <definedName name="prolinks_8f4a6969d84749df8021c64ce6aa9710" hidden="1">#REF!</definedName>
    <definedName name="prolinks_8f5beb90320c452a830b487816ffbb46" hidden="1">#REF!</definedName>
    <definedName name="prolinks_8fa9049fe141475c9a8aeec9265379d9" hidden="1">#REF!</definedName>
    <definedName name="prolinks_91ad153fe7c64a84bb6525aa6e550853" hidden="1">#REF!</definedName>
    <definedName name="prolinks_920f446751f743218317bdb9610b2f81" hidden="1">#REF!</definedName>
    <definedName name="prolinks_922c0dcaf0264e249a6117e9445b6bfd" hidden="1">#REF!</definedName>
    <definedName name="prolinks_924e644ebc7b4165b06558c8fabd971f" hidden="1">#REF!</definedName>
    <definedName name="prolinks_925e30c11afa4894ae4d2ceab19d1aae" hidden="1">#REF!</definedName>
    <definedName name="prolinks_9353f56496e14b8ba684b27e1ce9dac3" hidden="1">#REF!</definedName>
    <definedName name="prolinks_9609b3cba79c4fadb81965d6d81d03ea" hidden="1">#REF!</definedName>
    <definedName name="prolinks_9674af8dff324b08a0b2fd64380a1111" hidden="1">#REF!</definedName>
    <definedName name="prolinks_97450acba75847d1bda01a2fea6d0b1e" hidden="1">#REF!</definedName>
    <definedName name="prolinks_99afa61c05ed4117a4a96479dd18892c" hidden="1">#REF!</definedName>
    <definedName name="prolinks_9a920a790f6c4fad90ec351c4ac0f201" hidden="1">#REF!</definedName>
    <definedName name="prolinks_9aa4d929268c45689aea678d455c0bcb" hidden="1">#REF!</definedName>
    <definedName name="prolinks_9b317c8356a34dc1a6ba6170a563fd59" hidden="1">#REF!</definedName>
    <definedName name="prolinks_9bf757e742d14c609ebedfb64f132e2b" hidden="1">#REF!</definedName>
    <definedName name="prolinks_9c51f1a5f53f4e25bde5763a7d68e827" hidden="1">#REF!</definedName>
    <definedName name="prolinks_9d6327f686e047a3a12da0b5579bd983" hidden="1">#REF!</definedName>
    <definedName name="prolinks_9dc7f5d7ee8e45d7b86fe8470d3f2455" hidden="1">#REF!</definedName>
    <definedName name="prolinks_9ed34f254a7940039400e36140984f08" hidden="1">#REF!</definedName>
    <definedName name="prolinks_a031f3c33af948018916adc9004111f8" hidden="1">#REF!</definedName>
    <definedName name="prolinks_a439afd872974f4d9787e263ebe55235" hidden="1">#REF!</definedName>
    <definedName name="prolinks_a4b68029f1764e56a9c3ebc1cb64919c" hidden="1">#REF!</definedName>
    <definedName name="prolinks_a62b96ffef844ab39f3ae6f2ea093b9e" hidden="1">#REF!</definedName>
    <definedName name="prolinks_a636808e9e764cb99afd59762a5768b2" hidden="1">#REF!</definedName>
    <definedName name="prolinks_a69e0d5e1e014712aecc04a2e6a155fb" hidden="1">#REF!</definedName>
    <definedName name="prolinks_a6ae3d87e5264b1b9fe8e8db221767be" hidden="1">#REF!</definedName>
    <definedName name="prolinks_a9b1d57342ab4fcb917654c07a5a6b03" hidden="1">#REF!</definedName>
    <definedName name="prolinks_a9f5de94d65644cd90cea8816964391e" hidden="1">#REF!</definedName>
    <definedName name="prolinks_ab960a03eacf442381431368f1cf5dc8" hidden="1">#REF!</definedName>
    <definedName name="prolinks_acc3cbd4a5904249af08cc081f13825d" hidden="1">#REF!</definedName>
    <definedName name="prolinks_b068f80016ab48fe9994635fe70874d0" hidden="1">#REF!</definedName>
    <definedName name="prolinks_b18eb3c9765e448290b98ccdf2ea3272" hidden="1">#REF!</definedName>
    <definedName name="prolinks_b205e66ba5d647d59d0cbd5127a6456f" hidden="1">#REF!</definedName>
    <definedName name="prolinks_b2b1bb7d55aa42a799b9e7720d9e4b7f" hidden="1">#REF!</definedName>
    <definedName name="prolinks_b47492fc1ee247219a3a02bf0e656793" hidden="1">#REF!</definedName>
    <definedName name="prolinks_b4caddf42cb0433791ffcd2206424dbf" hidden="1">#REF!</definedName>
    <definedName name="prolinks_b4db62adac4e483891926e90a6555738" hidden="1">#REF!</definedName>
    <definedName name="prolinks_b5785c99b5584d928bdd6ae6fc06b6a0" hidden="1">#REF!</definedName>
    <definedName name="prolinks_b5d9697ba6934513b2ac44aa84271843" hidden="1">#REF!</definedName>
    <definedName name="prolinks_b672062482194557b6a60ccab7b6916d" hidden="1">#REF!</definedName>
    <definedName name="prolinks_b7091f2a16cf4216a5b7d09071bfd255" hidden="1">#REF!</definedName>
    <definedName name="prolinks_ba40dc55f775400cb1372b793286e348" hidden="1">#REF!</definedName>
    <definedName name="prolinks_ba5a9cf5ce81477ba09004940d95224b" hidden="1">#REF!</definedName>
    <definedName name="prolinks_ba62aedff293444da2c485479778552b" hidden="1">#REF!</definedName>
    <definedName name="prolinks_baa2472e109f45919483147eb6d7b6bc" hidden="1">#REF!</definedName>
    <definedName name="prolinks_bb00f32b04554396a4c37b6c7224fb8f" hidden="1">#REF!</definedName>
    <definedName name="prolinks_bc59f5778ca2450b8fa7c82141898d4a" hidden="1">#REF!</definedName>
    <definedName name="prolinks_bc6c62250733409faa83d5f81a634871" hidden="1">#REF!</definedName>
    <definedName name="prolinks_bca368f0f30649238bdf936906c99ce2" hidden="1">#REF!</definedName>
    <definedName name="prolinks_bce4944723f045ae9b6cfb2c8e05edec" hidden="1">#REF!</definedName>
    <definedName name="prolinks_bdaa294c96034232b3c1a097350a601d" hidden="1">#REF!</definedName>
    <definedName name="prolinks_be6ccc240c1942ddacd82eabe83f7dce" hidden="1">#REF!</definedName>
    <definedName name="prolinks_c1c21c05cfe24d59a7c7241579e35050" hidden="1">#REF!</definedName>
    <definedName name="prolinks_c1e77765d9a74d98be4603ff3a572736" hidden="1">#REF!</definedName>
    <definedName name="prolinks_c25bde1030164c5b8e968bd3e4d28326" hidden="1">#REF!</definedName>
    <definedName name="prolinks_c2cfd82789804eca8fbca3943fd96c0f" hidden="1">#REF!</definedName>
    <definedName name="prolinks_c3d791d286314f0090bc477caab42538" hidden="1">#REF!</definedName>
    <definedName name="prolinks_c3e23f0b6fd74a638fae268754a16fc8" hidden="1">#REF!</definedName>
    <definedName name="prolinks_c5daeb5da4a64becba805a56bbce0ed1" hidden="1">#REF!</definedName>
    <definedName name="prolinks_c61c6d1900c84d6abccf0a181ca8d09c" hidden="1">#REF!</definedName>
    <definedName name="prolinks_c650d689a64c42c08f52daebd129d46f" hidden="1">#REF!</definedName>
    <definedName name="prolinks_c68b53764f3b43fca982e5243ed0ca78" hidden="1">#REF!</definedName>
    <definedName name="prolinks_c695d148c5a6495198555ddb4706efc9" hidden="1">#REF!</definedName>
    <definedName name="prolinks_c702fc7efe184d4a98674b3652bb9bea" hidden="1">#REF!</definedName>
    <definedName name="prolinks_c8c573e37f9c41c8a55caa8efdb3e7d9" hidden="1">#REF!</definedName>
    <definedName name="prolinks_caf574b9b3164e30983bec42c074fa31" hidden="1">#REF!</definedName>
    <definedName name="prolinks_cb946c2ecf5f4f6e819b90ce1263334d" hidden="1">#REF!</definedName>
    <definedName name="prolinks_cbf36de1bf8c4fb7b9f904d6c7bdafcc" hidden="1">#REF!</definedName>
    <definedName name="prolinks_cd878328be65483dba446f7302574ea1" hidden="1">#REF!</definedName>
    <definedName name="prolinks_cfeff3a7fbfb48b1a5be4c49bfc67b6b" hidden="1">#REF!</definedName>
    <definedName name="prolinks_d053d3b1f75a4e428025ce55ffd13fcc" hidden="1">#REF!</definedName>
    <definedName name="prolinks_d1d059814a1b465a93683a5651cd68d6" hidden="1">#REF!</definedName>
    <definedName name="prolinks_d1f5005535b248f792d774ef22819f4f" hidden="1">#REF!</definedName>
    <definedName name="prolinks_d3843a65e27f4c15820d3f7b9bef70aa" hidden="1">#REF!</definedName>
    <definedName name="prolinks_d430a28fcd734a32a849422e41b8b502" hidden="1">#REF!</definedName>
    <definedName name="prolinks_d54ecc0b720b4a0b8a17bb0b4c941147" hidden="1">#REF!</definedName>
    <definedName name="prolinks_d736503c59f2449dad007baf0c1f3fde" hidden="1">#REF!</definedName>
    <definedName name="prolinks_d82b30e5e5784224b1f67110f2865fe3" hidden="1">#REF!</definedName>
    <definedName name="prolinks_d92168e36c604dfca875b77078b5aa10" hidden="1">#REF!</definedName>
    <definedName name="prolinks_db1b1f4c832e4a01b5999ea4353409a8" hidden="1">#REF!</definedName>
    <definedName name="prolinks_db8f2c49a2684648ab0f0c1d9e1d8760" hidden="1">#REF!</definedName>
    <definedName name="prolinks_dc6ec64f394a46de94809861b326cce1" hidden="1">#REF!</definedName>
    <definedName name="prolinks_dcadfb8a82f04769869b56f1c9546292" hidden="1">#REF!</definedName>
    <definedName name="prolinks_dd797c1d987146af98c27eb2e35e9473" hidden="1">#REF!</definedName>
    <definedName name="prolinks_de6660a5dcc04efc948918eaa5091927" hidden="1">#REF!</definedName>
    <definedName name="prolinks_def56f49f0dc41669e5ae7d7bf0bb680" hidden="1">#REF!</definedName>
    <definedName name="prolinks_e20e985691cb4c79bb867a35862dbb81" hidden="1">#REF!</definedName>
    <definedName name="prolinks_e2a65fa0447749d9b9a903a5dcc455a2" hidden="1">#REF!</definedName>
    <definedName name="prolinks_e2bd33cd1d50468b93148c3b27bb79a2" hidden="1">#REF!</definedName>
    <definedName name="prolinks_e67022ae9b4f4e5c9ffae3d1ff43bee0" hidden="1">#REF!</definedName>
    <definedName name="prolinks_e71d3ade598747f9a03d91b5694d7822" hidden="1">#REF!</definedName>
    <definedName name="prolinks_ecc1d25a44654fe0a701c3b3bf8e4e85" hidden="1">#REF!</definedName>
    <definedName name="prolinks_ece02e3d0a304a61b645755706b2ecc5" hidden="1">#REF!</definedName>
    <definedName name="prolinks_ef06c7e55aa7474da4f042de8d92bb4d" hidden="1">#REF!</definedName>
    <definedName name="prolinks_ef2655fbf855420589fc8da69cb63594" hidden="1">#REF!</definedName>
    <definedName name="prolinks_ef5db27acfb542dc8fdab1be0e038e9a" hidden="1">#REF!</definedName>
    <definedName name="prolinks_ef862eb8b75f4cc4af7a80c23913d175" hidden="1">#REF!</definedName>
    <definedName name="prolinks_efb36acfe10942089dded3b3cf316342" hidden="1">#REF!</definedName>
    <definedName name="prolinks_f064307207b4414b8b4a5797940e37d6" hidden="1">#REF!</definedName>
    <definedName name="prolinks_f171be9c148b41d589a23321ad9ce872" hidden="1">#REF!</definedName>
    <definedName name="prolinks_f333b9a53274412c9ae812f2087c50e2" hidden="1">#REF!</definedName>
    <definedName name="prolinks_f3dc116035704134b3947b22a6d98123" hidden="1">#REF!</definedName>
    <definedName name="prolinks_f3f7fd0133074abfb867812c60be7f1f" hidden="1">#REF!</definedName>
    <definedName name="prolinks_f64a4b6c34b3408e8880694fc284c2f3" hidden="1">#REF!</definedName>
    <definedName name="prolinks_f684a0938b684a719cff6dc96dcf2711" hidden="1">#REF!</definedName>
    <definedName name="prolinks_f770f6a7b9a84f599f1b7a819a2b7189" hidden="1">#REF!</definedName>
    <definedName name="prolinks_f8cc174a2a464ee2a0107c9382cff33b" hidden="1">#REF!</definedName>
    <definedName name="prolinks_f97e40a3d5314b22a6a5c4c57cc8e86a" hidden="1">#REF!</definedName>
    <definedName name="prolinks_fc3a8c05d65246248965b0db863f7c3d" hidden="1">#REF!</definedName>
    <definedName name="prolinks_fd0f039ba67e418b86ed10f8ce1ef4ad" hidden="1">#REF!</definedName>
    <definedName name="prolinks_fd167e58e6824ea8a2f3e4a6e7e0ad8f" hidden="1">#REF!</definedName>
    <definedName name="prolinks_fd90ed3f087c4031bece7e4b74226d1c" hidden="1">#REF!</definedName>
    <definedName name="PUB_UserID" hidden="1">"MAYERX"</definedName>
    <definedName name="q" hidden="1">#REF!</definedName>
    <definedName name="rarar" hidden="1">#REF!</definedName>
    <definedName name="RCArea" hidden="1">#REF!</definedName>
    <definedName name="Retail" hidden="1">{"MANAGERS",#N/A,FALSE,"MNGRPT1";"cwi",#N/A,FALSE,"MNGRPT1"}</definedName>
    <definedName name="RLAINPUT_DebtLoan1Funding" hidden="1">#REF!,#REF!,#REF!</definedName>
    <definedName name="RLAINPUT_DebtLoan2Funding" hidden="1">#REF!,#REF!,#REF!</definedName>
    <definedName name="RLAINPUT_DebtLoan3Funding" hidden="1">#REF!,#REF!,#REF!</definedName>
    <definedName name="RLAINPUT_EquityCatchUp1" hidden="1">#REF!,#REF!</definedName>
    <definedName name="RLAINPUT_EquityCatchUp2" hidden="1">#REF!,#REF!</definedName>
    <definedName name="RLAINPUT_EquityCatchUp3" hidden="1">#REF!,#REF!</definedName>
    <definedName name="RLAINPUT_EquityInputs" hidden="1">#REF!,#REF!,#REF!</definedName>
    <definedName name="RLAINPUT_EquityPartnerNames" hidden="1">#REF!,#REF!</definedName>
    <definedName name="RLAINPUT_EquityRemainder" hidden="1">#REF!,#REF!</definedName>
    <definedName name="RLAINPUT_EquityTier1" hidden="1">#REF!,#REF!</definedName>
    <definedName name="RLAINPUT_EquityTier2" hidden="1">#REF!,#REF!,#REF!</definedName>
    <definedName name="RLAINPUT_EquityTier3" hidden="1">#REF!,#REF!,#REF!</definedName>
    <definedName name="RLAINPUT_InPlaceRecovery" hidden="1">#REF!</definedName>
    <definedName name="RLAINPUT_Loan3Refi" hidden="1">#REF!,#REF!,#REF!</definedName>
    <definedName name="Rwvu.all." hidden="1">#REF!</definedName>
    <definedName name="Rwvu.rollinghalfyear." hidden="1">#REF!,#REF!,#REF!</definedName>
    <definedName name="Rwvu.yearly." hidden="1">#REF!,#REF!,#REF!,#REF!,#REF!</definedName>
    <definedName name="SAPBEXdnldView" hidden="1">"3WTNT51I4BUYJFNM75JIDAQCM"</definedName>
    <definedName name="SAPBEXrevision" hidden="1">3</definedName>
    <definedName name="SAPBEXsysID" hidden="1">"BP1"</definedName>
    <definedName name="SAPBEXwbID" hidden="1">"6L0H1C6J6MOEYOIBS1DU143C0"</definedName>
    <definedName name="sdfg" hidden="1">#REF!</definedName>
    <definedName name="sencount" hidden="1">1</definedName>
    <definedName name="solver_adj" hidden="1">#REF!,#REF!</definedName>
    <definedName name="solver_cvg" hidden="1">0.0001</definedName>
    <definedName name="solver_drv" hidden="1">1</definedName>
    <definedName name="solver_est" hidden="1">1</definedName>
    <definedName name="solver_itr" hidden="1">100</definedName>
    <definedName name="solver_lhs1" hidden="1">#REF!</definedName>
    <definedName name="solver_lhs2" hidden="1">#REF!</definedName>
    <definedName name="solver_lin" hidden="1">2</definedName>
    <definedName name="solver_neg" hidden="1">2</definedName>
    <definedName name="solver_num" hidden="1">2</definedName>
    <definedName name="solver_nwt" hidden="1">1</definedName>
    <definedName name="solver_opt" hidden="1">#REF!</definedName>
    <definedName name="solver_pre" hidden="1">0.1</definedName>
    <definedName name="solver_rel1" hidden="1">2</definedName>
    <definedName name="solver_rel2" hidden="1">2</definedName>
    <definedName name="solver_rhs1" hidden="1">7</definedName>
    <definedName name="solver_rhs2" hidden="1">7</definedName>
    <definedName name="solver_scl" hidden="1">2</definedName>
    <definedName name="solver_sho" hidden="1">2</definedName>
    <definedName name="solver_tim" hidden="1">100</definedName>
    <definedName name="solver_tol" hidden="1">0.1</definedName>
    <definedName name="solver_typ" hidden="1">3</definedName>
    <definedName name="solver_val" hidden="1">7</definedName>
    <definedName name="SpecialPrice" hidden="1">#REF!</definedName>
    <definedName name="SSSSS" localSheetId="5" hidden="1">{#N/A,#N/A,TRUE,"Cover sheet";#N/A,#N/A,TRUE,"Summary";#N/A,#N/A,TRUE,"Key Assumptions";#N/A,#N/A,TRUE,"Profit &amp; Loss";#N/A,#N/A,TRUE,"Balance Sheet";#N/A,#N/A,TRUE,"Cashflow";#N/A,#N/A,TRUE,"IRR";#N/A,#N/A,TRUE,"Ratios";#N/A,#N/A,TRUE,"Debt analysis"}</definedName>
    <definedName name="SSSSS" hidden="1">{#N/A,#N/A,TRUE,"Cover sheet";#N/A,#N/A,TRUE,"Summary";#N/A,#N/A,TRUE,"Key Assumptions";#N/A,#N/A,TRUE,"Profit &amp; Loss";#N/A,#N/A,TRUE,"Balance Sheet";#N/A,#N/A,TRUE,"Cashflow";#N/A,#N/A,TRUE,"IRR";#N/A,#N/A,TRUE,"Ratios";#N/A,#N/A,TRUE,"Debt analysis"}</definedName>
    <definedName name="stef" localSheetId="5" hidden="1">{#N/A,#N/A,TRUE,"Cover sheet";#N/A,#N/A,TRUE,"Summary";#N/A,#N/A,TRUE,"Key Assumptions";#N/A,#N/A,TRUE,"Profit &amp; Loss";#N/A,#N/A,TRUE,"Balance Sheet";#N/A,#N/A,TRUE,"Cashflow";#N/A,#N/A,TRUE,"IRR";#N/A,#N/A,TRUE,"Ratios";#N/A,#N/A,TRUE,"Debt analysis"}</definedName>
    <definedName name="stef" hidden="1">{#N/A,#N/A,TRUE,"Cover sheet";#N/A,#N/A,TRUE,"Summary";#N/A,#N/A,TRUE,"Key Assumptions";#N/A,#N/A,TRUE,"Profit &amp; Loss";#N/A,#N/A,TRUE,"Balance Sheet";#N/A,#N/A,TRUE,"Cashflow";#N/A,#N/A,TRUE,"IRR";#N/A,#N/A,TRUE,"Ratios";#N/A,#N/A,TRUE,"Debt analysis"}</definedName>
    <definedName name="Swvu.all." hidden="1">#REF!</definedName>
    <definedName name="Swvu.rollinghalfyear." hidden="1">#REF!,#REF!,#REF!,#REF!</definedName>
    <definedName name="Swvu.yearly." hidden="1">#REF!,#REF!</definedName>
    <definedName name="tbl_ProdInfo" hidden="1">#REF!</definedName>
    <definedName name="test1" hidden="1">{TRUE,TRUE,-1.25,-0.5,597.75,370.5,FALSE,FALSE,TRUE,TRUE,0,1,10,25,26,0.826923076923077,1,1,TRUE,TRUE,1,TRUE,1,FALSE,100,"Swvu.yearly.","ACwvu.yearly.",1,FALSE,FALSE,0.748031496062992,0.748031496062992,0.984251968503937,0.984251968503937,1,"","Page &amp;p",FALSE,FALSE,FALSE,FALSE,1,70,#N/A,#N/A,"=R25C10:R89C19","=C1","Rwvu.yearly.",#N/A,FALSE,FALSE}</definedName>
    <definedName name="TextRefCopyRangeCount" hidden="1">4</definedName>
    <definedName name="TLA.003" hidden="1">#REF!</definedName>
    <definedName name="TLA.004" hidden="1">#REF!</definedName>
    <definedName name="u" hidden="1">{"Acumulado",#N/A,FALSE,"Acumulado"}</definedName>
    <definedName name="Unit" hidden="1">{"Acumulado",#N/A,FALSE,"Acumulado"}</definedName>
    <definedName name="Vendas" hidden="1">{"Mes Div 2",#N/A,FALSE,"Mes Diversos 2"}</definedName>
    <definedName name="we" hidden="1">#REF!</definedName>
    <definedName name="whoknows" hidden="1">{#N/A,#N/A,FALSE,"Aging Summary";#N/A,#N/A,FALSE,"Ratio Analysis";#N/A,#N/A,FALSE,"Test 120 Day Accts";#N/A,#N/A,FALSE,"Tickmarks"}</definedName>
    <definedName name="whoknows23" hidden="1">{#N/A,#N/A,FALSE,"Aging Summary";#N/A,#N/A,FALSE,"Ratio Analysis";#N/A,#N/A,FALSE,"Test 120 Day Accts";#N/A,#N/A,FALSE,"Tickmarks"}</definedName>
    <definedName name="whoknowsagain14" hidden="1">{"PAGE1",#N/A,FALSE,"BID (3)";"PAGE2",#N/A,FALSE,"BID (3)"}</definedName>
    <definedName name="whoknowsagain4" hidden="1">{"PAGE1",#N/A,FALSE,"BID (3)";"PAGE2",#N/A,FALSE,"BID (3)"}</definedName>
    <definedName name="WRN" localSheetId="5" hidden="1">{"Contents",#N/A,FALSE,"Contents";#N/A,#N/A,FALSE,"Key Data";"P&amp;L",#N/A,FALSE,"Contents";"Overheads 1",#N/A,FALSE,"Contents";"Overheads 2",#N/A,FALSE,"Contents";"Balance Sheet",#N/A,FALSE,"Contents";"Cash Flow",#N/A,FALSE,"Contents";"Bank Rec",#N/A,FALSE,"Contents";"net worth ratio",#N/A,FALSE,"Contents";"gearing ratio",#N/A,FALSE,"Contents";"Fixed Asset Ratio",#N/A,FALSE,"Contents";"interest cover ratio",#N/A,FALSE,"Contents";"MAT Graph",#N/A,FALSE,"Contents";#N/A,#N/A,FALSE,"Vol. analysis";"weekly sales report",#N/A,FALSE,"Contents";"Vol/mix analysis",#N/A,FALSE,"Contents";"commission return",#N/A,FALSE,"Contents";"commission/barrel Graph",#N/A,FALSE,"Contents";"Rentroll summary",#N/A,FALSE,"Contents";"rentroll graph",#N/A,FALSE,"Contents";"overdue rent graph",#N/A,FALSE,"Contents";"substantive graph",#N/A,FALSE,"Contents";#N/A,#N/A,FALSE,"PL cons";#N/A,#N/A,FALSE,"BS cons";#N/A,#N/A,FALSE,"CF cons"}</definedName>
    <definedName name="WRN" hidden="1">{"Contents",#N/A,FALSE,"Contents";#N/A,#N/A,FALSE,"Key Data";"P&amp;L",#N/A,FALSE,"Contents";"Overheads 1",#N/A,FALSE,"Contents";"Overheads 2",#N/A,FALSE,"Contents";"Balance Sheet",#N/A,FALSE,"Contents";"Cash Flow",#N/A,FALSE,"Contents";"Bank Rec",#N/A,FALSE,"Contents";"net worth ratio",#N/A,FALSE,"Contents";"gearing ratio",#N/A,FALSE,"Contents";"Fixed Asset Ratio",#N/A,FALSE,"Contents";"interest cover ratio",#N/A,FALSE,"Contents";"MAT Graph",#N/A,FALSE,"Contents";#N/A,#N/A,FALSE,"Vol. analysis";"weekly sales report",#N/A,FALSE,"Contents";"Vol/mix analysis",#N/A,FALSE,"Contents";"commission return",#N/A,FALSE,"Contents";"commission/barrel Graph",#N/A,FALSE,"Contents";"Rentroll summary",#N/A,FALSE,"Contents";"rentroll graph",#N/A,FALSE,"Contents";"overdue rent graph",#N/A,FALSE,"Contents";"substantive graph",#N/A,FALSE,"Contents";#N/A,#N/A,FALSE,"PL cons";#N/A,#N/A,FALSE,"BS cons";#N/A,#N/A,FALSE,"CF cons"}</definedName>
    <definedName name="wrn.A._.Administrativos." hidden="1">{"Administrativos A",#N/A,FALSE,"Administrativos A"}</definedName>
    <definedName name="wrn.A._.Amortizaçoes." hidden="1">{"Amortizaçoes A",#N/A,FALSE,"Amortizações A"}</definedName>
    <definedName name="wrn.A._.C._.Variaveis." hidden="1">{"C Variaveis A",#N/A,FALSE,"C Variaveis A"}</definedName>
    <definedName name="wrn.A._.Comerciais." hidden="1">{"Comerciais A",#N/A,FALSE,"Comerciais A"}</definedName>
    <definedName name="wrn.A._.Dem._.Resultados." hidden="1">{"Dem Resultados A",#N/A,FALSE,"Dem Resultados  A"}</definedName>
    <definedName name="wrn.A._.Manut._.e._.Serviços." hidden="1">{"Manut e Serviços A",#N/A,FALSE,"Manut e Serviços A"}</definedName>
    <definedName name="wrn.A._.MO._.Industrial." hidden="1">{"MO Industrial A",#N/A,FALSE,"Mao obra industrial A"}</definedName>
    <definedName name="wrn.A._.Otros._.Egresos." hidden="1">{"Otros Egresos A",#N/A,FALSE,"Otros egresos  A"}</definedName>
    <definedName name="wrn.A._.Otros._.Ingresos." hidden="1">{"Otros Ingresos A",#N/A,FALSE,"Otros ingresos  A"}</definedName>
    <definedName name="wrn.A._.Total." hidden="1">{"Dem Resultados A",#N/A,FALSE,"Dem Resultados  A";"Vendas Volume A",#N/A,FALSE,"Vendas Volume A";"Vendas Liquidas A",#N/A,FALSE,"Vendas Liquidas A";"C Variaveis A",#N/A,FALSE,"C Variaveis A";"MO Industrial A",#N/A,FALSE,"Mao obra industrial A";"Manut e Serviços A",#N/A,FALSE,"Manut e Serviços A";"Amortizaçoes A",#N/A,FALSE,"Amortizações A";"Comerciais A",#N/A,FALSE,"Comerciais A";"Administrativos A",#N/A,FALSE,"Administrativos A";"Otros Ingresos A",#N/A,FALSE,"Otros ingresos  A";"Otros Egresos A",#N/A,FALSE,"Otros egresos  A"}</definedName>
    <definedName name="wrn.A._.Vendas._.Liquidas." hidden="1">{"Vendas Liquidas A",#N/A,FALSE,"Vendas Liquidas A"}</definedName>
    <definedName name="wrn.A._.Vendas._.Volume." hidden="1">{"Vendas Volume A",#N/A,FALSE,"Vendas Volume A"}</definedName>
    <definedName name="wrn.Accounts." hidden="1">{"turnover",#N/A,FALSE;"profits",#N/A,FALSE;"cash",#N/A,FALSE}</definedName>
    <definedName name="wrn.Acum._.Div._.1." hidden="1">{"Acum Div 1",#N/A,FALSE,"Acum Diversos 1"}</definedName>
    <definedName name="wrn.Acum._.Div._.2." hidden="1">{"Acum Div 2",#N/A,FALSE,"Acum Diversos 2"}</definedName>
    <definedName name="wrn.Acum._.Div._.3." hidden="1">{"Acum Div 3",#N/A,FALSE,"Acum Diversos 3"}</definedName>
    <definedName name="wrn.Acumulado." hidden="1">{"Acumulado",#N/A,FALSE,"Acumulado"}</definedName>
    <definedName name="wrn.aging." hidden="1">{#N/A,#N/A,FALSE,"Aging Summary";#N/A,#N/A,FALSE,"Ratio Analysis";#N/A,#N/A,FALSE,"Test 120 Day Accts";#N/A,#N/A,FALSE,"Tickmarks"}</definedName>
    <definedName name="wrn.Aging._.and._.Trend._.Analysis." hidden="1">{#N/A,#N/A,FALSE,"Aging Summary";#N/A,#N/A,FALSE,"Ratio Analysis";#N/A,#N/A,FALSE,"Test 120 Day Accts";#N/A,#N/A,FALSE,"Tickmarks"}</definedName>
    <definedName name="wrn.ALL." localSheetId="5" hidden="1">{#N/A,#N/A,TRUE,"3-Gateway";#N/A,#N/A,TRUE,"4-ByrkitAve.Bus.Ctr.";#N/A,#N/A,TRUE,"5- 851 Marietta Assoc.";#N/A,#N/A,TRUE,"6-Fesslers";#N/A,#N/A,TRUE,"7- 3300 Sample";#N/A,#N/A,TRUE,"8-Blackthorn-Wells";#N/A,#N/A,TRUE,"9-BlackthornNimtz";#N/A,#N/A,TRUE,"10-Willow Trace II";#N/A,#N/A,TRUE,"11-Homeland";#N/A,#N/A,TRUE,"12-Dugdale";#N/A,#N/A,TRUE,"13-Park Center";#N/A,#N/A,TRUE,"14-Michiana";#N/A,#N/A,TRUE,"15-LTV (Niles)";#N/A,#N/A,TRUE,"16-Niles-Colfax";#N/A,#N/A,TRUE,"17-Colfax Place";#N/A,#N/A,TRUE,"18-Pru Office"}</definedName>
    <definedName name="wrn.ALL." hidden="1">{#N/A,#N/A,TRUE,"3-Gateway";#N/A,#N/A,TRUE,"4-ByrkitAve.Bus.Ctr.";#N/A,#N/A,TRUE,"5- 851 Marietta Assoc.";#N/A,#N/A,TRUE,"6-Fesslers";#N/A,#N/A,TRUE,"7- 3300 Sample";#N/A,#N/A,TRUE,"8-Blackthorn-Wells";#N/A,#N/A,TRUE,"9-BlackthornNimtz";#N/A,#N/A,TRUE,"10-Willow Trace II";#N/A,#N/A,TRUE,"11-Homeland";#N/A,#N/A,TRUE,"12-Dugdale";#N/A,#N/A,TRUE,"13-Park Center";#N/A,#N/A,TRUE,"14-Michiana";#N/A,#N/A,TRUE,"15-LTV (Niles)";#N/A,#N/A,TRUE,"16-Niles-Colfax";#N/A,#N/A,TRUE,"17-Colfax Place";#N/A,#N/A,TRUE,"18-Pru Office"}</definedName>
    <definedName name="wrn.All._.Pages."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wrn.Back._.Page." hidden="1">{"Back Page",#N/A,FALSE,"Front and Back"}</definedName>
    <definedName name="wrn.BID." hidden="1">{"PAGE1",#N/A,FALSE,"BID (3)";"PAGE2",#N/A,FALSE,"BID (3)"}</definedName>
    <definedName name="wrn.bid2" hidden="1">{"PAGE1",#N/A,FALSE,"BID (3)";"PAGE2",#N/A,FALSE,"BID (3)"}</definedName>
    <definedName name="wrn.cu" hidden="1">{"Cover",#N/A,FALSE,"Cover";"Fact Sheet",#N/A,FALSE,"Fact Sheet";"ddm",#N/A,FALSE,"DDM";"Kcs",#N/A,FALSE,"Forecast K";"IS",#N/A,FALSE,"Annual";"BS",#N/A,FALSE,"Annual";"CF",#N/A,FALSE,"Annual";"Inputs",#N/A,FALSE,"Annual";"Inputs2",#N/A,FALSE,"Annual";"Europe ROW",#N/A,FALSE,"Cosm. ";"US Asia",#N/A,FALSE,"Cosm. ";"Product table",#N/A,FALSE,"Synth.";"Lorex",#N/A,FALSE,"Synthelabo"}</definedName>
    <definedName name="wrn.Detailed._.P._.and._.L." hidden="1">{"P and L Detail Page 1",#N/A,FALSE,"Data";"P and L Detail Page 2",#N/A,FALSE,"Data"}</definedName>
    <definedName name="wrn.Financial._.Output." hidden="1">{"P and L",#N/A,FALSE,"Financial Output";"Cashflow",#N/A,FALSE,"Financial Output";"Balance Sheet",#N/A,FALSE,"Financial Output"}</definedName>
    <definedName name="wrn.Five._.Year._.Record." hidden="1">{"Five Year Record",#N/A,FALSE,"Front and Back"}</definedName>
    <definedName name="wrn.Front._.Page." hidden="1">{"Front Page",#N/A,FALSE,"Front and Back"}</definedName>
    <definedName name="wrn.full." localSheetId="5" hidden="1">{#N/A,#N/A,FALSE,"Cover";#N/A,#N/A,FALSE,"Pres ";#N/A,#N/A,FALSE,"Outputs";#N/A,#N/A,FALSE,"Inputs";#N/A,#N/A,FALSE,"Calc"}</definedName>
    <definedName name="wrn.full." hidden="1">{#N/A,#N/A,FALSE,"Cover";#N/A,#N/A,FALSE,"Pres ";#N/A,#N/A,FALSE,"Outputs";#N/A,#N/A,FALSE,"Inputs";#N/A,#N/A,FALSE,"Calc"}</definedName>
    <definedName name="wrn.Geographic._.Trends." hidden="1">{"Geographic P1",#N/A,FALSE,"Division &amp; Geog"}</definedName>
    <definedName name="wrn.Loans." hidden="1">{"Summary report",#N/A,FALSE,"BBH";"Details - chart",#N/A,FALSE,"BBH"}</definedName>
    <definedName name="wrn.LOreal." hidden="1">{"Cover",#N/A,FALSE,"Cover";"Fact Sheet",#N/A,FALSE,"Fact Sheet";"ddm",#N/A,FALSE,"DDM";"Kcs",#N/A,FALSE,"Forecast K";"IS",#N/A,FALSE,"Annual";"BS",#N/A,FALSE,"Annual";"CF",#N/A,FALSE,"Annual";"Inputs",#N/A,FALSE,"Annual";"Inputs2",#N/A,FALSE,"Annual";"Europe ROW",#N/A,FALSE,"Cosm. ";"US Asia",#N/A,FALSE,"Cosm. ";"Product table",#N/A,FALSE,"Synth.";"Lorex",#N/A,FALSE,"Synthelabo"}</definedName>
    <definedName name="wrn.M._.Administrativos." hidden="1">{"Administrativos M",#N/A,FALSE,"Administrativos M"}</definedName>
    <definedName name="wrn.M._.Amortizaçoes." hidden="1">{"Amortizações M",#N/A,FALSE,"Amortizações  M"}</definedName>
    <definedName name="wrn.M._.C._.Variaveis." hidden="1">{"C Variaveis M",#N/A,FALSE,"C Variaveis  M"}</definedName>
    <definedName name="wrn.M._.Comerciais." hidden="1">{"Comerciais M",#N/A,FALSE,"Comerciais  M"}</definedName>
    <definedName name="wrn.M._.Dem._.Resultados." hidden="1">{"Dem Resultados M",#N/A,FALSE,"Dem Resultados  M"}</definedName>
    <definedName name="wrn.M._.Manut._.e._.Serviços." hidden="1">{"Manut e Serviços M",#N/A,FALSE,"Manut e Serviços  M"}</definedName>
    <definedName name="wrn.M._.MO._.Industrial." hidden="1">{"MO Industrial M",#N/A,FALSE,"Mao obra industrial  M"}</definedName>
    <definedName name="wrn.M._.Otros._.Egresos." hidden="1">{"Otros Egresos M",#N/A,FALSE,"Otros egresos  M"}</definedName>
    <definedName name="wrn.M._.Otros._.Ingresos." hidden="1">{"Otros Ingresos M",#N/A,FALSE,"Otros ingresos  M"}</definedName>
    <definedName name="wrn.M._.Total." hidden="1">{"Dem Resultados M",#N/A,FALSE,"Dem Resultados  M";"Vendas Volume M",#N/A,FALSE,"Vendas Volume M";"Vendas Liquidas M",#N/A,FALSE,"Vendas Liquidas  M";"C Variaveis M",#N/A,FALSE,"C Variaveis  M";"MO Industrial M",#N/A,FALSE,"Mao obra industrial  M";"Manut e Serviços M",#N/A,FALSE,"Manut e Serviços  M";"Amortizações M",#N/A,FALSE,"Amortizações  M";"Comerciais M",#N/A,FALSE,"Comerciais  M";"Administrativos M",#N/A,FALSE,"Administrativos M";"Otros Ingresos M",#N/A,FALSE,"Otros ingresos  M";"Otros Egresos M",#N/A,FALSE,"Otros egresos  M"}</definedName>
    <definedName name="wrn.M._.Vendas._.Liquidas." hidden="1">{"Vendas Liquidas M",#N/A,FALSE,"Vendas Liquidas  M"}</definedName>
    <definedName name="wrn.M._.Vendas._.Volume." hidden="1">{"Vendas Volume M",#N/A,FALSE,"Vendas Volume M"}</definedName>
    <definedName name="wrn.Mês." hidden="1">{"Mês",#N/A,FALSE,"Mês"}</definedName>
    <definedName name="wrn.Mes._.Div._.1." hidden="1">{"Mes Div 1",#N/A,FALSE,"Mes Diversos 1"}</definedName>
    <definedName name="wrn.Mes._.Div._.2." hidden="1">{"Mes Div 2",#N/A,FALSE,"Mes Diversos 2"}</definedName>
    <definedName name="wrn.Mes._.Div._.3." hidden="1">{"Mes Div 3",#N/A,FALSE,"Mes Diversos 3"}</definedName>
    <definedName name="wrn.MNGRPT." hidden="1">{"MANAGERS",#N/A,FALSE,"MNGRPT1";"cwi",#N/A,FALSE,"MNGRPT1"}</definedName>
    <definedName name="wrn.MONTHLY._.PERFORMANCE." localSheetId="5" hidden="1">{"cover2",#N/A,FALSE,"Cover";"outlook",#N/A,FALSE,"Outlook";"ep_p&amp;l",#N/A,FALSE," EP P&amp;L";"gross_profit",#N/A,FALSE,"Gross Profit";"overheads",#N/A,FALSE,"Overheads";"ep_bal_sheet",#N/A,FALSE,"EP Bal Sheet";"cap_chg",#N/A,FALSE,"Cap chg";"cash",#N/A,FALSE,"Cash";"work_cap",#N/A,FALSE,"Work Cap";"debtors",#N/A,FALSE,"Debtors";"add_info",#N/A,FALSE,"Add Info";"p&amp;l_trad",#N/A,FALSE,"P&amp;L trad";"bs_trad",#N/A,FALSE,"BS trad";"interco",#N/A,FALSE,"Interco"}</definedName>
    <definedName name="wrn.MONTHLY._.PERFORMANCE." hidden="1">{"cover2",#N/A,FALSE,"Cover";"outlook",#N/A,FALSE,"Outlook";"ep_p&amp;l",#N/A,FALSE," EP P&amp;L";"gross_profit",#N/A,FALSE,"Gross Profit";"overheads",#N/A,FALSE,"Overheads";"ep_bal_sheet",#N/A,FALSE,"EP Bal Sheet";"cap_chg",#N/A,FALSE,"Cap chg";"cash",#N/A,FALSE,"Cash";"work_cap",#N/A,FALSE,"Work Cap";"debtors",#N/A,FALSE,"Debtors";"add_info",#N/A,FALSE,"Add Info";"p&amp;l_trad",#N/A,FALSE,"P&amp;L trad";"bs_trad",#N/A,FALSE,"BS trad";"interco",#N/A,FALSE,"Interco"}</definedName>
    <definedName name="wrn.new._.DAC." hidden="1">{#N/A,#N/A,TRUE,"CF brut";#N/A,#N/A,TRUE,"CashFlow";#N/A,#N/A,TRUE,"RCE";#N/A,#N/A,TRUE,"amort"}</definedName>
    <definedName name="wrn.Report." localSheetId="5" hidden="1">{#N/A,#N/A,FALSE,"Loan Summary";#N/A,#N/A,FALSE,"NOI";"RR and Expir",#N/A,FALSE,"Rental";"Sales History",#N/A,FALSE,"Rental";#N/A,#N/A,FALSE,"Reserves"}</definedName>
    <definedName name="wrn.Report." hidden="1">{#N/A,#N/A,FALSE,"Loan Summary";#N/A,#N/A,FALSE,"NOI";"RR and Expir",#N/A,FALSE,"Rental";"Sales History",#N/A,FALSE,"Rental";#N/A,#N/A,FALSE,"Reserves"}</definedName>
    <definedName name="wrn.saf." hidden="1">{#N/A,#N/A,FALSE,"SAFILOR"}</definedName>
    <definedName name="wrn.V._.Volume._.1996." hidden="1">{"Vend Volume 96",#N/A,FALSE,"Vendas Volume 1996"}</definedName>
    <definedName name="wrn.whole._.report." localSheetId="5" hidden="1">{"Contents",#N/A,FALSE,"Contents";#N/A,#N/A,FALSE,"Key Data";"P&amp;L",#N/A,FALSE,"Contents";"Overheads 1",#N/A,FALSE,"Contents";"Overheads 2",#N/A,FALSE,"Contents";"Balance Sheet",#N/A,FALSE,"Contents";"Cash Flow",#N/A,FALSE,"Contents";"Bank Rec",#N/A,FALSE,"Contents";"net worth ratio",#N/A,FALSE,"Contents";"gearing ratio",#N/A,FALSE,"Contents";"Fixed Asset Ratio",#N/A,FALSE,"Contents";"interest cover ratio",#N/A,FALSE,"Contents";"MAT Graph",#N/A,FALSE,"Contents";#N/A,#N/A,FALSE,"Vol. analysis";"weekly sales report",#N/A,FALSE,"Contents";"Vol/mix analysis",#N/A,FALSE,"Contents";"commission return",#N/A,FALSE,"Contents";"commission/barrel Graph",#N/A,FALSE,"Contents";"Rentroll summary",#N/A,FALSE,"Contents";"rentroll graph",#N/A,FALSE,"Contents";"overdue rent graph",#N/A,FALSE,"Contents";"substantive graph",#N/A,FALSE,"Contents";#N/A,#N/A,FALSE,"PL cons";#N/A,#N/A,FALSE,"BS cons";#N/A,#N/A,FALSE,"CF cons"}</definedName>
    <definedName name="wrn.whole._.report." hidden="1">{"Contents",#N/A,FALSE,"Contents";#N/A,#N/A,FALSE,"Key Data";"P&amp;L",#N/A,FALSE,"Contents";"Overheads 1",#N/A,FALSE,"Contents";"Overheads 2",#N/A,FALSE,"Contents";"Balance Sheet",#N/A,FALSE,"Contents";"Cash Flow",#N/A,FALSE,"Contents";"Bank Rec",#N/A,FALSE,"Contents";"net worth ratio",#N/A,FALSE,"Contents";"gearing ratio",#N/A,FALSE,"Contents";"Fixed Asset Ratio",#N/A,FALSE,"Contents";"interest cover ratio",#N/A,FALSE,"Contents";"MAT Graph",#N/A,FALSE,"Contents";#N/A,#N/A,FALSE,"Vol. analysis";"weekly sales report",#N/A,FALSE,"Contents";"Vol/mix analysis",#N/A,FALSE,"Contents";"commission return",#N/A,FALSE,"Contents";"commission/barrel Graph",#N/A,FALSE,"Contents";"Rentroll summary",#N/A,FALSE,"Contents";"rentroll graph",#N/A,FALSE,"Contents";"overdue rent graph",#N/A,FALSE,"Contents";"substantive graph",#N/A,FALSE,"Contents";#N/A,#N/A,FALSE,"PL cons";#N/A,#N/A,FALSE,"BS cons";#N/A,#N/A,FALSE,"CF cons"}</definedName>
    <definedName name="wrn.YTD." hidden="1">{#N/A,#N/A,FALSE,"YTD"}</definedName>
    <definedName name="wrn.ytd.4" hidden="1">{#N/A,#N/A,FALSE,"YTD"}</definedName>
    <definedName name="wrn.ytd.t6" hidden="1">{#N/A,#N/A,FALSE,"YTD"}</definedName>
    <definedName name="wrn.ytd4" hidden="1">{#N/A,#N/A,FALSE,"YTD"}</definedName>
    <definedName name="wvu.all." hidden="1">{TRUE,TRUE,-1.25,-0.5,597.75,370.5,FALSE,FALSE,TRUE,TRUE,0,1,10,25,69,0.826923076923077,1,2,TRUE,TRUE,1,TRUE,1,FALSE,100,"Swvu.all.","ACwvu.all.",1,FALSE,FALSE,0.748031496062992,0.748031496062992,0.984251968503937,0.984251968503937,1,"","Page &amp;p",FALSE,FALSE,FALSE,FALSE,1,70,#N/A,#N/A,"=R25C10:R89C17","=C1","Rwvu.all.",#N/A,FALSE,FALSE}</definedName>
    <definedName name="wvu.cash." hidden="1">{TRUE,TRUE,-1.25,-15.5,456.75,279.75,FALSE,FALSE,TRUE,TRUE,0,1,18,1,199,6,3,4,TRUE,TRUE,3,TRUE,1,TRUE,100,"Swvu.cash.","ACwvu.cash.",1,FALSE,FALSE,0.511811023622047,0.511811023622047,0.511811023622047,0.511811023622047,1,"","",FALSE,FALSE,FALSE,FALSE,1,#N/A,1,1,#DIV/0!,FALSE,"Rwvu.cash.",#N/A,FALSE,FALSE}</definedName>
    <definedName name="wvu.profits." hidden="1">{TRUE,TRUE,-1.25,-15.5,456.75,279.75,FALSE,FALSE,TRUE,TRUE,0,1,21,1,127,6,3,4,TRUE,TRUE,3,TRUE,1,TRUE,100,"Swvu.profits.","ACwvu.profits.",1,FALSE,FALSE,0.511811023622047,0.511811023622047,0.511811023622047,0.511811023622047,1,"","",FALSE,FALSE,FALSE,FALSE,1,#N/A,1,1,#DIV/0!,FALSE,"Rwvu.profits.",#N/A,FALSE,FALSE}</definedName>
    <definedName name="wvu.rollinghalfyear." hidden="1">{TRUE,TRUE,-1.25,-0.5,597.75,370.5,FALSE,FALSE,TRUE,TRUE,0,1,11,25,69,0.826923076923077,1,2,TRUE,TRUE,1,TRUE,1,FALSE,100,"Swvu.rollinghalfyear.","ACwvu.rollinghalfyear.",1,FALSE,FALSE,0.748031496062992,0.748031496062992,0.984251968503937,0.984251968503937,1,"","Page &amp;p",FALSE,FALSE,FALSE,FALSE,1,70,#N/A,#N/A,"=R25C10:R89C17","=C1","Rwvu.rollinghalfyear.",#N/A,FALSE,FALSE}</definedName>
    <definedName name="wvu.turnover." hidden="1">{TRUE,TRUE,-1.25,-15.5,456.75,279.75,FALSE,FALSE,TRUE,TRUE,0,1,8,1,4,6,3,4,TRUE,TRUE,3,TRUE,1,TRUE,100,"Swvu.turnover.","ACwvu.turnover.",1,FALSE,FALSE,0.511811023622047,0.511811023622047,0.511811023622047,0.511811023622047,1,"","",FALSE,FALSE,FALSE,FALSE,1,#N/A,1,1,#DIV/0!,FALSE,"Rwvu.turnover.",#N/A,FALSE,FALSE}</definedName>
    <definedName name="wvu.yearly." hidden="1">{TRUE,TRUE,-1.25,-0.5,597.75,370.5,FALSE,FALSE,TRUE,TRUE,0,1,10,25,26,0.826923076923077,1,1,TRUE,TRUE,1,TRUE,1,FALSE,100,"Swvu.yearly.","ACwvu.yearly.",1,FALSE,FALSE,0.748031496062992,0.748031496062992,0.984251968503937,0.984251968503937,1,"","Page &amp;p",FALSE,FALSE,FALSE,FALSE,1,70,#N/A,#N/A,"=R25C10:R89C19","=C1","Rwvu.yearly.",#N/A,FALSE,FALSE}</definedName>
    <definedName name="wvu1.all" hidden="1">{TRUE,TRUE,-1.25,-0.5,597.75,370.5,FALSE,FALSE,TRUE,TRUE,0,1,10,25,69,0.826923076923077,1,2,TRUE,TRUE,1,TRUE,1,FALSE,100,"Swvu.all.","ACwvu.all.",1,FALSE,FALSE,0.748031496062992,0.748031496062992,0.984251968503937,0.984251968503937,1,"","Page &amp;p",FALSE,FALSE,FALSE,FALSE,1,70,#N/A,#N/A,"=R25C10:R89C17","=C1","Rwvu.all.",#N/A,FALSE,FALSE}</definedName>
    <definedName name="XRefColumnsCount" hidden="1">1</definedName>
    <definedName name="XRefCopyRangeCount" hidden="1">2</definedName>
    <definedName name="XRefPasteRangeCount" hidden="1">1</definedName>
    <definedName name="xxx" hidden="1">{#N/A,#N/A,FALSE,"YTD"}</definedName>
    <definedName name="xxx45" hidden="1">{#N/A,#N/A,FALSE,"YTD"}</definedName>
    <definedName name="xxx6" hidden="1">{#N/A,#N/A,FALSE,"YTD"}</definedName>
    <definedName name="xxx7" hidden="1">{#N/A,#N/A,FALSE,"YTD"}</definedName>
    <definedName name="xxxx" hidden="1">#REF!</definedName>
    <definedName name="yyy" hidden="1">{#N/A,#N/A,FALSE,"YTD"}</definedName>
    <definedName name="yyy0" hidden="1">{#N/A,#N/A,FALSE,"YTD"}</definedName>
    <definedName name="yyy2" hidden="1">{#N/A,#N/A,FALSE,"YTD"}</definedName>
    <definedName name="yyy8" hidden="1">{#N/A,#N/A,FALSE,"YTD"}</definedName>
    <definedName name="z" hidden="1">{#N/A,#N/A,TRUE,"CF brut";#N/A,#N/A,TRUE,"CashFlow";#N/A,#N/A,TRUE,"RCE";#N/A,#N/A,TRUE,"amort"}</definedName>
  </definedNames>
  <calcPr calcId="191029" calcMode="manual"/>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6" i="34" l="1"/>
  <c r="E6" i="34"/>
  <c r="J66" i="105"/>
  <c r="K66" i="105"/>
  <c r="L66" i="105"/>
  <c r="M66" i="105"/>
  <c r="I66" i="105"/>
  <c r="N11" i="105"/>
  <c r="L72" i="105"/>
  <c r="K72" i="105"/>
  <c r="J72" i="105"/>
  <c r="I72" i="105"/>
  <c r="L40" i="105"/>
  <c r="K40" i="105"/>
  <c r="J40" i="105"/>
  <c r="I40" i="105"/>
  <c r="I74" i="153"/>
  <c r="H117" i="34"/>
  <c r="C9" i="46"/>
  <c r="C15" i="46" s="1"/>
  <c r="C8" i="46"/>
  <c r="C14" i="46" s="1"/>
  <c r="C7" i="46"/>
  <c r="C13" i="46" s="1"/>
  <c r="C6" i="46"/>
  <c r="C12" i="46" s="1"/>
  <c r="Q40" i="151"/>
  <c r="Q39" i="151"/>
  <c r="I39" i="151"/>
  <c r="Q38" i="151"/>
  <c r="Q35" i="151"/>
  <c r="Q34" i="151"/>
  <c r="Q33" i="151"/>
  <c r="Q30" i="151"/>
  <c r="Q27" i="151"/>
  <c r="Q24" i="151"/>
  <c r="Q23" i="151"/>
  <c r="Q22" i="151"/>
  <c r="I9" i="153" l="1"/>
  <c r="I9" i="99"/>
  <c r="E503" i="153" l="1"/>
  <c r="E495" i="153"/>
  <c r="E487" i="153"/>
  <c r="E479" i="153"/>
  <c r="E468" i="153"/>
  <c r="E456" i="153"/>
  <c r="E444" i="153"/>
  <c r="E436" i="153"/>
  <c r="E425" i="153"/>
  <c r="E417" i="153"/>
  <c r="E407" i="153"/>
  <c r="E399" i="153"/>
  <c r="E387" i="153"/>
  <c r="E379" i="153"/>
  <c r="E371" i="153"/>
  <c r="E363" i="153"/>
  <c r="E351" i="153"/>
  <c r="E343" i="153"/>
  <c r="E333" i="153"/>
  <c r="E319" i="153"/>
  <c r="E311" i="153"/>
  <c r="E303" i="153"/>
  <c r="E295" i="153"/>
  <c r="E287" i="153"/>
  <c r="E275" i="153"/>
  <c r="E267" i="153"/>
  <c r="E259" i="153"/>
  <c r="E251" i="153"/>
  <c r="E243" i="153"/>
  <c r="E218" i="153"/>
  <c r="E210" i="153"/>
  <c r="E202" i="153"/>
  <c r="E190" i="153"/>
  <c r="E182" i="153"/>
  <c r="E175" i="153"/>
  <c r="E503" i="154"/>
  <c r="E495" i="154"/>
  <c r="E487" i="154"/>
  <c r="E479" i="154"/>
  <c r="E468" i="154"/>
  <c r="E456" i="154"/>
  <c r="E444" i="154"/>
  <c r="E436" i="154"/>
  <c r="E425" i="154"/>
  <c r="E417" i="154"/>
  <c r="E407" i="154"/>
  <c r="E399" i="154"/>
  <c r="E387" i="154"/>
  <c r="E379" i="154"/>
  <c r="E371" i="154"/>
  <c r="E363" i="154"/>
  <c r="E351" i="154"/>
  <c r="E343" i="154"/>
  <c r="E333" i="154"/>
  <c r="E319" i="154"/>
  <c r="E311" i="154"/>
  <c r="E303" i="154"/>
  <c r="E295" i="154"/>
  <c r="E287" i="154"/>
  <c r="E275" i="154"/>
  <c r="E267" i="154"/>
  <c r="E259" i="154"/>
  <c r="E251" i="154"/>
  <c r="E243" i="154"/>
  <c r="E218" i="154"/>
  <c r="E210" i="154"/>
  <c r="E202" i="154"/>
  <c r="E190" i="154"/>
  <c r="E182" i="154"/>
  <c r="E175" i="154"/>
  <c r="E503" i="155"/>
  <c r="E495" i="155"/>
  <c r="E487" i="155"/>
  <c r="E479" i="155"/>
  <c r="E468" i="155"/>
  <c r="E456" i="155"/>
  <c r="E444" i="155"/>
  <c r="E436" i="155"/>
  <c r="E425" i="155"/>
  <c r="E417" i="155"/>
  <c r="E407" i="155"/>
  <c r="E399" i="155"/>
  <c r="E387" i="155"/>
  <c r="E379" i="155"/>
  <c r="E371" i="155"/>
  <c r="E363" i="155"/>
  <c r="E351" i="155"/>
  <c r="E343" i="155"/>
  <c r="E333" i="155"/>
  <c r="E319" i="155"/>
  <c r="E311" i="155"/>
  <c r="E303" i="155"/>
  <c r="E295" i="155"/>
  <c r="E287" i="155"/>
  <c r="E275" i="155"/>
  <c r="E267" i="155"/>
  <c r="E259" i="155"/>
  <c r="E251" i="155"/>
  <c r="E243" i="155"/>
  <c r="E218" i="155"/>
  <c r="E210" i="155"/>
  <c r="E202" i="155"/>
  <c r="E190" i="155"/>
  <c r="E182" i="155"/>
  <c r="E175" i="155"/>
  <c r="E503" i="99"/>
  <c r="E495" i="99"/>
  <c r="E487" i="99"/>
  <c r="E479" i="99"/>
  <c r="E468" i="99"/>
  <c r="E456" i="99"/>
  <c r="E444" i="99"/>
  <c r="E436" i="99"/>
  <c r="E425" i="99"/>
  <c r="E417" i="99"/>
  <c r="E407" i="99"/>
  <c r="E399" i="99"/>
  <c r="E387" i="99"/>
  <c r="E379" i="99"/>
  <c r="E371" i="99"/>
  <c r="E363" i="99"/>
  <c r="E351" i="99"/>
  <c r="E343" i="99"/>
  <c r="E333" i="99"/>
  <c r="E319" i="99"/>
  <c r="E311" i="99"/>
  <c r="E303" i="99"/>
  <c r="E295" i="99"/>
  <c r="E287" i="99"/>
  <c r="E275" i="99"/>
  <c r="E267" i="99"/>
  <c r="E259" i="99"/>
  <c r="E251" i="99"/>
  <c r="E243" i="99"/>
  <c r="E218" i="99"/>
  <c r="E210" i="99"/>
  <c r="E202" i="99"/>
  <c r="E190" i="99"/>
  <c r="E182" i="99"/>
  <c r="E175" i="99"/>
  <c r="J4" i="105" l="1"/>
  <c r="K4" i="105" s="1"/>
  <c r="K34" i="105" l="1"/>
  <c r="L45" i="105"/>
  <c r="K59" i="105"/>
  <c r="K25" i="105"/>
  <c r="L34" i="105"/>
  <c r="J45" i="105"/>
  <c r="K45" i="105"/>
  <c r="J34" i="105"/>
  <c r="J59" i="105"/>
  <c r="I45" i="105"/>
  <c r="L59" i="105"/>
  <c r="L52" i="105"/>
  <c r="J25" i="105"/>
  <c r="J52" i="105"/>
  <c r="I59" i="105"/>
  <c r="L25" i="105"/>
  <c r="I34" i="105"/>
  <c r="I52" i="105"/>
  <c r="K52" i="105"/>
  <c r="I25" i="105"/>
  <c r="K36" i="105" l="1"/>
  <c r="L36" i="105"/>
  <c r="I27" i="105"/>
  <c r="K27" i="105"/>
  <c r="J27" i="105"/>
  <c r="J36" i="105"/>
  <c r="I36" i="105"/>
  <c r="L27" i="105"/>
  <c r="I28" i="105" l="1"/>
  <c r="J37" i="105"/>
  <c r="K37" i="105"/>
  <c r="K39" i="105"/>
  <c r="L37" i="105"/>
  <c r="I37" i="105"/>
  <c r="J28" i="105"/>
  <c r="I39" i="105"/>
  <c r="L39" i="105"/>
  <c r="K28" i="105"/>
  <c r="L28" i="105"/>
  <c r="J39" i="105"/>
  <c r="L54" i="105" l="1"/>
  <c r="K54" i="105"/>
  <c r="J54" i="105"/>
  <c r="I54" i="105"/>
  <c r="L61" i="105" l="1"/>
  <c r="J61" i="105"/>
  <c r="K61" i="105"/>
  <c r="I61" i="105"/>
  <c r="L62" i="105" l="1"/>
  <c r="K62" i="105"/>
  <c r="J62" i="105"/>
  <c r="I62" i="105"/>
  <c r="I40" i="294" l="1"/>
  <c r="I60" i="294"/>
  <c r="H60" i="294"/>
  <c r="G60" i="294"/>
  <c r="F60" i="294"/>
  <c r="E60" i="294"/>
  <c r="D60" i="294"/>
  <c r="E153" i="34" l="1"/>
  <c r="E145" i="34"/>
  <c r="E140" i="34"/>
  <c r="E152" i="34"/>
  <c r="E151" i="34"/>
  <c r="E150" i="34"/>
  <c r="E149" i="34"/>
  <c r="E148" i="34"/>
  <c r="E147" i="34"/>
  <c r="E146" i="34"/>
  <c r="E144" i="34"/>
  <c r="E143" i="34"/>
  <c r="E159" i="34"/>
  <c r="G6" i="34"/>
  <c r="F127" i="34"/>
  <c r="F126" i="34"/>
  <c r="F125" i="34"/>
  <c r="F124" i="34"/>
  <c r="F123" i="34"/>
  <c r="F122" i="34"/>
  <c r="F121" i="34"/>
  <c r="F120" i="34"/>
  <c r="F119" i="34"/>
  <c r="F118" i="34"/>
  <c r="E132" i="34"/>
  <c r="F4" i="34"/>
  <c r="F94" i="34"/>
  <c r="E88" i="34"/>
  <c r="E85" i="34"/>
  <c r="E4" i="34"/>
  <c r="E106" i="34"/>
  <c r="E107" i="34" s="1"/>
  <c r="E53" i="34"/>
  <c r="E81" i="34"/>
  <c r="E52" i="34"/>
  <c r="E77" i="34" s="1"/>
  <c r="E33" i="34"/>
  <c r="E34" i="34"/>
  <c r="E35" i="34"/>
  <c r="E32" i="34"/>
  <c r="E44" i="34"/>
  <c r="E27" i="34"/>
  <c r="E43" i="34"/>
  <c r="E26" i="34"/>
  <c r="I12" i="151"/>
  <c r="I10" i="151"/>
  <c r="I7" i="151"/>
  <c r="I6" i="151"/>
  <c r="E118" i="34"/>
  <c r="G94" i="34" l="1"/>
  <c r="F95" i="34"/>
  <c r="G165" i="34"/>
  <c r="G164" i="34"/>
  <c r="G163" i="34"/>
  <c r="G162" i="34"/>
  <c r="G168" i="34"/>
  <c r="G171" i="34"/>
  <c r="G170" i="34"/>
  <c r="G169" i="34"/>
  <c r="G167" i="34"/>
  <c r="G166" i="34"/>
  <c r="E119" i="34"/>
  <c r="H94" i="34" l="1"/>
  <c r="G95" i="34"/>
  <c r="N75" i="105"/>
  <c r="I59" i="104"/>
  <c r="I61" i="104" s="1"/>
  <c r="I65" i="104" s="1"/>
  <c r="I71" i="104" s="1"/>
  <c r="I94" i="34" l="1"/>
  <c r="H95" i="34"/>
  <c r="P565" i="153"/>
  <c r="P565" i="154"/>
  <c r="P565" i="155"/>
  <c r="P565" i="99"/>
  <c r="J94" i="34" l="1"/>
  <c r="J95" i="34" s="1"/>
  <c r="I95" i="34"/>
  <c r="F106" i="34"/>
  <c r="F107" i="34" s="1"/>
  <c r="G106" i="34" l="1"/>
  <c r="G107" i="34" s="1"/>
  <c r="H106" i="34" l="1"/>
  <c r="H107" i="34" s="1"/>
  <c r="I106" i="34" l="1"/>
  <c r="I107" i="34" s="1"/>
  <c r="J106" i="34" l="1"/>
  <c r="J107" i="34" s="1"/>
  <c r="E87" i="34" l="1"/>
  <c r="F64" i="34" l="1"/>
  <c r="E162" i="34"/>
  <c r="F105" i="34" l="1"/>
  <c r="G105" i="34"/>
  <c r="H105" i="34"/>
  <c r="I105" i="34"/>
  <c r="J105" i="34"/>
  <c r="E105" i="34"/>
  <c r="AH71" i="34" l="1"/>
  <c r="AG71" i="34"/>
  <c r="AF71" i="34"/>
  <c r="AE71" i="34"/>
  <c r="AD71" i="34"/>
  <c r="AH70" i="34"/>
  <c r="AG70" i="34"/>
  <c r="AF70" i="34"/>
  <c r="AE70" i="34"/>
  <c r="AD70" i="34"/>
  <c r="AD69" i="34"/>
  <c r="AE69" i="34" s="1"/>
  <c r="AF69" i="34" s="1"/>
  <c r="AG69" i="34" s="1"/>
  <c r="AH69" i="34" s="1"/>
  <c r="Z71" i="34"/>
  <c r="Y71" i="34"/>
  <c r="X71" i="34"/>
  <c r="W71" i="34"/>
  <c r="V71" i="34"/>
  <c r="Z70" i="34"/>
  <c r="Y70" i="34"/>
  <c r="X70" i="34"/>
  <c r="W70" i="34"/>
  <c r="V70" i="34"/>
  <c r="V69" i="34"/>
  <c r="W69" i="34" s="1"/>
  <c r="X69" i="34" s="1"/>
  <c r="Y69" i="34" s="1"/>
  <c r="Z69" i="34" s="1"/>
  <c r="R71" i="34"/>
  <c r="Q71" i="34"/>
  <c r="P71" i="34"/>
  <c r="O71" i="34"/>
  <c r="N71" i="34"/>
  <c r="R70" i="34"/>
  <c r="Q70" i="34"/>
  <c r="P70" i="34"/>
  <c r="O70" i="34"/>
  <c r="N70" i="34"/>
  <c r="N69" i="34"/>
  <c r="O69" i="34" s="1"/>
  <c r="P69" i="34" s="1"/>
  <c r="Q69" i="34" s="1"/>
  <c r="R69" i="34" s="1"/>
  <c r="F69" i="34"/>
  <c r="G69" i="34" s="1"/>
  <c r="H69" i="34" s="1"/>
  <c r="I69" i="34" s="1"/>
  <c r="J69" i="34" s="1"/>
  <c r="G71" i="34"/>
  <c r="H71" i="34"/>
  <c r="I71" i="34"/>
  <c r="J71" i="34"/>
  <c r="G70" i="34"/>
  <c r="H70" i="34"/>
  <c r="I70" i="34"/>
  <c r="J70" i="34"/>
  <c r="F71" i="34"/>
  <c r="F70" i="34"/>
  <c r="R61" i="34" l="1"/>
  <c r="U155" i="155"/>
  <c r="U158" i="155" s="1"/>
  <c r="T155" i="155"/>
  <c r="U155" i="154"/>
  <c r="U158" i="154" s="1"/>
  <c r="T155" i="154"/>
  <c r="U155" i="153"/>
  <c r="U158" i="153" s="1"/>
  <c r="T155" i="153"/>
  <c r="V155" i="155" l="1"/>
  <c r="U160" i="153"/>
  <c r="U157" i="153"/>
  <c r="V155" i="153"/>
  <c r="T156" i="153"/>
  <c r="U156" i="153"/>
  <c r="U159" i="153"/>
  <c r="U156" i="155"/>
  <c r="U157" i="155"/>
  <c r="U159" i="155"/>
  <c r="V155" i="154"/>
  <c r="U156" i="154"/>
  <c r="U159" i="154"/>
  <c r="T156" i="155"/>
  <c r="T157" i="155" s="1"/>
  <c r="T156" i="154"/>
  <c r="U157" i="154"/>
  <c r="U160" i="155"/>
  <c r="U160" i="154"/>
  <c r="V156" i="154" l="1"/>
  <c r="V156" i="153"/>
  <c r="T157" i="153"/>
  <c r="T158" i="153" s="1"/>
  <c r="T157" i="154"/>
  <c r="T158" i="154" s="1"/>
  <c r="V156" i="155"/>
  <c r="T158" i="155"/>
  <c r="V157" i="155"/>
  <c r="G93" i="34"/>
  <c r="H93" i="34"/>
  <c r="I93" i="34"/>
  <c r="J93" i="34"/>
  <c r="F93" i="34"/>
  <c r="V157" i="153" l="1"/>
  <c r="V157" i="154"/>
  <c r="V158" i="155"/>
  <c r="T159" i="155"/>
  <c r="T160" i="155" s="1"/>
  <c r="V158" i="154"/>
  <c r="T159" i="154"/>
  <c r="T160" i="154" s="1"/>
  <c r="V158" i="153"/>
  <c r="T159" i="153"/>
  <c r="T160" i="153" s="1"/>
  <c r="V159" i="155" l="1"/>
  <c r="V159" i="154"/>
  <c r="V159" i="153"/>
  <c r="F61" i="34"/>
  <c r="V160" i="155" l="1"/>
  <c r="V160" i="154"/>
  <c r="V160" i="153"/>
  <c r="E163" i="34" l="1"/>
  <c r="E164" i="34" s="1"/>
  <c r="E165" i="34" s="1"/>
  <c r="E166" i="34" s="1"/>
  <c r="E167" i="34" s="1"/>
  <c r="E168" i="34" s="1"/>
  <c r="E169" i="34" s="1"/>
  <c r="E170" i="34" s="1"/>
  <c r="E171" i="34" s="1"/>
  <c r="E28" i="34" l="1"/>
  <c r="E13" i="34" l="1"/>
  <c r="I5" i="151"/>
  <c r="E8" i="72" s="1"/>
  <c r="E33" i="152"/>
  <c r="E43" i="152" l="1"/>
  <c r="E42" i="152"/>
  <c r="Q25" i="151"/>
  <c r="Q28" i="151" s="1"/>
  <c r="Q31" i="151" s="1"/>
  <c r="Q36" i="151" s="1"/>
  <c r="R19" i="151" l="1"/>
  <c r="I20" i="151"/>
  <c r="J20" i="151" s="1"/>
  <c r="K20" i="151" s="1"/>
  <c r="L20" i="151" s="1"/>
  <c r="M20" i="151" s="1"/>
  <c r="N20" i="151" s="1"/>
  <c r="N19" i="151"/>
  <c r="M19" i="151"/>
  <c r="L19" i="151"/>
  <c r="K19" i="151"/>
  <c r="J19" i="151"/>
  <c r="I19" i="151"/>
  <c r="N4" i="105"/>
  <c r="O4" i="105" s="1"/>
  <c r="P4" i="105" s="1"/>
  <c r="Q4" i="105" s="1"/>
  <c r="R4" i="105" s="1"/>
  <c r="S4" i="105" s="1"/>
  <c r="W3" i="105"/>
  <c r="W4" i="105" s="1"/>
  <c r="S3" i="105"/>
  <c r="R3" i="105"/>
  <c r="Q3" i="105"/>
  <c r="P3" i="105"/>
  <c r="O3" i="105"/>
  <c r="N3" i="105"/>
  <c r="U3" i="105" l="1"/>
  <c r="R20" i="151"/>
  <c r="Q19" i="151"/>
  <c r="Q20" i="151" s="1"/>
  <c r="X3" i="105"/>
  <c r="X4" i="105" s="1"/>
  <c r="R43" i="151" l="1"/>
  <c r="S19" i="151"/>
  <c r="S20" i="151" s="1"/>
  <c r="T19" i="151" s="1"/>
  <c r="T20" i="151" s="1"/>
  <c r="Y3" i="105"/>
  <c r="Y4" i="105" s="1"/>
  <c r="T43" i="151" l="1"/>
  <c r="S43" i="151"/>
  <c r="U19" i="151"/>
  <c r="U20" i="151" s="1"/>
  <c r="Z3" i="105"/>
  <c r="Z4" i="105" s="1"/>
  <c r="U43" i="151" l="1"/>
  <c r="V19" i="151"/>
  <c r="V20" i="151" s="1"/>
  <c r="AA3" i="105"/>
  <c r="AA4" i="105" s="1"/>
  <c r="V43" i="151" l="1"/>
  <c r="W19" i="151"/>
  <c r="W20" i="151" s="1"/>
  <c r="AB3" i="105"/>
  <c r="AB4" i="105" s="1"/>
  <c r="W43" i="151" l="1"/>
  <c r="X19" i="151"/>
  <c r="X20" i="151" s="1"/>
  <c r="AC3" i="105"/>
  <c r="AC4" i="105" s="1"/>
  <c r="X43" i="151" l="1"/>
  <c r="Y19" i="151"/>
  <c r="Y20" i="151" s="1"/>
  <c r="AD3" i="105"/>
  <c r="AD4" i="105" s="1"/>
  <c r="Y43" i="151" l="1"/>
  <c r="Z19" i="151"/>
  <c r="Z20" i="151" s="1"/>
  <c r="AE3" i="105"/>
  <c r="AE4" i="105" s="1"/>
  <c r="Z43" i="151" l="1"/>
  <c r="AA19" i="151"/>
  <c r="AA20" i="151" s="1"/>
  <c r="AF3" i="105"/>
  <c r="AF4" i="105" s="1"/>
  <c r="AA43" i="151" l="1"/>
  <c r="AB19" i="151"/>
  <c r="AB20" i="151" s="1"/>
  <c r="AG3" i="105"/>
  <c r="AG4" i="105" s="1"/>
  <c r="AB43" i="151" l="1"/>
  <c r="AC19" i="151"/>
  <c r="AC20" i="151" s="1"/>
  <c r="AH3" i="105"/>
  <c r="AH4" i="105" s="1"/>
  <c r="AC43" i="151" l="1"/>
  <c r="AD19" i="151"/>
  <c r="AD20" i="151" s="1"/>
  <c r="AI3" i="105"/>
  <c r="AI4" i="105" s="1"/>
  <c r="AD43" i="151" l="1"/>
  <c r="AE19" i="151"/>
  <c r="AE20" i="151" s="1"/>
  <c r="AJ3" i="105"/>
  <c r="AJ4" i="105" s="1"/>
  <c r="AE43" i="151" l="1"/>
  <c r="AF19" i="151"/>
  <c r="AF20" i="151" s="1"/>
  <c r="AK3" i="105"/>
  <c r="AK4" i="105" s="1"/>
  <c r="AF43" i="151" l="1"/>
  <c r="AG19" i="151"/>
  <c r="AG20" i="151" s="1"/>
  <c r="AL3" i="105"/>
  <c r="AL4" i="105" s="1"/>
  <c r="AG43" i="151" l="1"/>
  <c r="AH19" i="151"/>
  <c r="AH20" i="151" s="1"/>
  <c r="AM3" i="105"/>
  <c r="AM4" i="105" s="1"/>
  <c r="AH43" i="151" l="1"/>
  <c r="AI19" i="151"/>
  <c r="AI20" i="151" s="1"/>
  <c r="AN3" i="105"/>
  <c r="AN4" i="105" s="1"/>
  <c r="AI43" i="151" l="1"/>
  <c r="AJ19" i="151"/>
  <c r="AJ20" i="151" s="1"/>
  <c r="AO3" i="105"/>
  <c r="AO4" i="105" s="1"/>
  <c r="AJ43" i="151" l="1"/>
  <c r="AK19" i="151"/>
  <c r="AK20" i="151" s="1"/>
  <c r="AP3" i="105"/>
  <c r="AP4" i="105" s="1"/>
  <c r="AK43" i="151" l="1"/>
  <c r="AL19" i="151"/>
  <c r="AL20" i="151" s="1"/>
  <c r="AQ3" i="105"/>
  <c r="AQ4" i="105" s="1"/>
  <c r="AL43" i="151" l="1"/>
  <c r="AM19" i="151"/>
  <c r="AM20" i="151" s="1"/>
  <c r="AR3" i="105"/>
  <c r="AR4" i="105" s="1"/>
  <c r="AM43" i="151" l="1"/>
  <c r="AN19" i="151"/>
  <c r="AN20" i="151" s="1"/>
  <c r="AS3" i="105"/>
  <c r="AS4" i="105" s="1"/>
  <c r="AN43" i="151" l="1"/>
  <c r="AO19" i="151"/>
  <c r="AO20" i="151" s="1"/>
  <c r="AT3" i="105"/>
  <c r="AT4" i="105" s="1"/>
  <c r="AO43" i="151" l="1"/>
  <c r="AP19" i="151"/>
  <c r="AP20" i="151" s="1"/>
  <c r="AU3" i="105"/>
  <c r="AU4" i="105" s="1"/>
  <c r="AP43" i="151" l="1"/>
  <c r="AQ19" i="151"/>
  <c r="AQ20" i="151" s="1"/>
  <c r="AV3" i="105"/>
  <c r="AV4" i="105" s="1"/>
  <c r="AQ43" i="151" l="1"/>
  <c r="AR19" i="151"/>
  <c r="AR20" i="151" s="1"/>
  <c r="AW3" i="105"/>
  <c r="AW4" i="105" s="1"/>
  <c r="AR43" i="151" l="1"/>
  <c r="AS19" i="151"/>
  <c r="AS20" i="151" s="1"/>
  <c r="AX3" i="105"/>
  <c r="AX4" i="105" s="1"/>
  <c r="AS43" i="151" l="1"/>
  <c r="AT19" i="151"/>
  <c r="AT20" i="151" s="1"/>
  <c r="AY3" i="105"/>
  <c r="AY4" i="105" s="1"/>
  <c r="AT43" i="151" l="1"/>
  <c r="AU19" i="151"/>
  <c r="AU20" i="151" s="1"/>
  <c r="AZ3" i="105"/>
  <c r="AZ4" i="105" s="1"/>
  <c r="AU43" i="151" l="1"/>
  <c r="AV19" i="151"/>
  <c r="AV20" i="151" s="1"/>
  <c r="BA3" i="105"/>
  <c r="BA4" i="105" s="1"/>
  <c r="AV43" i="151" l="1"/>
  <c r="AW19" i="151"/>
  <c r="AW20" i="151" s="1"/>
  <c r="BB3" i="105"/>
  <c r="BB4" i="105" s="1"/>
  <c r="AW43" i="151" l="1"/>
  <c r="AX19" i="151"/>
  <c r="AX20" i="151" s="1"/>
  <c r="BC3" i="105"/>
  <c r="BC4" i="105" s="1"/>
  <c r="AX43" i="151" l="1"/>
  <c r="AY19" i="151"/>
  <c r="AY20" i="151" s="1"/>
  <c r="BD3" i="105"/>
  <c r="BD4" i="105" s="1"/>
  <c r="AY43" i="151" l="1"/>
  <c r="AZ19" i="151"/>
  <c r="AZ20" i="151" s="1"/>
  <c r="BE3" i="105"/>
  <c r="BE4" i="105" s="1"/>
  <c r="AZ43" i="151" l="1"/>
  <c r="BA19" i="151"/>
  <c r="BA20" i="151" s="1"/>
  <c r="BF3" i="105"/>
  <c r="BF4" i="105" s="1"/>
  <c r="BA43" i="151" l="1"/>
  <c r="BB19" i="151"/>
  <c r="BB20" i="151" s="1"/>
  <c r="BG3" i="105"/>
  <c r="BG4" i="105" s="1"/>
  <c r="BB43" i="151" l="1"/>
  <c r="BC19" i="151"/>
  <c r="BC20" i="151" s="1"/>
  <c r="BH3" i="105"/>
  <c r="BH4" i="105" s="1"/>
  <c r="BC43" i="151" l="1"/>
  <c r="BD19" i="151"/>
  <c r="BD20" i="151" s="1"/>
  <c r="BI3" i="105"/>
  <c r="BI4" i="105" s="1"/>
  <c r="BD43" i="151" l="1"/>
  <c r="BE19" i="151"/>
  <c r="BE20" i="151" s="1"/>
  <c r="BJ3" i="105"/>
  <c r="BJ4" i="105" s="1"/>
  <c r="BE43" i="151" l="1"/>
  <c r="BF19" i="151"/>
  <c r="BF20" i="151" s="1"/>
  <c r="BK3" i="105"/>
  <c r="BK4" i="105" s="1"/>
  <c r="BF43" i="151" l="1"/>
  <c r="BG19" i="151"/>
  <c r="BG20" i="151" s="1"/>
  <c r="BL3" i="105"/>
  <c r="BL4" i="105" s="1"/>
  <c r="BG43" i="151" l="1"/>
  <c r="BH19" i="151"/>
  <c r="BH20" i="151" s="1"/>
  <c r="BM3" i="105"/>
  <c r="BM4" i="105" s="1"/>
  <c r="BH43" i="151" l="1"/>
  <c r="BI19" i="151"/>
  <c r="BI20" i="151" s="1"/>
  <c r="BN3" i="105"/>
  <c r="BN4" i="105" s="1"/>
  <c r="BI43" i="151" l="1"/>
  <c r="BJ19" i="151"/>
  <c r="BJ20" i="151" s="1"/>
  <c r="BO3" i="105"/>
  <c r="BO4" i="105" s="1"/>
  <c r="BJ43" i="151" l="1"/>
  <c r="BK19" i="151"/>
  <c r="BK20" i="151" s="1"/>
  <c r="BP3" i="105"/>
  <c r="BP4" i="105" s="1"/>
  <c r="BK43" i="151" l="1"/>
  <c r="BL19" i="151"/>
  <c r="BL20" i="151" s="1"/>
  <c r="BQ3" i="105"/>
  <c r="BQ4" i="105" s="1"/>
  <c r="BL43" i="151" l="1"/>
  <c r="BM19" i="151"/>
  <c r="BM20" i="151" s="1"/>
  <c r="BR3" i="105"/>
  <c r="BR4" i="105" s="1"/>
  <c r="BM43" i="151" l="1"/>
  <c r="BN19" i="151"/>
  <c r="BN20" i="151" s="1"/>
  <c r="BS3" i="105"/>
  <c r="BS4" i="105" s="1"/>
  <c r="BN43" i="151" l="1"/>
  <c r="BO19" i="151"/>
  <c r="BO20" i="151" s="1"/>
  <c r="BT3" i="105"/>
  <c r="BT4" i="105" s="1"/>
  <c r="BO43" i="151" l="1"/>
  <c r="BP19" i="151"/>
  <c r="BP20" i="151" s="1"/>
  <c r="BU3" i="105"/>
  <c r="BU4" i="105" s="1"/>
  <c r="BP43" i="151" l="1"/>
  <c r="BQ19" i="151"/>
  <c r="BQ20" i="151" s="1"/>
  <c r="BV3" i="105"/>
  <c r="BV4" i="105" s="1"/>
  <c r="BQ43" i="151" l="1"/>
  <c r="BR19" i="151"/>
  <c r="BR20" i="151" s="1"/>
  <c r="BW3" i="105"/>
  <c r="BW4" i="105" s="1"/>
  <c r="BR43" i="151" l="1"/>
  <c r="BS19" i="151"/>
  <c r="BS20" i="151" s="1"/>
  <c r="BX3" i="105"/>
  <c r="BX4" i="105" s="1"/>
  <c r="BS43" i="151" l="1"/>
  <c r="BT19" i="151"/>
  <c r="BT20" i="151" s="1"/>
  <c r="BY3" i="105"/>
  <c r="BY4" i="105" s="1"/>
  <c r="BT43" i="151" l="1"/>
  <c r="BU19" i="151"/>
  <c r="BU20" i="151" s="1"/>
  <c r="BZ3" i="105"/>
  <c r="BZ4" i="105" s="1"/>
  <c r="BU43" i="151" l="1"/>
  <c r="BV19" i="151"/>
  <c r="BV20" i="151" s="1"/>
  <c r="CA3" i="105"/>
  <c r="CA4" i="105" s="1"/>
  <c r="BV43" i="151" l="1"/>
  <c r="BW19" i="151"/>
  <c r="BW20" i="151" s="1"/>
  <c r="CB3" i="105"/>
  <c r="CB4" i="105" s="1"/>
  <c r="BW43" i="151" l="1"/>
  <c r="BX19" i="151"/>
  <c r="BX20" i="151" s="1"/>
  <c r="CC3" i="105"/>
  <c r="CC4" i="105" s="1"/>
  <c r="BX43" i="151" l="1"/>
  <c r="BY19" i="151"/>
  <c r="BY20" i="151" s="1"/>
  <c r="CD3" i="105"/>
  <c r="CD4" i="105" s="1"/>
  <c r="BY43" i="151" l="1"/>
  <c r="N17" i="105" l="1"/>
  <c r="P630" i="155"/>
  <c r="P629" i="155"/>
  <c r="P628" i="155"/>
  <c r="P624" i="155"/>
  <c r="P566" i="155"/>
  <c r="P560" i="155"/>
  <c r="Y527" i="155"/>
  <c r="W527" i="155"/>
  <c r="AE155" i="155"/>
  <c r="AA155" i="155" a="1"/>
  <c r="AA155" i="155" s="1"/>
  <c r="AA160" i="155" s="1"/>
  <c r="I4" i="155"/>
  <c r="J4" i="155" s="1"/>
  <c r="R3" i="155"/>
  <c r="R4" i="155" s="1"/>
  <c r="N3" i="155"/>
  <c r="M3" i="155"/>
  <c r="L3" i="155"/>
  <c r="K3" i="155"/>
  <c r="J3" i="155"/>
  <c r="I3" i="155"/>
  <c r="P630" i="154"/>
  <c r="P629" i="154"/>
  <c r="P628" i="154"/>
  <c r="P624" i="154"/>
  <c r="P566" i="154"/>
  <c r="P560" i="154"/>
  <c r="Y527" i="154"/>
  <c r="W527" i="154"/>
  <c r="AE155" i="154"/>
  <c r="AE157" i="154" s="1"/>
  <c r="AF157" i="154" s="1"/>
  <c r="AA155" i="154" a="1"/>
  <c r="AA155" i="154" s="1"/>
  <c r="AA157" i="154" s="1"/>
  <c r="I4" i="154"/>
  <c r="J4" i="154" s="1"/>
  <c r="R3" i="154"/>
  <c r="R4" i="154" s="1"/>
  <c r="N3" i="154"/>
  <c r="M3" i="154"/>
  <c r="L3" i="154"/>
  <c r="K3" i="154"/>
  <c r="J3" i="154"/>
  <c r="I3" i="154"/>
  <c r="J3" i="69"/>
  <c r="I4" i="69" s="1"/>
  <c r="G5" i="152"/>
  <c r="E44" i="152"/>
  <c r="E41" i="152"/>
  <c r="E40" i="152"/>
  <c r="E39" i="152"/>
  <c r="E38" i="152"/>
  <c r="E36" i="152"/>
  <c r="E37" i="152"/>
  <c r="I4" i="99"/>
  <c r="J4" i="99" s="1"/>
  <c r="I4" i="153"/>
  <c r="J4" i="153" s="1"/>
  <c r="R3" i="153"/>
  <c r="R4" i="153" s="1"/>
  <c r="P630" i="153"/>
  <c r="P629" i="153"/>
  <c r="P628" i="153"/>
  <c r="P624" i="153"/>
  <c r="P566" i="153"/>
  <c r="P560" i="153"/>
  <c r="Y527" i="153"/>
  <c r="W527" i="153"/>
  <c r="AE155" i="153"/>
  <c r="AE160" i="153" s="1"/>
  <c r="AF160" i="153" s="1"/>
  <c r="AA155" i="153" a="1"/>
  <c r="AA155" i="153" s="1"/>
  <c r="N3" i="153"/>
  <c r="M3" i="153"/>
  <c r="L3" i="153"/>
  <c r="K3" i="153"/>
  <c r="J3" i="153"/>
  <c r="I3" i="153"/>
  <c r="I4" i="104"/>
  <c r="J4" i="104" s="1"/>
  <c r="K4" i="104" s="1"/>
  <c r="L4" i="104" s="1"/>
  <c r="M4" i="104" s="1"/>
  <c r="N4" i="104" s="1"/>
  <c r="R3" i="104"/>
  <c r="R4" i="104" s="1"/>
  <c r="N3" i="104"/>
  <c r="M3" i="104"/>
  <c r="L3" i="104"/>
  <c r="K3" i="104"/>
  <c r="J3" i="104"/>
  <c r="I3" i="104"/>
  <c r="R3" i="103"/>
  <c r="R4" i="103" s="1"/>
  <c r="I4" i="103"/>
  <c r="J4" i="103" s="1"/>
  <c r="K4" i="103" s="1"/>
  <c r="L4" i="103" s="1"/>
  <c r="M4" i="103" s="1"/>
  <c r="N4" i="103" s="1"/>
  <c r="N3" i="103"/>
  <c r="M3" i="103"/>
  <c r="L3" i="103"/>
  <c r="K3" i="103"/>
  <c r="J3" i="103"/>
  <c r="I3" i="103"/>
  <c r="I13" i="103" s="1"/>
  <c r="R3" i="98"/>
  <c r="R4" i="98" s="1"/>
  <c r="I4" i="98"/>
  <c r="J4" i="98" s="1"/>
  <c r="K4" i="98" s="1"/>
  <c r="L4" i="98" s="1"/>
  <c r="M4" i="98" s="1"/>
  <c r="N4" i="98" s="1"/>
  <c r="J3" i="98"/>
  <c r="K3" i="98"/>
  <c r="L3" i="98"/>
  <c r="M3" i="98"/>
  <c r="N3" i="98"/>
  <c r="I3" i="98"/>
  <c r="R3" i="99"/>
  <c r="J2" i="69"/>
  <c r="K2" i="69"/>
  <c r="L2" i="69"/>
  <c r="M2" i="69"/>
  <c r="N2" i="69"/>
  <c r="K4" i="72"/>
  <c r="L4" i="72"/>
  <c r="M4" i="72"/>
  <c r="N4" i="72"/>
  <c r="J4" i="72"/>
  <c r="I2" i="69"/>
  <c r="F4" i="152"/>
  <c r="K4" i="152"/>
  <c r="J4" i="152"/>
  <c r="I4" i="152"/>
  <c r="H4" i="152"/>
  <c r="G4" i="152"/>
  <c r="F33" i="152"/>
  <c r="G24" i="152"/>
  <c r="H24" i="152" s="1"/>
  <c r="I24" i="152" s="1"/>
  <c r="J24" i="152" s="1"/>
  <c r="K24" i="152" s="1"/>
  <c r="N13" i="105" l="1"/>
  <c r="N12" i="105" s="1"/>
  <c r="I68" i="103"/>
  <c r="O5" i="152"/>
  <c r="O6" i="152" s="1"/>
  <c r="O7" i="152" s="1"/>
  <c r="S3" i="155"/>
  <c r="S4" i="155" s="1"/>
  <c r="T3" i="155" s="1"/>
  <c r="T4" i="155" s="1"/>
  <c r="AH155" i="154"/>
  <c r="AI155" i="154" s="1"/>
  <c r="AJ155" i="154" s="1"/>
  <c r="AK155" i="154" s="1"/>
  <c r="AL155" i="154" s="1"/>
  <c r="AE156" i="153"/>
  <c r="AF156" i="153" s="1"/>
  <c r="AE158" i="153"/>
  <c r="AF158" i="153" s="1"/>
  <c r="AE160" i="155"/>
  <c r="AF160" i="155" s="1"/>
  <c r="G17" i="152"/>
  <c r="F5" i="152"/>
  <c r="J4" i="69"/>
  <c r="K3" i="69" s="1"/>
  <c r="K4" i="69" s="1"/>
  <c r="L3" i="69" s="1"/>
  <c r="L4" i="69" s="1"/>
  <c r="M3" i="69" s="1"/>
  <c r="M4" i="69" s="1"/>
  <c r="N3" i="69" s="1"/>
  <c r="N4" i="69" s="1"/>
  <c r="R3" i="69"/>
  <c r="AA156" i="155"/>
  <c r="AE156" i="155"/>
  <c r="AF156" i="155" s="1"/>
  <c r="AE158" i="155"/>
  <c r="AF158" i="155" s="1"/>
  <c r="AA157" i="155"/>
  <c r="AE157" i="155"/>
  <c r="AF157" i="155" s="1"/>
  <c r="AA159" i="155"/>
  <c r="AE159" i="155"/>
  <c r="AF159" i="155" s="1"/>
  <c r="AF155" i="155"/>
  <c r="AH155" i="155"/>
  <c r="AI155" i="155" s="1"/>
  <c r="AJ155" i="155" s="1"/>
  <c r="AK155" i="155" s="1"/>
  <c r="AL155" i="155" s="1"/>
  <c r="P3" i="153"/>
  <c r="P3" i="155"/>
  <c r="K4" i="155"/>
  <c r="AA158" i="155"/>
  <c r="P3" i="154"/>
  <c r="K4" i="154"/>
  <c r="S3" i="154"/>
  <c r="S4" i="154" s="1"/>
  <c r="AA159" i="154"/>
  <c r="AA160" i="154"/>
  <c r="AA156" i="154"/>
  <c r="AA158" i="154"/>
  <c r="AF155" i="154"/>
  <c r="AE159" i="154"/>
  <c r="AF159" i="154" s="1"/>
  <c r="AE160" i="154"/>
  <c r="AF160" i="154" s="1"/>
  <c r="AE158" i="154"/>
  <c r="AF158" i="154" s="1"/>
  <c r="AE156" i="154"/>
  <c r="AF156" i="154" s="1"/>
  <c r="P3" i="103"/>
  <c r="S3" i="98"/>
  <c r="S4" i="98" s="1"/>
  <c r="S3" i="153"/>
  <c r="S4" i="153" s="1"/>
  <c r="K4" i="153"/>
  <c r="AA159" i="153"/>
  <c r="AA160" i="153"/>
  <c r="AA158" i="153"/>
  <c r="AA157" i="153"/>
  <c r="AA156" i="153"/>
  <c r="AH155" i="153"/>
  <c r="AI155" i="153" s="1"/>
  <c r="AJ155" i="153" s="1"/>
  <c r="AK155" i="153" s="1"/>
  <c r="AL155" i="153" s="1"/>
  <c r="AF155" i="153"/>
  <c r="AE157" i="153"/>
  <c r="AF157" i="153" s="1"/>
  <c r="AE159" i="153"/>
  <c r="AF159" i="153" s="1"/>
  <c r="J5" i="72"/>
  <c r="S3" i="103"/>
  <c r="S4" i="103" s="1"/>
  <c r="T3" i="103" s="1"/>
  <c r="T4" i="103" s="1"/>
  <c r="U3" i="103" s="1"/>
  <c r="U4" i="103" s="1"/>
  <c r="P3" i="104"/>
  <c r="S3" i="104"/>
  <c r="S4" i="104" s="1"/>
  <c r="G6" i="152"/>
  <c r="G7" i="152" s="1"/>
  <c r="G8" i="152" s="1"/>
  <c r="G9" i="152" s="1"/>
  <c r="G10" i="152" s="1"/>
  <c r="G11" i="152" s="1"/>
  <c r="G12" i="152" s="1"/>
  <c r="G13" i="152" s="1"/>
  <c r="G14" i="152" s="1"/>
  <c r="G15" i="152" s="1"/>
  <c r="G16" i="152" s="1"/>
  <c r="H5" i="152"/>
  <c r="O8" i="152" l="1"/>
  <c r="R498" i="154"/>
  <c r="R482" i="154" s="1"/>
  <c r="R490" i="154" s="1"/>
  <c r="R474" i="154"/>
  <c r="Y2" i="105" a="1"/>
  <c r="Y2" i="105" s="1"/>
  <c r="W2" i="105" a="1"/>
  <c r="W2" i="105" s="1"/>
  <c r="R2" i="155" a="1"/>
  <c r="R2" i="155" s="1"/>
  <c r="AB18" i="151" a="1"/>
  <c r="AB18" i="151" s="1"/>
  <c r="R2" i="103" a="1"/>
  <c r="R2" i="103" s="1"/>
  <c r="AD2" i="105" a="1"/>
  <c r="AD2" i="105" s="1"/>
  <c r="Y18" i="151" a="1"/>
  <c r="Y18" i="151" s="1"/>
  <c r="AC18" i="151" a="1"/>
  <c r="AC18" i="151" s="1"/>
  <c r="AA18" i="151" a="1"/>
  <c r="AA18" i="151" s="1"/>
  <c r="R474" i="155"/>
  <c r="V18" i="151" a="1"/>
  <c r="V18" i="151" s="1"/>
  <c r="T18" i="151" a="1"/>
  <c r="T18" i="151" s="1"/>
  <c r="X18" i="151" a="1"/>
  <c r="X18" i="151" s="1"/>
  <c r="AA2" i="105" a="1"/>
  <c r="AA2" i="105" s="1"/>
  <c r="S18" i="151" a="1"/>
  <c r="S18" i="151" s="1"/>
  <c r="S474" i="155"/>
  <c r="S498" i="155"/>
  <c r="S482" i="155" s="1"/>
  <c r="S490" i="155" s="1"/>
  <c r="R18" i="151" a="1"/>
  <c r="R18" i="151" s="1"/>
  <c r="R2" i="104" a="1"/>
  <c r="R2" i="104" s="1"/>
  <c r="AH2" i="105" a="1"/>
  <c r="AH2" i="105" s="1"/>
  <c r="R2" i="98" a="1"/>
  <c r="R2" i="98" s="1"/>
  <c r="AE2" i="105" a="1"/>
  <c r="AE2" i="105" s="1"/>
  <c r="U18" i="151" a="1"/>
  <c r="U18" i="151" s="1"/>
  <c r="AF2" i="105" a="1"/>
  <c r="AF2" i="105" s="1"/>
  <c r="S2" i="155" a="1"/>
  <c r="S2" i="155" s="1"/>
  <c r="Z18" i="151" a="1"/>
  <c r="Z18" i="151" s="1"/>
  <c r="AB2" i="105" a="1"/>
  <c r="AB2" i="105" s="1"/>
  <c r="R498" i="155"/>
  <c r="R482" i="155" s="1"/>
  <c r="R490" i="155" s="1"/>
  <c r="W18" i="151" a="1"/>
  <c r="W18" i="151" s="1"/>
  <c r="Z2" i="105" a="1"/>
  <c r="Z2" i="105" s="1"/>
  <c r="R2" i="153" a="1"/>
  <c r="R2" i="153" s="1"/>
  <c r="R2" i="154" a="1"/>
  <c r="R2" i="154" s="1"/>
  <c r="AC2" i="105" a="1"/>
  <c r="AC2" i="105" s="1"/>
  <c r="X2" i="105" a="1"/>
  <c r="X2" i="105" s="1"/>
  <c r="S2" i="98" a="1"/>
  <c r="S2" i="98" s="1"/>
  <c r="AG2" i="105" a="1"/>
  <c r="AG2" i="105" s="1"/>
  <c r="H17" i="152"/>
  <c r="S2" i="103" a="1"/>
  <c r="S2" i="103" s="1"/>
  <c r="F17" i="152"/>
  <c r="Q18" i="151" s="1" a="1"/>
  <c r="Q18" i="151" s="1"/>
  <c r="F6" i="152"/>
  <c r="F7" i="152" s="1"/>
  <c r="F8" i="152" s="1"/>
  <c r="F9" i="152" s="1"/>
  <c r="F10" i="152" s="1"/>
  <c r="F11" i="152" s="1"/>
  <c r="F12" i="152" s="1"/>
  <c r="F13" i="152" s="1"/>
  <c r="F14" i="152" s="1"/>
  <c r="F15" i="152" s="1"/>
  <c r="F16" i="152" s="1"/>
  <c r="AH156" i="155"/>
  <c r="S475" i="155"/>
  <c r="R475" i="155"/>
  <c r="AH157" i="155"/>
  <c r="L4" i="155"/>
  <c r="T498" i="155"/>
  <c r="T482" i="155" s="1"/>
  <c r="T490" i="155" s="1"/>
  <c r="T475" i="155"/>
  <c r="T474" i="155"/>
  <c r="T2" i="155" a="1"/>
  <c r="T2" i="155" s="1"/>
  <c r="U3" i="155"/>
  <c r="U4" i="155" s="1"/>
  <c r="L4" i="154"/>
  <c r="AH156" i="154"/>
  <c r="S498" i="154"/>
  <c r="S482" i="154" s="1"/>
  <c r="S490" i="154" s="1"/>
  <c r="S474" i="154"/>
  <c r="T3" i="154"/>
  <c r="T4" i="154" s="1"/>
  <c r="S2" i="154" a="1"/>
  <c r="S2" i="154" s="1"/>
  <c r="T3" i="98"/>
  <c r="T4" i="98" s="1"/>
  <c r="S474" i="153"/>
  <c r="S498" i="153"/>
  <c r="S482" i="153" s="1"/>
  <c r="S490" i="153" s="1"/>
  <c r="T3" i="153"/>
  <c r="T4" i="153" s="1"/>
  <c r="S2" i="153" a="1"/>
  <c r="S2" i="153" s="1"/>
  <c r="L4" i="153"/>
  <c r="R474" i="153"/>
  <c r="R498" i="153"/>
  <c r="R482" i="153" s="1"/>
  <c r="R490" i="153" s="1"/>
  <c r="AH156" i="153"/>
  <c r="T2" i="103" a="1"/>
  <c r="T2" i="103" s="1"/>
  <c r="J6" i="72"/>
  <c r="K5" i="72" s="1"/>
  <c r="K6" i="72" s="1"/>
  <c r="L5" i="72" s="1"/>
  <c r="L6" i="72" s="1"/>
  <c r="M5" i="72" s="1"/>
  <c r="M6" i="72" s="1"/>
  <c r="N5" i="72" s="1"/>
  <c r="N6" i="72" s="1"/>
  <c r="S5" i="72"/>
  <c r="R5" i="72" s="1"/>
  <c r="R6" i="72" s="1"/>
  <c r="R33" i="72" s="1"/>
  <c r="S2" i="104" a="1"/>
  <c r="S2" i="104" s="1"/>
  <c r="T3" i="104"/>
  <c r="T4" i="104" s="1"/>
  <c r="V3" i="103"/>
  <c r="V4" i="103" s="1"/>
  <c r="U2" i="103" a="1"/>
  <c r="U2" i="103" s="1"/>
  <c r="I5" i="152"/>
  <c r="H6" i="152"/>
  <c r="H7" i="152" s="1"/>
  <c r="H8" i="152" s="1"/>
  <c r="H9" i="152" s="1"/>
  <c r="H10" i="152" s="1"/>
  <c r="H11" i="152" s="1"/>
  <c r="H12" i="152" s="1"/>
  <c r="H13" i="152" s="1"/>
  <c r="H14" i="152" s="1"/>
  <c r="H15" i="152" s="1"/>
  <c r="H16" i="152" s="1"/>
  <c r="AE61" i="34" l="1"/>
  <c r="X61" i="34"/>
  <c r="AF61" i="34"/>
  <c r="N61" i="34"/>
  <c r="V61" i="34"/>
  <c r="W61" i="34"/>
  <c r="P61" i="34"/>
  <c r="AD61" i="34"/>
  <c r="O61" i="34"/>
  <c r="AI18" i="151" a="1"/>
  <c r="AI18" i="151" s="1"/>
  <c r="AO2" i="105" a="1"/>
  <c r="AO2" i="105" s="1"/>
  <c r="AH18" i="151" a="1"/>
  <c r="AH18" i="151" s="1"/>
  <c r="AT2" i="105" a="1"/>
  <c r="AT2" i="105" s="1"/>
  <c r="AM18" i="151" a="1"/>
  <c r="AM18" i="151" s="1"/>
  <c r="R4" i="72" a="1"/>
  <c r="R4" i="72" s="1"/>
  <c r="AE18" i="151" a="1"/>
  <c r="AE18" i="151" s="1"/>
  <c r="AG18" i="151" a="1"/>
  <c r="AG18" i="151" s="1"/>
  <c r="AR2" i="105" a="1"/>
  <c r="AR2" i="105" s="1"/>
  <c r="AM2" i="105" a="1"/>
  <c r="AM2" i="105" s="1"/>
  <c r="AD18" i="151" a="1"/>
  <c r="AD18" i="151" s="1"/>
  <c r="AK2" i="105" a="1"/>
  <c r="AK2" i="105" s="1"/>
  <c r="AK18" i="151" a="1"/>
  <c r="AK18" i="151" s="1"/>
  <c r="AN2" i="105" a="1"/>
  <c r="AN2" i="105" s="1"/>
  <c r="AF18" i="151" a="1"/>
  <c r="AF18" i="151" s="1"/>
  <c r="AO18" i="151" a="1"/>
  <c r="AO18" i="151" s="1"/>
  <c r="AP2" i="105" a="1"/>
  <c r="AP2" i="105" s="1"/>
  <c r="AJ18" i="151" a="1"/>
  <c r="AJ18" i="151" s="1"/>
  <c r="J5" i="152"/>
  <c r="J17" i="152" s="1"/>
  <c r="AI2" i="105" a="1"/>
  <c r="AI2" i="105" s="1"/>
  <c r="AL2" i="105" a="1"/>
  <c r="AL2" i="105" s="1"/>
  <c r="AN18" i="151" a="1"/>
  <c r="AN18" i="151" s="1"/>
  <c r="AJ2" i="105" a="1"/>
  <c r="AJ2" i="105" s="1"/>
  <c r="AS2" i="105" a="1"/>
  <c r="AS2" i="105" s="1"/>
  <c r="AQ2" i="105" a="1"/>
  <c r="AQ2" i="105" s="1"/>
  <c r="AL18" i="151" a="1"/>
  <c r="AL18" i="151" s="1"/>
  <c r="R476" i="155"/>
  <c r="AI156" i="155"/>
  <c r="AJ156" i="155" s="1"/>
  <c r="AK156" i="155" s="1"/>
  <c r="AL156" i="155" s="1"/>
  <c r="R475" i="154"/>
  <c r="M4" i="155"/>
  <c r="R477" i="155"/>
  <c r="T476" i="155"/>
  <c r="AI157" i="155"/>
  <c r="S476" i="155"/>
  <c r="U498" i="155"/>
  <c r="U482" i="155" s="1"/>
  <c r="U490" i="155" s="1"/>
  <c r="U476" i="155"/>
  <c r="U474" i="155"/>
  <c r="U475" i="155"/>
  <c r="U2" i="155" a="1"/>
  <c r="U2" i="155" s="1"/>
  <c r="V3" i="155"/>
  <c r="V4" i="155" s="1"/>
  <c r="AI156" i="154"/>
  <c r="AJ156" i="154" s="1"/>
  <c r="AK156" i="154" s="1"/>
  <c r="AL156" i="154" s="1"/>
  <c r="AH157" i="154"/>
  <c r="T498" i="154"/>
  <c r="T482" i="154" s="1"/>
  <c r="T490" i="154" s="1"/>
  <c r="T474" i="154"/>
  <c r="T475" i="154"/>
  <c r="U3" i="154"/>
  <c r="U4" i="154" s="1"/>
  <c r="T2" i="154" a="1"/>
  <c r="T2" i="154" s="1"/>
  <c r="S475" i="154"/>
  <c r="M4" i="154"/>
  <c r="U3" i="98"/>
  <c r="U4" i="98" s="1"/>
  <c r="T2" i="98" a="1"/>
  <c r="T2" i="98" s="1"/>
  <c r="M4" i="153"/>
  <c r="AI156" i="153"/>
  <c r="AJ156" i="153" s="1"/>
  <c r="AK156" i="153" s="1"/>
  <c r="AL156" i="153" s="1"/>
  <c r="R475" i="153"/>
  <c r="S475" i="153"/>
  <c r="AH157" i="153"/>
  <c r="T474" i="153"/>
  <c r="T498" i="153"/>
  <c r="T482" i="153" s="1"/>
  <c r="T490" i="153" s="1"/>
  <c r="U3" i="153"/>
  <c r="U4" i="153" s="1"/>
  <c r="T475" i="153"/>
  <c r="T2" i="153" a="1"/>
  <c r="T2" i="153" s="1"/>
  <c r="I17" i="152"/>
  <c r="T2" i="104" a="1"/>
  <c r="T2" i="104" s="1"/>
  <c r="U3" i="104"/>
  <c r="U4" i="104" s="1"/>
  <c r="W3" i="103"/>
  <c r="W4" i="103" s="1"/>
  <c r="V2" i="103" a="1"/>
  <c r="V2" i="103" s="1"/>
  <c r="I6" i="152"/>
  <c r="I7" i="152" s="1"/>
  <c r="I8" i="152" s="1"/>
  <c r="I9" i="152" s="1"/>
  <c r="I10" i="152" s="1"/>
  <c r="I11" i="152" s="1"/>
  <c r="I12" i="152" s="1"/>
  <c r="I13" i="152" s="1"/>
  <c r="I14" i="152" s="1"/>
  <c r="I15" i="152" s="1"/>
  <c r="I16" i="152" s="1"/>
  <c r="G48" i="34" l="1"/>
  <c r="G44" i="34"/>
  <c r="G50" i="34"/>
  <c r="G43" i="34"/>
  <c r="G49" i="34"/>
  <c r="G47" i="34"/>
  <c r="H48" i="34"/>
  <c r="H50" i="34"/>
  <c r="H43" i="34"/>
  <c r="H44" i="34"/>
  <c r="H49" i="34"/>
  <c r="H47" i="34"/>
  <c r="I45" i="34"/>
  <c r="G45" i="34"/>
  <c r="H45" i="34"/>
  <c r="J47" i="34"/>
  <c r="J49" i="34"/>
  <c r="J50" i="34"/>
  <c r="J43" i="34"/>
  <c r="J48" i="34"/>
  <c r="J44" i="34"/>
  <c r="I48" i="34"/>
  <c r="I43" i="34"/>
  <c r="I44" i="34"/>
  <c r="I49" i="34"/>
  <c r="I50" i="34"/>
  <c r="I47" i="34"/>
  <c r="F48" i="34"/>
  <c r="F44" i="34"/>
  <c r="F50" i="34"/>
  <c r="F43" i="34"/>
  <c r="F49" i="34"/>
  <c r="F47" i="34"/>
  <c r="F45" i="34"/>
  <c r="J45" i="34"/>
  <c r="Z61" i="34"/>
  <c r="AG61" i="34"/>
  <c r="AH61" i="34"/>
  <c r="J61" i="34"/>
  <c r="I61" i="34"/>
  <c r="Y61" i="34"/>
  <c r="Q61" i="34"/>
  <c r="J6" i="152"/>
  <c r="J7" i="152" s="1"/>
  <c r="J8" i="152" s="1"/>
  <c r="J9" i="152" s="1"/>
  <c r="J10" i="152" s="1"/>
  <c r="J11" i="152" s="1"/>
  <c r="J12" i="152" s="1"/>
  <c r="J13" i="152" s="1"/>
  <c r="J14" i="152" s="1"/>
  <c r="J15" i="152" s="1"/>
  <c r="J16" i="152" s="1"/>
  <c r="K5" i="152"/>
  <c r="R499" i="155"/>
  <c r="R483" i="155" s="1"/>
  <c r="R491" i="155" s="1"/>
  <c r="R499" i="154"/>
  <c r="R483" i="154" s="1"/>
  <c r="R491" i="154" s="1"/>
  <c r="T499" i="154"/>
  <c r="T483" i="154" s="1"/>
  <c r="T491" i="154" s="1"/>
  <c r="S499" i="155"/>
  <c r="S483" i="155" s="1"/>
  <c r="S491" i="155" s="1"/>
  <c r="U499" i="155"/>
  <c r="U483" i="155" s="1"/>
  <c r="U491" i="155" s="1"/>
  <c r="T499" i="153"/>
  <c r="T483" i="153" s="1"/>
  <c r="T491" i="153" s="1"/>
  <c r="AP18" i="151" a="1"/>
  <c r="AP18" i="151" s="1"/>
  <c r="BA18" i="151" a="1"/>
  <c r="BA18" i="151" s="1"/>
  <c r="BD18" i="151" a="1"/>
  <c r="BD18" i="151" s="1"/>
  <c r="BJ2" i="105" a="1"/>
  <c r="BJ2" i="105" s="1"/>
  <c r="BG18" i="151" a="1"/>
  <c r="BG18" i="151" s="1"/>
  <c r="AU18" i="151" a="1"/>
  <c r="AU18" i="151" s="1"/>
  <c r="BM2" i="105" a="1"/>
  <c r="BM2" i="105" s="1"/>
  <c r="BE18" i="151" a="1"/>
  <c r="BE18" i="151" s="1"/>
  <c r="BG2" i="105" a="1"/>
  <c r="BG2" i="105" s="1"/>
  <c r="AT18" i="151" a="1"/>
  <c r="AT18" i="151" s="1"/>
  <c r="BK2" i="105" a="1"/>
  <c r="BK2" i="105" s="1"/>
  <c r="AZ18" i="151" a="1"/>
  <c r="AZ18" i="151" s="1"/>
  <c r="AY2" i="105" a="1"/>
  <c r="AY2" i="105" s="1"/>
  <c r="AX18" i="151" a="1"/>
  <c r="AX18" i="151" s="1"/>
  <c r="BH2" i="105" a="1"/>
  <c r="BH2" i="105" s="1"/>
  <c r="BJ18" i="151" a="1"/>
  <c r="BJ18" i="151" s="1"/>
  <c r="BQ2" i="105" a="1"/>
  <c r="BQ2" i="105" s="1"/>
  <c r="BK18" i="151" a="1"/>
  <c r="BK18" i="151" s="1"/>
  <c r="BF2" i="105" a="1"/>
  <c r="BF2" i="105" s="1"/>
  <c r="BM18" i="151" a="1"/>
  <c r="BM18" i="151" s="1"/>
  <c r="BI2" i="105" a="1"/>
  <c r="BI2" i="105" s="1"/>
  <c r="BD2" i="105" a="1"/>
  <c r="BD2" i="105" s="1"/>
  <c r="AQ18" i="151" a="1"/>
  <c r="AQ18" i="151" s="1"/>
  <c r="AS18" i="151" a="1"/>
  <c r="AS18" i="151" s="1"/>
  <c r="AV18" i="151" a="1"/>
  <c r="AV18" i="151" s="1"/>
  <c r="AX2" i="105" a="1"/>
  <c r="AX2" i="105" s="1"/>
  <c r="BB2" i="105" a="1"/>
  <c r="BB2" i="105" s="1"/>
  <c r="BF18" i="151" a="1"/>
  <c r="BF18" i="151" s="1"/>
  <c r="BE2" i="105" a="1"/>
  <c r="BE2" i="105" s="1"/>
  <c r="BN2" i="105" a="1"/>
  <c r="BN2" i="105" s="1"/>
  <c r="AW18" i="151" a="1"/>
  <c r="AW18" i="151" s="1"/>
  <c r="BR2" i="105" a="1"/>
  <c r="BR2" i="105" s="1"/>
  <c r="BC2" i="105" a="1"/>
  <c r="BC2" i="105" s="1"/>
  <c r="BP2" i="105" a="1"/>
  <c r="BP2" i="105" s="1"/>
  <c r="BL18" i="151" a="1"/>
  <c r="BL18" i="151" s="1"/>
  <c r="AY18" i="151" a="1"/>
  <c r="AY18" i="151" s="1"/>
  <c r="BA2" i="105" a="1"/>
  <c r="BA2" i="105" s="1"/>
  <c r="AV2" i="105" a="1"/>
  <c r="AV2" i="105" s="1"/>
  <c r="BC18" i="151" a="1"/>
  <c r="BC18" i="151" s="1"/>
  <c r="BB18" i="151" a="1"/>
  <c r="BB18" i="151" s="1"/>
  <c r="AW2" i="105" a="1"/>
  <c r="AW2" i="105" s="1"/>
  <c r="AR18" i="151" a="1"/>
  <c r="AR18" i="151" s="1"/>
  <c r="BL2" i="105" a="1"/>
  <c r="BL2" i="105" s="1"/>
  <c r="AZ2" i="105" a="1"/>
  <c r="AZ2" i="105" s="1"/>
  <c r="AU2" i="105" a="1"/>
  <c r="AU2" i="105" s="1"/>
  <c r="BO2" i="105" a="1"/>
  <c r="BO2" i="105" s="1"/>
  <c r="BH18" i="151" a="1"/>
  <c r="BH18" i="151" s="1"/>
  <c r="BI18" i="151" a="1"/>
  <c r="BI18" i="151" s="1"/>
  <c r="S499" i="154"/>
  <c r="S483" i="154" s="1"/>
  <c r="S491" i="154" s="1"/>
  <c r="R476" i="154"/>
  <c r="T499" i="155"/>
  <c r="T483" i="155" s="1"/>
  <c r="T491" i="155" s="1"/>
  <c r="U477" i="155"/>
  <c r="S477" i="155"/>
  <c r="R476" i="153"/>
  <c r="AH159" i="155"/>
  <c r="AH158" i="155"/>
  <c r="T477" i="155"/>
  <c r="V476" i="155"/>
  <c r="V474" i="155"/>
  <c r="V477" i="155"/>
  <c r="V475" i="155"/>
  <c r="V498" i="155"/>
  <c r="V482" i="155" s="1"/>
  <c r="V490" i="155" s="1"/>
  <c r="V499" i="155"/>
  <c r="V483" i="155" s="1"/>
  <c r="V491" i="155" s="1"/>
  <c r="V2" i="155" a="1"/>
  <c r="V2" i="155" s="1"/>
  <c r="W3" i="155"/>
  <c r="W4" i="155" s="1"/>
  <c r="N4" i="155"/>
  <c r="AJ157" i="155"/>
  <c r="S476" i="154"/>
  <c r="R477" i="154"/>
  <c r="N4" i="154"/>
  <c r="AI157" i="154"/>
  <c r="AJ157" i="154" s="1"/>
  <c r="AK157" i="154" s="1"/>
  <c r="AL157" i="154" s="1"/>
  <c r="U476" i="154"/>
  <c r="U498" i="154"/>
  <c r="U482" i="154" s="1"/>
  <c r="U490" i="154" s="1"/>
  <c r="U475" i="154"/>
  <c r="U499" i="154"/>
  <c r="U483" i="154" s="1"/>
  <c r="U491" i="154" s="1"/>
  <c r="U474" i="154"/>
  <c r="U2" i="154" a="1"/>
  <c r="U2" i="154" s="1"/>
  <c r="V3" i="154"/>
  <c r="V4" i="154" s="1"/>
  <c r="T476" i="154"/>
  <c r="U2" i="98" a="1"/>
  <c r="U2" i="98" s="1"/>
  <c r="V3" i="98"/>
  <c r="V4" i="98" s="1"/>
  <c r="R499" i="153"/>
  <c r="R483" i="153" s="1"/>
  <c r="R491" i="153" s="1"/>
  <c r="N4" i="153"/>
  <c r="U498" i="153"/>
  <c r="U482" i="153" s="1"/>
  <c r="U490" i="153" s="1"/>
  <c r="U476" i="153"/>
  <c r="U474" i="153"/>
  <c r="U499" i="153"/>
  <c r="U483" i="153" s="1"/>
  <c r="U491" i="153" s="1"/>
  <c r="V3" i="153"/>
  <c r="V4" i="153" s="1"/>
  <c r="U475" i="153"/>
  <c r="U2" i="153" a="1"/>
  <c r="U2" i="153" s="1"/>
  <c r="S499" i="153"/>
  <c r="S483" i="153" s="1"/>
  <c r="S491" i="153" s="1"/>
  <c r="AH158" i="153"/>
  <c r="S476" i="153"/>
  <c r="AI157" i="153"/>
  <c r="AJ157" i="153" s="1"/>
  <c r="AK157" i="153" s="1"/>
  <c r="AL157" i="153" s="1"/>
  <c r="T476" i="153"/>
  <c r="U2" i="104" a="1"/>
  <c r="U2" i="104" s="1"/>
  <c r="V3" i="104"/>
  <c r="V4" i="104" s="1"/>
  <c r="X3" i="103"/>
  <c r="X4" i="103" s="1"/>
  <c r="W2" i="103" a="1"/>
  <c r="W2" i="103" s="1"/>
  <c r="K17" i="152" l="1"/>
  <c r="K6" i="152"/>
  <c r="K7" i="152" s="1"/>
  <c r="K8" i="152" s="1"/>
  <c r="K9" i="152" s="1"/>
  <c r="K10" i="152" s="1"/>
  <c r="K11" i="152" s="1"/>
  <c r="K12" i="152" s="1"/>
  <c r="K13" i="152" s="1"/>
  <c r="K14" i="152" s="1"/>
  <c r="K15" i="152" s="1"/>
  <c r="K16" i="152" s="1"/>
  <c r="S477" i="153"/>
  <c r="R477" i="153"/>
  <c r="R500" i="154"/>
  <c r="R484" i="154" s="1"/>
  <c r="R492" i="154" s="1"/>
  <c r="U477" i="154"/>
  <c r="R500" i="153"/>
  <c r="R484" i="153" s="1"/>
  <c r="R492" i="153" s="1"/>
  <c r="S500" i="153"/>
  <c r="S484" i="153" s="1"/>
  <c r="S492" i="153" s="1"/>
  <c r="S500" i="154"/>
  <c r="S484" i="154" s="1"/>
  <c r="S492" i="154" s="1"/>
  <c r="S477" i="154"/>
  <c r="AK157" i="155"/>
  <c r="W476" i="155"/>
  <c r="W478" i="155"/>
  <c r="W477" i="155"/>
  <c r="W474" i="155"/>
  <c r="W499" i="155"/>
  <c r="W483" i="155" s="1"/>
  <c r="W491" i="155" s="1"/>
  <c r="W475" i="155"/>
  <c r="W498" i="155"/>
  <c r="W482" i="155" s="1"/>
  <c r="W490" i="155" s="1"/>
  <c r="W2" i="155" a="1"/>
  <c r="W2" i="155" s="1"/>
  <c r="X3" i="155"/>
  <c r="X4" i="155" s="1"/>
  <c r="AI159" i="155"/>
  <c r="AJ159" i="155" s="1"/>
  <c r="AK159" i="155" s="1"/>
  <c r="AL159" i="155" s="1"/>
  <c r="AI158" i="155"/>
  <c r="V478" i="155"/>
  <c r="T478" i="155"/>
  <c r="R478" i="155"/>
  <c r="U478" i="155"/>
  <c r="S478" i="155"/>
  <c r="V476" i="154"/>
  <c r="V474" i="154"/>
  <c r="V498" i="154"/>
  <c r="V482" i="154" s="1"/>
  <c r="V490" i="154" s="1"/>
  <c r="V477" i="154"/>
  <c r="V500" i="154"/>
  <c r="V484" i="154" s="1"/>
  <c r="V492" i="154" s="1"/>
  <c r="V499" i="154"/>
  <c r="V483" i="154" s="1"/>
  <c r="V491" i="154" s="1"/>
  <c r="V475" i="154"/>
  <c r="V2" i="154" a="1"/>
  <c r="V2" i="154" s="1"/>
  <c r="W3" i="154"/>
  <c r="W4" i="154" s="1"/>
  <c r="R478" i="154"/>
  <c r="T500" i="154"/>
  <c r="T484" i="154" s="1"/>
  <c r="T492" i="154" s="1"/>
  <c r="U500" i="154"/>
  <c r="U484" i="154" s="1"/>
  <c r="U492" i="154" s="1"/>
  <c r="AH158" i="154"/>
  <c r="T477" i="154"/>
  <c r="V2" i="98" a="1"/>
  <c r="V2" i="98" s="1"/>
  <c r="W3" i="98"/>
  <c r="W4" i="98" s="1"/>
  <c r="AI158" i="153"/>
  <c r="T477" i="153"/>
  <c r="U477" i="153"/>
  <c r="V475" i="153"/>
  <c r="V498" i="153"/>
  <c r="V482" i="153" s="1"/>
  <c r="V490" i="153" s="1"/>
  <c r="V476" i="153"/>
  <c r="V474" i="153"/>
  <c r="V499" i="153"/>
  <c r="V483" i="153" s="1"/>
  <c r="V491" i="153" s="1"/>
  <c r="W3" i="153"/>
  <c r="W4" i="153" s="1"/>
  <c r="V500" i="153"/>
  <c r="V484" i="153" s="1"/>
  <c r="V492" i="153" s="1"/>
  <c r="V477" i="153"/>
  <c r="V2" i="153" a="1"/>
  <c r="V2" i="153" s="1"/>
  <c r="T500" i="153"/>
  <c r="T484" i="153" s="1"/>
  <c r="T492" i="153" s="1"/>
  <c r="AH159" i="153"/>
  <c r="U500" i="153"/>
  <c r="U484" i="153" s="1"/>
  <c r="U492" i="153" s="1"/>
  <c r="V2" i="104" a="1"/>
  <c r="V2" i="104" s="1"/>
  <c r="W3" i="104"/>
  <c r="W4" i="104" s="1"/>
  <c r="Y3" i="103"/>
  <c r="Y4" i="103" s="1"/>
  <c r="X2" i="103" a="1"/>
  <c r="X2" i="103" s="1"/>
  <c r="CC2" i="105" l="1" a="1"/>
  <c r="CC2" i="105" s="1"/>
  <c r="BP18" i="151" a="1"/>
  <c r="BP18" i="151" s="1"/>
  <c r="BW2" i="105" a="1"/>
  <c r="BW2" i="105" s="1"/>
  <c r="BT18" i="151" a="1"/>
  <c r="BT18" i="151" s="1"/>
  <c r="BO18" i="151" a="1"/>
  <c r="BO18" i="151" s="1"/>
  <c r="BZ2" i="105" a="1"/>
  <c r="BZ2" i="105" s="1"/>
  <c r="BQ18" i="151" a="1"/>
  <c r="BQ18" i="151" s="1"/>
  <c r="BW18" i="151" a="1"/>
  <c r="BW18" i="151" s="1"/>
  <c r="BR18" i="151" a="1"/>
  <c r="BR18" i="151" s="1"/>
  <c r="BX18" i="151" a="1"/>
  <c r="BX18" i="151" s="1"/>
  <c r="BS18" i="151" a="1"/>
  <c r="BS18" i="151" s="1"/>
  <c r="CD2" i="105" a="1"/>
  <c r="CD2" i="105" s="1"/>
  <c r="BU2" i="105" a="1"/>
  <c r="BU2" i="105" s="1"/>
  <c r="BU18" i="151" a="1"/>
  <c r="BU18" i="151" s="1"/>
  <c r="CB2" i="105" a="1"/>
  <c r="CB2" i="105" s="1"/>
  <c r="BT2" i="105" a="1"/>
  <c r="BT2" i="105" s="1"/>
  <c r="BX2" i="105" a="1"/>
  <c r="BX2" i="105" s="1"/>
  <c r="BV2" i="105" a="1"/>
  <c r="BV2" i="105" s="1"/>
  <c r="BV18" i="151" a="1"/>
  <c r="BV18" i="151" s="1"/>
  <c r="BY18" i="151" a="1"/>
  <c r="BY18" i="151" s="1"/>
  <c r="BS2" i="105" a="1"/>
  <c r="BS2" i="105" s="1"/>
  <c r="BY2" i="105" a="1"/>
  <c r="BY2" i="105" s="1"/>
  <c r="BN18" i="151" a="1"/>
  <c r="BN18" i="151" s="1"/>
  <c r="CA2" i="105" a="1"/>
  <c r="CA2" i="105" s="1"/>
  <c r="R478" i="153"/>
  <c r="T478" i="154"/>
  <c r="V478" i="154"/>
  <c r="V502" i="155"/>
  <c r="V486" i="155" s="1"/>
  <c r="V494" i="155" s="1"/>
  <c r="U502" i="155"/>
  <c r="U486" i="155" s="1"/>
  <c r="U494" i="155" s="1"/>
  <c r="T502" i="155"/>
  <c r="T486" i="155" s="1"/>
  <c r="T494" i="155" s="1"/>
  <c r="R502" i="155"/>
  <c r="R486" i="155" s="1"/>
  <c r="R494" i="155" s="1"/>
  <c r="S502" i="155"/>
  <c r="S486" i="155" s="1"/>
  <c r="S494" i="155" s="1"/>
  <c r="S478" i="154"/>
  <c r="T478" i="153"/>
  <c r="X476" i="155"/>
  <c r="X475" i="155"/>
  <c r="X502" i="155"/>
  <c r="X486" i="155" s="1"/>
  <c r="X494" i="155" s="1"/>
  <c r="X474" i="155"/>
  <c r="X499" i="155"/>
  <c r="X483" i="155" s="1"/>
  <c r="X491" i="155" s="1"/>
  <c r="X478" i="155"/>
  <c r="X498" i="155"/>
  <c r="X482" i="155" s="1"/>
  <c r="X490" i="155" s="1"/>
  <c r="X477" i="155"/>
  <c r="X2" i="155" a="1"/>
  <c r="X2" i="155" s="1"/>
  <c r="Y3" i="155"/>
  <c r="Y4" i="155" s="1"/>
  <c r="AJ158" i="155"/>
  <c r="W502" i="155"/>
  <c r="W486" i="155" s="1"/>
  <c r="W494" i="155" s="1"/>
  <c r="AL157" i="155"/>
  <c r="X500" i="155" s="1"/>
  <c r="X484" i="155" s="1"/>
  <c r="X492" i="155" s="1"/>
  <c r="AH160" i="155"/>
  <c r="AI158" i="154"/>
  <c r="AJ158" i="154" s="1"/>
  <c r="AK158" i="154" s="1"/>
  <c r="AL158" i="154" s="1"/>
  <c r="AH159" i="154"/>
  <c r="U478" i="154"/>
  <c r="W500" i="154"/>
  <c r="W484" i="154" s="1"/>
  <c r="W492" i="154" s="1"/>
  <c r="W478" i="154"/>
  <c r="W498" i="154"/>
  <c r="W482" i="154" s="1"/>
  <c r="W490" i="154" s="1"/>
  <c r="W476" i="154"/>
  <c r="W474" i="154"/>
  <c r="W499" i="154"/>
  <c r="W483" i="154" s="1"/>
  <c r="W491" i="154" s="1"/>
  <c r="W475" i="154"/>
  <c r="W477" i="154"/>
  <c r="W2" i="154" a="1"/>
  <c r="W2" i="154" s="1"/>
  <c r="X3" i="154"/>
  <c r="X4" i="154" s="1"/>
  <c r="X3" i="98"/>
  <c r="X4" i="98" s="1"/>
  <c r="W2" i="98" a="1"/>
  <c r="W2" i="98" s="1"/>
  <c r="S478" i="153"/>
  <c r="W498" i="153"/>
  <c r="W482" i="153" s="1"/>
  <c r="W490" i="153" s="1"/>
  <c r="W475" i="153"/>
  <c r="W476" i="153"/>
  <c r="W500" i="153"/>
  <c r="W484" i="153" s="1"/>
  <c r="W492" i="153" s="1"/>
  <c r="W499" i="153"/>
  <c r="W483" i="153" s="1"/>
  <c r="W491" i="153" s="1"/>
  <c r="W477" i="153"/>
  <c r="W478" i="153"/>
  <c r="W474" i="153"/>
  <c r="X3" i="153"/>
  <c r="X4" i="153" s="1"/>
  <c r="W2" i="153" a="1"/>
  <c r="W2" i="153" s="1"/>
  <c r="AI159" i="153"/>
  <c r="AJ159" i="153" s="1"/>
  <c r="AK159" i="153" s="1"/>
  <c r="AL159" i="153" s="1"/>
  <c r="R502" i="153" s="1"/>
  <c r="R486" i="153" s="1"/>
  <c r="R494" i="153" s="1"/>
  <c r="AJ158" i="153"/>
  <c r="V478" i="153"/>
  <c r="U478" i="153"/>
  <c r="W2" i="104" a="1"/>
  <c r="W2" i="104" s="1"/>
  <c r="X3" i="104"/>
  <c r="X4" i="104" s="1"/>
  <c r="Z3" i="103"/>
  <c r="Z4" i="103" s="1"/>
  <c r="Y2" i="103" a="1"/>
  <c r="Y2" i="103" s="1"/>
  <c r="N76" i="105" l="1"/>
  <c r="I40" i="151" s="1"/>
  <c r="K43" i="151"/>
  <c r="F86" i="294" s="1"/>
  <c r="N43" i="151"/>
  <c r="I86" i="294" s="1"/>
  <c r="M43" i="151"/>
  <c r="H86" i="294" s="1"/>
  <c r="L43" i="151"/>
  <c r="G86" i="294" s="1"/>
  <c r="J43" i="151"/>
  <c r="E86" i="294" s="1"/>
  <c r="U502" i="153"/>
  <c r="U486" i="153" s="1"/>
  <c r="U494" i="153" s="1"/>
  <c r="V502" i="153"/>
  <c r="V486" i="153" s="1"/>
  <c r="V494" i="153" s="1"/>
  <c r="V500" i="155"/>
  <c r="V484" i="155" s="1"/>
  <c r="V492" i="155" s="1"/>
  <c r="S502" i="153"/>
  <c r="S486" i="153" s="1"/>
  <c r="S494" i="153" s="1"/>
  <c r="R479" i="155"/>
  <c r="U501" i="154"/>
  <c r="U485" i="154" s="1"/>
  <c r="U493" i="154" s="1"/>
  <c r="R500" i="155"/>
  <c r="R484" i="155" s="1"/>
  <c r="R492" i="155" s="1"/>
  <c r="W500" i="155"/>
  <c r="W484" i="155" s="1"/>
  <c r="W492" i="155" s="1"/>
  <c r="V501" i="154"/>
  <c r="V485" i="154" s="1"/>
  <c r="V493" i="154" s="1"/>
  <c r="W501" i="154"/>
  <c r="W485" i="154" s="1"/>
  <c r="W493" i="154" s="1"/>
  <c r="S479" i="155"/>
  <c r="T501" i="154"/>
  <c r="T485" i="154" s="1"/>
  <c r="T493" i="154" s="1"/>
  <c r="S501" i="154"/>
  <c r="S485" i="154" s="1"/>
  <c r="S493" i="154" s="1"/>
  <c r="R501" i="154"/>
  <c r="R485" i="154" s="1"/>
  <c r="R493" i="154" s="1"/>
  <c r="T502" i="153"/>
  <c r="T486" i="153" s="1"/>
  <c r="T494" i="153" s="1"/>
  <c r="Y500" i="155"/>
  <c r="Y484" i="155" s="1"/>
  <c r="Y492" i="155" s="1"/>
  <c r="Y479" i="155"/>
  <c r="Y499" i="155"/>
  <c r="Y483" i="155" s="1"/>
  <c r="Y491" i="155" s="1"/>
  <c r="Y477" i="155"/>
  <c r="Y498" i="155"/>
  <c r="Y482" i="155" s="1"/>
  <c r="Y490" i="155" s="1"/>
  <c r="Y478" i="155"/>
  <c r="Y476" i="155"/>
  <c r="Y474" i="155"/>
  <c r="Y502" i="155"/>
  <c r="Y486" i="155" s="1"/>
  <c r="Y494" i="155" s="1"/>
  <c r="Y475" i="155"/>
  <c r="Y2" i="155" a="1"/>
  <c r="Y2" i="155" s="1"/>
  <c r="Z3" i="155"/>
  <c r="Z4" i="155" s="1"/>
  <c r="S500" i="155"/>
  <c r="S484" i="155" s="1"/>
  <c r="S492" i="155" s="1"/>
  <c r="AK158" i="155"/>
  <c r="V479" i="155"/>
  <c r="U479" i="155"/>
  <c r="T500" i="155"/>
  <c r="T484" i="155" s="1"/>
  <c r="T492" i="155" s="1"/>
  <c r="X479" i="155"/>
  <c r="AI160" i="155"/>
  <c r="AJ160" i="155" s="1"/>
  <c r="AK160" i="155" s="1"/>
  <c r="AL160" i="155" s="1"/>
  <c r="T479" i="155"/>
  <c r="U500" i="155"/>
  <c r="U484" i="155" s="1"/>
  <c r="U492" i="155" s="1"/>
  <c r="W479" i="155"/>
  <c r="AI159" i="154"/>
  <c r="AJ159" i="154" s="1"/>
  <c r="AK159" i="154" s="1"/>
  <c r="AL159" i="154" s="1"/>
  <c r="R479" i="154"/>
  <c r="X499" i="154"/>
  <c r="X483" i="154" s="1"/>
  <c r="X491" i="154" s="1"/>
  <c r="X474" i="154"/>
  <c r="X501" i="154"/>
  <c r="X485" i="154" s="1"/>
  <c r="X493" i="154" s="1"/>
  <c r="X477" i="154"/>
  <c r="X478" i="154"/>
  <c r="X500" i="154"/>
  <c r="X484" i="154" s="1"/>
  <c r="X492" i="154" s="1"/>
  <c r="X476" i="154"/>
  <c r="X475" i="154"/>
  <c r="X2" i="154" a="1"/>
  <c r="X2" i="154" s="1"/>
  <c r="X498" i="154"/>
  <c r="X482" i="154" s="1"/>
  <c r="X490" i="154" s="1"/>
  <c r="Y3" i="154"/>
  <c r="Y4" i="154" s="1"/>
  <c r="Y3" i="98"/>
  <c r="Y4" i="98" s="1"/>
  <c r="X2" i="98" a="1"/>
  <c r="X2" i="98" s="1"/>
  <c r="W502" i="153"/>
  <c r="W486" i="153" s="1"/>
  <c r="W494" i="153" s="1"/>
  <c r="AH160" i="153"/>
  <c r="X475" i="153"/>
  <c r="X476" i="153"/>
  <c r="X500" i="153"/>
  <c r="X484" i="153" s="1"/>
  <c r="X492" i="153" s="1"/>
  <c r="X498" i="153"/>
  <c r="X482" i="153" s="1"/>
  <c r="X490" i="153" s="1"/>
  <c r="X499" i="153"/>
  <c r="X483" i="153" s="1"/>
  <c r="X491" i="153" s="1"/>
  <c r="X477" i="153"/>
  <c r="X502" i="153"/>
  <c r="X486" i="153" s="1"/>
  <c r="X494" i="153" s="1"/>
  <c r="X478" i="153"/>
  <c r="X2" i="153" a="1"/>
  <c r="X2" i="153" s="1"/>
  <c r="X474" i="153"/>
  <c r="Y3" i="153"/>
  <c r="Y4" i="153" s="1"/>
  <c r="AK158" i="153"/>
  <c r="Y3" i="104"/>
  <c r="Y4" i="104" s="1"/>
  <c r="X2" i="104" a="1"/>
  <c r="X2" i="104" s="1"/>
  <c r="AA3" i="103"/>
  <c r="AA4" i="103" s="1"/>
  <c r="Z2" i="103" a="1"/>
  <c r="Z2" i="103" s="1"/>
  <c r="R479" i="153" l="1"/>
  <c r="T503" i="155"/>
  <c r="T487" i="155" s="1"/>
  <c r="T495" i="155" s="1"/>
  <c r="U479" i="153"/>
  <c r="X503" i="155"/>
  <c r="X487" i="155" s="1"/>
  <c r="X495" i="155" s="1"/>
  <c r="V503" i="155"/>
  <c r="V487" i="155" s="1"/>
  <c r="V495" i="155" s="1"/>
  <c r="V479" i="153"/>
  <c r="R503" i="155"/>
  <c r="R487" i="155" s="1"/>
  <c r="R495" i="155" s="1"/>
  <c r="W503" i="155"/>
  <c r="W487" i="155" s="1"/>
  <c r="W495" i="155" s="1"/>
  <c r="U503" i="155"/>
  <c r="U487" i="155" s="1"/>
  <c r="U495" i="155" s="1"/>
  <c r="S503" i="155"/>
  <c r="S487" i="155" s="1"/>
  <c r="S495" i="155" s="1"/>
  <c r="W502" i="154"/>
  <c r="W486" i="154" s="1"/>
  <c r="W494" i="154" s="1"/>
  <c r="V502" i="154"/>
  <c r="V486" i="154" s="1"/>
  <c r="V494" i="154" s="1"/>
  <c r="X502" i="154"/>
  <c r="X486" i="154" s="1"/>
  <c r="X494" i="154" s="1"/>
  <c r="T502" i="154"/>
  <c r="T486" i="154" s="1"/>
  <c r="T494" i="154" s="1"/>
  <c r="S502" i="154"/>
  <c r="S486" i="154" s="1"/>
  <c r="S494" i="154" s="1"/>
  <c r="T479" i="153"/>
  <c r="S479" i="153"/>
  <c r="W479" i="153"/>
  <c r="X479" i="153"/>
  <c r="Z498" i="155"/>
  <c r="Z482" i="155" s="1"/>
  <c r="Z490" i="155" s="1"/>
  <c r="Z474" i="155"/>
  <c r="Z500" i="155"/>
  <c r="Z484" i="155" s="1"/>
  <c r="Z492" i="155" s="1"/>
  <c r="Z479" i="155"/>
  <c r="Z502" i="155"/>
  <c r="Z486" i="155" s="1"/>
  <c r="Z494" i="155" s="1"/>
  <c r="Z477" i="155"/>
  <c r="Z476" i="155"/>
  <c r="Z503" i="155"/>
  <c r="Z487" i="155" s="1"/>
  <c r="Z495" i="155" s="1"/>
  <c r="Z475" i="155"/>
  <c r="Z478" i="155"/>
  <c r="Z499" i="155"/>
  <c r="Z483" i="155" s="1"/>
  <c r="Z491" i="155" s="1"/>
  <c r="AA3" i="155"/>
  <c r="AA4" i="155" s="1"/>
  <c r="Z2" i="155" a="1"/>
  <c r="Z2" i="155" s="1"/>
  <c r="AL158" i="155"/>
  <c r="Y501" i="155" s="1"/>
  <c r="Y485" i="155" s="1"/>
  <c r="Y493" i="155" s="1"/>
  <c r="Y503" i="155"/>
  <c r="Y487" i="155" s="1"/>
  <c r="Y495" i="155" s="1"/>
  <c r="AH160" i="154"/>
  <c r="W479" i="154"/>
  <c r="U502" i="154"/>
  <c r="U486" i="154" s="1"/>
  <c r="U494" i="154" s="1"/>
  <c r="R502" i="154"/>
  <c r="R486" i="154" s="1"/>
  <c r="R494" i="154" s="1"/>
  <c r="U479" i="154"/>
  <c r="Y502" i="154"/>
  <c r="Y486" i="154" s="1"/>
  <c r="Y494" i="154" s="1"/>
  <c r="Y500" i="154"/>
  <c r="Y484" i="154" s="1"/>
  <c r="Y492" i="154" s="1"/>
  <c r="Y475" i="154"/>
  <c r="Y501" i="154"/>
  <c r="Y485" i="154" s="1"/>
  <c r="Y493" i="154" s="1"/>
  <c r="Y477" i="154"/>
  <c r="Y476" i="154"/>
  <c r="Y479" i="154"/>
  <c r="Y498" i="154"/>
  <c r="Y482" i="154" s="1"/>
  <c r="Y490" i="154" s="1"/>
  <c r="Y2" i="154" a="1"/>
  <c r="Y2" i="154" s="1"/>
  <c r="Y474" i="154"/>
  <c r="Y499" i="154"/>
  <c r="Y483" i="154" s="1"/>
  <c r="Y491" i="154" s="1"/>
  <c r="Y478" i="154"/>
  <c r="Z3" i="154"/>
  <c r="Z4" i="154" s="1"/>
  <c r="X479" i="154"/>
  <c r="V479" i="154"/>
  <c r="T479" i="154"/>
  <c r="S479" i="154"/>
  <c r="Z3" i="98"/>
  <c r="Z4" i="98" s="1"/>
  <c r="Y2" i="98" a="1"/>
  <c r="Y2" i="98" s="1"/>
  <c r="AI160" i="153"/>
  <c r="AL158" i="153"/>
  <c r="W501" i="153" s="1"/>
  <c r="W485" i="153" s="1"/>
  <c r="W493" i="153" s="1"/>
  <c r="Y498" i="153"/>
  <c r="Y482" i="153" s="1"/>
  <c r="Y490" i="153" s="1"/>
  <c r="Y476" i="153"/>
  <c r="Y502" i="153"/>
  <c r="Y486" i="153" s="1"/>
  <c r="Y494" i="153" s="1"/>
  <c r="Y500" i="153"/>
  <c r="Y484" i="153" s="1"/>
  <c r="Y492" i="153" s="1"/>
  <c r="Y477" i="153"/>
  <c r="Y479" i="153"/>
  <c r="Y478" i="153"/>
  <c r="Y475" i="153"/>
  <c r="Y2" i="153" a="1"/>
  <c r="Y2" i="153" s="1"/>
  <c r="Y474" i="153"/>
  <c r="Y499" i="153"/>
  <c r="Y483" i="153" s="1"/>
  <c r="Y491" i="153" s="1"/>
  <c r="Z3" i="153"/>
  <c r="Z4" i="153" s="1"/>
  <c r="Z3" i="104"/>
  <c r="Z4" i="104" s="1"/>
  <c r="Y2" i="104" a="1"/>
  <c r="Y2" i="104" s="1"/>
  <c r="AA2" i="103" a="1"/>
  <c r="AA2" i="103" s="1"/>
  <c r="AB3" i="103"/>
  <c r="AB4" i="103" s="1"/>
  <c r="X501" i="153" l="1"/>
  <c r="X485" i="153" s="1"/>
  <c r="X493" i="153" s="1"/>
  <c r="Y501" i="153"/>
  <c r="Y485" i="153" s="1"/>
  <c r="Y493" i="153" s="1"/>
  <c r="Z501" i="155"/>
  <c r="Z485" i="155" s="1"/>
  <c r="Z493" i="155" s="1"/>
  <c r="X501" i="155"/>
  <c r="X485" i="155" s="1"/>
  <c r="X493" i="155" s="1"/>
  <c r="V501" i="155"/>
  <c r="V485" i="155" s="1"/>
  <c r="V493" i="155" s="1"/>
  <c r="AA503" i="155"/>
  <c r="AA487" i="155" s="1"/>
  <c r="AA495" i="155" s="1"/>
  <c r="AA475" i="155"/>
  <c r="AA502" i="155"/>
  <c r="AA486" i="155" s="1"/>
  <c r="AA494" i="155" s="1"/>
  <c r="AA474" i="155"/>
  <c r="AA477" i="155"/>
  <c r="AA478" i="155"/>
  <c r="AA500" i="155"/>
  <c r="AA484" i="155" s="1"/>
  <c r="AA492" i="155" s="1"/>
  <c r="AA498" i="155"/>
  <c r="AA482" i="155" s="1"/>
  <c r="AA490" i="155" s="1"/>
  <c r="AA476" i="155"/>
  <c r="AA479" i="155"/>
  <c r="AA499" i="155"/>
  <c r="AA483" i="155" s="1"/>
  <c r="AA491" i="155" s="1"/>
  <c r="AB3" i="155"/>
  <c r="AB4" i="155" s="1"/>
  <c r="AA501" i="155"/>
  <c r="AA485" i="155" s="1"/>
  <c r="AA493" i="155" s="1"/>
  <c r="AA2" i="155" a="1"/>
  <c r="AA2" i="155" s="1"/>
  <c r="W501" i="155"/>
  <c r="W485" i="155" s="1"/>
  <c r="W493" i="155" s="1"/>
  <c r="T501" i="155"/>
  <c r="T485" i="155" s="1"/>
  <c r="T493" i="155" s="1"/>
  <c r="U501" i="155"/>
  <c r="U485" i="155" s="1"/>
  <c r="U493" i="155" s="1"/>
  <c r="S501" i="155"/>
  <c r="S485" i="155" s="1"/>
  <c r="S493" i="155" s="1"/>
  <c r="R501" i="155"/>
  <c r="R485" i="155" s="1"/>
  <c r="R493" i="155" s="1"/>
  <c r="Z478" i="154"/>
  <c r="Z474" i="154"/>
  <c r="Z498" i="154"/>
  <c r="Z482" i="154" s="1"/>
  <c r="Z490" i="154" s="1"/>
  <c r="Z477" i="154"/>
  <c r="Z501" i="154"/>
  <c r="Z485" i="154" s="1"/>
  <c r="Z493" i="154" s="1"/>
  <c r="Z502" i="154"/>
  <c r="Z486" i="154" s="1"/>
  <c r="Z494" i="154" s="1"/>
  <c r="Z499" i="154"/>
  <c r="Z483" i="154" s="1"/>
  <c r="Z491" i="154" s="1"/>
  <c r="Z479" i="154"/>
  <c r="Z476" i="154"/>
  <c r="Z500" i="154"/>
  <c r="Z484" i="154" s="1"/>
  <c r="Z492" i="154" s="1"/>
  <c r="Z2" i="154" a="1"/>
  <c r="Z2" i="154" s="1"/>
  <c r="Z475" i="154"/>
  <c r="AA3" i="154"/>
  <c r="AA4" i="154" s="1"/>
  <c r="AI160" i="154"/>
  <c r="Z2" i="98" a="1"/>
  <c r="Z2" i="98" s="1"/>
  <c r="AA3" i="98"/>
  <c r="AA4" i="98" s="1"/>
  <c r="Z501" i="153"/>
  <c r="Z485" i="153" s="1"/>
  <c r="Z493" i="153" s="1"/>
  <c r="Z478" i="153"/>
  <c r="Z477" i="153"/>
  <c r="Z502" i="153"/>
  <c r="Z486" i="153" s="1"/>
  <c r="Z494" i="153" s="1"/>
  <c r="Z498" i="153"/>
  <c r="Z482" i="153" s="1"/>
  <c r="Z490" i="153" s="1"/>
  <c r="Z479" i="153"/>
  <c r="Z476" i="153"/>
  <c r="Z499" i="153"/>
  <c r="Z483" i="153" s="1"/>
  <c r="Z491" i="153" s="1"/>
  <c r="Z475" i="153"/>
  <c r="Z500" i="153"/>
  <c r="Z484" i="153" s="1"/>
  <c r="Z492" i="153" s="1"/>
  <c r="Z474" i="153"/>
  <c r="Z2" i="153" a="1"/>
  <c r="Z2" i="153" s="1"/>
  <c r="AA3" i="153"/>
  <c r="AA4" i="153" s="1"/>
  <c r="U501" i="153"/>
  <c r="U485" i="153" s="1"/>
  <c r="U493" i="153" s="1"/>
  <c r="AJ160" i="153"/>
  <c r="V501" i="153"/>
  <c r="V485" i="153" s="1"/>
  <c r="V493" i="153" s="1"/>
  <c r="T501" i="153"/>
  <c r="T485" i="153" s="1"/>
  <c r="T493" i="153" s="1"/>
  <c r="S501" i="153"/>
  <c r="S485" i="153" s="1"/>
  <c r="S493" i="153" s="1"/>
  <c r="R501" i="153"/>
  <c r="R485" i="153" s="1"/>
  <c r="R493" i="153" s="1"/>
  <c r="AA3" i="104"/>
  <c r="AA4" i="104" s="1"/>
  <c r="Z2" i="104" a="1"/>
  <c r="Z2" i="104" s="1"/>
  <c r="AB2" i="103" a="1"/>
  <c r="AB2" i="103" s="1"/>
  <c r="AC3" i="103"/>
  <c r="AC4" i="103" s="1"/>
  <c r="AB502" i="155" l="1"/>
  <c r="AB486" i="155" s="1"/>
  <c r="AB494" i="155" s="1"/>
  <c r="AB477" i="155"/>
  <c r="AB474" i="155"/>
  <c r="AB503" i="155"/>
  <c r="AB487" i="155" s="1"/>
  <c r="AB495" i="155" s="1"/>
  <c r="AB475" i="155"/>
  <c r="AB500" i="155"/>
  <c r="AB484" i="155" s="1"/>
  <c r="AB492" i="155" s="1"/>
  <c r="AB479" i="155"/>
  <c r="AB478" i="155"/>
  <c r="AB499" i="155"/>
  <c r="AB483" i="155" s="1"/>
  <c r="AB491" i="155" s="1"/>
  <c r="AB476" i="155"/>
  <c r="AB498" i="155"/>
  <c r="AB482" i="155" s="1"/>
  <c r="AB490" i="155" s="1"/>
  <c r="AB501" i="155"/>
  <c r="AB485" i="155" s="1"/>
  <c r="AB493" i="155" s="1"/>
  <c r="AC3" i="155"/>
  <c r="AC4" i="155" s="1"/>
  <c r="AB2" i="155" a="1"/>
  <c r="AB2" i="155" s="1"/>
  <c r="AA474" i="154"/>
  <c r="AA477" i="154"/>
  <c r="AA479" i="154"/>
  <c r="AA501" i="154"/>
  <c r="AA485" i="154" s="1"/>
  <c r="AA493" i="154" s="1"/>
  <c r="AA476" i="154"/>
  <c r="AA498" i="154"/>
  <c r="AA482" i="154" s="1"/>
  <c r="AA490" i="154" s="1"/>
  <c r="AA478" i="154"/>
  <c r="AA475" i="154"/>
  <c r="AA500" i="154"/>
  <c r="AA484" i="154" s="1"/>
  <c r="AA492" i="154" s="1"/>
  <c r="AA502" i="154"/>
  <c r="AA486" i="154" s="1"/>
  <c r="AA494" i="154" s="1"/>
  <c r="AA499" i="154"/>
  <c r="AA483" i="154" s="1"/>
  <c r="AA491" i="154" s="1"/>
  <c r="AA2" i="154" a="1"/>
  <c r="AA2" i="154" s="1"/>
  <c r="AB3" i="154"/>
  <c r="AB4" i="154" s="1"/>
  <c r="AJ160" i="154"/>
  <c r="AB3" i="98"/>
  <c r="AB4" i="98" s="1"/>
  <c r="AA2" i="98" a="1"/>
  <c r="AA2" i="98" s="1"/>
  <c r="AA501" i="153"/>
  <c r="AA485" i="153" s="1"/>
  <c r="AA493" i="153" s="1"/>
  <c r="AA477" i="153"/>
  <c r="AA500" i="153"/>
  <c r="AA484" i="153" s="1"/>
  <c r="AA492" i="153" s="1"/>
  <c r="AA479" i="153"/>
  <c r="AA476" i="153"/>
  <c r="AA498" i="153"/>
  <c r="AA482" i="153" s="1"/>
  <c r="AA490" i="153" s="1"/>
  <c r="AA499" i="153"/>
  <c r="AA483" i="153" s="1"/>
  <c r="AA491" i="153" s="1"/>
  <c r="AA478" i="153"/>
  <c r="AA474" i="153"/>
  <c r="AA502" i="153"/>
  <c r="AA486" i="153" s="1"/>
  <c r="AA494" i="153" s="1"/>
  <c r="AA2" i="153" a="1"/>
  <c r="AA2" i="153" s="1"/>
  <c r="AA475" i="153"/>
  <c r="AB3" i="153"/>
  <c r="AB4" i="153" s="1"/>
  <c r="AK160" i="153"/>
  <c r="AB3" i="104"/>
  <c r="AB4" i="104" s="1"/>
  <c r="AA2" i="104" a="1"/>
  <c r="AA2" i="104" s="1"/>
  <c r="AC2" i="103" a="1"/>
  <c r="AC2" i="103" s="1"/>
  <c r="AD3" i="103"/>
  <c r="AD4" i="103" s="1"/>
  <c r="AC477" i="155" l="1"/>
  <c r="AC503" i="155"/>
  <c r="AC487" i="155" s="1"/>
  <c r="AC495" i="155" s="1"/>
  <c r="AC475" i="155"/>
  <c r="AC478" i="155"/>
  <c r="AC501" i="155"/>
  <c r="AC485" i="155" s="1"/>
  <c r="AC493" i="155" s="1"/>
  <c r="AC476" i="155"/>
  <c r="AC498" i="155"/>
  <c r="AC482" i="155" s="1"/>
  <c r="AC490" i="155" s="1"/>
  <c r="AC499" i="155"/>
  <c r="AC483" i="155" s="1"/>
  <c r="AC491" i="155" s="1"/>
  <c r="AC474" i="155"/>
  <c r="AC502" i="155"/>
  <c r="AC486" i="155" s="1"/>
  <c r="AC494" i="155" s="1"/>
  <c r="AC479" i="155"/>
  <c r="AC500" i="155"/>
  <c r="AC484" i="155" s="1"/>
  <c r="AC492" i="155" s="1"/>
  <c r="AD3" i="155"/>
  <c r="AD4" i="155" s="1"/>
  <c r="AC2" i="155" a="1"/>
  <c r="AC2" i="155" s="1"/>
  <c r="AB500" i="154"/>
  <c r="AB484" i="154" s="1"/>
  <c r="AB492" i="154" s="1"/>
  <c r="AB478" i="154"/>
  <c r="AB502" i="154"/>
  <c r="AB486" i="154" s="1"/>
  <c r="AB494" i="154" s="1"/>
  <c r="AB476" i="154"/>
  <c r="AB499" i="154"/>
  <c r="AB483" i="154" s="1"/>
  <c r="AB491" i="154" s="1"/>
  <c r="AB474" i="154"/>
  <c r="AB479" i="154"/>
  <c r="AB498" i="154"/>
  <c r="AB482" i="154" s="1"/>
  <c r="AB490" i="154" s="1"/>
  <c r="AB477" i="154"/>
  <c r="AB475" i="154"/>
  <c r="AB501" i="154"/>
  <c r="AB485" i="154" s="1"/>
  <c r="AB493" i="154" s="1"/>
  <c r="AB2" i="154" a="1"/>
  <c r="AB2" i="154" s="1"/>
  <c r="AC3" i="154"/>
  <c r="AC4" i="154" s="1"/>
  <c r="AK160" i="154"/>
  <c r="AC3" i="98"/>
  <c r="AC4" i="98" s="1"/>
  <c r="AB2" i="98" a="1"/>
  <c r="AB2" i="98" s="1"/>
  <c r="AB502" i="153"/>
  <c r="AB486" i="153" s="1"/>
  <c r="AB494" i="153" s="1"/>
  <c r="AB500" i="153"/>
  <c r="AB484" i="153" s="1"/>
  <c r="AB492" i="153" s="1"/>
  <c r="AB498" i="153"/>
  <c r="AB482" i="153" s="1"/>
  <c r="AB490" i="153" s="1"/>
  <c r="AB476" i="153"/>
  <c r="AB478" i="153"/>
  <c r="AB477" i="153"/>
  <c r="AB479" i="153"/>
  <c r="AB499" i="153"/>
  <c r="AB483" i="153" s="1"/>
  <c r="AB491" i="153" s="1"/>
  <c r="AB475" i="153"/>
  <c r="AB474" i="153"/>
  <c r="AB2" i="153" a="1"/>
  <c r="AB2" i="153" s="1"/>
  <c r="AB501" i="153"/>
  <c r="AB485" i="153" s="1"/>
  <c r="AB493" i="153" s="1"/>
  <c r="AC3" i="153"/>
  <c r="AC4" i="153" s="1"/>
  <c r="AL160" i="153"/>
  <c r="W503" i="153" s="1"/>
  <c r="W487" i="153" s="1"/>
  <c r="W495" i="153" s="1"/>
  <c r="AC3" i="104"/>
  <c r="AC4" i="104" s="1"/>
  <c r="AB2" i="104" a="1"/>
  <c r="AB2" i="104" s="1"/>
  <c r="AE3" i="103"/>
  <c r="AE4" i="103" s="1"/>
  <c r="AD2" i="103" a="1"/>
  <c r="AD2" i="103" s="1"/>
  <c r="Z503" i="153" l="1"/>
  <c r="Z487" i="153" s="1"/>
  <c r="Z495" i="153" s="1"/>
  <c r="V503" i="153"/>
  <c r="V487" i="153" s="1"/>
  <c r="V495" i="153" s="1"/>
  <c r="S503" i="153"/>
  <c r="S487" i="153" s="1"/>
  <c r="S495" i="153" s="1"/>
  <c r="Y503" i="153"/>
  <c r="Y487" i="153" s="1"/>
  <c r="Y495" i="153" s="1"/>
  <c r="U503" i="153"/>
  <c r="U487" i="153" s="1"/>
  <c r="U495" i="153" s="1"/>
  <c r="T503" i="153"/>
  <c r="T487" i="153" s="1"/>
  <c r="T495" i="153" s="1"/>
  <c r="X503" i="153"/>
  <c r="X487" i="153" s="1"/>
  <c r="X495" i="153" s="1"/>
  <c r="AB503" i="153"/>
  <c r="AB487" i="153" s="1"/>
  <c r="AB495" i="153" s="1"/>
  <c r="AD498" i="155"/>
  <c r="AD482" i="155" s="1"/>
  <c r="AD490" i="155" s="1"/>
  <c r="AD503" i="155"/>
  <c r="AD487" i="155" s="1"/>
  <c r="AD495" i="155" s="1"/>
  <c r="AD474" i="155"/>
  <c r="AD502" i="155"/>
  <c r="AD486" i="155" s="1"/>
  <c r="AD494" i="155" s="1"/>
  <c r="AD499" i="155"/>
  <c r="AD483" i="155" s="1"/>
  <c r="AD491" i="155" s="1"/>
  <c r="AD476" i="155"/>
  <c r="AD477" i="155"/>
  <c r="AD479" i="155"/>
  <c r="AD500" i="155"/>
  <c r="AD484" i="155" s="1"/>
  <c r="AD492" i="155" s="1"/>
  <c r="AD475" i="155"/>
  <c r="AD501" i="155"/>
  <c r="AD485" i="155" s="1"/>
  <c r="AD493" i="155" s="1"/>
  <c r="AD478" i="155"/>
  <c r="AD2" i="155" a="1"/>
  <c r="AD2" i="155" s="1"/>
  <c r="AE3" i="155"/>
  <c r="AE4" i="155" s="1"/>
  <c r="AL160" i="154"/>
  <c r="Y503" i="154" s="1"/>
  <c r="Y487" i="154" s="1"/>
  <c r="Y495" i="154" s="1"/>
  <c r="AC500" i="154"/>
  <c r="AC484" i="154" s="1"/>
  <c r="AC492" i="154" s="1"/>
  <c r="AC475" i="154"/>
  <c r="AC479" i="154"/>
  <c r="AC498" i="154"/>
  <c r="AC482" i="154" s="1"/>
  <c r="AC490" i="154" s="1"/>
  <c r="AC476" i="154"/>
  <c r="AC499" i="154"/>
  <c r="AC483" i="154" s="1"/>
  <c r="AC491" i="154" s="1"/>
  <c r="AC474" i="154"/>
  <c r="AC501" i="154"/>
  <c r="AC485" i="154" s="1"/>
  <c r="AC493" i="154" s="1"/>
  <c r="AC478" i="154"/>
  <c r="AC502" i="154"/>
  <c r="AC486" i="154" s="1"/>
  <c r="AC494" i="154" s="1"/>
  <c r="AC2" i="154" a="1"/>
  <c r="AC2" i="154" s="1"/>
  <c r="AD3" i="154"/>
  <c r="AD4" i="154" s="1"/>
  <c r="AC477" i="154"/>
  <c r="AC2" i="98" a="1"/>
  <c r="AC2" i="98" s="1"/>
  <c r="AD3" i="98"/>
  <c r="AD4" i="98" s="1"/>
  <c r="AC502" i="153"/>
  <c r="AC486" i="153" s="1"/>
  <c r="AC494" i="153" s="1"/>
  <c r="AC500" i="153"/>
  <c r="AC484" i="153" s="1"/>
  <c r="AC492" i="153" s="1"/>
  <c r="AC498" i="153"/>
  <c r="AC482" i="153" s="1"/>
  <c r="AC490" i="153" s="1"/>
  <c r="AC476" i="153"/>
  <c r="AC503" i="153"/>
  <c r="AC487" i="153" s="1"/>
  <c r="AC495" i="153" s="1"/>
  <c r="AC478" i="153"/>
  <c r="AC477" i="153"/>
  <c r="AC499" i="153"/>
  <c r="AC483" i="153" s="1"/>
  <c r="AC491" i="153" s="1"/>
  <c r="AC479" i="153"/>
  <c r="AC475" i="153"/>
  <c r="AC2" i="153" a="1"/>
  <c r="AC2" i="153" s="1"/>
  <c r="AC474" i="153"/>
  <c r="AC501" i="153"/>
  <c r="AC485" i="153" s="1"/>
  <c r="AC493" i="153" s="1"/>
  <c r="AD3" i="153"/>
  <c r="AD4" i="153" s="1"/>
  <c r="AA503" i="153"/>
  <c r="AA487" i="153" s="1"/>
  <c r="AA495" i="153" s="1"/>
  <c r="R503" i="153"/>
  <c r="R487" i="153" s="1"/>
  <c r="R495" i="153" s="1"/>
  <c r="AD3" i="104"/>
  <c r="AD4" i="104" s="1"/>
  <c r="AC2" i="104" a="1"/>
  <c r="AC2" i="104" s="1"/>
  <c r="AE2" i="103" a="1"/>
  <c r="AE2" i="103" s="1"/>
  <c r="AF3" i="103"/>
  <c r="AF4" i="103" s="1"/>
  <c r="R503" i="154" l="1"/>
  <c r="R487" i="154" s="1"/>
  <c r="R495" i="154" s="1"/>
  <c r="V503" i="154"/>
  <c r="V487" i="154" s="1"/>
  <c r="V495" i="154" s="1"/>
  <c r="AA503" i="154"/>
  <c r="AA487" i="154" s="1"/>
  <c r="AA495" i="154" s="1"/>
  <c r="AC503" i="154"/>
  <c r="AC487" i="154" s="1"/>
  <c r="AC495" i="154" s="1"/>
  <c r="AB503" i="154"/>
  <c r="AB487" i="154" s="1"/>
  <c r="AB495" i="154" s="1"/>
  <c r="T503" i="154"/>
  <c r="T487" i="154" s="1"/>
  <c r="T495" i="154" s="1"/>
  <c r="S503" i="154"/>
  <c r="S487" i="154" s="1"/>
  <c r="S495" i="154" s="1"/>
  <c r="U503" i="154"/>
  <c r="U487" i="154" s="1"/>
  <c r="U495" i="154" s="1"/>
  <c r="AE503" i="155"/>
  <c r="AE487" i="155" s="1"/>
  <c r="AE495" i="155" s="1"/>
  <c r="AE502" i="155"/>
  <c r="AE486" i="155" s="1"/>
  <c r="AE494" i="155" s="1"/>
  <c r="AE501" i="155"/>
  <c r="AE485" i="155" s="1"/>
  <c r="AE493" i="155" s="1"/>
  <c r="AE500" i="155"/>
  <c r="AE484" i="155" s="1"/>
  <c r="AE492" i="155" s="1"/>
  <c r="AE479" i="155"/>
  <c r="AE474" i="155"/>
  <c r="AE498" i="155"/>
  <c r="AE482" i="155" s="1"/>
  <c r="AE490" i="155" s="1"/>
  <c r="AE475" i="155"/>
  <c r="AE477" i="155"/>
  <c r="AE499" i="155"/>
  <c r="AE483" i="155" s="1"/>
  <c r="AE491" i="155" s="1"/>
  <c r="AE478" i="155"/>
  <c r="AE476" i="155"/>
  <c r="AE2" i="155" a="1"/>
  <c r="AE2" i="155" s="1"/>
  <c r="AF3" i="155"/>
  <c r="AF4" i="155" s="1"/>
  <c r="W503" i="154"/>
  <c r="W487" i="154" s="1"/>
  <c r="W495" i="154" s="1"/>
  <c r="Z503" i="154"/>
  <c r="Z487" i="154" s="1"/>
  <c r="Z495" i="154" s="1"/>
  <c r="X503" i="154"/>
  <c r="X487" i="154" s="1"/>
  <c r="X495" i="154" s="1"/>
  <c r="AD500" i="154"/>
  <c r="AD484" i="154" s="1"/>
  <c r="AD492" i="154" s="1"/>
  <c r="AD475" i="154"/>
  <c r="AD498" i="154"/>
  <c r="AD482" i="154" s="1"/>
  <c r="AD490" i="154" s="1"/>
  <c r="AD503" i="154"/>
  <c r="AD487" i="154" s="1"/>
  <c r="AD495" i="154" s="1"/>
  <c r="AD499" i="154"/>
  <c r="AD483" i="154" s="1"/>
  <c r="AD491" i="154" s="1"/>
  <c r="AD474" i="154"/>
  <c r="AD476" i="154"/>
  <c r="AD502" i="154"/>
  <c r="AD486" i="154" s="1"/>
  <c r="AD494" i="154" s="1"/>
  <c r="AD501" i="154"/>
  <c r="AD485" i="154" s="1"/>
  <c r="AD493" i="154" s="1"/>
  <c r="AE3" i="154"/>
  <c r="AE4" i="154" s="1"/>
  <c r="AD479" i="154"/>
  <c r="AD477" i="154"/>
  <c r="AD478" i="154"/>
  <c r="AD2" i="154" a="1"/>
  <c r="AD2" i="154" s="1"/>
  <c r="AD2" i="98" a="1"/>
  <c r="AD2" i="98" s="1"/>
  <c r="AE3" i="98"/>
  <c r="AE4" i="98" s="1"/>
  <c r="AD502" i="153"/>
  <c r="AD486" i="153" s="1"/>
  <c r="AD494" i="153" s="1"/>
  <c r="AD500" i="153"/>
  <c r="AD484" i="153" s="1"/>
  <c r="AD492" i="153" s="1"/>
  <c r="AD498" i="153"/>
  <c r="AD482" i="153" s="1"/>
  <c r="AD490" i="153" s="1"/>
  <c r="AD476" i="153"/>
  <c r="AD503" i="153"/>
  <c r="AD487" i="153" s="1"/>
  <c r="AD495" i="153" s="1"/>
  <c r="AD479" i="153"/>
  <c r="AD477" i="153"/>
  <c r="AD475" i="153"/>
  <c r="AD499" i="153"/>
  <c r="AD483" i="153" s="1"/>
  <c r="AD491" i="153" s="1"/>
  <c r="AD474" i="153"/>
  <c r="AD2" i="153" a="1"/>
  <c r="AD2" i="153" s="1"/>
  <c r="AD478" i="153"/>
  <c r="AD501" i="153"/>
  <c r="AD485" i="153" s="1"/>
  <c r="AD493" i="153" s="1"/>
  <c r="AE3" i="153"/>
  <c r="AE4" i="153" s="1"/>
  <c r="AE3" i="104"/>
  <c r="AE4" i="104" s="1"/>
  <c r="AD2" i="104" a="1"/>
  <c r="AD2" i="104" s="1"/>
  <c r="AF2" i="103" a="1"/>
  <c r="AF2" i="103" s="1"/>
  <c r="AG3" i="103"/>
  <c r="AG4" i="103" s="1"/>
  <c r="AF499" i="155" l="1"/>
  <c r="AF483" i="155" s="1"/>
  <c r="AF491" i="155" s="1"/>
  <c r="AF474" i="155"/>
  <c r="AF502" i="155"/>
  <c r="AF486" i="155" s="1"/>
  <c r="AF494" i="155" s="1"/>
  <c r="AF478" i="155"/>
  <c r="AF477" i="155"/>
  <c r="AF479" i="155"/>
  <c r="AF500" i="155"/>
  <c r="AF484" i="155" s="1"/>
  <c r="AF492" i="155" s="1"/>
  <c r="AF503" i="155"/>
  <c r="AF487" i="155" s="1"/>
  <c r="AF495" i="155" s="1"/>
  <c r="AF476" i="155"/>
  <c r="AF501" i="155"/>
  <c r="AF485" i="155" s="1"/>
  <c r="AF493" i="155" s="1"/>
  <c r="AF498" i="155"/>
  <c r="AF482" i="155" s="1"/>
  <c r="AF490" i="155" s="1"/>
  <c r="AF2" i="155" a="1"/>
  <c r="AF2" i="155" s="1"/>
  <c r="AG3" i="155"/>
  <c r="AG4" i="155" s="1"/>
  <c r="AF475" i="155"/>
  <c r="AE477" i="154"/>
  <c r="AE479" i="154"/>
  <c r="AE502" i="154"/>
  <c r="AE486" i="154" s="1"/>
  <c r="AE494" i="154" s="1"/>
  <c r="AE503" i="154"/>
  <c r="AE487" i="154" s="1"/>
  <c r="AE495" i="154" s="1"/>
  <c r="AE499" i="154"/>
  <c r="AE483" i="154" s="1"/>
  <c r="AE491" i="154" s="1"/>
  <c r="AE474" i="154"/>
  <c r="AE478" i="154"/>
  <c r="AE476" i="154"/>
  <c r="AE475" i="154"/>
  <c r="AE500" i="154"/>
  <c r="AE484" i="154" s="1"/>
  <c r="AE492" i="154" s="1"/>
  <c r="AE498" i="154"/>
  <c r="AE482" i="154" s="1"/>
  <c r="AE490" i="154" s="1"/>
  <c r="AE501" i="154"/>
  <c r="AE485" i="154" s="1"/>
  <c r="AE493" i="154" s="1"/>
  <c r="AF3" i="154"/>
  <c r="AF4" i="154" s="1"/>
  <c r="AE2" i="154" a="1"/>
  <c r="AE2" i="154" s="1"/>
  <c r="AE2" i="98" a="1"/>
  <c r="AE2" i="98" s="1"/>
  <c r="AF3" i="98"/>
  <c r="AF4" i="98" s="1"/>
  <c r="AE503" i="153"/>
  <c r="AE487" i="153" s="1"/>
  <c r="AE495" i="153" s="1"/>
  <c r="AE499" i="153"/>
  <c r="AE483" i="153" s="1"/>
  <c r="AE491" i="153" s="1"/>
  <c r="AE479" i="153"/>
  <c r="AE478" i="153"/>
  <c r="AE477" i="153"/>
  <c r="AE502" i="153"/>
  <c r="AE486" i="153" s="1"/>
  <c r="AE494" i="153" s="1"/>
  <c r="AE475" i="153"/>
  <c r="AE476" i="153"/>
  <c r="AE474" i="153"/>
  <c r="AE500" i="153"/>
  <c r="AE484" i="153" s="1"/>
  <c r="AE492" i="153" s="1"/>
  <c r="AE498" i="153"/>
  <c r="AE482" i="153" s="1"/>
  <c r="AE490" i="153" s="1"/>
  <c r="AF3" i="153"/>
  <c r="AF4" i="153" s="1"/>
  <c r="AE501" i="153"/>
  <c r="AE485" i="153" s="1"/>
  <c r="AE493" i="153" s="1"/>
  <c r="AE2" i="153" a="1"/>
  <c r="AE2" i="153" s="1"/>
  <c r="AF3" i="104"/>
  <c r="AF4" i="104" s="1"/>
  <c r="AE2" i="104" a="1"/>
  <c r="AE2" i="104" s="1"/>
  <c r="AG2" i="103" a="1"/>
  <c r="AG2" i="103" s="1"/>
  <c r="AH3" i="103"/>
  <c r="AH4" i="103" s="1"/>
  <c r="AG474" i="155" l="1"/>
  <c r="AG501" i="155"/>
  <c r="AG485" i="155" s="1"/>
  <c r="AG493" i="155" s="1"/>
  <c r="AG499" i="155"/>
  <c r="AG483" i="155" s="1"/>
  <c r="AG491" i="155" s="1"/>
  <c r="AG502" i="155"/>
  <c r="AG486" i="155" s="1"/>
  <c r="AG494" i="155" s="1"/>
  <c r="AG498" i="155"/>
  <c r="AG482" i="155" s="1"/>
  <c r="AG490" i="155" s="1"/>
  <c r="AG475" i="155"/>
  <c r="AG478" i="155"/>
  <c r="AG476" i="155"/>
  <c r="AG479" i="155"/>
  <c r="AG500" i="155"/>
  <c r="AG484" i="155" s="1"/>
  <c r="AG492" i="155" s="1"/>
  <c r="AG477" i="155"/>
  <c r="AG503" i="155"/>
  <c r="AG487" i="155" s="1"/>
  <c r="AG495" i="155" s="1"/>
  <c r="AG2" i="155" a="1"/>
  <c r="AG2" i="155" s="1"/>
  <c r="AH3" i="155"/>
  <c r="AH4" i="155" s="1"/>
  <c r="AF503" i="154"/>
  <c r="AF487" i="154" s="1"/>
  <c r="AF495" i="154" s="1"/>
  <c r="AF475" i="154"/>
  <c r="AF502" i="154"/>
  <c r="AF486" i="154" s="1"/>
  <c r="AF494" i="154" s="1"/>
  <c r="AF476" i="154"/>
  <c r="AF499" i="154"/>
  <c r="AF483" i="154" s="1"/>
  <c r="AF491" i="154" s="1"/>
  <c r="AF478" i="154"/>
  <c r="AF501" i="154"/>
  <c r="AF485" i="154" s="1"/>
  <c r="AF493" i="154" s="1"/>
  <c r="AF498" i="154"/>
  <c r="AF482" i="154" s="1"/>
  <c r="AF490" i="154" s="1"/>
  <c r="AF500" i="154"/>
  <c r="AF484" i="154" s="1"/>
  <c r="AF492" i="154" s="1"/>
  <c r="AG3" i="154"/>
  <c r="AG4" i="154" s="1"/>
  <c r="AF477" i="154"/>
  <c r="AF479" i="154"/>
  <c r="AF474" i="154"/>
  <c r="AF2" i="154" a="1"/>
  <c r="AF2" i="154" s="1"/>
  <c r="AG3" i="98"/>
  <c r="AG4" i="98" s="1"/>
  <c r="AF2" i="98" a="1"/>
  <c r="AF2" i="98" s="1"/>
  <c r="AF503" i="153"/>
  <c r="AF487" i="153" s="1"/>
  <c r="AF495" i="153" s="1"/>
  <c r="AF479" i="153"/>
  <c r="AF478" i="153"/>
  <c r="AF477" i="153"/>
  <c r="AF501" i="153"/>
  <c r="AF485" i="153" s="1"/>
  <c r="AF493" i="153" s="1"/>
  <c r="AF474" i="153"/>
  <c r="AF475" i="153"/>
  <c r="AF500" i="153"/>
  <c r="AF484" i="153" s="1"/>
  <c r="AF492" i="153" s="1"/>
  <c r="AF476" i="153"/>
  <c r="AF498" i="153"/>
  <c r="AF482" i="153" s="1"/>
  <c r="AF490" i="153" s="1"/>
  <c r="AG3" i="153"/>
  <c r="AG4" i="153" s="1"/>
  <c r="AF499" i="153"/>
  <c r="AF483" i="153" s="1"/>
  <c r="AF491" i="153" s="1"/>
  <c r="AF2" i="153" a="1"/>
  <c r="AF2" i="153" s="1"/>
  <c r="AF502" i="153"/>
  <c r="AF486" i="153" s="1"/>
  <c r="AF494" i="153" s="1"/>
  <c r="AG3" i="104"/>
  <c r="AG4" i="104" s="1"/>
  <c r="AF2" i="104" a="1"/>
  <c r="AF2" i="104" s="1"/>
  <c r="AI3" i="103"/>
  <c r="AI4" i="103" s="1"/>
  <c r="AH2" i="103" a="1"/>
  <c r="AH2" i="103" s="1"/>
  <c r="AH501" i="155" l="1"/>
  <c r="AH485" i="155" s="1"/>
  <c r="AH493" i="155" s="1"/>
  <c r="AH499" i="155"/>
  <c r="AH483" i="155" s="1"/>
  <c r="AH491" i="155" s="1"/>
  <c r="AH478" i="155"/>
  <c r="AH498" i="155"/>
  <c r="AH482" i="155" s="1"/>
  <c r="AH490" i="155" s="1"/>
  <c r="AH475" i="155"/>
  <c r="AH476" i="155"/>
  <c r="AH500" i="155"/>
  <c r="AH484" i="155" s="1"/>
  <c r="AH492" i="155" s="1"/>
  <c r="AH503" i="155"/>
  <c r="AH487" i="155" s="1"/>
  <c r="AH495" i="155" s="1"/>
  <c r="AH502" i="155"/>
  <c r="AH486" i="155" s="1"/>
  <c r="AH494" i="155" s="1"/>
  <c r="AH479" i="155"/>
  <c r="AH477" i="155"/>
  <c r="AH474" i="155"/>
  <c r="AI3" i="155"/>
  <c r="AI4" i="155" s="1"/>
  <c r="AH2" i="155" a="1"/>
  <c r="AH2" i="155" s="1"/>
  <c r="AG499" i="154"/>
  <c r="AG483" i="154" s="1"/>
  <c r="AG491" i="154" s="1"/>
  <c r="AG477" i="154"/>
  <c r="AG501" i="154"/>
  <c r="AG485" i="154" s="1"/>
  <c r="AG493" i="154" s="1"/>
  <c r="AG475" i="154"/>
  <c r="AG478" i="154"/>
  <c r="AG503" i="154"/>
  <c r="AG487" i="154" s="1"/>
  <c r="AG495" i="154" s="1"/>
  <c r="AG502" i="154"/>
  <c r="AG486" i="154" s="1"/>
  <c r="AG494" i="154" s="1"/>
  <c r="AG500" i="154"/>
  <c r="AG484" i="154" s="1"/>
  <c r="AG492" i="154" s="1"/>
  <c r="AG498" i="154"/>
  <c r="AG482" i="154" s="1"/>
  <c r="AG490" i="154" s="1"/>
  <c r="AG476" i="154"/>
  <c r="AG479" i="154"/>
  <c r="AH3" i="154"/>
  <c r="AH4" i="154" s="1"/>
  <c r="AG474" i="154"/>
  <c r="AG2" i="154" a="1"/>
  <c r="AG2" i="154" s="1"/>
  <c r="AG2" i="98" a="1"/>
  <c r="AG2" i="98" s="1"/>
  <c r="AH3" i="98"/>
  <c r="AH4" i="98" s="1"/>
  <c r="AG502" i="153"/>
  <c r="AG486" i="153" s="1"/>
  <c r="AG494" i="153" s="1"/>
  <c r="AG475" i="153"/>
  <c r="AG499" i="153"/>
  <c r="AG483" i="153" s="1"/>
  <c r="AG491" i="153" s="1"/>
  <c r="AG501" i="153"/>
  <c r="AG485" i="153" s="1"/>
  <c r="AG493" i="153" s="1"/>
  <c r="AG503" i="153"/>
  <c r="AG487" i="153" s="1"/>
  <c r="AG495" i="153" s="1"/>
  <c r="AG477" i="153"/>
  <c r="AG500" i="153"/>
  <c r="AG484" i="153" s="1"/>
  <c r="AG492" i="153" s="1"/>
  <c r="AG474" i="153"/>
  <c r="AG478" i="153"/>
  <c r="AG476" i="153"/>
  <c r="AG498" i="153"/>
  <c r="AG482" i="153" s="1"/>
  <c r="AG490" i="153" s="1"/>
  <c r="AG479" i="153"/>
  <c r="AH3" i="153"/>
  <c r="AH4" i="153" s="1"/>
  <c r="AG2" i="153" a="1"/>
  <c r="AG2" i="153" s="1"/>
  <c r="AG2" i="104" a="1"/>
  <c r="AG2" i="104" s="1"/>
  <c r="AH3" i="104"/>
  <c r="AH4" i="104" s="1"/>
  <c r="AI2" i="103" a="1"/>
  <c r="AI2" i="103" s="1"/>
  <c r="AJ3" i="103"/>
  <c r="AJ4" i="103" s="1"/>
  <c r="AI501" i="155" l="1"/>
  <c r="AI485" i="155" s="1"/>
  <c r="AI493" i="155" s="1"/>
  <c r="AI478" i="155"/>
  <c r="AI477" i="155"/>
  <c r="AI502" i="155"/>
  <c r="AI486" i="155" s="1"/>
  <c r="AI494" i="155" s="1"/>
  <c r="AI476" i="155"/>
  <c r="AI474" i="155"/>
  <c r="AI500" i="155"/>
  <c r="AI484" i="155" s="1"/>
  <c r="AI492" i="155" s="1"/>
  <c r="AI479" i="155"/>
  <c r="AI498" i="155"/>
  <c r="AI482" i="155" s="1"/>
  <c r="AI490" i="155" s="1"/>
  <c r="AJ3" i="155"/>
  <c r="AJ4" i="155" s="1"/>
  <c r="AI503" i="155"/>
  <c r="AI487" i="155" s="1"/>
  <c r="AI495" i="155" s="1"/>
  <c r="AI499" i="155"/>
  <c r="AI483" i="155" s="1"/>
  <c r="AI491" i="155" s="1"/>
  <c r="AI2" i="155" a="1"/>
  <c r="AI2" i="155" s="1"/>
  <c r="AI475" i="155"/>
  <c r="AH498" i="154"/>
  <c r="AH482" i="154" s="1"/>
  <c r="AH490" i="154" s="1"/>
  <c r="AH501" i="154"/>
  <c r="AH485" i="154" s="1"/>
  <c r="AH493" i="154" s="1"/>
  <c r="AH479" i="154"/>
  <c r="AH502" i="154"/>
  <c r="AH486" i="154" s="1"/>
  <c r="AH494" i="154" s="1"/>
  <c r="AH474" i="154"/>
  <c r="AH478" i="154"/>
  <c r="AH477" i="154"/>
  <c r="AH499" i="154"/>
  <c r="AH483" i="154" s="1"/>
  <c r="AH491" i="154" s="1"/>
  <c r="AH503" i="154"/>
  <c r="AH487" i="154" s="1"/>
  <c r="AH495" i="154" s="1"/>
  <c r="AH476" i="154"/>
  <c r="AI3" i="154"/>
  <c r="AI4" i="154" s="1"/>
  <c r="AH475" i="154"/>
  <c r="AH500" i="154"/>
  <c r="AH484" i="154" s="1"/>
  <c r="AH492" i="154" s="1"/>
  <c r="AH2" i="154" a="1"/>
  <c r="AH2" i="154" s="1"/>
  <c r="AH2" i="98" a="1"/>
  <c r="AH2" i="98" s="1"/>
  <c r="AI3" i="98"/>
  <c r="AI4" i="98" s="1"/>
  <c r="AH477" i="153"/>
  <c r="AH475" i="153"/>
  <c r="AH502" i="153"/>
  <c r="AH486" i="153" s="1"/>
  <c r="AH494" i="153" s="1"/>
  <c r="AH498" i="153"/>
  <c r="AH482" i="153" s="1"/>
  <c r="AH490" i="153" s="1"/>
  <c r="AH503" i="153"/>
  <c r="AH487" i="153" s="1"/>
  <c r="AH495" i="153" s="1"/>
  <c r="AH478" i="153"/>
  <c r="AH479" i="153"/>
  <c r="AH474" i="153"/>
  <c r="AH500" i="153"/>
  <c r="AH484" i="153" s="1"/>
  <c r="AH492" i="153" s="1"/>
  <c r="AH476" i="153"/>
  <c r="AH501" i="153"/>
  <c r="AH485" i="153" s="1"/>
  <c r="AH493" i="153" s="1"/>
  <c r="AH499" i="153"/>
  <c r="AH483" i="153" s="1"/>
  <c r="AH491" i="153" s="1"/>
  <c r="AI3" i="153"/>
  <c r="AI4" i="153" s="1"/>
  <c r="AH2" i="153" a="1"/>
  <c r="AH2" i="153" s="1"/>
  <c r="AH2" i="104" a="1"/>
  <c r="AH2" i="104" s="1"/>
  <c r="AI3" i="104"/>
  <c r="AI4" i="104" s="1"/>
  <c r="AJ2" i="103" a="1"/>
  <c r="AJ2" i="103" s="1"/>
  <c r="AK3" i="103"/>
  <c r="AK4" i="103" s="1"/>
  <c r="AJ501" i="155" l="1"/>
  <c r="AJ485" i="155" s="1"/>
  <c r="AJ493" i="155" s="1"/>
  <c r="AJ500" i="155"/>
  <c r="AJ484" i="155" s="1"/>
  <c r="AJ492" i="155" s="1"/>
  <c r="AJ478" i="155"/>
  <c r="AJ474" i="155"/>
  <c r="AJ476" i="155"/>
  <c r="AJ503" i="155"/>
  <c r="AJ487" i="155" s="1"/>
  <c r="AJ495" i="155" s="1"/>
  <c r="AJ498" i="155"/>
  <c r="AJ482" i="155" s="1"/>
  <c r="AJ490" i="155" s="1"/>
  <c r="AJ477" i="155"/>
  <c r="AJ479" i="155"/>
  <c r="AJ502" i="155"/>
  <c r="AJ486" i="155" s="1"/>
  <c r="AJ494" i="155" s="1"/>
  <c r="AJ475" i="155"/>
  <c r="AJ499" i="155"/>
  <c r="AJ483" i="155" s="1"/>
  <c r="AJ491" i="155" s="1"/>
  <c r="AK3" i="155"/>
  <c r="AK4" i="155" s="1"/>
  <c r="AJ2" i="155" a="1"/>
  <c r="AJ2" i="155" s="1"/>
  <c r="AI479" i="154"/>
  <c r="AI502" i="154"/>
  <c r="AI486" i="154" s="1"/>
  <c r="AI494" i="154" s="1"/>
  <c r="AI474" i="154"/>
  <c r="AI501" i="154"/>
  <c r="AI485" i="154" s="1"/>
  <c r="AI493" i="154" s="1"/>
  <c r="AI499" i="154"/>
  <c r="AI483" i="154" s="1"/>
  <c r="AI491" i="154" s="1"/>
  <c r="AI476" i="154"/>
  <c r="AI503" i="154"/>
  <c r="AI487" i="154" s="1"/>
  <c r="AI495" i="154" s="1"/>
  <c r="AI475" i="154"/>
  <c r="AI498" i="154"/>
  <c r="AI482" i="154" s="1"/>
  <c r="AI490" i="154" s="1"/>
  <c r="AI500" i="154"/>
  <c r="AI484" i="154" s="1"/>
  <c r="AI492" i="154" s="1"/>
  <c r="AI2" i="154" a="1"/>
  <c r="AI2" i="154" s="1"/>
  <c r="AI478" i="154"/>
  <c r="AI477" i="154"/>
  <c r="AJ3" i="154"/>
  <c r="AJ4" i="154" s="1"/>
  <c r="AI2" i="98" a="1"/>
  <c r="AI2" i="98" s="1"/>
  <c r="AJ3" i="98"/>
  <c r="AJ4" i="98" s="1"/>
  <c r="AI477" i="153"/>
  <c r="AI502" i="153"/>
  <c r="AI486" i="153" s="1"/>
  <c r="AI494" i="153" s="1"/>
  <c r="AI499" i="153"/>
  <c r="AI483" i="153" s="1"/>
  <c r="AI491" i="153" s="1"/>
  <c r="AI501" i="153"/>
  <c r="AI485" i="153" s="1"/>
  <c r="AI493" i="153" s="1"/>
  <c r="AI500" i="153"/>
  <c r="AI484" i="153" s="1"/>
  <c r="AI492" i="153" s="1"/>
  <c r="AI476" i="153"/>
  <c r="AI503" i="153"/>
  <c r="AI487" i="153" s="1"/>
  <c r="AI495" i="153" s="1"/>
  <c r="AI478" i="153"/>
  <c r="AI475" i="153"/>
  <c r="AI479" i="153"/>
  <c r="AI474" i="153"/>
  <c r="AI498" i="153"/>
  <c r="AI482" i="153" s="1"/>
  <c r="AI490" i="153" s="1"/>
  <c r="AJ3" i="153"/>
  <c r="AJ4" i="153" s="1"/>
  <c r="AI2" i="153" a="1"/>
  <c r="AI2" i="153" s="1"/>
  <c r="AI2" i="104" a="1"/>
  <c r="AI2" i="104" s="1"/>
  <c r="AJ3" i="104"/>
  <c r="AJ4" i="104" s="1"/>
  <c r="AK2" i="103" a="1"/>
  <c r="AK2" i="103" s="1"/>
  <c r="AL3" i="103"/>
  <c r="AL4" i="103" s="1"/>
  <c r="AK474" i="155" l="1"/>
  <c r="AK498" i="155"/>
  <c r="AK482" i="155" s="1"/>
  <c r="AK490" i="155" s="1"/>
  <c r="AK477" i="155"/>
  <c r="AK475" i="155"/>
  <c r="AK476" i="155"/>
  <c r="AK501" i="155"/>
  <c r="AK485" i="155" s="1"/>
  <c r="AK493" i="155" s="1"/>
  <c r="AK479" i="155"/>
  <c r="AK478" i="155"/>
  <c r="AK502" i="155"/>
  <c r="AK486" i="155" s="1"/>
  <c r="AK494" i="155" s="1"/>
  <c r="AK500" i="155"/>
  <c r="AK484" i="155" s="1"/>
  <c r="AK492" i="155" s="1"/>
  <c r="AK503" i="155"/>
  <c r="AK487" i="155" s="1"/>
  <c r="AK495" i="155" s="1"/>
  <c r="AK499" i="155"/>
  <c r="AK483" i="155" s="1"/>
  <c r="AK491" i="155" s="1"/>
  <c r="AL3" i="155"/>
  <c r="AL4" i="155" s="1"/>
  <c r="AK2" i="155" a="1"/>
  <c r="AK2" i="155" s="1"/>
  <c r="AJ501" i="154"/>
  <c r="AJ485" i="154" s="1"/>
  <c r="AJ493" i="154" s="1"/>
  <c r="AJ476" i="154"/>
  <c r="AJ475" i="154"/>
  <c r="AJ478" i="154"/>
  <c r="AJ502" i="154"/>
  <c r="AJ486" i="154" s="1"/>
  <c r="AJ494" i="154" s="1"/>
  <c r="AJ503" i="154"/>
  <c r="AJ487" i="154" s="1"/>
  <c r="AJ495" i="154" s="1"/>
  <c r="AJ499" i="154"/>
  <c r="AJ483" i="154" s="1"/>
  <c r="AJ491" i="154" s="1"/>
  <c r="AJ500" i="154"/>
  <c r="AJ484" i="154" s="1"/>
  <c r="AJ492" i="154" s="1"/>
  <c r="AJ498" i="154"/>
  <c r="AJ482" i="154" s="1"/>
  <c r="AJ490" i="154" s="1"/>
  <c r="AJ477" i="154"/>
  <c r="AJ479" i="154"/>
  <c r="AK3" i="154"/>
  <c r="AK4" i="154" s="1"/>
  <c r="AJ474" i="154"/>
  <c r="AJ2" i="154" a="1"/>
  <c r="AJ2" i="154" s="1"/>
  <c r="AK3" i="98"/>
  <c r="AK4" i="98" s="1"/>
  <c r="AJ2" i="98" a="1"/>
  <c r="AJ2" i="98" s="1"/>
  <c r="AJ502" i="153"/>
  <c r="AJ486" i="153" s="1"/>
  <c r="AJ494" i="153" s="1"/>
  <c r="AJ477" i="153"/>
  <c r="AJ501" i="153"/>
  <c r="AJ485" i="153" s="1"/>
  <c r="AJ493" i="153" s="1"/>
  <c r="AJ499" i="153"/>
  <c r="AJ483" i="153" s="1"/>
  <c r="AJ491" i="153" s="1"/>
  <c r="AJ498" i="153"/>
  <c r="AJ482" i="153" s="1"/>
  <c r="AJ490" i="153" s="1"/>
  <c r="AJ500" i="153"/>
  <c r="AJ484" i="153" s="1"/>
  <c r="AJ492" i="153" s="1"/>
  <c r="AJ503" i="153"/>
  <c r="AJ487" i="153" s="1"/>
  <c r="AJ495" i="153" s="1"/>
  <c r="AJ475" i="153"/>
  <c r="AJ478" i="153"/>
  <c r="AJ476" i="153"/>
  <c r="AJ479" i="153"/>
  <c r="AJ474" i="153"/>
  <c r="AJ2" i="153" a="1"/>
  <c r="AJ2" i="153" s="1"/>
  <c r="AK3" i="153"/>
  <c r="AK4" i="153" s="1"/>
  <c r="AK3" i="104"/>
  <c r="AK4" i="104" s="1"/>
  <c r="AJ2" i="104" a="1"/>
  <c r="AJ2" i="104" s="1"/>
  <c r="AL2" i="103" a="1"/>
  <c r="AL2" i="103" s="1"/>
  <c r="AM3" i="103"/>
  <c r="AM4" i="103" s="1"/>
  <c r="AL500" i="155" l="1"/>
  <c r="AL484" i="155" s="1"/>
  <c r="AL492" i="155" s="1"/>
  <c r="AL503" i="155"/>
  <c r="AL487" i="155" s="1"/>
  <c r="AL495" i="155" s="1"/>
  <c r="AL475" i="155"/>
  <c r="AL499" i="155"/>
  <c r="AL483" i="155" s="1"/>
  <c r="AL491" i="155" s="1"/>
  <c r="AL498" i="155"/>
  <c r="AL482" i="155" s="1"/>
  <c r="AL490" i="155" s="1"/>
  <c r="AL501" i="155"/>
  <c r="AL485" i="155" s="1"/>
  <c r="AL493" i="155" s="1"/>
  <c r="AL479" i="155"/>
  <c r="AL476" i="155"/>
  <c r="AL477" i="155"/>
  <c r="AL502" i="155"/>
  <c r="AL486" i="155" s="1"/>
  <c r="AL494" i="155" s="1"/>
  <c r="AL474" i="155"/>
  <c r="AL478" i="155"/>
  <c r="AM3" i="155"/>
  <c r="AM4" i="155" s="1"/>
  <c r="AL2" i="155" a="1"/>
  <c r="AL2" i="155" s="1"/>
  <c r="AK499" i="154"/>
  <c r="AK483" i="154" s="1"/>
  <c r="AK491" i="154" s="1"/>
  <c r="AK477" i="154"/>
  <c r="AK503" i="154"/>
  <c r="AK487" i="154" s="1"/>
  <c r="AK495" i="154" s="1"/>
  <c r="AK478" i="154"/>
  <c r="AK501" i="154"/>
  <c r="AK485" i="154" s="1"/>
  <c r="AK493" i="154" s="1"/>
  <c r="AK479" i="154"/>
  <c r="AK500" i="154"/>
  <c r="AK484" i="154" s="1"/>
  <c r="AK492" i="154" s="1"/>
  <c r="AK475" i="154"/>
  <c r="AK474" i="154"/>
  <c r="AK502" i="154"/>
  <c r="AK486" i="154" s="1"/>
  <c r="AK494" i="154" s="1"/>
  <c r="AK498" i="154"/>
  <c r="AK482" i="154" s="1"/>
  <c r="AK490" i="154" s="1"/>
  <c r="AK476" i="154"/>
  <c r="AL3" i="154"/>
  <c r="AL4" i="154" s="1"/>
  <c r="AK2" i="154" a="1"/>
  <c r="AK2" i="154" s="1"/>
  <c r="AL3" i="98"/>
  <c r="AL4" i="98" s="1"/>
  <c r="AK2" i="98" a="1"/>
  <c r="AK2" i="98" s="1"/>
  <c r="AK499" i="153"/>
  <c r="AK483" i="153" s="1"/>
  <c r="AK491" i="153" s="1"/>
  <c r="AK501" i="153"/>
  <c r="AK485" i="153" s="1"/>
  <c r="AK493" i="153" s="1"/>
  <c r="AK498" i="153"/>
  <c r="AK482" i="153" s="1"/>
  <c r="AK490" i="153" s="1"/>
  <c r="AK500" i="153"/>
  <c r="AK484" i="153" s="1"/>
  <c r="AK492" i="153" s="1"/>
  <c r="AK476" i="153"/>
  <c r="AK503" i="153"/>
  <c r="AK487" i="153" s="1"/>
  <c r="AK495" i="153" s="1"/>
  <c r="AK477" i="153"/>
  <c r="AK475" i="153"/>
  <c r="AK478" i="153"/>
  <c r="AK479" i="153"/>
  <c r="AK502" i="153"/>
  <c r="AK486" i="153" s="1"/>
  <c r="AK494" i="153" s="1"/>
  <c r="AK474" i="153"/>
  <c r="AK2" i="153" a="1"/>
  <c r="AK2" i="153" s="1"/>
  <c r="AL3" i="153"/>
  <c r="AL4" i="153" s="1"/>
  <c r="AL3" i="104"/>
  <c r="AL4" i="104" s="1"/>
  <c r="AK2" i="104" a="1"/>
  <c r="AK2" i="104" s="1"/>
  <c r="AN3" i="103"/>
  <c r="AN4" i="103" s="1"/>
  <c r="AM2" i="103" a="1"/>
  <c r="AM2" i="103" s="1"/>
  <c r="AM499" i="155" l="1"/>
  <c r="AM483" i="155" s="1"/>
  <c r="AM491" i="155" s="1"/>
  <c r="AM475" i="155"/>
  <c r="AM501" i="155"/>
  <c r="AM485" i="155" s="1"/>
  <c r="AM493" i="155" s="1"/>
  <c r="AM500" i="155"/>
  <c r="AM484" i="155" s="1"/>
  <c r="AM492" i="155" s="1"/>
  <c r="AM477" i="155"/>
  <c r="AM498" i="155"/>
  <c r="AM482" i="155" s="1"/>
  <c r="AM490" i="155" s="1"/>
  <c r="AM474" i="155"/>
  <c r="AM476" i="155"/>
  <c r="AM503" i="155"/>
  <c r="AM487" i="155" s="1"/>
  <c r="AM495" i="155" s="1"/>
  <c r="AM479" i="155"/>
  <c r="AM478" i="155"/>
  <c r="AM502" i="155"/>
  <c r="AM486" i="155" s="1"/>
  <c r="AM494" i="155" s="1"/>
  <c r="AM2" i="155" a="1"/>
  <c r="AM2" i="155" s="1"/>
  <c r="AN3" i="155"/>
  <c r="AN4" i="155" s="1"/>
  <c r="AL479" i="154"/>
  <c r="AL500" i="154"/>
  <c r="AL484" i="154" s="1"/>
  <c r="AL492" i="154" s="1"/>
  <c r="AL499" i="154"/>
  <c r="AL483" i="154" s="1"/>
  <c r="AL491" i="154" s="1"/>
  <c r="AL503" i="154"/>
  <c r="AL487" i="154" s="1"/>
  <c r="AL495" i="154" s="1"/>
  <c r="AL477" i="154"/>
  <c r="AL474" i="154"/>
  <c r="AL501" i="154"/>
  <c r="AL485" i="154" s="1"/>
  <c r="AL493" i="154" s="1"/>
  <c r="AL475" i="154"/>
  <c r="AL498" i="154"/>
  <c r="AL482" i="154" s="1"/>
  <c r="AL490" i="154" s="1"/>
  <c r="AL476" i="154"/>
  <c r="AL502" i="154"/>
  <c r="AL486" i="154" s="1"/>
  <c r="AL494" i="154" s="1"/>
  <c r="AM3" i="154"/>
  <c r="AM4" i="154" s="1"/>
  <c r="AL2" i="154" a="1"/>
  <c r="AL2" i="154" s="1"/>
  <c r="AL478" i="154"/>
  <c r="AM3" i="98"/>
  <c r="AM4" i="98" s="1"/>
  <c r="AL2" i="98" a="1"/>
  <c r="AL2" i="98" s="1"/>
  <c r="AL474" i="153"/>
  <c r="AL500" i="153"/>
  <c r="AL484" i="153" s="1"/>
  <c r="AL492" i="153" s="1"/>
  <c r="AL476" i="153"/>
  <c r="AL475" i="153"/>
  <c r="AL498" i="153"/>
  <c r="AL482" i="153" s="1"/>
  <c r="AL490" i="153" s="1"/>
  <c r="AL477" i="153"/>
  <c r="AL503" i="153"/>
  <c r="AL487" i="153" s="1"/>
  <c r="AL495" i="153" s="1"/>
  <c r="AL479" i="153"/>
  <c r="AL478" i="153"/>
  <c r="AL502" i="153"/>
  <c r="AL486" i="153" s="1"/>
  <c r="AL494" i="153" s="1"/>
  <c r="AL501" i="153"/>
  <c r="AL485" i="153" s="1"/>
  <c r="AL493" i="153" s="1"/>
  <c r="AL499" i="153"/>
  <c r="AL483" i="153" s="1"/>
  <c r="AL491" i="153" s="1"/>
  <c r="AL2" i="153" a="1"/>
  <c r="AL2" i="153" s="1"/>
  <c r="AM3" i="153"/>
  <c r="AM4" i="153" s="1"/>
  <c r="AM3" i="104"/>
  <c r="AM4" i="104" s="1"/>
  <c r="AL2" i="104" a="1"/>
  <c r="AL2" i="104" s="1"/>
  <c r="AO3" i="103"/>
  <c r="AO4" i="103" s="1"/>
  <c r="AN2" i="103" a="1"/>
  <c r="AN2" i="103" s="1"/>
  <c r="AN503" i="155" l="1"/>
  <c r="AN487" i="155" s="1"/>
  <c r="AN495" i="155" s="1"/>
  <c r="AN501" i="155"/>
  <c r="AN485" i="155" s="1"/>
  <c r="AN493" i="155" s="1"/>
  <c r="AN498" i="155"/>
  <c r="AN482" i="155" s="1"/>
  <c r="AN490" i="155" s="1"/>
  <c r="AN477" i="155"/>
  <c r="AN500" i="155"/>
  <c r="AN484" i="155" s="1"/>
  <c r="AN492" i="155" s="1"/>
  <c r="AN476" i="155"/>
  <c r="AN478" i="155"/>
  <c r="AN502" i="155"/>
  <c r="AN486" i="155" s="1"/>
  <c r="AN494" i="155" s="1"/>
  <c r="AN475" i="155"/>
  <c r="AN499" i="155"/>
  <c r="AN483" i="155" s="1"/>
  <c r="AN491" i="155" s="1"/>
  <c r="AN479" i="155"/>
  <c r="AN474" i="155"/>
  <c r="AN2" i="155" a="1"/>
  <c r="AN2" i="155" s="1"/>
  <c r="AO3" i="155"/>
  <c r="AO4" i="155" s="1"/>
  <c r="AM501" i="154"/>
  <c r="AM485" i="154" s="1"/>
  <c r="AM493" i="154" s="1"/>
  <c r="AM503" i="154"/>
  <c r="AM487" i="154" s="1"/>
  <c r="AM495" i="154" s="1"/>
  <c r="AM499" i="154"/>
  <c r="AM483" i="154" s="1"/>
  <c r="AM491" i="154" s="1"/>
  <c r="AM474" i="154"/>
  <c r="AM478" i="154"/>
  <c r="AM498" i="154"/>
  <c r="AM482" i="154" s="1"/>
  <c r="AM490" i="154" s="1"/>
  <c r="AM502" i="154"/>
  <c r="AM486" i="154" s="1"/>
  <c r="AM494" i="154" s="1"/>
  <c r="AM475" i="154"/>
  <c r="AM500" i="154"/>
  <c r="AM484" i="154" s="1"/>
  <c r="AM492" i="154" s="1"/>
  <c r="AM479" i="154"/>
  <c r="AM477" i="154"/>
  <c r="AM476" i="154"/>
  <c r="AM2" i="154" a="1"/>
  <c r="AM2" i="154" s="1"/>
  <c r="AN3" i="154"/>
  <c r="AN4" i="154" s="1"/>
  <c r="AN3" i="98"/>
  <c r="AN4" i="98" s="1"/>
  <c r="AM2" i="98" a="1"/>
  <c r="AM2" i="98" s="1"/>
  <c r="AM474" i="153"/>
  <c r="AM479" i="153"/>
  <c r="AM501" i="153"/>
  <c r="AM485" i="153" s="1"/>
  <c r="AM493" i="153" s="1"/>
  <c r="AM498" i="153"/>
  <c r="AM482" i="153" s="1"/>
  <c r="AM490" i="153" s="1"/>
  <c r="AM499" i="153"/>
  <c r="AM483" i="153" s="1"/>
  <c r="AM491" i="153" s="1"/>
  <c r="AM475" i="153"/>
  <c r="AM503" i="153"/>
  <c r="AM487" i="153" s="1"/>
  <c r="AM495" i="153" s="1"/>
  <c r="AM478" i="153"/>
  <c r="AM476" i="153"/>
  <c r="AM500" i="153"/>
  <c r="AM484" i="153" s="1"/>
  <c r="AM492" i="153" s="1"/>
  <c r="AM502" i="153"/>
  <c r="AM486" i="153" s="1"/>
  <c r="AM494" i="153" s="1"/>
  <c r="AM2" i="153" a="1"/>
  <c r="AM2" i="153" s="1"/>
  <c r="AM477" i="153"/>
  <c r="AN3" i="153"/>
  <c r="AN4" i="153" s="1"/>
  <c r="AM2" i="104" a="1"/>
  <c r="AM2" i="104" s="1"/>
  <c r="AN3" i="104"/>
  <c r="AN4" i="104" s="1"/>
  <c r="AP3" i="103"/>
  <c r="AP4" i="103" s="1"/>
  <c r="AO2" i="103" a="1"/>
  <c r="AO2" i="103" s="1"/>
  <c r="AO498" i="155" l="1"/>
  <c r="AO482" i="155" s="1"/>
  <c r="AO490" i="155" s="1"/>
  <c r="AO477" i="155"/>
  <c r="AO479" i="155"/>
  <c r="AO475" i="155"/>
  <c r="AO476" i="155"/>
  <c r="AO502" i="155"/>
  <c r="AO486" i="155" s="1"/>
  <c r="AO494" i="155" s="1"/>
  <c r="AO501" i="155"/>
  <c r="AO485" i="155" s="1"/>
  <c r="AO493" i="155" s="1"/>
  <c r="AO503" i="155"/>
  <c r="AO487" i="155" s="1"/>
  <c r="AO495" i="155" s="1"/>
  <c r="AO500" i="155"/>
  <c r="AO484" i="155" s="1"/>
  <c r="AO492" i="155" s="1"/>
  <c r="AO474" i="155"/>
  <c r="AO499" i="155"/>
  <c r="AO483" i="155" s="1"/>
  <c r="AO491" i="155" s="1"/>
  <c r="AO478" i="155"/>
  <c r="AP3" i="155"/>
  <c r="AP4" i="155" s="1"/>
  <c r="AO2" i="155" a="1"/>
  <c r="AO2" i="155" s="1"/>
  <c r="AN498" i="154"/>
  <c r="AN482" i="154" s="1"/>
  <c r="AN490" i="154" s="1"/>
  <c r="AN478" i="154"/>
  <c r="AN500" i="154"/>
  <c r="AN484" i="154" s="1"/>
  <c r="AN492" i="154" s="1"/>
  <c r="AN499" i="154"/>
  <c r="AN483" i="154" s="1"/>
  <c r="AN491" i="154" s="1"/>
  <c r="AN477" i="154"/>
  <c r="AN476" i="154"/>
  <c r="AN479" i="154"/>
  <c r="AN474" i="154"/>
  <c r="AN502" i="154"/>
  <c r="AN486" i="154" s="1"/>
  <c r="AN494" i="154" s="1"/>
  <c r="AN503" i="154"/>
  <c r="AN487" i="154" s="1"/>
  <c r="AN495" i="154" s="1"/>
  <c r="AN501" i="154"/>
  <c r="AN485" i="154" s="1"/>
  <c r="AN493" i="154" s="1"/>
  <c r="AN475" i="154"/>
  <c r="AN2" i="154" a="1"/>
  <c r="AN2" i="154" s="1"/>
  <c r="AO3" i="154"/>
  <c r="AO4" i="154" s="1"/>
  <c r="AN2" i="98" a="1"/>
  <c r="AN2" i="98" s="1"/>
  <c r="AO3" i="98"/>
  <c r="AO4" i="98" s="1"/>
  <c r="AN500" i="153"/>
  <c r="AN484" i="153" s="1"/>
  <c r="AN492" i="153" s="1"/>
  <c r="AN474" i="153"/>
  <c r="AN501" i="153"/>
  <c r="AN485" i="153" s="1"/>
  <c r="AN493" i="153" s="1"/>
  <c r="AN499" i="153"/>
  <c r="AN483" i="153" s="1"/>
  <c r="AN491" i="153" s="1"/>
  <c r="AN478" i="153"/>
  <c r="AN479" i="153"/>
  <c r="AN475" i="153"/>
  <c r="AN502" i="153"/>
  <c r="AN486" i="153" s="1"/>
  <c r="AN494" i="153" s="1"/>
  <c r="AN503" i="153"/>
  <c r="AN487" i="153" s="1"/>
  <c r="AN495" i="153" s="1"/>
  <c r="AN476" i="153"/>
  <c r="AN477" i="153"/>
  <c r="AN2" i="153" a="1"/>
  <c r="AN2" i="153" s="1"/>
  <c r="AN498" i="153"/>
  <c r="AN482" i="153" s="1"/>
  <c r="AN490" i="153" s="1"/>
  <c r="AO3" i="153"/>
  <c r="AO4" i="153" s="1"/>
  <c r="AN2" i="104" a="1"/>
  <c r="AN2" i="104" s="1"/>
  <c r="AO3" i="104"/>
  <c r="AO4" i="104" s="1"/>
  <c r="AQ3" i="103"/>
  <c r="AQ4" i="103" s="1"/>
  <c r="AP2" i="103" a="1"/>
  <c r="AP2" i="103" s="1"/>
  <c r="AP478" i="155" l="1"/>
  <c r="AP499" i="155"/>
  <c r="AP483" i="155" s="1"/>
  <c r="AP491" i="155" s="1"/>
  <c r="AP498" i="155"/>
  <c r="AP482" i="155" s="1"/>
  <c r="AP490" i="155" s="1"/>
  <c r="AP477" i="155"/>
  <c r="AP476" i="155"/>
  <c r="AP501" i="155"/>
  <c r="AP485" i="155" s="1"/>
  <c r="AP493" i="155" s="1"/>
  <c r="AP503" i="155"/>
  <c r="AP487" i="155" s="1"/>
  <c r="AP495" i="155" s="1"/>
  <c r="AP502" i="155"/>
  <c r="AP486" i="155" s="1"/>
  <c r="AP494" i="155" s="1"/>
  <c r="AP500" i="155"/>
  <c r="AP484" i="155" s="1"/>
  <c r="AP492" i="155" s="1"/>
  <c r="AP474" i="155"/>
  <c r="AP479" i="155"/>
  <c r="AP2" i="155" a="1"/>
  <c r="AP2" i="155" s="1"/>
  <c r="AQ3" i="155"/>
  <c r="AQ4" i="155" s="1"/>
  <c r="AP475" i="155"/>
  <c r="AO476" i="154"/>
  <c r="AO501" i="154"/>
  <c r="AO485" i="154" s="1"/>
  <c r="AO493" i="154" s="1"/>
  <c r="AO477" i="154"/>
  <c r="AO498" i="154"/>
  <c r="AO482" i="154" s="1"/>
  <c r="AO490" i="154" s="1"/>
  <c r="AO503" i="154"/>
  <c r="AO487" i="154" s="1"/>
  <c r="AO495" i="154" s="1"/>
  <c r="AO478" i="154"/>
  <c r="AO500" i="154"/>
  <c r="AO484" i="154" s="1"/>
  <c r="AO492" i="154" s="1"/>
  <c r="AO502" i="154"/>
  <c r="AO486" i="154" s="1"/>
  <c r="AO494" i="154" s="1"/>
  <c r="AO475" i="154"/>
  <c r="AO479" i="154"/>
  <c r="AO474" i="154"/>
  <c r="AO499" i="154"/>
  <c r="AO483" i="154" s="1"/>
  <c r="AO491" i="154" s="1"/>
  <c r="AP3" i="154"/>
  <c r="AP4" i="154" s="1"/>
  <c r="AO2" i="154" a="1"/>
  <c r="AO2" i="154" s="1"/>
  <c r="AP3" i="98"/>
  <c r="AP4" i="98" s="1"/>
  <c r="AO2" i="98" a="1"/>
  <c r="AO2" i="98" s="1"/>
  <c r="AO501" i="153"/>
  <c r="AO485" i="153" s="1"/>
  <c r="AO493" i="153" s="1"/>
  <c r="AO499" i="153"/>
  <c r="AO483" i="153" s="1"/>
  <c r="AO491" i="153" s="1"/>
  <c r="AO478" i="153"/>
  <c r="AO500" i="153"/>
  <c r="AO484" i="153" s="1"/>
  <c r="AO492" i="153" s="1"/>
  <c r="AO477" i="153"/>
  <c r="AO475" i="153"/>
  <c r="AO503" i="153"/>
  <c r="AO487" i="153" s="1"/>
  <c r="AO495" i="153" s="1"/>
  <c r="AO476" i="153"/>
  <c r="AO502" i="153"/>
  <c r="AO486" i="153" s="1"/>
  <c r="AO494" i="153" s="1"/>
  <c r="AO479" i="153"/>
  <c r="AP3" i="153"/>
  <c r="AP4" i="153" s="1"/>
  <c r="AO498" i="153"/>
  <c r="AO482" i="153" s="1"/>
  <c r="AO490" i="153" s="1"/>
  <c r="AO474" i="153"/>
  <c r="AO2" i="153" a="1"/>
  <c r="AO2" i="153" s="1"/>
  <c r="AO2" i="104" a="1"/>
  <c r="AO2" i="104" s="1"/>
  <c r="AP3" i="104"/>
  <c r="AP4" i="104" s="1"/>
  <c r="AR3" i="103"/>
  <c r="AR4" i="103" s="1"/>
  <c r="AQ2" i="103" a="1"/>
  <c r="AQ2" i="103" s="1"/>
  <c r="AQ502" i="155" l="1"/>
  <c r="AQ486" i="155" s="1"/>
  <c r="AQ494" i="155" s="1"/>
  <c r="AQ500" i="155"/>
  <c r="AQ484" i="155" s="1"/>
  <c r="AQ492" i="155" s="1"/>
  <c r="AQ499" i="155"/>
  <c r="AQ483" i="155" s="1"/>
  <c r="AQ491" i="155" s="1"/>
  <c r="AQ501" i="155"/>
  <c r="AQ485" i="155" s="1"/>
  <c r="AQ493" i="155" s="1"/>
  <c r="AQ503" i="155"/>
  <c r="AQ487" i="155" s="1"/>
  <c r="AQ495" i="155" s="1"/>
  <c r="AQ476" i="155"/>
  <c r="AQ479" i="155"/>
  <c r="AQ498" i="155"/>
  <c r="AQ482" i="155" s="1"/>
  <c r="AQ490" i="155" s="1"/>
  <c r="AQ477" i="155"/>
  <c r="AQ475" i="155"/>
  <c r="AQ474" i="155"/>
  <c r="AQ2" i="155" a="1"/>
  <c r="AQ2" i="155" s="1"/>
  <c r="AQ478" i="155"/>
  <c r="AR3" i="155"/>
  <c r="AR4" i="155" s="1"/>
  <c r="AP502" i="154"/>
  <c r="AP486" i="154" s="1"/>
  <c r="AP494" i="154" s="1"/>
  <c r="AP477" i="154"/>
  <c r="AP503" i="154"/>
  <c r="AP487" i="154" s="1"/>
  <c r="AP495" i="154" s="1"/>
  <c r="AP476" i="154"/>
  <c r="AP501" i="154"/>
  <c r="AP485" i="154" s="1"/>
  <c r="AP493" i="154" s="1"/>
  <c r="AP499" i="154"/>
  <c r="AP483" i="154" s="1"/>
  <c r="AP491" i="154" s="1"/>
  <c r="AP478" i="154"/>
  <c r="AP474" i="154"/>
  <c r="AP500" i="154"/>
  <c r="AP484" i="154" s="1"/>
  <c r="AP492" i="154" s="1"/>
  <c r="AP479" i="154"/>
  <c r="AP475" i="154"/>
  <c r="AQ3" i="154"/>
  <c r="AQ4" i="154" s="1"/>
  <c r="AP498" i="154"/>
  <c r="AP482" i="154" s="1"/>
  <c r="AP490" i="154" s="1"/>
  <c r="AP2" i="154" a="1"/>
  <c r="AP2" i="154" s="1"/>
  <c r="AP2" i="98" a="1"/>
  <c r="AP2" i="98" s="1"/>
  <c r="AQ3" i="98"/>
  <c r="AQ4" i="98" s="1"/>
  <c r="AP501" i="153"/>
  <c r="AP485" i="153" s="1"/>
  <c r="AP493" i="153" s="1"/>
  <c r="AP499" i="153"/>
  <c r="AP483" i="153" s="1"/>
  <c r="AP491" i="153" s="1"/>
  <c r="AP478" i="153"/>
  <c r="AP500" i="153"/>
  <c r="AP484" i="153" s="1"/>
  <c r="AP492" i="153" s="1"/>
  <c r="AP477" i="153"/>
  <c r="AP502" i="153"/>
  <c r="AP486" i="153" s="1"/>
  <c r="AP494" i="153" s="1"/>
  <c r="AP474" i="153"/>
  <c r="AP479" i="153"/>
  <c r="AP475" i="153"/>
  <c r="AP503" i="153"/>
  <c r="AP487" i="153" s="1"/>
  <c r="AP495" i="153" s="1"/>
  <c r="AP476" i="153"/>
  <c r="AQ3" i="153"/>
  <c r="AQ4" i="153" s="1"/>
  <c r="AP2" i="153" a="1"/>
  <c r="AP2" i="153" s="1"/>
  <c r="AP498" i="153"/>
  <c r="AP482" i="153" s="1"/>
  <c r="AP490" i="153" s="1"/>
  <c r="AP2" i="104" a="1"/>
  <c r="AP2" i="104" s="1"/>
  <c r="AQ3" i="104"/>
  <c r="AQ4" i="104" s="1"/>
  <c r="AS3" i="103"/>
  <c r="AS4" i="103" s="1"/>
  <c r="AR2" i="103" a="1"/>
  <c r="AR2" i="103" s="1"/>
  <c r="AR501" i="155" l="1"/>
  <c r="AR485" i="155" s="1"/>
  <c r="AR493" i="155" s="1"/>
  <c r="AR498" i="155"/>
  <c r="AR482" i="155" s="1"/>
  <c r="AR490" i="155" s="1"/>
  <c r="AR476" i="155"/>
  <c r="AR503" i="155"/>
  <c r="AR487" i="155" s="1"/>
  <c r="AR495" i="155" s="1"/>
  <c r="AR500" i="155"/>
  <c r="AR484" i="155" s="1"/>
  <c r="AR492" i="155" s="1"/>
  <c r="AR499" i="155"/>
  <c r="AR483" i="155" s="1"/>
  <c r="AR491" i="155" s="1"/>
  <c r="AR479" i="155"/>
  <c r="AR477" i="155"/>
  <c r="AR474" i="155"/>
  <c r="AR478" i="155"/>
  <c r="AR475" i="155"/>
  <c r="AR502" i="155"/>
  <c r="AR486" i="155" s="1"/>
  <c r="AR494" i="155" s="1"/>
  <c r="AR2" i="155" a="1"/>
  <c r="AR2" i="155" s="1"/>
  <c r="AS3" i="155"/>
  <c r="AS4" i="155" s="1"/>
  <c r="AQ503" i="154"/>
  <c r="AQ487" i="154" s="1"/>
  <c r="AQ495" i="154" s="1"/>
  <c r="AQ499" i="154"/>
  <c r="AQ483" i="154" s="1"/>
  <c r="AQ491" i="154" s="1"/>
  <c r="AQ498" i="154"/>
  <c r="AQ482" i="154" s="1"/>
  <c r="AQ490" i="154" s="1"/>
  <c r="AQ475" i="154"/>
  <c r="AQ479" i="154"/>
  <c r="AQ501" i="154"/>
  <c r="AQ485" i="154" s="1"/>
  <c r="AQ493" i="154" s="1"/>
  <c r="AQ477" i="154"/>
  <c r="AQ502" i="154"/>
  <c r="AQ486" i="154" s="1"/>
  <c r="AQ494" i="154" s="1"/>
  <c r="AQ500" i="154"/>
  <c r="AQ484" i="154" s="1"/>
  <c r="AQ492" i="154" s="1"/>
  <c r="AQ476" i="154"/>
  <c r="AQ474" i="154"/>
  <c r="AQ478" i="154"/>
  <c r="AR3" i="154"/>
  <c r="AR4" i="154" s="1"/>
  <c r="AQ2" i="154" a="1"/>
  <c r="AQ2" i="154" s="1"/>
  <c r="AR3" i="98"/>
  <c r="AR4" i="98" s="1"/>
  <c r="AQ2" i="98" a="1"/>
  <c r="AQ2" i="98" s="1"/>
  <c r="AQ500" i="153"/>
  <c r="AQ484" i="153" s="1"/>
  <c r="AQ492" i="153" s="1"/>
  <c r="AQ474" i="153"/>
  <c r="AQ502" i="153"/>
  <c r="AQ486" i="153" s="1"/>
  <c r="AQ494" i="153" s="1"/>
  <c r="AQ501" i="153"/>
  <c r="AQ485" i="153" s="1"/>
  <c r="AQ493" i="153" s="1"/>
  <c r="AQ503" i="153"/>
  <c r="AQ487" i="153" s="1"/>
  <c r="AQ495" i="153" s="1"/>
  <c r="AQ479" i="153"/>
  <c r="AQ499" i="153"/>
  <c r="AQ483" i="153" s="1"/>
  <c r="AQ491" i="153" s="1"/>
  <c r="AQ498" i="153"/>
  <c r="AQ482" i="153" s="1"/>
  <c r="AQ490" i="153" s="1"/>
  <c r="AQ476" i="153"/>
  <c r="AQ478" i="153"/>
  <c r="AQ475" i="153"/>
  <c r="AQ477" i="153"/>
  <c r="AR3" i="153"/>
  <c r="AR4" i="153" s="1"/>
  <c r="AQ2" i="153" a="1"/>
  <c r="AQ2" i="153" s="1"/>
  <c r="AQ2" i="104" a="1"/>
  <c r="AQ2" i="104" s="1"/>
  <c r="AR3" i="104"/>
  <c r="AR4" i="104" s="1"/>
  <c r="AT3" i="103"/>
  <c r="AT4" i="103" s="1"/>
  <c r="AS2" i="103" a="1"/>
  <c r="AS2" i="103" s="1"/>
  <c r="AS498" i="155" l="1"/>
  <c r="AS482" i="155" s="1"/>
  <c r="AS490" i="155" s="1"/>
  <c r="AS476" i="155"/>
  <c r="AS500" i="155"/>
  <c r="AS484" i="155" s="1"/>
  <c r="AS492" i="155" s="1"/>
  <c r="AS503" i="155"/>
  <c r="AS487" i="155" s="1"/>
  <c r="AS495" i="155" s="1"/>
  <c r="AS474" i="155"/>
  <c r="AS475" i="155"/>
  <c r="AS499" i="155"/>
  <c r="AS483" i="155" s="1"/>
  <c r="AS491" i="155" s="1"/>
  <c r="AS479" i="155"/>
  <c r="AS502" i="155"/>
  <c r="AS486" i="155" s="1"/>
  <c r="AS494" i="155" s="1"/>
  <c r="AS478" i="155"/>
  <c r="AS501" i="155"/>
  <c r="AS485" i="155" s="1"/>
  <c r="AS493" i="155" s="1"/>
  <c r="AS477" i="155"/>
  <c r="AS2" i="155" a="1"/>
  <c r="AS2" i="155" s="1"/>
  <c r="AT3" i="155"/>
  <c r="AT4" i="155" s="1"/>
  <c r="AR502" i="154"/>
  <c r="AR486" i="154" s="1"/>
  <c r="AR494" i="154" s="1"/>
  <c r="AR474" i="154"/>
  <c r="AR500" i="154"/>
  <c r="AR484" i="154" s="1"/>
  <c r="AR492" i="154" s="1"/>
  <c r="AR475" i="154"/>
  <c r="AR501" i="154"/>
  <c r="AR485" i="154" s="1"/>
  <c r="AR493" i="154" s="1"/>
  <c r="AR498" i="154"/>
  <c r="AR482" i="154" s="1"/>
  <c r="AR490" i="154" s="1"/>
  <c r="AR503" i="154"/>
  <c r="AR487" i="154" s="1"/>
  <c r="AR495" i="154" s="1"/>
  <c r="AR476" i="154"/>
  <c r="AR479" i="154"/>
  <c r="AR499" i="154"/>
  <c r="AR483" i="154" s="1"/>
  <c r="AR491" i="154" s="1"/>
  <c r="AR478" i="154"/>
  <c r="AS3" i="154"/>
  <c r="AS4" i="154" s="1"/>
  <c r="AR477" i="154"/>
  <c r="AR2" i="154" a="1"/>
  <c r="AR2" i="154" s="1"/>
  <c r="AR2" i="98" a="1"/>
  <c r="AR2" i="98" s="1"/>
  <c r="AS3" i="98"/>
  <c r="AS4" i="98" s="1"/>
  <c r="AR475" i="153"/>
  <c r="AR474" i="153"/>
  <c r="AR503" i="153"/>
  <c r="AR487" i="153" s="1"/>
  <c r="AR495" i="153" s="1"/>
  <c r="AR499" i="153"/>
  <c r="AR483" i="153" s="1"/>
  <c r="AR491" i="153" s="1"/>
  <c r="AR478" i="153"/>
  <c r="AR477" i="153"/>
  <c r="AR479" i="153"/>
  <c r="AS3" i="153"/>
  <c r="AS4" i="153" s="1"/>
  <c r="AR500" i="153"/>
  <c r="AR484" i="153" s="1"/>
  <c r="AR492" i="153" s="1"/>
  <c r="AR476" i="153"/>
  <c r="AR498" i="153"/>
  <c r="AR482" i="153" s="1"/>
  <c r="AR490" i="153" s="1"/>
  <c r="AR2" i="153" a="1"/>
  <c r="AR2" i="153" s="1"/>
  <c r="AR501" i="153"/>
  <c r="AR485" i="153" s="1"/>
  <c r="AR493" i="153" s="1"/>
  <c r="AR502" i="153"/>
  <c r="AR486" i="153" s="1"/>
  <c r="AR494" i="153" s="1"/>
  <c r="AR2" i="104" a="1"/>
  <c r="AR2" i="104" s="1"/>
  <c r="AS3" i="104"/>
  <c r="AS4" i="104" s="1"/>
  <c r="AU3" i="103"/>
  <c r="AU4" i="103" s="1"/>
  <c r="AT2" i="103" a="1"/>
  <c r="AT2" i="103" s="1"/>
  <c r="AT500" i="155" l="1"/>
  <c r="AT484" i="155" s="1"/>
  <c r="AT492" i="155" s="1"/>
  <c r="AT502" i="155"/>
  <c r="AT486" i="155" s="1"/>
  <c r="AT494" i="155" s="1"/>
  <c r="AT479" i="155"/>
  <c r="AT498" i="155"/>
  <c r="AT482" i="155" s="1"/>
  <c r="AT490" i="155" s="1"/>
  <c r="AT499" i="155"/>
  <c r="AT483" i="155" s="1"/>
  <c r="AT491" i="155" s="1"/>
  <c r="AT478" i="155"/>
  <c r="AT475" i="155"/>
  <c r="AT501" i="155"/>
  <c r="AT485" i="155" s="1"/>
  <c r="AT493" i="155" s="1"/>
  <c r="AT477" i="155"/>
  <c r="AT474" i="155"/>
  <c r="AT476" i="155"/>
  <c r="AT503" i="155"/>
  <c r="AT487" i="155" s="1"/>
  <c r="AT495" i="155" s="1"/>
  <c r="AT2" i="155" a="1"/>
  <c r="AT2" i="155" s="1"/>
  <c r="AU3" i="155"/>
  <c r="AU4" i="155" s="1"/>
  <c r="AS476" i="154"/>
  <c r="AS474" i="154"/>
  <c r="AS501" i="154"/>
  <c r="AS485" i="154" s="1"/>
  <c r="AS493" i="154" s="1"/>
  <c r="AS499" i="154"/>
  <c r="AS483" i="154" s="1"/>
  <c r="AS491" i="154" s="1"/>
  <c r="AS498" i="154"/>
  <c r="AS482" i="154" s="1"/>
  <c r="AS490" i="154" s="1"/>
  <c r="AS475" i="154"/>
  <c r="AS477" i="154"/>
  <c r="AS502" i="154"/>
  <c r="AS486" i="154" s="1"/>
  <c r="AS494" i="154" s="1"/>
  <c r="AS500" i="154"/>
  <c r="AS484" i="154" s="1"/>
  <c r="AS492" i="154" s="1"/>
  <c r="AS478" i="154"/>
  <c r="AS479" i="154"/>
  <c r="AS503" i="154"/>
  <c r="AS487" i="154" s="1"/>
  <c r="AS495" i="154" s="1"/>
  <c r="AS2" i="154" a="1"/>
  <c r="AS2" i="154" s="1"/>
  <c r="AT3" i="154"/>
  <c r="AT4" i="154" s="1"/>
  <c r="AS2" i="98" a="1"/>
  <c r="AS2" i="98" s="1"/>
  <c r="AT3" i="98"/>
  <c r="AT4" i="98" s="1"/>
  <c r="AS503" i="153"/>
  <c r="AS487" i="153" s="1"/>
  <c r="AS495" i="153" s="1"/>
  <c r="AS498" i="153"/>
  <c r="AS482" i="153" s="1"/>
  <c r="AS490" i="153" s="1"/>
  <c r="AS475" i="153"/>
  <c r="AS500" i="153"/>
  <c r="AS484" i="153" s="1"/>
  <c r="AS492" i="153" s="1"/>
  <c r="AS478" i="153"/>
  <c r="AS499" i="153"/>
  <c r="AS483" i="153" s="1"/>
  <c r="AS491" i="153" s="1"/>
  <c r="AS474" i="153"/>
  <c r="AS477" i="153"/>
  <c r="AS479" i="153"/>
  <c r="AS501" i="153"/>
  <c r="AS485" i="153" s="1"/>
  <c r="AS493" i="153" s="1"/>
  <c r="AT3" i="153"/>
  <c r="AT4" i="153" s="1"/>
  <c r="AS476" i="153"/>
  <c r="AS502" i="153"/>
  <c r="AS486" i="153" s="1"/>
  <c r="AS494" i="153" s="1"/>
  <c r="AS2" i="153" a="1"/>
  <c r="AS2" i="153" s="1"/>
  <c r="AS2" i="104" a="1"/>
  <c r="AS2" i="104" s="1"/>
  <c r="AT3" i="104"/>
  <c r="AT4" i="104" s="1"/>
  <c r="AV3" i="103"/>
  <c r="AV4" i="103" s="1"/>
  <c r="AU2" i="103" a="1"/>
  <c r="AU2" i="103" s="1"/>
  <c r="AU502" i="155" l="1"/>
  <c r="AU486" i="155" s="1"/>
  <c r="AU494" i="155" s="1"/>
  <c r="AU479" i="155"/>
  <c r="AU503" i="155"/>
  <c r="AU487" i="155" s="1"/>
  <c r="AU495" i="155" s="1"/>
  <c r="AU478" i="155"/>
  <c r="AU476" i="155"/>
  <c r="AU500" i="155"/>
  <c r="AU484" i="155" s="1"/>
  <c r="AU492" i="155" s="1"/>
  <c r="AU501" i="155"/>
  <c r="AU485" i="155" s="1"/>
  <c r="AU493" i="155" s="1"/>
  <c r="AU477" i="155"/>
  <c r="AU498" i="155"/>
  <c r="AU482" i="155" s="1"/>
  <c r="AU490" i="155" s="1"/>
  <c r="AU475" i="155"/>
  <c r="AU499" i="155"/>
  <c r="AU483" i="155" s="1"/>
  <c r="AU491" i="155" s="1"/>
  <c r="AU474" i="155"/>
  <c r="AU2" i="155" a="1"/>
  <c r="AU2" i="155" s="1"/>
  <c r="AV3" i="155"/>
  <c r="AV4" i="155" s="1"/>
  <c r="AT499" i="154"/>
  <c r="AT483" i="154" s="1"/>
  <c r="AT491" i="154" s="1"/>
  <c r="AT474" i="154"/>
  <c r="AT476" i="154"/>
  <c r="AT475" i="154"/>
  <c r="AT500" i="154"/>
  <c r="AT484" i="154" s="1"/>
  <c r="AT492" i="154" s="1"/>
  <c r="AT477" i="154"/>
  <c r="AT503" i="154"/>
  <c r="AT487" i="154" s="1"/>
  <c r="AT495" i="154" s="1"/>
  <c r="AT502" i="154"/>
  <c r="AT486" i="154" s="1"/>
  <c r="AT494" i="154" s="1"/>
  <c r="AT501" i="154"/>
  <c r="AT485" i="154" s="1"/>
  <c r="AT493" i="154" s="1"/>
  <c r="AT479" i="154"/>
  <c r="AT2" i="154" a="1"/>
  <c r="AT2" i="154" s="1"/>
  <c r="AT498" i="154"/>
  <c r="AT482" i="154" s="1"/>
  <c r="AT490" i="154" s="1"/>
  <c r="AT478" i="154"/>
  <c r="AU3" i="154"/>
  <c r="AU4" i="154" s="1"/>
  <c r="AU3" i="98"/>
  <c r="AU4" i="98" s="1"/>
  <c r="AT2" i="98" a="1"/>
  <c r="AT2" i="98" s="1"/>
  <c r="AT475" i="153"/>
  <c r="AT499" i="153"/>
  <c r="AT483" i="153" s="1"/>
  <c r="AT491" i="153" s="1"/>
  <c r="AT474" i="153"/>
  <c r="AT479" i="153"/>
  <c r="AT502" i="153"/>
  <c r="AT486" i="153" s="1"/>
  <c r="AT494" i="153" s="1"/>
  <c r="AT501" i="153"/>
  <c r="AT485" i="153" s="1"/>
  <c r="AT493" i="153" s="1"/>
  <c r="AT476" i="153"/>
  <c r="AT478" i="153"/>
  <c r="AT477" i="153"/>
  <c r="AT500" i="153"/>
  <c r="AT484" i="153" s="1"/>
  <c r="AT492" i="153" s="1"/>
  <c r="AT498" i="153"/>
  <c r="AT482" i="153" s="1"/>
  <c r="AT490" i="153" s="1"/>
  <c r="AU3" i="153"/>
  <c r="AU4" i="153" s="1"/>
  <c r="AT503" i="153"/>
  <c r="AT487" i="153" s="1"/>
  <c r="AT495" i="153" s="1"/>
  <c r="AT2" i="153" a="1"/>
  <c r="AT2" i="153" s="1"/>
  <c r="AU3" i="104"/>
  <c r="AU4" i="104" s="1"/>
  <c r="AT2" i="104" a="1"/>
  <c r="AT2" i="104" s="1"/>
  <c r="AW3" i="103"/>
  <c r="AW4" i="103" s="1"/>
  <c r="AV2" i="103" a="1"/>
  <c r="AV2" i="103" s="1"/>
  <c r="AV498" i="155" l="1"/>
  <c r="AV482" i="155" s="1"/>
  <c r="AV490" i="155" s="1"/>
  <c r="AV500" i="155"/>
  <c r="AV484" i="155" s="1"/>
  <c r="AV492" i="155" s="1"/>
  <c r="AV503" i="155"/>
  <c r="AV487" i="155" s="1"/>
  <c r="AV495" i="155" s="1"/>
  <c r="AV479" i="155"/>
  <c r="AV501" i="155"/>
  <c r="AV485" i="155" s="1"/>
  <c r="AV493" i="155" s="1"/>
  <c r="AV476" i="155"/>
  <c r="AV478" i="155"/>
  <c r="AV499" i="155"/>
  <c r="AV483" i="155" s="1"/>
  <c r="AV491" i="155" s="1"/>
  <c r="AV502" i="155"/>
  <c r="AV486" i="155" s="1"/>
  <c r="AV494" i="155" s="1"/>
  <c r="AV475" i="155"/>
  <c r="AV474" i="155"/>
  <c r="AV477" i="155"/>
  <c r="AV2" i="155" a="1"/>
  <c r="AV2" i="155" s="1"/>
  <c r="AW3" i="155"/>
  <c r="AW4" i="155" s="1"/>
  <c r="AU498" i="154"/>
  <c r="AU482" i="154" s="1"/>
  <c r="AU490" i="154" s="1"/>
  <c r="AU476" i="154"/>
  <c r="AU500" i="154"/>
  <c r="AU484" i="154" s="1"/>
  <c r="AU492" i="154" s="1"/>
  <c r="AU479" i="154"/>
  <c r="AU477" i="154"/>
  <c r="AU475" i="154"/>
  <c r="AU501" i="154"/>
  <c r="AU485" i="154" s="1"/>
  <c r="AU493" i="154" s="1"/>
  <c r="AU478" i="154"/>
  <c r="AU499" i="154"/>
  <c r="AU483" i="154" s="1"/>
  <c r="AU491" i="154" s="1"/>
  <c r="AU474" i="154"/>
  <c r="AU502" i="154"/>
  <c r="AU486" i="154" s="1"/>
  <c r="AU494" i="154" s="1"/>
  <c r="AU503" i="154"/>
  <c r="AU487" i="154" s="1"/>
  <c r="AU495" i="154" s="1"/>
  <c r="AV3" i="154"/>
  <c r="AV4" i="154" s="1"/>
  <c r="AU2" i="154" a="1"/>
  <c r="AU2" i="154" s="1"/>
  <c r="AV3" i="98"/>
  <c r="AV4" i="98" s="1"/>
  <c r="AU2" i="98" a="1"/>
  <c r="AU2" i="98" s="1"/>
  <c r="AU499" i="153"/>
  <c r="AU483" i="153" s="1"/>
  <c r="AU491" i="153" s="1"/>
  <c r="AU474" i="153"/>
  <c r="AU502" i="153"/>
  <c r="AU486" i="153" s="1"/>
  <c r="AU494" i="153" s="1"/>
  <c r="AU478" i="153"/>
  <c r="AU475" i="153"/>
  <c r="AU476" i="153"/>
  <c r="AU498" i="153"/>
  <c r="AU482" i="153" s="1"/>
  <c r="AU490" i="153" s="1"/>
  <c r="AU479" i="153"/>
  <c r="AU500" i="153"/>
  <c r="AU484" i="153" s="1"/>
  <c r="AU492" i="153" s="1"/>
  <c r="AU501" i="153"/>
  <c r="AU485" i="153" s="1"/>
  <c r="AU493" i="153" s="1"/>
  <c r="AU477" i="153"/>
  <c r="AV3" i="153"/>
  <c r="AV4" i="153" s="1"/>
  <c r="AU503" i="153"/>
  <c r="AU487" i="153" s="1"/>
  <c r="AU495" i="153" s="1"/>
  <c r="AU2" i="153" a="1"/>
  <c r="AU2" i="153" s="1"/>
  <c r="AV3" i="104"/>
  <c r="AV4" i="104" s="1"/>
  <c r="AU2" i="104" a="1"/>
  <c r="AU2" i="104" s="1"/>
  <c r="AW2" i="103" a="1"/>
  <c r="AW2" i="103" s="1"/>
  <c r="AX3" i="103"/>
  <c r="AX4" i="103" s="1"/>
  <c r="AW479" i="155" l="1"/>
  <c r="AW498" i="155"/>
  <c r="AW482" i="155" s="1"/>
  <c r="AW490" i="155" s="1"/>
  <c r="AW501" i="155"/>
  <c r="AW485" i="155" s="1"/>
  <c r="AW493" i="155" s="1"/>
  <c r="AW500" i="155"/>
  <c r="AW484" i="155" s="1"/>
  <c r="AW492" i="155" s="1"/>
  <c r="AW476" i="155"/>
  <c r="AW475" i="155"/>
  <c r="AW502" i="155"/>
  <c r="AW486" i="155" s="1"/>
  <c r="AW494" i="155" s="1"/>
  <c r="AW499" i="155"/>
  <c r="AW483" i="155" s="1"/>
  <c r="AW491" i="155" s="1"/>
  <c r="AW503" i="155"/>
  <c r="AW487" i="155" s="1"/>
  <c r="AW495" i="155" s="1"/>
  <c r="AW477" i="155"/>
  <c r="AW474" i="155"/>
  <c r="AW478" i="155"/>
  <c r="AW2" i="155" a="1"/>
  <c r="AW2" i="155" s="1"/>
  <c r="AX3" i="155"/>
  <c r="AX4" i="155" s="1"/>
  <c r="AV478" i="154"/>
  <c r="AV502" i="154"/>
  <c r="AV486" i="154" s="1"/>
  <c r="AV494" i="154" s="1"/>
  <c r="AV500" i="154"/>
  <c r="AV484" i="154" s="1"/>
  <c r="AV492" i="154" s="1"/>
  <c r="AV475" i="154"/>
  <c r="AV501" i="154"/>
  <c r="AV485" i="154" s="1"/>
  <c r="AV493" i="154" s="1"/>
  <c r="AV479" i="154"/>
  <c r="AV498" i="154"/>
  <c r="AV482" i="154" s="1"/>
  <c r="AV490" i="154" s="1"/>
  <c r="AV474" i="154"/>
  <c r="AV503" i="154"/>
  <c r="AV487" i="154" s="1"/>
  <c r="AV495" i="154" s="1"/>
  <c r="AV477" i="154"/>
  <c r="AV476" i="154"/>
  <c r="AV2" i="154" a="1"/>
  <c r="AV2" i="154" s="1"/>
  <c r="AV499" i="154"/>
  <c r="AV483" i="154" s="1"/>
  <c r="AV491" i="154" s="1"/>
  <c r="AW3" i="154"/>
  <c r="AW4" i="154" s="1"/>
  <c r="AW3" i="98"/>
  <c r="AW4" i="98" s="1"/>
  <c r="AV2" i="98" a="1"/>
  <c r="AV2" i="98" s="1"/>
  <c r="AV498" i="153"/>
  <c r="AV482" i="153" s="1"/>
  <c r="AV490" i="153" s="1"/>
  <c r="AV476" i="153"/>
  <c r="AV479" i="153"/>
  <c r="AV474" i="153"/>
  <c r="AV499" i="153"/>
  <c r="AV483" i="153" s="1"/>
  <c r="AV491" i="153" s="1"/>
  <c r="AV501" i="153"/>
  <c r="AV485" i="153" s="1"/>
  <c r="AV493" i="153" s="1"/>
  <c r="AV478" i="153"/>
  <c r="AV477" i="153"/>
  <c r="AV500" i="153"/>
  <c r="AV484" i="153" s="1"/>
  <c r="AV492" i="153" s="1"/>
  <c r="AV502" i="153"/>
  <c r="AV486" i="153" s="1"/>
  <c r="AV494" i="153" s="1"/>
  <c r="AV475" i="153"/>
  <c r="AV503" i="153"/>
  <c r="AV487" i="153" s="1"/>
  <c r="AV495" i="153" s="1"/>
  <c r="AV2" i="153" a="1"/>
  <c r="AV2" i="153" s="1"/>
  <c r="AW3" i="153"/>
  <c r="AW4" i="153" s="1"/>
  <c r="AW3" i="104"/>
  <c r="AW4" i="104" s="1"/>
  <c r="AV2" i="104" a="1"/>
  <c r="AV2" i="104" s="1"/>
  <c r="AX2" i="103" a="1"/>
  <c r="AX2" i="103" s="1"/>
  <c r="AY3" i="103"/>
  <c r="AY4" i="103" s="1"/>
  <c r="AX502" i="155" l="1"/>
  <c r="AX486" i="155" s="1"/>
  <c r="AX494" i="155" s="1"/>
  <c r="AX477" i="155"/>
  <c r="AX479" i="155"/>
  <c r="AX476" i="155"/>
  <c r="AX475" i="155"/>
  <c r="AX501" i="155"/>
  <c r="AX485" i="155" s="1"/>
  <c r="AX493" i="155" s="1"/>
  <c r="AX499" i="155"/>
  <c r="AX483" i="155" s="1"/>
  <c r="AX491" i="155" s="1"/>
  <c r="AX478" i="155"/>
  <c r="AX503" i="155"/>
  <c r="AX487" i="155" s="1"/>
  <c r="AX495" i="155" s="1"/>
  <c r="AX500" i="155"/>
  <c r="AX484" i="155" s="1"/>
  <c r="AX492" i="155" s="1"/>
  <c r="AX498" i="155"/>
  <c r="AX482" i="155" s="1"/>
  <c r="AX490" i="155" s="1"/>
  <c r="AX474" i="155"/>
  <c r="AY3" i="155"/>
  <c r="AY4" i="155" s="1"/>
  <c r="AX2" i="155" a="1"/>
  <c r="AX2" i="155" s="1"/>
  <c r="AW500" i="154"/>
  <c r="AW484" i="154" s="1"/>
  <c r="AW492" i="154" s="1"/>
  <c r="AW478" i="154"/>
  <c r="AW498" i="154"/>
  <c r="AW482" i="154" s="1"/>
  <c r="AW490" i="154" s="1"/>
  <c r="AW479" i="154"/>
  <c r="AW475" i="154"/>
  <c r="AW501" i="154"/>
  <c r="AW485" i="154" s="1"/>
  <c r="AW493" i="154" s="1"/>
  <c r="AW499" i="154"/>
  <c r="AW483" i="154" s="1"/>
  <c r="AW491" i="154" s="1"/>
  <c r="AW502" i="154"/>
  <c r="AW486" i="154" s="1"/>
  <c r="AW494" i="154" s="1"/>
  <c r="AW503" i="154"/>
  <c r="AW487" i="154" s="1"/>
  <c r="AW495" i="154" s="1"/>
  <c r="AW477" i="154"/>
  <c r="AW474" i="154"/>
  <c r="AW476" i="154"/>
  <c r="AX3" i="154"/>
  <c r="AX4" i="154" s="1"/>
  <c r="AW2" i="154" a="1"/>
  <c r="AW2" i="154" s="1"/>
  <c r="AW2" i="98" a="1"/>
  <c r="AW2" i="98" s="1"/>
  <c r="AX3" i="98"/>
  <c r="AX4" i="98" s="1"/>
  <c r="AW501" i="153"/>
  <c r="AW485" i="153" s="1"/>
  <c r="AW493" i="153" s="1"/>
  <c r="AW498" i="153"/>
  <c r="AW482" i="153" s="1"/>
  <c r="AW490" i="153" s="1"/>
  <c r="AW476" i="153"/>
  <c r="AW479" i="153"/>
  <c r="AW474" i="153"/>
  <c r="AW499" i="153"/>
  <c r="AW483" i="153" s="1"/>
  <c r="AW491" i="153" s="1"/>
  <c r="AW475" i="153"/>
  <c r="AW478" i="153"/>
  <c r="AW500" i="153"/>
  <c r="AW484" i="153" s="1"/>
  <c r="AW492" i="153" s="1"/>
  <c r="AW477" i="153"/>
  <c r="AW502" i="153"/>
  <c r="AW486" i="153" s="1"/>
  <c r="AW494" i="153" s="1"/>
  <c r="AW503" i="153"/>
  <c r="AW487" i="153" s="1"/>
  <c r="AW495" i="153" s="1"/>
  <c r="AW2" i="153" a="1"/>
  <c r="AW2" i="153" s="1"/>
  <c r="AX3" i="153"/>
  <c r="AX4" i="153" s="1"/>
  <c r="AX3" i="104"/>
  <c r="AX4" i="104" s="1"/>
  <c r="AW2" i="104" a="1"/>
  <c r="AW2" i="104" s="1"/>
  <c r="AY2" i="103" a="1"/>
  <c r="AY2" i="103" s="1"/>
  <c r="AZ3" i="103"/>
  <c r="AZ4" i="103" s="1"/>
  <c r="AY477" i="155" l="1"/>
  <c r="AY499" i="155"/>
  <c r="AY483" i="155" s="1"/>
  <c r="AY491" i="155" s="1"/>
  <c r="AY502" i="155"/>
  <c r="AY486" i="155" s="1"/>
  <c r="AY494" i="155" s="1"/>
  <c r="AY478" i="155"/>
  <c r="AY475" i="155"/>
  <c r="AY479" i="155"/>
  <c r="AY474" i="155"/>
  <c r="AY503" i="155"/>
  <c r="AY487" i="155" s="1"/>
  <c r="AY495" i="155" s="1"/>
  <c r="AY501" i="155"/>
  <c r="AY485" i="155" s="1"/>
  <c r="AY493" i="155" s="1"/>
  <c r="AY500" i="155"/>
  <c r="AY484" i="155" s="1"/>
  <c r="AY492" i="155" s="1"/>
  <c r="AY476" i="155"/>
  <c r="AY498" i="155"/>
  <c r="AY482" i="155" s="1"/>
  <c r="AY490" i="155" s="1"/>
  <c r="AZ3" i="155"/>
  <c r="AZ4" i="155" s="1"/>
  <c r="AY2" i="155" a="1"/>
  <c r="AY2" i="155" s="1"/>
  <c r="AX474" i="154"/>
  <c r="AX477" i="154"/>
  <c r="AX475" i="154"/>
  <c r="AX499" i="154"/>
  <c r="AX483" i="154" s="1"/>
  <c r="AX491" i="154" s="1"/>
  <c r="AX500" i="154"/>
  <c r="AX484" i="154" s="1"/>
  <c r="AX492" i="154" s="1"/>
  <c r="AX498" i="154"/>
  <c r="AX482" i="154" s="1"/>
  <c r="AX490" i="154" s="1"/>
  <c r="AX501" i="154"/>
  <c r="AX485" i="154" s="1"/>
  <c r="AX493" i="154" s="1"/>
  <c r="AX478" i="154"/>
  <c r="AX479" i="154"/>
  <c r="AX476" i="154"/>
  <c r="AX503" i="154"/>
  <c r="AX487" i="154" s="1"/>
  <c r="AX495" i="154" s="1"/>
  <c r="AX502" i="154"/>
  <c r="AX486" i="154" s="1"/>
  <c r="AX494" i="154" s="1"/>
  <c r="AX2" i="154" a="1"/>
  <c r="AX2" i="154" s="1"/>
  <c r="AY3" i="154"/>
  <c r="AY4" i="154" s="1"/>
  <c r="AY3" i="98"/>
  <c r="AY4" i="98" s="1"/>
  <c r="AX2" i="98" a="1"/>
  <c r="AX2" i="98" s="1"/>
  <c r="AX501" i="153"/>
  <c r="AX485" i="153" s="1"/>
  <c r="AX493" i="153" s="1"/>
  <c r="AX476" i="153"/>
  <c r="AX499" i="153"/>
  <c r="AX483" i="153" s="1"/>
  <c r="AX491" i="153" s="1"/>
  <c r="AX503" i="153"/>
  <c r="AX487" i="153" s="1"/>
  <c r="AX495" i="153" s="1"/>
  <c r="AX478" i="153"/>
  <c r="AX479" i="153"/>
  <c r="AX474" i="153"/>
  <c r="AX502" i="153"/>
  <c r="AX486" i="153" s="1"/>
  <c r="AX494" i="153" s="1"/>
  <c r="AX2" i="153" a="1"/>
  <c r="AX2" i="153" s="1"/>
  <c r="AX498" i="153"/>
  <c r="AX482" i="153" s="1"/>
  <c r="AX490" i="153" s="1"/>
  <c r="AX500" i="153"/>
  <c r="AX484" i="153" s="1"/>
  <c r="AX492" i="153" s="1"/>
  <c r="AX477" i="153"/>
  <c r="AX475" i="153"/>
  <c r="AY3" i="153"/>
  <c r="AY4" i="153" s="1"/>
  <c r="AY3" i="104"/>
  <c r="AY4" i="104" s="1"/>
  <c r="AX2" i="104" a="1"/>
  <c r="AX2" i="104" s="1"/>
  <c r="BA3" i="103"/>
  <c r="BA4" i="103" s="1"/>
  <c r="AZ2" i="103" a="1"/>
  <c r="AZ2" i="103" s="1"/>
  <c r="AZ477" i="155" l="1"/>
  <c r="AZ502" i="155"/>
  <c r="AZ486" i="155" s="1"/>
  <c r="AZ494" i="155" s="1"/>
  <c r="AZ498" i="155"/>
  <c r="AZ482" i="155" s="1"/>
  <c r="AZ490" i="155" s="1"/>
  <c r="AZ500" i="155"/>
  <c r="AZ484" i="155" s="1"/>
  <c r="AZ492" i="155" s="1"/>
  <c r="AZ479" i="155"/>
  <c r="AZ474" i="155"/>
  <c r="AZ503" i="155"/>
  <c r="AZ487" i="155" s="1"/>
  <c r="AZ495" i="155" s="1"/>
  <c r="AZ501" i="155"/>
  <c r="AZ485" i="155" s="1"/>
  <c r="AZ493" i="155" s="1"/>
  <c r="AZ499" i="155"/>
  <c r="AZ483" i="155" s="1"/>
  <c r="AZ491" i="155" s="1"/>
  <c r="AZ476" i="155"/>
  <c r="AZ475" i="155"/>
  <c r="AZ478" i="155"/>
  <c r="BA3" i="155"/>
  <c r="BA4" i="155" s="1"/>
  <c r="AZ2" i="155" a="1"/>
  <c r="AZ2" i="155" s="1"/>
  <c r="AY503" i="154"/>
  <c r="AY487" i="154" s="1"/>
  <c r="AY495" i="154" s="1"/>
  <c r="AY501" i="154"/>
  <c r="AY485" i="154" s="1"/>
  <c r="AY493" i="154" s="1"/>
  <c r="AY498" i="154"/>
  <c r="AY482" i="154" s="1"/>
  <c r="AY490" i="154" s="1"/>
  <c r="AY475" i="154"/>
  <c r="AY500" i="154"/>
  <c r="AY484" i="154" s="1"/>
  <c r="AY492" i="154" s="1"/>
  <c r="AY478" i="154"/>
  <c r="AY474" i="154"/>
  <c r="AY502" i="154"/>
  <c r="AY486" i="154" s="1"/>
  <c r="AY494" i="154" s="1"/>
  <c r="AY479" i="154"/>
  <c r="AY477" i="154"/>
  <c r="AY476" i="154"/>
  <c r="AY2" i="154" a="1"/>
  <c r="AY2" i="154" s="1"/>
  <c r="AY499" i="154"/>
  <c r="AY483" i="154" s="1"/>
  <c r="AY491" i="154" s="1"/>
  <c r="AZ3" i="154"/>
  <c r="AZ4" i="154" s="1"/>
  <c r="AZ3" i="98"/>
  <c r="AZ4" i="98" s="1"/>
  <c r="AY2" i="98" a="1"/>
  <c r="AY2" i="98" s="1"/>
  <c r="AY476" i="153"/>
  <c r="AY498" i="153"/>
  <c r="AY482" i="153" s="1"/>
  <c r="AY490" i="153" s="1"/>
  <c r="AY503" i="153"/>
  <c r="AY487" i="153" s="1"/>
  <c r="AY495" i="153" s="1"/>
  <c r="AY475" i="153"/>
  <c r="AY478" i="153"/>
  <c r="AY499" i="153"/>
  <c r="AY483" i="153" s="1"/>
  <c r="AY491" i="153" s="1"/>
  <c r="AY479" i="153"/>
  <c r="AY502" i="153"/>
  <c r="AY486" i="153" s="1"/>
  <c r="AY494" i="153" s="1"/>
  <c r="AY474" i="153"/>
  <c r="AY2" i="153" a="1"/>
  <c r="AY2" i="153" s="1"/>
  <c r="AY500" i="153"/>
  <c r="AY484" i="153" s="1"/>
  <c r="AY492" i="153" s="1"/>
  <c r="AY477" i="153"/>
  <c r="AZ3" i="153"/>
  <c r="AZ4" i="153" s="1"/>
  <c r="AY501" i="153"/>
  <c r="AY485" i="153" s="1"/>
  <c r="AY493" i="153" s="1"/>
  <c r="AZ3" i="104"/>
  <c r="AZ4" i="104" s="1"/>
  <c r="AY2" i="104" a="1"/>
  <c r="AY2" i="104" s="1"/>
  <c r="BA2" i="103" a="1"/>
  <c r="BA2" i="103" s="1"/>
  <c r="BB3" i="103"/>
  <c r="BB4" i="103" s="1"/>
  <c r="BA498" i="155" l="1"/>
  <c r="BA482" i="155" s="1"/>
  <c r="BA490" i="155" s="1"/>
  <c r="BA474" i="155"/>
  <c r="BA502" i="155"/>
  <c r="BA486" i="155" s="1"/>
  <c r="BA494" i="155" s="1"/>
  <c r="BA475" i="155"/>
  <c r="BA503" i="155"/>
  <c r="BA487" i="155" s="1"/>
  <c r="BA495" i="155" s="1"/>
  <c r="BA479" i="155"/>
  <c r="BA499" i="155"/>
  <c r="BA483" i="155" s="1"/>
  <c r="BA491" i="155" s="1"/>
  <c r="BA501" i="155"/>
  <c r="BA485" i="155" s="1"/>
  <c r="BA493" i="155" s="1"/>
  <c r="BA500" i="155"/>
  <c r="BA484" i="155" s="1"/>
  <c r="BA492" i="155" s="1"/>
  <c r="BA478" i="155"/>
  <c r="BA477" i="155"/>
  <c r="BA476" i="155"/>
  <c r="BA2" i="155" a="1"/>
  <c r="BA2" i="155" s="1"/>
  <c r="BB3" i="155"/>
  <c r="BB4" i="155" s="1"/>
  <c r="AZ500" i="154"/>
  <c r="AZ484" i="154" s="1"/>
  <c r="AZ492" i="154" s="1"/>
  <c r="AZ475" i="154"/>
  <c r="AZ476" i="154"/>
  <c r="AZ474" i="154"/>
  <c r="AZ499" i="154"/>
  <c r="AZ483" i="154" s="1"/>
  <c r="AZ491" i="154" s="1"/>
  <c r="AZ479" i="154"/>
  <c r="AZ477" i="154"/>
  <c r="AZ501" i="154"/>
  <c r="AZ485" i="154" s="1"/>
  <c r="AZ493" i="154" s="1"/>
  <c r="AZ503" i="154"/>
  <c r="AZ487" i="154" s="1"/>
  <c r="AZ495" i="154" s="1"/>
  <c r="BA3" i="154"/>
  <c r="BA4" i="154" s="1"/>
  <c r="AZ478" i="154"/>
  <c r="AZ2" i="154" a="1"/>
  <c r="AZ2" i="154" s="1"/>
  <c r="AZ498" i="154"/>
  <c r="AZ482" i="154" s="1"/>
  <c r="AZ490" i="154" s="1"/>
  <c r="AZ502" i="154"/>
  <c r="AZ486" i="154" s="1"/>
  <c r="AZ494" i="154" s="1"/>
  <c r="AZ2" i="98" a="1"/>
  <c r="AZ2" i="98" s="1"/>
  <c r="BA3" i="98"/>
  <c r="BA4" i="98" s="1"/>
  <c r="AZ476" i="153"/>
  <c r="AZ498" i="153"/>
  <c r="AZ482" i="153" s="1"/>
  <c r="AZ490" i="153" s="1"/>
  <c r="AZ502" i="153"/>
  <c r="AZ486" i="153" s="1"/>
  <c r="AZ494" i="153" s="1"/>
  <c r="AZ500" i="153"/>
  <c r="AZ484" i="153" s="1"/>
  <c r="AZ492" i="153" s="1"/>
  <c r="AZ479" i="153"/>
  <c r="AZ503" i="153"/>
  <c r="AZ487" i="153" s="1"/>
  <c r="AZ495" i="153" s="1"/>
  <c r="AZ475" i="153"/>
  <c r="AZ501" i="153"/>
  <c r="AZ485" i="153" s="1"/>
  <c r="AZ493" i="153" s="1"/>
  <c r="AZ499" i="153"/>
  <c r="AZ483" i="153" s="1"/>
  <c r="AZ491" i="153" s="1"/>
  <c r="AZ478" i="153"/>
  <c r="AZ477" i="153"/>
  <c r="AZ474" i="153"/>
  <c r="BA3" i="153"/>
  <c r="BA4" i="153" s="1"/>
  <c r="AZ2" i="153" a="1"/>
  <c r="AZ2" i="153" s="1"/>
  <c r="BA3" i="104"/>
  <c r="BA4" i="104" s="1"/>
  <c r="AZ2" i="104" a="1"/>
  <c r="AZ2" i="104" s="1"/>
  <c r="BB2" i="103" a="1"/>
  <c r="BB2" i="103" s="1"/>
  <c r="BC3" i="103"/>
  <c r="BC4" i="103" s="1"/>
  <c r="BB499" i="155" l="1"/>
  <c r="BB483" i="155" s="1"/>
  <c r="BB491" i="155" s="1"/>
  <c r="BB474" i="155"/>
  <c r="BB475" i="155"/>
  <c r="BB503" i="155"/>
  <c r="BB487" i="155" s="1"/>
  <c r="BB495" i="155" s="1"/>
  <c r="BB477" i="155"/>
  <c r="BB502" i="155"/>
  <c r="BB486" i="155" s="1"/>
  <c r="BB494" i="155" s="1"/>
  <c r="BB501" i="155"/>
  <c r="BB485" i="155" s="1"/>
  <c r="BB493" i="155" s="1"/>
  <c r="BB479" i="155"/>
  <c r="BB500" i="155"/>
  <c r="BB484" i="155" s="1"/>
  <c r="BB492" i="155" s="1"/>
  <c r="BB498" i="155"/>
  <c r="BB482" i="155" s="1"/>
  <c r="BB490" i="155" s="1"/>
  <c r="BB476" i="155"/>
  <c r="BB478" i="155"/>
  <c r="BB2" i="155" a="1"/>
  <c r="BB2" i="155" s="1"/>
  <c r="BC3" i="155"/>
  <c r="BC4" i="155" s="1"/>
  <c r="BA500" i="154"/>
  <c r="BA484" i="154" s="1"/>
  <c r="BA492" i="154" s="1"/>
  <c r="BA498" i="154"/>
  <c r="BA482" i="154" s="1"/>
  <c r="BA490" i="154" s="1"/>
  <c r="BA478" i="154"/>
  <c r="BA502" i="154"/>
  <c r="BA486" i="154" s="1"/>
  <c r="BA494" i="154" s="1"/>
  <c r="BA476" i="154"/>
  <c r="BA479" i="154"/>
  <c r="BA474" i="154"/>
  <c r="BA475" i="154"/>
  <c r="BA503" i="154"/>
  <c r="BA487" i="154" s="1"/>
  <c r="BA495" i="154" s="1"/>
  <c r="BA499" i="154"/>
  <c r="BA483" i="154" s="1"/>
  <c r="BA491" i="154" s="1"/>
  <c r="BA477" i="154"/>
  <c r="BA2" i="154" a="1"/>
  <c r="BA2" i="154" s="1"/>
  <c r="BA501" i="154"/>
  <c r="BA485" i="154" s="1"/>
  <c r="BA493" i="154" s="1"/>
  <c r="BB3" i="154"/>
  <c r="BB4" i="154" s="1"/>
  <c r="BB3" i="98"/>
  <c r="BB4" i="98" s="1"/>
  <c r="BA2" i="98" a="1"/>
  <c r="BA2" i="98" s="1"/>
  <c r="BA498" i="153"/>
  <c r="BA482" i="153" s="1"/>
  <c r="BA490" i="153" s="1"/>
  <c r="BA502" i="153"/>
  <c r="BA486" i="153" s="1"/>
  <c r="BA494" i="153" s="1"/>
  <c r="BA500" i="153"/>
  <c r="BA484" i="153" s="1"/>
  <c r="BA492" i="153" s="1"/>
  <c r="BA479" i="153"/>
  <c r="BA503" i="153"/>
  <c r="BA487" i="153" s="1"/>
  <c r="BA495" i="153" s="1"/>
  <c r="BA478" i="153"/>
  <c r="BA476" i="153"/>
  <c r="BA474" i="153"/>
  <c r="BA477" i="153"/>
  <c r="BA501" i="153"/>
  <c r="BA485" i="153" s="1"/>
  <c r="BA493" i="153" s="1"/>
  <c r="BA499" i="153"/>
  <c r="BA483" i="153" s="1"/>
  <c r="BA491" i="153" s="1"/>
  <c r="BA2" i="153" a="1"/>
  <c r="BA2" i="153" s="1"/>
  <c r="BB3" i="153"/>
  <c r="BB4" i="153" s="1"/>
  <c r="BA475" i="153"/>
  <c r="BB3" i="104"/>
  <c r="BB4" i="104" s="1"/>
  <c r="BA2" i="104" a="1"/>
  <c r="BA2" i="104" s="1"/>
  <c r="BD3" i="103"/>
  <c r="BD4" i="103" s="1"/>
  <c r="BC2" i="103" a="1"/>
  <c r="BC2" i="103" s="1"/>
  <c r="BC474" i="155" l="1"/>
  <c r="BC475" i="155"/>
  <c r="BC478" i="155"/>
  <c r="BC499" i="155"/>
  <c r="BC483" i="155" s="1"/>
  <c r="BC491" i="155" s="1"/>
  <c r="BC476" i="155"/>
  <c r="BC501" i="155"/>
  <c r="BC485" i="155" s="1"/>
  <c r="BC493" i="155" s="1"/>
  <c r="BC500" i="155"/>
  <c r="BC484" i="155" s="1"/>
  <c r="BC492" i="155" s="1"/>
  <c r="BC503" i="155"/>
  <c r="BC487" i="155" s="1"/>
  <c r="BC495" i="155" s="1"/>
  <c r="BC502" i="155"/>
  <c r="BC486" i="155" s="1"/>
  <c r="BC494" i="155" s="1"/>
  <c r="BC498" i="155"/>
  <c r="BC482" i="155" s="1"/>
  <c r="BC490" i="155" s="1"/>
  <c r="BC479" i="155"/>
  <c r="BC477" i="155"/>
  <c r="BC2" i="155" a="1"/>
  <c r="BC2" i="155" s="1"/>
  <c r="BD3" i="155"/>
  <c r="BD4" i="155" s="1"/>
  <c r="BB503" i="154"/>
  <c r="BB487" i="154" s="1"/>
  <c r="BB495" i="154" s="1"/>
  <c r="BB477" i="154"/>
  <c r="BB479" i="154"/>
  <c r="BB474" i="154"/>
  <c r="BB500" i="154"/>
  <c r="BB484" i="154" s="1"/>
  <c r="BB492" i="154" s="1"/>
  <c r="BB476" i="154"/>
  <c r="BB499" i="154"/>
  <c r="BB483" i="154" s="1"/>
  <c r="BB491" i="154" s="1"/>
  <c r="BB501" i="154"/>
  <c r="BB485" i="154" s="1"/>
  <c r="BB493" i="154" s="1"/>
  <c r="BB498" i="154"/>
  <c r="BB482" i="154" s="1"/>
  <c r="BB490" i="154" s="1"/>
  <c r="BB502" i="154"/>
  <c r="BB486" i="154" s="1"/>
  <c r="BB494" i="154" s="1"/>
  <c r="BC3" i="154"/>
  <c r="BC4" i="154" s="1"/>
  <c r="BB478" i="154"/>
  <c r="BB475" i="154"/>
  <c r="BB2" i="154" a="1"/>
  <c r="BB2" i="154" s="1"/>
  <c r="BB2" i="98" a="1"/>
  <c r="BB2" i="98" s="1"/>
  <c r="BC3" i="98"/>
  <c r="BC4" i="98" s="1"/>
  <c r="BB503" i="153"/>
  <c r="BB487" i="153" s="1"/>
  <c r="BB495" i="153" s="1"/>
  <c r="BB499" i="153"/>
  <c r="BB483" i="153" s="1"/>
  <c r="BB491" i="153" s="1"/>
  <c r="BB502" i="153"/>
  <c r="BB486" i="153" s="1"/>
  <c r="BB494" i="153" s="1"/>
  <c r="BB500" i="153"/>
  <c r="BB484" i="153" s="1"/>
  <c r="BB492" i="153" s="1"/>
  <c r="BB498" i="153"/>
  <c r="BB482" i="153" s="1"/>
  <c r="BB490" i="153" s="1"/>
  <c r="BB479" i="153"/>
  <c r="BB501" i="153"/>
  <c r="BB485" i="153" s="1"/>
  <c r="BB493" i="153" s="1"/>
  <c r="BB476" i="153"/>
  <c r="BB474" i="153"/>
  <c r="BB477" i="153"/>
  <c r="BB475" i="153"/>
  <c r="BB478" i="153"/>
  <c r="BC3" i="153"/>
  <c r="BC4" i="153" s="1"/>
  <c r="BB2" i="153" a="1"/>
  <c r="BB2" i="153" s="1"/>
  <c r="BC3" i="104"/>
  <c r="BC4" i="104" s="1"/>
  <c r="BB2" i="104" a="1"/>
  <c r="BB2" i="104" s="1"/>
  <c r="BE3" i="103"/>
  <c r="BE4" i="103" s="1"/>
  <c r="BD2" i="103" a="1"/>
  <c r="BD2" i="103" s="1"/>
  <c r="BD478" i="155" l="1"/>
  <c r="BD503" i="155"/>
  <c r="BD487" i="155" s="1"/>
  <c r="BD495" i="155" s="1"/>
  <c r="BD479" i="155"/>
  <c r="BD502" i="155"/>
  <c r="BD486" i="155" s="1"/>
  <c r="BD494" i="155" s="1"/>
  <c r="BD475" i="155"/>
  <c r="BD474" i="155"/>
  <c r="BD499" i="155"/>
  <c r="BD483" i="155" s="1"/>
  <c r="BD491" i="155" s="1"/>
  <c r="BD498" i="155"/>
  <c r="BD482" i="155" s="1"/>
  <c r="BD490" i="155" s="1"/>
  <c r="BD477" i="155"/>
  <c r="BD501" i="155"/>
  <c r="BD485" i="155" s="1"/>
  <c r="BD493" i="155" s="1"/>
  <c r="BD476" i="155"/>
  <c r="BD2" i="155" a="1"/>
  <c r="BD2" i="155" s="1"/>
  <c r="BE3" i="155"/>
  <c r="BE4" i="155" s="1"/>
  <c r="BD500" i="155"/>
  <c r="BD484" i="155" s="1"/>
  <c r="BD492" i="155" s="1"/>
  <c r="BC475" i="154"/>
  <c r="BC500" i="154"/>
  <c r="BC484" i="154" s="1"/>
  <c r="BC492" i="154" s="1"/>
  <c r="BC479" i="154"/>
  <c r="BC501" i="154"/>
  <c r="BC485" i="154" s="1"/>
  <c r="BC493" i="154" s="1"/>
  <c r="BC498" i="154"/>
  <c r="BC482" i="154" s="1"/>
  <c r="BC490" i="154" s="1"/>
  <c r="BC499" i="154"/>
  <c r="BC483" i="154" s="1"/>
  <c r="BC491" i="154" s="1"/>
  <c r="BC477" i="154"/>
  <c r="BC503" i="154"/>
  <c r="BC487" i="154" s="1"/>
  <c r="BC495" i="154" s="1"/>
  <c r="BC474" i="154"/>
  <c r="BD3" i="154"/>
  <c r="BD4" i="154" s="1"/>
  <c r="BC478" i="154"/>
  <c r="BC502" i="154"/>
  <c r="BC486" i="154" s="1"/>
  <c r="BC494" i="154" s="1"/>
  <c r="BC476" i="154"/>
  <c r="BC2" i="154" a="1"/>
  <c r="BC2" i="154" s="1"/>
  <c r="BC2" i="98" a="1"/>
  <c r="BC2" i="98" s="1"/>
  <c r="BD3" i="98"/>
  <c r="BD4" i="98" s="1"/>
  <c r="BC502" i="153"/>
  <c r="BC486" i="153" s="1"/>
  <c r="BC494" i="153" s="1"/>
  <c r="BC503" i="153"/>
  <c r="BC487" i="153" s="1"/>
  <c r="BC495" i="153" s="1"/>
  <c r="BC478" i="153"/>
  <c r="BC479" i="153"/>
  <c r="BC474" i="153"/>
  <c r="BC498" i="153"/>
  <c r="BC482" i="153" s="1"/>
  <c r="BC490" i="153" s="1"/>
  <c r="BC477" i="153"/>
  <c r="BC476" i="153"/>
  <c r="BC501" i="153"/>
  <c r="BC485" i="153" s="1"/>
  <c r="BC493" i="153" s="1"/>
  <c r="BC500" i="153"/>
  <c r="BC484" i="153" s="1"/>
  <c r="BC492" i="153" s="1"/>
  <c r="BC2" i="153" a="1"/>
  <c r="BC2" i="153" s="1"/>
  <c r="BC499" i="153"/>
  <c r="BC483" i="153" s="1"/>
  <c r="BC491" i="153" s="1"/>
  <c r="BD3" i="153"/>
  <c r="BD4" i="153" s="1"/>
  <c r="BC475" i="153"/>
  <c r="BC2" i="104" a="1"/>
  <c r="BC2" i="104" s="1"/>
  <c r="BD3" i="104"/>
  <c r="BD4" i="104" s="1"/>
  <c r="BE2" i="103" a="1"/>
  <c r="BE2" i="103" s="1"/>
  <c r="BF3" i="103"/>
  <c r="BF4" i="103" s="1"/>
  <c r="BE501" i="155" l="1"/>
  <c r="BE485" i="155" s="1"/>
  <c r="BE493" i="155" s="1"/>
  <c r="BE478" i="155"/>
  <c r="BE499" i="155"/>
  <c r="BE483" i="155" s="1"/>
  <c r="BE491" i="155" s="1"/>
  <c r="BE475" i="155"/>
  <c r="BE503" i="155"/>
  <c r="BE487" i="155" s="1"/>
  <c r="BE495" i="155" s="1"/>
  <c r="BE502" i="155"/>
  <c r="BE486" i="155" s="1"/>
  <c r="BE494" i="155" s="1"/>
  <c r="BE474" i="155"/>
  <c r="BE500" i="155"/>
  <c r="BE484" i="155" s="1"/>
  <c r="BE492" i="155" s="1"/>
  <c r="BE479" i="155"/>
  <c r="BE477" i="155"/>
  <c r="BE498" i="155"/>
  <c r="BE482" i="155" s="1"/>
  <c r="BE490" i="155" s="1"/>
  <c r="BF3" i="155"/>
  <c r="BF4" i="155" s="1"/>
  <c r="BE476" i="155"/>
  <c r="BE2" i="155" a="1"/>
  <c r="BE2" i="155" s="1"/>
  <c r="BD475" i="154"/>
  <c r="BD502" i="154"/>
  <c r="BD486" i="154" s="1"/>
  <c r="BD494" i="154" s="1"/>
  <c r="BD479" i="154"/>
  <c r="BD498" i="154"/>
  <c r="BD482" i="154" s="1"/>
  <c r="BD490" i="154" s="1"/>
  <c r="BD478" i="154"/>
  <c r="BD499" i="154"/>
  <c r="BD483" i="154" s="1"/>
  <c r="BD491" i="154" s="1"/>
  <c r="BD501" i="154"/>
  <c r="BD485" i="154" s="1"/>
  <c r="BD493" i="154" s="1"/>
  <c r="BD500" i="154"/>
  <c r="BD484" i="154" s="1"/>
  <c r="BD492" i="154" s="1"/>
  <c r="BD477" i="154"/>
  <c r="BD474" i="154"/>
  <c r="BD503" i="154"/>
  <c r="BD487" i="154" s="1"/>
  <c r="BD495" i="154" s="1"/>
  <c r="BE3" i="154"/>
  <c r="BE4" i="154" s="1"/>
  <c r="BD476" i="154"/>
  <c r="BD2" i="154" a="1"/>
  <c r="BD2" i="154" s="1"/>
  <c r="BE3" i="98"/>
  <c r="BE4" i="98" s="1"/>
  <c r="BD2" i="98" a="1"/>
  <c r="BD2" i="98" s="1"/>
  <c r="BD503" i="153"/>
  <c r="BD487" i="153" s="1"/>
  <c r="BD495" i="153" s="1"/>
  <c r="BD477" i="153"/>
  <c r="BD478" i="153"/>
  <c r="BD476" i="153"/>
  <c r="BD479" i="153"/>
  <c r="BD474" i="153"/>
  <c r="BD502" i="153"/>
  <c r="BD486" i="153" s="1"/>
  <c r="BD494" i="153" s="1"/>
  <c r="BD498" i="153"/>
  <c r="BD482" i="153" s="1"/>
  <c r="BD490" i="153" s="1"/>
  <c r="BD500" i="153"/>
  <c r="BD484" i="153" s="1"/>
  <c r="BD492" i="153" s="1"/>
  <c r="BD499" i="153"/>
  <c r="BD483" i="153" s="1"/>
  <c r="BD491" i="153" s="1"/>
  <c r="BD501" i="153"/>
  <c r="BD485" i="153" s="1"/>
  <c r="BD493" i="153" s="1"/>
  <c r="BD2" i="153" a="1"/>
  <c r="BD2" i="153" s="1"/>
  <c r="BD475" i="153"/>
  <c r="BE3" i="153"/>
  <c r="BE4" i="153" s="1"/>
  <c r="BD2" i="104" a="1"/>
  <c r="BD2" i="104" s="1"/>
  <c r="BE3" i="104"/>
  <c r="BE4" i="104" s="1"/>
  <c r="BF2" i="103" a="1"/>
  <c r="BF2" i="103" s="1"/>
  <c r="BG3" i="103"/>
  <c r="BG4" i="103" s="1"/>
  <c r="BF499" i="155" l="1"/>
  <c r="BF483" i="155" s="1"/>
  <c r="BF491" i="155" s="1"/>
  <c r="BF501" i="155"/>
  <c r="BF485" i="155" s="1"/>
  <c r="BF493" i="155" s="1"/>
  <c r="BF502" i="155"/>
  <c r="BF486" i="155" s="1"/>
  <c r="BF494" i="155" s="1"/>
  <c r="BF503" i="155"/>
  <c r="BF487" i="155" s="1"/>
  <c r="BF495" i="155" s="1"/>
  <c r="BF474" i="155"/>
  <c r="BF479" i="155"/>
  <c r="BF498" i="155"/>
  <c r="BF482" i="155" s="1"/>
  <c r="BF490" i="155" s="1"/>
  <c r="BF500" i="155"/>
  <c r="BF484" i="155" s="1"/>
  <c r="BF492" i="155" s="1"/>
  <c r="BF478" i="155"/>
  <c r="BF2" i="155" a="1"/>
  <c r="BF2" i="155" s="1"/>
  <c r="BG3" i="155"/>
  <c r="BG4" i="155" s="1"/>
  <c r="BF476" i="155"/>
  <c r="BF475" i="155"/>
  <c r="BF477" i="155"/>
  <c r="BE498" i="154"/>
  <c r="BE482" i="154" s="1"/>
  <c r="BE490" i="154" s="1"/>
  <c r="BE501" i="154"/>
  <c r="BE485" i="154" s="1"/>
  <c r="BE493" i="154" s="1"/>
  <c r="BE502" i="154"/>
  <c r="BE486" i="154" s="1"/>
  <c r="BE494" i="154" s="1"/>
  <c r="BE477" i="154"/>
  <c r="BE500" i="154"/>
  <c r="BE484" i="154" s="1"/>
  <c r="BE492" i="154" s="1"/>
  <c r="BE479" i="154"/>
  <c r="BE478" i="154"/>
  <c r="BE476" i="154"/>
  <c r="BE474" i="154"/>
  <c r="BE503" i="154"/>
  <c r="BE487" i="154" s="1"/>
  <c r="BE495" i="154" s="1"/>
  <c r="BE2" i="154" a="1"/>
  <c r="BE2" i="154" s="1"/>
  <c r="BE499" i="154"/>
  <c r="BE483" i="154" s="1"/>
  <c r="BE491" i="154" s="1"/>
  <c r="BE475" i="154"/>
  <c r="BF3" i="154"/>
  <c r="BF4" i="154" s="1"/>
  <c r="BE2" i="98" a="1"/>
  <c r="BE2" i="98" s="1"/>
  <c r="BF3" i="98"/>
  <c r="BF4" i="98" s="1"/>
  <c r="BE477" i="153"/>
  <c r="BE478" i="153"/>
  <c r="BE476" i="153"/>
  <c r="BE498" i="153"/>
  <c r="BE482" i="153" s="1"/>
  <c r="BE490" i="153" s="1"/>
  <c r="BE502" i="153"/>
  <c r="BE486" i="153" s="1"/>
  <c r="BE494" i="153" s="1"/>
  <c r="BE475" i="153"/>
  <c r="BE501" i="153"/>
  <c r="BE485" i="153" s="1"/>
  <c r="BE493" i="153" s="1"/>
  <c r="BE479" i="153"/>
  <c r="BE500" i="153"/>
  <c r="BE484" i="153" s="1"/>
  <c r="BE492" i="153" s="1"/>
  <c r="BE474" i="153"/>
  <c r="BE503" i="153"/>
  <c r="BE487" i="153" s="1"/>
  <c r="BE495" i="153" s="1"/>
  <c r="BF3" i="153"/>
  <c r="BF4" i="153" s="1"/>
  <c r="BE499" i="153"/>
  <c r="BE483" i="153" s="1"/>
  <c r="BE491" i="153" s="1"/>
  <c r="BE2" i="153" a="1"/>
  <c r="BE2" i="153" s="1"/>
  <c r="BE2" i="104" a="1"/>
  <c r="BE2" i="104" s="1"/>
  <c r="BF3" i="104"/>
  <c r="BF4" i="104" s="1"/>
  <c r="BG2" i="103" a="1"/>
  <c r="BG2" i="103" s="1"/>
  <c r="BH3" i="103"/>
  <c r="BH4" i="103" s="1"/>
  <c r="BG501" i="155" l="1"/>
  <c r="BG485" i="155" s="1"/>
  <c r="BG493" i="155" s="1"/>
  <c r="BG502" i="155"/>
  <c r="BG486" i="155" s="1"/>
  <c r="BG494" i="155" s="1"/>
  <c r="BG498" i="155"/>
  <c r="BG482" i="155" s="1"/>
  <c r="BG490" i="155" s="1"/>
  <c r="BG477" i="155"/>
  <c r="BG503" i="155"/>
  <c r="BG487" i="155" s="1"/>
  <c r="BG495" i="155" s="1"/>
  <c r="BG500" i="155"/>
  <c r="BG484" i="155" s="1"/>
  <c r="BG492" i="155" s="1"/>
  <c r="BG475" i="155"/>
  <c r="BG478" i="155"/>
  <c r="BG499" i="155"/>
  <c r="BG483" i="155" s="1"/>
  <c r="BG491" i="155" s="1"/>
  <c r="BG474" i="155"/>
  <c r="BG476" i="155"/>
  <c r="BG479" i="155"/>
  <c r="BH3" i="155"/>
  <c r="BH4" i="155" s="1"/>
  <c r="BG2" i="155" a="1"/>
  <c r="BG2" i="155" s="1"/>
  <c r="BF501" i="154"/>
  <c r="BF485" i="154" s="1"/>
  <c r="BF493" i="154" s="1"/>
  <c r="BF476" i="154"/>
  <c r="BF479" i="154"/>
  <c r="BF499" i="154"/>
  <c r="BF483" i="154" s="1"/>
  <c r="BF491" i="154" s="1"/>
  <c r="BF477" i="154"/>
  <c r="BF498" i="154"/>
  <c r="BF482" i="154" s="1"/>
  <c r="BF490" i="154" s="1"/>
  <c r="BF478" i="154"/>
  <c r="BF475" i="154"/>
  <c r="BF503" i="154"/>
  <c r="BF487" i="154" s="1"/>
  <c r="BF495" i="154" s="1"/>
  <c r="BF474" i="154"/>
  <c r="BF500" i="154"/>
  <c r="BF484" i="154" s="1"/>
  <c r="BF492" i="154" s="1"/>
  <c r="BF502" i="154"/>
  <c r="BF486" i="154" s="1"/>
  <c r="BF494" i="154" s="1"/>
  <c r="BF2" i="154" a="1"/>
  <c r="BF2" i="154" s="1"/>
  <c r="BG3" i="154"/>
  <c r="BG4" i="154" s="1"/>
  <c r="BF2" i="98" a="1"/>
  <c r="BF2" i="98" s="1"/>
  <c r="BG3" i="98"/>
  <c r="BG4" i="98" s="1"/>
  <c r="BF477" i="153"/>
  <c r="BF475" i="153"/>
  <c r="BF478" i="153"/>
  <c r="BF500" i="153"/>
  <c r="BF484" i="153" s="1"/>
  <c r="BF492" i="153" s="1"/>
  <c r="BF476" i="153"/>
  <c r="BF502" i="153"/>
  <c r="BF486" i="153" s="1"/>
  <c r="BF494" i="153" s="1"/>
  <c r="BF498" i="153"/>
  <c r="BF482" i="153" s="1"/>
  <c r="BF490" i="153" s="1"/>
  <c r="BF474" i="153"/>
  <c r="BF479" i="153"/>
  <c r="BF501" i="153"/>
  <c r="BF485" i="153" s="1"/>
  <c r="BF493" i="153" s="1"/>
  <c r="BF503" i="153"/>
  <c r="BF487" i="153" s="1"/>
  <c r="BF495" i="153" s="1"/>
  <c r="BF2" i="153" a="1"/>
  <c r="BF2" i="153" s="1"/>
  <c r="BG3" i="153"/>
  <c r="BG4" i="153" s="1"/>
  <c r="BF499" i="153"/>
  <c r="BF483" i="153" s="1"/>
  <c r="BF491" i="153" s="1"/>
  <c r="BF2" i="104" a="1"/>
  <c r="BF2" i="104" s="1"/>
  <c r="BG3" i="104"/>
  <c r="BG4" i="104" s="1"/>
  <c r="BH2" i="103" a="1"/>
  <c r="BH2" i="103" s="1"/>
  <c r="BI3" i="103"/>
  <c r="BI4" i="103" s="1"/>
  <c r="BH500" i="155" l="1"/>
  <c r="BH484" i="155" s="1"/>
  <c r="BH492" i="155" s="1"/>
  <c r="BH475" i="155"/>
  <c r="BH476" i="155"/>
  <c r="BH503" i="155"/>
  <c r="BH487" i="155" s="1"/>
  <c r="BH495" i="155" s="1"/>
  <c r="BH478" i="155"/>
  <c r="BH474" i="155"/>
  <c r="BH479" i="155"/>
  <c r="BH501" i="155"/>
  <c r="BH485" i="155" s="1"/>
  <c r="BH493" i="155" s="1"/>
  <c r="BH502" i="155"/>
  <c r="BH486" i="155" s="1"/>
  <c r="BH494" i="155" s="1"/>
  <c r="BH499" i="155"/>
  <c r="BH483" i="155" s="1"/>
  <c r="BH491" i="155" s="1"/>
  <c r="BH498" i="155"/>
  <c r="BH482" i="155" s="1"/>
  <c r="BH490" i="155" s="1"/>
  <c r="BH477" i="155"/>
  <c r="BI3" i="155"/>
  <c r="BI4" i="155" s="1"/>
  <c r="BH2" i="155" a="1"/>
  <c r="BH2" i="155" s="1"/>
  <c r="BG475" i="154"/>
  <c r="BG478" i="154"/>
  <c r="BG502" i="154"/>
  <c r="BG486" i="154" s="1"/>
  <c r="BG494" i="154" s="1"/>
  <c r="BG503" i="154"/>
  <c r="BG487" i="154" s="1"/>
  <c r="BG495" i="154" s="1"/>
  <c r="BG498" i="154"/>
  <c r="BG482" i="154" s="1"/>
  <c r="BG490" i="154" s="1"/>
  <c r="BG477" i="154"/>
  <c r="BG500" i="154"/>
  <c r="BG484" i="154" s="1"/>
  <c r="BG492" i="154" s="1"/>
  <c r="BG479" i="154"/>
  <c r="BG501" i="154"/>
  <c r="BG485" i="154" s="1"/>
  <c r="BG493" i="154" s="1"/>
  <c r="BG476" i="154"/>
  <c r="BG474" i="154"/>
  <c r="BG499" i="154"/>
  <c r="BG483" i="154" s="1"/>
  <c r="BG491" i="154" s="1"/>
  <c r="BG2" i="154" a="1"/>
  <c r="BG2" i="154" s="1"/>
  <c r="BH3" i="154"/>
  <c r="BH4" i="154" s="1"/>
  <c r="BG2" i="98" a="1"/>
  <c r="BG2" i="98" s="1"/>
  <c r="BH3" i="98"/>
  <c r="BH4" i="98" s="1"/>
  <c r="BG499" i="153"/>
  <c r="BG483" i="153" s="1"/>
  <c r="BG491" i="153" s="1"/>
  <c r="BG502" i="153"/>
  <c r="BG486" i="153" s="1"/>
  <c r="BG494" i="153" s="1"/>
  <c r="BG475" i="153"/>
  <c r="BG477" i="153"/>
  <c r="BG500" i="153"/>
  <c r="BG484" i="153" s="1"/>
  <c r="BG492" i="153" s="1"/>
  <c r="BG498" i="153"/>
  <c r="BG482" i="153" s="1"/>
  <c r="BG490" i="153" s="1"/>
  <c r="BG501" i="153"/>
  <c r="BG485" i="153" s="1"/>
  <c r="BG493" i="153" s="1"/>
  <c r="BG479" i="153"/>
  <c r="BG474" i="153"/>
  <c r="BG478" i="153"/>
  <c r="BG476" i="153"/>
  <c r="BG2" i="153" a="1"/>
  <c r="BG2" i="153" s="1"/>
  <c r="BH3" i="153"/>
  <c r="BH4" i="153" s="1"/>
  <c r="BG503" i="153"/>
  <c r="BG487" i="153" s="1"/>
  <c r="BG495" i="153" s="1"/>
  <c r="BH3" i="104"/>
  <c r="BH4" i="104" s="1"/>
  <c r="BG2" i="104" a="1"/>
  <c r="BG2" i="104" s="1"/>
  <c r="BJ3" i="103"/>
  <c r="BJ4" i="103" s="1"/>
  <c r="BI2" i="103" a="1"/>
  <c r="BI2" i="103" s="1"/>
  <c r="BI503" i="155" l="1"/>
  <c r="BI487" i="155" s="1"/>
  <c r="BI495" i="155" s="1"/>
  <c r="BI475" i="155"/>
  <c r="BI502" i="155"/>
  <c r="BI486" i="155" s="1"/>
  <c r="BI494" i="155" s="1"/>
  <c r="BI478" i="155"/>
  <c r="BI474" i="155"/>
  <c r="BI479" i="155"/>
  <c r="BI477" i="155"/>
  <c r="BI500" i="155"/>
  <c r="BI484" i="155" s="1"/>
  <c r="BI492" i="155" s="1"/>
  <c r="BI498" i="155"/>
  <c r="BI482" i="155" s="1"/>
  <c r="BI490" i="155" s="1"/>
  <c r="BI499" i="155"/>
  <c r="BI483" i="155" s="1"/>
  <c r="BI491" i="155" s="1"/>
  <c r="BI501" i="155"/>
  <c r="BI485" i="155" s="1"/>
  <c r="BI493" i="155" s="1"/>
  <c r="BI476" i="155"/>
  <c r="BJ3" i="155"/>
  <c r="BJ4" i="155" s="1"/>
  <c r="BI2" i="155" a="1"/>
  <c r="BI2" i="155" s="1"/>
  <c r="BH479" i="154"/>
  <c r="BH502" i="154"/>
  <c r="BH486" i="154" s="1"/>
  <c r="BH494" i="154" s="1"/>
  <c r="BH474" i="154"/>
  <c r="BH503" i="154"/>
  <c r="BH487" i="154" s="1"/>
  <c r="BH495" i="154" s="1"/>
  <c r="BH477" i="154"/>
  <c r="BH501" i="154"/>
  <c r="BH485" i="154" s="1"/>
  <c r="BH493" i="154" s="1"/>
  <c r="BH500" i="154"/>
  <c r="BH484" i="154" s="1"/>
  <c r="BH492" i="154" s="1"/>
  <c r="BH478" i="154"/>
  <c r="BH476" i="154"/>
  <c r="BH499" i="154"/>
  <c r="BH483" i="154" s="1"/>
  <c r="BH491" i="154" s="1"/>
  <c r="BH498" i="154"/>
  <c r="BH482" i="154" s="1"/>
  <c r="BH490" i="154" s="1"/>
  <c r="BI3" i="154"/>
  <c r="BI4" i="154" s="1"/>
  <c r="BH475" i="154"/>
  <c r="BH2" i="154" a="1"/>
  <c r="BH2" i="154" s="1"/>
  <c r="BI3" i="98"/>
  <c r="BI4" i="98" s="1"/>
  <c r="BH2" i="98" a="1"/>
  <c r="BH2" i="98" s="1"/>
  <c r="BH474" i="153"/>
  <c r="BH477" i="153"/>
  <c r="BH476" i="153"/>
  <c r="BH498" i="153"/>
  <c r="BH482" i="153" s="1"/>
  <c r="BH490" i="153" s="1"/>
  <c r="BH499" i="153"/>
  <c r="BH483" i="153" s="1"/>
  <c r="BH491" i="153" s="1"/>
  <c r="BH502" i="153"/>
  <c r="BH486" i="153" s="1"/>
  <c r="BH494" i="153" s="1"/>
  <c r="BH500" i="153"/>
  <c r="BH484" i="153" s="1"/>
  <c r="BH492" i="153" s="1"/>
  <c r="BH479" i="153"/>
  <c r="BH478" i="153"/>
  <c r="BH503" i="153"/>
  <c r="BH487" i="153" s="1"/>
  <c r="BH495" i="153" s="1"/>
  <c r="BI3" i="153"/>
  <c r="BI4" i="153" s="1"/>
  <c r="BH501" i="153"/>
  <c r="BH485" i="153" s="1"/>
  <c r="BH493" i="153" s="1"/>
  <c r="BH475" i="153"/>
  <c r="BH2" i="153" a="1"/>
  <c r="BH2" i="153" s="1"/>
  <c r="BH2" i="104" a="1"/>
  <c r="BH2" i="104" s="1"/>
  <c r="BI3" i="104"/>
  <c r="BI4" i="104" s="1"/>
  <c r="BK3" i="103"/>
  <c r="BK4" i="103" s="1"/>
  <c r="BJ2" i="103" a="1"/>
  <c r="BJ2" i="103" s="1"/>
  <c r="BJ503" i="155" l="1"/>
  <c r="BJ487" i="155" s="1"/>
  <c r="BJ495" i="155" s="1"/>
  <c r="BJ499" i="155"/>
  <c r="BJ483" i="155" s="1"/>
  <c r="BJ491" i="155" s="1"/>
  <c r="BJ501" i="155"/>
  <c r="BJ485" i="155" s="1"/>
  <c r="BJ493" i="155" s="1"/>
  <c r="BJ478" i="155"/>
  <c r="BJ474" i="155"/>
  <c r="BJ502" i="155"/>
  <c r="BJ486" i="155" s="1"/>
  <c r="BJ494" i="155" s="1"/>
  <c r="BJ500" i="155"/>
  <c r="BJ484" i="155" s="1"/>
  <c r="BJ492" i="155" s="1"/>
  <c r="BJ479" i="155"/>
  <c r="BJ475" i="155"/>
  <c r="BJ477" i="155"/>
  <c r="BJ498" i="155"/>
  <c r="BJ482" i="155" s="1"/>
  <c r="BJ490" i="155" s="1"/>
  <c r="BJ476" i="155"/>
  <c r="BK3" i="155"/>
  <c r="BK4" i="155" s="1"/>
  <c r="BJ2" i="155" a="1"/>
  <c r="BJ2" i="155" s="1"/>
  <c r="BI479" i="154"/>
  <c r="BI502" i="154"/>
  <c r="BI486" i="154" s="1"/>
  <c r="BI494" i="154" s="1"/>
  <c r="BI474" i="154"/>
  <c r="BI501" i="154"/>
  <c r="BI485" i="154" s="1"/>
  <c r="BI493" i="154" s="1"/>
  <c r="BI500" i="154"/>
  <c r="BI484" i="154" s="1"/>
  <c r="BI492" i="154" s="1"/>
  <c r="BI478" i="154"/>
  <c r="BI477" i="154"/>
  <c r="BI498" i="154"/>
  <c r="BI482" i="154" s="1"/>
  <c r="BI490" i="154" s="1"/>
  <c r="BI499" i="154"/>
  <c r="BI483" i="154" s="1"/>
  <c r="BI491" i="154" s="1"/>
  <c r="BI476" i="154"/>
  <c r="BI503" i="154"/>
  <c r="BI487" i="154" s="1"/>
  <c r="BI495" i="154" s="1"/>
  <c r="BI475" i="154"/>
  <c r="BI2" i="154" a="1"/>
  <c r="BI2" i="154" s="1"/>
  <c r="BJ3" i="154"/>
  <c r="BJ4" i="154" s="1"/>
  <c r="BJ3" i="98"/>
  <c r="BJ4" i="98" s="1"/>
  <c r="BI2" i="98" a="1"/>
  <c r="BI2" i="98" s="1"/>
  <c r="BI474" i="153"/>
  <c r="BI477" i="153"/>
  <c r="BI498" i="153"/>
  <c r="BI482" i="153" s="1"/>
  <c r="BI490" i="153" s="1"/>
  <c r="BI500" i="153"/>
  <c r="BI484" i="153" s="1"/>
  <c r="BI492" i="153" s="1"/>
  <c r="BI501" i="153"/>
  <c r="BI485" i="153" s="1"/>
  <c r="BI493" i="153" s="1"/>
  <c r="BI2" i="153" a="1"/>
  <c r="BI2" i="153" s="1"/>
  <c r="BI478" i="153"/>
  <c r="BI479" i="153"/>
  <c r="BI476" i="153"/>
  <c r="BI502" i="153"/>
  <c r="BI486" i="153" s="1"/>
  <c r="BI494" i="153" s="1"/>
  <c r="BI503" i="153"/>
  <c r="BI487" i="153" s="1"/>
  <c r="BI495" i="153" s="1"/>
  <c r="BJ3" i="153"/>
  <c r="BJ4" i="153" s="1"/>
  <c r="BI499" i="153"/>
  <c r="BI483" i="153" s="1"/>
  <c r="BI491" i="153" s="1"/>
  <c r="BI475" i="153"/>
  <c r="BI2" i="104" a="1"/>
  <c r="BI2" i="104" s="1"/>
  <c r="BJ3" i="104"/>
  <c r="BJ4" i="104" s="1"/>
  <c r="BL3" i="103"/>
  <c r="BL4" i="103" s="1"/>
  <c r="BK2" i="103" a="1"/>
  <c r="BK2" i="103" s="1"/>
  <c r="BK502" i="155" l="1"/>
  <c r="BK486" i="155" s="1"/>
  <c r="BK494" i="155" s="1"/>
  <c r="BK503" i="155"/>
  <c r="BK487" i="155" s="1"/>
  <c r="BK495" i="155" s="1"/>
  <c r="BK474" i="155"/>
  <c r="BK477" i="155"/>
  <c r="BK476" i="155"/>
  <c r="BK501" i="155"/>
  <c r="BK485" i="155" s="1"/>
  <c r="BK493" i="155" s="1"/>
  <c r="BK500" i="155"/>
  <c r="BK484" i="155" s="1"/>
  <c r="BK492" i="155" s="1"/>
  <c r="BK498" i="155"/>
  <c r="BK482" i="155" s="1"/>
  <c r="BK490" i="155" s="1"/>
  <c r="BK479" i="155"/>
  <c r="BK475" i="155"/>
  <c r="BK478" i="155"/>
  <c r="BK499" i="155"/>
  <c r="BK483" i="155" s="1"/>
  <c r="BK491" i="155" s="1"/>
  <c r="BL3" i="155"/>
  <c r="BL4" i="155" s="1"/>
  <c r="BK2" i="155" a="1"/>
  <c r="BK2" i="155" s="1"/>
  <c r="BJ498" i="154"/>
  <c r="BJ482" i="154" s="1"/>
  <c r="BJ490" i="154" s="1"/>
  <c r="BJ501" i="154"/>
  <c r="BJ485" i="154" s="1"/>
  <c r="BJ493" i="154" s="1"/>
  <c r="BJ503" i="154"/>
  <c r="BJ487" i="154" s="1"/>
  <c r="BJ495" i="154" s="1"/>
  <c r="BJ499" i="154"/>
  <c r="BJ483" i="154" s="1"/>
  <c r="BJ491" i="154" s="1"/>
  <c r="BJ477" i="154"/>
  <c r="BJ476" i="154"/>
  <c r="BJ479" i="154"/>
  <c r="BJ502" i="154"/>
  <c r="BJ486" i="154" s="1"/>
  <c r="BJ494" i="154" s="1"/>
  <c r="BJ474" i="154"/>
  <c r="BJ500" i="154"/>
  <c r="BJ484" i="154" s="1"/>
  <c r="BJ492" i="154" s="1"/>
  <c r="BJ475" i="154"/>
  <c r="BJ478" i="154"/>
  <c r="BK3" i="154"/>
  <c r="BK4" i="154" s="1"/>
  <c r="BJ2" i="154" a="1"/>
  <c r="BJ2" i="154" s="1"/>
  <c r="BK3" i="98"/>
  <c r="BK4" i="98" s="1"/>
  <c r="BJ2" i="98" a="1"/>
  <c r="BJ2" i="98" s="1"/>
  <c r="BJ474" i="153"/>
  <c r="BJ478" i="153"/>
  <c r="BJ502" i="153"/>
  <c r="BJ486" i="153" s="1"/>
  <c r="BJ494" i="153" s="1"/>
  <c r="BJ477" i="153"/>
  <c r="BJ476" i="153"/>
  <c r="BJ479" i="153"/>
  <c r="BJ501" i="153"/>
  <c r="BJ485" i="153" s="1"/>
  <c r="BJ493" i="153" s="1"/>
  <c r="BJ503" i="153"/>
  <c r="BJ487" i="153" s="1"/>
  <c r="BJ495" i="153" s="1"/>
  <c r="BJ500" i="153"/>
  <c r="BJ484" i="153" s="1"/>
  <c r="BJ492" i="153" s="1"/>
  <c r="BJ2" i="153" a="1"/>
  <c r="BJ2" i="153" s="1"/>
  <c r="BK3" i="153"/>
  <c r="BK4" i="153" s="1"/>
  <c r="BJ499" i="153"/>
  <c r="BJ483" i="153" s="1"/>
  <c r="BJ491" i="153" s="1"/>
  <c r="BJ498" i="153"/>
  <c r="BJ482" i="153" s="1"/>
  <c r="BJ490" i="153" s="1"/>
  <c r="BJ475" i="153"/>
  <c r="BJ2" i="104" a="1"/>
  <c r="BJ2" i="104" s="1"/>
  <c r="BK3" i="104"/>
  <c r="BK4" i="104" s="1"/>
  <c r="BM3" i="103"/>
  <c r="BM4" i="103" s="1"/>
  <c r="BL2" i="103" a="1"/>
  <c r="BL2" i="103" s="1"/>
  <c r="BL501" i="155" l="1"/>
  <c r="BL485" i="155" s="1"/>
  <c r="BL493" i="155" s="1"/>
  <c r="BL500" i="155"/>
  <c r="BL484" i="155" s="1"/>
  <c r="BL492" i="155" s="1"/>
  <c r="BL475" i="155"/>
  <c r="BL498" i="155"/>
  <c r="BL482" i="155" s="1"/>
  <c r="BL490" i="155" s="1"/>
  <c r="BL474" i="155"/>
  <c r="BL477" i="155"/>
  <c r="BL503" i="155"/>
  <c r="BL487" i="155" s="1"/>
  <c r="BL495" i="155" s="1"/>
  <c r="BL478" i="155"/>
  <c r="BL499" i="155"/>
  <c r="BL483" i="155" s="1"/>
  <c r="BL491" i="155" s="1"/>
  <c r="BL476" i="155"/>
  <c r="BL502" i="155"/>
  <c r="BL486" i="155" s="1"/>
  <c r="BL494" i="155" s="1"/>
  <c r="BL479" i="155"/>
  <c r="BM3" i="155"/>
  <c r="BM4" i="155" s="1"/>
  <c r="BL2" i="155" a="1"/>
  <c r="BL2" i="155" s="1"/>
  <c r="BK478" i="154"/>
  <c r="BK499" i="154"/>
  <c r="BK483" i="154" s="1"/>
  <c r="BK491" i="154" s="1"/>
  <c r="BK503" i="154"/>
  <c r="BK487" i="154" s="1"/>
  <c r="BK495" i="154" s="1"/>
  <c r="BK502" i="154"/>
  <c r="BK486" i="154" s="1"/>
  <c r="BK494" i="154" s="1"/>
  <c r="BK498" i="154"/>
  <c r="BK482" i="154" s="1"/>
  <c r="BK490" i="154" s="1"/>
  <c r="BK475" i="154"/>
  <c r="BK501" i="154"/>
  <c r="BK485" i="154" s="1"/>
  <c r="BK493" i="154" s="1"/>
  <c r="BK479" i="154"/>
  <c r="BK476" i="154"/>
  <c r="BK477" i="154"/>
  <c r="BK500" i="154"/>
  <c r="BK484" i="154" s="1"/>
  <c r="BK492" i="154" s="1"/>
  <c r="BK474" i="154"/>
  <c r="BL3" i="154"/>
  <c r="BL4" i="154" s="1"/>
  <c r="BK2" i="154" a="1"/>
  <c r="BK2" i="154" s="1"/>
  <c r="BL3" i="98"/>
  <c r="BL4" i="98" s="1"/>
  <c r="BK2" i="98" a="1"/>
  <c r="BK2" i="98" s="1"/>
  <c r="BK500" i="153"/>
  <c r="BK484" i="153" s="1"/>
  <c r="BK492" i="153" s="1"/>
  <c r="BK478" i="153"/>
  <c r="BK502" i="153"/>
  <c r="BK486" i="153" s="1"/>
  <c r="BK494" i="153" s="1"/>
  <c r="BK501" i="153"/>
  <c r="BK485" i="153" s="1"/>
  <c r="BK493" i="153" s="1"/>
  <c r="BK499" i="153"/>
  <c r="BK483" i="153" s="1"/>
  <c r="BK491" i="153" s="1"/>
  <c r="BK498" i="153"/>
  <c r="BK482" i="153" s="1"/>
  <c r="BK490" i="153" s="1"/>
  <c r="BK477" i="153"/>
  <c r="BK503" i="153"/>
  <c r="BK487" i="153" s="1"/>
  <c r="BK495" i="153" s="1"/>
  <c r="BL3" i="153"/>
  <c r="BL4" i="153" s="1"/>
  <c r="BK479" i="153"/>
  <c r="BK474" i="153"/>
  <c r="BK476" i="153"/>
  <c r="BK2" i="153" a="1"/>
  <c r="BK2" i="153" s="1"/>
  <c r="BK475" i="153"/>
  <c r="BK2" i="104" a="1"/>
  <c r="BK2" i="104" s="1"/>
  <c r="BL3" i="104"/>
  <c r="BL4" i="104" s="1"/>
  <c r="BN3" i="103"/>
  <c r="BN4" i="103" s="1"/>
  <c r="BM2" i="103" a="1"/>
  <c r="BM2" i="103" s="1"/>
  <c r="BM501" i="155" l="1"/>
  <c r="BM485" i="155" s="1"/>
  <c r="BM493" i="155" s="1"/>
  <c r="BM498" i="155"/>
  <c r="BM482" i="155" s="1"/>
  <c r="BM490" i="155" s="1"/>
  <c r="BM476" i="155"/>
  <c r="BM502" i="155"/>
  <c r="BM486" i="155" s="1"/>
  <c r="BM494" i="155" s="1"/>
  <c r="BM499" i="155"/>
  <c r="BM483" i="155" s="1"/>
  <c r="BM491" i="155" s="1"/>
  <c r="BM474" i="155"/>
  <c r="BM478" i="155"/>
  <c r="BM477" i="155"/>
  <c r="BM503" i="155"/>
  <c r="BM487" i="155" s="1"/>
  <c r="BM495" i="155" s="1"/>
  <c r="BM500" i="155"/>
  <c r="BM484" i="155" s="1"/>
  <c r="BM492" i="155" s="1"/>
  <c r="BM475" i="155"/>
  <c r="BM479" i="155"/>
  <c r="BN3" i="155"/>
  <c r="BN4" i="155" s="1"/>
  <c r="BM2" i="155" a="1"/>
  <c r="BM2" i="155" s="1"/>
  <c r="BL502" i="154"/>
  <c r="BL486" i="154" s="1"/>
  <c r="BL494" i="154" s="1"/>
  <c r="BL477" i="154"/>
  <c r="BL476" i="154"/>
  <c r="BL474" i="154"/>
  <c r="BL501" i="154"/>
  <c r="BL485" i="154" s="1"/>
  <c r="BL493" i="154" s="1"/>
  <c r="BL478" i="154"/>
  <c r="BL475" i="154"/>
  <c r="BL503" i="154"/>
  <c r="BL487" i="154" s="1"/>
  <c r="BL495" i="154" s="1"/>
  <c r="BL479" i="154"/>
  <c r="BL498" i="154"/>
  <c r="BL482" i="154" s="1"/>
  <c r="BL490" i="154" s="1"/>
  <c r="BM3" i="154"/>
  <c r="BM4" i="154" s="1"/>
  <c r="BL500" i="154"/>
  <c r="BL484" i="154" s="1"/>
  <c r="BL492" i="154" s="1"/>
  <c r="BL2" i="154" a="1"/>
  <c r="BL2" i="154" s="1"/>
  <c r="BL499" i="154"/>
  <c r="BL483" i="154" s="1"/>
  <c r="BL491" i="154" s="1"/>
  <c r="BL2" i="98" a="1"/>
  <c r="BL2" i="98" s="1"/>
  <c r="BM3" i="98"/>
  <c r="BM4" i="98" s="1"/>
  <c r="BL478" i="153"/>
  <c r="BL501" i="153"/>
  <c r="BL485" i="153" s="1"/>
  <c r="BL493" i="153" s="1"/>
  <c r="BL499" i="153"/>
  <c r="BL483" i="153" s="1"/>
  <c r="BL491" i="153" s="1"/>
  <c r="BL479" i="153"/>
  <c r="BL476" i="153"/>
  <c r="BL498" i="153"/>
  <c r="BL482" i="153" s="1"/>
  <c r="BL490" i="153" s="1"/>
  <c r="BL500" i="153"/>
  <c r="BL484" i="153" s="1"/>
  <c r="BL492" i="153" s="1"/>
  <c r="BL503" i="153"/>
  <c r="BL487" i="153" s="1"/>
  <c r="BL495" i="153" s="1"/>
  <c r="BL474" i="153"/>
  <c r="BL502" i="153"/>
  <c r="BL486" i="153" s="1"/>
  <c r="BL494" i="153" s="1"/>
  <c r="BL477" i="153"/>
  <c r="BM3" i="153"/>
  <c r="BM4" i="153" s="1"/>
  <c r="BL2" i="153" a="1"/>
  <c r="BL2" i="153" s="1"/>
  <c r="BL475" i="153"/>
  <c r="BL2" i="104" a="1"/>
  <c r="BL2" i="104" s="1"/>
  <c r="BM3" i="104"/>
  <c r="BM4" i="104" s="1"/>
  <c r="BO3" i="103"/>
  <c r="BO4" i="103" s="1"/>
  <c r="BN2" i="103" a="1"/>
  <c r="BN2" i="103" s="1"/>
  <c r="BN501" i="155" l="1"/>
  <c r="BN485" i="155" s="1"/>
  <c r="BN493" i="155" s="1"/>
  <c r="BN502" i="155"/>
  <c r="BN486" i="155" s="1"/>
  <c r="BN494" i="155" s="1"/>
  <c r="BN476" i="155"/>
  <c r="BN500" i="155"/>
  <c r="BN484" i="155" s="1"/>
  <c r="BN492" i="155" s="1"/>
  <c r="BN477" i="155"/>
  <c r="BN498" i="155"/>
  <c r="BN482" i="155" s="1"/>
  <c r="BN490" i="155" s="1"/>
  <c r="BN503" i="155"/>
  <c r="BN487" i="155" s="1"/>
  <c r="BN495" i="155" s="1"/>
  <c r="BN474" i="155"/>
  <c r="BN475" i="155"/>
  <c r="BN478" i="155"/>
  <c r="BN499" i="155"/>
  <c r="BN483" i="155" s="1"/>
  <c r="BN491" i="155" s="1"/>
  <c r="BN479" i="155"/>
  <c r="BN2" i="155" a="1"/>
  <c r="BN2" i="155" s="1"/>
  <c r="BO3" i="155"/>
  <c r="BO4" i="155" s="1"/>
  <c r="BM478" i="154"/>
  <c r="BM502" i="154"/>
  <c r="BM486" i="154" s="1"/>
  <c r="BM494" i="154" s="1"/>
  <c r="BM501" i="154"/>
  <c r="BM485" i="154" s="1"/>
  <c r="BM493" i="154" s="1"/>
  <c r="BM500" i="154"/>
  <c r="BM484" i="154" s="1"/>
  <c r="BM492" i="154" s="1"/>
  <c r="BM474" i="154"/>
  <c r="BM499" i="154"/>
  <c r="BM483" i="154" s="1"/>
  <c r="BM491" i="154" s="1"/>
  <c r="BM477" i="154"/>
  <c r="BM503" i="154"/>
  <c r="BM487" i="154" s="1"/>
  <c r="BM495" i="154" s="1"/>
  <c r="BM476" i="154"/>
  <c r="BM498" i="154"/>
  <c r="BM482" i="154" s="1"/>
  <c r="BM490" i="154" s="1"/>
  <c r="BM479" i="154"/>
  <c r="BM475" i="154"/>
  <c r="BM2" i="154" a="1"/>
  <c r="BM2" i="154" s="1"/>
  <c r="BN3" i="154"/>
  <c r="BN4" i="154" s="1"/>
  <c r="BN3" i="98"/>
  <c r="BN4" i="98" s="1"/>
  <c r="BM2" i="98" a="1"/>
  <c r="BM2" i="98" s="1"/>
  <c r="BM500" i="153"/>
  <c r="BM484" i="153" s="1"/>
  <c r="BM492" i="153" s="1"/>
  <c r="BM501" i="153"/>
  <c r="BM485" i="153" s="1"/>
  <c r="BM493" i="153" s="1"/>
  <c r="BM499" i="153"/>
  <c r="BM483" i="153" s="1"/>
  <c r="BM491" i="153" s="1"/>
  <c r="BM479" i="153"/>
  <c r="BM476" i="153"/>
  <c r="BM498" i="153"/>
  <c r="BM482" i="153" s="1"/>
  <c r="BM490" i="153" s="1"/>
  <c r="BM475" i="153"/>
  <c r="BM502" i="153"/>
  <c r="BM486" i="153" s="1"/>
  <c r="BM494" i="153" s="1"/>
  <c r="BM477" i="153"/>
  <c r="BN3" i="153"/>
  <c r="BN4" i="153" s="1"/>
  <c r="BM474" i="153"/>
  <c r="BM503" i="153"/>
  <c r="BM487" i="153" s="1"/>
  <c r="BM495" i="153" s="1"/>
  <c r="BM478" i="153"/>
  <c r="BM2" i="153" a="1"/>
  <c r="BM2" i="153" s="1"/>
  <c r="BM2" i="104" a="1"/>
  <c r="BM2" i="104" s="1"/>
  <c r="BN3" i="104"/>
  <c r="BN4" i="104" s="1"/>
  <c r="BP3" i="103"/>
  <c r="BP4" i="103" s="1"/>
  <c r="BO2" i="103" a="1"/>
  <c r="BO2" i="103" s="1"/>
  <c r="BO476" i="155" l="1"/>
  <c r="BO501" i="155"/>
  <c r="BO485" i="155" s="1"/>
  <c r="BO493" i="155" s="1"/>
  <c r="BO478" i="155"/>
  <c r="BO477" i="155"/>
  <c r="BO479" i="155"/>
  <c r="BO502" i="155"/>
  <c r="BO486" i="155" s="1"/>
  <c r="BO494" i="155" s="1"/>
  <c r="BO500" i="155"/>
  <c r="BO484" i="155" s="1"/>
  <c r="BO492" i="155" s="1"/>
  <c r="BO474" i="155"/>
  <c r="BO503" i="155"/>
  <c r="BO487" i="155" s="1"/>
  <c r="BO495" i="155" s="1"/>
  <c r="BO475" i="155"/>
  <c r="BO498" i="155"/>
  <c r="BO482" i="155" s="1"/>
  <c r="BO490" i="155" s="1"/>
  <c r="BO499" i="155"/>
  <c r="BO483" i="155" s="1"/>
  <c r="BO491" i="155" s="1"/>
  <c r="BO2" i="155" a="1"/>
  <c r="BO2" i="155" s="1"/>
  <c r="BP3" i="155"/>
  <c r="BP4" i="155" s="1"/>
  <c r="BN503" i="154"/>
  <c r="BN487" i="154" s="1"/>
  <c r="BN495" i="154" s="1"/>
  <c r="BN499" i="154"/>
  <c r="BN483" i="154" s="1"/>
  <c r="BN491" i="154" s="1"/>
  <c r="BN501" i="154"/>
  <c r="BN485" i="154" s="1"/>
  <c r="BN493" i="154" s="1"/>
  <c r="BN500" i="154"/>
  <c r="BN484" i="154" s="1"/>
  <c r="BN492" i="154" s="1"/>
  <c r="BN479" i="154"/>
  <c r="BN476" i="154"/>
  <c r="BN475" i="154"/>
  <c r="BN478" i="154"/>
  <c r="BN474" i="154"/>
  <c r="BN477" i="154"/>
  <c r="BN498" i="154"/>
  <c r="BN482" i="154" s="1"/>
  <c r="BN490" i="154" s="1"/>
  <c r="BN2" i="154" a="1"/>
  <c r="BN2" i="154" s="1"/>
  <c r="BN502" i="154"/>
  <c r="BN486" i="154" s="1"/>
  <c r="BN494" i="154" s="1"/>
  <c r="BO3" i="154"/>
  <c r="BO4" i="154" s="1"/>
  <c r="BO3" i="98"/>
  <c r="BO4" i="98" s="1"/>
  <c r="BN2" i="98" a="1"/>
  <c r="BN2" i="98" s="1"/>
  <c r="BN501" i="153"/>
  <c r="BN485" i="153" s="1"/>
  <c r="BN493" i="153" s="1"/>
  <c r="BN499" i="153"/>
  <c r="BN483" i="153" s="1"/>
  <c r="BN491" i="153" s="1"/>
  <c r="BN475" i="153"/>
  <c r="BN477" i="153"/>
  <c r="BN498" i="153"/>
  <c r="BN482" i="153" s="1"/>
  <c r="BN490" i="153" s="1"/>
  <c r="BN500" i="153"/>
  <c r="BN484" i="153" s="1"/>
  <c r="BN492" i="153" s="1"/>
  <c r="BN503" i="153"/>
  <c r="BN487" i="153" s="1"/>
  <c r="BN495" i="153" s="1"/>
  <c r="BN479" i="153"/>
  <c r="BN502" i="153"/>
  <c r="BN486" i="153" s="1"/>
  <c r="BN494" i="153" s="1"/>
  <c r="BO3" i="153"/>
  <c r="BO4" i="153" s="1"/>
  <c r="BN474" i="153"/>
  <c r="BN476" i="153"/>
  <c r="BN478" i="153"/>
  <c r="BN2" i="153" a="1"/>
  <c r="BN2" i="153" s="1"/>
  <c r="BN2" i="104" a="1"/>
  <c r="BN2" i="104" s="1"/>
  <c r="BO3" i="104"/>
  <c r="BO4" i="104" s="1"/>
  <c r="BQ3" i="103"/>
  <c r="BQ4" i="103" s="1"/>
  <c r="BP2" i="103" a="1"/>
  <c r="BP2" i="103" s="1"/>
  <c r="BP498" i="155" l="1"/>
  <c r="BP482" i="155" s="1"/>
  <c r="BP490" i="155" s="1"/>
  <c r="BP479" i="155"/>
  <c r="BP477" i="155"/>
  <c r="BP499" i="155"/>
  <c r="BP483" i="155" s="1"/>
  <c r="BP491" i="155" s="1"/>
  <c r="BP478" i="155"/>
  <c r="BP503" i="155"/>
  <c r="BP487" i="155" s="1"/>
  <c r="BP495" i="155" s="1"/>
  <c r="BP501" i="155"/>
  <c r="BP485" i="155" s="1"/>
  <c r="BP493" i="155" s="1"/>
  <c r="BP500" i="155"/>
  <c r="BP484" i="155" s="1"/>
  <c r="BP492" i="155" s="1"/>
  <c r="BP474" i="155"/>
  <c r="BP476" i="155"/>
  <c r="BP475" i="155"/>
  <c r="BP502" i="155"/>
  <c r="BP486" i="155" s="1"/>
  <c r="BP494" i="155" s="1"/>
  <c r="BP2" i="155" a="1"/>
  <c r="BP2" i="155" s="1"/>
  <c r="BQ3" i="155"/>
  <c r="BQ4" i="155" s="1"/>
  <c r="BO502" i="154"/>
  <c r="BO486" i="154" s="1"/>
  <c r="BO494" i="154" s="1"/>
  <c r="BO476" i="154"/>
  <c r="BO500" i="154"/>
  <c r="BO484" i="154" s="1"/>
  <c r="BO492" i="154" s="1"/>
  <c r="BO501" i="154"/>
  <c r="BO485" i="154" s="1"/>
  <c r="BO493" i="154" s="1"/>
  <c r="BO503" i="154"/>
  <c r="BO487" i="154" s="1"/>
  <c r="BO495" i="154" s="1"/>
  <c r="BO478" i="154"/>
  <c r="BO474" i="154"/>
  <c r="BO499" i="154"/>
  <c r="BO483" i="154" s="1"/>
  <c r="BO491" i="154" s="1"/>
  <c r="BO498" i="154"/>
  <c r="BO482" i="154" s="1"/>
  <c r="BO490" i="154" s="1"/>
  <c r="BO475" i="154"/>
  <c r="BO477" i="154"/>
  <c r="BO479" i="154"/>
  <c r="BP3" i="154"/>
  <c r="BP4" i="154" s="1"/>
  <c r="BO2" i="154" a="1"/>
  <c r="BO2" i="154" s="1"/>
  <c r="BP3" i="98"/>
  <c r="BP4" i="98" s="1"/>
  <c r="BO2" i="98" a="1"/>
  <c r="BO2" i="98" s="1"/>
  <c r="BO503" i="153"/>
  <c r="BO487" i="153" s="1"/>
  <c r="BO495" i="153" s="1"/>
  <c r="BO475" i="153"/>
  <c r="BO501" i="153"/>
  <c r="BO485" i="153" s="1"/>
  <c r="BO493" i="153" s="1"/>
  <c r="BO477" i="153"/>
  <c r="BO478" i="153"/>
  <c r="BO499" i="153"/>
  <c r="BO483" i="153" s="1"/>
  <c r="BO491" i="153" s="1"/>
  <c r="BO474" i="153"/>
  <c r="BO502" i="153"/>
  <c r="BO486" i="153" s="1"/>
  <c r="BO494" i="153" s="1"/>
  <c r="BO498" i="153"/>
  <c r="BO482" i="153" s="1"/>
  <c r="BO490" i="153" s="1"/>
  <c r="BO479" i="153"/>
  <c r="BO476" i="153"/>
  <c r="BO500" i="153"/>
  <c r="BO484" i="153" s="1"/>
  <c r="BO492" i="153" s="1"/>
  <c r="BP3" i="153"/>
  <c r="BP4" i="153" s="1"/>
  <c r="BO2" i="153" a="1"/>
  <c r="BO2" i="153" s="1"/>
  <c r="BO2" i="104" a="1"/>
  <c r="BO2" i="104" s="1"/>
  <c r="BP3" i="104"/>
  <c r="BP4" i="104" s="1"/>
  <c r="BR3" i="103"/>
  <c r="BR4" i="103" s="1"/>
  <c r="BQ2" i="103" a="1"/>
  <c r="BQ2" i="103" s="1"/>
  <c r="BQ498" i="155" l="1"/>
  <c r="BQ482" i="155" s="1"/>
  <c r="BQ490" i="155" s="1"/>
  <c r="BQ479" i="155"/>
  <c r="BQ500" i="155"/>
  <c r="BQ484" i="155" s="1"/>
  <c r="BQ492" i="155" s="1"/>
  <c r="BQ474" i="155"/>
  <c r="BQ499" i="155"/>
  <c r="BQ483" i="155" s="1"/>
  <c r="BQ491" i="155" s="1"/>
  <c r="BQ475" i="155"/>
  <c r="BQ476" i="155"/>
  <c r="BQ477" i="155"/>
  <c r="BQ478" i="155"/>
  <c r="BQ503" i="155"/>
  <c r="BQ487" i="155" s="1"/>
  <c r="BQ495" i="155" s="1"/>
  <c r="BQ502" i="155"/>
  <c r="BQ486" i="155" s="1"/>
  <c r="BQ494" i="155" s="1"/>
  <c r="BQ501" i="155"/>
  <c r="BQ485" i="155" s="1"/>
  <c r="BQ493" i="155" s="1"/>
  <c r="BQ2" i="155" a="1"/>
  <c r="BQ2" i="155" s="1"/>
  <c r="BR3" i="155"/>
  <c r="BR4" i="155" s="1"/>
  <c r="BP499" i="154"/>
  <c r="BP483" i="154" s="1"/>
  <c r="BP491" i="154" s="1"/>
  <c r="BP474" i="154"/>
  <c r="BP476" i="154"/>
  <c r="BP503" i="154"/>
  <c r="BP487" i="154" s="1"/>
  <c r="BP495" i="154" s="1"/>
  <c r="BP498" i="154"/>
  <c r="BP482" i="154" s="1"/>
  <c r="BP490" i="154" s="1"/>
  <c r="BP478" i="154"/>
  <c r="BP477" i="154"/>
  <c r="BP502" i="154"/>
  <c r="BP486" i="154" s="1"/>
  <c r="BP494" i="154" s="1"/>
  <c r="BP500" i="154"/>
  <c r="BP484" i="154" s="1"/>
  <c r="BP492" i="154" s="1"/>
  <c r="BP479" i="154"/>
  <c r="BP501" i="154"/>
  <c r="BP485" i="154" s="1"/>
  <c r="BP493" i="154" s="1"/>
  <c r="BP2" i="154" a="1"/>
  <c r="BP2" i="154" s="1"/>
  <c r="BP475" i="154"/>
  <c r="BQ3" i="154"/>
  <c r="BQ4" i="154" s="1"/>
  <c r="BQ3" i="98"/>
  <c r="BQ4" i="98" s="1"/>
  <c r="BP2" i="98" a="1"/>
  <c r="BP2" i="98" s="1"/>
  <c r="BP498" i="153"/>
  <c r="BP482" i="153" s="1"/>
  <c r="BP490" i="153" s="1"/>
  <c r="BP475" i="153"/>
  <c r="BP474" i="153"/>
  <c r="BP500" i="153"/>
  <c r="BP484" i="153" s="1"/>
  <c r="BP492" i="153" s="1"/>
  <c r="BP499" i="153"/>
  <c r="BP483" i="153" s="1"/>
  <c r="BP491" i="153" s="1"/>
  <c r="BP503" i="153"/>
  <c r="BP487" i="153" s="1"/>
  <c r="BP495" i="153" s="1"/>
  <c r="BP478" i="153"/>
  <c r="BP479" i="153"/>
  <c r="BP502" i="153"/>
  <c r="BP486" i="153" s="1"/>
  <c r="BP494" i="153" s="1"/>
  <c r="BP501" i="153"/>
  <c r="BP485" i="153" s="1"/>
  <c r="BP493" i="153" s="1"/>
  <c r="BP2" i="153" a="1"/>
  <c r="BP2" i="153" s="1"/>
  <c r="BP476" i="153"/>
  <c r="BP477" i="153"/>
  <c r="BQ3" i="153"/>
  <c r="BQ4" i="153" s="1"/>
  <c r="BQ3" i="104"/>
  <c r="BQ4" i="104" s="1"/>
  <c r="BP2" i="104" a="1"/>
  <c r="BP2" i="104" s="1"/>
  <c r="BS3" i="103"/>
  <c r="BS4" i="103" s="1"/>
  <c r="BR2" i="103" a="1"/>
  <c r="BR2" i="103" s="1"/>
  <c r="BR498" i="155" l="1"/>
  <c r="BR482" i="155" s="1"/>
  <c r="BR490" i="155" s="1"/>
  <c r="BR500" i="155"/>
  <c r="BR484" i="155" s="1"/>
  <c r="BR492" i="155" s="1"/>
  <c r="BR502" i="155"/>
  <c r="BR486" i="155" s="1"/>
  <c r="BR494" i="155" s="1"/>
  <c r="BR503" i="155"/>
  <c r="BR487" i="155" s="1"/>
  <c r="BR495" i="155" s="1"/>
  <c r="BR475" i="155"/>
  <c r="BR476" i="155"/>
  <c r="BR474" i="155"/>
  <c r="BR499" i="155"/>
  <c r="BR483" i="155" s="1"/>
  <c r="BR491" i="155" s="1"/>
  <c r="BR478" i="155"/>
  <c r="BR501" i="155"/>
  <c r="BR485" i="155" s="1"/>
  <c r="BR493" i="155" s="1"/>
  <c r="BR477" i="155"/>
  <c r="BR479" i="155"/>
  <c r="BR2" i="155" a="1"/>
  <c r="BR2" i="155" s="1"/>
  <c r="BS3" i="155"/>
  <c r="BS4" i="155" s="1"/>
  <c r="BQ474" i="154"/>
  <c r="BQ477" i="154"/>
  <c r="BQ499" i="154"/>
  <c r="BQ483" i="154" s="1"/>
  <c r="BQ491" i="154" s="1"/>
  <c r="BQ498" i="154"/>
  <c r="BQ482" i="154" s="1"/>
  <c r="BQ490" i="154" s="1"/>
  <c r="BQ479" i="154"/>
  <c r="BQ503" i="154"/>
  <c r="BQ487" i="154" s="1"/>
  <c r="BQ495" i="154" s="1"/>
  <c r="BQ478" i="154"/>
  <c r="BQ476" i="154"/>
  <c r="BQ502" i="154"/>
  <c r="BQ486" i="154" s="1"/>
  <c r="BQ494" i="154" s="1"/>
  <c r="BQ475" i="154"/>
  <c r="BQ501" i="154"/>
  <c r="BQ485" i="154" s="1"/>
  <c r="BQ493" i="154" s="1"/>
  <c r="BQ500" i="154"/>
  <c r="BQ484" i="154" s="1"/>
  <c r="BQ492" i="154" s="1"/>
  <c r="BQ2" i="154" a="1"/>
  <c r="BQ2" i="154" s="1"/>
  <c r="BR3" i="154"/>
  <c r="BR4" i="154" s="1"/>
  <c r="BQ2" i="98" a="1"/>
  <c r="BQ2" i="98" s="1"/>
  <c r="BR3" i="98"/>
  <c r="BR4" i="98" s="1"/>
  <c r="BQ474" i="153"/>
  <c r="BQ500" i="153"/>
  <c r="BQ484" i="153" s="1"/>
  <c r="BQ492" i="153" s="1"/>
  <c r="BQ499" i="153"/>
  <c r="BQ483" i="153" s="1"/>
  <c r="BQ491" i="153" s="1"/>
  <c r="BQ502" i="153"/>
  <c r="BQ486" i="153" s="1"/>
  <c r="BQ494" i="153" s="1"/>
  <c r="BQ501" i="153"/>
  <c r="BQ485" i="153" s="1"/>
  <c r="BQ493" i="153" s="1"/>
  <c r="BQ503" i="153"/>
  <c r="BQ487" i="153" s="1"/>
  <c r="BQ495" i="153" s="1"/>
  <c r="BQ477" i="153"/>
  <c r="BQ498" i="153"/>
  <c r="BQ482" i="153" s="1"/>
  <c r="BQ490" i="153" s="1"/>
  <c r="BQ478" i="153"/>
  <c r="BQ475" i="153"/>
  <c r="BQ2" i="153" a="1"/>
  <c r="BQ2" i="153" s="1"/>
  <c r="BQ476" i="153"/>
  <c r="BQ479" i="153"/>
  <c r="BR3" i="153"/>
  <c r="BR4" i="153" s="1"/>
  <c r="BR3" i="104"/>
  <c r="BR4" i="104" s="1"/>
  <c r="BQ2" i="104" a="1"/>
  <c r="BQ2" i="104" s="1"/>
  <c r="BS2" i="103" a="1"/>
  <c r="BS2" i="103" s="1"/>
  <c r="BT3" i="103"/>
  <c r="BT4" i="103" s="1"/>
  <c r="BS500" i="155" l="1"/>
  <c r="BS484" i="155" s="1"/>
  <c r="BS492" i="155" s="1"/>
  <c r="BS502" i="155"/>
  <c r="BS486" i="155" s="1"/>
  <c r="BS494" i="155" s="1"/>
  <c r="BS503" i="155"/>
  <c r="BS487" i="155" s="1"/>
  <c r="BS495" i="155" s="1"/>
  <c r="BS478" i="155"/>
  <c r="BS476" i="155"/>
  <c r="BS499" i="155"/>
  <c r="BS483" i="155" s="1"/>
  <c r="BS491" i="155" s="1"/>
  <c r="BS498" i="155"/>
  <c r="BS482" i="155" s="1"/>
  <c r="BS490" i="155" s="1"/>
  <c r="BS477" i="155"/>
  <c r="BS474" i="155"/>
  <c r="BS501" i="155"/>
  <c r="BS485" i="155" s="1"/>
  <c r="BS493" i="155" s="1"/>
  <c r="BS475" i="155"/>
  <c r="BS479" i="155"/>
  <c r="BS2" i="155" a="1"/>
  <c r="BS2" i="155" s="1"/>
  <c r="BT3" i="155"/>
  <c r="BT4" i="155" s="1"/>
  <c r="BR478" i="154"/>
  <c r="BR501" i="154"/>
  <c r="BR485" i="154" s="1"/>
  <c r="BR493" i="154" s="1"/>
  <c r="BR499" i="154"/>
  <c r="BR483" i="154" s="1"/>
  <c r="BR491" i="154" s="1"/>
  <c r="BR498" i="154"/>
  <c r="BR482" i="154" s="1"/>
  <c r="BR490" i="154" s="1"/>
  <c r="BR477" i="154"/>
  <c r="BR503" i="154"/>
  <c r="BR487" i="154" s="1"/>
  <c r="BR495" i="154" s="1"/>
  <c r="BR502" i="154"/>
  <c r="BR486" i="154" s="1"/>
  <c r="BR494" i="154" s="1"/>
  <c r="BR474" i="154"/>
  <c r="BR476" i="154"/>
  <c r="BR475" i="154"/>
  <c r="BR500" i="154"/>
  <c r="BR484" i="154" s="1"/>
  <c r="BR492" i="154" s="1"/>
  <c r="BR479" i="154"/>
  <c r="BR2" i="154" a="1"/>
  <c r="BR2" i="154" s="1"/>
  <c r="BS3" i="154"/>
  <c r="BS4" i="154" s="1"/>
  <c r="BS3" i="98"/>
  <c r="BS4" i="98" s="1"/>
  <c r="BR2" i="98" a="1"/>
  <c r="BR2" i="98" s="1"/>
  <c r="BR500" i="153"/>
  <c r="BR484" i="153" s="1"/>
  <c r="BR492" i="153" s="1"/>
  <c r="BR475" i="153"/>
  <c r="BR501" i="153"/>
  <c r="BR485" i="153" s="1"/>
  <c r="BR493" i="153" s="1"/>
  <c r="BR477" i="153"/>
  <c r="BR502" i="153"/>
  <c r="BR486" i="153" s="1"/>
  <c r="BR494" i="153" s="1"/>
  <c r="BR476" i="153"/>
  <c r="BR498" i="153"/>
  <c r="BR482" i="153" s="1"/>
  <c r="BR490" i="153" s="1"/>
  <c r="BR474" i="153"/>
  <c r="BR478" i="153"/>
  <c r="BR503" i="153"/>
  <c r="BR487" i="153" s="1"/>
  <c r="BR495" i="153" s="1"/>
  <c r="BS3" i="153"/>
  <c r="BS4" i="153" s="1"/>
  <c r="BR479" i="153"/>
  <c r="BR499" i="153"/>
  <c r="BR483" i="153" s="1"/>
  <c r="BR491" i="153" s="1"/>
  <c r="BR2" i="153" a="1"/>
  <c r="BR2" i="153" s="1"/>
  <c r="BS3" i="104"/>
  <c r="BS4" i="104" s="1"/>
  <c r="BR2" i="104" a="1"/>
  <c r="BR2" i="104" s="1"/>
  <c r="BT2" i="103" a="1"/>
  <c r="BT2" i="103" s="1"/>
  <c r="BU3" i="103"/>
  <c r="BU4" i="103" s="1"/>
  <c r="BT502" i="155" l="1"/>
  <c r="BT486" i="155" s="1"/>
  <c r="BT494" i="155" s="1"/>
  <c r="BT503" i="155"/>
  <c r="BT487" i="155" s="1"/>
  <c r="BT495" i="155" s="1"/>
  <c r="BT477" i="155"/>
  <c r="BT498" i="155"/>
  <c r="BT482" i="155" s="1"/>
  <c r="BT490" i="155" s="1"/>
  <c r="BT479" i="155"/>
  <c r="BT500" i="155"/>
  <c r="BT484" i="155" s="1"/>
  <c r="BT492" i="155" s="1"/>
  <c r="BT474" i="155"/>
  <c r="BT478" i="155"/>
  <c r="BT501" i="155"/>
  <c r="BT485" i="155" s="1"/>
  <c r="BT493" i="155" s="1"/>
  <c r="BT476" i="155"/>
  <c r="BT475" i="155"/>
  <c r="BT499" i="155"/>
  <c r="BT483" i="155" s="1"/>
  <c r="BT491" i="155" s="1"/>
  <c r="BT2" i="155" a="1"/>
  <c r="BT2" i="155" s="1"/>
  <c r="BU3" i="155"/>
  <c r="BU4" i="155" s="1"/>
  <c r="BS502" i="154"/>
  <c r="BS486" i="154" s="1"/>
  <c r="BS494" i="154" s="1"/>
  <c r="BS500" i="154"/>
  <c r="BS484" i="154" s="1"/>
  <c r="BS492" i="154" s="1"/>
  <c r="BS476" i="154"/>
  <c r="BS475" i="154"/>
  <c r="BS503" i="154"/>
  <c r="BS487" i="154" s="1"/>
  <c r="BS495" i="154" s="1"/>
  <c r="BS478" i="154"/>
  <c r="BS499" i="154"/>
  <c r="BS483" i="154" s="1"/>
  <c r="BS491" i="154" s="1"/>
  <c r="BS474" i="154"/>
  <c r="BS479" i="154"/>
  <c r="BS477" i="154"/>
  <c r="BS498" i="154"/>
  <c r="BS482" i="154" s="1"/>
  <c r="BS490" i="154" s="1"/>
  <c r="BS501" i="154"/>
  <c r="BS485" i="154" s="1"/>
  <c r="BS493" i="154" s="1"/>
  <c r="BT3" i="154"/>
  <c r="BT4" i="154" s="1"/>
  <c r="BS2" i="154" a="1"/>
  <c r="BS2" i="154" s="1"/>
  <c r="BS2" i="98" a="1"/>
  <c r="BS2" i="98" s="1"/>
  <c r="BT3" i="98"/>
  <c r="BT4" i="98" s="1"/>
  <c r="BS501" i="153"/>
  <c r="BS485" i="153" s="1"/>
  <c r="BS493" i="153" s="1"/>
  <c r="BS500" i="153"/>
  <c r="BS484" i="153" s="1"/>
  <c r="BS492" i="153" s="1"/>
  <c r="BS475" i="153"/>
  <c r="BS502" i="153"/>
  <c r="BS486" i="153" s="1"/>
  <c r="BS494" i="153" s="1"/>
  <c r="BS503" i="153"/>
  <c r="BS487" i="153" s="1"/>
  <c r="BS495" i="153" s="1"/>
  <c r="BS474" i="153"/>
  <c r="BS498" i="153"/>
  <c r="BS482" i="153" s="1"/>
  <c r="BS490" i="153" s="1"/>
  <c r="BS477" i="153"/>
  <c r="BS476" i="153"/>
  <c r="BT3" i="153"/>
  <c r="BT4" i="153" s="1"/>
  <c r="BS478" i="153"/>
  <c r="BS499" i="153"/>
  <c r="BS483" i="153" s="1"/>
  <c r="BS491" i="153" s="1"/>
  <c r="BS479" i="153"/>
  <c r="BS2" i="153" a="1"/>
  <c r="BS2" i="153" s="1"/>
  <c r="BT3" i="104"/>
  <c r="BT4" i="104" s="1"/>
  <c r="BS2" i="104" a="1"/>
  <c r="BS2" i="104" s="1"/>
  <c r="BU2" i="103" a="1"/>
  <c r="BU2" i="103" s="1"/>
  <c r="BV3" i="103"/>
  <c r="BV4" i="103" s="1"/>
  <c r="BU477" i="155" l="1"/>
  <c r="BU503" i="155"/>
  <c r="BU487" i="155" s="1"/>
  <c r="BU495" i="155" s="1"/>
  <c r="BU500" i="155"/>
  <c r="BU484" i="155" s="1"/>
  <c r="BU492" i="155" s="1"/>
  <c r="BU479" i="155"/>
  <c r="BU498" i="155"/>
  <c r="BU482" i="155" s="1"/>
  <c r="BU490" i="155" s="1"/>
  <c r="BU499" i="155"/>
  <c r="BU483" i="155" s="1"/>
  <c r="BU491" i="155" s="1"/>
  <c r="BU474" i="155"/>
  <c r="BU476" i="155"/>
  <c r="BU478" i="155"/>
  <c r="BU502" i="155"/>
  <c r="BU486" i="155" s="1"/>
  <c r="BU494" i="155" s="1"/>
  <c r="BU475" i="155"/>
  <c r="BU501" i="155"/>
  <c r="BU485" i="155" s="1"/>
  <c r="BU493" i="155" s="1"/>
  <c r="BV3" i="155"/>
  <c r="BV4" i="155" s="1"/>
  <c r="BU2" i="155" a="1"/>
  <c r="BU2" i="155" s="1"/>
  <c r="BT498" i="154"/>
  <c r="BT482" i="154" s="1"/>
  <c r="BT490" i="154" s="1"/>
  <c r="BT476" i="154"/>
  <c r="BT499" i="154"/>
  <c r="BT483" i="154" s="1"/>
  <c r="BT491" i="154" s="1"/>
  <c r="BT479" i="154"/>
  <c r="BT503" i="154"/>
  <c r="BT487" i="154" s="1"/>
  <c r="BT495" i="154" s="1"/>
  <c r="BT474" i="154"/>
  <c r="BT501" i="154"/>
  <c r="BT485" i="154" s="1"/>
  <c r="BT493" i="154" s="1"/>
  <c r="BT478" i="154"/>
  <c r="BT502" i="154"/>
  <c r="BT486" i="154" s="1"/>
  <c r="BT494" i="154" s="1"/>
  <c r="BT475" i="154"/>
  <c r="BT500" i="154"/>
  <c r="BT484" i="154" s="1"/>
  <c r="BT492" i="154" s="1"/>
  <c r="BU3" i="154"/>
  <c r="BU4" i="154" s="1"/>
  <c r="BT477" i="154"/>
  <c r="BT2" i="154" a="1"/>
  <c r="BT2" i="154" s="1"/>
  <c r="BT2" i="98" a="1"/>
  <c r="BT2" i="98" s="1"/>
  <c r="BU3" i="98"/>
  <c r="BU4" i="98" s="1"/>
  <c r="BT476" i="153"/>
  <c r="BT502" i="153"/>
  <c r="BT486" i="153" s="1"/>
  <c r="BT494" i="153" s="1"/>
  <c r="BT501" i="153"/>
  <c r="BT485" i="153" s="1"/>
  <c r="BT493" i="153" s="1"/>
  <c r="BT498" i="153"/>
  <c r="BT482" i="153" s="1"/>
  <c r="BT490" i="153" s="1"/>
  <c r="BT479" i="153"/>
  <c r="BT500" i="153"/>
  <c r="BT484" i="153" s="1"/>
  <c r="BT492" i="153" s="1"/>
  <c r="BT477" i="153"/>
  <c r="BT474" i="153"/>
  <c r="BT503" i="153"/>
  <c r="BT487" i="153" s="1"/>
  <c r="BT495" i="153" s="1"/>
  <c r="BT475" i="153"/>
  <c r="BT499" i="153"/>
  <c r="BT483" i="153" s="1"/>
  <c r="BT491" i="153" s="1"/>
  <c r="BT2" i="153" a="1"/>
  <c r="BT2" i="153" s="1"/>
  <c r="BT478" i="153"/>
  <c r="BU3" i="153"/>
  <c r="BU4" i="153" s="1"/>
  <c r="BU3" i="104"/>
  <c r="BU4" i="104" s="1"/>
  <c r="BT2" i="104" a="1"/>
  <c r="BT2" i="104" s="1"/>
  <c r="BW3" i="103"/>
  <c r="BW4" i="103" s="1"/>
  <c r="BV2" i="103" a="1"/>
  <c r="BV2" i="103" s="1"/>
  <c r="BV498" i="155" l="1"/>
  <c r="BV482" i="155" s="1"/>
  <c r="BV490" i="155" s="1"/>
  <c r="BV499" i="155"/>
  <c r="BV483" i="155" s="1"/>
  <c r="BV491" i="155" s="1"/>
  <c r="BV479" i="155"/>
  <c r="BV476" i="155"/>
  <c r="BV501" i="155"/>
  <c r="BV485" i="155" s="1"/>
  <c r="BV493" i="155" s="1"/>
  <c r="BV477" i="155"/>
  <c r="BV503" i="155"/>
  <c r="BV487" i="155" s="1"/>
  <c r="BV495" i="155" s="1"/>
  <c r="BV500" i="155"/>
  <c r="BV484" i="155" s="1"/>
  <c r="BV492" i="155" s="1"/>
  <c r="BV475" i="155"/>
  <c r="BV502" i="155"/>
  <c r="BV486" i="155" s="1"/>
  <c r="BV494" i="155" s="1"/>
  <c r="BV478" i="155"/>
  <c r="BV474" i="155"/>
  <c r="BV2" i="155" a="1"/>
  <c r="BV2" i="155" s="1"/>
  <c r="BW3" i="155"/>
  <c r="BW4" i="155" s="1"/>
  <c r="BU474" i="154"/>
  <c r="BU477" i="154"/>
  <c r="BU499" i="154"/>
  <c r="BU483" i="154" s="1"/>
  <c r="BU491" i="154" s="1"/>
  <c r="BU500" i="154"/>
  <c r="BU484" i="154" s="1"/>
  <c r="BU492" i="154" s="1"/>
  <c r="BU479" i="154"/>
  <c r="BU476" i="154"/>
  <c r="BU498" i="154"/>
  <c r="BU482" i="154" s="1"/>
  <c r="BU490" i="154" s="1"/>
  <c r="BU502" i="154"/>
  <c r="BU486" i="154" s="1"/>
  <c r="BU494" i="154" s="1"/>
  <c r="BU478" i="154"/>
  <c r="BU503" i="154"/>
  <c r="BU487" i="154" s="1"/>
  <c r="BU495" i="154" s="1"/>
  <c r="BU501" i="154"/>
  <c r="BU485" i="154" s="1"/>
  <c r="BU493" i="154" s="1"/>
  <c r="BU475" i="154"/>
  <c r="BV3" i="154"/>
  <c r="BV4" i="154" s="1"/>
  <c r="BU2" i="154" a="1"/>
  <c r="BU2" i="154" s="1"/>
  <c r="BV3" i="98"/>
  <c r="BV4" i="98" s="1"/>
  <c r="BU2" i="98" a="1"/>
  <c r="BU2" i="98" s="1"/>
  <c r="BU501" i="153"/>
  <c r="BU485" i="153" s="1"/>
  <c r="BU493" i="153" s="1"/>
  <c r="BU476" i="153"/>
  <c r="BU499" i="153"/>
  <c r="BU483" i="153" s="1"/>
  <c r="BU491" i="153" s="1"/>
  <c r="BU503" i="153"/>
  <c r="BU487" i="153" s="1"/>
  <c r="BU495" i="153" s="1"/>
  <c r="BU474" i="153"/>
  <c r="BU479" i="153"/>
  <c r="BU502" i="153"/>
  <c r="BU486" i="153" s="1"/>
  <c r="BU494" i="153" s="1"/>
  <c r="BU477" i="153"/>
  <c r="BU475" i="153"/>
  <c r="BU500" i="153"/>
  <c r="BU484" i="153" s="1"/>
  <c r="BU492" i="153" s="1"/>
  <c r="BU498" i="153"/>
  <c r="BU482" i="153" s="1"/>
  <c r="BU490" i="153" s="1"/>
  <c r="BU2" i="153" a="1"/>
  <c r="BU2" i="153" s="1"/>
  <c r="BU478" i="153"/>
  <c r="BV3" i="153"/>
  <c r="BV4" i="153" s="1"/>
  <c r="BV3" i="104"/>
  <c r="BV4" i="104" s="1"/>
  <c r="BU2" i="104" a="1"/>
  <c r="BU2" i="104" s="1"/>
  <c r="BW2" i="103" a="1"/>
  <c r="BW2" i="103" s="1"/>
  <c r="BX3" i="103"/>
  <c r="BX4" i="103" s="1"/>
  <c r="BW479" i="155" l="1"/>
  <c r="BW499" i="155"/>
  <c r="BW483" i="155" s="1"/>
  <c r="BW491" i="155" s="1"/>
  <c r="BW498" i="155"/>
  <c r="BW482" i="155" s="1"/>
  <c r="BW490" i="155" s="1"/>
  <c r="BW476" i="155"/>
  <c r="BW502" i="155"/>
  <c r="BW486" i="155" s="1"/>
  <c r="BW494" i="155" s="1"/>
  <c r="BW501" i="155"/>
  <c r="BW485" i="155" s="1"/>
  <c r="BW493" i="155" s="1"/>
  <c r="BW475" i="155"/>
  <c r="BW500" i="155"/>
  <c r="BW484" i="155" s="1"/>
  <c r="BW492" i="155" s="1"/>
  <c r="BW478" i="155"/>
  <c r="BW503" i="155"/>
  <c r="BW487" i="155" s="1"/>
  <c r="BW495" i="155" s="1"/>
  <c r="BW477" i="155"/>
  <c r="BW474" i="155"/>
  <c r="BW2" i="155" a="1"/>
  <c r="BW2" i="155" s="1"/>
  <c r="BX3" i="155"/>
  <c r="BX4" i="155" s="1"/>
  <c r="BV500" i="154"/>
  <c r="BV484" i="154" s="1"/>
  <c r="BV492" i="154" s="1"/>
  <c r="BV475" i="154"/>
  <c r="BV478" i="154"/>
  <c r="BV476" i="154"/>
  <c r="BV503" i="154"/>
  <c r="BV487" i="154" s="1"/>
  <c r="BV495" i="154" s="1"/>
  <c r="BV474" i="154"/>
  <c r="BV499" i="154"/>
  <c r="BV483" i="154" s="1"/>
  <c r="BV491" i="154" s="1"/>
  <c r="BV479" i="154"/>
  <c r="BV477" i="154"/>
  <c r="BV502" i="154"/>
  <c r="BV486" i="154" s="1"/>
  <c r="BV494" i="154" s="1"/>
  <c r="BV501" i="154"/>
  <c r="BV485" i="154" s="1"/>
  <c r="BV493" i="154" s="1"/>
  <c r="BV498" i="154"/>
  <c r="BV482" i="154" s="1"/>
  <c r="BV490" i="154" s="1"/>
  <c r="BW3" i="154"/>
  <c r="BW4" i="154" s="1"/>
  <c r="BV2" i="154" a="1"/>
  <c r="BV2" i="154" s="1"/>
  <c r="BV2" i="98" a="1"/>
  <c r="BV2" i="98" s="1"/>
  <c r="BW3" i="98"/>
  <c r="BW4" i="98" s="1"/>
  <c r="BV476" i="153"/>
  <c r="BV479" i="153"/>
  <c r="BV499" i="153"/>
  <c r="BV483" i="153" s="1"/>
  <c r="BV491" i="153" s="1"/>
  <c r="BV503" i="153"/>
  <c r="BV487" i="153" s="1"/>
  <c r="BV495" i="153" s="1"/>
  <c r="BV501" i="153"/>
  <c r="BV485" i="153" s="1"/>
  <c r="BV493" i="153" s="1"/>
  <c r="BV474" i="153"/>
  <c r="BV477" i="153"/>
  <c r="BV475" i="153"/>
  <c r="BV502" i="153"/>
  <c r="BV486" i="153" s="1"/>
  <c r="BV494" i="153" s="1"/>
  <c r="BV500" i="153"/>
  <c r="BV484" i="153" s="1"/>
  <c r="BV492" i="153" s="1"/>
  <c r="BV498" i="153"/>
  <c r="BV482" i="153" s="1"/>
  <c r="BV490" i="153" s="1"/>
  <c r="BV478" i="153"/>
  <c r="BW3" i="153"/>
  <c r="BW4" i="153" s="1"/>
  <c r="BV2" i="153" a="1"/>
  <c r="BV2" i="153" s="1"/>
  <c r="BW3" i="104"/>
  <c r="BW4" i="104" s="1"/>
  <c r="BV2" i="104" a="1"/>
  <c r="BV2" i="104" s="1"/>
  <c r="BX2" i="103" a="1"/>
  <c r="BX2" i="103" s="1"/>
  <c r="BY3" i="103"/>
  <c r="BY4" i="103" s="1"/>
  <c r="BY2" i="103" s="1" a="1"/>
  <c r="BY2" i="103" s="1"/>
  <c r="K64" i="103" l="1"/>
  <c r="M64" i="103"/>
  <c r="J64" i="103"/>
  <c r="N64" i="103"/>
  <c r="L64" i="103"/>
  <c r="I76" i="103"/>
  <c r="BX499" i="155"/>
  <c r="BX483" i="155" s="1"/>
  <c r="BX491" i="155" s="1"/>
  <c r="BX498" i="155"/>
  <c r="BX482" i="155" s="1"/>
  <c r="BX490" i="155" s="1"/>
  <c r="BX474" i="155"/>
  <c r="BX479" i="155"/>
  <c r="BX476" i="155"/>
  <c r="BX500" i="155"/>
  <c r="BX484" i="155" s="1"/>
  <c r="BX492" i="155" s="1"/>
  <c r="BX475" i="155"/>
  <c r="BX477" i="155"/>
  <c r="BX501" i="155"/>
  <c r="BX485" i="155" s="1"/>
  <c r="BX493" i="155" s="1"/>
  <c r="BX478" i="155"/>
  <c r="BX503" i="155"/>
  <c r="BX487" i="155" s="1"/>
  <c r="BX495" i="155" s="1"/>
  <c r="BX502" i="155"/>
  <c r="BX486" i="155" s="1"/>
  <c r="BX494" i="155" s="1"/>
  <c r="BX2" i="155" a="1"/>
  <c r="BX2" i="155" s="1"/>
  <c r="BY3" i="155"/>
  <c r="BY4" i="155" s="1"/>
  <c r="BW500" i="154"/>
  <c r="BW484" i="154" s="1"/>
  <c r="BW492" i="154" s="1"/>
  <c r="BW474" i="154"/>
  <c r="BW499" i="154"/>
  <c r="BW483" i="154" s="1"/>
  <c r="BW491" i="154" s="1"/>
  <c r="BW502" i="154"/>
  <c r="BW486" i="154" s="1"/>
  <c r="BW494" i="154" s="1"/>
  <c r="BW503" i="154"/>
  <c r="BW487" i="154" s="1"/>
  <c r="BW495" i="154" s="1"/>
  <c r="BW475" i="154"/>
  <c r="BW498" i="154"/>
  <c r="BW482" i="154" s="1"/>
  <c r="BW490" i="154" s="1"/>
  <c r="BW478" i="154"/>
  <c r="BW476" i="154"/>
  <c r="BW501" i="154"/>
  <c r="BW485" i="154" s="1"/>
  <c r="BW493" i="154" s="1"/>
  <c r="BW479" i="154"/>
  <c r="BW477" i="154"/>
  <c r="BW2" i="154" a="1"/>
  <c r="BW2" i="154" s="1"/>
  <c r="BX3" i="154"/>
  <c r="BX4" i="154" s="1"/>
  <c r="BX3" i="98"/>
  <c r="BX4" i="98" s="1"/>
  <c r="BW2" i="98" a="1"/>
  <c r="BW2" i="98" s="1"/>
  <c r="BW498" i="153"/>
  <c r="BW482" i="153" s="1"/>
  <c r="BW490" i="153" s="1"/>
  <c r="BW479" i="153"/>
  <c r="BW501" i="153"/>
  <c r="BW485" i="153" s="1"/>
  <c r="BW493" i="153" s="1"/>
  <c r="BW475" i="153"/>
  <c r="BW502" i="153"/>
  <c r="BW486" i="153" s="1"/>
  <c r="BW494" i="153" s="1"/>
  <c r="BW500" i="153"/>
  <c r="BW484" i="153" s="1"/>
  <c r="BW492" i="153" s="1"/>
  <c r="BW476" i="153"/>
  <c r="BW499" i="153"/>
  <c r="BW483" i="153" s="1"/>
  <c r="BW491" i="153" s="1"/>
  <c r="BW478" i="153"/>
  <c r="BW474" i="153"/>
  <c r="BW503" i="153"/>
  <c r="BW487" i="153" s="1"/>
  <c r="BW495" i="153" s="1"/>
  <c r="BW2" i="153" a="1"/>
  <c r="BW2" i="153" s="1"/>
  <c r="BW477" i="153"/>
  <c r="BX3" i="153"/>
  <c r="BX4" i="153" s="1"/>
  <c r="BX3" i="104"/>
  <c r="BX4" i="104" s="1"/>
  <c r="BW2" i="104" a="1"/>
  <c r="BW2" i="104" s="1"/>
  <c r="P64" i="103" l="1"/>
  <c r="P155" i="155"/>
  <c r="E155" i="155" s="1"/>
  <c r="P157" i="155"/>
  <c r="E157" i="155" s="1"/>
  <c r="P159" i="155"/>
  <c r="E159" i="155" s="1"/>
  <c r="P158" i="155"/>
  <c r="E158" i="155" s="1"/>
  <c r="P160" i="155"/>
  <c r="P156" i="155"/>
  <c r="E156" i="155" s="1"/>
  <c r="BY474" i="155"/>
  <c r="BY498" i="155"/>
  <c r="BY482" i="155" s="1"/>
  <c r="BY490" i="155" s="1"/>
  <c r="BY477" i="155"/>
  <c r="BY500" i="155"/>
  <c r="BY484" i="155" s="1"/>
  <c r="BY492" i="155" s="1"/>
  <c r="BY501" i="155"/>
  <c r="BY485" i="155" s="1"/>
  <c r="BY493" i="155" s="1"/>
  <c r="BY476" i="155"/>
  <c r="BY499" i="155"/>
  <c r="BY483" i="155" s="1"/>
  <c r="BY491" i="155" s="1"/>
  <c r="BY475" i="155"/>
  <c r="BY502" i="155"/>
  <c r="BY486" i="155" s="1"/>
  <c r="BY494" i="155" s="1"/>
  <c r="BY478" i="155"/>
  <c r="BY503" i="155"/>
  <c r="BY487" i="155" s="1"/>
  <c r="BY495" i="155" s="1"/>
  <c r="BY479" i="155"/>
  <c r="BY2" i="155" a="1"/>
  <c r="BY2" i="155" s="1"/>
  <c r="BX503" i="154"/>
  <c r="BX487" i="154" s="1"/>
  <c r="BX495" i="154" s="1"/>
  <c r="BX500" i="154"/>
  <c r="BX484" i="154" s="1"/>
  <c r="BX492" i="154" s="1"/>
  <c r="BX498" i="154"/>
  <c r="BX482" i="154" s="1"/>
  <c r="BX490" i="154" s="1"/>
  <c r="BX475" i="154"/>
  <c r="BX502" i="154"/>
  <c r="BX486" i="154" s="1"/>
  <c r="BX494" i="154" s="1"/>
  <c r="BX476" i="154"/>
  <c r="BX474" i="154"/>
  <c r="BX501" i="154"/>
  <c r="BX485" i="154" s="1"/>
  <c r="BX493" i="154" s="1"/>
  <c r="BX499" i="154"/>
  <c r="BX483" i="154" s="1"/>
  <c r="BX491" i="154" s="1"/>
  <c r="BX478" i="154"/>
  <c r="BX479" i="154"/>
  <c r="BY3" i="154"/>
  <c r="BY4" i="154" s="1"/>
  <c r="BX477" i="154"/>
  <c r="BX2" i="154" a="1"/>
  <c r="BX2" i="154" s="1"/>
  <c r="BX2" i="98" a="1"/>
  <c r="BX2" i="98" s="1"/>
  <c r="BY3" i="98"/>
  <c r="BY4" i="98" s="1"/>
  <c r="BX479" i="153"/>
  <c r="BX502" i="153"/>
  <c r="BX486" i="153" s="1"/>
  <c r="BX494" i="153" s="1"/>
  <c r="BX500" i="153"/>
  <c r="BX484" i="153" s="1"/>
  <c r="BX492" i="153" s="1"/>
  <c r="BX498" i="153"/>
  <c r="BX482" i="153" s="1"/>
  <c r="BX490" i="153" s="1"/>
  <c r="BX476" i="153"/>
  <c r="BX503" i="153"/>
  <c r="BX487" i="153" s="1"/>
  <c r="BX495" i="153" s="1"/>
  <c r="BX501" i="153"/>
  <c r="BX485" i="153" s="1"/>
  <c r="BX493" i="153" s="1"/>
  <c r="BX499" i="153"/>
  <c r="BX483" i="153" s="1"/>
  <c r="BX491" i="153" s="1"/>
  <c r="BX475" i="153"/>
  <c r="BX474" i="153"/>
  <c r="BX2" i="153" a="1"/>
  <c r="BX2" i="153" s="1"/>
  <c r="BX477" i="153"/>
  <c r="BX478" i="153"/>
  <c r="BY3" i="153"/>
  <c r="BY4" i="153" s="1"/>
  <c r="BY3" i="104"/>
  <c r="BY4" i="104" s="1"/>
  <c r="BY2" i="104" s="1" a="1"/>
  <c r="BY2" i="104" s="1"/>
  <c r="BX2" i="104" a="1"/>
  <c r="BX2" i="104" s="1"/>
  <c r="E423" i="155" l="1"/>
  <c r="E466" i="155"/>
  <c r="E377" i="155"/>
  <c r="E341" i="155"/>
  <c r="E173" i="155"/>
  <c r="E369" i="155"/>
  <c r="E285" i="155"/>
  <c r="E249" i="155"/>
  <c r="E273" i="155"/>
  <c r="E477" i="155"/>
  <c r="E180" i="155"/>
  <c r="E434" i="155"/>
  <c r="E301" i="155"/>
  <c r="E397" i="155"/>
  <c r="E415" i="155"/>
  <c r="E454" i="155"/>
  <c r="E493" i="155"/>
  <c r="E208" i="155"/>
  <c r="E442" i="155"/>
  <c r="E188" i="155"/>
  <c r="E309" i="155"/>
  <c r="E405" i="155"/>
  <c r="E293" i="155"/>
  <c r="E257" i="155"/>
  <c r="E501" i="155"/>
  <c r="E385" i="155"/>
  <c r="E485" i="155"/>
  <c r="E241" i="155"/>
  <c r="E331" i="155"/>
  <c r="E216" i="155"/>
  <c r="E317" i="155"/>
  <c r="E200" i="155"/>
  <c r="E361" i="155"/>
  <c r="E265" i="155"/>
  <c r="E349" i="155"/>
  <c r="E491" i="155"/>
  <c r="E347" i="155"/>
  <c r="E307" i="155"/>
  <c r="E178" i="155"/>
  <c r="E214" i="155"/>
  <c r="E499" i="155"/>
  <c r="E339" i="155"/>
  <c r="E171" i="155"/>
  <c r="E421" i="155"/>
  <c r="E375" i="155"/>
  <c r="E464" i="155"/>
  <c r="E329" i="155"/>
  <c r="E367" i="155"/>
  <c r="E440" i="155"/>
  <c r="E403" i="155"/>
  <c r="E283" i="155"/>
  <c r="E247" i="155"/>
  <c r="E315" i="155"/>
  <c r="E475" i="155"/>
  <c r="E432" i="155"/>
  <c r="E271" i="155"/>
  <c r="E255" i="155"/>
  <c r="E413" i="155"/>
  <c r="E206" i="155"/>
  <c r="E239" i="155"/>
  <c r="E483" i="155"/>
  <c r="E263" i="155"/>
  <c r="E198" i="155"/>
  <c r="E299" i="155"/>
  <c r="E186" i="155"/>
  <c r="E395" i="155"/>
  <c r="E291" i="155"/>
  <c r="E383" i="155"/>
  <c r="E359" i="155"/>
  <c r="E452" i="155"/>
  <c r="E453" i="155"/>
  <c r="E422" i="155"/>
  <c r="E340" i="155"/>
  <c r="E172" i="155"/>
  <c r="E256" i="155"/>
  <c r="E465" i="155"/>
  <c r="E300" i="155"/>
  <c r="E500" i="155"/>
  <c r="E376" i="155"/>
  <c r="E207" i="155"/>
  <c r="E492" i="155"/>
  <c r="E330" i="155"/>
  <c r="E368" i="155"/>
  <c r="E199" i="155"/>
  <c r="E441" i="155"/>
  <c r="E404" i="155"/>
  <c r="E284" i="155"/>
  <c r="E248" i="155"/>
  <c r="E348" i="155"/>
  <c r="E308" i="155"/>
  <c r="E179" i="155"/>
  <c r="E476" i="155"/>
  <c r="E396" i="155"/>
  <c r="E272" i="155"/>
  <c r="E240" i="155"/>
  <c r="E433" i="155"/>
  <c r="E360" i="155"/>
  <c r="E215" i="155"/>
  <c r="E316" i="155"/>
  <c r="E414" i="155"/>
  <c r="E187" i="155"/>
  <c r="E292" i="155"/>
  <c r="E384" i="155"/>
  <c r="E484" i="155"/>
  <c r="E264" i="155"/>
  <c r="E474" i="155"/>
  <c r="E431" i="155"/>
  <c r="E270" i="155"/>
  <c r="E346" i="155"/>
  <c r="E306" i="155"/>
  <c r="E177" i="155"/>
  <c r="E262" i="155"/>
  <c r="E213" i="155"/>
  <c r="E382" i="155"/>
  <c r="E463" i="155"/>
  <c r="E420" i="155"/>
  <c r="E298" i="155"/>
  <c r="E451" i="155"/>
  <c r="E412" i="155"/>
  <c r="E490" i="155"/>
  <c r="E328" i="155"/>
  <c r="E197" i="155"/>
  <c r="E366" i="155"/>
  <c r="E482" i="155"/>
  <c r="E439" i="155"/>
  <c r="E402" i="155"/>
  <c r="E282" i="155"/>
  <c r="E246" i="155"/>
  <c r="E185" i="155"/>
  <c r="E238" i="155"/>
  <c r="E498" i="155"/>
  <c r="E205" i="155"/>
  <c r="E290" i="155"/>
  <c r="E394" i="155"/>
  <c r="E374" i="155"/>
  <c r="E170" i="155"/>
  <c r="E358" i="155"/>
  <c r="E314" i="155"/>
  <c r="E338" i="155"/>
  <c r="E254" i="155"/>
  <c r="E386" i="155"/>
  <c r="E217" i="155"/>
  <c r="E378" i="155"/>
  <c r="E342" i="155"/>
  <c r="E302" i="155"/>
  <c r="E174" i="155"/>
  <c r="E467" i="155"/>
  <c r="E424" i="155"/>
  <c r="E266" i="155"/>
  <c r="E502" i="155"/>
  <c r="E258" i="155"/>
  <c r="E209" i="155"/>
  <c r="E494" i="155"/>
  <c r="E370" i="155"/>
  <c r="E332" i="155"/>
  <c r="E443" i="155"/>
  <c r="E286" i="155"/>
  <c r="E250" i="155"/>
  <c r="E201" i="155"/>
  <c r="E406" i="155"/>
  <c r="E486" i="155"/>
  <c r="E318" i="155"/>
  <c r="E189" i="155"/>
  <c r="E362" i="155"/>
  <c r="E398" i="155"/>
  <c r="E294" i="155"/>
  <c r="E455" i="155"/>
  <c r="E478" i="155"/>
  <c r="E181" i="155"/>
  <c r="E274" i="155"/>
  <c r="E350" i="155"/>
  <c r="E435" i="155"/>
  <c r="E242" i="155"/>
  <c r="E416" i="155"/>
  <c r="E310" i="155"/>
  <c r="K75" i="155"/>
  <c r="K70" i="155"/>
  <c r="N75" i="155"/>
  <c r="P75" i="155" s="1"/>
  <c r="L76" i="155"/>
  <c r="J70" i="155"/>
  <c r="M70" i="155"/>
  <c r="N76" i="155"/>
  <c r="P76" i="155" s="1"/>
  <c r="N70" i="155"/>
  <c r="P70" i="155" s="1"/>
  <c r="L75" i="155"/>
  <c r="J76" i="155"/>
  <c r="J75" i="155"/>
  <c r="M76" i="155"/>
  <c r="L70" i="155"/>
  <c r="M75" i="155"/>
  <c r="K76" i="155"/>
  <c r="P158" i="154"/>
  <c r="E158" i="154" s="1"/>
  <c r="P159" i="154"/>
  <c r="E159" i="154" s="1"/>
  <c r="P160" i="154"/>
  <c r="P157" i="154"/>
  <c r="E157" i="154" s="1"/>
  <c r="P156" i="154"/>
  <c r="E156" i="154" s="1"/>
  <c r="P157" i="153"/>
  <c r="E157" i="153" s="1"/>
  <c r="P156" i="153"/>
  <c r="E156" i="153" s="1"/>
  <c r="P155" i="153"/>
  <c r="E155" i="153" s="1"/>
  <c r="P160" i="153"/>
  <c r="P158" i="153"/>
  <c r="E158" i="153" s="1"/>
  <c r="P159" i="153"/>
  <c r="E159" i="153" s="1"/>
  <c r="BY2" i="98" a="1"/>
  <c r="BY2" i="98" s="1"/>
  <c r="S160" i="155"/>
  <c r="W160" i="155" s="1"/>
  <c r="S160" i="153"/>
  <c r="W160" i="153" s="1"/>
  <c r="S160" i="154"/>
  <c r="W160" i="154" s="1"/>
  <c r="BY477" i="154"/>
  <c r="BY479" i="154"/>
  <c r="BY498" i="154"/>
  <c r="BY482" i="154" s="1"/>
  <c r="BY490" i="154" s="1"/>
  <c r="BY475" i="154"/>
  <c r="BY502" i="154"/>
  <c r="BY486" i="154" s="1"/>
  <c r="BY494" i="154" s="1"/>
  <c r="BY499" i="154"/>
  <c r="BY483" i="154" s="1"/>
  <c r="BY491" i="154" s="1"/>
  <c r="BY501" i="154"/>
  <c r="BY485" i="154" s="1"/>
  <c r="BY493" i="154" s="1"/>
  <c r="BY476" i="154"/>
  <c r="BY474" i="154"/>
  <c r="BY478" i="154"/>
  <c r="BY500" i="154"/>
  <c r="BY484" i="154" s="1"/>
  <c r="BY492" i="154" s="1"/>
  <c r="BY2" i="154" a="1"/>
  <c r="BY2" i="154" s="1"/>
  <c r="BY503" i="154"/>
  <c r="BY487" i="154" s="1"/>
  <c r="BY495" i="154" s="1"/>
  <c r="BY502" i="153"/>
  <c r="BY486" i="153" s="1"/>
  <c r="BY494" i="153" s="1"/>
  <c r="BY503" i="153"/>
  <c r="BY487" i="153" s="1"/>
  <c r="BY495" i="153" s="1"/>
  <c r="BY499" i="153"/>
  <c r="BY483" i="153" s="1"/>
  <c r="BY491" i="153" s="1"/>
  <c r="BY500" i="153"/>
  <c r="BY484" i="153" s="1"/>
  <c r="BY492" i="153" s="1"/>
  <c r="BY498" i="153"/>
  <c r="BY482" i="153" s="1"/>
  <c r="BY490" i="153" s="1"/>
  <c r="BY476" i="153"/>
  <c r="BY479" i="153"/>
  <c r="BY478" i="153"/>
  <c r="BY501" i="153"/>
  <c r="BY485" i="153" s="1"/>
  <c r="BY493" i="153" s="1"/>
  <c r="BY474" i="153"/>
  <c r="BY477" i="153"/>
  <c r="BY475" i="153"/>
  <c r="BY2" i="153" a="1"/>
  <c r="BY2" i="153" s="1"/>
  <c r="E477" i="153" l="1"/>
  <c r="E415" i="153"/>
  <c r="E331" i="153"/>
  <c r="E241" i="153"/>
  <c r="E317" i="153"/>
  <c r="E216" i="153"/>
  <c r="E485" i="153"/>
  <c r="E385" i="153"/>
  <c r="E293" i="153"/>
  <c r="E188" i="153"/>
  <c r="E442" i="153"/>
  <c r="E349" i="153"/>
  <c r="E257" i="153"/>
  <c r="E423" i="153"/>
  <c r="E265" i="153"/>
  <c r="E301" i="153"/>
  <c r="E466" i="153"/>
  <c r="E454" i="153"/>
  <c r="E377" i="153"/>
  <c r="E397" i="153"/>
  <c r="E493" i="153"/>
  <c r="E173" i="153"/>
  <c r="E273" i="153"/>
  <c r="E369" i="153"/>
  <c r="E249" i="153"/>
  <c r="E341" i="153"/>
  <c r="E208" i="153"/>
  <c r="E434" i="153"/>
  <c r="E405" i="153"/>
  <c r="E180" i="153"/>
  <c r="E200" i="153"/>
  <c r="E285" i="153"/>
  <c r="E501" i="153"/>
  <c r="E361" i="153"/>
  <c r="E309" i="153"/>
  <c r="E432" i="154"/>
  <c r="E383" i="154"/>
  <c r="E214" i="154"/>
  <c r="E440" i="154"/>
  <c r="E283" i="154"/>
  <c r="E499" i="154"/>
  <c r="E315" i="154"/>
  <c r="E375" i="154"/>
  <c r="E206" i="154"/>
  <c r="E413" i="154"/>
  <c r="E255" i="154"/>
  <c r="E186" i="154"/>
  <c r="E475" i="154"/>
  <c r="E403" i="154"/>
  <c r="E178" i="154"/>
  <c r="E291" i="154"/>
  <c r="E347" i="154"/>
  <c r="E307" i="154"/>
  <c r="E171" i="154"/>
  <c r="E329" i="154"/>
  <c r="E198" i="154"/>
  <c r="E367" i="154"/>
  <c r="E263" i="154"/>
  <c r="E271" i="154"/>
  <c r="E464" i="154"/>
  <c r="E359" i="154"/>
  <c r="E299" i="154"/>
  <c r="E491" i="154"/>
  <c r="E452" i="154"/>
  <c r="E483" i="154"/>
  <c r="E239" i="154"/>
  <c r="E395" i="154"/>
  <c r="E247" i="154"/>
  <c r="E421" i="154"/>
  <c r="E339" i="154"/>
  <c r="E433" i="154"/>
  <c r="E384" i="154"/>
  <c r="E215" i="154"/>
  <c r="E441" i="154"/>
  <c r="E284" i="154"/>
  <c r="E500" i="154"/>
  <c r="E316" i="154"/>
  <c r="E376" i="154"/>
  <c r="E207" i="154"/>
  <c r="E484" i="154"/>
  <c r="E256" i="154"/>
  <c r="E187" i="154"/>
  <c r="E308" i="154"/>
  <c r="E476" i="154"/>
  <c r="E348" i="154"/>
  <c r="E292" i="154"/>
  <c r="E404" i="154"/>
  <c r="E179" i="154"/>
  <c r="E422" i="154"/>
  <c r="E172" i="154"/>
  <c r="E272" i="154"/>
  <c r="E300" i="154"/>
  <c r="E264" i="154"/>
  <c r="E492" i="154"/>
  <c r="E396" i="154"/>
  <c r="E465" i="154"/>
  <c r="E368" i="154"/>
  <c r="E360" i="154"/>
  <c r="E240" i="154"/>
  <c r="E340" i="154"/>
  <c r="E453" i="154"/>
  <c r="E330" i="154"/>
  <c r="E199" i="154"/>
  <c r="E414" i="154"/>
  <c r="E248" i="154"/>
  <c r="E467" i="154"/>
  <c r="E502" i="154"/>
  <c r="E318" i="154"/>
  <c r="E378" i="154"/>
  <c r="E209" i="154"/>
  <c r="E435" i="154"/>
  <c r="E258" i="154"/>
  <c r="E416" i="154"/>
  <c r="E310" i="154"/>
  <c r="E478" i="154"/>
  <c r="E350" i="154"/>
  <c r="E217" i="154"/>
  <c r="E443" i="154"/>
  <c r="E342" i="154"/>
  <c r="E286" i="154"/>
  <c r="E406" i="154"/>
  <c r="E250" i="154"/>
  <c r="E181" i="154"/>
  <c r="E242" i="154"/>
  <c r="E174" i="154"/>
  <c r="E455" i="154"/>
  <c r="E201" i="154"/>
  <c r="E332" i="154"/>
  <c r="E302" i="154"/>
  <c r="E424" i="154"/>
  <c r="E189" i="154"/>
  <c r="E398" i="154"/>
  <c r="E294" i="154"/>
  <c r="E274" i="154"/>
  <c r="E386" i="154"/>
  <c r="E362" i="154"/>
  <c r="E266" i="154"/>
  <c r="E494" i="154"/>
  <c r="E370" i="154"/>
  <c r="E486" i="154"/>
  <c r="E466" i="154"/>
  <c r="E442" i="154"/>
  <c r="E341" i="154"/>
  <c r="E285" i="154"/>
  <c r="E501" i="154"/>
  <c r="E317" i="154"/>
  <c r="E377" i="154"/>
  <c r="E208" i="154"/>
  <c r="E434" i="154"/>
  <c r="E257" i="154"/>
  <c r="E415" i="154"/>
  <c r="E309" i="154"/>
  <c r="E477" i="154"/>
  <c r="E405" i="154"/>
  <c r="E249" i="154"/>
  <c r="E180" i="154"/>
  <c r="E216" i="154"/>
  <c r="E349" i="154"/>
  <c r="E423" i="154"/>
  <c r="E188" i="154"/>
  <c r="E200" i="154"/>
  <c r="E293" i="154"/>
  <c r="E301" i="154"/>
  <c r="E385" i="154"/>
  <c r="E241" i="154"/>
  <c r="E397" i="154"/>
  <c r="E485" i="154"/>
  <c r="E331" i="154"/>
  <c r="E493" i="154"/>
  <c r="E265" i="154"/>
  <c r="E361" i="154"/>
  <c r="E454" i="154"/>
  <c r="E173" i="154"/>
  <c r="E369" i="154"/>
  <c r="E273" i="154"/>
  <c r="E476" i="153"/>
  <c r="E414" i="153"/>
  <c r="E316" i="153"/>
  <c r="E215" i="153"/>
  <c r="E484" i="153"/>
  <c r="E384" i="153"/>
  <c r="E292" i="153"/>
  <c r="E187" i="153"/>
  <c r="E441" i="153"/>
  <c r="E348" i="153"/>
  <c r="E256" i="153"/>
  <c r="E453" i="153"/>
  <c r="E300" i="153"/>
  <c r="E308" i="153"/>
  <c r="E360" i="153"/>
  <c r="E492" i="153"/>
  <c r="E404" i="153"/>
  <c r="E207" i="153"/>
  <c r="E199" i="153"/>
  <c r="E264" i="153"/>
  <c r="E396" i="153"/>
  <c r="E240" i="153"/>
  <c r="E340" i="153"/>
  <c r="E433" i="153"/>
  <c r="E330" i="153"/>
  <c r="E422" i="153"/>
  <c r="E368" i="153"/>
  <c r="E284" i="153"/>
  <c r="E465" i="153"/>
  <c r="E376" i="153"/>
  <c r="E500" i="153"/>
  <c r="E248" i="153"/>
  <c r="E172" i="153"/>
  <c r="E272" i="153"/>
  <c r="E179" i="153"/>
  <c r="E451" i="153"/>
  <c r="E358" i="153"/>
  <c r="E338" i="153"/>
  <c r="E246" i="153"/>
  <c r="E394" i="153"/>
  <c r="E346" i="153"/>
  <c r="E197" i="153"/>
  <c r="E262" i="153"/>
  <c r="E254" i="153"/>
  <c r="E420" i="153"/>
  <c r="E270" i="153"/>
  <c r="E185" i="153"/>
  <c r="E170" i="153"/>
  <c r="E490" i="153"/>
  <c r="E298" i="153"/>
  <c r="E328" i="153"/>
  <c r="E238" i="153"/>
  <c r="E474" i="153"/>
  <c r="E482" i="153"/>
  <c r="E282" i="153"/>
  <c r="E382" i="153"/>
  <c r="E314" i="153"/>
  <c r="E439" i="153"/>
  <c r="E290" i="153"/>
  <c r="E374" i="153"/>
  <c r="E412" i="153"/>
  <c r="E177" i="153"/>
  <c r="E213" i="153"/>
  <c r="E498" i="153"/>
  <c r="E402" i="153"/>
  <c r="E306" i="153"/>
  <c r="E431" i="153"/>
  <c r="E463" i="153"/>
  <c r="E366" i="153"/>
  <c r="E205" i="153"/>
  <c r="E440" i="153"/>
  <c r="E413" i="153"/>
  <c r="E491" i="153"/>
  <c r="E315" i="153"/>
  <c r="E395" i="153"/>
  <c r="E214" i="153"/>
  <c r="E299" i="153"/>
  <c r="E483" i="153"/>
  <c r="E198" i="153"/>
  <c r="E383" i="153"/>
  <c r="E291" i="153"/>
  <c r="E452" i="153"/>
  <c r="E186" i="153"/>
  <c r="E359" i="153"/>
  <c r="E263" i="153"/>
  <c r="E421" i="153"/>
  <c r="E347" i="153"/>
  <c r="E367" i="153"/>
  <c r="E247" i="153"/>
  <c r="E464" i="153"/>
  <c r="E339" i="153"/>
  <c r="E206" i="153"/>
  <c r="E432" i="153"/>
  <c r="E178" i="153"/>
  <c r="E403" i="153"/>
  <c r="E283" i="153"/>
  <c r="E239" i="153"/>
  <c r="E171" i="153"/>
  <c r="E329" i="153"/>
  <c r="E475" i="153"/>
  <c r="E255" i="153"/>
  <c r="E271" i="153"/>
  <c r="E499" i="153"/>
  <c r="E375" i="153"/>
  <c r="E307" i="153"/>
  <c r="E416" i="153"/>
  <c r="E201" i="153"/>
  <c r="E318" i="153"/>
  <c r="E424" i="153"/>
  <c r="E406" i="153"/>
  <c r="E486" i="153"/>
  <c r="E209" i="153"/>
  <c r="E294" i="153"/>
  <c r="E435" i="153"/>
  <c r="E189" i="153"/>
  <c r="E342" i="153"/>
  <c r="E443" i="153"/>
  <c r="E467" i="153"/>
  <c r="E258" i="153"/>
  <c r="E250" i="153"/>
  <c r="E370" i="153"/>
  <c r="E274" i="153"/>
  <c r="E174" i="153"/>
  <c r="E217" i="153"/>
  <c r="E494" i="153"/>
  <c r="E398" i="153"/>
  <c r="E302" i="153"/>
  <c r="E332" i="153"/>
  <c r="E455" i="153"/>
  <c r="E242" i="153"/>
  <c r="E362" i="153"/>
  <c r="E266" i="153"/>
  <c r="E386" i="153"/>
  <c r="E350" i="153"/>
  <c r="E478" i="153"/>
  <c r="E378" i="153"/>
  <c r="E286" i="153"/>
  <c r="E181" i="153"/>
  <c r="E502" i="153"/>
  <c r="E310" i="153"/>
  <c r="P155" i="154"/>
  <c r="E155" i="154" s="1"/>
  <c r="J76" i="154"/>
  <c r="J75" i="154"/>
  <c r="K75" i="154"/>
  <c r="K70" i="154"/>
  <c r="L76" i="154"/>
  <c r="J70" i="154"/>
  <c r="N70" i="154"/>
  <c r="P70" i="154" s="1"/>
  <c r="M76" i="154"/>
  <c r="K76" i="154"/>
  <c r="M75" i="154"/>
  <c r="N75" i="154"/>
  <c r="P75" i="154" s="1"/>
  <c r="L70" i="154"/>
  <c r="N76" i="154"/>
  <c r="P76" i="154" s="1"/>
  <c r="L75" i="154"/>
  <c r="M70" i="154"/>
  <c r="M75" i="153"/>
  <c r="K70" i="153"/>
  <c r="J75" i="153"/>
  <c r="K76" i="153"/>
  <c r="N75" i="153"/>
  <c r="P75" i="153" s="1"/>
  <c r="M76" i="153"/>
  <c r="N70" i="153"/>
  <c r="P70" i="153" s="1"/>
  <c r="M70" i="153"/>
  <c r="K75" i="153"/>
  <c r="J70" i="153"/>
  <c r="L70" i="153"/>
  <c r="J76" i="153"/>
  <c r="N76" i="153"/>
  <c r="P76" i="153" s="1"/>
  <c r="L75" i="153"/>
  <c r="L76" i="153"/>
  <c r="E498" i="154" l="1"/>
  <c r="E382" i="154"/>
  <c r="E213" i="154"/>
  <c r="E439" i="154"/>
  <c r="E282" i="154"/>
  <c r="E262" i="154"/>
  <c r="E314" i="154"/>
  <c r="E482" i="154"/>
  <c r="E374" i="154"/>
  <c r="E358" i="154"/>
  <c r="E474" i="154"/>
  <c r="E451" i="154"/>
  <c r="E346" i="154"/>
  <c r="E290" i="154"/>
  <c r="E177" i="154"/>
  <c r="E412" i="154"/>
  <c r="E254" i="154"/>
  <c r="E185" i="154"/>
  <c r="E431" i="154"/>
  <c r="E205" i="154"/>
  <c r="E328" i="154"/>
  <c r="E270" i="154"/>
  <c r="E338" i="154"/>
  <c r="E490" i="154"/>
  <c r="E246" i="154"/>
  <c r="E366" i="154"/>
  <c r="E463" i="154"/>
  <c r="E238" i="154"/>
  <c r="E197" i="154"/>
  <c r="E420" i="154"/>
  <c r="E170" i="154"/>
  <c r="E394" i="154"/>
  <c r="E306" i="154"/>
  <c r="E402" i="154"/>
  <c r="E298" i="154"/>
  <c r="K22" i="152"/>
  <c r="J22" i="152"/>
  <c r="I22" i="152"/>
  <c r="H22" i="152"/>
  <c r="G22" i="152"/>
  <c r="F22" i="152"/>
  <c r="H127" i="34"/>
  <c r="H126" i="34"/>
  <c r="H125" i="34"/>
  <c r="H124" i="34"/>
  <c r="H123" i="34"/>
  <c r="H122" i="34"/>
  <c r="H121" i="34"/>
  <c r="H120" i="34"/>
  <c r="H119" i="34"/>
  <c r="H118" i="34"/>
  <c r="I155" i="104" s="1"/>
  <c r="N3" i="99"/>
  <c r="M3" i="99"/>
  <c r="L3" i="99"/>
  <c r="K3" i="99"/>
  <c r="J3" i="99"/>
  <c r="I3" i="99"/>
  <c r="Z155" i="155" l="1" a="1"/>
  <c r="Z155" i="155" s="1"/>
  <c r="Z155" i="154" a="1"/>
  <c r="Z155" i="154" s="1"/>
  <c r="Z155" i="153" a="1"/>
  <c r="Z155" i="153" s="1"/>
  <c r="AB155" i="153" a="1"/>
  <c r="AB155" i="153" s="1"/>
  <c r="AB155" i="155" a="1"/>
  <c r="AB155" i="155" s="1"/>
  <c r="AB155" i="154" a="1"/>
  <c r="AB155" i="154" s="1"/>
  <c r="AC155" i="153" a="1"/>
  <c r="AC155" i="153" s="1"/>
  <c r="AC155" i="155" a="1"/>
  <c r="AC155" i="155" s="1"/>
  <c r="AC155" i="154" a="1"/>
  <c r="AC155" i="154" s="1"/>
  <c r="P3" i="99"/>
  <c r="AC157" i="154" l="1"/>
  <c r="AC156" i="154"/>
  <c r="AC158" i="154"/>
  <c r="AC160" i="154"/>
  <c r="AC159" i="154"/>
  <c r="Z159" i="153"/>
  <c r="Z160" i="153"/>
  <c r="Z157" i="153"/>
  <c r="Z158" i="153"/>
  <c r="Z156" i="153"/>
  <c r="AC159" i="155"/>
  <c r="AC157" i="155"/>
  <c r="AC156" i="155"/>
  <c r="AC158" i="155"/>
  <c r="AC160" i="155"/>
  <c r="Z160" i="154"/>
  <c r="Z159" i="154"/>
  <c r="Z158" i="154"/>
  <c r="Z157" i="154"/>
  <c r="Z156" i="154"/>
  <c r="AB156" i="154"/>
  <c r="AB160" i="154"/>
  <c r="AB157" i="154"/>
  <c r="AB158" i="154"/>
  <c r="AB159" i="154"/>
  <c r="AC156" i="153"/>
  <c r="AC157" i="153"/>
  <c r="AC160" i="153"/>
  <c r="AC158" i="153"/>
  <c r="AC159" i="153"/>
  <c r="Z156" i="155"/>
  <c r="Z157" i="155"/>
  <c r="Z159" i="155"/>
  <c r="Z160" i="155"/>
  <c r="Z158" i="155"/>
  <c r="AB159" i="155"/>
  <c r="AB156" i="155"/>
  <c r="AB160" i="155"/>
  <c r="AB158" i="155"/>
  <c r="AB157" i="155"/>
  <c r="AB159" i="153"/>
  <c r="AB156" i="153"/>
  <c r="AB157" i="153"/>
  <c r="AB160" i="153"/>
  <c r="AB158" i="153"/>
  <c r="F65" i="34" l="1"/>
  <c r="AH55" i="34"/>
  <c r="AG55" i="34"/>
  <c r="AF55" i="34"/>
  <c r="AE55" i="34"/>
  <c r="AD55" i="34"/>
  <c r="AC55" i="34"/>
  <c r="Z55" i="34"/>
  <c r="Y55" i="34"/>
  <c r="X55" i="34"/>
  <c r="W55" i="34"/>
  <c r="V55" i="34"/>
  <c r="U55" i="34"/>
  <c r="R55" i="34"/>
  <c r="Q55" i="34"/>
  <c r="P55" i="34"/>
  <c r="O55" i="34"/>
  <c r="N55" i="34"/>
  <c r="M55" i="34"/>
  <c r="J55" i="34"/>
  <c r="I55" i="34"/>
  <c r="H55" i="34"/>
  <c r="G55" i="34"/>
  <c r="F55" i="34"/>
  <c r="F66" i="34" s="1"/>
  <c r="E55" i="34"/>
  <c r="I74" i="155" l="1"/>
  <c r="I74" i="154"/>
  <c r="I68" i="155"/>
  <c r="I68" i="153"/>
  <c r="I68" i="154"/>
  <c r="I74" i="99"/>
  <c r="AG66" i="34"/>
  <c r="AH66" i="34"/>
  <c r="AF66" i="34"/>
  <c r="G66" i="34"/>
  <c r="P66" i="34"/>
  <c r="Q66" i="34"/>
  <c r="O66" i="34"/>
  <c r="R66" i="34"/>
  <c r="H66" i="34"/>
  <c r="W66" i="34"/>
  <c r="X66" i="34"/>
  <c r="V66" i="34"/>
  <c r="Y66" i="34"/>
  <c r="Z66" i="34"/>
  <c r="J66" i="34"/>
  <c r="I66" i="34"/>
  <c r="N66" i="34"/>
  <c r="AD66" i="34"/>
  <c r="AE66" i="34"/>
  <c r="P564" i="153" l="1"/>
  <c r="P564" i="154"/>
  <c r="P564" i="155"/>
  <c r="I11" i="151" l="1"/>
  <c r="R44" i="151" l="1"/>
  <c r="T44" i="151"/>
  <c r="T45" i="151" s="1"/>
  <c r="S44" i="151"/>
  <c r="S45" i="151" s="1"/>
  <c r="U44" i="151"/>
  <c r="U45" i="151" s="1"/>
  <c r="V44" i="151"/>
  <c r="V45" i="151" s="1"/>
  <c r="W44" i="151"/>
  <c r="W45" i="151" s="1"/>
  <c r="X44" i="151"/>
  <c r="X45" i="151" s="1"/>
  <c r="Y44" i="151"/>
  <c r="Y45" i="151" s="1"/>
  <c r="Z44" i="151"/>
  <c r="Z45" i="151" s="1"/>
  <c r="AA44" i="151"/>
  <c r="AA45" i="151" s="1"/>
  <c r="AB44" i="151"/>
  <c r="AB45" i="151" s="1"/>
  <c r="AC44" i="151"/>
  <c r="AC45" i="151" s="1"/>
  <c r="AD44" i="151"/>
  <c r="AE44" i="151"/>
  <c r="AE45" i="151" s="1"/>
  <c r="AF44" i="151"/>
  <c r="AF45" i="151" s="1"/>
  <c r="AG44" i="151"/>
  <c r="AG45" i="151" s="1"/>
  <c r="AH44" i="151"/>
  <c r="AH45" i="151" s="1"/>
  <c r="AI44" i="151"/>
  <c r="AI45" i="151" s="1"/>
  <c r="AJ44" i="151"/>
  <c r="AJ45" i="151" s="1"/>
  <c r="AK44" i="151"/>
  <c r="AK45" i="151" s="1"/>
  <c r="AL44" i="151"/>
  <c r="AL45" i="151" s="1"/>
  <c r="AM44" i="151"/>
  <c r="AM45" i="151" s="1"/>
  <c r="AN44" i="151"/>
  <c r="AN45" i="151" s="1"/>
  <c r="AO44" i="151"/>
  <c r="AO45" i="151" s="1"/>
  <c r="AP44" i="151"/>
  <c r="AQ44" i="151"/>
  <c r="AQ45" i="151" s="1"/>
  <c r="AR44" i="151"/>
  <c r="AR45" i="151" s="1"/>
  <c r="AS44" i="151"/>
  <c r="AS45" i="151" s="1"/>
  <c r="AT44" i="151"/>
  <c r="AT45" i="151" s="1"/>
  <c r="AU44" i="151"/>
  <c r="AU45" i="151" s="1"/>
  <c r="AV44" i="151"/>
  <c r="AV45" i="151" s="1"/>
  <c r="AW44" i="151"/>
  <c r="AW45" i="151" s="1"/>
  <c r="AX44" i="151"/>
  <c r="AX45" i="151" s="1"/>
  <c r="AY44" i="151"/>
  <c r="AY45" i="151" s="1"/>
  <c r="AZ44" i="151"/>
  <c r="AZ45" i="151" s="1"/>
  <c r="BA44" i="151"/>
  <c r="BA45" i="151" s="1"/>
  <c r="BB44" i="151"/>
  <c r="BC44" i="151"/>
  <c r="BC45" i="151" s="1"/>
  <c r="BD44" i="151"/>
  <c r="BD45" i="151" s="1"/>
  <c r="BE44" i="151"/>
  <c r="BE45" i="151" s="1"/>
  <c r="BF44" i="151"/>
  <c r="BF45" i="151" s="1"/>
  <c r="BG44" i="151"/>
  <c r="BG45" i="151" s="1"/>
  <c r="BH44" i="151"/>
  <c r="BH45" i="151" s="1"/>
  <c r="BI44" i="151"/>
  <c r="BI45" i="151" s="1"/>
  <c r="BJ44" i="151"/>
  <c r="BJ45" i="151" s="1"/>
  <c r="BK44" i="151"/>
  <c r="BK45" i="151" s="1"/>
  <c r="BL44" i="151"/>
  <c r="BL45" i="151" s="1"/>
  <c r="BM44" i="151"/>
  <c r="BM45" i="151" s="1"/>
  <c r="BN44" i="151"/>
  <c r="BO44" i="151"/>
  <c r="BO45" i="151" s="1"/>
  <c r="BP44" i="151"/>
  <c r="BP45" i="151" s="1"/>
  <c r="BQ44" i="151"/>
  <c r="BQ45" i="151" s="1"/>
  <c r="BR44" i="151"/>
  <c r="BR45" i="151" s="1"/>
  <c r="BS44" i="151"/>
  <c r="BS45" i="151" s="1"/>
  <c r="BT44" i="151"/>
  <c r="BT45" i="151" s="1"/>
  <c r="BU44" i="151"/>
  <c r="BU45" i="151" s="1"/>
  <c r="BV44" i="151"/>
  <c r="BV45" i="151" s="1"/>
  <c r="BW44" i="151"/>
  <c r="BW45" i="151" s="1"/>
  <c r="Q44" i="151"/>
  <c r="I44" i="151" l="1"/>
  <c r="D87" i="294" s="1"/>
  <c r="AD45" i="151"/>
  <c r="K45" i="151" s="1"/>
  <c r="F88" i="294" s="1"/>
  <c r="K44" i="151"/>
  <c r="F87" i="294" s="1"/>
  <c r="BN45" i="151"/>
  <c r="AP45" i="151"/>
  <c r="L44" i="151"/>
  <c r="G87" i="294" s="1"/>
  <c r="J44" i="151"/>
  <c r="E87" i="294" s="1"/>
  <c r="R45" i="151"/>
  <c r="J45" i="151" s="1"/>
  <c r="E88" i="294" s="1"/>
  <c r="BB45" i="151"/>
  <c r="M45" i="151" s="1"/>
  <c r="H88" i="294" s="1"/>
  <c r="M44" i="151"/>
  <c r="H87" i="294" s="1"/>
  <c r="L45" i="151" l="1"/>
  <c r="G88" i="294" s="1"/>
  <c r="I153" i="103" l="1"/>
  <c r="I70" i="103" s="1"/>
  <c r="N70" i="105" s="1"/>
  <c r="I35" i="151" s="1"/>
  <c r="I167" i="104" l="1"/>
  <c r="I166" i="104" a="1"/>
  <c r="I166" i="104" s="1"/>
  <c r="E156" i="104"/>
  <c r="E157" i="104" s="1"/>
  <c r="J155" i="104" a="1"/>
  <c r="J155" i="104" s="1"/>
  <c r="K155" i="104" l="1"/>
  <c r="E158" i="104"/>
  <c r="E159" i="104" l="1"/>
  <c r="E160" i="104" l="1"/>
  <c r="E161" i="104" l="1"/>
  <c r="E162" i="104" l="1"/>
  <c r="E163" i="104" l="1"/>
  <c r="E164" i="104" l="1"/>
  <c r="R7" i="98" l="1"/>
  <c r="S7" i="98" s="1"/>
  <c r="T7" i="98" s="1"/>
  <c r="U7" i="98" s="1"/>
  <c r="V7" i="98" s="1"/>
  <c r="W7" i="98" s="1"/>
  <c r="X7" i="98" s="1"/>
  <c r="Y7" i="98" s="1"/>
  <c r="Z7" i="98" s="1"/>
  <c r="AA7" i="98" s="1"/>
  <c r="AB7" i="98" s="1"/>
  <c r="AC7" i="98" s="1"/>
  <c r="AD7" i="98" s="1"/>
  <c r="AE7" i="98" s="1"/>
  <c r="AF7" i="98" s="1"/>
  <c r="AG7" i="98" s="1"/>
  <c r="AH7" i="98" s="1"/>
  <c r="AI7" i="98" s="1"/>
  <c r="AJ7" i="98" s="1"/>
  <c r="AK7" i="98" s="1"/>
  <c r="AL7" i="98" s="1"/>
  <c r="AM7" i="98" s="1"/>
  <c r="AN7" i="98" s="1"/>
  <c r="AO7" i="98" s="1"/>
  <c r="AP7" i="98" s="1"/>
  <c r="AQ7" i="98" s="1"/>
  <c r="AR7" i="98" s="1"/>
  <c r="AS7" i="98" s="1"/>
  <c r="AT7" i="98" s="1"/>
  <c r="AU7" i="98" s="1"/>
  <c r="AV7" i="98" s="1"/>
  <c r="AW7" i="98" s="1"/>
  <c r="AX7" i="98" s="1"/>
  <c r="AY7" i="98" s="1"/>
  <c r="AZ7" i="98" s="1"/>
  <c r="BA7" i="98" s="1"/>
  <c r="BB7" i="98" s="1"/>
  <c r="BC7" i="98" s="1"/>
  <c r="BD7" i="98" s="1"/>
  <c r="BE7" i="98" s="1"/>
  <c r="BF7" i="98" s="1"/>
  <c r="BG7" i="98" s="1"/>
  <c r="BH7" i="98" s="1"/>
  <c r="BI7" i="98" s="1"/>
  <c r="BJ7" i="98" s="1"/>
  <c r="BK7" i="98" s="1"/>
  <c r="BL7" i="98" s="1"/>
  <c r="BM7" i="98" s="1"/>
  <c r="BN7" i="98" s="1"/>
  <c r="BO7" i="98" s="1"/>
  <c r="BP7" i="98" s="1"/>
  <c r="BQ7" i="98" s="1"/>
  <c r="BR7" i="98" s="1"/>
  <c r="BS7" i="98" s="1"/>
  <c r="BT7" i="98" s="1"/>
  <c r="BU7" i="98" s="1"/>
  <c r="BV7" i="98" s="1"/>
  <c r="BW7" i="98" s="1"/>
  <c r="BX7" i="98" s="1"/>
  <c r="BY7" i="98" s="1"/>
  <c r="C27" i="46"/>
  <c r="C26" i="46"/>
  <c r="C25" i="46"/>
  <c r="I150" i="104"/>
  <c r="I149" i="104"/>
  <c r="I148" i="104"/>
  <c r="I147" i="104"/>
  <c r="I82" i="104"/>
  <c r="BY82" i="103"/>
  <c r="BX82" i="103"/>
  <c r="BW82" i="103"/>
  <c r="BV82" i="103"/>
  <c r="BU82" i="103"/>
  <c r="BT82" i="103"/>
  <c r="BS82" i="103"/>
  <c r="BR82" i="103"/>
  <c r="BQ82" i="103"/>
  <c r="BP82" i="103"/>
  <c r="BO82" i="103"/>
  <c r="BN82" i="103"/>
  <c r="BM82" i="103"/>
  <c r="BL82" i="103"/>
  <c r="BK82" i="103"/>
  <c r="BJ82" i="103"/>
  <c r="BI82" i="103"/>
  <c r="BH82" i="103"/>
  <c r="BG82" i="103"/>
  <c r="BF82" i="103"/>
  <c r="BE82" i="103"/>
  <c r="BD82" i="103"/>
  <c r="BC82" i="103"/>
  <c r="BB82" i="103"/>
  <c r="BA82" i="103"/>
  <c r="AZ82" i="103"/>
  <c r="AY82" i="103"/>
  <c r="AX82" i="103"/>
  <c r="AW82" i="103"/>
  <c r="AV82" i="103"/>
  <c r="AU82" i="103"/>
  <c r="AT82" i="103"/>
  <c r="AS82" i="103"/>
  <c r="AR82" i="103"/>
  <c r="AQ82" i="103"/>
  <c r="AP82" i="103"/>
  <c r="AO82" i="103"/>
  <c r="AN82" i="103"/>
  <c r="AM82" i="103"/>
  <c r="AL82" i="103"/>
  <c r="AK82" i="103"/>
  <c r="AJ82" i="103"/>
  <c r="AI82" i="103"/>
  <c r="AH82" i="103"/>
  <c r="AG82" i="103"/>
  <c r="AF82" i="103"/>
  <c r="AE82" i="103"/>
  <c r="AD82" i="103"/>
  <c r="AC82" i="103"/>
  <c r="AB82" i="103"/>
  <c r="AA82" i="103"/>
  <c r="Z82" i="103"/>
  <c r="Y82" i="103"/>
  <c r="X82" i="103"/>
  <c r="W82" i="103"/>
  <c r="V82" i="103"/>
  <c r="U82" i="103"/>
  <c r="T82" i="103"/>
  <c r="S82" i="103"/>
  <c r="R82" i="103"/>
  <c r="N82" i="103"/>
  <c r="M82" i="103"/>
  <c r="L82" i="103"/>
  <c r="K82" i="103"/>
  <c r="J82" i="103"/>
  <c r="I82" i="103"/>
  <c r="AC13" i="103"/>
  <c r="AB13" i="103"/>
  <c r="AA13" i="103"/>
  <c r="Z13" i="103"/>
  <c r="Y13" i="103"/>
  <c r="X13" i="103"/>
  <c r="W13" i="103"/>
  <c r="V13" i="103"/>
  <c r="U13" i="103"/>
  <c r="T13" i="103"/>
  <c r="S13" i="103"/>
  <c r="R13" i="103"/>
  <c r="J13" i="103"/>
  <c r="P630" i="99"/>
  <c r="P629" i="99"/>
  <c r="P628" i="99"/>
  <c r="P624" i="99"/>
  <c r="P566" i="99"/>
  <c r="P564" i="99"/>
  <c r="P560" i="99"/>
  <c r="Y527" i="99"/>
  <c r="W527" i="99"/>
  <c r="AE155" i="99"/>
  <c r="AE156" i="99" s="1"/>
  <c r="AF156" i="99" s="1"/>
  <c r="AC155" i="99" a="1"/>
  <c r="AC155" i="99" s="1"/>
  <c r="AC156" i="99" s="1"/>
  <c r="AB155" i="99" a="1"/>
  <c r="AB155" i="99" s="1"/>
  <c r="AB156" i="99" s="1"/>
  <c r="AA155" i="99" a="1"/>
  <c r="AA155" i="99" s="1"/>
  <c r="Z155" i="99" a="1"/>
  <c r="Z155" i="99" s="1"/>
  <c r="U155" i="99"/>
  <c r="T155" i="99"/>
  <c r="T156" i="99" s="1"/>
  <c r="T157" i="99" s="1"/>
  <c r="T158" i="99" s="1"/>
  <c r="T159" i="99" s="1"/>
  <c r="T160" i="99" s="1"/>
  <c r="R4" i="99"/>
  <c r="I31" i="69"/>
  <c r="I30" i="69"/>
  <c r="I29" i="69"/>
  <c r="I28" i="69"/>
  <c r="I27" i="69"/>
  <c r="I26" i="69"/>
  <c r="I25" i="69"/>
  <c r="I24" i="69"/>
  <c r="I23" i="69"/>
  <c r="D23" i="69"/>
  <c r="D24" i="69" s="1"/>
  <c r="D25" i="69" s="1"/>
  <c r="D26" i="69" s="1"/>
  <c r="D27" i="69" s="1"/>
  <c r="D28" i="69" s="1"/>
  <c r="D29" i="69" s="1"/>
  <c r="D30" i="69" s="1"/>
  <c r="D31" i="69" s="1"/>
  <c r="I22" i="69"/>
  <c r="D8" i="69"/>
  <c r="D9" i="69" s="1"/>
  <c r="D10" i="69" s="1"/>
  <c r="D11" i="69" s="1"/>
  <c r="D12" i="69" s="1"/>
  <c r="D13" i="69" s="1"/>
  <c r="D14" i="69" s="1"/>
  <c r="D15" i="69" s="1"/>
  <c r="D16" i="69" s="1"/>
  <c r="R4" i="69"/>
  <c r="E29" i="72"/>
  <c r="E28" i="72"/>
  <c r="E27" i="72"/>
  <c r="E26" i="72"/>
  <c r="E25" i="72"/>
  <c r="S40" i="72" s="1"/>
  <c r="E24" i="72"/>
  <c r="E22" i="72"/>
  <c r="E21" i="72"/>
  <c r="E20" i="72"/>
  <c r="S43" i="72" s="1"/>
  <c r="E19" i="72"/>
  <c r="E14" i="72"/>
  <c r="S6" i="72"/>
  <c r="D163" i="34"/>
  <c r="D164" i="34" s="1"/>
  <c r="D165" i="34" s="1"/>
  <c r="D166" i="34" s="1"/>
  <c r="D167" i="34" s="1"/>
  <c r="D168" i="34" s="1"/>
  <c r="D169" i="34" s="1"/>
  <c r="D170" i="34" s="1"/>
  <c r="D171" i="34" s="1"/>
  <c r="E142" i="34"/>
  <c r="E141" i="34"/>
  <c r="E9" i="72" s="1"/>
  <c r="F132" i="34"/>
  <c r="F128" i="34"/>
  <c r="D119" i="34"/>
  <c r="F101" i="34"/>
  <c r="AC78" i="34"/>
  <c r="U78" i="34"/>
  <c r="M78" i="34"/>
  <c r="E78" i="34"/>
  <c r="AC77" i="34"/>
  <c r="U77" i="34"/>
  <c r="M77" i="34"/>
  <c r="I65" i="34"/>
  <c r="AD64" i="34"/>
  <c r="AH64" i="34" s="1"/>
  <c r="V64" i="34"/>
  <c r="Z64" i="34" s="1"/>
  <c r="N64" i="34"/>
  <c r="J64" i="34"/>
  <c r="H64" i="34"/>
  <c r="G64" i="34"/>
  <c r="AD62" i="34"/>
  <c r="AF62" i="34" s="1"/>
  <c r="V62" i="34"/>
  <c r="Z62" i="34" s="1"/>
  <c r="N62" i="34"/>
  <c r="R62" i="34" s="1"/>
  <c r="F62" i="34"/>
  <c r="F63" i="34" s="1"/>
  <c r="H61" i="34"/>
  <c r="G61" i="34"/>
  <c r="J46" i="34"/>
  <c r="I46" i="34"/>
  <c r="H46" i="34"/>
  <c r="G46" i="34"/>
  <c r="F46" i="34"/>
  <c r="I156" i="104" l="1"/>
  <c r="W13" i="105"/>
  <c r="AD13" i="105"/>
  <c r="X13" i="105"/>
  <c r="Z13" i="105"/>
  <c r="AA13" i="105"/>
  <c r="AB13" i="105"/>
  <c r="AE13" i="105"/>
  <c r="AG13" i="105"/>
  <c r="Y13" i="105"/>
  <c r="AC13" i="105"/>
  <c r="AF13" i="105"/>
  <c r="AH13" i="105"/>
  <c r="B4" i="154"/>
  <c r="C506" i="154" s="1"/>
  <c r="B4" i="155"/>
  <c r="C506" i="155" s="1"/>
  <c r="B4" i="99"/>
  <c r="C506" i="99" s="1"/>
  <c r="B3" i="154"/>
  <c r="C565" i="154" s="1" a="1"/>
  <c r="C565" i="154" s="1"/>
  <c r="B4" i="153"/>
  <c r="C506" i="153" s="1"/>
  <c r="B3" i="155"/>
  <c r="C565" i="155" s="1" a="1"/>
  <c r="C565" i="155" s="1"/>
  <c r="B3" i="153"/>
  <c r="D83" i="294"/>
  <c r="E18" i="72"/>
  <c r="R2" i="69" a="1"/>
  <c r="R2" i="69" s="1"/>
  <c r="R7" i="69"/>
  <c r="S48" i="72"/>
  <c r="S4" i="72" a="1"/>
  <c r="S4" i="72" s="1"/>
  <c r="S47" i="72"/>
  <c r="S37" i="72"/>
  <c r="S36" i="72"/>
  <c r="E120" i="34"/>
  <c r="R48" i="72"/>
  <c r="R47" i="72"/>
  <c r="BS40" i="72"/>
  <c r="R40" i="72"/>
  <c r="BP43" i="72"/>
  <c r="R43" i="72"/>
  <c r="R45" i="72"/>
  <c r="S3" i="69"/>
  <c r="S4" i="69" s="1"/>
  <c r="S15" i="69" s="1"/>
  <c r="S3" i="99"/>
  <c r="S4" i="99" s="1"/>
  <c r="R2" i="99" a="1"/>
  <c r="R2" i="99" s="1"/>
  <c r="T5" i="72"/>
  <c r="T6" i="72" s="1"/>
  <c r="K8" i="98"/>
  <c r="L8" i="98"/>
  <c r="J8" i="98"/>
  <c r="R8" i="98" s="1"/>
  <c r="S8" i="98" s="1"/>
  <c r="T8" i="98" s="1"/>
  <c r="U8" i="98" s="1"/>
  <c r="V8" i="98" s="1"/>
  <c r="W8" i="98" s="1"/>
  <c r="X8" i="98" s="1"/>
  <c r="Y8" i="98" s="1"/>
  <c r="Z8" i="98" s="1"/>
  <c r="AA8" i="98" s="1"/>
  <c r="AB8" i="98" s="1"/>
  <c r="AC8" i="98" s="1"/>
  <c r="M8" i="98"/>
  <c r="N8" i="98"/>
  <c r="J6" i="98"/>
  <c r="R6" i="98" s="1"/>
  <c r="S6" i="98" s="1"/>
  <c r="K6" i="98"/>
  <c r="L6" i="98"/>
  <c r="M6" i="98"/>
  <c r="N6" i="98"/>
  <c r="J62" i="34"/>
  <c r="J63" i="34" s="1"/>
  <c r="P64" i="34"/>
  <c r="R15" i="69"/>
  <c r="R8" i="69"/>
  <c r="R9" i="69"/>
  <c r="D78" i="294"/>
  <c r="B3" i="99"/>
  <c r="C565" i="99" s="1" a="1"/>
  <c r="C565" i="99" s="1"/>
  <c r="O62" i="34"/>
  <c r="O63" i="34" s="1"/>
  <c r="P62" i="34"/>
  <c r="P63" i="34" s="1"/>
  <c r="R14" i="69"/>
  <c r="AE62" i="34"/>
  <c r="AE63" i="34" s="1"/>
  <c r="AG62" i="34"/>
  <c r="AG63" i="34" s="1"/>
  <c r="R16" i="69"/>
  <c r="AH62" i="34"/>
  <c r="AH63" i="34" s="1"/>
  <c r="H62" i="34"/>
  <c r="B4" i="103"/>
  <c r="U158" i="99"/>
  <c r="AE160" i="99"/>
  <c r="AF160" i="99" s="1"/>
  <c r="AE158" i="99"/>
  <c r="AF158" i="99" s="1"/>
  <c r="K4" i="99"/>
  <c r="R10" i="69"/>
  <c r="R64" i="34"/>
  <c r="G62" i="34"/>
  <c r="AG64" i="34"/>
  <c r="AG65" i="34" s="1"/>
  <c r="AD40" i="72"/>
  <c r="AV43" i="72"/>
  <c r="Q64" i="34"/>
  <c r="Q62" i="34"/>
  <c r="Q63" i="34" s="1"/>
  <c r="U157" i="99"/>
  <c r="W62" i="34"/>
  <c r="W63" i="34" s="1"/>
  <c r="R12" i="69"/>
  <c r="J22" i="69"/>
  <c r="I62" i="34"/>
  <c r="N65" i="34"/>
  <c r="AO13" i="103"/>
  <c r="AN13" i="103"/>
  <c r="AL13" i="103"/>
  <c r="AK13" i="103"/>
  <c r="AJ13" i="103"/>
  <c r="AI13" i="103"/>
  <c r="AH13" i="103"/>
  <c r="K13" i="103"/>
  <c r="AG13" i="103"/>
  <c r="AF13" i="103"/>
  <c r="AE13" i="103"/>
  <c r="AD13" i="103"/>
  <c r="AM13" i="103"/>
  <c r="O64" i="34"/>
  <c r="N63" i="34"/>
  <c r="V65" i="34"/>
  <c r="J156" i="104" a="1"/>
  <c r="J156" i="104" s="1"/>
  <c r="K156" i="104" s="1"/>
  <c r="R63" i="34"/>
  <c r="W64" i="34"/>
  <c r="V63" i="34"/>
  <c r="X64" i="34"/>
  <c r="Y64" i="34"/>
  <c r="Y65" i="34" s="1"/>
  <c r="X62" i="34"/>
  <c r="X63" i="34" s="1"/>
  <c r="Y62" i="34"/>
  <c r="Y63" i="34" s="1"/>
  <c r="AD65" i="34"/>
  <c r="Z63" i="34"/>
  <c r="AE64" i="34"/>
  <c r="D120" i="34"/>
  <c r="D121" i="34" s="1"/>
  <c r="D122" i="34" s="1"/>
  <c r="D123" i="34" s="1"/>
  <c r="D124" i="34" s="1"/>
  <c r="D125" i="34" s="1"/>
  <c r="D126" i="34" s="1"/>
  <c r="D127" i="34" s="1"/>
  <c r="AD63" i="34"/>
  <c r="AF64" i="34"/>
  <c r="AF65" i="34" s="1"/>
  <c r="AF63" i="34"/>
  <c r="AE40" i="72"/>
  <c r="AX40" i="72"/>
  <c r="AY40" i="72"/>
  <c r="BR40" i="72"/>
  <c r="AB43" i="72"/>
  <c r="AC43" i="72"/>
  <c r="AW43" i="72"/>
  <c r="BO43" i="72"/>
  <c r="AU43" i="72"/>
  <c r="AA43" i="72"/>
  <c r="BN43" i="72"/>
  <c r="AT43" i="72"/>
  <c r="Z43" i="72"/>
  <c r="BM43" i="72"/>
  <c r="AS43" i="72"/>
  <c r="Y43" i="72"/>
  <c r="BL43" i="72"/>
  <c r="AR43" i="72"/>
  <c r="X43" i="72"/>
  <c r="BK43" i="72"/>
  <c r="AQ43" i="72"/>
  <c r="W43" i="72"/>
  <c r="BJ43" i="72"/>
  <c r="AP43" i="72"/>
  <c r="V43" i="72"/>
  <c r="BI43" i="72"/>
  <c r="AO43" i="72"/>
  <c r="U43" i="72"/>
  <c r="BH43" i="72"/>
  <c r="AN43" i="72"/>
  <c r="T43" i="72"/>
  <c r="BG43" i="72"/>
  <c r="AM43" i="72"/>
  <c r="BZ43" i="72"/>
  <c r="BF43" i="72"/>
  <c r="AL43" i="72"/>
  <c r="BY43" i="72"/>
  <c r="BE43" i="72"/>
  <c r="AK43" i="72"/>
  <c r="BX43" i="72"/>
  <c r="BD43" i="72"/>
  <c r="AJ43" i="72"/>
  <c r="BW43" i="72"/>
  <c r="BC43" i="72"/>
  <c r="AI43" i="72"/>
  <c r="BV43" i="72"/>
  <c r="BB43" i="72"/>
  <c r="AH43" i="72"/>
  <c r="BU43" i="72"/>
  <c r="BA43" i="72"/>
  <c r="AG43" i="72"/>
  <c r="BT43" i="72"/>
  <c r="AZ43" i="72"/>
  <c r="AF43" i="72"/>
  <c r="BS43" i="72"/>
  <c r="AY43" i="72"/>
  <c r="AE43" i="72"/>
  <c r="BR43" i="72"/>
  <c r="AX43" i="72"/>
  <c r="AD43" i="72"/>
  <c r="BQ43" i="72"/>
  <c r="BQ40" i="72"/>
  <c r="AW40" i="72"/>
  <c r="AC40" i="72"/>
  <c r="BP40" i="72"/>
  <c r="AV40" i="72"/>
  <c r="AB40" i="72"/>
  <c r="BO40" i="72"/>
  <c r="AU40" i="72"/>
  <c r="AA40" i="72"/>
  <c r="BN40" i="72"/>
  <c r="AT40" i="72"/>
  <c r="Z40" i="72"/>
  <c r="BM40" i="72"/>
  <c r="AS40" i="72"/>
  <c r="Y40" i="72"/>
  <c r="BL40" i="72"/>
  <c r="AR40" i="72"/>
  <c r="X40" i="72"/>
  <c r="BK40" i="72"/>
  <c r="AQ40" i="72"/>
  <c r="W40" i="72"/>
  <c r="BJ40" i="72"/>
  <c r="AP40" i="72"/>
  <c r="V40" i="72"/>
  <c r="BI40" i="72"/>
  <c r="AO40" i="72"/>
  <c r="U40" i="72"/>
  <c r="BH40" i="72"/>
  <c r="AN40" i="72"/>
  <c r="T40" i="72"/>
  <c r="BG40" i="72"/>
  <c r="AM40" i="72"/>
  <c r="BZ40" i="72"/>
  <c r="BF40" i="72"/>
  <c r="AL40" i="72"/>
  <c r="BY40" i="72"/>
  <c r="BE40" i="72"/>
  <c r="AK40" i="72"/>
  <c r="BX40" i="72"/>
  <c r="BD40" i="72"/>
  <c r="AJ40" i="72"/>
  <c r="BW40" i="72"/>
  <c r="BC40" i="72"/>
  <c r="AI40" i="72"/>
  <c r="BV40" i="72"/>
  <c r="BB40" i="72"/>
  <c r="AH40" i="72"/>
  <c r="BU40" i="72"/>
  <c r="BA40" i="72"/>
  <c r="AG40" i="72"/>
  <c r="BT40" i="72"/>
  <c r="AZ40" i="72"/>
  <c r="AF40" i="72"/>
  <c r="R13" i="69"/>
  <c r="AF155" i="99"/>
  <c r="AE157" i="99"/>
  <c r="AF157" i="99" s="1"/>
  <c r="U156" i="99"/>
  <c r="U159" i="99"/>
  <c r="AE159" i="99"/>
  <c r="AF159" i="99" s="1"/>
  <c r="V155" i="99"/>
  <c r="U160" i="99"/>
  <c r="AA156" i="99"/>
  <c r="AA157" i="99"/>
  <c r="AA158" i="99"/>
  <c r="AA159" i="99"/>
  <c r="AA160" i="99"/>
  <c r="Z156" i="99"/>
  <c r="Z157" i="99"/>
  <c r="Z158" i="99"/>
  <c r="Z159" i="99"/>
  <c r="Z160" i="99"/>
  <c r="AB157" i="99"/>
  <c r="AB158" i="99"/>
  <c r="AB159" i="99"/>
  <c r="AB160" i="99"/>
  <c r="AC157" i="99"/>
  <c r="AC158" i="99"/>
  <c r="AC159" i="99"/>
  <c r="AC160" i="99"/>
  <c r="H128" i="34"/>
  <c r="I159" i="104" l="1"/>
  <c r="I160" i="104"/>
  <c r="I157" i="104"/>
  <c r="I162" i="104"/>
  <c r="I158" i="104"/>
  <c r="I161" i="104"/>
  <c r="I164" i="104"/>
  <c r="I163" i="104"/>
  <c r="C565" i="153" a="1"/>
  <c r="C565" i="153" s="1"/>
  <c r="C507" i="153" a="1"/>
  <c r="C507" i="153" s="1"/>
  <c r="J507" i="153" s="1" a="1"/>
  <c r="J507" i="153" s="1"/>
  <c r="T4" i="72" a="1"/>
  <c r="T4" i="72" s="1"/>
  <c r="I82" i="153"/>
  <c r="I9" i="155"/>
  <c r="I9" i="154"/>
  <c r="I11" i="154" s="1"/>
  <c r="I12" i="154" s="1"/>
  <c r="O13" i="105"/>
  <c r="AI13" i="105"/>
  <c r="AO13" i="105"/>
  <c r="AQ13" i="105"/>
  <c r="AT13" i="105"/>
  <c r="AK13" i="105"/>
  <c r="AP13" i="105"/>
  <c r="AM13" i="105"/>
  <c r="AS13" i="105"/>
  <c r="AR13" i="105"/>
  <c r="AJ13" i="105"/>
  <c r="AL13" i="105"/>
  <c r="AN13" i="105"/>
  <c r="Q154" i="99"/>
  <c r="C513" i="99" a="1"/>
  <c r="C513" i="99" s="1"/>
  <c r="Q154" i="153"/>
  <c r="C539" i="153" a="1"/>
  <c r="C539" i="153" s="1"/>
  <c r="C555" i="153" a="1"/>
  <c r="C555" i="153" s="1"/>
  <c r="C546" i="153" a="1"/>
  <c r="C546" i="153" s="1"/>
  <c r="C540" i="153" a="1"/>
  <c r="C540" i="153" s="1"/>
  <c r="C556" i="153" a="1"/>
  <c r="C556" i="153" s="1"/>
  <c r="C541" i="153" a="1"/>
  <c r="C541" i="153" s="1"/>
  <c r="C535" i="153" a="1"/>
  <c r="C535" i="153" s="1"/>
  <c r="C524" i="153" a="1"/>
  <c r="C524" i="153" s="1"/>
  <c r="C516" i="153" a="1"/>
  <c r="C516" i="153" s="1"/>
  <c r="C537" i="153" a="1"/>
  <c r="C537" i="153" s="1"/>
  <c r="C518" i="153" a="1"/>
  <c r="C518" i="153" s="1"/>
  <c r="C509" i="153" a="1"/>
  <c r="C509" i="153" s="1"/>
  <c r="C514" i="153" a="1"/>
  <c r="C514" i="153" s="1"/>
  <c r="C512" i="153" a="1"/>
  <c r="C512" i="153" s="1"/>
  <c r="C550" i="153" a="1"/>
  <c r="C550" i="153" s="1"/>
  <c r="C511" i="153" a="1"/>
  <c r="C511" i="153" s="1"/>
  <c r="C523" i="153" a="1"/>
  <c r="C523" i="153" s="1"/>
  <c r="C563" i="153" a="1"/>
  <c r="C563" i="153" s="1"/>
  <c r="C525" i="153" a="1"/>
  <c r="C525" i="153" s="1"/>
  <c r="C513" i="153" a="1"/>
  <c r="C513" i="153" s="1"/>
  <c r="C528" i="153" a="1"/>
  <c r="C528" i="153" s="1"/>
  <c r="C552" i="153" a="1"/>
  <c r="C552" i="153" s="1"/>
  <c r="C508" i="153" a="1"/>
  <c r="C508" i="153" s="1"/>
  <c r="C522" i="153" a="1"/>
  <c r="C522" i="153" s="1"/>
  <c r="C549" i="153" a="1"/>
  <c r="C549" i="153" s="1"/>
  <c r="C534" i="153" a="1"/>
  <c r="C534" i="153" s="1"/>
  <c r="C520" i="153" a="1"/>
  <c r="C520" i="153" s="1"/>
  <c r="C529" i="153" a="1"/>
  <c r="C529" i="153" s="1"/>
  <c r="C531" i="153" a="1"/>
  <c r="C531" i="153" s="1"/>
  <c r="C543" i="153" a="1"/>
  <c r="C543" i="153" s="1"/>
  <c r="C557" i="153" a="1"/>
  <c r="C557" i="153" s="1"/>
  <c r="C567" i="153" a="1"/>
  <c r="C567" i="153" s="1"/>
  <c r="C538" i="153" a="1"/>
  <c r="C538" i="153" s="1"/>
  <c r="C515" i="153" a="1"/>
  <c r="C515" i="153" s="1"/>
  <c r="C566" i="153" a="1"/>
  <c r="C566" i="153" s="1"/>
  <c r="C560" i="153" a="1"/>
  <c r="C560" i="153" s="1"/>
  <c r="C551" i="153" a="1"/>
  <c r="C551" i="153" s="1"/>
  <c r="C548" i="153" a="1"/>
  <c r="C548" i="153" s="1"/>
  <c r="C532" i="153" a="1"/>
  <c r="C532" i="153" s="1"/>
  <c r="C554" i="153" a="1"/>
  <c r="C554" i="153" s="1"/>
  <c r="C544" i="153" a="1"/>
  <c r="C544" i="153" s="1"/>
  <c r="C533" i="153" a="1"/>
  <c r="C533" i="153" s="1"/>
  <c r="C510" i="153" a="1"/>
  <c r="C510" i="153" s="1"/>
  <c r="C547" i="153" a="1"/>
  <c r="C547" i="153" s="1"/>
  <c r="C519" i="153" a="1"/>
  <c r="C519" i="153" s="1"/>
  <c r="C545" i="153" a="1"/>
  <c r="C545" i="153" s="1"/>
  <c r="C562" i="153" a="1"/>
  <c r="C562" i="153" s="1"/>
  <c r="C564" i="153" a="1"/>
  <c r="C564" i="153" s="1"/>
  <c r="C558" i="153" a="1"/>
  <c r="C558" i="153" s="1"/>
  <c r="C527" i="153" a="1"/>
  <c r="C527" i="153" s="1"/>
  <c r="C526" i="153" a="1"/>
  <c r="C526" i="153" s="1"/>
  <c r="C517" i="153" a="1"/>
  <c r="C517" i="153" s="1"/>
  <c r="C530" i="153" a="1"/>
  <c r="C530" i="153" s="1"/>
  <c r="C542" i="153" a="1"/>
  <c r="C542" i="153" s="1"/>
  <c r="C553" i="153" a="1"/>
  <c r="C553" i="153" s="1"/>
  <c r="C561" i="153" a="1"/>
  <c r="C561" i="153" s="1"/>
  <c r="C536" i="153" a="1"/>
  <c r="C536" i="153" s="1"/>
  <c r="C559" i="153" a="1"/>
  <c r="C559" i="153" s="1"/>
  <c r="C521" i="153" a="1"/>
  <c r="C521" i="153" s="1"/>
  <c r="Q154" i="155"/>
  <c r="C557" i="155" a="1"/>
  <c r="C557" i="155" s="1"/>
  <c r="C545" i="155" a="1"/>
  <c r="C545" i="155" s="1"/>
  <c r="C548" i="155" a="1"/>
  <c r="C548" i="155" s="1"/>
  <c r="C537" i="155" a="1"/>
  <c r="C537" i="155" s="1"/>
  <c r="C527" i="155" a="1"/>
  <c r="C527" i="155" s="1"/>
  <c r="C508" i="155" a="1"/>
  <c r="C508" i="155" s="1"/>
  <c r="C564" i="155" a="1"/>
  <c r="C564" i="155" s="1"/>
  <c r="C544" i="155" a="1"/>
  <c r="C544" i="155" s="1"/>
  <c r="C541" i="155" a="1"/>
  <c r="C541" i="155" s="1"/>
  <c r="C529" i="155" a="1"/>
  <c r="C529" i="155" s="1"/>
  <c r="C561" i="155" a="1"/>
  <c r="C561" i="155" s="1"/>
  <c r="C535" i="155" a="1"/>
  <c r="C535" i="155" s="1"/>
  <c r="C553" i="155" a="1"/>
  <c r="C553" i="155" s="1"/>
  <c r="C511" i="155" a="1"/>
  <c r="C511" i="155" s="1"/>
  <c r="C559" i="155" a="1"/>
  <c r="C559" i="155" s="1"/>
  <c r="C517" i="155" a="1"/>
  <c r="C517" i="155" s="1"/>
  <c r="C542" i="155" a="1"/>
  <c r="C542" i="155" s="1"/>
  <c r="C547" i="155" a="1"/>
  <c r="C547" i="155" s="1"/>
  <c r="C551" i="155" a="1"/>
  <c r="C551" i="155" s="1"/>
  <c r="C536" i="155" a="1"/>
  <c r="C536" i="155" s="1"/>
  <c r="C525" i="155" a="1"/>
  <c r="C525" i="155" s="1"/>
  <c r="C526" i="155" a="1"/>
  <c r="C526" i="155" s="1"/>
  <c r="C512" i="155" a="1"/>
  <c r="C512" i="155" s="1"/>
  <c r="C519" i="155" a="1"/>
  <c r="C519" i="155" s="1"/>
  <c r="C530" i="155" a="1"/>
  <c r="C530" i="155" s="1"/>
  <c r="C521" i="155" a="1"/>
  <c r="C521" i="155" s="1"/>
  <c r="C513" i="155" a="1"/>
  <c r="C513" i="155" s="1"/>
  <c r="C556" i="155" a="1"/>
  <c r="C556" i="155" s="1"/>
  <c r="C552" i="155" a="1"/>
  <c r="C552" i="155" s="1"/>
  <c r="C518" i="155" a="1"/>
  <c r="C518" i="155" s="1"/>
  <c r="C510" i="155" a="1"/>
  <c r="C510" i="155" s="1"/>
  <c r="C539" i="155" a="1"/>
  <c r="C539" i="155" s="1"/>
  <c r="C540" i="155" a="1"/>
  <c r="C540" i="155" s="1"/>
  <c r="C516" i="155" a="1"/>
  <c r="C516" i="155" s="1"/>
  <c r="C549" i="155" a="1"/>
  <c r="C549" i="155" s="1"/>
  <c r="C507" i="155" a="1"/>
  <c r="C507" i="155" s="1"/>
  <c r="C533" i="155" a="1"/>
  <c r="C533" i="155" s="1"/>
  <c r="C534" i="155" a="1"/>
  <c r="C534" i="155" s="1"/>
  <c r="C543" i="155" a="1"/>
  <c r="C543" i="155" s="1"/>
  <c r="C555" i="155" a="1"/>
  <c r="C555" i="155" s="1"/>
  <c r="C524" i="155" a="1"/>
  <c r="C524" i="155" s="1"/>
  <c r="C562" i="155" a="1"/>
  <c r="C562" i="155" s="1"/>
  <c r="C566" i="155" a="1"/>
  <c r="C566" i="155" s="1"/>
  <c r="C532" i="155" a="1"/>
  <c r="C532" i="155" s="1"/>
  <c r="C531" i="155" a="1"/>
  <c r="C531" i="155" s="1"/>
  <c r="C550" i="155" a="1"/>
  <c r="C550" i="155" s="1"/>
  <c r="C515" i="155" a="1"/>
  <c r="C515" i="155" s="1"/>
  <c r="C567" i="155" a="1"/>
  <c r="C567" i="155" s="1"/>
  <c r="C558" i="155" a="1"/>
  <c r="C558" i="155" s="1"/>
  <c r="C560" i="155" a="1"/>
  <c r="C560" i="155" s="1"/>
  <c r="C523" i="155" a="1"/>
  <c r="C523" i="155" s="1"/>
  <c r="C522" i="155" a="1"/>
  <c r="C522" i="155" s="1"/>
  <c r="C538" i="155" a="1"/>
  <c r="C538" i="155" s="1"/>
  <c r="C546" i="155" a="1"/>
  <c r="C546" i="155" s="1"/>
  <c r="C528" i="155" a="1"/>
  <c r="C528" i="155" s="1"/>
  <c r="C554" i="155" a="1"/>
  <c r="C554" i="155" s="1"/>
  <c r="C520" i="155" a="1"/>
  <c r="C520" i="155" s="1"/>
  <c r="C514" i="155" a="1"/>
  <c r="C514" i="155" s="1"/>
  <c r="C563" i="155" a="1"/>
  <c r="C563" i="155" s="1"/>
  <c r="C509" i="155" a="1"/>
  <c r="C509" i="155" s="1"/>
  <c r="Q154" i="154"/>
  <c r="C523" i="154" a="1"/>
  <c r="C523" i="154" s="1"/>
  <c r="C520" i="154" a="1"/>
  <c r="C520" i="154" s="1"/>
  <c r="C508" i="154" a="1"/>
  <c r="C508" i="154" s="1"/>
  <c r="C551" i="154" a="1"/>
  <c r="C551" i="154" s="1"/>
  <c r="C510" i="154" a="1"/>
  <c r="C510" i="154" s="1"/>
  <c r="C537" i="154" a="1"/>
  <c r="C537" i="154" s="1"/>
  <c r="C514" i="154" a="1"/>
  <c r="C514" i="154" s="1"/>
  <c r="C552" i="154" a="1"/>
  <c r="C552" i="154" s="1"/>
  <c r="C536" i="154" a="1"/>
  <c r="C536" i="154" s="1"/>
  <c r="C558" i="154" a="1"/>
  <c r="C558" i="154" s="1"/>
  <c r="C564" i="154" a="1"/>
  <c r="C564" i="154" s="1"/>
  <c r="C507" i="154" a="1"/>
  <c r="C507" i="154" s="1"/>
  <c r="C516" i="154" a="1"/>
  <c r="C516" i="154" s="1"/>
  <c r="C535" i="154" a="1"/>
  <c r="C535" i="154" s="1"/>
  <c r="C541" i="154" a="1"/>
  <c r="C541" i="154" s="1"/>
  <c r="C515" i="154" a="1"/>
  <c r="C515" i="154" s="1"/>
  <c r="C556" i="154" a="1"/>
  <c r="C556" i="154" s="1"/>
  <c r="C546" i="154" a="1"/>
  <c r="C546" i="154" s="1"/>
  <c r="C563" i="154" a="1"/>
  <c r="C563" i="154" s="1"/>
  <c r="C550" i="154" a="1"/>
  <c r="C550" i="154" s="1"/>
  <c r="C524" i="154" a="1"/>
  <c r="C524" i="154" s="1"/>
  <c r="C528" i="154" a="1"/>
  <c r="C528" i="154" s="1"/>
  <c r="C509" i="154" a="1"/>
  <c r="C509" i="154" s="1"/>
  <c r="C549" i="154" a="1"/>
  <c r="C549" i="154" s="1"/>
  <c r="C543" i="154" a="1"/>
  <c r="C543" i="154" s="1"/>
  <c r="C559" i="154" a="1"/>
  <c r="C559" i="154" s="1"/>
  <c r="C540" i="154" a="1"/>
  <c r="C540" i="154" s="1"/>
  <c r="C519" i="154" a="1"/>
  <c r="C519" i="154" s="1"/>
  <c r="C532" i="154" a="1"/>
  <c r="C532" i="154" s="1"/>
  <c r="C527" i="154" a="1"/>
  <c r="C527" i="154" s="1"/>
  <c r="C566" i="154" a="1"/>
  <c r="C566" i="154" s="1"/>
  <c r="C539" i="154" a="1"/>
  <c r="C539" i="154" s="1"/>
  <c r="C555" i="154" a="1"/>
  <c r="C555" i="154" s="1"/>
  <c r="C544" i="154" a="1"/>
  <c r="C544" i="154" s="1"/>
  <c r="C530" i="154" a="1"/>
  <c r="C530" i="154" s="1"/>
  <c r="C538" i="154" a="1"/>
  <c r="C538" i="154" s="1"/>
  <c r="C531" i="154" a="1"/>
  <c r="C531" i="154" s="1"/>
  <c r="C511" i="154" a="1"/>
  <c r="C511" i="154" s="1"/>
  <c r="C548" i="154" a="1"/>
  <c r="C548" i="154" s="1"/>
  <c r="C545" i="154" a="1"/>
  <c r="C545" i="154" s="1"/>
  <c r="C517" i="154" a="1"/>
  <c r="C517" i="154" s="1"/>
  <c r="C518" i="154" a="1"/>
  <c r="C518" i="154" s="1"/>
  <c r="C553" i="154" a="1"/>
  <c r="C553" i="154" s="1"/>
  <c r="C521" i="154" a="1"/>
  <c r="C521" i="154" s="1"/>
  <c r="C513" i="154" a="1"/>
  <c r="C513" i="154" s="1"/>
  <c r="C560" i="154" a="1"/>
  <c r="C560" i="154" s="1"/>
  <c r="C561" i="154" a="1"/>
  <c r="C561" i="154" s="1"/>
  <c r="C533" i="154" a="1"/>
  <c r="C533" i="154" s="1"/>
  <c r="C562" i="154" a="1"/>
  <c r="C562" i="154" s="1"/>
  <c r="C525" i="154" a="1"/>
  <c r="C525" i="154" s="1"/>
  <c r="C547" i="154" a="1"/>
  <c r="C547" i="154" s="1"/>
  <c r="C567" i="154" a="1"/>
  <c r="C567" i="154" s="1"/>
  <c r="C526" i="154" a="1"/>
  <c r="C526" i="154" s="1"/>
  <c r="C512" i="154" a="1"/>
  <c r="C512" i="154" s="1"/>
  <c r="C554" i="154" a="1"/>
  <c r="C554" i="154" s="1"/>
  <c r="C522" i="154" a="1"/>
  <c r="C522" i="154" s="1"/>
  <c r="C534" i="154" a="1"/>
  <c r="C534" i="154" s="1"/>
  <c r="C542" i="154" a="1"/>
  <c r="C542" i="154" s="1"/>
  <c r="C529" i="154" a="1"/>
  <c r="C529" i="154" s="1"/>
  <c r="C557" i="154" a="1"/>
  <c r="C557" i="154" s="1"/>
  <c r="C24" i="46"/>
  <c r="I34" i="154"/>
  <c r="I24" i="153"/>
  <c r="I32" i="154"/>
  <c r="I22" i="153"/>
  <c r="I31" i="154"/>
  <c r="I19" i="153"/>
  <c r="I27" i="154"/>
  <c r="I36" i="155"/>
  <c r="I34" i="155"/>
  <c r="I19" i="154"/>
  <c r="I26" i="154"/>
  <c r="I24" i="154"/>
  <c r="I25" i="155"/>
  <c r="I35" i="155"/>
  <c r="I25" i="154"/>
  <c r="I31" i="155"/>
  <c r="I34" i="153"/>
  <c r="I23" i="154"/>
  <c r="I23" i="153"/>
  <c r="I32" i="155"/>
  <c r="I22" i="154"/>
  <c r="I36" i="153"/>
  <c r="I27" i="155"/>
  <c r="I26" i="155"/>
  <c r="I35" i="153"/>
  <c r="I24" i="155"/>
  <c r="I25" i="153"/>
  <c r="I23" i="155"/>
  <c r="I32" i="153"/>
  <c r="I31" i="153"/>
  <c r="I22" i="155"/>
  <c r="I19" i="155"/>
  <c r="I27" i="153"/>
  <c r="I26" i="153"/>
  <c r="I35" i="154"/>
  <c r="I36" i="154"/>
  <c r="AD8" i="98"/>
  <c r="AE8" i="98" s="1"/>
  <c r="AF8" i="98" s="1"/>
  <c r="AG8" i="98" s="1"/>
  <c r="AH8" i="98" s="1"/>
  <c r="AI8" i="98" s="1"/>
  <c r="AJ8" i="98" s="1"/>
  <c r="S16" i="69"/>
  <c r="S13" i="69"/>
  <c r="S12" i="69"/>
  <c r="T47" i="72"/>
  <c r="S11" i="69"/>
  <c r="S10" i="69"/>
  <c r="T48" i="72"/>
  <c r="E121" i="34"/>
  <c r="S8" i="69"/>
  <c r="R41" i="72"/>
  <c r="R42" i="72" s="1"/>
  <c r="BT571" i="153"/>
  <c r="AF571" i="153"/>
  <c r="BS571" i="153"/>
  <c r="AY571" i="153"/>
  <c r="AE571" i="153"/>
  <c r="BR571" i="153"/>
  <c r="BQ571" i="153"/>
  <c r="AW571" i="153"/>
  <c r="AC571" i="153"/>
  <c r="AV571" i="153"/>
  <c r="AL571" i="153"/>
  <c r="AD571" i="153"/>
  <c r="BP571" i="153"/>
  <c r="AB571" i="153"/>
  <c r="Z571" i="153"/>
  <c r="AH571" i="153"/>
  <c r="BO571" i="153"/>
  <c r="AU571" i="153"/>
  <c r="AA571" i="153"/>
  <c r="BN571" i="153"/>
  <c r="AT571" i="153"/>
  <c r="BM571" i="153"/>
  <c r="AS571" i="153"/>
  <c r="Y571" i="153"/>
  <c r="AR571" i="153"/>
  <c r="X571" i="153"/>
  <c r="BB571" i="153"/>
  <c r="BL571" i="153"/>
  <c r="BK571" i="153"/>
  <c r="AQ571" i="153"/>
  <c r="W571" i="153"/>
  <c r="BV571" i="153"/>
  <c r="BJ571" i="153"/>
  <c r="AP571" i="153"/>
  <c r="V571" i="153"/>
  <c r="T571" i="153"/>
  <c r="R571" i="153"/>
  <c r="BI571" i="153"/>
  <c r="AO571" i="153"/>
  <c r="U571" i="153"/>
  <c r="AN571" i="153"/>
  <c r="BH571" i="153"/>
  <c r="BG571" i="153"/>
  <c r="AM571" i="153"/>
  <c r="S571" i="153"/>
  <c r="BF571" i="153"/>
  <c r="BY571" i="153"/>
  <c r="BE571" i="153"/>
  <c r="AK571" i="153"/>
  <c r="N571" i="153"/>
  <c r="K571" i="153"/>
  <c r="BX571" i="153"/>
  <c r="BD571" i="153"/>
  <c r="AJ571" i="153"/>
  <c r="M571" i="153"/>
  <c r="BW571" i="153"/>
  <c r="BC571" i="153"/>
  <c r="AI571" i="153"/>
  <c r="L571" i="153"/>
  <c r="BU571" i="153"/>
  <c r="BA571" i="153"/>
  <c r="AG571" i="153"/>
  <c r="J571" i="153"/>
  <c r="J558" i="153" s="1"/>
  <c r="AZ571" i="153"/>
  <c r="I571" i="153"/>
  <c r="I554" i="153" s="1"/>
  <c r="J554" i="153" s="1"/>
  <c r="AX571" i="153"/>
  <c r="BN571" i="155"/>
  <c r="AT571" i="155"/>
  <c r="Z571" i="155"/>
  <c r="BM571" i="155"/>
  <c r="AS571" i="155"/>
  <c r="Y571" i="155"/>
  <c r="BL571" i="155"/>
  <c r="AR571" i="155"/>
  <c r="X571" i="155"/>
  <c r="BK571" i="155"/>
  <c r="AQ571" i="155"/>
  <c r="W571" i="155"/>
  <c r="BJ571" i="155"/>
  <c r="AP571" i="155"/>
  <c r="V571" i="155"/>
  <c r="BI571" i="155"/>
  <c r="AO571" i="155"/>
  <c r="U571" i="155"/>
  <c r="BH571" i="155"/>
  <c r="AN571" i="155"/>
  <c r="T571" i="155"/>
  <c r="BG571" i="155"/>
  <c r="AM571" i="155"/>
  <c r="S571" i="155"/>
  <c r="BF571" i="155"/>
  <c r="AL571" i="155"/>
  <c r="R571" i="155"/>
  <c r="BY571" i="155"/>
  <c r="BE571" i="155"/>
  <c r="AK571" i="155"/>
  <c r="N571" i="155"/>
  <c r="BX571" i="155"/>
  <c r="BD571" i="155"/>
  <c r="AJ571" i="155"/>
  <c r="M571" i="155"/>
  <c r="BW571" i="155"/>
  <c r="BC571" i="155"/>
  <c r="AI571" i="155"/>
  <c r="L571" i="155"/>
  <c r="BV571" i="155"/>
  <c r="BB571" i="155"/>
  <c r="AH571" i="155"/>
  <c r="K571" i="155"/>
  <c r="BU571" i="155"/>
  <c r="BA571" i="155"/>
  <c r="AG571" i="155"/>
  <c r="J571" i="155"/>
  <c r="J558" i="155" s="1"/>
  <c r="BT571" i="155"/>
  <c r="AZ571" i="155"/>
  <c r="AF571" i="155"/>
  <c r="I571" i="155"/>
  <c r="I554" i="155" s="1"/>
  <c r="J554" i="155" s="1"/>
  <c r="BS571" i="155"/>
  <c r="AY571" i="155"/>
  <c r="AE571" i="155"/>
  <c r="BR571" i="155"/>
  <c r="AX571" i="155"/>
  <c r="AD571" i="155"/>
  <c r="BQ571" i="155"/>
  <c r="AW571" i="155"/>
  <c r="AC571" i="155"/>
  <c r="BP571" i="155"/>
  <c r="AV571" i="155"/>
  <c r="AB571" i="155"/>
  <c r="BO571" i="155"/>
  <c r="AU571" i="155"/>
  <c r="AA571" i="155"/>
  <c r="BQ571" i="154"/>
  <c r="AW571" i="154"/>
  <c r="AC571" i="154"/>
  <c r="BP571" i="154"/>
  <c r="AV571" i="154"/>
  <c r="AB571" i="154"/>
  <c r="AU571" i="154"/>
  <c r="AA571" i="154"/>
  <c r="BO571" i="154"/>
  <c r="BN571" i="154"/>
  <c r="AT571" i="154"/>
  <c r="Z571" i="154"/>
  <c r="BM571" i="154"/>
  <c r="AS571" i="154"/>
  <c r="Y571" i="154"/>
  <c r="BL571" i="154"/>
  <c r="AR571" i="154"/>
  <c r="X571" i="154"/>
  <c r="BK571" i="154"/>
  <c r="AQ571" i="154"/>
  <c r="W571" i="154"/>
  <c r="BJ571" i="154"/>
  <c r="AP571" i="154"/>
  <c r="V571" i="154"/>
  <c r="BI571" i="154"/>
  <c r="AO571" i="154"/>
  <c r="U571" i="154"/>
  <c r="BH571" i="154"/>
  <c r="AN571" i="154"/>
  <c r="T571" i="154"/>
  <c r="BG571" i="154"/>
  <c r="AM571" i="154"/>
  <c r="S571" i="154"/>
  <c r="BF571" i="154"/>
  <c r="AL571" i="154"/>
  <c r="R571" i="154"/>
  <c r="BY571" i="154"/>
  <c r="BE571" i="154"/>
  <c r="AK571" i="154"/>
  <c r="N571" i="154"/>
  <c r="BX571" i="154"/>
  <c r="BD571" i="154"/>
  <c r="AJ571" i="154"/>
  <c r="M571" i="154"/>
  <c r="AI571" i="154"/>
  <c r="BW571" i="154"/>
  <c r="BC571" i="154"/>
  <c r="L571" i="154"/>
  <c r="BV571" i="154"/>
  <c r="BB571" i="154"/>
  <c r="AH571" i="154"/>
  <c r="K571" i="154"/>
  <c r="AE571" i="154"/>
  <c r="BU571" i="154"/>
  <c r="BA571" i="154"/>
  <c r="AG571" i="154"/>
  <c r="J571" i="154"/>
  <c r="J558" i="154" s="1"/>
  <c r="BT571" i="154"/>
  <c r="AZ571" i="154"/>
  <c r="AF571" i="154"/>
  <c r="I571" i="154"/>
  <c r="I554" i="154" s="1"/>
  <c r="J554" i="154" s="1"/>
  <c r="AY571" i="154"/>
  <c r="BS571" i="154"/>
  <c r="BR571" i="154"/>
  <c r="AX571" i="154"/>
  <c r="AD571" i="154"/>
  <c r="I50" i="155"/>
  <c r="I49" i="155"/>
  <c r="I57" i="154"/>
  <c r="I49" i="154"/>
  <c r="I50" i="154"/>
  <c r="I51" i="153"/>
  <c r="I58" i="154"/>
  <c r="I51" i="154"/>
  <c r="I43" i="153"/>
  <c r="I48" i="154"/>
  <c r="I44" i="153"/>
  <c r="I43" i="154"/>
  <c r="I58" i="153"/>
  <c r="I57" i="153"/>
  <c r="I58" i="155"/>
  <c r="I50" i="153"/>
  <c r="I57" i="155"/>
  <c r="I49" i="153"/>
  <c r="I48" i="153"/>
  <c r="I51" i="155"/>
  <c r="I48" i="155"/>
  <c r="I44" i="155"/>
  <c r="I43" i="155"/>
  <c r="I44" i="154"/>
  <c r="S9" i="69"/>
  <c r="S7" i="69"/>
  <c r="S14" i="69"/>
  <c r="T3" i="69"/>
  <c r="T4" i="69" s="1"/>
  <c r="S2" i="69" a="1"/>
  <c r="S2" i="69" s="1"/>
  <c r="C535" i="99" a="1"/>
  <c r="C535" i="99" s="1"/>
  <c r="C519" i="99" a="1"/>
  <c r="C519" i="99" s="1"/>
  <c r="C563" i="99" a="1"/>
  <c r="C563" i="99" s="1"/>
  <c r="C538" i="99" a="1"/>
  <c r="C538" i="99" s="1"/>
  <c r="C558" i="99" a="1"/>
  <c r="C558" i="99" s="1"/>
  <c r="C547" i="99" a="1"/>
  <c r="C547" i="99" s="1"/>
  <c r="C542" i="99" a="1"/>
  <c r="C542" i="99" s="1"/>
  <c r="C544" i="99" a="1"/>
  <c r="C544" i="99" s="1"/>
  <c r="C567" i="99" a="1"/>
  <c r="C567" i="99" s="1"/>
  <c r="C534" i="99" a="1"/>
  <c r="C534" i="99" s="1"/>
  <c r="C555" i="99" a="1"/>
  <c r="C555" i="99" s="1"/>
  <c r="C525" i="99" a="1"/>
  <c r="C525" i="99" s="1"/>
  <c r="C551" i="99" a="1"/>
  <c r="C551" i="99" s="1"/>
  <c r="C537" i="99" a="1"/>
  <c r="C537" i="99" s="1"/>
  <c r="C550" i="99" a="1"/>
  <c r="C550" i="99" s="1"/>
  <c r="C560" i="99" a="1"/>
  <c r="C560" i="99" s="1"/>
  <c r="C517" i="99" a="1"/>
  <c r="C517" i="99" s="1"/>
  <c r="C549" i="99" a="1"/>
  <c r="C549" i="99" s="1"/>
  <c r="C516" i="99" a="1"/>
  <c r="C516" i="99" s="1"/>
  <c r="C540" i="99" a="1"/>
  <c r="C540" i="99" s="1"/>
  <c r="C520" i="99" a="1"/>
  <c r="C520" i="99" s="1"/>
  <c r="C541" i="99" a="1"/>
  <c r="C541" i="99" s="1"/>
  <c r="C514" i="99" a="1"/>
  <c r="C514" i="99" s="1"/>
  <c r="C556" i="99" a="1"/>
  <c r="C556" i="99" s="1"/>
  <c r="C511" i="99" a="1"/>
  <c r="C511" i="99" s="1"/>
  <c r="C507" i="99" a="1"/>
  <c r="C507" i="99" s="1"/>
  <c r="C543" i="99" a="1"/>
  <c r="C543" i="99" s="1"/>
  <c r="C539" i="99" a="1"/>
  <c r="C539" i="99" s="1"/>
  <c r="C532" i="99" a="1"/>
  <c r="C532" i="99" s="1"/>
  <c r="C553" i="99" a="1"/>
  <c r="C553" i="99" s="1"/>
  <c r="C522" i="99" a="1"/>
  <c r="C522" i="99" s="1"/>
  <c r="C528" i="99" a="1"/>
  <c r="C528" i="99" s="1"/>
  <c r="C546" i="99" a="1"/>
  <c r="C546" i="99" s="1"/>
  <c r="C510" i="99" a="1"/>
  <c r="C510" i="99" s="1"/>
  <c r="C531" i="99" a="1"/>
  <c r="C531" i="99" s="1"/>
  <c r="C529" i="99" a="1"/>
  <c r="C529" i="99" s="1"/>
  <c r="C561" i="99" a="1"/>
  <c r="C561" i="99" s="1"/>
  <c r="C564" i="99" a="1"/>
  <c r="C564" i="99" s="1"/>
  <c r="C552" i="99" a="1"/>
  <c r="C552" i="99" s="1"/>
  <c r="C548" i="99" a="1"/>
  <c r="C548" i="99" s="1"/>
  <c r="C559" i="99" a="1"/>
  <c r="C559" i="99" s="1"/>
  <c r="C515" i="99" a="1"/>
  <c r="C515" i="99" s="1"/>
  <c r="C566" i="99" a="1"/>
  <c r="C566" i="99" s="1"/>
  <c r="C518" i="99" a="1"/>
  <c r="C518" i="99" s="1"/>
  <c r="C526" i="99" a="1"/>
  <c r="C526" i="99" s="1"/>
  <c r="C508" i="99" a="1"/>
  <c r="C508" i="99" s="1"/>
  <c r="C554" i="99" a="1"/>
  <c r="C554" i="99" s="1"/>
  <c r="C530" i="99" a="1"/>
  <c r="C530" i="99" s="1"/>
  <c r="C536" i="99" a="1"/>
  <c r="C536" i="99" s="1"/>
  <c r="C533" i="99" a="1"/>
  <c r="C533" i="99" s="1"/>
  <c r="C521" i="99" a="1"/>
  <c r="C521" i="99" s="1"/>
  <c r="C512" i="99" a="1"/>
  <c r="C512" i="99" s="1"/>
  <c r="C509" i="99" a="1"/>
  <c r="C509" i="99" s="1"/>
  <c r="C523" i="99" a="1"/>
  <c r="C523" i="99" s="1"/>
  <c r="C562" i="99" a="1"/>
  <c r="C562" i="99" s="1"/>
  <c r="C524" i="99" a="1"/>
  <c r="C524" i="99" s="1"/>
  <c r="C557" i="99" a="1"/>
  <c r="C557" i="99" s="1"/>
  <c r="C527" i="99" a="1"/>
  <c r="C527" i="99" s="1"/>
  <c r="C545" i="99" a="1"/>
  <c r="C545" i="99" s="1"/>
  <c r="T3" i="99"/>
  <c r="T4" i="99" s="1"/>
  <c r="T474" i="99" s="1"/>
  <c r="S2" i="99" a="1"/>
  <c r="S2" i="99" s="1"/>
  <c r="U5" i="72"/>
  <c r="U6" i="72" s="1"/>
  <c r="H65" i="34"/>
  <c r="I63" i="34"/>
  <c r="G63" i="34"/>
  <c r="Q65" i="34"/>
  <c r="H63" i="34"/>
  <c r="AH65" i="34"/>
  <c r="Z65" i="34"/>
  <c r="X65" i="34"/>
  <c r="O65" i="34"/>
  <c r="J65" i="34"/>
  <c r="P65" i="34"/>
  <c r="R65" i="34"/>
  <c r="G65" i="34"/>
  <c r="E19" i="46" a="1"/>
  <c r="E19" i="46" s="1"/>
  <c r="J153" i="103"/>
  <c r="J157" i="104" a="1"/>
  <c r="J157" i="104" s="1"/>
  <c r="K157" i="104" s="1"/>
  <c r="S474" i="99"/>
  <c r="L4" i="99"/>
  <c r="W65" i="34"/>
  <c r="AE65" i="34"/>
  <c r="I571" i="99"/>
  <c r="I554" i="99" s="1"/>
  <c r="J554" i="99" s="1"/>
  <c r="K554" i="99" s="1"/>
  <c r="L554" i="99" s="1"/>
  <c r="M554" i="99" s="1"/>
  <c r="N554" i="99" s="1"/>
  <c r="J540" i="99"/>
  <c r="J539" i="99"/>
  <c r="I23" i="99"/>
  <c r="I22" i="99"/>
  <c r="J538" i="99"/>
  <c r="J534" i="99"/>
  <c r="J548" i="99"/>
  <c r="J523" i="99"/>
  <c r="K523" i="99" s="1"/>
  <c r="L523" i="99" s="1"/>
  <c r="M523" i="99" s="1"/>
  <c r="N523" i="99" s="1"/>
  <c r="J547" i="99"/>
  <c r="J541" i="99"/>
  <c r="R474" i="99"/>
  <c r="AT13" i="103"/>
  <c r="AS13" i="103"/>
  <c r="AP13" i="103"/>
  <c r="L13" i="103"/>
  <c r="BA13" i="103"/>
  <c r="AZ13" i="103"/>
  <c r="AY13" i="103"/>
  <c r="AX13" i="103"/>
  <c r="AW13" i="103"/>
  <c r="AV13" i="103"/>
  <c r="AU13" i="103"/>
  <c r="AR13" i="103"/>
  <c r="AQ13" i="103"/>
  <c r="AH155" i="99"/>
  <c r="V156" i="99"/>
  <c r="AH156" i="99" s="1"/>
  <c r="T6" i="98"/>
  <c r="U4" i="72" l="1" a="1"/>
  <c r="U4" i="72" s="1"/>
  <c r="V554" i="153"/>
  <c r="U554" i="153"/>
  <c r="K554" i="153"/>
  <c r="S554" i="153"/>
  <c r="R554" i="153"/>
  <c r="T554" i="153"/>
  <c r="W554" i="153"/>
  <c r="X554" i="153"/>
  <c r="Y554" i="153"/>
  <c r="Z554" i="153"/>
  <c r="AA554" i="153"/>
  <c r="AB554" i="153"/>
  <c r="AC554" i="153"/>
  <c r="V554" i="155"/>
  <c r="W554" i="155"/>
  <c r="S554" i="155"/>
  <c r="U554" i="155"/>
  <c r="K554" i="155"/>
  <c r="T554" i="155"/>
  <c r="R554" i="155"/>
  <c r="X554" i="155"/>
  <c r="Y554" i="155"/>
  <c r="Z554" i="155"/>
  <c r="AA554" i="155"/>
  <c r="AB554" i="155"/>
  <c r="AC554" i="155"/>
  <c r="U554" i="154"/>
  <c r="V554" i="154"/>
  <c r="K554" i="154"/>
  <c r="R554" i="154"/>
  <c r="S554" i="154"/>
  <c r="T554" i="154"/>
  <c r="W554" i="154"/>
  <c r="X554" i="154"/>
  <c r="Y554" i="154"/>
  <c r="Z554" i="154"/>
  <c r="AA554" i="154"/>
  <c r="AB554" i="154"/>
  <c r="AC554" i="154"/>
  <c r="S554" i="99"/>
  <c r="R554" i="99"/>
  <c r="I114" i="153"/>
  <c r="I96" i="153"/>
  <c r="I113" i="153"/>
  <c r="I122" i="153"/>
  <c r="I90" i="153"/>
  <c r="I11" i="153"/>
  <c r="I12" i="153" s="1"/>
  <c r="I15" i="153"/>
  <c r="I16" i="153" s="1"/>
  <c r="I97" i="153"/>
  <c r="I123" i="153"/>
  <c r="I108" i="153"/>
  <c r="I87" i="153"/>
  <c r="I115" i="153"/>
  <c r="I109" i="153"/>
  <c r="I100" i="153"/>
  <c r="I84" i="153"/>
  <c r="I89" i="153"/>
  <c r="I116" i="153"/>
  <c r="I88" i="153"/>
  <c r="I99" i="153"/>
  <c r="I91" i="153"/>
  <c r="I15" i="154"/>
  <c r="I16" i="154" s="1"/>
  <c r="Q160" i="154"/>
  <c r="Q159" i="154"/>
  <c r="R159" i="154" s="1"/>
  <c r="Q158" i="154"/>
  <c r="R158" i="154" s="1"/>
  <c r="Q157" i="154"/>
  <c r="Q156" i="154"/>
  <c r="Q155" i="154"/>
  <c r="I15" i="155"/>
  <c r="I16" i="155" s="1"/>
  <c r="Q157" i="155"/>
  <c r="Q156" i="155"/>
  <c r="R156" i="155" s="1"/>
  <c r="Q155" i="155"/>
  <c r="Q160" i="155"/>
  <c r="Q159" i="155"/>
  <c r="Q158" i="155"/>
  <c r="I11" i="155"/>
  <c r="I12" i="155" s="1"/>
  <c r="Q160" i="153"/>
  <c r="Q159" i="153"/>
  <c r="R159" i="153" s="1"/>
  <c r="Q158" i="153"/>
  <c r="R158" i="153" s="1"/>
  <c r="Q157" i="153"/>
  <c r="R157" i="153" s="1"/>
  <c r="Q156" i="153"/>
  <c r="R156" i="153" s="1"/>
  <c r="Q155" i="153"/>
  <c r="R155" i="153" s="1"/>
  <c r="I82" i="154"/>
  <c r="I113" i="154" s="1"/>
  <c r="I82" i="155"/>
  <c r="I108" i="155" s="1"/>
  <c r="AY9" i="154"/>
  <c r="BD9" i="154"/>
  <c r="BJ9" i="154"/>
  <c r="AW9" i="154"/>
  <c r="BT9" i="155"/>
  <c r="BY9" i="155"/>
  <c r="AR9" i="155"/>
  <c r="AJ9" i="153"/>
  <c r="AP9" i="153"/>
  <c r="AB9" i="153"/>
  <c r="J523" i="153"/>
  <c r="K523" i="153" s="1"/>
  <c r="L523" i="153" s="1"/>
  <c r="M523" i="153" s="1"/>
  <c r="N523" i="153" s="1"/>
  <c r="P523" i="153" s="1"/>
  <c r="I33" i="153"/>
  <c r="I98" i="153" s="1"/>
  <c r="BY9" i="154"/>
  <c r="AR9" i="154"/>
  <c r="AB9" i="155"/>
  <c r="AM9" i="155"/>
  <c r="Z9" i="155"/>
  <c r="AK9" i="153"/>
  <c r="BK9" i="153"/>
  <c r="AC9" i="153"/>
  <c r="BV9" i="154"/>
  <c r="AN9" i="154"/>
  <c r="BO9" i="154"/>
  <c r="BR9" i="155"/>
  <c r="V9" i="155"/>
  <c r="BA9" i="153"/>
  <c r="AN9" i="153"/>
  <c r="AT9" i="153"/>
  <c r="BT9" i="153"/>
  <c r="I37" i="154"/>
  <c r="I37" i="155"/>
  <c r="BH9" i="154"/>
  <c r="AA9" i="154"/>
  <c r="AE9" i="155"/>
  <c r="AJ9" i="155"/>
  <c r="AP9" i="155"/>
  <c r="BU9" i="153"/>
  <c r="U9" i="153"/>
  <c r="BN9" i="153"/>
  <c r="BR9" i="154"/>
  <c r="V9" i="154"/>
  <c r="AF9" i="155"/>
  <c r="BK9" i="155"/>
  <c r="BW9" i="153"/>
  <c r="AH9" i="153"/>
  <c r="BC9" i="154"/>
  <c r="U9" i="154"/>
  <c r="AU9" i="154"/>
  <c r="AY9" i="155"/>
  <c r="BD9" i="155"/>
  <c r="BJ9" i="155"/>
  <c r="AO9" i="153"/>
  <c r="AA9" i="153"/>
  <c r="AD9" i="154"/>
  <c r="BW9" i="154"/>
  <c r="AO9" i="154"/>
  <c r="AB9" i="154"/>
  <c r="BS9" i="155"/>
  <c r="BX9" i="155"/>
  <c r="W9" i="155"/>
  <c r="AI9" i="153"/>
  <c r="BI9" i="153"/>
  <c r="AU9" i="153"/>
  <c r="I92" i="153"/>
  <c r="I93" i="153" s="1"/>
  <c r="I28" i="153"/>
  <c r="BS9" i="154"/>
  <c r="AJ9" i="154"/>
  <c r="AP9" i="154"/>
  <c r="AC9" i="154"/>
  <c r="AZ9" i="155"/>
  <c r="BE9" i="155"/>
  <c r="X9" i="155"/>
  <c r="V9" i="153"/>
  <c r="Z9" i="153"/>
  <c r="AX9" i="154"/>
  <c r="AI9" i="154"/>
  <c r="BI9" i="154"/>
  <c r="AV9" i="154"/>
  <c r="AQ9" i="155"/>
  <c r="BC9" i="153"/>
  <c r="R9" i="153"/>
  <c r="BO9" i="153"/>
  <c r="BP9" i="154"/>
  <c r="AF9" i="154"/>
  <c r="AQ9" i="154"/>
  <c r="AA9" i="155"/>
  <c r="AG9" i="155"/>
  <c r="AL9" i="155"/>
  <c r="Y9" i="155"/>
  <c r="BX9" i="153"/>
  <c r="BV9" i="153"/>
  <c r="AD9" i="153"/>
  <c r="AK9" i="155"/>
  <c r="T9" i="153"/>
  <c r="AZ9" i="154"/>
  <c r="AK9" i="154"/>
  <c r="BK9" i="154"/>
  <c r="AU9" i="155"/>
  <c r="BA9" i="155"/>
  <c r="BF9" i="155"/>
  <c r="AS9" i="155"/>
  <c r="W9" i="153"/>
  <c r="AL9" i="153"/>
  <c r="I140" i="154"/>
  <c r="I133" i="154"/>
  <c r="I139" i="154"/>
  <c r="BA9" i="154"/>
  <c r="AL9" i="154"/>
  <c r="Y9" i="154"/>
  <c r="BP9" i="155"/>
  <c r="BB9" i="155"/>
  <c r="T9" i="155"/>
  <c r="BN9" i="155"/>
  <c r="BY9" i="153"/>
  <c r="BB9" i="153"/>
  <c r="BQ9" i="153"/>
  <c r="I28" i="155"/>
  <c r="I28" i="154"/>
  <c r="BU9" i="154"/>
  <c r="BF9" i="154"/>
  <c r="AS9" i="154"/>
  <c r="AC9" i="155"/>
  <c r="BV9" i="155"/>
  <c r="AN9" i="155"/>
  <c r="AX9" i="153"/>
  <c r="BF9" i="153"/>
  <c r="X9" i="153"/>
  <c r="BR9" i="153"/>
  <c r="AE9" i="154"/>
  <c r="S9" i="154"/>
  <c r="BM9" i="154"/>
  <c r="AW9" i="155"/>
  <c r="BH9" i="155"/>
  <c r="S9" i="153"/>
  <c r="AR9" i="153"/>
  <c r="AE9" i="153"/>
  <c r="J523" i="154"/>
  <c r="K523" i="154" s="1"/>
  <c r="L523" i="154" s="1"/>
  <c r="M523" i="154" s="1"/>
  <c r="N523" i="154" s="1"/>
  <c r="P523" i="154" s="1"/>
  <c r="I33" i="154"/>
  <c r="I37" i="153"/>
  <c r="I101" i="153"/>
  <c r="AM9" i="154"/>
  <c r="Z9" i="154"/>
  <c r="BQ9" i="155"/>
  <c r="AI9" i="155"/>
  <c r="U9" i="155"/>
  <c r="AZ9" i="153"/>
  <c r="AM9" i="153"/>
  <c r="Y9" i="153"/>
  <c r="AY9" i="153"/>
  <c r="BT9" i="154"/>
  <c r="BE9" i="154"/>
  <c r="X9" i="154"/>
  <c r="BO9" i="155"/>
  <c r="BU9" i="155"/>
  <c r="S9" i="155"/>
  <c r="BM9" i="155"/>
  <c r="AQ9" i="153"/>
  <c r="AV9" i="153"/>
  <c r="AG9" i="154"/>
  <c r="R9" i="154"/>
  <c r="BL9" i="154"/>
  <c r="AV9" i="155"/>
  <c r="AH9" i="155"/>
  <c r="BG9" i="155"/>
  <c r="AT9" i="155"/>
  <c r="BE9" i="153"/>
  <c r="BL9" i="153"/>
  <c r="AW9" i="153"/>
  <c r="AH9" i="154"/>
  <c r="BG9" i="154"/>
  <c r="AT9" i="154"/>
  <c r="AD9" i="155"/>
  <c r="BC9" i="155"/>
  <c r="AO9" i="155"/>
  <c r="BG9" i="153"/>
  <c r="AS9" i="153"/>
  <c r="BS9" i="153"/>
  <c r="BX9" i="154"/>
  <c r="W9" i="154"/>
  <c r="BQ9" i="154"/>
  <c r="R9" i="155"/>
  <c r="BL9" i="155"/>
  <c r="BD9" i="153"/>
  <c r="BJ9" i="153"/>
  <c r="BP9" i="153"/>
  <c r="BB9" i="154"/>
  <c r="T9" i="154"/>
  <c r="BN9" i="154"/>
  <c r="AX9" i="155"/>
  <c r="BW9" i="155"/>
  <c r="BI9" i="155"/>
  <c r="AG9" i="153"/>
  <c r="BH9" i="153"/>
  <c r="BM9" i="153"/>
  <c r="AF9" i="153"/>
  <c r="J523" i="155"/>
  <c r="K523" i="155" s="1"/>
  <c r="L523" i="155" s="1"/>
  <c r="M523" i="155" s="1"/>
  <c r="N523" i="155" s="1"/>
  <c r="P523" i="155" s="1"/>
  <c r="I33" i="155"/>
  <c r="I135" i="153"/>
  <c r="I140" i="153"/>
  <c r="I141" i="153"/>
  <c r="I133" i="153"/>
  <c r="I139" i="153"/>
  <c r="J522" i="154" a="1"/>
  <c r="J522" i="154" s="1"/>
  <c r="K522" i="154" s="1" a="1"/>
  <c r="K522" i="154" s="1"/>
  <c r="L522" i="154" s="1" a="1"/>
  <c r="L522" i="154" s="1"/>
  <c r="M522" i="154" s="1" a="1"/>
  <c r="M522" i="154" s="1"/>
  <c r="N522" i="154" s="1" a="1"/>
  <c r="N522" i="154" s="1"/>
  <c r="P522" i="154" s="1"/>
  <c r="J522" i="153" a="1"/>
  <c r="J522" i="153" s="1"/>
  <c r="K522" i="153" s="1" a="1"/>
  <c r="K522" i="153" s="1"/>
  <c r="L522" i="153" s="1" a="1"/>
  <c r="L522" i="153" s="1"/>
  <c r="M522" i="153" s="1" a="1"/>
  <c r="M522" i="153" s="1"/>
  <c r="N522" i="153" s="1" a="1"/>
  <c r="N522" i="153" s="1"/>
  <c r="P522" i="153" s="1"/>
  <c r="P13" i="105"/>
  <c r="J521" i="153" a="1"/>
  <c r="J521" i="153" s="1"/>
  <c r="K521" i="153" s="1" a="1"/>
  <c r="K521" i="153" s="1"/>
  <c r="AV13" i="105"/>
  <c r="AW13" i="105"/>
  <c r="BB13" i="105"/>
  <c r="BC13" i="105"/>
  <c r="AX13" i="105"/>
  <c r="AY13" i="105"/>
  <c r="BD13" i="105"/>
  <c r="AU13" i="105"/>
  <c r="AZ13" i="105"/>
  <c r="BA13" i="105"/>
  <c r="BE13" i="105"/>
  <c r="BF13" i="105"/>
  <c r="J525" i="153" a="1"/>
  <c r="J525" i="153" s="1"/>
  <c r="K525" i="153" s="1" a="1"/>
  <c r="K525" i="153" s="1"/>
  <c r="L525" i="153" s="1" a="1"/>
  <c r="L525" i="153" s="1"/>
  <c r="M525" i="153" s="1" a="1"/>
  <c r="M525" i="153" s="1"/>
  <c r="N525" i="153" s="1" a="1"/>
  <c r="N525" i="153" s="1"/>
  <c r="P525" i="153" s="1"/>
  <c r="J521" i="155" a="1"/>
  <c r="J521" i="155" s="1"/>
  <c r="K521" i="155" s="1" a="1"/>
  <c r="K521" i="155" s="1"/>
  <c r="J525" i="154" a="1"/>
  <c r="J525" i="154" s="1"/>
  <c r="K525" i="154" s="1" a="1"/>
  <c r="K525" i="154" s="1"/>
  <c r="L525" i="154" s="1" a="1"/>
  <c r="L525" i="154" s="1"/>
  <c r="M525" i="154" s="1" a="1"/>
  <c r="M525" i="154" s="1"/>
  <c r="N525" i="154" s="1" a="1"/>
  <c r="N525" i="154" s="1"/>
  <c r="P525" i="154" s="1"/>
  <c r="J522" i="155" a="1"/>
  <c r="J522" i="155" s="1"/>
  <c r="K522" i="155" s="1" a="1"/>
  <c r="K522" i="155" s="1"/>
  <c r="L522" i="155" s="1" a="1"/>
  <c r="L522" i="155" s="1"/>
  <c r="M522" i="155" s="1" a="1"/>
  <c r="M522" i="155" s="1"/>
  <c r="N522" i="155" s="1" a="1"/>
  <c r="N522" i="155" s="1"/>
  <c r="P522" i="155" s="1"/>
  <c r="J507" i="155" a="1"/>
  <c r="J507" i="155" s="1"/>
  <c r="K507" i="155" s="1" a="1"/>
  <c r="K507" i="155" s="1"/>
  <c r="L507" i="155" s="1" a="1"/>
  <c r="L507" i="155" s="1"/>
  <c r="M507" i="155" s="1" a="1"/>
  <c r="M507" i="155" s="1"/>
  <c r="N507" i="155" s="1" a="1"/>
  <c r="N507" i="155" s="1"/>
  <c r="P507" i="155" s="1"/>
  <c r="J525" i="155" a="1"/>
  <c r="J525" i="155" s="1"/>
  <c r="K525" i="155" s="1" a="1"/>
  <c r="K525" i="155" s="1"/>
  <c r="L525" i="155" s="1" a="1"/>
  <c r="L525" i="155" s="1"/>
  <c r="M525" i="155" s="1" a="1"/>
  <c r="M525" i="155" s="1"/>
  <c r="N525" i="155" s="1" a="1"/>
  <c r="N525" i="155" s="1"/>
  <c r="P525" i="155" s="1"/>
  <c r="K507" i="153" a="1"/>
  <c r="K507" i="153" s="1"/>
  <c r="L507" i="153" s="1" a="1"/>
  <c r="L507" i="153" s="1"/>
  <c r="M507" i="153" s="1" a="1"/>
  <c r="M507" i="153" s="1"/>
  <c r="N507" i="153" s="1" a="1"/>
  <c r="N507" i="153" s="1"/>
  <c r="P507" i="153" s="1"/>
  <c r="J521" i="154" a="1"/>
  <c r="J521" i="154" s="1"/>
  <c r="K521" i="154" s="1" a="1"/>
  <c r="K521" i="154" s="1"/>
  <c r="F28" i="46"/>
  <c r="J507" i="154" a="1"/>
  <c r="J507" i="154" s="1"/>
  <c r="K507" i="154" s="1" a="1"/>
  <c r="K507" i="154" s="1"/>
  <c r="L507" i="154" s="1" a="1"/>
  <c r="L507" i="154" s="1"/>
  <c r="M507" i="154" s="1" a="1"/>
  <c r="M507" i="154" s="1"/>
  <c r="N507" i="154" s="1" a="1"/>
  <c r="N507" i="154" s="1"/>
  <c r="P507" i="154" s="1"/>
  <c r="C454" i="155"/>
  <c r="C451" i="155"/>
  <c r="C453" i="155"/>
  <c r="C452" i="155"/>
  <c r="C455" i="155"/>
  <c r="C456" i="155"/>
  <c r="C456" i="153"/>
  <c r="C452" i="153"/>
  <c r="C451" i="153"/>
  <c r="C453" i="153"/>
  <c r="C455" i="153"/>
  <c r="C454" i="153"/>
  <c r="C454" i="154"/>
  <c r="C456" i="154"/>
  <c r="C453" i="154"/>
  <c r="C452" i="154"/>
  <c r="C455" i="154"/>
  <c r="C451" i="154"/>
  <c r="E28" i="46"/>
  <c r="I518" i="153"/>
  <c r="R157" i="154"/>
  <c r="R156" i="154"/>
  <c r="R155" i="154"/>
  <c r="R159" i="155"/>
  <c r="R157" i="155"/>
  <c r="R158" i="155"/>
  <c r="R155" i="155"/>
  <c r="J521" i="99" a="1"/>
  <c r="J521" i="99" s="1"/>
  <c r="K521" i="99" s="1" a="1"/>
  <c r="K521" i="99" s="1"/>
  <c r="I509" i="154"/>
  <c r="J509" i="154" s="1" a="1"/>
  <c r="J509" i="154" s="1"/>
  <c r="K509" i="154" s="1" a="1"/>
  <c r="K509" i="154" s="1"/>
  <c r="J525" i="99" a="1"/>
  <c r="J525" i="99" s="1"/>
  <c r="K525" i="99" s="1" a="1"/>
  <c r="K525" i="99" s="1"/>
  <c r="L525" i="99" s="1" a="1"/>
  <c r="L525" i="99" s="1"/>
  <c r="M525" i="99" s="1" a="1"/>
  <c r="M525" i="99" s="1"/>
  <c r="N525" i="99" s="1" a="1"/>
  <c r="N525" i="99" s="1"/>
  <c r="I509" i="153"/>
  <c r="J509" i="153" s="1" a="1"/>
  <c r="J509" i="153" s="1"/>
  <c r="I509" i="155"/>
  <c r="J509" i="155" s="1" a="1"/>
  <c r="J509" i="155" s="1"/>
  <c r="K509" i="155" s="1" a="1"/>
  <c r="K509" i="155" s="1"/>
  <c r="I529" i="153"/>
  <c r="I39" i="153" s="1"/>
  <c r="I527" i="153"/>
  <c r="I529" i="155"/>
  <c r="I39" i="155" s="1"/>
  <c r="I527" i="155"/>
  <c r="I518" i="154"/>
  <c r="I518" i="155"/>
  <c r="I529" i="154"/>
  <c r="I39" i="154" s="1"/>
  <c r="I527" i="154"/>
  <c r="J522" i="99" a="1"/>
  <c r="J522" i="99" s="1"/>
  <c r="K522" i="99" s="1" a="1"/>
  <c r="K522" i="99" s="1"/>
  <c r="L522" i="99" s="1" a="1"/>
  <c r="L522" i="99" s="1"/>
  <c r="M522" i="99" s="1" a="1"/>
  <c r="M522" i="99" s="1"/>
  <c r="N522" i="99" s="1" a="1"/>
  <c r="N522" i="99" s="1"/>
  <c r="P571" i="153"/>
  <c r="S17" i="69"/>
  <c r="X76" i="105" s="1"/>
  <c r="S40" i="151" s="1"/>
  <c r="E122" i="34"/>
  <c r="J158" i="104" a="1"/>
  <c r="J158" i="104" s="1"/>
  <c r="K158" i="104" s="1"/>
  <c r="I64" i="153"/>
  <c r="I129" i="153" s="1"/>
  <c r="I622" i="154"/>
  <c r="I64" i="154"/>
  <c r="P571" i="154"/>
  <c r="I64" i="155"/>
  <c r="P571" i="155"/>
  <c r="I585" i="153"/>
  <c r="I597" i="155"/>
  <c r="I535" i="155"/>
  <c r="I45" i="155" s="1"/>
  <c r="I590" i="154"/>
  <c r="I587" i="153"/>
  <c r="I585" i="154"/>
  <c r="I573" i="155"/>
  <c r="I577" i="154"/>
  <c r="I580" i="154"/>
  <c r="I598" i="155"/>
  <c r="J534" i="155"/>
  <c r="J534" i="153"/>
  <c r="I598" i="153"/>
  <c r="I589" i="155"/>
  <c r="I579" i="153"/>
  <c r="J538" i="155"/>
  <c r="I542" i="155"/>
  <c r="I52" i="155" s="1"/>
  <c r="I602" i="155"/>
  <c r="I578" i="153"/>
  <c r="J541" i="153"/>
  <c r="I605" i="153"/>
  <c r="I586" i="154"/>
  <c r="I542" i="154"/>
  <c r="I52" i="154" s="1"/>
  <c r="J538" i="154"/>
  <c r="I602" i="154"/>
  <c r="J540" i="154"/>
  <c r="I604" i="154"/>
  <c r="I612" i="153"/>
  <c r="J548" i="153"/>
  <c r="I587" i="154"/>
  <c r="I576" i="155"/>
  <c r="I586" i="153"/>
  <c r="J507" i="99" a="1"/>
  <c r="J507" i="99" s="1"/>
  <c r="K507" i="99" s="1" a="1"/>
  <c r="K507" i="99" s="1"/>
  <c r="L507" i="99" s="1" a="1"/>
  <c r="L507" i="99" s="1"/>
  <c r="M507" i="99" s="1" a="1"/>
  <c r="M507" i="99" s="1"/>
  <c r="N507" i="99" s="1" a="1"/>
  <c r="N507" i="99" s="1"/>
  <c r="I605" i="155"/>
  <c r="J541" i="155"/>
  <c r="I577" i="155"/>
  <c r="I597" i="154"/>
  <c r="I535" i="154"/>
  <c r="I45" i="154" s="1"/>
  <c r="J538" i="153"/>
  <c r="I602" i="153"/>
  <c r="I542" i="153"/>
  <c r="I52" i="153" s="1"/>
  <c r="I117" i="153" s="1"/>
  <c r="I597" i="153"/>
  <c r="I535" i="153"/>
  <c r="I45" i="153" s="1"/>
  <c r="I110" i="153" s="1"/>
  <c r="I589" i="153"/>
  <c r="I603" i="153"/>
  <c r="J539" i="153"/>
  <c r="I579" i="155"/>
  <c r="I578" i="154"/>
  <c r="I588" i="154"/>
  <c r="I580" i="153"/>
  <c r="I590" i="155"/>
  <c r="J547" i="155"/>
  <c r="I611" i="155"/>
  <c r="I549" i="155"/>
  <c r="I59" i="155" s="1"/>
  <c r="I605" i="154"/>
  <c r="J541" i="154"/>
  <c r="I603" i="154"/>
  <c r="J539" i="154"/>
  <c r="I585" i="155"/>
  <c r="J547" i="154"/>
  <c r="I611" i="154"/>
  <c r="I549" i="154"/>
  <c r="I59" i="154" s="1"/>
  <c r="J540" i="153"/>
  <c r="I604" i="153"/>
  <c r="I586" i="155"/>
  <c r="I588" i="153"/>
  <c r="I589" i="154"/>
  <c r="I577" i="153"/>
  <c r="I590" i="153"/>
  <c r="I573" i="154"/>
  <c r="I587" i="155"/>
  <c r="I579" i="154"/>
  <c r="I581" i="154"/>
  <c r="I576" i="153"/>
  <c r="I578" i="155"/>
  <c r="I612" i="155"/>
  <c r="J548" i="155"/>
  <c r="I581" i="153"/>
  <c r="I580" i="155"/>
  <c r="J547" i="153"/>
  <c r="I611" i="153"/>
  <c r="I549" i="153"/>
  <c r="I59" i="153" s="1"/>
  <c r="I124" i="153" s="1"/>
  <c r="I576" i="154"/>
  <c r="I581" i="155"/>
  <c r="I573" i="153"/>
  <c r="J548" i="154"/>
  <c r="I612" i="154"/>
  <c r="I603" i="155"/>
  <c r="J539" i="155"/>
  <c r="I598" i="154"/>
  <c r="J534" i="154"/>
  <c r="I588" i="155"/>
  <c r="I604" i="155"/>
  <c r="J540" i="155"/>
  <c r="U3" i="69"/>
  <c r="U4" i="69" s="1"/>
  <c r="T2" i="69" a="1"/>
  <c r="T2" i="69" s="1"/>
  <c r="T9" i="69"/>
  <c r="T13" i="69"/>
  <c r="T11" i="69"/>
  <c r="T7" i="69"/>
  <c r="T14" i="69"/>
  <c r="T12" i="69"/>
  <c r="T16" i="69"/>
  <c r="T15" i="69"/>
  <c r="T8" i="69"/>
  <c r="T10" i="69"/>
  <c r="C452" i="99"/>
  <c r="C453" i="99"/>
  <c r="C454" i="99"/>
  <c r="C456" i="99"/>
  <c r="C455" i="99"/>
  <c r="C451" i="99"/>
  <c r="U3" i="99"/>
  <c r="U4" i="99" s="1"/>
  <c r="U475" i="99" s="1"/>
  <c r="T2" i="99" a="1"/>
  <c r="T2" i="99" s="1"/>
  <c r="U37" i="72"/>
  <c r="V5" i="72"/>
  <c r="V6" i="72" s="1"/>
  <c r="U36" i="72"/>
  <c r="U47" i="72"/>
  <c r="U48" i="72"/>
  <c r="I518" i="99"/>
  <c r="K153" i="103"/>
  <c r="AC153" i="103"/>
  <c r="AB153" i="103"/>
  <c r="AA153" i="103"/>
  <c r="Z153" i="103"/>
  <c r="Y153" i="103"/>
  <c r="X153" i="103"/>
  <c r="U153" i="103"/>
  <c r="T153" i="103"/>
  <c r="T70" i="103" s="1"/>
  <c r="S153" i="103"/>
  <c r="S70" i="103" s="1"/>
  <c r="R153" i="103"/>
  <c r="R70" i="103" s="1"/>
  <c r="W153" i="103"/>
  <c r="V153" i="103"/>
  <c r="K547" i="99"/>
  <c r="S547" i="99"/>
  <c r="R547" i="99"/>
  <c r="K541" i="99"/>
  <c r="S541" i="99"/>
  <c r="R541" i="99"/>
  <c r="K538" i="99"/>
  <c r="S538" i="99"/>
  <c r="R538" i="99"/>
  <c r="K534" i="99"/>
  <c r="R534" i="99"/>
  <c r="S534" i="99"/>
  <c r="K540" i="99"/>
  <c r="S540" i="99"/>
  <c r="R540" i="99"/>
  <c r="K548" i="99"/>
  <c r="R548" i="99"/>
  <c r="S548" i="99"/>
  <c r="K539" i="99"/>
  <c r="S539" i="99"/>
  <c r="R539" i="99"/>
  <c r="M4" i="99"/>
  <c r="I36" i="99"/>
  <c r="I529" i="99"/>
  <c r="I527" i="99"/>
  <c r="I58" i="99"/>
  <c r="I51" i="99"/>
  <c r="I31" i="99"/>
  <c r="I57" i="99"/>
  <c r="I549" i="99"/>
  <c r="I48" i="99"/>
  <c r="I542" i="99"/>
  <c r="I43" i="99"/>
  <c r="I535" i="99"/>
  <c r="I49" i="99"/>
  <c r="I25" i="99"/>
  <c r="I27" i="99"/>
  <c r="I35" i="99"/>
  <c r="I50" i="99"/>
  <c r="G28" i="46"/>
  <c r="I32" i="99"/>
  <c r="I44" i="99"/>
  <c r="I34" i="99"/>
  <c r="I24" i="99"/>
  <c r="I26" i="99"/>
  <c r="D27" i="46"/>
  <c r="D26" i="46"/>
  <c r="I509" i="99"/>
  <c r="J509" i="99" s="1" a="1"/>
  <c r="J509" i="99" s="1"/>
  <c r="K509" i="99" s="1" a="1"/>
  <c r="K509" i="99" s="1"/>
  <c r="L509" i="99" s="1" a="1"/>
  <c r="L509" i="99" s="1"/>
  <c r="M509" i="99" s="1" a="1"/>
  <c r="M509" i="99" s="1"/>
  <c r="N509" i="99" s="1" a="1"/>
  <c r="N509" i="99" s="1"/>
  <c r="BX571" i="99"/>
  <c r="BX9" i="99" s="1"/>
  <c r="BD571" i="99"/>
  <c r="BD9" i="99" s="1"/>
  <c r="AJ571" i="99"/>
  <c r="AJ9" i="99" s="1"/>
  <c r="N571" i="99"/>
  <c r="BW571" i="99"/>
  <c r="BW9" i="99" s="1"/>
  <c r="BC571" i="99"/>
  <c r="BC9" i="99" s="1"/>
  <c r="AI571" i="99"/>
  <c r="AI9" i="99" s="1"/>
  <c r="M571" i="99"/>
  <c r="BV571" i="99"/>
  <c r="BV9" i="99" s="1"/>
  <c r="BB571" i="99"/>
  <c r="BB9" i="99" s="1"/>
  <c r="AH571" i="99"/>
  <c r="AH9" i="99" s="1"/>
  <c r="L571" i="99"/>
  <c r="BU571" i="99"/>
  <c r="BU9" i="99" s="1"/>
  <c r="BA571" i="99"/>
  <c r="BA9" i="99" s="1"/>
  <c r="AG571" i="99"/>
  <c r="AG9" i="99" s="1"/>
  <c r="K571" i="99"/>
  <c r="BT571" i="99"/>
  <c r="BT9" i="99" s="1"/>
  <c r="AZ571" i="99"/>
  <c r="AZ9" i="99" s="1"/>
  <c r="AF571" i="99"/>
  <c r="AF9" i="99" s="1"/>
  <c r="J571" i="99"/>
  <c r="J558" i="99" s="1"/>
  <c r="R558" i="99" s="1"/>
  <c r="BS571" i="99"/>
  <c r="BS9" i="99" s="1"/>
  <c r="AY571" i="99"/>
  <c r="AY9" i="99" s="1"/>
  <c r="AE571" i="99"/>
  <c r="AE9" i="99" s="1"/>
  <c r="BR571" i="99"/>
  <c r="BR9" i="99" s="1"/>
  <c r="AX571" i="99"/>
  <c r="AX9" i="99" s="1"/>
  <c r="AD571" i="99"/>
  <c r="AD9" i="99" s="1"/>
  <c r="BQ571" i="99"/>
  <c r="BQ9" i="99" s="1"/>
  <c r="AW571" i="99"/>
  <c r="AW9" i="99" s="1"/>
  <c r="AC571" i="99"/>
  <c r="AC9" i="99" s="1"/>
  <c r="BP571" i="99"/>
  <c r="BP9" i="99" s="1"/>
  <c r="AV571" i="99"/>
  <c r="AV9" i="99" s="1"/>
  <c r="AB571" i="99"/>
  <c r="AB9" i="99" s="1"/>
  <c r="BO571" i="99"/>
  <c r="BO9" i="99" s="1"/>
  <c r="AU571" i="99"/>
  <c r="AU9" i="99" s="1"/>
  <c r="AA571" i="99"/>
  <c r="AA9" i="99" s="1"/>
  <c r="BN571" i="99"/>
  <c r="BN9" i="99" s="1"/>
  <c r="AT571" i="99"/>
  <c r="AT9" i="99" s="1"/>
  <c r="Z571" i="99"/>
  <c r="Z9" i="99" s="1"/>
  <c r="BM571" i="99"/>
  <c r="BM9" i="99" s="1"/>
  <c r="AS571" i="99"/>
  <c r="AS9" i="99" s="1"/>
  <c r="Y571" i="99"/>
  <c r="Y9" i="99" s="1"/>
  <c r="BL571" i="99"/>
  <c r="BL9" i="99" s="1"/>
  <c r="AR571" i="99"/>
  <c r="AR9" i="99" s="1"/>
  <c r="X571" i="99"/>
  <c r="X9" i="99" s="1"/>
  <c r="BK571" i="99"/>
  <c r="BK9" i="99" s="1"/>
  <c r="AQ571" i="99"/>
  <c r="AQ9" i="99" s="1"/>
  <c r="W571" i="99"/>
  <c r="W9" i="99" s="1"/>
  <c r="BJ571" i="99"/>
  <c r="BJ9" i="99" s="1"/>
  <c r="AP571" i="99"/>
  <c r="AP9" i="99" s="1"/>
  <c r="V571" i="99"/>
  <c r="V9" i="99" s="1"/>
  <c r="BI571" i="99"/>
  <c r="BI9" i="99" s="1"/>
  <c r="AO571" i="99"/>
  <c r="AO9" i="99" s="1"/>
  <c r="U571" i="99"/>
  <c r="U9" i="99" s="1"/>
  <c r="BH571" i="99"/>
  <c r="BH9" i="99" s="1"/>
  <c r="AN571" i="99"/>
  <c r="AN9" i="99" s="1"/>
  <c r="T571" i="99"/>
  <c r="T9" i="99" s="1"/>
  <c r="BG571" i="99"/>
  <c r="BG9" i="99" s="1"/>
  <c r="AM571" i="99"/>
  <c r="AM9" i="99" s="1"/>
  <c r="S571" i="99"/>
  <c r="BF571" i="99"/>
  <c r="BF9" i="99" s="1"/>
  <c r="AL571" i="99"/>
  <c r="AL9" i="99" s="1"/>
  <c r="R571" i="99"/>
  <c r="R9" i="99" s="1"/>
  <c r="BY571" i="99"/>
  <c r="BY9" i="99" s="1"/>
  <c r="BE571" i="99"/>
  <c r="BE9" i="99" s="1"/>
  <c r="AK571" i="99"/>
  <c r="AK9" i="99" s="1"/>
  <c r="E16" i="46"/>
  <c r="D25" i="46"/>
  <c r="I33" i="99"/>
  <c r="I19" i="99"/>
  <c r="S475" i="99"/>
  <c r="T475" i="99"/>
  <c r="BM13" i="103"/>
  <c r="BJ13" i="103"/>
  <c r="BI13" i="103"/>
  <c r="BH13" i="103"/>
  <c r="BF13" i="103"/>
  <c r="BE13" i="103"/>
  <c r="BD13" i="103"/>
  <c r="M13" i="103"/>
  <c r="BC13" i="103"/>
  <c r="BB13" i="103"/>
  <c r="BL13" i="103"/>
  <c r="BK13" i="103"/>
  <c r="BG13" i="103"/>
  <c r="AI156" i="99"/>
  <c r="AJ156" i="99" s="1"/>
  <c r="AK156" i="99" s="1"/>
  <c r="AL156" i="99" s="1"/>
  <c r="AI155" i="99"/>
  <c r="AJ155" i="99" s="1"/>
  <c r="AK155" i="99" s="1"/>
  <c r="AL155" i="99" s="1"/>
  <c r="AK8" i="98"/>
  <c r="R475" i="99"/>
  <c r="V157" i="99"/>
  <c r="AH157" i="99" s="1"/>
  <c r="U6" i="98"/>
  <c r="I124" i="155" l="1"/>
  <c r="I102" i="153"/>
  <c r="I141" i="154"/>
  <c r="I135" i="154"/>
  <c r="I117" i="154"/>
  <c r="I140" i="155"/>
  <c r="I141" i="155"/>
  <c r="I92" i="154"/>
  <c r="I129" i="155"/>
  <c r="I98" i="154"/>
  <c r="I135" i="155"/>
  <c r="I92" i="155"/>
  <c r="I129" i="154"/>
  <c r="I98" i="155"/>
  <c r="I101" i="155"/>
  <c r="I139" i="155"/>
  <c r="I110" i="154"/>
  <c r="I133" i="155"/>
  <c r="I117" i="155"/>
  <c r="I124" i="154"/>
  <c r="V4" i="72" a="1"/>
  <c r="V4" i="72" s="1"/>
  <c r="I110" i="155"/>
  <c r="I101" i="154"/>
  <c r="L554" i="154"/>
  <c r="AD554" i="154"/>
  <c r="AE554" i="154"/>
  <c r="AF554" i="154"/>
  <c r="AG554" i="154"/>
  <c r="AH554" i="154"/>
  <c r="AI554" i="154"/>
  <c r="AJ554" i="154"/>
  <c r="AK554" i="154"/>
  <c r="AL554" i="154"/>
  <c r="AM554" i="154"/>
  <c r="AN554" i="154"/>
  <c r="AO554" i="154"/>
  <c r="L554" i="155"/>
  <c r="AD554" i="155"/>
  <c r="AE554" i="155"/>
  <c r="AF554" i="155"/>
  <c r="AG554" i="155"/>
  <c r="AH554" i="155"/>
  <c r="AI554" i="155"/>
  <c r="AJ554" i="155"/>
  <c r="AK554" i="155"/>
  <c r="AL554" i="155"/>
  <c r="AM554" i="155"/>
  <c r="AN554" i="155"/>
  <c r="AO554" i="155"/>
  <c r="L554" i="153"/>
  <c r="AD554" i="153"/>
  <c r="AE554" i="153"/>
  <c r="AF554" i="153"/>
  <c r="AG554" i="153"/>
  <c r="AH554" i="153"/>
  <c r="AI554" i="153"/>
  <c r="AJ554" i="153"/>
  <c r="AK554" i="153"/>
  <c r="AL554" i="153"/>
  <c r="AM554" i="153"/>
  <c r="AN554" i="153"/>
  <c r="AO554" i="153"/>
  <c r="T534" i="99"/>
  <c r="T598" i="99" s="1"/>
  <c r="T554" i="99"/>
  <c r="I89" i="155"/>
  <c r="I116" i="155"/>
  <c r="I114" i="155"/>
  <c r="I115" i="155"/>
  <c r="I84" i="154"/>
  <c r="I108" i="154"/>
  <c r="I113" i="155"/>
  <c r="I115" i="154"/>
  <c r="I87" i="155"/>
  <c r="I122" i="155"/>
  <c r="I99" i="155"/>
  <c r="I91" i="155"/>
  <c r="I88" i="155"/>
  <c r="I96" i="155"/>
  <c r="I114" i="154"/>
  <c r="Q160" i="99"/>
  <c r="Q159" i="99"/>
  <c r="Q158" i="99"/>
  <c r="Q157" i="99"/>
  <c r="Q156" i="99"/>
  <c r="Q155" i="99"/>
  <c r="I91" i="154"/>
  <c r="I89" i="154"/>
  <c r="I90" i="154"/>
  <c r="I100" i="154"/>
  <c r="I88" i="154"/>
  <c r="I122" i="154"/>
  <c r="I109" i="154"/>
  <c r="I99" i="154"/>
  <c r="I116" i="154"/>
  <c r="I123" i="154"/>
  <c r="I97" i="154"/>
  <c r="I87" i="154"/>
  <c r="I109" i="155"/>
  <c r="I96" i="154"/>
  <c r="I102" i="154" s="1"/>
  <c r="I90" i="155"/>
  <c r="I123" i="155"/>
  <c r="I100" i="155"/>
  <c r="I84" i="155"/>
  <c r="I97" i="155"/>
  <c r="BW82" i="155"/>
  <c r="BW11" i="155"/>
  <c r="BW12" i="155" s="1"/>
  <c r="BW15" i="155"/>
  <c r="BW16" i="155" s="1"/>
  <c r="BQ82" i="154"/>
  <c r="BQ11" i="154"/>
  <c r="BQ12" i="154" s="1"/>
  <c r="BQ15" i="154"/>
  <c r="BQ16" i="154" s="1"/>
  <c r="BG82" i="154"/>
  <c r="BG11" i="154"/>
  <c r="BG12" i="154" s="1"/>
  <c r="BG15" i="154"/>
  <c r="BG16" i="154" s="1"/>
  <c r="R82" i="154"/>
  <c r="R11" i="154"/>
  <c r="R12" i="154" s="1"/>
  <c r="R15" i="154"/>
  <c r="R16" i="154" s="1"/>
  <c r="BT82" i="154"/>
  <c r="BT15" i="154"/>
  <c r="BT16" i="154" s="1"/>
  <c r="BT11" i="154"/>
  <c r="BT12" i="154" s="1"/>
  <c r="AS82" i="155"/>
  <c r="AS15" i="155"/>
  <c r="AS16" i="155" s="1"/>
  <c r="AS11" i="155"/>
  <c r="AS12" i="155" s="1"/>
  <c r="BO82" i="153"/>
  <c r="BO15" i="153"/>
  <c r="BO16" i="153" s="1"/>
  <c r="BO11" i="153"/>
  <c r="BO12" i="153" s="1"/>
  <c r="X82" i="155"/>
  <c r="X15" i="155"/>
  <c r="X16" i="155" s="1"/>
  <c r="X11" i="155"/>
  <c r="X12" i="155" s="1"/>
  <c r="AI82" i="153"/>
  <c r="AI11" i="153"/>
  <c r="AI12" i="153" s="1"/>
  <c r="AI15" i="153"/>
  <c r="AI16" i="153" s="1"/>
  <c r="BJ82" i="155"/>
  <c r="BJ15" i="155"/>
  <c r="BJ16" i="155" s="1"/>
  <c r="BJ11" i="155"/>
  <c r="BJ12" i="155" s="1"/>
  <c r="V82" i="154"/>
  <c r="V15" i="154"/>
  <c r="V16" i="154" s="1"/>
  <c r="V11" i="154"/>
  <c r="V12" i="154" s="1"/>
  <c r="BV82" i="154"/>
  <c r="BV15" i="154"/>
  <c r="BV16" i="154" s="1"/>
  <c r="BV11" i="154"/>
  <c r="BV12" i="154" s="1"/>
  <c r="AB82" i="153"/>
  <c r="AB11" i="153"/>
  <c r="AB12" i="153" s="1"/>
  <c r="AB15" i="153"/>
  <c r="AB16" i="153" s="1"/>
  <c r="S82" i="154"/>
  <c r="S15" i="154"/>
  <c r="S16" i="154" s="1"/>
  <c r="S11" i="154"/>
  <c r="S12" i="154" s="1"/>
  <c r="BF82" i="154"/>
  <c r="BF11" i="154"/>
  <c r="BF12" i="154" s="1"/>
  <c r="BF15" i="154"/>
  <c r="BF16" i="154" s="1"/>
  <c r="BB82" i="155"/>
  <c r="BB11" i="155"/>
  <c r="BB12" i="155" s="1"/>
  <c r="BB15" i="155"/>
  <c r="BB16" i="155" s="1"/>
  <c r="BV82" i="153"/>
  <c r="BV11" i="153"/>
  <c r="BV12" i="153" s="1"/>
  <c r="BV15" i="153"/>
  <c r="BV16" i="153" s="1"/>
  <c r="AX82" i="155"/>
  <c r="AX11" i="155"/>
  <c r="AX12" i="155" s="1"/>
  <c r="AX15" i="155"/>
  <c r="AX16" i="155" s="1"/>
  <c r="W82" i="154"/>
  <c r="W15" i="154"/>
  <c r="W16" i="154" s="1"/>
  <c r="W11" i="154"/>
  <c r="W12" i="154" s="1"/>
  <c r="AH82" i="154"/>
  <c r="AH11" i="154"/>
  <c r="AH12" i="154" s="1"/>
  <c r="AH15" i="154"/>
  <c r="AH16" i="154" s="1"/>
  <c r="AG82" i="154"/>
  <c r="AG15" i="154"/>
  <c r="AG16" i="154" s="1"/>
  <c r="AG11" i="154"/>
  <c r="AG12" i="154" s="1"/>
  <c r="AY82" i="153"/>
  <c r="AY15" i="153"/>
  <c r="AY16" i="153" s="1"/>
  <c r="AY11" i="153"/>
  <c r="AY12" i="153" s="1"/>
  <c r="BF82" i="155"/>
  <c r="BF11" i="155"/>
  <c r="BF12" i="155" s="1"/>
  <c r="BF15" i="155"/>
  <c r="BF16" i="155" s="1"/>
  <c r="R82" i="153"/>
  <c r="R15" i="153"/>
  <c r="R16" i="153" s="1"/>
  <c r="R11" i="153"/>
  <c r="R12" i="153" s="1"/>
  <c r="BE82" i="155"/>
  <c r="BE11" i="155"/>
  <c r="BE12" i="155" s="1"/>
  <c r="BE15" i="155"/>
  <c r="BE16" i="155" s="1"/>
  <c r="W82" i="155"/>
  <c r="W15" i="155"/>
  <c r="W16" i="155" s="1"/>
  <c r="W11" i="155"/>
  <c r="W12" i="155" s="1"/>
  <c r="BD82" i="155"/>
  <c r="BD11" i="155"/>
  <c r="BD12" i="155" s="1"/>
  <c r="BD15" i="155"/>
  <c r="BD16" i="155" s="1"/>
  <c r="BR82" i="154"/>
  <c r="BR11" i="154"/>
  <c r="BR12" i="154" s="1"/>
  <c r="BR15" i="154"/>
  <c r="BR16" i="154" s="1"/>
  <c r="AC82" i="153"/>
  <c r="J9" i="153"/>
  <c r="AC11" i="153"/>
  <c r="AC12" i="153" s="1"/>
  <c r="AC15" i="153"/>
  <c r="AC16" i="153" s="1"/>
  <c r="AP82" i="153"/>
  <c r="AP15" i="153"/>
  <c r="AP16" i="153" s="1"/>
  <c r="AP11" i="153"/>
  <c r="AP12" i="153" s="1"/>
  <c r="AE82" i="154"/>
  <c r="AE15" i="154"/>
  <c r="AE16" i="154" s="1"/>
  <c r="AE11" i="154"/>
  <c r="AE12" i="154" s="1"/>
  <c r="BU82" i="154"/>
  <c r="BU11" i="154"/>
  <c r="BU12" i="154" s="1"/>
  <c r="BU15" i="154"/>
  <c r="BU16" i="154" s="1"/>
  <c r="BP82" i="155"/>
  <c r="BP11" i="155"/>
  <c r="BP12" i="155" s="1"/>
  <c r="BP15" i="155"/>
  <c r="BP16" i="155" s="1"/>
  <c r="BX82" i="153"/>
  <c r="BX11" i="153"/>
  <c r="BX12" i="153" s="1"/>
  <c r="BX15" i="153"/>
  <c r="BX16" i="153" s="1"/>
  <c r="BN82" i="154"/>
  <c r="BN15" i="154"/>
  <c r="BN16" i="154" s="1"/>
  <c r="BN11" i="154"/>
  <c r="BN12" i="154" s="1"/>
  <c r="BX82" i="154"/>
  <c r="BX15" i="154"/>
  <c r="BX16" i="154" s="1"/>
  <c r="BX11" i="154"/>
  <c r="BX12" i="154" s="1"/>
  <c r="AW82" i="153"/>
  <c r="AW11" i="153"/>
  <c r="AW12" i="153" s="1"/>
  <c r="AW15" i="153"/>
  <c r="AW16" i="153" s="1"/>
  <c r="AV82" i="153"/>
  <c r="AV15" i="153"/>
  <c r="AV16" i="153" s="1"/>
  <c r="AV11" i="153"/>
  <c r="AV12" i="153" s="1"/>
  <c r="Y82" i="153"/>
  <c r="Y11" i="153"/>
  <c r="Y12" i="153" s="1"/>
  <c r="Y15" i="153"/>
  <c r="Y16" i="153" s="1"/>
  <c r="BA82" i="155"/>
  <c r="BA11" i="155"/>
  <c r="BA12" i="155" s="1"/>
  <c r="BA15" i="155"/>
  <c r="BA16" i="155" s="1"/>
  <c r="L9" i="155"/>
  <c r="BC82" i="153"/>
  <c r="BC11" i="153"/>
  <c r="BC12" i="153" s="1"/>
  <c r="BC15" i="153"/>
  <c r="BC16" i="153" s="1"/>
  <c r="AZ82" i="155"/>
  <c r="AZ11" i="155"/>
  <c r="AZ12" i="155" s="1"/>
  <c r="AZ15" i="155"/>
  <c r="AZ16" i="155" s="1"/>
  <c r="BX82" i="155"/>
  <c r="BX11" i="155"/>
  <c r="BX12" i="155" s="1"/>
  <c r="BX15" i="155"/>
  <c r="BX16" i="155" s="1"/>
  <c r="AY82" i="155"/>
  <c r="AY11" i="155"/>
  <c r="AY12" i="155" s="1"/>
  <c r="AY15" i="155"/>
  <c r="AY16" i="155" s="1"/>
  <c r="BN82" i="153"/>
  <c r="BN11" i="153"/>
  <c r="BN12" i="153" s="1"/>
  <c r="BN15" i="153"/>
  <c r="BN16" i="153" s="1"/>
  <c r="BT82" i="153"/>
  <c r="BT11" i="153"/>
  <c r="BT12" i="153" s="1"/>
  <c r="BT15" i="153"/>
  <c r="BT16" i="153" s="1"/>
  <c r="BK82" i="153"/>
  <c r="BK15" i="153"/>
  <c r="BK16" i="153" s="1"/>
  <c r="BK11" i="153"/>
  <c r="BK12" i="153" s="1"/>
  <c r="AJ82" i="153"/>
  <c r="AJ15" i="153"/>
  <c r="AJ16" i="153" s="1"/>
  <c r="AJ11" i="153"/>
  <c r="AJ12" i="153" s="1"/>
  <c r="BR82" i="153"/>
  <c r="BR11" i="153"/>
  <c r="BR12" i="153" s="1"/>
  <c r="BR15" i="153"/>
  <c r="BR16" i="153" s="1"/>
  <c r="Y82" i="154"/>
  <c r="Y15" i="154"/>
  <c r="Y16" i="154" s="1"/>
  <c r="Y11" i="154"/>
  <c r="Y12" i="154" s="1"/>
  <c r="Y82" i="155"/>
  <c r="Y15" i="155"/>
  <c r="Y16" i="155" s="1"/>
  <c r="Y11" i="155"/>
  <c r="Y12" i="155" s="1"/>
  <c r="T11" i="154"/>
  <c r="T12" i="154" s="1"/>
  <c r="T82" i="154"/>
  <c r="T15" i="154"/>
  <c r="T16" i="154" s="1"/>
  <c r="BS82" i="153"/>
  <c r="BS15" i="153"/>
  <c r="BS16" i="153" s="1"/>
  <c r="BS11" i="153"/>
  <c r="BS12" i="153" s="1"/>
  <c r="BL82" i="153"/>
  <c r="BL11" i="153"/>
  <c r="BL12" i="153" s="1"/>
  <c r="BL15" i="153"/>
  <c r="BL16" i="153" s="1"/>
  <c r="AQ82" i="153"/>
  <c r="AQ15" i="153"/>
  <c r="AQ16" i="153" s="1"/>
  <c r="AQ11" i="153"/>
  <c r="AQ12" i="153" s="1"/>
  <c r="AM82" i="153"/>
  <c r="AM15" i="153"/>
  <c r="AM16" i="153" s="1"/>
  <c r="AM11" i="153"/>
  <c r="AM12" i="153" s="1"/>
  <c r="AU82" i="155"/>
  <c r="AU15" i="155"/>
  <c r="AU16" i="155" s="1"/>
  <c r="AU11" i="155"/>
  <c r="AU12" i="155" s="1"/>
  <c r="AQ82" i="155"/>
  <c r="AQ15" i="155"/>
  <c r="AQ16" i="155" s="1"/>
  <c r="AQ11" i="155"/>
  <c r="AQ12" i="155" s="1"/>
  <c r="AC82" i="154"/>
  <c r="AC11" i="154"/>
  <c r="AC12" i="154" s="1"/>
  <c r="AC15" i="154"/>
  <c r="AC16" i="154" s="1"/>
  <c r="J9" i="154"/>
  <c r="BS82" i="155"/>
  <c r="BS11" i="155"/>
  <c r="BS12" i="155" s="1"/>
  <c r="BS15" i="155"/>
  <c r="BS16" i="155" s="1"/>
  <c r="AU82" i="154"/>
  <c r="AU15" i="154"/>
  <c r="AU16" i="154" s="1"/>
  <c r="AU11" i="154"/>
  <c r="AU12" i="154" s="1"/>
  <c r="U82" i="153"/>
  <c r="U11" i="153"/>
  <c r="U12" i="153" s="1"/>
  <c r="U15" i="153"/>
  <c r="U16" i="153" s="1"/>
  <c r="AT82" i="153"/>
  <c r="AT11" i="153"/>
  <c r="AT12" i="153" s="1"/>
  <c r="AT15" i="153"/>
  <c r="AT16" i="153" s="1"/>
  <c r="AK82" i="153"/>
  <c r="AK15" i="153"/>
  <c r="AK16" i="153" s="1"/>
  <c r="AK11" i="153"/>
  <c r="AK12" i="153" s="1"/>
  <c r="AR82" i="155"/>
  <c r="AR15" i="155"/>
  <c r="AR16" i="155" s="1"/>
  <c r="AR11" i="155"/>
  <c r="AR12" i="155" s="1"/>
  <c r="X82" i="153"/>
  <c r="X11" i="153"/>
  <c r="X12" i="153" s="1"/>
  <c r="X15" i="153"/>
  <c r="X16" i="153" s="1"/>
  <c r="AL82" i="154"/>
  <c r="AL11" i="154"/>
  <c r="AL12" i="154" s="1"/>
  <c r="AL15" i="154"/>
  <c r="AL16" i="154" s="1"/>
  <c r="AL82" i="155"/>
  <c r="AL11" i="155"/>
  <c r="AL12" i="155" s="1"/>
  <c r="AL15" i="155"/>
  <c r="AL16" i="155" s="1"/>
  <c r="BB82" i="154"/>
  <c r="BB15" i="154"/>
  <c r="BB16" i="154" s="1"/>
  <c r="BB11" i="154"/>
  <c r="BB12" i="154" s="1"/>
  <c r="AS82" i="153"/>
  <c r="AS11" i="153"/>
  <c r="AS12" i="153" s="1"/>
  <c r="AS15" i="153"/>
  <c r="AS16" i="153" s="1"/>
  <c r="BE82" i="153"/>
  <c r="BE15" i="153"/>
  <c r="BE16" i="153" s="1"/>
  <c r="BE11" i="153"/>
  <c r="BE12" i="153" s="1"/>
  <c r="BM82" i="155"/>
  <c r="M9" i="155"/>
  <c r="BM15" i="155"/>
  <c r="BM16" i="155" s="1"/>
  <c r="BM11" i="155"/>
  <c r="BM12" i="155" s="1"/>
  <c r="AZ82" i="153"/>
  <c r="AZ11" i="153"/>
  <c r="AZ12" i="153" s="1"/>
  <c r="AZ15" i="153"/>
  <c r="AZ16" i="153" s="1"/>
  <c r="BK82" i="154"/>
  <c r="BK11" i="154"/>
  <c r="BK12" i="154" s="1"/>
  <c r="BK15" i="154"/>
  <c r="BK16" i="154" s="1"/>
  <c r="AV82" i="154"/>
  <c r="AV11" i="154"/>
  <c r="AV12" i="154" s="1"/>
  <c r="AV15" i="154"/>
  <c r="AV16" i="154" s="1"/>
  <c r="AP82" i="154"/>
  <c r="AP15" i="154"/>
  <c r="AP16" i="154" s="1"/>
  <c r="AP11" i="154"/>
  <c r="AP12" i="154" s="1"/>
  <c r="AB82" i="154"/>
  <c r="AB11" i="154"/>
  <c r="AB12" i="154" s="1"/>
  <c r="AB15" i="154"/>
  <c r="AB16" i="154" s="1"/>
  <c r="U82" i="154"/>
  <c r="U15" i="154"/>
  <c r="U16" i="154" s="1"/>
  <c r="U11" i="154"/>
  <c r="U12" i="154" s="1"/>
  <c r="BU82" i="153"/>
  <c r="BU15" i="153"/>
  <c r="BU16" i="153" s="1"/>
  <c r="BU11" i="153"/>
  <c r="BU12" i="153" s="1"/>
  <c r="AN82" i="153"/>
  <c r="AN15" i="153"/>
  <c r="AN16" i="153" s="1"/>
  <c r="AN11" i="153"/>
  <c r="AN12" i="153" s="1"/>
  <c r="Z82" i="155"/>
  <c r="Z15" i="155"/>
  <c r="Z16" i="155" s="1"/>
  <c r="Z11" i="155"/>
  <c r="Z12" i="155" s="1"/>
  <c r="BY82" i="155"/>
  <c r="N9" i="155"/>
  <c r="BY11" i="155"/>
  <c r="BY12" i="155" s="1"/>
  <c r="BY15" i="155"/>
  <c r="BY16" i="155" s="1"/>
  <c r="I104" i="153"/>
  <c r="I105" i="153" s="1"/>
  <c r="I40" i="153"/>
  <c r="AE82" i="153"/>
  <c r="AE11" i="153"/>
  <c r="AE12" i="153" s="1"/>
  <c r="AE15" i="153"/>
  <c r="AE16" i="153" s="1"/>
  <c r="BF82" i="153"/>
  <c r="BF15" i="153"/>
  <c r="BF16" i="153" s="1"/>
  <c r="BF11" i="153"/>
  <c r="BF12" i="153" s="1"/>
  <c r="BA82" i="154"/>
  <c r="L9" i="154"/>
  <c r="BA15" i="154"/>
  <c r="BA16" i="154" s="1"/>
  <c r="BA11" i="154"/>
  <c r="BA12" i="154" s="1"/>
  <c r="AG82" i="155"/>
  <c r="AG11" i="155"/>
  <c r="AG12" i="155" s="1"/>
  <c r="AG15" i="155"/>
  <c r="AG16" i="155" s="1"/>
  <c r="AF82" i="153"/>
  <c r="AF11" i="153"/>
  <c r="AF12" i="153" s="1"/>
  <c r="AF15" i="153"/>
  <c r="AF16" i="153" s="1"/>
  <c r="BP82" i="153"/>
  <c r="BP11" i="153"/>
  <c r="BP12" i="153" s="1"/>
  <c r="BP15" i="153"/>
  <c r="BP16" i="153" s="1"/>
  <c r="BG82" i="153"/>
  <c r="BG15" i="153"/>
  <c r="BG16" i="153" s="1"/>
  <c r="BG11" i="153"/>
  <c r="BG12" i="153" s="1"/>
  <c r="AT82" i="155"/>
  <c r="AT15" i="155"/>
  <c r="AT16" i="155" s="1"/>
  <c r="AT11" i="155"/>
  <c r="AT12" i="155" s="1"/>
  <c r="S82" i="155"/>
  <c r="S11" i="155"/>
  <c r="S12" i="155" s="1"/>
  <c r="S15" i="155"/>
  <c r="S16" i="155" s="1"/>
  <c r="U82" i="155"/>
  <c r="U15" i="155"/>
  <c r="U16" i="155" s="1"/>
  <c r="U11" i="155"/>
  <c r="U12" i="155" s="1"/>
  <c r="AK82" i="154"/>
  <c r="AK11" i="154"/>
  <c r="AK12" i="154" s="1"/>
  <c r="AK15" i="154"/>
  <c r="AK16" i="154" s="1"/>
  <c r="BI82" i="154"/>
  <c r="BI15" i="154"/>
  <c r="BI16" i="154" s="1"/>
  <c r="BI11" i="154"/>
  <c r="BI12" i="154" s="1"/>
  <c r="AJ82" i="154"/>
  <c r="AJ11" i="154"/>
  <c r="AJ12" i="154" s="1"/>
  <c r="AJ15" i="154"/>
  <c r="AJ16" i="154" s="1"/>
  <c r="AO82" i="154"/>
  <c r="AO15" i="154"/>
  <c r="AO16" i="154" s="1"/>
  <c r="K9" i="154"/>
  <c r="AO11" i="154"/>
  <c r="AO12" i="154" s="1"/>
  <c r="BC82" i="154"/>
  <c r="BC15" i="154"/>
  <c r="BC16" i="154" s="1"/>
  <c r="BC11" i="154"/>
  <c r="BC12" i="154" s="1"/>
  <c r="AP82" i="155"/>
  <c r="AP15" i="155"/>
  <c r="AP16" i="155" s="1"/>
  <c r="AP11" i="155"/>
  <c r="AP12" i="155" s="1"/>
  <c r="BA82" i="153"/>
  <c r="BA15" i="153"/>
  <c r="BA16" i="153" s="1"/>
  <c r="L9" i="153"/>
  <c r="BA11" i="153"/>
  <c r="BA12" i="153" s="1"/>
  <c r="AM82" i="155"/>
  <c r="AM11" i="155"/>
  <c r="AM12" i="155" s="1"/>
  <c r="AM15" i="155"/>
  <c r="AM16" i="155" s="1"/>
  <c r="BT82" i="155"/>
  <c r="BT11" i="155"/>
  <c r="BT12" i="155" s="1"/>
  <c r="BT15" i="155"/>
  <c r="BT16" i="155" s="1"/>
  <c r="AR82" i="153"/>
  <c r="AR15" i="153"/>
  <c r="AR16" i="153" s="1"/>
  <c r="AR11" i="153"/>
  <c r="AR12" i="153" s="1"/>
  <c r="AX82" i="153"/>
  <c r="AX11" i="153"/>
  <c r="AX12" i="153" s="1"/>
  <c r="AX15" i="153"/>
  <c r="AX16" i="153" s="1"/>
  <c r="BQ82" i="153"/>
  <c r="BQ15" i="153"/>
  <c r="BQ16" i="153" s="1"/>
  <c r="BQ11" i="153"/>
  <c r="BQ12" i="153" s="1"/>
  <c r="AA82" i="155"/>
  <c r="AA15" i="155"/>
  <c r="AA16" i="155" s="1"/>
  <c r="AA11" i="155"/>
  <c r="AA12" i="155" s="1"/>
  <c r="BM82" i="153"/>
  <c r="BM11" i="153"/>
  <c r="BM12" i="153" s="1"/>
  <c r="M9" i="153"/>
  <c r="BM15" i="153"/>
  <c r="BM16" i="153" s="1"/>
  <c r="BJ82" i="153"/>
  <c r="BJ15" i="153"/>
  <c r="BJ16" i="153" s="1"/>
  <c r="BJ11" i="153"/>
  <c r="BJ12" i="153" s="1"/>
  <c r="AO82" i="155"/>
  <c r="AO15" i="155"/>
  <c r="AO16" i="155" s="1"/>
  <c r="AO11" i="155"/>
  <c r="AO12" i="155" s="1"/>
  <c r="K9" i="155"/>
  <c r="BG82" i="155"/>
  <c r="BG11" i="155"/>
  <c r="BG12" i="155" s="1"/>
  <c r="BG15" i="155"/>
  <c r="BG16" i="155" s="1"/>
  <c r="BU82" i="155"/>
  <c r="BU11" i="155"/>
  <c r="BU12" i="155" s="1"/>
  <c r="BU15" i="155"/>
  <c r="BU16" i="155" s="1"/>
  <c r="AI82" i="155"/>
  <c r="AI11" i="155"/>
  <c r="AI12" i="155" s="1"/>
  <c r="AI15" i="155"/>
  <c r="AI16" i="155" s="1"/>
  <c r="AZ82" i="154"/>
  <c r="AZ15" i="154"/>
  <c r="AZ16" i="154" s="1"/>
  <c r="AZ11" i="154"/>
  <c r="AZ12" i="154" s="1"/>
  <c r="AI82" i="154"/>
  <c r="AI11" i="154"/>
  <c r="AI12" i="154" s="1"/>
  <c r="AI15" i="154"/>
  <c r="AI16" i="154" s="1"/>
  <c r="BS82" i="154"/>
  <c r="BS15" i="154"/>
  <c r="BS16" i="154" s="1"/>
  <c r="BS11" i="154"/>
  <c r="BS12" i="154" s="1"/>
  <c r="BW82" i="154"/>
  <c r="BW15" i="154"/>
  <c r="BW16" i="154" s="1"/>
  <c r="BW11" i="154"/>
  <c r="BW12" i="154" s="1"/>
  <c r="AH82" i="153"/>
  <c r="AH15" i="153"/>
  <c r="AH16" i="153" s="1"/>
  <c r="AH11" i="153"/>
  <c r="AH12" i="153" s="1"/>
  <c r="AJ82" i="155"/>
  <c r="AJ11" i="155"/>
  <c r="AJ12" i="155" s="1"/>
  <c r="AJ15" i="155"/>
  <c r="AJ16" i="155" s="1"/>
  <c r="V82" i="155"/>
  <c r="V15" i="155"/>
  <c r="V16" i="155" s="1"/>
  <c r="V11" i="155"/>
  <c r="V12" i="155" s="1"/>
  <c r="AB82" i="155"/>
  <c r="AB11" i="155"/>
  <c r="AB12" i="155" s="1"/>
  <c r="AB15" i="155"/>
  <c r="AB16" i="155" s="1"/>
  <c r="AW82" i="154"/>
  <c r="AW11" i="154"/>
  <c r="AW12" i="154" s="1"/>
  <c r="AW15" i="154"/>
  <c r="AW16" i="154" s="1"/>
  <c r="S82" i="153"/>
  <c r="S15" i="153"/>
  <c r="S16" i="153" s="1"/>
  <c r="S11" i="153"/>
  <c r="S12" i="153" s="1"/>
  <c r="AN82" i="155"/>
  <c r="AN15" i="155"/>
  <c r="AN16" i="155" s="1"/>
  <c r="AN11" i="155"/>
  <c r="AN12" i="155" s="1"/>
  <c r="BB82" i="153"/>
  <c r="BB15" i="153"/>
  <c r="BB16" i="153" s="1"/>
  <c r="BB11" i="153"/>
  <c r="BB12" i="153" s="1"/>
  <c r="AQ82" i="154"/>
  <c r="AQ15" i="154"/>
  <c r="AQ16" i="154" s="1"/>
  <c r="AQ11" i="154"/>
  <c r="AQ12" i="154" s="1"/>
  <c r="I104" i="154"/>
  <c r="I40" i="154"/>
  <c r="BH82" i="153"/>
  <c r="BH11" i="153"/>
  <c r="BH12" i="153" s="1"/>
  <c r="BH15" i="153"/>
  <c r="BH16" i="153" s="1"/>
  <c r="BD82" i="153"/>
  <c r="BD15" i="153"/>
  <c r="BD16" i="153" s="1"/>
  <c r="BD11" i="153"/>
  <c r="BD12" i="153" s="1"/>
  <c r="BC82" i="155"/>
  <c r="BC11" i="155"/>
  <c r="BC12" i="155" s="1"/>
  <c r="BC15" i="155"/>
  <c r="BC16" i="155" s="1"/>
  <c r="AH82" i="155"/>
  <c r="AH11" i="155"/>
  <c r="AH12" i="155" s="1"/>
  <c r="AH15" i="155"/>
  <c r="AH16" i="155" s="1"/>
  <c r="BO82" i="155"/>
  <c r="BO15" i="155"/>
  <c r="BO16" i="155" s="1"/>
  <c r="BO11" i="155"/>
  <c r="BO12" i="155" s="1"/>
  <c r="BQ82" i="155"/>
  <c r="BQ11" i="155"/>
  <c r="BQ12" i="155" s="1"/>
  <c r="BQ15" i="155"/>
  <c r="BQ16" i="155" s="1"/>
  <c r="T82" i="153"/>
  <c r="T15" i="153"/>
  <c r="T16" i="153" s="1"/>
  <c r="T11" i="153"/>
  <c r="T12" i="153" s="1"/>
  <c r="AX82" i="154"/>
  <c r="AX11" i="154"/>
  <c r="AX12" i="154" s="1"/>
  <c r="AX15" i="154"/>
  <c r="AX16" i="154" s="1"/>
  <c r="AD82" i="154"/>
  <c r="AD11" i="154"/>
  <c r="AD12" i="154" s="1"/>
  <c r="AD15" i="154"/>
  <c r="AD16" i="154" s="1"/>
  <c r="BW82" i="153"/>
  <c r="BW11" i="153"/>
  <c r="BW12" i="153" s="1"/>
  <c r="BW15" i="153"/>
  <c r="BW16" i="153" s="1"/>
  <c r="AE82" i="155"/>
  <c r="AE11" i="155"/>
  <c r="AE12" i="155" s="1"/>
  <c r="AE15" i="155"/>
  <c r="AE16" i="155" s="1"/>
  <c r="BR82" i="155"/>
  <c r="BR11" i="155"/>
  <c r="BR12" i="155" s="1"/>
  <c r="BR15" i="155"/>
  <c r="BR16" i="155" s="1"/>
  <c r="AR82" i="154"/>
  <c r="AR15" i="154"/>
  <c r="AR16" i="154" s="1"/>
  <c r="AR11" i="154"/>
  <c r="AR12" i="154" s="1"/>
  <c r="BJ82" i="154"/>
  <c r="BJ15" i="154"/>
  <c r="BJ16" i="154" s="1"/>
  <c r="BJ11" i="154"/>
  <c r="BJ12" i="154" s="1"/>
  <c r="BH82" i="155"/>
  <c r="BH15" i="155"/>
  <c r="BH16" i="155" s="1"/>
  <c r="BH11" i="155"/>
  <c r="BH12" i="155" s="1"/>
  <c r="BV82" i="155"/>
  <c r="BV11" i="155"/>
  <c r="BV12" i="155" s="1"/>
  <c r="BV15" i="155"/>
  <c r="BV16" i="155" s="1"/>
  <c r="BY82" i="153"/>
  <c r="BY15" i="153"/>
  <c r="BY16" i="153" s="1"/>
  <c r="N9" i="153"/>
  <c r="BY11" i="153"/>
  <c r="BY12" i="153" s="1"/>
  <c r="AF82" i="154"/>
  <c r="AF15" i="154"/>
  <c r="AF16" i="154" s="1"/>
  <c r="AF11" i="154"/>
  <c r="AF12" i="154" s="1"/>
  <c r="I104" i="155"/>
  <c r="I40" i="155"/>
  <c r="AG82" i="153"/>
  <c r="AG15" i="153"/>
  <c r="AG16" i="153" s="1"/>
  <c r="AG11" i="153"/>
  <c r="AG12" i="153" s="1"/>
  <c r="BL82" i="155"/>
  <c r="BL15" i="155"/>
  <c r="BL16" i="155" s="1"/>
  <c r="BL11" i="155"/>
  <c r="BL12" i="155" s="1"/>
  <c r="AD82" i="155"/>
  <c r="AD11" i="155"/>
  <c r="AD12" i="155" s="1"/>
  <c r="AD15" i="155"/>
  <c r="AD16" i="155" s="1"/>
  <c r="AV82" i="155"/>
  <c r="AV11" i="155"/>
  <c r="AV12" i="155" s="1"/>
  <c r="AV15" i="155"/>
  <c r="AV16" i="155" s="1"/>
  <c r="X82" i="154"/>
  <c r="X15" i="154"/>
  <c r="X16" i="154" s="1"/>
  <c r="X11" i="154"/>
  <c r="X12" i="154" s="1"/>
  <c r="Z82" i="154"/>
  <c r="Z15" i="154"/>
  <c r="Z16" i="154" s="1"/>
  <c r="Z11" i="154"/>
  <c r="Z12" i="154" s="1"/>
  <c r="AL82" i="153"/>
  <c r="AL15" i="153"/>
  <c r="AL16" i="153" s="1"/>
  <c r="AL11" i="153"/>
  <c r="AL12" i="153" s="1"/>
  <c r="AK82" i="155"/>
  <c r="AK11" i="155"/>
  <c r="AK12" i="155" s="1"/>
  <c r="AK15" i="155"/>
  <c r="AK16" i="155" s="1"/>
  <c r="Z82" i="153"/>
  <c r="Z11" i="153"/>
  <c r="Z12" i="153" s="1"/>
  <c r="Z15" i="153"/>
  <c r="Z16" i="153" s="1"/>
  <c r="AU82" i="153"/>
  <c r="AU15" i="153"/>
  <c r="AU16" i="153" s="1"/>
  <c r="AU11" i="153"/>
  <c r="AU12" i="153" s="1"/>
  <c r="AA82" i="153"/>
  <c r="AA15" i="153"/>
  <c r="AA16" i="153" s="1"/>
  <c r="AA11" i="153"/>
  <c r="AA12" i="153" s="1"/>
  <c r="BK82" i="155"/>
  <c r="BK15" i="155"/>
  <c r="BK16" i="155" s="1"/>
  <c r="BK11" i="155"/>
  <c r="BK12" i="155" s="1"/>
  <c r="AA82" i="154"/>
  <c r="AA15" i="154"/>
  <c r="AA16" i="154" s="1"/>
  <c r="AA11" i="154"/>
  <c r="AA12" i="154" s="1"/>
  <c r="BO82" i="154"/>
  <c r="BO15" i="154"/>
  <c r="BO16" i="154" s="1"/>
  <c r="BO11" i="154"/>
  <c r="BO12" i="154" s="1"/>
  <c r="BY82" i="154"/>
  <c r="N9" i="154"/>
  <c r="BY15" i="154"/>
  <c r="BY16" i="154" s="1"/>
  <c r="BY11" i="154"/>
  <c r="BY12" i="154" s="1"/>
  <c r="BD82" i="154"/>
  <c r="BD15" i="154"/>
  <c r="BD16" i="154" s="1"/>
  <c r="BD11" i="154"/>
  <c r="BD12" i="154" s="1"/>
  <c r="AW82" i="155"/>
  <c r="AW11" i="155"/>
  <c r="AW12" i="155" s="1"/>
  <c r="AW15" i="155"/>
  <c r="AW16" i="155" s="1"/>
  <c r="AC82" i="155"/>
  <c r="AC11" i="155"/>
  <c r="AC12" i="155" s="1"/>
  <c r="AC15" i="155"/>
  <c r="AC16" i="155" s="1"/>
  <c r="J9" i="155"/>
  <c r="BN82" i="155"/>
  <c r="BN15" i="155"/>
  <c r="BN16" i="155" s="1"/>
  <c r="BN11" i="155"/>
  <c r="BN12" i="155" s="1"/>
  <c r="BI82" i="155"/>
  <c r="BI15" i="155"/>
  <c r="BI16" i="155" s="1"/>
  <c r="BI11" i="155"/>
  <c r="BI12" i="155" s="1"/>
  <c r="R82" i="155"/>
  <c r="R11" i="155"/>
  <c r="R12" i="155" s="1"/>
  <c r="R15" i="155"/>
  <c r="R16" i="155" s="1"/>
  <c r="AT82" i="154"/>
  <c r="AT11" i="154"/>
  <c r="AT12" i="154" s="1"/>
  <c r="AT15" i="154"/>
  <c r="AT16" i="154" s="1"/>
  <c r="BL82" i="154"/>
  <c r="BL11" i="154"/>
  <c r="BL12" i="154" s="1"/>
  <c r="BL15" i="154"/>
  <c r="BL16" i="154" s="1"/>
  <c r="BE82" i="154"/>
  <c r="BE15" i="154"/>
  <c r="BE16" i="154" s="1"/>
  <c r="BE11" i="154"/>
  <c r="BE12" i="154" s="1"/>
  <c r="AM82" i="154"/>
  <c r="AM15" i="154"/>
  <c r="AM16" i="154" s="1"/>
  <c r="AM11" i="154"/>
  <c r="AM12" i="154" s="1"/>
  <c r="W82" i="153"/>
  <c r="W11" i="153"/>
  <c r="W12" i="153" s="1"/>
  <c r="W15" i="153"/>
  <c r="W16" i="153" s="1"/>
  <c r="BP82" i="154"/>
  <c r="BP11" i="154"/>
  <c r="BP12" i="154" s="1"/>
  <c r="BP15" i="154"/>
  <c r="BP16" i="154" s="1"/>
  <c r="V82" i="153"/>
  <c r="V15" i="153"/>
  <c r="V16" i="153" s="1"/>
  <c r="V11" i="153"/>
  <c r="V12" i="153" s="1"/>
  <c r="BI82" i="153"/>
  <c r="BI11" i="153"/>
  <c r="BI12" i="153" s="1"/>
  <c r="BI15" i="153"/>
  <c r="BI16" i="153" s="1"/>
  <c r="AO82" i="153"/>
  <c r="AO11" i="153"/>
  <c r="AO12" i="153" s="1"/>
  <c r="K9" i="153"/>
  <c r="AO15" i="153"/>
  <c r="AO16" i="153" s="1"/>
  <c r="AF82" i="155"/>
  <c r="AF11" i="155"/>
  <c r="AF12" i="155" s="1"/>
  <c r="AF15" i="155"/>
  <c r="AF16" i="155" s="1"/>
  <c r="BH82" i="154"/>
  <c r="BH11" i="154"/>
  <c r="BH12" i="154" s="1"/>
  <c r="BH15" i="154"/>
  <c r="BH16" i="154" s="1"/>
  <c r="AN82" i="154"/>
  <c r="AN11" i="154"/>
  <c r="AN12" i="154" s="1"/>
  <c r="AN15" i="154"/>
  <c r="AN16" i="154" s="1"/>
  <c r="AY82" i="154"/>
  <c r="AY15" i="154"/>
  <c r="AY16" i="154" s="1"/>
  <c r="AY11" i="154"/>
  <c r="AY12" i="154" s="1"/>
  <c r="BM82" i="154"/>
  <c r="M9" i="154"/>
  <c r="BM15" i="154"/>
  <c r="BM16" i="154" s="1"/>
  <c r="BM11" i="154"/>
  <c r="BM12" i="154" s="1"/>
  <c r="AS82" i="154"/>
  <c r="AS15" i="154"/>
  <c r="AS16" i="154" s="1"/>
  <c r="AS11" i="154"/>
  <c r="AS12" i="154" s="1"/>
  <c r="T82" i="155"/>
  <c r="T15" i="155"/>
  <c r="T16" i="155" s="1"/>
  <c r="T11" i="155"/>
  <c r="T12" i="155" s="1"/>
  <c r="AD82" i="153"/>
  <c r="AD11" i="153"/>
  <c r="AD12" i="153" s="1"/>
  <c r="AD15" i="153"/>
  <c r="AD16" i="153" s="1"/>
  <c r="J516" i="155" a="1"/>
  <c r="J516" i="155" s="1"/>
  <c r="K516" i="155" s="1" a="1"/>
  <c r="K516" i="155" s="1"/>
  <c r="L516" i="155" s="1" a="1"/>
  <c r="L516" i="155" s="1"/>
  <c r="M516" i="155" s="1" a="1"/>
  <c r="M516" i="155" s="1"/>
  <c r="N516" i="155" s="1" a="1"/>
  <c r="N516" i="155" s="1"/>
  <c r="P516" i="155" s="1"/>
  <c r="J514" i="155"/>
  <c r="K514" i="155" s="1"/>
  <c r="L514" i="155" s="1"/>
  <c r="M514" i="155" s="1"/>
  <c r="N514" i="155" s="1"/>
  <c r="P514" i="155" s="1"/>
  <c r="J513" i="155" a="1"/>
  <c r="J513" i="155" s="1"/>
  <c r="K513" i="155" s="1" a="1"/>
  <c r="K513" i="155" s="1"/>
  <c r="L513" i="155" s="1" a="1"/>
  <c r="L513" i="155" s="1"/>
  <c r="M513" i="155" s="1" a="1"/>
  <c r="M513" i="155" s="1"/>
  <c r="N513" i="155" s="1" a="1"/>
  <c r="N513" i="155" s="1"/>
  <c r="P513" i="155" s="1"/>
  <c r="Z64" i="154"/>
  <c r="R64" i="155"/>
  <c r="R64" i="153"/>
  <c r="Z64" i="153"/>
  <c r="AC64" i="153"/>
  <c r="S64" i="154"/>
  <c r="S129" i="154" s="1"/>
  <c r="U64" i="153"/>
  <c r="U129" i="153" s="1"/>
  <c r="W64" i="153"/>
  <c r="T64" i="153"/>
  <c r="X64" i="153"/>
  <c r="J524" i="153"/>
  <c r="J526" i="153" s="1"/>
  <c r="J527" i="153" s="1"/>
  <c r="AC64" i="155"/>
  <c r="AA64" i="153"/>
  <c r="V64" i="153"/>
  <c r="V64" i="155"/>
  <c r="U64" i="154"/>
  <c r="S64" i="153"/>
  <c r="R64" i="154"/>
  <c r="AB64" i="153"/>
  <c r="AB129" i="153" s="1"/>
  <c r="T64" i="155"/>
  <c r="T129" i="155" s="1"/>
  <c r="J524" i="155"/>
  <c r="J526" i="155" s="1"/>
  <c r="J527" i="155" s="1"/>
  <c r="Y64" i="153"/>
  <c r="Y129" i="153" s="1"/>
  <c r="X64" i="154"/>
  <c r="BQ13" i="105"/>
  <c r="BG13" i="105"/>
  <c r="BH13" i="105"/>
  <c r="BI13" i="105"/>
  <c r="Q13" i="105"/>
  <c r="BK13" i="105"/>
  <c r="BN13" i="105"/>
  <c r="BO13" i="105"/>
  <c r="BR13" i="105"/>
  <c r="BL13" i="105"/>
  <c r="BJ13" i="105"/>
  <c r="BM13" i="105"/>
  <c r="BP13" i="105"/>
  <c r="J514" i="153"/>
  <c r="K514" i="153" s="1"/>
  <c r="L514" i="153" s="1"/>
  <c r="M514" i="153" s="1"/>
  <c r="N514" i="153" s="1"/>
  <c r="P514" i="153" s="1"/>
  <c r="J524" i="154"/>
  <c r="J526" i="154" s="1"/>
  <c r="J527" i="154" s="1"/>
  <c r="D24" i="46"/>
  <c r="I24" i="46" s="1"/>
  <c r="J514" i="154"/>
  <c r="K514" i="154" s="1"/>
  <c r="L514" i="154" s="1"/>
  <c r="M514" i="154" s="1"/>
  <c r="N514" i="154" s="1"/>
  <c r="P514" i="154" s="1"/>
  <c r="J513" i="154" a="1"/>
  <c r="J513" i="154" s="1"/>
  <c r="K513" i="154" s="1" a="1"/>
  <c r="K513" i="154" s="1"/>
  <c r="L513" i="154" s="1" a="1"/>
  <c r="L513" i="154" s="1"/>
  <c r="M513" i="154" s="1" a="1"/>
  <c r="M513" i="154" s="1"/>
  <c r="N513" i="154" s="1" a="1"/>
  <c r="N513" i="154" s="1"/>
  <c r="P513" i="154" s="1"/>
  <c r="J516" i="154" a="1"/>
  <c r="J516" i="154" s="1"/>
  <c r="K516" i="154" s="1" a="1"/>
  <c r="K516" i="154" s="1"/>
  <c r="L516" i="154" s="1" a="1"/>
  <c r="L516" i="154" s="1"/>
  <c r="M516" i="154" s="1" a="1"/>
  <c r="M516" i="154" s="1"/>
  <c r="N516" i="154" s="1" a="1"/>
  <c r="N516" i="154" s="1"/>
  <c r="P516" i="154" s="1"/>
  <c r="K512" i="154"/>
  <c r="J512" i="153"/>
  <c r="J516" i="153" a="1"/>
  <c r="J516" i="153" s="1"/>
  <c r="K516" i="153" s="1" a="1"/>
  <c r="K516" i="153" s="1"/>
  <c r="L516" i="153" s="1" a="1"/>
  <c r="L516" i="153" s="1"/>
  <c r="M516" i="153" s="1" a="1"/>
  <c r="M516" i="153" s="1"/>
  <c r="N516" i="153" s="1" a="1"/>
  <c r="N516" i="153" s="1"/>
  <c r="P516" i="153" s="1"/>
  <c r="J513" i="153" a="1"/>
  <c r="J513" i="153" s="1"/>
  <c r="K513" i="153" s="1" a="1"/>
  <c r="K513" i="153" s="1"/>
  <c r="L513" i="153" s="1" a="1"/>
  <c r="L513" i="153" s="1"/>
  <c r="M513" i="153" s="1" a="1"/>
  <c r="M513" i="153" s="1"/>
  <c r="N513" i="153" s="1" a="1"/>
  <c r="N513" i="153" s="1"/>
  <c r="P513" i="153" s="1"/>
  <c r="L509" i="154" a="1"/>
  <c r="L509" i="154" s="1"/>
  <c r="M509" i="154" s="1" a="1"/>
  <c r="M509" i="154" s="1"/>
  <c r="R160" i="154"/>
  <c r="R161" i="154" s="1"/>
  <c r="J512" i="154"/>
  <c r="R160" i="153"/>
  <c r="R161" i="153" s="1"/>
  <c r="K509" i="153" a="1"/>
  <c r="K509" i="153" s="1"/>
  <c r="L509" i="153" s="1" a="1"/>
  <c r="L509" i="153" s="1"/>
  <c r="L512" i="153" s="1"/>
  <c r="R160" i="155"/>
  <c r="R161" i="155" s="1"/>
  <c r="N9" i="105"/>
  <c r="L509" i="155" a="1"/>
  <c r="L509" i="155" s="1"/>
  <c r="M509" i="155" s="1" a="1"/>
  <c r="M509" i="155" s="1"/>
  <c r="K512" i="155"/>
  <c r="J512" i="155"/>
  <c r="J524" i="99"/>
  <c r="J526" i="99" s="1"/>
  <c r="J527" i="99" s="1"/>
  <c r="L521" i="154" a="1"/>
  <c r="L521" i="154" s="1"/>
  <c r="K524" i="154"/>
  <c r="K526" i="154" s="1"/>
  <c r="K527" i="154" s="1"/>
  <c r="K524" i="153"/>
  <c r="K526" i="153" s="1"/>
  <c r="K527" i="153" s="1"/>
  <c r="L521" i="153" a="1"/>
  <c r="L521" i="153" s="1"/>
  <c r="K524" i="155"/>
  <c r="K526" i="155" s="1"/>
  <c r="K527" i="155" s="1"/>
  <c r="L521" i="155" a="1"/>
  <c r="L521" i="155" s="1"/>
  <c r="L521" i="99" a="1"/>
  <c r="L521" i="99" s="1"/>
  <c r="K524" i="99"/>
  <c r="K526" i="99" s="1"/>
  <c r="K527" i="99" s="1"/>
  <c r="J516" i="99" a="1"/>
  <c r="J516" i="99" s="1"/>
  <c r="K516" i="99" s="1" a="1"/>
  <c r="K516" i="99" s="1"/>
  <c r="L516" i="99" s="1" a="1"/>
  <c r="L516" i="99" s="1"/>
  <c r="M516" i="99" s="1" a="1"/>
  <c r="M516" i="99" s="1"/>
  <c r="N516" i="99" s="1" a="1"/>
  <c r="N516" i="99" s="1"/>
  <c r="J513" i="99" a="1"/>
  <c r="J513" i="99" s="1"/>
  <c r="K513" i="99" s="1" a="1"/>
  <c r="K513" i="99" s="1"/>
  <c r="L513" i="99" s="1" a="1"/>
  <c r="L513" i="99" s="1"/>
  <c r="T548" i="99"/>
  <c r="T612" i="99" s="1"/>
  <c r="T539" i="99"/>
  <c r="T603" i="99" s="1"/>
  <c r="T540" i="99"/>
  <c r="T604" i="99" s="1"/>
  <c r="E123" i="34"/>
  <c r="J159" i="104" a="1"/>
  <c r="J159" i="104" s="1"/>
  <c r="K159" i="104" s="1"/>
  <c r="I618" i="155"/>
  <c r="I622" i="155"/>
  <c r="I618" i="154"/>
  <c r="I618" i="153"/>
  <c r="I622" i="153"/>
  <c r="I591" i="153"/>
  <c r="I591" i="155"/>
  <c r="I582" i="154"/>
  <c r="I591" i="154"/>
  <c r="I582" i="155"/>
  <c r="I146" i="155"/>
  <c r="R534" i="154"/>
  <c r="R598" i="154" s="1"/>
  <c r="K534" i="154"/>
  <c r="J598" i="154"/>
  <c r="S534" i="154"/>
  <c r="S598" i="154" s="1"/>
  <c r="T534" i="154"/>
  <c r="T598" i="154" s="1"/>
  <c r="U534" i="154"/>
  <c r="U598" i="154" s="1"/>
  <c r="V534" i="154"/>
  <c r="V598" i="154" s="1"/>
  <c r="W534" i="154"/>
  <c r="W598" i="154" s="1"/>
  <c r="X534" i="154"/>
  <c r="X598" i="154" s="1"/>
  <c r="Y534" i="154"/>
  <c r="Y598" i="154" s="1"/>
  <c r="Z534" i="154"/>
  <c r="Z598" i="154" s="1"/>
  <c r="AA534" i="154"/>
  <c r="AA598" i="154" s="1"/>
  <c r="AB534" i="154"/>
  <c r="AB598" i="154" s="1"/>
  <c r="AC534" i="154"/>
  <c r="AC598" i="154" s="1"/>
  <c r="J604" i="153"/>
  <c r="K540" i="153"/>
  <c r="R540" i="153"/>
  <c r="R604" i="153" s="1"/>
  <c r="S540" i="153"/>
  <c r="S604" i="153" s="1"/>
  <c r="T540" i="153"/>
  <c r="T604" i="153" s="1"/>
  <c r="U540" i="153"/>
  <c r="U604" i="153" s="1"/>
  <c r="V540" i="153"/>
  <c r="V604" i="153" s="1"/>
  <c r="W540" i="153"/>
  <c r="W604" i="153" s="1"/>
  <c r="X540" i="153"/>
  <c r="X604" i="153" s="1"/>
  <c r="Y540" i="153"/>
  <c r="Y604" i="153" s="1"/>
  <c r="Z540" i="153"/>
  <c r="Z604" i="153" s="1"/>
  <c r="AA540" i="153"/>
  <c r="AA604" i="153" s="1"/>
  <c r="AB540" i="153"/>
  <c r="AB604" i="153" s="1"/>
  <c r="AC540" i="153"/>
  <c r="AC604" i="153" s="1"/>
  <c r="I147" i="153"/>
  <c r="R507" i="155"/>
  <c r="S507" i="155"/>
  <c r="J573" i="155"/>
  <c r="T507" i="155"/>
  <c r="U507" i="155"/>
  <c r="V507" i="155"/>
  <c r="W507" i="155"/>
  <c r="X507" i="155"/>
  <c r="Y507" i="155"/>
  <c r="Z507" i="155"/>
  <c r="AA507" i="155"/>
  <c r="AB507" i="155"/>
  <c r="AC507" i="155"/>
  <c r="I148" i="155"/>
  <c r="J602" i="153"/>
  <c r="R538" i="153"/>
  <c r="J542" i="153"/>
  <c r="K538" i="153"/>
  <c r="S538" i="153"/>
  <c r="T538" i="153"/>
  <c r="U538" i="153"/>
  <c r="V538" i="153"/>
  <c r="W538" i="153"/>
  <c r="X538" i="153"/>
  <c r="Y538" i="153"/>
  <c r="Z538" i="153"/>
  <c r="AA538" i="153"/>
  <c r="AB538" i="153"/>
  <c r="AC538" i="153"/>
  <c r="R523" i="154"/>
  <c r="R587" i="154" s="1"/>
  <c r="J587" i="154"/>
  <c r="S523" i="154"/>
  <c r="S587" i="154" s="1"/>
  <c r="T523" i="154"/>
  <c r="T587" i="154" s="1"/>
  <c r="U523" i="154"/>
  <c r="U587" i="154" s="1"/>
  <c r="V523" i="154"/>
  <c r="V587" i="154" s="1"/>
  <c r="W523" i="154"/>
  <c r="W587" i="154" s="1"/>
  <c r="X523" i="154"/>
  <c r="X587" i="154" s="1"/>
  <c r="Y523" i="154"/>
  <c r="Y587" i="154" s="1"/>
  <c r="Z523" i="154"/>
  <c r="Z587" i="154" s="1"/>
  <c r="AA523" i="154"/>
  <c r="AA587" i="154" s="1"/>
  <c r="AB523" i="154"/>
  <c r="AB587" i="154" s="1"/>
  <c r="AC523" i="154"/>
  <c r="AC587" i="154" s="1"/>
  <c r="I145" i="155"/>
  <c r="I146" i="153"/>
  <c r="J549" i="153"/>
  <c r="J613" i="153" s="1"/>
  <c r="J611" i="153"/>
  <c r="R547" i="153"/>
  <c r="K547" i="153"/>
  <c r="S547" i="153"/>
  <c r="T547" i="153"/>
  <c r="U547" i="153"/>
  <c r="V547" i="153"/>
  <c r="W547" i="153"/>
  <c r="X547" i="153"/>
  <c r="Y547" i="153"/>
  <c r="Z547" i="153"/>
  <c r="AA547" i="153"/>
  <c r="AB547" i="153"/>
  <c r="AC547" i="153"/>
  <c r="I146" i="154"/>
  <c r="I613" i="154"/>
  <c r="I148" i="153"/>
  <c r="R539" i="155"/>
  <c r="R603" i="155" s="1"/>
  <c r="K539" i="155"/>
  <c r="S539" i="155"/>
  <c r="S603" i="155" s="1"/>
  <c r="J603" i="155"/>
  <c r="T539" i="155"/>
  <c r="T603" i="155" s="1"/>
  <c r="U539" i="155"/>
  <c r="U603" i="155" s="1"/>
  <c r="V539" i="155"/>
  <c r="V603" i="155" s="1"/>
  <c r="W539" i="155"/>
  <c r="W603" i="155" s="1"/>
  <c r="X539" i="155"/>
  <c r="X603" i="155" s="1"/>
  <c r="Y539" i="155"/>
  <c r="Y603" i="155" s="1"/>
  <c r="Z539" i="155"/>
  <c r="Z603" i="155" s="1"/>
  <c r="AA539" i="155"/>
  <c r="AA603" i="155" s="1"/>
  <c r="AB539" i="155"/>
  <c r="AB603" i="155" s="1"/>
  <c r="AC539" i="155"/>
  <c r="AC603" i="155" s="1"/>
  <c r="I582" i="153"/>
  <c r="R507" i="154"/>
  <c r="J573" i="154"/>
  <c r="S507" i="154"/>
  <c r="T507" i="154"/>
  <c r="U507" i="154"/>
  <c r="V507" i="154"/>
  <c r="W507" i="154"/>
  <c r="X507" i="154"/>
  <c r="Y507" i="154"/>
  <c r="Z507" i="154"/>
  <c r="AA507" i="154"/>
  <c r="AB507" i="154"/>
  <c r="AC507" i="154"/>
  <c r="I599" i="154"/>
  <c r="I606" i="155"/>
  <c r="I544" i="155"/>
  <c r="I54" i="155" s="1"/>
  <c r="I119" i="155" s="1"/>
  <c r="R521" i="154"/>
  <c r="J585" i="154"/>
  <c r="S521" i="154"/>
  <c r="T521" i="154"/>
  <c r="U521" i="154"/>
  <c r="V521" i="154"/>
  <c r="W521" i="154"/>
  <c r="X521" i="154"/>
  <c r="Y521" i="154"/>
  <c r="Z521" i="154"/>
  <c r="AA521" i="154"/>
  <c r="AB521" i="154"/>
  <c r="AC521" i="154"/>
  <c r="R548" i="153"/>
  <c r="R612" i="153" s="1"/>
  <c r="K548" i="153"/>
  <c r="J612" i="153"/>
  <c r="S548" i="153"/>
  <c r="S612" i="153" s="1"/>
  <c r="T548" i="153"/>
  <c r="T612" i="153" s="1"/>
  <c r="U548" i="153"/>
  <c r="U612" i="153" s="1"/>
  <c r="V548" i="153"/>
  <c r="V612" i="153" s="1"/>
  <c r="W548" i="153"/>
  <c r="W612" i="153" s="1"/>
  <c r="X548" i="153"/>
  <c r="X612" i="153" s="1"/>
  <c r="Y548" i="153"/>
  <c r="Y612" i="153" s="1"/>
  <c r="Z548" i="153"/>
  <c r="Z612" i="153" s="1"/>
  <c r="AA548" i="153"/>
  <c r="AA612" i="153" s="1"/>
  <c r="AB548" i="153"/>
  <c r="AB612" i="153" s="1"/>
  <c r="AC548" i="153"/>
  <c r="AC612" i="153" s="1"/>
  <c r="K538" i="155"/>
  <c r="S538" i="155"/>
  <c r="J542" i="155"/>
  <c r="J602" i="155"/>
  <c r="R538" i="155"/>
  <c r="T538" i="155"/>
  <c r="U538" i="155"/>
  <c r="V538" i="155"/>
  <c r="W538" i="155"/>
  <c r="X538" i="155"/>
  <c r="Y538" i="155"/>
  <c r="Z538" i="155"/>
  <c r="AA538" i="155"/>
  <c r="AB538" i="155"/>
  <c r="AC538" i="155"/>
  <c r="I147" i="155"/>
  <c r="S509" i="155"/>
  <c r="S573" i="155" s="1"/>
  <c r="R509" i="155"/>
  <c r="R573" i="155" s="1"/>
  <c r="T509" i="155"/>
  <c r="T573" i="155" s="1"/>
  <c r="U509" i="155"/>
  <c r="U573" i="155" s="1"/>
  <c r="V509" i="155"/>
  <c r="V573" i="155" s="1"/>
  <c r="W509" i="155"/>
  <c r="W573" i="155" s="1"/>
  <c r="X509" i="155"/>
  <c r="X573" i="155" s="1"/>
  <c r="Y509" i="155"/>
  <c r="Y573" i="155" s="1"/>
  <c r="Z509" i="155"/>
  <c r="Z573" i="155" s="1"/>
  <c r="AA509" i="155"/>
  <c r="AA573" i="155" s="1"/>
  <c r="AB509" i="155"/>
  <c r="AB573" i="155" s="1"/>
  <c r="AC509" i="155"/>
  <c r="AC573" i="155" s="1"/>
  <c r="K547" i="154"/>
  <c r="R547" i="154"/>
  <c r="J611" i="154"/>
  <c r="J549" i="154"/>
  <c r="J613" i="154" s="1"/>
  <c r="S547" i="154"/>
  <c r="T547" i="154"/>
  <c r="U547" i="154"/>
  <c r="V547" i="154"/>
  <c r="W547" i="154"/>
  <c r="X547" i="154"/>
  <c r="Y547" i="154"/>
  <c r="Z547" i="154"/>
  <c r="AA547" i="154"/>
  <c r="AB547" i="154"/>
  <c r="AC547" i="154"/>
  <c r="R541" i="154"/>
  <c r="R605" i="154" s="1"/>
  <c r="J605" i="154"/>
  <c r="K541" i="154"/>
  <c r="S541" i="154"/>
  <c r="S605" i="154" s="1"/>
  <c r="T541" i="154"/>
  <c r="T605" i="154" s="1"/>
  <c r="U541" i="154"/>
  <c r="U605" i="154" s="1"/>
  <c r="V541" i="154"/>
  <c r="V605" i="154" s="1"/>
  <c r="W541" i="154"/>
  <c r="W605" i="154" s="1"/>
  <c r="X541" i="154"/>
  <c r="X605" i="154" s="1"/>
  <c r="Y541" i="154"/>
  <c r="Y605" i="154" s="1"/>
  <c r="Z541" i="154"/>
  <c r="Z605" i="154" s="1"/>
  <c r="AA541" i="154"/>
  <c r="AA605" i="154" s="1"/>
  <c r="AB541" i="154"/>
  <c r="AB605" i="154" s="1"/>
  <c r="AC541" i="154"/>
  <c r="AC605" i="154" s="1"/>
  <c r="I593" i="155"/>
  <c r="I594" i="155" s="1"/>
  <c r="I530" i="155"/>
  <c r="I544" i="153"/>
  <c r="I54" i="153" s="1"/>
  <c r="I119" i="153" s="1"/>
  <c r="I606" i="153"/>
  <c r="J612" i="155"/>
  <c r="K548" i="155"/>
  <c r="R548" i="155"/>
  <c r="R612" i="155" s="1"/>
  <c r="S548" i="155"/>
  <c r="S612" i="155" s="1"/>
  <c r="T548" i="155"/>
  <c r="T612" i="155" s="1"/>
  <c r="U548" i="155"/>
  <c r="U612" i="155" s="1"/>
  <c r="V548" i="155"/>
  <c r="V612" i="155" s="1"/>
  <c r="W548" i="155"/>
  <c r="W612" i="155" s="1"/>
  <c r="X548" i="155"/>
  <c r="X612" i="155" s="1"/>
  <c r="Y548" i="155"/>
  <c r="Y612" i="155" s="1"/>
  <c r="Z548" i="155"/>
  <c r="Z612" i="155" s="1"/>
  <c r="AA548" i="155"/>
  <c r="AA612" i="155" s="1"/>
  <c r="AB548" i="155"/>
  <c r="AB612" i="155" s="1"/>
  <c r="AC548" i="155"/>
  <c r="AC612" i="155" s="1"/>
  <c r="J585" i="155"/>
  <c r="R521" i="155"/>
  <c r="S521" i="155"/>
  <c r="T521" i="155"/>
  <c r="U521" i="155"/>
  <c r="V521" i="155"/>
  <c r="W521" i="155"/>
  <c r="X521" i="155"/>
  <c r="Y521" i="155"/>
  <c r="Z521" i="155"/>
  <c r="AA521" i="155"/>
  <c r="AB521" i="155"/>
  <c r="AC521" i="155"/>
  <c r="R523" i="153"/>
  <c r="R587" i="153" s="1"/>
  <c r="J587" i="153"/>
  <c r="S523" i="153"/>
  <c r="S587" i="153" s="1"/>
  <c r="T523" i="153"/>
  <c r="T587" i="153" s="1"/>
  <c r="U523" i="153"/>
  <c r="U587" i="153" s="1"/>
  <c r="V523" i="153"/>
  <c r="V587" i="153" s="1"/>
  <c r="W523" i="153"/>
  <c r="W587" i="153" s="1"/>
  <c r="X523" i="153"/>
  <c r="X587" i="153" s="1"/>
  <c r="Y523" i="153"/>
  <c r="Y587" i="153" s="1"/>
  <c r="Z523" i="153"/>
  <c r="Z587" i="153" s="1"/>
  <c r="AA523" i="153"/>
  <c r="AA587" i="153" s="1"/>
  <c r="AB523" i="153"/>
  <c r="AB587" i="153" s="1"/>
  <c r="AC523" i="153"/>
  <c r="AC587" i="153" s="1"/>
  <c r="K548" i="154"/>
  <c r="R548" i="154"/>
  <c r="R612" i="154" s="1"/>
  <c r="J612" i="154"/>
  <c r="S548" i="154"/>
  <c r="S612" i="154" s="1"/>
  <c r="T548" i="154"/>
  <c r="T612" i="154" s="1"/>
  <c r="U548" i="154"/>
  <c r="U612" i="154" s="1"/>
  <c r="V548" i="154"/>
  <c r="V612" i="154" s="1"/>
  <c r="W548" i="154"/>
  <c r="W612" i="154" s="1"/>
  <c r="X548" i="154"/>
  <c r="X612" i="154" s="1"/>
  <c r="Y548" i="154"/>
  <c r="Y612" i="154" s="1"/>
  <c r="Z548" i="154"/>
  <c r="Z612" i="154" s="1"/>
  <c r="AA548" i="154"/>
  <c r="AA612" i="154" s="1"/>
  <c r="AB548" i="154"/>
  <c r="AB612" i="154" s="1"/>
  <c r="AC548" i="154"/>
  <c r="AC612" i="154" s="1"/>
  <c r="R525" i="155"/>
  <c r="R589" i="155" s="1"/>
  <c r="S525" i="155"/>
  <c r="S589" i="155" s="1"/>
  <c r="J589" i="155"/>
  <c r="T525" i="155"/>
  <c r="T589" i="155" s="1"/>
  <c r="U525" i="155"/>
  <c r="U589" i="155" s="1"/>
  <c r="V525" i="155"/>
  <c r="V589" i="155" s="1"/>
  <c r="W525" i="155"/>
  <c r="W589" i="155" s="1"/>
  <c r="X525" i="155"/>
  <c r="X589" i="155" s="1"/>
  <c r="Y525" i="155"/>
  <c r="Y589" i="155" s="1"/>
  <c r="Z525" i="155"/>
  <c r="Z589" i="155" s="1"/>
  <c r="AA525" i="155"/>
  <c r="AA589" i="155" s="1"/>
  <c r="AB525" i="155"/>
  <c r="AB589" i="155" s="1"/>
  <c r="AC525" i="155"/>
  <c r="AC589" i="155" s="1"/>
  <c r="I593" i="153"/>
  <c r="I594" i="153" s="1"/>
  <c r="I530" i="153"/>
  <c r="I147" i="154"/>
  <c r="R540" i="154"/>
  <c r="R604" i="154" s="1"/>
  <c r="J604" i="154"/>
  <c r="K540" i="154"/>
  <c r="S540" i="154"/>
  <c r="S604" i="154" s="1"/>
  <c r="T540" i="154"/>
  <c r="T604" i="154" s="1"/>
  <c r="U540" i="154"/>
  <c r="U604" i="154" s="1"/>
  <c r="V540" i="154"/>
  <c r="V604" i="154" s="1"/>
  <c r="W540" i="154"/>
  <c r="W604" i="154" s="1"/>
  <c r="X540" i="154"/>
  <c r="X604" i="154" s="1"/>
  <c r="Y540" i="154"/>
  <c r="Y604" i="154" s="1"/>
  <c r="Z540" i="154"/>
  <c r="Z604" i="154" s="1"/>
  <c r="AA540" i="154"/>
  <c r="AA604" i="154" s="1"/>
  <c r="AB540" i="154"/>
  <c r="AB604" i="154" s="1"/>
  <c r="AC540" i="154"/>
  <c r="AC604" i="154" s="1"/>
  <c r="J573" i="153"/>
  <c r="R507" i="153"/>
  <c r="T507" i="153"/>
  <c r="U507" i="153"/>
  <c r="S507" i="153"/>
  <c r="V507" i="153"/>
  <c r="W507" i="153"/>
  <c r="X507" i="153"/>
  <c r="Y507" i="153"/>
  <c r="Z507" i="153"/>
  <c r="AA507" i="153"/>
  <c r="AB507" i="153"/>
  <c r="AC507" i="153"/>
  <c r="K539" i="154"/>
  <c r="J603" i="154"/>
  <c r="R539" i="154"/>
  <c r="R603" i="154" s="1"/>
  <c r="S539" i="154"/>
  <c r="S603" i="154" s="1"/>
  <c r="T539" i="154"/>
  <c r="T603" i="154" s="1"/>
  <c r="U539" i="154"/>
  <c r="U603" i="154" s="1"/>
  <c r="V539" i="154"/>
  <c r="V603" i="154" s="1"/>
  <c r="W539" i="154"/>
  <c r="W603" i="154" s="1"/>
  <c r="X539" i="154"/>
  <c r="X603" i="154" s="1"/>
  <c r="Y539" i="154"/>
  <c r="Y603" i="154" s="1"/>
  <c r="Z539" i="154"/>
  <c r="Z603" i="154" s="1"/>
  <c r="AA539" i="154"/>
  <c r="AA603" i="154" s="1"/>
  <c r="AB539" i="154"/>
  <c r="AB603" i="154" s="1"/>
  <c r="AC539" i="154"/>
  <c r="AC603" i="154" s="1"/>
  <c r="J603" i="153"/>
  <c r="K539" i="153"/>
  <c r="R539" i="153"/>
  <c r="R603" i="153" s="1"/>
  <c r="S539" i="153"/>
  <c r="S603" i="153" s="1"/>
  <c r="T539" i="153"/>
  <c r="T603" i="153" s="1"/>
  <c r="U539" i="153"/>
  <c r="U603" i="153" s="1"/>
  <c r="V539" i="153"/>
  <c r="V603" i="153" s="1"/>
  <c r="W539" i="153"/>
  <c r="W603" i="153" s="1"/>
  <c r="X539" i="153"/>
  <c r="X603" i="153" s="1"/>
  <c r="Y539" i="153"/>
  <c r="Y603" i="153" s="1"/>
  <c r="Z539" i="153"/>
  <c r="Z603" i="153" s="1"/>
  <c r="AA539" i="153"/>
  <c r="AA603" i="153" s="1"/>
  <c r="AB539" i="153"/>
  <c r="AB603" i="153" s="1"/>
  <c r="AC539" i="153"/>
  <c r="AC603" i="153" s="1"/>
  <c r="R538" i="154"/>
  <c r="J602" i="154"/>
  <c r="J542" i="154"/>
  <c r="K538" i="154"/>
  <c r="S538" i="154"/>
  <c r="T538" i="154"/>
  <c r="U538" i="154"/>
  <c r="V538" i="154"/>
  <c r="W538" i="154"/>
  <c r="X538" i="154"/>
  <c r="Y538" i="154"/>
  <c r="Z538" i="154"/>
  <c r="AA538" i="154"/>
  <c r="AB538" i="154"/>
  <c r="AC538" i="154"/>
  <c r="R534" i="153"/>
  <c r="R598" i="153" s="1"/>
  <c r="J598" i="153"/>
  <c r="K534" i="153"/>
  <c r="S534" i="153"/>
  <c r="S598" i="153" s="1"/>
  <c r="T534" i="153"/>
  <c r="T598" i="153" s="1"/>
  <c r="U534" i="153"/>
  <c r="U598" i="153" s="1"/>
  <c r="V534" i="153"/>
  <c r="V598" i="153" s="1"/>
  <c r="W534" i="153"/>
  <c r="W598" i="153" s="1"/>
  <c r="X534" i="153"/>
  <c r="X598" i="153" s="1"/>
  <c r="Y534" i="153"/>
  <c r="Y598" i="153" s="1"/>
  <c r="Z534" i="153"/>
  <c r="Z598" i="153" s="1"/>
  <c r="AA534" i="153"/>
  <c r="AA598" i="153" s="1"/>
  <c r="AB534" i="153"/>
  <c r="AB598" i="153" s="1"/>
  <c r="AC534" i="153"/>
  <c r="AC598" i="153" s="1"/>
  <c r="I530" i="154"/>
  <c r="I593" i="154"/>
  <c r="I594" i="154" s="1"/>
  <c r="I145" i="153"/>
  <c r="R525" i="154"/>
  <c r="R589" i="154" s="1"/>
  <c r="J589" i="154"/>
  <c r="S525" i="154"/>
  <c r="S589" i="154" s="1"/>
  <c r="T525" i="154"/>
  <c r="T589" i="154" s="1"/>
  <c r="U525" i="154"/>
  <c r="U589" i="154" s="1"/>
  <c r="V525" i="154"/>
  <c r="V589" i="154" s="1"/>
  <c r="W525" i="154"/>
  <c r="W589" i="154" s="1"/>
  <c r="X525" i="154"/>
  <c r="X589" i="154" s="1"/>
  <c r="Y525" i="154"/>
  <c r="Y589" i="154" s="1"/>
  <c r="Z525" i="154"/>
  <c r="Z589" i="154" s="1"/>
  <c r="AA525" i="154"/>
  <c r="AA589" i="154" s="1"/>
  <c r="AB525" i="154"/>
  <c r="AB589" i="154" s="1"/>
  <c r="AC525" i="154"/>
  <c r="AC589" i="154" s="1"/>
  <c r="R541" i="155"/>
  <c r="R605" i="155" s="1"/>
  <c r="S541" i="155"/>
  <c r="S605" i="155" s="1"/>
  <c r="J605" i="155"/>
  <c r="K541" i="155"/>
  <c r="T541" i="155"/>
  <c r="T605" i="155" s="1"/>
  <c r="U541" i="155"/>
  <c r="U605" i="155" s="1"/>
  <c r="V541" i="155"/>
  <c r="V605" i="155" s="1"/>
  <c r="W541" i="155"/>
  <c r="W605" i="155" s="1"/>
  <c r="X541" i="155"/>
  <c r="X605" i="155" s="1"/>
  <c r="Y541" i="155"/>
  <c r="Y605" i="155" s="1"/>
  <c r="Z541" i="155"/>
  <c r="Z605" i="155" s="1"/>
  <c r="AA541" i="155"/>
  <c r="AA605" i="155" s="1"/>
  <c r="AB541" i="155"/>
  <c r="AB605" i="155" s="1"/>
  <c r="AC541" i="155"/>
  <c r="AC605" i="155" s="1"/>
  <c r="S534" i="155"/>
  <c r="S598" i="155" s="1"/>
  <c r="K534" i="155"/>
  <c r="J598" i="155"/>
  <c r="R534" i="155"/>
  <c r="R598" i="155" s="1"/>
  <c r="T534" i="155"/>
  <c r="T598" i="155" s="1"/>
  <c r="U534" i="155"/>
  <c r="U598" i="155" s="1"/>
  <c r="V534" i="155"/>
  <c r="V598" i="155" s="1"/>
  <c r="W534" i="155"/>
  <c r="W598" i="155" s="1"/>
  <c r="X534" i="155"/>
  <c r="X598" i="155" s="1"/>
  <c r="Y534" i="155"/>
  <c r="Y598" i="155" s="1"/>
  <c r="Z534" i="155"/>
  <c r="Z598" i="155" s="1"/>
  <c r="AA534" i="155"/>
  <c r="AA598" i="155" s="1"/>
  <c r="AB534" i="155"/>
  <c r="AB598" i="155" s="1"/>
  <c r="AC534" i="155"/>
  <c r="AC598" i="155" s="1"/>
  <c r="I544" i="154"/>
  <c r="I54" i="154" s="1"/>
  <c r="I119" i="154" s="1"/>
  <c r="I606" i="154"/>
  <c r="R525" i="153"/>
  <c r="R589" i="153" s="1"/>
  <c r="J589" i="153"/>
  <c r="S525" i="153"/>
  <c r="S589" i="153" s="1"/>
  <c r="U525" i="153"/>
  <c r="U589" i="153" s="1"/>
  <c r="T525" i="153"/>
  <c r="T589" i="153" s="1"/>
  <c r="V525" i="153"/>
  <c r="V589" i="153" s="1"/>
  <c r="W525" i="153"/>
  <c r="W589" i="153" s="1"/>
  <c r="X525" i="153"/>
  <c r="X589" i="153" s="1"/>
  <c r="Y525" i="153"/>
  <c r="Y589" i="153" s="1"/>
  <c r="Z525" i="153"/>
  <c r="Z589" i="153" s="1"/>
  <c r="AA525" i="153"/>
  <c r="AA589" i="153" s="1"/>
  <c r="AB525" i="153"/>
  <c r="AB589" i="153" s="1"/>
  <c r="AC525" i="153"/>
  <c r="AC589" i="153" s="1"/>
  <c r="R522" i="154"/>
  <c r="R586" i="154" s="1"/>
  <c r="J586" i="154"/>
  <c r="S522" i="154"/>
  <c r="S586" i="154" s="1"/>
  <c r="T522" i="154"/>
  <c r="T586" i="154" s="1"/>
  <c r="U522" i="154"/>
  <c r="U586" i="154" s="1"/>
  <c r="V522" i="154"/>
  <c r="V586" i="154" s="1"/>
  <c r="W522" i="154"/>
  <c r="W586" i="154" s="1"/>
  <c r="X522" i="154"/>
  <c r="X586" i="154" s="1"/>
  <c r="Y522" i="154"/>
  <c r="Y586" i="154" s="1"/>
  <c r="Z522" i="154"/>
  <c r="Z586" i="154" s="1"/>
  <c r="AA522" i="154"/>
  <c r="AA586" i="154" s="1"/>
  <c r="AB522" i="154"/>
  <c r="AB586" i="154" s="1"/>
  <c r="AC522" i="154"/>
  <c r="AC586" i="154" s="1"/>
  <c r="I599" i="155"/>
  <c r="K540" i="155"/>
  <c r="S540" i="155"/>
  <c r="S604" i="155" s="1"/>
  <c r="J604" i="155"/>
  <c r="R540" i="155"/>
  <c r="R604" i="155" s="1"/>
  <c r="T540" i="155"/>
  <c r="T604" i="155" s="1"/>
  <c r="U540" i="155"/>
  <c r="U604" i="155" s="1"/>
  <c r="V540" i="155"/>
  <c r="V604" i="155" s="1"/>
  <c r="W540" i="155"/>
  <c r="W604" i="155" s="1"/>
  <c r="X540" i="155"/>
  <c r="X604" i="155" s="1"/>
  <c r="Y540" i="155"/>
  <c r="Y604" i="155" s="1"/>
  <c r="Z540" i="155"/>
  <c r="Z604" i="155" s="1"/>
  <c r="AA540" i="155"/>
  <c r="AA604" i="155" s="1"/>
  <c r="AB540" i="155"/>
  <c r="AB604" i="155" s="1"/>
  <c r="AC540" i="155"/>
  <c r="AC604" i="155" s="1"/>
  <c r="I613" i="155"/>
  <c r="S509" i="153"/>
  <c r="S573" i="153" s="1"/>
  <c r="R509" i="153"/>
  <c r="R573" i="153" s="1"/>
  <c r="U509" i="153"/>
  <c r="U573" i="153" s="1"/>
  <c r="T509" i="153"/>
  <c r="T573" i="153" s="1"/>
  <c r="V509" i="153"/>
  <c r="V573" i="153" s="1"/>
  <c r="W509" i="153"/>
  <c r="W573" i="153" s="1"/>
  <c r="X509" i="153"/>
  <c r="X573" i="153" s="1"/>
  <c r="Y509" i="153"/>
  <c r="Y573" i="153" s="1"/>
  <c r="Z509" i="153"/>
  <c r="Z573" i="153" s="1"/>
  <c r="AA509" i="153"/>
  <c r="AA573" i="153" s="1"/>
  <c r="AB509" i="153"/>
  <c r="AB573" i="153" s="1"/>
  <c r="AC509" i="153"/>
  <c r="AC573" i="153" s="1"/>
  <c r="S509" i="154"/>
  <c r="S573" i="154" s="1"/>
  <c r="R509" i="154"/>
  <c r="R573" i="154" s="1"/>
  <c r="T509" i="154"/>
  <c r="T573" i="154" s="1"/>
  <c r="U509" i="154"/>
  <c r="U573" i="154" s="1"/>
  <c r="V509" i="154"/>
  <c r="V573" i="154" s="1"/>
  <c r="W509" i="154"/>
  <c r="W573" i="154" s="1"/>
  <c r="X509" i="154"/>
  <c r="X573" i="154" s="1"/>
  <c r="Y509" i="154"/>
  <c r="Y573" i="154" s="1"/>
  <c r="Z509" i="154"/>
  <c r="Z573" i="154" s="1"/>
  <c r="AA509" i="154"/>
  <c r="AA573" i="154" s="1"/>
  <c r="AB509" i="154"/>
  <c r="AB573" i="154" s="1"/>
  <c r="AC509" i="154"/>
  <c r="AC573" i="154" s="1"/>
  <c r="I145" i="154"/>
  <c r="S547" i="155"/>
  <c r="R547" i="155"/>
  <c r="J611" i="155"/>
  <c r="J549" i="155"/>
  <c r="J613" i="155" s="1"/>
  <c r="K547" i="155"/>
  <c r="T547" i="155"/>
  <c r="U547" i="155"/>
  <c r="V547" i="155"/>
  <c r="W547" i="155"/>
  <c r="X547" i="155"/>
  <c r="Y547" i="155"/>
  <c r="Z547" i="155"/>
  <c r="AA547" i="155"/>
  <c r="AB547" i="155"/>
  <c r="AC547" i="155"/>
  <c r="I599" i="153"/>
  <c r="T522" i="153"/>
  <c r="T586" i="153" s="1"/>
  <c r="U522" i="153"/>
  <c r="U586" i="153" s="1"/>
  <c r="J586" i="153"/>
  <c r="R522" i="153"/>
  <c r="R586" i="153" s="1"/>
  <c r="S522" i="153"/>
  <c r="S586" i="153" s="1"/>
  <c r="V522" i="153"/>
  <c r="V586" i="153" s="1"/>
  <c r="W522" i="153"/>
  <c r="W586" i="153" s="1"/>
  <c r="X522" i="153"/>
  <c r="X586" i="153" s="1"/>
  <c r="Y522" i="153"/>
  <c r="Y586" i="153" s="1"/>
  <c r="Z522" i="153"/>
  <c r="Z586" i="153" s="1"/>
  <c r="AA522" i="153"/>
  <c r="AA586" i="153" s="1"/>
  <c r="AB522" i="153"/>
  <c r="AB586" i="153" s="1"/>
  <c r="AC522" i="153"/>
  <c r="AC586" i="153" s="1"/>
  <c r="T521" i="153"/>
  <c r="R521" i="153"/>
  <c r="J585" i="153"/>
  <c r="S521" i="153"/>
  <c r="U521" i="153"/>
  <c r="V521" i="153"/>
  <c r="W521" i="153"/>
  <c r="X521" i="153"/>
  <c r="Y521" i="153"/>
  <c r="Z521" i="153"/>
  <c r="AA521" i="153"/>
  <c r="AB521" i="153"/>
  <c r="AC521" i="153"/>
  <c r="I613" i="153"/>
  <c r="S522" i="155"/>
  <c r="S586" i="155" s="1"/>
  <c r="R522" i="155"/>
  <c r="R586" i="155" s="1"/>
  <c r="J586" i="155"/>
  <c r="T522" i="155"/>
  <c r="T586" i="155" s="1"/>
  <c r="U522" i="155"/>
  <c r="U586" i="155" s="1"/>
  <c r="V522" i="155"/>
  <c r="V586" i="155" s="1"/>
  <c r="W522" i="155"/>
  <c r="W586" i="155" s="1"/>
  <c r="X522" i="155"/>
  <c r="X586" i="155" s="1"/>
  <c r="Y522" i="155"/>
  <c r="Y586" i="155" s="1"/>
  <c r="Z522" i="155"/>
  <c r="Z586" i="155" s="1"/>
  <c r="AA522" i="155"/>
  <c r="AA586" i="155" s="1"/>
  <c r="AB522" i="155"/>
  <c r="AB586" i="155" s="1"/>
  <c r="AC522" i="155"/>
  <c r="AC586" i="155" s="1"/>
  <c r="I148" i="154"/>
  <c r="S523" i="155"/>
  <c r="S587" i="155" s="1"/>
  <c r="J587" i="155"/>
  <c r="R523" i="155"/>
  <c r="R587" i="155" s="1"/>
  <c r="T523" i="155"/>
  <c r="T587" i="155" s="1"/>
  <c r="U523" i="155"/>
  <c r="U587" i="155" s="1"/>
  <c r="V523" i="155"/>
  <c r="V587" i="155" s="1"/>
  <c r="W523" i="155"/>
  <c r="W587" i="155" s="1"/>
  <c r="X523" i="155"/>
  <c r="X587" i="155" s="1"/>
  <c r="Y523" i="155"/>
  <c r="Y587" i="155" s="1"/>
  <c r="Z523" i="155"/>
  <c r="Z587" i="155" s="1"/>
  <c r="AA523" i="155"/>
  <c r="AA587" i="155" s="1"/>
  <c r="AB523" i="155"/>
  <c r="AB587" i="155" s="1"/>
  <c r="AC523" i="155"/>
  <c r="AC587" i="155" s="1"/>
  <c r="K541" i="153"/>
  <c r="J605" i="153"/>
  <c r="R541" i="153"/>
  <c r="R605" i="153" s="1"/>
  <c r="S541" i="153"/>
  <c r="S605" i="153" s="1"/>
  <c r="T541" i="153"/>
  <c r="T605" i="153" s="1"/>
  <c r="U541" i="153"/>
  <c r="U605" i="153" s="1"/>
  <c r="V541" i="153"/>
  <c r="V605" i="153" s="1"/>
  <c r="W541" i="153"/>
  <c r="W605" i="153" s="1"/>
  <c r="X541" i="153"/>
  <c r="X605" i="153" s="1"/>
  <c r="Y541" i="153"/>
  <c r="Y605" i="153" s="1"/>
  <c r="Z541" i="153"/>
  <c r="Z605" i="153" s="1"/>
  <c r="AA541" i="153"/>
  <c r="AA605" i="153" s="1"/>
  <c r="AB541" i="153"/>
  <c r="AB605" i="153" s="1"/>
  <c r="AC541" i="153"/>
  <c r="AC605" i="153" s="1"/>
  <c r="T538" i="99"/>
  <c r="T602" i="99" s="1"/>
  <c r="T541" i="99"/>
  <c r="T17" i="69"/>
  <c r="Y76" i="105" s="1"/>
  <c r="T40" i="151" s="1"/>
  <c r="V3" i="69"/>
  <c r="V4" i="69" s="1"/>
  <c r="U2" i="69" a="1"/>
  <c r="U2" i="69" s="1"/>
  <c r="U9" i="69"/>
  <c r="U13" i="69"/>
  <c r="U14" i="69"/>
  <c r="U16" i="69"/>
  <c r="U12" i="69"/>
  <c r="U10" i="69"/>
  <c r="U15" i="69"/>
  <c r="U11" i="69"/>
  <c r="U7" i="69"/>
  <c r="T547" i="99"/>
  <c r="V3" i="99"/>
  <c r="V4" i="99" s="1"/>
  <c r="V499" i="99" s="1"/>
  <c r="V483" i="99" s="1"/>
  <c r="V491" i="99" s="1"/>
  <c r="U2" i="99" a="1"/>
  <c r="U2" i="99" s="1"/>
  <c r="U554" i="99" s="1"/>
  <c r="U474" i="99"/>
  <c r="V37" i="72"/>
  <c r="W5" i="72"/>
  <c r="W6" i="72" s="1"/>
  <c r="V36" i="72"/>
  <c r="V47" i="72"/>
  <c r="V48" i="72"/>
  <c r="H25" i="46"/>
  <c r="I25" i="46"/>
  <c r="H26" i="46"/>
  <c r="I26" i="46"/>
  <c r="H27" i="46"/>
  <c r="I27" i="46"/>
  <c r="L153" i="103"/>
  <c r="AE153" i="103"/>
  <c r="AD153" i="103"/>
  <c r="AK153" i="103"/>
  <c r="AN153" i="103"/>
  <c r="AM153" i="103"/>
  <c r="AO153" i="103"/>
  <c r="AL153" i="103"/>
  <c r="AJ153" i="103"/>
  <c r="AI153" i="103"/>
  <c r="AH153" i="103"/>
  <c r="AG153" i="103"/>
  <c r="AF153" i="103"/>
  <c r="L541" i="99"/>
  <c r="L605" i="99" s="1"/>
  <c r="L539" i="99"/>
  <c r="L603" i="99" s="1"/>
  <c r="L538" i="99"/>
  <c r="L540" i="99"/>
  <c r="L604" i="99" s="1"/>
  <c r="L548" i="99"/>
  <c r="L534" i="99"/>
  <c r="L547" i="99"/>
  <c r="R499" i="99"/>
  <c r="R483" i="99" s="1"/>
  <c r="R491" i="99" s="1"/>
  <c r="S499" i="99"/>
  <c r="S483" i="99" s="1"/>
  <c r="S491" i="99" s="1"/>
  <c r="N4" i="99"/>
  <c r="T498" i="99"/>
  <c r="T482" i="99" s="1"/>
  <c r="T490" i="99" s="1"/>
  <c r="I587" i="99"/>
  <c r="I576" i="99"/>
  <c r="I578" i="99"/>
  <c r="I588" i="99"/>
  <c r="I580" i="99"/>
  <c r="I598" i="99"/>
  <c r="S9" i="99"/>
  <c r="S598" i="99"/>
  <c r="I585" i="99"/>
  <c r="I597" i="99"/>
  <c r="I581" i="99"/>
  <c r="I579" i="99"/>
  <c r="I611" i="99"/>
  <c r="I604" i="99"/>
  <c r="I590" i="99"/>
  <c r="I589" i="99"/>
  <c r="I612" i="99"/>
  <c r="I577" i="99"/>
  <c r="I602" i="99"/>
  <c r="I603" i="99"/>
  <c r="I605" i="99"/>
  <c r="I573" i="99"/>
  <c r="P571" i="99"/>
  <c r="I586" i="99"/>
  <c r="E20" i="46"/>
  <c r="S605" i="99"/>
  <c r="R612" i="99"/>
  <c r="S603" i="99"/>
  <c r="S612" i="99"/>
  <c r="S604" i="99"/>
  <c r="T507" i="99"/>
  <c r="J512" i="99"/>
  <c r="J514" i="99"/>
  <c r="J573" i="99"/>
  <c r="S507" i="99"/>
  <c r="R507" i="99"/>
  <c r="AK82" i="99"/>
  <c r="AK135" i="99" s="1"/>
  <c r="AK11" i="99"/>
  <c r="AK15" i="99"/>
  <c r="BE15" i="99"/>
  <c r="BE82" i="99"/>
  <c r="BE135" i="99" s="1"/>
  <c r="BE11" i="99"/>
  <c r="BY15" i="99"/>
  <c r="BY82" i="99"/>
  <c r="BY135" i="99" s="1"/>
  <c r="BY11" i="99"/>
  <c r="AL82" i="99"/>
  <c r="AL135" i="99" s="1"/>
  <c r="AL11" i="99"/>
  <c r="AL15" i="99"/>
  <c r="BF15" i="99"/>
  <c r="BF82" i="99"/>
  <c r="BF135" i="99" s="1"/>
  <c r="BF11" i="99"/>
  <c r="AM11" i="99"/>
  <c r="AM82" i="99"/>
  <c r="AM135" i="99" s="1"/>
  <c r="AM15" i="99"/>
  <c r="BG11" i="99"/>
  <c r="BG82" i="99"/>
  <c r="BG135" i="99" s="1"/>
  <c r="BG15" i="99"/>
  <c r="T11" i="99"/>
  <c r="T15" i="99"/>
  <c r="T82" i="99"/>
  <c r="T135" i="99" s="1"/>
  <c r="AN82" i="99"/>
  <c r="AN135" i="99" s="1"/>
  <c r="AN11" i="99"/>
  <c r="AN15" i="99"/>
  <c r="BH15" i="99"/>
  <c r="BH82" i="99"/>
  <c r="BH135" i="99" s="1"/>
  <c r="BH11" i="99"/>
  <c r="U15" i="99"/>
  <c r="U82" i="99"/>
  <c r="U135" i="99" s="1"/>
  <c r="U11" i="99"/>
  <c r="AO82" i="99"/>
  <c r="AO135" i="99" s="1"/>
  <c r="AO15" i="99"/>
  <c r="AO11" i="99"/>
  <c r="BI82" i="99"/>
  <c r="BI135" i="99" s="1"/>
  <c r="BI15" i="99"/>
  <c r="BI11" i="99"/>
  <c r="V11" i="99"/>
  <c r="V15" i="99"/>
  <c r="V82" i="99"/>
  <c r="V135" i="99" s="1"/>
  <c r="AP82" i="99"/>
  <c r="AP135" i="99" s="1"/>
  <c r="AP11" i="99"/>
  <c r="AP15" i="99"/>
  <c r="BJ82" i="99"/>
  <c r="BJ135" i="99" s="1"/>
  <c r="BJ11" i="99"/>
  <c r="BJ15" i="99"/>
  <c r="W11" i="99"/>
  <c r="W15" i="99"/>
  <c r="W82" i="99"/>
  <c r="W135" i="99" s="1"/>
  <c r="AQ15" i="99"/>
  <c r="AQ82" i="99"/>
  <c r="AQ135" i="99" s="1"/>
  <c r="AQ11" i="99"/>
  <c r="BK15" i="99"/>
  <c r="BK11" i="99"/>
  <c r="BK82" i="99"/>
  <c r="BK135" i="99" s="1"/>
  <c r="X11" i="99"/>
  <c r="X15" i="99"/>
  <c r="X82" i="99"/>
  <c r="X135" i="99" s="1"/>
  <c r="AR82" i="99"/>
  <c r="AR135" i="99" s="1"/>
  <c r="AR11" i="99"/>
  <c r="AR15" i="99"/>
  <c r="BL82" i="99"/>
  <c r="BL135" i="99" s="1"/>
  <c r="BL11" i="99"/>
  <c r="BL15" i="99"/>
  <c r="Y11" i="99"/>
  <c r="Y15" i="99"/>
  <c r="Y82" i="99"/>
  <c r="Y135" i="99" s="1"/>
  <c r="AS11" i="99"/>
  <c r="AS15" i="99"/>
  <c r="AS82" i="99"/>
  <c r="AS135" i="99" s="1"/>
  <c r="BM82" i="99"/>
  <c r="BM135" i="99" s="1"/>
  <c r="BM11" i="99"/>
  <c r="BM15" i="99"/>
  <c r="Z11" i="99"/>
  <c r="Z15" i="99"/>
  <c r="Z82" i="99"/>
  <c r="Z135" i="99" s="1"/>
  <c r="AT15" i="99"/>
  <c r="AT82" i="99"/>
  <c r="AT135" i="99" s="1"/>
  <c r="AT11" i="99"/>
  <c r="BN15" i="99"/>
  <c r="BN82" i="99"/>
  <c r="BN135" i="99" s="1"/>
  <c r="BN11" i="99"/>
  <c r="I82" i="99"/>
  <c r="I11" i="99"/>
  <c r="I15" i="99"/>
  <c r="N15" i="105" s="1"/>
  <c r="AA11" i="99"/>
  <c r="AA15" i="99"/>
  <c r="AA82" i="99"/>
  <c r="AA135" i="99" s="1"/>
  <c r="AU11" i="99"/>
  <c r="AU15" i="99"/>
  <c r="AU82" i="99"/>
  <c r="AU135" i="99" s="1"/>
  <c r="BO82" i="99"/>
  <c r="BO135" i="99" s="1"/>
  <c r="BO11" i="99"/>
  <c r="BO15" i="99"/>
  <c r="AB15" i="99"/>
  <c r="AB82" i="99"/>
  <c r="AB135" i="99" s="1"/>
  <c r="AB11" i="99"/>
  <c r="AV11" i="99"/>
  <c r="AV15" i="99"/>
  <c r="AV82" i="99"/>
  <c r="AV135" i="99" s="1"/>
  <c r="BP82" i="99"/>
  <c r="BP135" i="99" s="1"/>
  <c r="BP11" i="99"/>
  <c r="BP15" i="99"/>
  <c r="AC11" i="99"/>
  <c r="AC82" i="99"/>
  <c r="AC135" i="99" s="1"/>
  <c r="AC15" i="99"/>
  <c r="AW11" i="99"/>
  <c r="AW82" i="99"/>
  <c r="AW135" i="99" s="1"/>
  <c r="AW15" i="99"/>
  <c r="BQ11" i="99"/>
  <c r="BQ82" i="99"/>
  <c r="BQ135" i="99" s="1"/>
  <c r="BQ15" i="99"/>
  <c r="AD15" i="99"/>
  <c r="AD82" i="99"/>
  <c r="AD135" i="99" s="1"/>
  <c r="AD11" i="99"/>
  <c r="AX11" i="99"/>
  <c r="AX15" i="99"/>
  <c r="AX82" i="99"/>
  <c r="AX135" i="99" s="1"/>
  <c r="BR82" i="99"/>
  <c r="BR135" i="99" s="1"/>
  <c r="BR11" i="99"/>
  <c r="BR15" i="99"/>
  <c r="AE11" i="99"/>
  <c r="AE15" i="99"/>
  <c r="AE82" i="99"/>
  <c r="AE135" i="99" s="1"/>
  <c r="AY11" i="99"/>
  <c r="AY82" i="99"/>
  <c r="AY135" i="99" s="1"/>
  <c r="AY15" i="99"/>
  <c r="BS15" i="99"/>
  <c r="BS11" i="99"/>
  <c r="BS82" i="99"/>
  <c r="BS135" i="99" s="1"/>
  <c r="AF15" i="99"/>
  <c r="AF82" i="99"/>
  <c r="AF135" i="99" s="1"/>
  <c r="AF11" i="99"/>
  <c r="AZ11" i="99"/>
  <c r="AZ15" i="99"/>
  <c r="AZ82" i="99"/>
  <c r="AZ135" i="99" s="1"/>
  <c r="BT11" i="99"/>
  <c r="BT15" i="99"/>
  <c r="BT82" i="99"/>
  <c r="BT135" i="99" s="1"/>
  <c r="AG11" i="99"/>
  <c r="AG15" i="99"/>
  <c r="AG82" i="99"/>
  <c r="AG135" i="99" s="1"/>
  <c r="BA11" i="99"/>
  <c r="BA15" i="99"/>
  <c r="BA82" i="99"/>
  <c r="BA135" i="99" s="1"/>
  <c r="BU11" i="99"/>
  <c r="BU82" i="99"/>
  <c r="BU135" i="99" s="1"/>
  <c r="BU15" i="99"/>
  <c r="AH15" i="99"/>
  <c r="AH82" i="99"/>
  <c r="AH135" i="99" s="1"/>
  <c r="AH11" i="99"/>
  <c r="BB15" i="99"/>
  <c r="BB82" i="99"/>
  <c r="BB135" i="99" s="1"/>
  <c r="BB11" i="99"/>
  <c r="BV11" i="99"/>
  <c r="BV15" i="99"/>
  <c r="BV82" i="99"/>
  <c r="BV135" i="99" s="1"/>
  <c r="AI82" i="99"/>
  <c r="AI135" i="99" s="1"/>
  <c r="AI11" i="99"/>
  <c r="AI15" i="99"/>
  <c r="BC15" i="99"/>
  <c r="BC82" i="99"/>
  <c r="BC135" i="99" s="1"/>
  <c r="BC11" i="99"/>
  <c r="BW11" i="99"/>
  <c r="BW15" i="99"/>
  <c r="BW82" i="99"/>
  <c r="BW135" i="99" s="1"/>
  <c r="AJ82" i="99"/>
  <c r="AJ135" i="99" s="1"/>
  <c r="AJ11" i="99"/>
  <c r="AJ15" i="99"/>
  <c r="BD15" i="99"/>
  <c r="BD82" i="99"/>
  <c r="BD135" i="99" s="1"/>
  <c r="BD11" i="99"/>
  <c r="BX11" i="99"/>
  <c r="BX15" i="99"/>
  <c r="BX82" i="99"/>
  <c r="BX135" i="99" s="1"/>
  <c r="S509" i="99"/>
  <c r="S573" i="99" s="1"/>
  <c r="R509" i="99"/>
  <c r="R573" i="99" s="1"/>
  <c r="T509" i="99"/>
  <c r="T573" i="99" s="1"/>
  <c r="I145" i="99"/>
  <c r="I148" i="99"/>
  <c r="I147" i="99"/>
  <c r="J598" i="99"/>
  <c r="R598" i="99"/>
  <c r="K604" i="99"/>
  <c r="R604" i="99"/>
  <c r="J604" i="99"/>
  <c r="I28" i="99"/>
  <c r="K603" i="99"/>
  <c r="J603" i="99"/>
  <c r="R603" i="99"/>
  <c r="I146" i="99"/>
  <c r="I599" i="99"/>
  <c r="I45" i="99"/>
  <c r="I606" i="99"/>
  <c r="I544" i="99"/>
  <c r="I52" i="99"/>
  <c r="S602" i="99"/>
  <c r="S542" i="99"/>
  <c r="S606" i="99" s="1"/>
  <c r="R542" i="99"/>
  <c r="R606" i="99" s="1"/>
  <c r="R602" i="99"/>
  <c r="I613" i="99"/>
  <c r="I59" i="99"/>
  <c r="R611" i="99"/>
  <c r="R549" i="99"/>
  <c r="R613" i="99" s="1"/>
  <c r="S611" i="99"/>
  <c r="S549" i="99"/>
  <c r="S613" i="99" s="1"/>
  <c r="J605" i="99"/>
  <c r="R605" i="99"/>
  <c r="K605" i="99"/>
  <c r="I39" i="99"/>
  <c r="I530" i="99"/>
  <c r="I593" i="99"/>
  <c r="I37" i="99"/>
  <c r="T499" i="99"/>
  <c r="T483" i="99" s="1"/>
  <c r="T491" i="99" s="1"/>
  <c r="U499" i="99"/>
  <c r="U483" i="99" s="1"/>
  <c r="U491" i="99" s="1"/>
  <c r="R476" i="99"/>
  <c r="U476" i="99"/>
  <c r="V158" i="99"/>
  <c r="AH158" i="99" s="1"/>
  <c r="T476" i="99"/>
  <c r="AI157" i="99"/>
  <c r="AJ157" i="99" s="1"/>
  <c r="AK157" i="99" s="1"/>
  <c r="AL157" i="99" s="1"/>
  <c r="V6" i="98"/>
  <c r="U70" i="103"/>
  <c r="S476" i="99"/>
  <c r="S498" i="99"/>
  <c r="S482" i="99" s="1"/>
  <c r="S490" i="99" s="1"/>
  <c r="BN13" i="103"/>
  <c r="BY13" i="103"/>
  <c r="N13" i="103"/>
  <c r="BX13" i="103"/>
  <c r="BW13" i="103"/>
  <c r="BV13" i="103"/>
  <c r="BU13" i="103"/>
  <c r="BT13" i="103"/>
  <c r="BS13" i="103"/>
  <c r="BR13" i="103"/>
  <c r="BQ13" i="103"/>
  <c r="BP13" i="103"/>
  <c r="BO13" i="103"/>
  <c r="AL8" i="98"/>
  <c r="R498" i="99"/>
  <c r="R482" i="99" s="1"/>
  <c r="R490" i="99" s="1"/>
  <c r="U498" i="99"/>
  <c r="U482" i="99" s="1"/>
  <c r="U490" i="99" s="1"/>
  <c r="AA129" i="153" l="1"/>
  <c r="I105" i="154"/>
  <c r="W129" i="153"/>
  <c r="X129" i="153"/>
  <c r="I102" i="155"/>
  <c r="E49" i="294"/>
  <c r="D61" i="294"/>
  <c r="E108" i="34"/>
  <c r="T129" i="153"/>
  <c r="I105" i="155"/>
  <c r="I93" i="154"/>
  <c r="W4" i="72" a="1"/>
  <c r="W4" i="72" s="1"/>
  <c r="U129" i="154"/>
  <c r="I93" i="155"/>
  <c r="V129" i="155"/>
  <c r="V129" i="153"/>
  <c r="M554" i="155"/>
  <c r="AP554" i="155"/>
  <c r="AQ554" i="155"/>
  <c r="AR554" i="155"/>
  <c r="AS554" i="155"/>
  <c r="AT554" i="155"/>
  <c r="AU554" i="155"/>
  <c r="AV554" i="155"/>
  <c r="AW554" i="155"/>
  <c r="AX554" i="155"/>
  <c r="AY554" i="155"/>
  <c r="AZ554" i="155"/>
  <c r="BA554" i="155"/>
  <c r="M554" i="154"/>
  <c r="AP554" i="154"/>
  <c r="AQ554" i="154"/>
  <c r="AR554" i="154"/>
  <c r="AS554" i="154"/>
  <c r="AT554" i="154"/>
  <c r="AU554" i="154"/>
  <c r="AV554" i="154"/>
  <c r="AW554" i="154"/>
  <c r="AX554" i="154"/>
  <c r="AY554" i="154"/>
  <c r="AZ554" i="154"/>
  <c r="BA554" i="154"/>
  <c r="M554" i="153"/>
  <c r="AP554" i="153"/>
  <c r="AQ554" i="153"/>
  <c r="AR554" i="153"/>
  <c r="AS554" i="153"/>
  <c r="AT554" i="153"/>
  <c r="AU554" i="153"/>
  <c r="AV554" i="153"/>
  <c r="AW554" i="153"/>
  <c r="AX554" i="153"/>
  <c r="AY554" i="153"/>
  <c r="AZ554" i="153"/>
  <c r="BA554" i="153"/>
  <c r="X129" i="154"/>
  <c r="Z129" i="153"/>
  <c r="J9" i="105"/>
  <c r="K9" i="105"/>
  <c r="L9" i="105"/>
  <c r="I9" i="105"/>
  <c r="S129" i="153"/>
  <c r="AC129" i="155"/>
  <c r="D28" i="46"/>
  <c r="H28" i="46" s="1"/>
  <c r="W618" i="155"/>
  <c r="W64" i="155"/>
  <c r="W129" i="155" s="1"/>
  <c r="AA135" i="154"/>
  <c r="AA140" i="154"/>
  <c r="AA141" i="154"/>
  <c r="AG140" i="153"/>
  <c r="AG135" i="153"/>
  <c r="AG141" i="153"/>
  <c r="N82" i="153"/>
  <c r="N15" i="153"/>
  <c r="N16" i="153" s="1"/>
  <c r="N11" i="153"/>
  <c r="N12" i="153" s="1"/>
  <c r="AR140" i="154"/>
  <c r="AR141" i="154"/>
  <c r="AR135" i="154"/>
  <c r="S141" i="153"/>
  <c r="S135" i="153"/>
  <c r="S140" i="153"/>
  <c r="AO135" i="155"/>
  <c r="AO140" i="155"/>
  <c r="AO141" i="155"/>
  <c r="BT141" i="155"/>
  <c r="BT135" i="155"/>
  <c r="BT140" i="155"/>
  <c r="AJ141" i="154"/>
  <c r="AJ140" i="154"/>
  <c r="AJ135" i="154"/>
  <c r="M82" i="155"/>
  <c r="M11" i="155"/>
  <c r="M12" i="155" s="1"/>
  <c r="M15" i="155"/>
  <c r="M16" i="155" s="1"/>
  <c r="BX140" i="155"/>
  <c r="BX135" i="155"/>
  <c r="BX141" i="155"/>
  <c r="AW141" i="153"/>
  <c r="AW135" i="153"/>
  <c r="AW140" i="153"/>
  <c r="R141" i="153"/>
  <c r="R135" i="153"/>
  <c r="R140" i="153"/>
  <c r="W618" i="154"/>
  <c r="W64" i="154"/>
  <c r="W129" i="154" s="1"/>
  <c r="AO141" i="153"/>
  <c r="AO140" i="153"/>
  <c r="AO135" i="153"/>
  <c r="AC140" i="155"/>
  <c r="AC141" i="155"/>
  <c r="AC135" i="155"/>
  <c r="BQ140" i="155"/>
  <c r="BQ141" i="155"/>
  <c r="BQ135" i="155"/>
  <c r="BS135" i="154"/>
  <c r="BS140" i="154"/>
  <c r="BS141" i="154"/>
  <c r="BP141" i="153"/>
  <c r="BP140" i="153"/>
  <c r="BP135" i="153"/>
  <c r="BM140" i="155"/>
  <c r="BM135" i="155"/>
  <c r="BM141" i="155"/>
  <c r="AQ135" i="155"/>
  <c r="AQ141" i="155"/>
  <c r="AQ140" i="155"/>
  <c r="AP140" i="153"/>
  <c r="AP141" i="153"/>
  <c r="AP135" i="153"/>
  <c r="BO141" i="153"/>
  <c r="BO135" i="153"/>
  <c r="BO140" i="153"/>
  <c r="AB618" i="155"/>
  <c r="AB64" i="155"/>
  <c r="AB129" i="155" s="1"/>
  <c r="AB618" i="154"/>
  <c r="AB64" i="154"/>
  <c r="AB129" i="154" s="1"/>
  <c r="BE141" i="154"/>
  <c r="BE135" i="154"/>
  <c r="BE140" i="154"/>
  <c r="BY141" i="153"/>
  <c r="BY135" i="153"/>
  <c r="BY140" i="153"/>
  <c r="BQ140" i="153"/>
  <c r="BQ141" i="153"/>
  <c r="BQ135" i="153"/>
  <c r="AB135" i="154"/>
  <c r="AB140" i="154"/>
  <c r="AB141" i="154"/>
  <c r="AK140" i="153"/>
  <c r="AK135" i="153"/>
  <c r="AK141" i="153"/>
  <c r="AX141" i="155"/>
  <c r="AX140" i="155"/>
  <c r="AX135" i="155"/>
  <c r="BK135" i="155"/>
  <c r="BK141" i="155"/>
  <c r="BK140" i="155"/>
  <c r="BR141" i="155"/>
  <c r="BR135" i="155"/>
  <c r="BR140" i="155"/>
  <c r="AW135" i="154"/>
  <c r="AW140" i="154"/>
  <c r="AW141" i="154"/>
  <c r="BJ135" i="153"/>
  <c r="BJ140" i="153"/>
  <c r="BJ141" i="153"/>
  <c r="AM141" i="155"/>
  <c r="AM140" i="155"/>
  <c r="AM135" i="155"/>
  <c r="BI135" i="154"/>
  <c r="BI141" i="154"/>
  <c r="BI140" i="154"/>
  <c r="AZ141" i="155"/>
  <c r="AZ140" i="155"/>
  <c r="AZ135" i="155"/>
  <c r="BX141" i="154"/>
  <c r="BX140" i="154"/>
  <c r="BX135" i="154"/>
  <c r="AB135" i="153"/>
  <c r="AB141" i="153"/>
  <c r="AB140" i="153"/>
  <c r="BI140" i="153"/>
  <c r="BI135" i="153"/>
  <c r="BI141" i="153"/>
  <c r="AW140" i="155"/>
  <c r="AW141" i="155"/>
  <c r="AW135" i="155"/>
  <c r="BO141" i="155"/>
  <c r="BO135" i="155"/>
  <c r="BO140" i="155"/>
  <c r="AI135" i="154"/>
  <c r="AI140" i="154"/>
  <c r="AI141" i="154"/>
  <c r="AF135" i="153"/>
  <c r="AF140" i="153"/>
  <c r="AF141" i="153"/>
  <c r="BE140" i="153"/>
  <c r="BE135" i="153"/>
  <c r="BE141" i="153"/>
  <c r="AL141" i="155"/>
  <c r="AL140" i="155"/>
  <c r="AL135" i="155"/>
  <c r="AU141" i="155"/>
  <c r="AU135" i="155"/>
  <c r="AU140" i="155"/>
  <c r="J82" i="153"/>
  <c r="J15" i="153"/>
  <c r="J16" i="153" s="1"/>
  <c r="J11" i="153"/>
  <c r="J12" i="153" s="1"/>
  <c r="BF141" i="155"/>
  <c r="BF140" i="155"/>
  <c r="BF135" i="155"/>
  <c r="AS140" i="155"/>
  <c r="AS135" i="155"/>
  <c r="AS141" i="155"/>
  <c r="AC135" i="153"/>
  <c r="AC140" i="153"/>
  <c r="AC141" i="153"/>
  <c r="BL140" i="154"/>
  <c r="BL141" i="154"/>
  <c r="BL135" i="154"/>
  <c r="Z135" i="154"/>
  <c r="Z141" i="154"/>
  <c r="Z140" i="154"/>
  <c r="BV135" i="155"/>
  <c r="BV140" i="155"/>
  <c r="BV141" i="155"/>
  <c r="M82" i="153"/>
  <c r="M11" i="153"/>
  <c r="M12" i="153" s="1"/>
  <c r="M15" i="153"/>
  <c r="M16" i="153" s="1"/>
  <c r="AX135" i="153"/>
  <c r="AX141" i="153"/>
  <c r="AX140" i="153"/>
  <c r="AP135" i="154"/>
  <c r="AP140" i="154"/>
  <c r="AP141" i="154"/>
  <c r="U618" i="155"/>
  <c r="U64" i="155"/>
  <c r="U129" i="155" s="1"/>
  <c r="AA141" i="153"/>
  <c r="AA140" i="153"/>
  <c r="AA135" i="153"/>
  <c r="AE141" i="155"/>
  <c r="AE135" i="155"/>
  <c r="AE140" i="155"/>
  <c r="AB141" i="155"/>
  <c r="AB135" i="155"/>
  <c r="AB140" i="155"/>
  <c r="AK141" i="154"/>
  <c r="AK140" i="154"/>
  <c r="AK135" i="154"/>
  <c r="N82" i="155"/>
  <c r="N11" i="155"/>
  <c r="N12" i="155" s="1"/>
  <c r="N15" i="155"/>
  <c r="N16" i="155" s="1"/>
  <c r="BC140" i="153"/>
  <c r="BC135" i="153"/>
  <c r="BC141" i="153"/>
  <c r="BN135" i="154"/>
  <c r="BN140" i="154"/>
  <c r="BN141" i="154"/>
  <c r="BV141" i="154"/>
  <c r="BV135" i="154"/>
  <c r="BV140" i="154"/>
  <c r="Y618" i="155"/>
  <c r="Y64" i="155"/>
  <c r="Y129" i="155" s="1"/>
  <c r="AC129" i="153"/>
  <c r="Z129" i="154"/>
  <c r="V141" i="153"/>
  <c r="V140" i="153"/>
  <c r="V135" i="153"/>
  <c r="AH135" i="155"/>
  <c r="AH140" i="155"/>
  <c r="AH141" i="155"/>
  <c r="AZ135" i="154"/>
  <c r="AZ141" i="154"/>
  <c r="AZ140" i="154"/>
  <c r="BM141" i="153"/>
  <c r="BM140" i="153"/>
  <c r="BM135" i="153"/>
  <c r="BA135" i="153"/>
  <c r="BA140" i="153"/>
  <c r="BA141" i="153"/>
  <c r="BY135" i="155"/>
  <c r="BY140" i="155"/>
  <c r="BY141" i="155"/>
  <c r="AS141" i="153"/>
  <c r="AS135" i="153"/>
  <c r="AS140" i="153"/>
  <c r="AM135" i="153"/>
  <c r="AM140" i="153"/>
  <c r="AM141" i="153"/>
  <c r="BT135" i="154"/>
  <c r="BT140" i="154"/>
  <c r="BT141" i="154"/>
  <c r="L82" i="153"/>
  <c r="L11" i="153"/>
  <c r="L12" i="153" s="1"/>
  <c r="L15" i="153"/>
  <c r="L16" i="153" s="1"/>
  <c r="AT141" i="153"/>
  <c r="AT135" i="153"/>
  <c r="AT140" i="153"/>
  <c r="AJ140" i="153"/>
  <c r="AJ135" i="153"/>
  <c r="AJ141" i="153"/>
  <c r="V618" i="154"/>
  <c r="V64" i="154"/>
  <c r="V129" i="154" s="1"/>
  <c r="S618" i="155"/>
  <c r="S64" i="155"/>
  <c r="S129" i="155" s="1"/>
  <c r="AD135" i="153"/>
  <c r="AD140" i="153"/>
  <c r="AD141" i="153"/>
  <c r="AY135" i="154"/>
  <c r="AY141" i="154"/>
  <c r="AY140" i="154"/>
  <c r="AT141" i="154"/>
  <c r="AT135" i="154"/>
  <c r="AT140" i="154"/>
  <c r="X140" i="154"/>
  <c r="X141" i="154"/>
  <c r="X135" i="154"/>
  <c r="BH135" i="155"/>
  <c r="BH141" i="155"/>
  <c r="BH140" i="155"/>
  <c r="AR141" i="153"/>
  <c r="AR135" i="153"/>
  <c r="AR140" i="153"/>
  <c r="AV135" i="154"/>
  <c r="AV140" i="154"/>
  <c r="AV141" i="154"/>
  <c r="AL141" i="154"/>
  <c r="AL140" i="154"/>
  <c r="AL135" i="154"/>
  <c r="U141" i="153"/>
  <c r="U140" i="153"/>
  <c r="U135" i="153"/>
  <c r="BK141" i="153"/>
  <c r="BK135" i="153"/>
  <c r="BK140" i="153"/>
  <c r="L82" i="155"/>
  <c r="L11" i="155"/>
  <c r="L12" i="155" s="1"/>
  <c r="L15" i="155"/>
  <c r="L16" i="155" s="1"/>
  <c r="BR141" i="154"/>
  <c r="BR135" i="154"/>
  <c r="BR140" i="154"/>
  <c r="BV135" i="153"/>
  <c r="BV140" i="153"/>
  <c r="BV141" i="153"/>
  <c r="AU141" i="153"/>
  <c r="AU140" i="153"/>
  <c r="AU135" i="153"/>
  <c r="BW135" i="153"/>
  <c r="BW141" i="153"/>
  <c r="BW140" i="153"/>
  <c r="V141" i="155"/>
  <c r="V135" i="155"/>
  <c r="V140" i="155"/>
  <c r="U135" i="155"/>
  <c r="U141" i="155"/>
  <c r="U140" i="155"/>
  <c r="AG135" i="155"/>
  <c r="AG141" i="155"/>
  <c r="AG140" i="155"/>
  <c r="BX141" i="153"/>
  <c r="BX140" i="153"/>
  <c r="BX135" i="153"/>
  <c r="V141" i="154"/>
  <c r="V135" i="154"/>
  <c r="V140" i="154"/>
  <c r="BP140" i="154"/>
  <c r="BP141" i="154"/>
  <c r="BP135" i="154"/>
  <c r="BD141" i="154"/>
  <c r="BD135" i="154"/>
  <c r="BD140" i="154"/>
  <c r="BC135" i="155"/>
  <c r="BC140" i="155"/>
  <c r="BC141" i="155"/>
  <c r="AI135" i="155"/>
  <c r="AI140" i="155"/>
  <c r="AI141" i="155"/>
  <c r="AP135" i="155"/>
  <c r="AP141" i="155"/>
  <c r="AP140" i="155"/>
  <c r="Z140" i="155"/>
  <c r="Z135" i="155"/>
  <c r="Z141" i="155"/>
  <c r="BB140" i="154"/>
  <c r="BB141" i="154"/>
  <c r="BB135" i="154"/>
  <c r="AQ141" i="153"/>
  <c r="AQ140" i="153"/>
  <c r="AQ135" i="153"/>
  <c r="Y140" i="155"/>
  <c r="Y135" i="155"/>
  <c r="Y141" i="155"/>
  <c r="AY135" i="153"/>
  <c r="AY141" i="153"/>
  <c r="AY140" i="153"/>
  <c r="R140" i="154"/>
  <c r="R135" i="154"/>
  <c r="R141" i="154"/>
  <c r="AN135" i="154"/>
  <c r="AN140" i="154"/>
  <c r="AN141" i="154"/>
  <c r="R141" i="155"/>
  <c r="R140" i="155"/>
  <c r="R135" i="155"/>
  <c r="AV141" i="155"/>
  <c r="AV135" i="155"/>
  <c r="AV140" i="155"/>
  <c r="AQ140" i="154"/>
  <c r="AQ135" i="154"/>
  <c r="AQ141" i="154"/>
  <c r="X135" i="153"/>
  <c r="X141" i="153"/>
  <c r="X140" i="153"/>
  <c r="AU135" i="154"/>
  <c r="AU141" i="154"/>
  <c r="AU140" i="154"/>
  <c r="BT135" i="153"/>
  <c r="BT140" i="153"/>
  <c r="BT141" i="153"/>
  <c r="BA135" i="155"/>
  <c r="BA141" i="155"/>
  <c r="BA140" i="155"/>
  <c r="BD140" i="155"/>
  <c r="BD141" i="155"/>
  <c r="BD135" i="155"/>
  <c r="BB135" i="155"/>
  <c r="BB140" i="155"/>
  <c r="BB141" i="155"/>
  <c r="R129" i="155"/>
  <c r="T135" i="155"/>
  <c r="T141" i="155"/>
  <c r="T140" i="155"/>
  <c r="Z141" i="153"/>
  <c r="Z140" i="153"/>
  <c r="Z135" i="153"/>
  <c r="AD135" i="154"/>
  <c r="AD141" i="154"/>
  <c r="AD140" i="154"/>
  <c r="AJ140" i="155"/>
  <c r="AJ135" i="155"/>
  <c r="AJ141" i="155"/>
  <c r="S141" i="155"/>
  <c r="S140" i="155"/>
  <c r="S135" i="155"/>
  <c r="L82" i="154"/>
  <c r="L15" i="154"/>
  <c r="L16" i="154" s="1"/>
  <c r="L11" i="154"/>
  <c r="L12" i="154" s="1"/>
  <c r="BK140" i="154"/>
  <c r="BK141" i="154"/>
  <c r="BK135" i="154"/>
  <c r="BP141" i="155"/>
  <c r="BP135" i="155"/>
  <c r="BP140" i="155"/>
  <c r="BJ135" i="155"/>
  <c r="BJ141" i="155"/>
  <c r="BJ140" i="155"/>
  <c r="Z618" i="155"/>
  <c r="Z64" i="155"/>
  <c r="Z129" i="155" s="1"/>
  <c r="W141" i="153"/>
  <c r="W140" i="153"/>
  <c r="W135" i="153"/>
  <c r="N82" i="154"/>
  <c r="N15" i="154"/>
  <c r="N16" i="154" s="1"/>
  <c r="N11" i="154"/>
  <c r="N12" i="154" s="1"/>
  <c r="BD140" i="153"/>
  <c r="BD135" i="153"/>
  <c r="BD141" i="153"/>
  <c r="BU135" i="155"/>
  <c r="BU141" i="155"/>
  <c r="BU140" i="155"/>
  <c r="BC140" i="154"/>
  <c r="BC135" i="154"/>
  <c r="BC141" i="154"/>
  <c r="BA141" i="154"/>
  <c r="BA135" i="154"/>
  <c r="BA140" i="154"/>
  <c r="AN141" i="153"/>
  <c r="AN140" i="153"/>
  <c r="AN135" i="153"/>
  <c r="BL141" i="153"/>
  <c r="BL140" i="153"/>
  <c r="BL135" i="153"/>
  <c r="AG140" i="154"/>
  <c r="AG135" i="154"/>
  <c r="AG141" i="154"/>
  <c r="BG140" i="154"/>
  <c r="BG135" i="154"/>
  <c r="BG141" i="154"/>
  <c r="BH141" i="154"/>
  <c r="BH140" i="154"/>
  <c r="BH135" i="154"/>
  <c r="BI135" i="155"/>
  <c r="BI141" i="155"/>
  <c r="BI140" i="155"/>
  <c r="BY141" i="154"/>
  <c r="BY140" i="154"/>
  <c r="BY135" i="154"/>
  <c r="AD141" i="155"/>
  <c r="AD135" i="155"/>
  <c r="AD140" i="155"/>
  <c r="BB135" i="153"/>
  <c r="BB140" i="153"/>
  <c r="BB141" i="153"/>
  <c r="BS141" i="155"/>
  <c r="BS135" i="155"/>
  <c r="BS140" i="155"/>
  <c r="Y135" i="154"/>
  <c r="Y141" i="154"/>
  <c r="Y140" i="154"/>
  <c r="BN141" i="153"/>
  <c r="BN140" i="153"/>
  <c r="BN135" i="153"/>
  <c r="Y141" i="153"/>
  <c r="Y140" i="153"/>
  <c r="Y135" i="153"/>
  <c r="W135" i="155"/>
  <c r="W141" i="155"/>
  <c r="W140" i="155"/>
  <c r="BF140" i="154"/>
  <c r="BF141" i="154"/>
  <c r="BF135" i="154"/>
  <c r="J64" i="153"/>
  <c r="R129" i="153"/>
  <c r="AC618" i="154"/>
  <c r="AC64" i="154"/>
  <c r="AC129" i="154" s="1"/>
  <c r="AS140" i="154"/>
  <c r="AS135" i="154"/>
  <c r="AS141" i="154"/>
  <c r="AX135" i="154"/>
  <c r="AX140" i="154"/>
  <c r="AX141" i="154"/>
  <c r="AH140" i="153"/>
  <c r="AH135" i="153"/>
  <c r="AH141" i="153"/>
  <c r="K82" i="154"/>
  <c r="K15" i="154"/>
  <c r="K16" i="154" s="1"/>
  <c r="K11" i="154"/>
  <c r="K12" i="154" s="1"/>
  <c r="AT140" i="155"/>
  <c r="AT135" i="155"/>
  <c r="AT141" i="155"/>
  <c r="J82" i="154"/>
  <c r="J11" i="154"/>
  <c r="J12" i="154" s="1"/>
  <c r="J15" i="154"/>
  <c r="J16" i="154" s="1"/>
  <c r="BU135" i="154"/>
  <c r="BU140" i="154"/>
  <c r="BU141" i="154"/>
  <c r="AI140" i="153"/>
  <c r="AI135" i="153"/>
  <c r="AI141" i="153"/>
  <c r="AA618" i="155"/>
  <c r="AA64" i="155"/>
  <c r="AA129" i="155" s="1"/>
  <c r="AK135" i="155"/>
  <c r="AK140" i="155"/>
  <c r="AK141" i="155"/>
  <c r="BH140" i="153"/>
  <c r="BH135" i="153"/>
  <c r="BH141" i="153"/>
  <c r="BG141" i="155"/>
  <c r="BG140" i="155"/>
  <c r="BG135" i="155"/>
  <c r="BF135" i="153"/>
  <c r="BF140" i="153"/>
  <c r="BF141" i="153"/>
  <c r="BU135" i="153"/>
  <c r="BU140" i="153"/>
  <c r="BU141" i="153"/>
  <c r="BS140" i="153"/>
  <c r="BS135" i="153"/>
  <c r="BS141" i="153"/>
  <c r="AH135" i="154"/>
  <c r="AH140" i="154"/>
  <c r="AH141" i="154"/>
  <c r="BQ135" i="154"/>
  <c r="BQ140" i="154"/>
  <c r="BQ141" i="154"/>
  <c r="Y618" i="154"/>
  <c r="Y64" i="154"/>
  <c r="Y129" i="154" s="1"/>
  <c r="AF141" i="155"/>
  <c r="AF135" i="155"/>
  <c r="AF140" i="155"/>
  <c r="BN140" i="155"/>
  <c r="BN135" i="155"/>
  <c r="BN141" i="155"/>
  <c r="BO135" i="154"/>
  <c r="BO140" i="154"/>
  <c r="BO141" i="154"/>
  <c r="BL135" i="155"/>
  <c r="BL141" i="155"/>
  <c r="BL140" i="155"/>
  <c r="AF140" i="154"/>
  <c r="AF141" i="154"/>
  <c r="AF135" i="154"/>
  <c r="BJ135" i="154"/>
  <c r="BJ140" i="154"/>
  <c r="BJ141" i="154"/>
  <c r="AN135" i="155"/>
  <c r="AN141" i="155"/>
  <c r="AN140" i="155"/>
  <c r="K82" i="155"/>
  <c r="K11" i="155"/>
  <c r="K12" i="155" s="1"/>
  <c r="K15" i="155"/>
  <c r="K16" i="155" s="1"/>
  <c r="AO135" i="154"/>
  <c r="AO141" i="154"/>
  <c r="AO140" i="154"/>
  <c r="AZ135" i="153"/>
  <c r="AZ140" i="153"/>
  <c r="AZ141" i="153"/>
  <c r="BR141" i="153"/>
  <c r="BR140" i="153"/>
  <c r="BR135" i="153"/>
  <c r="AY141" i="155"/>
  <c r="AY140" i="155"/>
  <c r="AY135" i="155"/>
  <c r="AV141" i="153"/>
  <c r="AV135" i="153"/>
  <c r="AV140" i="153"/>
  <c r="BE135" i="155"/>
  <c r="BE140" i="155"/>
  <c r="BE141" i="155"/>
  <c r="S135" i="154"/>
  <c r="S141" i="154"/>
  <c r="S140" i="154"/>
  <c r="T618" i="154"/>
  <c r="T64" i="154"/>
  <c r="T129" i="154" s="1"/>
  <c r="R129" i="154"/>
  <c r="X618" i="155"/>
  <c r="X64" i="155"/>
  <c r="X129" i="155" s="1"/>
  <c r="M82" i="154"/>
  <c r="M15" i="154"/>
  <c r="M16" i="154" s="1"/>
  <c r="M11" i="154"/>
  <c r="M12" i="154" s="1"/>
  <c r="J82" i="155"/>
  <c r="J11" i="155"/>
  <c r="J12" i="155" s="1"/>
  <c r="J15" i="155"/>
  <c r="J16" i="155" s="1"/>
  <c r="T141" i="153"/>
  <c r="T140" i="153"/>
  <c r="T135" i="153"/>
  <c r="BW141" i="154"/>
  <c r="BW135" i="154"/>
  <c r="BW140" i="154"/>
  <c r="AA141" i="155"/>
  <c r="AA135" i="155"/>
  <c r="AA140" i="155"/>
  <c r="BG140" i="153"/>
  <c r="BG135" i="153"/>
  <c r="BG141" i="153"/>
  <c r="AC135" i="154"/>
  <c r="AC140" i="154"/>
  <c r="AC141" i="154"/>
  <c r="T135" i="154"/>
  <c r="T140" i="154"/>
  <c r="T141" i="154"/>
  <c r="AE141" i="154"/>
  <c r="AE135" i="154"/>
  <c r="AE140" i="154"/>
  <c r="X135" i="155"/>
  <c r="X141" i="155"/>
  <c r="X140" i="155"/>
  <c r="AA618" i="154"/>
  <c r="AA64" i="154"/>
  <c r="AA129" i="154" s="1"/>
  <c r="BM141" i="154"/>
  <c r="BM140" i="154"/>
  <c r="BM135" i="154"/>
  <c r="K82" i="153"/>
  <c r="K15" i="153"/>
  <c r="K16" i="153" s="1"/>
  <c r="K11" i="153"/>
  <c r="K12" i="153" s="1"/>
  <c r="AM140" i="154"/>
  <c r="AM141" i="154"/>
  <c r="AM135" i="154"/>
  <c r="AL135" i="153"/>
  <c r="AL140" i="153"/>
  <c r="AL141" i="153"/>
  <c r="AE135" i="153"/>
  <c r="AE140" i="153"/>
  <c r="AE141" i="153"/>
  <c r="U135" i="154"/>
  <c r="U141" i="154"/>
  <c r="U140" i="154"/>
  <c r="AR135" i="155"/>
  <c r="AR140" i="155"/>
  <c r="AR141" i="155"/>
  <c r="W140" i="154"/>
  <c r="W135" i="154"/>
  <c r="W141" i="154"/>
  <c r="BW135" i="155"/>
  <c r="BW140" i="155"/>
  <c r="BW141" i="155"/>
  <c r="S516" i="155"/>
  <c r="S580" i="155" s="1"/>
  <c r="N131" i="105"/>
  <c r="N132" i="105"/>
  <c r="N127" i="105"/>
  <c r="F129" i="34"/>
  <c r="R618" i="155"/>
  <c r="X618" i="153"/>
  <c r="AC618" i="155"/>
  <c r="X513" i="155"/>
  <c r="X577" i="155" s="1"/>
  <c r="U513" i="155"/>
  <c r="U577" i="155" s="1"/>
  <c r="AC513" i="155"/>
  <c r="AC577" i="155" s="1"/>
  <c r="AB513" i="155"/>
  <c r="AB577" i="155" s="1"/>
  <c r="Y513" i="155"/>
  <c r="Y577" i="155" s="1"/>
  <c r="V513" i="155"/>
  <c r="V577" i="155" s="1"/>
  <c r="W513" i="155"/>
  <c r="W577" i="155" s="1"/>
  <c r="R513" i="155"/>
  <c r="R577" i="155" s="1"/>
  <c r="X514" i="153"/>
  <c r="X578" i="153" s="1"/>
  <c r="W514" i="153"/>
  <c r="W578" i="153" s="1"/>
  <c r="S513" i="155"/>
  <c r="S577" i="155" s="1"/>
  <c r="W618" i="153"/>
  <c r="V618" i="153"/>
  <c r="S618" i="154"/>
  <c r="T618" i="155"/>
  <c r="Y618" i="153"/>
  <c r="U618" i="153"/>
  <c r="R618" i="153"/>
  <c r="AB618" i="153"/>
  <c r="K515" i="155"/>
  <c r="K517" i="155" s="1"/>
  <c r="K518" i="155" s="1"/>
  <c r="AA513" i="155"/>
  <c r="AA577" i="155" s="1"/>
  <c r="Z513" i="155"/>
  <c r="Z577" i="155" s="1"/>
  <c r="T513" i="155"/>
  <c r="T577" i="155" s="1"/>
  <c r="J577" i="155"/>
  <c r="J618" i="155"/>
  <c r="Z618" i="154"/>
  <c r="J618" i="154"/>
  <c r="Z618" i="153"/>
  <c r="R618" i="154"/>
  <c r="U618" i="154"/>
  <c r="J515" i="155"/>
  <c r="J517" i="155" s="1"/>
  <c r="J518" i="155" s="1"/>
  <c r="J578" i="153"/>
  <c r="AD64" i="154"/>
  <c r="AH64" i="153"/>
  <c r="AH129" i="153" s="1"/>
  <c r="AF64" i="153"/>
  <c r="AF129" i="153" s="1"/>
  <c r="AG64" i="153"/>
  <c r="AG129" i="153" s="1"/>
  <c r="AI64" i="153"/>
  <c r="AI129" i="153" s="1"/>
  <c r="T618" i="153"/>
  <c r="AN64" i="153"/>
  <c r="AN129" i="153" s="1"/>
  <c r="X618" i="154"/>
  <c r="AE64" i="155"/>
  <c r="AE129" i="155" s="1"/>
  <c r="V618" i="155"/>
  <c r="AL64" i="153"/>
  <c r="AL129" i="153" s="1"/>
  <c r="AO64" i="153"/>
  <c r="AO129" i="153" s="1"/>
  <c r="AN64" i="155"/>
  <c r="AN129" i="155" s="1"/>
  <c r="AK64" i="155"/>
  <c r="AK129" i="155" s="1"/>
  <c r="AE64" i="153"/>
  <c r="AE129" i="153" s="1"/>
  <c r="AC618" i="153"/>
  <c r="AJ64" i="153"/>
  <c r="AJ129" i="153" s="1"/>
  <c r="AO64" i="155"/>
  <c r="AO129" i="155" s="1"/>
  <c r="AK64" i="153"/>
  <c r="AK129" i="153" s="1"/>
  <c r="AM64" i="153"/>
  <c r="AM129" i="153" s="1"/>
  <c r="S618" i="153"/>
  <c r="AD64" i="153"/>
  <c r="AM64" i="155"/>
  <c r="AM129" i="155" s="1"/>
  <c r="AH64" i="154"/>
  <c r="AH129" i="154" s="1"/>
  <c r="AA618" i="153"/>
  <c r="J618" i="153"/>
  <c r="AD64" i="155"/>
  <c r="AJ64" i="154"/>
  <c r="AJ129" i="154" s="1"/>
  <c r="AG64" i="155"/>
  <c r="AG129" i="155" s="1"/>
  <c r="U514" i="153"/>
  <c r="U578" i="153" s="1"/>
  <c r="R514" i="153"/>
  <c r="R578" i="153" s="1"/>
  <c r="V514" i="153"/>
  <c r="V578" i="153" s="1"/>
  <c r="S514" i="153"/>
  <c r="S578" i="153" s="1"/>
  <c r="Y514" i="153"/>
  <c r="Y578" i="153" s="1"/>
  <c r="AW135" i="103"/>
  <c r="AW135" i="104"/>
  <c r="BD135" i="104"/>
  <c r="BD135" i="103"/>
  <c r="BU135" i="104"/>
  <c r="BU135" i="103"/>
  <c r="AE135" i="104"/>
  <c r="AE135" i="103"/>
  <c r="BN135" i="104"/>
  <c r="BN135" i="103"/>
  <c r="AM135" i="104"/>
  <c r="AM135" i="103"/>
  <c r="AR135" i="104"/>
  <c r="AR135" i="103"/>
  <c r="AP135" i="103"/>
  <c r="AP135" i="104"/>
  <c r="V135" i="103"/>
  <c r="V135" i="104"/>
  <c r="AJ135" i="104"/>
  <c r="AJ135" i="103"/>
  <c r="BA135" i="103"/>
  <c r="BA135" i="104"/>
  <c r="X135" i="103"/>
  <c r="X135" i="104"/>
  <c r="BW135" i="103"/>
  <c r="BW135" i="104"/>
  <c r="BP135" i="104"/>
  <c r="BP135" i="103"/>
  <c r="BI135" i="104"/>
  <c r="BI135" i="103"/>
  <c r="AV135" i="103"/>
  <c r="AV135" i="104"/>
  <c r="AT135" i="104"/>
  <c r="AT135" i="103"/>
  <c r="BF135" i="103"/>
  <c r="BF135" i="104"/>
  <c r="AK135" i="104"/>
  <c r="AK135" i="103"/>
  <c r="I113" i="103"/>
  <c r="I48" i="103" s="1"/>
  <c r="N48" i="105" s="1"/>
  <c r="I135" i="103"/>
  <c r="I135" i="104"/>
  <c r="I135" i="99"/>
  <c r="AG135" i="104"/>
  <c r="AG135" i="103"/>
  <c r="BK135" i="104"/>
  <c r="BK135" i="103"/>
  <c r="AC135" i="104"/>
  <c r="AC135" i="103"/>
  <c r="Z135" i="103"/>
  <c r="Z135" i="104"/>
  <c r="BC135" i="103"/>
  <c r="BC135" i="104"/>
  <c r="BR135" i="103"/>
  <c r="BR135" i="104"/>
  <c r="BG135" i="104"/>
  <c r="BG135" i="103"/>
  <c r="AO135" i="104"/>
  <c r="AO135" i="103"/>
  <c r="BT135" i="103"/>
  <c r="BT135" i="104"/>
  <c r="AX135" i="104"/>
  <c r="AX135" i="103"/>
  <c r="AB135" i="103"/>
  <c r="AB135" i="104"/>
  <c r="U135" i="103"/>
  <c r="U135" i="104"/>
  <c r="AY135" i="104"/>
  <c r="AY135" i="103"/>
  <c r="AL135" i="104"/>
  <c r="AL135" i="103"/>
  <c r="AH135" i="104"/>
  <c r="AH135" i="103"/>
  <c r="AI135" i="103"/>
  <c r="AI135" i="104"/>
  <c r="AZ135" i="103"/>
  <c r="AZ135" i="104"/>
  <c r="BM135" i="103"/>
  <c r="BM135" i="104"/>
  <c r="W135" i="103"/>
  <c r="W135" i="104"/>
  <c r="BH135" i="104"/>
  <c r="BH135" i="103"/>
  <c r="BV135" i="103"/>
  <c r="BV135" i="104"/>
  <c r="AD135" i="104"/>
  <c r="AD135" i="103"/>
  <c r="BO135" i="104"/>
  <c r="BO135" i="103"/>
  <c r="AS135" i="104"/>
  <c r="AS135" i="103"/>
  <c r="BY135" i="103"/>
  <c r="BY135" i="104"/>
  <c r="AU135" i="103"/>
  <c r="AU135" i="104"/>
  <c r="AQ135" i="103"/>
  <c r="AQ135" i="104"/>
  <c r="AF135" i="104"/>
  <c r="AF135" i="103"/>
  <c r="BQ135" i="103"/>
  <c r="BQ135" i="104"/>
  <c r="Y135" i="103"/>
  <c r="Y135" i="104"/>
  <c r="AN135" i="103"/>
  <c r="AN135" i="104"/>
  <c r="BE135" i="104"/>
  <c r="BE135" i="103"/>
  <c r="BX135" i="103"/>
  <c r="BX135" i="104"/>
  <c r="BB135" i="103"/>
  <c r="BB135" i="104"/>
  <c r="AA135" i="103"/>
  <c r="AA135" i="104"/>
  <c r="BJ135" i="104"/>
  <c r="BJ135" i="103"/>
  <c r="T135" i="103"/>
  <c r="T135" i="104"/>
  <c r="BL135" i="104"/>
  <c r="BL135" i="103"/>
  <c r="BS135" i="103"/>
  <c r="BS135" i="104"/>
  <c r="R13" i="105"/>
  <c r="CD13" i="105"/>
  <c r="BS13" i="105"/>
  <c r="BU13" i="105"/>
  <c r="BW13" i="105"/>
  <c r="CA13" i="105"/>
  <c r="BT13" i="105"/>
  <c r="BY13" i="105"/>
  <c r="CB13" i="105"/>
  <c r="BV13" i="105"/>
  <c r="BX13" i="105"/>
  <c r="BZ13" i="105"/>
  <c r="CC13" i="105"/>
  <c r="T514" i="153"/>
  <c r="T578" i="153" s="1"/>
  <c r="AC514" i="153"/>
  <c r="AC578" i="153" s="1"/>
  <c r="AB514" i="153"/>
  <c r="AB578" i="153" s="1"/>
  <c r="AA514" i="153"/>
  <c r="AA578" i="153" s="1"/>
  <c r="Z514" i="153"/>
  <c r="Z578" i="153" s="1"/>
  <c r="I12" i="99"/>
  <c r="M513" i="99" a="1"/>
  <c r="M513" i="99" s="1"/>
  <c r="N513" i="99" s="1" a="1"/>
  <c r="N513" i="99" s="1"/>
  <c r="H24" i="46"/>
  <c r="H74" i="34" s="1" a="1"/>
  <c r="H74" i="34" s="1"/>
  <c r="J515" i="154"/>
  <c r="J517" i="154" s="1"/>
  <c r="K515" i="154"/>
  <c r="K517" i="154" s="1"/>
  <c r="K518" i="154" s="1"/>
  <c r="L515" i="153"/>
  <c r="L517" i="153" s="1"/>
  <c r="L518" i="153" s="1"/>
  <c r="J515" i="153"/>
  <c r="J517" i="153" s="1"/>
  <c r="J518" i="153" s="1"/>
  <c r="L512" i="154"/>
  <c r="L515" i="154" s="1"/>
  <c r="L517" i="154" s="1"/>
  <c r="L518" i="154" s="1"/>
  <c r="M509" i="153" a="1"/>
  <c r="M509" i="153" s="1"/>
  <c r="N509" i="153" s="1" a="1"/>
  <c r="N509" i="153" s="1"/>
  <c r="K512" i="153"/>
  <c r="K515" i="153" s="1"/>
  <c r="K517" i="153" s="1"/>
  <c r="L512" i="155"/>
  <c r="L515" i="155" s="1"/>
  <c r="L517" i="155" s="1"/>
  <c r="L518" i="155" s="1"/>
  <c r="L524" i="155"/>
  <c r="L526" i="155" s="1"/>
  <c r="L527" i="155" s="1"/>
  <c r="M521" i="155" a="1"/>
  <c r="M521" i="155" s="1"/>
  <c r="L524" i="154"/>
  <c r="L526" i="154" s="1"/>
  <c r="L527" i="154" s="1"/>
  <c r="M521" i="154" a="1"/>
  <c r="M521" i="154" s="1"/>
  <c r="M521" i="153" a="1"/>
  <c r="M521" i="153" s="1"/>
  <c r="L524" i="153"/>
  <c r="L526" i="153" s="1"/>
  <c r="L527" i="153" s="1"/>
  <c r="N509" i="155" a="1"/>
  <c r="N509" i="155" s="1"/>
  <c r="M512" i="155"/>
  <c r="M515" i="155" s="1"/>
  <c r="M517" i="155" s="1"/>
  <c r="N509" i="154" a="1"/>
  <c r="N509" i="154" s="1"/>
  <c r="M512" i="154"/>
  <c r="M515" i="154" s="1"/>
  <c r="M517" i="154" s="1"/>
  <c r="M521" i="99" a="1"/>
  <c r="M521" i="99" s="1"/>
  <c r="L524" i="99"/>
  <c r="L526" i="99" s="1"/>
  <c r="L527" i="99" s="1"/>
  <c r="U525" i="99"/>
  <c r="U589" i="99" s="1"/>
  <c r="T549" i="99"/>
  <c r="T613" i="99" s="1"/>
  <c r="T618" i="99"/>
  <c r="T64" i="99"/>
  <c r="S618" i="99"/>
  <c r="S64" i="99"/>
  <c r="R618" i="99"/>
  <c r="R64" i="99"/>
  <c r="E124" i="34"/>
  <c r="J160" i="104" a="1"/>
  <c r="J160" i="104" s="1"/>
  <c r="K160" i="104" s="1"/>
  <c r="J533" i="155" a="1"/>
  <c r="J533" i="155" s="1"/>
  <c r="X533" i="155" s="1"/>
  <c r="I91" i="103"/>
  <c r="I26" i="103" s="1"/>
  <c r="I109" i="103"/>
  <c r="I44" i="103" s="1"/>
  <c r="N44" i="105" s="1"/>
  <c r="AZ141" i="104"/>
  <c r="AZ140" i="104"/>
  <c r="AZ141" i="103"/>
  <c r="AZ76" i="103" s="1"/>
  <c r="AZ140" i="103"/>
  <c r="BV141" i="104"/>
  <c r="BV140" i="104"/>
  <c r="BV141" i="103"/>
  <c r="BV76" i="103" s="1"/>
  <c r="BV140" i="103"/>
  <c r="AG141" i="104"/>
  <c r="AG140" i="104"/>
  <c r="AG141" i="103"/>
  <c r="AG140" i="103"/>
  <c r="AD141" i="103"/>
  <c r="AD76" i="103" s="1"/>
  <c r="AD140" i="103"/>
  <c r="AD141" i="104"/>
  <c r="AD140" i="104"/>
  <c r="AV141" i="103"/>
  <c r="AV140" i="103"/>
  <c r="AV141" i="104"/>
  <c r="AV140" i="104"/>
  <c r="AS141" i="104"/>
  <c r="AS140" i="104"/>
  <c r="AS141" i="103"/>
  <c r="AS76" i="103" s="1"/>
  <c r="AS140" i="103"/>
  <c r="BB141" i="104"/>
  <c r="BB140" i="104"/>
  <c r="BB141" i="103"/>
  <c r="BB140" i="103"/>
  <c r="W140" i="103"/>
  <c r="W141" i="104"/>
  <c r="W140" i="104"/>
  <c r="W141" i="103"/>
  <c r="W76" i="103" s="1"/>
  <c r="V141" i="103"/>
  <c r="V76" i="103" s="1"/>
  <c r="V140" i="103"/>
  <c r="V141" i="104"/>
  <c r="V140" i="104"/>
  <c r="T141" i="103"/>
  <c r="T76" i="103" s="1"/>
  <c r="T140" i="103"/>
  <c r="T141" i="104"/>
  <c r="T140" i="104"/>
  <c r="BI141" i="103"/>
  <c r="BI76" i="103" s="1"/>
  <c r="BI140" i="103"/>
  <c r="BI141" i="104"/>
  <c r="BI140" i="104"/>
  <c r="BY141" i="103"/>
  <c r="BY141" i="104"/>
  <c r="BY140" i="103"/>
  <c r="BY140" i="104"/>
  <c r="AJ141" i="104"/>
  <c r="AJ140" i="104"/>
  <c r="AJ141" i="103"/>
  <c r="AJ140" i="103"/>
  <c r="AW141" i="103"/>
  <c r="AW76" i="103" s="1"/>
  <c r="AW140" i="103"/>
  <c r="AW141" i="104"/>
  <c r="AW140" i="104"/>
  <c r="AT141" i="104"/>
  <c r="AT140" i="104"/>
  <c r="AT141" i="103"/>
  <c r="AT140" i="103"/>
  <c r="BG141" i="103"/>
  <c r="BG140" i="103"/>
  <c r="BG141" i="104"/>
  <c r="BG140" i="104"/>
  <c r="I123" i="103"/>
  <c r="I58" i="103" s="1"/>
  <c r="N58" i="105" s="1"/>
  <c r="BE141" i="103"/>
  <c r="BE76" i="103" s="1"/>
  <c r="BE141" i="104"/>
  <c r="BE140" i="103"/>
  <c r="BE140" i="104"/>
  <c r="AH141" i="104"/>
  <c r="AH140" i="104"/>
  <c r="AH141" i="103"/>
  <c r="AH140" i="103"/>
  <c r="AU141" i="103"/>
  <c r="AU141" i="104"/>
  <c r="AU140" i="103"/>
  <c r="AU140" i="104"/>
  <c r="Z141" i="104"/>
  <c r="Z140" i="104"/>
  <c r="Z141" i="103"/>
  <c r="Z140" i="103"/>
  <c r="BL141" i="104"/>
  <c r="BL140" i="104"/>
  <c r="BL141" i="103"/>
  <c r="BL140" i="103"/>
  <c r="AO141" i="103"/>
  <c r="AO76" i="103" s="1"/>
  <c r="AO140" i="103"/>
  <c r="AO141" i="104"/>
  <c r="AO140" i="104"/>
  <c r="I89" i="103"/>
  <c r="I24" i="103" s="1"/>
  <c r="I122" i="103"/>
  <c r="I57" i="103" s="1"/>
  <c r="I92" i="103"/>
  <c r="AC141" i="103"/>
  <c r="AC140" i="103"/>
  <c r="AC141" i="104"/>
  <c r="AC140" i="104"/>
  <c r="AM141" i="103"/>
  <c r="AM140" i="103"/>
  <c r="AM141" i="104"/>
  <c r="AM140" i="104"/>
  <c r="U141" i="103"/>
  <c r="U140" i="103"/>
  <c r="U141" i="104"/>
  <c r="U140" i="104"/>
  <c r="I116" i="103"/>
  <c r="I51" i="103" s="1"/>
  <c r="N51" i="105" s="1"/>
  <c r="I96" i="103"/>
  <c r="I31" i="103" s="1"/>
  <c r="BU141" i="104"/>
  <c r="BU140" i="104"/>
  <c r="BU141" i="103"/>
  <c r="BU140" i="103"/>
  <c r="AR141" i="104"/>
  <c r="AR140" i="104"/>
  <c r="AR141" i="103"/>
  <c r="AR140" i="103"/>
  <c r="BJ141" i="103"/>
  <c r="BJ140" i="103"/>
  <c r="BJ141" i="104"/>
  <c r="BJ140" i="104"/>
  <c r="I100" i="103"/>
  <c r="I35" i="103" s="1"/>
  <c r="N35" i="105" s="1"/>
  <c r="BC141" i="104"/>
  <c r="BC140" i="104"/>
  <c r="BC141" i="103"/>
  <c r="BC140" i="103"/>
  <c r="AF141" i="104"/>
  <c r="AF140" i="104"/>
  <c r="AF141" i="103"/>
  <c r="AF76" i="103" s="1"/>
  <c r="AF140" i="103"/>
  <c r="AX141" i="103"/>
  <c r="AX76" i="103" s="1"/>
  <c r="AX140" i="103"/>
  <c r="AX141" i="104"/>
  <c r="AX140" i="104"/>
  <c r="AA141" i="103"/>
  <c r="AA76" i="103" s="1"/>
  <c r="AA141" i="104"/>
  <c r="AA140" i="103"/>
  <c r="AA140" i="104"/>
  <c r="X141" i="104"/>
  <c r="X140" i="104"/>
  <c r="X141" i="103"/>
  <c r="X76" i="103" s="1"/>
  <c r="X140" i="103"/>
  <c r="AK141" i="103"/>
  <c r="AK141" i="104"/>
  <c r="AK140" i="103"/>
  <c r="AK140" i="104"/>
  <c r="I84" i="103"/>
  <c r="I19" i="103" s="1"/>
  <c r="N19" i="105" s="1"/>
  <c r="D63" i="294" s="1"/>
  <c r="I115" i="103"/>
  <c r="I50" i="103" s="1"/>
  <c r="N50" i="105" s="1"/>
  <c r="BR141" i="103"/>
  <c r="BR76" i="103" s="1"/>
  <c r="BR140" i="103"/>
  <c r="BR141" i="104"/>
  <c r="BR140" i="104"/>
  <c r="I108" i="103"/>
  <c r="I43" i="103" s="1"/>
  <c r="I114" i="103"/>
  <c r="I49" i="103" s="1"/>
  <c r="N49" i="105" s="1"/>
  <c r="I87" i="103"/>
  <c r="I22" i="103" s="1"/>
  <c r="I97" i="103"/>
  <c r="I32" i="103" s="1"/>
  <c r="N32" i="105" s="1"/>
  <c r="I98" i="103"/>
  <c r="I33" i="103" s="1"/>
  <c r="N33" i="105" s="1"/>
  <c r="I101" i="103"/>
  <c r="BX141" i="104"/>
  <c r="BX140" i="104"/>
  <c r="BX141" i="103"/>
  <c r="BX140" i="103"/>
  <c r="BA141" i="104"/>
  <c r="BA140" i="104"/>
  <c r="BA141" i="103"/>
  <c r="BA140" i="103"/>
  <c r="BS140" i="104"/>
  <c r="BS141" i="103"/>
  <c r="BS76" i="103" s="1"/>
  <c r="BS140" i="103"/>
  <c r="BS141" i="104"/>
  <c r="BH141" i="103"/>
  <c r="BH140" i="103"/>
  <c r="BH141" i="104"/>
  <c r="BH140" i="104"/>
  <c r="BF141" i="103"/>
  <c r="BF140" i="103"/>
  <c r="BF141" i="104"/>
  <c r="BF140" i="104"/>
  <c r="BP141" i="103"/>
  <c r="BP140" i="103"/>
  <c r="BP141" i="104"/>
  <c r="BP140" i="104"/>
  <c r="BM141" i="104"/>
  <c r="BM140" i="104"/>
  <c r="BM141" i="103"/>
  <c r="BM140" i="103"/>
  <c r="AP141" i="103"/>
  <c r="AP140" i="103"/>
  <c r="AP141" i="104"/>
  <c r="AP140" i="104"/>
  <c r="I99" i="103"/>
  <c r="AI141" i="104"/>
  <c r="AI140" i="104"/>
  <c r="AI141" i="103"/>
  <c r="AI140" i="103"/>
  <c r="J533" i="154" a="1"/>
  <c r="J533" i="154" s="1"/>
  <c r="BK140" i="103"/>
  <c r="BK141" i="104"/>
  <c r="BK140" i="104"/>
  <c r="BK141" i="103"/>
  <c r="BK76" i="103" s="1"/>
  <c r="AN141" i="103"/>
  <c r="AN76" i="103" s="1"/>
  <c r="AN140" i="103"/>
  <c r="AN141" i="104"/>
  <c r="AN140" i="104"/>
  <c r="AQ140" i="103"/>
  <c r="AQ141" i="104"/>
  <c r="AQ140" i="104"/>
  <c r="AQ141" i="103"/>
  <c r="BW141" i="104"/>
  <c r="BW140" i="104"/>
  <c r="BW141" i="103"/>
  <c r="BW140" i="103"/>
  <c r="BO141" i="103"/>
  <c r="BO141" i="104"/>
  <c r="BO140" i="103"/>
  <c r="BO140" i="104"/>
  <c r="AY140" i="104"/>
  <c r="AY141" i="103"/>
  <c r="AY140" i="103"/>
  <c r="AY141" i="104"/>
  <c r="I113" i="104"/>
  <c r="I141" i="103"/>
  <c r="I140" i="103"/>
  <c r="I139" i="103"/>
  <c r="I74" i="103" s="1"/>
  <c r="I141" i="104"/>
  <c r="I140" i="104"/>
  <c r="I139" i="104"/>
  <c r="AL141" i="103"/>
  <c r="AL140" i="103"/>
  <c r="AL141" i="104"/>
  <c r="AL140" i="104"/>
  <c r="BD141" i="104"/>
  <c r="BD140" i="104"/>
  <c r="BD141" i="103"/>
  <c r="BD140" i="103"/>
  <c r="Y141" i="104"/>
  <c r="Y140" i="104"/>
  <c r="Y141" i="103"/>
  <c r="Y140" i="103"/>
  <c r="BQ141" i="103"/>
  <c r="BQ140" i="103"/>
  <c r="BQ141" i="104"/>
  <c r="BQ140" i="104"/>
  <c r="AB141" i="103"/>
  <c r="AB140" i="103"/>
  <c r="AB141" i="104"/>
  <c r="AB140" i="104"/>
  <c r="J533" i="153" a="1"/>
  <c r="J533" i="153" s="1"/>
  <c r="I88" i="103"/>
  <c r="I23" i="103" s="1"/>
  <c r="I110" i="103"/>
  <c r="BT141" i="104"/>
  <c r="BT140" i="104"/>
  <c r="BT141" i="103"/>
  <c r="BT140" i="103"/>
  <c r="AE140" i="104"/>
  <c r="AE141" i="103"/>
  <c r="AE140" i="103"/>
  <c r="AE141" i="104"/>
  <c r="BN141" i="104"/>
  <c r="BN140" i="104"/>
  <c r="BN141" i="103"/>
  <c r="BN140" i="103"/>
  <c r="I90" i="103"/>
  <c r="R558" i="154"/>
  <c r="R622" i="154" s="1"/>
  <c r="AA558" i="154"/>
  <c r="AA622" i="154" s="1"/>
  <c r="J622" i="154"/>
  <c r="K558" i="154"/>
  <c r="S558" i="154"/>
  <c r="S622" i="154" s="1"/>
  <c r="AC558" i="154"/>
  <c r="AC622" i="154" s="1"/>
  <c r="T558" i="154"/>
  <c r="T622" i="154" s="1"/>
  <c r="V558" i="154"/>
  <c r="V622" i="154" s="1"/>
  <c r="U558" i="154"/>
  <c r="U622" i="154" s="1"/>
  <c r="W558" i="154"/>
  <c r="W622" i="154" s="1"/>
  <c r="X558" i="154"/>
  <c r="X622" i="154" s="1"/>
  <c r="Y558" i="154"/>
  <c r="Y622" i="154" s="1"/>
  <c r="AB558" i="154"/>
  <c r="AB622" i="154" s="1"/>
  <c r="Z558" i="154"/>
  <c r="Z622" i="154" s="1"/>
  <c r="R558" i="153"/>
  <c r="R622" i="153" s="1"/>
  <c r="V558" i="153"/>
  <c r="V622" i="153" s="1"/>
  <c r="W558" i="153"/>
  <c r="W622" i="153" s="1"/>
  <c r="S558" i="153"/>
  <c r="S622" i="153" s="1"/>
  <c r="J622" i="153"/>
  <c r="U558" i="153"/>
  <c r="U622" i="153" s="1"/>
  <c r="K558" i="153"/>
  <c r="X558" i="153"/>
  <c r="X622" i="153" s="1"/>
  <c r="Y558" i="153"/>
  <c r="Y622" i="153" s="1"/>
  <c r="Z558" i="153"/>
  <c r="Z622" i="153" s="1"/>
  <c r="AA558" i="153"/>
  <c r="AA622" i="153" s="1"/>
  <c r="AB558" i="153"/>
  <c r="AB622" i="153" s="1"/>
  <c r="AC558" i="153"/>
  <c r="AC622" i="153" s="1"/>
  <c r="T558" i="153"/>
  <c r="T622" i="153" s="1"/>
  <c r="X558" i="155"/>
  <c r="X622" i="155" s="1"/>
  <c r="Y558" i="155"/>
  <c r="Y622" i="155" s="1"/>
  <c r="Z558" i="155"/>
  <c r="Z622" i="155" s="1"/>
  <c r="AA558" i="155"/>
  <c r="AA622" i="155" s="1"/>
  <c r="S558" i="155"/>
  <c r="S622" i="155" s="1"/>
  <c r="AB558" i="155"/>
  <c r="AB622" i="155" s="1"/>
  <c r="AC558" i="155"/>
  <c r="AC622" i="155" s="1"/>
  <c r="J622" i="155"/>
  <c r="K558" i="155"/>
  <c r="T558" i="155"/>
  <c r="T622" i="155" s="1"/>
  <c r="R558" i="155"/>
  <c r="R622" i="155" s="1"/>
  <c r="U558" i="155"/>
  <c r="U622" i="155" s="1"/>
  <c r="V558" i="155"/>
  <c r="V622" i="155" s="1"/>
  <c r="W558" i="155"/>
  <c r="W622" i="155" s="1"/>
  <c r="W516" i="155"/>
  <c r="W580" i="155" s="1"/>
  <c r="Z516" i="155"/>
  <c r="Z580" i="155" s="1"/>
  <c r="X516" i="155"/>
  <c r="X580" i="155" s="1"/>
  <c r="U232" i="153"/>
  <c r="T542" i="99"/>
  <c r="T606" i="99" s="1"/>
  <c r="T516" i="155"/>
  <c r="T580" i="155" s="1"/>
  <c r="U516" i="155"/>
  <c r="U580" i="155" s="1"/>
  <c r="R516" i="155"/>
  <c r="R580" i="155" s="1"/>
  <c r="AB234" i="154"/>
  <c r="V233" i="155"/>
  <c r="AC232" i="155"/>
  <c r="R232" i="153"/>
  <c r="Y234" i="153"/>
  <c r="W234" i="154"/>
  <c r="AC516" i="155"/>
  <c r="AC580" i="155" s="1"/>
  <c r="U233" i="155"/>
  <c r="AB516" i="155"/>
  <c r="AB580" i="155" s="1"/>
  <c r="AA516" i="155"/>
  <c r="AA580" i="155" s="1"/>
  <c r="Y516" i="155"/>
  <c r="Y580" i="155" s="1"/>
  <c r="V516" i="155"/>
  <c r="V580" i="155" s="1"/>
  <c r="J580" i="155"/>
  <c r="Y233" i="155"/>
  <c r="AC234" i="153"/>
  <c r="U512" i="155"/>
  <c r="U576" i="155" s="1"/>
  <c r="V234" i="153"/>
  <c r="T234" i="154"/>
  <c r="S234" i="153"/>
  <c r="I104" i="103"/>
  <c r="S232" i="155"/>
  <c r="AB233" i="155"/>
  <c r="Z232" i="153"/>
  <c r="AC512" i="155"/>
  <c r="AC576" i="155" s="1"/>
  <c r="AA233" i="155"/>
  <c r="Z233" i="155"/>
  <c r="X232" i="153"/>
  <c r="V512" i="153"/>
  <c r="V576" i="153" s="1"/>
  <c r="X233" i="154"/>
  <c r="Y512" i="155"/>
  <c r="Y576" i="155" s="1"/>
  <c r="U512" i="153"/>
  <c r="X234" i="155"/>
  <c r="T512" i="154"/>
  <c r="T576" i="154" s="1"/>
  <c r="V233" i="154"/>
  <c r="X512" i="155"/>
  <c r="X576" i="155" s="1"/>
  <c r="AA234" i="154"/>
  <c r="S512" i="154"/>
  <c r="S576" i="154" s="1"/>
  <c r="U233" i="154"/>
  <c r="W512" i="155"/>
  <c r="AB234" i="153"/>
  <c r="Z234" i="154"/>
  <c r="T512" i="153"/>
  <c r="T576" i="153" s="1"/>
  <c r="T233" i="155"/>
  <c r="AA233" i="153"/>
  <c r="S512" i="155"/>
  <c r="S576" i="155" s="1"/>
  <c r="R234" i="155"/>
  <c r="W232" i="155"/>
  <c r="AC232" i="154"/>
  <c r="T234" i="153"/>
  <c r="S234" i="154"/>
  <c r="W233" i="153"/>
  <c r="T605" i="99"/>
  <c r="R234" i="154"/>
  <c r="Y232" i="154"/>
  <c r="Z512" i="153"/>
  <c r="Z576" i="153" s="1"/>
  <c r="Z512" i="154"/>
  <c r="Z576" i="154" s="1"/>
  <c r="W368" i="153"/>
  <c r="W366" i="153"/>
  <c r="W370" i="153"/>
  <c r="W371" i="153"/>
  <c r="W369" i="153"/>
  <c r="W367" i="153"/>
  <c r="V611" i="154"/>
  <c r="V549" i="154"/>
  <c r="V613" i="154" s="1"/>
  <c r="AA405" i="153"/>
  <c r="AA404" i="153"/>
  <c r="AA402" i="153"/>
  <c r="AA406" i="153"/>
  <c r="AA407" i="153"/>
  <c r="AA403" i="153"/>
  <c r="I608" i="155"/>
  <c r="I551" i="155"/>
  <c r="Z368" i="155"/>
  <c r="Z369" i="155"/>
  <c r="Z370" i="155"/>
  <c r="Z367" i="155"/>
  <c r="Z366" i="155"/>
  <c r="Z371" i="155"/>
  <c r="Y549" i="153"/>
  <c r="Y613" i="153" s="1"/>
  <c r="Y611" i="153"/>
  <c r="AA602" i="153"/>
  <c r="AA542" i="153"/>
  <c r="K573" i="155"/>
  <c r="AD507" i="155"/>
  <c r="AE507" i="155"/>
  <c r="AF507" i="155"/>
  <c r="AG507" i="155"/>
  <c r="AH507" i="155"/>
  <c r="AI507" i="155"/>
  <c r="AJ507" i="155"/>
  <c r="AK507" i="155"/>
  <c r="AL507" i="155"/>
  <c r="AM507" i="155"/>
  <c r="AN507" i="155"/>
  <c r="AO507" i="155"/>
  <c r="T347" i="154"/>
  <c r="T346" i="154"/>
  <c r="T348" i="154"/>
  <c r="T350" i="154"/>
  <c r="T351" i="154"/>
  <c r="T349" i="154"/>
  <c r="AA374" i="154"/>
  <c r="AA375" i="154"/>
  <c r="AA378" i="154"/>
  <c r="AA377" i="154"/>
  <c r="AA379" i="154"/>
  <c r="AA376" i="154"/>
  <c r="V232" i="155"/>
  <c r="U234" i="153"/>
  <c r="Z385" i="155"/>
  <c r="Z382" i="155"/>
  <c r="Z383" i="155"/>
  <c r="Z387" i="155"/>
  <c r="Z384" i="155"/>
  <c r="Z386" i="155"/>
  <c r="AC602" i="154"/>
  <c r="AC542" i="154"/>
  <c r="V370" i="153"/>
  <c r="V369" i="153"/>
  <c r="V367" i="153"/>
  <c r="V366" i="153"/>
  <c r="V368" i="153"/>
  <c r="V371" i="153"/>
  <c r="L539" i="154"/>
  <c r="K603" i="154"/>
  <c r="AD539" i="154"/>
  <c r="AD603" i="154" s="1"/>
  <c r="AE539" i="154"/>
  <c r="AE603" i="154" s="1"/>
  <c r="AF539" i="154"/>
  <c r="AF603" i="154" s="1"/>
  <c r="AG539" i="154"/>
  <c r="AG603" i="154" s="1"/>
  <c r="AH539" i="154"/>
  <c r="AH603" i="154" s="1"/>
  <c r="AI539" i="154"/>
  <c r="AI603" i="154" s="1"/>
  <c r="AJ539" i="154"/>
  <c r="AJ603" i="154" s="1"/>
  <c r="AK539" i="154"/>
  <c r="AK603" i="154" s="1"/>
  <c r="AL539" i="154"/>
  <c r="AL603" i="154" s="1"/>
  <c r="AM539" i="154"/>
  <c r="AM603" i="154" s="1"/>
  <c r="AN539" i="154"/>
  <c r="AN603" i="154" s="1"/>
  <c r="AO539" i="154"/>
  <c r="AO603" i="154" s="1"/>
  <c r="Y376" i="154"/>
  <c r="Y375" i="154"/>
  <c r="Y374" i="154"/>
  <c r="Y377" i="154"/>
  <c r="Y379" i="154"/>
  <c r="Y378" i="154"/>
  <c r="AB405" i="154"/>
  <c r="AB404" i="154"/>
  <c r="AB407" i="154"/>
  <c r="AB402" i="154"/>
  <c r="AB403" i="154"/>
  <c r="AB406" i="154"/>
  <c r="V233" i="153"/>
  <c r="AC387" i="154"/>
  <c r="AC384" i="154"/>
  <c r="AC385" i="154"/>
  <c r="AC386" i="154"/>
  <c r="AC383" i="154"/>
  <c r="AC382" i="154"/>
  <c r="U611" i="154"/>
  <c r="U549" i="154"/>
  <c r="U613" i="154" s="1"/>
  <c r="Z402" i="153"/>
  <c r="Z407" i="153"/>
  <c r="Z403" i="153"/>
  <c r="Z405" i="153"/>
  <c r="Z404" i="153"/>
  <c r="Z406" i="153"/>
  <c r="Y369" i="155"/>
  <c r="Y367" i="155"/>
  <c r="Y371" i="155"/>
  <c r="Y368" i="155"/>
  <c r="Y370" i="155"/>
  <c r="Y366" i="155"/>
  <c r="X611" i="153"/>
  <c r="X549" i="153"/>
  <c r="X613" i="153" s="1"/>
  <c r="Z602" i="153"/>
  <c r="Z542" i="153"/>
  <c r="R512" i="155"/>
  <c r="S350" i="154"/>
  <c r="S351" i="154"/>
  <c r="S347" i="154"/>
  <c r="S346" i="154"/>
  <c r="S348" i="154"/>
  <c r="S349" i="154"/>
  <c r="Y384" i="155"/>
  <c r="Y386" i="155"/>
  <c r="Y385" i="155"/>
  <c r="Y387" i="155"/>
  <c r="Y382" i="155"/>
  <c r="Y383" i="155"/>
  <c r="AB602" i="154"/>
  <c r="AB542" i="154"/>
  <c r="U367" i="153"/>
  <c r="U369" i="153"/>
  <c r="U368" i="153"/>
  <c r="U366" i="153"/>
  <c r="U370" i="153"/>
  <c r="U371" i="153"/>
  <c r="X377" i="154"/>
  <c r="X374" i="154"/>
  <c r="X375" i="154"/>
  <c r="X379" i="154"/>
  <c r="X378" i="154"/>
  <c r="X376" i="154"/>
  <c r="AA405" i="154"/>
  <c r="AA403" i="154"/>
  <c r="AA402" i="154"/>
  <c r="AA407" i="154"/>
  <c r="AA404" i="154"/>
  <c r="AA406" i="154"/>
  <c r="U233" i="153"/>
  <c r="AC404" i="155"/>
  <c r="AC402" i="155"/>
  <c r="AC405" i="155"/>
  <c r="AC407" i="155"/>
  <c r="AC406" i="155"/>
  <c r="AC403" i="155"/>
  <c r="AB387" i="154"/>
  <c r="AB385" i="154"/>
  <c r="AB383" i="154"/>
  <c r="AB382" i="154"/>
  <c r="AB386" i="154"/>
  <c r="AB384" i="154"/>
  <c r="T549" i="154"/>
  <c r="T613" i="154" s="1"/>
  <c r="T611" i="154"/>
  <c r="AD509" i="155"/>
  <c r="AD573" i="155" s="1"/>
  <c r="AE509" i="155"/>
  <c r="AE573" i="155" s="1"/>
  <c r="AF509" i="155"/>
  <c r="AF573" i="155" s="1"/>
  <c r="AG509" i="155"/>
  <c r="AG573" i="155" s="1"/>
  <c r="AH509" i="155"/>
  <c r="AH573" i="155" s="1"/>
  <c r="AI509" i="155"/>
  <c r="AI573" i="155" s="1"/>
  <c r="AJ509" i="155"/>
  <c r="AJ573" i="155" s="1"/>
  <c r="AK509" i="155"/>
  <c r="AK573" i="155" s="1"/>
  <c r="AL509" i="155"/>
  <c r="AL573" i="155" s="1"/>
  <c r="AM509" i="155"/>
  <c r="AM573" i="155" s="1"/>
  <c r="AN509" i="155"/>
  <c r="AN573" i="155" s="1"/>
  <c r="AO509" i="155"/>
  <c r="AO573" i="155" s="1"/>
  <c r="Y403" i="153"/>
  <c r="Y402" i="153"/>
  <c r="Y404" i="153"/>
  <c r="Y407" i="153"/>
  <c r="Y406" i="153"/>
  <c r="Y405" i="153"/>
  <c r="X370" i="155"/>
  <c r="X371" i="155"/>
  <c r="X366" i="155"/>
  <c r="X369" i="155"/>
  <c r="X367" i="155"/>
  <c r="X368" i="155"/>
  <c r="W611" i="153"/>
  <c r="W549" i="153"/>
  <c r="W613" i="153" s="1"/>
  <c r="Y542" i="153"/>
  <c r="Y602" i="153"/>
  <c r="J578" i="155"/>
  <c r="S514" i="155"/>
  <c r="S578" i="155" s="1"/>
  <c r="R514" i="155"/>
  <c r="R578" i="155" s="1"/>
  <c r="T514" i="155"/>
  <c r="T578" i="155" s="1"/>
  <c r="U514" i="155"/>
  <c r="U578" i="155" s="1"/>
  <c r="V514" i="155"/>
  <c r="V578" i="155" s="1"/>
  <c r="W514" i="155"/>
  <c r="W578" i="155" s="1"/>
  <c r="X514" i="155"/>
  <c r="X578" i="155" s="1"/>
  <c r="Y514" i="155"/>
  <c r="Y578" i="155" s="1"/>
  <c r="Z514" i="155"/>
  <c r="Z578" i="155" s="1"/>
  <c r="AA514" i="155"/>
  <c r="AA578" i="155" s="1"/>
  <c r="AB514" i="155"/>
  <c r="AB578" i="155" s="1"/>
  <c r="AC514" i="155"/>
  <c r="AC578" i="155" s="1"/>
  <c r="AC407" i="154"/>
  <c r="AC402" i="154"/>
  <c r="AC403" i="154"/>
  <c r="AC406" i="154"/>
  <c r="AC404" i="154"/>
  <c r="AC405" i="154"/>
  <c r="AA384" i="153"/>
  <c r="AA383" i="153"/>
  <c r="AA382" i="153"/>
  <c r="AA387" i="153"/>
  <c r="AA386" i="153"/>
  <c r="AA385" i="153"/>
  <c r="R585" i="153"/>
  <c r="R524" i="153"/>
  <c r="AB232" i="154"/>
  <c r="AA232" i="154"/>
  <c r="K589" i="154"/>
  <c r="AD525" i="154"/>
  <c r="AD589" i="154" s="1"/>
  <c r="AE525" i="154"/>
  <c r="AE589" i="154" s="1"/>
  <c r="AF525" i="154"/>
  <c r="AF589" i="154" s="1"/>
  <c r="AG525" i="154"/>
  <c r="AG589" i="154" s="1"/>
  <c r="AH525" i="154"/>
  <c r="AH589" i="154" s="1"/>
  <c r="AI525" i="154"/>
  <c r="AI589" i="154" s="1"/>
  <c r="AJ525" i="154"/>
  <c r="AJ589" i="154" s="1"/>
  <c r="AK525" i="154"/>
  <c r="AK589" i="154" s="1"/>
  <c r="AL525" i="154"/>
  <c r="AL589" i="154" s="1"/>
  <c r="AM525" i="154"/>
  <c r="AM589" i="154" s="1"/>
  <c r="AN525" i="154"/>
  <c r="AN589" i="154" s="1"/>
  <c r="AO525" i="154"/>
  <c r="AO589" i="154" s="1"/>
  <c r="Y382" i="153"/>
  <c r="Y386" i="153"/>
  <c r="Y384" i="153"/>
  <c r="Y387" i="153"/>
  <c r="Y385" i="153"/>
  <c r="Y383" i="153"/>
  <c r="T524" i="153"/>
  <c r="T585" i="153"/>
  <c r="X611" i="155"/>
  <c r="X549" i="155"/>
  <c r="X613" i="155" s="1"/>
  <c r="Z232" i="154"/>
  <c r="K589" i="153"/>
  <c r="AD525" i="153"/>
  <c r="AD589" i="153" s="1"/>
  <c r="AE525" i="153"/>
  <c r="AE589" i="153" s="1"/>
  <c r="AF525" i="153"/>
  <c r="AF589" i="153" s="1"/>
  <c r="AG525" i="153"/>
  <c r="AG589" i="153" s="1"/>
  <c r="AH525" i="153"/>
  <c r="AH589" i="153" s="1"/>
  <c r="AI525" i="153"/>
  <c r="AI589" i="153" s="1"/>
  <c r="AJ525" i="153"/>
  <c r="AJ589" i="153" s="1"/>
  <c r="AK525" i="153"/>
  <c r="AK589" i="153" s="1"/>
  <c r="AL525" i="153"/>
  <c r="AL589" i="153" s="1"/>
  <c r="AM525" i="153"/>
  <c r="AM589" i="153" s="1"/>
  <c r="AN525" i="153"/>
  <c r="AN589" i="153" s="1"/>
  <c r="AO525" i="153"/>
  <c r="AO589" i="153" s="1"/>
  <c r="X387" i="155"/>
  <c r="X383" i="155"/>
  <c r="X386" i="155"/>
  <c r="X384" i="155"/>
  <c r="X382" i="155"/>
  <c r="X385" i="155"/>
  <c r="AA602" i="154"/>
  <c r="AA542" i="154"/>
  <c r="T370" i="153"/>
  <c r="T371" i="153"/>
  <c r="T367" i="153"/>
  <c r="T368" i="153"/>
  <c r="T369" i="153"/>
  <c r="T366" i="153"/>
  <c r="W379" i="154"/>
  <c r="W377" i="154"/>
  <c r="W374" i="154"/>
  <c r="W376" i="154"/>
  <c r="W378" i="154"/>
  <c r="W375" i="154"/>
  <c r="Z406" i="154"/>
  <c r="Z407" i="154"/>
  <c r="Z402" i="154"/>
  <c r="Z405" i="154"/>
  <c r="Z403" i="154"/>
  <c r="Z404" i="154"/>
  <c r="T233" i="153"/>
  <c r="AB402" i="155"/>
  <c r="AB404" i="155"/>
  <c r="AB403" i="155"/>
  <c r="AB405" i="155"/>
  <c r="AB407" i="155"/>
  <c r="AB406" i="155"/>
  <c r="AA385" i="154"/>
  <c r="AA384" i="154"/>
  <c r="AA382" i="154"/>
  <c r="AA383" i="154"/>
  <c r="AA386" i="154"/>
  <c r="AA387" i="154"/>
  <c r="S549" i="154"/>
  <c r="S613" i="154" s="1"/>
  <c r="S611" i="154"/>
  <c r="X402" i="153"/>
  <c r="X404" i="153"/>
  <c r="X406" i="153"/>
  <c r="X407" i="153"/>
  <c r="X403" i="153"/>
  <c r="X405" i="153"/>
  <c r="W371" i="155"/>
  <c r="W367" i="155"/>
  <c r="W368" i="155"/>
  <c r="W366" i="155"/>
  <c r="W369" i="155"/>
  <c r="W370" i="155"/>
  <c r="V611" i="153"/>
  <c r="V549" i="153"/>
  <c r="V613" i="153" s="1"/>
  <c r="X602" i="153"/>
  <c r="X542" i="153"/>
  <c r="L534" i="154"/>
  <c r="K598" i="154"/>
  <c r="AD534" i="154"/>
  <c r="AD598" i="154" s="1"/>
  <c r="AE534" i="154"/>
  <c r="AE598" i="154" s="1"/>
  <c r="AF534" i="154"/>
  <c r="AF598" i="154" s="1"/>
  <c r="AG534" i="154"/>
  <c r="AG598" i="154" s="1"/>
  <c r="AH534" i="154"/>
  <c r="AH598" i="154" s="1"/>
  <c r="AI534" i="154"/>
  <c r="AI598" i="154" s="1"/>
  <c r="AJ534" i="154"/>
  <c r="AJ598" i="154" s="1"/>
  <c r="AK534" i="154"/>
  <c r="AK598" i="154" s="1"/>
  <c r="AL534" i="154"/>
  <c r="AL598" i="154" s="1"/>
  <c r="AM534" i="154"/>
  <c r="AM598" i="154" s="1"/>
  <c r="AN534" i="154"/>
  <c r="AN598" i="154" s="1"/>
  <c r="AO534" i="154"/>
  <c r="AO598" i="154" s="1"/>
  <c r="AB611" i="155"/>
  <c r="AB549" i="155"/>
  <c r="AB613" i="155" s="1"/>
  <c r="AB383" i="155"/>
  <c r="AB387" i="155"/>
  <c r="AB384" i="155"/>
  <c r="AB382" i="155"/>
  <c r="AB386" i="155"/>
  <c r="AB385" i="155"/>
  <c r="R371" i="154"/>
  <c r="R368" i="154"/>
  <c r="R369" i="154"/>
  <c r="R366" i="154"/>
  <c r="R367" i="154"/>
  <c r="R370" i="154"/>
  <c r="AB387" i="153"/>
  <c r="AB386" i="153"/>
  <c r="AB385" i="153"/>
  <c r="AB383" i="153"/>
  <c r="AB384" i="153"/>
  <c r="AB382" i="153"/>
  <c r="T513" i="153"/>
  <c r="T577" i="153" s="1"/>
  <c r="V513" i="153"/>
  <c r="V577" i="153" s="1"/>
  <c r="J577" i="153"/>
  <c r="R513" i="153"/>
  <c r="R577" i="153" s="1"/>
  <c r="U513" i="153"/>
  <c r="U577" i="153" s="1"/>
  <c r="S513" i="153"/>
  <c r="S577" i="153" s="1"/>
  <c r="W513" i="153"/>
  <c r="W577" i="153" s="1"/>
  <c r="X513" i="153"/>
  <c r="X577" i="153" s="1"/>
  <c r="Y513" i="153"/>
  <c r="Y577" i="153" s="1"/>
  <c r="Z513" i="153"/>
  <c r="Z577" i="153" s="1"/>
  <c r="AA513" i="153"/>
  <c r="AA577" i="153" s="1"/>
  <c r="AB513" i="153"/>
  <c r="AB577" i="153" s="1"/>
  <c r="AC513" i="153"/>
  <c r="AC577" i="153" s="1"/>
  <c r="AA382" i="155"/>
  <c r="AA385" i="155"/>
  <c r="AA383" i="155"/>
  <c r="AA387" i="155"/>
  <c r="AA386" i="155"/>
  <c r="AA384" i="155"/>
  <c r="R351" i="153"/>
  <c r="R348" i="153"/>
  <c r="R346" i="153"/>
  <c r="R347" i="153"/>
  <c r="R350" i="153"/>
  <c r="R349" i="153"/>
  <c r="J588" i="153"/>
  <c r="X383" i="153"/>
  <c r="X384" i="153"/>
  <c r="X385" i="153"/>
  <c r="X382" i="153"/>
  <c r="X386" i="153"/>
  <c r="X387" i="153"/>
  <c r="R232" i="155"/>
  <c r="AC232" i="153"/>
  <c r="W549" i="155"/>
  <c r="W613" i="155" s="1"/>
  <c r="W611" i="155"/>
  <c r="W384" i="155"/>
  <c r="W386" i="155"/>
  <c r="W382" i="155"/>
  <c r="W383" i="155"/>
  <c r="W387" i="155"/>
  <c r="W385" i="155"/>
  <c r="Z602" i="154"/>
  <c r="Z542" i="154"/>
  <c r="S368" i="153"/>
  <c r="S369" i="153"/>
  <c r="S371" i="153"/>
  <c r="S370" i="153"/>
  <c r="S366" i="153"/>
  <c r="S367" i="153"/>
  <c r="AC512" i="153"/>
  <c r="V376" i="154"/>
  <c r="V374" i="154"/>
  <c r="V379" i="154"/>
  <c r="V378" i="154"/>
  <c r="V375" i="154"/>
  <c r="V377" i="154"/>
  <c r="Y403" i="154"/>
  <c r="Y405" i="154"/>
  <c r="Y407" i="154"/>
  <c r="Y404" i="154"/>
  <c r="Y402" i="154"/>
  <c r="Y406" i="154"/>
  <c r="S233" i="153"/>
  <c r="AA405" i="155"/>
  <c r="AA406" i="155"/>
  <c r="AA407" i="155"/>
  <c r="AA402" i="155"/>
  <c r="AA404" i="155"/>
  <c r="AA403" i="155"/>
  <c r="Z384" i="154"/>
  <c r="Z387" i="154"/>
  <c r="Z383" i="154"/>
  <c r="Z382" i="154"/>
  <c r="Z385" i="154"/>
  <c r="Z386" i="154"/>
  <c r="W407" i="153"/>
  <c r="W406" i="153"/>
  <c r="W405" i="153"/>
  <c r="W403" i="153"/>
  <c r="W402" i="153"/>
  <c r="W404" i="153"/>
  <c r="AC512" i="154"/>
  <c r="V369" i="155"/>
  <c r="V371" i="155"/>
  <c r="V368" i="155"/>
  <c r="V370" i="155"/>
  <c r="V367" i="155"/>
  <c r="V366" i="155"/>
  <c r="U611" i="153"/>
  <c r="U549" i="153"/>
  <c r="U613" i="153" s="1"/>
  <c r="W602" i="153"/>
  <c r="W542" i="153"/>
  <c r="R350" i="154"/>
  <c r="R349" i="154"/>
  <c r="R348" i="154"/>
  <c r="R346" i="154"/>
  <c r="R351" i="154"/>
  <c r="R347" i="154"/>
  <c r="K585" i="155"/>
  <c r="AD521" i="155"/>
  <c r="AE521" i="155"/>
  <c r="AF521" i="155"/>
  <c r="AG521" i="155"/>
  <c r="AH521" i="155"/>
  <c r="AI521" i="155"/>
  <c r="AJ521" i="155"/>
  <c r="AK521" i="155"/>
  <c r="AL521" i="155"/>
  <c r="AM521" i="155"/>
  <c r="AN521" i="155"/>
  <c r="AO521" i="155"/>
  <c r="Z549" i="155"/>
  <c r="Z613" i="155" s="1"/>
  <c r="Z611" i="155"/>
  <c r="Y611" i="155"/>
  <c r="Y549" i="155"/>
  <c r="Y613" i="155" s="1"/>
  <c r="W383" i="153"/>
  <c r="W386" i="153"/>
  <c r="W382" i="153"/>
  <c r="W387" i="153"/>
  <c r="W385" i="153"/>
  <c r="W384" i="153"/>
  <c r="AB232" i="153"/>
  <c r="V611" i="155"/>
  <c r="V549" i="155"/>
  <c r="V613" i="155" s="1"/>
  <c r="AC376" i="155"/>
  <c r="AC377" i="155"/>
  <c r="AC379" i="155"/>
  <c r="AC378" i="155"/>
  <c r="AC374" i="155"/>
  <c r="AC375" i="155"/>
  <c r="X232" i="154"/>
  <c r="R234" i="153"/>
  <c r="V383" i="155"/>
  <c r="V387" i="155"/>
  <c r="V385" i="155"/>
  <c r="V386" i="155"/>
  <c r="V384" i="155"/>
  <c r="V382" i="155"/>
  <c r="Y602" i="154"/>
  <c r="Y542" i="154"/>
  <c r="R369" i="153"/>
  <c r="R368" i="153"/>
  <c r="R367" i="153"/>
  <c r="R371" i="153"/>
  <c r="R370" i="153"/>
  <c r="R366" i="153"/>
  <c r="AB512" i="153"/>
  <c r="U375" i="154"/>
  <c r="U376" i="154"/>
  <c r="U379" i="154"/>
  <c r="U374" i="154"/>
  <c r="U378" i="154"/>
  <c r="U377" i="154"/>
  <c r="X406" i="154"/>
  <c r="X403" i="154"/>
  <c r="X404" i="154"/>
  <c r="X407" i="154"/>
  <c r="X402" i="154"/>
  <c r="X405" i="154"/>
  <c r="Z402" i="155"/>
  <c r="Z405" i="155"/>
  <c r="Z406" i="155"/>
  <c r="Z407" i="155"/>
  <c r="Z403" i="155"/>
  <c r="Z404" i="155"/>
  <c r="Y385" i="154"/>
  <c r="Y383" i="154"/>
  <c r="Y386" i="154"/>
  <c r="Y382" i="154"/>
  <c r="Y384" i="154"/>
  <c r="Y387" i="154"/>
  <c r="AC542" i="155"/>
  <c r="AC602" i="155"/>
  <c r="V405" i="153"/>
  <c r="V406" i="153"/>
  <c r="V403" i="153"/>
  <c r="V404" i="153"/>
  <c r="V402" i="153"/>
  <c r="V407" i="153"/>
  <c r="AB512" i="154"/>
  <c r="U371" i="155"/>
  <c r="U368" i="155"/>
  <c r="U366" i="155"/>
  <c r="U369" i="155"/>
  <c r="U370" i="155"/>
  <c r="U367" i="155"/>
  <c r="T611" i="153"/>
  <c r="T549" i="153"/>
  <c r="T613" i="153" s="1"/>
  <c r="V602" i="153"/>
  <c r="V542" i="153"/>
  <c r="AC385" i="153"/>
  <c r="AC383" i="153"/>
  <c r="AC382" i="153"/>
  <c r="AC387" i="153"/>
  <c r="AC386" i="153"/>
  <c r="AC384" i="153"/>
  <c r="X371" i="153"/>
  <c r="X367" i="153"/>
  <c r="X366" i="153"/>
  <c r="X369" i="153"/>
  <c r="X370" i="153"/>
  <c r="X368" i="153"/>
  <c r="K585" i="153"/>
  <c r="AD521" i="153"/>
  <c r="AE521" i="153"/>
  <c r="AF521" i="153"/>
  <c r="AG521" i="153"/>
  <c r="AH521" i="153"/>
  <c r="AI521" i="153"/>
  <c r="AJ521" i="153"/>
  <c r="AK521" i="153"/>
  <c r="AL521" i="153"/>
  <c r="AM521" i="153"/>
  <c r="AN521" i="153"/>
  <c r="AO521" i="153"/>
  <c r="AA611" i="155"/>
  <c r="AA549" i="155"/>
  <c r="AA613" i="155" s="1"/>
  <c r="Z378" i="154"/>
  <c r="Z377" i="154"/>
  <c r="Z379" i="154"/>
  <c r="Z376" i="154"/>
  <c r="Z374" i="154"/>
  <c r="Z375" i="154"/>
  <c r="U232" i="155"/>
  <c r="I124" i="103"/>
  <c r="Z387" i="153"/>
  <c r="Z386" i="153"/>
  <c r="Z384" i="153"/>
  <c r="Z385" i="153"/>
  <c r="Z382" i="153"/>
  <c r="Z383" i="153"/>
  <c r="T232" i="155"/>
  <c r="V384" i="153"/>
  <c r="V386" i="153"/>
  <c r="V387" i="153"/>
  <c r="V383" i="153"/>
  <c r="V385" i="153"/>
  <c r="V382" i="153"/>
  <c r="AC233" i="155"/>
  <c r="K586" i="155"/>
  <c r="AD522" i="155"/>
  <c r="AD586" i="155" s="1"/>
  <c r="AE522" i="155"/>
  <c r="AE586" i="155" s="1"/>
  <c r="AF522" i="155"/>
  <c r="AF586" i="155" s="1"/>
  <c r="AG522" i="155"/>
  <c r="AG586" i="155" s="1"/>
  <c r="AH522" i="155"/>
  <c r="AH586" i="155" s="1"/>
  <c r="AI522" i="155"/>
  <c r="AI586" i="155" s="1"/>
  <c r="AJ522" i="155"/>
  <c r="AJ586" i="155" s="1"/>
  <c r="AK522" i="155"/>
  <c r="AK586" i="155" s="1"/>
  <c r="AL522" i="155"/>
  <c r="AL586" i="155" s="1"/>
  <c r="AM522" i="155"/>
  <c r="AM586" i="155" s="1"/>
  <c r="AN522" i="155"/>
  <c r="AN586" i="155" s="1"/>
  <c r="AO522" i="155"/>
  <c r="AO586" i="155" s="1"/>
  <c r="AA232" i="153"/>
  <c r="U549" i="155"/>
  <c r="U613" i="155" s="1"/>
  <c r="U611" i="155"/>
  <c r="AD509" i="154"/>
  <c r="AD573" i="154" s="1"/>
  <c r="AE509" i="154"/>
  <c r="AE573" i="154" s="1"/>
  <c r="AF509" i="154"/>
  <c r="AF573" i="154" s="1"/>
  <c r="AG509" i="154"/>
  <c r="AG573" i="154" s="1"/>
  <c r="AH509" i="154"/>
  <c r="AH573" i="154" s="1"/>
  <c r="AI509" i="154"/>
  <c r="AI573" i="154" s="1"/>
  <c r="AJ509" i="154"/>
  <c r="AJ573" i="154" s="1"/>
  <c r="AK509" i="154"/>
  <c r="AK573" i="154" s="1"/>
  <c r="AL509" i="154"/>
  <c r="AL573" i="154" s="1"/>
  <c r="AM509" i="154"/>
  <c r="AM573" i="154" s="1"/>
  <c r="AN509" i="154"/>
  <c r="AN573" i="154" s="1"/>
  <c r="AO509" i="154"/>
  <c r="AO573" i="154" s="1"/>
  <c r="AB378" i="155"/>
  <c r="AB377" i="155"/>
  <c r="AB379" i="155"/>
  <c r="AB376" i="155"/>
  <c r="AB375" i="155"/>
  <c r="AB374" i="155"/>
  <c r="W232" i="154"/>
  <c r="AC351" i="155"/>
  <c r="AC348" i="155"/>
  <c r="AC347" i="155"/>
  <c r="AC346" i="155"/>
  <c r="AC350" i="155"/>
  <c r="AC349" i="155"/>
  <c r="U385" i="155"/>
  <c r="U386" i="155"/>
  <c r="U387" i="155"/>
  <c r="U382" i="155"/>
  <c r="U383" i="155"/>
  <c r="U384" i="155"/>
  <c r="X542" i="154"/>
  <c r="X602" i="154"/>
  <c r="K603" i="153"/>
  <c r="L539" i="153"/>
  <c r="AD539" i="153"/>
  <c r="AD603" i="153" s="1"/>
  <c r="AE539" i="153"/>
  <c r="AE603" i="153" s="1"/>
  <c r="AF539" i="153"/>
  <c r="AF603" i="153" s="1"/>
  <c r="AG539" i="153"/>
  <c r="AG603" i="153" s="1"/>
  <c r="AH539" i="153"/>
  <c r="AH603" i="153" s="1"/>
  <c r="AI539" i="153"/>
  <c r="AI603" i="153" s="1"/>
  <c r="AJ539" i="153"/>
  <c r="AJ603" i="153" s="1"/>
  <c r="AK539" i="153"/>
  <c r="AK603" i="153" s="1"/>
  <c r="AL539" i="153"/>
  <c r="AL603" i="153" s="1"/>
  <c r="AM539" i="153"/>
  <c r="AM603" i="153" s="1"/>
  <c r="AN539" i="153"/>
  <c r="AN603" i="153" s="1"/>
  <c r="AO539" i="153"/>
  <c r="AO603" i="153" s="1"/>
  <c r="AA512" i="153"/>
  <c r="T377" i="154"/>
  <c r="T378" i="154"/>
  <c r="T379" i="154"/>
  <c r="T375" i="154"/>
  <c r="T376" i="154"/>
  <c r="T374" i="154"/>
  <c r="W407" i="154"/>
  <c r="W402" i="154"/>
  <c r="W406" i="154"/>
  <c r="W405" i="154"/>
  <c r="W403" i="154"/>
  <c r="W404" i="154"/>
  <c r="R233" i="153"/>
  <c r="Y402" i="155"/>
  <c r="Y405" i="155"/>
  <c r="Y404" i="155"/>
  <c r="Y407" i="155"/>
  <c r="Y406" i="155"/>
  <c r="Y403" i="155"/>
  <c r="X384" i="154"/>
  <c r="X387" i="154"/>
  <c r="X385" i="154"/>
  <c r="X382" i="154"/>
  <c r="X386" i="154"/>
  <c r="X383" i="154"/>
  <c r="R611" i="154"/>
  <c r="R549" i="154"/>
  <c r="R613" i="154" s="1"/>
  <c r="AB542" i="155"/>
  <c r="AB602" i="155"/>
  <c r="U407" i="153"/>
  <c r="U404" i="153"/>
  <c r="U403" i="153"/>
  <c r="U402" i="153"/>
  <c r="U406" i="153"/>
  <c r="U405" i="153"/>
  <c r="AC585" i="154"/>
  <c r="AC524" i="154"/>
  <c r="AA512" i="154"/>
  <c r="T371" i="155"/>
  <c r="T367" i="155"/>
  <c r="T366" i="155"/>
  <c r="T370" i="155"/>
  <c r="T369" i="155"/>
  <c r="T368" i="155"/>
  <c r="S549" i="153"/>
  <c r="S613" i="153" s="1"/>
  <c r="S611" i="153"/>
  <c r="AC233" i="154"/>
  <c r="U602" i="153"/>
  <c r="U542" i="153"/>
  <c r="U386" i="153"/>
  <c r="U383" i="153"/>
  <c r="U385" i="153"/>
  <c r="U384" i="153"/>
  <c r="U382" i="153"/>
  <c r="U387" i="153"/>
  <c r="T611" i="155"/>
  <c r="T549" i="155"/>
  <c r="T613" i="155" s="1"/>
  <c r="AA379" i="155"/>
  <c r="AA377" i="155"/>
  <c r="AA376" i="155"/>
  <c r="AA374" i="155"/>
  <c r="AA375" i="155"/>
  <c r="AA378" i="155"/>
  <c r="V232" i="154"/>
  <c r="AB348" i="155"/>
  <c r="AB347" i="155"/>
  <c r="AB350" i="155"/>
  <c r="AB351" i="155"/>
  <c r="AB346" i="155"/>
  <c r="AB349" i="155"/>
  <c r="T385" i="155"/>
  <c r="T383" i="155"/>
  <c r="T386" i="155"/>
  <c r="T382" i="155"/>
  <c r="T387" i="155"/>
  <c r="T384" i="155"/>
  <c r="W542" i="154"/>
  <c r="W602" i="154"/>
  <c r="S378" i="154"/>
  <c r="S374" i="154"/>
  <c r="S377" i="154"/>
  <c r="S376" i="154"/>
  <c r="S375" i="154"/>
  <c r="S379" i="154"/>
  <c r="V407" i="154"/>
  <c r="V402" i="154"/>
  <c r="V404" i="154"/>
  <c r="V406" i="154"/>
  <c r="V405" i="154"/>
  <c r="V403" i="154"/>
  <c r="K587" i="153"/>
  <c r="AD523" i="153"/>
  <c r="AD587" i="153" s="1"/>
  <c r="AE523" i="153"/>
  <c r="AE587" i="153" s="1"/>
  <c r="AF523" i="153"/>
  <c r="AF587" i="153" s="1"/>
  <c r="AG523" i="153"/>
  <c r="AG587" i="153" s="1"/>
  <c r="AH523" i="153"/>
  <c r="AH587" i="153" s="1"/>
  <c r="AI523" i="153"/>
  <c r="AI587" i="153" s="1"/>
  <c r="AJ523" i="153"/>
  <c r="AJ587" i="153" s="1"/>
  <c r="AK523" i="153"/>
  <c r="AK587" i="153" s="1"/>
  <c r="AL523" i="153"/>
  <c r="AL587" i="153" s="1"/>
  <c r="AM523" i="153"/>
  <c r="AM587" i="153" s="1"/>
  <c r="AN523" i="153"/>
  <c r="AN587" i="153" s="1"/>
  <c r="AO523" i="153"/>
  <c r="AO587" i="153" s="1"/>
  <c r="X407" i="155"/>
  <c r="X403" i="155"/>
  <c r="X406" i="155"/>
  <c r="X405" i="155"/>
  <c r="X404" i="155"/>
  <c r="X402" i="155"/>
  <c r="W386" i="154"/>
  <c r="W384" i="154"/>
  <c r="W383" i="154"/>
  <c r="W385" i="154"/>
  <c r="W387" i="154"/>
  <c r="W382" i="154"/>
  <c r="L547" i="154"/>
  <c r="K611" i="154"/>
  <c r="K549" i="154"/>
  <c r="K613" i="154" s="1"/>
  <c r="AD547" i="154"/>
  <c r="AE547" i="154"/>
  <c r="AF547" i="154"/>
  <c r="AG547" i="154"/>
  <c r="AH547" i="154"/>
  <c r="AI547" i="154"/>
  <c r="AJ547" i="154"/>
  <c r="AK547" i="154"/>
  <c r="AL547" i="154"/>
  <c r="AM547" i="154"/>
  <c r="AN547" i="154"/>
  <c r="AO547" i="154"/>
  <c r="AA602" i="155"/>
  <c r="AA542" i="155"/>
  <c r="T406" i="153"/>
  <c r="T402" i="153"/>
  <c r="T405" i="153"/>
  <c r="T404" i="153"/>
  <c r="T403" i="153"/>
  <c r="T407" i="153"/>
  <c r="AB585" i="154"/>
  <c r="AB524" i="154"/>
  <c r="K611" i="153"/>
  <c r="L547" i="153"/>
  <c r="K549" i="153"/>
  <c r="K613" i="153" s="1"/>
  <c r="AD547" i="153"/>
  <c r="AE547" i="153"/>
  <c r="AF547" i="153"/>
  <c r="AG547" i="153"/>
  <c r="AH547" i="153"/>
  <c r="AI547" i="153"/>
  <c r="AJ547" i="153"/>
  <c r="AK547" i="153"/>
  <c r="AL547" i="153"/>
  <c r="AM547" i="153"/>
  <c r="AN547" i="153"/>
  <c r="AO547" i="153"/>
  <c r="AB233" i="154"/>
  <c r="T602" i="153"/>
  <c r="T542" i="153"/>
  <c r="AC376" i="153"/>
  <c r="AC377" i="153"/>
  <c r="AC375" i="153"/>
  <c r="AC379" i="153"/>
  <c r="AC374" i="153"/>
  <c r="AC378" i="153"/>
  <c r="AD509" i="153"/>
  <c r="AD573" i="153" s="1"/>
  <c r="AE509" i="153"/>
  <c r="AE573" i="153" s="1"/>
  <c r="AF509" i="153"/>
  <c r="AF573" i="153" s="1"/>
  <c r="AG509" i="153"/>
  <c r="AG573" i="153" s="1"/>
  <c r="AH509" i="153"/>
  <c r="AH573" i="153" s="1"/>
  <c r="AI509" i="153"/>
  <c r="AI573" i="153" s="1"/>
  <c r="AJ509" i="153"/>
  <c r="AJ573" i="153" s="1"/>
  <c r="AK509" i="153"/>
  <c r="AK573" i="153" s="1"/>
  <c r="AL509" i="153"/>
  <c r="AL573" i="153" s="1"/>
  <c r="AM509" i="153"/>
  <c r="AM573" i="153" s="1"/>
  <c r="AN509" i="153"/>
  <c r="AN573" i="153" s="1"/>
  <c r="AO509" i="153"/>
  <c r="AO573" i="153" s="1"/>
  <c r="T384" i="153"/>
  <c r="T383" i="153"/>
  <c r="T385" i="153"/>
  <c r="T387" i="153"/>
  <c r="T386" i="153"/>
  <c r="T382" i="153"/>
  <c r="Y232" i="153"/>
  <c r="K611" i="155"/>
  <c r="L547" i="155"/>
  <c r="K549" i="155"/>
  <c r="K613" i="155" s="1"/>
  <c r="AD547" i="155"/>
  <c r="AE547" i="155"/>
  <c r="AF547" i="155"/>
  <c r="AG547" i="155"/>
  <c r="AH547" i="155"/>
  <c r="AI547" i="155"/>
  <c r="AJ547" i="155"/>
  <c r="AK547" i="155"/>
  <c r="AL547" i="155"/>
  <c r="AM547" i="155"/>
  <c r="AN547" i="155"/>
  <c r="AO547" i="155"/>
  <c r="J576" i="154"/>
  <c r="Z377" i="155"/>
  <c r="Z375" i="155"/>
  <c r="Z374" i="155"/>
  <c r="Z376" i="155"/>
  <c r="Z379" i="155"/>
  <c r="Z378" i="155"/>
  <c r="U232" i="154"/>
  <c r="AA351" i="155"/>
  <c r="AA350" i="155"/>
  <c r="AA348" i="155"/>
  <c r="AA349" i="155"/>
  <c r="AA346" i="155"/>
  <c r="AA347" i="155"/>
  <c r="L541" i="155"/>
  <c r="K605" i="155"/>
  <c r="AD541" i="155"/>
  <c r="AD605" i="155" s="1"/>
  <c r="AE541" i="155"/>
  <c r="AE605" i="155" s="1"/>
  <c r="AF541" i="155"/>
  <c r="AF605" i="155" s="1"/>
  <c r="AG541" i="155"/>
  <c r="AG605" i="155" s="1"/>
  <c r="AH541" i="155"/>
  <c r="AH605" i="155" s="1"/>
  <c r="AI541" i="155"/>
  <c r="AI605" i="155" s="1"/>
  <c r="AJ541" i="155"/>
  <c r="AJ605" i="155" s="1"/>
  <c r="AK541" i="155"/>
  <c r="AK605" i="155" s="1"/>
  <c r="AL541" i="155"/>
  <c r="AL605" i="155" s="1"/>
  <c r="AM541" i="155"/>
  <c r="AM605" i="155" s="1"/>
  <c r="AN541" i="155"/>
  <c r="AN605" i="155" s="1"/>
  <c r="AO541" i="155"/>
  <c r="AO605" i="155" s="1"/>
  <c r="V602" i="154"/>
  <c r="V542" i="154"/>
  <c r="Y512" i="153"/>
  <c r="L540" i="154"/>
  <c r="K604" i="154"/>
  <c r="AD540" i="154"/>
  <c r="AD604" i="154" s="1"/>
  <c r="AE540" i="154"/>
  <c r="AE604" i="154" s="1"/>
  <c r="AF540" i="154"/>
  <c r="AF604" i="154" s="1"/>
  <c r="AG540" i="154"/>
  <c r="AG604" i="154" s="1"/>
  <c r="AH540" i="154"/>
  <c r="AH604" i="154" s="1"/>
  <c r="AI540" i="154"/>
  <c r="AI604" i="154" s="1"/>
  <c r="AJ540" i="154"/>
  <c r="AJ604" i="154" s="1"/>
  <c r="AK540" i="154"/>
  <c r="AK604" i="154" s="1"/>
  <c r="AL540" i="154"/>
  <c r="AL604" i="154" s="1"/>
  <c r="AM540" i="154"/>
  <c r="AM604" i="154" s="1"/>
  <c r="AN540" i="154"/>
  <c r="AN604" i="154" s="1"/>
  <c r="AO540" i="154"/>
  <c r="AO604" i="154" s="1"/>
  <c r="AC234" i="155"/>
  <c r="U407" i="154"/>
  <c r="U406" i="154"/>
  <c r="U405" i="154"/>
  <c r="U403" i="154"/>
  <c r="U402" i="154"/>
  <c r="U404" i="154"/>
  <c r="J578" i="154"/>
  <c r="R514" i="154"/>
  <c r="R578" i="154" s="1"/>
  <c r="S514" i="154"/>
  <c r="S578" i="154" s="1"/>
  <c r="T514" i="154"/>
  <c r="T578" i="154" s="1"/>
  <c r="U514" i="154"/>
  <c r="U578" i="154" s="1"/>
  <c r="V514" i="154"/>
  <c r="V578" i="154" s="1"/>
  <c r="W514" i="154"/>
  <c r="W578" i="154" s="1"/>
  <c r="X514" i="154"/>
  <c r="X578" i="154" s="1"/>
  <c r="Y514" i="154"/>
  <c r="Y578" i="154" s="1"/>
  <c r="Z514" i="154"/>
  <c r="Z578" i="154" s="1"/>
  <c r="AA514" i="154"/>
  <c r="AA578" i="154" s="1"/>
  <c r="AB514" i="154"/>
  <c r="AB578" i="154" s="1"/>
  <c r="AC514" i="154"/>
  <c r="AC578" i="154" s="1"/>
  <c r="W404" i="155"/>
  <c r="W402" i="155"/>
  <c r="W407" i="155"/>
  <c r="W405" i="155"/>
  <c r="W403" i="155"/>
  <c r="W406" i="155"/>
  <c r="V382" i="154"/>
  <c r="V386" i="154"/>
  <c r="V387" i="154"/>
  <c r="V385" i="154"/>
  <c r="V384" i="154"/>
  <c r="V383" i="154"/>
  <c r="Z602" i="155"/>
  <c r="Z542" i="155"/>
  <c r="S405" i="153"/>
  <c r="S404" i="153"/>
  <c r="S407" i="153"/>
  <c r="S403" i="153"/>
  <c r="S402" i="153"/>
  <c r="S406" i="153"/>
  <c r="AA524" i="154"/>
  <c r="AA585" i="154"/>
  <c r="Y512" i="154"/>
  <c r="S367" i="155"/>
  <c r="S368" i="155"/>
  <c r="S370" i="155"/>
  <c r="S366" i="155"/>
  <c r="S369" i="155"/>
  <c r="S371" i="155"/>
  <c r="R611" i="153"/>
  <c r="R549" i="153"/>
  <c r="R613" i="153" s="1"/>
  <c r="AA233" i="154"/>
  <c r="S542" i="153"/>
  <c r="S602" i="153"/>
  <c r="AB377" i="153"/>
  <c r="AB379" i="153"/>
  <c r="AB375" i="153"/>
  <c r="AB376" i="153"/>
  <c r="AB374" i="153"/>
  <c r="AB378" i="153"/>
  <c r="Z348" i="155"/>
  <c r="Z346" i="155"/>
  <c r="Z350" i="155"/>
  <c r="Z349" i="155"/>
  <c r="Z347" i="155"/>
  <c r="Z351" i="155"/>
  <c r="AC348" i="153"/>
  <c r="AC351" i="153"/>
  <c r="AC346" i="153"/>
  <c r="AC347" i="153"/>
  <c r="AC350" i="153"/>
  <c r="AC349" i="153"/>
  <c r="X512" i="153"/>
  <c r="T402" i="154"/>
  <c r="T405" i="154"/>
  <c r="T406" i="154"/>
  <c r="T404" i="154"/>
  <c r="T403" i="154"/>
  <c r="T407" i="154"/>
  <c r="AC585" i="155"/>
  <c r="AC524" i="155"/>
  <c r="V405" i="155"/>
  <c r="V407" i="155"/>
  <c r="V403" i="155"/>
  <c r="V406" i="155"/>
  <c r="V402" i="155"/>
  <c r="V404" i="155"/>
  <c r="U387" i="154"/>
  <c r="U382" i="154"/>
  <c r="U385" i="154"/>
  <c r="U383" i="154"/>
  <c r="U386" i="154"/>
  <c r="U384" i="154"/>
  <c r="Y602" i="155"/>
  <c r="Y542" i="155"/>
  <c r="Z585" i="154"/>
  <c r="Z524" i="154"/>
  <c r="X512" i="154"/>
  <c r="K603" i="155"/>
  <c r="L539" i="155"/>
  <c r="AD539" i="155"/>
  <c r="AD603" i="155" s="1"/>
  <c r="AE539" i="155"/>
  <c r="AE603" i="155" s="1"/>
  <c r="AF539" i="155"/>
  <c r="AF603" i="155" s="1"/>
  <c r="AG539" i="155"/>
  <c r="AG603" i="155" s="1"/>
  <c r="AH539" i="155"/>
  <c r="AH603" i="155" s="1"/>
  <c r="AI539" i="155"/>
  <c r="AI603" i="155" s="1"/>
  <c r="AJ539" i="155"/>
  <c r="AJ603" i="155" s="1"/>
  <c r="AK539" i="155"/>
  <c r="AK603" i="155" s="1"/>
  <c r="AL539" i="155"/>
  <c r="AL603" i="155" s="1"/>
  <c r="AM539" i="155"/>
  <c r="AM603" i="155" s="1"/>
  <c r="AN539" i="155"/>
  <c r="AN603" i="155" s="1"/>
  <c r="AO539" i="155"/>
  <c r="AO603" i="155" s="1"/>
  <c r="Z233" i="154"/>
  <c r="L538" i="153"/>
  <c r="K602" i="153"/>
  <c r="K542" i="153"/>
  <c r="AD538" i="153"/>
  <c r="AE538" i="153"/>
  <c r="AF538" i="153"/>
  <c r="AG538" i="153"/>
  <c r="AH538" i="153"/>
  <c r="AI538" i="153"/>
  <c r="AJ538" i="153"/>
  <c r="AK538" i="153"/>
  <c r="AL538" i="153"/>
  <c r="AM538" i="153"/>
  <c r="AN538" i="153"/>
  <c r="AO538" i="153"/>
  <c r="AA377" i="153"/>
  <c r="AA375" i="153"/>
  <c r="AA379" i="153"/>
  <c r="AA376" i="153"/>
  <c r="AA374" i="153"/>
  <c r="AA378" i="153"/>
  <c r="Y377" i="155"/>
  <c r="Y378" i="155"/>
  <c r="Y375" i="155"/>
  <c r="Y379" i="155"/>
  <c r="Y374" i="155"/>
  <c r="Y376" i="155"/>
  <c r="T232" i="154"/>
  <c r="R382" i="153"/>
  <c r="R385" i="153"/>
  <c r="R384" i="153"/>
  <c r="R383" i="153"/>
  <c r="R387" i="153"/>
  <c r="R386" i="153"/>
  <c r="W232" i="153"/>
  <c r="X376" i="155"/>
  <c r="X379" i="155"/>
  <c r="X378" i="155"/>
  <c r="X374" i="155"/>
  <c r="X375" i="155"/>
  <c r="X377" i="155"/>
  <c r="S232" i="154"/>
  <c r="Y350" i="155"/>
  <c r="Y348" i="155"/>
  <c r="Y346" i="155"/>
  <c r="Y347" i="155"/>
  <c r="Y351" i="155"/>
  <c r="Y349" i="155"/>
  <c r="S383" i="155"/>
  <c r="S382" i="155"/>
  <c r="S385" i="155"/>
  <c r="S384" i="155"/>
  <c r="S386" i="155"/>
  <c r="S387" i="155"/>
  <c r="AB349" i="153"/>
  <c r="AB351" i="153"/>
  <c r="AB350" i="153"/>
  <c r="AB347" i="153"/>
  <c r="AB346" i="153"/>
  <c r="AB348" i="153"/>
  <c r="T602" i="154"/>
  <c r="T542" i="154"/>
  <c r="AC368" i="154"/>
  <c r="AC367" i="154"/>
  <c r="AC370" i="154"/>
  <c r="AC371" i="154"/>
  <c r="AC369" i="154"/>
  <c r="AC366" i="154"/>
  <c r="W512" i="153"/>
  <c r="R378" i="154"/>
  <c r="R377" i="154"/>
  <c r="R375" i="154"/>
  <c r="R379" i="154"/>
  <c r="R374" i="154"/>
  <c r="R376" i="154"/>
  <c r="AA234" i="155"/>
  <c r="S404" i="154"/>
  <c r="S403" i="154"/>
  <c r="S402" i="154"/>
  <c r="S405" i="154"/>
  <c r="S407" i="154"/>
  <c r="S406" i="154"/>
  <c r="AB585" i="155"/>
  <c r="AB524" i="155"/>
  <c r="U405" i="155"/>
  <c r="U404" i="155"/>
  <c r="U402" i="155"/>
  <c r="U407" i="155"/>
  <c r="U406" i="155"/>
  <c r="U403" i="155"/>
  <c r="T384" i="154"/>
  <c r="T385" i="154"/>
  <c r="T386" i="154"/>
  <c r="T383" i="154"/>
  <c r="T387" i="154"/>
  <c r="T382" i="154"/>
  <c r="X602" i="155"/>
  <c r="X542" i="155"/>
  <c r="K612" i="153"/>
  <c r="L548" i="153"/>
  <c r="AD548" i="153"/>
  <c r="AD612" i="153" s="1"/>
  <c r="AE548" i="153"/>
  <c r="AE612" i="153" s="1"/>
  <c r="AF548" i="153"/>
  <c r="AF612" i="153" s="1"/>
  <c r="AG548" i="153"/>
  <c r="AG612" i="153" s="1"/>
  <c r="AH548" i="153"/>
  <c r="AH612" i="153" s="1"/>
  <c r="AI548" i="153"/>
  <c r="AI612" i="153" s="1"/>
  <c r="AJ548" i="153"/>
  <c r="AJ612" i="153" s="1"/>
  <c r="AK548" i="153"/>
  <c r="AK612" i="153" s="1"/>
  <c r="AL548" i="153"/>
  <c r="AL612" i="153" s="1"/>
  <c r="AM548" i="153"/>
  <c r="AM612" i="153" s="1"/>
  <c r="AN548" i="153"/>
  <c r="AN612" i="153" s="1"/>
  <c r="AO548" i="153"/>
  <c r="AO612" i="153" s="1"/>
  <c r="Y524" i="154"/>
  <c r="Y585" i="154"/>
  <c r="W512" i="154"/>
  <c r="R370" i="155"/>
  <c r="R368" i="155"/>
  <c r="R366" i="155"/>
  <c r="R369" i="155"/>
  <c r="R367" i="155"/>
  <c r="R371" i="155"/>
  <c r="Y233" i="154"/>
  <c r="J606" i="153"/>
  <c r="AB512" i="155"/>
  <c r="Z375" i="153"/>
  <c r="Z379" i="153"/>
  <c r="Z377" i="153"/>
  <c r="Z374" i="153"/>
  <c r="Z378" i="153"/>
  <c r="Z376" i="153"/>
  <c r="U542" i="154"/>
  <c r="U602" i="154"/>
  <c r="AB234" i="155"/>
  <c r="X233" i="155"/>
  <c r="AC524" i="153"/>
  <c r="AC585" i="153"/>
  <c r="V232" i="153"/>
  <c r="W375" i="155"/>
  <c r="W379" i="155"/>
  <c r="W374" i="155"/>
  <c r="W378" i="155"/>
  <c r="W376" i="155"/>
  <c r="W377" i="155"/>
  <c r="I608" i="154"/>
  <c r="I551" i="154"/>
  <c r="X346" i="155"/>
  <c r="X348" i="155"/>
  <c r="X349" i="155"/>
  <c r="X347" i="155"/>
  <c r="X351" i="155"/>
  <c r="X350" i="155"/>
  <c r="R386" i="155"/>
  <c r="R385" i="155"/>
  <c r="R384" i="155"/>
  <c r="R382" i="155"/>
  <c r="R383" i="155"/>
  <c r="R387" i="155"/>
  <c r="T404" i="155"/>
  <c r="T402" i="155"/>
  <c r="T405" i="155"/>
  <c r="T407" i="155"/>
  <c r="T403" i="155"/>
  <c r="T406" i="155"/>
  <c r="X585" i="154"/>
  <c r="X524" i="154"/>
  <c r="R602" i="153"/>
  <c r="R542" i="153"/>
  <c r="AA512" i="155"/>
  <c r="Y377" i="153"/>
  <c r="Y374" i="153"/>
  <c r="Y376" i="153"/>
  <c r="Y379" i="153"/>
  <c r="Y378" i="153"/>
  <c r="Y375" i="153"/>
  <c r="S382" i="153"/>
  <c r="S383" i="153"/>
  <c r="S384" i="153"/>
  <c r="S385" i="153"/>
  <c r="S387" i="153"/>
  <c r="S386" i="153"/>
  <c r="R549" i="155"/>
  <c r="R613" i="155" s="1"/>
  <c r="R611" i="155"/>
  <c r="AA349" i="153"/>
  <c r="AA347" i="153"/>
  <c r="AA348" i="153"/>
  <c r="AA350" i="153"/>
  <c r="AA346" i="153"/>
  <c r="AA351" i="153"/>
  <c r="S542" i="154"/>
  <c r="S602" i="154"/>
  <c r="AB371" i="154"/>
  <c r="AB366" i="154"/>
  <c r="AB369" i="154"/>
  <c r="AB370" i="154"/>
  <c r="AB368" i="154"/>
  <c r="AB367" i="154"/>
  <c r="Z234" i="155"/>
  <c r="AA585" i="155"/>
  <c r="AA524" i="155"/>
  <c r="S382" i="154"/>
  <c r="S385" i="154"/>
  <c r="S383" i="154"/>
  <c r="S387" i="154"/>
  <c r="S386" i="154"/>
  <c r="S384" i="154"/>
  <c r="W542" i="155"/>
  <c r="W602" i="155"/>
  <c r="R407" i="153"/>
  <c r="R405" i="153"/>
  <c r="R402" i="153"/>
  <c r="R404" i="153"/>
  <c r="R403" i="153"/>
  <c r="R406" i="153"/>
  <c r="V512" i="154"/>
  <c r="I117" i="103"/>
  <c r="L541" i="153"/>
  <c r="K605" i="153"/>
  <c r="AD541" i="153"/>
  <c r="AD605" i="153" s="1"/>
  <c r="AE541" i="153"/>
  <c r="AE605" i="153" s="1"/>
  <c r="AF541" i="153"/>
  <c r="AF605" i="153" s="1"/>
  <c r="AG541" i="153"/>
  <c r="AG605" i="153" s="1"/>
  <c r="AH541" i="153"/>
  <c r="AH605" i="153" s="1"/>
  <c r="AI541" i="153"/>
  <c r="AI605" i="153" s="1"/>
  <c r="AJ541" i="153"/>
  <c r="AJ605" i="153" s="1"/>
  <c r="AK541" i="153"/>
  <c r="AK605" i="153" s="1"/>
  <c r="AL541" i="153"/>
  <c r="AL605" i="153" s="1"/>
  <c r="AM541" i="153"/>
  <c r="AM605" i="153" s="1"/>
  <c r="AN541" i="153"/>
  <c r="AN605" i="153" s="1"/>
  <c r="AO541" i="153"/>
  <c r="AO605" i="153" s="1"/>
  <c r="W233" i="155"/>
  <c r="AB524" i="153"/>
  <c r="AB585" i="153"/>
  <c r="S232" i="153"/>
  <c r="S611" i="155"/>
  <c r="S549" i="155"/>
  <c r="S613" i="155" s="1"/>
  <c r="V375" i="155"/>
  <c r="V378" i="155"/>
  <c r="V374" i="155"/>
  <c r="V377" i="155"/>
  <c r="V376" i="155"/>
  <c r="V379" i="155"/>
  <c r="R233" i="154"/>
  <c r="R232" i="154"/>
  <c r="W348" i="155"/>
  <c r="W350" i="155"/>
  <c r="W351" i="155"/>
  <c r="W349" i="155"/>
  <c r="W347" i="155"/>
  <c r="W346" i="155"/>
  <c r="AC234" i="154"/>
  <c r="Z349" i="153"/>
  <c r="Z348" i="153"/>
  <c r="Z351" i="153"/>
  <c r="Z350" i="153"/>
  <c r="Z346" i="153"/>
  <c r="Z347" i="153"/>
  <c r="L538" i="154"/>
  <c r="K542" i="154"/>
  <c r="K602" i="154"/>
  <c r="AD538" i="154"/>
  <c r="AE538" i="154"/>
  <c r="AF538" i="154"/>
  <c r="AG538" i="154"/>
  <c r="AH538" i="154"/>
  <c r="AI538" i="154"/>
  <c r="AJ538" i="154"/>
  <c r="AK538" i="154"/>
  <c r="AL538" i="154"/>
  <c r="AM538" i="154"/>
  <c r="AN538" i="154"/>
  <c r="AO538" i="154"/>
  <c r="AA368" i="154"/>
  <c r="AA371" i="154"/>
  <c r="AA370" i="154"/>
  <c r="AA369" i="154"/>
  <c r="AA366" i="154"/>
  <c r="AA367" i="154"/>
  <c r="S512" i="153"/>
  <c r="Y234" i="155"/>
  <c r="R406" i="154"/>
  <c r="R403" i="154"/>
  <c r="R407" i="154"/>
  <c r="R405" i="154"/>
  <c r="R404" i="154"/>
  <c r="R402" i="154"/>
  <c r="Z585" i="155"/>
  <c r="Z524" i="155"/>
  <c r="S402" i="155"/>
  <c r="S406" i="155"/>
  <c r="S405" i="155"/>
  <c r="S404" i="155"/>
  <c r="S403" i="155"/>
  <c r="S407" i="155"/>
  <c r="L541" i="154"/>
  <c r="K605" i="154"/>
  <c r="AD541" i="154"/>
  <c r="AD605" i="154" s="1"/>
  <c r="AE541" i="154"/>
  <c r="AE605" i="154" s="1"/>
  <c r="AF541" i="154"/>
  <c r="AF605" i="154" s="1"/>
  <c r="AG541" i="154"/>
  <c r="AG605" i="154" s="1"/>
  <c r="AH541" i="154"/>
  <c r="AH605" i="154" s="1"/>
  <c r="AI541" i="154"/>
  <c r="AI605" i="154" s="1"/>
  <c r="AJ541" i="154"/>
  <c r="AJ605" i="154" s="1"/>
  <c r="AK541" i="154"/>
  <c r="AK605" i="154" s="1"/>
  <c r="AL541" i="154"/>
  <c r="AL605" i="154" s="1"/>
  <c r="AM541" i="154"/>
  <c r="AM605" i="154" s="1"/>
  <c r="AN541" i="154"/>
  <c r="AN605" i="154" s="1"/>
  <c r="AO541" i="154"/>
  <c r="AO605" i="154" s="1"/>
  <c r="V602" i="155"/>
  <c r="V542" i="155"/>
  <c r="W585" i="154"/>
  <c r="W524" i="154"/>
  <c r="U512" i="154"/>
  <c r="W233" i="154"/>
  <c r="Z512" i="155"/>
  <c r="X379" i="153"/>
  <c r="X376" i="153"/>
  <c r="X374" i="153"/>
  <c r="X377" i="153"/>
  <c r="X375" i="153"/>
  <c r="X378" i="153"/>
  <c r="K586" i="154"/>
  <c r="AD522" i="154"/>
  <c r="AD586" i="154" s="1"/>
  <c r="AE522" i="154"/>
  <c r="AE586" i="154" s="1"/>
  <c r="AF522" i="154"/>
  <c r="AF586" i="154" s="1"/>
  <c r="AG522" i="154"/>
  <c r="AG586" i="154" s="1"/>
  <c r="AH522" i="154"/>
  <c r="AH586" i="154" s="1"/>
  <c r="AI522" i="154"/>
  <c r="AI586" i="154" s="1"/>
  <c r="AJ522" i="154"/>
  <c r="AJ586" i="154" s="1"/>
  <c r="AK522" i="154"/>
  <c r="AK586" i="154" s="1"/>
  <c r="AL522" i="154"/>
  <c r="AL586" i="154" s="1"/>
  <c r="AM522" i="154"/>
  <c r="AM586" i="154" s="1"/>
  <c r="AN522" i="154"/>
  <c r="AN586" i="154" s="1"/>
  <c r="AO522" i="154"/>
  <c r="AO586" i="154" s="1"/>
  <c r="Y347" i="153"/>
  <c r="Y351" i="153"/>
  <c r="Y350" i="153"/>
  <c r="Y346" i="153"/>
  <c r="Y349" i="153"/>
  <c r="Y348" i="153"/>
  <c r="L548" i="154"/>
  <c r="K612" i="154"/>
  <c r="AD548" i="154"/>
  <c r="AD612" i="154" s="1"/>
  <c r="AE548" i="154"/>
  <c r="AE612" i="154" s="1"/>
  <c r="AF548" i="154"/>
  <c r="AF612" i="154" s="1"/>
  <c r="AG548" i="154"/>
  <c r="AG612" i="154" s="1"/>
  <c r="AH548" i="154"/>
  <c r="AH612" i="154" s="1"/>
  <c r="AI548" i="154"/>
  <c r="AI612" i="154" s="1"/>
  <c r="AJ548" i="154"/>
  <c r="AJ612" i="154" s="1"/>
  <c r="AK548" i="154"/>
  <c r="AK612" i="154" s="1"/>
  <c r="AL548" i="154"/>
  <c r="AL612" i="154" s="1"/>
  <c r="AM548" i="154"/>
  <c r="AM612" i="154" s="1"/>
  <c r="AN548" i="154"/>
  <c r="AN612" i="154" s="1"/>
  <c r="AO548" i="154"/>
  <c r="AO612" i="154" s="1"/>
  <c r="Y585" i="155"/>
  <c r="Y524" i="155"/>
  <c r="R403" i="155"/>
  <c r="R404" i="155"/>
  <c r="R405" i="155"/>
  <c r="R406" i="155"/>
  <c r="R402" i="155"/>
  <c r="R407" i="155"/>
  <c r="U602" i="155"/>
  <c r="U542" i="155"/>
  <c r="V524" i="154"/>
  <c r="V585" i="154"/>
  <c r="J580" i="153"/>
  <c r="T516" i="153"/>
  <c r="T580" i="153" s="1"/>
  <c r="V516" i="153"/>
  <c r="V580" i="153" s="1"/>
  <c r="R516" i="153"/>
  <c r="R580" i="153" s="1"/>
  <c r="S516" i="153"/>
  <c r="S580" i="153" s="1"/>
  <c r="U516" i="153"/>
  <c r="U580" i="153" s="1"/>
  <c r="W516" i="153"/>
  <c r="W580" i="153" s="1"/>
  <c r="X516" i="153"/>
  <c r="X580" i="153" s="1"/>
  <c r="Y516" i="153"/>
  <c r="Y580" i="153" s="1"/>
  <c r="Z516" i="153"/>
  <c r="Z580" i="153" s="1"/>
  <c r="AA516" i="153"/>
  <c r="AA580" i="153" s="1"/>
  <c r="AB516" i="153"/>
  <c r="AB580" i="153" s="1"/>
  <c r="AC516" i="153"/>
  <c r="AC580" i="153" s="1"/>
  <c r="W377" i="153"/>
  <c r="W379" i="153"/>
  <c r="W378" i="153"/>
  <c r="W376" i="153"/>
  <c r="W374" i="153"/>
  <c r="W375" i="153"/>
  <c r="AC350" i="154"/>
  <c r="AC348" i="154"/>
  <c r="AC349" i="154"/>
  <c r="AC347" i="154"/>
  <c r="AC351" i="154"/>
  <c r="AC346" i="154"/>
  <c r="AA524" i="153"/>
  <c r="AA585" i="153"/>
  <c r="X350" i="153"/>
  <c r="X347" i="153"/>
  <c r="X346" i="153"/>
  <c r="X348" i="153"/>
  <c r="X349" i="153"/>
  <c r="X351" i="153"/>
  <c r="Y369" i="154"/>
  <c r="Y371" i="154"/>
  <c r="Y366" i="154"/>
  <c r="Y370" i="154"/>
  <c r="Y368" i="154"/>
  <c r="Y367" i="154"/>
  <c r="K573" i="153"/>
  <c r="AD507" i="153"/>
  <c r="AE507" i="153"/>
  <c r="AF507" i="153"/>
  <c r="AG507" i="153"/>
  <c r="AH507" i="153"/>
  <c r="AI507" i="153"/>
  <c r="AJ507" i="153"/>
  <c r="AK507" i="153"/>
  <c r="AL507" i="153"/>
  <c r="AM507" i="153"/>
  <c r="AN507" i="153"/>
  <c r="AO507" i="153"/>
  <c r="W234" i="155"/>
  <c r="X585" i="155"/>
  <c r="X524" i="155"/>
  <c r="K612" i="155"/>
  <c r="L548" i="155"/>
  <c r="AD548" i="155"/>
  <c r="AD612" i="155" s="1"/>
  <c r="AE548" i="155"/>
  <c r="AE612" i="155" s="1"/>
  <c r="AF548" i="155"/>
  <c r="AF612" i="155" s="1"/>
  <c r="AG548" i="155"/>
  <c r="AG612" i="155" s="1"/>
  <c r="AH548" i="155"/>
  <c r="AH612" i="155" s="1"/>
  <c r="AI548" i="155"/>
  <c r="AI612" i="155" s="1"/>
  <c r="AJ548" i="155"/>
  <c r="AJ612" i="155" s="1"/>
  <c r="AK548" i="155"/>
  <c r="AK612" i="155" s="1"/>
  <c r="AL548" i="155"/>
  <c r="AL612" i="155" s="1"/>
  <c r="AM548" i="155"/>
  <c r="AM612" i="155" s="1"/>
  <c r="AN548" i="155"/>
  <c r="AN612" i="155" s="1"/>
  <c r="AO548" i="155"/>
  <c r="AO612" i="155" s="1"/>
  <c r="R382" i="154"/>
  <c r="R383" i="154"/>
  <c r="R385" i="154"/>
  <c r="R384" i="154"/>
  <c r="R386" i="154"/>
  <c r="R387" i="154"/>
  <c r="T542" i="155"/>
  <c r="T602" i="155"/>
  <c r="U524" i="154"/>
  <c r="U585" i="154"/>
  <c r="V378" i="153"/>
  <c r="V375" i="153"/>
  <c r="V376" i="153"/>
  <c r="V379" i="153"/>
  <c r="V377" i="153"/>
  <c r="V374" i="153"/>
  <c r="AB349" i="154"/>
  <c r="AB348" i="154"/>
  <c r="AB351" i="154"/>
  <c r="AB350" i="154"/>
  <c r="AB347" i="154"/>
  <c r="AB346" i="154"/>
  <c r="V350" i="155"/>
  <c r="V346" i="155"/>
  <c r="V347" i="155"/>
  <c r="V348" i="155"/>
  <c r="V351" i="155"/>
  <c r="V349" i="155"/>
  <c r="W346" i="153"/>
  <c r="W349" i="153"/>
  <c r="W351" i="153"/>
  <c r="W347" i="153"/>
  <c r="W348" i="153"/>
  <c r="W350" i="153"/>
  <c r="R602" i="154"/>
  <c r="R542" i="154"/>
  <c r="W585" i="155"/>
  <c r="W524" i="155"/>
  <c r="AC611" i="154"/>
  <c r="AC549" i="154"/>
  <c r="AC613" i="154" s="1"/>
  <c r="R602" i="155"/>
  <c r="R542" i="155"/>
  <c r="T585" i="154"/>
  <c r="T524" i="154"/>
  <c r="AA349" i="154"/>
  <c r="AA350" i="154"/>
  <c r="AA348" i="154"/>
  <c r="AA347" i="154"/>
  <c r="AA346" i="154"/>
  <c r="AA351" i="154"/>
  <c r="Z585" i="153"/>
  <c r="Z524" i="153"/>
  <c r="Y524" i="153"/>
  <c r="Y585" i="153"/>
  <c r="R376" i="155"/>
  <c r="R377" i="155"/>
  <c r="R375" i="155"/>
  <c r="R378" i="155"/>
  <c r="R379" i="155"/>
  <c r="R374" i="155"/>
  <c r="T347" i="155"/>
  <c r="T350" i="155"/>
  <c r="T351" i="155"/>
  <c r="T349" i="155"/>
  <c r="T346" i="155"/>
  <c r="T348" i="155"/>
  <c r="V234" i="155"/>
  <c r="K573" i="154"/>
  <c r="AD507" i="154"/>
  <c r="AE507" i="154"/>
  <c r="AF507" i="154"/>
  <c r="AG507" i="154"/>
  <c r="AH507" i="154"/>
  <c r="AI507" i="154"/>
  <c r="AJ507" i="154"/>
  <c r="AK507" i="154"/>
  <c r="AL507" i="154"/>
  <c r="AM507" i="154"/>
  <c r="AN507" i="154"/>
  <c r="AO507" i="154"/>
  <c r="T233" i="154"/>
  <c r="U377" i="153"/>
  <c r="U374" i="153"/>
  <c r="U375" i="153"/>
  <c r="U376" i="153"/>
  <c r="U378" i="153"/>
  <c r="U379" i="153"/>
  <c r="R233" i="155"/>
  <c r="AB232" i="155"/>
  <c r="X524" i="153"/>
  <c r="X585" i="153"/>
  <c r="K586" i="153"/>
  <c r="AD522" i="153"/>
  <c r="AD586" i="153" s="1"/>
  <c r="AE522" i="153"/>
  <c r="AE586" i="153" s="1"/>
  <c r="AF522" i="153"/>
  <c r="AF586" i="153" s="1"/>
  <c r="AG522" i="153"/>
  <c r="AG586" i="153" s="1"/>
  <c r="AH522" i="153"/>
  <c r="AH586" i="153" s="1"/>
  <c r="AI522" i="153"/>
  <c r="AI586" i="153" s="1"/>
  <c r="AJ522" i="153"/>
  <c r="AJ586" i="153" s="1"/>
  <c r="AK522" i="153"/>
  <c r="AK586" i="153" s="1"/>
  <c r="AL522" i="153"/>
  <c r="AL586" i="153" s="1"/>
  <c r="AM522" i="153"/>
  <c r="AM586" i="153" s="1"/>
  <c r="AN522" i="153"/>
  <c r="AN586" i="153" s="1"/>
  <c r="AO522" i="153"/>
  <c r="AO586" i="153" s="1"/>
  <c r="J580" i="154"/>
  <c r="S516" i="154"/>
  <c r="S580" i="154" s="1"/>
  <c r="R516" i="154"/>
  <c r="R580" i="154" s="1"/>
  <c r="T516" i="154"/>
  <c r="T580" i="154" s="1"/>
  <c r="U516" i="154"/>
  <c r="U580" i="154" s="1"/>
  <c r="V516" i="154"/>
  <c r="V580" i="154" s="1"/>
  <c r="W516" i="154"/>
  <c r="W580" i="154" s="1"/>
  <c r="X516" i="154"/>
  <c r="X580" i="154" s="1"/>
  <c r="Y516" i="154"/>
  <c r="Y580" i="154" s="1"/>
  <c r="Z516" i="154"/>
  <c r="Z580" i="154" s="1"/>
  <c r="AA516" i="154"/>
  <c r="AA580" i="154" s="1"/>
  <c r="AB516" i="154"/>
  <c r="AB580" i="154" s="1"/>
  <c r="AC516" i="154"/>
  <c r="AC580" i="154" s="1"/>
  <c r="AA234" i="153"/>
  <c r="R347" i="155"/>
  <c r="R346" i="155"/>
  <c r="R348" i="155"/>
  <c r="R350" i="155"/>
  <c r="R349" i="155"/>
  <c r="R351" i="155"/>
  <c r="Y234" i="154"/>
  <c r="V348" i="153"/>
  <c r="V346" i="153"/>
  <c r="V349" i="153"/>
  <c r="V351" i="153"/>
  <c r="V347" i="153"/>
  <c r="V350" i="153"/>
  <c r="AC367" i="153"/>
  <c r="AC368" i="153"/>
  <c r="AC370" i="153"/>
  <c r="AC369" i="153"/>
  <c r="AC371" i="153"/>
  <c r="AC366" i="153"/>
  <c r="W371" i="154"/>
  <c r="W370" i="154"/>
  <c r="W368" i="154"/>
  <c r="W369" i="154"/>
  <c r="W367" i="154"/>
  <c r="W366" i="154"/>
  <c r="R512" i="153"/>
  <c r="U234" i="155"/>
  <c r="AC233" i="153"/>
  <c r="V585" i="155"/>
  <c r="V524" i="155"/>
  <c r="AB611" i="154"/>
  <c r="AB549" i="154"/>
  <c r="AB613" i="154" s="1"/>
  <c r="S585" i="154"/>
  <c r="S524" i="154"/>
  <c r="S233" i="154"/>
  <c r="V512" i="155"/>
  <c r="T379" i="153"/>
  <c r="T376" i="153"/>
  <c r="T375" i="153"/>
  <c r="T378" i="153"/>
  <c r="T377" i="153"/>
  <c r="T374" i="153"/>
  <c r="Z349" i="154"/>
  <c r="Z351" i="154"/>
  <c r="Z348" i="154"/>
  <c r="Z347" i="154"/>
  <c r="Z350" i="154"/>
  <c r="Z346" i="154"/>
  <c r="J606" i="154"/>
  <c r="U348" i="155"/>
  <c r="U346" i="155"/>
  <c r="U349" i="155"/>
  <c r="U347" i="155"/>
  <c r="U351" i="155"/>
  <c r="U350" i="155"/>
  <c r="AA232" i="155"/>
  <c r="W524" i="153"/>
  <c r="W585" i="153"/>
  <c r="T232" i="153"/>
  <c r="S375" i="155"/>
  <c r="S377" i="155"/>
  <c r="S376" i="155"/>
  <c r="S378" i="155"/>
  <c r="S374" i="155"/>
  <c r="S379" i="155"/>
  <c r="Z234" i="153"/>
  <c r="X234" i="154"/>
  <c r="U347" i="153"/>
  <c r="U346" i="153"/>
  <c r="U348" i="153"/>
  <c r="U350" i="153"/>
  <c r="U351" i="153"/>
  <c r="U349" i="153"/>
  <c r="AB367" i="153"/>
  <c r="AB368" i="153"/>
  <c r="AB370" i="153"/>
  <c r="AB366" i="153"/>
  <c r="AB369" i="153"/>
  <c r="AB371" i="153"/>
  <c r="V369" i="154"/>
  <c r="V366" i="154"/>
  <c r="V371" i="154"/>
  <c r="V368" i="154"/>
  <c r="V367" i="154"/>
  <c r="V370" i="154"/>
  <c r="T234" i="155"/>
  <c r="AB233" i="153"/>
  <c r="U585" i="155"/>
  <c r="U524" i="155"/>
  <c r="AA549" i="154"/>
  <c r="AA613" i="154" s="1"/>
  <c r="AA611" i="154"/>
  <c r="J606" i="155"/>
  <c r="R512" i="154"/>
  <c r="S374" i="153"/>
  <c r="S377" i="153"/>
  <c r="S378" i="153"/>
  <c r="S379" i="153"/>
  <c r="S376" i="153"/>
  <c r="S375" i="153"/>
  <c r="Y349" i="154"/>
  <c r="Y346" i="154"/>
  <c r="Y347" i="154"/>
  <c r="Y351" i="154"/>
  <c r="Y348" i="154"/>
  <c r="Y350" i="154"/>
  <c r="U379" i="155"/>
  <c r="U374" i="155"/>
  <c r="U377" i="155"/>
  <c r="U375" i="155"/>
  <c r="U378" i="155"/>
  <c r="U376" i="155"/>
  <c r="T379" i="155"/>
  <c r="T374" i="155"/>
  <c r="T378" i="155"/>
  <c r="T375" i="155"/>
  <c r="T377" i="155"/>
  <c r="T376" i="155"/>
  <c r="X366" i="154"/>
  <c r="X368" i="154"/>
  <c r="X367" i="154"/>
  <c r="X370" i="154"/>
  <c r="X369" i="154"/>
  <c r="X371" i="154"/>
  <c r="AA366" i="153"/>
  <c r="AA369" i="153"/>
  <c r="AA371" i="153"/>
  <c r="AA370" i="153"/>
  <c r="AA368" i="153"/>
  <c r="AA367" i="153"/>
  <c r="U368" i="154"/>
  <c r="U370" i="154"/>
  <c r="U371" i="154"/>
  <c r="U367" i="154"/>
  <c r="U369" i="154"/>
  <c r="U366" i="154"/>
  <c r="J576" i="153"/>
  <c r="T585" i="155"/>
  <c r="T524" i="155"/>
  <c r="Z611" i="154"/>
  <c r="Z549" i="154"/>
  <c r="Z613" i="154" s="1"/>
  <c r="S542" i="155"/>
  <c r="S602" i="155"/>
  <c r="K585" i="154"/>
  <c r="AD521" i="154"/>
  <c r="AE521" i="154"/>
  <c r="AF521" i="154"/>
  <c r="AG521" i="154"/>
  <c r="AH521" i="154"/>
  <c r="AI521" i="154"/>
  <c r="AJ521" i="154"/>
  <c r="AK521" i="154"/>
  <c r="AL521" i="154"/>
  <c r="AM521" i="154"/>
  <c r="AN521" i="154"/>
  <c r="AO521" i="154"/>
  <c r="AC549" i="153"/>
  <c r="AC613" i="153" s="1"/>
  <c r="AC611" i="153"/>
  <c r="K587" i="154"/>
  <c r="AD523" i="154"/>
  <c r="AD587" i="154" s="1"/>
  <c r="AE523" i="154"/>
  <c r="AE587" i="154" s="1"/>
  <c r="AF523" i="154"/>
  <c r="AF587" i="154" s="1"/>
  <c r="AG523" i="154"/>
  <c r="AG587" i="154" s="1"/>
  <c r="AH523" i="154"/>
  <c r="AH587" i="154" s="1"/>
  <c r="AI523" i="154"/>
  <c r="AI587" i="154" s="1"/>
  <c r="AJ523" i="154"/>
  <c r="AJ587" i="154" s="1"/>
  <c r="AK523" i="154"/>
  <c r="AK587" i="154" s="1"/>
  <c r="AL523" i="154"/>
  <c r="AL587" i="154" s="1"/>
  <c r="AM523" i="154"/>
  <c r="AM587" i="154" s="1"/>
  <c r="AN523" i="154"/>
  <c r="AN587" i="154" s="1"/>
  <c r="AO523" i="154"/>
  <c r="AO587" i="154" s="1"/>
  <c r="T512" i="155"/>
  <c r="R374" i="153"/>
  <c r="R375" i="153"/>
  <c r="R377" i="153"/>
  <c r="R379" i="153"/>
  <c r="R376" i="153"/>
  <c r="R378" i="153"/>
  <c r="X350" i="154"/>
  <c r="X349" i="154"/>
  <c r="X351" i="154"/>
  <c r="X346" i="154"/>
  <c r="X348" i="154"/>
  <c r="X347" i="154"/>
  <c r="Z232" i="155"/>
  <c r="S233" i="155"/>
  <c r="Y232" i="155"/>
  <c r="U585" i="153"/>
  <c r="U524" i="153"/>
  <c r="X234" i="153"/>
  <c r="S348" i="155"/>
  <c r="S347" i="155"/>
  <c r="S346" i="155"/>
  <c r="S349" i="155"/>
  <c r="S350" i="155"/>
  <c r="S351" i="155"/>
  <c r="V234" i="154"/>
  <c r="S346" i="153"/>
  <c r="S349" i="153"/>
  <c r="S350" i="153"/>
  <c r="S351" i="153"/>
  <c r="S348" i="153"/>
  <c r="S347" i="153"/>
  <c r="Z371" i="153"/>
  <c r="Z367" i="153"/>
  <c r="Z366" i="153"/>
  <c r="Z369" i="153"/>
  <c r="Z370" i="153"/>
  <c r="Z368" i="153"/>
  <c r="T366" i="154"/>
  <c r="T368" i="154"/>
  <c r="T369" i="154"/>
  <c r="T367" i="154"/>
  <c r="T371" i="154"/>
  <c r="T370" i="154"/>
  <c r="AC375" i="154"/>
  <c r="AC374" i="154"/>
  <c r="AC379" i="154"/>
  <c r="AC377" i="154"/>
  <c r="AC378" i="154"/>
  <c r="AC376" i="154"/>
  <c r="Z233" i="153"/>
  <c r="S585" i="155"/>
  <c r="S524" i="155"/>
  <c r="I551" i="153"/>
  <c r="I608" i="153"/>
  <c r="Y549" i="154"/>
  <c r="Y613" i="154" s="1"/>
  <c r="Y611" i="154"/>
  <c r="L538" i="155"/>
  <c r="K602" i="155"/>
  <c r="K542" i="155"/>
  <c r="AD538" i="155"/>
  <c r="AE538" i="155"/>
  <c r="AF538" i="155"/>
  <c r="AG538" i="155"/>
  <c r="AH538" i="155"/>
  <c r="AI538" i="155"/>
  <c r="AJ538" i="155"/>
  <c r="AK538" i="155"/>
  <c r="AL538" i="155"/>
  <c r="AM538" i="155"/>
  <c r="AN538" i="155"/>
  <c r="AO538" i="155"/>
  <c r="R524" i="154"/>
  <c r="R585" i="154"/>
  <c r="AC367" i="155"/>
  <c r="AC371" i="155"/>
  <c r="AC368" i="155"/>
  <c r="AC370" i="155"/>
  <c r="AC366" i="155"/>
  <c r="AC369" i="155"/>
  <c r="AB611" i="153"/>
  <c r="AB549" i="153"/>
  <c r="AB613" i="153" s="1"/>
  <c r="J576" i="155"/>
  <c r="L540" i="153"/>
  <c r="K604" i="153"/>
  <c r="AD540" i="153"/>
  <c r="AD604" i="153" s="1"/>
  <c r="AE540" i="153"/>
  <c r="AE604" i="153" s="1"/>
  <c r="AF540" i="153"/>
  <c r="AF604" i="153" s="1"/>
  <c r="AG540" i="153"/>
  <c r="AG604" i="153" s="1"/>
  <c r="AH540" i="153"/>
  <c r="AH604" i="153" s="1"/>
  <c r="AI540" i="153"/>
  <c r="AI604" i="153" s="1"/>
  <c r="AJ540" i="153"/>
  <c r="AJ604" i="153" s="1"/>
  <c r="AK540" i="153"/>
  <c r="AK604" i="153" s="1"/>
  <c r="AL540" i="153"/>
  <c r="AL604" i="153" s="1"/>
  <c r="AM540" i="153"/>
  <c r="AM604" i="153" s="1"/>
  <c r="AN540" i="153"/>
  <c r="AN604" i="153" s="1"/>
  <c r="AO540" i="153"/>
  <c r="AO604" i="153" s="1"/>
  <c r="W346" i="154"/>
  <c r="W349" i="154"/>
  <c r="W347" i="154"/>
  <c r="W350" i="154"/>
  <c r="W348" i="154"/>
  <c r="W351" i="154"/>
  <c r="Z369" i="154"/>
  <c r="Z371" i="154"/>
  <c r="Z367" i="154"/>
  <c r="Z366" i="154"/>
  <c r="Z370" i="154"/>
  <c r="Z368" i="154"/>
  <c r="K587" i="155"/>
  <c r="AD523" i="155"/>
  <c r="AD587" i="155" s="1"/>
  <c r="AE523" i="155"/>
  <c r="AE587" i="155" s="1"/>
  <c r="AF523" i="155"/>
  <c r="AF587" i="155" s="1"/>
  <c r="AG523" i="155"/>
  <c r="AG587" i="155" s="1"/>
  <c r="AH523" i="155"/>
  <c r="AH587" i="155" s="1"/>
  <c r="AI523" i="155"/>
  <c r="AI587" i="155" s="1"/>
  <c r="AJ523" i="155"/>
  <c r="AJ587" i="155" s="1"/>
  <c r="AK523" i="155"/>
  <c r="AK587" i="155" s="1"/>
  <c r="AL523" i="155"/>
  <c r="AL587" i="155" s="1"/>
  <c r="AM523" i="155"/>
  <c r="AM587" i="155" s="1"/>
  <c r="AN523" i="155"/>
  <c r="AN587" i="155" s="1"/>
  <c r="AO523" i="155"/>
  <c r="AO587" i="155" s="1"/>
  <c r="V524" i="153"/>
  <c r="V585" i="153"/>
  <c r="K604" i="155"/>
  <c r="L540" i="155"/>
  <c r="AD540" i="155"/>
  <c r="AD604" i="155" s="1"/>
  <c r="AE540" i="155"/>
  <c r="AE604" i="155" s="1"/>
  <c r="AF540" i="155"/>
  <c r="AF604" i="155" s="1"/>
  <c r="AG540" i="155"/>
  <c r="AG604" i="155" s="1"/>
  <c r="AH540" i="155"/>
  <c r="AH604" i="155" s="1"/>
  <c r="AI540" i="155"/>
  <c r="AI604" i="155" s="1"/>
  <c r="AJ540" i="155"/>
  <c r="AJ604" i="155" s="1"/>
  <c r="AK540" i="155"/>
  <c r="AK604" i="155" s="1"/>
  <c r="AL540" i="155"/>
  <c r="AL604" i="155" s="1"/>
  <c r="AM540" i="155"/>
  <c r="AM604" i="155" s="1"/>
  <c r="AN540" i="155"/>
  <c r="AN604" i="155" s="1"/>
  <c r="AO540" i="155"/>
  <c r="AO604" i="155" s="1"/>
  <c r="K598" i="155"/>
  <c r="L534" i="155"/>
  <c r="AD534" i="155"/>
  <c r="AD598" i="155" s="1"/>
  <c r="AE534" i="155"/>
  <c r="AE598" i="155" s="1"/>
  <c r="AF534" i="155"/>
  <c r="AF598" i="155" s="1"/>
  <c r="AG534" i="155"/>
  <c r="AG598" i="155" s="1"/>
  <c r="AH534" i="155"/>
  <c r="AH598" i="155" s="1"/>
  <c r="AI534" i="155"/>
  <c r="AI598" i="155" s="1"/>
  <c r="AJ534" i="155"/>
  <c r="AJ598" i="155" s="1"/>
  <c r="AK534" i="155"/>
  <c r="AK598" i="155" s="1"/>
  <c r="AL534" i="155"/>
  <c r="AL598" i="155" s="1"/>
  <c r="AM534" i="155"/>
  <c r="AM598" i="155" s="1"/>
  <c r="AN534" i="155"/>
  <c r="AN598" i="155" s="1"/>
  <c r="AO534" i="155"/>
  <c r="AO598" i="155" s="1"/>
  <c r="T348" i="153"/>
  <c r="T351" i="153"/>
  <c r="T349" i="153"/>
  <c r="T346" i="153"/>
  <c r="T350" i="153"/>
  <c r="T347" i="153"/>
  <c r="K589" i="155"/>
  <c r="AD525" i="155"/>
  <c r="AD589" i="155" s="1"/>
  <c r="AE525" i="155"/>
  <c r="AE589" i="155" s="1"/>
  <c r="AF525" i="155"/>
  <c r="AF589" i="155" s="1"/>
  <c r="AG525" i="155"/>
  <c r="AG589" i="155" s="1"/>
  <c r="AH525" i="155"/>
  <c r="AH589" i="155" s="1"/>
  <c r="AI525" i="155"/>
  <c r="AI589" i="155" s="1"/>
  <c r="AJ525" i="155"/>
  <c r="AJ589" i="155" s="1"/>
  <c r="AK525" i="155"/>
  <c r="AK589" i="155" s="1"/>
  <c r="AL525" i="155"/>
  <c r="AL589" i="155" s="1"/>
  <c r="AM525" i="155"/>
  <c r="AM589" i="155" s="1"/>
  <c r="AN525" i="155"/>
  <c r="AN589" i="155" s="1"/>
  <c r="AO525" i="155"/>
  <c r="AO589" i="155" s="1"/>
  <c r="R513" i="154"/>
  <c r="R577" i="154" s="1"/>
  <c r="S513" i="154"/>
  <c r="S577" i="154" s="1"/>
  <c r="J577" i="154"/>
  <c r="T513" i="154"/>
  <c r="T577" i="154" s="1"/>
  <c r="U513" i="154"/>
  <c r="U577" i="154" s="1"/>
  <c r="V513" i="154"/>
  <c r="V577" i="154" s="1"/>
  <c r="W513" i="154"/>
  <c r="W577" i="154" s="1"/>
  <c r="X513" i="154"/>
  <c r="X577" i="154" s="1"/>
  <c r="Y513" i="154"/>
  <c r="Y577" i="154" s="1"/>
  <c r="Z513" i="154"/>
  <c r="Z577" i="154" s="1"/>
  <c r="AA513" i="154"/>
  <c r="AA577" i="154" s="1"/>
  <c r="AB513" i="154"/>
  <c r="AB577" i="154" s="1"/>
  <c r="AC513" i="154"/>
  <c r="AC577" i="154" s="1"/>
  <c r="X232" i="155"/>
  <c r="S524" i="153"/>
  <c r="S585" i="153"/>
  <c r="AC611" i="155"/>
  <c r="AC549" i="155"/>
  <c r="AC613" i="155" s="1"/>
  <c r="W234" i="153"/>
  <c r="AC382" i="155"/>
  <c r="AC387" i="155"/>
  <c r="AC384" i="155"/>
  <c r="AC386" i="155"/>
  <c r="AC383" i="155"/>
  <c r="AC385" i="155"/>
  <c r="U234" i="154"/>
  <c r="K598" i="153"/>
  <c r="L534" i="153"/>
  <c r="AD534" i="153"/>
  <c r="AD598" i="153" s="1"/>
  <c r="AE534" i="153"/>
  <c r="AE598" i="153" s="1"/>
  <c r="AF534" i="153"/>
  <c r="AF598" i="153" s="1"/>
  <c r="AG534" i="153"/>
  <c r="AG598" i="153" s="1"/>
  <c r="AH534" i="153"/>
  <c r="AH598" i="153" s="1"/>
  <c r="AI534" i="153"/>
  <c r="AI598" i="153" s="1"/>
  <c r="AJ534" i="153"/>
  <c r="AJ598" i="153" s="1"/>
  <c r="AK534" i="153"/>
  <c r="AK598" i="153" s="1"/>
  <c r="AL534" i="153"/>
  <c r="AL598" i="153" s="1"/>
  <c r="AM534" i="153"/>
  <c r="AM598" i="153" s="1"/>
  <c r="AN534" i="153"/>
  <c r="AN598" i="153" s="1"/>
  <c r="AO534" i="153"/>
  <c r="AO598" i="153" s="1"/>
  <c r="Y371" i="153"/>
  <c r="Y369" i="153"/>
  <c r="Y368" i="153"/>
  <c r="Y370" i="153"/>
  <c r="Y366" i="153"/>
  <c r="Y367" i="153"/>
  <c r="S371" i="154"/>
  <c r="S370" i="154"/>
  <c r="S366" i="154"/>
  <c r="S367" i="154"/>
  <c r="S368" i="154"/>
  <c r="S369" i="154"/>
  <c r="AB374" i="154"/>
  <c r="AB378" i="154"/>
  <c r="AB376" i="154"/>
  <c r="AB375" i="154"/>
  <c r="AB377" i="154"/>
  <c r="AB379" i="154"/>
  <c r="S234" i="155"/>
  <c r="Y233" i="153"/>
  <c r="R524" i="155"/>
  <c r="R585" i="155"/>
  <c r="X611" i="154"/>
  <c r="X549" i="154"/>
  <c r="X613" i="154" s="1"/>
  <c r="AC407" i="153"/>
  <c r="AC405" i="153"/>
  <c r="AC403" i="153"/>
  <c r="AC406" i="153"/>
  <c r="AC404" i="153"/>
  <c r="AC402" i="153"/>
  <c r="J588" i="154"/>
  <c r="AB369" i="155"/>
  <c r="AB368" i="155"/>
  <c r="AB366" i="155"/>
  <c r="AB367" i="155"/>
  <c r="AB371" i="155"/>
  <c r="AB370" i="155"/>
  <c r="AA611" i="153"/>
  <c r="AA549" i="153"/>
  <c r="AA613" i="153" s="1"/>
  <c r="AC542" i="153"/>
  <c r="AC602" i="153"/>
  <c r="V347" i="154"/>
  <c r="V346" i="154"/>
  <c r="V348" i="154"/>
  <c r="V351" i="154"/>
  <c r="V350" i="154"/>
  <c r="V349" i="154"/>
  <c r="X233" i="153"/>
  <c r="J588" i="155"/>
  <c r="W611" i="154"/>
  <c r="W549" i="154"/>
  <c r="W613" i="154" s="1"/>
  <c r="AB403" i="153"/>
  <c r="AB405" i="153"/>
  <c r="AB404" i="153"/>
  <c r="AB402" i="153"/>
  <c r="AB407" i="153"/>
  <c r="AB406" i="153"/>
  <c r="AA366" i="155"/>
  <c r="AA369" i="155"/>
  <c r="AA371" i="155"/>
  <c r="AA367" i="155"/>
  <c r="AA370" i="155"/>
  <c r="AA368" i="155"/>
  <c r="Z611" i="153"/>
  <c r="Z549" i="153"/>
  <c r="Z613" i="153" s="1"/>
  <c r="AB602" i="153"/>
  <c r="AB542" i="153"/>
  <c r="U348" i="154"/>
  <c r="U350" i="154"/>
  <c r="U349" i="154"/>
  <c r="U346" i="154"/>
  <c r="U347" i="154"/>
  <c r="U351" i="154"/>
  <c r="I122" i="104"/>
  <c r="AJ12" i="99"/>
  <c r="BR12" i="99"/>
  <c r="BP16" i="99"/>
  <c r="AA12" i="99"/>
  <c r="BK16" i="99"/>
  <c r="BI12" i="99"/>
  <c r="BY16" i="99"/>
  <c r="AH12" i="99"/>
  <c r="AZ12" i="99"/>
  <c r="AS16" i="99"/>
  <c r="T12" i="99"/>
  <c r="I101" i="104"/>
  <c r="I89" i="104"/>
  <c r="BB16" i="99"/>
  <c r="AA16" i="99"/>
  <c r="BW16" i="99"/>
  <c r="AH16" i="99"/>
  <c r="AF12" i="99"/>
  <c r="AX16" i="99"/>
  <c r="AS12" i="99"/>
  <c r="I97" i="104"/>
  <c r="BP12" i="99"/>
  <c r="AQ12" i="99"/>
  <c r="BE12" i="99"/>
  <c r="BU16" i="99"/>
  <c r="AQ16" i="99"/>
  <c r="BE16" i="99"/>
  <c r="I88" i="104"/>
  <c r="AC12" i="99"/>
  <c r="V12" i="99"/>
  <c r="BI16" i="99"/>
  <c r="I110" i="104"/>
  <c r="BW12" i="99"/>
  <c r="AF16" i="99"/>
  <c r="I116" i="99"/>
  <c r="BG12" i="99"/>
  <c r="BK12" i="99"/>
  <c r="BG16" i="99"/>
  <c r="AV16" i="99"/>
  <c r="AO12" i="99"/>
  <c r="BN12" i="99"/>
  <c r="AO16" i="99"/>
  <c r="AM16" i="99"/>
  <c r="AK16" i="99"/>
  <c r="I124" i="104"/>
  <c r="AX12" i="99"/>
  <c r="Y16" i="99"/>
  <c r="BC12" i="99"/>
  <c r="BU12" i="99"/>
  <c r="BS12" i="99"/>
  <c r="AD12" i="99"/>
  <c r="AV12" i="99"/>
  <c r="Y12" i="99"/>
  <c r="W16" i="99"/>
  <c r="AK12" i="99"/>
  <c r="I114" i="104"/>
  <c r="I98" i="104"/>
  <c r="AZ16" i="99"/>
  <c r="T16" i="99"/>
  <c r="BS16" i="99"/>
  <c r="AB12" i="99"/>
  <c r="BL16" i="99"/>
  <c r="U12" i="99"/>
  <c r="BC16" i="99"/>
  <c r="BA16" i="99"/>
  <c r="AD16" i="99"/>
  <c r="BN16" i="99"/>
  <c r="W12" i="99"/>
  <c r="AM12" i="99"/>
  <c r="I123" i="104"/>
  <c r="I115" i="104"/>
  <c r="I109" i="104"/>
  <c r="AI16" i="99"/>
  <c r="AB16" i="99"/>
  <c r="U16" i="99"/>
  <c r="BF12" i="99"/>
  <c r="AI12" i="99"/>
  <c r="AY12" i="99"/>
  <c r="BO16" i="99"/>
  <c r="AR16" i="99"/>
  <c r="BJ12" i="99"/>
  <c r="I90" i="104"/>
  <c r="I91" i="104"/>
  <c r="BJ16" i="99"/>
  <c r="AW16" i="99"/>
  <c r="AR12" i="99"/>
  <c r="AP16" i="99"/>
  <c r="AL16" i="99"/>
  <c r="I92" i="104"/>
  <c r="I116" i="104"/>
  <c r="I87" i="104"/>
  <c r="BH12" i="99"/>
  <c r="AE16" i="99"/>
  <c r="AE12" i="99"/>
  <c r="Z16" i="99"/>
  <c r="AP12" i="99"/>
  <c r="AN16" i="99"/>
  <c r="AL12" i="99"/>
  <c r="I104" i="104"/>
  <c r="AG16" i="99"/>
  <c r="AT16" i="99"/>
  <c r="BX12" i="99"/>
  <c r="AG12" i="99"/>
  <c r="BH16" i="99"/>
  <c r="BD12" i="99"/>
  <c r="BV12" i="99"/>
  <c r="BT16" i="99"/>
  <c r="AW12" i="99"/>
  <c r="AU16" i="99"/>
  <c r="Z12" i="99"/>
  <c r="X16" i="99"/>
  <c r="I84" i="104"/>
  <c r="BF16" i="99"/>
  <c r="AC16" i="99"/>
  <c r="AU12" i="99"/>
  <c r="BM16" i="99"/>
  <c r="AN12" i="99"/>
  <c r="I99" i="104"/>
  <c r="AT12" i="99"/>
  <c r="BX16" i="99"/>
  <c r="BQ12" i="99"/>
  <c r="X12" i="99"/>
  <c r="V16" i="99"/>
  <c r="I96" i="104"/>
  <c r="I108" i="104"/>
  <c r="AY16" i="99"/>
  <c r="BQ16" i="99"/>
  <c r="BL12" i="99"/>
  <c r="BA12" i="99"/>
  <c r="BO12" i="99"/>
  <c r="I117" i="104"/>
  <c r="BV16" i="99"/>
  <c r="BD16" i="99"/>
  <c r="BB12" i="99"/>
  <c r="BT12" i="99"/>
  <c r="AJ16" i="99"/>
  <c r="BR16" i="99"/>
  <c r="BM12" i="99"/>
  <c r="BY12" i="99"/>
  <c r="I100" i="104"/>
  <c r="U509" i="99"/>
  <c r="U573" i="99" s="1"/>
  <c r="V498" i="99"/>
  <c r="V482" i="99" s="1"/>
  <c r="V490" i="99" s="1"/>
  <c r="U521" i="99"/>
  <c r="U585" i="99" s="1"/>
  <c r="U507" i="99"/>
  <c r="V476" i="99"/>
  <c r="U522" i="99"/>
  <c r="U586" i="99" s="1"/>
  <c r="U523" i="99"/>
  <c r="U587" i="99" s="1"/>
  <c r="T611" i="99"/>
  <c r="W3" i="69"/>
  <c r="W4" i="69" s="1"/>
  <c r="V2" i="69" a="1"/>
  <c r="V2" i="69" s="1"/>
  <c r="V13" i="69"/>
  <c r="V7" i="69"/>
  <c r="V8" i="69"/>
  <c r="V16" i="69"/>
  <c r="V11" i="69"/>
  <c r="V15" i="69"/>
  <c r="V9" i="69"/>
  <c r="V10" i="69"/>
  <c r="V14" i="69"/>
  <c r="V12" i="69"/>
  <c r="U547" i="99"/>
  <c r="U611" i="99" s="1"/>
  <c r="U538" i="99"/>
  <c r="U548" i="99"/>
  <c r="U612" i="99" s="1"/>
  <c r="U540" i="99"/>
  <c r="U604" i="99" s="1"/>
  <c r="U534" i="99"/>
  <c r="U598" i="99" s="1"/>
  <c r="U541" i="99"/>
  <c r="U605" i="99" s="1"/>
  <c r="U539" i="99"/>
  <c r="U603" i="99" s="1"/>
  <c r="W3" i="99"/>
  <c r="W4" i="99" s="1"/>
  <c r="W477" i="99" s="1"/>
  <c r="V2" i="99" a="1"/>
  <c r="V2" i="99" s="1"/>
  <c r="V474" i="99"/>
  <c r="V475" i="99"/>
  <c r="W37" i="72"/>
  <c r="X5" i="72"/>
  <c r="X6" i="72" s="1"/>
  <c r="W36" i="72"/>
  <c r="W48" i="72"/>
  <c r="W47" i="72"/>
  <c r="I84" i="99"/>
  <c r="Y74" i="34" a="1"/>
  <c r="Y74" i="34" s="1"/>
  <c r="S15" i="99"/>
  <c r="S82" i="99"/>
  <c r="S135" i="99" s="1"/>
  <c r="S11" i="99"/>
  <c r="AG74" i="34" a="1"/>
  <c r="AG74" i="34" s="1"/>
  <c r="M153" i="103"/>
  <c r="AY153" i="103"/>
  <c r="AX153" i="103"/>
  <c r="AW153" i="103"/>
  <c r="AV153" i="103"/>
  <c r="AT153" i="103"/>
  <c r="AU153" i="103"/>
  <c r="AS153" i="103"/>
  <c r="AR153" i="103"/>
  <c r="AQ153" i="103"/>
  <c r="AP153" i="103"/>
  <c r="BA153" i="103"/>
  <c r="AZ153" i="103"/>
  <c r="X74" i="34" a="1"/>
  <c r="X74" i="34" s="1"/>
  <c r="W74" i="34" a="1"/>
  <c r="W74" i="34" s="1"/>
  <c r="Z74" i="34" a="1"/>
  <c r="Z74" i="34" s="1"/>
  <c r="V74" i="34" a="1"/>
  <c r="V74" i="34" s="1"/>
  <c r="M547" i="99"/>
  <c r="M540" i="99"/>
  <c r="M541" i="99"/>
  <c r="K558" i="99"/>
  <c r="T558" i="99"/>
  <c r="T622" i="99" s="1"/>
  <c r="U558" i="99"/>
  <c r="U622" i="99" s="1"/>
  <c r="R622" i="99"/>
  <c r="S558" i="99"/>
  <c r="S622" i="99" s="1"/>
  <c r="M534" i="99"/>
  <c r="M548" i="99"/>
  <c r="M538" i="99"/>
  <c r="M602" i="99" s="1"/>
  <c r="M539" i="99"/>
  <c r="I100" i="99"/>
  <c r="I92" i="99"/>
  <c r="I90" i="99"/>
  <c r="I123" i="99"/>
  <c r="I108" i="99"/>
  <c r="AH74" i="34" a="1"/>
  <c r="AH74" i="34" s="1"/>
  <c r="AD74" i="34" a="1"/>
  <c r="AD74" i="34" s="1"/>
  <c r="AF74" i="34" a="1"/>
  <c r="AF74" i="34" s="1"/>
  <c r="AE74" i="34" a="1"/>
  <c r="AE74" i="34" s="1"/>
  <c r="U477" i="99"/>
  <c r="I89" i="99"/>
  <c r="I97" i="99"/>
  <c r="I91" i="99"/>
  <c r="I113" i="99"/>
  <c r="I96" i="99"/>
  <c r="I88" i="99"/>
  <c r="I114" i="99"/>
  <c r="I115" i="99"/>
  <c r="I109" i="99"/>
  <c r="I101" i="99"/>
  <c r="I99" i="99"/>
  <c r="I122" i="99"/>
  <c r="I582" i="99"/>
  <c r="I594" i="99"/>
  <c r="I591" i="99"/>
  <c r="K602" i="99"/>
  <c r="K542" i="99"/>
  <c r="K606" i="99" s="1"/>
  <c r="L602" i="99"/>
  <c r="L542" i="99"/>
  <c r="L606" i="99" s="1"/>
  <c r="I124" i="99"/>
  <c r="I117" i="99"/>
  <c r="I551" i="99"/>
  <c r="I608" i="99"/>
  <c r="I54" i="99"/>
  <c r="J602" i="99"/>
  <c r="J542" i="99"/>
  <c r="J606" i="99" s="1"/>
  <c r="I110" i="99"/>
  <c r="I98" i="99"/>
  <c r="I87" i="99"/>
  <c r="I28" i="46"/>
  <c r="U516" i="99"/>
  <c r="U580" i="99" s="1"/>
  <c r="R516" i="99"/>
  <c r="R580" i="99" s="1"/>
  <c r="T516" i="99"/>
  <c r="T580" i="99" s="1"/>
  <c r="S516" i="99"/>
  <c r="S580" i="99" s="1"/>
  <c r="J580" i="99"/>
  <c r="R512" i="99"/>
  <c r="S512" i="99"/>
  <c r="Q74" i="34" a="1"/>
  <c r="Q74" i="34" s="1"/>
  <c r="R74" i="34" a="1"/>
  <c r="R74" i="34" s="1"/>
  <c r="J578" i="99"/>
  <c r="U514" i="99"/>
  <c r="U578" i="99" s="1"/>
  <c r="T514" i="99"/>
  <c r="T578" i="99" s="1"/>
  <c r="K514" i="99"/>
  <c r="S514" i="99"/>
  <c r="S578" i="99" s="1"/>
  <c r="R514" i="99"/>
  <c r="R578" i="99" s="1"/>
  <c r="S513" i="99"/>
  <c r="S577" i="99" s="1"/>
  <c r="R513" i="99"/>
  <c r="R577" i="99" s="1"/>
  <c r="U513" i="99"/>
  <c r="U577" i="99" s="1"/>
  <c r="T513" i="99"/>
  <c r="T577" i="99" s="1"/>
  <c r="J577" i="99"/>
  <c r="J576" i="99"/>
  <c r="J515" i="99"/>
  <c r="K512" i="99"/>
  <c r="K573" i="99"/>
  <c r="T512" i="99"/>
  <c r="I40" i="99"/>
  <c r="I104" i="99"/>
  <c r="BX140" i="99"/>
  <c r="BX141" i="99"/>
  <c r="BD141" i="99"/>
  <c r="BD140" i="99"/>
  <c r="AJ141" i="99"/>
  <c r="AJ140" i="99"/>
  <c r="BW141" i="99"/>
  <c r="BW140" i="99"/>
  <c r="BC140" i="99"/>
  <c r="BC141" i="99"/>
  <c r="AI140" i="99"/>
  <c r="AI141" i="99"/>
  <c r="BV140" i="99"/>
  <c r="BV141" i="99"/>
  <c r="BB140" i="99"/>
  <c r="BB141" i="99"/>
  <c r="AH140" i="99"/>
  <c r="AH141" i="99"/>
  <c r="BU140" i="99"/>
  <c r="BU141" i="99"/>
  <c r="BA140" i="99"/>
  <c r="BA141" i="99"/>
  <c r="AG140" i="99"/>
  <c r="AG141" i="99"/>
  <c r="BT141" i="99"/>
  <c r="BT140" i="99"/>
  <c r="AZ140" i="99"/>
  <c r="AZ141" i="99"/>
  <c r="AF140" i="99"/>
  <c r="AF141" i="99"/>
  <c r="BS140" i="99"/>
  <c r="BS141" i="99"/>
  <c r="AY141" i="99"/>
  <c r="AY140" i="99"/>
  <c r="AE140" i="99"/>
  <c r="AE141" i="99"/>
  <c r="I68" i="99"/>
  <c r="I622" i="99"/>
  <c r="I618" i="99"/>
  <c r="I64" i="99"/>
  <c r="BR141" i="99"/>
  <c r="BR140" i="99"/>
  <c r="AX140" i="99"/>
  <c r="AX141" i="99"/>
  <c r="AD141" i="99"/>
  <c r="AD140" i="99"/>
  <c r="BQ140" i="99"/>
  <c r="BQ141" i="99"/>
  <c r="AW141" i="99"/>
  <c r="AW140" i="99"/>
  <c r="AC140" i="99"/>
  <c r="AC141" i="99"/>
  <c r="BP140" i="99"/>
  <c r="BP141" i="99"/>
  <c r="AV140" i="99"/>
  <c r="AV141" i="99"/>
  <c r="AB141" i="99"/>
  <c r="AB140" i="99"/>
  <c r="BO140" i="99"/>
  <c r="BO141" i="99"/>
  <c r="AU140" i="99"/>
  <c r="AU141" i="99"/>
  <c r="AA140" i="99"/>
  <c r="AA141" i="99"/>
  <c r="I16" i="99"/>
  <c r="N16" i="105" s="1"/>
  <c r="I140" i="99"/>
  <c r="I139" i="99"/>
  <c r="I141" i="99"/>
  <c r="BN141" i="99"/>
  <c r="BN140" i="99"/>
  <c r="AT140" i="99"/>
  <c r="AT141" i="99"/>
  <c r="Z140" i="99"/>
  <c r="Z141" i="99"/>
  <c r="BM140" i="99"/>
  <c r="BM141" i="99"/>
  <c r="AS140" i="99"/>
  <c r="AS141" i="99"/>
  <c r="Y140" i="99"/>
  <c r="Y141" i="99"/>
  <c r="BL141" i="99"/>
  <c r="BL140" i="99"/>
  <c r="AR141" i="99"/>
  <c r="AR140" i="99"/>
  <c r="X140" i="99"/>
  <c r="X141" i="99"/>
  <c r="BK140" i="99"/>
  <c r="BK141" i="99"/>
  <c r="AQ141" i="99"/>
  <c r="AQ140" i="99"/>
  <c r="W140" i="99"/>
  <c r="W141" i="99"/>
  <c r="BJ140" i="99"/>
  <c r="BJ141" i="99"/>
  <c r="AP141" i="99"/>
  <c r="AP140" i="99"/>
  <c r="V140" i="99"/>
  <c r="V141" i="99"/>
  <c r="BI141" i="99"/>
  <c r="BI140" i="99"/>
  <c r="AO140" i="99"/>
  <c r="AO141" i="99"/>
  <c r="U141" i="99"/>
  <c r="U140" i="99"/>
  <c r="BH141" i="99"/>
  <c r="BH140" i="99"/>
  <c r="AN141" i="99"/>
  <c r="AN140" i="99"/>
  <c r="T141" i="99"/>
  <c r="T140" i="99"/>
  <c r="BG140" i="99"/>
  <c r="BG141" i="99"/>
  <c r="AM141" i="99"/>
  <c r="AM140" i="99"/>
  <c r="BF140" i="99"/>
  <c r="BF141" i="99"/>
  <c r="AL141" i="99"/>
  <c r="AL140" i="99"/>
  <c r="R11" i="99"/>
  <c r="R15" i="99"/>
  <c r="R82" i="99"/>
  <c r="BY140" i="99"/>
  <c r="BY141" i="99"/>
  <c r="BE140" i="99"/>
  <c r="BE141" i="99"/>
  <c r="AK141" i="99"/>
  <c r="AK140" i="99"/>
  <c r="P74" i="34" a="1"/>
  <c r="P74" i="34" s="1"/>
  <c r="N74" i="34" a="1"/>
  <c r="N74" i="34" s="1"/>
  <c r="O74" i="34" a="1"/>
  <c r="O74" i="34" s="1"/>
  <c r="S477" i="99"/>
  <c r="T477" i="99"/>
  <c r="R477" i="99"/>
  <c r="S500" i="99"/>
  <c r="S484" i="99" s="1"/>
  <c r="S492" i="99" s="1"/>
  <c r="T500" i="99"/>
  <c r="T484" i="99" s="1"/>
  <c r="T492" i="99" s="1"/>
  <c r="U500" i="99"/>
  <c r="U484" i="99" s="1"/>
  <c r="U492" i="99" s="1"/>
  <c r="AI158" i="99"/>
  <c r="AJ158" i="99" s="1"/>
  <c r="AK158" i="99" s="1"/>
  <c r="AL158" i="99" s="1"/>
  <c r="W6" i="98"/>
  <c r="V70" i="103"/>
  <c r="V500" i="99"/>
  <c r="V484" i="99" s="1"/>
  <c r="V492" i="99" s="1"/>
  <c r="AM8" i="98"/>
  <c r="U64" i="99"/>
  <c r="R500" i="99"/>
  <c r="R484" i="99" s="1"/>
  <c r="R492" i="99" s="1"/>
  <c r="V159" i="99"/>
  <c r="V477" i="99"/>
  <c r="X4" i="72" l="1" a="1"/>
  <c r="X4" i="72" s="1"/>
  <c r="N554" i="155"/>
  <c r="BB554" i="155"/>
  <c r="BC554" i="155"/>
  <c r="BD554" i="155"/>
  <c r="BE554" i="155"/>
  <c r="BF554" i="155"/>
  <c r="BG554" i="155"/>
  <c r="BH554" i="155"/>
  <c r="BI554" i="155"/>
  <c r="BJ554" i="155"/>
  <c r="BK554" i="155"/>
  <c r="BL554" i="155"/>
  <c r="BM554" i="155"/>
  <c r="N554" i="153"/>
  <c r="BB554" i="153"/>
  <c r="BC554" i="153"/>
  <c r="BD554" i="153"/>
  <c r="BE554" i="153"/>
  <c r="BF554" i="153"/>
  <c r="BG554" i="153"/>
  <c r="BH554" i="153"/>
  <c r="BI554" i="153"/>
  <c r="BJ554" i="153"/>
  <c r="BK554" i="153"/>
  <c r="BL554" i="153"/>
  <c r="BM554" i="153"/>
  <c r="N554" i="154"/>
  <c r="BB554" i="154"/>
  <c r="BC554" i="154"/>
  <c r="BD554" i="154"/>
  <c r="BE554" i="154"/>
  <c r="BF554" i="154"/>
  <c r="BG554" i="154"/>
  <c r="BH554" i="154"/>
  <c r="BI554" i="154"/>
  <c r="BJ554" i="154"/>
  <c r="BK554" i="154"/>
  <c r="BL554" i="154"/>
  <c r="BM554" i="154"/>
  <c r="V516" i="99"/>
  <c r="V580" i="99" s="1"/>
  <c r="V554" i="99"/>
  <c r="L131" i="105"/>
  <c r="K131" i="105"/>
  <c r="J131" i="105"/>
  <c r="L132" i="105"/>
  <c r="K132" i="105"/>
  <c r="J132" i="105"/>
  <c r="I132" i="105"/>
  <c r="I131" i="105"/>
  <c r="L130" i="105"/>
  <c r="J130" i="105"/>
  <c r="K130" i="105"/>
  <c r="I130" i="105"/>
  <c r="I125" i="105"/>
  <c r="I126" i="105"/>
  <c r="I127" i="105"/>
  <c r="L125" i="105"/>
  <c r="L126" i="105"/>
  <c r="L127" i="105"/>
  <c r="K125" i="105"/>
  <c r="K126" i="105"/>
  <c r="K127" i="105"/>
  <c r="J125" i="105"/>
  <c r="J126" i="105"/>
  <c r="J127" i="105"/>
  <c r="I120" i="105"/>
  <c r="L120" i="105"/>
  <c r="K120" i="105"/>
  <c r="J120" i="105"/>
  <c r="I113" i="105"/>
  <c r="I116" i="105"/>
  <c r="I117" i="105"/>
  <c r="I118" i="105"/>
  <c r="L113" i="105"/>
  <c r="L116" i="105"/>
  <c r="L117" i="105"/>
  <c r="L118" i="105"/>
  <c r="K113" i="105"/>
  <c r="K116" i="105"/>
  <c r="K117" i="105"/>
  <c r="K118" i="105"/>
  <c r="J113" i="105"/>
  <c r="J117" i="105"/>
  <c r="J116" i="105"/>
  <c r="J118" i="105"/>
  <c r="I108" i="105"/>
  <c r="I107" i="105"/>
  <c r="I110" i="105"/>
  <c r="I109" i="105"/>
  <c r="I111" i="105"/>
  <c r="L108" i="105"/>
  <c r="L107" i="105"/>
  <c r="L110" i="105"/>
  <c r="L109" i="105"/>
  <c r="L111" i="105"/>
  <c r="K107" i="105"/>
  <c r="K109" i="105"/>
  <c r="K108" i="105"/>
  <c r="K110" i="105"/>
  <c r="K111" i="105"/>
  <c r="J109" i="105"/>
  <c r="J110" i="105"/>
  <c r="J108" i="105"/>
  <c r="J107" i="105"/>
  <c r="J111" i="105"/>
  <c r="I99" i="105"/>
  <c r="I103" i="105"/>
  <c r="I102" i="105"/>
  <c r="I104" i="105"/>
  <c r="L99" i="105"/>
  <c r="L102" i="105"/>
  <c r="L103" i="105"/>
  <c r="L104" i="105"/>
  <c r="K99" i="105"/>
  <c r="K103" i="105"/>
  <c r="K102" i="105"/>
  <c r="K104" i="105"/>
  <c r="J99" i="105"/>
  <c r="J103" i="105"/>
  <c r="J102" i="105"/>
  <c r="J104" i="105"/>
  <c r="L94" i="105"/>
  <c r="L92" i="105"/>
  <c r="L96" i="105"/>
  <c r="L93" i="105"/>
  <c r="L95" i="105"/>
  <c r="L97" i="105"/>
  <c r="K93" i="105"/>
  <c r="K92" i="105"/>
  <c r="K96" i="105"/>
  <c r="K94" i="105"/>
  <c r="K95" i="105"/>
  <c r="K97" i="105"/>
  <c r="J96" i="105"/>
  <c r="J93" i="105"/>
  <c r="J92" i="105"/>
  <c r="J94" i="105"/>
  <c r="J95" i="105"/>
  <c r="J97" i="105"/>
  <c r="I93" i="105"/>
  <c r="I92" i="105"/>
  <c r="I94" i="105"/>
  <c r="I96" i="105"/>
  <c r="I95" i="105"/>
  <c r="I97" i="105"/>
  <c r="I11" i="105"/>
  <c r="I15" i="105" s="1"/>
  <c r="I85" i="105"/>
  <c r="I88" i="105"/>
  <c r="I86" i="105"/>
  <c r="I84" i="105"/>
  <c r="I81" i="105"/>
  <c r="I87" i="105"/>
  <c r="I89" i="105"/>
  <c r="L11" i="105"/>
  <c r="L15" i="105" s="1"/>
  <c r="L81" i="105"/>
  <c r="L84" i="105"/>
  <c r="L85" i="105"/>
  <c r="L86" i="105"/>
  <c r="L88" i="105"/>
  <c r="L87" i="105"/>
  <c r="L89" i="105"/>
  <c r="K11" i="105"/>
  <c r="K15" i="105" s="1"/>
  <c r="K88" i="105"/>
  <c r="K86" i="105"/>
  <c r="K85" i="105"/>
  <c r="K81" i="105"/>
  <c r="K84" i="105"/>
  <c r="K87" i="105"/>
  <c r="K89" i="105"/>
  <c r="J11" i="105"/>
  <c r="J15" i="105" s="1"/>
  <c r="J85" i="105"/>
  <c r="J81" i="105"/>
  <c r="J88" i="105"/>
  <c r="J86" i="105"/>
  <c r="J84" i="105"/>
  <c r="J87" i="105"/>
  <c r="J89" i="105"/>
  <c r="J129" i="153"/>
  <c r="J64" i="154"/>
  <c r="J129" i="154" s="1"/>
  <c r="I74" i="34" a="1"/>
  <c r="I74" i="34" s="1"/>
  <c r="I555" i="153"/>
  <c r="I556" i="153" s="1"/>
  <c r="I61" i="153"/>
  <c r="I552" i="153"/>
  <c r="AL618" i="154"/>
  <c r="AL64" i="154"/>
  <c r="AL129" i="154" s="1"/>
  <c r="I555" i="154"/>
  <c r="I61" i="154"/>
  <c r="AE618" i="154"/>
  <c r="AE64" i="154"/>
  <c r="AE129" i="154" s="1"/>
  <c r="AD129" i="154"/>
  <c r="K64" i="153"/>
  <c r="K129" i="153" s="1"/>
  <c r="AD129" i="153"/>
  <c r="K135" i="154"/>
  <c r="K140" i="154"/>
  <c r="K141" i="154"/>
  <c r="N140" i="153"/>
  <c r="P140" i="153" s="1"/>
  <c r="N135" i="153"/>
  <c r="P135" i="153" s="1"/>
  <c r="N141" i="153"/>
  <c r="P141" i="153" s="1"/>
  <c r="AH618" i="155"/>
  <c r="AH64" i="155"/>
  <c r="AH129" i="155" s="1"/>
  <c r="AM618" i="154"/>
  <c r="AM64" i="154"/>
  <c r="AM129" i="154" s="1"/>
  <c r="L135" i="155"/>
  <c r="L141" i="155"/>
  <c r="L140" i="155"/>
  <c r="M135" i="155"/>
  <c r="M140" i="155"/>
  <c r="M141" i="155"/>
  <c r="J64" i="155"/>
  <c r="J129" i="155" s="1"/>
  <c r="N140" i="155"/>
  <c r="P140" i="155" s="1"/>
  <c r="N135" i="155"/>
  <c r="P135" i="155" s="1"/>
  <c r="N141" i="155"/>
  <c r="P141" i="155" s="1"/>
  <c r="AD129" i="155"/>
  <c r="AN618" i="154"/>
  <c r="AN64" i="154"/>
  <c r="AN129" i="154" s="1"/>
  <c r="AK618" i="154"/>
  <c r="AK64" i="154"/>
  <c r="AK129" i="154" s="1"/>
  <c r="N141" i="154"/>
  <c r="P141" i="154" s="1"/>
  <c r="N135" i="154"/>
  <c r="P135" i="154" s="1"/>
  <c r="N140" i="154"/>
  <c r="P140" i="154" s="1"/>
  <c r="L141" i="154"/>
  <c r="L135" i="154"/>
  <c r="L140" i="154"/>
  <c r="K135" i="155"/>
  <c r="K140" i="155"/>
  <c r="K141" i="155"/>
  <c r="J141" i="155"/>
  <c r="J140" i="155"/>
  <c r="J135" i="155"/>
  <c r="M135" i="154"/>
  <c r="M140" i="154"/>
  <c r="M141" i="154"/>
  <c r="M140" i="153"/>
  <c r="M135" i="153"/>
  <c r="M141" i="153"/>
  <c r="AO618" i="154"/>
  <c r="AO64" i="154"/>
  <c r="AO129" i="154" s="1"/>
  <c r="AI618" i="154"/>
  <c r="AI64" i="154"/>
  <c r="AI129" i="154" s="1"/>
  <c r="J135" i="153"/>
  <c r="J141" i="153"/>
  <c r="J140" i="153"/>
  <c r="I555" i="155"/>
  <c r="I61" i="155"/>
  <c r="AJ618" i="155"/>
  <c r="AJ64" i="155"/>
  <c r="AJ129" i="155" s="1"/>
  <c r="AF618" i="155"/>
  <c r="AF64" i="155"/>
  <c r="AF129" i="155" s="1"/>
  <c r="K141" i="153"/>
  <c r="K135" i="153"/>
  <c r="K140" i="153"/>
  <c r="AL618" i="155"/>
  <c r="AL64" i="155"/>
  <c r="AL129" i="155" s="1"/>
  <c r="AG618" i="154"/>
  <c r="AG64" i="154"/>
  <c r="AG129" i="154" s="1"/>
  <c r="AF618" i="154"/>
  <c r="AF64" i="154"/>
  <c r="AF129" i="154" s="1"/>
  <c r="J141" i="154"/>
  <c r="J135" i="154"/>
  <c r="J140" i="154"/>
  <c r="L140" i="153"/>
  <c r="L135" i="153"/>
  <c r="L141" i="153"/>
  <c r="AI618" i="155"/>
  <c r="AI64" i="155"/>
  <c r="AI129" i="155" s="1"/>
  <c r="J74" i="34" a="1"/>
  <c r="J74" i="34" s="1"/>
  <c r="F74" i="34" a="1"/>
  <c r="F74" i="34" s="1"/>
  <c r="J533" i="99" a="1"/>
  <c r="J533" i="99" s="1"/>
  <c r="S533" i="99" s="1"/>
  <c r="S597" i="99" s="1"/>
  <c r="G74" i="34" a="1"/>
  <c r="G74" i="34" s="1"/>
  <c r="E35" i="294"/>
  <c r="K529" i="155"/>
  <c r="S229" i="155"/>
  <c r="AE618" i="155"/>
  <c r="AK618" i="155"/>
  <c r="AM618" i="155"/>
  <c r="AM618" i="153"/>
  <c r="AD618" i="155"/>
  <c r="AJ618" i="154"/>
  <c r="AH618" i="154"/>
  <c r="AG618" i="153"/>
  <c r="K618" i="155"/>
  <c r="AO618" i="155"/>
  <c r="J529" i="155"/>
  <c r="AN618" i="155"/>
  <c r="AG618" i="155"/>
  <c r="AU64" i="153"/>
  <c r="AU129" i="153" s="1"/>
  <c r="AZ64" i="154"/>
  <c r="AZ129" i="154" s="1"/>
  <c r="AT64" i="153"/>
  <c r="AT129" i="153" s="1"/>
  <c r="N108" i="105"/>
  <c r="AW64" i="154"/>
  <c r="AW129" i="154" s="1"/>
  <c r="AQ64" i="153"/>
  <c r="AQ129" i="153" s="1"/>
  <c r="BA64" i="155"/>
  <c r="BA129" i="155" s="1"/>
  <c r="N103" i="105"/>
  <c r="AR64" i="153"/>
  <c r="AR129" i="153" s="1"/>
  <c r="AT64" i="154"/>
  <c r="AT129" i="154" s="1"/>
  <c r="K618" i="154"/>
  <c r="AY64" i="154"/>
  <c r="AY129" i="154" s="1"/>
  <c r="N81" i="105"/>
  <c r="AR64" i="154"/>
  <c r="AR129" i="154" s="1"/>
  <c r="BA64" i="153"/>
  <c r="BA129" i="153" s="1"/>
  <c r="AZ64" i="153"/>
  <c r="AZ129" i="153" s="1"/>
  <c r="AY64" i="153"/>
  <c r="AY129" i="153" s="1"/>
  <c r="AD618" i="154"/>
  <c r="N94" i="105"/>
  <c r="N109" i="105"/>
  <c r="N96" i="105"/>
  <c r="AY64" i="155"/>
  <c r="AY129" i="155" s="1"/>
  <c r="AP64" i="153"/>
  <c r="AR64" i="155"/>
  <c r="AR129" i="155" s="1"/>
  <c r="N93" i="105"/>
  <c r="N117" i="105"/>
  <c r="N110" i="105"/>
  <c r="AW64" i="153"/>
  <c r="AW129" i="153" s="1"/>
  <c r="AP64" i="155"/>
  <c r="AV64" i="153"/>
  <c r="AV129" i="153" s="1"/>
  <c r="AS64" i="153"/>
  <c r="AS129" i="153" s="1"/>
  <c r="N107" i="105"/>
  <c r="R135" i="103"/>
  <c r="R135" i="104"/>
  <c r="R135" i="99"/>
  <c r="S135" i="104"/>
  <c r="S135" i="103"/>
  <c r="N64" i="105"/>
  <c r="I30" i="151" s="1"/>
  <c r="I59" i="103"/>
  <c r="I559" i="99" a="1"/>
  <c r="I559" i="99" s="1"/>
  <c r="I555" i="99"/>
  <c r="K529" i="154"/>
  <c r="J518" i="154"/>
  <c r="J529" i="154"/>
  <c r="J529" i="153"/>
  <c r="I559" i="153" a="1"/>
  <c r="I559" i="153" s="1"/>
  <c r="I559" i="154" a="1"/>
  <c r="I559" i="154" s="1"/>
  <c r="I559" i="155" a="1"/>
  <c r="I559" i="155" s="1"/>
  <c r="N74" i="105"/>
  <c r="I38" i="151" s="1"/>
  <c r="M512" i="153"/>
  <c r="M515" i="153" s="1"/>
  <c r="M517" i="153" s="1"/>
  <c r="M518" i="153" s="1"/>
  <c r="K529" i="153"/>
  <c r="K518" i="153"/>
  <c r="L529" i="154"/>
  <c r="N52" i="105"/>
  <c r="L529" i="153"/>
  <c r="I149" i="103"/>
  <c r="N26" i="105"/>
  <c r="I147" i="103"/>
  <c r="N23" i="105"/>
  <c r="I34" i="103"/>
  <c r="I36" i="103" s="1"/>
  <c r="I37" i="103" s="1"/>
  <c r="N31" i="105"/>
  <c r="I25" i="103"/>
  <c r="I27" i="103" s="1"/>
  <c r="I146" i="103"/>
  <c r="N22" i="105"/>
  <c r="I45" i="103"/>
  <c r="N43" i="105"/>
  <c r="I52" i="103"/>
  <c r="N57" i="105"/>
  <c r="I148" i="103"/>
  <c r="N24" i="105"/>
  <c r="L529" i="155"/>
  <c r="M524" i="155"/>
  <c r="M526" i="155" s="1"/>
  <c r="M527" i="155" s="1"/>
  <c r="N521" i="155" a="1"/>
  <c r="N521" i="155" s="1"/>
  <c r="N521" i="154" a="1"/>
  <c r="N521" i="154" s="1"/>
  <c r="M524" i="154"/>
  <c r="M526" i="154" s="1"/>
  <c r="M527" i="154" s="1"/>
  <c r="N521" i="153" a="1"/>
  <c r="N521" i="153" s="1"/>
  <c r="M524" i="153"/>
  <c r="M526" i="153" s="1"/>
  <c r="M527" i="153" s="1"/>
  <c r="P509" i="153"/>
  <c r="N512" i="153"/>
  <c r="M518" i="154"/>
  <c r="P509" i="154"/>
  <c r="N512" i="154"/>
  <c r="M518" i="155"/>
  <c r="P509" i="155"/>
  <c r="N512" i="155"/>
  <c r="M524" i="99"/>
  <c r="M526" i="99" s="1"/>
  <c r="M527" i="99" s="1"/>
  <c r="N521" i="99" a="1"/>
  <c r="N521" i="99" s="1"/>
  <c r="N524" i="99" s="1"/>
  <c r="N526" i="99" s="1"/>
  <c r="N527" i="99" s="1"/>
  <c r="T523" i="99"/>
  <c r="T587" i="99" s="1"/>
  <c r="J587" i="99"/>
  <c r="S523" i="99"/>
  <c r="S587" i="99" s="1"/>
  <c r="R523" i="99"/>
  <c r="R587" i="99" s="1"/>
  <c r="S525" i="99"/>
  <c r="S589" i="99" s="1"/>
  <c r="T525" i="99"/>
  <c r="T589" i="99" s="1"/>
  <c r="R525" i="99"/>
  <c r="R589" i="99" s="1"/>
  <c r="J589" i="99"/>
  <c r="R521" i="99"/>
  <c r="J585" i="99"/>
  <c r="T521" i="99"/>
  <c r="S521" i="99"/>
  <c r="S522" i="99"/>
  <c r="S586" i="99" s="1"/>
  <c r="R522" i="99"/>
  <c r="R586" i="99" s="1"/>
  <c r="J586" i="99"/>
  <c r="T522" i="99"/>
  <c r="T586" i="99" s="1"/>
  <c r="I93" i="103"/>
  <c r="I102" i="103"/>
  <c r="V513" i="99"/>
  <c r="V577" i="99" s="1"/>
  <c r="I105" i="103"/>
  <c r="V533" i="155"/>
  <c r="J597" i="155"/>
  <c r="R533" i="155"/>
  <c r="AC533" i="155"/>
  <c r="T533" i="155"/>
  <c r="Y533" i="155"/>
  <c r="Z533" i="155"/>
  <c r="S533" i="155"/>
  <c r="X597" i="155"/>
  <c r="X535" i="155"/>
  <c r="X599" i="155" s="1"/>
  <c r="U533" i="155"/>
  <c r="AA533" i="155"/>
  <c r="W533" i="155"/>
  <c r="K533" i="155" a="1"/>
  <c r="K533" i="155" s="1"/>
  <c r="E125" i="34"/>
  <c r="J161" i="104" a="1"/>
  <c r="J161" i="104" s="1"/>
  <c r="K161" i="104" s="1"/>
  <c r="W500" i="99"/>
  <c r="W484" i="99" s="1"/>
  <c r="W492" i="99" s="1"/>
  <c r="J535" i="155"/>
  <c r="J599" i="155" s="1"/>
  <c r="AB533" i="155"/>
  <c r="W229" i="155"/>
  <c r="S141" i="103"/>
  <c r="S76" i="103" s="1"/>
  <c r="S140" i="103"/>
  <c r="S141" i="104"/>
  <c r="S140" i="104"/>
  <c r="I129" i="103"/>
  <c r="I129" i="104"/>
  <c r="R141" i="103"/>
  <c r="R76" i="103" s="1"/>
  <c r="R140" i="103"/>
  <c r="R141" i="104"/>
  <c r="R140" i="104"/>
  <c r="I133" i="103"/>
  <c r="I133" i="104"/>
  <c r="S140" i="99"/>
  <c r="S442" i="155"/>
  <c r="S439" i="155"/>
  <c r="S443" i="155"/>
  <c r="S440" i="155"/>
  <c r="S444" i="155"/>
  <c r="S441" i="155"/>
  <c r="Z440" i="153"/>
  <c r="Z444" i="153"/>
  <c r="Z441" i="153"/>
  <c r="Z443" i="153"/>
  <c r="Z439" i="153"/>
  <c r="Z442" i="153"/>
  <c r="AA442" i="155"/>
  <c r="AA443" i="155"/>
  <c r="AA439" i="155"/>
  <c r="AA441" i="155"/>
  <c r="AA444" i="155"/>
  <c r="AA440" i="155"/>
  <c r="Y440" i="153"/>
  <c r="Y442" i="153"/>
  <c r="Y441" i="153"/>
  <c r="Y439" i="153"/>
  <c r="Y444" i="153"/>
  <c r="Y443" i="153"/>
  <c r="Z442" i="155"/>
  <c r="Z440" i="155"/>
  <c r="Z444" i="155"/>
  <c r="Z443" i="155"/>
  <c r="Z439" i="155"/>
  <c r="Z441" i="155"/>
  <c r="X439" i="153"/>
  <c r="X442" i="153"/>
  <c r="X443" i="153"/>
  <c r="X444" i="153"/>
  <c r="X441" i="153"/>
  <c r="X440" i="153"/>
  <c r="Y444" i="155"/>
  <c r="Y440" i="155"/>
  <c r="Y443" i="155"/>
  <c r="Y441" i="155"/>
  <c r="Y439" i="155"/>
  <c r="Y442" i="155"/>
  <c r="AO558" i="153"/>
  <c r="AO622" i="153" s="1"/>
  <c r="AE558" i="153"/>
  <c r="AE622" i="153" s="1"/>
  <c r="AF558" i="153"/>
  <c r="AF622" i="153" s="1"/>
  <c r="AG558" i="153"/>
  <c r="AG622" i="153" s="1"/>
  <c r="AH558" i="153"/>
  <c r="AH622" i="153" s="1"/>
  <c r="AI558" i="153"/>
  <c r="AI622" i="153" s="1"/>
  <c r="AJ558" i="153"/>
  <c r="AJ622" i="153" s="1"/>
  <c r="AK558" i="153"/>
  <c r="AK622" i="153" s="1"/>
  <c r="L558" i="153"/>
  <c r="AL558" i="153"/>
  <c r="AL622" i="153" s="1"/>
  <c r="AM558" i="153"/>
  <c r="AM622" i="153" s="1"/>
  <c r="AN558" i="153"/>
  <c r="AN622" i="153" s="1"/>
  <c r="K622" i="153"/>
  <c r="AD558" i="153"/>
  <c r="AD622" i="153" s="1"/>
  <c r="X441" i="155"/>
  <c r="X442" i="155"/>
  <c r="X439" i="155"/>
  <c r="X444" i="155"/>
  <c r="X440" i="155"/>
  <c r="X443" i="155"/>
  <c r="U440" i="153"/>
  <c r="U443" i="153"/>
  <c r="U439" i="153"/>
  <c r="U442" i="153"/>
  <c r="U441" i="153"/>
  <c r="U444" i="153"/>
  <c r="S442" i="153"/>
  <c r="S439" i="153"/>
  <c r="S443" i="153"/>
  <c r="S444" i="153"/>
  <c r="S441" i="153"/>
  <c r="S440" i="153"/>
  <c r="Z443" i="154"/>
  <c r="Z439" i="154"/>
  <c r="Z441" i="154"/>
  <c r="Z444" i="154"/>
  <c r="Z440" i="154"/>
  <c r="Z442" i="154"/>
  <c r="W442" i="153"/>
  <c r="W443" i="153"/>
  <c r="W444" i="153"/>
  <c r="W439" i="153"/>
  <c r="W441" i="153"/>
  <c r="W440" i="153"/>
  <c r="AB442" i="154"/>
  <c r="AB444" i="154"/>
  <c r="AB441" i="154"/>
  <c r="AB439" i="154"/>
  <c r="AB440" i="154"/>
  <c r="AB443" i="154"/>
  <c r="V441" i="153"/>
  <c r="V439" i="153"/>
  <c r="V443" i="153"/>
  <c r="V444" i="153"/>
  <c r="V442" i="153"/>
  <c r="V440" i="153"/>
  <c r="Y440" i="154"/>
  <c r="Y442" i="154"/>
  <c r="Y443" i="154"/>
  <c r="Y439" i="154"/>
  <c r="Y441" i="154"/>
  <c r="Y444" i="154"/>
  <c r="J597" i="153"/>
  <c r="S533" i="153"/>
  <c r="T533" i="153"/>
  <c r="K533" i="153" a="1"/>
  <c r="K533" i="153" s="1"/>
  <c r="U533" i="153"/>
  <c r="V533" i="153"/>
  <c r="W533" i="153"/>
  <c r="X533" i="153"/>
  <c r="Y533" i="153"/>
  <c r="Z533" i="153"/>
  <c r="AA533" i="153"/>
  <c r="AB533" i="153"/>
  <c r="AC533" i="153"/>
  <c r="J535" i="153"/>
  <c r="J599" i="153" s="1"/>
  <c r="R533" i="153"/>
  <c r="R439" i="153"/>
  <c r="R444" i="153"/>
  <c r="R443" i="153"/>
  <c r="R440" i="153"/>
  <c r="R441" i="153"/>
  <c r="R442" i="153"/>
  <c r="X442" i="154"/>
  <c r="X440" i="154"/>
  <c r="X439" i="154"/>
  <c r="X444" i="154"/>
  <c r="X441" i="154"/>
  <c r="X443" i="154"/>
  <c r="W440" i="154"/>
  <c r="W444" i="154"/>
  <c r="W442" i="154"/>
  <c r="W443" i="154"/>
  <c r="W441" i="154"/>
  <c r="W439" i="154"/>
  <c r="W444" i="155"/>
  <c r="W439" i="155"/>
  <c r="W441" i="155"/>
  <c r="W443" i="155"/>
  <c r="W442" i="155"/>
  <c r="W440" i="155"/>
  <c r="U439" i="154"/>
  <c r="U444" i="154"/>
  <c r="U442" i="154"/>
  <c r="U440" i="154"/>
  <c r="U443" i="154"/>
  <c r="U441" i="154"/>
  <c r="V439" i="155"/>
  <c r="V440" i="155"/>
  <c r="V441" i="155"/>
  <c r="V443" i="155"/>
  <c r="V444" i="155"/>
  <c r="V442" i="155"/>
  <c r="V439" i="154"/>
  <c r="V440" i="154"/>
  <c r="V442" i="154"/>
  <c r="V441" i="154"/>
  <c r="V444" i="154"/>
  <c r="V443" i="154"/>
  <c r="U440" i="155"/>
  <c r="U444" i="155"/>
  <c r="U442" i="155"/>
  <c r="U441" i="155"/>
  <c r="U439" i="155"/>
  <c r="U443" i="155"/>
  <c r="T441" i="154"/>
  <c r="T442" i="154"/>
  <c r="T439" i="154"/>
  <c r="T444" i="154"/>
  <c r="T443" i="154"/>
  <c r="T440" i="154"/>
  <c r="R444" i="155"/>
  <c r="R439" i="155"/>
  <c r="R441" i="155"/>
  <c r="R443" i="155"/>
  <c r="R440" i="155"/>
  <c r="R442" i="155"/>
  <c r="AC443" i="154"/>
  <c r="AC441" i="154"/>
  <c r="AC444" i="154"/>
  <c r="AC442" i="154"/>
  <c r="AC439" i="154"/>
  <c r="AC440" i="154"/>
  <c r="T439" i="155"/>
  <c r="T443" i="155"/>
  <c r="T441" i="155"/>
  <c r="T440" i="155"/>
  <c r="T442" i="155"/>
  <c r="T444" i="155"/>
  <c r="S439" i="154"/>
  <c r="S443" i="154"/>
  <c r="S442" i="154"/>
  <c r="S441" i="154"/>
  <c r="S444" i="154"/>
  <c r="S440" i="154"/>
  <c r="AL558" i="155"/>
  <c r="AL622" i="155" s="1"/>
  <c r="AG558" i="155"/>
  <c r="AG622" i="155" s="1"/>
  <c r="AH558" i="155"/>
  <c r="AH622" i="155" s="1"/>
  <c r="AI558" i="155"/>
  <c r="AI622" i="155" s="1"/>
  <c r="K622" i="155"/>
  <c r="L558" i="155"/>
  <c r="AJ558" i="155"/>
  <c r="AJ622" i="155" s="1"/>
  <c r="AK558" i="155"/>
  <c r="AK622" i="155" s="1"/>
  <c r="AD558" i="155"/>
  <c r="AD622" i="155" s="1"/>
  <c r="AM558" i="155"/>
  <c r="AM622" i="155" s="1"/>
  <c r="AE558" i="155"/>
  <c r="AE622" i="155" s="1"/>
  <c r="AN558" i="155"/>
  <c r="AN622" i="155" s="1"/>
  <c r="AF558" i="155"/>
  <c r="AF622" i="155" s="1"/>
  <c r="AO558" i="155"/>
  <c r="AO622" i="155" s="1"/>
  <c r="T441" i="153"/>
  <c r="T440" i="153"/>
  <c r="T444" i="153"/>
  <c r="T439" i="153"/>
  <c r="T442" i="153"/>
  <c r="T443" i="153"/>
  <c r="AH558" i="154"/>
  <c r="AH622" i="154" s="1"/>
  <c r="AL558" i="154"/>
  <c r="AL622" i="154" s="1"/>
  <c r="AM558" i="154"/>
  <c r="AM622" i="154" s="1"/>
  <c r="AD558" i="154"/>
  <c r="AD622" i="154" s="1"/>
  <c r="AE558" i="154"/>
  <c r="AE622" i="154" s="1"/>
  <c r="AF558" i="154"/>
  <c r="AF622" i="154" s="1"/>
  <c r="AG558" i="154"/>
  <c r="AG622" i="154" s="1"/>
  <c r="AI558" i="154"/>
  <c r="AI622" i="154" s="1"/>
  <c r="AJ558" i="154"/>
  <c r="AJ622" i="154" s="1"/>
  <c r="AK558" i="154"/>
  <c r="AK622" i="154" s="1"/>
  <c r="AN558" i="154"/>
  <c r="AN622" i="154" s="1"/>
  <c r="AO558" i="154"/>
  <c r="AO622" i="154" s="1"/>
  <c r="L558" i="154"/>
  <c r="K622" i="154"/>
  <c r="AC444" i="153"/>
  <c r="AC442" i="153"/>
  <c r="AC441" i="153"/>
  <c r="AC439" i="153"/>
  <c r="AC440" i="153"/>
  <c r="AC443" i="153"/>
  <c r="V533" i="154"/>
  <c r="X533" i="154"/>
  <c r="Y533" i="154"/>
  <c r="W533" i="154"/>
  <c r="J535" i="154"/>
  <c r="J599" i="154" s="1"/>
  <c r="Z533" i="154"/>
  <c r="AA533" i="154"/>
  <c r="AB533" i="154"/>
  <c r="AC533" i="154"/>
  <c r="K533" i="154" a="1"/>
  <c r="K533" i="154" s="1"/>
  <c r="R533" i="154"/>
  <c r="J597" i="154"/>
  <c r="S533" i="154"/>
  <c r="U533" i="154"/>
  <c r="T533" i="154"/>
  <c r="AC443" i="155"/>
  <c r="AC444" i="155"/>
  <c r="AC439" i="155"/>
  <c r="AC440" i="155"/>
  <c r="AC442" i="155"/>
  <c r="AC441" i="155"/>
  <c r="AB442" i="153"/>
  <c r="AB444" i="153"/>
  <c r="AB441" i="153"/>
  <c r="AB443" i="153"/>
  <c r="AB440" i="153"/>
  <c r="AB439" i="153"/>
  <c r="AA439" i="154"/>
  <c r="AA442" i="154"/>
  <c r="AA441" i="154"/>
  <c r="AA443" i="154"/>
  <c r="AA444" i="154"/>
  <c r="AA440" i="154"/>
  <c r="AB443" i="155"/>
  <c r="AB444" i="155"/>
  <c r="AB441" i="155"/>
  <c r="AB440" i="155"/>
  <c r="AB442" i="155"/>
  <c r="AB439" i="155"/>
  <c r="AA443" i="153"/>
  <c r="AA440" i="153"/>
  <c r="AA442" i="153"/>
  <c r="AA439" i="153"/>
  <c r="AA441" i="153"/>
  <c r="AA444" i="153"/>
  <c r="R442" i="154"/>
  <c r="R441" i="154"/>
  <c r="R439" i="154"/>
  <c r="R444" i="154"/>
  <c r="R443" i="154"/>
  <c r="R440" i="154"/>
  <c r="X228" i="155"/>
  <c r="AF512" i="154"/>
  <c r="AF576" i="154" s="1"/>
  <c r="W228" i="155"/>
  <c r="Z229" i="155"/>
  <c r="T229" i="155"/>
  <c r="X229" i="155"/>
  <c r="U228" i="155"/>
  <c r="AB230" i="153"/>
  <c r="R229" i="155"/>
  <c r="Y228" i="155"/>
  <c r="S229" i="153"/>
  <c r="V230" i="155"/>
  <c r="AC230" i="153"/>
  <c r="Y230" i="153"/>
  <c r="U229" i="155"/>
  <c r="AB228" i="154"/>
  <c r="AD232" i="153"/>
  <c r="T515" i="153"/>
  <c r="T517" i="153" s="1"/>
  <c r="AH512" i="154"/>
  <c r="AH576" i="154" s="1"/>
  <c r="AA230" i="153"/>
  <c r="Z230" i="153"/>
  <c r="W230" i="153"/>
  <c r="W515" i="155"/>
  <c r="W517" i="155" s="1"/>
  <c r="AG512" i="154"/>
  <c r="AG576" i="154" s="1"/>
  <c r="X230" i="153"/>
  <c r="S230" i="153"/>
  <c r="AB229" i="155"/>
  <c r="AE512" i="154"/>
  <c r="AE576" i="154" s="1"/>
  <c r="AA229" i="155"/>
  <c r="U230" i="155"/>
  <c r="V228" i="155"/>
  <c r="U129" i="99"/>
  <c r="AX64" i="154"/>
  <c r="AX129" i="154" s="1"/>
  <c r="AW64" i="155"/>
  <c r="AW129" i="155" s="1"/>
  <c r="AX64" i="153"/>
  <c r="AX129" i="153" s="1"/>
  <c r="R229" i="153"/>
  <c r="T129" i="99"/>
  <c r="AS64" i="154"/>
  <c r="AS129" i="154" s="1"/>
  <c r="U229" i="153"/>
  <c r="AP64" i="154"/>
  <c r="X515" i="155"/>
  <c r="X517" i="155" s="1"/>
  <c r="T230" i="155"/>
  <c r="AC229" i="155"/>
  <c r="AC230" i="155"/>
  <c r="AF233" i="154"/>
  <c r="U515" i="153"/>
  <c r="U579" i="153" s="1"/>
  <c r="U228" i="154"/>
  <c r="W576" i="155"/>
  <c r="AH232" i="153"/>
  <c r="AL512" i="153"/>
  <c r="AL576" i="153" s="1"/>
  <c r="S515" i="155"/>
  <c r="S517" i="155" s="1"/>
  <c r="AA228" i="155"/>
  <c r="AB228" i="155"/>
  <c r="AJ512" i="153"/>
  <c r="AJ576" i="153" s="1"/>
  <c r="V515" i="153"/>
  <c r="V579" i="153" s="1"/>
  <c r="Y229" i="155"/>
  <c r="AK232" i="153"/>
  <c r="AO512" i="154"/>
  <c r="AO576" i="154" s="1"/>
  <c r="AI512" i="153"/>
  <c r="AI576" i="153" s="1"/>
  <c r="W230" i="155"/>
  <c r="U515" i="155"/>
  <c r="U579" i="155" s="1"/>
  <c r="AM512" i="154"/>
  <c r="AM576" i="154" s="1"/>
  <c r="AL512" i="154"/>
  <c r="AL576" i="154" s="1"/>
  <c r="AF512" i="153"/>
  <c r="AF576" i="153" s="1"/>
  <c r="R230" i="155"/>
  <c r="S230" i="155"/>
  <c r="AM512" i="153"/>
  <c r="AM576" i="153" s="1"/>
  <c r="AK512" i="154"/>
  <c r="AK576" i="154" s="1"/>
  <c r="AE512" i="153"/>
  <c r="AE576" i="153" s="1"/>
  <c r="AH512" i="153"/>
  <c r="AH576" i="153" s="1"/>
  <c r="AJ512" i="154"/>
  <c r="AJ576" i="154" s="1"/>
  <c r="AH233" i="154"/>
  <c r="AC228" i="154"/>
  <c r="AF232" i="153"/>
  <c r="AK512" i="153"/>
  <c r="AK576" i="153" s="1"/>
  <c r="V228" i="154"/>
  <c r="X229" i="153"/>
  <c r="AE233" i="155"/>
  <c r="AD512" i="153"/>
  <c r="AD576" i="153" s="1"/>
  <c r="AO233" i="154"/>
  <c r="R230" i="153"/>
  <c r="AN233" i="154"/>
  <c r="V230" i="153"/>
  <c r="AO232" i="153"/>
  <c r="U576" i="153"/>
  <c r="V229" i="155"/>
  <c r="R228" i="154"/>
  <c r="AL233" i="154"/>
  <c r="Z228" i="155"/>
  <c r="AN232" i="153"/>
  <c r="AD233" i="155"/>
  <c r="AK233" i="154"/>
  <c r="AM232" i="153"/>
  <c r="AC228" i="155"/>
  <c r="X230" i="155"/>
  <c r="AK234" i="155"/>
  <c r="AJ233" i="154"/>
  <c r="AL232" i="153"/>
  <c r="AC515" i="155"/>
  <c r="AC579" i="155" s="1"/>
  <c r="T408" i="154"/>
  <c r="T58" i="154" s="1"/>
  <c r="T123" i="154" s="1"/>
  <c r="AD512" i="154"/>
  <c r="AD576" i="154" s="1"/>
  <c r="AA230" i="155"/>
  <c r="Z515" i="153"/>
  <c r="Z517" i="153" s="1"/>
  <c r="AJ232" i="153"/>
  <c r="AF234" i="155"/>
  <c r="AO233" i="155"/>
  <c r="AG232" i="153"/>
  <c r="AO512" i="153"/>
  <c r="AO576" i="153" s="1"/>
  <c r="AD233" i="154"/>
  <c r="AE232" i="153"/>
  <c r="Y515" i="155"/>
  <c r="Y579" i="155" s="1"/>
  <c r="AN512" i="154"/>
  <c r="AN576" i="154" s="1"/>
  <c r="W229" i="153"/>
  <c r="AI233" i="155"/>
  <c r="AH233" i="155"/>
  <c r="T228" i="154"/>
  <c r="AI512" i="154"/>
  <c r="AI576" i="154" s="1"/>
  <c r="AG512" i="153"/>
  <c r="AG576" i="153" s="1"/>
  <c r="Z230" i="154"/>
  <c r="R380" i="155"/>
  <c r="R50" i="155" s="1"/>
  <c r="AK512" i="155"/>
  <c r="AK576" i="155" s="1"/>
  <c r="X228" i="154"/>
  <c r="Y230" i="154"/>
  <c r="AB388" i="155"/>
  <c r="AB51" i="155" s="1"/>
  <c r="AB116" i="155" s="1"/>
  <c r="AI512" i="155"/>
  <c r="W230" i="154"/>
  <c r="AA372" i="154"/>
  <c r="AA49" i="154" s="1"/>
  <c r="AA114" i="154" s="1"/>
  <c r="W352" i="154"/>
  <c r="W44" i="154" s="1"/>
  <c r="W109" i="154" s="1"/>
  <c r="AG233" i="155"/>
  <c r="V352" i="153"/>
  <c r="V44" i="153" s="1"/>
  <c r="V109" i="153" s="1"/>
  <c r="V380" i="154"/>
  <c r="V50" i="154" s="1"/>
  <c r="V115" i="154" s="1"/>
  <c r="AE232" i="154"/>
  <c r="T372" i="153"/>
  <c r="T49" i="153" s="1"/>
  <c r="T114" i="153" s="1"/>
  <c r="S228" i="154"/>
  <c r="V408" i="154"/>
  <c r="V58" i="154" s="1"/>
  <c r="V123" i="154" s="1"/>
  <c r="AA229" i="154"/>
  <c r="I119" i="103"/>
  <c r="Y229" i="153"/>
  <c r="AN234" i="155"/>
  <c r="AL234" i="155"/>
  <c r="AJ234" i="155"/>
  <c r="AI233" i="154"/>
  <c r="Y372" i="154"/>
  <c r="Y49" i="154" s="1"/>
  <c r="Y114" i="154" s="1"/>
  <c r="W380" i="153"/>
  <c r="W50" i="153" s="1"/>
  <c r="W115" i="153" s="1"/>
  <c r="S352" i="155"/>
  <c r="S44" i="155" s="1"/>
  <c r="S109" i="155" s="1"/>
  <c r="T352" i="155"/>
  <c r="T44" i="155" s="1"/>
  <c r="T109" i="155" s="1"/>
  <c r="AG233" i="154"/>
  <c r="AI232" i="153"/>
  <c r="Y380" i="153"/>
  <c r="Y50" i="153" s="1"/>
  <c r="Y115" i="153" s="1"/>
  <c r="W388" i="154"/>
  <c r="W51" i="154" s="1"/>
  <c r="W116" i="154" s="1"/>
  <c r="AA380" i="155"/>
  <c r="AA50" i="155" s="1"/>
  <c r="AA115" i="155" s="1"/>
  <c r="AA352" i="153"/>
  <c r="AA44" i="153" s="1"/>
  <c r="AA109" i="153" s="1"/>
  <c r="AN512" i="155"/>
  <c r="AN576" i="155" s="1"/>
  <c r="AM232" i="154"/>
  <c r="AM233" i="155"/>
  <c r="R388" i="153"/>
  <c r="R51" i="153" s="1"/>
  <c r="Y388" i="154"/>
  <c r="Y51" i="154" s="1"/>
  <c r="Y116" i="154" s="1"/>
  <c r="R352" i="153"/>
  <c r="R44" i="153" s="1"/>
  <c r="AJ375" i="155"/>
  <c r="AJ374" i="155"/>
  <c r="AJ377" i="155"/>
  <c r="AJ379" i="155"/>
  <c r="AJ378" i="155"/>
  <c r="AJ376" i="155"/>
  <c r="AF405" i="155"/>
  <c r="AF404" i="155"/>
  <c r="AF403" i="155"/>
  <c r="AF402" i="155"/>
  <c r="AF406" i="155"/>
  <c r="AF407" i="155"/>
  <c r="AH232" i="154"/>
  <c r="X588" i="154"/>
  <c r="X526" i="154"/>
  <c r="X352" i="155"/>
  <c r="X44" i="155" s="1"/>
  <c r="X109" i="155" s="1"/>
  <c r="AD404" i="153"/>
  <c r="AD402" i="153"/>
  <c r="AD407" i="153"/>
  <c r="AD406" i="153"/>
  <c r="AD403" i="153"/>
  <c r="AD405" i="153"/>
  <c r="T606" i="154"/>
  <c r="AM542" i="153"/>
  <c r="AM602" i="153"/>
  <c r="AG367" i="155"/>
  <c r="AG368" i="155"/>
  <c r="AG369" i="155"/>
  <c r="AG370" i="155"/>
  <c r="AG366" i="155"/>
  <c r="AG371" i="155"/>
  <c r="L604" i="154"/>
  <c r="M540" i="154"/>
  <c r="AP540" i="154"/>
  <c r="AP604" i="154" s="1"/>
  <c r="AQ540" i="154"/>
  <c r="AQ604" i="154" s="1"/>
  <c r="AR540" i="154"/>
  <c r="AR604" i="154" s="1"/>
  <c r="AS540" i="154"/>
  <c r="AS604" i="154" s="1"/>
  <c r="AT540" i="154"/>
  <c r="AT604" i="154" s="1"/>
  <c r="AU540" i="154"/>
  <c r="AU604" i="154" s="1"/>
  <c r="AV540" i="154"/>
  <c r="AV604" i="154" s="1"/>
  <c r="AW540" i="154"/>
  <c r="AW604" i="154" s="1"/>
  <c r="AX540" i="154"/>
  <c r="AX604" i="154" s="1"/>
  <c r="AY540" i="154"/>
  <c r="AY604" i="154" s="1"/>
  <c r="AZ540" i="154"/>
  <c r="AZ604" i="154" s="1"/>
  <c r="BA540" i="154"/>
  <c r="BA604" i="154" s="1"/>
  <c r="AF549" i="155"/>
  <c r="AF613" i="155" s="1"/>
  <c r="AF611" i="155"/>
  <c r="AG233" i="153"/>
  <c r="W363" i="154"/>
  <c r="W362" i="154"/>
  <c r="W358" i="154"/>
  <c r="W359" i="154"/>
  <c r="W360" i="154"/>
  <c r="W361" i="154"/>
  <c r="AG367" i="153"/>
  <c r="AG370" i="153"/>
  <c r="AG371" i="153"/>
  <c r="AG368" i="153"/>
  <c r="AG366" i="153"/>
  <c r="AG369" i="153"/>
  <c r="AC606" i="155"/>
  <c r="AN524" i="155"/>
  <c r="AN585" i="155"/>
  <c r="W396" i="155"/>
  <c r="W399" i="155"/>
  <c r="W394" i="155"/>
  <c r="W398" i="155"/>
  <c r="W397" i="155"/>
  <c r="W395" i="155"/>
  <c r="S228" i="153"/>
  <c r="AH347" i="154"/>
  <c r="AH346" i="154"/>
  <c r="AH351" i="154"/>
  <c r="AH348" i="154"/>
  <c r="AH349" i="154"/>
  <c r="AH350" i="154"/>
  <c r="AA362" i="154"/>
  <c r="AA359" i="154"/>
  <c r="AA363" i="154"/>
  <c r="AA361" i="154"/>
  <c r="AA360" i="154"/>
  <c r="AA358" i="154"/>
  <c r="AO234" i="154"/>
  <c r="Y380" i="154"/>
  <c r="Y50" i="154" s="1"/>
  <c r="Y115" i="154" s="1"/>
  <c r="Z396" i="153"/>
  <c r="Z399" i="153"/>
  <c r="Z398" i="153"/>
  <c r="Z395" i="153"/>
  <c r="Z394" i="153"/>
  <c r="Z397" i="153"/>
  <c r="AK375" i="153"/>
  <c r="AK374" i="153"/>
  <c r="AK376" i="153"/>
  <c r="AK377" i="153"/>
  <c r="AK379" i="153"/>
  <c r="AK378" i="153"/>
  <c r="AD602" i="155"/>
  <c r="AD542" i="155"/>
  <c r="AL585" i="154"/>
  <c r="AL524" i="154"/>
  <c r="U230" i="154"/>
  <c r="AC606" i="153"/>
  <c r="AG351" i="153"/>
  <c r="AG348" i="153"/>
  <c r="AG346" i="153"/>
  <c r="AG347" i="153"/>
  <c r="AG349" i="153"/>
  <c r="AG350" i="153"/>
  <c r="K577" i="154"/>
  <c r="AD513" i="154"/>
  <c r="AD577" i="154" s="1"/>
  <c r="AE513" i="154"/>
  <c r="AE577" i="154" s="1"/>
  <c r="AF513" i="154"/>
  <c r="AF577" i="154" s="1"/>
  <c r="AG513" i="154"/>
  <c r="AG577" i="154" s="1"/>
  <c r="AH513" i="154"/>
  <c r="AH577" i="154" s="1"/>
  <c r="AI513" i="154"/>
  <c r="AI577" i="154" s="1"/>
  <c r="AJ513" i="154"/>
  <c r="AJ577" i="154" s="1"/>
  <c r="AK513" i="154"/>
  <c r="AK577" i="154" s="1"/>
  <c r="AL513" i="154"/>
  <c r="AL577" i="154" s="1"/>
  <c r="AM513" i="154"/>
  <c r="AM577" i="154" s="1"/>
  <c r="AN513" i="154"/>
  <c r="AN577" i="154" s="1"/>
  <c r="AO513" i="154"/>
  <c r="AO577" i="154" s="1"/>
  <c r="AO350" i="155"/>
  <c r="AO347" i="155"/>
  <c r="AO346" i="155"/>
  <c r="AO348" i="155"/>
  <c r="AO351" i="155"/>
  <c r="AO349" i="155"/>
  <c r="AI376" i="155"/>
  <c r="AI379" i="155"/>
  <c r="AI378" i="155"/>
  <c r="AI374" i="155"/>
  <c r="AI375" i="155"/>
  <c r="AI377" i="155"/>
  <c r="AJ378" i="153"/>
  <c r="AJ375" i="153"/>
  <c r="AJ377" i="153"/>
  <c r="AJ374" i="153"/>
  <c r="AJ379" i="153"/>
  <c r="AJ376" i="153"/>
  <c r="K606" i="155"/>
  <c r="V229" i="153"/>
  <c r="AK585" i="154"/>
  <c r="AK524" i="154"/>
  <c r="T230" i="154"/>
  <c r="U526" i="154"/>
  <c r="U588" i="154"/>
  <c r="AE407" i="155"/>
  <c r="AE406" i="155"/>
  <c r="AE403" i="155"/>
  <c r="AE405" i="155"/>
  <c r="AE404" i="155"/>
  <c r="AE402" i="155"/>
  <c r="AA588" i="153"/>
  <c r="AA526" i="153"/>
  <c r="AG232" i="154"/>
  <c r="V606" i="155"/>
  <c r="S398" i="155"/>
  <c r="S394" i="155"/>
  <c r="S399" i="155"/>
  <c r="S397" i="155"/>
  <c r="S395" i="155"/>
  <c r="S396" i="155"/>
  <c r="R399" i="155"/>
  <c r="R398" i="155"/>
  <c r="R394" i="155"/>
  <c r="R397" i="155"/>
  <c r="R396" i="155"/>
  <c r="R395" i="155"/>
  <c r="M548" i="153"/>
  <c r="L612" i="153"/>
  <c r="AP548" i="153"/>
  <c r="AP612" i="153" s="1"/>
  <c r="AQ548" i="153"/>
  <c r="AQ612" i="153" s="1"/>
  <c r="AR548" i="153"/>
  <c r="AR612" i="153" s="1"/>
  <c r="AS548" i="153"/>
  <c r="AS612" i="153" s="1"/>
  <c r="AT548" i="153"/>
  <c r="AT612" i="153" s="1"/>
  <c r="AU548" i="153"/>
  <c r="AU612" i="153" s="1"/>
  <c r="AV548" i="153"/>
  <c r="AV612" i="153" s="1"/>
  <c r="AW548" i="153"/>
  <c r="AW612" i="153" s="1"/>
  <c r="AX548" i="153"/>
  <c r="AX612" i="153" s="1"/>
  <c r="AY548" i="153"/>
  <c r="AY612" i="153" s="1"/>
  <c r="AZ548" i="153"/>
  <c r="AZ612" i="153" s="1"/>
  <c r="BA548" i="153"/>
  <c r="BA612" i="153" s="1"/>
  <c r="T362" i="154"/>
  <c r="T358" i="154"/>
  <c r="T359" i="154"/>
  <c r="T363" i="154"/>
  <c r="T360" i="154"/>
  <c r="T361" i="154"/>
  <c r="AL602" i="153"/>
  <c r="AL542" i="153"/>
  <c r="AF371" i="155"/>
  <c r="AF370" i="155"/>
  <c r="AF368" i="155"/>
  <c r="AF369" i="155"/>
  <c r="AF366" i="155"/>
  <c r="AF367" i="155"/>
  <c r="V388" i="154"/>
  <c r="V51" i="154" s="1"/>
  <c r="V116" i="154" s="1"/>
  <c r="Y515" i="153"/>
  <c r="Y576" i="153"/>
  <c r="AE611" i="155"/>
  <c r="AE549" i="155"/>
  <c r="AE613" i="155" s="1"/>
  <c r="AO611" i="153"/>
  <c r="AO549" i="153"/>
  <c r="AO613" i="153" s="1"/>
  <c r="AF233" i="153"/>
  <c r="W606" i="154"/>
  <c r="AF369" i="153"/>
  <c r="AF368" i="153"/>
  <c r="AF367" i="153"/>
  <c r="AF370" i="153"/>
  <c r="AF371" i="153"/>
  <c r="AF366" i="153"/>
  <c r="AB380" i="155"/>
  <c r="AB50" i="155" s="1"/>
  <c r="AB115" i="155" s="1"/>
  <c r="AM585" i="155"/>
  <c r="AM524" i="155"/>
  <c r="K577" i="153"/>
  <c r="AD513" i="153"/>
  <c r="AD577" i="153" s="1"/>
  <c r="AE513" i="153"/>
  <c r="AE577" i="153" s="1"/>
  <c r="AF513" i="153"/>
  <c r="AF577" i="153" s="1"/>
  <c r="AG513" i="153"/>
  <c r="AG577" i="153" s="1"/>
  <c r="AH513" i="153"/>
  <c r="AH577" i="153" s="1"/>
  <c r="AI513" i="153"/>
  <c r="AI577" i="153" s="1"/>
  <c r="AJ513" i="153"/>
  <c r="AJ577" i="153" s="1"/>
  <c r="AK513" i="153"/>
  <c r="AK577" i="153" s="1"/>
  <c r="AL513" i="153"/>
  <c r="AL577" i="153" s="1"/>
  <c r="AM513" i="153"/>
  <c r="AM577" i="153" s="1"/>
  <c r="AN513" i="153"/>
  <c r="AN577" i="153" s="1"/>
  <c r="AO513" i="153"/>
  <c r="AO577" i="153" s="1"/>
  <c r="R372" i="154"/>
  <c r="R49" i="154" s="1"/>
  <c r="AG346" i="154"/>
  <c r="AG351" i="154"/>
  <c r="AG348" i="154"/>
  <c r="AG349" i="154"/>
  <c r="AG350" i="154"/>
  <c r="AG347" i="154"/>
  <c r="L589" i="153"/>
  <c r="AP525" i="153"/>
  <c r="AP589" i="153" s="1"/>
  <c r="AQ525" i="153"/>
  <c r="AQ589" i="153" s="1"/>
  <c r="AR525" i="153"/>
  <c r="AR589" i="153" s="1"/>
  <c r="AS525" i="153"/>
  <c r="AS589" i="153" s="1"/>
  <c r="AT525" i="153"/>
  <c r="AT589" i="153" s="1"/>
  <c r="AU525" i="153"/>
  <c r="AU589" i="153" s="1"/>
  <c r="AV525" i="153"/>
  <c r="AV589" i="153" s="1"/>
  <c r="AW525" i="153"/>
  <c r="AW589" i="153" s="1"/>
  <c r="AX525" i="153"/>
  <c r="AX589" i="153" s="1"/>
  <c r="AY525" i="153"/>
  <c r="AY589" i="153" s="1"/>
  <c r="AZ525" i="153"/>
  <c r="AZ589" i="153" s="1"/>
  <c r="BA525" i="153"/>
  <c r="BA589" i="153" s="1"/>
  <c r="AN234" i="154"/>
  <c r="K577" i="155"/>
  <c r="AD513" i="155"/>
  <c r="AD577" i="155" s="1"/>
  <c r="AE513" i="155"/>
  <c r="AE577" i="155" s="1"/>
  <c r="AF513" i="155"/>
  <c r="AF577" i="155" s="1"/>
  <c r="AG513" i="155"/>
  <c r="AG577" i="155" s="1"/>
  <c r="AH513" i="155"/>
  <c r="AH577" i="155" s="1"/>
  <c r="AI513" i="155"/>
  <c r="AI577" i="155" s="1"/>
  <c r="AJ513" i="155"/>
  <c r="AJ577" i="155" s="1"/>
  <c r="AK513" i="155"/>
  <c r="AK577" i="155" s="1"/>
  <c r="AL513" i="155"/>
  <c r="AL577" i="155" s="1"/>
  <c r="AM513" i="155"/>
  <c r="AM577" i="155" s="1"/>
  <c r="AN513" i="155"/>
  <c r="AN577" i="155" s="1"/>
  <c r="AO513" i="155"/>
  <c r="AO577" i="155" s="1"/>
  <c r="X398" i="154"/>
  <c r="X395" i="154"/>
  <c r="X394" i="154"/>
  <c r="X399" i="154"/>
  <c r="X396" i="154"/>
  <c r="X397" i="154"/>
  <c r="AF348" i="153"/>
  <c r="AF347" i="153"/>
  <c r="AF349" i="153"/>
  <c r="AF351" i="153"/>
  <c r="AF350" i="153"/>
  <c r="AF346" i="153"/>
  <c r="AO234" i="155"/>
  <c r="AN351" i="155"/>
  <c r="AN350" i="155"/>
  <c r="AN346" i="155"/>
  <c r="AN347" i="155"/>
  <c r="AN348" i="155"/>
  <c r="AN349" i="155"/>
  <c r="AH375" i="155"/>
  <c r="AH379" i="155"/>
  <c r="AH378" i="155"/>
  <c r="AH377" i="155"/>
  <c r="AH374" i="155"/>
  <c r="AH376" i="155"/>
  <c r="L587" i="155"/>
  <c r="AP523" i="155"/>
  <c r="AP587" i="155" s="1"/>
  <c r="AQ523" i="155"/>
  <c r="AQ587" i="155" s="1"/>
  <c r="AR523" i="155"/>
  <c r="AR587" i="155" s="1"/>
  <c r="AS523" i="155"/>
  <c r="AS587" i="155" s="1"/>
  <c r="AT523" i="155"/>
  <c r="AT587" i="155" s="1"/>
  <c r="AU523" i="155"/>
  <c r="AU587" i="155" s="1"/>
  <c r="AV523" i="155"/>
  <c r="AV587" i="155" s="1"/>
  <c r="AW523" i="155"/>
  <c r="AW587" i="155" s="1"/>
  <c r="AX523" i="155"/>
  <c r="AX587" i="155" s="1"/>
  <c r="AY523" i="155"/>
  <c r="AY587" i="155" s="1"/>
  <c r="AZ523" i="155"/>
  <c r="AZ587" i="155" s="1"/>
  <c r="BA523" i="155"/>
  <c r="BA587" i="155" s="1"/>
  <c r="AI375" i="153"/>
  <c r="AI379" i="153"/>
  <c r="AI378" i="153"/>
  <c r="AI376" i="153"/>
  <c r="AI377" i="153"/>
  <c r="AI374" i="153"/>
  <c r="AC372" i="155"/>
  <c r="AC49" i="155" s="1"/>
  <c r="AC114" i="155" s="1"/>
  <c r="AC380" i="154"/>
  <c r="AC50" i="154" s="1"/>
  <c r="AC115" i="154" s="1"/>
  <c r="S352" i="153"/>
  <c r="S44" i="153" s="1"/>
  <c r="S109" i="153" s="1"/>
  <c r="AJ524" i="154"/>
  <c r="AJ585" i="154"/>
  <c r="R230" i="154"/>
  <c r="T526" i="154"/>
  <c r="T588" i="154"/>
  <c r="AD407" i="155"/>
  <c r="AD403" i="155"/>
  <c r="AD404" i="155"/>
  <c r="AD405" i="155"/>
  <c r="AD402" i="155"/>
  <c r="AD406" i="155"/>
  <c r="AF232" i="154"/>
  <c r="V359" i="155"/>
  <c r="V360" i="155"/>
  <c r="V361" i="155"/>
  <c r="V363" i="155"/>
  <c r="V362" i="155"/>
  <c r="V358" i="155"/>
  <c r="Z588" i="155"/>
  <c r="Z526" i="155"/>
  <c r="I615" i="154"/>
  <c r="I616" i="154" s="1"/>
  <c r="I552" i="154"/>
  <c r="S408" i="154"/>
  <c r="S58" i="154" s="1"/>
  <c r="S123" i="154" s="1"/>
  <c r="AK542" i="153"/>
  <c r="AK602" i="153"/>
  <c r="AE371" i="155"/>
  <c r="AE366" i="155"/>
  <c r="AE367" i="155"/>
  <c r="AE369" i="155"/>
  <c r="AE370" i="155"/>
  <c r="AE368" i="155"/>
  <c r="Z352" i="155"/>
  <c r="Z44" i="155" s="1"/>
  <c r="Z109" i="155" s="1"/>
  <c r="U408" i="154"/>
  <c r="U58" i="154" s="1"/>
  <c r="U123" i="154" s="1"/>
  <c r="V606" i="154"/>
  <c r="AD611" i="155"/>
  <c r="AD549" i="155"/>
  <c r="AD613" i="155" s="1"/>
  <c r="AN611" i="153"/>
  <c r="AN549" i="153"/>
  <c r="AN613" i="153" s="1"/>
  <c r="AE233" i="153"/>
  <c r="U606" i="153"/>
  <c r="AB359" i="155"/>
  <c r="AB361" i="155"/>
  <c r="AB363" i="155"/>
  <c r="AB358" i="155"/>
  <c r="AB362" i="155"/>
  <c r="AB360" i="155"/>
  <c r="AE366" i="153"/>
  <c r="AE370" i="153"/>
  <c r="AE368" i="153"/>
  <c r="AE371" i="153"/>
  <c r="AE369" i="153"/>
  <c r="AE367" i="153"/>
  <c r="AO232" i="155"/>
  <c r="V388" i="153"/>
  <c r="V51" i="153" s="1"/>
  <c r="V116" i="153" s="1"/>
  <c r="V606" i="153"/>
  <c r="AL524" i="155"/>
  <c r="AL585" i="155"/>
  <c r="U230" i="153"/>
  <c r="U228" i="153"/>
  <c r="AF350" i="154"/>
  <c r="AF349" i="154"/>
  <c r="AF347" i="154"/>
  <c r="AF346" i="154"/>
  <c r="AF348" i="154"/>
  <c r="AF351" i="154"/>
  <c r="X388" i="155"/>
  <c r="X51" i="155" s="1"/>
  <c r="X116" i="155" s="1"/>
  <c r="AM234" i="154"/>
  <c r="U372" i="153"/>
  <c r="U49" i="153" s="1"/>
  <c r="U114" i="153" s="1"/>
  <c r="AC606" i="154"/>
  <c r="AO379" i="155"/>
  <c r="AO377" i="155"/>
  <c r="AO378" i="155"/>
  <c r="AO374" i="155"/>
  <c r="AO375" i="155"/>
  <c r="AO376" i="155"/>
  <c r="AH378" i="153"/>
  <c r="AH379" i="153"/>
  <c r="AH375" i="153"/>
  <c r="AH374" i="153"/>
  <c r="AH377" i="153"/>
  <c r="AH376" i="153"/>
  <c r="M538" i="155"/>
  <c r="L602" i="155"/>
  <c r="L542" i="155"/>
  <c r="AP538" i="155"/>
  <c r="AQ538" i="155"/>
  <c r="AR538" i="155"/>
  <c r="AS538" i="155"/>
  <c r="AT538" i="155"/>
  <c r="AU538" i="155"/>
  <c r="AV538" i="155"/>
  <c r="AW538" i="155"/>
  <c r="AX538" i="155"/>
  <c r="AY538" i="155"/>
  <c r="AZ538" i="155"/>
  <c r="BA538" i="155"/>
  <c r="AI585" i="154"/>
  <c r="AI524" i="154"/>
  <c r="R515" i="154"/>
  <c r="R576" i="154"/>
  <c r="S380" i="155"/>
  <c r="S50" i="155" s="1"/>
  <c r="S115" i="155" s="1"/>
  <c r="R576" i="153"/>
  <c r="R515" i="153"/>
  <c r="S230" i="154"/>
  <c r="Y588" i="153"/>
  <c r="Y526" i="153"/>
  <c r="V380" i="153"/>
  <c r="V50" i="153" s="1"/>
  <c r="V115" i="153" s="1"/>
  <c r="L612" i="155"/>
  <c r="M548" i="155"/>
  <c r="AP548" i="155"/>
  <c r="AP612" i="155" s="1"/>
  <c r="AQ548" i="155"/>
  <c r="AQ612" i="155" s="1"/>
  <c r="AR548" i="155"/>
  <c r="AR612" i="155" s="1"/>
  <c r="AS548" i="155"/>
  <c r="AS612" i="155" s="1"/>
  <c r="AT548" i="155"/>
  <c r="AT612" i="155" s="1"/>
  <c r="AU548" i="155"/>
  <c r="AU612" i="155" s="1"/>
  <c r="AV548" i="155"/>
  <c r="AV612" i="155" s="1"/>
  <c r="AW548" i="155"/>
  <c r="AW612" i="155" s="1"/>
  <c r="AX548" i="155"/>
  <c r="AX612" i="155" s="1"/>
  <c r="AY548" i="155"/>
  <c r="AY612" i="155" s="1"/>
  <c r="AZ548" i="155"/>
  <c r="AZ612" i="155" s="1"/>
  <c r="BA548" i="155"/>
  <c r="BA612" i="155" s="1"/>
  <c r="AC352" i="154"/>
  <c r="AC44" i="154" s="1"/>
  <c r="AC109" i="154" s="1"/>
  <c r="AO383" i="154"/>
  <c r="AO387" i="154"/>
  <c r="AO384" i="154"/>
  <c r="AO382" i="154"/>
  <c r="AO386" i="154"/>
  <c r="AO385" i="154"/>
  <c r="X606" i="155"/>
  <c r="AB352" i="153"/>
  <c r="AB44" i="153" s="1"/>
  <c r="AB109" i="153" s="1"/>
  <c r="AJ542" i="153"/>
  <c r="AJ602" i="153"/>
  <c r="AD370" i="155"/>
  <c r="AD368" i="155"/>
  <c r="AD371" i="155"/>
  <c r="AD369" i="155"/>
  <c r="AD367" i="155"/>
  <c r="AD366" i="155"/>
  <c r="AC588" i="155"/>
  <c r="AC526" i="155"/>
  <c r="V358" i="154"/>
  <c r="V363" i="154"/>
  <c r="V359" i="154"/>
  <c r="V360" i="154"/>
  <c r="V362" i="154"/>
  <c r="V361" i="154"/>
  <c r="AM549" i="153"/>
  <c r="AM613" i="153" s="1"/>
  <c r="AM611" i="153"/>
  <c r="T408" i="153"/>
  <c r="T58" i="153" s="1"/>
  <c r="T123" i="153" s="1"/>
  <c r="AD233" i="153"/>
  <c r="U360" i="153"/>
  <c r="U358" i="153"/>
  <c r="U362" i="153"/>
  <c r="U363" i="153"/>
  <c r="U361" i="153"/>
  <c r="U359" i="153"/>
  <c r="AB606" i="155"/>
  <c r="AD370" i="153"/>
  <c r="AD368" i="153"/>
  <c r="AD366" i="153"/>
  <c r="AD371" i="153"/>
  <c r="AD369" i="153"/>
  <c r="AD367" i="153"/>
  <c r="AN232" i="155"/>
  <c r="V363" i="153"/>
  <c r="V362" i="153"/>
  <c r="V359" i="153"/>
  <c r="V358" i="153"/>
  <c r="V360" i="153"/>
  <c r="V361" i="153"/>
  <c r="AK585" i="155"/>
  <c r="AK524" i="155"/>
  <c r="AC515" i="154"/>
  <c r="AC576" i="154"/>
  <c r="W388" i="155"/>
  <c r="W51" i="155" s="1"/>
  <c r="W116" i="155" s="1"/>
  <c r="R228" i="153"/>
  <c r="AE346" i="154"/>
  <c r="AE347" i="154"/>
  <c r="AE349" i="154"/>
  <c r="AE351" i="154"/>
  <c r="AE350" i="154"/>
  <c r="AE348" i="154"/>
  <c r="AL234" i="154"/>
  <c r="X372" i="155"/>
  <c r="X49" i="155" s="1"/>
  <c r="X114" i="155" s="1"/>
  <c r="AO366" i="154"/>
  <c r="AO367" i="154"/>
  <c r="AO369" i="154"/>
  <c r="AO370" i="154"/>
  <c r="AO371" i="154"/>
  <c r="AO368" i="154"/>
  <c r="AC358" i="154"/>
  <c r="AC361" i="154"/>
  <c r="AC363" i="154"/>
  <c r="AC359" i="154"/>
  <c r="AC362" i="154"/>
  <c r="AC360" i="154"/>
  <c r="AC363" i="153"/>
  <c r="AC361" i="153"/>
  <c r="AC359" i="153"/>
  <c r="AC362" i="153"/>
  <c r="AC360" i="153"/>
  <c r="AC358" i="153"/>
  <c r="AB380" i="154"/>
  <c r="AB50" i="154" s="1"/>
  <c r="AB115" i="154" s="1"/>
  <c r="AH350" i="153"/>
  <c r="AH349" i="153"/>
  <c r="AH347" i="153"/>
  <c r="AH348" i="153"/>
  <c r="AH351" i="153"/>
  <c r="AH346" i="153"/>
  <c r="AE351" i="153"/>
  <c r="AE350" i="153"/>
  <c r="AE348" i="153"/>
  <c r="AE349" i="153"/>
  <c r="AE346" i="153"/>
  <c r="AE347" i="153"/>
  <c r="AM351" i="155"/>
  <c r="AM347" i="155"/>
  <c r="AM348" i="155"/>
  <c r="AM350" i="155"/>
  <c r="AM349" i="155"/>
  <c r="AM346" i="155"/>
  <c r="AG378" i="155"/>
  <c r="AG374" i="155"/>
  <c r="AG379" i="155"/>
  <c r="AG376" i="155"/>
  <c r="AG377" i="155"/>
  <c r="AG375" i="155"/>
  <c r="U352" i="154"/>
  <c r="U44" i="154" s="1"/>
  <c r="U109" i="154" s="1"/>
  <c r="AA395" i="153"/>
  <c r="AA394" i="153"/>
  <c r="AA397" i="153"/>
  <c r="AA396" i="153"/>
  <c r="AA398" i="153"/>
  <c r="AA399" i="153"/>
  <c r="AD349" i="153"/>
  <c r="AD346" i="153"/>
  <c r="AD350" i="153"/>
  <c r="AD347" i="153"/>
  <c r="AD348" i="153"/>
  <c r="AD351" i="153"/>
  <c r="AM234" i="155"/>
  <c r="AL350" i="155"/>
  <c r="AL347" i="155"/>
  <c r="AL351" i="155"/>
  <c r="AL349" i="155"/>
  <c r="AL346" i="155"/>
  <c r="AL348" i="155"/>
  <c r="AF375" i="155"/>
  <c r="AF379" i="155"/>
  <c r="AF378" i="155"/>
  <c r="AF377" i="155"/>
  <c r="AF376" i="155"/>
  <c r="AF374" i="155"/>
  <c r="AG374" i="153"/>
  <c r="AG378" i="153"/>
  <c r="AG377" i="153"/>
  <c r="AG379" i="153"/>
  <c r="AG375" i="153"/>
  <c r="AG376" i="153"/>
  <c r="Y394" i="154"/>
  <c r="Y398" i="154"/>
  <c r="Y395" i="154"/>
  <c r="Y396" i="154"/>
  <c r="Y397" i="154"/>
  <c r="Y399" i="154"/>
  <c r="AM233" i="154"/>
  <c r="AH585" i="154"/>
  <c r="AH524" i="154"/>
  <c r="V372" i="154"/>
  <c r="V49" i="154" s="1"/>
  <c r="V114" i="154" s="1"/>
  <c r="W372" i="154"/>
  <c r="W49" i="154" s="1"/>
  <c r="W114" i="154" s="1"/>
  <c r="K580" i="154"/>
  <c r="AD516" i="154"/>
  <c r="AD580" i="154" s="1"/>
  <c r="AE516" i="154"/>
  <c r="AE580" i="154" s="1"/>
  <c r="AF516" i="154"/>
  <c r="AF580" i="154" s="1"/>
  <c r="AG516" i="154"/>
  <c r="AG580" i="154" s="1"/>
  <c r="AH516" i="154"/>
  <c r="AH580" i="154" s="1"/>
  <c r="AI516" i="154"/>
  <c r="AI580" i="154" s="1"/>
  <c r="AJ516" i="154"/>
  <c r="AJ580" i="154" s="1"/>
  <c r="AK516" i="154"/>
  <c r="AK580" i="154" s="1"/>
  <c r="AL516" i="154"/>
  <c r="AL580" i="154" s="1"/>
  <c r="AM516" i="154"/>
  <c r="AM580" i="154" s="1"/>
  <c r="AN516" i="154"/>
  <c r="AN580" i="154" s="1"/>
  <c r="AO516" i="154"/>
  <c r="AO580" i="154" s="1"/>
  <c r="K578" i="153"/>
  <c r="AD514" i="153"/>
  <c r="AD578" i="153" s="1"/>
  <c r="AE514" i="153"/>
  <c r="AE578" i="153" s="1"/>
  <c r="AF514" i="153"/>
  <c r="AF578" i="153" s="1"/>
  <c r="AG514" i="153"/>
  <c r="AG578" i="153" s="1"/>
  <c r="AH514" i="153"/>
  <c r="AH578" i="153" s="1"/>
  <c r="AI514" i="153"/>
  <c r="AI578" i="153" s="1"/>
  <c r="AJ514" i="153"/>
  <c r="AJ578" i="153" s="1"/>
  <c r="AK514" i="153"/>
  <c r="AK578" i="153" s="1"/>
  <c r="AL514" i="153"/>
  <c r="AL578" i="153" s="1"/>
  <c r="AM514" i="153"/>
  <c r="AM578" i="153" s="1"/>
  <c r="AN514" i="153"/>
  <c r="AN578" i="153" s="1"/>
  <c r="AO514" i="153"/>
  <c r="AO578" i="153" s="1"/>
  <c r="Z588" i="153"/>
  <c r="Z526" i="153"/>
  <c r="T360" i="155"/>
  <c r="T359" i="155"/>
  <c r="T363" i="155"/>
  <c r="T362" i="155"/>
  <c r="T361" i="155"/>
  <c r="T358" i="155"/>
  <c r="AD232" i="154"/>
  <c r="AN382" i="154"/>
  <c r="AN383" i="154"/>
  <c r="AN387" i="154"/>
  <c r="AN385" i="154"/>
  <c r="AN384" i="154"/>
  <c r="AN386" i="154"/>
  <c r="R408" i="154"/>
  <c r="R58" i="154" s="1"/>
  <c r="AB526" i="153"/>
  <c r="AB588" i="153"/>
  <c r="R408" i="153"/>
  <c r="R58" i="153" s="1"/>
  <c r="R372" i="155"/>
  <c r="R49" i="155" s="1"/>
  <c r="X362" i="155"/>
  <c r="X360" i="155"/>
  <c r="X363" i="155"/>
  <c r="X358" i="155"/>
  <c r="X359" i="155"/>
  <c r="X361" i="155"/>
  <c r="X380" i="155"/>
  <c r="X50" i="155" s="1"/>
  <c r="X115" i="155" s="1"/>
  <c r="AI602" i="153"/>
  <c r="AI542" i="153"/>
  <c r="L603" i="155"/>
  <c r="M539" i="155"/>
  <c r="AP539" i="155"/>
  <c r="AP603" i="155" s="1"/>
  <c r="AQ539" i="155"/>
  <c r="AQ603" i="155" s="1"/>
  <c r="AR539" i="155"/>
  <c r="AR603" i="155" s="1"/>
  <c r="AS539" i="155"/>
  <c r="AS603" i="155" s="1"/>
  <c r="AT539" i="155"/>
  <c r="AT603" i="155" s="1"/>
  <c r="AU539" i="155"/>
  <c r="AU603" i="155" s="1"/>
  <c r="AV539" i="155"/>
  <c r="AV603" i="155" s="1"/>
  <c r="AW539" i="155"/>
  <c r="AW603" i="155" s="1"/>
  <c r="AX539" i="155"/>
  <c r="AX603" i="155" s="1"/>
  <c r="AY539" i="155"/>
  <c r="AY603" i="155" s="1"/>
  <c r="AZ539" i="155"/>
  <c r="AZ603" i="155" s="1"/>
  <c r="BA539" i="155"/>
  <c r="BA603" i="155" s="1"/>
  <c r="Y576" i="154"/>
  <c r="Y515" i="154"/>
  <c r="AO386" i="155"/>
  <c r="AO382" i="155"/>
  <c r="AO387" i="155"/>
  <c r="AO385" i="155"/>
  <c r="AO383" i="155"/>
  <c r="AO384" i="155"/>
  <c r="L611" i="155"/>
  <c r="M547" i="155"/>
  <c r="L549" i="155"/>
  <c r="L613" i="155" s="1"/>
  <c r="AP547" i="155"/>
  <c r="AQ547" i="155"/>
  <c r="AR547" i="155"/>
  <c r="AS547" i="155"/>
  <c r="AT547" i="155"/>
  <c r="AU547" i="155"/>
  <c r="AV547" i="155"/>
  <c r="AW547" i="155"/>
  <c r="AX547" i="155"/>
  <c r="AY547" i="155"/>
  <c r="AZ547" i="155"/>
  <c r="BA547" i="155"/>
  <c r="AL611" i="153"/>
  <c r="AL549" i="153"/>
  <c r="AL613" i="153" s="1"/>
  <c r="W408" i="154"/>
  <c r="W58" i="154" s="1"/>
  <c r="W123" i="154" s="1"/>
  <c r="M539" i="153"/>
  <c r="L603" i="153"/>
  <c r="AP539" i="153"/>
  <c r="AP603" i="153" s="1"/>
  <c r="AQ539" i="153"/>
  <c r="AQ603" i="153" s="1"/>
  <c r="AR539" i="153"/>
  <c r="AR603" i="153" s="1"/>
  <c r="AS539" i="153"/>
  <c r="AS603" i="153" s="1"/>
  <c r="AT539" i="153"/>
  <c r="AT603" i="153" s="1"/>
  <c r="AU539" i="153"/>
  <c r="AU603" i="153" s="1"/>
  <c r="AV539" i="153"/>
  <c r="AV603" i="153" s="1"/>
  <c r="AW539" i="153"/>
  <c r="AW603" i="153" s="1"/>
  <c r="AX539" i="153"/>
  <c r="AX603" i="153" s="1"/>
  <c r="AY539" i="153"/>
  <c r="AY603" i="153" s="1"/>
  <c r="AZ539" i="153"/>
  <c r="AZ603" i="153" s="1"/>
  <c r="BA539" i="153"/>
  <c r="BA603" i="153" s="1"/>
  <c r="AM232" i="155"/>
  <c r="U380" i="154"/>
  <c r="U50" i="154" s="1"/>
  <c r="U115" i="154" s="1"/>
  <c r="AJ524" i="155"/>
  <c r="AJ585" i="155"/>
  <c r="AD346" i="154"/>
  <c r="AD351" i="154"/>
  <c r="AD348" i="154"/>
  <c r="AD347" i="154"/>
  <c r="AD349" i="154"/>
  <c r="AD350" i="154"/>
  <c r="X408" i="153"/>
  <c r="X58" i="153" s="1"/>
  <c r="X123" i="153" s="1"/>
  <c r="Z408" i="154"/>
  <c r="Z58" i="154" s="1"/>
  <c r="Z123" i="154" s="1"/>
  <c r="AK234" i="154"/>
  <c r="AA408" i="154"/>
  <c r="AA58" i="154" s="1"/>
  <c r="AA123" i="154" s="1"/>
  <c r="R515" i="155"/>
  <c r="R576" i="155"/>
  <c r="AN368" i="154"/>
  <c r="AN366" i="154"/>
  <c r="AN369" i="154"/>
  <c r="AN371" i="154"/>
  <c r="AN367" i="154"/>
  <c r="AN370" i="154"/>
  <c r="S372" i="154"/>
  <c r="S49" i="154" s="1"/>
  <c r="S114" i="154" s="1"/>
  <c r="M534" i="153"/>
  <c r="L598" i="153"/>
  <c r="AP534" i="153"/>
  <c r="AP598" i="153" s="1"/>
  <c r="AQ534" i="153"/>
  <c r="AQ598" i="153" s="1"/>
  <c r="AR534" i="153"/>
  <c r="AR598" i="153" s="1"/>
  <c r="AS534" i="153"/>
  <c r="AS598" i="153" s="1"/>
  <c r="AT534" i="153"/>
  <c r="AT598" i="153" s="1"/>
  <c r="AU534" i="153"/>
  <c r="AU598" i="153" s="1"/>
  <c r="AV534" i="153"/>
  <c r="AV598" i="153" s="1"/>
  <c r="AW534" i="153"/>
  <c r="AW598" i="153" s="1"/>
  <c r="AX534" i="153"/>
  <c r="AX598" i="153" s="1"/>
  <c r="AY534" i="153"/>
  <c r="AY598" i="153" s="1"/>
  <c r="AZ534" i="153"/>
  <c r="AZ598" i="153" s="1"/>
  <c r="BA534" i="153"/>
  <c r="BA598" i="153" s="1"/>
  <c r="AK346" i="155"/>
  <c r="AK347" i="155"/>
  <c r="AK351" i="155"/>
  <c r="AK349" i="155"/>
  <c r="AK348" i="155"/>
  <c r="AK350" i="155"/>
  <c r="AE374" i="155"/>
  <c r="AE377" i="155"/>
  <c r="AE375" i="155"/>
  <c r="AE376" i="155"/>
  <c r="AE378" i="155"/>
  <c r="AE379" i="155"/>
  <c r="Z372" i="154"/>
  <c r="Z49" i="154" s="1"/>
  <c r="Z114" i="154" s="1"/>
  <c r="AF377" i="153"/>
  <c r="AF374" i="153"/>
  <c r="AF379" i="153"/>
  <c r="AF378" i="153"/>
  <c r="AF375" i="153"/>
  <c r="AF376" i="153"/>
  <c r="X352" i="154"/>
  <c r="X44" i="154" s="1"/>
  <c r="X109" i="154" s="1"/>
  <c r="AG585" i="154"/>
  <c r="AG524" i="154"/>
  <c r="J579" i="153"/>
  <c r="Y352" i="154"/>
  <c r="Y44" i="154" s="1"/>
  <c r="Y109" i="154" s="1"/>
  <c r="W352" i="153"/>
  <c r="W44" i="153" s="1"/>
  <c r="W109" i="153" s="1"/>
  <c r="T606" i="155"/>
  <c r="X588" i="155"/>
  <c r="X526" i="155"/>
  <c r="L573" i="153"/>
  <c r="AP507" i="153"/>
  <c r="AQ507" i="153"/>
  <c r="AR507" i="153"/>
  <c r="AS507" i="153"/>
  <c r="AT507" i="153"/>
  <c r="AU507" i="153"/>
  <c r="AV507" i="153"/>
  <c r="AW507" i="153"/>
  <c r="AX507" i="153"/>
  <c r="AY507" i="153"/>
  <c r="AZ507" i="153"/>
  <c r="BA507" i="153"/>
  <c r="Y526" i="155"/>
  <c r="Y588" i="155"/>
  <c r="AM382" i="154"/>
  <c r="AM383" i="154"/>
  <c r="AM387" i="154"/>
  <c r="AM384" i="154"/>
  <c r="AM386" i="154"/>
  <c r="AM385" i="154"/>
  <c r="AO542" i="154"/>
  <c r="AO602" i="154"/>
  <c r="T388" i="154"/>
  <c r="T51" i="154" s="1"/>
  <c r="T116" i="154" s="1"/>
  <c r="Y380" i="155"/>
  <c r="Y50" i="155" s="1"/>
  <c r="Y115" i="155" s="1"/>
  <c r="AH602" i="153"/>
  <c r="AH542" i="153"/>
  <c r="AC229" i="153"/>
  <c r="AN382" i="155"/>
  <c r="AN385" i="155"/>
  <c r="AN383" i="155"/>
  <c r="AN387" i="155"/>
  <c r="AN384" i="155"/>
  <c r="AN386" i="155"/>
  <c r="AK611" i="153"/>
  <c r="AK549" i="153"/>
  <c r="AK613" i="153" s="1"/>
  <c r="AA606" i="155"/>
  <c r="L587" i="153"/>
  <c r="AP523" i="153"/>
  <c r="AP587" i="153" s="1"/>
  <c r="AQ523" i="153"/>
  <c r="AQ587" i="153" s="1"/>
  <c r="AR523" i="153"/>
  <c r="AR587" i="153" s="1"/>
  <c r="AS523" i="153"/>
  <c r="AS587" i="153" s="1"/>
  <c r="AT523" i="153"/>
  <c r="AT587" i="153" s="1"/>
  <c r="AU523" i="153"/>
  <c r="AU587" i="153" s="1"/>
  <c r="AV523" i="153"/>
  <c r="AV587" i="153" s="1"/>
  <c r="AW523" i="153"/>
  <c r="AW587" i="153" s="1"/>
  <c r="AX523" i="153"/>
  <c r="AX587" i="153" s="1"/>
  <c r="AY523" i="153"/>
  <c r="AY587" i="153" s="1"/>
  <c r="AZ523" i="153"/>
  <c r="AZ587" i="153" s="1"/>
  <c r="BA523" i="153"/>
  <c r="BA587" i="153" s="1"/>
  <c r="S398" i="153"/>
  <c r="S399" i="153"/>
  <c r="S394" i="153"/>
  <c r="S396" i="153"/>
  <c r="S395" i="153"/>
  <c r="S397" i="153"/>
  <c r="R396" i="154"/>
  <c r="R397" i="154"/>
  <c r="R394" i="154"/>
  <c r="R399" i="154"/>
  <c r="R395" i="154"/>
  <c r="R398" i="154"/>
  <c r="AL232" i="155"/>
  <c r="AA397" i="155"/>
  <c r="AA394" i="155"/>
  <c r="AA395" i="155"/>
  <c r="AA396" i="155"/>
  <c r="AA398" i="155"/>
  <c r="AA399" i="155"/>
  <c r="X372" i="153"/>
  <c r="X49" i="153" s="1"/>
  <c r="X114" i="153" s="1"/>
  <c r="T394" i="153"/>
  <c r="T396" i="153"/>
  <c r="T399" i="153"/>
  <c r="T398" i="153"/>
  <c r="T397" i="153"/>
  <c r="T395" i="153"/>
  <c r="AI524" i="155"/>
  <c r="AI585" i="155"/>
  <c r="V228" i="153"/>
  <c r="S398" i="154"/>
  <c r="S394" i="154"/>
  <c r="S397" i="154"/>
  <c r="S395" i="154"/>
  <c r="S399" i="154"/>
  <c r="S396" i="154"/>
  <c r="X394" i="155"/>
  <c r="X396" i="155"/>
  <c r="X398" i="155"/>
  <c r="X397" i="155"/>
  <c r="X399" i="155"/>
  <c r="X395" i="155"/>
  <c r="AJ234" i="154"/>
  <c r="K578" i="155"/>
  <c r="AD514" i="155"/>
  <c r="AD578" i="155" s="1"/>
  <c r="AE514" i="155"/>
  <c r="AE578" i="155" s="1"/>
  <c r="AF514" i="155"/>
  <c r="AF578" i="155" s="1"/>
  <c r="AG514" i="155"/>
  <c r="AG578" i="155" s="1"/>
  <c r="AH514" i="155"/>
  <c r="AH578" i="155" s="1"/>
  <c r="AI514" i="155"/>
  <c r="AI578" i="155" s="1"/>
  <c r="AJ514" i="155"/>
  <c r="AJ578" i="155" s="1"/>
  <c r="AK514" i="155"/>
  <c r="AK578" i="155" s="1"/>
  <c r="AL514" i="155"/>
  <c r="AL578" i="155" s="1"/>
  <c r="AM514" i="155"/>
  <c r="AM578" i="155" s="1"/>
  <c r="AN514" i="155"/>
  <c r="AN578" i="155" s="1"/>
  <c r="AO514" i="155"/>
  <c r="AO578" i="155" s="1"/>
  <c r="AP509" i="155"/>
  <c r="AP573" i="155" s="1"/>
  <c r="AQ509" i="155"/>
  <c r="AQ573" i="155" s="1"/>
  <c r="AR509" i="155"/>
  <c r="AR573" i="155" s="1"/>
  <c r="AS509" i="155"/>
  <c r="AS573" i="155" s="1"/>
  <c r="AT509" i="155"/>
  <c r="AT573" i="155" s="1"/>
  <c r="AU509" i="155"/>
  <c r="AU573" i="155" s="1"/>
  <c r="AV509" i="155"/>
  <c r="AV573" i="155" s="1"/>
  <c r="AW509" i="155"/>
  <c r="AW573" i="155" s="1"/>
  <c r="AX509" i="155"/>
  <c r="AX573" i="155" s="1"/>
  <c r="AY509" i="155"/>
  <c r="AY573" i="155" s="1"/>
  <c r="AZ509" i="155"/>
  <c r="AZ573" i="155" s="1"/>
  <c r="BA509" i="155"/>
  <c r="BA573" i="155" s="1"/>
  <c r="AM366" i="154"/>
  <c r="AM367" i="154"/>
  <c r="AM371" i="154"/>
  <c r="AM370" i="154"/>
  <c r="AM369" i="154"/>
  <c r="AM368" i="154"/>
  <c r="T352" i="154"/>
  <c r="T44" i="154" s="1"/>
  <c r="T109" i="154" s="1"/>
  <c r="AA372" i="155"/>
  <c r="AA49" i="155" s="1"/>
  <c r="AA114" i="155" s="1"/>
  <c r="R526" i="155"/>
  <c r="R588" i="155"/>
  <c r="AJ349" i="155"/>
  <c r="AJ346" i="155"/>
  <c r="AJ347" i="155"/>
  <c r="AJ351" i="155"/>
  <c r="AJ348" i="155"/>
  <c r="AJ350" i="155"/>
  <c r="AD379" i="155"/>
  <c r="AD376" i="155"/>
  <c r="AD377" i="155"/>
  <c r="AD378" i="155"/>
  <c r="AD375" i="155"/>
  <c r="AD374" i="155"/>
  <c r="AE376" i="153"/>
  <c r="AE374" i="153"/>
  <c r="AE377" i="153"/>
  <c r="AE379" i="153"/>
  <c r="AE375" i="153"/>
  <c r="AE378" i="153"/>
  <c r="AF585" i="154"/>
  <c r="AF524" i="154"/>
  <c r="Z352" i="154"/>
  <c r="Z44" i="154" s="1"/>
  <c r="Z109" i="154" s="1"/>
  <c r="K576" i="154"/>
  <c r="R606" i="155"/>
  <c r="K580" i="153"/>
  <c r="AD516" i="153"/>
  <c r="AD580" i="153" s="1"/>
  <c r="AE516" i="153"/>
  <c r="AE580" i="153" s="1"/>
  <c r="AF516" i="153"/>
  <c r="AF580" i="153" s="1"/>
  <c r="AG516" i="153"/>
  <c r="AG580" i="153" s="1"/>
  <c r="AH516" i="153"/>
  <c r="AH580" i="153" s="1"/>
  <c r="AI516" i="153"/>
  <c r="AI580" i="153" s="1"/>
  <c r="AJ516" i="153"/>
  <c r="AJ580" i="153" s="1"/>
  <c r="AK516" i="153"/>
  <c r="AK580" i="153" s="1"/>
  <c r="AL516" i="153"/>
  <c r="AL580" i="153" s="1"/>
  <c r="AM516" i="153"/>
  <c r="AM580" i="153" s="1"/>
  <c r="AN516" i="153"/>
  <c r="AN580" i="153" s="1"/>
  <c r="AO516" i="153"/>
  <c r="AO580" i="153" s="1"/>
  <c r="L586" i="154"/>
  <c r="AP522" i="154"/>
  <c r="AP586" i="154" s="1"/>
  <c r="AQ522" i="154"/>
  <c r="AQ586" i="154" s="1"/>
  <c r="AR522" i="154"/>
  <c r="AR586" i="154" s="1"/>
  <c r="AS522" i="154"/>
  <c r="AS586" i="154" s="1"/>
  <c r="AT522" i="154"/>
  <c r="AT586" i="154" s="1"/>
  <c r="AU522" i="154"/>
  <c r="AU586" i="154" s="1"/>
  <c r="AV522" i="154"/>
  <c r="AV586" i="154" s="1"/>
  <c r="AW522" i="154"/>
  <c r="AW586" i="154" s="1"/>
  <c r="AX522" i="154"/>
  <c r="AX586" i="154" s="1"/>
  <c r="AY522" i="154"/>
  <c r="AY586" i="154" s="1"/>
  <c r="AZ522" i="154"/>
  <c r="AZ586" i="154" s="1"/>
  <c r="BA522" i="154"/>
  <c r="BA586" i="154" s="1"/>
  <c r="AL385" i="154"/>
  <c r="AL383" i="154"/>
  <c r="AL386" i="154"/>
  <c r="AL387" i="154"/>
  <c r="AL384" i="154"/>
  <c r="AL382" i="154"/>
  <c r="AN602" i="154"/>
  <c r="AN542" i="154"/>
  <c r="W352" i="155"/>
  <c r="W44" i="155" s="1"/>
  <c r="W109" i="155" s="1"/>
  <c r="AO382" i="153"/>
  <c r="AO383" i="153"/>
  <c r="AO387" i="153"/>
  <c r="AO385" i="153"/>
  <c r="AO386" i="153"/>
  <c r="AO384" i="153"/>
  <c r="AG542" i="153"/>
  <c r="AG606" i="153" s="1"/>
  <c r="AG602" i="153"/>
  <c r="X576" i="154"/>
  <c r="X515" i="154"/>
  <c r="AA588" i="154"/>
  <c r="AA526" i="154"/>
  <c r="AM385" i="155"/>
  <c r="AM382" i="155"/>
  <c r="AM387" i="155"/>
  <c r="AM386" i="155"/>
  <c r="AM384" i="155"/>
  <c r="AM383" i="155"/>
  <c r="AJ611" i="153"/>
  <c r="AJ549" i="153"/>
  <c r="AJ613" i="153" s="1"/>
  <c r="AA360" i="155"/>
  <c r="AA358" i="155"/>
  <c r="AA359" i="155"/>
  <c r="AA362" i="155"/>
  <c r="AA361" i="155"/>
  <c r="AA363" i="155"/>
  <c r="T399" i="155"/>
  <c r="T394" i="155"/>
  <c r="T396" i="155"/>
  <c r="T398" i="155"/>
  <c r="T397" i="155"/>
  <c r="T395" i="155"/>
  <c r="T380" i="154"/>
  <c r="T50" i="154" s="1"/>
  <c r="T115" i="154" s="1"/>
  <c r="X361" i="154"/>
  <c r="X359" i="154"/>
  <c r="X362" i="154"/>
  <c r="X358" i="154"/>
  <c r="X363" i="154"/>
  <c r="X360" i="154"/>
  <c r="AK232" i="155"/>
  <c r="AO585" i="153"/>
  <c r="AO524" i="153"/>
  <c r="AH524" i="155"/>
  <c r="AH585" i="155"/>
  <c r="Z388" i="154"/>
  <c r="Z51" i="154" s="1"/>
  <c r="Z116" i="154" s="1"/>
  <c r="T228" i="153"/>
  <c r="L598" i="154"/>
  <c r="M534" i="154"/>
  <c r="AP534" i="154"/>
  <c r="AP598" i="154" s="1"/>
  <c r="AQ534" i="154"/>
  <c r="AQ598" i="154" s="1"/>
  <c r="AR534" i="154"/>
  <c r="AR598" i="154" s="1"/>
  <c r="AS534" i="154"/>
  <c r="AS598" i="154" s="1"/>
  <c r="AT534" i="154"/>
  <c r="AT598" i="154" s="1"/>
  <c r="AU534" i="154"/>
  <c r="AU598" i="154" s="1"/>
  <c r="AV534" i="154"/>
  <c r="AV598" i="154" s="1"/>
  <c r="AW534" i="154"/>
  <c r="AW598" i="154" s="1"/>
  <c r="AX534" i="154"/>
  <c r="AX598" i="154" s="1"/>
  <c r="AY534" i="154"/>
  <c r="AY598" i="154" s="1"/>
  <c r="AZ534" i="154"/>
  <c r="AZ598" i="154" s="1"/>
  <c r="BA534" i="154"/>
  <c r="BA598" i="154" s="1"/>
  <c r="AI234" i="154"/>
  <c r="T398" i="154"/>
  <c r="T394" i="154"/>
  <c r="T399" i="154"/>
  <c r="T397" i="154"/>
  <c r="T395" i="154"/>
  <c r="T396" i="154"/>
  <c r="AL368" i="154"/>
  <c r="AL370" i="154"/>
  <c r="AL366" i="154"/>
  <c r="AL369" i="154"/>
  <c r="AL367" i="154"/>
  <c r="AL371" i="154"/>
  <c r="AI350" i="155"/>
  <c r="AI351" i="155"/>
  <c r="AI347" i="155"/>
  <c r="AI349" i="155"/>
  <c r="AI346" i="155"/>
  <c r="AI348" i="155"/>
  <c r="M540" i="155"/>
  <c r="L604" i="155"/>
  <c r="AP540" i="155"/>
  <c r="AP604" i="155" s="1"/>
  <c r="AQ540" i="155"/>
  <c r="AQ604" i="155" s="1"/>
  <c r="AR540" i="155"/>
  <c r="AR604" i="155" s="1"/>
  <c r="AS540" i="155"/>
  <c r="AS604" i="155" s="1"/>
  <c r="AT540" i="155"/>
  <c r="AT604" i="155" s="1"/>
  <c r="AU540" i="155"/>
  <c r="AU604" i="155" s="1"/>
  <c r="AV540" i="155"/>
  <c r="AV604" i="155" s="1"/>
  <c r="AW540" i="155"/>
  <c r="AW604" i="155" s="1"/>
  <c r="AX540" i="155"/>
  <c r="AX604" i="155" s="1"/>
  <c r="AY540" i="155"/>
  <c r="AY604" i="155" s="1"/>
  <c r="AZ540" i="155"/>
  <c r="AZ604" i="155" s="1"/>
  <c r="BA540" i="155"/>
  <c r="BA604" i="155" s="1"/>
  <c r="AD378" i="153"/>
  <c r="AD376" i="153"/>
  <c r="AD375" i="153"/>
  <c r="AD379" i="153"/>
  <c r="AD377" i="153"/>
  <c r="AD374" i="153"/>
  <c r="AE524" i="154"/>
  <c r="AE585" i="154"/>
  <c r="U372" i="154"/>
  <c r="U49" i="154" s="1"/>
  <c r="U114" i="154" s="1"/>
  <c r="X372" i="154"/>
  <c r="X49" i="154" s="1"/>
  <c r="X114" i="154" s="1"/>
  <c r="L573" i="154"/>
  <c r="AP507" i="154"/>
  <c r="AQ507" i="154"/>
  <c r="AR507" i="154"/>
  <c r="AS507" i="154"/>
  <c r="AT507" i="154"/>
  <c r="AU507" i="154"/>
  <c r="AV507" i="154"/>
  <c r="AW507" i="154"/>
  <c r="AX507" i="154"/>
  <c r="AY507" i="154"/>
  <c r="AZ507" i="154"/>
  <c r="BA507" i="154"/>
  <c r="R359" i="155"/>
  <c r="R363" i="155"/>
  <c r="R361" i="155"/>
  <c r="R362" i="155"/>
  <c r="R360" i="155"/>
  <c r="R358" i="155"/>
  <c r="K576" i="153"/>
  <c r="AO403" i="154"/>
  <c r="AO402" i="154"/>
  <c r="AO406" i="154"/>
  <c r="AO405" i="154"/>
  <c r="AO404" i="154"/>
  <c r="AO407" i="154"/>
  <c r="AK384" i="154"/>
  <c r="AK382" i="154"/>
  <c r="AK385" i="154"/>
  <c r="AK383" i="154"/>
  <c r="AK387" i="154"/>
  <c r="AK386" i="154"/>
  <c r="AM602" i="154"/>
  <c r="AM542" i="154"/>
  <c r="AN382" i="153"/>
  <c r="AN385" i="153"/>
  <c r="AN387" i="153"/>
  <c r="AN384" i="153"/>
  <c r="AN386" i="153"/>
  <c r="AN383" i="153"/>
  <c r="W361" i="155"/>
  <c r="W359" i="155"/>
  <c r="W360" i="155"/>
  <c r="W358" i="155"/>
  <c r="W362" i="155"/>
  <c r="W363" i="155"/>
  <c r="T408" i="155"/>
  <c r="T58" i="155" s="1"/>
  <c r="T123" i="155" s="1"/>
  <c r="W380" i="155"/>
  <c r="W50" i="155" s="1"/>
  <c r="W115" i="155" s="1"/>
  <c r="AF542" i="153"/>
  <c r="AF602" i="153"/>
  <c r="Z588" i="154"/>
  <c r="Z526" i="154"/>
  <c r="W408" i="155"/>
  <c r="W58" i="155" s="1"/>
  <c r="W123" i="155" s="1"/>
  <c r="AL384" i="155"/>
  <c r="AL385" i="155"/>
  <c r="AL386" i="155"/>
  <c r="AL387" i="155"/>
  <c r="AL383" i="155"/>
  <c r="AL382" i="155"/>
  <c r="Z380" i="155"/>
  <c r="Z50" i="155" s="1"/>
  <c r="Z115" i="155" s="1"/>
  <c r="AI549" i="153"/>
  <c r="AI613" i="153" s="1"/>
  <c r="AI611" i="153"/>
  <c r="AO549" i="154"/>
  <c r="AO613" i="154" s="1"/>
  <c r="AO611" i="154"/>
  <c r="X408" i="155"/>
  <c r="X58" i="155" s="1"/>
  <c r="X123" i="155" s="1"/>
  <c r="T388" i="155"/>
  <c r="T51" i="155" s="1"/>
  <c r="T116" i="155" s="1"/>
  <c r="X606" i="154"/>
  <c r="AJ232" i="155"/>
  <c r="AN585" i="153"/>
  <c r="AN524" i="153"/>
  <c r="W388" i="153"/>
  <c r="W51" i="153" s="1"/>
  <c r="W116" i="153" s="1"/>
  <c r="AG585" i="155"/>
  <c r="AG524" i="155"/>
  <c r="Y230" i="155"/>
  <c r="T588" i="153"/>
  <c r="T526" i="153"/>
  <c r="AH234" i="154"/>
  <c r="AC408" i="154"/>
  <c r="AC58" i="154" s="1"/>
  <c r="AC123" i="154" s="1"/>
  <c r="AB606" i="154"/>
  <c r="AK368" i="154"/>
  <c r="AK369" i="154"/>
  <c r="AK371" i="154"/>
  <c r="AK370" i="154"/>
  <c r="AK367" i="154"/>
  <c r="AK366" i="154"/>
  <c r="AB230" i="155"/>
  <c r="AA398" i="154"/>
  <c r="AA396" i="154"/>
  <c r="AA397" i="154"/>
  <c r="AA395" i="154"/>
  <c r="AA399" i="154"/>
  <c r="AA394" i="154"/>
  <c r="S588" i="154"/>
  <c r="S526" i="154"/>
  <c r="AN406" i="154"/>
  <c r="AN402" i="154"/>
  <c r="AN404" i="154"/>
  <c r="AN403" i="154"/>
  <c r="AN407" i="154"/>
  <c r="AN405" i="154"/>
  <c r="AJ383" i="154"/>
  <c r="AJ384" i="154"/>
  <c r="AJ382" i="154"/>
  <c r="AJ386" i="154"/>
  <c r="AJ385" i="154"/>
  <c r="AJ387" i="154"/>
  <c r="AL602" i="154"/>
  <c r="AL542" i="154"/>
  <c r="AM387" i="153"/>
  <c r="AM385" i="153"/>
  <c r="AM383" i="153"/>
  <c r="AM382" i="153"/>
  <c r="AM386" i="153"/>
  <c r="AM384" i="153"/>
  <c r="W606" i="155"/>
  <c r="U358" i="154"/>
  <c r="U360" i="154"/>
  <c r="U363" i="154"/>
  <c r="U361" i="154"/>
  <c r="U362" i="154"/>
  <c r="U359" i="154"/>
  <c r="W576" i="154"/>
  <c r="W515" i="154"/>
  <c r="R380" i="154"/>
  <c r="R50" i="154" s="1"/>
  <c r="AE602" i="153"/>
  <c r="AE542" i="153"/>
  <c r="AB380" i="153"/>
  <c r="AB50" i="153" s="1"/>
  <c r="AB115" i="153" s="1"/>
  <c r="S408" i="153"/>
  <c r="S58" i="153" s="1"/>
  <c r="S123" i="153" s="1"/>
  <c r="AK385" i="155"/>
  <c r="AK382" i="155"/>
  <c r="AK387" i="155"/>
  <c r="AK384" i="155"/>
  <c r="AK386" i="155"/>
  <c r="AK383" i="155"/>
  <c r="AH611" i="153"/>
  <c r="AH549" i="153"/>
  <c r="AH613" i="153" s="1"/>
  <c r="AN611" i="154"/>
  <c r="AN549" i="154"/>
  <c r="AN613" i="154" s="1"/>
  <c r="X388" i="154"/>
  <c r="X51" i="154" s="1"/>
  <c r="X116" i="154" s="1"/>
  <c r="AI232" i="155"/>
  <c r="AM585" i="153"/>
  <c r="AM524" i="153"/>
  <c r="AC380" i="155"/>
  <c r="AC50" i="155" s="1"/>
  <c r="AC115" i="155" s="1"/>
  <c r="AF585" i="155"/>
  <c r="AF524" i="155"/>
  <c r="X606" i="153"/>
  <c r="AG234" i="154"/>
  <c r="AB360" i="154"/>
  <c r="AB363" i="154"/>
  <c r="AB359" i="154"/>
  <c r="AB362" i="154"/>
  <c r="AB361" i="154"/>
  <c r="AB358" i="154"/>
  <c r="Z408" i="153"/>
  <c r="Z58" i="153" s="1"/>
  <c r="Z123" i="153" s="1"/>
  <c r="AJ370" i="154"/>
  <c r="AJ367" i="154"/>
  <c r="AJ369" i="154"/>
  <c r="AJ368" i="154"/>
  <c r="AJ366" i="154"/>
  <c r="AJ371" i="154"/>
  <c r="AO512" i="155"/>
  <c r="AA408" i="153"/>
  <c r="AA58" i="153" s="1"/>
  <c r="AA123" i="153" s="1"/>
  <c r="AH351" i="155"/>
  <c r="AH350" i="155"/>
  <c r="AH349" i="155"/>
  <c r="AH346" i="155"/>
  <c r="AH348" i="155"/>
  <c r="AH347" i="155"/>
  <c r="R588" i="154"/>
  <c r="R526" i="154"/>
  <c r="I615" i="153"/>
  <c r="I616" i="153" s="1"/>
  <c r="AD524" i="154"/>
  <c r="AD585" i="154"/>
  <c r="Y372" i="153"/>
  <c r="Y49" i="153" s="1"/>
  <c r="Y114" i="153" s="1"/>
  <c r="AG346" i="155"/>
  <c r="AG351" i="155"/>
  <c r="AG349" i="155"/>
  <c r="AG348" i="155"/>
  <c r="AG350" i="155"/>
  <c r="AG347" i="155"/>
  <c r="S526" i="155"/>
  <c r="S588" i="155"/>
  <c r="AB372" i="153"/>
  <c r="AB49" i="153" s="1"/>
  <c r="AB114" i="153" s="1"/>
  <c r="R352" i="155"/>
  <c r="R44" i="155" s="1"/>
  <c r="AC395" i="154"/>
  <c r="AC398" i="154"/>
  <c r="AC399" i="154"/>
  <c r="AC394" i="154"/>
  <c r="AC397" i="154"/>
  <c r="AC396" i="154"/>
  <c r="T229" i="153"/>
  <c r="T230" i="153"/>
  <c r="AM402" i="154"/>
  <c r="AM403" i="154"/>
  <c r="AM405" i="154"/>
  <c r="AM404" i="154"/>
  <c r="AM407" i="154"/>
  <c r="AM406" i="154"/>
  <c r="Y352" i="153"/>
  <c r="Y44" i="153" s="1"/>
  <c r="Y109" i="153" s="1"/>
  <c r="AI387" i="154"/>
  <c r="AI384" i="154"/>
  <c r="AI385" i="154"/>
  <c r="AI382" i="154"/>
  <c r="AI383" i="154"/>
  <c r="AI386" i="154"/>
  <c r="AK602" i="154"/>
  <c r="AK542" i="154"/>
  <c r="AL382" i="153"/>
  <c r="AL386" i="153"/>
  <c r="AL385" i="153"/>
  <c r="AL384" i="153"/>
  <c r="AL387" i="153"/>
  <c r="AL383" i="153"/>
  <c r="S388" i="153"/>
  <c r="S51" i="153" s="1"/>
  <c r="S116" i="153" s="1"/>
  <c r="U606" i="154"/>
  <c r="AD602" i="153"/>
  <c r="AD542" i="153"/>
  <c r="Y606" i="155"/>
  <c r="AC229" i="154"/>
  <c r="AO374" i="154"/>
  <c r="AO377" i="154"/>
  <c r="AO376" i="154"/>
  <c r="AO375" i="154"/>
  <c r="AO379" i="154"/>
  <c r="AO378" i="154"/>
  <c r="AJ387" i="155"/>
  <c r="AJ386" i="155"/>
  <c r="AJ384" i="155"/>
  <c r="AJ385" i="155"/>
  <c r="AJ383" i="155"/>
  <c r="AJ382" i="155"/>
  <c r="AG611" i="153"/>
  <c r="AG549" i="153"/>
  <c r="AG613" i="153" s="1"/>
  <c r="AM549" i="154"/>
  <c r="AM613" i="154" s="1"/>
  <c r="AM611" i="154"/>
  <c r="AH232" i="155"/>
  <c r="AL585" i="153"/>
  <c r="AL524" i="153"/>
  <c r="AB515" i="153"/>
  <c r="AB576" i="153"/>
  <c r="AE585" i="155"/>
  <c r="AE524" i="155"/>
  <c r="X358" i="153"/>
  <c r="X363" i="153"/>
  <c r="X360" i="153"/>
  <c r="X361" i="153"/>
  <c r="X359" i="153"/>
  <c r="X362" i="153"/>
  <c r="AF234" i="154"/>
  <c r="AI369" i="154"/>
  <c r="AI366" i="154"/>
  <c r="AI370" i="154"/>
  <c r="AI367" i="154"/>
  <c r="AI368" i="154"/>
  <c r="AI371" i="154"/>
  <c r="Z388" i="155"/>
  <c r="Z51" i="155" s="1"/>
  <c r="Z116" i="155" s="1"/>
  <c r="AA606" i="153"/>
  <c r="AI234" i="155"/>
  <c r="AB372" i="155"/>
  <c r="AB49" i="155" s="1"/>
  <c r="AB114" i="155" s="1"/>
  <c r="AH234" i="155"/>
  <c r="L604" i="153"/>
  <c r="M540" i="153"/>
  <c r="AP540" i="153"/>
  <c r="AP604" i="153" s="1"/>
  <c r="AQ540" i="153"/>
  <c r="AQ604" i="153" s="1"/>
  <c r="AR540" i="153"/>
  <c r="AR604" i="153" s="1"/>
  <c r="AS540" i="153"/>
  <c r="AS604" i="153" s="1"/>
  <c r="AT540" i="153"/>
  <c r="AT604" i="153" s="1"/>
  <c r="AU540" i="153"/>
  <c r="AU604" i="153" s="1"/>
  <c r="AV540" i="153"/>
  <c r="AV604" i="153" s="1"/>
  <c r="AW540" i="153"/>
  <c r="AW604" i="153" s="1"/>
  <c r="AX540" i="153"/>
  <c r="AX604" i="153" s="1"/>
  <c r="AY540" i="153"/>
  <c r="AY604" i="153" s="1"/>
  <c r="AZ540" i="153"/>
  <c r="AZ604" i="153" s="1"/>
  <c r="BA540" i="153"/>
  <c r="BA604" i="153" s="1"/>
  <c r="L585" i="154"/>
  <c r="AP521" i="154"/>
  <c r="AQ521" i="154"/>
  <c r="AR521" i="154"/>
  <c r="AS521" i="154"/>
  <c r="AT521" i="154"/>
  <c r="AU521" i="154"/>
  <c r="AV521" i="154"/>
  <c r="AW521" i="154"/>
  <c r="AX521" i="154"/>
  <c r="AY521" i="154"/>
  <c r="AZ521" i="154"/>
  <c r="BA521" i="154"/>
  <c r="AG234" i="155"/>
  <c r="AF347" i="155"/>
  <c r="AF350" i="155"/>
  <c r="AF348" i="155"/>
  <c r="AF349" i="155"/>
  <c r="AF346" i="155"/>
  <c r="AF351" i="155"/>
  <c r="V588" i="153"/>
  <c r="V526" i="153"/>
  <c r="J579" i="155"/>
  <c r="T372" i="154"/>
  <c r="T49" i="154" s="1"/>
  <c r="T114" i="154" s="1"/>
  <c r="K588" i="154"/>
  <c r="U526" i="155"/>
  <c r="U588" i="155"/>
  <c r="U380" i="153"/>
  <c r="U50" i="153" s="1"/>
  <c r="U115" i="153" s="1"/>
  <c r="W588" i="155"/>
  <c r="W526" i="155"/>
  <c r="AL406" i="154"/>
  <c r="AL407" i="154"/>
  <c r="AL404" i="154"/>
  <c r="AL403" i="154"/>
  <c r="AL405" i="154"/>
  <c r="AL402" i="154"/>
  <c r="AH382" i="154"/>
  <c r="AH383" i="154"/>
  <c r="AH387" i="154"/>
  <c r="AH384" i="154"/>
  <c r="AH386" i="154"/>
  <c r="AH385" i="154"/>
  <c r="AJ542" i="154"/>
  <c r="AJ602" i="154"/>
  <c r="AK387" i="153"/>
  <c r="AK383" i="153"/>
  <c r="AK386" i="153"/>
  <c r="AK385" i="153"/>
  <c r="AK382" i="153"/>
  <c r="AK384" i="153"/>
  <c r="Z229" i="153"/>
  <c r="AA229" i="153"/>
  <c r="Y588" i="154"/>
  <c r="Y526" i="154"/>
  <c r="AB229" i="153"/>
  <c r="K606" i="153"/>
  <c r="Y360" i="155"/>
  <c r="Y359" i="155"/>
  <c r="Y362" i="155"/>
  <c r="Y361" i="155"/>
  <c r="Y363" i="155"/>
  <c r="Y358" i="155"/>
  <c r="AB229" i="154"/>
  <c r="AN378" i="154"/>
  <c r="AN377" i="154"/>
  <c r="AN375" i="154"/>
  <c r="AN379" i="154"/>
  <c r="AN376" i="154"/>
  <c r="AN374" i="154"/>
  <c r="AI384" i="155"/>
  <c r="AI382" i="155"/>
  <c r="AI385" i="155"/>
  <c r="AI383" i="155"/>
  <c r="AI387" i="155"/>
  <c r="AI386" i="155"/>
  <c r="AF611" i="153"/>
  <c r="AF549" i="153"/>
  <c r="AF613" i="153" s="1"/>
  <c r="AL611" i="154"/>
  <c r="AL549" i="154"/>
  <c r="AL613" i="154" s="1"/>
  <c r="T372" i="155"/>
  <c r="T49" i="155" s="1"/>
  <c r="T114" i="155" s="1"/>
  <c r="U388" i="155"/>
  <c r="U51" i="155" s="1"/>
  <c r="U116" i="155" s="1"/>
  <c r="AG232" i="155"/>
  <c r="AK585" i="153"/>
  <c r="AK524" i="153"/>
  <c r="U372" i="155"/>
  <c r="U49" i="155" s="1"/>
  <c r="U114" i="155" s="1"/>
  <c r="R372" i="153"/>
  <c r="R49" i="153" s="1"/>
  <c r="AD585" i="155"/>
  <c r="AD524" i="155"/>
  <c r="R228" i="155"/>
  <c r="AO234" i="153"/>
  <c r="AE234" i="154"/>
  <c r="Y388" i="155"/>
  <c r="Y51" i="155" s="1"/>
  <c r="Y116" i="155" s="1"/>
  <c r="U396" i="154"/>
  <c r="U395" i="154"/>
  <c r="U397" i="154"/>
  <c r="U398" i="154"/>
  <c r="U399" i="154"/>
  <c r="U394" i="154"/>
  <c r="AH367" i="154"/>
  <c r="AH369" i="154"/>
  <c r="AH371" i="154"/>
  <c r="AH370" i="154"/>
  <c r="AH366" i="154"/>
  <c r="AH368" i="154"/>
  <c r="AM512" i="155"/>
  <c r="AA360" i="153"/>
  <c r="AA361" i="153"/>
  <c r="AA358" i="153"/>
  <c r="AA359" i="153"/>
  <c r="AA363" i="153"/>
  <c r="AA362" i="153"/>
  <c r="AC372" i="153"/>
  <c r="AC49" i="153" s="1"/>
  <c r="AC114" i="153" s="1"/>
  <c r="AK407" i="154"/>
  <c r="AK406" i="154"/>
  <c r="AK405" i="154"/>
  <c r="AK402" i="154"/>
  <c r="AK403" i="154"/>
  <c r="AK404" i="154"/>
  <c r="AG387" i="154"/>
  <c r="AG383" i="154"/>
  <c r="AG384" i="154"/>
  <c r="AG385" i="154"/>
  <c r="AG386" i="154"/>
  <c r="AG382" i="154"/>
  <c r="AJ383" i="153"/>
  <c r="AJ387" i="153"/>
  <c r="AJ382" i="153"/>
  <c r="AJ384" i="153"/>
  <c r="AJ386" i="153"/>
  <c r="AJ385" i="153"/>
  <c r="K580" i="155"/>
  <c r="AD516" i="155"/>
  <c r="AD580" i="155" s="1"/>
  <c r="AE516" i="155"/>
  <c r="AE580" i="155" s="1"/>
  <c r="AF516" i="155"/>
  <c r="AF580" i="155" s="1"/>
  <c r="AG516" i="155"/>
  <c r="AG580" i="155" s="1"/>
  <c r="AH516" i="155"/>
  <c r="AH580" i="155" s="1"/>
  <c r="AI516" i="155"/>
  <c r="AI580" i="155" s="1"/>
  <c r="AJ516" i="155"/>
  <c r="AJ580" i="155" s="1"/>
  <c r="AK516" i="155"/>
  <c r="AK580" i="155" s="1"/>
  <c r="AL516" i="155"/>
  <c r="AL580" i="155" s="1"/>
  <c r="AM516" i="155"/>
  <c r="AM580" i="155" s="1"/>
  <c r="AN516" i="155"/>
  <c r="AN580" i="155" s="1"/>
  <c r="AO516" i="155"/>
  <c r="AO580" i="155" s="1"/>
  <c r="AO407" i="153"/>
  <c r="AO403" i="153"/>
  <c r="AO404" i="153"/>
  <c r="AO405" i="153"/>
  <c r="AO406" i="153"/>
  <c r="AO402" i="153"/>
  <c r="AM377" i="154"/>
  <c r="AM378" i="154"/>
  <c r="AM379" i="154"/>
  <c r="AM374" i="154"/>
  <c r="AM375" i="154"/>
  <c r="AM376" i="154"/>
  <c r="AH386" i="155"/>
  <c r="AH387" i="155"/>
  <c r="AH382" i="155"/>
  <c r="AH384" i="155"/>
  <c r="AH383" i="155"/>
  <c r="AH385" i="155"/>
  <c r="AP509" i="153"/>
  <c r="AP573" i="153" s="1"/>
  <c r="AQ509" i="153"/>
  <c r="AQ573" i="153" s="1"/>
  <c r="AR509" i="153"/>
  <c r="AR573" i="153" s="1"/>
  <c r="AS509" i="153"/>
  <c r="AS573" i="153" s="1"/>
  <c r="AT509" i="153"/>
  <c r="AT573" i="153" s="1"/>
  <c r="AU509" i="153"/>
  <c r="AU573" i="153" s="1"/>
  <c r="AV509" i="153"/>
  <c r="AV573" i="153" s="1"/>
  <c r="AW509" i="153"/>
  <c r="AW573" i="153" s="1"/>
  <c r="AX509" i="153"/>
  <c r="AX573" i="153" s="1"/>
  <c r="AY509" i="153"/>
  <c r="AY573" i="153" s="1"/>
  <c r="AZ509" i="153"/>
  <c r="AZ573" i="153" s="1"/>
  <c r="BA509" i="153"/>
  <c r="BA573" i="153" s="1"/>
  <c r="AE549" i="153"/>
  <c r="AE613" i="153" s="1"/>
  <c r="AE611" i="153"/>
  <c r="AK611" i="154"/>
  <c r="AK549" i="154"/>
  <c r="AK613" i="154" s="1"/>
  <c r="AF232" i="155"/>
  <c r="AJ585" i="153"/>
  <c r="AJ524" i="153"/>
  <c r="AC388" i="153"/>
  <c r="AC51" i="153" s="1"/>
  <c r="AC116" i="153" s="1"/>
  <c r="Y399" i="155"/>
  <c r="Y394" i="155"/>
  <c r="Y396" i="155"/>
  <c r="Y397" i="155"/>
  <c r="Y395" i="155"/>
  <c r="Y398" i="155"/>
  <c r="L585" i="155"/>
  <c r="AP521" i="155"/>
  <c r="AQ521" i="155"/>
  <c r="AR521" i="155"/>
  <c r="AS521" i="155"/>
  <c r="AT521" i="155"/>
  <c r="AU521" i="155"/>
  <c r="AV521" i="155"/>
  <c r="AW521" i="155"/>
  <c r="AX521" i="155"/>
  <c r="AY521" i="155"/>
  <c r="AZ521" i="155"/>
  <c r="BA521" i="155"/>
  <c r="AC515" i="153"/>
  <c r="AC576" i="153"/>
  <c r="AA388" i="154"/>
  <c r="AA51" i="154" s="1"/>
  <c r="AA116" i="154" s="1"/>
  <c r="W380" i="154"/>
  <c r="W50" i="154" s="1"/>
  <c r="W115" i="154" s="1"/>
  <c r="AN234" i="153"/>
  <c r="AD234" i="154"/>
  <c r="AB388" i="154"/>
  <c r="AB51" i="154" s="1"/>
  <c r="AB116" i="154" s="1"/>
  <c r="AC388" i="154"/>
  <c r="AC51" i="154" s="1"/>
  <c r="AC116" i="154" s="1"/>
  <c r="AG367" i="154"/>
  <c r="AG366" i="154"/>
  <c r="AG370" i="154"/>
  <c r="AG371" i="154"/>
  <c r="AG369" i="154"/>
  <c r="AG368" i="154"/>
  <c r="AL512" i="155"/>
  <c r="T228" i="155"/>
  <c r="AE350" i="155"/>
  <c r="AE349" i="155"/>
  <c r="AE347" i="155"/>
  <c r="AE346" i="155"/>
  <c r="AE348" i="155"/>
  <c r="AE351" i="155"/>
  <c r="AO602" i="155"/>
  <c r="AO542" i="155"/>
  <c r="W588" i="153"/>
  <c r="W526" i="153"/>
  <c r="AI542" i="154"/>
  <c r="AI602" i="154"/>
  <c r="AB408" i="153"/>
  <c r="AB58" i="153" s="1"/>
  <c r="AB123" i="153" s="1"/>
  <c r="V352" i="154"/>
  <c r="V44" i="154" s="1"/>
  <c r="V109" i="154" s="1"/>
  <c r="AA228" i="154"/>
  <c r="AE234" i="155"/>
  <c r="AD348" i="155"/>
  <c r="AD351" i="155"/>
  <c r="AD347" i="155"/>
  <c r="AD349" i="155"/>
  <c r="AD350" i="155"/>
  <c r="AD346" i="155"/>
  <c r="AN233" i="155"/>
  <c r="AN602" i="155"/>
  <c r="AN542" i="155"/>
  <c r="AE233" i="154"/>
  <c r="T380" i="155"/>
  <c r="T50" i="155" s="1"/>
  <c r="T115" i="155" s="1"/>
  <c r="AA352" i="154"/>
  <c r="AA44" i="154" s="1"/>
  <c r="AA109" i="154" s="1"/>
  <c r="R388" i="154"/>
  <c r="R51" i="154" s="1"/>
  <c r="AJ406" i="154"/>
  <c r="AJ407" i="154"/>
  <c r="AJ404" i="154"/>
  <c r="AJ402" i="154"/>
  <c r="AJ403" i="154"/>
  <c r="AJ405" i="154"/>
  <c r="AF387" i="154"/>
  <c r="AF385" i="154"/>
  <c r="AF386" i="154"/>
  <c r="AF382" i="154"/>
  <c r="AF383" i="154"/>
  <c r="AF384" i="154"/>
  <c r="AH602" i="154"/>
  <c r="AH542" i="154"/>
  <c r="AI382" i="153"/>
  <c r="AI387" i="153"/>
  <c r="AI385" i="153"/>
  <c r="AI383" i="153"/>
  <c r="AI386" i="153"/>
  <c r="AI384" i="153"/>
  <c r="AB372" i="154"/>
  <c r="AB49" i="154" s="1"/>
  <c r="AB114" i="154" s="1"/>
  <c r="R388" i="155"/>
  <c r="R51" i="155" s="1"/>
  <c r="AN403" i="153"/>
  <c r="AN407" i="153"/>
  <c r="AN405" i="153"/>
  <c r="AN406" i="153"/>
  <c r="AN404" i="153"/>
  <c r="AN402" i="153"/>
  <c r="L602" i="153"/>
  <c r="L542" i="153"/>
  <c r="M538" i="153"/>
  <c r="AP538" i="153"/>
  <c r="AQ538" i="153"/>
  <c r="AR538" i="153"/>
  <c r="AS538" i="153"/>
  <c r="AT538" i="153"/>
  <c r="AU538" i="153"/>
  <c r="AV538" i="153"/>
  <c r="AW538" i="153"/>
  <c r="AX538" i="153"/>
  <c r="AY538" i="153"/>
  <c r="AZ538" i="153"/>
  <c r="BA538" i="153"/>
  <c r="X576" i="153"/>
  <c r="X515" i="153"/>
  <c r="Z229" i="154"/>
  <c r="AL379" i="154"/>
  <c r="AL378" i="154"/>
  <c r="AL376" i="154"/>
  <c r="AL374" i="154"/>
  <c r="AL377" i="154"/>
  <c r="AL375" i="154"/>
  <c r="AG386" i="155"/>
  <c r="AG384" i="155"/>
  <c r="AG385" i="155"/>
  <c r="AG382" i="155"/>
  <c r="AG383" i="155"/>
  <c r="AG387" i="155"/>
  <c r="J579" i="154"/>
  <c r="AD549" i="153"/>
  <c r="AD613" i="153" s="1"/>
  <c r="AD611" i="153"/>
  <c r="AJ549" i="154"/>
  <c r="AJ613" i="154" s="1"/>
  <c r="AJ611" i="154"/>
  <c r="AB352" i="155"/>
  <c r="AB44" i="155" s="1"/>
  <c r="AB109" i="155" s="1"/>
  <c r="AE232" i="155"/>
  <c r="Z388" i="153"/>
  <c r="Z51" i="153" s="1"/>
  <c r="Z116" i="153" s="1"/>
  <c r="AI585" i="153"/>
  <c r="AI524" i="153"/>
  <c r="Z398" i="155"/>
  <c r="Z394" i="155"/>
  <c r="Z395" i="155"/>
  <c r="Z397" i="155"/>
  <c r="Z396" i="155"/>
  <c r="Z399" i="155"/>
  <c r="K588" i="155"/>
  <c r="V397" i="153"/>
  <c r="V398" i="153"/>
  <c r="V399" i="153"/>
  <c r="V395" i="153"/>
  <c r="V394" i="153"/>
  <c r="V396" i="153"/>
  <c r="AM234" i="153"/>
  <c r="Y408" i="153"/>
  <c r="Y58" i="153" s="1"/>
  <c r="Y123" i="153" s="1"/>
  <c r="Z606" i="153"/>
  <c r="AF367" i="154"/>
  <c r="AF370" i="154"/>
  <c r="AF369" i="154"/>
  <c r="AF368" i="154"/>
  <c r="AF366" i="154"/>
  <c r="AF371" i="154"/>
  <c r="Y399" i="153"/>
  <c r="Y398" i="153"/>
  <c r="Y397" i="153"/>
  <c r="Y395" i="153"/>
  <c r="Y394" i="153"/>
  <c r="Y396" i="153"/>
  <c r="V396" i="154"/>
  <c r="V398" i="154"/>
  <c r="V395" i="154"/>
  <c r="V397" i="154"/>
  <c r="V399" i="154"/>
  <c r="V394" i="154"/>
  <c r="Z228" i="154"/>
  <c r="AM602" i="155"/>
  <c r="AM542" i="155"/>
  <c r="T380" i="153"/>
  <c r="T50" i="153" s="1"/>
  <c r="T115" i="153" s="1"/>
  <c r="AB395" i="154"/>
  <c r="AB396" i="154"/>
  <c r="AB398" i="154"/>
  <c r="AB394" i="154"/>
  <c r="AB397" i="154"/>
  <c r="AB399" i="154"/>
  <c r="AO402" i="155"/>
  <c r="AO406" i="155"/>
  <c r="AO405" i="155"/>
  <c r="AO403" i="155"/>
  <c r="AO407" i="155"/>
  <c r="AO404" i="155"/>
  <c r="T515" i="154"/>
  <c r="AI404" i="154"/>
  <c r="AI403" i="154"/>
  <c r="AI407" i="154"/>
  <c r="AI402" i="154"/>
  <c r="AI406" i="154"/>
  <c r="AI405" i="154"/>
  <c r="X380" i="153"/>
  <c r="X50" i="153" s="1"/>
  <c r="X115" i="153" s="1"/>
  <c r="AE386" i="154"/>
  <c r="AE384" i="154"/>
  <c r="AE385" i="154"/>
  <c r="AE383" i="154"/>
  <c r="AE387" i="154"/>
  <c r="AE382" i="154"/>
  <c r="AG602" i="154"/>
  <c r="AG542" i="154"/>
  <c r="AH382" i="153"/>
  <c r="AH387" i="153"/>
  <c r="AH385" i="153"/>
  <c r="AH383" i="153"/>
  <c r="AH386" i="153"/>
  <c r="AH384" i="153"/>
  <c r="AC588" i="153"/>
  <c r="AC526" i="153"/>
  <c r="AM403" i="153"/>
  <c r="AM406" i="153"/>
  <c r="AM407" i="153"/>
  <c r="AM405" i="153"/>
  <c r="AM402" i="153"/>
  <c r="AM404" i="153"/>
  <c r="AA380" i="153"/>
  <c r="AA50" i="153" s="1"/>
  <c r="AA115" i="153" s="1"/>
  <c r="Y229" i="154"/>
  <c r="AK379" i="154"/>
  <c r="AK377" i="154"/>
  <c r="AK375" i="154"/>
  <c r="AK376" i="154"/>
  <c r="AK378" i="154"/>
  <c r="AK374" i="154"/>
  <c r="AF382" i="155"/>
  <c r="AF384" i="155"/>
  <c r="AF385" i="155"/>
  <c r="AF386" i="155"/>
  <c r="AF387" i="155"/>
  <c r="AF383" i="155"/>
  <c r="AO611" i="155"/>
  <c r="AO549" i="155"/>
  <c r="AO613" i="155" s="1"/>
  <c r="AI611" i="154"/>
  <c r="AI549" i="154"/>
  <c r="AI613" i="154" s="1"/>
  <c r="AA576" i="153"/>
  <c r="AA515" i="153"/>
  <c r="AD232" i="155"/>
  <c r="AH585" i="153"/>
  <c r="AH524" i="153"/>
  <c r="AB515" i="154"/>
  <c r="AB576" i="154"/>
  <c r="AA408" i="155"/>
  <c r="AA58" i="155" s="1"/>
  <c r="AA123" i="155" s="1"/>
  <c r="S372" i="153"/>
  <c r="S49" i="153" s="1"/>
  <c r="S114" i="153" s="1"/>
  <c r="AL234" i="153"/>
  <c r="L589" i="154"/>
  <c r="AP525" i="154"/>
  <c r="AP589" i="154" s="1"/>
  <c r="AQ525" i="154"/>
  <c r="AQ589" i="154" s="1"/>
  <c r="AR525" i="154"/>
  <c r="AR589" i="154" s="1"/>
  <c r="AS525" i="154"/>
  <c r="AS589" i="154" s="1"/>
  <c r="AT525" i="154"/>
  <c r="AT589" i="154" s="1"/>
  <c r="AU525" i="154"/>
  <c r="AU589" i="154" s="1"/>
  <c r="AV525" i="154"/>
  <c r="AV589" i="154" s="1"/>
  <c r="AW525" i="154"/>
  <c r="AW589" i="154" s="1"/>
  <c r="AX525" i="154"/>
  <c r="AX589" i="154" s="1"/>
  <c r="AY525" i="154"/>
  <c r="AY589" i="154" s="1"/>
  <c r="AZ525" i="154"/>
  <c r="AZ589" i="154" s="1"/>
  <c r="BA525" i="154"/>
  <c r="BA589" i="154" s="1"/>
  <c r="Z360" i="153"/>
  <c r="Z358" i="153"/>
  <c r="Z362" i="153"/>
  <c r="Z361" i="153"/>
  <c r="Z363" i="153"/>
  <c r="Z359" i="153"/>
  <c r="AE368" i="154"/>
  <c r="AE366" i="154"/>
  <c r="AE367" i="154"/>
  <c r="AE370" i="154"/>
  <c r="AE369" i="154"/>
  <c r="AE371" i="154"/>
  <c r="AJ512" i="155"/>
  <c r="AC388" i="155"/>
  <c r="AC51" i="155" s="1"/>
  <c r="AC116" i="155" s="1"/>
  <c r="Y228" i="154"/>
  <c r="AL233" i="155"/>
  <c r="AL602" i="155"/>
  <c r="AL542" i="155"/>
  <c r="Z372" i="153"/>
  <c r="Z49" i="153" s="1"/>
  <c r="Z114" i="153" s="1"/>
  <c r="U588" i="153"/>
  <c r="U526" i="153"/>
  <c r="L587" i="154"/>
  <c r="AP523" i="154"/>
  <c r="AP587" i="154" s="1"/>
  <c r="AQ523" i="154"/>
  <c r="AQ587" i="154" s="1"/>
  <c r="AR523" i="154"/>
  <c r="AR587" i="154" s="1"/>
  <c r="AS523" i="154"/>
  <c r="AS587" i="154" s="1"/>
  <c r="AT523" i="154"/>
  <c r="AT587" i="154" s="1"/>
  <c r="AU523" i="154"/>
  <c r="AU587" i="154" s="1"/>
  <c r="AV523" i="154"/>
  <c r="AV587" i="154" s="1"/>
  <c r="AW523" i="154"/>
  <c r="AW587" i="154" s="1"/>
  <c r="AX523" i="154"/>
  <c r="AX587" i="154" s="1"/>
  <c r="AY523" i="154"/>
  <c r="AY587" i="154" s="1"/>
  <c r="AZ523" i="154"/>
  <c r="AZ587" i="154" s="1"/>
  <c r="BA523" i="154"/>
  <c r="BA587" i="154" s="1"/>
  <c r="S360" i="155"/>
  <c r="S358" i="155"/>
  <c r="S363" i="155"/>
  <c r="S362" i="155"/>
  <c r="S359" i="155"/>
  <c r="S361" i="155"/>
  <c r="S380" i="153"/>
  <c r="S50" i="153" s="1"/>
  <c r="S115" i="153" s="1"/>
  <c r="V526" i="155"/>
  <c r="V588" i="155"/>
  <c r="AC230" i="154"/>
  <c r="AN407" i="155"/>
  <c r="AN406" i="155"/>
  <c r="AN402" i="155"/>
  <c r="AN405" i="155"/>
  <c r="AN404" i="155"/>
  <c r="AN403" i="155"/>
  <c r="AH402" i="154"/>
  <c r="AH403" i="154"/>
  <c r="AH404" i="154"/>
  <c r="AH406" i="154"/>
  <c r="AH405" i="154"/>
  <c r="AH407" i="154"/>
  <c r="AD386" i="154"/>
  <c r="AD387" i="154"/>
  <c r="AD382" i="154"/>
  <c r="AD385" i="154"/>
  <c r="AD383" i="154"/>
  <c r="AD384" i="154"/>
  <c r="AF542" i="154"/>
  <c r="AF602" i="154"/>
  <c r="AG386" i="153"/>
  <c r="AG387" i="153"/>
  <c r="AG385" i="153"/>
  <c r="AG384" i="153"/>
  <c r="AG383" i="153"/>
  <c r="AG382" i="153"/>
  <c r="S363" i="154"/>
  <c r="S361" i="154"/>
  <c r="S360" i="154"/>
  <c r="S358" i="154"/>
  <c r="S362" i="154"/>
  <c r="S359" i="154"/>
  <c r="Z380" i="153"/>
  <c r="Z50" i="153" s="1"/>
  <c r="Z115" i="153" s="1"/>
  <c r="AL407" i="153"/>
  <c r="AL405" i="153"/>
  <c r="AL402" i="153"/>
  <c r="AL404" i="153"/>
  <c r="AL403" i="153"/>
  <c r="AL406" i="153"/>
  <c r="W576" i="153"/>
  <c r="W515" i="153"/>
  <c r="S388" i="155"/>
  <c r="S51" i="155" s="1"/>
  <c r="S116" i="155" s="1"/>
  <c r="AO367" i="155"/>
  <c r="AO366" i="155"/>
  <c r="AO371" i="155"/>
  <c r="AO369" i="155"/>
  <c r="AO368" i="155"/>
  <c r="AO370" i="155"/>
  <c r="S362" i="153"/>
  <c r="S361" i="153"/>
  <c r="S360" i="153"/>
  <c r="S363" i="153"/>
  <c r="S359" i="153"/>
  <c r="S358" i="153"/>
  <c r="Z606" i="155"/>
  <c r="X229" i="154"/>
  <c r="AJ379" i="154"/>
  <c r="AJ375" i="154"/>
  <c r="AJ376" i="154"/>
  <c r="AJ377" i="154"/>
  <c r="AJ378" i="154"/>
  <c r="AJ374" i="154"/>
  <c r="AE385" i="155"/>
  <c r="AE387" i="155"/>
  <c r="AE382" i="155"/>
  <c r="AE384" i="155"/>
  <c r="AE383" i="155"/>
  <c r="AE386" i="155"/>
  <c r="AN549" i="155"/>
  <c r="AN613" i="155" s="1"/>
  <c r="AN611" i="155"/>
  <c r="T388" i="153"/>
  <c r="T51" i="153" s="1"/>
  <c r="T116" i="153" s="1"/>
  <c r="AC380" i="153"/>
  <c r="AC50" i="153" s="1"/>
  <c r="AC115" i="153" s="1"/>
  <c r="M547" i="153"/>
  <c r="L549" i="153"/>
  <c r="L613" i="153" s="1"/>
  <c r="L611" i="153"/>
  <c r="AP547" i="153"/>
  <c r="AQ547" i="153"/>
  <c r="AR547" i="153"/>
  <c r="AS547" i="153"/>
  <c r="AT547" i="153"/>
  <c r="AU547" i="153"/>
  <c r="AV547" i="153"/>
  <c r="AW547" i="153"/>
  <c r="AX547" i="153"/>
  <c r="AY547" i="153"/>
  <c r="AZ547" i="153"/>
  <c r="BA547" i="153"/>
  <c r="AH549" i="154"/>
  <c r="AH613" i="154" s="1"/>
  <c r="AH611" i="154"/>
  <c r="AO233" i="153"/>
  <c r="AA515" i="154"/>
  <c r="AA576" i="154"/>
  <c r="AO368" i="153"/>
  <c r="AO371" i="153"/>
  <c r="AO367" i="153"/>
  <c r="AO369" i="153"/>
  <c r="AO370" i="153"/>
  <c r="AO366" i="153"/>
  <c r="AG585" i="153"/>
  <c r="AG524" i="153"/>
  <c r="Z408" i="155"/>
  <c r="Z58" i="155" s="1"/>
  <c r="Z123" i="155" s="1"/>
  <c r="V397" i="155"/>
  <c r="V394" i="155"/>
  <c r="V395" i="155"/>
  <c r="V399" i="155"/>
  <c r="V396" i="155"/>
  <c r="V398" i="155"/>
  <c r="W606" i="153"/>
  <c r="X388" i="153"/>
  <c r="X51" i="153" s="1"/>
  <c r="X116" i="153" s="1"/>
  <c r="AA388" i="155"/>
  <c r="AA51" i="155" s="1"/>
  <c r="AA116" i="155" s="1"/>
  <c r="AB398" i="155"/>
  <c r="AB397" i="155"/>
  <c r="AB396" i="155"/>
  <c r="AB399" i="155"/>
  <c r="AB395" i="155"/>
  <c r="AB394" i="155"/>
  <c r="AK234" i="153"/>
  <c r="S228" i="155"/>
  <c r="AD366" i="154"/>
  <c r="AD369" i="154"/>
  <c r="AD370" i="154"/>
  <c r="AD367" i="154"/>
  <c r="AD371" i="154"/>
  <c r="AD368" i="154"/>
  <c r="R380" i="153"/>
  <c r="R50" i="153" s="1"/>
  <c r="AB230" i="154"/>
  <c r="V352" i="155"/>
  <c r="V44" i="155" s="1"/>
  <c r="V109" i="155" s="1"/>
  <c r="AM404" i="155"/>
  <c r="AM405" i="155"/>
  <c r="AM407" i="155"/>
  <c r="AM406" i="155"/>
  <c r="AM403" i="155"/>
  <c r="AM402" i="155"/>
  <c r="V526" i="154"/>
  <c r="V588" i="154"/>
  <c r="AG406" i="154"/>
  <c r="AG407" i="154"/>
  <c r="AG405" i="154"/>
  <c r="AG403" i="154"/>
  <c r="AG404" i="154"/>
  <c r="AG402" i="154"/>
  <c r="AO232" i="154"/>
  <c r="AE602" i="154"/>
  <c r="AE542" i="154"/>
  <c r="AF385" i="153"/>
  <c r="AF384" i="153"/>
  <c r="AF382" i="153"/>
  <c r="AF386" i="153"/>
  <c r="AF387" i="153"/>
  <c r="AF383" i="153"/>
  <c r="S606" i="154"/>
  <c r="AK406" i="153"/>
  <c r="AK404" i="153"/>
  <c r="AK402" i="153"/>
  <c r="AK405" i="153"/>
  <c r="AK407" i="153"/>
  <c r="AK403" i="153"/>
  <c r="U408" i="155"/>
  <c r="U58" i="155" s="1"/>
  <c r="U123" i="155" s="1"/>
  <c r="AC372" i="154"/>
  <c r="AC49" i="154" s="1"/>
  <c r="AC114" i="154" s="1"/>
  <c r="AN366" i="155"/>
  <c r="AN369" i="155"/>
  <c r="AN368" i="155"/>
  <c r="AN371" i="155"/>
  <c r="AN367" i="155"/>
  <c r="AN370" i="155"/>
  <c r="S606" i="153"/>
  <c r="Z358" i="155"/>
  <c r="Z361" i="155"/>
  <c r="Z363" i="155"/>
  <c r="Z360" i="155"/>
  <c r="Z359" i="155"/>
  <c r="Z362" i="155"/>
  <c r="W229" i="154"/>
  <c r="AI378" i="154"/>
  <c r="AI375" i="154"/>
  <c r="AI374" i="154"/>
  <c r="AI376" i="154"/>
  <c r="AI379" i="154"/>
  <c r="AI377" i="154"/>
  <c r="AD385" i="155"/>
  <c r="AD386" i="155"/>
  <c r="AD382" i="155"/>
  <c r="AD387" i="155"/>
  <c r="AD383" i="155"/>
  <c r="AD384" i="155"/>
  <c r="AM611" i="155"/>
  <c r="AM549" i="155"/>
  <c r="AM613" i="155" s="1"/>
  <c r="AG549" i="154"/>
  <c r="AG613" i="154" s="1"/>
  <c r="AG611" i="154"/>
  <c r="AN233" i="153"/>
  <c r="AC526" i="154"/>
  <c r="AC588" i="154"/>
  <c r="AN370" i="153"/>
  <c r="AN366" i="153"/>
  <c r="AN367" i="153"/>
  <c r="AN368" i="153"/>
  <c r="AN371" i="153"/>
  <c r="AN369" i="153"/>
  <c r="L586" i="155"/>
  <c r="AP522" i="155"/>
  <c r="AP586" i="155" s="1"/>
  <c r="AQ522" i="155"/>
  <c r="AQ586" i="155" s="1"/>
  <c r="AR522" i="155"/>
  <c r="AR586" i="155" s="1"/>
  <c r="AS522" i="155"/>
  <c r="AS586" i="155" s="1"/>
  <c r="AT522" i="155"/>
  <c r="AT586" i="155" s="1"/>
  <c r="AU522" i="155"/>
  <c r="AU586" i="155" s="1"/>
  <c r="AV522" i="155"/>
  <c r="AV586" i="155" s="1"/>
  <c r="AW522" i="155"/>
  <c r="AW586" i="155" s="1"/>
  <c r="AX522" i="155"/>
  <c r="AX586" i="155" s="1"/>
  <c r="AY522" i="155"/>
  <c r="AY586" i="155" s="1"/>
  <c r="AZ522" i="155"/>
  <c r="AZ586" i="155" s="1"/>
  <c r="BA522" i="155"/>
  <c r="BA586" i="155" s="1"/>
  <c r="AF585" i="153"/>
  <c r="AF524" i="153"/>
  <c r="W360" i="153"/>
  <c r="W358" i="153"/>
  <c r="W359" i="153"/>
  <c r="W361" i="153"/>
  <c r="W363" i="153"/>
  <c r="W362" i="153"/>
  <c r="AC228" i="153"/>
  <c r="AB388" i="153"/>
  <c r="AB51" i="153" s="1"/>
  <c r="AB116" i="153" s="1"/>
  <c r="AO346" i="154"/>
  <c r="AO350" i="154"/>
  <c r="AO348" i="154"/>
  <c r="AO351" i="154"/>
  <c r="AO347" i="154"/>
  <c r="AO349" i="154"/>
  <c r="W372" i="155"/>
  <c r="W49" i="155" s="1"/>
  <c r="W114" i="155" s="1"/>
  <c r="AJ234" i="153"/>
  <c r="AH512" i="155"/>
  <c r="J590" i="154"/>
  <c r="J591" i="154" s="1"/>
  <c r="R527" i="154"/>
  <c r="AD234" i="155"/>
  <c r="L598" i="155"/>
  <c r="M534" i="155"/>
  <c r="AP534" i="155"/>
  <c r="AP598" i="155" s="1"/>
  <c r="AQ534" i="155"/>
  <c r="AQ598" i="155" s="1"/>
  <c r="AR534" i="155"/>
  <c r="AR598" i="155" s="1"/>
  <c r="AS534" i="155"/>
  <c r="AS598" i="155" s="1"/>
  <c r="AT534" i="155"/>
  <c r="AT598" i="155" s="1"/>
  <c r="AU534" i="155"/>
  <c r="AU598" i="155" s="1"/>
  <c r="AV534" i="155"/>
  <c r="AV598" i="155" s="1"/>
  <c r="AW534" i="155"/>
  <c r="AW598" i="155" s="1"/>
  <c r="AX534" i="155"/>
  <c r="AX598" i="155" s="1"/>
  <c r="AY534" i="155"/>
  <c r="AY598" i="155" s="1"/>
  <c r="AZ534" i="155"/>
  <c r="AZ598" i="155" s="1"/>
  <c r="BA534" i="155"/>
  <c r="BA598" i="155" s="1"/>
  <c r="AO347" i="153"/>
  <c r="AO348" i="153"/>
  <c r="AO346" i="153"/>
  <c r="AO350" i="153"/>
  <c r="AO351" i="153"/>
  <c r="AO349" i="153"/>
  <c r="L589" i="155"/>
  <c r="AP525" i="155"/>
  <c r="AP589" i="155" s="1"/>
  <c r="AQ525" i="155"/>
  <c r="AQ589" i="155" s="1"/>
  <c r="AR525" i="155"/>
  <c r="AR589" i="155" s="1"/>
  <c r="AS525" i="155"/>
  <c r="AS589" i="155" s="1"/>
  <c r="AT525" i="155"/>
  <c r="AT589" i="155" s="1"/>
  <c r="AU525" i="155"/>
  <c r="AU589" i="155" s="1"/>
  <c r="AV525" i="155"/>
  <c r="AV589" i="155" s="1"/>
  <c r="AW525" i="155"/>
  <c r="AW589" i="155" s="1"/>
  <c r="AX525" i="155"/>
  <c r="AX589" i="155" s="1"/>
  <c r="AY525" i="155"/>
  <c r="AY589" i="155" s="1"/>
  <c r="AZ525" i="155"/>
  <c r="AZ589" i="155" s="1"/>
  <c r="BA525" i="155"/>
  <c r="BA589" i="155" s="1"/>
  <c r="AK233" i="155"/>
  <c r="AK542" i="155"/>
  <c r="AK602" i="155"/>
  <c r="S606" i="155"/>
  <c r="AC408" i="153"/>
  <c r="AC58" i="153" s="1"/>
  <c r="AC123" i="153" s="1"/>
  <c r="AN350" i="153"/>
  <c r="AN351" i="153"/>
  <c r="AN346" i="153"/>
  <c r="AN347" i="153"/>
  <c r="AN348" i="153"/>
  <c r="AN349" i="153"/>
  <c r="W228" i="154"/>
  <c r="AJ233" i="155"/>
  <c r="AJ602" i="155"/>
  <c r="AJ542" i="155"/>
  <c r="T576" i="155"/>
  <c r="T515" i="155"/>
  <c r="AA230" i="154"/>
  <c r="AL403" i="155"/>
  <c r="AL402" i="155"/>
  <c r="AL404" i="155"/>
  <c r="AL407" i="155"/>
  <c r="AL405" i="155"/>
  <c r="AL406" i="155"/>
  <c r="AN512" i="153"/>
  <c r="AF403" i="154"/>
  <c r="AF405" i="154"/>
  <c r="AF407" i="154"/>
  <c r="AF402" i="154"/>
  <c r="AF404" i="154"/>
  <c r="AF406" i="154"/>
  <c r="AN232" i="154"/>
  <c r="Z515" i="155"/>
  <c r="Z576" i="155"/>
  <c r="L605" i="154"/>
  <c r="M541" i="154"/>
  <c r="AP541" i="154"/>
  <c r="AP605" i="154" s="1"/>
  <c r="AQ541" i="154"/>
  <c r="AQ605" i="154" s="1"/>
  <c r="AR541" i="154"/>
  <c r="AR605" i="154" s="1"/>
  <c r="AS541" i="154"/>
  <c r="AS605" i="154" s="1"/>
  <c r="AT541" i="154"/>
  <c r="AT605" i="154" s="1"/>
  <c r="AU541" i="154"/>
  <c r="AU605" i="154" s="1"/>
  <c r="AV541" i="154"/>
  <c r="AV605" i="154" s="1"/>
  <c r="AW541" i="154"/>
  <c r="AW605" i="154" s="1"/>
  <c r="AX541" i="154"/>
  <c r="AX605" i="154" s="1"/>
  <c r="AY541" i="154"/>
  <c r="AY605" i="154" s="1"/>
  <c r="AZ541" i="154"/>
  <c r="AZ605" i="154" s="1"/>
  <c r="BA541" i="154"/>
  <c r="BA605" i="154" s="1"/>
  <c r="AD542" i="154"/>
  <c r="AD602" i="154"/>
  <c r="AE387" i="153"/>
  <c r="AE385" i="153"/>
  <c r="AE386" i="153"/>
  <c r="AE383" i="153"/>
  <c r="AE384" i="153"/>
  <c r="AE382" i="153"/>
  <c r="S388" i="154"/>
  <c r="S51" i="154" s="1"/>
  <c r="S116" i="154" s="1"/>
  <c r="AJ406" i="153"/>
  <c r="AJ403" i="153"/>
  <c r="AJ405" i="153"/>
  <c r="AJ407" i="153"/>
  <c r="AJ402" i="153"/>
  <c r="AJ404" i="153"/>
  <c r="AM368" i="155"/>
  <c r="AM370" i="155"/>
  <c r="AM366" i="155"/>
  <c r="AM367" i="155"/>
  <c r="AM369" i="155"/>
  <c r="AM371" i="155"/>
  <c r="U388" i="154"/>
  <c r="U51" i="154" s="1"/>
  <c r="U116" i="154" s="1"/>
  <c r="V229" i="154"/>
  <c r="AH378" i="154"/>
  <c r="AH374" i="154"/>
  <c r="AH377" i="154"/>
  <c r="AH375" i="154"/>
  <c r="AH379" i="154"/>
  <c r="AH376" i="154"/>
  <c r="AL611" i="155"/>
  <c r="AL549" i="155"/>
  <c r="AL613" i="155" s="1"/>
  <c r="Z515" i="154"/>
  <c r="AF549" i="154"/>
  <c r="AF613" i="154" s="1"/>
  <c r="AF611" i="154"/>
  <c r="AM233" i="153"/>
  <c r="U388" i="153"/>
  <c r="U51" i="153" s="1"/>
  <c r="U116" i="153" s="1"/>
  <c r="AM368" i="153"/>
  <c r="AM367" i="153"/>
  <c r="AM371" i="153"/>
  <c r="AM369" i="153"/>
  <c r="AM366" i="153"/>
  <c r="AM370" i="153"/>
  <c r="AE585" i="153"/>
  <c r="AE524" i="153"/>
  <c r="V408" i="153"/>
  <c r="V58" i="153" s="1"/>
  <c r="V123" i="153" s="1"/>
  <c r="X408" i="154"/>
  <c r="X58" i="154" s="1"/>
  <c r="X123" i="154" s="1"/>
  <c r="R352" i="154"/>
  <c r="R44" i="154" s="1"/>
  <c r="AB228" i="153"/>
  <c r="AN346" i="154"/>
  <c r="AN348" i="154"/>
  <c r="AN349" i="154"/>
  <c r="AN347" i="154"/>
  <c r="AN350" i="154"/>
  <c r="AN351" i="154"/>
  <c r="AI234" i="153"/>
  <c r="R588" i="153"/>
  <c r="R526" i="153"/>
  <c r="X396" i="153"/>
  <c r="X398" i="153"/>
  <c r="X395" i="153"/>
  <c r="X399" i="153"/>
  <c r="X397" i="153"/>
  <c r="X394" i="153"/>
  <c r="L603" i="154"/>
  <c r="M539" i="154"/>
  <c r="AP539" i="154"/>
  <c r="AP603" i="154" s="1"/>
  <c r="AQ539" i="154"/>
  <c r="AQ603" i="154" s="1"/>
  <c r="AR539" i="154"/>
  <c r="AR603" i="154" s="1"/>
  <c r="AS539" i="154"/>
  <c r="AS603" i="154" s="1"/>
  <c r="AT539" i="154"/>
  <c r="AT603" i="154" s="1"/>
  <c r="AU539" i="154"/>
  <c r="AU603" i="154" s="1"/>
  <c r="AV539" i="154"/>
  <c r="AV603" i="154" s="1"/>
  <c r="AW539" i="154"/>
  <c r="AW603" i="154" s="1"/>
  <c r="AX539" i="154"/>
  <c r="AX603" i="154" s="1"/>
  <c r="AY539" i="154"/>
  <c r="AY603" i="154" s="1"/>
  <c r="AZ539" i="154"/>
  <c r="AZ603" i="154" s="1"/>
  <c r="BA539" i="154"/>
  <c r="BA603" i="154" s="1"/>
  <c r="AG512" i="155"/>
  <c r="Z372" i="155"/>
  <c r="Z49" i="155" s="1"/>
  <c r="Z114" i="155" s="1"/>
  <c r="AI602" i="155"/>
  <c r="AI542" i="155"/>
  <c r="AC399" i="153"/>
  <c r="AC396" i="153"/>
  <c r="AC398" i="153"/>
  <c r="AC395" i="153"/>
  <c r="AC397" i="153"/>
  <c r="AC394" i="153"/>
  <c r="Z398" i="154"/>
  <c r="Z396" i="154"/>
  <c r="Z399" i="154"/>
  <c r="Z397" i="154"/>
  <c r="Z394" i="154"/>
  <c r="Z395" i="154"/>
  <c r="AK404" i="155"/>
  <c r="AK403" i="155"/>
  <c r="AK402" i="155"/>
  <c r="AK405" i="155"/>
  <c r="AK406" i="155"/>
  <c r="AK407" i="155"/>
  <c r="AE403" i="154"/>
  <c r="AE404" i="154"/>
  <c r="AE407" i="154"/>
  <c r="AE405" i="154"/>
  <c r="AE406" i="154"/>
  <c r="AE402" i="154"/>
  <c r="S408" i="155"/>
  <c r="S58" i="155" s="1"/>
  <c r="S123" i="155" s="1"/>
  <c r="AD386" i="153"/>
  <c r="AD387" i="153"/>
  <c r="AD383" i="153"/>
  <c r="AD382" i="153"/>
  <c r="AD385" i="153"/>
  <c r="AD384" i="153"/>
  <c r="AA526" i="155"/>
  <c r="AA588" i="155"/>
  <c r="AI402" i="153"/>
  <c r="AI403" i="153"/>
  <c r="AI406" i="153"/>
  <c r="AI405" i="153"/>
  <c r="AI404" i="153"/>
  <c r="AI407" i="153"/>
  <c r="AL367" i="155"/>
  <c r="AL368" i="155"/>
  <c r="AL371" i="155"/>
  <c r="AL369" i="155"/>
  <c r="AL370" i="155"/>
  <c r="AL366" i="155"/>
  <c r="AC352" i="153"/>
  <c r="AC44" i="153" s="1"/>
  <c r="AC109" i="153" s="1"/>
  <c r="U229" i="154"/>
  <c r="AG377" i="154"/>
  <c r="AG379" i="154"/>
  <c r="AG378" i="154"/>
  <c r="AG375" i="154"/>
  <c r="AG376" i="154"/>
  <c r="AG374" i="154"/>
  <c r="M541" i="155"/>
  <c r="L605" i="155"/>
  <c r="AP541" i="155"/>
  <c r="AP605" i="155" s="1"/>
  <c r="AQ541" i="155"/>
  <c r="AQ605" i="155" s="1"/>
  <c r="AR541" i="155"/>
  <c r="AR605" i="155" s="1"/>
  <c r="AS541" i="155"/>
  <c r="AS605" i="155" s="1"/>
  <c r="AT541" i="155"/>
  <c r="AT605" i="155" s="1"/>
  <c r="AU541" i="155"/>
  <c r="AU605" i="155" s="1"/>
  <c r="AV541" i="155"/>
  <c r="AV605" i="155" s="1"/>
  <c r="AW541" i="155"/>
  <c r="AW605" i="155" s="1"/>
  <c r="AX541" i="155"/>
  <c r="AX605" i="155" s="1"/>
  <c r="AY541" i="155"/>
  <c r="AY605" i="155" s="1"/>
  <c r="AZ541" i="155"/>
  <c r="AZ605" i="155" s="1"/>
  <c r="BA541" i="155"/>
  <c r="BA605" i="155" s="1"/>
  <c r="AK611" i="155"/>
  <c r="AK549" i="155"/>
  <c r="AK613" i="155" s="1"/>
  <c r="AE611" i="154"/>
  <c r="AE549" i="154"/>
  <c r="AE613" i="154" s="1"/>
  <c r="AL233" i="153"/>
  <c r="S380" i="154"/>
  <c r="S50" i="154" s="1"/>
  <c r="S115" i="154" s="1"/>
  <c r="AL370" i="153"/>
  <c r="AL368" i="153"/>
  <c r="AL369" i="153"/>
  <c r="AL366" i="153"/>
  <c r="AL371" i="153"/>
  <c r="AL367" i="153"/>
  <c r="AC352" i="155"/>
  <c r="AC44" i="155" s="1"/>
  <c r="AC109" i="155" s="1"/>
  <c r="AD524" i="153"/>
  <c r="AD585" i="153"/>
  <c r="Y606" i="154"/>
  <c r="U397" i="153"/>
  <c r="U399" i="153"/>
  <c r="U398" i="153"/>
  <c r="U396" i="153"/>
  <c r="U395" i="153"/>
  <c r="U394" i="153"/>
  <c r="AA228" i="153"/>
  <c r="AM348" i="154"/>
  <c r="AM349" i="154"/>
  <c r="AM351" i="154"/>
  <c r="AM346" i="154"/>
  <c r="AM347" i="154"/>
  <c r="AM350" i="154"/>
  <c r="AH234" i="153"/>
  <c r="Z230" i="155"/>
  <c r="Y362" i="153"/>
  <c r="Y361" i="153"/>
  <c r="Y363" i="153"/>
  <c r="Y359" i="153"/>
  <c r="Y358" i="153"/>
  <c r="Y360" i="153"/>
  <c r="Y372" i="155"/>
  <c r="Y49" i="155" s="1"/>
  <c r="Y114" i="155" s="1"/>
  <c r="AF512" i="155"/>
  <c r="AM348" i="153"/>
  <c r="AM347" i="153"/>
  <c r="AM351" i="153"/>
  <c r="AM349" i="153"/>
  <c r="AM350" i="153"/>
  <c r="AM346" i="153"/>
  <c r="AB606" i="153"/>
  <c r="W396" i="154"/>
  <c r="W398" i="154"/>
  <c r="W394" i="154"/>
  <c r="W399" i="154"/>
  <c r="W397" i="154"/>
  <c r="W395" i="154"/>
  <c r="AL350" i="153"/>
  <c r="AL349" i="153"/>
  <c r="AL346" i="153"/>
  <c r="AL347" i="153"/>
  <c r="AL348" i="153"/>
  <c r="AL351" i="153"/>
  <c r="T352" i="153"/>
  <c r="T44" i="153" s="1"/>
  <c r="T109" i="153" s="1"/>
  <c r="AN374" i="155"/>
  <c r="AN379" i="155"/>
  <c r="AN378" i="155"/>
  <c r="AN376" i="155"/>
  <c r="AN375" i="155"/>
  <c r="AN377" i="155"/>
  <c r="AO375" i="153"/>
  <c r="AO378" i="153"/>
  <c r="AO379" i="153"/>
  <c r="AO377" i="153"/>
  <c r="AO374" i="153"/>
  <c r="AO376" i="153"/>
  <c r="AH602" i="155"/>
  <c r="AH542" i="155"/>
  <c r="T588" i="155"/>
  <c r="T526" i="155"/>
  <c r="U352" i="153"/>
  <c r="U44" i="153" s="1"/>
  <c r="U109" i="153" s="1"/>
  <c r="AJ406" i="155"/>
  <c r="AJ405" i="155"/>
  <c r="AJ402" i="155"/>
  <c r="AJ407" i="155"/>
  <c r="AJ403" i="155"/>
  <c r="AJ404" i="155"/>
  <c r="U606" i="155"/>
  <c r="AD404" i="154"/>
  <c r="AD403" i="154"/>
  <c r="AD405" i="154"/>
  <c r="AD406" i="154"/>
  <c r="AD402" i="154"/>
  <c r="AD407" i="154"/>
  <c r="AL232" i="154"/>
  <c r="U576" i="154"/>
  <c r="U515" i="154"/>
  <c r="K606" i="154"/>
  <c r="V380" i="155"/>
  <c r="V50" i="155" s="1"/>
  <c r="V115" i="155" s="1"/>
  <c r="AH402" i="153"/>
  <c r="AH406" i="153"/>
  <c r="AH403" i="153"/>
  <c r="AH407" i="153"/>
  <c r="AH405" i="153"/>
  <c r="AH404" i="153"/>
  <c r="AK371" i="155"/>
  <c r="AK368" i="155"/>
  <c r="AK367" i="155"/>
  <c r="AK369" i="155"/>
  <c r="AK366" i="155"/>
  <c r="AK370" i="155"/>
  <c r="R395" i="153"/>
  <c r="R394" i="153"/>
  <c r="R397" i="153"/>
  <c r="R398" i="153"/>
  <c r="R396" i="153"/>
  <c r="R399" i="153"/>
  <c r="T229" i="154"/>
  <c r="AF378" i="154"/>
  <c r="AF375" i="154"/>
  <c r="AF379" i="154"/>
  <c r="AF377" i="154"/>
  <c r="AF376" i="154"/>
  <c r="AF374" i="154"/>
  <c r="AJ611" i="155"/>
  <c r="AJ549" i="155"/>
  <c r="AJ613" i="155" s="1"/>
  <c r="AB588" i="154"/>
  <c r="AB526" i="154"/>
  <c r="AD549" i="154"/>
  <c r="AD613" i="154" s="1"/>
  <c r="AD611" i="154"/>
  <c r="AK233" i="153"/>
  <c r="Y408" i="155"/>
  <c r="Y58" i="155" s="1"/>
  <c r="Y123" i="155" s="1"/>
  <c r="AK367" i="153"/>
  <c r="AK366" i="153"/>
  <c r="AK371" i="153"/>
  <c r="AK370" i="153"/>
  <c r="AK369" i="153"/>
  <c r="AK368" i="153"/>
  <c r="Y360" i="154"/>
  <c r="Y358" i="154"/>
  <c r="Y359" i="154"/>
  <c r="Y362" i="154"/>
  <c r="Y363" i="154"/>
  <c r="Y361" i="154"/>
  <c r="V372" i="155"/>
  <c r="V49" i="155" s="1"/>
  <c r="V114" i="155" s="1"/>
  <c r="J590" i="153"/>
  <c r="J591" i="153" s="1"/>
  <c r="R527" i="153"/>
  <c r="Z228" i="153"/>
  <c r="AL346" i="154"/>
  <c r="AL350" i="154"/>
  <c r="AL347" i="154"/>
  <c r="AL351" i="154"/>
  <c r="AL349" i="154"/>
  <c r="AL348" i="154"/>
  <c r="AG234" i="153"/>
  <c r="Y606" i="153"/>
  <c r="AE512" i="155"/>
  <c r="W372" i="153"/>
  <c r="W49" i="153" s="1"/>
  <c r="W114" i="153" s="1"/>
  <c r="AB360" i="153"/>
  <c r="AB359" i="153"/>
  <c r="AB361" i="153"/>
  <c r="AB358" i="153"/>
  <c r="AB363" i="153"/>
  <c r="AB362" i="153"/>
  <c r="AK347" i="153"/>
  <c r="AK346" i="153"/>
  <c r="AK349" i="153"/>
  <c r="AK348" i="153"/>
  <c r="AK351" i="153"/>
  <c r="AK350" i="153"/>
  <c r="AC394" i="155"/>
  <c r="AC398" i="155"/>
  <c r="AC395" i="155"/>
  <c r="AC397" i="155"/>
  <c r="AC399" i="155"/>
  <c r="AC396" i="155"/>
  <c r="AM375" i="155"/>
  <c r="AM379" i="155"/>
  <c r="AM374" i="155"/>
  <c r="AM377" i="155"/>
  <c r="AM376" i="155"/>
  <c r="AM378" i="155"/>
  <c r="AN375" i="153"/>
  <c r="AN376" i="153"/>
  <c r="AN377" i="153"/>
  <c r="AN374" i="153"/>
  <c r="AN378" i="153"/>
  <c r="AN379" i="153"/>
  <c r="AG602" i="155"/>
  <c r="AG542" i="155"/>
  <c r="AO524" i="154"/>
  <c r="AO585" i="154"/>
  <c r="X230" i="154"/>
  <c r="L586" i="153"/>
  <c r="AP522" i="153"/>
  <c r="AP586" i="153" s="1"/>
  <c r="AQ522" i="153"/>
  <c r="AQ586" i="153" s="1"/>
  <c r="AR522" i="153"/>
  <c r="AR586" i="153" s="1"/>
  <c r="AS522" i="153"/>
  <c r="AS586" i="153" s="1"/>
  <c r="AT522" i="153"/>
  <c r="AT586" i="153" s="1"/>
  <c r="AU522" i="153"/>
  <c r="AU586" i="153" s="1"/>
  <c r="AV522" i="153"/>
  <c r="AV586" i="153" s="1"/>
  <c r="AW522" i="153"/>
  <c r="AW586" i="153" s="1"/>
  <c r="AX522" i="153"/>
  <c r="AX586" i="153" s="1"/>
  <c r="AY522" i="153"/>
  <c r="AY586" i="153" s="1"/>
  <c r="AZ522" i="153"/>
  <c r="AZ586" i="153" s="1"/>
  <c r="BA522" i="153"/>
  <c r="BA586" i="153" s="1"/>
  <c r="R606" i="154"/>
  <c r="AB352" i="154"/>
  <c r="AB44" i="154" s="1"/>
  <c r="AB109" i="154" s="1"/>
  <c r="AI403" i="155"/>
  <c r="AI404" i="155"/>
  <c r="AI407" i="155"/>
  <c r="AI405" i="155"/>
  <c r="AI402" i="155"/>
  <c r="AI406" i="155"/>
  <c r="X352" i="153"/>
  <c r="X44" i="153" s="1"/>
  <c r="X109" i="153" s="1"/>
  <c r="U361" i="155"/>
  <c r="U363" i="155"/>
  <c r="U359" i="155"/>
  <c r="U362" i="155"/>
  <c r="U360" i="155"/>
  <c r="U358" i="155"/>
  <c r="AK232" i="154"/>
  <c r="W588" i="154"/>
  <c r="W526" i="154"/>
  <c r="S576" i="153"/>
  <c r="S515" i="153"/>
  <c r="L602" i="154"/>
  <c r="M538" i="154"/>
  <c r="L542" i="154"/>
  <c r="AP538" i="154"/>
  <c r="AQ538" i="154"/>
  <c r="AR538" i="154"/>
  <c r="AS538" i="154"/>
  <c r="AT538" i="154"/>
  <c r="AU538" i="154"/>
  <c r="AV538" i="154"/>
  <c r="AW538" i="154"/>
  <c r="AX538" i="154"/>
  <c r="AY538" i="154"/>
  <c r="AZ538" i="154"/>
  <c r="BA538" i="154"/>
  <c r="M541" i="153"/>
  <c r="L605" i="153"/>
  <c r="AP541" i="153"/>
  <c r="AP605" i="153" s="1"/>
  <c r="AQ541" i="153"/>
  <c r="AQ605" i="153" s="1"/>
  <c r="AR541" i="153"/>
  <c r="AR605" i="153" s="1"/>
  <c r="AS541" i="153"/>
  <c r="AS605" i="153" s="1"/>
  <c r="AT541" i="153"/>
  <c r="AT605" i="153" s="1"/>
  <c r="AU541" i="153"/>
  <c r="AU605" i="153" s="1"/>
  <c r="AV541" i="153"/>
  <c r="AV605" i="153" s="1"/>
  <c r="AW541" i="153"/>
  <c r="AW605" i="153" s="1"/>
  <c r="AX541" i="153"/>
  <c r="AX605" i="153" s="1"/>
  <c r="AY541" i="153"/>
  <c r="AY605" i="153" s="1"/>
  <c r="AZ541" i="153"/>
  <c r="AZ605" i="153" s="1"/>
  <c r="BA541" i="153"/>
  <c r="BA605" i="153" s="1"/>
  <c r="AA576" i="155"/>
  <c r="AA515" i="155"/>
  <c r="AB576" i="155"/>
  <c r="AB515" i="155"/>
  <c r="AG407" i="153"/>
  <c r="AG406" i="153"/>
  <c r="AG404" i="153"/>
  <c r="AG405" i="153"/>
  <c r="AG402" i="153"/>
  <c r="AG403" i="153"/>
  <c r="AB588" i="155"/>
  <c r="AB526" i="155"/>
  <c r="Y352" i="155"/>
  <c r="Y44" i="155" s="1"/>
  <c r="Y109" i="155" s="1"/>
  <c r="AJ366" i="155"/>
  <c r="AJ371" i="155"/>
  <c r="AJ367" i="155"/>
  <c r="AJ368" i="155"/>
  <c r="AJ369" i="155"/>
  <c r="AJ370" i="155"/>
  <c r="V408" i="155"/>
  <c r="V58" i="155" s="1"/>
  <c r="V123" i="155" s="1"/>
  <c r="S229" i="154"/>
  <c r="AE375" i="154"/>
  <c r="AE374" i="154"/>
  <c r="AE378" i="154"/>
  <c r="AE376" i="154"/>
  <c r="AE379" i="154"/>
  <c r="AE377" i="154"/>
  <c r="AA352" i="155"/>
  <c r="AA44" i="155" s="1"/>
  <c r="AA109" i="155" s="1"/>
  <c r="AI611" i="155"/>
  <c r="AI549" i="155"/>
  <c r="AI613" i="155" s="1"/>
  <c r="AJ233" i="153"/>
  <c r="U408" i="153"/>
  <c r="U58" i="153" s="1"/>
  <c r="U123" i="153" s="1"/>
  <c r="AJ369" i="153"/>
  <c r="AJ370" i="153"/>
  <c r="AJ371" i="153"/>
  <c r="AJ366" i="153"/>
  <c r="AJ367" i="153"/>
  <c r="AJ368" i="153"/>
  <c r="L585" i="153"/>
  <c r="AP521" i="153"/>
  <c r="AQ521" i="153"/>
  <c r="AR521" i="153"/>
  <c r="AS521" i="153"/>
  <c r="AT521" i="153"/>
  <c r="AU521" i="153"/>
  <c r="AV521" i="153"/>
  <c r="AW521" i="153"/>
  <c r="AX521" i="153"/>
  <c r="AY521" i="153"/>
  <c r="AZ521" i="153"/>
  <c r="BA521" i="153"/>
  <c r="V388" i="155"/>
  <c r="V51" i="155" s="1"/>
  <c r="V116" i="155" s="1"/>
  <c r="Z606" i="154"/>
  <c r="Y228" i="153"/>
  <c r="AK350" i="154"/>
  <c r="AK349" i="154"/>
  <c r="AK347" i="154"/>
  <c r="AK346" i="154"/>
  <c r="AK351" i="154"/>
  <c r="AK348" i="154"/>
  <c r="AF234" i="153"/>
  <c r="V372" i="153"/>
  <c r="V49" i="153" s="1"/>
  <c r="V114" i="153" s="1"/>
  <c r="AA380" i="154"/>
  <c r="AA50" i="154" s="1"/>
  <c r="AA115" i="154" s="1"/>
  <c r="AD512" i="155"/>
  <c r="R527" i="155"/>
  <c r="J590" i="155"/>
  <c r="J591" i="155" s="1"/>
  <c r="AJ346" i="153"/>
  <c r="AJ351" i="153"/>
  <c r="AJ348" i="153"/>
  <c r="AJ350" i="153"/>
  <c r="AJ347" i="153"/>
  <c r="AJ349" i="153"/>
  <c r="AL374" i="155"/>
  <c r="AL379" i="155"/>
  <c r="AL378" i="155"/>
  <c r="AL376" i="155"/>
  <c r="AL375" i="155"/>
  <c r="AL377" i="155"/>
  <c r="AF233" i="155"/>
  <c r="AM376" i="153"/>
  <c r="AM374" i="153"/>
  <c r="AM375" i="153"/>
  <c r="AM378" i="153"/>
  <c r="AM379" i="153"/>
  <c r="AM377" i="153"/>
  <c r="AF602" i="155"/>
  <c r="AF542" i="155"/>
  <c r="AN524" i="154"/>
  <c r="AN585" i="154"/>
  <c r="AA372" i="153"/>
  <c r="AA49" i="153" s="1"/>
  <c r="AA114" i="153" s="1"/>
  <c r="U380" i="155"/>
  <c r="U50" i="155" s="1"/>
  <c r="U115" i="155" s="1"/>
  <c r="V515" i="155"/>
  <c r="V576" i="155"/>
  <c r="R359" i="154"/>
  <c r="R362" i="154"/>
  <c r="R360" i="154"/>
  <c r="R358" i="154"/>
  <c r="R363" i="154"/>
  <c r="R361" i="154"/>
  <c r="S515" i="154"/>
  <c r="AH404" i="155"/>
  <c r="AH407" i="155"/>
  <c r="AH403" i="155"/>
  <c r="AH402" i="155"/>
  <c r="AH405" i="155"/>
  <c r="AH406" i="155"/>
  <c r="R408" i="155"/>
  <c r="R58" i="155" s="1"/>
  <c r="L549" i="154"/>
  <c r="L613" i="154" s="1"/>
  <c r="L612" i="154"/>
  <c r="M548" i="154"/>
  <c r="AP548" i="154"/>
  <c r="AP612" i="154" s="1"/>
  <c r="AQ548" i="154"/>
  <c r="AQ612" i="154" s="1"/>
  <c r="AR548" i="154"/>
  <c r="AR612" i="154" s="1"/>
  <c r="AS548" i="154"/>
  <c r="AS612" i="154" s="1"/>
  <c r="AT548" i="154"/>
  <c r="AT612" i="154" s="1"/>
  <c r="AU548" i="154"/>
  <c r="AU612" i="154" s="1"/>
  <c r="AV548" i="154"/>
  <c r="AV612" i="154" s="1"/>
  <c r="AW548" i="154"/>
  <c r="AW612" i="154" s="1"/>
  <c r="AX548" i="154"/>
  <c r="AX612" i="154" s="1"/>
  <c r="AY548" i="154"/>
  <c r="AY612" i="154" s="1"/>
  <c r="AZ548" i="154"/>
  <c r="AZ612" i="154" s="1"/>
  <c r="BA548" i="154"/>
  <c r="BA612" i="154" s="1"/>
  <c r="AJ232" i="154"/>
  <c r="R606" i="153"/>
  <c r="AF404" i="153"/>
  <c r="AF406" i="153"/>
  <c r="AF403" i="153"/>
  <c r="AF402" i="153"/>
  <c r="AF405" i="153"/>
  <c r="AF407" i="153"/>
  <c r="AO602" i="153"/>
  <c r="AO542" i="153"/>
  <c r="AI366" i="155"/>
  <c r="AI368" i="155"/>
  <c r="AI367" i="155"/>
  <c r="AI370" i="155"/>
  <c r="AI369" i="155"/>
  <c r="AI371" i="155"/>
  <c r="K578" i="154"/>
  <c r="AD514" i="154"/>
  <c r="AD578" i="154" s="1"/>
  <c r="AE514" i="154"/>
  <c r="AE578" i="154" s="1"/>
  <c r="AF514" i="154"/>
  <c r="AF578" i="154" s="1"/>
  <c r="AG514" i="154"/>
  <c r="AG578" i="154" s="1"/>
  <c r="AH514" i="154"/>
  <c r="AH578" i="154" s="1"/>
  <c r="AI514" i="154"/>
  <c r="AI578" i="154" s="1"/>
  <c r="AJ514" i="154"/>
  <c r="AJ578" i="154" s="1"/>
  <c r="AK514" i="154"/>
  <c r="AK578" i="154" s="1"/>
  <c r="AL514" i="154"/>
  <c r="AL578" i="154" s="1"/>
  <c r="AM514" i="154"/>
  <c r="AM578" i="154" s="1"/>
  <c r="AN514" i="154"/>
  <c r="AN578" i="154" s="1"/>
  <c r="AO514" i="154"/>
  <c r="AO578" i="154" s="1"/>
  <c r="AD376" i="154"/>
  <c r="AD379" i="154"/>
  <c r="AD374" i="154"/>
  <c r="AD377" i="154"/>
  <c r="AD375" i="154"/>
  <c r="AD378" i="154"/>
  <c r="AH611" i="155"/>
  <c r="AH549" i="155"/>
  <c r="AH613" i="155" s="1"/>
  <c r="T606" i="153"/>
  <c r="AI233" i="153"/>
  <c r="AI367" i="153"/>
  <c r="AI370" i="153"/>
  <c r="AI371" i="153"/>
  <c r="AI369" i="153"/>
  <c r="AI368" i="153"/>
  <c r="AI366" i="153"/>
  <c r="AP509" i="154"/>
  <c r="AP573" i="154" s="1"/>
  <c r="AQ509" i="154"/>
  <c r="AQ573" i="154" s="1"/>
  <c r="AR509" i="154"/>
  <c r="AR573" i="154" s="1"/>
  <c r="AS509" i="154"/>
  <c r="AS573" i="154" s="1"/>
  <c r="AT509" i="154"/>
  <c r="AT573" i="154" s="1"/>
  <c r="AU509" i="154"/>
  <c r="AU573" i="154" s="1"/>
  <c r="AV509" i="154"/>
  <c r="AV573" i="154" s="1"/>
  <c r="AW509" i="154"/>
  <c r="AW573" i="154" s="1"/>
  <c r="AX509" i="154"/>
  <c r="AX573" i="154" s="1"/>
  <c r="AY509" i="154"/>
  <c r="AY573" i="154" s="1"/>
  <c r="AZ509" i="154"/>
  <c r="AZ573" i="154" s="1"/>
  <c r="BA509" i="154"/>
  <c r="BA573" i="154" s="1"/>
  <c r="Z380" i="154"/>
  <c r="Z50" i="154" s="1"/>
  <c r="Z115" i="154" s="1"/>
  <c r="K588" i="153"/>
  <c r="W408" i="153"/>
  <c r="W58" i="153" s="1"/>
  <c r="W123" i="153" s="1"/>
  <c r="Z360" i="154"/>
  <c r="Z358" i="154"/>
  <c r="Z359" i="154"/>
  <c r="Z362" i="154"/>
  <c r="Z363" i="154"/>
  <c r="Z361" i="154"/>
  <c r="X228" i="153"/>
  <c r="AJ346" i="154"/>
  <c r="AJ348" i="154"/>
  <c r="AJ350" i="154"/>
  <c r="AJ351" i="154"/>
  <c r="AJ349" i="154"/>
  <c r="AJ347" i="154"/>
  <c r="AB408" i="155"/>
  <c r="AB58" i="155" s="1"/>
  <c r="AB123" i="155" s="1"/>
  <c r="AE234" i="153"/>
  <c r="W396" i="153"/>
  <c r="W399" i="153"/>
  <c r="W394" i="153"/>
  <c r="W395" i="153"/>
  <c r="W397" i="153"/>
  <c r="W398" i="153"/>
  <c r="AC408" i="155"/>
  <c r="AC58" i="155" s="1"/>
  <c r="AC123" i="155" s="1"/>
  <c r="X380" i="154"/>
  <c r="X50" i="154" s="1"/>
  <c r="X115" i="154" s="1"/>
  <c r="S352" i="154"/>
  <c r="S44" i="154" s="1"/>
  <c r="S109" i="154" s="1"/>
  <c r="K576" i="155"/>
  <c r="AI350" i="153"/>
  <c r="AI351" i="153"/>
  <c r="AI346" i="153"/>
  <c r="AI347" i="153"/>
  <c r="AI348" i="153"/>
  <c r="AI349" i="153"/>
  <c r="S588" i="153"/>
  <c r="S526" i="153"/>
  <c r="AK376" i="155"/>
  <c r="AK374" i="155"/>
  <c r="AK379" i="155"/>
  <c r="AK375" i="155"/>
  <c r="AK377" i="155"/>
  <c r="AK378" i="155"/>
  <c r="AL379" i="153"/>
  <c r="AL374" i="153"/>
  <c r="AL375" i="153"/>
  <c r="AL377" i="153"/>
  <c r="AL376" i="153"/>
  <c r="AL378" i="153"/>
  <c r="AB395" i="153"/>
  <c r="AB394" i="153"/>
  <c r="AB397" i="153"/>
  <c r="AB396" i="153"/>
  <c r="AB398" i="153"/>
  <c r="AB399" i="153"/>
  <c r="AE602" i="155"/>
  <c r="AE542" i="155"/>
  <c r="AM524" i="154"/>
  <c r="AM585" i="154"/>
  <c r="U352" i="155"/>
  <c r="U44" i="155" s="1"/>
  <c r="U109" i="155" s="1"/>
  <c r="V230" i="154"/>
  <c r="X526" i="153"/>
  <c r="X588" i="153"/>
  <c r="AG403" i="155"/>
  <c r="AG406" i="155"/>
  <c r="AG407" i="155"/>
  <c r="AG405" i="155"/>
  <c r="AG402" i="155"/>
  <c r="AG404" i="155"/>
  <c r="AI232" i="154"/>
  <c r="Z352" i="153"/>
  <c r="Z44" i="153" s="1"/>
  <c r="Z109" i="153" s="1"/>
  <c r="V576" i="154"/>
  <c r="V515" i="154"/>
  <c r="R362" i="153"/>
  <c r="R361" i="153"/>
  <c r="R363" i="153"/>
  <c r="R358" i="153"/>
  <c r="R359" i="153"/>
  <c r="R360" i="153"/>
  <c r="AE404" i="153"/>
  <c r="AE406" i="153"/>
  <c r="AE402" i="153"/>
  <c r="AE407" i="153"/>
  <c r="AE405" i="153"/>
  <c r="AE403" i="153"/>
  <c r="AN602" i="153"/>
  <c r="AN542" i="153"/>
  <c r="AH370" i="155"/>
  <c r="AH368" i="155"/>
  <c r="AH371" i="155"/>
  <c r="AH367" i="155"/>
  <c r="AH366" i="155"/>
  <c r="AH369" i="155"/>
  <c r="S372" i="155"/>
  <c r="S49" i="155" s="1"/>
  <c r="S114" i="155" s="1"/>
  <c r="R229" i="154"/>
  <c r="AG549" i="155"/>
  <c r="AG613" i="155" s="1"/>
  <c r="AG611" i="155"/>
  <c r="T359" i="153"/>
  <c r="T363" i="153"/>
  <c r="T358" i="153"/>
  <c r="T360" i="153"/>
  <c r="T361" i="153"/>
  <c r="T362" i="153"/>
  <c r="L611" i="154"/>
  <c r="M547" i="154"/>
  <c r="AP547" i="154"/>
  <c r="AQ547" i="154"/>
  <c r="AR547" i="154"/>
  <c r="AS547" i="154"/>
  <c r="AT547" i="154"/>
  <c r="AU547" i="154"/>
  <c r="AV547" i="154"/>
  <c r="AW547" i="154"/>
  <c r="AX547" i="154"/>
  <c r="AY547" i="154"/>
  <c r="AZ547" i="154"/>
  <c r="BA547" i="154"/>
  <c r="AH233" i="153"/>
  <c r="AH371" i="153"/>
  <c r="AH368" i="153"/>
  <c r="AH367" i="153"/>
  <c r="AH366" i="153"/>
  <c r="AH369" i="153"/>
  <c r="AH370" i="153"/>
  <c r="U398" i="155"/>
  <c r="U397" i="155"/>
  <c r="U394" i="155"/>
  <c r="U399" i="155"/>
  <c r="U395" i="155"/>
  <c r="U396" i="155"/>
  <c r="AC359" i="155"/>
  <c r="AC362" i="155"/>
  <c r="AC360" i="155"/>
  <c r="AC358" i="155"/>
  <c r="AC361" i="155"/>
  <c r="AC363" i="155"/>
  <c r="AO585" i="155"/>
  <c r="AO524" i="155"/>
  <c r="Y408" i="154"/>
  <c r="Y58" i="154" s="1"/>
  <c r="Y123" i="154" s="1"/>
  <c r="W228" i="153"/>
  <c r="AI347" i="154"/>
  <c r="AI349" i="154"/>
  <c r="AI348" i="154"/>
  <c r="AI350" i="154"/>
  <c r="AI351" i="154"/>
  <c r="AI346" i="154"/>
  <c r="AA606" i="154"/>
  <c r="AD234" i="153"/>
  <c r="Y388" i="153"/>
  <c r="Y51" i="153" s="1"/>
  <c r="Y116" i="153" s="1"/>
  <c r="AA388" i="153"/>
  <c r="AA51" i="153" s="1"/>
  <c r="AA116" i="153" s="1"/>
  <c r="AB408" i="154"/>
  <c r="AB58" i="154" s="1"/>
  <c r="AB123" i="154" s="1"/>
  <c r="L573" i="155"/>
  <c r="AP507" i="155"/>
  <c r="AQ507" i="155"/>
  <c r="AR507" i="155"/>
  <c r="AS507" i="155"/>
  <c r="AT507" i="155"/>
  <c r="AU507" i="155"/>
  <c r="AV507" i="155"/>
  <c r="AW507" i="155"/>
  <c r="AX507" i="155"/>
  <c r="AY507" i="155"/>
  <c r="AZ507" i="155"/>
  <c r="BA507" i="155"/>
  <c r="I615" i="155"/>
  <c r="I616" i="155" s="1"/>
  <c r="I552" i="155"/>
  <c r="I105" i="104"/>
  <c r="S141" i="99"/>
  <c r="W478" i="99"/>
  <c r="U512" i="99"/>
  <c r="U515" i="99" s="1"/>
  <c r="I93" i="104"/>
  <c r="I119" i="104"/>
  <c r="S12" i="99"/>
  <c r="S16" i="99"/>
  <c r="R16" i="99"/>
  <c r="V514" i="99"/>
  <c r="V578" i="99" s="1"/>
  <c r="I102" i="104"/>
  <c r="R12" i="99"/>
  <c r="U233" i="99"/>
  <c r="V558" i="99"/>
  <c r="V622" i="99" s="1"/>
  <c r="U549" i="99"/>
  <c r="U613" i="99" s="1"/>
  <c r="U232" i="99"/>
  <c r="U234" i="99"/>
  <c r="U524" i="99"/>
  <c r="U588" i="99" s="1"/>
  <c r="AE618" i="153"/>
  <c r="AK618" i="153"/>
  <c r="AO618" i="153"/>
  <c r="AL618" i="153"/>
  <c r="AD618" i="153"/>
  <c r="AH618" i="153"/>
  <c r="AJ618" i="153"/>
  <c r="AN618" i="153"/>
  <c r="AI618" i="153"/>
  <c r="AF618" i="153"/>
  <c r="V17" i="69"/>
  <c r="AA76" i="105" s="1"/>
  <c r="V40" i="151" s="1"/>
  <c r="X3" i="69"/>
  <c r="X4" i="69" s="1"/>
  <c r="W2" i="69" a="1"/>
  <c r="W2" i="69" s="1"/>
  <c r="W11" i="69"/>
  <c r="W12" i="69"/>
  <c r="W15" i="69"/>
  <c r="W9" i="69"/>
  <c r="W8" i="69"/>
  <c r="W14" i="69"/>
  <c r="W16" i="69"/>
  <c r="W10" i="69"/>
  <c r="W7" i="69"/>
  <c r="W13" i="69"/>
  <c r="V534" i="99"/>
  <c r="V598" i="99" s="1"/>
  <c r="V547" i="99"/>
  <c r="V611" i="99" s="1"/>
  <c r="V538" i="99"/>
  <c r="V540" i="99"/>
  <c r="V604" i="99" s="1"/>
  <c r="V548" i="99"/>
  <c r="V612" i="99" s="1"/>
  <c r="V541" i="99"/>
  <c r="V605" i="99" s="1"/>
  <c r="V539" i="99"/>
  <c r="V603" i="99" s="1"/>
  <c r="V522" i="99"/>
  <c r="V586" i="99" s="1"/>
  <c r="V525" i="99"/>
  <c r="V589" i="99" s="1"/>
  <c r="V509" i="99"/>
  <c r="V573" i="99" s="1"/>
  <c r="V507" i="99"/>
  <c r="V521" i="99"/>
  <c r="V523" i="99"/>
  <c r="V587" i="99" s="1"/>
  <c r="X3" i="99"/>
  <c r="X4" i="99" s="1"/>
  <c r="X501" i="99" s="1"/>
  <c r="X485" i="99" s="1"/>
  <c r="X493" i="99" s="1"/>
  <c r="W2" i="99" a="1"/>
  <c r="W2" i="99" s="1"/>
  <c r="W554" i="99" s="1"/>
  <c r="W474" i="99"/>
  <c r="W475" i="99"/>
  <c r="W476" i="99"/>
  <c r="W499" i="99"/>
  <c r="W483" i="99" s="1"/>
  <c r="W491" i="99" s="1"/>
  <c r="W498" i="99"/>
  <c r="W482" i="99" s="1"/>
  <c r="W490" i="99" s="1"/>
  <c r="U542" i="99"/>
  <c r="U606" i="99" s="1"/>
  <c r="U602" i="99"/>
  <c r="X37" i="72"/>
  <c r="Y5" i="72"/>
  <c r="Y6" i="72" s="1"/>
  <c r="X36" i="72"/>
  <c r="X47" i="72"/>
  <c r="X48" i="72"/>
  <c r="AM76" i="103"/>
  <c r="AP76" i="103"/>
  <c r="Z76" i="103"/>
  <c r="AB76" i="103"/>
  <c r="AQ76" i="103"/>
  <c r="BM76" i="103"/>
  <c r="BY76" i="103"/>
  <c r="AG76" i="103"/>
  <c r="AY76" i="103"/>
  <c r="AT76" i="103"/>
  <c r="U76" i="103"/>
  <c r="BQ76" i="103"/>
  <c r="AC76" i="103"/>
  <c r="BU76" i="103"/>
  <c r="BL76" i="103"/>
  <c r="AU76" i="103"/>
  <c r="AK76" i="103"/>
  <c r="BF76" i="103"/>
  <c r="BD76" i="103"/>
  <c r="AJ76" i="103"/>
  <c r="AI76" i="103"/>
  <c r="BA76" i="103"/>
  <c r="BT76" i="103"/>
  <c r="BB76" i="103"/>
  <c r="BC76" i="103"/>
  <c r="BG76" i="103"/>
  <c r="AV76" i="103"/>
  <c r="BH76" i="103"/>
  <c r="AL76" i="103"/>
  <c r="AE76" i="103"/>
  <c r="BP76" i="103"/>
  <c r="BJ76" i="103"/>
  <c r="BW76" i="103"/>
  <c r="Y76" i="103"/>
  <c r="BX76" i="103"/>
  <c r="AR76" i="103"/>
  <c r="AH76" i="103"/>
  <c r="BO76" i="103"/>
  <c r="BN76" i="103"/>
  <c r="I93" i="99"/>
  <c r="M542" i="99"/>
  <c r="M606" i="99" s="1"/>
  <c r="N153" i="103"/>
  <c r="BI153" i="103"/>
  <c r="BF153" i="103"/>
  <c r="BM153" i="103"/>
  <c r="BL153" i="103"/>
  <c r="BG153" i="103"/>
  <c r="BK153" i="103"/>
  <c r="BH153" i="103"/>
  <c r="BE153" i="103"/>
  <c r="BJ153" i="103"/>
  <c r="BD153" i="103"/>
  <c r="BC153" i="103"/>
  <c r="BB153" i="103"/>
  <c r="N539" i="99"/>
  <c r="M603" i="99"/>
  <c r="N548" i="99"/>
  <c r="N540" i="99"/>
  <c r="M604" i="99"/>
  <c r="N541" i="99"/>
  <c r="M605" i="99"/>
  <c r="N538" i="99"/>
  <c r="N547" i="99"/>
  <c r="L558" i="99"/>
  <c r="N534" i="99"/>
  <c r="I102" i="99"/>
  <c r="I105" i="99"/>
  <c r="S228" i="99"/>
  <c r="R229" i="99"/>
  <c r="U228" i="99"/>
  <c r="T229" i="99"/>
  <c r="I129" i="99"/>
  <c r="I133" i="99"/>
  <c r="K580" i="99"/>
  <c r="S515" i="99"/>
  <c r="S576" i="99"/>
  <c r="R228" i="99"/>
  <c r="U229" i="99"/>
  <c r="U230" i="99"/>
  <c r="T576" i="99"/>
  <c r="T515" i="99"/>
  <c r="K576" i="99"/>
  <c r="K515" i="99"/>
  <c r="R576" i="99"/>
  <c r="R515" i="99"/>
  <c r="J579" i="99"/>
  <c r="J517" i="99"/>
  <c r="T228" i="99"/>
  <c r="S229" i="99"/>
  <c r="S230" i="99"/>
  <c r="L512" i="99"/>
  <c r="L573" i="99"/>
  <c r="T230" i="99"/>
  <c r="K578" i="99"/>
  <c r="L514" i="99"/>
  <c r="K577" i="99"/>
  <c r="R230" i="99"/>
  <c r="I119" i="99"/>
  <c r="I552" i="99"/>
  <c r="I615" i="99"/>
  <c r="I616" i="99" s="1"/>
  <c r="I61" i="99"/>
  <c r="I65" i="99" s="1"/>
  <c r="I66" i="99" s="1"/>
  <c r="R141" i="99"/>
  <c r="R140" i="99"/>
  <c r="R501" i="99"/>
  <c r="R485" i="99" s="1"/>
  <c r="R493" i="99" s="1"/>
  <c r="U501" i="99"/>
  <c r="U485" i="99" s="1"/>
  <c r="U493" i="99" s="1"/>
  <c r="AH159" i="99"/>
  <c r="T478" i="99"/>
  <c r="V478" i="99"/>
  <c r="U478" i="99"/>
  <c r="S478" i="99"/>
  <c r="R478" i="99"/>
  <c r="S13" i="105"/>
  <c r="S501" i="99"/>
  <c r="S485" i="99" s="1"/>
  <c r="S493" i="99" s="1"/>
  <c r="T501" i="99"/>
  <c r="T485" i="99" s="1"/>
  <c r="T493" i="99" s="1"/>
  <c r="U618" i="99"/>
  <c r="V501" i="99"/>
  <c r="V485" i="99" s="1"/>
  <c r="V493" i="99" s="1"/>
  <c r="AN8" i="98"/>
  <c r="W501" i="99"/>
  <c r="W485" i="99" s="1"/>
  <c r="W493" i="99" s="1"/>
  <c r="X6" i="98"/>
  <c r="W70" i="103"/>
  <c r="R533" i="99" l="1"/>
  <c r="R535" i="99" s="1"/>
  <c r="R599" i="99" s="1"/>
  <c r="T533" i="99"/>
  <c r="K533" i="99" a="1"/>
  <c r="K533" i="99" s="1"/>
  <c r="V533" i="99"/>
  <c r="U533" i="99"/>
  <c r="U535" i="99" s="1"/>
  <c r="U599" i="99" s="1"/>
  <c r="Y4" i="72" a="1"/>
  <c r="Y4" i="72" s="1"/>
  <c r="N111" i="105"/>
  <c r="I24" i="151"/>
  <c r="BN554" i="155"/>
  <c r="BO554" i="155"/>
  <c r="BP554" i="155"/>
  <c r="BQ554" i="155"/>
  <c r="BR554" i="155"/>
  <c r="BS554" i="155"/>
  <c r="BT554" i="155"/>
  <c r="BU554" i="155"/>
  <c r="BV554" i="155"/>
  <c r="BW554" i="155"/>
  <c r="BX554" i="155"/>
  <c r="BY554" i="155"/>
  <c r="BN554" i="154"/>
  <c r="BO554" i="154"/>
  <c r="BP554" i="154"/>
  <c r="BQ554" i="154"/>
  <c r="BR554" i="154"/>
  <c r="BS554" i="154"/>
  <c r="BT554" i="154"/>
  <c r="BU554" i="154"/>
  <c r="BV554" i="154"/>
  <c r="BW554" i="154"/>
  <c r="BX554" i="154"/>
  <c r="BY554" i="154"/>
  <c r="BN554" i="153"/>
  <c r="BO554" i="153"/>
  <c r="BP554" i="153"/>
  <c r="BQ554" i="153"/>
  <c r="BR554" i="153"/>
  <c r="BS554" i="153"/>
  <c r="BT554" i="153"/>
  <c r="BU554" i="153"/>
  <c r="BV554" i="153"/>
  <c r="BW554" i="153"/>
  <c r="BX554" i="153"/>
  <c r="BY554" i="153"/>
  <c r="L65" i="105"/>
  <c r="L122" i="105"/>
  <c r="I65" i="105"/>
  <c r="I122" i="105"/>
  <c r="J65" i="105"/>
  <c r="J122" i="105"/>
  <c r="K65" i="105"/>
  <c r="K122" i="105"/>
  <c r="K64" i="154"/>
  <c r="K129" i="154" s="1"/>
  <c r="R115" i="155"/>
  <c r="J50" i="155"/>
  <c r="J115" i="155" s="1"/>
  <c r="R116" i="154"/>
  <c r="J51" i="154"/>
  <c r="J116" i="154" s="1"/>
  <c r="AQ618" i="154"/>
  <c r="AQ64" i="154"/>
  <c r="AQ129" i="154" s="1"/>
  <c r="R123" i="155"/>
  <c r="J58" i="155"/>
  <c r="J123" i="155" s="1"/>
  <c r="R123" i="154"/>
  <c r="J58" i="154"/>
  <c r="J123" i="154" s="1"/>
  <c r="R114" i="154"/>
  <c r="J49" i="154"/>
  <c r="J114" i="154" s="1"/>
  <c r="R109" i="155"/>
  <c r="J44" i="155"/>
  <c r="J109" i="155" s="1"/>
  <c r="AV618" i="154"/>
  <c r="AV64" i="154"/>
  <c r="AV129" i="154" s="1"/>
  <c r="I561" i="155"/>
  <c r="I567" i="155" s="1"/>
  <c r="I69" i="155"/>
  <c r="I134" i="155" s="1"/>
  <c r="R114" i="155"/>
  <c r="J49" i="155"/>
  <c r="J114" i="155" s="1"/>
  <c r="I65" i="155"/>
  <c r="I126" i="155"/>
  <c r="I127" i="155" s="1"/>
  <c r="I62" i="155"/>
  <c r="I65" i="154"/>
  <c r="I126" i="154"/>
  <c r="I127" i="154" s="1"/>
  <c r="I62" i="154"/>
  <c r="I561" i="153"/>
  <c r="I567" i="153" s="1"/>
  <c r="I69" i="153"/>
  <c r="I134" i="153" s="1"/>
  <c r="R109" i="154"/>
  <c r="J44" i="154"/>
  <c r="J109" i="154" s="1"/>
  <c r="R123" i="153"/>
  <c r="J58" i="153"/>
  <c r="J123" i="153" s="1"/>
  <c r="R109" i="153"/>
  <c r="J44" i="153"/>
  <c r="J109" i="153" s="1"/>
  <c r="AU618" i="155"/>
  <c r="AU64" i="155"/>
  <c r="AU129" i="155" s="1"/>
  <c r="J50" i="153"/>
  <c r="J115" i="153" s="1"/>
  <c r="R115" i="153"/>
  <c r="I561" i="154"/>
  <c r="I567" i="154" s="1"/>
  <c r="I69" i="154"/>
  <c r="I134" i="154" s="1"/>
  <c r="R114" i="153"/>
  <c r="J49" i="153"/>
  <c r="J114" i="153" s="1"/>
  <c r="AQ618" i="155"/>
  <c r="AQ64" i="155"/>
  <c r="AQ129" i="155" s="1"/>
  <c r="AS618" i="155"/>
  <c r="AS64" i="155"/>
  <c r="AS129" i="155" s="1"/>
  <c r="AT618" i="155"/>
  <c r="AT64" i="155"/>
  <c r="AT129" i="155" s="1"/>
  <c r="AP129" i="154"/>
  <c r="R115" i="154"/>
  <c r="J50" i="154"/>
  <c r="J115" i="154" s="1"/>
  <c r="AP129" i="155"/>
  <c r="AZ618" i="155"/>
  <c r="AZ64" i="155"/>
  <c r="AZ129" i="155" s="1"/>
  <c r="AV618" i="155"/>
  <c r="AV64" i="155"/>
  <c r="AV129" i="155" s="1"/>
  <c r="R116" i="155"/>
  <c r="J51" i="155"/>
  <c r="J116" i="155" s="1"/>
  <c r="AU618" i="154"/>
  <c r="AU64" i="154"/>
  <c r="AU129" i="154" s="1"/>
  <c r="BA618" i="154"/>
  <c r="BA64" i="154"/>
  <c r="BA129" i="154" s="1"/>
  <c r="L64" i="153"/>
  <c r="L129" i="153" s="1"/>
  <c r="AP129" i="153"/>
  <c r="I65" i="153"/>
  <c r="I126" i="153"/>
  <c r="I127" i="153" s="1"/>
  <c r="I62" i="153"/>
  <c r="R116" i="153"/>
  <c r="J51" i="153"/>
  <c r="J116" i="153" s="1"/>
  <c r="AX618" i="155"/>
  <c r="AX64" i="155"/>
  <c r="AX129" i="155" s="1"/>
  <c r="K64" i="155"/>
  <c r="K129" i="155" s="1"/>
  <c r="N116" i="105"/>
  <c r="N122" i="105"/>
  <c r="AW618" i="154"/>
  <c r="AY618" i="154"/>
  <c r="AY618" i="155"/>
  <c r="BA618" i="155"/>
  <c r="AR618" i="155"/>
  <c r="N84" i="105"/>
  <c r="N92" i="105"/>
  <c r="N85" i="105"/>
  <c r="AP618" i="155"/>
  <c r="AT618" i="154"/>
  <c r="AZ618" i="154"/>
  <c r="N86" i="105"/>
  <c r="N88" i="105"/>
  <c r="AR618" i="154"/>
  <c r="AR618" i="153"/>
  <c r="N130" i="105"/>
  <c r="BM64" i="153"/>
  <c r="BM129" i="153" s="1"/>
  <c r="BA618" i="153"/>
  <c r="N102" i="105"/>
  <c r="I561" i="99"/>
  <c r="I567" i="99" s="1"/>
  <c r="I556" i="154"/>
  <c r="I556" i="155"/>
  <c r="M529" i="155"/>
  <c r="M529" i="153"/>
  <c r="N34" i="105"/>
  <c r="N95" i="105" s="1"/>
  <c r="M529" i="154"/>
  <c r="N59" i="105"/>
  <c r="N45" i="105"/>
  <c r="N25" i="105"/>
  <c r="N87" i="105" s="1"/>
  <c r="I39" i="103"/>
  <c r="I28" i="103"/>
  <c r="N524" i="154"/>
  <c r="P521" i="154"/>
  <c r="N524" i="153"/>
  <c r="P521" i="153"/>
  <c r="N524" i="155"/>
  <c r="P521" i="155"/>
  <c r="P512" i="153"/>
  <c r="N515" i="153"/>
  <c r="P512" i="154"/>
  <c r="N515" i="154"/>
  <c r="N515" i="155"/>
  <c r="P512" i="155"/>
  <c r="S232" i="99"/>
  <c r="R232" i="99"/>
  <c r="T232" i="99"/>
  <c r="K586" i="99"/>
  <c r="T585" i="99"/>
  <c r="T524" i="99"/>
  <c r="J588" i="99"/>
  <c r="S524" i="99"/>
  <c r="S585" i="99"/>
  <c r="R585" i="99"/>
  <c r="R524" i="99"/>
  <c r="K585" i="99"/>
  <c r="R234" i="99"/>
  <c r="T234" i="99"/>
  <c r="S234" i="99"/>
  <c r="K589" i="99"/>
  <c r="R233" i="99"/>
  <c r="S233" i="99"/>
  <c r="T233" i="99"/>
  <c r="K587" i="99"/>
  <c r="S155" i="153"/>
  <c r="W155" i="153" s="1"/>
  <c r="S155" i="154"/>
  <c r="W155" i="154" s="1"/>
  <c r="AW618" i="155"/>
  <c r="AX618" i="154"/>
  <c r="V618" i="99"/>
  <c r="V64" i="99"/>
  <c r="V129" i="99" s="1"/>
  <c r="AS618" i="154"/>
  <c r="AX618" i="153"/>
  <c r="V229" i="99"/>
  <c r="X478" i="99"/>
  <c r="V597" i="155"/>
  <c r="V535" i="155"/>
  <c r="V599" i="155" s="1"/>
  <c r="AC597" i="155"/>
  <c r="AC535" i="155"/>
  <c r="AC599" i="155" s="1"/>
  <c r="R597" i="155"/>
  <c r="R535" i="155"/>
  <c r="R599" i="155" s="1"/>
  <c r="Y535" i="155"/>
  <c r="Y599" i="155" s="1"/>
  <c r="Y597" i="155"/>
  <c r="T597" i="155"/>
  <c r="T535" i="155"/>
  <c r="T599" i="155" s="1"/>
  <c r="S597" i="155"/>
  <c r="S535" i="155"/>
  <c r="S599" i="155" s="1"/>
  <c r="Z597" i="155"/>
  <c r="Z535" i="155"/>
  <c r="Z599" i="155" s="1"/>
  <c r="U535" i="155"/>
  <c r="U599" i="155" s="1"/>
  <c r="U597" i="155"/>
  <c r="AO533" i="155"/>
  <c r="AD533" i="155"/>
  <c r="K535" i="155"/>
  <c r="K599" i="155" s="1"/>
  <c r="K597" i="155"/>
  <c r="L533" i="155" a="1"/>
  <c r="L533" i="155" s="1"/>
  <c r="AE533" i="155"/>
  <c r="AF533" i="155"/>
  <c r="AG533" i="155"/>
  <c r="AH533" i="155"/>
  <c r="AI533" i="155"/>
  <c r="AJ533" i="155"/>
  <c r="AK533" i="155"/>
  <c r="AL533" i="155"/>
  <c r="AM533" i="155"/>
  <c r="AN533" i="155"/>
  <c r="W597" i="155"/>
  <c r="W535" i="155"/>
  <c r="W599" i="155" s="1"/>
  <c r="AA597" i="155"/>
  <c r="AA535" i="155"/>
  <c r="AA599" i="155" s="1"/>
  <c r="E126" i="34"/>
  <c r="J162" i="104" a="1"/>
  <c r="J162" i="104" s="1"/>
  <c r="K162" i="104" s="1"/>
  <c r="AB597" i="155"/>
  <c r="AB535" i="155"/>
  <c r="AB599" i="155" s="1"/>
  <c r="Z445" i="155"/>
  <c r="Z68" i="155" s="1"/>
  <c r="Z133" i="155" s="1"/>
  <c r="AA445" i="154"/>
  <c r="AA68" i="154" s="1"/>
  <c r="AA133" i="154" s="1"/>
  <c r="AA445" i="153"/>
  <c r="AA68" i="153" s="1"/>
  <c r="AA133" i="153" s="1"/>
  <c r="R445" i="154"/>
  <c r="R68" i="154" s="1"/>
  <c r="AB535" i="154"/>
  <c r="AB599" i="154" s="1"/>
  <c r="AB597" i="154"/>
  <c r="AO439" i="154"/>
  <c r="AO443" i="154"/>
  <c r="AO440" i="154"/>
  <c r="AO441" i="154"/>
  <c r="AO444" i="154"/>
  <c r="AO442" i="154"/>
  <c r="AA597" i="154"/>
  <c r="AA535" i="154"/>
  <c r="AA599" i="154" s="1"/>
  <c r="AN439" i="154"/>
  <c r="AN440" i="154"/>
  <c r="AN443" i="154"/>
  <c r="AN444" i="154"/>
  <c r="AN441" i="154"/>
  <c r="AN442" i="154"/>
  <c r="R535" i="153"/>
  <c r="R599" i="153" s="1"/>
  <c r="R597" i="153"/>
  <c r="AD443" i="153"/>
  <c r="AD440" i="153"/>
  <c r="AD441" i="153"/>
  <c r="AD442" i="153"/>
  <c r="AD444" i="153"/>
  <c r="AD439" i="153"/>
  <c r="Z597" i="154"/>
  <c r="Z535" i="154"/>
  <c r="Z599" i="154" s="1"/>
  <c r="AK443" i="154"/>
  <c r="AK439" i="154"/>
  <c r="AK444" i="154"/>
  <c r="AK441" i="154"/>
  <c r="AK442" i="154"/>
  <c r="AK440" i="154"/>
  <c r="R445" i="153"/>
  <c r="R68" i="153" s="1"/>
  <c r="V445" i="153"/>
  <c r="V68" i="153" s="1"/>
  <c r="V133" i="153" s="1"/>
  <c r="AJ443" i="154"/>
  <c r="AJ440" i="154"/>
  <c r="AJ444" i="154"/>
  <c r="AJ441" i="154"/>
  <c r="AJ439" i="154"/>
  <c r="AJ442" i="154"/>
  <c r="AO442" i="155"/>
  <c r="AO444" i="155"/>
  <c r="AO440" i="155"/>
  <c r="AO443" i="155"/>
  <c r="AO439" i="155"/>
  <c r="AO441" i="155"/>
  <c r="U445" i="155"/>
  <c r="U68" i="155" s="1"/>
  <c r="U133" i="155" s="1"/>
  <c r="AC535" i="153"/>
  <c r="AC599" i="153" s="1"/>
  <c r="AC597" i="153"/>
  <c r="AN439" i="153"/>
  <c r="AN444" i="153"/>
  <c r="AN441" i="153"/>
  <c r="AN442" i="153"/>
  <c r="AN440" i="153"/>
  <c r="AN443" i="153"/>
  <c r="X445" i="153"/>
  <c r="X68" i="153" s="1"/>
  <c r="X133" i="153" s="1"/>
  <c r="Z445" i="153"/>
  <c r="Z68" i="153" s="1"/>
  <c r="Z133" i="153" s="1"/>
  <c r="W597" i="154"/>
  <c r="W535" i="154"/>
  <c r="W599" i="154" s="1"/>
  <c r="AI439" i="154"/>
  <c r="AI441" i="154"/>
  <c r="AI443" i="154"/>
  <c r="AI444" i="154"/>
  <c r="AI440" i="154"/>
  <c r="AI442" i="154"/>
  <c r="AF444" i="155"/>
  <c r="AF443" i="155"/>
  <c r="AF442" i="155"/>
  <c r="AF440" i="155"/>
  <c r="AF441" i="155"/>
  <c r="AF439" i="155"/>
  <c r="AB535" i="153"/>
  <c r="AB599" i="153" s="1"/>
  <c r="AB597" i="153"/>
  <c r="S445" i="153"/>
  <c r="S68" i="153" s="1"/>
  <c r="S133" i="153" s="1"/>
  <c r="AM443" i="153"/>
  <c r="AM440" i="153"/>
  <c r="AM441" i="153"/>
  <c r="AM442" i="153"/>
  <c r="AM444" i="153"/>
  <c r="AM439" i="153"/>
  <c r="Y597" i="154"/>
  <c r="Y535" i="154"/>
  <c r="Y599" i="154" s="1"/>
  <c r="AG443" i="154"/>
  <c r="AG444" i="154"/>
  <c r="AG440" i="154"/>
  <c r="AG442" i="154"/>
  <c r="AG441" i="154"/>
  <c r="AG439" i="154"/>
  <c r="AN441" i="155"/>
  <c r="AN439" i="155"/>
  <c r="AN444" i="155"/>
  <c r="AN440" i="155"/>
  <c r="AN442" i="155"/>
  <c r="AN443" i="155"/>
  <c r="AA597" i="153"/>
  <c r="AA535" i="153"/>
  <c r="AA599" i="153" s="1"/>
  <c r="W445" i="153"/>
  <c r="W68" i="153" s="1"/>
  <c r="W133" i="153" s="1"/>
  <c r="AL441" i="153"/>
  <c r="AL442" i="153"/>
  <c r="AL444" i="153"/>
  <c r="AL443" i="153"/>
  <c r="AL440" i="153"/>
  <c r="AL439" i="153"/>
  <c r="X535" i="154"/>
  <c r="X599" i="154" s="1"/>
  <c r="X597" i="154"/>
  <c r="AF439" i="154"/>
  <c r="AF443" i="154"/>
  <c r="AF440" i="154"/>
  <c r="AF442" i="154"/>
  <c r="AF441" i="154"/>
  <c r="AF444" i="154"/>
  <c r="AE441" i="155"/>
  <c r="AE443" i="155"/>
  <c r="AE440" i="155"/>
  <c r="AE444" i="155"/>
  <c r="AE439" i="155"/>
  <c r="AE442" i="155"/>
  <c r="Z597" i="153"/>
  <c r="Z535" i="153"/>
  <c r="Z599" i="153" s="1"/>
  <c r="AT558" i="153"/>
  <c r="AT622" i="153" s="1"/>
  <c r="AU558" i="153"/>
  <c r="AU622" i="153" s="1"/>
  <c r="AZ558" i="153"/>
  <c r="AZ622" i="153" s="1"/>
  <c r="L622" i="153"/>
  <c r="BA558" i="153"/>
  <c r="BA622" i="153" s="1"/>
  <c r="AP558" i="153"/>
  <c r="AP622" i="153" s="1"/>
  <c r="AQ558" i="153"/>
  <c r="AQ622" i="153" s="1"/>
  <c r="M558" i="153"/>
  <c r="AR558" i="153"/>
  <c r="AR622" i="153" s="1"/>
  <c r="AS558" i="153"/>
  <c r="AS622" i="153" s="1"/>
  <c r="AV558" i="153"/>
  <c r="AV622" i="153" s="1"/>
  <c r="AW558" i="153"/>
  <c r="AW622" i="153" s="1"/>
  <c r="AX558" i="153"/>
  <c r="AX622" i="153" s="1"/>
  <c r="AY558" i="153"/>
  <c r="AY622" i="153" s="1"/>
  <c r="AC445" i="155"/>
  <c r="AC68" i="155" s="1"/>
  <c r="AC133" i="155" s="1"/>
  <c r="V535" i="154"/>
  <c r="V599" i="154" s="1"/>
  <c r="V597" i="154"/>
  <c r="AE443" i="154"/>
  <c r="AE444" i="154"/>
  <c r="AE440" i="154"/>
  <c r="AE441" i="154"/>
  <c r="AE439" i="154"/>
  <c r="AE442" i="154"/>
  <c r="AM442" i="155"/>
  <c r="AM439" i="155"/>
  <c r="AM444" i="155"/>
  <c r="AM440" i="155"/>
  <c r="AM443" i="155"/>
  <c r="AM441" i="155"/>
  <c r="T445" i="155"/>
  <c r="T68" i="155" s="1"/>
  <c r="T133" i="155" s="1"/>
  <c r="Y535" i="153"/>
  <c r="Y599" i="153" s="1"/>
  <c r="Y597" i="153"/>
  <c r="AK439" i="153"/>
  <c r="AK444" i="153"/>
  <c r="AK443" i="153"/>
  <c r="AK441" i="153"/>
  <c r="AK440" i="153"/>
  <c r="AK442" i="153"/>
  <c r="AD441" i="154"/>
  <c r="AD444" i="154"/>
  <c r="AD439" i="154"/>
  <c r="AD443" i="154"/>
  <c r="AD442" i="154"/>
  <c r="AD440" i="154"/>
  <c r="AD443" i="155"/>
  <c r="AD442" i="155"/>
  <c r="AD439" i="155"/>
  <c r="AD440" i="155"/>
  <c r="AD444" i="155"/>
  <c r="AD441" i="155"/>
  <c r="U445" i="154"/>
  <c r="U68" i="154" s="1"/>
  <c r="U133" i="154" s="1"/>
  <c r="W445" i="155"/>
  <c r="W68" i="155" s="1"/>
  <c r="W133" i="155" s="1"/>
  <c r="X597" i="153"/>
  <c r="X535" i="153"/>
  <c r="X599" i="153" s="1"/>
  <c r="AJ440" i="153"/>
  <c r="AJ444" i="153"/>
  <c r="AJ439" i="153"/>
  <c r="AJ443" i="153"/>
  <c r="AJ442" i="153"/>
  <c r="AJ441" i="153"/>
  <c r="AA445" i="155"/>
  <c r="AA68" i="155" s="1"/>
  <c r="AA133" i="155" s="1"/>
  <c r="AM443" i="154"/>
  <c r="AM442" i="154"/>
  <c r="AM440" i="154"/>
  <c r="AM444" i="154"/>
  <c r="AM439" i="154"/>
  <c r="AM441" i="154"/>
  <c r="AK439" i="155"/>
  <c r="AK441" i="155"/>
  <c r="AK444" i="155"/>
  <c r="AK440" i="155"/>
  <c r="AK443" i="155"/>
  <c r="AK442" i="155"/>
  <c r="W597" i="153"/>
  <c r="W535" i="153"/>
  <c r="W599" i="153" s="1"/>
  <c r="AI443" i="153"/>
  <c r="AI439" i="153"/>
  <c r="AI444" i="153"/>
  <c r="AI442" i="153"/>
  <c r="AI441" i="153"/>
  <c r="AI440" i="153"/>
  <c r="AL440" i="154"/>
  <c r="AL442" i="154"/>
  <c r="AL439" i="154"/>
  <c r="AL443" i="154"/>
  <c r="AL441" i="154"/>
  <c r="AL444" i="154"/>
  <c r="AJ442" i="155"/>
  <c r="AJ443" i="155"/>
  <c r="AJ444" i="155"/>
  <c r="AJ439" i="155"/>
  <c r="AJ441" i="155"/>
  <c r="AJ440" i="155"/>
  <c r="S445" i="154"/>
  <c r="S68" i="154" s="1"/>
  <c r="S133" i="154" s="1"/>
  <c r="V445" i="154"/>
  <c r="V68" i="154" s="1"/>
  <c r="V133" i="154" s="1"/>
  <c r="V445" i="155"/>
  <c r="V68" i="155" s="1"/>
  <c r="V133" i="155" s="1"/>
  <c r="V535" i="153"/>
  <c r="V599" i="153" s="1"/>
  <c r="V597" i="153"/>
  <c r="AB445" i="154"/>
  <c r="AB68" i="154" s="1"/>
  <c r="AB133" i="154" s="1"/>
  <c r="AH442" i="153"/>
  <c r="AH440" i="153"/>
  <c r="AH441" i="153"/>
  <c r="AH444" i="153"/>
  <c r="AH439" i="153"/>
  <c r="AH443" i="153"/>
  <c r="AH443" i="154"/>
  <c r="AH441" i="154"/>
  <c r="AH444" i="154"/>
  <c r="AH440" i="154"/>
  <c r="AH442" i="154"/>
  <c r="AH439" i="154"/>
  <c r="AR558" i="155"/>
  <c r="AR622" i="155" s="1"/>
  <c r="AS558" i="155"/>
  <c r="AS622" i="155" s="1"/>
  <c r="AX558" i="155"/>
  <c r="AX622" i="155" s="1"/>
  <c r="AY558" i="155"/>
  <c r="AY622" i="155" s="1"/>
  <c r="AZ558" i="155"/>
  <c r="AZ622" i="155" s="1"/>
  <c r="BA558" i="155"/>
  <c r="BA622" i="155" s="1"/>
  <c r="AW558" i="155"/>
  <c r="AW622" i="155" s="1"/>
  <c r="AP558" i="155"/>
  <c r="AP622" i="155" s="1"/>
  <c r="AQ558" i="155"/>
  <c r="AQ622" i="155" s="1"/>
  <c r="AT558" i="155"/>
  <c r="AT622" i="155" s="1"/>
  <c r="AU558" i="155"/>
  <c r="AU622" i="155" s="1"/>
  <c r="L622" i="155"/>
  <c r="AV558" i="155"/>
  <c r="AV622" i="155" s="1"/>
  <c r="M558" i="155"/>
  <c r="U597" i="153"/>
  <c r="U535" i="153"/>
  <c r="U599" i="153" s="1"/>
  <c r="AG442" i="153"/>
  <c r="AG441" i="153"/>
  <c r="AG440" i="153"/>
  <c r="AG444" i="153"/>
  <c r="AG439" i="153"/>
  <c r="AG443" i="153"/>
  <c r="AJ533" i="153"/>
  <c r="AI533" i="153"/>
  <c r="AK533" i="153"/>
  <c r="AM533" i="153"/>
  <c r="AL533" i="153"/>
  <c r="AN533" i="153"/>
  <c r="AO533" i="153"/>
  <c r="K597" i="153"/>
  <c r="K535" i="153"/>
  <c r="K599" i="153" s="1"/>
  <c r="L533" i="153" a="1"/>
  <c r="L533" i="153" s="1"/>
  <c r="AD533" i="153"/>
  <c r="AE533" i="153"/>
  <c r="AF533" i="153"/>
  <c r="AG533" i="153"/>
  <c r="AH533" i="153"/>
  <c r="Z445" i="154"/>
  <c r="Z68" i="154" s="1"/>
  <c r="Z133" i="154" s="1"/>
  <c r="X445" i="155"/>
  <c r="X68" i="155" s="1"/>
  <c r="X133" i="155" s="1"/>
  <c r="AF439" i="153"/>
  <c r="AF440" i="153"/>
  <c r="AF442" i="153"/>
  <c r="AF441" i="153"/>
  <c r="AF443" i="153"/>
  <c r="AF444" i="153"/>
  <c r="AB445" i="155"/>
  <c r="AB68" i="155" s="1"/>
  <c r="AB133" i="155" s="1"/>
  <c r="T597" i="154"/>
  <c r="T535" i="154"/>
  <c r="T599" i="154" s="1"/>
  <c r="AI443" i="155"/>
  <c r="AI439" i="155"/>
  <c r="AI440" i="155"/>
  <c r="AI441" i="155"/>
  <c r="AI444" i="155"/>
  <c r="AI442" i="155"/>
  <c r="T535" i="153"/>
  <c r="T599" i="153" s="1"/>
  <c r="T597" i="153"/>
  <c r="AE443" i="153"/>
  <c r="AE442" i="153"/>
  <c r="AE441" i="153"/>
  <c r="AE439" i="153"/>
  <c r="AE440" i="153"/>
  <c r="AE444" i="153"/>
  <c r="S445" i="155"/>
  <c r="S68" i="155" s="1"/>
  <c r="S133" i="155" s="1"/>
  <c r="U597" i="154"/>
  <c r="U535" i="154"/>
  <c r="U599" i="154" s="1"/>
  <c r="AH439" i="155"/>
  <c r="AH442" i="155"/>
  <c r="AH440" i="155"/>
  <c r="AH443" i="155"/>
  <c r="AH441" i="155"/>
  <c r="AH444" i="155"/>
  <c r="S597" i="153"/>
  <c r="S535" i="153"/>
  <c r="S599" i="153" s="1"/>
  <c r="AO444" i="153"/>
  <c r="AO443" i="153"/>
  <c r="AO440" i="153"/>
  <c r="AO439" i="153"/>
  <c r="AO442" i="153"/>
  <c r="AO441" i="153"/>
  <c r="S535" i="154"/>
  <c r="S599" i="154" s="1"/>
  <c r="S597" i="154"/>
  <c r="AG444" i="155"/>
  <c r="AG443" i="155"/>
  <c r="AG441" i="155"/>
  <c r="AG439" i="155"/>
  <c r="AG442" i="155"/>
  <c r="AG440" i="155"/>
  <c r="R445" i="155"/>
  <c r="R68" i="155" s="1"/>
  <c r="T445" i="154"/>
  <c r="T68" i="154" s="1"/>
  <c r="T133" i="154" s="1"/>
  <c r="W445" i="154"/>
  <c r="W68" i="154" s="1"/>
  <c r="W133" i="154" s="1"/>
  <c r="U445" i="153"/>
  <c r="U68" i="153" s="1"/>
  <c r="U133" i="153" s="1"/>
  <c r="AB445" i="153"/>
  <c r="AB68" i="153" s="1"/>
  <c r="AB133" i="153" s="1"/>
  <c r="AC445" i="153"/>
  <c r="AC68" i="153" s="1"/>
  <c r="AC133" i="153" s="1"/>
  <c r="AL440" i="155"/>
  <c r="AL443" i="155"/>
  <c r="AL444" i="155"/>
  <c r="AL442" i="155"/>
  <c r="AL441" i="155"/>
  <c r="AL439" i="155"/>
  <c r="AC445" i="154"/>
  <c r="AC68" i="154" s="1"/>
  <c r="AC133" i="154" s="1"/>
  <c r="X445" i="154"/>
  <c r="X68" i="154" s="1"/>
  <c r="X133" i="154" s="1"/>
  <c r="Y445" i="153"/>
  <c r="Y68" i="153" s="1"/>
  <c r="Y133" i="153" s="1"/>
  <c r="R535" i="154"/>
  <c r="R599" i="154" s="1"/>
  <c r="R597" i="154"/>
  <c r="T445" i="153"/>
  <c r="T68" i="153" s="1"/>
  <c r="T133" i="153" s="1"/>
  <c r="L533" i="154" a="1"/>
  <c r="L533" i="154" s="1"/>
  <c r="K535" i="154"/>
  <c r="K599" i="154" s="1"/>
  <c r="K597" i="154"/>
  <c r="AD533" i="154"/>
  <c r="AF533" i="154"/>
  <c r="AE533" i="154"/>
  <c r="AG533" i="154"/>
  <c r="AH533" i="154"/>
  <c r="AI533" i="154"/>
  <c r="AJ533" i="154"/>
  <c r="AK533" i="154"/>
  <c r="AL533" i="154"/>
  <c r="AM533" i="154"/>
  <c r="AN533" i="154"/>
  <c r="AO533" i="154"/>
  <c r="AC597" i="154"/>
  <c r="AC535" i="154"/>
  <c r="AC599" i="154" s="1"/>
  <c r="AV558" i="154"/>
  <c r="AV622" i="154" s="1"/>
  <c r="AW558" i="154"/>
  <c r="AW622" i="154" s="1"/>
  <c r="AP558" i="154"/>
  <c r="AP622" i="154" s="1"/>
  <c r="AQ558" i="154"/>
  <c r="AQ622" i="154" s="1"/>
  <c r="AR558" i="154"/>
  <c r="AR622" i="154" s="1"/>
  <c r="AS558" i="154"/>
  <c r="AS622" i="154" s="1"/>
  <c r="M558" i="154"/>
  <c r="AT558" i="154"/>
  <c r="AT622" i="154" s="1"/>
  <c r="L622" i="154"/>
  <c r="AU558" i="154"/>
  <c r="AU622" i="154" s="1"/>
  <c r="AX558" i="154"/>
  <c r="AX622" i="154" s="1"/>
  <c r="AY558" i="154"/>
  <c r="AY622" i="154" s="1"/>
  <c r="AZ558" i="154"/>
  <c r="AZ622" i="154" s="1"/>
  <c r="BA558" i="154"/>
  <c r="BA622" i="154" s="1"/>
  <c r="Y445" i="154"/>
  <c r="Y68" i="154" s="1"/>
  <c r="Y133" i="154" s="1"/>
  <c r="Y445" i="155"/>
  <c r="Y68" i="155" s="1"/>
  <c r="Y133" i="155" s="1"/>
  <c r="W579" i="155"/>
  <c r="L618" i="155"/>
  <c r="T579" i="153"/>
  <c r="AS232" i="153"/>
  <c r="AR232" i="153"/>
  <c r="X579" i="155"/>
  <c r="U576" i="99"/>
  <c r="AT512" i="155"/>
  <c r="AT576" i="155" s="1"/>
  <c r="AS512" i="155"/>
  <c r="AS576" i="155" s="1"/>
  <c r="AK229" i="154"/>
  <c r="U517" i="155"/>
  <c r="U529" i="155" s="1"/>
  <c r="AM229" i="154"/>
  <c r="AL229" i="154"/>
  <c r="AY512" i="155"/>
  <c r="AY576" i="155" s="1"/>
  <c r="AL515" i="153"/>
  <c r="AL517" i="153" s="1"/>
  <c r="AS234" i="155"/>
  <c r="AU512" i="155"/>
  <c r="AU576" i="155" s="1"/>
  <c r="AR234" i="155"/>
  <c r="AR512" i="155"/>
  <c r="AR576" i="155" s="1"/>
  <c r="AJ229" i="154"/>
  <c r="AG229" i="154"/>
  <c r="BA232" i="153"/>
  <c r="AO229" i="154"/>
  <c r="AQ512" i="155"/>
  <c r="AQ576" i="155" s="1"/>
  <c r="AN229" i="154"/>
  <c r="AX232" i="153"/>
  <c r="AO515" i="153"/>
  <c r="AO517" i="153" s="1"/>
  <c r="AP512" i="155"/>
  <c r="AP576" i="155" s="1"/>
  <c r="AY232" i="153"/>
  <c r="AI230" i="155"/>
  <c r="Z579" i="153"/>
  <c r="BA512" i="155"/>
  <c r="BA576" i="155" s="1"/>
  <c r="AC517" i="155"/>
  <c r="AC518" i="155" s="1"/>
  <c r="AP232" i="153"/>
  <c r="AW512" i="155"/>
  <c r="AW576" i="155" s="1"/>
  <c r="AV512" i="155"/>
  <c r="AV576" i="155" s="1"/>
  <c r="AR234" i="154"/>
  <c r="AG230" i="155"/>
  <c r="U517" i="153"/>
  <c r="U529" i="153" s="1"/>
  <c r="AZ232" i="153"/>
  <c r="AU232" i="153"/>
  <c r="S579" i="155"/>
  <c r="BI64" i="153"/>
  <c r="BI129" i="153" s="1"/>
  <c r="BH64" i="155"/>
  <c r="BH129" i="155" s="1"/>
  <c r="AI515" i="155"/>
  <c r="AI579" i="155" s="1"/>
  <c r="BE64" i="155"/>
  <c r="BE129" i="155" s="1"/>
  <c r="BG64" i="153"/>
  <c r="BG129" i="153" s="1"/>
  <c r="BF64" i="153"/>
  <c r="BF129" i="153" s="1"/>
  <c r="AP618" i="154"/>
  <c r="L618" i="154"/>
  <c r="T129" i="103"/>
  <c r="T129" i="104"/>
  <c r="AD230" i="153"/>
  <c r="BB64" i="155"/>
  <c r="BB64" i="153"/>
  <c r="BJ64" i="155"/>
  <c r="BJ129" i="155" s="1"/>
  <c r="BE64" i="153"/>
  <c r="BE129" i="153" s="1"/>
  <c r="BC64" i="154"/>
  <c r="BC129" i="154" s="1"/>
  <c r="BJ64" i="153"/>
  <c r="BJ129" i="153" s="1"/>
  <c r="BJ64" i="154"/>
  <c r="BJ129" i="154" s="1"/>
  <c r="BL64" i="153"/>
  <c r="BL129" i="153" s="1"/>
  <c r="BB64" i="154"/>
  <c r="AS234" i="154"/>
  <c r="AH230" i="155"/>
  <c r="BC64" i="153"/>
  <c r="BC129" i="153" s="1"/>
  <c r="BH64" i="153"/>
  <c r="BH129" i="153" s="1"/>
  <c r="BL64" i="154"/>
  <c r="BL129" i="154" s="1"/>
  <c r="BK64" i="153"/>
  <c r="BK129" i="153" s="1"/>
  <c r="BD64" i="154"/>
  <c r="BD129" i="154" s="1"/>
  <c r="BE64" i="154"/>
  <c r="BE129" i="154" s="1"/>
  <c r="BF64" i="154"/>
  <c r="BF129" i="154" s="1"/>
  <c r="BK64" i="154"/>
  <c r="BK129" i="154" s="1"/>
  <c r="BH64" i="154"/>
  <c r="BH129" i="154" s="1"/>
  <c r="BG64" i="154"/>
  <c r="BG129" i="154" s="1"/>
  <c r="BK64" i="155"/>
  <c r="BK129" i="155" s="1"/>
  <c r="BI64" i="154"/>
  <c r="BI129" i="154" s="1"/>
  <c r="V228" i="99"/>
  <c r="BL64" i="155"/>
  <c r="BL129" i="155" s="1"/>
  <c r="BI64" i="155"/>
  <c r="BI129" i="155" s="1"/>
  <c r="BF64" i="155"/>
  <c r="BF129" i="155" s="1"/>
  <c r="U129" i="103"/>
  <c r="U129" i="104"/>
  <c r="BD64" i="155"/>
  <c r="BD129" i="155" s="1"/>
  <c r="BC64" i="155"/>
  <c r="BC129" i="155" s="1"/>
  <c r="BG64" i="155"/>
  <c r="BG129" i="155" s="1"/>
  <c r="BD64" i="153"/>
  <c r="BD129" i="153" s="1"/>
  <c r="AJ230" i="155"/>
  <c r="AF230" i="153"/>
  <c r="AQ233" i="154"/>
  <c r="AE230" i="153"/>
  <c r="AE230" i="155"/>
  <c r="AD230" i="155"/>
  <c r="V517" i="153"/>
  <c r="V529" i="153" s="1"/>
  <c r="AI576" i="155"/>
  <c r="AN230" i="155"/>
  <c r="AD229" i="154"/>
  <c r="AJ515" i="153"/>
  <c r="AJ579" i="153" s="1"/>
  <c r="AU233" i="154"/>
  <c r="AM230" i="155"/>
  <c r="AX512" i="155"/>
  <c r="AX576" i="155" s="1"/>
  <c r="AK515" i="153"/>
  <c r="AK579" i="153" s="1"/>
  <c r="AQ232" i="153"/>
  <c r="AV234" i="155"/>
  <c r="AL230" i="155"/>
  <c r="AH230" i="153"/>
  <c r="AI515" i="153"/>
  <c r="AI517" i="153" s="1"/>
  <c r="AO230" i="155"/>
  <c r="AU232" i="155"/>
  <c r="AP234" i="154"/>
  <c r="AI229" i="154"/>
  <c r="AW232" i="153"/>
  <c r="Y517" i="155"/>
  <c r="Y529" i="155" s="1"/>
  <c r="AH229" i="154"/>
  <c r="AV232" i="153"/>
  <c r="W400" i="155"/>
  <c r="W57" i="155" s="1"/>
  <c r="AF229" i="154"/>
  <c r="AT232" i="153"/>
  <c r="AM515" i="153"/>
  <c r="AM579" i="153" s="1"/>
  <c r="AN230" i="153"/>
  <c r="AZ512" i="155"/>
  <c r="AZ576" i="155" s="1"/>
  <c r="AE229" i="154"/>
  <c r="AM230" i="153"/>
  <c r="AZ234" i="155"/>
  <c r="AL230" i="153"/>
  <c r="AK515" i="154"/>
  <c r="AK517" i="154" s="1"/>
  <c r="AK372" i="153"/>
  <c r="AK49" i="153" s="1"/>
  <c r="AK114" i="153" s="1"/>
  <c r="Y400" i="154"/>
  <c r="Y57" i="154" s="1"/>
  <c r="AG380" i="155"/>
  <c r="AG50" i="155" s="1"/>
  <c r="AG115" i="155" s="1"/>
  <c r="AO372" i="154"/>
  <c r="AO49" i="154" s="1"/>
  <c r="AO114" i="154" s="1"/>
  <c r="AZ233" i="154"/>
  <c r="AC364" i="153"/>
  <c r="AC48" i="153" s="1"/>
  <c r="V230" i="99"/>
  <c r="AJ230" i="153"/>
  <c r="AY232" i="155"/>
  <c r="T400" i="155"/>
  <c r="T57" i="155" s="1"/>
  <c r="AJ515" i="154"/>
  <c r="AJ579" i="154" s="1"/>
  <c r="R364" i="153"/>
  <c r="R48" i="153" s="1"/>
  <c r="AN380" i="153"/>
  <c r="AN50" i="153" s="1"/>
  <c r="AN115" i="153" s="1"/>
  <c r="AM515" i="154"/>
  <c r="AM579" i="154" s="1"/>
  <c r="AO515" i="154"/>
  <c r="AO517" i="154" s="1"/>
  <c r="AJ388" i="153"/>
  <c r="AJ51" i="153" s="1"/>
  <c r="AJ116" i="153" s="1"/>
  <c r="AA364" i="153"/>
  <c r="AA48" i="153" s="1"/>
  <c r="BA234" i="155"/>
  <c r="AG388" i="153"/>
  <c r="AG51" i="153" s="1"/>
  <c r="AG116" i="153" s="1"/>
  <c r="AE372" i="153"/>
  <c r="AE49" i="153" s="1"/>
  <c r="AE114" i="153" s="1"/>
  <c r="AF372" i="155"/>
  <c r="AF49" i="155" s="1"/>
  <c r="AF114" i="155" s="1"/>
  <c r="AW233" i="154"/>
  <c r="AY234" i="154"/>
  <c r="AM352" i="155"/>
  <c r="AM44" i="155" s="1"/>
  <c r="AM109" i="155" s="1"/>
  <c r="AI380" i="153"/>
  <c r="AI50" i="153" s="1"/>
  <c r="AI115" i="153" s="1"/>
  <c r="AI352" i="153"/>
  <c r="AI44" i="153" s="1"/>
  <c r="AI109" i="153" s="1"/>
  <c r="AX234" i="155"/>
  <c r="AK408" i="153"/>
  <c r="AK58" i="153" s="1"/>
  <c r="AK123" i="153" s="1"/>
  <c r="AV233" i="154"/>
  <c r="AX234" i="154"/>
  <c r="Y400" i="155"/>
  <c r="Y57" i="155" s="1"/>
  <c r="AA364" i="154"/>
  <c r="AA48" i="154" s="1"/>
  <c r="AM372" i="155"/>
  <c r="AM49" i="155" s="1"/>
  <c r="AM114" i="155" s="1"/>
  <c r="AW234" i="155"/>
  <c r="S364" i="153"/>
  <c r="S48" i="153" s="1"/>
  <c r="AO388" i="155"/>
  <c r="AO51" i="155" s="1"/>
  <c r="AO116" i="155" s="1"/>
  <c r="AO229" i="153"/>
  <c r="AK515" i="155"/>
  <c r="AK517" i="155" s="1"/>
  <c r="AN515" i="155"/>
  <c r="AN517" i="155" s="1"/>
  <c r="AG352" i="155"/>
  <c r="AG44" i="155" s="1"/>
  <c r="AG109" i="155" s="1"/>
  <c r="AI230" i="153"/>
  <c r="AT234" i="154"/>
  <c r="AK230" i="155"/>
  <c r="AM352" i="154"/>
  <c r="AM44" i="154" s="1"/>
  <c r="AM109" i="154" s="1"/>
  <c r="AF380" i="155"/>
  <c r="AF50" i="155" s="1"/>
  <c r="AF115" i="155" s="1"/>
  <c r="AJ388" i="155"/>
  <c r="AJ51" i="155" s="1"/>
  <c r="AJ116" i="155" s="1"/>
  <c r="AK229" i="153"/>
  <c r="I126" i="103"/>
  <c r="I127" i="103" s="1"/>
  <c r="AT232" i="155"/>
  <c r="AL372" i="154"/>
  <c r="AL49" i="154" s="1"/>
  <c r="AL114" i="154" s="1"/>
  <c r="AG229" i="153"/>
  <c r="AC400" i="153"/>
  <c r="AC57" i="153" s="1"/>
  <c r="AQ232" i="155"/>
  <c r="AD372" i="153"/>
  <c r="AD49" i="153" s="1"/>
  <c r="AP232" i="155"/>
  <c r="AN380" i="154"/>
  <c r="AN50" i="154" s="1"/>
  <c r="AN115" i="154" s="1"/>
  <c r="AF229" i="155"/>
  <c r="R400" i="155"/>
  <c r="R57" i="155" s="1"/>
  <c r="AB364" i="153"/>
  <c r="AB48" i="153" s="1"/>
  <c r="BA233" i="154"/>
  <c r="AV512" i="153"/>
  <c r="AV576" i="153" s="1"/>
  <c r="AI352" i="154"/>
  <c r="AI44" i="154" s="1"/>
  <c r="AI109" i="154" s="1"/>
  <c r="AR406" i="154"/>
  <c r="AR403" i="154"/>
  <c r="AR405" i="154"/>
  <c r="AR407" i="154"/>
  <c r="AR404" i="154"/>
  <c r="AR402" i="154"/>
  <c r="L588" i="153"/>
  <c r="AB579" i="155"/>
  <c r="AB517" i="155"/>
  <c r="AP383" i="153"/>
  <c r="AP384" i="153"/>
  <c r="AP385" i="153"/>
  <c r="AP382" i="153"/>
  <c r="AP386" i="153"/>
  <c r="AP387" i="153"/>
  <c r="AL515" i="154"/>
  <c r="Y364" i="154"/>
  <c r="Y48" i="154" s="1"/>
  <c r="AH362" i="155"/>
  <c r="AH358" i="155"/>
  <c r="AH360" i="155"/>
  <c r="AH361" i="155"/>
  <c r="AH363" i="155"/>
  <c r="AH359" i="155"/>
  <c r="AW387" i="155"/>
  <c r="AW382" i="155"/>
  <c r="AW385" i="155"/>
  <c r="AW383" i="155"/>
  <c r="AW386" i="155"/>
  <c r="AW384" i="155"/>
  <c r="BA611" i="153"/>
  <c r="BA549" i="153"/>
  <c r="BA613" i="153" s="1"/>
  <c r="AD388" i="154"/>
  <c r="AD51" i="154" s="1"/>
  <c r="U590" i="153"/>
  <c r="AC527" i="153"/>
  <c r="AK527" i="153"/>
  <c r="AC590" i="153"/>
  <c r="AI408" i="154"/>
  <c r="AI58" i="154" s="1"/>
  <c r="AI123" i="154" s="1"/>
  <c r="AM606" i="155"/>
  <c r="AQ602" i="153"/>
  <c r="AQ542" i="153"/>
  <c r="AH362" i="154"/>
  <c r="AH361" i="154"/>
  <c r="AH363" i="154"/>
  <c r="AH359" i="154"/>
  <c r="AH358" i="154"/>
  <c r="AH360" i="154"/>
  <c r="AN363" i="155"/>
  <c r="AN358" i="155"/>
  <c r="AN362" i="155"/>
  <c r="AN361" i="155"/>
  <c r="AN359" i="155"/>
  <c r="AN360" i="155"/>
  <c r="AY585" i="155"/>
  <c r="AY524" i="155"/>
  <c r="J581" i="155"/>
  <c r="J582" i="155" s="1"/>
  <c r="AQ524" i="154"/>
  <c r="AQ585" i="154"/>
  <c r="AH352" i="155"/>
  <c r="AH44" i="155" s="1"/>
  <c r="AH109" i="155" s="1"/>
  <c r="AF588" i="155"/>
  <c r="AF526" i="155"/>
  <c r="AE361" i="153"/>
  <c r="AE359" i="153"/>
  <c r="AE362" i="153"/>
  <c r="AE358" i="153"/>
  <c r="AE360" i="153"/>
  <c r="AE363" i="153"/>
  <c r="AS379" i="155"/>
  <c r="AS375" i="155"/>
  <c r="AS374" i="155"/>
  <c r="AS378" i="155"/>
  <c r="AS377" i="155"/>
  <c r="AS376" i="155"/>
  <c r="AT351" i="154"/>
  <c r="AT348" i="154"/>
  <c r="AT350" i="154"/>
  <c r="AT346" i="154"/>
  <c r="AT347" i="154"/>
  <c r="AT349" i="154"/>
  <c r="AO526" i="153"/>
  <c r="AO588" i="153"/>
  <c r="AT232" i="154"/>
  <c r="AH229" i="155"/>
  <c r="S400" i="153"/>
  <c r="S57" i="153" s="1"/>
  <c r="AQ350" i="153"/>
  <c r="AQ347" i="153"/>
  <c r="AQ346" i="153"/>
  <c r="AQ351" i="153"/>
  <c r="AQ348" i="153"/>
  <c r="AQ349" i="153"/>
  <c r="AY611" i="155"/>
  <c r="AY549" i="155"/>
  <c r="AY613" i="155" s="1"/>
  <c r="BA371" i="155"/>
  <c r="BA368" i="155"/>
  <c r="BA369" i="155"/>
  <c r="BA367" i="155"/>
  <c r="BA366" i="155"/>
  <c r="BA370" i="155"/>
  <c r="AM229" i="153"/>
  <c r="AE230" i="154"/>
  <c r="AD352" i="153"/>
  <c r="AD44" i="153" s="1"/>
  <c r="AX407" i="155"/>
  <c r="AX406" i="155"/>
  <c r="AX402" i="155"/>
  <c r="AX405" i="155"/>
  <c r="AX404" i="155"/>
  <c r="AX403" i="155"/>
  <c r="R579" i="154"/>
  <c r="R517" i="154"/>
  <c r="R529" i="154" s="1"/>
  <c r="AH527" i="155"/>
  <c r="Z590" i="155"/>
  <c r="AT233" i="155"/>
  <c r="AG228" i="155"/>
  <c r="AE408" i="155"/>
  <c r="AE58" i="155" s="1"/>
  <c r="AE123" i="155" s="1"/>
  <c r="AH228" i="154"/>
  <c r="AD606" i="155"/>
  <c r="AW585" i="153"/>
  <c r="AW524" i="153"/>
  <c r="U526" i="99"/>
  <c r="U590" i="99" s="1"/>
  <c r="AQ611" i="154"/>
  <c r="AQ549" i="154"/>
  <c r="AQ613" i="154" s="1"/>
  <c r="AN606" i="153"/>
  <c r="U400" i="155"/>
  <c r="U57" i="155" s="1"/>
  <c r="AP611" i="154"/>
  <c r="AP549" i="154"/>
  <c r="AP613" i="154" s="1"/>
  <c r="AN363" i="153"/>
  <c r="AN359" i="153"/>
  <c r="AN360" i="153"/>
  <c r="AN358" i="153"/>
  <c r="AN362" i="153"/>
  <c r="AN361" i="153"/>
  <c r="V579" i="154"/>
  <c r="V517" i="154"/>
  <c r="T529" i="153"/>
  <c r="T518" i="153"/>
  <c r="T581" i="153"/>
  <c r="AK380" i="155"/>
  <c r="AK50" i="155" s="1"/>
  <c r="AK115" i="155" s="1"/>
  <c r="W400" i="153"/>
  <c r="W57" i="153" s="1"/>
  <c r="K590" i="153"/>
  <c r="K591" i="153" s="1"/>
  <c r="S527" i="153"/>
  <c r="AQ403" i="154"/>
  <c r="AQ404" i="154"/>
  <c r="AQ407" i="154"/>
  <c r="AQ402" i="154"/>
  <c r="AQ405" i="154"/>
  <c r="AQ406" i="154"/>
  <c r="AK352" i="154"/>
  <c r="AK44" i="154" s="1"/>
  <c r="AK109" i="154" s="1"/>
  <c r="M585" i="153"/>
  <c r="BB521" i="153"/>
  <c r="BC521" i="153"/>
  <c r="BD521" i="153"/>
  <c r="BE521" i="153"/>
  <c r="BF521" i="153"/>
  <c r="BG521" i="153"/>
  <c r="BH521" i="153"/>
  <c r="BI521" i="153"/>
  <c r="BJ521" i="153"/>
  <c r="BK521" i="153"/>
  <c r="BL521" i="153"/>
  <c r="BM521" i="153"/>
  <c r="U364" i="155"/>
  <c r="U48" i="155" s="1"/>
  <c r="AL352" i="154"/>
  <c r="AL44" i="154" s="1"/>
  <c r="AL109" i="154" s="1"/>
  <c r="AD588" i="153"/>
  <c r="AD526" i="153"/>
  <c r="AV383" i="155"/>
  <c r="AV387" i="155"/>
  <c r="AV386" i="155"/>
  <c r="AV385" i="155"/>
  <c r="AV382" i="155"/>
  <c r="AV384" i="155"/>
  <c r="AD388" i="153"/>
  <c r="AD51" i="153" s="1"/>
  <c r="AG576" i="155"/>
  <c r="AG515" i="155"/>
  <c r="Z527" i="153"/>
  <c r="R590" i="153"/>
  <c r="Z579" i="155"/>
  <c r="Z517" i="155"/>
  <c r="T517" i="155"/>
  <c r="T529" i="155" s="1"/>
  <c r="T579" i="155"/>
  <c r="BA348" i="155"/>
  <c r="BA351" i="155"/>
  <c r="BA347" i="155"/>
  <c r="BA350" i="155"/>
  <c r="BA349" i="155"/>
  <c r="BA346" i="155"/>
  <c r="AI380" i="154"/>
  <c r="AI50" i="154" s="1"/>
  <c r="AI115" i="154" s="1"/>
  <c r="AZ549" i="153"/>
  <c r="AZ613" i="153" s="1"/>
  <c r="AZ611" i="153"/>
  <c r="AE388" i="155"/>
  <c r="AE51" i="155" s="1"/>
  <c r="AE116" i="155" s="1"/>
  <c r="M589" i="154"/>
  <c r="BB525" i="154"/>
  <c r="BB589" i="154" s="1"/>
  <c r="BC525" i="154"/>
  <c r="BC589" i="154" s="1"/>
  <c r="BD525" i="154"/>
  <c r="BD589" i="154" s="1"/>
  <c r="BE525" i="154"/>
  <c r="BE589" i="154" s="1"/>
  <c r="BF525" i="154"/>
  <c r="BF589" i="154" s="1"/>
  <c r="BG525" i="154"/>
  <c r="BG589" i="154" s="1"/>
  <c r="BH525" i="154"/>
  <c r="BH589" i="154" s="1"/>
  <c r="BI525" i="154"/>
  <c r="BI589" i="154" s="1"/>
  <c r="BJ525" i="154"/>
  <c r="BJ589" i="154" s="1"/>
  <c r="BK525" i="154"/>
  <c r="BK589" i="154" s="1"/>
  <c r="BL525" i="154"/>
  <c r="BL589" i="154" s="1"/>
  <c r="BM525" i="154"/>
  <c r="BM589" i="154" s="1"/>
  <c r="AM363" i="155"/>
  <c r="AM361" i="155"/>
  <c r="AM358" i="155"/>
  <c r="AM360" i="155"/>
  <c r="AM362" i="155"/>
  <c r="AM359" i="155"/>
  <c r="AP602" i="153"/>
  <c r="AP542" i="153"/>
  <c r="AE352" i="155"/>
  <c r="AE44" i="155" s="1"/>
  <c r="AE109" i="155" s="1"/>
  <c r="AX585" i="155"/>
  <c r="AX524" i="155"/>
  <c r="AH388" i="155"/>
  <c r="AH51" i="155" s="1"/>
  <c r="AH116" i="155" s="1"/>
  <c r="AF394" i="153"/>
  <c r="AF397" i="153"/>
  <c r="AF396" i="153"/>
  <c r="AF395" i="153"/>
  <c r="AF399" i="153"/>
  <c r="AF398" i="153"/>
  <c r="AP585" i="154"/>
  <c r="AP524" i="154"/>
  <c r="AD606" i="153"/>
  <c r="R364" i="155"/>
  <c r="R48" i="155" s="1"/>
  <c r="L576" i="154"/>
  <c r="AR376" i="155"/>
  <c r="AR379" i="155"/>
  <c r="AR375" i="155"/>
  <c r="AR378" i="155"/>
  <c r="AR374" i="155"/>
  <c r="AR377" i="155"/>
  <c r="AS349" i="154"/>
  <c r="AS347" i="154"/>
  <c r="AS346" i="154"/>
  <c r="AS350" i="154"/>
  <c r="AS351" i="154"/>
  <c r="AS348" i="154"/>
  <c r="AS232" i="154"/>
  <c r="AG229" i="155"/>
  <c r="AP346" i="153"/>
  <c r="AP351" i="153"/>
  <c r="AP348" i="153"/>
  <c r="AP347" i="153"/>
  <c r="AP349" i="153"/>
  <c r="AP350" i="153"/>
  <c r="AX611" i="155"/>
  <c r="AX549" i="155"/>
  <c r="AX613" i="155" s="1"/>
  <c r="AZ367" i="155"/>
  <c r="AZ370" i="155"/>
  <c r="AZ366" i="155"/>
  <c r="AZ371" i="155"/>
  <c r="AZ369" i="155"/>
  <c r="AZ368" i="155"/>
  <c r="AL229" i="153"/>
  <c r="AD230" i="154"/>
  <c r="AG380" i="153"/>
  <c r="AG50" i="153" s="1"/>
  <c r="AG115" i="153" s="1"/>
  <c r="AM397" i="153"/>
  <c r="AM395" i="153"/>
  <c r="AM394" i="153"/>
  <c r="AM396" i="153"/>
  <c r="AM399" i="153"/>
  <c r="AM398" i="153"/>
  <c r="AW406" i="155"/>
  <c r="AW405" i="155"/>
  <c r="AW402" i="155"/>
  <c r="AW404" i="155"/>
  <c r="AW407" i="155"/>
  <c r="AW403" i="155"/>
  <c r="AI588" i="154"/>
  <c r="AI526" i="154"/>
  <c r="AS233" i="155"/>
  <c r="AF352" i="153"/>
  <c r="AF44" i="153" s="1"/>
  <c r="AF109" i="153" s="1"/>
  <c r="AF228" i="155"/>
  <c r="AO399" i="153"/>
  <c r="AO398" i="153"/>
  <c r="AO394" i="153"/>
  <c r="AO396" i="153"/>
  <c r="AO395" i="153"/>
  <c r="AO397" i="153"/>
  <c r="BA404" i="153"/>
  <c r="BA406" i="153"/>
  <c r="BA403" i="153"/>
  <c r="BA405" i="153"/>
  <c r="BA402" i="153"/>
  <c r="BA407" i="153"/>
  <c r="AG228" i="154"/>
  <c r="AD363" i="155"/>
  <c r="AD362" i="155"/>
  <c r="AD360" i="155"/>
  <c r="AD358" i="155"/>
  <c r="AD359" i="155"/>
  <c r="AD361" i="155"/>
  <c r="N547" i="154"/>
  <c r="M611" i="154"/>
  <c r="M549" i="154"/>
  <c r="M613" i="154" s="1"/>
  <c r="BB547" i="154"/>
  <c r="BC547" i="154"/>
  <c r="BD547" i="154"/>
  <c r="BE547" i="154"/>
  <c r="BF547" i="154"/>
  <c r="BG547" i="154"/>
  <c r="BH547" i="154"/>
  <c r="BI547" i="154"/>
  <c r="BJ547" i="154"/>
  <c r="BK547" i="154"/>
  <c r="BL547" i="154"/>
  <c r="BM547" i="154"/>
  <c r="AP404" i="154"/>
  <c r="AP407" i="154"/>
  <c r="AP403" i="154"/>
  <c r="AP405" i="154"/>
  <c r="AP402" i="154"/>
  <c r="AP406" i="154"/>
  <c r="M605" i="153"/>
  <c r="N541" i="153"/>
  <c r="BB541" i="153"/>
  <c r="BB605" i="153" s="1"/>
  <c r="BC541" i="153"/>
  <c r="BC605" i="153" s="1"/>
  <c r="BD541" i="153"/>
  <c r="BD605" i="153" s="1"/>
  <c r="BE541" i="153"/>
  <c r="BE605" i="153" s="1"/>
  <c r="BF541" i="153"/>
  <c r="BF605" i="153" s="1"/>
  <c r="BG541" i="153"/>
  <c r="BG605" i="153" s="1"/>
  <c r="BH541" i="153"/>
  <c r="BH605" i="153" s="1"/>
  <c r="BI541" i="153"/>
  <c r="BI605" i="153" s="1"/>
  <c r="BJ541" i="153"/>
  <c r="BJ605" i="153" s="1"/>
  <c r="BK541" i="153"/>
  <c r="BK605" i="153" s="1"/>
  <c r="BL541" i="153"/>
  <c r="BL605" i="153" s="1"/>
  <c r="BM541" i="153"/>
  <c r="BM605" i="153" s="1"/>
  <c r="AU385" i="155"/>
  <c r="AU387" i="155"/>
  <c r="AU384" i="155"/>
  <c r="AU382" i="155"/>
  <c r="AU383" i="155"/>
  <c r="AU386" i="155"/>
  <c r="BA370" i="154"/>
  <c r="BA367" i="154"/>
  <c r="BA366" i="154"/>
  <c r="BA369" i="154"/>
  <c r="BA368" i="154"/>
  <c r="BA371" i="154"/>
  <c r="AZ350" i="155"/>
  <c r="AZ351" i="155"/>
  <c r="AZ347" i="155"/>
  <c r="AZ348" i="155"/>
  <c r="AZ346" i="155"/>
  <c r="AZ349" i="155"/>
  <c r="AY611" i="153"/>
  <c r="AY549" i="153"/>
  <c r="AY613" i="153" s="1"/>
  <c r="N538" i="153"/>
  <c r="M602" i="153"/>
  <c r="M542" i="153"/>
  <c r="BB538" i="153"/>
  <c r="BC538" i="153"/>
  <c r="BD538" i="153"/>
  <c r="BE538" i="153"/>
  <c r="BF538" i="153"/>
  <c r="BG538" i="153"/>
  <c r="BH538" i="153"/>
  <c r="BI538" i="153"/>
  <c r="BJ538" i="153"/>
  <c r="BK538" i="153"/>
  <c r="BL538" i="153"/>
  <c r="BM538" i="153"/>
  <c r="AD352" i="155"/>
  <c r="AD44" i="155" s="1"/>
  <c r="AW585" i="155"/>
  <c r="AW524" i="155"/>
  <c r="V590" i="153"/>
  <c r="AD527" i="153"/>
  <c r="L588" i="154"/>
  <c r="AM395" i="154"/>
  <c r="AM398" i="154"/>
  <c r="AM394" i="154"/>
  <c r="AM397" i="154"/>
  <c r="AM396" i="154"/>
  <c r="AM399" i="154"/>
  <c r="AD360" i="153"/>
  <c r="AD358" i="153"/>
  <c r="AD361" i="153"/>
  <c r="AD362" i="153"/>
  <c r="AD363" i="153"/>
  <c r="AD359" i="153"/>
  <c r="W579" i="154"/>
  <c r="W517" i="154"/>
  <c r="AK372" i="154"/>
  <c r="AK49" i="154" s="1"/>
  <c r="AK114" i="154" s="1"/>
  <c r="M573" i="154"/>
  <c r="BB507" i="154"/>
  <c r="BC507" i="154"/>
  <c r="BD507" i="154"/>
  <c r="BE507" i="154"/>
  <c r="BF507" i="154"/>
  <c r="BG507" i="154"/>
  <c r="BH507" i="154"/>
  <c r="BI507" i="154"/>
  <c r="BJ507" i="154"/>
  <c r="BK507" i="154"/>
  <c r="BL507" i="154"/>
  <c r="BM507" i="154"/>
  <c r="AQ376" i="155"/>
  <c r="AQ374" i="155"/>
  <c r="AQ378" i="155"/>
  <c r="AQ377" i="155"/>
  <c r="AQ375" i="155"/>
  <c r="AQ379" i="155"/>
  <c r="AR348" i="154"/>
  <c r="AR349" i="154"/>
  <c r="AR351" i="154"/>
  <c r="AR347" i="154"/>
  <c r="AR346" i="154"/>
  <c r="AR350" i="154"/>
  <c r="AR232" i="154"/>
  <c r="K579" i="154"/>
  <c r="Y590" i="155"/>
  <c r="AG527" i="155"/>
  <c r="AD515" i="154"/>
  <c r="AW611" i="155"/>
  <c r="AW549" i="155"/>
  <c r="AW613" i="155" s="1"/>
  <c r="AY369" i="155"/>
  <c r="AY367" i="155"/>
  <c r="AY370" i="155"/>
  <c r="AY371" i="155"/>
  <c r="AY368" i="155"/>
  <c r="AY366" i="155"/>
  <c r="L580" i="154"/>
  <c r="AP516" i="154"/>
  <c r="AP580" i="154" s="1"/>
  <c r="AQ516" i="154"/>
  <c r="AQ580" i="154" s="1"/>
  <c r="AR516" i="154"/>
  <c r="AR580" i="154" s="1"/>
  <c r="AS516" i="154"/>
  <c r="AS580" i="154" s="1"/>
  <c r="AT516" i="154"/>
  <c r="AT580" i="154" s="1"/>
  <c r="AU516" i="154"/>
  <c r="AU580" i="154" s="1"/>
  <c r="AV516" i="154"/>
  <c r="AV580" i="154" s="1"/>
  <c r="AW516" i="154"/>
  <c r="AW580" i="154" s="1"/>
  <c r="AX516" i="154"/>
  <c r="AX580" i="154" s="1"/>
  <c r="AY516" i="154"/>
  <c r="AY580" i="154" s="1"/>
  <c r="AZ516" i="154"/>
  <c r="AZ580" i="154" s="1"/>
  <c r="BA516" i="154"/>
  <c r="BA580" i="154" s="1"/>
  <c r="AV406" i="155"/>
  <c r="AV402" i="155"/>
  <c r="AV407" i="155"/>
  <c r="AV403" i="155"/>
  <c r="AV404" i="155"/>
  <c r="AV405" i="155"/>
  <c r="V364" i="155"/>
  <c r="V48" i="155" s="1"/>
  <c r="AR233" i="155"/>
  <c r="AE228" i="155"/>
  <c r="AZ402" i="153"/>
  <c r="AZ406" i="153"/>
  <c r="AZ403" i="153"/>
  <c r="AZ405" i="153"/>
  <c r="AZ404" i="153"/>
  <c r="AZ407" i="153"/>
  <c r="AF228" i="154"/>
  <c r="AF397" i="155"/>
  <c r="AF399" i="155"/>
  <c r="AF396" i="155"/>
  <c r="AF398" i="155"/>
  <c r="AF395" i="155"/>
  <c r="AF394" i="155"/>
  <c r="X590" i="154"/>
  <c r="AF527" i="154"/>
  <c r="AE606" i="155"/>
  <c r="N548" i="154"/>
  <c r="M612" i="154"/>
  <c r="BB548" i="154"/>
  <c r="BB612" i="154" s="1"/>
  <c r="BC548" i="154"/>
  <c r="BC612" i="154" s="1"/>
  <c r="BD548" i="154"/>
  <c r="BD612" i="154" s="1"/>
  <c r="BE548" i="154"/>
  <c r="BE612" i="154" s="1"/>
  <c r="BF548" i="154"/>
  <c r="BF612" i="154" s="1"/>
  <c r="BG548" i="154"/>
  <c r="BG612" i="154" s="1"/>
  <c r="BH548" i="154"/>
  <c r="BH612" i="154" s="1"/>
  <c r="BI548" i="154"/>
  <c r="BI612" i="154" s="1"/>
  <c r="BJ548" i="154"/>
  <c r="BJ612" i="154" s="1"/>
  <c r="BK548" i="154"/>
  <c r="BK612" i="154" s="1"/>
  <c r="BL548" i="154"/>
  <c r="BL612" i="154" s="1"/>
  <c r="BM548" i="154"/>
  <c r="BM612" i="154" s="1"/>
  <c r="BA542" i="154"/>
  <c r="BA602" i="154"/>
  <c r="AK352" i="153"/>
  <c r="AK44" i="153" s="1"/>
  <c r="AK109" i="153" s="1"/>
  <c r="AH408" i="153"/>
  <c r="AH58" i="153" s="1"/>
  <c r="AH123" i="153" s="1"/>
  <c r="AO380" i="153"/>
  <c r="AO50" i="153" s="1"/>
  <c r="AO115" i="153" s="1"/>
  <c r="AT386" i="155"/>
  <c r="AT382" i="155"/>
  <c r="AT383" i="155"/>
  <c r="AT385" i="155"/>
  <c r="AT384" i="155"/>
  <c r="AT387" i="155"/>
  <c r="AZ369" i="154"/>
  <c r="AZ366" i="154"/>
  <c r="AZ367" i="154"/>
  <c r="AZ371" i="154"/>
  <c r="AZ370" i="154"/>
  <c r="AZ368" i="154"/>
  <c r="AJ606" i="155"/>
  <c r="AY234" i="155"/>
  <c r="AY347" i="155"/>
  <c r="AY346" i="155"/>
  <c r="AY348" i="155"/>
  <c r="AY349" i="155"/>
  <c r="AY350" i="155"/>
  <c r="AY351" i="155"/>
  <c r="W364" i="153"/>
  <c r="W48" i="153" s="1"/>
  <c r="AE606" i="154"/>
  <c r="AX611" i="153"/>
  <c r="AX549" i="153"/>
  <c r="AX613" i="153" s="1"/>
  <c r="AL606" i="155"/>
  <c r="L606" i="153"/>
  <c r="AF388" i="154"/>
  <c r="AF51" i="154" s="1"/>
  <c r="AF116" i="154" s="1"/>
  <c r="AV585" i="155"/>
  <c r="AV524" i="155"/>
  <c r="AK395" i="154"/>
  <c r="AK398" i="154"/>
  <c r="AK399" i="154"/>
  <c r="AK396" i="154"/>
  <c r="AK394" i="154"/>
  <c r="AK397" i="154"/>
  <c r="AH388" i="154"/>
  <c r="AH51" i="154" s="1"/>
  <c r="AH116" i="154" s="1"/>
  <c r="AM588" i="153"/>
  <c r="AM526" i="153"/>
  <c r="AJ388" i="154"/>
  <c r="AJ51" i="154" s="1"/>
  <c r="AJ116" i="154" s="1"/>
  <c r="AN388" i="153"/>
  <c r="AN51" i="153" s="1"/>
  <c r="AN116" i="153" s="1"/>
  <c r="AP377" i="155"/>
  <c r="AP375" i="155"/>
  <c r="AP379" i="155"/>
  <c r="AP378" i="155"/>
  <c r="AP374" i="155"/>
  <c r="AP376" i="155"/>
  <c r="AQ346" i="154"/>
  <c r="AQ347" i="154"/>
  <c r="AQ349" i="154"/>
  <c r="AQ350" i="154"/>
  <c r="AQ348" i="154"/>
  <c r="AQ351" i="154"/>
  <c r="AA364" i="155"/>
  <c r="AA48" i="155" s="1"/>
  <c r="AQ232" i="154"/>
  <c r="AJ352" i="155"/>
  <c r="AJ44" i="155" s="1"/>
  <c r="AJ109" i="155" s="1"/>
  <c r="AE229" i="155"/>
  <c r="BA233" i="153"/>
  <c r="BA512" i="153"/>
  <c r="AE380" i="155"/>
  <c r="AE50" i="155" s="1"/>
  <c r="AE115" i="155" s="1"/>
  <c r="M598" i="153"/>
  <c r="N534" i="153"/>
  <c r="BB534" i="153"/>
  <c r="BB598" i="153" s="1"/>
  <c r="BC534" i="153"/>
  <c r="BC598" i="153" s="1"/>
  <c r="BD534" i="153"/>
  <c r="BD598" i="153" s="1"/>
  <c r="BE534" i="153"/>
  <c r="BE598" i="153" s="1"/>
  <c r="BF534" i="153"/>
  <c r="BF598" i="153" s="1"/>
  <c r="BG534" i="153"/>
  <c r="BG598" i="153" s="1"/>
  <c r="BH534" i="153"/>
  <c r="BH598" i="153" s="1"/>
  <c r="BI534" i="153"/>
  <c r="BI598" i="153" s="1"/>
  <c r="BJ534" i="153"/>
  <c r="BJ598" i="153" s="1"/>
  <c r="BK534" i="153"/>
  <c r="BK598" i="153" s="1"/>
  <c r="BL534" i="153"/>
  <c r="BL598" i="153" s="1"/>
  <c r="BM534" i="153"/>
  <c r="BM598" i="153" s="1"/>
  <c r="BA369" i="153"/>
  <c r="BA371" i="153"/>
  <c r="BA368" i="153"/>
  <c r="BA366" i="153"/>
  <c r="BA370" i="153"/>
  <c r="BA367" i="153"/>
  <c r="AV611" i="155"/>
  <c r="AV549" i="155"/>
  <c r="AV613" i="155" s="1"/>
  <c r="AX367" i="155"/>
  <c r="AX368" i="155"/>
  <c r="AX366" i="155"/>
  <c r="AX371" i="155"/>
  <c r="AX370" i="155"/>
  <c r="AX369" i="155"/>
  <c r="AJ229" i="153"/>
  <c r="AE352" i="154"/>
  <c r="AE44" i="154" s="1"/>
  <c r="AE109" i="154" s="1"/>
  <c r="AU402" i="155"/>
  <c r="AU404" i="155"/>
  <c r="AU405" i="155"/>
  <c r="AU403" i="155"/>
  <c r="AU406" i="155"/>
  <c r="AU407" i="155"/>
  <c r="BA542" i="155"/>
  <c r="BA602" i="155"/>
  <c r="AQ233" i="155"/>
  <c r="AD228" i="155"/>
  <c r="AE396" i="155"/>
  <c r="AE397" i="155"/>
  <c r="AE399" i="155"/>
  <c r="AE395" i="155"/>
  <c r="AE398" i="155"/>
  <c r="AE394" i="155"/>
  <c r="AY402" i="153"/>
  <c r="AY407" i="153"/>
  <c r="AY406" i="153"/>
  <c r="AY403" i="153"/>
  <c r="AY405" i="153"/>
  <c r="AY404" i="153"/>
  <c r="AI380" i="155"/>
  <c r="AI50" i="155" s="1"/>
  <c r="AI115" i="155" s="1"/>
  <c r="AE228" i="154"/>
  <c r="AM363" i="153"/>
  <c r="AM358" i="153"/>
  <c r="AM360" i="153"/>
  <c r="AM362" i="153"/>
  <c r="AM361" i="153"/>
  <c r="AM359" i="153"/>
  <c r="AE360" i="155"/>
  <c r="AE359" i="155"/>
  <c r="AE358" i="155"/>
  <c r="AE361" i="155"/>
  <c r="AE362" i="155"/>
  <c r="AE363" i="155"/>
  <c r="AA527" i="153"/>
  <c r="S590" i="153"/>
  <c r="Z581" i="153"/>
  <c r="Z518" i="153"/>
  <c r="AL380" i="155"/>
  <c r="AL50" i="155" s="1"/>
  <c r="AL115" i="155" s="1"/>
  <c r="AZ542" i="154"/>
  <c r="AZ602" i="154"/>
  <c r="AS383" i="155"/>
  <c r="AS385" i="155"/>
  <c r="AS386" i="155"/>
  <c r="AS387" i="155"/>
  <c r="AS382" i="155"/>
  <c r="AS384" i="155"/>
  <c r="AJ359" i="155"/>
  <c r="AJ361" i="155"/>
  <c r="AJ362" i="155"/>
  <c r="AJ360" i="155"/>
  <c r="AJ358" i="155"/>
  <c r="AJ363" i="155"/>
  <c r="AX350" i="155"/>
  <c r="AX346" i="155"/>
  <c r="AX348" i="155"/>
  <c r="AX351" i="155"/>
  <c r="AX349" i="155"/>
  <c r="AX347" i="155"/>
  <c r="AN372" i="153"/>
  <c r="AN49" i="153" s="1"/>
  <c r="AN114" i="153" s="1"/>
  <c r="AE362" i="154"/>
  <c r="AE360" i="154"/>
  <c r="AE363" i="154"/>
  <c r="AE359" i="154"/>
  <c r="AE361" i="154"/>
  <c r="AE358" i="154"/>
  <c r="AW549" i="153"/>
  <c r="AW613" i="153" s="1"/>
  <c r="AW611" i="153"/>
  <c r="AJ380" i="154"/>
  <c r="AJ50" i="154" s="1"/>
  <c r="AJ115" i="154" s="1"/>
  <c r="AO372" i="155"/>
  <c r="AO49" i="155" s="1"/>
  <c r="AO114" i="155" s="1"/>
  <c r="S364" i="154"/>
  <c r="S48" i="154" s="1"/>
  <c r="AL360" i="155"/>
  <c r="AL361" i="155"/>
  <c r="AL359" i="155"/>
  <c r="AL358" i="155"/>
  <c r="AL362" i="155"/>
  <c r="AL363" i="155"/>
  <c r="T579" i="154"/>
  <c r="T517" i="154"/>
  <c r="T529" i="154" s="1"/>
  <c r="V400" i="154"/>
  <c r="V57" i="154" s="1"/>
  <c r="Z400" i="155"/>
  <c r="Z57" i="155" s="1"/>
  <c r="AL380" i="154"/>
  <c r="AL50" i="154" s="1"/>
  <c r="AL115" i="154" s="1"/>
  <c r="AU524" i="155"/>
  <c r="AU585" i="155"/>
  <c r="AE399" i="153"/>
  <c r="AE395" i="153"/>
  <c r="AE398" i="153"/>
  <c r="AE394" i="153"/>
  <c r="AE396" i="153"/>
  <c r="AE397" i="153"/>
  <c r="AK408" i="154"/>
  <c r="AK58" i="154" s="1"/>
  <c r="AK123" i="154" s="1"/>
  <c r="AL408" i="154"/>
  <c r="AL58" i="154" s="1"/>
  <c r="AL123" i="154" s="1"/>
  <c r="M585" i="154"/>
  <c r="BB521" i="154"/>
  <c r="BC521" i="154"/>
  <c r="BD521" i="154"/>
  <c r="BE521" i="154"/>
  <c r="BF521" i="154"/>
  <c r="BG521" i="154"/>
  <c r="BH521" i="154"/>
  <c r="BI521" i="154"/>
  <c r="BJ521" i="154"/>
  <c r="BK521" i="154"/>
  <c r="BL521" i="154"/>
  <c r="BM521" i="154"/>
  <c r="AM606" i="154"/>
  <c r="AP347" i="154"/>
  <c r="AP350" i="154"/>
  <c r="AP351" i="154"/>
  <c r="AP346" i="154"/>
  <c r="AP348" i="154"/>
  <c r="AP349" i="154"/>
  <c r="AO388" i="153"/>
  <c r="AO51" i="153" s="1"/>
  <c r="AO116" i="153" s="1"/>
  <c r="AP232" i="154"/>
  <c r="AF526" i="154"/>
  <c r="AF588" i="154"/>
  <c r="AD229" i="155"/>
  <c r="AZ233" i="153"/>
  <c r="AZ512" i="153"/>
  <c r="AZ366" i="153"/>
  <c r="AZ371" i="153"/>
  <c r="AZ370" i="153"/>
  <c r="AZ367" i="153"/>
  <c r="AZ369" i="153"/>
  <c r="AZ368" i="153"/>
  <c r="AU549" i="155"/>
  <c r="AU613" i="155" s="1"/>
  <c r="AU611" i="155"/>
  <c r="AW369" i="155"/>
  <c r="AW367" i="155"/>
  <c r="AW371" i="155"/>
  <c r="AW370" i="155"/>
  <c r="AW368" i="155"/>
  <c r="AW366" i="155"/>
  <c r="AI229" i="153"/>
  <c r="AT404" i="155"/>
  <c r="AT407" i="155"/>
  <c r="AT406" i="155"/>
  <c r="AT405" i="155"/>
  <c r="AT402" i="155"/>
  <c r="AT403" i="155"/>
  <c r="AZ602" i="155"/>
  <c r="AZ542" i="155"/>
  <c r="AJ526" i="154"/>
  <c r="AJ588" i="154"/>
  <c r="AP233" i="155"/>
  <c r="L577" i="155"/>
  <c r="AP513" i="155"/>
  <c r="AP577" i="155" s="1"/>
  <c r="AQ513" i="155"/>
  <c r="AQ577" i="155" s="1"/>
  <c r="AR513" i="155"/>
  <c r="AR577" i="155" s="1"/>
  <c r="AS513" i="155"/>
  <c r="AS577" i="155" s="1"/>
  <c r="AT513" i="155"/>
  <c r="AT577" i="155" s="1"/>
  <c r="AU513" i="155"/>
  <c r="AU577" i="155" s="1"/>
  <c r="AV513" i="155"/>
  <c r="AV577" i="155" s="1"/>
  <c r="AW513" i="155"/>
  <c r="AW577" i="155" s="1"/>
  <c r="AX513" i="155"/>
  <c r="AX577" i="155" s="1"/>
  <c r="AY513" i="155"/>
  <c r="AY577" i="155" s="1"/>
  <c r="AZ513" i="155"/>
  <c r="AZ577" i="155" s="1"/>
  <c r="BA513" i="155"/>
  <c r="BA577" i="155" s="1"/>
  <c r="AX406" i="153"/>
  <c r="AX402" i="153"/>
  <c r="AX403" i="153"/>
  <c r="AX407" i="153"/>
  <c r="AX404" i="153"/>
  <c r="AX405" i="153"/>
  <c r="AD228" i="154"/>
  <c r="AN588" i="155"/>
  <c r="AN526" i="155"/>
  <c r="BA377" i="154"/>
  <c r="BA374" i="154"/>
  <c r="BA376" i="154"/>
  <c r="BA378" i="154"/>
  <c r="BA379" i="154"/>
  <c r="BA375" i="154"/>
  <c r="AM606" i="153"/>
  <c r="AN515" i="154"/>
  <c r="AY371" i="154"/>
  <c r="AY368" i="154"/>
  <c r="AY369" i="154"/>
  <c r="AY366" i="154"/>
  <c r="AY367" i="154"/>
  <c r="AY370" i="154"/>
  <c r="AE408" i="153"/>
  <c r="AE58" i="153" s="1"/>
  <c r="AE123" i="153" s="1"/>
  <c r="V579" i="155"/>
  <c r="V517" i="155"/>
  <c r="V529" i="155" s="1"/>
  <c r="AY602" i="154"/>
  <c r="AY542" i="154"/>
  <c r="AR386" i="155"/>
  <c r="AR382" i="155"/>
  <c r="AR383" i="155"/>
  <c r="AR384" i="155"/>
  <c r="AR387" i="155"/>
  <c r="AR385" i="155"/>
  <c r="AX368" i="154"/>
  <c r="AX367" i="154"/>
  <c r="AX370" i="154"/>
  <c r="AX371" i="154"/>
  <c r="AX369" i="154"/>
  <c r="AX366" i="154"/>
  <c r="AF408" i="154"/>
  <c r="AF58" i="154" s="1"/>
  <c r="AF123" i="154" s="1"/>
  <c r="AW347" i="155"/>
  <c r="AW350" i="155"/>
  <c r="AW348" i="155"/>
  <c r="AW346" i="155"/>
  <c r="AW349" i="155"/>
  <c r="AW351" i="155"/>
  <c r="AF526" i="153"/>
  <c r="AF588" i="153"/>
  <c r="V400" i="155"/>
  <c r="V57" i="155" s="1"/>
  <c r="AV611" i="153"/>
  <c r="AV549" i="153"/>
  <c r="AV613" i="153" s="1"/>
  <c r="S364" i="155"/>
  <c r="S48" i="155" s="1"/>
  <c r="AF388" i="155"/>
  <c r="AF51" i="155" s="1"/>
  <c r="AF116" i="155" s="1"/>
  <c r="AN408" i="153"/>
  <c r="AN58" i="153" s="1"/>
  <c r="AN123" i="153" s="1"/>
  <c r="AT585" i="155"/>
  <c r="AT524" i="155"/>
  <c r="AF230" i="155"/>
  <c r="AF352" i="155"/>
  <c r="AF44" i="155" s="1"/>
  <c r="AF109" i="155" s="1"/>
  <c r="BA377" i="153"/>
  <c r="BA374" i="153"/>
  <c r="BA375" i="153"/>
  <c r="BA378" i="153"/>
  <c r="BA379" i="153"/>
  <c r="BA376" i="153"/>
  <c r="X364" i="153"/>
  <c r="X48" i="153" s="1"/>
  <c r="AG399" i="153"/>
  <c r="AG398" i="153"/>
  <c r="AG396" i="153"/>
  <c r="AG394" i="153"/>
  <c r="AG395" i="153"/>
  <c r="AG397" i="153"/>
  <c r="AO576" i="155"/>
  <c r="AO515" i="155"/>
  <c r="AM363" i="154"/>
  <c r="AM362" i="154"/>
  <c r="AM361" i="154"/>
  <c r="AM360" i="154"/>
  <c r="AM358" i="154"/>
  <c r="AM359" i="154"/>
  <c r="M604" i="155"/>
  <c r="N540" i="155"/>
  <c r="BB540" i="155"/>
  <c r="BB604" i="155" s="1"/>
  <c r="BC540" i="155"/>
  <c r="BC604" i="155" s="1"/>
  <c r="BD540" i="155"/>
  <c r="BD604" i="155" s="1"/>
  <c r="BE540" i="155"/>
  <c r="BE604" i="155" s="1"/>
  <c r="BF540" i="155"/>
  <c r="BF604" i="155" s="1"/>
  <c r="BG540" i="155"/>
  <c r="BG604" i="155" s="1"/>
  <c r="BH540" i="155"/>
  <c r="BH604" i="155" s="1"/>
  <c r="BI540" i="155"/>
  <c r="BI604" i="155" s="1"/>
  <c r="BJ540" i="155"/>
  <c r="BJ604" i="155" s="1"/>
  <c r="BK540" i="155"/>
  <c r="BK604" i="155" s="1"/>
  <c r="BL540" i="155"/>
  <c r="BL604" i="155" s="1"/>
  <c r="BM540" i="155"/>
  <c r="BM604" i="155" s="1"/>
  <c r="M598" i="154"/>
  <c r="N534" i="154"/>
  <c r="BB534" i="154"/>
  <c r="BB598" i="154" s="1"/>
  <c r="BC534" i="154"/>
  <c r="BC598" i="154" s="1"/>
  <c r="BD534" i="154"/>
  <c r="BD598" i="154" s="1"/>
  <c r="BE534" i="154"/>
  <c r="BE598" i="154" s="1"/>
  <c r="BF534" i="154"/>
  <c r="BF598" i="154" s="1"/>
  <c r="BG534" i="154"/>
  <c r="BG598" i="154" s="1"/>
  <c r="BH534" i="154"/>
  <c r="BH598" i="154" s="1"/>
  <c r="BI534" i="154"/>
  <c r="BI598" i="154" s="1"/>
  <c r="BJ534" i="154"/>
  <c r="BJ598" i="154" s="1"/>
  <c r="BK534" i="154"/>
  <c r="BK598" i="154" s="1"/>
  <c r="BL534" i="154"/>
  <c r="BL598" i="154" s="1"/>
  <c r="BM534" i="154"/>
  <c r="BM598" i="154" s="1"/>
  <c r="AY233" i="153"/>
  <c r="AN388" i="155"/>
  <c r="AN51" i="155" s="1"/>
  <c r="AN116" i="155" s="1"/>
  <c r="AY512" i="153"/>
  <c r="AY367" i="153"/>
  <c r="AY371" i="153"/>
  <c r="AY370" i="153"/>
  <c r="AY366" i="153"/>
  <c r="AY368" i="153"/>
  <c r="AY369" i="153"/>
  <c r="AT549" i="155"/>
  <c r="AT613" i="155" s="1"/>
  <c r="AT611" i="155"/>
  <c r="AV366" i="155"/>
  <c r="AV367" i="155"/>
  <c r="AV371" i="155"/>
  <c r="AV368" i="155"/>
  <c r="AV369" i="155"/>
  <c r="AV370" i="155"/>
  <c r="AN388" i="154"/>
  <c r="AN51" i="154" s="1"/>
  <c r="AN116" i="154" s="1"/>
  <c r="AH229" i="153"/>
  <c r="AE352" i="153"/>
  <c r="AE44" i="153" s="1"/>
  <c r="AE109" i="153" s="1"/>
  <c r="AS407" i="155"/>
  <c r="AS402" i="155"/>
  <c r="AS404" i="155"/>
  <c r="AS403" i="155"/>
  <c r="AS405" i="155"/>
  <c r="AS406" i="155"/>
  <c r="AY602" i="155"/>
  <c r="AY542" i="155"/>
  <c r="AE372" i="155"/>
  <c r="AE49" i="155" s="1"/>
  <c r="AE114" i="155" s="1"/>
  <c r="M587" i="155"/>
  <c r="BB523" i="155"/>
  <c r="BB587" i="155" s="1"/>
  <c r="BC523" i="155"/>
  <c r="BC587" i="155" s="1"/>
  <c r="BD523" i="155"/>
  <c r="BD587" i="155" s="1"/>
  <c r="BE523" i="155"/>
  <c r="BE587" i="155" s="1"/>
  <c r="BF523" i="155"/>
  <c r="BF587" i="155" s="1"/>
  <c r="BG523" i="155"/>
  <c r="BG587" i="155" s="1"/>
  <c r="BH523" i="155"/>
  <c r="BH587" i="155" s="1"/>
  <c r="BI523" i="155"/>
  <c r="BI587" i="155" s="1"/>
  <c r="BJ523" i="155"/>
  <c r="BJ587" i="155" s="1"/>
  <c r="BK523" i="155"/>
  <c r="BK587" i="155" s="1"/>
  <c r="BL523" i="155"/>
  <c r="BL587" i="155" s="1"/>
  <c r="BM523" i="155"/>
  <c r="BM587" i="155" s="1"/>
  <c r="AG352" i="154"/>
  <c r="AG44" i="154" s="1"/>
  <c r="AG109" i="154" s="1"/>
  <c r="Y517" i="153"/>
  <c r="Y529" i="153" s="1"/>
  <c r="Y579" i="153"/>
  <c r="AW405" i="153"/>
  <c r="AW403" i="153"/>
  <c r="AW407" i="153"/>
  <c r="AW402" i="153"/>
  <c r="AW404" i="153"/>
  <c r="AW406" i="153"/>
  <c r="L577" i="154"/>
  <c r="AP513" i="154"/>
  <c r="AP577" i="154" s="1"/>
  <c r="AQ513" i="154"/>
  <c r="AQ577" i="154" s="1"/>
  <c r="AR513" i="154"/>
  <c r="AR577" i="154" s="1"/>
  <c r="AS513" i="154"/>
  <c r="AS577" i="154" s="1"/>
  <c r="AT513" i="154"/>
  <c r="AT577" i="154" s="1"/>
  <c r="AU513" i="154"/>
  <c r="AU577" i="154" s="1"/>
  <c r="AV513" i="154"/>
  <c r="AV577" i="154" s="1"/>
  <c r="AW513" i="154"/>
  <c r="AW577" i="154" s="1"/>
  <c r="AX513" i="154"/>
  <c r="AX577" i="154" s="1"/>
  <c r="AY513" i="154"/>
  <c r="AY577" i="154" s="1"/>
  <c r="AZ513" i="154"/>
  <c r="AZ577" i="154" s="1"/>
  <c r="BA513" i="154"/>
  <c r="BA577" i="154" s="1"/>
  <c r="AZ376" i="154"/>
  <c r="AZ374" i="154"/>
  <c r="AZ379" i="154"/>
  <c r="AZ375" i="154"/>
  <c r="AZ378" i="154"/>
  <c r="AZ377" i="154"/>
  <c r="AQ382" i="155"/>
  <c r="AQ385" i="155"/>
  <c r="AQ383" i="155"/>
  <c r="AQ387" i="155"/>
  <c r="AQ386" i="155"/>
  <c r="AQ384" i="155"/>
  <c r="AE408" i="154"/>
  <c r="AE58" i="154" s="1"/>
  <c r="AE123" i="154" s="1"/>
  <c r="AW367" i="154"/>
  <c r="AW371" i="154"/>
  <c r="AW369" i="154"/>
  <c r="AW370" i="154"/>
  <c r="AW366" i="154"/>
  <c r="AW368" i="154"/>
  <c r="AD361" i="154"/>
  <c r="AD359" i="154"/>
  <c r="AD363" i="154"/>
  <c r="AD358" i="154"/>
  <c r="AD362" i="154"/>
  <c r="AD360" i="154"/>
  <c r="AV349" i="155"/>
  <c r="AV346" i="155"/>
  <c r="AV348" i="155"/>
  <c r="AV351" i="155"/>
  <c r="AV350" i="155"/>
  <c r="AV347" i="155"/>
  <c r="AS524" i="155"/>
  <c r="AS585" i="155"/>
  <c r="AG527" i="154"/>
  <c r="Y590" i="154"/>
  <c r="AZ377" i="153"/>
  <c r="AZ376" i="153"/>
  <c r="AZ375" i="153"/>
  <c r="AZ374" i="153"/>
  <c r="AZ379" i="153"/>
  <c r="AZ378" i="153"/>
  <c r="Z590" i="154"/>
  <c r="AH527" i="154"/>
  <c r="AE588" i="154"/>
  <c r="AE526" i="154"/>
  <c r="AJ394" i="153"/>
  <c r="AJ399" i="153"/>
  <c r="AJ397" i="153"/>
  <c r="AJ398" i="153"/>
  <c r="AJ396" i="153"/>
  <c r="AJ395" i="153"/>
  <c r="AN606" i="154"/>
  <c r="M586" i="154"/>
  <c r="BB522" i="154"/>
  <c r="BB586" i="154" s="1"/>
  <c r="BC522" i="154"/>
  <c r="BC586" i="154" s="1"/>
  <c r="BD522" i="154"/>
  <c r="BD586" i="154" s="1"/>
  <c r="BE522" i="154"/>
  <c r="BE586" i="154" s="1"/>
  <c r="BF522" i="154"/>
  <c r="BF586" i="154" s="1"/>
  <c r="BG522" i="154"/>
  <c r="BG586" i="154" s="1"/>
  <c r="BH522" i="154"/>
  <c r="BH586" i="154" s="1"/>
  <c r="BI522" i="154"/>
  <c r="BI586" i="154" s="1"/>
  <c r="BJ522" i="154"/>
  <c r="BJ586" i="154" s="1"/>
  <c r="BK522" i="154"/>
  <c r="BK586" i="154" s="1"/>
  <c r="BL522" i="154"/>
  <c r="BL586" i="154" s="1"/>
  <c r="BM522" i="154"/>
  <c r="BM586" i="154" s="1"/>
  <c r="Z527" i="155"/>
  <c r="R590" i="155"/>
  <c r="L578" i="155"/>
  <c r="AP514" i="155"/>
  <c r="AP578" i="155" s="1"/>
  <c r="AQ514" i="155"/>
  <c r="AQ578" i="155" s="1"/>
  <c r="AR514" i="155"/>
  <c r="AR578" i="155" s="1"/>
  <c r="AS514" i="155"/>
  <c r="AS578" i="155" s="1"/>
  <c r="AT514" i="155"/>
  <c r="AT578" i="155" s="1"/>
  <c r="AU514" i="155"/>
  <c r="AU578" i="155" s="1"/>
  <c r="AV514" i="155"/>
  <c r="AV578" i="155" s="1"/>
  <c r="AW514" i="155"/>
  <c r="AW578" i="155" s="1"/>
  <c r="AX514" i="155"/>
  <c r="AX578" i="155" s="1"/>
  <c r="AY514" i="155"/>
  <c r="AY578" i="155" s="1"/>
  <c r="AZ514" i="155"/>
  <c r="AZ578" i="155" s="1"/>
  <c r="BA514" i="155"/>
  <c r="BA578" i="155" s="1"/>
  <c r="AA400" i="155"/>
  <c r="AA57" i="155" s="1"/>
  <c r="AX233" i="153"/>
  <c r="AX512" i="153"/>
  <c r="J581" i="153"/>
  <c r="J582" i="153" s="1"/>
  <c r="AX370" i="153"/>
  <c r="AX369" i="153"/>
  <c r="AX367" i="153"/>
  <c r="AX368" i="153"/>
  <c r="AX366" i="153"/>
  <c r="AX371" i="153"/>
  <c r="AS549" i="155"/>
  <c r="AS613" i="155" s="1"/>
  <c r="AS611" i="155"/>
  <c r="AU370" i="155"/>
  <c r="AU367" i="155"/>
  <c r="AU369" i="155"/>
  <c r="AU366" i="155"/>
  <c r="AU371" i="155"/>
  <c r="AU368" i="155"/>
  <c r="AA400" i="153"/>
  <c r="AA57" i="153" s="1"/>
  <c r="AR405" i="155"/>
  <c r="AR402" i="155"/>
  <c r="AR403" i="155"/>
  <c r="AR404" i="155"/>
  <c r="AR407" i="155"/>
  <c r="AR406" i="155"/>
  <c r="AX602" i="155"/>
  <c r="AX542" i="155"/>
  <c r="AO380" i="155"/>
  <c r="AO50" i="155" s="1"/>
  <c r="AO115" i="155" s="1"/>
  <c r="AM526" i="155"/>
  <c r="AM588" i="155"/>
  <c r="AV405" i="153"/>
  <c r="AV402" i="153"/>
  <c r="AV404" i="153"/>
  <c r="AV406" i="153"/>
  <c r="AV403" i="153"/>
  <c r="AV407" i="153"/>
  <c r="AY376" i="154"/>
  <c r="AY378" i="154"/>
  <c r="AY375" i="154"/>
  <c r="AY377" i="154"/>
  <c r="AY379" i="154"/>
  <c r="AY374" i="154"/>
  <c r="AX602" i="154"/>
  <c r="AX542" i="154"/>
  <c r="AU549" i="153"/>
  <c r="AU613" i="153" s="1"/>
  <c r="AU611" i="153"/>
  <c r="AK380" i="154"/>
  <c r="AK50" i="154" s="1"/>
  <c r="AK115" i="154" s="1"/>
  <c r="AI588" i="153"/>
  <c r="AI526" i="153"/>
  <c r="AH372" i="153"/>
  <c r="AH49" i="153" s="1"/>
  <c r="AH114" i="153" s="1"/>
  <c r="L578" i="154"/>
  <c r="AP514" i="154"/>
  <c r="AP578" i="154" s="1"/>
  <c r="AQ514" i="154"/>
  <c r="AQ578" i="154" s="1"/>
  <c r="AR514" i="154"/>
  <c r="AR578" i="154" s="1"/>
  <c r="AS514" i="154"/>
  <c r="AS578" i="154" s="1"/>
  <c r="AT514" i="154"/>
  <c r="AT578" i="154" s="1"/>
  <c r="AU514" i="154"/>
  <c r="AU578" i="154" s="1"/>
  <c r="AV514" i="154"/>
  <c r="AV578" i="154" s="1"/>
  <c r="AW514" i="154"/>
  <c r="AW578" i="154" s="1"/>
  <c r="AX514" i="154"/>
  <c r="AX578" i="154" s="1"/>
  <c r="AY514" i="154"/>
  <c r="AY578" i="154" s="1"/>
  <c r="AZ514" i="154"/>
  <c r="AZ578" i="154" s="1"/>
  <c r="BA514" i="154"/>
  <c r="BA578" i="154" s="1"/>
  <c r="AJ372" i="153"/>
  <c r="AJ49" i="153" s="1"/>
  <c r="AJ114" i="153" s="1"/>
  <c r="AW602" i="154"/>
  <c r="AW542" i="154"/>
  <c r="W400" i="154"/>
  <c r="W57" i="154" s="1"/>
  <c r="AP385" i="155"/>
  <c r="AP384" i="155"/>
  <c r="AP387" i="155"/>
  <c r="AP386" i="155"/>
  <c r="AP383" i="155"/>
  <c r="AP382" i="155"/>
  <c r="Z400" i="154"/>
  <c r="Z57" i="154" s="1"/>
  <c r="AV368" i="154"/>
  <c r="AV370" i="154"/>
  <c r="AV371" i="154"/>
  <c r="AV367" i="154"/>
  <c r="AV369" i="154"/>
  <c r="AV366" i="154"/>
  <c r="AF395" i="154"/>
  <c r="AF396" i="154"/>
  <c r="AF398" i="154"/>
  <c r="AF397" i="154"/>
  <c r="AF399" i="154"/>
  <c r="AF394" i="154"/>
  <c r="AJ408" i="153"/>
  <c r="AJ58" i="153" s="1"/>
  <c r="AJ123" i="153" s="1"/>
  <c r="AD606" i="154"/>
  <c r="AU234" i="155"/>
  <c r="AU348" i="155"/>
  <c r="AU350" i="155"/>
  <c r="AU349" i="155"/>
  <c r="AU347" i="155"/>
  <c r="AU346" i="155"/>
  <c r="AU351" i="155"/>
  <c r="BA232" i="155"/>
  <c r="AK527" i="154"/>
  <c r="AC590" i="154"/>
  <c r="AG408" i="154"/>
  <c r="AG58" i="154" s="1"/>
  <c r="AG123" i="154" s="1"/>
  <c r="AT611" i="153"/>
  <c r="AT549" i="153"/>
  <c r="AT613" i="153" s="1"/>
  <c r="W579" i="153"/>
  <c r="W517" i="153"/>
  <c r="W529" i="153" s="1"/>
  <c r="AL515" i="155"/>
  <c r="AL576" i="155"/>
  <c r="AR585" i="155"/>
  <c r="AR524" i="155"/>
  <c r="AM380" i="154"/>
  <c r="AM50" i="154" s="1"/>
  <c r="AM115" i="154" s="1"/>
  <c r="AI388" i="155"/>
  <c r="AI51" i="155" s="1"/>
  <c r="AI116" i="155" s="1"/>
  <c r="AY378" i="153"/>
  <c r="AY375" i="153"/>
  <c r="AY376" i="153"/>
  <c r="AY377" i="153"/>
  <c r="AY374" i="153"/>
  <c r="AY379" i="153"/>
  <c r="AM408" i="154"/>
  <c r="AM58" i="154" s="1"/>
  <c r="AM123" i="154" s="1"/>
  <c r="AJ372" i="154"/>
  <c r="AJ49" i="154" s="1"/>
  <c r="AJ114" i="154" s="1"/>
  <c r="AD380" i="153"/>
  <c r="AD50" i="153" s="1"/>
  <c r="X364" i="154"/>
  <c r="X48" i="154" s="1"/>
  <c r="AN363" i="154"/>
  <c r="AN362" i="154"/>
  <c r="AN359" i="154"/>
  <c r="AN360" i="154"/>
  <c r="AN358" i="154"/>
  <c r="AN361" i="154"/>
  <c r="AO230" i="153"/>
  <c r="AW233" i="153"/>
  <c r="AH606" i="153"/>
  <c r="AW512" i="153"/>
  <c r="AW368" i="153"/>
  <c r="AW367" i="153"/>
  <c r="AW369" i="153"/>
  <c r="AW371" i="153"/>
  <c r="AW370" i="153"/>
  <c r="AW366" i="153"/>
  <c r="AR611" i="155"/>
  <c r="AR549" i="155"/>
  <c r="AR613" i="155" s="1"/>
  <c r="AT368" i="155"/>
  <c r="AT367" i="155"/>
  <c r="AT369" i="155"/>
  <c r="AT366" i="155"/>
  <c r="AT370" i="155"/>
  <c r="AT371" i="155"/>
  <c r="AD515" i="153"/>
  <c r="AF229" i="153"/>
  <c r="AH588" i="154"/>
  <c r="AH526" i="154"/>
  <c r="AC579" i="154"/>
  <c r="AC517" i="154"/>
  <c r="AQ407" i="155"/>
  <c r="AQ405" i="155"/>
  <c r="AQ403" i="155"/>
  <c r="AQ406" i="155"/>
  <c r="AQ402" i="155"/>
  <c r="AQ404" i="155"/>
  <c r="AW602" i="155"/>
  <c r="AW542" i="155"/>
  <c r="AB364" i="155"/>
  <c r="AB48" i="155" s="1"/>
  <c r="AK361" i="153"/>
  <c r="AK363" i="153"/>
  <c r="AK358" i="153"/>
  <c r="AK360" i="153"/>
  <c r="AK359" i="153"/>
  <c r="AK362" i="153"/>
  <c r="BA234" i="153"/>
  <c r="AO228" i="153"/>
  <c r="AU403" i="153"/>
  <c r="AU405" i="153"/>
  <c r="AU404" i="153"/>
  <c r="AU406" i="153"/>
  <c r="AU402" i="153"/>
  <c r="AU407" i="153"/>
  <c r="U590" i="154"/>
  <c r="AC527" i="154"/>
  <c r="AK380" i="153"/>
  <c r="AK50" i="153" s="1"/>
  <c r="AK115" i="153" s="1"/>
  <c r="AX379" i="154"/>
  <c r="AX374" i="154"/>
  <c r="AX378" i="154"/>
  <c r="AX377" i="154"/>
  <c r="AX375" i="154"/>
  <c r="AX376" i="154"/>
  <c r="AH515" i="153"/>
  <c r="V549" i="99"/>
  <c r="V613" i="99" s="1"/>
  <c r="AO526" i="155"/>
  <c r="AO588" i="155"/>
  <c r="T364" i="153"/>
  <c r="T48" i="153" s="1"/>
  <c r="AG408" i="155"/>
  <c r="AG58" i="155" s="1"/>
  <c r="AG123" i="155" s="1"/>
  <c r="AV602" i="154"/>
  <c r="AV542" i="154"/>
  <c r="AL372" i="153"/>
  <c r="AL49" i="153" s="1"/>
  <c r="AL114" i="153" s="1"/>
  <c r="AU368" i="154"/>
  <c r="AU367" i="154"/>
  <c r="AU370" i="154"/>
  <c r="AU369" i="154"/>
  <c r="AU371" i="154"/>
  <c r="AU366" i="154"/>
  <c r="BA382" i="154"/>
  <c r="BA383" i="154"/>
  <c r="BA387" i="154"/>
  <c r="BA386" i="154"/>
  <c r="BA384" i="154"/>
  <c r="BA385" i="154"/>
  <c r="AT234" i="155"/>
  <c r="AT351" i="155"/>
  <c r="AT348" i="155"/>
  <c r="AT349" i="155"/>
  <c r="AT347" i="155"/>
  <c r="AT350" i="155"/>
  <c r="AT346" i="155"/>
  <c r="AZ232" i="155"/>
  <c r="AB400" i="155"/>
  <c r="AB57" i="155" s="1"/>
  <c r="AG588" i="153"/>
  <c r="AG526" i="153"/>
  <c r="AS611" i="153"/>
  <c r="AS549" i="153"/>
  <c r="AS613" i="153" s="1"/>
  <c r="Z364" i="153"/>
  <c r="Z48" i="153" s="1"/>
  <c r="AH388" i="153"/>
  <c r="AH51" i="153" s="1"/>
  <c r="AH116" i="153" s="1"/>
  <c r="AQ585" i="155"/>
  <c r="AQ524" i="155"/>
  <c r="L580" i="155"/>
  <c r="AP516" i="155"/>
  <c r="AP580" i="155" s="1"/>
  <c r="AQ516" i="155"/>
  <c r="AQ580" i="155" s="1"/>
  <c r="AR516" i="155"/>
  <c r="AR580" i="155" s="1"/>
  <c r="AS516" i="155"/>
  <c r="AS580" i="155" s="1"/>
  <c r="AT516" i="155"/>
  <c r="AT580" i="155" s="1"/>
  <c r="AU516" i="155"/>
  <c r="AU580" i="155" s="1"/>
  <c r="AV516" i="155"/>
  <c r="AV580" i="155" s="1"/>
  <c r="AW516" i="155"/>
  <c r="AW580" i="155" s="1"/>
  <c r="AX516" i="155"/>
  <c r="AX580" i="155" s="1"/>
  <c r="AY516" i="155"/>
  <c r="AY580" i="155" s="1"/>
  <c r="AZ516" i="155"/>
  <c r="AZ580" i="155" s="1"/>
  <c r="BA516" i="155"/>
  <c r="BA580" i="155" s="1"/>
  <c r="AX379" i="153"/>
  <c r="AX377" i="153"/>
  <c r="AX374" i="153"/>
  <c r="AX378" i="153"/>
  <c r="AX375" i="153"/>
  <c r="AX376" i="153"/>
  <c r="S581" i="155"/>
  <c r="S518" i="155"/>
  <c r="AN395" i="154"/>
  <c r="AN394" i="154"/>
  <c r="AN398" i="154"/>
  <c r="AN399" i="154"/>
  <c r="AN397" i="154"/>
  <c r="AN396" i="154"/>
  <c r="AF362" i="153"/>
  <c r="AF360" i="153"/>
  <c r="AF361" i="153"/>
  <c r="AF363" i="153"/>
  <c r="AF359" i="153"/>
  <c r="AF358" i="153"/>
  <c r="AI352" i="155"/>
  <c r="AI44" i="155" s="1"/>
  <c r="AI109" i="155" s="1"/>
  <c r="AV233" i="153"/>
  <c r="AH362" i="153"/>
  <c r="AH358" i="153"/>
  <c r="AH363" i="153"/>
  <c r="AH359" i="153"/>
  <c r="AH360" i="153"/>
  <c r="AH361" i="153"/>
  <c r="AG588" i="154"/>
  <c r="AG526" i="154"/>
  <c r="AV367" i="153"/>
  <c r="AV366" i="153"/>
  <c r="AV371" i="153"/>
  <c r="AV369" i="153"/>
  <c r="AV368" i="153"/>
  <c r="AV370" i="153"/>
  <c r="AQ611" i="155"/>
  <c r="AQ549" i="155"/>
  <c r="AQ613" i="155" s="1"/>
  <c r="AS367" i="155"/>
  <c r="AS369" i="155"/>
  <c r="AS370" i="155"/>
  <c r="AS366" i="155"/>
  <c r="AS371" i="155"/>
  <c r="AS368" i="155"/>
  <c r="AE229" i="153"/>
  <c r="AC364" i="154"/>
  <c r="AC48" i="154" s="1"/>
  <c r="AP405" i="155"/>
  <c r="AP406" i="155"/>
  <c r="AP403" i="155"/>
  <c r="AP404" i="155"/>
  <c r="AP407" i="155"/>
  <c r="AP402" i="155"/>
  <c r="AV542" i="155"/>
  <c r="AV602" i="155"/>
  <c r="AK606" i="153"/>
  <c r="AH380" i="155"/>
  <c r="AH50" i="155" s="1"/>
  <c r="AH115" i="155" s="1"/>
  <c r="AZ234" i="153"/>
  <c r="AN228" i="153"/>
  <c r="AT404" i="153"/>
  <c r="AT407" i="153"/>
  <c r="AT405" i="153"/>
  <c r="AT402" i="153"/>
  <c r="AT403" i="153"/>
  <c r="AT406" i="153"/>
  <c r="AH515" i="154"/>
  <c r="AH352" i="154"/>
  <c r="AH44" i="154" s="1"/>
  <c r="AH109" i="154" s="1"/>
  <c r="AW378" i="154"/>
  <c r="AW376" i="154"/>
  <c r="AW377" i="154"/>
  <c r="AW374" i="154"/>
  <c r="AW379" i="154"/>
  <c r="AW375" i="154"/>
  <c r="AH397" i="155"/>
  <c r="AH394" i="155"/>
  <c r="AH398" i="155"/>
  <c r="AH395" i="155"/>
  <c r="AH399" i="155"/>
  <c r="AH396" i="155"/>
  <c r="AN588" i="154"/>
  <c r="AN526" i="154"/>
  <c r="AA579" i="155"/>
  <c r="AA517" i="155"/>
  <c r="AA529" i="155" s="1"/>
  <c r="AU602" i="154"/>
  <c r="AU542" i="154"/>
  <c r="M605" i="155"/>
  <c r="N541" i="155"/>
  <c r="BB541" i="155"/>
  <c r="BB605" i="155" s="1"/>
  <c r="BC541" i="155"/>
  <c r="BC605" i="155" s="1"/>
  <c r="BD541" i="155"/>
  <c r="BD605" i="155" s="1"/>
  <c r="BE541" i="155"/>
  <c r="BE605" i="155" s="1"/>
  <c r="BF541" i="155"/>
  <c r="BF605" i="155" s="1"/>
  <c r="BG541" i="155"/>
  <c r="BG605" i="155" s="1"/>
  <c r="BH541" i="155"/>
  <c r="BH605" i="155" s="1"/>
  <c r="BI541" i="155"/>
  <c r="BI605" i="155" s="1"/>
  <c r="BJ541" i="155"/>
  <c r="BJ605" i="155" s="1"/>
  <c r="BK541" i="155"/>
  <c r="BK605" i="155" s="1"/>
  <c r="BL541" i="155"/>
  <c r="BL605" i="155" s="1"/>
  <c r="BM541" i="155"/>
  <c r="BM605" i="155" s="1"/>
  <c r="AT367" i="154"/>
  <c r="AT371" i="154"/>
  <c r="AT366" i="154"/>
  <c r="AT370" i="154"/>
  <c r="AT368" i="154"/>
  <c r="AT369" i="154"/>
  <c r="Z517" i="154"/>
  <c r="Z579" i="154"/>
  <c r="AZ382" i="154"/>
  <c r="AZ383" i="154"/>
  <c r="AZ387" i="154"/>
  <c r="AZ384" i="154"/>
  <c r="AZ385" i="154"/>
  <c r="AZ386" i="154"/>
  <c r="AG394" i="154"/>
  <c r="AG396" i="154"/>
  <c r="AG399" i="154"/>
  <c r="AG395" i="154"/>
  <c r="AG397" i="154"/>
  <c r="AG398" i="154"/>
  <c r="AR611" i="153"/>
  <c r="AR549" i="153"/>
  <c r="AR613" i="153" s="1"/>
  <c r="AG606" i="154"/>
  <c r="AP585" i="155"/>
  <c r="AP524" i="155"/>
  <c r="AW374" i="153"/>
  <c r="AW376" i="153"/>
  <c r="AW377" i="153"/>
  <c r="AW375" i="153"/>
  <c r="AW379" i="153"/>
  <c r="AW378" i="153"/>
  <c r="AF606" i="153"/>
  <c r="AL388" i="154"/>
  <c r="AL51" i="154" s="1"/>
  <c r="AL116" i="154" s="1"/>
  <c r="AU233" i="153"/>
  <c r="AU512" i="153"/>
  <c r="AD352" i="154"/>
  <c r="AD44" i="154" s="1"/>
  <c r="AU369" i="153"/>
  <c r="AU370" i="153"/>
  <c r="AU368" i="153"/>
  <c r="AU366" i="153"/>
  <c r="AU367" i="153"/>
  <c r="AU371" i="153"/>
  <c r="AP611" i="155"/>
  <c r="AP549" i="155"/>
  <c r="AP613" i="155" s="1"/>
  <c r="AR368" i="155"/>
  <c r="AR370" i="155"/>
  <c r="AR366" i="155"/>
  <c r="AR367" i="155"/>
  <c r="AR369" i="155"/>
  <c r="AR371" i="155"/>
  <c r="T364" i="155"/>
  <c r="T48" i="155" s="1"/>
  <c r="AD229" i="153"/>
  <c r="V364" i="154"/>
  <c r="V48" i="154" s="1"/>
  <c r="N548" i="155"/>
  <c r="M612" i="155"/>
  <c r="BB548" i="155"/>
  <c r="BB612" i="155" s="1"/>
  <c r="BC548" i="155"/>
  <c r="BC612" i="155" s="1"/>
  <c r="BD548" i="155"/>
  <c r="BD612" i="155" s="1"/>
  <c r="BE548" i="155"/>
  <c r="BE612" i="155" s="1"/>
  <c r="BF548" i="155"/>
  <c r="BF612" i="155" s="1"/>
  <c r="BG548" i="155"/>
  <c r="BG612" i="155" s="1"/>
  <c r="BH548" i="155"/>
  <c r="BH612" i="155" s="1"/>
  <c r="BI548" i="155"/>
  <c r="BI612" i="155" s="1"/>
  <c r="BJ548" i="155"/>
  <c r="BJ612" i="155" s="1"/>
  <c r="BK548" i="155"/>
  <c r="BK612" i="155" s="1"/>
  <c r="BL548" i="155"/>
  <c r="BL612" i="155" s="1"/>
  <c r="BM548" i="155"/>
  <c r="BM612" i="155" s="1"/>
  <c r="AU542" i="155"/>
  <c r="AU602" i="155"/>
  <c r="AY234" i="153"/>
  <c r="AM228" i="153"/>
  <c r="AS402" i="153"/>
  <c r="AS403" i="153"/>
  <c r="AS404" i="153"/>
  <c r="AS407" i="153"/>
  <c r="AS405" i="153"/>
  <c r="AS406" i="153"/>
  <c r="AV377" i="154"/>
  <c r="AV374" i="154"/>
  <c r="AV378" i="154"/>
  <c r="AV375" i="154"/>
  <c r="AV376" i="154"/>
  <c r="AV379" i="154"/>
  <c r="AB400" i="153"/>
  <c r="AB57" i="153" s="1"/>
  <c r="AF606" i="155"/>
  <c r="AZ585" i="153"/>
  <c r="AZ524" i="153"/>
  <c r="AT542" i="154"/>
  <c r="AT602" i="154"/>
  <c r="R400" i="153"/>
  <c r="R57" i="153" s="1"/>
  <c r="AJ408" i="155"/>
  <c r="AJ58" i="155" s="1"/>
  <c r="AJ123" i="155" s="1"/>
  <c r="AG380" i="154"/>
  <c r="AG50" i="154" s="1"/>
  <c r="AG115" i="154" s="1"/>
  <c r="AI408" i="153"/>
  <c r="AI58" i="153" s="1"/>
  <c r="AI123" i="153" s="1"/>
  <c r="AS369" i="154"/>
  <c r="AS368" i="154"/>
  <c r="AS366" i="154"/>
  <c r="AS367" i="154"/>
  <c r="AS370" i="154"/>
  <c r="AS371" i="154"/>
  <c r="AN352" i="154"/>
  <c r="AN44" i="154" s="1"/>
  <c r="AN109" i="154" s="1"/>
  <c r="AY386" i="154"/>
  <c r="AY385" i="154"/>
  <c r="AY382" i="154"/>
  <c r="AY384" i="154"/>
  <c r="AY383" i="154"/>
  <c r="AY387" i="154"/>
  <c r="AR351" i="155"/>
  <c r="AR348" i="155"/>
  <c r="AR346" i="155"/>
  <c r="AR350" i="155"/>
  <c r="AR349" i="155"/>
  <c r="AR347" i="155"/>
  <c r="AX232" i="155"/>
  <c r="AO372" i="153"/>
  <c r="AO49" i="153" s="1"/>
  <c r="AO114" i="153" s="1"/>
  <c r="AQ611" i="153"/>
  <c r="AQ549" i="153"/>
  <c r="AQ613" i="153" s="1"/>
  <c r="AH408" i="154"/>
  <c r="AH58" i="154" s="1"/>
  <c r="AH123" i="154" s="1"/>
  <c r="AY233" i="154"/>
  <c r="AJ576" i="155"/>
  <c r="AJ515" i="155"/>
  <c r="AG363" i="154"/>
  <c r="AG360" i="154"/>
  <c r="AG358" i="154"/>
  <c r="AG361" i="154"/>
  <c r="AG362" i="154"/>
  <c r="AG359" i="154"/>
  <c r="X579" i="153"/>
  <c r="X517" i="153"/>
  <c r="AC579" i="153"/>
  <c r="AC517" i="153"/>
  <c r="M585" i="155"/>
  <c r="BB521" i="155"/>
  <c r="BC521" i="155"/>
  <c r="BD521" i="155"/>
  <c r="BE521" i="155"/>
  <c r="BF521" i="155"/>
  <c r="BG521" i="155"/>
  <c r="BH521" i="155"/>
  <c r="BI521" i="155"/>
  <c r="BJ521" i="155"/>
  <c r="BK521" i="155"/>
  <c r="BL521" i="155"/>
  <c r="BM521" i="155"/>
  <c r="U400" i="154"/>
  <c r="U57" i="154" s="1"/>
  <c r="AD588" i="155"/>
  <c r="AD526" i="155"/>
  <c r="AV375" i="153"/>
  <c r="AV374" i="153"/>
  <c r="AV379" i="153"/>
  <c r="AV378" i="153"/>
  <c r="AV376" i="153"/>
  <c r="AV377" i="153"/>
  <c r="AI372" i="154"/>
  <c r="AI49" i="154" s="1"/>
  <c r="AI114" i="154" s="1"/>
  <c r="AH398" i="153"/>
  <c r="AH397" i="153"/>
  <c r="AH399" i="153"/>
  <c r="AH396" i="153"/>
  <c r="AH394" i="153"/>
  <c r="AH395" i="153"/>
  <c r="U364" i="154"/>
  <c r="U48" i="154" s="1"/>
  <c r="BA512" i="154"/>
  <c r="T400" i="154"/>
  <c r="T57" i="154" s="1"/>
  <c r="AE380" i="153"/>
  <c r="AE50" i="153" s="1"/>
  <c r="AE115" i="153" s="1"/>
  <c r="AT233" i="153"/>
  <c r="AT512" i="153"/>
  <c r="AK352" i="155"/>
  <c r="AK44" i="155" s="1"/>
  <c r="AK109" i="155" s="1"/>
  <c r="AN372" i="154"/>
  <c r="AN49" i="154" s="1"/>
  <c r="AN114" i="154" s="1"/>
  <c r="AT370" i="153"/>
  <c r="AT369" i="153"/>
  <c r="AT366" i="153"/>
  <c r="AT367" i="153"/>
  <c r="AT368" i="153"/>
  <c r="AT371" i="153"/>
  <c r="AQ367" i="155"/>
  <c r="AQ368" i="155"/>
  <c r="AQ371" i="155"/>
  <c r="AQ369" i="155"/>
  <c r="AQ370" i="155"/>
  <c r="AQ366" i="155"/>
  <c r="L578" i="153"/>
  <c r="AP514" i="153"/>
  <c r="AP578" i="153" s="1"/>
  <c r="AQ514" i="153"/>
  <c r="AQ578" i="153" s="1"/>
  <c r="AR514" i="153"/>
  <c r="AR578" i="153" s="1"/>
  <c r="AS514" i="153"/>
  <c r="AS578" i="153" s="1"/>
  <c r="AT514" i="153"/>
  <c r="AT578" i="153" s="1"/>
  <c r="AU514" i="153"/>
  <c r="AU578" i="153" s="1"/>
  <c r="AV514" i="153"/>
  <c r="AV578" i="153" s="1"/>
  <c r="AW514" i="153"/>
  <c r="AW578" i="153" s="1"/>
  <c r="AX514" i="153"/>
  <c r="AX578" i="153" s="1"/>
  <c r="AY514" i="153"/>
  <c r="AY578" i="153" s="1"/>
  <c r="AZ514" i="153"/>
  <c r="AZ578" i="153" s="1"/>
  <c r="BA514" i="153"/>
  <c r="BA578" i="153" s="1"/>
  <c r="AH352" i="153"/>
  <c r="AH44" i="153" s="1"/>
  <c r="AH109" i="153" s="1"/>
  <c r="AC590" i="155"/>
  <c r="AK527" i="155"/>
  <c r="AT602" i="155"/>
  <c r="AT542" i="155"/>
  <c r="AX234" i="153"/>
  <c r="AL228" i="153"/>
  <c r="AR404" i="153"/>
  <c r="AR402" i="153"/>
  <c r="AR406" i="153"/>
  <c r="AR407" i="153"/>
  <c r="AR403" i="153"/>
  <c r="AR405" i="153"/>
  <c r="Z400" i="153"/>
  <c r="Z57" i="153" s="1"/>
  <c r="AU378" i="154"/>
  <c r="AU374" i="154"/>
  <c r="AU377" i="154"/>
  <c r="AU375" i="154"/>
  <c r="AU376" i="154"/>
  <c r="AU379" i="154"/>
  <c r="AF408" i="155"/>
  <c r="AF58" i="155" s="1"/>
  <c r="AF123" i="155" s="1"/>
  <c r="BA524" i="153"/>
  <c r="BA585" i="153"/>
  <c r="AS348" i="155"/>
  <c r="AS346" i="155"/>
  <c r="AS351" i="155"/>
  <c r="AS350" i="155"/>
  <c r="AS349" i="155"/>
  <c r="AS347" i="155"/>
  <c r="AG396" i="155"/>
  <c r="AG395" i="155"/>
  <c r="AG394" i="155"/>
  <c r="AG398" i="155"/>
  <c r="AG399" i="155"/>
  <c r="AG397" i="155"/>
  <c r="AH408" i="155"/>
  <c r="AH58" i="155" s="1"/>
  <c r="AH123" i="155" s="1"/>
  <c r="AF358" i="155"/>
  <c r="AF361" i="155"/>
  <c r="AF363" i="155"/>
  <c r="AF360" i="155"/>
  <c r="AF362" i="155"/>
  <c r="AF359" i="155"/>
  <c r="AJ352" i="153"/>
  <c r="AJ44" i="153" s="1"/>
  <c r="AJ109" i="153" s="1"/>
  <c r="AY524" i="153"/>
  <c r="AY585" i="153"/>
  <c r="BA386" i="153"/>
  <c r="BA382" i="153"/>
  <c r="BA384" i="153"/>
  <c r="BA383" i="153"/>
  <c r="BA387" i="153"/>
  <c r="BA385" i="153"/>
  <c r="AS602" i="154"/>
  <c r="AS542" i="154"/>
  <c r="AM380" i="155"/>
  <c r="AM50" i="155" s="1"/>
  <c r="AM115" i="155" s="1"/>
  <c r="U400" i="153"/>
  <c r="U57" i="153" s="1"/>
  <c r="AR367" i="154"/>
  <c r="AR370" i="154"/>
  <c r="AR371" i="154"/>
  <c r="AR369" i="154"/>
  <c r="AR368" i="154"/>
  <c r="AR366" i="154"/>
  <c r="AL394" i="155"/>
  <c r="AL396" i="155"/>
  <c r="AL395" i="155"/>
  <c r="AL397" i="155"/>
  <c r="AL398" i="155"/>
  <c r="AL399" i="155"/>
  <c r="AX382" i="154"/>
  <c r="AX383" i="154"/>
  <c r="AX386" i="154"/>
  <c r="AX384" i="154"/>
  <c r="AX387" i="154"/>
  <c r="AX385" i="154"/>
  <c r="AN515" i="153"/>
  <c r="AN576" i="153"/>
  <c r="AQ234" i="155"/>
  <c r="AQ349" i="155"/>
  <c r="AQ346" i="155"/>
  <c r="AQ347" i="155"/>
  <c r="AQ348" i="155"/>
  <c r="AQ350" i="155"/>
  <c r="AQ351" i="155"/>
  <c r="AW232" i="155"/>
  <c r="AP611" i="153"/>
  <c r="AP549" i="153"/>
  <c r="AP613" i="153" s="1"/>
  <c r="AX233" i="154"/>
  <c r="BA234" i="154"/>
  <c r="AB579" i="154"/>
  <c r="AB517" i="154"/>
  <c r="AB529" i="154" s="1"/>
  <c r="AO408" i="155"/>
  <c r="AO58" i="155" s="1"/>
  <c r="AO123" i="155" s="1"/>
  <c r="Y400" i="153"/>
  <c r="Y57" i="153" s="1"/>
  <c r="AJ395" i="154"/>
  <c r="AJ394" i="154"/>
  <c r="AJ396" i="154"/>
  <c r="AJ397" i="154"/>
  <c r="AJ398" i="154"/>
  <c r="AJ399" i="154"/>
  <c r="AJ408" i="154"/>
  <c r="AJ58" i="154" s="1"/>
  <c r="AJ123" i="154" s="1"/>
  <c r="AO408" i="153"/>
  <c r="AO58" i="153" s="1"/>
  <c r="AO123" i="153" s="1"/>
  <c r="AK388" i="153"/>
  <c r="AK51" i="153" s="1"/>
  <c r="AK116" i="153" s="1"/>
  <c r="X581" i="155"/>
  <c r="X518" i="155"/>
  <c r="AU375" i="153"/>
  <c r="AU376" i="153"/>
  <c r="AU374" i="153"/>
  <c r="AU378" i="153"/>
  <c r="AU377" i="153"/>
  <c r="AU379" i="153"/>
  <c r="AD526" i="154"/>
  <c r="AD588" i="154"/>
  <c r="AK388" i="154"/>
  <c r="AK51" i="154" s="1"/>
  <c r="AK116" i="154" s="1"/>
  <c r="AZ512" i="154"/>
  <c r="AK230" i="153"/>
  <c r="AS233" i="153"/>
  <c r="AS512" i="153"/>
  <c r="AS370" i="153"/>
  <c r="AS366" i="153"/>
  <c r="AS367" i="153"/>
  <c r="AS368" i="153"/>
  <c r="AS369" i="153"/>
  <c r="AS371" i="153"/>
  <c r="M611" i="155"/>
  <c r="N547" i="155"/>
  <c r="M549" i="155"/>
  <c r="M613" i="155" s="1"/>
  <c r="BB547" i="155"/>
  <c r="BC547" i="155"/>
  <c r="BD547" i="155"/>
  <c r="BE547" i="155"/>
  <c r="BF547" i="155"/>
  <c r="BG547" i="155"/>
  <c r="BH547" i="155"/>
  <c r="BI547" i="155"/>
  <c r="BJ547" i="155"/>
  <c r="BK547" i="155"/>
  <c r="BL547" i="155"/>
  <c r="BM547" i="155"/>
  <c r="AP368" i="155"/>
  <c r="AP371" i="155"/>
  <c r="AP367" i="155"/>
  <c r="AP366" i="155"/>
  <c r="AP369" i="155"/>
  <c r="AP370" i="155"/>
  <c r="AL352" i="155"/>
  <c r="AL44" i="155" s="1"/>
  <c r="AL109" i="155" s="1"/>
  <c r="AS542" i="155"/>
  <c r="AS602" i="155"/>
  <c r="AF515" i="153"/>
  <c r="X400" i="154"/>
  <c r="X57" i="154" s="1"/>
  <c r="AW234" i="153"/>
  <c r="AK228" i="153"/>
  <c r="AQ402" i="153"/>
  <c r="AQ407" i="153"/>
  <c r="AQ404" i="153"/>
  <c r="AQ405" i="153"/>
  <c r="AQ406" i="153"/>
  <c r="AQ403" i="153"/>
  <c r="AK526" i="154"/>
  <c r="AK588" i="154"/>
  <c r="AG352" i="153"/>
  <c r="AG44" i="153" s="1"/>
  <c r="AG109" i="153" s="1"/>
  <c r="AG372" i="153"/>
  <c r="AG49" i="153" s="1"/>
  <c r="AG114" i="153" s="1"/>
  <c r="AT377" i="154"/>
  <c r="AT375" i="154"/>
  <c r="AT378" i="154"/>
  <c r="AT376" i="154"/>
  <c r="AT379" i="154"/>
  <c r="AT374" i="154"/>
  <c r="AJ372" i="155"/>
  <c r="AJ49" i="155" s="1"/>
  <c r="AJ114" i="155" s="1"/>
  <c r="M573" i="155"/>
  <c r="BB507" i="155"/>
  <c r="BC507" i="155"/>
  <c r="BD507" i="155"/>
  <c r="BE507" i="155"/>
  <c r="BF507" i="155"/>
  <c r="BG507" i="155"/>
  <c r="BH507" i="155"/>
  <c r="BI507" i="155"/>
  <c r="BJ507" i="155"/>
  <c r="BK507" i="155"/>
  <c r="BL507" i="155"/>
  <c r="BM507" i="155"/>
  <c r="AC364" i="155"/>
  <c r="AC48" i="155" s="1"/>
  <c r="BA549" i="154"/>
  <c r="BA613" i="154" s="1"/>
  <c r="BA611" i="154"/>
  <c r="AJ352" i="154"/>
  <c r="AJ44" i="154" s="1"/>
  <c r="AJ109" i="154" s="1"/>
  <c r="J530" i="155"/>
  <c r="J593" i="155"/>
  <c r="J594" i="155" s="1"/>
  <c r="J544" i="155"/>
  <c r="AX524" i="153"/>
  <c r="AX585" i="153"/>
  <c r="AZ385" i="153"/>
  <c r="AZ384" i="153"/>
  <c r="AZ386" i="153"/>
  <c r="AZ382" i="153"/>
  <c r="AZ387" i="153"/>
  <c r="AZ383" i="153"/>
  <c r="AR602" i="154"/>
  <c r="AR542" i="154"/>
  <c r="AI408" i="155"/>
  <c r="AI58" i="155" s="1"/>
  <c r="AI123" i="155" s="1"/>
  <c r="AM352" i="153"/>
  <c r="AM44" i="153" s="1"/>
  <c r="AM109" i="153" s="1"/>
  <c r="AQ371" i="154"/>
  <c r="AQ366" i="154"/>
  <c r="AQ369" i="154"/>
  <c r="AQ368" i="154"/>
  <c r="AQ367" i="154"/>
  <c r="AQ370" i="154"/>
  <c r="AW386" i="154"/>
  <c r="AW384" i="154"/>
  <c r="AW383" i="154"/>
  <c r="AW382" i="154"/>
  <c r="AW387" i="154"/>
  <c r="AW385" i="154"/>
  <c r="AN352" i="153"/>
  <c r="AN44" i="153" s="1"/>
  <c r="AN109" i="153" s="1"/>
  <c r="AP234" i="155"/>
  <c r="AP349" i="155"/>
  <c r="AP351" i="155"/>
  <c r="AP346" i="155"/>
  <c r="AP347" i="155"/>
  <c r="AP350" i="155"/>
  <c r="AP348" i="155"/>
  <c r="AV232" i="155"/>
  <c r="AM397" i="155"/>
  <c r="AM398" i="155"/>
  <c r="AM394" i="155"/>
  <c r="AM395" i="155"/>
  <c r="AM399" i="155"/>
  <c r="AM396" i="155"/>
  <c r="Z364" i="155"/>
  <c r="Z48" i="155" s="1"/>
  <c r="AZ234" i="154"/>
  <c r="AH588" i="153"/>
  <c r="AH526" i="153"/>
  <c r="AE388" i="154"/>
  <c r="AE51" i="154" s="1"/>
  <c r="AE116" i="154" s="1"/>
  <c r="W581" i="155"/>
  <c r="W518" i="155"/>
  <c r="BA542" i="153"/>
  <c r="BA602" i="153"/>
  <c r="L588" i="155"/>
  <c r="BA524" i="154"/>
  <c r="BA585" i="154"/>
  <c r="AT379" i="153"/>
  <c r="AT378" i="153"/>
  <c r="AT376" i="153"/>
  <c r="AT377" i="153"/>
  <c r="AT375" i="153"/>
  <c r="AT374" i="153"/>
  <c r="AL388" i="153"/>
  <c r="AL51" i="153" s="1"/>
  <c r="AL116" i="153" s="1"/>
  <c r="AN408" i="154"/>
  <c r="AN58" i="154" s="1"/>
  <c r="AN123" i="154" s="1"/>
  <c r="AG588" i="155"/>
  <c r="AG526" i="155"/>
  <c r="AY512" i="154"/>
  <c r="AM388" i="155"/>
  <c r="AM51" i="155" s="1"/>
  <c r="AM116" i="155" s="1"/>
  <c r="AR233" i="153"/>
  <c r="AR512" i="153"/>
  <c r="BA346" i="153"/>
  <c r="BA351" i="153"/>
  <c r="BA347" i="153"/>
  <c r="BA349" i="153"/>
  <c r="BA348" i="153"/>
  <c r="BA350" i="153"/>
  <c r="AR366" i="153"/>
  <c r="AR371" i="153"/>
  <c r="AR370" i="153"/>
  <c r="AR369" i="153"/>
  <c r="AR368" i="153"/>
  <c r="AR367" i="153"/>
  <c r="M542" i="155"/>
  <c r="M603" i="155"/>
  <c r="N539" i="155"/>
  <c r="BB539" i="155"/>
  <c r="BB603" i="155" s="1"/>
  <c r="BC539" i="155"/>
  <c r="BC603" i="155" s="1"/>
  <c r="BD539" i="155"/>
  <c r="BD603" i="155" s="1"/>
  <c r="BE539" i="155"/>
  <c r="BE603" i="155" s="1"/>
  <c r="BF539" i="155"/>
  <c r="BF603" i="155" s="1"/>
  <c r="BG539" i="155"/>
  <c r="BG603" i="155" s="1"/>
  <c r="BH539" i="155"/>
  <c r="BH603" i="155" s="1"/>
  <c r="BI539" i="155"/>
  <c r="BI603" i="155" s="1"/>
  <c r="BJ539" i="155"/>
  <c r="BJ603" i="155" s="1"/>
  <c r="BK539" i="155"/>
  <c r="BK603" i="155" s="1"/>
  <c r="BL539" i="155"/>
  <c r="BL603" i="155" s="1"/>
  <c r="BM539" i="155"/>
  <c r="BM603" i="155" s="1"/>
  <c r="AO230" i="154"/>
  <c r="AD372" i="155"/>
  <c r="AD49" i="155" s="1"/>
  <c r="AO388" i="154"/>
  <c r="AO51" i="154" s="1"/>
  <c r="AO116" i="154" s="1"/>
  <c r="AR542" i="155"/>
  <c r="AR602" i="155"/>
  <c r="AL526" i="155"/>
  <c r="AL588" i="155"/>
  <c r="AV234" i="153"/>
  <c r="AJ228" i="153"/>
  <c r="AF372" i="153"/>
  <c r="AF49" i="153" s="1"/>
  <c r="AF114" i="153" s="1"/>
  <c r="AP404" i="153"/>
  <c r="AP405" i="153"/>
  <c r="AP406" i="153"/>
  <c r="AP403" i="153"/>
  <c r="AP407" i="153"/>
  <c r="AP402" i="153"/>
  <c r="S400" i="155"/>
  <c r="S57" i="155" s="1"/>
  <c r="AO352" i="155"/>
  <c r="AO44" i="155" s="1"/>
  <c r="AO109" i="155" s="1"/>
  <c r="AS376" i="154"/>
  <c r="AS375" i="154"/>
  <c r="AS379" i="154"/>
  <c r="AS378" i="154"/>
  <c r="AS377" i="154"/>
  <c r="AS374" i="154"/>
  <c r="AP371" i="154"/>
  <c r="AP366" i="154"/>
  <c r="AP368" i="154"/>
  <c r="AP370" i="154"/>
  <c r="AP369" i="154"/>
  <c r="AP367" i="154"/>
  <c r="AV385" i="154"/>
  <c r="AV383" i="154"/>
  <c r="AV382" i="154"/>
  <c r="AV387" i="154"/>
  <c r="AV386" i="154"/>
  <c r="AV384" i="154"/>
  <c r="M598" i="155"/>
  <c r="N534" i="155"/>
  <c r="BB534" i="155"/>
  <c r="BB598" i="155" s="1"/>
  <c r="BC534" i="155"/>
  <c r="BC598" i="155" s="1"/>
  <c r="BD534" i="155"/>
  <c r="BD598" i="155" s="1"/>
  <c r="BE534" i="155"/>
  <c r="BE598" i="155" s="1"/>
  <c r="BF534" i="155"/>
  <c r="BF598" i="155" s="1"/>
  <c r="BG534" i="155"/>
  <c r="BG598" i="155" s="1"/>
  <c r="BH534" i="155"/>
  <c r="BH598" i="155" s="1"/>
  <c r="BI534" i="155"/>
  <c r="BI598" i="155" s="1"/>
  <c r="BJ534" i="155"/>
  <c r="BJ598" i="155" s="1"/>
  <c r="BK534" i="155"/>
  <c r="BK598" i="155" s="1"/>
  <c r="BL534" i="155"/>
  <c r="BL598" i="155" s="1"/>
  <c r="BM534" i="155"/>
  <c r="BM598" i="155" s="1"/>
  <c r="AO352" i="154"/>
  <c r="AO44" i="154" s="1"/>
  <c r="AO109" i="154" s="1"/>
  <c r="AL408" i="153"/>
  <c r="AL58" i="153" s="1"/>
  <c r="AL123" i="153" s="1"/>
  <c r="AD396" i="153"/>
  <c r="AD399" i="153"/>
  <c r="AD395" i="153"/>
  <c r="AD398" i="153"/>
  <c r="AD397" i="153"/>
  <c r="AD394" i="153"/>
  <c r="AZ602" i="153"/>
  <c r="AZ542" i="153"/>
  <c r="AI363" i="154"/>
  <c r="AI359" i="154"/>
  <c r="AI361" i="154"/>
  <c r="AI358" i="154"/>
  <c r="AI360" i="154"/>
  <c r="AI362" i="154"/>
  <c r="AG372" i="154"/>
  <c r="AG49" i="154" s="1"/>
  <c r="AG114" i="154" s="1"/>
  <c r="W529" i="155"/>
  <c r="AE527" i="155"/>
  <c r="W590" i="155"/>
  <c r="AZ585" i="154"/>
  <c r="AZ524" i="154"/>
  <c r="AS376" i="153"/>
  <c r="AS378" i="153"/>
  <c r="AS377" i="153"/>
  <c r="AS375" i="153"/>
  <c r="AS374" i="153"/>
  <c r="AS379" i="153"/>
  <c r="AK606" i="154"/>
  <c r="AC400" i="154"/>
  <c r="AC57" i="154" s="1"/>
  <c r="AX512" i="154"/>
  <c r="AD380" i="155"/>
  <c r="AD50" i="155" s="1"/>
  <c r="AQ233" i="153"/>
  <c r="AO362" i="154"/>
  <c r="AO358" i="154"/>
  <c r="AO361" i="154"/>
  <c r="AO363" i="154"/>
  <c r="AO359" i="154"/>
  <c r="AO360" i="154"/>
  <c r="AQ512" i="153"/>
  <c r="AZ349" i="153"/>
  <c r="AZ347" i="153"/>
  <c r="AZ350" i="153"/>
  <c r="AZ351" i="153"/>
  <c r="AZ348" i="153"/>
  <c r="AZ346" i="153"/>
  <c r="AQ370" i="153"/>
  <c r="AQ369" i="153"/>
  <c r="AQ371" i="153"/>
  <c r="AQ368" i="153"/>
  <c r="AQ367" i="153"/>
  <c r="AQ366" i="153"/>
  <c r="AN230" i="154"/>
  <c r="Y590" i="153"/>
  <c r="AG527" i="153"/>
  <c r="AQ542" i="155"/>
  <c r="AQ602" i="155"/>
  <c r="AD408" i="155"/>
  <c r="AD58" i="155" s="1"/>
  <c r="AU234" i="153"/>
  <c r="AI228" i="153"/>
  <c r="AR378" i="154"/>
  <c r="AR379" i="154"/>
  <c r="AR375" i="154"/>
  <c r="AR374" i="154"/>
  <c r="AR377" i="154"/>
  <c r="AR376" i="154"/>
  <c r="AZ611" i="154"/>
  <c r="AZ549" i="154"/>
  <c r="AZ613" i="154" s="1"/>
  <c r="AY387" i="153"/>
  <c r="AY385" i="153"/>
  <c r="AY382" i="153"/>
  <c r="AY386" i="153"/>
  <c r="AY384" i="153"/>
  <c r="AY383" i="153"/>
  <c r="M603" i="154"/>
  <c r="N539" i="154"/>
  <c r="BB539" i="154"/>
  <c r="BB603" i="154" s="1"/>
  <c r="BC539" i="154"/>
  <c r="BC603" i="154" s="1"/>
  <c r="BD539" i="154"/>
  <c r="BD603" i="154" s="1"/>
  <c r="BE539" i="154"/>
  <c r="BE603" i="154" s="1"/>
  <c r="BF539" i="154"/>
  <c r="BF603" i="154" s="1"/>
  <c r="BG539" i="154"/>
  <c r="BG603" i="154" s="1"/>
  <c r="BH539" i="154"/>
  <c r="BH603" i="154" s="1"/>
  <c r="BI539" i="154"/>
  <c r="BI603" i="154" s="1"/>
  <c r="BJ539" i="154"/>
  <c r="BJ603" i="154" s="1"/>
  <c r="BK539" i="154"/>
  <c r="BK603" i="154" s="1"/>
  <c r="BL539" i="154"/>
  <c r="BL603" i="154" s="1"/>
  <c r="BM539" i="154"/>
  <c r="BM603" i="154" s="1"/>
  <c r="AU387" i="154"/>
  <c r="AU383" i="154"/>
  <c r="AU385" i="154"/>
  <c r="AU382" i="154"/>
  <c r="AU386" i="154"/>
  <c r="AU384" i="154"/>
  <c r="M589" i="155"/>
  <c r="BB525" i="155"/>
  <c r="BB589" i="155" s="1"/>
  <c r="BC525" i="155"/>
  <c r="BC589" i="155" s="1"/>
  <c r="BD525" i="155"/>
  <c r="BD589" i="155" s="1"/>
  <c r="BE525" i="155"/>
  <c r="BE589" i="155" s="1"/>
  <c r="BF525" i="155"/>
  <c r="BF589" i="155" s="1"/>
  <c r="BG525" i="155"/>
  <c r="BG589" i="155" s="1"/>
  <c r="BH525" i="155"/>
  <c r="BH589" i="155" s="1"/>
  <c r="BI525" i="155"/>
  <c r="BI589" i="155" s="1"/>
  <c r="BJ525" i="155"/>
  <c r="BJ589" i="155" s="1"/>
  <c r="BK525" i="155"/>
  <c r="BK589" i="155" s="1"/>
  <c r="BL525" i="155"/>
  <c r="BL589" i="155" s="1"/>
  <c r="BM525" i="155"/>
  <c r="BM589" i="155" s="1"/>
  <c r="N547" i="153"/>
  <c r="M549" i="153"/>
  <c r="M613" i="153" s="1"/>
  <c r="M611" i="153"/>
  <c r="BB547" i="153"/>
  <c r="BC547" i="153"/>
  <c r="BD547" i="153"/>
  <c r="BE547" i="153"/>
  <c r="BF547" i="153"/>
  <c r="BG547" i="153"/>
  <c r="BH547" i="153"/>
  <c r="BI547" i="153"/>
  <c r="BJ547" i="153"/>
  <c r="BK547" i="153"/>
  <c r="BL547" i="153"/>
  <c r="BM547" i="153"/>
  <c r="AY542" i="153"/>
  <c r="AY602" i="153"/>
  <c r="AI606" i="154"/>
  <c r="AK588" i="153"/>
  <c r="AK526" i="153"/>
  <c r="AY585" i="154"/>
  <c r="AY524" i="154"/>
  <c r="AR375" i="153"/>
  <c r="AR374" i="153"/>
  <c r="AR376" i="153"/>
  <c r="AR378" i="153"/>
  <c r="AR379" i="153"/>
  <c r="AR377" i="153"/>
  <c r="AK358" i="154"/>
  <c r="AK360" i="154"/>
  <c r="AK362" i="154"/>
  <c r="AK361" i="154"/>
  <c r="AK363" i="154"/>
  <c r="AK359" i="154"/>
  <c r="AA527" i="154"/>
  <c r="S590" i="154"/>
  <c r="W364" i="155"/>
  <c r="W48" i="155" s="1"/>
  <c r="AW512" i="154"/>
  <c r="BA375" i="155"/>
  <c r="BA378" i="155"/>
  <c r="BA376" i="155"/>
  <c r="BA379" i="155"/>
  <c r="BA374" i="155"/>
  <c r="BA377" i="155"/>
  <c r="AI527" i="154"/>
  <c r="AA590" i="154"/>
  <c r="BB509" i="155"/>
  <c r="BB573" i="155" s="1"/>
  <c r="BC509" i="155"/>
  <c r="BC573" i="155" s="1"/>
  <c r="BD509" i="155"/>
  <c r="BD573" i="155" s="1"/>
  <c r="BE509" i="155"/>
  <c r="BE573" i="155" s="1"/>
  <c r="BF509" i="155"/>
  <c r="BF573" i="155" s="1"/>
  <c r="BG509" i="155"/>
  <c r="BG573" i="155" s="1"/>
  <c r="BH509" i="155"/>
  <c r="BH573" i="155" s="1"/>
  <c r="BI509" i="155"/>
  <c r="BI573" i="155" s="1"/>
  <c r="BJ509" i="155"/>
  <c r="BJ573" i="155" s="1"/>
  <c r="BK509" i="155"/>
  <c r="BK573" i="155" s="1"/>
  <c r="BL509" i="155"/>
  <c r="BL573" i="155" s="1"/>
  <c r="BM509" i="155"/>
  <c r="BM573" i="155" s="1"/>
  <c r="X400" i="155"/>
  <c r="X57" i="155" s="1"/>
  <c r="AI526" i="155"/>
  <c r="AI588" i="155"/>
  <c r="R400" i="154"/>
  <c r="R57" i="154" s="1"/>
  <c r="AP233" i="153"/>
  <c r="AO606" i="154"/>
  <c r="AP512" i="153"/>
  <c r="AY347" i="153"/>
  <c r="AY350" i="153"/>
  <c r="AY351" i="153"/>
  <c r="AY348" i="153"/>
  <c r="AY346" i="153"/>
  <c r="AY349" i="153"/>
  <c r="AP366" i="153"/>
  <c r="AP368" i="153"/>
  <c r="AP371" i="153"/>
  <c r="AP369" i="153"/>
  <c r="AP370" i="153"/>
  <c r="AP367" i="153"/>
  <c r="AI606" i="153"/>
  <c r="AM230" i="154"/>
  <c r="AP542" i="155"/>
  <c r="AP602" i="155"/>
  <c r="AO228" i="155"/>
  <c r="AT234" i="153"/>
  <c r="AH228" i="153"/>
  <c r="AL606" i="153"/>
  <c r="M612" i="153"/>
  <c r="N548" i="153"/>
  <c r="BB548" i="153"/>
  <c r="BB612" i="153" s="1"/>
  <c r="BC548" i="153"/>
  <c r="BC612" i="153" s="1"/>
  <c r="BD548" i="153"/>
  <c r="BD612" i="153" s="1"/>
  <c r="BE548" i="153"/>
  <c r="BE612" i="153" s="1"/>
  <c r="BF548" i="153"/>
  <c r="BF612" i="153" s="1"/>
  <c r="BG548" i="153"/>
  <c r="BG612" i="153" s="1"/>
  <c r="BH548" i="153"/>
  <c r="BH612" i="153" s="1"/>
  <c r="BI548" i="153"/>
  <c r="BI612" i="153" s="1"/>
  <c r="BJ548" i="153"/>
  <c r="BJ612" i="153" s="1"/>
  <c r="BK548" i="153"/>
  <c r="BK612" i="153" s="1"/>
  <c r="BL548" i="153"/>
  <c r="BL612" i="153" s="1"/>
  <c r="BM548" i="153"/>
  <c r="BM612" i="153" s="1"/>
  <c r="AQ374" i="154"/>
  <c r="AQ379" i="154"/>
  <c r="AQ375" i="154"/>
  <c r="AQ376" i="154"/>
  <c r="AQ377" i="154"/>
  <c r="AQ378" i="154"/>
  <c r="AD408" i="153"/>
  <c r="AD58" i="153" s="1"/>
  <c r="K579" i="155"/>
  <c r="AB590" i="155"/>
  <c r="AJ527" i="155"/>
  <c r="AQ542" i="154"/>
  <c r="AQ602" i="154"/>
  <c r="AD394" i="154"/>
  <c r="AD397" i="154"/>
  <c r="AD398" i="154"/>
  <c r="AD396" i="154"/>
  <c r="AD395" i="154"/>
  <c r="AD399" i="154"/>
  <c r="L576" i="155"/>
  <c r="AY611" i="154"/>
  <c r="AY549" i="154"/>
  <c r="AY613" i="154" s="1"/>
  <c r="AD380" i="154"/>
  <c r="AD50" i="154" s="1"/>
  <c r="AZ402" i="154"/>
  <c r="AZ406" i="154"/>
  <c r="AZ407" i="154"/>
  <c r="AZ403" i="154"/>
  <c r="AZ405" i="154"/>
  <c r="AZ404" i="154"/>
  <c r="AV524" i="153"/>
  <c r="AV585" i="153"/>
  <c r="AI399" i="155"/>
  <c r="AI395" i="155"/>
  <c r="AI394" i="155"/>
  <c r="AI397" i="155"/>
  <c r="AI398" i="155"/>
  <c r="AI396" i="155"/>
  <c r="AP542" i="154"/>
  <c r="AP602" i="154"/>
  <c r="AE576" i="155"/>
  <c r="AE515" i="155"/>
  <c r="AK372" i="155"/>
  <c r="AK49" i="155" s="1"/>
  <c r="AK114" i="155" s="1"/>
  <c r="U517" i="154"/>
  <c r="U579" i="154"/>
  <c r="AX611" i="154"/>
  <c r="AX549" i="154"/>
  <c r="AX613" i="154" s="1"/>
  <c r="AI372" i="155"/>
  <c r="AI49" i="155" s="1"/>
  <c r="AI114" i="155" s="1"/>
  <c r="AY404" i="154"/>
  <c r="AY402" i="154"/>
  <c r="AY406" i="154"/>
  <c r="AY405" i="154"/>
  <c r="AY407" i="154"/>
  <c r="AY403" i="154"/>
  <c r="AU524" i="153"/>
  <c r="AU585" i="153"/>
  <c r="AW385" i="153"/>
  <c r="AW386" i="153"/>
  <c r="AW382" i="153"/>
  <c r="AW383" i="153"/>
  <c r="AW387" i="153"/>
  <c r="AW384" i="153"/>
  <c r="L606" i="154"/>
  <c r="M586" i="153"/>
  <c r="BB522" i="153"/>
  <c r="BB586" i="153" s="1"/>
  <c r="BC522" i="153"/>
  <c r="BC586" i="153" s="1"/>
  <c r="BD522" i="153"/>
  <c r="BD586" i="153" s="1"/>
  <c r="BE522" i="153"/>
  <c r="BE586" i="153" s="1"/>
  <c r="BF522" i="153"/>
  <c r="BF586" i="153" s="1"/>
  <c r="BG522" i="153"/>
  <c r="BG586" i="153" s="1"/>
  <c r="BH522" i="153"/>
  <c r="BH586" i="153" s="1"/>
  <c r="BI522" i="153"/>
  <c r="BI586" i="153" s="1"/>
  <c r="BJ522" i="153"/>
  <c r="BJ586" i="153" s="1"/>
  <c r="BK522" i="153"/>
  <c r="BK586" i="153" s="1"/>
  <c r="BL522" i="153"/>
  <c r="BL586" i="153" s="1"/>
  <c r="BM522" i="153"/>
  <c r="BM586" i="153" s="1"/>
  <c r="AJ527" i="154"/>
  <c r="AB590" i="154"/>
  <c r="AN380" i="155"/>
  <c r="AN50" i="155" s="1"/>
  <c r="AN115" i="155" s="1"/>
  <c r="Y364" i="153"/>
  <c r="Y48" i="153" s="1"/>
  <c r="AE398" i="154"/>
  <c r="AE396" i="154"/>
  <c r="AE394" i="154"/>
  <c r="AE397" i="154"/>
  <c r="AE399" i="154"/>
  <c r="AE395" i="154"/>
  <c r="AT384" i="154"/>
  <c r="AT383" i="154"/>
  <c r="AT387" i="154"/>
  <c r="AT386" i="154"/>
  <c r="AT382" i="154"/>
  <c r="AT385" i="154"/>
  <c r="AS232" i="155"/>
  <c r="V590" i="154"/>
  <c r="AD527" i="154"/>
  <c r="AN408" i="155"/>
  <c r="AN58" i="155" s="1"/>
  <c r="AN123" i="155" s="1"/>
  <c r="AT233" i="154"/>
  <c r="AW234" i="154"/>
  <c r="AA579" i="153"/>
  <c r="AA517" i="153"/>
  <c r="AX602" i="153"/>
  <c r="AX542" i="153"/>
  <c r="AX585" i="154"/>
  <c r="AX524" i="154"/>
  <c r="AQ379" i="153"/>
  <c r="AQ377" i="153"/>
  <c r="AQ375" i="153"/>
  <c r="AQ374" i="153"/>
  <c r="AQ376" i="153"/>
  <c r="AQ378" i="153"/>
  <c r="I619" i="153"/>
  <c r="I620" i="153" s="1"/>
  <c r="AN588" i="153"/>
  <c r="AN526" i="153"/>
  <c r="AO397" i="154"/>
  <c r="AO396" i="154"/>
  <c r="AO399" i="154"/>
  <c r="AO398" i="154"/>
  <c r="AO394" i="154"/>
  <c r="AO395" i="154"/>
  <c r="AV512" i="154"/>
  <c r="AZ376" i="155"/>
  <c r="AZ379" i="155"/>
  <c r="AZ375" i="155"/>
  <c r="AZ378" i="155"/>
  <c r="AZ374" i="155"/>
  <c r="AZ377" i="155"/>
  <c r="BA351" i="154"/>
  <c r="BA350" i="154"/>
  <c r="BA347" i="154"/>
  <c r="BA346" i="154"/>
  <c r="BA349" i="154"/>
  <c r="BA348" i="154"/>
  <c r="BA232" i="154"/>
  <c r="AG230" i="153"/>
  <c r="AM372" i="154"/>
  <c r="AM49" i="154" s="1"/>
  <c r="AM114" i="154" s="1"/>
  <c r="AO229" i="155"/>
  <c r="M587" i="153"/>
  <c r="BB523" i="153"/>
  <c r="BB587" i="153" s="1"/>
  <c r="BC523" i="153"/>
  <c r="BC587" i="153" s="1"/>
  <c r="BD523" i="153"/>
  <c r="BD587" i="153" s="1"/>
  <c r="BE523" i="153"/>
  <c r="BE587" i="153" s="1"/>
  <c r="BF523" i="153"/>
  <c r="BF587" i="153" s="1"/>
  <c r="BG523" i="153"/>
  <c r="BG587" i="153" s="1"/>
  <c r="BH523" i="153"/>
  <c r="BH587" i="153" s="1"/>
  <c r="BI523" i="153"/>
  <c r="BI587" i="153" s="1"/>
  <c r="BJ523" i="153"/>
  <c r="BJ587" i="153" s="1"/>
  <c r="BK523" i="153"/>
  <c r="BK587" i="153" s="1"/>
  <c r="BL523" i="153"/>
  <c r="BL587" i="153" s="1"/>
  <c r="BM523" i="153"/>
  <c r="BM587" i="153" s="1"/>
  <c r="AX351" i="153"/>
  <c r="AX348" i="153"/>
  <c r="AX347" i="153"/>
  <c r="AX350" i="153"/>
  <c r="AX346" i="153"/>
  <c r="AX349" i="153"/>
  <c r="AI362" i="153"/>
  <c r="AI359" i="153"/>
  <c r="AI363" i="153"/>
  <c r="AI360" i="153"/>
  <c r="AI358" i="153"/>
  <c r="AI361" i="153"/>
  <c r="AL230" i="154"/>
  <c r="AK588" i="155"/>
  <c r="AK526" i="155"/>
  <c r="L606" i="155"/>
  <c r="AN395" i="153"/>
  <c r="AN399" i="153"/>
  <c r="AN394" i="153"/>
  <c r="AN396" i="153"/>
  <c r="AN397" i="153"/>
  <c r="AN398" i="153"/>
  <c r="BA233" i="155"/>
  <c r="AN228" i="155"/>
  <c r="AS234" i="153"/>
  <c r="AG228" i="153"/>
  <c r="AL363" i="153"/>
  <c r="AL359" i="153"/>
  <c r="AL361" i="153"/>
  <c r="AL360" i="153"/>
  <c r="AL358" i="153"/>
  <c r="AL362" i="153"/>
  <c r="AO228" i="154"/>
  <c r="AP375" i="154"/>
  <c r="AP376" i="154"/>
  <c r="AP374" i="154"/>
  <c r="AP378" i="154"/>
  <c r="AP377" i="154"/>
  <c r="AP379" i="154"/>
  <c r="AX386" i="153"/>
  <c r="AX387" i="153"/>
  <c r="AX384" i="153"/>
  <c r="AX383" i="153"/>
  <c r="AX385" i="153"/>
  <c r="AX382" i="153"/>
  <c r="AW611" i="154"/>
  <c r="AW549" i="154"/>
  <c r="AW613" i="154" s="1"/>
  <c r="AH372" i="155"/>
  <c r="AH49" i="155" s="1"/>
  <c r="AH114" i="155" s="1"/>
  <c r="AO606" i="153"/>
  <c r="AX406" i="154"/>
  <c r="AX402" i="154"/>
  <c r="AX405" i="154"/>
  <c r="AX403" i="154"/>
  <c r="AX404" i="154"/>
  <c r="AX407" i="154"/>
  <c r="S517" i="154"/>
  <c r="S529" i="154" s="1"/>
  <c r="S579" i="154"/>
  <c r="AD576" i="155"/>
  <c r="AD515" i="155"/>
  <c r="AT524" i="153"/>
  <c r="AT585" i="153"/>
  <c r="AG408" i="153"/>
  <c r="AG58" i="153" s="1"/>
  <c r="AG123" i="153" s="1"/>
  <c r="AV384" i="153"/>
  <c r="AV387" i="153"/>
  <c r="AV383" i="153"/>
  <c r="AV382" i="153"/>
  <c r="AV386" i="153"/>
  <c r="AV385" i="153"/>
  <c r="M602" i="154"/>
  <c r="M542" i="154"/>
  <c r="N538" i="154"/>
  <c r="BB538" i="154"/>
  <c r="BC538" i="154"/>
  <c r="BD538" i="154"/>
  <c r="BE538" i="154"/>
  <c r="BF538" i="154"/>
  <c r="BG538" i="154"/>
  <c r="BH538" i="154"/>
  <c r="BI538" i="154"/>
  <c r="BJ538" i="154"/>
  <c r="BK538" i="154"/>
  <c r="BL538" i="154"/>
  <c r="BM538" i="154"/>
  <c r="X400" i="153"/>
  <c r="X57" i="153" s="1"/>
  <c r="AS383" i="154"/>
  <c r="AS384" i="154"/>
  <c r="AS386" i="154"/>
  <c r="AS382" i="154"/>
  <c r="AS387" i="154"/>
  <c r="AS385" i="154"/>
  <c r="AR232" i="155"/>
  <c r="AD388" i="155"/>
  <c r="AD51" i="155" s="1"/>
  <c r="AD372" i="154"/>
  <c r="AD49" i="154" s="1"/>
  <c r="AF362" i="154"/>
  <c r="AF358" i="154"/>
  <c r="AF363" i="154"/>
  <c r="AF359" i="154"/>
  <c r="AF360" i="154"/>
  <c r="AF361" i="154"/>
  <c r="AS233" i="154"/>
  <c r="AE372" i="154"/>
  <c r="AE49" i="154" s="1"/>
  <c r="AE114" i="154" s="1"/>
  <c r="AV234" i="154"/>
  <c r="AM408" i="153"/>
  <c r="AM58" i="153" s="1"/>
  <c r="AM123" i="153" s="1"/>
  <c r="V400" i="153"/>
  <c r="V57" i="153" s="1"/>
  <c r="J581" i="154"/>
  <c r="J582" i="154" s="1"/>
  <c r="AW542" i="153"/>
  <c r="AW602" i="153"/>
  <c r="AW585" i="154"/>
  <c r="AW524" i="154"/>
  <c r="AP377" i="153"/>
  <c r="AP376" i="153"/>
  <c r="AP375" i="153"/>
  <c r="AP374" i="153"/>
  <c r="AP378" i="153"/>
  <c r="AP379" i="153"/>
  <c r="I623" i="153"/>
  <c r="AM388" i="153"/>
  <c r="AM51" i="153" s="1"/>
  <c r="AM116" i="153" s="1"/>
  <c r="AA400" i="154"/>
  <c r="AA57" i="154" s="1"/>
  <c r="AU512" i="154"/>
  <c r="AY375" i="155"/>
  <c r="AY379" i="155"/>
  <c r="AY377" i="155"/>
  <c r="AY376" i="155"/>
  <c r="AY374" i="155"/>
  <c r="AY378" i="155"/>
  <c r="AZ348" i="154"/>
  <c r="AZ347" i="154"/>
  <c r="AZ349" i="154"/>
  <c r="AZ351" i="154"/>
  <c r="AZ350" i="154"/>
  <c r="AZ346" i="154"/>
  <c r="X517" i="154"/>
  <c r="X579" i="154"/>
  <c r="AZ232" i="154"/>
  <c r="AN229" i="155"/>
  <c r="M573" i="153"/>
  <c r="BB507" i="153"/>
  <c r="BC507" i="153"/>
  <c r="BD507" i="153"/>
  <c r="BE507" i="153"/>
  <c r="BF507" i="153"/>
  <c r="BG507" i="153"/>
  <c r="BH507" i="153"/>
  <c r="BI507" i="153"/>
  <c r="BJ507" i="153"/>
  <c r="BK507" i="153"/>
  <c r="BL507" i="153"/>
  <c r="BM507" i="153"/>
  <c r="AF380" i="153"/>
  <c r="AF50" i="153" s="1"/>
  <c r="AF115" i="153" s="1"/>
  <c r="AW346" i="153"/>
  <c r="AW347" i="153"/>
  <c r="AW348" i="153"/>
  <c r="AW349" i="153"/>
  <c r="AW350" i="153"/>
  <c r="AW351" i="153"/>
  <c r="M603" i="153"/>
  <c r="N539" i="153"/>
  <c r="BB539" i="153"/>
  <c r="BB603" i="153" s="1"/>
  <c r="BC539" i="153"/>
  <c r="BC603" i="153" s="1"/>
  <c r="BD539" i="153"/>
  <c r="BD603" i="153" s="1"/>
  <c r="BE539" i="153"/>
  <c r="BE603" i="153" s="1"/>
  <c r="BF539" i="153"/>
  <c r="BF603" i="153" s="1"/>
  <c r="BG539" i="153"/>
  <c r="BG603" i="153" s="1"/>
  <c r="BH539" i="153"/>
  <c r="BH603" i="153" s="1"/>
  <c r="BI539" i="153"/>
  <c r="BI603" i="153" s="1"/>
  <c r="BJ539" i="153"/>
  <c r="BJ603" i="153" s="1"/>
  <c r="BK539" i="153"/>
  <c r="BK603" i="153" s="1"/>
  <c r="BL539" i="153"/>
  <c r="BL603" i="153" s="1"/>
  <c r="BM539" i="153"/>
  <c r="BM603" i="153" s="1"/>
  <c r="AH527" i="153"/>
  <c r="Z590" i="153"/>
  <c r="Z529" i="153"/>
  <c r="AK230" i="154"/>
  <c r="AF515" i="154"/>
  <c r="AZ233" i="155"/>
  <c r="AM228" i="155"/>
  <c r="AR234" i="153"/>
  <c r="AF228" i="153"/>
  <c r="AN228" i="154"/>
  <c r="N540" i="154"/>
  <c r="M604" i="154"/>
  <c r="BB540" i="154"/>
  <c r="BB604" i="154" s="1"/>
  <c r="BC540" i="154"/>
  <c r="BC604" i="154" s="1"/>
  <c r="BD540" i="154"/>
  <c r="BD604" i="154" s="1"/>
  <c r="BE540" i="154"/>
  <c r="BE604" i="154" s="1"/>
  <c r="BF540" i="154"/>
  <c r="BF604" i="154" s="1"/>
  <c r="BG540" i="154"/>
  <c r="BG604" i="154" s="1"/>
  <c r="BH540" i="154"/>
  <c r="BH604" i="154" s="1"/>
  <c r="BI540" i="154"/>
  <c r="BI604" i="154" s="1"/>
  <c r="BJ540" i="154"/>
  <c r="BJ604" i="154" s="1"/>
  <c r="BK540" i="154"/>
  <c r="BK604" i="154" s="1"/>
  <c r="BL540" i="154"/>
  <c r="BL604" i="154" s="1"/>
  <c r="BM540" i="154"/>
  <c r="BM604" i="154" s="1"/>
  <c r="I623" i="155"/>
  <c r="AV611" i="154"/>
  <c r="AV549" i="154"/>
  <c r="AV613" i="154" s="1"/>
  <c r="AF527" i="153"/>
  <c r="X590" i="153"/>
  <c r="AL380" i="153"/>
  <c r="AL50" i="153" s="1"/>
  <c r="AL115" i="153" s="1"/>
  <c r="BB509" i="154"/>
  <c r="BB573" i="154" s="1"/>
  <c r="BC509" i="154"/>
  <c r="BC573" i="154" s="1"/>
  <c r="BD509" i="154"/>
  <c r="BD573" i="154" s="1"/>
  <c r="BE509" i="154"/>
  <c r="BE573" i="154" s="1"/>
  <c r="BF509" i="154"/>
  <c r="BF573" i="154" s="1"/>
  <c r="BG509" i="154"/>
  <c r="BG573" i="154" s="1"/>
  <c r="BH509" i="154"/>
  <c r="BH573" i="154" s="1"/>
  <c r="BI509" i="154"/>
  <c r="BI573" i="154" s="1"/>
  <c r="BJ509" i="154"/>
  <c r="BJ573" i="154" s="1"/>
  <c r="BK509" i="154"/>
  <c r="BK573" i="154" s="1"/>
  <c r="BL509" i="154"/>
  <c r="BL573" i="154" s="1"/>
  <c r="BM509" i="154"/>
  <c r="BM573" i="154" s="1"/>
  <c r="AO361" i="153"/>
  <c r="AO358" i="153"/>
  <c r="AO363" i="153"/>
  <c r="AO362" i="153"/>
  <c r="AO359" i="153"/>
  <c r="AO360" i="153"/>
  <c r="AW404" i="154"/>
  <c r="AW405" i="154"/>
  <c r="AW403" i="154"/>
  <c r="AW407" i="154"/>
  <c r="AW402" i="154"/>
  <c r="AW406" i="154"/>
  <c r="AM380" i="153"/>
  <c r="AM50" i="153" s="1"/>
  <c r="AM115" i="153" s="1"/>
  <c r="AS585" i="153"/>
  <c r="AS524" i="153"/>
  <c r="AU387" i="153"/>
  <c r="AU384" i="153"/>
  <c r="AU382" i="153"/>
  <c r="AU383" i="153"/>
  <c r="AU386" i="153"/>
  <c r="AU385" i="153"/>
  <c r="AK398" i="155"/>
  <c r="AK399" i="155"/>
  <c r="AK397" i="155"/>
  <c r="AK396" i="155"/>
  <c r="AK395" i="155"/>
  <c r="AK394" i="155"/>
  <c r="AE588" i="153"/>
  <c r="AE526" i="153"/>
  <c r="AH380" i="154"/>
  <c r="AH50" i="154" s="1"/>
  <c r="AH115" i="154" s="1"/>
  <c r="AR386" i="154"/>
  <c r="AR387" i="154"/>
  <c r="AR385" i="154"/>
  <c r="AR382" i="154"/>
  <c r="AR383" i="154"/>
  <c r="AR384" i="154"/>
  <c r="AL408" i="155"/>
  <c r="AL58" i="155" s="1"/>
  <c r="AL123" i="155" s="1"/>
  <c r="AN397" i="155"/>
  <c r="AN399" i="155"/>
  <c r="AN398" i="155"/>
  <c r="AN394" i="155"/>
  <c r="AN396" i="155"/>
  <c r="AN395" i="155"/>
  <c r="AF606" i="154"/>
  <c r="AR233" i="154"/>
  <c r="AU234" i="154"/>
  <c r="AB400" i="154"/>
  <c r="AB57" i="154" s="1"/>
  <c r="AV542" i="153"/>
  <c r="AV602" i="153"/>
  <c r="W590" i="153"/>
  <c r="AE527" i="153"/>
  <c r="AG388" i="154"/>
  <c r="AG51" i="154" s="1"/>
  <c r="AG116" i="154" s="1"/>
  <c r="AM515" i="155"/>
  <c r="AM576" i="155"/>
  <c r="AJ360" i="154"/>
  <c r="AJ358" i="154"/>
  <c r="AJ363" i="154"/>
  <c r="AJ361" i="154"/>
  <c r="AJ362" i="154"/>
  <c r="AJ359" i="154"/>
  <c r="AC527" i="155"/>
  <c r="U590" i="155"/>
  <c r="AV524" i="154"/>
  <c r="AV585" i="154"/>
  <c r="M604" i="153"/>
  <c r="N540" i="153"/>
  <c r="BB540" i="153"/>
  <c r="BB604" i="153" s="1"/>
  <c r="BC540" i="153"/>
  <c r="BC604" i="153" s="1"/>
  <c r="BD540" i="153"/>
  <c r="BD604" i="153" s="1"/>
  <c r="BE540" i="153"/>
  <c r="BE604" i="153" s="1"/>
  <c r="BF540" i="153"/>
  <c r="BF604" i="153" s="1"/>
  <c r="BG540" i="153"/>
  <c r="BG604" i="153" s="1"/>
  <c r="BH540" i="153"/>
  <c r="BH604" i="153" s="1"/>
  <c r="BI540" i="153"/>
  <c r="BI604" i="153" s="1"/>
  <c r="BJ540" i="153"/>
  <c r="BJ604" i="153" s="1"/>
  <c r="BK540" i="153"/>
  <c r="BK604" i="153" s="1"/>
  <c r="BL540" i="153"/>
  <c r="BL604" i="153" s="1"/>
  <c r="BM540" i="153"/>
  <c r="BM604" i="153" s="1"/>
  <c r="AE526" i="155"/>
  <c r="AE588" i="155"/>
  <c r="AI388" i="154"/>
  <c r="AI51" i="154" s="1"/>
  <c r="AI116" i="154" s="1"/>
  <c r="R590" i="154"/>
  <c r="Z527" i="154"/>
  <c r="AK388" i="155"/>
  <c r="AK51" i="155" s="1"/>
  <c r="AK116" i="155" s="1"/>
  <c r="AI396" i="153"/>
  <c r="AI399" i="153"/>
  <c r="AI397" i="153"/>
  <c r="AI395" i="153"/>
  <c r="AI398" i="153"/>
  <c r="AI394" i="153"/>
  <c r="AO408" i="154"/>
  <c r="AO58" i="154" s="1"/>
  <c r="AO123" i="154" s="1"/>
  <c r="AT512" i="154"/>
  <c r="AX374" i="155"/>
  <c r="AX379" i="155"/>
  <c r="AX378" i="155"/>
  <c r="AX375" i="155"/>
  <c r="AX376" i="155"/>
  <c r="AX377" i="155"/>
  <c r="AY348" i="154"/>
  <c r="AY347" i="154"/>
  <c r="AY350" i="154"/>
  <c r="AY351" i="154"/>
  <c r="AY346" i="154"/>
  <c r="AY349" i="154"/>
  <c r="AY232" i="154"/>
  <c r="AM229" i="155"/>
  <c r="L576" i="153"/>
  <c r="AV349" i="153"/>
  <c r="AV347" i="153"/>
  <c r="AV350" i="153"/>
  <c r="AV346" i="153"/>
  <c r="AV348" i="153"/>
  <c r="AV351" i="153"/>
  <c r="AJ230" i="154"/>
  <c r="AE515" i="153"/>
  <c r="N538" i="155"/>
  <c r="M602" i="155"/>
  <c r="BB538" i="155"/>
  <c r="BC538" i="155"/>
  <c r="BD538" i="155"/>
  <c r="BE538" i="155"/>
  <c r="BF538" i="155"/>
  <c r="BG538" i="155"/>
  <c r="BH538" i="155"/>
  <c r="BI538" i="155"/>
  <c r="BJ538" i="155"/>
  <c r="BK538" i="155"/>
  <c r="BL538" i="155"/>
  <c r="BM538" i="155"/>
  <c r="AD395" i="155"/>
  <c r="AD399" i="155"/>
  <c r="AD397" i="155"/>
  <c r="AD398" i="155"/>
  <c r="AD396" i="155"/>
  <c r="AD394" i="155"/>
  <c r="AY233" i="155"/>
  <c r="AN352" i="155"/>
  <c r="AN44" i="155" s="1"/>
  <c r="AN109" i="155" s="1"/>
  <c r="AL228" i="155"/>
  <c r="AQ234" i="153"/>
  <c r="AE228" i="153"/>
  <c r="AA590" i="153"/>
  <c r="AI527" i="153"/>
  <c r="AM228" i="154"/>
  <c r="AI515" i="154"/>
  <c r="AU611" i="154"/>
  <c r="AU549" i="154"/>
  <c r="AU613" i="154" s="1"/>
  <c r="AI372" i="153"/>
  <c r="AI49" i="153" s="1"/>
  <c r="AI114" i="153" s="1"/>
  <c r="AV403" i="154"/>
  <c r="AV402" i="154"/>
  <c r="AV405" i="154"/>
  <c r="AV406" i="154"/>
  <c r="AV407" i="154"/>
  <c r="AV404" i="154"/>
  <c r="AR585" i="153"/>
  <c r="AR524" i="153"/>
  <c r="AT385" i="153"/>
  <c r="AT386" i="153"/>
  <c r="AT387" i="153"/>
  <c r="AT384" i="153"/>
  <c r="AT383" i="153"/>
  <c r="AT382" i="153"/>
  <c r="S579" i="153"/>
  <c r="S517" i="153"/>
  <c r="AJ394" i="155"/>
  <c r="AJ395" i="155"/>
  <c r="AJ398" i="155"/>
  <c r="AJ397" i="155"/>
  <c r="AJ396" i="155"/>
  <c r="AJ399" i="155"/>
  <c r="BA387" i="155"/>
  <c r="BA383" i="155"/>
  <c r="BA386" i="155"/>
  <c r="BA382" i="155"/>
  <c r="BA385" i="155"/>
  <c r="BA384" i="155"/>
  <c r="AQ385" i="154"/>
  <c r="AQ384" i="154"/>
  <c r="AQ383" i="154"/>
  <c r="AQ382" i="154"/>
  <c r="AQ387" i="154"/>
  <c r="AQ386" i="154"/>
  <c r="AM408" i="155"/>
  <c r="AM58" i="155" s="1"/>
  <c r="AM123" i="155" s="1"/>
  <c r="AA579" i="154"/>
  <c r="AA517" i="154"/>
  <c r="AI395" i="154"/>
  <c r="AI394" i="154"/>
  <c r="AI399" i="154"/>
  <c r="AI396" i="154"/>
  <c r="AI397" i="154"/>
  <c r="AI398" i="154"/>
  <c r="AU602" i="153"/>
  <c r="AU542" i="153"/>
  <c r="BB509" i="153"/>
  <c r="BB573" i="153" s="1"/>
  <c r="BC509" i="153"/>
  <c r="BC573" i="153" s="1"/>
  <c r="BD509" i="153"/>
  <c r="BD573" i="153" s="1"/>
  <c r="BE509" i="153"/>
  <c r="BE573" i="153" s="1"/>
  <c r="BF509" i="153"/>
  <c r="BF573" i="153" s="1"/>
  <c r="BG509" i="153"/>
  <c r="BG573" i="153" s="1"/>
  <c r="BH509" i="153"/>
  <c r="BH573" i="153" s="1"/>
  <c r="BI509" i="153"/>
  <c r="BI573" i="153" s="1"/>
  <c r="BJ509" i="153"/>
  <c r="BJ573" i="153" s="1"/>
  <c r="BK509" i="153"/>
  <c r="BK573" i="153" s="1"/>
  <c r="BL509" i="153"/>
  <c r="BL573" i="153" s="1"/>
  <c r="BM509" i="153"/>
  <c r="BM573" i="153" s="1"/>
  <c r="Y364" i="155"/>
  <c r="Y48" i="155" s="1"/>
  <c r="AJ606" i="154"/>
  <c r="S527" i="154"/>
  <c r="K590" i="154"/>
  <c r="K591" i="154" s="1"/>
  <c r="AU585" i="154"/>
  <c r="AU524" i="154"/>
  <c r="AS512" i="154"/>
  <c r="AW379" i="155"/>
  <c r="AW374" i="155"/>
  <c r="AW375" i="155"/>
  <c r="AW377" i="155"/>
  <c r="AW376" i="155"/>
  <c r="AW378" i="155"/>
  <c r="AX351" i="154"/>
  <c r="AX348" i="154"/>
  <c r="AX346" i="154"/>
  <c r="AX350" i="154"/>
  <c r="AX349" i="154"/>
  <c r="AX347" i="154"/>
  <c r="AG360" i="153"/>
  <c r="AG361" i="153"/>
  <c r="AG358" i="153"/>
  <c r="AG362" i="153"/>
  <c r="AG359" i="153"/>
  <c r="AG363" i="153"/>
  <c r="AX232" i="154"/>
  <c r="AL229" i="155"/>
  <c r="X529" i="155"/>
  <c r="AF527" i="155"/>
  <c r="X590" i="155"/>
  <c r="AU347" i="153"/>
  <c r="AU351" i="153"/>
  <c r="AU348" i="153"/>
  <c r="AU346" i="153"/>
  <c r="AU350" i="153"/>
  <c r="AU349" i="153"/>
  <c r="AI230" i="154"/>
  <c r="R517" i="153"/>
  <c r="R579" i="153"/>
  <c r="AX233" i="155"/>
  <c r="AK228" i="155"/>
  <c r="AP234" i="153"/>
  <c r="AD228" i="153"/>
  <c r="AL228" i="154"/>
  <c r="BA405" i="154"/>
  <c r="BA404" i="154"/>
  <c r="BA402" i="154"/>
  <c r="BA403" i="154"/>
  <c r="BA406" i="154"/>
  <c r="BA407" i="154"/>
  <c r="I619" i="155"/>
  <c r="I620" i="155" s="1"/>
  <c r="AT611" i="154"/>
  <c r="AT549" i="154"/>
  <c r="AT613" i="154" s="1"/>
  <c r="Z364" i="154"/>
  <c r="Z48" i="154" s="1"/>
  <c r="AU406" i="154"/>
  <c r="AU404" i="154"/>
  <c r="AU405" i="154"/>
  <c r="AU403" i="154"/>
  <c r="AU402" i="154"/>
  <c r="AU407" i="154"/>
  <c r="R364" i="154"/>
  <c r="R48" i="154" s="1"/>
  <c r="AQ524" i="153"/>
  <c r="AQ585" i="153"/>
  <c r="AS386" i="153"/>
  <c r="AS385" i="153"/>
  <c r="AS384" i="153"/>
  <c r="AS387" i="153"/>
  <c r="AS383" i="153"/>
  <c r="AS382" i="153"/>
  <c r="AO588" i="154"/>
  <c r="AO526" i="154"/>
  <c r="AF380" i="154"/>
  <c r="AF50" i="154" s="1"/>
  <c r="AF115" i="154" s="1"/>
  <c r="AD408" i="154"/>
  <c r="AD58" i="154" s="1"/>
  <c r="AB527" i="155"/>
  <c r="T590" i="155"/>
  <c r="AF515" i="155"/>
  <c r="AF576" i="155"/>
  <c r="AZ382" i="155"/>
  <c r="AZ387" i="155"/>
  <c r="AZ385" i="155"/>
  <c r="AZ386" i="155"/>
  <c r="AZ383" i="155"/>
  <c r="AZ384" i="155"/>
  <c r="AI527" i="155"/>
  <c r="AA590" i="155"/>
  <c r="AP383" i="154"/>
  <c r="AP385" i="154"/>
  <c r="AP387" i="154"/>
  <c r="AP384" i="154"/>
  <c r="AP382" i="154"/>
  <c r="AP386" i="154"/>
  <c r="AO352" i="153"/>
  <c r="AO44" i="153" s="1"/>
  <c r="AO109" i="153" s="1"/>
  <c r="AH515" i="155"/>
  <c r="AH576" i="155"/>
  <c r="AP233" i="154"/>
  <c r="AG388" i="155"/>
  <c r="AG51" i="155" s="1"/>
  <c r="AG116" i="155" s="1"/>
  <c r="AT602" i="153"/>
  <c r="AT542" i="153"/>
  <c r="AI388" i="153"/>
  <c r="AI51" i="153" s="1"/>
  <c r="AI116" i="153" s="1"/>
  <c r="AO606" i="155"/>
  <c r="AH372" i="154"/>
  <c r="AH49" i="154" s="1"/>
  <c r="AH114" i="154" s="1"/>
  <c r="AT585" i="154"/>
  <c r="AT524" i="154"/>
  <c r="AO380" i="154"/>
  <c r="AO50" i="154" s="1"/>
  <c r="AO115" i="154" s="1"/>
  <c r="AR512" i="154"/>
  <c r="AV375" i="155"/>
  <c r="AV378" i="155"/>
  <c r="AV377" i="155"/>
  <c r="AV374" i="155"/>
  <c r="AV376" i="155"/>
  <c r="AV379" i="155"/>
  <c r="AW349" i="154"/>
  <c r="AW350" i="154"/>
  <c r="AW351" i="154"/>
  <c r="AW346" i="154"/>
  <c r="AW347" i="154"/>
  <c r="AW348" i="154"/>
  <c r="AW232" i="154"/>
  <c r="L580" i="153"/>
  <c r="AP516" i="153"/>
  <c r="AP580" i="153" s="1"/>
  <c r="AQ516" i="153"/>
  <c r="AQ580" i="153" s="1"/>
  <c r="AR516" i="153"/>
  <c r="AR580" i="153" s="1"/>
  <c r="AS516" i="153"/>
  <c r="AS580" i="153" s="1"/>
  <c r="AT516" i="153"/>
  <c r="AT580" i="153" s="1"/>
  <c r="AU516" i="153"/>
  <c r="AU580" i="153" s="1"/>
  <c r="AV516" i="153"/>
  <c r="AV580" i="153" s="1"/>
  <c r="AW516" i="153"/>
  <c r="AW580" i="153" s="1"/>
  <c r="AX516" i="153"/>
  <c r="AX580" i="153" s="1"/>
  <c r="AY516" i="153"/>
  <c r="AY580" i="153" s="1"/>
  <c r="AZ516" i="153"/>
  <c r="AZ580" i="153" s="1"/>
  <c r="BA516" i="153"/>
  <c r="BA580" i="153" s="1"/>
  <c r="AK229" i="155"/>
  <c r="AT346" i="153"/>
  <c r="AT351" i="153"/>
  <c r="AT347" i="153"/>
  <c r="AT350" i="153"/>
  <c r="AT349" i="153"/>
  <c r="AT348" i="153"/>
  <c r="AL396" i="153"/>
  <c r="AL394" i="153"/>
  <c r="AL399" i="153"/>
  <c r="AL395" i="153"/>
  <c r="AL397" i="153"/>
  <c r="AL398" i="153"/>
  <c r="X364" i="155"/>
  <c r="X48" i="155" s="1"/>
  <c r="AB590" i="153"/>
  <c r="AJ527" i="153"/>
  <c r="AE515" i="154"/>
  <c r="AH230" i="154"/>
  <c r="V364" i="153"/>
  <c r="V48" i="153" s="1"/>
  <c r="U364" i="153"/>
  <c r="U48" i="153" s="1"/>
  <c r="AJ360" i="153"/>
  <c r="AJ358" i="153"/>
  <c r="AJ362" i="153"/>
  <c r="AJ363" i="153"/>
  <c r="AJ361" i="153"/>
  <c r="AJ359" i="153"/>
  <c r="BA404" i="155"/>
  <c r="BA402" i="155"/>
  <c r="BA406" i="155"/>
  <c r="BA405" i="155"/>
  <c r="BA407" i="155"/>
  <c r="BA403" i="155"/>
  <c r="AF352" i="154"/>
  <c r="AF44" i="154" s="1"/>
  <c r="AF109" i="154" s="1"/>
  <c r="I623" i="154"/>
  <c r="AW233" i="155"/>
  <c r="AJ228" i="155"/>
  <c r="L577" i="153"/>
  <c r="AP513" i="153"/>
  <c r="AP577" i="153" s="1"/>
  <c r="AQ513" i="153"/>
  <c r="AQ577" i="153" s="1"/>
  <c r="AR513" i="153"/>
  <c r="AR577" i="153" s="1"/>
  <c r="AS513" i="153"/>
  <c r="AS577" i="153" s="1"/>
  <c r="AT513" i="153"/>
  <c r="AT577" i="153" s="1"/>
  <c r="AU513" i="153"/>
  <c r="AU577" i="153" s="1"/>
  <c r="AV513" i="153"/>
  <c r="AV577" i="153" s="1"/>
  <c r="AW513" i="153"/>
  <c r="AW577" i="153" s="1"/>
  <c r="AX513" i="153"/>
  <c r="AX577" i="153" s="1"/>
  <c r="AY513" i="153"/>
  <c r="AY577" i="153" s="1"/>
  <c r="AZ513" i="153"/>
  <c r="AZ577" i="153" s="1"/>
  <c r="BA513" i="153"/>
  <c r="BA577" i="153" s="1"/>
  <c r="AG515" i="153"/>
  <c r="AJ380" i="153"/>
  <c r="AJ50" i="153" s="1"/>
  <c r="AJ115" i="153" s="1"/>
  <c r="AK228" i="154"/>
  <c r="AG372" i="155"/>
  <c r="AG49" i="155" s="1"/>
  <c r="AG114" i="155" s="1"/>
  <c r="AJ380" i="155"/>
  <c r="AJ50" i="155" s="1"/>
  <c r="AJ115" i="155" s="1"/>
  <c r="AS611" i="154"/>
  <c r="AS549" i="154"/>
  <c r="AS613" i="154" s="1"/>
  <c r="AF408" i="153"/>
  <c r="AF58" i="153" s="1"/>
  <c r="AF123" i="153" s="1"/>
  <c r="AT405" i="154"/>
  <c r="AT404" i="154"/>
  <c r="AT402" i="154"/>
  <c r="AT406" i="154"/>
  <c r="AT407" i="154"/>
  <c r="AT403" i="154"/>
  <c r="AP524" i="153"/>
  <c r="AP585" i="153"/>
  <c r="AE380" i="154"/>
  <c r="AE50" i="154" s="1"/>
  <c r="AE115" i="154" s="1"/>
  <c r="AR384" i="153"/>
  <c r="AR382" i="153"/>
  <c r="AR385" i="153"/>
  <c r="AR383" i="153"/>
  <c r="AR386" i="153"/>
  <c r="AR387" i="153"/>
  <c r="AE527" i="154"/>
  <c r="W590" i="154"/>
  <c r="AG606" i="155"/>
  <c r="AC400" i="155"/>
  <c r="AC57" i="155" s="1"/>
  <c r="AY384" i="155"/>
  <c r="AY387" i="155"/>
  <c r="AY386" i="155"/>
  <c r="AY382" i="155"/>
  <c r="AY385" i="155"/>
  <c r="AY383" i="155"/>
  <c r="AL372" i="155"/>
  <c r="AL49" i="155" s="1"/>
  <c r="AL114" i="155" s="1"/>
  <c r="AK408" i="155"/>
  <c r="AK58" i="155" s="1"/>
  <c r="AK123" i="155" s="1"/>
  <c r="AI606" i="155"/>
  <c r="N541" i="154"/>
  <c r="M605" i="154"/>
  <c r="BB541" i="154"/>
  <c r="BB605" i="154" s="1"/>
  <c r="BC541" i="154"/>
  <c r="BC605" i="154" s="1"/>
  <c r="BD541" i="154"/>
  <c r="BD605" i="154" s="1"/>
  <c r="BE541" i="154"/>
  <c r="BE605" i="154" s="1"/>
  <c r="BF541" i="154"/>
  <c r="BF605" i="154" s="1"/>
  <c r="BG541" i="154"/>
  <c r="BG605" i="154" s="1"/>
  <c r="BH541" i="154"/>
  <c r="BH605" i="154" s="1"/>
  <c r="BI541" i="154"/>
  <c r="BI605" i="154" s="1"/>
  <c r="BJ541" i="154"/>
  <c r="BJ605" i="154" s="1"/>
  <c r="BK541" i="154"/>
  <c r="BK605" i="154" s="1"/>
  <c r="BL541" i="154"/>
  <c r="BL605" i="154" s="1"/>
  <c r="BM541" i="154"/>
  <c r="BM605" i="154" s="1"/>
  <c r="AK359" i="155"/>
  <c r="AK358" i="155"/>
  <c r="AK363" i="155"/>
  <c r="AK361" i="155"/>
  <c r="AK360" i="155"/>
  <c r="AK362" i="155"/>
  <c r="M586" i="155"/>
  <c r="BB522" i="155"/>
  <c r="BB586" i="155" s="1"/>
  <c r="BC522" i="155"/>
  <c r="BC586" i="155" s="1"/>
  <c r="BD522" i="155"/>
  <c r="BD586" i="155" s="1"/>
  <c r="BE522" i="155"/>
  <c r="BE586" i="155" s="1"/>
  <c r="BF522" i="155"/>
  <c r="BF586" i="155" s="1"/>
  <c r="BG522" i="155"/>
  <c r="BG586" i="155" s="1"/>
  <c r="BH522" i="155"/>
  <c r="BH586" i="155" s="1"/>
  <c r="BI522" i="155"/>
  <c r="BI586" i="155" s="1"/>
  <c r="BJ522" i="155"/>
  <c r="BJ586" i="155" s="1"/>
  <c r="BK522" i="155"/>
  <c r="BK586" i="155" s="1"/>
  <c r="BL522" i="155"/>
  <c r="BL586" i="155" s="1"/>
  <c r="BM522" i="155"/>
  <c r="BM586" i="155" s="1"/>
  <c r="AH399" i="154"/>
  <c r="AH395" i="154"/>
  <c r="AH394" i="154"/>
  <c r="AH397" i="154"/>
  <c r="AH398" i="154"/>
  <c r="AH396" i="154"/>
  <c r="AO394" i="155"/>
  <c r="AO398" i="155"/>
  <c r="AO396" i="155"/>
  <c r="AO399" i="155"/>
  <c r="AO397" i="155"/>
  <c r="AO395" i="155"/>
  <c r="S527" i="155"/>
  <c r="K590" i="155"/>
  <c r="K591" i="155" s="1"/>
  <c r="AS542" i="153"/>
  <c r="AS602" i="153"/>
  <c r="AO362" i="155"/>
  <c r="AO359" i="155"/>
  <c r="AO358" i="155"/>
  <c r="AO363" i="155"/>
  <c r="AO361" i="155"/>
  <c r="AO360" i="155"/>
  <c r="BA585" i="155"/>
  <c r="BA524" i="155"/>
  <c r="AS585" i="154"/>
  <c r="AS524" i="154"/>
  <c r="AB517" i="153"/>
  <c r="AB529" i="153" s="1"/>
  <c r="AB579" i="153"/>
  <c r="AL606" i="154"/>
  <c r="T590" i="153"/>
  <c r="AB527" i="153"/>
  <c r="AL388" i="155"/>
  <c r="AL51" i="155" s="1"/>
  <c r="AL116" i="155" s="1"/>
  <c r="K579" i="153"/>
  <c r="AQ512" i="154"/>
  <c r="AU374" i="155"/>
  <c r="AU379" i="155"/>
  <c r="AU378" i="155"/>
  <c r="AU377" i="155"/>
  <c r="AU376" i="155"/>
  <c r="AU375" i="155"/>
  <c r="AV346" i="154"/>
  <c r="AV350" i="154"/>
  <c r="AV347" i="154"/>
  <c r="AV351" i="154"/>
  <c r="AV349" i="154"/>
  <c r="AV348" i="154"/>
  <c r="AV232" i="154"/>
  <c r="AJ229" i="155"/>
  <c r="S400" i="154"/>
  <c r="S57" i="154" s="1"/>
  <c r="AK397" i="153"/>
  <c r="AK399" i="153"/>
  <c r="AK396" i="153"/>
  <c r="AK394" i="153"/>
  <c r="AK395" i="153"/>
  <c r="AK398" i="153"/>
  <c r="AS349" i="153"/>
  <c r="AS348" i="153"/>
  <c r="AS346" i="153"/>
  <c r="AS347" i="153"/>
  <c r="AS351" i="153"/>
  <c r="AS350" i="153"/>
  <c r="R517" i="155"/>
  <c r="R579" i="155"/>
  <c r="AJ526" i="155"/>
  <c r="AJ588" i="155"/>
  <c r="BA611" i="155"/>
  <c r="BA549" i="155"/>
  <c r="BA613" i="155" s="1"/>
  <c r="Y517" i="154"/>
  <c r="Y579" i="154"/>
  <c r="AG230" i="154"/>
  <c r="AJ606" i="153"/>
  <c r="AZ403" i="155"/>
  <c r="AZ405" i="155"/>
  <c r="AZ404" i="155"/>
  <c r="AZ406" i="155"/>
  <c r="AZ407" i="155"/>
  <c r="AZ402" i="155"/>
  <c r="AH380" i="153"/>
  <c r="AH50" i="153" s="1"/>
  <c r="AH115" i="153" s="1"/>
  <c r="T590" i="154"/>
  <c r="AB527" i="154"/>
  <c r="AV233" i="155"/>
  <c r="AI228" i="155"/>
  <c r="M589" i="153"/>
  <c r="BB525" i="153"/>
  <c r="BB589" i="153" s="1"/>
  <c r="BC525" i="153"/>
  <c r="BC589" i="153" s="1"/>
  <c r="BD525" i="153"/>
  <c r="BD589" i="153" s="1"/>
  <c r="BE525" i="153"/>
  <c r="BE589" i="153" s="1"/>
  <c r="BF525" i="153"/>
  <c r="BF589" i="153" s="1"/>
  <c r="BG525" i="153"/>
  <c r="BG589" i="153" s="1"/>
  <c r="BH525" i="153"/>
  <c r="BH589" i="153" s="1"/>
  <c r="BI525" i="153"/>
  <c r="BI589" i="153" s="1"/>
  <c r="BJ525" i="153"/>
  <c r="BJ589" i="153" s="1"/>
  <c r="BK525" i="153"/>
  <c r="BK589" i="153" s="1"/>
  <c r="BL525" i="153"/>
  <c r="BL589" i="153" s="1"/>
  <c r="BM525" i="153"/>
  <c r="BM589" i="153" s="1"/>
  <c r="AJ228" i="154"/>
  <c r="AL588" i="154"/>
  <c r="AL526" i="154"/>
  <c r="W364" i="154"/>
  <c r="W48" i="154" s="1"/>
  <c r="AR611" i="154"/>
  <c r="AR549" i="154"/>
  <c r="AR613" i="154" s="1"/>
  <c r="AM526" i="154"/>
  <c r="AM588" i="154"/>
  <c r="AS404" i="154"/>
  <c r="AS403" i="154"/>
  <c r="AS405" i="154"/>
  <c r="AS406" i="154"/>
  <c r="AS407" i="154"/>
  <c r="AS402" i="154"/>
  <c r="AQ384" i="153"/>
  <c r="AQ385" i="153"/>
  <c r="AQ383" i="153"/>
  <c r="AQ382" i="153"/>
  <c r="AQ386" i="153"/>
  <c r="AQ387" i="153"/>
  <c r="AG361" i="155"/>
  <c r="AG360" i="155"/>
  <c r="AG363" i="155"/>
  <c r="AG359" i="155"/>
  <c r="AG362" i="155"/>
  <c r="AG358" i="155"/>
  <c r="AH606" i="155"/>
  <c r="AL352" i="153"/>
  <c r="AL44" i="153" s="1"/>
  <c r="AL109" i="153" s="1"/>
  <c r="AX382" i="155"/>
  <c r="AX385" i="155"/>
  <c r="AX383" i="155"/>
  <c r="AX386" i="155"/>
  <c r="AX384" i="155"/>
  <c r="AX387" i="155"/>
  <c r="AI363" i="155"/>
  <c r="AI360" i="155"/>
  <c r="AI358" i="155"/>
  <c r="AI359" i="155"/>
  <c r="AI362" i="155"/>
  <c r="AI361" i="155"/>
  <c r="AM372" i="153"/>
  <c r="AM49" i="153" s="1"/>
  <c r="AM114" i="153" s="1"/>
  <c r="AE388" i="153"/>
  <c r="AE51" i="153" s="1"/>
  <c r="AE116" i="153" s="1"/>
  <c r="AK606" i="155"/>
  <c r="AN372" i="155"/>
  <c r="AN49" i="155" s="1"/>
  <c r="AN114" i="155" s="1"/>
  <c r="AF388" i="153"/>
  <c r="AF51" i="153" s="1"/>
  <c r="AF116" i="153" s="1"/>
  <c r="AD527" i="155"/>
  <c r="V590" i="155"/>
  <c r="M587" i="154"/>
  <c r="BB523" i="154"/>
  <c r="BB587" i="154" s="1"/>
  <c r="BC523" i="154"/>
  <c r="BC587" i="154" s="1"/>
  <c r="BD523" i="154"/>
  <c r="BD587" i="154" s="1"/>
  <c r="BE523" i="154"/>
  <c r="BE587" i="154" s="1"/>
  <c r="BF523" i="154"/>
  <c r="BF587" i="154" s="1"/>
  <c r="BG523" i="154"/>
  <c r="BG587" i="154" s="1"/>
  <c r="BH523" i="154"/>
  <c r="BH587" i="154" s="1"/>
  <c r="BI523" i="154"/>
  <c r="BI587" i="154" s="1"/>
  <c r="BJ523" i="154"/>
  <c r="BJ587" i="154" s="1"/>
  <c r="BK523" i="154"/>
  <c r="BK587" i="154" s="1"/>
  <c r="BL523" i="154"/>
  <c r="BL587" i="154" s="1"/>
  <c r="BM523" i="154"/>
  <c r="BM587" i="154" s="1"/>
  <c r="AQ234" i="154"/>
  <c r="AF372" i="154"/>
  <c r="AF49" i="154" s="1"/>
  <c r="AF114" i="154" s="1"/>
  <c r="AR602" i="153"/>
  <c r="AR542" i="153"/>
  <c r="AH606" i="154"/>
  <c r="AN606" i="155"/>
  <c r="AZ585" i="155"/>
  <c r="AZ524" i="155"/>
  <c r="AJ588" i="153"/>
  <c r="AJ526" i="153"/>
  <c r="AL395" i="154"/>
  <c r="AL397" i="154"/>
  <c r="AL398" i="154"/>
  <c r="AL399" i="154"/>
  <c r="AL396" i="154"/>
  <c r="AL394" i="154"/>
  <c r="AR524" i="154"/>
  <c r="AR585" i="154"/>
  <c r="AL526" i="153"/>
  <c r="AL588" i="153"/>
  <c r="S590" i="155"/>
  <c r="AA527" i="155"/>
  <c r="S529" i="155"/>
  <c r="AB364" i="154"/>
  <c r="AB48" i="154" s="1"/>
  <c r="AE606" i="153"/>
  <c r="AL361" i="154"/>
  <c r="AL363" i="154"/>
  <c r="AL359" i="154"/>
  <c r="AL360" i="154"/>
  <c r="AL362" i="154"/>
  <c r="AL358" i="154"/>
  <c r="AP512" i="154"/>
  <c r="AT379" i="155"/>
  <c r="AT375" i="155"/>
  <c r="AT374" i="155"/>
  <c r="AT377" i="155"/>
  <c r="AT378" i="155"/>
  <c r="AT376" i="155"/>
  <c r="AU350" i="154"/>
  <c r="AU348" i="154"/>
  <c r="AU346" i="154"/>
  <c r="AU349" i="154"/>
  <c r="AU347" i="154"/>
  <c r="AU351" i="154"/>
  <c r="AH526" i="155"/>
  <c r="AH588" i="155"/>
  <c r="AU232" i="154"/>
  <c r="AI229" i="155"/>
  <c r="T400" i="153"/>
  <c r="T57" i="153" s="1"/>
  <c r="AM388" i="154"/>
  <c r="AM51" i="154" s="1"/>
  <c r="AM116" i="154" s="1"/>
  <c r="AR346" i="153"/>
  <c r="AR351" i="153"/>
  <c r="AR348" i="153"/>
  <c r="AR347" i="153"/>
  <c r="AR349" i="153"/>
  <c r="AR350" i="153"/>
  <c r="AZ549" i="155"/>
  <c r="AZ613" i="155" s="1"/>
  <c r="AZ611" i="155"/>
  <c r="AN229" i="153"/>
  <c r="AF230" i="154"/>
  <c r="AY403" i="155"/>
  <c r="AY407" i="155"/>
  <c r="AY404" i="155"/>
  <c r="AY405" i="155"/>
  <c r="AY406" i="155"/>
  <c r="AY402" i="155"/>
  <c r="I619" i="154"/>
  <c r="I620" i="154" s="1"/>
  <c r="AG515" i="154"/>
  <c r="AU233" i="155"/>
  <c r="AH228" i="155"/>
  <c r="T364" i="154"/>
  <c r="T48" i="154" s="1"/>
  <c r="AI228" i="154"/>
  <c r="R129" i="99"/>
  <c r="I126" i="104"/>
  <c r="I127" i="104" s="1"/>
  <c r="V535" i="99"/>
  <c r="V599" i="99" s="1"/>
  <c r="K618" i="153"/>
  <c r="W17" i="69"/>
  <c r="AB76" i="105" s="1"/>
  <c r="W40" i="151" s="1"/>
  <c r="AQ618" i="153"/>
  <c r="AU618" i="153"/>
  <c r="AP618" i="153"/>
  <c r="AZ618" i="153"/>
  <c r="V512" i="99"/>
  <c r="AS618" i="153"/>
  <c r="AY618" i="153"/>
  <c r="AT618" i="153"/>
  <c r="AV618" i="153"/>
  <c r="AW618" i="153"/>
  <c r="Y3" i="69"/>
  <c r="Y4" i="69" s="1"/>
  <c r="X2" i="69" a="1"/>
  <c r="X2" i="69" s="1"/>
  <c r="X14" i="69"/>
  <c r="X9" i="69"/>
  <c r="X10" i="69"/>
  <c r="X11" i="69"/>
  <c r="X16" i="69"/>
  <c r="X15" i="69"/>
  <c r="X7" i="69"/>
  <c r="X12" i="69"/>
  <c r="X8" i="69"/>
  <c r="X13" i="69"/>
  <c r="V234" i="99"/>
  <c r="W540" i="99"/>
  <c r="W604" i="99" s="1"/>
  <c r="W534" i="99"/>
  <c r="W598" i="99" s="1"/>
  <c r="W539" i="99"/>
  <c r="W603" i="99" s="1"/>
  <c r="W541" i="99"/>
  <c r="W605" i="99" s="1"/>
  <c r="W548" i="99"/>
  <c r="W612" i="99" s="1"/>
  <c r="W538" i="99"/>
  <c r="W547" i="99"/>
  <c r="W525" i="99"/>
  <c r="W589" i="99" s="1"/>
  <c r="W509" i="99"/>
  <c r="W573" i="99" s="1"/>
  <c r="W507" i="99"/>
  <c r="W521" i="99"/>
  <c r="W523" i="99"/>
  <c r="W587" i="99" s="1"/>
  <c r="W522" i="99"/>
  <c r="W586" i="99" s="1"/>
  <c r="W558" i="99"/>
  <c r="W622" i="99" s="1"/>
  <c r="W516" i="99"/>
  <c r="W580" i="99" s="1"/>
  <c r="W513" i="99"/>
  <c r="W577" i="99" s="1"/>
  <c r="W514" i="99"/>
  <c r="W578" i="99" s="1"/>
  <c r="Y3" i="99"/>
  <c r="Y4" i="99" s="1"/>
  <c r="X2" i="99" a="1"/>
  <c r="X2" i="99" s="1"/>
  <c r="X554" i="99" s="1"/>
  <c r="X474" i="99"/>
  <c r="X475" i="99"/>
  <c r="X499" i="99"/>
  <c r="X483" i="99" s="1"/>
  <c r="X491" i="99" s="1"/>
  <c r="X476" i="99"/>
  <c r="X498" i="99"/>
  <c r="X482" i="99" s="1"/>
  <c r="X490" i="99" s="1"/>
  <c r="X477" i="99"/>
  <c r="X500" i="99"/>
  <c r="X484" i="99" s="1"/>
  <c r="X492" i="99" s="1"/>
  <c r="W533" i="99"/>
  <c r="V233" i="99"/>
  <c r="V524" i="99"/>
  <c r="V585" i="99"/>
  <c r="V232" i="99"/>
  <c r="V542" i="99"/>
  <c r="V606" i="99" s="1"/>
  <c r="V602" i="99"/>
  <c r="Y37" i="72"/>
  <c r="Z5" i="72"/>
  <c r="Z6" i="72" s="1"/>
  <c r="Y36" i="72"/>
  <c r="Y47" i="72"/>
  <c r="Y48" i="72"/>
  <c r="L76" i="103"/>
  <c r="K76" i="103"/>
  <c r="M76" i="103"/>
  <c r="N76" i="103"/>
  <c r="R597" i="99"/>
  <c r="S535" i="99"/>
  <c r="S599" i="99" s="1"/>
  <c r="L533" i="99" a="1"/>
  <c r="L533" i="99" s="1"/>
  <c r="V597" i="99"/>
  <c r="U597" i="99"/>
  <c r="BS153" i="103"/>
  <c r="BR153" i="103"/>
  <c r="BY153" i="103"/>
  <c r="BQ153" i="103"/>
  <c r="BP153" i="103"/>
  <c r="BO153" i="103"/>
  <c r="BN153" i="103"/>
  <c r="BX153" i="103"/>
  <c r="BW153" i="103"/>
  <c r="BV153" i="103"/>
  <c r="BU153" i="103"/>
  <c r="BT153" i="103"/>
  <c r="J76" i="103"/>
  <c r="T597" i="99"/>
  <c r="T535" i="99"/>
  <c r="T599" i="99" s="1"/>
  <c r="N604" i="99"/>
  <c r="P604" i="99" s="1"/>
  <c r="P540" i="99"/>
  <c r="N603" i="99"/>
  <c r="P603" i="99" s="1"/>
  <c r="P539" i="99"/>
  <c r="P541" i="99"/>
  <c r="N605" i="99"/>
  <c r="P605" i="99" s="1"/>
  <c r="M558" i="99"/>
  <c r="N542" i="99"/>
  <c r="N602" i="99"/>
  <c r="P602" i="99" s="1"/>
  <c r="P538" i="99"/>
  <c r="R579" i="99"/>
  <c r="R517" i="99"/>
  <c r="U579" i="99"/>
  <c r="U517" i="99"/>
  <c r="L576" i="99"/>
  <c r="L515" i="99"/>
  <c r="L578" i="99"/>
  <c r="M514" i="99"/>
  <c r="J581" i="99"/>
  <c r="J582" i="99" s="1"/>
  <c r="J518" i="99"/>
  <c r="J529" i="99"/>
  <c r="S579" i="99"/>
  <c r="S517" i="99"/>
  <c r="I62" i="99"/>
  <c r="I126" i="99"/>
  <c r="L577" i="99"/>
  <c r="K517" i="99"/>
  <c r="K579" i="99"/>
  <c r="I69" i="99"/>
  <c r="I623" i="99"/>
  <c r="I556" i="99"/>
  <c r="I619" i="99"/>
  <c r="I620" i="99" s="1"/>
  <c r="T579" i="99"/>
  <c r="T517" i="99"/>
  <c r="L580" i="99"/>
  <c r="M573" i="99"/>
  <c r="M512" i="99"/>
  <c r="V160" i="99"/>
  <c r="AO8" i="98"/>
  <c r="Y6" i="98"/>
  <c r="X70" i="103"/>
  <c r="W64" i="99"/>
  <c r="AI159" i="99"/>
  <c r="AJ159" i="99" s="1"/>
  <c r="AK159" i="99" s="1"/>
  <c r="AL159" i="99" s="1"/>
  <c r="N104" i="105" l="1"/>
  <c r="I23" i="151"/>
  <c r="N118" i="105"/>
  <c r="I27" i="151"/>
  <c r="Z4" i="72" a="1"/>
  <c r="Z4" i="72" s="1"/>
  <c r="K71" i="105"/>
  <c r="K123" i="105"/>
  <c r="J71" i="105"/>
  <c r="J123" i="105"/>
  <c r="I71" i="105"/>
  <c r="I123" i="105"/>
  <c r="L71" i="105"/>
  <c r="L123" i="105"/>
  <c r="AD115" i="154"/>
  <c r="K50" i="154"/>
  <c r="K115" i="154" s="1"/>
  <c r="Z113" i="155"/>
  <c r="Z52" i="155"/>
  <c r="Z117" i="155" s="1"/>
  <c r="AA113" i="153"/>
  <c r="AA52" i="153"/>
  <c r="AA117" i="153" s="1"/>
  <c r="AC122" i="155"/>
  <c r="AC59" i="155"/>
  <c r="AC124" i="155" s="1"/>
  <c r="U52" i="153"/>
  <c r="U117" i="153" s="1"/>
  <c r="U113" i="153"/>
  <c r="U113" i="154"/>
  <c r="U52" i="154"/>
  <c r="U117" i="154" s="1"/>
  <c r="V113" i="153"/>
  <c r="V52" i="153"/>
  <c r="V117" i="153" s="1"/>
  <c r="AD109" i="155"/>
  <c r="K44" i="155"/>
  <c r="K109" i="155" s="1"/>
  <c r="S113" i="153"/>
  <c r="S52" i="153"/>
  <c r="S117" i="153" s="1"/>
  <c r="I66" i="153"/>
  <c r="I130" i="153"/>
  <c r="I131" i="153" s="1"/>
  <c r="I71" i="153"/>
  <c r="V122" i="155"/>
  <c r="V59" i="155"/>
  <c r="V124" i="155" s="1"/>
  <c r="AB122" i="154"/>
  <c r="AB59" i="154"/>
  <c r="AB124" i="154" s="1"/>
  <c r="T59" i="153"/>
  <c r="T124" i="153" s="1"/>
  <c r="T122" i="153"/>
  <c r="X59" i="153"/>
  <c r="X124" i="153" s="1"/>
  <c r="X122" i="153"/>
  <c r="S113" i="154"/>
  <c r="S52" i="154"/>
  <c r="S117" i="154" s="1"/>
  <c r="S122" i="154"/>
  <c r="S59" i="154"/>
  <c r="S124" i="154" s="1"/>
  <c r="AA122" i="154"/>
  <c r="AA59" i="154"/>
  <c r="AA124" i="154" s="1"/>
  <c r="AD123" i="153"/>
  <c r="K58" i="153"/>
  <c r="K123" i="153" s="1"/>
  <c r="AD114" i="155"/>
  <c r="K49" i="155"/>
  <c r="K114" i="155" s="1"/>
  <c r="AB122" i="153"/>
  <c r="AB59" i="153"/>
  <c r="AB124" i="153" s="1"/>
  <c r="AB113" i="155"/>
  <c r="AB52" i="155"/>
  <c r="AB117" i="155" s="1"/>
  <c r="W59" i="154"/>
  <c r="W124" i="154" s="1"/>
  <c r="W122" i="154"/>
  <c r="S59" i="153"/>
  <c r="S124" i="153" s="1"/>
  <c r="S122" i="153"/>
  <c r="AD114" i="153"/>
  <c r="K49" i="153"/>
  <c r="K114" i="153" s="1"/>
  <c r="R133" i="155"/>
  <c r="J68" i="155"/>
  <c r="J133" i="155" s="1"/>
  <c r="T113" i="154"/>
  <c r="T52" i="154"/>
  <c r="T117" i="154" s="1"/>
  <c r="AB52" i="154"/>
  <c r="AB117" i="154" s="1"/>
  <c r="AB113" i="154"/>
  <c r="Y113" i="155"/>
  <c r="Y52" i="155"/>
  <c r="Y117" i="155" s="1"/>
  <c r="AB122" i="155"/>
  <c r="AB59" i="155"/>
  <c r="AB124" i="155" s="1"/>
  <c r="AD109" i="153"/>
  <c r="K44" i="153"/>
  <c r="K109" i="153" s="1"/>
  <c r="BM618" i="154"/>
  <c r="BM64" i="154"/>
  <c r="BM129" i="154" s="1"/>
  <c r="I562" i="153"/>
  <c r="L64" i="154"/>
  <c r="L129" i="154" s="1"/>
  <c r="X113" i="154"/>
  <c r="X52" i="154"/>
  <c r="X117" i="154" s="1"/>
  <c r="AD114" i="154"/>
  <c r="K49" i="154"/>
  <c r="K114" i="154" s="1"/>
  <c r="AD123" i="154"/>
  <c r="K58" i="154"/>
  <c r="K123" i="154" s="1"/>
  <c r="W59" i="153"/>
  <c r="W124" i="153" s="1"/>
  <c r="W122" i="153"/>
  <c r="AC122" i="153"/>
  <c r="AC59" i="153"/>
  <c r="AC124" i="153" s="1"/>
  <c r="AA52" i="154"/>
  <c r="AA117" i="154" s="1"/>
  <c r="AA113" i="154"/>
  <c r="R52" i="153"/>
  <c r="R113" i="153"/>
  <c r="J48" i="153"/>
  <c r="J113" i="153" s="1"/>
  <c r="Y122" i="155"/>
  <c r="Y59" i="155"/>
  <c r="Y124" i="155" s="1"/>
  <c r="X113" i="155"/>
  <c r="X52" i="155"/>
  <c r="X117" i="155" s="1"/>
  <c r="S113" i="155"/>
  <c r="S52" i="155"/>
  <c r="S117" i="155" s="1"/>
  <c r="Z59" i="155"/>
  <c r="Z124" i="155" s="1"/>
  <c r="Z122" i="155"/>
  <c r="U122" i="153"/>
  <c r="U59" i="153"/>
  <c r="U124" i="153" s="1"/>
  <c r="W122" i="155"/>
  <c r="W59" i="155"/>
  <c r="W124" i="155" s="1"/>
  <c r="W52" i="154"/>
  <c r="W117" i="154" s="1"/>
  <c r="W113" i="154"/>
  <c r="V122" i="154"/>
  <c r="V59" i="154"/>
  <c r="V124" i="154" s="1"/>
  <c r="AD116" i="153"/>
  <c r="K51" i="153"/>
  <c r="K116" i="153" s="1"/>
  <c r="I71" i="154"/>
  <c r="I66" i="154"/>
  <c r="I130" i="154"/>
  <c r="I131" i="154" s="1"/>
  <c r="Y122" i="153"/>
  <c r="Y59" i="153"/>
  <c r="Y124" i="153" s="1"/>
  <c r="R122" i="154"/>
  <c r="J57" i="154"/>
  <c r="J122" i="154" s="1"/>
  <c r="R59" i="154"/>
  <c r="BB129" i="154"/>
  <c r="M64" i="153"/>
  <c r="M129" i="153" s="1"/>
  <c r="BB129" i="153"/>
  <c r="I71" i="155"/>
  <c r="I130" i="155"/>
  <c r="I131" i="155" s="1"/>
  <c r="I66" i="155"/>
  <c r="K58" i="155"/>
  <c r="K123" i="155" s="1"/>
  <c r="AD123" i="155"/>
  <c r="S122" i="155"/>
  <c r="S59" i="155"/>
  <c r="S124" i="155" s="1"/>
  <c r="Y113" i="153"/>
  <c r="Y52" i="153"/>
  <c r="Y117" i="153" s="1"/>
  <c r="T122" i="155"/>
  <c r="T59" i="155"/>
  <c r="T124" i="155" s="1"/>
  <c r="AC113" i="154"/>
  <c r="AC52" i="154"/>
  <c r="AC117" i="154" s="1"/>
  <c r="J48" i="155"/>
  <c r="J113" i="155" s="1"/>
  <c r="R113" i="155"/>
  <c r="R52" i="155"/>
  <c r="Z122" i="154"/>
  <c r="Z59" i="154"/>
  <c r="Z124" i="154" s="1"/>
  <c r="Z113" i="154"/>
  <c r="Z52" i="154"/>
  <c r="Z117" i="154" s="1"/>
  <c r="X122" i="154"/>
  <c r="X59" i="154"/>
  <c r="X124" i="154" s="1"/>
  <c r="AD115" i="153"/>
  <c r="K50" i="153"/>
  <c r="K115" i="153" s="1"/>
  <c r="AC113" i="155"/>
  <c r="AC52" i="155"/>
  <c r="AC117" i="155" s="1"/>
  <c r="Z122" i="153"/>
  <c r="Z59" i="153"/>
  <c r="Z124" i="153" s="1"/>
  <c r="T113" i="153"/>
  <c r="T52" i="153"/>
  <c r="T117" i="153" s="1"/>
  <c r="X122" i="155"/>
  <c r="X59" i="155"/>
  <c r="X124" i="155" s="1"/>
  <c r="R59" i="153"/>
  <c r="R122" i="153"/>
  <c r="J57" i="153"/>
  <c r="J122" i="153" s="1"/>
  <c r="BM618" i="155"/>
  <c r="BM64" i="155"/>
  <c r="BM129" i="155" s="1"/>
  <c r="T113" i="155"/>
  <c r="T52" i="155"/>
  <c r="T117" i="155" s="1"/>
  <c r="V113" i="155"/>
  <c r="V52" i="155"/>
  <c r="V117" i="155" s="1"/>
  <c r="AD116" i="155"/>
  <c r="K51" i="155"/>
  <c r="K116" i="155" s="1"/>
  <c r="AA122" i="153"/>
  <c r="AA59" i="153"/>
  <c r="AA124" i="153" s="1"/>
  <c r="AA122" i="155"/>
  <c r="AA59" i="155"/>
  <c r="AA124" i="155" s="1"/>
  <c r="AD109" i="154"/>
  <c r="K44" i="154"/>
  <c r="K109" i="154" s="1"/>
  <c r="W113" i="153"/>
  <c r="W52" i="153"/>
  <c r="W117" i="153" s="1"/>
  <c r="Y122" i="154"/>
  <c r="Y59" i="154"/>
  <c r="Y124" i="154" s="1"/>
  <c r="BB129" i="155"/>
  <c r="V113" i="154"/>
  <c r="V52" i="154"/>
  <c r="V117" i="154" s="1"/>
  <c r="Y52" i="154"/>
  <c r="Y117" i="154" s="1"/>
  <c r="Y113" i="154"/>
  <c r="R133" i="154"/>
  <c r="J68" i="154"/>
  <c r="J133" i="154" s="1"/>
  <c r="R113" i="154"/>
  <c r="J48" i="154"/>
  <c r="J113" i="154" s="1"/>
  <c r="R52" i="154"/>
  <c r="V122" i="153"/>
  <c r="V59" i="153"/>
  <c r="V124" i="153" s="1"/>
  <c r="AC122" i="154"/>
  <c r="AC59" i="154"/>
  <c r="AC124" i="154" s="1"/>
  <c r="AB113" i="153"/>
  <c r="AB52" i="153"/>
  <c r="AB117" i="153" s="1"/>
  <c r="T122" i="154"/>
  <c r="T59" i="154"/>
  <c r="T124" i="154" s="1"/>
  <c r="U122" i="154"/>
  <c r="U59" i="154"/>
  <c r="U124" i="154" s="1"/>
  <c r="Z113" i="153"/>
  <c r="Z52" i="153"/>
  <c r="Z117" i="153" s="1"/>
  <c r="AD116" i="154"/>
  <c r="K51" i="154"/>
  <c r="K116" i="154" s="1"/>
  <c r="R122" i="155"/>
  <c r="J57" i="155"/>
  <c r="J122" i="155" s="1"/>
  <c r="R59" i="155"/>
  <c r="J68" i="153"/>
  <c r="J133" i="153" s="1"/>
  <c r="R133" i="153"/>
  <c r="AC113" i="153"/>
  <c r="AC52" i="153"/>
  <c r="AC117" i="153" s="1"/>
  <c r="L64" i="155"/>
  <c r="L129" i="155" s="1"/>
  <c r="X113" i="153"/>
  <c r="X52" i="153"/>
  <c r="X117" i="153" s="1"/>
  <c r="W113" i="155"/>
  <c r="W52" i="155"/>
  <c r="W117" i="155" s="1"/>
  <c r="AD115" i="155"/>
  <c r="K50" i="155"/>
  <c r="K115" i="155" s="1"/>
  <c r="AA113" i="155"/>
  <c r="AA52" i="155"/>
  <c r="AA117" i="155" s="1"/>
  <c r="U113" i="155"/>
  <c r="U52" i="155"/>
  <c r="U117" i="155" s="1"/>
  <c r="U122" i="155"/>
  <c r="U59" i="155"/>
  <c r="U124" i="155" s="1"/>
  <c r="BM618" i="153"/>
  <c r="V129" i="104"/>
  <c r="V129" i="103"/>
  <c r="I71" i="99"/>
  <c r="I72" i="99" s="1"/>
  <c r="I562" i="155"/>
  <c r="I631" i="155"/>
  <c r="I631" i="154"/>
  <c r="I562" i="154"/>
  <c r="D81" i="294"/>
  <c r="D67" i="294"/>
  <c r="I54" i="103"/>
  <c r="I61" i="103" s="1"/>
  <c r="I65" i="103" s="1"/>
  <c r="I66" i="103" s="1"/>
  <c r="I40" i="103"/>
  <c r="N27" i="105"/>
  <c r="N89" i="105" s="1"/>
  <c r="N36" i="105"/>
  <c r="N97" i="105" s="1"/>
  <c r="N526" i="154"/>
  <c r="P524" i="154"/>
  <c r="N526" i="155"/>
  <c r="P524" i="155"/>
  <c r="P524" i="153"/>
  <c r="N526" i="153"/>
  <c r="P515" i="155"/>
  <c r="N517" i="155"/>
  <c r="N517" i="154"/>
  <c r="P515" i="154"/>
  <c r="N517" i="153"/>
  <c r="P515" i="153"/>
  <c r="L587" i="99"/>
  <c r="L589" i="99"/>
  <c r="K588" i="99"/>
  <c r="L585" i="99"/>
  <c r="R526" i="99"/>
  <c r="R529" i="99" s="1"/>
  <c r="R588" i="99"/>
  <c r="S526" i="99"/>
  <c r="S529" i="99" s="1"/>
  <c r="S588" i="99"/>
  <c r="R527" i="99"/>
  <c r="J590" i="99"/>
  <c r="J591" i="99" s="1"/>
  <c r="T588" i="99"/>
  <c r="T526" i="99"/>
  <c r="L586" i="99"/>
  <c r="BB618" i="153"/>
  <c r="BE618" i="155"/>
  <c r="BD618" i="153"/>
  <c r="BD618" i="155"/>
  <c r="BF618" i="154"/>
  <c r="BG618" i="155"/>
  <c r="BH618" i="155"/>
  <c r="BL618" i="155"/>
  <c r="BK618" i="154"/>
  <c r="BI618" i="154"/>
  <c r="BH618" i="154"/>
  <c r="BD618" i="154"/>
  <c r="BK618" i="153"/>
  <c r="BL618" i="153"/>
  <c r="BE618" i="154"/>
  <c r="BJ618" i="154"/>
  <c r="BC618" i="153"/>
  <c r="BF618" i="155"/>
  <c r="BJ618" i="153"/>
  <c r="BC618" i="155"/>
  <c r="BG618" i="154"/>
  <c r="BL618" i="154"/>
  <c r="BC618" i="154"/>
  <c r="BH618" i="153"/>
  <c r="BE618" i="153"/>
  <c r="BI618" i="153"/>
  <c r="BK618" i="155"/>
  <c r="BI618" i="155"/>
  <c r="BF618" i="153"/>
  <c r="BJ618" i="155"/>
  <c r="BG618" i="153"/>
  <c r="AN597" i="155"/>
  <c r="AN535" i="155"/>
  <c r="AN599" i="155" s="1"/>
  <c r="AM597" i="155"/>
  <c r="AM535" i="155"/>
  <c r="AM599" i="155" s="1"/>
  <c r="AL597" i="155"/>
  <c r="AL535" i="155"/>
  <c r="AL599" i="155" s="1"/>
  <c r="AK597" i="155"/>
  <c r="AK535" i="155"/>
  <c r="AK599" i="155" s="1"/>
  <c r="AJ535" i="155"/>
  <c r="AJ599" i="155" s="1"/>
  <c r="AJ597" i="155"/>
  <c r="AI597" i="155"/>
  <c r="AI535" i="155"/>
  <c r="AI599" i="155" s="1"/>
  <c r="AH597" i="155"/>
  <c r="AH535" i="155"/>
  <c r="AH599" i="155" s="1"/>
  <c r="AG597" i="155"/>
  <c r="AG535" i="155"/>
  <c r="AG599" i="155" s="1"/>
  <c r="AF535" i="155"/>
  <c r="AF599" i="155" s="1"/>
  <c r="AF597" i="155"/>
  <c r="AE597" i="155"/>
  <c r="AE535" i="155"/>
  <c r="AE599" i="155" s="1"/>
  <c r="AR533" i="155"/>
  <c r="AS533" i="155"/>
  <c r="AT533" i="155"/>
  <c r="AU533" i="155"/>
  <c r="AV533" i="155"/>
  <c r="AW533" i="155"/>
  <c r="AX533" i="155"/>
  <c r="AY533" i="155"/>
  <c r="AZ533" i="155"/>
  <c r="BA533" i="155"/>
  <c r="L597" i="155"/>
  <c r="AP533" i="155"/>
  <c r="M533" i="155" a="1"/>
  <c r="M533" i="155" s="1"/>
  <c r="L535" i="155"/>
  <c r="L599" i="155" s="1"/>
  <c r="AQ533" i="155"/>
  <c r="AD597" i="155"/>
  <c r="AD535" i="155"/>
  <c r="AD599" i="155" s="1"/>
  <c r="AO597" i="155"/>
  <c r="AO535" i="155"/>
  <c r="AO599" i="155" s="1"/>
  <c r="AO579" i="153"/>
  <c r="E127" i="34"/>
  <c r="J163" i="104" a="1"/>
  <c r="J163" i="104" s="1"/>
  <c r="K163" i="104" s="1"/>
  <c r="AL579" i="153"/>
  <c r="AE445" i="154"/>
  <c r="AE68" i="154" s="1"/>
  <c r="AE133" i="154" s="1"/>
  <c r="AF445" i="155"/>
  <c r="AF68" i="155" s="1"/>
  <c r="AF133" i="155" s="1"/>
  <c r="AO445" i="153"/>
  <c r="AO68" i="153" s="1"/>
  <c r="AO133" i="153" s="1"/>
  <c r="AM445" i="155"/>
  <c r="AM68" i="155" s="1"/>
  <c r="AM133" i="155" s="1"/>
  <c r="AK445" i="154"/>
  <c r="AK68" i="154" s="1"/>
  <c r="AK133" i="154" s="1"/>
  <c r="AL445" i="155"/>
  <c r="AL68" i="155" s="1"/>
  <c r="AL133" i="155" s="1"/>
  <c r="AD597" i="153"/>
  <c r="AD535" i="153"/>
  <c r="AD599" i="153" s="1"/>
  <c r="AP444" i="155"/>
  <c r="AP440" i="155"/>
  <c r="AP443" i="155"/>
  <c r="AP442" i="155"/>
  <c r="AP439" i="155"/>
  <c r="AP441" i="155"/>
  <c r="AQ442" i="153"/>
  <c r="AQ439" i="153"/>
  <c r="AQ440" i="153"/>
  <c r="AQ443" i="153"/>
  <c r="AQ441" i="153"/>
  <c r="AQ444" i="153"/>
  <c r="L597" i="153"/>
  <c r="AP533" i="153"/>
  <c r="AQ533" i="153"/>
  <c r="AR533" i="153"/>
  <c r="AS533" i="153"/>
  <c r="AT533" i="153"/>
  <c r="AU533" i="153"/>
  <c r="AW533" i="153"/>
  <c r="AX533" i="153"/>
  <c r="AY533" i="153"/>
  <c r="BA533" i="153"/>
  <c r="AZ533" i="153"/>
  <c r="L535" i="153"/>
  <c r="L599" i="153" s="1"/>
  <c r="AV533" i="153"/>
  <c r="M533" i="153" a="1"/>
  <c r="M533" i="153" s="1"/>
  <c r="AW441" i="155"/>
  <c r="AW442" i="155"/>
  <c r="AW443" i="155"/>
  <c r="AW439" i="155"/>
  <c r="AW440" i="155"/>
  <c r="AW444" i="155"/>
  <c r="AP441" i="153"/>
  <c r="AP440" i="153"/>
  <c r="AP444" i="153"/>
  <c r="AP439" i="153"/>
  <c r="AP443" i="153"/>
  <c r="AP442" i="153"/>
  <c r="AN445" i="153"/>
  <c r="AN68" i="153" s="1"/>
  <c r="AN133" i="153" s="1"/>
  <c r="BA444" i="155"/>
  <c r="BA440" i="155"/>
  <c r="BA442" i="155"/>
  <c r="BA443" i="155"/>
  <c r="BA439" i="155"/>
  <c r="BA441" i="155"/>
  <c r="BA439" i="153"/>
  <c r="BA443" i="153"/>
  <c r="BA440" i="153"/>
  <c r="BA441" i="153"/>
  <c r="BA442" i="153"/>
  <c r="BA444" i="153"/>
  <c r="AF445" i="154"/>
  <c r="AF68" i="154" s="1"/>
  <c r="AF133" i="154" s="1"/>
  <c r="AN445" i="154"/>
  <c r="AN68" i="154" s="1"/>
  <c r="AN133" i="154" s="1"/>
  <c r="AO535" i="154"/>
  <c r="AO599" i="154" s="1"/>
  <c r="AO597" i="154"/>
  <c r="AZ439" i="155"/>
  <c r="AZ442" i="155"/>
  <c r="AZ441" i="155"/>
  <c r="AZ444" i="155"/>
  <c r="AZ440" i="155"/>
  <c r="AZ443" i="155"/>
  <c r="AJ445" i="155"/>
  <c r="AJ68" i="155" s="1"/>
  <c r="AJ133" i="155" s="1"/>
  <c r="AK445" i="153"/>
  <c r="AK68" i="153" s="1"/>
  <c r="AK133" i="153" s="1"/>
  <c r="AJ445" i="154"/>
  <c r="AJ68" i="154" s="1"/>
  <c r="AJ133" i="154" s="1"/>
  <c r="AD445" i="153"/>
  <c r="AD68" i="153" s="1"/>
  <c r="BA439" i="154"/>
  <c r="BA442" i="154"/>
  <c r="BA444" i="154"/>
  <c r="BA440" i="154"/>
  <c r="BA443" i="154"/>
  <c r="BA441" i="154"/>
  <c r="AN535" i="154"/>
  <c r="AN599" i="154" s="1"/>
  <c r="AN597" i="154"/>
  <c r="AO597" i="153"/>
  <c r="AO535" i="153"/>
  <c r="AO599" i="153" s="1"/>
  <c r="AY439" i="155"/>
  <c r="AY441" i="155"/>
  <c r="AY442" i="155"/>
  <c r="AY444" i="155"/>
  <c r="AY440" i="155"/>
  <c r="AY443" i="155"/>
  <c r="AZ440" i="153"/>
  <c r="AZ443" i="153"/>
  <c r="AZ439" i="153"/>
  <c r="AZ442" i="153"/>
  <c r="AZ441" i="153"/>
  <c r="AZ444" i="153"/>
  <c r="AN445" i="155"/>
  <c r="AN68" i="155" s="1"/>
  <c r="AN133" i="155" s="1"/>
  <c r="AZ439" i="154"/>
  <c r="AZ442" i="154"/>
  <c r="AZ444" i="154"/>
  <c r="AZ443" i="154"/>
  <c r="AZ441" i="154"/>
  <c r="AZ440" i="154"/>
  <c r="AM535" i="154"/>
  <c r="AM599" i="154" s="1"/>
  <c r="AM597" i="154"/>
  <c r="AN535" i="153"/>
  <c r="AN599" i="153" s="1"/>
  <c r="AN597" i="153"/>
  <c r="AX444" i="155"/>
  <c r="AX441" i="155"/>
  <c r="AX443" i="155"/>
  <c r="AX440" i="155"/>
  <c r="AX439" i="155"/>
  <c r="AX442" i="155"/>
  <c r="AD445" i="154"/>
  <c r="AD68" i="154" s="1"/>
  <c r="AU442" i="153"/>
  <c r="AU444" i="153"/>
  <c r="AU440" i="153"/>
  <c r="AU443" i="153"/>
  <c r="AU441" i="153"/>
  <c r="AU439" i="153"/>
  <c r="AY441" i="154"/>
  <c r="AY440" i="154"/>
  <c r="AY442" i="154"/>
  <c r="AY444" i="154"/>
  <c r="AY439" i="154"/>
  <c r="AY443" i="154"/>
  <c r="AL597" i="154"/>
  <c r="AL535" i="154"/>
  <c r="AL599" i="154" s="1"/>
  <c r="AL535" i="153"/>
  <c r="AL599" i="153" s="1"/>
  <c r="AL597" i="153"/>
  <c r="AS441" i="155"/>
  <c r="AS439" i="155"/>
  <c r="AS443" i="155"/>
  <c r="AS444" i="155"/>
  <c r="AS442" i="155"/>
  <c r="AS440" i="155"/>
  <c r="AT442" i="153"/>
  <c r="AT439" i="153"/>
  <c r="AT443" i="153"/>
  <c r="AT444" i="153"/>
  <c r="AT441" i="153"/>
  <c r="AT440" i="153"/>
  <c r="AG445" i="154"/>
  <c r="AG68" i="154" s="1"/>
  <c r="AG133" i="154" s="1"/>
  <c r="AO445" i="154"/>
  <c r="AO68" i="154" s="1"/>
  <c r="AO133" i="154" s="1"/>
  <c r="AX439" i="154"/>
  <c r="AX440" i="154"/>
  <c r="AX442" i="154"/>
  <c r="AX443" i="154"/>
  <c r="AX444" i="154"/>
  <c r="AX441" i="154"/>
  <c r="AK597" i="154"/>
  <c r="AK535" i="154"/>
  <c r="AK599" i="154" s="1"/>
  <c r="AI445" i="155"/>
  <c r="AI68" i="155" s="1"/>
  <c r="AI133" i="155" s="1"/>
  <c r="AM597" i="153"/>
  <c r="AM535" i="153"/>
  <c r="AM599" i="153" s="1"/>
  <c r="AR440" i="155"/>
  <c r="AR443" i="155"/>
  <c r="AR441" i="155"/>
  <c r="AR439" i="155"/>
  <c r="AR444" i="155"/>
  <c r="AR442" i="155"/>
  <c r="AU443" i="154"/>
  <c r="AU441" i="154"/>
  <c r="AU442" i="154"/>
  <c r="AU439" i="154"/>
  <c r="AU440" i="154"/>
  <c r="AU444" i="154"/>
  <c r="AJ597" i="154"/>
  <c r="AJ535" i="154"/>
  <c r="AJ599" i="154" s="1"/>
  <c r="AK597" i="153"/>
  <c r="AK535" i="153"/>
  <c r="AK599" i="153" s="1"/>
  <c r="AH445" i="154"/>
  <c r="AH68" i="154" s="1"/>
  <c r="AH133" i="154" s="1"/>
  <c r="AI597" i="154"/>
  <c r="AI535" i="154"/>
  <c r="AI599" i="154" s="1"/>
  <c r="AF445" i="153"/>
  <c r="AF68" i="153" s="1"/>
  <c r="AF133" i="153" s="1"/>
  <c r="AI597" i="153"/>
  <c r="AI535" i="153"/>
  <c r="AI599" i="153" s="1"/>
  <c r="AT440" i="154"/>
  <c r="AT441" i="154"/>
  <c r="AT442" i="154"/>
  <c r="AT439" i="154"/>
  <c r="AT443" i="154"/>
  <c r="AT444" i="154"/>
  <c r="AH535" i="154"/>
  <c r="AH599" i="154" s="1"/>
  <c r="AH597" i="154"/>
  <c r="AJ535" i="153"/>
  <c r="AJ599" i="153" s="1"/>
  <c r="AJ597" i="153"/>
  <c r="AG445" i="153"/>
  <c r="AG68" i="153" s="1"/>
  <c r="AG133" i="153" s="1"/>
  <c r="AE445" i="155"/>
  <c r="AE68" i="155" s="1"/>
  <c r="AE133" i="155" s="1"/>
  <c r="BK558" i="154"/>
  <c r="BK622" i="154" s="1"/>
  <c r="BM558" i="154"/>
  <c r="BM622" i="154" s="1"/>
  <c r="BB558" i="154"/>
  <c r="BB622" i="154" s="1"/>
  <c r="BC558" i="154"/>
  <c r="BC622" i="154" s="1"/>
  <c r="BD558" i="154"/>
  <c r="BD622" i="154" s="1"/>
  <c r="BE558" i="154"/>
  <c r="BE622" i="154" s="1"/>
  <c r="BF558" i="154"/>
  <c r="BF622" i="154" s="1"/>
  <c r="BG558" i="154"/>
  <c r="BG622" i="154" s="1"/>
  <c r="BH558" i="154"/>
  <c r="BH622" i="154" s="1"/>
  <c r="BI558" i="154"/>
  <c r="BI622" i="154" s="1"/>
  <c r="N558" i="154"/>
  <c r="BJ558" i="154"/>
  <c r="BJ622" i="154" s="1"/>
  <c r="M622" i="154"/>
  <c r="BL558" i="154"/>
  <c r="BL622" i="154" s="1"/>
  <c r="AG535" i="154"/>
  <c r="AG599" i="154" s="1"/>
  <c r="AG597" i="154"/>
  <c r="AH445" i="155"/>
  <c r="AH68" i="155" s="1"/>
  <c r="AH133" i="155" s="1"/>
  <c r="AS444" i="154"/>
  <c r="AS442" i="154"/>
  <c r="AS440" i="154"/>
  <c r="AS443" i="154"/>
  <c r="AS439" i="154"/>
  <c r="AS441" i="154"/>
  <c r="AE597" i="154"/>
  <c r="AE535" i="154"/>
  <c r="AE599" i="154" s="1"/>
  <c r="AH445" i="153"/>
  <c r="AH68" i="153" s="1"/>
  <c r="AH133" i="153" s="1"/>
  <c r="AJ445" i="153"/>
  <c r="AJ68" i="153" s="1"/>
  <c r="AJ133" i="153" s="1"/>
  <c r="AR442" i="154"/>
  <c r="AR440" i="154"/>
  <c r="AR444" i="154"/>
  <c r="AR443" i="154"/>
  <c r="AR441" i="154"/>
  <c r="AR439" i="154"/>
  <c r="AF597" i="154"/>
  <c r="AF535" i="154"/>
  <c r="AF599" i="154" s="1"/>
  <c r="AL445" i="154"/>
  <c r="AL68" i="154" s="1"/>
  <c r="AL133" i="154" s="1"/>
  <c r="AI445" i="153"/>
  <c r="AI68" i="153" s="1"/>
  <c r="AI133" i="153" s="1"/>
  <c r="AK445" i="155"/>
  <c r="AK68" i="155" s="1"/>
  <c r="AK133" i="155" s="1"/>
  <c r="AY441" i="153"/>
  <c r="AY439" i="153"/>
  <c r="AY443" i="153"/>
  <c r="AY440" i="153"/>
  <c r="AY442" i="153"/>
  <c r="AY444" i="153"/>
  <c r="AQ444" i="154"/>
  <c r="AQ441" i="154"/>
  <c r="AQ443" i="154"/>
  <c r="AQ439" i="154"/>
  <c r="AQ442" i="154"/>
  <c r="AQ440" i="154"/>
  <c r="AD597" i="154"/>
  <c r="AD535" i="154"/>
  <c r="AD599" i="154" s="1"/>
  <c r="AE445" i="153"/>
  <c r="AE68" i="153" s="1"/>
  <c r="AE133" i="153" s="1"/>
  <c r="BB558" i="155"/>
  <c r="BB622" i="155" s="1"/>
  <c r="BC558" i="155"/>
  <c r="BC622" i="155" s="1"/>
  <c r="BE558" i="155"/>
  <c r="BE622" i="155" s="1"/>
  <c r="BF558" i="155"/>
  <c r="BF622" i="155" s="1"/>
  <c r="BG558" i="155"/>
  <c r="BG622" i="155" s="1"/>
  <c r="BK558" i="155"/>
  <c r="BK622" i="155" s="1"/>
  <c r="BL558" i="155"/>
  <c r="BL622" i="155" s="1"/>
  <c r="M622" i="155"/>
  <c r="BM558" i="155"/>
  <c r="BM622" i="155" s="1"/>
  <c r="N558" i="155"/>
  <c r="BD558" i="155"/>
  <c r="BD622" i="155" s="1"/>
  <c r="BH558" i="155"/>
  <c r="BH622" i="155" s="1"/>
  <c r="BI558" i="155"/>
  <c r="BI622" i="155" s="1"/>
  <c r="BJ558" i="155"/>
  <c r="BJ622" i="155" s="1"/>
  <c r="AX439" i="153"/>
  <c r="AX442" i="153"/>
  <c r="AX441" i="153"/>
  <c r="AX443" i="153"/>
  <c r="AX440" i="153"/>
  <c r="AX444" i="153"/>
  <c r="AL445" i="153"/>
  <c r="AL68" i="153" s="1"/>
  <c r="AL133" i="153" s="1"/>
  <c r="AP441" i="154"/>
  <c r="AP444" i="154"/>
  <c r="AP442" i="154"/>
  <c r="AP443" i="154"/>
  <c r="AP439" i="154"/>
  <c r="AP440" i="154"/>
  <c r="AV442" i="155"/>
  <c r="AV441" i="155"/>
  <c r="AV439" i="155"/>
  <c r="AV444" i="155"/>
  <c r="AV440" i="155"/>
  <c r="AV443" i="155"/>
  <c r="AW441" i="153"/>
  <c r="AW439" i="153"/>
  <c r="AW440" i="153"/>
  <c r="AW444" i="153"/>
  <c r="AW442" i="153"/>
  <c r="AW443" i="153"/>
  <c r="AM445" i="153"/>
  <c r="AM68" i="153" s="1"/>
  <c r="AM133" i="153" s="1"/>
  <c r="AO445" i="155"/>
  <c r="AO68" i="155" s="1"/>
  <c r="AO133" i="155" s="1"/>
  <c r="AW444" i="154"/>
  <c r="AW440" i="154"/>
  <c r="AW443" i="154"/>
  <c r="AW439" i="154"/>
  <c r="AW442" i="154"/>
  <c r="AW441" i="154"/>
  <c r="AH597" i="153"/>
  <c r="AH535" i="153"/>
  <c r="AH599" i="153" s="1"/>
  <c r="AV441" i="153"/>
  <c r="AV443" i="153"/>
  <c r="AV444" i="153"/>
  <c r="AV439" i="153"/>
  <c r="AV440" i="153"/>
  <c r="AV442" i="153"/>
  <c r="AV439" i="154"/>
  <c r="AV444" i="154"/>
  <c r="AV440" i="154"/>
  <c r="AV443" i="154"/>
  <c r="AV442" i="154"/>
  <c r="AV441" i="154"/>
  <c r="BA533" i="154"/>
  <c r="L535" i="154"/>
  <c r="L599" i="154" s="1"/>
  <c r="L597" i="154"/>
  <c r="AT533" i="154"/>
  <c r="M533" i="154" a="1"/>
  <c r="M533" i="154" s="1"/>
  <c r="AP533" i="154"/>
  <c r="AS533" i="154"/>
  <c r="AQ533" i="154"/>
  <c r="AR533" i="154"/>
  <c r="AU533" i="154"/>
  <c r="AW533" i="154"/>
  <c r="AX533" i="154"/>
  <c r="AY533" i="154"/>
  <c r="AZ533" i="154"/>
  <c r="AV533" i="154"/>
  <c r="AG535" i="153"/>
  <c r="AG599" i="153" s="1"/>
  <c r="AG597" i="153"/>
  <c r="AU439" i="155"/>
  <c r="AU444" i="155"/>
  <c r="AU440" i="155"/>
  <c r="AU441" i="155"/>
  <c r="AU442" i="155"/>
  <c r="AU443" i="155"/>
  <c r="AM445" i="154"/>
  <c r="AM68" i="154" s="1"/>
  <c r="AM133" i="154" s="1"/>
  <c r="AS441" i="153"/>
  <c r="AS443" i="153"/>
  <c r="AS444" i="153"/>
  <c r="AS439" i="153"/>
  <c r="AS440" i="153"/>
  <c r="AS442" i="153"/>
  <c r="AF535" i="153"/>
  <c r="AF599" i="153" s="1"/>
  <c r="AF597" i="153"/>
  <c r="AT442" i="155"/>
  <c r="AT440" i="155"/>
  <c r="AT441" i="155"/>
  <c r="AT439" i="155"/>
  <c r="AT443" i="155"/>
  <c r="AT444" i="155"/>
  <c r="AD445" i="155"/>
  <c r="AD68" i="155" s="1"/>
  <c r="AR439" i="153"/>
  <c r="AR443" i="153"/>
  <c r="AR442" i="153"/>
  <c r="AR444" i="153"/>
  <c r="AR441" i="153"/>
  <c r="AR440" i="153"/>
  <c r="AG445" i="155"/>
  <c r="AG68" i="155" s="1"/>
  <c r="AG133" i="155" s="1"/>
  <c r="AE597" i="153"/>
  <c r="AE535" i="153"/>
  <c r="AE599" i="153" s="1"/>
  <c r="AQ441" i="155"/>
  <c r="AQ439" i="155"/>
  <c r="AQ444" i="155"/>
  <c r="AQ443" i="155"/>
  <c r="AQ440" i="155"/>
  <c r="AQ442" i="155"/>
  <c r="BB558" i="153"/>
  <c r="BB622" i="153" s="1"/>
  <c r="BD558" i="153"/>
  <c r="BD622" i="153" s="1"/>
  <c r="BE558" i="153"/>
  <c r="BE622" i="153" s="1"/>
  <c r="BG558" i="153"/>
  <c r="BG622" i="153" s="1"/>
  <c r="BH558" i="153"/>
  <c r="BH622" i="153" s="1"/>
  <c r="BF558" i="153"/>
  <c r="BF622" i="153" s="1"/>
  <c r="N558" i="153"/>
  <c r="BI558" i="153"/>
  <c r="BI622" i="153" s="1"/>
  <c r="BJ558" i="153"/>
  <c r="BJ622" i="153" s="1"/>
  <c r="BK558" i="153"/>
  <c r="BK622" i="153" s="1"/>
  <c r="BL558" i="153"/>
  <c r="BL622" i="153" s="1"/>
  <c r="BM558" i="153"/>
  <c r="BM622" i="153" s="1"/>
  <c r="BC558" i="153"/>
  <c r="BC622" i="153" s="1"/>
  <c r="M622" i="153"/>
  <c r="AI445" i="154"/>
  <c r="AI68" i="154" s="1"/>
  <c r="AI133" i="154" s="1"/>
  <c r="AI517" i="155"/>
  <c r="AI581" i="155" s="1"/>
  <c r="AC581" i="155"/>
  <c r="AC582" i="155" s="1"/>
  <c r="AC529" i="155"/>
  <c r="AC530" i="155" s="1"/>
  <c r="AC527" i="99"/>
  <c r="U518" i="155"/>
  <c r="U581" i="155"/>
  <c r="U582" i="155" s="1"/>
  <c r="U518" i="153"/>
  <c r="M618" i="153"/>
  <c r="U581" i="153"/>
  <c r="U223" i="153" s="1"/>
  <c r="AM517" i="153"/>
  <c r="AM581" i="153" s="1"/>
  <c r="BB233" i="154"/>
  <c r="BC233" i="154"/>
  <c r="BE232" i="155"/>
  <c r="AK579" i="155"/>
  <c r="AO579" i="154"/>
  <c r="AM517" i="154"/>
  <c r="AM529" i="154" s="1"/>
  <c r="V518" i="153"/>
  <c r="V581" i="153"/>
  <c r="V582" i="153" s="1"/>
  <c r="BI233" i="154"/>
  <c r="Y518" i="155"/>
  <c r="AN579" i="155"/>
  <c r="BM233" i="154"/>
  <c r="BL233" i="154"/>
  <c r="BE233" i="154"/>
  <c r="Y581" i="155"/>
  <c r="Y223" i="155" s="1"/>
  <c r="BD233" i="154"/>
  <c r="AW230" i="155"/>
  <c r="AI579" i="153"/>
  <c r="AK579" i="154"/>
  <c r="AJ517" i="154"/>
  <c r="AJ518" i="154" s="1"/>
  <c r="AJ517" i="153"/>
  <c r="AJ529" i="153" s="1"/>
  <c r="BH233" i="154"/>
  <c r="BL232" i="155"/>
  <c r="BS64" i="155"/>
  <c r="BS129" i="155" s="1"/>
  <c r="BS64" i="154"/>
  <c r="BS129" i="154" s="1"/>
  <c r="BY64" i="155"/>
  <c r="BY129" i="155" s="1"/>
  <c r="BT64" i="155"/>
  <c r="BT129" i="155" s="1"/>
  <c r="BO64" i="154"/>
  <c r="BO129" i="154" s="1"/>
  <c r="BW64" i="154"/>
  <c r="BW129" i="154" s="1"/>
  <c r="BB618" i="154"/>
  <c r="M618" i="154"/>
  <c r="BP64" i="155"/>
  <c r="BP129" i="155" s="1"/>
  <c r="BQ64" i="154"/>
  <c r="BQ129" i="154" s="1"/>
  <c r="BQ64" i="155"/>
  <c r="BQ129" i="155" s="1"/>
  <c r="BP64" i="153"/>
  <c r="BP129" i="153" s="1"/>
  <c r="BU64" i="155"/>
  <c r="BU129" i="155" s="1"/>
  <c r="BW64" i="155"/>
  <c r="BW129" i="155" s="1"/>
  <c r="BO64" i="155"/>
  <c r="BO129" i="155" s="1"/>
  <c r="BB618" i="155"/>
  <c r="M618" i="155"/>
  <c r="BX64" i="155"/>
  <c r="BX129" i="155" s="1"/>
  <c r="BV64" i="155"/>
  <c r="BV129" i="155" s="1"/>
  <c r="BX64" i="153"/>
  <c r="BX129" i="153" s="1"/>
  <c r="AP515" i="155"/>
  <c r="AP579" i="155" s="1"/>
  <c r="BN64" i="155"/>
  <c r="BX64" i="154"/>
  <c r="BX129" i="154" s="1"/>
  <c r="BV64" i="153"/>
  <c r="BV129" i="153" s="1"/>
  <c r="BV64" i="154"/>
  <c r="BV129" i="154" s="1"/>
  <c r="BM232" i="155"/>
  <c r="BU64" i="154"/>
  <c r="BU129" i="154" s="1"/>
  <c r="BR64" i="153"/>
  <c r="BR129" i="153" s="1"/>
  <c r="AX229" i="154"/>
  <c r="AU515" i="155"/>
  <c r="AU517" i="155" s="1"/>
  <c r="BR64" i="155"/>
  <c r="BR129" i="155" s="1"/>
  <c r="W129" i="103"/>
  <c r="W129" i="104"/>
  <c r="BY64" i="153"/>
  <c r="BY129" i="153" s="1"/>
  <c r="BN64" i="153"/>
  <c r="BO64" i="153"/>
  <c r="BO129" i="153" s="1"/>
  <c r="BL234" i="153"/>
  <c r="BT64" i="154"/>
  <c r="BT129" i="154" s="1"/>
  <c r="BT64" i="153"/>
  <c r="BT129" i="153" s="1"/>
  <c r="BK232" i="155"/>
  <c r="BN64" i="154"/>
  <c r="BQ64" i="153"/>
  <c r="BQ129" i="153" s="1"/>
  <c r="BR64" i="154"/>
  <c r="BR129" i="154" s="1"/>
  <c r="BS64" i="153"/>
  <c r="BS129" i="153" s="1"/>
  <c r="S129" i="103"/>
  <c r="S129" i="104"/>
  <c r="BP64" i="154"/>
  <c r="BP129" i="154" s="1"/>
  <c r="BW64" i="153"/>
  <c r="BW129" i="153" s="1"/>
  <c r="BY64" i="154"/>
  <c r="BY129" i="154" s="1"/>
  <c r="BU64" i="153"/>
  <c r="BU129" i="153" s="1"/>
  <c r="R129" i="104"/>
  <c r="R129" i="103"/>
  <c r="BF233" i="154"/>
  <c r="AQ228" i="153"/>
  <c r="BG232" i="155"/>
  <c r="BE234" i="153"/>
  <c r="BF232" i="155"/>
  <c r="AV229" i="154"/>
  <c r="BK233" i="154"/>
  <c r="AK517" i="153"/>
  <c r="AK529" i="153" s="1"/>
  <c r="BJ233" i="154"/>
  <c r="BG233" i="154"/>
  <c r="BI234" i="153"/>
  <c r="BH234" i="153"/>
  <c r="BI232" i="155"/>
  <c r="BF234" i="153"/>
  <c r="BB234" i="153"/>
  <c r="BF512" i="153"/>
  <c r="BF576" i="153" s="1"/>
  <c r="AT352" i="153"/>
  <c r="AT44" i="153" s="1"/>
  <c r="AT109" i="153" s="1"/>
  <c r="AR230" i="155"/>
  <c r="AQ230" i="155"/>
  <c r="AY230" i="153"/>
  <c r="AZ230" i="153"/>
  <c r="AR515" i="155"/>
  <c r="AR517" i="155" s="1"/>
  <c r="AQ515" i="155"/>
  <c r="AQ579" i="155" s="1"/>
  <c r="AY229" i="155"/>
  <c r="AY228" i="154"/>
  <c r="AS408" i="155"/>
  <c r="AS58" i="155" s="1"/>
  <c r="AS123" i="155" s="1"/>
  <c r="AV230" i="153"/>
  <c r="BG234" i="153"/>
  <c r="BH232" i="155"/>
  <c r="AZ229" i="154"/>
  <c r="AF400" i="154"/>
  <c r="AF57" i="154" s="1"/>
  <c r="AS229" i="155"/>
  <c r="AS228" i="154"/>
  <c r="AU408" i="155"/>
  <c r="AU58" i="155" s="1"/>
  <c r="AU123" i="155" s="1"/>
  <c r="BA230" i="155"/>
  <c r="AZ230" i="155"/>
  <c r="BG512" i="153"/>
  <c r="BG576" i="153" s="1"/>
  <c r="BM232" i="153"/>
  <c r="AW372" i="153"/>
  <c r="AW49" i="153" s="1"/>
  <c r="AW114" i="153" s="1"/>
  <c r="AQ229" i="154"/>
  <c r="BC233" i="153"/>
  <c r="AI364" i="154"/>
  <c r="AI48" i="154" s="1"/>
  <c r="AQ388" i="153"/>
  <c r="AQ51" i="153" s="1"/>
  <c r="AQ116" i="153" s="1"/>
  <c r="AL364" i="154"/>
  <c r="AL48" i="154" s="1"/>
  <c r="AY388" i="155"/>
  <c r="AY51" i="155" s="1"/>
  <c r="AY116" i="155" s="1"/>
  <c r="AP228" i="153"/>
  <c r="BA230" i="153"/>
  <c r="AP228" i="155"/>
  <c r="AZ352" i="155"/>
  <c r="AZ44" i="155" s="1"/>
  <c r="AZ109" i="155" s="1"/>
  <c r="AX352" i="153"/>
  <c r="AX44" i="153" s="1"/>
  <c r="AX109" i="153" s="1"/>
  <c r="AP372" i="154"/>
  <c r="AP49" i="154" s="1"/>
  <c r="AT352" i="155"/>
  <c r="AT44" i="155" s="1"/>
  <c r="AT109" i="155" s="1"/>
  <c r="AR408" i="154"/>
  <c r="AR58" i="154" s="1"/>
  <c r="AR123" i="154" s="1"/>
  <c r="AU380" i="155"/>
  <c r="AU50" i="155" s="1"/>
  <c r="AU115" i="155" s="1"/>
  <c r="AX230" i="153"/>
  <c r="AL364" i="153"/>
  <c r="AL48" i="153" s="1"/>
  <c r="AV372" i="153"/>
  <c r="AV49" i="153" s="1"/>
  <c r="AV114" i="153" s="1"/>
  <c r="AX372" i="155"/>
  <c r="AX49" i="155" s="1"/>
  <c r="AX114" i="155" s="1"/>
  <c r="AS408" i="154"/>
  <c r="AS58" i="154" s="1"/>
  <c r="AS123" i="154" s="1"/>
  <c r="BJ232" i="155"/>
  <c r="AW230" i="153"/>
  <c r="AP388" i="155"/>
  <c r="AP51" i="155" s="1"/>
  <c r="AQ380" i="155"/>
  <c r="AQ50" i="155" s="1"/>
  <c r="AQ115" i="155" s="1"/>
  <c r="AU230" i="153"/>
  <c r="BC234" i="155"/>
  <c r="BA229" i="154"/>
  <c r="AZ372" i="155"/>
  <c r="AZ49" i="155" s="1"/>
  <c r="AZ114" i="155" s="1"/>
  <c r="AT230" i="153"/>
  <c r="BB234" i="155"/>
  <c r="BL512" i="155"/>
  <c r="BL576" i="155" s="1"/>
  <c r="AR230" i="153"/>
  <c r="BJ512" i="155"/>
  <c r="BJ576" i="155" s="1"/>
  <c r="AU229" i="155"/>
  <c r="BD232" i="155"/>
  <c r="BK233" i="153"/>
  <c r="AW229" i="154"/>
  <c r="AT229" i="155"/>
  <c r="AG364" i="155"/>
  <c r="AG48" i="155" s="1"/>
  <c r="BJ512" i="153"/>
  <c r="BJ576" i="153" s="1"/>
  <c r="AZ380" i="155"/>
  <c r="AZ50" i="155" s="1"/>
  <c r="AZ115" i="155" s="1"/>
  <c r="AS372" i="154"/>
  <c r="AS49" i="154" s="1"/>
  <c r="AS114" i="154" s="1"/>
  <c r="AU229" i="154"/>
  <c r="AR228" i="154"/>
  <c r="AX372" i="154"/>
  <c r="AX49" i="154" s="1"/>
  <c r="AX114" i="154" s="1"/>
  <c r="BI512" i="153"/>
  <c r="BI576" i="153" s="1"/>
  <c r="AT229" i="154"/>
  <c r="BH512" i="153"/>
  <c r="BH576" i="153" s="1"/>
  <c r="AF364" i="154"/>
  <c r="AF48" i="154" s="1"/>
  <c r="BE512" i="155"/>
  <c r="BE576" i="155" s="1"/>
  <c r="AS388" i="155"/>
  <c r="AS51" i="155" s="1"/>
  <c r="AS116" i="155" s="1"/>
  <c r="AL400" i="154"/>
  <c r="AL57" i="154" s="1"/>
  <c r="AU408" i="154"/>
  <c r="AU58" i="154" s="1"/>
  <c r="AU123" i="154" s="1"/>
  <c r="BE512" i="153"/>
  <c r="BE576" i="153" s="1"/>
  <c r="BD233" i="153"/>
  <c r="AT388" i="154"/>
  <c r="AT51" i="154" s="1"/>
  <c r="AT116" i="154" s="1"/>
  <c r="AX230" i="155"/>
  <c r="AP229" i="154"/>
  <c r="AU388" i="155"/>
  <c r="AU51" i="155" s="1"/>
  <c r="AU116" i="155" s="1"/>
  <c r="AP380" i="154"/>
  <c r="AP50" i="154" s="1"/>
  <c r="BJ232" i="153"/>
  <c r="AO364" i="154"/>
  <c r="AO48" i="154" s="1"/>
  <c r="AS228" i="153"/>
  <c r="BC512" i="153"/>
  <c r="BC576" i="153" s="1"/>
  <c r="AV230" i="155"/>
  <c r="AM364" i="155"/>
  <c r="AM48" i="155" s="1"/>
  <c r="AM364" i="154"/>
  <c r="AM48" i="154" s="1"/>
  <c r="BA380" i="153"/>
  <c r="BA50" i="153" s="1"/>
  <c r="BA115" i="153" s="1"/>
  <c r="AO400" i="153"/>
  <c r="AO57" i="153" s="1"/>
  <c r="AB593" i="153"/>
  <c r="AB594" i="153" s="1"/>
  <c r="AB530" i="153"/>
  <c r="AB544" i="153"/>
  <c r="S530" i="155"/>
  <c r="S593" i="155"/>
  <c r="S594" i="155" s="1"/>
  <c r="S544" i="155"/>
  <c r="AR606" i="153"/>
  <c r="AK400" i="153"/>
  <c r="AK57" i="153" s="1"/>
  <c r="AQ515" i="154"/>
  <c r="AQ576" i="154"/>
  <c r="BM384" i="154"/>
  <c r="BM387" i="154"/>
  <c r="BM382" i="154"/>
  <c r="BM386" i="154"/>
  <c r="BM385" i="154"/>
  <c r="BM383" i="154"/>
  <c r="AT408" i="154"/>
  <c r="AT58" i="154" s="1"/>
  <c r="AT123" i="154" s="1"/>
  <c r="AZ388" i="155"/>
  <c r="AZ51" i="155" s="1"/>
  <c r="AZ116" i="155" s="1"/>
  <c r="BH602" i="155"/>
  <c r="BH542" i="155"/>
  <c r="BD374" i="153"/>
  <c r="BD378" i="153"/>
  <c r="BD375" i="153"/>
  <c r="BD377" i="153"/>
  <c r="BD379" i="153"/>
  <c r="BD376" i="153"/>
  <c r="BE375" i="154"/>
  <c r="BE378" i="154"/>
  <c r="BE374" i="154"/>
  <c r="BE379" i="154"/>
  <c r="BE376" i="154"/>
  <c r="BE377" i="154"/>
  <c r="BI371" i="153"/>
  <c r="BI370" i="153"/>
  <c r="BI369" i="153"/>
  <c r="BI366" i="153"/>
  <c r="BI367" i="153"/>
  <c r="BI368" i="153"/>
  <c r="BK542" i="154"/>
  <c r="BK602" i="154"/>
  <c r="AT588" i="153"/>
  <c r="AT526" i="153"/>
  <c r="BJ233" i="153"/>
  <c r="AB593" i="154"/>
  <c r="AB594" i="154" s="1"/>
  <c r="AB530" i="154"/>
  <c r="AB544" i="154"/>
  <c r="U581" i="154"/>
  <c r="U518" i="154"/>
  <c r="AQ606" i="154"/>
  <c r="BF405" i="153"/>
  <c r="BF406" i="153"/>
  <c r="BF402" i="153"/>
  <c r="BF407" i="153"/>
  <c r="BF404" i="153"/>
  <c r="BF403" i="153"/>
  <c r="AI590" i="155"/>
  <c r="AQ527" i="155"/>
  <c r="AY588" i="154"/>
  <c r="AY526" i="154"/>
  <c r="BK549" i="153"/>
  <c r="BK613" i="153" s="1"/>
  <c r="BK611" i="153"/>
  <c r="BD234" i="155"/>
  <c r="BE371" i="154"/>
  <c r="BE367" i="154"/>
  <c r="BE368" i="154"/>
  <c r="BE366" i="154"/>
  <c r="BE369" i="154"/>
  <c r="BE370" i="154"/>
  <c r="AD400" i="153"/>
  <c r="AD57" i="153" s="1"/>
  <c r="BG346" i="155"/>
  <c r="BG350" i="155"/>
  <c r="BG348" i="155"/>
  <c r="BG347" i="155"/>
  <c r="BG349" i="155"/>
  <c r="BG351" i="155"/>
  <c r="BG371" i="155"/>
  <c r="BG366" i="155"/>
  <c r="BG370" i="155"/>
  <c r="BG369" i="155"/>
  <c r="BG368" i="155"/>
  <c r="BG367" i="155"/>
  <c r="BL611" i="155"/>
  <c r="BL549" i="155"/>
  <c r="BL613" i="155" s="1"/>
  <c r="AZ229" i="153"/>
  <c r="AH400" i="153"/>
  <c r="AH57" i="153" s="1"/>
  <c r="BH585" i="155"/>
  <c r="BH524" i="155"/>
  <c r="BB383" i="155"/>
  <c r="BB387" i="155"/>
  <c r="BB385" i="155"/>
  <c r="BB386" i="155"/>
  <c r="BB384" i="155"/>
  <c r="BB382" i="155"/>
  <c r="AX380" i="153"/>
  <c r="AX50" i="153" s="1"/>
  <c r="AX115" i="153" s="1"/>
  <c r="AQ408" i="155"/>
  <c r="AQ58" i="155" s="1"/>
  <c r="AQ123" i="155" s="1"/>
  <c r="AT372" i="155"/>
  <c r="AT49" i="155" s="1"/>
  <c r="AT114" i="155" s="1"/>
  <c r="BA229" i="155"/>
  <c r="BH232" i="154"/>
  <c r="Z591" i="154"/>
  <c r="Z224" i="154"/>
  <c r="AY363" i="155"/>
  <c r="AY361" i="155"/>
  <c r="AY360" i="155"/>
  <c r="AY362" i="155"/>
  <c r="AY359" i="155"/>
  <c r="AY358" i="155"/>
  <c r="BF349" i="154"/>
  <c r="BF348" i="154"/>
  <c r="BF346" i="154"/>
  <c r="BF347" i="154"/>
  <c r="BF351" i="154"/>
  <c r="BF350" i="154"/>
  <c r="AV396" i="153"/>
  <c r="AV394" i="153"/>
  <c r="AV399" i="153"/>
  <c r="AV398" i="153"/>
  <c r="AV395" i="153"/>
  <c r="AV397" i="153"/>
  <c r="AV228" i="155"/>
  <c r="AZ372" i="153"/>
  <c r="AZ49" i="153" s="1"/>
  <c r="AZ114" i="153" s="1"/>
  <c r="BL585" i="154"/>
  <c r="BL524" i="154"/>
  <c r="AN581" i="155"/>
  <c r="AN518" i="155"/>
  <c r="BJ407" i="154"/>
  <c r="BJ406" i="154"/>
  <c r="BJ404" i="154"/>
  <c r="BJ403" i="154"/>
  <c r="BJ405" i="154"/>
  <c r="BJ402" i="154"/>
  <c r="BA230" i="154"/>
  <c r="AY515" i="155"/>
  <c r="BA352" i="155"/>
  <c r="BA44" i="155" s="1"/>
  <c r="BA109" i="155" s="1"/>
  <c r="BF524" i="153"/>
  <c r="BF585" i="153"/>
  <c r="T582" i="153"/>
  <c r="T223" i="153"/>
  <c r="AQ397" i="154"/>
  <c r="AQ394" i="154"/>
  <c r="AQ399" i="154"/>
  <c r="AQ395" i="154"/>
  <c r="AQ398" i="154"/>
  <c r="AQ396" i="154"/>
  <c r="BG542" i="155"/>
  <c r="BG602" i="155"/>
  <c r="BC374" i="153"/>
  <c r="BC376" i="153"/>
  <c r="BC378" i="153"/>
  <c r="BC375" i="153"/>
  <c r="BC377" i="153"/>
  <c r="BC379" i="153"/>
  <c r="BD378" i="154"/>
  <c r="BD374" i="154"/>
  <c r="BD377" i="154"/>
  <c r="BD379" i="154"/>
  <c r="BD375" i="154"/>
  <c r="BD376" i="154"/>
  <c r="BI233" i="153"/>
  <c r="AW388" i="153"/>
  <c r="AW51" i="153" s="1"/>
  <c r="AW116" i="153" s="1"/>
  <c r="AZ408" i="154"/>
  <c r="AZ58" i="154" s="1"/>
  <c r="AZ123" i="154" s="1"/>
  <c r="BE402" i="153"/>
  <c r="BE403" i="153"/>
  <c r="BE404" i="153"/>
  <c r="BE405" i="153"/>
  <c r="BE406" i="153"/>
  <c r="BE407" i="153"/>
  <c r="BJ549" i="153"/>
  <c r="BJ613" i="153" s="1"/>
  <c r="BJ611" i="153"/>
  <c r="BD367" i="154"/>
  <c r="BD366" i="154"/>
  <c r="BD371" i="154"/>
  <c r="BD369" i="154"/>
  <c r="BD370" i="154"/>
  <c r="BD368" i="154"/>
  <c r="AZ352" i="153"/>
  <c r="AZ44" i="153" s="1"/>
  <c r="AZ109" i="153" s="1"/>
  <c r="AS380" i="153"/>
  <c r="AS50" i="153" s="1"/>
  <c r="AS115" i="153" s="1"/>
  <c r="BF347" i="155"/>
  <c r="BF350" i="155"/>
  <c r="BF349" i="155"/>
  <c r="BF348" i="155"/>
  <c r="BF346" i="155"/>
  <c r="BF351" i="155"/>
  <c r="BF366" i="155"/>
  <c r="BF370" i="155"/>
  <c r="BF369" i="155"/>
  <c r="BF368" i="155"/>
  <c r="BF371" i="155"/>
  <c r="BF367" i="155"/>
  <c r="AW388" i="154"/>
  <c r="AW51" i="154" s="1"/>
  <c r="AW116" i="154" s="1"/>
  <c r="BK611" i="155"/>
  <c r="BK549" i="155"/>
  <c r="BK613" i="155" s="1"/>
  <c r="AL400" i="155"/>
  <c r="AL57" i="155" s="1"/>
  <c r="BA388" i="153"/>
  <c r="BA51" i="153" s="1"/>
  <c r="BA116" i="153" s="1"/>
  <c r="AU380" i="154"/>
  <c r="AU50" i="154" s="1"/>
  <c r="AU115" i="154" s="1"/>
  <c r="AY229" i="153"/>
  <c r="BG524" i="155"/>
  <c r="BG585" i="155"/>
  <c r="AZ388" i="154"/>
  <c r="AZ51" i="154" s="1"/>
  <c r="AZ116" i="154" s="1"/>
  <c r="N605" i="155"/>
  <c r="P605" i="155" s="1"/>
  <c r="P541" i="155"/>
  <c r="BN541" i="155"/>
  <c r="BN605" i="155" s="1"/>
  <c r="BO541" i="155"/>
  <c r="BO605" i="155" s="1"/>
  <c r="BP541" i="155"/>
  <c r="BP605" i="155" s="1"/>
  <c r="BQ541" i="155"/>
  <c r="BQ605" i="155" s="1"/>
  <c r="BR541" i="155"/>
  <c r="BR605" i="155" s="1"/>
  <c r="BS541" i="155"/>
  <c r="BS605" i="155" s="1"/>
  <c r="BT541" i="155"/>
  <c r="BT605" i="155" s="1"/>
  <c r="BU541" i="155"/>
  <c r="BU605" i="155" s="1"/>
  <c r="BV541" i="155"/>
  <c r="BV605" i="155" s="1"/>
  <c r="BW541" i="155"/>
  <c r="BW605" i="155" s="1"/>
  <c r="BX541" i="155"/>
  <c r="BX605" i="155" s="1"/>
  <c r="BY541" i="155"/>
  <c r="BY605" i="155" s="1"/>
  <c r="AH400" i="155"/>
  <c r="AH57" i="155" s="1"/>
  <c r="U591" i="154"/>
  <c r="U224" i="154"/>
  <c r="AL579" i="155"/>
  <c r="AL517" i="155"/>
  <c r="AL529" i="155" s="1"/>
  <c r="AM590" i="155"/>
  <c r="AU527" i="155"/>
  <c r="AZ229" i="155"/>
  <c r="BG232" i="154"/>
  <c r="AZ380" i="154"/>
  <c r="AZ50" i="154" s="1"/>
  <c r="AZ115" i="154" s="1"/>
  <c r="BE349" i="154"/>
  <c r="BE351" i="154"/>
  <c r="BE348" i="154"/>
  <c r="BE346" i="154"/>
  <c r="BE347" i="154"/>
  <c r="BE350" i="154"/>
  <c r="AU228" i="155"/>
  <c r="AZ576" i="153"/>
  <c r="AZ515" i="153"/>
  <c r="BK585" i="154"/>
  <c r="BK524" i="154"/>
  <c r="AT388" i="155"/>
  <c r="AT51" i="155" s="1"/>
  <c r="AT116" i="155" s="1"/>
  <c r="BI406" i="154"/>
  <c r="BI404" i="154"/>
  <c r="BI402" i="154"/>
  <c r="BI403" i="154"/>
  <c r="BI407" i="154"/>
  <c r="BI405" i="154"/>
  <c r="AZ230" i="154"/>
  <c r="BM542" i="153"/>
  <c r="BM602" i="153"/>
  <c r="AP408" i="154"/>
  <c r="AP58" i="154" s="1"/>
  <c r="AP526" i="154"/>
  <c r="AP588" i="154"/>
  <c r="BE524" i="153"/>
  <c r="BE585" i="153"/>
  <c r="BA515" i="155"/>
  <c r="AX408" i="155"/>
  <c r="AX58" i="155" s="1"/>
  <c r="AX123" i="155" s="1"/>
  <c r="AL517" i="154"/>
  <c r="AL529" i="154" s="1"/>
  <c r="AL579" i="154"/>
  <c r="BI542" i="155"/>
  <c r="BI602" i="155"/>
  <c r="AZ395" i="155"/>
  <c r="AZ399" i="155"/>
  <c r="AZ396" i="155"/>
  <c r="AZ394" i="155"/>
  <c r="AZ397" i="155"/>
  <c r="AZ398" i="155"/>
  <c r="AS606" i="153"/>
  <c r="M577" i="153"/>
  <c r="BB513" i="153"/>
  <c r="BB577" i="153" s="1"/>
  <c r="BC513" i="153"/>
  <c r="BC577" i="153" s="1"/>
  <c r="BD513" i="153"/>
  <c r="BD577" i="153" s="1"/>
  <c r="BE513" i="153"/>
  <c r="BE577" i="153" s="1"/>
  <c r="BF513" i="153"/>
  <c r="BF577" i="153" s="1"/>
  <c r="BG513" i="153"/>
  <c r="BG577" i="153" s="1"/>
  <c r="BH513" i="153"/>
  <c r="BH577" i="153" s="1"/>
  <c r="BI513" i="153"/>
  <c r="BI577" i="153" s="1"/>
  <c r="BJ513" i="153"/>
  <c r="BJ577" i="153" s="1"/>
  <c r="BK513" i="153"/>
  <c r="BK577" i="153" s="1"/>
  <c r="BL513" i="153"/>
  <c r="BL577" i="153" s="1"/>
  <c r="BM513" i="153"/>
  <c r="BM577" i="153" s="1"/>
  <c r="AF579" i="155"/>
  <c r="AF517" i="155"/>
  <c r="AF529" i="155" s="1"/>
  <c r="AG364" i="153"/>
  <c r="AG48" i="153" s="1"/>
  <c r="BN509" i="153"/>
  <c r="BN573" i="153" s="1"/>
  <c r="BO509" i="153"/>
  <c r="BO573" i="153" s="1"/>
  <c r="BP509" i="153"/>
  <c r="BP573" i="153" s="1"/>
  <c r="BQ509" i="153"/>
  <c r="BQ573" i="153" s="1"/>
  <c r="BR509" i="153"/>
  <c r="BR573" i="153" s="1"/>
  <c r="BS509" i="153"/>
  <c r="BS573" i="153" s="1"/>
  <c r="BT509" i="153"/>
  <c r="BT573" i="153" s="1"/>
  <c r="BU509" i="153"/>
  <c r="BU573" i="153" s="1"/>
  <c r="BV509" i="153"/>
  <c r="BV573" i="153" s="1"/>
  <c r="BW509" i="153"/>
  <c r="BW573" i="153" s="1"/>
  <c r="BX509" i="153"/>
  <c r="BX573" i="153" s="1"/>
  <c r="BY509" i="153"/>
  <c r="BY573" i="153" s="1"/>
  <c r="BF602" i="155"/>
  <c r="BF542" i="155"/>
  <c r="BB374" i="153"/>
  <c r="BB375" i="153"/>
  <c r="BB378" i="153"/>
  <c r="BB376" i="153"/>
  <c r="BB377" i="153"/>
  <c r="BB379" i="153"/>
  <c r="AV361" i="153"/>
  <c r="AV362" i="153"/>
  <c r="AV360" i="153"/>
  <c r="AV363" i="153"/>
  <c r="AV358" i="153"/>
  <c r="AV359" i="153"/>
  <c r="AM527" i="153"/>
  <c r="AE590" i="153"/>
  <c r="AW408" i="154"/>
  <c r="AW58" i="154" s="1"/>
  <c r="AW123" i="154" s="1"/>
  <c r="BC378" i="154"/>
  <c r="BC374" i="154"/>
  <c r="BC379" i="154"/>
  <c r="BC376" i="154"/>
  <c r="BC375" i="154"/>
  <c r="BC377" i="154"/>
  <c r="BG370" i="153"/>
  <c r="BG371" i="153"/>
  <c r="BG367" i="153"/>
  <c r="BG368" i="153"/>
  <c r="BG369" i="153"/>
  <c r="BG366" i="153"/>
  <c r="AY380" i="155"/>
  <c r="AY50" i="155" s="1"/>
  <c r="AY115" i="155" s="1"/>
  <c r="AW606" i="153"/>
  <c r="BI602" i="154"/>
  <c r="BI542" i="154"/>
  <c r="BH233" i="153"/>
  <c r="AQ380" i="153"/>
  <c r="AQ50" i="153" s="1"/>
  <c r="AQ115" i="153" s="1"/>
  <c r="AB591" i="155"/>
  <c r="AB224" i="155"/>
  <c r="BD402" i="153"/>
  <c r="BD405" i="153"/>
  <c r="BD406" i="153"/>
  <c r="BD407" i="153"/>
  <c r="BD403" i="153"/>
  <c r="BD404" i="153"/>
  <c r="AW576" i="154"/>
  <c r="AW515" i="154"/>
  <c r="AK590" i="153"/>
  <c r="AS527" i="153"/>
  <c r="BI549" i="153"/>
  <c r="BI613" i="153" s="1"/>
  <c r="BI611" i="153"/>
  <c r="BC367" i="154"/>
  <c r="BC369" i="154"/>
  <c r="BC371" i="154"/>
  <c r="BC366" i="154"/>
  <c r="BC368" i="154"/>
  <c r="BC370" i="154"/>
  <c r="BE350" i="155"/>
  <c r="BE351" i="155"/>
  <c r="BE346" i="155"/>
  <c r="BE347" i="155"/>
  <c r="BE348" i="155"/>
  <c r="BE349" i="155"/>
  <c r="BE368" i="155"/>
  <c r="BE369" i="155"/>
  <c r="BE367" i="155"/>
  <c r="BE370" i="155"/>
  <c r="BE371" i="155"/>
  <c r="BE366" i="155"/>
  <c r="BA352" i="153"/>
  <c r="BA44" i="153" s="1"/>
  <c r="BA109" i="153" s="1"/>
  <c r="BA526" i="154"/>
  <c r="BA588" i="154"/>
  <c r="BA396" i="154"/>
  <c r="BA395" i="154"/>
  <c r="BA394" i="154"/>
  <c r="BA398" i="154"/>
  <c r="BA397" i="154"/>
  <c r="BA399" i="154"/>
  <c r="BJ611" i="155"/>
  <c r="BJ549" i="155"/>
  <c r="BJ613" i="155" s="1"/>
  <c r="AR372" i="154"/>
  <c r="AR49" i="154" s="1"/>
  <c r="AR114" i="154" s="1"/>
  <c r="AX229" i="153"/>
  <c r="BF524" i="155"/>
  <c r="BF585" i="155"/>
  <c r="AZ588" i="153"/>
  <c r="AZ526" i="153"/>
  <c r="AU360" i="155"/>
  <c r="AU362" i="155"/>
  <c r="AU358" i="155"/>
  <c r="AU363" i="155"/>
  <c r="AU361" i="155"/>
  <c r="AU359" i="155"/>
  <c r="AV362" i="155"/>
  <c r="AV359" i="155"/>
  <c r="AV363" i="155"/>
  <c r="AV361" i="155"/>
  <c r="AV358" i="155"/>
  <c r="AV360" i="155"/>
  <c r="AS372" i="155"/>
  <c r="AS49" i="155" s="1"/>
  <c r="AS114" i="155" s="1"/>
  <c r="AH364" i="153"/>
  <c r="AH48" i="153" s="1"/>
  <c r="AV606" i="154"/>
  <c r="AU396" i="153"/>
  <c r="AU394" i="153"/>
  <c r="AU395" i="153"/>
  <c r="AU399" i="153"/>
  <c r="AU398" i="153"/>
  <c r="AU397" i="153"/>
  <c r="AU372" i="155"/>
  <c r="AU49" i="155" s="1"/>
  <c r="AU114" i="155" s="1"/>
  <c r="BF232" i="154"/>
  <c r="AV372" i="155"/>
  <c r="AV49" i="155" s="1"/>
  <c r="AV114" i="155" s="1"/>
  <c r="BD351" i="154"/>
  <c r="BD346" i="154"/>
  <c r="BD348" i="154"/>
  <c r="BD350" i="154"/>
  <c r="BD349" i="154"/>
  <c r="BD347" i="154"/>
  <c r="BA380" i="154"/>
  <c r="BA50" i="154" s="1"/>
  <c r="BA115" i="154" s="1"/>
  <c r="AT228" i="155"/>
  <c r="BJ585" i="154"/>
  <c r="BJ524" i="154"/>
  <c r="AU526" i="155"/>
  <c r="AU588" i="155"/>
  <c r="AY408" i="153"/>
  <c r="AY58" i="153" s="1"/>
  <c r="AY123" i="153" s="1"/>
  <c r="BH405" i="154"/>
  <c r="BH406" i="154"/>
  <c r="BH404" i="154"/>
  <c r="BH407" i="154"/>
  <c r="BH403" i="154"/>
  <c r="BH402" i="154"/>
  <c r="AY230" i="154"/>
  <c r="AW396" i="155"/>
  <c r="AW394" i="155"/>
  <c r="AW399" i="155"/>
  <c r="AW397" i="155"/>
  <c r="AW395" i="155"/>
  <c r="AW398" i="155"/>
  <c r="BM512" i="154"/>
  <c r="BL602" i="153"/>
  <c r="BL542" i="153"/>
  <c r="AS352" i="154"/>
  <c r="AS44" i="154" s="1"/>
  <c r="AS109" i="154" s="1"/>
  <c r="AL527" i="153"/>
  <c r="AD590" i="153"/>
  <c r="BD585" i="153"/>
  <c r="BD524" i="153"/>
  <c r="T593" i="153"/>
  <c r="T594" i="153" s="1"/>
  <c r="T530" i="153"/>
  <c r="T544" i="153"/>
  <c r="AE364" i="153"/>
  <c r="AE48" i="153" s="1"/>
  <c r="BK386" i="154"/>
  <c r="BK387" i="154"/>
  <c r="BK382" i="154"/>
  <c r="BK385" i="154"/>
  <c r="BK384" i="154"/>
  <c r="BK383" i="154"/>
  <c r="BJ383" i="154"/>
  <c r="BJ387" i="154"/>
  <c r="BJ385" i="154"/>
  <c r="BJ386" i="154"/>
  <c r="BJ384" i="154"/>
  <c r="BJ382" i="154"/>
  <c r="AE579" i="154"/>
  <c r="AE517" i="154"/>
  <c r="AV380" i="155"/>
  <c r="AV50" i="155" s="1"/>
  <c r="AV115" i="155" s="1"/>
  <c r="T591" i="155"/>
  <c r="T224" i="155"/>
  <c r="BE602" i="155"/>
  <c r="BE542" i="155"/>
  <c r="N604" i="153"/>
  <c r="P604" i="153" s="1"/>
  <c r="P540" i="153"/>
  <c r="BN540" i="153"/>
  <c r="BN604" i="153" s="1"/>
  <c r="BO540" i="153"/>
  <c r="BO604" i="153" s="1"/>
  <c r="BP540" i="153"/>
  <c r="BP604" i="153" s="1"/>
  <c r="BQ540" i="153"/>
  <c r="BQ604" i="153" s="1"/>
  <c r="BR540" i="153"/>
  <c r="BR604" i="153" s="1"/>
  <c r="BS540" i="153"/>
  <c r="BS604" i="153" s="1"/>
  <c r="BT540" i="153"/>
  <c r="BT604" i="153" s="1"/>
  <c r="BU540" i="153"/>
  <c r="BU604" i="153" s="1"/>
  <c r="BV540" i="153"/>
  <c r="BV604" i="153" s="1"/>
  <c r="BW540" i="153"/>
  <c r="BW604" i="153" s="1"/>
  <c r="BX540" i="153"/>
  <c r="BX604" i="153" s="1"/>
  <c r="BY540" i="153"/>
  <c r="BY604" i="153" s="1"/>
  <c r="AV606" i="153"/>
  <c r="BB375" i="154"/>
  <c r="BB378" i="154"/>
  <c r="BB377" i="154"/>
  <c r="BB379" i="154"/>
  <c r="BB376" i="154"/>
  <c r="BB374" i="154"/>
  <c r="BF370" i="153"/>
  <c r="BF369" i="153"/>
  <c r="BF368" i="153"/>
  <c r="BF371" i="153"/>
  <c r="BF367" i="153"/>
  <c r="BF366" i="153"/>
  <c r="BH602" i="154"/>
  <c r="BH542" i="154"/>
  <c r="BG233" i="153"/>
  <c r="V591" i="154"/>
  <c r="V224" i="154"/>
  <c r="BC403" i="153"/>
  <c r="BC405" i="153"/>
  <c r="BC404" i="153"/>
  <c r="BC407" i="153"/>
  <c r="BC406" i="153"/>
  <c r="BC402" i="153"/>
  <c r="BH611" i="153"/>
  <c r="BH549" i="153"/>
  <c r="BH613" i="153" s="1"/>
  <c r="BB367" i="154"/>
  <c r="BB371" i="154"/>
  <c r="BB366" i="154"/>
  <c r="BB368" i="154"/>
  <c r="BB370" i="154"/>
  <c r="BB369" i="154"/>
  <c r="AQ360" i="155"/>
  <c r="AQ359" i="155"/>
  <c r="AQ363" i="155"/>
  <c r="AQ358" i="155"/>
  <c r="AQ361" i="155"/>
  <c r="AQ362" i="155"/>
  <c r="BD348" i="155"/>
  <c r="BD350" i="155"/>
  <c r="BD346" i="155"/>
  <c r="BD351" i="155"/>
  <c r="BD349" i="155"/>
  <c r="BD347" i="155"/>
  <c r="AT527" i="155"/>
  <c r="AL590" i="155"/>
  <c r="BD368" i="155"/>
  <c r="BD367" i="155"/>
  <c r="BD369" i="155"/>
  <c r="BD366" i="155"/>
  <c r="BD371" i="155"/>
  <c r="BD370" i="155"/>
  <c r="AR576" i="153"/>
  <c r="AR515" i="153"/>
  <c r="AF579" i="153"/>
  <c r="AF517" i="153"/>
  <c r="AF529" i="153" s="1"/>
  <c r="BI611" i="155"/>
  <c r="BI549" i="155"/>
  <c r="BI613" i="155" s="1"/>
  <c r="AW229" i="153"/>
  <c r="BE524" i="155"/>
  <c r="BE585" i="155"/>
  <c r="AU606" i="155"/>
  <c r="AU576" i="153"/>
  <c r="AU515" i="153"/>
  <c r="Z581" i="154"/>
  <c r="Z518" i="154"/>
  <c r="AV606" i="155"/>
  <c r="AV359" i="154"/>
  <c r="AV360" i="154"/>
  <c r="AV358" i="154"/>
  <c r="AV361" i="154"/>
  <c r="AV363" i="154"/>
  <c r="AV362" i="154"/>
  <c r="AX229" i="155"/>
  <c r="BE232" i="154"/>
  <c r="AT399" i="155"/>
  <c r="AT394" i="155"/>
  <c r="AT396" i="155"/>
  <c r="AT395" i="155"/>
  <c r="AT397" i="155"/>
  <c r="AT398" i="155"/>
  <c r="BC349" i="154"/>
  <c r="BC346" i="154"/>
  <c r="BC351" i="154"/>
  <c r="BC350" i="154"/>
  <c r="BC348" i="154"/>
  <c r="BC347" i="154"/>
  <c r="AI529" i="153"/>
  <c r="AI518" i="153"/>
  <c r="AI581" i="153"/>
  <c r="AS228" i="155"/>
  <c r="BI585" i="154"/>
  <c r="BI524" i="154"/>
  <c r="BM346" i="153"/>
  <c r="BM350" i="153"/>
  <c r="BM351" i="153"/>
  <c r="BM347" i="153"/>
  <c r="BM349" i="153"/>
  <c r="BM348" i="153"/>
  <c r="BG406" i="154"/>
  <c r="BG407" i="154"/>
  <c r="BG404" i="154"/>
  <c r="BG405" i="154"/>
  <c r="BG402" i="154"/>
  <c r="BG403" i="154"/>
  <c r="AX230" i="154"/>
  <c r="AD579" i="154"/>
  <c r="AD517" i="154"/>
  <c r="AD529" i="154" s="1"/>
  <c r="BL512" i="154"/>
  <c r="BK602" i="153"/>
  <c r="BK542" i="153"/>
  <c r="BM234" i="154"/>
  <c r="BC524" i="153"/>
  <c r="BC585" i="153"/>
  <c r="V529" i="154"/>
  <c r="V581" i="154"/>
  <c r="V518" i="154"/>
  <c r="AW388" i="155"/>
  <c r="AW51" i="155" s="1"/>
  <c r="AW116" i="155" s="1"/>
  <c r="S591" i="155"/>
  <c r="S224" i="155"/>
  <c r="AH579" i="155"/>
  <c r="AH517" i="155"/>
  <c r="AH529" i="155" s="1"/>
  <c r="T593" i="155"/>
  <c r="T594" i="155" s="1"/>
  <c r="T530" i="155"/>
  <c r="T544" i="155"/>
  <c r="AY352" i="154"/>
  <c r="AY44" i="154" s="1"/>
  <c r="AY109" i="154" s="1"/>
  <c r="AK400" i="155"/>
  <c r="AK57" i="155" s="1"/>
  <c r="BE371" i="153"/>
  <c r="BE366" i="153"/>
  <c r="BE369" i="153"/>
  <c r="BE370" i="153"/>
  <c r="BE367" i="153"/>
  <c r="BE368" i="153"/>
  <c r="BG542" i="154"/>
  <c r="BG602" i="154"/>
  <c r="S518" i="154"/>
  <c r="S581" i="154"/>
  <c r="BF233" i="153"/>
  <c r="AE579" i="155"/>
  <c r="AE517" i="155"/>
  <c r="AE529" i="155" s="1"/>
  <c r="K581" i="155"/>
  <c r="K582" i="155" s="1"/>
  <c r="BB404" i="153"/>
  <c r="BB405" i="153"/>
  <c r="BB403" i="153"/>
  <c r="BB402" i="153"/>
  <c r="BB406" i="153"/>
  <c r="BB407" i="153"/>
  <c r="S591" i="154"/>
  <c r="S224" i="154"/>
  <c r="BG611" i="153"/>
  <c r="BG549" i="153"/>
  <c r="BG613" i="153" s="1"/>
  <c r="N589" i="155"/>
  <c r="P589" i="155" s="1"/>
  <c r="BN525" i="155"/>
  <c r="BN589" i="155" s="1"/>
  <c r="BO525" i="155"/>
  <c r="BO589" i="155" s="1"/>
  <c r="BP525" i="155"/>
  <c r="BP589" i="155" s="1"/>
  <c r="BQ525" i="155"/>
  <c r="BQ589" i="155" s="1"/>
  <c r="BR525" i="155"/>
  <c r="BR589" i="155" s="1"/>
  <c r="BS525" i="155"/>
  <c r="BS589" i="155" s="1"/>
  <c r="BT525" i="155"/>
  <c r="BT589" i="155" s="1"/>
  <c r="BU525" i="155"/>
  <c r="BU589" i="155" s="1"/>
  <c r="BV525" i="155"/>
  <c r="BV589" i="155" s="1"/>
  <c r="BW525" i="155"/>
  <c r="BW589" i="155" s="1"/>
  <c r="BX525" i="155"/>
  <c r="BX589" i="155" s="1"/>
  <c r="BY525" i="155"/>
  <c r="BY589" i="155" s="1"/>
  <c r="N603" i="154"/>
  <c r="P603" i="154" s="1"/>
  <c r="P539" i="154"/>
  <c r="BN539" i="154"/>
  <c r="BN603" i="154" s="1"/>
  <c r="BO539" i="154"/>
  <c r="BO603" i="154" s="1"/>
  <c r="BP539" i="154"/>
  <c r="BP603" i="154" s="1"/>
  <c r="BQ539" i="154"/>
  <c r="BQ603" i="154" s="1"/>
  <c r="BR539" i="154"/>
  <c r="BR603" i="154" s="1"/>
  <c r="BS539" i="154"/>
  <c r="BS603" i="154" s="1"/>
  <c r="BT539" i="154"/>
  <c r="BT603" i="154" s="1"/>
  <c r="BU539" i="154"/>
  <c r="BU603" i="154" s="1"/>
  <c r="BV539" i="154"/>
  <c r="BV603" i="154" s="1"/>
  <c r="BW539" i="154"/>
  <c r="BW603" i="154" s="1"/>
  <c r="BX539" i="154"/>
  <c r="BX603" i="154" s="1"/>
  <c r="BY539" i="154"/>
  <c r="BY603" i="154" s="1"/>
  <c r="AQ606" i="155"/>
  <c r="BC346" i="155"/>
  <c r="BC348" i="155"/>
  <c r="BC351" i="155"/>
  <c r="BC350" i="155"/>
  <c r="BC347" i="155"/>
  <c r="BC349" i="155"/>
  <c r="AR360" i="155"/>
  <c r="AR362" i="155"/>
  <c r="AR358" i="155"/>
  <c r="AR361" i="155"/>
  <c r="AR359" i="155"/>
  <c r="AR363" i="155"/>
  <c r="BC369" i="155"/>
  <c r="BC366" i="155"/>
  <c r="BC371" i="155"/>
  <c r="BC367" i="155"/>
  <c r="BC370" i="155"/>
  <c r="BC368" i="155"/>
  <c r="AS362" i="155"/>
  <c r="AS359" i="155"/>
  <c r="AS358" i="155"/>
  <c r="AS360" i="155"/>
  <c r="AS361" i="155"/>
  <c r="AS363" i="155"/>
  <c r="BH611" i="155"/>
  <c r="BH549" i="155"/>
  <c r="BH613" i="155" s="1"/>
  <c r="AZ576" i="154"/>
  <c r="AZ515" i="154"/>
  <c r="AJ400" i="154"/>
  <c r="AJ57" i="154" s="1"/>
  <c r="AY526" i="153"/>
  <c r="AY588" i="153"/>
  <c r="AV229" i="153"/>
  <c r="BD585" i="155"/>
  <c r="BD524" i="155"/>
  <c r="AG364" i="154"/>
  <c r="AG48" i="154" s="1"/>
  <c r="BM404" i="155"/>
  <c r="BM405" i="155"/>
  <c r="BM403" i="155"/>
  <c r="BM407" i="155"/>
  <c r="BM406" i="155"/>
  <c r="BM402" i="155"/>
  <c r="AP408" i="155"/>
  <c r="AP58" i="155" s="1"/>
  <c r="BA388" i="154"/>
  <c r="BA51" i="154" s="1"/>
  <c r="BA116" i="154" s="1"/>
  <c r="AU408" i="153"/>
  <c r="AU58" i="153" s="1"/>
  <c r="AU123" i="153" s="1"/>
  <c r="AY229" i="154"/>
  <c r="AX606" i="154"/>
  <c r="AW229" i="155"/>
  <c r="BD232" i="154"/>
  <c r="AV352" i="155"/>
  <c r="AV44" i="155" s="1"/>
  <c r="AV109" i="155" s="1"/>
  <c r="BA228" i="154"/>
  <c r="Y518" i="153"/>
  <c r="Y581" i="153"/>
  <c r="BB348" i="154"/>
  <c r="BB346" i="154"/>
  <c r="BB349" i="154"/>
  <c r="BB351" i="154"/>
  <c r="BB347" i="154"/>
  <c r="BB350" i="154"/>
  <c r="AR388" i="155"/>
  <c r="AR51" i="155" s="1"/>
  <c r="AR116" i="155" s="1"/>
  <c r="AN590" i="155"/>
  <c r="AV527" i="155"/>
  <c r="AN529" i="155"/>
  <c r="AR228" i="155"/>
  <c r="BH585" i="154"/>
  <c r="BH524" i="154"/>
  <c r="AE364" i="155"/>
  <c r="AE48" i="155" s="1"/>
  <c r="AE400" i="155"/>
  <c r="AE57" i="155" s="1"/>
  <c r="BL346" i="153"/>
  <c r="BL349" i="153"/>
  <c r="BL348" i="153"/>
  <c r="BL351" i="153"/>
  <c r="BL347" i="153"/>
  <c r="BL350" i="153"/>
  <c r="BF402" i="154"/>
  <c r="BF404" i="154"/>
  <c r="BF403" i="154"/>
  <c r="BF405" i="154"/>
  <c r="BF406" i="154"/>
  <c r="BF407" i="154"/>
  <c r="AW230" i="154"/>
  <c r="Y530" i="155"/>
  <c r="Y593" i="155"/>
  <c r="Y594" i="155" s="1"/>
  <c r="Y544" i="155"/>
  <c r="BK512" i="154"/>
  <c r="BJ542" i="153"/>
  <c r="BJ602" i="153"/>
  <c r="BL234" i="154"/>
  <c r="BB585" i="153"/>
  <c r="BB524" i="153"/>
  <c r="AH364" i="154"/>
  <c r="AH48" i="154" s="1"/>
  <c r="AP388" i="153"/>
  <c r="AP51" i="153" s="1"/>
  <c r="BE377" i="153"/>
  <c r="BE375" i="153"/>
  <c r="BE379" i="153"/>
  <c r="BE378" i="153"/>
  <c r="BE374" i="153"/>
  <c r="BE376" i="153"/>
  <c r="BH366" i="153"/>
  <c r="BH369" i="153"/>
  <c r="BH367" i="153"/>
  <c r="BH370" i="153"/>
  <c r="BH368" i="153"/>
  <c r="BH371" i="153"/>
  <c r="AT527" i="153"/>
  <c r="AL590" i="153"/>
  <c r="AL529" i="153"/>
  <c r="BD234" i="153"/>
  <c r="BI385" i="154"/>
  <c r="BI386" i="154"/>
  <c r="BI387" i="154"/>
  <c r="BI384" i="154"/>
  <c r="BI383" i="154"/>
  <c r="BI382" i="154"/>
  <c r="R581" i="153"/>
  <c r="R518" i="153"/>
  <c r="AU526" i="154"/>
  <c r="AU588" i="154"/>
  <c r="BD602" i="155"/>
  <c r="BD542" i="155"/>
  <c r="BC234" i="153"/>
  <c r="BH385" i="154"/>
  <c r="BH387" i="154"/>
  <c r="BH384" i="154"/>
  <c r="BH382" i="154"/>
  <c r="BH383" i="154"/>
  <c r="BH386" i="154"/>
  <c r="AS397" i="154"/>
  <c r="AS395" i="154"/>
  <c r="AS394" i="154"/>
  <c r="AS396" i="154"/>
  <c r="AS398" i="154"/>
  <c r="AS399" i="154"/>
  <c r="AU606" i="153"/>
  <c r="BA388" i="155"/>
  <c r="BA51" i="155" s="1"/>
  <c r="BA116" i="155" s="1"/>
  <c r="AR588" i="153"/>
  <c r="AR526" i="153"/>
  <c r="BC542" i="155"/>
  <c r="BC602" i="155"/>
  <c r="AN400" i="155"/>
  <c r="AN57" i="155" s="1"/>
  <c r="BN509" i="154"/>
  <c r="BN573" i="154" s="1"/>
  <c r="BO509" i="154"/>
  <c r="BO573" i="154" s="1"/>
  <c r="BP509" i="154"/>
  <c r="BP573" i="154" s="1"/>
  <c r="BQ509" i="154"/>
  <c r="BQ573" i="154" s="1"/>
  <c r="BR509" i="154"/>
  <c r="BR573" i="154" s="1"/>
  <c r="BS509" i="154"/>
  <c r="BS573" i="154" s="1"/>
  <c r="BT509" i="154"/>
  <c r="BT573" i="154" s="1"/>
  <c r="BU509" i="154"/>
  <c r="BU573" i="154" s="1"/>
  <c r="BV509" i="154"/>
  <c r="BV573" i="154" s="1"/>
  <c r="BW509" i="154"/>
  <c r="BW573" i="154" s="1"/>
  <c r="BX509" i="154"/>
  <c r="BX573" i="154" s="1"/>
  <c r="BY509" i="154"/>
  <c r="BY573" i="154" s="1"/>
  <c r="P540" i="154"/>
  <c r="N604" i="154"/>
  <c r="P604" i="154" s="1"/>
  <c r="BN540" i="154"/>
  <c r="BN604" i="154" s="1"/>
  <c r="BO540" i="154"/>
  <c r="BO604" i="154" s="1"/>
  <c r="BP540" i="154"/>
  <c r="BP604" i="154" s="1"/>
  <c r="BQ540" i="154"/>
  <c r="BQ604" i="154" s="1"/>
  <c r="BR540" i="154"/>
  <c r="BR604" i="154" s="1"/>
  <c r="BS540" i="154"/>
  <c r="BS604" i="154" s="1"/>
  <c r="BT540" i="154"/>
  <c r="BT604" i="154" s="1"/>
  <c r="BU540" i="154"/>
  <c r="BU604" i="154" s="1"/>
  <c r="BV540" i="154"/>
  <c r="BV604" i="154" s="1"/>
  <c r="BW540" i="154"/>
  <c r="BW604" i="154" s="1"/>
  <c r="BX540" i="154"/>
  <c r="BX604" i="154" s="1"/>
  <c r="BY540" i="154"/>
  <c r="BY604" i="154" s="1"/>
  <c r="BD367" i="153"/>
  <c r="BD371" i="153"/>
  <c r="BD366" i="153"/>
  <c r="BD368" i="153"/>
  <c r="BD369" i="153"/>
  <c r="BD370" i="153"/>
  <c r="BD512" i="153"/>
  <c r="J593" i="154"/>
  <c r="J594" i="154" s="1"/>
  <c r="J530" i="154"/>
  <c r="J544" i="154"/>
  <c r="BF602" i="154"/>
  <c r="BF542" i="154"/>
  <c r="AN400" i="153"/>
  <c r="AN57" i="153" s="1"/>
  <c r="BE233" i="153"/>
  <c r="BL232" i="153"/>
  <c r="P548" i="153"/>
  <c r="N612" i="153"/>
  <c r="P612" i="153" s="1"/>
  <c r="BN548" i="153"/>
  <c r="BN612" i="153" s="1"/>
  <c r="BO548" i="153"/>
  <c r="BO612" i="153" s="1"/>
  <c r="BP548" i="153"/>
  <c r="BP612" i="153" s="1"/>
  <c r="BQ548" i="153"/>
  <c r="BQ612" i="153" s="1"/>
  <c r="BR548" i="153"/>
  <c r="BR612" i="153" s="1"/>
  <c r="BS548" i="153"/>
  <c r="BS612" i="153" s="1"/>
  <c r="BT548" i="153"/>
  <c r="BT612" i="153" s="1"/>
  <c r="BU548" i="153"/>
  <c r="BU612" i="153" s="1"/>
  <c r="BV548" i="153"/>
  <c r="BV612" i="153" s="1"/>
  <c r="BW548" i="153"/>
  <c r="BW612" i="153" s="1"/>
  <c r="BX548" i="153"/>
  <c r="BX612" i="153" s="1"/>
  <c r="BY548" i="153"/>
  <c r="BY612" i="153" s="1"/>
  <c r="BF611" i="153"/>
  <c r="BF549" i="153"/>
  <c r="BF613" i="153" s="1"/>
  <c r="Y593" i="153"/>
  <c r="Y594" i="153" s="1"/>
  <c r="Y530" i="153"/>
  <c r="Y544" i="153"/>
  <c r="BB349" i="155"/>
  <c r="BB347" i="155"/>
  <c r="BB351" i="155"/>
  <c r="BB350" i="155"/>
  <c r="BB348" i="155"/>
  <c r="BB346" i="155"/>
  <c r="AS380" i="154"/>
  <c r="AS50" i="154" s="1"/>
  <c r="AS115" i="154" s="1"/>
  <c r="AR606" i="155"/>
  <c r="BB371" i="155"/>
  <c r="BB369" i="155"/>
  <c r="BB367" i="155"/>
  <c r="BB370" i="155"/>
  <c r="BB368" i="155"/>
  <c r="BB366" i="155"/>
  <c r="BM512" i="155"/>
  <c r="AT380" i="154"/>
  <c r="AT50" i="154" s="1"/>
  <c r="AT115" i="154" s="1"/>
  <c r="AS606" i="155"/>
  <c r="BG611" i="155"/>
  <c r="BG549" i="155"/>
  <c r="BG613" i="155" s="1"/>
  <c r="AQ352" i="155"/>
  <c r="AQ44" i="155" s="1"/>
  <c r="AQ109" i="155" s="1"/>
  <c r="AU229" i="153"/>
  <c r="BC524" i="155"/>
  <c r="BC585" i="155"/>
  <c r="AY388" i="154"/>
  <c r="AY51" i="154" s="1"/>
  <c r="AY116" i="154" s="1"/>
  <c r="BL405" i="155"/>
  <c r="BL404" i="155"/>
  <c r="BL407" i="155"/>
  <c r="BL406" i="155"/>
  <c r="BL403" i="155"/>
  <c r="BL402" i="155"/>
  <c r="AW380" i="154"/>
  <c r="AW50" i="154" s="1"/>
  <c r="AW115" i="154" s="1"/>
  <c r="AY230" i="155"/>
  <c r="AU372" i="154"/>
  <c r="AU49" i="154" s="1"/>
  <c r="AU114" i="154" s="1"/>
  <c r="AR397" i="155"/>
  <c r="AR395" i="155"/>
  <c r="AR394" i="155"/>
  <c r="AR396" i="155"/>
  <c r="AR398" i="155"/>
  <c r="AR399" i="155"/>
  <c r="AX361" i="154"/>
  <c r="AX362" i="154"/>
  <c r="AX360" i="154"/>
  <c r="AX359" i="154"/>
  <c r="AX358" i="154"/>
  <c r="AX363" i="154"/>
  <c r="AX606" i="155"/>
  <c r="AV229" i="155"/>
  <c r="BC232" i="154"/>
  <c r="AZ380" i="153"/>
  <c r="AZ50" i="153" s="1"/>
  <c r="AZ115" i="153" s="1"/>
  <c r="AQ388" i="155"/>
  <c r="AQ51" i="155" s="1"/>
  <c r="AQ116" i="155" s="1"/>
  <c r="AZ228" i="154"/>
  <c r="N598" i="154"/>
  <c r="P598" i="154" s="1"/>
  <c r="P534" i="154"/>
  <c r="BN534" i="154"/>
  <c r="BN598" i="154" s="1"/>
  <c r="BO534" i="154"/>
  <c r="BO598" i="154" s="1"/>
  <c r="BP534" i="154"/>
  <c r="BP598" i="154" s="1"/>
  <c r="BQ534" i="154"/>
  <c r="BQ598" i="154" s="1"/>
  <c r="BR534" i="154"/>
  <c r="BR598" i="154" s="1"/>
  <c r="BS534" i="154"/>
  <c r="BS598" i="154" s="1"/>
  <c r="BT534" i="154"/>
  <c r="BT598" i="154" s="1"/>
  <c r="BU534" i="154"/>
  <c r="BU598" i="154" s="1"/>
  <c r="BV534" i="154"/>
  <c r="BV598" i="154" s="1"/>
  <c r="BW534" i="154"/>
  <c r="BW598" i="154" s="1"/>
  <c r="BX534" i="154"/>
  <c r="BX598" i="154" s="1"/>
  <c r="BY534" i="154"/>
  <c r="BY598" i="154" s="1"/>
  <c r="AF590" i="153"/>
  <c r="AN527" i="153"/>
  <c r="AV515" i="155"/>
  <c r="AQ228" i="155"/>
  <c r="BG585" i="154"/>
  <c r="BG524" i="154"/>
  <c r="BK351" i="153"/>
  <c r="BK347" i="153"/>
  <c r="BK350" i="153"/>
  <c r="BK346" i="153"/>
  <c r="BK349" i="153"/>
  <c r="BK348" i="153"/>
  <c r="AK400" i="154"/>
  <c r="AK57" i="154" s="1"/>
  <c r="AY352" i="155"/>
  <c r="AY44" i="155" s="1"/>
  <c r="AY109" i="155" s="1"/>
  <c r="BE404" i="154"/>
  <c r="BE407" i="154"/>
  <c r="BE403" i="154"/>
  <c r="BE406" i="154"/>
  <c r="BE402" i="154"/>
  <c r="BE405" i="154"/>
  <c r="AV230" i="154"/>
  <c r="BJ512" i="154"/>
  <c r="AD364" i="153"/>
  <c r="AD48" i="153" s="1"/>
  <c r="BI602" i="153"/>
  <c r="BI542" i="153"/>
  <c r="AD364" i="155"/>
  <c r="AD48" i="155" s="1"/>
  <c r="AI590" i="154"/>
  <c r="AQ527" i="154"/>
  <c r="BK234" i="154"/>
  <c r="AW588" i="153"/>
  <c r="AW526" i="153"/>
  <c r="AO590" i="153"/>
  <c r="AW527" i="153"/>
  <c r="AO529" i="153"/>
  <c r="AU360" i="153"/>
  <c r="AU361" i="153"/>
  <c r="AU358" i="153"/>
  <c r="AU359" i="153"/>
  <c r="AU363" i="153"/>
  <c r="AU362" i="153"/>
  <c r="BB602" i="155"/>
  <c r="BB542" i="155"/>
  <c r="AV588" i="154"/>
  <c r="AV526" i="154"/>
  <c r="BK232" i="153"/>
  <c r="AU588" i="153"/>
  <c r="AU526" i="153"/>
  <c r="AP360" i="154"/>
  <c r="AP363" i="154"/>
  <c r="AP359" i="154"/>
  <c r="AP361" i="154"/>
  <c r="AP358" i="154"/>
  <c r="AP362" i="154"/>
  <c r="AY394" i="154"/>
  <c r="AY396" i="154"/>
  <c r="AY399" i="154"/>
  <c r="AY397" i="154"/>
  <c r="AY398" i="154"/>
  <c r="AY395" i="154"/>
  <c r="S530" i="154"/>
  <c r="S593" i="154"/>
  <c r="S594" i="154" s="1"/>
  <c r="S544" i="154"/>
  <c r="BE549" i="153"/>
  <c r="BE613" i="153" s="1"/>
  <c r="BE611" i="153"/>
  <c r="N598" i="155"/>
  <c r="P598" i="155" s="1"/>
  <c r="P534" i="155"/>
  <c r="BN534" i="155"/>
  <c r="BN598" i="155" s="1"/>
  <c r="BO534" i="155"/>
  <c r="BO598" i="155" s="1"/>
  <c r="BP534" i="155"/>
  <c r="BP598" i="155" s="1"/>
  <c r="BQ534" i="155"/>
  <c r="BQ598" i="155" s="1"/>
  <c r="BR534" i="155"/>
  <c r="BR598" i="155" s="1"/>
  <c r="BS534" i="155"/>
  <c r="BS598" i="155" s="1"/>
  <c r="BT534" i="155"/>
  <c r="BT598" i="155" s="1"/>
  <c r="BU534" i="155"/>
  <c r="BU598" i="155" s="1"/>
  <c r="BV534" i="155"/>
  <c r="BV598" i="155" s="1"/>
  <c r="BW534" i="155"/>
  <c r="BW598" i="155" s="1"/>
  <c r="BX534" i="155"/>
  <c r="BX598" i="155" s="1"/>
  <c r="BY534" i="155"/>
  <c r="BY598" i="155" s="1"/>
  <c r="N603" i="155"/>
  <c r="P603" i="155" s="1"/>
  <c r="P539" i="155"/>
  <c r="BN539" i="155"/>
  <c r="BN603" i="155" s="1"/>
  <c r="BO539" i="155"/>
  <c r="BO603" i="155" s="1"/>
  <c r="BP539" i="155"/>
  <c r="BP603" i="155" s="1"/>
  <c r="BQ539" i="155"/>
  <c r="BQ603" i="155" s="1"/>
  <c r="BR539" i="155"/>
  <c r="BR603" i="155" s="1"/>
  <c r="BS539" i="155"/>
  <c r="BS603" i="155" s="1"/>
  <c r="BT539" i="155"/>
  <c r="BT603" i="155" s="1"/>
  <c r="BU539" i="155"/>
  <c r="BU603" i="155" s="1"/>
  <c r="BV539" i="155"/>
  <c r="BV603" i="155" s="1"/>
  <c r="BW539" i="155"/>
  <c r="BW603" i="155" s="1"/>
  <c r="BX539" i="155"/>
  <c r="BX603" i="155" s="1"/>
  <c r="BY539" i="155"/>
  <c r="BY603" i="155" s="1"/>
  <c r="L590" i="155"/>
  <c r="L591" i="155" s="1"/>
  <c r="T527" i="155"/>
  <c r="BF611" i="155"/>
  <c r="BF549" i="155"/>
  <c r="BF613" i="155" s="1"/>
  <c r="AT229" i="153"/>
  <c r="BB585" i="155"/>
  <c r="BB524" i="155"/>
  <c r="BK405" i="155"/>
  <c r="BK402" i="155"/>
  <c r="BK406" i="155"/>
  <c r="BK403" i="155"/>
  <c r="BK407" i="155"/>
  <c r="BK404" i="155"/>
  <c r="AC581" i="154"/>
  <c r="AC518" i="154"/>
  <c r="AX361" i="155"/>
  <c r="AX363" i="155"/>
  <c r="AX360" i="155"/>
  <c r="AX359" i="155"/>
  <c r="AX358" i="155"/>
  <c r="AX362" i="155"/>
  <c r="BB232" i="154"/>
  <c r="BM233" i="155"/>
  <c r="AF590" i="154"/>
  <c r="AN527" i="154"/>
  <c r="BF585" i="154"/>
  <c r="BF524" i="154"/>
  <c r="T581" i="154"/>
  <c r="T518" i="154"/>
  <c r="BJ349" i="153"/>
  <c r="BJ348" i="153"/>
  <c r="BJ351" i="153"/>
  <c r="BJ347" i="153"/>
  <c r="BJ346" i="153"/>
  <c r="BJ350" i="153"/>
  <c r="BD402" i="154"/>
  <c r="BD404" i="154"/>
  <c r="BD405" i="154"/>
  <c r="BD407" i="154"/>
  <c r="BD403" i="154"/>
  <c r="BD406" i="154"/>
  <c r="AU230" i="154"/>
  <c r="Y591" i="155"/>
  <c r="Y224" i="155"/>
  <c r="BI512" i="154"/>
  <c r="BH602" i="153"/>
  <c r="BH542" i="153"/>
  <c r="BJ234" i="154"/>
  <c r="M588" i="153"/>
  <c r="W593" i="153"/>
  <c r="W594" i="153" s="1"/>
  <c r="W530" i="153"/>
  <c r="W544" i="153"/>
  <c r="AS363" i="153"/>
  <c r="AS362" i="153"/>
  <c r="AS360" i="153"/>
  <c r="AS358" i="153"/>
  <c r="AS359" i="153"/>
  <c r="AS361" i="153"/>
  <c r="AR526" i="154"/>
  <c r="AR588" i="154"/>
  <c r="N589" i="153"/>
  <c r="P589" i="153" s="1"/>
  <c r="BN525" i="153"/>
  <c r="BN589" i="153" s="1"/>
  <c r="BO525" i="153"/>
  <c r="BO589" i="153" s="1"/>
  <c r="BP525" i="153"/>
  <c r="BP589" i="153" s="1"/>
  <c r="BQ525" i="153"/>
  <c r="BQ589" i="153" s="1"/>
  <c r="BR525" i="153"/>
  <c r="BR589" i="153" s="1"/>
  <c r="BS525" i="153"/>
  <c r="BS589" i="153" s="1"/>
  <c r="BT525" i="153"/>
  <c r="BT589" i="153" s="1"/>
  <c r="BU525" i="153"/>
  <c r="BU589" i="153" s="1"/>
  <c r="BV525" i="153"/>
  <c r="BV589" i="153" s="1"/>
  <c r="BW525" i="153"/>
  <c r="BW589" i="153" s="1"/>
  <c r="BX525" i="153"/>
  <c r="BX589" i="153" s="1"/>
  <c r="BY525" i="153"/>
  <c r="BY589" i="153" s="1"/>
  <c r="T591" i="153"/>
  <c r="T224" i="153"/>
  <c r="BF386" i="154"/>
  <c r="BF383" i="154"/>
  <c r="BF385" i="154"/>
  <c r="BF382" i="154"/>
  <c r="BF384" i="154"/>
  <c r="BF387" i="154"/>
  <c r="AP388" i="154"/>
  <c r="AP51" i="154" s="1"/>
  <c r="AT396" i="154"/>
  <c r="AT397" i="154"/>
  <c r="AT395" i="154"/>
  <c r="AT398" i="154"/>
  <c r="AT394" i="154"/>
  <c r="AT399" i="154"/>
  <c r="R530" i="154"/>
  <c r="R593" i="154"/>
  <c r="R594" i="154" s="1"/>
  <c r="R544" i="154"/>
  <c r="U530" i="155"/>
  <c r="U593" i="155"/>
  <c r="U594" i="155" s="1"/>
  <c r="U544" i="155"/>
  <c r="X224" i="153"/>
  <c r="X591" i="153"/>
  <c r="BB368" i="153"/>
  <c r="BB366" i="153"/>
  <c r="BB370" i="153"/>
  <c r="BB371" i="153"/>
  <c r="BB369" i="153"/>
  <c r="BB367" i="153"/>
  <c r="BB512" i="153"/>
  <c r="BD542" i="154"/>
  <c r="BD602" i="154"/>
  <c r="AI364" i="153"/>
  <c r="AI48" i="153" s="1"/>
  <c r="AV576" i="154"/>
  <c r="AV515" i="154"/>
  <c r="AP606" i="154"/>
  <c r="L579" i="155"/>
  <c r="AP372" i="153"/>
  <c r="AP49" i="153" s="1"/>
  <c r="BD611" i="153"/>
  <c r="BD549" i="153"/>
  <c r="BD613" i="153" s="1"/>
  <c r="AU388" i="154"/>
  <c r="AU51" i="154" s="1"/>
  <c r="AU116" i="154" s="1"/>
  <c r="Y224" i="153"/>
  <c r="Y591" i="153"/>
  <c r="AZ526" i="154"/>
  <c r="AZ588" i="154"/>
  <c r="AY576" i="154"/>
  <c r="AY515" i="154"/>
  <c r="AM400" i="155"/>
  <c r="AM57" i="155" s="1"/>
  <c r="BK512" i="155"/>
  <c r="BE611" i="155"/>
  <c r="BE549" i="155"/>
  <c r="BE613" i="155" s="1"/>
  <c r="AD590" i="154"/>
  <c r="AL527" i="154"/>
  <c r="AS229" i="153"/>
  <c r="AJ579" i="155"/>
  <c r="AJ517" i="155"/>
  <c r="AJ529" i="155" s="1"/>
  <c r="BJ406" i="155"/>
  <c r="BJ407" i="155"/>
  <c r="BJ405" i="155"/>
  <c r="BJ403" i="155"/>
  <c r="BJ404" i="155"/>
  <c r="BJ402" i="155"/>
  <c r="AQ394" i="155"/>
  <c r="AQ396" i="155"/>
  <c r="AQ398" i="155"/>
  <c r="AQ395" i="155"/>
  <c r="AQ397" i="155"/>
  <c r="AQ399" i="155"/>
  <c r="AS394" i="153"/>
  <c r="AS397" i="153"/>
  <c r="AS395" i="153"/>
  <c r="AS398" i="153"/>
  <c r="AS399" i="153"/>
  <c r="AS396" i="153"/>
  <c r="AO590" i="155"/>
  <c r="AW527" i="155"/>
  <c r="AS395" i="155"/>
  <c r="AS394" i="155"/>
  <c r="AS396" i="155"/>
  <c r="AS399" i="155"/>
  <c r="AS397" i="155"/>
  <c r="AS398" i="155"/>
  <c r="N586" i="154"/>
  <c r="P586" i="154" s="1"/>
  <c r="BN522" i="154"/>
  <c r="BN586" i="154" s="1"/>
  <c r="BO522" i="154"/>
  <c r="BO586" i="154" s="1"/>
  <c r="BP522" i="154"/>
  <c r="BP586" i="154" s="1"/>
  <c r="BQ522" i="154"/>
  <c r="BQ586" i="154" s="1"/>
  <c r="BR522" i="154"/>
  <c r="BR586" i="154" s="1"/>
  <c r="BS522" i="154"/>
  <c r="BS586" i="154" s="1"/>
  <c r="BT522" i="154"/>
  <c r="BT586" i="154" s="1"/>
  <c r="BU522" i="154"/>
  <c r="BU586" i="154" s="1"/>
  <c r="BV522" i="154"/>
  <c r="BV586" i="154" s="1"/>
  <c r="BW522" i="154"/>
  <c r="BW586" i="154" s="1"/>
  <c r="BX522" i="154"/>
  <c r="BX586" i="154" s="1"/>
  <c r="BY522" i="154"/>
  <c r="BY586" i="154" s="1"/>
  <c r="AX228" i="154"/>
  <c r="BL233" i="155"/>
  <c r="AY372" i="153"/>
  <c r="AY49" i="153" s="1"/>
  <c r="AY114" i="153" s="1"/>
  <c r="BM379" i="155"/>
  <c r="BM378" i="155"/>
  <c r="BM374" i="155"/>
  <c r="BM376" i="155"/>
  <c r="BM377" i="155"/>
  <c r="BM375" i="155"/>
  <c r="AW372" i="155"/>
  <c r="AW49" i="155" s="1"/>
  <c r="AW114" i="155" s="1"/>
  <c r="BE524" i="154"/>
  <c r="BE585" i="154"/>
  <c r="BI346" i="153"/>
  <c r="BI351" i="153"/>
  <c r="BI348" i="153"/>
  <c r="BI347" i="153"/>
  <c r="BI349" i="153"/>
  <c r="BI350" i="153"/>
  <c r="BC406" i="154"/>
  <c r="BC402" i="154"/>
  <c r="BC404" i="154"/>
  <c r="BC403" i="154"/>
  <c r="BC405" i="154"/>
  <c r="BC407" i="154"/>
  <c r="AT230" i="154"/>
  <c r="K581" i="154"/>
  <c r="K582" i="154" s="1"/>
  <c r="BH512" i="154"/>
  <c r="BG602" i="153"/>
  <c r="BG542" i="153"/>
  <c r="BM549" i="154"/>
  <c r="BM613" i="154" s="1"/>
  <c r="BM611" i="154"/>
  <c r="BI234" i="154"/>
  <c r="N585" i="153"/>
  <c r="P585" i="153" s="1"/>
  <c r="BN521" i="153"/>
  <c r="BO521" i="153"/>
  <c r="BP521" i="153"/>
  <c r="BQ521" i="153"/>
  <c r="BR521" i="153"/>
  <c r="BS521" i="153"/>
  <c r="BT521" i="153"/>
  <c r="BU521" i="153"/>
  <c r="BV521" i="153"/>
  <c r="BW521" i="153"/>
  <c r="BX521" i="153"/>
  <c r="BY521" i="153"/>
  <c r="AF590" i="155"/>
  <c r="AN527" i="155"/>
  <c r="Y529" i="154"/>
  <c r="Y581" i="154"/>
  <c r="Y518" i="154"/>
  <c r="BE602" i="154"/>
  <c r="BE542" i="154"/>
  <c r="AU527" i="154"/>
  <c r="AM590" i="154"/>
  <c r="BE382" i="154"/>
  <c r="BE385" i="154"/>
  <c r="BE387" i="154"/>
  <c r="BE383" i="154"/>
  <c r="BE384" i="154"/>
  <c r="BE386" i="154"/>
  <c r="N602" i="155"/>
  <c r="P602" i="155" s="1"/>
  <c r="P538" i="155"/>
  <c r="N542" i="155"/>
  <c r="BN538" i="155"/>
  <c r="BO538" i="155"/>
  <c r="BP538" i="155"/>
  <c r="BQ538" i="155"/>
  <c r="BR538" i="155"/>
  <c r="BS538" i="155"/>
  <c r="BT538" i="155"/>
  <c r="BU538" i="155"/>
  <c r="BV538" i="155"/>
  <c r="BW538" i="155"/>
  <c r="BX538" i="155"/>
  <c r="BY538" i="155"/>
  <c r="U591" i="155"/>
  <c r="U224" i="155"/>
  <c r="P539" i="153"/>
  <c r="N603" i="153"/>
  <c r="P603" i="153" s="1"/>
  <c r="BN539" i="153"/>
  <c r="BN603" i="153" s="1"/>
  <c r="BO539" i="153"/>
  <c r="BO603" i="153" s="1"/>
  <c r="BP539" i="153"/>
  <c r="BP603" i="153" s="1"/>
  <c r="BQ539" i="153"/>
  <c r="BQ603" i="153" s="1"/>
  <c r="BR539" i="153"/>
  <c r="BR603" i="153" s="1"/>
  <c r="BS539" i="153"/>
  <c r="BS603" i="153" s="1"/>
  <c r="BT539" i="153"/>
  <c r="BT603" i="153" s="1"/>
  <c r="BU539" i="153"/>
  <c r="BU603" i="153" s="1"/>
  <c r="BV539" i="153"/>
  <c r="BV603" i="153" s="1"/>
  <c r="BW539" i="153"/>
  <c r="BW603" i="153" s="1"/>
  <c r="BX539" i="153"/>
  <c r="BX603" i="153" s="1"/>
  <c r="BY539" i="153"/>
  <c r="BY603" i="153" s="1"/>
  <c r="M576" i="153"/>
  <c r="AU576" i="154"/>
  <c r="AU515" i="154"/>
  <c r="BC602" i="154"/>
  <c r="BC542" i="154"/>
  <c r="BB233" i="153"/>
  <c r="BI232" i="153"/>
  <c r="BC549" i="153"/>
  <c r="BC613" i="153" s="1"/>
  <c r="BC611" i="153"/>
  <c r="AQ515" i="153"/>
  <c r="AQ576" i="153"/>
  <c r="M606" i="155"/>
  <c r="AG590" i="155"/>
  <c r="AO527" i="155"/>
  <c r="BD549" i="155"/>
  <c r="BD613" i="155" s="1"/>
  <c r="BD611" i="155"/>
  <c r="AR229" i="153"/>
  <c r="AT372" i="153"/>
  <c r="AT49" i="153" s="1"/>
  <c r="AT114" i="153" s="1"/>
  <c r="N585" i="155"/>
  <c r="P585" i="155" s="1"/>
  <c r="BN521" i="155"/>
  <c r="BO521" i="155"/>
  <c r="BP521" i="155"/>
  <c r="BQ521" i="155"/>
  <c r="BR521" i="155"/>
  <c r="BS521" i="155"/>
  <c r="BT521" i="155"/>
  <c r="BU521" i="155"/>
  <c r="BV521" i="155"/>
  <c r="BW521" i="155"/>
  <c r="BX521" i="155"/>
  <c r="BY521" i="155"/>
  <c r="BI405" i="155"/>
  <c r="BI404" i="155"/>
  <c r="BI403" i="155"/>
  <c r="BI406" i="155"/>
  <c r="BI407" i="155"/>
  <c r="BI402" i="155"/>
  <c r="AT372" i="154"/>
  <c r="AT49" i="154" s="1"/>
  <c r="AT114" i="154" s="1"/>
  <c r="U593" i="153"/>
  <c r="U594" i="153" s="1"/>
  <c r="U530" i="153"/>
  <c r="U544" i="153"/>
  <c r="AO527" i="153"/>
  <c r="AG590" i="153"/>
  <c r="AP527" i="154"/>
  <c r="AH590" i="154"/>
  <c r="AD364" i="154"/>
  <c r="AD48" i="154" s="1"/>
  <c r="AW228" i="154"/>
  <c r="BK233" i="155"/>
  <c r="BL375" i="155"/>
  <c r="BL377" i="155"/>
  <c r="BL374" i="155"/>
  <c r="BL376" i="155"/>
  <c r="BL379" i="155"/>
  <c r="BL378" i="155"/>
  <c r="AO579" i="155"/>
  <c r="AO517" i="155"/>
  <c r="AO529" i="155" s="1"/>
  <c r="AT588" i="155"/>
  <c r="AT526" i="155"/>
  <c r="AW352" i="155"/>
  <c r="AW44" i="155" s="1"/>
  <c r="AW109" i="155" s="1"/>
  <c r="M577" i="155"/>
  <c r="BB513" i="155"/>
  <c r="BB577" i="155" s="1"/>
  <c r="BC513" i="155"/>
  <c r="BC577" i="155" s="1"/>
  <c r="BD513" i="155"/>
  <c r="BD577" i="155" s="1"/>
  <c r="BE513" i="155"/>
  <c r="BE577" i="155" s="1"/>
  <c r="BF513" i="155"/>
  <c r="BF577" i="155" s="1"/>
  <c r="BG513" i="155"/>
  <c r="BG577" i="155" s="1"/>
  <c r="BH513" i="155"/>
  <c r="BH577" i="155" s="1"/>
  <c r="BI513" i="155"/>
  <c r="BI577" i="155" s="1"/>
  <c r="BJ513" i="155"/>
  <c r="BJ577" i="155" s="1"/>
  <c r="BK513" i="155"/>
  <c r="BK577" i="155" s="1"/>
  <c r="BL513" i="155"/>
  <c r="BL577" i="155" s="1"/>
  <c r="BM513" i="155"/>
  <c r="BM577" i="155" s="1"/>
  <c r="BD524" i="154"/>
  <c r="BD585" i="154"/>
  <c r="BH351" i="153"/>
  <c r="BH348" i="153"/>
  <c r="BH346" i="153"/>
  <c r="BH350" i="153"/>
  <c r="BH349" i="153"/>
  <c r="BH347" i="153"/>
  <c r="AQ352" i="154"/>
  <c r="AQ44" i="154" s="1"/>
  <c r="AQ109" i="154" s="1"/>
  <c r="BB405" i="154"/>
  <c r="BB403" i="154"/>
  <c r="BB402" i="154"/>
  <c r="BB406" i="154"/>
  <c r="BB407" i="154"/>
  <c r="BB404" i="154"/>
  <c r="AS230" i="154"/>
  <c r="BG512" i="154"/>
  <c r="BF602" i="153"/>
  <c r="BF542" i="153"/>
  <c r="BM386" i="153"/>
  <c r="BM387" i="153"/>
  <c r="BM382" i="153"/>
  <c r="BM384" i="153"/>
  <c r="BM385" i="153"/>
  <c r="BM383" i="153"/>
  <c r="BL611" i="154"/>
  <c r="BL549" i="154"/>
  <c r="BL613" i="154" s="1"/>
  <c r="AR380" i="155"/>
  <c r="AR50" i="155" s="1"/>
  <c r="AR115" i="155" s="1"/>
  <c r="BH234" i="154"/>
  <c r="T581" i="155"/>
  <c r="T518" i="155"/>
  <c r="AN364" i="153"/>
  <c r="AN48" i="153" s="1"/>
  <c r="BA372" i="155"/>
  <c r="BA49" i="155" s="1"/>
  <c r="BA114" i="155" s="1"/>
  <c r="AT352" i="154"/>
  <c r="AT44" i="154" s="1"/>
  <c r="AT109" i="154" s="1"/>
  <c r="AR352" i="153"/>
  <c r="AR44" i="153" s="1"/>
  <c r="AR109" i="153" s="1"/>
  <c r="AR576" i="154"/>
  <c r="AR515" i="154"/>
  <c r="AP515" i="154"/>
  <c r="AP576" i="154"/>
  <c r="AI364" i="155"/>
  <c r="AI48" i="155" s="1"/>
  <c r="AR395" i="154"/>
  <c r="AR398" i="154"/>
  <c r="AR396" i="154"/>
  <c r="AR397" i="154"/>
  <c r="AR399" i="154"/>
  <c r="AR394" i="154"/>
  <c r="BC232" i="155"/>
  <c r="BD386" i="154"/>
  <c r="BD382" i="154"/>
  <c r="BD383" i="154"/>
  <c r="BD385" i="154"/>
  <c r="BD384" i="154"/>
  <c r="BD387" i="154"/>
  <c r="AS230" i="153"/>
  <c r="AE517" i="153"/>
  <c r="AE579" i="153"/>
  <c r="R591" i="154"/>
  <c r="R224" i="154"/>
  <c r="BB542" i="154"/>
  <c r="BB602" i="154"/>
  <c r="AX408" i="154"/>
  <c r="AX58" i="154" s="1"/>
  <c r="AX123" i="154" s="1"/>
  <c r="AO400" i="154"/>
  <c r="AO57" i="154" s="1"/>
  <c r="BH232" i="153"/>
  <c r="AY362" i="153"/>
  <c r="AY358" i="153"/>
  <c r="AY359" i="153"/>
  <c r="AY361" i="153"/>
  <c r="AY363" i="153"/>
  <c r="AY360" i="153"/>
  <c r="BB611" i="153"/>
  <c r="BB549" i="153"/>
  <c r="BB613" i="153" s="1"/>
  <c r="AY388" i="153"/>
  <c r="AY51" i="153" s="1"/>
  <c r="AY116" i="153" s="1"/>
  <c r="W591" i="155"/>
  <c r="W224" i="155"/>
  <c r="BA359" i="153"/>
  <c r="BA363" i="153"/>
  <c r="BA360" i="153"/>
  <c r="BA361" i="153"/>
  <c r="BA362" i="153"/>
  <c r="BA358" i="153"/>
  <c r="AR606" i="154"/>
  <c r="BI512" i="155"/>
  <c r="BC549" i="155"/>
  <c r="BC613" i="155" s="1"/>
  <c r="BC611" i="155"/>
  <c r="AN579" i="153"/>
  <c r="AN517" i="153"/>
  <c r="AR408" i="153"/>
  <c r="AR58" i="153" s="1"/>
  <c r="AR123" i="153" s="1"/>
  <c r="AQ229" i="153"/>
  <c r="M588" i="155"/>
  <c r="BH407" i="155"/>
  <c r="BH406" i="155"/>
  <c r="BH402" i="155"/>
  <c r="BH405" i="155"/>
  <c r="BH403" i="155"/>
  <c r="BH404" i="155"/>
  <c r="AR395" i="153"/>
  <c r="AR398" i="153"/>
  <c r="AR394" i="153"/>
  <c r="AR399" i="153"/>
  <c r="AR397" i="153"/>
  <c r="AR396" i="153"/>
  <c r="AF364" i="153"/>
  <c r="AF48" i="153" s="1"/>
  <c r="AU230" i="155"/>
  <c r="AS515" i="155"/>
  <c r="W518" i="153"/>
  <c r="W581" i="153"/>
  <c r="AY380" i="154"/>
  <c r="AY50" i="154" s="1"/>
  <c r="AY115" i="154" s="1"/>
  <c r="AR229" i="155"/>
  <c r="AV228" i="154"/>
  <c r="BJ233" i="155"/>
  <c r="BK377" i="155"/>
  <c r="BK379" i="155"/>
  <c r="BK376" i="155"/>
  <c r="BK375" i="155"/>
  <c r="BK378" i="155"/>
  <c r="BK374" i="155"/>
  <c r="BC585" i="154"/>
  <c r="BC524" i="154"/>
  <c r="AW515" i="155"/>
  <c r="BG349" i="153"/>
  <c r="BG351" i="153"/>
  <c r="BG347" i="153"/>
  <c r="BG348" i="153"/>
  <c r="BG346" i="153"/>
  <c r="BG350" i="153"/>
  <c r="AR230" i="154"/>
  <c r="BF512" i="154"/>
  <c r="BE602" i="153"/>
  <c r="BE542" i="153"/>
  <c r="BL383" i="153"/>
  <c r="BL382" i="153"/>
  <c r="BL386" i="153"/>
  <c r="BL384" i="153"/>
  <c r="BL385" i="153"/>
  <c r="BL387" i="153"/>
  <c r="BK611" i="154"/>
  <c r="BK549" i="154"/>
  <c r="BK613" i="154" s="1"/>
  <c r="AF400" i="153"/>
  <c r="AF57" i="153" s="1"/>
  <c r="BG234" i="154"/>
  <c r="Z581" i="155"/>
  <c r="Z518" i="155"/>
  <c r="AQ606" i="153"/>
  <c r="AB529" i="155"/>
  <c r="AB581" i="155"/>
  <c r="AB518" i="155"/>
  <c r="AA591" i="153"/>
  <c r="AA224" i="153"/>
  <c r="BA399" i="155"/>
  <c r="BA397" i="155"/>
  <c r="BA395" i="155"/>
  <c r="BA396" i="155"/>
  <c r="BA398" i="155"/>
  <c r="BA394" i="155"/>
  <c r="AO590" i="154"/>
  <c r="AW527" i="154"/>
  <c r="AG517" i="154"/>
  <c r="AG579" i="154"/>
  <c r="AJ590" i="155"/>
  <c r="AR527" i="155"/>
  <c r="BB232" i="155"/>
  <c r="BC386" i="154"/>
  <c r="BC384" i="154"/>
  <c r="BC385" i="154"/>
  <c r="BC383" i="154"/>
  <c r="BC387" i="154"/>
  <c r="BC382" i="154"/>
  <c r="AG579" i="153"/>
  <c r="AG517" i="153"/>
  <c r="AS388" i="153"/>
  <c r="AS51" i="153" s="1"/>
  <c r="AS116" i="153" s="1"/>
  <c r="I625" i="155"/>
  <c r="I626" i="155" s="1"/>
  <c r="AU352" i="153"/>
  <c r="AU44" i="153" s="1"/>
  <c r="AU109" i="153" s="1"/>
  <c r="AX352" i="154"/>
  <c r="AX44" i="154" s="1"/>
  <c r="AX109" i="154" s="1"/>
  <c r="AD400" i="155"/>
  <c r="AD57" i="155" s="1"/>
  <c r="AV399" i="154"/>
  <c r="AV397" i="154"/>
  <c r="AV395" i="154"/>
  <c r="AV394" i="154"/>
  <c r="AV398" i="154"/>
  <c r="AV396" i="154"/>
  <c r="N573" i="153"/>
  <c r="P573" i="153" s="1"/>
  <c r="BN507" i="153"/>
  <c r="BO507" i="153"/>
  <c r="BP507" i="153"/>
  <c r="BQ507" i="153"/>
  <c r="BR507" i="153"/>
  <c r="BS507" i="153"/>
  <c r="BT507" i="153"/>
  <c r="BU507" i="153"/>
  <c r="BV507" i="153"/>
  <c r="BW507" i="153"/>
  <c r="BX507" i="153"/>
  <c r="BY507" i="153"/>
  <c r="AS388" i="154"/>
  <c r="AS51" i="154" s="1"/>
  <c r="AS116" i="154" s="1"/>
  <c r="N542" i="154"/>
  <c r="N602" i="154"/>
  <c r="P602" i="154" s="1"/>
  <c r="P538" i="154"/>
  <c r="BN538" i="154"/>
  <c r="BO538" i="154"/>
  <c r="BP538" i="154"/>
  <c r="BQ538" i="154"/>
  <c r="BR538" i="154"/>
  <c r="BS538" i="154"/>
  <c r="BT538" i="154"/>
  <c r="BU538" i="154"/>
  <c r="BV538" i="154"/>
  <c r="BW538" i="154"/>
  <c r="BX538" i="154"/>
  <c r="BY538" i="154"/>
  <c r="AK529" i="155"/>
  <c r="AS527" i="155"/>
  <c r="AK590" i="155"/>
  <c r="N587" i="153"/>
  <c r="P587" i="153" s="1"/>
  <c r="BN523" i="153"/>
  <c r="BN587" i="153" s="1"/>
  <c r="BO523" i="153"/>
  <c r="BO587" i="153" s="1"/>
  <c r="BP523" i="153"/>
  <c r="BP587" i="153" s="1"/>
  <c r="BQ523" i="153"/>
  <c r="BQ587" i="153" s="1"/>
  <c r="BR523" i="153"/>
  <c r="BR587" i="153" s="1"/>
  <c r="BS523" i="153"/>
  <c r="BS587" i="153" s="1"/>
  <c r="BT523" i="153"/>
  <c r="BT587" i="153" s="1"/>
  <c r="BU523" i="153"/>
  <c r="BU587" i="153" s="1"/>
  <c r="BV523" i="153"/>
  <c r="BV587" i="153" s="1"/>
  <c r="BW523" i="153"/>
  <c r="BW587" i="153" s="1"/>
  <c r="BX523" i="153"/>
  <c r="BX587" i="153" s="1"/>
  <c r="BY523" i="153"/>
  <c r="BY587" i="153" s="1"/>
  <c r="AX606" i="153"/>
  <c r="BG232" i="153"/>
  <c r="AY352" i="153"/>
  <c r="AY44" i="153" s="1"/>
  <c r="AY109" i="153" s="1"/>
  <c r="AY606" i="153"/>
  <c r="BA606" i="153"/>
  <c r="AQ372" i="154"/>
  <c r="AQ49" i="154" s="1"/>
  <c r="AQ114" i="154" s="1"/>
  <c r="AR363" i="154"/>
  <c r="AR360" i="154"/>
  <c r="AR359" i="154"/>
  <c r="AR361" i="154"/>
  <c r="AR358" i="154"/>
  <c r="AR362" i="154"/>
  <c r="BH512" i="155"/>
  <c r="BB611" i="155"/>
  <c r="BB549" i="155"/>
  <c r="BB613" i="155" s="1"/>
  <c r="AS352" i="155"/>
  <c r="AS44" i="155" s="1"/>
  <c r="AS109" i="155" s="1"/>
  <c r="AP229" i="153"/>
  <c r="AC529" i="153"/>
  <c r="AC518" i="153"/>
  <c r="AC581" i="153"/>
  <c r="BG404" i="155"/>
  <c r="BG402" i="155"/>
  <c r="BG405" i="155"/>
  <c r="BG403" i="155"/>
  <c r="BG406" i="155"/>
  <c r="BG407" i="155"/>
  <c r="AT230" i="155"/>
  <c r="AY380" i="153"/>
  <c r="AY50" i="153" s="1"/>
  <c r="AY115" i="153" s="1"/>
  <c r="AS229" i="154"/>
  <c r="AX372" i="153"/>
  <c r="AX49" i="153" s="1"/>
  <c r="AX114" i="153" s="1"/>
  <c r="AQ229" i="155"/>
  <c r="Y591" i="154"/>
  <c r="Y224" i="154"/>
  <c r="AU228" i="154"/>
  <c r="BI233" i="155"/>
  <c r="BJ376" i="155"/>
  <c r="BJ375" i="155"/>
  <c r="BJ377" i="155"/>
  <c r="BJ379" i="155"/>
  <c r="BJ374" i="155"/>
  <c r="BJ378" i="155"/>
  <c r="BB585" i="154"/>
  <c r="BB524" i="154"/>
  <c r="BF350" i="153"/>
  <c r="BF349" i="153"/>
  <c r="BF347" i="153"/>
  <c r="BF348" i="153"/>
  <c r="BF351" i="153"/>
  <c r="BF346" i="153"/>
  <c r="AP380" i="155"/>
  <c r="AP50" i="155" s="1"/>
  <c r="AV526" i="155"/>
  <c r="AV588" i="155"/>
  <c r="P548" i="154"/>
  <c r="N612" i="154"/>
  <c r="P612" i="154" s="1"/>
  <c r="BN548" i="154"/>
  <c r="BN612" i="154" s="1"/>
  <c r="BO548" i="154"/>
  <c r="BO612" i="154" s="1"/>
  <c r="BP548" i="154"/>
  <c r="BP612" i="154" s="1"/>
  <c r="BQ548" i="154"/>
  <c r="BQ612" i="154" s="1"/>
  <c r="BR548" i="154"/>
  <c r="BR612" i="154" s="1"/>
  <c r="BS548" i="154"/>
  <c r="BS612" i="154" s="1"/>
  <c r="BT548" i="154"/>
  <c r="BT612" i="154" s="1"/>
  <c r="BU548" i="154"/>
  <c r="BU612" i="154" s="1"/>
  <c r="BV548" i="154"/>
  <c r="BV612" i="154" s="1"/>
  <c r="BW548" i="154"/>
  <c r="BW612" i="154" s="1"/>
  <c r="BX548" i="154"/>
  <c r="BX612" i="154" s="1"/>
  <c r="BY548" i="154"/>
  <c r="BY612" i="154" s="1"/>
  <c r="AZ408" i="153"/>
  <c r="AZ58" i="153" s="1"/>
  <c r="AZ123" i="153" s="1"/>
  <c r="AQ230" i="154"/>
  <c r="BE512" i="154"/>
  <c r="BD542" i="153"/>
  <c r="BD602" i="153"/>
  <c r="BA372" i="154"/>
  <c r="BA49" i="154" s="1"/>
  <c r="BA114" i="154" s="1"/>
  <c r="BK382" i="153"/>
  <c r="BK384" i="153"/>
  <c r="BK387" i="153"/>
  <c r="BK386" i="153"/>
  <c r="BK385" i="153"/>
  <c r="BK383" i="153"/>
  <c r="BJ549" i="154"/>
  <c r="BJ613" i="154" s="1"/>
  <c r="BJ611" i="154"/>
  <c r="AW408" i="155"/>
  <c r="AW58" i="155" s="1"/>
  <c r="AW123" i="155" s="1"/>
  <c r="AX397" i="155"/>
  <c r="AX395" i="155"/>
  <c r="AX396" i="155"/>
  <c r="AX394" i="155"/>
  <c r="AX399" i="155"/>
  <c r="AX398" i="155"/>
  <c r="BF234" i="154"/>
  <c r="AQ363" i="153"/>
  <c r="AQ361" i="153"/>
  <c r="AQ360" i="153"/>
  <c r="AQ362" i="153"/>
  <c r="AQ359" i="153"/>
  <c r="AQ358" i="153"/>
  <c r="W591" i="153"/>
  <c r="W224" i="153"/>
  <c r="BA228" i="153"/>
  <c r="AQ230" i="153"/>
  <c r="AO518" i="153"/>
  <c r="AO581" i="153"/>
  <c r="AF579" i="154"/>
  <c r="AF517" i="154"/>
  <c r="AF529" i="154" s="1"/>
  <c r="M606" i="154"/>
  <c r="AX363" i="153"/>
  <c r="AX360" i="153"/>
  <c r="AX362" i="153"/>
  <c r="AX361" i="153"/>
  <c r="AX358" i="153"/>
  <c r="AX359" i="153"/>
  <c r="BF232" i="153"/>
  <c r="AY408" i="154"/>
  <c r="AY58" i="154" s="1"/>
  <c r="AY123" i="154" s="1"/>
  <c r="AI400" i="155"/>
  <c r="AI57" i="155" s="1"/>
  <c r="AQ380" i="154"/>
  <c r="AQ50" i="154" s="1"/>
  <c r="AQ115" i="154" s="1"/>
  <c r="W593" i="155"/>
  <c r="W594" i="155" s="1"/>
  <c r="W530" i="155"/>
  <c r="W544" i="155"/>
  <c r="BG512" i="155"/>
  <c r="AU380" i="153"/>
  <c r="AU50" i="153" s="1"/>
  <c r="AU115" i="153" s="1"/>
  <c r="M578" i="153"/>
  <c r="BB514" i="153"/>
  <c r="BB578" i="153" s="1"/>
  <c r="BC514" i="153"/>
  <c r="BC578" i="153" s="1"/>
  <c r="BD514" i="153"/>
  <c r="BD578" i="153" s="1"/>
  <c r="BE514" i="153"/>
  <c r="BE578" i="153" s="1"/>
  <c r="BF514" i="153"/>
  <c r="BF578" i="153" s="1"/>
  <c r="BG514" i="153"/>
  <c r="BG578" i="153" s="1"/>
  <c r="BH514" i="153"/>
  <c r="BH578" i="153" s="1"/>
  <c r="BI514" i="153"/>
  <c r="BI578" i="153" s="1"/>
  <c r="BJ514" i="153"/>
  <c r="BJ578" i="153" s="1"/>
  <c r="BK514" i="153"/>
  <c r="BK578" i="153" s="1"/>
  <c r="BL514" i="153"/>
  <c r="BL578" i="153" s="1"/>
  <c r="BM514" i="153"/>
  <c r="BM578" i="153" s="1"/>
  <c r="AV380" i="153"/>
  <c r="AV50" i="153" s="1"/>
  <c r="AV115" i="153" s="1"/>
  <c r="N549" i="154"/>
  <c r="BF405" i="155"/>
  <c r="BF403" i="155"/>
  <c r="BF404" i="155"/>
  <c r="BF406" i="155"/>
  <c r="BF407" i="155"/>
  <c r="BF402" i="155"/>
  <c r="BM384" i="155"/>
  <c r="BM385" i="155"/>
  <c r="BM383" i="155"/>
  <c r="BM387" i="155"/>
  <c r="BM386" i="155"/>
  <c r="BM382" i="155"/>
  <c r="AH579" i="154"/>
  <c r="AH517" i="154"/>
  <c r="AS230" i="155"/>
  <c r="AD579" i="153"/>
  <c r="AD517" i="153"/>
  <c r="AR229" i="154"/>
  <c r="AP229" i="155"/>
  <c r="AT228" i="154"/>
  <c r="BH233" i="155"/>
  <c r="BI378" i="155"/>
  <c r="BI376" i="155"/>
  <c r="BI377" i="155"/>
  <c r="BI379" i="155"/>
  <c r="BI375" i="155"/>
  <c r="BI374" i="155"/>
  <c r="AY372" i="154"/>
  <c r="AY49" i="154" s="1"/>
  <c r="AY114" i="154" s="1"/>
  <c r="AJ590" i="154"/>
  <c r="AR527" i="154"/>
  <c r="AP352" i="154"/>
  <c r="AP44" i="154" s="1"/>
  <c r="AL364" i="155"/>
  <c r="AL48" i="155" s="1"/>
  <c r="BE351" i="153"/>
  <c r="BE347" i="153"/>
  <c r="BE350" i="153"/>
  <c r="BE349" i="153"/>
  <c r="BE348" i="153"/>
  <c r="BE346" i="153"/>
  <c r="AP230" i="154"/>
  <c r="AR352" i="154"/>
  <c r="AR44" i="154" s="1"/>
  <c r="AR109" i="154" s="1"/>
  <c r="BD512" i="154"/>
  <c r="AM400" i="154"/>
  <c r="AM57" i="154" s="1"/>
  <c r="BC542" i="153"/>
  <c r="BC602" i="153"/>
  <c r="BJ386" i="153"/>
  <c r="BJ387" i="153"/>
  <c r="BJ382" i="153"/>
  <c r="BJ384" i="153"/>
  <c r="BJ383" i="153"/>
  <c r="BJ385" i="153"/>
  <c r="BI611" i="154"/>
  <c r="BI549" i="154"/>
  <c r="BI613" i="154" s="1"/>
  <c r="BA408" i="153"/>
  <c r="BA58" i="153" s="1"/>
  <c r="BA123" i="153" s="1"/>
  <c r="AX588" i="155"/>
  <c r="AX526" i="155"/>
  <c r="BE234" i="154"/>
  <c r="R591" i="153"/>
  <c r="R224" i="153"/>
  <c r="AQ408" i="154"/>
  <c r="AQ58" i="154" s="1"/>
  <c r="AQ123" i="154" s="1"/>
  <c r="AQ588" i="154"/>
  <c r="AQ526" i="154"/>
  <c r="AO529" i="154"/>
  <c r="AO581" i="154"/>
  <c r="AO518" i="154"/>
  <c r="AW362" i="153"/>
  <c r="AW359" i="153"/>
  <c r="AW361" i="153"/>
  <c r="AW358" i="153"/>
  <c r="AW360" i="153"/>
  <c r="AW363" i="153"/>
  <c r="W591" i="154"/>
  <c r="W224" i="154"/>
  <c r="AX588" i="154"/>
  <c r="AX526" i="154"/>
  <c r="R518" i="155"/>
  <c r="R581" i="155"/>
  <c r="AS588" i="154"/>
  <c r="AS526" i="154"/>
  <c r="AP230" i="153"/>
  <c r="AT588" i="154"/>
  <c r="AT526" i="154"/>
  <c r="AI400" i="154"/>
  <c r="AI57" i="154" s="1"/>
  <c r="AV408" i="154"/>
  <c r="AV58" i="154" s="1"/>
  <c r="AV123" i="154" s="1"/>
  <c r="AE590" i="155"/>
  <c r="AM527" i="155"/>
  <c r="BE232" i="153"/>
  <c r="AP360" i="155"/>
  <c r="AP362" i="155"/>
  <c r="AP361" i="155"/>
  <c r="AP359" i="155"/>
  <c r="AP358" i="155"/>
  <c r="AP363" i="155"/>
  <c r="N549" i="153"/>
  <c r="P547" i="153"/>
  <c r="N611" i="153"/>
  <c r="P611" i="153" s="1"/>
  <c r="BN547" i="153"/>
  <c r="BO547" i="153"/>
  <c r="BP547" i="153"/>
  <c r="BQ547" i="153"/>
  <c r="BR547" i="153"/>
  <c r="BS547" i="153"/>
  <c r="BT547" i="153"/>
  <c r="BU547" i="153"/>
  <c r="BV547" i="153"/>
  <c r="BW547" i="153"/>
  <c r="BX547" i="153"/>
  <c r="BY547" i="153"/>
  <c r="AV388" i="154"/>
  <c r="AV51" i="154" s="1"/>
  <c r="AV116" i="154" s="1"/>
  <c r="BF512" i="155"/>
  <c r="N611" i="155"/>
  <c r="P611" i="155" s="1"/>
  <c r="P547" i="155"/>
  <c r="N549" i="155"/>
  <c r="BN547" i="155"/>
  <c r="BO547" i="155"/>
  <c r="BP547" i="155"/>
  <c r="BQ547" i="155"/>
  <c r="BR547" i="155"/>
  <c r="BS547" i="155"/>
  <c r="BT547" i="155"/>
  <c r="BU547" i="155"/>
  <c r="BV547" i="155"/>
  <c r="BW547" i="155"/>
  <c r="BX547" i="155"/>
  <c r="BY547" i="155"/>
  <c r="AF364" i="155"/>
  <c r="AF48" i="155" s="1"/>
  <c r="X529" i="153"/>
  <c r="X581" i="153"/>
  <c r="X518" i="153"/>
  <c r="AQ399" i="153"/>
  <c r="AQ398" i="153"/>
  <c r="AQ395" i="153"/>
  <c r="AQ396" i="153"/>
  <c r="AQ394" i="153"/>
  <c r="AQ397" i="153"/>
  <c r="AV380" i="154"/>
  <c r="AV50" i="154" s="1"/>
  <c r="AV115" i="154" s="1"/>
  <c r="BE402" i="155"/>
  <c r="BE405" i="155"/>
  <c r="BE406" i="155"/>
  <c r="BE403" i="155"/>
  <c r="BE407" i="155"/>
  <c r="BE404" i="155"/>
  <c r="AR372" i="155"/>
  <c r="AR49" i="155" s="1"/>
  <c r="AR114" i="155" s="1"/>
  <c r="BL386" i="155"/>
  <c r="BL387" i="155"/>
  <c r="BL384" i="155"/>
  <c r="BL383" i="155"/>
  <c r="BL385" i="155"/>
  <c r="BL382" i="155"/>
  <c r="AU606" i="154"/>
  <c r="AH517" i="153"/>
  <c r="AH579" i="153"/>
  <c r="AT396" i="153"/>
  <c r="AT394" i="153"/>
  <c r="AT398" i="153"/>
  <c r="AT397" i="153"/>
  <c r="AT395" i="153"/>
  <c r="AT399" i="153"/>
  <c r="AR408" i="155"/>
  <c r="AR58" i="155" s="1"/>
  <c r="AR123" i="155" s="1"/>
  <c r="M578" i="155"/>
  <c r="BB514" i="155"/>
  <c r="BB578" i="155" s="1"/>
  <c r="BC514" i="155"/>
  <c r="BC578" i="155" s="1"/>
  <c r="BD514" i="155"/>
  <c r="BD578" i="155" s="1"/>
  <c r="BE514" i="155"/>
  <c r="BE578" i="155" s="1"/>
  <c r="BF514" i="155"/>
  <c r="BF578" i="155" s="1"/>
  <c r="BG514" i="155"/>
  <c r="BG578" i="155" s="1"/>
  <c r="BH514" i="155"/>
  <c r="BH578" i="155" s="1"/>
  <c r="BI514" i="155"/>
  <c r="BI578" i="155" s="1"/>
  <c r="BJ514" i="155"/>
  <c r="BJ578" i="155" s="1"/>
  <c r="BK514" i="155"/>
  <c r="BK578" i="155" s="1"/>
  <c r="BL514" i="155"/>
  <c r="BL578" i="155" s="1"/>
  <c r="BM514" i="155"/>
  <c r="BM578" i="155" s="1"/>
  <c r="BG233" i="155"/>
  <c r="AY515" i="153"/>
  <c r="AY576" i="153"/>
  <c r="BH379" i="155"/>
  <c r="BH374" i="155"/>
  <c r="BH378" i="155"/>
  <c r="BH376" i="155"/>
  <c r="BH377" i="155"/>
  <c r="BH375" i="155"/>
  <c r="AG400" i="153"/>
  <c r="AG57" i="153" s="1"/>
  <c r="AZ606" i="155"/>
  <c r="N585" i="154"/>
  <c r="P585" i="154" s="1"/>
  <c r="BN521" i="154"/>
  <c r="BO521" i="154"/>
  <c r="BP521" i="154"/>
  <c r="BQ521" i="154"/>
  <c r="BR521" i="154"/>
  <c r="BS521" i="154"/>
  <c r="BT521" i="154"/>
  <c r="BU521" i="154"/>
  <c r="BV521" i="154"/>
  <c r="BW521" i="154"/>
  <c r="BX521" i="154"/>
  <c r="BY521" i="154"/>
  <c r="AX352" i="155"/>
  <c r="AX44" i="155" s="1"/>
  <c r="AX109" i="155" s="1"/>
  <c r="BD348" i="153"/>
  <c r="BD350" i="153"/>
  <c r="BD351" i="153"/>
  <c r="BD349" i="153"/>
  <c r="BD347" i="153"/>
  <c r="BD346" i="153"/>
  <c r="M580" i="154"/>
  <c r="BB516" i="154"/>
  <c r="BB580" i="154" s="1"/>
  <c r="BC516" i="154"/>
  <c r="BC580" i="154" s="1"/>
  <c r="BD516" i="154"/>
  <c r="BD580" i="154" s="1"/>
  <c r="BE516" i="154"/>
  <c r="BE580" i="154" s="1"/>
  <c r="BF516" i="154"/>
  <c r="BF580" i="154" s="1"/>
  <c r="BG516" i="154"/>
  <c r="BG580" i="154" s="1"/>
  <c r="BH516" i="154"/>
  <c r="BH580" i="154" s="1"/>
  <c r="BI516" i="154"/>
  <c r="BI580" i="154" s="1"/>
  <c r="BJ516" i="154"/>
  <c r="BJ580" i="154" s="1"/>
  <c r="BK516" i="154"/>
  <c r="BK580" i="154" s="1"/>
  <c r="BL516" i="154"/>
  <c r="BL580" i="154" s="1"/>
  <c r="BM516" i="154"/>
  <c r="BM580" i="154" s="1"/>
  <c r="BC512" i="154"/>
  <c r="BB602" i="153"/>
  <c r="BB542" i="153"/>
  <c r="BI387" i="153"/>
  <c r="BI384" i="153"/>
  <c r="BI386" i="153"/>
  <c r="BI383" i="153"/>
  <c r="BI382" i="153"/>
  <c r="BI385" i="153"/>
  <c r="BH549" i="154"/>
  <c r="BH613" i="154" s="1"/>
  <c r="BH611" i="154"/>
  <c r="BD234" i="154"/>
  <c r="L590" i="153"/>
  <c r="L591" i="153" s="1"/>
  <c r="T527" i="153"/>
  <c r="K581" i="153"/>
  <c r="K582" i="153" s="1"/>
  <c r="BJ542" i="154"/>
  <c r="BJ602" i="154"/>
  <c r="AT380" i="155"/>
  <c r="AT50" i="155" s="1"/>
  <c r="AT115" i="155" s="1"/>
  <c r="AB581" i="153"/>
  <c r="AB518" i="153"/>
  <c r="N605" i="154"/>
  <c r="P605" i="154" s="1"/>
  <c r="P541" i="154"/>
  <c r="BN541" i="154"/>
  <c r="BN605" i="154" s="1"/>
  <c r="BO541" i="154"/>
  <c r="BO605" i="154" s="1"/>
  <c r="BP541" i="154"/>
  <c r="BP605" i="154" s="1"/>
  <c r="BQ541" i="154"/>
  <c r="BQ605" i="154" s="1"/>
  <c r="BR541" i="154"/>
  <c r="BR605" i="154" s="1"/>
  <c r="BS541" i="154"/>
  <c r="BS605" i="154" s="1"/>
  <c r="BT541" i="154"/>
  <c r="BT605" i="154" s="1"/>
  <c r="BU541" i="154"/>
  <c r="BU605" i="154" s="1"/>
  <c r="BV541" i="154"/>
  <c r="BV605" i="154" s="1"/>
  <c r="BW541" i="154"/>
  <c r="BW605" i="154" s="1"/>
  <c r="BX541" i="154"/>
  <c r="BX605" i="154" s="1"/>
  <c r="BY541" i="154"/>
  <c r="BY605" i="154" s="1"/>
  <c r="BA408" i="155"/>
  <c r="BA58" i="155" s="1"/>
  <c r="BA123" i="155" s="1"/>
  <c r="AO364" i="153"/>
  <c r="AO48" i="153" s="1"/>
  <c r="BD232" i="153"/>
  <c r="AP606" i="155"/>
  <c r="BM234" i="155"/>
  <c r="BD406" i="155"/>
  <c r="BD403" i="155"/>
  <c r="BD405" i="155"/>
  <c r="BD407" i="155"/>
  <c r="BD404" i="155"/>
  <c r="BD402" i="155"/>
  <c r="BK387" i="155"/>
  <c r="BK386" i="155"/>
  <c r="BK385" i="155"/>
  <c r="BK384" i="155"/>
  <c r="BK382" i="155"/>
  <c r="BK383" i="155"/>
  <c r="AU360" i="154"/>
  <c r="AU362" i="154"/>
  <c r="AU361" i="154"/>
  <c r="AU359" i="154"/>
  <c r="AU363" i="154"/>
  <c r="AU358" i="154"/>
  <c r="AW515" i="153"/>
  <c r="AW576" i="153"/>
  <c r="AS588" i="155"/>
  <c r="AS526" i="155"/>
  <c r="BF233" i="155"/>
  <c r="BG379" i="155"/>
  <c r="BG374" i="155"/>
  <c r="BG375" i="155"/>
  <c r="BG378" i="155"/>
  <c r="BG376" i="155"/>
  <c r="BG377" i="155"/>
  <c r="AZ361" i="155"/>
  <c r="AZ363" i="155"/>
  <c r="AZ358" i="155"/>
  <c r="AZ362" i="155"/>
  <c r="AZ360" i="155"/>
  <c r="AZ359" i="155"/>
  <c r="M588" i="154"/>
  <c r="BA361" i="155"/>
  <c r="BA359" i="155"/>
  <c r="BA363" i="155"/>
  <c r="BA360" i="155"/>
  <c r="BA362" i="155"/>
  <c r="BA358" i="155"/>
  <c r="BC347" i="153"/>
  <c r="BC348" i="153"/>
  <c r="BC346" i="153"/>
  <c r="BC350" i="153"/>
  <c r="BC349" i="153"/>
  <c r="BC351" i="153"/>
  <c r="AX515" i="155"/>
  <c r="BB512" i="154"/>
  <c r="M606" i="153"/>
  <c r="BH383" i="153"/>
  <c r="BH387" i="153"/>
  <c r="BH382" i="153"/>
  <c r="BH385" i="153"/>
  <c r="BH386" i="153"/>
  <c r="BH384" i="153"/>
  <c r="BG549" i="154"/>
  <c r="BG613" i="154" s="1"/>
  <c r="BG611" i="154"/>
  <c r="BC234" i="154"/>
  <c r="R529" i="153"/>
  <c r="AP395" i="154"/>
  <c r="AP399" i="154"/>
  <c r="AP398" i="154"/>
  <c r="AP397" i="154"/>
  <c r="AP394" i="154"/>
  <c r="AP396" i="154"/>
  <c r="BB387" i="154"/>
  <c r="BB382" i="154"/>
  <c r="BB384" i="154"/>
  <c r="BB383" i="154"/>
  <c r="BB386" i="154"/>
  <c r="BB385" i="154"/>
  <c r="AR388" i="153"/>
  <c r="AR51" i="153" s="1"/>
  <c r="AR116" i="153" s="1"/>
  <c r="AY228" i="153"/>
  <c r="M580" i="153"/>
  <c r="BB516" i="153"/>
  <c r="BB580" i="153" s="1"/>
  <c r="BC516" i="153"/>
  <c r="BC580" i="153" s="1"/>
  <c r="BD516" i="153"/>
  <c r="BD580" i="153" s="1"/>
  <c r="BE516" i="153"/>
  <c r="BE580" i="153" s="1"/>
  <c r="BF516" i="153"/>
  <c r="BF580" i="153" s="1"/>
  <c r="BG516" i="153"/>
  <c r="BG580" i="153" s="1"/>
  <c r="BH516" i="153"/>
  <c r="BH580" i="153" s="1"/>
  <c r="BI516" i="153"/>
  <c r="BI580" i="153" s="1"/>
  <c r="BJ516" i="153"/>
  <c r="BJ580" i="153" s="1"/>
  <c r="BK516" i="153"/>
  <c r="BK580" i="153" s="1"/>
  <c r="BL516" i="153"/>
  <c r="BL580" i="153" s="1"/>
  <c r="BM516" i="153"/>
  <c r="BM580" i="153" s="1"/>
  <c r="AA591" i="155"/>
  <c r="AA224" i="155"/>
  <c r="BM374" i="153"/>
  <c r="BM377" i="153"/>
  <c r="BM376" i="153"/>
  <c r="BM379" i="153"/>
  <c r="BM378" i="153"/>
  <c r="BM375" i="153"/>
  <c r="I134" i="103"/>
  <c r="I134" i="104"/>
  <c r="AY408" i="155"/>
  <c r="AY58" i="155" s="1"/>
  <c r="AY123" i="155" s="1"/>
  <c r="AV352" i="154"/>
  <c r="AV44" i="154" s="1"/>
  <c r="AV109" i="154" s="1"/>
  <c r="BA526" i="155"/>
  <c r="BA588" i="155"/>
  <c r="AX228" i="153"/>
  <c r="AA530" i="155"/>
  <c r="AA593" i="155"/>
  <c r="AA594" i="155" s="1"/>
  <c r="AA544" i="155"/>
  <c r="BA408" i="154"/>
  <c r="BA58" i="154" s="1"/>
  <c r="BA123" i="154" s="1"/>
  <c r="AA529" i="154"/>
  <c r="AA581" i="154"/>
  <c r="AA518" i="154"/>
  <c r="AX380" i="155"/>
  <c r="AX50" i="155" s="1"/>
  <c r="AX115" i="155" s="1"/>
  <c r="BL374" i="153"/>
  <c r="BL379" i="153"/>
  <c r="BL378" i="153"/>
  <c r="BL376" i="153"/>
  <c r="BL377" i="153"/>
  <c r="BL375" i="153"/>
  <c r="AJ364" i="154"/>
  <c r="AJ48" i="154" s="1"/>
  <c r="BM376" i="154"/>
  <c r="BM378" i="154"/>
  <c r="BM379" i="154"/>
  <c r="BM377" i="154"/>
  <c r="BM375" i="154"/>
  <c r="BM374" i="154"/>
  <c r="BC232" i="153"/>
  <c r="BN509" i="155"/>
  <c r="BN573" i="155" s="1"/>
  <c r="BO509" i="155"/>
  <c r="BO573" i="155" s="1"/>
  <c r="BP509" i="155"/>
  <c r="BP573" i="155" s="1"/>
  <c r="BQ509" i="155"/>
  <c r="BQ573" i="155" s="1"/>
  <c r="BR509" i="155"/>
  <c r="BR573" i="155" s="1"/>
  <c r="BS509" i="155"/>
  <c r="BS573" i="155" s="1"/>
  <c r="BT509" i="155"/>
  <c r="BT573" i="155" s="1"/>
  <c r="BU509" i="155"/>
  <c r="BU573" i="155" s="1"/>
  <c r="BV509" i="155"/>
  <c r="BV573" i="155" s="1"/>
  <c r="BW509" i="155"/>
  <c r="BW573" i="155" s="1"/>
  <c r="BX509" i="155"/>
  <c r="BX573" i="155" s="1"/>
  <c r="BY509" i="155"/>
  <c r="BY573" i="155" s="1"/>
  <c r="AK364" i="154"/>
  <c r="AK48" i="154" s="1"/>
  <c r="BL234" i="155"/>
  <c r="BM369" i="154"/>
  <c r="BM367" i="154"/>
  <c r="BM368" i="154"/>
  <c r="BM370" i="154"/>
  <c r="BM366" i="154"/>
  <c r="BM371" i="154"/>
  <c r="AZ396" i="154"/>
  <c r="AZ399" i="154"/>
  <c r="AZ397" i="154"/>
  <c r="AZ395" i="154"/>
  <c r="AZ398" i="154"/>
  <c r="AZ394" i="154"/>
  <c r="AP408" i="153"/>
  <c r="AP58" i="153" s="1"/>
  <c r="AP352" i="155"/>
  <c r="AP44" i="155" s="1"/>
  <c r="AZ388" i="153"/>
  <c r="AZ51" i="153" s="1"/>
  <c r="AZ116" i="153" s="1"/>
  <c r="BD512" i="155"/>
  <c r="AK529" i="154"/>
  <c r="AK590" i="154"/>
  <c r="AS527" i="154"/>
  <c r="AT606" i="155"/>
  <c r="AL527" i="155"/>
  <c r="AD590" i="155"/>
  <c r="BC407" i="155"/>
  <c r="BC405" i="155"/>
  <c r="BC406" i="155"/>
  <c r="BC404" i="155"/>
  <c r="BC402" i="155"/>
  <c r="BC403" i="155"/>
  <c r="BJ383" i="155"/>
  <c r="BJ382" i="155"/>
  <c r="BJ384" i="155"/>
  <c r="BJ385" i="155"/>
  <c r="BJ387" i="155"/>
  <c r="BJ386" i="155"/>
  <c r="AA518" i="155"/>
  <c r="AA581" i="155"/>
  <c r="AT408" i="153"/>
  <c r="AT58" i="153" s="1"/>
  <c r="AT123" i="153" s="1"/>
  <c r="AN400" i="154"/>
  <c r="AN57" i="154" s="1"/>
  <c r="AP230" i="155"/>
  <c r="AC591" i="154"/>
  <c r="AC224" i="154"/>
  <c r="AV372" i="154"/>
  <c r="AV49" i="154" s="1"/>
  <c r="AV114" i="154" s="1"/>
  <c r="R224" i="155"/>
  <c r="R591" i="155"/>
  <c r="AW372" i="154"/>
  <c r="AW49" i="154" s="1"/>
  <c r="AW114" i="154" s="1"/>
  <c r="AQ228" i="154"/>
  <c r="BE233" i="155"/>
  <c r="BF376" i="155"/>
  <c r="BF378" i="155"/>
  <c r="BF379" i="155"/>
  <c r="BF377" i="155"/>
  <c r="BF375" i="155"/>
  <c r="BF374" i="155"/>
  <c r="AL581" i="153"/>
  <c r="AL518" i="153"/>
  <c r="AU398" i="155"/>
  <c r="AU399" i="155"/>
  <c r="AU394" i="155"/>
  <c r="AU397" i="155"/>
  <c r="AU396" i="155"/>
  <c r="AU395" i="155"/>
  <c r="BA606" i="155"/>
  <c r="BB350" i="153"/>
  <c r="BB346" i="153"/>
  <c r="BB349" i="153"/>
  <c r="BB347" i="153"/>
  <c r="BB351" i="153"/>
  <c r="BB348" i="153"/>
  <c r="M576" i="154"/>
  <c r="BG386" i="153"/>
  <c r="BG387" i="153"/>
  <c r="BG383" i="153"/>
  <c r="BG382" i="153"/>
  <c r="BG384" i="153"/>
  <c r="BG385" i="153"/>
  <c r="BF611" i="154"/>
  <c r="BF549" i="154"/>
  <c r="BF613" i="154" s="1"/>
  <c r="L579" i="154"/>
  <c r="BB234" i="154"/>
  <c r="AG517" i="155"/>
  <c r="AG579" i="155"/>
  <c r="Z529" i="155"/>
  <c r="AC591" i="153"/>
  <c r="AC224" i="153"/>
  <c r="AB591" i="153"/>
  <c r="AB224" i="153"/>
  <c r="T530" i="154"/>
  <c r="T593" i="154"/>
  <c r="T594" i="154" s="1"/>
  <c r="T544" i="154"/>
  <c r="AO400" i="155"/>
  <c r="AO57" i="155" s="1"/>
  <c r="AL400" i="153"/>
  <c r="AL57" i="153" s="1"/>
  <c r="AJ590" i="153"/>
  <c r="AR527" i="153"/>
  <c r="AT527" i="154"/>
  <c r="AL590" i="154"/>
  <c r="AP527" i="155"/>
  <c r="AH590" i="155"/>
  <c r="AZ408" i="155"/>
  <c r="AZ58" i="155" s="1"/>
  <c r="AZ123" i="155" s="1"/>
  <c r="AW228" i="153"/>
  <c r="X591" i="155"/>
  <c r="X224" i="155"/>
  <c r="AJ400" i="155"/>
  <c r="AJ57" i="155" s="1"/>
  <c r="AV352" i="153"/>
  <c r="AV44" i="153" s="1"/>
  <c r="AV109" i="153" s="1"/>
  <c r="BK379" i="153"/>
  <c r="BK377" i="153"/>
  <c r="BK378" i="153"/>
  <c r="BK375" i="153"/>
  <c r="BK376" i="153"/>
  <c r="BK374" i="153"/>
  <c r="BL378" i="154"/>
  <c r="BL379" i="154"/>
  <c r="BL376" i="154"/>
  <c r="BL377" i="154"/>
  <c r="BL375" i="154"/>
  <c r="BL374" i="154"/>
  <c r="Z593" i="153"/>
  <c r="Z594" i="153" s="1"/>
  <c r="Z530" i="153"/>
  <c r="Z544" i="153"/>
  <c r="X518" i="154"/>
  <c r="X581" i="154"/>
  <c r="AV388" i="153"/>
  <c r="AV51" i="153" s="1"/>
  <c r="AV116" i="153" s="1"/>
  <c r="AV527" i="153"/>
  <c r="AN590" i="153"/>
  <c r="BB232" i="153"/>
  <c r="BM402" i="153"/>
  <c r="BM404" i="153"/>
  <c r="BM407" i="153"/>
  <c r="BM405" i="153"/>
  <c r="BM406" i="153"/>
  <c r="BM403" i="153"/>
  <c r="AA224" i="154"/>
  <c r="AA591" i="154"/>
  <c r="BK234" i="155"/>
  <c r="BL367" i="154"/>
  <c r="BL366" i="154"/>
  <c r="BL368" i="154"/>
  <c r="BL369" i="154"/>
  <c r="BL371" i="154"/>
  <c r="BL370" i="154"/>
  <c r="AR372" i="153"/>
  <c r="AR49" i="153" s="1"/>
  <c r="AR114" i="153" s="1"/>
  <c r="BC512" i="155"/>
  <c r="AB518" i="154"/>
  <c r="AB581" i="154"/>
  <c r="AT360" i="155"/>
  <c r="AT362" i="155"/>
  <c r="AT363" i="155"/>
  <c r="AT358" i="155"/>
  <c r="AT361" i="155"/>
  <c r="AT359" i="155"/>
  <c r="AT576" i="153"/>
  <c r="AT515" i="153"/>
  <c r="BB405" i="155"/>
  <c r="BB403" i="155"/>
  <c r="BB406" i="155"/>
  <c r="BB404" i="155"/>
  <c r="BB402" i="155"/>
  <c r="BB407" i="155"/>
  <c r="BI382" i="155"/>
  <c r="BI387" i="155"/>
  <c r="BI385" i="155"/>
  <c r="BI386" i="155"/>
  <c r="BI384" i="155"/>
  <c r="BI383" i="155"/>
  <c r="AO527" i="154"/>
  <c r="AG590" i="154"/>
  <c r="M580" i="155"/>
  <c r="BB516" i="155"/>
  <c r="BB580" i="155" s="1"/>
  <c r="BC516" i="155"/>
  <c r="BC580" i="155" s="1"/>
  <c r="BD516" i="155"/>
  <c r="BD580" i="155" s="1"/>
  <c r="BE516" i="155"/>
  <c r="BE580" i="155" s="1"/>
  <c r="BF516" i="155"/>
  <c r="BF580" i="155" s="1"/>
  <c r="BG516" i="155"/>
  <c r="BG580" i="155" s="1"/>
  <c r="BH516" i="155"/>
  <c r="BH580" i="155" s="1"/>
  <c r="BI516" i="155"/>
  <c r="BI580" i="155" s="1"/>
  <c r="BJ516" i="155"/>
  <c r="BJ580" i="155" s="1"/>
  <c r="BK516" i="155"/>
  <c r="BK580" i="155" s="1"/>
  <c r="BL516" i="155"/>
  <c r="BL580" i="155" s="1"/>
  <c r="BM516" i="155"/>
  <c r="BM580" i="155" s="1"/>
  <c r="AK364" i="153"/>
  <c r="AK48" i="153" s="1"/>
  <c r="AC529" i="154"/>
  <c r="M578" i="154"/>
  <c r="BB514" i="154"/>
  <c r="BB578" i="154" s="1"/>
  <c r="BC514" i="154"/>
  <c r="BC578" i="154" s="1"/>
  <c r="BD514" i="154"/>
  <c r="BD578" i="154" s="1"/>
  <c r="BE514" i="154"/>
  <c r="BE578" i="154" s="1"/>
  <c r="BF514" i="154"/>
  <c r="BF578" i="154" s="1"/>
  <c r="BG514" i="154"/>
  <c r="BG578" i="154" s="1"/>
  <c r="BH514" i="154"/>
  <c r="BH578" i="154" s="1"/>
  <c r="BI514" i="154"/>
  <c r="BI578" i="154" s="1"/>
  <c r="BJ514" i="154"/>
  <c r="BJ578" i="154" s="1"/>
  <c r="BK514" i="154"/>
  <c r="BK578" i="154" s="1"/>
  <c r="BL514" i="154"/>
  <c r="BL578" i="154" s="1"/>
  <c r="BM514" i="154"/>
  <c r="BM578" i="154" s="1"/>
  <c r="AP228" i="154"/>
  <c r="BD233" i="155"/>
  <c r="BM348" i="154"/>
  <c r="BM346" i="154"/>
  <c r="BM349" i="154"/>
  <c r="BM347" i="154"/>
  <c r="BM350" i="154"/>
  <c r="BM351" i="154"/>
  <c r="BE374" i="155"/>
  <c r="BE378" i="155"/>
  <c r="BE375" i="155"/>
  <c r="BE379" i="155"/>
  <c r="BE377" i="155"/>
  <c r="BE376" i="155"/>
  <c r="AX408" i="153"/>
  <c r="AX58" i="153" s="1"/>
  <c r="AX123" i="153" s="1"/>
  <c r="AT408" i="155"/>
  <c r="AT58" i="155" s="1"/>
  <c r="AT123" i="155" s="1"/>
  <c r="AJ364" i="155"/>
  <c r="AJ48" i="155" s="1"/>
  <c r="AZ359" i="154"/>
  <c r="AZ358" i="154"/>
  <c r="AZ363" i="154"/>
  <c r="AZ362" i="154"/>
  <c r="AZ360" i="154"/>
  <c r="AZ361" i="154"/>
  <c r="AM364" i="153"/>
  <c r="AM48" i="153" s="1"/>
  <c r="P534" i="153"/>
  <c r="N598" i="153"/>
  <c r="P598" i="153" s="1"/>
  <c r="BN534" i="153"/>
  <c r="BN598" i="153" s="1"/>
  <c r="BO534" i="153"/>
  <c r="BO598" i="153" s="1"/>
  <c r="BP534" i="153"/>
  <c r="BP598" i="153" s="1"/>
  <c r="BQ534" i="153"/>
  <c r="BQ598" i="153" s="1"/>
  <c r="BR534" i="153"/>
  <c r="BR598" i="153" s="1"/>
  <c r="BS534" i="153"/>
  <c r="BS598" i="153" s="1"/>
  <c r="BT534" i="153"/>
  <c r="BT598" i="153" s="1"/>
  <c r="BU534" i="153"/>
  <c r="BU598" i="153" s="1"/>
  <c r="BV534" i="153"/>
  <c r="BV598" i="153" s="1"/>
  <c r="BW534" i="153"/>
  <c r="BW598" i="153" s="1"/>
  <c r="BX534" i="153"/>
  <c r="BX598" i="153" s="1"/>
  <c r="BY534" i="153"/>
  <c r="BY598" i="153" s="1"/>
  <c r="BA360" i="154"/>
  <c r="BA363" i="154"/>
  <c r="BA359" i="154"/>
  <c r="BA358" i="154"/>
  <c r="BA362" i="154"/>
  <c r="BA361" i="154"/>
  <c r="X529" i="154"/>
  <c r="T527" i="154"/>
  <c r="L590" i="154"/>
  <c r="L591" i="154" s="1"/>
  <c r="N542" i="153"/>
  <c r="P538" i="153"/>
  <c r="N602" i="153"/>
  <c r="P602" i="153" s="1"/>
  <c r="BN538" i="153"/>
  <c r="BO538" i="153"/>
  <c r="BP538" i="153"/>
  <c r="BQ538" i="153"/>
  <c r="BR538" i="153"/>
  <c r="BS538" i="153"/>
  <c r="BT538" i="153"/>
  <c r="BU538" i="153"/>
  <c r="BV538" i="153"/>
  <c r="BW538" i="153"/>
  <c r="BX538" i="153"/>
  <c r="BY538" i="153"/>
  <c r="BF387" i="153"/>
  <c r="BF382" i="153"/>
  <c r="BF383" i="153"/>
  <c r="BF386" i="153"/>
  <c r="BF385" i="153"/>
  <c r="BF384" i="153"/>
  <c r="BE611" i="154"/>
  <c r="BE549" i="154"/>
  <c r="BE613" i="154" s="1"/>
  <c r="N589" i="154"/>
  <c r="P589" i="154" s="1"/>
  <c r="BN525" i="154"/>
  <c r="BN589" i="154" s="1"/>
  <c r="BO525" i="154"/>
  <c r="BO589" i="154" s="1"/>
  <c r="BP525" i="154"/>
  <c r="BP589" i="154" s="1"/>
  <c r="BQ525" i="154"/>
  <c r="BQ589" i="154" s="1"/>
  <c r="BR525" i="154"/>
  <c r="BR589" i="154" s="1"/>
  <c r="BS525" i="154"/>
  <c r="BS589" i="154" s="1"/>
  <c r="BT525" i="154"/>
  <c r="BT589" i="154" s="1"/>
  <c r="BU525" i="154"/>
  <c r="BU589" i="154" s="1"/>
  <c r="BV525" i="154"/>
  <c r="BV589" i="154" s="1"/>
  <c r="BW525" i="154"/>
  <c r="BW589" i="154" s="1"/>
  <c r="BX525" i="154"/>
  <c r="BX589" i="154" s="1"/>
  <c r="BY525" i="154"/>
  <c r="BY589" i="154" s="1"/>
  <c r="BM585" i="153"/>
  <c r="BM524" i="153"/>
  <c r="AZ515" i="155"/>
  <c r="Z224" i="155"/>
  <c r="Z591" i="155"/>
  <c r="AY399" i="155"/>
  <c r="AY395" i="155"/>
  <c r="AY398" i="155"/>
  <c r="AY396" i="155"/>
  <c r="AY394" i="155"/>
  <c r="AY397" i="155"/>
  <c r="AY526" i="155"/>
  <c r="AY588" i="155"/>
  <c r="AD579" i="155"/>
  <c r="AD517" i="155"/>
  <c r="AD529" i="155" s="1"/>
  <c r="T591" i="154"/>
  <c r="T224" i="154"/>
  <c r="AZ526" i="155"/>
  <c r="AZ588" i="155"/>
  <c r="BJ377" i="153"/>
  <c r="BJ379" i="153"/>
  <c r="BJ376" i="153"/>
  <c r="BJ378" i="153"/>
  <c r="BJ375" i="153"/>
  <c r="BJ374" i="153"/>
  <c r="BK379" i="154"/>
  <c r="BK377" i="154"/>
  <c r="BK374" i="154"/>
  <c r="BK375" i="154"/>
  <c r="BK378" i="154"/>
  <c r="BK376" i="154"/>
  <c r="AW352" i="153"/>
  <c r="AW44" i="153" s="1"/>
  <c r="AW109" i="153" s="1"/>
  <c r="AZ352" i="154"/>
  <c r="AZ44" i="154" s="1"/>
  <c r="AZ109" i="154" s="1"/>
  <c r="AW398" i="154"/>
  <c r="AW394" i="154"/>
  <c r="AW399" i="154"/>
  <c r="AW396" i="154"/>
  <c r="AW395" i="154"/>
  <c r="AW397" i="154"/>
  <c r="AE400" i="154"/>
  <c r="AE57" i="154" s="1"/>
  <c r="N586" i="153"/>
  <c r="P586" i="153" s="1"/>
  <c r="BN522" i="153"/>
  <c r="BN586" i="153" s="1"/>
  <c r="BO522" i="153"/>
  <c r="BO586" i="153" s="1"/>
  <c r="BP522" i="153"/>
  <c r="BP586" i="153" s="1"/>
  <c r="BQ522" i="153"/>
  <c r="BQ586" i="153" s="1"/>
  <c r="BR522" i="153"/>
  <c r="BR586" i="153" s="1"/>
  <c r="BS522" i="153"/>
  <c r="BS586" i="153" s="1"/>
  <c r="BT522" i="153"/>
  <c r="BT586" i="153" s="1"/>
  <c r="BU522" i="153"/>
  <c r="BU586" i="153" s="1"/>
  <c r="BV522" i="153"/>
  <c r="BV586" i="153" s="1"/>
  <c r="BW522" i="153"/>
  <c r="BW586" i="153" s="1"/>
  <c r="BX522" i="153"/>
  <c r="BX586" i="153" s="1"/>
  <c r="BY522" i="153"/>
  <c r="BY586" i="153" s="1"/>
  <c r="AX396" i="154"/>
  <c r="AX397" i="154"/>
  <c r="AX398" i="154"/>
  <c r="AX394" i="154"/>
  <c r="AX395" i="154"/>
  <c r="AX399" i="154"/>
  <c r="AV588" i="153"/>
  <c r="AV526" i="153"/>
  <c r="BL404" i="153"/>
  <c r="BL405" i="153"/>
  <c r="BL402" i="153"/>
  <c r="BL406" i="153"/>
  <c r="BL403" i="153"/>
  <c r="BL407" i="153"/>
  <c r="AP576" i="153"/>
  <c r="AP515" i="153"/>
  <c r="BJ234" i="155"/>
  <c r="BK369" i="154"/>
  <c r="BK366" i="154"/>
  <c r="BK371" i="154"/>
  <c r="BK370" i="154"/>
  <c r="BK368" i="154"/>
  <c r="BK367" i="154"/>
  <c r="BM351" i="155"/>
  <c r="BM346" i="155"/>
  <c r="BM347" i="155"/>
  <c r="BM348" i="155"/>
  <c r="BM349" i="155"/>
  <c r="BM350" i="155"/>
  <c r="BM370" i="155"/>
  <c r="BM371" i="155"/>
  <c r="BM367" i="155"/>
  <c r="BM368" i="155"/>
  <c r="BM366" i="155"/>
  <c r="BM369" i="155"/>
  <c r="AT380" i="153"/>
  <c r="AT50" i="153" s="1"/>
  <c r="AT115" i="153" s="1"/>
  <c r="BB512" i="155"/>
  <c r="X223" i="155"/>
  <c r="X582" i="155"/>
  <c r="AX388" i="154"/>
  <c r="AX51" i="154" s="1"/>
  <c r="AX116" i="154" s="1"/>
  <c r="AS606" i="154"/>
  <c r="BA588" i="153"/>
  <c r="BA526" i="153"/>
  <c r="AP399" i="155"/>
  <c r="AP398" i="155"/>
  <c r="AP395" i="155"/>
  <c r="AP394" i="155"/>
  <c r="AP397" i="155"/>
  <c r="AP396" i="155"/>
  <c r="AG400" i="154"/>
  <c r="AG57" i="154" s="1"/>
  <c r="BH387" i="155"/>
  <c r="BH385" i="155"/>
  <c r="BH383" i="155"/>
  <c r="BH382" i="155"/>
  <c r="BH384" i="155"/>
  <c r="BH386" i="155"/>
  <c r="AV527" i="154"/>
  <c r="AN590" i="154"/>
  <c r="R529" i="155"/>
  <c r="M577" i="154"/>
  <c r="BB513" i="154"/>
  <c r="BB577" i="154" s="1"/>
  <c r="BC513" i="154"/>
  <c r="BC577" i="154" s="1"/>
  <c r="BD513" i="154"/>
  <c r="BD577" i="154" s="1"/>
  <c r="BE513" i="154"/>
  <c r="BE577" i="154" s="1"/>
  <c r="BF513" i="154"/>
  <c r="BF577" i="154" s="1"/>
  <c r="BG513" i="154"/>
  <c r="BG577" i="154" s="1"/>
  <c r="BH513" i="154"/>
  <c r="BH577" i="154" s="1"/>
  <c r="BI513" i="154"/>
  <c r="BI577" i="154" s="1"/>
  <c r="BJ513" i="154"/>
  <c r="BJ577" i="154" s="1"/>
  <c r="BK513" i="154"/>
  <c r="BK577" i="154" s="1"/>
  <c r="BL513" i="154"/>
  <c r="BL577" i="154" s="1"/>
  <c r="BM513" i="154"/>
  <c r="BM577" i="154" s="1"/>
  <c r="BC233" i="155"/>
  <c r="BL348" i="154"/>
  <c r="BL346" i="154"/>
  <c r="BL351" i="154"/>
  <c r="BL349" i="154"/>
  <c r="BL347" i="154"/>
  <c r="BL350" i="154"/>
  <c r="BD379" i="155"/>
  <c r="BD374" i="155"/>
  <c r="BD375" i="155"/>
  <c r="BD378" i="155"/>
  <c r="BD377" i="155"/>
  <c r="BD376" i="155"/>
  <c r="AN517" i="154"/>
  <c r="AN579" i="154"/>
  <c r="AZ606" i="154"/>
  <c r="AZ372" i="154"/>
  <c r="AZ49" i="154" s="1"/>
  <c r="AZ114" i="154" s="1"/>
  <c r="BA606" i="154"/>
  <c r="AY372" i="155"/>
  <c r="AY49" i="155" s="1"/>
  <c r="AY114" i="155" s="1"/>
  <c r="N573" i="154"/>
  <c r="P573" i="154" s="1"/>
  <c r="BN507" i="154"/>
  <c r="BO507" i="154"/>
  <c r="BP507" i="154"/>
  <c r="BQ507" i="154"/>
  <c r="BR507" i="154"/>
  <c r="BS507" i="154"/>
  <c r="BT507" i="154"/>
  <c r="BU507" i="154"/>
  <c r="BV507" i="154"/>
  <c r="BW507" i="154"/>
  <c r="BX507" i="154"/>
  <c r="BY507" i="154"/>
  <c r="V530" i="153"/>
  <c r="V593" i="153"/>
  <c r="V594" i="153" s="1"/>
  <c r="V544" i="153"/>
  <c r="BE387" i="153"/>
  <c r="BE383" i="153"/>
  <c r="BE386" i="153"/>
  <c r="BE384" i="153"/>
  <c r="BE385" i="153"/>
  <c r="BE382" i="153"/>
  <c r="BD611" i="154"/>
  <c r="BD549" i="154"/>
  <c r="BD613" i="154" s="1"/>
  <c r="AP606" i="153"/>
  <c r="BL585" i="153"/>
  <c r="BL524" i="153"/>
  <c r="AV228" i="153"/>
  <c r="BM234" i="153"/>
  <c r="AS352" i="153"/>
  <c r="AS44" i="153" s="1"/>
  <c r="AS109" i="153" s="1"/>
  <c r="AP588" i="153"/>
  <c r="AP526" i="153"/>
  <c r="AU228" i="153"/>
  <c r="X530" i="155"/>
  <c r="X593" i="155"/>
  <c r="X594" i="155" s="1"/>
  <c r="X544" i="155"/>
  <c r="BM602" i="155"/>
  <c r="BM542" i="155"/>
  <c r="BI377" i="153"/>
  <c r="BI379" i="153"/>
  <c r="BI374" i="153"/>
  <c r="BI378" i="153"/>
  <c r="BI376" i="153"/>
  <c r="BI375" i="153"/>
  <c r="AR388" i="154"/>
  <c r="AR51" i="154" s="1"/>
  <c r="AR116" i="154" s="1"/>
  <c r="AU388" i="153"/>
  <c r="AU51" i="153" s="1"/>
  <c r="AU116" i="153" s="1"/>
  <c r="BJ375" i="154"/>
  <c r="BJ379" i="154"/>
  <c r="BJ377" i="154"/>
  <c r="BJ374" i="154"/>
  <c r="BJ376" i="154"/>
  <c r="BJ378" i="154"/>
  <c r="AP380" i="153"/>
  <c r="AP50" i="153" s="1"/>
  <c r="BA352" i="154"/>
  <c r="BA44" i="154" s="1"/>
  <c r="BA109" i="154" s="1"/>
  <c r="BK407" i="153"/>
  <c r="BK403" i="153"/>
  <c r="BK404" i="153"/>
  <c r="BK402" i="153"/>
  <c r="BK406" i="153"/>
  <c r="BK405" i="153"/>
  <c r="BI234" i="155"/>
  <c r="BJ371" i="154"/>
  <c r="BJ369" i="154"/>
  <c r="BJ367" i="154"/>
  <c r="BJ368" i="154"/>
  <c r="BJ366" i="154"/>
  <c r="BJ370" i="154"/>
  <c r="AR380" i="154"/>
  <c r="AR50" i="154" s="1"/>
  <c r="AR115" i="154" s="1"/>
  <c r="AQ372" i="153"/>
  <c r="AQ49" i="153" s="1"/>
  <c r="AQ114" i="153" s="1"/>
  <c r="BL350" i="155"/>
  <c r="BL349" i="155"/>
  <c r="BL347" i="155"/>
  <c r="BL346" i="155"/>
  <c r="BL348" i="155"/>
  <c r="BL351" i="155"/>
  <c r="BL367" i="155"/>
  <c r="BL370" i="155"/>
  <c r="BL366" i="155"/>
  <c r="BL371" i="155"/>
  <c r="BL368" i="155"/>
  <c r="BL369" i="155"/>
  <c r="N573" i="155"/>
  <c r="P573" i="155" s="1"/>
  <c r="BN507" i="155"/>
  <c r="BO507" i="155"/>
  <c r="BP507" i="155"/>
  <c r="BQ507" i="155"/>
  <c r="BR507" i="155"/>
  <c r="BS507" i="155"/>
  <c r="BT507" i="155"/>
  <c r="BU507" i="155"/>
  <c r="BV507" i="155"/>
  <c r="BW507" i="155"/>
  <c r="BX507" i="155"/>
  <c r="BY507" i="155"/>
  <c r="AP372" i="155"/>
  <c r="AP49" i="155" s="1"/>
  <c r="AS361" i="154"/>
  <c r="AS360" i="154"/>
  <c r="AS359" i="154"/>
  <c r="AS363" i="154"/>
  <c r="AS358" i="154"/>
  <c r="AS362" i="154"/>
  <c r="AC591" i="155"/>
  <c r="AC224" i="155"/>
  <c r="BM585" i="155"/>
  <c r="BM524" i="155"/>
  <c r="P548" i="155"/>
  <c r="N612" i="155"/>
  <c r="P612" i="155" s="1"/>
  <c r="BN548" i="155"/>
  <c r="BN612" i="155" s="1"/>
  <c r="BO548" i="155"/>
  <c r="BO612" i="155" s="1"/>
  <c r="BP548" i="155"/>
  <c r="BP612" i="155" s="1"/>
  <c r="BQ548" i="155"/>
  <c r="BQ612" i="155" s="1"/>
  <c r="BR548" i="155"/>
  <c r="BR612" i="155" s="1"/>
  <c r="BS548" i="155"/>
  <c r="BS612" i="155" s="1"/>
  <c r="BT548" i="155"/>
  <c r="BT612" i="155" s="1"/>
  <c r="BU548" i="155"/>
  <c r="BU612" i="155" s="1"/>
  <c r="BV548" i="155"/>
  <c r="BV612" i="155" s="1"/>
  <c r="BW548" i="155"/>
  <c r="BW612" i="155" s="1"/>
  <c r="BX548" i="155"/>
  <c r="BX612" i="155" s="1"/>
  <c r="BY548" i="155"/>
  <c r="BY612" i="155" s="1"/>
  <c r="AW380" i="153"/>
  <c r="AW50" i="153" s="1"/>
  <c r="AW115" i="153" s="1"/>
  <c r="BG383" i="155"/>
  <c r="BG385" i="155"/>
  <c r="BG387" i="155"/>
  <c r="BG384" i="155"/>
  <c r="BG382" i="155"/>
  <c r="BG386" i="155"/>
  <c r="S582" i="155"/>
  <c r="S223" i="155"/>
  <c r="AQ588" i="155"/>
  <c r="AQ526" i="155"/>
  <c r="BM232" i="154"/>
  <c r="AJ400" i="153"/>
  <c r="AJ57" i="153" s="1"/>
  <c r="BB233" i="155"/>
  <c r="BK350" i="154"/>
  <c r="BK348" i="154"/>
  <c r="BK346" i="154"/>
  <c r="BK347" i="154"/>
  <c r="BK351" i="154"/>
  <c r="BK349" i="154"/>
  <c r="BC376" i="155"/>
  <c r="BC379" i="155"/>
  <c r="BC374" i="155"/>
  <c r="BC377" i="155"/>
  <c r="BC375" i="155"/>
  <c r="BC378" i="155"/>
  <c r="BA228" i="155"/>
  <c r="AV394" i="155"/>
  <c r="AV395" i="155"/>
  <c r="AV398" i="155"/>
  <c r="AV397" i="155"/>
  <c r="AV399" i="155"/>
  <c r="AV396" i="155"/>
  <c r="AK581" i="154"/>
  <c r="AK518" i="154"/>
  <c r="X591" i="154"/>
  <c r="X224" i="154"/>
  <c r="BD384" i="153"/>
  <c r="BD386" i="153"/>
  <c r="BD383" i="153"/>
  <c r="BD382" i="153"/>
  <c r="BD385" i="153"/>
  <c r="BD387" i="153"/>
  <c r="BC549" i="154"/>
  <c r="BC613" i="154" s="1"/>
  <c r="BC611" i="154"/>
  <c r="AP352" i="153"/>
  <c r="AP44" i="153" s="1"/>
  <c r="AP359" i="153"/>
  <c r="AP361" i="153"/>
  <c r="AP358" i="153"/>
  <c r="AP363" i="153"/>
  <c r="AP362" i="153"/>
  <c r="AP360" i="153"/>
  <c r="BK585" i="153"/>
  <c r="BK524" i="153"/>
  <c r="R581" i="154"/>
  <c r="R518" i="154"/>
  <c r="AS380" i="155"/>
  <c r="AS50" i="155" s="1"/>
  <c r="AS115" i="155" s="1"/>
  <c r="U591" i="153"/>
  <c r="U224" i="153"/>
  <c r="BG385" i="154"/>
  <c r="BG384" i="154"/>
  <c r="BG382" i="154"/>
  <c r="BG386" i="154"/>
  <c r="BG383" i="154"/>
  <c r="BG387" i="154"/>
  <c r="I625" i="154"/>
  <c r="I626" i="154" s="1"/>
  <c r="AT576" i="154"/>
  <c r="AT515" i="154"/>
  <c r="Z591" i="153"/>
  <c r="Z224" i="153"/>
  <c r="V591" i="155"/>
  <c r="V224" i="155"/>
  <c r="AX388" i="155"/>
  <c r="AX51" i="155" s="1"/>
  <c r="AX116" i="155" s="1"/>
  <c r="AH400" i="154"/>
  <c r="AH57" i="154" s="1"/>
  <c r="AK364" i="155"/>
  <c r="AK48" i="155" s="1"/>
  <c r="AT228" i="153"/>
  <c r="AT606" i="153"/>
  <c r="AQ588" i="153"/>
  <c r="AQ526" i="153"/>
  <c r="S581" i="153"/>
  <c r="S518" i="153"/>
  <c r="BL602" i="155"/>
  <c r="BL542" i="155"/>
  <c r="AI400" i="153"/>
  <c r="AI57" i="153" s="1"/>
  <c r="BH376" i="153"/>
  <c r="BH378" i="153"/>
  <c r="BH379" i="153"/>
  <c r="BH377" i="153"/>
  <c r="BH375" i="153"/>
  <c r="BH374" i="153"/>
  <c r="AM579" i="155"/>
  <c r="AM517" i="155"/>
  <c r="AM529" i="155" s="1"/>
  <c r="BI375" i="154"/>
  <c r="BI377" i="154"/>
  <c r="BI376" i="154"/>
  <c r="BI374" i="154"/>
  <c r="BI378" i="154"/>
  <c r="BI379" i="154"/>
  <c r="BM368" i="153"/>
  <c r="BM367" i="153"/>
  <c r="BM369" i="153"/>
  <c r="BM366" i="153"/>
  <c r="BM371" i="153"/>
  <c r="BM370" i="153"/>
  <c r="BM512" i="153"/>
  <c r="I631" i="153"/>
  <c r="I625" i="153"/>
  <c r="I626" i="153" s="1"/>
  <c r="AD400" i="154"/>
  <c r="AD57" i="154" s="1"/>
  <c r="BJ405" i="153"/>
  <c r="BJ406" i="153"/>
  <c r="BJ403" i="153"/>
  <c r="BJ407" i="153"/>
  <c r="BJ402" i="153"/>
  <c r="BJ404" i="153"/>
  <c r="BA380" i="155"/>
  <c r="BA50" i="155" s="1"/>
  <c r="BA115" i="155" s="1"/>
  <c r="BH234" i="155"/>
  <c r="BI367" i="154"/>
  <c r="BI371" i="154"/>
  <c r="BI368" i="154"/>
  <c r="BI366" i="154"/>
  <c r="BI369" i="154"/>
  <c r="BI370" i="154"/>
  <c r="AX515" i="154"/>
  <c r="AX576" i="154"/>
  <c r="BK350" i="155"/>
  <c r="BK349" i="155"/>
  <c r="BK346" i="155"/>
  <c r="BK348" i="155"/>
  <c r="BK347" i="155"/>
  <c r="BK351" i="155"/>
  <c r="BK371" i="155"/>
  <c r="BK367" i="155"/>
  <c r="BK366" i="155"/>
  <c r="BK368" i="155"/>
  <c r="BK369" i="155"/>
  <c r="BK370" i="155"/>
  <c r="M576" i="155"/>
  <c r="BL585" i="155"/>
  <c r="BL524" i="155"/>
  <c r="AP588" i="155"/>
  <c r="AP526" i="155"/>
  <c r="BF383" i="155"/>
  <c r="BF384" i="155"/>
  <c r="BF386" i="155"/>
  <c r="BF387" i="155"/>
  <c r="BF382" i="155"/>
  <c r="BF385" i="155"/>
  <c r="AV515" i="153"/>
  <c r="AX380" i="154"/>
  <c r="AX50" i="154" s="1"/>
  <c r="AX115" i="154" s="1"/>
  <c r="AT515" i="155"/>
  <c r="J593" i="153"/>
  <c r="J594" i="153" s="1"/>
  <c r="J530" i="153"/>
  <c r="J544" i="153"/>
  <c r="BL232" i="154"/>
  <c r="AM527" i="154"/>
  <c r="AE590" i="154"/>
  <c r="N587" i="155"/>
  <c r="P587" i="155" s="1"/>
  <c r="BN523" i="155"/>
  <c r="BN587" i="155" s="1"/>
  <c r="BO523" i="155"/>
  <c r="BO587" i="155" s="1"/>
  <c r="BP523" i="155"/>
  <c r="BP587" i="155" s="1"/>
  <c r="BQ523" i="155"/>
  <c r="BQ587" i="155" s="1"/>
  <c r="BR523" i="155"/>
  <c r="BR587" i="155" s="1"/>
  <c r="BS523" i="155"/>
  <c r="BS587" i="155" s="1"/>
  <c r="BT523" i="155"/>
  <c r="BT587" i="155" s="1"/>
  <c r="BU523" i="155"/>
  <c r="BU587" i="155" s="1"/>
  <c r="BV523" i="155"/>
  <c r="BV587" i="155" s="1"/>
  <c r="BW523" i="155"/>
  <c r="BW587" i="155" s="1"/>
  <c r="BX523" i="155"/>
  <c r="BX587" i="155" s="1"/>
  <c r="BY523" i="155"/>
  <c r="BY587" i="155" s="1"/>
  <c r="BJ350" i="154"/>
  <c r="BJ351" i="154"/>
  <c r="BJ349" i="154"/>
  <c r="BJ347" i="154"/>
  <c r="BJ346" i="154"/>
  <c r="BJ348" i="154"/>
  <c r="BB377" i="155"/>
  <c r="BB374" i="155"/>
  <c r="BB379" i="155"/>
  <c r="BB378" i="155"/>
  <c r="BB375" i="155"/>
  <c r="BB376" i="155"/>
  <c r="AY606" i="154"/>
  <c r="AZ228" i="155"/>
  <c r="AE400" i="153"/>
  <c r="AE57" i="153" s="1"/>
  <c r="AW397" i="153"/>
  <c r="AW394" i="153"/>
  <c r="AW396" i="153"/>
  <c r="AW399" i="153"/>
  <c r="AW395" i="153"/>
  <c r="AW398" i="153"/>
  <c r="BA515" i="153"/>
  <c r="BA576" i="153"/>
  <c r="V591" i="153"/>
  <c r="V224" i="153"/>
  <c r="AY398" i="153"/>
  <c r="AY395" i="153"/>
  <c r="AY396" i="153"/>
  <c r="AY399" i="153"/>
  <c r="AY397" i="153"/>
  <c r="AY394" i="153"/>
  <c r="BC387" i="153"/>
  <c r="BC384" i="153"/>
  <c r="BC383" i="153"/>
  <c r="BC385" i="153"/>
  <c r="BC386" i="153"/>
  <c r="BC382" i="153"/>
  <c r="BB549" i="154"/>
  <c r="BB613" i="154" s="1"/>
  <c r="BB611" i="154"/>
  <c r="AM400" i="153"/>
  <c r="AM57" i="153" s="1"/>
  <c r="AV388" i="155"/>
  <c r="AV51" i="155" s="1"/>
  <c r="AV116" i="155" s="1"/>
  <c r="BJ524" i="153"/>
  <c r="BJ585" i="153"/>
  <c r="AH364" i="155"/>
  <c r="AH48" i="155" s="1"/>
  <c r="BL385" i="154"/>
  <c r="BL383" i="154"/>
  <c r="BL387" i="154"/>
  <c r="BL384" i="154"/>
  <c r="BL386" i="154"/>
  <c r="BL382" i="154"/>
  <c r="BC371" i="153"/>
  <c r="BC367" i="153"/>
  <c r="BC368" i="153"/>
  <c r="BC370" i="153"/>
  <c r="BC366" i="153"/>
  <c r="BC369" i="153"/>
  <c r="N587" i="154"/>
  <c r="P587" i="154" s="1"/>
  <c r="BN523" i="154"/>
  <c r="BN587" i="154" s="1"/>
  <c r="BO523" i="154"/>
  <c r="BO587" i="154" s="1"/>
  <c r="BP523" i="154"/>
  <c r="BP587" i="154" s="1"/>
  <c r="BQ523" i="154"/>
  <c r="BQ587" i="154" s="1"/>
  <c r="BR523" i="154"/>
  <c r="BR587" i="154" s="1"/>
  <c r="BS523" i="154"/>
  <c r="BS587" i="154" s="1"/>
  <c r="BT523" i="154"/>
  <c r="BT587" i="154" s="1"/>
  <c r="BU523" i="154"/>
  <c r="BU587" i="154" s="1"/>
  <c r="BV523" i="154"/>
  <c r="BV587" i="154" s="1"/>
  <c r="BW523" i="154"/>
  <c r="BW587" i="154" s="1"/>
  <c r="BX523" i="154"/>
  <c r="BX587" i="154" s="1"/>
  <c r="BY523" i="154"/>
  <c r="BY587" i="154" s="1"/>
  <c r="V593" i="155"/>
  <c r="V594" i="155" s="1"/>
  <c r="V530" i="155"/>
  <c r="V544" i="155"/>
  <c r="BK234" i="153"/>
  <c r="AW352" i="154"/>
  <c r="AW44" i="154" s="1"/>
  <c r="AW109" i="154" s="1"/>
  <c r="AT361" i="153"/>
  <c r="AT358" i="153"/>
  <c r="AT362" i="153"/>
  <c r="AT359" i="153"/>
  <c r="AT363" i="153"/>
  <c r="AT360" i="153"/>
  <c r="AW380" i="155"/>
  <c r="AW50" i="155" s="1"/>
  <c r="AW115" i="155" s="1"/>
  <c r="AU395" i="154"/>
  <c r="AU396" i="154"/>
  <c r="AU399" i="154"/>
  <c r="AU394" i="154"/>
  <c r="AU398" i="154"/>
  <c r="AU397" i="154"/>
  <c r="BK602" i="155"/>
  <c r="BK542" i="155"/>
  <c r="BG375" i="153"/>
  <c r="BG376" i="153"/>
  <c r="BG379" i="153"/>
  <c r="BG374" i="153"/>
  <c r="BG378" i="153"/>
  <c r="BG377" i="153"/>
  <c r="AK518" i="155"/>
  <c r="AK581" i="155"/>
  <c r="BH376" i="154"/>
  <c r="BH378" i="154"/>
  <c r="BH377" i="154"/>
  <c r="BH374" i="154"/>
  <c r="BH379" i="154"/>
  <c r="BH375" i="154"/>
  <c r="BL371" i="153"/>
  <c r="BL368" i="153"/>
  <c r="BL367" i="153"/>
  <c r="BL366" i="153"/>
  <c r="BL369" i="153"/>
  <c r="BL370" i="153"/>
  <c r="BL512" i="153"/>
  <c r="AX388" i="153"/>
  <c r="AX51" i="153" s="1"/>
  <c r="AX116" i="153" s="1"/>
  <c r="BM233" i="153"/>
  <c r="AA529" i="153"/>
  <c r="AA581" i="153"/>
  <c r="AA518" i="153"/>
  <c r="BI402" i="153"/>
  <c r="BI403" i="153"/>
  <c r="BI406" i="153"/>
  <c r="BI407" i="153"/>
  <c r="BI405" i="153"/>
  <c r="BI404" i="153"/>
  <c r="BG234" i="155"/>
  <c r="BH369" i="154"/>
  <c r="BH366" i="154"/>
  <c r="BH371" i="154"/>
  <c r="BH367" i="154"/>
  <c r="BH368" i="154"/>
  <c r="BH370" i="154"/>
  <c r="BJ348" i="155"/>
  <c r="BJ350" i="155"/>
  <c r="BJ349" i="155"/>
  <c r="BJ347" i="155"/>
  <c r="BJ346" i="155"/>
  <c r="BJ351" i="155"/>
  <c r="BJ367" i="155"/>
  <c r="BJ371" i="155"/>
  <c r="BJ370" i="155"/>
  <c r="BJ369" i="155"/>
  <c r="BJ368" i="155"/>
  <c r="BJ366" i="155"/>
  <c r="W582" i="155"/>
  <c r="W223" i="155"/>
  <c r="AX588" i="153"/>
  <c r="AX526" i="153"/>
  <c r="AS372" i="153"/>
  <c r="AS49" i="153" s="1"/>
  <c r="AS114" i="153" s="1"/>
  <c r="AG400" i="155"/>
  <c r="AG57" i="155" s="1"/>
  <c r="BA515" i="154"/>
  <c r="BA576" i="154"/>
  <c r="BK585" i="155"/>
  <c r="BK524" i="155"/>
  <c r="BE385" i="155"/>
  <c r="BE387" i="155"/>
  <c r="BE384" i="155"/>
  <c r="BE386" i="155"/>
  <c r="BE383" i="155"/>
  <c r="BE382" i="155"/>
  <c r="AW606" i="155"/>
  <c r="AN364" i="154"/>
  <c r="AN48" i="154" s="1"/>
  <c r="AR588" i="155"/>
  <c r="AR526" i="155"/>
  <c r="AU352" i="155"/>
  <c r="AU44" i="155" s="1"/>
  <c r="AU109" i="155" s="1"/>
  <c r="AW606" i="154"/>
  <c r="AX576" i="153"/>
  <c r="AX515" i="153"/>
  <c r="BK232" i="154"/>
  <c r="BI346" i="154"/>
  <c r="BI350" i="154"/>
  <c r="BI347" i="154"/>
  <c r="BI351" i="154"/>
  <c r="BI349" i="154"/>
  <c r="BI348" i="154"/>
  <c r="N604" i="155"/>
  <c r="P604" i="155" s="1"/>
  <c r="P540" i="155"/>
  <c r="BN540" i="155"/>
  <c r="BN604" i="155" s="1"/>
  <c r="BO540" i="155"/>
  <c r="BO604" i="155" s="1"/>
  <c r="BP540" i="155"/>
  <c r="BP604" i="155" s="1"/>
  <c r="BQ540" i="155"/>
  <c r="BQ604" i="155" s="1"/>
  <c r="BR540" i="155"/>
  <c r="BR604" i="155" s="1"/>
  <c r="BS540" i="155"/>
  <c r="BS604" i="155" s="1"/>
  <c r="BT540" i="155"/>
  <c r="BT604" i="155" s="1"/>
  <c r="BU540" i="155"/>
  <c r="BU604" i="155" s="1"/>
  <c r="BV540" i="155"/>
  <c r="BV604" i="155" s="1"/>
  <c r="BW540" i="155"/>
  <c r="BW604" i="155" s="1"/>
  <c r="BX540" i="155"/>
  <c r="BX604" i="155" s="1"/>
  <c r="BY540" i="155"/>
  <c r="BY604" i="155" s="1"/>
  <c r="AY359" i="154"/>
  <c r="AY360" i="154"/>
  <c r="AY361" i="154"/>
  <c r="AY362" i="154"/>
  <c r="AY358" i="154"/>
  <c r="AY363" i="154"/>
  <c r="AY228" i="155"/>
  <c r="Z582" i="153"/>
  <c r="Z223" i="153"/>
  <c r="AX398" i="153"/>
  <c r="AX394" i="153"/>
  <c r="AX399" i="153"/>
  <c r="AX397" i="153"/>
  <c r="AX395" i="153"/>
  <c r="AX396" i="153"/>
  <c r="BM404" i="154"/>
  <c r="BM403" i="154"/>
  <c r="BM406" i="154"/>
  <c r="BM402" i="154"/>
  <c r="BM407" i="154"/>
  <c r="BM405" i="154"/>
  <c r="AF400" i="155"/>
  <c r="AF57" i="155" s="1"/>
  <c r="BB384" i="153"/>
  <c r="BB387" i="153"/>
  <c r="BB385" i="153"/>
  <c r="BB383" i="153"/>
  <c r="BB382" i="153"/>
  <c r="BB386" i="153"/>
  <c r="AZ397" i="153"/>
  <c r="AZ396" i="153"/>
  <c r="AZ395" i="153"/>
  <c r="AZ399" i="153"/>
  <c r="AZ398" i="153"/>
  <c r="AZ394" i="153"/>
  <c r="BI585" i="153"/>
  <c r="BI524" i="153"/>
  <c r="AR360" i="153"/>
  <c r="AR358" i="153"/>
  <c r="AR359" i="153"/>
  <c r="AR363" i="153"/>
  <c r="AR362" i="153"/>
  <c r="AR361" i="153"/>
  <c r="N586" i="155"/>
  <c r="P586" i="155" s="1"/>
  <c r="BN522" i="155"/>
  <c r="BN586" i="155" s="1"/>
  <c r="BO522" i="155"/>
  <c r="BO586" i="155" s="1"/>
  <c r="BP522" i="155"/>
  <c r="BP586" i="155" s="1"/>
  <c r="BQ522" i="155"/>
  <c r="BQ586" i="155" s="1"/>
  <c r="BR522" i="155"/>
  <c r="BR586" i="155" s="1"/>
  <c r="BS522" i="155"/>
  <c r="BS586" i="155" s="1"/>
  <c r="BT522" i="155"/>
  <c r="BT586" i="155" s="1"/>
  <c r="BU522" i="155"/>
  <c r="BU586" i="155" s="1"/>
  <c r="BV522" i="155"/>
  <c r="BV586" i="155" s="1"/>
  <c r="BW522" i="155"/>
  <c r="BW586" i="155" s="1"/>
  <c r="BX522" i="155"/>
  <c r="BX586" i="155" s="1"/>
  <c r="BY522" i="155"/>
  <c r="BY586" i="155" s="1"/>
  <c r="AZ228" i="153"/>
  <c r="AU352" i="154"/>
  <c r="AU44" i="154" s="1"/>
  <c r="AU109" i="154" s="1"/>
  <c r="BJ234" i="153"/>
  <c r="AO364" i="155"/>
  <c r="AO48" i="155" s="1"/>
  <c r="AR228" i="153"/>
  <c r="AJ364" i="153"/>
  <c r="AJ48" i="153" s="1"/>
  <c r="AQ388" i="154"/>
  <c r="AQ51" i="154" s="1"/>
  <c r="AQ116" i="154" s="1"/>
  <c r="AT388" i="153"/>
  <c r="AT51" i="153" s="1"/>
  <c r="AT116" i="153" s="1"/>
  <c r="AI579" i="154"/>
  <c r="AI517" i="154"/>
  <c r="BJ602" i="155"/>
  <c r="BJ542" i="155"/>
  <c r="L579" i="153"/>
  <c r="BF375" i="153"/>
  <c r="BF379" i="153"/>
  <c r="BF377" i="153"/>
  <c r="BF374" i="153"/>
  <c r="BF376" i="153"/>
  <c r="BF378" i="153"/>
  <c r="AS588" i="153"/>
  <c r="AS526" i="153"/>
  <c r="BG377" i="154"/>
  <c r="BG376" i="154"/>
  <c r="BG379" i="154"/>
  <c r="BG374" i="154"/>
  <c r="BG378" i="154"/>
  <c r="BG375" i="154"/>
  <c r="BK371" i="153"/>
  <c r="BK368" i="153"/>
  <c r="BK370" i="153"/>
  <c r="BK369" i="153"/>
  <c r="BK367" i="153"/>
  <c r="BK366" i="153"/>
  <c r="BK512" i="153"/>
  <c r="BM542" i="154"/>
  <c r="BM602" i="154"/>
  <c r="BL233" i="153"/>
  <c r="BH404" i="153"/>
  <c r="BH407" i="153"/>
  <c r="BH403" i="153"/>
  <c r="BH406" i="153"/>
  <c r="BH405" i="153"/>
  <c r="BH402" i="153"/>
  <c r="AR380" i="153"/>
  <c r="AR50" i="153" s="1"/>
  <c r="AR115" i="153" s="1"/>
  <c r="BM611" i="153"/>
  <c r="BM549" i="153"/>
  <c r="BM613" i="153" s="1"/>
  <c r="BF234" i="155"/>
  <c r="BG369" i="154"/>
  <c r="BG368" i="154"/>
  <c r="BG367" i="154"/>
  <c r="BG371" i="154"/>
  <c r="BG366" i="154"/>
  <c r="BG370" i="154"/>
  <c r="AZ606" i="153"/>
  <c r="BI351" i="155"/>
  <c r="BI349" i="155"/>
  <c r="BI350" i="155"/>
  <c r="BI348" i="155"/>
  <c r="BI346" i="155"/>
  <c r="BI347" i="155"/>
  <c r="BI371" i="155"/>
  <c r="BI366" i="155"/>
  <c r="BI367" i="155"/>
  <c r="BI368" i="155"/>
  <c r="BI370" i="155"/>
  <c r="BI369" i="155"/>
  <c r="J551" i="155"/>
  <c r="J555" i="155" s="1"/>
  <c r="J608" i="155"/>
  <c r="AQ408" i="153"/>
  <c r="AQ58" i="153" s="1"/>
  <c r="AQ123" i="153" s="1"/>
  <c r="AP398" i="153"/>
  <c r="AP394" i="153"/>
  <c r="AP399" i="153"/>
  <c r="AP395" i="153"/>
  <c r="AP396" i="153"/>
  <c r="AP397" i="153"/>
  <c r="AQ372" i="155"/>
  <c r="AQ49" i="155" s="1"/>
  <c r="AQ114" i="155" s="1"/>
  <c r="BJ585" i="155"/>
  <c r="BJ524" i="155"/>
  <c r="AR352" i="155"/>
  <c r="AR44" i="155" s="1"/>
  <c r="AR109" i="155" s="1"/>
  <c r="AT359" i="154"/>
  <c r="AT361" i="154"/>
  <c r="AT362" i="154"/>
  <c r="AT358" i="154"/>
  <c r="AT363" i="154"/>
  <c r="AT360" i="154"/>
  <c r="AS408" i="153"/>
  <c r="AS58" i="153" s="1"/>
  <c r="AS123" i="153" s="1"/>
  <c r="AU372" i="153"/>
  <c r="AU49" i="153" s="1"/>
  <c r="AU114" i="153" s="1"/>
  <c r="BD382" i="155"/>
  <c r="BD384" i="155"/>
  <c r="BD386" i="155"/>
  <c r="BD383" i="155"/>
  <c r="BD385" i="155"/>
  <c r="BD387" i="155"/>
  <c r="AW361" i="155"/>
  <c r="AW360" i="155"/>
  <c r="AW363" i="155"/>
  <c r="AW359" i="155"/>
  <c r="AW362" i="155"/>
  <c r="AW358" i="155"/>
  <c r="AW358" i="154"/>
  <c r="AW360" i="154"/>
  <c r="AW362" i="154"/>
  <c r="AW361" i="154"/>
  <c r="AW363" i="154"/>
  <c r="AW359" i="154"/>
  <c r="AV408" i="153"/>
  <c r="AV58" i="153" s="1"/>
  <c r="AV123" i="153" s="1"/>
  <c r="BJ232" i="154"/>
  <c r="AW408" i="153"/>
  <c r="AW58" i="153" s="1"/>
  <c r="AW123" i="153" s="1"/>
  <c r="BH346" i="154"/>
  <c r="BH349" i="154"/>
  <c r="BH347" i="154"/>
  <c r="BH351" i="154"/>
  <c r="BH350" i="154"/>
  <c r="BH348" i="154"/>
  <c r="AX228" i="155"/>
  <c r="S529" i="153"/>
  <c r="BA372" i="153"/>
  <c r="BA49" i="153" s="1"/>
  <c r="BA114" i="153" s="1"/>
  <c r="AU527" i="153"/>
  <c r="AM590" i="153"/>
  <c r="BL406" i="154"/>
  <c r="BL403" i="154"/>
  <c r="BL407" i="154"/>
  <c r="BL402" i="154"/>
  <c r="BL404" i="154"/>
  <c r="BL405" i="154"/>
  <c r="AV408" i="155"/>
  <c r="AV58" i="155" s="1"/>
  <c r="AV123" i="155" s="1"/>
  <c r="W529" i="154"/>
  <c r="W581" i="154"/>
  <c r="W518" i="154"/>
  <c r="AW526" i="155"/>
  <c r="AW588" i="155"/>
  <c r="N605" i="153"/>
  <c r="P605" i="153" s="1"/>
  <c r="P541" i="153"/>
  <c r="BN541" i="153"/>
  <c r="BN605" i="153" s="1"/>
  <c r="BO541" i="153"/>
  <c r="BO605" i="153" s="1"/>
  <c r="BP541" i="153"/>
  <c r="BP605" i="153" s="1"/>
  <c r="BQ541" i="153"/>
  <c r="BQ605" i="153" s="1"/>
  <c r="BR541" i="153"/>
  <c r="BR605" i="153" s="1"/>
  <c r="BS541" i="153"/>
  <c r="BS605" i="153" s="1"/>
  <c r="BT541" i="153"/>
  <c r="BT605" i="153" s="1"/>
  <c r="BU541" i="153"/>
  <c r="BU605" i="153" s="1"/>
  <c r="BV541" i="153"/>
  <c r="BV605" i="153" s="1"/>
  <c r="BW541" i="153"/>
  <c r="BW605" i="153" s="1"/>
  <c r="BX541" i="153"/>
  <c r="BX605" i="153" s="1"/>
  <c r="BY541" i="153"/>
  <c r="BY605" i="153" s="1"/>
  <c r="BH585" i="153"/>
  <c r="BH524" i="153"/>
  <c r="AQ352" i="153"/>
  <c r="AQ44" i="153" s="1"/>
  <c r="AQ109" i="153" s="1"/>
  <c r="BA394" i="153"/>
  <c r="BA399" i="153"/>
  <c r="BA398" i="153"/>
  <c r="BA397" i="153"/>
  <c r="BA395" i="153"/>
  <c r="BA396" i="153"/>
  <c r="AS576" i="154"/>
  <c r="AS515" i="154"/>
  <c r="BF374" i="154"/>
  <c r="BF375" i="154"/>
  <c r="BF378" i="154"/>
  <c r="BF376" i="154"/>
  <c r="BF377" i="154"/>
  <c r="BF379" i="154"/>
  <c r="BJ370" i="153"/>
  <c r="BJ371" i="153"/>
  <c r="BJ368" i="153"/>
  <c r="BJ367" i="153"/>
  <c r="BJ369" i="153"/>
  <c r="BJ366" i="153"/>
  <c r="AW526" i="154"/>
  <c r="AW588" i="154"/>
  <c r="BL602" i="154"/>
  <c r="BL542" i="154"/>
  <c r="AB591" i="154"/>
  <c r="AB224" i="154"/>
  <c r="AQ358" i="154"/>
  <c r="AQ360" i="154"/>
  <c r="AQ359" i="154"/>
  <c r="AQ363" i="154"/>
  <c r="AQ362" i="154"/>
  <c r="AQ361" i="154"/>
  <c r="BG402" i="153"/>
  <c r="BG403" i="153"/>
  <c r="BG407" i="153"/>
  <c r="BG405" i="153"/>
  <c r="BG406" i="153"/>
  <c r="BG404" i="153"/>
  <c r="BL611" i="153"/>
  <c r="BL549" i="153"/>
  <c r="BL613" i="153" s="1"/>
  <c r="BE234" i="155"/>
  <c r="BF368" i="154"/>
  <c r="BF366" i="154"/>
  <c r="BF369" i="154"/>
  <c r="BF371" i="154"/>
  <c r="BF367" i="154"/>
  <c r="BF370" i="154"/>
  <c r="AZ360" i="153"/>
  <c r="AZ363" i="153"/>
  <c r="AZ359" i="153"/>
  <c r="AZ361" i="153"/>
  <c r="AZ362" i="153"/>
  <c r="AZ358" i="153"/>
  <c r="BH346" i="155"/>
  <c r="BH351" i="155"/>
  <c r="BH350" i="155"/>
  <c r="BH349" i="155"/>
  <c r="BH348" i="155"/>
  <c r="BH347" i="155"/>
  <c r="BH370" i="155"/>
  <c r="BH371" i="155"/>
  <c r="BH366" i="155"/>
  <c r="BH368" i="155"/>
  <c r="BH367" i="155"/>
  <c r="BH369" i="155"/>
  <c r="AH590" i="153"/>
  <c r="AP527" i="153"/>
  <c r="BM611" i="155"/>
  <c r="BM549" i="155"/>
  <c r="BM613" i="155" s="1"/>
  <c r="AS576" i="153"/>
  <c r="AS515" i="153"/>
  <c r="BA229" i="153"/>
  <c r="BI524" i="155"/>
  <c r="BI585" i="155"/>
  <c r="AT606" i="154"/>
  <c r="BC387" i="155"/>
  <c r="BC383" i="155"/>
  <c r="BC382" i="155"/>
  <c r="BC386" i="155"/>
  <c r="BC385" i="155"/>
  <c r="BC384" i="155"/>
  <c r="U529" i="154"/>
  <c r="AQ527" i="153"/>
  <c r="AI590" i="153"/>
  <c r="BI232" i="154"/>
  <c r="Z529" i="154"/>
  <c r="AY606" i="155"/>
  <c r="BG347" i="154"/>
  <c r="BG350" i="154"/>
  <c r="BG348" i="154"/>
  <c r="BG351" i="154"/>
  <c r="BG349" i="154"/>
  <c r="BG346" i="154"/>
  <c r="V518" i="155"/>
  <c r="V581" i="155"/>
  <c r="AW228" i="155"/>
  <c r="BM524" i="154"/>
  <c r="BM585" i="154"/>
  <c r="AE364" i="154"/>
  <c r="AE48" i="154" s="1"/>
  <c r="S224" i="153"/>
  <c r="S591" i="153"/>
  <c r="BK406" i="154"/>
  <c r="BK403" i="154"/>
  <c r="BK404" i="154"/>
  <c r="BK402" i="154"/>
  <c r="BK407" i="154"/>
  <c r="BK405" i="154"/>
  <c r="P547" i="154"/>
  <c r="N611" i="154"/>
  <c r="P611" i="154" s="1"/>
  <c r="BN547" i="154"/>
  <c r="BO547" i="154"/>
  <c r="BP547" i="154"/>
  <c r="BQ547" i="154"/>
  <c r="BR547" i="154"/>
  <c r="BS547" i="154"/>
  <c r="BT547" i="154"/>
  <c r="BU547" i="154"/>
  <c r="BV547" i="154"/>
  <c r="BW547" i="154"/>
  <c r="BX547" i="154"/>
  <c r="BY547" i="154"/>
  <c r="BG585" i="153"/>
  <c r="BG524" i="153"/>
  <c r="AN364" i="155"/>
  <c r="AN48" i="155" s="1"/>
  <c r="W535" i="99"/>
  <c r="W599" i="99" s="1"/>
  <c r="S129" i="99"/>
  <c r="W549" i="99"/>
  <c r="W613" i="99" s="1"/>
  <c r="W611" i="99"/>
  <c r="W597" i="99"/>
  <c r="W512" i="99"/>
  <c r="W576" i="99" s="1"/>
  <c r="L618" i="153"/>
  <c r="V515" i="99"/>
  <c r="V576" i="99"/>
  <c r="W230" i="99"/>
  <c r="X17" i="69"/>
  <c r="AC76" i="105" s="1"/>
  <c r="X40" i="151" s="1"/>
  <c r="Z3" i="69"/>
  <c r="Z4" i="69" s="1"/>
  <c r="Y2" i="69" a="1"/>
  <c r="Y2" i="69" s="1"/>
  <c r="Y11" i="69"/>
  <c r="Y13" i="69"/>
  <c r="Y15" i="69"/>
  <c r="Y14" i="69"/>
  <c r="Y16" i="69"/>
  <c r="Y9" i="69"/>
  <c r="Y10" i="69"/>
  <c r="Y7" i="69"/>
  <c r="Y12" i="69"/>
  <c r="W232" i="99"/>
  <c r="W233" i="99"/>
  <c r="W229" i="99"/>
  <c r="W228" i="99"/>
  <c r="W585" i="99"/>
  <c r="W524" i="99"/>
  <c r="W234" i="99"/>
  <c r="W542" i="99"/>
  <c r="W606" i="99" s="1"/>
  <c r="W602" i="99"/>
  <c r="V588" i="99"/>
  <c r="V526" i="99"/>
  <c r="X541" i="99"/>
  <c r="X605" i="99" s="1"/>
  <c r="X534" i="99"/>
  <c r="X598" i="99" s="1"/>
  <c r="X539" i="99"/>
  <c r="X603" i="99" s="1"/>
  <c r="X548" i="99"/>
  <c r="X612" i="99" s="1"/>
  <c r="X547" i="99"/>
  <c r="X611" i="99" s="1"/>
  <c r="X538" i="99"/>
  <c r="X540" i="99"/>
  <c r="X604" i="99" s="1"/>
  <c r="X507" i="99"/>
  <c r="X522" i="99"/>
  <c r="X586" i="99" s="1"/>
  <c r="X509" i="99"/>
  <c r="X573" i="99" s="1"/>
  <c r="X523" i="99"/>
  <c r="X587" i="99" s="1"/>
  <c r="X521" i="99"/>
  <c r="X525" i="99"/>
  <c r="X589" i="99" s="1"/>
  <c r="X558" i="99"/>
  <c r="X622" i="99" s="1"/>
  <c r="X516" i="99"/>
  <c r="X580" i="99" s="1"/>
  <c r="X513" i="99"/>
  <c r="X577" i="99" s="1"/>
  <c r="X514" i="99"/>
  <c r="X578" i="99" s="1"/>
  <c r="X533" i="99"/>
  <c r="Z3" i="99"/>
  <c r="Z4" i="99" s="1"/>
  <c r="Z479" i="99" s="1"/>
  <c r="Y2" i="99" a="1"/>
  <c r="Y2" i="99" s="1"/>
  <c r="Y554" i="99" s="1"/>
  <c r="Y474" i="99"/>
  <c r="Y475" i="99"/>
  <c r="Y498" i="99"/>
  <c r="Y482" i="99" s="1"/>
  <c r="Y490" i="99" s="1"/>
  <c r="Y499" i="99"/>
  <c r="Y483" i="99" s="1"/>
  <c r="Y491" i="99" s="1"/>
  <c r="Y476" i="99"/>
  <c r="Y477" i="99"/>
  <c r="Y500" i="99"/>
  <c r="Y484" i="99" s="1"/>
  <c r="Y492" i="99" s="1"/>
  <c r="Y501" i="99"/>
  <c r="Y485" i="99" s="1"/>
  <c r="Y493" i="99" s="1"/>
  <c r="Y478" i="99"/>
  <c r="Z37" i="72"/>
  <c r="AA5" i="72"/>
  <c r="AA6" i="72" s="1"/>
  <c r="Z36" i="72"/>
  <c r="Z47" i="72"/>
  <c r="Z48" i="72"/>
  <c r="M533" i="99" a="1"/>
  <c r="M533" i="99" s="1"/>
  <c r="N533" i="99" s="1" a="1"/>
  <c r="N533" i="99" s="1"/>
  <c r="P76" i="103"/>
  <c r="P542" i="99"/>
  <c r="N606" i="99"/>
  <c r="P606" i="99" s="1"/>
  <c r="N558" i="99"/>
  <c r="D73" i="294"/>
  <c r="I134" i="99"/>
  <c r="L579" i="99"/>
  <c r="L517" i="99"/>
  <c r="I127" i="99"/>
  <c r="M576" i="99"/>
  <c r="M515" i="99"/>
  <c r="P509" i="99"/>
  <c r="M577" i="99"/>
  <c r="J593" i="99"/>
  <c r="J594" i="99" s="1"/>
  <c r="J530" i="99"/>
  <c r="I631" i="99"/>
  <c r="I625" i="99"/>
  <c r="I626" i="99" s="1"/>
  <c r="I562" i="99"/>
  <c r="N573" i="99"/>
  <c r="P573" i="99" s="1"/>
  <c r="N512" i="99"/>
  <c r="P507" i="99"/>
  <c r="U529" i="99"/>
  <c r="U581" i="99"/>
  <c r="U518" i="99"/>
  <c r="M580" i="99"/>
  <c r="S581" i="99"/>
  <c r="S518" i="99"/>
  <c r="R581" i="99"/>
  <c r="R518" i="99"/>
  <c r="T581" i="99"/>
  <c r="T518" i="99"/>
  <c r="K529" i="99"/>
  <c r="K581" i="99"/>
  <c r="K582" i="99" s="1"/>
  <c r="K518" i="99"/>
  <c r="M578" i="99"/>
  <c r="N514" i="99"/>
  <c r="U591" i="99"/>
  <c r="U224" i="99"/>
  <c r="T479" i="99"/>
  <c r="W479" i="99"/>
  <c r="Y502" i="99"/>
  <c r="Y486" i="99" s="1"/>
  <c r="Y494" i="99" s="1"/>
  <c r="R502" i="99"/>
  <c r="R486" i="99" s="1"/>
  <c r="R494" i="99" s="1"/>
  <c r="S502" i="99"/>
  <c r="S486" i="99" s="1"/>
  <c r="S494" i="99" s="1"/>
  <c r="X479" i="99"/>
  <c r="T502" i="99"/>
  <c r="T486" i="99" s="1"/>
  <c r="T494" i="99" s="1"/>
  <c r="Y479" i="99"/>
  <c r="Z6" i="98"/>
  <c r="Y70" i="103"/>
  <c r="R479" i="99"/>
  <c r="U502" i="99"/>
  <c r="U486" i="99" s="1"/>
  <c r="U494" i="99" s="1"/>
  <c r="S479" i="99"/>
  <c r="V502" i="99"/>
  <c r="V486" i="99" s="1"/>
  <c r="V494" i="99" s="1"/>
  <c r="AP8" i="98"/>
  <c r="U479" i="99"/>
  <c r="V479" i="99"/>
  <c r="W129" i="99"/>
  <c r="W502" i="99"/>
  <c r="W486" i="99" s="1"/>
  <c r="W494" i="99" s="1"/>
  <c r="W618" i="99"/>
  <c r="X502" i="99"/>
  <c r="X486" i="99" s="1"/>
  <c r="X494" i="99" s="1"/>
  <c r="X64" i="99"/>
  <c r="AH160" i="99"/>
  <c r="N68" i="105" l="1"/>
  <c r="I33" i="151" s="1"/>
  <c r="I69" i="103"/>
  <c r="N69" i="105" s="1"/>
  <c r="I34" i="151" s="1"/>
  <c r="AA4" i="72" a="1"/>
  <c r="AA4" i="72" s="1"/>
  <c r="J77" i="105"/>
  <c r="J128" i="105"/>
  <c r="K77" i="105"/>
  <c r="K128" i="105"/>
  <c r="L77" i="105"/>
  <c r="L128" i="105"/>
  <c r="I77" i="105"/>
  <c r="I128" i="105"/>
  <c r="M64" i="155"/>
  <c r="M129" i="155" s="1"/>
  <c r="M64" i="154"/>
  <c r="M129" i="154" s="1"/>
  <c r="AL59" i="153"/>
  <c r="AL124" i="153" s="1"/>
  <c r="AL122" i="153"/>
  <c r="AP123" i="155"/>
  <c r="L58" i="155"/>
  <c r="L123" i="155" s="1"/>
  <c r="AJ113" i="153"/>
  <c r="AJ52" i="153"/>
  <c r="AJ117" i="153" s="1"/>
  <c r="AK113" i="153"/>
  <c r="AK52" i="153"/>
  <c r="AK117" i="153" s="1"/>
  <c r="AH52" i="155"/>
  <c r="AH117" i="155" s="1"/>
  <c r="AH113" i="155"/>
  <c r="AD113" i="154"/>
  <c r="K48" i="154"/>
  <c r="K113" i="154" s="1"/>
  <c r="AD52" i="154"/>
  <c r="AG122" i="155"/>
  <c r="AG59" i="155"/>
  <c r="AG124" i="155" s="1"/>
  <c r="AL52" i="154"/>
  <c r="AL117" i="154" s="1"/>
  <c r="AL113" i="154"/>
  <c r="AM113" i="153"/>
  <c r="AM52" i="153"/>
  <c r="AM117" i="153" s="1"/>
  <c r="AN113" i="155"/>
  <c r="AN52" i="155"/>
  <c r="AN117" i="155" s="1"/>
  <c r="AO113" i="153"/>
  <c r="AO52" i="153"/>
  <c r="AO117" i="153" s="1"/>
  <c r="AI113" i="153"/>
  <c r="AI52" i="153"/>
  <c r="AI117" i="153" s="1"/>
  <c r="AD122" i="153"/>
  <c r="K57" i="153"/>
  <c r="K122" i="153" s="1"/>
  <c r="AD59" i="153"/>
  <c r="N64" i="153"/>
  <c r="BN129" i="153"/>
  <c r="I72" i="154"/>
  <c r="I77" i="154"/>
  <c r="I142" i="154" s="1"/>
  <c r="I136" i="154"/>
  <c r="I137" i="154" s="1"/>
  <c r="AM122" i="154"/>
  <c r="AM59" i="154"/>
  <c r="AM124" i="154" s="1"/>
  <c r="AE122" i="155"/>
  <c r="AE59" i="155"/>
  <c r="AE124" i="155" s="1"/>
  <c r="AJ122" i="154"/>
  <c r="AJ59" i="154"/>
  <c r="AJ124" i="154" s="1"/>
  <c r="AP116" i="155"/>
  <c r="L51" i="155"/>
  <c r="L116" i="155" s="1"/>
  <c r="AI113" i="154"/>
  <c r="AI52" i="154"/>
  <c r="AI117" i="154" s="1"/>
  <c r="R117" i="153"/>
  <c r="J52" i="153"/>
  <c r="J117" i="153" s="1"/>
  <c r="AN59" i="155"/>
  <c r="AN124" i="155" s="1"/>
  <c r="AN122" i="155"/>
  <c r="AE113" i="153"/>
  <c r="AE52" i="153"/>
  <c r="AE117" i="153" s="1"/>
  <c r="AH122" i="155"/>
  <c r="AH59" i="155"/>
  <c r="AH124" i="155" s="1"/>
  <c r="AK113" i="154"/>
  <c r="AK52" i="154"/>
  <c r="AK117" i="154" s="1"/>
  <c r="AI113" i="155"/>
  <c r="AI52" i="155"/>
  <c r="AI117" i="155" s="1"/>
  <c r="AL122" i="155"/>
  <c r="AL59" i="155"/>
  <c r="AL124" i="155" s="1"/>
  <c r="AN113" i="154"/>
  <c r="AN52" i="154"/>
  <c r="AN117" i="154" s="1"/>
  <c r="AH122" i="153"/>
  <c r="AH59" i="153"/>
  <c r="AH124" i="153" s="1"/>
  <c r="AK113" i="155"/>
  <c r="AK52" i="155"/>
  <c r="AK117" i="155" s="1"/>
  <c r="AN122" i="154"/>
  <c r="AN59" i="154"/>
  <c r="AN124" i="154" s="1"/>
  <c r="AD113" i="155"/>
  <c r="K48" i="155"/>
  <c r="K113" i="155" s="1"/>
  <c r="AD52" i="155"/>
  <c r="AE122" i="153"/>
  <c r="AE59" i="153"/>
  <c r="AE124" i="153" s="1"/>
  <c r="AH59" i="154"/>
  <c r="AH124" i="154" s="1"/>
  <c r="AH122" i="154"/>
  <c r="AP115" i="154"/>
  <c r="L50" i="154"/>
  <c r="L115" i="154" s="1"/>
  <c r="R117" i="154"/>
  <c r="J52" i="154"/>
  <c r="J117" i="154" s="1"/>
  <c r="AN122" i="153"/>
  <c r="AN59" i="153"/>
  <c r="AN124" i="153" s="1"/>
  <c r="AE113" i="155"/>
  <c r="AE52" i="155"/>
  <c r="AE117" i="155" s="1"/>
  <c r="AO113" i="154"/>
  <c r="AO52" i="154"/>
  <c r="AO117" i="154" s="1"/>
  <c r="AE113" i="154"/>
  <c r="AE52" i="154"/>
  <c r="AE117" i="154" s="1"/>
  <c r="AE122" i="154"/>
  <c r="AE59" i="154"/>
  <c r="AE124" i="154" s="1"/>
  <c r="AM59" i="155"/>
  <c r="AM124" i="155" s="1"/>
  <c r="AM122" i="155"/>
  <c r="AG113" i="155"/>
  <c r="AG52" i="155"/>
  <c r="AG117" i="155" s="1"/>
  <c r="AD113" i="153"/>
  <c r="K48" i="153"/>
  <c r="K113" i="153" s="1"/>
  <c r="AD52" i="153"/>
  <c r="R124" i="155"/>
  <c r="J59" i="155"/>
  <c r="J124" i="155" s="1"/>
  <c r="AD59" i="154"/>
  <c r="AD122" i="154"/>
  <c r="K57" i="154"/>
  <c r="K122" i="154" s="1"/>
  <c r="AO59" i="155"/>
  <c r="AO124" i="155" s="1"/>
  <c r="AO122" i="155"/>
  <c r="AL113" i="153"/>
  <c r="AL52" i="153"/>
  <c r="AL117" i="153" s="1"/>
  <c r="AK59" i="155"/>
  <c r="AK124" i="155" s="1"/>
  <c r="AK122" i="155"/>
  <c r="K68" i="154"/>
  <c r="K133" i="154" s="1"/>
  <c r="AD133" i="154"/>
  <c r="I72" i="155"/>
  <c r="I77" i="155"/>
  <c r="I142" i="155" s="1"/>
  <c r="I136" i="155"/>
  <c r="I137" i="155" s="1"/>
  <c r="AP116" i="154"/>
  <c r="L51" i="154"/>
  <c r="L116" i="154" s="1"/>
  <c r="N64" i="155"/>
  <c r="BN129" i="155"/>
  <c r="AP123" i="154"/>
  <c r="L58" i="154"/>
  <c r="L123" i="154" s="1"/>
  <c r="AP123" i="153"/>
  <c r="L58" i="153"/>
  <c r="L123" i="153" s="1"/>
  <c r="AL113" i="155"/>
  <c r="AL52" i="155"/>
  <c r="AL117" i="155" s="1"/>
  <c r="AP109" i="154"/>
  <c r="L44" i="154"/>
  <c r="L109" i="154" s="1"/>
  <c r="AJ113" i="154"/>
  <c r="AJ52" i="154"/>
  <c r="AJ117" i="154" s="1"/>
  <c r="AP109" i="155"/>
  <c r="L44" i="155"/>
  <c r="L109" i="155" s="1"/>
  <c r="AJ122" i="153"/>
  <c r="AJ59" i="153"/>
  <c r="AJ124" i="153" s="1"/>
  <c r="AL59" i="154"/>
  <c r="AL124" i="154" s="1"/>
  <c r="AL122" i="154"/>
  <c r="AI122" i="155"/>
  <c r="AI59" i="155"/>
  <c r="AI124" i="155" s="1"/>
  <c r="K68" i="153"/>
  <c r="K133" i="153" s="1"/>
  <c r="AD133" i="153"/>
  <c r="R117" i="155"/>
  <c r="J52" i="155"/>
  <c r="J117" i="155" s="1"/>
  <c r="J59" i="154"/>
  <c r="J124" i="154" s="1"/>
  <c r="R124" i="154"/>
  <c r="AP114" i="154"/>
  <c r="L49" i="154"/>
  <c r="L114" i="154" s="1"/>
  <c r="AO113" i="155"/>
  <c r="AO52" i="155"/>
  <c r="AO117" i="155" s="1"/>
  <c r="AF122" i="155"/>
  <c r="AF59" i="155"/>
  <c r="AF124" i="155" s="1"/>
  <c r="AP109" i="153"/>
  <c r="L44" i="153"/>
  <c r="L109" i="153" s="1"/>
  <c r="AF113" i="153"/>
  <c r="AF52" i="153"/>
  <c r="AF117" i="153" s="1"/>
  <c r="AH113" i="153"/>
  <c r="AH52" i="153"/>
  <c r="AH117" i="153" s="1"/>
  <c r="AF113" i="155"/>
  <c r="AF52" i="155"/>
  <c r="AF117" i="155" s="1"/>
  <c r="L49" i="153"/>
  <c r="L114" i="153" s="1"/>
  <c r="AP114" i="153"/>
  <c r="AP116" i="153"/>
  <c r="L51" i="153"/>
  <c r="L116" i="153" s="1"/>
  <c r="AG113" i="154"/>
  <c r="AG52" i="154"/>
  <c r="AG117" i="154" s="1"/>
  <c r="AG113" i="153"/>
  <c r="AG52" i="153"/>
  <c r="AG117" i="153" s="1"/>
  <c r="AF113" i="154"/>
  <c r="AF52" i="154"/>
  <c r="AF117" i="154" s="1"/>
  <c r="R124" i="153"/>
  <c r="J59" i="153"/>
  <c r="J124" i="153" s="1"/>
  <c r="AK122" i="153"/>
  <c r="AK59" i="153"/>
  <c r="AK124" i="153" s="1"/>
  <c r="AP114" i="155"/>
  <c r="L49" i="155"/>
  <c r="L114" i="155" s="1"/>
  <c r="AN113" i="153"/>
  <c r="AN52" i="153"/>
  <c r="AN117" i="153" s="1"/>
  <c r="AF122" i="154"/>
  <c r="AF59" i="154"/>
  <c r="AF124" i="154" s="1"/>
  <c r="AF59" i="153"/>
  <c r="AF124" i="153" s="1"/>
  <c r="AF122" i="153"/>
  <c r="AO122" i="153"/>
  <c r="AO59" i="153"/>
  <c r="AO124" i="153" s="1"/>
  <c r="AM122" i="153"/>
  <c r="AM59" i="153"/>
  <c r="AM124" i="153" s="1"/>
  <c r="AP115" i="153"/>
  <c r="L50" i="153"/>
  <c r="L115" i="153" s="1"/>
  <c r="AG122" i="154"/>
  <c r="AG59" i="154"/>
  <c r="AG124" i="154" s="1"/>
  <c r="AH113" i="154"/>
  <c r="AH52" i="154"/>
  <c r="AH117" i="154" s="1"/>
  <c r="AK122" i="154"/>
  <c r="AK59" i="154"/>
  <c r="AK124" i="154" s="1"/>
  <c r="AM113" i="154"/>
  <c r="AM52" i="154"/>
  <c r="AM117" i="154" s="1"/>
  <c r="N64" i="154"/>
  <c r="BN129" i="154"/>
  <c r="AG122" i="153"/>
  <c r="AG59" i="153"/>
  <c r="AG124" i="153" s="1"/>
  <c r="AP115" i="155"/>
  <c r="L50" i="155"/>
  <c r="L115" i="155" s="1"/>
  <c r="AI122" i="153"/>
  <c r="AI59" i="153"/>
  <c r="AI124" i="153" s="1"/>
  <c r="AJ59" i="155"/>
  <c r="AJ124" i="155" s="1"/>
  <c r="AJ122" i="155"/>
  <c r="AI122" i="154"/>
  <c r="AI59" i="154"/>
  <c r="AI124" i="154" s="1"/>
  <c r="AJ113" i="155"/>
  <c r="AJ52" i="155"/>
  <c r="AJ117" i="155" s="1"/>
  <c r="AD122" i="155"/>
  <c r="AD59" i="155"/>
  <c r="K57" i="155"/>
  <c r="K122" i="155" s="1"/>
  <c r="AO122" i="154"/>
  <c r="AO59" i="154"/>
  <c r="AO124" i="154" s="1"/>
  <c r="AM113" i="155"/>
  <c r="AM52" i="155"/>
  <c r="AM117" i="155" s="1"/>
  <c r="K68" i="155"/>
  <c r="K133" i="155" s="1"/>
  <c r="AD133" i="155"/>
  <c r="I72" i="153"/>
  <c r="I77" i="153"/>
  <c r="I142" i="153" s="1"/>
  <c r="I136" i="153"/>
  <c r="I137" i="153" s="1"/>
  <c r="N126" i="105"/>
  <c r="I77" i="99"/>
  <c r="D70" i="294"/>
  <c r="J556" i="155"/>
  <c r="N37" i="105"/>
  <c r="N39" i="105"/>
  <c r="N28" i="105"/>
  <c r="D66" i="294"/>
  <c r="I62" i="103"/>
  <c r="N527" i="153"/>
  <c r="P527" i="153" s="1"/>
  <c r="P526" i="153"/>
  <c r="N527" i="155"/>
  <c r="P527" i="155" s="1"/>
  <c r="P526" i="155"/>
  <c r="N527" i="154"/>
  <c r="P527" i="154" s="1"/>
  <c r="P526" i="154"/>
  <c r="N529" i="153"/>
  <c r="P529" i="153" s="1"/>
  <c r="N518" i="153"/>
  <c r="P518" i="153" s="1"/>
  <c r="P517" i="153"/>
  <c r="N529" i="154"/>
  <c r="P529" i="154" s="1"/>
  <c r="N518" i="154"/>
  <c r="P518" i="154" s="1"/>
  <c r="P517" i="154"/>
  <c r="N529" i="155"/>
  <c r="P529" i="155" s="1"/>
  <c r="P517" i="155"/>
  <c r="N518" i="155"/>
  <c r="P518" i="155" s="1"/>
  <c r="R544" i="99"/>
  <c r="R551" i="99" s="1"/>
  <c r="R530" i="99"/>
  <c r="R593" i="99"/>
  <c r="R594" i="99" s="1"/>
  <c r="T590" i="99"/>
  <c r="AB527" i="99"/>
  <c r="T529" i="99"/>
  <c r="M586" i="99"/>
  <c r="AA527" i="99"/>
  <c r="S590" i="99"/>
  <c r="R590" i="99"/>
  <c r="Z527" i="99"/>
  <c r="L588" i="99"/>
  <c r="M585" i="99"/>
  <c r="K590" i="99"/>
  <c r="K591" i="99" s="1"/>
  <c r="S527" i="99"/>
  <c r="M589" i="99"/>
  <c r="M587" i="99"/>
  <c r="S155" i="99"/>
  <c r="BT618" i="154"/>
  <c r="BO618" i="153"/>
  <c r="BR618" i="155"/>
  <c r="BS618" i="153"/>
  <c r="BX618" i="154"/>
  <c r="BR618" i="153"/>
  <c r="BX618" i="155"/>
  <c r="BS618" i="154"/>
  <c r="BR618" i="154"/>
  <c r="BN618" i="153"/>
  <c r="BU618" i="154"/>
  <c r="BY618" i="155"/>
  <c r="BS618" i="155"/>
  <c r="BW618" i="153"/>
  <c r="BU618" i="155"/>
  <c r="BP618" i="154"/>
  <c r="BY618" i="153"/>
  <c r="BU618" i="153"/>
  <c r="BW618" i="155"/>
  <c r="BY618" i="154"/>
  <c r="BX618" i="153"/>
  <c r="BP618" i="153"/>
  <c r="BV618" i="153"/>
  <c r="BQ618" i="155"/>
  <c r="BV618" i="155"/>
  <c r="BQ618" i="154"/>
  <c r="BO618" i="154"/>
  <c r="BP618" i="155"/>
  <c r="BT618" i="155"/>
  <c r="BO618" i="155"/>
  <c r="BQ618" i="153"/>
  <c r="BT618" i="153"/>
  <c r="BV618" i="154"/>
  <c r="BW618" i="154"/>
  <c r="AI518" i="155"/>
  <c r="AI529" i="155"/>
  <c r="AI593" i="155" s="1"/>
  <c r="AI594" i="155" s="1"/>
  <c r="AC544" i="155"/>
  <c r="AC608" i="155" s="1"/>
  <c r="AC593" i="155"/>
  <c r="AC594" i="155" s="1"/>
  <c r="AQ597" i="155"/>
  <c r="AQ535" i="155"/>
  <c r="AQ599" i="155" s="1"/>
  <c r="BI533" i="155"/>
  <c r="BJ533" i="155"/>
  <c r="BK533" i="155"/>
  <c r="BL533" i="155"/>
  <c r="BM533" i="155"/>
  <c r="N533" i="155" a="1"/>
  <c r="N533" i="155" s="1"/>
  <c r="M597" i="155"/>
  <c r="M535" i="155"/>
  <c r="M599" i="155" s="1"/>
  <c r="BB533" i="155"/>
  <c r="BC533" i="155"/>
  <c r="BE533" i="155"/>
  <c r="BD533" i="155"/>
  <c r="BF533" i="155"/>
  <c r="BG533" i="155"/>
  <c r="BH533" i="155"/>
  <c r="AP535" i="155"/>
  <c r="AP599" i="155" s="1"/>
  <c r="AP597" i="155"/>
  <c r="BA535" i="155"/>
  <c r="BA599" i="155" s="1"/>
  <c r="BA597" i="155"/>
  <c r="AZ597" i="155"/>
  <c r="AZ535" i="155"/>
  <c r="AZ599" i="155" s="1"/>
  <c r="AY597" i="155"/>
  <c r="AY535" i="155"/>
  <c r="AY599" i="155" s="1"/>
  <c r="AX597" i="155"/>
  <c r="AX535" i="155"/>
  <c r="AX599" i="155" s="1"/>
  <c r="AW535" i="155"/>
  <c r="AW599" i="155" s="1"/>
  <c r="AW597" i="155"/>
  <c r="AV597" i="155"/>
  <c r="AV535" i="155"/>
  <c r="AV599" i="155" s="1"/>
  <c r="AU535" i="155"/>
  <c r="AU599" i="155" s="1"/>
  <c r="AU597" i="155"/>
  <c r="AT535" i="155"/>
  <c r="AT599" i="155" s="1"/>
  <c r="AT597" i="155"/>
  <c r="AS597" i="155"/>
  <c r="AS535" i="155"/>
  <c r="AS599" i="155" s="1"/>
  <c r="AR535" i="155"/>
  <c r="AR599" i="155" s="1"/>
  <c r="AR597" i="155"/>
  <c r="AC223" i="155"/>
  <c r="U582" i="153"/>
  <c r="AM529" i="153"/>
  <c r="AM544" i="153" s="1"/>
  <c r="AM518" i="153"/>
  <c r="J164" i="104" a="1"/>
  <c r="J164" i="104" s="1"/>
  <c r="K164" i="104" s="1"/>
  <c r="BD170" i="104" s="1"/>
  <c r="U223" i="155"/>
  <c r="AT445" i="154"/>
  <c r="AT68" i="154" s="1"/>
  <c r="AT133" i="154" s="1"/>
  <c r="AR445" i="154"/>
  <c r="AR68" i="154" s="1"/>
  <c r="AR133" i="154" s="1"/>
  <c r="AT445" i="155"/>
  <c r="AT68" i="155" s="1"/>
  <c r="AT133" i="155" s="1"/>
  <c r="AW445" i="154"/>
  <c r="AW68" i="154" s="1"/>
  <c r="AW133" i="154" s="1"/>
  <c r="AX445" i="154"/>
  <c r="AX68" i="154" s="1"/>
  <c r="AX133" i="154" s="1"/>
  <c r="AR445" i="153"/>
  <c r="AR68" i="153" s="1"/>
  <c r="AR133" i="153" s="1"/>
  <c r="AP445" i="155"/>
  <c r="AP68" i="155" s="1"/>
  <c r="AQ445" i="154"/>
  <c r="AQ68" i="154" s="1"/>
  <c r="AQ133" i="154" s="1"/>
  <c r="AY445" i="154"/>
  <c r="AY68" i="154" s="1"/>
  <c r="AY133" i="154" s="1"/>
  <c r="AQ445" i="155"/>
  <c r="AQ68" i="155" s="1"/>
  <c r="AQ133" i="155" s="1"/>
  <c r="AJ581" i="154"/>
  <c r="AJ223" i="154" s="1"/>
  <c r="BI440" i="153"/>
  <c r="BI442" i="153"/>
  <c r="BI444" i="153"/>
  <c r="BI439" i="153"/>
  <c r="BI443" i="153"/>
  <c r="BI441" i="153"/>
  <c r="BF441" i="155"/>
  <c r="BF444" i="155"/>
  <c r="BF443" i="155"/>
  <c r="BF440" i="155"/>
  <c r="BF442" i="155"/>
  <c r="BF439" i="155"/>
  <c r="AT535" i="153"/>
  <c r="AT599" i="153" s="1"/>
  <c r="AT597" i="153"/>
  <c r="BS558" i="153"/>
  <c r="BS622" i="153" s="1"/>
  <c r="BX558" i="153"/>
  <c r="BX622" i="153" s="1"/>
  <c r="BY558" i="153"/>
  <c r="BY622" i="153" s="1"/>
  <c r="N622" i="153"/>
  <c r="P622" i="153" s="1"/>
  <c r="BN558" i="153"/>
  <c r="BN622" i="153" s="1"/>
  <c r="P558" i="153"/>
  <c r="BO558" i="153"/>
  <c r="BO622" i="153" s="1"/>
  <c r="BP558" i="153"/>
  <c r="BP622" i="153" s="1"/>
  <c r="BQ558" i="153"/>
  <c r="BQ622" i="153" s="1"/>
  <c r="BR558" i="153"/>
  <c r="BR622" i="153" s="1"/>
  <c r="BT558" i="153"/>
  <c r="BT622" i="153" s="1"/>
  <c r="BU558" i="153"/>
  <c r="BU622" i="153" s="1"/>
  <c r="BV558" i="153"/>
  <c r="BV622" i="153" s="1"/>
  <c r="BW558" i="153"/>
  <c r="BW622" i="153" s="1"/>
  <c r="BE441" i="155"/>
  <c r="BE439" i="155"/>
  <c r="BE443" i="155"/>
  <c r="BE444" i="155"/>
  <c r="BE440" i="155"/>
  <c r="BE442" i="155"/>
  <c r="BL442" i="154"/>
  <c r="BL439" i="154"/>
  <c r="BL441" i="154"/>
  <c r="BL443" i="154"/>
  <c r="BL440" i="154"/>
  <c r="BL444" i="154"/>
  <c r="AS597" i="153"/>
  <c r="AS535" i="153"/>
  <c r="AS599" i="153" s="1"/>
  <c r="AQ445" i="153"/>
  <c r="AQ68" i="153" s="1"/>
  <c r="AQ133" i="153" s="1"/>
  <c r="BF443" i="153"/>
  <c r="BF442" i="153"/>
  <c r="BF444" i="153"/>
  <c r="BF441" i="153"/>
  <c r="BF439" i="153"/>
  <c r="BF440" i="153"/>
  <c r="BA597" i="154"/>
  <c r="BA535" i="154"/>
  <c r="BA599" i="154" s="1"/>
  <c r="BC443" i="155"/>
  <c r="BC444" i="155"/>
  <c r="BC440" i="155"/>
  <c r="BC439" i="155"/>
  <c r="BC441" i="155"/>
  <c r="BC442" i="155"/>
  <c r="AZ445" i="155"/>
  <c r="AZ68" i="155" s="1"/>
  <c r="AZ133" i="155" s="1"/>
  <c r="BA445" i="155"/>
  <c r="BA68" i="155" s="1"/>
  <c r="BA133" i="155" s="1"/>
  <c r="AW445" i="155"/>
  <c r="AW68" i="155" s="1"/>
  <c r="AW133" i="155" s="1"/>
  <c r="AR597" i="153"/>
  <c r="AR535" i="153"/>
  <c r="AR599" i="153" s="1"/>
  <c r="BH444" i="153"/>
  <c r="BH440" i="153"/>
  <c r="BH439" i="153"/>
  <c r="BH442" i="153"/>
  <c r="BH443" i="153"/>
  <c r="BH441" i="153"/>
  <c r="AU445" i="155"/>
  <c r="AU68" i="155" s="1"/>
  <c r="AU133" i="155" s="1"/>
  <c r="AV445" i="153"/>
  <c r="AV68" i="153" s="1"/>
  <c r="AV133" i="153" s="1"/>
  <c r="BB441" i="155"/>
  <c r="BB443" i="155"/>
  <c r="BB444" i="155"/>
  <c r="BB439" i="155"/>
  <c r="BB440" i="155"/>
  <c r="BB442" i="155"/>
  <c r="BJ440" i="154"/>
  <c r="BJ444" i="154"/>
  <c r="BJ441" i="154"/>
  <c r="BJ442" i="154"/>
  <c r="BJ443" i="154"/>
  <c r="BJ439" i="154"/>
  <c r="AQ597" i="153"/>
  <c r="AQ535" i="153"/>
  <c r="AQ599" i="153" s="1"/>
  <c r="BG444" i="153"/>
  <c r="BG441" i="153"/>
  <c r="BG439" i="153"/>
  <c r="BG440" i="153"/>
  <c r="BG443" i="153"/>
  <c r="BG442" i="153"/>
  <c r="AP445" i="154"/>
  <c r="AP68" i="154" s="1"/>
  <c r="BV558" i="154"/>
  <c r="BV622" i="154" s="1"/>
  <c r="N622" i="154"/>
  <c r="P622" i="154" s="1"/>
  <c r="BN558" i="154"/>
  <c r="BN622" i="154" s="1"/>
  <c r="BR558" i="154"/>
  <c r="BR622" i="154" s="1"/>
  <c r="BS558" i="154"/>
  <c r="BS622" i="154" s="1"/>
  <c r="BT558" i="154"/>
  <c r="BT622" i="154" s="1"/>
  <c r="BU558" i="154"/>
  <c r="BU622" i="154" s="1"/>
  <c r="BW558" i="154"/>
  <c r="BW622" i="154" s="1"/>
  <c r="BX558" i="154"/>
  <c r="BX622" i="154" s="1"/>
  <c r="BY558" i="154"/>
  <c r="BY622" i="154" s="1"/>
  <c r="P558" i="154"/>
  <c r="BO558" i="154"/>
  <c r="BO622" i="154" s="1"/>
  <c r="BP558" i="154"/>
  <c r="BP622" i="154" s="1"/>
  <c r="BQ558" i="154"/>
  <c r="BQ622" i="154" s="1"/>
  <c r="AU445" i="154"/>
  <c r="AU68" i="154" s="1"/>
  <c r="AU133" i="154" s="1"/>
  <c r="AP597" i="153"/>
  <c r="AP535" i="153"/>
  <c r="AP599" i="153" s="1"/>
  <c r="BE443" i="153"/>
  <c r="BE444" i="153"/>
  <c r="BE442" i="153"/>
  <c r="BE440" i="153"/>
  <c r="BE441" i="153"/>
  <c r="BE439" i="153"/>
  <c r="BI443" i="154"/>
  <c r="BI442" i="154"/>
  <c r="BI441" i="154"/>
  <c r="BI444" i="154"/>
  <c r="BI440" i="154"/>
  <c r="BI439" i="154"/>
  <c r="AP445" i="153"/>
  <c r="AP68" i="153" s="1"/>
  <c r="BD442" i="153"/>
  <c r="BD441" i="153"/>
  <c r="BD440" i="153"/>
  <c r="BD444" i="153"/>
  <c r="BD439" i="153"/>
  <c r="BD443" i="153"/>
  <c r="AS445" i="154"/>
  <c r="AS68" i="154" s="1"/>
  <c r="AS133" i="154" s="1"/>
  <c r="BH440" i="154"/>
  <c r="BH442" i="154"/>
  <c r="BH444" i="154"/>
  <c r="BH439" i="154"/>
  <c r="BH443" i="154"/>
  <c r="BH441" i="154"/>
  <c r="BB441" i="153"/>
  <c r="BB444" i="153"/>
  <c r="BB439" i="153"/>
  <c r="BB443" i="153"/>
  <c r="BB440" i="153"/>
  <c r="BB442" i="153"/>
  <c r="BG440" i="154"/>
  <c r="BG442" i="154"/>
  <c r="BG441" i="154"/>
  <c r="BG444" i="154"/>
  <c r="BG443" i="154"/>
  <c r="BG439" i="154"/>
  <c r="AX445" i="155"/>
  <c r="AX68" i="155" s="1"/>
  <c r="AX133" i="155" s="1"/>
  <c r="AV597" i="154"/>
  <c r="AV535" i="154"/>
  <c r="AV599" i="154" s="1"/>
  <c r="BF443" i="154"/>
  <c r="BF440" i="154"/>
  <c r="BF441" i="154"/>
  <c r="BF439" i="154"/>
  <c r="BF442" i="154"/>
  <c r="BF444" i="154"/>
  <c r="AS445" i="153"/>
  <c r="AS68" i="153" s="1"/>
  <c r="AS133" i="153" s="1"/>
  <c r="AZ597" i="154"/>
  <c r="AZ535" i="154"/>
  <c r="AZ599" i="154" s="1"/>
  <c r="BE442" i="154"/>
  <c r="BE441" i="154"/>
  <c r="BE440" i="154"/>
  <c r="BE444" i="154"/>
  <c r="BE443" i="154"/>
  <c r="BE439" i="154"/>
  <c r="AY535" i="154"/>
  <c r="AY599" i="154" s="1"/>
  <c r="AY597" i="154"/>
  <c r="BJ439" i="155"/>
  <c r="BJ444" i="155"/>
  <c r="BJ443" i="155"/>
  <c r="BJ442" i="155"/>
  <c r="BJ440" i="155"/>
  <c r="BJ441" i="155"/>
  <c r="BD444" i="154"/>
  <c r="BD439" i="154"/>
  <c r="BD443" i="154"/>
  <c r="BD440" i="154"/>
  <c r="BD441" i="154"/>
  <c r="BD442" i="154"/>
  <c r="AS445" i="155"/>
  <c r="AS68" i="155" s="1"/>
  <c r="AS133" i="155" s="1"/>
  <c r="AX597" i="154"/>
  <c r="AX535" i="154"/>
  <c r="AX599" i="154" s="1"/>
  <c r="AW445" i="153"/>
  <c r="AW68" i="153" s="1"/>
  <c r="AW133" i="153" s="1"/>
  <c r="BI444" i="155"/>
  <c r="BI442" i="155"/>
  <c r="BI440" i="155"/>
  <c r="BI441" i="155"/>
  <c r="BI443" i="155"/>
  <c r="BI439" i="155"/>
  <c r="BC442" i="154"/>
  <c r="BC443" i="154"/>
  <c r="BC441" i="154"/>
  <c r="BC444" i="154"/>
  <c r="BC440" i="154"/>
  <c r="BC439" i="154"/>
  <c r="BA445" i="153"/>
  <c r="BA68" i="153" s="1"/>
  <c r="BA133" i="153" s="1"/>
  <c r="BI533" i="153"/>
  <c r="BJ533" i="153"/>
  <c r="BL533" i="153"/>
  <c r="BK533" i="153"/>
  <c r="BM533" i="153"/>
  <c r="M535" i="153"/>
  <c r="M599" i="153" s="1"/>
  <c r="N533" i="153" a="1"/>
  <c r="N533" i="153" s="1"/>
  <c r="M597" i="153"/>
  <c r="BB533" i="153"/>
  <c r="BD533" i="153"/>
  <c r="BC533" i="153"/>
  <c r="BE533" i="153"/>
  <c r="BH533" i="153"/>
  <c r="BF533" i="153"/>
  <c r="BG533" i="153"/>
  <c r="AW597" i="154"/>
  <c r="AW535" i="154"/>
  <c r="AW599" i="154" s="1"/>
  <c r="BH444" i="155"/>
  <c r="BH443" i="155"/>
  <c r="BH440" i="155"/>
  <c r="BH442" i="155"/>
  <c r="BH441" i="155"/>
  <c r="BH439" i="155"/>
  <c r="BB441" i="154"/>
  <c r="BB443" i="154"/>
  <c r="BB439" i="154"/>
  <c r="BB444" i="154"/>
  <c r="BB442" i="154"/>
  <c r="BB440" i="154"/>
  <c r="AT445" i="153"/>
  <c r="AT68" i="153" s="1"/>
  <c r="AT133" i="153" s="1"/>
  <c r="AZ445" i="154"/>
  <c r="AZ68" i="154" s="1"/>
  <c r="AZ133" i="154" s="1"/>
  <c r="AY445" i="155"/>
  <c r="AY68" i="155" s="1"/>
  <c r="AY133" i="155" s="1"/>
  <c r="AV597" i="153"/>
  <c r="AV535" i="153"/>
  <c r="AV599" i="153" s="1"/>
  <c r="AU535" i="154"/>
  <c r="AU599" i="154" s="1"/>
  <c r="AU597" i="154"/>
  <c r="BD443" i="155"/>
  <c r="BD442" i="155"/>
  <c r="BD441" i="155"/>
  <c r="BD444" i="155"/>
  <c r="BD440" i="155"/>
  <c r="BD439" i="155"/>
  <c r="BM443" i="154"/>
  <c r="BM439" i="154"/>
  <c r="BM441" i="154"/>
  <c r="BM440" i="154"/>
  <c r="BM442" i="154"/>
  <c r="BM444" i="154"/>
  <c r="AR597" i="154"/>
  <c r="AR535" i="154"/>
  <c r="AR599" i="154" s="1"/>
  <c r="AV445" i="154"/>
  <c r="AV68" i="154" s="1"/>
  <c r="AV133" i="154" s="1"/>
  <c r="BN558" i="155"/>
  <c r="BN622" i="155" s="1"/>
  <c r="BS558" i="155"/>
  <c r="BS622" i="155" s="1"/>
  <c r="BW558" i="155"/>
  <c r="BW622" i="155" s="1"/>
  <c r="BY558" i="155"/>
  <c r="BY622" i="155" s="1"/>
  <c r="N622" i="155"/>
  <c r="P622" i="155" s="1"/>
  <c r="P558" i="155"/>
  <c r="BO558" i="155"/>
  <c r="BO622" i="155" s="1"/>
  <c r="BP558" i="155"/>
  <c r="BP622" i="155" s="1"/>
  <c r="BQ558" i="155"/>
  <c r="BQ622" i="155" s="1"/>
  <c r="BR558" i="155"/>
  <c r="BR622" i="155" s="1"/>
  <c r="BT558" i="155"/>
  <c r="BT622" i="155" s="1"/>
  <c r="BU558" i="155"/>
  <c r="BU622" i="155" s="1"/>
  <c r="BV558" i="155"/>
  <c r="BV622" i="155" s="1"/>
  <c r="BX558" i="155"/>
  <c r="BX622" i="155" s="1"/>
  <c r="BK439" i="154"/>
  <c r="BK440" i="154"/>
  <c r="BK441" i="154"/>
  <c r="BK444" i="154"/>
  <c r="BK442" i="154"/>
  <c r="BK443" i="154"/>
  <c r="BA445" i="154"/>
  <c r="BA68" i="154" s="1"/>
  <c r="BA133" i="154" s="1"/>
  <c r="AZ535" i="153"/>
  <c r="AZ599" i="153" s="1"/>
  <c r="AZ597" i="153"/>
  <c r="BC439" i="153"/>
  <c r="BC440" i="153"/>
  <c r="BC441" i="153"/>
  <c r="BC442" i="153"/>
  <c r="BC444" i="153"/>
  <c r="BC443" i="153"/>
  <c r="AQ535" i="154"/>
  <c r="AQ599" i="154" s="1"/>
  <c r="AQ597" i="154"/>
  <c r="AV445" i="155"/>
  <c r="AV68" i="155" s="1"/>
  <c r="AV133" i="155" s="1"/>
  <c r="BM444" i="155"/>
  <c r="BM439" i="155"/>
  <c r="BM440" i="155"/>
  <c r="BM441" i="155"/>
  <c r="BM443" i="155"/>
  <c r="BM442" i="155"/>
  <c r="AR445" i="155"/>
  <c r="AR68" i="155" s="1"/>
  <c r="AR133" i="155" s="1"/>
  <c r="BA597" i="153"/>
  <c r="BA535" i="153"/>
  <c r="BA599" i="153" s="1"/>
  <c r="BM444" i="153"/>
  <c r="BM439" i="153"/>
  <c r="BM441" i="153"/>
  <c r="BM443" i="153"/>
  <c r="BM442" i="153"/>
  <c r="BM440" i="153"/>
  <c r="AS535" i="154"/>
  <c r="AS599" i="154" s="1"/>
  <c r="AS597" i="154"/>
  <c r="AU445" i="153"/>
  <c r="AU68" i="153" s="1"/>
  <c r="AU133" i="153" s="1"/>
  <c r="AY535" i="153"/>
  <c r="AY599" i="153" s="1"/>
  <c r="AY597" i="153"/>
  <c r="BL444" i="153"/>
  <c r="BL439" i="153"/>
  <c r="BL441" i="153"/>
  <c r="BL442" i="153"/>
  <c r="BL440" i="153"/>
  <c r="BL443" i="153"/>
  <c r="AP597" i="154"/>
  <c r="AP535" i="154"/>
  <c r="AP599" i="154" s="1"/>
  <c r="BL440" i="155"/>
  <c r="BL444" i="155"/>
  <c r="BL441" i="155"/>
  <c r="BL439" i="155"/>
  <c r="BL443" i="155"/>
  <c r="BL442" i="155"/>
  <c r="AX597" i="153"/>
  <c r="AX535" i="153"/>
  <c r="AX599" i="153" s="1"/>
  <c r="BK441" i="153"/>
  <c r="BK440" i="153"/>
  <c r="BK444" i="153"/>
  <c r="BK443" i="153"/>
  <c r="BK442" i="153"/>
  <c r="BK439" i="153"/>
  <c r="M597" i="154"/>
  <c r="BB533" i="154"/>
  <c r="BC533" i="154"/>
  <c r="M535" i="154"/>
  <c r="M599" i="154" s="1"/>
  <c r="BD533" i="154"/>
  <c r="BE533" i="154"/>
  <c r="BG533" i="154"/>
  <c r="BF533" i="154"/>
  <c r="BL533" i="154"/>
  <c r="BH533" i="154"/>
  <c r="BK533" i="154"/>
  <c r="BI533" i="154"/>
  <c r="BJ533" i="154"/>
  <c r="BM533" i="154"/>
  <c r="N533" i="154" a="1"/>
  <c r="N533" i="154" s="1"/>
  <c r="BK440" i="155"/>
  <c r="BK441" i="155"/>
  <c r="BK442" i="155"/>
  <c r="BK444" i="155"/>
  <c r="BK439" i="155"/>
  <c r="BK443" i="155"/>
  <c r="AW597" i="153"/>
  <c r="AW535" i="153"/>
  <c r="AW599" i="153" s="1"/>
  <c r="BJ441" i="153"/>
  <c r="BJ440" i="153"/>
  <c r="BJ442" i="153"/>
  <c r="BJ439" i="153"/>
  <c r="BJ444" i="153"/>
  <c r="BJ443" i="153"/>
  <c r="AT535" i="154"/>
  <c r="AT599" i="154" s="1"/>
  <c r="AT597" i="154"/>
  <c r="AX445" i="153"/>
  <c r="AX68" i="153" s="1"/>
  <c r="AX133" i="153" s="1"/>
  <c r="BG439" i="155"/>
  <c r="BG440" i="155"/>
  <c r="BG442" i="155"/>
  <c r="BG444" i="155"/>
  <c r="BG441" i="155"/>
  <c r="BG443" i="155"/>
  <c r="AY445" i="153"/>
  <c r="AY68" i="153" s="1"/>
  <c r="AY133" i="153" s="1"/>
  <c r="AZ445" i="153"/>
  <c r="AZ68" i="153" s="1"/>
  <c r="AZ133" i="153" s="1"/>
  <c r="AU597" i="153"/>
  <c r="AU535" i="153"/>
  <c r="AU599" i="153" s="1"/>
  <c r="AJ581" i="153"/>
  <c r="AJ582" i="153" s="1"/>
  <c r="AK581" i="153"/>
  <c r="AK582" i="153" s="1"/>
  <c r="AP517" i="155"/>
  <c r="AP581" i="155" s="1"/>
  <c r="AM518" i="154"/>
  <c r="AJ518" i="153"/>
  <c r="AJ529" i="154"/>
  <c r="AJ530" i="154" s="1"/>
  <c r="V223" i="153"/>
  <c r="AM581" i="154"/>
  <c r="AM582" i="154" s="1"/>
  <c r="P554" i="153"/>
  <c r="BP512" i="154"/>
  <c r="BP576" i="154" s="1"/>
  <c r="BO512" i="154"/>
  <c r="BO576" i="154" s="1"/>
  <c r="AR579" i="155"/>
  <c r="BV512" i="155"/>
  <c r="BV576" i="155" s="1"/>
  <c r="AU579" i="155"/>
  <c r="BV512" i="153"/>
  <c r="BV576" i="153" s="1"/>
  <c r="BU512" i="153"/>
  <c r="BU576" i="153" s="1"/>
  <c r="Y582" i="155"/>
  <c r="BP512" i="155"/>
  <c r="BP576" i="155" s="1"/>
  <c r="BJ515" i="153"/>
  <c r="BJ579" i="153" s="1"/>
  <c r="AK518" i="153"/>
  <c r="BT512" i="153"/>
  <c r="BT576" i="153" s="1"/>
  <c r="BS512" i="153"/>
  <c r="BS576" i="153" s="1"/>
  <c r="BY512" i="154"/>
  <c r="BY576" i="154" s="1"/>
  <c r="BR512" i="153"/>
  <c r="BR576" i="153" s="1"/>
  <c r="BX512" i="154"/>
  <c r="BX576" i="154" s="1"/>
  <c r="BS512" i="154"/>
  <c r="BS576" i="154" s="1"/>
  <c r="BU512" i="154"/>
  <c r="BU576" i="154" s="1"/>
  <c r="BQ512" i="154"/>
  <c r="BQ576" i="154" s="1"/>
  <c r="BR512" i="154"/>
  <c r="BR576" i="154" s="1"/>
  <c r="BT512" i="154"/>
  <c r="BT576" i="154" s="1"/>
  <c r="BX512" i="155"/>
  <c r="BX576" i="155" s="1"/>
  <c r="AQ517" i="155"/>
  <c r="AQ581" i="155" s="1"/>
  <c r="BY512" i="153"/>
  <c r="BY576" i="153" s="1"/>
  <c r="BQ512" i="153"/>
  <c r="BQ576" i="153" s="1"/>
  <c r="BS512" i="155"/>
  <c r="BS576" i="155" s="1"/>
  <c r="BQ512" i="155"/>
  <c r="BQ576" i="155" s="1"/>
  <c r="BP232" i="153"/>
  <c r="BX512" i="153"/>
  <c r="BX576" i="153" s="1"/>
  <c r="BW512" i="154"/>
  <c r="BW576" i="154" s="1"/>
  <c r="BT232" i="155"/>
  <c r="BW232" i="153"/>
  <c r="BT232" i="153"/>
  <c r="BS232" i="153"/>
  <c r="BR232" i="153"/>
  <c r="BG230" i="153"/>
  <c r="BV512" i="154"/>
  <c r="BV576" i="154" s="1"/>
  <c r="BE230" i="153"/>
  <c r="BN618" i="155"/>
  <c r="X129" i="103"/>
  <c r="X129" i="104"/>
  <c r="BN618" i="154"/>
  <c r="BN512" i="153"/>
  <c r="BN576" i="153" s="1"/>
  <c r="BU232" i="155"/>
  <c r="BC229" i="154"/>
  <c r="BP233" i="154"/>
  <c r="BS232" i="155"/>
  <c r="BU512" i="155"/>
  <c r="BU576" i="155" s="1"/>
  <c r="BJ228" i="154"/>
  <c r="BV232" i="153"/>
  <c r="BT512" i="155"/>
  <c r="BT576" i="155" s="1"/>
  <c r="BU232" i="153"/>
  <c r="BR512" i="155"/>
  <c r="BR576" i="155" s="1"/>
  <c r="BQ232" i="153"/>
  <c r="BH230" i="155"/>
  <c r="BD230" i="155"/>
  <c r="BX233" i="154"/>
  <c r="BC230" i="155"/>
  <c r="BV233" i="154"/>
  <c r="BU233" i="154"/>
  <c r="BN512" i="154"/>
  <c r="BN576" i="154" s="1"/>
  <c r="BP512" i="153"/>
  <c r="BP576" i="153" s="1"/>
  <c r="BY232" i="155"/>
  <c r="BX232" i="155"/>
  <c r="BT233" i="154"/>
  <c r="BO512" i="153"/>
  <c r="BO576" i="153" s="1"/>
  <c r="BI229" i="153"/>
  <c r="BR233" i="154"/>
  <c r="BY232" i="153"/>
  <c r="BQ233" i="154"/>
  <c r="BW512" i="155"/>
  <c r="BW576" i="155" s="1"/>
  <c r="BX232" i="153"/>
  <c r="BS233" i="154"/>
  <c r="BK229" i="153"/>
  <c r="AU364" i="154"/>
  <c r="AU48" i="154" s="1"/>
  <c r="AY400" i="153"/>
  <c r="AY57" i="153" s="1"/>
  <c r="AR400" i="153"/>
  <c r="AR57" i="153" s="1"/>
  <c r="BE515" i="155"/>
  <c r="BE579" i="155" s="1"/>
  <c r="BN512" i="155"/>
  <c r="BN576" i="155" s="1"/>
  <c r="BL372" i="153"/>
  <c r="BL49" i="153" s="1"/>
  <c r="BL114" i="153" s="1"/>
  <c r="BF230" i="155"/>
  <c r="BC230" i="153"/>
  <c r="BE372" i="154"/>
  <c r="BE49" i="154" s="1"/>
  <c r="BE114" i="154" s="1"/>
  <c r="BN234" i="154"/>
  <c r="BE230" i="155"/>
  <c r="BJ380" i="154"/>
  <c r="BJ50" i="154" s="1"/>
  <c r="BJ115" i="154" s="1"/>
  <c r="AY400" i="155"/>
  <c r="AY57" i="155" s="1"/>
  <c r="BM380" i="155"/>
  <c r="BM50" i="155" s="1"/>
  <c r="BM115" i="155" s="1"/>
  <c r="BA400" i="153"/>
  <c r="BA57" i="153" s="1"/>
  <c r="BK352" i="154"/>
  <c r="BK44" i="154" s="1"/>
  <c r="BK109" i="154" s="1"/>
  <c r="BB372" i="155"/>
  <c r="BB49" i="155" s="1"/>
  <c r="BG408" i="154"/>
  <c r="BG58" i="154" s="1"/>
  <c r="BG123" i="154" s="1"/>
  <c r="BB388" i="155"/>
  <c r="BB51" i="155" s="1"/>
  <c r="BH372" i="155"/>
  <c r="BH49" i="155" s="1"/>
  <c r="BH114" i="155" s="1"/>
  <c r="AQ364" i="154"/>
  <c r="AQ48" i="154" s="1"/>
  <c r="AP364" i="154"/>
  <c r="AP48" i="154" s="1"/>
  <c r="BW232" i="155"/>
  <c r="BY512" i="155"/>
  <c r="BY576" i="155" s="1"/>
  <c r="BE388" i="153"/>
  <c r="BE51" i="153" s="1"/>
  <c r="BE116" i="153" s="1"/>
  <c r="BL229" i="153"/>
  <c r="BE352" i="155"/>
  <c r="BE44" i="155" s="1"/>
  <c r="BE109" i="155" s="1"/>
  <c r="AY364" i="155"/>
  <c r="AY48" i="155" s="1"/>
  <c r="BV232" i="155"/>
  <c r="BL228" i="155"/>
  <c r="BL380" i="155"/>
  <c r="BL50" i="155" s="1"/>
  <c r="BL115" i="155" s="1"/>
  <c r="AP364" i="153"/>
  <c r="AP48" i="153" s="1"/>
  <c r="BK228" i="154"/>
  <c r="BH372" i="153"/>
  <c r="BH49" i="153" s="1"/>
  <c r="BH114" i="153" s="1"/>
  <c r="BM380" i="153"/>
  <c r="BM50" i="153" s="1"/>
  <c r="BM115" i="153" s="1"/>
  <c r="BR232" i="155"/>
  <c r="BI228" i="154"/>
  <c r="BH228" i="154"/>
  <c r="BI229" i="155"/>
  <c r="BQ232" i="155"/>
  <c r="BP232" i="155"/>
  <c r="BG380" i="153"/>
  <c r="BG50" i="153" s="1"/>
  <c r="BG115" i="153" s="1"/>
  <c r="BG228" i="154"/>
  <c r="BM230" i="153"/>
  <c r="BB230" i="154"/>
  <c r="BO232" i="155"/>
  <c r="BF228" i="154"/>
  <c r="BW234" i="154"/>
  <c r="BC408" i="155"/>
  <c r="BC58" i="155" s="1"/>
  <c r="BC123" i="155" s="1"/>
  <c r="BG229" i="155"/>
  <c r="BD388" i="154"/>
  <c r="BD51" i="154" s="1"/>
  <c r="BD116" i="154" s="1"/>
  <c r="BN232" i="155"/>
  <c r="BE228" i="154"/>
  <c r="BM230" i="155"/>
  <c r="BI388" i="153"/>
  <c r="BI51" i="153" s="1"/>
  <c r="BI116" i="153" s="1"/>
  <c r="BI352" i="153"/>
  <c r="BI44" i="153" s="1"/>
  <c r="BI109" i="153" s="1"/>
  <c r="BD228" i="154"/>
  <c r="BJ230" i="153"/>
  <c r="BB229" i="153"/>
  <c r="BE372" i="153"/>
  <c r="BE49" i="153" s="1"/>
  <c r="BE114" i="153" s="1"/>
  <c r="BD380" i="153"/>
  <c r="BD50" i="153" s="1"/>
  <c r="BD115" i="153" s="1"/>
  <c r="BO512" i="155"/>
  <c r="BO576" i="155" s="1"/>
  <c r="BO232" i="153"/>
  <c r="BK230" i="155"/>
  <c r="BB352" i="154"/>
  <c r="BB44" i="154" s="1"/>
  <c r="BD352" i="154"/>
  <c r="BD44" i="154" s="1"/>
  <c r="BD109" i="154" s="1"/>
  <c r="BE372" i="155"/>
  <c r="BE49" i="155" s="1"/>
  <c r="BE114" i="155" s="1"/>
  <c r="BN232" i="153"/>
  <c r="BJ230" i="155"/>
  <c r="BH230" i="153"/>
  <c r="BB229" i="155"/>
  <c r="BM388" i="155"/>
  <c r="BM51" i="155" s="1"/>
  <c r="BM116" i="155" s="1"/>
  <c r="BJ372" i="154"/>
  <c r="BJ49" i="154" s="1"/>
  <c r="BJ114" i="154" s="1"/>
  <c r="BF230" i="153"/>
  <c r="BB380" i="154"/>
  <c r="BB50" i="154" s="1"/>
  <c r="BF372" i="155"/>
  <c r="BF49" i="155" s="1"/>
  <c r="BF114" i="155" s="1"/>
  <c r="BC380" i="153"/>
  <c r="BC50" i="153" s="1"/>
  <c r="BC115" i="153" s="1"/>
  <c r="BM352" i="155"/>
  <c r="BM44" i="155" s="1"/>
  <c r="BM109" i="155" s="1"/>
  <c r="BM229" i="154"/>
  <c r="BC352" i="153"/>
  <c r="BC44" i="153" s="1"/>
  <c r="BC109" i="153" s="1"/>
  <c r="BY233" i="154"/>
  <c r="BO234" i="154"/>
  <c r="BL229" i="154"/>
  <c r="BD230" i="153"/>
  <c r="BD408" i="155"/>
  <c r="BD58" i="155" s="1"/>
  <c r="BD123" i="155" s="1"/>
  <c r="BW512" i="153"/>
  <c r="BW576" i="153" s="1"/>
  <c r="BF352" i="155"/>
  <c r="BF44" i="155" s="1"/>
  <c r="BF109" i="155" s="1"/>
  <c r="AF530" i="154"/>
  <c r="AF593" i="154"/>
  <c r="AF594" i="154" s="1"/>
  <c r="AF544" i="154"/>
  <c r="AM593" i="155"/>
  <c r="AM594" i="155" s="1"/>
  <c r="AM530" i="155"/>
  <c r="AM544" i="155"/>
  <c r="L593" i="153"/>
  <c r="L594" i="153" s="1"/>
  <c r="L530" i="153"/>
  <c r="L544" i="153"/>
  <c r="BX549" i="154"/>
  <c r="BX613" i="154" s="1"/>
  <c r="BX611" i="154"/>
  <c r="AS579" i="154"/>
  <c r="AS517" i="154"/>
  <c r="AS529" i="154" s="1"/>
  <c r="BJ606" i="155"/>
  <c r="BT379" i="155"/>
  <c r="BT378" i="155"/>
  <c r="BT374" i="155"/>
  <c r="BT375" i="155"/>
  <c r="BT377" i="155"/>
  <c r="BT376" i="155"/>
  <c r="AR529" i="155"/>
  <c r="AR590" i="155"/>
  <c r="AZ527" i="155"/>
  <c r="BT233" i="155"/>
  <c r="AN581" i="154"/>
  <c r="AN518" i="154"/>
  <c r="BE394" i="154"/>
  <c r="BE397" i="154"/>
  <c r="BE399" i="154"/>
  <c r="BE395" i="154"/>
  <c r="BE398" i="154"/>
  <c r="BE396" i="154"/>
  <c r="P542" i="153"/>
  <c r="N606" i="153"/>
  <c r="P606" i="153" s="1"/>
  <c r="BP351" i="153"/>
  <c r="BP348" i="153"/>
  <c r="BP349" i="153"/>
  <c r="BP350" i="153"/>
  <c r="BP346" i="153"/>
  <c r="BP347" i="153"/>
  <c r="BD229" i="154"/>
  <c r="AG591" i="154"/>
  <c r="AG224" i="154"/>
  <c r="AT364" i="155"/>
  <c r="AT48" i="155" s="1"/>
  <c r="AD593" i="155"/>
  <c r="AD594" i="155" s="1"/>
  <c r="AD530" i="155"/>
  <c r="AD544" i="155"/>
  <c r="BK388" i="155"/>
  <c r="BK51" i="155" s="1"/>
  <c r="BK116" i="155" s="1"/>
  <c r="BT383" i="154"/>
  <c r="BT385" i="154"/>
  <c r="BT387" i="154"/>
  <c r="BT386" i="154"/>
  <c r="BT384" i="154"/>
  <c r="BT382" i="154"/>
  <c r="BH397" i="154"/>
  <c r="BH394" i="154"/>
  <c r="BH395" i="154"/>
  <c r="BH396" i="154"/>
  <c r="BH399" i="154"/>
  <c r="BH398" i="154"/>
  <c r="BC230" i="154"/>
  <c r="BP585" i="154"/>
  <c r="BP524" i="154"/>
  <c r="BJ229" i="155"/>
  <c r="AH529" i="153"/>
  <c r="AH518" i="153"/>
  <c r="AH581" i="153"/>
  <c r="AQ400" i="153"/>
  <c r="AQ57" i="153" s="1"/>
  <c r="BN611" i="155"/>
  <c r="BN549" i="155"/>
  <c r="BN613" i="155" s="1"/>
  <c r="AP364" i="155"/>
  <c r="AP48" i="155" s="1"/>
  <c r="AO530" i="154"/>
  <c r="AO593" i="154"/>
  <c r="AO594" i="154" s="1"/>
  <c r="AO544" i="154"/>
  <c r="BT406" i="154"/>
  <c r="BT403" i="154"/>
  <c r="BT407" i="154"/>
  <c r="BT405" i="154"/>
  <c r="BT404" i="154"/>
  <c r="BT402" i="154"/>
  <c r="BJ380" i="155"/>
  <c r="BJ50" i="155" s="1"/>
  <c r="BJ115" i="155" s="1"/>
  <c r="AK591" i="155"/>
  <c r="AK224" i="155"/>
  <c r="AB582" i="155"/>
  <c r="AB223" i="155"/>
  <c r="AR400" i="154"/>
  <c r="AR57" i="154" s="1"/>
  <c r="BV585" i="155"/>
  <c r="BV524" i="155"/>
  <c r="BP366" i="153"/>
  <c r="BP367" i="153"/>
  <c r="BP369" i="153"/>
  <c r="BP370" i="153"/>
  <c r="BP368" i="153"/>
  <c r="BP371" i="153"/>
  <c r="BR602" i="155"/>
  <c r="BR542" i="155"/>
  <c r="BT232" i="154"/>
  <c r="AJ581" i="155"/>
  <c r="AJ518" i="155"/>
  <c r="BO234" i="153"/>
  <c r="BH606" i="153"/>
  <c r="T582" i="154"/>
  <c r="T223" i="154"/>
  <c r="BR351" i="155"/>
  <c r="BR349" i="155"/>
  <c r="BR346" i="155"/>
  <c r="BR347" i="155"/>
  <c r="BR350" i="155"/>
  <c r="BR348" i="155"/>
  <c r="BF606" i="154"/>
  <c r="BP375" i="154"/>
  <c r="BP374" i="154"/>
  <c r="BP379" i="154"/>
  <c r="BP377" i="154"/>
  <c r="BP378" i="154"/>
  <c r="BP376" i="154"/>
  <c r="BB526" i="153"/>
  <c r="BB588" i="153"/>
  <c r="BY234" i="155"/>
  <c r="V593" i="154"/>
  <c r="V594" i="154" s="1"/>
  <c r="V530" i="154"/>
  <c r="V544" i="154"/>
  <c r="BU378" i="153"/>
  <c r="BU379" i="153"/>
  <c r="BU377" i="153"/>
  <c r="BU375" i="153"/>
  <c r="BU374" i="153"/>
  <c r="BU376" i="153"/>
  <c r="AD591" i="153"/>
  <c r="AD224" i="153"/>
  <c r="AV364" i="153"/>
  <c r="AV48" i="153" s="1"/>
  <c r="N577" i="153"/>
  <c r="P577" i="153" s="1"/>
  <c r="BN513" i="153"/>
  <c r="BN577" i="153" s="1"/>
  <c r="BO513" i="153"/>
  <c r="BO577" i="153" s="1"/>
  <c r="BP513" i="153"/>
  <c r="BP577" i="153" s="1"/>
  <c r="BQ513" i="153"/>
  <c r="BQ577" i="153" s="1"/>
  <c r="BR513" i="153"/>
  <c r="BR577" i="153" s="1"/>
  <c r="BS513" i="153"/>
  <c r="BS577" i="153" s="1"/>
  <c r="BT513" i="153"/>
  <c r="BT577" i="153" s="1"/>
  <c r="BU513" i="153"/>
  <c r="BU577" i="153" s="1"/>
  <c r="BV513" i="153"/>
  <c r="BV577" i="153" s="1"/>
  <c r="BW513" i="153"/>
  <c r="BW577" i="153" s="1"/>
  <c r="BX513" i="153"/>
  <c r="BX577" i="153" s="1"/>
  <c r="BY513" i="153"/>
  <c r="BY577" i="153" s="1"/>
  <c r="AT590" i="153"/>
  <c r="BB527" i="153"/>
  <c r="BW549" i="154"/>
  <c r="BW613" i="154" s="1"/>
  <c r="BW611" i="154"/>
  <c r="U593" i="154"/>
  <c r="U594" i="154" s="1"/>
  <c r="U530" i="154"/>
  <c r="U544" i="154"/>
  <c r="AS579" i="153"/>
  <c r="AS517" i="153"/>
  <c r="AS529" i="153" s="1"/>
  <c r="BT385" i="153"/>
  <c r="BT386" i="153"/>
  <c r="BT383" i="153"/>
  <c r="BT382" i="153"/>
  <c r="BT387" i="153"/>
  <c r="BT384" i="153"/>
  <c r="AM591" i="153"/>
  <c r="AM224" i="153"/>
  <c r="BJ359" i="155"/>
  <c r="BJ358" i="155"/>
  <c r="BJ362" i="155"/>
  <c r="BJ360" i="155"/>
  <c r="BJ363" i="155"/>
  <c r="BJ361" i="155"/>
  <c r="BS377" i="155"/>
  <c r="BS379" i="155"/>
  <c r="BS378" i="155"/>
  <c r="BS376" i="155"/>
  <c r="BS374" i="155"/>
  <c r="BS375" i="155"/>
  <c r="BS233" i="155"/>
  <c r="BF388" i="155"/>
  <c r="BF51" i="155" s="1"/>
  <c r="BF116" i="155" s="1"/>
  <c r="R582" i="154"/>
  <c r="R223" i="154"/>
  <c r="BM372" i="155"/>
  <c r="BM49" i="155" s="1"/>
  <c r="BM114" i="155" s="1"/>
  <c r="AP517" i="153"/>
  <c r="AP579" i="153"/>
  <c r="AZ579" i="155"/>
  <c r="AZ517" i="155"/>
  <c r="L530" i="154"/>
  <c r="L593" i="154"/>
  <c r="L594" i="154" s="1"/>
  <c r="L544" i="154"/>
  <c r="BO350" i="153"/>
  <c r="BO348" i="153"/>
  <c r="BO346" i="153"/>
  <c r="BO351" i="153"/>
  <c r="BO347" i="153"/>
  <c r="BO349" i="153"/>
  <c r="AD224" i="155"/>
  <c r="AD591" i="155"/>
  <c r="BS387" i="154"/>
  <c r="BS385" i="154"/>
  <c r="BS382" i="154"/>
  <c r="BS383" i="154"/>
  <c r="BS384" i="154"/>
  <c r="BS386" i="154"/>
  <c r="BO524" i="154"/>
  <c r="BO585" i="154"/>
  <c r="N613" i="155"/>
  <c r="P613" i="155" s="1"/>
  <c r="P549" i="155"/>
  <c r="AY527" i="154"/>
  <c r="AQ590" i="154"/>
  <c r="BD515" i="154"/>
  <c r="BD576" i="154"/>
  <c r="BS407" i="154"/>
  <c r="BS405" i="154"/>
  <c r="BS403" i="154"/>
  <c r="BS402" i="154"/>
  <c r="BS406" i="154"/>
  <c r="BS404" i="154"/>
  <c r="BG408" i="155"/>
  <c r="BG58" i="155" s="1"/>
  <c r="BG123" i="155" s="1"/>
  <c r="AJ593" i="155"/>
  <c r="AJ594" i="155" s="1"/>
  <c r="AJ530" i="155"/>
  <c r="AJ544" i="155"/>
  <c r="AB593" i="155"/>
  <c r="AB594" i="155" s="1"/>
  <c r="AB530" i="155"/>
  <c r="AB544" i="155"/>
  <c r="BG352" i="153"/>
  <c r="BG44" i="153" s="1"/>
  <c r="BG109" i="153" s="1"/>
  <c r="N577" i="155"/>
  <c r="P577" i="155" s="1"/>
  <c r="BN513" i="155"/>
  <c r="BN577" i="155" s="1"/>
  <c r="BO513" i="155"/>
  <c r="BO577" i="155" s="1"/>
  <c r="BP513" i="155"/>
  <c r="BP577" i="155" s="1"/>
  <c r="BQ513" i="155"/>
  <c r="BQ577" i="155" s="1"/>
  <c r="BR513" i="155"/>
  <c r="BR577" i="155" s="1"/>
  <c r="BS513" i="155"/>
  <c r="BS577" i="155" s="1"/>
  <c r="BT513" i="155"/>
  <c r="BT577" i="155" s="1"/>
  <c r="BU513" i="155"/>
  <c r="BU577" i="155" s="1"/>
  <c r="BV513" i="155"/>
  <c r="BV577" i="155" s="1"/>
  <c r="BW513" i="155"/>
  <c r="BW577" i="155" s="1"/>
  <c r="BX513" i="155"/>
  <c r="BX577" i="155" s="1"/>
  <c r="BY513" i="155"/>
  <c r="BY577" i="155" s="1"/>
  <c r="U551" i="153"/>
  <c r="U608" i="153"/>
  <c r="BU585" i="155"/>
  <c r="BU524" i="155"/>
  <c r="BO367" i="153"/>
  <c r="BO369" i="153"/>
  <c r="BO371" i="153"/>
  <c r="BO370" i="153"/>
  <c r="BO366" i="153"/>
  <c r="BO368" i="153"/>
  <c r="BQ602" i="155"/>
  <c r="BQ542" i="155"/>
  <c r="BE606" i="154"/>
  <c r="BS232" i="154"/>
  <c r="L581" i="155"/>
  <c r="L582" i="155" s="1"/>
  <c r="BN234" i="153"/>
  <c r="BH359" i="153"/>
  <c r="BH363" i="153"/>
  <c r="BH360" i="153"/>
  <c r="BH362" i="153"/>
  <c r="BH361" i="153"/>
  <c r="BH358" i="153"/>
  <c r="BF588" i="154"/>
  <c r="BF526" i="154"/>
  <c r="BY371" i="155"/>
  <c r="BY369" i="155"/>
  <c r="BY368" i="155"/>
  <c r="BY367" i="155"/>
  <c r="BY370" i="155"/>
  <c r="BY366" i="155"/>
  <c r="BQ351" i="155"/>
  <c r="BQ348" i="155"/>
  <c r="BQ349" i="155"/>
  <c r="BQ350" i="155"/>
  <c r="BQ347" i="155"/>
  <c r="BQ346" i="155"/>
  <c r="AV579" i="155"/>
  <c r="AV517" i="155"/>
  <c r="AV529" i="155" s="1"/>
  <c r="BF361" i="154"/>
  <c r="BF360" i="154"/>
  <c r="BF362" i="154"/>
  <c r="BF358" i="154"/>
  <c r="BF363" i="154"/>
  <c r="BF359" i="154"/>
  <c r="BO379" i="154"/>
  <c r="BO376" i="154"/>
  <c r="BO377" i="154"/>
  <c r="BO378" i="154"/>
  <c r="BO374" i="154"/>
  <c r="BO375" i="154"/>
  <c r="BH388" i="154"/>
  <c r="BH51" i="154" s="1"/>
  <c r="BH116" i="154" s="1"/>
  <c r="AL593" i="153"/>
  <c r="AL594" i="153" s="1"/>
  <c r="AL530" i="153"/>
  <c r="AL544" i="153"/>
  <c r="BL352" i="153"/>
  <c r="BL44" i="153" s="1"/>
  <c r="BL109" i="153" s="1"/>
  <c r="BX234" i="155"/>
  <c r="BM352" i="153"/>
  <c r="BM44" i="153" s="1"/>
  <c r="BM109" i="153" s="1"/>
  <c r="BF515" i="153"/>
  <c r="BT375" i="153"/>
  <c r="BT374" i="153"/>
  <c r="BT379" i="153"/>
  <c r="BT376" i="153"/>
  <c r="BT377" i="153"/>
  <c r="BT378" i="153"/>
  <c r="BC527" i="155"/>
  <c r="AU590" i="155"/>
  <c r="BA400" i="154"/>
  <c r="BA57" i="154" s="1"/>
  <c r="BM361" i="153"/>
  <c r="BM363" i="153"/>
  <c r="BM359" i="153"/>
  <c r="BM358" i="153"/>
  <c r="BM362" i="153"/>
  <c r="BM360" i="153"/>
  <c r="BY383" i="155"/>
  <c r="BY386" i="155"/>
  <c r="BY384" i="155"/>
  <c r="BY387" i="155"/>
  <c r="BY385" i="155"/>
  <c r="BY382" i="155"/>
  <c r="BJ408" i="154"/>
  <c r="BJ58" i="154" s="1"/>
  <c r="BJ123" i="154" s="1"/>
  <c r="BH352" i="155"/>
  <c r="BH44" i="155" s="1"/>
  <c r="BH109" i="155" s="1"/>
  <c r="BL606" i="154"/>
  <c r="AI518" i="154"/>
  <c r="AI581" i="154"/>
  <c r="BR378" i="155"/>
  <c r="BR374" i="155"/>
  <c r="BR379" i="155"/>
  <c r="BR377" i="155"/>
  <c r="BR376" i="155"/>
  <c r="BR375" i="155"/>
  <c r="AK582" i="155"/>
  <c r="AK223" i="155"/>
  <c r="BL388" i="154"/>
  <c r="BL51" i="154" s="1"/>
  <c r="BL116" i="154" s="1"/>
  <c r="BR233" i="155"/>
  <c r="BK588" i="153"/>
  <c r="BK526" i="153"/>
  <c r="N576" i="155"/>
  <c r="P576" i="155" s="1"/>
  <c r="AP400" i="155"/>
  <c r="AP57" i="155" s="1"/>
  <c r="AW400" i="154"/>
  <c r="AW57" i="154" s="1"/>
  <c r="BM588" i="153"/>
  <c r="BM526" i="153"/>
  <c r="BN351" i="153"/>
  <c r="BN348" i="153"/>
  <c r="BN349" i="153"/>
  <c r="BN346" i="153"/>
  <c r="BN347" i="153"/>
  <c r="BN350" i="153"/>
  <c r="BE380" i="155"/>
  <c r="BE50" i="155" s="1"/>
  <c r="BE115" i="155" s="1"/>
  <c r="BB229" i="154"/>
  <c r="BL380" i="154"/>
  <c r="BL50" i="154" s="1"/>
  <c r="BL115" i="154" s="1"/>
  <c r="Z593" i="155"/>
  <c r="Z594" i="155" s="1"/>
  <c r="Z530" i="155"/>
  <c r="Z544" i="155"/>
  <c r="BM372" i="154"/>
  <c r="BM49" i="154" s="1"/>
  <c r="BM114" i="154" s="1"/>
  <c r="BR387" i="154"/>
  <c r="BR382" i="154"/>
  <c r="BR385" i="154"/>
  <c r="BR384" i="154"/>
  <c r="BR386" i="154"/>
  <c r="BR383" i="154"/>
  <c r="N580" i="154"/>
  <c r="P580" i="154" s="1"/>
  <c r="BN516" i="154"/>
  <c r="BN580" i="154" s="1"/>
  <c r="BO516" i="154"/>
  <c r="BO580" i="154" s="1"/>
  <c r="BP516" i="154"/>
  <c r="BP580" i="154" s="1"/>
  <c r="BQ516" i="154"/>
  <c r="BQ580" i="154" s="1"/>
  <c r="BR516" i="154"/>
  <c r="BR580" i="154" s="1"/>
  <c r="BS516" i="154"/>
  <c r="BS580" i="154" s="1"/>
  <c r="BT516" i="154"/>
  <c r="BT580" i="154" s="1"/>
  <c r="BU516" i="154"/>
  <c r="BU580" i="154" s="1"/>
  <c r="BV516" i="154"/>
  <c r="BV580" i="154" s="1"/>
  <c r="BW516" i="154"/>
  <c r="BW580" i="154" s="1"/>
  <c r="BX516" i="154"/>
  <c r="BX580" i="154" s="1"/>
  <c r="BY516" i="154"/>
  <c r="BY580" i="154" s="1"/>
  <c r="BN585" i="154"/>
  <c r="BN524" i="154"/>
  <c r="BH229" i="155"/>
  <c r="BJ229" i="153"/>
  <c r="BJ399" i="154"/>
  <c r="BJ395" i="154"/>
  <c r="BJ397" i="154"/>
  <c r="BJ394" i="154"/>
  <c r="BJ396" i="154"/>
  <c r="BJ398" i="154"/>
  <c r="BR402" i="154"/>
  <c r="BR405" i="154"/>
  <c r="BR403" i="154"/>
  <c r="BR407" i="154"/>
  <c r="BR406" i="154"/>
  <c r="BR404" i="154"/>
  <c r="AK593" i="155"/>
  <c r="AK594" i="155" s="1"/>
  <c r="AK530" i="155"/>
  <c r="AK544" i="155"/>
  <c r="W582" i="153"/>
  <c r="W223" i="153"/>
  <c r="BT524" i="155"/>
  <c r="BT585" i="155"/>
  <c r="AQ517" i="153"/>
  <c r="AQ529" i="153" s="1"/>
  <c r="AQ579" i="153"/>
  <c r="BN371" i="153"/>
  <c r="BN369" i="153"/>
  <c r="BN370" i="153"/>
  <c r="BN368" i="153"/>
  <c r="BN367" i="153"/>
  <c r="BN366" i="153"/>
  <c r="BP602" i="155"/>
  <c r="BP542" i="155"/>
  <c r="BE363" i="154"/>
  <c r="BE359" i="154"/>
  <c r="BE360" i="154"/>
  <c r="BE361" i="154"/>
  <c r="BE362" i="154"/>
  <c r="BE358" i="154"/>
  <c r="BR232" i="154"/>
  <c r="BI515" i="154"/>
  <c r="BI576" i="154"/>
  <c r="BK408" i="155"/>
  <c r="BK58" i="155" s="1"/>
  <c r="BK123" i="155" s="1"/>
  <c r="BX369" i="155"/>
  <c r="BX368" i="155"/>
  <c r="BX367" i="155"/>
  <c r="BX371" i="155"/>
  <c r="BX366" i="155"/>
  <c r="BX370" i="155"/>
  <c r="BP347" i="155"/>
  <c r="BP349" i="155"/>
  <c r="BP351" i="155"/>
  <c r="BP348" i="155"/>
  <c r="BP350" i="155"/>
  <c r="BP346" i="155"/>
  <c r="BE408" i="154"/>
  <c r="BE58" i="154" s="1"/>
  <c r="BE123" i="154" s="1"/>
  <c r="BF397" i="153"/>
  <c r="BF398" i="153"/>
  <c r="BF394" i="153"/>
  <c r="BF399" i="153"/>
  <c r="BF395" i="153"/>
  <c r="BF396" i="153"/>
  <c r="J608" i="154"/>
  <c r="J551" i="154"/>
  <c r="J555" i="154" s="1"/>
  <c r="BN379" i="154"/>
  <c r="BN374" i="154"/>
  <c r="BN375" i="154"/>
  <c r="BN378" i="154"/>
  <c r="BN377" i="154"/>
  <c r="BN376" i="154"/>
  <c r="AL591" i="153"/>
  <c r="AL224" i="153"/>
  <c r="BW234" i="155"/>
  <c r="BC526" i="153"/>
  <c r="BC588" i="153"/>
  <c r="BI526" i="154"/>
  <c r="BI588" i="154"/>
  <c r="BD372" i="155"/>
  <c r="BD49" i="155" s="1"/>
  <c r="BD114" i="155" s="1"/>
  <c r="BF372" i="153"/>
  <c r="BF49" i="153" s="1"/>
  <c r="BF114" i="153" s="1"/>
  <c r="BS375" i="153"/>
  <c r="BS377" i="153"/>
  <c r="BS374" i="153"/>
  <c r="BS376" i="153"/>
  <c r="BS378" i="153"/>
  <c r="BS379" i="153"/>
  <c r="BJ588" i="154"/>
  <c r="BJ526" i="154"/>
  <c r="AZ590" i="153"/>
  <c r="BH527" i="153"/>
  <c r="BG515" i="153"/>
  <c r="BM606" i="153"/>
  <c r="BX386" i="155"/>
  <c r="BX385" i="155"/>
  <c r="BX383" i="155"/>
  <c r="BX384" i="155"/>
  <c r="BX387" i="155"/>
  <c r="BX382" i="155"/>
  <c r="BG358" i="155"/>
  <c r="BG360" i="155"/>
  <c r="BG363" i="155"/>
  <c r="BG359" i="155"/>
  <c r="BG362" i="155"/>
  <c r="BG361" i="155"/>
  <c r="AJ593" i="153"/>
  <c r="AJ594" i="153" s="1"/>
  <c r="AJ530" i="153"/>
  <c r="AJ544" i="153"/>
  <c r="BK360" i="154"/>
  <c r="BK363" i="154"/>
  <c r="BK362" i="154"/>
  <c r="BK358" i="154"/>
  <c r="BK361" i="154"/>
  <c r="BK359" i="154"/>
  <c r="N578" i="154"/>
  <c r="P578" i="154" s="1"/>
  <c r="BN514" i="154"/>
  <c r="BN578" i="154" s="1"/>
  <c r="BO514" i="154"/>
  <c r="BO578" i="154" s="1"/>
  <c r="BP514" i="154"/>
  <c r="BP578" i="154" s="1"/>
  <c r="BQ514" i="154"/>
  <c r="BQ578" i="154" s="1"/>
  <c r="BR514" i="154"/>
  <c r="BR578" i="154" s="1"/>
  <c r="BS514" i="154"/>
  <c r="BS578" i="154" s="1"/>
  <c r="BT514" i="154"/>
  <c r="BT578" i="154" s="1"/>
  <c r="BU514" i="154"/>
  <c r="BU578" i="154" s="1"/>
  <c r="BV514" i="154"/>
  <c r="BV578" i="154" s="1"/>
  <c r="BW514" i="154"/>
  <c r="BW578" i="154" s="1"/>
  <c r="BX514" i="154"/>
  <c r="BX578" i="154" s="1"/>
  <c r="BY514" i="154"/>
  <c r="BY578" i="154" s="1"/>
  <c r="AC582" i="153"/>
  <c r="AC223" i="153"/>
  <c r="AJ224" i="155"/>
  <c r="AJ591" i="155"/>
  <c r="BL396" i="154"/>
  <c r="BL399" i="154"/>
  <c r="BL394" i="154"/>
  <c r="BL395" i="154"/>
  <c r="BL397" i="154"/>
  <c r="BL398" i="154"/>
  <c r="BB527" i="155"/>
  <c r="AT590" i="155"/>
  <c r="BS524" i="155"/>
  <c r="BS585" i="155"/>
  <c r="BC396" i="153"/>
  <c r="BC399" i="153"/>
  <c r="BC397" i="153"/>
  <c r="BC395" i="153"/>
  <c r="BC398" i="153"/>
  <c r="BC394" i="153"/>
  <c r="BO602" i="155"/>
  <c r="BO542" i="155"/>
  <c r="BM394" i="154"/>
  <c r="BM398" i="154"/>
  <c r="BM397" i="154"/>
  <c r="BM396" i="154"/>
  <c r="BM399" i="154"/>
  <c r="BM395" i="154"/>
  <c r="BQ232" i="154"/>
  <c r="BW368" i="155"/>
  <c r="BW369" i="155"/>
  <c r="BW367" i="155"/>
  <c r="BW366" i="155"/>
  <c r="BW370" i="155"/>
  <c r="BW371" i="155"/>
  <c r="BO348" i="155"/>
  <c r="BO346" i="155"/>
  <c r="BO347" i="155"/>
  <c r="BO351" i="155"/>
  <c r="BO350" i="155"/>
  <c r="BO349" i="155"/>
  <c r="AF593" i="153"/>
  <c r="AF594" i="153" s="1"/>
  <c r="AF530" i="153"/>
  <c r="AF544" i="153"/>
  <c r="BY407" i="153"/>
  <c r="BY403" i="153"/>
  <c r="BY406" i="153"/>
  <c r="BY405" i="153"/>
  <c r="BY404" i="153"/>
  <c r="BY402" i="153"/>
  <c r="BJ361" i="153"/>
  <c r="BJ359" i="153"/>
  <c r="BJ363" i="153"/>
  <c r="BJ362" i="153"/>
  <c r="BJ360" i="153"/>
  <c r="BJ358" i="153"/>
  <c r="BV234" i="155"/>
  <c r="BR376" i="153"/>
  <c r="BR377" i="153"/>
  <c r="BR378" i="153"/>
  <c r="BR375" i="153"/>
  <c r="BR374" i="153"/>
  <c r="BR379" i="153"/>
  <c r="BL606" i="153"/>
  <c r="BD408" i="153"/>
  <c r="BD58" i="153" s="1"/>
  <c r="BD123" i="153" s="1"/>
  <c r="BE352" i="154"/>
  <c r="BE44" i="154" s="1"/>
  <c r="BE109" i="154" s="1"/>
  <c r="BW386" i="155"/>
  <c r="BW385" i="155"/>
  <c r="BW384" i="155"/>
  <c r="BW383" i="155"/>
  <c r="BW387" i="155"/>
  <c r="BW382" i="155"/>
  <c r="BG606" i="155"/>
  <c r="BK606" i="154"/>
  <c r="BM526" i="154"/>
  <c r="BM588" i="154"/>
  <c r="BQ405" i="154"/>
  <c r="BQ402" i="154"/>
  <c r="BQ403" i="154"/>
  <c r="BQ404" i="154"/>
  <c r="BQ407" i="154"/>
  <c r="BQ406" i="154"/>
  <c r="BT611" i="154"/>
  <c r="BT549" i="154"/>
  <c r="BT613" i="154" s="1"/>
  <c r="V223" i="155"/>
  <c r="V582" i="155"/>
  <c r="BM398" i="155"/>
  <c r="BM394" i="155"/>
  <c r="BM396" i="155"/>
  <c r="BM397" i="155"/>
  <c r="BM399" i="155"/>
  <c r="BM395" i="155"/>
  <c r="AW364" i="155"/>
  <c r="AW48" i="155" s="1"/>
  <c r="AT364" i="154"/>
  <c r="AT48" i="154" s="1"/>
  <c r="BG380" i="154"/>
  <c r="BG50" i="154" s="1"/>
  <c r="BG115" i="154" s="1"/>
  <c r="AX400" i="153"/>
  <c r="AX57" i="153" s="1"/>
  <c r="BP374" i="155"/>
  <c r="BP377" i="155"/>
  <c r="BP375" i="155"/>
  <c r="BP378" i="155"/>
  <c r="BP379" i="155"/>
  <c r="BP376" i="155"/>
  <c r="BO233" i="154"/>
  <c r="BP233" i="155"/>
  <c r="AS364" i="154"/>
  <c r="AS48" i="154" s="1"/>
  <c r="BL526" i="153"/>
  <c r="BL588" i="153"/>
  <c r="BC228" i="154"/>
  <c r="BY234" i="154"/>
  <c r="AB582" i="154"/>
  <c r="AB223" i="154"/>
  <c r="BB230" i="153"/>
  <c r="BP384" i="154"/>
  <c r="BP386" i="154"/>
  <c r="BP387" i="154"/>
  <c r="BP385" i="154"/>
  <c r="BP382" i="154"/>
  <c r="BP383" i="154"/>
  <c r="BF229" i="155"/>
  <c r="BF576" i="155"/>
  <c r="BF515" i="155"/>
  <c r="AS590" i="154"/>
  <c r="BA527" i="154"/>
  <c r="BE352" i="153"/>
  <c r="BE44" i="153" s="1"/>
  <c r="BE109" i="153" s="1"/>
  <c r="BH229" i="153"/>
  <c r="AX364" i="153"/>
  <c r="AX48" i="153" s="1"/>
  <c r="BP405" i="154"/>
  <c r="BP407" i="154"/>
  <c r="BP402" i="154"/>
  <c r="BP403" i="154"/>
  <c r="BP406" i="154"/>
  <c r="BP404" i="154"/>
  <c r="BX542" i="154"/>
  <c r="BX602" i="154"/>
  <c r="AS579" i="155"/>
  <c r="AS517" i="155"/>
  <c r="AS529" i="155" s="1"/>
  <c r="BH352" i="153"/>
  <c r="BH44" i="153" s="1"/>
  <c r="BH109" i="153" s="1"/>
  <c r="BR585" i="155"/>
  <c r="BR524" i="155"/>
  <c r="BN542" i="155"/>
  <c r="BN602" i="155"/>
  <c r="Y223" i="154"/>
  <c r="Y582" i="154"/>
  <c r="BP232" i="154"/>
  <c r="AD593" i="154"/>
  <c r="AD594" i="154" s="1"/>
  <c r="AD530" i="154"/>
  <c r="AD544" i="154"/>
  <c r="BV366" i="155"/>
  <c r="BV368" i="155"/>
  <c r="BV367" i="155"/>
  <c r="BV371" i="155"/>
  <c r="BV369" i="155"/>
  <c r="BV370" i="155"/>
  <c r="BN348" i="155"/>
  <c r="BN347" i="155"/>
  <c r="BN346" i="155"/>
  <c r="BN351" i="155"/>
  <c r="BN349" i="155"/>
  <c r="BN350" i="155"/>
  <c r="AU364" i="153"/>
  <c r="AU48" i="153" s="1"/>
  <c r="AF591" i="153"/>
  <c r="AF224" i="153"/>
  <c r="BX407" i="153"/>
  <c r="BX404" i="153"/>
  <c r="BX405" i="153"/>
  <c r="BX403" i="153"/>
  <c r="BX402" i="153"/>
  <c r="BX406" i="153"/>
  <c r="BC361" i="155"/>
  <c r="BC359" i="155"/>
  <c r="BC358" i="155"/>
  <c r="BC362" i="155"/>
  <c r="BC360" i="155"/>
  <c r="BC363" i="155"/>
  <c r="BJ606" i="153"/>
  <c r="BU234" i="155"/>
  <c r="BK606" i="153"/>
  <c r="BQ377" i="153"/>
  <c r="BQ378" i="153"/>
  <c r="BQ376" i="153"/>
  <c r="BQ375" i="153"/>
  <c r="BQ374" i="153"/>
  <c r="BQ379" i="153"/>
  <c r="BL362" i="153"/>
  <c r="BL359" i="153"/>
  <c r="BL363" i="153"/>
  <c r="BL360" i="153"/>
  <c r="BL358" i="153"/>
  <c r="BL361" i="153"/>
  <c r="BG372" i="153"/>
  <c r="BG49" i="153" s="1"/>
  <c r="BG114" i="153" s="1"/>
  <c r="BV385" i="155"/>
  <c r="BV383" i="155"/>
  <c r="BV387" i="155"/>
  <c r="BV386" i="155"/>
  <c r="BV382" i="155"/>
  <c r="BV384" i="155"/>
  <c r="BH588" i="155"/>
  <c r="BH526" i="155"/>
  <c r="BF408" i="153"/>
  <c r="BF58" i="153" s="1"/>
  <c r="BF123" i="153" s="1"/>
  <c r="BI515" i="153"/>
  <c r="BV549" i="154"/>
  <c r="BV613" i="154" s="1"/>
  <c r="BV611" i="154"/>
  <c r="BL360" i="154"/>
  <c r="BL363" i="154"/>
  <c r="BL361" i="154"/>
  <c r="BL362" i="154"/>
  <c r="BL359" i="154"/>
  <c r="BL358" i="154"/>
  <c r="AA223" i="155"/>
  <c r="AA582" i="155"/>
  <c r="BQ385" i="154"/>
  <c r="BQ384" i="154"/>
  <c r="BQ383" i="154"/>
  <c r="BQ386" i="154"/>
  <c r="BQ382" i="154"/>
  <c r="BQ387" i="154"/>
  <c r="N588" i="154"/>
  <c r="P588" i="154" s="1"/>
  <c r="BY542" i="154"/>
  <c r="BY602" i="154"/>
  <c r="AZ364" i="153"/>
  <c r="AZ48" i="153" s="1"/>
  <c r="BQ387" i="153"/>
  <c r="BQ386" i="153"/>
  <c r="BQ383" i="153"/>
  <c r="BQ382" i="153"/>
  <c r="BQ385" i="153"/>
  <c r="BQ384" i="153"/>
  <c r="BS611" i="154"/>
  <c r="BS549" i="154"/>
  <c r="BS613" i="154" s="1"/>
  <c r="AW590" i="154"/>
  <c r="BE527" i="154"/>
  <c r="BP385" i="153"/>
  <c r="BP387" i="153"/>
  <c r="BP382" i="153"/>
  <c r="BP386" i="153"/>
  <c r="BP384" i="153"/>
  <c r="BP383" i="153"/>
  <c r="S593" i="153"/>
  <c r="S594" i="153" s="1"/>
  <c r="S530" i="153"/>
  <c r="S544" i="153"/>
  <c r="AP400" i="153"/>
  <c r="AP57" i="153" s="1"/>
  <c r="BO378" i="155"/>
  <c r="BO379" i="155"/>
  <c r="BO374" i="155"/>
  <c r="BO376" i="155"/>
  <c r="BO375" i="155"/>
  <c r="BO377" i="155"/>
  <c r="BH372" i="154"/>
  <c r="BH49" i="154" s="1"/>
  <c r="BH114" i="154" s="1"/>
  <c r="BN233" i="154"/>
  <c r="BO233" i="155"/>
  <c r="BK372" i="155"/>
  <c r="BK49" i="155" s="1"/>
  <c r="BK114" i="155" s="1"/>
  <c r="BY404" i="155"/>
  <c r="BY402" i="155"/>
  <c r="BY403" i="155"/>
  <c r="BY407" i="155"/>
  <c r="BY406" i="155"/>
  <c r="BY405" i="155"/>
  <c r="BB228" i="154"/>
  <c r="AM582" i="153"/>
  <c r="AM223" i="153"/>
  <c r="BX234" i="154"/>
  <c r="BF388" i="153"/>
  <c r="BF51" i="153" s="1"/>
  <c r="BF116" i="153" s="1"/>
  <c r="X530" i="154"/>
  <c r="X593" i="154"/>
  <c r="X594" i="154" s="1"/>
  <c r="X544" i="154"/>
  <c r="BM408" i="153"/>
  <c r="BM58" i="153" s="1"/>
  <c r="BM123" i="153" s="1"/>
  <c r="R593" i="153"/>
  <c r="R594" i="153" s="1"/>
  <c r="R530" i="153"/>
  <c r="R544" i="153"/>
  <c r="BO385" i="154"/>
  <c r="BO383" i="154"/>
  <c r="BO387" i="154"/>
  <c r="BO382" i="154"/>
  <c r="BO386" i="154"/>
  <c r="BO384" i="154"/>
  <c r="BD352" i="153"/>
  <c r="BD44" i="153" s="1"/>
  <c r="BD109" i="153" s="1"/>
  <c r="BE229" i="155"/>
  <c r="BL388" i="155"/>
  <c r="BL51" i="155" s="1"/>
  <c r="BL116" i="155" s="1"/>
  <c r="BG229" i="153"/>
  <c r="BO404" i="154"/>
  <c r="BO406" i="154"/>
  <c r="BO407" i="154"/>
  <c r="BO405" i="154"/>
  <c r="BO403" i="154"/>
  <c r="BO402" i="154"/>
  <c r="AC593" i="153"/>
  <c r="AC594" i="153" s="1"/>
  <c r="AC530" i="153"/>
  <c r="AC544" i="153"/>
  <c r="BW602" i="154"/>
  <c r="BW542" i="154"/>
  <c r="AO581" i="155"/>
  <c r="AO518" i="155"/>
  <c r="BI408" i="155"/>
  <c r="BI58" i="155" s="1"/>
  <c r="BI123" i="155" s="1"/>
  <c r="BQ524" i="155"/>
  <c r="BQ585" i="155"/>
  <c r="N606" i="155"/>
  <c r="P606" i="155" s="1"/>
  <c r="P542" i="155"/>
  <c r="Y530" i="154"/>
  <c r="Y593" i="154"/>
  <c r="Y594" i="154" s="1"/>
  <c r="Y544" i="154"/>
  <c r="BG606" i="153"/>
  <c r="BE588" i="154"/>
  <c r="BE526" i="154"/>
  <c r="BO232" i="154"/>
  <c r="AS400" i="153"/>
  <c r="AS57" i="153" s="1"/>
  <c r="AD591" i="154"/>
  <c r="AD224" i="154"/>
  <c r="AV579" i="154"/>
  <c r="AV517" i="154"/>
  <c r="AF224" i="154"/>
  <c r="AF591" i="154"/>
  <c r="BU366" i="155"/>
  <c r="BU371" i="155"/>
  <c r="BU369" i="155"/>
  <c r="BU370" i="155"/>
  <c r="BU367" i="155"/>
  <c r="BU368" i="155"/>
  <c r="BY349" i="154"/>
  <c r="BY351" i="154"/>
  <c r="BY347" i="154"/>
  <c r="BY346" i="154"/>
  <c r="BY348" i="154"/>
  <c r="BY350" i="154"/>
  <c r="BL408" i="155"/>
  <c r="BL58" i="155" s="1"/>
  <c r="BL123" i="155" s="1"/>
  <c r="BG396" i="155"/>
  <c r="BG399" i="155"/>
  <c r="BG398" i="155"/>
  <c r="BG397" i="155"/>
  <c r="BG395" i="155"/>
  <c r="BG394" i="155"/>
  <c r="BW402" i="153"/>
  <c r="BW404" i="153"/>
  <c r="BW407" i="153"/>
  <c r="BW406" i="153"/>
  <c r="BW403" i="153"/>
  <c r="BW405" i="153"/>
  <c r="BD515" i="153"/>
  <c r="BD576" i="153"/>
  <c r="BC606" i="155"/>
  <c r="K593" i="155"/>
  <c r="K594" i="155" s="1"/>
  <c r="K530" i="155"/>
  <c r="K544" i="155"/>
  <c r="BK576" i="154"/>
  <c r="BK515" i="154"/>
  <c r="BC352" i="155"/>
  <c r="BC44" i="155" s="1"/>
  <c r="BC109" i="155" s="1"/>
  <c r="BT234" i="155"/>
  <c r="BK361" i="153"/>
  <c r="BK363" i="153"/>
  <c r="BK359" i="153"/>
  <c r="BK358" i="153"/>
  <c r="BK362" i="153"/>
  <c r="BK360" i="153"/>
  <c r="AI223" i="153"/>
  <c r="AI582" i="153"/>
  <c r="BB372" i="154"/>
  <c r="BB49" i="154" s="1"/>
  <c r="BP379" i="153"/>
  <c r="BP378" i="153"/>
  <c r="BP375" i="153"/>
  <c r="BP374" i="153"/>
  <c r="BP377" i="153"/>
  <c r="BP376" i="153"/>
  <c r="BM515" i="154"/>
  <c r="BM576" i="154"/>
  <c r="BU385" i="155"/>
  <c r="BU387" i="155"/>
  <c r="BU384" i="155"/>
  <c r="BU386" i="155"/>
  <c r="BU383" i="155"/>
  <c r="BU382" i="155"/>
  <c r="BG588" i="155"/>
  <c r="BG526" i="155"/>
  <c r="BE408" i="153"/>
  <c r="BE58" i="153" s="1"/>
  <c r="BE123" i="153" s="1"/>
  <c r="BG352" i="155"/>
  <c r="BG44" i="155" s="1"/>
  <c r="BG109" i="155" s="1"/>
  <c r="BH606" i="155"/>
  <c r="BS383" i="153"/>
  <c r="BS386" i="153"/>
  <c r="BS384" i="153"/>
  <c r="BS382" i="153"/>
  <c r="BS387" i="153"/>
  <c r="BS385" i="153"/>
  <c r="BQ233" i="155"/>
  <c r="AT517" i="154"/>
  <c r="AT529" i="154" s="1"/>
  <c r="AT579" i="154"/>
  <c r="BH527" i="155"/>
  <c r="AZ590" i="155"/>
  <c r="BR611" i="154"/>
  <c r="BR549" i="154"/>
  <c r="BR613" i="154" s="1"/>
  <c r="BO386" i="153"/>
  <c r="BO384" i="153"/>
  <c r="BO382" i="153"/>
  <c r="BO385" i="153"/>
  <c r="BO387" i="153"/>
  <c r="BO383" i="153"/>
  <c r="BN379" i="155"/>
  <c r="BN374" i="155"/>
  <c r="BN375" i="155"/>
  <c r="BN376" i="155"/>
  <c r="BN377" i="155"/>
  <c r="BN378" i="155"/>
  <c r="BJ372" i="155"/>
  <c r="BJ49" i="155" s="1"/>
  <c r="BJ114" i="155" s="1"/>
  <c r="BN233" i="155"/>
  <c r="BJ408" i="153"/>
  <c r="BJ58" i="153" s="1"/>
  <c r="BJ123" i="153" s="1"/>
  <c r="BM372" i="153"/>
  <c r="BM49" i="153" s="1"/>
  <c r="BM114" i="153" s="1"/>
  <c r="BL606" i="155"/>
  <c r="BX407" i="155"/>
  <c r="BX406" i="155"/>
  <c r="BX402" i="155"/>
  <c r="BX405" i="155"/>
  <c r="BX403" i="155"/>
  <c r="BX404" i="155"/>
  <c r="BD380" i="155"/>
  <c r="BD50" i="155" s="1"/>
  <c r="BD115" i="155" s="1"/>
  <c r="N577" i="154"/>
  <c r="P577" i="154" s="1"/>
  <c r="BN513" i="154"/>
  <c r="BN577" i="154" s="1"/>
  <c r="BO513" i="154"/>
  <c r="BO577" i="154" s="1"/>
  <c r="BP513" i="154"/>
  <c r="BP577" i="154" s="1"/>
  <c r="BQ513" i="154"/>
  <c r="BQ577" i="154" s="1"/>
  <c r="BR513" i="154"/>
  <c r="BR577" i="154" s="1"/>
  <c r="BS513" i="154"/>
  <c r="BS577" i="154" s="1"/>
  <c r="BT513" i="154"/>
  <c r="BT577" i="154" s="1"/>
  <c r="BU513" i="154"/>
  <c r="BU577" i="154" s="1"/>
  <c r="BV513" i="154"/>
  <c r="BV577" i="154" s="1"/>
  <c r="BW513" i="154"/>
  <c r="BW577" i="154" s="1"/>
  <c r="BX513" i="154"/>
  <c r="BX577" i="154" s="1"/>
  <c r="BY513" i="154"/>
  <c r="BY577" i="154" s="1"/>
  <c r="AC530" i="154"/>
  <c r="AC593" i="154"/>
  <c r="AC594" i="154" s="1"/>
  <c r="AC544" i="154"/>
  <c r="BC576" i="155"/>
  <c r="BC515" i="155"/>
  <c r="N580" i="153"/>
  <c r="P580" i="153" s="1"/>
  <c r="BN516" i="153"/>
  <c r="BN580" i="153" s="1"/>
  <c r="BO516" i="153"/>
  <c r="BO580" i="153" s="1"/>
  <c r="BP516" i="153"/>
  <c r="BP580" i="153" s="1"/>
  <c r="BQ516" i="153"/>
  <c r="BQ580" i="153" s="1"/>
  <c r="BR516" i="153"/>
  <c r="BR580" i="153" s="1"/>
  <c r="BS516" i="153"/>
  <c r="BS580" i="153" s="1"/>
  <c r="BT516" i="153"/>
  <c r="BT580" i="153" s="1"/>
  <c r="BU516" i="153"/>
  <c r="BU580" i="153" s="1"/>
  <c r="BV516" i="153"/>
  <c r="BV580" i="153" s="1"/>
  <c r="BW516" i="153"/>
  <c r="BW580" i="153" s="1"/>
  <c r="BX516" i="153"/>
  <c r="BX580" i="153" s="1"/>
  <c r="BY516" i="153"/>
  <c r="BY580" i="153" s="1"/>
  <c r="BG380" i="155"/>
  <c r="BG50" i="155" s="1"/>
  <c r="BG115" i="155" s="1"/>
  <c r="BN384" i="154"/>
  <c r="BN387" i="154"/>
  <c r="BN383" i="154"/>
  <c r="BN385" i="154"/>
  <c r="BN386" i="154"/>
  <c r="BN382" i="154"/>
  <c r="BD229" i="155"/>
  <c r="BY611" i="153"/>
  <c r="BY549" i="153"/>
  <c r="BY613" i="153" s="1"/>
  <c r="R223" i="155"/>
  <c r="R582" i="155"/>
  <c r="AD529" i="153"/>
  <c r="AD581" i="153"/>
  <c r="AD518" i="153"/>
  <c r="BF229" i="153"/>
  <c r="BN407" i="154"/>
  <c r="BN402" i="154"/>
  <c r="BN406" i="154"/>
  <c r="BN403" i="154"/>
  <c r="BN404" i="154"/>
  <c r="BN405" i="154"/>
  <c r="BV602" i="154"/>
  <c r="BV542" i="154"/>
  <c r="Z223" i="155"/>
  <c r="Z582" i="155"/>
  <c r="BP585" i="155"/>
  <c r="BP524" i="155"/>
  <c r="BG360" i="153"/>
  <c r="BG362" i="153"/>
  <c r="BG358" i="153"/>
  <c r="BG361" i="153"/>
  <c r="BG363" i="153"/>
  <c r="BG359" i="153"/>
  <c r="BN232" i="154"/>
  <c r="BF388" i="154"/>
  <c r="BF51" i="154" s="1"/>
  <c r="BF116" i="154" s="1"/>
  <c r="BT371" i="155"/>
  <c r="BT370" i="155"/>
  <c r="BT366" i="155"/>
  <c r="BT369" i="155"/>
  <c r="BT368" i="155"/>
  <c r="BT367" i="155"/>
  <c r="BC527" i="153"/>
  <c r="AU590" i="153"/>
  <c r="BX347" i="154"/>
  <c r="BX351" i="154"/>
  <c r="BX349" i="154"/>
  <c r="BX350" i="154"/>
  <c r="BX348" i="154"/>
  <c r="BX346" i="154"/>
  <c r="AX364" i="154"/>
  <c r="AX48" i="154" s="1"/>
  <c r="BV404" i="153"/>
  <c r="BV403" i="153"/>
  <c r="BV402" i="153"/>
  <c r="BV406" i="153"/>
  <c r="BV405" i="153"/>
  <c r="BV407" i="153"/>
  <c r="AZ527" i="153"/>
  <c r="AR590" i="153"/>
  <c r="Y608" i="155"/>
  <c r="Y551" i="155"/>
  <c r="Y555" i="155" s="1"/>
  <c r="BH588" i="154"/>
  <c r="BH526" i="154"/>
  <c r="BS234" i="155"/>
  <c r="AE518" i="155"/>
  <c r="AE581" i="155"/>
  <c r="BL576" i="154"/>
  <c r="BL515" i="154"/>
  <c r="AL530" i="155"/>
  <c r="AL593" i="155"/>
  <c r="AL594" i="155" s="1"/>
  <c r="AL544" i="155"/>
  <c r="BO377" i="153"/>
  <c r="BO376" i="153"/>
  <c r="BO378" i="153"/>
  <c r="BO379" i="153"/>
  <c r="BO375" i="153"/>
  <c r="BO374" i="153"/>
  <c r="AZ400" i="155"/>
  <c r="AZ57" i="155" s="1"/>
  <c r="BT386" i="155"/>
  <c r="BT382" i="155"/>
  <c r="BT384" i="155"/>
  <c r="BT387" i="155"/>
  <c r="BT385" i="155"/>
  <c r="BT383" i="155"/>
  <c r="BH359" i="155"/>
  <c r="BH362" i="155"/>
  <c r="BH360" i="155"/>
  <c r="BH358" i="155"/>
  <c r="BH361" i="155"/>
  <c r="BH363" i="155"/>
  <c r="BU384" i="153"/>
  <c r="BU382" i="153"/>
  <c r="BU385" i="153"/>
  <c r="BU383" i="153"/>
  <c r="BU387" i="153"/>
  <c r="BU386" i="153"/>
  <c r="BM576" i="153"/>
  <c r="BM515" i="153"/>
  <c r="AK582" i="154"/>
  <c r="AK223" i="154"/>
  <c r="BW403" i="155"/>
  <c r="BW407" i="155"/>
  <c r="BW406" i="155"/>
  <c r="BW405" i="155"/>
  <c r="BW402" i="155"/>
  <c r="BW404" i="155"/>
  <c r="BL408" i="153"/>
  <c r="BL58" i="153" s="1"/>
  <c r="BL123" i="153" s="1"/>
  <c r="BV234" i="154"/>
  <c r="BI388" i="155"/>
  <c r="BI51" i="155" s="1"/>
  <c r="BI116" i="155" s="1"/>
  <c r="AN224" i="153"/>
  <c r="AN591" i="153"/>
  <c r="BB352" i="153"/>
  <c r="BB44" i="153" s="1"/>
  <c r="AK224" i="154"/>
  <c r="AK591" i="154"/>
  <c r="BG398" i="154"/>
  <c r="BG399" i="154"/>
  <c r="BG395" i="154"/>
  <c r="BG396" i="154"/>
  <c r="BG397" i="154"/>
  <c r="BG394" i="154"/>
  <c r="BA364" i="155"/>
  <c r="BA48" i="155" s="1"/>
  <c r="BC229" i="155"/>
  <c r="X582" i="153"/>
  <c r="X223" i="153"/>
  <c r="BX549" i="153"/>
  <c r="BX613" i="153" s="1"/>
  <c r="BX611" i="153"/>
  <c r="BE229" i="153"/>
  <c r="BU602" i="154"/>
  <c r="BU542" i="154"/>
  <c r="AG529" i="154"/>
  <c r="AG581" i="154"/>
  <c r="AG518" i="154"/>
  <c r="AW579" i="155"/>
  <c r="AW517" i="155"/>
  <c r="M590" i="155"/>
  <c r="M591" i="155" s="1"/>
  <c r="U527" i="155"/>
  <c r="BM388" i="153"/>
  <c r="BM51" i="153" s="1"/>
  <c r="BM116" i="153" s="1"/>
  <c r="BO585" i="155"/>
  <c r="BO524" i="155"/>
  <c r="BC606" i="154"/>
  <c r="AF593" i="155"/>
  <c r="AF594" i="155" s="1"/>
  <c r="AF530" i="155"/>
  <c r="AF544" i="155"/>
  <c r="BH576" i="154"/>
  <c r="BH515" i="154"/>
  <c r="AQ400" i="155"/>
  <c r="AQ57" i="155" s="1"/>
  <c r="BE396" i="155"/>
  <c r="BE398" i="155"/>
  <c r="BE395" i="155"/>
  <c r="BE399" i="155"/>
  <c r="BE394" i="155"/>
  <c r="BE397" i="155"/>
  <c r="AZ527" i="154"/>
  <c r="AR590" i="154"/>
  <c r="BS369" i="155"/>
  <c r="BS368" i="155"/>
  <c r="BS367" i="155"/>
  <c r="BS366" i="155"/>
  <c r="BS371" i="155"/>
  <c r="BS370" i="155"/>
  <c r="BE394" i="153"/>
  <c r="BE399" i="153"/>
  <c r="BE398" i="153"/>
  <c r="BE396" i="153"/>
  <c r="BE395" i="153"/>
  <c r="BE397" i="153"/>
  <c r="AO593" i="153"/>
  <c r="AO594" i="153" s="1"/>
  <c r="AO530" i="153"/>
  <c r="AO544" i="153"/>
  <c r="BW351" i="154"/>
  <c r="BW349" i="154"/>
  <c r="BW347" i="154"/>
  <c r="BW350" i="154"/>
  <c r="BW346" i="154"/>
  <c r="BW348" i="154"/>
  <c r="BU404" i="153"/>
  <c r="BU407" i="153"/>
  <c r="BU406" i="153"/>
  <c r="BU403" i="153"/>
  <c r="BU405" i="153"/>
  <c r="BU402" i="153"/>
  <c r="BD588" i="155"/>
  <c r="BD526" i="155"/>
  <c r="BR234" i="155"/>
  <c r="AD581" i="154"/>
  <c r="AD518" i="154"/>
  <c r="AI593" i="153"/>
  <c r="AI594" i="153" s="1"/>
  <c r="AI530" i="153"/>
  <c r="AI544" i="153"/>
  <c r="AL224" i="155"/>
  <c r="AL591" i="155"/>
  <c r="BN374" i="153"/>
  <c r="BN377" i="153"/>
  <c r="BN376" i="153"/>
  <c r="BN375" i="153"/>
  <c r="BN378" i="153"/>
  <c r="BN379" i="153"/>
  <c r="BC372" i="154"/>
  <c r="BC49" i="154" s="1"/>
  <c r="BC114" i="154" s="1"/>
  <c r="AF581" i="155"/>
  <c r="AF518" i="155"/>
  <c r="BS385" i="155"/>
  <c r="BS382" i="155"/>
  <c r="BS387" i="155"/>
  <c r="BS383" i="155"/>
  <c r="BS384" i="155"/>
  <c r="BS386" i="155"/>
  <c r="BF352" i="154"/>
  <c r="BF44" i="154" s="1"/>
  <c r="BF109" i="154" s="1"/>
  <c r="BM388" i="154"/>
  <c r="BM51" i="154" s="1"/>
  <c r="BM116" i="154" s="1"/>
  <c r="BG372" i="154"/>
  <c r="BG49" i="154" s="1"/>
  <c r="BG114" i="154" s="1"/>
  <c r="BB388" i="153"/>
  <c r="BB51" i="153" s="1"/>
  <c r="BE388" i="155"/>
  <c r="BE51" i="155" s="1"/>
  <c r="BE116" i="155" s="1"/>
  <c r="AT364" i="153"/>
  <c r="AT48" i="153" s="1"/>
  <c r="AP590" i="155"/>
  <c r="AX527" i="155"/>
  <c r="BL361" i="155"/>
  <c r="BL360" i="155"/>
  <c r="BL358" i="155"/>
  <c r="BL362" i="155"/>
  <c r="BL359" i="155"/>
  <c r="BL363" i="155"/>
  <c r="BP611" i="154"/>
  <c r="BP549" i="154"/>
  <c r="BP613" i="154" s="1"/>
  <c r="AH591" i="153"/>
  <c r="AH224" i="153"/>
  <c r="BJ372" i="153"/>
  <c r="BJ49" i="153" s="1"/>
  <c r="BJ114" i="153" s="1"/>
  <c r="BB380" i="155"/>
  <c r="BB50" i="155" s="1"/>
  <c r="BV403" i="155"/>
  <c r="BV402" i="155"/>
  <c r="BV407" i="155"/>
  <c r="BV406" i="155"/>
  <c r="BV405" i="155"/>
  <c r="BV404" i="155"/>
  <c r="R593" i="155"/>
  <c r="R594" i="155" s="1"/>
  <c r="R530" i="155"/>
  <c r="R544" i="155"/>
  <c r="BU234" i="154"/>
  <c r="BY602" i="153"/>
  <c r="BY542" i="153"/>
  <c r="BM352" i="154"/>
  <c r="BM44" i="154" s="1"/>
  <c r="BM109" i="154" s="1"/>
  <c r="AG518" i="155"/>
  <c r="AG581" i="155"/>
  <c r="AK530" i="154"/>
  <c r="AK593" i="154"/>
  <c r="AK594" i="154" s="1"/>
  <c r="AK544" i="154"/>
  <c r="BL380" i="153"/>
  <c r="BL50" i="153" s="1"/>
  <c r="BL115" i="153" s="1"/>
  <c r="X593" i="153"/>
  <c r="X594" i="153" s="1"/>
  <c r="X530" i="153"/>
  <c r="X544" i="153"/>
  <c r="BW611" i="153"/>
  <c r="BW549" i="153"/>
  <c r="BW613" i="153" s="1"/>
  <c r="AX590" i="154"/>
  <c r="BF527" i="154"/>
  <c r="AX590" i="155"/>
  <c r="BF527" i="155"/>
  <c r="BD229" i="153"/>
  <c r="AQ364" i="153"/>
  <c r="AQ48" i="153" s="1"/>
  <c r="BY233" i="153"/>
  <c r="BT542" i="154"/>
  <c r="BT602" i="154"/>
  <c r="BC526" i="154"/>
  <c r="BC588" i="154"/>
  <c r="BB398" i="153"/>
  <c r="BB397" i="153"/>
  <c r="BB395" i="153"/>
  <c r="BB399" i="153"/>
  <c r="BB394" i="153"/>
  <c r="BB396" i="153"/>
  <c r="BN585" i="155"/>
  <c r="BN524" i="155"/>
  <c r="BC358" i="154"/>
  <c r="BC360" i="154"/>
  <c r="BC363" i="154"/>
  <c r="BC361" i="154"/>
  <c r="BC362" i="154"/>
  <c r="BC359" i="154"/>
  <c r="AF591" i="155"/>
  <c r="AF224" i="155"/>
  <c r="BJ408" i="155"/>
  <c r="BJ58" i="155" s="1"/>
  <c r="BJ123" i="155" s="1"/>
  <c r="BK576" i="155"/>
  <c r="BK515" i="155"/>
  <c r="BD361" i="154"/>
  <c r="BD358" i="154"/>
  <c r="BD363" i="154"/>
  <c r="BD362" i="154"/>
  <c r="BD360" i="154"/>
  <c r="BD359" i="154"/>
  <c r="U608" i="155"/>
  <c r="U551" i="155"/>
  <c r="U555" i="155" s="1"/>
  <c r="BR368" i="155"/>
  <c r="BR369" i="155"/>
  <c r="BR367" i="155"/>
  <c r="BR370" i="155"/>
  <c r="BR366" i="155"/>
  <c r="BR371" i="155"/>
  <c r="BV347" i="154"/>
  <c r="BV346" i="154"/>
  <c r="BV351" i="154"/>
  <c r="BV349" i="154"/>
  <c r="BV350" i="154"/>
  <c r="BV348" i="154"/>
  <c r="BT405" i="153"/>
  <c r="BT407" i="153"/>
  <c r="BT404" i="153"/>
  <c r="BT403" i="153"/>
  <c r="BT402" i="153"/>
  <c r="BT406" i="153"/>
  <c r="BY368" i="154"/>
  <c r="BY371" i="154"/>
  <c r="BY366" i="154"/>
  <c r="BY370" i="154"/>
  <c r="BY369" i="154"/>
  <c r="BY367" i="154"/>
  <c r="BQ234" i="155"/>
  <c r="AV364" i="155"/>
  <c r="AV48" i="155" s="1"/>
  <c r="BI408" i="154"/>
  <c r="BI58" i="154" s="1"/>
  <c r="BI123" i="154" s="1"/>
  <c r="BR385" i="155"/>
  <c r="BR382" i="155"/>
  <c r="BR386" i="155"/>
  <c r="BR384" i="155"/>
  <c r="BR383" i="155"/>
  <c r="BR387" i="155"/>
  <c r="BI372" i="153"/>
  <c r="BI49" i="153" s="1"/>
  <c r="BI114" i="153" s="1"/>
  <c r="I130" i="103"/>
  <c r="I131" i="103" s="1"/>
  <c r="I130" i="104"/>
  <c r="I131" i="104" s="1"/>
  <c r="AW364" i="154"/>
  <c r="AW48" i="154" s="1"/>
  <c r="BQ378" i="155"/>
  <c r="BQ379" i="155"/>
  <c r="BQ375" i="155"/>
  <c r="BQ377" i="155"/>
  <c r="BQ374" i="155"/>
  <c r="BQ376" i="155"/>
  <c r="BG352" i="154"/>
  <c r="BG44" i="154" s="1"/>
  <c r="BG109" i="154" s="1"/>
  <c r="BG408" i="153"/>
  <c r="BG58" i="153" s="1"/>
  <c r="BG123" i="153" s="1"/>
  <c r="BQ611" i="154"/>
  <c r="BQ549" i="154"/>
  <c r="BQ613" i="154" s="1"/>
  <c r="BC388" i="155"/>
  <c r="BC51" i="155" s="1"/>
  <c r="BC116" i="155" s="1"/>
  <c r="BN384" i="153"/>
  <c r="BN386" i="153"/>
  <c r="BN385" i="153"/>
  <c r="BN387" i="153"/>
  <c r="BN383" i="153"/>
  <c r="BN382" i="153"/>
  <c r="BO549" i="154"/>
  <c r="BO613" i="154" s="1"/>
  <c r="BO611" i="154"/>
  <c r="J615" i="155"/>
  <c r="J616" i="155" s="1"/>
  <c r="J552" i="155"/>
  <c r="AS590" i="153"/>
  <c r="BA527" i="153"/>
  <c r="BL515" i="153"/>
  <c r="BL576" i="153"/>
  <c r="AE591" i="154"/>
  <c r="AE224" i="154"/>
  <c r="S582" i="153"/>
  <c r="S223" i="153"/>
  <c r="BU407" i="155"/>
  <c r="BU404" i="155"/>
  <c r="BU403" i="155"/>
  <c r="BU405" i="155"/>
  <c r="BU406" i="155"/>
  <c r="BU402" i="155"/>
  <c r="BL372" i="155"/>
  <c r="BL49" i="155" s="1"/>
  <c r="BL114" i="155" s="1"/>
  <c r="BI380" i="153"/>
  <c r="BI50" i="153" s="1"/>
  <c r="BI115" i="153" s="1"/>
  <c r="BA590" i="153"/>
  <c r="BI527" i="153"/>
  <c r="AD581" i="155"/>
  <c r="AD518" i="155"/>
  <c r="BT234" i="154"/>
  <c r="BX602" i="153"/>
  <c r="BX542" i="153"/>
  <c r="BA364" i="154"/>
  <c r="BA48" i="154" s="1"/>
  <c r="BL230" i="155"/>
  <c r="BD576" i="155"/>
  <c r="BD515" i="155"/>
  <c r="BM380" i="154"/>
  <c r="BM50" i="154" s="1"/>
  <c r="BM115" i="154" s="1"/>
  <c r="BB606" i="153"/>
  <c r="N578" i="155"/>
  <c r="P578" i="155" s="1"/>
  <c r="BN514" i="155"/>
  <c r="BN578" i="155" s="1"/>
  <c r="BO514" i="155"/>
  <c r="BO578" i="155" s="1"/>
  <c r="BP514" i="155"/>
  <c r="BP578" i="155" s="1"/>
  <c r="BQ514" i="155"/>
  <c r="BQ578" i="155" s="1"/>
  <c r="BR514" i="155"/>
  <c r="BR578" i="155" s="1"/>
  <c r="BS514" i="155"/>
  <c r="BS578" i="155" s="1"/>
  <c r="BT514" i="155"/>
  <c r="BT578" i="155" s="1"/>
  <c r="BU514" i="155"/>
  <c r="BU578" i="155" s="1"/>
  <c r="BV514" i="155"/>
  <c r="BV578" i="155" s="1"/>
  <c r="BW514" i="155"/>
  <c r="BW578" i="155" s="1"/>
  <c r="BX514" i="155"/>
  <c r="BX578" i="155" s="1"/>
  <c r="BY514" i="155"/>
  <c r="BY578" i="155" s="1"/>
  <c r="BV611" i="153"/>
  <c r="BV549" i="153"/>
  <c r="BV613" i="153" s="1"/>
  <c r="BC229" i="153"/>
  <c r="BX233" i="153"/>
  <c r="BS602" i="154"/>
  <c r="BS542" i="154"/>
  <c r="AO224" i="154"/>
  <c r="AO591" i="154"/>
  <c r="AP579" i="154"/>
  <c r="AP517" i="154"/>
  <c r="AP529" i="154" s="1"/>
  <c r="BD588" i="154"/>
  <c r="BD526" i="154"/>
  <c r="N588" i="155"/>
  <c r="P588" i="155" s="1"/>
  <c r="AU579" i="154"/>
  <c r="AU517" i="154"/>
  <c r="AU529" i="154" s="1"/>
  <c r="BY585" i="153"/>
  <c r="BY524" i="153"/>
  <c r="BD606" i="154"/>
  <c r="BQ367" i="155"/>
  <c r="BQ368" i="155"/>
  <c r="BQ370" i="155"/>
  <c r="BQ369" i="155"/>
  <c r="BQ371" i="155"/>
  <c r="BQ366" i="155"/>
  <c r="BC515" i="153"/>
  <c r="AO591" i="153"/>
  <c r="AO224" i="153"/>
  <c r="BU348" i="154"/>
  <c r="BU350" i="154"/>
  <c r="BU351" i="154"/>
  <c r="BU349" i="154"/>
  <c r="BU347" i="154"/>
  <c r="BU346" i="154"/>
  <c r="BM515" i="155"/>
  <c r="BM576" i="155"/>
  <c r="BS402" i="153"/>
  <c r="BS405" i="153"/>
  <c r="BS403" i="153"/>
  <c r="BS404" i="153"/>
  <c r="BS406" i="153"/>
  <c r="BS407" i="153"/>
  <c r="BD372" i="153"/>
  <c r="BD49" i="153" s="1"/>
  <c r="BD114" i="153" s="1"/>
  <c r="BD606" i="155"/>
  <c r="AN593" i="155"/>
  <c r="AN594" i="155" s="1"/>
  <c r="AN530" i="155"/>
  <c r="AN544" i="155"/>
  <c r="BC372" i="155"/>
  <c r="BC49" i="155" s="1"/>
  <c r="BC114" i="155" s="1"/>
  <c r="BX370" i="154"/>
  <c r="BX366" i="154"/>
  <c r="BX367" i="154"/>
  <c r="BX371" i="154"/>
  <c r="BX368" i="154"/>
  <c r="BX369" i="154"/>
  <c r="BP234" i="155"/>
  <c r="S582" i="154"/>
  <c r="S223" i="154"/>
  <c r="AV364" i="154"/>
  <c r="AV48" i="154" s="1"/>
  <c r="BE588" i="155"/>
  <c r="BE526" i="155"/>
  <c r="BH399" i="153"/>
  <c r="BH397" i="153"/>
  <c r="BH396" i="153"/>
  <c r="BH395" i="153"/>
  <c r="BH398" i="153"/>
  <c r="BH394" i="153"/>
  <c r="BK388" i="154"/>
  <c r="BK51" i="154" s="1"/>
  <c r="BK116" i="154" s="1"/>
  <c r="BA590" i="154"/>
  <c r="BI527" i="154"/>
  <c r="BM228" i="153"/>
  <c r="BQ384" i="155"/>
  <c r="BQ385" i="155"/>
  <c r="BQ387" i="155"/>
  <c r="BQ383" i="155"/>
  <c r="BQ386" i="155"/>
  <c r="BQ382" i="155"/>
  <c r="AQ400" i="154"/>
  <c r="AQ57" i="154" s="1"/>
  <c r="BN611" i="154"/>
  <c r="BN549" i="154"/>
  <c r="BN613" i="154" s="1"/>
  <c r="BC372" i="153"/>
  <c r="BC49" i="153" s="1"/>
  <c r="BC114" i="153" s="1"/>
  <c r="AY527" i="153"/>
  <c r="AQ590" i="153"/>
  <c r="AV400" i="155"/>
  <c r="AV57" i="155" s="1"/>
  <c r="BT403" i="155"/>
  <c r="BT404" i="155"/>
  <c r="BT406" i="155"/>
  <c r="BT405" i="155"/>
  <c r="BT407" i="155"/>
  <c r="BT402" i="155"/>
  <c r="BD527" i="153"/>
  <c r="AV590" i="153"/>
  <c r="BS234" i="154"/>
  <c r="BW602" i="153"/>
  <c r="BW542" i="153"/>
  <c r="AZ364" i="154"/>
  <c r="AZ48" i="154" s="1"/>
  <c r="BB408" i="155"/>
  <c r="BB58" i="155" s="1"/>
  <c r="L581" i="154"/>
  <c r="L582" i="154" s="1"/>
  <c r="BJ388" i="155"/>
  <c r="BJ51" i="155" s="1"/>
  <c r="BJ116" i="155" s="1"/>
  <c r="BA527" i="155"/>
  <c r="AS590" i="155"/>
  <c r="AB582" i="153"/>
  <c r="AB223" i="153"/>
  <c r="BB361" i="153"/>
  <c r="BB362" i="153"/>
  <c r="BB358" i="153"/>
  <c r="BB359" i="153"/>
  <c r="BB360" i="153"/>
  <c r="BB363" i="153"/>
  <c r="BU611" i="153"/>
  <c r="BU549" i="153"/>
  <c r="BU613" i="153" s="1"/>
  <c r="BK388" i="153"/>
  <c r="BK51" i="153" s="1"/>
  <c r="BK116" i="153" s="1"/>
  <c r="BD527" i="155"/>
  <c r="AV590" i="155"/>
  <c r="BW233" i="153"/>
  <c r="BR602" i="154"/>
  <c r="BR542" i="154"/>
  <c r="N576" i="153"/>
  <c r="P576" i="153" s="1"/>
  <c r="BA400" i="155"/>
  <c r="BA57" i="155" s="1"/>
  <c r="BK396" i="154"/>
  <c r="BK395" i="154"/>
  <c r="BK398" i="154"/>
  <c r="BK399" i="154"/>
  <c r="BK394" i="154"/>
  <c r="BK397" i="154"/>
  <c r="BM228" i="155"/>
  <c r="BX524" i="153"/>
  <c r="BX585" i="153"/>
  <c r="K593" i="154"/>
  <c r="K594" i="154" s="1"/>
  <c r="K530" i="154"/>
  <c r="K544" i="154"/>
  <c r="AS364" i="153"/>
  <c r="AS48" i="153" s="1"/>
  <c r="AX364" i="155"/>
  <c r="AX48" i="155" s="1"/>
  <c r="BP366" i="155"/>
  <c r="BP368" i="155"/>
  <c r="BP369" i="155"/>
  <c r="BP371" i="155"/>
  <c r="BP370" i="155"/>
  <c r="BP367" i="155"/>
  <c r="AW590" i="153"/>
  <c r="BE527" i="153"/>
  <c r="BT350" i="154"/>
  <c r="BT348" i="154"/>
  <c r="BT351" i="154"/>
  <c r="BT346" i="154"/>
  <c r="BT349" i="154"/>
  <c r="BT347" i="154"/>
  <c r="BR405" i="153"/>
  <c r="BR402" i="153"/>
  <c r="BR406" i="153"/>
  <c r="BR403" i="153"/>
  <c r="BR404" i="153"/>
  <c r="BR407" i="153"/>
  <c r="BD359" i="155"/>
  <c r="BD362" i="155"/>
  <c r="BD363" i="155"/>
  <c r="BD358" i="155"/>
  <c r="BD360" i="155"/>
  <c r="BD361" i="155"/>
  <c r="BW367" i="154"/>
  <c r="BW371" i="154"/>
  <c r="BW370" i="154"/>
  <c r="BW368" i="154"/>
  <c r="BW366" i="154"/>
  <c r="BW369" i="154"/>
  <c r="BO234" i="155"/>
  <c r="BE606" i="155"/>
  <c r="BL228" i="153"/>
  <c r="BI362" i="155"/>
  <c r="BI363" i="155"/>
  <c r="BI359" i="155"/>
  <c r="BI358" i="155"/>
  <c r="BI360" i="155"/>
  <c r="BI361" i="155"/>
  <c r="BP384" i="155"/>
  <c r="BP383" i="155"/>
  <c r="BP387" i="155"/>
  <c r="BP385" i="155"/>
  <c r="BP382" i="155"/>
  <c r="BP386" i="155"/>
  <c r="U582" i="154"/>
  <c r="U223" i="154"/>
  <c r="BU611" i="154"/>
  <c r="BU549" i="154"/>
  <c r="BU613" i="154" s="1"/>
  <c r="BR385" i="153"/>
  <c r="BR386" i="153"/>
  <c r="BR384" i="153"/>
  <c r="BR382" i="153"/>
  <c r="BR383" i="153"/>
  <c r="BR387" i="153"/>
  <c r="AW590" i="155"/>
  <c r="BE527" i="155"/>
  <c r="AY364" i="154"/>
  <c r="AY48" i="154" s="1"/>
  <c r="BK606" i="155"/>
  <c r="BJ352" i="154"/>
  <c r="BJ44" i="154" s="1"/>
  <c r="BJ109" i="154" s="1"/>
  <c r="BS404" i="155"/>
  <c r="BS405" i="155"/>
  <c r="BS403" i="155"/>
  <c r="BS406" i="155"/>
  <c r="BS402" i="155"/>
  <c r="BS407" i="155"/>
  <c r="BD397" i="154"/>
  <c r="BD396" i="154"/>
  <c r="BD399" i="154"/>
  <c r="BD398" i="154"/>
  <c r="BD395" i="154"/>
  <c r="BD394" i="154"/>
  <c r="AN591" i="154"/>
  <c r="AN224" i="154"/>
  <c r="BR234" i="154"/>
  <c r="BV542" i="153"/>
  <c r="BV602" i="153"/>
  <c r="AH593" i="155"/>
  <c r="AH594" i="155" s="1"/>
  <c r="AH530" i="155"/>
  <c r="AH544" i="155"/>
  <c r="AA582" i="154"/>
  <c r="AA223" i="154"/>
  <c r="BC576" i="154"/>
  <c r="BC515" i="154"/>
  <c r="BY549" i="155"/>
  <c r="BY613" i="155" s="1"/>
  <c r="BY611" i="155"/>
  <c r="BT611" i="153"/>
  <c r="BT549" i="153"/>
  <c r="BT613" i="153" s="1"/>
  <c r="AH581" i="154"/>
  <c r="AH518" i="154"/>
  <c r="N578" i="153"/>
  <c r="P578" i="153" s="1"/>
  <c r="BN514" i="153"/>
  <c r="BN578" i="153" s="1"/>
  <c r="BO514" i="153"/>
  <c r="BO578" i="153" s="1"/>
  <c r="BP514" i="153"/>
  <c r="BP578" i="153" s="1"/>
  <c r="BQ514" i="153"/>
  <c r="BQ578" i="153" s="1"/>
  <c r="BR514" i="153"/>
  <c r="BR578" i="153" s="1"/>
  <c r="BS514" i="153"/>
  <c r="BS578" i="153" s="1"/>
  <c r="BT514" i="153"/>
  <c r="BT578" i="153" s="1"/>
  <c r="BU514" i="153"/>
  <c r="BU578" i="153" s="1"/>
  <c r="BV514" i="153"/>
  <c r="BV578" i="153" s="1"/>
  <c r="BW514" i="153"/>
  <c r="BW578" i="153" s="1"/>
  <c r="BX514" i="153"/>
  <c r="BX578" i="153" s="1"/>
  <c r="BY514" i="153"/>
  <c r="BY578" i="153" s="1"/>
  <c r="AF581" i="154"/>
  <c r="AF518" i="154"/>
  <c r="BB394" i="155"/>
  <c r="BB397" i="155"/>
  <c r="BB395" i="155"/>
  <c r="BB399" i="155"/>
  <c r="BB398" i="155"/>
  <c r="BB396" i="155"/>
  <c r="BV233" i="153"/>
  <c r="BQ602" i="154"/>
  <c r="BQ542" i="154"/>
  <c r="AG581" i="153"/>
  <c r="AG518" i="153"/>
  <c r="AN529" i="153"/>
  <c r="AN581" i="153"/>
  <c r="AN518" i="153"/>
  <c r="BF606" i="153"/>
  <c r="BW524" i="153"/>
  <c r="BW585" i="153"/>
  <c r="AY579" i="154"/>
  <c r="AY517" i="154"/>
  <c r="R608" i="154"/>
  <c r="R551" i="154"/>
  <c r="R555" i="154" s="1"/>
  <c r="BO368" i="155"/>
  <c r="BO371" i="155"/>
  <c r="BO370" i="155"/>
  <c r="BO366" i="155"/>
  <c r="BO369" i="155"/>
  <c r="BO367" i="155"/>
  <c r="S551" i="154"/>
  <c r="S555" i="154" s="1"/>
  <c r="S608" i="154"/>
  <c r="BS350" i="154"/>
  <c r="BS346" i="154"/>
  <c r="BS348" i="154"/>
  <c r="BS349" i="154"/>
  <c r="BS351" i="154"/>
  <c r="BS347" i="154"/>
  <c r="BQ402" i="153"/>
  <c r="BQ404" i="153"/>
  <c r="BQ405" i="153"/>
  <c r="BQ406" i="153"/>
  <c r="BQ403" i="153"/>
  <c r="BQ407" i="153"/>
  <c r="AN591" i="155"/>
  <c r="AN224" i="155"/>
  <c r="AY590" i="153"/>
  <c r="BG527" i="153"/>
  <c r="BV367" i="154"/>
  <c r="BV370" i="154"/>
  <c r="BV368" i="154"/>
  <c r="BV371" i="154"/>
  <c r="BV369" i="154"/>
  <c r="BV366" i="154"/>
  <c r="BN234" i="155"/>
  <c r="BG361" i="154"/>
  <c r="BG360" i="154"/>
  <c r="BG358" i="154"/>
  <c r="BG359" i="154"/>
  <c r="BG363" i="154"/>
  <c r="BG362" i="154"/>
  <c r="T608" i="155"/>
  <c r="T551" i="155"/>
  <c r="T555" i="155" s="1"/>
  <c r="BE361" i="155"/>
  <c r="BE359" i="155"/>
  <c r="BE360" i="155"/>
  <c r="BE363" i="155"/>
  <c r="BE362" i="155"/>
  <c r="BE358" i="155"/>
  <c r="AW400" i="155"/>
  <c r="AW57" i="155" s="1"/>
  <c r="BK228" i="153"/>
  <c r="BI606" i="155"/>
  <c r="BO382" i="155"/>
  <c r="BO384" i="155"/>
  <c r="BO386" i="155"/>
  <c r="BO385" i="155"/>
  <c r="BO383" i="155"/>
  <c r="BO387" i="155"/>
  <c r="AN223" i="155"/>
  <c r="AN582" i="155"/>
  <c r="BL394" i="155"/>
  <c r="BL398" i="155"/>
  <c r="BL397" i="155"/>
  <c r="BL399" i="155"/>
  <c r="BL395" i="155"/>
  <c r="BL396" i="155"/>
  <c r="AB608" i="154"/>
  <c r="AB551" i="154"/>
  <c r="AB555" i="154" s="1"/>
  <c r="BK361" i="155"/>
  <c r="BK359" i="155"/>
  <c r="BK362" i="155"/>
  <c r="BK360" i="155"/>
  <c r="BK358" i="155"/>
  <c r="BK363" i="155"/>
  <c r="J608" i="153"/>
  <c r="J551" i="153"/>
  <c r="BK352" i="155"/>
  <c r="BK44" i="155" s="1"/>
  <c r="BK109" i="155" s="1"/>
  <c r="BC397" i="154"/>
  <c r="BC398" i="154"/>
  <c r="BC396" i="154"/>
  <c r="BC394" i="154"/>
  <c r="BC399" i="154"/>
  <c r="BC395" i="154"/>
  <c r="AQ590" i="155"/>
  <c r="AY527" i="155"/>
  <c r="BR404" i="155"/>
  <c r="BR405" i="155"/>
  <c r="BR407" i="155"/>
  <c r="BR406" i="155"/>
  <c r="BR402" i="155"/>
  <c r="BR403" i="155"/>
  <c r="BK408" i="153"/>
  <c r="BK58" i="153" s="1"/>
  <c r="BK123" i="153" s="1"/>
  <c r="BM606" i="155"/>
  <c r="N576" i="154"/>
  <c r="P576" i="154" s="1"/>
  <c r="BL352" i="154"/>
  <c r="BL44" i="154" s="1"/>
  <c r="BL109" i="154" s="1"/>
  <c r="BK380" i="154"/>
  <c r="BK50" i="154" s="1"/>
  <c r="BK115" i="154" s="1"/>
  <c r="BG527" i="155"/>
  <c r="AY590" i="155"/>
  <c r="BQ234" i="154"/>
  <c r="BU542" i="153"/>
  <c r="BU602" i="153"/>
  <c r="BI230" i="155"/>
  <c r="AH591" i="155"/>
  <c r="AH224" i="155"/>
  <c r="AA593" i="154"/>
  <c r="AA594" i="154" s="1"/>
  <c r="AA530" i="154"/>
  <c r="AA544" i="154"/>
  <c r="BH388" i="153"/>
  <c r="BH51" i="153" s="1"/>
  <c r="BH116" i="153" s="1"/>
  <c r="BJ362" i="154"/>
  <c r="BJ358" i="154"/>
  <c r="BJ359" i="154"/>
  <c r="BJ361" i="154"/>
  <c r="BJ363" i="154"/>
  <c r="BJ360" i="154"/>
  <c r="BM230" i="154"/>
  <c r="BX611" i="155"/>
  <c r="BX549" i="155"/>
  <c r="BX613" i="155" s="1"/>
  <c r="BS611" i="153"/>
  <c r="BS549" i="153"/>
  <c r="BS613" i="153" s="1"/>
  <c r="BI398" i="154"/>
  <c r="BI396" i="154"/>
  <c r="BI399" i="154"/>
  <c r="BI395" i="154"/>
  <c r="BI397" i="154"/>
  <c r="BI394" i="154"/>
  <c r="BD359" i="153"/>
  <c r="BD363" i="153"/>
  <c r="BD362" i="153"/>
  <c r="BD360" i="153"/>
  <c r="BD361" i="153"/>
  <c r="BD358" i="153"/>
  <c r="BF352" i="153"/>
  <c r="BF44" i="153" s="1"/>
  <c r="BF109" i="153" s="1"/>
  <c r="BU233" i="153"/>
  <c r="BP602" i="154"/>
  <c r="BP542" i="154"/>
  <c r="BK380" i="155"/>
  <c r="BK50" i="155" s="1"/>
  <c r="BK115" i="155" s="1"/>
  <c r="AE529" i="153"/>
  <c r="AE581" i="153"/>
  <c r="AE518" i="153"/>
  <c r="AR517" i="154"/>
  <c r="AR529" i="154" s="1"/>
  <c r="AR579" i="154"/>
  <c r="BF360" i="153"/>
  <c r="BF363" i="153"/>
  <c r="BF359" i="153"/>
  <c r="BF362" i="153"/>
  <c r="BF361" i="153"/>
  <c r="BF358" i="153"/>
  <c r="BK228" i="155"/>
  <c r="M579" i="153"/>
  <c r="BV524" i="153"/>
  <c r="BV585" i="153"/>
  <c r="BY234" i="153"/>
  <c r="BN371" i="155"/>
  <c r="BN366" i="155"/>
  <c r="BN367" i="155"/>
  <c r="BN370" i="155"/>
  <c r="BN369" i="155"/>
  <c r="BN368" i="155"/>
  <c r="BR350" i="154"/>
  <c r="BR351" i="154"/>
  <c r="BR349" i="154"/>
  <c r="BR346" i="154"/>
  <c r="BR347" i="154"/>
  <c r="BR348" i="154"/>
  <c r="BP405" i="153"/>
  <c r="BP407" i="153"/>
  <c r="BP404" i="153"/>
  <c r="BP402" i="153"/>
  <c r="BP403" i="153"/>
  <c r="BP406" i="153"/>
  <c r="AU590" i="154"/>
  <c r="BC527" i="154"/>
  <c r="BE380" i="153"/>
  <c r="BE50" i="153" s="1"/>
  <c r="BE115" i="153" s="1"/>
  <c r="BU371" i="154"/>
  <c r="BU370" i="154"/>
  <c r="BU368" i="154"/>
  <c r="BU366" i="154"/>
  <c r="BU367" i="154"/>
  <c r="BU369" i="154"/>
  <c r="BG606" i="154"/>
  <c r="BD352" i="155"/>
  <c r="BD44" i="155" s="1"/>
  <c r="BD109" i="155" s="1"/>
  <c r="BC408" i="153"/>
  <c r="BC58" i="153" s="1"/>
  <c r="BC123" i="153" s="1"/>
  <c r="BF588" i="155"/>
  <c r="BF526" i="155"/>
  <c r="BI394" i="153"/>
  <c r="BI397" i="153"/>
  <c r="BI399" i="153"/>
  <c r="BI396" i="153"/>
  <c r="BI395" i="153"/>
  <c r="BI398" i="153"/>
  <c r="BB380" i="153"/>
  <c r="BB50" i="153" s="1"/>
  <c r="BJ228" i="153"/>
  <c r="AM591" i="155"/>
  <c r="AM224" i="155"/>
  <c r="BN385" i="155"/>
  <c r="BN384" i="155"/>
  <c r="BN386" i="155"/>
  <c r="BN383" i="155"/>
  <c r="BN387" i="155"/>
  <c r="BN382" i="155"/>
  <c r="BL526" i="154"/>
  <c r="BL588" i="154"/>
  <c r="AQ517" i="154"/>
  <c r="AQ579" i="154"/>
  <c r="V608" i="155"/>
  <c r="V551" i="155"/>
  <c r="V555" i="155" s="1"/>
  <c r="BJ526" i="153"/>
  <c r="BJ588" i="153"/>
  <c r="BA517" i="153"/>
  <c r="BA579" i="153"/>
  <c r="BL588" i="155"/>
  <c r="BL526" i="155"/>
  <c r="BQ402" i="155"/>
  <c r="BQ406" i="155"/>
  <c r="BQ403" i="155"/>
  <c r="BQ407" i="155"/>
  <c r="BQ405" i="155"/>
  <c r="BQ404" i="155"/>
  <c r="BM359" i="155"/>
  <c r="BM361" i="155"/>
  <c r="BM360" i="155"/>
  <c r="BM362" i="155"/>
  <c r="BM363" i="155"/>
  <c r="BM358" i="155"/>
  <c r="AN529" i="154"/>
  <c r="BP234" i="154"/>
  <c r="BT542" i="153"/>
  <c r="BT602" i="153"/>
  <c r="BY346" i="153"/>
  <c r="BY351" i="153"/>
  <c r="BY347" i="153"/>
  <c r="BY350" i="153"/>
  <c r="BY348" i="153"/>
  <c r="BY349" i="153"/>
  <c r="BF398" i="154"/>
  <c r="BF396" i="154"/>
  <c r="BF397" i="154"/>
  <c r="BF399" i="154"/>
  <c r="BF395" i="154"/>
  <c r="BF394" i="154"/>
  <c r="AW579" i="153"/>
  <c r="AW517" i="153"/>
  <c r="BJ606" i="154"/>
  <c r="BL230" i="154"/>
  <c r="BY585" i="154"/>
  <c r="BY524" i="154"/>
  <c r="BW611" i="155"/>
  <c r="BW549" i="155"/>
  <c r="BW613" i="155" s="1"/>
  <c r="BR549" i="153"/>
  <c r="BR613" i="153" s="1"/>
  <c r="BR611" i="153"/>
  <c r="AO582" i="153"/>
  <c r="AO223" i="153"/>
  <c r="BD606" i="153"/>
  <c r="BH515" i="155"/>
  <c r="BH576" i="155"/>
  <c r="BT233" i="153"/>
  <c r="BO542" i="154"/>
  <c r="BO602" i="154"/>
  <c r="BC394" i="155"/>
  <c r="BC395" i="155"/>
  <c r="BC399" i="155"/>
  <c r="BC396" i="155"/>
  <c r="BC398" i="155"/>
  <c r="BC397" i="155"/>
  <c r="BG576" i="154"/>
  <c r="BG515" i="154"/>
  <c r="BJ228" i="155"/>
  <c r="BY367" i="153"/>
  <c r="BY366" i="153"/>
  <c r="BY368" i="153"/>
  <c r="BY370" i="153"/>
  <c r="BY371" i="153"/>
  <c r="BY369" i="153"/>
  <c r="BU524" i="153"/>
  <c r="BU585" i="153"/>
  <c r="AS400" i="155"/>
  <c r="AS57" i="155" s="1"/>
  <c r="BB576" i="153"/>
  <c r="BB515" i="153"/>
  <c r="BX234" i="153"/>
  <c r="BD408" i="154"/>
  <c r="BD58" i="154" s="1"/>
  <c r="BD123" i="154" s="1"/>
  <c r="BB588" i="155"/>
  <c r="BB526" i="155"/>
  <c r="BK352" i="153"/>
  <c r="BK44" i="153" s="1"/>
  <c r="BK109" i="153" s="1"/>
  <c r="BQ351" i="154"/>
  <c r="BQ346" i="154"/>
  <c r="BQ347" i="154"/>
  <c r="BQ349" i="154"/>
  <c r="BQ348" i="154"/>
  <c r="BQ350" i="154"/>
  <c r="BB352" i="155"/>
  <c r="BB44" i="155" s="1"/>
  <c r="BO407" i="153"/>
  <c r="BO405" i="153"/>
  <c r="BO406" i="153"/>
  <c r="BO402" i="153"/>
  <c r="BO403" i="153"/>
  <c r="BO404" i="153"/>
  <c r="BY378" i="154"/>
  <c r="BY375" i="154"/>
  <c r="BY377" i="154"/>
  <c r="BY376" i="154"/>
  <c r="BY374" i="154"/>
  <c r="BY379" i="154"/>
  <c r="AZ579" i="154"/>
  <c r="AZ517" i="154"/>
  <c r="BT368" i="154"/>
  <c r="BT366" i="154"/>
  <c r="BT367" i="154"/>
  <c r="BT369" i="154"/>
  <c r="BT370" i="154"/>
  <c r="BT371" i="154"/>
  <c r="BC352" i="154"/>
  <c r="BC44" i="154" s="1"/>
  <c r="BC109" i="154" s="1"/>
  <c r="BH515" i="153"/>
  <c r="BF606" i="155"/>
  <c r="BI228" i="153"/>
  <c r="AL581" i="154"/>
  <c r="AL518" i="154"/>
  <c r="AL581" i="155"/>
  <c r="AL518" i="155"/>
  <c r="BK397" i="155"/>
  <c r="BK396" i="155"/>
  <c r="BK399" i="155"/>
  <c r="BK395" i="155"/>
  <c r="BK394" i="155"/>
  <c r="BK398" i="155"/>
  <c r="W582" i="154"/>
  <c r="W223" i="154"/>
  <c r="BF372" i="154"/>
  <c r="BF49" i="154" s="1"/>
  <c r="BF114" i="154" s="1"/>
  <c r="W593" i="154"/>
  <c r="W594" i="154" s="1"/>
  <c r="W530" i="154"/>
  <c r="W544" i="154"/>
  <c r="BM358" i="154"/>
  <c r="BM362" i="154"/>
  <c r="BM361" i="154"/>
  <c r="BM360" i="154"/>
  <c r="BM363" i="154"/>
  <c r="BM359" i="154"/>
  <c r="BJ352" i="155"/>
  <c r="BJ44" i="155" s="1"/>
  <c r="BJ109" i="155" s="1"/>
  <c r="BI408" i="153"/>
  <c r="BI58" i="153" s="1"/>
  <c r="BI123" i="153" s="1"/>
  <c r="BI380" i="154"/>
  <c r="BI50" i="154" s="1"/>
  <c r="BI115" i="154" s="1"/>
  <c r="BP404" i="155"/>
  <c r="BP403" i="155"/>
  <c r="BP402" i="155"/>
  <c r="BP406" i="155"/>
  <c r="BP407" i="155"/>
  <c r="BP405" i="155"/>
  <c r="AX400" i="154"/>
  <c r="AX57" i="154" s="1"/>
  <c r="BS602" i="153"/>
  <c r="BS542" i="153"/>
  <c r="BX347" i="153"/>
  <c r="BX351" i="153"/>
  <c r="BX350" i="153"/>
  <c r="BX346" i="153"/>
  <c r="BX349" i="153"/>
  <c r="BX348" i="153"/>
  <c r="BG230" i="155"/>
  <c r="AL224" i="154"/>
  <c r="AL591" i="154"/>
  <c r="AA608" i="155"/>
  <c r="AA551" i="155"/>
  <c r="AA555" i="155" s="1"/>
  <c r="M590" i="154"/>
  <c r="M591" i="154" s="1"/>
  <c r="U527" i="154"/>
  <c r="BK230" i="154"/>
  <c r="BX585" i="154"/>
  <c r="BX524" i="154"/>
  <c r="BH380" i="155"/>
  <c r="BH50" i="155" s="1"/>
  <c r="BH115" i="155" s="1"/>
  <c r="BV611" i="155"/>
  <c r="BV549" i="155"/>
  <c r="BV613" i="155" s="1"/>
  <c r="BQ611" i="153"/>
  <c r="BQ549" i="153"/>
  <c r="BQ613" i="153" s="1"/>
  <c r="BE576" i="154"/>
  <c r="BE515" i="154"/>
  <c r="BS233" i="153"/>
  <c r="BN542" i="154"/>
  <c r="BN602" i="154"/>
  <c r="AV400" i="154"/>
  <c r="AV57" i="154" s="1"/>
  <c r="AY364" i="153"/>
  <c r="AY48" i="153" s="1"/>
  <c r="BI228" i="155"/>
  <c r="BD396" i="155"/>
  <c r="BD397" i="155"/>
  <c r="BD398" i="155"/>
  <c r="BD399" i="155"/>
  <c r="BD395" i="155"/>
  <c r="BD394" i="155"/>
  <c r="BX369" i="153"/>
  <c r="BX370" i="153"/>
  <c r="BX371" i="153"/>
  <c r="BX368" i="153"/>
  <c r="BX367" i="153"/>
  <c r="BX366" i="153"/>
  <c r="BT585" i="153"/>
  <c r="BT524" i="153"/>
  <c r="BW234" i="153"/>
  <c r="BP346" i="154"/>
  <c r="BP348" i="154"/>
  <c r="BP347" i="154"/>
  <c r="BP349" i="154"/>
  <c r="BP350" i="154"/>
  <c r="BP351" i="154"/>
  <c r="BN402" i="153"/>
  <c r="BN403" i="153"/>
  <c r="BN404" i="153"/>
  <c r="BN407" i="153"/>
  <c r="BN406" i="153"/>
  <c r="BN405" i="153"/>
  <c r="BX378" i="154"/>
  <c r="BX376" i="154"/>
  <c r="BX374" i="154"/>
  <c r="BX375" i="154"/>
  <c r="BX377" i="154"/>
  <c r="BX379" i="154"/>
  <c r="R223" i="153"/>
  <c r="R582" i="153"/>
  <c r="BM408" i="155"/>
  <c r="BM58" i="155" s="1"/>
  <c r="BM123" i="155" s="1"/>
  <c r="BS370" i="154"/>
  <c r="BS371" i="154"/>
  <c r="BS368" i="154"/>
  <c r="BS366" i="154"/>
  <c r="BS367" i="154"/>
  <c r="BS369" i="154"/>
  <c r="AH581" i="155"/>
  <c r="AH518" i="155"/>
  <c r="BI396" i="155"/>
  <c r="BI399" i="155"/>
  <c r="BI397" i="155"/>
  <c r="BI394" i="155"/>
  <c r="BI395" i="155"/>
  <c r="BI398" i="155"/>
  <c r="BH408" i="154"/>
  <c r="BH58" i="154" s="1"/>
  <c r="BH123" i="154" s="1"/>
  <c r="BF363" i="155"/>
  <c r="BF358" i="155"/>
  <c r="BF359" i="155"/>
  <c r="BF360" i="155"/>
  <c r="BF361" i="155"/>
  <c r="BF362" i="155"/>
  <c r="BH228" i="153"/>
  <c r="BK588" i="154"/>
  <c r="BK526" i="154"/>
  <c r="Z530" i="154"/>
  <c r="Z593" i="154"/>
  <c r="Z594" i="154" s="1"/>
  <c r="Z544" i="154"/>
  <c r="BH352" i="154"/>
  <c r="BH44" i="154" s="1"/>
  <c r="BH109" i="154" s="1"/>
  <c r="BM396" i="153"/>
  <c r="BM395" i="153"/>
  <c r="BM397" i="153"/>
  <c r="BM398" i="153"/>
  <c r="BM399" i="153"/>
  <c r="BM394" i="153"/>
  <c r="BM606" i="154"/>
  <c r="BI352" i="154"/>
  <c r="BI44" i="154" s="1"/>
  <c r="BI109" i="154" s="1"/>
  <c r="BK526" i="155"/>
  <c r="BK588" i="155"/>
  <c r="AU400" i="154"/>
  <c r="AU57" i="154" s="1"/>
  <c r="AT579" i="155"/>
  <c r="AT517" i="155"/>
  <c r="AT529" i="155" s="1"/>
  <c r="BO405" i="155"/>
  <c r="BO402" i="155"/>
  <c r="BO407" i="155"/>
  <c r="BO406" i="155"/>
  <c r="BO404" i="155"/>
  <c r="BO403" i="155"/>
  <c r="BL352" i="155"/>
  <c r="BL44" i="155" s="1"/>
  <c r="BL109" i="155" s="1"/>
  <c r="X608" i="155"/>
  <c r="X551" i="155"/>
  <c r="X555" i="155" s="1"/>
  <c r="BR602" i="153"/>
  <c r="BR542" i="153"/>
  <c r="BW348" i="153"/>
  <c r="BW349" i="153"/>
  <c r="BW347" i="153"/>
  <c r="BW350" i="153"/>
  <c r="BW346" i="153"/>
  <c r="BW351" i="153"/>
  <c r="BK229" i="154"/>
  <c r="BL372" i="154"/>
  <c r="BL49" i="154" s="1"/>
  <c r="BL114" i="154" s="1"/>
  <c r="BJ230" i="154"/>
  <c r="BW585" i="154"/>
  <c r="BW524" i="154"/>
  <c r="BU611" i="155"/>
  <c r="BU549" i="155"/>
  <c r="BU613" i="155" s="1"/>
  <c r="BP549" i="153"/>
  <c r="BP613" i="153" s="1"/>
  <c r="BP611" i="153"/>
  <c r="AW364" i="153"/>
  <c r="AW48" i="153" s="1"/>
  <c r="AJ224" i="154"/>
  <c r="AJ591" i="154"/>
  <c r="BG576" i="155"/>
  <c r="BG515" i="155"/>
  <c r="AR364" i="154"/>
  <c r="AR48" i="154" s="1"/>
  <c r="BR233" i="153"/>
  <c r="BC388" i="154"/>
  <c r="BC51" i="154" s="1"/>
  <c r="BC116" i="154" s="1"/>
  <c r="BI576" i="155"/>
  <c r="BI515" i="155"/>
  <c r="BH228" i="155"/>
  <c r="BW370" i="153"/>
  <c r="BW366" i="153"/>
  <c r="BW369" i="153"/>
  <c r="BW367" i="153"/>
  <c r="BW371" i="153"/>
  <c r="BW368" i="153"/>
  <c r="BY602" i="155"/>
  <c r="BY542" i="155"/>
  <c r="BS524" i="153"/>
  <c r="BS585" i="153"/>
  <c r="AT400" i="154"/>
  <c r="AT57" i="154" s="1"/>
  <c r="BV234" i="153"/>
  <c r="W608" i="153"/>
  <c r="W551" i="153"/>
  <c r="BJ352" i="153"/>
  <c r="BJ44" i="153" s="1"/>
  <c r="BJ109" i="153" s="1"/>
  <c r="BY347" i="155"/>
  <c r="BY350" i="155"/>
  <c r="BY346" i="155"/>
  <c r="BY349" i="155"/>
  <c r="BY351" i="155"/>
  <c r="BY348" i="155"/>
  <c r="AI591" i="154"/>
  <c r="AI224" i="154"/>
  <c r="BO347" i="154"/>
  <c r="BO348" i="154"/>
  <c r="BO351" i="154"/>
  <c r="BO350" i="154"/>
  <c r="BO349" i="154"/>
  <c r="BO346" i="154"/>
  <c r="AR400" i="155"/>
  <c r="AR57" i="155" s="1"/>
  <c r="BW374" i="154"/>
  <c r="BW377" i="154"/>
  <c r="BW376" i="154"/>
  <c r="BW375" i="154"/>
  <c r="BW378" i="154"/>
  <c r="BW379" i="154"/>
  <c r="BI388" i="154"/>
  <c r="BI51" i="154" s="1"/>
  <c r="BI116" i="154" s="1"/>
  <c r="AR364" i="155"/>
  <c r="AR48" i="155" s="1"/>
  <c r="BR369" i="154"/>
  <c r="BR366" i="154"/>
  <c r="BR371" i="154"/>
  <c r="BR367" i="154"/>
  <c r="BR370" i="154"/>
  <c r="BR368" i="154"/>
  <c r="BG395" i="153"/>
  <c r="BG397" i="153"/>
  <c r="BG396" i="153"/>
  <c r="BG399" i="153"/>
  <c r="BG398" i="153"/>
  <c r="BG394" i="153"/>
  <c r="BE515" i="153"/>
  <c r="AF581" i="153"/>
  <c r="AF518" i="153"/>
  <c r="AK530" i="153"/>
  <c r="AK593" i="153"/>
  <c r="AK594" i="153" s="1"/>
  <c r="AK544" i="153"/>
  <c r="BG228" i="153"/>
  <c r="BD380" i="154"/>
  <c r="BD50" i="154" s="1"/>
  <c r="BD115" i="154" s="1"/>
  <c r="BF588" i="153"/>
  <c r="BF526" i="153"/>
  <c r="BK408" i="154"/>
  <c r="BK58" i="154" s="1"/>
  <c r="BK123" i="154" s="1"/>
  <c r="BH588" i="153"/>
  <c r="BH526" i="153"/>
  <c r="BK576" i="153"/>
  <c r="BK515" i="153"/>
  <c r="BF380" i="153"/>
  <c r="BF50" i="153" s="1"/>
  <c r="BF115" i="153" s="1"/>
  <c r="AR364" i="153"/>
  <c r="AR48" i="153" s="1"/>
  <c r="BB396" i="154"/>
  <c r="BB394" i="154"/>
  <c r="BB399" i="154"/>
  <c r="BB395" i="154"/>
  <c r="BB397" i="154"/>
  <c r="BB398" i="154"/>
  <c r="BG388" i="154"/>
  <c r="BG51" i="154" s="1"/>
  <c r="BG116" i="154" s="1"/>
  <c r="BN405" i="155"/>
  <c r="BN403" i="155"/>
  <c r="BN402" i="155"/>
  <c r="BN407" i="155"/>
  <c r="BN406" i="155"/>
  <c r="BN404" i="155"/>
  <c r="BM228" i="154"/>
  <c r="BJ380" i="153"/>
  <c r="BJ50" i="153" s="1"/>
  <c r="BJ115" i="153" s="1"/>
  <c r="BQ602" i="153"/>
  <c r="BQ542" i="153"/>
  <c r="BV348" i="153"/>
  <c r="BV347" i="153"/>
  <c r="BV351" i="153"/>
  <c r="BV349" i="153"/>
  <c r="BV346" i="153"/>
  <c r="BV350" i="153"/>
  <c r="BJ229" i="154"/>
  <c r="BK380" i="153"/>
  <c r="BK50" i="153" s="1"/>
  <c r="BK115" i="153" s="1"/>
  <c r="AL593" i="154"/>
  <c r="AL594" i="154" s="1"/>
  <c r="AL530" i="154"/>
  <c r="AL544" i="154"/>
  <c r="BG388" i="153"/>
  <c r="BG51" i="153" s="1"/>
  <c r="BG116" i="153" s="1"/>
  <c r="AU400" i="155"/>
  <c r="AU57" i="155" s="1"/>
  <c r="AZ400" i="154"/>
  <c r="AZ57" i="154" s="1"/>
  <c r="BL230" i="153"/>
  <c r="BB388" i="154"/>
  <c r="BB51" i="154" s="1"/>
  <c r="BI230" i="154"/>
  <c r="BV585" i="154"/>
  <c r="BV524" i="154"/>
  <c r="BT611" i="155"/>
  <c r="BT549" i="155"/>
  <c r="BT613" i="155" s="1"/>
  <c r="BO611" i="153"/>
  <c r="BO549" i="153"/>
  <c r="BO613" i="153" s="1"/>
  <c r="AE530" i="155"/>
  <c r="AE593" i="155"/>
  <c r="AE594" i="155" s="1"/>
  <c r="AE544" i="155"/>
  <c r="BQ233" i="153"/>
  <c r="BL388" i="153"/>
  <c r="BL51" i="153" s="1"/>
  <c r="BL116" i="153" s="1"/>
  <c r="BG228" i="155"/>
  <c r="BV366" i="153"/>
  <c r="BV368" i="153"/>
  <c r="BV371" i="153"/>
  <c r="BV370" i="153"/>
  <c r="BV369" i="153"/>
  <c r="BV367" i="153"/>
  <c r="BX602" i="155"/>
  <c r="BX542" i="155"/>
  <c r="BE388" i="154"/>
  <c r="BE51" i="154" s="1"/>
  <c r="BE116" i="154" s="1"/>
  <c r="BR524" i="153"/>
  <c r="BR585" i="153"/>
  <c r="AZ590" i="154"/>
  <c r="BH527" i="154"/>
  <c r="BU234" i="153"/>
  <c r="AU529" i="155"/>
  <c r="AU581" i="155"/>
  <c r="AU518" i="155"/>
  <c r="BX351" i="155"/>
  <c r="BX347" i="155"/>
  <c r="BX350" i="155"/>
  <c r="BX349" i="155"/>
  <c r="BX346" i="155"/>
  <c r="BX348" i="155"/>
  <c r="AI529" i="154"/>
  <c r="BN346" i="154"/>
  <c r="BN348" i="154"/>
  <c r="BN350" i="154"/>
  <c r="BN347" i="154"/>
  <c r="BN349" i="154"/>
  <c r="BN351" i="154"/>
  <c r="BV375" i="154"/>
  <c r="BV374" i="154"/>
  <c r="BV379" i="154"/>
  <c r="BV378" i="154"/>
  <c r="BV376" i="154"/>
  <c r="BV377" i="154"/>
  <c r="AS400" i="154"/>
  <c r="AS57" i="154" s="1"/>
  <c r="BF408" i="154"/>
  <c r="BF58" i="154" s="1"/>
  <c r="BF123" i="154" s="1"/>
  <c r="BH394" i="155"/>
  <c r="BH398" i="155"/>
  <c r="BH399" i="155"/>
  <c r="BH395" i="155"/>
  <c r="BH397" i="155"/>
  <c r="BH396" i="155"/>
  <c r="BQ366" i="154"/>
  <c r="BQ368" i="154"/>
  <c r="BQ367" i="154"/>
  <c r="BQ369" i="154"/>
  <c r="BQ370" i="154"/>
  <c r="BQ371" i="154"/>
  <c r="AE529" i="154"/>
  <c r="AE518" i="154"/>
  <c r="AE581" i="154"/>
  <c r="BJ398" i="155"/>
  <c r="BJ397" i="155"/>
  <c r="BJ399" i="155"/>
  <c r="BJ396" i="155"/>
  <c r="BJ395" i="155"/>
  <c r="BJ394" i="155"/>
  <c r="AK591" i="153"/>
  <c r="AK224" i="153"/>
  <c r="BC380" i="154"/>
  <c r="BC50" i="154" s="1"/>
  <c r="BC115" i="154" s="1"/>
  <c r="BF228" i="153"/>
  <c r="AZ517" i="153"/>
  <c r="AZ579" i="153"/>
  <c r="BD372" i="154"/>
  <c r="BD49" i="154" s="1"/>
  <c r="BD114" i="154" s="1"/>
  <c r="BK397" i="153"/>
  <c r="BK398" i="153"/>
  <c r="BK394" i="153"/>
  <c r="BK395" i="153"/>
  <c r="BK399" i="153"/>
  <c r="BK396" i="153"/>
  <c r="BE380" i="154"/>
  <c r="BE50" i="154" s="1"/>
  <c r="BE115" i="154" s="1"/>
  <c r="S608" i="155"/>
  <c r="S551" i="155"/>
  <c r="S555" i="155" s="1"/>
  <c r="BG526" i="153"/>
  <c r="BG588" i="153"/>
  <c r="BJ588" i="155"/>
  <c r="BJ526" i="155"/>
  <c r="BI372" i="155"/>
  <c r="BI49" i="155" s="1"/>
  <c r="BI114" i="155" s="1"/>
  <c r="BK372" i="153"/>
  <c r="BK49" i="153" s="1"/>
  <c r="BK114" i="153" s="1"/>
  <c r="BM408" i="154"/>
  <c r="BM58" i="154" s="1"/>
  <c r="BM123" i="154" s="1"/>
  <c r="BY377" i="155"/>
  <c r="BY378" i="155"/>
  <c r="BY376" i="155"/>
  <c r="BY375" i="155"/>
  <c r="BY374" i="155"/>
  <c r="BY379" i="155"/>
  <c r="AX579" i="153"/>
  <c r="AX517" i="153"/>
  <c r="AX529" i="153" s="1"/>
  <c r="BY233" i="155"/>
  <c r="AX579" i="154"/>
  <c r="AX517" i="154"/>
  <c r="BD388" i="153"/>
  <c r="BD51" i="153" s="1"/>
  <c r="BD116" i="153" s="1"/>
  <c r="BL228" i="154"/>
  <c r="BH388" i="155"/>
  <c r="BH51" i="155" s="1"/>
  <c r="BH116" i="155" s="1"/>
  <c r="BB576" i="155"/>
  <c r="BB515" i="155"/>
  <c r="BP602" i="153"/>
  <c r="BP542" i="153"/>
  <c r="BU347" i="153"/>
  <c r="BU346" i="153"/>
  <c r="BU349" i="153"/>
  <c r="BU351" i="153"/>
  <c r="BU350" i="153"/>
  <c r="BU348" i="153"/>
  <c r="BI229" i="154"/>
  <c r="AT579" i="153"/>
  <c r="AT517" i="153"/>
  <c r="T608" i="154"/>
  <c r="T551" i="154"/>
  <c r="T555" i="154" s="1"/>
  <c r="BK230" i="153"/>
  <c r="BY386" i="154"/>
  <c r="BY382" i="154"/>
  <c r="BY385" i="154"/>
  <c r="BY383" i="154"/>
  <c r="BY387" i="154"/>
  <c r="BY384" i="154"/>
  <c r="BH230" i="154"/>
  <c r="BU524" i="154"/>
  <c r="BU585" i="154"/>
  <c r="AY517" i="153"/>
  <c r="AY579" i="153"/>
  <c r="BS611" i="155"/>
  <c r="BS549" i="155"/>
  <c r="BS613" i="155" s="1"/>
  <c r="BN611" i="153"/>
  <c r="BN549" i="153"/>
  <c r="BN613" i="153" s="1"/>
  <c r="BJ388" i="153"/>
  <c r="BJ51" i="153" s="1"/>
  <c r="BJ116" i="153" s="1"/>
  <c r="BI380" i="155"/>
  <c r="BI50" i="155" s="1"/>
  <c r="BI115" i="155" s="1"/>
  <c r="W608" i="155"/>
  <c r="W551" i="155"/>
  <c r="W555" i="155" s="1"/>
  <c r="BY404" i="154"/>
  <c r="BY403" i="154"/>
  <c r="BY406" i="154"/>
  <c r="BY402" i="154"/>
  <c r="BY405" i="154"/>
  <c r="BY407" i="154"/>
  <c r="BP233" i="153"/>
  <c r="N606" i="154"/>
  <c r="P606" i="154" s="1"/>
  <c r="P542" i="154"/>
  <c r="BF228" i="155"/>
  <c r="AH591" i="154"/>
  <c r="AH224" i="154"/>
  <c r="BJ515" i="155"/>
  <c r="BU368" i="153"/>
  <c r="BU369" i="153"/>
  <c r="BU371" i="153"/>
  <c r="BU366" i="153"/>
  <c r="BU370" i="153"/>
  <c r="BU367" i="153"/>
  <c r="BW542" i="155"/>
  <c r="BW602" i="155"/>
  <c r="BQ585" i="153"/>
  <c r="BQ524" i="153"/>
  <c r="BC408" i="154"/>
  <c r="BC58" i="154" s="1"/>
  <c r="BC123" i="154" s="1"/>
  <c r="BY232" i="154"/>
  <c r="BT234" i="153"/>
  <c r="BF394" i="155"/>
  <c r="BF395" i="155"/>
  <c r="BF399" i="155"/>
  <c r="BF398" i="155"/>
  <c r="BF397" i="155"/>
  <c r="BF396" i="155"/>
  <c r="BW347" i="155"/>
  <c r="BW351" i="155"/>
  <c r="BW349" i="155"/>
  <c r="BW346" i="155"/>
  <c r="BW348" i="155"/>
  <c r="BW350" i="155"/>
  <c r="BU378" i="154"/>
  <c r="BU376" i="154"/>
  <c r="BU379" i="154"/>
  <c r="BU375" i="154"/>
  <c r="BU374" i="154"/>
  <c r="BU377" i="154"/>
  <c r="BP371" i="154"/>
  <c r="BP370" i="154"/>
  <c r="BP367" i="154"/>
  <c r="BP369" i="154"/>
  <c r="BP366" i="154"/>
  <c r="BP368" i="154"/>
  <c r="Z582" i="154"/>
  <c r="Z223" i="154"/>
  <c r="AR518" i="155"/>
  <c r="AR581" i="155"/>
  <c r="T608" i="153"/>
  <c r="T551" i="153"/>
  <c r="AW579" i="154"/>
  <c r="AW517" i="154"/>
  <c r="BE228" i="153"/>
  <c r="BA579" i="155"/>
  <c r="BA517" i="155"/>
  <c r="BY382" i="153"/>
  <c r="BY386" i="153"/>
  <c r="BY383" i="153"/>
  <c r="BY387" i="153"/>
  <c r="BY384" i="153"/>
  <c r="BY385" i="153"/>
  <c r="BL408" i="154"/>
  <c r="BL58" i="154" s="1"/>
  <c r="BL123" i="154" s="1"/>
  <c r="K593" i="153"/>
  <c r="K594" i="153" s="1"/>
  <c r="K530" i="153"/>
  <c r="K544" i="153"/>
  <c r="BX376" i="155"/>
  <c r="BX378" i="155"/>
  <c r="BX374" i="155"/>
  <c r="BX377" i="155"/>
  <c r="BX379" i="155"/>
  <c r="BX375" i="155"/>
  <c r="BA579" i="154"/>
  <c r="BA517" i="154"/>
  <c r="BW233" i="154"/>
  <c r="BC388" i="153"/>
  <c r="BC51" i="153" s="1"/>
  <c r="BC116" i="153" s="1"/>
  <c r="BX233" i="155"/>
  <c r="AM581" i="155"/>
  <c r="AM518" i="155"/>
  <c r="BO602" i="153"/>
  <c r="BO542" i="153"/>
  <c r="BT348" i="153"/>
  <c r="BT346" i="153"/>
  <c r="BT349" i="153"/>
  <c r="BT351" i="153"/>
  <c r="BT347" i="153"/>
  <c r="BT350" i="153"/>
  <c r="BH229" i="154"/>
  <c r="AJ591" i="153"/>
  <c r="AJ224" i="153"/>
  <c r="BB515" i="154"/>
  <c r="BB576" i="154"/>
  <c r="BX387" i="154"/>
  <c r="BX383" i="154"/>
  <c r="BX382" i="154"/>
  <c r="BX384" i="154"/>
  <c r="BX386" i="154"/>
  <c r="BX385" i="154"/>
  <c r="BG230" i="154"/>
  <c r="BT585" i="154"/>
  <c r="BT524" i="154"/>
  <c r="AT400" i="153"/>
  <c r="AT57" i="153" s="1"/>
  <c r="BR611" i="155"/>
  <c r="BR549" i="155"/>
  <c r="BR613" i="155" s="1"/>
  <c r="AE591" i="155"/>
  <c r="AE224" i="155"/>
  <c r="BX406" i="154"/>
  <c r="BX402" i="154"/>
  <c r="BX407" i="154"/>
  <c r="BX403" i="154"/>
  <c r="BX404" i="154"/>
  <c r="BX405" i="154"/>
  <c r="BO233" i="153"/>
  <c r="BE606" i="153"/>
  <c r="BA364" i="153"/>
  <c r="BA48" i="153" s="1"/>
  <c r="BE228" i="155"/>
  <c r="AH529" i="154"/>
  <c r="BT370" i="153"/>
  <c r="BT368" i="153"/>
  <c r="BT366" i="153"/>
  <c r="BT369" i="153"/>
  <c r="BT367" i="153"/>
  <c r="BT371" i="153"/>
  <c r="BV602" i="155"/>
  <c r="BV542" i="155"/>
  <c r="AM593" i="154"/>
  <c r="AM594" i="154" s="1"/>
  <c r="AM530" i="154"/>
  <c r="AM544" i="154"/>
  <c r="BP524" i="153"/>
  <c r="BP585" i="153"/>
  <c r="BX232" i="154"/>
  <c r="AO593" i="155"/>
  <c r="AO594" i="155" s="1"/>
  <c r="AO530" i="155"/>
  <c r="AO544" i="155"/>
  <c r="BB372" i="153"/>
  <c r="BB49" i="153" s="1"/>
  <c r="BS234" i="153"/>
  <c r="M590" i="153"/>
  <c r="M591" i="153" s="1"/>
  <c r="U527" i="153"/>
  <c r="AC582" i="154"/>
  <c r="AC223" i="154"/>
  <c r="BL515" i="155"/>
  <c r="BV351" i="155"/>
  <c r="BV349" i="155"/>
  <c r="BV347" i="155"/>
  <c r="BV348" i="155"/>
  <c r="BV346" i="155"/>
  <c r="BV350" i="155"/>
  <c r="BD527" i="154"/>
  <c r="AV590" i="154"/>
  <c r="BI606" i="153"/>
  <c r="BT374" i="154"/>
  <c r="BT375" i="154"/>
  <c r="BT379" i="154"/>
  <c r="BT376" i="154"/>
  <c r="BT377" i="154"/>
  <c r="BT378" i="154"/>
  <c r="BO369" i="154"/>
  <c r="BO366" i="154"/>
  <c r="BO371" i="154"/>
  <c r="BO368" i="154"/>
  <c r="BO367" i="154"/>
  <c r="BO370" i="154"/>
  <c r="AU579" i="153"/>
  <c r="AU517" i="153"/>
  <c r="AQ364" i="155"/>
  <c r="AQ48" i="155" s="1"/>
  <c r="BH606" i="154"/>
  <c r="BY374" i="153"/>
  <c r="BY378" i="153"/>
  <c r="BY377" i="153"/>
  <c r="BY375" i="153"/>
  <c r="BY379" i="153"/>
  <c r="BY376" i="153"/>
  <c r="BD228" i="153"/>
  <c r="BJ396" i="153"/>
  <c r="BJ394" i="153"/>
  <c r="BJ399" i="153"/>
  <c r="BJ397" i="153"/>
  <c r="BJ398" i="153"/>
  <c r="BJ395" i="153"/>
  <c r="BG527" i="154"/>
  <c r="AY590" i="154"/>
  <c r="AI591" i="153"/>
  <c r="AI224" i="153"/>
  <c r="BL398" i="153"/>
  <c r="BL394" i="153"/>
  <c r="BL397" i="153"/>
  <c r="BL399" i="153"/>
  <c r="BL395" i="153"/>
  <c r="BL396" i="153"/>
  <c r="BX383" i="153"/>
  <c r="BX386" i="153"/>
  <c r="BX385" i="153"/>
  <c r="BX384" i="153"/>
  <c r="BX382" i="153"/>
  <c r="BX387" i="153"/>
  <c r="BI526" i="153"/>
  <c r="BI588" i="153"/>
  <c r="BW377" i="155"/>
  <c r="BW378" i="155"/>
  <c r="BW374" i="155"/>
  <c r="BW375" i="155"/>
  <c r="BW379" i="155"/>
  <c r="BW376" i="155"/>
  <c r="BH380" i="154"/>
  <c r="BH50" i="154" s="1"/>
  <c r="BH115" i="154" s="1"/>
  <c r="AW400" i="153"/>
  <c r="AW57" i="153" s="1"/>
  <c r="BW233" i="155"/>
  <c r="BC380" i="155"/>
  <c r="BC50" i="155" s="1"/>
  <c r="BC115" i="155" s="1"/>
  <c r="AP590" i="153"/>
  <c r="AX527" i="153"/>
  <c r="V551" i="153"/>
  <c r="V608" i="153"/>
  <c r="BK372" i="154"/>
  <c r="BK49" i="154" s="1"/>
  <c r="BK114" i="154" s="1"/>
  <c r="BN542" i="153"/>
  <c r="BN602" i="153"/>
  <c r="BS346" i="153"/>
  <c r="BS351" i="153"/>
  <c r="BS349" i="153"/>
  <c r="BS350" i="153"/>
  <c r="BS348" i="153"/>
  <c r="BS347" i="153"/>
  <c r="BG229" i="154"/>
  <c r="BB230" i="155"/>
  <c r="X582" i="154"/>
  <c r="X223" i="154"/>
  <c r="BI230" i="153"/>
  <c r="AX579" i="155"/>
  <c r="AX517" i="155"/>
  <c r="AZ364" i="155"/>
  <c r="AZ48" i="155" s="1"/>
  <c r="BW385" i="154"/>
  <c r="BW382" i="154"/>
  <c r="BW387" i="154"/>
  <c r="BW386" i="154"/>
  <c r="BW383" i="154"/>
  <c r="BW384" i="154"/>
  <c r="BF230" i="154"/>
  <c r="BS585" i="154"/>
  <c r="BS524" i="154"/>
  <c r="BM229" i="155"/>
  <c r="BE408" i="155"/>
  <c r="BE58" i="155" s="1"/>
  <c r="BE123" i="155" s="1"/>
  <c r="BQ549" i="155"/>
  <c r="BQ613" i="155" s="1"/>
  <c r="BQ611" i="155"/>
  <c r="P549" i="154"/>
  <c r="N613" i="154"/>
  <c r="P613" i="154" s="1"/>
  <c r="AX400" i="155"/>
  <c r="AX57" i="155" s="1"/>
  <c r="BW405" i="154"/>
  <c r="BW407" i="154"/>
  <c r="BW403" i="154"/>
  <c r="BW406" i="154"/>
  <c r="BW402" i="154"/>
  <c r="BW404" i="154"/>
  <c r="BB588" i="154"/>
  <c r="BB526" i="154"/>
  <c r="BN233" i="153"/>
  <c r="BE360" i="153"/>
  <c r="BE361" i="153"/>
  <c r="BE362" i="153"/>
  <c r="BE359" i="153"/>
  <c r="BE363" i="153"/>
  <c r="BE358" i="153"/>
  <c r="BH408" i="155"/>
  <c r="BH58" i="155" s="1"/>
  <c r="BH123" i="155" s="1"/>
  <c r="BB358" i="154"/>
  <c r="BB360" i="154"/>
  <c r="BB359" i="154"/>
  <c r="BB362" i="154"/>
  <c r="BB361" i="154"/>
  <c r="BB363" i="154"/>
  <c r="BB408" i="154"/>
  <c r="BB58" i="154" s="1"/>
  <c r="BD228" i="155"/>
  <c r="BY585" i="155"/>
  <c r="BY524" i="155"/>
  <c r="AG529" i="155"/>
  <c r="BS368" i="153"/>
  <c r="BS369" i="153"/>
  <c r="BS366" i="153"/>
  <c r="BS367" i="153"/>
  <c r="BS370" i="153"/>
  <c r="BS371" i="153"/>
  <c r="BU602" i="155"/>
  <c r="BU542" i="155"/>
  <c r="AM591" i="154"/>
  <c r="AM224" i="154"/>
  <c r="BO524" i="153"/>
  <c r="BO585" i="153"/>
  <c r="BW232" i="154"/>
  <c r="BR234" i="153"/>
  <c r="BU349" i="155"/>
  <c r="BU348" i="155"/>
  <c r="BU350" i="155"/>
  <c r="BU351" i="155"/>
  <c r="BU346" i="155"/>
  <c r="BU347" i="155"/>
  <c r="BI363" i="153"/>
  <c r="BI359" i="153"/>
  <c r="BI360" i="153"/>
  <c r="BI362" i="153"/>
  <c r="BI358" i="153"/>
  <c r="BI361" i="153"/>
  <c r="BS377" i="154"/>
  <c r="BS374" i="154"/>
  <c r="BS375" i="154"/>
  <c r="BS379" i="154"/>
  <c r="BS378" i="154"/>
  <c r="BS376" i="154"/>
  <c r="BN369" i="154"/>
  <c r="BN368" i="154"/>
  <c r="BN370" i="154"/>
  <c r="BN371" i="154"/>
  <c r="BN366" i="154"/>
  <c r="BN367" i="154"/>
  <c r="AT400" i="155"/>
  <c r="AT57" i="155" s="1"/>
  <c r="AR579" i="153"/>
  <c r="AR517" i="153"/>
  <c r="AR529" i="153" s="1"/>
  <c r="BH359" i="154"/>
  <c r="BH362" i="154"/>
  <c r="BH358" i="154"/>
  <c r="BH361" i="154"/>
  <c r="BH360" i="154"/>
  <c r="BH363" i="154"/>
  <c r="BX376" i="153"/>
  <c r="BX375" i="153"/>
  <c r="BX377" i="153"/>
  <c r="BX379" i="153"/>
  <c r="BX374" i="153"/>
  <c r="BX378" i="153"/>
  <c r="BI606" i="154"/>
  <c r="AE591" i="153"/>
  <c r="AE224" i="153"/>
  <c r="BC228" i="153"/>
  <c r="BE526" i="153"/>
  <c r="BE588" i="153"/>
  <c r="AY517" i="155"/>
  <c r="AY529" i="155" s="1"/>
  <c r="AY579" i="155"/>
  <c r="AB608" i="153"/>
  <c r="AB551" i="153"/>
  <c r="BW385" i="153"/>
  <c r="BW383" i="153"/>
  <c r="BW387" i="153"/>
  <c r="BW382" i="153"/>
  <c r="BW384" i="153"/>
  <c r="BW386" i="153"/>
  <c r="BD388" i="155"/>
  <c r="BD51" i="155" s="1"/>
  <c r="BD116" i="155" s="1"/>
  <c r="BI352" i="155"/>
  <c r="BI44" i="155" s="1"/>
  <c r="BI109" i="155" s="1"/>
  <c r="BH408" i="153"/>
  <c r="BH58" i="153" s="1"/>
  <c r="BH123" i="153" s="1"/>
  <c r="BV374" i="155"/>
  <c r="BV379" i="155"/>
  <c r="BV378" i="155"/>
  <c r="BV376" i="155"/>
  <c r="BV377" i="155"/>
  <c r="BV375" i="155"/>
  <c r="AA223" i="153"/>
  <c r="AA582" i="153"/>
  <c r="BV233" i="155"/>
  <c r="BI372" i="154"/>
  <c r="BI49" i="154" s="1"/>
  <c r="BI114" i="154" s="1"/>
  <c r="BH380" i="153"/>
  <c r="BH50" i="153" s="1"/>
  <c r="BH115" i="153" s="1"/>
  <c r="BG388" i="155"/>
  <c r="BG51" i="155" s="1"/>
  <c r="BG116" i="155" s="1"/>
  <c r="BM588" i="155"/>
  <c r="BM526" i="155"/>
  <c r="BR351" i="153"/>
  <c r="BR348" i="153"/>
  <c r="BR346" i="153"/>
  <c r="BR350" i="153"/>
  <c r="BR347" i="153"/>
  <c r="BR349" i="153"/>
  <c r="BF229" i="154"/>
  <c r="N580" i="155"/>
  <c r="P580" i="155" s="1"/>
  <c r="BN516" i="155"/>
  <c r="BN580" i="155" s="1"/>
  <c r="BO516" i="155"/>
  <c r="BO580" i="155" s="1"/>
  <c r="BP516" i="155"/>
  <c r="BP580" i="155" s="1"/>
  <c r="BQ516" i="155"/>
  <c r="BQ580" i="155" s="1"/>
  <c r="BR516" i="155"/>
  <c r="BR580" i="155" s="1"/>
  <c r="BS516" i="155"/>
  <c r="BS580" i="155" s="1"/>
  <c r="BT516" i="155"/>
  <c r="BT580" i="155" s="1"/>
  <c r="BU516" i="155"/>
  <c r="BU580" i="155" s="1"/>
  <c r="BV516" i="155"/>
  <c r="BV580" i="155" s="1"/>
  <c r="BW516" i="155"/>
  <c r="BW580" i="155" s="1"/>
  <c r="BX516" i="155"/>
  <c r="BX580" i="155" s="1"/>
  <c r="BY516" i="155"/>
  <c r="BY580" i="155" s="1"/>
  <c r="AL223" i="153"/>
  <c r="AL582" i="153"/>
  <c r="AI582" i="155"/>
  <c r="AI223" i="155"/>
  <c r="BV385" i="154"/>
  <c r="BV382" i="154"/>
  <c r="BV383" i="154"/>
  <c r="BV387" i="154"/>
  <c r="BV384" i="154"/>
  <c r="BV386" i="154"/>
  <c r="BE230" i="154"/>
  <c r="BR585" i="154"/>
  <c r="BR524" i="154"/>
  <c r="BL229" i="155"/>
  <c r="BP549" i="155"/>
  <c r="BP613" i="155" s="1"/>
  <c r="BP611" i="155"/>
  <c r="N613" i="153"/>
  <c r="P613" i="153" s="1"/>
  <c r="P549" i="153"/>
  <c r="BC361" i="153"/>
  <c r="BC358" i="153"/>
  <c r="BC359" i="153"/>
  <c r="BC360" i="153"/>
  <c r="BC362" i="153"/>
  <c r="BC363" i="153"/>
  <c r="BF408" i="155"/>
  <c r="BF58" i="155" s="1"/>
  <c r="BF123" i="155" s="1"/>
  <c r="BV403" i="154"/>
  <c r="BV405" i="154"/>
  <c r="BV402" i="154"/>
  <c r="BV406" i="154"/>
  <c r="BV407" i="154"/>
  <c r="BV404" i="154"/>
  <c r="BF576" i="154"/>
  <c r="BF515" i="154"/>
  <c r="BB606" i="154"/>
  <c r="BC228" i="155"/>
  <c r="AG529" i="153"/>
  <c r="BX585" i="155"/>
  <c r="BX524" i="155"/>
  <c r="AG591" i="155"/>
  <c r="AG224" i="155"/>
  <c r="BR366" i="153"/>
  <c r="BR369" i="153"/>
  <c r="BR371" i="153"/>
  <c r="BR367" i="153"/>
  <c r="BR368" i="153"/>
  <c r="BR370" i="153"/>
  <c r="BT602" i="155"/>
  <c r="BT542" i="155"/>
  <c r="BN524" i="153"/>
  <c r="BN585" i="153"/>
  <c r="BV232" i="154"/>
  <c r="AO591" i="155"/>
  <c r="AO224" i="155"/>
  <c r="BQ234" i="153"/>
  <c r="BT346" i="155"/>
  <c r="BT349" i="155"/>
  <c r="BT348" i="155"/>
  <c r="BT351" i="155"/>
  <c r="BT350" i="155"/>
  <c r="BT347" i="155"/>
  <c r="AY400" i="154"/>
  <c r="AY57" i="154" s="1"/>
  <c r="BB606" i="155"/>
  <c r="BG588" i="154"/>
  <c r="BG526" i="154"/>
  <c r="Y551" i="153"/>
  <c r="Y608" i="153"/>
  <c r="BR376" i="154"/>
  <c r="BR379" i="154"/>
  <c r="BR377" i="154"/>
  <c r="BR375" i="154"/>
  <c r="BR378" i="154"/>
  <c r="BR374" i="154"/>
  <c r="Y582" i="153"/>
  <c r="Y223" i="153"/>
  <c r="BW374" i="153"/>
  <c r="BW375" i="153"/>
  <c r="BW378" i="153"/>
  <c r="BW379" i="153"/>
  <c r="BW377" i="153"/>
  <c r="BW376" i="153"/>
  <c r="BJ388" i="154"/>
  <c r="BJ51" i="154" s="1"/>
  <c r="BJ116" i="154" s="1"/>
  <c r="BD588" i="153"/>
  <c r="BD526" i="153"/>
  <c r="AU400" i="153"/>
  <c r="AU57" i="153" s="1"/>
  <c r="AU364" i="155"/>
  <c r="AU48" i="155" s="1"/>
  <c r="BI361" i="154"/>
  <c r="BI363" i="154"/>
  <c r="BI359" i="154"/>
  <c r="BI358" i="154"/>
  <c r="BI360" i="154"/>
  <c r="BI362" i="154"/>
  <c r="BB228" i="153"/>
  <c r="AV400" i="153"/>
  <c r="AV57" i="153" s="1"/>
  <c r="BG372" i="155"/>
  <c r="BG49" i="155" s="1"/>
  <c r="BG114" i="155" s="1"/>
  <c r="BY611" i="154"/>
  <c r="BY549" i="154"/>
  <c r="BY613" i="154" s="1"/>
  <c r="BI526" i="155"/>
  <c r="BI588" i="155"/>
  <c r="BF380" i="154"/>
  <c r="BF50" i="154" s="1"/>
  <c r="BF115" i="154" s="1"/>
  <c r="BV384" i="153"/>
  <c r="BV383" i="153"/>
  <c r="BV382" i="153"/>
  <c r="BV385" i="153"/>
  <c r="BV387" i="153"/>
  <c r="BV386" i="153"/>
  <c r="L581" i="153"/>
  <c r="L582" i="153" s="1"/>
  <c r="AZ400" i="153"/>
  <c r="AZ57" i="153" s="1"/>
  <c r="BU375" i="155"/>
  <c r="BU379" i="155"/>
  <c r="BU376" i="155"/>
  <c r="BU378" i="155"/>
  <c r="BU377" i="155"/>
  <c r="BU374" i="155"/>
  <c r="BF527" i="153"/>
  <c r="AX590" i="153"/>
  <c r="AA530" i="153"/>
  <c r="AA593" i="153"/>
  <c r="AA594" i="153" s="1"/>
  <c r="AA544" i="153"/>
  <c r="BU233" i="155"/>
  <c r="AV517" i="153"/>
  <c r="AV579" i="153"/>
  <c r="M579" i="155"/>
  <c r="BQ350" i="153"/>
  <c r="BQ347" i="153"/>
  <c r="BQ346" i="153"/>
  <c r="BQ349" i="153"/>
  <c r="BQ348" i="153"/>
  <c r="BQ351" i="153"/>
  <c r="BE229" i="154"/>
  <c r="Z551" i="153"/>
  <c r="Z608" i="153"/>
  <c r="M579" i="154"/>
  <c r="BF380" i="155"/>
  <c r="BF50" i="155" s="1"/>
  <c r="BF115" i="155" s="1"/>
  <c r="BA590" i="155"/>
  <c r="BI527" i="155"/>
  <c r="AP400" i="154"/>
  <c r="AP57" i="154" s="1"/>
  <c r="BU382" i="154"/>
  <c r="BU384" i="154"/>
  <c r="BU383" i="154"/>
  <c r="BU386" i="154"/>
  <c r="BU387" i="154"/>
  <c r="BU385" i="154"/>
  <c r="BD230" i="154"/>
  <c r="BQ524" i="154"/>
  <c r="BQ585" i="154"/>
  <c r="BK229" i="155"/>
  <c r="BO549" i="155"/>
  <c r="BO613" i="155" s="1"/>
  <c r="BO611" i="155"/>
  <c r="BB527" i="154"/>
  <c r="AT590" i="154"/>
  <c r="AO223" i="154"/>
  <c r="AO582" i="154"/>
  <c r="BC606" i="153"/>
  <c r="BM229" i="153"/>
  <c r="BU402" i="154"/>
  <c r="BU403" i="154"/>
  <c r="BU406" i="154"/>
  <c r="BU407" i="154"/>
  <c r="BU405" i="154"/>
  <c r="BU404" i="154"/>
  <c r="T582" i="155"/>
  <c r="T223" i="155"/>
  <c r="BB228" i="155"/>
  <c r="AG591" i="153"/>
  <c r="AG224" i="153"/>
  <c r="BW585" i="155"/>
  <c r="BW524" i="155"/>
  <c r="BQ367" i="153"/>
  <c r="BQ369" i="153"/>
  <c r="BQ371" i="153"/>
  <c r="BQ370" i="153"/>
  <c r="BQ368" i="153"/>
  <c r="BQ366" i="153"/>
  <c r="BS602" i="155"/>
  <c r="BS542" i="155"/>
  <c r="N588" i="153"/>
  <c r="P588" i="153" s="1"/>
  <c r="BU232" i="154"/>
  <c r="BD399" i="153"/>
  <c r="BD395" i="153"/>
  <c r="BD396" i="153"/>
  <c r="BD394" i="153"/>
  <c r="BD397" i="153"/>
  <c r="BD398" i="153"/>
  <c r="BP234" i="153"/>
  <c r="BS349" i="155"/>
  <c r="BS348" i="155"/>
  <c r="BS351" i="155"/>
  <c r="BS346" i="155"/>
  <c r="BS350" i="155"/>
  <c r="BS347" i="155"/>
  <c r="BB362" i="155"/>
  <c r="BB358" i="155"/>
  <c r="BB360" i="155"/>
  <c r="BB361" i="155"/>
  <c r="BB359" i="155"/>
  <c r="BB363" i="155"/>
  <c r="BJ576" i="154"/>
  <c r="BJ515" i="154"/>
  <c r="BC588" i="155"/>
  <c r="BC526" i="155"/>
  <c r="BQ375" i="154"/>
  <c r="BQ377" i="154"/>
  <c r="BQ374" i="154"/>
  <c r="BQ379" i="154"/>
  <c r="BQ378" i="154"/>
  <c r="BQ376" i="154"/>
  <c r="AS364" i="155"/>
  <c r="AS48" i="155" s="1"/>
  <c r="BB408" i="153"/>
  <c r="BB58" i="153" s="1"/>
  <c r="V582" i="154"/>
  <c r="V223" i="154"/>
  <c r="BV377" i="153"/>
  <c r="BV379" i="153"/>
  <c r="BV376" i="153"/>
  <c r="BV378" i="153"/>
  <c r="BV374" i="153"/>
  <c r="BV375" i="153"/>
  <c r="AP590" i="154"/>
  <c r="AX527" i="154"/>
  <c r="AI224" i="155"/>
  <c r="AI591" i="155"/>
  <c r="W515" i="99"/>
  <c r="W517" i="99" s="1"/>
  <c r="X535" i="99"/>
  <c r="X599" i="99" s="1"/>
  <c r="X597" i="99"/>
  <c r="V579" i="99"/>
  <c r="V517" i="99"/>
  <c r="X512" i="99"/>
  <c r="X576" i="99" s="1"/>
  <c r="AA3" i="69"/>
  <c r="AA4" i="69" s="1"/>
  <c r="Z2" i="69" a="1"/>
  <c r="Z2" i="69" s="1"/>
  <c r="Z14" i="69"/>
  <c r="Z11" i="69"/>
  <c r="Z15" i="69"/>
  <c r="Z16" i="69"/>
  <c r="Z13" i="69"/>
  <c r="Z8" i="69"/>
  <c r="Z9" i="69"/>
  <c r="Z12" i="69"/>
  <c r="Z7" i="69"/>
  <c r="Z10" i="69"/>
  <c r="Z502" i="99"/>
  <c r="Z486" i="99" s="1"/>
  <c r="Z494" i="99" s="1"/>
  <c r="X549" i="99"/>
  <c r="X613" i="99" s="1"/>
  <c r="X229" i="99"/>
  <c r="X233" i="99"/>
  <c r="X228" i="99"/>
  <c r="X230" i="99"/>
  <c r="AD527" i="99"/>
  <c r="V590" i="99"/>
  <c r="X234" i="99"/>
  <c r="X524" i="99"/>
  <c r="X585" i="99"/>
  <c r="X232" i="99"/>
  <c r="W588" i="99"/>
  <c r="W526" i="99"/>
  <c r="Y539" i="99"/>
  <c r="Y603" i="99" s="1"/>
  <c r="Y541" i="99"/>
  <c r="Y605" i="99" s="1"/>
  <c r="Y534" i="99"/>
  <c r="Y598" i="99" s="1"/>
  <c r="Y548" i="99"/>
  <c r="Y547" i="99"/>
  <c r="Y611" i="99" s="1"/>
  <c r="Y538" i="99"/>
  <c r="Y540" i="99"/>
  <c r="Y604" i="99" s="1"/>
  <c r="Y525" i="99"/>
  <c r="Y589" i="99" s="1"/>
  <c r="Y522" i="99"/>
  <c r="Y586" i="99" s="1"/>
  <c r="Y521" i="99"/>
  <c r="Y523" i="99"/>
  <c r="Y587" i="99" s="1"/>
  <c r="Y509" i="99"/>
  <c r="Y573" i="99" s="1"/>
  <c r="Y507" i="99"/>
  <c r="Y513" i="99"/>
  <c r="Y577" i="99" s="1"/>
  <c r="Y558" i="99"/>
  <c r="Y622" i="99" s="1"/>
  <c r="Y514" i="99"/>
  <c r="Y578" i="99" s="1"/>
  <c r="Y516" i="99"/>
  <c r="Y580" i="99" s="1"/>
  <c r="Y533" i="99"/>
  <c r="X542" i="99"/>
  <c r="X606" i="99" s="1"/>
  <c r="X602" i="99"/>
  <c r="AA3" i="99"/>
  <c r="AA4" i="99" s="1"/>
  <c r="Z2" i="99" a="1"/>
  <c r="Z2" i="99" s="1"/>
  <c r="Z554" i="99" s="1"/>
  <c r="Z474" i="99"/>
  <c r="Z475" i="99"/>
  <c r="Z498" i="99"/>
  <c r="Z482" i="99" s="1"/>
  <c r="Z490" i="99" s="1"/>
  <c r="Z499" i="99"/>
  <c r="Z483" i="99" s="1"/>
  <c r="Z491" i="99" s="1"/>
  <c r="Z476" i="99"/>
  <c r="Z500" i="99"/>
  <c r="Z484" i="99" s="1"/>
  <c r="Z492" i="99" s="1"/>
  <c r="Z477" i="99"/>
  <c r="Z501" i="99"/>
  <c r="Z485" i="99" s="1"/>
  <c r="Z493" i="99" s="1"/>
  <c r="Z478" i="99"/>
  <c r="AB5" i="72"/>
  <c r="AB6" i="72" s="1"/>
  <c r="AA36" i="72"/>
  <c r="AA37" i="72"/>
  <c r="AA48" i="72"/>
  <c r="AA47" i="72"/>
  <c r="L529" i="99"/>
  <c r="L581" i="99"/>
  <c r="L582" i="99" s="1"/>
  <c r="L518" i="99"/>
  <c r="P514" i="99"/>
  <c r="N578" i="99"/>
  <c r="P578" i="99" s="1"/>
  <c r="T223" i="99"/>
  <c r="T582" i="99"/>
  <c r="U593" i="99"/>
  <c r="U594" i="99" s="1"/>
  <c r="U530" i="99"/>
  <c r="U544" i="99"/>
  <c r="P516" i="99"/>
  <c r="N580" i="99"/>
  <c r="P580" i="99" s="1"/>
  <c r="R223" i="99"/>
  <c r="R582" i="99"/>
  <c r="U582" i="99"/>
  <c r="U223" i="99"/>
  <c r="K530" i="99"/>
  <c r="K593" i="99"/>
  <c r="K594" i="99" s="1"/>
  <c r="I130" i="99"/>
  <c r="I131" i="99" s="1"/>
  <c r="N576" i="99"/>
  <c r="P576" i="99" s="1"/>
  <c r="P512" i="99"/>
  <c r="N515" i="99"/>
  <c r="M579" i="99"/>
  <c r="M517" i="99"/>
  <c r="S582" i="99"/>
  <c r="S223" i="99"/>
  <c r="N577" i="99"/>
  <c r="P577" i="99" s="1"/>
  <c r="P513" i="99"/>
  <c r="S544" i="99"/>
  <c r="S593" i="99"/>
  <c r="S594" i="99" s="1"/>
  <c r="S530" i="99"/>
  <c r="X618" i="99"/>
  <c r="AA6" i="98"/>
  <c r="Z70" i="103"/>
  <c r="AQ8" i="98"/>
  <c r="K598" i="99"/>
  <c r="AI160" i="99"/>
  <c r="AJ160" i="99" s="1"/>
  <c r="AK160" i="99" s="1"/>
  <c r="AL160" i="99" s="1"/>
  <c r="X129" i="99"/>
  <c r="N125" i="105" l="1"/>
  <c r="N99" i="105"/>
  <c r="I22" i="151"/>
  <c r="AB4" i="72" a="1"/>
  <c r="AB4" i="72" s="1"/>
  <c r="I133" i="105"/>
  <c r="L133" i="105"/>
  <c r="K133" i="105"/>
  <c r="J133" i="105"/>
  <c r="AT113" i="154"/>
  <c r="AT52" i="154"/>
  <c r="AT117" i="154" s="1"/>
  <c r="BB109" i="155"/>
  <c r="M44" i="155"/>
  <c r="M109" i="155" s="1"/>
  <c r="BA113" i="155"/>
  <c r="BA52" i="155"/>
  <c r="BA117" i="155" s="1"/>
  <c r="AZ122" i="153"/>
  <c r="AZ59" i="153"/>
  <c r="AZ124" i="153" s="1"/>
  <c r="BB114" i="153"/>
  <c r="M49" i="153"/>
  <c r="M114" i="153" s="1"/>
  <c r="AY113" i="154"/>
  <c r="AY52" i="154"/>
  <c r="AY117" i="154" s="1"/>
  <c r="AV122" i="155"/>
  <c r="AV59" i="155"/>
  <c r="AV124" i="155" s="1"/>
  <c r="AV113" i="153"/>
  <c r="AV52" i="153"/>
  <c r="AV117" i="153" s="1"/>
  <c r="AY113" i="155"/>
  <c r="AY52" i="155"/>
  <c r="AY117" i="155" s="1"/>
  <c r="AZ122" i="154"/>
  <c r="AZ59" i="154"/>
  <c r="AZ124" i="154" s="1"/>
  <c r="BB114" i="154"/>
  <c r="M49" i="154"/>
  <c r="M114" i="154" s="1"/>
  <c r="BB123" i="154"/>
  <c r="M58" i="154"/>
  <c r="M123" i="154" s="1"/>
  <c r="AX122" i="155"/>
  <c r="AX59" i="155"/>
  <c r="AX124" i="155" s="1"/>
  <c r="BA113" i="153"/>
  <c r="BA52" i="153"/>
  <c r="BA117" i="153" s="1"/>
  <c r="AR113" i="154"/>
  <c r="AR52" i="154"/>
  <c r="AR117" i="154" s="1"/>
  <c r="AW122" i="153"/>
  <c r="AW59" i="153"/>
  <c r="AW124" i="153" s="1"/>
  <c r="AY113" i="153"/>
  <c r="AY52" i="153"/>
  <c r="AY117" i="153" s="1"/>
  <c r="BB115" i="153"/>
  <c r="M50" i="153"/>
  <c r="M115" i="153" s="1"/>
  <c r="BB115" i="155"/>
  <c r="M50" i="155"/>
  <c r="M115" i="155" s="1"/>
  <c r="AX122" i="153"/>
  <c r="AX59" i="153"/>
  <c r="AX124" i="153" s="1"/>
  <c r="AW122" i="154"/>
  <c r="AW59" i="154"/>
  <c r="AW124" i="154" s="1"/>
  <c r="AU122" i="155"/>
  <c r="AU59" i="155"/>
  <c r="AU124" i="155" s="1"/>
  <c r="AU52" i="155"/>
  <c r="AU117" i="155" s="1"/>
  <c r="AU113" i="155"/>
  <c r="AR113" i="153"/>
  <c r="AR52" i="153"/>
  <c r="AR117" i="153" s="1"/>
  <c r="AR122" i="155"/>
  <c r="AR59" i="155"/>
  <c r="AR124" i="155" s="1"/>
  <c r="AV59" i="154"/>
  <c r="AV124" i="154" s="1"/>
  <c r="AV122" i="154"/>
  <c r="BA122" i="155"/>
  <c r="BA59" i="155"/>
  <c r="BA124" i="155" s="1"/>
  <c r="AZ122" i="155"/>
  <c r="AZ59" i="155"/>
  <c r="AZ124" i="155" s="1"/>
  <c r="L57" i="155"/>
  <c r="L122" i="155" s="1"/>
  <c r="AP59" i="155"/>
  <c r="AP122" i="155"/>
  <c r="BB109" i="154"/>
  <c r="M44" i="154"/>
  <c r="M109" i="154" s="1"/>
  <c r="L68" i="154"/>
  <c r="L133" i="154" s="1"/>
  <c r="AP133" i="154"/>
  <c r="AD124" i="154"/>
  <c r="K59" i="154"/>
  <c r="K124" i="154" s="1"/>
  <c r="BB109" i="153"/>
  <c r="M44" i="153"/>
  <c r="M109" i="153" s="1"/>
  <c r="AW113" i="153"/>
  <c r="AW52" i="153"/>
  <c r="AW117" i="153" s="1"/>
  <c r="M58" i="155"/>
  <c r="M123" i="155" s="1"/>
  <c r="BB123" i="155"/>
  <c r="AZ113" i="153"/>
  <c r="AZ52" i="153"/>
  <c r="AZ117" i="153" s="1"/>
  <c r="AP113" i="154"/>
  <c r="AP52" i="154"/>
  <c r="L48" i="154"/>
  <c r="L113" i="154" s="1"/>
  <c r="AY122" i="153"/>
  <c r="AY59" i="153"/>
  <c r="AY124" i="153" s="1"/>
  <c r="AD117" i="153"/>
  <c r="K52" i="153"/>
  <c r="K117" i="153" s="1"/>
  <c r="AT122" i="154"/>
  <c r="AT59" i="154"/>
  <c r="AT124" i="154" s="1"/>
  <c r="AQ122" i="154"/>
  <c r="AQ59" i="154"/>
  <c r="AQ124" i="154" s="1"/>
  <c r="BA113" i="154"/>
  <c r="BA52" i="154"/>
  <c r="BA117" i="154" s="1"/>
  <c r="AV113" i="155"/>
  <c r="AV52" i="155"/>
  <c r="AV117" i="155" s="1"/>
  <c r="AT59" i="155"/>
  <c r="AT124" i="155" s="1"/>
  <c r="AT122" i="155"/>
  <c r="AQ113" i="155"/>
  <c r="AQ52" i="155"/>
  <c r="AQ117" i="155" s="1"/>
  <c r="BB116" i="154"/>
  <c r="M51" i="154"/>
  <c r="M116" i="154" s="1"/>
  <c r="AZ113" i="154"/>
  <c r="AZ52" i="154"/>
  <c r="AZ117" i="154" s="1"/>
  <c r="AV113" i="154"/>
  <c r="AV52" i="154"/>
  <c r="AV117" i="154" s="1"/>
  <c r="AQ113" i="154"/>
  <c r="AQ52" i="154"/>
  <c r="AQ117" i="154" s="1"/>
  <c r="AU113" i="154"/>
  <c r="AU52" i="154"/>
  <c r="AU117" i="154" s="1"/>
  <c r="P64" i="155"/>
  <c r="N129" i="155"/>
  <c r="P129" i="155" s="1"/>
  <c r="AD117" i="154"/>
  <c r="K52" i="154"/>
  <c r="K117" i="154" s="1"/>
  <c r="AP122" i="154"/>
  <c r="AP59" i="154"/>
  <c r="L57" i="154"/>
  <c r="L122" i="154" s="1"/>
  <c r="AX113" i="155"/>
  <c r="AX52" i="155"/>
  <c r="AX117" i="155" s="1"/>
  <c r="AQ59" i="153"/>
  <c r="AQ124" i="153" s="1"/>
  <c r="AQ122" i="153"/>
  <c r="P64" i="154"/>
  <c r="N129" i="154"/>
  <c r="P129" i="154" s="1"/>
  <c r="BB123" i="153"/>
  <c r="M58" i="153"/>
  <c r="M123" i="153" s="1"/>
  <c r="AX52" i="153"/>
  <c r="AX117" i="153" s="1"/>
  <c r="AX113" i="153"/>
  <c r="AQ113" i="153"/>
  <c r="AQ52" i="153"/>
  <c r="AQ117" i="153" s="1"/>
  <c r="M49" i="155"/>
  <c r="M114" i="155" s="1"/>
  <c r="BB114" i="155"/>
  <c r="AP133" i="153"/>
  <c r="L68" i="153"/>
  <c r="L133" i="153" s="1"/>
  <c r="AD117" i="155"/>
  <c r="K52" i="155"/>
  <c r="K117" i="155" s="1"/>
  <c r="P64" i="153"/>
  <c r="N129" i="153"/>
  <c r="P129" i="153" s="1"/>
  <c r="L48" i="155"/>
  <c r="L113" i="155" s="1"/>
  <c r="AP113" i="155"/>
  <c r="AP52" i="155"/>
  <c r="AX113" i="154"/>
  <c r="AX52" i="154"/>
  <c r="AX117" i="154" s="1"/>
  <c r="AS113" i="154"/>
  <c r="AS52" i="154"/>
  <c r="AS117" i="154" s="1"/>
  <c r="K59" i="153"/>
  <c r="K124" i="153" s="1"/>
  <c r="AD124" i="153"/>
  <c r="BB116" i="155"/>
  <c r="M51" i="155"/>
  <c r="M116" i="155" s="1"/>
  <c r="AS122" i="154"/>
  <c r="AS59" i="154"/>
  <c r="AS124" i="154" s="1"/>
  <c r="AX122" i="154"/>
  <c r="AX59" i="154"/>
  <c r="AX124" i="154" s="1"/>
  <c r="AU113" i="153"/>
  <c r="AU52" i="153"/>
  <c r="AU117" i="153" s="1"/>
  <c r="BB115" i="154"/>
  <c r="M50" i="154"/>
  <c r="M115" i="154" s="1"/>
  <c r="BA122" i="153"/>
  <c r="BA59" i="153"/>
  <c r="BA124" i="153" s="1"/>
  <c r="AP122" i="153"/>
  <c r="L57" i="153"/>
  <c r="L122" i="153" s="1"/>
  <c r="AP59" i="153"/>
  <c r="AS113" i="153"/>
  <c r="AS52" i="153"/>
  <c r="AS117" i="153" s="1"/>
  <c r="AS122" i="155"/>
  <c r="AS59" i="155"/>
  <c r="AS124" i="155" s="1"/>
  <c r="AQ122" i="155"/>
  <c r="AQ59" i="155"/>
  <c r="AQ124" i="155" s="1"/>
  <c r="AT113" i="155"/>
  <c r="AT52" i="155"/>
  <c r="AT117" i="155" s="1"/>
  <c r="AY122" i="154"/>
  <c r="AY59" i="154"/>
  <c r="AY124" i="154" s="1"/>
  <c r="AW113" i="154"/>
  <c r="AW52" i="154"/>
  <c r="AW117" i="154" s="1"/>
  <c r="AD124" i="155"/>
  <c r="K59" i="155"/>
  <c r="K124" i="155" s="1"/>
  <c r="AU122" i="153"/>
  <c r="AU59" i="153"/>
  <c r="AU124" i="153" s="1"/>
  <c r="AR122" i="154"/>
  <c r="AR59" i="154"/>
  <c r="AR124" i="154" s="1"/>
  <c r="AS113" i="155"/>
  <c r="AS52" i="155"/>
  <c r="AS117" i="155" s="1"/>
  <c r="AW113" i="155"/>
  <c r="AW52" i="155"/>
  <c r="AW117" i="155" s="1"/>
  <c r="L68" i="155"/>
  <c r="L133" i="155" s="1"/>
  <c r="AP133" i="155"/>
  <c r="AR113" i="155"/>
  <c r="AR52" i="155"/>
  <c r="AR117" i="155" s="1"/>
  <c r="AS122" i="153"/>
  <c r="AS59" i="153"/>
  <c r="AS124" i="153" s="1"/>
  <c r="AP113" i="153"/>
  <c r="AP52" i="153"/>
  <c r="L48" i="153"/>
  <c r="L113" i="153" s="1"/>
  <c r="AU59" i="154"/>
  <c r="AU124" i="154" s="1"/>
  <c r="AU122" i="154"/>
  <c r="AW122" i="155"/>
  <c r="AW59" i="155"/>
  <c r="AW124" i="155" s="1"/>
  <c r="AT113" i="153"/>
  <c r="AT52" i="153"/>
  <c r="AT117" i="153" s="1"/>
  <c r="BA59" i="154"/>
  <c r="BA124" i="154" s="1"/>
  <c r="BA122" i="154"/>
  <c r="AR122" i="153"/>
  <c r="AR59" i="153"/>
  <c r="AR124" i="153" s="1"/>
  <c r="AV122" i="153"/>
  <c r="AV59" i="153"/>
  <c r="AV124" i="153" s="1"/>
  <c r="AT122" i="153"/>
  <c r="AT59" i="153"/>
  <c r="AT124" i="153" s="1"/>
  <c r="AY122" i="155"/>
  <c r="AY59" i="155"/>
  <c r="AY124" i="155" s="1"/>
  <c r="AZ113" i="155"/>
  <c r="AZ52" i="155"/>
  <c r="AZ117" i="155" s="1"/>
  <c r="BB116" i="153"/>
  <c r="M51" i="153"/>
  <c r="M116" i="153" s="1"/>
  <c r="Y555" i="153"/>
  <c r="Y556" i="153" s="1"/>
  <c r="Y552" i="153"/>
  <c r="AB555" i="153"/>
  <c r="AB556" i="153" s="1"/>
  <c r="AB552" i="153"/>
  <c r="Z555" i="153"/>
  <c r="Z556" i="153" s="1"/>
  <c r="Z552" i="153"/>
  <c r="V555" i="153"/>
  <c r="V556" i="153" s="1"/>
  <c r="V552" i="153"/>
  <c r="T555" i="153"/>
  <c r="T556" i="153" s="1"/>
  <c r="T552" i="153"/>
  <c r="U555" i="153"/>
  <c r="U556" i="153" s="1"/>
  <c r="U552" i="153"/>
  <c r="J555" i="153"/>
  <c r="J556" i="153" s="1"/>
  <c r="J552" i="153"/>
  <c r="W555" i="153"/>
  <c r="W556" i="153" s="1"/>
  <c r="W552" i="153"/>
  <c r="I71" i="103"/>
  <c r="I72" i="103" s="1"/>
  <c r="R559" i="99" a="1"/>
  <c r="R559" i="99" s="1"/>
  <c r="R623" i="99" s="1"/>
  <c r="R555" i="99"/>
  <c r="J556" i="154"/>
  <c r="R608" i="99"/>
  <c r="N40" i="105"/>
  <c r="N54" i="105"/>
  <c r="N113" i="105" s="1"/>
  <c r="N587" i="99"/>
  <c r="P587" i="99" s="1"/>
  <c r="P523" i="99"/>
  <c r="P525" i="99"/>
  <c r="N589" i="99"/>
  <c r="P589" i="99" s="1"/>
  <c r="M588" i="99"/>
  <c r="N585" i="99"/>
  <c r="P585" i="99" s="1"/>
  <c r="P521" i="99"/>
  <c r="L590" i="99"/>
  <c r="L591" i="99" s="1"/>
  <c r="T527" i="99"/>
  <c r="R591" i="99"/>
  <c r="R224" i="99"/>
  <c r="S224" i="99"/>
  <c r="S591" i="99"/>
  <c r="N586" i="99"/>
  <c r="P586" i="99" s="1"/>
  <c r="P522" i="99"/>
  <c r="T593" i="99"/>
  <c r="T594" i="99" s="1"/>
  <c r="T530" i="99"/>
  <c r="T544" i="99"/>
  <c r="T591" i="99"/>
  <c r="T224" i="99"/>
  <c r="AP431" i="154"/>
  <c r="BL431" i="154"/>
  <c r="AQ431" i="154"/>
  <c r="BM431" i="154"/>
  <c r="AR431" i="154"/>
  <c r="BN431" i="154"/>
  <c r="V431" i="154"/>
  <c r="AS431" i="154"/>
  <c r="BO431" i="154"/>
  <c r="R431" i="154"/>
  <c r="AT431" i="154"/>
  <c r="BP431" i="154"/>
  <c r="S431" i="154"/>
  <c r="AA431" i="154"/>
  <c r="AU431" i="154"/>
  <c r="BQ431" i="154"/>
  <c r="AV431" i="154"/>
  <c r="BR431" i="154"/>
  <c r="U431" i="154"/>
  <c r="AW431" i="154"/>
  <c r="BS431" i="154"/>
  <c r="X431" i="154"/>
  <c r="AC431" i="154"/>
  <c r="AX431" i="154"/>
  <c r="BT431" i="154"/>
  <c r="W431" i="154"/>
  <c r="AY431" i="154"/>
  <c r="BU431" i="154"/>
  <c r="AZ431" i="154"/>
  <c r="BV431" i="154"/>
  <c r="Y431" i="154"/>
  <c r="BA431" i="154"/>
  <c r="BW431" i="154"/>
  <c r="Z431" i="154"/>
  <c r="AF431" i="154"/>
  <c r="BB431" i="154"/>
  <c r="BX431" i="154"/>
  <c r="AG431" i="154"/>
  <c r="BC431" i="154"/>
  <c r="BY431" i="154"/>
  <c r="AB431" i="154"/>
  <c r="AH431" i="154"/>
  <c r="BD431" i="154"/>
  <c r="AI431" i="154"/>
  <c r="BE431" i="154"/>
  <c r="AD431" i="154"/>
  <c r="AJ431" i="154"/>
  <c r="BF431" i="154"/>
  <c r="AE431" i="154"/>
  <c r="AK431" i="154"/>
  <c r="BG431" i="154"/>
  <c r="AL431" i="154"/>
  <c r="BH431" i="154"/>
  <c r="AM431" i="154"/>
  <c r="BI431" i="154"/>
  <c r="AN431" i="154"/>
  <c r="BJ431" i="154"/>
  <c r="AO431" i="154"/>
  <c r="BK431" i="154"/>
  <c r="T431" i="154"/>
  <c r="W155" i="99"/>
  <c r="AI530" i="155"/>
  <c r="Y618" i="99"/>
  <c r="Y64" i="99"/>
  <c r="AM593" i="153"/>
  <c r="AM594" i="153" s="1"/>
  <c r="AM530" i="153"/>
  <c r="AC551" i="155"/>
  <c r="AJ582" i="154"/>
  <c r="AS170" i="104"/>
  <c r="AI544" i="155"/>
  <c r="AI608" i="155" s="1"/>
  <c r="AY170" i="104"/>
  <c r="BC170" i="104"/>
  <c r="AJ170" i="104"/>
  <c r="BA170" i="104"/>
  <c r="AB170" i="104"/>
  <c r="BK597" i="155"/>
  <c r="BK535" i="155"/>
  <c r="BK599" i="155" s="1"/>
  <c r="BJ597" i="155"/>
  <c r="BJ535" i="155"/>
  <c r="BJ599" i="155" s="1"/>
  <c r="BI597" i="155"/>
  <c r="BI535" i="155"/>
  <c r="BI599" i="155" s="1"/>
  <c r="BH535" i="155"/>
  <c r="BH599" i="155" s="1"/>
  <c r="BH597" i="155"/>
  <c r="BG535" i="155"/>
  <c r="BG599" i="155" s="1"/>
  <c r="BG597" i="155"/>
  <c r="BF597" i="155"/>
  <c r="BF535" i="155"/>
  <c r="BF599" i="155" s="1"/>
  <c r="BD535" i="155"/>
  <c r="BD599" i="155" s="1"/>
  <c r="BD597" i="155"/>
  <c r="BE535" i="155"/>
  <c r="BE599" i="155" s="1"/>
  <c r="BE597" i="155"/>
  <c r="BC597" i="155"/>
  <c r="BC535" i="155"/>
  <c r="BC599" i="155" s="1"/>
  <c r="BB535" i="155"/>
  <c r="BB599" i="155" s="1"/>
  <c r="BB597" i="155"/>
  <c r="N597" i="155"/>
  <c r="P597" i="155" s="1"/>
  <c r="N535" i="155"/>
  <c r="P533" i="155"/>
  <c r="BN533" i="155"/>
  <c r="BO533" i="155"/>
  <c r="BP533" i="155"/>
  <c r="BQ533" i="155"/>
  <c r="BR533" i="155"/>
  <c r="BS533" i="155"/>
  <c r="BT533" i="155"/>
  <c r="BU533" i="155"/>
  <c r="BV533" i="155"/>
  <c r="BW533" i="155"/>
  <c r="BX533" i="155"/>
  <c r="BY533" i="155"/>
  <c r="BM535" i="155"/>
  <c r="BM599" i="155" s="1"/>
  <c r="BM597" i="155"/>
  <c r="BL597" i="155"/>
  <c r="BL535" i="155"/>
  <c r="BL599" i="155" s="1"/>
  <c r="AJ223" i="153"/>
  <c r="AJ544" i="154"/>
  <c r="AJ608" i="154" s="1"/>
  <c r="AJ593" i="154"/>
  <c r="AJ594" i="154" s="1"/>
  <c r="AK223" i="153"/>
  <c r="AW170" i="104"/>
  <c r="AX170" i="104"/>
  <c r="R170" i="104"/>
  <c r="BL170" i="104"/>
  <c r="AE170" i="104"/>
  <c r="BX170" i="104"/>
  <c r="BJ170" i="104"/>
  <c r="T170" i="104"/>
  <c r="AI170" i="104"/>
  <c r="Z170" i="104"/>
  <c r="BG170" i="104"/>
  <c r="AT170" i="104"/>
  <c r="BI170" i="104"/>
  <c r="W170" i="104"/>
  <c r="AF170" i="104"/>
  <c r="BM170" i="104"/>
  <c r="BB170" i="104"/>
  <c r="Y170" i="104"/>
  <c r="AA170" i="104"/>
  <c r="AR170" i="104"/>
  <c r="AQ170" i="104"/>
  <c r="S170" i="104"/>
  <c r="BH170" i="104"/>
  <c r="BT170" i="104"/>
  <c r="AH170" i="104"/>
  <c r="U170" i="104"/>
  <c r="AG170" i="104"/>
  <c r="BV170" i="104"/>
  <c r="BW170" i="104"/>
  <c r="AP170" i="104"/>
  <c r="AL170" i="104"/>
  <c r="X170" i="104"/>
  <c r="AU170" i="104"/>
  <c r="AM170" i="104"/>
  <c r="BO170" i="104"/>
  <c r="AO170" i="104"/>
  <c r="V170" i="104"/>
  <c r="BP170" i="104"/>
  <c r="BY170" i="104"/>
  <c r="AV170" i="104"/>
  <c r="AZ170" i="104"/>
  <c r="BF170" i="104"/>
  <c r="BN170" i="104"/>
  <c r="BS170" i="104"/>
  <c r="BK170" i="104"/>
  <c r="BE170" i="104"/>
  <c r="BU170" i="104"/>
  <c r="AC170" i="104"/>
  <c r="BR170" i="104"/>
  <c r="AN170" i="104"/>
  <c r="AK170" i="104"/>
  <c r="AD170" i="104"/>
  <c r="BQ170" i="104"/>
  <c r="AP529" i="155"/>
  <c r="AP530" i="155" s="1"/>
  <c r="AQ529" i="155"/>
  <c r="AQ544" i="155" s="1"/>
  <c r="AQ518" i="155"/>
  <c r="AP518" i="155"/>
  <c r="BJ445" i="155"/>
  <c r="BJ68" i="155" s="1"/>
  <c r="BJ133" i="155" s="1"/>
  <c r="BF445" i="153"/>
  <c r="BF68" i="153" s="1"/>
  <c r="BF133" i="153" s="1"/>
  <c r="BC445" i="155"/>
  <c r="BC68" i="155" s="1"/>
  <c r="BC133" i="155" s="1"/>
  <c r="N618" i="153"/>
  <c r="P618" i="153" s="1"/>
  <c r="AM223" i="154"/>
  <c r="BD597" i="154"/>
  <c r="BD535" i="154"/>
  <c r="BD599" i="154" s="1"/>
  <c r="BM445" i="154"/>
  <c r="BM68" i="154" s="1"/>
  <c r="BM133" i="154" s="1"/>
  <c r="BU440" i="154"/>
  <c r="BU442" i="154"/>
  <c r="BU443" i="154"/>
  <c r="BU439" i="154"/>
  <c r="BU444" i="154"/>
  <c r="BU441" i="154"/>
  <c r="BJ445" i="154"/>
  <c r="BJ68" i="154" s="1"/>
  <c r="BJ133" i="154" s="1"/>
  <c r="BV442" i="153"/>
  <c r="BV439" i="153"/>
  <c r="BV441" i="153"/>
  <c r="BV443" i="153"/>
  <c r="BV440" i="153"/>
  <c r="BV444" i="153"/>
  <c r="BX439" i="155"/>
  <c r="BX443" i="155"/>
  <c r="BX442" i="155"/>
  <c r="BX444" i="155"/>
  <c r="BX441" i="155"/>
  <c r="BX440" i="155"/>
  <c r="BT441" i="154"/>
  <c r="BT444" i="154"/>
  <c r="BT443" i="154"/>
  <c r="BT440" i="154"/>
  <c r="BT442" i="154"/>
  <c r="BT439" i="154"/>
  <c r="BU443" i="153"/>
  <c r="BU439" i="153"/>
  <c r="BU441" i="153"/>
  <c r="BU444" i="153"/>
  <c r="BU440" i="153"/>
  <c r="BU442" i="153"/>
  <c r="BC597" i="154"/>
  <c r="BC535" i="154"/>
  <c r="BC599" i="154" s="1"/>
  <c r="BV439" i="155"/>
  <c r="BV443" i="155"/>
  <c r="BV440" i="155"/>
  <c r="BV444" i="155"/>
  <c r="BV442" i="155"/>
  <c r="BV441" i="155"/>
  <c r="BS439" i="154"/>
  <c r="BS443" i="154"/>
  <c r="BS444" i="154"/>
  <c r="BS441" i="154"/>
  <c r="BS440" i="154"/>
  <c r="BS442" i="154"/>
  <c r="BT441" i="153"/>
  <c r="BT439" i="153"/>
  <c r="BT443" i="153"/>
  <c r="BT440" i="153"/>
  <c r="BT442" i="153"/>
  <c r="BT444" i="153"/>
  <c r="BB535" i="154"/>
  <c r="BB599" i="154" s="1"/>
  <c r="BB597" i="154"/>
  <c r="BL445" i="155"/>
  <c r="BL68" i="155" s="1"/>
  <c r="BL133" i="155" s="1"/>
  <c r="BU440" i="155"/>
  <c r="BU442" i="155"/>
  <c r="BU441" i="155"/>
  <c r="BU439" i="155"/>
  <c r="BU444" i="155"/>
  <c r="BU443" i="155"/>
  <c r="BG597" i="153"/>
  <c r="BG535" i="153"/>
  <c r="BG599" i="153" s="1"/>
  <c r="BD445" i="154"/>
  <c r="BD68" i="154" s="1"/>
  <c r="BD133" i="154" s="1"/>
  <c r="BR444" i="154"/>
  <c r="BR441" i="154"/>
  <c r="BR440" i="154"/>
  <c r="BR442" i="154"/>
  <c r="BR439" i="154"/>
  <c r="BR443" i="154"/>
  <c r="BR442" i="153"/>
  <c r="BR440" i="153"/>
  <c r="BR443" i="153"/>
  <c r="BR444" i="153"/>
  <c r="BR439" i="153"/>
  <c r="BR441" i="153"/>
  <c r="BM445" i="155"/>
  <c r="BM68" i="155" s="1"/>
  <c r="BM133" i="155" s="1"/>
  <c r="BT439" i="155"/>
  <c r="BT442" i="155"/>
  <c r="BT443" i="155"/>
  <c r="BT444" i="155"/>
  <c r="BT441" i="155"/>
  <c r="BT440" i="155"/>
  <c r="BF535" i="153"/>
  <c r="BF599" i="153" s="1"/>
  <c r="BF597" i="153"/>
  <c r="BE445" i="153"/>
  <c r="BE68" i="153" s="1"/>
  <c r="BE133" i="153" s="1"/>
  <c r="BN441" i="154"/>
  <c r="BN439" i="154"/>
  <c r="BN444" i="154"/>
  <c r="BN443" i="154"/>
  <c r="BN442" i="154"/>
  <c r="BN440" i="154"/>
  <c r="BQ439" i="153"/>
  <c r="BQ444" i="153"/>
  <c r="BQ443" i="153"/>
  <c r="BQ442" i="153"/>
  <c r="BQ441" i="153"/>
  <c r="BQ440" i="153"/>
  <c r="BG445" i="155"/>
  <c r="BG68" i="155" s="1"/>
  <c r="BG133" i="155" s="1"/>
  <c r="BR440" i="155"/>
  <c r="BR443" i="155"/>
  <c r="BR444" i="155"/>
  <c r="BR439" i="155"/>
  <c r="BR442" i="155"/>
  <c r="BR441" i="155"/>
  <c r="BH535" i="153"/>
  <c r="BH599" i="153" s="1"/>
  <c r="BH597" i="153"/>
  <c r="BP439" i="153"/>
  <c r="BP444" i="153"/>
  <c r="BP442" i="153"/>
  <c r="BP443" i="153"/>
  <c r="BP441" i="153"/>
  <c r="BP440" i="153"/>
  <c r="BF445" i="155"/>
  <c r="BF68" i="155" s="1"/>
  <c r="BF133" i="155" s="1"/>
  <c r="BI445" i="153"/>
  <c r="BI68" i="153" s="1"/>
  <c r="BI133" i="153" s="1"/>
  <c r="BQ439" i="155"/>
  <c r="BQ443" i="155"/>
  <c r="BQ440" i="155"/>
  <c r="BQ442" i="155"/>
  <c r="BQ441" i="155"/>
  <c r="BQ444" i="155"/>
  <c r="BE597" i="153"/>
  <c r="BE535" i="153"/>
  <c r="BE599" i="153" s="1"/>
  <c r="BV444" i="154"/>
  <c r="BV443" i="154"/>
  <c r="BV442" i="154"/>
  <c r="BV439" i="154"/>
  <c r="BV441" i="154"/>
  <c r="BV440" i="154"/>
  <c r="BO440" i="153"/>
  <c r="BO439" i="153"/>
  <c r="BO443" i="153"/>
  <c r="BO441" i="153"/>
  <c r="BO442" i="153"/>
  <c r="BO444" i="153"/>
  <c r="BC445" i="153"/>
  <c r="BC68" i="153" s="1"/>
  <c r="BC133" i="153" s="1"/>
  <c r="BP443" i="155"/>
  <c r="BP442" i="155"/>
  <c r="BP441" i="155"/>
  <c r="BP439" i="155"/>
  <c r="BP444" i="155"/>
  <c r="BP440" i="155"/>
  <c r="BC597" i="153"/>
  <c r="BC535" i="153"/>
  <c r="BC599" i="153" s="1"/>
  <c r="BD445" i="153"/>
  <c r="BD68" i="153" s="1"/>
  <c r="BD133" i="153" s="1"/>
  <c r="BI445" i="154"/>
  <c r="BI68" i="154" s="1"/>
  <c r="BI133" i="154" s="1"/>
  <c r="BJ445" i="153"/>
  <c r="BJ68" i="153" s="1"/>
  <c r="BJ133" i="153" s="1"/>
  <c r="BM445" i="153"/>
  <c r="BM68" i="153" s="1"/>
  <c r="BM133" i="153" s="1"/>
  <c r="BK445" i="154"/>
  <c r="BK68" i="154" s="1"/>
  <c r="BK133" i="154" s="1"/>
  <c r="BO442" i="155"/>
  <c r="BO441" i="155"/>
  <c r="BO440" i="155"/>
  <c r="BO439" i="155"/>
  <c r="BO443" i="155"/>
  <c r="BO444" i="155"/>
  <c r="BH445" i="155"/>
  <c r="BH68" i="155" s="1"/>
  <c r="BH133" i="155" s="1"/>
  <c r="BD597" i="153"/>
  <c r="BD535" i="153"/>
  <c r="BD599" i="153" s="1"/>
  <c r="BN444" i="153"/>
  <c r="BN440" i="153"/>
  <c r="BN443" i="153"/>
  <c r="BN442" i="153"/>
  <c r="BN439" i="153"/>
  <c r="BN441" i="153"/>
  <c r="BB597" i="153"/>
  <c r="BB535" i="153"/>
  <c r="BB599" i="153" s="1"/>
  <c r="P533" i="154"/>
  <c r="N597" i="154"/>
  <c r="P597" i="154" s="1"/>
  <c r="BN533" i="154"/>
  <c r="BO533" i="154"/>
  <c r="BP533" i="154"/>
  <c r="BR533" i="154"/>
  <c r="BQ533" i="154"/>
  <c r="BS533" i="154"/>
  <c r="BT533" i="154"/>
  <c r="BU533" i="154"/>
  <c r="BV533" i="154"/>
  <c r="BW533" i="154"/>
  <c r="BY533" i="154"/>
  <c r="BX533" i="154"/>
  <c r="N535" i="154"/>
  <c r="BI445" i="155"/>
  <c r="BI68" i="155" s="1"/>
  <c r="BI133" i="155" s="1"/>
  <c r="BY442" i="153"/>
  <c r="BY439" i="153"/>
  <c r="BY443" i="153"/>
  <c r="BY441" i="153"/>
  <c r="BY440" i="153"/>
  <c r="BY444" i="153"/>
  <c r="BM597" i="154"/>
  <c r="BM535" i="154"/>
  <c r="BM599" i="154" s="1"/>
  <c r="BY439" i="155"/>
  <c r="BY443" i="155"/>
  <c r="BY442" i="155"/>
  <c r="BY440" i="155"/>
  <c r="BY444" i="155"/>
  <c r="BY441" i="155"/>
  <c r="N535" i="153"/>
  <c r="N597" i="153"/>
  <c r="P597" i="153" s="1"/>
  <c r="BN533" i="153"/>
  <c r="BO533" i="153"/>
  <c r="BQ533" i="153"/>
  <c r="BP533" i="153"/>
  <c r="BR533" i="153"/>
  <c r="BT533" i="153"/>
  <c r="BS533" i="153"/>
  <c r="BU533" i="153"/>
  <c r="BX533" i="153"/>
  <c r="BV533" i="153"/>
  <c r="BW533" i="153"/>
  <c r="BY533" i="153"/>
  <c r="P533" i="153"/>
  <c r="BC445" i="154"/>
  <c r="BC68" i="154" s="1"/>
  <c r="BC133" i="154" s="1"/>
  <c r="BE445" i="154"/>
  <c r="BE68" i="154" s="1"/>
  <c r="BE133" i="154" s="1"/>
  <c r="BG445" i="153"/>
  <c r="BG68" i="153" s="1"/>
  <c r="BG133" i="153" s="1"/>
  <c r="BX439" i="153"/>
  <c r="BX443" i="153"/>
  <c r="BX444" i="153"/>
  <c r="BX440" i="153"/>
  <c r="BX441" i="153"/>
  <c r="BX442" i="153"/>
  <c r="BJ597" i="154"/>
  <c r="BJ535" i="154"/>
  <c r="BJ599" i="154" s="1"/>
  <c r="BW442" i="155"/>
  <c r="BW441" i="155"/>
  <c r="BW443" i="155"/>
  <c r="BW439" i="155"/>
  <c r="BW444" i="155"/>
  <c r="BW440" i="155"/>
  <c r="BH445" i="154"/>
  <c r="BH68" i="154" s="1"/>
  <c r="BH133" i="154" s="1"/>
  <c r="BS443" i="153"/>
  <c r="BS442" i="153"/>
  <c r="BS441" i="153"/>
  <c r="BS439" i="153"/>
  <c r="BS444" i="153"/>
  <c r="BS440" i="153"/>
  <c r="BI535" i="154"/>
  <c r="BI599" i="154" s="1"/>
  <c r="BI597" i="154"/>
  <c r="BK445" i="153"/>
  <c r="BK68" i="153" s="1"/>
  <c r="BK133" i="153" s="1"/>
  <c r="BS440" i="155"/>
  <c r="BS442" i="155"/>
  <c r="BS441" i="155"/>
  <c r="BS444" i="155"/>
  <c r="BS439" i="155"/>
  <c r="BS443" i="155"/>
  <c r="BM535" i="153"/>
  <c r="BM599" i="153" s="1"/>
  <c r="BM597" i="153"/>
  <c r="BG445" i="154"/>
  <c r="BG68" i="154" s="1"/>
  <c r="BG133" i="154" s="1"/>
  <c r="BQ440" i="154"/>
  <c r="BQ439" i="154"/>
  <c r="BQ443" i="154"/>
  <c r="BQ444" i="154"/>
  <c r="BQ442" i="154"/>
  <c r="BQ441" i="154"/>
  <c r="BK535" i="154"/>
  <c r="BK599" i="154" s="1"/>
  <c r="BK597" i="154"/>
  <c r="BL445" i="153"/>
  <c r="BL68" i="153" s="1"/>
  <c r="BL133" i="153" s="1"/>
  <c r="BN441" i="155"/>
  <c r="BN439" i="155"/>
  <c r="BN440" i="155"/>
  <c r="BN444" i="155"/>
  <c r="BN442" i="155"/>
  <c r="BN443" i="155"/>
  <c r="BK597" i="153"/>
  <c r="BK535" i="153"/>
  <c r="BK599" i="153" s="1"/>
  <c r="BP443" i="154"/>
  <c r="BP439" i="154"/>
  <c r="BP440" i="154"/>
  <c r="BP444" i="154"/>
  <c r="BP441" i="154"/>
  <c r="BP442" i="154"/>
  <c r="BL445" i="154"/>
  <c r="BL68" i="154" s="1"/>
  <c r="BL133" i="154" s="1"/>
  <c r="BK445" i="155"/>
  <c r="BK68" i="155" s="1"/>
  <c r="BK133" i="155" s="1"/>
  <c r="BH597" i="154"/>
  <c r="BH535" i="154"/>
  <c r="BH599" i="154" s="1"/>
  <c r="BL535" i="153"/>
  <c r="BL599" i="153" s="1"/>
  <c r="BL597" i="153"/>
  <c r="BO443" i="154"/>
  <c r="BO442" i="154"/>
  <c r="BO441" i="154"/>
  <c r="BO439" i="154"/>
  <c r="BO444" i="154"/>
  <c r="BO440" i="154"/>
  <c r="BL535" i="154"/>
  <c r="BL599" i="154" s="1"/>
  <c r="BL597" i="154"/>
  <c r="BB445" i="154"/>
  <c r="BB68" i="154" s="1"/>
  <c r="BJ535" i="153"/>
  <c r="BJ599" i="153" s="1"/>
  <c r="BJ597" i="153"/>
  <c r="BF445" i="154"/>
  <c r="BF68" i="154" s="1"/>
  <c r="BF133" i="154" s="1"/>
  <c r="BE445" i="155"/>
  <c r="BE68" i="155" s="1"/>
  <c r="BE133" i="155" s="1"/>
  <c r="BF597" i="154"/>
  <c r="BF535" i="154"/>
  <c r="BF599" i="154" s="1"/>
  <c r="BI597" i="153"/>
  <c r="BI535" i="153"/>
  <c r="BI599" i="153" s="1"/>
  <c r="BY444" i="154"/>
  <c r="BY439" i="154"/>
  <c r="BY442" i="154"/>
  <c r="BY440" i="154"/>
  <c r="BY443" i="154"/>
  <c r="BY441" i="154"/>
  <c r="BH445" i="153"/>
  <c r="BH68" i="153" s="1"/>
  <c r="BH133" i="153" s="1"/>
  <c r="BG597" i="154"/>
  <c r="BG535" i="154"/>
  <c r="BG599" i="154" s="1"/>
  <c r="BD445" i="155"/>
  <c r="BD68" i="155" s="1"/>
  <c r="BD133" i="155" s="1"/>
  <c r="BX443" i="154"/>
  <c r="BX440" i="154"/>
  <c r="BX444" i="154"/>
  <c r="BX441" i="154"/>
  <c r="BX439" i="154"/>
  <c r="BX442" i="154"/>
  <c r="BB445" i="155"/>
  <c r="BB68" i="155" s="1"/>
  <c r="BE597" i="154"/>
  <c r="BE535" i="154"/>
  <c r="BE599" i="154" s="1"/>
  <c r="BB445" i="153"/>
  <c r="BB68" i="153" s="1"/>
  <c r="BW440" i="154"/>
  <c r="BW443" i="154"/>
  <c r="BW444" i="154"/>
  <c r="BW439" i="154"/>
  <c r="BW442" i="154"/>
  <c r="BW441" i="154"/>
  <c r="BW444" i="153"/>
  <c r="BW442" i="153"/>
  <c r="BW443" i="153"/>
  <c r="BW440" i="153"/>
  <c r="BW439" i="153"/>
  <c r="BW441" i="153"/>
  <c r="BJ517" i="153"/>
  <c r="BJ518" i="153" s="1"/>
  <c r="BS230" i="155"/>
  <c r="BE517" i="155"/>
  <c r="BE581" i="155" s="1"/>
  <c r="BY230" i="155"/>
  <c r="BY229" i="153"/>
  <c r="BW230" i="155"/>
  <c r="BV230" i="155"/>
  <c r="BU230" i="155"/>
  <c r="BV229" i="153"/>
  <c r="BV515" i="155"/>
  <c r="BV517" i="155" s="1"/>
  <c r="BY515" i="155"/>
  <c r="BY517" i="155" s="1"/>
  <c r="BN229" i="153"/>
  <c r="P554" i="154"/>
  <c r="N618" i="154"/>
  <c r="P618" i="154" s="1"/>
  <c r="BQ515" i="155"/>
  <c r="BQ517" i="155" s="1"/>
  <c r="N618" i="155"/>
  <c r="P618" i="155" s="1"/>
  <c r="P554" i="155"/>
  <c r="BP229" i="153"/>
  <c r="BY515" i="153"/>
  <c r="BY517" i="153" s="1"/>
  <c r="BS515" i="155"/>
  <c r="BS579" i="155" s="1"/>
  <c r="BX515" i="153"/>
  <c r="BX517" i="153" s="1"/>
  <c r="BT229" i="153"/>
  <c r="BX230" i="155"/>
  <c r="BX515" i="155"/>
  <c r="BX579" i="155" s="1"/>
  <c r="BO515" i="155"/>
  <c r="BO517" i="155" s="1"/>
  <c r="BO229" i="153"/>
  <c r="BR515" i="155"/>
  <c r="BR579" i="155" s="1"/>
  <c r="BN230" i="155"/>
  <c r="BP228" i="154"/>
  <c r="BX229" i="153"/>
  <c r="BT515" i="155"/>
  <c r="BT579" i="155" s="1"/>
  <c r="BV515" i="154"/>
  <c r="BV517" i="154" s="1"/>
  <c r="BW515" i="153"/>
  <c r="BW579" i="153" s="1"/>
  <c r="BR230" i="155"/>
  <c r="BU515" i="155"/>
  <c r="BU579" i="155" s="1"/>
  <c r="BQ230" i="155"/>
  <c r="BT230" i="155"/>
  <c r="BP230" i="155"/>
  <c r="BP515" i="155"/>
  <c r="BP517" i="155" s="1"/>
  <c r="BO230" i="155"/>
  <c r="BY228" i="154"/>
  <c r="BX228" i="154"/>
  <c r="BW228" i="154"/>
  <c r="BO380" i="154"/>
  <c r="BO50" i="154" s="1"/>
  <c r="BO115" i="154" s="1"/>
  <c r="BW229" i="153"/>
  <c r="BI400" i="153"/>
  <c r="BI57" i="153" s="1"/>
  <c r="BW515" i="155"/>
  <c r="BW517" i="155" s="1"/>
  <c r="BP380" i="154"/>
  <c r="BP50" i="154" s="1"/>
  <c r="BP115" i="154" s="1"/>
  <c r="BO388" i="155"/>
  <c r="BO51" i="155" s="1"/>
  <c r="BO116" i="155" s="1"/>
  <c r="BN380" i="154"/>
  <c r="BN50" i="154" s="1"/>
  <c r="BR372" i="155"/>
  <c r="BR49" i="155" s="1"/>
  <c r="BR114" i="155" s="1"/>
  <c r="BQ230" i="153"/>
  <c r="BN228" i="154"/>
  <c r="BP380" i="153"/>
  <c r="BP50" i="153" s="1"/>
  <c r="BP115" i="153" s="1"/>
  <c r="BC364" i="155"/>
  <c r="BC48" i="155" s="1"/>
  <c r="BO372" i="153"/>
  <c r="BO49" i="153" s="1"/>
  <c r="BO114" i="153" s="1"/>
  <c r="BW380" i="155"/>
  <c r="BW50" i="155" s="1"/>
  <c r="BW115" i="155" s="1"/>
  <c r="BI400" i="154"/>
  <c r="BI57" i="154" s="1"/>
  <c r="BS515" i="154"/>
  <c r="BS579" i="154" s="1"/>
  <c r="BK364" i="154"/>
  <c r="BK48" i="154" s="1"/>
  <c r="BN388" i="154"/>
  <c r="BN51" i="154" s="1"/>
  <c r="BX408" i="153"/>
  <c r="BX58" i="153" s="1"/>
  <c r="BX123" i="153" s="1"/>
  <c r="BV372" i="155"/>
  <c r="BV49" i="155" s="1"/>
  <c r="BV114" i="155" s="1"/>
  <c r="BC400" i="153"/>
  <c r="BC57" i="153" s="1"/>
  <c r="BO352" i="154"/>
  <c r="BO44" i="154" s="1"/>
  <c r="BO109" i="154" s="1"/>
  <c r="BW352" i="153"/>
  <c r="BW44" i="153" s="1"/>
  <c r="BW109" i="153" s="1"/>
  <c r="BJ364" i="153"/>
  <c r="BJ48" i="153" s="1"/>
  <c r="BT230" i="154"/>
  <c r="BW388" i="155"/>
  <c r="BW51" i="155" s="1"/>
  <c r="BW116" i="155" s="1"/>
  <c r="BH400" i="155"/>
  <c r="BH57" i="155" s="1"/>
  <c r="BX352" i="155"/>
  <c r="BX44" i="155" s="1"/>
  <c r="BX109" i="155" s="1"/>
  <c r="BP408" i="154"/>
  <c r="BP58" i="154" s="1"/>
  <c r="BP123" i="154" s="1"/>
  <c r="BY388" i="155"/>
  <c r="BY51" i="155" s="1"/>
  <c r="BY116" i="155" s="1"/>
  <c r="BV229" i="154"/>
  <c r="BU408" i="154"/>
  <c r="BU58" i="154" s="1"/>
  <c r="BU123" i="154" s="1"/>
  <c r="BU388" i="154"/>
  <c r="BU51" i="154" s="1"/>
  <c r="BU116" i="154" s="1"/>
  <c r="BV388" i="155"/>
  <c r="BV51" i="155" s="1"/>
  <c r="BV116" i="155" s="1"/>
  <c r="BU229" i="154"/>
  <c r="BU380" i="155"/>
  <c r="BU50" i="155" s="1"/>
  <c r="BU115" i="155" s="1"/>
  <c r="BQ388" i="155"/>
  <c r="BQ51" i="155" s="1"/>
  <c r="BQ116" i="155" s="1"/>
  <c r="BS229" i="154"/>
  <c r="BG364" i="153"/>
  <c r="BG48" i="153" s="1"/>
  <c r="BR229" i="154"/>
  <c r="BF364" i="153"/>
  <c r="BF48" i="153" s="1"/>
  <c r="BQ229" i="154"/>
  <c r="BQ352" i="155"/>
  <c r="BQ44" i="155" s="1"/>
  <c r="BQ109" i="155" s="1"/>
  <c r="BR515" i="154"/>
  <c r="BR579" i="154" s="1"/>
  <c r="BW408" i="153"/>
  <c r="BW58" i="153" s="1"/>
  <c r="BW123" i="153" s="1"/>
  <c r="BU372" i="155"/>
  <c r="BU49" i="155" s="1"/>
  <c r="BU114" i="155" s="1"/>
  <c r="BY408" i="153"/>
  <c r="BY58" i="153" s="1"/>
  <c r="BY123" i="153" s="1"/>
  <c r="BR380" i="154"/>
  <c r="BR50" i="154" s="1"/>
  <c r="BR115" i="154" s="1"/>
  <c r="BS408" i="153"/>
  <c r="BS58" i="153" s="1"/>
  <c r="BS123" i="153" s="1"/>
  <c r="BY408" i="154"/>
  <c r="BY58" i="154" s="1"/>
  <c r="BY123" i="154" s="1"/>
  <c r="BY388" i="154"/>
  <c r="BY51" i="154" s="1"/>
  <c r="BY116" i="154" s="1"/>
  <c r="BL364" i="154"/>
  <c r="BL48" i="154" s="1"/>
  <c r="BU229" i="153"/>
  <c r="BS230" i="153"/>
  <c r="BW515" i="154"/>
  <c r="BW517" i="154" s="1"/>
  <c r="BP408" i="155"/>
  <c r="BP58" i="155" s="1"/>
  <c r="BP123" i="155" s="1"/>
  <c r="BR230" i="153"/>
  <c r="BO228" i="154"/>
  <c r="BT515" i="154"/>
  <c r="BT579" i="154" s="1"/>
  <c r="AR593" i="154"/>
  <c r="AR594" i="154" s="1"/>
  <c r="AR530" i="154"/>
  <c r="AR544" i="154"/>
  <c r="AT593" i="155"/>
  <c r="AT594" i="155" s="1"/>
  <c r="AT530" i="155"/>
  <c r="AT544" i="155"/>
  <c r="AR593" i="153"/>
  <c r="AR594" i="153" s="1"/>
  <c r="AR530" i="153"/>
  <c r="AR544" i="153"/>
  <c r="M530" i="154"/>
  <c r="M593" i="154"/>
  <c r="M594" i="154" s="1"/>
  <c r="M544" i="154"/>
  <c r="M593" i="155"/>
  <c r="M594" i="155" s="1"/>
  <c r="M530" i="155"/>
  <c r="M544" i="155"/>
  <c r="BG590" i="154"/>
  <c r="BO527" i="154"/>
  <c r="BT606" i="155"/>
  <c r="BX380" i="153"/>
  <c r="BX50" i="153" s="1"/>
  <c r="BX115" i="153" s="1"/>
  <c r="AG530" i="155"/>
  <c r="AG593" i="155"/>
  <c r="AG594" i="155" s="1"/>
  <c r="AG544" i="155"/>
  <c r="BG590" i="153"/>
  <c r="BO527" i="153"/>
  <c r="BJ400" i="155"/>
  <c r="BJ57" i="155" s="1"/>
  <c r="BF400" i="154"/>
  <c r="BF57" i="154" s="1"/>
  <c r="AN530" i="154"/>
  <c r="AN593" i="154"/>
  <c r="AN594" i="154" s="1"/>
  <c r="AN544" i="154"/>
  <c r="BV526" i="153"/>
  <c r="BV588" i="153"/>
  <c r="BU359" i="153"/>
  <c r="BU362" i="153"/>
  <c r="BU361" i="153"/>
  <c r="BU360" i="153"/>
  <c r="BU363" i="153"/>
  <c r="BU358" i="153"/>
  <c r="T615" i="155"/>
  <c r="T559" i="155" a="1"/>
  <c r="T559" i="155" s="1"/>
  <c r="T623" i="155" s="1"/>
  <c r="T552" i="155"/>
  <c r="BQ363" i="154"/>
  <c r="BQ360" i="154"/>
  <c r="BQ361" i="154"/>
  <c r="BQ362" i="154"/>
  <c r="BQ358" i="154"/>
  <c r="BQ359" i="154"/>
  <c r="X608" i="153"/>
  <c r="X551" i="153"/>
  <c r="AD223" i="153"/>
  <c r="AD582" i="153"/>
  <c r="BQ588" i="155"/>
  <c r="BQ526" i="155"/>
  <c r="AW591" i="154"/>
  <c r="AW224" i="154"/>
  <c r="BX606" i="154"/>
  <c r="AT224" i="155"/>
  <c r="AT591" i="155"/>
  <c r="AJ608" i="153"/>
  <c r="AJ551" i="153"/>
  <c r="AZ591" i="153"/>
  <c r="AZ224" i="153"/>
  <c r="BP588" i="154"/>
  <c r="BP526" i="154"/>
  <c r="BQ380" i="154"/>
  <c r="BQ50" i="154" s="1"/>
  <c r="BQ115" i="154" s="1"/>
  <c r="BS352" i="155"/>
  <c r="BS44" i="155" s="1"/>
  <c r="BS109" i="155" s="1"/>
  <c r="AX591" i="153"/>
  <c r="AX224" i="153"/>
  <c r="BI590" i="155"/>
  <c r="BQ527" i="155"/>
  <c r="BT363" i="155"/>
  <c r="BT361" i="155"/>
  <c r="BT362" i="155"/>
  <c r="BT358" i="155"/>
  <c r="BT359" i="155"/>
  <c r="BT360" i="155"/>
  <c r="BR588" i="154"/>
  <c r="BR526" i="154"/>
  <c r="BY588" i="155"/>
  <c r="BY526" i="155"/>
  <c r="BS352" i="153"/>
  <c r="BS44" i="153" s="1"/>
  <c r="BS109" i="153" s="1"/>
  <c r="BL517" i="155"/>
  <c r="BL579" i="155"/>
  <c r="BT352" i="153"/>
  <c r="BT44" i="153" s="1"/>
  <c r="BT109" i="153" s="1"/>
  <c r="BA581" i="154"/>
  <c r="BA518" i="154"/>
  <c r="BA529" i="155"/>
  <c r="BA581" i="155"/>
  <c r="BA518" i="155"/>
  <c r="BF400" i="155"/>
  <c r="BF57" i="155" s="1"/>
  <c r="BS399" i="155"/>
  <c r="BS396" i="155"/>
  <c r="BS398" i="155"/>
  <c r="BS395" i="155"/>
  <c r="BS394" i="155"/>
  <c r="BS397" i="155"/>
  <c r="AX581" i="154"/>
  <c r="AX518" i="154"/>
  <c r="S552" i="155"/>
  <c r="S615" i="155"/>
  <c r="S559" i="155" a="1"/>
  <c r="S559" i="155" s="1"/>
  <c r="S623" i="155" s="1"/>
  <c r="BO396" i="153"/>
  <c r="BO394" i="153"/>
  <c r="BO395" i="153"/>
  <c r="BO399" i="153"/>
  <c r="BO397" i="153"/>
  <c r="BO398" i="153"/>
  <c r="BV399" i="155"/>
  <c r="BV398" i="155"/>
  <c r="BV396" i="155"/>
  <c r="BV395" i="155"/>
  <c r="BV397" i="155"/>
  <c r="BV394" i="155"/>
  <c r="BQ352" i="154"/>
  <c r="BQ44" i="154" s="1"/>
  <c r="BQ109" i="154" s="1"/>
  <c r="BG517" i="154"/>
  <c r="BG529" i="154" s="1"/>
  <c r="BG579" i="154"/>
  <c r="BM364" i="155"/>
  <c r="BM48" i="155" s="1"/>
  <c r="BQ408" i="155"/>
  <c r="BQ58" i="155" s="1"/>
  <c r="BQ123" i="155" s="1"/>
  <c r="BS396" i="153"/>
  <c r="BS394" i="153"/>
  <c r="BS395" i="153"/>
  <c r="BS398" i="153"/>
  <c r="BS397" i="153"/>
  <c r="BS399" i="153"/>
  <c r="BU606" i="153"/>
  <c r="BP388" i="155"/>
  <c r="BP51" i="155" s="1"/>
  <c r="BP116" i="155" s="1"/>
  <c r="BR408" i="153"/>
  <c r="BR58" i="153" s="1"/>
  <c r="BR123" i="153" s="1"/>
  <c r="N579" i="153"/>
  <c r="P579" i="153" s="1"/>
  <c r="AU581" i="154"/>
  <c r="AU518" i="154"/>
  <c r="BS388" i="155"/>
  <c r="BS51" i="155" s="1"/>
  <c r="BS116" i="155" s="1"/>
  <c r="BT372" i="155"/>
  <c r="BT49" i="155" s="1"/>
  <c r="BT114" i="155" s="1"/>
  <c r="AD530" i="153"/>
  <c r="AD593" i="153"/>
  <c r="AD594" i="153" s="1"/>
  <c r="AD544" i="153"/>
  <c r="BK364" i="153"/>
  <c r="BK48" i="153" s="1"/>
  <c r="BG400" i="155"/>
  <c r="BG57" i="155" s="1"/>
  <c r="X608" i="154"/>
  <c r="X551" i="154"/>
  <c r="X555" i="154" s="1"/>
  <c r="BJ590" i="154"/>
  <c r="BR527" i="154"/>
  <c r="BP606" i="155"/>
  <c r="BS230" i="154"/>
  <c r="AT591" i="153"/>
  <c r="AT224" i="153"/>
  <c r="AJ223" i="155"/>
  <c r="AJ582" i="155"/>
  <c r="AN582" i="154"/>
  <c r="AN223" i="154"/>
  <c r="BQ606" i="153"/>
  <c r="BH579" i="153"/>
  <c r="BH517" i="153"/>
  <c r="BY380" i="154"/>
  <c r="BY50" i="154" s="1"/>
  <c r="BY115" i="154" s="1"/>
  <c r="BL590" i="155"/>
  <c r="BT527" i="155"/>
  <c r="M581" i="153"/>
  <c r="M582" i="153" s="1"/>
  <c r="BR606" i="154"/>
  <c r="BH400" i="153"/>
  <c r="BH57" i="153" s="1"/>
  <c r="AN551" i="155"/>
  <c r="AN555" i="155" s="1"/>
  <c r="AN608" i="155"/>
  <c r="BN388" i="153"/>
  <c r="BN51" i="153" s="1"/>
  <c r="BN515" i="153"/>
  <c r="AI551" i="153"/>
  <c r="AI608" i="153"/>
  <c r="AO608" i="153"/>
  <c r="AO551" i="153"/>
  <c r="BM517" i="154"/>
  <c r="BM529" i="154" s="1"/>
  <c r="BM579" i="154"/>
  <c r="BS397" i="154"/>
  <c r="BS398" i="154"/>
  <c r="BS394" i="154"/>
  <c r="BS395" i="154"/>
  <c r="BS399" i="154"/>
  <c r="BS396" i="154"/>
  <c r="AD608" i="154"/>
  <c r="AD551" i="154"/>
  <c r="AD555" i="154" s="1"/>
  <c r="BT229" i="154"/>
  <c r="BP363" i="155"/>
  <c r="BP362" i="155"/>
  <c r="BP358" i="155"/>
  <c r="BP359" i="155"/>
  <c r="BP360" i="155"/>
  <c r="BP361" i="155"/>
  <c r="BR230" i="154"/>
  <c r="BK590" i="153"/>
  <c r="BS527" i="153"/>
  <c r="BT408" i="154"/>
  <c r="BT58" i="154" s="1"/>
  <c r="BT123" i="154" s="1"/>
  <c r="BY515" i="154"/>
  <c r="BT380" i="155"/>
  <c r="BT50" i="155" s="1"/>
  <c r="BT115" i="155" s="1"/>
  <c r="BY398" i="154"/>
  <c r="BY394" i="154"/>
  <c r="BY399" i="154"/>
  <c r="BY397" i="154"/>
  <c r="BY395" i="154"/>
  <c r="BY396" i="154"/>
  <c r="BJ527" i="154"/>
  <c r="BB590" i="154"/>
  <c r="BN359" i="153"/>
  <c r="BN363" i="153"/>
  <c r="BN360" i="153"/>
  <c r="BN361" i="153"/>
  <c r="BN358" i="153"/>
  <c r="BN362" i="153"/>
  <c r="AY581" i="153"/>
  <c r="AY518" i="153"/>
  <c r="BU352" i="153"/>
  <c r="BU44" i="153" s="1"/>
  <c r="BU109" i="153" s="1"/>
  <c r="BV372" i="153"/>
  <c r="BV49" i="153" s="1"/>
  <c r="BV114" i="153" s="1"/>
  <c r="BT396" i="155"/>
  <c r="BT397" i="155"/>
  <c r="BT394" i="155"/>
  <c r="BT398" i="155"/>
  <c r="BT395" i="155"/>
  <c r="BT399" i="155"/>
  <c r="BQ363" i="153"/>
  <c r="BQ358" i="153"/>
  <c r="BQ361" i="153"/>
  <c r="BQ362" i="153"/>
  <c r="BQ360" i="153"/>
  <c r="BQ359" i="153"/>
  <c r="BN527" i="153"/>
  <c r="BF590" i="153"/>
  <c r="BX526" i="154"/>
  <c r="BX588" i="154"/>
  <c r="BX352" i="153"/>
  <c r="BX44" i="153" s="1"/>
  <c r="BX109" i="153" s="1"/>
  <c r="BX395" i="155"/>
  <c r="BX394" i="155"/>
  <c r="BX397" i="155"/>
  <c r="BX398" i="155"/>
  <c r="BX396" i="155"/>
  <c r="BX399" i="155"/>
  <c r="AY593" i="155"/>
  <c r="AY594" i="155" s="1"/>
  <c r="AY530" i="155"/>
  <c r="AY544" i="155"/>
  <c r="AQ224" i="155"/>
  <c r="AQ591" i="155"/>
  <c r="BR360" i="154"/>
  <c r="BR359" i="154"/>
  <c r="BR363" i="154"/>
  <c r="BR362" i="154"/>
  <c r="BR358" i="154"/>
  <c r="BR361" i="154"/>
  <c r="BT408" i="155"/>
  <c r="BT58" i="155" s="1"/>
  <c r="BT123" i="155" s="1"/>
  <c r="V527" i="155"/>
  <c r="X527" i="155"/>
  <c r="N590" i="155"/>
  <c r="BV397" i="153"/>
  <c r="BV396" i="153"/>
  <c r="BV395" i="153"/>
  <c r="BV399" i="153"/>
  <c r="BV394" i="153"/>
  <c r="BV398" i="153"/>
  <c r="BD517" i="155"/>
  <c r="BD579" i="155"/>
  <c r="BT358" i="154"/>
  <c r="BT362" i="154"/>
  <c r="BT363" i="154"/>
  <c r="BT359" i="154"/>
  <c r="BT361" i="154"/>
  <c r="BT360" i="154"/>
  <c r="AP591" i="155"/>
  <c r="AP224" i="155"/>
  <c r="BP515" i="153"/>
  <c r="BP230" i="153"/>
  <c r="BS388" i="153"/>
  <c r="BS51" i="153" s="1"/>
  <c r="BS116" i="153" s="1"/>
  <c r="AO582" i="155"/>
  <c r="AO223" i="155"/>
  <c r="BR380" i="153"/>
  <c r="BR50" i="153" s="1"/>
  <c r="BR115" i="153" s="1"/>
  <c r="BN372" i="153"/>
  <c r="BN49" i="153" s="1"/>
  <c r="BQ230" i="154"/>
  <c r="BN352" i="153"/>
  <c r="BN44" i="153" s="1"/>
  <c r="BF364" i="154"/>
  <c r="BF48" i="154" s="1"/>
  <c r="BF590" i="154"/>
  <c r="BN527" i="154"/>
  <c r="AB551" i="155"/>
  <c r="AB555" i="155" s="1"/>
  <c r="AB608" i="155"/>
  <c r="BO352" i="153"/>
  <c r="BO44" i="153" s="1"/>
  <c r="BO109" i="153" s="1"/>
  <c r="BR606" i="155"/>
  <c r="BT526" i="154"/>
  <c r="BT588" i="154"/>
  <c r="BO606" i="153"/>
  <c r="AW581" i="154"/>
  <c r="AW518" i="154"/>
  <c r="BV526" i="154"/>
  <c r="BV588" i="154"/>
  <c r="BJ527" i="155"/>
  <c r="BB590" i="155"/>
  <c r="AY591" i="155"/>
  <c r="AY224" i="155"/>
  <c r="R615" i="154"/>
  <c r="R559" i="154" a="1"/>
  <c r="R559" i="154" s="1"/>
  <c r="R561" i="154" s="1"/>
  <c r="R567" i="154" s="1"/>
  <c r="R552" i="154"/>
  <c r="BR388" i="153"/>
  <c r="BR51" i="153" s="1"/>
  <c r="BR116" i="153" s="1"/>
  <c r="BT606" i="154"/>
  <c r="AF582" i="155"/>
  <c r="AF223" i="155"/>
  <c r="BE400" i="155"/>
  <c r="BE57" i="155" s="1"/>
  <c r="BV606" i="154"/>
  <c r="BO230" i="153"/>
  <c r="BN380" i="155"/>
  <c r="BN50" i="155" s="1"/>
  <c r="AV529" i="154"/>
  <c r="AV581" i="154"/>
  <c r="AV518" i="154"/>
  <c r="BP380" i="155"/>
  <c r="BP50" i="155" s="1"/>
  <c r="BP115" i="155" s="1"/>
  <c r="BQ408" i="154"/>
  <c r="BQ58" i="154" s="1"/>
  <c r="BQ123" i="154" s="1"/>
  <c r="BR408" i="154"/>
  <c r="BR58" i="154" s="1"/>
  <c r="BR123" i="154" s="1"/>
  <c r="BP230" i="154"/>
  <c r="BO588" i="154"/>
  <c r="BO526" i="154"/>
  <c r="BR361" i="155"/>
  <c r="BR360" i="155"/>
  <c r="BR359" i="155"/>
  <c r="BR363" i="155"/>
  <c r="BR358" i="155"/>
  <c r="BR362" i="155"/>
  <c r="BW388" i="153"/>
  <c r="BW51" i="153" s="1"/>
  <c r="BW116" i="153" s="1"/>
  <c r="BN606" i="153"/>
  <c r="BT372" i="153"/>
  <c r="BT49" i="153" s="1"/>
  <c r="BT114" i="153" s="1"/>
  <c r="BP606" i="153"/>
  <c r="BS588" i="153"/>
  <c r="BS526" i="153"/>
  <c r="BS590" i="153" s="1"/>
  <c r="Z608" i="154"/>
  <c r="Z551" i="154"/>
  <c r="Z555" i="154" s="1"/>
  <c r="BA581" i="153"/>
  <c r="BA518" i="153"/>
  <c r="BG364" i="154"/>
  <c r="BG48" i="154" s="1"/>
  <c r="AH551" i="155"/>
  <c r="AH555" i="155" s="1"/>
  <c r="AH608" i="155"/>
  <c r="BW372" i="154"/>
  <c r="BW49" i="154" s="1"/>
  <c r="BW114" i="154" s="1"/>
  <c r="K608" i="154"/>
  <c r="K551" i="154"/>
  <c r="K555" i="154" s="1"/>
  <c r="AV224" i="155"/>
  <c r="AV591" i="155"/>
  <c r="AS593" i="155"/>
  <c r="AS594" i="155" s="1"/>
  <c r="AS530" i="155"/>
  <c r="AS544" i="155"/>
  <c r="AP223" i="155"/>
  <c r="AP582" i="155"/>
  <c r="BY372" i="154"/>
  <c r="BY49" i="154" s="1"/>
  <c r="BY114" i="154" s="1"/>
  <c r="BV358" i="154"/>
  <c r="BV360" i="154"/>
  <c r="BV359" i="154"/>
  <c r="BV362" i="154"/>
  <c r="BV363" i="154"/>
  <c r="BV361" i="154"/>
  <c r="BN230" i="153"/>
  <c r="BO230" i="154"/>
  <c r="BT380" i="153"/>
  <c r="BT50" i="153" s="1"/>
  <c r="BT115" i="153" s="1"/>
  <c r="BH364" i="153"/>
  <c r="BH48" i="153" s="1"/>
  <c r="BU380" i="153"/>
  <c r="BU50" i="153" s="1"/>
  <c r="BU115" i="153" s="1"/>
  <c r="BW380" i="153"/>
  <c r="BW50" i="153" s="1"/>
  <c r="BW115" i="153" s="1"/>
  <c r="BV408" i="154"/>
  <c r="BV58" i="154" s="1"/>
  <c r="BV123" i="154" s="1"/>
  <c r="BU527" i="155"/>
  <c r="BM590" i="155"/>
  <c r="BW388" i="154"/>
  <c r="BW51" i="154" s="1"/>
  <c r="BW116" i="154" s="1"/>
  <c r="BO362" i="153"/>
  <c r="BO360" i="153"/>
  <c r="BO363" i="153"/>
  <c r="BO359" i="153"/>
  <c r="BO361" i="153"/>
  <c r="BO358" i="153"/>
  <c r="BU588" i="154"/>
  <c r="BU526" i="154"/>
  <c r="AP530" i="154"/>
  <c r="AP593" i="154"/>
  <c r="AP594" i="154" s="1"/>
  <c r="AP544" i="154"/>
  <c r="BW588" i="155"/>
  <c r="BW526" i="155"/>
  <c r="BW590" i="155" s="1"/>
  <c r="BL400" i="153"/>
  <c r="BL57" i="153" s="1"/>
  <c r="BY380" i="153"/>
  <c r="BY50" i="153" s="1"/>
  <c r="BY115" i="153" s="1"/>
  <c r="BX380" i="155"/>
  <c r="BX50" i="155" s="1"/>
  <c r="BX115" i="155" s="1"/>
  <c r="T615" i="153"/>
  <c r="T559" i="153" a="1"/>
  <c r="T559" i="153" s="1"/>
  <c r="T623" i="153" s="1"/>
  <c r="BP361" i="153"/>
  <c r="BP359" i="153"/>
  <c r="BP358" i="153"/>
  <c r="BP363" i="153"/>
  <c r="BP362" i="153"/>
  <c r="BP360" i="153"/>
  <c r="AX581" i="153"/>
  <c r="AX518" i="153"/>
  <c r="BB400" i="154"/>
  <c r="BB57" i="154" s="1"/>
  <c r="BY606" i="155"/>
  <c r="BO408" i="155"/>
  <c r="BO58" i="155" s="1"/>
  <c r="BO123" i="155" s="1"/>
  <c r="BP352" i="154"/>
  <c r="BP44" i="154" s="1"/>
  <c r="BP109" i="154" s="1"/>
  <c r="BU372" i="154"/>
  <c r="BU49" i="154" s="1"/>
  <c r="BU114" i="154" s="1"/>
  <c r="BR352" i="154"/>
  <c r="BR44" i="154" s="1"/>
  <c r="BR109" i="154" s="1"/>
  <c r="AY529" i="154"/>
  <c r="AY581" i="154"/>
  <c r="AY518" i="154"/>
  <c r="BS408" i="155"/>
  <c r="BS58" i="155" s="1"/>
  <c r="BS123" i="155" s="1"/>
  <c r="AS591" i="155"/>
  <c r="AS224" i="155"/>
  <c r="BC579" i="153"/>
  <c r="BC517" i="153"/>
  <c r="BL527" i="154"/>
  <c r="BD590" i="154"/>
  <c r="BY229" i="155"/>
  <c r="AK551" i="154"/>
  <c r="AK555" i="154" s="1"/>
  <c r="AK608" i="154"/>
  <c r="BV408" i="155"/>
  <c r="BV58" i="155" s="1"/>
  <c r="BV123" i="155" s="1"/>
  <c r="AD582" i="154"/>
  <c r="AD223" i="154"/>
  <c r="BX394" i="153"/>
  <c r="BX399" i="153"/>
  <c r="BX396" i="153"/>
  <c r="BX397" i="153"/>
  <c r="BX398" i="153"/>
  <c r="BX395" i="153"/>
  <c r="AL551" i="155"/>
  <c r="AL555" i="155" s="1"/>
  <c r="AL608" i="155"/>
  <c r="BV408" i="153"/>
  <c r="BV58" i="153" s="1"/>
  <c r="BV123" i="153" s="1"/>
  <c r="BY396" i="153"/>
  <c r="BY397" i="153"/>
  <c r="BY395" i="153"/>
  <c r="BY398" i="153"/>
  <c r="BY399" i="153"/>
  <c r="BY394" i="153"/>
  <c r="BO380" i="155"/>
  <c r="BO50" i="155" s="1"/>
  <c r="BO115" i="155" s="1"/>
  <c r="BQ388" i="153"/>
  <c r="BQ51" i="153" s="1"/>
  <c r="BQ116" i="153" s="1"/>
  <c r="BL400" i="154"/>
  <c r="BL57" i="154" s="1"/>
  <c r="BP229" i="154"/>
  <c r="BX372" i="155"/>
  <c r="BX49" i="155" s="1"/>
  <c r="BX114" i="155" s="1"/>
  <c r="BN230" i="154"/>
  <c r="BU588" i="155"/>
  <c r="BU526" i="155"/>
  <c r="AJ608" i="155"/>
  <c r="AJ551" i="155"/>
  <c r="AJ555" i="155" s="1"/>
  <c r="L608" i="154"/>
  <c r="L551" i="154"/>
  <c r="L555" i="154" s="1"/>
  <c r="BP352" i="153"/>
  <c r="BP44" i="153" s="1"/>
  <c r="BP109" i="153" s="1"/>
  <c r="AP591" i="154"/>
  <c r="AP224" i="154"/>
  <c r="BA224" i="155"/>
  <c r="BA591" i="155"/>
  <c r="BW408" i="154"/>
  <c r="BW58" i="154" s="1"/>
  <c r="BW123" i="154" s="1"/>
  <c r="AH530" i="154"/>
  <c r="AH593" i="154"/>
  <c r="AH594" i="154" s="1"/>
  <c r="AH544" i="154"/>
  <c r="BB517" i="155"/>
  <c r="BB579" i="155"/>
  <c r="AK608" i="153"/>
  <c r="AK551" i="153"/>
  <c r="BY360" i="155"/>
  <c r="BY363" i="155"/>
  <c r="BY361" i="155"/>
  <c r="BY358" i="155"/>
  <c r="BY359" i="155"/>
  <c r="BY362" i="155"/>
  <c r="BS606" i="153"/>
  <c r="BR527" i="153"/>
  <c r="BJ590" i="153"/>
  <c r="BC400" i="154"/>
  <c r="BC57" i="154" s="1"/>
  <c r="AB559" i="154" a="1"/>
  <c r="AB559" i="154" s="1"/>
  <c r="AB623" i="154" s="1"/>
  <c r="AB615" i="154"/>
  <c r="AB552" i="154"/>
  <c r="BQ408" i="153"/>
  <c r="BQ58" i="153" s="1"/>
  <c r="BQ123" i="153" s="1"/>
  <c r="BT352" i="154"/>
  <c r="BT44" i="154" s="1"/>
  <c r="BT109" i="154" s="1"/>
  <c r="AV593" i="155"/>
  <c r="AV594" i="155" s="1"/>
  <c r="AV530" i="155"/>
  <c r="AV544" i="155"/>
  <c r="BQ372" i="155"/>
  <c r="BQ49" i="155" s="1"/>
  <c r="BQ114" i="155" s="1"/>
  <c r="BX229" i="155"/>
  <c r="BX606" i="153"/>
  <c r="BK579" i="154"/>
  <c r="BK517" i="154"/>
  <c r="BK529" i="154" s="1"/>
  <c r="BQ515" i="153"/>
  <c r="BU527" i="154"/>
  <c r="BM590" i="154"/>
  <c r="BO229" i="154"/>
  <c r="BS380" i="153"/>
  <c r="BS50" i="153" s="1"/>
  <c r="BS115" i="153" s="1"/>
  <c r="BF517" i="153"/>
  <c r="BF579" i="153"/>
  <c r="AQ582" i="155"/>
  <c r="AQ223" i="155"/>
  <c r="BT388" i="153"/>
  <c r="BT51" i="153" s="1"/>
  <c r="BT116" i="153" s="1"/>
  <c r="AS581" i="154"/>
  <c r="AS518" i="154"/>
  <c r="BR372" i="153"/>
  <c r="BR49" i="153" s="1"/>
  <c r="BR114" i="153" s="1"/>
  <c r="AB615" i="153"/>
  <c r="AB559" i="153" a="1"/>
  <c r="AB559" i="153" s="1"/>
  <c r="AB623" i="153" s="1"/>
  <c r="BS380" i="154"/>
  <c r="BS50" i="154" s="1"/>
  <c r="BS115" i="154" s="1"/>
  <c r="AX529" i="155"/>
  <c r="AX581" i="155"/>
  <c r="AX518" i="155"/>
  <c r="AR582" i="155"/>
  <c r="AR223" i="155"/>
  <c r="BQ588" i="153"/>
  <c r="BQ526" i="153"/>
  <c r="AE582" i="154"/>
  <c r="AE223" i="154"/>
  <c r="AU582" i="155"/>
  <c r="AU223" i="155"/>
  <c r="BN363" i="154"/>
  <c r="BN358" i="154"/>
  <c r="BN361" i="154"/>
  <c r="BN362" i="154"/>
  <c r="BN360" i="154"/>
  <c r="BN359" i="154"/>
  <c r="BS362" i="153"/>
  <c r="BS363" i="153"/>
  <c r="BS358" i="153"/>
  <c r="BS361" i="153"/>
  <c r="BS360" i="153"/>
  <c r="BS359" i="153"/>
  <c r="BB579" i="153"/>
  <c r="BB517" i="153"/>
  <c r="BB529" i="153" s="1"/>
  <c r="V615" i="155"/>
  <c r="V552" i="155"/>
  <c r="V559" i="155" a="1"/>
  <c r="V559" i="155" s="1"/>
  <c r="V623" i="155" s="1"/>
  <c r="BE364" i="155"/>
  <c r="BE48" i="155" s="1"/>
  <c r="BB400" i="155"/>
  <c r="BB57" i="155" s="1"/>
  <c r="BV359" i="153"/>
  <c r="BV360" i="153"/>
  <c r="BV362" i="153"/>
  <c r="BV358" i="153"/>
  <c r="BV361" i="153"/>
  <c r="BV363" i="153"/>
  <c r="AP518" i="154"/>
  <c r="AP581" i="154"/>
  <c r="BW229" i="155"/>
  <c r="BX363" i="153"/>
  <c r="BX360" i="153"/>
  <c r="BX362" i="153"/>
  <c r="BX359" i="153"/>
  <c r="BX361" i="153"/>
  <c r="BX358" i="153"/>
  <c r="U615" i="155"/>
  <c r="U552" i="155"/>
  <c r="U559" i="155" a="1"/>
  <c r="U559" i="155" s="1"/>
  <c r="U623" i="155" s="1"/>
  <c r="BD590" i="155"/>
  <c r="BL527" i="155"/>
  <c r="BM517" i="153"/>
  <c r="BM579" i="153"/>
  <c r="BC579" i="155"/>
  <c r="BC517" i="155"/>
  <c r="AF608" i="153"/>
  <c r="AF551" i="153"/>
  <c r="BN229" i="154"/>
  <c r="J615" i="154"/>
  <c r="J616" i="154" s="1"/>
  <c r="J552" i="154"/>
  <c r="BJ400" i="154"/>
  <c r="BJ57" i="154" s="1"/>
  <c r="BU527" i="153"/>
  <c r="BM590" i="153"/>
  <c r="BH400" i="154"/>
  <c r="BH57" i="154" s="1"/>
  <c r="BV380" i="153"/>
  <c r="BV50" i="153" s="1"/>
  <c r="BV115" i="153" s="1"/>
  <c r="BC590" i="155"/>
  <c r="BK527" i="155"/>
  <c r="AT591" i="154"/>
  <c r="AT224" i="154"/>
  <c r="BV388" i="154"/>
  <c r="BV51" i="154" s="1"/>
  <c r="BV116" i="154" s="1"/>
  <c r="BH364" i="154"/>
  <c r="BH48" i="154" s="1"/>
  <c r="BO526" i="153"/>
  <c r="BO588" i="153"/>
  <c r="V559" i="153" a="1"/>
  <c r="V559" i="153" s="1"/>
  <c r="V623" i="153" s="1"/>
  <c r="V615" i="153"/>
  <c r="BT380" i="154"/>
  <c r="BT50" i="154" s="1"/>
  <c r="BT115" i="154" s="1"/>
  <c r="BY380" i="155"/>
  <c r="BY50" i="155" s="1"/>
  <c r="BY115" i="155" s="1"/>
  <c r="BK400" i="153"/>
  <c r="BK57" i="153" s="1"/>
  <c r="AU593" i="155"/>
  <c r="AU594" i="155" s="1"/>
  <c r="AU530" i="155"/>
  <c r="AU544" i="155"/>
  <c r="BR372" i="154"/>
  <c r="BR49" i="154" s="1"/>
  <c r="BR114" i="154" s="1"/>
  <c r="AT581" i="155"/>
  <c r="AT518" i="155"/>
  <c r="BN606" i="154"/>
  <c r="BO408" i="153"/>
  <c r="BO58" i="153" s="1"/>
  <c r="BO123" i="153" s="1"/>
  <c r="BC400" i="155"/>
  <c r="BC57" i="155" s="1"/>
  <c r="BR398" i="153"/>
  <c r="BR396" i="153"/>
  <c r="BR394" i="153"/>
  <c r="BR397" i="153"/>
  <c r="BR395" i="153"/>
  <c r="BR399" i="153"/>
  <c r="N579" i="154"/>
  <c r="P579" i="154" s="1"/>
  <c r="BV606" i="153"/>
  <c r="BI364" i="155"/>
  <c r="BI48" i="155" s="1"/>
  <c r="BX588" i="153"/>
  <c r="BX526" i="153"/>
  <c r="BM527" i="155"/>
  <c r="BE590" i="155"/>
  <c r="BV229" i="155"/>
  <c r="BC364" i="154"/>
  <c r="BC48" i="154" s="1"/>
  <c r="AG223" i="155"/>
  <c r="AG582" i="155"/>
  <c r="AW581" i="155"/>
  <c r="AW518" i="155"/>
  <c r="BT388" i="155"/>
  <c r="BT51" i="155" s="1"/>
  <c r="BT116" i="155" s="1"/>
  <c r="BL579" i="154"/>
  <c r="BL517" i="154"/>
  <c r="BL529" i="154" s="1"/>
  <c r="K608" i="155"/>
  <c r="K551" i="155"/>
  <c r="K555" i="155" s="1"/>
  <c r="BW606" i="154"/>
  <c r="BN360" i="155"/>
  <c r="BN361" i="155"/>
  <c r="BN359" i="155"/>
  <c r="BN362" i="155"/>
  <c r="BN363" i="155"/>
  <c r="BN358" i="155"/>
  <c r="BM400" i="154"/>
  <c r="BM57" i="154" s="1"/>
  <c r="BG364" i="155"/>
  <c r="BG48" i="155" s="1"/>
  <c r="AV581" i="155"/>
  <c r="AV518" i="155"/>
  <c r="U615" i="153"/>
  <c r="U559" i="153" a="1"/>
  <c r="U559" i="153" s="1"/>
  <c r="U623" i="153" s="1"/>
  <c r="BS388" i="154"/>
  <c r="BS51" i="154" s="1"/>
  <c r="BS116" i="154" s="1"/>
  <c r="AZ518" i="155"/>
  <c r="AZ581" i="155"/>
  <c r="BY228" i="153"/>
  <c r="BD400" i="153"/>
  <c r="BD57" i="153" s="1"/>
  <c r="AU581" i="153"/>
  <c r="AU518" i="153"/>
  <c r="BX388" i="154"/>
  <c r="BX51" i="154" s="1"/>
  <c r="BX116" i="154" s="1"/>
  <c r="K608" i="153"/>
  <c r="K551" i="153"/>
  <c r="BW362" i="155"/>
  <c r="BW363" i="155"/>
  <c r="BW360" i="155"/>
  <c r="BW359" i="155"/>
  <c r="BW361" i="155"/>
  <c r="BW358" i="155"/>
  <c r="AE593" i="154"/>
  <c r="AE594" i="154" s="1"/>
  <c r="AE530" i="154"/>
  <c r="AE544" i="154"/>
  <c r="BV380" i="154"/>
  <c r="BV50" i="154" s="1"/>
  <c r="BV115" i="154" s="1"/>
  <c r="BR606" i="153"/>
  <c r="BI400" i="155"/>
  <c r="BI57" i="155" s="1"/>
  <c r="BX380" i="154"/>
  <c r="BX50" i="154" s="1"/>
  <c r="BX115" i="154" s="1"/>
  <c r="BJ364" i="154"/>
  <c r="BJ48" i="154" s="1"/>
  <c r="BV372" i="154"/>
  <c r="BV49" i="154" s="1"/>
  <c r="BV114" i="154" s="1"/>
  <c r="BU398" i="154"/>
  <c r="BU397" i="154"/>
  <c r="BU396" i="154"/>
  <c r="BU395" i="154"/>
  <c r="BU394" i="154"/>
  <c r="BU399" i="154"/>
  <c r="BU229" i="155"/>
  <c r="BT408" i="153"/>
  <c r="BT58" i="153" s="1"/>
  <c r="BT123" i="153" s="1"/>
  <c r="BN588" i="155"/>
  <c r="BN526" i="155"/>
  <c r="BU408" i="153"/>
  <c r="BU58" i="153" s="1"/>
  <c r="BU123" i="153" s="1"/>
  <c r="BX352" i="154"/>
  <c r="BX44" i="154" s="1"/>
  <c r="BX109" i="154" s="1"/>
  <c r="BN408" i="154"/>
  <c r="BN58" i="154" s="1"/>
  <c r="AC608" i="154"/>
  <c r="AC551" i="154"/>
  <c r="AC555" i="154" s="1"/>
  <c r="BW363" i="154"/>
  <c r="BW360" i="154"/>
  <c r="BW359" i="154"/>
  <c r="BW358" i="154"/>
  <c r="BW362" i="154"/>
  <c r="BW361" i="154"/>
  <c r="S608" i="153"/>
  <c r="S551" i="153"/>
  <c r="BN606" i="155"/>
  <c r="BX388" i="155"/>
  <c r="BX51" i="155" s="1"/>
  <c r="BX116" i="155" s="1"/>
  <c r="BY228" i="155"/>
  <c r="BU515" i="153"/>
  <c r="BX228" i="153"/>
  <c r="BR352" i="155"/>
  <c r="BR44" i="155" s="1"/>
  <c r="BR109" i="155" s="1"/>
  <c r="BT388" i="154"/>
  <c r="BT51" i="154" s="1"/>
  <c r="BT116" i="154" s="1"/>
  <c r="AT593" i="154"/>
  <c r="AT594" i="154" s="1"/>
  <c r="AT530" i="154"/>
  <c r="AT544" i="154"/>
  <c r="AP224" i="153"/>
  <c r="AP591" i="153"/>
  <c r="AO551" i="155"/>
  <c r="AO555" i="155" s="1"/>
  <c r="AO608" i="155"/>
  <c r="BW606" i="155"/>
  <c r="BR359" i="153"/>
  <c r="BR362" i="153"/>
  <c r="BR361" i="153"/>
  <c r="BR360" i="153"/>
  <c r="BR363" i="153"/>
  <c r="BR358" i="153"/>
  <c r="BT588" i="153"/>
  <c r="BT526" i="153"/>
  <c r="BE579" i="154"/>
  <c r="BE517" i="154"/>
  <c r="BE529" i="154" s="1"/>
  <c r="BK400" i="155"/>
  <c r="BK57" i="155" s="1"/>
  <c r="AQ529" i="154"/>
  <c r="AQ581" i="154"/>
  <c r="AQ518" i="154"/>
  <c r="BW526" i="153"/>
  <c r="BW590" i="153" s="1"/>
  <c r="BW588" i="153"/>
  <c r="AM551" i="153"/>
  <c r="AM608" i="153"/>
  <c r="BT229" i="155"/>
  <c r="AD582" i="155"/>
  <c r="AD223" i="155"/>
  <c r="BQ394" i="154"/>
  <c r="BQ398" i="154"/>
  <c r="BQ396" i="154"/>
  <c r="BQ399" i="154"/>
  <c r="BQ395" i="154"/>
  <c r="BQ397" i="154"/>
  <c r="BR388" i="155"/>
  <c r="BR51" i="155" s="1"/>
  <c r="BR116" i="155" s="1"/>
  <c r="BE400" i="153"/>
  <c r="BE57" i="153" s="1"/>
  <c r="BO388" i="153"/>
  <c r="BO51" i="153" s="1"/>
  <c r="BO116" i="153" s="1"/>
  <c r="BE590" i="154"/>
  <c r="BM527" i="154"/>
  <c r="AC608" i="153"/>
  <c r="AC551" i="153"/>
  <c r="BL364" i="153"/>
  <c r="BL48" i="153" s="1"/>
  <c r="BR588" i="155"/>
  <c r="BR526" i="155"/>
  <c r="BR590" i="155" s="1"/>
  <c r="BU515" i="154"/>
  <c r="BO606" i="155"/>
  <c r="AQ518" i="153"/>
  <c r="AQ581" i="153"/>
  <c r="AL608" i="153"/>
  <c r="AL551" i="153"/>
  <c r="BX228" i="155"/>
  <c r="BS380" i="155"/>
  <c r="BS50" i="155" s="1"/>
  <c r="BS115" i="155" s="1"/>
  <c r="BW228" i="153"/>
  <c r="V608" i="154"/>
  <c r="V551" i="154"/>
  <c r="V555" i="154" s="1"/>
  <c r="BP372" i="153"/>
  <c r="BP49" i="153" s="1"/>
  <c r="BP114" i="153" s="1"/>
  <c r="AO608" i="154"/>
  <c r="AO551" i="154"/>
  <c r="AO555" i="154" s="1"/>
  <c r="BX398" i="154"/>
  <c r="BX394" i="154"/>
  <c r="BX395" i="154"/>
  <c r="BX397" i="154"/>
  <c r="BX399" i="154"/>
  <c r="BX396" i="154"/>
  <c r="BR399" i="155"/>
  <c r="BR398" i="155"/>
  <c r="BR395" i="155"/>
  <c r="BR394" i="155"/>
  <c r="BR397" i="155"/>
  <c r="BR396" i="155"/>
  <c r="I136" i="104"/>
  <c r="I137" i="104" s="1"/>
  <c r="I136" i="103"/>
  <c r="I137" i="103" s="1"/>
  <c r="AR581" i="154"/>
  <c r="AR518" i="154"/>
  <c r="AF223" i="154"/>
  <c r="AF582" i="154"/>
  <c r="AQ530" i="153"/>
  <c r="AQ593" i="153"/>
  <c r="AQ594" i="153" s="1"/>
  <c r="AQ544" i="153"/>
  <c r="BS229" i="155"/>
  <c r="BL579" i="153"/>
  <c r="BL517" i="153"/>
  <c r="BN380" i="153"/>
  <c r="BN50" i="153" s="1"/>
  <c r="AG582" i="154"/>
  <c r="AG223" i="154"/>
  <c r="BG400" i="154"/>
  <c r="BG57" i="154" s="1"/>
  <c r="AE582" i="155"/>
  <c r="AE223" i="155"/>
  <c r="BX408" i="155"/>
  <c r="BX58" i="155" s="1"/>
  <c r="BX123" i="155" s="1"/>
  <c r="BG590" i="155"/>
  <c r="BO527" i="155"/>
  <c r="BY352" i="154"/>
  <c r="BY44" i="154" s="1"/>
  <c r="BY109" i="154" s="1"/>
  <c r="BO388" i="154"/>
  <c r="BO51" i="154" s="1"/>
  <c r="BO116" i="154" s="1"/>
  <c r="BY363" i="154"/>
  <c r="BY362" i="154"/>
  <c r="BY358" i="154"/>
  <c r="BY361" i="154"/>
  <c r="BY359" i="154"/>
  <c r="BY360" i="154"/>
  <c r="BO359" i="155"/>
  <c r="BO362" i="155"/>
  <c r="BO358" i="155"/>
  <c r="BO360" i="155"/>
  <c r="BO361" i="155"/>
  <c r="BO363" i="155"/>
  <c r="BW228" i="155"/>
  <c r="AS581" i="153"/>
  <c r="AS518" i="153"/>
  <c r="BV228" i="153"/>
  <c r="BV588" i="155"/>
  <c r="BV526" i="155"/>
  <c r="BN515" i="155"/>
  <c r="BT352" i="155"/>
  <c r="BT44" i="155" s="1"/>
  <c r="BT109" i="155" s="1"/>
  <c r="BR352" i="153"/>
  <c r="BR44" i="153" s="1"/>
  <c r="BR109" i="153" s="1"/>
  <c r="AY581" i="155"/>
  <c r="AY518" i="155"/>
  <c r="BI590" i="153"/>
  <c r="BQ527" i="153"/>
  <c r="BW352" i="155"/>
  <c r="BW44" i="155" s="1"/>
  <c r="BW109" i="155" s="1"/>
  <c r="BW372" i="153"/>
  <c r="BW49" i="153" s="1"/>
  <c r="BW114" i="153" s="1"/>
  <c r="BY588" i="154"/>
  <c r="BY526" i="154"/>
  <c r="BF590" i="155"/>
  <c r="BN527" i="155"/>
  <c r="AH582" i="154"/>
  <c r="AH223" i="154"/>
  <c r="AW591" i="153"/>
  <c r="AW224" i="153"/>
  <c r="AQ224" i="153"/>
  <c r="AQ591" i="153"/>
  <c r="BA591" i="154"/>
  <c r="BA224" i="154"/>
  <c r="BS606" i="154"/>
  <c r="BR229" i="155"/>
  <c r="BA529" i="153"/>
  <c r="BB400" i="153"/>
  <c r="BB57" i="153" s="1"/>
  <c r="BH579" i="154"/>
  <c r="BH517" i="154"/>
  <c r="BH529" i="154" s="1"/>
  <c r="AG530" i="154"/>
  <c r="AG593" i="154"/>
  <c r="AG594" i="154" s="1"/>
  <c r="AG544" i="154"/>
  <c r="BY606" i="154"/>
  <c r="BN352" i="155"/>
  <c r="BN44" i="155" s="1"/>
  <c r="AS593" i="154"/>
  <c r="AS594" i="154" s="1"/>
  <c r="AS530" i="154"/>
  <c r="AS544" i="154"/>
  <c r="BL590" i="153"/>
  <c r="BT527" i="153"/>
  <c r="BS515" i="153"/>
  <c r="BI590" i="154"/>
  <c r="BQ527" i="154"/>
  <c r="BT526" i="155"/>
  <c r="BT588" i="155"/>
  <c r="BR388" i="154"/>
  <c r="BR51" i="154" s="1"/>
  <c r="BR116" i="154" s="1"/>
  <c r="BV228" i="155"/>
  <c r="BU228" i="153"/>
  <c r="L551" i="153"/>
  <c r="L608" i="153"/>
  <c r="M581" i="154"/>
  <c r="M582" i="154" s="1"/>
  <c r="M581" i="155"/>
  <c r="M582" i="155" s="1"/>
  <c r="AR581" i="153"/>
  <c r="AR518" i="153"/>
  <c r="BU606" i="155"/>
  <c r="BB364" i="154"/>
  <c r="BB48" i="154" s="1"/>
  <c r="BO606" i="154"/>
  <c r="AA551" i="154"/>
  <c r="AA555" i="154" s="1"/>
  <c r="AA608" i="154"/>
  <c r="AG544" i="153"/>
  <c r="AG593" i="153"/>
  <c r="AG594" i="153" s="1"/>
  <c r="AG530" i="153"/>
  <c r="BC364" i="153"/>
  <c r="BC48" i="153" s="1"/>
  <c r="BI364" i="153"/>
  <c r="BI48" i="153" s="1"/>
  <c r="BU362" i="155"/>
  <c r="BU363" i="155"/>
  <c r="BU359" i="155"/>
  <c r="BU360" i="155"/>
  <c r="BU361" i="155"/>
  <c r="BU358" i="155"/>
  <c r="AV224" i="154"/>
  <c r="AV591" i="154"/>
  <c r="BP372" i="154"/>
  <c r="BP49" i="154" s="1"/>
  <c r="BP114" i="154" s="1"/>
  <c r="BK517" i="153"/>
  <c r="BK529" i="153" s="1"/>
  <c r="BK579" i="153"/>
  <c r="BX372" i="153"/>
  <c r="BX49" i="153" s="1"/>
  <c r="BX114" i="153" s="1"/>
  <c r="AA552" i="155"/>
  <c r="AA615" i="155"/>
  <c r="AA559" i="155" a="1"/>
  <c r="AA559" i="155" s="1"/>
  <c r="AA623" i="155" s="1"/>
  <c r="BU588" i="153"/>
  <c r="BU526" i="153"/>
  <c r="BU590" i="153" s="1"/>
  <c r="AE223" i="153"/>
  <c r="AE582" i="153"/>
  <c r="BS352" i="154"/>
  <c r="BS44" i="154" s="1"/>
  <c r="BS109" i="154" s="1"/>
  <c r="BD364" i="155"/>
  <c r="BD48" i="155" s="1"/>
  <c r="BK400" i="154"/>
  <c r="BK57" i="154" s="1"/>
  <c r="BA529" i="154"/>
  <c r="BS359" i="154"/>
  <c r="BS358" i="154"/>
  <c r="BS363" i="154"/>
  <c r="BS361" i="154"/>
  <c r="BS360" i="154"/>
  <c r="BS362" i="154"/>
  <c r="BQ229" i="155"/>
  <c r="BA224" i="153"/>
  <c r="BA591" i="153"/>
  <c r="BS372" i="155"/>
  <c r="BS49" i="155" s="1"/>
  <c r="BS114" i="155" s="1"/>
  <c r="BO515" i="153"/>
  <c r="BW408" i="155"/>
  <c r="BW58" i="155" s="1"/>
  <c r="BW123" i="155" s="1"/>
  <c r="BO380" i="153"/>
  <c r="BO50" i="153" s="1"/>
  <c r="BO115" i="153" s="1"/>
  <c r="BU388" i="155"/>
  <c r="BU51" i="155" s="1"/>
  <c r="BU116" i="155" s="1"/>
  <c r="N590" i="154"/>
  <c r="X527" i="154"/>
  <c r="V527" i="154"/>
  <c r="AS518" i="155"/>
  <c r="AS581" i="155"/>
  <c r="BM400" i="155"/>
  <c r="BM57" i="155" s="1"/>
  <c r="BF400" i="153"/>
  <c r="BF57" i="153" s="1"/>
  <c r="BI517" i="154"/>
  <c r="BI529" i="154" s="1"/>
  <c r="BI579" i="154"/>
  <c r="BM364" i="153"/>
  <c r="BM48" i="153" s="1"/>
  <c r="BU228" i="155"/>
  <c r="BS408" i="154"/>
  <c r="BS58" i="154" s="1"/>
  <c r="BS123" i="154" s="1"/>
  <c r="AP529" i="153"/>
  <c r="AP581" i="153"/>
  <c r="AP518" i="153"/>
  <c r="U608" i="154"/>
  <c r="U551" i="154"/>
  <c r="U555" i="154" s="1"/>
  <c r="BT228" i="153"/>
  <c r="BJ517" i="154"/>
  <c r="BJ529" i="154" s="1"/>
  <c r="BJ579" i="154"/>
  <c r="BX526" i="155"/>
  <c r="BX588" i="155"/>
  <c r="AL608" i="154"/>
  <c r="AL551" i="154"/>
  <c r="AL555" i="154" s="1"/>
  <c r="Z559" i="153" a="1"/>
  <c r="Z559" i="153" s="1"/>
  <c r="Z623" i="153" s="1"/>
  <c r="Z615" i="153"/>
  <c r="BE590" i="153"/>
  <c r="BM527" i="153"/>
  <c r="BE364" i="153"/>
  <c r="BE48" i="153" s="1"/>
  <c r="BQ397" i="155"/>
  <c r="BQ399" i="155"/>
  <c r="BQ396" i="155"/>
  <c r="BQ395" i="155"/>
  <c r="BQ398" i="155"/>
  <c r="BQ394" i="155"/>
  <c r="BB517" i="154"/>
  <c r="BB529" i="154" s="1"/>
  <c r="BB579" i="154"/>
  <c r="BU372" i="153"/>
  <c r="BU49" i="153" s="1"/>
  <c r="BU114" i="153" s="1"/>
  <c r="T559" i="154" a="1"/>
  <c r="T559" i="154" s="1"/>
  <c r="T623" i="154" s="1"/>
  <c r="T615" i="154"/>
  <c r="T552" i="154"/>
  <c r="AZ518" i="153"/>
  <c r="AZ581" i="153"/>
  <c r="BU398" i="155"/>
  <c r="BU395" i="155"/>
  <c r="BU399" i="155"/>
  <c r="BU396" i="155"/>
  <c r="BU394" i="155"/>
  <c r="BU397" i="155"/>
  <c r="BK590" i="155"/>
  <c r="BS527" i="155"/>
  <c r="BT372" i="154"/>
  <c r="BT49" i="154" s="1"/>
  <c r="BT114" i="154" s="1"/>
  <c r="BL590" i="154"/>
  <c r="BT527" i="154"/>
  <c r="AU530" i="154"/>
  <c r="AU593" i="154"/>
  <c r="AU594" i="154" s="1"/>
  <c r="AU544" i="154"/>
  <c r="AE593" i="153"/>
  <c r="AE594" i="153" s="1"/>
  <c r="AE530" i="153"/>
  <c r="AE544" i="153"/>
  <c r="BL400" i="155"/>
  <c r="BL57" i="155" s="1"/>
  <c r="AN223" i="153"/>
  <c r="AN582" i="153"/>
  <c r="BW606" i="153"/>
  <c r="BP229" i="155"/>
  <c r="BP515" i="154"/>
  <c r="AS591" i="153"/>
  <c r="AS224" i="153"/>
  <c r="BD364" i="154"/>
  <c r="BD48" i="154" s="1"/>
  <c r="BY606" i="153"/>
  <c r="BP394" i="154"/>
  <c r="BP395" i="154"/>
  <c r="BP397" i="154"/>
  <c r="BP396" i="154"/>
  <c r="BP398" i="154"/>
  <c r="BP399" i="154"/>
  <c r="AF608" i="155"/>
  <c r="AF551" i="155"/>
  <c r="AF555" i="155" s="1"/>
  <c r="BU388" i="153"/>
  <c r="BU51" i="153" s="1"/>
  <c r="BU116" i="153" s="1"/>
  <c r="BD579" i="153"/>
  <c r="BD517" i="153"/>
  <c r="BD529" i="153" s="1"/>
  <c r="Y551" i="154"/>
  <c r="Y555" i="154" s="1"/>
  <c r="Y608" i="154"/>
  <c r="BO408" i="154"/>
  <c r="BO58" i="154" s="1"/>
  <c r="BO123" i="154" s="1"/>
  <c r="BY408" i="155"/>
  <c r="BY58" i="155" s="1"/>
  <c r="BY123" i="155" s="1"/>
  <c r="AS591" i="154"/>
  <c r="AS224" i="154"/>
  <c r="BO352" i="155"/>
  <c r="BO44" i="155" s="1"/>
  <c r="BO109" i="155" s="1"/>
  <c r="BK527" i="153"/>
  <c r="BC590" i="153"/>
  <c r="BN526" i="154"/>
  <c r="BN588" i="154"/>
  <c r="L593" i="155"/>
  <c r="L594" i="155" s="1"/>
  <c r="L530" i="155"/>
  <c r="L544" i="155"/>
  <c r="BT228" i="155"/>
  <c r="BS228" i="153"/>
  <c r="X615" i="155"/>
  <c r="X559" i="155" a="1"/>
  <c r="X559" i="155" s="1"/>
  <c r="X623" i="155" s="1"/>
  <c r="X552" i="155"/>
  <c r="BS527" i="154"/>
  <c r="BK590" i="154"/>
  <c r="AV518" i="153"/>
  <c r="AV581" i="153"/>
  <c r="BO372" i="154"/>
  <c r="BO49" i="154" s="1"/>
  <c r="BO114" i="154" s="1"/>
  <c r="BP526" i="153"/>
  <c r="BP588" i="153"/>
  <c r="W615" i="155"/>
  <c r="W559" i="155" a="1"/>
  <c r="W559" i="155" s="1"/>
  <c r="W623" i="155" s="1"/>
  <c r="W552" i="155"/>
  <c r="BR588" i="153"/>
  <c r="BR526" i="153"/>
  <c r="BH590" i="153"/>
  <c r="BP527" i="153"/>
  <c r="BY352" i="155"/>
  <c r="BY44" i="155" s="1"/>
  <c r="BY109" i="155" s="1"/>
  <c r="BI579" i="155"/>
  <c r="BI517" i="155"/>
  <c r="BW588" i="154"/>
  <c r="BW526" i="154"/>
  <c r="BW590" i="154" s="1"/>
  <c r="AH582" i="155"/>
  <c r="AH223" i="155"/>
  <c r="BH579" i="155"/>
  <c r="BH517" i="155"/>
  <c r="BN388" i="155"/>
  <c r="BN51" i="155" s="1"/>
  <c r="AU224" i="154"/>
  <c r="AU591" i="154"/>
  <c r="BN372" i="155"/>
  <c r="BN49" i="155" s="1"/>
  <c r="AN593" i="153"/>
  <c r="AN594" i="153" s="1"/>
  <c r="AN530" i="153"/>
  <c r="AN544" i="153"/>
  <c r="BN515" i="154"/>
  <c r="BW362" i="153"/>
  <c r="BW359" i="153"/>
  <c r="BW358" i="153"/>
  <c r="BW361" i="153"/>
  <c r="BW360" i="153"/>
  <c r="BW363" i="153"/>
  <c r="BM579" i="155"/>
  <c r="BM517" i="155"/>
  <c r="BM529" i="155" s="1"/>
  <c r="BO229" i="155"/>
  <c r="AS593" i="153"/>
  <c r="AS594" i="153" s="1"/>
  <c r="AS530" i="153"/>
  <c r="AS544" i="153"/>
  <c r="BQ380" i="155"/>
  <c r="BQ50" i="155" s="1"/>
  <c r="BQ115" i="155" s="1"/>
  <c r="AX591" i="155"/>
  <c r="AX224" i="155"/>
  <c r="BY361" i="153"/>
  <c r="BY363" i="153"/>
  <c r="BY360" i="153"/>
  <c r="BY362" i="153"/>
  <c r="BY359" i="153"/>
  <c r="BY358" i="153"/>
  <c r="BU606" i="154"/>
  <c r="BP588" i="155"/>
  <c r="BP526" i="155"/>
  <c r="BY230" i="153"/>
  <c r="BV228" i="154"/>
  <c r="BR399" i="154"/>
  <c r="BR397" i="154"/>
  <c r="BR395" i="154"/>
  <c r="BR396" i="154"/>
  <c r="BR398" i="154"/>
  <c r="BR394" i="154"/>
  <c r="BF517" i="155"/>
  <c r="BF579" i="155"/>
  <c r="BT515" i="153"/>
  <c r="BS228" i="155"/>
  <c r="BX515" i="154"/>
  <c r="BR228" i="153"/>
  <c r="BJ527" i="153"/>
  <c r="BB590" i="153"/>
  <c r="BN395" i="155"/>
  <c r="BN394" i="155"/>
  <c r="BN399" i="155"/>
  <c r="BN398" i="155"/>
  <c r="BN397" i="155"/>
  <c r="BN396" i="155"/>
  <c r="AM608" i="155"/>
  <c r="AM551" i="155"/>
  <c r="AM555" i="155" s="1"/>
  <c r="BO398" i="155"/>
  <c r="BO397" i="155"/>
  <c r="BO396" i="155"/>
  <c r="BO395" i="155"/>
  <c r="BO394" i="155"/>
  <c r="BO399" i="155"/>
  <c r="AZ591" i="154"/>
  <c r="AZ224" i="154"/>
  <c r="BO360" i="154"/>
  <c r="BO362" i="154"/>
  <c r="BO361" i="154"/>
  <c r="BO363" i="154"/>
  <c r="BO358" i="154"/>
  <c r="BO359" i="154"/>
  <c r="BW399" i="155"/>
  <c r="BW395" i="155"/>
  <c r="BW398" i="155"/>
  <c r="BW394" i="155"/>
  <c r="BW397" i="155"/>
  <c r="BW396" i="155"/>
  <c r="X527" i="153"/>
  <c r="N590" i="153"/>
  <c r="V527" i="153"/>
  <c r="BN372" i="154"/>
  <c r="BN49" i="154" s="1"/>
  <c r="AM551" i="154"/>
  <c r="AM555" i="154" s="1"/>
  <c r="AM608" i="154"/>
  <c r="AT518" i="153"/>
  <c r="AT581" i="153"/>
  <c r="BQ372" i="154"/>
  <c r="BQ49" i="154" s="1"/>
  <c r="BQ114" i="154" s="1"/>
  <c r="BY352" i="153"/>
  <c r="BY44" i="153" s="1"/>
  <c r="BY109" i="153" s="1"/>
  <c r="BP606" i="154"/>
  <c r="BR408" i="155"/>
  <c r="BR58" i="155" s="1"/>
  <c r="BR123" i="155" s="1"/>
  <c r="J615" i="153"/>
  <c r="J616" i="153" s="1"/>
  <c r="BT396" i="153"/>
  <c r="BT394" i="153"/>
  <c r="BT397" i="153"/>
  <c r="BT398" i="153"/>
  <c r="BT395" i="153"/>
  <c r="BT399" i="153"/>
  <c r="BU396" i="153"/>
  <c r="BU399" i="153"/>
  <c r="BU398" i="153"/>
  <c r="BU395" i="153"/>
  <c r="BU397" i="153"/>
  <c r="BU394" i="153"/>
  <c r="BU352" i="154"/>
  <c r="BU44" i="154" s="1"/>
  <c r="BU109" i="154" s="1"/>
  <c r="BN229" i="155"/>
  <c r="BK517" i="155"/>
  <c r="BK529" i="155" s="1"/>
  <c r="BK579" i="155"/>
  <c r="AX529" i="154"/>
  <c r="BU361" i="154"/>
  <c r="BU359" i="154"/>
  <c r="BU362" i="154"/>
  <c r="BU358" i="154"/>
  <c r="BU363" i="154"/>
  <c r="BU360" i="154"/>
  <c r="BH590" i="154"/>
  <c r="BP527" i="154"/>
  <c r="AU591" i="153"/>
  <c r="AU224" i="153"/>
  <c r="BX230" i="153"/>
  <c r="BU228" i="154"/>
  <c r="AZ591" i="155"/>
  <c r="AZ224" i="155"/>
  <c r="R608" i="153"/>
  <c r="R551" i="153"/>
  <c r="BP388" i="153"/>
  <c r="BP51" i="153" s="1"/>
  <c r="BP116" i="153" s="1"/>
  <c r="BV398" i="154"/>
  <c r="BV397" i="154"/>
  <c r="BV394" i="154"/>
  <c r="BV395" i="154"/>
  <c r="BV396" i="154"/>
  <c r="BV399" i="154"/>
  <c r="BE364" i="154"/>
  <c r="BE48" i="154" s="1"/>
  <c r="BY230" i="154"/>
  <c r="Z608" i="155"/>
  <c r="Z551" i="155"/>
  <c r="Z555" i="155" s="1"/>
  <c r="BR380" i="155"/>
  <c r="BR50" i="155" s="1"/>
  <c r="BR115" i="155" s="1"/>
  <c r="BR228" i="155"/>
  <c r="BW398" i="154"/>
  <c r="BW395" i="154"/>
  <c r="BW397" i="154"/>
  <c r="BW394" i="154"/>
  <c r="BW399" i="154"/>
  <c r="BW396" i="154"/>
  <c r="BQ228" i="153"/>
  <c r="AX530" i="153"/>
  <c r="AX593" i="153"/>
  <c r="AX594" i="153" s="1"/>
  <c r="AX544" i="153"/>
  <c r="BI364" i="154"/>
  <c r="BI48" i="154" s="1"/>
  <c r="W579" i="99"/>
  <c r="BB364" i="155"/>
  <c r="BB48" i="155" s="1"/>
  <c r="BV388" i="153"/>
  <c r="BV51" i="153" s="1"/>
  <c r="BV116" i="153" s="1"/>
  <c r="BL527" i="153"/>
  <c r="BD590" i="153"/>
  <c r="BF579" i="154"/>
  <c r="BF517" i="154"/>
  <c r="BS372" i="153"/>
  <c r="BS49" i="153" s="1"/>
  <c r="BS114" i="153" s="1"/>
  <c r="BX388" i="153"/>
  <c r="BX51" i="153" s="1"/>
  <c r="BX116" i="153" s="1"/>
  <c r="BV352" i="155"/>
  <c r="BV44" i="155" s="1"/>
  <c r="BV109" i="155" s="1"/>
  <c r="BX408" i="154"/>
  <c r="BX58" i="154" s="1"/>
  <c r="BX123" i="154" s="1"/>
  <c r="AM582" i="155"/>
  <c r="AM223" i="155"/>
  <c r="BJ590" i="155"/>
  <c r="BR527" i="155"/>
  <c r="BX606" i="155"/>
  <c r="BV352" i="153"/>
  <c r="BV44" i="153" s="1"/>
  <c r="BV109" i="153" s="1"/>
  <c r="BN408" i="155"/>
  <c r="BN58" i="155" s="1"/>
  <c r="AF582" i="153"/>
  <c r="AF223" i="153"/>
  <c r="BM364" i="154"/>
  <c r="BM48" i="154" s="1"/>
  <c r="AL582" i="155"/>
  <c r="AL223" i="155"/>
  <c r="AZ529" i="154"/>
  <c r="AZ581" i="154"/>
  <c r="AZ518" i="154"/>
  <c r="AW529" i="153"/>
  <c r="AW581" i="153"/>
  <c r="AW518" i="153"/>
  <c r="BT363" i="153"/>
  <c r="BT361" i="153"/>
  <c r="BT358" i="153"/>
  <c r="BT360" i="153"/>
  <c r="BT362" i="153"/>
  <c r="BT359" i="153"/>
  <c r="BP360" i="154"/>
  <c r="BP363" i="154"/>
  <c r="BP358" i="154"/>
  <c r="BP359" i="154"/>
  <c r="BP362" i="154"/>
  <c r="BP361" i="154"/>
  <c r="AY529" i="153"/>
  <c r="S615" i="154"/>
  <c r="S552" i="154"/>
  <c r="S559" i="154" a="1"/>
  <c r="S559" i="154" s="1"/>
  <c r="S623" i="154" s="1"/>
  <c r="BY397" i="155"/>
  <c r="BY395" i="155"/>
  <c r="BY394" i="155"/>
  <c r="BY398" i="155"/>
  <c r="BY396" i="155"/>
  <c r="BY399" i="155"/>
  <c r="BD400" i="154"/>
  <c r="BD57" i="154" s="1"/>
  <c r="AV529" i="153"/>
  <c r="BY526" i="153"/>
  <c r="BY588" i="153"/>
  <c r="J619" i="155"/>
  <c r="J620" i="155" s="1"/>
  <c r="R608" i="155"/>
  <c r="R551" i="155"/>
  <c r="R555" i="155" s="1"/>
  <c r="BW352" i="154"/>
  <c r="BW44" i="154" s="1"/>
  <c r="BW109" i="154" s="1"/>
  <c r="AU529" i="153"/>
  <c r="BW230" i="153"/>
  <c r="BT228" i="154"/>
  <c r="BQ380" i="153"/>
  <c r="BQ50" i="153" s="1"/>
  <c r="BQ115" i="153" s="1"/>
  <c r="AK608" i="155"/>
  <c r="AK551" i="155"/>
  <c r="AK555" i="155" s="1"/>
  <c r="BX230" i="154"/>
  <c r="BY372" i="155"/>
  <c r="BY49" i="155" s="1"/>
  <c r="BY114" i="155" s="1"/>
  <c r="BQ228" i="155"/>
  <c r="BP228" i="153"/>
  <c r="BV515" i="153"/>
  <c r="AH582" i="153"/>
  <c r="AH223" i="153"/>
  <c r="AD608" i="155"/>
  <c r="AD551" i="155"/>
  <c r="AD555" i="155" s="1"/>
  <c r="AR591" i="155"/>
  <c r="AR224" i="155"/>
  <c r="AY591" i="154"/>
  <c r="AY224" i="154"/>
  <c r="BP399" i="153"/>
  <c r="BP395" i="153"/>
  <c r="BP398" i="153"/>
  <c r="BP394" i="153"/>
  <c r="BP396" i="153"/>
  <c r="BP397" i="153"/>
  <c r="BQ526" i="154"/>
  <c r="BQ588" i="154"/>
  <c r="BS606" i="155"/>
  <c r="Y559" i="153" a="1"/>
  <c r="Y559" i="153" s="1"/>
  <c r="Y623" i="153" s="1"/>
  <c r="Y615" i="153"/>
  <c r="BV380" i="155"/>
  <c r="BV50" i="155" s="1"/>
  <c r="BV115" i="155" s="1"/>
  <c r="BS526" i="154"/>
  <c r="BS588" i="154"/>
  <c r="BJ400" i="153"/>
  <c r="BJ57" i="153" s="1"/>
  <c r="BJ579" i="155"/>
  <c r="BJ517" i="155"/>
  <c r="BJ529" i="155" s="1"/>
  <c r="BX363" i="155"/>
  <c r="BX359" i="155"/>
  <c r="BX358" i="155"/>
  <c r="BX361" i="155"/>
  <c r="BX362" i="155"/>
  <c r="BX360" i="155"/>
  <c r="AE608" i="155"/>
  <c r="AE551" i="155"/>
  <c r="AE555" i="155" s="1"/>
  <c r="BE517" i="153"/>
  <c r="BE579" i="153"/>
  <c r="BM400" i="153"/>
  <c r="BM57" i="153" s="1"/>
  <c r="BS372" i="154"/>
  <c r="BS49" i="154" s="1"/>
  <c r="BS114" i="154" s="1"/>
  <c r="BN408" i="153"/>
  <c r="BN58" i="153" s="1"/>
  <c r="W608" i="154"/>
  <c r="W551" i="154"/>
  <c r="W555" i="154" s="1"/>
  <c r="BT606" i="153"/>
  <c r="AY591" i="153"/>
  <c r="AY224" i="153"/>
  <c r="BS229" i="153"/>
  <c r="AV591" i="153"/>
  <c r="AV224" i="153"/>
  <c r="BU408" i="155"/>
  <c r="BU58" i="155" s="1"/>
  <c r="BU123" i="155" s="1"/>
  <c r="AX591" i="154"/>
  <c r="AX224" i="154"/>
  <c r="Y552" i="155"/>
  <c r="Y615" i="155"/>
  <c r="Y559" i="155" a="1"/>
  <c r="Y559" i="155" s="1"/>
  <c r="Y623" i="155" s="1"/>
  <c r="BV230" i="153"/>
  <c r="BS228" i="154"/>
  <c r="AZ529" i="155"/>
  <c r="BQ388" i="154"/>
  <c r="BQ51" i="154" s="1"/>
  <c r="BQ116" i="154" s="1"/>
  <c r="BI517" i="153"/>
  <c r="BI579" i="153"/>
  <c r="BR515" i="153"/>
  <c r="BY229" i="154"/>
  <c r="BG579" i="153"/>
  <c r="BG517" i="153"/>
  <c r="BG529" i="153" s="1"/>
  <c r="BW230" i="154"/>
  <c r="BQ606" i="155"/>
  <c r="BP228" i="155"/>
  <c r="BO228" i="153"/>
  <c r="AR593" i="155"/>
  <c r="AR594" i="155" s="1"/>
  <c r="AR530" i="155"/>
  <c r="AR544" i="155"/>
  <c r="AF551" i="154"/>
  <c r="AF555" i="154" s="1"/>
  <c r="AF608" i="154"/>
  <c r="BS360" i="155"/>
  <c r="BS361" i="155"/>
  <c r="BS359" i="155"/>
  <c r="BS363" i="155"/>
  <c r="BS358" i="155"/>
  <c r="BS362" i="155"/>
  <c r="BQ352" i="153"/>
  <c r="BQ44" i="153" s="1"/>
  <c r="BQ109" i="153" s="1"/>
  <c r="AA608" i="153"/>
  <c r="AA551" i="153"/>
  <c r="BP399" i="155"/>
  <c r="BP397" i="155"/>
  <c r="BP395" i="155"/>
  <c r="BP398" i="155"/>
  <c r="BP396" i="155"/>
  <c r="BP394" i="155"/>
  <c r="BV606" i="155"/>
  <c r="BY388" i="153"/>
  <c r="BY51" i="153" s="1"/>
  <c r="BY116" i="153" s="1"/>
  <c r="BN352" i="154"/>
  <c r="BN44" i="154" s="1"/>
  <c r="BG400" i="153"/>
  <c r="BG57" i="153" s="1"/>
  <c r="BW380" i="154"/>
  <c r="BW50" i="154" s="1"/>
  <c r="BW115" i="154" s="1"/>
  <c r="W615" i="153"/>
  <c r="W559" i="153" a="1"/>
  <c r="W559" i="153" s="1"/>
  <c r="W623" i="153" s="1"/>
  <c r="BF364" i="155"/>
  <c r="BF48" i="155" s="1"/>
  <c r="AL582" i="154"/>
  <c r="AL223" i="154"/>
  <c r="BY372" i="153"/>
  <c r="BY49" i="153" s="1"/>
  <c r="BY114" i="153" s="1"/>
  <c r="BP408" i="153"/>
  <c r="BP58" i="153" s="1"/>
  <c r="BP123" i="153" s="1"/>
  <c r="BK364" i="155"/>
  <c r="BK48" i="155" s="1"/>
  <c r="AG223" i="153"/>
  <c r="AG582" i="153"/>
  <c r="BR229" i="153"/>
  <c r="BC517" i="154"/>
  <c r="BC529" i="154" s="1"/>
  <c r="BC579" i="154"/>
  <c r="AW529" i="155"/>
  <c r="BP372" i="155"/>
  <c r="BP49" i="155" s="1"/>
  <c r="BP114" i="155" s="1"/>
  <c r="BC590" i="154"/>
  <c r="BK527" i="154"/>
  <c r="AR591" i="154"/>
  <c r="AR224" i="154"/>
  <c r="BO526" i="155"/>
  <c r="BO588" i="155"/>
  <c r="BH364" i="155"/>
  <c r="BH48" i="155" s="1"/>
  <c r="BU230" i="153"/>
  <c r="BR228" i="154"/>
  <c r="BP388" i="154"/>
  <c r="BP51" i="154" s="1"/>
  <c r="BP116" i="154" s="1"/>
  <c r="BT396" i="154"/>
  <c r="BT395" i="154"/>
  <c r="BT394" i="154"/>
  <c r="BT397" i="154"/>
  <c r="BT398" i="154"/>
  <c r="BT399" i="154"/>
  <c r="BX229" i="154"/>
  <c r="BP352" i="155"/>
  <c r="BP44" i="155" s="1"/>
  <c r="BP109" i="155" s="1"/>
  <c r="BV230" i="154"/>
  <c r="AI223" i="154"/>
  <c r="AI582" i="154"/>
  <c r="AU591" i="155"/>
  <c r="AU224" i="155"/>
  <c r="BQ363" i="155"/>
  <c r="BQ358" i="155"/>
  <c r="BQ359" i="155"/>
  <c r="BQ362" i="155"/>
  <c r="BQ360" i="155"/>
  <c r="BQ361" i="155"/>
  <c r="BO228" i="155"/>
  <c r="BD579" i="154"/>
  <c r="BD517" i="154"/>
  <c r="BN228" i="153"/>
  <c r="AH593" i="153"/>
  <c r="AH594" i="153" s="1"/>
  <c r="AH530" i="153"/>
  <c r="AH544" i="153"/>
  <c r="BQ372" i="153"/>
  <c r="BQ49" i="153" s="1"/>
  <c r="BQ114" i="153" s="1"/>
  <c r="BN526" i="153"/>
  <c r="BN588" i="153"/>
  <c r="BU352" i="155"/>
  <c r="BU44" i="155" s="1"/>
  <c r="BU109" i="155" s="1"/>
  <c r="BV361" i="155"/>
  <c r="BV359" i="155"/>
  <c r="BV363" i="155"/>
  <c r="BV360" i="155"/>
  <c r="BV358" i="155"/>
  <c r="BV362" i="155"/>
  <c r="BU380" i="154"/>
  <c r="BU50" i="154" s="1"/>
  <c r="BU115" i="154" s="1"/>
  <c r="BN394" i="153"/>
  <c r="BN398" i="153"/>
  <c r="BN397" i="153"/>
  <c r="BN395" i="153"/>
  <c r="BN399" i="153"/>
  <c r="BN396" i="153"/>
  <c r="AI530" i="154"/>
  <c r="AI593" i="154"/>
  <c r="AI594" i="154" s="1"/>
  <c r="AI544" i="154"/>
  <c r="BG579" i="155"/>
  <c r="BG517" i="155"/>
  <c r="BD400" i="155"/>
  <c r="BD57" i="155" s="1"/>
  <c r="BQ394" i="153"/>
  <c r="BQ397" i="153"/>
  <c r="BQ399" i="153"/>
  <c r="BQ396" i="153"/>
  <c r="BQ395" i="153"/>
  <c r="BQ398" i="153"/>
  <c r="BD364" i="153"/>
  <c r="BD48" i="153" s="1"/>
  <c r="BO372" i="155"/>
  <c r="BO49" i="155" s="1"/>
  <c r="BO114" i="155" s="1"/>
  <c r="BQ606" i="154"/>
  <c r="BQ229" i="153"/>
  <c r="AW591" i="155"/>
  <c r="AW224" i="155"/>
  <c r="BB364" i="153"/>
  <c r="BB48" i="153" s="1"/>
  <c r="BO515" i="154"/>
  <c r="BN398" i="154"/>
  <c r="BN394" i="154"/>
  <c r="BN397" i="154"/>
  <c r="BN396" i="154"/>
  <c r="BN395" i="154"/>
  <c r="BN399" i="154"/>
  <c r="BX372" i="154"/>
  <c r="BX49" i="154" s="1"/>
  <c r="BX114" i="154" s="1"/>
  <c r="BO396" i="154"/>
  <c r="BO397" i="154"/>
  <c r="BO395" i="154"/>
  <c r="BO394" i="154"/>
  <c r="BO398" i="154"/>
  <c r="BO399" i="154"/>
  <c r="BV352" i="154"/>
  <c r="BV44" i="154" s="1"/>
  <c r="BV109" i="154" s="1"/>
  <c r="BW396" i="153"/>
  <c r="BW399" i="153"/>
  <c r="BW395" i="153"/>
  <c r="BW394" i="153"/>
  <c r="BW397" i="153"/>
  <c r="BW398" i="153"/>
  <c r="BQ515" i="154"/>
  <c r="BL364" i="155"/>
  <c r="BL48" i="155" s="1"/>
  <c r="AR224" i="153"/>
  <c r="AR591" i="153"/>
  <c r="BT230" i="153"/>
  <c r="BQ228" i="154"/>
  <c r="AT581" i="154"/>
  <c r="AT518" i="154"/>
  <c r="AW529" i="154"/>
  <c r="BH590" i="155"/>
  <c r="BP527" i="155"/>
  <c r="BX363" i="154"/>
  <c r="BX358" i="154"/>
  <c r="BX362" i="154"/>
  <c r="BX361" i="154"/>
  <c r="BX360" i="154"/>
  <c r="BX359" i="154"/>
  <c r="BW372" i="155"/>
  <c r="BW49" i="155" s="1"/>
  <c r="BW114" i="155" s="1"/>
  <c r="BS588" i="155"/>
  <c r="BS526" i="155"/>
  <c r="BW229" i="154"/>
  <c r="AZ529" i="153"/>
  <c r="BU230" i="154"/>
  <c r="N579" i="155"/>
  <c r="P579" i="155" s="1"/>
  <c r="BN228" i="155"/>
  <c r="AQ591" i="154"/>
  <c r="AQ224" i="154"/>
  <c r="BJ364" i="155"/>
  <c r="BJ48" i="155" s="1"/>
  <c r="AT529" i="153"/>
  <c r="BE400" i="154"/>
  <c r="BE57" i="154" s="1"/>
  <c r="Y549" i="99"/>
  <c r="Y613" i="99" s="1"/>
  <c r="Y612" i="99"/>
  <c r="Y230" i="99"/>
  <c r="X515" i="99"/>
  <c r="X579" i="99" s="1"/>
  <c r="Y535" i="99"/>
  <c r="Y599" i="99" s="1"/>
  <c r="Y597" i="99"/>
  <c r="Y512" i="99"/>
  <c r="Y576" i="99" s="1"/>
  <c r="V518" i="99"/>
  <c r="V581" i="99"/>
  <c r="V529" i="99"/>
  <c r="Z17" i="69"/>
  <c r="AE76" i="105" s="1"/>
  <c r="Z40" i="151" s="1"/>
  <c r="Y233" i="99"/>
  <c r="AB3" i="69"/>
  <c r="AB4" i="69" s="1"/>
  <c r="AA2" i="69" a="1"/>
  <c r="AA2" i="69" s="1"/>
  <c r="AA16" i="69"/>
  <c r="AA12" i="69"/>
  <c r="AA14" i="69"/>
  <c r="AA15" i="69"/>
  <c r="AA7" i="69"/>
  <c r="AA11" i="69"/>
  <c r="AA10" i="69"/>
  <c r="AA13" i="69"/>
  <c r="AA8" i="69"/>
  <c r="V224" i="99"/>
  <c r="V591" i="99"/>
  <c r="Y229" i="99"/>
  <c r="Y228" i="99"/>
  <c r="Y585" i="99"/>
  <c r="Y524" i="99"/>
  <c r="Y232" i="99"/>
  <c r="Y234" i="99"/>
  <c r="W529" i="99"/>
  <c r="W518" i="99"/>
  <c r="W581" i="99"/>
  <c r="Y602" i="99"/>
  <c r="Y542" i="99"/>
  <c r="Y606" i="99" s="1"/>
  <c r="X588" i="99"/>
  <c r="X526" i="99"/>
  <c r="Z539" i="99"/>
  <c r="Z603" i="99" s="1"/>
  <c r="Z541" i="99"/>
  <c r="Z605" i="99" s="1"/>
  <c r="Z534" i="99"/>
  <c r="Z598" i="99" s="1"/>
  <c r="Z547" i="99"/>
  <c r="Z611" i="99" s="1"/>
  <c r="Z548" i="99"/>
  <c r="Z612" i="99" s="1"/>
  <c r="Z538" i="99"/>
  <c r="Z540" i="99"/>
  <c r="Z604" i="99" s="1"/>
  <c r="Z509" i="99"/>
  <c r="Z573" i="99" s="1"/>
  <c r="Z507" i="99"/>
  <c r="Z522" i="99"/>
  <c r="Z586" i="99" s="1"/>
  <c r="Z521" i="99"/>
  <c r="Z523" i="99"/>
  <c r="Z587" i="99" s="1"/>
  <c r="Z525" i="99"/>
  <c r="Z589" i="99" s="1"/>
  <c r="Z516" i="99"/>
  <c r="Z580" i="99" s="1"/>
  <c r="Z513" i="99"/>
  <c r="Z577" i="99" s="1"/>
  <c r="Z514" i="99"/>
  <c r="Z578" i="99" s="1"/>
  <c r="Z558" i="99"/>
  <c r="Z622" i="99" s="1"/>
  <c r="Z533" i="99"/>
  <c r="Z597" i="99" s="1"/>
  <c r="AB3" i="99"/>
  <c r="AB4" i="99" s="1"/>
  <c r="AB503" i="99" s="1"/>
  <c r="AB487" i="99" s="1"/>
  <c r="AB495" i="99" s="1"/>
  <c r="AA2" i="99" a="1"/>
  <c r="AA2" i="99" s="1"/>
  <c r="AA554" i="99" s="1"/>
  <c r="AA474" i="99"/>
  <c r="AA475" i="99"/>
  <c r="AA498" i="99"/>
  <c r="AA482" i="99" s="1"/>
  <c r="AA490" i="99" s="1"/>
  <c r="AA499" i="99"/>
  <c r="AA483" i="99" s="1"/>
  <c r="AA491" i="99" s="1"/>
  <c r="AA476" i="99"/>
  <c r="AA477" i="99"/>
  <c r="AA500" i="99"/>
  <c r="AA484" i="99" s="1"/>
  <c r="AA492" i="99" s="1"/>
  <c r="AA501" i="99"/>
  <c r="AA485" i="99" s="1"/>
  <c r="AA493" i="99" s="1"/>
  <c r="AA478" i="99"/>
  <c r="AA502" i="99"/>
  <c r="AA486" i="99" s="1"/>
  <c r="AA494" i="99" s="1"/>
  <c r="AA479" i="99"/>
  <c r="AE527" i="99"/>
  <c r="W590" i="99"/>
  <c r="AC5" i="72"/>
  <c r="AC6" i="72" s="1"/>
  <c r="AB36" i="72"/>
  <c r="AB37" i="72"/>
  <c r="AB47" i="72"/>
  <c r="AB48" i="72"/>
  <c r="Z503" i="99"/>
  <c r="Z487" i="99" s="1"/>
  <c r="Z495" i="99" s="1"/>
  <c r="U551" i="99"/>
  <c r="U608" i="99"/>
  <c r="I136" i="99"/>
  <c r="I137" i="99" s="1"/>
  <c r="L593" i="99"/>
  <c r="L594" i="99" s="1"/>
  <c r="L530" i="99"/>
  <c r="M529" i="99"/>
  <c r="M581" i="99"/>
  <c r="M582" i="99" s="1"/>
  <c r="M518" i="99"/>
  <c r="N579" i="99"/>
  <c r="P579" i="99" s="1"/>
  <c r="N517" i="99"/>
  <c r="P515" i="99"/>
  <c r="S551" i="99"/>
  <c r="S608" i="99"/>
  <c r="R615" i="99"/>
  <c r="R552" i="99"/>
  <c r="S503" i="99"/>
  <c r="S487" i="99" s="1"/>
  <c r="S495" i="99" s="1"/>
  <c r="T503" i="99"/>
  <c r="T487" i="99" s="1"/>
  <c r="T495" i="99" s="1"/>
  <c r="AA503" i="99"/>
  <c r="AA487" i="99" s="1"/>
  <c r="AA495" i="99" s="1"/>
  <c r="U503" i="99"/>
  <c r="U487" i="99" s="1"/>
  <c r="U495" i="99" s="1"/>
  <c r="AR8" i="98"/>
  <c r="AB6" i="98"/>
  <c r="AA70" i="103"/>
  <c r="V503" i="99"/>
  <c r="V487" i="99" s="1"/>
  <c r="V495" i="99" s="1"/>
  <c r="W503" i="99"/>
  <c r="W487" i="99" s="1"/>
  <c r="W495" i="99" s="1"/>
  <c r="X503" i="99"/>
  <c r="X487" i="99" s="1"/>
  <c r="X495" i="99" s="1"/>
  <c r="R503" i="99"/>
  <c r="R487" i="99" s="1"/>
  <c r="R495" i="99" s="1"/>
  <c r="Y503" i="99"/>
  <c r="Y487" i="99" s="1"/>
  <c r="Y495" i="99" s="1"/>
  <c r="AC4" i="72" l="1" a="1"/>
  <c r="AC4" i="72" s="1"/>
  <c r="BG122" i="154"/>
  <c r="BG59" i="154"/>
  <c r="BG124" i="154" s="1"/>
  <c r="BG59" i="153"/>
  <c r="BG124" i="153" s="1"/>
  <c r="BG122" i="153"/>
  <c r="N49" i="155"/>
  <c r="BN114" i="155"/>
  <c r="BN116" i="154"/>
  <c r="N51" i="154"/>
  <c r="M48" i="153"/>
  <c r="M113" i="153" s="1"/>
  <c r="BB52" i="153"/>
  <c r="BB113" i="153"/>
  <c r="BI113" i="154"/>
  <c r="BI52" i="154"/>
  <c r="BI117" i="154" s="1"/>
  <c r="BN123" i="154"/>
  <c r="N58" i="154"/>
  <c r="BK122" i="154"/>
  <c r="BK59" i="154"/>
  <c r="BK124" i="154" s="1"/>
  <c r="BL113" i="154"/>
  <c r="BL52" i="154"/>
  <c r="BL117" i="154" s="1"/>
  <c r="BC113" i="155"/>
  <c r="BC52" i="155"/>
  <c r="BC117" i="155" s="1"/>
  <c r="BL122" i="155"/>
  <c r="BL59" i="155"/>
  <c r="BL124" i="155" s="1"/>
  <c r="BD113" i="155"/>
  <c r="BD52" i="155"/>
  <c r="BD117" i="155" s="1"/>
  <c r="BE59" i="155"/>
  <c r="BE124" i="155" s="1"/>
  <c r="BE122" i="155"/>
  <c r="BF122" i="155"/>
  <c r="BF59" i="155"/>
  <c r="BF124" i="155" s="1"/>
  <c r="AP124" i="155"/>
  <c r="L59" i="155"/>
  <c r="L124" i="155" s="1"/>
  <c r="BC113" i="154"/>
  <c r="BC52" i="154"/>
  <c r="BC117" i="154" s="1"/>
  <c r="BE122" i="154"/>
  <c r="BE59" i="154"/>
  <c r="BE124" i="154" s="1"/>
  <c r="BD59" i="154"/>
  <c r="BD124" i="154" s="1"/>
  <c r="BD122" i="154"/>
  <c r="BM122" i="154"/>
  <c r="BM59" i="154"/>
  <c r="BM124" i="154" s="1"/>
  <c r="BJ122" i="154"/>
  <c r="BJ59" i="154"/>
  <c r="BJ124" i="154" s="1"/>
  <c r="BH59" i="155"/>
  <c r="BH124" i="155" s="1"/>
  <c r="BH122" i="155"/>
  <c r="BN115" i="154"/>
  <c r="N50" i="154"/>
  <c r="AP117" i="154"/>
  <c r="L52" i="154"/>
  <c r="L117" i="154" s="1"/>
  <c r="BI113" i="153"/>
  <c r="BI52" i="153"/>
  <c r="BI117" i="153" s="1"/>
  <c r="BK113" i="155"/>
  <c r="BK52" i="155"/>
  <c r="BK117" i="155" s="1"/>
  <c r="BH122" i="154"/>
  <c r="BH59" i="154"/>
  <c r="BH124" i="154" s="1"/>
  <c r="BE122" i="153"/>
  <c r="BE59" i="153"/>
  <c r="BE124" i="153" s="1"/>
  <c r="BF113" i="154"/>
  <c r="BF52" i="154"/>
  <c r="BF117" i="154" s="1"/>
  <c r="BN116" i="153"/>
  <c r="N51" i="153"/>
  <c r="BJ113" i="155"/>
  <c r="BJ52" i="155"/>
  <c r="BJ117" i="155" s="1"/>
  <c r="BN123" i="153"/>
  <c r="N58" i="153"/>
  <c r="BH113" i="153"/>
  <c r="BH52" i="153"/>
  <c r="BH117" i="153" s="1"/>
  <c r="BN109" i="153"/>
  <c r="N44" i="153"/>
  <c r="BF122" i="154"/>
  <c r="BF59" i="154"/>
  <c r="BF124" i="154" s="1"/>
  <c r="L59" i="153"/>
  <c r="L124" i="153" s="1"/>
  <c r="AP124" i="153"/>
  <c r="BN123" i="155"/>
  <c r="N58" i="155"/>
  <c r="BD113" i="153"/>
  <c r="BD52" i="153"/>
  <c r="BD117" i="153" s="1"/>
  <c r="BL59" i="153"/>
  <c r="BL124" i="153" s="1"/>
  <c r="BL122" i="153"/>
  <c r="BK59" i="153"/>
  <c r="BK124" i="153" s="1"/>
  <c r="BK122" i="153"/>
  <c r="BJ122" i="155"/>
  <c r="BJ59" i="155"/>
  <c r="BJ124" i="155" s="1"/>
  <c r="BJ113" i="153"/>
  <c r="BJ52" i="153"/>
  <c r="BJ117" i="153" s="1"/>
  <c r="L52" i="155"/>
  <c r="L117" i="155" s="1"/>
  <c r="AP117" i="155"/>
  <c r="BK122" i="155"/>
  <c r="BK59" i="155"/>
  <c r="BK124" i="155" s="1"/>
  <c r="BF113" i="155"/>
  <c r="BF52" i="155"/>
  <c r="BF117" i="155" s="1"/>
  <c r="BH122" i="153"/>
  <c r="BH59" i="153"/>
  <c r="BH124" i="153" s="1"/>
  <c r="L59" i="154"/>
  <c r="L124" i="154" s="1"/>
  <c r="AP124" i="154"/>
  <c r="BC52" i="153"/>
  <c r="BC117" i="153" s="1"/>
  <c r="BC113" i="153"/>
  <c r="BN114" i="153"/>
  <c r="N49" i="153"/>
  <c r="BN114" i="154"/>
  <c r="N49" i="154"/>
  <c r="BK113" i="153"/>
  <c r="BK52" i="153"/>
  <c r="BK117" i="153" s="1"/>
  <c r="BC122" i="153"/>
  <c r="BC59" i="153"/>
  <c r="BC124" i="153" s="1"/>
  <c r="BG113" i="153"/>
  <c r="BG52" i="153"/>
  <c r="BG117" i="153" s="1"/>
  <c r="BH113" i="155"/>
  <c r="BH52" i="155"/>
  <c r="BH117" i="155" s="1"/>
  <c r="BI113" i="155"/>
  <c r="BI52" i="155"/>
  <c r="BI117" i="155" s="1"/>
  <c r="BG59" i="155"/>
  <c r="BG124" i="155" s="1"/>
  <c r="BG122" i="155"/>
  <c r="BM113" i="155"/>
  <c r="BM52" i="155"/>
  <c r="BM117" i="155" s="1"/>
  <c r="BB59" i="154"/>
  <c r="BB122" i="154"/>
  <c r="M57" i="154"/>
  <c r="M122" i="154" s="1"/>
  <c r="BL113" i="155"/>
  <c r="BL52" i="155"/>
  <c r="BL117" i="155" s="1"/>
  <c r="BE113" i="153"/>
  <c r="BE52" i="153"/>
  <c r="BE117" i="153" s="1"/>
  <c r="BJ52" i="154"/>
  <c r="BJ117" i="154" s="1"/>
  <c r="BJ113" i="154"/>
  <c r="BD122" i="153"/>
  <c r="BD59" i="153"/>
  <c r="BD124" i="153" s="1"/>
  <c r="M68" i="153"/>
  <c r="M133" i="153" s="1"/>
  <c r="BB133" i="153"/>
  <c r="BH113" i="154"/>
  <c r="BH52" i="154"/>
  <c r="BH117" i="154" s="1"/>
  <c r="BJ122" i="153"/>
  <c r="BJ59" i="153"/>
  <c r="BJ124" i="153" s="1"/>
  <c r="BG113" i="155"/>
  <c r="BG52" i="155"/>
  <c r="BG117" i="155" s="1"/>
  <c r="BM122" i="153"/>
  <c r="BM59" i="153"/>
  <c r="BM124" i="153" s="1"/>
  <c r="BN109" i="155"/>
  <c r="N44" i="155"/>
  <c r="BD113" i="154"/>
  <c r="BD52" i="154"/>
  <c r="BD117" i="154" s="1"/>
  <c r="BN115" i="153"/>
  <c r="N50" i="153"/>
  <c r="BE113" i="154"/>
  <c r="BE52" i="154"/>
  <c r="BE117" i="154" s="1"/>
  <c r="BN116" i="155"/>
  <c r="N51" i="155"/>
  <c r="BF59" i="153"/>
  <c r="BF124" i="153" s="1"/>
  <c r="BF122" i="153"/>
  <c r="BL52" i="153"/>
  <c r="BL117" i="153" s="1"/>
  <c r="BL113" i="153"/>
  <c r="BI59" i="155"/>
  <c r="BI124" i="155" s="1"/>
  <c r="BI122" i="155"/>
  <c r="BB122" i="155"/>
  <c r="M57" i="155"/>
  <c r="M122" i="155" s="1"/>
  <c r="BB59" i="155"/>
  <c r="BI122" i="154"/>
  <c r="BI59" i="154"/>
  <c r="BI124" i="154" s="1"/>
  <c r="AP117" i="153"/>
  <c r="L52" i="153"/>
  <c r="L117" i="153" s="1"/>
  <c r="BL122" i="154"/>
  <c r="BL59" i="154"/>
  <c r="BL124" i="154" s="1"/>
  <c r="BG113" i="154"/>
  <c r="BG52" i="154"/>
  <c r="BG117" i="154" s="1"/>
  <c r="BF113" i="153"/>
  <c r="BF52" i="153"/>
  <c r="BF117" i="153" s="1"/>
  <c r="BN109" i="154"/>
  <c r="N44" i="154"/>
  <c r="BK113" i="154"/>
  <c r="BK52" i="154"/>
  <c r="BK117" i="154" s="1"/>
  <c r="BM122" i="155"/>
  <c r="BM59" i="155"/>
  <c r="BM124" i="155" s="1"/>
  <c r="BE113" i="155"/>
  <c r="BE52" i="155"/>
  <c r="BE117" i="155" s="1"/>
  <c r="BC122" i="154"/>
  <c r="BC59" i="154"/>
  <c r="BC124" i="154" s="1"/>
  <c r="BI122" i="153"/>
  <c r="BI59" i="153"/>
  <c r="BI124" i="153" s="1"/>
  <c r="BB113" i="154"/>
  <c r="M48" i="154"/>
  <c r="M113" i="154" s="1"/>
  <c r="BB52" i="154"/>
  <c r="M68" i="155"/>
  <c r="M133" i="155" s="1"/>
  <c r="BB133" i="155"/>
  <c r="BD59" i="155"/>
  <c r="BD124" i="155" s="1"/>
  <c r="BD122" i="155"/>
  <c r="BM113" i="153"/>
  <c r="BM52" i="153"/>
  <c r="BM117" i="153" s="1"/>
  <c r="BB52" i="155"/>
  <c r="BB113" i="155"/>
  <c r="M48" i="155"/>
  <c r="M113" i="155" s="1"/>
  <c r="BN115" i="155"/>
  <c r="N50" i="155"/>
  <c r="BM113" i="154"/>
  <c r="BM52" i="154"/>
  <c r="BM117" i="154" s="1"/>
  <c r="BB122" i="153"/>
  <c r="M57" i="153"/>
  <c r="M122" i="153" s="1"/>
  <c r="BB59" i="153"/>
  <c r="BC122" i="155"/>
  <c r="BC59" i="155"/>
  <c r="BC124" i="155" s="1"/>
  <c r="M68" i="154"/>
  <c r="M133" i="154" s="1"/>
  <c r="BB133" i="154"/>
  <c r="AC555" i="153"/>
  <c r="AC556" i="153" s="1"/>
  <c r="AC552" i="153"/>
  <c r="AK555" i="153"/>
  <c r="AK556" i="153" s="1"/>
  <c r="AK552" i="153"/>
  <c r="R555" i="153"/>
  <c r="R556" i="153" s="1"/>
  <c r="R552" i="153"/>
  <c r="AM555" i="153"/>
  <c r="AM556" i="153" s="1"/>
  <c r="AM552" i="153"/>
  <c r="S555" i="153"/>
  <c r="S556" i="153" s="1"/>
  <c r="S552" i="153"/>
  <c r="AL555" i="153"/>
  <c r="AL556" i="153" s="1"/>
  <c r="AL552" i="153"/>
  <c r="L555" i="153"/>
  <c r="L556" i="153" s="1"/>
  <c r="L552" i="153"/>
  <c r="AA555" i="153"/>
  <c r="AA556" i="153" s="1"/>
  <c r="AA552" i="153"/>
  <c r="AF555" i="153"/>
  <c r="AF556" i="153" s="1"/>
  <c r="AF552" i="153"/>
  <c r="AO555" i="153"/>
  <c r="AO556" i="153" s="1"/>
  <c r="AO552" i="153"/>
  <c r="AI555" i="153"/>
  <c r="AI556" i="153" s="1"/>
  <c r="AI552" i="153"/>
  <c r="X555" i="153"/>
  <c r="X556" i="153" s="1"/>
  <c r="X552" i="153"/>
  <c r="K555" i="153"/>
  <c r="K556" i="153" s="1"/>
  <c r="K552" i="153"/>
  <c r="AJ555" i="153"/>
  <c r="AJ556" i="153" s="1"/>
  <c r="AJ552" i="153"/>
  <c r="Y129" i="104"/>
  <c r="Y129" i="99"/>
  <c r="D77" i="294"/>
  <c r="U561" i="155"/>
  <c r="U567" i="155" s="1"/>
  <c r="T561" i="155"/>
  <c r="T567" i="155" s="1"/>
  <c r="W561" i="153"/>
  <c r="W561" i="155"/>
  <c r="W567" i="155" s="1"/>
  <c r="T561" i="153"/>
  <c r="AA561" i="155"/>
  <c r="AA567" i="155" s="1"/>
  <c r="T561" i="154"/>
  <c r="T567" i="154" s="1"/>
  <c r="U561" i="153"/>
  <c r="Y561" i="155"/>
  <c r="Y567" i="155" s="1"/>
  <c r="V561" i="153"/>
  <c r="S561" i="154"/>
  <c r="S567" i="154" s="1"/>
  <c r="V561" i="155"/>
  <c r="V567" i="155" s="1"/>
  <c r="X561" i="155"/>
  <c r="X567" i="155" s="1"/>
  <c r="Y561" i="153"/>
  <c r="AB561" i="153"/>
  <c r="AB561" i="154"/>
  <c r="AB567" i="154" s="1"/>
  <c r="R561" i="99"/>
  <c r="R567" i="99" s="1"/>
  <c r="Z561" i="153"/>
  <c r="S561" i="155"/>
  <c r="S567" i="155" s="1"/>
  <c r="U559" i="99" a="1"/>
  <c r="U559" i="99" s="1"/>
  <c r="U623" i="99" s="1"/>
  <c r="U555" i="99"/>
  <c r="AC615" i="155"/>
  <c r="AC182" i="155" s="1"/>
  <c r="AC190" i="155" s="1"/>
  <c r="AC555" i="155"/>
  <c r="AC556" i="155" s="1"/>
  <c r="S559" i="99" a="1"/>
  <c r="S559" i="99" s="1"/>
  <c r="S623" i="99" s="1"/>
  <c r="S555" i="99"/>
  <c r="D65" i="294"/>
  <c r="Y129" i="103"/>
  <c r="N61" i="105"/>
  <c r="T551" i="99"/>
  <c r="T555" i="99" s="1"/>
  <c r="T608" i="99"/>
  <c r="P524" i="99"/>
  <c r="N588" i="99"/>
  <c r="P588" i="99" s="1"/>
  <c r="M590" i="99"/>
  <c r="M591" i="99" s="1"/>
  <c r="U527" i="99"/>
  <c r="Z618" i="99"/>
  <c r="Z64" i="99"/>
  <c r="AC552" i="155"/>
  <c r="AC559" i="155" a="1"/>
  <c r="AC559" i="155" s="1"/>
  <c r="AC623" i="155" s="1"/>
  <c r="AP544" i="155"/>
  <c r="AP551" i="155" s="1"/>
  <c r="AP555" i="155" s="1"/>
  <c r="AP593" i="155"/>
  <c r="AP594" i="155" s="1"/>
  <c r="AI551" i="155"/>
  <c r="AQ593" i="155"/>
  <c r="AQ594" i="155" s="1"/>
  <c r="AQ530" i="155"/>
  <c r="BP597" i="155"/>
  <c r="BP535" i="155"/>
  <c r="BP599" i="155" s="1"/>
  <c r="BO535" i="155"/>
  <c r="BO599" i="155" s="1"/>
  <c r="BO597" i="155"/>
  <c r="BN597" i="155"/>
  <c r="BN535" i="155"/>
  <c r="BN599" i="155" s="1"/>
  <c r="N599" i="155"/>
  <c r="P599" i="155" s="1"/>
  <c r="P535" i="155"/>
  <c r="BY535" i="155"/>
  <c r="BY599" i="155" s="1"/>
  <c r="BY597" i="155"/>
  <c r="BX597" i="155"/>
  <c r="BX535" i="155"/>
  <c r="BX599" i="155" s="1"/>
  <c r="BW535" i="155"/>
  <c r="BW599" i="155" s="1"/>
  <c r="BW597" i="155"/>
  <c r="BV535" i="155"/>
  <c r="BV599" i="155" s="1"/>
  <c r="BV597" i="155"/>
  <c r="BU597" i="155"/>
  <c r="BU535" i="155"/>
  <c r="BU599" i="155" s="1"/>
  <c r="BT535" i="155"/>
  <c r="BT599" i="155" s="1"/>
  <c r="BT597" i="155"/>
  <c r="BS597" i="155"/>
  <c r="BS535" i="155"/>
  <c r="BS599" i="155" s="1"/>
  <c r="BR597" i="155"/>
  <c r="BR535" i="155"/>
  <c r="BR599" i="155" s="1"/>
  <c r="BQ535" i="155"/>
  <c r="BQ599" i="155" s="1"/>
  <c r="BQ597" i="155"/>
  <c r="AJ551" i="154"/>
  <c r="BJ581" i="153"/>
  <c r="BJ223" i="153" s="1"/>
  <c r="BJ529" i="153"/>
  <c r="BJ593" i="153" s="1"/>
  <c r="BJ594" i="153" s="1"/>
  <c r="BR171" i="104"/>
  <c r="BR9" i="104" s="1"/>
  <c r="BQ171" i="104"/>
  <c r="BQ9" i="104" s="1"/>
  <c r="AV171" i="104"/>
  <c r="AV9" i="104" s="1"/>
  <c r="V171" i="104"/>
  <c r="V9" i="104" s="1"/>
  <c r="V64" i="104" s="1"/>
  <c r="AA64" i="105" s="1"/>
  <c r="V30" i="151" s="1"/>
  <c r="AE171" i="104"/>
  <c r="AE9" i="104" s="1"/>
  <c r="AK171" i="104"/>
  <c r="AK9" i="104" s="1"/>
  <c r="AC171" i="104"/>
  <c r="AC9" i="104" s="1"/>
  <c r="BA171" i="104"/>
  <c r="BA9" i="104" s="1"/>
  <c r="BN171" i="104"/>
  <c r="BN9" i="104" s="1"/>
  <c r="Z171" i="104"/>
  <c r="Z9" i="104" s="1"/>
  <c r="BH171" i="104"/>
  <c r="BH9" i="104" s="1"/>
  <c r="AP171" i="104"/>
  <c r="AP9" i="104" s="1"/>
  <c r="AO171" i="104"/>
  <c r="AO9" i="104" s="1"/>
  <c r="BG171" i="104"/>
  <c r="BG9" i="104" s="1"/>
  <c r="BX171" i="104"/>
  <c r="BX9" i="104" s="1"/>
  <c r="BV171" i="104"/>
  <c r="BV9" i="104" s="1"/>
  <c r="R171" i="104"/>
  <c r="R9" i="104" s="1"/>
  <c r="R64" i="104" s="1"/>
  <c r="W64" i="105" s="1"/>
  <c r="R30" i="151" s="1"/>
  <c r="AJ171" i="104"/>
  <c r="AJ9" i="104" s="1"/>
  <c r="BY171" i="104"/>
  <c r="BY9" i="104" s="1"/>
  <c r="W171" i="104"/>
  <c r="W9" i="104" s="1"/>
  <c r="W64" i="104" s="1"/>
  <c r="AB64" i="105" s="1"/>
  <c r="W30" i="151" s="1"/>
  <c r="BD171" i="104"/>
  <c r="BD9" i="104" s="1"/>
  <c r="S171" i="104"/>
  <c r="S9" i="104" s="1"/>
  <c r="S64" i="104" s="1"/>
  <c r="X64" i="105" s="1"/>
  <c r="S30" i="151" s="1"/>
  <c r="AU171" i="104"/>
  <c r="AU9" i="104" s="1"/>
  <c r="BU171" i="104"/>
  <c r="BU9" i="104" s="1"/>
  <c r="AW171" i="104"/>
  <c r="AW9" i="104" s="1"/>
  <c r="T171" i="104"/>
  <c r="T9" i="104" s="1"/>
  <c r="T64" i="104" s="1"/>
  <c r="Y64" i="105" s="1"/>
  <c r="T30" i="151" s="1"/>
  <c r="AZ171" i="104"/>
  <c r="AZ9" i="104" s="1"/>
  <c r="AB171" i="104"/>
  <c r="AB9" i="104" s="1"/>
  <c r="Y171" i="104"/>
  <c r="Y9" i="104" s="1"/>
  <c r="U171" i="104"/>
  <c r="U9" i="104" s="1"/>
  <c r="U64" i="104" s="1"/>
  <c r="Z64" i="105" s="1"/>
  <c r="U30" i="151" s="1"/>
  <c r="BJ171" i="104"/>
  <c r="BJ9" i="104" s="1"/>
  <c r="BB171" i="104"/>
  <c r="BB9" i="104" s="1"/>
  <c r="AM171" i="104"/>
  <c r="AM9" i="104" s="1"/>
  <c r="AI171" i="104"/>
  <c r="AI9" i="104" s="1"/>
  <c r="AS171" i="104"/>
  <c r="AS9" i="104" s="1"/>
  <c r="AR171" i="104"/>
  <c r="AR9" i="104" s="1"/>
  <c r="BL171" i="104"/>
  <c r="BL9" i="104" s="1"/>
  <c r="BT171" i="104"/>
  <c r="BT9" i="104" s="1"/>
  <c r="BM171" i="104"/>
  <c r="BM9" i="104" s="1"/>
  <c r="X171" i="104"/>
  <c r="X9" i="104" s="1"/>
  <c r="X64" i="104" s="1"/>
  <c r="AC64" i="105" s="1"/>
  <c r="X30" i="151" s="1"/>
  <c r="AQ171" i="104"/>
  <c r="AQ9" i="104" s="1"/>
  <c r="BF171" i="104"/>
  <c r="BF9" i="104" s="1"/>
  <c r="AG171" i="104"/>
  <c r="AG9" i="104" s="1"/>
  <c r="AT171" i="104"/>
  <c r="AT9" i="104" s="1"/>
  <c r="BS171" i="104"/>
  <c r="BS9" i="104" s="1"/>
  <c r="AH171" i="104"/>
  <c r="AH9" i="104" s="1"/>
  <c r="AN171" i="104"/>
  <c r="AN9" i="104" s="1"/>
  <c r="AD171" i="104"/>
  <c r="AD9" i="104" s="1"/>
  <c r="BP171" i="104"/>
  <c r="BP9" i="104" s="1"/>
  <c r="BE171" i="104"/>
  <c r="BE9" i="104" s="1"/>
  <c r="BK171" i="104"/>
  <c r="BK9" i="104" s="1"/>
  <c r="AL171" i="104"/>
  <c r="AL9" i="104" s="1"/>
  <c r="BO171" i="104"/>
  <c r="BO9" i="104" s="1"/>
  <c r="AA171" i="104"/>
  <c r="AA9" i="104" s="1"/>
  <c r="AF171" i="104"/>
  <c r="AF9" i="104" s="1"/>
  <c r="AY171" i="104"/>
  <c r="AY9" i="104" s="1"/>
  <c r="BW171" i="104"/>
  <c r="BW9" i="104" s="1"/>
  <c r="AX171" i="104"/>
  <c r="AX9" i="104" s="1"/>
  <c r="BC171" i="104"/>
  <c r="BC9" i="104" s="1"/>
  <c r="BI171" i="104"/>
  <c r="BI9" i="104" s="1"/>
  <c r="BT445" i="155"/>
  <c r="BT68" i="155" s="1"/>
  <c r="BT133" i="155" s="1"/>
  <c r="BO445" i="154"/>
  <c r="BO68" i="154" s="1"/>
  <c r="BO133" i="154" s="1"/>
  <c r="BP445" i="154"/>
  <c r="BP68" i="154" s="1"/>
  <c r="BP133" i="154" s="1"/>
  <c r="BP445" i="155"/>
  <c r="BP68" i="155" s="1"/>
  <c r="BP133" i="155" s="1"/>
  <c r="BT445" i="153"/>
  <c r="BT68" i="153" s="1"/>
  <c r="BT133" i="153" s="1"/>
  <c r="BP445" i="153"/>
  <c r="BP68" i="153" s="1"/>
  <c r="BP133" i="153" s="1"/>
  <c r="BW597" i="153"/>
  <c r="BW535" i="153"/>
  <c r="BW599" i="153" s="1"/>
  <c r="BT535" i="154"/>
  <c r="BT599" i="154" s="1"/>
  <c r="BT597" i="154"/>
  <c r="BV445" i="153"/>
  <c r="BV68" i="153" s="1"/>
  <c r="BV133" i="153" s="1"/>
  <c r="BV597" i="153"/>
  <c r="BV535" i="153"/>
  <c r="BV599" i="153" s="1"/>
  <c r="BS535" i="154"/>
  <c r="BS599" i="154" s="1"/>
  <c r="BS597" i="154"/>
  <c r="BV445" i="155"/>
  <c r="BV68" i="155" s="1"/>
  <c r="BV133" i="155" s="1"/>
  <c r="BX597" i="153"/>
  <c r="BX535" i="153"/>
  <c r="BX599" i="153" s="1"/>
  <c r="BY445" i="153"/>
  <c r="BY68" i="153" s="1"/>
  <c r="BY133" i="153" s="1"/>
  <c r="BQ535" i="154"/>
  <c r="BQ599" i="154" s="1"/>
  <c r="BQ597" i="154"/>
  <c r="BN445" i="153"/>
  <c r="BN68" i="153" s="1"/>
  <c r="BW445" i="153"/>
  <c r="BW68" i="153" s="1"/>
  <c r="BW133" i="153" s="1"/>
  <c r="BX445" i="154"/>
  <c r="BX68" i="154" s="1"/>
  <c r="BX133" i="154" s="1"/>
  <c r="BU535" i="153"/>
  <c r="BU599" i="153" s="1"/>
  <c r="BU597" i="153"/>
  <c r="BR597" i="154"/>
  <c r="BR535" i="154"/>
  <c r="BR599" i="154" s="1"/>
  <c r="BU445" i="154"/>
  <c r="BU68" i="154" s="1"/>
  <c r="BU133" i="154" s="1"/>
  <c r="BX445" i="153"/>
  <c r="BX68" i="153" s="1"/>
  <c r="BX133" i="153" s="1"/>
  <c r="BS535" i="153"/>
  <c r="BS599" i="153" s="1"/>
  <c r="BS597" i="153"/>
  <c r="BP597" i="154"/>
  <c r="BP535" i="154"/>
  <c r="BP599" i="154" s="1"/>
  <c r="BT597" i="153"/>
  <c r="BT535" i="153"/>
  <c r="BT599" i="153" s="1"/>
  <c r="BO597" i="154"/>
  <c r="BO535" i="154"/>
  <c r="BO599" i="154" s="1"/>
  <c r="BQ445" i="153"/>
  <c r="BQ68" i="153" s="1"/>
  <c r="BQ133" i="153" s="1"/>
  <c r="BR445" i="153"/>
  <c r="BR68" i="153" s="1"/>
  <c r="BR133" i="153" s="1"/>
  <c r="BW445" i="155"/>
  <c r="BW68" i="155" s="1"/>
  <c r="BW133" i="155" s="1"/>
  <c r="BR597" i="153"/>
  <c r="BR535" i="153"/>
  <c r="BR599" i="153" s="1"/>
  <c r="BN597" i="154"/>
  <c r="BN535" i="154"/>
  <c r="BN599" i="154" s="1"/>
  <c r="BX445" i="155"/>
  <c r="BX68" i="155" s="1"/>
  <c r="BX133" i="155" s="1"/>
  <c r="BP597" i="153"/>
  <c r="BP535" i="153"/>
  <c r="BP599" i="153" s="1"/>
  <c r="BQ535" i="153"/>
  <c r="BQ599" i="153" s="1"/>
  <c r="BQ597" i="153"/>
  <c r="BT445" i="154"/>
  <c r="BT68" i="154" s="1"/>
  <c r="BT133" i="154" s="1"/>
  <c r="BQ445" i="154"/>
  <c r="BQ68" i="154" s="1"/>
  <c r="BQ133" i="154" s="1"/>
  <c r="BS445" i="155"/>
  <c r="BS68" i="155" s="1"/>
  <c r="BS133" i="155" s="1"/>
  <c r="BO597" i="153"/>
  <c r="BO535" i="153"/>
  <c r="BO599" i="153" s="1"/>
  <c r="BS445" i="153"/>
  <c r="BS68" i="153" s="1"/>
  <c r="BS133" i="153" s="1"/>
  <c r="BN597" i="153"/>
  <c r="BN535" i="153"/>
  <c r="BN599" i="153" s="1"/>
  <c r="BW445" i="154"/>
  <c r="BW68" i="154" s="1"/>
  <c r="BW133" i="154" s="1"/>
  <c r="BY445" i="154"/>
  <c r="BY68" i="154" s="1"/>
  <c r="BY133" i="154" s="1"/>
  <c r="N599" i="153"/>
  <c r="P599" i="153" s="1"/>
  <c r="P535" i="153"/>
  <c r="BO445" i="153"/>
  <c r="BO68" i="153" s="1"/>
  <c r="BO133" i="153" s="1"/>
  <c r="BN445" i="155"/>
  <c r="BN68" i="155" s="1"/>
  <c r="P535" i="154"/>
  <c r="N599" i="154"/>
  <c r="P599" i="154" s="1"/>
  <c r="BQ445" i="155"/>
  <c r="BQ68" i="155" s="1"/>
  <c r="BQ133" i="155" s="1"/>
  <c r="BV579" i="155"/>
  <c r="BY445" i="155"/>
  <c r="BY68" i="155" s="1"/>
  <c r="BY133" i="155" s="1"/>
  <c r="BX597" i="154"/>
  <c r="BX535" i="154"/>
  <c r="BX599" i="154" s="1"/>
  <c r="BS445" i="154"/>
  <c r="BS68" i="154" s="1"/>
  <c r="BS133" i="154" s="1"/>
  <c r="BY597" i="154"/>
  <c r="BY535" i="154"/>
  <c r="BY599" i="154" s="1"/>
  <c r="BO445" i="155"/>
  <c r="BO68" i="155" s="1"/>
  <c r="BO133" i="155" s="1"/>
  <c r="BV445" i="154"/>
  <c r="BV68" i="154" s="1"/>
  <c r="BV133" i="154" s="1"/>
  <c r="BW535" i="154"/>
  <c r="BW599" i="154" s="1"/>
  <c r="BW597" i="154"/>
  <c r="BR445" i="155"/>
  <c r="BR68" i="155" s="1"/>
  <c r="BR133" i="155" s="1"/>
  <c r="BU445" i="153"/>
  <c r="BU68" i="153" s="1"/>
  <c r="BU133" i="153" s="1"/>
  <c r="BV597" i="154"/>
  <c r="BV535" i="154"/>
  <c r="BV599" i="154" s="1"/>
  <c r="BN445" i="154"/>
  <c r="BN68" i="154" s="1"/>
  <c r="BR445" i="154"/>
  <c r="BR68" i="154" s="1"/>
  <c r="BR133" i="154" s="1"/>
  <c r="BU445" i="155"/>
  <c r="BU68" i="155" s="1"/>
  <c r="BU133" i="155" s="1"/>
  <c r="BY597" i="153"/>
  <c r="BY535" i="153"/>
  <c r="BY599" i="153" s="1"/>
  <c r="BU597" i="154"/>
  <c r="BU535" i="154"/>
  <c r="BU599" i="154" s="1"/>
  <c r="BY579" i="155"/>
  <c r="BY579" i="153"/>
  <c r="BS517" i="155"/>
  <c r="BS518" i="155" s="1"/>
  <c r="BE529" i="155"/>
  <c r="BE593" i="155" s="1"/>
  <c r="BE594" i="155" s="1"/>
  <c r="BE518" i="155"/>
  <c r="BW579" i="155"/>
  <c r="BR517" i="154"/>
  <c r="BR581" i="154" s="1"/>
  <c r="BO579" i="155"/>
  <c r="BQ579" i="155"/>
  <c r="BX579" i="153"/>
  <c r="BX517" i="155"/>
  <c r="BX581" i="155" s="1"/>
  <c r="BT517" i="154"/>
  <c r="BT518" i="154" s="1"/>
  <c r="BW579" i="154"/>
  <c r="BW517" i="153"/>
  <c r="BW529" i="153" s="1"/>
  <c r="BR517" i="155"/>
  <c r="BR581" i="155" s="1"/>
  <c r="BU517" i="155"/>
  <c r="BU581" i="155" s="1"/>
  <c r="BV579" i="154"/>
  <c r="BT517" i="155"/>
  <c r="BT518" i="155" s="1"/>
  <c r="BP579" i="155"/>
  <c r="BS517" i="154"/>
  <c r="BS529" i="154" s="1"/>
  <c r="BV400" i="155"/>
  <c r="BV57" i="155" s="1"/>
  <c r="BQ400" i="155"/>
  <c r="BQ57" i="155" s="1"/>
  <c r="BU400" i="153"/>
  <c r="BU57" i="153" s="1"/>
  <c r="BO364" i="154"/>
  <c r="BO48" i="154" s="1"/>
  <c r="BU400" i="155"/>
  <c r="BU57" i="155" s="1"/>
  <c r="BX364" i="153"/>
  <c r="BX48" i="153" s="1"/>
  <c r="BO400" i="153"/>
  <c r="BO57" i="153" s="1"/>
  <c r="BR400" i="154"/>
  <c r="BR57" i="154" s="1"/>
  <c r="BV364" i="154"/>
  <c r="BV48" i="154" s="1"/>
  <c r="BC593" i="154"/>
  <c r="BC594" i="154" s="1"/>
  <c r="BC530" i="154"/>
  <c r="BC544" i="154"/>
  <c r="BK530" i="153"/>
  <c r="BK593" i="153"/>
  <c r="BK594" i="153" s="1"/>
  <c r="BK544" i="153"/>
  <c r="BG593" i="153"/>
  <c r="BG594" i="153" s="1"/>
  <c r="BG530" i="153"/>
  <c r="BG544" i="153"/>
  <c r="BK593" i="155"/>
  <c r="BK594" i="155" s="1"/>
  <c r="BK530" i="155"/>
  <c r="BK544" i="155"/>
  <c r="BB593" i="154"/>
  <c r="BB594" i="154" s="1"/>
  <c r="BB530" i="154"/>
  <c r="BB544" i="154"/>
  <c r="BM593" i="155"/>
  <c r="BM594" i="155" s="1"/>
  <c r="BM530" i="155"/>
  <c r="BM544" i="155"/>
  <c r="BJ593" i="154"/>
  <c r="BJ594" i="154" s="1"/>
  <c r="BJ530" i="154"/>
  <c r="BJ544" i="154"/>
  <c r="AH551" i="153"/>
  <c r="AH608" i="153"/>
  <c r="W619" i="153"/>
  <c r="W620" i="153" s="1"/>
  <c r="BJ591" i="155"/>
  <c r="BJ224" i="155"/>
  <c r="AX608" i="153"/>
  <c r="AX551" i="153"/>
  <c r="N593" i="153"/>
  <c r="N530" i="153"/>
  <c r="P530" i="153" s="1"/>
  <c r="N544" i="153"/>
  <c r="BW364" i="153"/>
  <c r="BW48" i="153" s="1"/>
  <c r="BW529" i="155"/>
  <c r="BW581" i="155"/>
  <c r="BW518" i="155"/>
  <c r="AS582" i="155"/>
  <c r="AS223" i="155"/>
  <c r="BI224" i="154"/>
  <c r="BI591" i="154"/>
  <c r="AS582" i="153"/>
  <c r="AS223" i="153"/>
  <c r="BE591" i="154"/>
  <c r="BE224" i="154"/>
  <c r="BB591" i="155"/>
  <c r="BB224" i="155"/>
  <c r="BE582" i="155"/>
  <c r="BE223" i="155"/>
  <c r="N581" i="153"/>
  <c r="BY518" i="153"/>
  <c r="BY581" i="153"/>
  <c r="BC591" i="154"/>
  <c r="BC224" i="154"/>
  <c r="BI529" i="153"/>
  <c r="BI581" i="153"/>
  <c r="BI518" i="153"/>
  <c r="BP400" i="153"/>
  <c r="BP57" i="153" s="1"/>
  <c r="BJ593" i="155"/>
  <c r="BJ594" i="155" s="1"/>
  <c r="BJ530" i="155"/>
  <c r="BJ544" i="155"/>
  <c r="BU364" i="154"/>
  <c r="BU48" i="154" s="1"/>
  <c r="BI581" i="155"/>
  <c r="BI518" i="155"/>
  <c r="Y552" i="154"/>
  <c r="Y615" i="154"/>
  <c r="Y559" i="154" a="1"/>
  <c r="Y559" i="154" s="1"/>
  <c r="Y623" i="154" s="1"/>
  <c r="BU364" i="155"/>
  <c r="BU48" i="155" s="1"/>
  <c r="BS579" i="153"/>
  <c r="BS517" i="153"/>
  <c r="BA593" i="153"/>
  <c r="BA594" i="153" s="1"/>
  <c r="BA530" i="153"/>
  <c r="BA544" i="153"/>
  <c r="V616" i="153"/>
  <c r="V182" i="153"/>
  <c r="V190" i="153" s="1"/>
  <c r="AF559" i="153" a="1"/>
  <c r="AF559" i="153" s="1"/>
  <c r="AF623" i="153" s="1"/>
  <c r="AF615" i="153"/>
  <c r="AS582" i="154"/>
  <c r="AS223" i="154"/>
  <c r="AV608" i="155"/>
  <c r="AV551" i="155"/>
  <c r="AV555" i="155" s="1"/>
  <c r="BO364" i="153"/>
  <c r="BO48" i="153" s="1"/>
  <c r="BD529" i="155"/>
  <c r="BD518" i="155"/>
  <c r="BD581" i="155"/>
  <c r="BY581" i="155"/>
  <c r="BY518" i="155"/>
  <c r="BL591" i="155"/>
  <c r="BL224" i="155"/>
  <c r="BP590" i="154"/>
  <c r="BX527" i="154"/>
  <c r="AT593" i="153"/>
  <c r="AT594" i="153" s="1"/>
  <c r="AT530" i="153"/>
  <c r="AT544" i="153"/>
  <c r="BO400" i="154"/>
  <c r="BO57" i="154" s="1"/>
  <c r="BY400" i="155"/>
  <c r="BY57" i="155" s="1"/>
  <c r="BO400" i="155"/>
  <c r="BO57" i="155" s="1"/>
  <c r="BX517" i="154"/>
  <c r="BX529" i="154" s="1"/>
  <c r="BX579" i="154"/>
  <c r="BY364" i="153"/>
  <c r="BY48" i="153" s="1"/>
  <c r="BD581" i="153"/>
  <c r="BD518" i="153"/>
  <c r="BP579" i="154"/>
  <c r="BP517" i="154"/>
  <c r="BP529" i="154" s="1"/>
  <c r="V616" i="155"/>
  <c r="V180" i="155"/>
  <c r="V188" i="155" s="1"/>
  <c r="V181" i="155"/>
  <c r="V189" i="155" s="1"/>
  <c r="V182" i="155"/>
  <c r="V190" i="155" s="1"/>
  <c r="V179" i="155"/>
  <c r="V187" i="155" s="1"/>
  <c r="V178" i="155"/>
  <c r="V186" i="155" s="1"/>
  <c r="BY579" i="154"/>
  <c r="BY517" i="154"/>
  <c r="BY529" i="154" s="1"/>
  <c r="BS400" i="154"/>
  <c r="BS57" i="154" s="1"/>
  <c r="AX223" i="154"/>
  <c r="AX582" i="154"/>
  <c r="BY590" i="155"/>
  <c r="BY529" i="155"/>
  <c r="BG593" i="154"/>
  <c r="BG594" i="154" s="1"/>
  <c r="BG530" i="154"/>
  <c r="BG544" i="154"/>
  <c r="BH591" i="155"/>
  <c r="BH224" i="155"/>
  <c r="W616" i="153"/>
  <c r="W182" i="153"/>
  <c r="W190" i="153" s="1"/>
  <c r="AZ530" i="155"/>
  <c r="AZ593" i="155"/>
  <c r="AZ594" i="155" s="1"/>
  <c r="AZ544" i="155"/>
  <c r="BQ581" i="155"/>
  <c r="BQ518" i="155"/>
  <c r="AW582" i="153"/>
  <c r="AW223" i="153"/>
  <c r="BV400" i="154"/>
  <c r="BV57" i="154" s="1"/>
  <c r="N591" i="153"/>
  <c r="P591" i="153" s="1"/>
  <c r="P590" i="153"/>
  <c r="X616" i="155"/>
  <c r="X181" i="155"/>
  <c r="X189" i="155" s="1"/>
  <c r="X180" i="155"/>
  <c r="X188" i="155" s="1"/>
  <c r="X182" i="155"/>
  <c r="X190" i="155" s="1"/>
  <c r="X178" i="155"/>
  <c r="X186" i="155" s="1"/>
  <c r="BJ581" i="154"/>
  <c r="BJ518" i="154"/>
  <c r="AL559" i="153" a="1"/>
  <c r="AL559" i="153" s="1"/>
  <c r="AL623" i="153" s="1"/>
  <c r="AL615" i="153"/>
  <c r="AM615" i="153"/>
  <c r="AM559" i="153" a="1"/>
  <c r="AM559" i="153" s="1"/>
  <c r="AM623" i="153" s="1"/>
  <c r="AU582" i="153"/>
  <c r="AU223" i="153"/>
  <c r="BB518" i="153"/>
  <c r="BB581" i="153"/>
  <c r="BP364" i="153"/>
  <c r="BP48" i="153" s="1"/>
  <c r="K615" i="154"/>
  <c r="K616" i="154" s="1"/>
  <c r="K552" i="154"/>
  <c r="BV590" i="154"/>
  <c r="BV529" i="154"/>
  <c r="BV400" i="153"/>
  <c r="BV57" i="153" s="1"/>
  <c r="BQ364" i="153"/>
  <c r="BQ48" i="153" s="1"/>
  <c r="AW593" i="153"/>
  <c r="AW594" i="153" s="1"/>
  <c r="AW530" i="153"/>
  <c r="AW544" i="153"/>
  <c r="BT400" i="153"/>
  <c r="BT57" i="153" s="1"/>
  <c r="X556" i="155"/>
  <c r="X619" i="155"/>
  <c r="X620" i="155" s="1"/>
  <c r="AR582" i="153"/>
  <c r="AR223" i="153"/>
  <c r="BE591" i="155"/>
  <c r="BE224" i="155"/>
  <c r="BW527" i="153"/>
  <c r="BO590" i="153"/>
  <c r="AK615" i="153"/>
  <c r="AK559" i="153" a="1"/>
  <c r="AK559" i="153" s="1"/>
  <c r="AK623" i="153" s="1"/>
  <c r="AY223" i="154"/>
  <c r="AY582" i="154"/>
  <c r="BR364" i="155"/>
  <c r="BR48" i="155" s="1"/>
  <c r="BN364" i="153"/>
  <c r="BN48" i="153" s="1"/>
  <c r="BH529" i="153"/>
  <c r="BH518" i="153"/>
  <c r="BH581" i="153"/>
  <c r="BJ591" i="154"/>
  <c r="BJ224" i="154"/>
  <c r="BS400" i="155"/>
  <c r="BS57" i="155" s="1"/>
  <c r="BG591" i="154"/>
  <c r="BG224" i="154"/>
  <c r="AW593" i="154"/>
  <c r="AW594" i="154" s="1"/>
  <c r="AW530" i="154"/>
  <c r="AW544" i="154"/>
  <c r="BN400" i="153"/>
  <c r="BN57" i="153" s="1"/>
  <c r="AW593" i="155"/>
  <c r="AW594" i="155" s="1"/>
  <c r="AW530" i="155"/>
  <c r="AW544" i="155"/>
  <c r="W552" i="154"/>
  <c r="W559" i="154" a="1"/>
  <c r="W559" i="154" s="1"/>
  <c r="W623" i="154" s="1"/>
  <c r="W615" i="154"/>
  <c r="BT579" i="153"/>
  <c r="BT517" i="153"/>
  <c r="BT529" i="153" s="1"/>
  <c r="BN579" i="154"/>
  <c r="BN517" i="154"/>
  <c r="BK591" i="155"/>
  <c r="BK224" i="155"/>
  <c r="P590" i="154"/>
  <c r="N591" i="154"/>
  <c r="P591" i="154" s="1"/>
  <c r="BO364" i="155"/>
  <c r="BO48" i="155" s="1"/>
  <c r="BR400" i="155"/>
  <c r="BR57" i="155" s="1"/>
  <c r="BW591" i="153"/>
  <c r="BW224" i="153"/>
  <c r="BQ590" i="153"/>
  <c r="BY527" i="153"/>
  <c r="BY400" i="153"/>
  <c r="BY57" i="153" s="1"/>
  <c r="AY530" i="154"/>
  <c r="AY593" i="154"/>
  <c r="AY594" i="154" s="1"/>
  <c r="AY544" i="154"/>
  <c r="AY608" i="155"/>
  <c r="AY551" i="155"/>
  <c r="AY555" i="155" s="1"/>
  <c r="X552" i="154"/>
  <c r="X559" i="154" a="1"/>
  <c r="X559" i="154" s="1"/>
  <c r="X623" i="154" s="1"/>
  <c r="X615" i="154"/>
  <c r="AQ608" i="155"/>
  <c r="AQ551" i="155"/>
  <c r="AQ555" i="155" s="1"/>
  <c r="BR590" i="154"/>
  <c r="AJ559" i="153" a="1"/>
  <c r="AJ559" i="153" s="1"/>
  <c r="AJ623" i="153" s="1"/>
  <c r="AJ615" i="153"/>
  <c r="BV590" i="153"/>
  <c r="AT582" i="154"/>
  <c r="AT223" i="154"/>
  <c r="BD581" i="154"/>
  <c r="BD518" i="154"/>
  <c r="BT400" i="154"/>
  <c r="BT57" i="154" s="1"/>
  <c r="AF615" i="154"/>
  <c r="AF559" i="154" a="1"/>
  <c r="AF559" i="154" s="1"/>
  <c r="AF623" i="154" s="1"/>
  <c r="AF552" i="154"/>
  <c r="Y619" i="155"/>
  <c r="Y620" i="155" s="1"/>
  <c r="Y556" i="155"/>
  <c r="BS590" i="154"/>
  <c r="AZ582" i="154"/>
  <c r="AZ223" i="154"/>
  <c r="AX593" i="154"/>
  <c r="AX594" i="154" s="1"/>
  <c r="AX530" i="154"/>
  <c r="AX544" i="154"/>
  <c r="J619" i="153"/>
  <c r="J620" i="153" s="1"/>
  <c r="AN608" i="153"/>
  <c r="AN551" i="153"/>
  <c r="BH591" i="153"/>
  <c r="BH224" i="153"/>
  <c r="AF559" i="155" a="1"/>
  <c r="AF559" i="155" s="1"/>
  <c r="AF623" i="155" s="1"/>
  <c r="AF615" i="155"/>
  <c r="AF552" i="155"/>
  <c r="AO559" i="155" a="1"/>
  <c r="AO559" i="155" s="1"/>
  <c r="AO623" i="155" s="1"/>
  <c r="AO615" i="155"/>
  <c r="AO552" i="155"/>
  <c r="AT582" i="155"/>
  <c r="AT223" i="155"/>
  <c r="BK591" i="153"/>
  <c r="BK224" i="153"/>
  <c r="AN551" i="154"/>
  <c r="AN555" i="154" s="1"/>
  <c r="AN608" i="154"/>
  <c r="AR608" i="155"/>
  <c r="AR551" i="155"/>
  <c r="AR555" i="155" s="1"/>
  <c r="S619" i="154"/>
  <c r="S620" i="154" s="1"/>
  <c r="S556" i="154"/>
  <c r="AZ530" i="154"/>
  <c r="AZ593" i="154"/>
  <c r="AZ594" i="154" s="1"/>
  <c r="AZ544" i="154"/>
  <c r="R559" i="153" a="1"/>
  <c r="R559" i="153" s="1"/>
  <c r="R615" i="153"/>
  <c r="BW400" i="155"/>
  <c r="BW57" i="155" s="1"/>
  <c r="BO581" i="155"/>
  <c r="BO518" i="155"/>
  <c r="BR590" i="153"/>
  <c r="BU224" i="153"/>
  <c r="BU591" i="153"/>
  <c r="BL591" i="153"/>
  <c r="BL224" i="153"/>
  <c r="AQ582" i="154"/>
  <c r="AQ223" i="154"/>
  <c r="BX590" i="153"/>
  <c r="BX529" i="153"/>
  <c r="BC581" i="155"/>
  <c r="BC518" i="155"/>
  <c r="BF529" i="153"/>
  <c r="BF581" i="153"/>
  <c r="BF518" i="153"/>
  <c r="AK615" i="154"/>
  <c r="AK552" i="154"/>
  <c r="AK559" i="154" a="1"/>
  <c r="AK559" i="154" s="1"/>
  <c r="AK623" i="154" s="1"/>
  <c r="AH552" i="155"/>
  <c r="AH615" i="155"/>
  <c r="AH559" i="155" a="1"/>
  <c r="AH559" i="155" s="1"/>
  <c r="AH623" i="155" s="1"/>
  <c r="AW582" i="154"/>
  <c r="AW223" i="154"/>
  <c r="BM518" i="154"/>
  <c r="BM581" i="154"/>
  <c r="M551" i="155"/>
  <c r="M555" i="155" s="1"/>
  <c r="M608" i="155"/>
  <c r="BC581" i="154"/>
  <c r="BC518" i="154"/>
  <c r="BV364" i="155"/>
  <c r="BV48" i="155" s="1"/>
  <c r="Y619" i="153"/>
  <c r="Y620" i="153" s="1"/>
  <c r="S616" i="154"/>
  <c r="S179" i="154"/>
  <c r="S187" i="154" s="1"/>
  <c r="S180" i="154"/>
  <c r="S188" i="154" s="1"/>
  <c r="S181" i="154"/>
  <c r="S189" i="154" s="1"/>
  <c r="S182" i="154"/>
  <c r="S190" i="154" s="1"/>
  <c r="S178" i="154"/>
  <c r="S186" i="154" s="1"/>
  <c r="BW400" i="154"/>
  <c r="BW57" i="154" s="1"/>
  <c r="BK581" i="155"/>
  <c r="BK518" i="155"/>
  <c r="AS608" i="154"/>
  <c r="AS551" i="154"/>
  <c r="AS555" i="154" s="1"/>
  <c r="BL529" i="153"/>
  <c r="BL581" i="153"/>
  <c r="BL518" i="153"/>
  <c r="AQ582" i="153"/>
  <c r="AQ223" i="153"/>
  <c r="AQ593" i="154"/>
  <c r="AQ594" i="154" s="1"/>
  <c r="AQ530" i="154"/>
  <c r="AQ544" i="154"/>
  <c r="BN590" i="155"/>
  <c r="BV527" i="155"/>
  <c r="AZ582" i="155"/>
  <c r="AZ223" i="155"/>
  <c r="AP582" i="154"/>
  <c r="AP223" i="154"/>
  <c r="BP517" i="153"/>
  <c r="BP579" i="153"/>
  <c r="AO559" i="153" a="1"/>
  <c r="AO559" i="153" s="1"/>
  <c r="AO623" i="153" s="1"/>
  <c r="AO615" i="153"/>
  <c r="I142" i="103"/>
  <c r="I142" i="104"/>
  <c r="N581" i="155"/>
  <c r="Y616" i="155"/>
  <c r="Y181" i="155"/>
  <c r="Y189" i="155" s="1"/>
  <c r="Y182" i="155"/>
  <c r="Y190" i="155" s="1"/>
  <c r="Y180" i="155"/>
  <c r="Y188" i="155" s="1"/>
  <c r="Y178" i="155"/>
  <c r="Y186" i="155" s="1"/>
  <c r="AU593" i="153"/>
  <c r="AU594" i="153" s="1"/>
  <c r="AU530" i="153"/>
  <c r="AU544" i="153"/>
  <c r="AY530" i="153"/>
  <c r="AY593" i="153"/>
  <c r="AY594" i="153" s="1"/>
  <c r="AY544" i="153"/>
  <c r="BF581" i="155"/>
  <c r="BF518" i="155"/>
  <c r="L608" i="155"/>
  <c r="L551" i="155"/>
  <c r="L555" i="155" s="1"/>
  <c r="BO517" i="153"/>
  <c r="BO579" i="153"/>
  <c r="AE608" i="154"/>
  <c r="AE551" i="154"/>
  <c r="AE555" i="154" s="1"/>
  <c r="BS364" i="153"/>
  <c r="BS48" i="153" s="1"/>
  <c r="AB616" i="154"/>
  <c r="AB180" i="154"/>
  <c r="AB188" i="154" s="1"/>
  <c r="AB181" i="154"/>
  <c r="AB189" i="154" s="1"/>
  <c r="AB182" i="154"/>
  <c r="AB190" i="154" s="1"/>
  <c r="AB178" i="154"/>
  <c r="AB186" i="154" s="1"/>
  <c r="BB529" i="155"/>
  <c r="BB581" i="155"/>
  <c r="BB518" i="155"/>
  <c r="T619" i="153"/>
  <c r="T620" i="153" s="1"/>
  <c r="BM591" i="155"/>
  <c r="BM224" i="155"/>
  <c r="N591" i="155"/>
  <c r="P591" i="155" s="1"/>
  <c r="P590" i="155"/>
  <c r="BT400" i="155"/>
  <c r="BT57" i="155" s="1"/>
  <c r="BB224" i="154"/>
  <c r="BB591" i="154"/>
  <c r="BQ364" i="154"/>
  <c r="BQ48" i="154" s="1"/>
  <c r="BP400" i="155"/>
  <c r="BP57" i="155" s="1"/>
  <c r="Y616" i="153"/>
  <c r="Y182" i="153"/>
  <c r="Y190" i="153" s="1"/>
  <c r="W556" i="155"/>
  <c r="W619" i="155"/>
  <c r="W620" i="155" s="1"/>
  <c r="U615" i="154"/>
  <c r="U552" i="154"/>
  <c r="U559" i="154" a="1"/>
  <c r="U559" i="154" s="1"/>
  <c r="U623" i="154" s="1"/>
  <c r="BI224" i="153"/>
  <c r="BI591" i="153"/>
  <c r="S559" i="153" a="1"/>
  <c r="S559" i="153" s="1"/>
  <c r="S623" i="153" s="1"/>
  <c r="S615" i="153"/>
  <c r="BC529" i="155"/>
  <c r="BM591" i="154"/>
  <c r="BM224" i="154"/>
  <c r="AH608" i="154"/>
  <c r="AH551" i="154"/>
  <c r="AH555" i="154" s="1"/>
  <c r="L615" i="154"/>
  <c r="L616" i="154" s="1"/>
  <c r="L552" i="154"/>
  <c r="BW527" i="154"/>
  <c r="BO590" i="154"/>
  <c r="AD608" i="153"/>
  <c r="AD551" i="153"/>
  <c r="BT364" i="155"/>
  <c r="BT48" i="155" s="1"/>
  <c r="M551" i="154"/>
  <c r="M555" i="154" s="1"/>
  <c r="M608" i="154"/>
  <c r="BQ400" i="153"/>
  <c r="BQ57" i="153" s="1"/>
  <c r="R615" i="155"/>
  <c r="R552" i="155"/>
  <c r="R559" i="155" a="1"/>
  <c r="R559" i="155" s="1"/>
  <c r="R561" i="155" s="1"/>
  <c r="R567" i="155" s="1"/>
  <c r="BF581" i="154"/>
  <c r="BF518" i="154"/>
  <c r="AM615" i="155"/>
  <c r="AM552" i="155"/>
  <c r="AM559" i="155" a="1"/>
  <c r="AM559" i="155" s="1"/>
  <c r="AM623" i="155" s="1"/>
  <c r="BE591" i="153"/>
  <c r="BE224" i="153"/>
  <c r="AQ608" i="153"/>
  <c r="AQ551" i="153"/>
  <c r="U619" i="153"/>
  <c r="U620" i="153" s="1"/>
  <c r="K615" i="155"/>
  <c r="K616" i="155" s="1"/>
  <c r="K552" i="155"/>
  <c r="AU608" i="155"/>
  <c r="AU551" i="155"/>
  <c r="AU555" i="155" s="1"/>
  <c r="AB556" i="154"/>
  <c r="AB619" i="154"/>
  <c r="AB620" i="154" s="1"/>
  <c r="T616" i="153"/>
  <c r="T182" i="153"/>
  <c r="T190" i="153" s="1"/>
  <c r="BT590" i="154"/>
  <c r="BV518" i="154"/>
  <c r="BV581" i="154"/>
  <c r="BP364" i="155"/>
  <c r="BP48" i="155" s="1"/>
  <c r="AI615" i="153"/>
  <c r="AI559" i="153" a="1"/>
  <c r="AI559" i="153" s="1"/>
  <c r="AI623" i="153" s="1"/>
  <c r="BE529" i="153"/>
  <c r="BE518" i="153"/>
  <c r="BE581" i="153"/>
  <c r="AZ530" i="153"/>
  <c r="AZ593" i="153"/>
  <c r="AZ594" i="153" s="1"/>
  <c r="AZ544" i="153"/>
  <c r="BQ579" i="154"/>
  <c r="BQ517" i="154"/>
  <c r="BN400" i="154"/>
  <c r="BN57" i="154" s="1"/>
  <c r="AE615" i="155"/>
  <c r="AE552" i="155"/>
  <c r="AE559" i="155" a="1"/>
  <c r="AE559" i="155" s="1"/>
  <c r="AE623" i="155" s="1"/>
  <c r="W616" i="155"/>
  <c r="W181" i="155"/>
  <c r="W189" i="155" s="1"/>
  <c r="W182" i="155"/>
  <c r="W190" i="155" s="1"/>
  <c r="W180" i="155"/>
  <c r="W188" i="155" s="1"/>
  <c r="W178" i="155"/>
  <c r="W186" i="155" s="1"/>
  <c r="Z619" i="153"/>
  <c r="Z620" i="153" s="1"/>
  <c r="AA619" i="155"/>
  <c r="AA620" i="155" s="1"/>
  <c r="AA556" i="155"/>
  <c r="AG551" i="153"/>
  <c r="AG608" i="153"/>
  <c r="L615" i="153"/>
  <c r="L616" i="153" s="1"/>
  <c r="AY582" i="155"/>
  <c r="AY223" i="155"/>
  <c r="BU517" i="154"/>
  <c r="BU529" i="154" s="1"/>
  <c r="BU579" i="154"/>
  <c r="BE581" i="154"/>
  <c r="BE518" i="154"/>
  <c r="BW364" i="155"/>
  <c r="BW48" i="155" s="1"/>
  <c r="BC591" i="155"/>
  <c r="BC224" i="155"/>
  <c r="BM581" i="153"/>
  <c r="BM518" i="153"/>
  <c r="BV364" i="153"/>
  <c r="BV48" i="153" s="1"/>
  <c r="BM593" i="154"/>
  <c r="BM594" i="154" s="1"/>
  <c r="BM530" i="154"/>
  <c r="BM544" i="154"/>
  <c r="AJ559" i="155" a="1"/>
  <c r="AJ559" i="155" s="1"/>
  <c r="AJ623" i="155" s="1"/>
  <c r="AJ552" i="155"/>
  <c r="AJ615" i="155"/>
  <c r="BA582" i="153"/>
  <c r="BA223" i="153"/>
  <c r="BP581" i="155"/>
  <c r="BP518" i="155"/>
  <c r="BN517" i="153"/>
  <c r="BN529" i="153" s="1"/>
  <c r="BN579" i="153"/>
  <c r="BA582" i="155"/>
  <c r="BA223" i="155"/>
  <c r="AD552" i="155"/>
  <c r="AD559" i="155" a="1"/>
  <c r="AD559" i="155" s="1"/>
  <c r="AD561" i="155" s="1"/>
  <c r="AD567" i="155" s="1"/>
  <c r="AD615" i="155"/>
  <c r="BQ364" i="155"/>
  <c r="BQ48" i="155" s="1"/>
  <c r="BD591" i="153"/>
  <c r="BD224" i="153"/>
  <c r="AS551" i="153"/>
  <c r="AS608" i="153"/>
  <c r="BN590" i="154"/>
  <c r="BV527" i="154"/>
  <c r="AE608" i="153"/>
  <c r="AE551" i="153"/>
  <c r="AZ223" i="153"/>
  <c r="AZ582" i="153"/>
  <c r="AP223" i="153"/>
  <c r="AP582" i="153"/>
  <c r="BY364" i="154"/>
  <c r="BY48" i="154" s="1"/>
  <c r="BR591" i="155"/>
  <c r="BR224" i="155"/>
  <c r="N581" i="154"/>
  <c r="BJ591" i="153"/>
  <c r="BJ224" i="153"/>
  <c r="M593" i="153"/>
  <c r="M594" i="153" s="1"/>
  <c r="M530" i="153"/>
  <c r="M544" i="153"/>
  <c r="Z559" i="154" a="1"/>
  <c r="Z559" i="154" s="1"/>
  <c r="Z623" i="154" s="1"/>
  <c r="Z615" i="154"/>
  <c r="Z552" i="154"/>
  <c r="BX400" i="155"/>
  <c r="BX57" i="155" s="1"/>
  <c r="BA530" i="155"/>
  <c r="BA593" i="155"/>
  <c r="BA594" i="155" s="1"/>
  <c r="BA544" i="155"/>
  <c r="AR608" i="153"/>
  <c r="AR551" i="153"/>
  <c r="BP364" i="154"/>
  <c r="BP48" i="154" s="1"/>
  <c r="BD593" i="153"/>
  <c r="BD594" i="153" s="1"/>
  <c r="BD530" i="153"/>
  <c r="BD544" i="153"/>
  <c r="AT582" i="153"/>
  <c r="AT223" i="153"/>
  <c r="BH529" i="155"/>
  <c r="BH518" i="155"/>
  <c r="BH581" i="155"/>
  <c r="BP590" i="153"/>
  <c r="BX527" i="153"/>
  <c r="BC591" i="153"/>
  <c r="BC224" i="153"/>
  <c r="Z616" i="153"/>
  <c r="Z182" i="153"/>
  <c r="Z190" i="153" s="1"/>
  <c r="AP593" i="153"/>
  <c r="AP594" i="153" s="1"/>
  <c r="AP530" i="153"/>
  <c r="AP544" i="153"/>
  <c r="AA181" i="155"/>
  <c r="AA189" i="155" s="1"/>
  <c r="AA616" i="155"/>
  <c r="AA182" i="155"/>
  <c r="AA190" i="155" s="1"/>
  <c r="AA180" i="155"/>
  <c r="AA188" i="155" s="1"/>
  <c r="AA178" i="155"/>
  <c r="AA186" i="155" s="1"/>
  <c r="BT590" i="153"/>
  <c r="U616" i="153"/>
  <c r="U182" i="153"/>
  <c r="U190" i="153" s="1"/>
  <c r="BD591" i="155"/>
  <c r="BD224" i="155"/>
  <c r="AX582" i="155"/>
  <c r="AX223" i="155"/>
  <c r="BU590" i="155"/>
  <c r="AL615" i="155"/>
  <c r="AL552" i="155"/>
  <c r="AL559" i="155" a="1"/>
  <c r="AL559" i="155" s="1"/>
  <c r="AL623" i="155" s="1"/>
  <c r="R619" i="154"/>
  <c r="R620" i="154" s="1"/>
  <c r="R556" i="154"/>
  <c r="BG591" i="153"/>
  <c r="BG224" i="153"/>
  <c r="BW400" i="153"/>
  <c r="BW57" i="153" s="1"/>
  <c r="BX518" i="153"/>
  <c r="BX581" i="153"/>
  <c r="BV579" i="153"/>
  <c r="BV517" i="153"/>
  <c r="Z559" i="155" a="1"/>
  <c r="Z559" i="155" s="1"/>
  <c r="Z623" i="155" s="1"/>
  <c r="Z615" i="155"/>
  <c r="R170" i="155" s="1"/>
  <c r="Z552" i="155"/>
  <c r="BP400" i="154"/>
  <c r="BP57" i="154" s="1"/>
  <c r="T619" i="154"/>
  <c r="T620" i="154" s="1"/>
  <c r="T556" i="154"/>
  <c r="BW529" i="154"/>
  <c r="BW581" i="154"/>
  <c r="BW518" i="154"/>
  <c r="BX400" i="154"/>
  <c r="BX57" i="154" s="1"/>
  <c r="AT551" i="154"/>
  <c r="AT555" i="154" s="1"/>
  <c r="AT608" i="154"/>
  <c r="BU400" i="154"/>
  <c r="BU57" i="154" s="1"/>
  <c r="BL518" i="154"/>
  <c r="BL581" i="154"/>
  <c r="BM529" i="153"/>
  <c r="AX593" i="155"/>
  <c r="AX594" i="155" s="1"/>
  <c r="AX530" i="155"/>
  <c r="AX544" i="155"/>
  <c r="BS591" i="153"/>
  <c r="BS224" i="153"/>
  <c r="R623" i="154"/>
  <c r="AN552" i="155"/>
  <c r="AN559" i="155" a="1"/>
  <c r="AN559" i="155" s="1"/>
  <c r="AN623" i="155" s="1"/>
  <c r="AN615" i="155"/>
  <c r="BS400" i="153"/>
  <c r="BS57" i="153" s="1"/>
  <c r="BA223" i="154"/>
  <c r="BA582" i="154"/>
  <c r="BI529" i="155"/>
  <c r="BQ590" i="155"/>
  <c r="BY527" i="155"/>
  <c r="BQ529" i="155"/>
  <c r="T619" i="155"/>
  <c r="T620" i="155" s="1"/>
  <c r="T556" i="155"/>
  <c r="BS590" i="155"/>
  <c r="BO579" i="154"/>
  <c r="BO517" i="154"/>
  <c r="BO529" i="154" s="1"/>
  <c r="BG581" i="155"/>
  <c r="BG518" i="155"/>
  <c r="AU551" i="154"/>
  <c r="AU555" i="154" s="1"/>
  <c r="AU608" i="154"/>
  <c r="AL615" i="154"/>
  <c r="AL552" i="154"/>
  <c r="AL559" i="154" a="1"/>
  <c r="AL559" i="154" s="1"/>
  <c r="AL623" i="154" s="1"/>
  <c r="AA559" i="154" a="1"/>
  <c r="AA559" i="154" s="1"/>
  <c r="AA623" i="154" s="1"/>
  <c r="AA552" i="154"/>
  <c r="AA615" i="154"/>
  <c r="AG608" i="154"/>
  <c r="AG551" i="154"/>
  <c r="AG555" i="154" s="1"/>
  <c r="BR364" i="153"/>
  <c r="BR48" i="153" s="1"/>
  <c r="BW364" i="154"/>
  <c r="BW48" i="154" s="1"/>
  <c r="AV582" i="155"/>
  <c r="AV223" i="155"/>
  <c r="BM224" i="153"/>
  <c r="BM591" i="153"/>
  <c r="BQ517" i="153"/>
  <c r="BQ579" i="153"/>
  <c r="BD591" i="154"/>
  <c r="BD224" i="154"/>
  <c r="BW591" i="155"/>
  <c r="BW224" i="155"/>
  <c r="R181" i="154"/>
  <c r="R189" i="154" s="1"/>
  <c r="R179" i="154"/>
  <c r="R187" i="154" s="1"/>
  <c r="R178" i="154"/>
  <c r="R186" i="154" s="1"/>
  <c r="R616" i="154"/>
  <c r="R180" i="154"/>
  <c r="R188" i="154" s="1"/>
  <c r="R182" i="154"/>
  <c r="R190" i="154" s="1"/>
  <c r="AB552" i="155"/>
  <c r="AB615" i="155"/>
  <c r="AB559" i="155" a="1"/>
  <c r="AB559" i="155" s="1"/>
  <c r="AB623" i="155" s="1"/>
  <c r="BR364" i="154"/>
  <c r="BR48" i="154" s="1"/>
  <c r="AD559" i="154" a="1"/>
  <c r="AD559" i="154" s="1"/>
  <c r="AD561" i="154" s="1"/>
  <c r="AD567" i="154" s="1"/>
  <c r="AD552" i="154"/>
  <c r="AD615" i="154"/>
  <c r="BI591" i="155"/>
  <c r="BI224" i="155"/>
  <c r="AT608" i="155"/>
  <c r="AT551" i="155"/>
  <c r="AT555" i="155" s="1"/>
  <c r="BO590" i="155"/>
  <c r="BW527" i="155"/>
  <c r="BO529" i="155"/>
  <c r="AA615" i="153"/>
  <c r="AA559" i="153" a="1"/>
  <c r="AA559" i="153" s="1"/>
  <c r="AA623" i="153" s="1"/>
  <c r="BY527" i="154"/>
  <c r="BQ590" i="154"/>
  <c r="BY590" i="153"/>
  <c r="BY529" i="153"/>
  <c r="AM552" i="154"/>
  <c r="AM615" i="154"/>
  <c r="AM559" i="154" a="1"/>
  <c r="AM559" i="154" s="1"/>
  <c r="AM623" i="154" s="1"/>
  <c r="BM581" i="155"/>
  <c r="BM518" i="155"/>
  <c r="T179" i="154"/>
  <c r="T187" i="154" s="1"/>
  <c r="T180" i="154"/>
  <c r="T188" i="154" s="1"/>
  <c r="T616" i="154"/>
  <c r="T181" i="154"/>
  <c r="T189" i="154" s="1"/>
  <c r="T182" i="154"/>
  <c r="T190" i="154" s="1"/>
  <c r="T178" i="154"/>
  <c r="T186" i="154" s="1"/>
  <c r="BN579" i="155"/>
  <c r="BN517" i="155"/>
  <c r="BN529" i="155" s="1"/>
  <c r="AO615" i="154"/>
  <c r="AO559" i="154" a="1"/>
  <c r="AO559" i="154" s="1"/>
  <c r="AO623" i="154" s="1"/>
  <c r="AO552" i="154"/>
  <c r="BQ400" i="154"/>
  <c r="BQ57" i="154" s="1"/>
  <c r="BN364" i="154"/>
  <c r="BN48" i="154" s="1"/>
  <c r="AB619" i="153"/>
  <c r="AB620" i="153" s="1"/>
  <c r="BK581" i="154"/>
  <c r="BK518" i="154"/>
  <c r="BF529" i="154"/>
  <c r="BX590" i="154"/>
  <c r="AI608" i="154"/>
  <c r="AI551" i="154"/>
  <c r="AI555" i="154" s="1"/>
  <c r="BN590" i="153"/>
  <c r="BV527" i="153"/>
  <c r="BV581" i="155"/>
  <c r="BV518" i="155"/>
  <c r="BG581" i="153"/>
  <c r="BG518" i="153"/>
  <c r="BX364" i="155"/>
  <c r="BX48" i="155" s="1"/>
  <c r="AV530" i="153"/>
  <c r="AV593" i="153"/>
  <c r="AV594" i="153" s="1"/>
  <c r="AV544" i="153"/>
  <c r="BH530" i="154"/>
  <c r="BH593" i="154"/>
  <c r="BH594" i="154" s="1"/>
  <c r="BH544" i="154"/>
  <c r="BN400" i="155"/>
  <c r="BN57" i="155" s="1"/>
  <c r="AV582" i="153"/>
  <c r="AV223" i="153"/>
  <c r="BS364" i="154"/>
  <c r="BS48" i="154" s="1"/>
  <c r="BK581" i="153"/>
  <c r="BK518" i="153"/>
  <c r="BF529" i="155"/>
  <c r="BV590" i="155"/>
  <c r="BV529" i="155"/>
  <c r="BG529" i="155"/>
  <c r="AR582" i="154"/>
  <c r="AR223" i="154"/>
  <c r="AC615" i="153"/>
  <c r="AC559" i="153" a="1"/>
  <c r="AC559" i="153" s="1"/>
  <c r="AC623" i="153" s="1"/>
  <c r="BD529" i="154"/>
  <c r="AP608" i="154"/>
  <c r="AP551" i="154"/>
  <c r="AP555" i="154" s="1"/>
  <c r="BF224" i="153"/>
  <c r="BF591" i="153"/>
  <c r="BL529" i="155"/>
  <c r="BL581" i="155"/>
  <c r="BL518" i="155"/>
  <c r="T616" i="155"/>
  <c r="T181" i="155"/>
  <c r="T189" i="155" s="1"/>
  <c r="T179" i="155"/>
  <c r="T187" i="155" s="1"/>
  <c r="T182" i="155"/>
  <c r="T190" i="155" s="1"/>
  <c r="T180" i="155"/>
  <c r="T188" i="155" s="1"/>
  <c r="T178" i="155"/>
  <c r="T186" i="155" s="1"/>
  <c r="AG608" i="155"/>
  <c r="AG551" i="155"/>
  <c r="AG555" i="155" s="1"/>
  <c r="BP590" i="155"/>
  <c r="BP529" i="155"/>
  <c r="BX527" i="155"/>
  <c r="BL593" i="154"/>
  <c r="BL594" i="154" s="1"/>
  <c r="BL530" i="154"/>
  <c r="BL544" i="154"/>
  <c r="BI581" i="154"/>
  <c r="BI518" i="154"/>
  <c r="BT590" i="155"/>
  <c r="BH518" i="154"/>
  <c r="BH581" i="154"/>
  <c r="BF591" i="155"/>
  <c r="BF224" i="155"/>
  <c r="K615" i="153"/>
  <c r="K616" i="153" s="1"/>
  <c r="BN364" i="155"/>
  <c r="BN48" i="155" s="1"/>
  <c r="AW582" i="155"/>
  <c r="AW223" i="155"/>
  <c r="BR400" i="153"/>
  <c r="BR57" i="153" s="1"/>
  <c r="J619" i="154"/>
  <c r="J620" i="154" s="1"/>
  <c r="U619" i="155"/>
  <c r="U620" i="155" s="1"/>
  <c r="U556" i="155"/>
  <c r="AB616" i="153"/>
  <c r="AB182" i="153"/>
  <c r="AB190" i="153" s="1"/>
  <c r="BC529" i="153"/>
  <c r="BC581" i="153"/>
  <c r="BC518" i="153"/>
  <c r="AS608" i="155"/>
  <c r="AS551" i="155"/>
  <c r="AS555" i="155" s="1"/>
  <c r="BF591" i="154"/>
  <c r="BF224" i="154"/>
  <c r="BY400" i="154"/>
  <c r="BY57" i="154" s="1"/>
  <c r="AU582" i="154"/>
  <c r="AU223" i="154"/>
  <c r="S556" i="155"/>
  <c r="S619" i="155"/>
  <c r="S620" i="155" s="1"/>
  <c r="BU364" i="153"/>
  <c r="BU48" i="153" s="1"/>
  <c r="AR608" i="154"/>
  <c r="AR551" i="154"/>
  <c r="AR555" i="154" s="1"/>
  <c r="AK615" i="155"/>
  <c r="AK552" i="155"/>
  <c r="AK559" i="155" a="1"/>
  <c r="AK559" i="155" s="1"/>
  <c r="AK623" i="155" s="1"/>
  <c r="BH591" i="154"/>
  <c r="BH224" i="154"/>
  <c r="BB593" i="153"/>
  <c r="BB594" i="153" s="1"/>
  <c r="BB530" i="153"/>
  <c r="BB544" i="153"/>
  <c r="BK593" i="154"/>
  <c r="BK594" i="154" s="1"/>
  <c r="BK530" i="154"/>
  <c r="BK544" i="154"/>
  <c r="BI530" i="154"/>
  <c r="BI593" i="154"/>
  <c r="BI594" i="154" s="1"/>
  <c r="BI544" i="154"/>
  <c r="BY590" i="154"/>
  <c r="BG591" i="155"/>
  <c r="BG224" i="155"/>
  <c r="V559" i="154" a="1"/>
  <c r="V559" i="154" s="1"/>
  <c r="V623" i="154" s="1"/>
  <c r="V552" i="154"/>
  <c r="V615" i="154"/>
  <c r="BE593" i="154"/>
  <c r="BE594" i="154" s="1"/>
  <c r="BE530" i="154"/>
  <c r="BE544" i="154"/>
  <c r="AV582" i="154"/>
  <c r="AV223" i="154"/>
  <c r="BG581" i="154"/>
  <c r="BG518" i="154"/>
  <c r="BX364" i="154"/>
  <c r="BX48" i="154" s="1"/>
  <c r="BS364" i="155"/>
  <c r="BS48" i="155" s="1"/>
  <c r="BR579" i="153"/>
  <c r="BR517" i="153"/>
  <c r="BR529" i="153" s="1"/>
  <c r="BJ581" i="155"/>
  <c r="BJ518" i="155"/>
  <c r="BT364" i="153"/>
  <c r="BT48" i="153" s="1"/>
  <c r="BB591" i="153"/>
  <c r="BB224" i="153"/>
  <c r="BW591" i="154"/>
  <c r="BW224" i="154"/>
  <c r="BK591" i="154"/>
  <c r="BK224" i="154"/>
  <c r="BL591" i="154"/>
  <c r="BL224" i="154"/>
  <c r="BB518" i="154"/>
  <c r="BB581" i="154"/>
  <c r="BX590" i="155"/>
  <c r="BA593" i="154"/>
  <c r="BA594" i="154" s="1"/>
  <c r="BA530" i="154"/>
  <c r="BA544" i="154"/>
  <c r="BU517" i="153"/>
  <c r="BU579" i="153"/>
  <c r="AC615" i="154"/>
  <c r="AC552" i="154"/>
  <c r="AC559" i="154" a="1"/>
  <c r="AC559" i="154" s="1"/>
  <c r="AC623" i="154" s="1"/>
  <c r="V619" i="153"/>
  <c r="V620" i="153" s="1"/>
  <c r="U179" i="155"/>
  <c r="U187" i="155" s="1"/>
  <c r="U616" i="155"/>
  <c r="U182" i="155"/>
  <c r="U190" i="155" s="1"/>
  <c r="U181" i="155"/>
  <c r="U189" i="155" s="1"/>
  <c r="U180" i="155"/>
  <c r="U188" i="155" s="1"/>
  <c r="U178" i="155"/>
  <c r="U186" i="155" s="1"/>
  <c r="V619" i="155"/>
  <c r="V620" i="155" s="1"/>
  <c r="V556" i="155"/>
  <c r="BY364" i="155"/>
  <c r="BY48" i="155" s="1"/>
  <c r="BX400" i="153"/>
  <c r="BX57" i="153" s="1"/>
  <c r="AX582" i="153"/>
  <c r="AX223" i="153"/>
  <c r="BU590" i="154"/>
  <c r="AV593" i="154"/>
  <c r="AV594" i="154" s="1"/>
  <c r="AV530" i="154"/>
  <c r="AV544" i="154"/>
  <c r="BT364" i="154"/>
  <c r="BT48" i="154" s="1"/>
  <c r="AY582" i="153"/>
  <c r="AY223" i="153"/>
  <c r="S182" i="155"/>
  <c r="S190" i="155" s="1"/>
  <c r="S181" i="155"/>
  <c r="S189" i="155" s="1"/>
  <c r="S616" i="155"/>
  <c r="S179" i="155"/>
  <c r="S187" i="155" s="1"/>
  <c r="S180" i="155"/>
  <c r="S188" i="155" s="1"/>
  <c r="S178" i="155"/>
  <c r="S186" i="155" s="1"/>
  <c r="X615" i="153"/>
  <c r="R170" i="153" s="1"/>
  <c r="X559" i="153" a="1"/>
  <c r="X559" i="153" s="1"/>
  <c r="X623" i="153" s="1"/>
  <c r="Y515" i="99"/>
  <c r="Y517" i="99" s="1"/>
  <c r="X517" i="99"/>
  <c r="X529" i="99" s="1"/>
  <c r="Z234" i="99"/>
  <c r="V544" i="99"/>
  <c r="V593" i="99"/>
  <c r="V594" i="99" s="1"/>
  <c r="V530" i="99"/>
  <c r="V582" i="99"/>
  <c r="V223" i="99"/>
  <c r="Z549" i="99"/>
  <c r="Z613" i="99" s="1"/>
  <c r="Z228" i="99"/>
  <c r="Z512" i="99"/>
  <c r="Z515" i="99" s="1"/>
  <c r="AC3" i="69"/>
  <c r="AC4" i="69" s="1"/>
  <c r="AB2" i="69" a="1"/>
  <c r="AB2" i="69" s="1"/>
  <c r="AB7" i="69"/>
  <c r="AB16" i="69"/>
  <c r="AB14" i="69"/>
  <c r="AB11" i="69"/>
  <c r="AB10" i="69"/>
  <c r="AB12" i="69"/>
  <c r="AB15" i="69"/>
  <c r="AB9" i="69"/>
  <c r="AB13" i="69"/>
  <c r="Z535" i="99"/>
  <c r="Z599" i="99" s="1"/>
  <c r="Z229" i="99"/>
  <c r="AF527" i="99"/>
  <c r="X590" i="99"/>
  <c r="Z230" i="99"/>
  <c r="Y588" i="99"/>
  <c r="Y526" i="99"/>
  <c r="Z233" i="99"/>
  <c r="Z524" i="99"/>
  <c r="Z585" i="99"/>
  <c r="W223" i="99"/>
  <c r="W582" i="99"/>
  <c r="Z232" i="99"/>
  <c r="W593" i="99"/>
  <c r="W594" i="99" s="1"/>
  <c r="W530" i="99"/>
  <c r="W544" i="99"/>
  <c r="AA541" i="99"/>
  <c r="AA605" i="99" s="1"/>
  <c r="AA539" i="99"/>
  <c r="AA603" i="99" s="1"/>
  <c r="AA534" i="99"/>
  <c r="AA598" i="99" s="1"/>
  <c r="AA548" i="99"/>
  <c r="AA612" i="99" s="1"/>
  <c r="AA547" i="99"/>
  <c r="AA611" i="99" s="1"/>
  <c r="AA538" i="99"/>
  <c r="AA540" i="99"/>
  <c r="AA604" i="99" s="1"/>
  <c r="AA507" i="99"/>
  <c r="AA522" i="99"/>
  <c r="AA586" i="99" s="1"/>
  <c r="AA509" i="99"/>
  <c r="AA573" i="99" s="1"/>
  <c r="AA523" i="99"/>
  <c r="AA587" i="99" s="1"/>
  <c r="AA525" i="99"/>
  <c r="AA589" i="99" s="1"/>
  <c r="AA521" i="99"/>
  <c r="AA516" i="99"/>
  <c r="AA580" i="99" s="1"/>
  <c r="AA513" i="99"/>
  <c r="AA577" i="99" s="1"/>
  <c r="AA514" i="99"/>
  <c r="AA578" i="99" s="1"/>
  <c r="AA558" i="99"/>
  <c r="AA622" i="99" s="1"/>
  <c r="AA533" i="99"/>
  <c r="AA597" i="99" s="1"/>
  <c r="AC3" i="99"/>
  <c r="AC4" i="99" s="1"/>
  <c r="AB2" i="99" a="1"/>
  <c r="AB2" i="99" s="1"/>
  <c r="AB554" i="99" s="1"/>
  <c r="AB474" i="99"/>
  <c r="AB498" i="99"/>
  <c r="AB482" i="99" s="1"/>
  <c r="AB490" i="99" s="1"/>
  <c r="AB475" i="99"/>
  <c r="AB476" i="99"/>
  <c r="AB499" i="99"/>
  <c r="AB483" i="99" s="1"/>
  <c r="AB491" i="99" s="1"/>
  <c r="AB477" i="99"/>
  <c r="AB500" i="99"/>
  <c r="AB484" i="99" s="1"/>
  <c r="AB492" i="99" s="1"/>
  <c r="AB478" i="99"/>
  <c r="AB501" i="99"/>
  <c r="AB485" i="99" s="1"/>
  <c r="AB493" i="99" s="1"/>
  <c r="AB479" i="99"/>
  <c r="AB502" i="99"/>
  <c r="AB486" i="99" s="1"/>
  <c r="AB494" i="99" s="1"/>
  <c r="Z542" i="99"/>
  <c r="Z606" i="99" s="1"/>
  <c r="Z602" i="99"/>
  <c r="W224" i="99"/>
  <c r="W591" i="99"/>
  <c r="AD5" i="72"/>
  <c r="AD6" i="72" s="1"/>
  <c r="AC36" i="72"/>
  <c r="AC37" i="72"/>
  <c r="AC48" i="72"/>
  <c r="AC47" i="72"/>
  <c r="S615" i="99"/>
  <c r="S552" i="99"/>
  <c r="I142" i="99"/>
  <c r="P517" i="99"/>
  <c r="N518" i="99"/>
  <c r="P518" i="99" s="1"/>
  <c r="N581" i="99"/>
  <c r="N529" i="99"/>
  <c r="M530" i="99"/>
  <c r="M593" i="99"/>
  <c r="M594" i="99" s="1"/>
  <c r="U615" i="99"/>
  <c r="U552" i="99"/>
  <c r="R616" i="99"/>
  <c r="R619" i="99"/>
  <c r="R620" i="99" s="1"/>
  <c r="R556" i="99"/>
  <c r="AC6" i="98"/>
  <c r="AB70" i="103"/>
  <c r="AS8" i="98"/>
  <c r="R561" i="153" l="1"/>
  <c r="N120" i="105"/>
  <c r="E12" i="72"/>
  <c r="AD4" i="72" a="1"/>
  <c r="AD4" i="72" s="1"/>
  <c r="D76" i="294"/>
  <c r="BY113" i="155"/>
  <c r="BY52" i="155"/>
  <c r="BY117" i="155" s="1"/>
  <c r="BX113" i="155"/>
  <c r="BX52" i="155"/>
  <c r="BX117" i="155" s="1"/>
  <c r="BV59" i="153"/>
  <c r="BV124" i="153" s="1"/>
  <c r="BV122" i="153"/>
  <c r="BN113" i="153"/>
  <c r="BN52" i="153"/>
  <c r="N48" i="153"/>
  <c r="BU113" i="153"/>
  <c r="BU52" i="153"/>
  <c r="BU117" i="153" s="1"/>
  <c r="BU122" i="154"/>
  <c r="BU59" i="154"/>
  <c r="BU124" i="154" s="1"/>
  <c r="BP122" i="153"/>
  <c r="BP59" i="153"/>
  <c r="BP124" i="153" s="1"/>
  <c r="N57" i="154"/>
  <c r="BN122" i="154"/>
  <c r="BN59" i="154"/>
  <c r="BT113" i="155"/>
  <c r="BT52" i="155"/>
  <c r="BT117" i="155" s="1"/>
  <c r="BR113" i="155"/>
  <c r="BR52" i="155"/>
  <c r="BR117" i="155" s="1"/>
  <c r="BY59" i="155"/>
  <c r="BY124" i="155" s="1"/>
  <c r="BY122" i="155"/>
  <c r="BO122" i="154"/>
  <c r="BO59" i="154"/>
  <c r="BO124" i="154" s="1"/>
  <c r="BU59" i="153"/>
  <c r="BU124" i="153" s="1"/>
  <c r="BU122" i="153"/>
  <c r="BB117" i="154"/>
  <c r="M52" i="154"/>
  <c r="M117" i="154" s="1"/>
  <c r="N114" i="154"/>
  <c r="P114" i="154" s="1"/>
  <c r="P49" i="154"/>
  <c r="N116" i="153"/>
  <c r="P116" i="153" s="1"/>
  <c r="P51" i="153"/>
  <c r="BR113" i="154"/>
  <c r="BR52" i="154"/>
  <c r="BR117" i="154" s="1"/>
  <c r="BO122" i="155"/>
  <c r="BO59" i="155"/>
  <c r="BO124" i="155" s="1"/>
  <c r="BU122" i="155"/>
  <c r="BU59" i="155"/>
  <c r="BU124" i="155" s="1"/>
  <c r="BO113" i="154"/>
  <c r="BO52" i="154"/>
  <c r="BO117" i="154" s="1"/>
  <c r="BY113" i="154"/>
  <c r="BY52" i="154"/>
  <c r="BY117" i="154" s="1"/>
  <c r="BV59" i="154"/>
  <c r="BV124" i="154" s="1"/>
  <c r="BV122" i="154"/>
  <c r="BS122" i="154"/>
  <c r="BS59" i="154"/>
  <c r="BS124" i="154" s="1"/>
  <c r="BQ122" i="155"/>
  <c r="BQ59" i="155"/>
  <c r="BQ124" i="155" s="1"/>
  <c r="BR122" i="153"/>
  <c r="BR59" i="153"/>
  <c r="BR124" i="153" s="1"/>
  <c r="N109" i="155"/>
  <c r="P109" i="155" s="1"/>
  <c r="P44" i="155"/>
  <c r="N114" i="153"/>
  <c r="P114" i="153" s="1"/>
  <c r="P49" i="153"/>
  <c r="BW113" i="153"/>
  <c r="BW52" i="153"/>
  <c r="BW117" i="153" s="1"/>
  <c r="BB124" i="153"/>
  <c r="M59" i="153"/>
  <c r="M124" i="153" s="1"/>
  <c r="N123" i="154"/>
  <c r="P123" i="154" s="1"/>
  <c r="P58" i="154"/>
  <c r="N48" i="155"/>
  <c r="BN113" i="155"/>
  <c r="BN52" i="155"/>
  <c r="BB124" i="155"/>
  <c r="M59" i="155"/>
  <c r="M124" i="155" s="1"/>
  <c r="M59" i="154"/>
  <c r="M124" i="154" s="1"/>
  <c r="BB124" i="154"/>
  <c r="N123" i="155"/>
  <c r="P123" i="155" s="1"/>
  <c r="P58" i="155"/>
  <c r="BQ113" i="154"/>
  <c r="BQ52" i="154"/>
  <c r="BQ117" i="154" s="1"/>
  <c r="BW113" i="154"/>
  <c r="BW52" i="154"/>
  <c r="BW117" i="154" s="1"/>
  <c r="BT122" i="155"/>
  <c r="BT59" i="155"/>
  <c r="BT124" i="155" s="1"/>
  <c r="BY122" i="154"/>
  <c r="BY59" i="154"/>
  <c r="BY124" i="154" s="1"/>
  <c r="BR113" i="153"/>
  <c r="BR52" i="153"/>
  <c r="BR117" i="153" s="1"/>
  <c r="BX122" i="154"/>
  <c r="BX59" i="154"/>
  <c r="BX124" i="154" s="1"/>
  <c r="BW122" i="154"/>
  <c r="BW59" i="154"/>
  <c r="BW124" i="154" s="1"/>
  <c r="BW122" i="155"/>
  <c r="BW59" i="155"/>
  <c r="BW124" i="155" s="1"/>
  <c r="BU113" i="155"/>
  <c r="BU52" i="155"/>
  <c r="BU117" i="155" s="1"/>
  <c r="N68" i="155"/>
  <c r="BN133" i="155"/>
  <c r="BS113" i="153"/>
  <c r="BS52" i="153"/>
  <c r="BS117" i="153" s="1"/>
  <c r="BP122" i="155"/>
  <c r="BP59" i="155"/>
  <c r="BP124" i="155" s="1"/>
  <c r="N115" i="155"/>
  <c r="P115" i="155" s="1"/>
  <c r="P50" i="155"/>
  <c r="BB117" i="153"/>
  <c r="M52" i="153"/>
  <c r="M117" i="153" s="1"/>
  <c r="BX59" i="155"/>
  <c r="BX124" i="155" s="1"/>
  <c r="BX122" i="155"/>
  <c r="BP113" i="153"/>
  <c r="BP52" i="153"/>
  <c r="BP117" i="153" s="1"/>
  <c r="BS113" i="154"/>
  <c r="BS52" i="154"/>
  <c r="BS117" i="154" s="1"/>
  <c r="BT113" i="154"/>
  <c r="BT52" i="154"/>
  <c r="BT117" i="154" s="1"/>
  <c r="BN59" i="155"/>
  <c r="BN122" i="155"/>
  <c r="N57" i="155"/>
  <c r="BP113" i="155"/>
  <c r="BP52" i="155"/>
  <c r="BP117" i="155" s="1"/>
  <c r="BR122" i="155"/>
  <c r="BR59" i="155"/>
  <c r="BR124" i="155" s="1"/>
  <c r="N116" i="154"/>
  <c r="P116" i="154" s="1"/>
  <c r="P51" i="154"/>
  <c r="N109" i="153"/>
  <c r="P109" i="153" s="1"/>
  <c r="P44" i="153"/>
  <c r="BY122" i="153"/>
  <c r="BY59" i="153"/>
  <c r="BY124" i="153" s="1"/>
  <c r="BT122" i="154"/>
  <c r="BT59" i="154"/>
  <c r="BT124" i="154" s="1"/>
  <c r="BS113" i="155"/>
  <c r="BS52" i="155"/>
  <c r="BS117" i="155" s="1"/>
  <c r="BQ59" i="154"/>
  <c r="BQ124" i="154" s="1"/>
  <c r="BQ122" i="154"/>
  <c r="BS122" i="155"/>
  <c r="BS59" i="155"/>
  <c r="BS124" i="155" s="1"/>
  <c r="BT122" i="153"/>
  <c r="BT59" i="153"/>
  <c r="BT124" i="153" s="1"/>
  <c r="BO52" i="153"/>
  <c r="BO117" i="153" s="1"/>
  <c r="BO113" i="153"/>
  <c r="M52" i="155"/>
  <c r="M117" i="155" s="1"/>
  <c r="BB117" i="155"/>
  <c r="N109" i="154"/>
  <c r="P109" i="154" s="1"/>
  <c r="P44" i="154"/>
  <c r="BT113" i="153"/>
  <c r="BT52" i="153"/>
  <c r="BT117" i="153" s="1"/>
  <c r="BO113" i="155"/>
  <c r="BO52" i="155"/>
  <c r="BO117" i="155" s="1"/>
  <c r="BX52" i="154"/>
  <c r="BX117" i="154" s="1"/>
  <c r="BX113" i="154"/>
  <c r="BU113" i="154"/>
  <c r="BU52" i="154"/>
  <c r="BU117" i="154" s="1"/>
  <c r="BV113" i="154"/>
  <c r="BV52" i="154"/>
  <c r="BV117" i="154" s="1"/>
  <c r="N116" i="155"/>
  <c r="P116" i="155" s="1"/>
  <c r="P51" i="155"/>
  <c r="N115" i="154"/>
  <c r="P115" i="154" s="1"/>
  <c r="P50" i="154"/>
  <c r="N114" i="155"/>
  <c r="P114" i="155" s="1"/>
  <c r="P49" i="155"/>
  <c r="BN113" i="154"/>
  <c r="BN52" i="154"/>
  <c r="N48" i="154"/>
  <c r="BS122" i="153"/>
  <c r="BS59" i="153"/>
  <c r="BS124" i="153" s="1"/>
  <c r="BV113" i="153"/>
  <c r="BV52" i="153"/>
  <c r="BV117" i="153" s="1"/>
  <c r="BP122" i="154"/>
  <c r="BP59" i="154"/>
  <c r="BP124" i="154" s="1"/>
  <c r="BQ113" i="155"/>
  <c r="BQ52" i="155"/>
  <c r="BQ117" i="155" s="1"/>
  <c r="BY113" i="153"/>
  <c r="BY52" i="153"/>
  <c r="BY117" i="153" s="1"/>
  <c r="BR122" i="154"/>
  <c r="BR59" i="154"/>
  <c r="BR124" i="154" s="1"/>
  <c r="BV122" i="155"/>
  <c r="BV59" i="155"/>
  <c r="BV124" i="155" s="1"/>
  <c r="BN59" i="153"/>
  <c r="N57" i="153"/>
  <c r="BN122" i="153"/>
  <c r="N68" i="154"/>
  <c r="BN133" i="154"/>
  <c r="N68" i="153"/>
  <c r="BN133" i="153"/>
  <c r="BX122" i="153"/>
  <c r="BX59" i="153"/>
  <c r="BX124" i="153" s="1"/>
  <c r="BQ122" i="153"/>
  <c r="BQ59" i="153"/>
  <c r="BQ124" i="153" s="1"/>
  <c r="BQ113" i="153"/>
  <c r="BQ52" i="153"/>
  <c r="BQ117" i="153" s="1"/>
  <c r="BO122" i="153"/>
  <c r="BO59" i="153"/>
  <c r="BO124" i="153" s="1"/>
  <c r="N123" i="153"/>
  <c r="P123" i="153" s="1"/>
  <c r="P58" i="153"/>
  <c r="BW122" i="153"/>
  <c r="BW59" i="153"/>
  <c r="BW124" i="153" s="1"/>
  <c r="BP113" i="154"/>
  <c r="BP52" i="154"/>
  <c r="BP117" i="154" s="1"/>
  <c r="BW113" i="155"/>
  <c r="BW52" i="155"/>
  <c r="BW117" i="155" s="1"/>
  <c r="BV52" i="155"/>
  <c r="BV117" i="155" s="1"/>
  <c r="BV113" i="155"/>
  <c r="BX113" i="153"/>
  <c r="BX52" i="153"/>
  <c r="BX117" i="153" s="1"/>
  <c r="N115" i="153"/>
  <c r="P115" i="153" s="1"/>
  <c r="P50" i="153"/>
  <c r="V567" i="153"/>
  <c r="V631" i="153" s="1"/>
  <c r="V562" i="153"/>
  <c r="AS555" i="153"/>
  <c r="AS556" i="153" s="1"/>
  <c r="AS552" i="153"/>
  <c r="Y567" i="153"/>
  <c r="Y631" i="153" s="1"/>
  <c r="Y562" i="153"/>
  <c r="U567" i="153"/>
  <c r="U631" i="153" s="1"/>
  <c r="U562" i="153"/>
  <c r="AX555" i="153"/>
  <c r="AX556" i="153" s="1"/>
  <c r="AX552" i="153"/>
  <c r="AG555" i="153"/>
  <c r="AG556" i="153" s="1"/>
  <c r="AG552" i="153"/>
  <c r="AQ555" i="153"/>
  <c r="AQ556" i="153" s="1"/>
  <c r="AQ552" i="153"/>
  <c r="R567" i="153"/>
  <c r="R562" i="153"/>
  <c r="T567" i="153"/>
  <c r="T631" i="153" s="1"/>
  <c r="T562" i="153"/>
  <c r="AR555" i="153"/>
  <c r="AR556" i="153" s="1"/>
  <c r="AR552" i="153"/>
  <c r="W567" i="153"/>
  <c r="W631" i="153" s="1"/>
  <c r="W562" i="153"/>
  <c r="AD555" i="153"/>
  <c r="AD556" i="153" s="1"/>
  <c r="AD552" i="153"/>
  <c r="AN555" i="153"/>
  <c r="AN556" i="153" s="1"/>
  <c r="AN552" i="153"/>
  <c r="Z567" i="153"/>
  <c r="Z631" i="153" s="1"/>
  <c r="Z562" i="153"/>
  <c r="AE555" i="153"/>
  <c r="AE556" i="153" s="1"/>
  <c r="AE552" i="153"/>
  <c r="AH555" i="153"/>
  <c r="AH556" i="153" s="1"/>
  <c r="AH552" i="153"/>
  <c r="AB567" i="153"/>
  <c r="AB631" i="153" s="1"/>
  <c r="AB562" i="153"/>
  <c r="I25" i="151"/>
  <c r="D68" i="294" s="1"/>
  <c r="AC180" i="155"/>
  <c r="AC188" i="155" s="1"/>
  <c r="AC200" i="155" s="1"/>
  <c r="Y64" i="104"/>
  <c r="AD64" i="105" s="1"/>
  <c r="Y30" i="151" s="1"/>
  <c r="AC616" i="155"/>
  <c r="AC181" i="155"/>
  <c r="AC189" i="155" s="1"/>
  <c r="AC201" i="155" s="1"/>
  <c r="Z129" i="103"/>
  <c r="U561" i="99"/>
  <c r="U567" i="99" s="1"/>
  <c r="AE561" i="155"/>
  <c r="AE567" i="155" s="1"/>
  <c r="AO561" i="155"/>
  <c r="AO567" i="155" s="1"/>
  <c r="W561" i="154"/>
  <c r="W567" i="154" s="1"/>
  <c r="Z561" i="155"/>
  <c r="Z567" i="155" s="1"/>
  <c r="X561" i="153"/>
  <c r="AO561" i="154"/>
  <c r="AO567" i="154" s="1"/>
  <c r="AH561" i="155"/>
  <c r="AH567" i="155" s="1"/>
  <c r="AI561" i="153"/>
  <c r="AF561" i="154"/>
  <c r="AF567" i="154" s="1"/>
  <c r="Y561" i="154"/>
  <c r="Y567" i="154" s="1"/>
  <c r="AJ561" i="155"/>
  <c r="AJ567" i="155" s="1"/>
  <c r="AM561" i="155"/>
  <c r="AM567" i="155" s="1"/>
  <c r="X561" i="154"/>
  <c r="X567" i="154" s="1"/>
  <c r="Z561" i="154"/>
  <c r="Z567" i="154" s="1"/>
  <c r="AM561" i="153"/>
  <c r="AB561" i="155"/>
  <c r="AB567" i="155" s="1"/>
  <c r="AA561" i="154"/>
  <c r="AA567" i="154" s="1"/>
  <c r="V561" i="154"/>
  <c r="V567" i="154" s="1"/>
  <c r="AF561" i="153"/>
  <c r="AO561" i="153"/>
  <c r="AM561" i="154"/>
  <c r="AM567" i="154" s="1"/>
  <c r="AF561" i="155"/>
  <c r="AF567" i="155" s="1"/>
  <c r="AC561" i="154"/>
  <c r="AC567" i="154" s="1"/>
  <c r="S561" i="153"/>
  <c r="U561" i="154"/>
  <c r="U567" i="154" s="1"/>
  <c r="AC561" i="153"/>
  <c r="AK561" i="155"/>
  <c r="AK567" i="155" s="1"/>
  <c r="AN561" i="155"/>
  <c r="AN567" i="155" s="1"/>
  <c r="AL561" i="153"/>
  <c r="AK561" i="154"/>
  <c r="AK567" i="154" s="1"/>
  <c r="AA561" i="153"/>
  <c r="S561" i="99"/>
  <c r="S567" i="99" s="1"/>
  <c r="AL561" i="155"/>
  <c r="AL567" i="155" s="1"/>
  <c r="AJ561" i="153"/>
  <c r="AL561" i="154"/>
  <c r="AL567" i="154" s="1"/>
  <c r="AC561" i="155"/>
  <c r="AC567" i="155" s="1"/>
  <c r="AC631" i="155" s="1"/>
  <c r="AK561" i="153"/>
  <c r="AI559" i="155" a="1"/>
  <c r="AI559" i="155" s="1"/>
  <c r="AI623" i="155" s="1"/>
  <c r="AI555" i="155"/>
  <c r="AJ615" i="154"/>
  <c r="AJ555" i="154"/>
  <c r="N65" i="105"/>
  <c r="J559" i="153"/>
  <c r="J561" i="153" s="1"/>
  <c r="J559" i="155"/>
  <c r="J561" i="155" s="1"/>
  <c r="J567" i="155" s="1"/>
  <c r="J559" i="154"/>
  <c r="J561" i="154" s="1"/>
  <c r="J567" i="154" s="1"/>
  <c r="Z129" i="104"/>
  <c r="Z64" i="104" s="1"/>
  <c r="AE64" i="105" s="1"/>
  <c r="Z30" i="151" s="1"/>
  <c r="Z129" i="99"/>
  <c r="N62" i="105"/>
  <c r="P527" i="99"/>
  <c r="N590" i="99"/>
  <c r="V527" i="99"/>
  <c r="P526" i="99"/>
  <c r="X527" i="99" s="1"/>
  <c r="T559" i="99" a="1"/>
  <c r="T559" i="99" s="1"/>
  <c r="T623" i="99" s="1"/>
  <c r="T552" i="99"/>
  <c r="T615" i="99"/>
  <c r="T616" i="99" s="1"/>
  <c r="R170" i="154"/>
  <c r="AC619" i="155"/>
  <c r="AC620" i="155" s="1"/>
  <c r="AA618" i="99"/>
  <c r="AA64" i="99"/>
  <c r="AP608" i="155"/>
  <c r="AI552" i="155"/>
  <c r="AI615" i="155"/>
  <c r="AI181" i="155" s="1"/>
  <c r="AI189" i="155" s="1"/>
  <c r="BJ544" i="153"/>
  <c r="BJ551" i="153" s="1"/>
  <c r="BJ582" i="153"/>
  <c r="AJ552" i="154"/>
  <c r="AJ559" i="154" a="1"/>
  <c r="AJ559" i="154" s="1"/>
  <c r="AJ623" i="154" s="1"/>
  <c r="BJ530" i="153"/>
  <c r="BJ9" i="105"/>
  <c r="BE82" i="104"/>
  <c r="BE11" i="104"/>
  <c r="BJ11" i="105" s="1"/>
  <c r="BE70" i="104"/>
  <c r="BE76" i="104"/>
  <c r="BE15" i="104"/>
  <c r="Z9" i="105"/>
  <c r="U15" i="104"/>
  <c r="U11" i="104"/>
  <c r="Z11" i="105" s="1"/>
  <c r="U82" i="104"/>
  <c r="U70" i="104"/>
  <c r="Z70" i="105" s="1"/>
  <c r="U35" i="151" s="1"/>
  <c r="U76" i="104"/>
  <c r="AE9" i="105"/>
  <c r="Z11" i="104"/>
  <c r="AE11" i="105" s="1"/>
  <c r="Z82" i="104"/>
  <c r="Z70" i="104"/>
  <c r="AE70" i="105" s="1"/>
  <c r="Z35" i="151" s="1"/>
  <c r="Z15" i="104"/>
  <c r="Z76" i="104"/>
  <c r="BU9" i="105"/>
  <c r="BP11" i="104"/>
  <c r="BU11" i="105" s="1"/>
  <c r="BP15" i="104"/>
  <c r="BP82" i="104"/>
  <c r="BP76" i="104"/>
  <c r="BP70" i="104"/>
  <c r="AD9" i="105"/>
  <c r="Y11" i="104"/>
  <c r="AD11" i="105" s="1"/>
  <c r="Y82" i="104"/>
  <c r="Y15" i="104"/>
  <c r="Y70" i="104"/>
  <c r="AD70" i="105" s="1"/>
  <c r="Y35" i="151" s="1"/>
  <c r="Y76" i="104"/>
  <c r="BS9" i="105"/>
  <c r="BN15" i="104"/>
  <c r="BN82" i="104"/>
  <c r="BN11" i="104"/>
  <c r="BS11" i="105" s="1"/>
  <c r="BN70" i="104"/>
  <c r="BN76" i="104"/>
  <c r="AI9" i="105"/>
  <c r="AD11" i="104"/>
  <c r="AI11" i="105" s="1"/>
  <c r="AD82" i="104"/>
  <c r="AD15" i="104"/>
  <c r="AD70" i="104"/>
  <c r="AD76" i="104"/>
  <c r="AG9" i="105"/>
  <c r="AB15" i="104"/>
  <c r="AB11" i="104"/>
  <c r="AG11" i="105" s="1"/>
  <c r="AB82" i="104"/>
  <c r="AB70" i="104"/>
  <c r="AG70" i="105" s="1"/>
  <c r="AB35" i="151" s="1"/>
  <c r="AB76" i="104"/>
  <c r="BF9" i="105"/>
  <c r="L9" i="104"/>
  <c r="BA70" i="104"/>
  <c r="BA11" i="104"/>
  <c r="BF11" i="105" s="1"/>
  <c r="BA82" i="104"/>
  <c r="BA15" i="104"/>
  <c r="BA76" i="104"/>
  <c r="AS9" i="105"/>
  <c r="AN70" i="104"/>
  <c r="AN15" i="104"/>
  <c r="AN11" i="104"/>
  <c r="AS11" i="105" s="1"/>
  <c r="AN82" i="104"/>
  <c r="AN76" i="104"/>
  <c r="BE9" i="105"/>
  <c r="AZ70" i="104"/>
  <c r="AZ82" i="104"/>
  <c r="AZ76" i="104"/>
  <c r="AZ11" i="104"/>
  <c r="BE11" i="105" s="1"/>
  <c r="AZ15" i="104"/>
  <c r="AH9" i="105"/>
  <c r="AC15" i="104"/>
  <c r="J9" i="104"/>
  <c r="AC82" i="104"/>
  <c r="AC11" i="104"/>
  <c r="AH11" i="105" s="1"/>
  <c r="AC76" i="104"/>
  <c r="AC70" i="104"/>
  <c r="AM9" i="105"/>
  <c r="AH11" i="104"/>
  <c r="AM11" i="105" s="1"/>
  <c r="AH82" i="104"/>
  <c r="AH15" i="104"/>
  <c r="AH76" i="104"/>
  <c r="AH70" i="104"/>
  <c r="Y9" i="105"/>
  <c r="T11" i="104"/>
  <c r="Y11" i="105" s="1"/>
  <c r="T76" i="104"/>
  <c r="T15" i="104"/>
  <c r="T70" i="104"/>
  <c r="Y70" i="105" s="1"/>
  <c r="T35" i="151" s="1"/>
  <c r="T82" i="104"/>
  <c r="AP9" i="105"/>
  <c r="AK15" i="104"/>
  <c r="AK82" i="104"/>
  <c r="AK11" i="104"/>
  <c r="AP11" i="105" s="1"/>
  <c r="AK76" i="104"/>
  <c r="AK70" i="104"/>
  <c r="BX9" i="105"/>
  <c r="BS15" i="104"/>
  <c r="BS70" i="104"/>
  <c r="BS82" i="104"/>
  <c r="BS11" i="104"/>
  <c r="BX11" i="105" s="1"/>
  <c r="BS76" i="104"/>
  <c r="BB9" i="105"/>
  <c r="AW11" i="104"/>
  <c r="BB11" i="105" s="1"/>
  <c r="AW15" i="104"/>
  <c r="AW70" i="104"/>
  <c r="AW82" i="104"/>
  <c r="AW76" i="104"/>
  <c r="AJ9" i="105"/>
  <c r="AE11" i="104"/>
  <c r="AJ11" i="105" s="1"/>
  <c r="AE15" i="104"/>
  <c r="AE82" i="104"/>
  <c r="AE70" i="104"/>
  <c r="AE76" i="104"/>
  <c r="AY9" i="105"/>
  <c r="AT76" i="104"/>
  <c r="AT11" i="104"/>
  <c r="AY11" i="105" s="1"/>
  <c r="AT15" i="104"/>
  <c r="AT82" i="104"/>
  <c r="AT70" i="104"/>
  <c r="BZ9" i="105"/>
  <c r="BU11" i="104"/>
  <c r="BZ11" i="105" s="1"/>
  <c r="BU82" i="104"/>
  <c r="BU15" i="104"/>
  <c r="BU76" i="104"/>
  <c r="BU70" i="104"/>
  <c r="AA9" i="105"/>
  <c r="V11" i="104"/>
  <c r="AA11" i="105" s="1"/>
  <c r="V15" i="104"/>
  <c r="V70" i="104"/>
  <c r="AA70" i="105" s="1"/>
  <c r="V35" i="151" s="1"/>
  <c r="V76" i="104"/>
  <c r="V82" i="104"/>
  <c r="AL9" i="105"/>
  <c r="AG82" i="104"/>
  <c r="AG15" i="104"/>
  <c r="AG11" i="104"/>
  <c r="AL11" i="105" s="1"/>
  <c r="AG76" i="104"/>
  <c r="AG70" i="104"/>
  <c r="AZ9" i="105"/>
  <c r="AU82" i="104"/>
  <c r="AU11" i="104"/>
  <c r="AZ11" i="105" s="1"/>
  <c r="AU15" i="104"/>
  <c r="AU70" i="104"/>
  <c r="AU76" i="104"/>
  <c r="BA9" i="105"/>
  <c r="AV15" i="104"/>
  <c r="AV11" i="104"/>
  <c r="BA11" i="105" s="1"/>
  <c r="AV82" i="104"/>
  <c r="AV70" i="104"/>
  <c r="AV76" i="104"/>
  <c r="BK9" i="105"/>
  <c r="BF82" i="104"/>
  <c r="BF11" i="104"/>
  <c r="BK11" i="105" s="1"/>
  <c r="BF15" i="104"/>
  <c r="BF76" i="104"/>
  <c r="BF70" i="104"/>
  <c r="S82" i="104"/>
  <c r="S11" i="104"/>
  <c r="X11" i="105" s="1"/>
  <c r="S15" i="104"/>
  <c r="X9" i="105"/>
  <c r="S70" i="104"/>
  <c r="X70" i="105" s="1"/>
  <c r="S35" i="151" s="1"/>
  <c r="S76" i="104"/>
  <c r="BV9" i="105"/>
  <c r="BQ11" i="104"/>
  <c r="BV11" i="105" s="1"/>
  <c r="BQ15" i="104"/>
  <c r="BQ82" i="104"/>
  <c r="BQ70" i="104"/>
  <c r="BQ76" i="104"/>
  <c r="AV9" i="105"/>
  <c r="AQ15" i="104"/>
  <c r="AQ82" i="104"/>
  <c r="AQ11" i="104"/>
  <c r="AV11" i="105" s="1"/>
  <c r="AQ70" i="104"/>
  <c r="AQ76" i="104"/>
  <c r="BI9" i="105"/>
  <c r="BD82" i="104"/>
  <c r="BD15" i="104"/>
  <c r="BD11" i="104"/>
  <c r="BI11" i="105" s="1"/>
  <c r="BD76" i="104"/>
  <c r="BD70" i="104"/>
  <c r="BW9" i="105"/>
  <c r="BR76" i="104"/>
  <c r="BR11" i="104"/>
  <c r="BW11" i="105" s="1"/>
  <c r="BR82" i="104"/>
  <c r="BR15" i="104"/>
  <c r="BR70" i="104"/>
  <c r="BN9" i="105"/>
  <c r="BI70" i="104"/>
  <c r="BI82" i="104"/>
  <c r="BI11" i="104"/>
  <c r="BN11" i="105" s="1"/>
  <c r="BI76" i="104"/>
  <c r="BI15" i="104"/>
  <c r="AC9" i="105"/>
  <c r="X15" i="104"/>
  <c r="X11" i="104"/>
  <c r="AC11" i="105" s="1"/>
  <c r="X82" i="104"/>
  <c r="X70" i="104"/>
  <c r="AC70" i="105" s="1"/>
  <c r="X35" i="151" s="1"/>
  <c r="X76" i="104"/>
  <c r="AB9" i="105"/>
  <c r="W76" i="104"/>
  <c r="W82" i="104"/>
  <c r="W70" i="104"/>
  <c r="AB70" i="105" s="1"/>
  <c r="W35" i="151" s="1"/>
  <c r="W15" i="104"/>
  <c r="W11" i="104"/>
  <c r="AB11" i="105" s="1"/>
  <c r="BH9" i="105"/>
  <c r="BC82" i="104"/>
  <c r="BC15" i="104"/>
  <c r="BC11" i="104"/>
  <c r="BH11" i="105" s="1"/>
  <c r="BC70" i="104"/>
  <c r="BC76" i="104"/>
  <c r="BR9" i="105"/>
  <c r="BM11" i="104"/>
  <c r="BR11" i="105" s="1"/>
  <c r="BM82" i="104"/>
  <c r="M9" i="104"/>
  <c r="BM15" i="104"/>
  <c r="BM76" i="104"/>
  <c r="BM70" i="104"/>
  <c r="CD9" i="105"/>
  <c r="BY82" i="104"/>
  <c r="BY11" i="104"/>
  <c r="CD11" i="105" s="1"/>
  <c r="N9" i="104"/>
  <c r="BY15" i="104"/>
  <c r="BY70" i="104"/>
  <c r="BY76" i="104"/>
  <c r="BC9" i="105"/>
  <c r="AX15" i="104"/>
  <c r="AX11" i="104"/>
  <c r="BC11" i="105" s="1"/>
  <c r="AX82" i="104"/>
  <c r="AX76" i="104"/>
  <c r="AX70" i="104"/>
  <c r="BY9" i="105"/>
  <c r="BT15" i="104"/>
  <c r="BT82" i="104"/>
  <c r="BT11" i="104"/>
  <c r="BY11" i="105" s="1"/>
  <c r="BT76" i="104"/>
  <c r="BT70" i="104"/>
  <c r="AO9" i="105"/>
  <c r="AJ11" i="104"/>
  <c r="AO11" i="105" s="1"/>
  <c r="AJ82" i="104"/>
  <c r="AJ15" i="104"/>
  <c r="AJ76" i="104"/>
  <c r="AJ70" i="104"/>
  <c r="CB9" i="105"/>
  <c r="BW82" i="104"/>
  <c r="BW70" i="104"/>
  <c r="BW11" i="104"/>
  <c r="CB11" i="105" s="1"/>
  <c r="BW15" i="104"/>
  <c r="BW76" i="104"/>
  <c r="BQ9" i="105"/>
  <c r="BL15" i="104"/>
  <c r="BL82" i="104"/>
  <c r="BL11" i="104"/>
  <c r="BQ11" i="105" s="1"/>
  <c r="BL76" i="104"/>
  <c r="BL70" i="104"/>
  <c r="W9" i="105"/>
  <c r="R11" i="104"/>
  <c r="W11" i="105" s="1"/>
  <c r="R82" i="104"/>
  <c r="R15" i="104"/>
  <c r="R70" i="104"/>
  <c r="W70" i="105" s="1"/>
  <c r="R35" i="151" s="1"/>
  <c r="R76" i="104"/>
  <c r="BD9" i="105"/>
  <c r="AY82" i="104"/>
  <c r="AY11" i="104"/>
  <c r="BD11" i="105" s="1"/>
  <c r="AY15" i="104"/>
  <c r="AY70" i="104"/>
  <c r="AY76" i="104"/>
  <c r="AW9" i="105"/>
  <c r="AR15" i="104"/>
  <c r="AR11" i="104"/>
  <c r="AW11" i="105" s="1"/>
  <c r="AR82" i="104"/>
  <c r="AR76" i="104"/>
  <c r="AR70" i="104"/>
  <c r="CA9" i="105"/>
  <c r="BV11" i="104"/>
  <c r="CA11" i="105" s="1"/>
  <c r="BV70" i="104"/>
  <c r="BV15" i="104"/>
  <c r="BV82" i="104"/>
  <c r="BV76" i="104"/>
  <c r="AK9" i="105"/>
  <c r="AF82" i="104"/>
  <c r="AF11" i="104"/>
  <c r="AK11" i="105" s="1"/>
  <c r="AF70" i="104"/>
  <c r="AF15" i="104"/>
  <c r="AF76" i="104"/>
  <c r="AX9" i="105"/>
  <c r="AS82" i="104"/>
  <c r="AS15" i="104"/>
  <c r="AS11" i="104"/>
  <c r="AX11" i="105" s="1"/>
  <c r="AS76" i="104"/>
  <c r="AS70" i="104"/>
  <c r="CC9" i="105"/>
  <c r="BX15" i="104"/>
  <c r="BX11" i="104"/>
  <c r="CC11" i="105" s="1"/>
  <c r="BX82" i="104"/>
  <c r="BX70" i="104"/>
  <c r="BX76" i="104"/>
  <c r="AF9" i="105"/>
  <c r="AA11" i="104"/>
  <c r="AF11" i="105" s="1"/>
  <c r="AA15" i="104"/>
  <c r="AA82" i="104"/>
  <c r="AA76" i="104"/>
  <c r="AA70" i="104"/>
  <c r="AF70" i="105" s="1"/>
  <c r="AA35" i="151" s="1"/>
  <c r="AN9" i="105"/>
  <c r="AI11" i="104"/>
  <c r="AN11" i="105" s="1"/>
  <c r="AI82" i="104"/>
  <c r="AI15" i="104"/>
  <c r="AI76" i="104"/>
  <c r="AI70" i="104"/>
  <c r="BL9" i="105"/>
  <c r="BG15" i="104"/>
  <c r="BG82" i="104"/>
  <c r="BG11" i="104"/>
  <c r="BL11" i="105" s="1"/>
  <c r="BG76" i="104"/>
  <c r="BG70" i="104"/>
  <c r="BT9" i="105"/>
  <c r="BO11" i="104"/>
  <c r="BT11" i="105" s="1"/>
  <c r="BO15" i="104"/>
  <c r="BO82" i="104"/>
  <c r="BO76" i="104"/>
  <c r="BO70" i="104"/>
  <c r="AR9" i="105"/>
  <c r="AM82" i="104"/>
  <c r="AM11" i="104"/>
  <c r="AR11" i="105" s="1"/>
  <c r="AM15" i="104"/>
  <c r="AM70" i="104"/>
  <c r="AM76" i="104"/>
  <c r="AT9" i="105"/>
  <c r="AO82" i="104"/>
  <c r="AO11" i="104"/>
  <c r="AT11" i="105" s="1"/>
  <c r="AO15" i="104"/>
  <c r="K9" i="104"/>
  <c r="AO76" i="104"/>
  <c r="AO70" i="104"/>
  <c r="AQ9" i="105"/>
  <c r="AL15" i="104"/>
  <c r="AL82" i="104"/>
  <c r="AL11" i="104"/>
  <c r="AQ11" i="105" s="1"/>
  <c r="AL70" i="104"/>
  <c r="AL76" i="104"/>
  <c r="BG9" i="105"/>
  <c r="BB15" i="104"/>
  <c r="BB11" i="104"/>
  <c r="BG11" i="105" s="1"/>
  <c r="BB82" i="104"/>
  <c r="BB76" i="104"/>
  <c r="BB70" i="104"/>
  <c r="AU9" i="105"/>
  <c r="AP11" i="104"/>
  <c r="AU11" i="105" s="1"/>
  <c r="AP82" i="104"/>
  <c r="AP15" i="104"/>
  <c r="AP76" i="104"/>
  <c r="AP70" i="104"/>
  <c r="BP9" i="105"/>
  <c r="BK70" i="104"/>
  <c r="BK82" i="104"/>
  <c r="BK11" i="104"/>
  <c r="BP11" i="105" s="1"/>
  <c r="BK15" i="104"/>
  <c r="BK76" i="104"/>
  <c r="BO9" i="105"/>
  <c r="BJ11" i="104"/>
  <c r="BO11" i="105" s="1"/>
  <c r="BJ15" i="104"/>
  <c r="BJ82" i="104"/>
  <c r="BJ76" i="104"/>
  <c r="BJ70" i="104"/>
  <c r="BM9" i="105"/>
  <c r="BH11" i="104"/>
  <c r="BM11" i="105" s="1"/>
  <c r="BH82" i="104"/>
  <c r="BH15" i="104"/>
  <c r="BH70" i="104"/>
  <c r="BH76" i="104"/>
  <c r="BS529" i="155"/>
  <c r="BS530" i="155" s="1"/>
  <c r="BS581" i="155"/>
  <c r="BS582" i="155" s="1"/>
  <c r="BE530" i="155"/>
  <c r="BE544" i="155"/>
  <c r="BE608" i="155" s="1"/>
  <c r="BR518" i="154"/>
  <c r="BX518" i="155"/>
  <c r="BR529" i="154"/>
  <c r="BR544" i="154" s="1"/>
  <c r="BX529" i="155"/>
  <c r="BX530" i="155" s="1"/>
  <c r="BR518" i="155"/>
  <c r="BR529" i="155"/>
  <c r="BR593" i="155" s="1"/>
  <c r="BR594" i="155" s="1"/>
  <c r="BT529" i="154"/>
  <c r="BT530" i="154" s="1"/>
  <c r="BT581" i="154"/>
  <c r="BT582" i="154" s="1"/>
  <c r="BT529" i="155"/>
  <c r="BT593" i="155" s="1"/>
  <c r="BT594" i="155" s="1"/>
  <c r="BT581" i="155"/>
  <c r="BT582" i="155" s="1"/>
  <c r="BS518" i="154"/>
  <c r="BU529" i="155"/>
  <c r="BU530" i="155" s="1"/>
  <c r="BS581" i="154"/>
  <c r="BS223" i="154" s="1"/>
  <c r="BU518" i="155"/>
  <c r="BW518" i="153"/>
  <c r="BW581" i="153"/>
  <c r="BW223" i="153" s="1"/>
  <c r="Y579" i="99"/>
  <c r="BN530" i="155"/>
  <c r="BN593" i="155"/>
  <c r="BN594" i="155" s="1"/>
  <c r="BN544" i="155"/>
  <c r="BP593" i="154"/>
  <c r="BP594" i="154" s="1"/>
  <c r="BP530" i="154"/>
  <c r="BP544" i="154"/>
  <c r="BR593" i="153"/>
  <c r="BR594" i="153" s="1"/>
  <c r="BR530" i="153"/>
  <c r="BR544" i="153"/>
  <c r="AV551" i="154"/>
  <c r="AV555" i="154" s="1"/>
  <c r="AV608" i="154"/>
  <c r="X619" i="153"/>
  <c r="X620" i="153" s="1"/>
  <c r="BB608" i="153"/>
  <c r="BB551" i="153"/>
  <c r="BV591" i="155"/>
  <c r="BV224" i="155"/>
  <c r="BV582" i="155"/>
  <c r="BV223" i="155"/>
  <c r="T330" i="154"/>
  <c r="T340" i="154" s="1"/>
  <c r="T199" i="154"/>
  <c r="BO591" i="155"/>
  <c r="BO224" i="155"/>
  <c r="R329" i="154"/>
  <c r="R339" i="154" s="1"/>
  <c r="R198" i="154"/>
  <c r="BQ224" i="155"/>
  <c r="BQ591" i="155"/>
  <c r="T631" i="154"/>
  <c r="T625" i="154"/>
  <c r="T626" i="154" s="1"/>
  <c r="T562" i="154"/>
  <c r="BT530" i="153"/>
  <c r="BT593" i="153"/>
  <c r="BT594" i="153" s="1"/>
  <c r="BT544" i="153"/>
  <c r="BH593" i="155"/>
  <c r="BH594" i="155" s="1"/>
  <c r="BH530" i="155"/>
  <c r="BH544" i="155"/>
  <c r="AI616" i="153"/>
  <c r="AI182" i="153"/>
  <c r="AI190" i="153" s="1"/>
  <c r="BB593" i="155"/>
  <c r="BB594" i="155" s="1"/>
  <c r="BB530" i="155"/>
  <c r="BB544" i="155"/>
  <c r="BO518" i="153"/>
  <c r="BO581" i="153"/>
  <c r="AQ559" i="155" a="1"/>
  <c r="AQ559" i="155" s="1"/>
  <c r="AQ623" i="155" s="1"/>
  <c r="AQ615" i="155"/>
  <c r="AQ552" i="155"/>
  <c r="BR582" i="154"/>
  <c r="BR223" i="154"/>
  <c r="AM619" i="153"/>
  <c r="AM620" i="153" s="1"/>
  <c r="X201" i="155"/>
  <c r="X332" i="155"/>
  <c r="X342" i="155" s="1"/>
  <c r="BI223" i="153"/>
  <c r="BI582" i="153"/>
  <c r="AH559" i="153" a="1"/>
  <c r="AH559" i="153" s="1"/>
  <c r="AH623" i="153" s="1"/>
  <c r="AH615" i="153"/>
  <c r="BI593" i="155"/>
  <c r="BI594" i="155" s="1"/>
  <c r="BI530" i="155"/>
  <c r="BI544" i="155"/>
  <c r="BT224" i="153"/>
  <c r="BT591" i="153"/>
  <c r="AS559" i="153" a="1"/>
  <c r="AS559" i="153" s="1"/>
  <c r="AS623" i="153" s="1"/>
  <c r="AS615" i="153"/>
  <c r="BP582" i="155"/>
  <c r="BP223" i="155"/>
  <c r="BE582" i="154"/>
  <c r="BE223" i="154"/>
  <c r="W332" i="155"/>
  <c r="W342" i="155" s="1"/>
  <c r="W201" i="155"/>
  <c r="N582" i="155"/>
  <c r="P582" i="155" s="1"/>
  <c r="P581" i="155"/>
  <c r="S329" i="154"/>
  <c r="S339" i="154" s="1"/>
  <c r="S198" i="154"/>
  <c r="AH619" i="155"/>
  <c r="AH620" i="155" s="1"/>
  <c r="AH556" i="155"/>
  <c r="AF181" i="155"/>
  <c r="AF189" i="155" s="1"/>
  <c r="AF616" i="155"/>
  <c r="AF180" i="155"/>
  <c r="AF188" i="155" s="1"/>
  <c r="AF179" i="155"/>
  <c r="AF187" i="155" s="1"/>
  <c r="AF182" i="155"/>
  <c r="AF190" i="155" s="1"/>
  <c r="BD223" i="153"/>
  <c r="BD582" i="153"/>
  <c r="BY582" i="155"/>
  <c r="BY223" i="155"/>
  <c r="BI593" i="153"/>
  <c r="BI594" i="153" s="1"/>
  <c r="BI530" i="153"/>
  <c r="BI544" i="153"/>
  <c r="BJ551" i="154"/>
  <c r="BJ555" i="154" s="1"/>
  <c r="BJ608" i="154"/>
  <c r="K619" i="153"/>
  <c r="K620" i="153" s="1"/>
  <c r="R199" i="154"/>
  <c r="R330" i="154"/>
  <c r="R340" i="154" s="1"/>
  <c r="AA556" i="154"/>
  <c r="AA619" i="154"/>
  <c r="AA620" i="154" s="1"/>
  <c r="AX551" i="155"/>
  <c r="AX555" i="155" s="1"/>
  <c r="AX608" i="155"/>
  <c r="W179" i="155"/>
  <c r="W187" i="155" s="1"/>
  <c r="BV582" i="154"/>
  <c r="BV223" i="154"/>
  <c r="M615" i="154"/>
  <c r="M616" i="154" s="1"/>
  <c r="M552" i="154"/>
  <c r="BC593" i="155"/>
  <c r="BC594" i="155" s="1"/>
  <c r="BC530" i="155"/>
  <c r="BC544" i="155"/>
  <c r="AB329" i="154"/>
  <c r="AB339" i="154" s="1"/>
  <c r="AB198" i="154"/>
  <c r="BX582" i="155"/>
  <c r="BX223" i="155"/>
  <c r="S333" i="154"/>
  <c r="S343" i="154" s="1"/>
  <c r="S202" i="154"/>
  <c r="AF181" i="154"/>
  <c r="AF189" i="154" s="1"/>
  <c r="AF180" i="154"/>
  <c r="AF188" i="154" s="1"/>
  <c r="AF616" i="154"/>
  <c r="AF182" i="154"/>
  <c r="AF190" i="154" s="1"/>
  <c r="X181" i="154"/>
  <c r="X189" i="154" s="1"/>
  <c r="X180" i="154"/>
  <c r="X188" i="154" s="1"/>
  <c r="X182" i="154"/>
  <c r="X190" i="154" s="1"/>
  <c r="X616" i="154"/>
  <c r="X178" i="154"/>
  <c r="X186" i="154" s="1"/>
  <c r="BY593" i="155"/>
  <c r="BY594" i="155" s="1"/>
  <c r="BY530" i="155"/>
  <c r="BY544" i="155"/>
  <c r="BD582" i="155"/>
  <c r="BD223" i="155"/>
  <c r="BF593" i="155"/>
  <c r="BF594" i="155" s="1"/>
  <c r="BF530" i="155"/>
  <c r="BF544" i="155"/>
  <c r="BN593" i="153"/>
  <c r="BN594" i="153" s="1"/>
  <c r="BN530" i="153"/>
  <c r="BN544" i="153"/>
  <c r="AT615" i="155"/>
  <c r="AT559" i="155" a="1"/>
  <c r="AT559" i="155" s="1"/>
  <c r="AT623" i="155" s="1"/>
  <c r="AT552" i="155"/>
  <c r="AA182" i="154"/>
  <c r="AA190" i="154" s="1"/>
  <c r="AA616" i="154"/>
  <c r="AA181" i="154"/>
  <c r="AA189" i="154" s="1"/>
  <c r="AA180" i="154"/>
  <c r="AA188" i="154" s="1"/>
  <c r="AA178" i="154"/>
  <c r="AA186" i="154" s="1"/>
  <c r="X616" i="153"/>
  <c r="X182" i="153"/>
  <c r="X190" i="153" s="1"/>
  <c r="V556" i="154"/>
  <c r="V619" i="154"/>
  <c r="V620" i="154" s="1"/>
  <c r="AS552" i="155"/>
  <c r="AS559" i="155" a="1"/>
  <c r="AS559" i="155" s="1"/>
  <c r="AS623" i="155" s="1"/>
  <c r="AS615" i="155"/>
  <c r="BK582" i="153"/>
  <c r="BK223" i="153"/>
  <c r="BN224" i="153"/>
  <c r="BN591" i="153"/>
  <c r="BM582" i="155"/>
  <c r="BM223" i="155"/>
  <c r="R201" i="154"/>
  <c r="R332" i="154"/>
  <c r="R342" i="154" s="1"/>
  <c r="Z556" i="155"/>
  <c r="Z619" i="155"/>
  <c r="Z620" i="155" s="1"/>
  <c r="AA329" i="155"/>
  <c r="AA339" i="155" s="1"/>
  <c r="AA198" i="155"/>
  <c r="P581" i="154"/>
  <c r="N582" i="154"/>
  <c r="P582" i="154" s="1"/>
  <c r="BU581" i="154"/>
  <c r="BU518" i="154"/>
  <c r="S619" i="153"/>
  <c r="S620" i="153" s="1"/>
  <c r="L615" i="155"/>
  <c r="L616" i="155" s="1"/>
  <c r="L552" i="155"/>
  <c r="S332" i="154"/>
  <c r="S342" i="154" s="1"/>
  <c r="S201" i="154"/>
  <c r="AH616" i="155"/>
  <c r="AH182" i="155"/>
  <c r="AH190" i="155" s="1"/>
  <c r="AH181" i="155"/>
  <c r="AH189" i="155" s="1"/>
  <c r="AH180" i="155"/>
  <c r="AH188" i="155" s="1"/>
  <c r="AH179" i="155"/>
  <c r="AH187" i="155" s="1"/>
  <c r="AR552" i="155"/>
  <c r="AR559" i="155" a="1"/>
  <c r="AR559" i="155" s="1"/>
  <c r="AR623" i="155" s="1"/>
  <c r="AR615" i="155"/>
  <c r="AF619" i="155"/>
  <c r="AF620" i="155" s="1"/>
  <c r="AF556" i="155"/>
  <c r="AF619" i="154"/>
  <c r="AF620" i="154" s="1"/>
  <c r="AF556" i="154"/>
  <c r="AW608" i="154"/>
  <c r="AW551" i="154"/>
  <c r="AW555" i="154" s="1"/>
  <c r="AK619" i="153"/>
  <c r="AK620" i="153" s="1"/>
  <c r="AM616" i="153"/>
  <c r="AM182" i="153"/>
  <c r="AM190" i="153" s="1"/>
  <c r="BY591" i="155"/>
  <c r="BY224" i="155"/>
  <c r="BU529" i="153"/>
  <c r="BU581" i="153"/>
  <c r="BU518" i="153"/>
  <c r="AI559" i="154" a="1"/>
  <c r="AI559" i="154" s="1"/>
  <c r="AI623" i="154" s="1"/>
  <c r="AI615" i="154"/>
  <c r="AI552" i="154"/>
  <c r="AM619" i="154"/>
  <c r="AM620" i="154" s="1"/>
  <c r="AM556" i="154"/>
  <c r="AL556" i="155"/>
  <c r="AL619" i="155"/>
  <c r="AL620" i="155" s="1"/>
  <c r="AA331" i="155"/>
  <c r="AA341" i="155" s="1"/>
  <c r="AA200" i="155"/>
  <c r="AJ616" i="155"/>
  <c r="AJ179" i="155"/>
  <c r="AJ187" i="155" s="1"/>
  <c r="AJ181" i="155"/>
  <c r="AJ189" i="155" s="1"/>
  <c r="AJ182" i="155"/>
  <c r="AJ190" i="155" s="1"/>
  <c r="BU582" i="155"/>
  <c r="BU223" i="155"/>
  <c r="S616" i="153"/>
  <c r="S182" i="153"/>
  <c r="S190" i="153" s="1"/>
  <c r="AB202" i="154"/>
  <c r="AB333" i="154"/>
  <c r="AB343" i="154" s="1"/>
  <c r="N593" i="155"/>
  <c r="N530" i="155"/>
  <c r="P530" i="155" s="1"/>
  <c r="N544" i="155"/>
  <c r="BN591" i="155"/>
  <c r="BN224" i="155"/>
  <c r="S331" i="154"/>
  <c r="S341" i="154" s="1"/>
  <c r="S200" i="154"/>
  <c r="BV593" i="154"/>
  <c r="BV594" i="154" s="1"/>
  <c r="BV530" i="154"/>
  <c r="BV544" i="154"/>
  <c r="AL619" i="153"/>
  <c r="AL620" i="153" s="1"/>
  <c r="BX581" i="154"/>
  <c r="BX518" i="154"/>
  <c r="BD530" i="155"/>
  <c r="BD593" i="155"/>
  <c r="BD594" i="155" s="1"/>
  <c r="BD544" i="155"/>
  <c r="BA608" i="153"/>
  <c r="BA551" i="153"/>
  <c r="BM608" i="155"/>
  <c r="BM551" i="155"/>
  <c r="BM555" i="155" s="1"/>
  <c r="AC616" i="154"/>
  <c r="AC182" i="154"/>
  <c r="AC190" i="154" s="1"/>
  <c r="AC181" i="154"/>
  <c r="AC189" i="154" s="1"/>
  <c r="AC180" i="154"/>
  <c r="AC188" i="154" s="1"/>
  <c r="V616" i="154"/>
  <c r="V179" i="154"/>
  <c r="V187" i="154" s="1"/>
  <c r="V180" i="154"/>
  <c r="V188" i="154" s="1"/>
  <c r="V181" i="154"/>
  <c r="V189" i="154" s="1"/>
  <c r="V182" i="154"/>
  <c r="V190" i="154" s="1"/>
  <c r="V178" i="154"/>
  <c r="V186" i="154" s="1"/>
  <c r="S329" i="155"/>
  <c r="S339" i="155" s="1"/>
  <c r="S198" i="155"/>
  <c r="BA551" i="154"/>
  <c r="BA555" i="154" s="1"/>
  <c r="BA608" i="154"/>
  <c r="BM593" i="153"/>
  <c r="BM594" i="153" s="1"/>
  <c r="BM530" i="153"/>
  <c r="BM544" i="153"/>
  <c r="Z616" i="155"/>
  <c r="Z180" i="155"/>
  <c r="Z188" i="155" s="1"/>
  <c r="Z181" i="155"/>
  <c r="Z189" i="155" s="1"/>
  <c r="Z179" i="155"/>
  <c r="Z187" i="155" s="1"/>
  <c r="Z182" i="155"/>
  <c r="Z190" i="155" s="1"/>
  <c r="Z178" i="155"/>
  <c r="Z186" i="155" s="1"/>
  <c r="AL616" i="155"/>
  <c r="AL181" i="155"/>
  <c r="AL189" i="155" s="1"/>
  <c r="AL182" i="155"/>
  <c r="AL190" i="155" s="1"/>
  <c r="AA179" i="155"/>
  <c r="AA187" i="155" s="1"/>
  <c r="BD608" i="153"/>
  <c r="BD551" i="153"/>
  <c r="N593" i="154"/>
  <c r="N530" i="154"/>
  <c r="P530" i="154" s="1"/>
  <c r="N544" i="154"/>
  <c r="AE619" i="155"/>
  <c r="AE620" i="155" s="1"/>
  <c r="AE556" i="155"/>
  <c r="BT591" i="154"/>
  <c r="BT224" i="154"/>
  <c r="AB201" i="154"/>
  <c r="AB332" i="154"/>
  <c r="AB342" i="154" s="1"/>
  <c r="AQ608" i="154"/>
  <c r="AQ551" i="154"/>
  <c r="AQ555" i="154" s="1"/>
  <c r="S330" i="154"/>
  <c r="S340" i="154" s="1"/>
  <c r="S199" i="154"/>
  <c r="AK556" i="154"/>
  <c r="AK619" i="154"/>
  <c r="AK620" i="154" s="1"/>
  <c r="X619" i="154"/>
  <c r="X620" i="154" s="1"/>
  <c r="X556" i="154"/>
  <c r="AK616" i="153"/>
  <c r="AK182" i="153"/>
  <c r="AK190" i="153" s="1"/>
  <c r="BV591" i="154"/>
  <c r="BV224" i="154"/>
  <c r="BW582" i="155"/>
  <c r="BW223" i="155"/>
  <c r="BC223" i="153"/>
  <c r="BC582" i="153"/>
  <c r="AG552" i="155"/>
  <c r="AG559" i="155" a="1"/>
  <c r="AG559" i="155" s="1"/>
  <c r="AG623" i="155" s="1"/>
  <c r="AG615" i="155"/>
  <c r="R171" i="155" s="1"/>
  <c r="AP552" i="154"/>
  <c r="AP615" i="154"/>
  <c r="AP559" i="154" a="1"/>
  <c r="AP559" i="154" s="1"/>
  <c r="AP561" i="154" s="1"/>
  <c r="AP567" i="154" s="1"/>
  <c r="AM616" i="154"/>
  <c r="AM181" i="154"/>
  <c r="AM189" i="154" s="1"/>
  <c r="AM182" i="154"/>
  <c r="AM190" i="154" s="1"/>
  <c r="AN619" i="155"/>
  <c r="AN620" i="155" s="1"/>
  <c r="AN556" i="155"/>
  <c r="BL582" i="154"/>
  <c r="BL223" i="154"/>
  <c r="AA333" i="155"/>
  <c r="AA343" i="155" s="1"/>
  <c r="AA202" i="155"/>
  <c r="AJ619" i="155"/>
  <c r="AJ620" i="155" s="1"/>
  <c r="AJ556" i="155"/>
  <c r="BF582" i="155"/>
  <c r="BF223" i="155"/>
  <c r="AN559" i="153" a="1"/>
  <c r="AN559" i="153" s="1"/>
  <c r="AN623" i="153" s="1"/>
  <c r="AN615" i="153"/>
  <c r="AY559" i="155" a="1"/>
  <c r="AY559" i="155" s="1"/>
  <c r="AY623" i="155" s="1"/>
  <c r="AY615" i="155"/>
  <c r="AY552" i="155"/>
  <c r="K556" i="154"/>
  <c r="K619" i="154"/>
  <c r="K620" i="154" s="1"/>
  <c r="AL616" i="153"/>
  <c r="AL182" i="153"/>
  <c r="AL190" i="153" s="1"/>
  <c r="AV559" i="155" a="1"/>
  <c r="AV559" i="155" s="1"/>
  <c r="AV623" i="155" s="1"/>
  <c r="AV615" i="155"/>
  <c r="AV552" i="155"/>
  <c r="BW593" i="155"/>
  <c r="BW594" i="155" s="1"/>
  <c r="BW530" i="155"/>
  <c r="BW544" i="155"/>
  <c r="S200" i="155"/>
  <c r="S331" i="155"/>
  <c r="S341" i="155" s="1"/>
  <c r="V631" i="155"/>
  <c r="V625" i="155"/>
  <c r="V626" i="155" s="1"/>
  <c r="V562" i="155"/>
  <c r="BC530" i="153"/>
  <c r="BC593" i="153"/>
  <c r="BC594" i="153" s="1"/>
  <c r="BC544" i="153"/>
  <c r="AN616" i="155"/>
  <c r="AN182" i="155"/>
  <c r="AN190" i="155" s="1"/>
  <c r="AN181" i="155"/>
  <c r="AN189" i="155" s="1"/>
  <c r="BV581" i="153"/>
  <c r="BV518" i="153"/>
  <c r="BU591" i="155"/>
  <c r="BU224" i="155"/>
  <c r="L619" i="153"/>
  <c r="L620" i="153" s="1"/>
  <c r="AE180" i="155"/>
  <c r="AE188" i="155" s="1"/>
  <c r="AE179" i="155"/>
  <c r="AE187" i="155" s="1"/>
  <c r="AE181" i="155"/>
  <c r="AE189" i="155" s="1"/>
  <c r="AE182" i="155"/>
  <c r="AE190" i="155" s="1"/>
  <c r="AE616" i="155"/>
  <c r="T202" i="153"/>
  <c r="T333" i="153"/>
  <c r="T343" i="153" s="1"/>
  <c r="AB200" i="154"/>
  <c r="AB331" i="154"/>
  <c r="AB341" i="154" s="1"/>
  <c r="AY608" i="153"/>
  <c r="AY551" i="153"/>
  <c r="BO529" i="153"/>
  <c r="BS529" i="153"/>
  <c r="BS581" i="153"/>
  <c r="BS518" i="153"/>
  <c r="BY223" i="153"/>
  <c r="BY582" i="153"/>
  <c r="BB608" i="154"/>
  <c r="BB551" i="154"/>
  <c r="BB555" i="154" s="1"/>
  <c r="AB202" i="153"/>
  <c r="AB333" i="153"/>
  <c r="AB343" i="153" s="1"/>
  <c r="BH582" i="154"/>
  <c r="BH223" i="154"/>
  <c r="BD593" i="154"/>
  <c r="BD594" i="154" s="1"/>
  <c r="BD530" i="154"/>
  <c r="BD544" i="154"/>
  <c r="BH608" i="154"/>
  <c r="BH551" i="154"/>
  <c r="BH555" i="154" s="1"/>
  <c r="BX593" i="154"/>
  <c r="BX594" i="154" s="1"/>
  <c r="BX530" i="154"/>
  <c r="BX544" i="154"/>
  <c r="AO619" i="154"/>
  <c r="AO620" i="154" s="1"/>
  <c r="AO556" i="154"/>
  <c r="AL619" i="154"/>
  <c r="AL620" i="154" s="1"/>
  <c r="AL556" i="154"/>
  <c r="AM556" i="155"/>
  <c r="AM619" i="155"/>
  <c r="AM620" i="155" s="1"/>
  <c r="AD615" i="153"/>
  <c r="AD559" i="153" a="1"/>
  <c r="AD559" i="153" s="1"/>
  <c r="AK182" i="154"/>
  <c r="AK190" i="154" s="1"/>
  <c r="AK616" i="154"/>
  <c r="AK181" i="154"/>
  <c r="AK189" i="154" s="1"/>
  <c r="AN615" i="154"/>
  <c r="AN552" i="154"/>
  <c r="AN559" i="154" a="1"/>
  <c r="AN559" i="154" s="1"/>
  <c r="AN623" i="154" s="1"/>
  <c r="BD582" i="154"/>
  <c r="BD223" i="154"/>
  <c r="AY608" i="154"/>
  <c r="AY551" i="154"/>
  <c r="AY555" i="154" s="1"/>
  <c r="BO224" i="153"/>
  <c r="BO591" i="153"/>
  <c r="BQ582" i="155"/>
  <c r="BQ223" i="155"/>
  <c r="BY518" i="154"/>
  <c r="BY581" i="154"/>
  <c r="P544" i="153"/>
  <c r="N551" i="153"/>
  <c r="N608" i="153"/>
  <c r="P608" i="153" s="1"/>
  <c r="AL616" i="154"/>
  <c r="AL182" i="154"/>
  <c r="AL190" i="154" s="1"/>
  <c r="AL181" i="154"/>
  <c r="AL189" i="154" s="1"/>
  <c r="S199" i="155"/>
  <c r="S330" i="155"/>
  <c r="S340" i="155" s="1"/>
  <c r="AK556" i="155"/>
  <c r="AK619" i="155"/>
  <c r="AK620" i="155" s="1"/>
  <c r="BJ582" i="155"/>
  <c r="BJ223" i="155"/>
  <c r="T198" i="155"/>
  <c r="T329" i="155"/>
  <c r="T339" i="155" s="1"/>
  <c r="BX591" i="154"/>
  <c r="BX224" i="154"/>
  <c r="AD616" i="154"/>
  <c r="AD180" i="154"/>
  <c r="AD188" i="154" s="1"/>
  <c r="AD181" i="154"/>
  <c r="AD189" i="154" s="1"/>
  <c r="AD182" i="154"/>
  <c r="AD190" i="154" s="1"/>
  <c r="BX223" i="153"/>
  <c r="BX582" i="153"/>
  <c r="AA332" i="155"/>
  <c r="AA342" i="155" s="1"/>
  <c r="AA201" i="155"/>
  <c r="AR615" i="153"/>
  <c r="AR559" i="153" a="1"/>
  <c r="AR559" i="153" s="1"/>
  <c r="AR623" i="153" s="1"/>
  <c r="AD616" i="155"/>
  <c r="AD180" i="155"/>
  <c r="AD188" i="155" s="1"/>
  <c r="AD179" i="155"/>
  <c r="AD187" i="155" s="1"/>
  <c r="AD182" i="155"/>
  <c r="AD190" i="155" s="1"/>
  <c r="AD181" i="155"/>
  <c r="AD189" i="155" s="1"/>
  <c r="AM182" i="155"/>
  <c r="AM190" i="155" s="1"/>
  <c r="AM616" i="155"/>
  <c r="AM181" i="155"/>
  <c r="AM189" i="155" s="1"/>
  <c r="AO619" i="153"/>
  <c r="AO620" i="153" s="1"/>
  <c r="Y625" i="153"/>
  <c r="Y626" i="153" s="1"/>
  <c r="BR591" i="153"/>
  <c r="BR224" i="153"/>
  <c r="AZ608" i="155"/>
  <c r="AZ551" i="155"/>
  <c r="AZ555" i="155" s="1"/>
  <c r="AK182" i="155"/>
  <c r="AK190" i="155" s="1"/>
  <c r="AK181" i="155"/>
  <c r="AK189" i="155" s="1"/>
  <c r="AK179" i="155"/>
  <c r="AK187" i="155" s="1"/>
  <c r="AK616" i="155"/>
  <c r="BT591" i="155"/>
  <c r="BT224" i="155"/>
  <c r="AU559" i="154" a="1"/>
  <c r="AU559" i="154" s="1"/>
  <c r="AU623" i="154" s="1"/>
  <c r="AU615" i="154"/>
  <c r="AU552" i="154"/>
  <c r="AT615" i="154"/>
  <c r="AT552" i="154"/>
  <c r="AT559" i="154" a="1"/>
  <c r="AT559" i="154" s="1"/>
  <c r="AT623" i="154" s="1"/>
  <c r="AP608" i="153"/>
  <c r="AP551" i="153"/>
  <c r="AD623" i="155"/>
  <c r="BM551" i="154"/>
  <c r="BM555" i="154" s="1"/>
  <c r="BM608" i="154"/>
  <c r="AB625" i="154"/>
  <c r="AB626" i="154" s="1"/>
  <c r="AB631" i="154"/>
  <c r="AB562" i="154"/>
  <c r="BO593" i="154"/>
  <c r="BO594" i="154" s="1"/>
  <c r="BO530" i="154"/>
  <c r="BO544" i="154"/>
  <c r="U619" i="154"/>
  <c r="U620" i="154" s="1"/>
  <c r="U556" i="154"/>
  <c r="AU608" i="153"/>
  <c r="AU551" i="153"/>
  <c r="BF582" i="153"/>
  <c r="BF223" i="153"/>
  <c r="BK608" i="155"/>
  <c r="BK551" i="155"/>
  <c r="BK555" i="155" s="1"/>
  <c r="S201" i="155"/>
  <c r="S332" i="155"/>
  <c r="S342" i="155" s="1"/>
  <c r="BF593" i="154"/>
  <c r="BF594" i="154" s="1"/>
  <c r="BF530" i="154"/>
  <c r="BF544" i="154"/>
  <c r="S333" i="155"/>
  <c r="S343" i="155" s="1"/>
  <c r="S202" i="155"/>
  <c r="BX591" i="155"/>
  <c r="BX224" i="155"/>
  <c r="BY593" i="154"/>
  <c r="BY594" i="154" s="1"/>
  <c r="BY530" i="154"/>
  <c r="BY544" i="154"/>
  <c r="AR615" i="154"/>
  <c r="AR559" i="154" a="1"/>
  <c r="AR559" i="154" s="1"/>
  <c r="AR623" i="154" s="1"/>
  <c r="AR552" i="154"/>
  <c r="T331" i="155"/>
  <c r="T341" i="155" s="1"/>
  <c r="T200" i="155"/>
  <c r="AO616" i="154"/>
  <c r="AO181" i="154"/>
  <c r="AO189" i="154" s="1"/>
  <c r="AO182" i="154"/>
  <c r="AO190" i="154" s="1"/>
  <c r="BY593" i="153"/>
  <c r="BY594" i="153" s="1"/>
  <c r="BY530" i="153"/>
  <c r="BY544" i="153"/>
  <c r="AD556" i="154"/>
  <c r="AD619" i="154"/>
  <c r="AD620" i="154" s="1"/>
  <c r="BQ581" i="153"/>
  <c r="BQ518" i="153"/>
  <c r="BA608" i="155"/>
  <c r="BA551" i="155"/>
  <c r="BA555" i="155" s="1"/>
  <c r="AD619" i="155"/>
  <c r="AD620" i="155" s="1"/>
  <c r="AD556" i="155"/>
  <c r="AG615" i="153"/>
  <c r="AG559" i="153" a="1"/>
  <c r="AG559" i="153" s="1"/>
  <c r="AG623" i="153" s="1"/>
  <c r="BQ581" i="154"/>
  <c r="BQ518" i="154"/>
  <c r="BO591" i="154"/>
  <c r="BO224" i="154"/>
  <c r="AO616" i="153"/>
  <c r="AO182" i="153"/>
  <c r="AO190" i="153" s="1"/>
  <c r="BL223" i="153"/>
  <c r="BL582" i="153"/>
  <c r="BF530" i="153"/>
  <c r="BF593" i="153"/>
  <c r="BF594" i="153" s="1"/>
  <c r="BF544" i="153"/>
  <c r="BO582" i="155"/>
  <c r="BO223" i="155"/>
  <c r="AX551" i="154"/>
  <c r="AX555" i="154" s="1"/>
  <c r="AX608" i="154"/>
  <c r="BN529" i="154"/>
  <c r="BN581" i="154"/>
  <c r="BN518" i="154"/>
  <c r="V329" i="155"/>
  <c r="V339" i="155" s="1"/>
  <c r="V198" i="155"/>
  <c r="AF619" i="153"/>
  <c r="AF620" i="153" s="1"/>
  <c r="Y180" i="154"/>
  <c r="Y188" i="154" s="1"/>
  <c r="Y616" i="154"/>
  <c r="Y181" i="154"/>
  <c r="Y189" i="154" s="1"/>
  <c r="Y182" i="154"/>
  <c r="Y190" i="154" s="1"/>
  <c r="Y178" i="154"/>
  <c r="Y186" i="154" s="1"/>
  <c r="N594" i="153"/>
  <c r="P594" i="153" s="1"/>
  <c r="P593" i="153"/>
  <c r="U329" i="155"/>
  <c r="U339" i="155" s="1"/>
  <c r="U198" i="155"/>
  <c r="BY224" i="154"/>
  <c r="BY591" i="154"/>
  <c r="U200" i="155"/>
  <c r="U331" i="155"/>
  <c r="U341" i="155" s="1"/>
  <c r="BB582" i="154"/>
  <c r="BB223" i="154"/>
  <c r="BI551" i="154"/>
  <c r="BI555" i="154" s="1"/>
  <c r="BI608" i="154"/>
  <c r="T202" i="155"/>
  <c r="T333" i="155"/>
  <c r="T343" i="155" s="1"/>
  <c r="BN581" i="155"/>
  <c r="BN518" i="155"/>
  <c r="BY224" i="153"/>
  <c r="BY591" i="153"/>
  <c r="AD623" i="154"/>
  <c r="BG223" i="155"/>
  <c r="BG582" i="155"/>
  <c r="AU552" i="155"/>
  <c r="AU615" i="155"/>
  <c r="AU559" i="155" a="1"/>
  <c r="AU559" i="155" s="1"/>
  <c r="AU623" i="155" s="1"/>
  <c r="U179" i="154"/>
  <c r="U187" i="154" s="1"/>
  <c r="U616" i="154"/>
  <c r="U180" i="154"/>
  <c r="U188" i="154" s="1"/>
  <c r="U181" i="154"/>
  <c r="U189" i="154" s="1"/>
  <c r="U182" i="154"/>
  <c r="U190" i="154" s="1"/>
  <c r="U178" i="154"/>
  <c r="U186" i="154" s="1"/>
  <c r="BL530" i="153"/>
  <c r="BL593" i="153"/>
  <c r="BL594" i="153" s="1"/>
  <c r="BL544" i="153"/>
  <c r="BQ529" i="153"/>
  <c r="AT551" i="153"/>
  <c r="AT608" i="153"/>
  <c r="AF616" i="153"/>
  <c r="AF182" i="153"/>
  <c r="AF190" i="153" s="1"/>
  <c r="Y556" i="154"/>
  <c r="Y619" i="154"/>
  <c r="Y620" i="154" s="1"/>
  <c r="N582" i="153"/>
  <c r="P582" i="153" s="1"/>
  <c r="P581" i="153"/>
  <c r="AX559" i="153" a="1"/>
  <c r="AX559" i="153" s="1"/>
  <c r="AX623" i="153" s="1"/>
  <c r="AX615" i="153"/>
  <c r="BI582" i="154"/>
  <c r="BI223" i="154"/>
  <c r="T330" i="155"/>
  <c r="T340" i="155" s="1"/>
  <c r="T199" i="155"/>
  <c r="AC619" i="153"/>
  <c r="AC620" i="153" s="1"/>
  <c r="AV608" i="153"/>
  <c r="AV551" i="153"/>
  <c r="BQ591" i="154"/>
  <c r="BQ224" i="154"/>
  <c r="BO581" i="154"/>
  <c r="BO518" i="154"/>
  <c r="BW593" i="153"/>
  <c r="BW594" i="153" s="1"/>
  <c r="BW530" i="153"/>
  <c r="BW544" i="153"/>
  <c r="AZ608" i="153"/>
  <c r="AZ551" i="153"/>
  <c r="BF582" i="154"/>
  <c r="BF223" i="154"/>
  <c r="AP615" i="155"/>
  <c r="AP559" i="155" a="1"/>
  <c r="AP559" i="155" s="1"/>
  <c r="AP561" i="155" s="1"/>
  <c r="AP567" i="155" s="1"/>
  <c r="AP552" i="155"/>
  <c r="AE552" i="154"/>
  <c r="AE559" i="154" a="1"/>
  <c r="AE559" i="154" s="1"/>
  <c r="AE623" i="154" s="1"/>
  <c r="AE615" i="154"/>
  <c r="AS559" i="154" a="1"/>
  <c r="AS559" i="154" s="1"/>
  <c r="AS623" i="154" s="1"/>
  <c r="AS552" i="154"/>
  <c r="AS615" i="154"/>
  <c r="BC223" i="154"/>
  <c r="BC582" i="154"/>
  <c r="BC223" i="155"/>
  <c r="BC582" i="155"/>
  <c r="R619" i="153"/>
  <c r="R620" i="153" s="1"/>
  <c r="BT581" i="153"/>
  <c r="BT518" i="153"/>
  <c r="BB223" i="153"/>
  <c r="BB582" i="153"/>
  <c r="W202" i="153"/>
  <c r="W333" i="153"/>
  <c r="W343" i="153" s="1"/>
  <c r="V330" i="155"/>
  <c r="V340" i="155" s="1"/>
  <c r="V199" i="155"/>
  <c r="BG551" i="153"/>
  <c r="BG608" i="153"/>
  <c r="BR518" i="153"/>
  <c r="BR581" i="153"/>
  <c r="U332" i="155"/>
  <c r="U342" i="155" s="1"/>
  <c r="U201" i="155"/>
  <c r="U333" i="155"/>
  <c r="U343" i="155" s="1"/>
  <c r="U202" i="155"/>
  <c r="U631" i="155"/>
  <c r="U625" i="155"/>
  <c r="U626" i="155" s="1"/>
  <c r="U562" i="155"/>
  <c r="BL551" i="154"/>
  <c r="BL555" i="154" s="1"/>
  <c r="BL608" i="154"/>
  <c r="T332" i="155"/>
  <c r="T342" i="155" s="1"/>
  <c r="T201" i="155"/>
  <c r="BQ529" i="154"/>
  <c r="Z333" i="153"/>
  <c r="Z343" i="153" s="1"/>
  <c r="Z202" i="153"/>
  <c r="AA631" i="155"/>
  <c r="AA625" i="155"/>
  <c r="AA626" i="155" s="1"/>
  <c r="AA562" i="155"/>
  <c r="K619" i="155"/>
  <c r="K620" i="155" s="1"/>
  <c r="K556" i="155"/>
  <c r="W625" i="155"/>
  <c r="W626" i="155" s="1"/>
  <c r="W562" i="155"/>
  <c r="W631" i="155"/>
  <c r="T625" i="153"/>
  <c r="T626" i="153" s="1"/>
  <c r="BP529" i="153"/>
  <c r="BP518" i="153"/>
  <c r="BP581" i="153"/>
  <c r="BX530" i="153"/>
  <c r="BX593" i="153"/>
  <c r="BX594" i="153" s="1"/>
  <c r="BX544" i="153"/>
  <c r="R616" i="153"/>
  <c r="R181" i="153"/>
  <c r="R189" i="153" s="1"/>
  <c r="R179" i="153"/>
  <c r="R187" i="153" s="1"/>
  <c r="R178" i="153"/>
  <c r="R186" i="153" s="1"/>
  <c r="R180" i="153"/>
  <c r="R188" i="153" s="1"/>
  <c r="R182" i="153"/>
  <c r="R190" i="153" s="1"/>
  <c r="BV529" i="153"/>
  <c r="BQ591" i="153"/>
  <c r="BQ224" i="153"/>
  <c r="V333" i="155"/>
  <c r="V343" i="155" s="1"/>
  <c r="V202" i="155"/>
  <c r="S631" i="155"/>
  <c r="S562" i="155"/>
  <c r="S625" i="155"/>
  <c r="S626" i="155" s="1"/>
  <c r="AB180" i="155"/>
  <c r="AB188" i="155" s="1"/>
  <c r="AB179" i="155"/>
  <c r="AB187" i="155" s="1"/>
  <c r="AB182" i="155"/>
  <c r="AB190" i="155" s="1"/>
  <c r="AB616" i="155"/>
  <c r="AB181" i="155"/>
  <c r="AB189" i="155" s="1"/>
  <c r="AB178" i="155"/>
  <c r="AB186" i="155" s="1"/>
  <c r="BM223" i="153"/>
  <c r="BM582" i="153"/>
  <c r="L619" i="154"/>
  <c r="L620" i="154" s="1"/>
  <c r="L556" i="154"/>
  <c r="M615" i="155"/>
  <c r="M616" i="155" s="1"/>
  <c r="M552" i="155"/>
  <c r="BX591" i="153"/>
  <c r="BX224" i="153"/>
  <c r="R623" i="153"/>
  <c r="BV591" i="153"/>
  <c r="BV224" i="153"/>
  <c r="W556" i="154"/>
  <c r="W619" i="154"/>
  <c r="W620" i="154" s="1"/>
  <c r="BH223" i="153"/>
  <c r="BH582" i="153"/>
  <c r="X625" i="155"/>
  <c r="X626" i="155" s="1"/>
  <c r="X562" i="155"/>
  <c r="X631" i="155"/>
  <c r="BJ582" i="154"/>
  <c r="BJ223" i="154"/>
  <c r="V332" i="155"/>
  <c r="V342" i="155" s="1"/>
  <c r="V201" i="155"/>
  <c r="BI223" i="155"/>
  <c r="BI582" i="155"/>
  <c r="BG223" i="154"/>
  <c r="BG582" i="154"/>
  <c r="AC616" i="153"/>
  <c r="AC182" i="153"/>
  <c r="AC190" i="153" s="1"/>
  <c r="BK582" i="154"/>
  <c r="BK223" i="154"/>
  <c r="AA619" i="153"/>
  <c r="AA620" i="153" s="1"/>
  <c r="BS591" i="155"/>
  <c r="BS224" i="155"/>
  <c r="AC179" i="155"/>
  <c r="AC187" i="155" s="1"/>
  <c r="Z619" i="154"/>
  <c r="Z620" i="154" s="1"/>
  <c r="Z556" i="154"/>
  <c r="Z625" i="153"/>
  <c r="Z626" i="153" s="1"/>
  <c r="BE582" i="153"/>
  <c r="BE223" i="153"/>
  <c r="R623" i="155"/>
  <c r="Y333" i="153"/>
  <c r="Y343" i="153" s="1"/>
  <c r="Y202" i="153"/>
  <c r="Y198" i="155"/>
  <c r="Y329" i="155"/>
  <c r="Y339" i="155" s="1"/>
  <c r="AO556" i="155"/>
  <c r="AO619" i="155"/>
  <c r="AO620" i="155" s="1"/>
  <c r="AJ619" i="153"/>
  <c r="AJ620" i="153" s="1"/>
  <c r="W182" i="154"/>
  <c r="W190" i="154" s="1"/>
  <c r="W616" i="154"/>
  <c r="W180" i="154"/>
  <c r="W188" i="154" s="1"/>
  <c r="W181" i="154"/>
  <c r="W189" i="154" s="1"/>
  <c r="W178" i="154"/>
  <c r="W186" i="154" s="1"/>
  <c r="V200" i="155"/>
  <c r="V331" i="155"/>
  <c r="V341" i="155" s="1"/>
  <c r="V333" i="153"/>
  <c r="V343" i="153" s="1"/>
  <c r="V202" i="153"/>
  <c r="BK608" i="153"/>
  <c r="BK551" i="153"/>
  <c r="Z182" i="154"/>
  <c r="Z190" i="154" s="1"/>
  <c r="Z616" i="154"/>
  <c r="Z180" i="154"/>
  <c r="Z188" i="154" s="1"/>
  <c r="Z181" i="154"/>
  <c r="Z189" i="154" s="1"/>
  <c r="Z178" i="154"/>
  <c r="Z186" i="154" s="1"/>
  <c r="AZ608" i="154"/>
  <c r="AZ551" i="154"/>
  <c r="AZ555" i="154" s="1"/>
  <c r="BS593" i="154"/>
  <c r="BS594" i="154" s="1"/>
  <c r="BS530" i="154"/>
  <c r="BS544" i="154"/>
  <c r="BH593" i="153"/>
  <c r="BH594" i="153" s="1"/>
  <c r="BH530" i="153"/>
  <c r="BH544" i="153"/>
  <c r="X329" i="155"/>
  <c r="X339" i="155" s="1"/>
  <c r="X198" i="155"/>
  <c r="BP224" i="154"/>
  <c r="BP591" i="154"/>
  <c r="BJ608" i="155"/>
  <c r="BJ551" i="155"/>
  <c r="BJ555" i="155" s="1"/>
  <c r="BL582" i="155"/>
  <c r="BL223" i="155"/>
  <c r="AB625" i="153"/>
  <c r="AB626" i="153" s="1"/>
  <c r="T329" i="154"/>
  <c r="T339" i="154" s="1"/>
  <c r="T198" i="154"/>
  <c r="AB556" i="155"/>
  <c r="AB619" i="155"/>
  <c r="AB620" i="155" s="1"/>
  <c r="BL593" i="155"/>
  <c r="BL594" i="155" s="1"/>
  <c r="BL530" i="155"/>
  <c r="BL544" i="155"/>
  <c r="T202" i="154"/>
  <c r="T333" i="154"/>
  <c r="T343" i="154" s="1"/>
  <c r="T631" i="155"/>
  <c r="T562" i="155"/>
  <c r="T625" i="155"/>
  <c r="T626" i="155" s="1"/>
  <c r="R625" i="154"/>
  <c r="R626" i="154" s="1"/>
  <c r="R562" i="154"/>
  <c r="R631" i="154"/>
  <c r="AE559" i="153" a="1"/>
  <c r="AE559" i="153" s="1"/>
  <c r="AE623" i="153" s="1"/>
  <c r="AE615" i="153"/>
  <c r="BE530" i="153"/>
  <c r="BE593" i="153"/>
  <c r="BE594" i="153" s="1"/>
  <c r="BE544" i="153"/>
  <c r="R619" i="155"/>
  <c r="R620" i="155" s="1"/>
  <c r="R556" i="155"/>
  <c r="AH559" i="154" a="1"/>
  <c r="AH559" i="154" s="1"/>
  <c r="AH623" i="154" s="1"/>
  <c r="AH552" i="154"/>
  <c r="AH615" i="154"/>
  <c r="Y200" i="155"/>
  <c r="Y331" i="155"/>
  <c r="Y341" i="155" s="1"/>
  <c r="BM223" i="154"/>
  <c r="BM582" i="154"/>
  <c r="AO181" i="155"/>
  <c r="AO189" i="155" s="1"/>
  <c r="AO182" i="155"/>
  <c r="AO190" i="155" s="1"/>
  <c r="AO616" i="155"/>
  <c r="BS591" i="154"/>
  <c r="BS224" i="154"/>
  <c r="AJ616" i="153"/>
  <c r="AJ182" i="153"/>
  <c r="AJ190" i="153" s="1"/>
  <c r="X333" i="155"/>
  <c r="X343" i="155" s="1"/>
  <c r="X202" i="155"/>
  <c r="U330" i="155"/>
  <c r="U340" i="155" s="1"/>
  <c r="U199" i="155"/>
  <c r="V625" i="153"/>
  <c r="V626" i="153" s="1"/>
  <c r="BK608" i="154"/>
  <c r="BK551" i="154"/>
  <c r="BK555" i="154" s="1"/>
  <c r="T332" i="154"/>
  <c r="T342" i="154" s="1"/>
  <c r="T201" i="154"/>
  <c r="AA616" i="153"/>
  <c r="AA182" i="153"/>
  <c r="AA190" i="153" s="1"/>
  <c r="R202" i="154"/>
  <c r="R333" i="154"/>
  <c r="R343" i="154" s="1"/>
  <c r="BW582" i="154"/>
  <c r="BW223" i="154"/>
  <c r="U333" i="153"/>
  <c r="U343" i="153" s="1"/>
  <c r="U202" i="153"/>
  <c r="BP591" i="153"/>
  <c r="BP224" i="153"/>
  <c r="M608" i="153"/>
  <c r="M551" i="153"/>
  <c r="W198" i="155"/>
  <c r="W329" i="155"/>
  <c r="W339" i="155" s="1"/>
  <c r="AI619" i="153"/>
  <c r="AI620" i="153" s="1"/>
  <c r="U625" i="153"/>
  <c r="U626" i="153" s="1"/>
  <c r="R182" i="155"/>
  <c r="R190" i="155" s="1"/>
  <c r="R616" i="155"/>
  <c r="R178" i="155"/>
  <c r="R186" i="155" s="1"/>
  <c r="R181" i="155"/>
  <c r="R189" i="155" s="1"/>
  <c r="R179" i="155"/>
  <c r="R187" i="155" s="1"/>
  <c r="R180" i="155"/>
  <c r="R188" i="155" s="1"/>
  <c r="R177" i="155"/>
  <c r="Y333" i="155"/>
  <c r="Y343" i="155" s="1"/>
  <c r="Y202" i="155"/>
  <c r="X179" i="155"/>
  <c r="X187" i="155" s="1"/>
  <c r="BC608" i="154"/>
  <c r="BC551" i="154"/>
  <c r="BC555" i="154" s="1"/>
  <c r="AC202" i="155"/>
  <c r="AC333" i="155"/>
  <c r="AC343" i="155" s="1"/>
  <c r="BP530" i="155"/>
  <c r="BP593" i="155"/>
  <c r="BP594" i="155" s="1"/>
  <c r="BP544" i="155"/>
  <c r="BG593" i="155"/>
  <c r="BG594" i="155" s="1"/>
  <c r="BG530" i="155"/>
  <c r="BG544" i="155"/>
  <c r="BG582" i="153"/>
  <c r="BG223" i="153"/>
  <c r="BO530" i="155"/>
  <c r="BO593" i="155"/>
  <c r="BO594" i="155" s="1"/>
  <c r="BO544" i="155"/>
  <c r="R331" i="154"/>
  <c r="R341" i="154" s="1"/>
  <c r="R200" i="154"/>
  <c r="BQ530" i="155"/>
  <c r="BQ593" i="155"/>
  <c r="BQ594" i="155" s="1"/>
  <c r="BQ544" i="155"/>
  <c r="BW593" i="154"/>
  <c r="BW594" i="154" s="1"/>
  <c r="BW530" i="154"/>
  <c r="BW544" i="154"/>
  <c r="BH223" i="155"/>
  <c r="BH582" i="155"/>
  <c r="W200" i="155"/>
  <c r="W331" i="155"/>
  <c r="W341" i="155" s="1"/>
  <c r="AQ559" i="153" a="1"/>
  <c r="AQ559" i="153" s="1"/>
  <c r="AQ623" i="153" s="1"/>
  <c r="AQ615" i="153"/>
  <c r="Y201" i="155"/>
  <c r="Y332" i="155"/>
  <c r="Y342" i="155" s="1"/>
  <c r="BK582" i="155"/>
  <c r="BK223" i="155"/>
  <c r="BR582" i="155"/>
  <c r="BR223" i="155"/>
  <c r="S625" i="154"/>
  <c r="S626" i="154" s="1"/>
  <c r="S631" i="154"/>
  <c r="S562" i="154"/>
  <c r="BP581" i="154"/>
  <c r="BP518" i="154"/>
  <c r="W625" i="153"/>
  <c r="W626" i="153" s="1"/>
  <c r="BU591" i="154"/>
  <c r="BU224" i="154"/>
  <c r="BU530" i="154"/>
  <c r="BU593" i="154"/>
  <c r="BU594" i="154" s="1"/>
  <c r="BU544" i="154"/>
  <c r="AC556" i="154"/>
  <c r="AC619" i="154"/>
  <c r="AC620" i="154" s="1"/>
  <c r="BE608" i="154"/>
  <c r="BE551" i="154"/>
  <c r="BE555" i="154" s="1"/>
  <c r="BP591" i="155"/>
  <c r="BP224" i="155"/>
  <c r="BV530" i="155"/>
  <c r="BV593" i="155"/>
  <c r="BV594" i="155" s="1"/>
  <c r="BV544" i="155"/>
  <c r="T200" i="154"/>
  <c r="T331" i="154"/>
  <c r="T341" i="154" s="1"/>
  <c r="AG559" i="154" a="1"/>
  <c r="AG559" i="154" s="1"/>
  <c r="AG623" i="154" s="1"/>
  <c r="AG552" i="154"/>
  <c r="AG615" i="154"/>
  <c r="BN591" i="154"/>
  <c r="BN224" i="154"/>
  <c r="BN518" i="153"/>
  <c r="BN581" i="153"/>
  <c r="W202" i="155"/>
  <c r="W333" i="155"/>
  <c r="W343" i="155" s="1"/>
  <c r="BB223" i="155"/>
  <c r="BB582" i="155"/>
  <c r="Y179" i="155"/>
  <c r="Y187" i="155" s="1"/>
  <c r="Y625" i="155"/>
  <c r="Y626" i="155" s="1"/>
  <c r="Y562" i="155"/>
  <c r="Y631" i="155"/>
  <c r="BR591" i="154"/>
  <c r="BR224" i="154"/>
  <c r="AW608" i="155"/>
  <c r="AW551" i="155"/>
  <c r="AW555" i="155" s="1"/>
  <c r="AW608" i="153"/>
  <c r="AW551" i="153"/>
  <c r="X331" i="155"/>
  <c r="X341" i="155" s="1"/>
  <c r="X200" i="155"/>
  <c r="BG608" i="154"/>
  <c r="BG551" i="154"/>
  <c r="BG555" i="154" s="1"/>
  <c r="X581" i="99"/>
  <c r="X223" i="99" s="1"/>
  <c r="X518" i="99"/>
  <c r="Z576" i="99"/>
  <c r="AA228" i="99"/>
  <c r="AA535" i="99"/>
  <c r="AA599" i="99" s="1"/>
  <c r="V551" i="99"/>
  <c r="V555" i="99" s="1"/>
  <c r="V608" i="99"/>
  <c r="AA549" i="99"/>
  <c r="AA613" i="99" s="1"/>
  <c r="AA233" i="99"/>
  <c r="AD3" i="69"/>
  <c r="AD4" i="69" s="1"/>
  <c r="AC2" i="69" a="1"/>
  <c r="AC2" i="69" s="1"/>
  <c r="AC12" i="69"/>
  <c r="AC15" i="69"/>
  <c r="AC10" i="69"/>
  <c r="AC7" i="69"/>
  <c r="AC16" i="69"/>
  <c r="AC9" i="69"/>
  <c r="AC8" i="69"/>
  <c r="AC14" i="69"/>
  <c r="AC11" i="69"/>
  <c r="AC13" i="69"/>
  <c r="AA512" i="99"/>
  <c r="AA576" i="99" s="1"/>
  <c r="W608" i="99"/>
  <c r="W551" i="99"/>
  <c r="W555" i="99" s="1"/>
  <c r="AA229" i="99"/>
  <c r="Y590" i="99"/>
  <c r="AG527" i="99"/>
  <c r="Y529" i="99"/>
  <c r="Y518" i="99"/>
  <c r="Y581" i="99"/>
  <c r="AA230" i="99"/>
  <c r="Z579" i="99"/>
  <c r="Z517" i="99"/>
  <c r="AB547" i="99"/>
  <c r="AB534" i="99"/>
  <c r="AB598" i="99" s="1"/>
  <c r="AB548" i="99"/>
  <c r="AB612" i="99" s="1"/>
  <c r="AB538" i="99"/>
  <c r="AB540" i="99"/>
  <c r="AB604" i="99" s="1"/>
  <c r="AB539" i="99"/>
  <c r="AB603" i="99" s="1"/>
  <c r="AB541" i="99"/>
  <c r="AB605" i="99" s="1"/>
  <c r="AB525" i="99"/>
  <c r="AB589" i="99" s="1"/>
  <c r="AB509" i="99"/>
  <c r="AB573" i="99" s="1"/>
  <c r="AB521" i="99"/>
  <c r="AB507" i="99"/>
  <c r="AB523" i="99"/>
  <c r="AB587" i="99" s="1"/>
  <c r="AB522" i="99"/>
  <c r="AB586" i="99" s="1"/>
  <c r="AB516" i="99"/>
  <c r="AB580" i="99" s="1"/>
  <c r="AB514" i="99"/>
  <c r="AB578" i="99" s="1"/>
  <c r="AB513" i="99"/>
  <c r="AB577" i="99" s="1"/>
  <c r="AB558" i="99"/>
  <c r="AB622" i="99" s="1"/>
  <c r="AB533" i="99"/>
  <c r="AB597" i="99" s="1"/>
  <c r="AA585" i="99"/>
  <c r="AA524" i="99"/>
  <c r="AD3" i="99"/>
  <c r="AD4" i="99" s="1"/>
  <c r="AC2" i="99" a="1"/>
  <c r="AC2" i="99" s="1"/>
  <c r="AC554" i="99" s="1"/>
  <c r="AC474" i="99"/>
  <c r="AC498" i="99"/>
  <c r="AC482" i="99" s="1"/>
  <c r="AC490" i="99" s="1"/>
  <c r="AC475" i="99"/>
  <c r="AC499" i="99"/>
  <c r="AC483" i="99" s="1"/>
  <c r="AC491" i="99" s="1"/>
  <c r="AC476" i="99"/>
  <c r="AC477" i="99"/>
  <c r="AC500" i="99"/>
  <c r="AC484" i="99" s="1"/>
  <c r="AC492" i="99" s="1"/>
  <c r="AC478" i="99"/>
  <c r="AC501" i="99"/>
  <c r="AC485" i="99" s="1"/>
  <c r="AC493" i="99" s="1"/>
  <c r="AC479" i="99"/>
  <c r="AC502" i="99"/>
  <c r="AC486" i="99" s="1"/>
  <c r="AC494" i="99" s="1"/>
  <c r="AC503" i="99"/>
  <c r="AC487" i="99" s="1"/>
  <c r="AC495" i="99" s="1"/>
  <c r="AA234" i="99"/>
  <c r="AA232" i="99"/>
  <c r="AA602" i="99"/>
  <c r="AA542" i="99"/>
  <c r="AA606" i="99" s="1"/>
  <c r="Z526" i="99"/>
  <c r="Z588" i="99"/>
  <c r="X530" i="99"/>
  <c r="X544" i="99"/>
  <c r="X593" i="99"/>
  <c r="X594" i="99" s="1"/>
  <c r="X591" i="99"/>
  <c r="X224" i="99"/>
  <c r="AE5" i="72"/>
  <c r="AE6" i="72" s="1"/>
  <c r="AD36" i="72"/>
  <c r="AD37" i="72"/>
  <c r="AD47" i="72"/>
  <c r="AD48" i="72"/>
  <c r="R625" i="99"/>
  <c r="R626" i="99" s="1"/>
  <c r="R562" i="99"/>
  <c r="R631" i="99"/>
  <c r="P529" i="99"/>
  <c r="N593" i="99"/>
  <c r="N530" i="99"/>
  <c r="P530" i="99" s="1"/>
  <c r="U616" i="99"/>
  <c r="P581" i="99"/>
  <c r="N582" i="99"/>
  <c r="P582" i="99" s="1"/>
  <c r="S619" i="99"/>
  <c r="S620" i="99" s="1"/>
  <c r="S556" i="99"/>
  <c r="S616" i="99"/>
  <c r="U619" i="99"/>
  <c r="U620" i="99" s="1"/>
  <c r="U556" i="99"/>
  <c r="AD6" i="98"/>
  <c r="AC70" i="103"/>
  <c r="AT8" i="98"/>
  <c r="N123" i="105" l="1"/>
  <c r="N66" i="105"/>
  <c r="AD561" i="153"/>
  <c r="AD567" i="153" s="1"/>
  <c r="AE4" i="72" a="1"/>
  <c r="AE4" i="72" s="1"/>
  <c r="X122" i="105"/>
  <c r="AB122" i="105"/>
  <c r="W122" i="105"/>
  <c r="AC122" i="105"/>
  <c r="Z122" i="105"/>
  <c r="AA122" i="105"/>
  <c r="Y122" i="105"/>
  <c r="I28" i="151"/>
  <c r="Q43" i="151" s="1"/>
  <c r="D46" i="294" s="1"/>
  <c r="BN124" i="154"/>
  <c r="N59" i="154"/>
  <c r="P68" i="153"/>
  <c r="N133" i="153"/>
  <c r="P133" i="153" s="1"/>
  <c r="N113" i="154"/>
  <c r="P113" i="154" s="1"/>
  <c r="P48" i="154"/>
  <c r="BN117" i="154"/>
  <c r="N52" i="154"/>
  <c r="N122" i="154"/>
  <c r="P122" i="154" s="1"/>
  <c r="P57" i="154"/>
  <c r="P68" i="154"/>
  <c r="N133" i="154"/>
  <c r="P133" i="154" s="1"/>
  <c r="P57" i="153"/>
  <c r="N122" i="153"/>
  <c r="P122" i="153" s="1"/>
  <c r="N59" i="153"/>
  <c r="BN124" i="153"/>
  <c r="N122" i="155"/>
  <c r="P122" i="155" s="1"/>
  <c r="P57" i="155"/>
  <c r="P68" i="155"/>
  <c r="N133" i="155"/>
  <c r="P133" i="155" s="1"/>
  <c r="N59" i="155"/>
  <c r="BN124" i="155"/>
  <c r="N113" i="153"/>
  <c r="P113" i="153" s="1"/>
  <c r="P48" i="153"/>
  <c r="BN117" i="153"/>
  <c r="N52" i="153"/>
  <c r="BN117" i="155"/>
  <c r="N52" i="155"/>
  <c r="P48" i="155"/>
  <c r="N113" i="155"/>
  <c r="P113" i="155" s="1"/>
  <c r="AC567" i="153"/>
  <c r="AC631" i="153" s="1"/>
  <c r="AC562" i="153"/>
  <c r="X567" i="153"/>
  <c r="X631" i="153" s="1"/>
  <c r="X562" i="153"/>
  <c r="AJ567" i="153"/>
  <c r="AJ631" i="153" s="1"/>
  <c r="AJ562" i="153"/>
  <c r="S567" i="153"/>
  <c r="S631" i="153" s="1"/>
  <c r="S562" i="153"/>
  <c r="AV555" i="153"/>
  <c r="AV556" i="153" s="1"/>
  <c r="AV552" i="153"/>
  <c r="J567" i="153"/>
  <c r="J562" i="153"/>
  <c r="AO567" i="153"/>
  <c r="AO631" i="153" s="1"/>
  <c r="AO562" i="153"/>
  <c r="BA555" i="153"/>
  <c r="BA556" i="153" s="1"/>
  <c r="BA552" i="153"/>
  <c r="AF567" i="153"/>
  <c r="AF631" i="153" s="1"/>
  <c r="AF562" i="153"/>
  <c r="AK567" i="153"/>
  <c r="AK631" i="153" s="1"/>
  <c r="AK562" i="153"/>
  <c r="AW555" i="153"/>
  <c r="AW556" i="153" s="1"/>
  <c r="AW552" i="153"/>
  <c r="N555" i="153"/>
  <c r="N556" i="153" s="1"/>
  <c r="P556" i="153" s="1"/>
  <c r="N552" i="153"/>
  <c r="P552" i="153" s="1"/>
  <c r="AT555" i="153"/>
  <c r="AT556" i="153" s="1"/>
  <c r="AT552" i="153"/>
  <c r="AY555" i="153"/>
  <c r="AY556" i="153" s="1"/>
  <c r="AY552" i="153"/>
  <c r="BK555" i="153"/>
  <c r="BK556" i="153" s="1"/>
  <c r="BK552" i="153"/>
  <c r="AA567" i="153"/>
  <c r="AA631" i="153" s="1"/>
  <c r="AA562" i="153"/>
  <c r="M555" i="153"/>
  <c r="M556" i="153" s="1"/>
  <c r="M552" i="153"/>
  <c r="BB555" i="153"/>
  <c r="BB556" i="153" s="1"/>
  <c r="BB552" i="153"/>
  <c r="BG555" i="153"/>
  <c r="BG556" i="153" s="1"/>
  <c r="BG552" i="153"/>
  <c r="AM567" i="153"/>
  <c r="AM631" i="153" s="1"/>
  <c r="AM562" i="153"/>
  <c r="AZ555" i="153"/>
  <c r="AZ556" i="153" s="1"/>
  <c r="AZ552" i="153"/>
  <c r="AU555" i="153"/>
  <c r="AU556" i="153" s="1"/>
  <c r="AU552" i="153"/>
  <c r="AP555" i="153"/>
  <c r="AP556" i="153" s="1"/>
  <c r="AP552" i="153"/>
  <c r="BJ555" i="153"/>
  <c r="BJ556" i="153" s="1"/>
  <c r="BJ552" i="153"/>
  <c r="AL567" i="153"/>
  <c r="AL631" i="153" s="1"/>
  <c r="AL562" i="153"/>
  <c r="BD555" i="153"/>
  <c r="BD556" i="153" s="1"/>
  <c r="BD552" i="153"/>
  <c r="AI567" i="153"/>
  <c r="AI631" i="153" s="1"/>
  <c r="AI562" i="153"/>
  <c r="AD122" i="105"/>
  <c r="AE122" i="105"/>
  <c r="AJ182" i="154"/>
  <c r="AJ190" i="154" s="1"/>
  <c r="AJ333" i="154" s="1"/>
  <c r="AJ343" i="154" s="1"/>
  <c r="AJ616" i="154"/>
  <c r="AC331" i="155"/>
  <c r="AC341" i="155" s="1"/>
  <c r="AJ181" i="154"/>
  <c r="AJ189" i="154" s="1"/>
  <c r="AJ332" i="154" s="1"/>
  <c r="AJ342" i="154" s="1"/>
  <c r="AH70" i="105"/>
  <c r="AC35" i="151" s="1"/>
  <c r="AC332" i="155"/>
  <c r="AC342" i="155" s="1"/>
  <c r="AA129" i="99"/>
  <c r="AF127" i="105"/>
  <c r="AA127" i="105"/>
  <c r="AG127" i="105"/>
  <c r="Y127" i="105"/>
  <c r="AJ561" i="154"/>
  <c r="AJ567" i="154" s="1"/>
  <c r="AS561" i="154"/>
  <c r="AS567" i="154" s="1"/>
  <c r="AE561" i="153"/>
  <c r="AS561" i="153"/>
  <c r="AR561" i="153"/>
  <c r="AS561" i="155"/>
  <c r="AS567" i="155" s="1"/>
  <c r="AX561" i="153"/>
  <c r="AG561" i="155"/>
  <c r="AG567" i="155" s="1"/>
  <c r="AQ561" i="155"/>
  <c r="AQ567" i="155" s="1"/>
  <c r="AT561" i="155"/>
  <c r="AT567" i="155" s="1"/>
  <c r="AR561" i="154"/>
  <c r="AR567" i="154" s="1"/>
  <c r="AT561" i="154"/>
  <c r="AT567" i="154" s="1"/>
  <c r="AG561" i="154"/>
  <c r="AG567" i="154" s="1"/>
  <c r="AN561" i="153"/>
  <c r="AN561" i="154"/>
  <c r="AN567" i="154" s="1"/>
  <c r="AG561" i="153"/>
  <c r="AR561" i="155"/>
  <c r="AR567" i="155" s="1"/>
  <c r="AQ561" i="153"/>
  <c r="AI561" i="154"/>
  <c r="AI567" i="154" s="1"/>
  <c r="AU561" i="154"/>
  <c r="AU567" i="154" s="1"/>
  <c r="AI561" i="155"/>
  <c r="AI567" i="155" s="1"/>
  <c r="AI631" i="155" s="1"/>
  <c r="AH561" i="153"/>
  <c r="AE561" i="154"/>
  <c r="AE567" i="154" s="1"/>
  <c r="AJ556" i="154"/>
  <c r="T561" i="99"/>
  <c r="T567" i="99" s="1"/>
  <c r="AV561" i="155"/>
  <c r="AV567" i="155" s="1"/>
  <c r="AY561" i="155"/>
  <c r="AY567" i="155" s="1"/>
  <c r="AU561" i="155"/>
  <c r="AU567" i="155" s="1"/>
  <c r="AH561" i="154"/>
  <c r="AH567" i="154" s="1"/>
  <c r="AB132" i="105"/>
  <c r="X132" i="105"/>
  <c r="AA132" i="105"/>
  <c r="AE132" i="105"/>
  <c r="Y132" i="105"/>
  <c r="AC127" i="105"/>
  <c r="AB127" i="105"/>
  <c r="AC132" i="105"/>
  <c r="AE127" i="105"/>
  <c r="Z127" i="105"/>
  <c r="AD127" i="105"/>
  <c r="X127" i="105"/>
  <c r="N71" i="105"/>
  <c r="N128" i="105" s="1"/>
  <c r="J562" i="154"/>
  <c r="J562" i="155"/>
  <c r="R171" i="153"/>
  <c r="R171" i="154"/>
  <c r="AA129" i="103"/>
  <c r="AA129" i="104"/>
  <c r="AA64" i="104" s="1"/>
  <c r="AF64" i="105" s="1"/>
  <c r="AA30" i="151" s="1"/>
  <c r="T556" i="99"/>
  <c r="T619" i="99"/>
  <c r="T620" i="99" s="1"/>
  <c r="N591" i="99"/>
  <c r="P591" i="99" s="1"/>
  <c r="P590" i="99"/>
  <c r="Y155" i="154"/>
  <c r="S170" i="154" s="1"/>
  <c r="V177" i="154" s="1"/>
  <c r="V185" i="154" s="1"/>
  <c r="AC562" i="155"/>
  <c r="T177" i="154"/>
  <c r="R177" i="154"/>
  <c r="S177" i="154"/>
  <c r="T177" i="155"/>
  <c r="S177" i="155"/>
  <c r="U177" i="155"/>
  <c r="U177" i="154"/>
  <c r="U183" i="154" s="1"/>
  <c r="AC625" i="155"/>
  <c r="AC626" i="155" s="1"/>
  <c r="AB618" i="99"/>
  <c r="AB64" i="99"/>
  <c r="AB129" i="103" s="1"/>
  <c r="AI619" i="155"/>
  <c r="AI620" i="155" s="1"/>
  <c r="AI556" i="155"/>
  <c r="AI182" i="155"/>
  <c r="AI190" i="155" s="1"/>
  <c r="AI333" i="155" s="1"/>
  <c r="AI343" i="155" s="1"/>
  <c r="AI179" i="155"/>
  <c r="AI187" i="155" s="1"/>
  <c r="AI330" i="155" s="1"/>
  <c r="AI340" i="155" s="1"/>
  <c r="AI616" i="155"/>
  <c r="AJ619" i="154"/>
  <c r="AJ620" i="154" s="1"/>
  <c r="BJ608" i="153"/>
  <c r="BE551" i="155"/>
  <c r="BE555" i="155" s="1"/>
  <c r="BS593" i="155"/>
  <c r="BS594" i="155" s="1"/>
  <c r="BS223" i="155"/>
  <c r="BS544" i="155"/>
  <c r="BS551" i="155" s="1"/>
  <c r="BS555" i="155" s="1"/>
  <c r="BX544" i="155"/>
  <c r="BX551" i="155" s="1"/>
  <c r="BX555" i="155" s="1"/>
  <c r="BR593" i="154"/>
  <c r="BR594" i="154" s="1"/>
  <c r="L70" i="104"/>
  <c r="BP12" i="105"/>
  <c r="K15" i="104"/>
  <c r="K17" i="104" s="1"/>
  <c r="K82" i="104"/>
  <c r="K11" i="104"/>
  <c r="BM12" i="105"/>
  <c r="AK15" i="105"/>
  <c r="AF17" i="104"/>
  <c r="AK17" i="105" s="1"/>
  <c r="AT12" i="105"/>
  <c r="P12" i="105" s="1"/>
  <c r="P11" i="105"/>
  <c r="BT15" i="105"/>
  <c r="BO17" i="104"/>
  <c r="BT17" i="105" s="1"/>
  <c r="M76" i="104"/>
  <c r="BG12" i="105"/>
  <c r="BG15" i="105"/>
  <c r="BB17" i="104"/>
  <c r="BG17" i="105" s="1"/>
  <c r="J70" i="104"/>
  <c r="BO15" i="105"/>
  <c r="BJ17" i="104"/>
  <c r="BO17" i="105" s="1"/>
  <c r="AX12" i="105"/>
  <c r="BD12" i="105"/>
  <c r="BO12" i="105"/>
  <c r="AR12" i="105"/>
  <c r="AQ12" i="105"/>
  <c r="AQ15" i="105"/>
  <c r="AL17" i="104"/>
  <c r="AQ17" i="105" s="1"/>
  <c r="BP15" i="105"/>
  <c r="BK17" i="104"/>
  <c r="BP17" i="105" s="1"/>
  <c r="AU12" i="105"/>
  <c r="AR15" i="105"/>
  <c r="AM17" i="104"/>
  <c r="AR17" i="105" s="1"/>
  <c r="BL15" i="105"/>
  <c r="BG17" i="104"/>
  <c r="BL17" i="105" s="1"/>
  <c r="CA15" i="105"/>
  <c r="BV17" i="104"/>
  <c r="CA17" i="105" s="1"/>
  <c r="BD15" i="105"/>
  <c r="AY17" i="104"/>
  <c r="BD17" i="105" s="1"/>
  <c r="J76" i="104"/>
  <c r="CD12" i="105"/>
  <c r="S12" i="105" s="1"/>
  <c r="S11" i="105"/>
  <c r="BH15" i="105"/>
  <c r="BC17" i="104"/>
  <c r="BH17" i="105" s="1"/>
  <c r="AZ15" i="105"/>
  <c r="AU17" i="104"/>
  <c r="AZ17" i="105" s="1"/>
  <c r="AZ12" i="105"/>
  <c r="AX15" i="105"/>
  <c r="AS17" i="104"/>
  <c r="AX17" i="105" s="1"/>
  <c r="CA12" i="105"/>
  <c r="CB15" i="105"/>
  <c r="BW17" i="104"/>
  <c r="CB17" i="105" s="1"/>
  <c r="S9" i="105"/>
  <c r="AU15" i="105"/>
  <c r="AP17" i="104"/>
  <c r="AU17" i="105" s="1"/>
  <c r="CB12" i="105"/>
  <c r="BZ15" i="105"/>
  <c r="BU17" i="104"/>
  <c r="BZ17" i="105" s="1"/>
  <c r="W15" i="105"/>
  <c r="R17" i="104"/>
  <c r="W17" i="105" s="1"/>
  <c r="AC12" i="105"/>
  <c r="BK15" i="105"/>
  <c r="BF17" i="104"/>
  <c r="BK17" i="105" s="1"/>
  <c r="AC15" i="105"/>
  <c r="X17" i="104"/>
  <c r="AC17" i="105" s="1"/>
  <c r="BI12" i="105"/>
  <c r="W12" i="105"/>
  <c r="BI15" i="105"/>
  <c r="BD17" i="104"/>
  <c r="BI17" i="105" s="1"/>
  <c r="BK12" i="105"/>
  <c r="BZ12" i="105"/>
  <c r="BB15" i="105"/>
  <c r="AW17" i="104"/>
  <c r="BB17" i="105" s="1"/>
  <c r="BM15" i="105"/>
  <c r="BH17" i="104"/>
  <c r="BM17" i="105" s="1"/>
  <c r="M70" i="104"/>
  <c r="AO15" i="105"/>
  <c r="AJ17" i="104"/>
  <c r="AO17" i="105" s="1"/>
  <c r="BN15" i="105"/>
  <c r="BI17" i="104"/>
  <c r="BN17" i="105" s="1"/>
  <c r="BB12" i="105"/>
  <c r="AM15" i="105"/>
  <c r="AH17" i="104"/>
  <c r="AM17" i="105" s="1"/>
  <c r="AN15" i="105"/>
  <c r="AI17" i="104"/>
  <c r="AN17" i="105" s="1"/>
  <c r="BC12" i="105"/>
  <c r="BR15" i="105"/>
  <c r="BM17" i="104"/>
  <c r="BR17" i="105" s="1"/>
  <c r="AO12" i="105"/>
  <c r="BC15" i="105"/>
  <c r="AX17" i="104"/>
  <c r="BC17" i="105" s="1"/>
  <c r="M11" i="104"/>
  <c r="M82" i="104"/>
  <c r="M15" i="104"/>
  <c r="M17" i="104" s="1"/>
  <c r="AT15" i="105"/>
  <c r="AO17" i="104"/>
  <c r="AT17" i="105" s="1"/>
  <c r="AN12" i="105"/>
  <c r="AB12" i="105"/>
  <c r="BN12" i="105"/>
  <c r="AL12" i="105"/>
  <c r="AW12" i="105"/>
  <c r="AB15" i="105"/>
  <c r="W17" i="104"/>
  <c r="AB17" i="105" s="1"/>
  <c r="BT12" i="105"/>
  <c r="BR12" i="105"/>
  <c r="R12" i="105" s="1"/>
  <c r="R11" i="105"/>
  <c r="BA12" i="105"/>
  <c r="AA15" i="105"/>
  <c r="V17" i="104"/>
  <c r="AA17" i="105" s="1"/>
  <c r="AW15" i="105"/>
  <c r="AR17" i="104"/>
  <c r="AW17" i="105" s="1"/>
  <c r="BQ12" i="105"/>
  <c r="R9" i="105"/>
  <c r="BA15" i="105"/>
  <c r="AV17" i="104"/>
  <c r="BA17" i="105" s="1"/>
  <c r="AY15" i="105"/>
  <c r="AT17" i="104"/>
  <c r="P9" i="105"/>
  <c r="CC12" i="105"/>
  <c r="BW15" i="105"/>
  <c r="BR17" i="104"/>
  <c r="BW17" i="105" s="1"/>
  <c r="BV15" i="105"/>
  <c r="BQ17" i="104"/>
  <c r="BV17" i="105" s="1"/>
  <c r="AY12" i="105"/>
  <c r="BF12" i="105"/>
  <c r="Q12" i="105" s="1"/>
  <c r="Q11" i="105"/>
  <c r="AI15" i="105"/>
  <c r="AD17" i="104"/>
  <c r="AI17" i="105" s="1"/>
  <c r="CC15" i="105"/>
  <c r="BX17" i="104"/>
  <c r="AK12" i="105"/>
  <c r="AV12" i="105"/>
  <c r="X15" i="105"/>
  <c r="S17" i="104"/>
  <c r="X17" i="105" s="1"/>
  <c r="BQ15" i="105"/>
  <c r="BL17" i="104"/>
  <c r="BQ17" i="105" s="1"/>
  <c r="BW12" i="105"/>
  <c r="BV12" i="105"/>
  <c r="X12" i="105"/>
  <c r="BY12" i="105"/>
  <c r="CD15" i="105"/>
  <c r="BY17" i="104"/>
  <c r="CD17" i="105" s="1"/>
  <c r="AJ12" i="105"/>
  <c r="AH15" i="105"/>
  <c r="AC17" i="104"/>
  <c r="AH17" i="105" s="1"/>
  <c r="L76" i="104"/>
  <c r="BL12" i="105"/>
  <c r="AF15" i="105"/>
  <c r="AA17" i="104"/>
  <c r="AF17" i="105" s="1"/>
  <c r="N11" i="104"/>
  <c r="N82" i="104"/>
  <c r="N15" i="104"/>
  <c r="N17" i="104" s="1"/>
  <c r="AV15" i="105"/>
  <c r="AQ17" i="104"/>
  <c r="AV17" i="105" s="1"/>
  <c r="BX15" i="105"/>
  <c r="BS17" i="104"/>
  <c r="BX17" i="105" s="1"/>
  <c r="AF12" i="105"/>
  <c r="BY15" i="105"/>
  <c r="BT17" i="104"/>
  <c r="BH12" i="105"/>
  <c r="AP15" i="105"/>
  <c r="AK17" i="104"/>
  <c r="AP17" i="105" s="1"/>
  <c r="BF15" i="105"/>
  <c r="BA17" i="104"/>
  <c r="BF17" i="105" s="1"/>
  <c r="K70" i="104"/>
  <c r="BS15" i="105"/>
  <c r="BN17" i="104"/>
  <c r="BS17" i="105" s="1"/>
  <c r="BU15" i="105"/>
  <c r="BP17" i="104"/>
  <c r="BU17" i="105" s="1"/>
  <c r="AE15" i="105"/>
  <c r="Z17" i="104"/>
  <c r="AE17" i="105" s="1"/>
  <c r="Y12" i="105"/>
  <c r="J11" i="104"/>
  <c r="J82" i="104"/>
  <c r="J15" i="104"/>
  <c r="J17" i="104" s="1"/>
  <c r="AS15" i="105"/>
  <c r="AN17" i="104"/>
  <c r="BU12" i="105"/>
  <c r="Z12" i="105"/>
  <c r="O9" i="105"/>
  <c r="AE12" i="105"/>
  <c r="Z15" i="105"/>
  <c r="U17" i="104"/>
  <c r="Z17" i="105" s="1"/>
  <c r="L15" i="104"/>
  <c r="L17" i="104" s="1"/>
  <c r="L82" i="104"/>
  <c r="L11" i="104"/>
  <c r="AI12" i="105"/>
  <c r="Q9" i="105"/>
  <c r="BJ15" i="105"/>
  <c r="BE17" i="104"/>
  <c r="BE15" i="105"/>
  <c r="AZ17" i="104"/>
  <c r="BE17" i="105" s="1"/>
  <c r="AD15" i="105"/>
  <c r="Y17" i="104"/>
  <c r="BE12" i="105"/>
  <c r="AM12" i="105"/>
  <c r="AD12" i="105"/>
  <c r="AL15" i="105"/>
  <c r="AG17" i="104"/>
  <c r="AL17" i="105" s="1"/>
  <c r="AG12" i="105"/>
  <c r="BJ12" i="105"/>
  <c r="AG15" i="105"/>
  <c r="AB17" i="104"/>
  <c r="N76" i="104"/>
  <c r="P76" i="104" s="1"/>
  <c r="AA12" i="105"/>
  <c r="BX12" i="105"/>
  <c r="K76" i="104"/>
  <c r="N70" i="104"/>
  <c r="AP12" i="105"/>
  <c r="Y15" i="105"/>
  <c r="T17" i="104"/>
  <c r="Y17" i="105" s="1"/>
  <c r="AJ15" i="105"/>
  <c r="AE17" i="104"/>
  <c r="BS12" i="105"/>
  <c r="AH12" i="105"/>
  <c r="O12" i="105" s="1"/>
  <c r="O11" i="105"/>
  <c r="AS12" i="105"/>
  <c r="BT544" i="155"/>
  <c r="BT551" i="155" s="1"/>
  <c r="BT555" i="155" s="1"/>
  <c r="BR530" i="154"/>
  <c r="BX593" i="155"/>
  <c r="BX594" i="155" s="1"/>
  <c r="BT223" i="155"/>
  <c r="BT544" i="154"/>
  <c r="BT608" i="154" s="1"/>
  <c r="BT530" i="155"/>
  <c r="BR530" i="155"/>
  <c r="BS582" i="154"/>
  <c r="BR544" i="155"/>
  <c r="BR551" i="155" s="1"/>
  <c r="BR555" i="155" s="1"/>
  <c r="BT593" i="154"/>
  <c r="BT594" i="154" s="1"/>
  <c r="BU544" i="155"/>
  <c r="BU608" i="155" s="1"/>
  <c r="BU593" i="155"/>
  <c r="BU594" i="155" s="1"/>
  <c r="BT223" i="154"/>
  <c r="W177" i="154"/>
  <c r="W185" i="154" s="1"/>
  <c r="K559" i="155"/>
  <c r="W179" i="154"/>
  <c r="W187" i="154" s="1"/>
  <c r="W199" i="154" s="1"/>
  <c r="BW582" i="153"/>
  <c r="Y179" i="154"/>
  <c r="Y187" i="154" s="1"/>
  <c r="Y330" i="154" s="1"/>
  <c r="Y340" i="154" s="1"/>
  <c r="BC552" i="154"/>
  <c r="BC559" i="154" a="1"/>
  <c r="BC559" i="154" s="1"/>
  <c r="BC623" i="154" s="1"/>
  <c r="BC615" i="154"/>
  <c r="R329" i="155"/>
  <c r="R339" i="155" s="1"/>
  <c r="R198" i="155"/>
  <c r="Y216" i="155"/>
  <c r="Y285" i="155" s="1"/>
  <c r="Y208" i="155"/>
  <c r="Y241" i="155" s="1"/>
  <c r="R208" i="154"/>
  <c r="R241" i="154" s="1"/>
  <c r="R216" i="154"/>
  <c r="R285" i="154" s="1"/>
  <c r="AH179" i="154"/>
  <c r="AH187" i="154" s="1"/>
  <c r="AH180" i="154"/>
  <c r="AH188" i="154" s="1"/>
  <c r="AH616" i="154"/>
  <c r="AH182" i="154"/>
  <c r="AH190" i="154" s="1"/>
  <c r="AH181" i="154"/>
  <c r="AH189" i="154" s="1"/>
  <c r="W329" i="154"/>
  <c r="W339" i="154" s="1"/>
  <c r="W198" i="154"/>
  <c r="BP530" i="153"/>
  <c r="BP593" i="153"/>
  <c r="BP594" i="153" s="1"/>
  <c r="BP544" i="153"/>
  <c r="AS619" i="154"/>
  <c r="AS620" i="154" s="1"/>
  <c r="AS556" i="154"/>
  <c r="AW559" i="153" a="1"/>
  <c r="AW559" i="153" s="1"/>
  <c r="AW623" i="153" s="1"/>
  <c r="AW615" i="153"/>
  <c r="Y217" i="155"/>
  <c r="Y286" i="155" s="1"/>
  <c r="Y209" i="155"/>
  <c r="Y242" i="155" s="1"/>
  <c r="R210" i="154"/>
  <c r="R243" i="154" s="1"/>
  <c r="R218" i="154"/>
  <c r="R287" i="154" s="1"/>
  <c r="AJ333" i="153"/>
  <c r="AJ343" i="153" s="1"/>
  <c r="AJ202" i="153"/>
  <c r="BI552" i="154"/>
  <c r="BI615" i="154"/>
  <c r="BI559" i="154" a="1"/>
  <c r="BI559" i="154" s="1"/>
  <c r="BI623" i="154" s="1"/>
  <c r="Y331" i="154"/>
  <c r="Y341" i="154" s="1"/>
  <c r="Y200" i="154"/>
  <c r="AD631" i="155"/>
  <c r="AD625" i="155"/>
  <c r="AD626" i="155" s="1"/>
  <c r="AD562" i="155"/>
  <c r="T216" i="155"/>
  <c r="T285" i="155" s="1"/>
  <c r="T208" i="155"/>
  <c r="T241" i="155" s="1"/>
  <c r="AD330" i="155"/>
  <c r="AD340" i="155" s="1"/>
  <c r="AD199" i="155"/>
  <c r="AG619" i="155"/>
  <c r="AG620" i="155" s="1"/>
  <c r="AG556" i="155"/>
  <c r="AK625" i="154"/>
  <c r="AK626" i="154" s="1"/>
  <c r="AK562" i="154"/>
  <c r="AK631" i="154"/>
  <c r="N594" i="154"/>
  <c r="P594" i="154" s="1"/>
  <c r="P593" i="154"/>
  <c r="AC179" i="154"/>
  <c r="AC187" i="154" s="1"/>
  <c r="BV608" i="154"/>
  <c r="BV551" i="154"/>
  <c r="BV555" i="154" s="1"/>
  <c r="AI619" i="154"/>
  <c r="AI620" i="154" s="1"/>
  <c r="AI556" i="154"/>
  <c r="AT181" i="155"/>
  <c r="AT189" i="155" s="1"/>
  <c r="AT182" i="155"/>
  <c r="AT190" i="155" s="1"/>
  <c r="AT616" i="155"/>
  <c r="AA625" i="154"/>
  <c r="AA626" i="154" s="1"/>
  <c r="AA631" i="154"/>
  <c r="AA562" i="154"/>
  <c r="S214" i="154"/>
  <c r="S283" i="154" s="1"/>
  <c r="S206" i="154"/>
  <c r="S239" i="154" s="1"/>
  <c r="AQ619" i="155"/>
  <c r="AQ620" i="155" s="1"/>
  <c r="AQ556" i="155"/>
  <c r="BT551" i="153"/>
  <c r="BT608" i="153"/>
  <c r="W218" i="155"/>
  <c r="W287" i="155" s="1"/>
  <c r="W210" i="155"/>
  <c r="W243" i="155" s="1"/>
  <c r="BO608" i="155"/>
  <c r="BO551" i="155"/>
  <c r="BO555" i="155" s="1"/>
  <c r="X199" i="155"/>
  <c r="X330" i="155"/>
  <c r="X340" i="155" s="1"/>
  <c r="W332" i="154"/>
  <c r="W342" i="154" s="1"/>
  <c r="W201" i="154"/>
  <c r="BG615" i="153"/>
  <c r="BG559" i="153" a="1"/>
  <c r="BG559" i="153" s="1"/>
  <c r="BG623" i="153" s="1"/>
  <c r="AE182" i="154"/>
  <c r="AE190" i="154" s="1"/>
  <c r="AE180" i="154"/>
  <c r="AE188" i="154" s="1"/>
  <c r="AE616" i="154"/>
  <c r="AE179" i="154"/>
  <c r="AE187" i="154" s="1"/>
  <c r="AE181" i="154"/>
  <c r="AE189" i="154" s="1"/>
  <c r="BF608" i="153"/>
  <c r="BF551" i="153"/>
  <c r="S209" i="155"/>
  <c r="S242" i="155" s="1"/>
  <c r="S217" i="155"/>
  <c r="S286" i="155" s="1"/>
  <c r="AU556" i="154"/>
  <c r="AU619" i="154"/>
  <c r="AU620" i="154" s="1"/>
  <c r="AD200" i="155"/>
  <c r="AD331" i="155"/>
  <c r="AD341" i="155" s="1"/>
  <c r="AL333" i="154"/>
  <c r="AL343" i="154" s="1"/>
  <c r="AL202" i="154"/>
  <c r="BO593" i="153"/>
  <c r="BO594" i="153" s="1"/>
  <c r="BO530" i="153"/>
  <c r="BO544" i="153"/>
  <c r="BD615" i="153"/>
  <c r="BD559" i="153" a="1"/>
  <c r="BD559" i="153" s="1"/>
  <c r="BD623" i="153" s="1"/>
  <c r="AC331" i="154"/>
  <c r="AC341" i="154" s="1"/>
  <c r="AC200" i="154"/>
  <c r="AS619" i="155"/>
  <c r="AS620" i="155" s="1"/>
  <c r="AS556" i="155"/>
  <c r="AQ616" i="155"/>
  <c r="AQ182" i="155"/>
  <c r="AQ190" i="155" s="1"/>
  <c r="AQ181" i="155"/>
  <c r="AQ189" i="155" s="1"/>
  <c r="BJ559" i="155" a="1"/>
  <c r="BJ559" i="155" s="1"/>
  <c r="BJ623" i="155" s="1"/>
  <c r="BJ552" i="155"/>
  <c r="BJ615" i="155"/>
  <c r="T209" i="155"/>
  <c r="T242" i="155" s="1"/>
  <c r="T217" i="155"/>
  <c r="T286" i="155" s="1"/>
  <c r="V207" i="155"/>
  <c r="V240" i="155" s="1"/>
  <c r="V215" i="155"/>
  <c r="V284" i="155" s="1"/>
  <c r="AU616" i="155"/>
  <c r="AU182" i="155"/>
  <c r="AU190" i="155" s="1"/>
  <c r="BA615" i="155"/>
  <c r="BA552" i="155"/>
  <c r="BA559" i="155" a="1"/>
  <c r="BA559" i="155" s="1"/>
  <c r="BA623" i="155" s="1"/>
  <c r="BK615" i="155"/>
  <c r="BK559" i="155" a="1"/>
  <c r="BK559" i="155" s="1"/>
  <c r="BK623" i="155" s="1"/>
  <c r="BK552" i="155"/>
  <c r="BW551" i="155"/>
  <c r="BW555" i="155" s="1"/>
  <c r="BW608" i="155"/>
  <c r="S215" i="154"/>
  <c r="S284" i="154" s="1"/>
  <c r="S207" i="154"/>
  <c r="S240" i="154" s="1"/>
  <c r="AC332" i="154"/>
  <c r="AC342" i="154" s="1"/>
  <c r="AC201" i="154"/>
  <c r="S625" i="153"/>
  <c r="S626" i="153" s="1"/>
  <c r="AS182" i="155"/>
  <c r="AS190" i="155" s="1"/>
  <c r="AS616" i="155"/>
  <c r="AS181" i="155"/>
  <c r="AS189" i="155" s="1"/>
  <c r="Y218" i="155"/>
  <c r="Y287" i="155" s="1"/>
  <c r="Y210" i="155"/>
  <c r="Y243" i="155" s="1"/>
  <c r="AA333" i="153"/>
  <c r="AA343" i="153" s="1"/>
  <c r="AA202" i="153"/>
  <c r="R631" i="155"/>
  <c r="R625" i="155"/>
  <c r="R626" i="155" s="1"/>
  <c r="R562" i="155"/>
  <c r="X582" i="99"/>
  <c r="AQ619" i="153"/>
  <c r="AQ620" i="153" s="1"/>
  <c r="Z329" i="154"/>
  <c r="Z339" i="154" s="1"/>
  <c r="Z198" i="154"/>
  <c r="W200" i="154"/>
  <c r="W331" i="154"/>
  <c r="W341" i="154" s="1"/>
  <c r="AF625" i="153"/>
  <c r="AF626" i="153" s="1"/>
  <c r="BV582" i="153"/>
  <c r="BV223" i="153"/>
  <c r="AN619" i="153"/>
  <c r="AN620" i="153" s="1"/>
  <c r="AA199" i="155"/>
  <c r="AA330" i="155"/>
  <c r="AA340" i="155" s="1"/>
  <c r="AF562" i="155"/>
  <c r="AF625" i="155"/>
  <c r="AF626" i="155" s="1"/>
  <c r="AF631" i="155"/>
  <c r="BN551" i="153"/>
  <c r="BN608" i="153"/>
  <c r="BI608" i="155"/>
  <c r="BI551" i="155"/>
  <c r="BI555" i="155" s="1"/>
  <c r="BP582" i="154"/>
  <c r="BP223" i="154"/>
  <c r="AW552" i="155"/>
  <c r="AW615" i="155"/>
  <c r="AW559" i="155" a="1"/>
  <c r="AW559" i="155" s="1"/>
  <c r="AW623" i="155" s="1"/>
  <c r="AQ616" i="153"/>
  <c r="AQ182" i="153"/>
  <c r="AQ190" i="153" s="1"/>
  <c r="T217" i="154"/>
  <c r="T286" i="154" s="1"/>
  <c r="T209" i="154"/>
  <c r="T242" i="154" s="1"/>
  <c r="T218" i="154"/>
  <c r="T287" i="154" s="1"/>
  <c r="T210" i="154"/>
  <c r="T243" i="154" s="1"/>
  <c r="Z179" i="154"/>
  <c r="Z187" i="154" s="1"/>
  <c r="V210" i="155"/>
  <c r="V243" i="155" s="1"/>
  <c r="V218" i="155"/>
  <c r="V287" i="155" s="1"/>
  <c r="AE556" i="154"/>
  <c r="AE619" i="154"/>
  <c r="AE620" i="154" s="1"/>
  <c r="AU556" i="155"/>
  <c r="AU619" i="155"/>
  <c r="AU620" i="155" s="1"/>
  <c r="AR619" i="153"/>
  <c r="AR620" i="153" s="1"/>
  <c r="T214" i="155"/>
  <c r="T283" i="155" s="1"/>
  <c r="T206" i="155"/>
  <c r="T239" i="155" s="1"/>
  <c r="AN556" i="154"/>
  <c r="AN619" i="154"/>
  <c r="AN620" i="154" s="1"/>
  <c r="AY559" i="153" a="1"/>
  <c r="AY559" i="153" s="1"/>
  <c r="AY623" i="153" s="1"/>
  <c r="AY615" i="153"/>
  <c r="AN616" i="153"/>
  <c r="AN182" i="153"/>
  <c r="AN190" i="153" s="1"/>
  <c r="AQ615" i="154"/>
  <c r="AQ552" i="154"/>
  <c r="AQ559" i="154" a="1"/>
  <c r="AQ559" i="154" s="1"/>
  <c r="AQ623" i="154" s="1"/>
  <c r="BA559" i="154" a="1"/>
  <c r="BA559" i="154" s="1"/>
  <c r="BA623" i="154" s="1"/>
  <c r="BA552" i="154"/>
  <c r="BA615" i="154"/>
  <c r="AC333" i="154"/>
  <c r="AC343" i="154" s="1"/>
  <c r="AC202" i="154"/>
  <c r="AR619" i="155"/>
  <c r="AR620" i="155" s="1"/>
  <c r="AR556" i="155"/>
  <c r="AB214" i="154"/>
  <c r="AB283" i="154" s="1"/>
  <c r="AB206" i="154"/>
  <c r="AB239" i="154" s="1"/>
  <c r="R215" i="154"/>
  <c r="R284" i="154" s="1"/>
  <c r="R207" i="154"/>
  <c r="R240" i="154" s="1"/>
  <c r="BE551" i="153"/>
  <c r="BE608" i="153"/>
  <c r="W333" i="154"/>
  <c r="W343" i="154" s="1"/>
  <c r="W202" i="154"/>
  <c r="BL559" i="154" a="1"/>
  <c r="BL559" i="154" s="1"/>
  <c r="BL623" i="154" s="1"/>
  <c r="BL615" i="154"/>
  <c r="BL552" i="154"/>
  <c r="W210" i="153"/>
  <c r="W243" i="153" s="1"/>
  <c r="W218" i="153"/>
  <c r="W287" i="153" s="1"/>
  <c r="AV619" i="155"/>
  <c r="AV620" i="155" s="1"/>
  <c r="AV556" i="155"/>
  <c r="S208" i="154"/>
  <c r="S241" i="154" s="1"/>
  <c r="S216" i="154"/>
  <c r="S285" i="154" s="1"/>
  <c r="BU582" i="153"/>
  <c r="BU223" i="153"/>
  <c r="AR616" i="155"/>
  <c r="AR182" i="155"/>
  <c r="AR190" i="155" s="1"/>
  <c r="AR181" i="155"/>
  <c r="AR189" i="155" s="1"/>
  <c r="BU582" i="154"/>
  <c r="BU223" i="154"/>
  <c r="V631" i="154"/>
  <c r="V562" i="154"/>
  <c r="V625" i="154"/>
  <c r="V626" i="154" s="1"/>
  <c r="BO582" i="153"/>
  <c r="BO223" i="153"/>
  <c r="AI625" i="153"/>
  <c r="AI626" i="153" s="1"/>
  <c r="BN582" i="153"/>
  <c r="BN223" i="153"/>
  <c r="Z201" i="154"/>
  <c r="Z332" i="154"/>
  <c r="Z342" i="154" s="1"/>
  <c r="AP623" i="155"/>
  <c r="BO582" i="154"/>
  <c r="BO223" i="154"/>
  <c r="AX619" i="153"/>
  <c r="AX620" i="153" s="1"/>
  <c r="V214" i="155"/>
  <c r="V283" i="155" s="1"/>
  <c r="V206" i="155"/>
  <c r="V239" i="155" s="1"/>
  <c r="AO625" i="153"/>
  <c r="AO626" i="153" s="1"/>
  <c r="BU530" i="153"/>
  <c r="BU593" i="153"/>
  <c r="BU594" i="153" s="1"/>
  <c r="BU544" i="153"/>
  <c r="BF608" i="155"/>
  <c r="BF551" i="155"/>
  <c r="BF555" i="155" s="1"/>
  <c r="X329" i="154"/>
  <c r="X339" i="154" s="1"/>
  <c r="X198" i="154"/>
  <c r="BC608" i="155"/>
  <c r="BC551" i="155"/>
  <c r="BC555" i="155" s="1"/>
  <c r="BJ615" i="153"/>
  <c r="BJ559" i="153" a="1"/>
  <c r="BJ559" i="153" s="1"/>
  <c r="BJ623" i="153" s="1"/>
  <c r="AH619" i="153"/>
  <c r="AH620" i="153" s="1"/>
  <c r="BB559" i="153" a="1"/>
  <c r="BB559" i="153" s="1"/>
  <c r="BB615" i="153"/>
  <c r="AC625" i="154"/>
  <c r="AC626" i="154" s="1"/>
  <c r="AC562" i="154"/>
  <c r="AC631" i="154"/>
  <c r="BR608" i="154"/>
  <c r="BR551" i="154"/>
  <c r="BR555" i="154" s="1"/>
  <c r="W206" i="155"/>
  <c r="W239" i="155" s="1"/>
  <c r="W214" i="155"/>
  <c r="W283" i="155" s="1"/>
  <c r="BL551" i="155"/>
  <c r="BL555" i="155" s="1"/>
  <c r="BL608" i="155"/>
  <c r="Z331" i="154"/>
  <c r="Z341" i="154" s="1"/>
  <c r="Z200" i="154"/>
  <c r="AP616" i="155"/>
  <c r="AP181" i="155"/>
  <c r="AP189" i="155" s="1"/>
  <c r="AP182" i="155"/>
  <c r="AP190" i="155" s="1"/>
  <c r="AX616" i="153"/>
  <c r="AX182" i="153"/>
  <c r="AX190" i="153" s="1"/>
  <c r="AC208" i="155"/>
  <c r="AC241" i="155" s="1"/>
  <c r="AC216" i="155"/>
  <c r="AC285" i="155" s="1"/>
  <c r="U216" i="155"/>
  <c r="U285" i="155" s="1"/>
  <c r="U208" i="155"/>
  <c r="U241" i="155" s="1"/>
  <c r="BQ223" i="153"/>
  <c r="BQ582" i="153"/>
  <c r="AR616" i="154"/>
  <c r="AR182" i="154"/>
  <c r="AR190" i="154" s="1"/>
  <c r="AR181" i="154"/>
  <c r="AR189" i="154" s="1"/>
  <c r="BM615" i="154"/>
  <c r="BM559" i="154" a="1"/>
  <c r="BM559" i="154" s="1"/>
  <c r="BM623" i="154" s="1"/>
  <c r="BM552" i="154"/>
  <c r="AR616" i="153"/>
  <c r="AR182" i="153"/>
  <c r="AR190" i="153" s="1"/>
  <c r="AN181" i="154"/>
  <c r="AN189" i="154" s="1"/>
  <c r="AN616" i="154"/>
  <c r="AN182" i="154"/>
  <c r="AN190" i="154" s="1"/>
  <c r="AB208" i="154"/>
  <c r="AB241" i="154" s="1"/>
  <c r="AB216" i="154"/>
  <c r="AB285" i="154" s="1"/>
  <c r="AN332" i="155"/>
  <c r="AN342" i="155" s="1"/>
  <c r="AN201" i="155"/>
  <c r="AV616" i="155"/>
  <c r="AV182" i="155"/>
  <c r="AV190" i="155" s="1"/>
  <c r="AN631" i="155"/>
  <c r="AN625" i="155"/>
  <c r="AN626" i="155" s="1"/>
  <c r="AN562" i="155"/>
  <c r="AB217" i="154"/>
  <c r="AB286" i="154" s="1"/>
  <c r="AB209" i="154"/>
  <c r="AB242" i="154" s="1"/>
  <c r="AL333" i="155"/>
  <c r="AL343" i="155" s="1"/>
  <c r="AL202" i="155"/>
  <c r="AJ202" i="155"/>
  <c r="AJ333" i="155"/>
  <c r="AJ343" i="155" s="1"/>
  <c r="X179" i="154"/>
  <c r="X187" i="154" s="1"/>
  <c r="BB551" i="155"/>
  <c r="BB555" i="155" s="1"/>
  <c r="BB608" i="155"/>
  <c r="W208" i="155"/>
  <c r="W241" i="155" s="1"/>
  <c r="W216" i="155"/>
  <c r="W285" i="155" s="1"/>
  <c r="BK615" i="154"/>
  <c r="BK552" i="154"/>
  <c r="BK559" i="154" a="1"/>
  <c r="BK559" i="154" s="1"/>
  <c r="BK623" i="154" s="1"/>
  <c r="X214" i="155"/>
  <c r="X283" i="155" s="1"/>
  <c r="X206" i="155"/>
  <c r="X239" i="155" s="1"/>
  <c r="AJ625" i="153"/>
  <c r="AJ626" i="153" s="1"/>
  <c r="AC333" i="153"/>
  <c r="AC343" i="153" s="1"/>
  <c r="AC202" i="153"/>
  <c r="BV593" i="153"/>
  <c r="BV594" i="153" s="1"/>
  <c r="BV530" i="153"/>
  <c r="BV544" i="153"/>
  <c r="AP619" i="155"/>
  <c r="AP620" i="155" s="1"/>
  <c r="AP556" i="155"/>
  <c r="BQ593" i="153"/>
  <c r="BQ594" i="153" s="1"/>
  <c r="BQ530" i="153"/>
  <c r="BQ544" i="153"/>
  <c r="AR556" i="154"/>
  <c r="AR619" i="154"/>
  <c r="AR620" i="154" s="1"/>
  <c r="AA217" i="155"/>
  <c r="AA286" i="155" s="1"/>
  <c r="AA209" i="155"/>
  <c r="AA242" i="155" s="1"/>
  <c r="AB218" i="153"/>
  <c r="AB287" i="153" s="1"/>
  <c r="AB210" i="153"/>
  <c r="AB243" i="153" s="1"/>
  <c r="AN202" i="155"/>
  <c r="AN333" i="155"/>
  <c r="AN343" i="155" s="1"/>
  <c r="AL332" i="155"/>
  <c r="AL342" i="155" s="1"/>
  <c r="AL201" i="155"/>
  <c r="S206" i="155"/>
  <c r="S239" i="155" s="1"/>
  <c r="S214" i="155"/>
  <c r="S283" i="155" s="1"/>
  <c r="BM559" i="155" a="1"/>
  <c r="BM559" i="155" s="1"/>
  <c r="BM623" i="155" s="1"/>
  <c r="BM615" i="155"/>
  <c r="BM552" i="155"/>
  <c r="AJ332" i="155"/>
  <c r="AJ342" i="155" s="1"/>
  <c r="AJ201" i="155"/>
  <c r="AA206" i="155"/>
  <c r="AA239" i="155" s="1"/>
  <c r="AA214" i="155"/>
  <c r="AA283" i="155" s="1"/>
  <c r="X333" i="153"/>
  <c r="X343" i="153" s="1"/>
  <c r="X202" i="153"/>
  <c r="W209" i="155"/>
  <c r="W242" i="155" s="1"/>
  <c r="W217" i="155"/>
  <c r="W286" i="155" s="1"/>
  <c r="AH616" i="153"/>
  <c r="AH182" i="153"/>
  <c r="AH190" i="153" s="1"/>
  <c r="BE559" i="154" a="1"/>
  <c r="BE559" i="154" s="1"/>
  <c r="BE623" i="154" s="1"/>
  <c r="BE615" i="154"/>
  <c r="BE552" i="154"/>
  <c r="BG608" i="155"/>
  <c r="BG551" i="155"/>
  <c r="BG555" i="155" s="1"/>
  <c r="Z333" i="154"/>
  <c r="Z343" i="154" s="1"/>
  <c r="Z202" i="154"/>
  <c r="AC217" i="155"/>
  <c r="AC286" i="155" s="1"/>
  <c r="AC209" i="155"/>
  <c r="AC242" i="155" s="1"/>
  <c r="R333" i="153"/>
  <c r="R343" i="153" s="1"/>
  <c r="R202" i="153"/>
  <c r="U218" i="155"/>
  <c r="U287" i="155" s="1"/>
  <c r="U210" i="155"/>
  <c r="U243" i="155" s="1"/>
  <c r="BT582" i="153"/>
  <c r="BT223" i="153"/>
  <c r="AO202" i="153"/>
  <c r="AO333" i="153"/>
  <c r="AO343" i="153" s="1"/>
  <c r="AD625" i="154"/>
  <c r="AD626" i="154" s="1"/>
  <c r="AD562" i="154"/>
  <c r="AD631" i="154"/>
  <c r="BY551" i="154"/>
  <c r="BY555" i="154" s="1"/>
  <c r="BY608" i="154"/>
  <c r="P551" i="153"/>
  <c r="N615" i="153"/>
  <c r="T210" i="153"/>
  <c r="T243" i="153" s="1"/>
  <c r="T218" i="153"/>
  <c r="T287" i="153" s="1"/>
  <c r="X202" i="154"/>
  <c r="X333" i="154"/>
  <c r="X343" i="154" s="1"/>
  <c r="M556" i="154"/>
  <c r="M619" i="154"/>
  <c r="M620" i="154" s="1"/>
  <c r="BU608" i="154"/>
  <c r="BU551" i="154"/>
  <c r="BU555" i="154" s="1"/>
  <c r="M615" i="153"/>
  <c r="M616" i="153" s="1"/>
  <c r="AE619" i="153"/>
  <c r="AE620" i="153" s="1"/>
  <c r="BH608" i="153"/>
  <c r="BH551" i="153"/>
  <c r="BK559" i="153" a="1"/>
  <c r="BK559" i="153" s="1"/>
  <c r="BK623" i="153" s="1"/>
  <c r="BK615" i="153"/>
  <c r="R200" i="153"/>
  <c r="R331" i="153"/>
  <c r="R341" i="153" s="1"/>
  <c r="BA559" i="153" a="1"/>
  <c r="BA559" i="153" s="1"/>
  <c r="BA623" i="153" s="1"/>
  <c r="BA615" i="153"/>
  <c r="AJ199" i="155"/>
  <c r="AJ330" i="155"/>
  <c r="AJ340" i="155" s="1"/>
  <c r="AH330" i="155"/>
  <c r="AH340" i="155" s="1"/>
  <c r="AH199" i="155"/>
  <c r="R214" i="154"/>
  <c r="R283" i="154" s="1"/>
  <c r="R206" i="154"/>
  <c r="R239" i="154" s="1"/>
  <c r="X625" i="153"/>
  <c r="X626" i="153" s="1"/>
  <c r="Z631" i="154"/>
  <c r="Z625" i="154"/>
  <c r="Z626" i="154" s="1"/>
  <c r="Z562" i="154"/>
  <c r="AO562" i="155"/>
  <c r="AO631" i="155"/>
  <c r="AO625" i="155"/>
  <c r="AO626" i="155" s="1"/>
  <c r="W631" i="154"/>
  <c r="W625" i="154"/>
  <c r="W626" i="154" s="1"/>
  <c r="W562" i="154"/>
  <c r="R198" i="153"/>
  <c r="R329" i="153"/>
  <c r="R339" i="153" s="1"/>
  <c r="R625" i="153"/>
  <c r="R626" i="153" s="1"/>
  <c r="R631" i="153"/>
  <c r="BL608" i="153"/>
  <c r="BL551" i="153"/>
  <c r="U214" i="155"/>
  <c r="U283" i="155" s="1"/>
  <c r="U206" i="155"/>
  <c r="U239" i="155" s="1"/>
  <c r="BY608" i="153"/>
  <c r="BY551" i="153"/>
  <c r="AK201" i="154"/>
  <c r="AK332" i="154"/>
  <c r="AK342" i="154" s="1"/>
  <c r="AL562" i="154"/>
  <c r="AL631" i="154"/>
  <c r="AL625" i="154"/>
  <c r="AL626" i="154" s="1"/>
  <c r="N608" i="155"/>
  <c r="P608" i="155" s="1"/>
  <c r="N551" i="155"/>
  <c r="N555" i="155" s="1"/>
  <c r="P544" i="155"/>
  <c r="AM333" i="153"/>
  <c r="AM343" i="153" s="1"/>
  <c r="AM202" i="153"/>
  <c r="AH331" i="155"/>
  <c r="AH341" i="155" s="1"/>
  <c r="AH200" i="155"/>
  <c r="Z631" i="155"/>
  <c r="Z625" i="155"/>
  <c r="Z626" i="155" s="1"/>
  <c r="Z562" i="155"/>
  <c r="X331" i="154"/>
  <c r="X341" i="154" s="1"/>
  <c r="X200" i="154"/>
  <c r="AF202" i="155"/>
  <c r="AF333" i="155"/>
  <c r="AF343" i="155" s="1"/>
  <c r="AG182" i="154"/>
  <c r="AG190" i="154" s="1"/>
  <c r="AG616" i="154"/>
  <c r="AG181" i="154"/>
  <c r="AG189" i="154" s="1"/>
  <c r="AG180" i="154"/>
  <c r="AG188" i="154" s="1"/>
  <c r="AG179" i="154"/>
  <c r="AG187" i="154" s="1"/>
  <c r="BP608" i="155"/>
  <c r="BP551" i="155"/>
  <c r="BP555" i="155" s="1"/>
  <c r="AO202" i="155"/>
  <c r="AO333" i="155"/>
  <c r="AO343" i="155" s="1"/>
  <c r="AE616" i="153"/>
  <c r="AE182" i="153"/>
  <c r="AE190" i="153" s="1"/>
  <c r="R199" i="153"/>
  <c r="R330" i="153"/>
  <c r="R340" i="153" s="1"/>
  <c r="AZ559" i="153" a="1"/>
  <c r="AZ559" i="153" s="1"/>
  <c r="AZ623" i="153" s="1"/>
  <c r="AZ615" i="153"/>
  <c r="AU559" i="153" a="1"/>
  <c r="AU559" i="153" s="1"/>
  <c r="AU623" i="153" s="1"/>
  <c r="AU615" i="153"/>
  <c r="AP559" i="153" a="1"/>
  <c r="AP559" i="153" s="1"/>
  <c r="AP615" i="153"/>
  <c r="AO562" i="154"/>
  <c r="AO631" i="154"/>
  <c r="AO625" i="154"/>
  <c r="AO626" i="154" s="1"/>
  <c r="BB552" i="154"/>
  <c r="BB615" i="154"/>
  <c r="BB559" i="154" a="1"/>
  <c r="BB559" i="154" s="1"/>
  <c r="BB561" i="154" s="1"/>
  <c r="BB567" i="154" s="1"/>
  <c r="BC551" i="153"/>
  <c r="BC608" i="153"/>
  <c r="BD608" i="155"/>
  <c r="BD551" i="155"/>
  <c r="BD555" i="155" s="1"/>
  <c r="AA216" i="155"/>
  <c r="AA285" i="155" s="1"/>
  <c r="AA208" i="155"/>
  <c r="AA241" i="155" s="1"/>
  <c r="AH332" i="155"/>
  <c r="AH342" i="155" s="1"/>
  <c r="AH201" i="155"/>
  <c r="AA329" i="154"/>
  <c r="AA339" i="154" s="1"/>
  <c r="AA198" i="154"/>
  <c r="X332" i="154"/>
  <c r="X342" i="154" s="1"/>
  <c r="X201" i="154"/>
  <c r="AF199" i="155"/>
  <c r="AF330" i="155"/>
  <c r="AF340" i="155" s="1"/>
  <c r="AV552" i="154"/>
  <c r="AV559" i="154" a="1"/>
  <c r="AV559" i="154" s="1"/>
  <c r="AV623" i="154" s="1"/>
  <c r="AV615" i="154"/>
  <c r="BW608" i="154"/>
  <c r="BW551" i="154"/>
  <c r="BW555" i="154" s="1"/>
  <c r="U207" i="155"/>
  <c r="U240" i="155" s="1"/>
  <c r="U215" i="155"/>
  <c r="U284" i="155" s="1"/>
  <c r="AO201" i="155"/>
  <c r="AO332" i="155"/>
  <c r="AO342" i="155" s="1"/>
  <c r="AB625" i="155"/>
  <c r="AB626" i="155" s="1"/>
  <c r="AB562" i="155"/>
  <c r="AB631" i="155"/>
  <c r="BS608" i="154"/>
  <c r="BS551" i="154"/>
  <c r="BS555" i="154" s="1"/>
  <c r="Y206" i="155"/>
  <c r="Y239" i="155" s="1"/>
  <c r="Y214" i="155"/>
  <c r="Y283" i="155" s="1"/>
  <c r="R332" i="153"/>
  <c r="R342" i="153" s="1"/>
  <c r="R201" i="153"/>
  <c r="K559" i="154"/>
  <c r="K561" i="154" s="1"/>
  <c r="K567" i="154" s="1"/>
  <c r="BN582" i="154"/>
  <c r="BN223" i="154"/>
  <c r="AK199" i="155"/>
  <c r="AK330" i="155"/>
  <c r="AK340" i="155" s="1"/>
  <c r="BY582" i="154"/>
  <c r="BY223" i="154"/>
  <c r="AK333" i="154"/>
  <c r="AK343" i="154" s="1"/>
  <c r="AK202" i="154"/>
  <c r="AE202" i="155"/>
  <c r="AE333" i="155"/>
  <c r="AE343" i="155" s="1"/>
  <c r="Z198" i="155"/>
  <c r="Z329" i="155"/>
  <c r="Z339" i="155" s="1"/>
  <c r="V329" i="154"/>
  <c r="V339" i="154" s="1"/>
  <c r="V198" i="154"/>
  <c r="AH333" i="155"/>
  <c r="AH343" i="155" s="1"/>
  <c r="AH202" i="155"/>
  <c r="AA179" i="154"/>
  <c r="AA187" i="154" s="1"/>
  <c r="AF200" i="155"/>
  <c r="AF331" i="155"/>
  <c r="AF341" i="155" s="1"/>
  <c r="X217" i="155"/>
  <c r="X286" i="155" s="1"/>
  <c r="X209" i="155"/>
  <c r="X242" i="155" s="1"/>
  <c r="BR551" i="153"/>
  <c r="BR608" i="153"/>
  <c r="R183" i="155"/>
  <c r="R185" i="155"/>
  <c r="U210" i="153"/>
  <c r="U243" i="153" s="1"/>
  <c r="U218" i="153"/>
  <c r="U287" i="153" s="1"/>
  <c r="V210" i="153"/>
  <c r="V243" i="153" s="1"/>
  <c r="V218" i="153"/>
  <c r="V287" i="153" s="1"/>
  <c r="AI332" i="155"/>
  <c r="AI342" i="155" s="1"/>
  <c r="AI201" i="155"/>
  <c r="AB198" i="155"/>
  <c r="AB329" i="155"/>
  <c r="AB339" i="155" s="1"/>
  <c r="Z218" i="153"/>
  <c r="Z287" i="153" s="1"/>
  <c r="Z210" i="153"/>
  <c r="Z243" i="153" s="1"/>
  <c r="BN593" i="154"/>
  <c r="BN594" i="154" s="1"/>
  <c r="BN530" i="154"/>
  <c r="BN544" i="154"/>
  <c r="AK201" i="155"/>
  <c r="AK332" i="155"/>
  <c r="AK342" i="155" s="1"/>
  <c r="AM201" i="155"/>
  <c r="AM332" i="155"/>
  <c r="AM342" i="155" s="1"/>
  <c r="AD333" i="154"/>
  <c r="AD343" i="154" s="1"/>
  <c r="AD202" i="154"/>
  <c r="AK625" i="155"/>
  <c r="AK626" i="155" s="1"/>
  <c r="AK562" i="155"/>
  <c r="AK631" i="155"/>
  <c r="AE332" i="155"/>
  <c r="AE342" i="155" s="1"/>
  <c r="AE201" i="155"/>
  <c r="AL333" i="153"/>
  <c r="AL343" i="153" s="1"/>
  <c r="AL202" i="153"/>
  <c r="AM333" i="154"/>
  <c r="AM343" i="154" s="1"/>
  <c r="AM202" i="154"/>
  <c r="V202" i="154"/>
  <c r="V333" i="154"/>
  <c r="V343" i="154" s="1"/>
  <c r="P593" i="155"/>
  <c r="N594" i="155"/>
  <c r="P594" i="155" s="1"/>
  <c r="AL562" i="155"/>
  <c r="AL625" i="155"/>
  <c r="AL626" i="155" s="1"/>
  <c r="AL631" i="155"/>
  <c r="R217" i="154"/>
  <c r="R286" i="154" s="1"/>
  <c r="R209" i="154"/>
  <c r="R242" i="154" s="1"/>
  <c r="AM625" i="153"/>
  <c r="AM626" i="153" s="1"/>
  <c r="X218" i="155"/>
  <c r="X287" i="155" s="1"/>
  <c r="X210" i="155"/>
  <c r="X243" i="155" s="1"/>
  <c r="T214" i="154"/>
  <c r="T283" i="154" s="1"/>
  <c r="T206" i="154"/>
  <c r="T239" i="154" s="1"/>
  <c r="AC330" i="155"/>
  <c r="AC340" i="155" s="1"/>
  <c r="AC199" i="155"/>
  <c r="AB201" i="155"/>
  <c r="AB332" i="155"/>
  <c r="AB342" i="155" s="1"/>
  <c r="U217" i="155"/>
  <c r="U286" i="155" s="1"/>
  <c r="U209" i="155"/>
  <c r="U242" i="155" s="1"/>
  <c r="AV559" i="153" a="1"/>
  <c r="AV559" i="153" s="1"/>
  <c r="AV623" i="153" s="1"/>
  <c r="AV615" i="153"/>
  <c r="U329" i="154"/>
  <c r="U339" i="154" s="1"/>
  <c r="U198" i="154"/>
  <c r="AK202" i="155"/>
  <c r="AK333" i="155"/>
  <c r="AK343" i="155" s="1"/>
  <c r="AD332" i="154"/>
  <c r="AD342" i="154" s="1"/>
  <c r="AD201" i="154"/>
  <c r="BX608" i="154"/>
  <c r="BX551" i="154"/>
  <c r="BX555" i="154" s="1"/>
  <c r="AE330" i="155"/>
  <c r="AE340" i="155" s="1"/>
  <c r="AE199" i="155"/>
  <c r="AM201" i="154"/>
  <c r="AM332" i="154"/>
  <c r="AM342" i="154" s="1"/>
  <c r="Z333" i="155"/>
  <c r="Z343" i="155" s="1"/>
  <c r="Z202" i="155"/>
  <c r="AK625" i="153"/>
  <c r="AK626" i="153" s="1"/>
  <c r="AA331" i="154"/>
  <c r="AA341" i="154" s="1"/>
  <c r="AA200" i="154"/>
  <c r="W199" i="155"/>
  <c r="W330" i="155"/>
  <c r="W340" i="155" s="1"/>
  <c r="AI333" i="153"/>
  <c r="AI343" i="153" s="1"/>
  <c r="AI202" i="153"/>
  <c r="BQ608" i="155"/>
  <c r="BQ551" i="155"/>
  <c r="BQ555" i="155" s="1"/>
  <c r="AC218" i="155"/>
  <c r="AC287" i="155" s="1"/>
  <c r="AC210" i="155"/>
  <c r="AC243" i="155" s="1"/>
  <c r="R331" i="155"/>
  <c r="R341" i="155" s="1"/>
  <c r="R200" i="155"/>
  <c r="AZ559" i="154" a="1"/>
  <c r="AZ559" i="154" s="1"/>
  <c r="AZ623" i="154" s="1"/>
  <c r="AZ615" i="154"/>
  <c r="AZ552" i="154"/>
  <c r="J623" i="153"/>
  <c r="BX608" i="153"/>
  <c r="BX551" i="153"/>
  <c r="BW551" i="153"/>
  <c r="BW608" i="153"/>
  <c r="Y631" i="154"/>
  <c r="Y562" i="154"/>
  <c r="Y625" i="154"/>
  <c r="Y626" i="154" s="1"/>
  <c r="U333" i="154"/>
  <c r="U343" i="154" s="1"/>
  <c r="U202" i="154"/>
  <c r="Y198" i="154"/>
  <c r="Y329" i="154"/>
  <c r="Y339" i="154" s="1"/>
  <c r="BQ582" i="154"/>
  <c r="BQ223" i="154"/>
  <c r="AT182" i="154"/>
  <c r="AT190" i="154" s="1"/>
  <c r="AT616" i="154"/>
  <c r="AT181" i="154"/>
  <c r="AT189" i="154" s="1"/>
  <c r="AM333" i="155"/>
  <c r="AM343" i="155" s="1"/>
  <c r="AM202" i="155"/>
  <c r="AD179" i="154"/>
  <c r="AD187" i="154" s="1"/>
  <c r="AD619" i="153"/>
  <c r="AD620" i="153" s="1"/>
  <c r="AE331" i="155"/>
  <c r="AE341" i="155" s="1"/>
  <c r="AE200" i="155"/>
  <c r="AK333" i="153"/>
  <c r="AK343" i="153" s="1"/>
  <c r="AK202" i="153"/>
  <c r="AE625" i="155"/>
  <c r="AE626" i="155" s="1"/>
  <c r="AE562" i="155"/>
  <c r="AE631" i="155"/>
  <c r="Z199" i="155"/>
  <c r="Z330" i="155"/>
  <c r="Z340" i="155" s="1"/>
  <c r="V201" i="154"/>
  <c r="V332" i="154"/>
  <c r="V342" i="154" s="1"/>
  <c r="BX582" i="154"/>
  <c r="BX223" i="154"/>
  <c r="AB210" i="154"/>
  <c r="AB243" i="154" s="1"/>
  <c r="AB218" i="154"/>
  <c r="AB287" i="154" s="1"/>
  <c r="S209" i="154"/>
  <c r="S242" i="154" s="1"/>
  <c r="S217" i="154"/>
  <c r="S286" i="154" s="1"/>
  <c r="AA201" i="154"/>
  <c r="AA332" i="154"/>
  <c r="AA342" i="154" s="1"/>
  <c r="AF333" i="154"/>
  <c r="AF343" i="154" s="1"/>
  <c r="AF202" i="154"/>
  <c r="AF201" i="155"/>
  <c r="AF332" i="155"/>
  <c r="AF342" i="155" s="1"/>
  <c r="T215" i="154"/>
  <c r="T284" i="154" s="1"/>
  <c r="T207" i="154"/>
  <c r="T240" i="154" s="1"/>
  <c r="BP551" i="154"/>
  <c r="BP555" i="154" s="1"/>
  <c r="BP608" i="154"/>
  <c r="T216" i="154"/>
  <c r="T285" i="154" s="1"/>
  <c r="T208" i="154"/>
  <c r="T241" i="154" s="1"/>
  <c r="V208" i="155"/>
  <c r="V241" i="155" s="1"/>
  <c r="V216" i="155"/>
  <c r="V285" i="155" s="1"/>
  <c r="Y210" i="153"/>
  <c r="Y243" i="153" s="1"/>
  <c r="Y218" i="153"/>
  <c r="Y287" i="153" s="1"/>
  <c r="AB202" i="155"/>
  <c r="AB333" i="155"/>
  <c r="AB343" i="155" s="1"/>
  <c r="BR582" i="153"/>
  <c r="BR223" i="153"/>
  <c r="U201" i="154"/>
  <c r="U332" i="154"/>
  <c r="U342" i="154" s="1"/>
  <c r="AG619" i="153"/>
  <c r="AG620" i="153" s="1"/>
  <c r="AO333" i="154"/>
  <c r="AO343" i="154" s="1"/>
  <c r="AO202" i="154"/>
  <c r="S218" i="155"/>
  <c r="S287" i="155" s="1"/>
  <c r="S210" i="155"/>
  <c r="S243" i="155" s="1"/>
  <c r="U625" i="154"/>
  <c r="U626" i="154" s="1"/>
  <c r="U631" i="154"/>
  <c r="U562" i="154"/>
  <c r="AT556" i="154"/>
  <c r="AT619" i="154"/>
  <c r="AT620" i="154" s="1"/>
  <c r="AD331" i="154"/>
  <c r="AD341" i="154" s="1"/>
  <c r="AD200" i="154"/>
  <c r="S207" i="155"/>
  <c r="S240" i="155" s="1"/>
  <c r="S215" i="155"/>
  <c r="S284" i="155" s="1"/>
  <c r="AD623" i="153"/>
  <c r="K559" i="153"/>
  <c r="K561" i="153" s="1"/>
  <c r="AJ625" i="155"/>
  <c r="AJ626" i="155" s="1"/>
  <c r="AJ562" i="155"/>
  <c r="AJ631" i="155"/>
  <c r="AP619" i="154"/>
  <c r="AP620" i="154" s="1"/>
  <c r="AP556" i="154"/>
  <c r="Z332" i="155"/>
  <c r="Z342" i="155" s="1"/>
  <c r="Z201" i="155"/>
  <c r="V200" i="154"/>
  <c r="V331" i="154"/>
  <c r="V341" i="154" s="1"/>
  <c r="BY608" i="155"/>
  <c r="BY551" i="155"/>
  <c r="BY555" i="155" s="1"/>
  <c r="AS619" i="153"/>
  <c r="AS620" i="153" s="1"/>
  <c r="R330" i="155"/>
  <c r="R340" i="155" s="1"/>
  <c r="R199" i="155"/>
  <c r="BG615" i="154"/>
  <c r="BG552" i="154"/>
  <c r="BG559" i="154" a="1"/>
  <c r="BG559" i="154" s="1"/>
  <c r="BG623" i="154" s="1"/>
  <c r="Y330" i="155"/>
  <c r="Y340" i="155" s="1"/>
  <c r="Y199" i="155"/>
  <c r="BV608" i="155"/>
  <c r="BV551" i="155"/>
  <c r="BV555" i="155" s="1"/>
  <c r="R201" i="155"/>
  <c r="R332" i="155"/>
  <c r="R342" i="155" s="1"/>
  <c r="AB199" i="155"/>
  <c r="AB330" i="155"/>
  <c r="AB340" i="155" s="1"/>
  <c r="AC625" i="153"/>
  <c r="AC626" i="153" s="1"/>
  <c r="AF333" i="153"/>
  <c r="AF343" i="153" s="1"/>
  <c r="AF202" i="153"/>
  <c r="U331" i="154"/>
  <c r="U341" i="154" s="1"/>
  <c r="U200" i="154"/>
  <c r="BN582" i="155"/>
  <c r="BN223" i="155"/>
  <c r="Y202" i="154"/>
  <c r="Y333" i="154"/>
  <c r="Y343" i="154" s="1"/>
  <c r="AX615" i="154"/>
  <c r="AX552" i="154"/>
  <c r="AX559" i="154" a="1"/>
  <c r="AX559" i="154" s="1"/>
  <c r="AX623" i="154" s="1"/>
  <c r="AZ552" i="155"/>
  <c r="AZ615" i="155"/>
  <c r="AZ559" i="155" a="1"/>
  <c r="AZ559" i="155" s="1"/>
  <c r="AZ623" i="155" s="1"/>
  <c r="AD616" i="153"/>
  <c r="AD182" i="153"/>
  <c r="AD190" i="153" s="1"/>
  <c r="BH559" i="154" a="1"/>
  <c r="BH559" i="154" s="1"/>
  <c r="BH623" i="154" s="1"/>
  <c r="BH615" i="154"/>
  <c r="BH552" i="154"/>
  <c r="AP623" i="154"/>
  <c r="X631" i="154"/>
  <c r="X625" i="154"/>
  <c r="X626" i="154" s="1"/>
  <c r="X562" i="154"/>
  <c r="Z200" i="155"/>
  <c r="Z331" i="155"/>
  <c r="Z341" i="155" s="1"/>
  <c r="V199" i="154"/>
  <c r="V330" i="154"/>
  <c r="V340" i="154" s="1"/>
  <c r="S333" i="153"/>
  <c r="S343" i="153" s="1"/>
  <c r="S202" i="153"/>
  <c r="AW552" i="154"/>
  <c r="AW615" i="154"/>
  <c r="AW559" i="154" a="1"/>
  <c r="AW559" i="154" s="1"/>
  <c r="AW623" i="154" s="1"/>
  <c r="L619" i="155"/>
  <c r="L620" i="155" s="1"/>
  <c r="L556" i="155"/>
  <c r="AA333" i="154"/>
  <c r="AA343" i="154" s="1"/>
  <c r="AA202" i="154"/>
  <c r="BJ615" i="154"/>
  <c r="BJ552" i="154"/>
  <c r="BJ559" i="154" a="1"/>
  <c r="BJ559" i="154" s="1"/>
  <c r="BJ623" i="154" s="1"/>
  <c r="AG619" i="154"/>
  <c r="AG620" i="154" s="1"/>
  <c r="AG556" i="154"/>
  <c r="J623" i="155"/>
  <c r="BP582" i="153"/>
  <c r="BP223" i="153"/>
  <c r="AS181" i="154"/>
  <c r="AS189" i="154" s="1"/>
  <c r="AS616" i="154"/>
  <c r="AS182" i="154"/>
  <c r="AS190" i="154" s="1"/>
  <c r="AO201" i="154"/>
  <c r="AO332" i="154"/>
  <c r="AO342" i="154" s="1"/>
  <c r="BF551" i="154"/>
  <c r="BF555" i="154" s="1"/>
  <c r="BF608" i="154"/>
  <c r="BO608" i="154"/>
  <c r="BO551" i="154"/>
  <c r="BO555" i="154" s="1"/>
  <c r="BS582" i="153"/>
  <c r="BS223" i="153"/>
  <c r="AA218" i="155"/>
  <c r="AA287" i="155" s="1"/>
  <c r="AA210" i="155"/>
  <c r="AA243" i="155" s="1"/>
  <c r="AP616" i="154"/>
  <c r="AP182" i="154"/>
  <c r="AP190" i="154" s="1"/>
  <c r="AP181" i="154"/>
  <c r="AP189" i="154" s="1"/>
  <c r="N608" i="154"/>
  <c r="P608" i="154" s="1"/>
  <c r="P544" i="154"/>
  <c r="N551" i="154"/>
  <c r="N555" i="154" s="1"/>
  <c r="AM625" i="154"/>
  <c r="AM626" i="154" s="1"/>
  <c r="AM562" i="154"/>
  <c r="AM631" i="154"/>
  <c r="AT619" i="155"/>
  <c r="AT620" i="155" s="1"/>
  <c r="AT556" i="155"/>
  <c r="AF331" i="154"/>
  <c r="AF341" i="154" s="1"/>
  <c r="AF200" i="154"/>
  <c r="BI608" i="153"/>
  <c r="BI551" i="153"/>
  <c r="AH625" i="155"/>
  <c r="AH626" i="155" s="1"/>
  <c r="AH631" i="155"/>
  <c r="AH562" i="155"/>
  <c r="AS616" i="153"/>
  <c r="AS182" i="153"/>
  <c r="AS190" i="153" s="1"/>
  <c r="BH608" i="155"/>
  <c r="BH551" i="155"/>
  <c r="BH555" i="155" s="1"/>
  <c r="BN551" i="155"/>
  <c r="BN555" i="155" s="1"/>
  <c r="BN608" i="155"/>
  <c r="J623" i="154"/>
  <c r="X208" i="155"/>
  <c r="X241" i="155" s="1"/>
  <c r="X216" i="155"/>
  <c r="X285" i="155" s="1"/>
  <c r="AH619" i="154"/>
  <c r="AH620" i="154" s="1"/>
  <c r="AH556" i="154"/>
  <c r="AA625" i="153"/>
  <c r="AA626" i="153" s="1"/>
  <c r="V217" i="155"/>
  <c r="V286" i="155" s="1"/>
  <c r="V209" i="155"/>
  <c r="V242" i="155" s="1"/>
  <c r="M619" i="155"/>
  <c r="M620" i="155" s="1"/>
  <c r="M556" i="155"/>
  <c r="AB200" i="155"/>
  <c r="AB331" i="155"/>
  <c r="AB341" i="155" s="1"/>
  <c r="T215" i="155"/>
  <c r="T284" i="155" s="1"/>
  <c r="T207" i="155"/>
  <c r="T240" i="155" s="1"/>
  <c r="U199" i="154"/>
  <c r="U330" i="154"/>
  <c r="U340" i="154" s="1"/>
  <c r="T218" i="155"/>
  <c r="T287" i="155" s="1"/>
  <c r="T210" i="155"/>
  <c r="T243" i="155" s="1"/>
  <c r="Y201" i="154"/>
  <c r="Y332" i="154"/>
  <c r="Y342" i="154" s="1"/>
  <c r="AG616" i="153"/>
  <c r="AG182" i="153"/>
  <c r="AG190" i="153" s="1"/>
  <c r="AD201" i="155"/>
  <c r="AD332" i="155"/>
  <c r="AD342" i="155" s="1"/>
  <c r="AM631" i="155"/>
  <c r="AM562" i="155"/>
  <c r="AM625" i="155"/>
  <c r="AM626" i="155" s="1"/>
  <c r="BD551" i="154"/>
  <c r="BD555" i="154" s="1"/>
  <c r="BD608" i="154"/>
  <c r="BS530" i="153"/>
  <c r="BS593" i="153"/>
  <c r="BS594" i="153" s="1"/>
  <c r="BS544" i="153"/>
  <c r="AY616" i="155"/>
  <c r="AY182" i="155"/>
  <c r="AY190" i="155" s="1"/>
  <c r="BM608" i="153"/>
  <c r="BM551" i="153"/>
  <c r="AF201" i="154"/>
  <c r="AF332" i="154"/>
  <c r="AF342" i="154" s="1"/>
  <c r="R202" i="155"/>
  <c r="R333" i="155"/>
  <c r="R343" i="155" s="1"/>
  <c r="BQ530" i="154"/>
  <c r="BQ593" i="154"/>
  <c r="BQ594" i="154" s="1"/>
  <c r="BQ544" i="154"/>
  <c r="AT615" i="153"/>
  <c r="AT559" i="153" a="1"/>
  <c r="AT559" i="153" s="1"/>
  <c r="AT623" i="153" s="1"/>
  <c r="AB179" i="154"/>
  <c r="AU616" i="154"/>
  <c r="AU182" i="154"/>
  <c r="AU190" i="154" s="1"/>
  <c r="AD333" i="155"/>
  <c r="AD343" i="155" s="1"/>
  <c r="AD202" i="155"/>
  <c r="AL201" i="154"/>
  <c r="AL332" i="154"/>
  <c r="AL342" i="154" s="1"/>
  <c r="AY559" i="154" a="1"/>
  <c r="AY559" i="154" s="1"/>
  <c r="AY623" i="154" s="1"/>
  <c r="AY552" i="154"/>
  <c r="AY615" i="154"/>
  <c r="S216" i="155"/>
  <c r="S285" i="155" s="1"/>
  <c r="S208" i="155"/>
  <c r="S241" i="155" s="1"/>
  <c r="AY556" i="155"/>
  <c r="AY619" i="155"/>
  <c r="AY620" i="155" s="1"/>
  <c r="AG179" i="155"/>
  <c r="AG187" i="155" s="1"/>
  <c r="AG616" i="155"/>
  <c r="AG181" i="155"/>
  <c r="AG189" i="155" s="1"/>
  <c r="AG182" i="155"/>
  <c r="AG190" i="155" s="1"/>
  <c r="AG180" i="155"/>
  <c r="AG188" i="155" s="1"/>
  <c r="AL625" i="153"/>
  <c r="AL626" i="153" s="1"/>
  <c r="AI616" i="154"/>
  <c r="AI182" i="154"/>
  <c r="AI190" i="154" s="1"/>
  <c r="AI181" i="154"/>
  <c r="AI189" i="154" s="1"/>
  <c r="AF562" i="154"/>
  <c r="AF625" i="154"/>
  <c r="AF626" i="154" s="1"/>
  <c r="AF631" i="154"/>
  <c r="S210" i="154"/>
  <c r="S243" i="154" s="1"/>
  <c r="S218" i="154"/>
  <c r="S287" i="154" s="1"/>
  <c r="AX615" i="155"/>
  <c r="AX559" i="155" a="1"/>
  <c r="AX559" i="155" s="1"/>
  <c r="AX623" i="155" s="1"/>
  <c r="AX552" i="155"/>
  <c r="AB535" i="99"/>
  <c r="AB599" i="99" s="1"/>
  <c r="AB549" i="99"/>
  <c r="AB613" i="99" s="1"/>
  <c r="AB611" i="99"/>
  <c r="AB233" i="99"/>
  <c r="AA515" i="99"/>
  <c r="AA579" i="99" s="1"/>
  <c r="AB228" i="99"/>
  <c r="AB512" i="99"/>
  <c r="AB576" i="99" s="1"/>
  <c r="V559" i="99" a="1"/>
  <c r="V559" i="99" s="1"/>
  <c r="V623" i="99" s="1"/>
  <c r="V552" i="99"/>
  <c r="V615" i="99"/>
  <c r="T37" i="72"/>
  <c r="T36" i="72"/>
  <c r="AC17" i="69"/>
  <c r="AH76" i="105" s="1"/>
  <c r="AC40" i="151" s="1"/>
  <c r="AE3" i="69"/>
  <c r="AE4" i="69" s="1"/>
  <c r="AD2" i="69" a="1"/>
  <c r="AD2" i="69" s="1"/>
  <c r="AD10" i="69"/>
  <c r="AD14" i="69"/>
  <c r="AD15" i="69"/>
  <c r="AD7" i="69"/>
  <c r="AD12" i="69"/>
  <c r="AD16" i="69"/>
  <c r="AD13" i="69"/>
  <c r="AD9" i="69"/>
  <c r="AD11" i="69"/>
  <c r="AB232" i="99"/>
  <c r="Y593" i="99"/>
  <c r="Y594" i="99" s="1"/>
  <c r="Y530" i="99"/>
  <c r="Y544" i="99"/>
  <c r="AB524" i="99"/>
  <c r="AB585" i="99"/>
  <c r="Y591" i="99"/>
  <c r="Y224" i="99"/>
  <c r="AH527" i="99"/>
  <c r="Z590" i="99"/>
  <c r="Z529" i="99"/>
  <c r="AC547" i="99"/>
  <c r="AC611" i="99" s="1"/>
  <c r="AC548" i="99"/>
  <c r="AC612" i="99" s="1"/>
  <c r="AC534" i="99"/>
  <c r="AC598" i="99" s="1"/>
  <c r="AC538" i="99"/>
  <c r="AC540" i="99"/>
  <c r="AC604" i="99" s="1"/>
  <c r="AC541" i="99"/>
  <c r="AC605" i="99" s="1"/>
  <c r="AC539" i="99"/>
  <c r="AC603" i="99" s="1"/>
  <c r="AC507" i="99"/>
  <c r="AC509" i="99"/>
  <c r="AC573" i="99" s="1"/>
  <c r="AC522" i="99"/>
  <c r="AC586" i="99" s="1"/>
  <c r="AC521" i="99"/>
  <c r="AC523" i="99"/>
  <c r="AC587" i="99" s="1"/>
  <c r="AC525" i="99"/>
  <c r="AC589" i="99" s="1"/>
  <c r="AC516" i="99"/>
  <c r="AC580" i="99" s="1"/>
  <c r="AC514" i="99"/>
  <c r="AC578" i="99" s="1"/>
  <c r="AC513" i="99"/>
  <c r="AC577" i="99" s="1"/>
  <c r="AC558" i="99"/>
  <c r="AC622" i="99" s="1"/>
  <c r="AC533" i="99"/>
  <c r="AC597" i="99" s="1"/>
  <c r="AE3" i="99"/>
  <c r="AE4" i="99" s="1"/>
  <c r="AD2" i="99" a="1"/>
  <c r="AD2" i="99" s="1"/>
  <c r="AD554" i="99" s="1"/>
  <c r="AD474" i="99"/>
  <c r="AD498" i="99"/>
  <c r="AD482" i="99" s="1"/>
  <c r="AD490" i="99" s="1"/>
  <c r="AD475" i="99"/>
  <c r="AD499" i="99"/>
  <c r="AD483" i="99" s="1"/>
  <c r="AD491" i="99" s="1"/>
  <c r="AD476" i="99"/>
  <c r="AD500" i="99"/>
  <c r="AD484" i="99" s="1"/>
  <c r="AD492" i="99" s="1"/>
  <c r="AD477" i="99"/>
  <c r="AD501" i="99"/>
  <c r="AD485" i="99" s="1"/>
  <c r="AD493" i="99" s="1"/>
  <c r="AD478" i="99"/>
  <c r="AD479" i="99"/>
  <c r="AD502" i="99"/>
  <c r="AD486" i="99" s="1"/>
  <c r="AD494" i="99" s="1"/>
  <c r="AD503" i="99"/>
  <c r="AD487" i="99" s="1"/>
  <c r="AD495" i="99" s="1"/>
  <c r="AB234" i="99"/>
  <c r="AB542" i="99"/>
  <c r="AB606" i="99" s="1"/>
  <c r="AB602" i="99"/>
  <c r="AA526" i="99"/>
  <c r="AA588" i="99"/>
  <c r="W559" i="99" a="1"/>
  <c r="W559" i="99" s="1"/>
  <c r="W623" i="99" s="1"/>
  <c r="W615" i="99"/>
  <c r="W552" i="99"/>
  <c r="Z581" i="99"/>
  <c r="Z518" i="99"/>
  <c r="X551" i="99"/>
  <c r="X555" i="99" s="1"/>
  <c r="X608" i="99"/>
  <c r="AB229" i="99"/>
  <c r="AB230" i="99"/>
  <c r="Y582" i="99"/>
  <c r="Y223" i="99"/>
  <c r="AF5" i="72"/>
  <c r="AF6" i="72" s="1"/>
  <c r="AE36" i="72"/>
  <c r="AE37" i="72"/>
  <c r="AE47" i="72"/>
  <c r="AE48" i="72"/>
  <c r="U625" i="99"/>
  <c r="U626" i="99" s="1"/>
  <c r="U562" i="99"/>
  <c r="U631" i="99"/>
  <c r="P593" i="99"/>
  <c r="N594" i="99"/>
  <c r="P594" i="99" s="1"/>
  <c r="S562" i="99"/>
  <c r="S631" i="99"/>
  <c r="S625" i="99"/>
  <c r="S626" i="99" s="1"/>
  <c r="AE6" i="98"/>
  <c r="AD70" i="103"/>
  <c r="AI70" i="105" s="1"/>
  <c r="AD35" i="151" s="1"/>
  <c r="AU8" i="98"/>
  <c r="AD562" i="153" l="1"/>
  <c r="BB561" i="153"/>
  <c r="BB567" i="153" s="1"/>
  <c r="AP561" i="153"/>
  <c r="AP562" i="153" s="1"/>
  <c r="H61" i="294"/>
  <c r="I96" i="34"/>
  <c r="I108" i="34"/>
  <c r="E61" i="294"/>
  <c r="F96" i="34"/>
  <c r="F108" i="34"/>
  <c r="AF4" i="72" a="1"/>
  <c r="AF4" i="72" s="1"/>
  <c r="G61" i="294"/>
  <c r="H96" i="34"/>
  <c r="H108" i="34"/>
  <c r="F61" i="294"/>
  <c r="G96" i="34"/>
  <c r="G108" i="34"/>
  <c r="I61" i="294"/>
  <c r="J96" i="34"/>
  <c r="J108" i="34"/>
  <c r="AH132" i="105"/>
  <c r="AF122" i="105"/>
  <c r="I31" i="151"/>
  <c r="E47" i="294"/>
  <c r="E48" i="294"/>
  <c r="D71" i="294"/>
  <c r="AJ202" i="154"/>
  <c r="AJ218" i="154" s="1"/>
  <c r="AJ287" i="154" s="1"/>
  <c r="N124" i="153"/>
  <c r="P124" i="153" s="1"/>
  <c r="P59" i="153"/>
  <c r="N117" i="155"/>
  <c r="P117" i="155" s="1"/>
  <c r="P52" i="155"/>
  <c r="P52" i="154"/>
  <c r="N117" i="154"/>
  <c r="P117" i="154" s="1"/>
  <c r="N117" i="153"/>
  <c r="P117" i="153" s="1"/>
  <c r="P52" i="153"/>
  <c r="P59" i="155"/>
  <c r="N124" i="155"/>
  <c r="P124" i="155" s="1"/>
  <c r="N124" i="154"/>
  <c r="P124" i="154" s="1"/>
  <c r="P59" i="154"/>
  <c r="BF555" i="153"/>
  <c r="BF556" i="153" s="1"/>
  <c r="BF552" i="153"/>
  <c r="AQ567" i="153"/>
  <c r="AQ631" i="153" s="1"/>
  <c r="AQ562" i="153"/>
  <c r="BT555" i="153"/>
  <c r="BT556" i="153" s="1"/>
  <c r="BT552" i="153"/>
  <c r="BN555" i="153"/>
  <c r="BN556" i="153" s="1"/>
  <c r="BN552" i="153"/>
  <c r="BE555" i="153"/>
  <c r="BE556" i="153" s="1"/>
  <c r="BE552" i="153"/>
  <c r="BW555" i="153"/>
  <c r="BW556" i="153" s="1"/>
  <c r="BW552" i="153"/>
  <c r="AR567" i="153"/>
  <c r="AR631" i="153" s="1"/>
  <c r="AR562" i="153"/>
  <c r="BX555" i="153"/>
  <c r="BX556" i="153" s="1"/>
  <c r="BX552" i="153"/>
  <c r="BR555" i="153"/>
  <c r="BR556" i="153" s="1"/>
  <c r="BR552" i="153"/>
  <c r="BC555" i="153"/>
  <c r="BC556" i="153" s="1"/>
  <c r="BC552" i="153"/>
  <c r="AS567" i="153"/>
  <c r="AS631" i="153" s="1"/>
  <c r="AS562" i="153"/>
  <c r="AH567" i="153"/>
  <c r="AH631" i="153" s="1"/>
  <c r="AH562" i="153"/>
  <c r="AE567" i="153"/>
  <c r="AE631" i="153" s="1"/>
  <c r="AE562" i="153"/>
  <c r="BI555" i="153"/>
  <c r="BI556" i="153" s="1"/>
  <c r="BI552" i="153"/>
  <c r="AG567" i="153"/>
  <c r="AG631" i="153" s="1"/>
  <c r="AG562" i="153"/>
  <c r="K567" i="153"/>
  <c r="K562" i="153"/>
  <c r="AN567" i="153"/>
  <c r="AN631" i="153" s="1"/>
  <c r="AN562" i="153"/>
  <c r="BY555" i="153"/>
  <c r="BY556" i="153" s="1"/>
  <c r="BY552" i="153"/>
  <c r="BM555" i="153"/>
  <c r="BM556" i="153" s="1"/>
  <c r="BM552" i="153"/>
  <c r="BL555" i="153"/>
  <c r="BL556" i="153" s="1"/>
  <c r="BL552" i="153"/>
  <c r="BH555" i="153"/>
  <c r="BH556" i="153" s="1"/>
  <c r="BH552" i="153"/>
  <c r="AX567" i="153"/>
  <c r="AX631" i="153" s="1"/>
  <c r="AX562" i="153"/>
  <c r="Q45" i="151"/>
  <c r="I43" i="151"/>
  <c r="D86" i="294" s="1"/>
  <c r="AJ201" i="154"/>
  <c r="AJ217" i="154" s="1"/>
  <c r="AJ286" i="154" s="1"/>
  <c r="AB129" i="99"/>
  <c r="AJ625" i="154"/>
  <c r="AJ626" i="154" s="1"/>
  <c r="P70" i="104"/>
  <c r="AB129" i="104"/>
  <c r="AB64" i="104" s="1"/>
  <c r="AG64" i="105" s="1"/>
  <c r="AB30" i="151" s="1"/>
  <c r="N72" i="105"/>
  <c r="AI625" i="155"/>
  <c r="AI626" i="155" s="1"/>
  <c r="AI562" i="155"/>
  <c r="T170" i="154"/>
  <c r="AH177" i="154" s="1"/>
  <c r="AH185" i="154" s="1"/>
  <c r="AW561" i="154"/>
  <c r="AW567" i="154" s="1"/>
  <c r="BM561" i="154"/>
  <c r="BM567" i="154" s="1"/>
  <c r="BA561" i="154"/>
  <c r="BA567" i="154" s="1"/>
  <c r="BK561" i="153"/>
  <c r="AY561" i="153"/>
  <c r="BK561" i="155"/>
  <c r="BK567" i="155" s="1"/>
  <c r="BE561" i="154"/>
  <c r="BE567" i="154" s="1"/>
  <c r="AX561" i="155"/>
  <c r="AX567" i="155" s="1"/>
  <c r="BD561" i="153"/>
  <c r="AU561" i="153"/>
  <c r="W561" i="99"/>
  <c r="W567" i="99" s="1"/>
  <c r="BG561" i="153"/>
  <c r="BM561" i="155"/>
  <c r="BM567" i="155" s="1"/>
  <c r="AW561" i="155"/>
  <c r="AW567" i="155" s="1"/>
  <c r="BK561" i="154"/>
  <c r="BK567" i="154" s="1"/>
  <c r="K623" i="155"/>
  <c r="K561" i="155"/>
  <c r="K567" i="155" s="1"/>
  <c r="AT561" i="153"/>
  <c r="AV561" i="153"/>
  <c r="BG561" i="154"/>
  <c r="BG567" i="154" s="1"/>
  <c r="AW561" i="153"/>
  <c r="BJ561" i="154"/>
  <c r="BJ567" i="154" s="1"/>
  <c r="BJ561" i="155"/>
  <c r="BJ567" i="155" s="1"/>
  <c r="AV561" i="154"/>
  <c r="AV567" i="154" s="1"/>
  <c r="AQ561" i="154"/>
  <c r="AQ567" i="154" s="1"/>
  <c r="BH561" i="154"/>
  <c r="BH567" i="154" s="1"/>
  <c r="BA561" i="155"/>
  <c r="BA567" i="155" s="1"/>
  <c r="AX561" i="154"/>
  <c r="AX567" i="154" s="1"/>
  <c r="BC561" i="154"/>
  <c r="BC567" i="154" s="1"/>
  <c r="AZ561" i="153"/>
  <c r="AY561" i="154"/>
  <c r="AY567" i="154" s="1"/>
  <c r="BL561" i="154"/>
  <c r="BL567" i="154" s="1"/>
  <c r="AZ561" i="155"/>
  <c r="AZ567" i="155" s="1"/>
  <c r="V561" i="99"/>
  <c r="V567" i="99" s="1"/>
  <c r="BI561" i="154"/>
  <c r="BI567" i="154" s="1"/>
  <c r="BJ561" i="153"/>
  <c r="BA561" i="153"/>
  <c r="AZ561" i="154"/>
  <c r="AZ567" i="154" s="1"/>
  <c r="AI127" i="105"/>
  <c r="W127" i="105"/>
  <c r="AH127" i="105"/>
  <c r="N77" i="105"/>
  <c r="N133" i="105" s="1"/>
  <c r="Y177" i="154"/>
  <c r="Y185" i="154" s="1"/>
  <c r="Y197" i="154" s="1"/>
  <c r="E13" i="72"/>
  <c r="E15" i="72" s="1"/>
  <c r="E10" i="72" s="1"/>
  <c r="R36" i="72" s="1"/>
  <c r="R38" i="72" s="1"/>
  <c r="R39" i="72" s="1"/>
  <c r="X177" i="154"/>
  <c r="X185" i="154" s="1"/>
  <c r="X191" i="154" s="1"/>
  <c r="AB177" i="154"/>
  <c r="AB185" i="154" s="1"/>
  <c r="AB197" i="154" s="1"/>
  <c r="AB213" i="154" s="1"/>
  <c r="AD177" i="154"/>
  <c r="AD185" i="154" s="1"/>
  <c r="AD328" i="154" s="1"/>
  <c r="AA177" i="154"/>
  <c r="AA185" i="154" s="1"/>
  <c r="AA197" i="154" s="1"/>
  <c r="Z177" i="154"/>
  <c r="Z185" i="154" s="1"/>
  <c r="Z191" i="154" s="1"/>
  <c r="T625" i="99"/>
  <c r="T626" i="99" s="1"/>
  <c r="T631" i="99"/>
  <c r="T562" i="99"/>
  <c r="R172" i="154"/>
  <c r="V183" i="154"/>
  <c r="U185" i="154"/>
  <c r="U328" i="154" s="1"/>
  <c r="AC177" i="154"/>
  <c r="AC185" i="154" s="1"/>
  <c r="AC328" i="154" s="1"/>
  <c r="AE177" i="154"/>
  <c r="AE185" i="154" s="1"/>
  <c r="AG177" i="154"/>
  <c r="AG185" i="154" s="1"/>
  <c r="AF177" i="154"/>
  <c r="AF185" i="154" s="1"/>
  <c r="AF328" i="154" s="1"/>
  <c r="U183" i="155"/>
  <c r="U185" i="155"/>
  <c r="S183" i="155"/>
  <c r="S185" i="155"/>
  <c r="T183" i="155"/>
  <c r="T185" i="155"/>
  <c r="S183" i="154"/>
  <c r="S185" i="154"/>
  <c r="R183" i="154"/>
  <c r="R185" i="154"/>
  <c r="T185" i="154"/>
  <c r="T183" i="154"/>
  <c r="AC618" i="99"/>
  <c r="AC64" i="99"/>
  <c r="AI199" i="155"/>
  <c r="AI207" i="155" s="1"/>
  <c r="AI240" i="155" s="1"/>
  <c r="BX608" i="155"/>
  <c r="AJ562" i="154"/>
  <c r="AI202" i="155"/>
  <c r="AI218" i="155" s="1"/>
  <c r="AI287" i="155" s="1"/>
  <c r="AJ631" i="154"/>
  <c r="BE615" i="155"/>
  <c r="BE182" i="155" s="1"/>
  <c r="BE190" i="155" s="1"/>
  <c r="BE552" i="155"/>
  <c r="BE559" i="155" a="1"/>
  <c r="BE559" i="155" s="1"/>
  <c r="BE623" i="155" s="1"/>
  <c r="BS608" i="155"/>
  <c r="BT608" i="155"/>
  <c r="AJ17" i="105"/>
  <c r="CC17" i="105"/>
  <c r="AS17" i="105"/>
  <c r="AY17" i="105"/>
  <c r="BY17" i="105"/>
  <c r="AG17" i="105"/>
  <c r="BJ17" i="105"/>
  <c r="AD17" i="105"/>
  <c r="O17" i="105"/>
  <c r="Q17" i="105"/>
  <c r="O15" i="105"/>
  <c r="BX16" i="105"/>
  <c r="AH16" i="105"/>
  <c r="O16" i="105" s="1"/>
  <c r="CB16" i="105"/>
  <c r="AL16" i="105"/>
  <c r="AO16" i="105"/>
  <c r="BK16" i="105"/>
  <c r="AF16" i="105"/>
  <c r="AN16" i="105"/>
  <c r="BB16" i="105"/>
  <c r="BW16" i="105"/>
  <c r="AK16" i="105"/>
  <c r="BE16" i="105"/>
  <c r="BG16" i="105"/>
  <c r="BZ16" i="105"/>
  <c r="AI16" i="105"/>
  <c r="BA16" i="105"/>
  <c r="BI16" i="105"/>
  <c r="AM16" i="105"/>
  <c r="BD16" i="105"/>
  <c r="CA16" i="105"/>
  <c r="AE16" i="105"/>
  <c r="BH16" i="105"/>
  <c r="AB16" i="105"/>
  <c r="BL16" i="105"/>
  <c r="BR16" i="105"/>
  <c r="R16" i="105" s="1"/>
  <c r="BM16" i="105"/>
  <c r="BT16" i="105"/>
  <c r="BQ16" i="105"/>
  <c r="AC16" i="105"/>
  <c r="BU16" i="105"/>
  <c r="BS16" i="105"/>
  <c r="W16" i="105"/>
  <c r="AQ16" i="105"/>
  <c r="AV16" i="105"/>
  <c r="AR16" i="105"/>
  <c r="AX16" i="105"/>
  <c r="AU16" i="105"/>
  <c r="AA16" i="105"/>
  <c r="AW16" i="105"/>
  <c r="X16" i="105"/>
  <c r="AP16" i="105"/>
  <c r="BN16" i="105"/>
  <c r="Y16" i="105"/>
  <c r="BO16" i="105"/>
  <c r="Z16" i="105"/>
  <c r="BP16" i="105"/>
  <c r="BV16" i="105"/>
  <c r="AZ16" i="105"/>
  <c r="BC16" i="105"/>
  <c r="CD16" i="105"/>
  <c r="S16" i="105" s="1"/>
  <c r="BF16" i="105"/>
  <c r="Q16" i="105" s="1"/>
  <c r="AT16" i="105"/>
  <c r="P16" i="105" s="1"/>
  <c r="Q15" i="105"/>
  <c r="S17" i="105"/>
  <c r="S15" i="105"/>
  <c r="P17" i="105"/>
  <c r="P15" i="105"/>
  <c r="R17" i="105"/>
  <c r="R15" i="105"/>
  <c r="BR608" i="155"/>
  <c r="BT551" i="154"/>
  <c r="BT555" i="154" s="1"/>
  <c r="BU551" i="155"/>
  <c r="AI177" i="154"/>
  <c r="AI185" i="154" s="1"/>
  <c r="W330" i="154"/>
  <c r="W340" i="154" s="1"/>
  <c r="W183" i="154"/>
  <c r="Y199" i="154"/>
  <c r="Y207" i="154" s="1"/>
  <c r="Y240" i="154" s="1"/>
  <c r="M619" i="153"/>
  <c r="M620" i="153" s="1"/>
  <c r="AO210" i="153"/>
  <c r="AO243" i="153" s="1"/>
  <c r="AO218" i="153"/>
  <c r="AO287" i="153" s="1"/>
  <c r="BV608" i="153"/>
  <c r="BV551" i="153"/>
  <c r="AJ210" i="155"/>
  <c r="AJ243" i="155" s="1"/>
  <c r="AJ218" i="155"/>
  <c r="AJ287" i="155" s="1"/>
  <c r="Z208" i="154"/>
  <c r="Z241" i="154" s="1"/>
  <c r="Z216" i="154"/>
  <c r="Z285" i="154" s="1"/>
  <c r="BJ619" i="153"/>
  <c r="BJ620" i="153" s="1"/>
  <c r="S249" i="154"/>
  <c r="T291" i="155"/>
  <c r="T315" i="155" s="1"/>
  <c r="T250" i="154"/>
  <c r="BN615" i="153"/>
  <c r="BN559" i="153" a="1"/>
  <c r="BN559" i="153" s="1"/>
  <c r="BN623" i="153" s="1"/>
  <c r="AC208" i="154"/>
  <c r="AC241" i="154" s="1"/>
  <c r="AC216" i="154"/>
  <c r="AC285" i="154" s="1"/>
  <c r="S250" i="155"/>
  <c r="BC559" i="153" a="1"/>
  <c r="BC559" i="153" s="1"/>
  <c r="BC623" i="153" s="1"/>
  <c r="BC615" i="153"/>
  <c r="BE619" i="154"/>
  <c r="BE620" i="154" s="1"/>
  <c r="BE556" i="154"/>
  <c r="BE615" i="153"/>
  <c r="BE559" i="153" a="1"/>
  <c r="BE559" i="153" s="1"/>
  <c r="BE623" i="153" s="1"/>
  <c r="T294" i="154"/>
  <c r="T302" i="154" s="1"/>
  <c r="W207" i="154"/>
  <c r="W240" i="154" s="1"/>
  <c r="W215" i="154"/>
  <c r="W284" i="154" s="1"/>
  <c r="BF615" i="153"/>
  <c r="BF559" i="153" a="1"/>
  <c r="BF559" i="153" s="1"/>
  <c r="BF623" i="153" s="1"/>
  <c r="BY615" i="155"/>
  <c r="BY559" i="155" a="1"/>
  <c r="BY559" i="155" s="1"/>
  <c r="BY623" i="155" s="1"/>
  <c r="BY552" i="155"/>
  <c r="AD209" i="154"/>
  <c r="AD242" i="154" s="1"/>
  <c r="AD217" i="154"/>
  <c r="AD286" i="154" s="1"/>
  <c r="AC207" i="155"/>
  <c r="AC240" i="155" s="1"/>
  <c r="AC215" i="155"/>
  <c r="AC284" i="155" s="1"/>
  <c r="R294" i="154"/>
  <c r="R318" i="154" s="1"/>
  <c r="AV616" i="154"/>
  <c r="AV182" i="154"/>
  <c r="AV190" i="154" s="1"/>
  <c r="X216" i="154"/>
  <c r="X285" i="154" s="1"/>
  <c r="X208" i="154"/>
  <c r="X241" i="154" s="1"/>
  <c r="AN218" i="155"/>
  <c r="AN287" i="155" s="1"/>
  <c r="AN210" i="155"/>
  <c r="AN243" i="155" s="1"/>
  <c r="BJ616" i="153"/>
  <c r="BA556" i="154"/>
  <c r="BA619" i="154"/>
  <c r="BA620" i="154" s="1"/>
  <c r="BD619" i="153"/>
  <c r="BD620" i="153" s="1"/>
  <c r="AJ210" i="153"/>
  <c r="AJ243" i="153" s="1"/>
  <c r="AJ218" i="153"/>
  <c r="AJ287" i="153" s="1"/>
  <c r="AH332" i="154"/>
  <c r="AH342" i="154" s="1"/>
  <c r="AH201" i="154"/>
  <c r="W215" i="155"/>
  <c r="W284" i="155" s="1"/>
  <c r="W207" i="155"/>
  <c r="W240" i="155" s="1"/>
  <c r="R218" i="155"/>
  <c r="R287" i="155" s="1"/>
  <c r="R210" i="155"/>
  <c r="R243" i="155" s="1"/>
  <c r="V250" i="155"/>
  <c r="AP333" i="154"/>
  <c r="AP343" i="154" s="1"/>
  <c r="AP202" i="154"/>
  <c r="AG625" i="154"/>
  <c r="AG626" i="154" s="1"/>
  <c r="AG562" i="154"/>
  <c r="AG631" i="154"/>
  <c r="AA209" i="154"/>
  <c r="AA242" i="154" s="1"/>
  <c r="AA217" i="154"/>
  <c r="AA286" i="154" s="1"/>
  <c r="AD199" i="154"/>
  <c r="AD330" i="154"/>
  <c r="AD340" i="154" s="1"/>
  <c r="AD210" i="154"/>
  <c r="AD243" i="154" s="1"/>
  <c r="AD218" i="154"/>
  <c r="AD287" i="154" s="1"/>
  <c r="V295" i="153"/>
  <c r="V303" i="153" s="1"/>
  <c r="Z206" i="155"/>
  <c r="Z239" i="155" s="1"/>
  <c r="Z214" i="155"/>
  <c r="Z283" i="155" s="1"/>
  <c r="K623" i="154"/>
  <c r="AV556" i="154"/>
  <c r="AV619" i="154"/>
  <c r="AV620" i="154" s="1"/>
  <c r="BB556" i="154"/>
  <c r="BB619" i="154"/>
  <c r="BB620" i="154" s="1"/>
  <c r="BU552" i="154"/>
  <c r="BU559" i="154" a="1"/>
  <c r="BU559" i="154" s="1"/>
  <c r="BU623" i="154" s="1"/>
  <c r="BU615" i="154"/>
  <c r="U251" i="155"/>
  <c r="AH333" i="153"/>
  <c r="AH343" i="153" s="1"/>
  <c r="AH202" i="153"/>
  <c r="AB251" i="153"/>
  <c r="AC218" i="153"/>
  <c r="AC287" i="153" s="1"/>
  <c r="AC210" i="153"/>
  <c r="AC243" i="153" s="1"/>
  <c r="AL210" i="155"/>
  <c r="AL243" i="155" s="1"/>
  <c r="AL218" i="155"/>
  <c r="AL287" i="155" s="1"/>
  <c r="AN202" i="154"/>
  <c r="AN333" i="154"/>
  <c r="AN343" i="154" s="1"/>
  <c r="U249" i="155"/>
  <c r="BL615" i="155"/>
  <c r="BL552" i="155"/>
  <c r="BL559" i="155" a="1"/>
  <c r="BL559" i="155" s="1"/>
  <c r="BL623" i="155" s="1"/>
  <c r="AR625" i="153"/>
  <c r="AR626" i="153" s="1"/>
  <c r="W216" i="154"/>
  <c r="W285" i="154" s="1"/>
  <c r="W208" i="154"/>
  <c r="W241" i="154" s="1"/>
  <c r="BA556" i="155"/>
  <c r="BA619" i="155"/>
  <c r="BA620" i="155" s="1"/>
  <c r="AD215" i="155"/>
  <c r="AD284" i="155" s="1"/>
  <c r="AD207" i="155"/>
  <c r="AD240" i="155" s="1"/>
  <c r="AB217" i="155"/>
  <c r="AB286" i="155" s="1"/>
  <c r="AB209" i="155"/>
  <c r="AB242" i="155" s="1"/>
  <c r="R250" i="154"/>
  <c r="AF210" i="155"/>
  <c r="AF243" i="155" s="1"/>
  <c r="AF218" i="155"/>
  <c r="AF287" i="155" s="1"/>
  <c r="AY556" i="154"/>
  <c r="AY619" i="154"/>
  <c r="AY620" i="154" s="1"/>
  <c r="AS333" i="153"/>
  <c r="AS343" i="153" s="1"/>
  <c r="AS202" i="153"/>
  <c r="AP332" i="154"/>
  <c r="AP342" i="154" s="1"/>
  <c r="AP201" i="154"/>
  <c r="BB623" i="154"/>
  <c r="R215" i="153"/>
  <c r="R284" i="153" s="1"/>
  <c r="R207" i="153"/>
  <c r="R240" i="153" s="1"/>
  <c r="AK209" i="154"/>
  <c r="AK242" i="154" s="1"/>
  <c r="AK217" i="154"/>
  <c r="AK286" i="154" s="1"/>
  <c r="AL209" i="154"/>
  <c r="AL242" i="154" s="1"/>
  <c r="AL217" i="154"/>
  <c r="AL286" i="154" s="1"/>
  <c r="V294" i="155"/>
  <c r="V302" i="155" s="1"/>
  <c r="L559" i="154"/>
  <c r="L561" i="154" s="1"/>
  <c r="L567" i="154" s="1"/>
  <c r="AB218" i="155"/>
  <c r="AB287" i="155" s="1"/>
  <c r="AB210" i="155"/>
  <c r="AB243" i="155" s="1"/>
  <c r="S294" i="154"/>
  <c r="S302" i="154" s="1"/>
  <c r="AM218" i="155"/>
  <c r="AM287" i="155" s="1"/>
  <c r="AM210" i="155"/>
  <c r="AM243" i="155" s="1"/>
  <c r="BW615" i="153"/>
  <c r="BW616" i="153" s="1"/>
  <c r="BW559" i="153" a="1"/>
  <c r="BW559" i="153" s="1"/>
  <c r="BW623" i="153" s="1"/>
  <c r="T247" i="154"/>
  <c r="V251" i="153"/>
  <c r="R209" i="153"/>
  <c r="R242" i="153" s="1"/>
  <c r="R217" i="153"/>
  <c r="R286" i="153" s="1"/>
  <c r="BB616" i="154"/>
  <c r="BB182" i="154"/>
  <c r="BB190" i="154" s="1"/>
  <c r="T295" i="153"/>
  <c r="T311" i="153" s="1"/>
  <c r="U295" i="155"/>
  <c r="U311" i="155" s="1"/>
  <c r="AB295" i="153"/>
  <c r="AB311" i="153" s="1"/>
  <c r="U293" i="155"/>
  <c r="U301" i="155" s="1"/>
  <c r="BC559" i="155" a="1"/>
  <c r="BC559" i="155" s="1"/>
  <c r="BC623" i="155" s="1"/>
  <c r="BC552" i="155"/>
  <c r="BC615" i="155"/>
  <c r="AV625" i="155"/>
  <c r="AV626" i="155" s="1"/>
  <c r="AV562" i="155"/>
  <c r="AV631" i="155"/>
  <c r="Z206" i="154"/>
  <c r="Z239" i="154" s="1"/>
  <c r="Z214" i="154"/>
  <c r="Z283" i="154" s="1"/>
  <c r="AS332" i="155"/>
  <c r="AS342" i="155" s="1"/>
  <c r="AS201" i="155"/>
  <c r="BA616" i="155"/>
  <c r="BA182" i="155"/>
  <c r="BA190" i="155" s="1"/>
  <c r="X215" i="155"/>
  <c r="X284" i="155" s="1"/>
  <c r="X207" i="155"/>
  <c r="X240" i="155" s="1"/>
  <c r="R295" i="154"/>
  <c r="R303" i="154" s="1"/>
  <c r="AH333" i="154"/>
  <c r="AH343" i="154" s="1"/>
  <c r="AH202" i="154"/>
  <c r="AE202" i="153"/>
  <c r="AE333" i="153"/>
  <c r="AE343" i="153" s="1"/>
  <c r="T251" i="153"/>
  <c r="R218" i="153"/>
  <c r="R287" i="153" s="1"/>
  <c r="R210" i="153"/>
  <c r="R243" i="153" s="1"/>
  <c r="W294" i="155"/>
  <c r="W302" i="155" s="1"/>
  <c r="AB250" i="154"/>
  <c r="AC293" i="155"/>
  <c r="AC309" i="155" s="1"/>
  <c r="L559" i="155"/>
  <c r="L561" i="155" s="1"/>
  <c r="L567" i="155" s="1"/>
  <c r="BJ616" i="155"/>
  <c r="BD616" i="153"/>
  <c r="BD182" i="153"/>
  <c r="BD190" i="153" s="1"/>
  <c r="AE332" i="154"/>
  <c r="AE342" i="154" s="1"/>
  <c r="AE201" i="154"/>
  <c r="BO615" i="155"/>
  <c r="BO559" i="155" a="1"/>
  <c r="BO559" i="155" s="1"/>
  <c r="BO623" i="155" s="1"/>
  <c r="BO552" i="155"/>
  <c r="AT333" i="155"/>
  <c r="AT343" i="155" s="1"/>
  <c r="AT202" i="155"/>
  <c r="T249" i="155"/>
  <c r="R251" i="154"/>
  <c r="AA251" i="155"/>
  <c r="BJ619" i="154"/>
  <c r="BJ620" i="154" s="1"/>
  <c r="BJ556" i="154"/>
  <c r="BH619" i="154"/>
  <c r="BH620" i="154" s="1"/>
  <c r="BH556" i="154"/>
  <c r="AX619" i="154"/>
  <c r="AX620" i="154" s="1"/>
  <c r="AX556" i="154"/>
  <c r="AT625" i="154"/>
  <c r="AT626" i="154" s="1"/>
  <c r="AT562" i="154"/>
  <c r="AT631" i="154"/>
  <c r="Y251" i="153"/>
  <c r="AB295" i="154"/>
  <c r="AB303" i="154" s="1"/>
  <c r="X251" i="155"/>
  <c r="AM217" i="155"/>
  <c r="AM286" i="155" s="1"/>
  <c r="AM209" i="155"/>
  <c r="AM242" i="155" s="1"/>
  <c r="AH207" i="155"/>
  <c r="AH240" i="155" s="1"/>
  <c r="AH215" i="155"/>
  <c r="AH284" i="155" s="1"/>
  <c r="W250" i="155"/>
  <c r="AB294" i="154"/>
  <c r="AB302" i="154" s="1"/>
  <c r="AN201" i="154"/>
  <c r="AN332" i="154"/>
  <c r="AN342" i="154" s="1"/>
  <c r="AC249" i="155"/>
  <c r="W291" i="155"/>
  <c r="W299" i="155" s="1"/>
  <c r="X214" i="154"/>
  <c r="X283" i="154" s="1"/>
  <c r="X206" i="154"/>
  <c r="X239" i="154" s="1"/>
  <c r="AS333" i="155"/>
  <c r="AS343" i="155" s="1"/>
  <c r="AS202" i="155"/>
  <c r="BJ619" i="155"/>
  <c r="BJ620" i="155" s="1"/>
  <c r="BJ556" i="155"/>
  <c r="AT201" i="155"/>
  <c r="AT332" i="155"/>
  <c r="AT342" i="155" s="1"/>
  <c r="T293" i="155"/>
  <c r="T309" i="155" s="1"/>
  <c r="Y250" i="155"/>
  <c r="AH331" i="154"/>
  <c r="AH341" i="154" s="1"/>
  <c r="AH200" i="154"/>
  <c r="AF217" i="154"/>
  <c r="AF286" i="154" s="1"/>
  <c r="AF209" i="154"/>
  <c r="AF242" i="154" s="1"/>
  <c r="R217" i="155"/>
  <c r="R286" i="155" s="1"/>
  <c r="R209" i="155"/>
  <c r="R242" i="155" s="1"/>
  <c r="V208" i="154"/>
  <c r="V241" i="154" s="1"/>
  <c r="V216" i="154"/>
  <c r="V285" i="154" s="1"/>
  <c r="V293" i="155"/>
  <c r="V317" i="155" s="1"/>
  <c r="AB251" i="154"/>
  <c r="J631" i="153"/>
  <c r="J625" i="153"/>
  <c r="J626" i="153" s="1"/>
  <c r="X295" i="155"/>
  <c r="X303" i="155" s="1"/>
  <c r="U295" i="153"/>
  <c r="U303" i="153" s="1"/>
  <c r="AF207" i="155"/>
  <c r="AF240" i="155" s="1"/>
  <c r="AF215" i="155"/>
  <c r="AF284" i="155" s="1"/>
  <c r="AC250" i="155"/>
  <c r="X210" i="153"/>
  <c r="X243" i="153" s="1"/>
  <c r="X218" i="153"/>
  <c r="X287" i="153" s="1"/>
  <c r="AA250" i="155"/>
  <c r="W247" i="155"/>
  <c r="AQ619" i="154"/>
  <c r="AQ620" i="154" s="1"/>
  <c r="AQ556" i="154"/>
  <c r="AQ202" i="153"/>
  <c r="AQ333" i="153"/>
  <c r="AQ343" i="153" s="1"/>
  <c r="AA215" i="155"/>
  <c r="AA284" i="155" s="1"/>
  <c r="AA207" i="155"/>
  <c r="AA240" i="155" s="1"/>
  <c r="AE330" i="154"/>
  <c r="AE340" i="154" s="1"/>
  <c r="AE199" i="154"/>
  <c r="W251" i="155"/>
  <c r="Y294" i="155"/>
  <c r="Y318" i="155" s="1"/>
  <c r="AH330" i="154"/>
  <c r="AH340" i="154" s="1"/>
  <c r="AH199" i="154"/>
  <c r="BI615" i="153"/>
  <c r="BI559" i="153" a="1"/>
  <c r="BI559" i="153" s="1"/>
  <c r="BI623" i="153" s="1"/>
  <c r="AA295" i="155"/>
  <c r="AA311" i="155" s="1"/>
  <c r="AS333" i="154"/>
  <c r="AS343" i="154" s="1"/>
  <c r="AS202" i="154"/>
  <c r="BJ616" i="154"/>
  <c r="AX182" i="154"/>
  <c r="AX190" i="154" s="1"/>
  <c r="AX616" i="154"/>
  <c r="AX182" i="155"/>
  <c r="AX190" i="155" s="1"/>
  <c r="AX616" i="155"/>
  <c r="AG331" i="155"/>
  <c r="AG341" i="155" s="1"/>
  <c r="AG200" i="155"/>
  <c r="BM615" i="153"/>
  <c r="BM559" i="153" a="1"/>
  <c r="BM559" i="153" s="1"/>
  <c r="BM623" i="153" s="1"/>
  <c r="W197" i="154"/>
  <c r="W328" i="154"/>
  <c r="W191" i="154"/>
  <c r="AA210" i="154"/>
  <c r="AA243" i="154" s="1"/>
  <c r="AA218" i="154"/>
  <c r="AA287" i="154" s="1"/>
  <c r="BH182" i="154"/>
  <c r="BH190" i="154" s="1"/>
  <c r="BH616" i="154"/>
  <c r="BV615" i="155"/>
  <c r="BV559" i="155" a="1"/>
  <c r="BV559" i="155" s="1"/>
  <c r="BV623" i="155" s="1"/>
  <c r="BV552" i="155"/>
  <c r="Z217" i="155"/>
  <c r="Z286" i="155" s="1"/>
  <c r="Z209" i="155"/>
  <c r="Z242" i="155" s="1"/>
  <c r="V249" i="155"/>
  <c r="AK209" i="155"/>
  <c r="AK242" i="155" s="1"/>
  <c r="AK217" i="155"/>
  <c r="AK286" i="155" s="1"/>
  <c r="U251" i="153"/>
  <c r="Y291" i="155"/>
  <c r="Y315" i="155" s="1"/>
  <c r="X209" i="154"/>
  <c r="X242" i="154" s="1"/>
  <c r="X217" i="154"/>
  <c r="X286" i="154" s="1"/>
  <c r="R216" i="153"/>
  <c r="R285" i="153" s="1"/>
  <c r="R208" i="153"/>
  <c r="R241" i="153" s="1"/>
  <c r="AC294" i="155"/>
  <c r="AC310" i="155" s="1"/>
  <c r="AA294" i="155"/>
  <c r="AA302" i="155" s="1"/>
  <c r="AX333" i="153"/>
  <c r="AX343" i="153" s="1"/>
  <c r="AX202" i="153"/>
  <c r="BF615" i="155"/>
  <c r="BF559" i="155" a="1"/>
  <c r="BF559" i="155" s="1"/>
  <c r="BF623" i="155" s="1"/>
  <c r="BF552" i="155"/>
  <c r="AQ181" i="154"/>
  <c r="AQ189" i="154" s="1"/>
  <c r="AQ616" i="154"/>
  <c r="AQ182" i="154"/>
  <c r="AQ190" i="154" s="1"/>
  <c r="AQ625" i="153"/>
  <c r="AQ626" i="153" s="1"/>
  <c r="BO551" i="153"/>
  <c r="BO608" i="153"/>
  <c r="W295" i="155"/>
  <c r="W303" i="155" s="1"/>
  <c r="AW619" i="153"/>
  <c r="AW620" i="153" s="1"/>
  <c r="BX615" i="153"/>
  <c r="BX616" i="153" s="1"/>
  <c r="BX559" i="153" a="1"/>
  <c r="BX559" i="153" s="1"/>
  <c r="BX623" i="153" s="1"/>
  <c r="S295" i="154"/>
  <c r="S311" i="154" s="1"/>
  <c r="AG202" i="155"/>
  <c r="AG333" i="155"/>
  <c r="AG343" i="155" s="1"/>
  <c r="AF216" i="154"/>
  <c r="AF285" i="154" s="1"/>
  <c r="AF208" i="154"/>
  <c r="AF241" i="154" s="1"/>
  <c r="Y210" i="154"/>
  <c r="Y243" i="154" s="1"/>
  <c r="Y218" i="154"/>
  <c r="Y287" i="154" s="1"/>
  <c r="T249" i="154"/>
  <c r="V218" i="154"/>
  <c r="V287" i="154" s="1"/>
  <c r="V210" i="154"/>
  <c r="V243" i="154" s="1"/>
  <c r="R191" i="155"/>
  <c r="R328" i="155"/>
  <c r="R197" i="155"/>
  <c r="AE210" i="155"/>
  <c r="AE243" i="155" s="1"/>
  <c r="AE218" i="155"/>
  <c r="AE287" i="155" s="1"/>
  <c r="Y247" i="155"/>
  <c r="AO218" i="155"/>
  <c r="AO287" i="155" s="1"/>
  <c r="AO210" i="155"/>
  <c r="AO243" i="155" s="1"/>
  <c r="AH216" i="155"/>
  <c r="AH285" i="155" s="1"/>
  <c r="AH208" i="155"/>
  <c r="AH241" i="155" s="1"/>
  <c r="Z218" i="154"/>
  <c r="Z287" i="154" s="1"/>
  <c r="Z210" i="154"/>
  <c r="Z243" i="154" s="1"/>
  <c r="AA291" i="155"/>
  <c r="AA307" i="155" s="1"/>
  <c r="AR202" i="153"/>
  <c r="AR333" i="153"/>
  <c r="AR343" i="153" s="1"/>
  <c r="AU631" i="155"/>
  <c r="AU562" i="155"/>
  <c r="AU625" i="155"/>
  <c r="AU626" i="155" s="1"/>
  <c r="AU202" i="155"/>
  <c r="AU333" i="155"/>
  <c r="AU343" i="155" s="1"/>
  <c r="AE200" i="154"/>
  <c r="AE331" i="154"/>
  <c r="AE341" i="154" s="1"/>
  <c r="AD216" i="154"/>
  <c r="AD285" i="154" s="1"/>
  <c r="AD208" i="154"/>
  <c r="AD241" i="154" s="1"/>
  <c r="AK210" i="155"/>
  <c r="AK243" i="155" s="1"/>
  <c r="AK218" i="155"/>
  <c r="AK287" i="155" s="1"/>
  <c r="AG201" i="155"/>
  <c r="AG332" i="155"/>
  <c r="AG342" i="155" s="1"/>
  <c r="Y215" i="155"/>
  <c r="Y284" i="155" s="1"/>
  <c r="Y207" i="155"/>
  <c r="Y240" i="155" s="1"/>
  <c r="S251" i="155"/>
  <c r="T293" i="154"/>
  <c r="T309" i="154" s="1"/>
  <c r="AZ182" i="154"/>
  <c r="AZ190" i="154" s="1"/>
  <c r="AZ616" i="154"/>
  <c r="AK210" i="154"/>
  <c r="AK243" i="154" s="1"/>
  <c r="AK218" i="154"/>
  <c r="AK287" i="154" s="1"/>
  <c r="BS559" i="154" a="1"/>
  <c r="BS559" i="154" s="1"/>
  <c r="BS623" i="154" s="1"/>
  <c r="BS552" i="154"/>
  <c r="BS615" i="154"/>
  <c r="AA214" i="154"/>
  <c r="AA283" i="154" s="1"/>
  <c r="AA206" i="154"/>
  <c r="AA239" i="154" s="1"/>
  <c r="BP559" i="155" a="1"/>
  <c r="BP559" i="155" s="1"/>
  <c r="BP623" i="155" s="1"/>
  <c r="BP615" i="155"/>
  <c r="BP552" i="155"/>
  <c r="BY615" i="153"/>
  <c r="BY616" i="153" s="1"/>
  <c r="BY559" i="153" a="1"/>
  <c r="BY559" i="153" s="1"/>
  <c r="BS559" i="155" a="1"/>
  <c r="BS559" i="155" s="1"/>
  <c r="BS623" i="155" s="1"/>
  <c r="BS615" i="155"/>
  <c r="BS552" i="155"/>
  <c r="N619" i="153"/>
  <c r="P555" i="153"/>
  <c r="AA247" i="155"/>
  <c r="X247" i="155"/>
  <c r="BR615" i="154"/>
  <c r="BR559" i="154" a="1"/>
  <c r="BR559" i="154" s="1"/>
  <c r="BR623" i="154" s="1"/>
  <c r="BR552" i="154"/>
  <c r="BU608" i="153"/>
  <c r="BU551" i="153"/>
  <c r="W295" i="153"/>
  <c r="W303" i="153" s="1"/>
  <c r="R248" i="154"/>
  <c r="AN333" i="153"/>
  <c r="AN343" i="153" s="1"/>
  <c r="AN202" i="153"/>
  <c r="AN625" i="153"/>
  <c r="AN626" i="153" s="1"/>
  <c r="AE333" i="154"/>
  <c r="AE343" i="154" s="1"/>
  <c r="AE202" i="154"/>
  <c r="BT559" i="153" a="1"/>
  <c r="BT559" i="153" s="1"/>
  <c r="BT623" i="153" s="1"/>
  <c r="BT615" i="153"/>
  <c r="Y216" i="154"/>
  <c r="Y285" i="154" s="1"/>
  <c r="Y208" i="154"/>
  <c r="Y241" i="154" s="1"/>
  <c r="AW616" i="153"/>
  <c r="AW182" i="153"/>
  <c r="AW190" i="153" s="1"/>
  <c r="R293" i="154"/>
  <c r="R317" i="154" s="1"/>
  <c r="Y209" i="154"/>
  <c r="Y242" i="154" s="1"/>
  <c r="Y217" i="154"/>
  <c r="Y286" i="154" s="1"/>
  <c r="AH631" i="154"/>
  <c r="AH562" i="154"/>
  <c r="AH625" i="154"/>
  <c r="AH626" i="154" s="1"/>
  <c r="AS332" i="154"/>
  <c r="AS342" i="154" s="1"/>
  <c r="AS201" i="154"/>
  <c r="AD202" i="153"/>
  <c r="AD333" i="153"/>
  <c r="AD343" i="153" s="1"/>
  <c r="AP562" i="154"/>
  <c r="AP625" i="154"/>
  <c r="AP626" i="154" s="1"/>
  <c r="AP631" i="154"/>
  <c r="S295" i="155"/>
  <c r="S311" i="155" s="1"/>
  <c r="AT332" i="154"/>
  <c r="AT342" i="154" s="1"/>
  <c r="AT201" i="154"/>
  <c r="BN608" i="154"/>
  <c r="BN551" i="154"/>
  <c r="BN555" i="154" s="1"/>
  <c r="AP619" i="153"/>
  <c r="AP620" i="153" s="1"/>
  <c r="AM210" i="153"/>
  <c r="AM243" i="153" s="1"/>
  <c r="AM218" i="153"/>
  <c r="AM287" i="153" s="1"/>
  <c r="AJ215" i="155"/>
  <c r="AJ284" i="155" s="1"/>
  <c r="AJ207" i="155"/>
  <c r="AJ240" i="155" s="1"/>
  <c r="N616" i="153"/>
  <c r="P616" i="153" s="1"/>
  <c r="P615" i="153"/>
  <c r="X291" i="155"/>
  <c r="X315" i="155" s="1"/>
  <c r="Z217" i="154"/>
  <c r="Z286" i="154" s="1"/>
  <c r="Z209" i="154"/>
  <c r="Z242" i="154" s="1"/>
  <c r="W251" i="153"/>
  <c r="R292" i="154"/>
  <c r="R308" i="154" s="1"/>
  <c r="AC217" i="154"/>
  <c r="AC286" i="154" s="1"/>
  <c r="AC209" i="154"/>
  <c r="AC242" i="154" s="1"/>
  <c r="BG619" i="153"/>
  <c r="BG620" i="153" s="1"/>
  <c r="AQ625" i="155"/>
  <c r="AQ626" i="155" s="1"/>
  <c r="AQ631" i="155"/>
  <c r="AQ562" i="155"/>
  <c r="AI625" i="154"/>
  <c r="AI626" i="154" s="1"/>
  <c r="AI562" i="154"/>
  <c r="AI631" i="154"/>
  <c r="R249" i="154"/>
  <c r="AB215" i="155"/>
  <c r="AB284" i="155" s="1"/>
  <c r="AB207" i="155"/>
  <c r="AB240" i="155" s="1"/>
  <c r="S251" i="154"/>
  <c r="T251" i="155"/>
  <c r="AT625" i="155"/>
  <c r="AT626" i="155" s="1"/>
  <c r="AT631" i="155"/>
  <c r="AT562" i="155"/>
  <c r="BX615" i="155"/>
  <c r="BX559" i="155" a="1"/>
  <c r="BX559" i="155" s="1"/>
  <c r="BX623" i="155" s="1"/>
  <c r="BX552" i="155"/>
  <c r="AO218" i="154"/>
  <c r="AO287" i="154" s="1"/>
  <c r="AO210" i="154"/>
  <c r="AO243" i="154" s="1"/>
  <c r="BP559" i="154" a="1"/>
  <c r="BP559" i="154" s="1"/>
  <c r="BP623" i="154" s="1"/>
  <c r="BP615" i="154"/>
  <c r="BP552" i="154"/>
  <c r="V209" i="154"/>
  <c r="V242" i="154" s="1"/>
  <c r="V217" i="154"/>
  <c r="V286" i="154" s="1"/>
  <c r="AZ619" i="154"/>
  <c r="AZ620" i="154" s="1"/>
  <c r="AZ556" i="154"/>
  <c r="U214" i="154"/>
  <c r="U283" i="154" s="1"/>
  <c r="U206" i="154"/>
  <c r="U239" i="154" s="1"/>
  <c r="AM218" i="154"/>
  <c r="AM287" i="154" s="1"/>
  <c r="AM210" i="154"/>
  <c r="AM243" i="154" s="1"/>
  <c r="BR615" i="153"/>
  <c r="BR559" i="153" a="1"/>
  <c r="BR559" i="153" s="1"/>
  <c r="BR623" i="153" s="1"/>
  <c r="AH209" i="155"/>
  <c r="AH242" i="155" s="1"/>
  <c r="AH217" i="155"/>
  <c r="AH286" i="155" s="1"/>
  <c r="AP616" i="153"/>
  <c r="AP182" i="153"/>
  <c r="AP190" i="153" s="1"/>
  <c r="U247" i="155"/>
  <c r="BA619" i="153"/>
  <c r="BA620" i="153" s="1"/>
  <c r="AR562" i="154"/>
  <c r="AR625" i="154"/>
  <c r="AR626" i="154" s="1"/>
  <c r="AR631" i="154"/>
  <c r="AR332" i="155"/>
  <c r="AR342" i="155" s="1"/>
  <c r="AR201" i="155"/>
  <c r="AB247" i="154"/>
  <c r="AW182" i="155"/>
  <c r="AW190" i="155" s="1"/>
  <c r="AW616" i="155"/>
  <c r="AQ332" i="155"/>
  <c r="AQ342" i="155" s="1"/>
  <c r="AQ201" i="155"/>
  <c r="BV615" i="154"/>
  <c r="BV559" i="154" a="1"/>
  <c r="BV559" i="154" s="1"/>
  <c r="BV623" i="154" s="1"/>
  <c r="BV552" i="154"/>
  <c r="Y249" i="155"/>
  <c r="BD615" i="154"/>
  <c r="BD552" i="154"/>
  <c r="BD559" i="154" a="1"/>
  <c r="BD559" i="154" s="1"/>
  <c r="BD623" i="154" s="1"/>
  <c r="S250" i="154"/>
  <c r="AU202" i="154"/>
  <c r="AU333" i="154"/>
  <c r="AU343" i="154" s="1"/>
  <c r="T295" i="155"/>
  <c r="T303" i="155" s="1"/>
  <c r="X293" i="155"/>
  <c r="X301" i="155" s="1"/>
  <c r="AT202" i="154"/>
  <c r="AT333" i="154"/>
  <c r="AT343" i="154" s="1"/>
  <c r="R216" i="155"/>
  <c r="R285" i="155" s="1"/>
  <c r="R208" i="155"/>
  <c r="R241" i="155" s="1"/>
  <c r="X250" i="155"/>
  <c r="AP623" i="153"/>
  <c r="L559" i="153"/>
  <c r="L561" i="153" s="1"/>
  <c r="U291" i="155"/>
  <c r="U299" i="155" s="1"/>
  <c r="BA616" i="153"/>
  <c r="BA182" i="153"/>
  <c r="BA190" i="153" s="1"/>
  <c r="BK619" i="153"/>
  <c r="BK620" i="153" s="1"/>
  <c r="X210" i="154"/>
  <c r="X243" i="154" s="1"/>
  <c r="X218" i="154"/>
  <c r="X287" i="154" s="1"/>
  <c r="AJ209" i="155"/>
  <c r="AJ242" i="155" s="1"/>
  <c r="AJ217" i="155"/>
  <c r="AJ286" i="155" s="1"/>
  <c r="BM619" i="154"/>
  <c r="BM620" i="154" s="1"/>
  <c r="BM556" i="154"/>
  <c r="AP202" i="155"/>
  <c r="AP333" i="155"/>
  <c r="AP343" i="155" s="1"/>
  <c r="AR202" i="155"/>
  <c r="AR333" i="155"/>
  <c r="AR343" i="155" s="1"/>
  <c r="BL619" i="154"/>
  <c r="BL620" i="154" s="1"/>
  <c r="BL556" i="154"/>
  <c r="AB291" i="154"/>
  <c r="AB299" i="154" s="1"/>
  <c r="AA210" i="153"/>
  <c r="AA243" i="153" s="1"/>
  <c r="AA218" i="153"/>
  <c r="AA287" i="153" s="1"/>
  <c r="S248" i="154"/>
  <c r="BI619" i="154"/>
  <c r="BI620" i="154" s="1"/>
  <c r="BI556" i="154"/>
  <c r="AS631" i="154"/>
  <c r="AS562" i="154"/>
  <c r="AS625" i="154"/>
  <c r="AS626" i="154" s="1"/>
  <c r="Y293" i="155"/>
  <c r="Y301" i="155" s="1"/>
  <c r="AO209" i="154"/>
  <c r="AO242" i="154" s="1"/>
  <c r="AO217" i="154"/>
  <c r="AO286" i="154" s="1"/>
  <c r="AD625" i="153"/>
  <c r="AD626" i="153" s="1"/>
  <c r="AD631" i="153"/>
  <c r="AG330" i="155"/>
  <c r="AG340" i="155" s="1"/>
  <c r="AG199" i="155"/>
  <c r="T248" i="154"/>
  <c r="X249" i="155"/>
  <c r="AW616" i="154"/>
  <c r="AW182" i="154"/>
  <c r="AW190" i="154" s="1"/>
  <c r="U208" i="154"/>
  <c r="U241" i="154" s="1"/>
  <c r="U216" i="154"/>
  <c r="U285" i="154" s="1"/>
  <c r="BG616" i="154"/>
  <c r="BG182" i="154"/>
  <c r="BG190" i="154" s="1"/>
  <c r="AG625" i="153"/>
  <c r="AG626" i="153" s="1"/>
  <c r="T292" i="154"/>
  <c r="T308" i="154" s="1"/>
  <c r="Z215" i="155"/>
  <c r="Z284" i="155" s="1"/>
  <c r="Z207" i="155"/>
  <c r="Z240" i="155" s="1"/>
  <c r="Z218" i="155"/>
  <c r="Z287" i="155" s="1"/>
  <c r="Z210" i="155"/>
  <c r="Z243" i="155" s="1"/>
  <c r="AV619" i="153"/>
  <c r="AV620" i="153" s="1"/>
  <c r="X294" i="155"/>
  <c r="X302" i="155" s="1"/>
  <c r="AA249" i="155"/>
  <c r="N615" i="155"/>
  <c r="P551" i="155"/>
  <c r="N552" i="155"/>
  <c r="P552" i="155" s="1"/>
  <c r="BL615" i="153"/>
  <c r="BL559" i="153" a="1"/>
  <c r="BL559" i="153" s="1"/>
  <c r="BL623" i="153" s="1"/>
  <c r="BK616" i="154"/>
  <c r="BM616" i="154"/>
  <c r="AP332" i="155"/>
  <c r="AP342" i="155" s="1"/>
  <c r="AP201" i="155"/>
  <c r="BL616" i="154"/>
  <c r="AR625" i="155"/>
  <c r="AR626" i="155" s="1"/>
  <c r="AR631" i="155"/>
  <c r="AR562" i="155"/>
  <c r="AY619" i="153"/>
  <c r="AY620" i="153" s="1"/>
  <c r="AE625" i="154"/>
  <c r="AE626" i="154" s="1"/>
  <c r="AE562" i="154"/>
  <c r="AE631" i="154"/>
  <c r="AW619" i="155"/>
  <c r="AW620" i="155" s="1"/>
  <c r="AW556" i="155"/>
  <c r="S292" i="154"/>
  <c r="S300" i="154" s="1"/>
  <c r="AQ333" i="155"/>
  <c r="AQ343" i="155" s="1"/>
  <c r="AQ202" i="155"/>
  <c r="AL218" i="154"/>
  <c r="AL287" i="154" s="1"/>
  <c r="AL210" i="154"/>
  <c r="AL243" i="154" s="1"/>
  <c r="BG616" i="153"/>
  <c r="BG182" i="153"/>
  <c r="BG190" i="153" s="1"/>
  <c r="S247" i="154"/>
  <c r="AC330" i="154"/>
  <c r="AC340" i="154" s="1"/>
  <c r="AC199" i="154"/>
  <c r="BI616" i="154"/>
  <c r="BI182" i="154"/>
  <c r="BI190" i="154" s="1"/>
  <c r="R214" i="155"/>
  <c r="R283" i="155" s="1"/>
  <c r="R206" i="155"/>
  <c r="R239" i="155" s="1"/>
  <c r="T291" i="154"/>
  <c r="T307" i="154" s="1"/>
  <c r="AB187" i="154"/>
  <c r="U207" i="154"/>
  <c r="U240" i="154" s="1"/>
  <c r="U215" i="154"/>
  <c r="U284" i="154" s="1"/>
  <c r="BG556" i="154"/>
  <c r="BG619" i="154"/>
  <c r="BG620" i="154" s="1"/>
  <c r="AC251" i="155"/>
  <c r="AV616" i="153"/>
  <c r="AV182" i="153"/>
  <c r="AV190" i="153" s="1"/>
  <c r="AA293" i="155"/>
  <c r="AA309" i="155" s="1"/>
  <c r="AU619" i="153"/>
  <c r="AU620" i="153" s="1"/>
  <c r="BK616" i="153"/>
  <c r="BM619" i="155"/>
  <c r="BM620" i="155" s="1"/>
  <c r="BM556" i="155"/>
  <c r="BK556" i="154"/>
  <c r="BK619" i="154"/>
  <c r="BK620" i="154" s="1"/>
  <c r="BB619" i="153"/>
  <c r="BB620" i="153" s="1"/>
  <c r="AY616" i="153"/>
  <c r="AY182" i="153"/>
  <c r="AY190" i="153" s="1"/>
  <c r="Y251" i="155"/>
  <c r="V292" i="155"/>
  <c r="V308" i="155" s="1"/>
  <c r="S291" i="154"/>
  <c r="S299" i="154" s="1"/>
  <c r="BP551" i="153"/>
  <c r="BP608" i="153"/>
  <c r="AD218" i="155"/>
  <c r="AD287" i="155" s="1"/>
  <c r="AD210" i="155"/>
  <c r="AD243" i="155" s="1"/>
  <c r="AK179" i="154"/>
  <c r="AJ179" i="154"/>
  <c r="AY333" i="155"/>
  <c r="AY343" i="155" s="1"/>
  <c r="AY202" i="155"/>
  <c r="T248" i="155"/>
  <c r="J625" i="154"/>
  <c r="J626" i="154" s="1"/>
  <c r="J631" i="154"/>
  <c r="AW556" i="154"/>
  <c r="AW619" i="154"/>
  <c r="AW620" i="154" s="1"/>
  <c r="AF218" i="153"/>
  <c r="AF287" i="153" s="1"/>
  <c r="AF210" i="153"/>
  <c r="AF243" i="153" s="1"/>
  <c r="R215" i="155"/>
  <c r="R284" i="155" s="1"/>
  <c r="R207" i="155"/>
  <c r="R240" i="155" s="1"/>
  <c r="AF217" i="155"/>
  <c r="AF286" i="155" s="1"/>
  <c r="AF209" i="155"/>
  <c r="AF242" i="155" s="1"/>
  <c r="AC295" i="155"/>
  <c r="AC303" i="155" s="1"/>
  <c r="AL218" i="153"/>
  <c r="AL287" i="153" s="1"/>
  <c r="AL210" i="153"/>
  <c r="AL243" i="153" s="1"/>
  <c r="Z251" i="153"/>
  <c r="AF208" i="155"/>
  <c r="AF241" i="155" s="1"/>
  <c r="AF216" i="155"/>
  <c r="AF285" i="155" s="1"/>
  <c r="AO209" i="155"/>
  <c r="AO242" i="155" s="1"/>
  <c r="AO217" i="155"/>
  <c r="AO286" i="155" s="1"/>
  <c r="BD559" i="155" a="1"/>
  <c r="BD559" i="155" s="1"/>
  <c r="BD623" i="155" s="1"/>
  <c r="BD552" i="155"/>
  <c r="BD615" i="155"/>
  <c r="AG199" i="154"/>
  <c r="AG330" i="154"/>
  <c r="AG340" i="154" s="1"/>
  <c r="BQ551" i="153"/>
  <c r="BQ608" i="153"/>
  <c r="W293" i="155"/>
  <c r="W309" i="155" s="1"/>
  <c r="AV333" i="155"/>
  <c r="AV343" i="155" s="1"/>
  <c r="AV202" i="155"/>
  <c r="BB616" i="153"/>
  <c r="BB182" i="153"/>
  <c r="BB190" i="153" s="1"/>
  <c r="Y295" i="155"/>
  <c r="Y303" i="155" s="1"/>
  <c r="BW615" i="155"/>
  <c r="BW552" i="155"/>
  <c r="BW559" i="155" a="1"/>
  <c r="BW559" i="155" s="1"/>
  <c r="BW623" i="155" s="1"/>
  <c r="V248" i="155"/>
  <c r="BC616" i="154"/>
  <c r="BC182" i="154"/>
  <c r="BC190" i="154" s="1"/>
  <c r="AI332" i="154"/>
  <c r="AI342" i="154" s="1"/>
  <c r="AI201" i="154"/>
  <c r="BQ615" i="155"/>
  <c r="BQ559" i="155" a="1"/>
  <c r="BQ559" i="155" s="1"/>
  <c r="BQ623" i="155" s="1"/>
  <c r="BQ552" i="155"/>
  <c r="Z295" i="153"/>
  <c r="Z303" i="153" s="1"/>
  <c r="U292" i="155"/>
  <c r="U308" i="155" s="1"/>
  <c r="AU616" i="153"/>
  <c r="AU182" i="153"/>
  <c r="AU190" i="153" s="1"/>
  <c r="AG331" i="154"/>
  <c r="AG341" i="154" s="1"/>
  <c r="AG200" i="154"/>
  <c r="BH559" i="153" a="1"/>
  <c r="BH559" i="153" s="1"/>
  <c r="BH623" i="153" s="1"/>
  <c r="BH615" i="153"/>
  <c r="BY559" i="154" a="1"/>
  <c r="BY559" i="154" s="1"/>
  <c r="BY623" i="154" s="1"/>
  <c r="BY552" i="154"/>
  <c r="BY615" i="154"/>
  <c r="AJ210" i="154"/>
  <c r="AJ243" i="154" s="1"/>
  <c r="BM616" i="155"/>
  <c r="W249" i="155"/>
  <c r="V295" i="155"/>
  <c r="V319" i="155" s="1"/>
  <c r="T294" i="155"/>
  <c r="T302" i="155" s="1"/>
  <c r="AD208" i="155"/>
  <c r="AD241" i="155" s="1"/>
  <c r="AD216" i="155"/>
  <c r="AD285" i="155" s="1"/>
  <c r="BC556" i="154"/>
  <c r="BC619" i="154"/>
  <c r="BC620" i="154" s="1"/>
  <c r="Z208" i="155"/>
  <c r="Z241" i="155" s="1"/>
  <c r="Z216" i="155"/>
  <c r="Z285" i="155" s="1"/>
  <c r="V206" i="154"/>
  <c r="V239" i="154" s="1"/>
  <c r="V214" i="154"/>
  <c r="V283" i="154" s="1"/>
  <c r="AX619" i="155"/>
  <c r="AX620" i="155" s="1"/>
  <c r="AX556" i="155"/>
  <c r="AD209" i="155"/>
  <c r="AD242" i="155" s="1"/>
  <c r="AD217" i="155"/>
  <c r="AD286" i="155" s="1"/>
  <c r="AA216" i="154"/>
  <c r="AA285" i="154" s="1"/>
  <c r="AA208" i="154"/>
  <c r="AA241" i="154" s="1"/>
  <c r="N552" i="154"/>
  <c r="P552" i="154" s="1"/>
  <c r="N615" i="154"/>
  <c r="P551" i="154"/>
  <c r="S210" i="153"/>
  <c r="S243" i="153" s="1"/>
  <c r="S218" i="153"/>
  <c r="S287" i="153" s="1"/>
  <c r="BS551" i="153"/>
  <c r="BS608" i="153"/>
  <c r="K623" i="153"/>
  <c r="AK218" i="153"/>
  <c r="AK287" i="153" s="1"/>
  <c r="AK210" i="153"/>
  <c r="AK243" i="153" s="1"/>
  <c r="U250" i="155"/>
  <c r="AE209" i="155"/>
  <c r="AE242" i="155" s="1"/>
  <c r="AE217" i="155"/>
  <c r="AE286" i="155" s="1"/>
  <c r="U248" i="155"/>
  <c r="AG332" i="154"/>
  <c r="AG342" i="154" s="1"/>
  <c r="AG201" i="154"/>
  <c r="BG559" i="155" a="1"/>
  <c r="BG559" i="155" s="1"/>
  <c r="BG623" i="155" s="1"/>
  <c r="BG552" i="155"/>
  <c r="BG615" i="155"/>
  <c r="AN209" i="155"/>
  <c r="AN242" i="155" s="1"/>
  <c r="AN217" i="155"/>
  <c r="AN286" i="155" s="1"/>
  <c r="AR332" i="154"/>
  <c r="AR342" i="154" s="1"/>
  <c r="AR201" i="154"/>
  <c r="BB623" i="153"/>
  <c r="V247" i="155"/>
  <c r="V251" i="155"/>
  <c r="T250" i="155"/>
  <c r="AS631" i="155"/>
  <c r="AS625" i="155"/>
  <c r="AS626" i="155" s="1"/>
  <c r="AS562" i="155"/>
  <c r="W209" i="154"/>
  <c r="W242" i="154" s="1"/>
  <c r="W217" i="154"/>
  <c r="W286" i="154" s="1"/>
  <c r="W214" i="154"/>
  <c r="W283" i="154" s="1"/>
  <c r="W206" i="154"/>
  <c r="W239" i="154" s="1"/>
  <c r="BX615" i="154"/>
  <c r="BX559" i="154" a="1"/>
  <c r="BX559" i="154" s="1"/>
  <c r="BX623" i="154" s="1"/>
  <c r="BX552" i="154"/>
  <c r="Y295" i="153"/>
  <c r="Y303" i="153" s="1"/>
  <c r="AY562" i="155"/>
  <c r="AY631" i="155"/>
  <c r="AY625" i="155"/>
  <c r="AY626" i="155" s="1"/>
  <c r="AI202" i="154"/>
  <c r="AI333" i="154"/>
  <c r="AI343" i="154" s="1"/>
  <c r="S249" i="155"/>
  <c r="BN559" i="155" a="1"/>
  <c r="BN559" i="155" s="1"/>
  <c r="BN561" i="155" s="1"/>
  <c r="BN567" i="155" s="1"/>
  <c r="BN615" i="155"/>
  <c r="BN552" i="155"/>
  <c r="Y214" i="154"/>
  <c r="Y283" i="154" s="1"/>
  <c r="Y206" i="154"/>
  <c r="Y239" i="154" s="1"/>
  <c r="AI218" i="153"/>
  <c r="AI287" i="153" s="1"/>
  <c r="AI210" i="153"/>
  <c r="AI243" i="153" s="1"/>
  <c r="AM217" i="154"/>
  <c r="AM286" i="154" s="1"/>
  <c r="AM209" i="154"/>
  <c r="AM242" i="154" s="1"/>
  <c r="U294" i="155"/>
  <c r="U310" i="155" s="1"/>
  <c r="AB206" i="155"/>
  <c r="AB239" i="155" s="1"/>
  <c r="AB214" i="155"/>
  <c r="AB283" i="155" s="1"/>
  <c r="AA330" i="154"/>
  <c r="AA340" i="154" s="1"/>
  <c r="AA199" i="154"/>
  <c r="BW615" i="154"/>
  <c r="BW552" i="154"/>
  <c r="BW559" i="154" a="1"/>
  <c r="BW559" i="154" s="1"/>
  <c r="BW623" i="154" s="1"/>
  <c r="V328" i="154"/>
  <c r="V191" i="154"/>
  <c r="V197" i="154"/>
  <c r="AZ619" i="153"/>
  <c r="AZ620" i="153" s="1"/>
  <c r="S291" i="155"/>
  <c r="S299" i="155" s="1"/>
  <c r="AP631" i="155"/>
  <c r="AP562" i="155"/>
  <c r="AP625" i="155"/>
  <c r="AP626" i="155" s="1"/>
  <c r="BB552" i="155"/>
  <c r="BB615" i="155"/>
  <c r="BB559" i="155" a="1"/>
  <c r="BB559" i="155" s="1"/>
  <c r="BB561" i="155" s="1"/>
  <c r="BB567" i="155" s="1"/>
  <c r="V291" i="155"/>
  <c r="V315" i="155" s="1"/>
  <c r="BE556" i="155"/>
  <c r="BE619" i="155"/>
  <c r="AC218" i="154"/>
  <c r="AC287" i="154" s="1"/>
  <c r="AC210" i="154"/>
  <c r="AC243" i="154" s="1"/>
  <c r="AN625" i="154"/>
  <c r="AN626" i="154" s="1"/>
  <c r="AN631" i="154"/>
  <c r="AN562" i="154"/>
  <c r="Z199" i="154"/>
  <c r="Z330" i="154"/>
  <c r="Z340" i="154" s="1"/>
  <c r="BI615" i="155"/>
  <c r="BI559" i="155" a="1"/>
  <c r="BI559" i="155" s="1"/>
  <c r="BI623" i="155" s="1"/>
  <c r="BI552" i="155"/>
  <c r="BK619" i="155"/>
  <c r="BK620" i="155" s="1"/>
  <c r="BK556" i="155"/>
  <c r="AG202" i="153"/>
  <c r="AG333" i="153"/>
  <c r="AG343" i="153" s="1"/>
  <c r="AT619" i="153"/>
  <c r="AT620" i="153" s="1"/>
  <c r="T292" i="155"/>
  <c r="T316" i="155" s="1"/>
  <c r="AZ556" i="155"/>
  <c r="AZ619" i="155"/>
  <c r="AZ620" i="155" s="1"/>
  <c r="BF552" i="154"/>
  <c r="BF615" i="154"/>
  <c r="BF559" i="154" a="1"/>
  <c r="BF559" i="154" s="1"/>
  <c r="BF623" i="154" s="1"/>
  <c r="V207" i="154"/>
  <c r="V240" i="154" s="1"/>
  <c r="V215" i="154"/>
  <c r="V284" i="154" s="1"/>
  <c r="AS625" i="153"/>
  <c r="AS626" i="153" s="1"/>
  <c r="S292" i="155"/>
  <c r="S308" i="155" s="1"/>
  <c r="U209" i="154"/>
  <c r="U242" i="154" s="1"/>
  <c r="U217" i="154"/>
  <c r="U286" i="154" s="1"/>
  <c r="AF210" i="154"/>
  <c r="AF243" i="154" s="1"/>
  <c r="AF218" i="154"/>
  <c r="AF287" i="154" s="1"/>
  <c r="AE216" i="155"/>
  <c r="AE285" i="155" s="1"/>
  <c r="AE208" i="155"/>
  <c r="AE241" i="155" s="1"/>
  <c r="U210" i="154"/>
  <c r="U243" i="154" s="1"/>
  <c r="U218" i="154"/>
  <c r="U287" i="154" s="1"/>
  <c r="AE207" i="155"/>
  <c r="AE240" i="155" s="1"/>
  <c r="AE215" i="155"/>
  <c r="AE284" i="155" s="1"/>
  <c r="AI217" i="155"/>
  <c r="AI286" i="155" s="1"/>
  <c r="AI209" i="155"/>
  <c r="AI242" i="155" s="1"/>
  <c r="AH210" i="155"/>
  <c r="AH243" i="155" s="1"/>
  <c r="AH218" i="155"/>
  <c r="AH287" i="155" s="1"/>
  <c r="AK207" i="155"/>
  <c r="AK240" i="155" s="1"/>
  <c r="AK215" i="155"/>
  <c r="AK284" i="155" s="1"/>
  <c r="AZ616" i="153"/>
  <c r="AZ182" i="153"/>
  <c r="AZ190" i="153" s="1"/>
  <c r="AG202" i="154"/>
  <c r="AG333" i="154"/>
  <c r="AG343" i="154" s="1"/>
  <c r="R206" i="153"/>
  <c r="R239" i="153" s="1"/>
  <c r="R214" i="153"/>
  <c r="R283" i="153" s="1"/>
  <c r="R247" i="154"/>
  <c r="S247" i="155"/>
  <c r="X330" i="154"/>
  <c r="X340" i="154" s="1"/>
  <c r="X199" i="154"/>
  <c r="AB293" i="154"/>
  <c r="AB317" i="154" s="1"/>
  <c r="AR202" i="154"/>
  <c r="AR333" i="154"/>
  <c r="AR343" i="154" s="1"/>
  <c r="AX625" i="153"/>
  <c r="AX626" i="153" s="1"/>
  <c r="W210" i="154"/>
  <c r="W243" i="154" s="1"/>
  <c r="W218" i="154"/>
  <c r="W287" i="154" s="1"/>
  <c r="T251" i="154"/>
  <c r="BK616" i="155"/>
  <c r="AU631" i="154"/>
  <c r="AU562" i="154"/>
  <c r="AU625" i="154"/>
  <c r="AU626" i="154" s="1"/>
  <c r="AG562" i="155"/>
  <c r="AG625" i="155"/>
  <c r="AG626" i="155" s="1"/>
  <c r="AG631" i="155"/>
  <c r="BO559" i="154" a="1"/>
  <c r="BO559" i="154" s="1"/>
  <c r="BO623" i="154" s="1"/>
  <c r="BO552" i="154"/>
  <c r="BO615" i="154"/>
  <c r="AZ182" i="155"/>
  <c r="AZ190" i="155" s="1"/>
  <c r="AZ616" i="155"/>
  <c r="AI179" i="154"/>
  <c r="AI187" i="154" s="1"/>
  <c r="S293" i="155"/>
  <c r="S301" i="155" s="1"/>
  <c r="AT616" i="153"/>
  <c r="AT182" i="153"/>
  <c r="AT190" i="153" s="1"/>
  <c r="BH615" i="155"/>
  <c r="BH559" i="155" a="1"/>
  <c r="BH559" i="155" s="1"/>
  <c r="BH623" i="155" s="1"/>
  <c r="BH552" i="155"/>
  <c r="AY616" i="154"/>
  <c r="AY182" i="154"/>
  <c r="AY190" i="154" s="1"/>
  <c r="BQ608" i="154"/>
  <c r="BQ551" i="154"/>
  <c r="BQ555" i="154" s="1"/>
  <c r="AB208" i="155"/>
  <c r="AB241" i="155" s="1"/>
  <c r="AB216" i="155"/>
  <c r="AB285" i="155" s="1"/>
  <c r="J625" i="155"/>
  <c r="J626" i="155" s="1"/>
  <c r="J631" i="155"/>
  <c r="S248" i="155"/>
  <c r="BR615" i="155"/>
  <c r="BR559" i="155" a="1"/>
  <c r="BR559" i="155" s="1"/>
  <c r="BR623" i="155" s="1"/>
  <c r="BR552" i="155"/>
  <c r="R291" i="154"/>
  <c r="R307" i="154" s="1"/>
  <c r="AE625" i="153"/>
  <c r="AE626" i="153" s="1"/>
  <c r="BE616" i="154"/>
  <c r="BE182" i="154"/>
  <c r="BE190" i="154" s="1"/>
  <c r="AL209" i="155"/>
  <c r="AL242" i="155" s="1"/>
  <c r="AL217" i="155"/>
  <c r="AL286" i="155" s="1"/>
  <c r="AB249" i="154"/>
  <c r="AH625" i="153"/>
  <c r="AH626" i="153" s="1"/>
  <c r="S293" i="154"/>
  <c r="S309" i="154" s="1"/>
  <c r="BA616" i="154"/>
  <c r="BA182" i="154"/>
  <c r="BA190" i="154" s="1"/>
  <c r="T247" i="155"/>
  <c r="T295" i="154"/>
  <c r="T319" i="154" s="1"/>
  <c r="BT615" i="155"/>
  <c r="BT559" i="155" a="1"/>
  <c r="BT559" i="155" s="1"/>
  <c r="BT623" i="155" s="1"/>
  <c r="BT552" i="155"/>
  <c r="S294" i="155"/>
  <c r="S318" i="155" s="1"/>
  <c r="AA517" i="99"/>
  <c r="AA518" i="99" s="1"/>
  <c r="AB515" i="99"/>
  <c r="AB517" i="99" s="1"/>
  <c r="AC549" i="99"/>
  <c r="AC613" i="99" s="1"/>
  <c r="AC512" i="99"/>
  <c r="AC515" i="99" s="1"/>
  <c r="V619" i="99"/>
  <c r="V620" i="99" s="1"/>
  <c r="V556" i="99"/>
  <c r="V616" i="99"/>
  <c r="AC228" i="99"/>
  <c r="AC234" i="99"/>
  <c r="AF3" i="69"/>
  <c r="AF4" i="69" s="1"/>
  <c r="AE2" i="69" a="1"/>
  <c r="AE2" i="69" s="1"/>
  <c r="AE15" i="69"/>
  <c r="AE11" i="69"/>
  <c r="AE13" i="69"/>
  <c r="AE10" i="69"/>
  <c r="AE8" i="69"/>
  <c r="AE7" i="69"/>
  <c r="AE14" i="69"/>
  <c r="AE12" i="69"/>
  <c r="AE16" i="69"/>
  <c r="AC229" i="99"/>
  <c r="AB526" i="99"/>
  <c r="AB588" i="99"/>
  <c r="AC230" i="99"/>
  <c r="W556" i="99"/>
  <c r="W619" i="99"/>
  <c r="W620" i="99" s="1"/>
  <c r="AC233" i="99"/>
  <c r="AC585" i="99"/>
  <c r="AC524" i="99"/>
  <c r="Y551" i="99"/>
  <c r="Y555" i="99" s="1"/>
  <c r="Y608" i="99"/>
  <c r="AC232" i="99"/>
  <c r="X559" i="99" a="1"/>
  <c r="X559" i="99" s="1"/>
  <c r="X623" i="99" s="1"/>
  <c r="X615" i="99"/>
  <c r="X552" i="99"/>
  <c r="AI527" i="99"/>
  <c r="AA590" i="99"/>
  <c r="AC535" i="99"/>
  <c r="AC599" i="99" s="1"/>
  <c r="AD541" i="99"/>
  <c r="AD605" i="99" s="1"/>
  <c r="AD538" i="99"/>
  <c r="AD547" i="99"/>
  <c r="AD611" i="99" s="1"/>
  <c r="AD534" i="99"/>
  <c r="AD598" i="99" s="1"/>
  <c r="AD539" i="99"/>
  <c r="AD603" i="99" s="1"/>
  <c r="AD540" i="99"/>
  <c r="AD604" i="99" s="1"/>
  <c r="AD548" i="99"/>
  <c r="AD507" i="99"/>
  <c r="AD525" i="99"/>
  <c r="AD589" i="99" s="1"/>
  <c r="AD522" i="99"/>
  <c r="AD586" i="99" s="1"/>
  <c r="AD509" i="99"/>
  <c r="AD573" i="99" s="1"/>
  <c r="AD521" i="99"/>
  <c r="AD523" i="99"/>
  <c r="AD587" i="99" s="1"/>
  <c r="AD514" i="99"/>
  <c r="AD578" i="99" s="1"/>
  <c r="AD516" i="99"/>
  <c r="AD580" i="99" s="1"/>
  <c r="AD513" i="99"/>
  <c r="AD577" i="99" s="1"/>
  <c r="AD558" i="99"/>
  <c r="AD622" i="99" s="1"/>
  <c r="AD533" i="99"/>
  <c r="AD597" i="99" s="1"/>
  <c r="Z223" i="99"/>
  <c r="Z582" i="99"/>
  <c r="AF3" i="99"/>
  <c r="AF4" i="99" s="1"/>
  <c r="AE2" i="99" a="1"/>
  <c r="AE2" i="99" s="1"/>
  <c r="AE554" i="99" s="1"/>
  <c r="AE474" i="99"/>
  <c r="AE498" i="99"/>
  <c r="AE482" i="99" s="1"/>
  <c r="AE490" i="99" s="1"/>
  <c r="AE475" i="99"/>
  <c r="AE476" i="99"/>
  <c r="AE499" i="99"/>
  <c r="AE483" i="99" s="1"/>
  <c r="AE491" i="99" s="1"/>
  <c r="AE477" i="99"/>
  <c r="AE500" i="99"/>
  <c r="AE484" i="99" s="1"/>
  <c r="AE492" i="99" s="1"/>
  <c r="AE478" i="99"/>
  <c r="AE501" i="99"/>
  <c r="AE485" i="99" s="1"/>
  <c r="AE493" i="99" s="1"/>
  <c r="AE502" i="99"/>
  <c r="AE486" i="99" s="1"/>
  <c r="AE494" i="99" s="1"/>
  <c r="AE479" i="99"/>
  <c r="AE503" i="99"/>
  <c r="AE487" i="99" s="1"/>
  <c r="AE495" i="99" s="1"/>
  <c r="AC542" i="99"/>
  <c r="AC606" i="99" s="1"/>
  <c r="AC602" i="99"/>
  <c r="W616" i="99"/>
  <c r="Z593" i="99"/>
  <c r="Z594" i="99" s="1"/>
  <c r="Z530" i="99"/>
  <c r="Z544" i="99"/>
  <c r="Z224" i="99"/>
  <c r="Z591" i="99"/>
  <c r="AG5" i="72"/>
  <c r="AG6" i="72" s="1"/>
  <c r="AF36" i="72"/>
  <c r="AF37" i="72"/>
  <c r="AF47" i="72"/>
  <c r="AF48" i="72"/>
  <c r="AF6" i="98"/>
  <c r="AE70" i="103"/>
  <c r="AJ70" i="105" s="1"/>
  <c r="AE35" i="151" s="1"/>
  <c r="AD64" i="99"/>
  <c r="AV8" i="98"/>
  <c r="BB562" i="153" l="1"/>
  <c r="AP567" i="153"/>
  <c r="BY561" i="153"/>
  <c r="BY567" i="153" s="1"/>
  <c r="AG4" i="72" a="1"/>
  <c r="AG4" i="72" s="1"/>
  <c r="W6" i="151"/>
  <c r="I55" i="294"/>
  <c r="I36" i="151"/>
  <c r="D79" i="294" s="1"/>
  <c r="D74" i="294"/>
  <c r="I45" i="151"/>
  <c r="D88" i="294" s="1"/>
  <c r="AY567" i="153"/>
  <c r="AY631" i="153" s="1"/>
  <c r="AY562" i="153"/>
  <c r="BU555" i="153"/>
  <c r="BU556" i="153" s="1"/>
  <c r="BU552" i="153"/>
  <c r="BD567" i="153"/>
  <c r="BD631" i="153" s="1"/>
  <c r="BD562" i="153"/>
  <c r="BS555" i="153"/>
  <c r="BS556" i="153" s="1"/>
  <c r="BS552" i="153"/>
  <c r="BV555" i="153"/>
  <c r="BV556" i="153" s="1"/>
  <c r="BV552" i="153"/>
  <c r="BK567" i="153"/>
  <c r="BK631" i="153" s="1"/>
  <c r="BK562" i="153"/>
  <c r="AW567" i="153"/>
  <c r="AW631" i="153" s="1"/>
  <c r="AW562" i="153"/>
  <c r="L567" i="153"/>
  <c r="L562" i="153"/>
  <c r="BO555" i="153"/>
  <c r="BO556" i="153" s="1"/>
  <c r="BO552" i="153"/>
  <c r="AT567" i="153"/>
  <c r="AT631" i="153" s="1"/>
  <c r="AT562" i="153"/>
  <c r="BP555" i="153"/>
  <c r="BP556" i="153" s="1"/>
  <c r="BP552" i="153"/>
  <c r="BA567" i="153"/>
  <c r="BA631" i="153" s="1"/>
  <c r="BA562" i="153"/>
  <c r="BJ567" i="153"/>
  <c r="BJ631" i="153" s="1"/>
  <c r="BJ562" i="153"/>
  <c r="BQ555" i="153"/>
  <c r="BQ556" i="153" s="1"/>
  <c r="BQ552" i="153"/>
  <c r="AV567" i="153"/>
  <c r="AV631" i="153" s="1"/>
  <c r="AV562" i="153"/>
  <c r="BG567" i="153"/>
  <c r="BG631" i="153" s="1"/>
  <c r="BG562" i="153"/>
  <c r="AZ567" i="153"/>
  <c r="AZ631" i="153" s="1"/>
  <c r="AZ562" i="153"/>
  <c r="AU567" i="153"/>
  <c r="AU631" i="153" s="1"/>
  <c r="AU562" i="153"/>
  <c r="I15" i="151"/>
  <c r="D49" i="294"/>
  <c r="I54" i="294"/>
  <c r="D48" i="294"/>
  <c r="D47" i="294"/>
  <c r="AJ209" i="154"/>
  <c r="AJ242" i="154" s="1"/>
  <c r="AJ250" i="154" s="1"/>
  <c r="AG122" i="105"/>
  <c r="X183" i="154"/>
  <c r="AM177" i="154"/>
  <c r="AM185" i="154" s="1"/>
  <c r="AM328" i="154" s="1"/>
  <c r="AM338" i="154" s="1"/>
  <c r="AL177" i="154"/>
  <c r="AL185" i="154" s="1"/>
  <c r="AL328" i="154" s="1"/>
  <c r="AL338" i="154" s="1"/>
  <c r="AK177" i="154"/>
  <c r="AK185" i="154" s="1"/>
  <c r="AK197" i="154" s="1"/>
  <c r="AK205" i="154" s="1"/>
  <c r="AJ177" i="154"/>
  <c r="AJ185" i="154" s="1"/>
  <c r="AJ197" i="154" s="1"/>
  <c r="AJ213" i="154" s="1"/>
  <c r="AN177" i="154"/>
  <c r="AN185" i="154" s="1"/>
  <c r="AN197" i="154" s="1"/>
  <c r="O127" i="105"/>
  <c r="U170" i="154"/>
  <c r="AC129" i="103"/>
  <c r="BY16" i="105"/>
  <c r="S255" i="154"/>
  <c r="W266" i="155"/>
  <c r="T267" i="153"/>
  <c r="S257" i="155"/>
  <c r="Y259" i="155"/>
  <c r="S258" i="154"/>
  <c r="U263" i="155"/>
  <c r="AA275" i="155"/>
  <c r="AC259" i="155"/>
  <c r="T273" i="154"/>
  <c r="Y266" i="155"/>
  <c r="W275" i="153"/>
  <c r="S267" i="155"/>
  <c r="T273" i="155"/>
  <c r="T274" i="154"/>
  <c r="T271" i="155"/>
  <c r="W257" i="155"/>
  <c r="U265" i="155"/>
  <c r="Y265" i="155"/>
  <c r="U275" i="153"/>
  <c r="W468" i="155"/>
  <c r="R266" i="154"/>
  <c r="S257" i="154"/>
  <c r="S272" i="154"/>
  <c r="T275" i="155"/>
  <c r="S464" i="155"/>
  <c r="X265" i="155"/>
  <c r="S259" i="154"/>
  <c r="X259" i="155"/>
  <c r="R272" i="154"/>
  <c r="AB259" i="153"/>
  <c r="S272" i="155"/>
  <c r="AA273" i="155"/>
  <c r="AB273" i="154"/>
  <c r="U272" i="155"/>
  <c r="T256" i="154"/>
  <c r="X274" i="155"/>
  <c r="V257" i="155"/>
  <c r="R257" i="154"/>
  <c r="AB267" i="154"/>
  <c r="Y259" i="153"/>
  <c r="U275" i="155"/>
  <c r="U266" i="155"/>
  <c r="AB464" i="154"/>
  <c r="V264" i="155"/>
  <c r="Y263" i="155"/>
  <c r="T465" i="155"/>
  <c r="W271" i="155"/>
  <c r="T274" i="155"/>
  <c r="X263" i="155"/>
  <c r="AC257" i="155"/>
  <c r="AB258" i="154"/>
  <c r="V275" i="153"/>
  <c r="AA263" i="155"/>
  <c r="T263" i="154"/>
  <c r="S258" i="155"/>
  <c r="T275" i="154"/>
  <c r="V267" i="155"/>
  <c r="AA258" i="155"/>
  <c r="V274" i="155"/>
  <c r="V263" i="155"/>
  <c r="Y328" i="154"/>
  <c r="Y334" i="154" s="1"/>
  <c r="Y191" i="154"/>
  <c r="BE561" i="155"/>
  <c r="BE567" i="155" s="1"/>
  <c r="X561" i="99"/>
  <c r="X567" i="99" s="1"/>
  <c r="BI561" i="155"/>
  <c r="BI567" i="155" s="1"/>
  <c r="BQ561" i="155"/>
  <c r="BQ567" i="155" s="1"/>
  <c r="BE561" i="153"/>
  <c r="BO561" i="154"/>
  <c r="BO567" i="154" s="1"/>
  <c r="BI561" i="153"/>
  <c r="BT561" i="155"/>
  <c r="BT567" i="155" s="1"/>
  <c r="BL561" i="153"/>
  <c r="BH561" i="155"/>
  <c r="BH567" i="155" s="1"/>
  <c r="BD561" i="155"/>
  <c r="BD567" i="155" s="1"/>
  <c r="BW561" i="153"/>
  <c r="BS561" i="155"/>
  <c r="BS567" i="155" s="1"/>
  <c r="BM561" i="153"/>
  <c r="BF561" i="154"/>
  <c r="BF567" i="154" s="1"/>
  <c r="BC561" i="155"/>
  <c r="BC567" i="155" s="1"/>
  <c r="BX561" i="155"/>
  <c r="BX567" i="155" s="1"/>
  <c r="BX561" i="154"/>
  <c r="BX567" i="154" s="1"/>
  <c r="BR561" i="154"/>
  <c r="BR567" i="154" s="1"/>
  <c r="BN561" i="153"/>
  <c r="BY561" i="155"/>
  <c r="BY567" i="155" s="1"/>
  <c r="BF561" i="155"/>
  <c r="BF567" i="155" s="1"/>
  <c r="BP561" i="155"/>
  <c r="BP567" i="155" s="1"/>
  <c r="BL561" i="155"/>
  <c r="BL567" i="155" s="1"/>
  <c r="BV561" i="154"/>
  <c r="BV567" i="154" s="1"/>
  <c r="BW561" i="155"/>
  <c r="BW567" i="155" s="1"/>
  <c r="BG561" i="155"/>
  <c r="BG567" i="155" s="1"/>
  <c r="BU561" i="154"/>
  <c r="BU567" i="154" s="1"/>
  <c r="BC561" i="153"/>
  <c r="BS561" i="154"/>
  <c r="BS567" i="154" s="1"/>
  <c r="BY561" i="154"/>
  <c r="BY567" i="154" s="1"/>
  <c r="BR561" i="155"/>
  <c r="BR567" i="155" s="1"/>
  <c r="BR561" i="153"/>
  <c r="BO561" i="155"/>
  <c r="BO567" i="155" s="1"/>
  <c r="BP561" i="154"/>
  <c r="BP567" i="154" s="1"/>
  <c r="BT561" i="153"/>
  <c r="BH561" i="153"/>
  <c r="Y183" i="154"/>
  <c r="BD561" i="154"/>
  <c r="BD567" i="154" s="1"/>
  <c r="BF561" i="153"/>
  <c r="BV561" i="155"/>
  <c r="BV567" i="155" s="1"/>
  <c r="BW561" i="154"/>
  <c r="BW567" i="154" s="1"/>
  <c r="BX561" i="153"/>
  <c r="BU615" i="155"/>
  <c r="BU616" i="155" s="1"/>
  <c r="BU555" i="155"/>
  <c r="BU619" i="155" s="1"/>
  <c r="AJ127" i="105"/>
  <c r="AD38" i="72"/>
  <c r="AD39" i="72" s="1"/>
  <c r="W38" i="72"/>
  <c r="W39" i="72" s="1"/>
  <c r="AF38" i="72"/>
  <c r="AF39" i="72" s="1"/>
  <c r="AC38" i="72"/>
  <c r="AC39" i="72" s="1"/>
  <c r="Z197" i="154"/>
  <c r="Z213" i="154" s="1"/>
  <c r="AD197" i="154"/>
  <c r="AD205" i="154" s="1"/>
  <c r="AA191" i="154"/>
  <c r="AA328" i="154"/>
  <c r="AA334" i="154" s="1"/>
  <c r="U38" i="72"/>
  <c r="U39" i="72" s="1"/>
  <c r="Y38" i="72"/>
  <c r="Y39" i="72" s="1"/>
  <c r="AB38" i="72"/>
  <c r="AB39" i="72" s="1"/>
  <c r="X38" i="72"/>
  <c r="X39" i="72" s="1"/>
  <c r="S38" i="72"/>
  <c r="S39" i="72" s="1"/>
  <c r="V38" i="72"/>
  <c r="V39" i="72" s="1"/>
  <c r="AA38" i="72"/>
  <c r="AA39" i="72" s="1"/>
  <c r="AE38" i="72"/>
  <c r="AE39" i="72" s="1"/>
  <c r="Z38" i="72"/>
  <c r="Z39" i="72" s="1"/>
  <c r="T38" i="72"/>
  <c r="T39" i="72" s="1"/>
  <c r="R37" i="72"/>
  <c r="Z328" i="154"/>
  <c r="Z338" i="154" s="1"/>
  <c r="Z344" i="154" s="1"/>
  <c r="Z43" i="154" s="1"/>
  <c r="AA183" i="154"/>
  <c r="AB328" i="154"/>
  <c r="AB338" i="154" s="1"/>
  <c r="X197" i="154"/>
  <c r="X213" i="154" s="1"/>
  <c r="AB205" i="154"/>
  <c r="AB238" i="154" s="1"/>
  <c r="X328" i="154"/>
  <c r="X334" i="154" s="1"/>
  <c r="AB183" i="154"/>
  <c r="Z183" i="154"/>
  <c r="R173" i="154"/>
  <c r="U191" i="154"/>
  <c r="U197" i="154"/>
  <c r="U205" i="154" s="1"/>
  <c r="R172" i="155"/>
  <c r="R173" i="153"/>
  <c r="R172" i="153"/>
  <c r="R173" i="155"/>
  <c r="AC197" i="154"/>
  <c r="AC213" i="154" s="1"/>
  <c r="AC129" i="99"/>
  <c r="AC129" i="104"/>
  <c r="AC64" i="104" s="1"/>
  <c r="AH64" i="105" s="1"/>
  <c r="AC30" i="151" s="1"/>
  <c r="AF197" i="154"/>
  <c r="AF213" i="154" s="1"/>
  <c r="AR177" i="154"/>
  <c r="AR185" i="154" s="1"/>
  <c r="AR328" i="154" s="1"/>
  <c r="AS177" i="154"/>
  <c r="AS185" i="154" s="1"/>
  <c r="AS197" i="154" s="1"/>
  <c r="AO177" i="154"/>
  <c r="AO185" i="154" s="1"/>
  <c r="AO197" i="154" s="1"/>
  <c r="AO213" i="154" s="1"/>
  <c r="AP177" i="154"/>
  <c r="AP185" i="154" s="1"/>
  <c r="AP197" i="154" s="1"/>
  <c r="T197" i="154"/>
  <c r="T328" i="154"/>
  <c r="T191" i="154"/>
  <c r="T191" i="155"/>
  <c r="T328" i="155"/>
  <c r="T197" i="155"/>
  <c r="S197" i="155"/>
  <c r="S191" i="155"/>
  <c r="S328" i="155"/>
  <c r="U328" i="155"/>
  <c r="U197" i="155"/>
  <c r="U191" i="155"/>
  <c r="R197" i="154"/>
  <c r="R191" i="154"/>
  <c r="R328" i="154"/>
  <c r="AQ177" i="154"/>
  <c r="AQ185" i="154" s="1"/>
  <c r="S197" i="154"/>
  <c r="S328" i="154"/>
  <c r="S191" i="154"/>
  <c r="AI215" i="155"/>
  <c r="AI284" i="155" s="1"/>
  <c r="AI292" i="155" s="1"/>
  <c r="AI300" i="155" s="1"/>
  <c r="AI210" i="155"/>
  <c r="AI243" i="155" s="1"/>
  <c r="AI251" i="155" s="1"/>
  <c r="BE616" i="155"/>
  <c r="BE620" i="155"/>
  <c r="BT615" i="154"/>
  <c r="BT616" i="154" s="1"/>
  <c r="BT559" i="154" a="1"/>
  <c r="BT559" i="154" s="1"/>
  <c r="BT623" i="154" s="1"/>
  <c r="BT552" i="154"/>
  <c r="BU552" i="155"/>
  <c r="BU559" i="155" a="1"/>
  <c r="BU559" i="155" s="1"/>
  <c r="BU623" i="155" s="1"/>
  <c r="R174" i="155"/>
  <c r="AS16" i="105"/>
  <c r="AJ16" i="105"/>
  <c r="BJ16" i="105"/>
  <c r="AG16" i="105"/>
  <c r="AY16" i="105"/>
  <c r="AD16" i="105"/>
  <c r="CC16" i="105"/>
  <c r="AT177" i="154"/>
  <c r="AT185" i="154" s="1"/>
  <c r="AT328" i="154" s="1"/>
  <c r="Y215" i="154"/>
  <c r="Y284" i="154" s="1"/>
  <c r="Y292" i="154" s="1"/>
  <c r="Y300" i="154" s="1"/>
  <c r="K625" i="155"/>
  <c r="K626" i="155" s="1"/>
  <c r="K631" i="155"/>
  <c r="K562" i="155"/>
  <c r="AU177" i="154"/>
  <c r="AU185" i="154" s="1"/>
  <c r="AU328" i="154" s="1"/>
  <c r="R264" i="154"/>
  <c r="T259" i="154"/>
  <c r="AA319" i="155"/>
  <c r="S256" i="154"/>
  <c r="W315" i="155"/>
  <c r="S265" i="154"/>
  <c r="W319" i="153"/>
  <c r="S274" i="154"/>
  <c r="V271" i="155"/>
  <c r="S316" i="154"/>
  <c r="AD129" i="103"/>
  <c r="AD129" i="104"/>
  <c r="AD64" i="104" s="1"/>
  <c r="AI64" i="105" s="1"/>
  <c r="AD30" i="151" s="1"/>
  <c r="U316" i="155"/>
  <c r="W311" i="153"/>
  <c r="AB265" i="154"/>
  <c r="AC275" i="155"/>
  <c r="W310" i="155"/>
  <c r="T264" i="155"/>
  <c r="T275" i="153"/>
  <c r="S273" i="155"/>
  <c r="AB271" i="154"/>
  <c r="U309" i="155"/>
  <c r="S318" i="154"/>
  <c r="AA317" i="155"/>
  <c r="AB275" i="153"/>
  <c r="T311" i="154"/>
  <c r="X299" i="155"/>
  <c r="V256" i="155"/>
  <c r="T315" i="154"/>
  <c r="T317" i="154"/>
  <c r="T310" i="155"/>
  <c r="X258" i="155"/>
  <c r="T272" i="154"/>
  <c r="X318" i="155"/>
  <c r="AA271" i="155"/>
  <c r="W311" i="155"/>
  <c r="X310" i="155"/>
  <c r="S267" i="154"/>
  <c r="R300" i="154"/>
  <c r="AB255" i="154"/>
  <c r="R310" i="154"/>
  <c r="R302" i="154"/>
  <c r="T258" i="155"/>
  <c r="T266" i="154"/>
  <c r="T266" i="155"/>
  <c r="T301" i="154"/>
  <c r="X311" i="155"/>
  <c r="T318" i="154"/>
  <c r="U303" i="155"/>
  <c r="R299" i="154"/>
  <c r="U300" i="155"/>
  <c r="T267" i="155"/>
  <c r="Y271" i="155"/>
  <c r="V265" i="155"/>
  <c r="Y317" i="155"/>
  <c r="X267" i="155"/>
  <c r="Y309" i="155"/>
  <c r="X309" i="155"/>
  <c r="Z311" i="153"/>
  <c r="T318" i="155"/>
  <c r="AB275" i="154"/>
  <c r="W274" i="155"/>
  <c r="V258" i="155"/>
  <c r="U258" i="155"/>
  <c r="V319" i="153"/>
  <c r="U318" i="155"/>
  <c r="W265" i="155"/>
  <c r="Y275" i="155"/>
  <c r="AB263" i="154"/>
  <c r="V309" i="155"/>
  <c r="V310" i="155"/>
  <c r="S274" i="155"/>
  <c r="U256" i="155"/>
  <c r="V301" i="155"/>
  <c r="U319" i="155"/>
  <c r="T255" i="154"/>
  <c r="V318" i="155"/>
  <c r="S309" i="155"/>
  <c r="AB274" i="154"/>
  <c r="T319" i="153"/>
  <c r="M559" i="153"/>
  <c r="T316" i="154"/>
  <c r="AB319" i="154"/>
  <c r="T303" i="153"/>
  <c r="T300" i="154"/>
  <c r="U319" i="153"/>
  <c r="T308" i="155"/>
  <c r="T300" i="155"/>
  <c r="AB315" i="154"/>
  <c r="AA315" i="155"/>
  <c r="W319" i="155"/>
  <c r="U311" i="153"/>
  <c r="Y275" i="153"/>
  <c r="Z319" i="153"/>
  <c r="S263" i="154"/>
  <c r="T319" i="155"/>
  <c r="Y310" i="155"/>
  <c r="X319" i="155"/>
  <c r="W318" i="155"/>
  <c r="T311" i="155"/>
  <c r="Y302" i="155"/>
  <c r="W255" i="155"/>
  <c r="Y299" i="155"/>
  <c r="V299" i="155"/>
  <c r="X255" i="155"/>
  <c r="S303" i="154"/>
  <c r="S259" i="155"/>
  <c r="AA266" i="155"/>
  <c r="AC273" i="155"/>
  <c r="S256" i="155"/>
  <c r="Y311" i="155"/>
  <c r="T272" i="155"/>
  <c r="Y319" i="155"/>
  <c r="T256" i="155"/>
  <c r="V300" i="155"/>
  <c r="U255" i="155"/>
  <c r="R301" i="154"/>
  <c r="U302" i="155"/>
  <c r="V259" i="155"/>
  <c r="AC319" i="155"/>
  <c r="V316" i="155"/>
  <c r="V267" i="153"/>
  <c r="R274" i="154"/>
  <c r="R291" i="153"/>
  <c r="R299" i="153" s="1"/>
  <c r="BF619" i="154"/>
  <c r="BF620" i="154" s="1"/>
  <c r="BF556" i="154"/>
  <c r="BP615" i="153"/>
  <c r="BP559" i="153" a="1"/>
  <c r="BP559" i="153" s="1"/>
  <c r="BP623" i="153" s="1"/>
  <c r="BI202" i="154"/>
  <c r="BI333" i="154"/>
  <c r="BI343" i="154" s="1"/>
  <c r="X273" i="155"/>
  <c r="X466" i="155"/>
  <c r="AI295" i="155"/>
  <c r="AI303" i="155" s="1"/>
  <c r="U291" i="154"/>
  <c r="U307" i="154" s="1"/>
  <c r="T468" i="155"/>
  <c r="BG625" i="153"/>
  <c r="BG626" i="153" s="1"/>
  <c r="AA291" i="154"/>
  <c r="AA315" i="154" s="1"/>
  <c r="AE208" i="154"/>
  <c r="AE241" i="154" s="1"/>
  <c r="AE216" i="154"/>
  <c r="AE285" i="154" s="1"/>
  <c r="V295" i="154"/>
  <c r="V319" i="154" s="1"/>
  <c r="AQ332" i="154"/>
  <c r="AQ342" i="154" s="1"/>
  <c r="AQ201" i="154"/>
  <c r="AC258" i="155"/>
  <c r="AC467" i="155"/>
  <c r="X247" i="154"/>
  <c r="AH248" i="155"/>
  <c r="R259" i="154"/>
  <c r="R468" i="154"/>
  <c r="X248" i="155"/>
  <c r="AL294" i="154"/>
  <c r="AL310" i="154" s="1"/>
  <c r="AB250" i="155"/>
  <c r="W249" i="154"/>
  <c r="AJ295" i="153"/>
  <c r="AJ319" i="153" s="1"/>
  <c r="AC293" i="154"/>
  <c r="AC317" i="154" s="1"/>
  <c r="BB616" i="155"/>
  <c r="BB182" i="155"/>
  <c r="BB190" i="155" s="1"/>
  <c r="AL294" i="155"/>
  <c r="AL310" i="155" s="1"/>
  <c r="AE292" i="155"/>
  <c r="AE300" i="155" s="1"/>
  <c r="W294" i="154"/>
  <c r="W302" i="154" s="1"/>
  <c r="S251" i="153"/>
  <c r="AU202" i="153"/>
  <c r="AU333" i="153"/>
  <c r="AU343" i="153" s="1"/>
  <c r="Z259" i="153"/>
  <c r="Z468" i="153"/>
  <c r="P555" i="154"/>
  <c r="N619" i="154"/>
  <c r="N556" i="154"/>
  <c r="P556" i="154" s="1"/>
  <c r="AL251" i="153"/>
  <c r="S307" i="154"/>
  <c r="AU625" i="153"/>
  <c r="AU626" i="153" s="1"/>
  <c r="AP210" i="155"/>
  <c r="AP243" i="155" s="1"/>
  <c r="AP218" i="155"/>
  <c r="AP287" i="155" s="1"/>
  <c r="S266" i="154"/>
  <c r="S467" i="154"/>
  <c r="AZ625" i="154"/>
  <c r="AZ626" i="154" s="1"/>
  <c r="AZ631" i="154"/>
  <c r="AZ562" i="154"/>
  <c r="S303" i="155"/>
  <c r="BS616" i="154"/>
  <c r="T257" i="154"/>
  <c r="AX333" i="155"/>
  <c r="AX343" i="155" s="1"/>
  <c r="AX202" i="155"/>
  <c r="AH207" i="154"/>
  <c r="AH240" i="154" s="1"/>
  <c r="AH215" i="154"/>
  <c r="AH284" i="154" s="1"/>
  <c r="AQ218" i="153"/>
  <c r="AQ287" i="153" s="1"/>
  <c r="AQ210" i="153"/>
  <c r="AQ243" i="153" s="1"/>
  <c r="X291" i="154"/>
  <c r="X299" i="154" s="1"/>
  <c r="T265" i="155"/>
  <c r="X292" i="155"/>
  <c r="X300" i="155" s="1"/>
  <c r="AL250" i="154"/>
  <c r="AB294" i="155"/>
  <c r="AB318" i="155" s="1"/>
  <c r="W293" i="154"/>
  <c r="W301" i="154" s="1"/>
  <c r="U267" i="155"/>
  <c r="Z291" i="155"/>
  <c r="Z307" i="155" s="1"/>
  <c r="AP210" i="154"/>
  <c r="AP243" i="154" s="1"/>
  <c r="AP218" i="154"/>
  <c r="AP287" i="154" s="1"/>
  <c r="AJ251" i="153"/>
  <c r="BY616" i="155"/>
  <c r="BF616" i="153"/>
  <c r="BF182" i="153"/>
  <c r="BF190" i="153" s="1"/>
  <c r="AC249" i="154"/>
  <c r="Z293" i="154"/>
  <c r="Z301" i="154" s="1"/>
  <c r="BR619" i="155"/>
  <c r="BR620" i="155" s="1"/>
  <c r="BR556" i="155"/>
  <c r="R271" i="154"/>
  <c r="R464" i="154"/>
  <c r="BF616" i="154"/>
  <c r="BF182" i="154"/>
  <c r="BF190" i="154" s="1"/>
  <c r="T263" i="155"/>
  <c r="T464" i="155"/>
  <c r="AL250" i="155"/>
  <c r="AF338" i="154"/>
  <c r="AD249" i="155"/>
  <c r="U248" i="154"/>
  <c r="AY333" i="154"/>
  <c r="AY343" i="154" s="1"/>
  <c r="AY202" i="154"/>
  <c r="R247" i="153"/>
  <c r="AE248" i="155"/>
  <c r="BB556" i="155"/>
  <c r="BB619" i="155"/>
  <c r="BB620" i="155" s="1"/>
  <c r="AB291" i="155"/>
  <c r="AB299" i="155" s="1"/>
  <c r="W250" i="154"/>
  <c r="AR209" i="154"/>
  <c r="AR242" i="154" s="1"/>
  <c r="AR217" i="154"/>
  <c r="AR286" i="154" s="1"/>
  <c r="AE294" i="155"/>
  <c r="AE310" i="155" s="1"/>
  <c r="S310" i="155"/>
  <c r="U295" i="154"/>
  <c r="U311" i="154" s="1"/>
  <c r="BB623" i="155"/>
  <c r="M559" i="155"/>
  <c r="M561" i="155" s="1"/>
  <c r="M567" i="155" s="1"/>
  <c r="AB247" i="155"/>
  <c r="S265" i="155"/>
  <c r="S466" i="155"/>
  <c r="AE250" i="155"/>
  <c r="BQ615" i="153"/>
  <c r="BQ559" i="153" a="1"/>
  <c r="BQ559" i="153" s="1"/>
  <c r="BQ623" i="153" s="1"/>
  <c r="AL295" i="153"/>
  <c r="AL319" i="153" s="1"/>
  <c r="S315" i="154"/>
  <c r="AA301" i="155"/>
  <c r="BM631" i="154"/>
  <c r="BM625" i="154"/>
  <c r="BM626" i="154" s="1"/>
  <c r="BM562" i="154"/>
  <c r="L623" i="153"/>
  <c r="AW333" i="155"/>
  <c r="AW343" i="155" s="1"/>
  <c r="AW202" i="155"/>
  <c r="X307" i="155"/>
  <c r="Y249" i="154"/>
  <c r="R256" i="154"/>
  <c r="R465" i="154"/>
  <c r="Z251" i="154"/>
  <c r="BH202" i="154"/>
  <c r="BH333" i="154"/>
  <c r="BH343" i="154" s="1"/>
  <c r="BI619" i="153"/>
  <c r="BI620" i="153" s="1"/>
  <c r="AB259" i="154"/>
  <c r="AB468" i="154"/>
  <c r="AT217" i="155"/>
  <c r="AT286" i="155" s="1"/>
  <c r="AT209" i="155"/>
  <c r="AT242" i="155" s="1"/>
  <c r="W307" i="155"/>
  <c r="T468" i="153"/>
  <c r="BC182" i="155"/>
  <c r="BC190" i="155" s="1"/>
  <c r="BC616" i="155"/>
  <c r="AK294" i="154"/>
  <c r="AK318" i="154" s="1"/>
  <c r="Z247" i="155"/>
  <c r="BY619" i="155"/>
  <c r="BY620" i="155" s="1"/>
  <c r="BY556" i="155"/>
  <c r="W292" i="154"/>
  <c r="W316" i="154" s="1"/>
  <c r="BC619" i="153"/>
  <c r="BC620" i="153" s="1"/>
  <c r="Z249" i="154"/>
  <c r="Y293" i="154"/>
  <c r="Y317" i="154" s="1"/>
  <c r="Z295" i="154"/>
  <c r="Z319" i="154" s="1"/>
  <c r="T265" i="154"/>
  <c r="T466" i="154"/>
  <c r="AB282" i="154"/>
  <c r="AA295" i="154"/>
  <c r="AA303" i="154" s="1"/>
  <c r="AF292" i="155"/>
  <c r="AF308" i="155" s="1"/>
  <c r="T257" i="155"/>
  <c r="T466" i="155"/>
  <c r="AM251" i="155"/>
  <c r="AK250" i="154"/>
  <c r="U259" i="155"/>
  <c r="U468" i="155"/>
  <c r="V311" i="153"/>
  <c r="W248" i="154"/>
  <c r="BC616" i="153"/>
  <c r="BC182" i="153"/>
  <c r="BC190" i="153" s="1"/>
  <c r="AZ333" i="155"/>
  <c r="AZ343" i="155" s="1"/>
  <c r="AZ202" i="155"/>
  <c r="AG210" i="154"/>
  <c r="AG243" i="154" s="1"/>
  <c r="AG218" i="154"/>
  <c r="AG287" i="154" s="1"/>
  <c r="AN294" i="155"/>
  <c r="AN302" i="155" s="1"/>
  <c r="S302" i="155"/>
  <c r="AE249" i="155"/>
  <c r="BI619" i="155"/>
  <c r="BI620" i="155" s="1"/>
  <c r="BI556" i="155"/>
  <c r="AI218" i="154"/>
  <c r="AI287" i="154" s="1"/>
  <c r="AI210" i="154"/>
  <c r="AI243" i="154" s="1"/>
  <c r="AN250" i="155"/>
  <c r="AB330" i="154"/>
  <c r="AB199" i="154"/>
  <c r="AB191" i="154"/>
  <c r="AC207" i="154"/>
  <c r="AC240" i="154" s="1"/>
  <c r="AC215" i="154"/>
  <c r="AC284" i="154" s="1"/>
  <c r="BD556" i="154"/>
  <c r="BD619" i="154"/>
  <c r="BD620" i="154" s="1"/>
  <c r="BA625" i="153"/>
  <c r="BA626" i="153" s="1"/>
  <c r="V294" i="154"/>
  <c r="V318" i="154" s="1"/>
  <c r="BT619" i="153"/>
  <c r="BT620" i="153" s="1"/>
  <c r="AA255" i="155"/>
  <c r="AA464" i="155"/>
  <c r="BS556" i="154"/>
  <c r="BS619" i="154"/>
  <c r="BS620" i="154" s="1"/>
  <c r="AU210" i="155"/>
  <c r="AU243" i="155" s="1"/>
  <c r="AU218" i="155"/>
  <c r="AU287" i="155" s="1"/>
  <c r="Y295" i="154"/>
  <c r="Y311" i="154" s="1"/>
  <c r="AA251" i="154"/>
  <c r="BI616" i="153"/>
  <c r="BI182" i="153"/>
  <c r="BI190" i="153" s="1"/>
  <c r="AQ631" i="154"/>
  <c r="AQ625" i="154"/>
  <c r="AQ626" i="154" s="1"/>
  <c r="AQ562" i="154"/>
  <c r="AF248" i="155"/>
  <c r="Y267" i="153"/>
  <c r="Y468" i="153"/>
  <c r="AT210" i="155"/>
  <c r="AT243" i="155" s="1"/>
  <c r="AT218" i="155"/>
  <c r="AT287" i="155" s="1"/>
  <c r="AM295" i="155"/>
  <c r="AM319" i="155" s="1"/>
  <c r="R248" i="153"/>
  <c r="BU616" i="154"/>
  <c r="X249" i="154"/>
  <c r="BC202" i="154"/>
  <c r="BC333" i="154"/>
  <c r="BC343" i="154" s="1"/>
  <c r="AP209" i="155"/>
  <c r="AP242" i="155" s="1"/>
  <c r="AP217" i="155"/>
  <c r="AP286" i="155" s="1"/>
  <c r="BL619" i="153"/>
  <c r="BL620" i="153" s="1"/>
  <c r="U334" i="154"/>
  <c r="U338" i="154"/>
  <c r="U344" i="154" s="1"/>
  <c r="U43" i="154" s="1"/>
  <c r="BG202" i="154"/>
  <c r="BG333" i="154"/>
  <c r="BG343" i="154" s="1"/>
  <c r="BD616" i="154"/>
  <c r="BD182" i="154"/>
  <c r="BD190" i="154" s="1"/>
  <c r="V250" i="154"/>
  <c r="AJ248" i="155"/>
  <c r="BT616" i="153"/>
  <c r="AK295" i="154"/>
  <c r="AK311" i="154" s="1"/>
  <c r="S275" i="155"/>
  <c r="S468" i="155"/>
  <c r="Y251" i="154"/>
  <c r="BC556" i="155"/>
  <c r="BC619" i="155"/>
  <c r="BC620" i="155" s="1"/>
  <c r="R292" i="153"/>
  <c r="R308" i="153" s="1"/>
  <c r="BU556" i="154"/>
  <c r="BU619" i="154"/>
  <c r="BU620" i="154" s="1"/>
  <c r="V266" i="155"/>
  <c r="V467" i="155"/>
  <c r="X293" i="154"/>
  <c r="X309" i="154" s="1"/>
  <c r="U251" i="154"/>
  <c r="BA333" i="154"/>
  <c r="BA343" i="154" s="1"/>
  <c r="BA202" i="154"/>
  <c r="AR218" i="154"/>
  <c r="AR287" i="154" s="1"/>
  <c r="AR210" i="154"/>
  <c r="AR243" i="154" s="1"/>
  <c r="AZ333" i="153"/>
  <c r="AZ343" i="153" s="1"/>
  <c r="AZ202" i="153"/>
  <c r="AE293" i="155"/>
  <c r="AE309" i="155" s="1"/>
  <c r="AZ562" i="155"/>
  <c r="AZ625" i="155"/>
  <c r="AZ626" i="155" s="1"/>
  <c r="AZ631" i="155"/>
  <c r="BG182" i="155"/>
  <c r="BG190" i="155" s="1"/>
  <c r="BG616" i="155"/>
  <c r="S264" i="155"/>
  <c r="S465" i="155"/>
  <c r="AB301" i="154"/>
  <c r="AF295" i="154"/>
  <c r="AF319" i="154" s="1"/>
  <c r="BI616" i="155"/>
  <c r="BI182" i="155"/>
  <c r="BI190" i="155" s="1"/>
  <c r="AM250" i="154"/>
  <c r="BG619" i="155"/>
  <c r="BG620" i="155" s="1"/>
  <c r="BG556" i="155"/>
  <c r="AA293" i="154"/>
  <c r="AA317" i="154" s="1"/>
  <c r="BE333" i="155"/>
  <c r="BE343" i="155" s="1"/>
  <c r="BE202" i="155"/>
  <c r="BK562" i="154"/>
  <c r="BK631" i="154"/>
  <c r="BK625" i="154"/>
  <c r="BK626" i="154" s="1"/>
  <c r="BI562" i="154"/>
  <c r="BI625" i="154"/>
  <c r="BI626" i="154" s="1"/>
  <c r="BI631" i="154"/>
  <c r="X266" i="155"/>
  <c r="X467" i="155"/>
  <c r="Y257" i="155"/>
  <c r="AC250" i="154"/>
  <c r="AJ292" i="155"/>
  <c r="AJ308" i="155" s="1"/>
  <c r="AD210" i="153"/>
  <c r="AD243" i="153" s="1"/>
  <c r="AD218" i="153"/>
  <c r="AD287" i="153" s="1"/>
  <c r="AK251" i="154"/>
  <c r="Y248" i="155"/>
  <c r="AH249" i="155"/>
  <c r="AF249" i="154"/>
  <c r="R249" i="153"/>
  <c r="V293" i="154"/>
  <c r="V301" i="154" s="1"/>
  <c r="S310" i="154"/>
  <c r="M559" i="154"/>
  <c r="M561" i="154" s="1"/>
  <c r="M567" i="154" s="1"/>
  <c r="AD295" i="154"/>
  <c r="AD303" i="154" s="1"/>
  <c r="R251" i="155"/>
  <c r="BD625" i="153"/>
  <c r="BD626" i="153" s="1"/>
  <c r="T310" i="154"/>
  <c r="AW631" i="155"/>
  <c r="AW625" i="155"/>
  <c r="AW626" i="155" s="1"/>
  <c r="AW562" i="155"/>
  <c r="AA249" i="154"/>
  <c r="BE202" i="154"/>
  <c r="BE333" i="154"/>
  <c r="BE343" i="154" s="1"/>
  <c r="AB309" i="154"/>
  <c r="AF251" i="154"/>
  <c r="AM294" i="154"/>
  <c r="AM310" i="154" s="1"/>
  <c r="T467" i="155"/>
  <c r="U274" i="155"/>
  <c r="U467" i="155"/>
  <c r="AD294" i="155"/>
  <c r="AD302" i="155" s="1"/>
  <c r="AC311" i="155"/>
  <c r="AY210" i="155"/>
  <c r="AY243" i="155" s="1"/>
  <c r="AY218" i="155"/>
  <c r="AY287" i="155" s="1"/>
  <c r="S271" i="154"/>
  <c r="S464" i="154"/>
  <c r="AJ294" i="155"/>
  <c r="AJ302" i="155" s="1"/>
  <c r="U271" i="155"/>
  <c r="U464" i="155"/>
  <c r="BP616" i="154"/>
  <c r="S275" i="154"/>
  <c r="S468" i="154"/>
  <c r="AC294" i="154"/>
  <c r="AC302" i="154" s="1"/>
  <c r="AM295" i="153"/>
  <c r="AM311" i="153" s="1"/>
  <c r="AS217" i="154"/>
  <c r="AS286" i="154" s="1"/>
  <c r="AS209" i="154"/>
  <c r="AS242" i="154" s="1"/>
  <c r="Y292" i="155"/>
  <c r="Y300" i="155" s="1"/>
  <c r="AH293" i="155"/>
  <c r="AH317" i="155" s="1"/>
  <c r="AF293" i="154"/>
  <c r="AF309" i="154" s="1"/>
  <c r="BO615" i="153"/>
  <c r="BO559" i="153" a="1"/>
  <c r="BO559" i="153" s="1"/>
  <c r="BO623" i="153" s="1"/>
  <c r="R293" i="153"/>
  <c r="R309" i="153" s="1"/>
  <c r="W334" i="154"/>
  <c r="W338" i="154"/>
  <c r="W344" i="154" s="1"/>
  <c r="W43" i="154" s="1"/>
  <c r="V249" i="154"/>
  <c r="AC265" i="155"/>
  <c r="AC466" i="155"/>
  <c r="BO619" i="155"/>
  <c r="BO620" i="155" s="1"/>
  <c r="BO556" i="155"/>
  <c r="L623" i="155"/>
  <c r="BL556" i="155"/>
  <c r="BL619" i="155"/>
  <c r="BL620" i="155" s="1"/>
  <c r="AD251" i="154"/>
  <c r="R295" i="155"/>
  <c r="R311" i="155" s="1"/>
  <c r="BN619" i="153"/>
  <c r="BN620" i="153" s="1"/>
  <c r="AJ295" i="155"/>
  <c r="AJ303" i="155" s="1"/>
  <c r="BT619" i="154"/>
  <c r="BT556" i="154"/>
  <c r="U294" i="154"/>
  <c r="U302" i="154" s="1"/>
  <c r="Z215" i="154"/>
  <c r="Z284" i="154" s="1"/>
  <c r="Z207" i="154"/>
  <c r="Z240" i="154" s="1"/>
  <c r="S307" i="155"/>
  <c r="AI251" i="153"/>
  <c r="Y311" i="153"/>
  <c r="AF250" i="155"/>
  <c r="BL616" i="153"/>
  <c r="U293" i="154"/>
  <c r="U317" i="154" s="1"/>
  <c r="AI328" i="154"/>
  <c r="AI197" i="154"/>
  <c r="Y273" i="155"/>
  <c r="Y466" i="155"/>
  <c r="AG197" i="154"/>
  <c r="AG328" i="154"/>
  <c r="BP619" i="154"/>
  <c r="BP620" i="154" s="1"/>
  <c r="BP556" i="154"/>
  <c r="AM251" i="153"/>
  <c r="AE210" i="154"/>
  <c r="AE243" i="154" s="1"/>
  <c r="AE218" i="154"/>
  <c r="AE287" i="154" s="1"/>
  <c r="BU559" i="153" a="1"/>
  <c r="BU559" i="153" s="1"/>
  <c r="BU623" i="153" s="1"/>
  <c r="BU615" i="153"/>
  <c r="BU616" i="153" s="1"/>
  <c r="N620" i="153"/>
  <c r="P620" i="153" s="1"/>
  <c r="P619" i="153"/>
  <c r="AO251" i="155"/>
  <c r="BF619" i="155"/>
  <c r="BF620" i="155" s="1"/>
  <c r="BF556" i="155"/>
  <c r="W205" i="154"/>
  <c r="W203" i="154"/>
  <c r="W213" i="154"/>
  <c r="R250" i="155"/>
  <c r="AX562" i="154"/>
  <c r="AX631" i="154"/>
  <c r="AX625" i="154"/>
  <c r="AX626" i="154" s="1"/>
  <c r="AC301" i="155"/>
  <c r="BA202" i="155"/>
  <c r="BA333" i="155"/>
  <c r="BA343" i="155" s="1"/>
  <c r="AB251" i="155"/>
  <c r="AD248" i="155"/>
  <c r="BL616" i="155"/>
  <c r="BE619" i="153"/>
  <c r="BE620" i="153" s="1"/>
  <c r="AJ251" i="155"/>
  <c r="BO556" i="154"/>
  <c r="BO619" i="154"/>
  <c r="BO620" i="154" s="1"/>
  <c r="AK251" i="153"/>
  <c r="AD250" i="155"/>
  <c r="AJ295" i="154"/>
  <c r="AJ303" i="154" s="1"/>
  <c r="AJ250" i="155"/>
  <c r="S317" i="154"/>
  <c r="BO616" i="154"/>
  <c r="X215" i="154"/>
  <c r="X284" i="154" s="1"/>
  <c r="X207" i="154"/>
  <c r="X240" i="154" s="1"/>
  <c r="U250" i="154"/>
  <c r="S315" i="155"/>
  <c r="AI295" i="153"/>
  <c r="AI303" i="153" s="1"/>
  <c r="Y319" i="153"/>
  <c r="AK295" i="153"/>
  <c r="AK319" i="153" s="1"/>
  <c r="AJ251" i="154"/>
  <c r="AF294" i="155"/>
  <c r="AF318" i="155" s="1"/>
  <c r="BG333" i="153"/>
  <c r="BG343" i="153" s="1"/>
  <c r="BG202" i="153"/>
  <c r="N619" i="155"/>
  <c r="P555" i="155"/>
  <c r="N556" i="155"/>
  <c r="P556" i="155" s="1"/>
  <c r="AV625" i="153"/>
  <c r="AV626" i="153" s="1"/>
  <c r="U249" i="154"/>
  <c r="AB307" i="154"/>
  <c r="R249" i="155"/>
  <c r="R316" i="154"/>
  <c r="AO295" i="155"/>
  <c r="AO319" i="155" s="1"/>
  <c r="AG210" i="155"/>
  <c r="AG243" i="155" s="1"/>
  <c r="AG218" i="155"/>
  <c r="AG287" i="155" s="1"/>
  <c r="BM619" i="153"/>
  <c r="BM620" i="153" s="1"/>
  <c r="AC338" i="154"/>
  <c r="W267" i="155"/>
  <c r="R294" i="155"/>
  <c r="R302" i="155" s="1"/>
  <c r="AN209" i="154"/>
  <c r="AN242" i="154" s="1"/>
  <c r="AN217" i="154"/>
  <c r="AN286" i="154" s="1"/>
  <c r="BO616" i="155"/>
  <c r="AC317" i="155"/>
  <c r="U317" i="155"/>
  <c r="AB295" i="155"/>
  <c r="AB311" i="155" s="1"/>
  <c r="AD292" i="155"/>
  <c r="AD308" i="155" s="1"/>
  <c r="U273" i="155"/>
  <c r="AH197" i="154"/>
  <c r="AH328" i="154"/>
  <c r="BV615" i="153"/>
  <c r="BV616" i="153" s="1"/>
  <c r="BV559" i="153" a="1"/>
  <c r="BV559" i="153" s="1"/>
  <c r="BV623" i="153" s="1"/>
  <c r="S301" i="154"/>
  <c r="BH616" i="155"/>
  <c r="BH182" i="155"/>
  <c r="BH190" i="155" s="1"/>
  <c r="AK292" i="155"/>
  <c r="AK316" i="155" s="1"/>
  <c r="S300" i="155"/>
  <c r="Y247" i="154"/>
  <c r="AX562" i="155"/>
  <c r="AX625" i="155"/>
  <c r="AX626" i="155" s="1"/>
  <c r="AX631" i="155"/>
  <c r="V311" i="155"/>
  <c r="BY619" i="154"/>
  <c r="BY620" i="154" s="1"/>
  <c r="BY556" i="154"/>
  <c r="AJ187" i="154"/>
  <c r="AY625" i="153"/>
  <c r="AY626" i="153" s="1"/>
  <c r="R293" i="155"/>
  <c r="R301" i="155" s="1"/>
  <c r="AR217" i="155"/>
  <c r="AR286" i="155" s="1"/>
  <c r="AR209" i="155"/>
  <c r="AR242" i="155" s="1"/>
  <c r="AO251" i="154"/>
  <c r="AB248" i="155"/>
  <c r="AP625" i="153"/>
  <c r="AP626" i="153" s="1"/>
  <c r="AP631" i="153"/>
  <c r="BS616" i="155"/>
  <c r="S319" i="154"/>
  <c r="BF616" i="155"/>
  <c r="BF182" i="155"/>
  <c r="BF190" i="155" s="1"/>
  <c r="V273" i="155"/>
  <c r="V466" i="155"/>
  <c r="AX202" i="154"/>
  <c r="AX333" i="154"/>
  <c r="AX343" i="154" s="1"/>
  <c r="W259" i="155"/>
  <c r="BJ625" i="155"/>
  <c r="BJ626" i="155" s="1"/>
  <c r="BJ631" i="155"/>
  <c r="BJ562" i="155"/>
  <c r="AB310" i="154"/>
  <c r="AE217" i="154"/>
  <c r="AE286" i="154" s="1"/>
  <c r="AE209" i="154"/>
  <c r="AE242" i="154" s="1"/>
  <c r="AA203" i="154"/>
  <c r="AA213" i="154"/>
  <c r="AA205" i="154"/>
  <c r="AP217" i="154"/>
  <c r="AP286" i="154" s="1"/>
  <c r="AP209" i="154"/>
  <c r="AP242" i="154" s="1"/>
  <c r="BN616" i="153"/>
  <c r="BH619" i="155"/>
  <c r="BH620" i="155" s="1"/>
  <c r="BH556" i="155"/>
  <c r="S255" i="155"/>
  <c r="AK248" i="155"/>
  <c r="S316" i="155"/>
  <c r="AZ625" i="153"/>
  <c r="AZ626" i="153" s="1"/>
  <c r="Y291" i="154"/>
  <c r="Y315" i="154" s="1"/>
  <c r="V303" i="155"/>
  <c r="BY616" i="154"/>
  <c r="AG207" i="154"/>
  <c r="AG240" i="154" s="1"/>
  <c r="AG215" i="154"/>
  <c r="AG284" i="154" s="1"/>
  <c r="BM625" i="155"/>
  <c r="BM626" i="155" s="1"/>
  <c r="BM562" i="155"/>
  <c r="BM631" i="155"/>
  <c r="AL251" i="154"/>
  <c r="T264" i="154"/>
  <c r="T465" i="154"/>
  <c r="X295" i="154"/>
  <c r="X303" i="154" s="1"/>
  <c r="BV619" i="154"/>
  <c r="BV620" i="154" s="1"/>
  <c r="BV556" i="154"/>
  <c r="AP202" i="153"/>
  <c r="AP333" i="153"/>
  <c r="AP343" i="153" s="1"/>
  <c r="AO295" i="154"/>
  <c r="AO319" i="154" s="1"/>
  <c r="AB292" i="155"/>
  <c r="AB316" i="155" s="1"/>
  <c r="W267" i="153"/>
  <c r="BR619" i="154"/>
  <c r="BR620" i="154" s="1"/>
  <c r="BR556" i="154"/>
  <c r="Z250" i="155"/>
  <c r="W275" i="155"/>
  <c r="W263" i="155"/>
  <c r="W464" i="155"/>
  <c r="AB318" i="154"/>
  <c r="AM250" i="155"/>
  <c r="BB202" i="154"/>
  <c r="BB333" i="154"/>
  <c r="BB343" i="154" s="1"/>
  <c r="U257" i="155"/>
  <c r="U466" i="155"/>
  <c r="AD215" i="154"/>
  <c r="AD284" i="154" s="1"/>
  <c r="AD207" i="154"/>
  <c r="AD240" i="154" s="1"/>
  <c r="BA631" i="154"/>
  <c r="BA625" i="154"/>
  <c r="BA626" i="154" s="1"/>
  <c r="BA562" i="154"/>
  <c r="BE616" i="153"/>
  <c r="BE182" i="153"/>
  <c r="BE190" i="153" s="1"/>
  <c r="AO295" i="153"/>
  <c r="AO319" i="153" s="1"/>
  <c r="S271" i="155"/>
  <c r="AH295" i="155"/>
  <c r="AH319" i="155" s="1"/>
  <c r="AT625" i="153"/>
  <c r="AT626" i="153" s="1"/>
  <c r="Y248" i="154"/>
  <c r="V291" i="154"/>
  <c r="V307" i="154" s="1"/>
  <c r="BQ556" i="155"/>
  <c r="BQ619" i="155"/>
  <c r="BQ620" i="155" s="1"/>
  <c r="BD616" i="155"/>
  <c r="BD182" i="155"/>
  <c r="BD190" i="155" s="1"/>
  <c r="R248" i="155"/>
  <c r="AK187" i="154"/>
  <c r="Y267" i="155"/>
  <c r="Y468" i="155"/>
  <c r="AV202" i="153"/>
  <c r="AV333" i="153"/>
  <c r="AV343" i="153" s="1"/>
  <c r="AL295" i="154"/>
  <c r="AL303" i="154" s="1"/>
  <c r="P615" i="155"/>
  <c r="N616" i="155"/>
  <c r="P616" i="155" s="1"/>
  <c r="Z251" i="155"/>
  <c r="BL625" i="154"/>
  <c r="BL626" i="154" s="1"/>
  <c r="BL562" i="154"/>
  <c r="BL631" i="154"/>
  <c r="X251" i="154"/>
  <c r="AT218" i="154"/>
  <c r="AT287" i="154" s="1"/>
  <c r="AT210" i="154"/>
  <c r="AT243" i="154" s="1"/>
  <c r="BV616" i="154"/>
  <c r="R265" i="154"/>
  <c r="W259" i="153"/>
  <c r="BN615" i="154"/>
  <c r="BN559" i="154" a="1"/>
  <c r="BN559" i="154" s="1"/>
  <c r="BN561" i="154" s="1"/>
  <c r="BN567" i="154" s="1"/>
  <c r="BN552" i="154"/>
  <c r="Y294" i="154"/>
  <c r="Y302" i="154" s="1"/>
  <c r="BS619" i="155"/>
  <c r="BS620" i="155" s="1"/>
  <c r="BS556" i="155"/>
  <c r="AD338" i="154"/>
  <c r="AJ294" i="154"/>
  <c r="AJ302" i="154" s="1"/>
  <c r="X294" i="154"/>
  <c r="X302" i="154" s="1"/>
  <c r="Z294" i="155"/>
  <c r="Z310" i="155" s="1"/>
  <c r="BM616" i="153"/>
  <c r="AM294" i="155"/>
  <c r="AM318" i="155" s="1"/>
  <c r="BD333" i="153"/>
  <c r="BD343" i="153" s="1"/>
  <c r="BD202" i="153"/>
  <c r="AE210" i="153"/>
  <c r="AE243" i="153" s="1"/>
  <c r="AE218" i="153"/>
  <c r="AE287" i="153" s="1"/>
  <c r="AS209" i="155"/>
  <c r="AS242" i="155" s="1"/>
  <c r="AS217" i="155"/>
  <c r="AS286" i="155" s="1"/>
  <c r="AS210" i="153"/>
  <c r="AS243" i="153" s="1"/>
  <c r="AS218" i="153"/>
  <c r="AS287" i="153" s="1"/>
  <c r="AA294" i="154"/>
  <c r="AA318" i="154" s="1"/>
  <c r="AV333" i="154"/>
  <c r="AV343" i="154" s="1"/>
  <c r="AV202" i="154"/>
  <c r="AO251" i="153"/>
  <c r="BT619" i="155"/>
  <c r="BT620" i="155" s="1"/>
  <c r="BT556" i="155"/>
  <c r="AC251" i="154"/>
  <c r="AT333" i="153"/>
  <c r="AT343" i="153" s="1"/>
  <c r="AT202" i="153"/>
  <c r="S263" i="155"/>
  <c r="AH251" i="155"/>
  <c r="AC295" i="154"/>
  <c r="AC303" i="154" s="1"/>
  <c r="V247" i="154"/>
  <c r="V272" i="155"/>
  <c r="V465" i="155"/>
  <c r="BB202" i="153"/>
  <c r="BB333" i="153"/>
  <c r="BB343" i="153" s="1"/>
  <c r="BD556" i="155"/>
  <c r="BD619" i="155"/>
  <c r="BD620" i="155" s="1"/>
  <c r="R292" i="155"/>
  <c r="R316" i="155" s="1"/>
  <c r="T299" i="154"/>
  <c r="AQ210" i="155"/>
  <c r="AQ243" i="155" s="1"/>
  <c r="AQ218" i="155"/>
  <c r="AQ287" i="155" s="1"/>
  <c r="Z295" i="155"/>
  <c r="Z303" i="155" s="1"/>
  <c r="X317" i="155"/>
  <c r="AQ209" i="155"/>
  <c r="AQ242" i="155" s="1"/>
  <c r="AQ217" i="155"/>
  <c r="AQ286" i="155" s="1"/>
  <c r="AH294" i="155"/>
  <c r="AH310" i="155" s="1"/>
  <c r="Y250" i="154"/>
  <c r="BR616" i="154"/>
  <c r="BY619" i="153"/>
  <c r="BY620" i="153" s="1"/>
  <c r="BX619" i="153"/>
  <c r="BX620" i="153" s="1"/>
  <c r="AX218" i="153"/>
  <c r="AX287" i="153" s="1"/>
  <c r="AX210" i="153"/>
  <c r="AX243" i="153" s="1"/>
  <c r="X250" i="154"/>
  <c r="AE207" i="154"/>
  <c r="AE240" i="154" s="1"/>
  <c r="AE215" i="154"/>
  <c r="AE284" i="154" s="1"/>
  <c r="AF250" i="154"/>
  <c r="AS210" i="155"/>
  <c r="AS243" i="155" s="1"/>
  <c r="AS218" i="155"/>
  <c r="AS287" i="155" s="1"/>
  <c r="BH562" i="154"/>
  <c r="BH625" i="154"/>
  <c r="BH626" i="154" s="1"/>
  <c r="BH631" i="154"/>
  <c r="AB266" i="154"/>
  <c r="AB467" i="154"/>
  <c r="AB319" i="153"/>
  <c r="R294" i="153"/>
  <c r="R318" i="153" s="1"/>
  <c r="AE328" i="154"/>
  <c r="AE197" i="154"/>
  <c r="AN210" i="154"/>
  <c r="AN243" i="154" s="1"/>
  <c r="AN218" i="154"/>
  <c r="AN287" i="154" s="1"/>
  <c r="AA250" i="154"/>
  <c r="T258" i="154"/>
  <c r="T467" i="154"/>
  <c r="V213" i="154"/>
  <c r="V203" i="154"/>
  <c r="V205" i="154"/>
  <c r="BX556" i="154"/>
  <c r="BX619" i="154"/>
  <c r="BX620" i="154" s="1"/>
  <c r="V275" i="155"/>
  <c r="V468" i="155"/>
  <c r="K625" i="153"/>
  <c r="K626" i="153" s="1"/>
  <c r="K631" i="153"/>
  <c r="Z293" i="155"/>
  <c r="Z301" i="155" s="1"/>
  <c r="R175" i="155"/>
  <c r="BQ616" i="155"/>
  <c r="AF251" i="153"/>
  <c r="AY333" i="153"/>
  <c r="AY343" i="153" s="1"/>
  <c r="AY202" i="153"/>
  <c r="Z248" i="155"/>
  <c r="AH250" i="155"/>
  <c r="BX616" i="155"/>
  <c r="R273" i="154"/>
  <c r="R466" i="154"/>
  <c r="W468" i="153"/>
  <c r="BY623" i="153"/>
  <c r="BV556" i="155"/>
  <c r="BV619" i="155"/>
  <c r="BV620" i="155" s="1"/>
  <c r="AF294" i="154"/>
  <c r="AF318" i="154" s="1"/>
  <c r="Z291" i="154"/>
  <c r="Z299" i="154" s="1"/>
  <c r="AB303" i="153"/>
  <c r="R250" i="153"/>
  <c r="AY562" i="154"/>
  <c r="AY625" i="154"/>
  <c r="AY626" i="154" s="1"/>
  <c r="AY631" i="154"/>
  <c r="AL295" i="155"/>
  <c r="AL319" i="155" s="1"/>
  <c r="AI248" i="155"/>
  <c r="T307" i="155"/>
  <c r="AI250" i="155"/>
  <c r="Z249" i="155"/>
  <c r="BW619" i="155"/>
  <c r="BW620" i="155" s="1"/>
  <c r="BW556" i="155"/>
  <c r="AF295" i="153"/>
  <c r="AF303" i="153" s="1"/>
  <c r="Z292" i="155"/>
  <c r="Z316" i="155" s="1"/>
  <c r="AW333" i="154"/>
  <c r="AW343" i="154" s="1"/>
  <c r="AW202" i="154"/>
  <c r="AG207" i="155"/>
  <c r="AG240" i="155" s="1"/>
  <c r="AG215" i="155"/>
  <c r="AG284" i="155" s="1"/>
  <c r="AR218" i="155"/>
  <c r="AR287" i="155" s="1"/>
  <c r="AR210" i="155"/>
  <c r="AR243" i="155" s="1"/>
  <c r="BK625" i="153"/>
  <c r="BK626" i="153" s="1"/>
  <c r="BR619" i="153"/>
  <c r="BR620" i="153" s="1"/>
  <c r="BX556" i="155"/>
  <c r="BX619" i="155"/>
  <c r="BX620" i="155" s="1"/>
  <c r="Y255" i="155"/>
  <c r="Y464" i="155"/>
  <c r="Y307" i="155"/>
  <c r="AG208" i="155"/>
  <c r="AG241" i="155" s="1"/>
  <c r="AG216" i="155"/>
  <c r="AG285" i="155" s="1"/>
  <c r="AH216" i="154"/>
  <c r="AH285" i="154" s="1"/>
  <c r="AH208" i="154"/>
  <c r="AH241" i="154" s="1"/>
  <c r="X275" i="155"/>
  <c r="X468" i="155"/>
  <c r="BJ625" i="154"/>
  <c r="BJ626" i="154" s="1"/>
  <c r="BJ562" i="154"/>
  <c r="BJ631" i="154"/>
  <c r="AH210" i="154"/>
  <c r="AH243" i="154" s="1"/>
  <c r="AH218" i="154"/>
  <c r="AH287" i="154" s="1"/>
  <c r="Z247" i="154"/>
  <c r="L623" i="154"/>
  <c r="AL251" i="155"/>
  <c r="BB631" i="154"/>
  <c r="BB625" i="154"/>
  <c r="BB626" i="154" s="1"/>
  <c r="BB562" i="154"/>
  <c r="T299" i="155"/>
  <c r="P615" i="154"/>
  <c r="N616" i="154"/>
  <c r="P616" i="154" s="1"/>
  <c r="AA529" i="99"/>
  <c r="AA593" i="99" s="1"/>
  <c r="AA594" i="99" s="1"/>
  <c r="BT616" i="155"/>
  <c r="R315" i="154"/>
  <c r="AB249" i="155"/>
  <c r="S317" i="155"/>
  <c r="V292" i="154"/>
  <c r="V300" i="154" s="1"/>
  <c r="V334" i="154"/>
  <c r="V338" i="154"/>
  <c r="V344" i="154" s="1"/>
  <c r="V43" i="154" s="1"/>
  <c r="BN619" i="155"/>
  <c r="BN620" i="155" s="1"/>
  <c r="BN556" i="155"/>
  <c r="BX616" i="154"/>
  <c r="BC625" i="154"/>
  <c r="BC626" i="154" s="1"/>
  <c r="BC631" i="154"/>
  <c r="BC562" i="154"/>
  <c r="BH619" i="153"/>
  <c r="BH620" i="153" s="1"/>
  <c r="AO294" i="155"/>
  <c r="AO318" i="155" s="1"/>
  <c r="R247" i="155"/>
  <c r="BA202" i="153"/>
  <c r="BA333" i="153"/>
  <c r="BA343" i="153" s="1"/>
  <c r="Z250" i="154"/>
  <c r="AG209" i="155"/>
  <c r="AG242" i="155" s="1"/>
  <c r="AG217" i="155"/>
  <c r="AG286" i="155" s="1"/>
  <c r="AE295" i="155"/>
  <c r="AE303" i="155" s="1"/>
  <c r="BV616" i="155"/>
  <c r="AC251" i="153"/>
  <c r="BE562" i="154"/>
  <c r="BE625" i="154"/>
  <c r="BE626" i="154" s="1"/>
  <c r="BE631" i="154"/>
  <c r="AC267" i="155"/>
  <c r="AC468" i="155"/>
  <c r="R291" i="155"/>
  <c r="R307" i="155" s="1"/>
  <c r="Z294" i="154"/>
  <c r="Z318" i="154" s="1"/>
  <c r="AK295" i="155"/>
  <c r="AK319" i="155" s="1"/>
  <c r="AE251" i="155"/>
  <c r="AA318" i="155"/>
  <c r="U267" i="153"/>
  <c r="AA274" i="155"/>
  <c r="AA467" i="155"/>
  <c r="Y274" i="155"/>
  <c r="AA259" i="155"/>
  <c r="R319" i="154"/>
  <c r="V259" i="153"/>
  <c r="V468" i="153"/>
  <c r="AF295" i="155"/>
  <c r="AF311" i="155" s="1"/>
  <c r="AC295" i="153"/>
  <c r="AC303" i="153" s="1"/>
  <c r="AC292" i="155"/>
  <c r="AC300" i="155" s="1"/>
  <c r="AG210" i="153"/>
  <c r="AG243" i="153" s="1"/>
  <c r="AG218" i="153"/>
  <c r="AG287" i="153" s="1"/>
  <c r="AB293" i="155"/>
  <c r="AB309" i="155" s="1"/>
  <c r="AI294" i="155"/>
  <c r="AI318" i="155" s="1"/>
  <c r="AG209" i="154"/>
  <c r="AG242" i="154" s="1"/>
  <c r="AG217" i="154"/>
  <c r="AG286" i="154" s="1"/>
  <c r="BQ615" i="154"/>
  <c r="R174" i="154" s="1"/>
  <c r="BQ559" i="154" a="1"/>
  <c r="BQ559" i="154" s="1"/>
  <c r="BQ623" i="154" s="1"/>
  <c r="BQ552" i="154"/>
  <c r="V248" i="154"/>
  <c r="BN616" i="155"/>
  <c r="W247" i="154"/>
  <c r="BH616" i="153"/>
  <c r="BH182" i="153"/>
  <c r="BH190" i="153" s="1"/>
  <c r="BW616" i="155"/>
  <c r="AO250" i="155"/>
  <c r="AA581" i="99"/>
  <c r="AA582" i="99" s="1"/>
  <c r="T303" i="154"/>
  <c r="AI330" i="154"/>
  <c r="AI340" i="154" s="1"/>
  <c r="AI199" i="154"/>
  <c r="T267" i="154"/>
  <c r="T468" i="154"/>
  <c r="V307" i="155"/>
  <c r="BN623" i="155"/>
  <c r="W291" i="154"/>
  <c r="W307" i="154" s="1"/>
  <c r="AI217" i="154"/>
  <c r="AI286" i="154" s="1"/>
  <c r="AI209" i="154"/>
  <c r="AI242" i="154" s="1"/>
  <c r="AV218" i="155"/>
  <c r="AV287" i="155" s="1"/>
  <c r="AV210" i="155"/>
  <c r="AV243" i="155" s="1"/>
  <c r="AF293" i="155"/>
  <c r="AF317" i="155" s="1"/>
  <c r="BB625" i="153"/>
  <c r="BB626" i="153" s="1"/>
  <c r="BB631" i="153"/>
  <c r="S308" i="154"/>
  <c r="S264" i="154"/>
  <c r="S465" i="154"/>
  <c r="BR616" i="153"/>
  <c r="Y213" i="154"/>
  <c r="Y205" i="154"/>
  <c r="Y203" i="154"/>
  <c r="R309" i="154"/>
  <c r="BP616" i="155"/>
  <c r="AK251" i="155"/>
  <c r="R205" i="155"/>
  <c r="R213" i="155"/>
  <c r="R203" i="155"/>
  <c r="AQ202" i="154"/>
  <c r="AQ333" i="154"/>
  <c r="AQ343" i="154" s="1"/>
  <c r="AA310" i="155"/>
  <c r="X295" i="153"/>
  <c r="X303" i="153" s="1"/>
  <c r="W258" i="155"/>
  <c r="W467" i="155"/>
  <c r="R311" i="154"/>
  <c r="AF251" i="155"/>
  <c r="W248" i="155"/>
  <c r="AC248" i="155"/>
  <c r="BW619" i="154"/>
  <c r="BW620" i="154" s="1"/>
  <c r="BW556" i="154"/>
  <c r="W295" i="154"/>
  <c r="W319" i="154" s="1"/>
  <c r="R255" i="154"/>
  <c r="BK631" i="155"/>
  <c r="BK562" i="155"/>
  <c r="BK625" i="155"/>
  <c r="BK626" i="155" s="1"/>
  <c r="U264" i="155"/>
  <c r="U465" i="155"/>
  <c r="AF249" i="155"/>
  <c r="AD251" i="155"/>
  <c r="BG562" i="154"/>
  <c r="BG625" i="154"/>
  <c r="BG626" i="154" s="1"/>
  <c r="BG631" i="154"/>
  <c r="AA257" i="155"/>
  <c r="AA295" i="153"/>
  <c r="AA303" i="153" s="1"/>
  <c r="U315" i="155"/>
  <c r="AM251" i="154"/>
  <c r="AT217" i="154"/>
  <c r="AT286" i="154" s="1"/>
  <c r="AT209" i="154"/>
  <c r="AT242" i="154" s="1"/>
  <c r="BP556" i="155"/>
  <c r="BP619" i="155"/>
  <c r="BP620" i="155" s="1"/>
  <c r="AZ333" i="154"/>
  <c r="AZ343" i="154" s="1"/>
  <c r="AZ202" i="154"/>
  <c r="AD249" i="154"/>
  <c r="R334" i="155"/>
  <c r="R338" i="155"/>
  <c r="R344" i="155" s="1"/>
  <c r="R43" i="155" s="1"/>
  <c r="AW625" i="153"/>
  <c r="AW626" i="153" s="1"/>
  <c r="U259" i="153"/>
  <c r="U468" i="153"/>
  <c r="AS218" i="154"/>
  <c r="AS287" i="154" s="1"/>
  <c r="AS210" i="154"/>
  <c r="AS243" i="154" s="1"/>
  <c r="X251" i="153"/>
  <c r="Y258" i="155"/>
  <c r="Y467" i="155"/>
  <c r="AA267" i="155"/>
  <c r="AA468" i="155"/>
  <c r="R251" i="153"/>
  <c r="BA562" i="155"/>
  <c r="BA625" i="155"/>
  <c r="BA626" i="155" s="1"/>
  <c r="BA631" i="155"/>
  <c r="AV562" i="154"/>
  <c r="AV625" i="154"/>
  <c r="AV626" i="154" s="1"/>
  <c r="AV631" i="154"/>
  <c r="W292" i="155"/>
  <c r="W308" i="155" s="1"/>
  <c r="AD294" i="154"/>
  <c r="AD318" i="154" s="1"/>
  <c r="S273" i="154"/>
  <c r="S466" i="154"/>
  <c r="T255" i="155"/>
  <c r="AB257" i="154"/>
  <c r="AB466" i="154"/>
  <c r="BR616" i="155"/>
  <c r="W251" i="154"/>
  <c r="R263" i="154"/>
  <c r="BW616" i="154"/>
  <c r="V255" i="155"/>
  <c r="V464" i="155"/>
  <c r="BS615" i="153"/>
  <c r="BS616" i="153" s="1"/>
  <c r="BS559" i="153" a="1"/>
  <c r="BS559" i="153" s="1"/>
  <c r="BS623" i="153" s="1"/>
  <c r="W273" i="155"/>
  <c r="W466" i="155"/>
  <c r="AG208" i="154"/>
  <c r="AG241" i="154" s="1"/>
  <c r="AG216" i="154"/>
  <c r="AG285" i="154" s="1"/>
  <c r="W301" i="155"/>
  <c r="Z267" i="153"/>
  <c r="AW625" i="154"/>
  <c r="AW626" i="154" s="1"/>
  <c r="AW631" i="154"/>
  <c r="AW562" i="154"/>
  <c r="AD295" i="155"/>
  <c r="AD303" i="155" s="1"/>
  <c r="X257" i="155"/>
  <c r="AO294" i="154"/>
  <c r="AO310" i="154" s="1"/>
  <c r="AA251" i="153"/>
  <c r="U307" i="155"/>
  <c r="AU218" i="154"/>
  <c r="AU287" i="154" s="1"/>
  <c r="AU210" i="154"/>
  <c r="AU243" i="154" s="1"/>
  <c r="AM295" i="154"/>
  <c r="AM303" i="154" s="1"/>
  <c r="T259" i="155"/>
  <c r="AN210" i="153"/>
  <c r="AN243" i="153" s="1"/>
  <c r="AN218" i="153"/>
  <c r="AN287" i="153" s="1"/>
  <c r="X271" i="155"/>
  <c r="X464" i="155"/>
  <c r="AD293" i="154"/>
  <c r="AD317" i="154" s="1"/>
  <c r="AR218" i="153"/>
  <c r="AR287" i="153" s="1"/>
  <c r="AR210" i="153"/>
  <c r="AR243" i="153" s="1"/>
  <c r="AC302" i="155"/>
  <c r="AK294" i="155"/>
  <c r="AK318" i="155" s="1"/>
  <c r="AA248" i="155"/>
  <c r="AC266" i="155"/>
  <c r="T301" i="155"/>
  <c r="R275" i="154"/>
  <c r="R295" i="153"/>
  <c r="R319" i="153" s="1"/>
  <c r="T271" i="154"/>
  <c r="T464" i="154"/>
  <c r="AB267" i="153"/>
  <c r="AB468" i="153"/>
  <c r="AH217" i="154"/>
  <c r="AH286" i="154" s="1"/>
  <c r="AH209" i="154"/>
  <c r="AH242" i="154" s="1"/>
  <c r="AN251" i="155"/>
  <c r="AD250" i="154"/>
  <c r="BF619" i="153"/>
  <c r="BF620" i="153" s="1"/>
  <c r="BJ625" i="153"/>
  <c r="BJ626" i="153" s="1"/>
  <c r="AA207" i="154"/>
  <c r="AA240" i="154" s="1"/>
  <c r="AA215" i="154"/>
  <c r="AA284" i="154" s="1"/>
  <c r="S295" i="153"/>
  <c r="S311" i="153" s="1"/>
  <c r="AD293" i="155"/>
  <c r="AD301" i="155" s="1"/>
  <c r="W317" i="155"/>
  <c r="Z275" i="153"/>
  <c r="U292" i="154"/>
  <c r="U316" i="154" s="1"/>
  <c r="AA265" i="155"/>
  <c r="AA466" i="155"/>
  <c r="AO250" i="154"/>
  <c r="U247" i="154"/>
  <c r="S319" i="155"/>
  <c r="AW333" i="153"/>
  <c r="AW343" i="153" s="1"/>
  <c r="AW202" i="153"/>
  <c r="AA247" i="154"/>
  <c r="AA299" i="155"/>
  <c r="V251" i="154"/>
  <c r="AC318" i="155"/>
  <c r="AK250" i="155"/>
  <c r="AA303" i="155"/>
  <c r="AA292" i="155"/>
  <c r="AA308" i="155" s="1"/>
  <c r="AC274" i="155"/>
  <c r="T317" i="155"/>
  <c r="AH292" i="155"/>
  <c r="AH308" i="155" s="1"/>
  <c r="AB311" i="154"/>
  <c r="R267" i="154"/>
  <c r="T259" i="153"/>
  <c r="BW619" i="153"/>
  <c r="BW620" i="153" s="1"/>
  <c r="R258" i="154"/>
  <c r="R467" i="154"/>
  <c r="AH218" i="153"/>
  <c r="AH287" i="153" s="1"/>
  <c r="AH210" i="153"/>
  <c r="AH243" i="153" s="1"/>
  <c r="K562" i="154"/>
  <c r="K631" i="154"/>
  <c r="K625" i="154"/>
  <c r="K626" i="154" s="1"/>
  <c r="AN295" i="155"/>
  <c r="AN319" i="155" s="1"/>
  <c r="S266" i="155"/>
  <c r="S467" i="155"/>
  <c r="D82" i="294"/>
  <c r="AB579" i="99"/>
  <c r="AD549" i="99"/>
  <c r="AD613" i="99" s="1"/>
  <c r="AC576" i="99"/>
  <c r="AD612" i="99"/>
  <c r="V631" i="99"/>
  <c r="V562" i="99"/>
  <c r="V625" i="99"/>
  <c r="V626" i="99" s="1"/>
  <c r="AD229" i="99"/>
  <c r="AD234" i="99"/>
  <c r="AG3" i="69"/>
  <c r="AG4" i="69" s="1"/>
  <c r="AF2" i="69" a="1"/>
  <c r="AF2" i="69" s="1"/>
  <c r="AF10" i="69"/>
  <c r="AF13" i="69"/>
  <c r="AF8" i="69"/>
  <c r="AF7" i="69"/>
  <c r="AF12" i="69"/>
  <c r="AF16" i="69"/>
  <c r="AF14" i="69"/>
  <c r="AF9" i="69"/>
  <c r="AF15" i="69"/>
  <c r="AF11" i="69"/>
  <c r="AD602" i="99"/>
  <c r="AD542" i="99"/>
  <c r="AD606" i="99" s="1"/>
  <c r="Y559" i="99" a="1"/>
  <c r="Y559" i="99" s="1"/>
  <c r="Y623" i="99" s="1"/>
  <c r="Y552" i="99"/>
  <c r="Y615" i="99"/>
  <c r="AD228" i="99"/>
  <c r="AC588" i="99"/>
  <c r="AC526" i="99"/>
  <c r="W562" i="99"/>
  <c r="W631" i="99"/>
  <c r="W625" i="99"/>
  <c r="W626" i="99" s="1"/>
  <c r="AD230" i="99"/>
  <c r="AB581" i="99"/>
  <c r="AB518" i="99"/>
  <c r="AD233" i="99"/>
  <c r="AD585" i="99"/>
  <c r="AD524" i="99"/>
  <c r="AC579" i="99"/>
  <c r="AC517" i="99"/>
  <c r="AE547" i="99"/>
  <c r="AE611" i="99" s="1"/>
  <c r="AE538" i="99"/>
  <c r="AE548" i="99"/>
  <c r="AE612" i="99" s="1"/>
  <c r="AE539" i="99"/>
  <c r="AE603" i="99" s="1"/>
  <c r="AE534" i="99"/>
  <c r="AE598" i="99" s="1"/>
  <c r="AE540" i="99"/>
  <c r="AE604" i="99" s="1"/>
  <c r="AE541" i="99"/>
  <c r="AE605" i="99" s="1"/>
  <c r="AE523" i="99"/>
  <c r="AE587" i="99" s="1"/>
  <c r="AE507" i="99"/>
  <c r="AE521" i="99"/>
  <c r="AE509" i="99"/>
  <c r="AE573" i="99" s="1"/>
  <c r="AE522" i="99"/>
  <c r="AE586" i="99" s="1"/>
  <c r="AE525" i="99"/>
  <c r="AE589" i="99" s="1"/>
  <c r="AE514" i="99"/>
  <c r="AE578" i="99" s="1"/>
  <c r="AE516" i="99"/>
  <c r="AE580" i="99" s="1"/>
  <c r="AE513" i="99"/>
  <c r="AE577" i="99" s="1"/>
  <c r="AE558" i="99"/>
  <c r="AE622" i="99" s="1"/>
  <c r="AE533" i="99"/>
  <c r="AE597" i="99" s="1"/>
  <c r="AG3" i="99"/>
  <c r="AG4" i="99" s="1"/>
  <c r="AF2" i="99" a="1"/>
  <c r="AF2" i="99" s="1"/>
  <c r="AF554" i="99" s="1"/>
  <c r="AF474" i="99"/>
  <c r="AF475" i="99"/>
  <c r="AF476" i="99"/>
  <c r="AF499" i="99"/>
  <c r="AF483" i="99" s="1"/>
  <c r="AF491" i="99" s="1"/>
  <c r="AF498" i="99"/>
  <c r="AF482" i="99" s="1"/>
  <c r="AF490" i="99" s="1"/>
  <c r="AF500" i="99"/>
  <c r="AF484" i="99" s="1"/>
  <c r="AF492" i="99" s="1"/>
  <c r="AF477" i="99"/>
  <c r="AF478" i="99"/>
  <c r="AF501" i="99"/>
  <c r="AF485" i="99" s="1"/>
  <c r="AF493" i="99" s="1"/>
  <c r="AF479" i="99"/>
  <c r="AF502" i="99"/>
  <c r="AF486" i="99" s="1"/>
  <c r="AF494" i="99" s="1"/>
  <c r="AF503" i="99"/>
  <c r="AF487" i="99" s="1"/>
  <c r="AF495" i="99" s="1"/>
  <c r="AD232" i="99"/>
  <c r="AA591" i="99"/>
  <c r="AA224" i="99"/>
  <c r="AB590" i="99"/>
  <c r="AJ527" i="99"/>
  <c r="AB529" i="99"/>
  <c r="Z551" i="99"/>
  <c r="Z555" i="99" s="1"/>
  <c r="Z608" i="99"/>
  <c r="AD512" i="99"/>
  <c r="X619" i="99"/>
  <c r="X620" i="99" s="1"/>
  <c r="X556" i="99"/>
  <c r="X616" i="99"/>
  <c r="AD535" i="99"/>
  <c r="AD599" i="99" s="1"/>
  <c r="AH5" i="72"/>
  <c r="AH6" i="72" s="1"/>
  <c r="AG36" i="72"/>
  <c r="AG38" i="72" s="1"/>
  <c r="AG39" i="72" s="1"/>
  <c r="AG37" i="72"/>
  <c r="AG47" i="72"/>
  <c r="AG48" i="72"/>
  <c r="AW8" i="98"/>
  <c r="AD618" i="99"/>
  <c r="AG6" i="98"/>
  <c r="AF70" i="103"/>
  <c r="AK70" i="105" s="1"/>
  <c r="AF35" i="151" s="1"/>
  <c r="AD129" i="99"/>
  <c r="BY562" i="153" l="1"/>
  <c r="AH4" i="72" a="1"/>
  <c r="AH4" i="72" s="1"/>
  <c r="I17" i="151"/>
  <c r="W5" i="151"/>
  <c r="U108" i="154"/>
  <c r="U45" i="154"/>
  <c r="U110" i="154" s="1"/>
  <c r="Z108" i="154"/>
  <c r="Z45" i="154"/>
  <c r="Z110" i="154" s="1"/>
  <c r="W108" i="154"/>
  <c r="W45" i="154"/>
  <c r="W110" i="154" s="1"/>
  <c r="V108" i="154"/>
  <c r="V45" i="154"/>
  <c r="V110" i="154" s="1"/>
  <c r="R45" i="155"/>
  <c r="R108" i="155"/>
  <c r="BE567" i="153"/>
  <c r="BE631" i="153" s="1"/>
  <c r="BE562" i="153"/>
  <c r="BM567" i="153"/>
  <c r="BM631" i="153" s="1"/>
  <c r="BM562" i="153"/>
  <c r="BR567" i="153"/>
  <c r="BR631" i="153" s="1"/>
  <c r="BR562" i="153"/>
  <c r="BN567" i="153"/>
  <c r="BN631" i="153" s="1"/>
  <c r="BN562" i="153"/>
  <c r="BT567" i="153"/>
  <c r="BT631" i="153" s="1"/>
  <c r="BT562" i="153"/>
  <c r="BW567" i="153"/>
  <c r="BW631" i="153" s="1"/>
  <c r="BW562" i="153"/>
  <c r="BC567" i="153"/>
  <c r="BC631" i="153" s="1"/>
  <c r="BC562" i="153"/>
  <c r="BL567" i="153"/>
  <c r="BL631" i="153" s="1"/>
  <c r="BL562" i="153"/>
  <c r="BI567" i="153"/>
  <c r="BI631" i="153" s="1"/>
  <c r="BI562" i="153"/>
  <c r="BX567" i="153"/>
  <c r="BX631" i="153" s="1"/>
  <c r="BX562" i="153"/>
  <c r="BH567" i="153"/>
  <c r="BH631" i="153" s="1"/>
  <c r="BH562" i="153"/>
  <c r="BF567" i="153"/>
  <c r="BF631" i="153" s="1"/>
  <c r="BF562" i="153"/>
  <c r="I16" i="151"/>
  <c r="I56" i="294"/>
  <c r="J56" i="294" s="1"/>
  <c r="AI122" i="105"/>
  <c r="AH122" i="105"/>
  <c r="AK213" i="154"/>
  <c r="AK282" i="154" s="1"/>
  <c r="AJ328" i="154"/>
  <c r="AJ338" i="154" s="1"/>
  <c r="AK328" i="154"/>
  <c r="AK338" i="154" s="1"/>
  <c r="AJ205" i="154"/>
  <c r="AJ238" i="154" s="1"/>
  <c r="AL197" i="154"/>
  <c r="AL205" i="154" s="1"/>
  <c r="AL238" i="154" s="1"/>
  <c r="AN328" i="154"/>
  <c r="AN338" i="154" s="1"/>
  <c r="AX177" i="154"/>
  <c r="AX185" i="154" s="1"/>
  <c r="AX197" i="154" s="1"/>
  <c r="AV177" i="154"/>
  <c r="AV185" i="154" s="1"/>
  <c r="AV197" i="154" s="1"/>
  <c r="AZ177" i="154"/>
  <c r="AZ185" i="154" s="1"/>
  <c r="AZ328" i="154" s="1"/>
  <c r="AY177" i="154"/>
  <c r="AY185" i="154" s="1"/>
  <c r="AY328" i="154" s="1"/>
  <c r="V170" i="154"/>
  <c r="BE177" i="154" s="1"/>
  <c r="BE185" i="154" s="1"/>
  <c r="BE328" i="154" s="1"/>
  <c r="AW177" i="154"/>
  <c r="AW185" i="154" s="1"/>
  <c r="AW197" i="154" s="1"/>
  <c r="AM197" i="154"/>
  <c r="AM213" i="154" s="1"/>
  <c r="AM282" i="154" s="1"/>
  <c r="Y338" i="154"/>
  <c r="Y344" i="154" s="1"/>
  <c r="Y43" i="154" s="1"/>
  <c r="T417" i="153"/>
  <c r="T456" i="153" s="1" a="1"/>
  <c r="T456" i="153" s="1"/>
  <c r="W416" i="155"/>
  <c r="W455" i="155" s="1" a="1"/>
  <c r="W455" i="155" s="1"/>
  <c r="S416" i="155"/>
  <c r="S455" i="155" s="1" a="1"/>
  <c r="S455" i="155" s="1"/>
  <c r="Y417" i="155"/>
  <c r="Y456" i="155" s="1" a="1"/>
  <c r="Y456" i="155" s="1"/>
  <c r="S416" i="154"/>
  <c r="S455" i="154" s="1" a="1"/>
  <c r="S455" i="154" s="1"/>
  <c r="U416" i="155"/>
  <c r="U455" i="155" s="1" a="1"/>
  <c r="U455" i="155" s="1"/>
  <c r="U417" i="153"/>
  <c r="U456" i="153" s="1" a="1"/>
  <c r="U456" i="153" s="1"/>
  <c r="V417" i="153"/>
  <c r="V456" i="153" s="1" a="1"/>
  <c r="V456" i="153" s="1"/>
  <c r="AA417" i="155"/>
  <c r="AA456" i="155" s="1" a="1"/>
  <c r="AA456" i="155" s="1"/>
  <c r="T413" i="154"/>
  <c r="T452" i="154" s="1" a="1"/>
  <c r="T452" i="154" s="1"/>
  <c r="X416" i="155"/>
  <c r="X455" i="155" s="1" a="1"/>
  <c r="X455" i="155" s="1"/>
  <c r="R416" i="154"/>
  <c r="R455" i="154" s="1" a="1"/>
  <c r="R455" i="154" s="1"/>
  <c r="S414" i="155"/>
  <c r="S453" i="155" s="1" a="1"/>
  <c r="S453" i="155" s="1"/>
  <c r="AA415" i="155"/>
  <c r="AA454" i="155" s="1" a="1"/>
  <c r="AA454" i="155" s="1"/>
  <c r="AC415" i="155"/>
  <c r="AC454" i="155" s="1" a="1"/>
  <c r="AC454" i="155" s="1"/>
  <c r="U417" i="155"/>
  <c r="U456" i="155" s="1" a="1"/>
  <c r="U456" i="155" s="1"/>
  <c r="R414" i="154"/>
  <c r="R453" i="154" s="1" a="1"/>
  <c r="R453" i="154" s="1"/>
  <c r="V416" i="155"/>
  <c r="V455" i="155" s="1" a="1"/>
  <c r="V455" i="155" s="1"/>
  <c r="Y413" i="155"/>
  <c r="Y452" i="155" s="1" a="1"/>
  <c r="Y452" i="155" s="1"/>
  <c r="AC416" i="155"/>
  <c r="AC455" i="155" s="1" a="1"/>
  <c r="AC455" i="155" s="1"/>
  <c r="AB417" i="153"/>
  <c r="AB456" i="153" s="1" a="1"/>
  <c r="AB456" i="153" s="1"/>
  <c r="S413" i="154"/>
  <c r="S452" i="154" s="1" a="1"/>
  <c r="S452" i="154" s="1"/>
  <c r="T417" i="155"/>
  <c r="T456" i="155" s="1" a="1"/>
  <c r="T456" i="155" s="1"/>
  <c r="V413" i="155"/>
  <c r="V452" i="155" s="1" a="1"/>
  <c r="V452" i="155" s="1"/>
  <c r="T416" i="154"/>
  <c r="T455" i="154" s="1" a="1"/>
  <c r="T455" i="154" s="1"/>
  <c r="Y415" i="155"/>
  <c r="Y454" i="155" s="1" a="1"/>
  <c r="Y454" i="155" s="1"/>
  <c r="T415" i="155"/>
  <c r="T454" i="155" s="1" a="1"/>
  <c r="T454" i="155" s="1"/>
  <c r="U414" i="155"/>
  <c r="U453" i="155" s="1" a="1"/>
  <c r="U453" i="155" s="1"/>
  <c r="T416" i="155"/>
  <c r="T455" i="155" s="1" a="1"/>
  <c r="T455" i="155" s="1"/>
  <c r="V414" i="155"/>
  <c r="V453" i="155" s="1" a="1"/>
  <c r="V453" i="155" s="1"/>
  <c r="S417" i="155"/>
  <c r="S456" i="155" s="1" a="1"/>
  <c r="S456" i="155" s="1"/>
  <c r="X417" i="155"/>
  <c r="X456" i="155" s="1" a="1"/>
  <c r="X456" i="155" s="1"/>
  <c r="AA416" i="155"/>
  <c r="AA455" i="155" s="1" a="1"/>
  <c r="AA455" i="155" s="1"/>
  <c r="AC417" i="155"/>
  <c r="AC456" i="155" s="1" a="1"/>
  <c r="AC456" i="155" s="1"/>
  <c r="R413" i="154"/>
  <c r="R452" i="154" s="1" a="1"/>
  <c r="R452" i="154" s="1"/>
  <c r="U415" i="155"/>
  <c r="U454" i="155" s="1" a="1"/>
  <c r="U454" i="155" s="1"/>
  <c r="V415" i="155"/>
  <c r="V454" i="155" s="1" a="1"/>
  <c r="V454" i="155" s="1"/>
  <c r="AB413" i="154"/>
  <c r="AB452" i="154" s="1" a="1"/>
  <c r="AB452" i="154" s="1"/>
  <c r="Y417" i="153"/>
  <c r="Y456" i="153" s="1" a="1"/>
  <c r="Y456" i="153" s="1"/>
  <c r="T415" i="154"/>
  <c r="T454" i="154" s="1" a="1"/>
  <c r="T454" i="154" s="1"/>
  <c r="V417" i="155"/>
  <c r="V456" i="155" s="1" a="1"/>
  <c r="V456" i="155" s="1"/>
  <c r="AB417" i="154"/>
  <c r="AB456" i="154" s="1" a="1"/>
  <c r="AB456" i="154" s="1"/>
  <c r="S414" i="154"/>
  <c r="S453" i="154" s="1" a="1"/>
  <c r="S453" i="154" s="1"/>
  <c r="W417" i="153"/>
  <c r="W456" i="153" s="1" a="1"/>
  <c r="W456" i="153" s="1"/>
  <c r="X413" i="155"/>
  <c r="X452" i="155" s="1" a="1"/>
  <c r="X452" i="155" s="1"/>
  <c r="X415" i="155"/>
  <c r="X454" i="155" s="1" a="1"/>
  <c r="X454" i="155" s="1"/>
  <c r="W415" i="155"/>
  <c r="W454" i="155" s="1" a="1"/>
  <c r="W454" i="155" s="1"/>
  <c r="S417" i="154"/>
  <c r="S456" i="154" s="1" a="1"/>
  <c r="S456" i="154" s="1"/>
  <c r="R415" i="154"/>
  <c r="R454" i="154" s="1" a="1"/>
  <c r="R454" i="154" s="1"/>
  <c r="S415" i="154"/>
  <c r="S454" i="154" s="1" a="1"/>
  <c r="S454" i="154" s="1"/>
  <c r="Y416" i="155"/>
  <c r="Y455" i="155" s="1" a="1"/>
  <c r="Y455" i="155" s="1"/>
  <c r="S413" i="155"/>
  <c r="S452" i="155" s="1" a="1"/>
  <c r="S452" i="155" s="1"/>
  <c r="W417" i="155"/>
  <c r="W456" i="155" s="1" a="1"/>
  <c r="W456" i="155" s="1"/>
  <c r="U413" i="155"/>
  <c r="U452" i="155" s="1" a="1"/>
  <c r="U452" i="155" s="1"/>
  <c r="T417" i="154"/>
  <c r="T456" i="154" s="1" a="1"/>
  <c r="T456" i="154" s="1"/>
  <c r="AB415" i="154"/>
  <c r="AB454" i="154" s="1" a="1"/>
  <c r="AB454" i="154" s="1"/>
  <c r="S415" i="155"/>
  <c r="S454" i="155" s="1" a="1"/>
  <c r="S454" i="155" s="1"/>
  <c r="W413" i="155"/>
  <c r="W452" i="155" s="1" a="1"/>
  <c r="W452" i="155" s="1"/>
  <c r="T413" i="155"/>
  <c r="T452" i="155" s="1" a="1"/>
  <c r="T452" i="155" s="1"/>
  <c r="AA413" i="155"/>
  <c r="AA452" i="155" s="1" a="1"/>
  <c r="AA452" i="155" s="1"/>
  <c r="Z417" i="153"/>
  <c r="Z456" i="153" s="1" a="1"/>
  <c r="Z456" i="153" s="1"/>
  <c r="R417" i="154"/>
  <c r="R456" i="154" s="1" a="1"/>
  <c r="R456" i="154" s="1"/>
  <c r="T414" i="155"/>
  <c r="T453" i="155" s="1" a="1"/>
  <c r="T453" i="155" s="1"/>
  <c r="AB416" i="154"/>
  <c r="AB455" i="154" s="1" a="1"/>
  <c r="AB455" i="154" s="1"/>
  <c r="T414" i="154"/>
  <c r="T453" i="154" s="1" a="1"/>
  <c r="T453" i="154" s="1"/>
  <c r="AA272" i="155"/>
  <c r="AC256" i="155"/>
  <c r="Y274" i="154"/>
  <c r="AH275" i="155"/>
  <c r="Z273" i="154"/>
  <c r="AB255" i="155"/>
  <c r="U272" i="154"/>
  <c r="AK274" i="155"/>
  <c r="AB265" i="155"/>
  <c r="W256" i="155"/>
  <c r="AD272" i="155"/>
  <c r="R257" i="153"/>
  <c r="R271" i="155"/>
  <c r="AF265" i="154"/>
  <c r="AJ264" i="155"/>
  <c r="Z259" i="154"/>
  <c r="AH256" i="155"/>
  <c r="R265" i="155"/>
  <c r="U274" i="154"/>
  <c r="AB267" i="155"/>
  <c r="AM275" i="153"/>
  <c r="AH265" i="155"/>
  <c r="V258" i="154"/>
  <c r="AE265" i="155"/>
  <c r="AL266" i="154"/>
  <c r="X255" i="154"/>
  <c r="Z259" i="155"/>
  <c r="AC275" i="153"/>
  <c r="Z266" i="155"/>
  <c r="AL259" i="154"/>
  <c r="AA265" i="154"/>
  <c r="U267" i="154"/>
  <c r="AL274" i="155"/>
  <c r="AA255" i="154"/>
  <c r="AD259" i="155"/>
  <c r="Z273" i="155"/>
  <c r="AC259" i="154"/>
  <c r="U257" i="154"/>
  <c r="Y272" i="155"/>
  <c r="AM266" i="154"/>
  <c r="Y265" i="154"/>
  <c r="S267" i="153"/>
  <c r="W255" i="154"/>
  <c r="AI274" i="155"/>
  <c r="AF467" i="154"/>
  <c r="AJ274" i="154"/>
  <c r="AK468" i="154"/>
  <c r="AK266" i="154"/>
  <c r="AJ274" i="155"/>
  <c r="AF272" i="155"/>
  <c r="AM267" i="155"/>
  <c r="Z271" i="155"/>
  <c r="AH258" i="155"/>
  <c r="W258" i="154"/>
  <c r="AO274" i="155"/>
  <c r="V259" i="154"/>
  <c r="AL267" i="155"/>
  <c r="AO275" i="153"/>
  <c r="Y255" i="154"/>
  <c r="R258" i="155"/>
  <c r="AD267" i="154"/>
  <c r="AC266" i="154"/>
  <c r="AI256" i="155"/>
  <c r="X274" i="154"/>
  <c r="AD258" i="155"/>
  <c r="AE259" i="155"/>
  <c r="Z255" i="154"/>
  <c r="R272" i="155"/>
  <c r="AB272" i="155"/>
  <c r="AK468" i="153"/>
  <c r="AF273" i="155"/>
  <c r="AN259" i="155"/>
  <c r="R275" i="153"/>
  <c r="AA258" i="154"/>
  <c r="AO259" i="154"/>
  <c r="AF259" i="155"/>
  <c r="U271" i="154"/>
  <c r="AA267" i="154"/>
  <c r="AC257" i="154"/>
  <c r="AD265" i="154"/>
  <c r="AO266" i="154"/>
  <c r="AJ267" i="155"/>
  <c r="R259" i="155"/>
  <c r="AE264" i="155"/>
  <c r="BE625" i="155"/>
  <c r="BE626" i="155" s="1"/>
  <c r="AA267" i="153"/>
  <c r="AK267" i="155"/>
  <c r="R274" i="153"/>
  <c r="AF266" i="155"/>
  <c r="R271" i="153"/>
  <c r="AL275" i="153"/>
  <c r="AF267" i="153"/>
  <c r="AJ259" i="154"/>
  <c r="AO275" i="155"/>
  <c r="W257" i="154"/>
  <c r="AD274" i="154"/>
  <c r="W275" i="154"/>
  <c r="AM259" i="154"/>
  <c r="Z258" i="154"/>
  <c r="Y256" i="154"/>
  <c r="AF275" i="154"/>
  <c r="Y259" i="154"/>
  <c r="X273" i="154"/>
  <c r="AJ259" i="153"/>
  <c r="AB266" i="155"/>
  <c r="AK256" i="155"/>
  <c r="AE266" i="155"/>
  <c r="AI259" i="155"/>
  <c r="X267" i="153"/>
  <c r="V271" i="154"/>
  <c r="AI267" i="153"/>
  <c r="V265" i="154"/>
  <c r="AN258" i="155"/>
  <c r="W272" i="154"/>
  <c r="X259" i="154"/>
  <c r="AM274" i="155"/>
  <c r="R264" i="153"/>
  <c r="X272" i="155"/>
  <c r="Z203" i="154"/>
  <c r="Z205" i="154"/>
  <c r="Z238" i="154" s="1"/>
  <c r="AD213" i="154"/>
  <c r="AD282" i="154" s="1"/>
  <c r="BT561" i="154"/>
  <c r="BT567" i="154" s="1"/>
  <c r="BT631" i="154" s="1"/>
  <c r="BO561" i="153"/>
  <c r="M623" i="153"/>
  <c r="M561" i="153"/>
  <c r="BS561" i="153"/>
  <c r="BQ561" i="154"/>
  <c r="BQ567" i="154" s="1"/>
  <c r="BP561" i="153"/>
  <c r="Y561" i="99"/>
  <c r="Y567" i="99" s="1"/>
  <c r="BU561" i="155"/>
  <c r="BU620" i="155"/>
  <c r="BQ561" i="153"/>
  <c r="BV561" i="153"/>
  <c r="BU561" i="153"/>
  <c r="AA338" i="154"/>
  <c r="AA344" i="154" s="1"/>
  <c r="AA43" i="154" s="1"/>
  <c r="AK127" i="105"/>
  <c r="E30" i="72"/>
  <c r="Z334" i="154"/>
  <c r="X205" i="154"/>
  <c r="X211" i="154" s="1"/>
  <c r="X203" i="154"/>
  <c r="X338" i="154"/>
  <c r="X344" i="154" s="1"/>
  <c r="X43" i="154" s="1"/>
  <c r="U213" i="154"/>
  <c r="U219" i="154" s="1"/>
  <c r="U203" i="154"/>
  <c r="AC205" i="154"/>
  <c r="AC238" i="154" s="1"/>
  <c r="AP328" i="154"/>
  <c r="AP338" i="154" s="1"/>
  <c r="AF205" i="154"/>
  <c r="AF238" i="154" s="1"/>
  <c r="BC177" i="154"/>
  <c r="BC185" i="154" s="1"/>
  <c r="BC328" i="154" s="1"/>
  <c r="BD177" i="154"/>
  <c r="BD185" i="154" s="1"/>
  <c r="AS328" i="154"/>
  <c r="AS338" i="154" s="1"/>
  <c r="AO328" i="154"/>
  <c r="AO338" i="154" s="1"/>
  <c r="AO205" i="154"/>
  <c r="AO238" i="154" s="1"/>
  <c r="AR197" i="154"/>
  <c r="AR205" i="154" s="1"/>
  <c r="BA177" i="154"/>
  <c r="BA185" i="154" s="1"/>
  <c r="BA197" i="154" s="1"/>
  <c r="S334" i="155"/>
  <c r="S338" i="155"/>
  <c r="S344" i="155" s="1"/>
  <c r="S43" i="155" s="1"/>
  <c r="S205" i="155"/>
  <c r="S213" i="155"/>
  <c r="S203" i="155"/>
  <c r="T203" i="155"/>
  <c r="T213" i="155"/>
  <c r="T205" i="155"/>
  <c r="T338" i="155"/>
  <c r="T344" i="155" s="1"/>
  <c r="T43" i="155" s="1"/>
  <c r="T334" i="155"/>
  <c r="BB177" i="154"/>
  <c r="BB185" i="154" s="1"/>
  <c r="BB328" i="154" s="1"/>
  <c r="R334" i="154"/>
  <c r="R338" i="154"/>
  <c r="R344" i="154" s="1"/>
  <c r="R43" i="154" s="1"/>
  <c r="T334" i="154"/>
  <c r="T338" i="154"/>
  <c r="T344" i="154" s="1"/>
  <c r="T43" i="154" s="1"/>
  <c r="T213" i="154"/>
  <c r="T203" i="154"/>
  <c r="T205" i="154"/>
  <c r="R203" i="154"/>
  <c r="R213" i="154"/>
  <c r="R205" i="154"/>
  <c r="S334" i="154"/>
  <c r="S338" i="154"/>
  <c r="S344" i="154" s="1"/>
  <c r="S43" i="154" s="1"/>
  <c r="S205" i="154"/>
  <c r="S213" i="154"/>
  <c r="S203" i="154"/>
  <c r="U203" i="155"/>
  <c r="U205" i="155"/>
  <c r="U213" i="155"/>
  <c r="U334" i="155"/>
  <c r="U338" i="155"/>
  <c r="U344" i="155" s="1"/>
  <c r="U43" i="155" s="1"/>
  <c r="BE631" i="155"/>
  <c r="AE618" i="99"/>
  <c r="AE64" i="99"/>
  <c r="BU556" i="155"/>
  <c r="BE562" i="155"/>
  <c r="AT197" i="154"/>
  <c r="AT213" i="154" s="1"/>
  <c r="N559" i="155"/>
  <c r="BT620" i="154"/>
  <c r="BF177" i="154"/>
  <c r="BF185" i="154" s="1"/>
  <c r="AU197" i="154"/>
  <c r="AU213" i="154" s="1"/>
  <c r="R175" i="153"/>
  <c r="R174" i="153"/>
  <c r="BG177" i="154"/>
  <c r="BG185" i="154" s="1"/>
  <c r="BG328" i="154" s="1"/>
  <c r="AB307" i="155"/>
  <c r="AA301" i="154"/>
  <c r="AJ318" i="155"/>
  <c r="AF300" i="155"/>
  <c r="AF310" i="155"/>
  <c r="AD273" i="154"/>
  <c r="X265" i="154"/>
  <c r="AK259" i="153"/>
  <c r="AD275" i="155"/>
  <c r="AD310" i="154"/>
  <c r="AC264" i="155"/>
  <c r="AJ300" i="155"/>
  <c r="R303" i="153"/>
  <c r="R311" i="153"/>
  <c r="AH311" i="155"/>
  <c r="AD259" i="154"/>
  <c r="AD275" i="154"/>
  <c r="W311" i="154"/>
  <c r="W303" i="154"/>
  <c r="AK259" i="154"/>
  <c r="V310" i="154"/>
  <c r="AM303" i="153"/>
  <c r="Z263" i="154"/>
  <c r="R302" i="153"/>
  <c r="Z267" i="155"/>
  <c r="AA319" i="154"/>
  <c r="Y273" i="154"/>
  <c r="AO258" i="155"/>
  <c r="AH272" i="155"/>
  <c r="AO274" i="154"/>
  <c r="AK259" i="155"/>
  <c r="Z274" i="154"/>
  <c r="AD318" i="155"/>
  <c r="V266" i="154"/>
  <c r="AO259" i="153"/>
  <c r="AJ310" i="155"/>
  <c r="AI308" i="155"/>
  <c r="Z317" i="155"/>
  <c r="U265" i="154"/>
  <c r="AM311" i="155"/>
  <c r="AK275" i="154"/>
  <c r="AL267" i="153"/>
  <c r="AI258" i="155"/>
  <c r="AK267" i="153"/>
  <c r="AE302" i="155"/>
  <c r="AD258" i="154"/>
  <c r="AF275" i="153"/>
  <c r="AL318" i="154"/>
  <c r="AA299" i="154"/>
  <c r="Z303" i="154"/>
  <c r="AL302" i="154"/>
  <c r="AA307" i="154"/>
  <c r="AK310" i="154"/>
  <c r="AC258" i="154"/>
  <c r="R316" i="153"/>
  <c r="Y275" i="154"/>
  <c r="AE258" i="155"/>
  <c r="AB315" i="155"/>
  <c r="X264" i="155"/>
  <c r="W259" i="154"/>
  <c r="AA530" i="99"/>
  <c r="W267" i="154"/>
  <c r="U255" i="154"/>
  <c r="AF311" i="153"/>
  <c r="W256" i="154"/>
  <c r="AO303" i="153"/>
  <c r="S319" i="153"/>
  <c r="U315" i="154"/>
  <c r="R307" i="153"/>
  <c r="AB273" i="155"/>
  <c r="V315" i="154"/>
  <c r="Z258" i="155"/>
  <c r="AF258" i="155"/>
  <c r="AM318" i="154"/>
  <c r="U299" i="154"/>
  <c r="R258" i="153"/>
  <c r="Z309" i="155"/>
  <c r="Y271" i="154"/>
  <c r="AO303" i="155"/>
  <c r="AJ311" i="154"/>
  <c r="AJ258" i="154"/>
  <c r="AE273" i="155"/>
  <c r="AD302" i="154"/>
  <c r="AC316" i="155"/>
  <c r="AF319" i="153"/>
  <c r="Y308" i="154"/>
  <c r="AK275" i="153"/>
  <c r="AM258" i="154"/>
  <c r="AM303" i="155"/>
  <c r="AA275" i="154"/>
  <c r="AA259" i="154"/>
  <c r="X318" i="154"/>
  <c r="R273" i="155"/>
  <c r="R274" i="155"/>
  <c r="AH301" i="155"/>
  <c r="AE301" i="155"/>
  <c r="W266" i="154"/>
  <c r="AA223" i="99"/>
  <c r="AA544" i="99"/>
  <c r="AA551" i="99" s="1"/>
  <c r="AA555" i="99" s="1"/>
  <c r="AA271" i="154"/>
  <c r="AL275" i="155"/>
  <c r="AM259" i="153"/>
  <c r="AH309" i="155"/>
  <c r="Y303" i="154"/>
  <c r="AD316" i="155"/>
  <c r="U300" i="154"/>
  <c r="AE267" i="155"/>
  <c r="X275" i="154"/>
  <c r="AD300" i="155"/>
  <c r="U264" i="154"/>
  <c r="AN311" i="155"/>
  <c r="AH300" i="155"/>
  <c r="U308" i="154"/>
  <c r="AK264" i="155"/>
  <c r="Y267" i="154"/>
  <c r="V311" i="154"/>
  <c r="AD319" i="155"/>
  <c r="AO310" i="155"/>
  <c r="Y266" i="154"/>
  <c r="AI259" i="153"/>
  <c r="AF316" i="155"/>
  <c r="R267" i="153"/>
  <c r="W263" i="154"/>
  <c r="AJ267" i="154"/>
  <c r="AM319" i="153"/>
  <c r="R317" i="155"/>
  <c r="AJ275" i="155"/>
  <c r="AE272" i="155"/>
  <c r="AA300" i="155"/>
  <c r="AD309" i="155"/>
  <c r="W264" i="155"/>
  <c r="R309" i="155"/>
  <c r="AJ259" i="155"/>
  <c r="AO259" i="155"/>
  <c r="AC318" i="154"/>
  <c r="AD319" i="154"/>
  <c r="AN318" i="155"/>
  <c r="AM319" i="154"/>
  <c r="AF302" i="154"/>
  <c r="AK303" i="153"/>
  <c r="AO267" i="155"/>
  <c r="AN310" i="155"/>
  <c r="AB302" i="155"/>
  <c r="AJ319" i="154"/>
  <c r="V302" i="154"/>
  <c r="X271" i="154"/>
  <c r="Z300" i="155"/>
  <c r="AL275" i="154"/>
  <c r="AJ266" i="155"/>
  <c r="AM267" i="153"/>
  <c r="AF274" i="155"/>
  <c r="AJ319" i="155"/>
  <c r="AJ303" i="153"/>
  <c r="X319" i="153"/>
  <c r="AJ258" i="155"/>
  <c r="AJ311" i="155"/>
  <c r="AM302" i="154"/>
  <c r="V317" i="154"/>
  <c r="AJ311" i="153"/>
  <c r="AD256" i="155"/>
  <c r="AO318" i="154"/>
  <c r="Z266" i="154"/>
  <c r="X266" i="154"/>
  <c r="R317" i="153"/>
  <c r="Y319" i="154"/>
  <c r="AB271" i="155"/>
  <c r="AN267" i="155"/>
  <c r="AD309" i="154"/>
  <c r="W300" i="155"/>
  <c r="AA310" i="154"/>
  <c r="AB256" i="155"/>
  <c r="R301" i="153"/>
  <c r="U275" i="154"/>
  <c r="AI319" i="155"/>
  <c r="Z318" i="155"/>
  <c r="Y264" i="154"/>
  <c r="AB300" i="155"/>
  <c r="AA273" i="154"/>
  <c r="AA302" i="154"/>
  <c r="AK303" i="154"/>
  <c r="Z267" i="154"/>
  <c r="AH302" i="155"/>
  <c r="AH318" i="155"/>
  <c r="Z274" i="155"/>
  <c r="AD311" i="154"/>
  <c r="AL311" i="153"/>
  <c r="AC259" i="153"/>
  <c r="AD274" i="155"/>
  <c r="X317" i="154"/>
  <c r="AI302" i="155"/>
  <c r="V316" i="154"/>
  <c r="AF302" i="155"/>
  <c r="R303" i="155"/>
  <c r="AF317" i="154"/>
  <c r="AH257" i="155"/>
  <c r="AJ272" i="155"/>
  <c r="AF256" i="155"/>
  <c r="Z311" i="154"/>
  <c r="AL303" i="153"/>
  <c r="AE311" i="155"/>
  <c r="AK266" i="155"/>
  <c r="AA256" i="155"/>
  <c r="AB301" i="155"/>
  <c r="AE319" i="155"/>
  <c r="R256" i="155"/>
  <c r="R255" i="153"/>
  <c r="V273" i="154"/>
  <c r="AN266" i="155"/>
  <c r="AM275" i="154"/>
  <c r="AH303" i="155"/>
  <c r="AK267" i="154"/>
  <c r="AF311" i="154"/>
  <c r="AN274" i="155"/>
  <c r="W318" i="154"/>
  <c r="AC301" i="154"/>
  <c r="AF303" i="154"/>
  <c r="AC309" i="154"/>
  <c r="Z307" i="154"/>
  <c r="AH266" i="155"/>
  <c r="Y310" i="154"/>
  <c r="AK303" i="155"/>
  <c r="Z315" i="154"/>
  <c r="AL258" i="155"/>
  <c r="AB310" i="155"/>
  <c r="AL266" i="155"/>
  <c r="AE316" i="155"/>
  <c r="W299" i="154"/>
  <c r="R263" i="155"/>
  <c r="Y316" i="154"/>
  <c r="AM310" i="155"/>
  <c r="Z275" i="155"/>
  <c r="AO311" i="153"/>
  <c r="AM258" i="155"/>
  <c r="AO311" i="155"/>
  <c r="AJ316" i="155"/>
  <c r="AA309" i="154"/>
  <c r="Z265" i="154"/>
  <c r="AE308" i="155"/>
  <c r="V272" i="154"/>
  <c r="V465" i="154"/>
  <c r="AH249" i="154"/>
  <c r="Z256" i="155"/>
  <c r="Z465" i="155"/>
  <c r="AA274" i="154"/>
  <c r="X258" i="154"/>
  <c r="X467" i="154"/>
  <c r="BB218" i="153"/>
  <c r="BB287" i="153" s="1"/>
  <c r="BB210" i="153"/>
  <c r="BB243" i="153" s="1"/>
  <c r="AM302" i="155"/>
  <c r="AL319" i="154"/>
  <c r="BQ625" i="155"/>
  <c r="BQ626" i="155" s="1"/>
  <c r="BQ562" i="155"/>
  <c r="BQ631" i="155"/>
  <c r="BB210" i="154"/>
  <c r="BB243" i="154" s="1"/>
  <c r="BB218" i="154"/>
  <c r="BB287" i="154" s="1"/>
  <c r="AO311" i="154"/>
  <c r="AO267" i="154"/>
  <c r="AI319" i="153"/>
  <c r="AG213" i="154"/>
  <c r="AG205" i="154"/>
  <c r="Y308" i="155"/>
  <c r="BE218" i="154"/>
  <c r="BE287" i="154" s="1"/>
  <c r="BE210" i="154"/>
  <c r="BE243" i="154" s="1"/>
  <c r="AN205" i="154"/>
  <c r="AN213" i="154"/>
  <c r="R265" i="153"/>
  <c r="AR295" i="154"/>
  <c r="AR303" i="154" s="1"/>
  <c r="AM275" i="155"/>
  <c r="AA311" i="154"/>
  <c r="L625" i="153"/>
  <c r="L626" i="153" s="1"/>
  <c r="L631" i="153"/>
  <c r="AD273" i="155"/>
  <c r="AD466" i="155"/>
  <c r="BF202" i="154"/>
  <c r="BF333" i="154"/>
  <c r="BF343" i="154" s="1"/>
  <c r="W309" i="154"/>
  <c r="X315" i="154"/>
  <c r="S259" i="153"/>
  <c r="AL259" i="155"/>
  <c r="AL468" i="155"/>
  <c r="AH293" i="154"/>
  <c r="AH309" i="154" s="1"/>
  <c r="BX625" i="155"/>
  <c r="BX626" i="155" s="1"/>
  <c r="BX562" i="155"/>
  <c r="BX631" i="155"/>
  <c r="Z265" i="155"/>
  <c r="Z466" i="155"/>
  <c r="AI311" i="153"/>
  <c r="BO625" i="154"/>
  <c r="BO626" i="154" s="1"/>
  <c r="BO562" i="154"/>
  <c r="BO631" i="154"/>
  <c r="Y316" i="155"/>
  <c r="AY295" i="155"/>
  <c r="AY319" i="155" s="1"/>
  <c r="M623" i="154"/>
  <c r="AC274" i="154"/>
  <c r="AC467" i="154"/>
  <c r="R256" i="153"/>
  <c r="R465" i="153"/>
  <c r="BC333" i="153"/>
  <c r="BC343" i="153" s="1"/>
  <c r="BC202" i="153"/>
  <c r="W317" i="154"/>
  <c r="X307" i="154"/>
  <c r="W273" i="154"/>
  <c r="W466" i="154"/>
  <c r="AO275" i="154"/>
  <c r="AO468" i="154"/>
  <c r="AY251" i="155"/>
  <c r="R273" i="153"/>
  <c r="R466" i="153"/>
  <c r="BI333" i="153"/>
  <c r="BI343" i="153" s="1"/>
  <c r="BI202" i="153"/>
  <c r="U211" i="154"/>
  <c r="U238" i="154"/>
  <c r="AM259" i="155"/>
  <c r="AM468" i="155"/>
  <c r="R263" i="153"/>
  <c r="R464" i="153"/>
  <c r="BF202" i="153"/>
  <c r="BF333" i="153"/>
  <c r="BF343" i="153" s="1"/>
  <c r="S275" i="153"/>
  <c r="S468" i="153"/>
  <c r="BI210" i="154"/>
  <c r="BI243" i="154" s="1"/>
  <c r="BI218" i="154"/>
  <c r="BI287" i="154" s="1"/>
  <c r="AF282" i="154"/>
  <c r="AF309" i="155"/>
  <c r="AG295" i="153"/>
  <c r="AG303" i="153" s="1"/>
  <c r="AA266" i="154"/>
  <c r="AA467" i="154"/>
  <c r="AT218" i="153"/>
  <c r="AT287" i="153" s="1"/>
  <c r="AT210" i="153"/>
  <c r="AT243" i="153" s="1"/>
  <c r="AV218" i="154"/>
  <c r="AV287" i="154" s="1"/>
  <c r="AV210" i="154"/>
  <c r="AV243" i="154" s="1"/>
  <c r="AH295" i="153"/>
  <c r="AH319" i="153" s="1"/>
  <c r="AA316" i="155"/>
  <c r="AA264" i="155"/>
  <c r="AA465" i="155"/>
  <c r="R259" i="153"/>
  <c r="R468" i="153"/>
  <c r="AS295" i="154"/>
  <c r="AS303" i="154" s="1"/>
  <c r="AK275" i="155"/>
  <c r="AK468" i="155"/>
  <c r="AF301" i="155"/>
  <c r="AG251" i="153"/>
  <c r="X219" i="154"/>
  <c r="X282" i="154"/>
  <c r="AI266" i="155"/>
  <c r="AI467" i="155"/>
  <c r="AI316" i="155"/>
  <c r="AX251" i="153"/>
  <c r="AQ295" i="155"/>
  <c r="AQ303" i="155" s="1"/>
  <c r="V299" i="154"/>
  <c r="AJ266" i="154"/>
  <c r="AJ467" i="154"/>
  <c r="AP210" i="153"/>
  <c r="AP243" i="153" s="1"/>
  <c r="AP218" i="153"/>
  <c r="AP287" i="153" s="1"/>
  <c r="U273" i="154"/>
  <c r="BA218" i="155"/>
  <c r="BA287" i="155" s="1"/>
  <c r="BA210" i="155"/>
  <c r="BA243" i="155" s="1"/>
  <c r="AO468" i="155"/>
  <c r="AF257" i="154"/>
  <c r="BA210" i="154"/>
  <c r="BA243" i="154" s="1"/>
  <c r="BA218" i="154"/>
  <c r="BA287" i="154" s="1"/>
  <c r="BU625" i="154"/>
  <c r="BU626" i="154" s="1"/>
  <c r="BU562" i="154"/>
  <c r="BU631" i="154"/>
  <c r="AB258" i="155"/>
  <c r="AB467" i="155"/>
  <c r="BP619" i="153"/>
  <c r="BP620" i="153" s="1"/>
  <c r="R255" i="155"/>
  <c r="R464" i="155"/>
  <c r="V211" i="154"/>
  <c r="V238" i="154"/>
  <c r="AX295" i="153"/>
  <c r="AX303" i="153" s="1"/>
  <c r="AQ251" i="155"/>
  <c r="V263" i="154"/>
  <c r="BE333" i="153"/>
  <c r="BE343" i="153" s="1"/>
  <c r="BE202" i="153"/>
  <c r="Y299" i="154"/>
  <c r="U266" i="154"/>
  <c r="AJ467" i="155"/>
  <c r="BN625" i="153"/>
  <c r="BN626" i="153" s="1"/>
  <c r="AF267" i="154"/>
  <c r="AK319" i="154"/>
  <c r="AT250" i="155"/>
  <c r="AE318" i="155"/>
  <c r="W310" i="154"/>
  <c r="AB274" i="155"/>
  <c r="AN251" i="153"/>
  <c r="AT250" i="154"/>
  <c r="AV251" i="155"/>
  <c r="BH333" i="153"/>
  <c r="BH343" i="153" s="1"/>
  <c r="BH202" i="153"/>
  <c r="L625" i="154"/>
  <c r="L626" i="154" s="1"/>
  <c r="L631" i="154"/>
  <c r="L562" i="154"/>
  <c r="AG293" i="155"/>
  <c r="AG301" i="155" s="1"/>
  <c r="BR625" i="153"/>
  <c r="BR626" i="153" s="1"/>
  <c r="R266" i="153"/>
  <c r="R467" i="153"/>
  <c r="AT251" i="154"/>
  <c r="AV210" i="153"/>
  <c r="AV243" i="153" s="1"/>
  <c r="AV218" i="153"/>
  <c r="AV287" i="153" s="1"/>
  <c r="AM266" i="155"/>
  <c r="AM467" i="155"/>
  <c r="Y307" i="154"/>
  <c r="AR250" i="155"/>
  <c r="BY625" i="154"/>
  <c r="BY626" i="154" s="1"/>
  <c r="BY631" i="154"/>
  <c r="BY562" i="154"/>
  <c r="AG295" i="155"/>
  <c r="AG311" i="155" s="1"/>
  <c r="U466" i="154"/>
  <c r="AF273" i="154"/>
  <c r="AF466" i="154"/>
  <c r="BG625" i="155"/>
  <c r="BG626" i="155" s="1"/>
  <c r="BG562" i="155"/>
  <c r="BG631" i="155"/>
  <c r="BG210" i="154"/>
  <c r="BG243" i="154" s="1"/>
  <c r="BG218" i="154"/>
  <c r="BG287" i="154" s="1"/>
  <c r="AT294" i="155"/>
  <c r="AT318" i="155" s="1"/>
  <c r="AB246" i="154"/>
  <c r="AE274" i="155"/>
  <c r="AE467" i="155"/>
  <c r="AY210" i="154"/>
  <c r="AY243" i="154" s="1"/>
  <c r="AY218" i="154"/>
  <c r="AY287" i="154" s="1"/>
  <c r="BP625" i="155"/>
  <c r="BP626" i="155" s="1"/>
  <c r="BP562" i="155"/>
  <c r="BP631" i="155"/>
  <c r="AN295" i="153"/>
  <c r="AN303" i="153" s="1"/>
  <c r="W468" i="154"/>
  <c r="AC272" i="155"/>
  <c r="AC465" i="155"/>
  <c r="AT294" i="154"/>
  <c r="AT318" i="154" s="1"/>
  <c r="V219" i="154"/>
  <c r="V282" i="154"/>
  <c r="BV631" i="154"/>
  <c r="BV625" i="154"/>
  <c r="BV626" i="154" s="1"/>
  <c r="BV562" i="154"/>
  <c r="AR294" i="155"/>
  <c r="AR302" i="155" s="1"/>
  <c r="AG251" i="155"/>
  <c r="U258" i="154"/>
  <c r="U467" i="154"/>
  <c r="BU619" i="153"/>
  <c r="BU620" i="153" s="1"/>
  <c r="L625" i="155"/>
  <c r="L626" i="155" s="1"/>
  <c r="L631" i="155"/>
  <c r="L562" i="155"/>
  <c r="AF259" i="154"/>
  <c r="AF468" i="154"/>
  <c r="W264" i="154"/>
  <c r="W465" i="154"/>
  <c r="Z263" i="155"/>
  <c r="AR294" i="154"/>
  <c r="AR318" i="154" s="1"/>
  <c r="AL274" i="154"/>
  <c r="AQ251" i="153"/>
  <c r="N620" i="154"/>
  <c r="P620" i="154" s="1"/>
  <c r="P619" i="154"/>
  <c r="BP616" i="153"/>
  <c r="AW210" i="153"/>
  <c r="AW243" i="153" s="1"/>
  <c r="AW218" i="153"/>
  <c r="AW287" i="153" s="1"/>
  <c r="BF625" i="153"/>
  <c r="BF626" i="153" s="1"/>
  <c r="AG249" i="155"/>
  <c r="AN295" i="154"/>
  <c r="AN311" i="154" s="1"/>
  <c r="BS625" i="155"/>
  <c r="BS626" i="155" s="1"/>
  <c r="BS631" i="155"/>
  <c r="BS562" i="155"/>
  <c r="AT295" i="154"/>
  <c r="AT311" i="154" s="1"/>
  <c r="AD238" i="154"/>
  <c r="AE535" i="99"/>
  <c r="AE599" i="99" s="1"/>
  <c r="AM311" i="154"/>
  <c r="AD311" i="155"/>
  <c r="AD267" i="155"/>
  <c r="AD468" i="155"/>
  <c r="X311" i="153"/>
  <c r="AI250" i="154"/>
  <c r="AN251" i="154"/>
  <c r="X311" i="154"/>
  <c r="X248" i="154"/>
  <c r="AI213" i="154"/>
  <c r="AI205" i="154"/>
  <c r="AS250" i="154"/>
  <c r="R300" i="153"/>
  <c r="BT625" i="153"/>
  <c r="BT626" i="153" s="1"/>
  <c r="AR250" i="154"/>
  <c r="AQ295" i="153"/>
  <c r="AQ303" i="153" s="1"/>
  <c r="BB202" i="155"/>
  <c r="BB333" i="155"/>
  <c r="BB343" i="155" s="1"/>
  <c r="AV295" i="155"/>
  <c r="AV311" i="155" s="1"/>
  <c r="V255" i="154"/>
  <c r="V464" i="154"/>
  <c r="AI294" i="154"/>
  <c r="AI310" i="154" s="1"/>
  <c r="BQ619" i="154"/>
  <c r="BQ620" i="154" s="1"/>
  <c r="BQ556" i="154"/>
  <c r="AE275" i="155"/>
  <c r="AE468" i="155"/>
  <c r="BV625" i="155"/>
  <c r="BV626" i="155" s="1"/>
  <c r="BV631" i="155"/>
  <c r="BV562" i="155"/>
  <c r="AS295" i="155"/>
  <c r="AS311" i="155" s="1"/>
  <c r="BX625" i="153"/>
  <c r="BX626" i="153" s="1"/>
  <c r="Y258" i="154"/>
  <c r="Y467" i="154"/>
  <c r="AU338" i="154"/>
  <c r="Y272" i="154"/>
  <c r="Y465" i="154"/>
  <c r="AP250" i="154"/>
  <c r="AC282" i="154"/>
  <c r="BH333" i="155"/>
  <c r="BH343" i="155" s="1"/>
  <c r="BH202" i="155"/>
  <c r="X292" i="154"/>
  <c r="X308" i="154" s="1"/>
  <c r="AS294" i="154"/>
  <c r="AS302" i="154" s="1"/>
  <c r="AH273" i="155"/>
  <c r="AH466" i="155"/>
  <c r="BL625" i="153"/>
  <c r="BL626" i="153" s="1"/>
  <c r="Z255" i="155"/>
  <c r="Z464" i="155"/>
  <c r="AL258" i="154"/>
  <c r="AL467" i="154"/>
  <c r="AH292" i="154"/>
  <c r="AH300" i="154" s="1"/>
  <c r="BF625" i="154"/>
  <c r="BF626" i="154" s="1"/>
  <c r="BF631" i="154"/>
  <c r="BF562" i="154"/>
  <c r="AF265" i="155"/>
  <c r="AF466" i="155"/>
  <c r="W272" i="155"/>
  <c r="W465" i="155"/>
  <c r="AI215" i="154"/>
  <c r="AI284" i="154" s="1"/>
  <c r="AI207" i="154"/>
  <c r="AI240" i="154" s="1"/>
  <c r="Z467" i="154"/>
  <c r="Z271" i="154"/>
  <c r="Z464" i="154"/>
  <c r="AQ197" i="154"/>
  <c r="AQ328" i="154"/>
  <c r="AE205" i="154"/>
  <c r="AE213" i="154"/>
  <c r="AS251" i="155"/>
  <c r="Y318" i="154"/>
  <c r="X267" i="154"/>
  <c r="X468" i="154"/>
  <c r="X319" i="154"/>
  <c r="AP294" i="154"/>
  <c r="AP302" i="154" s="1"/>
  <c r="AI338" i="154"/>
  <c r="BO562" i="155"/>
  <c r="BO625" i="155"/>
  <c r="BO626" i="155" s="1"/>
  <c r="BO631" i="155"/>
  <c r="AJ256" i="155"/>
  <c r="AJ465" i="155"/>
  <c r="AA468" i="154"/>
  <c r="AC292" i="154"/>
  <c r="AC308" i="154" s="1"/>
  <c r="AB290" i="154"/>
  <c r="AB306" i="154" s="1"/>
  <c r="Z257" i="154"/>
  <c r="Z466" i="154"/>
  <c r="Z275" i="154"/>
  <c r="Z468" i="154"/>
  <c r="AH248" i="154"/>
  <c r="AM267" i="154"/>
  <c r="AM468" i="154"/>
  <c r="AF257" i="155"/>
  <c r="AF267" i="155"/>
  <c r="AH295" i="154"/>
  <c r="AH319" i="154" s="1"/>
  <c r="AY210" i="153"/>
  <c r="AY243" i="153" s="1"/>
  <c r="AY218" i="153"/>
  <c r="AY287" i="153" s="1"/>
  <c r="AE338" i="154"/>
  <c r="AF274" i="154"/>
  <c r="R266" i="155"/>
  <c r="R467" i="155"/>
  <c r="AE295" i="154"/>
  <c r="AE311" i="154" s="1"/>
  <c r="U301" i="154"/>
  <c r="Y264" i="155"/>
  <c r="AM274" i="154"/>
  <c r="AM467" i="154"/>
  <c r="BG202" i="155"/>
  <c r="BG333" i="155"/>
  <c r="BG343" i="155" s="1"/>
  <c r="X257" i="154"/>
  <c r="X466" i="154"/>
  <c r="AC248" i="154"/>
  <c r="AN467" i="155"/>
  <c r="AK302" i="154"/>
  <c r="W274" i="154"/>
  <c r="W467" i="154"/>
  <c r="AX210" i="155"/>
  <c r="AX243" i="155" s="1"/>
  <c r="AX218" i="155"/>
  <c r="AX287" i="155" s="1"/>
  <c r="AQ217" i="154"/>
  <c r="AQ286" i="154" s="1"/>
  <c r="AQ209" i="154"/>
  <c r="AQ242" i="154" s="1"/>
  <c r="AS251" i="154"/>
  <c r="U263" i="154"/>
  <c r="U464" i="154"/>
  <c r="AT338" i="154"/>
  <c r="BW625" i="153"/>
  <c r="BW626" i="153" s="1"/>
  <c r="AK258" i="155"/>
  <c r="AK467" i="155"/>
  <c r="AK302" i="155"/>
  <c r="BQ616" i="154"/>
  <c r="R175" i="154"/>
  <c r="R315" i="155"/>
  <c r="AC267" i="154"/>
  <c r="AK330" i="154"/>
  <c r="AK199" i="154"/>
  <c r="AX218" i="154"/>
  <c r="AX287" i="154" s="1"/>
  <c r="AX210" i="154"/>
  <c r="AX243" i="154" s="1"/>
  <c r="AD266" i="154"/>
  <c r="AD467" i="154"/>
  <c r="AK310" i="155"/>
  <c r="W315" i="154"/>
  <c r="W271" i="154"/>
  <c r="W464" i="154"/>
  <c r="AC308" i="155"/>
  <c r="R299" i="155"/>
  <c r="AC267" i="153"/>
  <c r="AC468" i="153"/>
  <c r="BA210" i="153"/>
  <c r="BA243" i="153" s="1"/>
  <c r="BA218" i="153"/>
  <c r="BA287" i="153" s="1"/>
  <c r="AH251" i="154"/>
  <c r="AF266" i="154"/>
  <c r="Z302" i="155"/>
  <c r="BN556" i="154"/>
  <c r="BN619" i="154"/>
  <c r="BN620" i="154" s="1"/>
  <c r="AG292" i="154"/>
  <c r="AG316" i="154" s="1"/>
  <c r="AJ275" i="154"/>
  <c r="AJ468" i="154"/>
  <c r="AJ468" i="155"/>
  <c r="W219" i="154"/>
  <c r="W282" i="154"/>
  <c r="AE251" i="154"/>
  <c r="U309" i="154"/>
  <c r="AI275" i="153"/>
  <c r="AI468" i="153"/>
  <c r="AP294" i="155"/>
  <c r="AP318" i="155" s="1"/>
  <c r="AI251" i="154"/>
  <c r="AB263" i="155"/>
  <c r="AB464" i="155"/>
  <c r="AI311" i="155"/>
  <c r="R315" i="153"/>
  <c r="BW562" i="154"/>
  <c r="BW625" i="154"/>
  <c r="BW626" i="154" s="1"/>
  <c r="BW631" i="154"/>
  <c r="AR251" i="155"/>
  <c r="AS295" i="153"/>
  <c r="AS311" i="153" s="1"/>
  <c r="BO619" i="153"/>
  <c r="BO620" i="153" s="1"/>
  <c r="Y256" i="155"/>
  <c r="Y465" i="155"/>
  <c r="BC562" i="155"/>
  <c r="BC625" i="155"/>
  <c r="BC626" i="155" s="1"/>
  <c r="BC631" i="155"/>
  <c r="AP250" i="155"/>
  <c r="AT295" i="155"/>
  <c r="AT311" i="155" s="1"/>
  <c r="AB215" i="154"/>
  <c r="AB207" i="154"/>
  <c r="AB203" i="154"/>
  <c r="AI295" i="154"/>
  <c r="AI311" i="154" s="1"/>
  <c r="M623" i="155"/>
  <c r="X316" i="155"/>
  <c r="BW625" i="155"/>
  <c r="BW626" i="155" s="1"/>
  <c r="BW562" i="155"/>
  <c r="BW631" i="155"/>
  <c r="AQ294" i="155"/>
  <c r="AQ302" i="155" s="1"/>
  <c r="AC275" i="154"/>
  <c r="AC468" i="154"/>
  <c r="AG248" i="154"/>
  <c r="BV619" i="153"/>
  <c r="BV620" i="153" s="1"/>
  <c r="AN294" i="154"/>
  <c r="AN302" i="154" s="1"/>
  <c r="P619" i="155"/>
  <c r="N620" i="155"/>
  <c r="P620" i="155" s="1"/>
  <c r="AD317" i="155"/>
  <c r="W316" i="155"/>
  <c r="AA311" i="153"/>
  <c r="AG294" i="154"/>
  <c r="AG318" i="154" s="1"/>
  <c r="AK311" i="155"/>
  <c r="AO302" i="155"/>
  <c r="AB257" i="155"/>
  <c r="AB466" i="155"/>
  <c r="AR295" i="155"/>
  <c r="AR303" i="155" s="1"/>
  <c r="R310" i="153"/>
  <c r="AF258" i="154"/>
  <c r="AQ250" i="155"/>
  <c r="AC319" i="154"/>
  <c r="AS251" i="153"/>
  <c r="BN623" i="154"/>
  <c r="N559" i="154"/>
  <c r="N561" i="154" s="1"/>
  <c r="N567" i="154" s="1"/>
  <c r="R264" i="155"/>
  <c r="R465" i="155"/>
  <c r="AD248" i="154"/>
  <c r="AK272" i="155"/>
  <c r="AK465" i="155"/>
  <c r="AN250" i="154"/>
  <c r="AO282" i="154"/>
  <c r="W211" i="154"/>
  <c r="W238" i="154"/>
  <c r="Z248" i="154"/>
  <c r="R319" i="155"/>
  <c r="AC310" i="154"/>
  <c r="V309" i="154"/>
  <c r="U259" i="154"/>
  <c r="U468" i="154"/>
  <c r="AT251" i="155"/>
  <c r="AB340" i="154"/>
  <c r="AB344" i="154" s="1"/>
  <c r="AB43" i="154" s="1"/>
  <c r="AB334" i="154"/>
  <c r="BC625" i="153"/>
  <c r="BC626" i="153" s="1"/>
  <c r="AL467" i="155"/>
  <c r="BR631" i="155"/>
  <c r="BR625" i="155"/>
  <c r="BR626" i="155" s="1"/>
  <c r="BR562" i="155"/>
  <c r="X308" i="155"/>
  <c r="X256" i="155"/>
  <c r="X465" i="155"/>
  <c r="V303" i="154"/>
  <c r="AH251" i="153"/>
  <c r="V275" i="154"/>
  <c r="AG293" i="154"/>
  <c r="AG301" i="154" s="1"/>
  <c r="Z219" i="154"/>
  <c r="Z282" i="154"/>
  <c r="BN616" i="154"/>
  <c r="AD292" i="154"/>
  <c r="AD316" i="154" s="1"/>
  <c r="R318" i="155"/>
  <c r="AD266" i="155"/>
  <c r="AD467" i="155"/>
  <c r="BE625" i="153"/>
  <c r="BE626" i="153" s="1"/>
  <c r="Z292" i="154"/>
  <c r="Z316" i="154" s="1"/>
  <c r="AA257" i="154"/>
  <c r="AA466" i="154"/>
  <c r="R275" i="155"/>
  <c r="V274" i="154"/>
  <c r="V467" i="154"/>
  <c r="BD625" i="154"/>
  <c r="BD626" i="154" s="1"/>
  <c r="BD562" i="154"/>
  <c r="BD631" i="154"/>
  <c r="BI625" i="155"/>
  <c r="BI626" i="155" s="1"/>
  <c r="BI631" i="155"/>
  <c r="BI562" i="155"/>
  <c r="AJ275" i="153"/>
  <c r="AJ468" i="153"/>
  <c r="AF275" i="155"/>
  <c r="AF468" i="155"/>
  <c r="AN275" i="155"/>
  <c r="AN468" i="155"/>
  <c r="AU251" i="154"/>
  <c r="Y211" i="154"/>
  <c r="Y238" i="154"/>
  <c r="AG250" i="154"/>
  <c r="AN303" i="155"/>
  <c r="S303" i="153"/>
  <c r="AH250" i="154"/>
  <c r="AU295" i="154"/>
  <c r="AU303" i="154" s="1"/>
  <c r="AG249" i="154"/>
  <c r="AA319" i="153"/>
  <c r="AQ210" i="154"/>
  <c r="AQ243" i="154" s="1"/>
  <c r="AQ218" i="154"/>
  <c r="AQ287" i="154" s="1"/>
  <c r="Y219" i="154"/>
  <c r="Y282" i="154"/>
  <c r="AI310" i="155"/>
  <c r="AI272" i="155"/>
  <c r="R300" i="155"/>
  <c r="AC311" i="154"/>
  <c r="X310" i="154"/>
  <c r="BR625" i="154"/>
  <c r="BR626" i="154" s="1"/>
  <c r="BR631" i="154"/>
  <c r="BR562" i="154"/>
  <c r="AB303" i="155"/>
  <c r="R310" i="155"/>
  <c r="BG210" i="153"/>
  <c r="BG243" i="153" s="1"/>
  <c r="BG218" i="153"/>
  <c r="BG287" i="153" s="1"/>
  <c r="AK311" i="153"/>
  <c r="AD264" i="155"/>
  <c r="AD465" i="155"/>
  <c r="AM468" i="153"/>
  <c r="U310" i="154"/>
  <c r="BO616" i="153"/>
  <c r="R267" i="155"/>
  <c r="W300" i="154"/>
  <c r="BI625" i="153"/>
  <c r="BI626" i="153" s="1"/>
  <c r="BQ619" i="153"/>
  <c r="BQ620" i="153" s="1"/>
  <c r="U319" i="154"/>
  <c r="BB625" i="155"/>
  <c r="BB626" i="155" s="1"/>
  <c r="BB562" i="155"/>
  <c r="BB631" i="155"/>
  <c r="Z317" i="154"/>
  <c r="AJ267" i="153"/>
  <c r="AI275" i="155"/>
  <c r="AR338" i="154"/>
  <c r="AE293" i="154"/>
  <c r="AE309" i="154" s="1"/>
  <c r="AK238" i="154"/>
  <c r="N559" i="153"/>
  <c r="N561" i="153" s="1"/>
  <c r="AH274" i="155"/>
  <c r="AH467" i="155"/>
  <c r="AF259" i="153"/>
  <c r="AF468" i="153"/>
  <c r="AE292" i="154"/>
  <c r="AE316" i="154" s="1"/>
  <c r="R308" i="155"/>
  <c r="AS294" i="155"/>
  <c r="AS302" i="155" s="1"/>
  <c r="AH338" i="154"/>
  <c r="AB319" i="155"/>
  <c r="U318" i="154"/>
  <c r="AF301" i="154"/>
  <c r="AD310" i="155"/>
  <c r="BE210" i="155"/>
  <c r="BE243" i="155" s="1"/>
  <c r="BE218" i="155"/>
  <c r="BE287" i="155" s="1"/>
  <c r="AE317" i="155"/>
  <c r="W308" i="154"/>
  <c r="Y257" i="154"/>
  <c r="Y466" i="154"/>
  <c r="U303" i="154"/>
  <c r="Z309" i="154"/>
  <c r="AP295" i="154"/>
  <c r="AP303" i="154" s="1"/>
  <c r="AE249" i="154"/>
  <c r="AH316" i="155"/>
  <c r="AO258" i="154"/>
  <c r="AO467" i="154"/>
  <c r="AR295" i="153"/>
  <c r="AR311" i="153" s="1"/>
  <c r="AA275" i="153"/>
  <c r="X275" i="153"/>
  <c r="AC311" i="153"/>
  <c r="Z310" i="154"/>
  <c r="BN631" i="155"/>
  <c r="BN625" i="155"/>
  <c r="BN626" i="155" s="1"/>
  <c r="BN562" i="155"/>
  <c r="AG292" i="155"/>
  <c r="AG308" i="155" s="1"/>
  <c r="AI264" i="155"/>
  <c r="AI465" i="155"/>
  <c r="AE248" i="154"/>
  <c r="AH259" i="155"/>
  <c r="AH468" i="155"/>
  <c r="BT625" i="155"/>
  <c r="BT626" i="155" s="1"/>
  <c r="BT631" i="155"/>
  <c r="BT562" i="155"/>
  <c r="AS250" i="155"/>
  <c r="AJ310" i="154"/>
  <c r="AA211" i="154"/>
  <c r="AA238" i="154"/>
  <c r="BF562" i="155"/>
  <c r="BF625" i="155"/>
  <c r="BF626" i="155" s="1"/>
  <c r="BF631" i="155"/>
  <c r="R468" i="155"/>
  <c r="AD295" i="153"/>
  <c r="AD303" i="153" s="1"/>
  <c r="BI333" i="155"/>
  <c r="BI343" i="155" s="1"/>
  <c r="BI202" i="155"/>
  <c r="AG295" i="154"/>
  <c r="AG303" i="154" s="1"/>
  <c r="AP251" i="154"/>
  <c r="AI267" i="155"/>
  <c r="AI468" i="155"/>
  <c r="AS213" i="154"/>
  <c r="AS205" i="154"/>
  <c r="AA292" i="154"/>
  <c r="AA308" i="154" s="1"/>
  <c r="AD301" i="154"/>
  <c r="BS619" i="153"/>
  <c r="BS620" i="153" s="1"/>
  <c r="AD257" i="154"/>
  <c r="AD466" i="154"/>
  <c r="AO266" i="155"/>
  <c r="AO467" i="155"/>
  <c r="AB317" i="155"/>
  <c r="AC319" i="153"/>
  <c r="Z302" i="154"/>
  <c r="AG294" i="155"/>
  <c r="AG318" i="155" s="1"/>
  <c r="AG248" i="155"/>
  <c r="AL311" i="155"/>
  <c r="BY631" i="153"/>
  <c r="BY625" i="153"/>
  <c r="BY626" i="153" s="1"/>
  <c r="BD625" i="155"/>
  <c r="BD626" i="155" s="1"/>
  <c r="BD562" i="155"/>
  <c r="BD631" i="155"/>
  <c r="AH267" i="155"/>
  <c r="AE295" i="153"/>
  <c r="AE319" i="153" s="1"/>
  <c r="AJ318" i="154"/>
  <c r="Z468" i="155"/>
  <c r="BD333" i="155"/>
  <c r="BD343" i="155" s="1"/>
  <c r="BD202" i="155"/>
  <c r="AB308" i="155"/>
  <c r="AA219" i="154"/>
  <c r="AA282" i="154"/>
  <c r="Y263" i="154"/>
  <c r="Y464" i="154"/>
  <c r="AH205" i="154"/>
  <c r="AH213" i="154"/>
  <c r="R257" i="155"/>
  <c r="R466" i="155"/>
  <c r="BP625" i="154"/>
  <c r="BP626" i="154" s="1"/>
  <c r="BP631" i="154"/>
  <c r="BP562" i="154"/>
  <c r="AD468" i="154"/>
  <c r="AP205" i="154"/>
  <c r="AP213" i="154"/>
  <c r="AD251" i="153"/>
  <c r="X301" i="154"/>
  <c r="Y468" i="154"/>
  <c r="AE257" i="155"/>
  <c r="AE466" i="155"/>
  <c r="AG251" i="154"/>
  <c r="Y309" i="154"/>
  <c r="BC333" i="155"/>
  <c r="BC343" i="155" s="1"/>
  <c r="BC202" i="155"/>
  <c r="BQ616" i="153"/>
  <c r="AC265" i="154"/>
  <c r="Z315" i="155"/>
  <c r="AH264" i="155"/>
  <c r="AH465" i="155"/>
  <c r="AR251" i="153"/>
  <c r="AA248" i="154"/>
  <c r="AA259" i="153"/>
  <c r="AA468" i="153"/>
  <c r="X259" i="153"/>
  <c r="X468" i="153"/>
  <c r="AZ210" i="154"/>
  <c r="AZ243" i="154" s="1"/>
  <c r="AZ218" i="154"/>
  <c r="AZ287" i="154" s="1"/>
  <c r="AG250" i="155"/>
  <c r="AW218" i="154"/>
  <c r="AW287" i="154" s="1"/>
  <c r="AW210" i="154"/>
  <c r="AW243" i="154" s="1"/>
  <c r="AE251" i="153"/>
  <c r="Z467" i="155"/>
  <c r="BH625" i="155"/>
  <c r="BH626" i="155" s="1"/>
  <c r="BH631" i="155"/>
  <c r="BH562" i="155"/>
  <c r="AJ282" i="154"/>
  <c r="BL631" i="155"/>
  <c r="BL625" i="155"/>
  <c r="BL626" i="155" s="1"/>
  <c r="BL562" i="155"/>
  <c r="AZ218" i="153"/>
  <c r="AZ287" i="153" s="1"/>
  <c r="AZ210" i="153"/>
  <c r="AZ243" i="153" s="1"/>
  <c r="AU295" i="155"/>
  <c r="AU311" i="155" s="1"/>
  <c r="AZ210" i="155"/>
  <c r="AZ243" i="155" s="1"/>
  <c r="AZ218" i="155"/>
  <c r="AZ287" i="155" s="1"/>
  <c r="Y301" i="154"/>
  <c r="BY562" i="155"/>
  <c r="BY625" i="155"/>
  <c r="BY626" i="155" s="1"/>
  <c r="BY631" i="155"/>
  <c r="BH218" i="154"/>
  <c r="BH287" i="154" s="1"/>
  <c r="BH210" i="154"/>
  <c r="BH243" i="154" s="1"/>
  <c r="U256" i="154"/>
  <c r="U465" i="154"/>
  <c r="Z299" i="155"/>
  <c r="AL259" i="153"/>
  <c r="AL468" i="153"/>
  <c r="AU218" i="153"/>
  <c r="AU287" i="153" s="1"/>
  <c r="AU210" i="153"/>
  <c r="AU243" i="153" s="1"/>
  <c r="V267" i="154"/>
  <c r="V468" i="154"/>
  <c r="AA263" i="154"/>
  <c r="AA464" i="154"/>
  <c r="R219" i="155"/>
  <c r="R282" i="155"/>
  <c r="AF303" i="155"/>
  <c r="AL303" i="155"/>
  <c r="Z264" i="155"/>
  <c r="Z319" i="155"/>
  <c r="AO267" i="153"/>
  <c r="AO468" i="153"/>
  <c r="BD210" i="153"/>
  <c r="BD243" i="153" s="1"/>
  <c r="BD218" i="153"/>
  <c r="BD287" i="153" s="1"/>
  <c r="AE250" i="154"/>
  <c r="BF202" i="155"/>
  <c r="BF333" i="155"/>
  <c r="BF343" i="155" s="1"/>
  <c r="AK300" i="155"/>
  <c r="AB275" i="155"/>
  <c r="AB468" i="155"/>
  <c r="BD202" i="154"/>
  <c r="BD333" i="154"/>
  <c r="BD343" i="154" s="1"/>
  <c r="AF264" i="155"/>
  <c r="AF465" i="155"/>
  <c r="AU251" i="155"/>
  <c r="AK258" i="154"/>
  <c r="AK467" i="154"/>
  <c r="AW218" i="155"/>
  <c r="AW287" i="155" s="1"/>
  <c r="AW210" i="155"/>
  <c r="AW243" i="155" s="1"/>
  <c r="AD257" i="155"/>
  <c r="AC273" i="154"/>
  <c r="AC466" i="154"/>
  <c r="AP295" i="155"/>
  <c r="AP303" i="155" s="1"/>
  <c r="AL318" i="155"/>
  <c r="AH294" i="154"/>
  <c r="AH318" i="154" s="1"/>
  <c r="V264" i="154"/>
  <c r="AO302" i="154"/>
  <c r="R211" i="155"/>
  <c r="R238" i="155"/>
  <c r="V256" i="154"/>
  <c r="AF319" i="155"/>
  <c r="BH625" i="153"/>
  <c r="BH626" i="153" s="1"/>
  <c r="V308" i="154"/>
  <c r="Z308" i="155"/>
  <c r="Z257" i="155"/>
  <c r="AF310" i="154"/>
  <c r="Z272" i="155"/>
  <c r="BX631" i="154"/>
  <c r="BX562" i="154"/>
  <c r="BX625" i="154"/>
  <c r="BX626" i="154" s="1"/>
  <c r="Z311" i="155"/>
  <c r="AL311" i="154"/>
  <c r="AO303" i="154"/>
  <c r="AL267" i="154"/>
  <c r="AL468" i="154"/>
  <c r="AE294" i="154"/>
  <c r="AE318" i="154" s="1"/>
  <c r="AB264" i="155"/>
  <c r="AB465" i="155"/>
  <c r="AJ199" i="154"/>
  <c r="AJ330" i="154"/>
  <c r="AK308" i="155"/>
  <c r="BM625" i="153"/>
  <c r="BM626" i="153" s="1"/>
  <c r="AB259" i="155"/>
  <c r="AG338" i="154"/>
  <c r="AF467" i="155"/>
  <c r="V257" i="154"/>
  <c r="V466" i="154"/>
  <c r="AR251" i="154"/>
  <c r="BC210" i="154"/>
  <c r="BC243" i="154" s="1"/>
  <c r="BC218" i="154"/>
  <c r="BC287" i="154" s="1"/>
  <c r="R272" i="153"/>
  <c r="BS562" i="154"/>
  <c r="BS631" i="154"/>
  <c r="BS625" i="154"/>
  <c r="BS626" i="154" s="1"/>
  <c r="AK274" i="154"/>
  <c r="AE256" i="155"/>
  <c r="AE465" i="155"/>
  <c r="AD265" i="155"/>
  <c r="AP251" i="155"/>
  <c r="AL302" i="155"/>
  <c r="W265" i="154"/>
  <c r="X263" i="154"/>
  <c r="X464" i="154"/>
  <c r="AE228" i="99"/>
  <c r="AE229" i="99"/>
  <c r="AE234" i="99"/>
  <c r="AE512" i="99"/>
  <c r="AE576" i="99" s="1"/>
  <c r="AF17" i="69"/>
  <c r="AK76" i="105" s="1"/>
  <c r="AH3" i="69"/>
  <c r="AH4" i="69" s="1"/>
  <c r="AG2" i="69" a="1"/>
  <c r="AG2" i="69" s="1"/>
  <c r="AG16" i="69"/>
  <c r="AG11" i="69"/>
  <c r="AG13" i="69"/>
  <c r="AG15" i="69"/>
  <c r="AG8" i="69"/>
  <c r="AG14" i="69"/>
  <c r="AG7" i="69"/>
  <c r="AG12" i="69"/>
  <c r="AG9" i="69"/>
  <c r="Y619" i="99"/>
  <c r="Y620" i="99" s="1"/>
  <c r="Y556" i="99"/>
  <c r="AC529" i="99"/>
  <c r="AC581" i="99"/>
  <c r="AC518" i="99"/>
  <c r="Y616" i="99"/>
  <c r="AD576" i="99"/>
  <c r="AD515" i="99"/>
  <c r="AD588" i="99"/>
  <c r="AD526" i="99"/>
  <c r="Z559" i="99" a="1"/>
  <c r="Z559" i="99" s="1"/>
  <c r="Z623" i="99" s="1"/>
  <c r="Z615" i="99"/>
  <c r="Z552" i="99"/>
  <c r="AC590" i="99"/>
  <c r="AK527" i="99"/>
  <c r="AB593" i="99"/>
  <c r="AB594" i="99" s="1"/>
  <c r="AB530" i="99"/>
  <c r="AB544" i="99"/>
  <c r="AE230" i="99"/>
  <c r="AB591" i="99"/>
  <c r="AB224" i="99"/>
  <c r="AE232" i="99"/>
  <c r="AE549" i="99"/>
  <c r="AE613" i="99" s="1"/>
  <c r="AE585" i="99"/>
  <c r="AE524" i="99"/>
  <c r="AF538" i="99"/>
  <c r="AF547" i="99"/>
  <c r="AF611" i="99" s="1"/>
  <c r="AF539" i="99"/>
  <c r="AF603" i="99" s="1"/>
  <c r="AF548" i="99"/>
  <c r="AF612" i="99" s="1"/>
  <c r="AF540" i="99"/>
  <c r="AF604" i="99" s="1"/>
  <c r="AF534" i="99"/>
  <c r="AF598" i="99" s="1"/>
  <c r="AF541" i="99"/>
  <c r="AF605" i="99" s="1"/>
  <c r="AF523" i="99"/>
  <c r="AF587" i="99" s="1"/>
  <c r="AF507" i="99"/>
  <c r="AF522" i="99"/>
  <c r="AF586" i="99" s="1"/>
  <c r="AF509" i="99"/>
  <c r="AF573" i="99" s="1"/>
  <c r="AF521" i="99"/>
  <c r="AF525" i="99"/>
  <c r="AF589" i="99" s="1"/>
  <c r="AF516" i="99"/>
  <c r="AF580" i="99" s="1"/>
  <c r="AF513" i="99"/>
  <c r="AF577" i="99" s="1"/>
  <c r="AF558" i="99"/>
  <c r="AF622" i="99" s="1"/>
  <c r="AF514" i="99"/>
  <c r="AF578" i="99" s="1"/>
  <c r="AF533" i="99"/>
  <c r="AF597" i="99" s="1"/>
  <c r="AE233" i="99"/>
  <c r="AH3" i="99"/>
  <c r="AH4" i="99" s="1"/>
  <c r="AG2" i="99" a="1"/>
  <c r="AG2" i="99" s="1"/>
  <c r="AG554" i="99" s="1"/>
  <c r="AG474" i="99"/>
  <c r="AG475" i="99"/>
  <c r="AG498" i="99"/>
  <c r="AG482" i="99" s="1"/>
  <c r="AG490" i="99" s="1"/>
  <c r="AG499" i="99"/>
  <c r="AG483" i="99" s="1"/>
  <c r="AG491" i="99" s="1"/>
  <c r="AG476" i="99"/>
  <c r="AG477" i="99"/>
  <c r="AG500" i="99"/>
  <c r="AG484" i="99" s="1"/>
  <c r="AG492" i="99" s="1"/>
  <c r="AG501" i="99"/>
  <c r="AG485" i="99" s="1"/>
  <c r="AG493" i="99" s="1"/>
  <c r="AG478" i="99"/>
  <c r="AG479" i="99"/>
  <c r="AG502" i="99"/>
  <c r="AG486" i="99" s="1"/>
  <c r="AG494" i="99" s="1"/>
  <c r="AG503" i="99"/>
  <c r="AG487" i="99" s="1"/>
  <c r="AG495" i="99" s="1"/>
  <c r="AB582" i="99"/>
  <c r="AB223" i="99"/>
  <c r="X631" i="99"/>
  <c r="X625" i="99"/>
  <c r="X626" i="99" s="1"/>
  <c r="X562" i="99"/>
  <c r="AE602" i="99"/>
  <c r="AE542" i="99"/>
  <c r="AE606" i="99" s="1"/>
  <c r="AI5" i="72"/>
  <c r="AI6" i="72" s="1"/>
  <c r="AH36" i="72"/>
  <c r="AH38" i="72" s="1"/>
  <c r="AH39" i="72" s="1"/>
  <c r="AH37" i="72"/>
  <c r="AH47" i="72"/>
  <c r="AH48" i="72"/>
  <c r="AH6" i="98"/>
  <c r="AG70" i="103"/>
  <c r="AL70" i="105" s="1"/>
  <c r="AG35" i="151" s="1"/>
  <c r="AX8" i="98"/>
  <c r="J54" i="294" l="1"/>
  <c r="J55" i="294"/>
  <c r="AI4" i="72" a="1"/>
  <c r="AI4" i="72" s="1"/>
  <c r="AF40" i="151"/>
  <c r="AK132" i="105"/>
  <c r="W7" i="151"/>
  <c r="T108" i="154"/>
  <c r="T45" i="154"/>
  <c r="T110" i="154" s="1"/>
  <c r="AA108" i="154"/>
  <c r="AA45" i="154"/>
  <c r="AA110" i="154" s="1"/>
  <c r="T108" i="155"/>
  <c r="T45" i="155"/>
  <c r="T110" i="155" s="1"/>
  <c r="AB108" i="154"/>
  <c r="AB45" i="154"/>
  <c r="AB110" i="154" s="1"/>
  <c r="S108" i="154"/>
  <c r="S45" i="154"/>
  <c r="S110" i="154" s="1"/>
  <c r="R110" i="155"/>
  <c r="S108" i="155"/>
  <c r="S45" i="155"/>
  <c r="S110" i="155" s="1"/>
  <c r="R108" i="154"/>
  <c r="R45" i="154"/>
  <c r="X108" i="154"/>
  <c r="X45" i="154"/>
  <c r="X110" i="154" s="1"/>
  <c r="U108" i="155"/>
  <c r="U45" i="155"/>
  <c r="U110" i="155" s="1"/>
  <c r="Y108" i="154"/>
  <c r="Y45" i="154"/>
  <c r="Y110" i="154" s="1"/>
  <c r="BV567" i="153"/>
  <c r="BV631" i="153" s="1"/>
  <c r="BV562" i="153"/>
  <c r="N567" i="153"/>
  <c r="N562" i="153"/>
  <c r="P562" i="153" s="1"/>
  <c r="BP567" i="153"/>
  <c r="BP631" i="153" s="1"/>
  <c r="BP562" i="153"/>
  <c r="BS567" i="153"/>
  <c r="BS631" i="153" s="1"/>
  <c r="BS562" i="153"/>
  <c r="M567" i="153"/>
  <c r="M631" i="153" s="1"/>
  <c r="M562" i="153"/>
  <c r="BO567" i="153"/>
  <c r="BO631" i="153" s="1"/>
  <c r="BO562" i="153"/>
  <c r="BU567" i="153"/>
  <c r="BU631" i="153" s="1"/>
  <c r="BU562" i="153"/>
  <c r="BQ567" i="153"/>
  <c r="BQ631" i="153" s="1"/>
  <c r="BQ562" i="153"/>
  <c r="AL213" i="154"/>
  <c r="AL282" i="154" s="1"/>
  <c r="AL290" i="154" s="1"/>
  <c r="AL314" i="154" s="1"/>
  <c r="AY197" i="154"/>
  <c r="AY213" i="154" s="1"/>
  <c r="Z211" i="154"/>
  <c r="BK177" i="154"/>
  <c r="BK185" i="154" s="1"/>
  <c r="BK197" i="154" s="1"/>
  <c r="BK205" i="154" s="1"/>
  <c r="BH177" i="154"/>
  <c r="BH185" i="154" s="1"/>
  <c r="BH328" i="154" s="1"/>
  <c r="BH338" i="154" s="1"/>
  <c r="BJ177" i="154"/>
  <c r="BJ185" i="154" s="1"/>
  <c r="BJ328" i="154" s="1"/>
  <c r="BJ338" i="154" s="1"/>
  <c r="BL177" i="154"/>
  <c r="BL185" i="154" s="1"/>
  <c r="BL328" i="154" s="1"/>
  <c r="BL338" i="154" s="1"/>
  <c r="BI177" i="154"/>
  <c r="BI185" i="154" s="1"/>
  <c r="BI328" i="154" s="1"/>
  <c r="BI338" i="154" s="1"/>
  <c r="BE197" i="154"/>
  <c r="BE213" i="154" s="1"/>
  <c r="AM205" i="154"/>
  <c r="AM238" i="154" s="1"/>
  <c r="AM246" i="154" s="1"/>
  <c r="W170" i="154"/>
  <c r="BM177" i="154" s="1"/>
  <c r="BM185" i="154" s="1"/>
  <c r="BM197" i="154" s="1"/>
  <c r="BM205" i="154" s="1"/>
  <c r="AZ197" i="154"/>
  <c r="AZ205" i="154" s="1"/>
  <c r="AV328" i="154"/>
  <c r="AV338" i="154" s="1"/>
  <c r="AW328" i="154"/>
  <c r="AW338" i="154" s="1"/>
  <c r="AX328" i="154"/>
  <c r="AX338" i="154" s="1"/>
  <c r="AE129" i="104"/>
  <c r="AE64" i="104" s="1"/>
  <c r="AJ64" i="105" s="1"/>
  <c r="AE30" i="151" s="1"/>
  <c r="M625" i="153"/>
  <c r="M626" i="153" s="1"/>
  <c r="AE129" i="103"/>
  <c r="V417" i="154"/>
  <c r="V456" i="154" s="1" a="1"/>
  <c r="V456" i="154" s="1"/>
  <c r="AL417" i="153"/>
  <c r="AL456" i="153" s="1" a="1"/>
  <c r="AL456" i="153" s="1"/>
  <c r="X238" i="154"/>
  <c r="X246" i="154" s="1"/>
  <c r="AF415" i="155"/>
  <c r="AF454" i="155" s="1" a="1"/>
  <c r="AF454" i="155" s="1"/>
  <c r="AF417" i="153"/>
  <c r="AF456" i="153" s="1" a="1"/>
  <c r="AF456" i="153" s="1"/>
  <c r="AL416" i="154"/>
  <c r="AL455" i="154" s="1" a="1"/>
  <c r="AL455" i="154" s="1"/>
  <c r="AA415" i="154"/>
  <c r="AA454" i="154" s="1" a="1"/>
  <c r="AA454" i="154" s="1"/>
  <c r="V414" i="154"/>
  <c r="V453" i="154" s="1" a="1"/>
  <c r="V453" i="154" s="1"/>
  <c r="AF417" i="154"/>
  <c r="AF456" i="154" s="1" a="1"/>
  <c r="AF456" i="154" s="1"/>
  <c r="AK416" i="154"/>
  <c r="AK455" i="154" s="1" a="1"/>
  <c r="AK455" i="154" s="1"/>
  <c r="AO416" i="154"/>
  <c r="AO455" i="154" s="1" a="1"/>
  <c r="AO455" i="154" s="1"/>
  <c r="AM417" i="155"/>
  <c r="AM456" i="155" s="1" a="1"/>
  <c r="AM456" i="155" s="1"/>
  <c r="AO417" i="155"/>
  <c r="AO456" i="155" s="1" a="1"/>
  <c r="AO456" i="155" s="1"/>
  <c r="Y415" i="154"/>
  <c r="Y454" i="154" s="1" a="1"/>
  <c r="Y454" i="154" s="1"/>
  <c r="AL417" i="155"/>
  <c r="AL456" i="155" s="1" a="1"/>
  <c r="AL456" i="155" s="1"/>
  <c r="W416" i="154"/>
  <c r="W455" i="154" s="1" a="1"/>
  <c r="W455" i="154" s="1"/>
  <c r="AI414" i="155"/>
  <c r="AI453" i="155" s="1" a="1"/>
  <c r="AI453" i="155" s="1"/>
  <c r="R415" i="153"/>
  <c r="R454" i="153" s="1" a="1"/>
  <c r="R454" i="153" s="1"/>
  <c r="AC415" i="154"/>
  <c r="AC454" i="154" s="1" a="1"/>
  <c r="AC454" i="154" s="1"/>
  <c r="W417" i="154"/>
  <c r="W456" i="154" s="1" a="1"/>
  <c r="W456" i="154" s="1"/>
  <c r="AB413" i="155"/>
  <c r="AB452" i="155" s="1" a="1"/>
  <c r="AB452" i="155" s="1"/>
  <c r="AF414" i="155"/>
  <c r="AF453" i="155" s="1" a="1"/>
  <c r="AF453" i="155" s="1"/>
  <c r="W413" i="154"/>
  <c r="W452" i="154" s="1" a="1"/>
  <c r="W452" i="154" s="1"/>
  <c r="AF416" i="155"/>
  <c r="AF455" i="155" s="1" a="1"/>
  <c r="AF455" i="155" s="1"/>
  <c r="AC416" i="154"/>
  <c r="AC455" i="154" s="1" a="1"/>
  <c r="AC455" i="154" s="1"/>
  <c r="AD417" i="154"/>
  <c r="AD456" i="154" s="1" a="1"/>
  <c r="AD456" i="154" s="1"/>
  <c r="AD415" i="154"/>
  <c r="AD454" i="154" s="1" a="1"/>
  <c r="AD454" i="154" s="1"/>
  <c r="Z415" i="155"/>
  <c r="Z454" i="155" s="1" a="1"/>
  <c r="Z454" i="155" s="1"/>
  <c r="AB414" i="155"/>
  <c r="AB453" i="155" s="1" a="1"/>
  <c r="AB453" i="155" s="1"/>
  <c r="AI416" i="155"/>
  <c r="AI455" i="155" s="1" a="1"/>
  <c r="AI455" i="155" s="1"/>
  <c r="AD417" i="155"/>
  <c r="AD456" i="155" s="1" a="1"/>
  <c r="AD456" i="155" s="1"/>
  <c r="AE414" i="155"/>
  <c r="AE453" i="155" s="1" a="1"/>
  <c r="AE453" i="155" s="1"/>
  <c r="AD415" i="155"/>
  <c r="AD454" i="155" s="1" a="1"/>
  <c r="AD454" i="155" s="1"/>
  <c r="X417" i="153"/>
  <c r="X456" i="153" s="1" a="1"/>
  <c r="X456" i="153" s="1"/>
  <c r="AJ414" i="155"/>
  <c r="AJ453" i="155" s="1" a="1"/>
  <c r="AJ453" i="155" s="1"/>
  <c r="AL416" i="155"/>
  <c r="AL455" i="155" s="1" a="1"/>
  <c r="AL455" i="155" s="1"/>
  <c r="X417" i="154"/>
  <c r="X456" i="154" s="1" a="1"/>
  <c r="X456" i="154" s="1"/>
  <c r="Z416" i="154"/>
  <c r="Z455" i="154" s="1" a="1"/>
  <c r="Z455" i="154" s="1"/>
  <c r="AA413" i="154"/>
  <c r="AA452" i="154" s="1" a="1"/>
  <c r="AA452" i="154" s="1"/>
  <c r="AB416" i="155"/>
  <c r="AB455" i="155" s="1" a="1"/>
  <c r="AB455" i="155" s="1"/>
  <c r="R417" i="153"/>
  <c r="R456" i="153" s="1" a="1"/>
  <c r="R456" i="153" s="1"/>
  <c r="AM417" i="154"/>
  <c r="AM456" i="154" s="1" a="1"/>
  <c r="AM456" i="154" s="1"/>
  <c r="AJ416" i="155"/>
  <c r="AJ455" i="155" s="1" a="1"/>
  <c r="AJ455" i="155" s="1"/>
  <c r="AA417" i="153"/>
  <c r="AA456" i="153" s="1" a="1"/>
  <c r="AA456" i="153" s="1"/>
  <c r="AJ417" i="153"/>
  <c r="AJ456" i="153" s="1" a="1"/>
  <c r="AJ456" i="153" s="1"/>
  <c r="AC417" i="154"/>
  <c r="AC456" i="154" s="1" a="1"/>
  <c r="AC456" i="154" s="1"/>
  <c r="AE417" i="155"/>
  <c r="AE456" i="155" s="1" a="1"/>
  <c r="AE456" i="155" s="1"/>
  <c r="AJ417" i="154"/>
  <c r="AJ456" i="154" s="1" a="1"/>
  <c r="AJ456" i="154" s="1"/>
  <c r="R416" i="153"/>
  <c r="R455" i="153" s="1" a="1"/>
  <c r="R455" i="153" s="1"/>
  <c r="AE416" i="155"/>
  <c r="AE455" i="155" s="1" a="1"/>
  <c r="AE455" i="155" s="1"/>
  <c r="AK417" i="155"/>
  <c r="AK456" i="155" s="1" a="1"/>
  <c r="AK456" i="155" s="1"/>
  <c r="AN416" i="155"/>
  <c r="AN455" i="155" s="1" a="1"/>
  <c r="AN455" i="155" s="1"/>
  <c r="U282" i="154"/>
  <c r="U288" i="154" s="1"/>
  <c r="AH415" i="155"/>
  <c r="AH454" i="155" s="1" a="1"/>
  <c r="AH454" i="155" s="1"/>
  <c r="AI417" i="153"/>
  <c r="AI456" i="153" s="1" a="1"/>
  <c r="AI456" i="153" s="1"/>
  <c r="Z416" i="155"/>
  <c r="Z455" i="155" s="1" a="1"/>
  <c r="Z455" i="155" s="1"/>
  <c r="U415" i="154"/>
  <c r="U454" i="154" s="1" a="1"/>
  <c r="U454" i="154" s="1"/>
  <c r="AO416" i="155"/>
  <c r="AO455" i="155" s="1" a="1"/>
  <c r="AO455" i="155" s="1"/>
  <c r="Z417" i="154"/>
  <c r="Z456" i="154" s="1" a="1"/>
  <c r="Z456" i="154" s="1"/>
  <c r="W414" i="155"/>
  <c r="W453" i="155" s="1" a="1"/>
  <c r="W453" i="155" s="1"/>
  <c r="AH417" i="155"/>
  <c r="AH456" i="155" s="1" a="1"/>
  <c r="AH456" i="155" s="1"/>
  <c r="Y414" i="155"/>
  <c r="Y453" i="155" s="1" a="1"/>
  <c r="Y453" i="155" s="1"/>
  <c r="U414" i="154"/>
  <c r="U453" i="154" s="1" a="1"/>
  <c r="U453" i="154" s="1"/>
  <c r="R415" i="155"/>
  <c r="R454" i="155" s="1" a="1"/>
  <c r="R454" i="155" s="1"/>
  <c r="AI417" i="155"/>
  <c r="AI456" i="155" s="1" a="1"/>
  <c r="AI456" i="155" s="1"/>
  <c r="AK416" i="155"/>
  <c r="AK455" i="155" s="1" a="1"/>
  <c r="AK455" i="155" s="1"/>
  <c r="AM416" i="154"/>
  <c r="AM455" i="154" s="1" a="1"/>
  <c r="AM455" i="154" s="1"/>
  <c r="Y413" i="154"/>
  <c r="Y452" i="154" s="1" a="1"/>
  <c r="Y452" i="154" s="1"/>
  <c r="AA417" i="154"/>
  <c r="AA456" i="154" s="1" a="1"/>
  <c r="AA456" i="154" s="1"/>
  <c r="U417" i="154"/>
  <c r="U456" i="154" s="1" a="1"/>
  <c r="U456" i="154" s="1"/>
  <c r="V413" i="154"/>
  <c r="V452" i="154" s="1" a="1"/>
  <c r="V452" i="154" s="1"/>
  <c r="AF415" i="154"/>
  <c r="AF454" i="154" s="1" a="1"/>
  <c r="AF454" i="154" s="1"/>
  <c r="AL417" i="154"/>
  <c r="AL456" i="154" s="1" a="1"/>
  <c r="AL456" i="154" s="1"/>
  <c r="AF416" i="154"/>
  <c r="AF455" i="154" s="1" a="1"/>
  <c r="AF455" i="154" s="1"/>
  <c r="AM417" i="153"/>
  <c r="AM456" i="153" s="1" a="1"/>
  <c r="AM456" i="153" s="1"/>
  <c r="AO417" i="154"/>
  <c r="AO456" i="154" s="1" a="1"/>
  <c r="AO456" i="154" s="1"/>
  <c r="AJ417" i="155"/>
  <c r="AJ456" i="155" s="1" a="1"/>
  <c r="AJ456" i="155" s="1"/>
  <c r="Z417" i="155"/>
  <c r="Z456" i="155" s="1" a="1"/>
  <c r="Z456" i="155" s="1"/>
  <c r="AK417" i="153"/>
  <c r="AK456" i="153" s="1" a="1"/>
  <c r="AK456" i="153" s="1"/>
  <c r="AA416" i="154"/>
  <c r="AA455" i="154" s="1" a="1"/>
  <c r="AA455" i="154" s="1"/>
  <c r="V416" i="154"/>
  <c r="V455" i="154" s="1" a="1"/>
  <c r="V455" i="154" s="1"/>
  <c r="AM416" i="155"/>
  <c r="AM455" i="155" s="1" a="1"/>
  <c r="AM455" i="155" s="1"/>
  <c r="R413" i="153"/>
  <c r="R452" i="153" s="1" a="1"/>
  <c r="R452" i="153" s="1"/>
  <c r="AN417" i="155"/>
  <c r="AN456" i="155" s="1" a="1"/>
  <c r="AN456" i="155" s="1"/>
  <c r="V415" i="154"/>
  <c r="V454" i="154" s="1" a="1"/>
  <c r="V454" i="154" s="1"/>
  <c r="AB415" i="155"/>
  <c r="AB454" i="155" s="1" a="1"/>
  <c r="AB454" i="155" s="1"/>
  <c r="Y416" i="154"/>
  <c r="Y455" i="154" s="1" a="1"/>
  <c r="Y455" i="154" s="1"/>
  <c r="U416" i="154"/>
  <c r="U455" i="154" s="1" a="1"/>
  <c r="U455" i="154" s="1"/>
  <c r="Y414" i="154"/>
  <c r="Y453" i="154" s="1" a="1"/>
  <c r="Y453" i="154" s="1"/>
  <c r="W414" i="154"/>
  <c r="AF417" i="155"/>
  <c r="AF456" i="155" s="1" a="1"/>
  <c r="AF456" i="155" s="1"/>
  <c r="R416" i="155"/>
  <c r="R455" i="155" s="1" a="1"/>
  <c r="R455" i="155" s="1"/>
  <c r="R414" i="153"/>
  <c r="R453" i="153" s="1" a="1"/>
  <c r="R453" i="153" s="1"/>
  <c r="Y417" i="154"/>
  <c r="Y456" i="154" s="1" a="1"/>
  <c r="Y456" i="154" s="1"/>
  <c r="X413" i="154"/>
  <c r="X452" i="154" s="1" a="1"/>
  <c r="X452" i="154" s="1"/>
  <c r="W415" i="154"/>
  <c r="W454" i="154" s="1" a="1"/>
  <c r="W454" i="154" s="1"/>
  <c r="AE415" i="155"/>
  <c r="AE454" i="155" s="1" a="1"/>
  <c r="AE454" i="155" s="1"/>
  <c r="R417" i="155"/>
  <c r="R456" i="155" s="1" a="1"/>
  <c r="R456" i="155" s="1"/>
  <c r="X414" i="155"/>
  <c r="X453" i="155" s="1" a="1"/>
  <c r="X453" i="155" s="1"/>
  <c r="Z415" i="154"/>
  <c r="Z454" i="154" s="1" a="1"/>
  <c r="Z454" i="154" s="1"/>
  <c r="Z413" i="155"/>
  <c r="Z452" i="155" s="1" a="1"/>
  <c r="Z452" i="155" s="1"/>
  <c r="R413" i="155"/>
  <c r="R452" i="155" s="1" a="1"/>
  <c r="R452" i="155" s="1"/>
  <c r="S417" i="153"/>
  <c r="S456" i="153" s="1" a="1"/>
  <c r="S456" i="153" s="1"/>
  <c r="AK414" i="155"/>
  <c r="AK453" i="155" s="1" a="1"/>
  <c r="AK453" i="155" s="1"/>
  <c r="AD416" i="154"/>
  <c r="AD455" i="154" s="1" a="1"/>
  <c r="AD455" i="154" s="1"/>
  <c r="AO417" i="153"/>
  <c r="AO456" i="153" s="1" a="1"/>
  <c r="AO456" i="153" s="1"/>
  <c r="Z413" i="154"/>
  <c r="Z452" i="154" s="1" a="1"/>
  <c r="Z452" i="154" s="1"/>
  <c r="AH416" i="155"/>
  <c r="AH455" i="155" s="1" a="1"/>
  <c r="AH455" i="155" s="1"/>
  <c r="X416" i="154"/>
  <c r="X455" i="154" s="1" a="1"/>
  <c r="X455" i="154" s="1"/>
  <c r="AD414" i="155"/>
  <c r="AD453" i="155" s="1" a="1"/>
  <c r="AD453" i="155" s="1"/>
  <c r="AB417" i="155"/>
  <c r="AB456" i="155" s="1" a="1"/>
  <c r="AB456" i="155" s="1"/>
  <c r="U413" i="154"/>
  <c r="U452" i="154" s="1" a="1"/>
  <c r="U452" i="154" s="1"/>
  <c r="AH414" i="155"/>
  <c r="AH453" i="155" s="1" a="1"/>
  <c r="AH453" i="155" s="1"/>
  <c r="R414" i="155"/>
  <c r="R453" i="155" s="1" a="1"/>
  <c r="R453" i="155" s="1"/>
  <c r="AJ416" i="154"/>
  <c r="AJ455" i="154" s="1" a="1"/>
  <c r="AJ455" i="154" s="1"/>
  <c r="AD416" i="155"/>
  <c r="AD455" i="155" s="1" a="1"/>
  <c r="AD455" i="155" s="1"/>
  <c r="X415" i="154"/>
  <c r="X454" i="154" s="1" a="1"/>
  <c r="X454" i="154" s="1"/>
  <c r="AC417" i="153"/>
  <c r="AC456" i="153" s="1" a="1"/>
  <c r="AC456" i="153" s="1"/>
  <c r="AC414" i="155"/>
  <c r="AC453" i="155" s="1" a="1"/>
  <c r="AC453" i="155" s="1"/>
  <c r="Z414" i="155"/>
  <c r="Z453" i="155" s="1" a="1"/>
  <c r="Z453" i="155" s="1"/>
  <c r="AA414" i="155"/>
  <c r="AA453" i="155" s="1" a="1"/>
  <c r="AA453" i="155" s="1"/>
  <c r="AK417" i="154"/>
  <c r="AK456" i="154" s="1" a="1"/>
  <c r="AK456" i="154" s="1"/>
  <c r="AE257" i="154"/>
  <c r="AG273" i="154"/>
  <c r="X465" i="154"/>
  <c r="AH267" i="154"/>
  <c r="AP258" i="154"/>
  <c r="AT274" i="155"/>
  <c r="AE272" i="154"/>
  <c r="AU267" i="155"/>
  <c r="AH266" i="154"/>
  <c r="AG265" i="155"/>
  <c r="AS275" i="153"/>
  <c r="AG256" i="155"/>
  <c r="AP275" i="154"/>
  <c r="AQ274" i="155"/>
  <c r="AG272" i="154"/>
  <c r="AE259" i="154"/>
  <c r="AH264" i="154"/>
  <c r="AR267" i="154"/>
  <c r="AE259" i="153"/>
  <c r="AH468" i="153"/>
  <c r="AG274" i="154"/>
  <c r="AR275" i="155"/>
  <c r="AN275" i="154"/>
  <c r="Z264" i="154"/>
  <c r="AS275" i="155"/>
  <c r="AU259" i="154"/>
  <c r="AC256" i="154"/>
  <c r="AI266" i="154"/>
  <c r="AY468" i="155"/>
  <c r="AG259" i="155"/>
  <c r="AR274" i="155"/>
  <c r="AG468" i="153"/>
  <c r="AR266" i="154"/>
  <c r="AP275" i="155"/>
  <c r="AG258" i="155"/>
  <c r="AN274" i="154"/>
  <c r="AG259" i="154"/>
  <c r="AQ267" i="153"/>
  <c r="AV275" i="155"/>
  <c r="AD259" i="153"/>
  <c r="AS275" i="154"/>
  <c r="AT467" i="154"/>
  <c r="AH257" i="154"/>
  <c r="AE258" i="154"/>
  <c r="AS266" i="154"/>
  <c r="AN275" i="153"/>
  <c r="AT275" i="155"/>
  <c r="AS266" i="155"/>
  <c r="AI259" i="154"/>
  <c r="AT259" i="154"/>
  <c r="AD264" i="154"/>
  <c r="AP266" i="155"/>
  <c r="AR259" i="153"/>
  <c r="AX267" i="153"/>
  <c r="BU567" i="155"/>
  <c r="BU631" i="155" s="1"/>
  <c r="N561" i="155"/>
  <c r="N562" i="155" s="1"/>
  <c r="P562" i="155" s="1"/>
  <c r="Z561" i="99"/>
  <c r="Z567" i="99" s="1"/>
  <c r="AL127" i="105"/>
  <c r="BU625" i="155"/>
  <c r="BU626" i="155" s="1"/>
  <c r="BC197" i="154"/>
  <c r="BC213" i="154" s="1"/>
  <c r="AR213" i="154"/>
  <c r="AR282" i="154" s="1"/>
  <c r="BT562" i="154"/>
  <c r="BA328" i="154"/>
  <c r="BA338" i="154" s="1"/>
  <c r="AE129" i="99"/>
  <c r="BB197" i="154"/>
  <c r="BB205" i="154" s="1"/>
  <c r="P559" i="155"/>
  <c r="BQ177" i="154"/>
  <c r="BQ185" i="154" s="1"/>
  <c r="BN177" i="154"/>
  <c r="BN185" i="154" s="1"/>
  <c r="BR177" i="154"/>
  <c r="BR185" i="154" s="1"/>
  <c r="BR328" i="154" s="1"/>
  <c r="BP177" i="154"/>
  <c r="BP185" i="154" s="1"/>
  <c r="BP197" i="154" s="1"/>
  <c r="BO177" i="154"/>
  <c r="BO185" i="154" s="1"/>
  <c r="BO328" i="154" s="1"/>
  <c r="T211" i="155"/>
  <c r="T238" i="155"/>
  <c r="T219" i="155"/>
  <c r="T282" i="155"/>
  <c r="U219" i="155"/>
  <c r="U282" i="155"/>
  <c r="T211" i="154"/>
  <c r="T238" i="154"/>
  <c r="U238" i="155"/>
  <c r="U211" i="155"/>
  <c r="T282" i="154"/>
  <c r="T219" i="154"/>
  <c r="S219" i="155"/>
  <c r="S282" i="155"/>
  <c r="S211" i="155"/>
  <c r="S238" i="155"/>
  <c r="S219" i="154"/>
  <c r="S282" i="154"/>
  <c r="S211" i="154"/>
  <c r="S238" i="154"/>
  <c r="R211" i="154"/>
  <c r="R238" i="154"/>
  <c r="R219" i="154"/>
  <c r="R282" i="154"/>
  <c r="N623" i="155"/>
  <c r="P623" i="155" s="1"/>
  <c r="AF618" i="99"/>
  <c r="AF64" i="99"/>
  <c r="BT625" i="154"/>
  <c r="BT626" i="154" s="1"/>
  <c r="AT205" i="154"/>
  <c r="AT238" i="154" s="1"/>
  <c r="BU562" i="155"/>
  <c r="AU205" i="154"/>
  <c r="AU238" i="154" s="1"/>
  <c r="BG197" i="154"/>
  <c r="BG213" i="154" s="1"/>
  <c r="BS177" i="154"/>
  <c r="BS185" i="154" s="1"/>
  <c r="BS197" i="154" s="1"/>
  <c r="AA608" i="99"/>
  <c r="AR311" i="154"/>
  <c r="AS274" i="154"/>
  <c r="AU259" i="155"/>
  <c r="AR267" i="155"/>
  <c r="AP311" i="154"/>
  <c r="AG266" i="154"/>
  <c r="AS259" i="154"/>
  <c r="AA316" i="154"/>
  <c r="AX275" i="153"/>
  <c r="AP274" i="155"/>
  <c r="AP310" i="154"/>
  <c r="AG275" i="154"/>
  <c r="AG275" i="153"/>
  <c r="AT267" i="154"/>
  <c r="AE275" i="153"/>
  <c r="AG257" i="154"/>
  <c r="AD300" i="154"/>
  <c r="AG275" i="155"/>
  <c r="AP258" i="155"/>
  <c r="AQ319" i="155"/>
  <c r="AS318" i="154"/>
  <c r="AG319" i="155"/>
  <c r="AG303" i="155"/>
  <c r="AS319" i="155"/>
  <c r="AQ311" i="153"/>
  <c r="AH316" i="154"/>
  <c r="AT267" i="155"/>
  <c r="AH308" i="154"/>
  <c r="AD311" i="153"/>
  <c r="AE273" i="154"/>
  <c r="AU311" i="154"/>
  <c r="AG302" i="155"/>
  <c r="AQ319" i="153"/>
  <c r="AG310" i="155"/>
  <c r="AE264" i="154"/>
  <c r="AH258" i="154"/>
  <c r="AG310" i="154"/>
  <c r="AY311" i="155"/>
  <c r="AG302" i="154"/>
  <c r="AP319" i="155"/>
  <c r="AI274" i="154"/>
  <c r="AR302" i="154"/>
  <c r="AG311" i="154"/>
  <c r="AG319" i="154"/>
  <c r="AG317" i="154"/>
  <c r="AN267" i="154"/>
  <c r="AT303" i="154"/>
  <c r="AH317" i="154"/>
  <c r="AS310" i="155"/>
  <c r="AC264" i="154"/>
  <c r="AG272" i="155"/>
  <c r="AN258" i="154"/>
  <c r="AS303" i="155"/>
  <c r="AH303" i="153"/>
  <c r="AR319" i="154"/>
  <c r="AS303" i="153"/>
  <c r="AQ266" i="155"/>
  <c r="AS319" i="153"/>
  <c r="AP266" i="154"/>
  <c r="AT258" i="154"/>
  <c r="AT319" i="154"/>
  <c r="AR310" i="154"/>
  <c r="AT274" i="154"/>
  <c r="AA300" i="154"/>
  <c r="AG308" i="154"/>
  <c r="AH259" i="154"/>
  <c r="AT310" i="154"/>
  <c r="AT266" i="154"/>
  <c r="AE310" i="154"/>
  <c r="AB298" i="154"/>
  <c r="AB314" i="154"/>
  <c r="AY303" i="155"/>
  <c r="AE317" i="154"/>
  <c r="AD272" i="154"/>
  <c r="AI267" i="154"/>
  <c r="X300" i="154"/>
  <c r="AR274" i="154"/>
  <c r="AG273" i="155"/>
  <c r="AS259" i="155"/>
  <c r="X316" i="154"/>
  <c r="AN259" i="153"/>
  <c r="AH259" i="153"/>
  <c r="AX319" i="153"/>
  <c r="AY275" i="155"/>
  <c r="AD319" i="153"/>
  <c r="AH267" i="153"/>
  <c r="AR266" i="155"/>
  <c r="AX311" i="153"/>
  <c r="AY267" i="155"/>
  <c r="AR318" i="155"/>
  <c r="AP267" i="154"/>
  <c r="AI303" i="154"/>
  <c r="AQ311" i="155"/>
  <c r="AP311" i="155"/>
  <c r="AR311" i="155"/>
  <c r="AV303" i="155"/>
  <c r="AG266" i="155"/>
  <c r="AR319" i="155"/>
  <c r="AI318" i="154"/>
  <c r="X264" i="154"/>
  <c r="AV259" i="155"/>
  <c r="AH311" i="153"/>
  <c r="AZ251" i="154"/>
  <c r="AJ340" i="154"/>
  <c r="AH310" i="154"/>
  <c r="BC218" i="155"/>
  <c r="BC287" i="155" s="1"/>
  <c r="BC210" i="155"/>
  <c r="BC243" i="155" s="1"/>
  <c r="AK290" i="154"/>
  <c r="AK298" i="154" s="1"/>
  <c r="AE308" i="154"/>
  <c r="AQ295" i="154"/>
  <c r="AQ319" i="154" s="1"/>
  <c r="Z288" i="154"/>
  <c r="Z290" i="154"/>
  <c r="Z296" i="154" s="1"/>
  <c r="Z31" i="154" s="1"/>
  <c r="W246" i="154"/>
  <c r="W244" i="154"/>
  <c r="Z246" i="154"/>
  <c r="Z244" i="154"/>
  <c r="AT303" i="155"/>
  <c r="AG300" i="154"/>
  <c r="AX295" i="154"/>
  <c r="AX319" i="154" s="1"/>
  <c r="BG218" i="155"/>
  <c r="BG287" i="155" s="1"/>
  <c r="BG210" i="155"/>
  <c r="BG243" i="155" s="1"/>
  <c r="AQ267" i="155"/>
  <c r="AQ468" i="155"/>
  <c r="BA295" i="154"/>
  <c r="BA319" i="154" s="1"/>
  <c r="AQ251" i="154"/>
  <c r="AB270" i="154"/>
  <c r="AB463" i="154"/>
  <c r="AM290" i="154"/>
  <c r="AM306" i="154" s="1"/>
  <c r="BA251" i="154"/>
  <c r="AH265" i="154"/>
  <c r="AH466" i="154"/>
  <c r="R246" i="155"/>
  <c r="R244" i="155"/>
  <c r="AX205" i="154"/>
  <c r="AX213" i="154"/>
  <c r="AR275" i="153"/>
  <c r="AP259" i="154"/>
  <c r="AP468" i="154"/>
  <c r="AS274" i="155"/>
  <c r="BF197" i="154"/>
  <c r="BF328" i="154"/>
  <c r="AG258" i="154"/>
  <c r="AG467" i="154"/>
  <c r="N623" i="154"/>
  <c r="P623" i="154" s="1"/>
  <c r="P559" i="154"/>
  <c r="AO246" i="154"/>
  <c r="AI468" i="154"/>
  <c r="AE267" i="154"/>
  <c r="AK215" i="154"/>
  <c r="AK207" i="154"/>
  <c r="AC290" i="154"/>
  <c r="BA251" i="155"/>
  <c r="BD218" i="155"/>
  <c r="BD287" i="155" s="1"/>
  <c r="BD210" i="155"/>
  <c r="BD243" i="155" s="1"/>
  <c r="AH275" i="154"/>
  <c r="AK340" i="154"/>
  <c r="AG257" i="155"/>
  <c r="AG466" i="155"/>
  <c r="V290" i="154"/>
  <c r="V296" i="154" s="1"/>
  <c r="V31" i="154" s="1"/>
  <c r="V288" i="154"/>
  <c r="AT310" i="155"/>
  <c r="BA295" i="155"/>
  <c r="BA303" i="155" s="1"/>
  <c r="BF218" i="153"/>
  <c r="BF287" i="153" s="1"/>
  <c r="BF210" i="153"/>
  <c r="BF243" i="153" s="1"/>
  <c r="BC295" i="154"/>
  <c r="BC311" i="154" s="1"/>
  <c r="AU319" i="155"/>
  <c r="AR267" i="153"/>
  <c r="AR468" i="153"/>
  <c r="AO290" i="154"/>
  <c r="AO314" i="154" s="1"/>
  <c r="AS267" i="153"/>
  <c r="AN318" i="154"/>
  <c r="AP302" i="155"/>
  <c r="AE275" i="154"/>
  <c r="AE468" i="154"/>
  <c r="BE338" i="154"/>
  <c r="AT302" i="155"/>
  <c r="AV251" i="154"/>
  <c r="AN282" i="154"/>
  <c r="AD267" i="153"/>
  <c r="AS258" i="155"/>
  <c r="AS467" i="155"/>
  <c r="BE295" i="155"/>
  <c r="BE319" i="155" s="1"/>
  <c r="BC251" i="154"/>
  <c r="AU303" i="155"/>
  <c r="AG264" i="155"/>
  <c r="AG465" i="155"/>
  <c r="AG316" i="155"/>
  <c r="BE251" i="155"/>
  <c r="BD328" i="154"/>
  <c r="BD197" i="154"/>
  <c r="AN310" i="154"/>
  <c r="AP310" i="155"/>
  <c r="W290" i="154"/>
  <c r="W296" i="154" s="1"/>
  <c r="W31" i="154" s="1"/>
  <c r="W288" i="154"/>
  <c r="AC272" i="154"/>
  <c r="AC465" i="154"/>
  <c r="AV205" i="154"/>
  <c r="AV213" i="154"/>
  <c r="AI248" i="154"/>
  <c r="AS310" i="154"/>
  <c r="AS258" i="154"/>
  <c r="AS467" i="154"/>
  <c r="BG295" i="154"/>
  <c r="BG311" i="154" s="1"/>
  <c r="AV295" i="153"/>
  <c r="AV303" i="153" s="1"/>
  <c r="AZ338" i="154"/>
  <c r="AV295" i="154"/>
  <c r="AV319" i="154" s="1"/>
  <c r="BF218" i="154"/>
  <c r="BF287" i="154" s="1"/>
  <c r="BF210" i="154"/>
  <c r="BF243" i="154" s="1"/>
  <c r="AH468" i="154"/>
  <c r="AI292" i="154"/>
  <c r="AI300" i="154" s="1"/>
  <c r="AP274" i="154"/>
  <c r="AP467" i="154"/>
  <c r="AN259" i="154"/>
  <c r="AN468" i="154"/>
  <c r="AI258" i="154"/>
  <c r="AI467" i="154"/>
  <c r="BG251" i="154"/>
  <c r="AV251" i="153"/>
  <c r="AT251" i="153"/>
  <c r="AF290" i="154"/>
  <c r="AN238" i="154"/>
  <c r="AG300" i="155"/>
  <c r="AP467" i="155"/>
  <c r="AY295" i="153"/>
  <c r="AY319" i="153" s="1"/>
  <c r="V244" i="154"/>
  <c r="V246" i="154"/>
  <c r="AT295" i="153"/>
  <c r="AT311" i="153" s="1"/>
  <c r="BE251" i="154"/>
  <c r="BB251" i="153"/>
  <c r="BD295" i="153"/>
  <c r="BD311" i="153" s="1"/>
  <c r="AJ290" i="154"/>
  <c r="AJ298" i="154" s="1"/>
  <c r="AT259" i="155"/>
  <c r="AT468" i="155"/>
  <c r="AE302" i="154"/>
  <c r="BD251" i="153"/>
  <c r="AW251" i="154"/>
  <c r="AG267" i="154"/>
  <c r="AG468" i="154"/>
  <c r="AG309" i="154"/>
  <c r="AN266" i="154"/>
  <c r="AN467" i="154"/>
  <c r="BV625" i="153"/>
  <c r="BV626" i="153" s="1"/>
  <c r="AY251" i="153"/>
  <c r="AC316" i="154"/>
  <c r="BE295" i="154"/>
  <c r="BE319" i="154" s="1"/>
  <c r="BB295" i="153"/>
  <c r="BB303" i="153" s="1"/>
  <c r="AR238" i="154"/>
  <c r="BG295" i="153"/>
  <c r="BG319" i="153" s="1"/>
  <c r="AS267" i="154"/>
  <c r="AS468" i="154"/>
  <c r="AW213" i="154"/>
  <c r="AW205" i="154"/>
  <c r="BQ625" i="154"/>
  <c r="BQ626" i="154" s="1"/>
  <c r="BQ562" i="154"/>
  <c r="BQ631" i="154"/>
  <c r="AR258" i="154"/>
  <c r="AR467" i="154"/>
  <c r="AI238" i="154"/>
  <c r="AD246" i="154"/>
  <c r="AT275" i="154"/>
  <c r="AT468" i="154"/>
  <c r="AN267" i="153"/>
  <c r="AN468" i="153"/>
  <c r="AD290" i="154"/>
  <c r="BP625" i="153"/>
  <c r="BP626" i="153" s="1"/>
  <c r="AS311" i="154"/>
  <c r="AJ207" i="154"/>
  <c r="AJ215" i="154"/>
  <c r="AH282" i="154"/>
  <c r="AP259" i="155"/>
  <c r="AR259" i="154"/>
  <c r="AE311" i="153"/>
  <c r="AK246" i="154"/>
  <c r="BG251" i="153"/>
  <c r="AG265" i="154"/>
  <c r="AG466" i="154"/>
  <c r="Y246" i="154"/>
  <c r="Y244" i="154"/>
  <c r="AQ258" i="155"/>
  <c r="AQ467" i="155"/>
  <c r="AG256" i="154"/>
  <c r="BN631" i="154"/>
  <c r="BN625" i="154"/>
  <c r="BN626" i="154" s="1"/>
  <c r="BN562" i="154"/>
  <c r="AQ250" i="154"/>
  <c r="AH303" i="154"/>
  <c r="AH272" i="154"/>
  <c r="AC300" i="154"/>
  <c r="AQ338" i="154"/>
  <c r="AC246" i="154"/>
  <c r="AT302" i="154"/>
  <c r="BH218" i="153"/>
  <c r="BH287" i="153" s="1"/>
  <c r="BH210" i="153"/>
  <c r="BH243" i="153" s="1"/>
  <c r="AT266" i="155"/>
  <c r="AS319" i="154"/>
  <c r="BI295" i="154"/>
  <c r="BI319" i="154" s="1"/>
  <c r="AD275" i="153"/>
  <c r="AD468" i="153"/>
  <c r="AS259" i="153"/>
  <c r="AS468" i="153"/>
  <c r="AW295" i="154"/>
  <c r="AW303" i="154" s="1"/>
  <c r="N623" i="153"/>
  <c r="P623" i="153" s="1"/>
  <c r="P559" i="153"/>
  <c r="AU275" i="155"/>
  <c r="AU468" i="155"/>
  <c r="AP282" i="154"/>
  <c r="AS238" i="154"/>
  <c r="BH251" i="154"/>
  <c r="AZ251" i="153"/>
  <c r="AZ295" i="154"/>
  <c r="AZ303" i="154" s="1"/>
  <c r="AP238" i="154"/>
  <c r="AH238" i="154"/>
  <c r="AE303" i="153"/>
  <c r="AS282" i="154"/>
  <c r="AE265" i="154"/>
  <c r="AE466" i="154"/>
  <c r="AU319" i="154"/>
  <c r="AD308" i="154"/>
  <c r="M562" i="155"/>
  <c r="M631" i="155"/>
  <c r="M625" i="155"/>
  <c r="M626" i="155" s="1"/>
  <c r="AQ294" i="154"/>
  <c r="AQ302" i="154" s="1"/>
  <c r="AH311" i="154"/>
  <c r="AQ213" i="154"/>
  <c r="AQ205" i="154"/>
  <c r="AI302" i="154"/>
  <c r="AI282" i="154"/>
  <c r="BU625" i="153"/>
  <c r="BU626" i="153" s="1"/>
  <c r="BE210" i="153"/>
  <c r="BE243" i="153" s="1"/>
  <c r="BE218" i="153"/>
  <c r="BE287" i="153" s="1"/>
  <c r="BI251" i="154"/>
  <c r="AT258" i="155"/>
  <c r="AT467" i="155"/>
  <c r="AY259" i="155"/>
  <c r="AH301" i="154"/>
  <c r="BQ625" i="153"/>
  <c r="BQ626" i="153" s="1"/>
  <c r="AR259" i="155"/>
  <c r="AR468" i="155"/>
  <c r="BA251" i="153"/>
  <c r="AX259" i="153"/>
  <c r="AX468" i="153"/>
  <c r="AZ295" i="153"/>
  <c r="AZ303" i="153" s="1"/>
  <c r="BF218" i="155"/>
  <c r="BF287" i="155" s="1"/>
  <c r="BF210" i="155"/>
  <c r="BF243" i="155" s="1"/>
  <c r="AE267" i="153"/>
  <c r="AE468" i="153"/>
  <c r="AE274" i="154"/>
  <c r="R288" i="155"/>
  <c r="R290" i="155"/>
  <c r="R296" i="155" s="1"/>
  <c r="R31" i="155" s="1"/>
  <c r="AU267" i="154"/>
  <c r="AE319" i="154"/>
  <c r="AY295" i="154"/>
  <c r="AY311" i="154" s="1"/>
  <c r="AG317" i="155"/>
  <c r="AV267" i="155"/>
  <c r="AV468" i="155"/>
  <c r="AP295" i="153"/>
  <c r="AP319" i="153" s="1"/>
  <c r="X290" i="154"/>
  <c r="X296" i="154" s="1"/>
  <c r="X31" i="154" s="1"/>
  <c r="X288" i="154"/>
  <c r="BG338" i="154"/>
  <c r="BA295" i="153"/>
  <c r="BA303" i="153" s="1"/>
  <c r="AH256" i="154"/>
  <c r="AH465" i="154"/>
  <c r="BD210" i="154"/>
  <c r="BD243" i="154" s="1"/>
  <c r="BD218" i="154"/>
  <c r="BD287" i="154" s="1"/>
  <c r="AE256" i="154"/>
  <c r="AE465" i="154"/>
  <c r="AS318" i="155"/>
  <c r="AH275" i="153"/>
  <c r="BA205" i="154"/>
  <c r="BA213" i="154"/>
  <c r="AI319" i="154"/>
  <c r="BB338" i="154"/>
  <c r="AE303" i="154"/>
  <c r="AP318" i="154"/>
  <c r="AV319" i="155"/>
  <c r="AY251" i="154"/>
  <c r="AG309" i="155"/>
  <c r="AP251" i="153"/>
  <c r="BH295" i="154"/>
  <c r="BH319" i="154" s="1"/>
  <c r="AU275" i="154"/>
  <c r="AU468" i="154"/>
  <c r="BC338" i="154"/>
  <c r="BC218" i="153"/>
  <c r="BC287" i="153" s="1"/>
  <c r="BC210" i="153"/>
  <c r="BC243" i="153" s="1"/>
  <c r="AE266" i="154"/>
  <c r="AE467" i="154"/>
  <c r="AA290" i="154"/>
  <c r="AA296" i="154" s="1"/>
  <c r="AA31" i="154" s="1"/>
  <c r="AA288" i="154"/>
  <c r="AR319" i="153"/>
  <c r="AE301" i="154"/>
  <c r="Z300" i="154"/>
  <c r="Z272" i="154"/>
  <c r="AD256" i="154"/>
  <c r="AD465" i="154"/>
  <c r="AU282" i="154"/>
  <c r="AT282" i="154"/>
  <c r="AS267" i="155"/>
  <c r="AS468" i="155"/>
  <c r="BB218" i="155"/>
  <c r="BB287" i="155" s="1"/>
  <c r="BB210" i="155"/>
  <c r="BB243" i="155" s="1"/>
  <c r="X272" i="154"/>
  <c r="AN319" i="154"/>
  <c r="AQ275" i="153"/>
  <c r="AQ468" i="153"/>
  <c r="AG267" i="155"/>
  <c r="AG468" i="155"/>
  <c r="AN311" i="153"/>
  <c r="AG319" i="153"/>
  <c r="M625" i="154"/>
  <c r="M626" i="154" s="1"/>
  <c r="M631" i="154"/>
  <c r="M562" i="154"/>
  <c r="BB295" i="154"/>
  <c r="BB319" i="154" s="1"/>
  <c r="AP267" i="155"/>
  <c r="AP468" i="155"/>
  <c r="AG264" i="154"/>
  <c r="AG465" i="154"/>
  <c r="AU251" i="153"/>
  <c r="AG274" i="155"/>
  <c r="AR303" i="153"/>
  <c r="AH274" i="154"/>
  <c r="AH467" i="154"/>
  <c r="Z308" i="154"/>
  <c r="AQ318" i="155"/>
  <c r="AY338" i="154"/>
  <c r="X256" i="154"/>
  <c r="AN303" i="154"/>
  <c r="AQ259" i="153"/>
  <c r="AR310" i="155"/>
  <c r="AN319" i="153"/>
  <c r="AR258" i="155"/>
  <c r="AR467" i="155"/>
  <c r="AG267" i="153"/>
  <c r="AG311" i="153"/>
  <c r="AF246" i="154"/>
  <c r="AG238" i="154"/>
  <c r="BB251" i="154"/>
  <c r="AU295" i="153"/>
  <c r="AU311" i="153" s="1"/>
  <c r="AA272" i="154"/>
  <c r="AA465" i="154"/>
  <c r="AA246" i="154"/>
  <c r="AA244" i="154"/>
  <c r="AL246" i="154"/>
  <c r="Z256" i="154"/>
  <c r="Z465" i="154"/>
  <c r="AQ310" i="155"/>
  <c r="AB240" i="154"/>
  <c r="AB211" i="154"/>
  <c r="AX295" i="155"/>
  <c r="AX311" i="155" s="1"/>
  <c r="AE282" i="154"/>
  <c r="U244" i="154"/>
  <c r="U246" i="154"/>
  <c r="AG282" i="154"/>
  <c r="AW251" i="155"/>
  <c r="AZ295" i="155"/>
  <c r="AZ311" i="155" s="1"/>
  <c r="AW295" i="155"/>
  <c r="AW303" i="155" s="1"/>
  <c r="AZ251" i="155"/>
  <c r="AA256" i="154"/>
  <c r="BI210" i="155"/>
  <c r="BI243" i="155" s="1"/>
  <c r="BI218" i="155"/>
  <c r="BI287" i="155" s="1"/>
  <c r="AP319" i="154"/>
  <c r="Y288" i="154"/>
  <c r="Y290" i="154"/>
  <c r="Y296" i="154" s="1"/>
  <c r="Y31" i="154" s="1"/>
  <c r="AB284" i="154"/>
  <c r="AB219" i="154"/>
  <c r="AX251" i="155"/>
  <c r="AE238" i="154"/>
  <c r="BH218" i="155"/>
  <c r="BH287" i="155" s="1"/>
  <c r="BH210" i="155"/>
  <c r="BH243" i="155" s="1"/>
  <c r="AW295" i="153"/>
  <c r="AW303" i="153" s="1"/>
  <c r="AB254" i="154"/>
  <c r="AQ259" i="155"/>
  <c r="AG259" i="153"/>
  <c r="AR275" i="154"/>
  <c r="AR468" i="154"/>
  <c r="AH302" i="154"/>
  <c r="AG467" i="155"/>
  <c r="AA264" i="154"/>
  <c r="AJ246" i="154"/>
  <c r="BS625" i="153"/>
  <c r="BS626" i="153" s="1"/>
  <c r="AE300" i="154"/>
  <c r="AT319" i="155"/>
  <c r="BO625" i="153"/>
  <c r="BO626" i="153" s="1"/>
  <c r="AI275" i="154"/>
  <c r="AX251" i="154"/>
  <c r="AW251" i="153"/>
  <c r="AB262" i="154"/>
  <c r="AQ275" i="155"/>
  <c r="BI218" i="153"/>
  <c r="BI287" i="153" s="1"/>
  <c r="BI210" i="153"/>
  <c r="BI243" i="153" s="1"/>
  <c r="AH273" i="154"/>
  <c r="AE515" i="99"/>
  <c r="AE579" i="99" s="1"/>
  <c r="AF229" i="99"/>
  <c r="AF233" i="99"/>
  <c r="AI3" i="69"/>
  <c r="AI4" i="69" s="1"/>
  <c r="AH2" i="69" a="1"/>
  <c r="AH2" i="69" s="1"/>
  <c r="AH12" i="69"/>
  <c r="AH7" i="69"/>
  <c r="AH13" i="69"/>
  <c r="AH8" i="69"/>
  <c r="AH14" i="69"/>
  <c r="AH16" i="69"/>
  <c r="AH11" i="69"/>
  <c r="AH15" i="69"/>
  <c r="AH10" i="69"/>
  <c r="AI3" i="99"/>
  <c r="AI4" i="99" s="1"/>
  <c r="AH2" i="99" a="1"/>
  <c r="AH2" i="99" s="1"/>
  <c r="AH554" i="99" s="1"/>
  <c r="AH474" i="99"/>
  <c r="AH498" i="99"/>
  <c r="AH482" i="99" s="1"/>
  <c r="AH490" i="99" s="1"/>
  <c r="AH475" i="99"/>
  <c r="AH476" i="99"/>
  <c r="AH499" i="99"/>
  <c r="AH483" i="99" s="1"/>
  <c r="AH491" i="99" s="1"/>
  <c r="AH477" i="99"/>
  <c r="AH500" i="99"/>
  <c r="AH484" i="99" s="1"/>
  <c r="AH492" i="99" s="1"/>
  <c r="AH478" i="99"/>
  <c r="AH501" i="99"/>
  <c r="AH485" i="99" s="1"/>
  <c r="AH493" i="99" s="1"/>
  <c r="AH502" i="99"/>
  <c r="AH486" i="99" s="1"/>
  <c r="AH494" i="99" s="1"/>
  <c r="AH479" i="99"/>
  <c r="AH503" i="99"/>
  <c r="AH487" i="99" s="1"/>
  <c r="AH495" i="99" s="1"/>
  <c r="AD517" i="99"/>
  <c r="AD579" i="99"/>
  <c r="Z556" i="99"/>
  <c r="Z619" i="99"/>
  <c r="Z620" i="99" s="1"/>
  <c r="Z616" i="99"/>
  <c r="AF602" i="99"/>
  <c r="AF542" i="99"/>
  <c r="AF606" i="99" s="1"/>
  <c r="AB551" i="99"/>
  <c r="AB555" i="99" s="1"/>
  <c r="AB608" i="99"/>
  <c r="AC582" i="99"/>
  <c r="AC223" i="99"/>
  <c r="AA559" i="99" a="1"/>
  <c r="AA559" i="99" s="1"/>
  <c r="AA623" i="99" s="1"/>
  <c r="AA615" i="99"/>
  <c r="AA552" i="99"/>
  <c r="AC530" i="99"/>
  <c r="AC593" i="99"/>
  <c r="AC594" i="99" s="1"/>
  <c r="AC544" i="99"/>
  <c r="AF535" i="99"/>
  <c r="AF228" i="99"/>
  <c r="AF230" i="99"/>
  <c r="AE588" i="99"/>
  <c r="AE526" i="99"/>
  <c r="AF549" i="99"/>
  <c r="AF613" i="99" s="1"/>
  <c r="AF234" i="99"/>
  <c r="AC224" i="99"/>
  <c r="AC591" i="99"/>
  <c r="AF524" i="99"/>
  <c r="AF585" i="99"/>
  <c r="Y625" i="99"/>
  <c r="Y626" i="99" s="1"/>
  <c r="Y631" i="99"/>
  <c r="Y562" i="99"/>
  <c r="AF232" i="99"/>
  <c r="AG541" i="99"/>
  <c r="AG605" i="99" s="1"/>
  <c r="AG547" i="99"/>
  <c r="AG611" i="99" s="1"/>
  <c r="AG538" i="99"/>
  <c r="AG548" i="99"/>
  <c r="AG612" i="99" s="1"/>
  <c r="AG534" i="99"/>
  <c r="AG598" i="99" s="1"/>
  <c r="AG539" i="99"/>
  <c r="AG603" i="99" s="1"/>
  <c r="AG540" i="99"/>
  <c r="AG604" i="99" s="1"/>
  <c r="AG507" i="99"/>
  <c r="AG509" i="99"/>
  <c r="AG573" i="99" s="1"/>
  <c r="AG521" i="99"/>
  <c r="AG522" i="99"/>
  <c r="AG586" i="99" s="1"/>
  <c r="AG525" i="99"/>
  <c r="AG589" i="99" s="1"/>
  <c r="AG523" i="99"/>
  <c r="AG587" i="99" s="1"/>
  <c r="AG558" i="99"/>
  <c r="AG622" i="99" s="1"/>
  <c r="AG514" i="99"/>
  <c r="AG578" i="99" s="1"/>
  <c r="AG513" i="99"/>
  <c r="AG577" i="99" s="1"/>
  <c r="AG516" i="99"/>
  <c r="AG580" i="99" s="1"/>
  <c r="AG533" i="99"/>
  <c r="AF512" i="99"/>
  <c r="AL527" i="99"/>
  <c r="AD590" i="99"/>
  <c r="AI36" i="72"/>
  <c r="AI38" i="72" s="1"/>
  <c r="AI39" i="72" s="1"/>
  <c r="AI37" i="72"/>
  <c r="AJ5" i="72"/>
  <c r="AJ6" i="72" s="1"/>
  <c r="AI47" i="72"/>
  <c r="AI48" i="72"/>
  <c r="AY8" i="98"/>
  <c r="AI6" i="98"/>
  <c r="AH70" i="103"/>
  <c r="AM70" i="105" s="1"/>
  <c r="AH35" i="151" s="1"/>
  <c r="X7" i="151" l="1"/>
  <c r="X6" i="151"/>
  <c r="X5" i="151"/>
  <c r="AJ4" i="72" a="1"/>
  <c r="AJ4" i="72" s="1"/>
  <c r="Y96" i="154"/>
  <c r="R110" i="154"/>
  <c r="AA96" i="154"/>
  <c r="R96" i="155"/>
  <c r="X96" i="154"/>
  <c r="V96" i="154"/>
  <c r="W96" i="154"/>
  <c r="Z96" i="154"/>
  <c r="AY205" i="154"/>
  <c r="AY238" i="154" s="1"/>
  <c r="BK213" i="154"/>
  <c r="BK282" i="154" s="1"/>
  <c r="BL197" i="154"/>
  <c r="BL213" i="154" s="1"/>
  <c r="BL282" i="154" s="1"/>
  <c r="AJ122" i="105"/>
  <c r="BE205" i="154"/>
  <c r="BE238" i="154" s="1"/>
  <c r="BI197" i="154"/>
  <c r="BI213" i="154" s="1"/>
  <c r="BI282" i="154" s="1"/>
  <c r="BH197" i="154"/>
  <c r="BH213" i="154" s="1"/>
  <c r="BH282" i="154" s="1"/>
  <c r="BK328" i="154"/>
  <c r="BK338" i="154" s="1"/>
  <c r="BJ197" i="154"/>
  <c r="BJ213" i="154" s="1"/>
  <c r="BJ282" i="154" s="1"/>
  <c r="X244" i="154"/>
  <c r="BT177" i="154"/>
  <c r="BT185" i="154" s="1"/>
  <c r="BT197" i="154" s="1"/>
  <c r="BT205" i="154" s="1"/>
  <c r="BV177" i="154"/>
  <c r="BV185" i="154" s="1"/>
  <c r="BV197" i="154" s="1"/>
  <c r="BV205" i="154" s="1"/>
  <c r="BW177" i="154"/>
  <c r="BW185" i="154" s="1"/>
  <c r="BW328" i="154" s="1"/>
  <c r="BW338" i="154" s="1"/>
  <c r="BX177" i="154"/>
  <c r="BX185" i="154" s="1"/>
  <c r="BX328" i="154" s="1"/>
  <c r="BX338" i="154" s="1"/>
  <c r="BU177" i="154"/>
  <c r="BU185" i="154" s="1"/>
  <c r="BU197" i="154" s="1"/>
  <c r="BU205" i="154" s="1"/>
  <c r="BM213" i="154"/>
  <c r="BM282" i="154" s="1"/>
  <c r="BY177" i="154"/>
  <c r="BY185" i="154" s="1"/>
  <c r="BY328" i="154" s="1"/>
  <c r="BY338" i="154" s="1"/>
  <c r="BM328" i="154"/>
  <c r="BM338" i="154" s="1"/>
  <c r="U290" i="154"/>
  <c r="U296" i="154" s="1"/>
  <c r="U31" i="154" s="1"/>
  <c r="AZ213" i="154"/>
  <c r="AZ282" i="154" s="1"/>
  <c r="AF129" i="99"/>
  <c r="AS417" i="153"/>
  <c r="AS456" i="153" s="1" a="1"/>
  <c r="AS456" i="153" s="1"/>
  <c r="AG416" i="154"/>
  <c r="AG455" i="154" s="1" a="1"/>
  <c r="AG455" i="154" s="1"/>
  <c r="AG414" i="155"/>
  <c r="AG453" i="155" s="1" a="1"/>
  <c r="AG453" i="155" s="1"/>
  <c r="P561" i="155"/>
  <c r="AR416" i="154"/>
  <c r="AR455" i="154" s="1" a="1"/>
  <c r="AR455" i="154" s="1"/>
  <c r="AH414" i="154"/>
  <c r="AH453" i="154" s="1" a="1"/>
  <c r="AH453" i="154" s="1"/>
  <c r="AE416" i="154"/>
  <c r="AE455" i="154" s="1" a="1"/>
  <c r="AE455" i="154" s="1"/>
  <c r="AR416" i="155"/>
  <c r="AR455" i="155" s="1" a="1"/>
  <c r="AR455" i="155" s="1"/>
  <c r="AR417" i="155"/>
  <c r="AR456" i="155" s="1" a="1"/>
  <c r="AR456" i="155" s="1"/>
  <c r="AE414" i="154"/>
  <c r="AE453" i="154" s="1" a="1"/>
  <c r="AE453" i="154" s="1"/>
  <c r="AS416" i="155"/>
  <c r="AS455" i="155" s="1" a="1"/>
  <c r="AS455" i="155" s="1"/>
  <c r="AR417" i="154"/>
  <c r="AR456" i="154" s="1" a="1"/>
  <c r="AR456" i="154" s="1"/>
  <c r="AP417" i="155"/>
  <c r="AP456" i="155" s="1" a="1"/>
  <c r="AP456" i="155" s="1"/>
  <c r="Z414" i="154"/>
  <c r="Z453" i="154" s="1" a="1"/>
  <c r="Z453" i="154" s="1"/>
  <c r="AV417" i="155"/>
  <c r="AV456" i="155" s="1" a="1"/>
  <c r="AV456" i="155" s="1"/>
  <c r="AP416" i="154"/>
  <c r="AP455" i="154" s="1" a="1"/>
  <c r="AP455" i="154" s="1"/>
  <c r="AN417" i="153"/>
  <c r="AN456" i="153" s="1" a="1"/>
  <c r="AN456" i="153" s="1"/>
  <c r="AS417" i="155"/>
  <c r="AS456" i="155" s="1" a="1"/>
  <c r="AS456" i="155" s="1"/>
  <c r="AE417" i="153"/>
  <c r="AE456" i="153" s="1" a="1"/>
  <c r="AE456" i="153" s="1"/>
  <c r="AA414" i="154"/>
  <c r="AA453" i="154" s="1" a="1"/>
  <c r="AA453" i="154" s="1"/>
  <c r="X414" i="154"/>
  <c r="X453" i="154" s="1" a="1"/>
  <c r="X453" i="154" s="1"/>
  <c r="AN416" i="154"/>
  <c r="AN455" i="154" s="1" a="1"/>
  <c r="AN455" i="154" s="1"/>
  <c r="AH415" i="154"/>
  <c r="AH454" i="154" s="1" a="1"/>
  <c r="AH454" i="154" s="1"/>
  <c r="AG417" i="153"/>
  <c r="AG456" i="153" s="1" a="1"/>
  <c r="AG456" i="153" s="1"/>
  <c r="AG416" i="155"/>
  <c r="AG455" i="155" s="1" a="1"/>
  <c r="AG455" i="155" s="1"/>
  <c r="AT416" i="154"/>
  <c r="AT455" i="154" s="1" a="1"/>
  <c r="AT455" i="154" s="1"/>
  <c r="AE417" i="154"/>
  <c r="AE456" i="154" s="1" a="1"/>
  <c r="AE456" i="154" s="1"/>
  <c r="AQ417" i="155"/>
  <c r="AQ456" i="155" s="1" a="1"/>
  <c r="AQ456" i="155" s="1"/>
  <c r="AI417" i="154"/>
  <c r="AI456" i="154" s="1" a="1"/>
  <c r="AI456" i="154" s="1"/>
  <c r="AY417" i="155"/>
  <c r="AY456" i="155" s="1" a="1"/>
  <c r="AY456" i="155" s="1"/>
  <c r="AG415" i="155"/>
  <c r="AG454" i="155" s="1" a="1"/>
  <c r="AG454" i="155" s="1"/>
  <c r="AB412" i="154"/>
  <c r="AD414" i="154"/>
  <c r="AD453" i="154" s="1" a="1"/>
  <c r="AD453" i="154" s="1"/>
  <c r="AE415" i="154"/>
  <c r="AE454" i="154" s="1" a="1"/>
  <c r="AE454" i="154" s="1"/>
  <c r="AG414" i="154"/>
  <c r="AG453" i="154" s="1" a="1"/>
  <c r="AG453" i="154" s="1"/>
  <c r="AC414" i="154"/>
  <c r="AC453" i="154" s="1" a="1"/>
  <c r="AC453" i="154" s="1"/>
  <c r="AP416" i="155"/>
  <c r="AP455" i="155" s="1" a="1"/>
  <c r="AP455" i="155" s="1"/>
  <c r="AH417" i="154"/>
  <c r="AH456" i="154" s="1" a="1"/>
  <c r="AH456" i="154" s="1"/>
  <c r="AS417" i="154"/>
  <c r="AS456" i="154" s="1" a="1"/>
  <c r="AS456" i="154" s="1"/>
  <c r="AU417" i="155"/>
  <c r="AU456" i="155" s="1" a="1"/>
  <c r="AU456" i="155" s="1"/>
  <c r="AT416" i="155"/>
  <c r="AT455" i="155" s="1" a="1"/>
  <c r="AT455" i="155" s="1"/>
  <c r="AP417" i="154"/>
  <c r="AP456" i="154" s="1" a="1"/>
  <c r="AP456" i="154" s="1"/>
  <c r="AS416" i="154"/>
  <c r="AS455" i="154" s="1" a="1"/>
  <c r="AS455" i="154" s="1"/>
  <c r="AH416" i="154"/>
  <c r="AH455" i="154" s="1" a="1"/>
  <c r="AH455" i="154" s="1"/>
  <c r="AG415" i="154"/>
  <c r="AG454" i="154" s="1" a="1"/>
  <c r="AG454" i="154" s="1"/>
  <c r="AQ416" i="155"/>
  <c r="AQ455" i="155" s="1" a="1"/>
  <c r="AQ455" i="155" s="1"/>
  <c r="AT417" i="154"/>
  <c r="AT456" i="154" s="1" a="1"/>
  <c r="AT456" i="154" s="1"/>
  <c r="AT417" i="155"/>
  <c r="AT456" i="155" s="1" a="1"/>
  <c r="AT456" i="155" s="1"/>
  <c r="AR417" i="153"/>
  <c r="AR456" i="153" s="1" a="1"/>
  <c r="AR456" i="153" s="1"/>
  <c r="AQ417" i="153"/>
  <c r="AQ456" i="153" s="1" a="1"/>
  <c r="AQ456" i="153" s="1"/>
  <c r="AI416" i="154"/>
  <c r="AI455" i="154" s="1" a="1"/>
  <c r="AI455" i="154" s="1"/>
  <c r="AG417" i="155"/>
  <c r="AG456" i="155" s="1" a="1"/>
  <c r="AG456" i="155" s="1"/>
  <c r="AU417" i="154"/>
  <c r="AU456" i="154" s="1" a="1"/>
  <c r="AU456" i="154" s="1"/>
  <c r="AX417" i="153"/>
  <c r="AX456" i="153" s="1" a="1"/>
  <c r="AX456" i="153" s="1"/>
  <c r="AD417" i="153"/>
  <c r="AD456" i="153" s="1" a="1"/>
  <c r="AD456" i="153" s="1"/>
  <c r="AH417" i="153"/>
  <c r="AH456" i="153" s="1" a="1"/>
  <c r="AH456" i="153" s="1"/>
  <c r="AG417" i="154"/>
  <c r="AG456" i="154" s="1" a="1"/>
  <c r="AG456" i="154" s="1"/>
  <c r="AN417" i="154"/>
  <c r="AN456" i="154" s="1" a="1"/>
  <c r="AN456" i="154" s="1"/>
  <c r="Z254" i="154"/>
  <c r="Z260" i="154" s="1"/>
  <c r="Z23" i="154" s="1"/>
  <c r="Z88" i="154" s="1"/>
  <c r="AL262" i="154"/>
  <c r="V270" i="154"/>
  <c r="V276" i="154" s="1"/>
  <c r="V26" i="154" s="1"/>
  <c r="V91" i="154" s="1"/>
  <c r="W254" i="154"/>
  <c r="W260" i="154" s="1"/>
  <c r="W23" i="154" s="1"/>
  <c r="W88" i="154" s="1"/>
  <c r="AQ275" i="154"/>
  <c r="AQ258" i="154"/>
  <c r="X270" i="154"/>
  <c r="X276" i="154" s="1"/>
  <c r="X26" i="154" s="1"/>
  <c r="X91" i="154" s="1"/>
  <c r="AX275" i="154"/>
  <c r="AZ259" i="155"/>
  <c r="AA262" i="154"/>
  <c r="AA268" i="154" s="1"/>
  <c r="AA24" i="154" s="1"/>
  <c r="AA89" i="154" s="1"/>
  <c r="BE275" i="155"/>
  <c r="AW259" i="155"/>
  <c r="BB259" i="154"/>
  <c r="AW275" i="154"/>
  <c r="U270" i="154"/>
  <c r="U276" i="154" s="1"/>
  <c r="U26" i="154" s="1"/>
  <c r="U91" i="154" s="1"/>
  <c r="BD267" i="153"/>
  <c r="AW275" i="153"/>
  <c r="BI275" i="154"/>
  <c r="AT275" i="153"/>
  <c r="AF270" i="154"/>
  <c r="Y270" i="154"/>
  <c r="Y276" i="154" s="1"/>
  <c r="Y26" i="154" s="1"/>
  <c r="Y91" i="154" s="1"/>
  <c r="AV267" i="153"/>
  <c r="BC267" i="154"/>
  <c r="BA468" i="155"/>
  <c r="BG468" i="154"/>
  <c r="AD270" i="154"/>
  <c r="AI264" i="154"/>
  <c r="R262" i="155"/>
  <c r="R268" i="155" s="1"/>
  <c r="R24" i="155" s="1"/>
  <c r="AZ275" i="154"/>
  <c r="AU259" i="153"/>
  <c r="AM270" i="154"/>
  <c r="AZ267" i="153"/>
  <c r="BG267" i="153"/>
  <c r="AX267" i="155"/>
  <c r="AP267" i="153"/>
  <c r="BA275" i="153"/>
  <c r="BH275" i="154"/>
  <c r="AJ262" i="154"/>
  <c r="AY267" i="153"/>
  <c r="AV259" i="154"/>
  <c r="AC262" i="154"/>
  <c r="BB259" i="153"/>
  <c r="AY267" i="154"/>
  <c r="AO270" i="154"/>
  <c r="BE267" i="154"/>
  <c r="BA275" i="154"/>
  <c r="N625" i="155"/>
  <c r="P625" i="155" s="1"/>
  <c r="N567" i="155"/>
  <c r="P567" i="155" s="1"/>
  <c r="AA561" i="99"/>
  <c r="AA567" i="99" s="1"/>
  <c r="AM127" i="105"/>
  <c r="BC205" i="154"/>
  <c r="BC238" i="154" s="1"/>
  <c r="AF129" i="103"/>
  <c r="AF129" i="104"/>
  <c r="AF64" i="104" s="1"/>
  <c r="AK64" i="105" s="1"/>
  <c r="AF30" i="151" s="1"/>
  <c r="BB213" i="154"/>
  <c r="BB282" i="154" s="1"/>
  <c r="BO197" i="154"/>
  <c r="BO205" i="154" s="1"/>
  <c r="BP328" i="154"/>
  <c r="BP338" i="154" s="1"/>
  <c r="BR197" i="154"/>
  <c r="BR213" i="154" s="1"/>
  <c r="S290" i="154"/>
  <c r="S288" i="154"/>
  <c r="T246" i="155"/>
  <c r="T244" i="155"/>
  <c r="T244" i="154"/>
  <c r="T246" i="154"/>
  <c r="U244" i="155"/>
  <c r="U246" i="155"/>
  <c r="S246" i="155"/>
  <c r="S244" i="155"/>
  <c r="T290" i="154"/>
  <c r="T288" i="154"/>
  <c r="R244" i="154"/>
  <c r="R246" i="154"/>
  <c r="T290" i="155"/>
  <c r="T288" i="155"/>
  <c r="S246" i="154"/>
  <c r="S244" i="154"/>
  <c r="R288" i="154"/>
  <c r="R290" i="154"/>
  <c r="U290" i="155"/>
  <c r="U288" i="155"/>
  <c r="S288" i="155"/>
  <c r="S290" i="155"/>
  <c r="AG618" i="99"/>
  <c r="AG64" i="99"/>
  <c r="BG205" i="154"/>
  <c r="BG238" i="154" s="1"/>
  <c r="BS328" i="154"/>
  <c r="BS338" i="154" s="1"/>
  <c r="W453" i="154" a="1"/>
  <c r="W453" i="154" s="1"/>
  <c r="AX275" i="155"/>
  <c r="BG259" i="153"/>
  <c r="AO306" i="154"/>
  <c r="AW259" i="153"/>
  <c r="AX259" i="154"/>
  <c r="AM180" i="155"/>
  <c r="AK180" i="155"/>
  <c r="AI180" i="155"/>
  <c r="AO180" i="155"/>
  <c r="AL180" i="155"/>
  <c r="AJ180" i="155"/>
  <c r="AN180" i="155"/>
  <c r="AQ180" i="155"/>
  <c r="AP180" i="155"/>
  <c r="AN180" i="154"/>
  <c r="AP180" i="154"/>
  <c r="AI180" i="154"/>
  <c r="AQ180" i="154"/>
  <c r="AL180" i="154"/>
  <c r="AO180" i="154"/>
  <c r="AM180" i="154"/>
  <c r="AJ180" i="154"/>
  <c r="AK180" i="154"/>
  <c r="AV259" i="153"/>
  <c r="AW275" i="155"/>
  <c r="BG319" i="154"/>
  <c r="AM298" i="154"/>
  <c r="AM314" i="154"/>
  <c r="AF298" i="154"/>
  <c r="AT267" i="153"/>
  <c r="AL270" i="154"/>
  <c r="AI272" i="154"/>
  <c r="BA311" i="155"/>
  <c r="AO298" i="154"/>
  <c r="BC259" i="154"/>
  <c r="BB311" i="153"/>
  <c r="AC306" i="154"/>
  <c r="AJ306" i="154"/>
  <c r="AJ314" i="154"/>
  <c r="AY311" i="153"/>
  <c r="AC254" i="154"/>
  <c r="BA319" i="155"/>
  <c r="BG311" i="153"/>
  <c r="W306" i="154"/>
  <c r="W312" i="154" s="1"/>
  <c r="W33" i="154" s="1"/>
  <c r="W98" i="154" s="1"/>
  <c r="W298" i="154"/>
  <c r="W304" i="154" s="1"/>
  <c r="W32" i="154" s="1"/>
  <c r="W97" i="154" s="1"/>
  <c r="AX311" i="154"/>
  <c r="AX303" i="155"/>
  <c r="AT303" i="153"/>
  <c r="AW267" i="153"/>
  <c r="V262" i="154"/>
  <c r="V268" i="154" s="1"/>
  <c r="V24" i="154" s="1"/>
  <c r="V89" i="154" s="1"/>
  <c r="BE259" i="155"/>
  <c r="BC275" i="154"/>
  <c r="AA254" i="154"/>
  <c r="AA260" i="154" s="1"/>
  <c r="AA23" i="154" s="1"/>
  <c r="AA88" i="154" s="1"/>
  <c r="AY275" i="154"/>
  <c r="BI267" i="154"/>
  <c r="BE311" i="154"/>
  <c r="BB311" i="154"/>
  <c r="BB303" i="154"/>
  <c r="BB275" i="153"/>
  <c r="BA259" i="154"/>
  <c r="Z270" i="154"/>
  <c r="Z276" i="154" s="1"/>
  <c r="Z26" i="154" s="1"/>
  <c r="Z91" i="154" s="1"/>
  <c r="AZ259" i="153"/>
  <c r="AO262" i="154"/>
  <c r="BA275" i="155"/>
  <c r="BB319" i="153"/>
  <c r="BG303" i="154"/>
  <c r="BE311" i="155"/>
  <c r="AK306" i="154"/>
  <c r="AW319" i="155"/>
  <c r="AU319" i="153"/>
  <c r="BE275" i="154"/>
  <c r="AF262" i="154"/>
  <c r="AM262" i="154"/>
  <c r="BE303" i="154"/>
  <c r="AW311" i="154"/>
  <c r="AZ259" i="154"/>
  <c r="AW319" i="154"/>
  <c r="AD306" i="154"/>
  <c r="BA267" i="155"/>
  <c r="R254" i="155"/>
  <c r="R260" i="155" s="1"/>
  <c r="R23" i="155" s="1"/>
  <c r="BA311" i="154"/>
  <c r="AQ274" i="154"/>
  <c r="BA303" i="154"/>
  <c r="AL306" i="154"/>
  <c r="AC270" i="154"/>
  <c r="BG303" i="153"/>
  <c r="AY259" i="153"/>
  <c r="AT319" i="153"/>
  <c r="AX303" i="154"/>
  <c r="AY275" i="153"/>
  <c r="BC319" i="154"/>
  <c r="BB275" i="154"/>
  <c r="AZ275" i="155"/>
  <c r="X314" i="154"/>
  <c r="X320" i="154" s="1"/>
  <c r="X35" i="154" s="1"/>
  <c r="X100" i="154" s="1"/>
  <c r="AV311" i="153"/>
  <c r="BD275" i="153"/>
  <c r="AK314" i="154"/>
  <c r="BI295" i="153"/>
  <c r="BI311" i="153" s="1"/>
  <c r="BR338" i="154"/>
  <c r="AX267" i="154"/>
  <c r="AX468" i="154"/>
  <c r="AB292" i="154"/>
  <c r="AB300" i="154" s="1"/>
  <c r="AB304" i="154" s="1"/>
  <c r="AB32" i="154" s="1"/>
  <c r="AB97" i="154" s="1"/>
  <c r="AB288" i="154"/>
  <c r="AL463" i="154"/>
  <c r="BB295" i="155"/>
  <c r="BB319" i="155" s="1"/>
  <c r="AT246" i="154"/>
  <c r="X306" i="154"/>
  <c r="X312" i="154" s="1"/>
  <c r="X33" i="154" s="1"/>
  <c r="X98" i="154" s="1"/>
  <c r="AY319" i="154"/>
  <c r="AZ319" i="154"/>
  <c r="AQ266" i="154"/>
  <c r="AQ467" i="154"/>
  <c r="BD303" i="153"/>
  <c r="AY303" i="153"/>
  <c r="AF314" i="154"/>
  <c r="BF295" i="154"/>
  <c r="BF311" i="154" s="1"/>
  <c r="AQ238" i="154"/>
  <c r="BC282" i="154"/>
  <c r="BB238" i="154"/>
  <c r="AK262" i="154"/>
  <c r="AK463" i="154"/>
  <c r="AM254" i="154"/>
  <c r="AM463" i="154"/>
  <c r="BE295" i="153"/>
  <c r="BE319" i="153" s="1"/>
  <c r="AQ282" i="154"/>
  <c r="AC463" i="154"/>
  <c r="AI308" i="154"/>
  <c r="AZ238" i="154"/>
  <c r="BF251" i="153"/>
  <c r="AK240" i="154"/>
  <c r="BE251" i="153"/>
  <c r="AV275" i="153"/>
  <c r="AV468" i="153"/>
  <c r="X262" i="154"/>
  <c r="X268" i="154" s="1"/>
  <c r="X24" i="154" s="1"/>
  <c r="X89" i="154" s="1"/>
  <c r="X463" i="154"/>
  <c r="X252" i="154"/>
  <c r="X22" i="154" s="1"/>
  <c r="AN290" i="154"/>
  <c r="BF295" i="153"/>
  <c r="BF303" i="153" s="1"/>
  <c r="AK284" i="154"/>
  <c r="R270" i="155"/>
  <c r="R276" i="155" s="1"/>
  <c r="R26" i="155" s="1"/>
  <c r="R252" i="155"/>
  <c r="R22" i="155" s="1"/>
  <c r="R463" i="155"/>
  <c r="W270" i="154"/>
  <c r="W276" i="154" s="1"/>
  <c r="W26" i="154" s="1"/>
  <c r="W91" i="154" s="1"/>
  <c r="BK238" i="154"/>
  <c r="BN328" i="154"/>
  <c r="BN197" i="154"/>
  <c r="U262" i="154"/>
  <c r="U268" i="154" s="1"/>
  <c r="U24" i="154" s="1"/>
  <c r="U89" i="154" s="1"/>
  <c r="AE290" i="154"/>
  <c r="AU303" i="153"/>
  <c r="AP311" i="153"/>
  <c r="AZ319" i="153"/>
  <c r="AL298" i="154"/>
  <c r="Y254" i="154"/>
  <c r="Y260" i="154" s="1"/>
  <c r="Y23" i="154" s="1"/>
  <c r="Y88" i="154" s="1"/>
  <c r="AR246" i="154"/>
  <c r="BG267" i="154"/>
  <c r="AI316" i="154"/>
  <c r="X254" i="154"/>
  <c r="X260" i="154" s="1"/>
  <c r="X23" i="154" s="1"/>
  <c r="X88" i="154" s="1"/>
  <c r="W314" i="154"/>
  <c r="W320" i="154" s="1"/>
  <c r="W35" i="154" s="1"/>
  <c r="W100" i="154" s="1"/>
  <c r="V298" i="154"/>
  <c r="V304" i="154" s="1"/>
  <c r="V32" i="154" s="1"/>
  <c r="V97" i="154" s="1"/>
  <c r="BD251" i="155"/>
  <c r="AQ267" i="154"/>
  <c r="AY259" i="154"/>
  <c r="AY468" i="154"/>
  <c r="AW311" i="153"/>
  <c r="AW319" i="153"/>
  <c r="Y314" i="154"/>
  <c r="Y320" i="154" s="1"/>
  <c r="Y35" i="154" s="1"/>
  <c r="Y100" i="154" s="1"/>
  <c r="AZ319" i="155"/>
  <c r="BB267" i="154"/>
  <c r="BB468" i="154"/>
  <c r="AY282" i="154"/>
  <c r="AP259" i="153"/>
  <c r="BS213" i="154"/>
  <c r="BS205" i="154"/>
  <c r="BA282" i="154"/>
  <c r="AP303" i="153"/>
  <c r="AZ311" i="153"/>
  <c r="AZ275" i="153"/>
  <c r="AZ468" i="153"/>
  <c r="N625" i="153"/>
  <c r="P561" i="153"/>
  <c r="Y262" i="154"/>
  <c r="Y268" i="154" s="1"/>
  <c r="Y24" i="154" s="1"/>
  <c r="Y89" i="154" s="1"/>
  <c r="AT468" i="153"/>
  <c r="BG275" i="154"/>
  <c r="BC468" i="154"/>
  <c r="V306" i="154"/>
  <c r="V312" i="154" s="1"/>
  <c r="V33" i="154" s="1"/>
  <c r="V98" i="154" s="1"/>
  <c r="BD295" i="155"/>
  <c r="BD319" i="155" s="1"/>
  <c r="Y298" i="154"/>
  <c r="Y304" i="154" s="1"/>
  <c r="Y32" i="154" s="1"/>
  <c r="Y97" i="154" s="1"/>
  <c r="AZ303" i="155"/>
  <c r="U254" i="154"/>
  <c r="U260" i="154" s="1"/>
  <c r="U23" i="154" s="1"/>
  <c r="U88" i="154" s="1"/>
  <c r="U463" i="154"/>
  <c r="U252" i="154"/>
  <c r="U22" i="154" s="1"/>
  <c r="AA270" i="154"/>
  <c r="AA276" i="154" s="1"/>
  <c r="AA26" i="154" s="1"/>
  <c r="AA91" i="154" s="1"/>
  <c r="AA252" i="154"/>
  <c r="AA22" i="154" s="1"/>
  <c r="AA463" i="154"/>
  <c r="AG246" i="154"/>
  <c r="AU267" i="153"/>
  <c r="AA306" i="154"/>
  <c r="AA312" i="154" s="1"/>
  <c r="AA33" i="154" s="1"/>
  <c r="AA98" i="154" s="1"/>
  <c r="AP275" i="153"/>
  <c r="BA238" i="154"/>
  <c r="AT259" i="153"/>
  <c r="BG259" i="154"/>
  <c r="AC298" i="154"/>
  <c r="AQ259" i="154"/>
  <c r="AQ468" i="154"/>
  <c r="W262" i="154"/>
  <c r="W268" i="154" s="1"/>
  <c r="W24" i="154" s="1"/>
  <c r="W89" i="154" s="1"/>
  <c r="W252" i="154"/>
  <c r="W22" i="154" s="1"/>
  <c r="W463" i="154"/>
  <c r="BI251" i="153"/>
  <c r="Y306" i="154"/>
  <c r="Y312" i="154" s="1"/>
  <c r="Y33" i="154" s="1"/>
  <c r="Y98" i="154" s="1"/>
  <c r="AT290" i="154"/>
  <c r="AA298" i="154"/>
  <c r="AA304" i="154" s="1"/>
  <c r="AA32" i="154" s="1"/>
  <c r="AA97" i="154" s="1"/>
  <c r="BH311" i="154"/>
  <c r="BA319" i="153"/>
  <c r="BA267" i="153"/>
  <c r="BH259" i="154"/>
  <c r="BH468" i="154"/>
  <c r="V314" i="154"/>
  <c r="V320" i="154" s="1"/>
  <c r="V35" i="154" s="1"/>
  <c r="V100" i="154" s="1"/>
  <c r="AC314" i="154"/>
  <c r="AU468" i="153"/>
  <c r="BH303" i="154"/>
  <c r="AP468" i="153"/>
  <c r="BA311" i="153"/>
  <c r="BH267" i="154"/>
  <c r="BH251" i="153"/>
  <c r="Y252" i="154"/>
  <c r="Y22" i="154" s="1"/>
  <c r="Y463" i="154"/>
  <c r="AW238" i="154"/>
  <c r="AU275" i="153"/>
  <c r="AS290" i="154"/>
  <c r="BH295" i="153"/>
  <c r="BH319" i="153" s="1"/>
  <c r="AD262" i="154"/>
  <c r="AW267" i="154"/>
  <c r="V254" i="154"/>
  <c r="V260" i="154" s="1"/>
  <c r="V23" i="154" s="1"/>
  <c r="V88" i="154" s="1"/>
  <c r="V463" i="154"/>
  <c r="V252" i="154"/>
  <c r="V22" i="154" s="1"/>
  <c r="AO254" i="154"/>
  <c r="AO463" i="154"/>
  <c r="BA267" i="154"/>
  <c r="BA468" i="154"/>
  <c r="BA259" i="153"/>
  <c r="BA468" i="153"/>
  <c r="AW267" i="155"/>
  <c r="AW468" i="155"/>
  <c r="AX319" i="155"/>
  <c r="AA314" i="154"/>
  <c r="AA320" i="154" s="1"/>
  <c r="AA35" i="154" s="1"/>
  <c r="AA100" i="154" s="1"/>
  <c r="BF251" i="155"/>
  <c r="AQ318" i="154"/>
  <c r="AW282" i="154"/>
  <c r="BC303" i="154"/>
  <c r="BE282" i="154"/>
  <c r="BA259" i="155"/>
  <c r="Z298" i="154"/>
  <c r="Z304" i="154" s="1"/>
  <c r="Z32" i="154" s="1"/>
  <c r="Z97" i="154" s="1"/>
  <c r="AW468" i="153"/>
  <c r="AJ284" i="154"/>
  <c r="AD254" i="154"/>
  <c r="AD463" i="154"/>
  <c r="AW468" i="154"/>
  <c r="AI256" i="154"/>
  <c r="AI465" i="154"/>
  <c r="BD213" i="154"/>
  <c r="BD205" i="154"/>
  <c r="BF338" i="154"/>
  <c r="BF295" i="155"/>
  <c r="BF311" i="155" s="1"/>
  <c r="AX259" i="155"/>
  <c r="AX468" i="155"/>
  <c r="AZ267" i="155"/>
  <c r="AZ468" i="155"/>
  <c r="AU290" i="154"/>
  <c r="AU298" i="154" s="1"/>
  <c r="AQ310" i="154"/>
  <c r="AS246" i="154"/>
  <c r="AJ240" i="154"/>
  <c r="AW259" i="154"/>
  <c r="AN246" i="154"/>
  <c r="BD338" i="154"/>
  <c r="BE303" i="155"/>
  <c r="N625" i="154"/>
  <c r="N562" i="154"/>
  <c r="P562" i="154" s="1"/>
  <c r="P561" i="154"/>
  <c r="Z306" i="154"/>
  <c r="Z312" i="154" s="1"/>
  <c r="Z33" i="154" s="1"/>
  <c r="Z98" i="154" s="1"/>
  <c r="BQ197" i="154"/>
  <c r="BQ328" i="154"/>
  <c r="AI246" i="154"/>
  <c r="BB267" i="153"/>
  <c r="BB468" i="153"/>
  <c r="BF213" i="154"/>
  <c r="BF205" i="154"/>
  <c r="BM238" i="154"/>
  <c r="AJ254" i="154"/>
  <c r="BH251" i="155"/>
  <c r="Z314" i="154"/>
  <c r="Z320" i="154" s="1"/>
  <c r="Z35" i="154" s="1"/>
  <c r="Z100" i="154" s="1"/>
  <c r="AU246" i="154"/>
  <c r="R314" i="155"/>
  <c r="R320" i="155" s="1"/>
  <c r="R35" i="155" s="1"/>
  <c r="AI290" i="154"/>
  <c r="BI311" i="154"/>
  <c r="AD314" i="154"/>
  <c r="BE259" i="154"/>
  <c r="BE468" i="154"/>
  <c r="AV319" i="153"/>
  <c r="BE267" i="155"/>
  <c r="BE468" i="155"/>
  <c r="BC251" i="155"/>
  <c r="AZ267" i="154"/>
  <c r="AZ468" i="154"/>
  <c r="R298" i="155"/>
  <c r="R304" i="155" s="1"/>
  <c r="R32" i="155" s="1"/>
  <c r="BI259" i="154"/>
  <c r="BI468" i="154"/>
  <c r="BI303" i="154"/>
  <c r="AH290" i="154"/>
  <c r="AV311" i="154"/>
  <c r="AV275" i="154"/>
  <c r="BG251" i="155"/>
  <c r="BC295" i="155"/>
  <c r="BC311" i="155" s="1"/>
  <c r="AF254" i="154"/>
  <c r="AF463" i="154"/>
  <c r="AE246" i="154"/>
  <c r="BI295" i="155"/>
  <c r="BI319" i="155" s="1"/>
  <c r="AW311" i="155"/>
  <c r="AG290" i="154"/>
  <c r="BC251" i="153"/>
  <c r="BO338" i="154"/>
  <c r="BD295" i="154"/>
  <c r="BD311" i="154" s="1"/>
  <c r="R306" i="155"/>
  <c r="R312" i="155" s="1"/>
  <c r="R33" i="155" s="1"/>
  <c r="AH246" i="154"/>
  <c r="AP290" i="154"/>
  <c r="AP298" i="154" s="1"/>
  <c r="AV303" i="154"/>
  <c r="AV282" i="154"/>
  <c r="BG295" i="155"/>
  <c r="BG303" i="155" s="1"/>
  <c r="Z262" i="154"/>
  <c r="Z268" i="154" s="1"/>
  <c r="Z24" i="154" s="1"/>
  <c r="Z89" i="154" s="1"/>
  <c r="Z463" i="154"/>
  <c r="Z252" i="154"/>
  <c r="Z22" i="154" s="1"/>
  <c r="AQ303" i="154"/>
  <c r="BI251" i="155"/>
  <c r="BC295" i="153"/>
  <c r="BC311" i="153" s="1"/>
  <c r="BD251" i="154"/>
  <c r="AV238" i="154"/>
  <c r="AV267" i="154"/>
  <c r="AV468" i="154"/>
  <c r="AQ311" i="154"/>
  <c r="AL254" i="154"/>
  <c r="BP213" i="154"/>
  <c r="BP205" i="154"/>
  <c r="AP246" i="154"/>
  <c r="BG275" i="153"/>
  <c r="BG468" i="153"/>
  <c r="AD298" i="154"/>
  <c r="AY468" i="153"/>
  <c r="AX282" i="154"/>
  <c r="AJ270" i="154"/>
  <c r="AJ463" i="154"/>
  <c r="AB248" i="154"/>
  <c r="AB244" i="154"/>
  <c r="BG282" i="154"/>
  <c r="AK270" i="154"/>
  <c r="BD259" i="153"/>
  <c r="BD468" i="153"/>
  <c r="AF306" i="154"/>
  <c r="AR290" i="154"/>
  <c r="BH295" i="155"/>
  <c r="BH311" i="155" s="1"/>
  <c r="BB251" i="155"/>
  <c r="X298" i="154"/>
  <c r="X304" i="154" s="1"/>
  <c r="X32" i="154" s="1"/>
  <c r="X97" i="154" s="1"/>
  <c r="AY303" i="154"/>
  <c r="AZ311" i="154"/>
  <c r="AK254" i="154"/>
  <c r="BD319" i="153"/>
  <c r="BF251" i="154"/>
  <c r="AX238" i="154"/>
  <c r="AE517" i="99"/>
  <c r="AE518" i="99" s="1"/>
  <c r="AG535" i="99"/>
  <c r="AG599" i="99" s="1"/>
  <c r="AG549" i="99"/>
  <c r="AG613" i="99" s="1"/>
  <c r="AG597" i="99"/>
  <c r="AG233" i="99"/>
  <c r="AG512" i="99"/>
  <c r="AG576" i="99" s="1"/>
  <c r="AG228" i="99"/>
  <c r="AJ3" i="69"/>
  <c r="AJ4" i="69" s="1"/>
  <c r="AI2" i="69" a="1"/>
  <c r="AI2" i="69" s="1"/>
  <c r="AI11" i="69"/>
  <c r="AI14" i="69"/>
  <c r="AI15" i="69"/>
  <c r="AI9" i="69"/>
  <c r="AI8" i="69"/>
  <c r="AI16" i="69"/>
  <c r="AI10" i="69"/>
  <c r="AI12" i="69"/>
  <c r="AI13" i="69"/>
  <c r="AI7" i="69"/>
  <c r="AG585" i="99"/>
  <c r="AG524" i="99"/>
  <c r="AG232" i="99"/>
  <c r="AC608" i="99"/>
  <c r="AC551" i="99"/>
  <c r="AC555" i="99" s="1"/>
  <c r="AD224" i="99"/>
  <c r="AD591" i="99"/>
  <c r="AE590" i="99"/>
  <c r="AM527" i="99"/>
  <c r="Z625" i="99"/>
  <c r="Z626" i="99" s="1"/>
  <c r="Z562" i="99"/>
  <c r="Z631" i="99"/>
  <c r="AD529" i="99"/>
  <c r="AD581" i="99"/>
  <c r="AD518" i="99"/>
  <c r="AA616" i="99"/>
  <c r="AG602" i="99"/>
  <c r="AG542" i="99"/>
  <c r="AG606" i="99" s="1"/>
  <c r="AA556" i="99"/>
  <c r="AA619" i="99"/>
  <c r="AA620" i="99" s="1"/>
  <c r="AF588" i="99"/>
  <c r="AF526" i="99"/>
  <c r="AF576" i="99"/>
  <c r="AF515" i="99"/>
  <c r="AF599" i="99"/>
  <c r="AB559" i="99" a="1"/>
  <c r="AB559" i="99" s="1"/>
  <c r="AB623" i="99" s="1"/>
  <c r="AB615" i="99"/>
  <c r="AB552" i="99"/>
  <c r="AG230" i="99"/>
  <c r="AH547" i="99"/>
  <c r="AH611" i="99" s="1"/>
  <c r="AH539" i="99"/>
  <c r="AH603" i="99" s="1"/>
  <c r="AH548" i="99"/>
  <c r="AH612" i="99" s="1"/>
  <c r="AH540" i="99"/>
  <c r="AH604" i="99" s="1"/>
  <c r="AH541" i="99"/>
  <c r="AH605" i="99" s="1"/>
  <c r="AH534" i="99"/>
  <c r="AH598" i="99" s="1"/>
  <c r="AH538" i="99"/>
  <c r="AH507" i="99"/>
  <c r="AH509" i="99"/>
  <c r="AH573" i="99" s="1"/>
  <c r="AH521" i="99"/>
  <c r="AH525" i="99"/>
  <c r="AH589" i="99" s="1"/>
  <c r="AH522" i="99"/>
  <c r="AH586" i="99" s="1"/>
  <c r="AH523" i="99"/>
  <c r="AH587" i="99" s="1"/>
  <c r="AH514" i="99"/>
  <c r="AH578" i="99" s="1"/>
  <c r="AH513" i="99"/>
  <c r="AH577" i="99" s="1"/>
  <c r="AH516" i="99"/>
  <c r="AH580" i="99" s="1"/>
  <c r="AH558" i="99"/>
  <c r="AH622" i="99" s="1"/>
  <c r="AH533" i="99"/>
  <c r="AH597" i="99" s="1"/>
  <c r="AG234" i="99"/>
  <c r="AG229" i="99"/>
  <c r="AJ3" i="99"/>
  <c r="AJ4" i="99" s="1"/>
  <c r="AI2" i="99" a="1"/>
  <c r="AI2" i="99" s="1"/>
  <c r="AI554" i="99" s="1"/>
  <c r="AI474" i="99"/>
  <c r="AI475" i="99"/>
  <c r="AI498" i="99"/>
  <c r="AI482" i="99" s="1"/>
  <c r="AI490" i="99" s="1"/>
  <c r="AI499" i="99"/>
  <c r="AI483" i="99" s="1"/>
  <c r="AI491" i="99" s="1"/>
  <c r="AI476" i="99"/>
  <c r="AI500" i="99"/>
  <c r="AI484" i="99" s="1"/>
  <c r="AI492" i="99" s="1"/>
  <c r="AI477" i="99"/>
  <c r="AI478" i="99"/>
  <c r="AI501" i="99"/>
  <c r="AI485" i="99" s="1"/>
  <c r="AI493" i="99" s="1"/>
  <c r="AI502" i="99"/>
  <c r="AI486" i="99" s="1"/>
  <c r="AI494" i="99" s="1"/>
  <c r="AI479" i="99"/>
  <c r="AI503" i="99"/>
  <c r="AI487" i="99" s="1"/>
  <c r="AI495" i="99" s="1"/>
  <c r="AJ36" i="72"/>
  <c r="AJ38" i="72" s="1"/>
  <c r="AJ39" i="72" s="1"/>
  <c r="AK5" i="72"/>
  <c r="AK6" i="72" s="1"/>
  <c r="AJ37" i="72"/>
  <c r="AJ48" i="72"/>
  <c r="AJ47" i="72"/>
  <c r="AJ6" i="98"/>
  <c r="AI70" i="103"/>
  <c r="AN70" i="105" s="1"/>
  <c r="AI35" i="151" s="1"/>
  <c r="AZ8" i="98"/>
  <c r="AK4" i="72" l="1" a="1"/>
  <c r="AK4" i="72" s="1"/>
  <c r="BL205" i="154"/>
  <c r="BL238" i="154" s="1"/>
  <c r="BL246" i="154" s="1"/>
  <c r="R34" i="155"/>
  <c r="R99" i="155" s="1"/>
  <c r="BJ205" i="154"/>
  <c r="BJ238" i="154" s="1"/>
  <c r="BJ246" i="154" s="1"/>
  <c r="V87" i="154"/>
  <c r="V25" i="154"/>
  <c r="U87" i="154"/>
  <c r="U25" i="154"/>
  <c r="R88" i="155"/>
  <c r="AA34" i="154"/>
  <c r="Z34" i="154"/>
  <c r="R100" i="155"/>
  <c r="X87" i="154"/>
  <c r="X25" i="154"/>
  <c r="R89" i="155"/>
  <c r="W34" i="154"/>
  <c r="Z87" i="154"/>
  <c r="Z25" i="154"/>
  <c r="R91" i="155"/>
  <c r="U96" i="154"/>
  <c r="V34" i="154"/>
  <c r="R98" i="155"/>
  <c r="R97" i="155"/>
  <c r="Y87" i="154"/>
  <c r="Y25" i="154"/>
  <c r="Y34" i="154"/>
  <c r="W87" i="154"/>
  <c r="W25" i="154"/>
  <c r="AA87" i="154"/>
  <c r="AA25" i="154"/>
  <c r="X34" i="154"/>
  <c r="R87" i="155"/>
  <c r="R25" i="155"/>
  <c r="BT328" i="154"/>
  <c r="BT338" i="154" s="1"/>
  <c r="BV328" i="154"/>
  <c r="BV338" i="154" s="1"/>
  <c r="BV213" i="154"/>
  <c r="BV282" i="154" s="1"/>
  <c r="BU213" i="154"/>
  <c r="BU282" i="154" s="1"/>
  <c r="BT213" i="154"/>
  <c r="BT282" i="154" s="1"/>
  <c r="BU328" i="154"/>
  <c r="BU338" i="154" s="1"/>
  <c r="BI205" i="154"/>
  <c r="BI238" i="154" s="1"/>
  <c r="BI246" i="154" s="1"/>
  <c r="BH205" i="154"/>
  <c r="BH238" i="154" s="1"/>
  <c r="BH246" i="154" s="1"/>
  <c r="AK122" i="105"/>
  <c r="BY197" i="154"/>
  <c r="BY213" i="154" s="1"/>
  <c r="BY282" i="154" s="1"/>
  <c r="BW197" i="154"/>
  <c r="BW213" i="154" s="1"/>
  <c r="BW282" i="154" s="1"/>
  <c r="BX197" i="154"/>
  <c r="BX205" i="154" s="1"/>
  <c r="BX238" i="154" s="1"/>
  <c r="U306" i="154"/>
  <c r="U312" i="154" s="1"/>
  <c r="U33" i="154" s="1"/>
  <c r="U98" i="154" s="1"/>
  <c r="U314" i="154"/>
  <c r="U320" i="154" s="1"/>
  <c r="U35" i="154" s="1"/>
  <c r="U100" i="154" s="1"/>
  <c r="U298" i="154"/>
  <c r="U304" i="154" s="1"/>
  <c r="U32" i="154" s="1"/>
  <c r="U97" i="154" s="1"/>
  <c r="AG129" i="103"/>
  <c r="BA417" i="155"/>
  <c r="BA456" i="155" s="1" a="1"/>
  <c r="BA456" i="155" s="1"/>
  <c r="AL412" i="154"/>
  <c r="AZ417" i="153"/>
  <c r="AZ456" i="153" s="1" a="1"/>
  <c r="AZ456" i="153" s="1"/>
  <c r="AX417" i="155"/>
  <c r="AX456" i="155" s="1" a="1"/>
  <c r="AX456" i="155" s="1"/>
  <c r="AZ417" i="154"/>
  <c r="AZ456" i="154" s="1" a="1"/>
  <c r="AZ456" i="154" s="1"/>
  <c r="N626" i="155"/>
  <c r="P626" i="155" s="1"/>
  <c r="BC417" i="154"/>
  <c r="BC456" i="154" s="1" a="1"/>
  <c r="BC456" i="154" s="1"/>
  <c r="BB417" i="154"/>
  <c r="BB456" i="154" s="1" a="1"/>
  <c r="BB456" i="154" s="1"/>
  <c r="AZ417" i="155"/>
  <c r="AZ456" i="155" s="1" a="1"/>
  <c r="AZ456" i="155" s="1"/>
  <c r="BH417" i="154"/>
  <c r="BH456" i="154" s="1" a="1"/>
  <c r="BH456" i="154" s="1"/>
  <c r="AY417" i="154"/>
  <c r="AY456" i="154" s="1" a="1"/>
  <c r="AY456" i="154" s="1"/>
  <c r="AC412" i="154"/>
  <c r="AV417" i="154"/>
  <c r="AV456" i="154" s="1" a="1"/>
  <c r="AV456" i="154" s="1"/>
  <c r="BI417" i="154"/>
  <c r="BI456" i="154" s="1" a="1"/>
  <c r="BI456" i="154" s="1"/>
  <c r="AK412" i="154"/>
  <c r="AW417" i="155"/>
  <c r="AW456" i="155" s="1" a="1"/>
  <c r="AW456" i="155" s="1"/>
  <c r="BA417" i="154"/>
  <c r="BA456" i="154" s="1" a="1"/>
  <c r="BA456" i="154" s="1"/>
  <c r="BE417" i="155"/>
  <c r="BE456" i="155" s="1" a="1"/>
  <c r="BE456" i="155" s="1"/>
  <c r="BG417" i="153"/>
  <c r="BG456" i="153" s="1" a="1"/>
  <c r="BG456" i="153" s="1"/>
  <c r="AI414" i="154"/>
  <c r="AI453" i="154" s="1" a="1"/>
  <c r="AI453" i="154" s="1"/>
  <c r="AQ416" i="154"/>
  <c r="AQ455" i="154" s="1" a="1"/>
  <c r="AQ455" i="154" s="1"/>
  <c r="AJ412" i="154"/>
  <c r="AJ451" i="154" s="1" a="1"/>
  <c r="AJ451" i="154" s="1"/>
  <c r="AW417" i="154"/>
  <c r="AW456" i="154" s="1" a="1"/>
  <c r="AW456" i="154" s="1"/>
  <c r="BA417" i="153"/>
  <c r="BA456" i="153" s="1" a="1"/>
  <c r="BA456" i="153" s="1"/>
  <c r="AV417" i="153"/>
  <c r="AV456" i="153" s="1" a="1"/>
  <c r="AV456" i="153" s="1"/>
  <c r="AD412" i="154"/>
  <c r="AM412" i="154"/>
  <c r="AM451" i="154" s="1" a="1"/>
  <c r="AM451" i="154" s="1"/>
  <c r="AQ417" i="154"/>
  <c r="AQ456" i="154" s="1" a="1"/>
  <c r="AQ456" i="154" s="1"/>
  <c r="AX417" i="154"/>
  <c r="AX456" i="154" s="1" a="1"/>
  <c r="AX456" i="154" s="1"/>
  <c r="AP417" i="153"/>
  <c r="AP456" i="153" s="1" a="1"/>
  <c r="AP456" i="153" s="1"/>
  <c r="AU417" i="153"/>
  <c r="AU456" i="153" s="1" a="1"/>
  <c r="AU456" i="153" s="1"/>
  <c r="AF412" i="154"/>
  <c r="BE417" i="154"/>
  <c r="BE456" i="154" s="1" a="1"/>
  <c r="BE456" i="154" s="1"/>
  <c r="BB417" i="153"/>
  <c r="BB456" i="153" s="1" a="1"/>
  <c r="BB456" i="153" s="1"/>
  <c r="AO412" i="154"/>
  <c r="AO451" i="154" s="1" a="1"/>
  <c r="AO451" i="154" s="1"/>
  <c r="BD417" i="153"/>
  <c r="BD456" i="153" s="1" a="1"/>
  <c r="BD456" i="153" s="1"/>
  <c r="BG417" i="154"/>
  <c r="BG456" i="154" s="1" a="1"/>
  <c r="BG456" i="154" s="1"/>
  <c r="AT417" i="153"/>
  <c r="AT456" i="153" s="1" a="1"/>
  <c r="AT456" i="153" s="1"/>
  <c r="AY417" i="153"/>
  <c r="AY456" i="153" s="1" a="1"/>
  <c r="AY456" i="153" s="1"/>
  <c r="AW417" i="153"/>
  <c r="AW456" i="153" s="1" a="1"/>
  <c r="AW456" i="153" s="1"/>
  <c r="R412" i="155"/>
  <c r="R451" i="155" s="1" a="1"/>
  <c r="R451" i="155" s="1"/>
  <c r="BF275" i="154"/>
  <c r="BD267" i="155"/>
  <c r="Y412" i="154"/>
  <c r="BF468" i="155"/>
  <c r="AB272" i="154"/>
  <c r="AB276" i="154" s="1"/>
  <c r="AB26" i="154" s="1"/>
  <c r="AB91" i="154" s="1"/>
  <c r="BC259" i="153"/>
  <c r="AN262" i="154"/>
  <c r="BF259" i="153"/>
  <c r="BD275" i="154"/>
  <c r="AG254" i="154"/>
  <c r="BH275" i="155"/>
  <c r="BI259" i="153"/>
  <c r="BI468" i="155"/>
  <c r="BC267" i="155"/>
  <c r="BH468" i="153"/>
  <c r="BB275" i="155"/>
  <c r="AS270" i="154"/>
  <c r="AE270" i="154"/>
  <c r="AR262" i="154"/>
  <c r="W412" i="154"/>
  <c r="AH270" i="154"/>
  <c r="AT262" i="154"/>
  <c r="AA412" i="154"/>
  <c r="V412" i="154"/>
  <c r="AI254" i="154"/>
  <c r="AU254" i="154"/>
  <c r="AP270" i="154"/>
  <c r="N631" i="155"/>
  <c r="P631" i="155" s="1"/>
  <c r="BG267" i="155"/>
  <c r="BE267" i="153"/>
  <c r="X412" i="154"/>
  <c r="Z412" i="154"/>
  <c r="Z451" i="154" s="1" a="1"/>
  <c r="Z451" i="154" s="1"/>
  <c r="Z457" i="154" s="1"/>
  <c r="Z69" i="154" s="1"/>
  <c r="Z134" i="154" s="1"/>
  <c r="AB561" i="99"/>
  <c r="AB567" i="99" s="1"/>
  <c r="AN127" i="105"/>
  <c r="S156" i="153"/>
  <c r="W156" i="153" s="1"/>
  <c r="S156" i="154"/>
  <c r="W156" i="154" s="1"/>
  <c r="S156" i="155"/>
  <c r="W156" i="155" s="1"/>
  <c r="BO213" i="154"/>
  <c r="BO282" i="154" s="1"/>
  <c r="BR205" i="154"/>
  <c r="BR238" i="154" s="1"/>
  <c r="AG129" i="99"/>
  <c r="AG129" i="104"/>
  <c r="AG64" i="104" s="1"/>
  <c r="AL64" i="105" s="1"/>
  <c r="AG30" i="151" s="1"/>
  <c r="T296" i="154"/>
  <c r="T31" i="154" s="1"/>
  <c r="T306" i="154"/>
  <c r="T312" i="154" s="1"/>
  <c r="T33" i="154" s="1"/>
  <c r="T98" i="154" s="1"/>
  <c r="T314" i="154"/>
  <c r="T320" i="154" s="1"/>
  <c r="T35" i="154" s="1"/>
  <c r="T100" i="154" s="1"/>
  <c r="T298" i="154"/>
  <c r="T304" i="154" s="1"/>
  <c r="T32" i="154" s="1"/>
  <c r="T97" i="154" s="1"/>
  <c r="U296" i="155"/>
  <c r="U31" i="155" s="1"/>
  <c r="U298" i="155"/>
  <c r="U304" i="155" s="1"/>
  <c r="U32" i="155" s="1"/>
  <c r="U97" i="155" s="1"/>
  <c r="U306" i="155"/>
  <c r="U312" i="155" s="1"/>
  <c r="U33" i="155" s="1"/>
  <c r="U98" i="155" s="1"/>
  <c r="U314" i="155"/>
  <c r="U320" i="155" s="1"/>
  <c r="U35" i="155" s="1"/>
  <c r="U100" i="155" s="1"/>
  <c r="T296" i="155"/>
  <c r="T31" i="155" s="1"/>
  <c r="T306" i="155"/>
  <c r="T312" i="155" s="1"/>
  <c r="T33" i="155" s="1"/>
  <c r="T98" i="155" s="1"/>
  <c r="T298" i="155"/>
  <c r="T304" i="155" s="1"/>
  <c r="T32" i="155" s="1"/>
  <c r="T97" i="155" s="1"/>
  <c r="T314" i="155"/>
  <c r="T320" i="155" s="1"/>
  <c r="T35" i="155" s="1"/>
  <c r="T100" i="155" s="1"/>
  <c r="S296" i="154"/>
  <c r="S31" i="154" s="1"/>
  <c r="S306" i="154"/>
  <c r="S312" i="154" s="1"/>
  <c r="S33" i="154" s="1"/>
  <c r="S98" i="154" s="1"/>
  <c r="S314" i="154"/>
  <c r="S320" i="154" s="1"/>
  <c r="S35" i="154" s="1"/>
  <c r="S100" i="154" s="1"/>
  <c r="S298" i="154"/>
  <c r="S304" i="154" s="1"/>
  <c r="S32" i="154" s="1"/>
  <c r="S97" i="154" s="1"/>
  <c r="R296" i="154"/>
  <c r="R31" i="154" s="1"/>
  <c r="R314" i="154"/>
  <c r="R320" i="154" s="1"/>
  <c r="R35" i="154" s="1"/>
  <c r="R298" i="154"/>
  <c r="R304" i="154" s="1"/>
  <c r="R32" i="154" s="1"/>
  <c r="R306" i="154"/>
  <c r="R312" i="154" s="1"/>
  <c r="R33" i="154" s="1"/>
  <c r="S270" i="154"/>
  <c r="S276" i="154" s="1"/>
  <c r="S26" i="154" s="1"/>
  <c r="S91" i="154" s="1"/>
  <c r="S262" i="154"/>
  <c r="S268" i="154" s="1"/>
  <c r="S24" i="154" s="1"/>
  <c r="S89" i="154" s="1"/>
  <c r="S252" i="154"/>
  <c r="S22" i="154" s="1"/>
  <c r="S463" i="154"/>
  <c r="S254" i="154"/>
  <c r="T270" i="155"/>
  <c r="T276" i="155" s="1"/>
  <c r="T26" i="155" s="1"/>
  <c r="T91" i="155" s="1"/>
  <c r="T252" i="155"/>
  <c r="T22" i="155" s="1"/>
  <c r="T262" i="155"/>
  <c r="T268" i="155" s="1"/>
  <c r="T24" i="155" s="1"/>
  <c r="T89" i="155" s="1"/>
  <c r="T463" i="155"/>
  <c r="T254" i="155"/>
  <c r="S296" i="155"/>
  <c r="S31" i="155" s="1"/>
  <c r="S314" i="155"/>
  <c r="S320" i="155" s="1"/>
  <c r="S35" i="155" s="1"/>
  <c r="S100" i="155" s="1"/>
  <c r="S306" i="155"/>
  <c r="S312" i="155" s="1"/>
  <c r="S33" i="155" s="1"/>
  <c r="S98" i="155" s="1"/>
  <c r="S298" i="155"/>
  <c r="S304" i="155" s="1"/>
  <c r="S32" i="155" s="1"/>
  <c r="S97" i="155" s="1"/>
  <c r="R262" i="154"/>
  <c r="R268" i="154" s="1"/>
  <c r="R24" i="154" s="1"/>
  <c r="R270" i="154"/>
  <c r="R276" i="154" s="1"/>
  <c r="R26" i="154" s="1"/>
  <c r="R254" i="154"/>
  <c r="R252" i="154"/>
  <c r="R22" i="154" s="1"/>
  <c r="R463" i="154"/>
  <c r="S254" i="155"/>
  <c r="S463" i="155"/>
  <c r="S252" i="155"/>
  <c r="S22" i="155" s="1"/>
  <c r="S262" i="155"/>
  <c r="S268" i="155" s="1"/>
  <c r="S24" i="155" s="1"/>
  <c r="S89" i="155" s="1"/>
  <c r="S270" i="155"/>
  <c r="S276" i="155" s="1"/>
  <c r="S26" i="155" s="1"/>
  <c r="S91" i="155" s="1"/>
  <c r="U270" i="155"/>
  <c r="U276" i="155" s="1"/>
  <c r="U26" i="155" s="1"/>
  <c r="U91" i="155" s="1"/>
  <c r="U262" i="155"/>
  <c r="U268" i="155" s="1"/>
  <c r="U24" i="155" s="1"/>
  <c r="U89" i="155" s="1"/>
  <c r="U254" i="155"/>
  <c r="U463" i="155"/>
  <c r="U252" i="155"/>
  <c r="U22" i="155" s="1"/>
  <c r="T262" i="154"/>
  <c r="T268" i="154" s="1"/>
  <c r="T24" i="154" s="1"/>
  <c r="T89" i="154" s="1"/>
  <c r="T252" i="154"/>
  <c r="T22" i="154" s="1"/>
  <c r="T254" i="154"/>
  <c r="T463" i="154"/>
  <c r="T270" i="154"/>
  <c r="T276" i="154" s="1"/>
  <c r="T26" i="154" s="1"/>
  <c r="T91" i="154" s="1"/>
  <c r="AH618" i="99"/>
  <c r="AH64" i="99"/>
  <c r="BI303" i="153"/>
  <c r="BC267" i="153"/>
  <c r="AP188" i="155"/>
  <c r="AQ188" i="155"/>
  <c r="AN188" i="155"/>
  <c r="AJ188" i="155"/>
  <c r="AL188" i="155"/>
  <c r="AO188" i="155"/>
  <c r="AK188" i="154"/>
  <c r="AI188" i="155"/>
  <c r="AJ188" i="154"/>
  <c r="AK188" i="155"/>
  <c r="AM188" i="154"/>
  <c r="AM188" i="155"/>
  <c r="AO188" i="154"/>
  <c r="AL188" i="154"/>
  <c r="AS262" i="154"/>
  <c r="AQ188" i="154"/>
  <c r="AI188" i="154"/>
  <c r="AP188" i="154"/>
  <c r="AN188" i="154"/>
  <c r="AE306" i="154"/>
  <c r="AR270" i="154"/>
  <c r="AE314" i="154"/>
  <c r="AE298" i="154"/>
  <c r="BB267" i="155"/>
  <c r="BI267" i="155"/>
  <c r="AR298" i="154"/>
  <c r="BE303" i="153"/>
  <c r="BC259" i="155"/>
  <c r="AU262" i="154"/>
  <c r="BH303" i="153"/>
  <c r="AT314" i="154"/>
  <c r="BF319" i="155"/>
  <c r="BF303" i="155"/>
  <c r="BF267" i="153"/>
  <c r="BB303" i="155"/>
  <c r="BG259" i="155"/>
  <c r="AI262" i="154"/>
  <c r="BD259" i="155"/>
  <c r="AH306" i="154"/>
  <c r="BF275" i="155"/>
  <c r="AN314" i="154"/>
  <c r="AT254" i="154"/>
  <c r="AN306" i="154"/>
  <c r="BE311" i="153"/>
  <c r="BH303" i="155"/>
  <c r="AA322" i="154"/>
  <c r="BH319" i="155"/>
  <c r="AU306" i="154"/>
  <c r="AP306" i="154"/>
  <c r="BC319" i="153"/>
  <c r="BG319" i="155"/>
  <c r="AG314" i="154"/>
  <c r="AG262" i="154"/>
  <c r="BC303" i="153"/>
  <c r="BG311" i="155"/>
  <c r="AB308" i="154"/>
  <c r="AB312" i="154" s="1"/>
  <c r="AB33" i="154" s="1"/>
  <c r="AB98" i="154" s="1"/>
  <c r="AR306" i="154"/>
  <c r="AR314" i="154"/>
  <c r="BF259" i="155"/>
  <c r="BH267" i="153"/>
  <c r="BB311" i="155"/>
  <c r="BF319" i="154"/>
  <c r="BI275" i="153"/>
  <c r="AI314" i="154"/>
  <c r="AP314" i="154"/>
  <c r="AT298" i="154"/>
  <c r="AB256" i="154"/>
  <c r="AB260" i="154" s="1"/>
  <c r="AB23" i="154" s="1"/>
  <c r="AB88" i="154" s="1"/>
  <c r="AX290" i="154"/>
  <c r="R322" i="155"/>
  <c r="AH314" i="154"/>
  <c r="AN270" i="154"/>
  <c r="AN463" i="154"/>
  <c r="AS254" i="154"/>
  <c r="AS463" i="154"/>
  <c r="BK246" i="154"/>
  <c r="R469" i="155"/>
  <c r="R19" i="155" s="1"/>
  <c r="R278" i="155"/>
  <c r="AQ246" i="154"/>
  <c r="AP254" i="154"/>
  <c r="BF259" i="154"/>
  <c r="AB264" i="154"/>
  <c r="AB268" i="154" s="1"/>
  <c r="AB24" i="154" s="1"/>
  <c r="AB89" i="154" s="1"/>
  <c r="BL290" i="154"/>
  <c r="BL306" i="154" s="1"/>
  <c r="AG298" i="154"/>
  <c r="BA290" i="154"/>
  <c r="BD275" i="155"/>
  <c r="BD468" i="155"/>
  <c r="BE275" i="153"/>
  <c r="Y322" i="154"/>
  <c r="BF303" i="154"/>
  <c r="BG246" i="154"/>
  <c r="AG306" i="154"/>
  <c r="AJ292" i="154"/>
  <c r="AJ316" i="154" s="1"/>
  <c r="BC246" i="154"/>
  <c r="BI290" i="154"/>
  <c r="BI298" i="154" s="1"/>
  <c r="AB465" i="154"/>
  <c r="AB252" i="154"/>
  <c r="AB22" i="154" s="1"/>
  <c r="AP463" i="154"/>
  <c r="BE290" i="154"/>
  <c r="Y278" i="154"/>
  <c r="Y469" i="154"/>
  <c r="BE259" i="153"/>
  <c r="BE468" i="153"/>
  <c r="BF275" i="153"/>
  <c r="BF468" i="153"/>
  <c r="AP262" i="154"/>
  <c r="AI298" i="154"/>
  <c r="Z322" i="154"/>
  <c r="BS238" i="154"/>
  <c r="AK292" i="154"/>
  <c r="AK316" i="154" s="1"/>
  <c r="X469" i="154"/>
  <c r="X19" i="154" s="1"/>
  <c r="X84" i="154" s="1"/>
  <c r="X278" i="154"/>
  <c r="AZ246" i="154"/>
  <c r="BO238" i="154"/>
  <c r="AI306" i="154"/>
  <c r="BE246" i="154"/>
  <c r="BS282" i="154"/>
  <c r="BF267" i="154"/>
  <c r="BF468" i="154"/>
  <c r="BC275" i="153"/>
  <c r="BC468" i="153"/>
  <c r="BH267" i="155"/>
  <c r="BF238" i="154"/>
  <c r="AI270" i="154"/>
  <c r="AI463" i="154"/>
  <c r="N631" i="154"/>
  <c r="P631" i="154" s="1"/>
  <c r="P567" i="154"/>
  <c r="BI319" i="153"/>
  <c r="AV246" i="154"/>
  <c r="BV238" i="154"/>
  <c r="BI275" i="155"/>
  <c r="BI311" i="155"/>
  <c r="BF282" i="154"/>
  <c r="BQ338" i="154"/>
  <c r="AS298" i="154"/>
  <c r="AY290" i="154"/>
  <c r="AY246" i="154"/>
  <c r="BD267" i="154"/>
  <c r="BI259" i="155"/>
  <c r="BI303" i="155"/>
  <c r="BH259" i="155"/>
  <c r="BH468" i="155"/>
  <c r="BQ205" i="154"/>
  <c r="BQ213" i="154"/>
  <c r="BT238" i="154"/>
  <c r="AS306" i="154"/>
  <c r="V322" i="154"/>
  <c r="BH275" i="153"/>
  <c r="AG270" i="154"/>
  <c r="AG463" i="154"/>
  <c r="BF311" i="153"/>
  <c r="BB246" i="154"/>
  <c r="AV290" i="154"/>
  <c r="P625" i="154"/>
  <c r="N626" i="154"/>
  <c r="P626" i="154" s="1"/>
  <c r="AS314" i="154"/>
  <c r="BF319" i="153"/>
  <c r="AB451" i="154" a="1"/>
  <c r="AB451" i="154" s="1"/>
  <c r="AB316" i="154"/>
  <c r="AB320" i="154" s="1"/>
  <c r="AB35" i="154" s="1"/>
  <c r="AB100" i="154" s="1"/>
  <c r="AB296" i="154"/>
  <c r="AB31" i="154" s="1"/>
  <c r="AJ248" i="154"/>
  <c r="BH290" i="154"/>
  <c r="BH306" i="154" s="1"/>
  <c r="BJ290" i="154"/>
  <c r="BJ314" i="154" s="1"/>
  <c r="AU314" i="154"/>
  <c r="BH259" i="153"/>
  <c r="BK290" i="154"/>
  <c r="BK298" i="154" s="1"/>
  <c r="AW290" i="154"/>
  <c r="AT306" i="154"/>
  <c r="BD311" i="155"/>
  <c r="X322" i="154"/>
  <c r="AK248" i="154"/>
  <c r="AT270" i="154"/>
  <c r="AT463" i="154"/>
  <c r="BD238" i="154"/>
  <c r="BF267" i="155"/>
  <c r="BI267" i="153"/>
  <c r="BI468" i="153"/>
  <c r="AA278" i="154"/>
  <c r="AA469" i="154"/>
  <c r="BD303" i="155"/>
  <c r="BN213" i="154"/>
  <c r="BN205" i="154"/>
  <c r="AX246" i="154"/>
  <c r="AH262" i="154"/>
  <c r="AE254" i="154"/>
  <c r="BN338" i="154"/>
  <c r="BD303" i="154"/>
  <c r="BC303" i="155"/>
  <c r="BD282" i="154"/>
  <c r="AQ290" i="154"/>
  <c r="BD259" i="154"/>
  <c r="BD468" i="154"/>
  <c r="BP238" i="154"/>
  <c r="AE529" i="99"/>
  <c r="AE593" i="99" s="1"/>
  <c r="AE594" i="99" s="1"/>
  <c r="BP282" i="154"/>
  <c r="BD319" i="154"/>
  <c r="BC319" i="155"/>
  <c r="BC275" i="155"/>
  <c r="BC468" i="155"/>
  <c r="V278" i="154"/>
  <c r="V469" i="154"/>
  <c r="V19" i="154" s="1"/>
  <c r="V84" i="154" s="1"/>
  <c r="W469" i="154"/>
  <c r="W278" i="154"/>
  <c r="AR254" i="154"/>
  <c r="AR463" i="154"/>
  <c r="AZ290" i="154"/>
  <c r="AH254" i="154"/>
  <c r="AH463" i="154"/>
  <c r="N631" i="153"/>
  <c r="P631" i="153" s="1"/>
  <c r="P567" i="153"/>
  <c r="AW246" i="154"/>
  <c r="U278" i="154"/>
  <c r="U469" i="154"/>
  <c r="Z278" i="154"/>
  <c r="Z469" i="154"/>
  <c r="Z19" i="154" s="1"/>
  <c r="Z84" i="154" s="1"/>
  <c r="BG290" i="154"/>
  <c r="BG314" i="154" s="1"/>
  <c r="BU238" i="154"/>
  <c r="BA246" i="154"/>
  <c r="BR282" i="154"/>
  <c r="BC290" i="154"/>
  <c r="AE262" i="154"/>
  <c r="AE463" i="154"/>
  <c r="BB259" i="155"/>
  <c r="BB468" i="155"/>
  <c r="AN254" i="154"/>
  <c r="P625" i="153"/>
  <c r="N626" i="153"/>
  <c r="P626" i="153" s="1"/>
  <c r="AN298" i="154"/>
  <c r="BG275" i="155"/>
  <c r="BG468" i="155"/>
  <c r="AH298" i="154"/>
  <c r="AU270" i="154"/>
  <c r="AU463" i="154"/>
  <c r="BM290" i="154"/>
  <c r="BM298" i="154" s="1"/>
  <c r="BM246" i="154"/>
  <c r="BH311" i="153"/>
  <c r="W322" i="154"/>
  <c r="BB290" i="154"/>
  <c r="AE581" i="99"/>
  <c r="AE582" i="99" s="1"/>
  <c r="AH535" i="99"/>
  <c r="AH599" i="99" s="1"/>
  <c r="AG515" i="99"/>
  <c r="AG517" i="99" s="1"/>
  <c r="AH549" i="99"/>
  <c r="AH613" i="99" s="1"/>
  <c r="AI17" i="69"/>
  <c r="AN76" i="105" s="1"/>
  <c r="AH230" i="99"/>
  <c r="AH234" i="99"/>
  <c r="AK3" i="69"/>
  <c r="AK4" i="69" s="1"/>
  <c r="AJ2" i="69" a="1"/>
  <c r="AJ2" i="69" s="1"/>
  <c r="AJ12" i="69"/>
  <c r="AJ14" i="69"/>
  <c r="AJ10" i="69"/>
  <c r="AJ11" i="69"/>
  <c r="AJ8" i="69"/>
  <c r="AJ7" i="69"/>
  <c r="AJ16" i="69"/>
  <c r="AJ15" i="69"/>
  <c r="AJ13" i="69"/>
  <c r="AD223" i="99"/>
  <c r="AD582" i="99"/>
  <c r="AH524" i="99"/>
  <c r="AH585" i="99"/>
  <c r="AD593" i="99"/>
  <c r="AD594" i="99" s="1"/>
  <c r="AD530" i="99"/>
  <c r="AD544" i="99"/>
  <c r="AH512" i="99"/>
  <c r="AF579" i="99"/>
  <c r="AF517" i="99"/>
  <c r="AI538" i="99"/>
  <c r="AI541" i="99"/>
  <c r="AI605" i="99" s="1"/>
  <c r="AI547" i="99"/>
  <c r="AI611" i="99" s="1"/>
  <c r="AI539" i="99"/>
  <c r="AI603" i="99" s="1"/>
  <c r="AI534" i="99"/>
  <c r="AI598" i="99" s="1"/>
  <c r="AI548" i="99"/>
  <c r="AI612" i="99" s="1"/>
  <c r="AI540" i="99"/>
  <c r="AI604" i="99" s="1"/>
  <c r="AI523" i="99"/>
  <c r="AI587" i="99" s="1"/>
  <c r="AI509" i="99"/>
  <c r="AI573" i="99" s="1"/>
  <c r="AI525" i="99"/>
  <c r="AI589" i="99" s="1"/>
  <c r="AI522" i="99"/>
  <c r="AI586" i="99" s="1"/>
  <c r="AI521" i="99"/>
  <c r="AI507" i="99"/>
  <c r="AI514" i="99"/>
  <c r="AI578" i="99" s="1"/>
  <c r="AI513" i="99"/>
  <c r="AI577" i="99" s="1"/>
  <c r="AI516" i="99"/>
  <c r="AI580" i="99" s="1"/>
  <c r="AI558" i="99"/>
  <c r="AI622" i="99" s="1"/>
  <c r="AI533" i="99"/>
  <c r="AI597" i="99" s="1"/>
  <c r="AH602" i="99"/>
  <c r="AH542" i="99"/>
  <c r="AH606" i="99" s="1"/>
  <c r="AK3" i="99"/>
  <c r="AK4" i="99" s="1"/>
  <c r="AJ2" i="99" a="1"/>
  <c r="AJ2" i="99" s="1"/>
  <c r="AJ554" i="99" s="1"/>
  <c r="AJ474" i="99"/>
  <c r="AJ475" i="99"/>
  <c r="AJ498" i="99"/>
  <c r="AJ482" i="99" s="1"/>
  <c r="AJ490" i="99" s="1"/>
  <c r="AJ476" i="99"/>
  <c r="AJ499" i="99"/>
  <c r="AJ483" i="99" s="1"/>
  <c r="AJ491" i="99" s="1"/>
  <c r="AJ477" i="99"/>
  <c r="AJ500" i="99"/>
  <c r="AJ484" i="99" s="1"/>
  <c r="AJ492" i="99" s="1"/>
  <c r="AJ478" i="99"/>
  <c r="AJ501" i="99"/>
  <c r="AJ485" i="99" s="1"/>
  <c r="AJ493" i="99" s="1"/>
  <c r="AJ479" i="99"/>
  <c r="AJ502" i="99"/>
  <c r="AJ486" i="99" s="1"/>
  <c r="AJ494" i="99" s="1"/>
  <c r="AJ503" i="99"/>
  <c r="AJ487" i="99" s="1"/>
  <c r="AJ495" i="99" s="1"/>
  <c r="AF590" i="99"/>
  <c r="AN527" i="99"/>
  <c r="AB619" i="99"/>
  <c r="AB620" i="99" s="1"/>
  <c r="AB556" i="99"/>
  <c r="AB616" i="99"/>
  <c r="AA631" i="99"/>
  <c r="AA625" i="99"/>
  <c r="AA626" i="99" s="1"/>
  <c r="AA562" i="99"/>
  <c r="AG588" i="99"/>
  <c r="AG526" i="99"/>
  <c r="AH228" i="99"/>
  <c r="AH229" i="99"/>
  <c r="AH233" i="99"/>
  <c r="AH232" i="99"/>
  <c r="AE591" i="99"/>
  <c r="AE224" i="99"/>
  <c r="AC559" i="99" a="1"/>
  <c r="AC559" i="99" s="1"/>
  <c r="AC623" i="99" s="1"/>
  <c r="AC615" i="99"/>
  <c r="AC552" i="99"/>
  <c r="AL5" i="72"/>
  <c r="AL6" i="72" s="1"/>
  <c r="AK36" i="72"/>
  <c r="AK38" i="72" s="1"/>
  <c r="AK39" i="72" s="1"/>
  <c r="AK37" i="72"/>
  <c r="AK47" i="72"/>
  <c r="AK48" i="72"/>
  <c r="AK6" i="98"/>
  <c r="AJ70" i="103"/>
  <c r="AO70" i="105" s="1"/>
  <c r="AJ35" i="151" s="1"/>
  <c r="AI64" i="99"/>
  <c r="BA8" i="98"/>
  <c r="AI40" i="151" l="1"/>
  <c r="AN132" i="105"/>
  <c r="AL4" i="72" a="1"/>
  <c r="AL4" i="72" s="1"/>
  <c r="R36" i="155"/>
  <c r="R37" i="155" s="1"/>
  <c r="X99" i="154"/>
  <c r="X36" i="154"/>
  <c r="T96" i="154"/>
  <c r="T34" i="154"/>
  <c r="R84" i="155"/>
  <c r="R98" i="154"/>
  <c r="S87" i="155"/>
  <c r="R97" i="154"/>
  <c r="AA90" i="154"/>
  <c r="AA27" i="154"/>
  <c r="R87" i="154"/>
  <c r="R100" i="154"/>
  <c r="Z90" i="154"/>
  <c r="Z27" i="154"/>
  <c r="Z99" i="154"/>
  <c r="Z36" i="154"/>
  <c r="W90" i="154"/>
  <c r="W27" i="154"/>
  <c r="W99" i="154"/>
  <c r="W36" i="154"/>
  <c r="R89" i="154"/>
  <c r="Y99" i="154"/>
  <c r="Y36" i="154"/>
  <c r="AA99" i="154"/>
  <c r="AA36" i="154"/>
  <c r="R96" i="154"/>
  <c r="R34" i="154"/>
  <c r="AA19" i="154"/>
  <c r="AA84" i="154" s="1"/>
  <c r="X90" i="154"/>
  <c r="X27" i="154"/>
  <c r="T87" i="154"/>
  <c r="S96" i="155"/>
  <c r="S34" i="155"/>
  <c r="Y90" i="154"/>
  <c r="Y27" i="154"/>
  <c r="W19" i="154"/>
  <c r="W84" i="154" s="1"/>
  <c r="U90" i="154"/>
  <c r="U27" i="154"/>
  <c r="U87" i="155"/>
  <c r="T96" i="155"/>
  <c r="T34" i="155"/>
  <c r="U19" i="154"/>
  <c r="U84" i="154" s="1"/>
  <c r="Y19" i="154"/>
  <c r="Y84" i="154" s="1"/>
  <c r="T87" i="155"/>
  <c r="V90" i="154"/>
  <c r="V27" i="154"/>
  <c r="R91" i="154"/>
  <c r="U96" i="155"/>
  <c r="U34" i="155"/>
  <c r="R90" i="155"/>
  <c r="R27" i="155"/>
  <c r="V99" i="154"/>
  <c r="V36" i="154"/>
  <c r="S96" i="154"/>
  <c r="S34" i="154"/>
  <c r="AB96" i="154"/>
  <c r="AB34" i="154"/>
  <c r="AB87" i="154"/>
  <c r="AB25" i="154"/>
  <c r="S87" i="154"/>
  <c r="U34" i="154"/>
  <c r="AL122" i="105"/>
  <c r="BY205" i="154"/>
  <c r="BY238" i="154" s="1"/>
  <c r="BY246" i="154" s="1"/>
  <c r="BW205" i="154"/>
  <c r="BW238" i="154" s="1"/>
  <c r="BW246" i="154" s="1"/>
  <c r="BX213" i="154"/>
  <c r="BX282" i="154" s="1"/>
  <c r="BX290" i="154" s="1"/>
  <c r="BX314" i="154" s="1"/>
  <c r="U412" i="154"/>
  <c r="U418" i="154" s="1"/>
  <c r="U322" i="154"/>
  <c r="AH129" i="99"/>
  <c r="BI417" i="153"/>
  <c r="BI456" i="153" s="1" a="1"/>
  <c r="BI456" i="153" s="1"/>
  <c r="BD417" i="154"/>
  <c r="BD456" i="154" s="1" a="1"/>
  <c r="BD456" i="154" s="1"/>
  <c r="R412" i="154"/>
  <c r="R451" i="154" s="1" a="1"/>
  <c r="R451" i="154" s="1"/>
  <c r="T412" i="155"/>
  <c r="BF417" i="153"/>
  <c r="BF456" i="153" s="1" a="1"/>
  <c r="BF456" i="153" s="1"/>
  <c r="AS412" i="154"/>
  <c r="AN412" i="154"/>
  <c r="BB417" i="155"/>
  <c r="BB456" i="155" s="1" a="1"/>
  <c r="BB456" i="155" s="1"/>
  <c r="BF417" i="155"/>
  <c r="BF456" i="155" s="1" a="1"/>
  <c r="BF456" i="155" s="1"/>
  <c r="AT412" i="154"/>
  <c r="BC417" i="155"/>
  <c r="BC456" i="155" s="1" a="1"/>
  <c r="BC456" i="155" s="1"/>
  <c r="BH417" i="155"/>
  <c r="BH456" i="155" s="1" a="1"/>
  <c r="BH456" i="155" s="1"/>
  <c r="AR412" i="154"/>
  <c r="BF417" i="154"/>
  <c r="BF456" i="154" s="1" a="1"/>
  <c r="BF456" i="154" s="1"/>
  <c r="AP412" i="154"/>
  <c r="BD417" i="155"/>
  <c r="BD456" i="155" s="1" a="1"/>
  <c r="BD456" i="155" s="1"/>
  <c r="S412" i="154"/>
  <c r="AI412" i="154"/>
  <c r="AG412" i="154"/>
  <c r="BH417" i="153"/>
  <c r="BH456" i="153" s="1" a="1"/>
  <c r="BH456" i="153" s="1"/>
  <c r="BE417" i="153"/>
  <c r="BE456" i="153" s="1" a="1"/>
  <c r="BE456" i="153" s="1"/>
  <c r="AH412" i="154"/>
  <c r="BI417" i="155"/>
  <c r="BI456" i="155" s="1" a="1"/>
  <c r="BI456" i="155" s="1"/>
  <c r="AU412" i="154"/>
  <c r="AU451" i="154" s="1" a="1"/>
  <c r="AU451" i="154" s="1"/>
  <c r="BG417" i="155"/>
  <c r="BG456" i="155" s="1" a="1"/>
  <c r="BG456" i="155" s="1"/>
  <c r="BC417" i="153"/>
  <c r="BC456" i="153" s="1" a="1"/>
  <c r="BC456" i="153" s="1"/>
  <c r="AE412" i="154"/>
  <c r="T412" i="154"/>
  <c r="S412" i="155"/>
  <c r="BE270" i="154"/>
  <c r="BJ254" i="154"/>
  <c r="AW254" i="154"/>
  <c r="U412" i="155"/>
  <c r="AZ262" i="154"/>
  <c r="BI270" i="154"/>
  <c r="AJ264" i="154"/>
  <c r="AV262" i="154"/>
  <c r="AB414" i="154"/>
  <c r="BA262" i="154"/>
  <c r="BC270" i="154"/>
  <c r="BM254" i="154"/>
  <c r="AQ262" i="154"/>
  <c r="AK264" i="154"/>
  <c r="BL262" i="154"/>
  <c r="AY262" i="154"/>
  <c r="BK262" i="154"/>
  <c r="BG262" i="154"/>
  <c r="AX262" i="154"/>
  <c r="BB254" i="154"/>
  <c r="BH254" i="154"/>
  <c r="AC561" i="99"/>
  <c r="AC567" i="99" s="1"/>
  <c r="AO127" i="105"/>
  <c r="AH129" i="103"/>
  <c r="AH129" i="104"/>
  <c r="AH64" i="104" s="1"/>
  <c r="AM64" i="105" s="1"/>
  <c r="AH30" i="151" s="1"/>
  <c r="T469" i="154"/>
  <c r="T19" i="154" s="1"/>
  <c r="T84" i="154" s="1"/>
  <c r="R469" i="154"/>
  <c r="R19" i="154" s="1"/>
  <c r="R260" i="154"/>
  <c r="R23" i="154" s="1"/>
  <c r="R25" i="154" s="1"/>
  <c r="R322" i="154"/>
  <c r="U469" i="155"/>
  <c r="U19" i="155" s="1"/>
  <c r="U84" i="155" s="1"/>
  <c r="U260" i="155"/>
  <c r="U23" i="155" s="1"/>
  <c r="U88" i="155" s="1"/>
  <c r="U322" i="155"/>
  <c r="S322" i="155"/>
  <c r="S260" i="154"/>
  <c r="S23" i="154" s="1"/>
  <c r="S88" i="154" s="1"/>
  <c r="S322" i="154"/>
  <c r="S469" i="155"/>
  <c r="S19" i="155" s="1"/>
  <c r="S84" i="155" s="1"/>
  <c r="T260" i="155"/>
  <c r="T23" i="155" s="1"/>
  <c r="T88" i="155" s="1"/>
  <c r="S469" i="154"/>
  <c r="S19" i="154" s="1"/>
  <c r="S84" i="154" s="1"/>
  <c r="T322" i="155"/>
  <c r="S260" i="155"/>
  <c r="S23" i="155" s="1"/>
  <c r="S25" i="155" s="1"/>
  <c r="T322" i="154"/>
  <c r="T260" i="154"/>
  <c r="T23" i="154" s="1"/>
  <c r="T88" i="154" s="1"/>
  <c r="R420" i="154"/>
  <c r="T469" i="155"/>
  <c r="T19" i="155" s="1"/>
  <c r="T84" i="155" s="1"/>
  <c r="AE544" i="99"/>
  <c r="AE608" i="99" s="1"/>
  <c r="BM262" i="154"/>
  <c r="Z418" i="154"/>
  <c r="X148" i="154"/>
  <c r="AL200" i="154"/>
  <c r="AL331" i="154"/>
  <c r="AO200" i="154"/>
  <c r="AO331" i="154"/>
  <c r="AO331" i="155"/>
  <c r="AO200" i="155"/>
  <c r="AJ331" i="154"/>
  <c r="AJ200" i="154"/>
  <c r="AK331" i="154"/>
  <c r="AK200" i="154"/>
  <c r="AQ331" i="154"/>
  <c r="AQ200" i="154"/>
  <c r="AM200" i="155"/>
  <c r="AM331" i="155"/>
  <c r="AQ331" i="155"/>
  <c r="AQ200" i="155"/>
  <c r="X146" i="154"/>
  <c r="BI254" i="154"/>
  <c r="AP200" i="154"/>
  <c r="AP331" i="154"/>
  <c r="AJ200" i="155"/>
  <c r="AJ331" i="155"/>
  <c r="AE530" i="99"/>
  <c r="AN331" i="155"/>
  <c r="AN200" i="155"/>
  <c r="AI200" i="154"/>
  <c r="AI331" i="154"/>
  <c r="AI129" i="104"/>
  <c r="AI64" i="104" s="1"/>
  <c r="AN64" i="105" s="1"/>
  <c r="AI30" i="151" s="1"/>
  <c r="AI129" i="103"/>
  <c r="AM200" i="154"/>
  <c r="AM331" i="154"/>
  <c r="AN331" i="154"/>
  <c r="AN200" i="154"/>
  <c r="AI200" i="155"/>
  <c r="AI331" i="155"/>
  <c r="AK331" i="155"/>
  <c r="AK200" i="155"/>
  <c r="AL200" i="155"/>
  <c r="AL331" i="155"/>
  <c r="AP200" i="155"/>
  <c r="AP331" i="155"/>
  <c r="BK306" i="154"/>
  <c r="AZ298" i="154"/>
  <c r="AX306" i="154"/>
  <c r="BM314" i="154"/>
  <c r="AY298" i="154"/>
  <c r="BE262" i="154"/>
  <c r="AJ300" i="154"/>
  <c r="AX314" i="154"/>
  <c r="Z148" i="154"/>
  <c r="X147" i="154"/>
  <c r="AE223" i="99"/>
  <c r="AW262" i="154"/>
  <c r="AZ314" i="154"/>
  <c r="AY314" i="154"/>
  <c r="BK270" i="154"/>
  <c r="BL254" i="154"/>
  <c r="BL270" i="154"/>
  <c r="BC262" i="154"/>
  <c r="AK308" i="154"/>
  <c r="BA306" i="154"/>
  <c r="BB314" i="154"/>
  <c r="BE306" i="154"/>
  <c r="BB298" i="154"/>
  <c r="BE314" i="154"/>
  <c r="Z146" i="154"/>
  <c r="BE298" i="154"/>
  <c r="BL314" i="154"/>
  <c r="AZ306" i="154"/>
  <c r="BJ298" i="154"/>
  <c r="Z147" i="154"/>
  <c r="AY306" i="154"/>
  <c r="BN282" i="154"/>
  <c r="AW306" i="154"/>
  <c r="BJ262" i="154"/>
  <c r="AV254" i="154"/>
  <c r="BG254" i="154"/>
  <c r="AW298" i="154"/>
  <c r="BB270" i="154"/>
  <c r="BH262" i="154"/>
  <c r="BH463" i="154"/>
  <c r="AW314" i="154"/>
  <c r="BJ270" i="154"/>
  <c r="BJ463" i="154"/>
  <c r="AV270" i="154"/>
  <c r="AV463" i="154"/>
  <c r="BG270" i="154"/>
  <c r="BG463" i="154"/>
  <c r="BB262" i="154"/>
  <c r="BB463" i="154"/>
  <c r="W451" i="154" a="1"/>
  <c r="W451" i="154" s="1"/>
  <c r="W457" i="154" s="1"/>
  <c r="W69" i="154" s="1"/>
  <c r="W134" i="154" s="1"/>
  <c r="W418" i="154"/>
  <c r="AB322" i="154"/>
  <c r="BL463" i="154"/>
  <c r="AK300" i="154"/>
  <c r="AL451" i="154" a="1"/>
  <c r="AL451" i="154" s="1"/>
  <c r="BC254" i="154"/>
  <c r="BC463" i="154"/>
  <c r="BL298" i="154"/>
  <c r="AQ270" i="154"/>
  <c r="AF451" i="154" a="1"/>
  <c r="AF451" i="154" s="1"/>
  <c r="BS290" i="154"/>
  <c r="BS306" i="154" s="1"/>
  <c r="BA463" i="154"/>
  <c r="AK451" i="154" a="1"/>
  <c r="AK451" i="154" s="1"/>
  <c r="BC306" i="154"/>
  <c r="AX270" i="154"/>
  <c r="AK272" i="154"/>
  <c r="AA451" i="154" a="1"/>
  <c r="AA451" i="154" s="1"/>
  <c r="AA457" i="154" s="1"/>
  <c r="AA69" i="154" s="1"/>
  <c r="AA134" i="154" s="1"/>
  <c r="AA418" i="154"/>
  <c r="AV306" i="154"/>
  <c r="BQ282" i="154"/>
  <c r="BT290" i="154"/>
  <c r="BT314" i="154" s="1"/>
  <c r="BF290" i="154"/>
  <c r="BO246" i="154"/>
  <c r="BA298" i="154"/>
  <c r="AQ254" i="154"/>
  <c r="AQ463" i="154"/>
  <c r="Z145" i="154"/>
  <c r="V148" i="154"/>
  <c r="V147" i="154"/>
  <c r="BM270" i="154"/>
  <c r="BM463" i="154"/>
  <c r="BC314" i="154"/>
  <c r="AD451" i="154" a="1"/>
  <c r="AD451" i="154" s="1"/>
  <c r="BU246" i="154"/>
  <c r="V145" i="154"/>
  <c r="AQ314" i="154"/>
  <c r="BK314" i="154"/>
  <c r="BH314" i="154"/>
  <c r="AJ272" i="154"/>
  <c r="AV314" i="154"/>
  <c r="BQ238" i="154"/>
  <c r="BS246" i="154"/>
  <c r="AJ308" i="154"/>
  <c r="R418" i="155"/>
  <c r="R457" i="155"/>
  <c r="R69" i="155" s="1"/>
  <c r="BC298" i="154"/>
  <c r="AQ298" i="154"/>
  <c r="BX246" i="154"/>
  <c r="AK256" i="154"/>
  <c r="AK465" i="154"/>
  <c r="BA314" i="154"/>
  <c r="BB306" i="154"/>
  <c r="AQ306" i="154"/>
  <c r="AX254" i="154"/>
  <c r="AX463" i="154"/>
  <c r="BD246" i="154"/>
  <c r="BH298" i="154"/>
  <c r="AJ256" i="154"/>
  <c r="AJ465" i="154"/>
  <c r="AB278" i="154"/>
  <c r="AB469" i="154"/>
  <c r="AB19" i="154" s="1"/>
  <c r="AB84" i="154" s="1"/>
  <c r="AV298" i="154"/>
  <c r="BO290" i="154"/>
  <c r="BO298" i="154" s="1"/>
  <c r="R145" i="155"/>
  <c r="BM306" i="154"/>
  <c r="BP246" i="154"/>
  <c r="BI262" i="154"/>
  <c r="BI463" i="154"/>
  <c r="V451" i="154" a="1"/>
  <c r="V451" i="154" s="1"/>
  <c r="V457" i="154" s="1"/>
  <c r="V69" i="154" s="1"/>
  <c r="V134" i="154" s="1"/>
  <c r="V418" i="154"/>
  <c r="R147" i="155"/>
  <c r="R146" i="155"/>
  <c r="BF246" i="154"/>
  <c r="BR290" i="154"/>
  <c r="BR306" i="154" s="1"/>
  <c r="BU290" i="154"/>
  <c r="BU314" i="154" s="1"/>
  <c r="AY270" i="154"/>
  <c r="AW270" i="154"/>
  <c r="AW463" i="154"/>
  <c r="AY254" i="154"/>
  <c r="BR246" i="154"/>
  <c r="BG306" i="154"/>
  <c r="V146" i="154"/>
  <c r="BD290" i="154"/>
  <c r="BW290" i="154"/>
  <c r="BW298" i="154" s="1"/>
  <c r="BK254" i="154"/>
  <c r="BK463" i="154"/>
  <c r="AX298" i="154"/>
  <c r="AC451" i="154" a="1"/>
  <c r="AC451" i="154" s="1"/>
  <c r="BT246" i="154"/>
  <c r="AY463" i="154"/>
  <c r="X451" i="154" a="1"/>
  <c r="X451" i="154" s="1"/>
  <c r="X457" i="154" s="1"/>
  <c r="X69" i="154" s="1"/>
  <c r="X134" i="154" s="1"/>
  <c r="X418" i="154"/>
  <c r="BE254" i="154"/>
  <c r="BE463" i="154"/>
  <c r="R148" i="155"/>
  <c r="BA254" i="154"/>
  <c r="BV246" i="154"/>
  <c r="AZ270" i="154"/>
  <c r="AZ463" i="154"/>
  <c r="Y418" i="154"/>
  <c r="Y451" i="154" a="1"/>
  <c r="Y451" i="154" s="1"/>
  <c r="Y457" i="154" s="1"/>
  <c r="Y69" i="154" s="1"/>
  <c r="Y134" i="154" s="1"/>
  <c r="BG298" i="154"/>
  <c r="AZ254" i="154"/>
  <c r="BI306" i="154"/>
  <c r="BA270" i="154"/>
  <c r="BP290" i="154"/>
  <c r="BP298" i="154" s="1"/>
  <c r="BN238" i="154"/>
  <c r="BJ306" i="154"/>
  <c r="BV290" i="154"/>
  <c r="BV298" i="154" s="1"/>
  <c r="BY290" i="154"/>
  <c r="BY298" i="154" s="1"/>
  <c r="X145" i="154"/>
  <c r="BI314" i="154"/>
  <c r="BH270" i="154"/>
  <c r="AG579" i="99"/>
  <c r="AI535" i="99"/>
  <c r="AI599" i="99" s="1"/>
  <c r="AI549" i="99"/>
  <c r="AI613" i="99" s="1"/>
  <c r="AL3" i="69"/>
  <c r="AL4" i="69" s="1"/>
  <c r="AK2" i="69" a="1"/>
  <c r="AK2" i="69" s="1"/>
  <c r="AK8" i="69"/>
  <c r="AK9" i="69"/>
  <c r="AK15" i="69"/>
  <c r="AK12" i="69"/>
  <c r="AK11" i="69"/>
  <c r="AK13" i="69"/>
  <c r="AK7" i="69"/>
  <c r="AK14" i="69"/>
  <c r="AK16" i="69"/>
  <c r="AI229" i="99"/>
  <c r="AI512" i="99"/>
  <c r="AI576" i="99" s="1"/>
  <c r="AI232" i="99"/>
  <c r="AI602" i="99"/>
  <c r="AI542" i="99"/>
  <c r="AI606" i="99" s="1"/>
  <c r="AF518" i="99"/>
  <c r="AF581" i="99"/>
  <c r="AH576" i="99"/>
  <c r="AH515" i="99"/>
  <c r="AG529" i="99"/>
  <c r="AG518" i="99"/>
  <c r="AG581" i="99"/>
  <c r="AI230" i="99"/>
  <c r="AI228" i="99"/>
  <c r="AD608" i="99"/>
  <c r="AD551" i="99"/>
  <c r="AD555" i="99" s="1"/>
  <c r="AB562" i="99"/>
  <c r="AB631" i="99"/>
  <c r="AB625" i="99"/>
  <c r="AB626" i="99" s="1"/>
  <c r="AI585" i="99"/>
  <c r="AI524" i="99"/>
  <c r="AH526" i="99"/>
  <c r="AH588" i="99"/>
  <c r="AI234" i="99"/>
  <c r="AF529" i="99"/>
  <c r="AC616" i="99"/>
  <c r="AG590" i="99"/>
  <c r="AO527" i="99"/>
  <c r="AI233" i="99"/>
  <c r="AC556" i="99"/>
  <c r="AC619" i="99"/>
  <c r="AC620" i="99" s="1"/>
  <c r="AF224" i="99"/>
  <c r="AF591" i="99"/>
  <c r="AJ539" i="99"/>
  <c r="AJ603" i="99" s="1"/>
  <c r="AJ547" i="99"/>
  <c r="AJ611" i="99" s="1"/>
  <c r="AJ540" i="99"/>
  <c r="AJ604" i="99" s="1"/>
  <c r="AJ534" i="99"/>
  <c r="AJ598" i="99" s="1"/>
  <c r="AJ548" i="99"/>
  <c r="AJ612" i="99" s="1"/>
  <c r="AJ541" i="99"/>
  <c r="AJ605" i="99" s="1"/>
  <c r="AJ538" i="99"/>
  <c r="AJ509" i="99"/>
  <c r="AJ573" i="99" s="1"/>
  <c r="AJ525" i="99"/>
  <c r="AJ589" i="99" s="1"/>
  <c r="AJ507" i="99"/>
  <c r="AJ522" i="99"/>
  <c r="AJ586" i="99" s="1"/>
  <c r="AJ523" i="99"/>
  <c r="AJ587" i="99" s="1"/>
  <c r="AJ521" i="99"/>
  <c r="AJ514" i="99"/>
  <c r="AJ578" i="99" s="1"/>
  <c r="AJ513" i="99"/>
  <c r="AJ577" i="99" s="1"/>
  <c r="AJ516" i="99"/>
  <c r="AJ580" i="99" s="1"/>
  <c r="AJ558" i="99"/>
  <c r="AJ622" i="99" s="1"/>
  <c r="AJ533" i="99"/>
  <c r="AJ597" i="99" s="1"/>
  <c r="AL3" i="99"/>
  <c r="AL4" i="99" s="1"/>
  <c r="AK2" i="99" a="1"/>
  <c r="AK2" i="99" s="1"/>
  <c r="AK554" i="99" s="1"/>
  <c r="AK474" i="99"/>
  <c r="AK499" i="99"/>
  <c r="AK483" i="99" s="1"/>
  <c r="AK491" i="99" s="1"/>
  <c r="AK475" i="99"/>
  <c r="AK498" i="99"/>
  <c r="AK482" i="99" s="1"/>
  <c r="AK490" i="99" s="1"/>
  <c r="AK476" i="99"/>
  <c r="AK500" i="99"/>
  <c r="AK484" i="99" s="1"/>
  <c r="AK492" i="99" s="1"/>
  <c r="AK477" i="99"/>
  <c r="AK501" i="99"/>
  <c r="AK485" i="99" s="1"/>
  <c r="AK493" i="99" s="1"/>
  <c r="AK478" i="99"/>
  <c r="AK479" i="99"/>
  <c r="AK502" i="99"/>
  <c r="AK486" i="99" s="1"/>
  <c r="AK494" i="99" s="1"/>
  <c r="AK503" i="99"/>
  <c r="AK487" i="99" s="1"/>
  <c r="AK495" i="99" s="1"/>
  <c r="AM5" i="72"/>
  <c r="AM6" i="72" s="1"/>
  <c r="AL36" i="72"/>
  <c r="AL38" i="72" s="1"/>
  <c r="AL39" i="72" s="1"/>
  <c r="AL37" i="72"/>
  <c r="AL47" i="72"/>
  <c r="AL48" i="72"/>
  <c r="AI129" i="99"/>
  <c r="AI618" i="99"/>
  <c r="AL6" i="98"/>
  <c r="AK70" i="103"/>
  <c r="AP70" i="105" s="1"/>
  <c r="AK35" i="151" s="1"/>
  <c r="BB8" i="98"/>
  <c r="AM4" i="72" l="1" a="1"/>
  <c r="AM4" i="72" s="1"/>
  <c r="AA145" i="154"/>
  <c r="U148" i="154"/>
  <c r="R101" i="155"/>
  <c r="R102" i="155" s="1"/>
  <c r="U147" i="154"/>
  <c r="Y147" i="154"/>
  <c r="Y145" i="154"/>
  <c r="U145" i="154"/>
  <c r="Y148" i="154"/>
  <c r="W146" i="154"/>
  <c r="W147" i="154"/>
  <c r="AA147" i="154"/>
  <c r="AA146" i="154"/>
  <c r="U146" i="154"/>
  <c r="R90" i="154"/>
  <c r="R27" i="154"/>
  <c r="S90" i="155"/>
  <c r="S27" i="155"/>
  <c r="V101" i="154"/>
  <c r="V102" i="154" s="1"/>
  <c r="V37" i="154"/>
  <c r="R134" i="155"/>
  <c r="W145" i="154"/>
  <c r="U25" i="155"/>
  <c r="R99" i="154"/>
  <c r="R36" i="154"/>
  <c r="R92" i="155"/>
  <c r="R93" i="155" s="1"/>
  <c r="R28" i="155"/>
  <c r="R39" i="155"/>
  <c r="U92" i="154"/>
  <c r="U93" i="154" s="1"/>
  <c r="U28" i="154"/>
  <c r="AA101" i="154"/>
  <c r="AA102" i="154" s="1"/>
  <c r="AA37" i="154"/>
  <c r="U99" i="155"/>
  <c r="U36" i="155"/>
  <c r="AA92" i="154"/>
  <c r="AA93" i="154" s="1"/>
  <c r="AA39" i="154"/>
  <c r="AA28" i="154"/>
  <c r="Y101" i="154"/>
  <c r="Y102" i="154" s="1"/>
  <c r="Y37" i="154"/>
  <c r="U99" i="154"/>
  <c r="U36" i="154"/>
  <c r="S25" i="154"/>
  <c r="W148" i="154"/>
  <c r="R84" i="154"/>
  <c r="Y92" i="154"/>
  <c r="Y93" i="154" s="1"/>
  <c r="Y28" i="154"/>
  <c r="Y39" i="154"/>
  <c r="AB90" i="154"/>
  <c r="AB27" i="154"/>
  <c r="V92" i="154"/>
  <c r="V93" i="154" s="1"/>
  <c r="V39" i="154"/>
  <c r="V28" i="154"/>
  <c r="W101" i="154"/>
  <c r="W102" i="154" s="1"/>
  <c r="W37" i="154"/>
  <c r="R88" i="154"/>
  <c r="S88" i="155"/>
  <c r="AB99" i="154"/>
  <c r="AB36" i="154"/>
  <c r="S99" i="155"/>
  <c r="S36" i="155"/>
  <c r="T25" i="155"/>
  <c r="T25" i="154"/>
  <c r="W92" i="154"/>
  <c r="W93" i="154" s="1"/>
  <c r="W39" i="154"/>
  <c r="W28" i="154"/>
  <c r="Y146" i="154"/>
  <c r="X92" i="154"/>
  <c r="X93" i="154" s="1"/>
  <c r="X39" i="154"/>
  <c r="X28" i="154"/>
  <c r="Z101" i="154"/>
  <c r="Z102" i="154" s="1"/>
  <c r="Z37" i="154"/>
  <c r="T99" i="154"/>
  <c r="T36" i="154"/>
  <c r="S99" i="154"/>
  <c r="S36" i="154"/>
  <c r="Z92" i="154"/>
  <c r="Z93" i="154" s="1"/>
  <c r="Z39" i="154"/>
  <c r="Z28" i="154"/>
  <c r="X101" i="154"/>
  <c r="X102" i="154" s="1"/>
  <c r="X37" i="154"/>
  <c r="T99" i="155"/>
  <c r="T36" i="155"/>
  <c r="AA148" i="154"/>
  <c r="AN122" i="105"/>
  <c r="AM122" i="105"/>
  <c r="U451" i="154" a="1"/>
  <c r="U451" i="154" s="1"/>
  <c r="U457" i="154" s="1"/>
  <c r="U69" i="154" s="1"/>
  <c r="U134" i="154" s="1"/>
  <c r="AK414" i="154"/>
  <c r="BB412" i="154"/>
  <c r="BK412" i="154"/>
  <c r="BJ412" i="154"/>
  <c r="BJ451" i="154" s="1" a="1"/>
  <c r="BJ451" i="154" s="1"/>
  <c r="AQ412" i="154"/>
  <c r="AV412" i="154"/>
  <c r="BI412" i="154"/>
  <c r="BH412" i="154"/>
  <c r="AZ412" i="154"/>
  <c r="AZ451" i="154" s="1" a="1"/>
  <c r="AZ451" i="154" s="1"/>
  <c r="BC412" i="154"/>
  <c r="BA412" i="154"/>
  <c r="BM412" i="154"/>
  <c r="AW412" i="154"/>
  <c r="AY412" i="154"/>
  <c r="BE412" i="154"/>
  <c r="AJ414" i="154"/>
  <c r="AX412" i="154"/>
  <c r="BG412" i="154"/>
  <c r="BG451" i="154" s="1" a="1"/>
  <c r="BG451" i="154" s="1"/>
  <c r="BL412" i="154"/>
  <c r="BV254" i="154"/>
  <c r="BU270" i="154"/>
  <c r="BP262" i="154"/>
  <c r="BY262" i="154"/>
  <c r="BR262" i="154"/>
  <c r="BX254" i="154"/>
  <c r="BW270" i="154"/>
  <c r="BT254" i="154"/>
  <c r="BS270" i="154"/>
  <c r="BF270" i="154"/>
  <c r="BO262" i="154"/>
  <c r="BD270" i="154"/>
  <c r="AP127" i="105"/>
  <c r="S156" i="99"/>
  <c r="T278" i="155"/>
  <c r="R278" i="154"/>
  <c r="S278" i="154"/>
  <c r="U278" i="155"/>
  <c r="S145" i="155"/>
  <c r="R148" i="154"/>
  <c r="R147" i="154"/>
  <c r="R145" i="154"/>
  <c r="R418" i="154"/>
  <c r="R457" i="154"/>
  <c r="R69" i="154" s="1"/>
  <c r="T278" i="154"/>
  <c r="R146" i="154"/>
  <c r="T145" i="154"/>
  <c r="S145" i="154"/>
  <c r="T146" i="154"/>
  <c r="T148" i="154"/>
  <c r="T147" i="154"/>
  <c r="S451" i="155" a="1"/>
  <c r="S451" i="155" s="1"/>
  <c r="S457" i="155" s="1"/>
  <c r="S69" i="155" s="1"/>
  <c r="S134" i="155" s="1"/>
  <c r="S418" i="155"/>
  <c r="T146" i="155"/>
  <c r="T148" i="155"/>
  <c r="T147" i="155"/>
  <c r="S146" i="155"/>
  <c r="S147" i="154"/>
  <c r="S148" i="154"/>
  <c r="U145" i="155"/>
  <c r="T145" i="155"/>
  <c r="T418" i="155"/>
  <c r="T451" i="155" a="1"/>
  <c r="T451" i="155" s="1"/>
  <c r="T457" i="155" s="1"/>
  <c r="T69" i="155" s="1"/>
  <c r="T134" i="155" s="1"/>
  <c r="U146" i="155"/>
  <c r="U148" i="155"/>
  <c r="U147" i="155"/>
  <c r="S451" i="154" a="1"/>
  <c r="S451" i="154" s="1"/>
  <c r="S457" i="154" s="1"/>
  <c r="S69" i="154" s="1"/>
  <c r="S134" i="154" s="1"/>
  <c r="S418" i="154"/>
  <c r="S146" i="154"/>
  <c r="S148" i="155"/>
  <c r="S147" i="155"/>
  <c r="T451" i="154" a="1"/>
  <c r="T451" i="154" s="1"/>
  <c r="T457" i="154" s="1"/>
  <c r="T69" i="154" s="1"/>
  <c r="T134" i="154" s="1"/>
  <c r="T418" i="154"/>
  <c r="S278" i="155"/>
  <c r="U451" i="155" a="1"/>
  <c r="U451" i="155" s="1"/>
  <c r="U457" i="155" s="1"/>
  <c r="U69" i="155" s="1"/>
  <c r="U134" i="155" s="1"/>
  <c r="U418" i="155"/>
  <c r="AJ618" i="99"/>
  <c r="AJ64" i="99"/>
  <c r="AE551" i="99"/>
  <c r="BT262" i="154"/>
  <c r="AI341" i="154"/>
  <c r="AI216" i="154"/>
  <c r="AI208" i="154"/>
  <c r="AK216" i="155"/>
  <c r="AK208" i="155"/>
  <c r="AP341" i="154"/>
  <c r="AJ216" i="154"/>
  <c r="AJ208" i="154"/>
  <c r="AM341" i="154"/>
  <c r="AP216" i="154"/>
  <c r="AP208" i="154"/>
  <c r="AJ341" i="154"/>
  <c r="AO208" i="155"/>
  <c r="AO216" i="155"/>
  <c r="AK341" i="155"/>
  <c r="AM208" i="154"/>
  <c r="AM216" i="154"/>
  <c r="AO341" i="155"/>
  <c r="AK208" i="154"/>
  <c r="AK216" i="154"/>
  <c r="AL341" i="154"/>
  <c r="AP341" i="155"/>
  <c r="AN216" i="155"/>
  <c r="AN208" i="155"/>
  <c r="AJ341" i="155"/>
  <c r="AK341" i="154"/>
  <c r="AL208" i="154"/>
  <c r="AL216" i="154"/>
  <c r="AN341" i="155"/>
  <c r="AJ216" i="155"/>
  <c r="AJ208" i="155"/>
  <c r="AP216" i="155"/>
  <c r="AP208" i="155"/>
  <c r="AQ216" i="155"/>
  <c r="AQ208" i="155"/>
  <c r="AB147" i="154"/>
  <c r="AQ341" i="155"/>
  <c r="AL341" i="155"/>
  <c r="AI341" i="155"/>
  <c r="AL216" i="155"/>
  <c r="AL208" i="155"/>
  <c r="AI216" i="155"/>
  <c r="AI208" i="155"/>
  <c r="AQ216" i="154"/>
  <c r="AQ208" i="154"/>
  <c r="AN208" i="154"/>
  <c r="AN216" i="154"/>
  <c r="AQ341" i="154"/>
  <c r="AN341" i="154"/>
  <c r="AM341" i="155"/>
  <c r="AO341" i="154"/>
  <c r="AM208" i="155"/>
  <c r="AM216" i="155"/>
  <c r="AO216" i="154"/>
  <c r="AO208" i="154"/>
  <c r="BV314" i="154"/>
  <c r="AB146" i="154"/>
  <c r="BD254" i="154"/>
  <c r="BD262" i="154"/>
  <c r="BV306" i="154"/>
  <c r="BW262" i="154"/>
  <c r="BP314" i="154"/>
  <c r="BY306" i="154"/>
  <c r="BR254" i="154"/>
  <c r="BO314" i="154"/>
  <c r="BU262" i="154"/>
  <c r="BF262" i="154"/>
  <c r="BO270" i="154"/>
  <c r="BY314" i="154"/>
  <c r="BF298" i="154"/>
  <c r="BP254" i="154"/>
  <c r="BN246" i="154"/>
  <c r="BY270" i="154"/>
  <c r="BY463" i="154"/>
  <c r="BP463" i="154"/>
  <c r="AI451" i="154" a="1"/>
  <c r="AI451" i="154" s="1"/>
  <c r="AR451" i="154" a="1"/>
  <c r="AR451" i="154" s="1"/>
  <c r="BQ246" i="154"/>
  <c r="BO254" i="154"/>
  <c r="BO463" i="154"/>
  <c r="BW306" i="154"/>
  <c r="AB453" i="154" a="1"/>
  <c r="AB453" i="154" s="1"/>
  <c r="AB457" i="154" s="1"/>
  <c r="AB69" i="154" s="1"/>
  <c r="AB134" i="154" s="1"/>
  <c r="AB418" i="154"/>
  <c r="BT270" i="154"/>
  <c r="BT463" i="154"/>
  <c r="BW314" i="154"/>
  <c r="BF254" i="154"/>
  <c r="BF463" i="154"/>
  <c r="BS314" i="154"/>
  <c r="BS298" i="154"/>
  <c r="BR314" i="154"/>
  <c r="BU254" i="154"/>
  <c r="BU463" i="154"/>
  <c r="BP306" i="154"/>
  <c r="BR298" i="154"/>
  <c r="AT451" i="154" a="1"/>
  <c r="AT451" i="154" s="1"/>
  <c r="BO306" i="154"/>
  <c r="BD463" i="154"/>
  <c r="BX262" i="154"/>
  <c r="BF306" i="154"/>
  <c r="BN290" i="154"/>
  <c r="BN298" i="154" s="1"/>
  <c r="AH451" i="154" a="1"/>
  <c r="AH451" i="154" s="1"/>
  <c r="BV262" i="154"/>
  <c r="AS451" i="154" a="1"/>
  <c r="AS451" i="154" s="1"/>
  <c r="AE451" i="154" a="1"/>
  <c r="AE451" i="154" s="1"/>
  <c r="BX270" i="154"/>
  <c r="BX463" i="154"/>
  <c r="BW254" i="154"/>
  <c r="BW463" i="154"/>
  <c r="BF314" i="154"/>
  <c r="BD298" i="154"/>
  <c r="BR270" i="154"/>
  <c r="BR463" i="154"/>
  <c r="BV270" i="154"/>
  <c r="BV463" i="154"/>
  <c r="BD314" i="154"/>
  <c r="AB145" i="154"/>
  <c r="BS254" i="154"/>
  <c r="BT306" i="154"/>
  <c r="BD306" i="154"/>
  <c r="BU306" i="154"/>
  <c r="AB148" i="154"/>
  <c r="BT298" i="154"/>
  <c r="AN451" i="154" a="1"/>
  <c r="AN451" i="154" s="1"/>
  <c r="AG451" i="154" a="1"/>
  <c r="AG451" i="154" s="1"/>
  <c r="BS262" i="154"/>
  <c r="BS463" i="154"/>
  <c r="BX298" i="154"/>
  <c r="BU298" i="154"/>
  <c r="BP270" i="154"/>
  <c r="BY254" i="154"/>
  <c r="AP451" i="154" a="1"/>
  <c r="AP451" i="154" s="1"/>
  <c r="BQ290" i="154"/>
  <c r="BQ306" i="154" s="1"/>
  <c r="BX306" i="154"/>
  <c r="AI515" i="99"/>
  <c r="AI517" i="99" s="1"/>
  <c r="T178" i="153"/>
  <c r="T186" i="153" s="1"/>
  <c r="U178" i="153"/>
  <c r="U186" i="153" s="1"/>
  <c r="S178" i="153"/>
  <c r="S186" i="153" s="1"/>
  <c r="V178" i="153"/>
  <c r="V186" i="153" s="1"/>
  <c r="AJ549" i="99"/>
  <c r="AJ613" i="99" s="1"/>
  <c r="AJ535" i="99"/>
  <c r="AJ599" i="99" s="1"/>
  <c r="AJ232" i="99"/>
  <c r="AM3" i="69"/>
  <c r="AM4" i="69" s="1"/>
  <c r="AL2" i="69" a="1"/>
  <c r="AL2" i="69" s="1"/>
  <c r="AL15" i="69"/>
  <c r="AL10" i="69"/>
  <c r="AL8" i="69"/>
  <c r="AL14" i="69"/>
  <c r="AL16" i="69"/>
  <c r="AL11" i="69"/>
  <c r="AL13" i="69"/>
  <c r="AL9" i="69"/>
  <c r="AL7" i="69"/>
  <c r="AL12" i="69"/>
  <c r="AJ229" i="99"/>
  <c r="AP527" i="99"/>
  <c r="AH590" i="99"/>
  <c r="AK539" i="99"/>
  <c r="AK603" i="99" s="1"/>
  <c r="AK547" i="99"/>
  <c r="AK611" i="99" s="1"/>
  <c r="AK540" i="99"/>
  <c r="AK604" i="99" s="1"/>
  <c r="AK548" i="99"/>
  <c r="AK612" i="99" s="1"/>
  <c r="AK541" i="99"/>
  <c r="AK605" i="99" s="1"/>
  <c r="AK538" i="99"/>
  <c r="AK534" i="99"/>
  <c r="AK598" i="99" s="1"/>
  <c r="AK509" i="99"/>
  <c r="AK573" i="99" s="1"/>
  <c r="AK507" i="99"/>
  <c r="AK521" i="99"/>
  <c r="AK525" i="99"/>
  <c r="AK589" i="99" s="1"/>
  <c r="AK522" i="99"/>
  <c r="AK586" i="99" s="1"/>
  <c r="AK523" i="99"/>
  <c r="AK587" i="99" s="1"/>
  <c r="AK514" i="99"/>
  <c r="AK578" i="99" s="1"/>
  <c r="AK513" i="99"/>
  <c r="AK577" i="99" s="1"/>
  <c r="AK516" i="99"/>
  <c r="AK580" i="99" s="1"/>
  <c r="AK558" i="99"/>
  <c r="AK622" i="99" s="1"/>
  <c r="AK533" i="99"/>
  <c r="AK597" i="99" s="1"/>
  <c r="AG591" i="99"/>
  <c r="AG224" i="99"/>
  <c r="AI588" i="99"/>
  <c r="AI526" i="99"/>
  <c r="AM3" i="99"/>
  <c r="AM4" i="99" s="1"/>
  <c r="AL2" i="99" a="1"/>
  <c r="AL2" i="99" s="1"/>
  <c r="AL554" i="99" s="1"/>
  <c r="AL474" i="99"/>
  <c r="AL475" i="99"/>
  <c r="AL498" i="99"/>
  <c r="AL482" i="99" s="1"/>
  <c r="AL490" i="99" s="1"/>
  <c r="AL499" i="99"/>
  <c r="AL483" i="99" s="1"/>
  <c r="AL491" i="99" s="1"/>
  <c r="AL476" i="99"/>
  <c r="AL477" i="99"/>
  <c r="AL500" i="99"/>
  <c r="AL484" i="99" s="1"/>
  <c r="AL492" i="99" s="1"/>
  <c r="AL501" i="99"/>
  <c r="AL485" i="99" s="1"/>
  <c r="AL493" i="99" s="1"/>
  <c r="AL478" i="99"/>
  <c r="AL502" i="99"/>
  <c r="AL486" i="99" s="1"/>
  <c r="AL494" i="99" s="1"/>
  <c r="AL479" i="99"/>
  <c r="AL503" i="99"/>
  <c r="AL487" i="99" s="1"/>
  <c r="AL495" i="99" s="1"/>
  <c r="AF530" i="99"/>
  <c r="AF593" i="99"/>
  <c r="AF594" i="99" s="1"/>
  <c r="AF544" i="99"/>
  <c r="AG582" i="99"/>
  <c r="AG223" i="99"/>
  <c r="AJ230" i="99"/>
  <c r="AJ228" i="99"/>
  <c r="AG593" i="99"/>
  <c r="AG594" i="99" s="1"/>
  <c r="AG530" i="99"/>
  <c r="AG544" i="99"/>
  <c r="AJ524" i="99"/>
  <c r="AJ585" i="99"/>
  <c r="AJ233" i="99"/>
  <c r="AJ512" i="99"/>
  <c r="AH517" i="99"/>
  <c r="AH579" i="99"/>
  <c r="AJ234" i="99"/>
  <c r="AJ602" i="99"/>
  <c r="AJ542" i="99"/>
  <c r="AJ606" i="99" s="1"/>
  <c r="AC631" i="99"/>
  <c r="AC625" i="99"/>
  <c r="AC626" i="99" s="1"/>
  <c r="AC562" i="99"/>
  <c r="AF582" i="99"/>
  <c r="AF223" i="99"/>
  <c r="AD559" i="99" a="1"/>
  <c r="AD559" i="99" s="1"/>
  <c r="AD623" i="99" s="1"/>
  <c r="AD615" i="99"/>
  <c r="AD552" i="99"/>
  <c r="AN5" i="72"/>
  <c r="AN6" i="72" s="1"/>
  <c r="AM36" i="72"/>
  <c r="AM38" i="72" s="1"/>
  <c r="AM39" i="72" s="1"/>
  <c r="AM37" i="72"/>
  <c r="AM48" i="72"/>
  <c r="AM47" i="72"/>
  <c r="AM6" i="98"/>
  <c r="AL70" i="103"/>
  <c r="AQ70" i="105" s="1"/>
  <c r="AL35" i="151" s="1"/>
  <c r="BC8" i="98"/>
  <c r="AN4" i="72" l="1" a="1"/>
  <c r="AN4" i="72" s="1"/>
  <c r="Z104" i="154"/>
  <c r="Z105" i="154" s="1"/>
  <c r="Z54" i="154"/>
  <c r="Z40" i="154"/>
  <c r="W104" i="154"/>
  <c r="W105" i="154" s="1"/>
  <c r="W40" i="154"/>
  <c r="W54" i="154"/>
  <c r="Y104" i="154"/>
  <c r="Y105" i="154" s="1"/>
  <c r="Y54" i="154"/>
  <c r="Y40" i="154"/>
  <c r="R134" i="154"/>
  <c r="T101" i="155"/>
  <c r="T102" i="155" s="1"/>
  <c r="T37" i="155"/>
  <c r="T90" i="154"/>
  <c r="T27" i="154"/>
  <c r="R104" i="155"/>
  <c r="R105" i="155" s="1"/>
  <c r="R54" i="155"/>
  <c r="R40" i="155"/>
  <c r="T90" i="155"/>
  <c r="T27" i="155"/>
  <c r="S101" i="155"/>
  <c r="S102" i="155" s="1"/>
  <c r="S37" i="155"/>
  <c r="S101" i="154"/>
  <c r="S102" i="154" s="1"/>
  <c r="S37" i="154"/>
  <c r="U90" i="155"/>
  <c r="U27" i="155"/>
  <c r="AB101" i="154"/>
  <c r="AB102" i="154" s="1"/>
  <c r="AB37" i="154"/>
  <c r="T101" i="154"/>
  <c r="T102" i="154" s="1"/>
  <c r="T37" i="154"/>
  <c r="R101" i="154"/>
  <c r="R102" i="154" s="1"/>
  <c r="R37" i="154"/>
  <c r="AA104" i="154"/>
  <c r="AA105" i="154" s="1"/>
  <c r="AA54" i="154"/>
  <c r="AA40" i="154"/>
  <c r="U101" i="154"/>
  <c r="U102" i="154" s="1"/>
  <c r="U37" i="154"/>
  <c r="U101" i="155"/>
  <c r="U102" i="155" s="1"/>
  <c r="U37" i="155"/>
  <c r="S90" i="154"/>
  <c r="S27" i="154"/>
  <c r="X104" i="154"/>
  <c r="X105" i="154" s="1"/>
  <c r="X54" i="154"/>
  <c r="X40" i="154"/>
  <c r="S92" i="155"/>
  <c r="S93" i="155" s="1"/>
  <c r="S28" i="155"/>
  <c r="S39" i="155"/>
  <c r="V40" i="154"/>
  <c r="V104" i="154"/>
  <c r="V105" i="154" s="1"/>
  <c r="V54" i="154"/>
  <c r="R92" i="154"/>
  <c r="R93" i="154" s="1"/>
  <c r="R39" i="154"/>
  <c r="R28" i="154"/>
  <c r="AB92" i="154"/>
  <c r="AB93" i="154" s="1"/>
  <c r="AB39" i="154"/>
  <c r="AB28" i="154"/>
  <c r="U39" i="154"/>
  <c r="AJ129" i="103"/>
  <c r="BX412" i="154"/>
  <c r="BV412" i="154"/>
  <c r="BV451" i="154" s="1" a="1"/>
  <c r="BV451" i="154" s="1"/>
  <c r="BF412" i="154"/>
  <c r="BD412" i="154"/>
  <c r="BR412" i="154"/>
  <c r="BR451" i="154" s="1" a="1"/>
  <c r="BR451" i="154" s="1"/>
  <c r="BS412" i="154"/>
  <c r="BS451" i="154" s="1" a="1"/>
  <c r="BS451" i="154" s="1"/>
  <c r="BY412" i="154"/>
  <c r="BT412" i="154"/>
  <c r="BT451" i="154" s="1" a="1"/>
  <c r="BT451" i="154" s="1"/>
  <c r="BP412" i="154"/>
  <c r="BO412" i="154"/>
  <c r="BU412" i="154"/>
  <c r="BU451" i="154" s="1" a="1"/>
  <c r="BU451" i="154" s="1"/>
  <c r="BW412" i="154"/>
  <c r="BW451" i="154" s="1" a="1"/>
  <c r="BW451" i="154" s="1"/>
  <c r="BQ262" i="154"/>
  <c r="BN254" i="154"/>
  <c r="AD561" i="99"/>
  <c r="AD567" i="99" s="1"/>
  <c r="AE615" i="99"/>
  <c r="AE616" i="99" s="1"/>
  <c r="AE555" i="99"/>
  <c r="AE556" i="99" s="1"/>
  <c r="AQ127" i="105"/>
  <c r="AJ129" i="104"/>
  <c r="AJ64" i="104" s="1"/>
  <c r="AO64" i="105" s="1"/>
  <c r="AJ30" i="151" s="1"/>
  <c r="AJ129" i="99"/>
  <c r="Y156" i="155"/>
  <c r="S171" i="155" s="1"/>
  <c r="Y156" i="154"/>
  <c r="S171" i="154" s="1"/>
  <c r="W156" i="99"/>
  <c r="Y156" i="153"/>
  <c r="S171" i="153" s="1"/>
  <c r="T171" i="153" s="1"/>
  <c r="W178" i="153" s="1"/>
  <c r="W186" i="153" s="1"/>
  <c r="W198" i="153" s="1"/>
  <c r="AK618" i="99"/>
  <c r="AK64" i="99"/>
  <c r="AE552" i="99"/>
  <c r="AE559" i="99" a="1"/>
  <c r="AE559" i="99" s="1"/>
  <c r="AE623" i="99" s="1"/>
  <c r="AI241" i="155"/>
  <c r="AI285" i="155"/>
  <c r="AJ241" i="155"/>
  <c r="AL285" i="154"/>
  <c r="AL241" i="154"/>
  <c r="AJ241" i="154"/>
  <c r="AJ285" i="155"/>
  <c r="AJ285" i="154"/>
  <c r="AN285" i="154"/>
  <c r="AO285" i="155"/>
  <c r="AN241" i="154"/>
  <c r="AO241" i="155"/>
  <c r="AN241" i="155"/>
  <c r="AN285" i="155"/>
  <c r="AM285" i="154"/>
  <c r="AP241" i="155"/>
  <c r="AM241" i="154"/>
  <c r="AP285" i="155"/>
  <c r="AK285" i="154"/>
  <c r="AK241" i="155"/>
  <c r="BQ298" i="154"/>
  <c r="AM285" i="155"/>
  <c r="AL241" i="155"/>
  <c r="AQ241" i="155"/>
  <c r="AK241" i="154"/>
  <c r="AI241" i="154"/>
  <c r="AM241" i="155"/>
  <c r="AL285" i="155"/>
  <c r="AQ285" i="155"/>
  <c r="AK285" i="155"/>
  <c r="AI285" i="154"/>
  <c r="AO241" i="154"/>
  <c r="AQ241" i="154"/>
  <c r="AP241" i="154"/>
  <c r="AQ285" i="154"/>
  <c r="AP285" i="154"/>
  <c r="AO285" i="154"/>
  <c r="BN306" i="154"/>
  <c r="BN262" i="154"/>
  <c r="BQ254" i="154"/>
  <c r="BQ463" i="154"/>
  <c r="BB451" i="154" a="1"/>
  <c r="BB451" i="154" s="1"/>
  <c r="BI451" i="154" a="1"/>
  <c r="BI451" i="154" s="1"/>
  <c r="BN270" i="154"/>
  <c r="BN463" i="154"/>
  <c r="AQ451" i="154" a="1"/>
  <c r="AQ451" i="154" s="1"/>
  <c r="AK453" i="154" a="1"/>
  <c r="AK453" i="154" s="1"/>
  <c r="BK451" i="154" a="1"/>
  <c r="BK451" i="154" s="1"/>
  <c r="BQ314" i="154"/>
  <c r="BE451" i="154" a="1"/>
  <c r="BE451" i="154" s="1"/>
  <c r="AW451" i="154" a="1"/>
  <c r="AW451" i="154" s="1"/>
  <c r="AV451" i="154" a="1"/>
  <c r="AV451" i="154" s="1"/>
  <c r="AJ453" i="154" a="1"/>
  <c r="AJ453" i="154" s="1"/>
  <c r="BL451" i="154" a="1"/>
  <c r="BL451" i="154" s="1"/>
  <c r="BM451" i="154" a="1"/>
  <c r="BM451" i="154" s="1"/>
  <c r="BA451" i="154" a="1"/>
  <c r="BA451" i="154" s="1"/>
  <c r="AY451" i="154" a="1"/>
  <c r="AY451" i="154" s="1"/>
  <c r="BH451" i="154" a="1"/>
  <c r="BH451" i="154" s="1"/>
  <c r="AX451" i="154" a="1"/>
  <c r="AX451" i="154" s="1"/>
  <c r="BN314" i="154"/>
  <c r="BC451" i="154" a="1"/>
  <c r="BC451" i="154" s="1"/>
  <c r="BQ270" i="154"/>
  <c r="AI579" i="99"/>
  <c r="Y178" i="153"/>
  <c r="Y186" i="153" s="1"/>
  <c r="Y329" i="153" s="1"/>
  <c r="Y339" i="153" s="1"/>
  <c r="X178" i="153"/>
  <c r="X186" i="153" s="1"/>
  <c r="X329" i="153" s="1"/>
  <c r="X339" i="153" s="1"/>
  <c r="Z178" i="153"/>
  <c r="Z186" i="153" s="1"/>
  <c r="AA178" i="153"/>
  <c r="AA186" i="153" s="1"/>
  <c r="AB178" i="153"/>
  <c r="AB186" i="153" s="1"/>
  <c r="AC178" i="153"/>
  <c r="AC186" i="153" s="1"/>
  <c r="AD178" i="153"/>
  <c r="AD186" i="153" s="1"/>
  <c r="AE178" i="153"/>
  <c r="AE186" i="153" s="1"/>
  <c r="AF178" i="153"/>
  <c r="AF186" i="153" s="1"/>
  <c r="AG178" i="153"/>
  <c r="AG186" i="153" s="1"/>
  <c r="AH178" i="153"/>
  <c r="AH186" i="153" s="1"/>
  <c r="V329" i="153"/>
  <c r="V339" i="153" s="1"/>
  <c r="V198" i="153"/>
  <c r="S329" i="153"/>
  <c r="S339" i="153" s="1"/>
  <c r="S198" i="153"/>
  <c r="U198" i="153"/>
  <c r="U329" i="153"/>
  <c r="U339" i="153" s="1"/>
  <c r="T198" i="153"/>
  <c r="T329" i="153"/>
  <c r="T339" i="153" s="1"/>
  <c r="AK549" i="99"/>
  <c r="AK613" i="99" s="1"/>
  <c r="AK535" i="99"/>
  <c r="AK599" i="99" s="1"/>
  <c r="AK228" i="99"/>
  <c r="AL17" i="69"/>
  <c r="AQ76" i="105" s="1"/>
  <c r="AK233" i="99"/>
  <c r="AN3" i="69"/>
  <c r="AN4" i="69" s="1"/>
  <c r="AM2" i="69" a="1"/>
  <c r="AM2" i="69" s="1"/>
  <c r="AM8" i="69"/>
  <c r="AM7" i="69"/>
  <c r="AM9" i="69"/>
  <c r="AM15" i="69"/>
  <c r="AM12" i="69"/>
  <c r="AM13" i="69"/>
  <c r="AM14" i="69"/>
  <c r="AM16" i="69"/>
  <c r="AM10" i="69"/>
  <c r="AD619" i="99"/>
  <c r="AD620" i="99" s="1"/>
  <c r="AD556" i="99"/>
  <c r="AD616" i="99"/>
  <c r="AJ526" i="99"/>
  <c r="AJ588" i="99"/>
  <c r="AK230" i="99"/>
  <c r="AK229" i="99"/>
  <c r="AL541" i="99"/>
  <c r="AL605" i="99" s="1"/>
  <c r="AL538" i="99"/>
  <c r="AL547" i="99"/>
  <c r="AL611" i="99" s="1"/>
  <c r="AL539" i="99"/>
  <c r="AL603" i="99" s="1"/>
  <c r="AL534" i="99"/>
  <c r="AL598" i="99" s="1"/>
  <c r="AL548" i="99"/>
  <c r="AL612" i="99" s="1"/>
  <c r="AL540" i="99"/>
  <c r="AL604" i="99" s="1"/>
  <c r="AL509" i="99"/>
  <c r="AL573" i="99" s="1"/>
  <c r="AL507" i="99"/>
  <c r="AL525" i="99"/>
  <c r="AL589" i="99" s="1"/>
  <c r="AL522" i="99"/>
  <c r="AL586" i="99" s="1"/>
  <c r="AL523" i="99"/>
  <c r="AL587" i="99" s="1"/>
  <c r="AL521" i="99"/>
  <c r="AL513" i="99"/>
  <c r="AL577" i="99" s="1"/>
  <c r="AL516" i="99"/>
  <c r="AL580" i="99" s="1"/>
  <c r="AL558" i="99"/>
  <c r="AL622" i="99" s="1"/>
  <c r="AL514" i="99"/>
  <c r="AL578" i="99" s="1"/>
  <c r="AL533" i="99"/>
  <c r="AL597" i="99" s="1"/>
  <c r="AN3" i="99"/>
  <c r="AN4" i="99" s="1"/>
  <c r="AM2" i="99" a="1"/>
  <c r="AM2" i="99" s="1"/>
  <c r="AM554" i="99" s="1"/>
  <c r="AM474" i="99"/>
  <c r="AM475" i="99"/>
  <c r="AM498" i="99"/>
  <c r="AM482" i="99" s="1"/>
  <c r="AM490" i="99" s="1"/>
  <c r="AM476" i="99"/>
  <c r="AM499" i="99"/>
  <c r="AM483" i="99" s="1"/>
  <c r="AM491" i="99" s="1"/>
  <c r="AM477" i="99"/>
  <c r="AM500" i="99"/>
  <c r="AM484" i="99" s="1"/>
  <c r="AM492" i="99" s="1"/>
  <c r="AM501" i="99"/>
  <c r="AM485" i="99" s="1"/>
  <c r="AM493" i="99" s="1"/>
  <c r="AM478" i="99"/>
  <c r="AM479" i="99"/>
  <c r="AM502" i="99"/>
  <c r="AM486" i="99" s="1"/>
  <c r="AM494" i="99" s="1"/>
  <c r="AM503" i="99"/>
  <c r="AM487" i="99" s="1"/>
  <c r="AM495" i="99" s="1"/>
  <c r="AK232" i="99"/>
  <c r="AI581" i="99"/>
  <c r="AI518" i="99"/>
  <c r="AK234" i="99"/>
  <c r="AG551" i="99"/>
  <c r="AG555" i="99" s="1"/>
  <c r="AG608" i="99"/>
  <c r="AK585" i="99"/>
  <c r="AK524" i="99"/>
  <c r="AK512" i="99"/>
  <c r="AQ527" i="99"/>
  <c r="AI590" i="99"/>
  <c r="AI529" i="99"/>
  <c r="AH529" i="99"/>
  <c r="AH581" i="99"/>
  <c r="AH518" i="99"/>
  <c r="AJ576" i="99"/>
  <c r="AJ515" i="99"/>
  <c r="AF551" i="99"/>
  <c r="AF555" i="99" s="1"/>
  <c r="AF608" i="99"/>
  <c r="AK602" i="99"/>
  <c r="AK542" i="99"/>
  <c r="AK606" i="99" s="1"/>
  <c r="AH591" i="99"/>
  <c r="AH224" i="99"/>
  <c r="AO5" i="72"/>
  <c r="AO6" i="72" s="1"/>
  <c r="AN36" i="72"/>
  <c r="AN38" i="72" s="1"/>
  <c r="AN39" i="72" s="1"/>
  <c r="AN37" i="72"/>
  <c r="AN48" i="72"/>
  <c r="AN47" i="72"/>
  <c r="AN6" i="98"/>
  <c r="AM70" i="103"/>
  <c r="AR70" i="105" s="1"/>
  <c r="AM35" i="151" s="1"/>
  <c r="BD8" i="98"/>
  <c r="AL40" i="151" l="1"/>
  <c r="AQ132" i="105"/>
  <c r="AO4" i="72" a="1"/>
  <c r="AO4" i="72" s="1"/>
  <c r="AA119" i="154"/>
  <c r="AA61" i="154"/>
  <c r="R119" i="155"/>
  <c r="R61" i="155"/>
  <c r="R104" i="154"/>
  <c r="R105" i="154" s="1"/>
  <c r="R40" i="154"/>
  <c r="R54" i="154"/>
  <c r="V119" i="154"/>
  <c r="V61" i="154"/>
  <c r="T39" i="154"/>
  <c r="T92" i="154"/>
  <c r="T93" i="154" s="1"/>
  <c r="T28" i="154"/>
  <c r="S40" i="155"/>
  <c r="S104" i="155"/>
  <c r="S105" i="155" s="1"/>
  <c r="S54" i="155"/>
  <c r="X119" i="154"/>
  <c r="X61" i="154"/>
  <c r="U92" i="155"/>
  <c r="U93" i="155" s="1"/>
  <c r="U28" i="155"/>
  <c r="U39" i="155"/>
  <c r="Y119" i="154"/>
  <c r="Y61" i="154"/>
  <c r="S92" i="154"/>
  <c r="S93" i="154" s="1"/>
  <c r="S39" i="154"/>
  <c r="S28" i="154"/>
  <c r="W119" i="154"/>
  <c r="W61" i="154"/>
  <c r="U104" i="154"/>
  <c r="U105" i="154" s="1"/>
  <c r="U40" i="154"/>
  <c r="U54" i="154"/>
  <c r="Z119" i="154"/>
  <c r="Z61" i="154"/>
  <c r="AB104" i="154"/>
  <c r="AB105" i="154" s="1"/>
  <c r="AB54" i="154"/>
  <c r="AB40" i="154"/>
  <c r="T92" i="155"/>
  <c r="T93" i="155" s="1"/>
  <c r="T28" i="155"/>
  <c r="T39" i="155"/>
  <c r="AO122" i="105"/>
  <c r="AK129" i="99"/>
  <c r="BQ412" i="154"/>
  <c r="BN412" i="154"/>
  <c r="AE561" i="99"/>
  <c r="AE567" i="99" s="1"/>
  <c r="AR127" i="105"/>
  <c r="W329" i="153"/>
  <c r="W339" i="153" s="1"/>
  <c r="U171" i="153"/>
  <c r="AK178" i="153" s="1"/>
  <c r="AK186" i="153" s="1"/>
  <c r="AK329" i="153" s="1"/>
  <c r="AK339" i="153" s="1"/>
  <c r="AK129" i="103"/>
  <c r="AK129" i="104"/>
  <c r="AK64" i="104" s="1"/>
  <c r="AP64" i="105" s="1"/>
  <c r="AK30" i="151" s="1"/>
  <c r="AC178" i="155"/>
  <c r="AD178" i="155"/>
  <c r="AF178" i="155"/>
  <c r="AE178" i="155"/>
  <c r="AG178" i="155"/>
  <c r="AC178" i="154"/>
  <c r="AD178" i="154"/>
  <c r="AF178" i="154"/>
  <c r="AF186" i="154" s="1"/>
  <c r="AE178" i="154"/>
  <c r="AG178" i="154"/>
  <c r="AH178" i="155"/>
  <c r="AK178" i="155"/>
  <c r="AM178" i="155"/>
  <c r="AJ178" i="155"/>
  <c r="AL178" i="155"/>
  <c r="AI178" i="155"/>
  <c r="AH178" i="154"/>
  <c r="AM178" i="154"/>
  <c r="AJ178" i="154"/>
  <c r="AI178" i="154"/>
  <c r="AK178" i="154"/>
  <c r="AL178" i="154"/>
  <c r="T171" i="154"/>
  <c r="AU178" i="154" s="1"/>
  <c r="AU186" i="154" s="1"/>
  <c r="AN178" i="154"/>
  <c r="AR178" i="154"/>
  <c r="AR186" i="154" s="1"/>
  <c r="AQ178" i="154"/>
  <c r="AQ186" i="154" s="1"/>
  <c r="AC432" i="154"/>
  <c r="R432" i="154"/>
  <c r="W432" i="154"/>
  <c r="AI432" i="154"/>
  <c r="BE432" i="154"/>
  <c r="V432" i="154"/>
  <c r="Z432" i="154"/>
  <c r="AB432" i="154"/>
  <c r="AN432" i="154"/>
  <c r="BJ432" i="154"/>
  <c r="X432" i="154"/>
  <c r="AA432" i="154"/>
  <c r="AO432" i="154"/>
  <c r="BK432" i="154"/>
  <c r="S432" i="154"/>
  <c r="AU432" i="154"/>
  <c r="AV432" i="154"/>
  <c r="BR432" i="154"/>
  <c r="AW432" i="154"/>
  <c r="BS432" i="154"/>
  <c r="T432" i="154"/>
  <c r="AX432" i="154"/>
  <c r="BT432" i="154"/>
  <c r="AY432" i="154"/>
  <c r="BU432" i="154"/>
  <c r="AD432" i="154"/>
  <c r="Y432" i="154"/>
  <c r="AZ432" i="154"/>
  <c r="BV432" i="154"/>
  <c r="AH432" i="154"/>
  <c r="BD432" i="154"/>
  <c r="BB432" i="154"/>
  <c r="AP432" i="154"/>
  <c r="BC432" i="154"/>
  <c r="BF432" i="154"/>
  <c r="BG432" i="154"/>
  <c r="BH432" i="154"/>
  <c r="BI432" i="154"/>
  <c r="BL432" i="154"/>
  <c r="BP432" i="154"/>
  <c r="BO432" i="154"/>
  <c r="BM432" i="154"/>
  <c r="BN432" i="154"/>
  <c r="AF432" i="154"/>
  <c r="AG432" i="154"/>
  <c r="BQ432" i="154"/>
  <c r="AJ432" i="154"/>
  <c r="BW432" i="154"/>
  <c r="BX432" i="154"/>
  <c r="AK432" i="154"/>
  <c r="AL432" i="154"/>
  <c r="BY432" i="154"/>
  <c r="AM432" i="154"/>
  <c r="U432" i="154"/>
  <c r="AQ432" i="154"/>
  <c r="AR432" i="154"/>
  <c r="AS432" i="154"/>
  <c r="BA432" i="154"/>
  <c r="AE432" i="154"/>
  <c r="AT432" i="154"/>
  <c r="AC432" i="153"/>
  <c r="AY432" i="153"/>
  <c r="BU432" i="153"/>
  <c r="AN432" i="153"/>
  <c r="R432" i="153"/>
  <c r="AP432" i="153"/>
  <c r="BM432" i="153"/>
  <c r="V432" i="153"/>
  <c r="AS432" i="153"/>
  <c r="BP432" i="153"/>
  <c r="W432" i="153"/>
  <c r="AT432" i="153"/>
  <c r="BQ432" i="153"/>
  <c r="AR432" i="153"/>
  <c r="X432" i="153"/>
  <c r="AU432" i="153"/>
  <c r="BR432" i="153"/>
  <c r="T432" i="153"/>
  <c r="BO432" i="153"/>
  <c r="Y432" i="153"/>
  <c r="AV432" i="153"/>
  <c r="BS432" i="153"/>
  <c r="AL432" i="153"/>
  <c r="BJ432" i="153"/>
  <c r="Z432" i="153"/>
  <c r="AW432" i="153"/>
  <c r="BT432" i="153"/>
  <c r="BK432" i="153"/>
  <c r="AA432" i="153"/>
  <c r="AX432" i="153"/>
  <c r="BV432" i="153"/>
  <c r="BA432" i="153"/>
  <c r="BX432" i="153"/>
  <c r="BB432" i="153"/>
  <c r="BY432" i="153"/>
  <c r="AO432" i="153"/>
  <c r="U432" i="153"/>
  <c r="AB432" i="153"/>
  <c r="AZ432" i="153"/>
  <c r="BW432" i="153"/>
  <c r="AD432" i="153"/>
  <c r="AE432" i="153"/>
  <c r="BC432" i="153"/>
  <c r="AF432" i="153"/>
  <c r="BI432" i="153"/>
  <c r="BH432" i="153"/>
  <c r="AM432" i="153"/>
  <c r="AG432" i="153"/>
  <c r="BD432" i="153"/>
  <c r="AH432" i="153"/>
  <c r="BE432" i="153"/>
  <c r="AJ432" i="153"/>
  <c r="AK432" i="153"/>
  <c r="BG432" i="153"/>
  <c r="BL432" i="153"/>
  <c r="AI432" i="153"/>
  <c r="BF432" i="153"/>
  <c r="BN432" i="153"/>
  <c r="S432" i="153"/>
  <c r="AQ432" i="153"/>
  <c r="T171" i="155"/>
  <c r="AX178" i="155" s="1"/>
  <c r="AX186" i="155" s="1"/>
  <c r="AN178" i="155"/>
  <c r="AO178" i="155"/>
  <c r="AO186" i="155" s="1"/>
  <c r="AP178" i="155"/>
  <c r="AP186" i="155" s="1"/>
  <c r="AQ178" i="155"/>
  <c r="AQ186" i="155" s="1"/>
  <c r="U432" i="155"/>
  <c r="W432" i="155"/>
  <c r="AU432" i="155"/>
  <c r="BQ432" i="155"/>
  <c r="AZ432" i="155"/>
  <c r="BV432" i="155"/>
  <c r="AD432" i="155"/>
  <c r="BA432" i="155"/>
  <c r="BW432" i="155"/>
  <c r="T432" i="155"/>
  <c r="X432" i="155"/>
  <c r="AG432" i="155"/>
  <c r="BC432" i="155"/>
  <c r="BY432" i="155"/>
  <c r="Y432" i="155"/>
  <c r="AK432" i="155"/>
  <c r="BG432" i="155"/>
  <c r="AE432" i="155"/>
  <c r="AL432" i="155"/>
  <c r="BH432" i="155"/>
  <c r="AM432" i="155"/>
  <c r="BI432" i="155"/>
  <c r="BJ432" i="155"/>
  <c r="R432" i="155"/>
  <c r="AN432" i="155"/>
  <c r="AO432" i="155"/>
  <c r="BK432" i="155"/>
  <c r="AC432" i="155"/>
  <c r="AP432" i="155"/>
  <c r="BL432" i="155"/>
  <c r="AT432" i="155"/>
  <c r="BP432" i="155"/>
  <c r="AA432" i="155"/>
  <c r="BS432" i="155"/>
  <c r="BT432" i="155"/>
  <c r="Z432" i="155"/>
  <c r="BU432" i="155"/>
  <c r="BX432" i="155"/>
  <c r="AH432" i="155"/>
  <c r="AI432" i="155"/>
  <c r="AJ432" i="155"/>
  <c r="AQ432" i="155"/>
  <c r="AR432" i="155"/>
  <c r="S432" i="155"/>
  <c r="AV432" i="155"/>
  <c r="AS432" i="155"/>
  <c r="AF432" i="155"/>
  <c r="AW432" i="155"/>
  <c r="AX432" i="155"/>
  <c r="AY432" i="155"/>
  <c r="BB432" i="155"/>
  <c r="V432" i="155"/>
  <c r="BD432" i="155"/>
  <c r="BE432" i="155"/>
  <c r="BF432" i="155"/>
  <c r="BM432" i="155"/>
  <c r="AB432" i="155"/>
  <c r="BN432" i="155"/>
  <c r="BO432" i="155"/>
  <c r="BR432" i="155"/>
  <c r="AL618" i="99"/>
  <c r="AL64" i="99"/>
  <c r="AE619" i="99"/>
  <c r="AE620" i="99" s="1"/>
  <c r="AM293" i="154"/>
  <c r="AM309" i="154" s="1"/>
  <c r="AO293" i="155"/>
  <c r="AI293" i="155"/>
  <c r="AI317" i="155" s="1"/>
  <c r="AJ293" i="154"/>
  <c r="AJ317" i="154" s="1"/>
  <c r="AJ293" i="155"/>
  <c r="AN249" i="155"/>
  <c r="AL249" i="155"/>
  <c r="AN293" i="154"/>
  <c r="AN309" i="154" s="1"/>
  <c r="AI249" i="154"/>
  <c r="AL293" i="154"/>
  <c r="AL309" i="154" s="1"/>
  <c r="AK249" i="155"/>
  <c r="AO293" i="154"/>
  <c r="AO317" i="154" s="1"/>
  <c r="AO249" i="155"/>
  <c r="AN293" i="155"/>
  <c r="AN301" i="155" s="1"/>
  <c r="AK293" i="155"/>
  <c r="AK301" i="155" s="1"/>
  <c r="AQ293" i="154"/>
  <c r="AQ309" i="154" s="1"/>
  <c r="AN249" i="154"/>
  <c r="AL293" i="155"/>
  <c r="AL309" i="155" s="1"/>
  <c r="AK249" i="154"/>
  <c r="AK293" i="154"/>
  <c r="AK301" i="154" s="1"/>
  <c r="AP249" i="154"/>
  <c r="AQ293" i="155"/>
  <c r="AQ309" i="155" s="1"/>
  <c r="AM249" i="155"/>
  <c r="AP293" i="155"/>
  <c r="AP317" i="155" s="1"/>
  <c r="AJ249" i="155"/>
  <c r="AQ249" i="155"/>
  <c r="AM249" i="154"/>
  <c r="AL249" i="154"/>
  <c r="AI293" i="154"/>
  <c r="AI301" i="154" s="1"/>
  <c r="AP249" i="155"/>
  <c r="AP293" i="154"/>
  <c r="AP301" i="154" s="1"/>
  <c r="AJ249" i="154"/>
  <c r="AO249" i="154"/>
  <c r="AI249" i="155"/>
  <c r="AQ249" i="154"/>
  <c r="AM293" i="155"/>
  <c r="AM317" i="155" s="1"/>
  <c r="X198" i="153"/>
  <c r="X206" i="153" s="1"/>
  <c r="X239" i="153" s="1"/>
  <c r="Y198" i="153"/>
  <c r="Y214" i="153" s="1"/>
  <c r="Y283" i="153" s="1"/>
  <c r="BY451" i="154" a="1"/>
  <c r="BY451" i="154" s="1"/>
  <c r="BX451" i="154" a="1"/>
  <c r="BX451" i="154" s="1"/>
  <c r="BO451" i="154" a="1"/>
  <c r="BO451" i="154" s="1"/>
  <c r="BP451" i="154" a="1"/>
  <c r="BP451" i="154" s="1"/>
  <c r="BF451" i="154" a="1"/>
  <c r="BF451" i="154" s="1"/>
  <c r="BD451" i="154" a="1"/>
  <c r="BD451" i="154" s="1"/>
  <c r="AJ178" i="153"/>
  <c r="AJ186" i="153" s="1"/>
  <c r="AJ329" i="153" s="1"/>
  <c r="AJ339" i="153" s="1"/>
  <c r="AI178" i="153"/>
  <c r="AI186" i="153" s="1"/>
  <c r="AI329" i="153" s="1"/>
  <c r="AI339" i="153" s="1"/>
  <c r="S206" i="153"/>
  <c r="S239" i="153" s="1"/>
  <c r="S214" i="153"/>
  <c r="S283" i="153" s="1"/>
  <c r="V214" i="153"/>
  <c r="V283" i="153" s="1"/>
  <c r="V206" i="153"/>
  <c r="V239" i="153" s="1"/>
  <c r="AL178" i="153"/>
  <c r="AL186" i="153" s="1"/>
  <c r="AN178" i="153"/>
  <c r="AN186" i="153" s="1"/>
  <c r="AO178" i="153"/>
  <c r="AO186" i="153" s="1"/>
  <c r="AT178" i="153"/>
  <c r="AT186" i="153" s="1"/>
  <c r="AP178" i="153"/>
  <c r="AP186" i="153" s="1"/>
  <c r="AQ178" i="153"/>
  <c r="AQ186" i="153" s="1"/>
  <c r="AR178" i="153"/>
  <c r="AR186" i="153" s="1"/>
  <c r="AM178" i="153"/>
  <c r="AM186" i="153" s="1"/>
  <c r="AS178" i="153"/>
  <c r="AS186" i="153" s="1"/>
  <c r="W206" i="153"/>
  <c r="W239" i="153" s="1"/>
  <c r="W214" i="153"/>
  <c r="W283" i="153" s="1"/>
  <c r="AH329" i="153"/>
  <c r="AH339" i="153" s="1"/>
  <c r="AH198" i="153"/>
  <c r="AG198" i="153"/>
  <c r="AG329" i="153"/>
  <c r="AG339" i="153" s="1"/>
  <c r="AF198" i="153"/>
  <c r="AF329" i="153"/>
  <c r="AF339" i="153" s="1"/>
  <c r="AE198" i="153"/>
  <c r="AE329" i="153"/>
  <c r="AE339" i="153" s="1"/>
  <c r="AD198" i="153"/>
  <c r="AD329" i="153"/>
  <c r="AD339" i="153" s="1"/>
  <c r="AC198" i="153"/>
  <c r="AC329" i="153"/>
  <c r="AC339" i="153" s="1"/>
  <c r="AB329" i="153"/>
  <c r="AB339" i="153" s="1"/>
  <c r="AB198" i="153"/>
  <c r="AA198" i="153"/>
  <c r="AA329" i="153"/>
  <c r="AA339" i="153" s="1"/>
  <c r="Z198" i="153"/>
  <c r="Z329" i="153"/>
  <c r="Z339" i="153" s="1"/>
  <c r="T214" i="153"/>
  <c r="T283" i="153" s="1"/>
  <c r="T206" i="153"/>
  <c r="T239" i="153" s="1"/>
  <c r="U206" i="153"/>
  <c r="U239" i="153" s="1"/>
  <c r="U214" i="153"/>
  <c r="U283" i="153" s="1"/>
  <c r="AL549" i="99"/>
  <c r="AL613" i="99" s="1"/>
  <c r="AL229" i="99"/>
  <c r="AL535" i="99"/>
  <c r="AL599" i="99" s="1"/>
  <c r="AL234" i="99"/>
  <c r="AL512" i="99"/>
  <c r="AL515" i="99" s="1"/>
  <c r="AO3" i="69"/>
  <c r="AO4" i="69" s="1"/>
  <c r="AN2" i="69" a="1"/>
  <c r="AN2" i="69" s="1"/>
  <c r="AN8" i="69"/>
  <c r="AN13" i="69"/>
  <c r="AN15" i="69"/>
  <c r="AN11" i="69"/>
  <c r="AN14" i="69"/>
  <c r="AN16" i="69"/>
  <c r="AN12" i="69"/>
  <c r="AN7" i="69"/>
  <c r="AN9" i="69"/>
  <c r="AG559" i="99" a="1"/>
  <c r="AG559" i="99" s="1"/>
  <c r="AG623" i="99" s="1"/>
  <c r="AG552" i="99"/>
  <c r="AG615" i="99"/>
  <c r="AL230" i="99"/>
  <c r="AL228" i="99"/>
  <c r="AL585" i="99"/>
  <c r="AL524" i="99"/>
  <c r="AL233" i="99"/>
  <c r="AD631" i="99"/>
  <c r="AD562" i="99"/>
  <c r="AD625" i="99"/>
  <c r="AD626" i="99" s="1"/>
  <c r="AL232" i="99"/>
  <c r="AH223" i="99"/>
  <c r="AH582" i="99"/>
  <c r="AM539" i="99"/>
  <c r="AM603" i="99" s="1"/>
  <c r="AM547" i="99"/>
  <c r="AM540" i="99"/>
  <c r="AM604" i="99" s="1"/>
  <c r="AM548" i="99"/>
  <c r="AM612" i="99" s="1"/>
  <c r="AM541" i="99"/>
  <c r="AM605" i="99" s="1"/>
  <c r="AM538" i="99"/>
  <c r="AM534" i="99"/>
  <c r="AM598" i="99" s="1"/>
  <c r="AM522" i="99"/>
  <c r="AM586" i="99" s="1"/>
  <c r="AM509" i="99"/>
  <c r="AM573" i="99" s="1"/>
  <c r="AM507" i="99"/>
  <c r="AM521" i="99"/>
  <c r="AM525" i="99"/>
  <c r="AM589" i="99" s="1"/>
  <c r="AM523" i="99"/>
  <c r="AM587" i="99" s="1"/>
  <c r="AM513" i="99"/>
  <c r="AM577" i="99" s="1"/>
  <c r="AM514" i="99"/>
  <c r="AM578" i="99" s="1"/>
  <c r="AM516" i="99"/>
  <c r="AM580" i="99" s="1"/>
  <c r="AM558" i="99"/>
  <c r="AM622" i="99" s="1"/>
  <c r="AM533" i="99"/>
  <c r="AH593" i="99"/>
  <c r="AH594" i="99" s="1"/>
  <c r="AH530" i="99"/>
  <c r="AH544" i="99"/>
  <c r="AO3" i="99"/>
  <c r="AO4" i="99" s="1"/>
  <c r="AN2" i="99" a="1"/>
  <c r="AN2" i="99" s="1"/>
  <c r="AN554" i="99" s="1"/>
  <c r="AN474" i="99"/>
  <c r="AN475" i="99"/>
  <c r="AN476" i="99"/>
  <c r="AN499" i="99"/>
  <c r="AN483" i="99" s="1"/>
  <c r="AN491" i="99" s="1"/>
  <c r="AN498" i="99"/>
  <c r="AN482" i="99" s="1"/>
  <c r="AN490" i="99" s="1"/>
  <c r="AN500" i="99"/>
  <c r="AN484" i="99" s="1"/>
  <c r="AN492" i="99" s="1"/>
  <c r="AN477" i="99"/>
  <c r="AN501" i="99"/>
  <c r="AN485" i="99" s="1"/>
  <c r="AN493" i="99" s="1"/>
  <c r="AN478" i="99"/>
  <c r="AN502" i="99"/>
  <c r="AN486" i="99" s="1"/>
  <c r="AN494" i="99" s="1"/>
  <c r="AN479" i="99"/>
  <c r="AN503" i="99"/>
  <c r="AN487" i="99" s="1"/>
  <c r="AN495" i="99" s="1"/>
  <c r="AI593" i="99"/>
  <c r="AI594" i="99" s="1"/>
  <c r="AI530" i="99"/>
  <c r="AI544" i="99"/>
  <c r="AI223" i="99"/>
  <c r="AI582" i="99"/>
  <c r="AI224" i="99"/>
  <c r="AI591" i="99"/>
  <c r="AF559" i="99" a="1"/>
  <c r="AF559" i="99" s="1"/>
  <c r="AF623" i="99" s="1"/>
  <c r="AF552" i="99"/>
  <c r="AF615" i="99"/>
  <c r="AK576" i="99"/>
  <c r="AK515" i="99"/>
  <c r="AL602" i="99"/>
  <c r="AL542" i="99"/>
  <c r="AL606" i="99" s="1"/>
  <c r="AR527" i="99"/>
  <c r="AJ590" i="99"/>
  <c r="AK526" i="99"/>
  <c r="AK588" i="99"/>
  <c r="AJ579" i="99"/>
  <c r="AJ517" i="99"/>
  <c r="AJ529" i="99" s="1"/>
  <c r="AO36" i="72"/>
  <c r="AO38" i="72" s="1"/>
  <c r="AO39" i="72" s="1"/>
  <c r="AO37" i="72"/>
  <c r="AP5" i="72"/>
  <c r="AP6" i="72" s="1"/>
  <c r="AO47" i="72"/>
  <c r="AO48" i="72"/>
  <c r="AO6" i="98"/>
  <c r="AN70" i="103"/>
  <c r="AS70" i="105" s="1"/>
  <c r="AN35" i="151" s="1"/>
  <c r="BE8" i="98"/>
  <c r="AP4" i="72" l="1" a="1"/>
  <c r="AP4" i="72" s="1"/>
  <c r="T40" i="155"/>
  <c r="T104" i="155"/>
  <c r="T105" i="155" s="1"/>
  <c r="T54" i="155"/>
  <c r="X65" i="154"/>
  <c r="X126" i="154"/>
  <c r="X127" i="154" s="1"/>
  <c r="X62" i="154"/>
  <c r="S119" i="155"/>
  <c r="S61" i="155"/>
  <c r="AB119" i="154"/>
  <c r="AB61" i="154"/>
  <c r="Z126" i="154"/>
  <c r="Z127" i="154" s="1"/>
  <c r="Z65" i="154"/>
  <c r="Z62" i="154"/>
  <c r="U119" i="154"/>
  <c r="U61" i="154"/>
  <c r="T54" i="154"/>
  <c r="T104" i="154"/>
  <c r="T105" i="154" s="1"/>
  <c r="T40" i="154"/>
  <c r="V65" i="154"/>
  <c r="V126" i="154"/>
  <c r="V127" i="154" s="1"/>
  <c r="V62" i="154"/>
  <c r="W65" i="154"/>
  <c r="W126" i="154"/>
  <c r="W127" i="154" s="1"/>
  <c r="W62" i="154"/>
  <c r="R119" i="154"/>
  <c r="R61" i="154"/>
  <c r="S104" i="154"/>
  <c r="S105" i="154" s="1"/>
  <c r="S54" i="154"/>
  <c r="S40" i="154"/>
  <c r="Y126" i="154"/>
  <c r="Y127" i="154" s="1"/>
  <c r="Y65" i="154"/>
  <c r="Y62" i="154"/>
  <c r="R62" i="155"/>
  <c r="R65" i="155"/>
  <c r="R126" i="155"/>
  <c r="R127" i="155" s="1"/>
  <c r="U104" i="155"/>
  <c r="U105" i="155" s="1"/>
  <c r="U54" i="155"/>
  <c r="U40" i="155"/>
  <c r="AA65" i="154"/>
  <c r="AA126" i="154"/>
  <c r="AA127" i="154" s="1"/>
  <c r="AA62" i="154"/>
  <c r="AP122" i="105"/>
  <c r="AE625" i="99"/>
  <c r="AE626" i="99" s="1"/>
  <c r="AL129" i="104"/>
  <c r="AL64" i="104" s="1"/>
  <c r="AQ64" i="105" s="1"/>
  <c r="AL30" i="151" s="1"/>
  <c r="AM273" i="155"/>
  <c r="AL265" i="155"/>
  <c r="AQ273" i="155"/>
  <c r="AK265" i="154"/>
  <c r="AO273" i="155"/>
  <c r="AQ273" i="154"/>
  <c r="AP273" i="155"/>
  <c r="AK265" i="155"/>
  <c r="AI257" i="155"/>
  <c r="AP265" i="154"/>
  <c r="AJ273" i="154"/>
  <c r="AJ273" i="155"/>
  <c r="AO273" i="154"/>
  <c r="AN273" i="154"/>
  <c r="AN273" i="155"/>
  <c r="AL265" i="154"/>
  <c r="AI273" i="154"/>
  <c r="AG561" i="99"/>
  <c r="AG567" i="99" s="1"/>
  <c r="AF561" i="99"/>
  <c r="AF567" i="99" s="1"/>
  <c r="AS127" i="105"/>
  <c r="V171" i="153"/>
  <c r="AV178" i="153" s="1"/>
  <c r="AV186" i="153" s="1"/>
  <c r="AV329" i="153" s="1"/>
  <c r="AV339" i="153" s="1"/>
  <c r="AS178" i="155"/>
  <c r="AS186" i="155" s="1"/>
  <c r="AS198" i="155" s="1"/>
  <c r="AL129" i="99"/>
  <c r="AL129" i="103"/>
  <c r="AK198" i="153"/>
  <c r="AK214" i="153" s="1"/>
  <c r="AK283" i="153" s="1"/>
  <c r="AK291" i="153" s="1"/>
  <c r="AK307" i="153" s="1"/>
  <c r="AO178" i="154"/>
  <c r="AO186" i="154" s="1"/>
  <c r="AO329" i="154" s="1"/>
  <c r="AO339" i="154" s="1"/>
  <c r="AP178" i="154"/>
  <c r="AP186" i="154" s="1"/>
  <c r="AP329" i="154" s="1"/>
  <c r="AP339" i="154" s="1"/>
  <c r="AG186" i="155"/>
  <c r="AR178" i="155"/>
  <c r="AR186" i="155" s="1"/>
  <c r="AR198" i="155" s="1"/>
  <c r="AG186" i="154"/>
  <c r="AG183" i="154"/>
  <c r="AE186" i="155"/>
  <c r="AE186" i="154"/>
  <c r="AE183" i="154"/>
  <c r="AF186" i="155"/>
  <c r="AF198" i="154"/>
  <c r="AF329" i="154"/>
  <c r="AF339" i="154" s="1"/>
  <c r="AD186" i="155"/>
  <c r="AD186" i="154"/>
  <c r="AD183" i="154"/>
  <c r="AC186" i="155"/>
  <c r="AC186" i="154"/>
  <c r="AC183" i="154"/>
  <c r="AS178" i="154"/>
  <c r="AS186" i="154" s="1"/>
  <c r="AS329" i="154" s="1"/>
  <c r="AS339" i="154" s="1"/>
  <c r="AY178" i="154"/>
  <c r="AY186" i="154" s="1"/>
  <c r="AY329" i="154" s="1"/>
  <c r="AY339" i="154" s="1"/>
  <c r="AX178" i="154"/>
  <c r="AX186" i="154" s="1"/>
  <c r="AX329" i="154" s="1"/>
  <c r="AX339" i="154" s="1"/>
  <c r="AW178" i="154"/>
  <c r="AW186" i="154" s="1"/>
  <c r="AW198" i="154" s="1"/>
  <c r="AW178" i="155"/>
  <c r="AW186" i="155" s="1"/>
  <c r="AW198" i="155" s="1"/>
  <c r="AV178" i="154"/>
  <c r="AV186" i="154" s="1"/>
  <c r="AV329" i="154" s="1"/>
  <c r="AV339" i="154" s="1"/>
  <c r="AL186" i="154"/>
  <c r="AK186" i="155"/>
  <c r="AK186" i="154"/>
  <c r="AK183" i="154"/>
  <c r="AH186" i="155"/>
  <c r="AI186" i="154"/>
  <c r="AI183" i="154"/>
  <c r="AJ186" i="154"/>
  <c r="AJ183" i="154"/>
  <c r="AM186" i="154"/>
  <c r="AH186" i="154"/>
  <c r="AH183" i="154"/>
  <c r="AU178" i="155"/>
  <c r="AU186" i="155" s="1"/>
  <c r="AU198" i="155" s="1"/>
  <c r="AV178" i="155"/>
  <c r="AV186" i="155" s="1"/>
  <c r="AV198" i="155" s="1"/>
  <c r="AY178" i="155"/>
  <c r="AY186" i="155" s="1"/>
  <c r="AY329" i="155" s="1"/>
  <c r="AY339" i="155" s="1"/>
  <c r="AI186" i="155"/>
  <c r="AL186" i="155"/>
  <c r="AJ186" i="155"/>
  <c r="AM186" i="155"/>
  <c r="AN186" i="154"/>
  <c r="AT178" i="154"/>
  <c r="AT186" i="154" s="1"/>
  <c r="U171" i="154"/>
  <c r="BG178" i="154" s="1"/>
  <c r="BG186" i="154" s="1"/>
  <c r="AZ178" i="154"/>
  <c r="AZ186" i="154" s="1"/>
  <c r="BE178" i="154"/>
  <c r="BE186" i="154" s="1"/>
  <c r="BD178" i="154"/>
  <c r="BD186" i="154" s="1"/>
  <c r="BB178" i="154"/>
  <c r="BB186" i="154" s="1"/>
  <c r="BC178" i="154"/>
  <c r="BC186" i="154" s="1"/>
  <c r="AQ329" i="155"/>
  <c r="AQ339" i="155" s="1"/>
  <c r="AQ198" i="155"/>
  <c r="AP329" i="155"/>
  <c r="AP339" i="155" s="1"/>
  <c r="AP198" i="155"/>
  <c r="AO198" i="155"/>
  <c r="AO329" i="155"/>
  <c r="AO339" i="155" s="1"/>
  <c r="AX329" i="155"/>
  <c r="AX339" i="155" s="1"/>
  <c r="AX198" i="155"/>
  <c r="AN186" i="155"/>
  <c r="AT178" i="155"/>
  <c r="AT186" i="155" s="1"/>
  <c r="U171" i="155"/>
  <c r="BJ178" i="155" s="1"/>
  <c r="BJ186" i="155" s="1"/>
  <c r="AZ178" i="155"/>
  <c r="AZ186" i="155" s="1"/>
  <c r="BC178" i="155"/>
  <c r="BC186" i="155" s="1"/>
  <c r="BB178" i="155"/>
  <c r="BB186" i="155" s="1"/>
  <c r="BE178" i="155"/>
  <c r="BE186" i="155" s="1"/>
  <c r="BA178" i="155"/>
  <c r="BA186" i="155" s="1"/>
  <c r="AQ329" i="154"/>
  <c r="AQ339" i="154" s="1"/>
  <c r="AQ198" i="154"/>
  <c r="AU198" i="154"/>
  <c r="AU329" i="154"/>
  <c r="AU339" i="154" s="1"/>
  <c r="AR329" i="154"/>
  <c r="AR339" i="154" s="1"/>
  <c r="AR198" i="154"/>
  <c r="AM618" i="99"/>
  <c r="AM64" i="99"/>
  <c r="AE631" i="99"/>
  <c r="AE562" i="99"/>
  <c r="AL257" i="154"/>
  <c r="Y206" i="153"/>
  <c r="Y239" i="153" s="1"/>
  <c r="Y247" i="153" s="1"/>
  <c r="AN317" i="155"/>
  <c r="AQ317" i="154"/>
  <c r="AQ257" i="154"/>
  <c r="AI309" i="155"/>
  <c r="AJ265" i="154"/>
  <c r="AK257" i="154"/>
  <c r="AJ301" i="154"/>
  <c r="AK273" i="154"/>
  <c r="AO265" i="154"/>
  <c r="AP317" i="154"/>
  <c r="AQ301" i="155"/>
  <c r="AN265" i="154"/>
  <c r="AP257" i="155"/>
  <c r="AO301" i="154"/>
  <c r="AM301" i="154"/>
  <c r="AL273" i="155"/>
  <c r="X214" i="153"/>
  <c r="X283" i="153" s="1"/>
  <c r="X291" i="153" s="1"/>
  <c r="X315" i="153" s="1"/>
  <c r="AP301" i="155"/>
  <c r="AK309" i="154"/>
  <c r="AK273" i="155"/>
  <c r="AI309" i="154"/>
  <c r="AM265" i="155"/>
  <c r="AI273" i="155"/>
  <c r="AM257" i="154"/>
  <c r="AM466" i="154"/>
  <c r="AJ301" i="155"/>
  <c r="AK317" i="155"/>
  <c r="AI257" i="154"/>
  <c r="AI466" i="154"/>
  <c r="AO309" i="155"/>
  <c r="AQ265" i="154"/>
  <c r="AQ466" i="154"/>
  <c r="AI317" i="154"/>
  <c r="AL317" i="155"/>
  <c r="AK317" i="154"/>
  <c r="AN257" i="154"/>
  <c r="AN466" i="154"/>
  <c r="AK309" i="155"/>
  <c r="AQ317" i="155"/>
  <c r="AL301" i="155"/>
  <c r="AJ309" i="154"/>
  <c r="AL301" i="154"/>
  <c r="AL257" i="155"/>
  <c r="AL466" i="155"/>
  <c r="AI301" i="155"/>
  <c r="AP309" i="155"/>
  <c r="AO257" i="154"/>
  <c r="AO466" i="154"/>
  <c r="AL317" i="154"/>
  <c r="AO257" i="155"/>
  <c r="AO265" i="155"/>
  <c r="AO466" i="155"/>
  <c r="AM317" i="154"/>
  <c r="AI265" i="155"/>
  <c r="AI466" i="155"/>
  <c r="AP265" i="155"/>
  <c r="AP466" i="155"/>
  <c r="AJ257" i="155"/>
  <c r="AN301" i="154"/>
  <c r="AN257" i="155"/>
  <c r="AK257" i="155"/>
  <c r="AK466" i="155"/>
  <c r="AQ265" i="155"/>
  <c r="AN309" i="155"/>
  <c r="AN317" i="154"/>
  <c r="AM301" i="155"/>
  <c r="AJ257" i="154"/>
  <c r="AJ466" i="154"/>
  <c r="AJ265" i="155"/>
  <c r="AJ466" i="155"/>
  <c r="AN265" i="155"/>
  <c r="AN466" i="155"/>
  <c r="AQ301" i="154"/>
  <c r="AQ257" i="155"/>
  <c r="AQ466" i="155"/>
  <c r="AP257" i="154"/>
  <c r="AO309" i="154"/>
  <c r="AJ317" i="155"/>
  <c r="AM309" i="155"/>
  <c r="AP309" i="154"/>
  <c r="AL273" i="154"/>
  <c r="AL466" i="154"/>
  <c r="AM265" i="154"/>
  <c r="AM257" i="155"/>
  <c r="AM466" i="155"/>
  <c r="AK466" i="154"/>
  <c r="AJ309" i="155"/>
  <c r="AO301" i="155"/>
  <c r="AM273" i="154"/>
  <c r="AP273" i="154"/>
  <c r="AP466" i="154"/>
  <c r="AI265" i="154"/>
  <c r="AO317" i="155"/>
  <c r="AJ198" i="153"/>
  <c r="AJ206" i="153" s="1"/>
  <c r="AJ239" i="153" s="1"/>
  <c r="BQ451" i="154" a="1"/>
  <c r="BQ451" i="154" s="1"/>
  <c r="BN451" i="154" a="1"/>
  <c r="BN451" i="154" s="1"/>
  <c r="AI198" i="153"/>
  <c r="AI206" i="153" s="1"/>
  <c r="AI239" i="153" s="1"/>
  <c r="AW178" i="153"/>
  <c r="AW186" i="153" s="1"/>
  <c r="AW329" i="153" s="1"/>
  <c r="AW339" i="153" s="1"/>
  <c r="AU178" i="153"/>
  <c r="AU186" i="153" s="1"/>
  <c r="AU198" i="153" s="1"/>
  <c r="T247" i="153"/>
  <c r="T291" i="153"/>
  <c r="T299" i="153" s="1"/>
  <c r="W291" i="153"/>
  <c r="W315" i="153" s="1"/>
  <c r="Z214" i="153"/>
  <c r="Z283" i="153" s="1"/>
  <c r="Z206" i="153"/>
  <c r="Z239" i="153" s="1"/>
  <c r="W247" i="153"/>
  <c r="AS329" i="153"/>
  <c r="AS339" i="153" s="1"/>
  <c r="AS198" i="153"/>
  <c r="AA206" i="153"/>
  <c r="AA239" i="153" s="1"/>
  <c r="AA214" i="153"/>
  <c r="AA283" i="153" s="1"/>
  <c r="AM198" i="153"/>
  <c r="AM329" i="153"/>
  <c r="AM339" i="153" s="1"/>
  <c r="AB206" i="153"/>
  <c r="AB239" i="153" s="1"/>
  <c r="AB214" i="153"/>
  <c r="AB283" i="153" s="1"/>
  <c r="AR329" i="153"/>
  <c r="AR339" i="153" s="1"/>
  <c r="AR198" i="153"/>
  <c r="AQ329" i="153"/>
  <c r="AQ339" i="153" s="1"/>
  <c r="AQ198" i="153"/>
  <c r="AC206" i="153"/>
  <c r="AC239" i="153" s="1"/>
  <c r="AC214" i="153"/>
  <c r="AC283" i="153" s="1"/>
  <c r="AP198" i="153"/>
  <c r="AP329" i="153"/>
  <c r="AP339" i="153" s="1"/>
  <c r="AT198" i="153"/>
  <c r="AT329" i="153"/>
  <c r="AT339" i="153" s="1"/>
  <c r="AD214" i="153"/>
  <c r="AD283" i="153" s="1"/>
  <c r="AD206" i="153"/>
  <c r="AD239" i="153" s="1"/>
  <c r="AO198" i="153"/>
  <c r="AO329" i="153"/>
  <c r="AO339" i="153" s="1"/>
  <c r="AN198" i="153"/>
  <c r="AN329" i="153"/>
  <c r="AN339" i="153" s="1"/>
  <c r="U291" i="153"/>
  <c r="U299" i="153" s="1"/>
  <c r="AE214" i="153"/>
  <c r="AE283" i="153" s="1"/>
  <c r="AE206" i="153"/>
  <c r="AE239" i="153" s="1"/>
  <c r="AL329" i="153"/>
  <c r="AL339" i="153" s="1"/>
  <c r="AL198" i="153"/>
  <c r="AY178" i="153"/>
  <c r="AY186" i="153" s="1"/>
  <c r="AZ178" i="153"/>
  <c r="AZ186" i="153" s="1"/>
  <c r="BA178" i="153"/>
  <c r="BA186" i="153" s="1"/>
  <c r="BE178" i="153"/>
  <c r="BE186" i="153" s="1"/>
  <c r="BF178" i="153"/>
  <c r="BF186" i="153" s="1"/>
  <c r="BD178" i="153"/>
  <c r="BD186" i="153" s="1"/>
  <c r="AX178" i="153"/>
  <c r="AX186" i="153" s="1"/>
  <c r="BB178" i="153"/>
  <c r="BB186" i="153" s="1"/>
  <c r="BC178" i="153"/>
  <c r="BC186" i="153" s="1"/>
  <c r="U247" i="153"/>
  <c r="Y291" i="153"/>
  <c r="Y315" i="153" s="1"/>
  <c r="AF214" i="153"/>
  <c r="AF283" i="153" s="1"/>
  <c r="AF206" i="153"/>
  <c r="AF239" i="153" s="1"/>
  <c r="V247" i="153"/>
  <c r="V291" i="153"/>
  <c r="V299" i="153" s="1"/>
  <c r="AG206" i="153"/>
  <c r="AG239" i="153" s="1"/>
  <c r="AG214" i="153"/>
  <c r="AG283" i="153" s="1"/>
  <c r="S291" i="153"/>
  <c r="S299" i="153" s="1"/>
  <c r="X247" i="153"/>
  <c r="AH214" i="153"/>
  <c r="AH283" i="153" s="1"/>
  <c r="AH206" i="153"/>
  <c r="AH239" i="153" s="1"/>
  <c r="S247" i="153"/>
  <c r="AM234" i="99"/>
  <c r="AM535" i="99"/>
  <c r="AM599" i="99" s="1"/>
  <c r="AL576" i="99"/>
  <c r="AM549" i="99"/>
  <c r="AM613" i="99" s="1"/>
  <c r="AM597" i="99"/>
  <c r="AM228" i="99"/>
  <c r="AM611" i="99"/>
  <c r="AP3" i="69"/>
  <c r="AP4" i="69" s="1"/>
  <c r="AO2" i="69" a="1"/>
  <c r="AO2" i="69" s="1"/>
  <c r="AO8" i="69"/>
  <c r="AO13" i="69"/>
  <c r="AO9" i="69"/>
  <c r="AO12" i="69"/>
  <c r="AO11" i="69"/>
  <c r="AO14" i="69"/>
  <c r="AO16" i="69"/>
  <c r="AO7" i="69"/>
  <c r="AO10" i="69"/>
  <c r="AO15" i="69"/>
  <c r="AM512" i="99"/>
  <c r="AM576" i="99" s="1"/>
  <c r="AJ593" i="99"/>
  <c r="AJ594" i="99" s="1"/>
  <c r="AJ530" i="99"/>
  <c r="AJ544" i="99"/>
  <c r="AK590" i="99"/>
  <c r="AS527" i="99"/>
  <c r="AN538" i="99"/>
  <c r="AN541" i="99"/>
  <c r="AN605" i="99" s="1"/>
  <c r="AN547" i="99"/>
  <c r="AN611" i="99" s="1"/>
  <c r="AN548" i="99"/>
  <c r="AN612" i="99" s="1"/>
  <c r="AN539" i="99"/>
  <c r="AN603" i="99" s="1"/>
  <c r="AN540" i="99"/>
  <c r="AN604" i="99" s="1"/>
  <c r="AN534" i="99"/>
  <c r="AN598" i="99" s="1"/>
  <c r="AN507" i="99"/>
  <c r="AN509" i="99"/>
  <c r="AN573" i="99" s="1"/>
  <c r="AN525" i="99"/>
  <c r="AN589" i="99" s="1"/>
  <c r="AN521" i="99"/>
  <c r="AN522" i="99"/>
  <c r="AN586" i="99" s="1"/>
  <c r="AN523" i="99"/>
  <c r="AN587" i="99" s="1"/>
  <c r="AN514" i="99"/>
  <c r="AN578" i="99" s="1"/>
  <c r="AN516" i="99"/>
  <c r="AN580" i="99" s="1"/>
  <c r="AN558" i="99"/>
  <c r="AN622" i="99" s="1"/>
  <c r="AN513" i="99"/>
  <c r="AN577" i="99" s="1"/>
  <c r="AN533" i="99"/>
  <c r="AN597" i="99" s="1"/>
  <c r="AL526" i="99"/>
  <c r="AL588" i="99"/>
  <c r="AP3" i="99"/>
  <c r="AP4" i="99" s="1"/>
  <c r="AO2" i="99" a="1"/>
  <c r="AO2" i="99" s="1"/>
  <c r="AO554" i="99" s="1"/>
  <c r="AO474" i="99"/>
  <c r="AO475" i="99"/>
  <c r="AO476" i="99"/>
  <c r="AO498" i="99"/>
  <c r="AO482" i="99" s="1"/>
  <c r="AO490" i="99" s="1"/>
  <c r="AO499" i="99"/>
  <c r="AO483" i="99" s="1"/>
  <c r="AO491" i="99" s="1"/>
  <c r="AO477" i="99"/>
  <c r="AO500" i="99"/>
  <c r="AO484" i="99" s="1"/>
  <c r="AO492" i="99" s="1"/>
  <c r="AO478" i="99"/>
  <c r="AO501" i="99"/>
  <c r="AO485" i="99" s="1"/>
  <c r="AO493" i="99" s="1"/>
  <c r="AO502" i="99"/>
  <c r="AO486" i="99" s="1"/>
  <c r="AO494" i="99" s="1"/>
  <c r="AO479" i="99"/>
  <c r="AO503" i="99"/>
  <c r="AO487" i="99" s="1"/>
  <c r="AO495" i="99" s="1"/>
  <c r="AH608" i="99"/>
  <c r="AH551" i="99"/>
  <c r="AH555" i="99" s="1"/>
  <c r="AJ591" i="99"/>
  <c r="AJ224" i="99"/>
  <c r="AL517" i="99"/>
  <c r="AL579" i="99"/>
  <c r="AM230" i="99"/>
  <c r="AM229" i="99"/>
  <c r="AK517" i="99"/>
  <c r="AK579" i="99"/>
  <c r="AM233" i="99"/>
  <c r="AJ581" i="99"/>
  <c r="AJ518" i="99"/>
  <c r="AI551" i="99"/>
  <c r="AI555" i="99" s="1"/>
  <c r="AI608" i="99"/>
  <c r="AM524" i="99"/>
  <c r="AM585" i="99"/>
  <c r="AM232" i="99"/>
  <c r="AF619" i="99"/>
  <c r="AF620" i="99" s="1"/>
  <c r="AF556" i="99"/>
  <c r="AG616" i="99"/>
  <c r="AF616" i="99"/>
  <c r="AM602" i="99"/>
  <c r="AM542" i="99"/>
  <c r="AM606" i="99" s="1"/>
  <c r="AG556" i="99"/>
  <c r="AG619" i="99"/>
  <c r="AG620" i="99" s="1"/>
  <c r="AP37" i="72"/>
  <c r="AQ5" i="72"/>
  <c r="AQ6" i="72" s="1"/>
  <c r="AP36" i="72"/>
  <c r="AP38" i="72" s="1"/>
  <c r="AP39" i="72" s="1"/>
  <c r="AP47" i="72"/>
  <c r="AP48" i="72"/>
  <c r="BF8" i="98"/>
  <c r="AP6" i="98"/>
  <c r="AO70" i="103"/>
  <c r="AT70" i="105" s="1"/>
  <c r="AO35" i="151" s="1"/>
  <c r="AQ4" i="72" l="1" a="1"/>
  <c r="AQ4" i="72" s="1"/>
  <c r="V66" i="154"/>
  <c r="V130" i="154"/>
  <c r="V131" i="154" s="1"/>
  <c r="V71" i="154"/>
  <c r="R66" i="155"/>
  <c r="R71" i="155"/>
  <c r="R130" i="155"/>
  <c r="R131" i="155" s="1"/>
  <c r="T119" i="154"/>
  <c r="T61" i="154"/>
  <c r="U65" i="154"/>
  <c r="U126" i="154"/>
  <c r="U127" i="154" s="1"/>
  <c r="U62" i="154"/>
  <c r="Y71" i="154"/>
  <c r="Y66" i="154"/>
  <c r="Y130" i="154"/>
  <c r="Y131" i="154" s="1"/>
  <c r="Z66" i="154"/>
  <c r="Z71" i="154"/>
  <c r="Z130" i="154"/>
  <c r="Z131" i="154" s="1"/>
  <c r="S119" i="154"/>
  <c r="S61" i="154"/>
  <c r="AB65" i="154"/>
  <c r="AB126" i="154"/>
  <c r="AB127" i="154" s="1"/>
  <c r="AB62" i="154"/>
  <c r="S65" i="155"/>
  <c r="S62" i="155"/>
  <c r="S126" i="155"/>
  <c r="S127" i="155" s="1"/>
  <c r="R126" i="154"/>
  <c r="R127" i="154" s="1"/>
  <c r="R65" i="154"/>
  <c r="R62" i="154"/>
  <c r="X71" i="154"/>
  <c r="X66" i="154"/>
  <c r="X130" i="154"/>
  <c r="X131" i="154" s="1"/>
  <c r="AA71" i="154"/>
  <c r="AA130" i="154"/>
  <c r="AA131" i="154" s="1"/>
  <c r="AA66" i="154"/>
  <c r="W71" i="154"/>
  <c r="W66" i="154"/>
  <c r="W130" i="154"/>
  <c r="W131" i="154" s="1"/>
  <c r="T119" i="155"/>
  <c r="T61" i="155"/>
  <c r="U119" i="155"/>
  <c r="U61" i="155"/>
  <c r="AQ122" i="105"/>
  <c r="AI415" i="155"/>
  <c r="AM129" i="104"/>
  <c r="AM64" i="104" s="1"/>
  <c r="AR64" i="105" s="1"/>
  <c r="AM30" i="151" s="1"/>
  <c r="BV178" i="153"/>
  <c r="BV186" i="153" s="1"/>
  <c r="BV198" i="153" s="1"/>
  <c r="BW178" i="153"/>
  <c r="BW186" i="153" s="1"/>
  <c r="BW329" i="153" s="1"/>
  <c r="BW339" i="153" s="1"/>
  <c r="W171" i="153"/>
  <c r="BG178" i="153" s="1"/>
  <c r="BG186" i="153" s="1"/>
  <c r="BG329" i="153" s="1"/>
  <c r="BG339" i="153" s="1"/>
  <c r="AV198" i="153"/>
  <c r="AV206" i="153" s="1"/>
  <c r="AV239" i="153" s="1"/>
  <c r="AV247" i="153" s="1"/>
  <c r="AI415" i="154"/>
  <c r="BX178" i="153"/>
  <c r="BX186" i="153" s="1"/>
  <c r="BX329" i="153" s="1"/>
  <c r="BX339" i="153" s="1"/>
  <c r="AP415" i="154"/>
  <c r="AJ415" i="154"/>
  <c r="AP415" i="155"/>
  <c r="AK415" i="155"/>
  <c r="AL415" i="155"/>
  <c r="AQ415" i="154"/>
  <c r="AO415" i="155"/>
  <c r="AM415" i="154"/>
  <c r="AJ415" i="155"/>
  <c r="AN415" i="155"/>
  <c r="AN454" i="155" s="1" a="1"/>
  <c r="AN454" i="155" s="1"/>
  <c r="AQ415" i="155"/>
  <c r="AQ454" i="155" s="1" a="1"/>
  <c r="AQ454" i="155" s="1"/>
  <c r="AK415" i="154"/>
  <c r="AK454" i="154" s="1" a="1"/>
  <c r="AK454" i="154" s="1"/>
  <c r="AO415" i="154"/>
  <c r="AM415" i="155"/>
  <c r="AN415" i="154"/>
  <c r="AL415" i="154"/>
  <c r="AL454" i="154" s="1" a="1"/>
  <c r="AL454" i="154" s="1"/>
  <c r="V255" i="153"/>
  <c r="W271" i="153"/>
  <c r="X255" i="153"/>
  <c r="T271" i="153"/>
  <c r="U263" i="153"/>
  <c r="Y263" i="153"/>
  <c r="S271" i="153"/>
  <c r="AT127" i="105"/>
  <c r="AS329" i="155"/>
  <c r="AS339" i="155" s="1"/>
  <c r="AK206" i="153"/>
  <c r="AK239" i="153" s="1"/>
  <c r="AK247" i="153" s="1"/>
  <c r="BD178" i="155"/>
  <c r="BD186" i="155" s="1"/>
  <c r="BD329" i="155" s="1"/>
  <c r="BD339" i="155" s="1"/>
  <c r="AO198" i="154"/>
  <c r="AO214" i="154" s="1"/>
  <c r="AO283" i="154" s="1"/>
  <c r="AX198" i="154"/>
  <c r="AX214" i="154" s="1"/>
  <c r="AX283" i="154" s="1"/>
  <c r="AM129" i="103"/>
  <c r="AP198" i="154"/>
  <c r="AP206" i="154" s="1"/>
  <c r="AP239" i="154" s="1"/>
  <c r="AM129" i="99"/>
  <c r="AY198" i="154"/>
  <c r="AY206" i="154" s="1"/>
  <c r="AY239" i="154" s="1"/>
  <c r="AS198" i="154"/>
  <c r="AS206" i="154" s="1"/>
  <c r="AS239" i="154" s="1"/>
  <c r="AR329" i="155"/>
  <c r="AR339" i="155" s="1"/>
  <c r="AU329" i="155"/>
  <c r="AU339" i="155" s="1"/>
  <c r="AV329" i="155"/>
  <c r="AV339" i="155" s="1"/>
  <c r="AY198" i="155"/>
  <c r="AY206" i="155" s="1"/>
  <c r="AY239" i="155" s="1"/>
  <c r="AW329" i="155"/>
  <c r="AW339" i="155" s="1"/>
  <c r="AW329" i="154"/>
  <c r="AW339" i="154" s="1"/>
  <c r="BA178" i="154"/>
  <c r="BA186" i="154" s="1"/>
  <c r="BA329" i="154" s="1"/>
  <c r="BA339" i="154" s="1"/>
  <c r="AG198" i="155"/>
  <c r="AG329" i="155"/>
  <c r="AE329" i="154"/>
  <c r="AE191" i="154"/>
  <c r="AE198" i="154"/>
  <c r="AD198" i="155"/>
  <c r="AD329" i="155"/>
  <c r="AE198" i="155"/>
  <c r="AE329" i="155"/>
  <c r="AC329" i="154"/>
  <c r="AC191" i="154"/>
  <c r="AC198" i="154"/>
  <c r="AF214" i="154"/>
  <c r="AF283" i="154" s="1"/>
  <c r="AF206" i="154"/>
  <c r="AF239" i="154" s="1"/>
  <c r="AG329" i="154"/>
  <c r="AG198" i="154"/>
  <c r="AG191" i="154"/>
  <c r="AC198" i="155"/>
  <c r="AC329" i="155"/>
  <c r="AF329" i="155"/>
  <c r="AF198" i="155"/>
  <c r="AD329" i="154"/>
  <c r="AD198" i="154"/>
  <c r="AD191" i="154"/>
  <c r="AV198" i="154"/>
  <c r="AV214" i="154" s="1"/>
  <c r="AV283" i="154" s="1"/>
  <c r="BI178" i="154"/>
  <c r="BI186" i="154" s="1"/>
  <c r="BI329" i="154" s="1"/>
  <c r="BI339" i="154" s="1"/>
  <c r="BJ178" i="154"/>
  <c r="BJ186" i="154" s="1"/>
  <c r="BJ198" i="154" s="1"/>
  <c r="BH178" i="154"/>
  <c r="BH186" i="154" s="1"/>
  <c r="BH198" i="154" s="1"/>
  <c r="AK198" i="155"/>
  <c r="AK329" i="155"/>
  <c r="AL329" i="155"/>
  <c r="AL198" i="155"/>
  <c r="BK178" i="154"/>
  <c r="BK186" i="154" s="1"/>
  <c r="BK329" i="154" s="1"/>
  <c r="BK339" i="154" s="1"/>
  <c r="AJ329" i="154"/>
  <c r="AJ198" i="154"/>
  <c r="AJ191" i="154"/>
  <c r="AM329" i="155"/>
  <c r="AM198" i="155"/>
  <c r="AM329" i="154"/>
  <c r="AM198" i="154"/>
  <c r="AH329" i="155"/>
  <c r="AH198" i="155"/>
  <c r="AI329" i="155"/>
  <c r="AI198" i="155"/>
  <c r="AL329" i="154"/>
  <c r="AL198" i="154"/>
  <c r="AJ198" i="155"/>
  <c r="AJ329" i="155"/>
  <c r="BG178" i="155"/>
  <c r="BG186" i="155" s="1"/>
  <c r="BG329" i="155" s="1"/>
  <c r="BG339" i="155" s="1"/>
  <c r="AK329" i="154"/>
  <c r="AK198" i="154"/>
  <c r="AK191" i="154"/>
  <c r="BH178" i="155"/>
  <c r="BH186" i="155" s="1"/>
  <c r="BH329" i="155" s="1"/>
  <c r="BH339" i="155" s="1"/>
  <c r="BI178" i="155"/>
  <c r="BI186" i="155" s="1"/>
  <c r="BI198" i="155" s="1"/>
  <c r="AH198" i="154"/>
  <c r="AH329" i="154"/>
  <c r="AH191" i="154"/>
  <c r="AI198" i="154"/>
  <c r="AI329" i="154"/>
  <c r="AI191" i="154"/>
  <c r="BK178" i="155"/>
  <c r="BK186" i="155" s="1"/>
  <c r="BK198" i="155" s="1"/>
  <c r="BC198" i="155"/>
  <c r="BC329" i="155"/>
  <c r="BC339" i="155" s="1"/>
  <c r="AR206" i="155"/>
  <c r="AR239" i="155" s="1"/>
  <c r="AR214" i="155"/>
  <c r="AR283" i="155" s="1"/>
  <c r="BJ329" i="155"/>
  <c r="BJ339" i="155" s="1"/>
  <c r="BJ198" i="155"/>
  <c r="AS214" i="155"/>
  <c r="AS283" i="155" s="1"/>
  <c r="AS206" i="155"/>
  <c r="AS239" i="155" s="1"/>
  <c r="AZ329" i="155"/>
  <c r="AZ339" i="155" s="1"/>
  <c r="AZ198" i="155"/>
  <c r="BF178" i="155"/>
  <c r="BF186" i="155" s="1"/>
  <c r="V171" i="155"/>
  <c r="BT178" i="155" s="1"/>
  <c r="BT186" i="155" s="1"/>
  <c r="BL178" i="155"/>
  <c r="BL186" i="155" s="1"/>
  <c r="AO206" i="155"/>
  <c r="AO239" i="155" s="1"/>
  <c r="AO214" i="155"/>
  <c r="AO283" i="155" s="1"/>
  <c r="AR214" i="154"/>
  <c r="AR283" i="154" s="1"/>
  <c r="AR206" i="154"/>
  <c r="AR239" i="154" s="1"/>
  <c r="AV214" i="155"/>
  <c r="AV283" i="155" s="1"/>
  <c r="AV206" i="155"/>
  <c r="AV239" i="155" s="1"/>
  <c r="AT329" i="155"/>
  <c r="AT339" i="155" s="1"/>
  <c r="AT198" i="155"/>
  <c r="AN198" i="155"/>
  <c r="AN329" i="155"/>
  <c r="AX214" i="155"/>
  <c r="AX283" i="155" s="1"/>
  <c r="AX206" i="155"/>
  <c r="AX239" i="155" s="1"/>
  <c r="AU206" i="154"/>
  <c r="AU239" i="154" s="1"/>
  <c r="AU214" i="154"/>
  <c r="AU283" i="154" s="1"/>
  <c r="BC198" i="154"/>
  <c r="BC329" i="154"/>
  <c r="BC339" i="154" s="1"/>
  <c r="BG329" i="154"/>
  <c r="BG339" i="154" s="1"/>
  <c r="BG198" i="154"/>
  <c r="BB198" i="154"/>
  <c r="BB329" i="154"/>
  <c r="BB339" i="154" s="1"/>
  <c r="BD329" i="154"/>
  <c r="BD339" i="154" s="1"/>
  <c r="BD198" i="154"/>
  <c r="AU206" i="155"/>
  <c r="AU239" i="155" s="1"/>
  <c r="AU214" i="155"/>
  <c r="AU283" i="155" s="1"/>
  <c r="AW214" i="155"/>
  <c r="AW283" i="155" s="1"/>
  <c r="AW206" i="155"/>
  <c r="AW239" i="155" s="1"/>
  <c r="AQ214" i="154"/>
  <c r="AQ283" i="154" s="1"/>
  <c r="AQ206" i="154"/>
  <c r="AQ239" i="154" s="1"/>
  <c r="BE329" i="154"/>
  <c r="BE339" i="154" s="1"/>
  <c r="BE198" i="154"/>
  <c r="AZ329" i="154"/>
  <c r="AZ339" i="154" s="1"/>
  <c r="AZ198" i="154"/>
  <c r="AN198" i="154"/>
  <c r="AN329" i="154"/>
  <c r="BF178" i="154"/>
  <c r="BF186" i="154" s="1"/>
  <c r="BL178" i="154"/>
  <c r="BL186" i="154" s="1"/>
  <c r="V171" i="154"/>
  <c r="BQ178" i="154" s="1"/>
  <c r="BQ186" i="154" s="1"/>
  <c r="BM178" i="154"/>
  <c r="BM186" i="154" s="1"/>
  <c r="BN178" i="154"/>
  <c r="BN186" i="154" s="1"/>
  <c r="AP214" i="155"/>
  <c r="AP283" i="155" s="1"/>
  <c r="AP206" i="155"/>
  <c r="AP239" i="155" s="1"/>
  <c r="AQ206" i="155"/>
  <c r="AQ239" i="155" s="1"/>
  <c r="AQ214" i="155"/>
  <c r="AQ283" i="155" s="1"/>
  <c r="AT329" i="154"/>
  <c r="AT339" i="154" s="1"/>
  <c r="AT198" i="154"/>
  <c r="BA329" i="155"/>
  <c r="BA339" i="155" s="1"/>
  <c r="BA198" i="155"/>
  <c r="AW206" i="154"/>
  <c r="AW239" i="154" s="1"/>
  <c r="AW214" i="154"/>
  <c r="AW283" i="154" s="1"/>
  <c r="BE198" i="155"/>
  <c r="BE329" i="155"/>
  <c r="BE339" i="155" s="1"/>
  <c r="BB198" i="155"/>
  <c r="BB329" i="155"/>
  <c r="BB339" i="155" s="1"/>
  <c r="BY178" i="153"/>
  <c r="BY186" i="153" s="1"/>
  <c r="BY198" i="153" s="1"/>
  <c r="AN618" i="99"/>
  <c r="AN64" i="99"/>
  <c r="W307" i="153"/>
  <c r="T315" i="153"/>
  <c r="AU329" i="153"/>
  <c r="AU339" i="153" s="1"/>
  <c r="S307" i="153"/>
  <c r="AI214" i="153"/>
  <c r="AI283" i="153" s="1"/>
  <c r="AI291" i="153" s="1"/>
  <c r="AI307" i="153" s="1"/>
  <c r="T307" i="153"/>
  <c r="T255" i="153"/>
  <c r="U315" i="153"/>
  <c r="U271" i="153"/>
  <c r="AJ214" i="153"/>
  <c r="AJ283" i="153" s="1"/>
  <c r="AJ291" i="153" s="1"/>
  <c r="AJ299" i="153" s="1"/>
  <c r="Y255" i="153"/>
  <c r="AW198" i="153"/>
  <c r="AW206" i="153" s="1"/>
  <c r="AW239" i="153" s="1"/>
  <c r="AW247" i="153" s="1"/>
  <c r="AN535" i="99"/>
  <c r="AN599" i="99" s="1"/>
  <c r="AK299" i="153"/>
  <c r="U307" i="153"/>
  <c r="BI178" i="153"/>
  <c r="BI186" i="153" s="1"/>
  <c r="BI329" i="153" s="1"/>
  <c r="BI339" i="153" s="1"/>
  <c r="V315" i="153"/>
  <c r="BH178" i="153"/>
  <c r="BH186" i="153" s="1"/>
  <c r="BH329" i="153" s="1"/>
  <c r="BH339" i="153" s="1"/>
  <c r="V307" i="153"/>
  <c r="W299" i="153"/>
  <c r="V271" i="153"/>
  <c r="S263" i="153"/>
  <c r="Y307" i="153"/>
  <c r="X263" i="153"/>
  <c r="S315" i="153"/>
  <c r="W263" i="153"/>
  <c r="X307" i="153"/>
  <c r="BB329" i="153"/>
  <c r="BB339" i="153" s="1"/>
  <c r="BB198" i="153"/>
  <c r="AD247" i="153"/>
  <c r="AX329" i="153"/>
  <c r="AX339" i="153" s="1"/>
  <c r="AX198" i="153"/>
  <c r="AD291" i="153"/>
  <c r="AD315" i="153" s="1"/>
  <c r="W255" i="153"/>
  <c r="W464" i="153"/>
  <c r="AT206" i="153"/>
  <c r="AT239" i="153" s="1"/>
  <c r="AT247" i="153" s="1"/>
  <c r="AT214" i="153"/>
  <c r="AT283" i="153" s="1"/>
  <c r="AT291" i="153" s="1"/>
  <c r="AT299" i="153" s="1"/>
  <c r="Z247" i="153"/>
  <c r="Z291" i="153"/>
  <c r="Z307" i="153" s="1"/>
  <c r="BD329" i="153"/>
  <c r="BD339" i="153" s="1"/>
  <c r="BD198" i="153"/>
  <c r="AP206" i="153"/>
  <c r="AP239" i="153" s="1"/>
  <c r="AP247" i="153" s="1"/>
  <c r="AP214" i="153"/>
  <c r="AP283" i="153" s="1"/>
  <c r="AP291" i="153" s="1"/>
  <c r="AP299" i="153" s="1"/>
  <c r="BF198" i="153"/>
  <c r="BF329" i="153"/>
  <c r="BF339" i="153" s="1"/>
  <c r="AC291" i="153"/>
  <c r="AC315" i="153" s="1"/>
  <c r="Y271" i="153"/>
  <c r="Y464" i="153"/>
  <c r="BE198" i="153"/>
  <c r="BE329" i="153"/>
  <c r="BE339" i="153" s="1"/>
  <c r="AC247" i="153"/>
  <c r="BA329" i="153"/>
  <c r="BA339" i="153" s="1"/>
  <c r="BA198" i="153"/>
  <c r="AQ206" i="153"/>
  <c r="AQ239" i="153" s="1"/>
  <c r="AQ247" i="153" s="1"/>
  <c r="AQ214" i="153"/>
  <c r="AQ283" i="153" s="1"/>
  <c r="AQ291" i="153" s="1"/>
  <c r="AQ299" i="153" s="1"/>
  <c r="AZ329" i="153"/>
  <c r="AZ339" i="153" s="1"/>
  <c r="AZ198" i="153"/>
  <c r="S255" i="153"/>
  <c r="S464" i="153"/>
  <c r="V263" i="153"/>
  <c r="V464" i="153"/>
  <c r="AY329" i="153"/>
  <c r="AY339" i="153" s="1"/>
  <c r="AY198" i="153"/>
  <c r="AR214" i="153"/>
  <c r="AR283" i="153" s="1"/>
  <c r="AR291" i="153" s="1"/>
  <c r="AR307" i="153" s="1"/>
  <c r="AR206" i="153"/>
  <c r="AR239" i="153" s="1"/>
  <c r="AR247" i="153" s="1"/>
  <c r="AH247" i="153"/>
  <c r="AF247" i="153"/>
  <c r="AL206" i="153"/>
  <c r="AL239" i="153" s="1"/>
  <c r="AL247" i="153" s="1"/>
  <c r="AL214" i="153"/>
  <c r="AL283" i="153" s="1"/>
  <c r="AL291" i="153" s="1"/>
  <c r="AL307" i="153" s="1"/>
  <c r="AJ247" i="153"/>
  <c r="AH291" i="153"/>
  <c r="AH307" i="153" s="1"/>
  <c r="AF291" i="153"/>
  <c r="AF307" i="153" s="1"/>
  <c r="AE247" i="153"/>
  <c r="AU214" i="153"/>
  <c r="AU283" i="153" s="1"/>
  <c r="AU291" i="153" s="1"/>
  <c r="AU307" i="153" s="1"/>
  <c r="AU206" i="153"/>
  <c r="AU239" i="153" s="1"/>
  <c r="AU247" i="153" s="1"/>
  <c r="Y299" i="153"/>
  <c r="AE291" i="153"/>
  <c r="AE315" i="153" s="1"/>
  <c r="AB291" i="153"/>
  <c r="AB315" i="153" s="1"/>
  <c r="AI247" i="153"/>
  <c r="X271" i="153"/>
  <c r="X464" i="153"/>
  <c r="AB247" i="153"/>
  <c r="AM206" i="153"/>
  <c r="AM239" i="153" s="1"/>
  <c r="AM247" i="153" s="1"/>
  <c r="AM214" i="153"/>
  <c r="AM283" i="153" s="1"/>
  <c r="AM291" i="153" s="1"/>
  <c r="AM307" i="153" s="1"/>
  <c r="AK315" i="153"/>
  <c r="AA291" i="153"/>
  <c r="AA315" i="153" s="1"/>
  <c r="AG291" i="153"/>
  <c r="AG315" i="153" s="1"/>
  <c r="AN214" i="153"/>
  <c r="AN283" i="153" s="1"/>
  <c r="AN291" i="153" s="1"/>
  <c r="AN315" i="153" s="1"/>
  <c r="AN206" i="153"/>
  <c r="AN239" i="153" s="1"/>
  <c r="AN247" i="153" s="1"/>
  <c r="AA247" i="153"/>
  <c r="BR178" i="153"/>
  <c r="BR186" i="153" s="1"/>
  <c r="BJ178" i="153"/>
  <c r="BJ186" i="153" s="1"/>
  <c r="BQ178" i="153"/>
  <c r="BQ186" i="153" s="1"/>
  <c r="BK178" i="153"/>
  <c r="BK186" i="153" s="1"/>
  <c r="BU178" i="153"/>
  <c r="BU186" i="153" s="1"/>
  <c r="BM178" i="153"/>
  <c r="BM186" i="153" s="1"/>
  <c r="BS178" i="153"/>
  <c r="BS186" i="153" s="1"/>
  <c r="BL178" i="153"/>
  <c r="BL186" i="153" s="1"/>
  <c r="BN178" i="153"/>
  <c r="BN186" i="153" s="1"/>
  <c r="BO178" i="153"/>
  <c r="BO186" i="153" s="1"/>
  <c r="BP178" i="153"/>
  <c r="BP186" i="153" s="1"/>
  <c r="BT178" i="153"/>
  <c r="BT186" i="153" s="1"/>
  <c r="AG247" i="153"/>
  <c r="U255" i="153"/>
  <c r="U464" i="153"/>
  <c r="AS214" i="153"/>
  <c r="AS283" i="153" s="1"/>
  <c r="AS291" i="153" s="1"/>
  <c r="AS307" i="153" s="1"/>
  <c r="AS206" i="153"/>
  <c r="AS239" i="153" s="1"/>
  <c r="AS247" i="153" s="1"/>
  <c r="X299" i="153"/>
  <c r="BC198" i="153"/>
  <c r="BC329" i="153"/>
  <c r="BC339" i="153" s="1"/>
  <c r="AO214" i="153"/>
  <c r="AO283" i="153" s="1"/>
  <c r="AO291" i="153" s="1"/>
  <c r="AO315" i="153" s="1"/>
  <c r="AO206" i="153"/>
  <c r="AO239" i="153" s="1"/>
  <c r="AO247" i="153" s="1"/>
  <c r="T263" i="153"/>
  <c r="T464" i="153"/>
  <c r="AN549" i="99"/>
  <c r="AN613" i="99" s="1"/>
  <c r="AO17" i="69"/>
  <c r="AT76" i="105" s="1"/>
  <c r="AM515" i="99"/>
  <c r="AM517" i="99" s="1"/>
  <c r="AN230" i="99"/>
  <c r="AN229" i="99"/>
  <c r="AN233" i="99"/>
  <c r="AQ3" i="69"/>
  <c r="AQ4" i="69" s="1"/>
  <c r="AP2" i="69" a="1"/>
  <c r="AP2" i="69" s="1"/>
  <c r="AP13" i="69"/>
  <c r="AP11" i="69"/>
  <c r="AP8" i="69"/>
  <c r="AP16" i="69"/>
  <c r="AP15" i="69"/>
  <c r="AP12" i="69"/>
  <c r="AP14" i="69"/>
  <c r="AP9" i="69"/>
  <c r="AP7" i="69"/>
  <c r="AH559" i="99" a="1"/>
  <c r="AH559" i="99" s="1"/>
  <c r="AH623" i="99" s="1"/>
  <c r="AH615" i="99"/>
  <c r="AH552" i="99"/>
  <c r="AJ223" i="99"/>
  <c r="AJ582" i="99"/>
  <c r="AO547" i="99"/>
  <c r="AO611" i="99" s="1"/>
  <c r="AO539" i="99"/>
  <c r="AO603" i="99" s="1"/>
  <c r="AO548" i="99"/>
  <c r="AO612" i="99" s="1"/>
  <c r="AO540" i="99"/>
  <c r="AO604" i="99" s="1"/>
  <c r="AO534" i="99"/>
  <c r="AO598" i="99" s="1"/>
  <c r="AO541" i="99"/>
  <c r="AO605" i="99" s="1"/>
  <c r="AO538" i="99"/>
  <c r="AO509" i="99"/>
  <c r="AO573" i="99" s="1"/>
  <c r="AO507" i="99"/>
  <c r="AO522" i="99"/>
  <c r="AO586" i="99" s="1"/>
  <c r="AO525" i="99"/>
  <c r="AO589" i="99" s="1"/>
  <c r="AO521" i="99"/>
  <c r="AO523" i="99"/>
  <c r="AO587" i="99" s="1"/>
  <c r="AO514" i="99"/>
  <c r="AO578" i="99" s="1"/>
  <c r="AO513" i="99"/>
  <c r="AO577" i="99" s="1"/>
  <c r="AO558" i="99"/>
  <c r="AO622" i="99" s="1"/>
  <c r="AO516" i="99"/>
  <c r="AO580" i="99" s="1"/>
  <c r="AO533" i="99"/>
  <c r="AO597" i="99" s="1"/>
  <c r="AQ3" i="99"/>
  <c r="AQ4" i="99" s="1"/>
  <c r="AP2" i="99" a="1"/>
  <c r="AP2" i="99" s="1"/>
  <c r="AP554" i="99" s="1"/>
  <c r="AP474" i="99"/>
  <c r="AP475" i="99"/>
  <c r="AP499" i="99"/>
  <c r="AP483" i="99" s="1"/>
  <c r="AP491" i="99" s="1"/>
  <c r="AP476" i="99"/>
  <c r="AP498" i="99"/>
  <c r="AP482" i="99" s="1"/>
  <c r="AP490" i="99" s="1"/>
  <c r="AP477" i="99"/>
  <c r="AP500" i="99"/>
  <c r="AP484" i="99" s="1"/>
  <c r="AP492" i="99" s="1"/>
  <c r="AP478" i="99"/>
  <c r="AP501" i="99"/>
  <c r="AP485" i="99" s="1"/>
  <c r="AP493" i="99" s="1"/>
  <c r="AP479" i="99"/>
  <c r="AP502" i="99"/>
  <c r="AP486" i="99" s="1"/>
  <c r="AP494" i="99" s="1"/>
  <c r="AP503" i="99"/>
  <c r="AP487" i="99" s="1"/>
  <c r="AP495" i="99" s="1"/>
  <c r="AN602" i="99"/>
  <c r="AN542" i="99"/>
  <c r="AN606" i="99" s="1"/>
  <c r="AL590" i="99"/>
  <c r="AT527" i="99"/>
  <c r="AL529" i="99"/>
  <c r="AM526" i="99"/>
  <c r="AM588" i="99"/>
  <c r="AL581" i="99"/>
  <c r="AL518" i="99"/>
  <c r="AN228" i="99"/>
  <c r="AI559" i="99" a="1"/>
  <c r="AI559" i="99" s="1"/>
  <c r="AI623" i="99" s="1"/>
  <c r="AI615" i="99"/>
  <c r="AI552" i="99"/>
  <c r="AK529" i="99"/>
  <c r="AK518" i="99"/>
  <c r="AK581" i="99"/>
  <c r="AN232" i="99"/>
  <c r="AN585" i="99"/>
  <c r="AN524" i="99"/>
  <c r="AK591" i="99"/>
  <c r="AK224" i="99"/>
  <c r="AN234" i="99"/>
  <c r="AG625" i="99"/>
  <c r="AG626" i="99" s="1"/>
  <c r="AG562" i="99"/>
  <c r="AG631" i="99"/>
  <c r="AF631" i="99"/>
  <c r="AF625" i="99"/>
  <c r="AF626" i="99" s="1"/>
  <c r="AF562" i="99"/>
  <c r="AN512" i="99"/>
  <c r="AJ551" i="99"/>
  <c r="AJ555" i="99" s="1"/>
  <c r="AJ608" i="99"/>
  <c r="AQ37" i="72"/>
  <c r="AR5" i="72"/>
  <c r="AR6" i="72" s="1"/>
  <c r="AQ36" i="72"/>
  <c r="AQ38" i="72" s="1"/>
  <c r="AQ47" i="72"/>
  <c r="AQ48" i="72"/>
  <c r="AQ6" i="98"/>
  <c r="AP70" i="103"/>
  <c r="AU70" i="105" s="1"/>
  <c r="AP35" i="151" s="1"/>
  <c r="BG8" i="98"/>
  <c r="AO40" i="151" l="1"/>
  <c r="AT132" i="105"/>
  <c r="AR4" i="72" a="1"/>
  <c r="AR4" i="72" s="1"/>
  <c r="AB66" i="154"/>
  <c r="AB71" i="154"/>
  <c r="AB130" i="154"/>
  <c r="AB131" i="154" s="1"/>
  <c r="S65" i="154"/>
  <c r="S126" i="154"/>
  <c r="S127" i="154" s="1"/>
  <c r="S62" i="154"/>
  <c r="W72" i="154"/>
  <c r="W136" i="154"/>
  <c r="W137" i="154" s="1"/>
  <c r="Z72" i="154"/>
  <c r="Z136" i="154"/>
  <c r="Z137" i="154" s="1"/>
  <c r="AA72" i="154"/>
  <c r="AA136" i="154"/>
  <c r="AA137" i="154" s="1"/>
  <c r="X72" i="154"/>
  <c r="X136" i="154"/>
  <c r="X137" i="154" s="1"/>
  <c r="Y136" i="154"/>
  <c r="Y137" i="154" s="1"/>
  <c r="Y72" i="154"/>
  <c r="R66" i="154"/>
  <c r="R71" i="154"/>
  <c r="R130" i="154"/>
  <c r="R131" i="154" s="1"/>
  <c r="U71" i="154"/>
  <c r="U66" i="154"/>
  <c r="U130" i="154"/>
  <c r="U131" i="154" s="1"/>
  <c r="T65" i="154"/>
  <c r="T126" i="154"/>
  <c r="T127" i="154" s="1"/>
  <c r="T62" i="154"/>
  <c r="R136" i="155"/>
  <c r="R137" i="155" s="1"/>
  <c r="R72" i="155"/>
  <c r="U65" i="155"/>
  <c r="U126" i="155"/>
  <c r="U127" i="155" s="1"/>
  <c r="U62" i="155"/>
  <c r="S71" i="155"/>
  <c r="S66" i="155"/>
  <c r="S130" i="155"/>
  <c r="S131" i="155" s="1"/>
  <c r="V72" i="154"/>
  <c r="V136" i="154"/>
  <c r="V137" i="154" s="1"/>
  <c r="T65" i="155"/>
  <c r="T126" i="155"/>
  <c r="T127" i="155" s="1"/>
  <c r="T62" i="155"/>
  <c r="AR122" i="105"/>
  <c r="BG198" i="153"/>
  <c r="BG206" i="153" s="1"/>
  <c r="BG239" i="153" s="1"/>
  <c r="BG247" i="153" s="1"/>
  <c r="AV214" i="153"/>
  <c r="AV283" i="153" s="1"/>
  <c r="AV291" i="153" s="1"/>
  <c r="AV307" i="153" s="1"/>
  <c r="BV329" i="153"/>
  <c r="BV339" i="153" s="1"/>
  <c r="BX198" i="153"/>
  <c r="BX214" i="153" s="1"/>
  <c r="BX283" i="153" s="1"/>
  <c r="BW198" i="153"/>
  <c r="BW206" i="153" s="1"/>
  <c r="BW239" i="153" s="1"/>
  <c r="AN129" i="99"/>
  <c r="X413" i="153"/>
  <c r="X452" i="153" s="1" a="1"/>
  <c r="X452" i="153" s="1"/>
  <c r="V413" i="153"/>
  <c r="V452" i="153" s="1" a="1"/>
  <c r="V452" i="153" s="1"/>
  <c r="S413" i="153"/>
  <c r="S452" i="153" s="1" a="1"/>
  <c r="S452" i="153" s="1"/>
  <c r="T413" i="153"/>
  <c r="T452" i="153" s="1" a="1"/>
  <c r="T452" i="153" s="1"/>
  <c r="W413" i="153"/>
  <c r="W452" i="153" s="1" a="1"/>
  <c r="W452" i="153" s="1"/>
  <c r="Y413" i="153"/>
  <c r="Y452" i="153" s="1" a="1"/>
  <c r="Y452" i="153" s="1"/>
  <c r="U413" i="153"/>
  <c r="U452" i="153" s="1" a="1"/>
  <c r="U452" i="153" s="1"/>
  <c r="AN263" i="153"/>
  <c r="AK271" i="153"/>
  <c r="AF263" i="153"/>
  <c r="AS263" i="153"/>
  <c r="AR255" i="153"/>
  <c r="AL271" i="153"/>
  <c r="AP464" i="153"/>
  <c r="AM255" i="153"/>
  <c r="AG271" i="153"/>
  <c r="AV263" i="153"/>
  <c r="AB255" i="153"/>
  <c r="Z263" i="153"/>
  <c r="AI271" i="153"/>
  <c r="AT263" i="153"/>
  <c r="AQ255" i="153"/>
  <c r="AU255" i="153"/>
  <c r="AW271" i="153"/>
  <c r="AD255" i="153"/>
  <c r="AE271" i="153"/>
  <c r="AC263" i="153"/>
  <c r="AO263" i="153"/>
  <c r="AA263" i="153"/>
  <c r="AJ271" i="153"/>
  <c r="AI561" i="99"/>
  <c r="AI567" i="99" s="1"/>
  <c r="AH561" i="99"/>
  <c r="AH567" i="99" s="1"/>
  <c r="AU127" i="105"/>
  <c r="AK263" i="153"/>
  <c r="AK255" i="153"/>
  <c r="AK464" i="153"/>
  <c r="BD198" i="155"/>
  <c r="BD214" i="155" s="1"/>
  <c r="BD283" i="155" s="1"/>
  <c r="BP178" i="154"/>
  <c r="BP186" i="154" s="1"/>
  <c r="BP198" i="154" s="1"/>
  <c r="AO206" i="154"/>
  <c r="AO239" i="154" s="1"/>
  <c r="AO247" i="154" s="1"/>
  <c r="AX206" i="154"/>
  <c r="AX239" i="154" s="1"/>
  <c r="AX247" i="154" s="1"/>
  <c r="AP214" i="154"/>
  <c r="AP283" i="154" s="1"/>
  <c r="AP291" i="154" s="1"/>
  <c r="AP307" i="154" s="1"/>
  <c r="AN129" i="104"/>
  <c r="AN64" i="104" s="1"/>
  <c r="AS64" i="105" s="1"/>
  <c r="AN30" i="151" s="1"/>
  <c r="AY214" i="154"/>
  <c r="AY283" i="154" s="1"/>
  <c r="AY291" i="154" s="1"/>
  <c r="AY299" i="154" s="1"/>
  <c r="AN129" i="103"/>
  <c r="AS214" i="154"/>
  <c r="AS283" i="154" s="1"/>
  <c r="AS291" i="154" s="1"/>
  <c r="AS307" i="154" s="1"/>
  <c r="BH329" i="154"/>
  <c r="BH339" i="154" s="1"/>
  <c r="BK198" i="154"/>
  <c r="BK214" i="154" s="1"/>
  <c r="BK283" i="154" s="1"/>
  <c r="BJ329" i="154"/>
  <c r="BJ339" i="154" s="1"/>
  <c r="AY214" i="155"/>
  <c r="AY283" i="155" s="1"/>
  <c r="AY291" i="155" s="1"/>
  <c r="AY307" i="155" s="1"/>
  <c r="BY329" i="153"/>
  <c r="BY339" i="153" s="1"/>
  <c r="BA198" i="154"/>
  <c r="BA206" i="154" s="1"/>
  <c r="BA239" i="154" s="1"/>
  <c r="BI198" i="154"/>
  <c r="BI214" i="154" s="1"/>
  <c r="BI283" i="154" s="1"/>
  <c r="BG198" i="155"/>
  <c r="BG214" i="155" s="1"/>
  <c r="BG283" i="155" s="1"/>
  <c r="AD214" i="154"/>
  <c r="AD206" i="154"/>
  <c r="AD203" i="154"/>
  <c r="AD339" i="154"/>
  <c r="AD344" i="154" s="1"/>
  <c r="AD43" i="154" s="1"/>
  <c r="AD334" i="154"/>
  <c r="AG214" i="154"/>
  <c r="AG206" i="154"/>
  <c r="AG203" i="154"/>
  <c r="AG339" i="154"/>
  <c r="AG344" i="154" s="1"/>
  <c r="AG43" i="154" s="1"/>
  <c r="AG334" i="154"/>
  <c r="AC206" i="154"/>
  <c r="AC214" i="154"/>
  <c r="AC203" i="154"/>
  <c r="AF214" i="155"/>
  <c r="AF206" i="155"/>
  <c r="AC339" i="154"/>
  <c r="AC344" i="154" s="1"/>
  <c r="AC43" i="154" s="1"/>
  <c r="AC334" i="154"/>
  <c r="AF339" i="155"/>
  <c r="BO178" i="154"/>
  <c r="BO186" i="154" s="1"/>
  <c r="BO198" i="154" s="1"/>
  <c r="BM178" i="155"/>
  <c r="BM186" i="155" s="1"/>
  <c r="BM329" i="155" s="1"/>
  <c r="BM339" i="155" s="1"/>
  <c r="AE339" i="155"/>
  <c r="AD339" i="155"/>
  <c r="BQ178" i="155"/>
  <c r="BQ186" i="155" s="1"/>
  <c r="BQ329" i="155" s="1"/>
  <c r="BQ339" i="155" s="1"/>
  <c r="AE214" i="155"/>
  <c r="AE206" i="155"/>
  <c r="AD206" i="155"/>
  <c r="AD214" i="155"/>
  <c r="BP178" i="155"/>
  <c r="BP186" i="155" s="1"/>
  <c r="BP198" i="155" s="1"/>
  <c r="BO178" i="155"/>
  <c r="BO186" i="155" s="1"/>
  <c r="BO198" i="155" s="1"/>
  <c r="AC339" i="155"/>
  <c r="AF247" i="154"/>
  <c r="BN178" i="155"/>
  <c r="BN186" i="155" s="1"/>
  <c r="BN329" i="155" s="1"/>
  <c r="BN339" i="155" s="1"/>
  <c r="AC206" i="155"/>
  <c r="AC214" i="155"/>
  <c r="AF291" i="154"/>
  <c r="AF315" i="154" s="1"/>
  <c r="AE206" i="154"/>
  <c r="AE203" i="154"/>
  <c r="AE214" i="154"/>
  <c r="AG339" i="155"/>
  <c r="AE339" i="154"/>
  <c r="AE344" i="154" s="1"/>
  <c r="AE43" i="154" s="1"/>
  <c r="AE334" i="154"/>
  <c r="AG214" i="155"/>
  <c r="AG206" i="155"/>
  <c r="AV206" i="154"/>
  <c r="AV239" i="154" s="1"/>
  <c r="AV247" i="154" s="1"/>
  <c r="BH198" i="155"/>
  <c r="BH214" i="155" s="1"/>
  <c r="BH283" i="155" s="1"/>
  <c r="BV178" i="155"/>
  <c r="BV186" i="155" s="1"/>
  <c r="BV329" i="155" s="1"/>
  <c r="BV339" i="155" s="1"/>
  <c r="BU178" i="155"/>
  <c r="BU186" i="155" s="1"/>
  <c r="BU329" i="155" s="1"/>
  <c r="BU339" i="155" s="1"/>
  <c r="BW178" i="154"/>
  <c r="BW186" i="154" s="1"/>
  <c r="BW329" i="154" s="1"/>
  <c r="BW339" i="154" s="1"/>
  <c r="BU178" i="154"/>
  <c r="BU186" i="154" s="1"/>
  <c r="BU198" i="154" s="1"/>
  <c r="BV178" i="154"/>
  <c r="BV186" i="154" s="1"/>
  <c r="BV329" i="154" s="1"/>
  <c r="BV339" i="154" s="1"/>
  <c r="BT178" i="154"/>
  <c r="BT186" i="154" s="1"/>
  <c r="BT198" i="154" s="1"/>
  <c r="BS178" i="154"/>
  <c r="BS186" i="154" s="1"/>
  <c r="BS198" i="154" s="1"/>
  <c r="AI339" i="154"/>
  <c r="AI344" i="154" s="1"/>
  <c r="AI43" i="154" s="1"/>
  <c r="AI334" i="154"/>
  <c r="AK339" i="155"/>
  <c r="AM206" i="154"/>
  <c r="AM214" i="154"/>
  <c r="AK214" i="155"/>
  <c r="AK206" i="155"/>
  <c r="AM339" i="154"/>
  <c r="AI206" i="155"/>
  <c r="AI214" i="155"/>
  <c r="AI339" i="155"/>
  <c r="AJ206" i="154"/>
  <c r="AJ214" i="154"/>
  <c r="AJ203" i="154"/>
  <c r="AI214" i="154"/>
  <c r="AI206" i="154"/>
  <c r="AI203" i="154"/>
  <c r="AJ339" i="154"/>
  <c r="AJ344" i="154" s="1"/>
  <c r="AJ43" i="154" s="1"/>
  <c r="AJ334" i="154"/>
  <c r="AL206" i="155"/>
  <c r="AL214" i="155"/>
  <c r="AL339" i="155"/>
  <c r="AH339" i="154"/>
  <c r="AH344" i="154" s="1"/>
  <c r="AH43" i="154" s="1"/>
  <c r="AH334" i="154"/>
  <c r="BS178" i="155"/>
  <c r="BS186" i="155" s="1"/>
  <c r="BS329" i="155" s="1"/>
  <c r="BS339" i="155" s="1"/>
  <c r="AH206" i="154"/>
  <c r="AH214" i="154"/>
  <c r="AH203" i="154"/>
  <c r="AJ339" i="155"/>
  <c r="AK206" i="154"/>
  <c r="AK214" i="154"/>
  <c r="AK203" i="154"/>
  <c r="AJ214" i="155"/>
  <c r="AJ206" i="155"/>
  <c r="AM206" i="155"/>
  <c r="AM214" i="155"/>
  <c r="AK339" i="154"/>
  <c r="AK344" i="154" s="1"/>
  <c r="AK43" i="154" s="1"/>
  <c r="AK334" i="154"/>
  <c r="AM339" i="155"/>
  <c r="BW178" i="155"/>
  <c r="BW186" i="155" s="1"/>
  <c r="BW198" i="155" s="1"/>
  <c r="BK329" i="155"/>
  <c r="BK339" i="155" s="1"/>
  <c r="BI329" i="155"/>
  <c r="BI339" i="155" s="1"/>
  <c r="AH214" i="155"/>
  <c r="AH206" i="155"/>
  <c r="AH339" i="155"/>
  <c r="AL206" i="154"/>
  <c r="AL214" i="154"/>
  <c r="AL339" i="154"/>
  <c r="AN339" i="155"/>
  <c r="AR291" i="154"/>
  <c r="AR315" i="154" s="1"/>
  <c r="AY247" i="155"/>
  <c r="BE214" i="154"/>
  <c r="BE283" i="154" s="1"/>
  <c r="BE206" i="154"/>
  <c r="BE239" i="154" s="1"/>
  <c r="BC214" i="154"/>
  <c r="BC283" i="154" s="1"/>
  <c r="BC206" i="154"/>
  <c r="BC239" i="154" s="1"/>
  <c r="AN206" i="155"/>
  <c r="AN214" i="155"/>
  <c r="AT214" i="155"/>
  <c r="AT283" i="155" s="1"/>
  <c r="AT206" i="155"/>
  <c r="AT239" i="155" s="1"/>
  <c r="BC206" i="155"/>
  <c r="BC239" i="155" s="1"/>
  <c r="BC214" i="155"/>
  <c r="BC283" i="155" s="1"/>
  <c r="BN198" i="154"/>
  <c r="BN329" i="154"/>
  <c r="BN339" i="154" s="1"/>
  <c r="BL198" i="155"/>
  <c r="BL329" i="155"/>
  <c r="BL339" i="155" s="1"/>
  <c r="AU291" i="154"/>
  <c r="AU299" i="154" s="1"/>
  <c r="BH206" i="154"/>
  <c r="BH239" i="154" s="1"/>
  <c r="BH214" i="154"/>
  <c r="BH283" i="154" s="1"/>
  <c r="BR178" i="155"/>
  <c r="BR186" i="155" s="1"/>
  <c r="W171" i="155"/>
  <c r="BY178" i="155" s="1"/>
  <c r="BY186" i="155" s="1"/>
  <c r="BX178" i="155"/>
  <c r="BX186" i="155" s="1"/>
  <c r="BB206" i="155"/>
  <c r="BB239" i="155" s="1"/>
  <c r="BB214" i="155"/>
  <c r="BB283" i="155" s="1"/>
  <c r="BM329" i="154"/>
  <c r="BM339" i="154" s="1"/>
  <c r="BM198" i="154"/>
  <c r="AN339" i="154"/>
  <c r="AU247" i="154"/>
  <c r="BF198" i="155"/>
  <c r="BF329" i="155"/>
  <c r="BF339" i="155" s="1"/>
  <c r="BJ214" i="154"/>
  <c r="BJ283" i="154" s="1"/>
  <c r="BJ206" i="154"/>
  <c r="BJ239" i="154" s="1"/>
  <c r="AW291" i="154"/>
  <c r="AW307" i="154" s="1"/>
  <c r="AN214" i="154"/>
  <c r="AN206" i="154"/>
  <c r="AW247" i="154"/>
  <c r="AZ214" i="154"/>
  <c r="AZ283" i="154" s="1"/>
  <c r="AZ206" i="154"/>
  <c r="AZ239" i="154" s="1"/>
  <c r="AR291" i="155"/>
  <c r="AR307" i="155" s="1"/>
  <c r="AS247" i="154"/>
  <c r="AR247" i="155"/>
  <c r="BQ329" i="154"/>
  <c r="BQ339" i="154" s="1"/>
  <c r="BQ198" i="154"/>
  <c r="AX291" i="154"/>
  <c r="AX299" i="154" s="1"/>
  <c r="BR178" i="154"/>
  <c r="BR186" i="154" s="1"/>
  <c r="W171" i="154"/>
  <c r="BY178" i="154" s="1"/>
  <c r="BY186" i="154" s="1"/>
  <c r="BX178" i="154"/>
  <c r="BX186" i="154" s="1"/>
  <c r="BL198" i="154"/>
  <c r="BL329" i="154"/>
  <c r="BL339" i="154" s="1"/>
  <c r="AQ247" i="154"/>
  <c r="AO291" i="155"/>
  <c r="AO307" i="155" s="1"/>
  <c r="AS247" i="155"/>
  <c r="BA214" i="155"/>
  <c r="BA283" i="155" s="1"/>
  <c r="BA206" i="155"/>
  <c r="BA239" i="155" s="1"/>
  <c r="BF198" i="154"/>
  <c r="BF329" i="154"/>
  <c r="BF339" i="154" s="1"/>
  <c r="AQ291" i="154"/>
  <c r="AQ307" i="154" s="1"/>
  <c r="BB214" i="154"/>
  <c r="BB283" i="154" s="1"/>
  <c r="BB206" i="154"/>
  <c r="BB239" i="154" s="1"/>
  <c r="AO247" i="155"/>
  <c r="AS291" i="155"/>
  <c r="AS307" i="155" s="1"/>
  <c r="AW247" i="155"/>
  <c r="AT214" i="154"/>
  <c r="AT283" i="154" s="1"/>
  <c r="AT206" i="154"/>
  <c r="AT239" i="154" s="1"/>
  <c r="AW291" i="155"/>
  <c r="AW307" i="155" s="1"/>
  <c r="AU291" i="155"/>
  <c r="AU315" i="155" s="1"/>
  <c r="BG206" i="154"/>
  <c r="BG239" i="154" s="1"/>
  <c r="BG214" i="154"/>
  <c r="BG283" i="154" s="1"/>
  <c r="AZ206" i="155"/>
  <c r="AZ239" i="155" s="1"/>
  <c r="AZ214" i="155"/>
  <c r="AZ283" i="155" s="1"/>
  <c r="BE214" i="155"/>
  <c r="BE283" i="155" s="1"/>
  <c r="BE206" i="155"/>
  <c r="BE239" i="155" s="1"/>
  <c r="AY247" i="154"/>
  <c r="AQ291" i="155"/>
  <c r="AQ307" i="155" s="1"/>
  <c r="AU247" i="155"/>
  <c r="BJ214" i="155"/>
  <c r="BJ283" i="155" s="1"/>
  <c r="BJ206" i="155"/>
  <c r="BJ239" i="155" s="1"/>
  <c r="AQ247" i="155"/>
  <c r="AX247" i="155"/>
  <c r="AV291" i="154"/>
  <c r="AV299" i="154" s="1"/>
  <c r="AP247" i="155"/>
  <c r="AX291" i="155"/>
  <c r="AX307" i="155" s="1"/>
  <c r="AP291" i="155"/>
  <c r="AP307" i="155" s="1"/>
  <c r="AV247" i="155"/>
  <c r="AO291" i="154"/>
  <c r="AO299" i="154" s="1"/>
  <c r="AV291" i="155"/>
  <c r="AV315" i="155" s="1"/>
  <c r="BT198" i="155"/>
  <c r="BT329" i="155"/>
  <c r="BT339" i="155" s="1"/>
  <c r="BK214" i="155"/>
  <c r="BK283" i="155" s="1"/>
  <c r="BK206" i="155"/>
  <c r="BK239" i="155" s="1"/>
  <c r="BD214" i="154"/>
  <c r="BD283" i="154" s="1"/>
  <c r="BD206" i="154"/>
  <c r="BD239" i="154" s="1"/>
  <c r="AR247" i="154"/>
  <c r="BI214" i="155"/>
  <c r="BI283" i="155" s="1"/>
  <c r="BI206" i="155"/>
  <c r="BI239" i="155" s="1"/>
  <c r="AP247" i="154"/>
  <c r="AO618" i="99"/>
  <c r="AO64" i="99"/>
  <c r="AI454" i="155" a="1"/>
  <c r="AI454" i="155" s="1"/>
  <c r="AW214" i="153"/>
  <c r="AW283" i="153" s="1"/>
  <c r="AW291" i="153" s="1"/>
  <c r="AW315" i="153" s="1"/>
  <c r="AU263" i="153"/>
  <c r="AN255" i="153"/>
  <c r="AL454" i="155" a="1"/>
  <c r="AL454" i="155" s="1"/>
  <c r="AM454" i="155" a="1"/>
  <c r="AM454" i="155" s="1"/>
  <c r="AI454" i="154" a="1"/>
  <c r="AI454" i="154" s="1"/>
  <c r="AN454" i="154" a="1"/>
  <c r="AN454" i="154" s="1"/>
  <c r="AM454" i="154" a="1"/>
  <c r="AM454" i="154" s="1"/>
  <c r="AP454" i="154" a="1"/>
  <c r="AP454" i="154" s="1"/>
  <c r="AP454" i="155" a="1"/>
  <c r="AP454" i="155" s="1"/>
  <c r="AJ454" i="154" a="1"/>
  <c r="AJ454" i="154" s="1"/>
  <c r="AQ454" i="154" a="1"/>
  <c r="AQ454" i="154" s="1"/>
  <c r="AJ454" i="155" a="1"/>
  <c r="AJ454" i="155" s="1"/>
  <c r="AK454" i="155" a="1"/>
  <c r="AK454" i="155" s="1"/>
  <c r="AO454" i="154" a="1"/>
  <c r="AO454" i="154" s="1"/>
  <c r="AO454" i="155" a="1"/>
  <c r="AO454" i="155" s="1"/>
  <c r="AS315" i="153"/>
  <c r="AT255" i="153"/>
  <c r="AD263" i="153"/>
  <c r="AS299" i="153"/>
  <c r="AG255" i="153"/>
  <c r="AR315" i="153"/>
  <c r="AQ307" i="153"/>
  <c r="AB307" i="153"/>
  <c r="AB299" i="153"/>
  <c r="AD307" i="153"/>
  <c r="AQ464" i="153"/>
  <c r="AR299" i="153"/>
  <c r="AR263" i="153"/>
  <c r="AS255" i="153"/>
  <c r="AO271" i="153"/>
  <c r="AA307" i="153"/>
  <c r="AN299" i="153"/>
  <c r="AJ315" i="153"/>
  <c r="AJ307" i="153"/>
  <c r="AN271" i="153"/>
  <c r="AL315" i="153"/>
  <c r="AO307" i="153"/>
  <c r="AL464" i="153"/>
  <c r="AL263" i="153"/>
  <c r="AP307" i="153"/>
  <c r="AE299" i="153"/>
  <c r="AS271" i="153"/>
  <c r="AE307" i="153"/>
  <c r="AA271" i="153"/>
  <c r="AE263" i="153"/>
  <c r="AW464" i="153"/>
  <c r="AR271" i="153"/>
  <c r="BI198" i="153"/>
  <c r="BI214" i="153" s="1"/>
  <c r="BI283" i="153" s="1"/>
  <c r="BI291" i="153" s="1"/>
  <c r="BI299" i="153" s="1"/>
  <c r="AQ263" i="153"/>
  <c r="AO299" i="153"/>
  <c r="Z315" i="153"/>
  <c r="AI315" i="153"/>
  <c r="BH198" i="153"/>
  <c r="BH214" i="153" s="1"/>
  <c r="BH283" i="153" s="1"/>
  <c r="BH291" i="153" s="1"/>
  <c r="BH315" i="153" s="1"/>
  <c r="AF271" i="153"/>
  <c r="AT271" i="153"/>
  <c r="AQ271" i="153"/>
  <c r="AW263" i="153"/>
  <c r="AJ255" i="153"/>
  <c r="Z299" i="153"/>
  <c r="AM299" i="153"/>
  <c r="AI263" i="153"/>
  <c r="AV255" i="153"/>
  <c r="AM315" i="153"/>
  <c r="AP263" i="153"/>
  <c r="AP255" i="153"/>
  <c r="AP271" i="153"/>
  <c r="AA299" i="153"/>
  <c r="AS464" i="153"/>
  <c r="AL255" i="153"/>
  <c r="AC299" i="153"/>
  <c r="AO255" i="153"/>
  <c r="AC307" i="153"/>
  <c r="BN198" i="153"/>
  <c r="BN329" i="153"/>
  <c r="BN339" i="153" s="1"/>
  <c r="AH263" i="153"/>
  <c r="AH464" i="153"/>
  <c r="BL198" i="153"/>
  <c r="BL329" i="153"/>
  <c r="BL339" i="153" s="1"/>
  <c r="AH271" i="153"/>
  <c r="AC271" i="153"/>
  <c r="AC464" i="153"/>
  <c r="Z255" i="153"/>
  <c r="Z464" i="153"/>
  <c r="AT464" i="153"/>
  <c r="BS198" i="153"/>
  <c r="BS329" i="153"/>
  <c r="BS339" i="153" s="1"/>
  <c r="BM198" i="153"/>
  <c r="BM329" i="153"/>
  <c r="BM339" i="153" s="1"/>
  <c r="BE214" i="153"/>
  <c r="BE283" i="153" s="1"/>
  <c r="BE291" i="153" s="1"/>
  <c r="BE315" i="153" s="1"/>
  <c r="BE206" i="153"/>
  <c r="BE239" i="153" s="1"/>
  <c r="BE247" i="153" s="1"/>
  <c r="AN464" i="153"/>
  <c r="AR464" i="153"/>
  <c r="BU198" i="153"/>
  <c r="BU329" i="153"/>
  <c r="BU339" i="153" s="1"/>
  <c r="AI299" i="153"/>
  <c r="AE255" i="153"/>
  <c r="AE464" i="153"/>
  <c r="BK329" i="153"/>
  <c r="BK339" i="153" s="1"/>
  <c r="BK198" i="153"/>
  <c r="BQ198" i="153"/>
  <c r="BQ329" i="153"/>
  <c r="BQ339" i="153" s="1"/>
  <c r="AB271" i="153"/>
  <c r="BJ198" i="153"/>
  <c r="BJ329" i="153"/>
  <c r="BJ339" i="153" s="1"/>
  <c r="AF299" i="153"/>
  <c r="AY206" i="153"/>
  <c r="AY239" i="153" s="1"/>
  <c r="AY247" i="153" s="1"/>
  <c r="AY214" i="153"/>
  <c r="AY283" i="153" s="1"/>
  <c r="AY291" i="153" s="1"/>
  <c r="AY315" i="153" s="1"/>
  <c r="BR198" i="153"/>
  <c r="BR329" i="153"/>
  <c r="BR339" i="153" s="1"/>
  <c r="AB263" i="153"/>
  <c r="AB464" i="153"/>
  <c r="AF315" i="153"/>
  <c r="BC214" i="153"/>
  <c r="BC283" i="153" s="1"/>
  <c r="BC291" i="153" s="1"/>
  <c r="BC307" i="153" s="1"/>
  <c r="BC206" i="153"/>
  <c r="BC239" i="153" s="1"/>
  <c r="BC247" i="153" s="1"/>
  <c r="AU315" i="153"/>
  <c r="AH315" i="153"/>
  <c r="AM464" i="153"/>
  <c r="AA255" i="153"/>
  <c r="AA464" i="153"/>
  <c r="AH299" i="153"/>
  <c r="BF214" i="153"/>
  <c r="BF283" i="153" s="1"/>
  <c r="BF291" i="153" s="1"/>
  <c r="BF315" i="153" s="1"/>
  <c r="BF206" i="153"/>
  <c r="BF239" i="153" s="1"/>
  <c r="BF247" i="153" s="1"/>
  <c r="AD299" i="153"/>
  <c r="AM271" i="153"/>
  <c r="AN307" i="153"/>
  <c r="AG307" i="153"/>
  <c r="AI255" i="153"/>
  <c r="AI464" i="153"/>
  <c r="BD214" i="153"/>
  <c r="BD283" i="153" s="1"/>
  <c r="BD291" i="153" s="1"/>
  <c r="BD299" i="153" s="1"/>
  <c r="BD206" i="153"/>
  <c r="BD239" i="153" s="1"/>
  <c r="BD247" i="153" s="1"/>
  <c r="AX214" i="153"/>
  <c r="AX283" i="153" s="1"/>
  <c r="AX291" i="153" s="1"/>
  <c r="AX315" i="153" s="1"/>
  <c r="AX206" i="153"/>
  <c r="AX239" i="153" s="1"/>
  <c r="AX247" i="153" s="1"/>
  <c r="AU464" i="153"/>
  <c r="AG299" i="153"/>
  <c r="AJ263" i="153"/>
  <c r="AJ464" i="153"/>
  <c r="AZ214" i="153"/>
  <c r="AZ283" i="153" s="1"/>
  <c r="AZ291" i="153" s="1"/>
  <c r="AZ315" i="153" s="1"/>
  <c r="AZ206" i="153"/>
  <c r="AZ239" i="153" s="1"/>
  <c r="AZ247" i="153" s="1"/>
  <c r="AU271" i="153"/>
  <c r="AM263" i="153"/>
  <c r="AW255" i="153"/>
  <c r="AV464" i="153"/>
  <c r="AU299" i="153"/>
  <c r="AT315" i="153"/>
  <c r="AG263" i="153"/>
  <c r="AG464" i="153"/>
  <c r="AD271" i="153"/>
  <c r="AD464" i="153"/>
  <c r="AV271" i="153"/>
  <c r="AT307" i="153"/>
  <c r="BT198" i="153"/>
  <c r="BT329" i="153"/>
  <c r="BT339" i="153" s="1"/>
  <c r="BA214" i="153"/>
  <c r="BA283" i="153" s="1"/>
  <c r="BA291" i="153" s="1"/>
  <c r="BA299" i="153" s="1"/>
  <c r="BA206" i="153"/>
  <c r="BA239" i="153" s="1"/>
  <c r="BA247" i="153" s="1"/>
  <c r="BB214" i="153"/>
  <c r="BB283" i="153" s="1"/>
  <c r="BB291" i="153" s="1"/>
  <c r="BB307" i="153" s="1"/>
  <c r="BB206" i="153"/>
  <c r="BB239" i="153" s="1"/>
  <c r="BB247" i="153" s="1"/>
  <c r="AL299" i="153"/>
  <c r="AQ315" i="153"/>
  <c r="BP329" i="153"/>
  <c r="BP339" i="153" s="1"/>
  <c r="BP198" i="153"/>
  <c r="AF255" i="153"/>
  <c r="AF464" i="153"/>
  <c r="AO464" i="153"/>
  <c r="AP315" i="153"/>
  <c r="BO198" i="153"/>
  <c r="BO329" i="153"/>
  <c r="BO339" i="153" s="1"/>
  <c r="AH255" i="153"/>
  <c r="AC255" i="153"/>
  <c r="Z271" i="153"/>
  <c r="AM579" i="99"/>
  <c r="AO549" i="99"/>
  <c r="AO613" i="99" s="1"/>
  <c r="AO233" i="99"/>
  <c r="AO535" i="99"/>
  <c r="AO599" i="99" s="1"/>
  <c r="AO512" i="99"/>
  <c r="AO515" i="99" s="1"/>
  <c r="BV206" i="153"/>
  <c r="BV239" i="153" s="1"/>
  <c r="BV214" i="153"/>
  <c r="BV283" i="153" s="1"/>
  <c r="BY206" i="153"/>
  <c r="BY239" i="153" s="1"/>
  <c r="BY214" i="153"/>
  <c r="BY283" i="153" s="1"/>
  <c r="AO228" i="99"/>
  <c r="AR3" i="69"/>
  <c r="AR4" i="69" s="1"/>
  <c r="AQ2" i="69" a="1"/>
  <c r="AQ2" i="69" s="1"/>
  <c r="AQ7" i="69"/>
  <c r="AQ8" i="69"/>
  <c r="AQ15" i="69"/>
  <c r="AQ14" i="69"/>
  <c r="AQ9" i="69"/>
  <c r="AQ10" i="69"/>
  <c r="AQ13" i="69"/>
  <c r="AQ16" i="69"/>
  <c r="AQ12" i="69"/>
  <c r="AL530" i="99"/>
  <c r="AL593" i="99"/>
  <c r="AL594" i="99" s="1"/>
  <c r="AL544" i="99"/>
  <c r="AH616" i="99"/>
  <c r="AL591" i="99"/>
  <c r="AL224" i="99"/>
  <c r="AK582" i="99"/>
  <c r="AK223" i="99"/>
  <c r="AM529" i="99"/>
  <c r="AM581" i="99"/>
  <c r="AM518" i="99"/>
  <c r="AO230" i="99"/>
  <c r="AK530" i="99"/>
  <c r="AK593" i="99"/>
  <c r="AK594" i="99" s="1"/>
  <c r="AK544" i="99"/>
  <c r="AI616" i="99"/>
  <c r="AO229" i="99"/>
  <c r="AI556" i="99"/>
  <c r="AI619" i="99"/>
  <c r="AI620" i="99" s="1"/>
  <c r="AN526" i="99"/>
  <c r="AN588" i="99"/>
  <c r="AP541" i="99"/>
  <c r="AP605" i="99" s="1"/>
  <c r="AP548" i="99"/>
  <c r="AP612" i="99" s="1"/>
  <c r="AP534" i="99"/>
  <c r="AP598" i="99" s="1"/>
  <c r="AP540" i="99"/>
  <c r="AP604" i="99" s="1"/>
  <c r="AP538" i="99"/>
  <c r="AP539" i="99"/>
  <c r="AP603" i="99" s="1"/>
  <c r="AP547" i="99"/>
  <c r="AP611" i="99" s="1"/>
  <c r="AP525" i="99"/>
  <c r="AP589" i="99" s="1"/>
  <c r="AP523" i="99"/>
  <c r="AP587" i="99" s="1"/>
  <c r="AP507" i="99"/>
  <c r="AP521" i="99"/>
  <c r="AP509" i="99"/>
  <c r="AP573" i="99" s="1"/>
  <c r="AP522" i="99"/>
  <c r="AP586" i="99" s="1"/>
  <c r="AP514" i="99"/>
  <c r="AP578" i="99" s="1"/>
  <c r="AP516" i="99"/>
  <c r="AP580" i="99" s="1"/>
  <c r="AP558" i="99"/>
  <c r="AP622" i="99" s="1"/>
  <c r="AP513" i="99"/>
  <c r="AP577" i="99" s="1"/>
  <c r="AP533" i="99"/>
  <c r="AP597" i="99" s="1"/>
  <c r="AO585" i="99"/>
  <c r="AO524" i="99"/>
  <c r="AR3" i="99"/>
  <c r="AR4" i="99" s="1"/>
  <c r="AQ2" i="99" a="1"/>
  <c r="AQ2" i="99" s="1"/>
  <c r="AQ554" i="99" s="1"/>
  <c r="AQ474" i="99"/>
  <c r="AQ475" i="99"/>
  <c r="AQ476" i="99"/>
  <c r="AQ499" i="99"/>
  <c r="AQ483" i="99" s="1"/>
  <c r="AQ491" i="99" s="1"/>
  <c r="AQ498" i="99"/>
  <c r="AQ482" i="99" s="1"/>
  <c r="AQ490" i="99" s="1"/>
  <c r="AQ477" i="99"/>
  <c r="AQ500" i="99"/>
  <c r="AQ484" i="99" s="1"/>
  <c r="AQ492" i="99" s="1"/>
  <c r="AQ478" i="99"/>
  <c r="AQ501" i="99"/>
  <c r="AQ485" i="99" s="1"/>
  <c r="AQ493" i="99" s="1"/>
  <c r="AQ479" i="99"/>
  <c r="AQ502" i="99"/>
  <c r="AQ486" i="99" s="1"/>
  <c r="AQ494" i="99" s="1"/>
  <c r="AQ503" i="99"/>
  <c r="AQ487" i="99" s="1"/>
  <c r="AQ495" i="99" s="1"/>
  <c r="AO234" i="99"/>
  <c r="AO232" i="99"/>
  <c r="AL223" i="99"/>
  <c r="AL582" i="99"/>
  <c r="AU527" i="99"/>
  <c r="AM590" i="99"/>
  <c r="AO602" i="99"/>
  <c r="AO542" i="99"/>
  <c r="AO606" i="99" s="1"/>
  <c r="AJ559" i="99" a="1"/>
  <c r="AJ559" i="99" s="1"/>
  <c r="AJ623" i="99" s="1"/>
  <c r="AJ615" i="99"/>
  <c r="AJ552" i="99"/>
  <c r="AN576" i="99"/>
  <c r="AN515" i="99"/>
  <c r="AH619" i="99"/>
  <c r="AH620" i="99" s="1"/>
  <c r="AH556" i="99"/>
  <c r="AQ39" i="72"/>
  <c r="AR37" i="72"/>
  <c r="AS5" i="72"/>
  <c r="AS6" i="72" s="1"/>
  <c r="AR36" i="72"/>
  <c r="AR38" i="72" s="1"/>
  <c r="AR39" i="72" s="1"/>
  <c r="AR48" i="72"/>
  <c r="AR47" i="72"/>
  <c r="BH8" i="98"/>
  <c r="AR6" i="98"/>
  <c r="AQ70" i="103"/>
  <c r="AV70" i="105" s="1"/>
  <c r="AQ35" i="151" s="1"/>
  <c r="AP64" i="99"/>
  <c r="AS4" i="72" l="1" a="1"/>
  <c r="AS4" i="72" s="1"/>
  <c r="AI108" i="154"/>
  <c r="AI45" i="154"/>
  <c r="AI110" i="154" s="1"/>
  <c r="S136" i="155"/>
  <c r="S137" i="155" s="1"/>
  <c r="S72" i="155"/>
  <c r="AJ108" i="154"/>
  <c r="AJ45" i="154"/>
  <c r="AJ110" i="154" s="1"/>
  <c r="U66" i="155"/>
  <c r="U71" i="155"/>
  <c r="U130" i="155"/>
  <c r="U131" i="155" s="1"/>
  <c r="AK108" i="154"/>
  <c r="AK45" i="154"/>
  <c r="AK110" i="154" s="1"/>
  <c r="AG108" i="154"/>
  <c r="AG45" i="154"/>
  <c r="AG110" i="154" s="1"/>
  <c r="AD108" i="154"/>
  <c r="AD45" i="154"/>
  <c r="T66" i="154"/>
  <c r="T71" i="154"/>
  <c r="T130" i="154"/>
  <c r="T131" i="154" s="1"/>
  <c r="U72" i="154"/>
  <c r="U136" i="154"/>
  <c r="U137" i="154" s="1"/>
  <c r="AE108" i="154"/>
  <c r="AE45" i="154"/>
  <c r="AE110" i="154" s="1"/>
  <c r="T66" i="155"/>
  <c r="T71" i="155"/>
  <c r="T130" i="155"/>
  <c r="T131" i="155" s="1"/>
  <c r="R72" i="154"/>
  <c r="R136" i="154"/>
  <c r="R137" i="154" s="1"/>
  <c r="S66" i="154"/>
  <c r="S71" i="154"/>
  <c r="S130" i="154"/>
  <c r="S131" i="154" s="1"/>
  <c r="AB72" i="154"/>
  <c r="AB136" i="154"/>
  <c r="AB137" i="154" s="1"/>
  <c r="AC45" i="154"/>
  <c r="AC108" i="154"/>
  <c r="J43" i="154"/>
  <c r="J108" i="154" s="1"/>
  <c r="AH108" i="154"/>
  <c r="AH45" i="154"/>
  <c r="AH110" i="154" s="1"/>
  <c r="AS122" i="105"/>
  <c r="BG214" i="153"/>
  <c r="BG283" i="153" s="1"/>
  <c r="BG291" i="153" s="1"/>
  <c r="BG315" i="153" s="1"/>
  <c r="AV315" i="153"/>
  <c r="AV299" i="153"/>
  <c r="BX206" i="153"/>
  <c r="BX239" i="153" s="1"/>
  <c r="BX247" i="153" s="1"/>
  <c r="BW214" i="153"/>
  <c r="BW283" i="153" s="1"/>
  <c r="BW291" i="153" s="1"/>
  <c r="BW315" i="153" s="1"/>
  <c r="AO129" i="103"/>
  <c r="AK413" i="153"/>
  <c r="AK452" i="153" s="1" a="1"/>
  <c r="AK452" i="153" s="1"/>
  <c r="AP413" i="153"/>
  <c r="AP452" i="153" s="1" a="1"/>
  <c r="AP452" i="153" s="1"/>
  <c r="AO413" i="153"/>
  <c r="AO452" i="153" s="1" a="1"/>
  <c r="AO452" i="153" s="1"/>
  <c r="AL413" i="153"/>
  <c r="AL452" i="153" s="1" a="1"/>
  <c r="AL452" i="153" s="1"/>
  <c r="AR413" i="153"/>
  <c r="AR452" i="153" s="1" a="1"/>
  <c r="AR452" i="153" s="1"/>
  <c r="AQ413" i="153"/>
  <c r="AQ452" i="153" s="1" a="1"/>
  <c r="AQ452" i="153" s="1"/>
  <c r="AS413" i="153"/>
  <c r="AS452" i="153" s="1" a="1"/>
  <c r="AS452" i="153" s="1"/>
  <c r="AB413" i="153"/>
  <c r="AB452" i="153" s="1" a="1"/>
  <c r="AB452" i="153" s="1"/>
  <c r="AI413" i="153"/>
  <c r="AI452" i="153" s="1" a="1"/>
  <c r="AI452" i="153" s="1"/>
  <c r="AG413" i="153"/>
  <c r="AG452" i="153" s="1" a="1"/>
  <c r="AG452" i="153" s="1"/>
  <c r="AH413" i="153"/>
  <c r="AH452" i="153" s="1" a="1"/>
  <c r="AH452" i="153" s="1"/>
  <c r="Z413" i="153"/>
  <c r="Z452" i="153" s="1" a="1"/>
  <c r="Z452" i="153" s="1"/>
  <c r="AD413" i="153"/>
  <c r="AD452" i="153" s="1" a="1"/>
  <c r="AD452" i="153" s="1"/>
  <c r="AC413" i="153"/>
  <c r="AC452" i="153" s="1" a="1"/>
  <c r="AC452" i="153" s="1"/>
  <c r="AT413" i="153"/>
  <c r="AT452" i="153" s="1" a="1"/>
  <c r="AT452" i="153" s="1"/>
  <c r="AM413" i="153"/>
  <c r="AM452" i="153" s="1" a="1"/>
  <c r="AM452" i="153" s="1"/>
  <c r="AA413" i="153"/>
  <c r="AA452" i="153" s="1" a="1"/>
  <c r="AA452" i="153" s="1"/>
  <c r="AN413" i="153"/>
  <c r="AN452" i="153" s="1" a="1"/>
  <c r="AN452" i="153" s="1"/>
  <c r="AJ413" i="153"/>
  <c r="AJ452" i="153" s="1" a="1"/>
  <c r="AJ452" i="153" s="1"/>
  <c r="AF413" i="153"/>
  <c r="AF452" i="153" s="1" a="1"/>
  <c r="AF452" i="153" s="1"/>
  <c r="AE413" i="153"/>
  <c r="AE452" i="153" s="1" a="1"/>
  <c r="AE452" i="153" s="1"/>
  <c r="AU413" i="153"/>
  <c r="AU452" i="153" s="1" a="1"/>
  <c r="AU452" i="153" s="1"/>
  <c r="BC271" i="153"/>
  <c r="AW255" i="155"/>
  <c r="AS255" i="154"/>
  <c r="AU271" i="154"/>
  <c r="AF255" i="154"/>
  <c r="AQ271" i="155"/>
  <c r="AO271" i="154"/>
  <c r="BB263" i="153"/>
  <c r="AP263" i="154"/>
  <c r="AP271" i="155"/>
  <c r="BE271" i="153"/>
  <c r="AZ271" i="153"/>
  <c r="AU271" i="155"/>
  <c r="BA464" i="153"/>
  <c r="AX271" i="153"/>
  <c r="AQ263" i="154"/>
  <c r="AO255" i="155"/>
  <c r="AW255" i="154"/>
  <c r="AX255" i="155"/>
  <c r="AS255" i="155"/>
  <c r="AY263" i="153"/>
  <c r="AV263" i="155"/>
  <c r="AY263" i="154"/>
  <c r="AR263" i="155"/>
  <c r="AV255" i="154"/>
  <c r="BF255" i="153"/>
  <c r="BD263" i="153"/>
  <c r="BG255" i="153"/>
  <c r="AX263" i="154"/>
  <c r="AJ561" i="99"/>
  <c r="AJ567" i="99" s="1"/>
  <c r="AV127" i="105"/>
  <c r="BD206" i="155"/>
  <c r="BD239" i="155" s="1"/>
  <c r="BD247" i="155" s="1"/>
  <c r="BP329" i="154"/>
  <c r="BP339" i="154" s="1"/>
  <c r="BA214" i="154"/>
  <c r="BA283" i="154" s="1"/>
  <c r="BA291" i="154" s="1"/>
  <c r="BA299" i="154" s="1"/>
  <c r="BO329" i="154"/>
  <c r="BO339" i="154" s="1"/>
  <c r="BT329" i="154"/>
  <c r="BT339" i="154" s="1"/>
  <c r="BI206" i="154"/>
  <c r="BI239" i="154" s="1"/>
  <c r="BI247" i="154" s="1"/>
  <c r="BK206" i="154"/>
  <c r="BK239" i="154" s="1"/>
  <c r="BK247" i="154" s="1"/>
  <c r="BG206" i="155"/>
  <c r="BG239" i="155" s="1"/>
  <c r="BG247" i="155" s="1"/>
  <c r="BU198" i="155"/>
  <c r="BU214" i="155" s="1"/>
  <c r="BU283" i="155" s="1"/>
  <c r="BP329" i="155"/>
  <c r="BP339" i="155" s="1"/>
  <c r="BQ198" i="155"/>
  <c r="BQ214" i="155" s="1"/>
  <c r="BQ283" i="155" s="1"/>
  <c r="BW329" i="155"/>
  <c r="BW339" i="155" s="1"/>
  <c r="BS329" i="154"/>
  <c r="BS339" i="154" s="1"/>
  <c r="BH206" i="155"/>
  <c r="BH239" i="155" s="1"/>
  <c r="BH247" i="155" s="1"/>
  <c r="BM198" i="155"/>
  <c r="BM206" i="155" s="1"/>
  <c r="BM239" i="155" s="1"/>
  <c r="BV198" i="154"/>
  <c r="BV206" i="154" s="1"/>
  <c r="BV239" i="154" s="1"/>
  <c r="BN198" i="155"/>
  <c r="BN214" i="155" s="1"/>
  <c r="BN283" i="155" s="1"/>
  <c r="BS198" i="155"/>
  <c r="BS206" i="155" s="1"/>
  <c r="BS239" i="155" s="1"/>
  <c r="BV198" i="155"/>
  <c r="BV214" i="155" s="1"/>
  <c r="BV283" i="155" s="1"/>
  <c r="AF271" i="154"/>
  <c r="BO329" i="155"/>
  <c r="BO339" i="155" s="1"/>
  <c r="AG239" i="154"/>
  <c r="AG211" i="154"/>
  <c r="AG283" i="154"/>
  <c r="AG219" i="154"/>
  <c r="AF263" i="154"/>
  <c r="AF464" i="154"/>
  <c r="AO129" i="99"/>
  <c r="AG239" i="155"/>
  <c r="AG283" i="155"/>
  <c r="AD283" i="155"/>
  <c r="AF307" i="154"/>
  <c r="AD239" i="155"/>
  <c r="AF299" i="154"/>
  <c r="AC283" i="154"/>
  <c r="AC219" i="154"/>
  <c r="AC239" i="154"/>
  <c r="AC211" i="154"/>
  <c r="AE283" i="154"/>
  <c r="AE219" i="154"/>
  <c r="AE211" i="154"/>
  <c r="AE239" i="154"/>
  <c r="AE239" i="155"/>
  <c r="AE283" i="155"/>
  <c r="AC283" i="155"/>
  <c r="AC239" i="155"/>
  <c r="AF239" i="155"/>
  <c r="AD239" i="154"/>
  <c r="AD211" i="154"/>
  <c r="AF283" i="155"/>
  <c r="AD283" i="154"/>
  <c r="AD219" i="154"/>
  <c r="BU329" i="154"/>
  <c r="BU339" i="154" s="1"/>
  <c r="BW198" i="154"/>
  <c r="BW214" i="154" s="1"/>
  <c r="BW283" i="154" s="1"/>
  <c r="AX299" i="155"/>
  <c r="AO129" i="104"/>
  <c r="AO64" i="104" s="1"/>
  <c r="AT64" i="105" s="1"/>
  <c r="AO30" i="151" s="1"/>
  <c r="AO307" i="154"/>
  <c r="AO255" i="154"/>
  <c r="AS315" i="155"/>
  <c r="AS263" i="155"/>
  <c r="AR299" i="154"/>
  <c r="AY271" i="154"/>
  <c r="AP315" i="154"/>
  <c r="AW263" i="154"/>
  <c r="AU255" i="155"/>
  <c r="AU307" i="155"/>
  <c r="AW271" i="155"/>
  <c r="AR299" i="155"/>
  <c r="AS299" i="154"/>
  <c r="AO315" i="154"/>
  <c r="AX271" i="155"/>
  <c r="AV271" i="154"/>
  <c r="AK283" i="154"/>
  <c r="AK219" i="154"/>
  <c r="AY315" i="155"/>
  <c r="AH239" i="155"/>
  <c r="AK239" i="154"/>
  <c r="AK211" i="154"/>
  <c r="AY299" i="155"/>
  <c r="AM283" i="154"/>
  <c r="AU299" i="155"/>
  <c r="AW315" i="154"/>
  <c r="AH283" i="155"/>
  <c r="AM239" i="154"/>
  <c r="AQ315" i="155"/>
  <c r="AQ299" i="154"/>
  <c r="AX255" i="154"/>
  <c r="AW299" i="154"/>
  <c r="AM283" i="155"/>
  <c r="AI239" i="154"/>
  <c r="AI211" i="154"/>
  <c r="AQ299" i="155"/>
  <c r="AQ315" i="154"/>
  <c r="AM239" i="155"/>
  <c r="AH283" i="154"/>
  <c r="AH219" i="154"/>
  <c r="AI283" i="154"/>
  <c r="AI219" i="154"/>
  <c r="AH239" i="154"/>
  <c r="AH211" i="154"/>
  <c r="AU315" i="154"/>
  <c r="AL283" i="154"/>
  <c r="AL239" i="154"/>
  <c r="AK239" i="155"/>
  <c r="AR307" i="154"/>
  <c r="AK283" i="155"/>
  <c r="AQ255" i="155"/>
  <c r="AS299" i="155"/>
  <c r="AR255" i="155"/>
  <c r="AX315" i="155"/>
  <c r="AO299" i="155"/>
  <c r="AJ239" i="155"/>
  <c r="AQ255" i="154"/>
  <c r="AJ283" i="155"/>
  <c r="AP299" i="155"/>
  <c r="AL283" i="155"/>
  <c r="AI283" i="155"/>
  <c r="AV307" i="155"/>
  <c r="AP315" i="155"/>
  <c r="AR315" i="155"/>
  <c r="AL239" i="155"/>
  <c r="AJ283" i="154"/>
  <c r="AJ219" i="154"/>
  <c r="AI239" i="155"/>
  <c r="AV307" i="154"/>
  <c r="AJ239" i="154"/>
  <c r="AJ211" i="154"/>
  <c r="AR255" i="154"/>
  <c r="AR464" i="154"/>
  <c r="BK291" i="155"/>
  <c r="BK315" i="155" s="1"/>
  <c r="AZ247" i="155"/>
  <c r="BA247" i="155"/>
  <c r="AY255" i="155"/>
  <c r="AY464" i="155"/>
  <c r="BA291" i="155"/>
  <c r="BA315" i="155" s="1"/>
  <c r="BC247" i="154"/>
  <c r="AO315" i="155"/>
  <c r="AU263" i="154"/>
  <c r="BC291" i="154"/>
  <c r="BC299" i="154" s="1"/>
  <c r="BD247" i="154"/>
  <c r="AX307" i="154"/>
  <c r="BD291" i="154"/>
  <c r="BD315" i="154" s="1"/>
  <c r="AY315" i="154"/>
  <c r="AX315" i="154"/>
  <c r="AU255" i="154"/>
  <c r="AU464" i="154"/>
  <c r="BE247" i="154"/>
  <c r="AY307" i="154"/>
  <c r="BE291" i="154"/>
  <c r="BE307" i="154" s="1"/>
  <c r="BW206" i="155"/>
  <c r="BW239" i="155" s="1"/>
  <c r="BW214" i="155"/>
  <c r="BW283" i="155" s="1"/>
  <c r="AT247" i="155"/>
  <c r="BK291" i="154"/>
  <c r="BK299" i="154" s="1"/>
  <c r="BT206" i="155"/>
  <c r="BT239" i="155" s="1"/>
  <c r="BT214" i="155"/>
  <c r="BT283" i="155" s="1"/>
  <c r="AV255" i="155"/>
  <c r="AO263" i="154"/>
  <c r="AO464" i="154"/>
  <c r="BG291" i="154"/>
  <c r="BG315" i="154" s="1"/>
  <c r="AO271" i="155"/>
  <c r="BX329" i="154"/>
  <c r="BX339" i="154" s="1"/>
  <c r="BX198" i="154"/>
  <c r="BH291" i="155"/>
  <c r="BH307" i="155" s="1"/>
  <c r="BX198" i="155"/>
  <c r="BX329" i="155"/>
  <c r="BX339" i="155" s="1"/>
  <c r="AT291" i="155"/>
  <c r="AT315" i="155" s="1"/>
  <c r="BI247" i="155"/>
  <c r="AV299" i="155"/>
  <c r="AU263" i="155"/>
  <c r="AU464" i="155"/>
  <c r="BG247" i="154"/>
  <c r="BY198" i="154"/>
  <c r="BY329" i="154"/>
  <c r="BY339" i="154" s="1"/>
  <c r="BY198" i="155"/>
  <c r="BY329" i="155"/>
  <c r="BY339" i="155" s="1"/>
  <c r="BI291" i="155"/>
  <c r="BI299" i="155" s="1"/>
  <c r="AV271" i="155"/>
  <c r="AV464" i="155"/>
  <c r="BJ247" i="155"/>
  <c r="AO263" i="155"/>
  <c r="AO464" i="155"/>
  <c r="BB247" i="154"/>
  <c r="BR329" i="154"/>
  <c r="BR339" i="154" s="1"/>
  <c r="BR198" i="154"/>
  <c r="BJ247" i="154"/>
  <c r="BB291" i="155"/>
  <c r="BB315" i="155" s="1"/>
  <c r="BR198" i="155"/>
  <c r="BR329" i="155"/>
  <c r="BR339" i="155" s="1"/>
  <c r="AP255" i="154"/>
  <c r="AP263" i="155"/>
  <c r="BJ291" i="155"/>
  <c r="BJ299" i="155" s="1"/>
  <c r="BB291" i="154"/>
  <c r="BB299" i="154" s="1"/>
  <c r="BA247" i="154"/>
  <c r="AN239" i="154"/>
  <c r="BJ291" i="154"/>
  <c r="BJ299" i="154" s="1"/>
  <c r="BB247" i="155"/>
  <c r="BH291" i="154"/>
  <c r="BH307" i="154" s="1"/>
  <c r="AX263" i="155"/>
  <c r="AX464" i="155"/>
  <c r="AY255" i="154"/>
  <c r="AY464" i="154"/>
  <c r="AS271" i="155"/>
  <c r="AS464" i="155"/>
  <c r="BL206" i="154"/>
  <c r="BL239" i="154" s="1"/>
  <c r="BL214" i="154"/>
  <c r="BL283" i="154" s="1"/>
  <c r="AW271" i="154"/>
  <c r="AW464" i="154"/>
  <c r="AN283" i="154"/>
  <c r="BH247" i="154"/>
  <c r="BL214" i="155"/>
  <c r="BL283" i="155" s="1"/>
  <c r="BL206" i="155"/>
  <c r="BL239" i="155" s="1"/>
  <c r="BO214" i="155"/>
  <c r="BO283" i="155" s="1"/>
  <c r="BO206" i="155"/>
  <c r="BO239" i="155" s="1"/>
  <c r="AP271" i="154"/>
  <c r="AP464" i="154"/>
  <c r="AP255" i="155"/>
  <c r="AP464" i="155"/>
  <c r="AT247" i="154"/>
  <c r="BQ214" i="154"/>
  <c r="BQ283" i="154" s="1"/>
  <c r="BQ206" i="154"/>
  <c r="BQ239" i="154" s="1"/>
  <c r="AZ247" i="154"/>
  <c r="BN206" i="154"/>
  <c r="BN239" i="154" s="1"/>
  <c r="BN214" i="154"/>
  <c r="BN283" i="154" s="1"/>
  <c r="AT291" i="154"/>
  <c r="AZ291" i="154"/>
  <c r="AZ315" i="154" s="1"/>
  <c r="BU214" i="154"/>
  <c r="BU283" i="154" s="1"/>
  <c r="BU206" i="154"/>
  <c r="BU239" i="154" s="1"/>
  <c r="AW315" i="155"/>
  <c r="AW263" i="155"/>
  <c r="AW464" i="155"/>
  <c r="AQ271" i="154"/>
  <c r="AQ464" i="154"/>
  <c r="AU307" i="154"/>
  <c r="BE247" i="155"/>
  <c r="AW299" i="155"/>
  <c r="BF214" i="154"/>
  <c r="BF283" i="154" s="1"/>
  <c r="BF206" i="154"/>
  <c r="BF239" i="154" s="1"/>
  <c r="AS263" i="154"/>
  <c r="BM214" i="154"/>
  <c r="BM283" i="154" s="1"/>
  <c r="BM206" i="154"/>
  <c r="BM239" i="154" s="1"/>
  <c r="BE291" i="155"/>
  <c r="BE307" i="155" s="1"/>
  <c r="AS315" i="154"/>
  <c r="BF214" i="155"/>
  <c r="BF283" i="155" s="1"/>
  <c r="BF206" i="155"/>
  <c r="BF239" i="155" s="1"/>
  <c r="BP206" i="154"/>
  <c r="BP239" i="154" s="1"/>
  <c r="BP214" i="154"/>
  <c r="BP283" i="154" s="1"/>
  <c r="AS271" i="154"/>
  <c r="AS464" i="154"/>
  <c r="BC291" i="155"/>
  <c r="BC315" i="155" s="1"/>
  <c r="AN283" i="155"/>
  <c r="BI291" i="154"/>
  <c r="BI307" i="154" s="1"/>
  <c r="AR271" i="155"/>
  <c r="AR464" i="155"/>
  <c r="BT206" i="154"/>
  <c r="BT239" i="154" s="1"/>
  <c r="BT214" i="154"/>
  <c r="BT283" i="154" s="1"/>
  <c r="BO206" i="154"/>
  <c r="BO239" i="154" s="1"/>
  <c r="BO214" i="154"/>
  <c r="BO283" i="154" s="1"/>
  <c r="BC247" i="155"/>
  <c r="AN239" i="155"/>
  <c r="BP214" i="155"/>
  <c r="BP283" i="155" s="1"/>
  <c r="BP206" i="155"/>
  <c r="BP239" i="155" s="1"/>
  <c r="AV315" i="154"/>
  <c r="BS206" i="154"/>
  <c r="BS239" i="154" s="1"/>
  <c r="BS214" i="154"/>
  <c r="BS283" i="154" s="1"/>
  <c r="BG291" i="155"/>
  <c r="BG299" i="155" s="1"/>
  <c r="AR263" i="154"/>
  <c r="AQ263" i="155"/>
  <c r="AQ464" i="155"/>
  <c r="AV263" i="154"/>
  <c r="AV464" i="154"/>
  <c r="AX271" i="154"/>
  <c r="AX464" i="154"/>
  <c r="BD291" i="155"/>
  <c r="BD299" i="155" s="1"/>
  <c r="AY263" i="155"/>
  <c r="AR271" i="154"/>
  <c r="AP299" i="154"/>
  <c r="BK247" i="155"/>
  <c r="AZ291" i="155"/>
  <c r="AZ299" i="155" s="1"/>
  <c r="AY271" i="155"/>
  <c r="AW299" i="153"/>
  <c r="AW307" i="153"/>
  <c r="AP129" i="103"/>
  <c r="AP129" i="104"/>
  <c r="AP64" i="104" s="1"/>
  <c r="AU64" i="105" s="1"/>
  <c r="AP30" i="151" s="1"/>
  <c r="BI206" i="153"/>
  <c r="BI239" i="153" s="1"/>
  <c r="BI247" i="153" s="1"/>
  <c r="BC263" i="153"/>
  <c r="BC464" i="153"/>
  <c r="BH206" i="153"/>
  <c r="BH239" i="153" s="1"/>
  <c r="BH247" i="153" s="1"/>
  <c r="BC255" i="153"/>
  <c r="BI307" i="153"/>
  <c r="BF271" i="153"/>
  <c r="BG271" i="153"/>
  <c r="BA315" i="153"/>
  <c r="BD255" i="153"/>
  <c r="BE299" i="153"/>
  <c r="BD315" i="153"/>
  <c r="AX307" i="153"/>
  <c r="AY299" i="153"/>
  <c r="BC315" i="153"/>
  <c r="AZ255" i="153"/>
  <c r="BH299" i="153"/>
  <c r="BF464" i="153"/>
  <c r="BI315" i="153"/>
  <c r="BD307" i="153"/>
  <c r="AZ307" i="153"/>
  <c r="AZ464" i="153"/>
  <c r="BA255" i="153"/>
  <c r="AX263" i="153"/>
  <c r="BD464" i="153"/>
  <c r="BB315" i="153"/>
  <c r="AZ299" i="153"/>
  <c r="BA307" i="153"/>
  <c r="AX299" i="153"/>
  <c r="BB299" i="153"/>
  <c r="BC299" i="153"/>
  <c r="AX255" i="153"/>
  <c r="BR206" i="153"/>
  <c r="BR239" i="153" s="1"/>
  <c r="BR247" i="153" s="1"/>
  <c r="BR214" i="153"/>
  <c r="BR283" i="153" s="1"/>
  <c r="BR291" i="153" s="1"/>
  <c r="BR307" i="153" s="1"/>
  <c r="BM206" i="153"/>
  <c r="BM239" i="153" s="1"/>
  <c r="BM247" i="153" s="1"/>
  <c r="BM214" i="153"/>
  <c r="BM283" i="153" s="1"/>
  <c r="BM291" i="153" s="1"/>
  <c r="BM299" i="153" s="1"/>
  <c r="BP214" i="153"/>
  <c r="BP283" i="153" s="1"/>
  <c r="BP291" i="153" s="1"/>
  <c r="BP315" i="153" s="1"/>
  <c r="BP206" i="153"/>
  <c r="BP239" i="153" s="1"/>
  <c r="BP247" i="153" s="1"/>
  <c r="BS214" i="153"/>
  <c r="BS283" i="153" s="1"/>
  <c r="BS291" i="153" s="1"/>
  <c r="BS315" i="153" s="1"/>
  <c r="BS206" i="153"/>
  <c r="BS239" i="153" s="1"/>
  <c r="BS247" i="153" s="1"/>
  <c r="BJ214" i="153"/>
  <c r="BJ283" i="153" s="1"/>
  <c r="BJ291" i="153" s="1"/>
  <c r="BJ299" i="153" s="1"/>
  <c r="BJ206" i="153"/>
  <c r="BJ239" i="153" s="1"/>
  <c r="BJ247" i="153" s="1"/>
  <c r="BF307" i="153"/>
  <c r="BF263" i="153"/>
  <c r="BE255" i="153"/>
  <c r="BE464" i="153"/>
  <c r="BQ214" i="153"/>
  <c r="BQ283" i="153" s="1"/>
  <c r="BQ291" i="153" s="1"/>
  <c r="BQ315" i="153" s="1"/>
  <c r="BQ206" i="153"/>
  <c r="BQ239" i="153" s="1"/>
  <c r="BQ247" i="153" s="1"/>
  <c r="BE263" i="153"/>
  <c r="BK214" i="153"/>
  <c r="BK283" i="153" s="1"/>
  <c r="BK291" i="153" s="1"/>
  <c r="BK315" i="153" s="1"/>
  <c r="BK206" i="153"/>
  <c r="BK239" i="153" s="1"/>
  <c r="BK247" i="153" s="1"/>
  <c r="BH307" i="153"/>
  <c r="BB464" i="153"/>
  <c r="BT206" i="153"/>
  <c r="BT239" i="153" s="1"/>
  <c r="BT247" i="153" s="1"/>
  <c r="BT214" i="153"/>
  <c r="BT283" i="153" s="1"/>
  <c r="BT291" i="153" s="1"/>
  <c r="BT299" i="153" s="1"/>
  <c r="BL214" i="153"/>
  <c r="BL283" i="153" s="1"/>
  <c r="BL291" i="153" s="1"/>
  <c r="BL299" i="153" s="1"/>
  <c r="BL206" i="153"/>
  <c r="BL239" i="153" s="1"/>
  <c r="BL247" i="153" s="1"/>
  <c r="BG464" i="153"/>
  <c r="BB255" i="153"/>
  <c r="BF299" i="153"/>
  <c r="BB271" i="153"/>
  <c r="BG263" i="153"/>
  <c r="AY464" i="153"/>
  <c r="AY255" i="153"/>
  <c r="AY271" i="153"/>
  <c r="BE307" i="153"/>
  <c r="BO206" i="153"/>
  <c r="BO239" i="153" s="1"/>
  <c r="BO247" i="153" s="1"/>
  <c r="BO214" i="153"/>
  <c r="BO283" i="153" s="1"/>
  <c r="BO291" i="153" s="1"/>
  <c r="BO299" i="153" s="1"/>
  <c r="AZ263" i="153"/>
  <c r="BA271" i="153"/>
  <c r="BU206" i="153"/>
  <c r="BU239" i="153" s="1"/>
  <c r="BU247" i="153" s="1"/>
  <c r="BU214" i="153"/>
  <c r="BU283" i="153" s="1"/>
  <c r="BU291" i="153" s="1"/>
  <c r="BU299" i="153" s="1"/>
  <c r="AX464" i="153"/>
  <c r="BD271" i="153"/>
  <c r="AY307" i="153"/>
  <c r="BA263" i="153"/>
  <c r="BN214" i="153"/>
  <c r="BN283" i="153" s="1"/>
  <c r="BN291" i="153" s="1"/>
  <c r="BN315" i="153" s="1"/>
  <c r="BN206" i="153"/>
  <c r="BN239" i="153" s="1"/>
  <c r="BN247" i="153" s="1"/>
  <c r="AP549" i="99"/>
  <c r="AP613" i="99" s="1"/>
  <c r="AO576" i="99"/>
  <c r="BY291" i="153"/>
  <c r="BY307" i="153" s="1"/>
  <c r="AP535" i="99"/>
  <c r="AP599" i="99" s="1"/>
  <c r="BY247" i="153"/>
  <c r="BV291" i="153"/>
  <c r="BV299" i="153" s="1"/>
  <c r="BV247" i="153"/>
  <c r="BX291" i="153"/>
  <c r="BX315" i="153" s="1"/>
  <c r="BW247" i="153"/>
  <c r="AP228" i="99"/>
  <c r="AP512" i="99"/>
  <c r="AP515" i="99" s="1"/>
  <c r="AS3" i="69"/>
  <c r="AS4" i="69" s="1"/>
  <c r="AR2" i="69" a="1"/>
  <c r="AR2" i="69" s="1"/>
  <c r="AR11" i="69"/>
  <c r="AR14" i="69"/>
  <c r="AR7" i="69"/>
  <c r="AR16" i="69"/>
  <c r="AR15" i="69"/>
  <c r="AR8" i="69"/>
  <c r="AR13" i="69"/>
  <c r="AR9" i="69"/>
  <c r="AR12" i="69"/>
  <c r="AR10" i="69"/>
  <c r="AP234" i="99"/>
  <c r="AQ548" i="99"/>
  <c r="AQ612" i="99" s="1"/>
  <c r="AQ539" i="99"/>
  <c r="AQ603" i="99" s="1"/>
  <c r="AQ541" i="99"/>
  <c r="AQ605" i="99" s="1"/>
  <c r="AQ534" i="99"/>
  <c r="AQ598" i="99" s="1"/>
  <c r="AQ538" i="99"/>
  <c r="AQ547" i="99"/>
  <c r="AQ611" i="99" s="1"/>
  <c r="AQ540" i="99"/>
  <c r="AQ604" i="99" s="1"/>
  <c r="AQ523" i="99"/>
  <c r="AQ587" i="99" s="1"/>
  <c r="AQ521" i="99"/>
  <c r="AQ507" i="99"/>
  <c r="AQ522" i="99"/>
  <c r="AQ586" i="99" s="1"/>
  <c r="AQ509" i="99"/>
  <c r="AQ573" i="99" s="1"/>
  <c r="AQ525" i="99"/>
  <c r="AQ589" i="99" s="1"/>
  <c r="AQ516" i="99"/>
  <c r="AQ580" i="99" s="1"/>
  <c r="AQ514" i="99"/>
  <c r="AQ578" i="99" s="1"/>
  <c r="AQ558" i="99"/>
  <c r="AQ622" i="99" s="1"/>
  <c r="AQ513" i="99"/>
  <c r="AQ577" i="99" s="1"/>
  <c r="AQ533" i="99"/>
  <c r="AQ597" i="99" s="1"/>
  <c r="AS3" i="99"/>
  <c r="AS4" i="99" s="1"/>
  <c r="AR2" i="99" a="1"/>
  <c r="AR2" i="99" s="1"/>
  <c r="AR554" i="99" s="1"/>
  <c r="AR474" i="99"/>
  <c r="AR475" i="99"/>
  <c r="AR499" i="99"/>
  <c r="AR483" i="99" s="1"/>
  <c r="AR491" i="99" s="1"/>
  <c r="AR498" i="99"/>
  <c r="AR482" i="99" s="1"/>
  <c r="AR490" i="99" s="1"/>
  <c r="AR476" i="99"/>
  <c r="AR477" i="99"/>
  <c r="AR500" i="99"/>
  <c r="AR484" i="99" s="1"/>
  <c r="AR492" i="99" s="1"/>
  <c r="AR501" i="99"/>
  <c r="AR485" i="99" s="1"/>
  <c r="AR493" i="99" s="1"/>
  <c r="AR478" i="99"/>
  <c r="AR479" i="99"/>
  <c r="AR502" i="99"/>
  <c r="AR486" i="99" s="1"/>
  <c r="AR494" i="99" s="1"/>
  <c r="AR503" i="99"/>
  <c r="AR487" i="99" s="1"/>
  <c r="AR495" i="99" s="1"/>
  <c r="AM582" i="99"/>
  <c r="AM223" i="99"/>
  <c r="AH562" i="99"/>
  <c r="AH625" i="99"/>
  <c r="AH626" i="99" s="1"/>
  <c r="AH631" i="99"/>
  <c r="AO526" i="99"/>
  <c r="AO588" i="99"/>
  <c r="AM530" i="99"/>
  <c r="AM593" i="99"/>
  <c r="AM594" i="99" s="1"/>
  <c r="AM544" i="99"/>
  <c r="AN590" i="99"/>
  <c r="AV527" i="99"/>
  <c r="AM591" i="99"/>
  <c r="AM224" i="99"/>
  <c r="AI625" i="99"/>
  <c r="AI626" i="99" s="1"/>
  <c r="AI562" i="99"/>
  <c r="AI631" i="99"/>
  <c r="AP230" i="99"/>
  <c r="AP229" i="99"/>
  <c r="AP232" i="99"/>
  <c r="AP585" i="99"/>
  <c r="AP524" i="99"/>
  <c r="AJ619" i="99"/>
  <c r="AJ620" i="99" s="1"/>
  <c r="AJ556" i="99"/>
  <c r="AP233" i="99"/>
  <c r="AJ616" i="99"/>
  <c r="AO579" i="99"/>
  <c r="AO517" i="99"/>
  <c r="AK608" i="99"/>
  <c r="AK551" i="99"/>
  <c r="AK555" i="99" s="1"/>
  <c r="AN579" i="99"/>
  <c r="AN517" i="99"/>
  <c r="AP542" i="99"/>
  <c r="AP606" i="99" s="1"/>
  <c r="AP602" i="99"/>
  <c r="AL608" i="99"/>
  <c r="AL551" i="99"/>
  <c r="AL555" i="99" s="1"/>
  <c r="AS37" i="72"/>
  <c r="AT5" i="72"/>
  <c r="AT6" i="72" s="1"/>
  <c r="AS36" i="72"/>
  <c r="AS38" i="72" s="1"/>
  <c r="AS39" i="72" s="1"/>
  <c r="AS47" i="72"/>
  <c r="AS48" i="72"/>
  <c r="BI8" i="98"/>
  <c r="AS6" i="98"/>
  <c r="AR70" i="103"/>
  <c r="AW70" i="105" s="1"/>
  <c r="AR35" i="151" s="1"/>
  <c r="AP129" i="99"/>
  <c r="AP618" i="99"/>
  <c r="AT4" i="72" l="1" a="1"/>
  <c r="AT4" i="72" s="1"/>
  <c r="T72" i="154"/>
  <c r="T136" i="154"/>
  <c r="T137" i="154" s="1"/>
  <c r="AC110" i="154"/>
  <c r="J45" i="154"/>
  <c r="J110" i="154" s="1"/>
  <c r="S72" i="154"/>
  <c r="S136" i="154"/>
  <c r="S137" i="154" s="1"/>
  <c r="U72" i="155"/>
  <c r="U136" i="155"/>
  <c r="U137" i="155" s="1"/>
  <c r="AD110" i="154"/>
  <c r="T72" i="155"/>
  <c r="T136" i="155"/>
  <c r="T137" i="155" s="1"/>
  <c r="AV413" i="153"/>
  <c r="AV452" i="153" s="1" a="1"/>
  <c r="AV452" i="153" s="1"/>
  <c r="AU122" i="105"/>
  <c r="AT122" i="105"/>
  <c r="BG307" i="153"/>
  <c r="BG299" i="153"/>
  <c r="AY413" i="154"/>
  <c r="AY452" i="154" s="1" a="1"/>
  <c r="AY452" i="154" s="1"/>
  <c r="AU413" i="155"/>
  <c r="AU452" i="155" s="1" a="1"/>
  <c r="AU452" i="155" s="1"/>
  <c r="AS413" i="154"/>
  <c r="AS452" i="154" s="1" a="1"/>
  <c r="AS452" i="154" s="1"/>
  <c r="AY413" i="153"/>
  <c r="AY452" i="153" s="1" a="1"/>
  <c r="AY452" i="153" s="1"/>
  <c r="AX413" i="155"/>
  <c r="AX452" i="155" s="1" a="1"/>
  <c r="AX452" i="155" s="1"/>
  <c r="AX413" i="153"/>
  <c r="AX452" i="153" s="1" a="1"/>
  <c r="AX452" i="153" s="1"/>
  <c r="AZ413" i="153"/>
  <c r="AZ452" i="153" s="1" a="1"/>
  <c r="AZ452" i="153" s="1"/>
  <c r="AQ413" i="155"/>
  <c r="AQ452" i="155" s="1" a="1"/>
  <c r="AQ452" i="155" s="1"/>
  <c r="AV413" i="154"/>
  <c r="AV452" i="154" s="1" a="1"/>
  <c r="AV452" i="154" s="1"/>
  <c r="BF413" i="153"/>
  <c r="BF452" i="153" s="1" a="1"/>
  <c r="BF452" i="153" s="1"/>
  <c r="BE413" i="153"/>
  <c r="BE452" i="153" s="1" a="1"/>
  <c r="BE452" i="153" s="1"/>
  <c r="BC413" i="153"/>
  <c r="BC452" i="153" s="1" a="1"/>
  <c r="BC452" i="153" s="1"/>
  <c r="AY413" i="155"/>
  <c r="AY452" i="155" s="1" a="1"/>
  <c r="AY452" i="155" s="1"/>
  <c r="AX413" i="154"/>
  <c r="AX452" i="154" s="1" a="1"/>
  <c r="AX452" i="154" s="1"/>
  <c r="AO413" i="155"/>
  <c r="AO452" i="155" s="1" a="1"/>
  <c r="AO452" i="155" s="1"/>
  <c r="AW413" i="154"/>
  <c r="AW452" i="154" s="1" a="1"/>
  <c r="AW452" i="154" s="1"/>
  <c r="BB413" i="153"/>
  <c r="BB452" i="153" s="1" a="1"/>
  <c r="BB452" i="153" s="1"/>
  <c r="AF413" i="154"/>
  <c r="AF452" i="154" s="1" a="1"/>
  <c r="AF452" i="154" s="1"/>
  <c r="BA413" i="153"/>
  <c r="BA452" i="153" s="1" a="1"/>
  <c r="BA452" i="153" s="1"/>
  <c r="AQ413" i="154"/>
  <c r="AQ452" i="154" s="1" a="1"/>
  <c r="AQ452" i="154" s="1"/>
  <c r="AR413" i="155"/>
  <c r="AR452" i="155" s="1" a="1"/>
  <c r="AR452" i="155" s="1"/>
  <c r="BD413" i="153"/>
  <c r="BD452" i="153" s="1" a="1"/>
  <c r="BD452" i="153" s="1"/>
  <c r="AU413" i="154"/>
  <c r="AU452" i="154" s="1" a="1"/>
  <c r="AU452" i="154" s="1"/>
  <c r="AW413" i="153"/>
  <c r="AW452" i="153" s="1" a="1"/>
  <c r="AW452" i="153" s="1"/>
  <c r="AP413" i="155"/>
  <c r="AP452" i="155" s="1" a="1"/>
  <c r="AP452" i="155" s="1"/>
  <c r="AS413" i="155"/>
  <c r="AS452" i="155" s="1" a="1"/>
  <c r="AS452" i="155" s="1"/>
  <c r="AP413" i="154"/>
  <c r="AP452" i="154" s="1" a="1"/>
  <c r="AP452" i="154" s="1"/>
  <c r="AW413" i="155"/>
  <c r="AW452" i="155" s="1" a="1"/>
  <c r="AW452" i="155" s="1"/>
  <c r="AO413" i="154"/>
  <c r="AO452" i="154" s="1" a="1"/>
  <c r="AO452" i="154" s="1"/>
  <c r="AR413" i="154"/>
  <c r="AR452" i="154" s="1" a="1"/>
  <c r="AR452" i="154" s="1"/>
  <c r="AV413" i="155"/>
  <c r="AV452" i="155" s="1" a="1"/>
  <c r="AV452" i="155" s="1"/>
  <c r="BA271" i="154"/>
  <c r="BB263" i="155"/>
  <c r="BI271" i="155"/>
  <c r="BK263" i="155"/>
  <c r="BE271" i="155"/>
  <c r="AT255" i="155"/>
  <c r="BK271" i="154"/>
  <c r="BR255" i="153"/>
  <c r="AZ271" i="154"/>
  <c r="BH271" i="154"/>
  <c r="AZ263" i="155"/>
  <c r="BH271" i="155"/>
  <c r="BK464" i="153"/>
  <c r="BD255" i="155"/>
  <c r="BU263" i="153"/>
  <c r="BQ263" i="153"/>
  <c r="BI255" i="154"/>
  <c r="BD271" i="154"/>
  <c r="BC263" i="154"/>
  <c r="BN464" i="153"/>
  <c r="BI263" i="153"/>
  <c r="BO255" i="153"/>
  <c r="BT271" i="153"/>
  <c r="BW255" i="153"/>
  <c r="BJ263" i="155"/>
  <c r="BV263" i="153"/>
  <c r="BJ263" i="153"/>
  <c r="BB263" i="154"/>
  <c r="BA255" i="155"/>
  <c r="BX263" i="153"/>
  <c r="BG255" i="155"/>
  <c r="BY255" i="153"/>
  <c r="BS271" i="153"/>
  <c r="BE255" i="154"/>
  <c r="BM271" i="153"/>
  <c r="BP271" i="153"/>
  <c r="BH255" i="153"/>
  <c r="BG271" i="154"/>
  <c r="BL255" i="153"/>
  <c r="BC263" i="155"/>
  <c r="AW127" i="105"/>
  <c r="BQ206" i="155"/>
  <c r="BQ239" i="155" s="1"/>
  <c r="BQ247" i="155" s="1"/>
  <c r="BV206" i="155"/>
  <c r="BV239" i="155" s="1"/>
  <c r="BV247" i="155" s="1"/>
  <c r="BS214" i="155"/>
  <c r="BS283" i="155" s="1"/>
  <c r="BS291" i="155" s="1"/>
  <c r="BS299" i="155" s="1"/>
  <c r="BU206" i="155"/>
  <c r="BU239" i="155" s="1"/>
  <c r="BU247" i="155" s="1"/>
  <c r="BV214" i="154"/>
  <c r="BV283" i="154" s="1"/>
  <c r="BV291" i="154" s="1"/>
  <c r="BV299" i="154" s="1"/>
  <c r="BM214" i="155"/>
  <c r="BM283" i="155" s="1"/>
  <c r="BM291" i="155" s="1"/>
  <c r="BM299" i="155" s="1"/>
  <c r="BN206" i="155"/>
  <c r="BN239" i="155" s="1"/>
  <c r="BN247" i="155" s="1"/>
  <c r="BW206" i="154"/>
  <c r="BW239" i="154" s="1"/>
  <c r="BW247" i="154" s="1"/>
  <c r="AC247" i="155"/>
  <c r="AE288" i="154"/>
  <c r="AE291" i="154"/>
  <c r="AE315" i="154" s="1"/>
  <c r="AE320" i="154" s="1"/>
  <c r="AE35" i="154" s="1"/>
  <c r="AE100" i="154" s="1"/>
  <c r="AD247" i="155"/>
  <c r="AD291" i="154"/>
  <c r="AD288" i="154"/>
  <c r="AE244" i="154"/>
  <c r="AE247" i="154"/>
  <c r="AE247" i="155"/>
  <c r="AG291" i="155"/>
  <c r="AG299" i="155" s="1"/>
  <c r="AF247" i="155"/>
  <c r="AC291" i="154"/>
  <c r="AC299" i="154" s="1"/>
  <c r="AC304" i="154" s="1"/>
  <c r="AC32" i="154" s="1"/>
  <c r="AC288" i="154"/>
  <c r="AF291" i="155"/>
  <c r="AF307" i="155" s="1"/>
  <c r="AG247" i="155"/>
  <c r="AE291" i="155"/>
  <c r="AC291" i="155"/>
  <c r="AC307" i="155" s="1"/>
  <c r="AD247" i="154"/>
  <c r="AD244" i="154"/>
  <c r="AD291" i="155"/>
  <c r="AD315" i="155" s="1"/>
  <c r="AG244" i="154"/>
  <c r="AG247" i="154"/>
  <c r="AC247" i="154"/>
  <c r="AC244" i="154"/>
  <c r="AG288" i="154"/>
  <c r="AG291" i="154"/>
  <c r="AG299" i="154" s="1"/>
  <c r="AG304" i="154" s="1"/>
  <c r="AG32" i="154" s="1"/>
  <c r="AG97" i="154" s="1"/>
  <c r="BG271" i="155"/>
  <c r="BG263" i="154"/>
  <c r="BJ315" i="154"/>
  <c r="BJ307" i="154"/>
  <c r="BH299" i="155"/>
  <c r="BG307" i="155"/>
  <c r="BB255" i="155"/>
  <c r="BK263" i="154"/>
  <c r="AZ299" i="154"/>
  <c r="BI263" i="155"/>
  <c r="BE299" i="154"/>
  <c r="AT263" i="155"/>
  <c r="BK255" i="155"/>
  <c r="BC255" i="155"/>
  <c r="BA255" i="154"/>
  <c r="BA307" i="154"/>
  <c r="BI263" i="154"/>
  <c r="BB255" i="154"/>
  <c r="BD263" i="155"/>
  <c r="BK299" i="155"/>
  <c r="BJ315" i="155"/>
  <c r="BA271" i="155"/>
  <c r="BE255" i="155"/>
  <c r="AZ307" i="155"/>
  <c r="AZ315" i="155"/>
  <c r="BG315" i="155"/>
  <c r="AT263" i="154"/>
  <c r="AT255" i="154"/>
  <c r="AT315" i="154"/>
  <c r="AT307" i="154"/>
  <c r="AT299" i="154"/>
  <c r="BJ271" i="154"/>
  <c r="BJ255" i="154"/>
  <c r="BI299" i="154"/>
  <c r="BG299" i="154"/>
  <c r="AK247" i="155"/>
  <c r="BC307" i="155"/>
  <c r="BI307" i="155"/>
  <c r="AI291" i="155"/>
  <c r="AI299" i="155" s="1"/>
  <c r="AM291" i="155"/>
  <c r="AM299" i="155" s="1"/>
  <c r="AI247" i="154"/>
  <c r="AI244" i="154"/>
  <c r="AH291" i="155"/>
  <c r="AH299" i="155" s="1"/>
  <c r="AK291" i="154"/>
  <c r="AK315" i="154" s="1"/>
  <c r="AK320" i="154" s="1"/>
  <c r="AK35" i="154" s="1"/>
  <c r="AK100" i="154" s="1"/>
  <c r="AK288" i="154"/>
  <c r="AL291" i="155"/>
  <c r="AL307" i="155" s="1"/>
  <c r="AI291" i="154"/>
  <c r="AI299" i="154" s="1"/>
  <c r="AI304" i="154" s="1"/>
  <c r="AI32" i="154" s="1"/>
  <c r="AI97" i="154" s="1"/>
  <c r="AI288" i="154"/>
  <c r="AM291" i="154"/>
  <c r="AM315" i="154" s="1"/>
  <c r="BD299" i="154"/>
  <c r="AL247" i="155"/>
  <c r="AK291" i="155"/>
  <c r="AK307" i="155" s="1"/>
  <c r="AL291" i="154"/>
  <c r="AL307" i="154" s="1"/>
  <c r="AK247" i="154"/>
  <c r="AK244" i="154"/>
  <c r="BA315" i="154"/>
  <c r="AI247" i="155"/>
  <c r="AJ247" i="155"/>
  <c r="AM247" i="154"/>
  <c r="AT299" i="155"/>
  <c r="AL247" i="154"/>
  <c r="AH247" i="155"/>
  <c r="AJ247" i="154"/>
  <c r="AJ244" i="154"/>
  <c r="AJ291" i="154"/>
  <c r="AJ288" i="154"/>
  <c r="AH288" i="154"/>
  <c r="AH291" i="154"/>
  <c r="AH296" i="154" s="1"/>
  <c r="AH31" i="154" s="1"/>
  <c r="AH247" i="154"/>
  <c r="AH244" i="154"/>
  <c r="BK307" i="155"/>
  <c r="AJ291" i="155"/>
  <c r="AJ315" i="155" s="1"/>
  <c r="AM247" i="155"/>
  <c r="BA307" i="155"/>
  <c r="BD307" i="155"/>
  <c r="BO291" i="154"/>
  <c r="BO299" i="154" s="1"/>
  <c r="BH263" i="154"/>
  <c r="BA263" i="154"/>
  <c r="BA464" i="154"/>
  <c r="BG255" i="154"/>
  <c r="BG464" i="154"/>
  <c r="BW291" i="155"/>
  <c r="BW307" i="155" s="1"/>
  <c r="BD315" i="155"/>
  <c r="BO247" i="154"/>
  <c r="BQ247" i="154"/>
  <c r="BT291" i="155"/>
  <c r="BT299" i="155" s="1"/>
  <c r="BW247" i="155"/>
  <c r="AN247" i="155"/>
  <c r="BI271" i="154"/>
  <c r="BI464" i="154"/>
  <c r="BQ291" i="154"/>
  <c r="BQ307" i="154" s="1"/>
  <c r="BO247" i="155"/>
  <c r="BH255" i="154"/>
  <c r="BH464" i="154"/>
  <c r="BV291" i="155"/>
  <c r="BV307" i="155" s="1"/>
  <c r="BX214" i="155"/>
  <c r="BX283" i="155" s="1"/>
  <c r="BX206" i="155"/>
  <c r="BX239" i="155" s="1"/>
  <c r="BT247" i="155"/>
  <c r="BE315" i="154"/>
  <c r="BE263" i="154"/>
  <c r="BO291" i="155"/>
  <c r="BO315" i="155" s="1"/>
  <c r="AN247" i="154"/>
  <c r="BI255" i="155"/>
  <c r="BI464" i="155"/>
  <c r="BV247" i="154"/>
  <c r="BE271" i="154"/>
  <c r="BE464" i="154"/>
  <c r="BS247" i="155"/>
  <c r="BG263" i="155"/>
  <c r="BG464" i="155"/>
  <c r="BR214" i="154"/>
  <c r="BR283" i="154" s="1"/>
  <c r="BR206" i="154"/>
  <c r="BR239" i="154" s="1"/>
  <c r="BD271" i="155"/>
  <c r="BD464" i="155"/>
  <c r="AN291" i="155"/>
  <c r="AN307" i="155" s="1"/>
  <c r="BF247" i="154"/>
  <c r="BN291" i="154"/>
  <c r="BN307" i="154" s="1"/>
  <c r="AT271" i="154"/>
  <c r="AT464" i="154"/>
  <c r="BL291" i="154"/>
  <c r="BL299" i="154" s="1"/>
  <c r="BB307" i="154"/>
  <c r="BR206" i="155"/>
  <c r="BR239" i="155" s="1"/>
  <c r="BR214" i="155"/>
  <c r="BR283" i="155" s="1"/>
  <c r="BJ255" i="155"/>
  <c r="AT307" i="155"/>
  <c r="BD255" i="154"/>
  <c r="BC307" i="154"/>
  <c r="BE315" i="155"/>
  <c r="BF291" i="154"/>
  <c r="BF299" i="154" s="1"/>
  <c r="BM247" i="155"/>
  <c r="BN247" i="154"/>
  <c r="BL247" i="154"/>
  <c r="BB315" i="154"/>
  <c r="BB299" i="155"/>
  <c r="BK315" i="154"/>
  <c r="AT271" i="155"/>
  <c r="AT464" i="155"/>
  <c r="BH263" i="155"/>
  <c r="BC315" i="154"/>
  <c r="BE299" i="155"/>
  <c r="BB307" i="155"/>
  <c r="BJ271" i="155"/>
  <c r="BJ464" i="155"/>
  <c r="BH315" i="155"/>
  <c r="BK307" i="154"/>
  <c r="BD263" i="154"/>
  <c r="BD464" i="154"/>
  <c r="BH315" i="154"/>
  <c r="BH255" i="155"/>
  <c r="BH464" i="155"/>
  <c r="BS291" i="154"/>
  <c r="AZ263" i="154"/>
  <c r="BH299" i="154"/>
  <c r="BG307" i="154"/>
  <c r="BS247" i="154"/>
  <c r="BT291" i="154"/>
  <c r="BT299" i="154" s="1"/>
  <c r="BP291" i="154"/>
  <c r="BP307" i="154" s="1"/>
  <c r="AZ255" i="154"/>
  <c r="AZ464" i="154"/>
  <c r="BX206" i="154"/>
  <c r="BX239" i="154" s="1"/>
  <c r="BX214" i="154"/>
  <c r="BX283" i="154" s="1"/>
  <c r="BK271" i="155"/>
  <c r="BK464" i="155"/>
  <c r="BT247" i="154"/>
  <c r="BI315" i="154"/>
  <c r="BC299" i="155"/>
  <c r="BP247" i="154"/>
  <c r="AZ307" i="154"/>
  <c r="AN291" i="154"/>
  <c r="AN307" i="154" s="1"/>
  <c r="BJ307" i="155"/>
  <c r="BK255" i="154"/>
  <c r="BK464" i="154"/>
  <c r="BC271" i="155"/>
  <c r="BC464" i="155"/>
  <c r="BE263" i="155"/>
  <c r="BE464" i="155"/>
  <c r="BW291" i="154"/>
  <c r="BW307" i="154" s="1"/>
  <c r="BB271" i="155"/>
  <c r="BB464" i="155"/>
  <c r="BJ263" i="154"/>
  <c r="BJ464" i="154"/>
  <c r="BI315" i="155"/>
  <c r="BD307" i="154"/>
  <c r="BU291" i="155"/>
  <c r="BU247" i="154"/>
  <c r="BY206" i="154"/>
  <c r="BY239" i="154" s="1"/>
  <c r="BY214" i="154"/>
  <c r="BY283" i="154" s="1"/>
  <c r="BC255" i="154"/>
  <c r="BA263" i="155"/>
  <c r="BA464" i="155"/>
  <c r="AZ255" i="155"/>
  <c r="BQ291" i="155"/>
  <c r="BQ299" i="155" s="1"/>
  <c r="BF247" i="155"/>
  <c r="BU291" i="154"/>
  <c r="BU307" i="154" s="1"/>
  <c r="BL247" i="155"/>
  <c r="BB271" i="154"/>
  <c r="BB464" i="154"/>
  <c r="BN291" i="155"/>
  <c r="BN307" i="155" s="1"/>
  <c r="BP247" i="155"/>
  <c r="BF291" i="155"/>
  <c r="BF315" i="155" s="1"/>
  <c r="BM247" i="154"/>
  <c r="BL291" i="155"/>
  <c r="BL315" i="155" s="1"/>
  <c r="BC271" i="154"/>
  <c r="BC464" i="154"/>
  <c r="AZ271" i="155"/>
  <c r="AZ464" i="155"/>
  <c r="BP291" i="155"/>
  <c r="BP307" i="155" s="1"/>
  <c r="BM291" i="154"/>
  <c r="BM315" i="154" s="1"/>
  <c r="BY206" i="155"/>
  <c r="BY239" i="155" s="1"/>
  <c r="BY214" i="155"/>
  <c r="BY283" i="155" s="1"/>
  <c r="BA299" i="155"/>
  <c r="AQ618" i="99"/>
  <c r="AQ64" i="99"/>
  <c r="R421" i="153"/>
  <c r="BI464" i="153"/>
  <c r="BI271" i="153"/>
  <c r="BH263" i="153"/>
  <c r="BI255" i="153"/>
  <c r="BH271" i="153"/>
  <c r="BH464" i="153"/>
  <c r="BR315" i="153"/>
  <c r="BJ307" i="153"/>
  <c r="BT464" i="153"/>
  <c r="BM307" i="153"/>
  <c r="BS464" i="153"/>
  <c r="BL271" i="153"/>
  <c r="BK307" i="153"/>
  <c r="BL307" i="153"/>
  <c r="BM263" i="153"/>
  <c r="BT263" i="153"/>
  <c r="BL315" i="153"/>
  <c r="BP307" i="153"/>
  <c r="BT255" i="153"/>
  <c r="BQ255" i="153"/>
  <c r="BP299" i="153"/>
  <c r="BN263" i="153"/>
  <c r="BN271" i="153"/>
  <c r="BM315" i="153"/>
  <c r="BJ255" i="153"/>
  <c r="BM464" i="153"/>
  <c r="BM255" i="153"/>
  <c r="BL263" i="153"/>
  <c r="BO271" i="153"/>
  <c r="BR299" i="153"/>
  <c r="BN299" i="153"/>
  <c r="BT315" i="153"/>
  <c r="BT307" i="153"/>
  <c r="BS263" i="153"/>
  <c r="BP263" i="153"/>
  <c r="BR464" i="153"/>
  <c r="BO315" i="153"/>
  <c r="BR263" i="153"/>
  <c r="BS307" i="153"/>
  <c r="BQ271" i="153"/>
  <c r="BO307" i="153"/>
  <c r="BR271" i="153"/>
  <c r="BP464" i="153"/>
  <c r="BP255" i="153"/>
  <c r="BL464" i="153"/>
  <c r="BO464" i="153"/>
  <c r="BJ464" i="153"/>
  <c r="BK263" i="153"/>
  <c r="BU315" i="153"/>
  <c r="BU271" i="153"/>
  <c r="BQ464" i="153"/>
  <c r="BK299" i="153"/>
  <c r="BU307" i="153"/>
  <c r="BU464" i="153"/>
  <c r="BU255" i="153"/>
  <c r="BK255" i="153"/>
  <c r="BK271" i="153"/>
  <c r="BQ307" i="153"/>
  <c r="BO263" i="153"/>
  <c r="BN307" i="153"/>
  <c r="BN255" i="153"/>
  <c r="BS255" i="153"/>
  <c r="BJ271" i="153"/>
  <c r="BJ315" i="153"/>
  <c r="BQ299" i="153"/>
  <c r="BS299" i="153"/>
  <c r="AP576" i="99"/>
  <c r="AQ549" i="99"/>
  <c r="AQ613" i="99" s="1"/>
  <c r="BY271" i="153"/>
  <c r="AQ234" i="99"/>
  <c r="BX307" i="153"/>
  <c r="BX299" i="153"/>
  <c r="BV315" i="153"/>
  <c r="BV307" i="153"/>
  <c r="BV255" i="153"/>
  <c r="BY299" i="153"/>
  <c r="BY315" i="153"/>
  <c r="BY263" i="153"/>
  <c r="BY464" i="153"/>
  <c r="AQ230" i="99"/>
  <c r="BW299" i="153"/>
  <c r="BV271" i="153"/>
  <c r="BV464" i="153"/>
  <c r="BW307" i="153"/>
  <c r="BW263" i="153"/>
  <c r="BW464" i="153"/>
  <c r="BX271" i="153"/>
  <c r="BX464" i="153"/>
  <c r="BW271" i="153"/>
  <c r="BX255" i="153"/>
  <c r="AR17" i="69"/>
  <c r="AW76" i="105" s="1"/>
  <c r="AT3" i="69"/>
  <c r="AT4" i="69" s="1"/>
  <c r="AS2" i="69" a="1"/>
  <c r="AS2" i="69" s="1"/>
  <c r="AS13" i="69"/>
  <c r="AS8" i="69"/>
  <c r="AS15" i="69"/>
  <c r="AS14" i="69"/>
  <c r="AS10" i="69"/>
  <c r="AS16" i="69"/>
  <c r="AS9" i="69"/>
  <c r="AS7" i="69"/>
  <c r="AS11" i="69"/>
  <c r="AQ535" i="99"/>
  <c r="AQ599" i="99" s="1"/>
  <c r="AO529" i="99"/>
  <c r="AO518" i="99"/>
  <c r="AO581" i="99"/>
  <c r="AP588" i="99"/>
  <c r="AP526" i="99"/>
  <c r="AN581" i="99"/>
  <c r="AN518" i="99"/>
  <c r="AQ232" i="99"/>
  <c r="AQ512" i="99"/>
  <c r="AM551" i="99"/>
  <c r="AM555" i="99" s="1"/>
  <c r="AM608" i="99"/>
  <c r="AQ524" i="99"/>
  <c r="AQ585" i="99"/>
  <c r="AQ233" i="99"/>
  <c r="AR548" i="99"/>
  <c r="AR612" i="99" s="1"/>
  <c r="AR539" i="99"/>
  <c r="AR603" i="99" s="1"/>
  <c r="AR534" i="99"/>
  <c r="AR598" i="99" s="1"/>
  <c r="AR541" i="99"/>
  <c r="AR605" i="99" s="1"/>
  <c r="AR547" i="99"/>
  <c r="AR611" i="99" s="1"/>
  <c r="AR538" i="99"/>
  <c r="AR540" i="99"/>
  <c r="AR604" i="99" s="1"/>
  <c r="AR522" i="99"/>
  <c r="AR586" i="99" s="1"/>
  <c r="AR521" i="99"/>
  <c r="AR507" i="99"/>
  <c r="AR525" i="99"/>
  <c r="AR589" i="99" s="1"/>
  <c r="AR509" i="99"/>
  <c r="AR573" i="99" s="1"/>
  <c r="AR523" i="99"/>
  <c r="AR587" i="99" s="1"/>
  <c r="AR516" i="99"/>
  <c r="AR580" i="99" s="1"/>
  <c r="AR558" i="99"/>
  <c r="AR622" i="99" s="1"/>
  <c r="AR514" i="99"/>
  <c r="AR578" i="99" s="1"/>
  <c r="AR513" i="99"/>
  <c r="AR577" i="99" s="1"/>
  <c r="AR533" i="99"/>
  <c r="AO590" i="99"/>
  <c r="AW527" i="99"/>
  <c r="AT3" i="99"/>
  <c r="AT4" i="99" s="1"/>
  <c r="AS2" i="99" a="1"/>
  <c r="AS2" i="99" s="1"/>
  <c r="AS554" i="99" s="1"/>
  <c r="AS474" i="99"/>
  <c r="AS475" i="99"/>
  <c r="AS476" i="99"/>
  <c r="AS499" i="99"/>
  <c r="AS483" i="99" s="1"/>
  <c r="AS491" i="99" s="1"/>
  <c r="AS498" i="99"/>
  <c r="AS482" i="99" s="1"/>
  <c r="AS490" i="99" s="1"/>
  <c r="AS477" i="99"/>
  <c r="AS500" i="99"/>
  <c r="AS484" i="99" s="1"/>
  <c r="AS492" i="99" s="1"/>
  <c r="AS478" i="99"/>
  <c r="AS501" i="99"/>
  <c r="AS485" i="99" s="1"/>
  <c r="AS493" i="99" s="1"/>
  <c r="AS502" i="99"/>
  <c r="AS486" i="99" s="1"/>
  <c r="AS494" i="99" s="1"/>
  <c r="AS479" i="99"/>
  <c r="AS503" i="99"/>
  <c r="AS487" i="99" s="1"/>
  <c r="AS495" i="99" s="1"/>
  <c r="AQ602" i="99"/>
  <c r="AQ542" i="99"/>
  <c r="AQ606" i="99" s="1"/>
  <c r="AJ625" i="99"/>
  <c r="AJ626" i="99" s="1"/>
  <c r="AJ562" i="99"/>
  <c r="AJ631" i="99"/>
  <c r="AL559" i="99" a="1"/>
  <c r="AL559" i="99" s="1"/>
  <c r="AL623" i="99" s="1"/>
  <c r="AL615" i="99"/>
  <c r="AL552" i="99"/>
  <c r="AN529" i="99"/>
  <c r="AP517" i="99"/>
  <c r="AP579" i="99"/>
  <c r="AN591" i="99"/>
  <c r="AN224" i="99"/>
  <c r="AQ228" i="99"/>
  <c r="AK559" i="99" a="1"/>
  <c r="AK559" i="99" s="1"/>
  <c r="AK623" i="99" s="1"/>
  <c r="AK552" i="99"/>
  <c r="AK615" i="99"/>
  <c r="AQ229" i="99"/>
  <c r="AT37" i="72"/>
  <c r="AU5" i="72"/>
  <c r="AU6" i="72" s="1"/>
  <c r="AT36" i="72"/>
  <c r="AT38" i="72" s="1"/>
  <c r="AT39" i="72" s="1"/>
  <c r="AT48" i="72"/>
  <c r="AT47" i="72"/>
  <c r="AT6" i="98"/>
  <c r="AS70" i="103"/>
  <c r="AX70" i="105" s="1"/>
  <c r="AS35" i="151" s="1"/>
  <c r="BJ8" i="98"/>
  <c r="AR40" i="151" l="1"/>
  <c r="AW132" i="105"/>
  <c r="AU4" i="72" a="1"/>
  <c r="AU4" i="72" s="1"/>
  <c r="AC97" i="154"/>
  <c r="J32" i="154"/>
  <c r="J97" i="154" s="1"/>
  <c r="AH96" i="154"/>
  <c r="BG413" i="153"/>
  <c r="BG452" i="153" s="1" a="1"/>
  <c r="BG452" i="153" s="1"/>
  <c r="AQ129" i="104"/>
  <c r="AQ64" i="104" s="1"/>
  <c r="AV64" i="105" s="1"/>
  <c r="AQ30" i="151" s="1"/>
  <c r="BK413" i="154"/>
  <c r="BK452" i="154" s="1" a="1"/>
  <c r="BK452" i="154" s="1"/>
  <c r="BG413" i="155"/>
  <c r="BG452" i="155" s="1" a="1"/>
  <c r="BG452" i="155" s="1"/>
  <c r="BN413" i="153"/>
  <c r="BN452" i="153" s="1" a="1"/>
  <c r="BN452" i="153" s="1"/>
  <c r="BU413" i="153"/>
  <c r="BU452" i="153" s="1" a="1"/>
  <c r="BU452" i="153" s="1"/>
  <c r="BC413" i="154"/>
  <c r="BC452" i="154" s="1" a="1"/>
  <c r="BC452" i="154" s="1"/>
  <c r="BD413" i="154"/>
  <c r="BD452" i="154" s="1" a="1"/>
  <c r="BD452" i="154" s="1"/>
  <c r="BY413" i="153"/>
  <c r="BY452" i="153" s="1" a="1"/>
  <c r="BY452" i="153" s="1"/>
  <c r="BK413" i="153"/>
  <c r="BK452" i="153" s="1" a="1"/>
  <c r="BK452" i="153" s="1"/>
  <c r="BT413" i="153"/>
  <c r="BT452" i="153" s="1" a="1"/>
  <c r="BT452" i="153" s="1"/>
  <c r="BX413" i="153"/>
  <c r="BX452" i="153" s="1" a="1"/>
  <c r="BX452" i="153" s="1"/>
  <c r="BA413" i="154"/>
  <c r="BA452" i="154" s="1" a="1"/>
  <c r="BA452" i="154" s="1"/>
  <c r="BC413" i="155"/>
  <c r="BC452" i="155" s="1" a="1"/>
  <c r="BC452" i="155" s="1"/>
  <c r="BI413" i="153"/>
  <c r="BI452" i="153" s="1" a="1"/>
  <c r="BI452" i="153" s="1"/>
  <c r="BG413" i="154"/>
  <c r="BG452" i="154" s="1" a="1"/>
  <c r="BG452" i="154" s="1"/>
  <c r="BJ413" i="154"/>
  <c r="BJ452" i="154" s="1" a="1"/>
  <c r="BJ452" i="154" s="1"/>
  <c r="BB413" i="154"/>
  <c r="BB452" i="154" s="1" a="1"/>
  <c r="BB452" i="154" s="1"/>
  <c r="BL413" i="153"/>
  <c r="BL452" i="153" s="1" a="1"/>
  <c r="BL452" i="153" s="1"/>
  <c r="BQ413" i="153"/>
  <c r="BQ452" i="153" s="1" a="1"/>
  <c r="BQ452" i="153" s="1"/>
  <c r="BH413" i="153"/>
  <c r="BH452" i="153" s="1" a="1"/>
  <c r="BH452" i="153" s="1"/>
  <c r="BI413" i="154"/>
  <c r="BI452" i="154" s="1" a="1"/>
  <c r="BI452" i="154" s="1"/>
  <c r="BH413" i="154"/>
  <c r="BH452" i="154" s="1" a="1"/>
  <c r="BH452" i="154" s="1"/>
  <c r="BV413" i="153"/>
  <c r="BV452" i="153" s="1" a="1"/>
  <c r="BV452" i="153" s="1"/>
  <c r="BJ413" i="155"/>
  <c r="BJ452" i="155" s="1" a="1"/>
  <c r="BJ452" i="155" s="1"/>
  <c r="BE413" i="155"/>
  <c r="BE452" i="155" s="1" a="1"/>
  <c r="BE452" i="155" s="1"/>
  <c r="AT413" i="155"/>
  <c r="AT452" i="155" s="1" a="1"/>
  <c r="AT452" i="155" s="1"/>
  <c r="BK413" i="155"/>
  <c r="BK452" i="155" s="1" a="1"/>
  <c r="BK452" i="155" s="1"/>
  <c r="BR413" i="153"/>
  <c r="BR452" i="153" s="1" a="1"/>
  <c r="BR452" i="153" s="1"/>
  <c r="BH413" i="155"/>
  <c r="BH452" i="155" s="1" a="1"/>
  <c r="BH452" i="155" s="1"/>
  <c r="BA413" i="155"/>
  <c r="BA452" i="155" s="1" a="1"/>
  <c r="BA452" i="155" s="1"/>
  <c r="BE413" i="154"/>
  <c r="BE452" i="154" s="1" a="1"/>
  <c r="BE452" i="154" s="1"/>
  <c r="AT413" i="154"/>
  <c r="AT452" i="154" s="1" a="1"/>
  <c r="AT452" i="154" s="1"/>
  <c r="BD413" i="155"/>
  <c r="BD452" i="155" s="1" a="1"/>
  <c r="BD452" i="155" s="1"/>
  <c r="BP413" i="153"/>
  <c r="BP452" i="153" s="1" a="1"/>
  <c r="BP452" i="153" s="1"/>
  <c r="BM413" i="153"/>
  <c r="BM452" i="153" s="1" a="1"/>
  <c r="BM452" i="153" s="1"/>
  <c r="AZ413" i="154"/>
  <c r="AZ452" i="154" s="1" a="1"/>
  <c r="AZ452" i="154" s="1"/>
  <c r="BI413" i="155"/>
  <c r="BI452" i="155" s="1" a="1"/>
  <c r="BI452" i="155" s="1"/>
  <c r="BB413" i="155"/>
  <c r="BB452" i="155" s="1" a="1"/>
  <c r="BB452" i="155" s="1"/>
  <c r="BW413" i="153"/>
  <c r="BW452" i="153" s="1" a="1"/>
  <c r="BW452" i="153" s="1"/>
  <c r="BJ413" i="153"/>
  <c r="BJ452" i="153" s="1" a="1"/>
  <c r="BJ452" i="153" s="1"/>
  <c r="BS413" i="153"/>
  <c r="BS452" i="153" s="1" a="1"/>
  <c r="BS452" i="153" s="1"/>
  <c r="AZ413" i="155"/>
  <c r="AZ452" i="155" s="1" a="1"/>
  <c r="AZ452" i="155" s="1"/>
  <c r="BO413" i="153"/>
  <c r="BO452" i="153" s="1" a="1"/>
  <c r="BO452" i="153" s="1"/>
  <c r="BF263" i="154"/>
  <c r="AI255" i="155"/>
  <c r="BV263" i="154"/>
  <c r="BM271" i="155"/>
  <c r="AJ263" i="154"/>
  <c r="AJ268" i="154" s="1"/>
  <c r="AJ24" i="154" s="1"/>
  <c r="AJ89" i="154" s="1"/>
  <c r="BW271" i="155"/>
  <c r="BS271" i="155"/>
  <c r="AH255" i="154"/>
  <c r="AH260" i="154" s="1"/>
  <c r="AH23" i="154" s="1"/>
  <c r="AH88" i="154" s="1"/>
  <c r="BS263" i="154"/>
  <c r="AH263" i="155"/>
  <c r="AK255" i="154"/>
  <c r="AK260" i="154" s="1"/>
  <c r="AK23" i="154" s="1"/>
  <c r="AK88" i="154" s="1"/>
  <c r="AG263" i="154"/>
  <c r="AG268" i="154" s="1"/>
  <c r="AG24" i="154" s="1"/>
  <c r="AG89" i="154" s="1"/>
  <c r="AD255" i="154"/>
  <c r="AD260" i="154" s="1"/>
  <c r="AD23" i="154" s="1"/>
  <c r="AN263" i="154"/>
  <c r="AK263" i="155"/>
  <c r="AF255" i="155"/>
  <c r="BL263" i="154"/>
  <c r="AC255" i="154"/>
  <c r="AC260" i="154" s="1"/>
  <c r="AC23" i="154" s="1"/>
  <c r="AC263" i="155"/>
  <c r="BP255" i="155"/>
  <c r="AI263" i="154"/>
  <c r="AI268" i="154" s="1"/>
  <c r="AI24" i="154" s="1"/>
  <c r="AI89" i="154" s="1"/>
  <c r="BQ271" i="155"/>
  <c r="BO263" i="155"/>
  <c r="AM263" i="154"/>
  <c r="BF263" i="155"/>
  <c r="BT271" i="155"/>
  <c r="AN263" i="155"/>
  <c r="BO263" i="154"/>
  <c r="AL263" i="154"/>
  <c r="BL255" i="155"/>
  <c r="BT271" i="154"/>
  <c r="AG255" i="155"/>
  <c r="BU263" i="155"/>
  <c r="AM263" i="155"/>
  <c r="BN263" i="154"/>
  <c r="AJ255" i="155"/>
  <c r="AL263" i="155"/>
  <c r="BQ255" i="154"/>
  <c r="AE255" i="154"/>
  <c r="AE260" i="154" s="1"/>
  <c r="AE23" i="154" s="1"/>
  <c r="AE88" i="154" s="1"/>
  <c r="AD263" i="155"/>
  <c r="BN263" i="155"/>
  <c r="BM255" i="154"/>
  <c r="BU271" i="154"/>
  <c r="BV271" i="155"/>
  <c r="AK561" i="99"/>
  <c r="AK567" i="99" s="1"/>
  <c r="AL561" i="99"/>
  <c r="AL567" i="99" s="1"/>
  <c r="AX127" i="105"/>
  <c r="AQ129" i="99"/>
  <c r="AQ129" i="103"/>
  <c r="AF271" i="155"/>
  <c r="AF263" i="155"/>
  <c r="AD307" i="155"/>
  <c r="AI307" i="154"/>
  <c r="AI312" i="154" s="1"/>
  <c r="AI33" i="154" s="1"/>
  <c r="AI98" i="154" s="1"/>
  <c r="AE307" i="155"/>
  <c r="AD263" i="154"/>
  <c r="AD268" i="154" s="1"/>
  <c r="AD24" i="154" s="1"/>
  <c r="AD271" i="154"/>
  <c r="AD276" i="154" s="1"/>
  <c r="AD26" i="154" s="1"/>
  <c r="AG307" i="155"/>
  <c r="AE263" i="154"/>
  <c r="AE268" i="154" s="1"/>
  <c r="AE24" i="154" s="1"/>
  <c r="AE89" i="154" s="1"/>
  <c r="AE307" i="154"/>
  <c r="AE312" i="154" s="1"/>
  <c r="AE33" i="154" s="1"/>
  <c r="AE98" i="154" s="1"/>
  <c r="AG307" i="154"/>
  <c r="AG312" i="154" s="1"/>
  <c r="AG33" i="154" s="1"/>
  <c r="AG98" i="154" s="1"/>
  <c r="AC255" i="155"/>
  <c r="AF315" i="155"/>
  <c r="AG271" i="154"/>
  <c r="AG276" i="154" s="1"/>
  <c r="AG26" i="154" s="1"/>
  <c r="AG91" i="154" s="1"/>
  <c r="AF299" i="155"/>
  <c r="AE464" i="155"/>
  <c r="AD307" i="154"/>
  <c r="AD312" i="154" s="1"/>
  <c r="AD33" i="154" s="1"/>
  <c r="AD296" i="154"/>
  <c r="AD31" i="154" s="1"/>
  <c r="AD255" i="155"/>
  <c r="AG315" i="154"/>
  <c r="AG320" i="154" s="1"/>
  <c r="AG35" i="154" s="1"/>
  <c r="AG100" i="154" s="1"/>
  <c r="AG296" i="154"/>
  <c r="AG31" i="154" s="1"/>
  <c r="AG255" i="154"/>
  <c r="AG260" i="154" s="1"/>
  <c r="AG23" i="154" s="1"/>
  <c r="AG88" i="154" s="1"/>
  <c r="AG464" i="154"/>
  <c r="AG252" i="154"/>
  <c r="AG22" i="154" s="1"/>
  <c r="AD252" i="154"/>
  <c r="AD22" i="154" s="1"/>
  <c r="AD464" i="154"/>
  <c r="AG315" i="155"/>
  <c r="AD271" i="155"/>
  <c r="AC299" i="155"/>
  <c r="AE271" i="154"/>
  <c r="AE276" i="154" s="1"/>
  <c r="AE26" i="154" s="1"/>
  <c r="AE91" i="154" s="1"/>
  <c r="AE464" i="154"/>
  <c r="AE252" i="154"/>
  <c r="AE22" i="154" s="1"/>
  <c r="AD464" i="155"/>
  <c r="AC315" i="155"/>
  <c r="AC271" i="154"/>
  <c r="AC276" i="154" s="1"/>
  <c r="AC26" i="154" s="1"/>
  <c r="AF464" i="155"/>
  <c r="AC263" i="154"/>
  <c r="AC268" i="154" s="1"/>
  <c r="AC24" i="154" s="1"/>
  <c r="AD299" i="155"/>
  <c r="AC252" i="154"/>
  <c r="AC22" i="154" s="1"/>
  <c r="AC464" i="154"/>
  <c r="AC271" i="155"/>
  <c r="AC464" i="155"/>
  <c r="AG263" i="155"/>
  <c r="AC315" i="154"/>
  <c r="AC320" i="154" s="1"/>
  <c r="AC35" i="154" s="1"/>
  <c r="AE299" i="154"/>
  <c r="AE304" i="154" s="1"/>
  <c r="AE32" i="154" s="1"/>
  <c r="AE97" i="154" s="1"/>
  <c r="AE296" i="154"/>
  <c r="AE31" i="154" s="1"/>
  <c r="AE315" i="155"/>
  <c r="AG271" i="155"/>
  <c r="AG464" i="155"/>
  <c r="AE299" i="155"/>
  <c r="AC307" i="154"/>
  <c r="AC312" i="154" s="1"/>
  <c r="AC33" i="154" s="1"/>
  <c r="AC296" i="154"/>
  <c r="AC31" i="154" s="1"/>
  <c r="AE263" i="155"/>
  <c r="AE255" i="155"/>
  <c r="AD299" i="154"/>
  <c r="AD304" i="154" s="1"/>
  <c r="AD32" i="154" s="1"/>
  <c r="AE271" i="155"/>
  <c r="AD315" i="154"/>
  <c r="AD320" i="154" s="1"/>
  <c r="AD35" i="154" s="1"/>
  <c r="BT315" i="154"/>
  <c r="AN271" i="154"/>
  <c r="AK307" i="154"/>
  <c r="AK312" i="154" s="1"/>
  <c r="AK33" i="154" s="1"/>
  <c r="AK98" i="154" s="1"/>
  <c r="AH271" i="154"/>
  <c r="AH276" i="154" s="1"/>
  <c r="AH26" i="154" s="1"/>
  <c r="AH91" i="154" s="1"/>
  <c r="AL255" i="154"/>
  <c r="AM307" i="154"/>
  <c r="AH255" i="155"/>
  <c r="AK299" i="155"/>
  <c r="BF255" i="154"/>
  <c r="BP271" i="155"/>
  <c r="BN299" i="155"/>
  <c r="AH315" i="155"/>
  <c r="BU299" i="154"/>
  <c r="BU271" i="155"/>
  <c r="BM315" i="155"/>
  <c r="BT263" i="155"/>
  <c r="AJ255" i="154"/>
  <c r="AJ260" i="154" s="1"/>
  <c r="AJ23" i="154" s="1"/>
  <c r="AJ88" i="154" s="1"/>
  <c r="BP315" i="155"/>
  <c r="AH299" i="154"/>
  <c r="AH304" i="154" s="1"/>
  <c r="AH32" i="154" s="1"/>
  <c r="AH97" i="154" s="1"/>
  <c r="AI307" i="155"/>
  <c r="AN299" i="155"/>
  <c r="AJ307" i="155"/>
  <c r="AK263" i="154"/>
  <c r="AK268" i="154" s="1"/>
  <c r="AK24" i="154" s="1"/>
  <c r="AK89" i="154" s="1"/>
  <c r="AI271" i="155"/>
  <c r="AL299" i="155"/>
  <c r="AM307" i="155"/>
  <c r="BP299" i="155"/>
  <c r="AI271" i="154"/>
  <c r="AI276" i="154" s="1"/>
  <c r="AI26" i="154" s="1"/>
  <c r="AI91" i="154" s="1"/>
  <c r="BF315" i="154"/>
  <c r="AL255" i="155"/>
  <c r="BQ307" i="155"/>
  <c r="BN315" i="155"/>
  <c r="BO315" i="154"/>
  <c r="BM271" i="154"/>
  <c r="BW299" i="155"/>
  <c r="BN255" i="155"/>
  <c r="BQ255" i="155"/>
  <c r="BW315" i="155"/>
  <c r="BL307" i="155"/>
  <c r="BM307" i="155"/>
  <c r="BW255" i="155"/>
  <c r="BO271" i="154"/>
  <c r="BP255" i="154"/>
  <c r="BP271" i="154"/>
  <c r="BS315" i="154"/>
  <c r="BS299" i="154"/>
  <c r="BP299" i="154"/>
  <c r="BP315" i="154"/>
  <c r="BU315" i="155"/>
  <c r="BU307" i="155"/>
  <c r="BW255" i="154"/>
  <c r="BW271" i="154"/>
  <c r="BL255" i="154"/>
  <c r="BO299" i="155"/>
  <c r="AJ315" i="154"/>
  <c r="AJ320" i="154" s="1"/>
  <c r="AJ35" i="154" s="1"/>
  <c r="AJ100" i="154" s="1"/>
  <c r="AJ296" i="154"/>
  <c r="AJ31" i="154" s="1"/>
  <c r="BQ315" i="155"/>
  <c r="BO307" i="155"/>
  <c r="BO307" i="154"/>
  <c r="AM271" i="155"/>
  <c r="AM464" i="155"/>
  <c r="AK255" i="155"/>
  <c r="AK315" i="155"/>
  <c r="AI315" i="154"/>
  <c r="AI320" i="154" s="1"/>
  <c r="AI35" i="154" s="1"/>
  <c r="AI100" i="154" s="1"/>
  <c r="AI296" i="154"/>
  <c r="AI31" i="154" s="1"/>
  <c r="AM315" i="155"/>
  <c r="BU315" i="154"/>
  <c r="AJ299" i="155"/>
  <c r="AJ271" i="154"/>
  <c r="AJ276" i="154" s="1"/>
  <c r="AJ26" i="154" s="1"/>
  <c r="AJ91" i="154" s="1"/>
  <c r="AJ464" i="154"/>
  <c r="AJ252" i="154"/>
  <c r="AJ22" i="154" s="1"/>
  <c r="AJ271" i="155"/>
  <c r="AK271" i="155"/>
  <c r="AK464" i="155"/>
  <c r="BN299" i="154"/>
  <c r="BV263" i="155"/>
  <c r="AL271" i="155"/>
  <c r="AL464" i="155"/>
  <c r="AJ263" i="155"/>
  <c r="AJ464" i="155"/>
  <c r="AI255" i="154"/>
  <c r="AI260" i="154" s="1"/>
  <c r="AI23" i="154" s="1"/>
  <c r="AI88" i="154" s="1"/>
  <c r="AI464" i="154"/>
  <c r="AI252" i="154"/>
  <c r="AI22" i="154" s="1"/>
  <c r="AM299" i="154"/>
  <c r="AL315" i="155"/>
  <c r="BS255" i="154"/>
  <c r="AL271" i="154"/>
  <c r="AL464" i="154"/>
  <c r="AM271" i="154"/>
  <c r="BF299" i="155"/>
  <c r="AH263" i="154"/>
  <c r="AH268" i="154" s="1"/>
  <c r="AH24" i="154" s="1"/>
  <c r="AH89" i="154" s="1"/>
  <c r="AH464" i="154"/>
  <c r="AH252" i="154"/>
  <c r="AH22" i="154" s="1"/>
  <c r="AM255" i="154"/>
  <c r="AM464" i="154"/>
  <c r="AL315" i="154"/>
  <c r="AH271" i="155"/>
  <c r="AH464" i="155"/>
  <c r="AI315" i="155"/>
  <c r="AL299" i="154"/>
  <c r="AI263" i="155"/>
  <c r="AI464" i="155"/>
  <c r="AK271" i="154"/>
  <c r="AK276" i="154" s="1"/>
  <c r="AK26" i="154" s="1"/>
  <c r="AK91" i="154" s="1"/>
  <c r="AK464" i="154"/>
  <c r="AK252" i="154"/>
  <c r="AK22" i="154" s="1"/>
  <c r="AK299" i="154"/>
  <c r="AK304" i="154" s="1"/>
  <c r="AK32" i="154" s="1"/>
  <c r="AK97" i="154" s="1"/>
  <c r="AK296" i="154"/>
  <c r="AK31" i="154" s="1"/>
  <c r="BF255" i="155"/>
  <c r="AN315" i="154"/>
  <c r="AH307" i="154"/>
  <c r="AH312" i="154" s="1"/>
  <c r="AH33" i="154" s="1"/>
  <c r="AH98" i="154" s="1"/>
  <c r="BT307" i="155"/>
  <c r="AH315" i="154"/>
  <c r="AH320" i="154" s="1"/>
  <c r="AH35" i="154" s="1"/>
  <c r="AH100" i="154" s="1"/>
  <c r="AJ307" i="154"/>
  <c r="AJ312" i="154" s="1"/>
  <c r="AJ33" i="154" s="1"/>
  <c r="AJ98" i="154" s="1"/>
  <c r="AH307" i="155"/>
  <c r="AM255" i="155"/>
  <c r="AJ299" i="154"/>
  <c r="AJ304" i="154" s="1"/>
  <c r="AJ32" i="154" s="1"/>
  <c r="AJ97" i="154" s="1"/>
  <c r="BS307" i="155"/>
  <c r="BT315" i="155"/>
  <c r="BY291" i="154"/>
  <c r="BY299" i="154" s="1"/>
  <c r="BU263" i="154"/>
  <c r="BU464" i="154"/>
  <c r="BM263" i="155"/>
  <c r="BM464" i="155"/>
  <c r="BF307" i="155"/>
  <c r="BL263" i="155"/>
  <c r="BY247" i="154"/>
  <c r="BS307" i="154"/>
  <c r="BL307" i="154"/>
  <c r="BF271" i="155"/>
  <c r="BF464" i="155"/>
  <c r="BL315" i="154"/>
  <c r="BX247" i="155"/>
  <c r="AN255" i="155"/>
  <c r="BL271" i="155"/>
  <c r="BL464" i="155"/>
  <c r="BV255" i="154"/>
  <c r="BX291" i="155"/>
  <c r="BX315" i="155" s="1"/>
  <c r="BT307" i="154"/>
  <c r="BN315" i="154"/>
  <c r="BV315" i="155"/>
  <c r="AN271" i="155"/>
  <c r="AN464" i="155"/>
  <c r="BV271" i="154"/>
  <c r="BV464" i="154"/>
  <c r="BV299" i="155"/>
  <c r="BX291" i="154"/>
  <c r="BX315" i="154" s="1"/>
  <c r="BR291" i="155"/>
  <c r="BR307" i="155" s="1"/>
  <c r="BF271" i="154"/>
  <c r="BF464" i="154"/>
  <c r="BL299" i="155"/>
  <c r="BN271" i="155"/>
  <c r="BN464" i="155"/>
  <c r="BX247" i="154"/>
  <c r="BR247" i="155"/>
  <c r="BM299" i="154"/>
  <c r="BO255" i="154"/>
  <c r="BO464" i="154"/>
  <c r="BM307" i="154"/>
  <c r="BN271" i="154"/>
  <c r="BS263" i="155"/>
  <c r="BO255" i="155"/>
  <c r="BU299" i="155"/>
  <c r="BU255" i="155"/>
  <c r="BU464" i="155"/>
  <c r="BF307" i="154"/>
  <c r="BV255" i="155"/>
  <c r="BV464" i="155"/>
  <c r="BW299" i="154"/>
  <c r="BW263" i="154"/>
  <c r="BW464" i="154"/>
  <c r="BT255" i="154"/>
  <c r="BN255" i="154"/>
  <c r="BN464" i="154"/>
  <c r="BS255" i="155"/>
  <c r="BS464" i="155"/>
  <c r="BO271" i="155"/>
  <c r="BO464" i="155"/>
  <c r="BM263" i="154"/>
  <c r="BM464" i="154"/>
  <c r="BW315" i="154"/>
  <c r="BT263" i="154"/>
  <c r="BT464" i="154"/>
  <c r="BP263" i="154"/>
  <c r="BP464" i="154"/>
  <c r="BT255" i="155"/>
  <c r="BT464" i="155"/>
  <c r="BY291" i="155"/>
  <c r="BY299" i="155" s="1"/>
  <c r="AN315" i="155"/>
  <c r="BW263" i="155"/>
  <c r="BW464" i="155"/>
  <c r="BQ263" i="154"/>
  <c r="BY247" i="155"/>
  <c r="BL271" i="154"/>
  <c r="BL464" i="154"/>
  <c r="AN255" i="154"/>
  <c r="AN464" i="154"/>
  <c r="BR247" i="154"/>
  <c r="BV307" i="154"/>
  <c r="BQ299" i="154"/>
  <c r="BQ271" i="154"/>
  <c r="BQ464" i="154"/>
  <c r="BP263" i="155"/>
  <c r="BP464" i="155"/>
  <c r="BU255" i="154"/>
  <c r="BQ263" i="155"/>
  <c r="BQ464" i="155"/>
  <c r="AN299" i="154"/>
  <c r="BS271" i="154"/>
  <c r="BS464" i="154"/>
  <c r="BM255" i="155"/>
  <c r="BR291" i="154"/>
  <c r="BR315" i="154" s="1"/>
  <c r="BS315" i="155"/>
  <c r="BV315" i="154"/>
  <c r="BQ315" i="154"/>
  <c r="AR618" i="99"/>
  <c r="AR64" i="99"/>
  <c r="AR535" i="99"/>
  <c r="AR599" i="99" s="1"/>
  <c r="AR597" i="99"/>
  <c r="AR549" i="99"/>
  <c r="AR613" i="99" s="1"/>
  <c r="AR512" i="99"/>
  <c r="AR576" i="99" s="1"/>
  <c r="AU3" i="69"/>
  <c r="AU4" i="69" s="1"/>
  <c r="AT2" i="69" a="1"/>
  <c r="AT2" i="69" s="1"/>
  <c r="AT9" i="69"/>
  <c r="AT14" i="69"/>
  <c r="AT15" i="69"/>
  <c r="AT16" i="69"/>
  <c r="AT8" i="69"/>
  <c r="AT13" i="69"/>
  <c r="AT7" i="69"/>
  <c r="AT12" i="69"/>
  <c r="AT10" i="69"/>
  <c r="AR230" i="99"/>
  <c r="AR233" i="99"/>
  <c r="AM559" i="99" a="1"/>
  <c r="AM559" i="99" s="1"/>
  <c r="AM623" i="99" s="1"/>
  <c r="AM615" i="99"/>
  <c r="AM552" i="99"/>
  <c r="AL616" i="99"/>
  <c r="AL556" i="99"/>
  <c r="AL619" i="99"/>
  <c r="AL620" i="99" s="1"/>
  <c r="AQ576" i="99"/>
  <c r="AQ515" i="99"/>
  <c r="AS539" i="99"/>
  <c r="AS603" i="99" s="1"/>
  <c r="AS548" i="99"/>
  <c r="AS612" i="99" s="1"/>
  <c r="AS534" i="99"/>
  <c r="AS598" i="99" s="1"/>
  <c r="AS541" i="99"/>
  <c r="AS605" i="99" s="1"/>
  <c r="AS540" i="99"/>
  <c r="AS604" i="99" s="1"/>
  <c r="AS547" i="99"/>
  <c r="AS611" i="99" s="1"/>
  <c r="AS538" i="99"/>
  <c r="AS523" i="99"/>
  <c r="AS587" i="99" s="1"/>
  <c r="AS507" i="99"/>
  <c r="AS521" i="99"/>
  <c r="AS509" i="99"/>
  <c r="AS573" i="99" s="1"/>
  <c r="AS522" i="99"/>
  <c r="AS586" i="99" s="1"/>
  <c r="AS525" i="99"/>
  <c r="AS589" i="99" s="1"/>
  <c r="AS516" i="99"/>
  <c r="AS580" i="99" s="1"/>
  <c r="AS558" i="99"/>
  <c r="AS622" i="99" s="1"/>
  <c r="AS514" i="99"/>
  <c r="AS578" i="99" s="1"/>
  <c r="AS513" i="99"/>
  <c r="AS577" i="99" s="1"/>
  <c r="AS533" i="99"/>
  <c r="AS597" i="99" s="1"/>
  <c r="AU3" i="99"/>
  <c r="AU4" i="99" s="1"/>
  <c r="AT2" i="99" a="1"/>
  <c r="AT2" i="99" s="1"/>
  <c r="AT554" i="99" s="1"/>
  <c r="AT474" i="99"/>
  <c r="AT475" i="99"/>
  <c r="AT498" i="99"/>
  <c r="AT482" i="99" s="1"/>
  <c r="AT490" i="99" s="1"/>
  <c r="AT476" i="99"/>
  <c r="AT499" i="99"/>
  <c r="AT483" i="99" s="1"/>
  <c r="AT491" i="99" s="1"/>
  <c r="AT477" i="99"/>
  <c r="AT500" i="99"/>
  <c r="AT484" i="99" s="1"/>
  <c r="AT492" i="99" s="1"/>
  <c r="AT478" i="99"/>
  <c r="AT501" i="99"/>
  <c r="AT485" i="99" s="1"/>
  <c r="AT493" i="99" s="1"/>
  <c r="AT479" i="99"/>
  <c r="AT502" i="99"/>
  <c r="AT486" i="99" s="1"/>
  <c r="AT494" i="99" s="1"/>
  <c r="AT503" i="99"/>
  <c r="AT487" i="99" s="1"/>
  <c r="AT495" i="99" s="1"/>
  <c r="AP518" i="99"/>
  <c r="AP581" i="99"/>
  <c r="AO224" i="99"/>
  <c r="AO591" i="99"/>
  <c r="AR228" i="99"/>
  <c r="AR229" i="99"/>
  <c r="AN223" i="99"/>
  <c r="AN582" i="99"/>
  <c r="AP590" i="99"/>
  <c r="AX527" i="99"/>
  <c r="AP529" i="99"/>
  <c r="AO223" i="99"/>
  <c r="AO582" i="99"/>
  <c r="AK619" i="99"/>
  <c r="AK620" i="99" s="1"/>
  <c r="AK556" i="99"/>
  <c r="AR234" i="99"/>
  <c r="AO593" i="99"/>
  <c r="AO594" i="99" s="1"/>
  <c r="AO530" i="99"/>
  <c r="AO544" i="99"/>
  <c r="AK616" i="99"/>
  <c r="AN593" i="99"/>
  <c r="AN594" i="99" s="1"/>
  <c r="AN530" i="99"/>
  <c r="AN544" i="99"/>
  <c r="AR585" i="99"/>
  <c r="AR524" i="99"/>
  <c r="AR232" i="99"/>
  <c r="AQ526" i="99"/>
  <c r="AQ588" i="99"/>
  <c r="AR602" i="99"/>
  <c r="AR542" i="99"/>
  <c r="AR606" i="99" s="1"/>
  <c r="AU37" i="72"/>
  <c r="AV5" i="72"/>
  <c r="AV6" i="72" s="1"/>
  <c r="AU36" i="72"/>
  <c r="AU38" i="72" s="1"/>
  <c r="AU39" i="72" s="1"/>
  <c r="AU47" i="72"/>
  <c r="AU48" i="72"/>
  <c r="AU6" i="98"/>
  <c r="AT70" i="103"/>
  <c r="AY70" i="105" s="1"/>
  <c r="AT35" i="151" s="1"/>
  <c r="BK8" i="98"/>
  <c r="AS64" i="99"/>
  <c r="AV4" i="72" l="1" a="1"/>
  <c r="AV4" i="72" s="1"/>
  <c r="AC98" i="154"/>
  <c r="J33" i="154"/>
  <c r="J98" i="154" s="1"/>
  <c r="AJ96" i="154"/>
  <c r="AJ34" i="154"/>
  <c r="AC96" i="154"/>
  <c r="AC34" i="154"/>
  <c r="J31" i="154"/>
  <c r="J96" i="154" s="1"/>
  <c r="AE87" i="154"/>
  <c r="AE25" i="154"/>
  <c r="AH87" i="154"/>
  <c r="AH25" i="154"/>
  <c r="AD91" i="154"/>
  <c r="AE96" i="154"/>
  <c r="AE34" i="154"/>
  <c r="AD89" i="154"/>
  <c r="AK96" i="154"/>
  <c r="AK34" i="154"/>
  <c r="AC100" i="154"/>
  <c r="J35" i="154"/>
  <c r="J100" i="154" s="1"/>
  <c r="AG87" i="154"/>
  <c r="AG25" i="154"/>
  <c r="AD87" i="154"/>
  <c r="AD25" i="154"/>
  <c r="AD88" i="154"/>
  <c r="AK87" i="154"/>
  <c r="AK25" i="154"/>
  <c r="AI96" i="154"/>
  <c r="AI34" i="154"/>
  <c r="AG96" i="154"/>
  <c r="AG34" i="154"/>
  <c r="AI87" i="154"/>
  <c r="AI25" i="154"/>
  <c r="AC87" i="154"/>
  <c r="AC25" i="154"/>
  <c r="J22" i="154"/>
  <c r="J87" i="154" s="1"/>
  <c r="AJ87" i="154"/>
  <c r="AJ25" i="154"/>
  <c r="AC88" i="154"/>
  <c r="J23" i="154"/>
  <c r="J88" i="154" s="1"/>
  <c r="AD96" i="154"/>
  <c r="AD34" i="154"/>
  <c r="AD100" i="154"/>
  <c r="AC89" i="154"/>
  <c r="J24" i="154"/>
  <c r="J89" i="154" s="1"/>
  <c r="AD98" i="154"/>
  <c r="AH34" i="154"/>
  <c r="AD97" i="154"/>
  <c r="AC91" i="154"/>
  <c r="J26" i="154"/>
  <c r="J91" i="154" s="1"/>
  <c r="AV122" i="105"/>
  <c r="AR129" i="103"/>
  <c r="AJ413" i="155"/>
  <c r="BM413" i="154"/>
  <c r="BM452" i="154" s="1" a="1"/>
  <c r="BM452" i="154" s="1"/>
  <c r="AD413" i="155"/>
  <c r="BW413" i="154"/>
  <c r="BW452" i="154" s="1" a="1"/>
  <c r="BW452" i="154" s="1"/>
  <c r="AH413" i="155"/>
  <c r="AC413" i="155"/>
  <c r="AC452" i="155" s="1" a="1"/>
  <c r="AC452" i="155" s="1"/>
  <c r="AL413" i="155"/>
  <c r="AL452" i="155" s="1" a="1"/>
  <c r="AL452" i="155" s="1"/>
  <c r="AN413" i="155"/>
  <c r="BU413" i="154"/>
  <c r="BU452" i="154" s="1" a="1"/>
  <c r="BU452" i="154" s="1"/>
  <c r="AG413" i="155"/>
  <c r="AI413" i="155"/>
  <c r="BT413" i="154"/>
  <c r="BT452" i="154" s="1" a="1"/>
  <c r="BT452" i="154" s="1"/>
  <c r="BF413" i="155"/>
  <c r="BF452" i="155" s="1" a="1"/>
  <c r="BF452" i="155" s="1"/>
  <c r="BT413" i="155"/>
  <c r="BT452" i="155" s="1" a="1"/>
  <c r="BT452" i="155" s="1"/>
  <c r="BW413" i="155"/>
  <c r="BW452" i="155" s="1" a="1"/>
  <c r="BW452" i="155" s="1"/>
  <c r="BU413" i="155"/>
  <c r="BU452" i="155" s="1" a="1"/>
  <c r="BU452" i="155" s="1"/>
  <c r="BS413" i="154"/>
  <c r="BS452" i="154" s="1" a="1"/>
  <c r="BS452" i="154" s="1"/>
  <c r="BP413" i="154"/>
  <c r="BP452" i="154" s="1" a="1"/>
  <c r="BP452" i="154" s="1"/>
  <c r="BS413" i="155"/>
  <c r="BS452" i="155" s="1" a="1"/>
  <c r="BS452" i="155" s="1"/>
  <c r="AK413" i="155"/>
  <c r="AI413" i="154"/>
  <c r="BP413" i="155"/>
  <c r="BP452" i="155" s="1" a="1"/>
  <c r="BP452" i="155" s="1"/>
  <c r="BM413" i="155"/>
  <c r="BM452" i="155" s="1" a="1"/>
  <c r="BM452" i="155" s="1"/>
  <c r="BO413" i="155"/>
  <c r="BO452" i="155" s="1" a="1"/>
  <c r="BO452" i="155" s="1"/>
  <c r="AF413" i="155"/>
  <c r="AF452" i="155" s="1" a="1"/>
  <c r="AF452" i="155" s="1"/>
  <c r="AL413" i="154"/>
  <c r="BQ413" i="154"/>
  <c r="BQ452" i="154" s="1" a="1"/>
  <c r="BQ452" i="154" s="1"/>
  <c r="BN413" i="154"/>
  <c r="BN452" i="154" s="1" a="1"/>
  <c r="BN452" i="154" s="1"/>
  <c r="BF413" i="154"/>
  <c r="BF452" i="154" s="1" a="1"/>
  <c r="BF452" i="154" s="1"/>
  <c r="AN413" i="154"/>
  <c r="AM413" i="155"/>
  <c r="BQ413" i="155"/>
  <c r="BQ452" i="155" s="1" a="1"/>
  <c r="BQ452" i="155" s="1"/>
  <c r="BO413" i="154"/>
  <c r="BO452" i="154" s="1" a="1"/>
  <c r="BO452" i="154" s="1"/>
  <c r="BV413" i="154"/>
  <c r="BV452" i="154" s="1" a="1"/>
  <c r="BV452" i="154" s="1"/>
  <c r="AM413" i="154"/>
  <c r="BL413" i="155"/>
  <c r="BL452" i="155" s="1" a="1"/>
  <c r="BL452" i="155" s="1"/>
  <c r="BN413" i="155"/>
  <c r="BN452" i="155" s="1" a="1"/>
  <c r="BN452" i="155" s="1"/>
  <c r="BV413" i="155"/>
  <c r="BV452" i="155" s="1" a="1"/>
  <c r="BV452" i="155" s="1"/>
  <c r="BL413" i="154"/>
  <c r="BL452" i="154" s="1" a="1"/>
  <c r="BL452" i="154" s="1"/>
  <c r="AE413" i="155"/>
  <c r="AH413" i="154"/>
  <c r="AH452" i="154" s="1" a="1"/>
  <c r="AH452" i="154" s="1"/>
  <c r="AH457" i="154" s="1"/>
  <c r="AH69" i="154" s="1"/>
  <c r="AH134" i="154" s="1"/>
  <c r="AE413" i="154"/>
  <c r="AC413" i="154"/>
  <c r="BX263" i="154"/>
  <c r="BR255" i="154"/>
  <c r="AJ413" i="154"/>
  <c r="AJ452" i="154" s="1" a="1"/>
  <c r="AJ452" i="154" s="1"/>
  <c r="AJ457" i="154" s="1"/>
  <c r="AJ69" i="154" s="1"/>
  <c r="AJ134" i="154" s="1"/>
  <c r="AD413" i="154"/>
  <c r="BX255" i="155"/>
  <c r="BY271" i="155"/>
  <c r="AG413" i="154"/>
  <c r="AG452" i="154" s="1" a="1"/>
  <c r="AG452" i="154" s="1"/>
  <c r="AG457" i="154" s="1"/>
  <c r="AG69" i="154" s="1"/>
  <c r="AG134" i="154" s="1"/>
  <c r="AK413" i="154"/>
  <c r="AK452" i="154" s="1" a="1"/>
  <c r="AK452" i="154" s="1"/>
  <c r="AK457" i="154" s="1"/>
  <c r="AK69" i="154" s="1"/>
  <c r="AK134" i="154" s="1"/>
  <c r="AM561" i="99"/>
  <c r="AM567" i="99" s="1"/>
  <c r="AY127" i="105"/>
  <c r="AR129" i="104"/>
  <c r="AR64" i="104" s="1"/>
  <c r="AW64" i="105" s="1"/>
  <c r="AR30" i="151" s="1"/>
  <c r="AR129" i="99"/>
  <c r="AE278" i="154"/>
  <c r="AE469" i="154"/>
  <c r="AE19" i="154" s="1"/>
  <c r="AE84" i="154" s="1"/>
  <c r="AD469" i="154"/>
  <c r="AD19" i="154" s="1"/>
  <c r="AD278" i="154"/>
  <c r="AC469" i="154"/>
  <c r="AC278" i="154"/>
  <c r="AG469" i="154"/>
  <c r="AG278" i="154"/>
  <c r="AG322" i="154"/>
  <c r="AC322" i="154"/>
  <c r="AE322" i="154"/>
  <c r="AD322" i="154"/>
  <c r="BR271" i="154"/>
  <c r="BY255" i="155"/>
  <c r="BX307" i="154"/>
  <c r="BX271" i="154"/>
  <c r="BR315" i="155"/>
  <c r="BX307" i="155"/>
  <c r="BX299" i="155"/>
  <c r="BR263" i="155"/>
  <c r="BR255" i="155"/>
  <c r="AK322" i="154"/>
  <c r="AK469" i="154"/>
  <c r="AK278" i="154"/>
  <c r="BY315" i="154"/>
  <c r="AI322" i="154"/>
  <c r="AH322" i="154"/>
  <c r="AI469" i="154"/>
  <c r="AI19" i="154" s="1"/>
  <c r="AI84" i="154" s="1"/>
  <c r="AI278" i="154"/>
  <c r="AH278" i="154"/>
  <c r="AH469" i="154"/>
  <c r="AJ469" i="154"/>
  <c r="AJ278" i="154"/>
  <c r="AJ322" i="154"/>
  <c r="BR307" i="154"/>
  <c r="BY255" i="154"/>
  <c r="BY464" i="154"/>
  <c r="BR271" i="155"/>
  <c r="BR464" i="155"/>
  <c r="BX255" i="154"/>
  <c r="BX464" i="154"/>
  <c r="BR299" i="155"/>
  <c r="BX271" i="155"/>
  <c r="BY307" i="154"/>
  <c r="BX263" i="155"/>
  <c r="BX464" i="155"/>
  <c r="BX299" i="154"/>
  <c r="BY263" i="155"/>
  <c r="BY464" i="155"/>
  <c r="BY307" i="155"/>
  <c r="BY315" i="155"/>
  <c r="BY263" i="154"/>
  <c r="BR299" i="154"/>
  <c r="BR263" i="154"/>
  <c r="BR464" i="154"/>
  <c r="BY271" i="154"/>
  <c r="AF179" i="154"/>
  <c r="AS129" i="103"/>
  <c r="AS129" i="104"/>
  <c r="AS64" i="104" s="1"/>
  <c r="AX64" i="105" s="1"/>
  <c r="AS30" i="151" s="1"/>
  <c r="AU181" i="154"/>
  <c r="AV181" i="154"/>
  <c r="AW181" i="154"/>
  <c r="AW181" i="155"/>
  <c r="AU181" i="155"/>
  <c r="AV181" i="155"/>
  <c r="AS535" i="99"/>
  <c r="AS599" i="99" s="1"/>
  <c r="AS549" i="99"/>
  <c r="AS613" i="99" s="1"/>
  <c r="AR515" i="99"/>
  <c r="AR517" i="99" s="1"/>
  <c r="AS229" i="99"/>
  <c r="AS234" i="99"/>
  <c r="AS512" i="99"/>
  <c r="AS576" i="99" s="1"/>
  <c r="AV3" i="69"/>
  <c r="AV4" i="69" s="1"/>
  <c r="AU2" i="69" a="1"/>
  <c r="AU2" i="69" s="1"/>
  <c r="AU13" i="69"/>
  <c r="AU16" i="69"/>
  <c r="AU12" i="69"/>
  <c r="AU11" i="69"/>
  <c r="AU14" i="69"/>
  <c r="AU15" i="69"/>
  <c r="AU7" i="69"/>
  <c r="AU9" i="69"/>
  <c r="AU10" i="69"/>
  <c r="AU8" i="69"/>
  <c r="AS228" i="99"/>
  <c r="AS230" i="99"/>
  <c r="AS232" i="99"/>
  <c r="AS524" i="99"/>
  <c r="AS585" i="99"/>
  <c r="AO551" i="99"/>
  <c r="AO555" i="99" s="1"/>
  <c r="AO608" i="99"/>
  <c r="AT539" i="99"/>
  <c r="AT603" i="99" s="1"/>
  <c r="AT547" i="99"/>
  <c r="AT611" i="99" s="1"/>
  <c r="AT534" i="99"/>
  <c r="AT598" i="99" s="1"/>
  <c r="AT541" i="99"/>
  <c r="AT605" i="99" s="1"/>
  <c r="AT540" i="99"/>
  <c r="AT604" i="99" s="1"/>
  <c r="AT548" i="99"/>
  <c r="AT612" i="99" s="1"/>
  <c r="AT538" i="99"/>
  <c r="AT522" i="99"/>
  <c r="AT586" i="99" s="1"/>
  <c r="AT521" i="99"/>
  <c r="AT507" i="99"/>
  <c r="AT525" i="99"/>
  <c r="AT589" i="99" s="1"/>
  <c r="AT509" i="99"/>
  <c r="AT573" i="99" s="1"/>
  <c r="AT523" i="99"/>
  <c r="AT587" i="99" s="1"/>
  <c r="AT514" i="99"/>
  <c r="AT578" i="99" s="1"/>
  <c r="AT558" i="99"/>
  <c r="AT622" i="99" s="1"/>
  <c r="AT513" i="99"/>
  <c r="AT577" i="99" s="1"/>
  <c r="AT516" i="99"/>
  <c r="AT580" i="99" s="1"/>
  <c r="AT533" i="99"/>
  <c r="AT597" i="99" s="1"/>
  <c r="AQ579" i="99"/>
  <c r="AQ517" i="99"/>
  <c r="AV3" i="99"/>
  <c r="AV4" i="99" s="1"/>
  <c r="AU2" i="99" a="1"/>
  <c r="AU2" i="99" s="1"/>
  <c r="AU554" i="99" s="1"/>
  <c r="AU474" i="99"/>
  <c r="AU475" i="99"/>
  <c r="AU476" i="99"/>
  <c r="AU498" i="99"/>
  <c r="AU482" i="99" s="1"/>
  <c r="AU490" i="99" s="1"/>
  <c r="AU499" i="99"/>
  <c r="AU483" i="99" s="1"/>
  <c r="AU491" i="99" s="1"/>
  <c r="AU477" i="99"/>
  <c r="AU500" i="99"/>
  <c r="AU484" i="99" s="1"/>
  <c r="AU492" i="99" s="1"/>
  <c r="AU478" i="99"/>
  <c r="AU501" i="99"/>
  <c r="AU485" i="99" s="1"/>
  <c r="AU493" i="99" s="1"/>
  <c r="AU479" i="99"/>
  <c r="AU502" i="99"/>
  <c r="AU486" i="99" s="1"/>
  <c r="AU494" i="99" s="1"/>
  <c r="AU503" i="99"/>
  <c r="AU487" i="99" s="1"/>
  <c r="AU495" i="99" s="1"/>
  <c r="AS233" i="99"/>
  <c r="AP582" i="99"/>
  <c r="AP223" i="99"/>
  <c r="AS542" i="99"/>
  <c r="AS606" i="99" s="1"/>
  <c r="AS602" i="99"/>
  <c r="AP530" i="99"/>
  <c r="AP593" i="99"/>
  <c r="AP594" i="99" s="1"/>
  <c r="AP544" i="99"/>
  <c r="AK625" i="99"/>
  <c r="AK626" i="99" s="1"/>
  <c r="AK562" i="99"/>
  <c r="AK631" i="99"/>
  <c r="AP591" i="99"/>
  <c r="AP224" i="99"/>
  <c r="AM619" i="99"/>
  <c r="AM620" i="99" s="1"/>
  <c r="AM556" i="99"/>
  <c r="AR588" i="99"/>
  <c r="AR526" i="99"/>
  <c r="AM616" i="99"/>
  <c r="AN551" i="99"/>
  <c r="AN555" i="99" s="1"/>
  <c r="AN608" i="99"/>
  <c r="AY527" i="99"/>
  <c r="AQ590" i="99"/>
  <c r="AL631" i="99"/>
  <c r="AL625" i="99"/>
  <c r="AL626" i="99" s="1"/>
  <c r="AL562" i="99"/>
  <c r="AV37" i="72"/>
  <c r="AW5" i="72"/>
  <c r="AW6" i="72" s="1"/>
  <c r="AV36" i="72"/>
  <c r="AV38" i="72" s="1"/>
  <c r="AV39" i="72" s="1"/>
  <c r="AV47" i="72"/>
  <c r="AV48" i="72"/>
  <c r="AS129" i="99"/>
  <c r="AV6" i="98"/>
  <c r="AU70" i="103"/>
  <c r="AZ70" i="105" s="1"/>
  <c r="AU35" i="151" s="1"/>
  <c r="BL8" i="98"/>
  <c r="AS618" i="99"/>
  <c r="AW4" i="72" l="1" a="1"/>
  <c r="AW4" i="72" s="1"/>
  <c r="AC19" i="154"/>
  <c r="AC147" i="154" s="1"/>
  <c r="AK99" i="154"/>
  <c r="AK36" i="154"/>
  <c r="AK19" i="154"/>
  <c r="AK84" i="154" s="1"/>
  <c r="AD84" i="154"/>
  <c r="AC90" i="154"/>
  <c r="AC27" i="154"/>
  <c r="J25" i="154"/>
  <c r="J90" i="154" s="1"/>
  <c r="AI90" i="154"/>
  <c r="AI27" i="154"/>
  <c r="AE99" i="154"/>
  <c r="AE36" i="154"/>
  <c r="AI99" i="154"/>
  <c r="AI36" i="154"/>
  <c r="AH99" i="154"/>
  <c r="AH36" i="154"/>
  <c r="AH90" i="154"/>
  <c r="AH27" i="154"/>
  <c r="AK90" i="154"/>
  <c r="AK27" i="154"/>
  <c r="AE90" i="154"/>
  <c r="AE27" i="154"/>
  <c r="AC99" i="154"/>
  <c r="AC36" i="154"/>
  <c r="J34" i="154"/>
  <c r="J99" i="154" s="1"/>
  <c r="AH19" i="154"/>
  <c r="AH84" i="154" s="1"/>
  <c r="AD99" i="154"/>
  <c r="AD36" i="154"/>
  <c r="AD90" i="154"/>
  <c r="AD27" i="154"/>
  <c r="AJ19" i="154"/>
  <c r="AJ84" i="154" s="1"/>
  <c r="AJ99" i="154"/>
  <c r="AJ36" i="154"/>
  <c r="AG90" i="154"/>
  <c r="AG27" i="154"/>
  <c r="AG99" i="154"/>
  <c r="AG36" i="154"/>
  <c r="AG19" i="154"/>
  <c r="AG84" i="154" s="1"/>
  <c r="AJ90" i="154"/>
  <c r="AJ27" i="154"/>
  <c r="AW122" i="105"/>
  <c r="AX122" i="105"/>
  <c r="BY413" i="154"/>
  <c r="BY452" i="154" s="1" a="1"/>
  <c r="BY452" i="154" s="1"/>
  <c r="BR413" i="155"/>
  <c r="BR452" i="155" s="1" a="1"/>
  <c r="BR452" i="155" s="1"/>
  <c r="BY413" i="155"/>
  <c r="BY452" i="155" s="1" a="1"/>
  <c r="BY452" i="155" s="1"/>
  <c r="BX413" i="154"/>
  <c r="BX452" i="154" s="1" a="1"/>
  <c r="BX452" i="154" s="1"/>
  <c r="BR413" i="154"/>
  <c r="BR452" i="154" s="1" a="1"/>
  <c r="BR452" i="154" s="1"/>
  <c r="BX413" i="155"/>
  <c r="BX452" i="155" s="1" a="1"/>
  <c r="BX452" i="155" s="1"/>
  <c r="AZ127" i="105"/>
  <c r="S157" i="153"/>
  <c r="W157" i="153" s="1"/>
  <c r="S157" i="154"/>
  <c r="W157" i="154" s="1"/>
  <c r="S157" i="155"/>
  <c r="W157" i="155" s="1"/>
  <c r="AG418" i="154"/>
  <c r="AH418" i="154"/>
  <c r="AK418" i="154"/>
  <c r="AJ418" i="154"/>
  <c r="AD147" i="154"/>
  <c r="AD146" i="154"/>
  <c r="AD148" i="154"/>
  <c r="AD452" i="155" a="1"/>
  <c r="AD452" i="155" s="1"/>
  <c r="AD145" i="154"/>
  <c r="AG452" i="155" a="1"/>
  <c r="AG452" i="155" s="1"/>
  <c r="AD452" i="154" a="1"/>
  <c r="AD452" i="154" s="1"/>
  <c r="AD457" i="154" s="1"/>
  <c r="AD69" i="154" s="1"/>
  <c r="AD418" i="154"/>
  <c r="AC452" i="154" a="1"/>
  <c r="AC452" i="154" s="1"/>
  <c r="AC457" i="154" s="1"/>
  <c r="AC69" i="154" s="1"/>
  <c r="AC418" i="154"/>
  <c r="AE145" i="154"/>
  <c r="AE147" i="154"/>
  <c r="AE146" i="154"/>
  <c r="AE148" i="154"/>
  <c r="AE452" i="155" a="1"/>
  <c r="AE452" i="155" s="1"/>
  <c r="AE418" i="154"/>
  <c r="AE452" i="154" a="1"/>
  <c r="AE452" i="154" s="1"/>
  <c r="AE457" i="154" s="1"/>
  <c r="AE69" i="154" s="1"/>
  <c r="AE134" i="154" s="1"/>
  <c r="AI452" i="155" a="1"/>
  <c r="AI452" i="155" s="1"/>
  <c r="AM452" i="154" a="1"/>
  <c r="AM452" i="154" s="1"/>
  <c r="AI145" i="154"/>
  <c r="AL452" i="154" a="1"/>
  <c r="AL452" i="154" s="1"/>
  <c r="AJ452" i="155" a="1"/>
  <c r="AJ452" i="155" s="1"/>
  <c r="AI146" i="154"/>
  <c r="AI148" i="154"/>
  <c r="AI147" i="154"/>
  <c r="AH452" i="155" a="1"/>
  <c r="AH452" i="155" s="1"/>
  <c r="AI452" i="154" a="1"/>
  <c r="AI452" i="154" s="1"/>
  <c r="AI457" i="154" s="1"/>
  <c r="AI69" i="154" s="1"/>
  <c r="AI134" i="154" s="1"/>
  <c r="AI418" i="154"/>
  <c r="AM452" i="155" a="1"/>
  <c r="AM452" i="155" s="1"/>
  <c r="AK452" i="155" a="1"/>
  <c r="AK452" i="155" s="1"/>
  <c r="AN452" i="155" a="1"/>
  <c r="AN452" i="155" s="1"/>
  <c r="R421" i="155"/>
  <c r="AN452" i="154" a="1"/>
  <c r="AN452" i="154" s="1"/>
  <c r="R421" i="154"/>
  <c r="AT618" i="99"/>
  <c r="AT64" i="99"/>
  <c r="AF187" i="154"/>
  <c r="AF183" i="154"/>
  <c r="AV189" i="154"/>
  <c r="AU189" i="154"/>
  <c r="AV189" i="155"/>
  <c r="AU189" i="155"/>
  <c r="AW189" i="155"/>
  <c r="AW189" i="154"/>
  <c r="AT549" i="99"/>
  <c r="AT613" i="99" s="1"/>
  <c r="AT535" i="99"/>
  <c r="AT599" i="99" s="1"/>
  <c r="AR579" i="99"/>
  <c r="AS515" i="99"/>
  <c r="AS579" i="99" s="1"/>
  <c r="AT512" i="99"/>
  <c r="AT576" i="99" s="1"/>
  <c r="AU17" i="69"/>
  <c r="AZ76" i="105" s="1"/>
  <c r="AW3" i="69"/>
  <c r="AW4" i="69" s="1"/>
  <c r="AV2" i="69" a="1"/>
  <c r="AV2" i="69" s="1"/>
  <c r="AV15" i="69"/>
  <c r="AV16" i="69"/>
  <c r="AV14" i="69"/>
  <c r="AV7" i="69"/>
  <c r="AV8" i="69"/>
  <c r="AV9" i="69"/>
  <c r="AV10" i="69"/>
  <c r="AV12" i="69"/>
  <c r="AV13" i="69"/>
  <c r="AT229" i="99"/>
  <c r="AT233" i="99"/>
  <c r="AN559" i="99" a="1"/>
  <c r="AN559" i="99" s="1"/>
  <c r="AN623" i="99" s="1"/>
  <c r="AN552" i="99"/>
  <c r="AN615" i="99"/>
  <c r="AU534" i="99"/>
  <c r="AU598" i="99" s="1"/>
  <c r="AU548" i="99"/>
  <c r="AU612" i="99" s="1"/>
  <c r="AU541" i="99"/>
  <c r="AU605" i="99" s="1"/>
  <c r="AU547" i="99"/>
  <c r="AU611" i="99" s="1"/>
  <c r="AU540" i="99"/>
  <c r="AU604" i="99" s="1"/>
  <c r="AU538" i="99"/>
  <c r="AU539" i="99"/>
  <c r="AU603" i="99" s="1"/>
  <c r="AU507" i="99"/>
  <c r="AU522" i="99"/>
  <c r="AU586" i="99" s="1"/>
  <c r="AU521" i="99"/>
  <c r="AU509" i="99"/>
  <c r="AU573" i="99" s="1"/>
  <c r="AU523" i="99"/>
  <c r="AU587" i="99" s="1"/>
  <c r="AU525" i="99"/>
  <c r="AU589" i="99" s="1"/>
  <c r="AU514" i="99"/>
  <c r="AU578" i="99" s="1"/>
  <c r="AU558" i="99"/>
  <c r="AU622" i="99" s="1"/>
  <c r="AU516" i="99"/>
  <c r="AU580" i="99" s="1"/>
  <c r="AU513" i="99"/>
  <c r="AU577" i="99" s="1"/>
  <c r="AU533" i="99"/>
  <c r="AU597" i="99" s="1"/>
  <c r="AW3" i="99"/>
  <c r="AW4" i="99" s="1"/>
  <c r="AV2" i="99" a="1"/>
  <c r="AV2" i="99" s="1"/>
  <c r="AV554" i="99" s="1"/>
  <c r="AV474" i="99"/>
  <c r="AV475" i="99"/>
  <c r="AV476" i="99"/>
  <c r="AV499" i="99"/>
  <c r="AV483" i="99" s="1"/>
  <c r="AV491" i="99" s="1"/>
  <c r="AV498" i="99"/>
  <c r="AV482" i="99" s="1"/>
  <c r="AV490" i="99" s="1"/>
  <c r="AV477" i="99"/>
  <c r="AV500" i="99"/>
  <c r="AV484" i="99" s="1"/>
  <c r="AV492" i="99" s="1"/>
  <c r="AV478" i="99"/>
  <c r="AV501" i="99"/>
  <c r="AV485" i="99" s="1"/>
  <c r="AV493" i="99" s="1"/>
  <c r="AV502" i="99"/>
  <c r="AV486" i="99" s="1"/>
  <c r="AV494" i="99" s="1"/>
  <c r="AV479" i="99"/>
  <c r="AV503" i="99"/>
  <c r="AV487" i="99" s="1"/>
  <c r="AV495" i="99" s="1"/>
  <c r="AQ529" i="99"/>
  <c r="AQ581" i="99"/>
  <c r="AQ518" i="99"/>
  <c r="AO559" i="99" a="1"/>
  <c r="AO559" i="99" s="1"/>
  <c r="AO623" i="99" s="1"/>
  <c r="AO615" i="99"/>
  <c r="AO552" i="99"/>
  <c r="AZ527" i="99"/>
  <c r="AR590" i="99"/>
  <c r="AR529" i="99"/>
  <c r="AT230" i="99"/>
  <c r="AT228" i="99"/>
  <c r="AS588" i="99"/>
  <c r="AS526" i="99"/>
  <c r="AT234" i="99"/>
  <c r="AQ591" i="99"/>
  <c r="AQ224" i="99"/>
  <c r="AT585" i="99"/>
  <c r="AT524" i="99"/>
  <c r="AT232" i="99"/>
  <c r="AT542" i="99"/>
  <c r="AT606" i="99" s="1"/>
  <c r="AT602" i="99"/>
  <c r="AM631" i="99"/>
  <c r="AM562" i="99"/>
  <c r="AM625" i="99"/>
  <c r="AM626" i="99" s="1"/>
  <c r="AP551" i="99"/>
  <c r="AP555" i="99" s="1"/>
  <c r="AP608" i="99"/>
  <c r="AR518" i="99"/>
  <c r="AR581" i="99"/>
  <c r="AX5" i="72"/>
  <c r="AX6" i="72" s="1"/>
  <c r="AW36" i="72"/>
  <c r="AW38" i="72" s="1"/>
  <c r="AW39" i="72" s="1"/>
  <c r="AW37" i="72"/>
  <c r="AW48" i="72"/>
  <c r="AW47" i="72"/>
  <c r="BM8" i="98"/>
  <c r="AW6" i="98"/>
  <c r="AV70" i="103"/>
  <c r="BA70" i="105" s="1"/>
  <c r="AV35" i="151" s="1"/>
  <c r="AU64" i="99"/>
  <c r="AC146" i="154" l="1"/>
  <c r="AX4" i="72" a="1"/>
  <c r="AX4" i="72" s="1"/>
  <c r="AG148" i="154"/>
  <c r="AU40" i="151"/>
  <c r="AZ132" i="105"/>
  <c r="AH146" i="154"/>
  <c r="AH148" i="154"/>
  <c r="AJ147" i="154"/>
  <c r="AJ146" i="154"/>
  <c r="AK145" i="154"/>
  <c r="AK147" i="154"/>
  <c r="AK146" i="154"/>
  <c r="AJ145" i="154"/>
  <c r="AK148" i="154"/>
  <c r="AC145" i="154"/>
  <c r="AH145" i="154"/>
  <c r="AG146" i="154"/>
  <c r="AJ148" i="154"/>
  <c r="AG147" i="154"/>
  <c r="AG145" i="154"/>
  <c r="AJ101" i="154"/>
  <c r="AJ102" i="154" s="1"/>
  <c r="AJ37" i="154"/>
  <c r="AH101" i="154"/>
  <c r="AH102" i="154" s="1"/>
  <c r="AH37" i="154"/>
  <c r="AI101" i="154"/>
  <c r="AI102" i="154" s="1"/>
  <c r="AI37" i="154"/>
  <c r="AD101" i="154"/>
  <c r="AD102" i="154" s="1"/>
  <c r="AD37" i="154"/>
  <c r="AD92" i="154"/>
  <c r="AD93" i="154" s="1"/>
  <c r="AD39" i="154"/>
  <c r="AD28" i="154"/>
  <c r="AE101" i="154"/>
  <c r="AE102" i="154" s="1"/>
  <c r="AE37" i="154"/>
  <c r="AC92" i="154"/>
  <c r="AC93" i="154" s="1"/>
  <c r="AC39" i="154"/>
  <c r="AC28" i="154"/>
  <c r="J27" i="154"/>
  <c r="AI92" i="154"/>
  <c r="AI93" i="154" s="1"/>
  <c r="AI28" i="154"/>
  <c r="AI39" i="154"/>
  <c r="AH147" i="154"/>
  <c r="AJ92" i="154"/>
  <c r="AJ93" i="154" s="1"/>
  <c r="AJ28" i="154"/>
  <c r="AJ39" i="154"/>
  <c r="AC134" i="154"/>
  <c r="J69" i="154"/>
  <c r="J134" i="154" s="1"/>
  <c r="AC37" i="154"/>
  <c r="AC101" i="154"/>
  <c r="AC102" i="154" s="1"/>
  <c r="J36" i="154"/>
  <c r="AD134" i="154"/>
  <c r="AE92" i="154"/>
  <c r="AE93" i="154" s="1"/>
  <c r="AE39" i="154"/>
  <c r="AE28" i="154"/>
  <c r="AG101" i="154"/>
  <c r="AG102" i="154" s="1"/>
  <c r="AG37" i="154"/>
  <c r="AK101" i="154"/>
  <c r="AK102" i="154" s="1"/>
  <c r="AK37" i="154"/>
  <c r="AK92" i="154"/>
  <c r="AK93" i="154" s="1"/>
  <c r="AK28" i="154"/>
  <c r="AK39" i="154"/>
  <c r="AG92" i="154"/>
  <c r="AG93" i="154" s="1"/>
  <c r="AG28" i="154"/>
  <c r="AG39" i="154"/>
  <c r="AC84" i="154"/>
  <c r="J19" i="154"/>
  <c r="J147" i="154" s="1"/>
  <c r="AH92" i="154"/>
  <c r="AH93" i="154" s="1"/>
  <c r="AH28" i="154"/>
  <c r="AH39" i="154"/>
  <c r="AC148" i="154"/>
  <c r="AT129" i="99"/>
  <c r="AO561" i="99"/>
  <c r="AO567" i="99" s="1"/>
  <c r="AN561" i="99"/>
  <c r="AN567" i="99" s="1"/>
  <c r="BA127" i="105"/>
  <c r="AT129" i="103"/>
  <c r="AT129" i="104"/>
  <c r="AT64" i="104" s="1"/>
  <c r="AY64" i="105" s="1"/>
  <c r="AT30" i="151" s="1"/>
  <c r="AF330" i="154"/>
  <c r="AF199" i="154"/>
  <c r="AF191" i="154"/>
  <c r="AU332" i="155"/>
  <c r="AU201" i="155"/>
  <c r="AV332" i="154"/>
  <c r="AV201" i="154"/>
  <c r="AW332" i="155"/>
  <c r="AW201" i="155"/>
  <c r="AU129" i="104"/>
  <c r="AU64" i="104" s="1"/>
  <c r="AZ64" i="105" s="1"/>
  <c r="AU30" i="151" s="1"/>
  <c r="AU129" i="103"/>
  <c r="AU201" i="154"/>
  <c r="AU332" i="154"/>
  <c r="AW332" i="154"/>
  <c r="AW201" i="154"/>
  <c r="AV201" i="155"/>
  <c r="AV332" i="155"/>
  <c r="AS517" i="99"/>
  <c r="AS518" i="99" s="1"/>
  <c r="AU535" i="99"/>
  <c r="AU599" i="99" s="1"/>
  <c r="AU549" i="99"/>
  <c r="AU613" i="99" s="1"/>
  <c r="AT515" i="99"/>
  <c r="AT517" i="99" s="1"/>
  <c r="AU234" i="99"/>
  <c r="AX3" i="69"/>
  <c r="AX4" i="69" s="1"/>
  <c r="AW2" i="69" a="1"/>
  <c r="AW2" i="69" s="1"/>
  <c r="AW11" i="69"/>
  <c r="AW15" i="69"/>
  <c r="AW10" i="69"/>
  <c r="AW9" i="69"/>
  <c r="AW8" i="69"/>
  <c r="AW7" i="69"/>
  <c r="AW14" i="69"/>
  <c r="AW13" i="69"/>
  <c r="AW16" i="69"/>
  <c r="AU228" i="99"/>
  <c r="AU233" i="99"/>
  <c r="AP559" i="99" a="1"/>
  <c r="AP559" i="99" s="1"/>
  <c r="AP623" i="99" s="1"/>
  <c r="AP615" i="99"/>
  <c r="AP552" i="99"/>
  <c r="AU585" i="99"/>
  <c r="AU524" i="99"/>
  <c r="AR593" i="99"/>
  <c r="AR594" i="99" s="1"/>
  <c r="AR530" i="99"/>
  <c r="AR544" i="99"/>
  <c r="AU232" i="99"/>
  <c r="AR591" i="99"/>
  <c r="AR224" i="99"/>
  <c r="AU512" i="99"/>
  <c r="AU542" i="99"/>
  <c r="AU606" i="99" s="1"/>
  <c r="AU602" i="99"/>
  <c r="AO616" i="99"/>
  <c r="AO619" i="99"/>
  <c r="AO620" i="99" s="1"/>
  <c r="AO556" i="99"/>
  <c r="AR223" i="99"/>
  <c r="AR582" i="99"/>
  <c r="AT526" i="99"/>
  <c r="AT588" i="99"/>
  <c r="BA527" i="99"/>
  <c r="AS590" i="99"/>
  <c r="AQ582" i="99"/>
  <c r="AQ223" i="99"/>
  <c r="AV534" i="99"/>
  <c r="AV598" i="99" s="1"/>
  <c r="AV547" i="99"/>
  <c r="AV611" i="99" s="1"/>
  <c r="AV541" i="99"/>
  <c r="AV605" i="99" s="1"/>
  <c r="AV540" i="99"/>
  <c r="AV604" i="99" s="1"/>
  <c r="AV538" i="99"/>
  <c r="AV548" i="99"/>
  <c r="AV612" i="99" s="1"/>
  <c r="AV539" i="99"/>
  <c r="AV603" i="99" s="1"/>
  <c r="AV522" i="99"/>
  <c r="AV586" i="99" s="1"/>
  <c r="AV509" i="99"/>
  <c r="AV573" i="99" s="1"/>
  <c r="AV507" i="99"/>
  <c r="AV521" i="99"/>
  <c r="AV525" i="99"/>
  <c r="AV589" i="99" s="1"/>
  <c r="AV523" i="99"/>
  <c r="AV587" i="99" s="1"/>
  <c r="AV558" i="99"/>
  <c r="AV622" i="99" s="1"/>
  <c r="AV516" i="99"/>
  <c r="AV580" i="99" s="1"/>
  <c r="AV514" i="99"/>
  <c r="AV578" i="99" s="1"/>
  <c r="AV513" i="99"/>
  <c r="AV577" i="99" s="1"/>
  <c r="AV533" i="99"/>
  <c r="AV597" i="99" s="1"/>
  <c r="AN616" i="99"/>
  <c r="AQ593" i="99"/>
  <c r="AQ594" i="99" s="1"/>
  <c r="AQ530" i="99"/>
  <c r="AQ544" i="99"/>
  <c r="AX3" i="99"/>
  <c r="AX4" i="99" s="1"/>
  <c r="AW2" i="99" a="1"/>
  <c r="AW2" i="99" s="1"/>
  <c r="AW554" i="99" s="1"/>
  <c r="AW474" i="99"/>
  <c r="AW475" i="99"/>
  <c r="AW499" i="99"/>
  <c r="AW483" i="99" s="1"/>
  <c r="AW491" i="99" s="1"/>
  <c r="AW476" i="99"/>
  <c r="AW498" i="99"/>
  <c r="AW482" i="99" s="1"/>
  <c r="AW490" i="99" s="1"/>
  <c r="AW477" i="99"/>
  <c r="AW500" i="99"/>
  <c r="AW484" i="99" s="1"/>
  <c r="AW492" i="99" s="1"/>
  <c r="AW501" i="99"/>
  <c r="AW485" i="99" s="1"/>
  <c r="AW493" i="99" s="1"/>
  <c r="AW478" i="99"/>
  <c r="AW502" i="99"/>
  <c r="AW486" i="99" s="1"/>
  <c r="AW494" i="99" s="1"/>
  <c r="AW479" i="99"/>
  <c r="AW503" i="99"/>
  <c r="AW487" i="99" s="1"/>
  <c r="AW495" i="99" s="1"/>
  <c r="AN619" i="99"/>
  <c r="AN620" i="99" s="1"/>
  <c r="AN556" i="99"/>
  <c r="AU230" i="99"/>
  <c r="AU229" i="99"/>
  <c r="AY5" i="72"/>
  <c r="AY6" i="72" s="1"/>
  <c r="AX36" i="72"/>
  <c r="AX38" i="72" s="1"/>
  <c r="AX39" i="72" s="1"/>
  <c r="AX37" i="72"/>
  <c r="AX47" i="72"/>
  <c r="AX48" i="72"/>
  <c r="AU129" i="99"/>
  <c r="AU618" i="99"/>
  <c r="AX6" i="98"/>
  <c r="AW70" i="103"/>
  <c r="BB70" i="105" s="1"/>
  <c r="AW35" i="151" s="1"/>
  <c r="BN8" i="98"/>
  <c r="AY4" i="72" l="1" a="1"/>
  <c r="AY4" i="72" s="1"/>
  <c r="J146" i="154"/>
  <c r="J145" i="154"/>
  <c r="J92" i="154"/>
  <c r="J93" i="154" s="1"/>
  <c r="J28" i="154"/>
  <c r="AE104" i="154"/>
  <c r="AE105" i="154" s="1"/>
  <c r="AE54" i="154"/>
  <c r="AE40" i="154"/>
  <c r="AC104" i="154"/>
  <c r="AC105" i="154" s="1"/>
  <c r="AC40" i="154"/>
  <c r="AC54" i="154"/>
  <c r="J39" i="154"/>
  <c r="AD104" i="154"/>
  <c r="AD105" i="154" s="1"/>
  <c r="AD40" i="154"/>
  <c r="AD54" i="154"/>
  <c r="J84" i="154"/>
  <c r="J148" i="154"/>
  <c r="AG104" i="154"/>
  <c r="AG105" i="154" s="1"/>
  <c r="AG54" i="154"/>
  <c r="AG40" i="154"/>
  <c r="AJ104" i="154"/>
  <c r="AJ105" i="154" s="1"/>
  <c r="AJ40" i="154"/>
  <c r="AJ54" i="154"/>
  <c r="AH54" i="154"/>
  <c r="AH104" i="154"/>
  <c r="AH105" i="154" s="1"/>
  <c r="AH40" i="154"/>
  <c r="AK54" i="154"/>
  <c r="AK104" i="154"/>
  <c r="AK105" i="154" s="1"/>
  <c r="AK40" i="154"/>
  <c r="J101" i="154"/>
  <c r="J102" i="154" s="1"/>
  <c r="J37" i="154"/>
  <c r="AI54" i="154"/>
  <c r="AI104" i="154"/>
  <c r="AI105" i="154" s="1"/>
  <c r="AI40" i="154"/>
  <c r="AY122" i="105"/>
  <c r="AZ122" i="105"/>
  <c r="AP561" i="99"/>
  <c r="AP567" i="99" s="1"/>
  <c r="BB127" i="105"/>
  <c r="S157" i="99"/>
  <c r="AV618" i="99"/>
  <c r="AV64" i="99"/>
  <c r="AF215" i="154"/>
  <c r="AF207" i="154"/>
  <c r="AF203" i="154"/>
  <c r="AF340" i="154"/>
  <c r="AF344" i="154" s="1"/>
  <c r="AF43" i="154" s="1"/>
  <c r="AF334" i="154"/>
  <c r="AV209" i="155"/>
  <c r="AV217" i="155"/>
  <c r="AU209" i="155"/>
  <c r="AU217" i="155"/>
  <c r="AU342" i="155"/>
  <c r="AS529" i="99"/>
  <c r="AS530" i="99" s="1"/>
  <c r="AU342" i="154"/>
  <c r="AU217" i="154"/>
  <c r="AU209" i="154"/>
  <c r="AW217" i="154"/>
  <c r="AW209" i="154"/>
  <c r="AW342" i="154"/>
  <c r="AV342" i="155"/>
  <c r="AW217" i="155"/>
  <c r="AW209" i="155"/>
  <c r="AW342" i="155"/>
  <c r="AV217" i="154"/>
  <c r="AV209" i="154"/>
  <c r="AV342" i="154"/>
  <c r="AS581" i="99"/>
  <c r="AS582" i="99" s="1"/>
  <c r="Z179" i="153"/>
  <c r="Z187" i="153" s="1"/>
  <c r="AA179" i="153"/>
  <c r="AA187" i="153" s="1"/>
  <c r="AB179" i="153"/>
  <c r="AB187" i="153" s="1"/>
  <c r="AC179" i="153"/>
  <c r="AC187" i="153" s="1"/>
  <c r="AD179" i="153"/>
  <c r="AD187" i="153" s="1"/>
  <c r="AE179" i="153"/>
  <c r="AE187" i="153" s="1"/>
  <c r="AF179" i="153"/>
  <c r="AF187" i="153" s="1"/>
  <c r="AG179" i="153"/>
  <c r="AG187" i="153" s="1"/>
  <c r="AH179" i="153"/>
  <c r="AH187" i="153" s="1"/>
  <c r="AT579" i="99"/>
  <c r="AV535" i="99"/>
  <c r="AV599" i="99" s="1"/>
  <c r="AV232" i="99"/>
  <c r="AV512" i="99"/>
  <c r="AV576" i="99" s="1"/>
  <c r="AV228" i="99"/>
  <c r="AY3" i="69"/>
  <c r="AY4" i="69" s="1"/>
  <c r="AX2" i="69" a="1"/>
  <c r="AX2" i="69" s="1"/>
  <c r="AX8" i="69"/>
  <c r="AX9" i="69"/>
  <c r="AX10" i="69"/>
  <c r="AX16" i="69"/>
  <c r="AX15" i="69"/>
  <c r="AX12" i="69"/>
  <c r="AX14" i="69"/>
  <c r="AX7" i="69"/>
  <c r="AX13" i="69"/>
  <c r="AX11" i="69"/>
  <c r="AW534" i="99"/>
  <c r="AW598" i="99" s="1"/>
  <c r="AW547" i="99"/>
  <c r="AW611" i="99" s="1"/>
  <c r="AW541" i="99"/>
  <c r="AW605" i="99" s="1"/>
  <c r="AW538" i="99"/>
  <c r="AW540" i="99"/>
  <c r="AW604" i="99" s="1"/>
  <c r="AW548" i="99"/>
  <c r="AW612" i="99" s="1"/>
  <c r="AW539" i="99"/>
  <c r="AW603" i="99" s="1"/>
  <c r="AW507" i="99"/>
  <c r="AW522" i="99"/>
  <c r="AW586" i="99" s="1"/>
  <c r="AW521" i="99"/>
  <c r="AW525" i="99"/>
  <c r="AW589" i="99" s="1"/>
  <c r="AW523" i="99"/>
  <c r="AW587" i="99" s="1"/>
  <c r="AW509" i="99"/>
  <c r="AW573" i="99" s="1"/>
  <c r="AW514" i="99"/>
  <c r="AW578" i="99" s="1"/>
  <c r="AW516" i="99"/>
  <c r="AW580" i="99" s="1"/>
  <c r="AW558" i="99"/>
  <c r="AW622" i="99" s="1"/>
  <c r="AW513" i="99"/>
  <c r="AW577" i="99" s="1"/>
  <c r="AW533" i="99"/>
  <c r="AY3" i="99"/>
  <c r="AY4" i="99" s="1"/>
  <c r="AX2" i="99" a="1"/>
  <c r="AX2" i="99" s="1"/>
  <c r="AX554" i="99" s="1"/>
  <c r="AX474" i="99"/>
  <c r="AX475" i="99"/>
  <c r="AX476" i="99"/>
  <c r="AX498" i="99"/>
  <c r="AX482" i="99" s="1"/>
  <c r="AX490" i="99" s="1"/>
  <c r="AX499" i="99"/>
  <c r="AX483" i="99" s="1"/>
  <c r="AX491" i="99" s="1"/>
  <c r="AX500" i="99"/>
  <c r="AX484" i="99" s="1"/>
  <c r="AX492" i="99" s="1"/>
  <c r="AX477" i="99"/>
  <c r="AX501" i="99"/>
  <c r="AX485" i="99" s="1"/>
  <c r="AX493" i="99" s="1"/>
  <c r="AX478" i="99"/>
  <c r="AX479" i="99"/>
  <c r="AX502" i="99"/>
  <c r="AX486" i="99" s="1"/>
  <c r="AX494" i="99" s="1"/>
  <c r="AX503" i="99"/>
  <c r="AX487" i="99" s="1"/>
  <c r="AX495" i="99" s="1"/>
  <c r="AQ608" i="99"/>
  <c r="AQ551" i="99"/>
  <c r="AQ555" i="99" s="1"/>
  <c r="AV549" i="99"/>
  <c r="AV613" i="99" s="1"/>
  <c r="AV602" i="99"/>
  <c r="AV542" i="99"/>
  <c r="AV606" i="99" s="1"/>
  <c r="AR551" i="99"/>
  <c r="AR555" i="99" s="1"/>
  <c r="AR608" i="99"/>
  <c r="AU588" i="99"/>
  <c r="AU526" i="99"/>
  <c r="AN625" i="99"/>
  <c r="AN626" i="99" s="1"/>
  <c r="AN562" i="99"/>
  <c r="AN631" i="99"/>
  <c r="AO562" i="99"/>
  <c r="AO625" i="99"/>
  <c r="AO626" i="99" s="1"/>
  <c r="AO631" i="99"/>
  <c r="AP619" i="99"/>
  <c r="AP620" i="99" s="1"/>
  <c r="AP556" i="99"/>
  <c r="AV229" i="99"/>
  <c r="AP616" i="99"/>
  <c r="AV230" i="99"/>
  <c r="AU576" i="99"/>
  <c r="AU515" i="99"/>
  <c r="AV233" i="99"/>
  <c r="AS224" i="99"/>
  <c r="AS591" i="99"/>
  <c r="AV234" i="99"/>
  <c r="AT581" i="99"/>
  <c r="AT518" i="99"/>
  <c r="AV524" i="99"/>
  <c r="AV585" i="99"/>
  <c r="AT590" i="99"/>
  <c r="BB527" i="99"/>
  <c r="AT529" i="99"/>
  <c r="AZ5" i="72"/>
  <c r="AZ6" i="72" s="1"/>
  <c r="AY36" i="72"/>
  <c r="AY38" i="72" s="1"/>
  <c r="AY39" i="72" s="1"/>
  <c r="AY37" i="72"/>
  <c r="AY48" i="72"/>
  <c r="AY47" i="72"/>
  <c r="AY6" i="98"/>
  <c r="AX70" i="103"/>
  <c r="BC70" i="105" s="1"/>
  <c r="AX35" i="151" s="1"/>
  <c r="BO8" i="98"/>
  <c r="AZ4" i="72" l="1" a="1"/>
  <c r="AZ4" i="72" s="1"/>
  <c r="AG119" i="154"/>
  <c r="AG61" i="154"/>
  <c r="AD119" i="154"/>
  <c r="AD61" i="154"/>
  <c r="AI119" i="154"/>
  <c r="AI61" i="154"/>
  <c r="J104" i="154"/>
  <c r="J105" i="154" s="1"/>
  <c r="J40" i="154"/>
  <c r="AC119" i="154"/>
  <c r="AC61" i="154"/>
  <c r="J54" i="154"/>
  <c r="J119" i="154" s="1"/>
  <c r="AF108" i="154"/>
  <c r="AF45" i="154"/>
  <c r="AK119" i="154"/>
  <c r="AK61" i="154"/>
  <c r="AE119" i="154"/>
  <c r="AE61" i="154"/>
  <c r="AH119" i="154"/>
  <c r="AH61" i="154"/>
  <c r="AJ119" i="154"/>
  <c r="AJ61" i="154"/>
  <c r="AV129" i="104"/>
  <c r="AV64" i="104" s="1"/>
  <c r="BA64" i="105" s="1"/>
  <c r="AV30" i="151" s="1"/>
  <c r="BC127" i="105"/>
  <c r="AV129" i="99"/>
  <c r="AV129" i="103"/>
  <c r="Y157" i="155"/>
  <c r="S172" i="155" s="1"/>
  <c r="Y157" i="154"/>
  <c r="S172" i="154" s="1"/>
  <c r="Y157" i="153"/>
  <c r="S172" i="153" s="1"/>
  <c r="T172" i="153" s="1"/>
  <c r="AJ179" i="153" s="1"/>
  <c r="AJ187" i="153" s="1"/>
  <c r="AJ199" i="153" s="1"/>
  <c r="W157" i="99"/>
  <c r="AW618" i="99"/>
  <c r="AW64" i="99"/>
  <c r="AF240" i="154"/>
  <c r="AF211" i="154"/>
  <c r="AF284" i="154"/>
  <c r="AF219" i="154"/>
  <c r="AS544" i="99"/>
  <c r="AS551" i="99" s="1"/>
  <c r="AS555" i="99" s="1"/>
  <c r="AS593" i="99"/>
  <c r="AS594" i="99" s="1"/>
  <c r="AV242" i="154"/>
  <c r="AV286" i="154"/>
  <c r="AW242" i="155"/>
  <c r="AU242" i="154"/>
  <c r="AW286" i="155"/>
  <c r="AU286" i="154"/>
  <c r="AW242" i="154"/>
  <c r="AW286" i="154"/>
  <c r="AU286" i="155"/>
  <c r="AU242" i="155"/>
  <c r="AV286" i="155"/>
  <c r="AV242" i="155"/>
  <c r="AS223" i="99"/>
  <c r="AI179" i="153"/>
  <c r="AI187" i="153" s="1"/>
  <c r="AI330" i="153" s="1"/>
  <c r="AI340" i="153" s="1"/>
  <c r="AK179" i="153"/>
  <c r="AK187" i="153" s="1"/>
  <c r="AK199" i="153" s="1"/>
  <c r="AH199" i="153"/>
  <c r="AH330" i="153"/>
  <c r="AH340" i="153" s="1"/>
  <c r="AG330" i="153"/>
  <c r="AG340" i="153" s="1"/>
  <c r="AG199" i="153"/>
  <c r="AF199" i="153"/>
  <c r="AF330" i="153"/>
  <c r="AF340" i="153" s="1"/>
  <c r="AL179" i="153"/>
  <c r="AL187" i="153" s="1"/>
  <c r="AM179" i="153"/>
  <c r="AM187" i="153" s="1"/>
  <c r="AN179" i="153"/>
  <c r="AN187" i="153" s="1"/>
  <c r="AO179" i="153"/>
  <c r="AO187" i="153" s="1"/>
  <c r="AP179" i="153"/>
  <c r="AP187" i="153" s="1"/>
  <c r="AQ179" i="153"/>
  <c r="AQ187" i="153" s="1"/>
  <c r="AR179" i="153"/>
  <c r="AR187" i="153" s="1"/>
  <c r="AS179" i="153"/>
  <c r="AS187" i="153" s="1"/>
  <c r="AE330" i="153"/>
  <c r="AE340" i="153" s="1"/>
  <c r="AE199" i="153"/>
  <c r="AD199" i="153"/>
  <c r="AD330" i="153"/>
  <c r="AD340" i="153" s="1"/>
  <c r="AC330" i="153"/>
  <c r="AC340" i="153" s="1"/>
  <c r="AC199" i="153"/>
  <c r="AB330" i="153"/>
  <c r="AB340" i="153" s="1"/>
  <c r="AB199" i="153"/>
  <c r="AA199" i="153"/>
  <c r="AA330" i="153"/>
  <c r="AA340" i="153" s="1"/>
  <c r="Z330" i="153"/>
  <c r="Z340" i="153" s="1"/>
  <c r="Z199" i="153"/>
  <c r="AW535" i="99"/>
  <c r="AW599" i="99" s="1"/>
  <c r="AW597" i="99"/>
  <c r="AV515" i="99"/>
  <c r="AV517" i="99" s="1"/>
  <c r="AW230" i="99"/>
  <c r="AX17" i="69"/>
  <c r="BC76" i="105" s="1"/>
  <c r="AW234" i="99"/>
  <c r="AZ3" i="69"/>
  <c r="AZ4" i="69" s="1"/>
  <c r="AY2" i="69" a="1"/>
  <c r="AY2" i="69" s="1"/>
  <c r="AY15" i="69"/>
  <c r="AY8" i="69"/>
  <c r="AY7" i="69"/>
  <c r="AY10" i="69"/>
  <c r="AY11" i="69"/>
  <c r="AY14" i="69"/>
  <c r="AY16" i="69"/>
  <c r="AY9" i="69"/>
  <c r="AY12" i="69"/>
  <c r="AQ559" i="99" a="1"/>
  <c r="AQ559" i="99" s="1"/>
  <c r="AQ623" i="99" s="1"/>
  <c r="AQ615" i="99"/>
  <c r="AQ552" i="99"/>
  <c r="AT591" i="99"/>
  <c r="AT224" i="99"/>
  <c r="AW229" i="99"/>
  <c r="AW233" i="99"/>
  <c r="AV588" i="99"/>
  <c r="AV526" i="99"/>
  <c r="AW585" i="99"/>
  <c r="AW524" i="99"/>
  <c r="AT582" i="99"/>
  <c r="AT223" i="99"/>
  <c r="AU590" i="99"/>
  <c r="BC527" i="99"/>
  <c r="AW232" i="99"/>
  <c r="AW512" i="99"/>
  <c r="AP562" i="99"/>
  <c r="AP631" i="99"/>
  <c r="AP625" i="99"/>
  <c r="AP626" i="99" s="1"/>
  <c r="AW542" i="99"/>
  <c r="AW606" i="99" s="1"/>
  <c r="AW602" i="99"/>
  <c r="AX548" i="99"/>
  <c r="AX612" i="99" s="1"/>
  <c r="AX541" i="99"/>
  <c r="AX605" i="99" s="1"/>
  <c r="AX547" i="99"/>
  <c r="AX611" i="99" s="1"/>
  <c r="AX540" i="99"/>
  <c r="AX604" i="99" s="1"/>
  <c r="AX538" i="99"/>
  <c r="AX539" i="99"/>
  <c r="AX603" i="99" s="1"/>
  <c r="AX534" i="99"/>
  <c r="AX598" i="99" s="1"/>
  <c r="AX525" i="99"/>
  <c r="AX589" i="99" s="1"/>
  <c r="AX507" i="99"/>
  <c r="AX509" i="99"/>
  <c r="AX573" i="99" s="1"/>
  <c r="AX523" i="99"/>
  <c r="AX587" i="99" s="1"/>
  <c r="AX522" i="99"/>
  <c r="AX586" i="99" s="1"/>
  <c r="AX521" i="99"/>
  <c r="AX558" i="99"/>
  <c r="AX622" i="99" s="1"/>
  <c r="AX516" i="99"/>
  <c r="AX580" i="99" s="1"/>
  <c r="AX514" i="99"/>
  <c r="AX578" i="99" s="1"/>
  <c r="AX513" i="99"/>
  <c r="AX577" i="99" s="1"/>
  <c r="AX533" i="99"/>
  <c r="AX597" i="99" s="1"/>
  <c r="AR559" i="99" a="1"/>
  <c r="AR559" i="99" s="1"/>
  <c r="AR623" i="99" s="1"/>
  <c r="AR615" i="99"/>
  <c r="AR552" i="99"/>
  <c r="AZ3" i="99"/>
  <c r="AZ4" i="99" s="1"/>
  <c r="AY2" i="99" a="1"/>
  <c r="AY2" i="99" s="1"/>
  <c r="AY554" i="99" s="1"/>
  <c r="AY474" i="99"/>
  <c r="AY475" i="99"/>
  <c r="AY476" i="99"/>
  <c r="AY499" i="99"/>
  <c r="AY483" i="99" s="1"/>
  <c r="AY491" i="99" s="1"/>
  <c r="AY500" i="99"/>
  <c r="AY484" i="99" s="1"/>
  <c r="AY492" i="99" s="1"/>
  <c r="AY498" i="99"/>
  <c r="AY482" i="99" s="1"/>
  <c r="AY490" i="99" s="1"/>
  <c r="AY477" i="99"/>
  <c r="AY478" i="99"/>
  <c r="AY501" i="99"/>
  <c r="AY485" i="99" s="1"/>
  <c r="AY493" i="99" s="1"/>
  <c r="AY479" i="99"/>
  <c r="AY502" i="99"/>
  <c r="AY486" i="99" s="1"/>
  <c r="AY494" i="99" s="1"/>
  <c r="AY503" i="99"/>
  <c r="AY487" i="99" s="1"/>
  <c r="AY495" i="99" s="1"/>
  <c r="AU579" i="99"/>
  <c r="AU517" i="99"/>
  <c r="AU529" i="99" s="1"/>
  <c r="AW549" i="99"/>
  <c r="AW613" i="99" s="1"/>
  <c r="AT593" i="99"/>
  <c r="AT594" i="99" s="1"/>
  <c r="AT530" i="99"/>
  <c r="AT544" i="99"/>
  <c r="AW228" i="99"/>
  <c r="BA5" i="72"/>
  <c r="BA6" i="72" s="1"/>
  <c r="AZ36" i="72"/>
  <c r="AZ38" i="72" s="1"/>
  <c r="AZ39" i="72" s="1"/>
  <c r="AZ37" i="72"/>
  <c r="AZ48" i="72"/>
  <c r="AZ47" i="72"/>
  <c r="AZ6" i="98"/>
  <c r="AY70" i="103"/>
  <c r="BD70" i="105" s="1"/>
  <c r="AY35" i="151" s="1"/>
  <c r="BP8" i="98"/>
  <c r="AX40" i="151" l="1"/>
  <c r="BC132" i="105"/>
  <c r="BA4" i="72" a="1"/>
  <c r="BA4" i="72" s="1"/>
  <c r="AE65" i="154"/>
  <c r="AE62" i="154"/>
  <c r="AE126" i="154"/>
  <c r="AE127" i="154" s="1"/>
  <c r="AK65" i="154"/>
  <c r="AK126" i="154"/>
  <c r="AK127" i="154" s="1"/>
  <c r="AK62" i="154"/>
  <c r="AF110" i="154"/>
  <c r="AC65" i="154"/>
  <c r="AC126" i="154"/>
  <c r="AC127" i="154" s="1"/>
  <c r="AC62" i="154"/>
  <c r="J61" i="154"/>
  <c r="AI65" i="154"/>
  <c r="AI62" i="154"/>
  <c r="AI126" i="154"/>
  <c r="AI127" i="154" s="1"/>
  <c r="AD65" i="154"/>
  <c r="AD62" i="154"/>
  <c r="AD126" i="154"/>
  <c r="AD127" i="154" s="1"/>
  <c r="AJ65" i="154"/>
  <c r="AJ62" i="154"/>
  <c r="AJ126" i="154"/>
  <c r="AJ127" i="154" s="1"/>
  <c r="AG65" i="154"/>
  <c r="AG126" i="154"/>
  <c r="AG127" i="154" s="1"/>
  <c r="AG62" i="154"/>
  <c r="AH126" i="154"/>
  <c r="AH127" i="154" s="1"/>
  <c r="AH65" i="154"/>
  <c r="AH62" i="154"/>
  <c r="BA122" i="105"/>
  <c r="AW129" i="99"/>
  <c r="AQ561" i="99"/>
  <c r="AQ567" i="99" s="1"/>
  <c r="AR561" i="99"/>
  <c r="AR567" i="99" s="1"/>
  <c r="BD127" i="105"/>
  <c r="AT179" i="153"/>
  <c r="AT187" i="153" s="1"/>
  <c r="AT330" i="153" s="1"/>
  <c r="AT340" i="153" s="1"/>
  <c r="AN179" i="155"/>
  <c r="AL179" i="155"/>
  <c r="AM179" i="155"/>
  <c r="AN179" i="154"/>
  <c r="AM179" i="154"/>
  <c r="AL179" i="154"/>
  <c r="AJ330" i="153"/>
  <c r="AJ340" i="153" s="1"/>
  <c r="U172" i="153"/>
  <c r="AV179" i="153" s="1"/>
  <c r="AV187" i="153" s="1"/>
  <c r="AV199" i="153" s="1"/>
  <c r="AW129" i="103"/>
  <c r="AP179" i="154"/>
  <c r="AQ179" i="154"/>
  <c r="AS179" i="154"/>
  <c r="AR179" i="154"/>
  <c r="AO179" i="154"/>
  <c r="AW129" i="104"/>
  <c r="AW64" i="104" s="1"/>
  <c r="BB64" i="105" s="1"/>
  <c r="AW30" i="151" s="1"/>
  <c r="AP179" i="155"/>
  <c r="AS179" i="155"/>
  <c r="AR179" i="155"/>
  <c r="AO179" i="155"/>
  <c r="AQ179" i="155"/>
  <c r="AT179" i="155"/>
  <c r="AW179" i="155"/>
  <c r="AV179" i="155"/>
  <c r="AU179" i="155"/>
  <c r="AW179" i="154"/>
  <c r="AU179" i="154"/>
  <c r="AT179" i="154"/>
  <c r="AV179" i="154"/>
  <c r="U433" i="153"/>
  <c r="AP433" i="153"/>
  <c r="BL433" i="153"/>
  <c r="S433" i="153"/>
  <c r="AQ433" i="153"/>
  <c r="BM433" i="153"/>
  <c r="AX433" i="153"/>
  <c r="V433" i="153"/>
  <c r="AR433" i="153"/>
  <c r="BN433" i="153"/>
  <c r="W433" i="153"/>
  <c r="AS433" i="153"/>
  <c r="BO433" i="153"/>
  <c r="Y433" i="153"/>
  <c r="AU433" i="153"/>
  <c r="BQ433" i="153"/>
  <c r="AW433" i="153"/>
  <c r="X433" i="153"/>
  <c r="AT433" i="153"/>
  <c r="BP433" i="153"/>
  <c r="AA433" i="153"/>
  <c r="BS433" i="153"/>
  <c r="Z433" i="153"/>
  <c r="AV433" i="153"/>
  <c r="BR433" i="153"/>
  <c r="AC433" i="153"/>
  <c r="AY433" i="153"/>
  <c r="BU433" i="153"/>
  <c r="AD433" i="153"/>
  <c r="AZ433" i="153"/>
  <c r="BV433" i="153"/>
  <c r="AE433" i="153"/>
  <c r="BA433" i="153"/>
  <c r="BW433" i="153"/>
  <c r="AO433" i="153"/>
  <c r="AF433" i="153"/>
  <c r="BB433" i="153"/>
  <c r="BX433" i="153"/>
  <c r="AG433" i="153"/>
  <c r="BC433" i="153"/>
  <c r="BY433" i="153"/>
  <c r="BT433" i="153"/>
  <c r="AH433" i="153"/>
  <c r="BD433" i="153"/>
  <c r="AI433" i="153"/>
  <c r="BH433" i="153"/>
  <c r="BE433" i="153"/>
  <c r="BG433" i="153"/>
  <c r="AL433" i="153"/>
  <c r="AM433" i="153"/>
  <c r="BK433" i="153"/>
  <c r="AB433" i="153"/>
  <c r="AJ433" i="153"/>
  <c r="BF433" i="153"/>
  <c r="AK433" i="153"/>
  <c r="BI433" i="153"/>
  <c r="R433" i="153"/>
  <c r="AN433" i="153"/>
  <c r="BJ433" i="153"/>
  <c r="T433" i="153"/>
  <c r="T172" i="154"/>
  <c r="BB179" i="154" s="1"/>
  <c r="BB187" i="154" s="1"/>
  <c r="AZ179" i="154"/>
  <c r="BE179" i="154"/>
  <c r="BE187" i="154" s="1"/>
  <c r="BS433" i="154"/>
  <c r="T433" i="154"/>
  <c r="AT433" i="154"/>
  <c r="AF433" i="154"/>
  <c r="AM433" i="154"/>
  <c r="BN433" i="154"/>
  <c r="AZ433" i="154"/>
  <c r="BG433" i="154"/>
  <c r="AA433" i="154"/>
  <c r="BT433" i="154"/>
  <c r="U433" i="154"/>
  <c r="AU433" i="154"/>
  <c r="AG433" i="154"/>
  <c r="S433" i="154"/>
  <c r="BO433" i="154"/>
  <c r="AJ433" i="154"/>
  <c r="BA433" i="154"/>
  <c r="AN433" i="154"/>
  <c r="AB433" i="154"/>
  <c r="BU433" i="154"/>
  <c r="BH433" i="154"/>
  <c r="AV433" i="154"/>
  <c r="AH433" i="154"/>
  <c r="AO433" i="154"/>
  <c r="BP433" i="154"/>
  <c r="BB433" i="154"/>
  <c r="BI433" i="154"/>
  <c r="BW433" i="154"/>
  <c r="BV433" i="154"/>
  <c r="V433" i="154"/>
  <c r="AI433" i="154"/>
  <c r="AP433" i="154"/>
  <c r="BC433" i="154"/>
  <c r="BJ433" i="154"/>
  <c r="W433" i="154"/>
  <c r="AC433" i="154"/>
  <c r="BD433" i="154"/>
  <c r="BK433" i="154"/>
  <c r="AW433" i="154"/>
  <c r="BX433" i="154"/>
  <c r="X433" i="154"/>
  <c r="BQ433" i="154"/>
  <c r="AK433" i="154"/>
  <c r="AR433" i="154"/>
  <c r="BM433" i="154"/>
  <c r="AQ433" i="154"/>
  <c r="AD433" i="154"/>
  <c r="BE433" i="154"/>
  <c r="BL433" i="154"/>
  <c r="AX433" i="154"/>
  <c r="BY433" i="154"/>
  <c r="Y433" i="154"/>
  <c r="AE433" i="154"/>
  <c r="BR433" i="154"/>
  <c r="R433" i="154"/>
  <c r="AS433" i="154"/>
  <c r="AL433" i="154"/>
  <c r="AY433" i="154"/>
  <c r="BF433" i="154"/>
  <c r="Z433" i="154"/>
  <c r="AZ179" i="155"/>
  <c r="T172" i="155"/>
  <c r="BE179" i="155" s="1"/>
  <c r="BE187" i="155" s="1"/>
  <c r="AA433" i="155"/>
  <c r="BB433" i="155"/>
  <c r="BI433" i="155"/>
  <c r="AU433" i="155"/>
  <c r="BV433" i="155"/>
  <c r="V433" i="155"/>
  <c r="BO433" i="155"/>
  <c r="AI433" i="155"/>
  <c r="AP433" i="155"/>
  <c r="AB433" i="155"/>
  <c r="BC433" i="155"/>
  <c r="BJ433" i="155"/>
  <c r="AV433" i="155"/>
  <c r="BW433" i="155"/>
  <c r="W433" i="155"/>
  <c r="BP433" i="155"/>
  <c r="AJ433" i="155"/>
  <c r="AQ433" i="155"/>
  <c r="AC433" i="155"/>
  <c r="BD433" i="155"/>
  <c r="BK433" i="155"/>
  <c r="AW433" i="155"/>
  <c r="BX433" i="155"/>
  <c r="X433" i="155"/>
  <c r="BQ433" i="155"/>
  <c r="AK433" i="155"/>
  <c r="AR433" i="155"/>
  <c r="AD433" i="155"/>
  <c r="BE433" i="155"/>
  <c r="BL433" i="155"/>
  <c r="AX433" i="155"/>
  <c r="BY433" i="155"/>
  <c r="Y433" i="155"/>
  <c r="BR433" i="155"/>
  <c r="AM433" i="155"/>
  <c r="AS433" i="155"/>
  <c r="AE433" i="155"/>
  <c r="BG433" i="155"/>
  <c r="BM433" i="155"/>
  <c r="AY433" i="155"/>
  <c r="R433" i="155"/>
  <c r="Z433" i="155"/>
  <c r="BS433" i="155"/>
  <c r="AL433" i="155"/>
  <c r="AT433" i="155"/>
  <c r="AF433" i="155"/>
  <c r="BF433" i="155"/>
  <c r="BN433" i="155"/>
  <c r="AZ433" i="155"/>
  <c r="U433" i="155"/>
  <c r="BT433" i="155"/>
  <c r="S433" i="155"/>
  <c r="AG433" i="155"/>
  <c r="AN433" i="155"/>
  <c r="BA433" i="155"/>
  <c r="BH433" i="155"/>
  <c r="BU433" i="155"/>
  <c r="T433" i="155"/>
  <c r="AH433" i="155"/>
  <c r="AO433" i="155"/>
  <c r="AX618" i="99"/>
  <c r="AX64" i="99"/>
  <c r="AS608" i="99"/>
  <c r="AF248" i="154"/>
  <c r="AF244" i="154"/>
  <c r="AF292" i="154"/>
  <c r="AF308" i="154" s="1"/>
  <c r="AF312" i="154" s="1"/>
  <c r="AF33" i="154" s="1"/>
  <c r="AF288" i="154"/>
  <c r="AU294" i="155"/>
  <c r="AU302" i="155" s="1"/>
  <c r="AW294" i="154"/>
  <c r="AW318" i="154" s="1"/>
  <c r="AW250" i="155"/>
  <c r="AU250" i="155"/>
  <c r="AU294" i="154"/>
  <c r="AU318" i="154" s="1"/>
  <c r="AW250" i="154"/>
  <c r="AV250" i="154"/>
  <c r="AV250" i="155"/>
  <c r="AW294" i="155"/>
  <c r="AW318" i="155" s="1"/>
  <c r="AV294" i="154"/>
  <c r="AV302" i="154" s="1"/>
  <c r="AV294" i="155"/>
  <c r="AV310" i="155" s="1"/>
  <c r="AU250" i="154"/>
  <c r="AI199" i="153"/>
  <c r="AI215" i="153" s="1"/>
  <c r="AI284" i="153" s="1"/>
  <c r="AK330" i="153"/>
  <c r="AK340" i="153" s="1"/>
  <c r="AU179" i="153"/>
  <c r="AU187" i="153" s="1"/>
  <c r="AU330" i="153" s="1"/>
  <c r="AU340" i="153" s="1"/>
  <c r="AW179" i="153"/>
  <c r="AW187" i="153" s="1"/>
  <c r="AW199" i="153" s="1"/>
  <c r="AS199" i="153"/>
  <c r="AS330" i="153"/>
  <c r="AS340" i="153" s="1"/>
  <c r="AR199" i="153"/>
  <c r="AR330" i="153"/>
  <c r="AR340" i="153" s="1"/>
  <c r="AQ330" i="153"/>
  <c r="AQ340" i="153" s="1"/>
  <c r="AQ199" i="153"/>
  <c r="AP199" i="153"/>
  <c r="AP330" i="153"/>
  <c r="AP340" i="153" s="1"/>
  <c r="BC179" i="153"/>
  <c r="BC187" i="153" s="1"/>
  <c r="BB179" i="153"/>
  <c r="BB187" i="153" s="1"/>
  <c r="BA179" i="153"/>
  <c r="BA187" i="153" s="1"/>
  <c r="BD179" i="153"/>
  <c r="BD187" i="153" s="1"/>
  <c r="AZ179" i="153"/>
  <c r="AZ187" i="153" s="1"/>
  <c r="BE179" i="153"/>
  <c r="BE187" i="153" s="1"/>
  <c r="BF179" i="153"/>
  <c r="BF187" i="153" s="1"/>
  <c r="AY179" i="153"/>
  <c r="AY187" i="153" s="1"/>
  <c r="AX179" i="153"/>
  <c r="AX187" i="153" s="1"/>
  <c r="AO199" i="153"/>
  <c r="AO330" i="153"/>
  <c r="AO340" i="153" s="1"/>
  <c r="AN199" i="153"/>
  <c r="AN330" i="153"/>
  <c r="AN340" i="153" s="1"/>
  <c r="AM199" i="153"/>
  <c r="AM330" i="153"/>
  <c r="AM340" i="153" s="1"/>
  <c r="Z207" i="153"/>
  <c r="Z240" i="153" s="1"/>
  <c r="Z215" i="153"/>
  <c r="Z284" i="153" s="1"/>
  <c r="AL330" i="153"/>
  <c r="AL340" i="153" s="1"/>
  <c r="AL199" i="153"/>
  <c r="AF207" i="153"/>
  <c r="AF240" i="153" s="1"/>
  <c r="AF215" i="153"/>
  <c r="AF284" i="153" s="1"/>
  <c r="AA215" i="153"/>
  <c r="AA284" i="153" s="1"/>
  <c r="AA207" i="153"/>
  <c r="AA240" i="153" s="1"/>
  <c r="AG215" i="153"/>
  <c r="AG284" i="153" s="1"/>
  <c r="AG207" i="153"/>
  <c r="AG240" i="153" s="1"/>
  <c r="AB215" i="153"/>
  <c r="AB284" i="153" s="1"/>
  <c r="AB207" i="153"/>
  <c r="AB240" i="153" s="1"/>
  <c r="AC215" i="153"/>
  <c r="AC284" i="153" s="1"/>
  <c r="AC207" i="153"/>
  <c r="AC240" i="153" s="1"/>
  <c r="AH207" i="153"/>
  <c r="AH240" i="153" s="1"/>
  <c r="AH215" i="153"/>
  <c r="AH284" i="153" s="1"/>
  <c r="AD215" i="153"/>
  <c r="AD284" i="153" s="1"/>
  <c r="AD207" i="153"/>
  <c r="AD240" i="153" s="1"/>
  <c r="AV579" i="99"/>
  <c r="AE215" i="153"/>
  <c r="AE284" i="153" s="1"/>
  <c r="AE207" i="153"/>
  <c r="AE240" i="153" s="1"/>
  <c r="AJ215" i="153"/>
  <c r="AJ284" i="153" s="1"/>
  <c r="AJ207" i="153"/>
  <c r="AJ240" i="153" s="1"/>
  <c r="AK207" i="153"/>
  <c r="AK240" i="153" s="1"/>
  <c r="AK215" i="153"/>
  <c r="AK284" i="153" s="1"/>
  <c r="AX549" i="99"/>
  <c r="AX613" i="99" s="1"/>
  <c r="AX535" i="99"/>
  <c r="AX599" i="99" s="1"/>
  <c r="BA3" i="69"/>
  <c r="BA4" i="69" s="1"/>
  <c r="AZ2" i="69" a="1"/>
  <c r="AZ2" i="69" s="1"/>
  <c r="AZ10" i="69"/>
  <c r="AZ13" i="69"/>
  <c r="AZ14" i="69"/>
  <c r="AZ8" i="69"/>
  <c r="AZ7" i="69"/>
  <c r="AZ16" i="69"/>
  <c r="AZ11" i="69"/>
  <c r="AZ15" i="69"/>
  <c r="AZ9" i="69"/>
  <c r="AX229" i="99"/>
  <c r="AX230" i="99"/>
  <c r="AX232" i="99"/>
  <c r="AU530" i="99"/>
  <c r="AU593" i="99"/>
  <c r="AU594" i="99" s="1"/>
  <c r="AU544" i="99"/>
  <c r="AR619" i="99"/>
  <c r="AR620" i="99" s="1"/>
  <c r="AR556" i="99"/>
  <c r="AR616" i="99"/>
  <c r="AX585" i="99"/>
  <c r="AX524" i="99"/>
  <c r="AX233" i="99"/>
  <c r="AW576" i="99"/>
  <c r="AW515" i="99"/>
  <c r="AX512" i="99"/>
  <c r="AS559" i="99" a="1"/>
  <c r="AS559" i="99" s="1"/>
  <c r="AS623" i="99" s="1"/>
  <c r="AS615" i="99"/>
  <c r="AS552" i="99"/>
  <c r="AX234" i="99"/>
  <c r="AX542" i="99"/>
  <c r="AX606" i="99" s="1"/>
  <c r="AX602" i="99"/>
  <c r="AU591" i="99"/>
  <c r="AU224" i="99"/>
  <c r="AV518" i="99"/>
  <c r="AV581" i="99"/>
  <c r="AU518" i="99"/>
  <c r="AU581" i="99"/>
  <c r="AW526" i="99"/>
  <c r="AW588" i="99"/>
  <c r="AT608" i="99"/>
  <c r="AT551" i="99"/>
  <c r="AT555" i="99" s="1"/>
  <c r="AV590" i="99"/>
  <c r="BD527" i="99"/>
  <c r="AV529" i="99"/>
  <c r="AQ619" i="99"/>
  <c r="AQ620" i="99" s="1"/>
  <c r="AQ556" i="99"/>
  <c r="AY534" i="99"/>
  <c r="AY598" i="99" s="1"/>
  <c r="AY547" i="99"/>
  <c r="AY611" i="99" s="1"/>
  <c r="AY541" i="99"/>
  <c r="AY605" i="99" s="1"/>
  <c r="AY538" i="99"/>
  <c r="AY540" i="99"/>
  <c r="AY604" i="99" s="1"/>
  <c r="AY548" i="99"/>
  <c r="AY612" i="99" s="1"/>
  <c r="AY539" i="99"/>
  <c r="AY603" i="99" s="1"/>
  <c r="AY507" i="99"/>
  <c r="AY521" i="99"/>
  <c r="AY509" i="99"/>
  <c r="AY573" i="99" s="1"/>
  <c r="AY523" i="99"/>
  <c r="AY587" i="99" s="1"/>
  <c r="AY525" i="99"/>
  <c r="AY589" i="99" s="1"/>
  <c r="AY522" i="99"/>
  <c r="AY586" i="99" s="1"/>
  <c r="AY516" i="99"/>
  <c r="AY580" i="99" s="1"/>
  <c r="AY558" i="99"/>
  <c r="AY622" i="99" s="1"/>
  <c r="AY514" i="99"/>
  <c r="AY578" i="99" s="1"/>
  <c r="AY513" i="99"/>
  <c r="AY577" i="99" s="1"/>
  <c r="AY533" i="99"/>
  <c r="AY597" i="99" s="1"/>
  <c r="AX228" i="99"/>
  <c r="AQ616" i="99"/>
  <c r="BA3" i="99"/>
  <c r="BA4" i="99" s="1"/>
  <c r="AZ2" i="99" a="1"/>
  <c r="AZ2" i="99" s="1"/>
  <c r="AZ554" i="99" s="1"/>
  <c r="AZ474" i="99"/>
  <c r="AZ475" i="99"/>
  <c r="AZ498" i="99"/>
  <c r="AZ482" i="99" s="1"/>
  <c r="AZ490" i="99" s="1"/>
  <c r="AZ499" i="99"/>
  <c r="AZ483" i="99" s="1"/>
  <c r="AZ491" i="99" s="1"/>
  <c r="AZ476" i="99"/>
  <c r="AZ500" i="99"/>
  <c r="AZ484" i="99" s="1"/>
  <c r="AZ492" i="99" s="1"/>
  <c r="AZ477" i="99"/>
  <c r="AZ501" i="99"/>
  <c r="AZ485" i="99" s="1"/>
  <c r="AZ493" i="99" s="1"/>
  <c r="AZ478" i="99"/>
  <c r="AZ479" i="99"/>
  <c r="AZ502" i="99"/>
  <c r="AZ486" i="99" s="1"/>
  <c r="AZ494" i="99" s="1"/>
  <c r="AZ503" i="99"/>
  <c r="AZ487" i="99" s="1"/>
  <c r="AZ495" i="99" s="1"/>
  <c r="BB5" i="72"/>
  <c r="BB6" i="72" s="1"/>
  <c r="BA36" i="72"/>
  <c r="BA38" i="72" s="1"/>
  <c r="BA39" i="72" s="1"/>
  <c r="BA37" i="72"/>
  <c r="BA47" i="72"/>
  <c r="BA48" i="72"/>
  <c r="BA6" i="98"/>
  <c r="AZ70" i="103"/>
  <c r="BE70" i="105" s="1"/>
  <c r="AZ35" i="151" s="1"/>
  <c r="BQ8" i="98"/>
  <c r="BB4" i="72" l="1" a="1"/>
  <c r="BB4" i="72" s="1"/>
  <c r="AJ71" i="154"/>
  <c r="AJ130" i="154"/>
  <c r="AJ131" i="154" s="1"/>
  <c r="AJ66" i="154"/>
  <c r="AD71" i="154"/>
  <c r="AD66" i="154"/>
  <c r="AD130" i="154"/>
  <c r="AD131" i="154" s="1"/>
  <c r="AI71" i="154"/>
  <c r="AI130" i="154"/>
  <c r="AI131" i="154" s="1"/>
  <c r="AI66" i="154"/>
  <c r="J65" i="154"/>
  <c r="J126" i="154"/>
  <c r="J127" i="154" s="1"/>
  <c r="J62" i="154"/>
  <c r="AC66" i="154"/>
  <c r="AC71" i="154"/>
  <c r="AC130" i="154"/>
  <c r="AC131" i="154" s="1"/>
  <c r="AH66" i="154"/>
  <c r="AH71" i="154"/>
  <c r="AH130" i="154"/>
  <c r="AH131" i="154" s="1"/>
  <c r="AK130" i="154"/>
  <c r="AK131" i="154" s="1"/>
  <c r="AK66" i="154"/>
  <c r="AK71" i="154"/>
  <c r="AF98" i="154"/>
  <c r="AG66" i="154"/>
  <c r="AG71" i="154"/>
  <c r="AG130" i="154"/>
  <c r="AG131" i="154" s="1"/>
  <c r="AE66" i="154"/>
  <c r="AE130" i="154"/>
  <c r="AE131" i="154" s="1"/>
  <c r="AE71" i="154"/>
  <c r="BB122" i="105"/>
  <c r="AV274" i="155"/>
  <c r="AW266" i="155"/>
  <c r="AF272" i="154"/>
  <c r="AF276" i="154" s="1"/>
  <c r="AF26" i="154" s="1"/>
  <c r="AW266" i="154"/>
  <c r="AV274" i="154"/>
  <c r="AU266" i="154"/>
  <c r="AU274" i="155"/>
  <c r="AS561" i="99"/>
  <c r="AS567" i="99" s="1"/>
  <c r="AT199" i="153"/>
  <c r="AT207" i="153" s="1"/>
  <c r="AT240" i="153" s="1"/>
  <c r="BE127" i="105"/>
  <c r="AY179" i="155"/>
  <c r="AY187" i="155" s="1"/>
  <c r="AL187" i="154"/>
  <c r="AL183" i="154"/>
  <c r="AX179" i="155"/>
  <c r="AX187" i="155" s="1"/>
  <c r="AM187" i="154"/>
  <c r="AM183" i="154"/>
  <c r="AN187" i="154"/>
  <c r="AN183" i="154"/>
  <c r="BC179" i="155"/>
  <c r="BC187" i="155" s="1"/>
  <c r="BC199" i="155" s="1"/>
  <c r="BD179" i="154"/>
  <c r="BD187" i="154" s="1"/>
  <c r="BD330" i="154" s="1"/>
  <c r="BD340" i="154" s="1"/>
  <c r="BB179" i="155"/>
  <c r="BB187" i="155" s="1"/>
  <c r="BB330" i="155" s="1"/>
  <c r="BB340" i="155" s="1"/>
  <c r="AM187" i="155"/>
  <c r="AY179" i="154"/>
  <c r="AY187" i="154" s="1"/>
  <c r="AL187" i="155"/>
  <c r="AN187" i="155"/>
  <c r="AX179" i="154"/>
  <c r="AX187" i="154" s="1"/>
  <c r="AV330" i="153"/>
  <c r="AV340" i="153" s="1"/>
  <c r="V172" i="153"/>
  <c r="BI179" i="153" s="1"/>
  <c r="BI187" i="153" s="1"/>
  <c r="BI199" i="153" s="1"/>
  <c r="AX129" i="104"/>
  <c r="AX64" i="104" s="1"/>
  <c r="BC64" i="105" s="1"/>
  <c r="AX30" i="151" s="1"/>
  <c r="AX129" i="103"/>
  <c r="AX129" i="99"/>
  <c r="BA179" i="155"/>
  <c r="BA187" i="155" s="1"/>
  <c r="BA199" i="155" s="1"/>
  <c r="AQ187" i="155"/>
  <c r="AO187" i="155"/>
  <c r="BD179" i="155"/>
  <c r="BD187" i="155" s="1"/>
  <c r="BD199" i="155" s="1"/>
  <c r="AR187" i="155"/>
  <c r="AS187" i="155"/>
  <c r="AP187" i="155"/>
  <c r="AO187" i="154"/>
  <c r="AO183" i="154"/>
  <c r="AR187" i="154"/>
  <c r="AS187" i="154"/>
  <c r="BC179" i="154"/>
  <c r="BC187" i="154" s="1"/>
  <c r="BC330" i="154" s="1"/>
  <c r="BC340" i="154" s="1"/>
  <c r="AQ183" i="154"/>
  <c r="AQ187" i="154"/>
  <c r="BA179" i="154"/>
  <c r="BA187" i="154" s="1"/>
  <c r="BA199" i="154" s="1"/>
  <c r="AP183" i="154"/>
  <c r="AP187" i="154"/>
  <c r="BH179" i="154"/>
  <c r="BH187" i="154" s="1"/>
  <c r="BH330" i="154" s="1"/>
  <c r="BH340" i="154" s="1"/>
  <c r="BH179" i="155"/>
  <c r="BH187" i="155" s="1"/>
  <c r="BH199" i="155" s="1"/>
  <c r="AU187" i="155"/>
  <c r="BI179" i="154"/>
  <c r="BI187" i="154" s="1"/>
  <c r="BI199" i="154" s="1"/>
  <c r="BI179" i="155"/>
  <c r="BI187" i="155" s="1"/>
  <c r="BI199" i="155" s="1"/>
  <c r="BG179" i="154"/>
  <c r="BG187" i="154" s="1"/>
  <c r="BG330" i="154" s="1"/>
  <c r="BG340" i="154" s="1"/>
  <c r="AV187" i="155"/>
  <c r="BG179" i="155"/>
  <c r="BG187" i="155" s="1"/>
  <c r="BG199" i="155" s="1"/>
  <c r="AW187" i="155"/>
  <c r="AT187" i="155"/>
  <c r="AV187" i="154"/>
  <c r="AT187" i="154"/>
  <c r="AU187" i="154"/>
  <c r="AW187" i="154"/>
  <c r="BB199" i="154"/>
  <c r="BB330" i="154"/>
  <c r="BB340" i="154" s="1"/>
  <c r="AZ187" i="154"/>
  <c r="BF179" i="154"/>
  <c r="BF187" i="154" s="1"/>
  <c r="U172" i="154"/>
  <c r="BQ179" i="154" s="1"/>
  <c r="BQ187" i="154" s="1"/>
  <c r="BE330" i="155"/>
  <c r="BE340" i="155" s="1"/>
  <c r="BE199" i="155"/>
  <c r="BF179" i="155"/>
  <c r="BF187" i="155" s="1"/>
  <c r="U172" i="155"/>
  <c r="AZ187" i="155"/>
  <c r="BE330" i="154"/>
  <c r="BE340" i="154" s="1"/>
  <c r="BE199" i="154"/>
  <c r="AY618" i="99"/>
  <c r="AY64" i="99"/>
  <c r="AF264" i="154"/>
  <c r="AF268" i="154" s="1"/>
  <c r="AF24" i="154" s="1"/>
  <c r="AF256" i="154"/>
  <c r="AF260" i="154" s="1"/>
  <c r="AF23" i="154" s="1"/>
  <c r="AF465" i="154"/>
  <c r="AF252" i="154"/>
  <c r="AF22" i="154" s="1"/>
  <c r="AF300" i="154"/>
  <c r="AF304" i="154" s="1"/>
  <c r="AF32" i="154" s="1"/>
  <c r="AF316" i="154"/>
  <c r="AF320" i="154" s="1"/>
  <c r="AF35" i="154" s="1"/>
  <c r="AF296" i="154"/>
  <c r="AF31" i="154" s="1"/>
  <c r="AW274" i="155"/>
  <c r="AU274" i="154"/>
  <c r="AI207" i="153"/>
  <c r="AI240" i="153" s="1"/>
  <c r="AI248" i="153" s="1"/>
  <c r="AV266" i="155"/>
  <c r="AW258" i="154"/>
  <c r="AU258" i="155"/>
  <c r="AU318" i="155"/>
  <c r="AV310" i="154"/>
  <c r="AV266" i="154"/>
  <c r="AV467" i="154"/>
  <c r="AW302" i="155"/>
  <c r="AW258" i="155"/>
  <c r="AW467" i="155"/>
  <c r="AU258" i="154"/>
  <c r="AU467" i="154"/>
  <c r="AU310" i="155"/>
  <c r="AW330" i="153"/>
  <c r="AW340" i="153" s="1"/>
  <c r="AU199" i="153"/>
  <c r="AU215" i="153" s="1"/>
  <c r="AU284" i="153" s="1"/>
  <c r="AV318" i="155"/>
  <c r="AV318" i="154"/>
  <c r="AU302" i="154"/>
  <c r="AW302" i="154"/>
  <c r="AV302" i="155"/>
  <c r="AV258" i="155"/>
  <c r="AV467" i="155"/>
  <c r="AU310" i="154"/>
  <c r="AW310" i="154"/>
  <c r="AU266" i="155"/>
  <c r="AU467" i="155"/>
  <c r="AW274" i="154"/>
  <c r="AW467" i="154"/>
  <c r="AW310" i="155"/>
  <c r="AV258" i="154"/>
  <c r="BG179" i="153"/>
  <c r="BG187" i="153" s="1"/>
  <c r="BG199" i="153" s="1"/>
  <c r="BH179" i="153"/>
  <c r="BH187" i="153" s="1"/>
  <c r="BH199" i="153" s="1"/>
  <c r="AB292" i="153"/>
  <c r="AB300" i="153" s="1"/>
  <c r="BF199" i="153"/>
  <c r="BF330" i="153"/>
  <c r="BF340" i="153" s="1"/>
  <c r="AG248" i="153"/>
  <c r="BE330" i="153"/>
  <c r="BE340" i="153" s="1"/>
  <c r="BE199" i="153"/>
  <c r="AK292" i="153"/>
  <c r="AK308" i="153" s="1"/>
  <c r="AG292" i="153"/>
  <c r="AG308" i="153" s="1"/>
  <c r="AZ199" i="153"/>
  <c r="AZ330" i="153"/>
  <c r="AZ340" i="153" s="1"/>
  <c r="AK248" i="153"/>
  <c r="AA248" i="153"/>
  <c r="AA292" i="153"/>
  <c r="AA308" i="153" s="1"/>
  <c r="BD330" i="153"/>
  <c r="BD340" i="153" s="1"/>
  <c r="BD199" i="153"/>
  <c r="AV215" i="153"/>
  <c r="AV284" i="153" s="1"/>
  <c r="AV207" i="153"/>
  <c r="AV240" i="153" s="1"/>
  <c r="AF292" i="153"/>
  <c r="AF308" i="153" s="1"/>
  <c r="BA199" i="153"/>
  <c r="BA330" i="153"/>
  <c r="BA340" i="153" s="1"/>
  <c r="AF248" i="153"/>
  <c r="BB330" i="153"/>
  <c r="BB340" i="153" s="1"/>
  <c r="BB199" i="153"/>
  <c r="AL207" i="153"/>
  <c r="AL240" i="153" s="1"/>
  <c r="AL215" i="153"/>
  <c r="AL284" i="153" s="1"/>
  <c r="AJ248" i="153"/>
  <c r="BC199" i="153"/>
  <c r="BC330" i="153"/>
  <c r="BC340" i="153" s="1"/>
  <c r="AJ292" i="153"/>
  <c r="AJ316" i="153" s="1"/>
  <c r="Z292" i="153"/>
  <c r="Z308" i="153" s="1"/>
  <c r="AE248" i="153"/>
  <c r="Z248" i="153"/>
  <c r="AE292" i="153"/>
  <c r="AE308" i="153" s="1"/>
  <c r="AP215" i="153"/>
  <c r="AP284" i="153" s="1"/>
  <c r="AP207" i="153"/>
  <c r="AP240" i="153" s="1"/>
  <c r="AM215" i="153"/>
  <c r="AM284" i="153" s="1"/>
  <c r="AM207" i="153"/>
  <c r="AM240" i="153" s="1"/>
  <c r="AQ207" i="153"/>
  <c r="AQ240" i="153" s="1"/>
  <c r="AQ215" i="153"/>
  <c r="AQ284" i="153" s="1"/>
  <c r="AD248" i="153"/>
  <c r="AD292" i="153"/>
  <c r="AD316" i="153" s="1"/>
  <c r="AW207" i="153"/>
  <c r="AW240" i="153" s="1"/>
  <c r="AW248" i="153" s="1"/>
  <c r="AW215" i="153"/>
  <c r="AW284" i="153" s="1"/>
  <c r="AW292" i="153" s="1"/>
  <c r="AW316" i="153" s="1"/>
  <c r="AI292" i="153"/>
  <c r="AI308" i="153" s="1"/>
  <c r="AR207" i="153"/>
  <c r="AR240" i="153" s="1"/>
  <c r="AR215" i="153"/>
  <c r="AR284" i="153" s="1"/>
  <c r="AN207" i="153"/>
  <c r="AN240" i="153" s="1"/>
  <c r="AN215" i="153"/>
  <c r="AN284" i="153" s="1"/>
  <c r="BM179" i="153"/>
  <c r="BM187" i="153" s="1"/>
  <c r="BO179" i="153"/>
  <c r="BO187" i="153" s="1"/>
  <c r="BQ179" i="153"/>
  <c r="BQ187" i="153" s="1"/>
  <c r="BJ179" i="153"/>
  <c r="BJ187" i="153" s="1"/>
  <c r="BL179" i="153"/>
  <c r="BL187" i="153" s="1"/>
  <c r="BP179" i="153"/>
  <c r="BP187" i="153" s="1"/>
  <c r="BN179" i="153"/>
  <c r="BN187" i="153" s="1"/>
  <c r="BR179" i="153"/>
  <c r="BR187" i="153" s="1"/>
  <c r="BK179" i="153"/>
  <c r="BK187" i="153" s="1"/>
  <c r="AH292" i="153"/>
  <c r="AH316" i="153" s="1"/>
  <c r="AS207" i="153"/>
  <c r="AS240" i="153" s="1"/>
  <c r="AS215" i="153"/>
  <c r="AS284" i="153" s="1"/>
  <c r="AH248" i="153"/>
  <c r="AO215" i="153"/>
  <c r="AO284" i="153" s="1"/>
  <c r="AO207" i="153"/>
  <c r="AO240" i="153" s="1"/>
  <c r="AC248" i="153"/>
  <c r="AX199" i="153"/>
  <c r="AX330" i="153"/>
  <c r="AX340" i="153" s="1"/>
  <c r="AC292" i="153"/>
  <c r="AC300" i="153" s="1"/>
  <c r="AY330" i="153"/>
  <c r="AY340" i="153" s="1"/>
  <c r="AY199" i="153"/>
  <c r="AB248" i="153"/>
  <c r="T179" i="153"/>
  <c r="U179" i="153"/>
  <c r="S179" i="153"/>
  <c r="V179" i="153"/>
  <c r="W179" i="153"/>
  <c r="X179" i="153"/>
  <c r="Y179" i="153"/>
  <c r="Y187" i="153" s="1"/>
  <c r="AY549" i="99"/>
  <c r="AY613" i="99" s="1"/>
  <c r="AY512" i="99"/>
  <c r="AY576" i="99" s="1"/>
  <c r="AY535" i="99"/>
  <c r="AY599" i="99" s="1"/>
  <c r="AY229" i="99"/>
  <c r="AY232" i="99"/>
  <c r="BB3" i="69"/>
  <c r="BB4" i="69" s="1"/>
  <c r="BA2" i="69" a="1"/>
  <c r="BA2" i="69" s="1"/>
  <c r="BA7" i="69"/>
  <c r="BA10" i="69"/>
  <c r="BA12" i="69"/>
  <c r="BA16" i="69"/>
  <c r="BA13" i="69"/>
  <c r="BA14" i="69"/>
  <c r="BA9" i="69"/>
  <c r="BA15" i="69"/>
  <c r="BA11" i="69"/>
  <c r="BA8" i="69"/>
  <c r="AY585" i="99"/>
  <c r="AY524" i="99"/>
  <c r="BE527" i="99"/>
  <c r="AW590" i="99"/>
  <c r="AX526" i="99"/>
  <c r="AX588" i="99"/>
  <c r="AY542" i="99"/>
  <c r="AY606" i="99" s="1"/>
  <c r="AY602" i="99"/>
  <c r="AW579" i="99"/>
  <c r="AW517" i="99"/>
  <c r="AQ562" i="99"/>
  <c r="AQ631" i="99"/>
  <c r="AQ625" i="99"/>
  <c r="AQ626" i="99" s="1"/>
  <c r="AU582" i="99"/>
  <c r="AU223" i="99"/>
  <c r="AR625" i="99"/>
  <c r="AR626" i="99" s="1"/>
  <c r="AR631" i="99"/>
  <c r="AR562" i="99"/>
  <c r="AY228" i="99"/>
  <c r="AV582" i="99"/>
  <c r="AV223" i="99"/>
  <c r="AY230" i="99"/>
  <c r="AV591" i="99"/>
  <c r="AV224" i="99"/>
  <c r="AS619" i="99"/>
  <c r="AS620" i="99" s="1"/>
  <c r="AS556" i="99"/>
  <c r="AV593" i="99"/>
  <c r="AV594" i="99" s="1"/>
  <c r="AV530" i="99"/>
  <c r="AV544" i="99"/>
  <c r="AY234" i="99"/>
  <c r="AS616" i="99"/>
  <c r="AU608" i="99"/>
  <c r="AU551" i="99"/>
  <c r="AU555" i="99" s="1"/>
  <c r="AZ534" i="99"/>
  <c r="AZ598" i="99" s="1"/>
  <c r="AZ541" i="99"/>
  <c r="AZ605" i="99" s="1"/>
  <c r="AZ548" i="99"/>
  <c r="AZ612" i="99" s="1"/>
  <c r="AZ547" i="99"/>
  <c r="AZ611" i="99" s="1"/>
  <c r="AZ540" i="99"/>
  <c r="AZ604" i="99" s="1"/>
  <c r="AZ538" i="99"/>
  <c r="AZ539" i="99"/>
  <c r="AZ603" i="99" s="1"/>
  <c r="AZ507" i="99"/>
  <c r="AZ521" i="99"/>
  <c r="AZ522" i="99"/>
  <c r="AZ586" i="99" s="1"/>
  <c r="AZ525" i="99"/>
  <c r="AZ589" i="99" s="1"/>
  <c r="AZ509" i="99"/>
  <c r="AZ573" i="99" s="1"/>
  <c r="AZ523" i="99"/>
  <c r="AZ587" i="99" s="1"/>
  <c r="AZ513" i="99"/>
  <c r="AZ577" i="99" s="1"/>
  <c r="AZ516" i="99"/>
  <c r="AZ580" i="99" s="1"/>
  <c r="AZ558" i="99"/>
  <c r="AZ622" i="99" s="1"/>
  <c r="AZ514" i="99"/>
  <c r="AZ578" i="99" s="1"/>
  <c r="AZ533" i="99"/>
  <c r="AZ597" i="99" s="1"/>
  <c r="AY233" i="99"/>
  <c r="BB3" i="99"/>
  <c r="BB4" i="99" s="1"/>
  <c r="BA2" i="99" a="1"/>
  <c r="BA2" i="99" s="1"/>
  <c r="BA554" i="99" s="1"/>
  <c r="BA474" i="99"/>
  <c r="BA475" i="99"/>
  <c r="BA498" i="99"/>
  <c r="BA482" i="99" s="1"/>
  <c r="BA490" i="99" s="1"/>
  <c r="BA499" i="99"/>
  <c r="BA483" i="99" s="1"/>
  <c r="BA491" i="99" s="1"/>
  <c r="BA476" i="99"/>
  <c r="BA500" i="99"/>
  <c r="BA484" i="99" s="1"/>
  <c r="BA492" i="99" s="1"/>
  <c r="BA477" i="99"/>
  <c r="BA478" i="99"/>
  <c r="BA501" i="99"/>
  <c r="BA485" i="99" s="1"/>
  <c r="BA493" i="99" s="1"/>
  <c r="BA502" i="99"/>
  <c r="BA486" i="99" s="1"/>
  <c r="BA494" i="99" s="1"/>
  <c r="BA479" i="99"/>
  <c r="BA503" i="99"/>
  <c r="BA487" i="99" s="1"/>
  <c r="BA495" i="99" s="1"/>
  <c r="AT559" i="99" a="1"/>
  <c r="AT559" i="99" s="1"/>
  <c r="AT623" i="99" s="1"/>
  <c r="AT552" i="99"/>
  <c r="AT615" i="99"/>
  <c r="AX576" i="99"/>
  <c r="AX515" i="99"/>
  <c r="BC5" i="72"/>
  <c r="BC6" i="72" s="1"/>
  <c r="BB36" i="72"/>
  <c r="BB38" i="72" s="1"/>
  <c r="BB39" i="72" s="1"/>
  <c r="BB37" i="72"/>
  <c r="BB47" i="72"/>
  <c r="BB48" i="72"/>
  <c r="BB6" i="98"/>
  <c r="BA70" i="103"/>
  <c r="BF70" i="105" s="1"/>
  <c r="BA35" i="151" s="1"/>
  <c r="BR8" i="98"/>
  <c r="BC4" i="72" l="1" a="1"/>
  <c r="BC4" i="72" s="1"/>
  <c r="AH72" i="154"/>
  <c r="AH136" i="154"/>
  <c r="AH137" i="154" s="1"/>
  <c r="J71" i="154"/>
  <c r="J66" i="154"/>
  <c r="J130" i="154"/>
  <c r="J131" i="154" s="1"/>
  <c r="AF96" i="154"/>
  <c r="AF34" i="154"/>
  <c r="AE72" i="154"/>
  <c r="AE136" i="154"/>
  <c r="AE137" i="154" s="1"/>
  <c r="AC72" i="154"/>
  <c r="AC136" i="154"/>
  <c r="AC137" i="154" s="1"/>
  <c r="AF91" i="154"/>
  <c r="AI72" i="154"/>
  <c r="AI136" i="154"/>
  <c r="AI137" i="154" s="1"/>
  <c r="AF100" i="154"/>
  <c r="AF97" i="154"/>
  <c r="AF87" i="154"/>
  <c r="AF25" i="154"/>
  <c r="AG72" i="154"/>
  <c r="AG136" i="154"/>
  <c r="AG137" i="154" s="1"/>
  <c r="AF88" i="154"/>
  <c r="AD72" i="154"/>
  <c r="AD136" i="154"/>
  <c r="AD137" i="154" s="1"/>
  <c r="AF89" i="154"/>
  <c r="AK136" i="154"/>
  <c r="AK137" i="154" s="1"/>
  <c r="AK72" i="154"/>
  <c r="AJ136" i="154"/>
  <c r="AJ137" i="154" s="1"/>
  <c r="AJ72" i="154"/>
  <c r="BC122" i="105"/>
  <c r="AY129" i="104"/>
  <c r="AY64" i="104" s="1"/>
  <c r="BD64" i="105" s="1"/>
  <c r="AY30" i="151" s="1"/>
  <c r="AT215" i="153"/>
  <c r="AT284" i="153" s="1"/>
  <c r="AT292" i="153" s="1"/>
  <c r="AT300" i="153" s="1"/>
  <c r="AU416" i="155"/>
  <c r="AU455" i="155" s="1" a="1"/>
  <c r="AU455" i="155" s="1"/>
  <c r="AU416" i="154"/>
  <c r="AV416" i="155"/>
  <c r="AW416" i="154"/>
  <c r="AV416" i="154"/>
  <c r="AW416" i="155"/>
  <c r="AI264" i="153"/>
  <c r="AF256" i="153"/>
  <c r="AC272" i="153"/>
  <c r="AW264" i="153"/>
  <c r="AD272" i="153"/>
  <c r="AH256" i="153"/>
  <c r="AK264" i="153"/>
  <c r="Z272" i="153"/>
  <c r="AF414" i="154"/>
  <c r="AB264" i="153"/>
  <c r="AJ272" i="153"/>
  <c r="AE256" i="153"/>
  <c r="AG256" i="153"/>
  <c r="AT561" i="99"/>
  <c r="AT567" i="99" s="1"/>
  <c r="BB199" i="155"/>
  <c r="BB207" i="155" s="1"/>
  <c r="BB240" i="155" s="1"/>
  <c r="BD199" i="154"/>
  <c r="BD215" i="154" s="1"/>
  <c r="BD284" i="154" s="1"/>
  <c r="BC330" i="155"/>
  <c r="BC340" i="155" s="1"/>
  <c r="BT179" i="155"/>
  <c r="BT187" i="155" s="1"/>
  <c r="BT199" i="155" s="1"/>
  <c r="BJ179" i="155"/>
  <c r="BJ187" i="155" s="1"/>
  <c r="BJ330" i="155" s="1"/>
  <c r="BJ340" i="155" s="1"/>
  <c r="BK179" i="155"/>
  <c r="BK187" i="155" s="1"/>
  <c r="BL179" i="155"/>
  <c r="BL187" i="155" s="1"/>
  <c r="BL330" i="155" s="1"/>
  <c r="BL340" i="155" s="1"/>
  <c r="BP179" i="154"/>
  <c r="BP187" i="154" s="1"/>
  <c r="BP199" i="154" s="1"/>
  <c r="BO179" i="154"/>
  <c r="BO187" i="154" s="1"/>
  <c r="BO330" i="154" s="1"/>
  <c r="BO340" i="154" s="1"/>
  <c r="AL199" i="154"/>
  <c r="AL330" i="154"/>
  <c r="AL191" i="154"/>
  <c r="BL179" i="154"/>
  <c r="BL187" i="154" s="1"/>
  <c r="BL330" i="154" s="1"/>
  <c r="BL340" i="154" s="1"/>
  <c r="AN330" i="155"/>
  <c r="AN199" i="155"/>
  <c r="AM199" i="155"/>
  <c r="AM330" i="155"/>
  <c r="BJ179" i="154"/>
  <c r="BJ187" i="154" s="1"/>
  <c r="AN330" i="154"/>
  <c r="AN199" i="154"/>
  <c r="AN191" i="154"/>
  <c r="BK179" i="154"/>
  <c r="BK187" i="154" s="1"/>
  <c r="BK330" i="154" s="1"/>
  <c r="BK340" i="154" s="1"/>
  <c r="AL330" i="155"/>
  <c r="AL199" i="155"/>
  <c r="AM199" i="154"/>
  <c r="AM330" i="154"/>
  <c r="AM191" i="154"/>
  <c r="BA330" i="154"/>
  <c r="BA340" i="154" s="1"/>
  <c r="BI330" i="153"/>
  <c r="BI340" i="153" s="1"/>
  <c r="BD330" i="155"/>
  <c r="BD340" i="155" s="1"/>
  <c r="W172" i="153"/>
  <c r="BU179" i="153" s="1"/>
  <c r="BU187" i="153" s="1"/>
  <c r="BU330" i="153" s="1"/>
  <c r="BU340" i="153" s="1"/>
  <c r="AY129" i="99"/>
  <c r="BA330" i="155"/>
  <c r="BA340" i="155" s="1"/>
  <c r="AY129" i="103"/>
  <c r="BH199" i="154"/>
  <c r="BH215" i="154" s="1"/>
  <c r="BH284" i="154" s="1"/>
  <c r="BC199" i="154"/>
  <c r="BC215" i="154" s="1"/>
  <c r="BC284" i="154" s="1"/>
  <c r="BG199" i="154"/>
  <c r="BG215" i="154" s="1"/>
  <c r="BG284" i="154" s="1"/>
  <c r="BG330" i="155"/>
  <c r="BG340" i="155" s="1"/>
  <c r="BI330" i="154"/>
  <c r="BI340" i="154" s="1"/>
  <c r="AP191" i="154"/>
  <c r="AP199" i="154"/>
  <c r="AP330" i="154"/>
  <c r="AQ191" i="154"/>
  <c r="AQ199" i="154"/>
  <c r="AQ330" i="154"/>
  <c r="BM179" i="154"/>
  <c r="BM187" i="154" s="1"/>
  <c r="BM330" i="154" s="1"/>
  <c r="BM340" i="154" s="1"/>
  <c r="BO179" i="155"/>
  <c r="BO187" i="155" s="1"/>
  <c r="BO199" i="155" s="1"/>
  <c r="BN179" i="154"/>
  <c r="BN187" i="154" s="1"/>
  <c r="BN199" i="154" s="1"/>
  <c r="AR330" i="155"/>
  <c r="AR199" i="155"/>
  <c r="BP179" i="155"/>
  <c r="BP187" i="155" s="1"/>
  <c r="BP330" i="155" s="1"/>
  <c r="BP340" i="155" s="1"/>
  <c r="AS330" i="154"/>
  <c r="AS199" i="154"/>
  <c r="BN179" i="155"/>
  <c r="BN187" i="155" s="1"/>
  <c r="BN199" i="155" s="1"/>
  <c r="AS199" i="155"/>
  <c r="AS330" i="155"/>
  <c r="AO330" i="155"/>
  <c r="AO199" i="155"/>
  <c r="BM179" i="155"/>
  <c r="BM187" i="155" s="1"/>
  <c r="BM330" i="155" s="1"/>
  <c r="BM340" i="155" s="1"/>
  <c r="BQ179" i="155"/>
  <c r="BQ187" i="155" s="1"/>
  <c r="BQ330" i="155" s="1"/>
  <c r="BQ340" i="155" s="1"/>
  <c r="AR330" i="154"/>
  <c r="AR199" i="154"/>
  <c r="AQ330" i="155"/>
  <c r="AQ199" i="155"/>
  <c r="AP199" i="155"/>
  <c r="AP330" i="155"/>
  <c r="AO191" i="154"/>
  <c r="AO330" i="154"/>
  <c r="AO199" i="154"/>
  <c r="BI330" i="155"/>
  <c r="BI340" i="155" s="1"/>
  <c r="BH330" i="155"/>
  <c r="BH340" i="155" s="1"/>
  <c r="BU179" i="155"/>
  <c r="BU187" i="155" s="1"/>
  <c r="BU330" i="155" s="1"/>
  <c r="BU340" i="155" s="1"/>
  <c r="BU179" i="154"/>
  <c r="BU187" i="154" s="1"/>
  <c r="BU330" i="154" s="1"/>
  <c r="BU340" i="154" s="1"/>
  <c r="AU199" i="155"/>
  <c r="AU330" i="155"/>
  <c r="BS179" i="155"/>
  <c r="BS187" i="155" s="1"/>
  <c r="BS199" i="155" s="1"/>
  <c r="AY199" i="154"/>
  <c r="AY330" i="154"/>
  <c r="AV199" i="154"/>
  <c r="AV330" i="154"/>
  <c r="AX330" i="155"/>
  <c r="AX199" i="155"/>
  <c r="AT199" i="154"/>
  <c r="AT330" i="154"/>
  <c r="AT330" i="155"/>
  <c r="AT199" i="155"/>
  <c r="AV199" i="155"/>
  <c r="AV330" i="155"/>
  <c r="AY199" i="155"/>
  <c r="AY330" i="155"/>
  <c r="AU330" i="154"/>
  <c r="AU199" i="154"/>
  <c r="AX199" i="154"/>
  <c r="AX330" i="154"/>
  <c r="AW330" i="155"/>
  <c r="AW199" i="155"/>
  <c r="BT179" i="154"/>
  <c r="BT187" i="154" s="1"/>
  <c r="BT199" i="154" s="1"/>
  <c r="BS179" i="154"/>
  <c r="BS187" i="154" s="1"/>
  <c r="BS330" i="154" s="1"/>
  <c r="BS340" i="154" s="1"/>
  <c r="AW330" i="154"/>
  <c r="AW199" i="154"/>
  <c r="BE207" i="154"/>
  <c r="BE240" i="154" s="1"/>
  <c r="BE215" i="154"/>
  <c r="BE284" i="154" s="1"/>
  <c r="BC207" i="155"/>
  <c r="BC240" i="155" s="1"/>
  <c r="BC215" i="155"/>
  <c r="BC284" i="155" s="1"/>
  <c r="BI207" i="155"/>
  <c r="BI240" i="155" s="1"/>
  <c r="BI215" i="155"/>
  <c r="BI284" i="155" s="1"/>
  <c r="BI215" i="154"/>
  <c r="BI284" i="154" s="1"/>
  <c r="BI207" i="154"/>
  <c r="BI240" i="154" s="1"/>
  <c r="BQ199" i="154"/>
  <c r="BQ330" i="154"/>
  <c r="BQ340" i="154" s="1"/>
  <c r="BR179" i="154"/>
  <c r="BR187" i="154" s="1"/>
  <c r="V172" i="154"/>
  <c r="BV179" i="154" s="1"/>
  <c r="BV187" i="154" s="1"/>
  <c r="BV199" i="154" s="1"/>
  <c r="BX179" i="154"/>
  <c r="BX187" i="154" s="1"/>
  <c r="AZ330" i="154"/>
  <c r="AZ199" i="154"/>
  <c r="BD215" i="155"/>
  <c r="BD284" i="155" s="1"/>
  <c r="BD207" i="155"/>
  <c r="BD240" i="155" s="1"/>
  <c r="BF199" i="154"/>
  <c r="BF330" i="154"/>
  <c r="BF340" i="154" s="1"/>
  <c r="BA207" i="154"/>
  <c r="BA240" i="154" s="1"/>
  <c r="BA215" i="154"/>
  <c r="BA284" i="154" s="1"/>
  <c r="BH207" i="155"/>
  <c r="BH240" i="155" s="1"/>
  <c r="BH215" i="155"/>
  <c r="BH284" i="155" s="1"/>
  <c r="BR179" i="155"/>
  <c r="BR187" i="155" s="1"/>
  <c r="BX179" i="155"/>
  <c r="BX187" i="155" s="1"/>
  <c r="V172" i="155"/>
  <c r="W172" i="155" s="1"/>
  <c r="BF199" i="155"/>
  <c r="BF330" i="155"/>
  <c r="BF340" i="155" s="1"/>
  <c r="BB207" i="154"/>
  <c r="BB240" i="154" s="1"/>
  <c r="BB215" i="154"/>
  <c r="BB284" i="154" s="1"/>
  <c r="BG215" i="155"/>
  <c r="BG284" i="155" s="1"/>
  <c r="BG207" i="155"/>
  <c r="BG240" i="155" s="1"/>
  <c r="AZ199" i="155"/>
  <c r="AZ330" i="155"/>
  <c r="BE215" i="155"/>
  <c r="BE284" i="155" s="1"/>
  <c r="BE207" i="155"/>
  <c r="BE240" i="155" s="1"/>
  <c r="BA215" i="155"/>
  <c r="BA284" i="155" s="1"/>
  <c r="BA207" i="155"/>
  <c r="BA240" i="155" s="1"/>
  <c r="AZ618" i="99"/>
  <c r="AZ64" i="99"/>
  <c r="AF278" i="154"/>
  <c r="AF469" i="154"/>
  <c r="AF19" i="154" s="1"/>
  <c r="AF322" i="154"/>
  <c r="AC308" i="153"/>
  <c r="AU207" i="153"/>
  <c r="AU240" i="153" s="1"/>
  <c r="AU248" i="153" s="1"/>
  <c r="AG264" i="153"/>
  <c r="BG330" i="153"/>
  <c r="BG340" i="153" s="1"/>
  <c r="Z256" i="153"/>
  <c r="AC256" i="153"/>
  <c r="AG316" i="153"/>
  <c r="AD308" i="153"/>
  <c r="AD264" i="153"/>
  <c r="BT179" i="153"/>
  <c r="BT187" i="153" s="1"/>
  <c r="BT199" i="153" s="1"/>
  <c r="AB308" i="153"/>
  <c r="AE300" i="153"/>
  <c r="AB316" i="153"/>
  <c r="AA300" i="153"/>
  <c r="AA316" i="153"/>
  <c r="AJ300" i="153"/>
  <c r="BH330" i="153"/>
  <c r="BH340" i="153" s="1"/>
  <c r="AG300" i="153"/>
  <c r="AW308" i="153"/>
  <c r="AW256" i="153"/>
  <c r="AJ308" i="153"/>
  <c r="AD300" i="153"/>
  <c r="AK256" i="153"/>
  <c r="AK300" i="153"/>
  <c r="AK316" i="153"/>
  <c r="AF264" i="153"/>
  <c r="AB272" i="153"/>
  <c r="AI316" i="153"/>
  <c r="AE264" i="153"/>
  <c r="AH308" i="153"/>
  <c r="AI300" i="153"/>
  <c r="AH300" i="153"/>
  <c r="AW300" i="153"/>
  <c r="AC316" i="153"/>
  <c r="AJ264" i="153"/>
  <c r="BS179" i="153"/>
  <c r="BS187" i="153" s="1"/>
  <c r="BS330" i="153" s="1"/>
  <c r="BS340" i="153" s="1"/>
  <c r="AL248" i="153"/>
  <c r="AA264" i="153"/>
  <c r="AA465" i="153"/>
  <c r="BI215" i="153"/>
  <c r="BI284" i="153" s="1"/>
  <c r="BI292" i="153" s="1"/>
  <c r="BI300" i="153" s="1"/>
  <c r="BI207" i="153"/>
  <c r="BI240" i="153" s="1"/>
  <c r="BI248" i="153" s="1"/>
  <c r="AH272" i="153"/>
  <c r="AH465" i="153"/>
  <c r="AI256" i="153"/>
  <c r="AI465" i="153"/>
  <c r="BB215" i="153"/>
  <c r="BB284" i="153" s="1"/>
  <c r="BB292" i="153" s="1"/>
  <c r="BB316" i="153" s="1"/>
  <c r="BB207" i="153"/>
  <c r="BB240" i="153" s="1"/>
  <c r="BB248" i="153" s="1"/>
  <c r="AS292" i="153"/>
  <c r="AS300" i="153" s="1"/>
  <c r="AR292" i="153"/>
  <c r="AR316" i="153" s="1"/>
  <c r="AS248" i="153"/>
  <c r="AR248" i="153"/>
  <c r="AK272" i="153"/>
  <c r="AK465" i="153"/>
  <c r="AB256" i="153"/>
  <c r="AB465" i="153"/>
  <c r="Z264" i="153"/>
  <c r="Z465" i="153"/>
  <c r="AF272" i="153"/>
  <c r="AF465" i="153"/>
  <c r="AZ215" i="153"/>
  <c r="AZ284" i="153" s="1"/>
  <c r="AZ292" i="153" s="1"/>
  <c r="AZ316" i="153" s="1"/>
  <c r="AZ207" i="153"/>
  <c r="AZ240" i="153" s="1"/>
  <c r="AZ248" i="153" s="1"/>
  <c r="AT248" i="153"/>
  <c r="AY215" i="153"/>
  <c r="AY284" i="153" s="1"/>
  <c r="AY292" i="153" s="1"/>
  <c r="AY308" i="153" s="1"/>
  <c r="AY207" i="153"/>
  <c r="AY240" i="153" s="1"/>
  <c r="AY248" i="153" s="1"/>
  <c r="BK330" i="153"/>
  <c r="BK340" i="153" s="1"/>
  <c r="BK199" i="153"/>
  <c r="AE272" i="153"/>
  <c r="AE465" i="153"/>
  <c r="BA215" i="153"/>
  <c r="BA284" i="153" s="1"/>
  <c r="BA292" i="153" s="1"/>
  <c r="BA300" i="153" s="1"/>
  <c r="BA207" i="153"/>
  <c r="BA240" i="153" s="1"/>
  <c r="BA248" i="153" s="1"/>
  <c r="BR330" i="153"/>
  <c r="BR340" i="153" s="1"/>
  <c r="BR199" i="153"/>
  <c r="Z300" i="153"/>
  <c r="AF300" i="153"/>
  <c r="BN330" i="153"/>
  <c r="BN340" i="153" s="1"/>
  <c r="BN199" i="153"/>
  <c r="Z316" i="153"/>
  <c r="AF316" i="153"/>
  <c r="BP330" i="153"/>
  <c r="BP340" i="153" s="1"/>
  <c r="BP199" i="153"/>
  <c r="BL330" i="153"/>
  <c r="BL340" i="153" s="1"/>
  <c r="BL199" i="153"/>
  <c r="AV248" i="153"/>
  <c r="BJ199" i="153"/>
  <c r="BJ330" i="153"/>
  <c r="BJ340" i="153" s="1"/>
  <c r="AV292" i="153"/>
  <c r="AV316" i="153" s="1"/>
  <c r="BE207" i="153"/>
  <c r="BE240" i="153" s="1"/>
  <c r="BE248" i="153" s="1"/>
  <c r="BE215" i="153"/>
  <c r="BE284" i="153" s="1"/>
  <c r="BE292" i="153" s="1"/>
  <c r="BE316" i="153" s="1"/>
  <c r="AX207" i="153"/>
  <c r="AX240" i="153" s="1"/>
  <c r="AX248" i="153" s="1"/>
  <c r="AX215" i="153"/>
  <c r="AX284" i="153" s="1"/>
  <c r="AX292" i="153" s="1"/>
  <c r="AX300" i="153" s="1"/>
  <c r="BD215" i="153"/>
  <c r="BD284" i="153" s="1"/>
  <c r="BD292" i="153" s="1"/>
  <c r="BD316" i="153" s="1"/>
  <c r="BD207" i="153"/>
  <c r="BD240" i="153" s="1"/>
  <c r="BD248" i="153" s="1"/>
  <c r="AD256" i="153"/>
  <c r="AD465" i="153"/>
  <c r="BQ330" i="153"/>
  <c r="BQ340" i="153" s="1"/>
  <c r="BQ199" i="153"/>
  <c r="AQ292" i="153"/>
  <c r="AQ308" i="153" s="1"/>
  <c r="BC215" i="153"/>
  <c r="BC284" i="153" s="1"/>
  <c r="BC292" i="153" s="1"/>
  <c r="BC300" i="153" s="1"/>
  <c r="BC207" i="153"/>
  <c r="BC240" i="153" s="1"/>
  <c r="BC248" i="153" s="1"/>
  <c r="AC264" i="153"/>
  <c r="AC465" i="153"/>
  <c r="BO199" i="153"/>
  <c r="BO330" i="153"/>
  <c r="BO340" i="153" s="1"/>
  <c r="AQ248" i="153"/>
  <c r="AG272" i="153"/>
  <c r="AG465" i="153"/>
  <c r="BM330" i="153"/>
  <c r="BM340" i="153" s="1"/>
  <c r="BM199" i="153"/>
  <c r="AM248" i="153"/>
  <c r="AW465" i="153"/>
  <c r="AU292" i="153"/>
  <c r="AU300" i="153" s="1"/>
  <c r="BV179" i="153"/>
  <c r="BV187" i="153" s="1"/>
  <c r="BW179" i="153"/>
  <c r="BW187" i="153" s="1"/>
  <c r="BX179" i="153"/>
  <c r="BX187" i="153" s="1"/>
  <c r="BY179" i="153"/>
  <c r="BY187" i="153" s="1"/>
  <c r="AM292" i="153"/>
  <c r="AM308" i="153" s="1"/>
  <c r="AJ256" i="153"/>
  <c r="AJ465" i="153"/>
  <c r="BF215" i="153"/>
  <c r="BF284" i="153" s="1"/>
  <c r="BF292" i="153" s="1"/>
  <c r="BF308" i="153" s="1"/>
  <c r="BF207" i="153"/>
  <c r="BF240" i="153" s="1"/>
  <c r="BF248" i="153" s="1"/>
  <c r="AW272" i="153"/>
  <c r="AO248" i="153"/>
  <c r="AN292" i="153"/>
  <c r="AN300" i="153" s="1"/>
  <c r="AP248" i="153"/>
  <c r="BG207" i="153"/>
  <c r="BG240" i="153" s="1"/>
  <c r="BG248" i="153" s="1"/>
  <c r="BG215" i="153"/>
  <c r="BG284" i="153" s="1"/>
  <c r="BG292" i="153" s="1"/>
  <c r="BG308" i="153" s="1"/>
  <c r="AO292" i="153"/>
  <c r="AO308" i="153" s="1"/>
  <c r="AN248" i="153"/>
  <c r="AP292" i="153"/>
  <c r="AP308" i="153" s="1"/>
  <c r="BH215" i="153"/>
  <c r="BH284" i="153" s="1"/>
  <c r="BH292" i="153" s="1"/>
  <c r="BH308" i="153" s="1"/>
  <c r="BH207" i="153"/>
  <c r="BH240" i="153" s="1"/>
  <c r="BH248" i="153" s="1"/>
  <c r="AA272" i="153"/>
  <c r="AH264" i="153"/>
  <c r="AI272" i="153"/>
  <c r="AE316" i="153"/>
  <c r="AL292" i="153"/>
  <c r="AL316" i="153" s="1"/>
  <c r="AA256" i="153"/>
  <c r="Y330" i="153"/>
  <c r="Y340" i="153" s="1"/>
  <c r="Y199" i="153"/>
  <c r="X187" i="153"/>
  <c r="W187" i="153"/>
  <c r="V187" i="153"/>
  <c r="S187" i="153"/>
  <c r="U187" i="153"/>
  <c r="T187" i="153"/>
  <c r="AY515" i="99"/>
  <c r="AY579" i="99" s="1"/>
  <c r="AZ233" i="99"/>
  <c r="AZ230" i="99"/>
  <c r="AZ535" i="99"/>
  <c r="AZ599" i="99" s="1"/>
  <c r="BA17" i="69"/>
  <c r="BF76" i="105" s="1"/>
  <c r="BC3" i="69"/>
  <c r="BC4" i="69" s="1"/>
  <c r="BB2" i="69" a="1"/>
  <c r="BB2" i="69" s="1"/>
  <c r="BB13" i="69"/>
  <c r="BB7" i="69"/>
  <c r="BB8" i="69"/>
  <c r="BB14" i="69"/>
  <c r="BB11" i="69"/>
  <c r="BB9" i="69"/>
  <c r="BB15" i="69"/>
  <c r="BB16" i="69"/>
  <c r="BB10" i="69"/>
  <c r="AW581" i="99"/>
  <c r="AW518" i="99"/>
  <c r="AZ228" i="99"/>
  <c r="AZ234" i="99"/>
  <c r="AZ232" i="99"/>
  <c r="AZ585" i="99"/>
  <c r="AZ524" i="99"/>
  <c r="AZ512" i="99"/>
  <c r="AV551" i="99"/>
  <c r="AV555" i="99" s="1"/>
  <c r="AV608" i="99"/>
  <c r="AX590" i="99"/>
  <c r="BF527" i="99"/>
  <c r="BA541" i="99"/>
  <c r="BA605" i="99" s="1"/>
  <c r="BA547" i="99"/>
  <c r="BA611" i="99" s="1"/>
  <c r="BA538" i="99"/>
  <c r="BA540" i="99"/>
  <c r="BA604" i="99" s="1"/>
  <c r="BA539" i="99"/>
  <c r="BA603" i="99" s="1"/>
  <c r="BA534" i="99"/>
  <c r="BA598" i="99" s="1"/>
  <c r="BA548" i="99"/>
  <c r="BA612" i="99" s="1"/>
  <c r="BA522" i="99"/>
  <c r="BA586" i="99" s="1"/>
  <c r="BA507" i="99"/>
  <c r="BA523" i="99"/>
  <c r="BA587" i="99" s="1"/>
  <c r="BA509" i="99"/>
  <c r="BA573" i="99" s="1"/>
  <c r="BA525" i="99"/>
  <c r="BA589" i="99" s="1"/>
  <c r="BA521" i="99"/>
  <c r="BA513" i="99"/>
  <c r="BA577" i="99" s="1"/>
  <c r="BA516" i="99"/>
  <c r="BA580" i="99" s="1"/>
  <c r="BA558" i="99"/>
  <c r="BA622" i="99" s="1"/>
  <c r="BA514" i="99"/>
  <c r="BA578" i="99" s="1"/>
  <c r="BA533" i="99"/>
  <c r="BA597" i="99" s="1"/>
  <c r="AZ602" i="99"/>
  <c r="AZ542" i="99"/>
  <c r="AZ606" i="99" s="1"/>
  <c r="AX579" i="99"/>
  <c r="AX517" i="99"/>
  <c r="BC3" i="99"/>
  <c r="BC4" i="99" s="1"/>
  <c r="BB2" i="99" a="1"/>
  <c r="BB2" i="99" s="1"/>
  <c r="BB554" i="99" s="1"/>
  <c r="BB474" i="99"/>
  <c r="BB475" i="99"/>
  <c r="BB499" i="99"/>
  <c r="BB483" i="99" s="1"/>
  <c r="BB491" i="99" s="1"/>
  <c r="BB498" i="99"/>
  <c r="BB482" i="99" s="1"/>
  <c r="BB490" i="99" s="1"/>
  <c r="BB476" i="99"/>
  <c r="BB500" i="99"/>
  <c r="BB484" i="99" s="1"/>
  <c r="BB492" i="99" s="1"/>
  <c r="BB477" i="99"/>
  <c r="BB478" i="99"/>
  <c r="BB501" i="99"/>
  <c r="BB485" i="99" s="1"/>
  <c r="BB493" i="99" s="1"/>
  <c r="BB502" i="99"/>
  <c r="BB486" i="99" s="1"/>
  <c r="BB494" i="99" s="1"/>
  <c r="BB479" i="99"/>
  <c r="BB503" i="99"/>
  <c r="BB487" i="99" s="1"/>
  <c r="BB495" i="99" s="1"/>
  <c r="AS631" i="99"/>
  <c r="AS562" i="99"/>
  <c r="AS625" i="99"/>
  <c r="AS626" i="99" s="1"/>
  <c r="AT556" i="99"/>
  <c r="AT619" i="99"/>
  <c r="AT620" i="99" s="1"/>
  <c r="AT616" i="99"/>
  <c r="AW529" i="99"/>
  <c r="AU559" i="99" a="1"/>
  <c r="AU559" i="99" s="1"/>
  <c r="AU623" i="99" s="1"/>
  <c r="AU615" i="99"/>
  <c r="AU552" i="99"/>
  <c r="AW591" i="99"/>
  <c r="AW224" i="99"/>
  <c r="AY588" i="99"/>
  <c r="AY526" i="99"/>
  <c r="AZ549" i="99"/>
  <c r="AZ613" i="99" s="1"/>
  <c r="AZ229" i="99"/>
  <c r="BD5" i="72"/>
  <c r="BD6" i="72" s="1"/>
  <c r="BC36" i="72"/>
  <c r="BC38" i="72" s="1"/>
  <c r="BC37" i="72"/>
  <c r="BC47" i="72"/>
  <c r="BC48" i="72"/>
  <c r="BS8" i="98"/>
  <c r="BC6" i="98"/>
  <c r="BB70" i="103"/>
  <c r="BG70" i="105" s="1"/>
  <c r="BB35" i="151" s="1"/>
  <c r="BA40" i="151" l="1"/>
  <c r="BF132" i="105"/>
  <c r="BD4" i="72" a="1"/>
  <c r="BD4" i="72" s="1"/>
  <c r="AF99" i="154"/>
  <c r="AF36" i="154"/>
  <c r="AF90" i="154"/>
  <c r="AF27" i="154"/>
  <c r="AF84" i="154"/>
  <c r="J136" i="154"/>
  <c r="J137" i="154" s="1"/>
  <c r="J72" i="154"/>
  <c r="BD122" i="105"/>
  <c r="AZ129" i="103"/>
  <c r="AW414" i="153"/>
  <c r="AW453" i="153" s="1" a="1"/>
  <c r="AW453" i="153" s="1"/>
  <c r="AB414" i="153"/>
  <c r="AB453" i="153" s="1" a="1"/>
  <c r="AB453" i="153" s="1"/>
  <c r="AG414" i="153"/>
  <c r="AG453" i="153" s="1" a="1"/>
  <c r="AG453" i="153" s="1"/>
  <c r="AH414" i="153"/>
  <c r="AH453" i="153" s="1" a="1"/>
  <c r="AH453" i="153" s="1"/>
  <c r="AE414" i="153"/>
  <c r="AE453" i="153" s="1" a="1"/>
  <c r="AE453" i="153" s="1"/>
  <c r="AA414" i="153"/>
  <c r="AA453" i="153" s="1" a="1"/>
  <c r="AA453" i="153" s="1"/>
  <c r="AD414" i="153"/>
  <c r="AD453" i="153" s="1" a="1"/>
  <c r="AD453" i="153" s="1"/>
  <c r="AC414" i="153"/>
  <c r="AC453" i="153" s="1" a="1"/>
  <c r="AC453" i="153" s="1"/>
  <c r="AJ414" i="153"/>
  <c r="AJ453" i="153" s="1" a="1"/>
  <c r="AJ453" i="153" s="1"/>
  <c r="Z414" i="153"/>
  <c r="Z453" i="153" s="1" a="1"/>
  <c r="Z453" i="153" s="1"/>
  <c r="AF414" i="153"/>
  <c r="AF453" i="153" s="1" a="1"/>
  <c r="AF453" i="153" s="1"/>
  <c r="AK414" i="153"/>
  <c r="AK453" i="153" s="1" a="1"/>
  <c r="AK453" i="153" s="1"/>
  <c r="AI414" i="153"/>
  <c r="AI453" i="153" s="1" a="1"/>
  <c r="AI453" i="153" s="1"/>
  <c r="AO272" i="153"/>
  <c r="BC465" i="153"/>
  <c r="AS256" i="153"/>
  <c r="BD465" i="153"/>
  <c r="BA256" i="153"/>
  <c r="AR272" i="153"/>
  <c r="BF272" i="153"/>
  <c r="BB264" i="153"/>
  <c r="BH256" i="153"/>
  <c r="AM264" i="153"/>
  <c r="BE465" i="153"/>
  <c r="AY256" i="153"/>
  <c r="AN264" i="153"/>
  <c r="AT256" i="153"/>
  <c r="BI256" i="153"/>
  <c r="AQ256" i="153"/>
  <c r="AV264" i="153"/>
  <c r="AP264" i="153"/>
  <c r="AL272" i="153"/>
  <c r="AX465" i="153"/>
  <c r="AZ465" i="153"/>
  <c r="BG256" i="153"/>
  <c r="AU561" i="99"/>
  <c r="AU567" i="99" s="1"/>
  <c r="BF127" i="105"/>
  <c r="BG127" i="105"/>
  <c r="BB215" i="155"/>
  <c r="BB284" i="155" s="1"/>
  <c r="BB292" i="155" s="1"/>
  <c r="BB316" i="155" s="1"/>
  <c r="BD207" i="154"/>
  <c r="BD240" i="154" s="1"/>
  <c r="BD248" i="154" s="1"/>
  <c r="BK199" i="154"/>
  <c r="BK207" i="154" s="1"/>
  <c r="BK240" i="154" s="1"/>
  <c r="BK248" i="154" s="1"/>
  <c r="BL199" i="155"/>
  <c r="BL207" i="155" s="1"/>
  <c r="BL240" i="155" s="1"/>
  <c r="BT330" i="155"/>
  <c r="BT340" i="155" s="1"/>
  <c r="BL199" i="154"/>
  <c r="BL215" i="154" s="1"/>
  <c r="BL284" i="154" s="1"/>
  <c r="BP330" i="154"/>
  <c r="BP340" i="154" s="1"/>
  <c r="BO199" i="154"/>
  <c r="BO215" i="154" s="1"/>
  <c r="BO284" i="154" s="1"/>
  <c r="BJ199" i="155"/>
  <c r="BJ215" i="155" s="1"/>
  <c r="BJ284" i="155" s="1"/>
  <c r="BJ292" i="155" s="1"/>
  <c r="BJ300" i="155" s="1"/>
  <c r="AM340" i="155"/>
  <c r="AN207" i="155"/>
  <c r="AN215" i="155"/>
  <c r="AM207" i="155"/>
  <c r="AM215" i="155"/>
  <c r="AN340" i="155"/>
  <c r="BW179" i="155"/>
  <c r="BW187" i="155" s="1"/>
  <c r="BW330" i="155" s="1"/>
  <c r="BW340" i="155" s="1"/>
  <c r="AM340" i="154"/>
  <c r="AM344" i="154" s="1"/>
  <c r="AM43" i="154" s="1"/>
  <c r="AM334" i="154"/>
  <c r="AM215" i="154"/>
  <c r="AM207" i="154"/>
  <c r="AM203" i="154"/>
  <c r="AN215" i="154"/>
  <c r="AN207" i="154"/>
  <c r="AN203" i="154"/>
  <c r="BW179" i="154"/>
  <c r="BW187" i="154" s="1"/>
  <c r="AN340" i="154"/>
  <c r="AN344" i="154" s="1"/>
  <c r="AN43" i="154" s="1"/>
  <c r="AN334" i="154"/>
  <c r="BV179" i="155"/>
  <c r="BV187" i="155" s="1"/>
  <c r="BV199" i="155" s="1"/>
  <c r="BV207" i="155" s="1"/>
  <c r="BV240" i="155" s="1"/>
  <c r="AL207" i="155"/>
  <c r="AL215" i="155"/>
  <c r="AL340" i="155"/>
  <c r="BJ330" i="154"/>
  <c r="BJ340" i="154" s="1"/>
  <c r="BJ199" i="154"/>
  <c r="AL340" i="154"/>
  <c r="AL344" i="154" s="1"/>
  <c r="AL43" i="154" s="1"/>
  <c r="AL334" i="154"/>
  <c r="BK330" i="155"/>
  <c r="BK340" i="155" s="1"/>
  <c r="BK199" i="155"/>
  <c r="AL207" i="154"/>
  <c r="AL215" i="154"/>
  <c r="AL203" i="154"/>
  <c r="AZ129" i="99"/>
  <c r="BP199" i="155"/>
  <c r="BP215" i="155" s="1"/>
  <c r="BP284" i="155" s="1"/>
  <c r="BC207" i="154"/>
  <c r="BC240" i="154" s="1"/>
  <c r="BC248" i="154" s="1"/>
  <c r="BU199" i="153"/>
  <c r="BU207" i="153" s="1"/>
  <c r="BU240" i="153" s="1"/>
  <c r="BU248" i="153" s="1"/>
  <c r="BH207" i="154"/>
  <c r="BH240" i="154" s="1"/>
  <c r="BH248" i="154" s="1"/>
  <c r="BM199" i="154"/>
  <c r="BM215" i="154" s="1"/>
  <c r="BM284" i="154" s="1"/>
  <c r="BM199" i="155"/>
  <c r="BM215" i="155" s="1"/>
  <c r="BM284" i="155" s="1"/>
  <c r="BG207" i="154"/>
  <c r="BG240" i="154" s="1"/>
  <c r="BG248" i="154" s="1"/>
  <c r="BN330" i="155"/>
  <c r="BN340" i="155" s="1"/>
  <c r="BU199" i="155"/>
  <c r="BU207" i="155" s="1"/>
  <c r="BU240" i="155" s="1"/>
  <c r="BS330" i="155"/>
  <c r="BS340" i="155" s="1"/>
  <c r="BO330" i="155"/>
  <c r="BO340" i="155" s="1"/>
  <c r="BQ199" i="155"/>
  <c r="BQ207" i="155" s="1"/>
  <c r="BQ240" i="155" s="1"/>
  <c r="BV330" i="154"/>
  <c r="BV340" i="154" s="1"/>
  <c r="BU199" i="154"/>
  <c r="BU207" i="154" s="1"/>
  <c r="BU240" i="154" s="1"/>
  <c r="AZ129" i="104"/>
  <c r="AZ64" i="104" s="1"/>
  <c r="BE64" i="105" s="1"/>
  <c r="AZ30" i="151" s="1"/>
  <c r="BT330" i="154"/>
  <c r="BT340" i="154" s="1"/>
  <c r="BN330" i="154"/>
  <c r="BN340" i="154" s="1"/>
  <c r="AP340" i="154"/>
  <c r="AP344" i="154" s="1"/>
  <c r="AP43" i="154" s="1"/>
  <c r="AP334" i="154"/>
  <c r="AO203" i="154"/>
  <c r="AO207" i="154"/>
  <c r="AO215" i="154"/>
  <c r="AP203" i="154"/>
  <c r="AP207" i="154"/>
  <c r="AP215" i="154"/>
  <c r="AO340" i="154"/>
  <c r="AO344" i="154" s="1"/>
  <c r="AO43" i="154" s="1"/>
  <c r="AO334" i="154"/>
  <c r="AR207" i="155"/>
  <c r="AR215" i="155"/>
  <c r="AR340" i="155"/>
  <c r="AP340" i="155"/>
  <c r="AP207" i="155"/>
  <c r="AP215" i="155"/>
  <c r="AQ215" i="155"/>
  <c r="AQ207" i="155"/>
  <c r="AQ340" i="155"/>
  <c r="AO215" i="155"/>
  <c r="AO207" i="155"/>
  <c r="AO340" i="155"/>
  <c r="BY179" i="155"/>
  <c r="BY187" i="155" s="1"/>
  <c r="BY330" i="155" s="1"/>
  <c r="BY340" i="155" s="1"/>
  <c r="AS340" i="155"/>
  <c r="AS215" i="154"/>
  <c r="AS207" i="154"/>
  <c r="AS207" i="155"/>
  <c r="AS215" i="155"/>
  <c r="AS340" i="154"/>
  <c r="AQ340" i="154"/>
  <c r="AQ344" i="154" s="1"/>
  <c r="AQ43" i="154" s="1"/>
  <c r="AQ334" i="154"/>
  <c r="AR207" i="154"/>
  <c r="AR215" i="154"/>
  <c r="AQ203" i="154"/>
  <c r="AQ207" i="154"/>
  <c r="AQ215" i="154"/>
  <c r="AR340" i="154"/>
  <c r="BS199" i="154"/>
  <c r="BS215" i="154" s="1"/>
  <c r="BS284" i="154" s="1"/>
  <c r="AY340" i="154"/>
  <c r="AY207" i="154"/>
  <c r="AY215" i="154"/>
  <c r="AW215" i="154"/>
  <c r="AW207" i="154"/>
  <c r="AW340" i="154"/>
  <c r="AU215" i="154"/>
  <c r="AU207" i="154"/>
  <c r="AU340" i="154"/>
  <c r="AY340" i="155"/>
  <c r="AV340" i="155"/>
  <c r="AX207" i="155"/>
  <c r="AX215" i="155"/>
  <c r="AY207" i="155"/>
  <c r="AY215" i="155"/>
  <c r="AV215" i="155"/>
  <c r="AV207" i="155"/>
  <c r="AT340" i="154"/>
  <c r="AX340" i="155"/>
  <c r="AX340" i="154"/>
  <c r="AT215" i="154"/>
  <c r="AT207" i="154"/>
  <c r="AX207" i="154"/>
  <c r="AX215" i="154"/>
  <c r="AV340" i="154"/>
  <c r="AW215" i="155"/>
  <c r="AW207" i="155"/>
  <c r="AV207" i="154"/>
  <c r="AV215" i="154"/>
  <c r="AW340" i="155"/>
  <c r="AT215" i="155"/>
  <c r="AT207" i="155"/>
  <c r="AT340" i="155"/>
  <c r="AU340" i="155"/>
  <c r="AU207" i="155"/>
  <c r="AU215" i="155"/>
  <c r="BA292" i="154"/>
  <c r="BA308" i="154" s="1"/>
  <c r="BT215" i="154"/>
  <c r="BT284" i="154" s="1"/>
  <c r="BT207" i="154"/>
  <c r="BT240" i="154" s="1"/>
  <c r="BA248" i="154"/>
  <c r="BN207" i="154"/>
  <c r="BN240" i="154" s="1"/>
  <c r="BN215" i="154"/>
  <c r="BN284" i="154" s="1"/>
  <c r="BG292" i="154"/>
  <c r="BG308" i="154" s="1"/>
  <c r="BI292" i="155"/>
  <c r="BI308" i="155" s="1"/>
  <c r="BE248" i="155"/>
  <c r="BG248" i="155"/>
  <c r="BT215" i="155"/>
  <c r="BT284" i="155" s="1"/>
  <c r="BT207" i="155"/>
  <c r="BT240" i="155" s="1"/>
  <c r="BI248" i="155"/>
  <c r="BE292" i="154"/>
  <c r="BE300" i="154" s="1"/>
  <c r="BE292" i="155"/>
  <c r="BE308" i="155" s="1"/>
  <c r="BG292" i="155"/>
  <c r="BG300" i="155" s="1"/>
  <c r="BE248" i="154"/>
  <c r="AZ207" i="154"/>
  <c r="AZ215" i="154"/>
  <c r="AZ340" i="154"/>
  <c r="BX330" i="154"/>
  <c r="BX340" i="154" s="1"/>
  <c r="BX199" i="154"/>
  <c r="BX199" i="155"/>
  <c r="BX330" i="155"/>
  <c r="BX340" i="155" s="1"/>
  <c r="BY179" i="154"/>
  <c r="BY187" i="154" s="1"/>
  <c r="W172" i="154"/>
  <c r="BA248" i="155"/>
  <c r="BR199" i="155"/>
  <c r="BR330" i="155"/>
  <c r="BR340" i="155" s="1"/>
  <c r="BR330" i="154"/>
  <c r="BR340" i="154" s="1"/>
  <c r="BR199" i="154"/>
  <c r="BA292" i="155"/>
  <c r="BA316" i="155" s="1"/>
  <c r="BB292" i="154"/>
  <c r="BB308" i="154" s="1"/>
  <c r="BH292" i="155"/>
  <c r="BH300" i="155" s="1"/>
  <c r="BV215" i="154"/>
  <c r="BV284" i="154" s="1"/>
  <c r="BV207" i="154"/>
  <c r="BV240" i="154" s="1"/>
  <c r="BP207" i="154"/>
  <c r="BP240" i="154" s="1"/>
  <c r="BP215" i="154"/>
  <c r="BP284" i="154" s="1"/>
  <c r="BB248" i="154"/>
  <c r="BH248" i="155"/>
  <c r="BQ215" i="154"/>
  <c r="BQ284" i="154" s="1"/>
  <c r="BQ207" i="154"/>
  <c r="BQ240" i="154" s="1"/>
  <c r="BS215" i="155"/>
  <c r="BS284" i="155" s="1"/>
  <c r="BS207" i="155"/>
  <c r="BS240" i="155" s="1"/>
  <c r="BB248" i="155"/>
  <c r="BC292" i="155"/>
  <c r="BC316" i="155" s="1"/>
  <c r="BF207" i="154"/>
  <c r="BF240" i="154" s="1"/>
  <c r="BF215" i="154"/>
  <c r="BF284" i="154" s="1"/>
  <c r="BC248" i="155"/>
  <c r="BH292" i="154"/>
  <c r="BH300" i="154" s="1"/>
  <c r="BC292" i="154"/>
  <c r="BC316" i="154" s="1"/>
  <c r="AZ340" i="155"/>
  <c r="BN215" i="155"/>
  <c r="BN284" i="155" s="1"/>
  <c r="BN207" i="155"/>
  <c r="BN240" i="155" s="1"/>
  <c r="AZ207" i="155"/>
  <c r="AZ215" i="155"/>
  <c r="BF207" i="155"/>
  <c r="BF240" i="155" s="1"/>
  <c r="BF215" i="155"/>
  <c r="BF284" i="155" s="1"/>
  <c r="BD292" i="154"/>
  <c r="BD300" i="154" s="1"/>
  <c r="BD248" i="155"/>
  <c r="BD292" i="155"/>
  <c r="BD316" i="155" s="1"/>
  <c r="BI248" i="154"/>
  <c r="BI292" i="154"/>
  <c r="BI300" i="154" s="1"/>
  <c r="BO207" i="155"/>
  <c r="BO240" i="155" s="1"/>
  <c r="BO215" i="155"/>
  <c r="BO284" i="155" s="1"/>
  <c r="BA618" i="99"/>
  <c r="BA64" i="99"/>
  <c r="AF453" i="154" a="1"/>
  <c r="AF453" i="154" s="1"/>
  <c r="AF457" i="154" s="1"/>
  <c r="AF69" i="154" s="1"/>
  <c r="AF418" i="154"/>
  <c r="AF146" i="154"/>
  <c r="AF148" i="154"/>
  <c r="AF147" i="154"/>
  <c r="AF145" i="154"/>
  <c r="AS272" i="153"/>
  <c r="AS264" i="153"/>
  <c r="AW455" i="154" a="1"/>
  <c r="AW455" i="154" s="1"/>
  <c r="AX264" i="153"/>
  <c r="AU455" i="154" a="1"/>
  <c r="AU455" i="154" s="1"/>
  <c r="AW455" i="155" a="1"/>
  <c r="AW455" i="155" s="1"/>
  <c r="AV455" i="154" a="1"/>
  <c r="AV455" i="154" s="1"/>
  <c r="AV455" i="155" a="1"/>
  <c r="AV455" i="155" s="1"/>
  <c r="BT330" i="153"/>
  <c r="BT340" i="153" s="1"/>
  <c r="BC308" i="153"/>
  <c r="BD272" i="153"/>
  <c r="AP316" i="153"/>
  <c r="AN316" i="153"/>
  <c r="AO316" i="153"/>
  <c r="AS308" i="153"/>
  <c r="AT308" i="153"/>
  <c r="AT316" i="153"/>
  <c r="AY300" i="153"/>
  <c r="BD264" i="153"/>
  <c r="BD256" i="153"/>
  <c r="AZ256" i="153"/>
  <c r="AN308" i="153"/>
  <c r="AQ264" i="153"/>
  <c r="BS199" i="153"/>
  <c r="BS207" i="153" s="1"/>
  <c r="BS240" i="153" s="1"/>
  <c r="BS248" i="153" s="1"/>
  <c r="AO264" i="153"/>
  <c r="AL300" i="153"/>
  <c r="BF465" i="153"/>
  <c r="BG465" i="153"/>
  <c r="AZ272" i="153"/>
  <c r="AY316" i="153"/>
  <c r="BH316" i="153"/>
  <c r="BF256" i="153"/>
  <c r="AL256" i="153"/>
  <c r="BD300" i="153"/>
  <c r="BD308" i="153"/>
  <c r="AV272" i="153"/>
  <c r="AT264" i="153"/>
  <c r="AM300" i="153"/>
  <c r="AM316" i="153"/>
  <c r="AQ316" i="153"/>
  <c r="AZ308" i="153"/>
  <c r="AZ264" i="153"/>
  <c r="BF264" i="153"/>
  <c r="AR264" i="153"/>
  <c r="BH465" i="153"/>
  <c r="BG272" i="153"/>
  <c r="AQ300" i="153"/>
  <c r="BH264" i="153"/>
  <c r="BA272" i="153"/>
  <c r="AR308" i="153"/>
  <c r="BE264" i="153"/>
  <c r="AR300" i="153"/>
  <c r="BG264" i="153"/>
  <c r="BF300" i="153"/>
  <c r="AX316" i="153"/>
  <c r="BB300" i="153"/>
  <c r="AM256" i="153"/>
  <c r="BI465" i="153"/>
  <c r="BE256" i="153"/>
  <c r="BF316" i="153"/>
  <c r="AZ300" i="153"/>
  <c r="BA316" i="153"/>
  <c r="AY465" i="153"/>
  <c r="BA308" i="153"/>
  <c r="BH300" i="153"/>
  <c r="BH272" i="153"/>
  <c r="AL308" i="153"/>
  <c r="BA465" i="153"/>
  <c r="BT207" i="153"/>
  <c r="BT240" i="153" s="1"/>
  <c r="BT248" i="153" s="1"/>
  <c r="BT215" i="153"/>
  <c r="BT284" i="153" s="1"/>
  <c r="BT292" i="153" s="1"/>
  <c r="BT300" i="153" s="1"/>
  <c r="BA264" i="153"/>
  <c r="AN256" i="153"/>
  <c r="BN215" i="153"/>
  <c r="BN284" i="153" s="1"/>
  <c r="BN292" i="153" s="1"/>
  <c r="BN308" i="153" s="1"/>
  <c r="BN207" i="153"/>
  <c r="BN240" i="153" s="1"/>
  <c r="BN248" i="153" s="1"/>
  <c r="AS316" i="153"/>
  <c r="AO300" i="153"/>
  <c r="AU465" i="153"/>
  <c r="AN272" i="153"/>
  <c r="AN465" i="153"/>
  <c r="AY517" i="99"/>
  <c r="AY529" i="99" s="1"/>
  <c r="BI264" i="153"/>
  <c r="BE308" i="153"/>
  <c r="BY199" i="153"/>
  <c r="BY330" i="153"/>
  <c r="BY340" i="153" s="1"/>
  <c r="AQ272" i="153"/>
  <c r="AQ465" i="153"/>
  <c r="BR215" i="153"/>
  <c r="BR284" i="153" s="1"/>
  <c r="BR292" i="153" s="1"/>
  <c r="BR300" i="153" s="1"/>
  <c r="BR207" i="153"/>
  <c r="BR240" i="153" s="1"/>
  <c r="BR248" i="153" s="1"/>
  <c r="BC272" i="153"/>
  <c r="BX330" i="153"/>
  <c r="BX340" i="153" s="1"/>
  <c r="BX199" i="153"/>
  <c r="BW330" i="153"/>
  <c r="BW340" i="153" s="1"/>
  <c r="BW199" i="153"/>
  <c r="BO215" i="153"/>
  <c r="BO284" i="153" s="1"/>
  <c r="BO292" i="153" s="1"/>
  <c r="BO316" i="153" s="1"/>
  <c r="BO207" i="153"/>
  <c r="BO240" i="153" s="1"/>
  <c r="BO248" i="153" s="1"/>
  <c r="BC256" i="153"/>
  <c r="BV330" i="153"/>
  <c r="BV340" i="153" s="1"/>
  <c r="BV199" i="153"/>
  <c r="BG300" i="153"/>
  <c r="AP272" i="153"/>
  <c r="AU308" i="153"/>
  <c r="AV308" i="153"/>
  <c r="AY272" i="153"/>
  <c r="BE300" i="153"/>
  <c r="BC316" i="153"/>
  <c r="AU316" i="153"/>
  <c r="AV300" i="153"/>
  <c r="AP256" i="153"/>
  <c r="AP465" i="153"/>
  <c r="AM272" i="153"/>
  <c r="AM465" i="153"/>
  <c r="BI308" i="153"/>
  <c r="BK207" i="153"/>
  <c r="BK240" i="153" s="1"/>
  <c r="BK248" i="153" s="1"/>
  <c r="BK215" i="153"/>
  <c r="BK284" i="153" s="1"/>
  <c r="BK292" i="153" s="1"/>
  <c r="BK316" i="153" s="1"/>
  <c r="BJ207" i="153"/>
  <c r="BJ240" i="153" s="1"/>
  <c r="BJ248" i="153" s="1"/>
  <c r="BJ215" i="153"/>
  <c r="BJ284" i="153" s="1"/>
  <c r="BJ292" i="153" s="1"/>
  <c r="BJ308" i="153" s="1"/>
  <c r="BC264" i="153"/>
  <c r="BB465" i="153"/>
  <c r="BQ215" i="153"/>
  <c r="BQ284" i="153" s="1"/>
  <c r="BQ292" i="153" s="1"/>
  <c r="BQ316" i="153" s="1"/>
  <c r="BQ207" i="153"/>
  <c r="BQ240" i="153" s="1"/>
  <c r="BQ248" i="153" s="1"/>
  <c r="AV256" i="153"/>
  <c r="AV465" i="153"/>
  <c r="AR256" i="153"/>
  <c r="AR465" i="153"/>
  <c r="AX308" i="153"/>
  <c r="AX272" i="153"/>
  <c r="BB272" i="153"/>
  <c r="BI316" i="153"/>
  <c r="AO256" i="153"/>
  <c r="AO465" i="153"/>
  <c r="BL207" i="153"/>
  <c r="BL240" i="153" s="1"/>
  <c r="BL248" i="153" s="1"/>
  <c r="BL215" i="153"/>
  <c r="BL284" i="153" s="1"/>
  <c r="BL292" i="153" s="1"/>
  <c r="BL300" i="153" s="1"/>
  <c r="BM215" i="153"/>
  <c r="BM284" i="153" s="1"/>
  <c r="BM292" i="153" s="1"/>
  <c r="BM300" i="153" s="1"/>
  <c r="BM207" i="153"/>
  <c r="BM240" i="153" s="1"/>
  <c r="BM248" i="153" s="1"/>
  <c r="BG316" i="153"/>
  <c r="AU264" i="153"/>
  <c r="AT272" i="153"/>
  <c r="AT465" i="153"/>
  <c r="BE272" i="153"/>
  <c r="BB256" i="153"/>
  <c r="AU272" i="153"/>
  <c r="BP215" i="153"/>
  <c r="BP284" i="153" s="1"/>
  <c r="BP292" i="153" s="1"/>
  <c r="BP316" i="153" s="1"/>
  <c r="BP207" i="153"/>
  <c r="BP240" i="153" s="1"/>
  <c r="BP248" i="153" s="1"/>
  <c r="BI272" i="153"/>
  <c r="AX256" i="153"/>
  <c r="BB308" i="153"/>
  <c r="AY264" i="153"/>
  <c r="AP300" i="153"/>
  <c r="AU256" i="153"/>
  <c r="AS465" i="153"/>
  <c r="AL264" i="153"/>
  <c r="AL465" i="153"/>
  <c r="T199" i="153"/>
  <c r="T330" i="153"/>
  <c r="U330" i="153"/>
  <c r="U199" i="153"/>
  <c r="S330" i="153"/>
  <c r="S199" i="153"/>
  <c r="V330" i="153"/>
  <c r="V199" i="153"/>
  <c r="W330" i="153"/>
  <c r="W199" i="153"/>
  <c r="X330" i="153"/>
  <c r="X199" i="153"/>
  <c r="Y207" i="153"/>
  <c r="Y240" i="153" s="1"/>
  <c r="Y215" i="153"/>
  <c r="Y284" i="153" s="1"/>
  <c r="BA549" i="99"/>
  <c r="BA613" i="99" s="1"/>
  <c r="BA230" i="99"/>
  <c r="BA234" i="99"/>
  <c r="BA535" i="99"/>
  <c r="BA599" i="99" s="1"/>
  <c r="BD3" i="69"/>
  <c r="BD4" i="69" s="1"/>
  <c r="BC2" i="69" a="1"/>
  <c r="BC2" i="69" s="1"/>
  <c r="BC16" i="69"/>
  <c r="BC12" i="69"/>
  <c r="BC14" i="69"/>
  <c r="BC8" i="69"/>
  <c r="BC7" i="69"/>
  <c r="BC15" i="69"/>
  <c r="BC11" i="69"/>
  <c r="BC10" i="69"/>
  <c r="BC9" i="69"/>
  <c r="BA229" i="99"/>
  <c r="AU619" i="99"/>
  <c r="AU620" i="99" s="1"/>
  <c r="AU556" i="99"/>
  <c r="BA228" i="99"/>
  <c r="AU616" i="99"/>
  <c r="AT631" i="99"/>
  <c r="AT562" i="99"/>
  <c r="AT625" i="99"/>
  <c r="AT626" i="99" s="1"/>
  <c r="BA585" i="99"/>
  <c r="BA524" i="99"/>
  <c r="BA233" i="99"/>
  <c r="BA512" i="99"/>
  <c r="BA232" i="99"/>
  <c r="AW593" i="99"/>
  <c r="AW594" i="99" s="1"/>
  <c r="AW530" i="99"/>
  <c r="AW544" i="99"/>
  <c r="BB538" i="99"/>
  <c r="BB548" i="99"/>
  <c r="BB612" i="99" s="1"/>
  <c r="BB541" i="99"/>
  <c r="BB605" i="99" s="1"/>
  <c r="BB547" i="99"/>
  <c r="BB611" i="99" s="1"/>
  <c r="BB540" i="99"/>
  <c r="BB604" i="99" s="1"/>
  <c r="BB534" i="99"/>
  <c r="BB598" i="99" s="1"/>
  <c r="BB539" i="99"/>
  <c r="BB603" i="99" s="1"/>
  <c r="BB522" i="99"/>
  <c r="BB586" i="99" s="1"/>
  <c r="BB521" i="99"/>
  <c r="BB509" i="99"/>
  <c r="BB573" i="99" s="1"/>
  <c r="BB507" i="99"/>
  <c r="BB523" i="99"/>
  <c r="BB587" i="99" s="1"/>
  <c r="BB525" i="99"/>
  <c r="BB589" i="99" s="1"/>
  <c r="BB558" i="99"/>
  <c r="BB622" i="99" s="1"/>
  <c r="BB516" i="99"/>
  <c r="BB580" i="99" s="1"/>
  <c r="BB514" i="99"/>
  <c r="BB578" i="99" s="1"/>
  <c r="BB533" i="99"/>
  <c r="BB597" i="99" s="1"/>
  <c r="BB513" i="99"/>
  <c r="BB577" i="99" s="1"/>
  <c r="BD3" i="99"/>
  <c r="BD4" i="99" s="1"/>
  <c r="BC2" i="99" a="1"/>
  <c r="BC2" i="99" s="1"/>
  <c r="BC554" i="99" s="1"/>
  <c r="BC474" i="99"/>
  <c r="BC475" i="99"/>
  <c r="BC499" i="99"/>
  <c r="BC483" i="99" s="1"/>
  <c r="BC491" i="99" s="1"/>
  <c r="BC476" i="99"/>
  <c r="BC498" i="99"/>
  <c r="BC482" i="99" s="1"/>
  <c r="BC490" i="99" s="1"/>
  <c r="BC500" i="99"/>
  <c r="BC484" i="99" s="1"/>
  <c r="BC492" i="99" s="1"/>
  <c r="BC477" i="99"/>
  <c r="BC478" i="99"/>
  <c r="BC501" i="99"/>
  <c r="BC485" i="99" s="1"/>
  <c r="BC493" i="99" s="1"/>
  <c r="BC479" i="99"/>
  <c r="BC502" i="99"/>
  <c r="BC486" i="99" s="1"/>
  <c r="BC494" i="99" s="1"/>
  <c r="BC503" i="99"/>
  <c r="BC487" i="99" s="1"/>
  <c r="BC495" i="99" s="1"/>
  <c r="BA602" i="99"/>
  <c r="BA542" i="99"/>
  <c r="BA606" i="99" s="1"/>
  <c r="AX581" i="99"/>
  <c r="AX518" i="99"/>
  <c r="AV559" i="99" a="1"/>
  <c r="AV559" i="99" s="1"/>
  <c r="AV623" i="99" s="1"/>
  <c r="AV552" i="99"/>
  <c r="AV615" i="99"/>
  <c r="AY590" i="99"/>
  <c r="BG527" i="99"/>
  <c r="AZ576" i="99"/>
  <c r="AZ515" i="99"/>
  <c r="AX529" i="99"/>
  <c r="AX591" i="99"/>
  <c r="AX224" i="99"/>
  <c r="AZ588" i="99"/>
  <c r="AZ526" i="99"/>
  <c r="AW223" i="99"/>
  <c r="AW582" i="99"/>
  <c r="BC39" i="72"/>
  <c r="BE5" i="72"/>
  <c r="BE6" i="72" s="1"/>
  <c r="BD36" i="72"/>
  <c r="BD38" i="72" s="1"/>
  <c r="BD39" i="72" s="1"/>
  <c r="BD37" i="72"/>
  <c r="BD48" i="72"/>
  <c r="BD47" i="72"/>
  <c r="BB64" i="99"/>
  <c r="BD6" i="98"/>
  <c r="BC70" i="103"/>
  <c r="BH70" i="105" s="1"/>
  <c r="BC35" i="151" s="1"/>
  <c r="BT8" i="98"/>
  <c r="BE4" i="72" l="1" a="1"/>
  <c r="BE4" i="72" s="1"/>
  <c r="AM108" i="154"/>
  <c r="AM45" i="154"/>
  <c r="AM110" i="154" s="1"/>
  <c r="AP108" i="154"/>
  <c r="AP45" i="154"/>
  <c r="AF134" i="154"/>
  <c r="AL108" i="154"/>
  <c r="AL45" i="154"/>
  <c r="K43" i="154"/>
  <c r="K108" i="154" s="1"/>
  <c r="AQ108" i="154"/>
  <c r="AQ45" i="154"/>
  <c r="AQ110" i="154" s="1"/>
  <c r="AN108" i="154"/>
  <c r="AN45" i="154"/>
  <c r="AN110" i="154" s="1"/>
  <c r="AO108" i="154"/>
  <c r="AO45" i="154"/>
  <c r="AO110" i="154" s="1"/>
  <c r="AF92" i="154"/>
  <c r="AF93" i="154" s="1"/>
  <c r="AF39" i="154"/>
  <c r="AF28" i="154"/>
  <c r="AF101" i="154"/>
  <c r="AF102" i="154" s="1"/>
  <c r="AF37" i="154"/>
  <c r="BE122" i="105"/>
  <c r="BA129" i="103"/>
  <c r="AY414" i="153"/>
  <c r="AY453" i="153" s="1" a="1"/>
  <c r="AY453" i="153" s="1"/>
  <c r="AV414" i="153"/>
  <c r="AV453" i="153" s="1" a="1"/>
  <c r="AV453" i="153" s="1"/>
  <c r="BD414" i="153"/>
  <c r="BD453" i="153" s="1" a="1"/>
  <c r="BD453" i="153" s="1"/>
  <c r="AZ414" i="153"/>
  <c r="AZ453" i="153" s="1" a="1"/>
  <c r="AZ453" i="153" s="1"/>
  <c r="BI414" i="153"/>
  <c r="BI453" i="153" s="1" a="1"/>
  <c r="BI453" i="153" s="1"/>
  <c r="AQ414" i="153"/>
  <c r="AQ453" i="153" s="1" a="1"/>
  <c r="AQ453" i="153" s="1"/>
  <c r="AX414" i="153"/>
  <c r="AX453" i="153" s="1" a="1"/>
  <c r="AX453" i="153" s="1"/>
  <c r="AR414" i="153"/>
  <c r="AR453" i="153" s="1" a="1"/>
  <c r="AR453" i="153" s="1"/>
  <c r="BE414" i="153"/>
  <c r="BE453" i="153" s="1" a="1"/>
  <c r="BE453" i="153" s="1"/>
  <c r="BB414" i="153"/>
  <c r="BB453" i="153" s="1" a="1"/>
  <c r="BB453" i="153" s="1"/>
  <c r="BC414" i="153"/>
  <c r="BC453" i="153" s="1" a="1"/>
  <c r="BC453" i="153" s="1"/>
  <c r="AS414" i="153"/>
  <c r="AS453" i="153" s="1" a="1"/>
  <c r="AS453" i="153" s="1"/>
  <c r="AN414" i="153"/>
  <c r="AN453" i="153" s="1" a="1"/>
  <c r="AN453" i="153" s="1"/>
  <c r="AL414" i="153"/>
  <c r="AL453" i="153" s="1" a="1"/>
  <c r="AL453" i="153" s="1"/>
  <c r="BG414" i="153"/>
  <c r="BG453" i="153" s="1" a="1"/>
  <c r="BG453" i="153" s="1"/>
  <c r="BA414" i="153"/>
  <c r="BA453" i="153" s="1" a="1"/>
  <c r="BA453" i="153" s="1"/>
  <c r="BF414" i="153"/>
  <c r="BF453" i="153" s="1" a="1"/>
  <c r="BF453" i="153" s="1"/>
  <c r="BH414" i="153"/>
  <c r="BH453" i="153" s="1" a="1"/>
  <c r="BH453" i="153" s="1"/>
  <c r="AM414" i="153"/>
  <c r="AM453" i="153" s="1" a="1"/>
  <c r="AM453" i="153" s="1"/>
  <c r="AP414" i="153"/>
  <c r="AP453" i="153" s="1" a="1"/>
  <c r="AP453" i="153" s="1"/>
  <c r="AT414" i="153"/>
  <c r="AT453" i="153" s="1" a="1"/>
  <c r="AT453" i="153" s="1"/>
  <c r="AO414" i="153"/>
  <c r="AO453" i="153" s="1" a="1"/>
  <c r="AO453" i="153" s="1"/>
  <c r="AU414" i="153"/>
  <c r="AU453" i="153" s="1" a="1"/>
  <c r="AU453" i="153" s="1"/>
  <c r="BK272" i="154"/>
  <c r="BI264" i="154"/>
  <c r="BM272" i="153"/>
  <c r="BT264" i="153"/>
  <c r="BA264" i="154"/>
  <c r="BR264" i="153"/>
  <c r="BL272" i="153"/>
  <c r="BB272" i="154"/>
  <c r="BU264" i="153"/>
  <c r="BK465" i="153"/>
  <c r="BE272" i="154"/>
  <c r="BG264" i="155"/>
  <c r="BD264" i="154"/>
  <c r="BE256" i="155"/>
  <c r="BC256" i="154"/>
  <c r="BA264" i="155"/>
  <c r="BB256" i="155"/>
  <c r="BH272" i="154"/>
  <c r="BP264" i="153"/>
  <c r="BG256" i="154"/>
  <c r="BS272" i="153"/>
  <c r="BQ256" i="153"/>
  <c r="BC256" i="155"/>
  <c r="BN272" i="153"/>
  <c r="BH272" i="155"/>
  <c r="BO272" i="153"/>
  <c r="BD264" i="155"/>
  <c r="BJ264" i="153"/>
  <c r="BI256" i="155"/>
  <c r="AV561" i="99"/>
  <c r="AV567" i="99" s="1"/>
  <c r="BH127" i="105"/>
  <c r="BL207" i="154"/>
  <c r="BL240" i="154" s="1"/>
  <c r="BL248" i="154" s="1"/>
  <c r="BL215" i="155"/>
  <c r="BL284" i="155" s="1"/>
  <c r="BL292" i="155" s="1"/>
  <c r="BL300" i="155" s="1"/>
  <c r="BK215" i="154"/>
  <c r="BK284" i="154" s="1"/>
  <c r="BK292" i="154" s="1"/>
  <c r="BK300" i="154" s="1"/>
  <c r="BO207" i="154"/>
  <c r="BO240" i="154" s="1"/>
  <c r="BO248" i="154" s="1"/>
  <c r="BW199" i="155"/>
  <c r="BW207" i="155" s="1"/>
  <c r="BW240" i="155" s="1"/>
  <c r="BW248" i="155" s="1"/>
  <c r="BV330" i="155"/>
  <c r="BV340" i="155" s="1"/>
  <c r="BV215" i="155"/>
  <c r="BV284" i="155" s="1"/>
  <c r="BV292" i="155" s="1"/>
  <c r="BV308" i="155" s="1"/>
  <c r="BJ207" i="155"/>
  <c r="BJ240" i="155" s="1"/>
  <c r="BJ248" i="155" s="1"/>
  <c r="BK207" i="155"/>
  <c r="BK240" i="155" s="1"/>
  <c r="BK248" i="155" s="1"/>
  <c r="BK215" i="155"/>
  <c r="BK284" i="155" s="1"/>
  <c r="BK292" i="155" s="1"/>
  <c r="BK308" i="155" s="1"/>
  <c r="AL284" i="154"/>
  <c r="AL219" i="154"/>
  <c r="AL240" i="154"/>
  <c r="AL211" i="154"/>
  <c r="AM240" i="154"/>
  <c r="AM211" i="154"/>
  <c r="AM284" i="154"/>
  <c r="AM219" i="154"/>
  <c r="BW199" i="154"/>
  <c r="BW330" i="154"/>
  <c r="BW340" i="154" s="1"/>
  <c r="AN284" i="155"/>
  <c r="AN240" i="155"/>
  <c r="AM284" i="155"/>
  <c r="AM240" i="155"/>
  <c r="AL284" i="155"/>
  <c r="AN240" i="154"/>
  <c r="AN211" i="154"/>
  <c r="BJ207" i="154"/>
  <c r="BJ240" i="154" s="1"/>
  <c r="BJ248" i="154" s="1"/>
  <c r="BJ215" i="154"/>
  <c r="BJ284" i="154" s="1"/>
  <c r="BJ292" i="154" s="1"/>
  <c r="BJ316" i="154" s="1"/>
  <c r="AL240" i="155"/>
  <c r="AN284" i="154"/>
  <c r="AN219" i="154"/>
  <c r="BU215" i="153"/>
  <c r="BU284" i="153" s="1"/>
  <c r="BU292" i="153" s="1"/>
  <c r="BU316" i="153" s="1"/>
  <c r="BM207" i="154"/>
  <c r="BM240" i="154" s="1"/>
  <c r="BM248" i="154" s="1"/>
  <c r="BP207" i="155"/>
  <c r="BP240" i="155" s="1"/>
  <c r="BP248" i="155" s="1"/>
  <c r="BQ215" i="155"/>
  <c r="BQ284" i="155" s="1"/>
  <c r="BQ292" i="155" s="1"/>
  <c r="BQ308" i="155" s="1"/>
  <c r="BU215" i="155"/>
  <c r="BU284" i="155" s="1"/>
  <c r="BU292" i="155" s="1"/>
  <c r="BU300" i="155" s="1"/>
  <c r="BM207" i="155"/>
  <c r="BM240" i="155" s="1"/>
  <c r="BM248" i="155" s="1"/>
  <c r="BU215" i="154"/>
  <c r="BU284" i="154" s="1"/>
  <c r="BU292" i="154" s="1"/>
  <c r="BU300" i="154" s="1"/>
  <c r="BY199" i="155"/>
  <c r="BY207" i="155" s="1"/>
  <c r="BY240" i="155" s="1"/>
  <c r="BS207" i="154"/>
  <c r="BS240" i="154" s="1"/>
  <c r="BS248" i="154" s="1"/>
  <c r="BA129" i="104"/>
  <c r="BA64" i="104" s="1"/>
  <c r="BF64" i="105" s="1"/>
  <c r="BA30" i="151" s="1"/>
  <c r="BA129" i="99"/>
  <c r="AQ284" i="154"/>
  <c r="AQ219" i="154"/>
  <c r="AS284" i="155"/>
  <c r="AP284" i="155"/>
  <c r="AQ240" i="154"/>
  <c r="AQ211" i="154"/>
  <c r="AS240" i="155"/>
  <c r="AP240" i="155"/>
  <c r="AR284" i="154"/>
  <c r="AR240" i="154"/>
  <c r="AO284" i="154"/>
  <c r="AO219" i="154"/>
  <c r="AO240" i="154"/>
  <c r="AO211" i="154"/>
  <c r="AO240" i="155"/>
  <c r="AO284" i="155"/>
  <c r="AR284" i="155"/>
  <c r="AP284" i="154"/>
  <c r="AP219" i="154"/>
  <c r="AR240" i="155"/>
  <c r="AP240" i="154"/>
  <c r="AP211" i="154"/>
  <c r="AQ240" i="155"/>
  <c r="AQ284" i="155"/>
  <c r="AS240" i="154"/>
  <c r="AS284" i="154"/>
  <c r="BB272" i="155"/>
  <c r="BG272" i="154"/>
  <c r="BE256" i="154"/>
  <c r="BH308" i="155"/>
  <c r="BB256" i="154"/>
  <c r="BH316" i="154"/>
  <c r="BJ316" i="155"/>
  <c r="BC272" i="155"/>
  <c r="BA272" i="154"/>
  <c r="BA272" i="155"/>
  <c r="BA308" i="155"/>
  <c r="BI256" i="154"/>
  <c r="BH308" i="154"/>
  <c r="BA316" i="154"/>
  <c r="BG308" i="155"/>
  <c r="BI272" i="155"/>
  <c r="AW240" i="154"/>
  <c r="BD300" i="155"/>
  <c r="BK256" i="154"/>
  <c r="BG256" i="155"/>
  <c r="AW284" i="154"/>
  <c r="BB300" i="155"/>
  <c r="BE316" i="155"/>
  <c r="AV240" i="155"/>
  <c r="BI316" i="154"/>
  <c r="AV284" i="155"/>
  <c r="AX284" i="155"/>
  <c r="BI308" i="154"/>
  <c r="AX240" i="155"/>
  <c r="AY284" i="154"/>
  <c r="AT240" i="155"/>
  <c r="AY240" i="154"/>
  <c r="AT284" i="155"/>
  <c r="BI300" i="155"/>
  <c r="AV284" i="154"/>
  <c r="BC300" i="154"/>
  <c r="BA300" i="155"/>
  <c r="BI316" i="155"/>
  <c r="AV240" i="154"/>
  <c r="AY284" i="155"/>
  <c r="BC308" i="154"/>
  <c r="AW240" i="155"/>
  <c r="AY240" i="155"/>
  <c r="AW284" i="155"/>
  <c r="AU240" i="154"/>
  <c r="BJ308" i="155"/>
  <c r="AU284" i="154"/>
  <c r="BH264" i="154"/>
  <c r="BE308" i="154"/>
  <c r="AT240" i="154"/>
  <c r="BE316" i="154"/>
  <c r="AT284" i="154"/>
  <c r="AU284" i="155"/>
  <c r="AU240" i="155"/>
  <c r="BH316" i="155"/>
  <c r="AX284" i="154"/>
  <c r="BG316" i="155"/>
  <c r="AX240" i="154"/>
  <c r="BS248" i="155"/>
  <c r="BT292" i="154"/>
  <c r="BT308" i="154" s="1"/>
  <c r="BD272" i="155"/>
  <c r="BD465" i="155"/>
  <c r="BS292" i="155"/>
  <c r="BS300" i="155" s="1"/>
  <c r="BX207" i="154"/>
  <c r="BX240" i="154" s="1"/>
  <c r="BX215" i="154"/>
  <c r="BX284" i="154" s="1"/>
  <c r="BD308" i="155"/>
  <c r="BY330" i="154"/>
  <c r="BY340" i="154" s="1"/>
  <c r="BY199" i="154"/>
  <c r="BN292" i="154"/>
  <c r="BP292" i="155"/>
  <c r="BP308" i="155" s="1"/>
  <c r="BM292" i="154"/>
  <c r="BM300" i="154" s="1"/>
  <c r="BB264" i="154"/>
  <c r="BB465" i="154"/>
  <c r="BB300" i="154"/>
  <c r="BX207" i="155"/>
  <c r="BX240" i="155" s="1"/>
  <c r="BX215" i="155"/>
  <c r="BX284" i="155" s="1"/>
  <c r="BN248" i="154"/>
  <c r="BB316" i="154"/>
  <c r="BP292" i="154"/>
  <c r="BP316" i="154" s="1"/>
  <c r="BD316" i="154"/>
  <c r="BC264" i="154"/>
  <c r="BP248" i="154"/>
  <c r="BA256" i="155"/>
  <c r="BA465" i="155"/>
  <c r="BD308" i="154"/>
  <c r="BF292" i="154"/>
  <c r="BF300" i="154" s="1"/>
  <c r="BV248" i="154"/>
  <c r="BR207" i="154"/>
  <c r="BR240" i="154" s="1"/>
  <c r="BR215" i="154"/>
  <c r="BR284" i="154" s="1"/>
  <c r="BT248" i="155"/>
  <c r="BC272" i="154"/>
  <c r="BC465" i="154"/>
  <c r="BF248" i="154"/>
  <c r="BV292" i="154"/>
  <c r="BV300" i="154" s="1"/>
  <c r="BT292" i="155"/>
  <c r="BT316" i="155" s="1"/>
  <c r="BI272" i="154"/>
  <c r="BI465" i="154"/>
  <c r="BC264" i="155"/>
  <c r="BC465" i="155"/>
  <c r="BQ248" i="154"/>
  <c r="BM292" i="155"/>
  <c r="BM300" i="155" s="1"/>
  <c r="BK264" i="154"/>
  <c r="BK465" i="154"/>
  <c r="BU248" i="154"/>
  <c r="BF292" i="155"/>
  <c r="BF308" i="155" s="1"/>
  <c r="BQ292" i="154"/>
  <c r="BF248" i="155"/>
  <c r="BH256" i="154"/>
  <c r="BH465" i="154"/>
  <c r="BO292" i="154"/>
  <c r="BO300" i="154" s="1"/>
  <c r="BL248" i="155"/>
  <c r="BE300" i="155"/>
  <c r="BD272" i="154"/>
  <c r="BH256" i="155"/>
  <c r="BB264" i="155"/>
  <c r="BB465" i="155"/>
  <c r="AZ284" i="154"/>
  <c r="BD256" i="154"/>
  <c r="BD465" i="154"/>
  <c r="BH264" i="155"/>
  <c r="BH465" i="155"/>
  <c r="BU248" i="155"/>
  <c r="AZ240" i="154"/>
  <c r="BG272" i="155"/>
  <c r="BG465" i="155"/>
  <c r="BG316" i="154"/>
  <c r="AZ284" i="155"/>
  <c r="BC308" i="155"/>
  <c r="BE272" i="155"/>
  <c r="BG300" i="154"/>
  <c r="BV248" i="155"/>
  <c r="AZ240" i="155"/>
  <c r="BC300" i="155"/>
  <c r="BN248" i="155"/>
  <c r="BQ248" i="155"/>
  <c r="BE264" i="155"/>
  <c r="BE465" i="155"/>
  <c r="BG264" i="154"/>
  <c r="BG465" i="154"/>
  <c r="BO292" i="155"/>
  <c r="BO316" i="155" s="1"/>
  <c r="BN292" i="155"/>
  <c r="BN308" i="155" s="1"/>
  <c r="BB308" i="155"/>
  <c r="BR215" i="155"/>
  <c r="BR284" i="155" s="1"/>
  <c r="BR207" i="155"/>
  <c r="BR240" i="155" s="1"/>
  <c r="BI264" i="155"/>
  <c r="BI465" i="155"/>
  <c r="BA256" i="154"/>
  <c r="BA465" i="154"/>
  <c r="BA300" i="154"/>
  <c r="BO248" i="155"/>
  <c r="BS292" i="154"/>
  <c r="BS308" i="154" s="1"/>
  <c r="BE264" i="154"/>
  <c r="BE465" i="154"/>
  <c r="BL292" i="154"/>
  <c r="BL308" i="154" s="1"/>
  <c r="BD256" i="155"/>
  <c r="BT248" i="154"/>
  <c r="BB129" i="103"/>
  <c r="BB129" i="104"/>
  <c r="BB64" i="104" s="1"/>
  <c r="BG64" i="105" s="1"/>
  <c r="BB30" i="151" s="1"/>
  <c r="BT272" i="153"/>
  <c r="BJ272" i="153"/>
  <c r="BK256" i="153"/>
  <c r="BS215" i="153"/>
  <c r="BS284" i="153" s="1"/>
  <c r="BS292" i="153" s="1"/>
  <c r="BS300" i="153" s="1"/>
  <c r="BU465" i="153"/>
  <c r="BU256" i="153"/>
  <c r="BO465" i="153"/>
  <c r="BO264" i="153"/>
  <c r="BN465" i="153"/>
  <c r="BT256" i="153"/>
  <c r="BN256" i="153"/>
  <c r="BL256" i="153"/>
  <c r="BR465" i="153"/>
  <c r="BT308" i="153"/>
  <c r="BT316" i="153"/>
  <c r="BP308" i="153"/>
  <c r="BR308" i="153"/>
  <c r="BR316" i="153"/>
  <c r="BR256" i="153"/>
  <c r="BP300" i="153"/>
  <c r="BS465" i="153"/>
  <c r="BU272" i="153"/>
  <c r="BS256" i="153"/>
  <c r="BR272" i="153"/>
  <c r="BP465" i="153"/>
  <c r="BP256" i="153"/>
  <c r="BK264" i="153"/>
  <c r="BN264" i="153"/>
  <c r="BP272" i="153"/>
  <c r="BT465" i="153"/>
  <c r="BM316" i="153"/>
  <c r="BK300" i="153"/>
  <c r="BK308" i="153"/>
  <c r="BN316" i="153"/>
  <c r="BS264" i="153"/>
  <c r="BM264" i="153"/>
  <c r="BY207" i="153"/>
  <c r="BY240" i="153" s="1"/>
  <c r="BY248" i="153" s="1"/>
  <c r="BY215" i="153"/>
  <c r="BY284" i="153" s="1"/>
  <c r="BY292" i="153" s="1"/>
  <c r="BY300" i="153" s="1"/>
  <c r="BV207" i="153"/>
  <c r="BV240" i="153" s="1"/>
  <c r="BV248" i="153" s="1"/>
  <c r="BV215" i="153"/>
  <c r="BV284" i="153" s="1"/>
  <c r="BV292" i="153" s="1"/>
  <c r="BV300" i="153" s="1"/>
  <c r="BJ300" i="153"/>
  <c r="AY518" i="99"/>
  <c r="BO256" i="153"/>
  <c r="AY581" i="99"/>
  <c r="AY582" i="99" s="1"/>
  <c r="BJ316" i="153"/>
  <c r="BQ308" i="153"/>
  <c r="BW207" i="153"/>
  <c r="BW240" i="153" s="1"/>
  <c r="BW248" i="153" s="1"/>
  <c r="BW215" i="153"/>
  <c r="BW284" i="153" s="1"/>
  <c r="BW292" i="153" s="1"/>
  <c r="BW308" i="153" s="1"/>
  <c r="BK272" i="153"/>
  <c r="BO300" i="153"/>
  <c r="BX215" i="153"/>
  <c r="BX284" i="153" s="1"/>
  <c r="BX292" i="153" s="1"/>
  <c r="BX308" i="153" s="1"/>
  <c r="BX207" i="153"/>
  <c r="BX240" i="153" s="1"/>
  <c r="BX248" i="153" s="1"/>
  <c r="BQ465" i="153"/>
  <c r="BL316" i="153"/>
  <c r="BM308" i="153"/>
  <c r="BQ272" i="153"/>
  <c r="BL308" i="153"/>
  <c r="BM465" i="153"/>
  <c r="BO308" i="153"/>
  <c r="BM256" i="153"/>
  <c r="BN300" i="153"/>
  <c r="BL465" i="153"/>
  <c r="BQ264" i="153"/>
  <c r="BJ465" i="153"/>
  <c r="BL264" i="153"/>
  <c r="BJ256" i="153"/>
  <c r="BQ300" i="153"/>
  <c r="Y292" i="153"/>
  <c r="Y308" i="153" s="1"/>
  <c r="Y248" i="153"/>
  <c r="X207" i="153"/>
  <c r="X215" i="153"/>
  <c r="X340" i="153"/>
  <c r="W207" i="153"/>
  <c r="W215" i="153"/>
  <c r="W340" i="153"/>
  <c r="V215" i="153"/>
  <c r="V207" i="153"/>
  <c r="V340" i="153"/>
  <c r="S215" i="153"/>
  <c r="S207" i="153"/>
  <c r="S340" i="153"/>
  <c r="U207" i="153"/>
  <c r="U215" i="153"/>
  <c r="U340" i="153"/>
  <c r="T340" i="153"/>
  <c r="T207" i="153"/>
  <c r="T215" i="153"/>
  <c r="BB232" i="99"/>
  <c r="BB228" i="99"/>
  <c r="BB512" i="99"/>
  <c r="BB515" i="99" s="1"/>
  <c r="BB535" i="99"/>
  <c r="BB599" i="99" s="1"/>
  <c r="BB549" i="99"/>
  <c r="BB613" i="99" s="1"/>
  <c r="BE3" i="69"/>
  <c r="BE4" i="69" s="1"/>
  <c r="BD2" i="69" a="1"/>
  <c r="BD2" i="69" s="1"/>
  <c r="BD7" i="69"/>
  <c r="BD11" i="69"/>
  <c r="BD15" i="69"/>
  <c r="BD8" i="69"/>
  <c r="BD14" i="69"/>
  <c r="BD10" i="69"/>
  <c r="BD9" i="69"/>
  <c r="BD16" i="69"/>
  <c r="BD12" i="69"/>
  <c r="BD13" i="69"/>
  <c r="BB585" i="99"/>
  <c r="BB524" i="99"/>
  <c r="AX593" i="99"/>
  <c r="AX594" i="99" s="1"/>
  <c r="AX530" i="99"/>
  <c r="AX544" i="99"/>
  <c r="AX223" i="99"/>
  <c r="AX582" i="99"/>
  <c r="BC547" i="99"/>
  <c r="BC611" i="99" s="1"/>
  <c r="BC540" i="99"/>
  <c r="BC604" i="99" s="1"/>
  <c r="BC538" i="99"/>
  <c r="BC548" i="99"/>
  <c r="BC612" i="99" s="1"/>
  <c r="BC539" i="99"/>
  <c r="BC603" i="99" s="1"/>
  <c r="BC534" i="99"/>
  <c r="BC598" i="99" s="1"/>
  <c r="BC541" i="99"/>
  <c r="BC605" i="99" s="1"/>
  <c r="BC507" i="99"/>
  <c r="BC525" i="99"/>
  <c r="BC589" i="99" s="1"/>
  <c r="BC523" i="99"/>
  <c r="BC587" i="99" s="1"/>
  <c r="BC509" i="99"/>
  <c r="BC573" i="99" s="1"/>
  <c r="BC521" i="99"/>
  <c r="BC522" i="99"/>
  <c r="BC586" i="99" s="1"/>
  <c r="BC516" i="99"/>
  <c r="BC580" i="99" s="1"/>
  <c r="BC533" i="99"/>
  <c r="BC597" i="99" s="1"/>
  <c r="BC558" i="99"/>
  <c r="BC622" i="99" s="1"/>
  <c r="BC513" i="99"/>
  <c r="BC577" i="99" s="1"/>
  <c r="BC514" i="99"/>
  <c r="BC578" i="99" s="1"/>
  <c r="AZ579" i="99"/>
  <c r="AZ517" i="99"/>
  <c r="BE3" i="99"/>
  <c r="BE4" i="99" s="1"/>
  <c r="BD2" i="99" a="1"/>
  <c r="BD2" i="99" s="1"/>
  <c r="BD554" i="99" s="1"/>
  <c r="BD474" i="99"/>
  <c r="BD475" i="99"/>
  <c r="BD476" i="99"/>
  <c r="BD499" i="99"/>
  <c r="BD483" i="99" s="1"/>
  <c r="BD491" i="99" s="1"/>
  <c r="BD498" i="99"/>
  <c r="BD482" i="99" s="1"/>
  <c r="BD490" i="99" s="1"/>
  <c r="BD500" i="99"/>
  <c r="BD484" i="99" s="1"/>
  <c r="BD492" i="99" s="1"/>
  <c r="BD477" i="99"/>
  <c r="BD501" i="99"/>
  <c r="BD485" i="99" s="1"/>
  <c r="BD493" i="99" s="1"/>
  <c r="BD478" i="99"/>
  <c r="BD479" i="99"/>
  <c r="BD502" i="99"/>
  <c r="BD486" i="99" s="1"/>
  <c r="BD494" i="99" s="1"/>
  <c r="BD503" i="99"/>
  <c r="BD487" i="99" s="1"/>
  <c r="BD495" i="99" s="1"/>
  <c r="BA576" i="99"/>
  <c r="BA515" i="99"/>
  <c r="BH527" i="99"/>
  <c r="AZ590" i="99"/>
  <c r="BB602" i="99"/>
  <c r="BB542" i="99"/>
  <c r="BB606" i="99" s="1"/>
  <c r="AW551" i="99"/>
  <c r="AW555" i="99" s="1"/>
  <c r="AW608" i="99"/>
  <c r="AU631" i="99"/>
  <c r="AU562" i="99"/>
  <c r="AU625" i="99"/>
  <c r="AU626" i="99" s="1"/>
  <c r="BB229" i="99"/>
  <c r="AY593" i="99"/>
  <c r="AY594" i="99" s="1"/>
  <c r="AY530" i="99"/>
  <c r="AY544" i="99"/>
  <c r="BB230" i="99"/>
  <c r="AY224" i="99"/>
  <c r="AY591" i="99"/>
  <c r="BB234" i="99"/>
  <c r="AV616" i="99"/>
  <c r="BB233" i="99"/>
  <c r="BA588" i="99"/>
  <c r="BA526" i="99"/>
  <c r="AV619" i="99"/>
  <c r="AV620" i="99" s="1"/>
  <c r="AV556" i="99"/>
  <c r="BE36" i="72"/>
  <c r="BE38" i="72" s="1"/>
  <c r="BE39" i="72" s="1"/>
  <c r="BE37" i="72"/>
  <c r="BF5" i="72"/>
  <c r="BF6" i="72" s="1"/>
  <c r="BE47" i="72"/>
  <c r="BE48" i="72"/>
  <c r="BB618" i="99"/>
  <c r="BU8" i="98"/>
  <c r="BE6" i="98"/>
  <c r="BD70" i="103"/>
  <c r="BI70" i="105" s="1"/>
  <c r="BD35" i="151" s="1"/>
  <c r="BB129" i="99"/>
  <c r="BF4" i="72" l="1" a="1"/>
  <c r="BF4" i="72" s="1"/>
  <c r="AF104" i="154"/>
  <c r="AF105" i="154" s="1"/>
  <c r="AF40" i="154"/>
  <c r="AF54" i="154"/>
  <c r="AL110" i="154"/>
  <c r="K45" i="154"/>
  <c r="K110" i="154" s="1"/>
  <c r="AP110" i="154"/>
  <c r="BF122" i="105"/>
  <c r="BG122" i="105"/>
  <c r="BE414" i="155"/>
  <c r="BE453" i="155" s="1" a="1"/>
  <c r="BE453" i="155" s="1"/>
  <c r="BD414" i="155"/>
  <c r="BD453" i="155" s="1" a="1"/>
  <c r="BD453" i="155" s="1"/>
  <c r="BH414" i="154"/>
  <c r="BH453" i="154" s="1" a="1"/>
  <c r="BH453" i="154" s="1"/>
  <c r="BR414" i="153"/>
  <c r="BR453" i="153" s="1" a="1"/>
  <c r="BR453" i="153" s="1"/>
  <c r="BH414" i="155"/>
  <c r="BH453" i="155" s="1" a="1"/>
  <c r="BH453" i="155" s="1"/>
  <c r="BA414" i="154"/>
  <c r="BA453" i="154" s="1" a="1"/>
  <c r="BA453" i="154" s="1"/>
  <c r="BB414" i="155"/>
  <c r="BB453" i="155" s="1" a="1"/>
  <c r="BB453" i="155" s="1"/>
  <c r="BD414" i="154"/>
  <c r="BD453" i="154" s="1" a="1"/>
  <c r="BD453" i="154" s="1"/>
  <c r="BQ414" i="153"/>
  <c r="BQ453" i="153" s="1" a="1"/>
  <c r="BQ453" i="153" s="1"/>
  <c r="BK414" i="153"/>
  <c r="BK453" i="153" s="1" a="1"/>
  <c r="BK453" i="153" s="1"/>
  <c r="BJ414" i="153"/>
  <c r="BJ453" i="153" s="1" a="1"/>
  <c r="BJ453" i="153" s="1"/>
  <c r="BO414" i="153"/>
  <c r="BO453" i="153" s="1" a="1"/>
  <c r="BO453" i="153" s="1"/>
  <c r="BI414" i="154"/>
  <c r="BI453" i="154" s="1" a="1"/>
  <c r="BI453" i="154" s="1"/>
  <c r="BP414" i="153"/>
  <c r="BP453" i="153" s="1" a="1"/>
  <c r="BP453" i="153" s="1"/>
  <c r="BL414" i="153"/>
  <c r="BL453" i="153" s="1" a="1"/>
  <c r="BL453" i="153" s="1"/>
  <c r="BC414" i="155"/>
  <c r="BC453" i="155" s="1" a="1"/>
  <c r="BC453" i="155" s="1"/>
  <c r="BB414" i="154"/>
  <c r="BB453" i="154" s="1" a="1"/>
  <c r="BB453" i="154" s="1"/>
  <c r="BN414" i="153"/>
  <c r="BN453" i="153" s="1" a="1"/>
  <c r="BN453" i="153" s="1"/>
  <c r="BA414" i="155"/>
  <c r="BA453" i="155" s="1" a="1"/>
  <c r="BA453" i="155" s="1"/>
  <c r="BC414" i="154"/>
  <c r="BC453" i="154" s="1" a="1"/>
  <c r="BC453" i="154" s="1"/>
  <c r="BI414" i="155"/>
  <c r="BI453" i="155" s="1" a="1"/>
  <c r="BI453" i="155" s="1"/>
  <c r="BG414" i="155"/>
  <c r="BG453" i="155" s="1" a="1"/>
  <c r="BG453" i="155" s="1"/>
  <c r="BM414" i="153"/>
  <c r="BM453" i="153" s="1" a="1"/>
  <c r="BM453" i="153" s="1"/>
  <c r="BT414" i="153"/>
  <c r="BT453" i="153" s="1" a="1"/>
  <c r="BT453" i="153" s="1"/>
  <c r="BG414" i="154"/>
  <c r="BG453" i="154" s="1" a="1"/>
  <c r="BG453" i="154" s="1"/>
  <c r="BE414" i="154"/>
  <c r="BE453" i="154" s="1" a="1"/>
  <c r="BE453" i="154" s="1"/>
  <c r="BJ256" i="154"/>
  <c r="Y272" i="153"/>
  <c r="BW465" i="153"/>
  <c r="BK272" i="155"/>
  <c r="BU256" i="154"/>
  <c r="BP272" i="155"/>
  <c r="BJ272" i="155"/>
  <c r="BS264" i="155"/>
  <c r="BT264" i="155"/>
  <c r="BW264" i="155"/>
  <c r="BV264" i="153"/>
  <c r="BL256" i="155"/>
  <c r="BF256" i="155"/>
  <c r="BO272" i="154"/>
  <c r="BF264" i="154"/>
  <c r="BS256" i="154"/>
  <c r="BN272" i="155"/>
  <c r="BO272" i="155"/>
  <c r="BV272" i="155"/>
  <c r="BV264" i="154"/>
  <c r="BT264" i="154"/>
  <c r="BN256" i="154"/>
  <c r="BP264" i="154"/>
  <c r="BX465" i="153"/>
  <c r="BM264" i="155"/>
  <c r="BQ264" i="154"/>
  <c r="BY272" i="153"/>
  <c r="BU256" i="155"/>
  <c r="BK316" i="154"/>
  <c r="BK308" i="154"/>
  <c r="BI127" i="105"/>
  <c r="BK465" i="155"/>
  <c r="BK264" i="155"/>
  <c r="BU300" i="153"/>
  <c r="BU308" i="153"/>
  <c r="BJ465" i="155"/>
  <c r="BJ256" i="155"/>
  <c r="BW215" i="155"/>
  <c r="BW284" i="155" s="1"/>
  <c r="BW292" i="155" s="1"/>
  <c r="BW316" i="155" s="1"/>
  <c r="BJ264" i="155"/>
  <c r="BJ264" i="154"/>
  <c r="BK256" i="155"/>
  <c r="BK316" i="155"/>
  <c r="BK300" i="155"/>
  <c r="BJ272" i="154"/>
  <c r="BJ465" i="154"/>
  <c r="BJ308" i="154"/>
  <c r="BJ300" i="154"/>
  <c r="AL248" i="155"/>
  <c r="BW215" i="154"/>
  <c r="BW284" i="154" s="1"/>
  <c r="BW292" i="154" s="1"/>
  <c r="BW308" i="154" s="1"/>
  <c r="BW207" i="154"/>
  <c r="BW240" i="154" s="1"/>
  <c r="BW248" i="154" s="1"/>
  <c r="AN248" i="154"/>
  <c r="AN244" i="154"/>
  <c r="AM292" i="155"/>
  <c r="AM316" i="155" s="1"/>
  <c r="AN248" i="155"/>
  <c r="AN292" i="155"/>
  <c r="AN316" i="155" s="1"/>
  <c r="AM292" i="154"/>
  <c r="AM308" i="154" s="1"/>
  <c r="AM312" i="154" s="1"/>
  <c r="AM33" i="154" s="1"/>
  <c r="AM98" i="154" s="1"/>
  <c r="AM288" i="154"/>
  <c r="AL292" i="154"/>
  <c r="AL316" i="154" s="1"/>
  <c r="AL320" i="154" s="1"/>
  <c r="AL35" i="154" s="1"/>
  <c r="AL288" i="154"/>
  <c r="AM248" i="155"/>
  <c r="AN292" i="154"/>
  <c r="AN300" i="154" s="1"/>
  <c r="AN304" i="154" s="1"/>
  <c r="AN32" i="154" s="1"/>
  <c r="AN97" i="154" s="1"/>
  <c r="AN288" i="154"/>
  <c r="AL292" i="155"/>
  <c r="AL300" i="155" s="1"/>
  <c r="AM248" i="154"/>
  <c r="AM244" i="154"/>
  <c r="AL248" i="154"/>
  <c r="AL244" i="154"/>
  <c r="BY215" i="155"/>
  <c r="BY284" i="155" s="1"/>
  <c r="BY292" i="155" s="1"/>
  <c r="BY308" i="155" s="1"/>
  <c r="AR248" i="155"/>
  <c r="AO248" i="154"/>
  <c r="AO244" i="154"/>
  <c r="AS248" i="155"/>
  <c r="AQ292" i="155"/>
  <c r="AQ308" i="155" s="1"/>
  <c r="AP292" i="155"/>
  <c r="AP308" i="155" s="1"/>
  <c r="AS248" i="154"/>
  <c r="AS292" i="155"/>
  <c r="AP248" i="155"/>
  <c r="AQ248" i="154"/>
  <c r="AQ244" i="154"/>
  <c r="AO248" i="155"/>
  <c r="AS292" i="154"/>
  <c r="AS316" i="154" s="1"/>
  <c r="AO292" i="154"/>
  <c r="AO300" i="154" s="1"/>
  <c r="AO304" i="154" s="1"/>
  <c r="AO32" i="154" s="1"/>
  <c r="AO97" i="154" s="1"/>
  <c r="AO288" i="154"/>
  <c r="AQ292" i="154"/>
  <c r="AQ300" i="154" s="1"/>
  <c r="AQ304" i="154" s="1"/>
  <c r="AQ32" i="154" s="1"/>
  <c r="AQ97" i="154" s="1"/>
  <c r="AQ288" i="154"/>
  <c r="AP292" i="154"/>
  <c r="AP316" i="154" s="1"/>
  <c r="AP320" i="154" s="1"/>
  <c r="AP35" i="154" s="1"/>
  <c r="AP288" i="154"/>
  <c r="AR248" i="154"/>
  <c r="AQ248" i="155"/>
  <c r="AR292" i="155"/>
  <c r="AR308" i="155" s="1"/>
  <c r="AP248" i="154"/>
  <c r="AP244" i="154"/>
  <c r="AR292" i="154"/>
  <c r="AR308" i="154" s="1"/>
  <c r="AO292" i="155"/>
  <c r="AO316" i="155" s="1"/>
  <c r="BM316" i="155"/>
  <c r="BW272" i="155"/>
  <c r="BP316" i="155"/>
  <c r="BU264" i="154"/>
  <c r="BN316" i="155"/>
  <c r="BN300" i="155"/>
  <c r="BU272" i="155"/>
  <c r="BP256" i="155"/>
  <c r="BF264" i="155"/>
  <c r="BS272" i="154"/>
  <c r="BO308" i="155"/>
  <c r="BP256" i="154"/>
  <c r="BP308" i="154"/>
  <c r="BQ256" i="155"/>
  <c r="BQ264" i="155"/>
  <c r="BL272" i="154"/>
  <c r="BL256" i="154"/>
  <c r="BV300" i="155"/>
  <c r="BV316" i="155"/>
  <c r="BQ308" i="154"/>
  <c r="BQ300" i="154"/>
  <c r="BQ316" i="154"/>
  <c r="BM264" i="154"/>
  <c r="BM272" i="154"/>
  <c r="BN316" i="154"/>
  <c r="BN308" i="154"/>
  <c r="BO316" i="154"/>
  <c r="BT316" i="154"/>
  <c r="AW248" i="154"/>
  <c r="BO308" i="154"/>
  <c r="AW292" i="154"/>
  <c r="AW316" i="154" s="1"/>
  <c r="BU308" i="155"/>
  <c r="BN264" i="154"/>
  <c r="BS316" i="155"/>
  <c r="AY292" i="155"/>
  <c r="AY316" i="155" s="1"/>
  <c r="BV308" i="154"/>
  <c r="BS308" i="155"/>
  <c r="AT292" i="154"/>
  <c r="AT308" i="154" s="1"/>
  <c r="AU292" i="154"/>
  <c r="AU308" i="154" s="1"/>
  <c r="AW292" i="155"/>
  <c r="AW316" i="155" s="1"/>
  <c r="AY248" i="154"/>
  <c r="AX248" i="154"/>
  <c r="AU248" i="154"/>
  <c r="AV248" i="155"/>
  <c r="AU248" i="155"/>
  <c r="BL316" i="155"/>
  <c r="BP300" i="154"/>
  <c r="AV248" i="154"/>
  <c r="AW248" i="155"/>
  <c r="BS256" i="155"/>
  <c r="AT292" i="155"/>
  <c r="AT308" i="155" s="1"/>
  <c r="AX292" i="154"/>
  <c r="AX300" i="154" s="1"/>
  <c r="AV292" i="154"/>
  <c r="AV308" i="154" s="1"/>
  <c r="AT248" i="155"/>
  <c r="AU292" i="155"/>
  <c r="AU308" i="155" s="1"/>
  <c r="AX248" i="155"/>
  <c r="BT256" i="155"/>
  <c r="AX292" i="155"/>
  <c r="AX316" i="155" s="1"/>
  <c r="BO256" i="154"/>
  <c r="BM308" i="154"/>
  <c r="AY292" i="154"/>
  <c r="AY300" i="154" s="1"/>
  <c r="AV292" i="155"/>
  <c r="AV316" i="155" s="1"/>
  <c r="BV256" i="155"/>
  <c r="AT248" i="154"/>
  <c r="AY248" i="155"/>
  <c r="BW256" i="155"/>
  <c r="BW465" i="155"/>
  <c r="BQ256" i="154"/>
  <c r="BQ465" i="154"/>
  <c r="BS300" i="154"/>
  <c r="BU316" i="155"/>
  <c r="BM308" i="155"/>
  <c r="BV256" i="154"/>
  <c r="BS316" i="154"/>
  <c r="BO300" i="155"/>
  <c r="BN272" i="154"/>
  <c r="BN465" i="154"/>
  <c r="AZ292" i="154"/>
  <c r="AZ300" i="154" s="1"/>
  <c r="BU316" i="154"/>
  <c r="BV272" i="154"/>
  <c r="BV465" i="154"/>
  <c r="BX292" i="154"/>
  <c r="BX308" i="154" s="1"/>
  <c r="BU308" i="154"/>
  <c r="BR292" i="154"/>
  <c r="BR316" i="154" s="1"/>
  <c r="BP264" i="155"/>
  <c r="BP465" i="155"/>
  <c r="BX248" i="154"/>
  <c r="BR248" i="154"/>
  <c r="BO256" i="155"/>
  <c r="BR248" i="155"/>
  <c r="AZ248" i="155"/>
  <c r="BR292" i="155"/>
  <c r="BR308" i="155" s="1"/>
  <c r="AZ248" i="154"/>
  <c r="BU272" i="154"/>
  <c r="BU465" i="154"/>
  <c r="BO264" i="155"/>
  <c r="BO465" i="155"/>
  <c r="BT272" i="154"/>
  <c r="BY248" i="155"/>
  <c r="BF272" i="155"/>
  <c r="BF465" i="155"/>
  <c r="BO264" i="154"/>
  <c r="BO465" i="154"/>
  <c r="BT272" i="155"/>
  <c r="BT465" i="155"/>
  <c r="BP272" i="154"/>
  <c r="BP465" i="154"/>
  <c r="BN300" i="154"/>
  <c r="BU264" i="155"/>
  <c r="BU465" i="155"/>
  <c r="BT256" i="154"/>
  <c r="BT465" i="154"/>
  <c r="BT300" i="154"/>
  <c r="BL272" i="155"/>
  <c r="BF256" i="154"/>
  <c r="BL264" i="154"/>
  <c r="BL465" i="154"/>
  <c r="BV264" i="155"/>
  <c r="BV465" i="155"/>
  <c r="BM256" i="154"/>
  <c r="BM465" i="154"/>
  <c r="BQ272" i="155"/>
  <c r="BQ465" i="155"/>
  <c r="BQ300" i="155"/>
  <c r="BL264" i="155"/>
  <c r="BL465" i="155"/>
  <c r="BF300" i="155"/>
  <c r="BT300" i="155"/>
  <c r="BM272" i="155"/>
  <c r="BF272" i="154"/>
  <c r="BF465" i="154"/>
  <c r="BF316" i="154"/>
  <c r="BQ316" i="155"/>
  <c r="BF316" i="155"/>
  <c r="BT308" i="155"/>
  <c r="BF308" i="154"/>
  <c r="AZ292" i="155"/>
  <c r="AZ308" i="155" s="1"/>
  <c r="BM256" i="155"/>
  <c r="BM465" i="155"/>
  <c r="BY207" i="154"/>
  <c r="BY240" i="154" s="1"/>
  <c r="BY215" i="154"/>
  <c r="BY284" i="154" s="1"/>
  <c r="BL316" i="154"/>
  <c r="BN256" i="155"/>
  <c r="BM316" i="154"/>
  <c r="BP300" i="155"/>
  <c r="BS272" i="155"/>
  <c r="BS465" i="155"/>
  <c r="BL300" i="154"/>
  <c r="BX292" i="155"/>
  <c r="BX300" i="155" s="1"/>
  <c r="BN264" i="155"/>
  <c r="BN465" i="155"/>
  <c r="BX248" i="155"/>
  <c r="BS264" i="154"/>
  <c r="BS465" i="154"/>
  <c r="BL308" i="155"/>
  <c r="BQ272" i="154"/>
  <c r="BV316" i="154"/>
  <c r="BC618" i="99"/>
  <c r="BC64" i="99"/>
  <c r="BS316" i="153"/>
  <c r="BS308" i="153"/>
  <c r="BY264" i="153"/>
  <c r="BV256" i="153"/>
  <c r="BW300" i="153"/>
  <c r="BC549" i="99"/>
  <c r="BC613" i="99" s="1"/>
  <c r="Y264" i="153"/>
  <c r="BW264" i="153"/>
  <c r="BW256" i="153"/>
  <c r="BV272" i="153"/>
  <c r="BV316" i="153"/>
  <c r="AY223" i="99"/>
  <c r="BV465" i="153"/>
  <c r="BY465" i="153"/>
  <c r="BY308" i="153"/>
  <c r="BY256" i="153"/>
  <c r="Y300" i="153"/>
  <c r="BX316" i="153"/>
  <c r="BX256" i="153"/>
  <c r="BY316" i="153"/>
  <c r="BW316" i="153"/>
  <c r="BW272" i="153"/>
  <c r="BX300" i="153"/>
  <c r="Y316" i="153"/>
  <c r="BX264" i="153"/>
  <c r="BX272" i="153"/>
  <c r="BV308" i="153"/>
  <c r="S284" i="153"/>
  <c r="V240" i="153"/>
  <c r="V284" i="153"/>
  <c r="T284" i="153"/>
  <c r="W284" i="153"/>
  <c r="T240" i="153"/>
  <c r="W240" i="153"/>
  <c r="X284" i="153"/>
  <c r="X240" i="153"/>
  <c r="U284" i="153"/>
  <c r="U240" i="153"/>
  <c r="Y256" i="153"/>
  <c r="Y465" i="153"/>
  <c r="S240" i="153"/>
  <c r="BB576" i="99"/>
  <c r="BC229" i="99"/>
  <c r="BC512" i="99"/>
  <c r="BC515" i="99" s="1"/>
  <c r="BD17" i="69"/>
  <c r="BI76" i="105" s="1"/>
  <c r="BF3" i="69"/>
  <c r="BF4" i="69" s="1"/>
  <c r="BE2" i="69" a="1"/>
  <c r="BE2" i="69" s="1"/>
  <c r="BE12" i="69"/>
  <c r="BE9" i="69"/>
  <c r="BE10" i="69"/>
  <c r="BE11" i="69"/>
  <c r="BE15" i="69"/>
  <c r="BE16" i="69"/>
  <c r="BE7" i="69"/>
  <c r="BE8" i="69"/>
  <c r="BE13" i="69"/>
  <c r="BC233" i="99"/>
  <c r="BC234" i="99"/>
  <c r="AZ529" i="99"/>
  <c r="AZ581" i="99"/>
  <c r="AZ518" i="99"/>
  <c r="AX608" i="99"/>
  <c r="AX551" i="99"/>
  <c r="AX555" i="99" s="1"/>
  <c r="BC535" i="99"/>
  <c r="BC599" i="99" s="1"/>
  <c r="BC602" i="99"/>
  <c r="BC542" i="99"/>
  <c r="BC606" i="99" s="1"/>
  <c r="BB517" i="99"/>
  <c r="BB579" i="99"/>
  <c r="BC228" i="99"/>
  <c r="AZ591" i="99"/>
  <c r="AZ224" i="99"/>
  <c r="AW559" i="99" a="1"/>
  <c r="AW559" i="99" s="1"/>
  <c r="AW623" i="99" s="1"/>
  <c r="AW615" i="99"/>
  <c r="AW552" i="99"/>
  <c r="BC230" i="99"/>
  <c r="AV631" i="99"/>
  <c r="AV625" i="99"/>
  <c r="AV626" i="99" s="1"/>
  <c r="AV562" i="99"/>
  <c r="BC232" i="99"/>
  <c r="BA590" i="99"/>
  <c r="BI527" i="99"/>
  <c r="AY551" i="99"/>
  <c r="AY555" i="99" s="1"/>
  <c r="AY608" i="99"/>
  <c r="BD538" i="99"/>
  <c r="BD539" i="99"/>
  <c r="BD603" i="99" s="1"/>
  <c r="BD547" i="99"/>
  <c r="BD541" i="99"/>
  <c r="BD605" i="99" s="1"/>
  <c r="BD540" i="99"/>
  <c r="BD604" i="99" s="1"/>
  <c r="BD534" i="99"/>
  <c r="BD598" i="99" s="1"/>
  <c r="BD548" i="99"/>
  <c r="BD612" i="99" s="1"/>
  <c r="BD525" i="99"/>
  <c r="BD589" i="99" s="1"/>
  <c r="BD507" i="99"/>
  <c r="BD509" i="99"/>
  <c r="BD573" i="99" s="1"/>
  <c r="BD522" i="99"/>
  <c r="BD586" i="99" s="1"/>
  <c r="BD521" i="99"/>
  <c r="BD523" i="99"/>
  <c r="BD587" i="99" s="1"/>
  <c r="BD516" i="99"/>
  <c r="BD580" i="99" s="1"/>
  <c r="BD533" i="99"/>
  <c r="BD597" i="99" s="1"/>
  <c r="BD558" i="99"/>
  <c r="BD622" i="99" s="1"/>
  <c r="BD513" i="99"/>
  <c r="BD577" i="99" s="1"/>
  <c r="BD514" i="99"/>
  <c r="BD578" i="99" s="1"/>
  <c r="BC585" i="99"/>
  <c r="BC524" i="99"/>
  <c r="BB526" i="99"/>
  <c r="BB588" i="99"/>
  <c r="BA517" i="99"/>
  <c r="BA529" i="99" s="1"/>
  <c r="BA579" i="99"/>
  <c r="BF3" i="99"/>
  <c r="BF4" i="99" s="1"/>
  <c r="BE2" i="99" a="1"/>
  <c r="BE2" i="99" s="1"/>
  <c r="BE554" i="99" s="1"/>
  <c r="BE474" i="99"/>
  <c r="BE475" i="99"/>
  <c r="BE476" i="99"/>
  <c r="BE498" i="99"/>
  <c r="BE482" i="99" s="1"/>
  <c r="BE490" i="99" s="1"/>
  <c r="BE499" i="99"/>
  <c r="BE483" i="99" s="1"/>
  <c r="BE491" i="99" s="1"/>
  <c r="BE477" i="99"/>
  <c r="BE500" i="99"/>
  <c r="BE484" i="99" s="1"/>
  <c r="BE492" i="99" s="1"/>
  <c r="BE501" i="99"/>
  <c r="BE485" i="99" s="1"/>
  <c r="BE493" i="99" s="1"/>
  <c r="BE478" i="99"/>
  <c r="BE502" i="99"/>
  <c r="BE486" i="99" s="1"/>
  <c r="BE494" i="99" s="1"/>
  <c r="BE479" i="99"/>
  <c r="BE503" i="99"/>
  <c r="BE487" i="99" s="1"/>
  <c r="BE495" i="99" s="1"/>
  <c r="BF36" i="72"/>
  <c r="BF38" i="72" s="1"/>
  <c r="BF39" i="72" s="1"/>
  <c r="BG5" i="72"/>
  <c r="BG6" i="72" s="1"/>
  <c r="BF37" i="72"/>
  <c r="BF47" i="72"/>
  <c r="BF48" i="72"/>
  <c r="BF6" i="98"/>
  <c r="BE70" i="103"/>
  <c r="BJ70" i="105" s="1"/>
  <c r="BE35" i="151" s="1"/>
  <c r="BD64" i="99"/>
  <c r="BV8" i="98"/>
  <c r="BG4" i="72" l="1" a="1"/>
  <c r="BG4" i="72" s="1"/>
  <c r="BD40" i="151"/>
  <c r="BI132" i="105"/>
  <c r="AP100" i="154"/>
  <c r="AL100" i="154"/>
  <c r="AF61" i="154"/>
  <c r="AF119" i="154"/>
  <c r="BC129" i="104"/>
  <c r="BC64" i="104" s="1"/>
  <c r="BH64" i="105" s="1"/>
  <c r="BC30" i="151" s="1"/>
  <c r="BJ414" i="155"/>
  <c r="BJ453" i="155" s="1" a="1"/>
  <c r="BJ453" i="155" s="1"/>
  <c r="BK414" i="154"/>
  <c r="BK453" i="154" s="1" a="1"/>
  <c r="BK453" i="154" s="1"/>
  <c r="BS414" i="153"/>
  <c r="BS453" i="153" s="1" a="1"/>
  <c r="BS453" i="153" s="1"/>
  <c r="BM414" i="155"/>
  <c r="BM453" i="155" s="1" a="1"/>
  <c r="BM453" i="155" s="1"/>
  <c r="BV414" i="154"/>
  <c r="BV453" i="154" s="1" a="1"/>
  <c r="BV453" i="154" s="1"/>
  <c r="BW414" i="153"/>
  <c r="BW453" i="153" s="1" a="1"/>
  <c r="BW453" i="153" s="1"/>
  <c r="BS414" i="154"/>
  <c r="BS453" i="154" s="1" a="1"/>
  <c r="BS453" i="154" s="1"/>
  <c r="BK414" i="155"/>
  <c r="BK453" i="155" s="1" a="1"/>
  <c r="BK453" i="155" s="1"/>
  <c r="BN414" i="154"/>
  <c r="BN453" i="154" s="1" a="1"/>
  <c r="BN453" i="154" s="1"/>
  <c r="BJ414" i="154"/>
  <c r="BJ453" i="154" s="1" a="1"/>
  <c r="BJ453" i="154" s="1"/>
  <c r="BN414" i="155"/>
  <c r="BN453" i="155" s="1" a="1"/>
  <c r="BN453" i="155" s="1"/>
  <c r="BT414" i="154"/>
  <c r="BT453" i="154" s="1" a="1"/>
  <c r="BT453" i="154" s="1"/>
  <c r="BF414" i="155"/>
  <c r="BF453" i="155" s="1" a="1"/>
  <c r="BF453" i="155" s="1"/>
  <c r="BM414" i="154"/>
  <c r="BM453" i="154" s="1" a="1"/>
  <c r="BM453" i="154" s="1"/>
  <c r="BP414" i="154"/>
  <c r="BP453" i="154" s="1" a="1"/>
  <c r="BP453" i="154" s="1"/>
  <c r="BF414" i="154"/>
  <c r="BF453" i="154" s="1" a="1"/>
  <c r="BF453" i="154" s="1"/>
  <c r="BU414" i="154"/>
  <c r="BU453" i="154" s="1" a="1"/>
  <c r="BU453" i="154" s="1"/>
  <c r="BL414" i="154"/>
  <c r="BL453" i="154" s="1" a="1"/>
  <c r="BL453" i="154" s="1"/>
  <c r="BX414" i="153"/>
  <c r="BX453" i="153" s="1" a="1"/>
  <c r="BX453" i="153" s="1"/>
  <c r="Y414" i="153"/>
  <c r="Y453" i="153" s="1" a="1"/>
  <c r="Y453" i="153" s="1"/>
  <c r="BV414" i="153"/>
  <c r="BV453" i="153" s="1" a="1"/>
  <c r="BV453" i="153" s="1"/>
  <c r="BQ414" i="154"/>
  <c r="BQ453" i="154" s="1" a="1"/>
  <c r="BQ453" i="154" s="1"/>
  <c r="BT414" i="155"/>
  <c r="BT453" i="155" s="1" a="1"/>
  <c r="BT453" i="155" s="1"/>
  <c r="BU414" i="153"/>
  <c r="BU453" i="153" s="1" a="1"/>
  <c r="BU453" i="153" s="1"/>
  <c r="BO414" i="155"/>
  <c r="BO453" i="155" s="1" a="1"/>
  <c r="BO453" i="155" s="1"/>
  <c r="BO414" i="154"/>
  <c r="BO453" i="154" s="1" a="1"/>
  <c r="BO453" i="154" s="1"/>
  <c r="BS414" i="155"/>
  <c r="BS453" i="155" s="1" a="1"/>
  <c r="BS453" i="155" s="1"/>
  <c r="BL414" i="155"/>
  <c r="BL453" i="155" s="1" a="1"/>
  <c r="BL453" i="155" s="1"/>
  <c r="BU414" i="155"/>
  <c r="BU453" i="155" s="1" a="1"/>
  <c r="BU453" i="155" s="1"/>
  <c r="BQ414" i="155"/>
  <c r="BQ453" i="155" s="1" a="1"/>
  <c r="BQ453" i="155" s="1"/>
  <c r="BY414" i="153"/>
  <c r="BY453" i="153" s="1" a="1"/>
  <c r="BY453" i="153" s="1"/>
  <c r="BV414" i="155"/>
  <c r="BV453" i="155" s="1" a="1"/>
  <c r="BV453" i="155" s="1"/>
  <c r="BP414" i="155"/>
  <c r="BP453" i="155" s="1" a="1"/>
  <c r="BP453" i="155" s="1"/>
  <c r="AY264" i="155"/>
  <c r="AM272" i="154"/>
  <c r="AM276" i="154" s="1"/>
  <c r="AM26" i="154" s="1"/>
  <c r="AM91" i="154" s="1"/>
  <c r="AQ256" i="155"/>
  <c r="AM272" i="155"/>
  <c r="AT272" i="154"/>
  <c r="AO256" i="155"/>
  <c r="AQ264" i="154"/>
  <c r="AQ268" i="154" s="1"/>
  <c r="AQ24" i="154" s="1"/>
  <c r="AQ89" i="154" s="1"/>
  <c r="AP264" i="155"/>
  <c r="AZ264" i="155"/>
  <c r="AR264" i="155"/>
  <c r="AN256" i="154"/>
  <c r="AN260" i="154" s="1"/>
  <c r="AN23" i="154" s="1"/>
  <c r="AN88" i="154" s="1"/>
  <c r="BR256" i="155"/>
  <c r="AW264" i="154"/>
  <c r="AL264" i="155"/>
  <c r="AW264" i="155"/>
  <c r="AU264" i="154"/>
  <c r="AR256" i="154"/>
  <c r="AS256" i="155"/>
  <c r="AX272" i="155"/>
  <c r="AV264" i="154"/>
  <c r="AX256" i="154"/>
  <c r="AO256" i="154"/>
  <c r="AO260" i="154" s="1"/>
  <c r="AO23" i="154" s="1"/>
  <c r="AO88" i="154" s="1"/>
  <c r="BX264" i="155"/>
  <c r="AZ272" i="154"/>
  <c r="AN264" i="155"/>
  <c r="BY264" i="155"/>
  <c r="AV272" i="155"/>
  <c r="BW465" i="154"/>
  <c r="AU256" i="155"/>
  <c r="AY272" i="154"/>
  <c r="BX272" i="154"/>
  <c r="AT272" i="155"/>
  <c r="AP264" i="154"/>
  <c r="AP268" i="154" s="1"/>
  <c r="AP24" i="154" s="1"/>
  <c r="BR264" i="154"/>
  <c r="AS256" i="154"/>
  <c r="AL256" i="154"/>
  <c r="AL260" i="154" s="1"/>
  <c r="AL23" i="154" s="1"/>
  <c r="AW561" i="99"/>
  <c r="AW567" i="99" s="1"/>
  <c r="BJ127" i="105"/>
  <c r="BW308" i="155"/>
  <c r="BW300" i="155"/>
  <c r="BW256" i="154"/>
  <c r="BW316" i="154"/>
  <c r="BW300" i="154"/>
  <c r="BW272" i="154"/>
  <c r="BW264" i="154"/>
  <c r="AL300" i="154"/>
  <c r="AL304" i="154" s="1"/>
  <c r="AL32" i="154" s="1"/>
  <c r="AL272" i="155"/>
  <c r="AM256" i="154"/>
  <c r="AM260" i="154" s="1"/>
  <c r="AM23" i="154" s="1"/>
  <c r="AM88" i="154" s="1"/>
  <c r="AL272" i="154"/>
  <c r="AL276" i="154" s="1"/>
  <c r="AL26" i="154" s="1"/>
  <c r="AN316" i="154"/>
  <c r="AN320" i="154" s="1"/>
  <c r="AN35" i="154" s="1"/>
  <c r="AN100" i="154" s="1"/>
  <c r="AN264" i="154"/>
  <c r="AN268" i="154" s="1"/>
  <c r="AN24" i="154" s="1"/>
  <c r="AN89" i="154" s="1"/>
  <c r="AM316" i="154"/>
  <c r="AM320" i="154" s="1"/>
  <c r="AM35" i="154" s="1"/>
  <c r="AM100" i="154" s="1"/>
  <c r="AN272" i="155"/>
  <c r="AM308" i="155"/>
  <c r="AN308" i="154"/>
  <c r="AN312" i="154" s="1"/>
  <c r="AN33" i="154" s="1"/>
  <c r="AN98" i="154" s="1"/>
  <c r="AN296" i="154"/>
  <c r="AN31" i="154" s="1"/>
  <c r="AM300" i="154"/>
  <c r="AM304" i="154" s="1"/>
  <c r="AM32" i="154" s="1"/>
  <c r="AM97" i="154" s="1"/>
  <c r="AM296" i="154"/>
  <c r="AM31" i="154" s="1"/>
  <c r="AN272" i="154"/>
  <c r="AN276" i="154" s="1"/>
  <c r="AN26" i="154" s="1"/>
  <c r="AN91" i="154" s="1"/>
  <c r="AN465" i="154"/>
  <c r="AN252" i="154"/>
  <c r="AN22" i="154" s="1"/>
  <c r="AL264" i="154"/>
  <c r="AL268" i="154" s="1"/>
  <c r="AL24" i="154" s="1"/>
  <c r="AL465" i="154"/>
  <c r="AL252" i="154"/>
  <c r="AL22" i="154" s="1"/>
  <c r="AM264" i="155"/>
  <c r="AM256" i="155"/>
  <c r="AM465" i="155"/>
  <c r="AM264" i="154"/>
  <c r="AM268" i="154" s="1"/>
  <c r="AM24" i="154" s="1"/>
  <c r="AM89" i="154" s="1"/>
  <c r="AM465" i="154"/>
  <c r="AM252" i="154"/>
  <c r="AM22" i="154" s="1"/>
  <c r="AL308" i="154"/>
  <c r="AL312" i="154" s="1"/>
  <c r="AL33" i="154" s="1"/>
  <c r="AL296" i="154"/>
  <c r="AL31" i="154" s="1"/>
  <c r="AN308" i="155"/>
  <c r="AN300" i="155"/>
  <c r="AL316" i="155"/>
  <c r="AL256" i="155"/>
  <c r="AL465" i="155"/>
  <c r="AL308" i="155"/>
  <c r="AN256" i="155"/>
  <c r="AN465" i="155"/>
  <c r="AM300" i="155"/>
  <c r="BC129" i="99"/>
  <c r="AR300" i="154"/>
  <c r="AS272" i="154"/>
  <c r="AQ272" i="155"/>
  <c r="AP256" i="154"/>
  <c r="AP260" i="154" s="1"/>
  <c r="AP23" i="154" s="1"/>
  <c r="AQ308" i="154"/>
  <c r="AQ312" i="154" s="1"/>
  <c r="AQ33" i="154" s="1"/>
  <c r="AQ98" i="154" s="1"/>
  <c r="AQ272" i="154"/>
  <c r="AQ276" i="154" s="1"/>
  <c r="AQ26" i="154" s="1"/>
  <c r="AQ91" i="154" s="1"/>
  <c r="AS264" i="155"/>
  <c r="AQ300" i="155"/>
  <c r="AR272" i="155"/>
  <c r="AR264" i="154"/>
  <c r="AP300" i="155"/>
  <c r="AP308" i="154"/>
  <c r="AP312" i="154" s="1"/>
  <c r="AP33" i="154" s="1"/>
  <c r="AO308" i="154"/>
  <c r="AO312" i="154" s="1"/>
  <c r="AO33" i="154" s="1"/>
  <c r="AO98" i="154" s="1"/>
  <c r="AS308" i="155"/>
  <c r="AS300" i="155"/>
  <c r="AS316" i="155"/>
  <c r="AP272" i="155"/>
  <c r="AO465" i="155"/>
  <c r="AQ256" i="154"/>
  <c r="AQ260" i="154" s="1"/>
  <c r="AQ23" i="154" s="1"/>
  <c r="AQ88" i="154" s="1"/>
  <c r="AQ465" i="154"/>
  <c r="AQ252" i="154"/>
  <c r="AQ22" i="154" s="1"/>
  <c r="AU264" i="155"/>
  <c r="AR316" i="154"/>
  <c r="AP272" i="154"/>
  <c r="AP276" i="154" s="1"/>
  <c r="AP26" i="154" s="1"/>
  <c r="AP465" i="154"/>
  <c r="AP252" i="154"/>
  <c r="AP22" i="154" s="1"/>
  <c r="AQ264" i="155"/>
  <c r="AQ465" i="155"/>
  <c r="AP300" i="154"/>
  <c r="AP304" i="154" s="1"/>
  <c r="AP32" i="154" s="1"/>
  <c r="AP296" i="154"/>
  <c r="AP31" i="154" s="1"/>
  <c r="AS308" i="154"/>
  <c r="AS272" i="155"/>
  <c r="AS465" i="155"/>
  <c r="AO300" i="155"/>
  <c r="AS264" i="154"/>
  <c r="AS465" i="154"/>
  <c r="AO308" i="155"/>
  <c r="AR272" i="154"/>
  <c r="AR465" i="154"/>
  <c r="AS300" i="154"/>
  <c r="AO264" i="154"/>
  <c r="AO268" i="154" s="1"/>
  <c r="AO24" i="154" s="1"/>
  <c r="AO89" i="154" s="1"/>
  <c r="AP256" i="155"/>
  <c r="AP465" i="155"/>
  <c r="AO272" i="154"/>
  <c r="AO276" i="154" s="1"/>
  <c r="AO26" i="154" s="1"/>
  <c r="AO91" i="154" s="1"/>
  <c r="AO465" i="154"/>
  <c r="AO252" i="154"/>
  <c r="AO22" i="154" s="1"/>
  <c r="AO316" i="154"/>
  <c r="AO320" i="154" s="1"/>
  <c r="AO35" i="154" s="1"/>
  <c r="AO100" i="154" s="1"/>
  <c r="AO296" i="154"/>
  <c r="AO31" i="154" s="1"/>
  <c r="AQ316" i="154"/>
  <c r="AQ320" i="154" s="1"/>
  <c r="AQ35" i="154" s="1"/>
  <c r="AQ100" i="154" s="1"/>
  <c r="AQ296" i="154"/>
  <c r="AQ31" i="154" s="1"/>
  <c r="AP316" i="155"/>
  <c r="AR316" i="155"/>
  <c r="AR300" i="155"/>
  <c r="AQ316" i="155"/>
  <c r="AO272" i="155"/>
  <c r="AR256" i="155"/>
  <c r="AR465" i="155"/>
  <c r="AO264" i="155"/>
  <c r="BR300" i="155"/>
  <c r="AT316" i="155"/>
  <c r="AU256" i="154"/>
  <c r="AV308" i="155"/>
  <c r="AY264" i="154"/>
  <c r="AY308" i="154"/>
  <c r="AW272" i="155"/>
  <c r="AU300" i="154"/>
  <c r="AX308" i="155"/>
  <c r="AY256" i="155"/>
  <c r="AY300" i="155"/>
  <c r="AT264" i="155"/>
  <c r="BY256" i="155"/>
  <c r="AU316" i="155"/>
  <c r="AT316" i="154"/>
  <c r="AX316" i="154"/>
  <c r="AZ272" i="155"/>
  <c r="AX256" i="155"/>
  <c r="AW308" i="155"/>
  <c r="AX264" i="154"/>
  <c r="AT264" i="154"/>
  <c r="AW272" i="154"/>
  <c r="AZ256" i="154"/>
  <c r="AZ316" i="154"/>
  <c r="AT256" i="154"/>
  <c r="AT465" i="154"/>
  <c r="AW256" i="154"/>
  <c r="AW465" i="154"/>
  <c r="AV264" i="155"/>
  <c r="AU316" i="154"/>
  <c r="AW308" i="154"/>
  <c r="AX308" i="154"/>
  <c r="AV256" i="155"/>
  <c r="AV465" i="155"/>
  <c r="AW300" i="154"/>
  <c r="BY300" i="155"/>
  <c r="AY272" i="155"/>
  <c r="AY465" i="155"/>
  <c r="AX300" i="155"/>
  <c r="AU272" i="154"/>
  <c r="AU465" i="154"/>
  <c r="AV300" i="155"/>
  <c r="AT256" i="155"/>
  <c r="AT465" i="155"/>
  <c r="AW256" i="155"/>
  <c r="AW465" i="155"/>
  <c r="AV256" i="154"/>
  <c r="AY308" i="155"/>
  <c r="AV316" i="154"/>
  <c r="AU272" i="155"/>
  <c r="AU465" i="155"/>
  <c r="AY256" i="154"/>
  <c r="AY465" i="154"/>
  <c r="BX256" i="154"/>
  <c r="BR300" i="154"/>
  <c r="AV272" i="154"/>
  <c r="AV465" i="154"/>
  <c r="AY316" i="154"/>
  <c r="AV300" i="154"/>
  <c r="BR272" i="154"/>
  <c r="AT300" i="154"/>
  <c r="AX264" i="155"/>
  <c r="AX465" i="155"/>
  <c r="AX272" i="154"/>
  <c r="AX465" i="154"/>
  <c r="AU300" i="155"/>
  <c r="AT300" i="155"/>
  <c r="AW300" i="155"/>
  <c r="BX272" i="155"/>
  <c r="BX465" i="155"/>
  <c r="BY272" i="155"/>
  <c r="BY465" i="155"/>
  <c r="AZ264" i="154"/>
  <c r="AZ465" i="154"/>
  <c r="AZ256" i="155"/>
  <c r="AZ465" i="155"/>
  <c r="BX264" i="154"/>
  <c r="BX465" i="154"/>
  <c r="BY292" i="154"/>
  <c r="BY300" i="154" s="1"/>
  <c r="BY248" i="154"/>
  <c r="BC129" i="103"/>
  <c r="BX308" i="155"/>
  <c r="BY316" i="155"/>
  <c r="BR316" i="155"/>
  <c r="BX316" i="155"/>
  <c r="BR272" i="155"/>
  <c r="BR264" i="155"/>
  <c r="BR465" i="155"/>
  <c r="AZ308" i="154"/>
  <c r="AZ300" i="155"/>
  <c r="BR308" i="154"/>
  <c r="AZ316" i="155"/>
  <c r="BR256" i="154"/>
  <c r="BR465" i="154"/>
  <c r="BX316" i="154"/>
  <c r="BX256" i="155"/>
  <c r="BX300" i="154"/>
  <c r="BD129" i="104"/>
  <c r="BD64" i="104" s="1"/>
  <c r="BI64" i="105" s="1"/>
  <c r="BD30" i="151" s="1"/>
  <c r="BD129" i="103"/>
  <c r="BD549" i="99"/>
  <c r="BD613" i="99" s="1"/>
  <c r="BD535" i="99"/>
  <c r="BD599" i="99" s="1"/>
  <c r="BD611" i="99"/>
  <c r="X248" i="153"/>
  <c r="X292" i="153"/>
  <c r="X300" i="153" s="1"/>
  <c r="W248" i="153"/>
  <c r="T248" i="153"/>
  <c r="W292" i="153"/>
  <c r="W308" i="153" s="1"/>
  <c r="S248" i="153"/>
  <c r="T292" i="153"/>
  <c r="T308" i="153" s="1"/>
  <c r="V292" i="153"/>
  <c r="V308" i="153" s="1"/>
  <c r="U248" i="153"/>
  <c r="V248" i="153"/>
  <c r="U292" i="153"/>
  <c r="U316" i="153" s="1"/>
  <c r="S292" i="153"/>
  <c r="S316" i="153" s="1"/>
  <c r="BC576" i="99"/>
  <c r="BD230" i="99"/>
  <c r="BD233" i="99"/>
  <c r="BG3" i="69"/>
  <c r="BG4" i="69" s="1"/>
  <c r="BF2" i="69" a="1"/>
  <c r="BF2" i="69" s="1"/>
  <c r="BF10" i="69"/>
  <c r="BF15" i="69"/>
  <c r="BF8" i="69"/>
  <c r="BF14" i="69"/>
  <c r="BF12" i="69"/>
  <c r="BF16" i="69"/>
  <c r="BF9" i="69"/>
  <c r="BF7" i="69"/>
  <c r="BF11" i="69"/>
  <c r="BA530" i="99"/>
  <c r="BA593" i="99"/>
  <c r="BA594" i="99" s="1"/>
  <c r="BA544" i="99"/>
  <c r="BD524" i="99"/>
  <c r="BD585" i="99"/>
  <c r="BD232" i="99"/>
  <c r="AY559" i="99" a="1"/>
  <c r="AY559" i="99" s="1"/>
  <c r="AY623" i="99" s="1"/>
  <c r="AY552" i="99"/>
  <c r="AY615" i="99"/>
  <c r="BD512" i="99"/>
  <c r="BD234" i="99"/>
  <c r="BA591" i="99"/>
  <c r="BA224" i="99"/>
  <c r="AX559" i="99" a="1"/>
  <c r="AX559" i="99" s="1"/>
  <c r="AX623" i="99" s="1"/>
  <c r="AX615" i="99"/>
  <c r="AX552" i="99"/>
  <c r="BC579" i="99"/>
  <c r="BC517" i="99"/>
  <c r="BE539" i="99"/>
  <c r="BE603" i="99" s="1"/>
  <c r="BE541" i="99"/>
  <c r="BE605" i="99" s="1"/>
  <c r="BE540" i="99"/>
  <c r="BE604" i="99" s="1"/>
  <c r="BE548" i="99"/>
  <c r="BE612" i="99" s="1"/>
  <c r="BE534" i="99"/>
  <c r="BE598" i="99" s="1"/>
  <c r="BE538" i="99"/>
  <c r="BE547" i="99"/>
  <c r="BE611" i="99" s="1"/>
  <c r="BE521" i="99"/>
  <c r="BE523" i="99"/>
  <c r="BE587" i="99" s="1"/>
  <c r="BE507" i="99"/>
  <c r="BE525" i="99"/>
  <c r="BE589" i="99" s="1"/>
  <c r="BE522" i="99"/>
  <c r="BE586" i="99" s="1"/>
  <c r="BE509" i="99"/>
  <c r="BE573" i="99" s="1"/>
  <c r="BE558" i="99"/>
  <c r="BE622" i="99" s="1"/>
  <c r="BE516" i="99"/>
  <c r="BE580" i="99" s="1"/>
  <c r="BE513" i="99"/>
  <c r="BE577" i="99" s="1"/>
  <c r="BE514" i="99"/>
  <c r="BE578" i="99" s="1"/>
  <c r="BE533" i="99"/>
  <c r="AZ582" i="99"/>
  <c r="AZ223" i="99"/>
  <c r="AZ530" i="99"/>
  <c r="AZ593" i="99"/>
  <c r="AZ594" i="99" s="1"/>
  <c r="AZ544" i="99"/>
  <c r="BA581" i="99"/>
  <c r="BA518" i="99"/>
  <c r="AW556" i="99"/>
  <c r="AW619" i="99"/>
  <c r="AW620" i="99" s="1"/>
  <c r="BD542" i="99"/>
  <c r="BD606" i="99" s="1"/>
  <c r="BD602" i="99"/>
  <c r="BB590" i="99"/>
  <c r="BJ527" i="99"/>
  <c r="BB529" i="99"/>
  <c r="AW616" i="99"/>
  <c r="BC588" i="99"/>
  <c r="BC526" i="99"/>
  <c r="BD229" i="99"/>
  <c r="BB518" i="99"/>
  <c r="BB581" i="99"/>
  <c r="BD228" i="99"/>
  <c r="BG3" i="99"/>
  <c r="BG4" i="99" s="1"/>
  <c r="BF2" i="99" a="1"/>
  <c r="BF2" i="99" s="1"/>
  <c r="BF554" i="99" s="1"/>
  <c r="BF474" i="99"/>
  <c r="BF475" i="99"/>
  <c r="BF476" i="99"/>
  <c r="BF498" i="99"/>
  <c r="BF482" i="99" s="1"/>
  <c r="BF490" i="99" s="1"/>
  <c r="BF499" i="99"/>
  <c r="BF483" i="99" s="1"/>
  <c r="BF491" i="99" s="1"/>
  <c r="BF500" i="99"/>
  <c r="BF484" i="99" s="1"/>
  <c r="BF492" i="99" s="1"/>
  <c r="BF477" i="99"/>
  <c r="BF478" i="99"/>
  <c r="BF501" i="99"/>
  <c r="BF485" i="99" s="1"/>
  <c r="BF493" i="99" s="1"/>
  <c r="BF479" i="99"/>
  <c r="BF502" i="99"/>
  <c r="BF486" i="99" s="1"/>
  <c r="BF494" i="99" s="1"/>
  <c r="BF503" i="99"/>
  <c r="BF487" i="99" s="1"/>
  <c r="BF495" i="99" s="1"/>
  <c r="BH5" i="72"/>
  <c r="BH6" i="72" s="1"/>
  <c r="BG36" i="72"/>
  <c r="BG38" i="72" s="1"/>
  <c r="BG39" i="72" s="1"/>
  <c r="BG37" i="72"/>
  <c r="BG47" i="72"/>
  <c r="BG48" i="72"/>
  <c r="BW8" i="98"/>
  <c r="BD129" i="99"/>
  <c r="BG6" i="98"/>
  <c r="BF70" i="103"/>
  <c r="BK70" i="105" s="1"/>
  <c r="BF35" i="151" s="1"/>
  <c r="BD618" i="99"/>
  <c r="BH4" i="72" l="1" a="1"/>
  <c r="BH4" i="72" s="1"/>
  <c r="AP97" i="154"/>
  <c r="AM96" i="154"/>
  <c r="AM34" i="154"/>
  <c r="AO96" i="154"/>
  <c r="AO34" i="154"/>
  <c r="AN96" i="154"/>
  <c r="AN34" i="154"/>
  <c r="AP98" i="154"/>
  <c r="AL91" i="154"/>
  <c r="K26" i="154"/>
  <c r="K91" i="154" s="1"/>
  <c r="AL88" i="154"/>
  <c r="K23" i="154"/>
  <c r="K88" i="154" s="1"/>
  <c r="AL98" i="154"/>
  <c r="K33" i="154"/>
  <c r="K98" i="154" s="1"/>
  <c r="AP89" i="154"/>
  <c r="AP91" i="154"/>
  <c r="AL97" i="154"/>
  <c r="K32" i="154"/>
  <c r="K97" i="154" s="1"/>
  <c r="AP96" i="154"/>
  <c r="AP34" i="154"/>
  <c r="AM87" i="154"/>
  <c r="AM25" i="154"/>
  <c r="AP87" i="154"/>
  <c r="AP25" i="154"/>
  <c r="AL87" i="154"/>
  <c r="AL25" i="154"/>
  <c r="K22" i="154"/>
  <c r="K87" i="154" s="1"/>
  <c r="AQ87" i="154"/>
  <c r="AQ25" i="154"/>
  <c r="AF65" i="154"/>
  <c r="AF126" i="154"/>
  <c r="AF127" i="154" s="1"/>
  <c r="AF62" i="154"/>
  <c r="K35" i="154"/>
  <c r="K100" i="154" s="1"/>
  <c r="AL96" i="154"/>
  <c r="AL34" i="154"/>
  <c r="K31" i="154"/>
  <c r="K96" i="154" s="1"/>
  <c r="AO87" i="154"/>
  <c r="AO25" i="154"/>
  <c r="AP88" i="154"/>
  <c r="AL89" i="154"/>
  <c r="K24" i="154"/>
  <c r="K89" i="154" s="1"/>
  <c r="AN87" i="154"/>
  <c r="AN25" i="154"/>
  <c r="AQ96" i="154"/>
  <c r="AQ34" i="154"/>
  <c r="BI122" i="105"/>
  <c r="BH122" i="105"/>
  <c r="BX414" i="155"/>
  <c r="BX453" i="155" s="1" a="1"/>
  <c r="BX453" i="155" s="1"/>
  <c r="AQ414" i="155"/>
  <c r="AT414" i="155"/>
  <c r="BR414" i="154"/>
  <c r="BR453" i="154" s="1" a="1"/>
  <c r="BR453" i="154" s="1"/>
  <c r="AY414" i="155"/>
  <c r="AP414" i="155"/>
  <c r="AR414" i="154"/>
  <c r="AR453" i="154" s="1" a="1"/>
  <c r="AR453" i="154" s="1"/>
  <c r="AY414" i="154"/>
  <c r="AY453" i="154" s="1" a="1"/>
  <c r="AY453" i="154" s="1"/>
  <c r="AT414" i="154"/>
  <c r="AZ414" i="155"/>
  <c r="BY414" i="155"/>
  <c r="BY453" i="155" s="1" a="1"/>
  <c r="BY453" i="155" s="1"/>
  <c r="AW414" i="154"/>
  <c r="AU414" i="155"/>
  <c r="BW414" i="154"/>
  <c r="BW453" i="154" s="1" a="1"/>
  <c r="BW453" i="154" s="1"/>
  <c r="AO414" i="155"/>
  <c r="BR414" i="155"/>
  <c r="BR453" i="155" s="1" a="1"/>
  <c r="BR453" i="155" s="1"/>
  <c r="AX414" i="154"/>
  <c r="AV414" i="155"/>
  <c r="AV453" i="155" s="1" a="1"/>
  <c r="AV453" i="155" s="1"/>
  <c r="BX414" i="154"/>
  <c r="BX453" i="154" s="1" a="1"/>
  <c r="BX453" i="154" s="1"/>
  <c r="AZ414" i="154"/>
  <c r="AX414" i="155"/>
  <c r="AX453" i="155" s="1" a="1"/>
  <c r="AX453" i="155" s="1"/>
  <c r="AR414" i="155"/>
  <c r="AU414" i="154"/>
  <c r="AS414" i="155"/>
  <c r="AS453" i="155" s="1" a="1"/>
  <c r="AS453" i="155" s="1"/>
  <c r="BW414" i="155"/>
  <c r="BW453" i="155" s="1" a="1"/>
  <c r="BW453" i="155" s="1"/>
  <c r="AV414" i="154"/>
  <c r="AW414" i="155"/>
  <c r="AS414" i="154"/>
  <c r="AL414" i="155"/>
  <c r="AL453" i="155" s="1" a="1"/>
  <c r="AL453" i="155" s="1"/>
  <c r="AN414" i="155"/>
  <c r="AM414" i="155"/>
  <c r="AM453" i="155" s="1" a="1"/>
  <c r="AM453" i="155" s="1"/>
  <c r="BY272" i="154"/>
  <c r="U256" i="153"/>
  <c r="AQ414" i="154"/>
  <c r="S264" i="153"/>
  <c r="AL414" i="154"/>
  <c r="V272" i="153"/>
  <c r="AM414" i="154"/>
  <c r="T256" i="153"/>
  <c r="W256" i="153"/>
  <c r="X264" i="153"/>
  <c r="AP414" i="154"/>
  <c r="AO414" i="154"/>
  <c r="AO453" i="154" s="1" a="1"/>
  <c r="AO453" i="154" s="1"/>
  <c r="AO457" i="154" s="1"/>
  <c r="AO69" i="154" s="1"/>
  <c r="AO134" i="154" s="1"/>
  <c r="AN414" i="154"/>
  <c r="AX561" i="99"/>
  <c r="AX567" i="99" s="1"/>
  <c r="AY561" i="99"/>
  <c r="AY567" i="99" s="1"/>
  <c r="BK127" i="105"/>
  <c r="AM469" i="154"/>
  <c r="AM278" i="154"/>
  <c r="AM322" i="154"/>
  <c r="AL469" i="154"/>
  <c r="AL19" i="154" s="1"/>
  <c r="AL278" i="154"/>
  <c r="AL322" i="154"/>
  <c r="AN278" i="154"/>
  <c r="AN469" i="154"/>
  <c r="AN322" i="154"/>
  <c r="AP469" i="154"/>
  <c r="AP278" i="154"/>
  <c r="AQ278" i="154"/>
  <c r="AQ469" i="154"/>
  <c r="AQ19" i="154" s="1"/>
  <c r="AQ84" i="154" s="1"/>
  <c r="AO322" i="154"/>
  <c r="AO469" i="154"/>
  <c r="AO278" i="154"/>
  <c r="AQ322" i="154"/>
  <c r="AP322" i="154"/>
  <c r="BY264" i="154"/>
  <c r="BY308" i="154"/>
  <c r="BY316" i="154"/>
  <c r="BY256" i="154"/>
  <c r="BY465" i="154"/>
  <c r="BE618" i="99"/>
  <c r="BE64" i="99"/>
  <c r="X272" i="153"/>
  <c r="X316" i="153"/>
  <c r="T264" i="153"/>
  <c r="T300" i="153"/>
  <c r="W264" i="153"/>
  <c r="U264" i="153"/>
  <c r="S308" i="153"/>
  <c r="U300" i="153"/>
  <c r="S272" i="153"/>
  <c r="S465" i="153"/>
  <c r="BE549" i="99"/>
  <c r="BE613" i="99" s="1"/>
  <c r="U308" i="153"/>
  <c r="W316" i="153"/>
  <c r="V264" i="153"/>
  <c r="W300" i="153"/>
  <c r="V256" i="153"/>
  <c r="V465" i="153"/>
  <c r="T272" i="153"/>
  <c r="T465" i="153"/>
  <c r="U272" i="153"/>
  <c r="U465" i="153"/>
  <c r="V300" i="153"/>
  <c r="W272" i="153"/>
  <c r="W465" i="153"/>
  <c r="V316" i="153"/>
  <c r="X308" i="153"/>
  <c r="T316" i="153"/>
  <c r="S300" i="153"/>
  <c r="S256" i="153"/>
  <c r="X256" i="153"/>
  <c r="X465" i="153"/>
  <c r="BE535" i="99"/>
  <c r="BE599" i="99" s="1"/>
  <c r="BE228" i="99"/>
  <c r="BE512" i="99"/>
  <c r="BE515" i="99" s="1"/>
  <c r="BE234" i="99"/>
  <c r="BH3" i="69"/>
  <c r="BH4" i="69" s="1"/>
  <c r="BG2" i="69" a="1"/>
  <c r="BG2" i="69" s="1"/>
  <c r="BG10" i="69"/>
  <c r="BG14" i="69"/>
  <c r="BG9" i="69"/>
  <c r="BG13" i="69"/>
  <c r="BG7" i="69"/>
  <c r="BG11" i="69"/>
  <c r="BG15" i="69"/>
  <c r="BG8" i="69"/>
  <c r="BG12" i="69"/>
  <c r="BG16" i="69"/>
  <c r="BF540" i="99"/>
  <c r="BF604" i="99" s="1"/>
  <c r="BF547" i="99"/>
  <c r="BF611" i="99" s="1"/>
  <c r="BF538" i="99"/>
  <c r="BF539" i="99"/>
  <c r="BF603" i="99" s="1"/>
  <c r="BF541" i="99"/>
  <c r="BF605" i="99" s="1"/>
  <c r="BF534" i="99"/>
  <c r="BF598" i="99" s="1"/>
  <c r="BF548" i="99"/>
  <c r="BF612" i="99" s="1"/>
  <c r="BF525" i="99"/>
  <c r="BF589" i="99" s="1"/>
  <c r="BF523" i="99"/>
  <c r="BF587" i="99" s="1"/>
  <c r="BF522" i="99"/>
  <c r="BF586" i="99" s="1"/>
  <c r="BF507" i="99"/>
  <c r="BF509" i="99"/>
  <c r="BF573" i="99" s="1"/>
  <c r="BF521" i="99"/>
  <c r="BF533" i="99"/>
  <c r="BF597" i="99" s="1"/>
  <c r="BF558" i="99"/>
  <c r="BF622" i="99" s="1"/>
  <c r="BF514" i="99"/>
  <c r="BF578" i="99" s="1"/>
  <c r="BF513" i="99"/>
  <c r="BF577" i="99" s="1"/>
  <c r="BF516" i="99"/>
  <c r="BF580" i="99" s="1"/>
  <c r="BE229" i="99"/>
  <c r="BH3" i="99"/>
  <c r="BH4" i="99" s="1"/>
  <c r="BG2" i="99" a="1"/>
  <c r="BG2" i="99" s="1"/>
  <c r="BG554" i="99" s="1"/>
  <c r="BG474" i="99"/>
  <c r="BG475" i="99"/>
  <c r="BG498" i="99"/>
  <c r="BG482" i="99" s="1"/>
  <c r="BG490" i="99" s="1"/>
  <c r="BG499" i="99"/>
  <c r="BG483" i="99" s="1"/>
  <c r="BG491" i="99" s="1"/>
  <c r="BG476" i="99"/>
  <c r="BG500" i="99"/>
  <c r="BG484" i="99" s="1"/>
  <c r="BG492" i="99" s="1"/>
  <c r="BG477" i="99"/>
  <c r="BG501" i="99"/>
  <c r="BG485" i="99" s="1"/>
  <c r="BG493" i="99" s="1"/>
  <c r="BG478" i="99"/>
  <c r="BG502" i="99"/>
  <c r="BG486" i="99" s="1"/>
  <c r="BG494" i="99" s="1"/>
  <c r="BG479" i="99"/>
  <c r="BG503" i="99"/>
  <c r="BG487" i="99" s="1"/>
  <c r="BG495" i="99" s="1"/>
  <c r="BE230" i="99"/>
  <c r="BB223" i="99"/>
  <c r="BB582" i="99"/>
  <c r="BD576" i="99"/>
  <c r="BD515" i="99"/>
  <c r="BB593" i="99"/>
  <c r="BB594" i="99" s="1"/>
  <c r="BB530" i="99"/>
  <c r="BB544" i="99"/>
  <c r="BE232" i="99"/>
  <c r="BC529" i="99"/>
  <c r="BC581" i="99"/>
  <c r="BC518" i="99"/>
  <c r="BB224" i="99"/>
  <c r="BB591" i="99"/>
  <c r="BE233" i="99"/>
  <c r="AX619" i="99"/>
  <c r="AX620" i="99" s="1"/>
  <c r="AX556" i="99"/>
  <c r="BE585" i="99"/>
  <c r="BE524" i="99"/>
  <c r="AX616" i="99"/>
  <c r="AY616" i="99"/>
  <c r="BE542" i="99"/>
  <c r="BE606" i="99" s="1"/>
  <c r="BE602" i="99"/>
  <c r="AY619" i="99"/>
  <c r="AY620" i="99" s="1"/>
  <c r="AY556" i="99"/>
  <c r="BK527" i="99"/>
  <c r="BC590" i="99"/>
  <c r="BE597" i="99"/>
  <c r="AW631" i="99"/>
  <c r="AW625" i="99"/>
  <c r="AW626" i="99" s="1"/>
  <c r="AW562" i="99"/>
  <c r="BD588" i="99"/>
  <c r="BD526" i="99"/>
  <c r="BA223" i="99"/>
  <c r="BA582" i="99"/>
  <c r="AZ551" i="99"/>
  <c r="AZ555" i="99" s="1"/>
  <c r="AZ608" i="99"/>
  <c r="BA551" i="99"/>
  <c r="BA555" i="99" s="1"/>
  <c r="BA608" i="99"/>
  <c r="BI5" i="72"/>
  <c r="BI6" i="72" s="1"/>
  <c r="BH36" i="72"/>
  <c r="BH38" i="72" s="1"/>
  <c r="BH39" i="72" s="1"/>
  <c r="BH37" i="72"/>
  <c r="BH48" i="72"/>
  <c r="BH47" i="72"/>
  <c r="BF64" i="99"/>
  <c r="BX8" i="98"/>
  <c r="BH6" i="98"/>
  <c r="BG70" i="103"/>
  <c r="BL70" i="105" s="1"/>
  <c r="BG35" i="151" s="1"/>
  <c r="BI4" i="72" l="1" a="1"/>
  <c r="BI4" i="72" s="1"/>
  <c r="AN19" i="154"/>
  <c r="AN84" i="154" s="1"/>
  <c r="AL84" i="154"/>
  <c r="AF71" i="154"/>
  <c r="AF130" i="154"/>
  <c r="AF131" i="154" s="1"/>
  <c r="AF66" i="154"/>
  <c r="AQ90" i="154"/>
  <c r="AQ27" i="154"/>
  <c r="AL90" i="154"/>
  <c r="AL27" i="154"/>
  <c r="K25" i="154"/>
  <c r="K90" i="154" s="1"/>
  <c r="AN90" i="154"/>
  <c r="AN27" i="154"/>
  <c r="AP90" i="154"/>
  <c r="AP27" i="154"/>
  <c r="AN99" i="154"/>
  <c r="AN36" i="154"/>
  <c r="AQ99" i="154"/>
  <c r="AQ36" i="154"/>
  <c r="AO19" i="154"/>
  <c r="AO84" i="154" s="1"/>
  <c r="AM90" i="154"/>
  <c r="AM27" i="154"/>
  <c r="AO99" i="154"/>
  <c r="AO36" i="154"/>
  <c r="AO90" i="154"/>
  <c r="AO27" i="154"/>
  <c r="AP99" i="154"/>
  <c r="AP36" i="154"/>
  <c r="AM99" i="154"/>
  <c r="AM36" i="154"/>
  <c r="AM19" i="154"/>
  <c r="AM84" i="154" s="1"/>
  <c r="AL99" i="154"/>
  <c r="AL36" i="154"/>
  <c r="K34" i="154"/>
  <c r="K99" i="154" s="1"/>
  <c r="AP19" i="154"/>
  <c r="AP148" i="154" s="1"/>
  <c r="BE129" i="99"/>
  <c r="BY414" i="154"/>
  <c r="BY453" i="154" s="1" a="1"/>
  <c r="BY453" i="154" s="1"/>
  <c r="V414" i="153"/>
  <c r="V453" i="153" s="1" a="1"/>
  <c r="V453" i="153" s="1"/>
  <c r="T414" i="153"/>
  <c r="X414" i="153"/>
  <c r="X453" i="153" s="1" a="1"/>
  <c r="X453" i="153" s="1"/>
  <c r="S414" i="153"/>
  <c r="U414" i="153"/>
  <c r="W414" i="153"/>
  <c r="W453" i="153" s="1" a="1"/>
  <c r="W453" i="153" s="1"/>
  <c r="BL127" i="105"/>
  <c r="S158" i="154"/>
  <c r="W158" i="154" s="1"/>
  <c r="S158" i="155"/>
  <c r="W158" i="155" s="1"/>
  <c r="S158" i="153"/>
  <c r="W158" i="153" s="1"/>
  <c r="AL146" i="154"/>
  <c r="AL148" i="154"/>
  <c r="AL145" i="154"/>
  <c r="AN453" i="154" a="1"/>
  <c r="AN453" i="154" s="1"/>
  <c r="AN457" i="154" s="1"/>
  <c r="AN69" i="154" s="1"/>
  <c r="AN134" i="154" s="1"/>
  <c r="AN418" i="154"/>
  <c r="AL147" i="154"/>
  <c r="AN453" i="155" a="1"/>
  <c r="AN453" i="155" s="1"/>
  <c r="AM453" i="154" a="1"/>
  <c r="AM453" i="154" s="1"/>
  <c r="AM457" i="154" s="1"/>
  <c r="AM69" i="154" s="1"/>
  <c r="AM134" i="154" s="1"/>
  <c r="AM418" i="154"/>
  <c r="AL453" i="154" a="1"/>
  <c r="AL453" i="154" s="1"/>
  <c r="AL457" i="154" s="1"/>
  <c r="AL69" i="154" s="1"/>
  <c r="AL418" i="154"/>
  <c r="AO418" i="154"/>
  <c r="AS453" i="154" a="1"/>
  <c r="AS453" i="154" s="1"/>
  <c r="AR453" i="155" a="1"/>
  <c r="AR453" i="155" s="1"/>
  <c r="AQ453" i="155" a="1"/>
  <c r="AQ453" i="155" s="1"/>
  <c r="AP453" i="154" a="1"/>
  <c r="AP453" i="154" s="1"/>
  <c r="AP457" i="154" s="1"/>
  <c r="AP69" i="154" s="1"/>
  <c r="AP418" i="154"/>
  <c r="AQ145" i="154"/>
  <c r="AQ147" i="154"/>
  <c r="AQ148" i="154"/>
  <c r="AQ146" i="154"/>
  <c r="AO453" i="155" a="1"/>
  <c r="AO453" i="155" s="1"/>
  <c r="AQ453" i="154" a="1"/>
  <c r="AQ453" i="154" s="1"/>
  <c r="AQ457" i="154" s="1"/>
  <c r="AQ69" i="154" s="1"/>
  <c r="AQ134" i="154" s="1"/>
  <c r="AQ418" i="154"/>
  <c r="AP453" i="155" a="1"/>
  <c r="AP453" i="155" s="1"/>
  <c r="BE129" i="103"/>
  <c r="BE129" i="104"/>
  <c r="BE64" i="104" s="1"/>
  <c r="BJ64" i="105" s="1"/>
  <c r="BE30" i="151" s="1"/>
  <c r="AU453" i="154" a="1"/>
  <c r="AU453" i="154" s="1"/>
  <c r="AV453" i="154" a="1"/>
  <c r="AV453" i="154" s="1"/>
  <c r="AT453" i="154" a="1"/>
  <c r="AT453" i="154" s="1"/>
  <c r="AY453" i="155" a="1"/>
  <c r="AY453" i="155" s="1"/>
  <c r="AW453" i="155" a="1"/>
  <c r="AW453" i="155" s="1"/>
  <c r="AU453" i="155" a="1"/>
  <c r="AU453" i="155" s="1"/>
  <c r="AW453" i="154" a="1"/>
  <c r="AW453" i="154" s="1"/>
  <c r="AX453" i="154" a="1"/>
  <c r="AX453" i="154" s="1"/>
  <c r="AT453" i="155" a="1"/>
  <c r="AT453" i="155" s="1"/>
  <c r="AZ453" i="155" a="1"/>
  <c r="AZ453" i="155" s="1"/>
  <c r="R422" i="155"/>
  <c r="AZ453" i="154" a="1"/>
  <c r="AZ453" i="154" s="1"/>
  <c r="R422" i="154"/>
  <c r="BE576" i="99"/>
  <c r="BF129" i="104"/>
  <c r="BF64" i="104" s="1"/>
  <c r="BK64" i="105" s="1"/>
  <c r="BF30" i="151" s="1"/>
  <c r="BF129" i="103"/>
  <c r="BF549" i="99"/>
  <c r="BF613" i="99" s="1"/>
  <c r="BF535" i="99"/>
  <c r="BF599" i="99" s="1"/>
  <c r="BF232" i="99"/>
  <c r="BG17" i="69"/>
  <c r="BL76" i="105" s="1"/>
  <c r="BI3" i="69"/>
  <c r="BI4" i="69" s="1"/>
  <c r="BH2" i="69" a="1"/>
  <c r="BH2" i="69" s="1"/>
  <c r="BH8" i="69"/>
  <c r="BH12" i="69"/>
  <c r="BH7" i="69"/>
  <c r="BH15" i="69"/>
  <c r="BH10" i="69"/>
  <c r="BH11" i="69"/>
  <c r="BH14" i="69"/>
  <c r="BH9" i="69"/>
  <c r="BH16" i="69"/>
  <c r="BF230" i="99"/>
  <c r="BF228" i="99"/>
  <c r="BF585" i="99"/>
  <c r="BF524" i="99"/>
  <c r="BE579" i="99"/>
  <c r="BE517" i="99"/>
  <c r="BC223" i="99"/>
  <c r="BC582" i="99"/>
  <c r="BF512" i="99"/>
  <c r="AZ559" i="99" a="1"/>
  <c r="AZ559" i="99" s="1"/>
  <c r="AZ623" i="99" s="1"/>
  <c r="AZ615" i="99"/>
  <c r="AZ552" i="99"/>
  <c r="BC530" i="99"/>
  <c r="BC593" i="99"/>
  <c r="BC594" i="99" s="1"/>
  <c r="BC544" i="99"/>
  <c r="BF233" i="99"/>
  <c r="BE526" i="99"/>
  <c r="BE588" i="99"/>
  <c r="BB551" i="99"/>
  <c r="BB555" i="99" s="1"/>
  <c r="BB608" i="99"/>
  <c r="BF234" i="99"/>
  <c r="BD517" i="99"/>
  <c r="BD529" i="99" s="1"/>
  <c r="BD579" i="99"/>
  <c r="AX631" i="99"/>
  <c r="AX625" i="99"/>
  <c r="AX626" i="99" s="1"/>
  <c r="AX562" i="99"/>
  <c r="BF542" i="99"/>
  <c r="BF606" i="99" s="1"/>
  <c r="BF602" i="99"/>
  <c r="BG539" i="99"/>
  <c r="BG603" i="99" s="1"/>
  <c r="BG534" i="99"/>
  <c r="BG598" i="99" s="1"/>
  <c r="BG541" i="99"/>
  <c r="BG605" i="99" s="1"/>
  <c r="BG540" i="99"/>
  <c r="BG604" i="99" s="1"/>
  <c r="BG548" i="99"/>
  <c r="BG612" i="99" s="1"/>
  <c r="BG547" i="99"/>
  <c r="BG611" i="99" s="1"/>
  <c r="BG538" i="99"/>
  <c r="BG521" i="99"/>
  <c r="BG523" i="99"/>
  <c r="BG587" i="99" s="1"/>
  <c r="BG522" i="99"/>
  <c r="BG586" i="99" s="1"/>
  <c r="BG509" i="99"/>
  <c r="BG573" i="99" s="1"/>
  <c r="BG525" i="99"/>
  <c r="BG589" i="99" s="1"/>
  <c r="BG507" i="99"/>
  <c r="BG533" i="99"/>
  <c r="BG597" i="99" s="1"/>
  <c r="BG558" i="99"/>
  <c r="BG622" i="99" s="1"/>
  <c r="BG514" i="99"/>
  <c r="BG578" i="99" s="1"/>
  <c r="BG516" i="99"/>
  <c r="BG580" i="99" s="1"/>
  <c r="BG513" i="99"/>
  <c r="BG577" i="99" s="1"/>
  <c r="BI3" i="99"/>
  <c r="BI4" i="99" s="1"/>
  <c r="BH2" i="99" a="1"/>
  <c r="BH2" i="99" s="1"/>
  <c r="BH554" i="99" s="1"/>
  <c r="BH474" i="99"/>
  <c r="BH475" i="99"/>
  <c r="BH498" i="99"/>
  <c r="BH482" i="99" s="1"/>
  <c r="BH490" i="99" s="1"/>
  <c r="BH476" i="99"/>
  <c r="BH499" i="99"/>
  <c r="BH483" i="99" s="1"/>
  <c r="BH491" i="99" s="1"/>
  <c r="BH500" i="99"/>
  <c r="BH484" i="99" s="1"/>
  <c r="BH492" i="99" s="1"/>
  <c r="BH477" i="99"/>
  <c r="BH478" i="99"/>
  <c r="BH501" i="99"/>
  <c r="BH485" i="99" s="1"/>
  <c r="BH493" i="99" s="1"/>
  <c r="BH502" i="99"/>
  <c r="BH486" i="99" s="1"/>
  <c r="BH494" i="99" s="1"/>
  <c r="BH479" i="99"/>
  <c r="BH503" i="99"/>
  <c r="BH487" i="99" s="1"/>
  <c r="BH495" i="99" s="1"/>
  <c r="BA559" i="99" a="1"/>
  <c r="BA559" i="99" s="1"/>
  <c r="BA623" i="99" s="1"/>
  <c r="BA552" i="99"/>
  <c r="BA615" i="99"/>
  <c r="BL527" i="99"/>
  <c r="BD590" i="99"/>
  <c r="BC591" i="99"/>
  <c r="BC224" i="99"/>
  <c r="AY631" i="99"/>
  <c r="AY625" i="99"/>
  <c r="AY626" i="99" s="1"/>
  <c r="AY562" i="99"/>
  <c r="BF229" i="99"/>
  <c r="BJ5" i="72"/>
  <c r="BJ6" i="72" s="1"/>
  <c r="BI36" i="72"/>
  <c r="BI38" i="72" s="1"/>
  <c r="BI39" i="72" s="1"/>
  <c r="BI37" i="72"/>
  <c r="BI47" i="72"/>
  <c r="BI48" i="72"/>
  <c r="BY8" i="98"/>
  <c r="BF129" i="99"/>
  <c r="BF618" i="99"/>
  <c r="BI6" i="98"/>
  <c r="BH70" i="103"/>
  <c r="BM70" i="105" s="1"/>
  <c r="BH35" i="151" s="1"/>
  <c r="BG40" i="151" l="1"/>
  <c r="BL132" i="105"/>
  <c r="BJ4" i="72" a="1"/>
  <c r="BJ4" i="72" s="1"/>
  <c r="AP145" i="154"/>
  <c r="AM146" i="154"/>
  <c r="AM148" i="154"/>
  <c r="AM145" i="154"/>
  <c r="AN147" i="154"/>
  <c r="AO146" i="154"/>
  <c r="AP146" i="154"/>
  <c r="AP147" i="154"/>
  <c r="AO148" i="154"/>
  <c r="AN145" i="154"/>
  <c r="AN146" i="154"/>
  <c r="AO147" i="154"/>
  <c r="AO145" i="154"/>
  <c r="AL134" i="154"/>
  <c r="K69" i="154"/>
  <c r="K134" i="154" s="1"/>
  <c r="AN101" i="154"/>
  <c r="AN102" i="154" s="1"/>
  <c r="AN37" i="154"/>
  <c r="AL101" i="154"/>
  <c r="AL102" i="154" s="1"/>
  <c r="AL37" i="154"/>
  <c r="K36" i="154"/>
  <c r="AM147" i="154"/>
  <c r="AP101" i="154"/>
  <c r="AP102" i="154" s="1"/>
  <c r="AP37" i="154"/>
  <c r="AL92" i="154"/>
  <c r="AL93" i="154" s="1"/>
  <c r="AL39" i="154"/>
  <c r="AL28" i="154"/>
  <c r="K27" i="154"/>
  <c r="AO92" i="154"/>
  <c r="AO93" i="154" s="1"/>
  <c r="AO28" i="154"/>
  <c r="AO39" i="154"/>
  <c r="AQ92" i="154"/>
  <c r="AQ93" i="154" s="1"/>
  <c r="AQ28" i="154"/>
  <c r="AQ39" i="154"/>
  <c r="AN92" i="154"/>
  <c r="AN93" i="154" s="1"/>
  <c r="AN39" i="154"/>
  <c r="AN28" i="154"/>
  <c r="AO101" i="154"/>
  <c r="AO102" i="154" s="1"/>
  <c r="AO37" i="154"/>
  <c r="AP134" i="154"/>
  <c r="AM92" i="154"/>
  <c r="AM93" i="154" s="1"/>
  <c r="AM39" i="154"/>
  <c r="AM28" i="154"/>
  <c r="AF72" i="154"/>
  <c r="AF136" i="154"/>
  <c r="AF137" i="154" s="1"/>
  <c r="AP92" i="154"/>
  <c r="AP93" i="154" s="1"/>
  <c r="AP28" i="154"/>
  <c r="AP39" i="154"/>
  <c r="K19" i="154"/>
  <c r="K145" i="154" s="1"/>
  <c r="AM101" i="154"/>
  <c r="AM102" i="154" s="1"/>
  <c r="AM37" i="154"/>
  <c r="AP84" i="154"/>
  <c r="AQ101" i="154"/>
  <c r="AQ102" i="154" s="1"/>
  <c r="AQ37" i="154"/>
  <c r="AN148" i="154"/>
  <c r="BJ122" i="105"/>
  <c r="BK122" i="105"/>
  <c r="AZ561" i="99"/>
  <c r="AZ567" i="99" s="1"/>
  <c r="BA561" i="99"/>
  <c r="BA567" i="99" s="1"/>
  <c r="BM127" i="105"/>
  <c r="BG618" i="99"/>
  <c r="BG64" i="99"/>
  <c r="R422" i="153"/>
  <c r="BG535" i="99"/>
  <c r="BG599" i="99" s="1"/>
  <c r="BG549" i="99"/>
  <c r="BG613" i="99" s="1"/>
  <c r="T453" i="153" a="1"/>
  <c r="T453" i="153" s="1"/>
  <c r="U453" i="153" a="1"/>
  <c r="U453" i="153" s="1"/>
  <c r="S453" i="153" a="1"/>
  <c r="S453" i="153" s="1"/>
  <c r="BG229" i="99"/>
  <c r="BJ3" i="69"/>
  <c r="BJ4" i="69" s="1"/>
  <c r="BI2" i="69" a="1"/>
  <c r="BI2" i="69" s="1"/>
  <c r="BI8" i="69"/>
  <c r="BI13" i="69"/>
  <c r="BI12" i="69"/>
  <c r="BI9" i="69"/>
  <c r="BI7" i="69"/>
  <c r="BI11" i="69"/>
  <c r="BI16" i="69"/>
  <c r="BI10" i="69"/>
  <c r="BI15" i="69"/>
  <c r="BG232" i="99"/>
  <c r="BD591" i="99"/>
  <c r="BD224" i="99"/>
  <c r="AZ616" i="99"/>
  <c r="BD530" i="99"/>
  <c r="BD593" i="99"/>
  <c r="BD594" i="99" s="1"/>
  <c r="BD544" i="99"/>
  <c r="BH540" i="99"/>
  <c r="BH604" i="99" s="1"/>
  <c r="BH538" i="99"/>
  <c r="BH539" i="99"/>
  <c r="BH603" i="99" s="1"/>
  <c r="BH548" i="99"/>
  <c r="BH612" i="99" s="1"/>
  <c r="BH541" i="99"/>
  <c r="BH605" i="99" s="1"/>
  <c r="BH547" i="99"/>
  <c r="BH611" i="99" s="1"/>
  <c r="BH534" i="99"/>
  <c r="BH598" i="99" s="1"/>
  <c r="BH522" i="99"/>
  <c r="BH586" i="99" s="1"/>
  <c r="BH507" i="99"/>
  <c r="BH525" i="99"/>
  <c r="BH589" i="99" s="1"/>
  <c r="BH523" i="99"/>
  <c r="BH587" i="99" s="1"/>
  <c r="BH509" i="99"/>
  <c r="BH573" i="99" s="1"/>
  <c r="BH521" i="99"/>
  <c r="BH516" i="99"/>
  <c r="BH580" i="99" s="1"/>
  <c r="BH533" i="99"/>
  <c r="BH597" i="99" s="1"/>
  <c r="BH558" i="99"/>
  <c r="BH622" i="99" s="1"/>
  <c r="BH514" i="99"/>
  <c r="BH578" i="99" s="1"/>
  <c r="BH513" i="99"/>
  <c r="BH577" i="99" s="1"/>
  <c r="BJ3" i="99"/>
  <c r="BJ4" i="99" s="1"/>
  <c r="BI2" i="99" a="1"/>
  <c r="BI2" i="99" s="1"/>
  <c r="BI554" i="99" s="1"/>
  <c r="BI474" i="99"/>
  <c r="BI475" i="99"/>
  <c r="BI499" i="99"/>
  <c r="BI483" i="99" s="1"/>
  <c r="BI491" i="99" s="1"/>
  <c r="BI476" i="99"/>
  <c r="BI498" i="99"/>
  <c r="BI482" i="99" s="1"/>
  <c r="BI490" i="99" s="1"/>
  <c r="BI477" i="99"/>
  <c r="BI500" i="99"/>
  <c r="BI484" i="99" s="1"/>
  <c r="BI492" i="99" s="1"/>
  <c r="BI478" i="99"/>
  <c r="BI501" i="99"/>
  <c r="BI485" i="99" s="1"/>
  <c r="BI493" i="99" s="1"/>
  <c r="BI502" i="99"/>
  <c r="BI486" i="99" s="1"/>
  <c r="BI494" i="99" s="1"/>
  <c r="BI479" i="99"/>
  <c r="BI503" i="99"/>
  <c r="BI487" i="99" s="1"/>
  <c r="BI495" i="99" s="1"/>
  <c r="BF576" i="99"/>
  <c r="BF515" i="99"/>
  <c r="BG228" i="99"/>
  <c r="BD518" i="99"/>
  <c r="BD581" i="99"/>
  <c r="BG230" i="99"/>
  <c r="BA556" i="99"/>
  <c r="BA619" i="99"/>
  <c r="BA620" i="99" s="1"/>
  <c r="BE529" i="99"/>
  <c r="BE518" i="99"/>
  <c r="BE581" i="99"/>
  <c r="BA616" i="99"/>
  <c r="BG512" i="99"/>
  <c r="BG234" i="99"/>
  <c r="BB559" i="99" a="1"/>
  <c r="BB559" i="99" s="1"/>
  <c r="BB623" i="99" s="1"/>
  <c r="BB552" i="99"/>
  <c r="BB615" i="99"/>
  <c r="BF526" i="99"/>
  <c r="BF588" i="99"/>
  <c r="BG233" i="99"/>
  <c r="BE590" i="99"/>
  <c r="BM527" i="99"/>
  <c r="BG542" i="99"/>
  <c r="BG606" i="99" s="1"/>
  <c r="BG602" i="99"/>
  <c r="BC608" i="99"/>
  <c r="BC551" i="99"/>
  <c r="BC555" i="99" s="1"/>
  <c r="BG585" i="99"/>
  <c r="BG524" i="99"/>
  <c r="AZ619" i="99"/>
  <c r="AZ620" i="99" s="1"/>
  <c r="AZ556" i="99"/>
  <c r="BK5" i="72"/>
  <c r="BK6" i="72" s="1"/>
  <c r="BJ36" i="72"/>
  <c r="BJ38" i="72" s="1"/>
  <c r="BJ39" i="72" s="1"/>
  <c r="BJ37" i="72"/>
  <c r="BJ47" i="72"/>
  <c r="BJ48" i="72"/>
  <c r="BJ6" i="98"/>
  <c r="BI70" i="103"/>
  <c r="BN70" i="105" s="1"/>
  <c r="BI35" i="151" s="1"/>
  <c r="BK4" i="72" l="1" a="1"/>
  <c r="BK4" i="72" s="1"/>
  <c r="K147" i="154"/>
  <c r="K146" i="154"/>
  <c r="K84" i="154"/>
  <c r="K148" i="154"/>
  <c r="AP104" i="154"/>
  <c r="AP105" i="154" s="1"/>
  <c r="AP40" i="154"/>
  <c r="AP54" i="154"/>
  <c r="AO104" i="154"/>
  <c r="AO105" i="154" s="1"/>
  <c r="AO40" i="154"/>
  <c r="AO54" i="154"/>
  <c r="K92" i="154"/>
  <c r="K93" i="154" s="1"/>
  <c r="K28" i="154"/>
  <c r="AL54" i="154"/>
  <c r="AL104" i="154"/>
  <c r="AL105" i="154" s="1"/>
  <c r="AL40" i="154"/>
  <c r="K39" i="154"/>
  <c r="AM54" i="154"/>
  <c r="AM40" i="154"/>
  <c r="AM104" i="154"/>
  <c r="AM105" i="154" s="1"/>
  <c r="K101" i="154"/>
  <c r="K102" i="154" s="1"/>
  <c r="K37" i="154"/>
  <c r="AN54" i="154"/>
  <c r="AN104" i="154"/>
  <c r="AN105" i="154" s="1"/>
  <c r="AN40" i="154"/>
  <c r="AQ104" i="154"/>
  <c r="AQ105" i="154" s="1"/>
  <c r="AQ54" i="154"/>
  <c r="AQ40" i="154"/>
  <c r="BG129" i="103"/>
  <c r="BB561" i="99"/>
  <c r="BB567" i="99" s="1"/>
  <c r="BN127" i="105"/>
  <c r="BG129" i="99"/>
  <c r="BG129" i="104"/>
  <c r="BG64" i="104" s="1"/>
  <c r="BL64" i="105" s="1"/>
  <c r="BG30" i="151" s="1"/>
  <c r="S158" i="99"/>
  <c r="BH618" i="99"/>
  <c r="BH64" i="99"/>
  <c r="BH549" i="99"/>
  <c r="BH613" i="99" s="1"/>
  <c r="BH535" i="99"/>
  <c r="BH599" i="99" s="1"/>
  <c r="AL180" i="153"/>
  <c r="AL188" i="153" s="1"/>
  <c r="AM180" i="153"/>
  <c r="AM188" i="153" s="1"/>
  <c r="AN180" i="153"/>
  <c r="AN188" i="153" s="1"/>
  <c r="AO180" i="153"/>
  <c r="AO188" i="153" s="1"/>
  <c r="AP180" i="153"/>
  <c r="AP188" i="153" s="1"/>
  <c r="AQ180" i="153"/>
  <c r="AQ188" i="153" s="1"/>
  <c r="BH229" i="99"/>
  <c r="BH233" i="99"/>
  <c r="BK3" i="69"/>
  <c r="BK4" i="69" s="1"/>
  <c r="BJ2" i="69" a="1"/>
  <c r="BJ2" i="69" s="1"/>
  <c r="BJ11" i="69"/>
  <c r="BJ12" i="69"/>
  <c r="BJ7" i="69"/>
  <c r="BJ8" i="69"/>
  <c r="BJ16" i="69"/>
  <c r="BJ15" i="69"/>
  <c r="BJ10" i="69"/>
  <c r="BJ9" i="69"/>
  <c r="BJ14" i="69"/>
  <c r="BJ13" i="69"/>
  <c r="BE530" i="99"/>
  <c r="BE593" i="99"/>
  <c r="BE594" i="99" s="1"/>
  <c r="BE544" i="99"/>
  <c r="BB619" i="99"/>
  <c r="BB620" i="99" s="1"/>
  <c r="BB556" i="99"/>
  <c r="BA562" i="99"/>
  <c r="BA625" i="99"/>
  <c r="BA626" i="99" s="1"/>
  <c r="BA631" i="99"/>
  <c r="BH230" i="99"/>
  <c r="BG588" i="99"/>
  <c r="BG526" i="99"/>
  <c r="BH585" i="99"/>
  <c r="BH524" i="99"/>
  <c r="BD223" i="99"/>
  <c r="BD582" i="99"/>
  <c r="BH234" i="99"/>
  <c r="BH512" i="99"/>
  <c r="BH232" i="99"/>
  <c r="AZ631" i="99"/>
  <c r="AZ625" i="99"/>
  <c r="AZ626" i="99" s="1"/>
  <c r="AZ562" i="99"/>
  <c r="BI534" i="99"/>
  <c r="BI598" i="99" s="1"/>
  <c r="BI539" i="99"/>
  <c r="BI603" i="99" s="1"/>
  <c r="BI541" i="99"/>
  <c r="BI605" i="99" s="1"/>
  <c r="BI548" i="99"/>
  <c r="BI612" i="99" s="1"/>
  <c r="BI547" i="99"/>
  <c r="BI540" i="99"/>
  <c r="BI604" i="99" s="1"/>
  <c r="BI538" i="99"/>
  <c r="BI509" i="99"/>
  <c r="BI573" i="99" s="1"/>
  <c r="BI523" i="99"/>
  <c r="BI587" i="99" s="1"/>
  <c r="BI507" i="99"/>
  <c r="BI522" i="99"/>
  <c r="BI586" i="99" s="1"/>
  <c r="BI525" i="99"/>
  <c r="BI589" i="99" s="1"/>
  <c r="BI521" i="99"/>
  <c r="BI558" i="99"/>
  <c r="BI622" i="99" s="1"/>
  <c r="BI516" i="99"/>
  <c r="BI580" i="99" s="1"/>
  <c r="BI513" i="99"/>
  <c r="BI577" i="99" s="1"/>
  <c r="BI514" i="99"/>
  <c r="BI578" i="99" s="1"/>
  <c r="BI533" i="99"/>
  <c r="BI597" i="99" s="1"/>
  <c r="BF579" i="99"/>
  <c r="BF517" i="99"/>
  <c r="BK3" i="99"/>
  <c r="BK4" i="99" s="1"/>
  <c r="BJ2" i="99" a="1"/>
  <c r="BJ2" i="99" s="1"/>
  <c r="BJ554" i="99" s="1"/>
  <c r="BJ474" i="99"/>
  <c r="BJ475" i="99"/>
  <c r="BJ498" i="99"/>
  <c r="BJ482" i="99" s="1"/>
  <c r="BJ490" i="99" s="1"/>
  <c r="BJ499" i="99"/>
  <c r="BJ483" i="99" s="1"/>
  <c r="BJ491" i="99" s="1"/>
  <c r="BJ476" i="99"/>
  <c r="BJ500" i="99"/>
  <c r="BJ484" i="99" s="1"/>
  <c r="BJ492" i="99" s="1"/>
  <c r="BJ477" i="99"/>
  <c r="BJ501" i="99"/>
  <c r="BJ485" i="99" s="1"/>
  <c r="BJ493" i="99" s="1"/>
  <c r="BJ478" i="99"/>
  <c r="BJ502" i="99"/>
  <c r="BJ486" i="99" s="1"/>
  <c r="BJ494" i="99" s="1"/>
  <c r="BJ479" i="99"/>
  <c r="BJ503" i="99"/>
  <c r="BJ487" i="99" s="1"/>
  <c r="BJ495" i="99" s="1"/>
  <c r="BH602" i="99"/>
  <c r="BH542" i="99"/>
  <c r="BH606" i="99" s="1"/>
  <c r="BE591" i="99"/>
  <c r="BE224" i="99"/>
  <c r="BG576" i="99"/>
  <c r="BG515" i="99"/>
  <c r="BD551" i="99"/>
  <c r="BD555" i="99" s="1"/>
  <c r="BD608" i="99"/>
  <c r="BF590" i="99"/>
  <c r="BN527" i="99"/>
  <c r="BE223" i="99"/>
  <c r="BE582" i="99"/>
  <c r="BC559" i="99" a="1"/>
  <c r="BC559" i="99" s="1"/>
  <c r="BC623" i="99" s="1"/>
  <c r="BC552" i="99"/>
  <c r="BC615" i="99"/>
  <c r="BB616" i="99"/>
  <c r="BH228" i="99"/>
  <c r="BK36" i="72"/>
  <c r="BK38" i="72" s="1"/>
  <c r="BK39" i="72" s="1"/>
  <c r="BK37" i="72"/>
  <c r="BL5" i="72"/>
  <c r="BL6" i="72" s="1"/>
  <c r="BK47" i="72"/>
  <c r="BK48" i="72"/>
  <c r="L598" i="99"/>
  <c r="M598" i="99"/>
  <c r="BI64" i="99"/>
  <c r="BK6" i="98"/>
  <c r="BJ70" i="103"/>
  <c r="BO70" i="105" s="1"/>
  <c r="BJ35" i="151" s="1"/>
  <c r="BL4" i="72" l="1" a="1"/>
  <c r="BL4" i="72" s="1"/>
  <c r="AL119" i="154"/>
  <c r="AL61" i="154"/>
  <c r="K54" i="154"/>
  <c r="K119" i="154" s="1"/>
  <c r="K104" i="154"/>
  <c r="K105" i="154" s="1"/>
  <c r="K40" i="154"/>
  <c r="AO61" i="154"/>
  <c r="AO119" i="154"/>
  <c r="AP119" i="154"/>
  <c r="AP61" i="154"/>
  <c r="AQ61" i="154"/>
  <c r="AQ119" i="154"/>
  <c r="AM61" i="154"/>
  <c r="AM119" i="154"/>
  <c r="AN119" i="154"/>
  <c r="AN61" i="154"/>
  <c r="BL122" i="105"/>
  <c r="BH129" i="104"/>
  <c r="BH64" i="104" s="1"/>
  <c r="BM64" i="105" s="1"/>
  <c r="BH30" i="151" s="1"/>
  <c r="BC561" i="99"/>
  <c r="BC567" i="99" s="1"/>
  <c r="BO127" i="105"/>
  <c r="BH129" i="103"/>
  <c r="BH129" i="99"/>
  <c r="Y158" i="155"/>
  <c r="S173" i="155" s="1"/>
  <c r="Y158" i="153"/>
  <c r="S173" i="153" s="1"/>
  <c r="W158" i="99"/>
  <c r="Y158" i="154"/>
  <c r="S173" i="154" s="1"/>
  <c r="BI129" i="104"/>
  <c r="BI64" i="104" s="1"/>
  <c r="BN64" i="105" s="1"/>
  <c r="BI30" i="151" s="1"/>
  <c r="BI129" i="103"/>
  <c r="AV180" i="153"/>
  <c r="AV188" i="153" s="1"/>
  <c r="AV200" i="153" s="1"/>
  <c r="AW180" i="153"/>
  <c r="AW188" i="153" s="1"/>
  <c r="AW331" i="153" s="1"/>
  <c r="AW341" i="153" s="1"/>
  <c r="AP200" i="153"/>
  <c r="AP331" i="153"/>
  <c r="AP341" i="153" s="1"/>
  <c r="AO331" i="153"/>
  <c r="AO341" i="153" s="1"/>
  <c r="AO200" i="153"/>
  <c r="AN331" i="153"/>
  <c r="AN341" i="153" s="1"/>
  <c r="AN200" i="153"/>
  <c r="AM200" i="153"/>
  <c r="AM331" i="153"/>
  <c r="AM341" i="153" s="1"/>
  <c r="AL331" i="153"/>
  <c r="AL341" i="153" s="1"/>
  <c r="AL200" i="153"/>
  <c r="BA180" i="153"/>
  <c r="BA188" i="153" s="1"/>
  <c r="BB180" i="153"/>
  <c r="BB188" i="153" s="1"/>
  <c r="BC180" i="153"/>
  <c r="BC188" i="153" s="1"/>
  <c r="AQ200" i="153"/>
  <c r="AQ331" i="153"/>
  <c r="AQ341" i="153" s="1"/>
  <c r="BI535" i="99"/>
  <c r="BI599" i="99" s="1"/>
  <c r="BI549" i="99"/>
  <c r="BI613" i="99" s="1"/>
  <c r="BI512" i="99"/>
  <c r="BI576" i="99" s="1"/>
  <c r="BI230" i="99"/>
  <c r="BJ17" i="69"/>
  <c r="BO76" i="105" s="1"/>
  <c r="BI232" i="99"/>
  <c r="BL3" i="69"/>
  <c r="BL4" i="69" s="1"/>
  <c r="BK2" i="69" a="1"/>
  <c r="BK2" i="69" s="1"/>
  <c r="BK9" i="69"/>
  <c r="BK12" i="69"/>
  <c r="BK11" i="69"/>
  <c r="BK7" i="69"/>
  <c r="BK10" i="69"/>
  <c r="BK8" i="69"/>
  <c r="BK16" i="69"/>
  <c r="BK13" i="69"/>
  <c r="BK14" i="69"/>
  <c r="BJ538" i="99"/>
  <c r="BJ539" i="99"/>
  <c r="BJ603" i="99" s="1"/>
  <c r="BJ541" i="99"/>
  <c r="BJ605" i="99" s="1"/>
  <c r="BJ548" i="99"/>
  <c r="BJ612" i="99" s="1"/>
  <c r="BJ540" i="99"/>
  <c r="BJ604" i="99" s="1"/>
  <c r="BJ547" i="99"/>
  <c r="BJ611" i="99" s="1"/>
  <c r="BJ534" i="99"/>
  <c r="BJ598" i="99" s="1"/>
  <c r="BJ507" i="99"/>
  <c r="BJ509" i="99"/>
  <c r="BJ573" i="99" s="1"/>
  <c r="BJ523" i="99"/>
  <c r="BJ587" i="99" s="1"/>
  <c r="BJ521" i="99"/>
  <c r="BJ522" i="99"/>
  <c r="BJ586" i="99" s="1"/>
  <c r="BJ525" i="99"/>
  <c r="BJ589" i="99" s="1"/>
  <c r="BJ558" i="99"/>
  <c r="BJ622" i="99" s="1"/>
  <c r="BJ514" i="99"/>
  <c r="BJ578" i="99" s="1"/>
  <c r="BJ513" i="99"/>
  <c r="BJ577" i="99" s="1"/>
  <c r="BJ516" i="99"/>
  <c r="BJ580" i="99" s="1"/>
  <c r="BJ533" i="99"/>
  <c r="BL3" i="99"/>
  <c r="BL4" i="99" s="1"/>
  <c r="BK2" i="99" a="1"/>
  <c r="BK2" i="99" s="1"/>
  <c r="BK554" i="99" s="1"/>
  <c r="BK474" i="99"/>
  <c r="BK475" i="99"/>
  <c r="BK498" i="99"/>
  <c r="BK482" i="99" s="1"/>
  <c r="BK490" i="99" s="1"/>
  <c r="BK499" i="99"/>
  <c r="BK483" i="99" s="1"/>
  <c r="BK491" i="99" s="1"/>
  <c r="BK476" i="99"/>
  <c r="BK477" i="99"/>
  <c r="BK500" i="99"/>
  <c r="BK484" i="99" s="1"/>
  <c r="BK492" i="99" s="1"/>
  <c r="BK478" i="99"/>
  <c r="BK501" i="99"/>
  <c r="BK485" i="99" s="1"/>
  <c r="BK493" i="99" s="1"/>
  <c r="BK479" i="99"/>
  <c r="BK502" i="99"/>
  <c r="BK486" i="99" s="1"/>
  <c r="BK494" i="99" s="1"/>
  <c r="BK503" i="99"/>
  <c r="BK487" i="99" s="1"/>
  <c r="BK495" i="99" s="1"/>
  <c r="BF529" i="99"/>
  <c r="BF518" i="99"/>
  <c r="BF581" i="99"/>
  <c r="BI611" i="99"/>
  <c r="BD559" i="99" a="1"/>
  <c r="BD559" i="99" s="1"/>
  <c r="BD623" i="99" s="1"/>
  <c r="BD552" i="99"/>
  <c r="BD615" i="99"/>
  <c r="BB631" i="99"/>
  <c r="BB625" i="99"/>
  <c r="BB626" i="99" s="1"/>
  <c r="BB562" i="99"/>
  <c r="BI229" i="99"/>
  <c r="BI228" i="99"/>
  <c r="BH588" i="99"/>
  <c r="BH526" i="99"/>
  <c r="BE551" i="99"/>
  <c r="BE555" i="99" s="1"/>
  <c r="BE608" i="99"/>
  <c r="BC616" i="99"/>
  <c r="BG590" i="99"/>
  <c r="BO527" i="99"/>
  <c r="BC556" i="99"/>
  <c r="BC619" i="99"/>
  <c r="BC620" i="99" s="1"/>
  <c r="BI234" i="99"/>
  <c r="BI524" i="99"/>
  <c r="BI585" i="99"/>
  <c r="BI233" i="99"/>
  <c r="BH576" i="99"/>
  <c r="BH515" i="99"/>
  <c r="BG517" i="99"/>
  <c r="BG579" i="99"/>
  <c r="BF591" i="99"/>
  <c r="BF224" i="99"/>
  <c r="BI602" i="99"/>
  <c r="BI542" i="99"/>
  <c r="BI606" i="99" s="1"/>
  <c r="BL37" i="72"/>
  <c r="BM5" i="72"/>
  <c r="BM6" i="72" s="1"/>
  <c r="BL36" i="72"/>
  <c r="BL38" i="72" s="1"/>
  <c r="BL39" i="72" s="1"/>
  <c r="BL47" i="72"/>
  <c r="BL48" i="72"/>
  <c r="BL6" i="98"/>
  <c r="BK70" i="103"/>
  <c r="BP70" i="105" s="1"/>
  <c r="BK35" i="151" s="1"/>
  <c r="N598" i="99"/>
  <c r="P598" i="99" s="1"/>
  <c r="P534" i="99"/>
  <c r="BI129" i="99"/>
  <c r="BI618" i="99"/>
  <c r="BJ40" i="151" l="1"/>
  <c r="BO132" i="105"/>
  <c r="BM4" i="72" a="1"/>
  <c r="BM4" i="72" s="1"/>
  <c r="AM65" i="154"/>
  <c r="AM126" i="154"/>
  <c r="AM127" i="154" s="1"/>
  <c r="AM62" i="154"/>
  <c r="AQ65" i="154"/>
  <c r="AQ126" i="154"/>
  <c r="AQ127" i="154" s="1"/>
  <c r="AQ62" i="154"/>
  <c r="AP65" i="154"/>
  <c r="AP62" i="154"/>
  <c r="AP126" i="154"/>
  <c r="AP127" i="154" s="1"/>
  <c r="AN65" i="154"/>
  <c r="AN62" i="154"/>
  <c r="AN126" i="154"/>
  <c r="AN127" i="154" s="1"/>
  <c r="AO65" i="154"/>
  <c r="AO62" i="154"/>
  <c r="AO126" i="154"/>
  <c r="AO127" i="154" s="1"/>
  <c r="AL126" i="154"/>
  <c r="AL127" i="154" s="1"/>
  <c r="AL65" i="154"/>
  <c r="AL62" i="154"/>
  <c r="K61" i="154"/>
  <c r="BM122" i="105"/>
  <c r="BN122" i="105"/>
  <c r="BD561" i="99"/>
  <c r="BD567" i="99" s="1"/>
  <c r="BP127" i="105"/>
  <c r="T173" i="153"/>
  <c r="AS180" i="153"/>
  <c r="AS188" i="153" s="1"/>
  <c r="AR180" i="153"/>
  <c r="AR188" i="153" s="1"/>
  <c r="AT180" i="153"/>
  <c r="AT188" i="153" s="1"/>
  <c r="AZ180" i="153"/>
  <c r="AZ188" i="153" s="1"/>
  <c r="AZ331" i="153" s="1"/>
  <c r="AZ341" i="153" s="1"/>
  <c r="AY180" i="153"/>
  <c r="AY188" i="153" s="1"/>
  <c r="AY331" i="153" s="1"/>
  <c r="AY341" i="153" s="1"/>
  <c r="AX180" i="153"/>
  <c r="AX188" i="153" s="1"/>
  <c r="AX331" i="153" s="1"/>
  <c r="AX341" i="153" s="1"/>
  <c r="AT180" i="154"/>
  <c r="AR180" i="154"/>
  <c r="AS180" i="154"/>
  <c r="AX180" i="154"/>
  <c r="AY180" i="154"/>
  <c r="AV180" i="154"/>
  <c r="AZ180" i="154"/>
  <c r="AU180" i="154"/>
  <c r="AW180" i="154"/>
  <c r="AS180" i="155"/>
  <c r="AR180" i="155"/>
  <c r="AT180" i="155"/>
  <c r="AW180" i="155"/>
  <c r="AX180" i="155"/>
  <c r="AZ180" i="155"/>
  <c r="AV180" i="155"/>
  <c r="AY180" i="155"/>
  <c r="AU180" i="155"/>
  <c r="BB180" i="154"/>
  <c r="BC180" i="154"/>
  <c r="BA180" i="154"/>
  <c r="BA180" i="155"/>
  <c r="BC180" i="155"/>
  <c r="BB180" i="155"/>
  <c r="BJ180" i="155"/>
  <c r="BK180" i="155"/>
  <c r="BG180" i="155"/>
  <c r="T173" i="155"/>
  <c r="BO180" i="155" s="1"/>
  <c r="BO188" i="155" s="1"/>
  <c r="BL180" i="155"/>
  <c r="BD434" i="155"/>
  <c r="BK434" i="155"/>
  <c r="AE434" i="155"/>
  <c r="BX434" i="155"/>
  <c r="X434" i="155"/>
  <c r="AY434" i="155"/>
  <c r="AK434" i="155"/>
  <c r="AR434" i="155"/>
  <c r="BS434" i="155"/>
  <c r="BE434" i="155"/>
  <c r="BL434" i="155"/>
  <c r="AH434" i="155"/>
  <c r="BY434" i="155"/>
  <c r="Y434" i="155"/>
  <c r="BB434" i="155"/>
  <c r="BH434" i="155"/>
  <c r="AS434" i="155"/>
  <c r="BV434" i="155"/>
  <c r="R434" i="155"/>
  <c r="BM434" i="155"/>
  <c r="AF434" i="155"/>
  <c r="AL434" i="155"/>
  <c r="Z434" i="155"/>
  <c r="AZ434" i="155"/>
  <c r="BF434" i="155"/>
  <c r="AT434" i="155"/>
  <c r="BT434" i="155"/>
  <c r="S434" i="155"/>
  <c r="BN434" i="155"/>
  <c r="AG434" i="155"/>
  <c r="V434" i="155"/>
  <c r="AA434" i="155"/>
  <c r="BA434" i="155"/>
  <c r="AM434" i="155"/>
  <c r="AU434" i="155"/>
  <c r="BU434" i="155"/>
  <c r="BG434" i="155"/>
  <c r="BO434" i="155"/>
  <c r="AN434" i="155"/>
  <c r="T434" i="155"/>
  <c r="AV434" i="155"/>
  <c r="AO434" i="155"/>
  <c r="BP434" i="155"/>
  <c r="BI434" i="155"/>
  <c r="AC434" i="155"/>
  <c r="U434" i="155"/>
  <c r="AW434" i="155"/>
  <c r="BC434" i="155"/>
  <c r="BJ434" i="155"/>
  <c r="AD434" i="155"/>
  <c r="BW434" i="155"/>
  <c r="W434" i="155"/>
  <c r="AX434" i="155"/>
  <c r="AJ434" i="155"/>
  <c r="AQ434" i="155"/>
  <c r="BR434" i="155"/>
  <c r="AI434" i="155"/>
  <c r="AP434" i="155"/>
  <c r="AB434" i="155"/>
  <c r="BQ434" i="155"/>
  <c r="T434" i="153"/>
  <c r="AQ434" i="153"/>
  <c r="BM434" i="153"/>
  <c r="U434" i="153"/>
  <c r="AT434" i="153"/>
  <c r="W434" i="153"/>
  <c r="AS434" i="153"/>
  <c r="BO434" i="153"/>
  <c r="Y434" i="153"/>
  <c r="AU434" i="153"/>
  <c r="BQ434" i="153"/>
  <c r="Z434" i="153"/>
  <c r="AV434" i="153"/>
  <c r="BR434" i="153"/>
  <c r="AW434" i="153"/>
  <c r="BS434" i="153"/>
  <c r="AB434" i="153"/>
  <c r="AX434" i="153"/>
  <c r="BT434" i="153"/>
  <c r="AC434" i="153"/>
  <c r="AY434" i="153"/>
  <c r="BU434" i="153"/>
  <c r="AA434" i="153"/>
  <c r="AZ434" i="153"/>
  <c r="AE434" i="153"/>
  <c r="BA434" i="153"/>
  <c r="BW434" i="153"/>
  <c r="AF434" i="153"/>
  <c r="BB434" i="153"/>
  <c r="BX434" i="153"/>
  <c r="AJ434" i="153"/>
  <c r="AD434" i="153"/>
  <c r="AG434" i="153"/>
  <c r="BC434" i="153"/>
  <c r="BY434" i="153"/>
  <c r="BP434" i="153"/>
  <c r="AH434" i="153"/>
  <c r="BD434" i="153"/>
  <c r="AK434" i="153"/>
  <c r="AI434" i="153"/>
  <c r="BE434" i="153"/>
  <c r="BF434" i="153"/>
  <c r="BG434" i="153"/>
  <c r="BJ434" i="153"/>
  <c r="AL434" i="153"/>
  <c r="BH434" i="153"/>
  <c r="AM434" i="153"/>
  <c r="BI434" i="153"/>
  <c r="AN434" i="153"/>
  <c r="BV434" i="153"/>
  <c r="S434" i="153"/>
  <c r="R434" i="153"/>
  <c r="AO434" i="153"/>
  <c r="BK434" i="153"/>
  <c r="AR434" i="153"/>
  <c r="BN434" i="153"/>
  <c r="V434" i="153"/>
  <c r="AP434" i="153"/>
  <c r="BL434" i="153"/>
  <c r="X434" i="153"/>
  <c r="T173" i="154"/>
  <c r="BO180" i="154" s="1"/>
  <c r="BO188" i="154" s="1"/>
  <c r="BF434" i="154"/>
  <c r="BN434" i="154"/>
  <c r="BU434" i="154"/>
  <c r="BH434" i="154"/>
  <c r="AA434" i="154"/>
  <c r="AH434" i="154"/>
  <c r="AM434" i="154"/>
  <c r="BO434" i="154"/>
  <c r="BG434" i="154"/>
  <c r="AB434" i="154"/>
  <c r="V434" i="154"/>
  <c r="AV434" i="154"/>
  <c r="AO434" i="154"/>
  <c r="BP434" i="154"/>
  <c r="BI434" i="154"/>
  <c r="AC434" i="154"/>
  <c r="AP434" i="154"/>
  <c r="AW434" i="154"/>
  <c r="BW434" i="154"/>
  <c r="W434" i="154"/>
  <c r="AX434" i="154"/>
  <c r="AJ434" i="154"/>
  <c r="AQ434" i="154"/>
  <c r="BR434" i="154"/>
  <c r="BX434" i="154"/>
  <c r="X434" i="154"/>
  <c r="AY434" i="154"/>
  <c r="AK434" i="154"/>
  <c r="BL434" i="154"/>
  <c r="BB434" i="154"/>
  <c r="BE434" i="154"/>
  <c r="Y434" i="154"/>
  <c r="AF434" i="154"/>
  <c r="T434" i="154"/>
  <c r="BM434" i="154"/>
  <c r="BT434" i="154"/>
  <c r="R434" i="154"/>
  <c r="Z434" i="154"/>
  <c r="AG434" i="154"/>
  <c r="AL434" i="154"/>
  <c r="AT434" i="154"/>
  <c r="BA434" i="154"/>
  <c r="AI434" i="154"/>
  <c r="BC434" i="154"/>
  <c r="BD434" i="154"/>
  <c r="AN434" i="154"/>
  <c r="BY434" i="154"/>
  <c r="S434" i="154"/>
  <c r="BJ434" i="154"/>
  <c r="U434" i="154"/>
  <c r="BK434" i="154"/>
  <c r="AR434" i="154"/>
  <c r="AS434" i="154"/>
  <c r="AU434" i="154"/>
  <c r="BQ434" i="154"/>
  <c r="AD434" i="154"/>
  <c r="AE434" i="154"/>
  <c r="BS434" i="154"/>
  <c r="AZ434" i="154"/>
  <c r="BV434" i="154"/>
  <c r="BJ618" i="99"/>
  <c r="BJ64" i="99"/>
  <c r="AV331" i="153"/>
  <c r="AV341" i="153" s="1"/>
  <c r="AW200" i="153"/>
  <c r="AW216" i="153" s="1"/>
  <c r="AW285" i="153" s="1"/>
  <c r="BH180" i="153"/>
  <c r="BH188" i="153" s="1"/>
  <c r="BH200" i="153" s="1"/>
  <c r="BG180" i="153"/>
  <c r="BG188" i="153" s="1"/>
  <c r="BG200" i="153" s="1"/>
  <c r="BB200" i="153"/>
  <c r="BB331" i="153"/>
  <c r="BB341" i="153" s="1"/>
  <c r="BA200" i="153"/>
  <c r="BA331" i="153"/>
  <c r="BA341" i="153" s="1"/>
  <c r="BJ535" i="99"/>
  <c r="BJ599" i="99" s="1"/>
  <c r="AQ208" i="153"/>
  <c r="AQ241" i="153" s="1"/>
  <c r="AQ216" i="153"/>
  <c r="AQ285" i="153" s="1"/>
  <c r="AL208" i="153"/>
  <c r="AL241" i="153" s="1"/>
  <c r="AL216" i="153"/>
  <c r="AL285" i="153" s="1"/>
  <c r="BJ180" i="153"/>
  <c r="BJ188" i="153" s="1"/>
  <c r="BM180" i="153"/>
  <c r="BM188" i="153" s="1"/>
  <c r="BN180" i="153"/>
  <c r="BN188" i="153" s="1"/>
  <c r="BO180" i="153"/>
  <c r="BO188" i="153" s="1"/>
  <c r="BK180" i="153"/>
  <c r="BK188" i="153" s="1"/>
  <c r="BL180" i="153"/>
  <c r="BL188" i="153" s="1"/>
  <c r="AM216" i="153"/>
  <c r="AM285" i="153" s="1"/>
  <c r="AM208" i="153"/>
  <c r="AM241" i="153" s="1"/>
  <c r="AV216" i="153"/>
  <c r="AV285" i="153" s="1"/>
  <c r="AV208" i="153"/>
  <c r="AV241" i="153" s="1"/>
  <c r="AN208" i="153"/>
  <c r="AN241" i="153" s="1"/>
  <c r="AN216" i="153"/>
  <c r="AN285" i="153" s="1"/>
  <c r="AO216" i="153"/>
  <c r="AO285" i="153" s="1"/>
  <c r="AO208" i="153"/>
  <c r="AO241" i="153" s="1"/>
  <c r="BC200" i="153"/>
  <c r="BC331" i="153"/>
  <c r="BC341" i="153" s="1"/>
  <c r="AP216" i="153"/>
  <c r="AP285" i="153" s="1"/>
  <c r="AP208" i="153"/>
  <c r="AP241" i="153" s="1"/>
  <c r="T180" i="153"/>
  <c r="U180" i="153"/>
  <c r="S180" i="153"/>
  <c r="V180" i="153"/>
  <c r="W180" i="153"/>
  <c r="X180" i="153"/>
  <c r="Y180" i="153"/>
  <c r="Y188" i="153" s="1"/>
  <c r="BJ549" i="99"/>
  <c r="BJ613" i="99" s="1"/>
  <c r="BJ597" i="99"/>
  <c r="BJ233" i="99"/>
  <c r="BI515" i="99"/>
  <c r="BI517" i="99" s="1"/>
  <c r="BJ230" i="99"/>
  <c r="BM3" i="69"/>
  <c r="BM4" i="69" s="1"/>
  <c r="BL2" i="69" a="1"/>
  <c r="BL2" i="69" s="1"/>
  <c r="BL9" i="69"/>
  <c r="BL7" i="69"/>
  <c r="BL16" i="69"/>
  <c r="BL15" i="69"/>
  <c r="BL8" i="69"/>
  <c r="BL13" i="69"/>
  <c r="BL11" i="69"/>
  <c r="BL10" i="69"/>
  <c r="BL12" i="69"/>
  <c r="BI526" i="99"/>
  <c r="BI588" i="99"/>
  <c r="BJ512" i="99"/>
  <c r="BF582" i="99"/>
  <c r="BF223" i="99"/>
  <c r="BF593" i="99"/>
  <c r="BF594" i="99" s="1"/>
  <c r="BF530" i="99"/>
  <c r="BF544" i="99"/>
  <c r="BK534" i="99"/>
  <c r="BK598" i="99" s="1"/>
  <c r="BK539" i="99"/>
  <c r="BK603" i="99" s="1"/>
  <c r="BK538" i="99"/>
  <c r="BK548" i="99"/>
  <c r="BK612" i="99" s="1"/>
  <c r="BK541" i="99"/>
  <c r="BK605" i="99" s="1"/>
  <c r="BK547" i="99"/>
  <c r="BK611" i="99" s="1"/>
  <c r="BK540" i="99"/>
  <c r="BK604" i="99" s="1"/>
  <c r="BK521" i="99"/>
  <c r="BK507" i="99"/>
  <c r="BK509" i="99"/>
  <c r="BK573" i="99" s="1"/>
  <c r="BK522" i="99"/>
  <c r="BK586" i="99" s="1"/>
  <c r="BK525" i="99"/>
  <c r="BK589" i="99" s="1"/>
  <c r="BK523" i="99"/>
  <c r="BK587" i="99" s="1"/>
  <c r="BK516" i="99"/>
  <c r="BK580" i="99" s="1"/>
  <c r="BK533" i="99"/>
  <c r="BK514" i="99"/>
  <c r="BK578" i="99" s="1"/>
  <c r="BK513" i="99"/>
  <c r="BK577" i="99" s="1"/>
  <c r="BK558" i="99"/>
  <c r="BK622" i="99" s="1"/>
  <c r="BM3" i="99"/>
  <c r="BM4" i="99" s="1"/>
  <c r="BL2" i="99" a="1"/>
  <c r="BL2" i="99" s="1"/>
  <c r="BL554" i="99" s="1"/>
  <c r="BL474" i="99"/>
  <c r="BL475" i="99"/>
  <c r="BL498" i="99"/>
  <c r="BL482" i="99" s="1"/>
  <c r="BL490" i="99" s="1"/>
  <c r="BL476" i="99"/>
  <c r="BL499" i="99"/>
  <c r="BL483" i="99" s="1"/>
  <c r="BL491" i="99" s="1"/>
  <c r="BL477" i="99"/>
  <c r="BL500" i="99"/>
  <c r="BL484" i="99" s="1"/>
  <c r="BL492" i="99" s="1"/>
  <c r="BL478" i="99"/>
  <c r="BL501" i="99"/>
  <c r="BL485" i="99" s="1"/>
  <c r="BL493" i="99" s="1"/>
  <c r="BL479" i="99"/>
  <c r="BL502" i="99"/>
  <c r="BL486" i="99" s="1"/>
  <c r="BL494" i="99" s="1"/>
  <c r="BL503" i="99"/>
  <c r="BL487" i="99" s="1"/>
  <c r="BL495" i="99" s="1"/>
  <c r="BE559" i="99" a="1"/>
  <c r="BE559" i="99" s="1"/>
  <c r="BE623" i="99" s="1"/>
  <c r="BE552" i="99"/>
  <c r="BE615" i="99"/>
  <c r="BJ602" i="99"/>
  <c r="BJ542" i="99"/>
  <c r="BJ606" i="99" s="1"/>
  <c r="BG529" i="99"/>
  <c r="BG518" i="99"/>
  <c r="BG581" i="99"/>
  <c r="BC625" i="99"/>
  <c r="BC626" i="99" s="1"/>
  <c r="BC562" i="99"/>
  <c r="BC631" i="99"/>
  <c r="BD619" i="99"/>
  <c r="BD620" i="99" s="1"/>
  <c r="BD556" i="99"/>
  <c r="BD616" i="99"/>
  <c r="BH579" i="99"/>
  <c r="BH517" i="99"/>
  <c r="BG591" i="99"/>
  <c r="BG224" i="99"/>
  <c r="BH590" i="99"/>
  <c r="BP527" i="99"/>
  <c r="BJ228" i="99"/>
  <c r="BJ229" i="99"/>
  <c r="BJ234" i="99"/>
  <c r="BJ232" i="99"/>
  <c r="BJ585" i="99"/>
  <c r="BJ524" i="99"/>
  <c r="BM37" i="72"/>
  <c r="BN5" i="72"/>
  <c r="BN6" i="72" s="1"/>
  <c r="BM36" i="72"/>
  <c r="BM38" i="72" s="1"/>
  <c r="BM39" i="72" s="1"/>
  <c r="BM47" i="72"/>
  <c r="BM48" i="72"/>
  <c r="BK64" i="99"/>
  <c r="BM6" i="98"/>
  <c r="BL70" i="103"/>
  <c r="BQ70" i="105" s="1"/>
  <c r="BL35" i="151" s="1"/>
  <c r="BN4" i="72" l="1" a="1"/>
  <c r="BN4" i="72" s="1"/>
  <c r="K65" i="154"/>
  <c r="K126" i="154"/>
  <c r="K127" i="154" s="1"/>
  <c r="K62" i="154"/>
  <c r="AL66" i="154"/>
  <c r="AL71" i="154"/>
  <c r="AL130" i="154"/>
  <c r="AL131" i="154" s="1"/>
  <c r="AN71" i="154"/>
  <c r="AN66" i="154"/>
  <c r="AN130" i="154"/>
  <c r="AN131" i="154" s="1"/>
  <c r="AP66" i="154"/>
  <c r="AP71" i="154"/>
  <c r="AP130" i="154"/>
  <c r="AP131" i="154" s="1"/>
  <c r="AQ66" i="154"/>
  <c r="AQ71" i="154"/>
  <c r="AQ130" i="154"/>
  <c r="AQ131" i="154" s="1"/>
  <c r="AO71" i="154"/>
  <c r="AO66" i="154"/>
  <c r="AO130" i="154"/>
  <c r="AO131" i="154" s="1"/>
  <c r="AM66" i="154"/>
  <c r="AM71" i="154"/>
  <c r="AM130" i="154"/>
  <c r="AM131" i="154" s="1"/>
  <c r="BJ129" i="103"/>
  <c r="BE561" i="99"/>
  <c r="BE567" i="99" s="1"/>
  <c r="BQ127" i="105"/>
  <c r="AX200" i="153"/>
  <c r="AX216" i="153" s="1"/>
  <c r="AX285" i="153" s="1"/>
  <c r="AY200" i="153"/>
  <c r="AY208" i="153" s="1"/>
  <c r="AY241" i="153" s="1"/>
  <c r="AZ200" i="153"/>
  <c r="AZ216" i="153" s="1"/>
  <c r="AZ285" i="153" s="1"/>
  <c r="BF180" i="154"/>
  <c r="BF188" i="154" s="1"/>
  <c r="BJ180" i="154"/>
  <c r="BJ188" i="154" s="1"/>
  <c r="BM180" i="154"/>
  <c r="BM188" i="154" s="1"/>
  <c r="BM200" i="154" s="1"/>
  <c r="BG180" i="154"/>
  <c r="BG188" i="154" s="1"/>
  <c r="BH180" i="154"/>
  <c r="BH188" i="154" s="1"/>
  <c r="BI180" i="154"/>
  <c r="BI188" i="154" s="1"/>
  <c r="BK180" i="154"/>
  <c r="BK188" i="154" s="1"/>
  <c r="BD180" i="154"/>
  <c r="BD188" i="154" s="1"/>
  <c r="BL180" i="154"/>
  <c r="BL188" i="154" s="1"/>
  <c r="BE180" i="154"/>
  <c r="BE188" i="154" s="1"/>
  <c r="BN180" i="154"/>
  <c r="BN188" i="154" s="1"/>
  <c r="BN331" i="154" s="1"/>
  <c r="BN341" i="154" s="1"/>
  <c r="BH180" i="155"/>
  <c r="BH188" i="155" s="1"/>
  <c r="AU188" i="155"/>
  <c r="BI180" i="155"/>
  <c r="BI188" i="155" s="1"/>
  <c r="BE180" i="155"/>
  <c r="BE188" i="155" s="1"/>
  <c r="AY188" i="155"/>
  <c r="BD180" i="155"/>
  <c r="BD188" i="155" s="1"/>
  <c r="AV188" i="155"/>
  <c r="BF180" i="155"/>
  <c r="BF188" i="155" s="1"/>
  <c r="AZ188" i="155"/>
  <c r="AX188" i="155"/>
  <c r="AT200" i="153"/>
  <c r="AT331" i="153"/>
  <c r="AT341" i="153" s="1"/>
  <c r="AW188" i="155"/>
  <c r="AR331" i="153"/>
  <c r="AR341" i="153" s="1"/>
  <c r="AR200" i="153"/>
  <c r="AT188" i="155"/>
  <c r="AS331" i="153"/>
  <c r="AS341" i="153" s="1"/>
  <c r="AS200" i="153"/>
  <c r="AR188" i="155"/>
  <c r="AU180" i="153"/>
  <c r="AU188" i="153" s="1"/>
  <c r="BD180" i="153"/>
  <c r="BD188" i="153" s="1"/>
  <c r="BE180" i="153"/>
  <c r="BE188" i="153" s="1"/>
  <c r="BF180" i="153"/>
  <c r="BF188" i="153" s="1"/>
  <c r="AS188" i="155"/>
  <c r="AW188" i="154"/>
  <c r="AW183" i="154"/>
  <c r="AU188" i="154"/>
  <c r="AU183" i="154"/>
  <c r="AZ188" i="154"/>
  <c r="AV188" i="154"/>
  <c r="AV183" i="154"/>
  <c r="AY188" i="154"/>
  <c r="AX188" i="154"/>
  <c r="BN180" i="155"/>
  <c r="BN188" i="155" s="1"/>
  <c r="BN200" i="155" s="1"/>
  <c r="AS188" i="154"/>
  <c r="AS183" i="154"/>
  <c r="BM180" i="155"/>
  <c r="BM188" i="155" s="1"/>
  <c r="BM331" i="155" s="1"/>
  <c r="BM341" i="155" s="1"/>
  <c r="AR188" i="154"/>
  <c r="AR183" i="154"/>
  <c r="AT188" i="154"/>
  <c r="AT183" i="154"/>
  <c r="U173" i="153"/>
  <c r="BB188" i="155"/>
  <c r="BC188" i="155"/>
  <c r="BA188" i="155"/>
  <c r="BJ129" i="99"/>
  <c r="BA188" i="154"/>
  <c r="BC188" i="154"/>
  <c r="BB188" i="154"/>
  <c r="BJ129" i="104"/>
  <c r="BJ64" i="104" s="1"/>
  <c r="BO64" i="105" s="1"/>
  <c r="BJ30" i="151" s="1"/>
  <c r="BG188" i="155"/>
  <c r="BK188" i="155"/>
  <c r="BJ188" i="155"/>
  <c r="U173" i="154"/>
  <c r="BX180" i="154"/>
  <c r="BX188" i="154" s="1"/>
  <c r="BO331" i="154"/>
  <c r="BO341" i="154" s="1"/>
  <c r="BO200" i="154"/>
  <c r="BL188" i="155"/>
  <c r="BO331" i="155"/>
  <c r="BO341" i="155" s="1"/>
  <c r="BO200" i="155"/>
  <c r="U173" i="155"/>
  <c r="BT180" i="155" s="1"/>
  <c r="BT188" i="155" s="1"/>
  <c r="BT200" i="155" s="1"/>
  <c r="BX180" i="155"/>
  <c r="BX188" i="155" s="1"/>
  <c r="BY180" i="155"/>
  <c r="BY188" i="155" s="1"/>
  <c r="AW208" i="153"/>
  <c r="AW241" i="153" s="1"/>
  <c r="AW249" i="153" s="1"/>
  <c r="BU180" i="153"/>
  <c r="BU188" i="153" s="1"/>
  <c r="BU331" i="153" s="1"/>
  <c r="BU341" i="153" s="1"/>
  <c r="BK129" i="103"/>
  <c r="BK129" i="104"/>
  <c r="BK64" i="104" s="1"/>
  <c r="BP64" i="105" s="1"/>
  <c r="BK30" i="151" s="1"/>
  <c r="BS180" i="153"/>
  <c r="BS188" i="153" s="1"/>
  <c r="BS331" i="153" s="1"/>
  <c r="BS341" i="153" s="1"/>
  <c r="BG331" i="153"/>
  <c r="BG341" i="153" s="1"/>
  <c r="BK535" i="99"/>
  <c r="BK599" i="99" s="1"/>
  <c r="BH331" i="153"/>
  <c r="BH341" i="153" s="1"/>
  <c r="BK549" i="99"/>
  <c r="BK613" i="99" s="1"/>
  <c r="BC216" i="153"/>
  <c r="BC285" i="153" s="1"/>
  <c r="BC208" i="153"/>
  <c r="BC241" i="153" s="1"/>
  <c r="BM331" i="153"/>
  <c r="BM341" i="153" s="1"/>
  <c r="BM200" i="153"/>
  <c r="AW293" i="153"/>
  <c r="AW317" i="153" s="1"/>
  <c r="BJ200" i="153"/>
  <c r="BJ331" i="153"/>
  <c r="BJ341" i="153" s="1"/>
  <c r="AN293" i="153"/>
  <c r="AN317" i="153" s="1"/>
  <c r="BV180" i="153"/>
  <c r="BV188" i="153" s="1"/>
  <c r="BW180" i="153"/>
  <c r="BW188" i="153" s="1"/>
  <c r="BX180" i="153"/>
  <c r="BX188" i="153" s="1"/>
  <c r="BY180" i="153"/>
  <c r="BY188" i="153" s="1"/>
  <c r="AN249" i="153"/>
  <c r="AO249" i="153"/>
  <c r="AO293" i="153"/>
  <c r="AO317" i="153" s="1"/>
  <c r="AV249" i="153"/>
  <c r="AV293" i="153"/>
  <c r="AV317" i="153" s="1"/>
  <c r="AQ293" i="153"/>
  <c r="AQ301" i="153" s="1"/>
  <c r="AQ249" i="153"/>
  <c r="AM249" i="153"/>
  <c r="AM293" i="153"/>
  <c r="AM301" i="153" s="1"/>
  <c r="BL331" i="153"/>
  <c r="BL341" i="153" s="1"/>
  <c r="BL200" i="153"/>
  <c r="BK331" i="153"/>
  <c r="BK341" i="153" s="1"/>
  <c r="BK200" i="153"/>
  <c r="BG208" i="153"/>
  <c r="BG241" i="153" s="1"/>
  <c r="BG216" i="153"/>
  <c r="BG285" i="153" s="1"/>
  <c r="AP249" i="153"/>
  <c r="AL293" i="153"/>
  <c r="AL309" i="153" s="1"/>
  <c r="AP293" i="153"/>
  <c r="AP317" i="153" s="1"/>
  <c r="AL249" i="153"/>
  <c r="BH208" i="153"/>
  <c r="BH241" i="153" s="1"/>
  <c r="BH216" i="153"/>
  <c r="BH285" i="153" s="1"/>
  <c r="BA216" i="153"/>
  <c r="BA285" i="153" s="1"/>
  <c r="BA208" i="153"/>
  <c r="BA241" i="153" s="1"/>
  <c r="BO331" i="153"/>
  <c r="BO341" i="153" s="1"/>
  <c r="BO200" i="153"/>
  <c r="BN331" i="153"/>
  <c r="BN341" i="153" s="1"/>
  <c r="BN200" i="153"/>
  <c r="BB208" i="153"/>
  <c r="BB241" i="153" s="1"/>
  <c r="BB216" i="153"/>
  <c r="BB285" i="153" s="1"/>
  <c r="Y331" i="153"/>
  <c r="Y341" i="153" s="1"/>
  <c r="Y200" i="153"/>
  <c r="X188" i="153"/>
  <c r="W188" i="153"/>
  <c r="V188" i="153"/>
  <c r="S188" i="153"/>
  <c r="U188" i="153"/>
  <c r="T188" i="153"/>
  <c r="Z180" i="153"/>
  <c r="Z188" i="153" s="1"/>
  <c r="AA180" i="153"/>
  <c r="AA188" i="153" s="1"/>
  <c r="AB180" i="153"/>
  <c r="AB188" i="153" s="1"/>
  <c r="AC180" i="153"/>
  <c r="AC188" i="153" s="1"/>
  <c r="AD180" i="153"/>
  <c r="AD188" i="153" s="1"/>
  <c r="AE180" i="153"/>
  <c r="AE188" i="153" s="1"/>
  <c r="AF180" i="153"/>
  <c r="AF188" i="153" s="1"/>
  <c r="AG180" i="153"/>
  <c r="AG188" i="153" s="1"/>
  <c r="AH180" i="153"/>
  <c r="AH188" i="153" s="1"/>
  <c r="AI180" i="153"/>
  <c r="AI188" i="153" s="1"/>
  <c r="AJ180" i="153"/>
  <c r="AJ188" i="153" s="1"/>
  <c r="AK180" i="153"/>
  <c r="AK188" i="153" s="1"/>
  <c r="BK597" i="99"/>
  <c r="BI579" i="99"/>
  <c r="BK232" i="99"/>
  <c r="BK229" i="99"/>
  <c r="BN3" i="69"/>
  <c r="BN4" i="69" s="1"/>
  <c r="BM2" i="69" a="1"/>
  <c r="BM2" i="69" s="1"/>
  <c r="BM11" i="69"/>
  <c r="BM9" i="69"/>
  <c r="BM14" i="69"/>
  <c r="BM15" i="69"/>
  <c r="BM16" i="69"/>
  <c r="BM10" i="69"/>
  <c r="BM13" i="69"/>
  <c r="BM8" i="69"/>
  <c r="BM12" i="69"/>
  <c r="BM7" i="69"/>
  <c r="BJ588" i="99"/>
  <c r="BJ526" i="99"/>
  <c r="BJ576" i="99"/>
  <c r="BJ515" i="99"/>
  <c r="BK228" i="99"/>
  <c r="BE616" i="99"/>
  <c r="BK230" i="99"/>
  <c r="BH591" i="99"/>
  <c r="BH224" i="99"/>
  <c r="BK233" i="99"/>
  <c r="BE619" i="99"/>
  <c r="BE620" i="99" s="1"/>
  <c r="BE556" i="99"/>
  <c r="BK234" i="99"/>
  <c r="BI518" i="99"/>
  <c r="BI581" i="99"/>
  <c r="BL538" i="99"/>
  <c r="BL539" i="99"/>
  <c r="BL603" i="99" s="1"/>
  <c r="BL548" i="99"/>
  <c r="BL612" i="99" s="1"/>
  <c r="BL541" i="99"/>
  <c r="BL605" i="99" s="1"/>
  <c r="BL547" i="99"/>
  <c r="BL540" i="99"/>
  <c r="BL604" i="99" s="1"/>
  <c r="BL534" i="99"/>
  <c r="BL598" i="99" s="1"/>
  <c r="BL523" i="99"/>
  <c r="BL587" i="99" s="1"/>
  <c r="BL525" i="99"/>
  <c r="BL589" i="99" s="1"/>
  <c r="BL522" i="99"/>
  <c r="BL586" i="99" s="1"/>
  <c r="BL509" i="99"/>
  <c r="BL573" i="99" s="1"/>
  <c r="BL507" i="99"/>
  <c r="BL521" i="99"/>
  <c r="BL513" i="99"/>
  <c r="BL577" i="99" s="1"/>
  <c r="BL514" i="99"/>
  <c r="BL578" i="99" s="1"/>
  <c r="BL516" i="99"/>
  <c r="BL580" i="99" s="1"/>
  <c r="BL533" i="99"/>
  <c r="BL558" i="99"/>
  <c r="BL622" i="99" s="1"/>
  <c r="BH529" i="99"/>
  <c r="BH581" i="99"/>
  <c r="BH518" i="99"/>
  <c r="BN3" i="99"/>
  <c r="BN4" i="99" s="1"/>
  <c r="BM2" i="99" a="1"/>
  <c r="BM2" i="99" s="1"/>
  <c r="BM554" i="99" s="1"/>
  <c r="BM474" i="99"/>
  <c r="BM475" i="99"/>
  <c r="BM476" i="99"/>
  <c r="BM499" i="99"/>
  <c r="BM483" i="99" s="1"/>
  <c r="BM491" i="99" s="1"/>
  <c r="BM498" i="99"/>
  <c r="BM482" i="99" s="1"/>
  <c r="BM490" i="99" s="1"/>
  <c r="BM477" i="99"/>
  <c r="BM500" i="99"/>
  <c r="BM484" i="99" s="1"/>
  <c r="BM492" i="99" s="1"/>
  <c r="BM501" i="99"/>
  <c r="BM485" i="99" s="1"/>
  <c r="BM493" i="99" s="1"/>
  <c r="BM478" i="99"/>
  <c r="BM479" i="99"/>
  <c r="BM502" i="99"/>
  <c r="BM486" i="99" s="1"/>
  <c r="BM494" i="99" s="1"/>
  <c r="BM503" i="99"/>
  <c r="BM487" i="99" s="1"/>
  <c r="BM495" i="99" s="1"/>
  <c r="BK512" i="99"/>
  <c r="BK524" i="99"/>
  <c r="BK585" i="99"/>
  <c r="BG582" i="99"/>
  <c r="BG223" i="99"/>
  <c r="BG530" i="99"/>
  <c r="BG593" i="99"/>
  <c r="BG594" i="99" s="1"/>
  <c r="BG544" i="99"/>
  <c r="BK542" i="99"/>
  <c r="BK606" i="99" s="1"/>
  <c r="BK602" i="99"/>
  <c r="BF608" i="99"/>
  <c r="BF551" i="99"/>
  <c r="BF555" i="99" s="1"/>
  <c r="BD631" i="99"/>
  <c r="BD625" i="99"/>
  <c r="BD626" i="99" s="1"/>
  <c r="BD562" i="99"/>
  <c r="BQ527" i="99"/>
  <c r="BI590" i="99"/>
  <c r="BI529" i="99"/>
  <c r="BN37" i="72"/>
  <c r="BO5" i="72"/>
  <c r="BO6" i="72" s="1"/>
  <c r="BN36" i="72"/>
  <c r="BN38" i="72" s="1"/>
  <c r="BN39" i="72" s="1"/>
  <c r="BN48" i="72"/>
  <c r="BN47" i="72"/>
  <c r="BK129" i="99"/>
  <c r="BK618" i="99"/>
  <c r="BN6" i="98"/>
  <c r="BM70" i="103"/>
  <c r="BR70" i="105" s="1"/>
  <c r="BM35" i="151" s="1"/>
  <c r="BO4" i="72" l="1" a="1"/>
  <c r="BO4" i="72" s="1"/>
  <c r="AM72" i="154"/>
  <c r="AM136" i="154"/>
  <c r="AM137" i="154" s="1"/>
  <c r="AO72" i="154"/>
  <c r="AO136" i="154"/>
  <c r="AO137" i="154" s="1"/>
  <c r="AQ72" i="154"/>
  <c r="AQ136" i="154"/>
  <c r="AQ137" i="154" s="1"/>
  <c r="AP136" i="154"/>
  <c r="AP137" i="154" s="1"/>
  <c r="AP72" i="154"/>
  <c r="AN72" i="154"/>
  <c r="AN136" i="154"/>
  <c r="AN137" i="154" s="1"/>
  <c r="AL136" i="154"/>
  <c r="AL137" i="154" s="1"/>
  <c r="AL72" i="154"/>
  <c r="K66" i="154"/>
  <c r="K71" i="154"/>
  <c r="K130" i="154"/>
  <c r="K131" i="154" s="1"/>
  <c r="BO122" i="105"/>
  <c r="BP122" i="105"/>
  <c r="AO265" i="153"/>
  <c r="AW265" i="153"/>
  <c r="AN273" i="153"/>
  <c r="AL257" i="153"/>
  <c r="AV273" i="153"/>
  <c r="AP265" i="153"/>
  <c r="AM273" i="153"/>
  <c r="AQ265" i="153"/>
  <c r="AY216" i="153"/>
  <c r="AY285" i="153" s="1"/>
  <c r="AY293" i="153" s="1"/>
  <c r="AY301" i="153" s="1"/>
  <c r="BR127" i="105"/>
  <c r="AX208" i="153"/>
  <c r="AX241" i="153" s="1"/>
  <c r="AX249" i="153" s="1"/>
  <c r="AZ208" i="153"/>
  <c r="AZ241" i="153" s="1"/>
  <c r="AZ249" i="153" s="1"/>
  <c r="BM331" i="154"/>
  <c r="BM341" i="154" s="1"/>
  <c r="BN331" i="155"/>
  <c r="BN341" i="155" s="1"/>
  <c r="BN200" i="154"/>
  <c r="BN216" i="154" s="1"/>
  <c r="BN285" i="154" s="1"/>
  <c r="BM200" i="155"/>
  <c r="BM216" i="155" s="1"/>
  <c r="BM285" i="155" s="1"/>
  <c r="V173" i="154"/>
  <c r="W173" i="154" s="1"/>
  <c r="BQ180" i="154"/>
  <c r="BQ188" i="154" s="1"/>
  <c r="BP180" i="154"/>
  <c r="BP188" i="154" s="1"/>
  <c r="BU180" i="154"/>
  <c r="BU188" i="154" s="1"/>
  <c r="BT180" i="154"/>
  <c r="BT188" i="154" s="1"/>
  <c r="BT200" i="154" s="1"/>
  <c r="BT208" i="154" s="1"/>
  <c r="BT241" i="154" s="1"/>
  <c r="BV180" i="154"/>
  <c r="BV188" i="154" s="1"/>
  <c r="BV331" i="154" s="1"/>
  <c r="BV341" i="154" s="1"/>
  <c r="BS180" i="154"/>
  <c r="BS188" i="154" s="1"/>
  <c r="BS200" i="154" s="1"/>
  <c r="BS208" i="154" s="1"/>
  <c r="BS241" i="154" s="1"/>
  <c r="BW180" i="154"/>
  <c r="BW188" i="154" s="1"/>
  <c r="BW200" i="154" s="1"/>
  <c r="BW208" i="154" s="1"/>
  <c r="BW241" i="154" s="1"/>
  <c r="BR180" i="154"/>
  <c r="BR188" i="154" s="1"/>
  <c r="BR331" i="154" s="1"/>
  <c r="BR341" i="154" s="1"/>
  <c r="AU331" i="153"/>
  <c r="AU341" i="153" s="1"/>
  <c r="AU200" i="153"/>
  <c r="AT331" i="155"/>
  <c r="AT200" i="155"/>
  <c r="AU200" i="155"/>
  <c r="AU331" i="155"/>
  <c r="AX200" i="154"/>
  <c r="AX331" i="154"/>
  <c r="AS200" i="155"/>
  <c r="AS331" i="155"/>
  <c r="AT216" i="153"/>
  <c r="AT285" i="153" s="1"/>
  <c r="AT293" i="153" s="1"/>
  <c r="AT317" i="153" s="1"/>
  <c r="AT208" i="153"/>
  <c r="AT241" i="153" s="1"/>
  <c r="AT249" i="153" s="1"/>
  <c r="AZ331" i="154"/>
  <c r="AZ200" i="154"/>
  <c r="AT200" i="154"/>
  <c r="AT331" i="154"/>
  <c r="AT191" i="154"/>
  <c r="AS208" i="153"/>
  <c r="AS241" i="153" s="1"/>
  <c r="AS249" i="153" s="1"/>
  <c r="AS216" i="153"/>
  <c r="AS285" i="153" s="1"/>
  <c r="AS293" i="153" s="1"/>
  <c r="AS301" i="153" s="1"/>
  <c r="V173" i="155"/>
  <c r="W173" i="155" s="1"/>
  <c r="BP180" i="155"/>
  <c r="BP188" i="155" s="1"/>
  <c r="BQ180" i="155"/>
  <c r="BQ188" i="155" s="1"/>
  <c r="BR180" i="155"/>
  <c r="BR188" i="155" s="1"/>
  <c r="BR200" i="155" s="1"/>
  <c r="AW331" i="155"/>
  <c r="AW200" i="155"/>
  <c r="AS331" i="154"/>
  <c r="AS200" i="154"/>
  <c r="AS191" i="154"/>
  <c r="AV331" i="155"/>
  <c r="AV200" i="155"/>
  <c r="BV180" i="155"/>
  <c r="BV188" i="155" s="1"/>
  <c r="BV200" i="155" s="1"/>
  <c r="BV208" i="155" s="1"/>
  <c r="BV241" i="155" s="1"/>
  <c r="BI180" i="153"/>
  <c r="BI188" i="153" s="1"/>
  <c r="BP180" i="153"/>
  <c r="BP188" i="153" s="1"/>
  <c r="BQ180" i="153"/>
  <c r="BQ188" i="153" s="1"/>
  <c r="BR180" i="153"/>
  <c r="BR188" i="153" s="1"/>
  <c r="BW180" i="155"/>
  <c r="BW188" i="155" s="1"/>
  <c r="BW331" i="155" s="1"/>
  <c r="BW341" i="155" s="1"/>
  <c r="AR200" i="155"/>
  <c r="AR331" i="155"/>
  <c r="AR216" i="153"/>
  <c r="AR285" i="153" s="1"/>
  <c r="AR293" i="153" s="1"/>
  <c r="AR317" i="153" s="1"/>
  <c r="AR208" i="153"/>
  <c r="AR241" i="153" s="1"/>
  <c r="AR249" i="153" s="1"/>
  <c r="AV331" i="154"/>
  <c r="AV200" i="154"/>
  <c r="AV191" i="154"/>
  <c r="AX331" i="155"/>
  <c r="AX200" i="155"/>
  <c r="AY200" i="155"/>
  <c r="AY331" i="155"/>
  <c r="AU200" i="154"/>
  <c r="AU331" i="154"/>
  <c r="AU191" i="154"/>
  <c r="BU180" i="155"/>
  <c r="BU188" i="155" s="1"/>
  <c r="BU200" i="155" s="1"/>
  <c r="BU208" i="155" s="1"/>
  <c r="BU241" i="155" s="1"/>
  <c r="BS180" i="155"/>
  <c r="BS188" i="155" s="1"/>
  <c r="AR200" i="154"/>
  <c r="AR331" i="154"/>
  <c r="AR191" i="154"/>
  <c r="V173" i="153"/>
  <c r="AW200" i="154"/>
  <c r="AW331" i="154"/>
  <c r="AW191" i="154"/>
  <c r="BF331" i="153"/>
  <c r="BF341" i="153" s="1"/>
  <c r="BF200" i="153"/>
  <c r="AY200" i="154"/>
  <c r="AY331" i="154"/>
  <c r="BE200" i="153"/>
  <c r="BE331" i="153"/>
  <c r="BE341" i="153" s="1"/>
  <c r="BD200" i="153"/>
  <c r="BD331" i="153"/>
  <c r="BD341" i="153" s="1"/>
  <c r="AZ331" i="155"/>
  <c r="AZ200" i="155"/>
  <c r="BT331" i="155"/>
  <c r="BT341" i="155" s="1"/>
  <c r="BY180" i="154"/>
  <c r="BY188" i="154" s="1"/>
  <c r="BY200" i="154" s="1"/>
  <c r="BD200" i="154"/>
  <c r="BD331" i="154"/>
  <c r="BA200" i="154"/>
  <c r="BA331" i="154"/>
  <c r="BB200" i="155"/>
  <c r="BB331" i="155"/>
  <c r="BE331" i="154"/>
  <c r="BE200" i="154"/>
  <c r="BE200" i="155"/>
  <c r="BE331" i="155"/>
  <c r="BC200" i="155"/>
  <c r="BC331" i="155"/>
  <c r="BB331" i="154"/>
  <c r="BB200" i="154"/>
  <c r="BA331" i="155"/>
  <c r="BA200" i="155"/>
  <c r="BC331" i="154"/>
  <c r="BC200" i="154"/>
  <c r="BD331" i="155"/>
  <c r="BD200" i="155"/>
  <c r="BG331" i="155"/>
  <c r="BG200" i="155"/>
  <c r="BI200" i="155"/>
  <c r="BI331" i="155"/>
  <c r="BF200" i="155"/>
  <c r="BF331" i="155"/>
  <c r="BK200" i="155"/>
  <c r="BK331" i="155"/>
  <c r="BJ331" i="154"/>
  <c r="BJ200" i="154"/>
  <c r="BF200" i="154"/>
  <c r="BF331" i="154"/>
  <c r="BI200" i="154"/>
  <c r="BI331" i="154"/>
  <c r="BK331" i="154"/>
  <c r="BK200" i="154"/>
  <c r="BJ200" i="155"/>
  <c r="BJ331" i="155"/>
  <c r="BG200" i="154"/>
  <c r="BG331" i="154"/>
  <c r="BH200" i="155"/>
  <c r="BH331" i="155"/>
  <c r="BH200" i="154"/>
  <c r="BH331" i="154"/>
  <c r="BO208" i="155"/>
  <c r="BO241" i="155" s="1"/>
  <c r="BO216" i="155"/>
  <c r="BO285" i="155" s="1"/>
  <c r="BN208" i="155"/>
  <c r="BN241" i="155" s="1"/>
  <c r="BN216" i="155"/>
  <c r="BN285" i="155" s="1"/>
  <c r="BY200" i="155"/>
  <c r="BY331" i="155"/>
  <c r="BY341" i="155" s="1"/>
  <c r="BM208" i="154"/>
  <c r="BM241" i="154" s="1"/>
  <c r="BM216" i="154"/>
  <c r="BM285" i="154" s="1"/>
  <c r="BX331" i="155"/>
  <c r="BX341" i="155" s="1"/>
  <c r="BX200" i="155"/>
  <c r="BL331" i="154"/>
  <c r="BL200" i="154"/>
  <c r="BX331" i="154"/>
  <c r="BX341" i="154" s="1"/>
  <c r="BX200" i="154"/>
  <c r="BL331" i="155"/>
  <c r="BL200" i="155"/>
  <c r="BO216" i="154"/>
  <c r="BO285" i="154" s="1"/>
  <c r="BO208" i="154"/>
  <c r="BO241" i="154" s="1"/>
  <c r="BT216" i="155"/>
  <c r="BT285" i="155" s="1"/>
  <c r="BT208" i="155"/>
  <c r="BT241" i="155" s="1"/>
  <c r="BL618" i="99"/>
  <c r="BL64" i="99"/>
  <c r="BU200" i="153"/>
  <c r="BU216" i="153" s="1"/>
  <c r="BU285" i="153" s="1"/>
  <c r="BU293" i="153" s="1"/>
  <c r="BU301" i="153" s="1"/>
  <c r="BS200" i="153"/>
  <c r="BS216" i="153" s="1"/>
  <c r="BS285" i="153" s="1"/>
  <c r="BS293" i="153" s="1"/>
  <c r="BS309" i="153" s="1"/>
  <c r="AP273" i="153"/>
  <c r="AM317" i="153"/>
  <c r="AM309" i="153"/>
  <c r="AL265" i="153"/>
  <c r="AW257" i="153"/>
  <c r="AV265" i="153"/>
  <c r="AP301" i="153"/>
  <c r="AN265" i="153"/>
  <c r="AO309" i="153"/>
  <c r="AO301" i="153"/>
  <c r="AQ317" i="153"/>
  <c r="AN309" i="153"/>
  <c r="AP309" i="153"/>
  <c r="AN301" i="153"/>
  <c r="AM257" i="153"/>
  <c r="AO257" i="153"/>
  <c r="BL208" i="153"/>
  <c r="BL241" i="153" s="1"/>
  <c r="BL249" i="153" s="1"/>
  <c r="BL216" i="153"/>
  <c r="BL285" i="153" s="1"/>
  <c r="BL293" i="153" s="1"/>
  <c r="BL301" i="153" s="1"/>
  <c r="BV200" i="153"/>
  <c r="BV331" i="153"/>
  <c r="BV341" i="153" s="1"/>
  <c r="BO208" i="153"/>
  <c r="BO241" i="153" s="1"/>
  <c r="BO249" i="153" s="1"/>
  <c r="BO216" i="153"/>
  <c r="BO285" i="153" s="1"/>
  <c r="BO293" i="153" s="1"/>
  <c r="BO301" i="153" s="1"/>
  <c r="BG293" i="153"/>
  <c r="BG301" i="153" s="1"/>
  <c r="BG249" i="153"/>
  <c r="AV257" i="153"/>
  <c r="AV466" i="153"/>
  <c r="AM265" i="153"/>
  <c r="AM466" i="153"/>
  <c r="AZ293" i="153"/>
  <c r="AZ317" i="153" s="1"/>
  <c r="AQ273" i="153"/>
  <c r="AY249" i="153"/>
  <c r="AL301" i="153"/>
  <c r="AQ257" i="153"/>
  <c r="AQ466" i="153"/>
  <c r="AL317" i="153"/>
  <c r="AQ309" i="153"/>
  <c r="AX293" i="153"/>
  <c r="AX309" i="153" s="1"/>
  <c r="BA249" i="153"/>
  <c r="BA293" i="153"/>
  <c r="BA317" i="153" s="1"/>
  <c r="BJ216" i="153"/>
  <c r="BJ285" i="153" s="1"/>
  <c r="BJ293" i="153" s="1"/>
  <c r="BJ301" i="153" s="1"/>
  <c r="BJ208" i="153"/>
  <c r="BJ241" i="153" s="1"/>
  <c r="BJ249" i="153" s="1"/>
  <c r="AV309" i="153"/>
  <c r="AW301" i="153"/>
  <c r="BB293" i="153"/>
  <c r="BB317" i="153" s="1"/>
  <c r="AV301" i="153"/>
  <c r="AW309" i="153"/>
  <c r="BB249" i="153"/>
  <c r="BH293" i="153"/>
  <c r="BH309" i="153" s="1"/>
  <c r="BK208" i="153"/>
  <c r="BK241" i="153" s="1"/>
  <c r="BK249" i="153" s="1"/>
  <c r="BK216" i="153"/>
  <c r="BK285" i="153" s="1"/>
  <c r="BK293" i="153" s="1"/>
  <c r="BK317" i="153" s="1"/>
  <c r="BH249" i="153"/>
  <c r="AP257" i="153"/>
  <c r="AP466" i="153"/>
  <c r="AN257" i="153"/>
  <c r="AN466" i="153"/>
  <c r="BM208" i="153"/>
  <c r="BM241" i="153" s="1"/>
  <c r="BM249" i="153" s="1"/>
  <c r="BM216" i="153"/>
  <c r="BM285" i="153" s="1"/>
  <c r="BM293" i="153" s="1"/>
  <c r="BM317" i="153" s="1"/>
  <c r="BN216" i="153"/>
  <c r="BN285" i="153" s="1"/>
  <c r="BN293" i="153" s="1"/>
  <c r="BN309" i="153" s="1"/>
  <c r="BN208" i="153"/>
  <c r="BN241" i="153" s="1"/>
  <c r="BN249" i="153" s="1"/>
  <c r="BY331" i="153"/>
  <c r="BY341" i="153" s="1"/>
  <c r="BY200" i="153"/>
  <c r="AW273" i="153"/>
  <c r="AW466" i="153"/>
  <c r="AO273" i="153"/>
  <c r="AO466" i="153"/>
  <c r="BX200" i="153"/>
  <c r="BX331" i="153"/>
  <c r="BX341" i="153" s="1"/>
  <c r="BC249" i="153"/>
  <c r="AL273" i="153"/>
  <c r="AL466" i="153"/>
  <c r="BW331" i="153"/>
  <c r="BW341" i="153" s="1"/>
  <c r="BW200" i="153"/>
  <c r="BC293" i="153"/>
  <c r="BC301" i="153" s="1"/>
  <c r="AD331" i="153"/>
  <c r="AD341" i="153" s="1"/>
  <c r="AD200" i="153"/>
  <c r="AC331" i="153"/>
  <c r="AC341" i="153" s="1"/>
  <c r="AC200" i="153"/>
  <c r="AB200" i="153"/>
  <c r="AB331" i="153"/>
  <c r="AB341" i="153" s="1"/>
  <c r="AA331" i="153"/>
  <c r="AA341" i="153" s="1"/>
  <c r="AA200" i="153"/>
  <c r="Z200" i="153"/>
  <c r="Z331" i="153"/>
  <c r="Z341" i="153" s="1"/>
  <c r="T200" i="153"/>
  <c r="T331" i="153"/>
  <c r="U200" i="153"/>
  <c r="U331" i="153"/>
  <c r="S200" i="153"/>
  <c r="S331" i="153"/>
  <c r="V200" i="153"/>
  <c r="V331" i="153"/>
  <c r="AK200" i="153"/>
  <c r="AK331" i="153"/>
  <c r="AK341" i="153" s="1"/>
  <c r="AJ331" i="153"/>
  <c r="AJ341" i="153" s="1"/>
  <c r="AJ200" i="153"/>
  <c r="AI331" i="153"/>
  <c r="AI341" i="153" s="1"/>
  <c r="AI200" i="153"/>
  <c r="W200" i="153"/>
  <c r="W331" i="153"/>
  <c r="AH331" i="153"/>
  <c r="AH341" i="153" s="1"/>
  <c r="AH200" i="153"/>
  <c r="AG331" i="153"/>
  <c r="AG341" i="153" s="1"/>
  <c r="AG200" i="153"/>
  <c r="X331" i="153"/>
  <c r="X200" i="153"/>
  <c r="AF331" i="153"/>
  <c r="AF341" i="153" s="1"/>
  <c r="AF200" i="153"/>
  <c r="Y208" i="153"/>
  <c r="Y241" i="153" s="1"/>
  <c r="Y216" i="153"/>
  <c r="Y285" i="153" s="1"/>
  <c r="AE331" i="153"/>
  <c r="AE341" i="153" s="1"/>
  <c r="AE200" i="153"/>
  <c r="BL535" i="99"/>
  <c r="BL599" i="99" s="1"/>
  <c r="BL512" i="99"/>
  <c r="BL576" i="99" s="1"/>
  <c r="BL597" i="99"/>
  <c r="BL230" i="99"/>
  <c r="BM17" i="69"/>
  <c r="BR76" i="105" s="1"/>
  <c r="BL234" i="99"/>
  <c r="BL549" i="99"/>
  <c r="BL613" i="99" s="1"/>
  <c r="BO3" i="69"/>
  <c r="BO4" i="69" s="1"/>
  <c r="BN2" i="69" a="1"/>
  <c r="BN2" i="69" s="1"/>
  <c r="BN11" i="69"/>
  <c r="BN13" i="69"/>
  <c r="BN8" i="69"/>
  <c r="BN15" i="69"/>
  <c r="BN16" i="69"/>
  <c r="BN9" i="69"/>
  <c r="BN7" i="69"/>
  <c r="BN12" i="69"/>
  <c r="BN10" i="69"/>
  <c r="BM538" i="99"/>
  <c r="BM539" i="99"/>
  <c r="BM603" i="99" s="1"/>
  <c r="BM548" i="99"/>
  <c r="BM612" i="99" s="1"/>
  <c r="BM547" i="99"/>
  <c r="BM611" i="99" s="1"/>
  <c r="BM534" i="99"/>
  <c r="BM598" i="99" s="1"/>
  <c r="BM541" i="99"/>
  <c r="BM605" i="99" s="1"/>
  <c r="BM540" i="99"/>
  <c r="BM604" i="99" s="1"/>
  <c r="BM509" i="99"/>
  <c r="BM573" i="99" s="1"/>
  <c r="BM522" i="99"/>
  <c r="BM586" i="99" s="1"/>
  <c r="BM525" i="99"/>
  <c r="BM589" i="99" s="1"/>
  <c r="BM507" i="99"/>
  <c r="BM523" i="99"/>
  <c r="BM587" i="99" s="1"/>
  <c r="BM521" i="99"/>
  <c r="BM533" i="99"/>
  <c r="BM597" i="99" s="1"/>
  <c r="BM513" i="99"/>
  <c r="BM577" i="99" s="1"/>
  <c r="BM514" i="99"/>
  <c r="BM578" i="99" s="1"/>
  <c r="BM558" i="99"/>
  <c r="BM622" i="99" s="1"/>
  <c r="BM516" i="99"/>
  <c r="BM580" i="99" s="1"/>
  <c r="BK588" i="99"/>
  <c r="BK526" i="99"/>
  <c r="BO3" i="99"/>
  <c r="BO4" i="99" s="1"/>
  <c r="BN2" i="99" a="1"/>
  <c r="BN2" i="99" s="1"/>
  <c r="BN554" i="99" s="1"/>
  <c r="BN474" i="99"/>
  <c r="BN475" i="99"/>
  <c r="BN498" i="99"/>
  <c r="BN482" i="99" s="1"/>
  <c r="BN490" i="99" s="1"/>
  <c r="BN476" i="99"/>
  <c r="BN499" i="99"/>
  <c r="BN483" i="99" s="1"/>
  <c r="BN491" i="99" s="1"/>
  <c r="BN500" i="99"/>
  <c r="BN484" i="99" s="1"/>
  <c r="BN492" i="99" s="1"/>
  <c r="BN477" i="99"/>
  <c r="BN501" i="99"/>
  <c r="BN485" i="99" s="1"/>
  <c r="BN493" i="99" s="1"/>
  <c r="BN478" i="99"/>
  <c r="BN479" i="99"/>
  <c r="BN502" i="99"/>
  <c r="BN486" i="99" s="1"/>
  <c r="BN494" i="99" s="1"/>
  <c r="BN503" i="99"/>
  <c r="BN487" i="99" s="1"/>
  <c r="BN495" i="99" s="1"/>
  <c r="BI593" i="99"/>
  <c r="BI594" i="99" s="1"/>
  <c r="BI530" i="99"/>
  <c r="BI544" i="99"/>
  <c r="BH582" i="99"/>
  <c r="BH223" i="99"/>
  <c r="BK576" i="99"/>
  <c r="BK515" i="99"/>
  <c r="BJ517" i="99"/>
  <c r="BJ579" i="99"/>
  <c r="BE625" i="99"/>
  <c r="BE626" i="99" s="1"/>
  <c r="BE631" i="99"/>
  <c r="BE562" i="99"/>
  <c r="BI591" i="99"/>
  <c r="BI224" i="99"/>
  <c r="BH593" i="99"/>
  <c r="BH594" i="99" s="1"/>
  <c r="BH530" i="99"/>
  <c r="BH544" i="99"/>
  <c r="BL229" i="99"/>
  <c r="BL228" i="99"/>
  <c r="BI223" i="99"/>
  <c r="BI582" i="99"/>
  <c r="BL585" i="99"/>
  <c r="BL524" i="99"/>
  <c r="BF559" i="99" a="1"/>
  <c r="BF559" i="99" s="1"/>
  <c r="BF623" i="99" s="1"/>
  <c r="BF552" i="99"/>
  <c r="BF615" i="99"/>
  <c r="BL611" i="99"/>
  <c r="BL232" i="99"/>
  <c r="BR527" i="99"/>
  <c r="BJ590" i="99"/>
  <c r="BL233" i="99"/>
  <c r="BL602" i="99"/>
  <c r="BL542" i="99"/>
  <c r="BL606" i="99" s="1"/>
  <c r="BG608" i="99"/>
  <c r="BG551" i="99"/>
  <c r="BG555" i="99" s="1"/>
  <c r="BO37" i="72"/>
  <c r="BP5" i="72"/>
  <c r="BP6" i="72" s="1"/>
  <c r="BO36" i="72"/>
  <c r="BO38" i="72" s="1"/>
  <c r="BO48" i="72"/>
  <c r="BO47" i="72"/>
  <c r="BO6" i="98"/>
  <c r="BN70" i="103"/>
  <c r="BS70" i="105" s="1"/>
  <c r="BN35" i="151" s="1"/>
  <c r="BP4" i="72" l="1" a="1"/>
  <c r="BP4" i="72" s="1"/>
  <c r="BM40" i="151"/>
  <c r="BR132" i="105"/>
  <c r="K72" i="154"/>
  <c r="K136" i="154"/>
  <c r="K137" i="154" s="1"/>
  <c r="BL129" i="104"/>
  <c r="BL64" i="104" s="1"/>
  <c r="BQ64" i="105" s="1"/>
  <c r="BL30" i="151" s="1"/>
  <c r="AM415" i="153"/>
  <c r="AM454" i="153" s="1" a="1"/>
  <c r="AM454" i="153" s="1"/>
  <c r="AO415" i="153"/>
  <c r="AO454" i="153" s="1" a="1"/>
  <c r="AO454" i="153" s="1"/>
  <c r="AN415" i="153"/>
  <c r="AN454" i="153" s="1" a="1"/>
  <c r="AN454" i="153" s="1"/>
  <c r="AQ415" i="153"/>
  <c r="AQ454" i="153" s="1" a="1"/>
  <c r="AQ454" i="153" s="1"/>
  <c r="AP415" i="153"/>
  <c r="AP454" i="153" s="1" a="1"/>
  <c r="AP454" i="153" s="1"/>
  <c r="AW415" i="153"/>
  <c r="AW454" i="153" s="1" a="1"/>
  <c r="AW454" i="153" s="1"/>
  <c r="AV415" i="153"/>
  <c r="AV454" i="153" s="1" a="1"/>
  <c r="AV454" i="153" s="1"/>
  <c r="AL415" i="153"/>
  <c r="AL454" i="153" s="1" a="1"/>
  <c r="AL454" i="153" s="1"/>
  <c r="BM257" i="153"/>
  <c r="AY273" i="153"/>
  <c r="BH257" i="153"/>
  <c r="BK257" i="153"/>
  <c r="BB265" i="153"/>
  <c r="AZ265" i="153"/>
  <c r="AX265" i="153"/>
  <c r="BC273" i="153"/>
  <c r="AS273" i="153"/>
  <c r="BO257" i="153"/>
  <c r="BA273" i="153"/>
  <c r="BJ265" i="153"/>
  <c r="BN265" i="153"/>
  <c r="BL257" i="153"/>
  <c r="AR257" i="153"/>
  <c r="AT273" i="153"/>
  <c r="BF561" i="99"/>
  <c r="BF567" i="99" s="1"/>
  <c r="BS127" i="105"/>
  <c r="AS317" i="153"/>
  <c r="BT216" i="154"/>
  <c r="BT285" i="154" s="1"/>
  <c r="BT293" i="154" s="1"/>
  <c r="BT301" i="154" s="1"/>
  <c r="AS309" i="153"/>
  <c r="AT257" i="153"/>
  <c r="BM208" i="155"/>
  <c r="BM241" i="155" s="1"/>
  <c r="BM249" i="155" s="1"/>
  <c r="AR309" i="153"/>
  <c r="BN208" i="154"/>
  <c r="BN241" i="154" s="1"/>
  <c r="BN249" i="154" s="1"/>
  <c r="AR466" i="153"/>
  <c r="AR301" i="153"/>
  <c r="AR265" i="153"/>
  <c r="AR273" i="153"/>
  <c r="AS265" i="153"/>
  <c r="BV216" i="155"/>
  <c r="BV285" i="155" s="1"/>
  <c r="BV293" i="155" s="1"/>
  <c r="BV317" i="155" s="1"/>
  <c r="BU216" i="155"/>
  <c r="BU285" i="155" s="1"/>
  <c r="BU293" i="155" s="1"/>
  <c r="BU309" i="155" s="1"/>
  <c r="AS466" i="153"/>
  <c r="AS257" i="153"/>
  <c r="BR331" i="155"/>
  <c r="BR341" i="155" s="1"/>
  <c r="BU331" i="155"/>
  <c r="BU341" i="155" s="1"/>
  <c r="BV200" i="154"/>
  <c r="BV216" i="154" s="1"/>
  <c r="BV285" i="154" s="1"/>
  <c r="BV293" i="154" s="1"/>
  <c r="BV309" i="154" s="1"/>
  <c r="BW331" i="154"/>
  <c r="BW341" i="154" s="1"/>
  <c r="BS331" i="154"/>
  <c r="BS341" i="154" s="1"/>
  <c r="BS216" i="154"/>
  <c r="BS285" i="154" s="1"/>
  <c r="BS293" i="154" s="1"/>
  <c r="BS301" i="154" s="1"/>
  <c r="BW216" i="154"/>
  <c r="BW285" i="154" s="1"/>
  <c r="BW293" i="154" s="1"/>
  <c r="BW317" i="154" s="1"/>
  <c r="BR200" i="154"/>
  <c r="BR208" i="154" s="1"/>
  <c r="BR241" i="154" s="1"/>
  <c r="AT301" i="153"/>
  <c r="AT309" i="153"/>
  <c r="AT466" i="153"/>
  <c r="AT265" i="153"/>
  <c r="BV331" i="155"/>
  <c r="BV341" i="155" s="1"/>
  <c r="BT331" i="154"/>
  <c r="BT341" i="154" s="1"/>
  <c r="AU341" i="155"/>
  <c r="BE216" i="153"/>
  <c r="BE285" i="153" s="1"/>
  <c r="BE293" i="153" s="1"/>
  <c r="BE309" i="153" s="1"/>
  <c r="BE208" i="153"/>
  <c r="BE241" i="153" s="1"/>
  <c r="BE249" i="153" s="1"/>
  <c r="AU341" i="154"/>
  <c r="AU344" i="154" s="1"/>
  <c r="AU43" i="154" s="1"/>
  <c r="AU334" i="154"/>
  <c r="AU216" i="155"/>
  <c r="AU208" i="155"/>
  <c r="AW341" i="154"/>
  <c r="AW344" i="154" s="1"/>
  <c r="AW43" i="154" s="1"/>
  <c r="AW334" i="154"/>
  <c r="AU208" i="154"/>
  <c r="AU216" i="154"/>
  <c r="AU203" i="154"/>
  <c r="AY341" i="154"/>
  <c r="AW216" i="154"/>
  <c r="AW208" i="154"/>
  <c r="AW203" i="154"/>
  <c r="AZ208" i="155"/>
  <c r="AZ216" i="155"/>
  <c r="AY208" i="154"/>
  <c r="AY216" i="154"/>
  <c r="AZ341" i="155"/>
  <c r="AS216" i="154"/>
  <c r="AS208" i="154"/>
  <c r="AS203" i="154"/>
  <c r="AW216" i="155"/>
  <c r="AW208" i="155"/>
  <c r="AS341" i="155"/>
  <c r="AS341" i="154"/>
  <c r="AS344" i="154" s="1"/>
  <c r="AS43" i="154" s="1"/>
  <c r="AS334" i="154"/>
  <c r="AW341" i="155"/>
  <c r="AS208" i="155"/>
  <c r="AS216" i="155"/>
  <c r="BU200" i="154"/>
  <c r="BU331" i="154"/>
  <c r="BU341" i="154" s="1"/>
  <c r="AR341" i="154"/>
  <c r="AR344" i="154" s="1"/>
  <c r="AR43" i="154" s="1"/>
  <c r="AR334" i="154"/>
  <c r="BP331" i="154"/>
  <c r="BP341" i="154" s="1"/>
  <c r="BP200" i="154"/>
  <c r="AR208" i="154"/>
  <c r="AR216" i="154"/>
  <c r="AR203" i="154"/>
  <c r="AV216" i="154"/>
  <c r="AV208" i="154"/>
  <c r="AV203" i="154"/>
  <c r="AT216" i="155"/>
  <c r="AT208" i="155"/>
  <c r="BQ200" i="154"/>
  <c r="BQ331" i="154"/>
  <c r="BQ341" i="154" s="1"/>
  <c r="AV341" i="154"/>
  <c r="AV344" i="154" s="1"/>
  <c r="AV43" i="154" s="1"/>
  <c r="AV334" i="154"/>
  <c r="AT341" i="155"/>
  <c r="BF216" i="153"/>
  <c r="BF285" i="153" s="1"/>
  <c r="BF293" i="153" s="1"/>
  <c r="BF309" i="153" s="1"/>
  <c r="BF208" i="153"/>
  <c r="BF241" i="153" s="1"/>
  <c r="BF249" i="153" s="1"/>
  <c r="AV216" i="155"/>
  <c r="AV208" i="155"/>
  <c r="AU216" i="153"/>
  <c r="AU285" i="153" s="1"/>
  <c r="AU208" i="153"/>
  <c r="AU241" i="153" s="1"/>
  <c r="BR331" i="153"/>
  <c r="BR341" i="153" s="1"/>
  <c r="BR200" i="153"/>
  <c r="AV341" i="155"/>
  <c r="BS331" i="155"/>
  <c r="BS341" i="155" s="1"/>
  <c r="BS200" i="155"/>
  <c r="BQ331" i="153"/>
  <c r="BQ341" i="153" s="1"/>
  <c r="BQ200" i="153"/>
  <c r="BP331" i="153"/>
  <c r="BP341" i="153" s="1"/>
  <c r="BP200" i="153"/>
  <c r="AT341" i="154"/>
  <c r="AT344" i="154" s="1"/>
  <c r="AT43" i="154" s="1"/>
  <c r="AT334" i="154"/>
  <c r="BI200" i="153"/>
  <c r="BI331" i="153"/>
  <c r="BI341" i="153" s="1"/>
  <c r="AT216" i="154"/>
  <c r="AT208" i="154"/>
  <c r="AT203" i="154"/>
  <c r="BW200" i="155"/>
  <c r="BW208" i="155" s="1"/>
  <c r="BW241" i="155" s="1"/>
  <c r="BW249" i="155" s="1"/>
  <c r="BD216" i="153"/>
  <c r="BD285" i="153" s="1"/>
  <c r="BD293" i="153" s="1"/>
  <c r="BD301" i="153" s="1"/>
  <c r="BD208" i="153"/>
  <c r="BD241" i="153" s="1"/>
  <c r="BD249" i="153" s="1"/>
  <c r="AZ208" i="154"/>
  <c r="AZ216" i="154"/>
  <c r="BT180" i="153"/>
  <c r="BT188" i="153" s="1"/>
  <c r="W173" i="153"/>
  <c r="AR341" i="155"/>
  <c r="AZ341" i="154"/>
  <c r="AR208" i="155"/>
  <c r="AR216" i="155"/>
  <c r="AX341" i="154"/>
  <c r="AY341" i="155"/>
  <c r="BQ331" i="155"/>
  <c r="BQ341" i="155" s="1"/>
  <c r="BQ200" i="155"/>
  <c r="AX216" i="154"/>
  <c r="AX208" i="154"/>
  <c r="AY216" i="155"/>
  <c r="AY208" i="155"/>
  <c r="AX208" i="155"/>
  <c r="AX216" i="155"/>
  <c r="BP331" i="155"/>
  <c r="BP341" i="155" s="1"/>
  <c r="BP200" i="155"/>
  <c r="AX341" i="155"/>
  <c r="BY331" i="154"/>
  <c r="BY341" i="154" s="1"/>
  <c r="BB341" i="154"/>
  <c r="BC341" i="155"/>
  <c r="BB208" i="155"/>
  <c r="BB216" i="155"/>
  <c r="BL129" i="103"/>
  <c r="BC208" i="155"/>
  <c r="BC216" i="155"/>
  <c r="BC216" i="154"/>
  <c r="BC208" i="154"/>
  <c r="BA208" i="155"/>
  <c r="BA216" i="155"/>
  <c r="BL129" i="99"/>
  <c r="BC341" i="154"/>
  <c r="BA341" i="155"/>
  <c r="BE208" i="154"/>
  <c r="BE216" i="154"/>
  <c r="BE341" i="154"/>
  <c r="BA341" i="154"/>
  <c r="BA216" i="154"/>
  <c r="BA208" i="154"/>
  <c r="BE341" i="155"/>
  <c r="BE208" i="155"/>
  <c r="BE216" i="155"/>
  <c r="BD216" i="155"/>
  <c r="BD208" i="155"/>
  <c r="BD341" i="154"/>
  <c r="BD341" i="155"/>
  <c r="BD208" i="154"/>
  <c r="BD216" i="154"/>
  <c r="BB208" i="154"/>
  <c r="BB216" i="154"/>
  <c r="BB341" i="155"/>
  <c r="BH341" i="154"/>
  <c r="BH216" i="154"/>
  <c r="BH208" i="154"/>
  <c r="BJ216" i="154"/>
  <c r="BJ208" i="154"/>
  <c r="BJ341" i="155"/>
  <c r="BI341" i="154"/>
  <c r="BJ341" i="154"/>
  <c r="BJ216" i="155"/>
  <c r="BJ208" i="155"/>
  <c r="BI208" i="154"/>
  <c r="BI216" i="154"/>
  <c r="BH341" i="155"/>
  <c r="BH208" i="155"/>
  <c r="BH216" i="155"/>
  <c r="BG341" i="154"/>
  <c r="BG208" i="154"/>
  <c r="BG216" i="154"/>
  <c r="BK216" i="154"/>
  <c r="BK208" i="154"/>
  <c r="BI341" i="155"/>
  <c r="BK341" i="154"/>
  <c r="BF341" i="154"/>
  <c r="BF341" i="155"/>
  <c r="BI208" i="155"/>
  <c r="BI216" i="155"/>
  <c r="BG208" i="155"/>
  <c r="BG216" i="155"/>
  <c r="BF216" i="154"/>
  <c r="BF208" i="154"/>
  <c r="BF216" i="155"/>
  <c r="BF208" i="155"/>
  <c r="BG341" i="155"/>
  <c r="BK341" i="155"/>
  <c r="BK216" i="155"/>
  <c r="BK208" i="155"/>
  <c r="BO293" i="154"/>
  <c r="BO301" i="154" s="1"/>
  <c r="BS249" i="154"/>
  <c r="BT249" i="155"/>
  <c r="BY216" i="155"/>
  <c r="BY285" i="155" s="1"/>
  <c r="BY208" i="155"/>
  <c r="BY241" i="155" s="1"/>
  <c r="BT293" i="155"/>
  <c r="BT309" i="155" s="1"/>
  <c r="BL208" i="155"/>
  <c r="BL216" i="155"/>
  <c r="BU249" i="155"/>
  <c r="BL341" i="155"/>
  <c r="BV249" i="155"/>
  <c r="BL216" i="154"/>
  <c r="BL208" i="154"/>
  <c r="BT249" i="154"/>
  <c r="BO293" i="155"/>
  <c r="BO309" i="155" s="1"/>
  <c r="BL341" i="154"/>
  <c r="BO249" i="155"/>
  <c r="BY216" i="154"/>
  <c r="BY285" i="154" s="1"/>
  <c r="BY208" i="154"/>
  <c r="BY241" i="154" s="1"/>
  <c r="BN293" i="154"/>
  <c r="BN309" i="154" s="1"/>
  <c r="BN293" i="155"/>
  <c r="BN309" i="155" s="1"/>
  <c r="BN249" i="155"/>
  <c r="BM293" i="155"/>
  <c r="BM309" i="155" s="1"/>
  <c r="BM293" i="154"/>
  <c r="BM309" i="154" s="1"/>
  <c r="BX208" i="154"/>
  <c r="BX241" i="154" s="1"/>
  <c r="BX216" i="154"/>
  <c r="BX285" i="154" s="1"/>
  <c r="BM249" i="154"/>
  <c r="BR216" i="155"/>
  <c r="BR285" i="155" s="1"/>
  <c r="BR208" i="155"/>
  <c r="BR241" i="155" s="1"/>
  <c r="BW249" i="154"/>
  <c r="BX208" i="155"/>
  <c r="BX241" i="155" s="1"/>
  <c r="BX216" i="155"/>
  <c r="BX285" i="155" s="1"/>
  <c r="BO249" i="154"/>
  <c r="BM618" i="99"/>
  <c r="BM64" i="99"/>
  <c r="BU208" i="153"/>
  <c r="BU241" i="153" s="1"/>
  <c r="BU249" i="153" s="1"/>
  <c r="BS208" i="153"/>
  <c r="BS241" i="153" s="1"/>
  <c r="BS249" i="153" s="1"/>
  <c r="AZ273" i="153"/>
  <c r="BL317" i="153"/>
  <c r="BO265" i="153"/>
  <c r="AX317" i="153"/>
  <c r="BO466" i="153"/>
  <c r="BK265" i="153"/>
  <c r="BO273" i="153"/>
  <c r="BL309" i="153"/>
  <c r="AZ257" i="153"/>
  <c r="BK466" i="153"/>
  <c r="BK273" i="153"/>
  <c r="BG317" i="153"/>
  <c r="BM309" i="153"/>
  <c r="BJ309" i="153"/>
  <c r="BU309" i="153"/>
  <c r="BL265" i="153"/>
  <c r="BM466" i="153"/>
  <c r="BM301" i="153"/>
  <c r="BJ466" i="153"/>
  <c r="BM535" i="99"/>
  <c r="BM599" i="99" s="1"/>
  <c r="BB301" i="153"/>
  <c r="BA257" i="153"/>
  <c r="AY257" i="153"/>
  <c r="BL273" i="153"/>
  <c r="AZ309" i="153"/>
  <c r="AZ301" i="153"/>
  <c r="BO317" i="153"/>
  <c r="AY317" i="153"/>
  <c r="BA301" i="153"/>
  <c r="BU317" i="153"/>
  <c r="BH301" i="153"/>
  <c r="BM265" i="153"/>
  <c r="BL466" i="153"/>
  <c r="BH265" i="153"/>
  <c r="AX273" i="153"/>
  <c r="BB309" i="153"/>
  <c r="AY309" i="153"/>
  <c r="BM273" i="153"/>
  <c r="BH317" i="153"/>
  <c r="AX301" i="153"/>
  <c r="BN466" i="153"/>
  <c r="BO309" i="153"/>
  <c r="BN273" i="153"/>
  <c r="BC265" i="153"/>
  <c r="BG265" i="153"/>
  <c r="BG466" i="153"/>
  <c r="BB257" i="153"/>
  <c r="BB466" i="153"/>
  <c r="BC257" i="153"/>
  <c r="BC466" i="153"/>
  <c r="BX208" i="153"/>
  <c r="BX241" i="153" s="1"/>
  <c r="BX249" i="153" s="1"/>
  <c r="BX216" i="153"/>
  <c r="BX285" i="153" s="1"/>
  <c r="BX293" i="153" s="1"/>
  <c r="BX301" i="153" s="1"/>
  <c r="BG309" i="153"/>
  <c r="BJ273" i="153"/>
  <c r="AY265" i="153"/>
  <c r="AY466" i="153"/>
  <c r="BJ257" i="153"/>
  <c r="BC309" i="153"/>
  <c r="BN301" i="153"/>
  <c r="BC317" i="153"/>
  <c r="BH273" i="153"/>
  <c r="BH466" i="153"/>
  <c r="BA309" i="153"/>
  <c r="BN317" i="153"/>
  <c r="BW208" i="153"/>
  <c r="BW241" i="153" s="1"/>
  <c r="BW249" i="153" s="1"/>
  <c r="BW216" i="153"/>
  <c r="BW285" i="153" s="1"/>
  <c r="BW293" i="153" s="1"/>
  <c r="BW317" i="153" s="1"/>
  <c r="AZ466" i="153"/>
  <c r="AX257" i="153"/>
  <c r="AX466" i="153"/>
  <c r="BY216" i="153"/>
  <c r="BY285" i="153" s="1"/>
  <c r="BY293" i="153" s="1"/>
  <c r="BY301" i="153" s="1"/>
  <c r="BY208" i="153"/>
  <c r="BY241" i="153" s="1"/>
  <c r="BY249" i="153" s="1"/>
  <c r="BV208" i="153"/>
  <c r="BV241" i="153" s="1"/>
  <c r="BV249" i="153" s="1"/>
  <c r="BV216" i="153"/>
  <c r="BV285" i="153" s="1"/>
  <c r="BV293" i="153" s="1"/>
  <c r="BV317" i="153" s="1"/>
  <c r="BK309" i="153"/>
  <c r="BK301" i="153"/>
  <c r="BN257" i="153"/>
  <c r="BJ317" i="153"/>
  <c r="BS317" i="153"/>
  <c r="BG273" i="153"/>
  <c r="BS301" i="153"/>
  <c r="BB273" i="153"/>
  <c r="BA265" i="153"/>
  <c r="BA466" i="153"/>
  <c r="BG257" i="153"/>
  <c r="AF216" i="153"/>
  <c r="AF285" i="153" s="1"/>
  <c r="AF208" i="153"/>
  <c r="AF241" i="153" s="1"/>
  <c r="V341" i="153"/>
  <c r="V216" i="153"/>
  <c r="V208" i="153"/>
  <c r="S341" i="153"/>
  <c r="X341" i="153"/>
  <c r="S216" i="153"/>
  <c r="S208" i="153"/>
  <c r="AG208" i="153"/>
  <c r="AG241" i="153" s="1"/>
  <c r="AG216" i="153"/>
  <c r="AG285" i="153" s="1"/>
  <c r="U341" i="153"/>
  <c r="U216" i="153"/>
  <c r="U208" i="153"/>
  <c r="AH216" i="153"/>
  <c r="AH285" i="153" s="1"/>
  <c r="AH208" i="153"/>
  <c r="AH241" i="153" s="1"/>
  <c r="T341" i="153"/>
  <c r="T208" i="153"/>
  <c r="T216" i="153"/>
  <c r="W341" i="153"/>
  <c r="Z208" i="153"/>
  <c r="Z241" i="153" s="1"/>
  <c r="Z216" i="153"/>
  <c r="Z285" i="153" s="1"/>
  <c r="W216" i="153"/>
  <c r="W208" i="153"/>
  <c r="AA208" i="153"/>
  <c r="AA241" i="153" s="1"/>
  <c r="AA216" i="153"/>
  <c r="AA285" i="153" s="1"/>
  <c r="AI216" i="153"/>
  <c r="AI285" i="153" s="1"/>
  <c r="AI208" i="153"/>
  <c r="AI241" i="153" s="1"/>
  <c r="AB208" i="153"/>
  <c r="AB241" i="153" s="1"/>
  <c r="AB216" i="153"/>
  <c r="AB285" i="153" s="1"/>
  <c r="AE216" i="153"/>
  <c r="AE285" i="153" s="1"/>
  <c r="AE208" i="153"/>
  <c r="AE241" i="153" s="1"/>
  <c r="AJ216" i="153"/>
  <c r="AJ285" i="153" s="1"/>
  <c r="AJ208" i="153"/>
  <c r="AJ241" i="153" s="1"/>
  <c r="AC208" i="153"/>
  <c r="AC241" i="153" s="1"/>
  <c r="AC216" i="153"/>
  <c r="AC285" i="153" s="1"/>
  <c r="X216" i="153"/>
  <c r="X208" i="153"/>
  <c r="Y293" i="153"/>
  <c r="Y309" i="153" s="1"/>
  <c r="AD208" i="153"/>
  <c r="AD241" i="153" s="1"/>
  <c r="AD216" i="153"/>
  <c r="AD285" i="153" s="1"/>
  <c r="Y249" i="153"/>
  <c r="AK216" i="153"/>
  <c r="AK285" i="153" s="1"/>
  <c r="AK208" i="153"/>
  <c r="AK241" i="153" s="1"/>
  <c r="BL515" i="99"/>
  <c r="BL517" i="99" s="1"/>
  <c r="BM549" i="99"/>
  <c r="BM613" i="99" s="1"/>
  <c r="BM232" i="99"/>
  <c r="BP3" i="69"/>
  <c r="BP4" i="69" s="1"/>
  <c r="BO2" i="69" a="1"/>
  <c r="BO2" i="69" s="1"/>
  <c r="BO11" i="69"/>
  <c r="BO14" i="69"/>
  <c r="BO12" i="69"/>
  <c r="BO8" i="69"/>
  <c r="BO7" i="69"/>
  <c r="BO13" i="69"/>
  <c r="BO10" i="69"/>
  <c r="BO9" i="69"/>
  <c r="BO16" i="69"/>
  <c r="BM229" i="99"/>
  <c r="BJ529" i="99"/>
  <c r="BJ581" i="99"/>
  <c r="BJ518" i="99"/>
  <c r="BK517" i="99"/>
  <c r="BK529" i="99" s="1"/>
  <c r="BK579" i="99"/>
  <c r="BM230" i="99"/>
  <c r="BG559" i="99" a="1"/>
  <c r="BG559" i="99" s="1"/>
  <c r="BG623" i="99" s="1"/>
  <c r="BG615" i="99"/>
  <c r="BG552" i="99"/>
  <c r="BM228" i="99"/>
  <c r="BN541" i="99"/>
  <c r="BN605" i="99" s="1"/>
  <c r="BN547" i="99"/>
  <c r="BN611" i="99" s="1"/>
  <c r="BN540" i="99"/>
  <c r="BN604" i="99" s="1"/>
  <c r="BN548" i="99"/>
  <c r="BN612" i="99" s="1"/>
  <c r="BN539" i="99"/>
  <c r="BN603" i="99" s="1"/>
  <c r="BN534" i="99"/>
  <c r="BN598" i="99" s="1"/>
  <c r="BN538" i="99"/>
  <c r="BN525" i="99"/>
  <c r="BN589" i="99" s="1"/>
  <c r="BN523" i="99"/>
  <c r="BN587" i="99" s="1"/>
  <c r="BN509" i="99"/>
  <c r="BN573" i="99" s="1"/>
  <c r="BN521" i="99"/>
  <c r="BN507" i="99"/>
  <c r="BN522" i="99"/>
  <c r="BN586" i="99" s="1"/>
  <c r="BN513" i="99"/>
  <c r="BN577" i="99" s="1"/>
  <c r="BN558" i="99"/>
  <c r="BN622" i="99" s="1"/>
  <c r="BN533" i="99"/>
  <c r="BN597" i="99" s="1"/>
  <c r="BN514" i="99"/>
  <c r="BN578" i="99" s="1"/>
  <c r="BN516" i="99"/>
  <c r="BN580" i="99" s="1"/>
  <c r="BI551" i="99"/>
  <c r="BI555" i="99" s="1"/>
  <c r="BI608" i="99"/>
  <c r="BP3" i="99"/>
  <c r="BP4" i="99" s="1"/>
  <c r="BO2" i="99" a="1"/>
  <c r="BO2" i="99" s="1"/>
  <c r="BO554" i="99" s="1"/>
  <c r="BO474" i="99"/>
  <c r="BO475" i="99"/>
  <c r="BO498" i="99"/>
  <c r="BO482" i="99" s="1"/>
  <c r="BO490" i="99" s="1"/>
  <c r="BO476" i="99"/>
  <c r="BO499" i="99"/>
  <c r="BO483" i="99" s="1"/>
  <c r="BO491" i="99" s="1"/>
  <c r="BO477" i="99"/>
  <c r="BO500" i="99"/>
  <c r="BO484" i="99" s="1"/>
  <c r="BO492" i="99" s="1"/>
  <c r="BO501" i="99"/>
  <c r="BO485" i="99" s="1"/>
  <c r="BO493" i="99" s="1"/>
  <c r="BO478" i="99"/>
  <c r="BO502" i="99"/>
  <c r="BO486" i="99" s="1"/>
  <c r="BO494" i="99" s="1"/>
  <c r="BO479" i="99"/>
  <c r="BO503" i="99"/>
  <c r="BO487" i="99" s="1"/>
  <c r="BO495" i="99" s="1"/>
  <c r="BM585" i="99"/>
  <c r="BM524" i="99"/>
  <c r="BS527" i="99"/>
  <c r="BK590" i="99"/>
  <c r="BM233" i="99"/>
  <c r="BM512" i="99"/>
  <c r="BM234" i="99"/>
  <c r="BF616" i="99"/>
  <c r="BJ224" i="99"/>
  <c r="BJ591" i="99"/>
  <c r="BF556" i="99"/>
  <c r="BF619" i="99"/>
  <c r="BF620" i="99" s="1"/>
  <c r="BH551" i="99"/>
  <c r="BH555" i="99" s="1"/>
  <c r="BH608" i="99"/>
  <c r="BL526" i="99"/>
  <c r="BL588" i="99"/>
  <c r="BM602" i="99"/>
  <c r="BM542" i="99"/>
  <c r="BM606" i="99" s="1"/>
  <c r="BO39" i="72"/>
  <c r="BP37" i="72"/>
  <c r="BQ5" i="72"/>
  <c r="BQ6" i="72" s="1"/>
  <c r="BP36" i="72"/>
  <c r="BP38" i="72" s="1"/>
  <c r="BP39" i="72" s="1"/>
  <c r="BP48" i="72"/>
  <c r="BP47" i="72"/>
  <c r="BN64" i="99"/>
  <c r="BP6" i="98"/>
  <c r="BO70" i="103"/>
  <c r="BT70" i="105" s="1"/>
  <c r="BO35" i="151" s="1"/>
  <c r="BQ4" i="72" l="1" a="1"/>
  <c r="BQ4" i="72" s="1"/>
  <c r="AR108" i="154"/>
  <c r="AR45" i="154"/>
  <c r="AS108" i="154"/>
  <c r="AS45" i="154"/>
  <c r="AS110" i="154" s="1"/>
  <c r="AW108" i="154"/>
  <c r="AW45" i="154"/>
  <c r="AW110" i="154" s="1"/>
  <c r="AV108" i="154"/>
  <c r="AV45" i="154"/>
  <c r="AV110" i="154" s="1"/>
  <c r="AT108" i="154"/>
  <c r="AT45" i="154"/>
  <c r="AT110" i="154" s="1"/>
  <c r="AU108" i="154"/>
  <c r="AU45" i="154"/>
  <c r="AU110" i="154" s="1"/>
  <c r="BQ122" i="105"/>
  <c r="BM129" i="99"/>
  <c r="BK415" i="153"/>
  <c r="BK454" i="153" s="1" a="1"/>
  <c r="BK454" i="153" s="1"/>
  <c r="BG415" i="153"/>
  <c r="BG454" i="153" s="1" a="1"/>
  <c r="BG454" i="153" s="1"/>
  <c r="AY415" i="153"/>
  <c r="AY454" i="153" s="1" a="1"/>
  <c r="AY454" i="153" s="1"/>
  <c r="BB415" i="153"/>
  <c r="BB454" i="153" s="1" a="1"/>
  <c r="BB454" i="153" s="1"/>
  <c r="AS415" i="153"/>
  <c r="AS454" i="153" s="1" a="1"/>
  <c r="AS454" i="153" s="1"/>
  <c r="BO415" i="153"/>
  <c r="BO454" i="153" s="1" a="1"/>
  <c r="BO454" i="153" s="1"/>
  <c r="BL415" i="153"/>
  <c r="BL454" i="153" s="1" a="1"/>
  <c r="BL454" i="153" s="1"/>
  <c r="BJ415" i="153"/>
  <c r="BJ454" i="153" s="1" a="1"/>
  <c r="BJ454" i="153" s="1"/>
  <c r="BA415" i="153"/>
  <c r="BA454" i="153" s="1" a="1"/>
  <c r="BA454" i="153" s="1"/>
  <c r="BH415" i="153"/>
  <c r="BH454" i="153" s="1" a="1"/>
  <c r="BH454" i="153" s="1"/>
  <c r="BM415" i="153"/>
  <c r="BM454" i="153" s="1" a="1"/>
  <c r="BM454" i="153" s="1"/>
  <c r="AT415" i="153"/>
  <c r="AT454" i="153" s="1" a="1"/>
  <c r="AT454" i="153" s="1"/>
  <c r="AR415" i="153"/>
  <c r="AR454" i="153" s="1" a="1"/>
  <c r="AR454" i="153" s="1"/>
  <c r="BN415" i="153"/>
  <c r="BN454" i="153" s="1" a="1"/>
  <c r="BN454" i="153" s="1"/>
  <c r="BC415" i="153"/>
  <c r="BC454" i="153" s="1" a="1"/>
  <c r="BC454" i="153" s="1"/>
  <c r="AX415" i="153"/>
  <c r="AX454" i="153" s="1" a="1"/>
  <c r="AX454" i="153" s="1"/>
  <c r="AZ415" i="153"/>
  <c r="AZ454" i="153" s="1" a="1"/>
  <c r="AZ454" i="153" s="1"/>
  <c r="BT257" i="154"/>
  <c r="BU265" i="155"/>
  <c r="BD273" i="153"/>
  <c r="BN257" i="154"/>
  <c r="BX466" i="153"/>
  <c r="BV265" i="153"/>
  <c r="BY273" i="153"/>
  <c r="BW257" i="154"/>
  <c r="BW257" i="155"/>
  <c r="BV257" i="155"/>
  <c r="BS273" i="154"/>
  <c r="BO265" i="154"/>
  <c r="BF466" i="153"/>
  <c r="BE265" i="153"/>
  <c r="BM265" i="155"/>
  <c r="Y265" i="153"/>
  <c r="BO257" i="155"/>
  <c r="BS265" i="153"/>
  <c r="BM265" i="154"/>
  <c r="BW466" i="153"/>
  <c r="BU273" i="153"/>
  <c r="BN273" i="155"/>
  <c r="BT257" i="155"/>
  <c r="BG561" i="99"/>
  <c r="BG567" i="99" s="1"/>
  <c r="BT127" i="105"/>
  <c r="BF317" i="153"/>
  <c r="BE257" i="153"/>
  <c r="BE317" i="153"/>
  <c r="BE301" i="153"/>
  <c r="BF301" i="153"/>
  <c r="BE466" i="153"/>
  <c r="BF265" i="153"/>
  <c r="BE273" i="153"/>
  <c r="BD317" i="153"/>
  <c r="BF273" i="153"/>
  <c r="BF257" i="153"/>
  <c r="BD309" i="153"/>
  <c r="BV208" i="154"/>
  <c r="BV241" i="154" s="1"/>
  <c r="BV249" i="154" s="1"/>
  <c r="BD257" i="153"/>
  <c r="BD466" i="153"/>
  <c r="BD265" i="153"/>
  <c r="BR216" i="154"/>
  <c r="BR285" i="154" s="1"/>
  <c r="BR293" i="154" s="1"/>
  <c r="BR301" i="154" s="1"/>
  <c r="BW216" i="155"/>
  <c r="BW285" i="155" s="1"/>
  <c r="BW293" i="155" s="1"/>
  <c r="BW309" i="155" s="1"/>
  <c r="AU249" i="153"/>
  <c r="BS216" i="155"/>
  <c r="BS285" i="155" s="1"/>
  <c r="BS293" i="155" s="1"/>
  <c r="BS317" i="155" s="1"/>
  <c r="BS208" i="155"/>
  <c r="BS241" i="155" s="1"/>
  <c r="BS249" i="155" s="1"/>
  <c r="AU293" i="153"/>
  <c r="AU309" i="153" s="1"/>
  <c r="AV241" i="155"/>
  <c r="BT200" i="153"/>
  <c r="BT331" i="153"/>
  <c r="BT341" i="153" s="1"/>
  <c r="AV285" i="155"/>
  <c r="AR285" i="154"/>
  <c r="AR219" i="154"/>
  <c r="AU285" i="154"/>
  <c r="AU219" i="154"/>
  <c r="AX241" i="154"/>
  <c r="AR241" i="154"/>
  <c r="AR211" i="154"/>
  <c r="BP216" i="154"/>
  <c r="BP285" i="154" s="1"/>
  <c r="BP293" i="154" s="1"/>
  <c r="BP301" i="154" s="1"/>
  <c r="BP208" i="154"/>
  <c r="BP241" i="154" s="1"/>
  <c r="BP249" i="154" s="1"/>
  <c r="AZ285" i="155"/>
  <c r="AU241" i="154"/>
  <c r="AU211" i="154"/>
  <c r="AX285" i="154"/>
  <c r="AT241" i="154"/>
  <c r="AT211" i="154"/>
  <c r="AW241" i="155"/>
  <c r="AZ241" i="155"/>
  <c r="AU241" i="155"/>
  <c r="AT285" i="154"/>
  <c r="AT219" i="154"/>
  <c r="BP216" i="153"/>
  <c r="BP285" i="153" s="1"/>
  <c r="BP208" i="153"/>
  <c r="BP241" i="153" s="1"/>
  <c r="AW285" i="155"/>
  <c r="AU285" i="155"/>
  <c r="AS241" i="154"/>
  <c r="AS211" i="154"/>
  <c r="AZ285" i="154"/>
  <c r="BQ216" i="154"/>
  <c r="BQ285" i="154" s="1"/>
  <c r="BQ293" i="154" s="1"/>
  <c r="BQ317" i="154" s="1"/>
  <c r="BQ208" i="154"/>
  <c r="BQ241" i="154" s="1"/>
  <c r="BQ249" i="154" s="1"/>
  <c r="AV241" i="154"/>
  <c r="AV211" i="154"/>
  <c r="AS285" i="154"/>
  <c r="AS219" i="154"/>
  <c r="AX285" i="155"/>
  <c r="AZ241" i="154"/>
  <c r="AV285" i="154"/>
  <c r="AV219" i="154"/>
  <c r="AX241" i="155"/>
  <c r="BQ216" i="155"/>
  <c r="BQ285" i="155" s="1"/>
  <c r="BQ293" i="155" s="1"/>
  <c r="BQ301" i="155" s="1"/>
  <c r="BQ208" i="155"/>
  <c r="BQ241" i="155" s="1"/>
  <c r="BQ249" i="155" s="1"/>
  <c r="BQ208" i="153"/>
  <c r="BQ241" i="153" s="1"/>
  <c r="BQ216" i="153"/>
  <c r="BQ285" i="153" s="1"/>
  <c r="AT241" i="155"/>
  <c r="AR285" i="155"/>
  <c r="AT285" i="155"/>
  <c r="AY241" i="155"/>
  <c r="AR241" i="155"/>
  <c r="BU208" i="154"/>
  <c r="BU241" i="154" s="1"/>
  <c r="BU249" i="154" s="1"/>
  <c r="BU216" i="154"/>
  <c r="BU285" i="154" s="1"/>
  <c r="BU293" i="154" s="1"/>
  <c r="BU317" i="154" s="1"/>
  <c r="AW241" i="154"/>
  <c r="AW211" i="154"/>
  <c r="AY285" i="155"/>
  <c r="BR208" i="153"/>
  <c r="BR241" i="153" s="1"/>
  <c r="BR216" i="153"/>
  <c r="BR285" i="153" s="1"/>
  <c r="AW285" i="154"/>
  <c r="AW219" i="154"/>
  <c r="BP216" i="155"/>
  <c r="BP285" i="155" s="1"/>
  <c r="BP293" i="155" s="1"/>
  <c r="BP317" i="155" s="1"/>
  <c r="BP208" i="155"/>
  <c r="BP241" i="155" s="1"/>
  <c r="BP249" i="155" s="1"/>
  <c r="AS285" i="155"/>
  <c r="AY285" i="154"/>
  <c r="BI216" i="153"/>
  <c r="BI285" i="153" s="1"/>
  <c r="BI208" i="153"/>
  <c r="BI241" i="153" s="1"/>
  <c r="AS241" i="155"/>
  <c r="AY241" i="154"/>
  <c r="BM129" i="103"/>
  <c r="BM129" i="104"/>
  <c r="BM64" i="104" s="1"/>
  <c r="BR64" i="105" s="1"/>
  <c r="BM30" i="151" s="1"/>
  <c r="BE285" i="154"/>
  <c r="BD241" i="155"/>
  <c r="BE241" i="154"/>
  <c r="BB285" i="154"/>
  <c r="BD285" i="155"/>
  <c r="BB241" i="154"/>
  <c r="BA241" i="154"/>
  <c r="BA285" i="154"/>
  <c r="BE285" i="155"/>
  <c r="BE241" i="155"/>
  <c r="BC285" i="155"/>
  <c r="BC241" i="155"/>
  <c r="BD285" i="154"/>
  <c r="BD241" i="154"/>
  <c r="BA285" i="155"/>
  <c r="BA241" i="155"/>
  <c r="BC241" i="154"/>
  <c r="BB285" i="155"/>
  <c r="BC285" i="154"/>
  <c r="BB241" i="155"/>
  <c r="BM317" i="155"/>
  <c r="BW273" i="154"/>
  <c r="BV273" i="155"/>
  <c r="BO273" i="155"/>
  <c r="BO273" i="154"/>
  <c r="BM273" i="155"/>
  <c r="BV301" i="154"/>
  <c r="BT273" i="154"/>
  <c r="BO317" i="154"/>
  <c r="BF285" i="154"/>
  <c r="BI241" i="154"/>
  <c r="BO309" i="154"/>
  <c r="BK241" i="154"/>
  <c r="BK285" i="154"/>
  <c r="BF241" i="155"/>
  <c r="BW301" i="154"/>
  <c r="BU273" i="155"/>
  <c r="BT317" i="155"/>
  <c r="BW309" i="154"/>
  <c r="BU257" i="155"/>
  <c r="BT301" i="155"/>
  <c r="BF285" i="155"/>
  <c r="BG285" i="155"/>
  <c r="BV309" i="155"/>
  <c r="BS257" i="154"/>
  <c r="BG241" i="155"/>
  <c r="BT309" i="154"/>
  <c r="BV301" i="155"/>
  <c r="BH285" i="155"/>
  <c r="BM257" i="154"/>
  <c r="BI285" i="155"/>
  <c r="BH241" i="155"/>
  <c r="BI241" i="155"/>
  <c r="BJ241" i="155"/>
  <c r="BJ241" i="154"/>
  <c r="BO301" i="155"/>
  <c r="BJ285" i="155"/>
  <c r="BJ285" i="154"/>
  <c r="BU317" i="155"/>
  <c r="BH241" i="154"/>
  <c r="BU301" i="155"/>
  <c r="BH285" i="154"/>
  <c r="BK241" i="155"/>
  <c r="BG285" i="154"/>
  <c r="BK285" i="155"/>
  <c r="BG241" i="154"/>
  <c r="BW265" i="155"/>
  <c r="BF241" i="154"/>
  <c r="BI285" i="154"/>
  <c r="BN265" i="155"/>
  <c r="BY293" i="155"/>
  <c r="BY317" i="155" s="1"/>
  <c r="BN257" i="155"/>
  <c r="BN466" i="155"/>
  <c r="BR249" i="154"/>
  <c r="BT265" i="154"/>
  <c r="BT466" i="154"/>
  <c r="BM273" i="154"/>
  <c r="BM466" i="154"/>
  <c r="BM257" i="155"/>
  <c r="BM466" i="155"/>
  <c r="BN265" i="154"/>
  <c r="BT317" i="154"/>
  <c r="BW273" i="155"/>
  <c r="BW466" i="155"/>
  <c r="BO257" i="154"/>
  <c r="BO466" i="154"/>
  <c r="BN273" i="154"/>
  <c r="BN466" i="154"/>
  <c r="BT265" i="155"/>
  <c r="BL241" i="154"/>
  <c r="BL285" i="154"/>
  <c r="BT273" i="155"/>
  <c r="BT466" i="155"/>
  <c r="BN301" i="155"/>
  <c r="BU466" i="155"/>
  <c r="BW265" i="154"/>
  <c r="BW466" i="154"/>
  <c r="BN317" i="155"/>
  <c r="BS309" i="154"/>
  <c r="BS317" i="154"/>
  <c r="BR249" i="155"/>
  <c r="BX293" i="155"/>
  <c r="BX301" i="155" s="1"/>
  <c r="BR293" i="155"/>
  <c r="BR301" i="155" s="1"/>
  <c r="BM317" i="154"/>
  <c r="BY249" i="154"/>
  <c r="BX249" i="155"/>
  <c r="BM301" i="154"/>
  <c r="BY293" i="154"/>
  <c r="BY301" i="154" s="1"/>
  <c r="BO317" i="155"/>
  <c r="BV265" i="155"/>
  <c r="BV466" i="155"/>
  <c r="BX293" i="154"/>
  <c r="BX309" i="154" s="1"/>
  <c r="BO265" i="155"/>
  <c r="BO466" i="155"/>
  <c r="BX249" i="154"/>
  <c r="BV317" i="154"/>
  <c r="BM301" i="155"/>
  <c r="BN301" i="154"/>
  <c r="BL285" i="155"/>
  <c r="BS265" i="154"/>
  <c r="BS466" i="154"/>
  <c r="BN317" i="154"/>
  <c r="BL241" i="155"/>
  <c r="BY249" i="155"/>
  <c r="BS273" i="153"/>
  <c r="BU265" i="153"/>
  <c r="BS466" i="153"/>
  <c r="BU466" i="153"/>
  <c r="BU257" i="153"/>
  <c r="BS257" i="153"/>
  <c r="BN129" i="103"/>
  <c r="BN129" i="104"/>
  <c r="BN64" i="104" s="1"/>
  <c r="BS64" i="105" s="1"/>
  <c r="BN30" i="151" s="1"/>
  <c r="BV466" i="153"/>
  <c r="BY317" i="153"/>
  <c r="BW273" i="153"/>
  <c r="BX273" i="153"/>
  <c r="Y301" i="153"/>
  <c r="Y257" i="153"/>
  <c r="Y317" i="153"/>
  <c r="BX265" i="153"/>
  <c r="BV301" i="153"/>
  <c r="BV257" i="153"/>
  <c r="BW301" i="153"/>
  <c r="BY309" i="153"/>
  <c r="BN535" i="99"/>
  <c r="BN599" i="99" s="1"/>
  <c r="BV273" i="153"/>
  <c r="BW309" i="153"/>
  <c r="BW265" i="153"/>
  <c r="BX317" i="153"/>
  <c r="BX309" i="153"/>
  <c r="BV309" i="153"/>
  <c r="BW257" i="153"/>
  <c r="BY257" i="153"/>
  <c r="BL579" i="99"/>
  <c r="BY466" i="153"/>
  <c r="BY265" i="153"/>
  <c r="BX257" i="153"/>
  <c r="AE249" i="153"/>
  <c r="AH293" i="153"/>
  <c r="AH301" i="153" s="1"/>
  <c r="AE293" i="153"/>
  <c r="AE301" i="153" s="1"/>
  <c r="AB293" i="153"/>
  <c r="AB317" i="153" s="1"/>
  <c r="U241" i="153"/>
  <c r="AB249" i="153"/>
  <c r="U285" i="153"/>
  <c r="AI249" i="153"/>
  <c r="AK249" i="153"/>
  <c r="AI293" i="153"/>
  <c r="AI301" i="153" s="1"/>
  <c r="AK293" i="153"/>
  <c r="AK309" i="153" s="1"/>
  <c r="AA293" i="153"/>
  <c r="AA309" i="153" s="1"/>
  <c r="AG293" i="153"/>
  <c r="AG301" i="153" s="1"/>
  <c r="AA249" i="153"/>
  <c r="AG249" i="153"/>
  <c r="Y273" i="153"/>
  <c r="Y466" i="153"/>
  <c r="W241" i="153"/>
  <c r="S241" i="153"/>
  <c r="AD293" i="153"/>
  <c r="AD309" i="153" s="1"/>
  <c r="W285" i="153"/>
  <c r="S285" i="153"/>
  <c r="AD249" i="153"/>
  <c r="Z293" i="153"/>
  <c r="Z317" i="153" s="1"/>
  <c r="Z249" i="153"/>
  <c r="X241" i="153"/>
  <c r="V241" i="153"/>
  <c r="X285" i="153"/>
  <c r="T285" i="153"/>
  <c r="V285" i="153"/>
  <c r="AC293" i="153"/>
  <c r="AC309" i="153" s="1"/>
  <c r="T241" i="153"/>
  <c r="AC249" i="153"/>
  <c r="AJ249" i="153"/>
  <c r="AF249" i="153"/>
  <c r="AJ293" i="153"/>
  <c r="AJ301" i="153" s="1"/>
  <c r="AH249" i="153"/>
  <c r="AF293" i="153"/>
  <c r="AF301" i="153" s="1"/>
  <c r="BN549" i="99"/>
  <c r="BN613" i="99" s="1"/>
  <c r="BN233" i="99"/>
  <c r="BQ3" i="69"/>
  <c r="BQ4" i="69" s="1"/>
  <c r="BP2" i="69" a="1"/>
  <c r="BP2" i="69" s="1"/>
  <c r="BP12" i="69"/>
  <c r="BP14" i="69"/>
  <c r="BP16" i="69"/>
  <c r="BP7" i="69"/>
  <c r="BP8" i="69"/>
  <c r="BP10" i="69"/>
  <c r="BP11" i="69"/>
  <c r="BP15" i="69"/>
  <c r="BP13" i="69"/>
  <c r="BP9" i="69"/>
  <c r="BN230" i="99"/>
  <c r="BN524" i="99"/>
  <c r="BN585" i="99"/>
  <c r="BK530" i="99"/>
  <c r="BK593" i="99"/>
  <c r="BK594" i="99" s="1"/>
  <c r="BK544" i="99"/>
  <c r="BO541" i="99"/>
  <c r="BO605" i="99" s="1"/>
  <c r="BO539" i="99"/>
  <c r="BO603" i="99" s="1"/>
  <c r="BO547" i="99"/>
  <c r="BO534" i="99"/>
  <c r="BO598" i="99" s="1"/>
  <c r="BO540" i="99"/>
  <c r="BO604" i="99" s="1"/>
  <c r="BO548" i="99"/>
  <c r="BO612" i="99" s="1"/>
  <c r="BO538" i="99"/>
  <c r="BO523" i="99"/>
  <c r="BO587" i="99" s="1"/>
  <c r="BO521" i="99"/>
  <c r="BO509" i="99"/>
  <c r="BO573" i="99" s="1"/>
  <c r="BO522" i="99"/>
  <c r="BO586" i="99" s="1"/>
  <c r="BO507" i="99"/>
  <c r="BO525" i="99"/>
  <c r="BO589" i="99" s="1"/>
  <c r="BO513" i="99"/>
  <c r="BO577" i="99" s="1"/>
  <c r="BO558" i="99"/>
  <c r="BO622" i="99" s="1"/>
  <c r="BO516" i="99"/>
  <c r="BO580" i="99" s="1"/>
  <c r="BO533" i="99"/>
  <c r="BO597" i="99" s="1"/>
  <c r="BO514" i="99"/>
  <c r="BO578" i="99" s="1"/>
  <c r="BK224" i="99"/>
  <c r="BK591" i="99"/>
  <c r="BQ3" i="99"/>
  <c r="BQ4" i="99" s="1"/>
  <c r="BP2" i="99" a="1"/>
  <c r="BP2" i="99" s="1"/>
  <c r="BP554" i="99" s="1"/>
  <c r="BP474" i="99"/>
  <c r="BP475" i="99"/>
  <c r="BP499" i="99"/>
  <c r="BP483" i="99" s="1"/>
  <c r="BP491" i="99" s="1"/>
  <c r="BP476" i="99"/>
  <c r="BP498" i="99"/>
  <c r="BP482" i="99" s="1"/>
  <c r="BP490" i="99" s="1"/>
  <c r="BP477" i="99"/>
  <c r="BP500" i="99"/>
  <c r="BP484" i="99" s="1"/>
  <c r="BP492" i="99" s="1"/>
  <c r="BP478" i="99"/>
  <c r="BP501" i="99"/>
  <c r="BP485" i="99" s="1"/>
  <c r="BP493" i="99" s="1"/>
  <c r="BP479" i="99"/>
  <c r="BP502" i="99"/>
  <c r="BP486" i="99" s="1"/>
  <c r="BP494" i="99" s="1"/>
  <c r="BP503" i="99"/>
  <c r="BP487" i="99" s="1"/>
  <c r="BP495" i="99" s="1"/>
  <c r="BN234" i="99"/>
  <c r="BN542" i="99"/>
  <c r="BN606" i="99" s="1"/>
  <c r="BN602" i="99"/>
  <c r="BI559" i="99" a="1"/>
  <c r="BI559" i="99" s="1"/>
  <c r="BI623" i="99" s="1"/>
  <c r="BI615" i="99"/>
  <c r="BI552" i="99"/>
  <c r="BG619" i="99"/>
  <c r="BG620" i="99" s="1"/>
  <c r="BG556" i="99"/>
  <c r="BG616" i="99"/>
  <c r="BM588" i="99"/>
  <c r="BM526" i="99"/>
  <c r="BL590" i="99"/>
  <c r="BT527" i="99"/>
  <c r="BL529" i="99"/>
  <c r="BL581" i="99"/>
  <c r="BL518" i="99"/>
  <c r="BK518" i="99"/>
  <c r="BK581" i="99"/>
  <c r="BH559" i="99" a="1"/>
  <c r="BH559" i="99" s="1"/>
  <c r="BH623" i="99" s="1"/>
  <c r="BH615" i="99"/>
  <c r="BH552" i="99"/>
  <c r="BF562" i="99"/>
  <c r="BF625" i="99"/>
  <c r="BF626" i="99" s="1"/>
  <c r="BF631" i="99"/>
  <c r="BM576" i="99"/>
  <c r="BM515" i="99"/>
  <c r="BN229" i="99"/>
  <c r="BJ223" i="99"/>
  <c r="BJ582" i="99"/>
  <c r="BN228" i="99"/>
  <c r="BJ530" i="99"/>
  <c r="BJ593" i="99"/>
  <c r="BJ594" i="99" s="1"/>
  <c r="BJ544" i="99"/>
  <c r="BN232" i="99"/>
  <c r="BN512" i="99"/>
  <c r="BQ37" i="72"/>
  <c r="BR5" i="72"/>
  <c r="BR6" i="72" s="1"/>
  <c r="BQ36" i="72"/>
  <c r="BQ38" i="72" s="1"/>
  <c r="BQ39" i="72" s="1"/>
  <c r="BQ48" i="72"/>
  <c r="BQ47" i="72"/>
  <c r="BQ6" i="98"/>
  <c r="BP70" i="103"/>
  <c r="BU70" i="105" s="1"/>
  <c r="BP35" i="151" s="1"/>
  <c r="BN129" i="99"/>
  <c r="BN618" i="99"/>
  <c r="BR4" i="72" l="1" a="1"/>
  <c r="BR4" i="72" s="1"/>
  <c r="AR110" i="154"/>
  <c r="BS122" i="105"/>
  <c r="BR122" i="105"/>
  <c r="BU415" i="153"/>
  <c r="BU454" i="153" s="1" a="1"/>
  <c r="BU454" i="153" s="1"/>
  <c r="BS415" i="153"/>
  <c r="BS454" i="153" s="1" a="1"/>
  <c r="BS454" i="153" s="1"/>
  <c r="BN415" i="155"/>
  <c r="BN454" i="155" s="1" a="1"/>
  <c r="BN454" i="155" s="1"/>
  <c r="BM415" i="154"/>
  <c r="BM454" i="154" s="1" a="1"/>
  <c r="BM454" i="154" s="1"/>
  <c r="BF415" i="153"/>
  <c r="BF454" i="153" s="1" a="1"/>
  <c r="BF454" i="153" s="1"/>
  <c r="BW415" i="153"/>
  <c r="BW454" i="153" s="1" a="1"/>
  <c r="BW454" i="153" s="1"/>
  <c r="BV415" i="155"/>
  <c r="BV454" i="155" s="1" a="1"/>
  <c r="BV454" i="155" s="1"/>
  <c r="BW415" i="154"/>
  <c r="BW454" i="154" s="1" a="1"/>
  <c r="BW454" i="154" s="1"/>
  <c r="BO415" i="155"/>
  <c r="BO454" i="155" s="1" a="1"/>
  <c r="BO454" i="155" s="1"/>
  <c r="BO415" i="154"/>
  <c r="BO454" i="154" s="1" a="1"/>
  <c r="BO454" i="154" s="1"/>
  <c r="BU415" i="155"/>
  <c r="BU454" i="155" s="1" a="1"/>
  <c r="BU454" i="155" s="1"/>
  <c r="BS415" i="154"/>
  <c r="BS454" i="154" s="1" a="1"/>
  <c r="BS454" i="154" s="1"/>
  <c r="BM415" i="155"/>
  <c r="BM454" i="155" s="1" a="1"/>
  <c r="BM454" i="155" s="1"/>
  <c r="BV415" i="153"/>
  <c r="BV454" i="153" s="1" a="1"/>
  <c r="BV454" i="153" s="1"/>
  <c r="BT415" i="155"/>
  <c r="BT454" i="155" s="1" a="1"/>
  <c r="BT454" i="155" s="1"/>
  <c r="BE415" i="153"/>
  <c r="BE454" i="153" s="1" a="1"/>
  <c r="BE454" i="153" s="1"/>
  <c r="BX415" i="153"/>
  <c r="BX454" i="153" s="1" a="1"/>
  <c r="BX454" i="153" s="1"/>
  <c r="BY415" i="153"/>
  <c r="BY454" i="153" s="1" a="1"/>
  <c r="BY454" i="153" s="1"/>
  <c r="BT415" i="154"/>
  <c r="BT454" i="154" s="1" a="1"/>
  <c r="BT454" i="154" s="1"/>
  <c r="Y415" i="153"/>
  <c r="Y454" i="153" s="1" a="1"/>
  <c r="Y454" i="153" s="1"/>
  <c r="BD415" i="153"/>
  <c r="BD454" i="153" s="1" a="1"/>
  <c r="BD454" i="153" s="1"/>
  <c r="BN415" i="154"/>
  <c r="BN454" i="154" s="1" a="1"/>
  <c r="BN454" i="154" s="1"/>
  <c r="AB265" i="153"/>
  <c r="BX265" i="154"/>
  <c r="BY265" i="154"/>
  <c r="BR273" i="155"/>
  <c r="BR265" i="154"/>
  <c r="BQ265" i="154"/>
  <c r="BQ257" i="155"/>
  <c r="AD265" i="153"/>
  <c r="AE257" i="153"/>
  <c r="AU273" i="153"/>
  <c r="BS257" i="155"/>
  <c r="BV257" i="154"/>
  <c r="BP265" i="154"/>
  <c r="AH273" i="153"/>
  <c r="AG257" i="153"/>
  <c r="AA265" i="153"/>
  <c r="BX273" i="155"/>
  <c r="BP265" i="155"/>
  <c r="BU273" i="154"/>
  <c r="AJ257" i="153"/>
  <c r="AC265" i="153"/>
  <c r="AK257" i="153"/>
  <c r="BY257" i="155"/>
  <c r="AF273" i="153"/>
  <c r="AI257" i="153"/>
  <c r="BH561" i="99"/>
  <c r="BH567" i="99" s="1"/>
  <c r="BI561" i="99"/>
  <c r="BI567" i="99" s="1"/>
  <c r="BU127" i="105"/>
  <c r="BQ301" i="154"/>
  <c r="BV265" i="154"/>
  <c r="BS466" i="155"/>
  <c r="BP273" i="154"/>
  <c r="BW301" i="155"/>
  <c r="BW317" i="155"/>
  <c r="BS309" i="155"/>
  <c r="BP309" i="154"/>
  <c r="BS273" i="155"/>
  <c r="BU309" i="154"/>
  <c r="BS265" i="155"/>
  <c r="BP257" i="154"/>
  <c r="BV466" i="154"/>
  <c r="BQ317" i="155"/>
  <c r="BU257" i="154"/>
  <c r="BP317" i="154"/>
  <c r="BV273" i="154"/>
  <c r="BP466" i="154"/>
  <c r="BS301" i="155"/>
  <c r="BU466" i="154"/>
  <c r="BU265" i="154"/>
  <c r="BQ309" i="154"/>
  <c r="BU301" i="154"/>
  <c r="BQ309" i="155"/>
  <c r="BP466" i="155"/>
  <c r="BP273" i="155"/>
  <c r="BP309" i="155"/>
  <c r="BQ265" i="155"/>
  <c r="BQ466" i="155"/>
  <c r="BQ273" i="155"/>
  <c r="BP301" i="155"/>
  <c r="BQ466" i="154"/>
  <c r="BQ257" i="154"/>
  <c r="BQ273" i="154"/>
  <c r="BP257" i="155"/>
  <c r="AU317" i="153"/>
  <c r="AX293" i="155"/>
  <c r="AX309" i="155" s="1"/>
  <c r="BP293" i="153"/>
  <c r="BP317" i="153" s="1"/>
  <c r="AU257" i="153"/>
  <c r="AT293" i="154"/>
  <c r="AT301" i="154" s="1"/>
  <c r="AT304" i="154" s="1"/>
  <c r="AT32" i="154" s="1"/>
  <c r="AT97" i="154" s="1"/>
  <c r="AT288" i="154"/>
  <c r="AZ249" i="155"/>
  <c r="AU265" i="153"/>
  <c r="AU466" i="153"/>
  <c r="AR293" i="154"/>
  <c r="AR317" i="154" s="1"/>
  <c r="AR320" i="154" s="1"/>
  <c r="AR35" i="154" s="1"/>
  <c r="AR288" i="154"/>
  <c r="AW249" i="154"/>
  <c r="AW244" i="154"/>
  <c r="AX249" i="155"/>
  <c r="AU249" i="154"/>
  <c r="AU244" i="154"/>
  <c r="AS293" i="154"/>
  <c r="AS309" i="154" s="1"/>
  <c r="AS312" i="154" s="1"/>
  <c r="AS33" i="154" s="1"/>
  <c r="AS98" i="154" s="1"/>
  <c r="AS288" i="154"/>
  <c r="AX293" i="154"/>
  <c r="AX309" i="154" s="1"/>
  <c r="AY249" i="154"/>
  <c r="AW293" i="154"/>
  <c r="AW317" i="154" s="1"/>
  <c r="AW320" i="154" s="1"/>
  <c r="AW35" i="154" s="1"/>
  <c r="AW100" i="154" s="1"/>
  <c r="AW288" i="154"/>
  <c r="AT293" i="155"/>
  <c r="AT309" i="155" s="1"/>
  <c r="AV249" i="155"/>
  <c r="AR249" i="155"/>
  <c r="AU293" i="154"/>
  <c r="AU309" i="154" s="1"/>
  <c r="AU312" i="154" s="1"/>
  <c r="AU33" i="154" s="1"/>
  <c r="AU98" i="154" s="1"/>
  <c r="AU288" i="154"/>
  <c r="AY293" i="154"/>
  <c r="AY301" i="154" s="1"/>
  <c r="BQ293" i="153"/>
  <c r="BQ317" i="153" s="1"/>
  <c r="AR249" i="154"/>
  <c r="AR244" i="154"/>
  <c r="AX249" i="154"/>
  <c r="AV293" i="155"/>
  <c r="AV317" i="155" s="1"/>
  <c r="AU301" i="153"/>
  <c r="BQ249" i="153"/>
  <c r="AW249" i="155"/>
  <c r="BR293" i="153"/>
  <c r="BR317" i="153" s="1"/>
  <c r="AZ249" i="154"/>
  <c r="AS249" i="155"/>
  <c r="BR249" i="153"/>
  <c r="AV249" i="154"/>
  <c r="AV244" i="154"/>
  <c r="AZ293" i="154"/>
  <c r="AZ301" i="154" s="1"/>
  <c r="AZ293" i="155"/>
  <c r="AZ301" i="155" s="1"/>
  <c r="BI249" i="153"/>
  <c r="AV293" i="154"/>
  <c r="AV309" i="154" s="1"/>
  <c r="AV312" i="154" s="1"/>
  <c r="AV33" i="154" s="1"/>
  <c r="AV98" i="154" s="1"/>
  <c r="AV288" i="154"/>
  <c r="AS249" i="154"/>
  <c r="AS244" i="154"/>
  <c r="AU249" i="155"/>
  <c r="BI293" i="153"/>
  <c r="BI317" i="153" s="1"/>
  <c r="AU293" i="155"/>
  <c r="AU317" i="155" s="1"/>
  <c r="AY293" i="155"/>
  <c r="AY317" i="155" s="1"/>
  <c r="AY249" i="155"/>
  <c r="AS293" i="155"/>
  <c r="AS309" i="155" s="1"/>
  <c r="AT249" i="154"/>
  <c r="AT244" i="154"/>
  <c r="BT208" i="153"/>
  <c r="BT241" i="153" s="1"/>
  <c r="BT216" i="153"/>
  <c r="BT285" i="153" s="1"/>
  <c r="AR293" i="155"/>
  <c r="AR309" i="155" s="1"/>
  <c r="AT249" i="155"/>
  <c r="AW293" i="155"/>
  <c r="AW309" i="155" s="1"/>
  <c r="BP249" i="153"/>
  <c r="BC293" i="154"/>
  <c r="BC301" i="154" s="1"/>
  <c r="BA293" i="154"/>
  <c r="BA301" i="154" s="1"/>
  <c r="BB249" i="154"/>
  <c r="BB249" i="155"/>
  <c r="BB293" i="154"/>
  <c r="BB309" i="154" s="1"/>
  <c r="BB293" i="155"/>
  <c r="BB301" i="155" s="1"/>
  <c r="BA249" i="155"/>
  <c r="BD293" i="155"/>
  <c r="BD309" i="155" s="1"/>
  <c r="BC249" i="155"/>
  <c r="BE249" i="155"/>
  <c r="BC249" i="154"/>
  <c r="BE293" i="155"/>
  <c r="BD249" i="154"/>
  <c r="BD249" i="155"/>
  <c r="BE293" i="154"/>
  <c r="BE301" i="154" s="1"/>
  <c r="BC293" i="155"/>
  <c r="BC301" i="155" s="1"/>
  <c r="BD293" i="154"/>
  <c r="BD317" i="154" s="1"/>
  <c r="BE249" i="154"/>
  <c r="BA249" i="154"/>
  <c r="BA293" i="155"/>
  <c r="BA301" i="155" s="1"/>
  <c r="BX317" i="154"/>
  <c r="BR317" i="154"/>
  <c r="BX257" i="155"/>
  <c r="BR273" i="154"/>
  <c r="BX317" i="155"/>
  <c r="BR257" i="155"/>
  <c r="BX257" i="154"/>
  <c r="BX301" i="154"/>
  <c r="BI293" i="154"/>
  <c r="BI317" i="154" s="1"/>
  <c r="BH293" i="154"/>
  <c r="BH309" i="154" s="1"/>
  <c r="BJ249" i="155"/>
  <c r="BF249" i="155"/>
  <c r="BY301" i="155"/>
  <c r="BG249" i="154"/>
  <c r="BY309" i="155"/>
  <c r="BH249" i="155"/>
  <c r="BK293" i="154"/>
  <c r="BK317" i="154" s="1"/>
  <c r="BY273" i="154"/>
  <c r="BX309" i="155"/>
  <c r="BJ293" i="154"/>
  <c r="BJ301" i="154" s="1"/>
  <c r="BI293" i="155"/>
  <c r="BG293" i="154"/>
  <c r="BF293" i="155"/>
  <c r="BF301" i="155" s="1"/>
  <c r="BI249" i="154"/>
  <c r="BJ293" i="155"/>
  <c r="BJ309" i="155" s="1"/>
  <c r="BI249" i="155"/>
  <c r="BR317" i="155"/>
  <c r="BR309" i="155"/>
  <c r="BF249" i="154"/>
  <c r="BK249" i="155"/>
  <c r="BK249" i="154"/>
  <c r="BK293" i="155"/>
  <c r="BK317" i="155" s="1"/>
  <c r="BG249" i="155"/>
  <c r="BG293" i="155"/>
  <c r="BG309" i="155" s="1"/>
  <c r="BX273" i="154"/>
  <c r="BF293" i="154"/>
  <c r="BF309" i="154" s="1"/>
  <c r="BY317" i="154"/>
  <c r="BH293" i="155"/>
  <c r="BH309" i="155" s="1"/>
  <c r="BH249" i="154"/>
  <c r="BJ249" i="154"/>
  <c r="BL249" i="155"/>
  <c r="BL249" i="154"/>
  <c r="BR265" i="155"/>
  <c r="BR466" i="155"/>
  <c r="BL293" i="154"/>
  <c r="BL309" i="154" s="1"/>
  <c r="BR257" i="154"/>
  <c r="BR466" i="154"/>
  <c r="BX265" i="155"/>
  <c r="BX466" i="155"/>
  <c r="BY257" i="154"/>
  <c r="BY466" i="154"/>
  <c r="BR309" i="154"/>
  <c r="BY309" i="154"/>
  <c r="BY273" i="155"/>
  <c r="BY265" i="155"/>
  <c r="BY466" i="155"/>
  <c r="BL293" i="155"/>
  <c r="BL309" i="155" s="1"/>
  <c r="BX466" i="154"/>
  <c r="BO618" i="99"/>
  <c r="BO64" i="99"/>
  <c r="AC301" i="153"/>
  <c r="AE309" i="153"/>
  <c r="AI309" i="153"/>
  <c r="AJ309" i="153"/>
  <c r="AB273" i="153"/>
  <c r="BO549" i="99"/>
  <c r="BO613" i="99" s="1"/>
  <c r="BO611" i="99"/>
  <c r="AG309" i="153"/>
  <c r="AG317" i="153"/>
  <c r="AK301" i="153"/>
  <c r="AK273" i="153"/>
  <c r="AD317" i="153"/>
  <c r="AH265" i="153"/>
  <c r="AD301" i="153"/>
  <c r="AE265" i="153"/>
  <c r="AF309" i="153"/>
  <c r="AI317" i="153"/>
  <c r="AJ317" i="153"/>
  <c r="AF265" i="153"/>
  <c r="AB309" i="153"/>
  <c r="AA273" i="153"/>
  <c r="AE317" i="153"/>
  <c r="AH317" i="153"/>
  <c r="AH309" i="153"/>
  <c r="AD273" i="153"/>
  <c r="AJ273" i="153"/>
  <c r="BO535" i="99"/>
  <c r="BO599" i="99" s="1"/>
  <c r="Z265" i="153"/>
  <c r="Z466" i="153"/>
  <c r="AG273" i="153"/>
  <c r="AI273" i="153"/>
  <c r="AC273" i="153"/>
  <c r="AC466" i="153"/>
  <c r="Z301" i="153"/>
  <c r="Z309" i="153"/>
  <c r="AG265" i="153"/>
  <c r="AG466" i="153"/>
  <c r="AI265" i="153"/>
  <c r="AI466" i="153"/>
  <c r="T249" i="153"/>
  <c r="U293" i="153"/>
  <c r="U309" i="153" s="1"/>
  <c r="AF317" i="153"/>
  <c r="AC317" i="153"/>
  <c r="AA257" i="153"/>
  <c r="AA466" i="153"/>
  <c r="AD257" i="153"/>
  <c r="AD466" i="153"/>
  <c r="AB257" i="153"/>
  <c r="AB466" i="153"/>
  <c r="V293" i="153"/>
  <c r="V309" i="153" s="1"/>
  <c r="S293" i="153"/>
  <c r="S317" i="153" s="1"/>
  <c r="AH257" i="153"/>
  <c r="AH466" i="153"/>
  <c r="AA317" i="153"/>
  <c r="U249" i="153"/>
  <c r="T293" i="153"/>
  <c r="T301" i="153" s="1"/>
  <c r="W293" i="153"/>
  <c r="W317" i="153" s="1"/>
  <c r="AA301" i="153"/>
  <c r="AB301" i="153"/>
  <c r="X293" i="153"/>
  <c r="X309" i="153" s="1"/>
  <c r="AK317" i="153"/>
  <c r="V249" i="153"/>
  <c r="AF257" i="153"/>
  <c r="AF466" i="153"/>
  <c r="X249" i="153"/>
  <c r="S249" i="153"/>
  <c r="W249" i="153"/>
  <c r="AJ265" i="153"/>
  <c r="AJ466" i="153"/>
  <c r="Z257" i="153"/>
  <c r="AC257" i="153"/>
  <c r="Z273" i="153"/>
  <c r="AK265" i="153"/>
  <c r="AK466" i="153"/>
  <c r="AE273" i="153"/>
  <c r="AE466" i="153"/>
  <c r="BO229" i="99"/>
  <c r="BP17" i="69"/>
  <c r="BU76" i="105" s="1"/>
  <c r="BR3" i="69"/>
  <c r="BR4" i="69" s="1"/>
  <c r="BQ2" i="69" a="1"/>
  <c r="BQ2" i="69" s="1"/>
  <c r="BQ10" i="69"/>
  <c r="BQ14" i="69"/>
  <c r="BQ11" i="69"/>
  <c r="BQ9" i="69"/>
  <c r="BQ8" i="69"/>
  <c r="BQ7" i="69"/>
  <c r="BQ12" i="69"/>
  <c r="BQ13" i="69"/>
  <c r="BQ15" i="69"/>
  <c r="BO232" i="99"/>
  <c r="BJ551" i="99"/>
  <c r="BJ555" i="99" s="1"/>
  <c r="BJ608" i="99"/>
  <c r="BO512" i="99"/>
  <c r="BN576" i="99"/>
  <c r="BN515" i="99"/>
  <c r="BI556" i="99"/>
  <c r="BI619" i="99"/>
  <c r="BI620" i="99" s="1"/>
  <c r="BO585" i="99"/>
  <c r="BO524" i="99"/>
  <c r="BH556" i="99"/>
  <c r="BH619" i="99"/>
  <c r="BH620" i="99" s="1"/>
  <c r="BI616" i="99"/>
  <c r="BO233" i="99"/>
  <c r="BH616" i="99"/>
  <c r="BO542" i="99"/>
  <c r="BO606" i="99" s="1"/>
  <c r="BO602" i="99"/>
  <c r="BL223" i="99"/>
  <c r="BL582" i="99"/>
  <c r="BL593" i="99"/>
  <c r="BL594" i="99" s="1"/>
  <c r="BL530" i="99"/>
  <c r="BL544" i="99"/>
  <c r="BM590" i="99"/>
  <c r="BU527" i="99"/>
  <c r="BL591" i="99"/>
  <c r="BL224" i="99"/>
  <c r="BP541" i="99"/>
  <c r="BP605" i="99" s="1"/>
  <c r="BP547" i="99"/>
  <c r="BP611" i="99" s="1"/>
  <c r="BP548" i="99"/>
  <c r="BP612" i="99" s="1"/>
  <c r="BP540" i="99"/>
  <c r="BP604" i="99" s="1"/>
  <c r="BP538" i="99"/>
  <c r="BP534" i="99"/>
  <c r="BP598" i="99" s="1"/>
  <c r="BP539" i="99"/>
  <c r="BP603" i="99" s="1"/>
  <c r="BP523" i="99"/>
  <c r="BP587" i="99" s="1"/>
  <c r="BP509" i="99"/>
  <c r="BP573" i="99" s="1"/>
  <c r="BP507" i="99"/>
  <c r="BP522" i="99"/>
  <c r="BP586" i="99" s="1"/>
  <c r="BP521" i="99"/>
  <c r="BP525" i="99"/>
  <c r="BP589" i="99" s="1"/>
  <c r="BP558" i="99"/>
  <c r="BP622" i="99" s="1"/>
  <c r="BP514" i="99"/>
  <c r="BP578" i="99" s="1"/>
  <c r="BP533" i="99"/>
  <c r="BP516" i="99"/>
  <c r="BP580" i="99" s="1"/>
  <c r="BP513" i="99"/>
  <c r="BP577" i="99" s="1"/>
  <c r="BR3" i="99"/>
  <c r="BR4" i="99" s="1"/>
  <c r="BQ2" i="99" a="1"/>
  <c r="BQ2" i="99" s="1"/>
  <c r="BQ554" i="99" s="1"/>
  <c r="BQ474" i="99"/>
  <c r="BQ475" i="99"/>
  <c r="BQ476" i="99"/>
  <c r="BQ498" i="99"/>
  <c r="BQ482" i="99" s="1"/>
  <c r="BQ490" i="99" s="1"/>
  <c r="BQ499" i="99"/>
  <c r="BQ483" i="99" s="1"/>
  <c r="BQ491" i="99" s="1"/>
  <c r="BQ477" i="99"/>
  <c r="BQ500" i="99"/>
  <c r="BQ484" i="99" s="1"/>
  <c r="BQ492" i="99" s="1"/>
  <c r="BQ478" i="99"/>
  <c r="BQ501" i="99"/>
  <c r="BQ485" i="99" s="1"/>
  <c r="BQ493" i="99" s="1"/>
  <c r="BQ502" i="99"/>
  <c r="BQ486" i="99" s="1"/>
  <c r="BQ494" i="99" s="1"/>
  <c r="BQ479" i="99"/>
  <c r="BQ503" i="99"/>
  <c r="BQ487" i="99" s="1"/>
  <c r="BQ495" i="99" s="1"/>
  <c r="BM579" i="99"/>
  <c r="BM517" i="99"/>
  <c r="BK608" i="99"/>
  <c r="BK551" i="99"/>
  <c r="BK555" i="99" s="1"/>
  <c r="BK223" i="99"/>
  <c r="BK582" i="99"/>
  <c r="BG625" i="99"/>
  <c r="BG626" i="99" s="1"/>
  <c r="BG562" i="99"/>
  <c r="BG631" i="99"/>
  <c r="BO230" i="99"/>
  <c r="BO228" i="99"/>
  <c r="BO234" i="99"/>
  <c r="BN588" i="99"/>
  <c r="BN526" i="99"/>
  <c r="BR37" i="72"/>
  <c r="BS5" i="72"/>
  <c r="BS6" i="72" s="1"/>
  <c r="BR36" i="72"/>
  <c r="BR38" i="72" s="1"/>
  <c r="BR39" i="72" s="1"/>
  <c r="BR47" i="72"/>
  <c r="BR48" i="72"/>
  <c r="BP64" i="99"/>
  <c r="BR6" i="98"/>
  <c r="BQ70" i="103"/>
  <c r="BV70" i="105" s="1"/>
  <c r="BQ35" i="151" s="1"/>
  <c r="BS4" i="72" l="1" a="1"/>
  <c r="BS4" i="72" s="1"/>
  <c r="BP40" i="151"/>
  <c r="BU132" i="105"/>
  <c r="AR100" i="154"/>
  <c r="BO129" i="99"/>
  <c r="AC415" i="153"/>
  <c r="AC454" i="153" s="1" a="1"/>
  <c r="AC454" i="153" s="1"/>
  <c r="AG415" i="153"/>
  <c r="AG454" i="153" s="1" a="1"/>
  <c r="AG454" i="153" s="1"/>
  <c r="BX415" i="155"/>
  <c r="BX454" i="155" s="1" a="1"/>
  <c r="BX454" i="155" s="1"/>
  <c r="BV415" i="154"/>
  <c r="BV454" i="154" s="1" a="1"/>
  <c r="BV454" i="154" s="1"/>
  <c r="BU415" i="154"/>
  <c r="BU454" i="154" s="1" a="1"/>
  <c r="BU454" i="154" s="1"/>
  <c r="AD415" i="153"/>
  <c r="AD454" i="153" s="1" a="1"/>
  <c r="AD454" i="153" s="1"/>
  <c r="AA415" i="153"/>
  <c r="AA454" i="153" s="1" a="1"/>
  <c r="AA454" i="153" s="1"/>
  <c r="AU415" i="153"/>
  <c r="AU454" i="153" s="1" a="1"/>
  <c r="AU454" i="153" s="1"/>
  <c r="BP415" i="155"/>
  <c r="BP454" i="155" s="1" a="1"/>
  <c r="BP454" i="155" s="1"/>
  <c r="BS415" i="155"/>
  <c r="BS454" i="155" s="1" a="1"/>
  <c r="BS454" i="155" s="1"/>
  <c r="AH415" i="153"/>
  <c r="AH454" i="153" s="1" a="1"/>
  <c r="AH454" i="153" s="1"/>
  <c r="BP415" i="154"/>
  <c r="BP454" i="154" s="1" a="1"/>
  <c r="BP454" i="154" s="1"/>
  <c r="AK415" i="153"/>
  <c r="AK454" i="153" s="1" a="1"/>
  <c r="AK454" i="153" s="1"/>
  <c r="BR415" i="155"/>
  <c r="BR454" i="155" s="1" a="1"/>
  <c r="BR454" i="155" s="1"/>
  <c r="AE415" i="153"/>
  <c r="AE454" i="153" s="1" a="1"/>
  <c r="AE454" i="153" s="1"/>
  <c r="BY415" i="155"/>
  <c r="BY454" i="155" s="1" a="1"/>
  <c r="BY454" i="155" s="1"/>
  <c r="AJ415" i="153"/>
  <c r="AJ454" i="153" s="1" a="1"/>
  <c r="AJ454" i="153" s="1"/>
  <c r="AF415" i="153"/>
  <c r="AF454" i="153" s="1" a="1"/>
  <c r="AF454" i="153" s="1"/>
  <c r="AI415" i="153"/>
  <c r="AI454" i="153" s="1" a="1"/>
  <c r="AI454" i="153" s="1"/>
  <c r="BR415" i="154"/>
  <c r="BR454" i="154" s="1" a="1"/>
  <c r="BR454" i="154" s="1"/>
  <c r="BX415" i="154"/>
  <c r="BX454" i="154" s="1" a="1"/>
  <c r="BX454" i="154" s="1"/>
  <c r="Z415" i="153"/>
  <c r="Z454" i="153" s="1" a="1"/>
  <c r="Z454" i="153" s="1"/>
  <c r="AB415" i="153"/>
  <c r="AB454" i="153" s="1" a="1"/>
  <c r="AB454" i="153" s="1"/>
  <c r="BY415" i="154"/>
  <c r="BY454" i="154" s="1" a="1"/>
  <c r="BY454" i="154" s="1"/>
  <c r="BW415" i="155"/>
  <c r="BW454" i="155" s="1" a="1"/>
  <c r="BW454" i="155" s="1"/>
  <c r="BQ415" i="155"/>
  <c r="BQ454" i="155" s="1" a="1"/>
  <c r="BQ454" i="155" s="1"/>
  <c r="BQ415" i="154"/>
  <c r="BQ454" i="154" s="1" a="1"/>
  <c r="BQ454" i="154" s="1"/>
  <c r="AR257" i="154"/>
  <c r="AR260" i="154" s="1"/>
  <c r="AR23" i="154" s="1"/>
  <c r="BF265" i="154"/>
  <c r="AT257" i="155"/>
  <c r="BE265" i="154"/>
  <c r="AZ273" i="154"/>
  <c r="BQ257" i="153"/>
  <c r="AV257" i="155"/>
  <c r="BD265" i="155"/>
  <c r="BE257" i="155"/>
  <c r="AY257" i="155"/>
  <c r="U265" i="153"/>
  <c r="BB257" i="154"/>
  <c r="BK265" i="154"/>
  <c r="BL273" i="155"/>
  <c r="BC257" i="154"/>
  <c r="BH265" i="155"/>
  <c r="BL273" i="154"/>
  <c r="BC257" i="155"/>
  <c r="AU257" i="155"/>
  <c r="AW257" i="155"/>
  <c r="AU265" i="154"/>
  <c r="AU268" i="154" s="1"/>
  <c r="AU24" i="154" s="1"/>
  <c r="AU89" i="154" s="1"/>
  <c r="T273" i="153"/>
  <c r="AZ273" i="155"/>
  <c r="BI265" i="155"/>
  <c r="AV257" i="154"/>
  <c r="AV260" i="154" s="1"/>
  <c r="AV23" i="154" s="1"/>
  <c r="AV88" i="154" s="1"/>
  <c r="BA257" i="154"/>
  <c r="BD257" i="154"/>
  <c r="BA257" i="155"/>
  <c r="BR273" i="153"/>
  <c r="AR273" i="155"/>
  <c r="BH265" i="154"/>
  <c r="BP273" i="153"/>
  <c r="BI265" i="153"/>
  <c r="W257" i="153"/>
  <c r="BG273" i="154"/>
  <c r="BJ257" i="155"/>
  <c r="AY265" i="154"/>
  <c r="S257" i="153"/>
  <c r="BK257" i="155"/>
  <c r="X257" i="153"/>
  <c r="BB265" i="155"/>
  <c r="AS273" i="155"/>
  <c r="AX257" i="155"/>
  <c r="AW257" i="154"/>
  <c r="AW260" i="154" s="1"/>
  <c r="AW23" i="154" s="1"/>
  <c r="AW88" i="154" s="1"/>
  <c r="V265" i="153"/>
  <c r="BF257" i="155"/>
  <c r="BG273" i="155"/>
  <c r="AT273" i="154"/>
  <c r="AT276" i="154" s="1"/>
  <c r="AT26" i="154" s="1"/>
  <c r="AT91" i="154" s="1"/>
  <c r="AS273" i="154"/>
  <c r="AS276" i="154" s="1"/>
  <c r="AS26" i="154" s="1"/>
  <c r="AS91" i="154" s="1"/>
  <c r="BI257" i="154"/>
  <c r="AX273" i="154"/>
  <c r="BV127" i="105"/>
  <c r="BP309" i="153"/>
  <c r="AW301" i="155"/>
  <c r="AT265" i="154"/>
  <c r="AT268" i="154" s="1"/>
  <c r="AT24" i="154" s="1"/>
  <c r="AT89" i="154" s="1"/>
  <c r="AU273" i="155"/>
  <c r="AY265" i="155"/>
  <c r="AS301" i="155"/>
  <c r="AS265" i="155"/>
  <c r="AZ265" i="155"/>
  <c r="AX301" i="154"/>
  <c r="AU317" i="154"/>
  <c r="AU320" i="154" s="1"/>
  <c r="AU35" i="154" s="1"/>
  <c r="AU100" i="154" s="1"/>
  <c r="BI309" i="153"/>
  <c r="AX317" i="155"/>
  <c r="AW301" i="154"/>
  <c r="AW304" i="154" s="1"/>
  <c r="AW32" i="154" s="1"/>
  <c r="AW97" i="154" s="1"/>
  <c r="AW265" i="154"/>
  <c r="AW268" i="154" s="1"/>
  <c r="AW24" i="154" s="1"/>
  <c r="AW89" i="154" s="1"/>
  <c r="BQ273" i="153"/>
  <c r="BQ301" i="153"/>
  <c r="AU257" i="154"/>
  <c r="AU260" i="154" s="1"/>
  <c r="AU23" i="154" s="1"/>
  <c r="AU88" i="154" s="1"/>
  <c r="AY309" i="155"/>
  <c r="AY257" i="154"/>
  <c r="AW273" i="155"/>
  <c r="AX257" i="154"/>
  <c r="AU309" i="155"/>
  <c r="AS257" i="154"/>
  <c r="AS260" i="154" s="1"/>
  <c r="AS23" i="154" s="1"/>
  <c r="AS88" i="154" s="1"/>
  <c r="BI273" i="153"/>
  <c r="AV273" i="155"/>
  <c r="AS317" i="154"/>
  <c r="AS320" i="154" s="1"/>
  <c r="AS35" i="154" s="1"/>
  <c r="AS100" i="154" s="1"/>
  <c r="BR301" i="153"/>
  <c r="AV301" i="155"/>
  <c r="BQ309" i="153"/>
  <c r="AT309" i="154"/>
  <c r="AT312" i="154" s="1"/>
  <c r="AT33" i="154" s="1"/>
  <c r="AT98" i="154" s="1"/>
  <c r="AR273" i="154"/>
  <c r="AR276" i="154" s="1"/>
  <c r="AR26" i="154" s="1"/>
  <c r="BP265" i="153"/>
  <c r="AZ257" i="154"/>
  <c r="AX273" i="155"/>
  <c r="AV273" i="154"/>
  <c r="AV276" i="154" s="1"/>
  <c r="AV26" i="154" s="1"/>
  <c r="AV91" i="154" s="1"/>
  <c r="AR301" i="154"/>
  <c r="AR304" i="154" s="1"/>
  <c r="AR32" i="154" s="1"/>
  <c r="AZ309" i="155"/>
  <c r="AR466" i="155"/>
  <c r="AS257" i="155"/>
  <c r="AS466" i="155"/>
  <c r="BQ265" i="153"/>
  <c r="BQ466" i="153"/>
  <c r="AU273" i="154"/>
  <c r="AU276" i="154" s="1"/>
  <c r="AU26" i="154" s="1"/>
  <c r="AU91" i="154" s="1"/>
  <c r="AU466" i="154"/>
  <c r="AU252" i="154"/>
  <c r="AU22" i="154" s="1"/>
  <c r="AW273" i="154"/>
  <c r="AW276" i="154" s="1"/>
  <c r="AW26" i="154" s="1"/>
  <c r="AW91" i="154" s="1"/>
  <c r="AW466" i="154"/>
  <c r="AW252" i="154"/>
  <c r="AW22" i="154" s="1"/>
  <c r="BT293" i="153"/>
  <c r="BT301" i="153" s="1"/>
  <c r="AY301" i="155"/>
  <c r="BI257" i="153"/>
  <c r="BI466" i="153"/>
  <c r="AR265" i="154"/>
  <c r="AR268" i="154" s="1"/>
  <c r="AR24" i="154" s="1"/>
  <c r="AR466" i="154"/>
  <c r="AR252" i="154"/>
  <c r="AR22" i="154" s="1"/>
  <c r="BT249" i="153"/>
  <c r="AW265" i="155"/>
  <c r="AW466" i="155"/>
  <c r="AT265" i="155"/>
  <c r="AW309" i="154"/>
  <c r="AW312" i="154" s="1"/>
  <c r="AW33" i="154" s="1"/>
  <c r="AW98" i="154" s="1"/>
  <c r="AW296" i="154"/>
  <c r="AW31" i="154" s="1"/>
  <c r="AS317" i="155"/>
  <c r="BR309" i="153"/>
  <c r="AT273" i="155"/>
  <c r="AT466" i="155"/>
  <c r="BR265" i="153"/>
  <c r="AY317" i="154"/>
  <c r="AV265" i="155"/>
  <c r="AV466" i="155"/>
  <c r="AX317" i="154"/>
  <c r="AZ257" i="155"/>
  <c r="AZ466" i="155"/>
  <c r="AX301" i="155"/>
  <c r="BR257" i="153"/>
  <c r="BR466" i="153"/>
  <c r="AY309" i="154"/>
  <c r="BP257" i="153"/>
  <c r="BP466" i="153"/>
  <c r="AR317" i="155"/>
  <c r="BI301" i="153"/>
  <c r="AZ309" i="154"/>
  <c r="AS301" i="154"/>
  <c r="AS304" i="154" s="1"/>
  <c r="AS32" i="154" s="1"/>
  <c r="AS97" i="154" s="1"/>
  <c r="AS296" i="154"/>
  <c r="AS31" i="154" s="1"/>
  <c r="AS265" i="154"/>
  <c r="AS268" i="154" s="1"/>
  <c r="AS24" i="154" s="1"/>
  <c r="AS89" i="154" s="1"/>
  <c r="AS466" i="154"/>
  <c r="AS252" i="154"/>
  <c r="AS22" i="154" s="1"/>
  <c r="AT317" i="154"/>
  <c r="AT320" i="154" s="1"/>
  <c r="AT35" i="154" s="1"/>
  <c r="AT100" i="154" s="1"/>
  <c r="AT296" i="154"/>
  <c r="AT31" i="154" s="1"/>
  <c r="AR301" i="155"/>
  <c r="AZ317" i="154"/>
  <c r="AU265" i="155"/>
  <c r="AU466" i="155"/>
  <c r="AV301" i="154"/>
  <c r="AV304" i="154" s="1"/>
  <c r="AV32" i="154" s="1"/>
  <c r="AV97" i="154" s="1"/>
  <c r="AZ317" i="155"/>
  <c r="AW317" i="155"/>
  <c r="AZ265" i="154"/>
  <c r="AZ466" i="154"/>
  <c r="AY273" i="154"/>
  <c r="AY466" i="154"/>
  <c r="AV317" i="154"/>
  <c r="AV320" i="154" s="1"/>
  <c r="AV35" i="154" s="1"/>
  <c r="AV100" i="154" s="1"/>
  <c r="AV296" i="154"/>
  <c r="AV31" i="154" s="1"/>
  <c r="AV309" i="155"/>
  <c r="AU301" i="154"/>
  <c r="AU304" i="154" s="1"/>
  <c r="AU32" i="154" s="1"/>
  <c r="AU97" i="154" s="1"/>
  <c r="AU296" i="154"/>
  <c r="AU31" i="154" s="1"/>
  <c r="AT317" i="155"/>
  <c r="AY273" i="155"/>
  <c r="AY466" i="155"/>
  <c r="AV265" i="154"/>
  <c r="AV268" i="154" s="1"/>
  <c r="AV24" i="154" s="1"/>
  <c r="AV89" i="154" s="1"/>
  <c r="AV466" i="154"/>
  <c r="AV252" i="154"/>
  <c r="AV22" i="154" s="1"/>
  <c r="AT301" i="155"/>
  <c r="AT257" i="154"/>
  <c r="AT260" i="154" s="1"/>
  <c r="AT23" i="154" s="1"/>
  <c r="AT88" i="154" s="1"/>
  <c r="AT466" i="154"/>
  <c r="AT252" i="154"/>
  <c r="AT22" i="154" s="1"/>
  <c r="AU301" i="155"/>
  <c r="AR265" i="155"/>
  <c r="AX265" i="155"/>
  <c r="AX466" i="155"/>
  <c r="AX265" i="154"/>
  <c r="AX466" i="154"/>
  <c r="AR257" i="155"/>
  <c r="AR309" i="154"/>
  <c r="AR312" i="154" s="1"/>
  <c r="AR33" i="154" s="1"/>
  <c r="AR296" i="154"/>
  <c r="AR31" i="154" s="1"/>
  <c r="BP301" i="153"/>
  <c r="BO129" i="104"/>
  <c r="BO64" i="104" s="1"/>
  <c r="BT64" i="105" s="1"/>
  <c r="BO30" i="151" s="1"/>
  <c r="BD301" i="154"/>
  <c r="BC273" i="155"/>
  <c r="BD273" i="155"/>
  <c r="BA273" i="154"/>
  <c r="BE301" i="155"/>
  <c r="BD317" i="155"/>
  <c r="BL301" i="155"/>
  <c r="BE309" i="155"/>
  <c r="BE317" i="155"/>
  <c r="BB273" i="154"/>
  <c r="BB317" i="154"/>
  <c r="BB273" i="155"/>
  <c r="BA309" i="155"/>
  <c r="BA309" i="154"/>
  <c r="BE273" i="154"/>
  <c r="BE466" i="154"/>
  <c r="BE317" i="154"/>
  <c r="BB309" i="155"/>
  <c r="BE273" i="155"/>
  <c r="BE466" i="155"/>
  <c r="BC317" i="154"/>
  <c r="BB317" i="155"/>
  <c r="BD257" i="155"/>
  <c r="BD466" i="155"/>
  <c r="BC309" i="154"/>
  <c r="BD309" i="154"/>
  <c r="BA317" i="154"/>
  <c r="BC309" i="155"/>
  <c r="BB257" i="155"/>
  <c r="BB466" i="155"/>
  <c r="BC317" i="155"/>
  <c r="BA317" i="155"/>
  <c r="BA265" i="154"/>
  <c r="BA466" i="154"/>
  <c r="BC265" i="154"/>
  <c r="BD273" i="154"/>
  <c r="BA265" i="155"/>
  <c r="BC273" i="154"/>
  <c r="BC466" i="154"/>
  <c r="BA273" i="155"/>
  <c r="BA466" i="155"/>
  <c r="BB265" i="154"/>
  <c r="BB466" i="154"/>
  <c r="BD265" i="154"/>
  <c r="BD466" i="154"/>
  <c r="BC265" i="155"/>
  <c r="BC466" i="155"/>
  <c r="BE257" i="154"/>
  <c r="BD301" i="155"/>
  <c r="BE309" i="154"/>
  <c r="BE265" i="155"/>
  <c r="BB301" i="154"/>
  <c r="BL257" i="155"/>
  <c r="BF317" i="155"/>
  <c r="BO129" i="103"/>
  <c r="BH257" i="154"/>
  <c r="BH301" i="154"/>
  <c r="BK273" i="154"/>
  <c r="BG301" i="155"/>
  <c r="BK273" i="155"/>
  <c r="BI257" i="155"/>
  <c r="BG265" i="154"/>
  <c r="BJ301" i="155"/>
  <c r="BK301" i="155"/>
  <c r="BK301" i="154"/>
  <c r="BJ265" i="155"/>
  <c r="BI309" i="154"/>
  <c r="BF301" i="154"/>
  <c r="BG257" i="155"/>
  <c r="BH273" i="155"/>
  <c r="BJ273" i="154"/>
  <c r="BJ466" i="154"/>
  <c r="BG309" i="154"/>
  <c r="BI301" i="155"/>
  <c r="BL317" i="154"/>
  <c r="BH301" i="155"/>
  <c r="BG265" i="155"/>
  <c r="BG466" i="155"/>
  <c r="BH257" i="155"/>
  <c r="BH466" i="155"/>
  <c r="BI301" i="154"/>
  <c r="BH317" i="155"/>
  <c r="BF257" i="154"/>
  <c r="BF273" i="154"/>
  <c r="BF466" i="154"/>
  <c r="BH273" i="154"/>
  <c r="BH466" i="154"/>
  <c r="BK257" i="154"/>
  <c r="BK466" i="154"/>
  <c r="BF265" i="155"/>
  <c r="BH317" i="154"/>
  <c r="BJ317" i="155"/>
  <c r="BF273" i="155"/>
  <c r="BF466" i="155"/>
  <c r="BK309" i="155"/>
  <c r="BK309" i="154"/>
  <c r="BF317" i="154"/>
  <c r="BI273" i="155"/>
  <c r="BI466" i="155"/>
  <c r="BL265" i="154"/>
  <c r="BK265" i="155"/>
  <c r="BK466" i="155"/>
  <c r="BI273" i="154"/>
  <c r="BJ317" i="154"/>
  <c r="BI265" i="154"/>
  <c r="BI466" i="154"/>
  <c r="BJ309" i="154"/>
  <c r="BJ273" i="155"/>
  <c r="BJ466" i="155"/>
  <c r="BJ257" i="154"/>
  <c r="BF309" i="155"/>
  <c r="BG317" i="154"/>
  <c r="BI317" i="155"/>
  <c r="BJ265" i="154"/>
  <c r="BG317" i="155"/>
  <c r="BG301" i="154"/>
  <c r="BI309" i="155"/>
  <c r="BG257" i="154"/>
  <c r="BG466" i="154"/>
  <c r="BL265" i="155"/>
  <c r="BL466" i="155"/>
  <c r="BL317" i="155"/>
  <c r="BL301" i="154"/>
  <c r="BL257" i="154"/>
  <c r="BL466" i="154"/>
  <c r="BP535" i="99"/>
  <c r="BP599" i="99" s="1"/>
  <c r="Y160" i="154"/>
  <c r="S175" i="154" s="1"/>
  <c r="Y160" i="155"/>
  <c r="S175" i="155" s="1"/>
  <c r="BP129" i="103"/>
  <c r="BP129" i="104"/>
  <c r="BP64" i="104" s="1"/>
  <c r="BU64" i="105" s="1"/>
  <c r="BP30" i="151" s="1"/>
  <c r="W301" i="153"/>
  <c r="T317" i="153"/>
  <c r="W265" i="153"/>
  <c r="X265" i="153"/>
  <c r="BP597" i="99"/>
  <c r="S273" i="153"/>
  <c r="S309" i="153"/>
  <c r="V257" i="153"/>
  <c r="X273" i="153"/>
  <c r="T265" i="153"/>
  <c r="V317" i="153"/>
  <c r="X301" i="153"/>
  <c r="U257" i="153"/>
  <c r="U301" i="153"/>
  <c r="X317" i="153"/>
  <c r="S301" i="153"/>
  <c r="W273" i="153"/>
  <c r="W466" i="153"/>
  <c r="T257" i="153"/>
  <c r="T466" i="153"/>
  <c r="V301" i="153"/>
  <c r="S265" i="153"/>
  <c r="S466" i="153"/>
  <c r="W309" i="153"/>
  <c r="X466" i="153"/>
  <c r="T309" i="153"/>
  <c r="U273" i="153"/>
  <c r="U466" i="153"/>
  <c r="V273" i="153"/>
  <c r="V466" i="153"/>
  <c r="U317" i="153"/>
  <c r="BP549" i="99"/>
  <c r="BP613" i="99" s="1"/>
  <c r="BP228" i="99"/>
  <c r="BP512" i="99"/>
  <c r="BP576" i="99" s="1"/>
  <c r="BS3" i="69"/>
  <c r="BS4" i="69" s="1"/>
  <c r="BR2" i="69" a="1"/>
  <c r="BR2" i="69" s="1"/>
  <c r="BR7" i="69"/>
  <c r="BR12" i="69"/>
  <c r="BR10" i="69"/>
  <c r="BR11" i="69"/>
  <c r="BR8" i="69"/>
  <c r="BR9" i="69"/>
  <c r="BR16" i="69"/>
  <c r="BR13" i="69"/>
  <c r="BR14" i="69"/>
  <c r="BP233" i="99"/>
  <c r="BH625" i="99"/>
  <c r="BH626" i="99" s="1"/>
  <c r="BH562" i="99"/>
  <c r="BH631" i="99"/>
  <c r="BO526" i="99"/>
  <c r="BO588" i="99"/>
  <c r="BL551" i="99"/>
  <c r="BL555" i="99" s="1"/>
  <c r="BL608" i="99"/>
  <c r="BP230" i="99"/>
  <c r="BP229" i="99"/>
  <c r="BI625" i="99"/>
  <c r="BI626" i="99" s="1"/>
  <c r="BI631" i="99"/>
  <c r="BI562" i="99"/>
  <c r="BK559" i="99" a="1"/>
  <c r="BK559" i="99" s="1"/>
  <c r="BK623" i="99" s="1"/>
  <c r="BK615" i="99"/>
  <c r="BK552" i="99"/>
  <c r="BP234" i="99"/>
  <c r="BP524" i="99"/>
  <c r="BP585" i="99"/>
  <c r="BN579" i="99"/>
  <c r="BN517" i="99"/>
  <c r="BP232" i="99"/>
  <c r="BQ547" i="99"/>
  <c r="BQ548" i="99"/>
  <c r="BQ612" i="99" s="1"/>
  <c r="BQ540" i="99"/>
  <c r="BQ604" i="99" s="1"/>
  <c r="BQ538" i="99"/>
  <c r="BQ534" i="99"/>
  <c r="BQ598" i="99" s="1"/>
  <c r="BQ539" i="99"/>
  <c r="BQ603" i="99" s="1"/>
  <c r="BQ541" i="99"/>
  <c r="BQ605" i="99" s="1"/>
  <c r="BQ521" i="99"/>
  <c r="BQ522" i="99"/>
  <c r="BQ586" i="99" s="1"/>
  <c r="BQ507" i="99"/>
  <c r="BQ525" i="99"/>
  <c r="BQ589" i="99" s="1"/>
  <c r="BQ509" i="99"/>
  <c r="BQ573" i="99" s="1"/>
  <c r="BQ523" i="99"/>
  <c r="BQ587" i="99" s="1"/>
  <c r="BQ558" i="99"/>
  <c r="BQ622" i="99" s="1"/>
  <c r="BQ514" i="99"/>
  <c r="BQ578" i="99" s="1"/>
  <c r="BQ516" i="99"/>
  <c r="BQ580" i="99" s="1"/>
  <c r="BQ513" i="99"/>
  <c r="BQ577" i="99" s="1"/>
  <c r="BQ533" i="99"/>
  <c r="BM591" i="99"/>
  <c r="BM224" i="99"/>
  <c r="BS3" i="99"/>
  <c r="BS4" i="99" s="1"/>
  <c r="BR2" i="99" a="1"/>
  <c r="BR2" i="99" s="1"/>
  <c r="BR554" i="99" s="1"/>
  <c r="BR474" i="99"/>
  <c r="BR475" i="99"/>
  <c r="BR499" i="99"/>
  <c r="BR483" i="99" s="1"/>
  <c r="BR491" i="99" s="1"/>
  <c r="BR476" i="99"/>
  <c r="BR498" i="99"/>
  <c r="BR482" i="99" s="1"/>
  <c r="BR490" i="99" s="1"/>
  <c r="BR500" i="99"/>
  <c r="BR484" i="99" s="1"/>
  <c r="BR492" i="99" s="1"/>
  <c r="BR477" i="99"/>
  <c r="BR478" i="99"/>
  <c r="BR501" i="99"/>
  <c r="BR485" i="99" s="1"/>
  <c r="BR493" i="99" s="1"/>
  <c r="BR479" i="99"/>
  <c r="BR502" i="99"/>
  <c r="BR486" i="99" s="1"/>
  <c r="BR494" i="99" s="1"/>
  <c r="BR503" i="99"/>
  <c r="BR487" i="99" s="1"/>
  <c r="BR495" i="99" s="1"/>
  <c r="BN590" i="99"/>
  <c r="BV527" i="99"/>
  <c r="BP602" i="99"/>
  <c r="BP542" i="99"/>
  <c r="BP606" i="99" s="1"/>
  <c r="BM529" i="99"/>
  <c r="BM518" i="99"/>
  <c r="BM581" i="99"/>
  <c r="BO576" i="99"/>
  <c r="BO515" i="99"/>
  <c r="BJ559" i="99" a="1"/>
  <c r="BJ559" i="99" s="1"/>
  <c r="BJ623" i="99" s="1"/>
  <c r="BJ615" i="99"/>
  <c r="BJ552" i="99"/>
  <c r="BT5" i="72"/>
  <c r="BT6" i="72" s="1"/>
  <c r="BS36" i="72"/>
  <c r="BS38" i="72" s="1"/>
  <c r="BS39" i="72" s="1"/>
  <c r="BS37" i="72"/>
  <c r="BS48" i="72"/>
  <c r="BS47" i="72"/>
  <c r="BP129" i="99"/>
  <c r="BP618" i="99"/>
  <c r="BS6" i="98"/>
  <c r="BR70" i="103"/>
  <c r="BW70" i="105" s="1"/>
  <c r="BR35" i="151" s="1"/>
  <c r="BT4" i="72" l="1" a="1"/>
  <c r="BT4" i="72" s="1"/>
  <c r="AS87" i="154"/>
  <c r="AS25" i="154"/>
  <c r="AV87" i="154"/>
  <c r="AV25" i="154"/>
  <c r="AU87" i="154"/>
  <c r="AU25" i="154"/>
  <c r="AS96" i="154"/>
  <c r="AS34" i="154"/>
  <c r="AR96" i="154"/>
  <c r="AR34" i="154"/>
  <c r="AV96" i="154"/>
  <c r="AV34" i="154"/>
  <c r="AW96" i="154"/>
  <c r="AW34" i="154"/>
  <c r="AR98" i="154"/>
  <c r="AR87" i="154"/>
  <c r="AR25" i="154"/>
  <c r="AR97" i="154"/>
  <c r="AT87" i="154"/>
  <c r="AT25" i="154"/>
  <c r="AR89" i="154"/>
  <c r="AU96" i="154"/>
  <c r="AU34" i="154"/>
  <c r="AR91" i="154"/>
  <c r="AT96" i="154"/>
  <c r="AT34" i="154"/>
  <c r="AW87" i="154"/>
  <c r="AW25" i="154"/>
  <c r="AR88" i="154"/>
  <c r="BU122" i="105"/>
  <c r="BT122" i="105"/>
  <c r="BD415" i="155"/>
  <c r="AS415" i="155"/>
  <c r="AV415" i="155"/>
  <c r="AV454" i="155" s="1" a="1"/>
  <c r="AV454" i="155" s="1"/>
  <c r="BI415" i="154"/>
  <c r="BB415" i="155"/>
  <c r="AU415" i="155"/>
  <c r="BC415" i="155"/>
  <c r="BC454" i="155" s="1" a="1"/>
  <c r="BC454" i="155" s="1"/>
  <c r="BA415" i="154"/>
  <c r="AR415" i="155"/>
  <c r="AT415" i="155"/>
  <c r="BR415" i="153"/>
  <c r="BR454" i="153" s="1" a="1"/>
  <c r="BR454" i="153" s="1"/>
  <c r="T415" i="153"/>
  <c r="BG415" i="155"/>
  <c r="BF415" i="155"/>
  <c r="AW415" i="155"/>
  <c r="BL415" i="155"/>
  <c r="BK415" i="155"/>
  <c r="BK454" i="155" s="1" a="1"/>
  <c r="BK454" i="155" s="1"/>
  <c r="BD415" i="154"/>
  <c r="BQ415" i="153"/>
  <c r="BQ454" i="153" s="1" a="1"/>
  <c r="BQ454" i="153" s="1"/>
  <c r="AZ415" i="154"/>
  <c r="AZ454" i="154" s="1" a="1"/>
  <c r="AZ454" i="154" s="1"/>
  <c r="AY415" i="155"/>
  <c r="AY454" i="155" s="1" a="1"/>
  <c r="AY454" i="155" s="1"/>
  <c r="BI415" i="155"/>
  <c r="AX415" i="154"/>
  <c r="AX454" i="154" s="1" a="1"/>
  <c r="AX454" i="154" s="1"/>
  <c r="AZ415" i="155"/>
  <c r="AZ454" i="155" s="1" a="1"/>
  <c r="AZ454" i="155" s="1"/>
  <c r="U415" i="153"/>
  <c r="U454" i="153" s="1" a="1"/>
  <c r="U454" i="153" s="1"/>
  <c r="W415" i="153"/>
  <c r="W454" i="153" s="1" a="1"/>
  <c r="W454" i="153" s="1"/>
  <c r="BG415" i="154"/>
  <c r="BJ415" i="154"/>
  <c r="BH415" i="155"/>
  <c r="BA415" i="155"/>
  <c r="BE415" i="155"/>
  <c r="AY415" i="154"/>
  <c r="X415" i="153"/>
  <c r="X454" i="153" s="1" a="1"/>
  <c r="X454" i="153" s="1"/>
  <c r="BF415" i="154"/>
  <c r="BJ415" i="155"/>
  <c r="BJ454" i="155" s="1" a="1"/>
  <c r="BJ454" i="155" s="1"/>
  <c r="BE415" i="154"/>
  <c r="BI415" i="153"/>
  <c r="BI454" i="153" s="1" a="1"/>
  <c r="BI454" i="153" s="1"/>
  <c r="V415" i="153"/>
  <c r="V454" i="153" s="1" a="1"/>
  <c r="V454" i="153" s="1"/>
  <c r="BK415" i="154"/>
  <c r="BK454" i="154" s="1" a="1"/>
  <c r="BK454" i="154" s="1"/>
  <c r="BH415" i="154"/>
  <c r="BB415" i="154"/>
  <c r="BC415" i="154"/>
  <c r="BC454" i="154" s="1" a="1"/>
  <c r="BC454" i="154" s="1"/>
  <c r="AX415" i="155"/>
  <c r="AX454" i="155" s="1" a="1"/>
  <c r="AX454" i="155" s="1"/>
  <c r="BP415" i="153"/>
  <c r="BP454" i="153" s="1" a="1"/>
  <c r="BP454" i="153" s="1"/>
  <c r="BL415" i="154"/>
  <c r="S415" i="153"/>
  <c r="S454" i="153" s="1" a="1"/>
  <c r="S454" i="153" s="1"/>
  <c r="AU415" i="154"/>
  <c r="AS415" i="154"/>
  <c r="AT415" i="154"/>
  <c r="BT273" i="153"/>
  <c r="AV415" i="154"/>
  <c r="AR415" i="154"/>
  <c r="AW415" i="154"/>
  <c r="BK561" i="99"/>
  <c r="BK567" i="99" s="1"/>
  <c r="BJ561" i="99"/>
  <c r="BJ567" i="99" s="1"/>
  <c r="BW127" i="105"/>
  <c r="BT257" i="153"/>
  <c r="BT309" i="153"/>
  <c r="BK182" i="155"/>
  <c r="BK190" i="155" s="1"/>
  <c r="BJ182" i="155"/>
  <c r="BJ190" i="155" s="1"/>
  <c r="BM182" i="155"/>
  <c r="BM190" i="155" s="1"/>
  <c r="BP182" i="155"/>
  <c r="BP190" i="155" s="1"/>
  <c r="BN182" i="155"/>
  <c r="BN190" i="155" s="1"/>
  <c r="BR182" i="155"/>
  <c r="BR190" i="155" s="1"/>
  <c r="BQ182" i="155"/>
  <c r="BQ190" i="155" s="1"/>
  <c r="BL182" i="155"/>
  <c r="BL190" i="155" s="1"/>
  <c r="BO182" i="155"/>
  <c r="BO190" i="155" s="1"/>
  <c r="BL182" i="154"/>
  <c r="BL190" i="154" s="1"/>
  <c r="BJ182" i="154"/>
  <c r="BJ190" i="154" s="1"/>
  <c r="BK182" i="154"/>
  <c r="BK190" i="154" s="1"/>
  <c r="BM182" i="154"/>
  <c r="BM190" i="154" s="1"/>
  <c r="BP182" i="154"/>
  <c r="BP190" i="154" s="1"/>
  <c r="BO182" i="154"/>
  <c r="BO190" i="154" s="1"/>
  <c r="BR182" i="154"/>
  <c r="BR190" i="154" s="1"/>
  <c r="BN182" i="154"/>
  <c r="BN190" i="154" s="1"/>
  <c r="BQ182" i="154"/>
  <c r="BQ190" i="154" s="1"/>
  <c r="AT469" i="154"/>
  <c r="AT19" i="154" s="1"/>
  <c r="AT84" i="154" s="1"/>
  <c r="AT278" i="154"/>
  <c r="AV322" i="154"/>
  <c r="AV469" i="154"/>
  <c r="AV278" i="154"/>
  <c r="AU469" i="154"/>
  <c r="AU19" i="154" s="1"/>
  <c r="AU84" i="154" s="1"/>
  <c r="AU278" i="154"/>
  <c r="AR322" i="154"/>
  <c r="AU322" i="154"/>
  <c r="AT322" i="154"/>
  <c r="AS278" i="154"/>
  <c r="AS469" i="154"/>
  <c r="AS19" i="154" s="1"/>
  <c r="AS84" i="154" s="1"/>
  <c r="AS322" i="154"/>
  <c r="BT265" i="153"/>
  <c r="BT466" i="153"/>
  <c r="BT317" i="153"/>
  <c r="AW469" i="154"/>
  <c r="AW19" i="154" s="1"/>
  <c r="AW84" i="154" s="1"/>
  <c r="AW278" i="154"/>
  <c r="AR469" i="154"/>
  <c r="AR278" i="154"/>
  <c r="AW322" i="154"/>
  <c r="BQ618" i="99"/>
  <c r="BQ64" i="99"/>
  <c r="T175" i="155"/>
  <c r="U175" i="155" s="1"/>
  <c r="V175" i="155" s="1"/>
  <c r="W175" i="155" s="1"/>
  <c r="BX182" i="155"/>
  <c r="BY182" i="155"/>
  <c r="BT182" i="155"/>
  <c r="BU182" i="155"/>
  <c r="BS182" i="155"/>
  <c r="BW182" i="155"/>
  <c r="R436" i="155"/>
  <c r="S436" i="155"/>
  <c r="Y436" i="155"/>
  <c r="V436" i="155"/>
  <c r="W436" i="155"/>
  <c r="X436" i="155"/>
  <c r="T436" i="155"/>
  <c r="U436" i="155"/>
  <c r="Z436" i="155"/>
  <c r="AA436" i="155"/>
  <c r="AB436" i="155"/>
  <c r="AC436" i="155"/>
  <c r="AD436" i="155"/>
  <c r="AE436" i="155"/>
  <c r="AF436" i="155"/>
  <c r="AG436" i="155"/>
  <c r="AH436" i="155"/>
  <c r="AI436" i="155"/>
  <c r="AJ436" i="155"/>
  <c r="AK436" i="155"/>
  <c r="AL436" i="155"/>
  <c r="AM436" i="155"/>
  <c r="AN436" i="155"/>
  <c r="AO436" i="155"/>
  <c r="AP436" i="155"/>
  <c r="AQ436" i="155"/>
  <c r="AR436" i="155"/>
  <c r="AS436" i="155"/>
  <c r="AT436" i="155"/>
  <c r="AU436" i="155"/>
  <c r="AV436" i="155"/>
  <c r="AW436" i="155"/>
  <c r="AX436" i="155"/>
  <c r="AY436" i="155"/>
  <c r="AZ436" i="155"/>
  <c r="BA436" i="155"/>
  <c r="BB436" i="155"/>
  <c r="BC436" i="155"/>
  <c r="BD436" i="155"/>
  <c r="BE436" i="155"/>
  <c r="BF436" i="155"/>
  <c r="BG436" i="155"/>
  <c r="BH436" i="155"/>
  <c r="BI436" i="155"/>
  <c r="BJ436" i="155"/>
  <c r="BK436" i="155"/>
  <c r="BL436" i="155"/>
  <c r="BM436" i="155"/>
  <c r="BN436" i="155"/>
  <c r="BO436" i="155"/>
  <c r="BP436" i="155"/>
  <c r="BQ436" i="155"/>
  <c r="BR436" i="155"/>
  <c r="BS436" i="155"/>
  <c r="BT436" i="155"/>
  <c r="BU436" i="155"/>
  <c r="BV436" i="155"/>
  <c r="BW436" i="155"/>
  <c r="BX436" i="155"/>
  <c r="BY436" i="155"/>
  <c r="T175" i="154"/>
  <c r="U175" i="154" s="1"/>
  <c r="V175" i="154" s="1"/>
  <c r="W175" i="154" s="1"/>
  <c r="BV182" i="154"/>
  <c r="BW182" i="154"/>
  <c r="BU182" i="154"/>
  <c r="BT182" i="154"/>
  <c r="BS182" i="154"/>
  <c r="R436" i="154"/>
  <c r="U436" i="154"/>
  <c r="X436" i="154"/>
  <c r="V436" i="154"/>
  <c r="S436" i="154"/>
  <c r="W436" i="154"/>
  <c r="Y436" i="154"/>
  <c r="T436" i="154"/>
  <c r="Z436" i="154"/>
  <c r="AA436" i="154"/>
  <c r="AB436" i="154"/>
  <c r="AC436" i="154"/>
  <c r="AD436" i="154"/>
  <c r="AE436" i="154"/>
  <c r="AF436" i="154"/>
  <c r="AG436" i="154"/>
  <c r="AH436" i="154"/>
  <c r="AI436" i="154"/>
  <c r="AJ436" i="154"/>
  <c r="AK436" i="154"/>
  <c r="AL436" i="154"/>
  <c r="AM436" i="154"/>
  <c r="AN436" i="154"/>
  <c r="AO436" i="154"/>
  <c r="AP436" i="154"/>
  <c r="AQ436" i="154"/>
  <c r="AR436" i="154"/>
  <c r="AS436" i="154"/>
  <c r="AT436" i="154"/>
  <c r="AU436" i="154"/>
  <c r="AV436" i="154"/>
  <c r="AW436" i="154"/>
  <c r="AX436" i="154"/>
  <c r="AY436" i="154"/>
  <c r="AZ436" i="154"/>
  <c r="BA436" i="154"/>
  <c r="BB436" i="154"/>
  <c r="BC436" i="154"/>
  <c r="BD436" i="154"/>
  <c r="BE436" i="154"/>
  <c r="BF436" i="154"/>
  <c r="BG436" i="154"/>
  <c r="BH436" i="154"/>
  <c r="BI436" i="154"/>
  <c r="BJ436" i="154"/>
  <c r="BK436" i="154"/>
  <c r="BL436" i="154"/>
  <c r="BM436" i="154"/>
  <c r="BN436" i="154"/>
  <c r="BO436" i="154"/>
  <c r="BP436" i="154"/>
  <c r="BQ436" i="154"/>
  <c r="BR436" i="154"/>
  <c r="BS436" i="154"/>
  <c r="BT436" i="154"/>
  <c r="BU436" i="154"/>
  <c r="BV436" i="154"/>
  <c r="BW436" i="154"/>
  <c r="BX436" i="154"/>
  <c r="BY436" i="154"/>
  <c r="R423" i="153"/>
  <c r="BQ535" i="99"/>
  <c r="BQ599" i="99" s="1"/>
  <c r="BQ597" i="99"/>
  <c r="BQ549" i="99"/>
  <c r="BQ613" i="99" s="1"/>
  <c r="BQ611" i="99"/>
  <c r="BP515" i="99"/>
  <c r="BP517" i="99" s="1"/>
  <c r="BQ512" i="99"/>
  <c r="BQ576" i="99" s="1"/>
  <c r="BQ230" i="99"/>
  <c r="BQ234" i="99"/>
  <c r="BQ232" i="99"/>
  <c r="BT3" i="69"/>
  <c r="BT4" i="69" s="1"/>
  <c r="BS2" i="69" a="1"/>
  <c r="BS2" i="69" s="1"/>
  <c r="BS11" i="69"/>
  <c r="BS10" i="69"/>
  <c r="BS15" i="69"/>
  <c r="BS13" i="69"/>
  <c r="BS14" i="69"/>
  <c r="BS12" i="69"/>
  <c r="BS9" i="69"/>
  <c r="BS8" i="69"/>
  <c r="BS7" i="69"/>
  <c r="BS16" i="69"/>
  <c r="BN581" i="99"/>
  <c r="BN518" i="99"/>
  <c r="BQ228" i="99"/>
  <c r="BL559" i="99" a="1"/>
  <c r="BL559" i="99" s="1"/>
  <c r="BL623" i="99" s="1"/>
  <c r="BL615" i="99"/>
  <c r="BL552" i="99"/>
  <c r="BQ229" i="99"/>
  <c r="BP526" i="99"/>
  <c r="BP588" i="99"/>
  <c r="BM223" i="99"/>
  <c r="BM582" i="99"/>
  <c r="BQ233" i="99"/>
  <c r="BM593" i="99"/>
  <c r="BM594" i="99" s="1"/>
  <c r="BM530" i="99"/>
  <c r="BM544" i="99"/>
  <c r="BW527" i="99"/>
  <c r="BO590" i="99"/>
  <c r="BJ619" i="99"/>
  <c r="BJ620" i="99" s="1"/>
  <c r="BJ556" i="99"/>
  <c r="BQ524" i="99"/>
  <c r="BQ585" i="99"/>
  <c r="BJ616" i="99"/>
  <c r="BK556" i="99"/>
  <c r="BK619" i="99"/>
  <c r="BK620" i="99" s="1"/>
  <c r="BK616" i="99"/>
  <c r="BR539" i="99"/>
  <c r="BR603" i="99" s="1"/>
  <c r="BR538" i="99"/>
  <c r="BR534" i="99"/>
  <c r="BR598" i="99" s="1"/>
  <c r="BR547" i="99"/>
  <c r="BR611" i="99" s="1"/>
  <c r="BR540" i="99"/>
  <c r="BR604" i="99" s="1"/>
  <c r="BR548" i="99"/>
  <c r="BR612" i="99" s="1"/>
  <c r="BR541" i="99"/>
  <c r="BR605" i="99" s="1"/>
  <c r="BR525" i="99"/>
  <c r="BR589" i="99" s="1"/>
  <c r="BR523" i="99"/>
  <c r="BR587" i="99" s="1"/>
  <c r="BR522" i="99"/>
  <c r="BR586" i="99" s="1"/>
  <c r="BR507" i="99"/>
  <c r="BR521" i="99"/>
  <c r="BR509" i="99"/>
  <c r="BR573" i="99" s="1"/>
  <c r="BR514" i="99"/>
  <c r="BR578" i="99" s="1"/>
  <c r="BR558" i="99"/>
  <c r="BR622" i="99" s="1"/>
  <c r="BR533" i="99"/>
  <c r="BR597" i="99" s="1"/>
  <c r="BR513" i="99"/>
  <c r="BR577" i="99" s="1"/>
  <c r="BR516" i="99"/>
  <c r="BR580" i="99" s="1"/>
  <c r="BN529" i="99"/>
  <c r="BT3" i="99"/>
  <c r="BT4" i="99" s="1"/>
  <c r="BS2" i="99" a="1"/>
  <c r="BS2" i="99" s="1"/>
  <c r="BS554" i="99" s="1"/>
  <c r="BS474" i="99"/>
  <c r="BS475" i="99"/>
  <c r="BS499" i="99"/>
  <c r="BS483" i="99" s="1"/>
  <c r="BS491" i="99" s="1"/>
  <c r="BS476" i="99"/>
  <c r="BS498" i="99"/>
  <c r="BS482" i="99" s="1"/>
  <c r="BS490" i="99" s="1"/>
  <c r="BS500" i="99"/>
  <c r="BS484" i="99" s="1"/>
  <c r="BS492" i="99" s="1"/>
  <c r="BS477" i="99"/>
  <c r="BS478" i="99"/>
  <c r="BS501" i="99"/>
  <c r="BS485" i="99" s="1"/>
  <c r="BS493" i="99" s="1"/>
  <c r="BS502" i="99"/>
  <c r="BS486" i="99" s="1"/>
  <c r="BS494" i="99" s="1"/>
  <c r="BS479" i="99"/>
  <c r="BS503" i="99"/>
  <c r="BS487" i="99" s="1"/>
  <c r="BS495" i="99" s="1"/>
  <c r="BQ542" i="99"/>
  <c r="BQ606" i="99" s="1"/>
  <c r="BQ602" i="99"/>
  <c r="BN591" i="99"/>
  <c r="BN224" i="99"/>
  <c r="BO579" i="99"/>
  <c r="BO517" i="99"/>
  <c r="BU5" i="72"/>
  <c r="BU6" i="72" s="1"/>
  <c r="BT36" i="72"/>
  <c r="BT38" i="72" s="1"/>
  <c r="BT39" i="72" s="1"/>
  <c r="BT37" i="72"/>
  <c r="BT48" i="72"/>
  <c r="BT47" i="72"/>
  <c r="BR64" i="99"/>
  <c r="BT6" i="98"/>
  <c r="BS70" i="103"/>
  <c r="BX70" i="105" s="1"/>
  <c r="BS35" i="151" s="1"/>
  <c r="BU4" i="72" l="1" a="1"/>
  <c r="BU4" i="72" s="1"/>
  <c r="AR90" i="154"/>
  <c r="AR27" i="154"/>
  <c r="AW90" i="154"/>
  <c r="AW27" i="154"/>
  <c r="AW99" i="154"/>
  <c r="AW36" i="154"/>
  <c r="AT99" i="154"/>
  <c r="AT36" i="154"/>
  <c r="AV99" i="154"/>
  <c r="AV36" i="154"/>
  <c r="AR99" i="154"/>
  <c r="AR36" i="154"/>
  <c r="AU99" i="154"/>
  <c r="AU36" i="154"/>
  <c r="AS99" i="154"/>
  <c r="AS36" i="154"/>
  <c r="AU90" i="154"/>
  <c r="AU27" i="154"/>
  <c r="AV19" i="154"/>
  <c r="AV84" i="154" s="1"/>
  <c r="AT90" i="154"/>
  <c r="AT27" i="154"/>
  <c r="AV90" i="154"/>
  <c r="AV27" i="154"/>
  <c r="AR19" i="154"/>
  <c r="AR148" i="154" s="1"/>
  <c r="AS90" i="154"/>
  <c r="AS27" i="154"/>
  <c r="BQ129" i="99"/>
  <c r="BT415" i="153"/>
  <c r="BT454" i="153" s="1" a="1"/>
  <c r="BT454" i="153" s="1"/>
  <c r="BL561" i="99"/>
  <c r="BL567" i="99" s="1"/>
  <c r="BX127" i="105"/>
  <c r="S159" i="154"/>
  <c r="W159" i="154" s="1"/>
  <c r="S159" i="153"/>
  <c r="W159" i="153" s="1"/>
  <c r="S159" i="155"/>
  <c r="W159" i="155" s="1"/>
  <c r="BY182" i="154"/>
  <c r="BY190" i="154" s="1"/>
  <c r="BX182" i="154"/>
  <c r="BX190" i="154" s="1"/>
  <c r="BV182" i="155"/>
  <c r="BV190" i="155" s="1"/>
  <c r="AW454" i="155" a="1"/>
  <c r="AW454" i="155" s="1"/>
  <c r="BK202" i="155"/>
  <c r="BK333" i="155"/>
  <c r="BK343" i="155" s="1"/>
  <c r="AW148" i="154"/>
  <c r="AW146" i="154"/>
  <c r="AW147" i="154"/>
  <c r="AW145" i="154"/>
  <c r="AT145" i="154"/>
  <c r="AU145" i="154"/>
  <c r="AT147" i="154"/>
  <c r="AT148" i="154"/>
  <c r="AU148" i="154"/>
  <c r="AU146" i="154"/>
  <c r="AU147" i="154"/>
  <c r="AT454" i="154" a="1"/>
  <c r="AT454" i="154" s="1"/>
  <c r="AT457" i="154" s="1"/>
  <c r="AT69" i="154" s="1"/>
  <c r="AT134" i="154" s="1"/>
  <c r="AT418" i="154"/>
  <c r="BQ202" i="154"/>
  <c r="BQ333" i="154"/>
  <c r="BQ343" i="154" s="1"/>
  <c r="AW454" i="154" a="1"/>
  <c r="AW454" i="154" s="1"/>
  <c r="AW457" i="154" s="1"/>
  <c r="AW69" i="154" s="1"/>
  <c r="AW134" i="154" s="1"/>
  <c r="AW418" i="154"/>
  <c r="BN202" i="154"/>
  <c r="BN333" i="154"/>
  <c r="BN343" i="154" s="1"/>
  <c r="AR454" i="154" a="1"/>
  <c r="AR454" i="154" s="1"/>
  <c r="AR457" i="154" s="1"/>
  <c r="AR69" i="154" s="1"/>
  <c r="AR418" i="154"/>
  <c r="AV454" i="154" a="1"/>
  <c r="AV454" i="154" s="1"/>
  <c r="AV457" i="154" s="1"/>
  <c r="AV69" i="154" s="1"/>
  <c r="AV134" i="154" s="1"/>
  <c r="AV418" i="154"/>
  <c r="BR202" i="154"/>
  <c r="BR333" i="154"/>
  <c r="BR343" i="154" s="1"/>
  <c r="BO333" i="154"/>
  <c r="BO343" i="154" s="1"/>
  <c r="BO202" i="154"/>
  <c r="BP333" i="154"/>
  <c r="BP343" i="154" s="1"/>
  <c r="BP202" i="154"/>
  <c r="BM333" i="154"/>
  <c r="BM343" i="154" s="1"/>
  <c r="BM202" i="154"/>
  <c r="AU454" i="154" a="1"/>
  <c r="AU454" i="154" s="1"/>
  <c r="AU457" i="154" s="1"/>
  <c r="AU69" i="154" s="1"/>
  <c r="AU134" i="154" s="1"/>
  <c r="AU418" i="154"/>
  <c r="BK333" i="154"/>
  <c r="BK343" i="154" s="1"/>
  <c r="BK202" i="154"/>
  <c r="AY454" i="154" a="1"/>
  <c r="AY454" i="154" s="1"/>
  <c r="AU454" i="155" a="1"/>
  <c r="AU454" i="155" s="1"/>
  <c r="AS454" i="154" a="1"/>
  <c r="AS454" i="154" s="1"/>
  <c r="AS457" i="154" s="1"/>
  <c r="AS69" i="154" s="1"/>
  <c r="AS134" i="154" s="1"/>
  <c r="AS418" i="154"/>
  <c r="AS145" i="154"/>
  <c r="BJ202" i="154"/>
  <c r="BJ333" i="154"/>
  <c r="BJ343" i="154" s="1"/>
  <c r="BO333" i="155"/>
  <c r="BO343" i="155" s="1"/>
  <c r="BO202" i="155"/>
  <c r="AR454" i="155" a="1"/>
  <c r="AR454" i="155" s="1"/>
  <c r="AS147" i="154"/>
  <c r="AS148" i="154"/>
  <c r="AS146" i="154"/>
  <c r="BL202" i="154"/>
  <c r="BL333" i="154"/>
  <c r="BL343" i="154" s="1"/>
  <c r="BL333" i="155"/>
  <c r="BL343" i="155" s="1"/>
  <c r="BL202" i="155"/>
  <c r="BQ333" i="155"/>
  <c r="BQ343" i="155" s="1"/>
  <c r="BQ202" i="155"/>
  <c r="BR333" i="155"/>
  <c r="BR343" i="155" s="1"/>
  <c r="BR202" i="155"/>
  <c r="BN333" i="155"/>
  <c r="BN343" i="155" s="1"/>
  <c r="BN202" i="155"/>
  <c r="AT454" i="155" a="1"/>
  <c r="AT454" i="155" s="1"/>
  <c r="BP333" i="155"/>
  <c r="BP343" i="155" s="1"/>
  <c r="BP202" i="155"/>
  <c r="BM202" i="155"/>
  <c r="BM333" i="155"/>
  <c r="BM343" i="155" s="1"/>
  <c r="AS454" i="155" a="1"/>
  <c r="AS454" i="155" s="1"/>
  <c r="AT146" i="154"/>
  <c r="BJ202" i="155"/>
  <c r="BJ333" i="155"/>
  <c r="BJ343" i="155" s="1"/>
  <c r="BQ129" i="104"/>
  <c r="BQ64" i="104" s="1"/>
  <c r="BV64" i="105" s="1"/>
  <c r="BQ30" i="151" s="1"/>
  <c r="BA454" i="154" a="1"/>
  <c r="BA454" i="154" s="1"/>
  <c r="BB454" i="154" a="1"/>
  <c r="BB454" i="154" s="1"/>
  <c r="BH454" i="154" a="1"/>
  <c r="BH454" i="154" s="1"/>
  <c r="BB454" i="155" a="1"/>
  <c r="BB454" i="155" s="1"/>
  <c r="BQ129" i="103"/>
  <c r="BE454" i="155" a="1"/>
  <c r="BE454" i="155" s="1"/>
  <c r="BA454" i="155" a="1"/>
  <c r="BA454" i="155" s="1"/>
  <c r="BD454" i="155" a="1"/>
  <c r="BD454" i="155" s="1"/>
  <c r="BE454" i="154" a="1"/>
  <c r="BE454" i="154" s="1"/>
  <c r="BD454" i="154" a="1"/>
  <c r="BD454" i="154" s="1"/>
  <c r="BJ454" i="154" a="1"/>
  <c r="BJ454" i="154" s="1"/>
  <c r="BI454" i="155" a="1"/>
  <c r="BI454" i="155" s="1"/>
  <c r="BI454" i="154" a="1"/>
  <c r="BI454" i="154" s="1"/>
  <c r="BG454" i="155" a="1"/>
  <c r="BG454" i="155" s="1"/>
  <c r="BH454" i="155" a="1"/>
  <c r="BH454" i="155" s="1"/>
  <c r="BG454" i="154" a="1"/>
  <c r="BG454" i="154" s="1"/>
  <c r="BF454" i="154" a="1"/>
  <c r="BF454" i="154" s="1"/>
  <c r="BF454" i="155" a="1"/>
  <c r="BF454" i="155" s="1"/>
  <c r="BL454" i="155" a="1"/>
  <c r="BL454" i="155" s="1"/>
  <c r="R423" i="155"/>
  <c r="BL454" i="154" a="1"/>
  <c r="BL454" i="154" s="1"/>
  <c r="R423" i="154"/>
  <c r="BW190" i="155"/>
  <c r="BS190" i="155"/>
  <c r="BU190" i="155"/>
  <c r="BT190" i="155"/>
  <c r="BY190" i="155"/>
  <c r="BX190" i="155"/>
  <c r="BT190" i="154"/>
  <c r="BW190" i="154"/>
  <c r="BS190" i="154"/>
  <c r="BU190" i="154"/>
  <c r="BR129" i="104"/>
  <c r="BR64" i="104" s="1"/>
  <c r="BW64" i="105" s="1"/>
  <c r="BR30" i="151" s="1"/>
  <c r="BR129" i="103"/>
  <c r="BV190" i="154"/>
  <c r="BR549" i="99"/>
  <c r="BR613" i="99" s="1"/>
  <c r="S160" i="99"/>
  <c r="W160" i="99" s="1"/>
  <c r="BP579" i="99"/>
  <c r="T454" i="153" a="1"/>
  <c r="T454" i="153" s="1"/>
  <c r="BQ515" i="99"/>
  <c r="BQ517" i="99" s="1"/>
  <c r="BR230" i="99"/>
  <c r="BS17" i="69"/>
  <c r="BX76" i="105" s="1"/>
  <c r="BR233" i="99"/>
  <c r="BU3" i="69"/>
  <c r="BU4" i="69" s="1"/>
  <c r="BT2" i="69" a="1"/>
  <c r="BT2" i="69" s="1"/>
  <c r="BT13" i="69"/>
  <c r="BT9" i="69"/>
  <c r="BT10" i="69"/>
  <c r="BT14" i="69"/>
  <c r="BT7" i="69"/>
  <c r="BT11" i="69"/>
  <c r="BT12" i="69"/>
  <c r="BT8" i="69"/>
  <c r="BT16" i="69"/>
  <c r="BR535" i="99"/>
  <c r="BR599" i="99" s="1"/>
  <c r="BR512" i="99"/>
  <c r="BR515" i="99" s="1"/>
  <c r="BQ588" i="99"/>
  <c r="BQ526" i="99"/>
  <c r="BR228" i="99"/>
  <c r="BS538" i="99"/>
  <c r="BS548" i="99"/>
  <c r="BS612" i="99" s="1"/>
  <c r="BS547" i="99"/>
  <c r="BS611" i="99" s="1"/>
  <c r="BS540" i="99"/>
  <c r="BS604" i="99" s="1"/>
  <c r="BS534" i="99"/>
  <c r="BS598" i="99" s="1"/>
  <c r="BS541" i="99"/>
  <c r="BS605" i="99" s="1"/>
  <c r="BS539" i="99"/>
  <c r="BS603" i="99" s="1"/>
  <c r="BS521" i="99"/>
  <c r="BS522" i="99"/>
  <c r="BS586" i="99" s="1"/>
  <c r="BS523" i="99"/>
  <c r="BS587" i="99" s="1"/>
  <c r="BS525" i="99"/>
  <c r="BS589" i="99" s="1"/>
  <c r="BS507" i="99"/>
  <c r="BS509" i="99"/>
  <c r="BS573" i="99" s="1"/>
  <c r="BS533" i="99"/>
  <c r="BS597" i="99" s="1"/>
  <c r="BS558" i="99"/>
  <c r="BS622" i="99" s="1"/>
  <c r="BS513" i="99"/>
  <c r="BS577" i="99" s="1"/>
  <c r="BS514" i="99"/>
  <c r="BS578" i="99" s="1"/>
  <c r="BS516" i="99"/>
  <c r="BS580" i="99" s="1"/>
  <c r="BU3" i="99"/>
  <c r="BU4" i="99" s="1"/>
  <c r="BT2" i="99" a="1"/>
  <c r="BT2" i="99" s="1"/>
  <c r="BT554" i="99" s="1"/>
  <c r="BT474" i="99"/>
  <c r="BT475" i="99"/>
  <c r="BT498" i="99"/>
  <c r="BT482" i="99" s="1"/>
  <c r="BT490" i="99" s="1"/>
  <c r="BT499" i="99"/>
  <c r="BT483" i="99" s="1"/>
  <c r="BT491" i="99" s="1"/>
  <c r="BT476" i="99"/>
  <c r="BT477" i="99"/>
  <c r="BT500" i="99"/>
  <c r="BT484" i="99" s="1"/>
  <c r="BT492" i="99" s="1"/>
  <c r="BT478" i="99"/>
  <c r="BT501" i="99"/>
  <c r="BT485" i="99" s="1"/>
  <c r="BT493" i="99" s="1"/>
  <c r="BT479" i="99"/>
  <c r="BT502" i="99"/>
  <c r="BT486" i="99" s="1"/>
  <c r="BT494" i="99" s="1"/>
  <c r="BT503" i="99"/>
  <c r="BT487" i="99" s="1"/>
  <c r="BT495" i="99" s="1"/>
  <c r="BR229" i="99"/>
  <c r="BJ562" i="99"/>
  <c r="BJ625" i="99"/>
  <c r="BJ626" i="99" s="1"/>
  <c r="BJ631" i="99"/>
  <c r="BP590" i="99"/>
  <c r="BX527" i="99"/>
  <c r="BN593" i="99"/>
  <c r="BN594" i="99" s="1"/>
  <c r="BN530" i="99"/>
  <c r="BN544" i="99"/>
  <c r="BO581" i="99"/>
  <c r="BO518" i="99"/>
  <c r="BR524" i="99"/>
  <c r="BR585" i="99"/>
  <c r="BO529" i="99"/>
  <c r="BR232" i="99"/>
  <c r="BO224" i="99"/>
  <c r="BO591" i="99"/>
  <c r="BP529" i="99"/>
  <c r="BP581" i="99"/>
  <c r="BP518" i="99"/>
  <c r="BR234" i="99"/>
  <c r="BL619" i="99"/>
  <c r="BL620" i="99" s="1"/>
  <c r="BL556" i="99"/>
  <c r="BL616" i="99"/>
  <c r="BR542" i="99"/>
  <c r="BR606" i="99" s="1"/>
  <c r="BR602" i="99"/>
  <c r="BM608" i="99"/>
  <c r="BM551" i="99"/>
  <c r="BM555" i="99" s="1"/>
  <c r="BK631" i="99"/>
  <c r="BK625" i="99"/>
  <c r="BK626" i="99" s="1"/>
  <c r="BK562" i="99"/>
  <c r="BN223" i="99"/>
  <c r="BN582" i="99"/>
  <c r="BV5" i="72"/>
  <c r="BV6" i="72" s="1"/>
  <c r="BU36" i="72"/>
  <c r="BU38" i="72" s="1"/>
  <c r="BU39" i="72" s="1"/>
  <c r="BU37" i="72"/>
  <c r="BU47" i="72"/>
  <c r="BU48" i="72"/>
  <c r="BR129" i="99"/>
  <c r="BR618" i="99"/>
  <c r="BU6" i="98"/>
  <c r="BT70" i="103"/>
  <c r="BY70" i="105" s="1"/>
  <c r="BT35" i="151" s="1"/>
  <c r="BS40" i="151" l="1"/>
  <c r="BX132" i="105"/>
  <c r="BV4" i="72" a="1"/>
  <c r="BV4" i="72" s="1"/>
  <c r="AR145" i="154"/>
  <c r="AV147" i="154"/>
  <c r="AV148" i="154"/>
  <c r="AV146" i="154"/>
  <c r="AR146" i="154"/>
  <c r="AV145" i="154"/>
  <c r="AU92" i="154"/>
  <c r="AU93" i="154" s="1"/>
  <c r="AU28" i="154"/>
  <c r="AU39" i="154"/>
  <c r="AS101" i="154"/>
  <c r="AS102" i="154" s="1"/>
  <c r="AS37" i="154"/>
  <c r="AU101" i="154"/>
  <c r="AU102" i="154" s="1"/>
  <c r="AU37" i="154"/>
  <c r="AR134" i="154"/>
  <c r="AR101" i="154"/>
  <c r="AR102" i="154" s="1"/>
  <c r="AR37" i="154"/>
  <c r="AV101" i="154"/>
  <c r="AV102" i="154" s="1"/>
  <c r="AV37" i="154"/>
  <c r="AS92" i="154"/>
  <c r="AS93" i="154" s="1"/>
  <c r="AS28" i="154"/>
  <c r="AS39" i="154"/>
  <c r="AT101" i="154"/>
  <c r="AT102" i="154" s="1"/>
  <c r="AT37" i="154"/>
  <c r="AR84" i="154"/>
  <c r="AR147" i="154"/>
  <c r="AW101" i="154"/>
  <c r="AW102" i="154" s="1"/>
  <c r="AW37" i="154"/>
  <c r="AV92" i="154"/>
  <c r="AV93" i="154" s="1"/>
  <c r="AV39" i="154"/>
  <c r="AV28" i="154"/>
  <c r="AW92" i="154"/>
  <c r="AW93" i="154" s="1"/>
  <c r="AW39" i="154"/>
  <c r="AW28" i="154"/>
  <c r="AT92" i="154"/>
  <c r="AT93" i="154" s="1"/>
  <c r="AT28" i="154"/>
  <c r="AT39" i="154"/>
  <c r="AR92" i="154"/>
  <c r="AR93" i="154" s="1"/>
  <c r="AR39" i="154"/>
  <c r="AR28" i="154"/>
  <c r="BW122" i="105"/>
  <c r="BV122" i="105"/>
  <c r="BY127" i="105"/>
  <c r="BN218" i="155"/>
  <c r="BN287" i="155" s="1"/>
  <c r="BN210" i="155"/>
  <c r="BN243" i="155" s="1"/>
  <c r="BL218" i="155"/>
  <c r="BL287" i="155" s="1"/>
  <c r="BL210" i="155"/>
  <c r="BL243" i="155" s="1"/>
  <c r="BM210" i="154"/>
  <c r="BM243" i="154" s="1"/>
  <c r="BM218" i="154"/>
  <c r="BM287" i="154" s="1"/>
  <c r="BO218" i="155"/>
  <c r="BO287" i="155" s="1"/>
  <c r="BO210" i="155"/>
  <c r="BO243" i="155" s="1"/>
  <c r="BR218" i="155"/>
  <c r="BR287" i="155" s="1"/>
  <c r="BR210" i="155"/>
  <c r="BR243" i="155" s="1"/>
  <c r="BN210" i="154"/>
  <c r="BN243" i="154" s="1"/>
  <c r="BN218" i="154"/>
  <c r="BN287" i="154" s="1"/>
  <c r="BQ210" i="155"/>
  <c r="BQ243" i="155" s="1"/>
  <c r="BQ218" i="155"/>
  <c r="BQ287" i="155" s="1"/>
  <c r="BL210" i="154"/>
  <c r="BL243" i="154" s="1"/>
  <c r="BL218" i="154"/>
  <c r="BL287" i="154" s="1"/>
  <c r="BK218" i="154"/>
  <c r="BK287" i="154" s="1"/>
  <c r="BK210" i="154"/>
  <c r="BK243" i="154" s="1"/>
  <c r="BO210" i="154"/>
  <c r="BO243" i="154" s="1"/>
  <c r="BO218" i="154"/>
  <c r="BO287" i="154" s="1"/>
  <c r="BQ218" i="154"/>
  <c r="BQ287" i="154" s="1"/>
  <c r="BQ210" i="154"/>
  <c r="BQ243" i="154" s="1"/>
  <c r="BJ218" i="155"/>
  <c r="BJ287" i="155" s="1"/>
  <c r="BJ210" i="155"/>
  <c r="BJ243" i="155" s="1"/>
  <c r="BR218" i="154"/>
  <c r="BR287" i="154" s="1"/>
  <c r="BR210" i="154"/>
  <c r="BR243" i="154" s="1"/>
  <c r="BJ218" i="154"/>
  <c r="BJ287" i="154" s="1"/>
  <c r="BJ210" i="154"/>
  <c r="BJ243" i="154" s="1"/>
  <c r="BP210" i="155"/>
  <c r="BP243" i="155" s="1"/>
  <c r="BP218" i="155"/>
  <c r="BP287" i="155" s="1"/>
  <c r="BP218" i="154"/>
  <c r="BP287" i="154" s="1"/>
  <c r="BP210" i="154"/>
  <c r="BP243" i="154" s="1"/>
  <c r="BK218" i="155"/>
  <c r="BK287" i="155" s="1"/>
  <c r="BK210" i="155"/>
  <c r="BK243" i="155" s="1"/>
  <c r="BM218" i="155"/>
  <c r="BM287" i="155" s="1"/>
  <c r="BM210" i="155"/>
  <c r="BM243" i="155" s="1"/>
  <c r="BS618" i="99"/>
  <c r="BS64" i="99"/>
  <c r="BX333" i="155"/>
  <c r="BX202" i="155"/>
  <c r="BQ579" i="99"/>
  <c r="BX333" i="154"/>
  <c r="BX202" i="154"/>
  <c r="BV333" i="154"/>
  <c r="BV202" i="154"/>
  <c r="BY202" i="154"/>
  <c r="BY333" i="154"/>
  <c r="BT202" i="154"/>
  <c r="BT333" i="154"/>
  <c r="BU333" i="154"/>
  <c r="BU202" i="154"/>
  <c r="BY333" i="155"/>
  <c r="BY202" i="155"/>
  <c r="BW202" i="155"/>
  <c r="BW333" i="155"/>
  <c r="BS333" i="155"/>
  <c r="BS202" i="155"/>
  <c r="BS202" i="154"/>
  <c r="BS333" i="154"/>
  <c r="BU333" i="155"/>
  <c r="BU202" i="155"/>
  <c r="BV202" i="155"/>
  <c r="BV333" i="155"/>
  <c r="BW333" i="154"/>
  <c r="BW202" i="154"/>
  <c r="BT333" i="155"/>
  <c r="BT202" i="155"/>
  <c r="BS549" i="99"/>
  <c r="BS613" i="99" s="1"/>
  <c r="Y160" i="153"/>
  <c r="S175" i="153" s="1"/>
  <c r="BS535" i="99"/>
  <c r="BS599" i="99" s="1"/>
  <c r="BR576" i="99"/>
  <c r="BS234" i="99"/>
  <c r="BV3" i="69"/>
  <c r="BV4" i="69" s="1"/>
  <c r="BU2" i="69" a="1"/>
  <c r="BU2" i="69" s="1"/>
  <c r="BU12" i="69"/>
  <c r="BU9" i="69"/>
  <c r="BU7" i="69"/>
  <c r="BU13" i="69"/>
  <c r="BU14" i="69"/>
  <c r="BU8" i="69"/>
  <c r="BU15" i="69"/>
  <c r="BU10" i="69"/>
  <c r="BU11" i="69"/>
  <c r="BS229" i="99"/>
  <c r="BO223" i="99"/>
  <c r="BO582" i="99"/>
  <c r="BS228" i="99"/>
  <c r="BN551" i="99"/>
  <c r="BN555" i="99" s="1"/>
  <c r="BN608" i="99"/>
  <c r="BS512" i="99"/>
  <c r="BO593" i="99"/>
  <c r="BO594" i="99" s="1"/>
  <c r="BO530" i="99"/>
  <c r="BO544" i="99"/>
  <c r="BS233" i="99"/>
  <c r="BR517" i="99"/>
  <c r="BR579" i="99"/>
  <c r="BS232" i="99"/>
  <c r="BS524" i="99"/>
  <c r="BS585" i="99"/>
  <c r="BP591" i="99"/>
  <c r="BP224" i="99"/>
  <c r="BY527" i="99"/>
  <c r="BQ590" i="99"/>
  <c r="BT539" i="99"/>
  <c r="BT603" i="99" s="1"/>
  <c r="BT538" i="99"/>
  <c r="BT540" i="99"/>
  <c r="BT604" i="99" s="1"/>
  <c r="BT547" i="99"/>
  <c r="BT548" i="99"/>
  <c r="BT612" i="99" s="1"/>
  <c r="BT541" i="99"/>
  <c r="BT605" i="99" s="1"/>
  <c r="BT534" i="99"/>
  <c r="BT598" i="99" s="1"/>
  <c r="BT521" i="99"/>
  <c r="BT509" i="99"/>
  <c r="BT573" i="99" s="1"/>
  <c r="BT522" i="99"/>
  <c r="BT586" i="99" s="1"/>
  <c r="BT525" i="99"/>
  <c r="BT589" i="99" s="1"/>
  <c r="BT507" i="99"/>
  <c r="BT523" i="99"/>
  <c r="BT587" i="99" s="1"/>
  <c r="BT533" i="99"/>
  <c r="BT597" i="99" s="1"/>
  <c r="BT513" i="99"/>
  <c r="BT577" i="99" s="1"/>
  <c r="BT558" i="99"/>
  <c r="BT622" i="99" s="1"/>
  <c r="BT516" i="99"/>
  <c r="BT580" i="99" s="1"/>
  <c r="BT514" i="99"/>
  <c r="BT578" i="99" s="1"/>
  <c r="BV3" i="99"/>
  <c r="BV4" i="99" s="1"/>
  <c r="BU2" i="99" a="1"/>
  <c r="BU2" i="99" s="1"/>
  <c r="BU554" i="99" s="1"/>
  <c r="BU474" i="99"/>
  <c r="BU475" i="99"/>
  <c r="BU499" i="99"/>
  <c r="BU483" i="99" s="1"/>
  <c r="BU491" i="99" s="1"/>
  <c r="BU498" i="99"/>
  <c r="BU482" i="99" s="1"/>
  <c r="BU490" i="99" s="1"/>
  <c r="BU476" i="99"/>
  <c r="BU500" i="99"/>
  <c r="BU484" i="99" s="1"/>
  <c r="BU492" i="99" s="1"/>
  <c r="BU477" i="99"/>
  <c r="BU478" i="99"/>
  <c r="BU501" i="99"/>
  <c r="BU485" i="99" s="1"/>
  <c r="BU493" i="99" s="1"/>
  <c r="BU479" i="99"/>
  <c r="BU502" i="99"/>
  <c r="BU486" i="99" s="1"/>
  <c r="BU494" i="99" s="1"/>
  <c r="BU503" i="99"/>
  <c r="BU487" i="99" s="1"/>
  <c r="BU495" i="99" s="1"/>
  <c r="BL625" i="99"/>
  <c r="BL626" i="99" s="1"/>
  <c r="BL562" i="99"/>
  <c r="BL631" i="99"/>
  <c r="BR526" i="99"/>
  <c r="BR590" i="99" s="1"/>
  <c r="BR588" i="99"/>
  <c r="BS542" i="99"/>
  <c r="BS606" i="99" s="1"/>
  <c r="BS602" i="99"/>
  <c r="BP582" i="99"/>
  <c r="BP223" i="99"/>
  <c r="BQ529" i="99"/>
  <c r="BQ581" i="99"/>
  <c r="BQ518" i="99"/>
  <c r="BP593" i="99"/>
  <c r="BP594" i="99" s="1"/>
  <c r="BP530" i="99"/>
  <c r="BP544" i="99"/>
  <c r="BM559" i="99" a="1"/>
  <c r="BM559" i="99" s="1"/>
  <c r="BM623" i="99" s="1"/>
  <c r="BM615" i="99"/>
  <c r="BM552" i="99"/>
  <c r="BS230" i="99"/>
  <c r="BW5" i="72"/>
  <c r="BW6" i="72" s="1"/>
  <c r="BV36" i="72"/>
  <c r="BV38" i="72" s="1"/>
  <c r="BV39" i="72" s="1"/>
  <c r="BV37" i="72"/>
  <c r="BV47" i="72"/>
  <c r="BV48" i="72"/>
  <c r="BV6" i="98"/>
  <c r="BU70" i="103"/>
  <c r="BZ70" i="105" s="1"/>
  <c r="BU35" i="151" s="1"/>
  <c r="BW4" i="72" l="1" a="1"/>
  <c r="BW4" i="72" s="1"/>
  <c r="AS104" i="154"/>
  <c r="AS105" i="154" s="1"/>
  <c r="AS54" i="154"/>
  <c r="AS40" i="154"/>
  <c r="AT104" i="154"/>
  <c r="AT105" i="154" s="1"/>
  <c r="AT54" i="154"/>
  <c r="AT40" i="154"/>
  <c r="AR104" i="154"/>
  <c r="AR105" i="154" s="1"/>
  <c r="AR54" i="154"/>
  <c r="AR40" i="154"/>
  <c r="AW104" i="154"/>
  <c r="AW105" i="154" s="1"/>
  <c r="AW54" i="154"/>
  <c r="AW40" i="154"/>
  <c r="AV104" i="154"/>
  <c r="AV105" i="154" s="1"/>
  <c r="AV54" i="154"/>
  <c r="AV40" i="154"/>
  <c r="AU104" i="154"/>
  <c r="AU105" i="154" s="1"/>
  <c r="AU54" i="154"/>
  <c r="AU40" i="154"/>
  <c r="BS129" i="103"/>
  <c r="BM561" i="99"/>
  <c r="BM567" i="99" s="1"/>
  <c r="BZ127" i="105"/>
  <c r="BK295" i="155"/>
  <c r="BK311" i="155" s="1"/>
  <c r="BR295" i="155"/>
  <c r="BR319" i="155" s="1"/>
  <c r="BK182" i="153"/>
  <c r="BK190" i="153" s="1"/>
  <c r="BJ182" i="153"/>
  <c r="BJ190" i="153" s="1"/>
  <c r="BN182" i="153"/>
  <c r="BN190" i="153" s="1"/>
  <c r="BM182" i="153"/>
  <c r="BM190" i="153" s="1"/>
  <c r="BL182" i="153"/>
  <c r="BL190" i="153" s="1"/>
  <c r="BR182" i="153"/>
  <c r="BR190" i="153" s="1"/>
  <c r="BP182" i="153"/>
  <c r="BP190" i="153" s="1"/>
  <c r="BO182" i="153"/>
  <c r="BO190" i="153" s="1"/>
  <c r="BQ182" i="153"/>
  <c r="BQ190" i="153" s="1"/>
  <c r="BL295" i="154"/>
  <c r="BL303" i="154" s="1"/>
  <c r="BO295" i="154"/>
  <c r="BO303" i="154" s="1"/>
  <c r="BL251" i="154"/>
  <c r="BO251" i="154"/>
  <c r="BL251" i="155"/>
  <c r="BP251" i="154"/>
  <c r="BP295" i="155"/>
  <c r="BP303" i="155" s="1"/>
  <c r="BL295" i="155"/>
  <c r="BL303" i="155" s="1"/>
  <c r="BP295" i="154"/>
  <c r="BP319" i="154" s="1"/>
  <c r="BP251" i="155"/>
  <c r="BQ295" i="155"/>
  <c r="BQ311" i="155" s="1"/>
  <c r="BQ251" i="155"/>
  <c r="BO251" i="155"/>
  <c r="BO295" i="155"/>
  <c r="BO311" i="155" s="1"/>
  <c r="BN251" i="155"/>
  <c r="BM251" i="155"/>
  <c r="BK251" i="154"/>
  <c r="BN295" i="155"/>
  <c r="BN311" i="155" s="1"/>
  <c r="BM295" i="155"/>
  <c r="BM319" i="155" s="1"/>
  <c r="BK295" i="154"/>
  <c r="BK311" i="154" s="1"/>
  <c r="BM295" i="154"/>
  <c r="BM311" i="154" s="1"/>
  <c r="BM251" i="154"/>
  <c r="BJ251" i="154"/>
  <c r="BJ295" i="154"/>
  <c r="BJ311" i="154" s="1"/>
  <c r="BR251" i="154"/>
  <c r="BR295" i="154"/>
  <c r="BR303" i="154" s="1"/>
  <c r="BN295" i="154"/>
  <c r="BN303" i="154" s="1"/>
  <c r="BN251" i="154"/>
  <c r="BJ251" i="155"/>
  <c r="BQ251" i="154"/>
  <c r="BK251" i="155"/>
  <c r="BJ295" i="155"/>
  <c r="BJ303" i="155" s="1"/>
  <c r="BQ295" i="154"/>
  <c r="BQ319" i="154" s="1"/>
  <c r="BR251" i="155"/>
  <c r="BS129" i="99"/>
  <c r="BS129" i="104"/>
  <c r="BS64" i="104" s="1"/>
  <c r="BX64" i="105" s="1"/>
  <c r="BS30" i="151" s="1"/>
  <c r="S159" i="99"/>
  <c r="BT618" i="99"/>
  <c r="BT64" i="99"/>
  <c r="BX343" i="154"/>
  <c r="BX218" i="155"/>
  <c r="BX210" i="155"/>
  <c r="BT343" i="154"/>
  <c r="BX343" i="155"/>
  <c r="BT210" i="154"/>
  <c r="BT218" i="154"/>
  <c r="BV218" i="154"/>
  <c r="BV210" i="154"/>
  <c r="BV343" i="154"/>
  <c r="BS218" i="154"/>
  <c r="BS210" i="154"/>
  <c r="BY343" i="154"/>
  <c r="BY210" i="154"/>
  <c r="BY218" i="154"/>
  <c r="BU210" i="154"/>
  <c r="BU218" i="154"/>
  <c r="BU343" i="154"/>
  <c r="BS343" i="154"/>
  <c r="BU210" i="155"/>
  <c r="BU218" i="155"/>
  <c r="BW210" i="154"/>
  <c r="BW218" i="154"/>
  <c r="BV343" i="155"/>
  <c r="BU343" i="155"/>
  <c r="BT210" i="155"/>
  <c r="BT218" i="155"/>
  <c r="BW343" i="154"/>
  <c r="BV218" i="155"/>
  <c r="BV210" i="155"/>
  <c r="BS210" i="155"/>
  <c r="BS218" i="155"/>
  <c r="BT343" i="155"/>
  <c r="BS343" i="155"/>
  <c r="BW343" i="155"/>
  <c r="BW218" i="155"/>
  <c r="BW210" i="155"/>
  <c r="BY210" i="155"/>
  <c r="BY218" i="155"/>
  <c r="BY343" i="155"/>
  <c r="BX218" i="154"/>
  <c r="BX210" i="154"/>
  <c r="BT182" i="153"/>
  <c r="BT190" i="153" s="1"/>
  <c r="BS182" i="153"/>
  <c r="BS190" i="153" s="1"/>
  <c r="BU182" i="153"/>
  <c r="BU190" i="153" s="1"/>
  <c r="T175" i="153"/>
  <c r="U175" i="153" s="1"/>
  <c r="V175" i="153" s="1"/>
  <c r="W175" i="153" s="1"/>
  <c r="BW436" i="153"/>
  <c r="AL436" i="153"/>
  <c r="X436" i="153"/>
  <c r="BP436" i="153"/>
  <c r="U436" i="153"/>
  <c r="AN436" i="153"/>
  <c r="AI436" i="153"/>
  <c r="AZ436" i="153"/>
  <c r="BC436" i="153"/>
  <c r="AX436" i="153"/>
  <c r="AF436" i="153"/>
  <c r="AP436" i="153"/>
  <c r="BR436" i="153"/>
  <c r="BM436" i="153"/>
  <c r="BH436" i="153"/>
  <c r="Y436" i="153"/>
  <c r="AJ436" i="153"/>
  <c r="AA436" i="153"/>
  <c r="AE436" i="153"/>
  <c r="BQ436" i="153"/>
  <c r="AM436" i="153"/>
  <c r="BK436" i="153"/>
  <c r="BG436" i="153"/>
  <c r="AO436" i="153"/>
  <c r="BV436" i="153"/>
  <c r="BO436" i="153"/>
  <c r="BF436" i="153"/>
  <c r="AV436" i="153"/>
  <c r="BA436" i="153"/>
  <c r="AD436" i="153"/>
  <c r="W436" i="153"/>
  <c r="BU436" i="153"/>
  <c r="AR436" i="153"/>
  <c r="AW436" i="153"/>
  <c r="T436" i="153"/>
  <c r="AS436" i="153"/>
  <c r="AC436" i="153"/>
  <c r="AU436" i="153"/>
  <c r="Z436" i="153"/>
  <c r="AG436" i="153"/>
  <c r="BI436" i="153"/>
  <c r="AB436" i="153"/>
  <c r="AK436" i="153"/>
  <c r="BB436" i="153"/>
  <c r="BE436" i="153"/>
  <c r="AQ436" i="153"/>
  <c r="BD436" i="153"/>
  <c r="BS436" i="153"/>
  <c r="BT436" i="153"/>
  <c r="AH436" i="153"/>
  <c r="BL436" i="153"/>
  <c r="AY436" i="153"/>
  <c r="V436" i="153"/>
  <c r="R436" i="153"/>
  <c r="BN436" i="153"/>
  <c r="AT436" i="153"/>
  <c r="S436" i="153"/>
  <c r="BX436" i="153"/>
  <c r="BY436" i="153"/>
  <c r="BJ436" i="153"/>
  <c r="BT535" i="99"/>
  <c r="BT599" i="99" s="1"/>
  <c r="BT229" i="99"/>
  <c r="BT549" i="99"/>
  <c r="BT613" i="99" s="1"/>
  <c r="BT234" i="99"/>
  <c r="BW3" i="69"/>
  <c r="BW4" i="69" s="1"/>
  <c r="BV2" i="69" a="1"/>
  <c r="BV2" i="69" s="1"/>
  <c r="BV13" i="69"/>
  <c r="BV7" i="69"/>
  <c r="BV8" i="69"/>
  <c r="BV11" i="69"/>
  <c r="BV14" i="69"/>
  <c r="BV16" i="69"/>
  <c r="BV12" i="69"/>
  <c r="BV9" i="69"/>
  <c r="BV15" i="69"/>
  <c r="BV10" i="69"/>
  <c r="BT512" i="99"/>
  <c r="BT576" i="99" s="1"/>
  <c r="BP551" i="99"/>
  <c r="BP555" i="99" s="1"/>
  <c r="BP608" i="99"/>
  <c r="BR591" i="99"/>
  <c r="BR224" i="99"/>
  <c r="BM619" i="99"/>
  <c r="BM620" i="99" s="1"/>
  <c r="BM556" i="99"/>
  <c r="BT542" i="99"/>
  <c r="BT606" i="99" s="1"/>
  <c r="BT602" i="99"/>
  <c r="BQ223" i="99"/>
  <c r="BQ582" i="99"/>
  <c r="BQ530" i="99"/>
  <c r="BQ593" i="99"/>
  <c r="BQ594" i="99" s="1"/>
  <c r="BQ544" i="99"/>
  <c r="BQ224" i="99"/>
  <c r="BQ591" i="99"/>
  <c r="BT230" i="99"/>
  <c r="BR529" i="99"/>
  <c r="BR518" i="99"/>
  <c r="BR581" i="99"/>
  <c r="BO608" i="99"/>
  <c r="BO551" i="99"/>
  <c r="BO555" i="99" s="1"/>
  <c r="BT228" i="99"/>
  <c r="BT233" i="99"/>
  <c r="BT232" i="99"/>
  <c r="BS576" i="99"/>
  <c r="BS515" i="99"/>
  <c r="BT611" i="99"/>
  <c r="BT524" i="99"/>
  <c r="BT585" i="99"/>
  <c r="BU547" i="99"/>
  <c r="BU611" i="99" s="1"/>
  <c r="BU534" i="99"/>
  <c r="BU598" i="99" s="1"/>
  <c r="BU540" i="99"/>
  <c r="BU604" i="99" s="1"/>
  <c r="BU548" i="99"/>
  <c r="BU612" i="99" s="1"/>
  <c r="BU539" i="99"/>
  <c r="BU603" i="99" s="1"/>
  <c r="BU541" i="99"/>
  <c r="BU605" i="99" s="1"/>
  <c r="BU538" i="99"/>
  <c r="BU521" i="99"/>
  <c r="BU523" i="99"/>
  <c r="BU587" i="99" s="1"/>
  <c r="BU525" i="99"/>
  <c r="BU589" i="99" s="1"/>
  <c r="BU507" i="99"/>
  <c r="BU522" i="99"/>
  <c r="BU586" i="99" s="1"/>
  <c r="BU509" i="99"/>
  <c r="BU573" i="99" s="1"/>
  <c r="BU513" i="99"/>
  <c r="BU577" i="99" s="1"/>
  <c r="BU533" i="99"/>
  <c r="BU597" i="99" s="1"/>
  <c r="BU514" i="99"/>
  <c r="BU578" i="99" s="1"/>
  <c r="BU558" i="99"/>
  <c r="BU622" i="99" s="1"/>
  <c r="BU516" i="99"/>
  <c r="BU580" i="99" s="1"/>
  <c r="BW3" i="99"/>
  <c r="BW4" i="99" s="1"/>
  <c r="BV2" i="99" a="1"/>
  <c r="BV2" i="99" s="1"/>
  <c r="BV554" i="99" s="1"/>
  <c r="BV474" i="99"/>
  <c r="BV475" i="99"/>
  <c r="BV476" i="99"/>
  <c r="BV498" i="99"/>
  <c r="BV482" i="99" s="1"/>
  <c r="BV490" i="99" s="1"/>
  <c r="BV499" i="99"/>
  <c r="BV483" i="99" s="1"/>
  <c r="BV491" i="99" s="1"/>
  <c r="BV500" i="99"/>
  <c r="BV484" i="99" s="1"/>
  <c r="BV492" i="99" s="1"/>
  <c r="BV477" i="99"/>
  <c r="BV501" i="99"/>
  <c r="BV485" i="99" s="1"/>
  <c r="BV493" i="99" s="1"/>
  <c r="BV478" i="99"/>
  <c r="BV479" i="99"/>
  <c r="BV502" i="99"/>
  <c r="BV486" i="99" s="1"/>
  <c r="BV494" i="99" s="1"/>
  <c r="BV503" i="99"/>
  <c r="BV487" i="99" s="1"/>
  <c r="BV495" i="99" s="1"/>
  <c r="BS526" i="99"/>
  <c r="BS588" i="99"/>
  <c r="BN559" i="99" a="1"/>
  <c r="BN559" i="99" s="1"/>
  <c r="BN623" i="99" s="1"/>
  <c r="BN615" i="99"/>
  <c r="BN552" i="99"/>
  <c r="BM616" i="99"/>
  <c r="BX5" i="72"/>
  <c r="BX6" i="72" s="1"/>
  <c r="BW36" i="72"/>
  <c r="BW38" i="72" s="1"/>
  <c r="BW39" i="72" s="1"/>
  <c r="BW37" i="72"/>
  <c r="BU64" i="99"/>
  <c r="BW6" i="98"/>
  <c r="BV70" i="103"/>
  <c r="CA70" i="105" s="1"/>
  <c r="BV35" i="151" s="1"/>
  <c r="BX4" i="72" l="1" a="1"/>
  <c r="BX4" i="72" s="1"/>
  <c r="AU119" i="154"/>
  <c r="AU61" i="154"/>
  <c r="AR61" i="154"/>
  <c r="AR119" i="154"/>
  <c r="AT119" i="154"/>
  <c r="AT61" i="154"/>
  <c r="AW61" i="154"/>
  <c r="AW119" i="154"/>
  <c r="AS119" i="154"/>
  <c r="AS61" i="154"/>
  <c r="AV119" i="154"/>
  <c r="AV61" i="154"/>
  <c r="BX122" i="105"/>
  <c r="BT129" i="104"/>
  <c r="BT64" i="104" s="1"/>
  <c r="BY64" i="105" s="1"/>
  <c r="BT30" i="151" s="1"/>
  <c r="BK275" i="154"/>
  <c r="BL275" i="154"/>
  <c r="BK259" i="155"/>
  <c r="BM267" i="155"/>
  <c r="BQ267" i="155"/>
  <c r="BP275" i="155"/>
  <c r="BR259" i="154"/>
  <c r="BO267" i="154"/>
  <c r="BN275" i="154"/>
  <c r="BQ275" i="154"/>
  <c r="BL259" i="155"/>
  <c r="BR275" i="155"/>
  <c r="BJ259" i="155"/>
  <c r="BO259" i="155"/>
  <c r="BP275" i="154"/>
  <c r="BM275" i="154"/>
  <c r="BN275" i="155"/>
  <c r="BJ267" i="154"/>
  <c r="BN561" i="99"/>
  <c r="BN567" i="99" s="1"/>
  <c r="CA127" i="105"/>
  <c r="BR319" i="154"/>
  <c r="BO311" i="154"/>
  <c r="BJ319" i="155"/>
  <c r="BN319" i="154"/>
  <c r="BQ319" i="155"/>
  <c r="BQ275" i="155"/>
  <c r="BK303" i="155"/>
  <c r="BR275" i="154"/>
  <c r="BO319" i="154"/>
  <c r="BO275" i="154"/>
  <c r="BJ259" i="154"/>
  <c r="BR311" i="154"/>
  <c r="BO259" i="154"/>
  <c r="BM259" i="154"/>
  <c r="BM303" i="154"/>
  <c r="BP267" i="155"/>
  <c r="BK319" i="155"/>
  <c r="BJ311" i="155"/>
  <c r="BN267" i="155"/>
  <c r="BO275" i="155"/>
  <c r="BL259" i="154"/>
  <c r="BL311" i="155"/>
  <c r="BP303" i="154"/>
  <c r="BP311" i="154"/>
  <c r="BP319" i="155"/>
  <c r="BQ267" i="154"/>
  <c r="BL311" i="154"/>
  <c r="BN259" i="154"/>
  <c r="BN267" i="154"/>
  <c r="BO319" i="155"/>
  <c r="BM259" i="155"/>
  <c r="BM468" i="155"/>
  <c r="BM319" i="154"/>
  <c r="BP259" i="155"/>
  <c r="BP468" i="155"/>
  <c r="BP311" i="155"/>
  <c r="BJ267" i="155"/>
  <c r="BR267" i="154"/>
  <c r="BR468" i="154"/>
  <c r="BJ275" i="154"/>
  <c r="BJ468" i="154"/>
  <c r="BK303" i="154"/>
  <c r="BK267" i="154"/>
  <c r="BM267" i="154"/>
  <c r="BM468" i="154"/>
  <c r="BK319" i="154"/>
  <c r="BQ303" i="154"/>
  <c r="BJ275" i="155"/>
  <c r="BJ468" i="155"/>
  <c r="BK259" i="154"/>
  <c r="BK468" i="154"/>
  <c r="BQ311" i="154"/>
  <c r="BN259" i="155"/>
  <c r="BN468" i="155"/>
  <c r="BQ333" i="153"/>
  <c r="BQ343" i="153" s="1"/>
  <c r="BQ202" i="153"/>
  <c r="BO468" i="154"/>
  <c r="BL267" i="154"/>
  <c r="BL468" i="154"/>
  <c r="BO333" i="153"/>
  <c r="BO343" i="153" s="1"/>
  <c r="BO202" i="153"/>
  <c r="BO267" i="155"/>
  <c r="BO468" i="155"/>
  <c r="BP259" i="154"/>
  <c r="BL319" i="154"/>
  <c r="BP202" i="153"/>
  <c r="BP333" i="153"/>
  <c r="BP343" i="153" s="1"/>
  <c r="BR303" i="155"/>
  <c r="BL319" i="155"/>
  <c r="BR202" i="153"/>
  <c r="BR333" i="153"/>
  <c r="BR343" i="153" s="1"/>
  <c r="BR311" i="155"/>
  <c r="BK275" i="155"/>
  <c r="BJ303" i="154"/>
  <c r="BM311" i="155"/>
  <c r="BP267" i="154"/>
  <c r="BP468" i="154"/>
  <c r="BL333" i="153"/>
  <c r="BL343" i="153" s="1"/>
  <c r="BL202" i="153"/>
  <c r="BJ319" i="154"/>
  <c r="BM303" i="155"/>
  <c r="BM202" i="153"/>
  <c r="BM333" i="153"/>
  <c r="BM343" i="153" s="1"/>
  <c r="BK267" i="155"/>
  <c r="BK468" i="155"/>
  <c r="BN202" i="153"/>
  <c r="BN333" i="153"/>
  <c r="BN343" i="153" s="1"/>
  <c r="BY182" i="153"/>
  <c r="BY190" i="153" s="1"/>
  <c r="BY202" i="153" s="1"/>
  <c r="BX182" i="153"/>
  <c r="BX190" i="153" s="1"/>
  <c r="BX202" i="153" s="1"/>
  <c r="BR259" i="155"/>
  <c r="BN468" i="154"/>
  <c r="BQ303" i="155"/>
  <c r="BJ333" i="153"/>
  <c r="BJ343" i="153" s="1"/>
  <c r="BJ202" i="153"/>
  <c r="BV182" i="153"/>
  <c r="BV190" i="153" s="1"/>
  <c r="BV202" i="153" s="1"/>
  <c r="BK202" i="153"/>
  <c r="BK333" i="153"/>
  <c r="BK343" i="153" s="1"/>
  <c r="BW182" i="153"/>
  <c r="BW190" i="153" s="1"/>
  <c r="BW333" i="153" s="1"/>
  <c r="BW343" i="153" s="1"/>
  <c r="BR267" i="155"/>
  <c r="BR468" i="155"/>
  <c r="BQ259" i="154"/>
  <c r="BQ468" i="154"/>
  <c r="BQ259" i="155"/>
  <c r="BQ468" i="155"/>
  <c r="BL275" i="155"/>
  <c r="BN319" i="155"/>
  <c r="BN311" i="154"/>
  <c r="BN303" i="155"/>
  <c r="BM275" i="155"/>
  <c r="BO303" i="155"/>
  <c r="BL267" i="155"/>
  <c r="BL468" i="155"/>
  <c r="BT129" i="103"/>
  <c r="BT129" i="99"/>
  <c r="W159" i="99"/>
  <c r="Y159" i="153"/>
  <c r="S174" i="153" s="1"/>
  <c r="BG181" i="153" s="1"/>
  <c r="BG189" i="153" s="1"/>
  <c r="BG332" i="153" s="1"/>
  <c r="BG342" i="153" s="1"/>
  <c r="Y159" i="155"/>
  <c r="S174" i="155" s="1"/>
  <c r="Y159" i="154"/>
  <c r="S174" i="154" s="1"/>
  <c r="BS287" i="155"/>
  <c r="BW287" i="155"/>
  <c r="BS243" i="155"/>
  <c r="BW243" i="155"/>
  <c r="BX243" i="154"/>
  <c r="BY287" i="155"/>
  <c r="BX287" i="154"/>
  <c r="BY243" i="155"/>
  <c r="BY287" i="154"/>
  <c r="BY243" i="154"/>
  <c r="BT287" i="154"/>
  <c r="BW287" i="154"/>
  <c r="BU287" i="155"/>
  <c r="BT243" i="154"/>
  <c r="BW243" i="154"/>
  <c r="BU243" i="155"/>
  <c r="BS243" i="154"/>
  <c r="BS287" i="154"/>
  <c r="BX243" i="155"/>
  <c r="BX287" i="155"/>
  <c r="BU129" i="103"/>
  <c r="BU129" i="104"/>
  <c r="BU64" i="104" s="1"/>
  <c r="BZ64" i="105" s="1"/>
  <c r="BU30" i="151" s="1"/>
  <c r="BV243" i="155"/>
  <c r="BV287" i="155"/>
  <c r="BT287" i="155"/>
  <c r="BT243" i="155"/>
  <c r="BU287" i="154"/>
  <c r="BV243" i="154"/>
  <c r="BU243" i="154"/>
  <c r="BV287" i="154"/>
  <c r="BU333" i="153"/>
  <c r="BU343" i="153" s="1"/>
  <c r="BU202" i="153"/>
  <c r="BS333" i="153"/>
  <c r="BS343" i="153" s="1"/>
  <c r="BS202" i="153"/>
  <c r="BT202" i="153"/>
  <c r="BT333" i="153"/>
  <c r="BT343" i="153" s="1"/>
  <c r="BU535" i="99"/>
  <c r="BU599" i="99" s="1"/>
  <c r="BU549" i="99"/>
  <c r="BU613" i="99" s="1"/>
  <c r="T181" i="153"/>
  <c r="U181" i="153"/>
  <c r="S181" i="153"/>
  <c r="V181" i="153"/>
  <c r="W181" i="153"/>
  <c r="X181" i="153"/>
  <c r="Y181" i="153"/>
  <c r="Y189" i="153" s="1"/>
  <c r="BT515" i="99"/>
  <c r="BT517" i="99" s="1"/>
  <c r="BU230" i="99"/>
  <c r="BU512" i="99"/>
  <c r="BU576" i="99" s="1"/>
  <c r="BU233" i="99"/>
  <c r="BV17" i="69"/>
  <c r="CA76" i="105" s="1"/>
  <c r="BX3" i="69"/>
  <c r="BX4" i="69" s="1"/>
  <c r="BW2" i="69" a="1"/>
  <c r="BW2" i="69" s="1"/>
  <c r="BW9" i="69"/>
  <c r="BW12" i="69"/>
  <c r="BW15" i="69"/>
  <c r="BW14" i="69"/>
  <c r="BW8" i="69"/>
  <c r="BW10" i="69"/>
  <c r="BW11" i="69"/>
  <c r="BW13" i="69"/>
  <c r="BW7" i="69"/>
  <c r="BW16" i="69"/>
  <c r="BN556" i="99"/>
  <c r="BN619" i="99"/>
  <c r="BN620" i="99" s="1"/>
  <c r="BN616" i="99"/>
  <c r="BS590" i="99"/>
  <c r="BV540" i="99"/>
  <c r="BV604" i="99" s="1"/>
  <c r="BV547" i="99"/>
  <c r="BV611" i="99" s="1"/>
  <c r="BV548" i="99"/>
  <c r="BV612" i="99" s="1"/>
  <c r="BV539" i="99"/>
  <c r="BV603" i="99" s="1"/>
  <c r="BV541" i="99"/>
  <c r="BV605" i="99" s="1"/>
  <c r="BV538" i="99"/>
  <c r="BV534" i="99"/>
  <c r="BV598" i="99" s="1"/>
  <c r="BV521" i="99"/>
  <c r="BV509" i="99"/>
  <c r="BV573" i="99" s="1"/>
  <c r="BV525" i="99"/>
  <c r="BV589" i="99" s="1"/>
  <c r="BV507" i="99"/>
  <c r="BV523" i="99"/>
  <c r="BV587" i="99" s="1"/>
  <c r="BV522" i="99"/>
  <c r="BV586" i="99" s="1"/>
  <c r="BV533" i="99"/>
  <c r="BV597" i="99" s="1"/>
  <c r="BV514" i="99"/>
  <c r="BV578" i="99" s="1"/>
  <c r="BV513" i="99"/>
  <c r="BV577" i="99" s="1"/>
  <c r="BV558" i="99"/>
  <c r="BV622" i="99" s="1"/>
  <c r="BV516" i="99"/>
  <c r="BV580" i="99" s="1"/>
  <c r="BU229" i="99"/>
  <c r="BX3" i="99"/>
  <c r="BX4" i="99" s="1"/>
  <c r="BW2" i="99" a="1"/>
  <c r="BW2" i="99" s="1"/>
  <c r="BW554" i="99" s="1"/>
  <c r="BW474" i="99"/>
  <c r="BW475" i="99"/>
  <c r="BW476" i="99"/>
  <c r="BW498" i="99"/>
  <c r="BW482" i="99" s="1"/>
  <c r="BW490" i="99" s="1"/>
  <c r="BW499" i="99"/>
  <c r="BW483" i="99" s="1"/>
  <c r="BW491" i="99" s="1"/>
  <c r="BW500" i="99"/>
  <c r="BW484" i="99" s="1"/>
  <c r="BW492" i="99" s="1"/>
  <c r="BW477" i="99"/>
  <c r="BW501" i="99"/>
  <c r="BW485" i="99" s="1"/>
  <c r="BW493" i="99" s="1"/>
  <c r="BW478" i="99"/>
  <c r="BW502" i="99"/>
  <c r="BW486" i="99" s="1"/>
  <c r="BW494" i="99" s="1"/>
  <c r="BW479" i="99"/>
  <c r="BW503" i="99"/>
  <c r="BW487" i="99" s="1"/>
  <c r="BW495" i="99" s="1"/>
  <c r="BU228" i="99"/>
  <c r="BQ608" i="99"/>
  <c r="BQ551" i="99"/>
  <c r="BQ555" i="99" s="1"/>
  <c r="BU232" i="99"/>
  <c r="BT588" i="99"/>
  <c r="BT526" i="99"/>
  <c r="BT590" i="99" s="1"/>
  <c r="BM631" i="99"/>
  <c r="BM625" i="99"/>
  <c r="BM626" i="99" s="1"/>
  <c r="BM562" i="99"/>
  <c r="BU234" i="99"/>
  <c r="BU585" i="99"/>
  <c r="BU524" i="99"/>
  <c r="BR223" i="99"/>
  <c r="BR582" i="99"/>
  <c r="BU602" i="99"/>
  <c r="BU542" i="99"/>
  <c r="BU606" i="99" s="1"/>
  <c r="BR593" i="99"/>
  <c r="BR594" i="99" s="1"/>
  <c r="BR530" i="99"/>
  <c r="BR544" i="99"/>
  <c r="BS517" i="99"/>
  <c r="BS579" i="99"/>
  <c r="BP559" i="99" a="1"/>
  <c r="BP559" i="99" s="1"/>
  <c r="BP623" i="99" s="1"/>
  <c r="BP615" i="99"/>
  <c r="BP552" i="99"/>
  <c r="BO559" i="99" a="1"/>
  <c r="BO559" i="99" s="1"/>
  <c r="BO623" i="99" s="1"/>
  <c r="BO615" i="99"/>
  <c r="BO552" i="99"/>
  <c r="BY5" i="72"/>
  <c r="BY6" i="72" s="1"/>
  <c r="BX36" i="72"/>
  <c r="BX38" i="72" s="1"/>
  <c r="BX39" i="72" s="1"/>
  <c r="BX37" i="72"/>
  <c r="BU129" i="99"/>
  <c r="BU618" i="99"/>
  <c r="BX6" i="98"/>
  <c r="BW70" i="103"/>
  <c r="CB70" i="105" s="1"/>
  <c r="BW35" i="151" s="1"/>
  <c r="BY4" i="72" l="1" a="1"/>
  <c r="BY4" i="72" s="1"/>
  <c r="BV40" i="151"/>
  <c r="CA132" i="105"/>
  <c r="AV65" i="154"/>
  <c r="AV126" i="154"/>
  <c r="AV127" i="154" s="1"/>
  <c r="AV62" i="154"/>
  <c r="AS65" i="154"/>
  <c r="AS126" i="154"/>
  <c r="AS127" i="154" s="1"/>
  <c r="AS62" i="154"/>
  <c r="AW65" i="154"/>
  <c r="AW126" i="154"/>
  <c r="AW127" i="154" s="1"/>
  <c r="AW62" i="154"/>
  <c r="AT126" i="154"/>
  <c r="AT127" i="154" s="1"/>
  <c r="AT65" i="154"/>
  <c r="AT62" i="154"/>
  <c r="AR65" i="154"/>
  <c r="AR126" i="154"/>
  <c r="AR127" i="154" s="1"/>
  <c r="AR62" i="154"/>
  <c r="AU65" i="154"/>
  <c r="AU126" i="154"/>
  <c r="AU127" i="154" s="1"/>
  <c r="AU62" i="154"/>
  <c r="BY122" i="105"/>
  <c r="BZ122" i="105"/>
  <c r="BR417" i="154"/>
  <c r="BR456" i="154" s="1" a="1"/>
  <c r="BR456" i="154" s="1"/>
  <c r="BQ417" i="154"/>
  <c r="BQ456" i="154" s="1" a="1"/>
  <c r="BQ456" i="154" s="1"/>
  <c r="BR417" i="155"/>
  <c r="BR456" i="155" s="1" a="1"/>
  <c r="BR456" i="155" s="1"/>
  <c r="BP417" i="155"/>
  <c r="BP456" i="155" s="1" a="1"/>
  <c r="BP456" i="155" s="1"/>
  <c r="BO417" i="154"/>
  <c r="BO456" i="154" s="1" a="1"/>
  <c r="BO456" i="154" s="1"/>
  <c r="BK417" i="155"/>
  <c r="BK456" i="155" s="1" a="1"/>
  <c r="BK456" i="155" s="1"/>
  <c r="BJ417" i="154"/>
  <c r="BJ456" i="154" s="1" a="1"/>
  <c r="BJ456" i="154" s="1"/>
  <c r="BO417" i="155"/>
  <c r="BO456" i="155" s="1" a="1"/>
  <c r="BO456" i="155" s="1"/>
  <c r="BK417" i="154"/>
  <c r="BK456" i="154" s="1" a="1"/>
  <c r="BK456" i="154" s="1"/>
  <c r="BN417" i="154"/>
  <c r="BN456" i="154" s="1" a="1"/>
  <c r="BN456" i="154" s="1"/>
  <c r="BP417" i="154"/>
  <c r="BP456" i="154" s="1" a="1"/>
  <c r="BP456" i="154" s="1"/>
  <c r="BL417" i="155"/>
  <c r="BL456" i="155" s="1" a="1"/>
  <c r="BL456" i="155" s="1"/>
  <c r="BM417" i="155"/>
  <c r="BM456" i="155" s="1" a="1"/>
  <c r="BM456" i="155" s="1"/>
  <c r="BN417" i="155"/>
  <c r="BN456" i="155" s="1" a="1"/>
  <c r="BN456" i="155" s="1"/>
  <c r="BJ417" i="155"/>
  <c r="BJ456" i="155" s="1" a="1"/>
  <c r="BJ456" i="155" s="1"/>
  <c r="BL417" i="154"/>
  <c r="BL456" i="154" s="1" a="1"/>
  <c r="BL456" i="154" s="1"/>
  <c r="BQ417" i="155"/>
  <c r="BQ456" i="155" s="1" a="1"/>
  <c r="BQ456" i="155" s="1"/>
  <c r="BM417" i="154"/>
  <c r="BM456" i="154" s="1" a="1"/>
  <c r="BM456" i="154" s="1"/>
  <c r="BO561" i="99"/>
  <c r="BO567" i="99" s="1"/>
  <c r="BP561" i="99"/>
  <c r="BP567" i="99" s="1"/>
  <c r="CB127" i="105"/>
  <c r="BX333" i="153"/>
  <c r="BX343" i="153" s="1"/>
  <c r="BV333" i="153"/>
  <c r="BV343" i="153" s="1"/>
  <c r="BY333" i="153"/>
  <c r="BY343" i="153" s="1"/>
  <c r="BW202" i="153"/>
  <c r="BW218" i="153" s="1"/>
  <c r="BW287" i="153" s="1"/>
  <c r="BM210" i="153"/>
  <c r="BM243" i="153" s="1"/>
  <c r="BM218" i="153"/>
  <c r="BM287" i="153" s="1"/>
  <c r="BB181" i="154"/>
  <c r="BC181" i="154"/>
  <c r="BD181" i="154"/>
  <c r="BF181" i="154"/>
  <c r="AZ181" i="154"/>
  <c r="BA181" i="154"/>
  <c r="AX181" i="154"/>
  <c r="AY181" i="154"/>
  <c r="BE181" i="154"/>
  <c r="BI181" i="154"/>
  <c r="BG181" i="154"/>
  <c r="BH181" i="154"/>
  <c r="BI181" i="153"/>
  <c r="BI189" i="153" s="1"/>
  <c r="BI332" i="153" s="1"/>
  <c r="BI342" i="153" s="1"/>
  <c r="BR218" i="153"/>
  <c r="BR287" i="153" s="1"/>
  <c r="BR210" i="153"/>
  <c r="BR243" i="153" s="1"/>
  <c r="BP210" i="153"/>
  <c r="BP243" i="153" s="1"/>
  <c r="BP218" i="153"/>
  <c r="BP287" i="153" s="1"/>
  <c r="T174" i="153"/>
  <c r="U174" i="153" s="1"/>
  <c r="BS181" i="153" s="1"/>
  <c r="BS189" i="153" s="1"/>
  <c r="BS332" i="153" s="1"/>
  <c r="BS342" i="153" s="1"/>
  <c r="AY181" i="153"/>
  <c r="AY189" i="153" s="1"/>
  <c r="AX181" i="153"/>
  <c r="AX189" i="153" s="1"/>
  <c r="AZ181" i="153"/>
  <c r="AZ189" i="153" s="1"/>
  <c r="BA181" i="153"/>
  <c r="BA189" i="153" s="1"/>
  <c r="BC181" i="153"/>
  <c r="BC189" i="153" s="1"/>
  <c r="BB181" i="153"/>
  <c r="BB189" i="153" s="1"/>
  <c r="BD181" i="153"/>
  <c r="BD189" i="153" s="1"/>
  <c r="BE181" i="153"/>
  <c r="BE189" i="153" s="1"/>
  <c r="BF181" i="153"/>
  <c r="BF189" i="153" s="1"/>
  <c r="BJ218" i="153"/>
  <c r="BJ287" i="153" s="1"/>
  <c r="BJ210" i="153"/>
  <c r="BJ243" i="153" s="1"/>
  <c r="BK210" i="153"/>
  <c r="BK243" i="153" s="1"/>
  <c r="BK218" i="153"/>
  <c r="BK287" i="153" s="1"/>
  <c r="BO218" i="153"/>
  <c r="BO287" i="153" s="1"/>
  <c r="BO210" i="153"/>
  <c r="BO243" i="153" s="1"/>
  <c r="BL210" i="153"/>
  <c r="BL243" i="153" s="1"/>
  <c r="BL218" i="153"/>
  <c r="BL287" i="153" s="1"/>
  <c r="BQ210" i="153"/>
  <c r="BQ243" i="153" s="1"/>
  <c r="BQ218" i="153"/>
  <c r="BQ287" i="153" s="1"/>
  <c r="BN218" i="153"/>
  <c r="BN287" i="153" s="1"/>
  <c r="BN210" i="153"/>
  <c r="BN243" i="153" s="1"/>
  <c r="AY181" i="155"/>
  <c r="BE181" i="155"/>
  <c r="AX181" i="155"/>
  <c r="BA181" i="155"/>
  <c r="BC181" i="155"/>
  <c r="BF181" i="155"/>
  <c r="BD181" i="155"/>
  <c r="BB181" i="155"/>
  <c r="AZ181" i="155"/>
  <c r="BH181" i="155"/>
  <c r="BI181" i="155"/>
  <c r="BG181" i="155"/>
  <c r="Z435" i="153"/>
  <c r="AV435" i="153"/>
  <c r="BR435" i="153"/>
  <c r="AA435" i="153"/>
  <c r="AW435" i="153"/>
  <c r="BS435" i="153"/>
  <c r="AH435" i="153"/>
  <c r="AC435" i="153"/>
  <c r="AY435" i="153"/>
  <c r="BU435" i="153"/>
  <c r="AD435" i="153"/>
  <c r="AZ435" i="153"/>
  <c r="BV435" i="153"/>
  <c r="AL435" i="153"/>
  <c r="AM435" i="153"/>
  <c r="R435" i="153"/>
  <c r="AN435" i="153"/>
  <c r="BJ435" i="153"/>
  <c r="AE435" i="153"/>
  <c r="BA435" i="153"/>
  <c r="BW435" i="153"/>
  <c r="AF435" i="153"/>
  <c r="BB435" i="153"/>
  <c r="BX435" i="153"/>
  <c r="BH435" i="153"/>
  <c r="BI435" i="153"/>
  <c r="AG435" i="153"/>
  <c r="BC435" i="153"/>
  <c r="BY435" i="153"/>
  <c r="AI435" i="153"/>
  <c r="BE435" i="153"/>
  <c r="AJ435" i="153"/>
  <c r="BF435" i="153"/>
  <c r="AK435" i="153"/>
  <c r="BG435" i="153"/>
  <c r="T435" i="153"/>
  <c r="AO435" i="153"/>
  <c r="BK435" i="153"/>
  <c r="S435" i="153"/>
  <c r="AP435" i="153"/>
  <c r="BL435" i="153"/>
  <c r="U435" i="153"/>
  <c r="AQ435" i="153"/>
  <c r="BM435" i="153"/>
  <c r="AB435" i="153"/>
  <c r="AX435" i="153"/>
  <c r="BT435" i="153"/>
  <c r="V435" i="153"/>
  <c r="AR435" i="153"/>
  <c r="BN435" i="153"/>
  <c r="AU435" i="153"/>
  <c r="W435" i="153"/>
  <c r="AS435" i="153"/>
  <c r="BO435" i="153"/>
  <c r="Y435" i="153"/>
  <c r="BQ435" i="153"/>
  <c r="X435" i="153"/>
  <c r="AT435" i="153"/>
  <c r="BP435" i="153"/>
  <c r="BD435" i="153"/>
  <c r="AP435" i="155"/>
  <c r="BQ435" i="155"/>
  <c r="BE435" i="155"/>
  <c r="BJ435" i="155"/>
  <c r="X435" i="155"/>
  <c r="BY435" i="155"/>
  <c r="V435" i="155"/>
  <c r="AE435" i="155"/>
  <c r="W435" i="155"/>
  <c r="AQ435" i="155"/>
  <c r="BS435" i="155"/>
  <c r="BF435" i="155"/>
  <c r="BK435" i="155"/>
  <c r="BL435" i="155"/>
  <c r="AL435" i="155"/>
  <c r="BN435" i="155"/>
  <c r="AD435" i="155"/>
  <c r="U435" i="155"/>
  <c r="Y435" i="155"/>
  <c r="AR435" i="155"/>
  <c r="T435" i="155"/>
  <c r="AS435" i="155"/>
  <c r="AF435" i="155"/>
  <c r="AM435" i="155"/>
  <c r="BM435" i="155"/>
  <c r="BT435" i="155"/>
  <c r="BG435" i="155"/>
  <c r="Z435" i="155"/>
  <c r="AG435" i="155"/>
  <c r="S435" i="155"/>
  <c r="AA435" i="155"/>
  <c r="BU435" i="155"/>
  <c r="AO435" i="155"/>
  <c r="AU435" i="155"/>
  <c r="BA435" i="155"/>
  <c r="BI435" i="155"/>
  <c r="BO435" i="155"/>
  <c r="AH435" i="155"/>
  <c r="AT435" i="155"/>
  <c r="AV435" i="155"/>
  <c r="BB435" i="155"/>
  <c r="AN435" i="155"/>
  <c r="AW435" i="155"/>
  <c r="BV435" i="155"/>
  <c r="BH435" i="155"/>
  <c r="AX435" i="155"/>
  <c r="BC435" i="155"/>
  <c r="BR435" i="155"/>
  <c r="BW435" i="155"/>
  <c r="AY435" i="155"/>
  <c r="BD435" i="155"/>
  <c r="AZ435" i="155"/>
  <c r="BX435" i="155"/>
  <c r="AB435" i="155"/>
  <c r="AI435" i="155"/>
  <c r="BP435" i="155"/>
  <c r="AJ435" i="155"/>
  <c r="R435" i="155"/>
  <c r="AC435" i="155"/>
  <c r="AK435" i="155"/>
  <c r="T174" i="155"/>
  <c r="BS181" i="155" s="1"/>
  <c r="T174" i="154"/>
  <c r="BT181" i="154" s="1"/>
  <c r="AC435" i="154"/>
  <c r="BD435" i="154"/>
  <c r="AW435" i="154"/>
  <c r="BX435" i="154"/>
  <c r="BQ435" i="154"/>
  <c r="AK435" i="154"/>
  <c r="AD435" i="154"/>
  <c r="BE435" i="154"/>
  <c r="R435" i="154"/>
  <c r="AX435" i="154"/>
  <c r="BY435" i="154"/>
  <c r="AQ435" i="154"/>
  <c r="BR435" i="154"/>
  <c r="V435" i="154"/>
  <c r="BK435" i="154"/>
  <c r="AE435" i="154"/>
  <c r="AL435" i="154"/>
  <c r="X435" i="154"/>
  <c r="AY435" i="154"/>
  <c r="BF435" i="154"/>
  <c r="AR435" i="154"/>
  <c r="BS435" i="154"/>
  <c r="S435" i="154"/>
  <c r="BL435" i="154"/>
  <c r="AF435" i="154"/>
  <c r="AM435" i="154"/>
  <c r="Y435" i="154"/>
  <c r="AZ435" i="154"/>
  <c r="BG435" i="154"/>
  <c r="AS435" i="154"/>
  <c r="BT435" i="154"/>
  <c r="T435" i="154"/>
  <c r="BM435" i="154"/>
  <c r="BB435" i="154"/>
  <c r="AN435" i="154"/>
  <c r="Z435" i="154"/>
  <c r="AG435" i="154"/>
  <c r="BH435" i="154"/>
  <c r="AT435" i="154"/>
  <c r="BA435" i="154"/>
  <c r="U435" i="154"/>
  <c r="BN435" i="154"/>
  <c r="BU435" i="154"/>
  <c r="AO435" i="154"/>
  <c r="AA435" i="154"/>
  <c r="AH435" i="154"/>
  <c r="BI435" i="154"/>
  <c r="AU435" i="154"/>
  <c r="BV435" i="154"/>
  <c r="W435" i="154"/>
  <c r="BO435" i="154"/>
  <c r="AI435" i="154"/>
  <c r="AP435" i="154"/>
  <c r="AB435" i="154"/>
  <c r="BC435" i="154"/>
  <c r="BJ435" i="154"/>
  <c r="AV435" i="154"/>
  <c r="BW435" i="154"/>
  <c r="BP435" i="154"/>
  <c r="AJ435" i="154"/>
  <c r="BV618" i="99"/>
  <c r="BV64" i="99"/>
  <c r="BU181" i="153"/>
  <c r="BU189" i="153" s="1"/>
  <c r="BU201" i="153" s="1"/>
  <c r="BG201" i="153"/>
  <c r="BG217" i="153" s="1"/>
  <c r="BG286" i="153" s="1"/>
  <c r="BV251" i="154"/>
  <c r="BX295" i="155"/>
  <c r="BX303" i="155" s="1"/>
  <c r="BS295" i="154"/>
  <c r="BS311" i="154" s="1"/>
  <c r="BY251" i="154"/>
  <c r="BY295" i="154"/>
  <c r="BY319" i="154" s="1"/>
  <c r="BU251" i="154"/>
  <c r="BT295" i="155"/>
  <c r="BT303" i="155" s="1"/>
  <c r="BX251" i="155"/>
  <c r="BU251" i="155"/>
  <c r="BU295" i="154"/>
  <c r="BU311" i="154" s="1"/>
  <c r="BV295" i="155"/>
  <c r="BV303" i="155" s="1"/>
  <c r="BU295" i="155"/>
  <c r="BU311" i="155" s="1"/>
  <c r="BW251" i="155"/>
  <c r="BS251" i="155"/>
  <c r="BY251" i="155"/>
  <c r="BT295" i="154"/>
  <c r="BT303" i="154" s="1"/>
  <c r="BW295" i="155"/>
  <c r="BS251" i="154"/>
  <c r="BW295" i="154"/>
  <c r="BW319" i="154" s="1"/>
  <c r="BY295" i="155"/>
  <c r="BY319" i="155" s="1"/>
  <c r="BX251" i="154"/>
  <c r="BV295" i="154"/>
  <c r="BV311" i="154" s="1"/>
  <c r="BS295" i="155"/>
  <c r="BS311" i="155" s="1"/>
  <c r="BT251" i="155"/>
  <c r="BV251" i="155"/>
  <c r="BW251" i="154"/>
  <c r="BT251" i="154"/>
  <c r="BX295" i="154"/>
  <c r="BX311" i="154" s="1"/>
  <c r="BT181" i="153"/>
  <c r="BT189" i="153" s="1"/>
  <c r="BT201" i="153" s="1"/>
  <c r="BU515" i="99"/>
  <c r="BU517" i="99" s="1"/>
  <c r="BT579" i="99"/>
  <c r="BV549" i="99"/>
  <c r="BV613" i="99" s="1"/>
  <c r="BT210" i="153"/>
  <c r="BT243" i="153" s="1"/>
  <c r="BT218" i="153"/>
  <c r="BT287" i="153" s="1"/>
  <c r="BS218" i="153"/>
  <c r="BS287" i="153" s="1"/>
  <c r="BS210" i="153"/>
  <c r="BS243" i="153" s="1"/>
  <c r="BU218" i="153"/>
  <c r="BU287" i="153" s="1"/>
  <c r="BU210" i="153"/>
  <c r="BU243" i="153" s="1"/>
  <c r="BY210" i="153"/>
  <c r="BY243" i="153" s="1"/>
  <c r="BY218" i="153"/>
  <c r="BY287" i="153" s="1"/>
  <c r="BW181" i="153"/>
  <c r="BW189" i="153" s="1"/>
  <c r="BV181" i="153"/>
  <c r="BV189" i="153" s="1"/>
  <c r="BX181" i="153"/>
  <c r="BX189" i="153" s="1"/>
  <c r="BY181" i="153"/>
  <c r="BY189" i="153" s="1"/>
  <c r="BV535" i="99"/>
  <c r="BV599" i="99" s="1"/>
  <c r="BV210" i="153"/>
  <c r="BV243" i="153" s="1"/>
  <c r="BV218" i="153"/>
  <c r="BV287" i="153" s="1"/>
  <c r="BX218" i="153"/>
  <c r="BX287" i="153" s="1"/>
  <c r="BX210" i="153"/>
  <c r="BX243" i="153" s="1"/>
  <c r="Y332" i="153"/>
  <c r="Y342" i="153" s="1"/>
  <c r="Y201" i="153"/>
  <c r="X189" i="153"/>
  <c r="W189" i="153"/>
  <c r="V189" i="153"/>
  <c r="S189" i="153"/>
  <c r="U189" i="153"/>
  <c r="T189" i="153"/>
  <c r="AA181" i="153"/>
  <c r="AA189" i="153" s="1"/>
  <c r="Z181" i="153"/>
  <c r="Z189" i="153" s="1"/>
  <c r="AB181" i="153"/>
  <c r="AB189" i="153" s="1"/>
  <c r="AC181" i="153"/>
  <c r="AC189" i="153" s="1"/>
  <c r="AD181" i="153"/>
  <c r="AD189" i="153" s="1"/>
  <c r="AE181" i="153"/>
  <c r="AE189" i="153" s="1"/>
  <c r="AF181" i="153"/>
  <c r="AF189" i="153" s="1"/>
  <c r="AG181" i="153"/>
  <c r="AG189" i="153" s="1"/>
  <c r="AH181" i="153"/>
  <c r="AH189" i="153" s="1"/>
  <c r="AI181" i="153"/>
  <c r="AI189" i="153" s="1"/>
  <c r="AJ181" i="153"/>
  <c r="AJ189" i="153" s="1"/>
  <c r="AK181" i="153"/>
  <c r="AK189" i="153" s="1"/>
  <c r="BV512" i="99"/>
  <c r="BV515" i="99" s="1"/>
  <c r="BV230" i="99"/>
  <c r="BV234" i="99"/>
  <c r="BW17" i="69"/>
  <c r="CB76" i="105" s="1"/>
  <c r="BY3" i="69"/>
  <c r="BY4" i="69" s="1"/>
  <c r="BX2" i="69" a="1"/>
  <c r="BX2" i="69" s="1"/>
  <c r="BX7" i="69"/>
  <c r="BX11" i="69"/>
  <c r="BX8" i="69"/>
  <c r="BX14" i="69"/>
  <c r="BX10" i="69"/>
  <c r="BX15" i="69"/>
  <c r="BX9" i="69"/>
  <c r="BX13" i="69"/>
  <c r="BX12" i="69"/>
  <c r="BR608" i="99"/>
  <c r="BR551" i="99"/>
  <c r="BR555" i="99" s="1"/>
  <c r="BU526" i="99"/>
  <c r="BU590" i="99" s="1"/>
  <c r="BU588" i="99"/>
  <c r="BP616" i="99"/>
  <c r="BP556" i="99"/>
  <c r="BP619" i="99"/>
  <c r="BP620" i="99" s="1"/>
  <c r="BV524" i="99"/>
  <c r="BV585" i="99"/>
  <c r="BS581" i="99"/>
  <c r="BS518" i="99"/>
  <c r="BV602" i="99"/>
  <c r="BV542" i="99"/>
  <c r="BV606" i="99" s="1"/>
  <c r="BW538" i="99"/>
  <c r="BW534" i="99"/>
  <c r="BW598" i="99" s="1"/>
  <c r="BW540" i="99"/>
  <c r="BW604" i="99" s="1"/>
  <c r="BW547" i="99"/>
  <c r="BW611" i="99" s="1"/>
  <c r="BW548" i="99"/>
  <c r="BW612" i="99" s="1"/>
  <c r="BW541" i="99"/>
  <c r="BW605" i="99" s="1"/>
  <c r="BW539" i="99"/>
  <c r="BW603" i="99" s="1"/>
  <c r="BW523" i="99"/>
  <c r="BW587" i="99" s="1"/>
  <c r="BW522" i="99"/>
  <c r="BW586" i="99" s="1"/>
  <c r="BW509" i="99"/>
  <c r="BW573" i="99" s="1"/>
  <c r="BW525" i="99"/>
  <c r="BW589" i="99" s="1"/>
  <c r="BW521" i="99"/>
  <c r="BW507" i="99"/>
  <c r="BW513" i="99"/>
  <c r="BW577" i="99" s="1"/>
  <c r="BW516" i="99"/>
  <c r="BW580" i="99" s="1"/>
  <c r="BW558" i="99"/>
  <c r="BW622" i="99" s="1"/>
  <c r="BW514" i="99"/>
  <c r="BW578" i="99" s="1"/>
  <c r="BW533" i="99"/>
  <c r="BW597" i="99" s="1"/>
  <c r="BY3" i="99"/>
  <c r="BY4" i="99" s="1"/>
  <c r="J9" i="99" s="1"/>
  <c r="BX2" i="99" a="1"/>
  <c r="BX2" i="99" s="1"/>
  <c r="BX554" i="99" s="1"/>
  <c r="BX474" i="99"/>
  <c r="BX475" i="99"/>
  <c r="BX498" i="99"/>
  <c r="BX482" i="99" s="1"/>
  <c r="BX490" i="99" s="1"/>
  <c r="BX499" i="99"/>
  <c r="BX483" i="99" s="1"/>
  <c r="BX491" i="99" s="1"/>
  <c r="BX476" i="99"/>
  <c r="BX477" i="99"/>
  <c r="BX500" i="99"/>
  <c r="BX484" i="99" s="1"/>
  <c r="BX492" i="99" s="1"/>
  <c r="BX501" i="99"/>
  <c r="BX485" i="99" s="1"/>
  <c r="BX493" i="99" s="1"/>
  <c r="BX478" i="99"/>
  <c r="BX479" i="99"/>
  <c r="BX502" i="99"/>
  <c r="BX486" i="99" s="1"/>
  <c r="BX494" i="99" s="1"/>
  <c r="BX503" i="99"/>
  <c r="BX487" i="99" s="1"/>
  <c r="BX495" i="99" s="1"/>
  <c r="BS529" i="99"/>
  <c r="BT591" i="99"/>
  <c r="BT224" i="99"/>
  <c r="BS591" i="99"/>
  <c r="BS224" i="99"/>
  <c r="BO556" i="99"/>
  <c r="BO619" i="99"/>
  <c r="BO620" i="99" s="1"/>
  <c r="BO616" i="99"/>
  <c r="BV228" i="99"/>
  <c r="BT529" i="99"/>
  <c r="BT518" i="99"/>
  <c r="BT581" i="99"/>
  <c r="BV229" i="99"/>
  <c r="BN562" i="99"/>
  <c r="BN631" i="99"/>
  <c r="BN625" i="99"/>
  <c r="BN626" i="99" s="1"/>
  <c r="BQ559" i="99" a="1"/>
  <c r="BQ559" i="99" s="1"/>
  <c r="BQ623" i="99" s="1"/>
  <c r="BQ615" i="99"/>
  <c r="BQ552" i="99"/>
  <c r="BV232" i="99"/>
  <c r="BV233" i="99"/>
  <c r="BZ5" i="72"/>
  <c r="BZ6" i="72" s="1"/>
  <c r="BY36" i="72"/>
  <c r="BY38" i="72" s="1"/>
  <c r="BY39" i="72" s="1"/>
  <c r="BY37" i="72"/>
  <c r="BY6" i="98"/>
  <c r="BX70" i="103"/>
  <c r="CC70" i="105" s="1"/>
  <c r="BX35" i="151" s="1"/>
  <c r="J11" i="99" l="1"/>
  <c r="J12" i="99" s="1"/>
  <c r="J15" i="99"/>
  <c r="J16" i="99" s="1"/>
  <c r="J82" i="99"/>
  <c r="BZ4" i="72" a="1"/>
  <c r="BZ4" i="72" s="1"/>
  <c r="BW40" i="151"/>
  <c r="CB132" i="105"/>
  <c r="AU71" i="154"/>
  <c r="AU66" i="154"/>
  <c r="AU130" i="154"/>
  <c r="AU131" i="154" s="1"/>
  <c r="AR66" i="154"/>
  <c r="AR130" i="154"/>
  <c r="AR131" i="154" s="1"/>
  <c r="AR71" i="154"/>
  <c r="AT71" i="154"/>
  <c r="AT66" i="154"/>
  <c r="AT130" i="154"/>
  <c r="AT131" i="154" s="1"/>
  <c r="AW66" i="154"/>
  <c r="AW71" i="154"/>
  <c r="AW130" i="154"/>
  <c r="AW131" i="154" s="1"/>
  <c r="AS71" i="154"/>
  <c r="AS66" i="154"/>
  <c r="AS130" i="154"/>
  <c r="AS131" i="154" s="1"/>
  <c r="AV66" i="154"/>
  <c r="AV130" i="154"/>
  <c r="AV131" i="154" s="1"/>
  <c r="AV71" i="154"/>
  <c r="S155" i="155"/>
  <c r="Y155" i="155" s="1"/>
  <c r="S170" i="155" s="1"/>
  <c r="BV129" i="104"/>
  <c r="BV64" i="104" s="1"/>
  <c r="CA64" i="105" s="1"/>
  <c r="BV30" i="151" s="1"/>
  <c r="BS267" i="155"/>
  <c r="BT259" i="155"/>
  <c r="BX259" i="155"/>
  <c r="BY259" i="155"/>
  <c r="BU259" i="155"/>
  <c r="BV267" i="154"/>
  <c r="BY267" i="154"/>
  <c r="BS259" i="154"/>
  <c r="BT275" i="154"/>
  <c r="BX259" i="154"/>
  <c r="BW259" i="154"/>
  <c r="BW267" i="155"/>
  <c r="BV267" i="155"/>
  <c r="BQ561" i="99"/>
  <c r="BQ567" i="99" s="1"/>
  <c r="CC127" i="105"/>
  <c r="BW210" i="153"/>
  <c r="BW243" i="153" s="1"/>
  <c r="BW251" i="153" s="1"/>
  <c r="BI201" i="153"/>
  <c r="BI217" i="153" s="1"/>
  <c r="BI286" i="153" s="1"/>
  <c r="BI294" i="153" s="1"/>
  <c r="BI302" i="153" s="1"/>
  <c r="BT181" i="155"/>
  <c r="BT189" i="155" s="1"/>
  <c r="BH189" i="154"/>
  <c r="BN251" i="153"/>
  <c r="BG189" i="154"/>
  <c r="BS181" i="154"/>
  <c r="BS189" i="154" s="1"/>
  <c r="BN295" i="153"/>
  <c r="BN319" i="153" s="1"/>
  <c r="BI189" i="154"/>
  <c r="BU181" i="154"/>
  <c r="BU189" i="154" s="1"/>
  <c r="BQ295" i="153"/>
  <c r="BQ319" i="153" s="1"/>
  <c r="BE189" i="154"/>
  <c r="BR181" i="154"/>
  <c r="BR189" i="154" s="1"/>
  <c r="BQ251" i="153"/>
  <c r="AY189" i="154"/>
  <c r="AY183" i="154"/>
  <c r="BG189" i="155"/>
  <c r="BL295" i="153"/>
  <c r="BL311" i="153" s="1"/>
  <c r="BK295" i="153"/>
  <c r="BK319" i="153" s="1"/>
  <c r="AX189" i="154"/>
  <c r="AX183" i="154"/>
  <c r="BI189" i="155"/>
  <c r="BL251" i="153"/>
  <c r="BO251" i="153"/>
  <c r="BK251" i="153"/>
  <c r="BP295" i="153"/>
  <c r="BP303" i="153" s="1"/>
  <c r="BA189" i="154"/>
  <c r="BA183" i="154"/>
  <c r="BH189" i="155"/>
  <c r="BO295" i="153"/>
  <c r="BO319" i="153" s="1"/>
  <c r="BP251" i="153"/>
  <c r="AZ189" i="154"/>
  <c r="AZ183" i="154"/>
  <c r="AZ189" i="155"/>
  <c r="BR251" i="153"/>
  <c r="BF189" i="154"/>
  <c r="BB189" i="155"/>
  <c r="BR295" i="153"/>
  <c r="BR311" i="153" s="1"/>
  <c r="BD189" i="154"/>
  <c r="BD189" i="155"/>
  <c r="BF332" i="153"/>
  <c r="BF342" i="153" s="1"/>
  <c r="BF201" i="153"/>
  <c r="BC189" i="154"/>
  <c r="BC183" i="154"/>
  <c r="BM295" i="153"/>
  <c r="BM311" i="153" s="1"/>
  <c r="BF189" i="155"/>
  <c r="BE332" i="153"/>
  <c r="BE342" i="153" s="1"/>
  <c r="BE201" i="153"/>
  <c r="BB189" i="154"/>
  <c r="BB183" i="154"/>
  <c r="BM251" i="153"/>
  <c r="BC189" i="155"/>
  <c r="BD332" i="153"/>
  <c r="BD342" i="153" s="1"/>
  <c r="BD201" i="153"/>
  <c r="BN181" i="155"/>
  <c r="BA189" i="155"/>
  <c r="BB201" i="153"/>
  <c r="BB332" i="153"/>
  <c r="BB342" i="153" s="1"/>
  <c r="U174" i="154"/>
  <c r="BJ181" i="154"/>
  <c r="BL181" i="154"/>
  <c r="BK181" i="154"/>
  <c r="BQ181" i="155"/>
  <c r="BQ189" i="155" s="1"/>
  <c r="AX189" i="155"/>
  <c r="BC332" i="153"/>
  <c r="BC342" i="153" s="1"/>
  <c r="BC201" i="153"/>
  <c r="BM181" i="154"/>
  <c r="BM189" i="154" s="1"/>
  <c r="BO181" i="155"/>
  <c r="BO189" i="155" s="1"/>
  <c r="BE189" i="155"/>
  <c r="BA201" i="153"/>
  <c r="BA332" i="153"/>
  <c r="BA342" i="153" s="1"/>
  <c r="BN181" i="154"/>
  <c r="BN189" i="154" s="1"/>
  <c r="BP181" i="155"/>
  <c r="BP189" i="155" s="1"/>
  <c r="AY189" i="155"/>
  <c r="AZ332" i="153"/>
  <c r="AZ342" i="153" s="1"/>
  <c r="AZ201" i="153"/>
  <c r="BQ181" i="154"/>
  <c r="BQ189" i="154" s="1"/>
  <c r="BM181" i="155"/>
  <c r="AX201" i="153"/>
  <c r="AX332" i="153"/>
  <c r="AX342" i="153" s="1"/>
  <c r="BO181" i="154"/>
  <c r="BO189" i="154" s="1"/>
  <c r="BJ251" i="153"/>
  <c r="AY201" i="153"/>
  <c r="AY332" i="153"/>
  <c r="AY342" i="153" s="1"/>
  <c r="BR181" i="155"/>
  <c r="BR189" i="155" s="1"/>
  <c r="BP181" i="154"/>
  <c r="BP189" i="154" s="1"/>
  <c r="BJ295" i="153"/>
  <c r="BJ303" i="153" s="1"/>
  <c r="BH181" i="153"/>
  <c r="BH189" i="153" s="1"/>
  <c r="BL181" i="153"/>
  <c r="BL189" i="153" s="1"/>
  <c r="BK181" i="153"/>
  <c r="BK189" i="153" s="1"/>
  <c r="BJ181" i="153"/>
  <c r="BJ189" i="153" s="1"/>
  <c r="BM181" i="153"/>
  <c r="BM189" i="153" s="1"/>
  <c r="BN181" i="153"/>
  <c r="BN189" i="153" s="1"/>
  <c r="BO181" i="153"/>
  <c r="BO189" i="153" s="1"/>
  <c r="BP181" i="153"/>
  <c r="BP189" i="153" s="1"/>
  <c r="BR181" i="153"/>
  <c r="BR189" i="153" s="1"/>
  <c r="BQ181" i="153"/>
  <c r="BQ189" i="153" s="1"/>
  <c r="U174" i="155"/>
  <c r="BL181" i="155"/>
  <c r="BK181" i="155"/>
  <c r="BJ181" i="155"/>
  <c r="BU181" i="155"/>
  <c r="BU189" i="155" s="1"/>
  <c r="P155" i="99"/>
  <c r="E155" i="99" s="1"/>
  <c r="P156" i="99"/>
  <c r="E156" i="99" s="1"/>
  <c r="P157" i="99"/>
  <c r="E157" i="99" s="1"/>
  <c r="P158" i="99"/>
  <c r="E158" i="99" s="1"/>
  <c r="P159" i="99"/>
  <c r="E159" i="99" s="1"/>
  <c r="P160" i="99"/>
  <c r="BS201" i="153"/>
  <c r="BS217" i="153" s="1"/>
  <c r="BS286" i="153" s="1"/>
  <c r="V174" i="153"/>
  <c r="W174" i="153" s="1"/>
  <c r="BY181" i="154"/>
  <c r="BY189" i="154" s="1"/>
  <c r="BY332" i="154" s="1"/>
  <c r="BY342" i="154" s="1"/>
  <c r="BY181" i="155"/>
  <c r="BY189" i="155" s="1"/>
  <c r="BY332" i="155" s="1"/>
  <c r="BY342" i="155" s="1"/>
  <c r="BV129" i="99"/>
  <c r="BV129" i="103"/>
  <c r="BT189" i="154"/>
  <c r="BS189" i="155"/>
  <c r="AB437" i="154"/>
  <c r="AB74" i="154" s="1"/>
  <c r="AX437" i="154"/>
  <c r="AX74" i="154" s="1"/>
  <c r="AX139" i="154" s="1"/>
  <c r="BT437" i="154"/>
  <c r="BT74" i="154" s="1"/>
  <c r="BT139" i="154" s="1"/>
  <c r="AC437" i="154"/>
  <c r="AC74" i="154" s="1"/>
  <c r="AY437" i="154"/>
  <c r="AY74" i="154" s="1"/>
  <c r="AY139" i="154" s="1"/>
  <c r="BU437" i="154"/>
  <c r="BU74" i="154" s="1"/>
  <c r="BU139" i="154" s="1"/>
  <c r="AD437" i="154"/>
  <c r="AD74" i="154" s="1"/>
  <c r="AZ437" i="154"/>
  <c r="AZ74" i="154" s="1"/>
  <c r="AZ139" i="154" s="1"/>
  <c r="BV437" i="154"/>
  <c r="BV74" i="154" s="1"/>
  <c r="BV139" i="154" s="1"/>
  <c r="AE437" i="154"/>
  <c r="AE74" i="154" s="1"/>
  <c r="BA437" i="154"/>
  <c r="BA74" i="154" s="1"/>
  <c r="BA139" i="154" s="1"/>
  <c r="BW437" i="154"/>
  <c r="BW74" i="154" s="1"/>
  <c r="BW139" i="154" s="1"/>
  <c r="AF437" i="154"/>
  <c r="AF74" i="154" s="1"/>
  <c r="BB437" i="154"/>
  <c r="BB74" i="154" s="1"/>
  <c r="BX437" i="154"/>
  <c r="BX74" i="154" s="1"/>
  <c r="BX139" i="154" s="1"/>
  <c r="AG437" i="154"/>
  <c r="AG74" i="154" s="1"/>
  <c r="BC437" i="154"/>
  <c r="BC74" i="154" s="1"/>
  <c r="BC139" i="154" s="1"/>
  <c r="BY437" i="154"/>
  <c r="BY74" i="154" s="1"/>
  <c r="BY139" i="154" s="1"/>
  <c r="AH437" i="154"/>
  <c r="AH74" i="154" s="1"/>
  <c r="BD437" i="154"/>
  <c r="BD74" i="154" s="1"/>
  <c r="BD139" i="154" s="1"/>
  <c r="AI437" i="154"/>
  <c r="AI74" i="154" s="1"/>
  <c r="BE437" i="154"/>
  <c r="BE74" i="154" s="1"/>
  <c r="BE139" i="154" s="1"/>
  <c r="AJ437" i="154"/>
  <c r="AJ74" i="154" s="1"/>
  <c r="BF437" i="154"/>
  <c r="BF74" i="154" s="1"/>
  <c r="BF139" i="154" s="1"/>
  <c r="AK437" i="154"/>
  <c r="AK74" i="154" s="1"/>
  <c r="BG437" i="154"/>
  <c r="BG74" i="154" s="1"/>
  <c r="BG139" i="154" s="1"/>
  <c r="AL437" i="154"/>
  <c r="AL74" i="154" s="1"/>
  <c r="BH437" i="154"/>
  <c r="BH74" i="154" s="1"/>
  <c r="BH139" i="154" s="1"/>
  <c r="AM437" i="154"/>
  <c r="AM74" i="154" s="1"/>
  <c r="BI437" i="154"/>
  <c r="BI74" i="154" s="1"/>
  <c r="BI139" i="154" s="1"/>
  <c r="S437" i="154"/>
  <c r="S74" i="154" s="1"/>
  <c r="AN437" i="154"/>
  <c r="AN74" i="154" s="1"/>
  <c r="BJ437" i="154"/>
  <c r="BJ74" i="154" s="1"/>
  <c r="BJ139" i="154" s="1"/>
  <c r="R437" i="154"/>
  <c r="R74" i="154" s="1"/>
  <c r="AO437" i="154"/>
  <c r="AO74" i="154" s="1"/>
  <c r="BK437" i="154"/>
  <c r="BK74" i="154" s="1"/>
  <c r="BK139" i="154" s="1"/>
  <c r="T437" i="154"/>
  <c r="T74" i="154" s="1"/>
  <c r="AP437" i="154"/>
  <c r="AP74" i="154" s="1"/>
  <c r="BL437" i="154"/>
  <c r="BL74" i="154" s="1"/>
  <c r="BL139" i="154" s="1"/>
  <c r="U437" i="154"/>
  <c r="U74" i="154" s="1"/>
  <c r="AQ437" i="154"/>
  <c r="AQ74" i="154" s="1"/>
  <c r="BM437" i="154"/>
  <c r="BM74" i="154" s="1"/>
  <c r="BM139" i="154" s="1"/>
  <c r="X437" i="154"/>
  <c r="X74" i="154" s="1"/>
  <c r="AR437" i="154"/>
  <c r="AR74" i="154" s="1"/>
  <c r="AR139" i="154" s="1"/>
  <c r="BN437" i="154"/>
  <c r="BN74" i="154" s="1"/>
  <c r="W437" i="154"/>
  <c r="W74" i="154" s="1"/>
  <c r="AS437" i="154"/>
  <c r="AS74" i="154" s="1"/>
  <c r="AS139" i="154" s="1"/>
  <c r="BO437" i="154"/>
  <c r="BO74" i="154" s="1"/>
  <c r="BO139" i="154" s="1"/>
  <c r="V437" i="154"/>
  <c r="V74" i="154" s="1"/>
  <c r="AT437" i="154"/>
  <c r="AT74" i="154" s="1"/>
  <c r="AT139" i="154" s="1"/>
  <c r="BP437" i="154"/>
  <c r="BP74" i="154" s="1"/>
  <c r="BP139" i="154" s="1"/>
  <c r="Y437" i="154"/>
  <c r="Y74" i="154" s="1"/>
  <c r="AU437" i="154"/>
  <c r="AU74" i="154" s="1"/>
  <c r="AU139" i="154" s="1"/>
  <c r="BQ437" i="154"/>
  <c r="BQ74" i="154" s="1"/>
  <c r="BQ139" i="154" s="1"/>
  <c r="Z437" i="154"/>
  <c r="Z74" i="154" s="1"/>
  <c r="AV437" i="154"/>
  <c r="AV74" i="154" s="1"/>
  <c r="AV139" i="154" s="1"/>
  <c r="BR437" i="154"/>
  <c r="BR74" i="154" s="1"/>
  <c r="BR139" i="154" s="1"/>
  <c r="AA437" i="154"/>
  <c r="AA74" i="154" s="1"/>
  <c r="AW437" i="154"/>
  <c r="AW74" i="154" s="1"/>
  <c r="AW139" i="154" s="1"/>
  <c r="BS437" i="154"/>
  <c r="BS74" i="154" s="1"/>
  <c r="BS139" i="154" s="1"/>
  <c r="N9" i="99"/>
  <c r="BW618" i="99"/>
  <c r="BW64" i="99"/>
  <c r="BU332" i="153"/>
  <c r="BU342" i="153" s="1"/>
  <c r="BG209" i="153"/>
  <c r="BG242" i="153" s="1"/>
  <c r="BG250" i="153" s="1"/>
  <c r="BT319" i="154"/>
  <c r="BX319" i="154"/>
  <c r="BV275" i="154"/>
  <c r="BY275" i="155"/>
  <c r="BV311" i="155"/>
  <c r="BW275" i="154"/>
  <c r="BV319" i="154"/>
  <c r="BU303" i="155"/>
  <c r="BT311" i="155"/>
  <c r="BT267" i="154"/>
  <c r="BV275" i="155"/>
  <c r="BW259" i="155"/>
  <c r="BX267" i="155"/>
  <c r="BY259" i="154"/>
  <c r="BS303" i="155"/>
  <c r="BW311" i="155"/>
  <c r="BU259" i="154"/>
  <c r="BU468" i="154"/>
  <c r="BS275" i="155"/>
  <c r="BS259" i="155"/>
  <c r="BS468" i="155"/>
  <c r="BW267" i="154"/>
  <c r="BW468" i="154"/>
  <c r="BX275" i="155"/>
  <c r="BX468" i="155"/>
  <c r="BX319" i="155"/>
  <c r="BV259" i="155"/>
  <c r="BV468" i="155"/>
  <c r="BV303" i="154"/>
  <c r="BT332" i="153"/>
  <c r="BT342" i="153" s="1"/>
  <c r="BT267" i="155"/>
  <c r="BY303" i="155"/>
  <c r="BY303" i="154"/>
  <c r="BX311" i="155"/>
  <c r="BT275" i="155"/>
  <c r="BT468" i="155"/>
  <c r="BY311" i="155"/>
  <c r="BY311" i="154"/>
  <c r="BV319" i="155"/>
  <c r="BX303" i="154"/>
  <c r="BS319" i="155"/>
  <c r="BS267" i="154"/>
  <c r="BS275" i="154"/>
  <c r="BS468" i="154"/>
  <c r="BU319" i="155"/>
  <c r="BU579" i="99"/>
  <c r="BX267" i="154"/>
  <c r="BW303" i="154"/>
  <c r="BW275" i="155"/>
  <c r="BW468" i="155"/>
  <c r="BU303" i="154"/>
  <c r="BU275" i="155"/>
  <c r="BT319" i="155"/>
  <c r="BY275" i="154"/>
  <c r="BY468" i="154"/>
  <c r="BS319" i="154"/>
  <c r="BT259" i="154"/>
  <c r="BT468" i="154"/>
  <c r="BV259" i="154"/>
  <c r="BV468" i="154"/>
  <c r="BX275" i="154"/>
  <c r="BX468" i="154"/>
  <c r="BW311" i="154"/>
  <c r="BU319" i="154"/>
  <c r="BU267" i="155"/>
  <c r="BU468" i="155"/>
  <c r="BS303" i="154"/>
  <c r="BT311" i="154"/>
  <c r="BY267" i="155"/>
  <c r="BY468" i="155"/>
  <c r="BW303" i="155"/>
  <c r="BU267" i="154"/>
  <c r="BW319" i="155"/>
  <c r="BU275" i="154"/>
  <c r="BU251" i="153"/>
  <c r="BU295" i="153"/>
  <c r="BU303" i="153" s="1"/>
  <c r="BS251" i="153"/>
  <c r="BS295" i="153"/>
  <c r="BS311" i="153" s="1"/>
  <c r="BT295" i="153"/>
  <c r="BT311" i="153" s="1"/>
  <c r="BT251" i="153"/>
  <c r="BT217" i="153"/>
  <c r="BT286" i="153" s="1"/>
  <c r="BT209" i="153"/>
  <c r="BT242" i="153" s="1"/>
  <c r="BY201" i="153"/>
  <c r="BY332" i="153"/>
  <c r="BY342" i="153" s="1"/>
  <c r="BX332" i="153"/>
  <c r="BX342" i="153" s="1"/>
  <c r="BX201" i="153"/>
  <c r="BV332" i="153"/>
  <c r="BV342" i="153" s="1"/>
  <c r="BV201" i="153"/>
  <c r="BW332" i="153"/>
  <c r="BW342" i="153" s="1"/>
  <c r="BW201" i="153"/>
  <c r="BX251" i="153"/>
  <c r="BX295" i="153"/>
  <c r="BX311" i="153" s="1"/>
  <c r="BG294" i="153"/>
  <c r="BG302" i="153" s="1"/>
  <c r="BW295" i="153"/>
  <c r="BW311" i="153" s="1"/>
  <c r="BU209" i="153"/>
  <c r="BU242" i="153" s="1"/>
  <c r="BU250" i="153" s="1"/>
  <c r="BU217" i="153"/>
  <c r="BU286" i="153" s="1"/>
  <c r="BU294" i="153" s="1"/>
  <c r="BU318" i="153" s="1"/>
  <c r="BV295" i="153"/>
  <c r="BV303" i="153" s="1"/>
  <c r="BV251" i="153"/>
  <c r="BY295" i="153"/>
  <c r="BY311" i="153" s="1"/>
  <c r="BY251" i="153"/>
  <c r="AD332" i="153"/>
  <c r="AD342" i="153" s="1"/>
  <c r="AD201" i="153"/>
  <c r="AC332" i="153"/>
  <c r="AC342" i="153" s="1"/>
  <c r="AC201" i="153"/>
  <c r="AB201" i="153"/>
  <c r="AB332" i="153"/>
  <c r="AB342" i="153" s="1"/>
  <c r="Z201" i="153"/>
  <c r="Z332" i="153"/>
  <c r="Z342" i="153" s="1"/>
  <c r="AA201" i="153"/>
  <c r="AA332" i="153"/>
  <c r="AA342" i="153" s="1"/>
  <c r="AL181" i="153"/>
  <c r="AL189" i="153" s="1"/>
  <c r="AM181" i="153"/>
  <c r="AM189" i="153" s="1"/>
  <c r="AN181" i="153"/>
  <c r="AN189" i="153" s="1"/>
  <c r="AO181" i="153"/>
  <c r="AO189" i="153" s="1"/>
  <c r="AP181" i="153"/>
  <c r="AP189" i="153" s="1"/>
  <c r="AQ181" i="153"/>
  <c r="AQ189" i="153" s="1"/>
  <c r="AR181" i="153"/>
  <c r="AR189" i="153" s="1"/>
  <c r="AS181" i="153"/>
  <c r="AS189" i="153" s="1"/>
  <c r="AU181" i="153"/>
  <c r="AU189" i="153" s="1"/>
  <c r="AT181" i="153"/>
  <c r="AT189" i="153" s="1"/>
  <c r="AV181" i="153"/>
  <c r="AV189" i="153" s="1"/>
  <c r="AW181" i="153"/>
  <c r="AW189" i="153" s="1"/>
  <c r="T201" i="153"/>
  <c r="T332" i="153"/>
  <c r="U201" i="153"/>
  <c r="U332" i="153"/>
  <c r="S332" i="153"/>
  <c r="S201" i="153"/>
  <c r="V201" i="153"/>
  <c r="V332" i="153"/>
  <c r="AK332" i="153"/>
  <c r="AK342" i="153" s="1"/>
  <c r="AK201" i="153"/>
  <c r="W332" i="153"/>
  <c r="W201" i="153"/>
  <c r="AJ332" i="153"/>
  <c r="AJ342" i="153" s="1"/>
  <c r="AJ201" i="153"/>
  <c r="AI201" i="153"/>
  <c r="AI332" i="153"/>
  <c r="AI342" i="153" s="1"/>
  <c r="X201" i="153"/>
  <c r="X332" i="153"/>
  <c r="AH201" i="153"/>
  <c r="AH332" i="153"/>
  <c r="AH342" i="153" s="1"/>
  <c r="Y209" i="153"/>
  <c r="Y242" i="153" s="1"/>
  <c r="Y217" i="153"/>
  <c r="Y286" i="153" s="1"/>
  <c r="AG201" i="153"/>
  <c r="AG332" i="153"/>
  <c r="AG342" i="153" s="1"/>
  <c r="AF201" i="153"/>
  <c r="AF332" i="153"/>
  <c r="AF342" i="153" s="1"/>
  <c r="BV576" i="99"/>
  <c r="AE201" i="153"/>
  <c r="AE332" i="153"/>
  <c r="AE342" i="153" s="1"/>
  <c r="BW535" i="99"/>
  <c r="BW599" i="99" s="1"/>
  <c r="Y155" i="153"/>
  <c r="S170" i="153" s="1"/>
  <c r="BW229" i="99"/>
  <c r="BY2" i="69" a="1"/>
  <c r="BY2" i="69" s="1"/>
  <c r="BY12" i="69"/>
  <c r="BY14" i="69"/>
  <c r="BY10" i="69"/>
  <c r="BY11" i="69"/>
  <c r="BY8" i="69"/>
  <c r="BY13" i="69"/>
  <c r="BY16" i="69"/>
  <c r="BY9" i="69"/>
  <c r="BY15" i="69"/>
  <c r="BY7" i="69"/>
  <c r="BW512" i="99"/>
  <c r="BW576" i="99" s="1"/>
  <c r="BW234" i="99"/>
  <c r="BQ619" i="99"/>
  <c r="BQ620" i="99" s="1"/>
  <c r="BQ556" i="99"/>
  <c r="BW602" i="99"/>
  <c r="BW542" i="99"/>
  <c r="BW606" i="99" s="1"/>
  <c r="BQ616" i="99"/>
  <c r="BV588" i="99"/>
  <c r="BV526" i="99"/>
  <c r="BV590" i="99" s="1"/>
  <c r="BW230" i="99"/>
  <c r="BW228" i="99"/>
  <c r="BU224" i="99"/>
  <c r="BU591" i="99"/>
  <c r="BW524" i="99"/>
  <c r="BW585" i="99"/>
  <c r="BS582" i="99"/>
  <c r="BS223" i="99"/>
  <c r="BS530" i="99"/>
  <c r="BS593" i="99"/>
  <c r="BS594" i="99" s="1"/>
  <c r="BS544" i="99"/>
  <c r="BX540" i="99"/>
  <c r="BX604" i="99" s="1"/>
  <c r="BX547" i="99"/>
  <c r="BX611" i="99" s="1"/>
  <c r="BX534" i="99"/>
  <c r="BX598" i="99" s="1"/>
  <c r="BX539" i="99"/>
  <c r="BX603" i="99" s="1"/>
  <c r="BX541" i="99"/>
  <c r="BX605" i="99" s="1"/>
  <c r="BX548" i="99"/>
  <c r="BX612" i="99" s="1"/>
  <c r="BX538" i="99"/>
  <c r="BX509" i="99"/>
  <c r="BX573" i="99" s="1"/>
  <c r="BX523" i="99"/>
  <c r="BX587" i="99" s="1"/>
  <c r="BX525" i="99"/>
  <c r="BX589" i="99" s="1"/>
  <c r="BX507" i="99"/>
  <c r="BX522" i="99"/>
  <c r="BX586" i="99" s="1"/>
  <c r="BX521" i="99"/>
  <c r="BX516" i="99"/>
  <c r="BX580" i="99" s="1"/>
  <c r="BX513" i="99"/>
  <c r="BX577" i="99" s="1"/>
  <c r="BX558" i="99"/>
  <c r="BX622" i="99" s="1"/>
  <c r="BX514" i="99"/>
  <c r="BX578" i="99" s="1"/>
  <c r="BX533" i="99"/>
  <c r="BT223" i="99"/>
  <c r="BT582" i="99"/>
  <c r="BY2" i="99" a="1"/>
  <c r="BY2" i="99" s="1"/>
  <c r="BY554" i="99" s="1"/>
  <c r="BY474" i="99"/>
  <c r="BY475" i="99"/>
  <c r="BY476" i="99"/>
  <c r="BY498" i="99"/>
  <c r="BY482" i="99" s="1"/>
  <c r="BY490" i="99" s="1"/>
  <c r="BY499" i="99"/>
  <c r="BY483" i="99" s="1"/>
  <c r="BY491" i="99" s="1"/>
  <c r="BY477" i="99"/>
  <c r="BY500" i="99"/>
  <c r="BY484" i="99" s="1"/>
  <c r="BY492" i="99" s="1"/>
  <c r="BY478" i="99"/>
  <c r="BY501" i="99"/>
  <c r="BY485" i="99" s="1"/>
  <c r="BY493" i="99" s="1"/>
  <c r="BY502" i="99"/>
  <c r="BY486" i="99" s="1"/>
  <c r="BY494" i="99" s="1"/>
  <c r="BY479" i="99"/>
  <c r="BY503" i="99"/>
  <c r="BY487" i="99" s="1"/>
  <c r="BY495" i="99" s="1"/>
  <c r="K9" i="99"/>
  <c r="L9" i="99"/>
  <c r="M9" i="99"/>
  <c r="BP631" i="99"/>
  <c r="BP625" i="99"/>
  <c r="BP626" i="99" s="1"/>
  <c r="BP562" i="99"/>
  <c r="BW549" i="99"/>
  <c r="BW613" i="99" s="1"/>
  <c r="BW232" i="99"/>
  <c r="BV579" i="99"/>
  <c r="BV517" i="99"/>
  <c r="BT593" i="99"/>
  <c r="BT594" i="99" s="1"/>
  <c r="BT530" i="99"/>
  <c r="BT544" i="99"/>
  <c r="BU529" i="99"/>
  <c r="BU581" i="99"/>
  <c r="BU518" i="99"/>
  <c r="BW233" i="99"/>
  <c r="BR559" i="99" a="1"/>
  <c r="BR559" i="99" s="1"/>
  <c r="BR623" i="99" s="1"/>
  <c r="BR615" i="99"/>
  <c r="BR552" i="99"/>
  <c r="BO562" i="99"/>
  <c r="BO631" i="99"/>
  <c r="BO625" i="99"/>
  <c r="BO626" i="99" s="1"/>
  <c r="BZ36" i="72"/>
  <c r="BZ38" i="72" s="1"/>
  <c r="BZ37" i="72"/>
  <c r="BY70" i="103"/>
  <c r="CD70" i="105" s="1"/>
  <c r="BY35" i="151" s="1"/>
  <c r="E494" i="99" l="1"/>
  <c r="E398" i="99"/>
  <c r="E302" i="99"/>
  <c r="E201" i="99"/>
  <c r="E189" i="99"/>
  <c r="E424" i="99"/>
  <c r="E332" i="99"/>
  <c r="E242" i="99"/>
  <c r="E486" i="99"/>
  <c r="E455" i="99"/>
  <c r="E362" i="99"/>
  <c r="E266" i="99"/>
  <c r="E386" i="99"/>
  <c r="E294" i="99"/>
  <c r="E443" i="99"/>
  <c r="E350" i="99"/>
  <c r="E258" i="99"/>
  <c r="E478" i="99"/>
  <c r="E378" i="99"/>
  <c r="E286" i="99"/>
  <c r="E181" i="99"/>
  <c r="E502" i="99"/>
  <c r="E406" i="99"/>
  <c r="E310" i="99"/>
  <c r="E209" i="99"/>
  <c r="E467" i="99"/>
  <c r="E435" i="99"/>
  <c r="E217" i="99"/>
  <c r="E370" i="99"/>
  <c r="E274" i="99"/>
  <c r="E250" i="99"/>
  <c r="E416" i="99"/>
  <c r="E342" i="99"/>
  <c r="E318" i="99"/>
  <c r="E174" i="99"/>
  <c r="E493" i="99"/>
  <c r="E397" i="99"/>
  <c r="E301" i="99"/>
  <c r="E200" i="99"/>
  <c r="E423" i="99"/>
  <c r="E331" i="99"/>
  <c r="E241" i="99"/>
  <c r="E454" i="99"/>
  <c r="E361" i="99"/>
  <c r="E265" i="99"/>
  <c r="E415" i="99"/>
  <c r="E317" i="99"/>
  <c r="E216" i="99"/>
  <c r="E442" i="99"/>
  <c r="E477" i="99"/>
  <c r="E377" i="99"/>
  <c r="E285" i="99"/>
  <c r="E180" i="99"/>
  <c r="E405" i="99"/>
  <c r="E309" i="99"/>
  <c r="E208" i="99"/>
  <c r="E501" i="99"/>
  <c r="E466" i="99"/>
  <c r="E369" i="99"/>
  <c r="E273" i="99"/>
  <c r="E349" i="99"/>
  <c r="E293" i="99"/>
  <c r="E188" i="99"/>
  <c r="E434" i="99"/>
  <c r="E341" i="99"/>
  <c r="E485" i="99"/>
  <c r="E257" i="99"/>
  <c r="E249" i="99"/>
  <c r="E385" i="99"/>
  <c r="E173" i="99"/>
  <c r="E465" i="99"/>
  <c r="E368" i="99"/>
  <c r="E272" i="99"/>
  <c r="E492" i="99"/>
  <c r="E396" i="99"/>
  <c r="E300" i="99"/>
  <c r="E199" i="99"/>
  <c r="E422" i="99"/>
  <c r="E330" i="99"/>
  <c r="E240" i="99"/>
  <c r="E453" i="99"/>
  <c r="E360" i="99"/>
  <c r="E264" i="99"/>
  <c r="E414" i="99"/>
  <c r="E316" i="99"/>
  <c r="E215" i="99"/>
  <c r="E441" i="99"/>
  <c r="E348" i="99"/>
  <c r="E256" i="99"/>
  <c r="E476" i="99"/>
  <c r="E376" i="99"/>
  <c r="E284" i="99"/>
  <c r="E179" i="99"/>
  <c r="E384" i="99"/>
  <c r="E433" i="99"/>
  <c r="E207" i="99"/>
  <c r="E292" i="99"/>
  <c r="E500" i="99"/>
  <c r="E187" i="99"/>
  <c r="E340" i="99"/>
  <c r="E404" i="99"/>
  <c r="E248" i="99"/>
  <c r="E308" i="99"/>
  <c r="E484" i="99"/>
  <c r="E172" i="99"/>
  <c r="E464" i="99"/>
  <c r="E367" i="99"/>
  <c r="E271" i="99"/>
  <c r="E491" i="99"/>
  <c r="E395" i="99"/>
  <c r="E421" i="99"/>
  <c r="E198" i="99"/>
  <c r="E329" i="99"/>
  <c r="E239" i="99"/>
  <c r="E299" i="99"/>
  <c r="E483" i="99"/>
  <c r="E383" i="99"/>
  <c r="E291" i="99"/>
  <c r="E186" i="99"/>
  <c r="E440" i="99"/>
  <c r="E347" i="99"/>
  <c r="E255" i="99"/>
  <c r="E475" i="99"/>
  <c r="E375" i="99"/>
  <c r="E283" i="99"/>
  <c r="E178" i="99"/>
  <c r="E432" i="99"/>
  <c r="E339" i="99"/>
  <c r="E247" i="99"/>
  <c r="E307" i="99"/>
  <c r="E452" i="99"/>
  <c r="E214" i="99"/>
  <c r="E359" i="99"/>
  <c r="E206" i="99"/>
  <c r="E499" i="99"/>
  <c r="E263" i="99"/>
  <c r="E413" i="99"/>
  <c r="E403" i="99"/>
  <c r="E315" i="99"/>
  <c r="E171" i="99"/>
  <c r="E431" i="99"/>
  <c r="E338" i="99"/>
  <c r="E246" i="99"/>
  <c r="E170" i="99"/>
  <c r="E420" i="99"/>
  <c r="E463" i="99"/>
  <c r="E366" i="99"/>
  <c r="E270" i="99"/>
  <c r="E490" i="99"/>
  <c r="E394" i="99"/>
  <c r="E298" i="99"/>
  <c r="E197" i="99"/>
  <c r="E328" i="99"/>
  <c r="E238" i="99"/>
  <c r="E482" i="99"/>
  <c r="E382" i="99"/>
  <c r="E290" i="99"/>
  <c r="E185" i="99"/>
  <c r="E412" i="99"/>
  <c r="E314" i="99"/>
  <c r="E213" i="99"/>
  <c r="E439" i="99"/>
  <c r="E346" i="99"/>
  <c r="E254" i="99"/>
  <c r="E205" i="99"/>
  <c r="E306" i="99"/>
  <c r="E374" i="99"/>
  <c r="E451" i="99"/>
  <c r="E358" i="99"/>
  <c r="E282" i="99"/>
  <c r="E402" i="99"/>
  <c r="E262" i="99"/>
  <c r="E177" i="99"/>
  <c r="E498" i="99"/>
  <c r="E474" i="99"/>
  <c r="R158" i="99"/>
  <c r="I98" i="34" s="1"/>
  <c r="R156" i="99"/>
  <c r="R171" i="99" s="1"/>
  <c r="Y156" i="99" s="1"/>
  <c r="S171" i="99" s="1"/>
  <c r="T171" i="99" s="1"/>
  <c r="R155" i="99"/>
  <c r="BW402" i="99" s="1"/>
  <c r="AC139" i="154"/>
  <c r="AC77" i="154"/>
  <c r="AC142" i="154" s="1"/>
  <c r="N74" i="154"/>
  <c r="BN139" i="154"/>
  <c r="V139" i="154"/>
  <c r="V77" i="154"/>
  <c r="V142" i="154" s="1"/>
  <c r="AM139" i="154"/>
  <c r="AM77" i="154"/>
  <c r="AM142" i="154" s="1"/>
  <c r="AL139" i="154"/>
  <c r="AL77" i="154"/>
  <c r="AL142" i="154" s="1"/>
  <c r="AD139" i="154"/>
  <c r="K74" i="154"/>
  <c r="AD77" i="154"/>
  <c r="AD142" i="154" s="1"/>
  <c r="AV72" i="154"/>
  <c r="AV77" i="154"/>
  <c r="AV142" i="154" s="1"/>
  <c r="AV136" i="154"/>
  <c r="AV137" i="154" s="1"/>
  <c r="AS77" i="154"/>
  <c r="AS142" i="154" s="1"/>
  <c r="AS72" i="154"/>
  <c r="AS136" i="154"/>
  <c r="AS137" i="154" s="1"/>
  <c r="U139" i="154"/>
  <c r="U77" i="154"/>
  <c r="U142" i="154" s="1"/>
  <c r="AW72" i="154"/>
  <c r="AW77" i="154"/>
  <c r="AW142" i="154" s="1"/>
  <c r="AW136" i="154"/>
  <c r="AW137" i="154" s="1"/>
  <c r="AA139" i="154"/>
  <c r="AA77" i="154"/>
  <c r="AA142" i="154" s="1"/>
  <c r="AP139" i="154"/>
  <c r="L74" i="154"/>
  <c r="L139" i="154" s="1"/>
  <c r="AP77" i="154"/>
  <c r="AP142" i="154" s="1"/>
  <c r="AG139" i="154"/>
  <c r="AG77" i="154"/>
  <c r="AG142" i="154" s="1"/>
  <c r="AT77" i="154"/>
  <c r="AT142" i="154" s="1"/>
  <c r="AT72" i="154"/>
  <c r="AT136" i="154"/>
  <c r="AT137" i="154" s="1"/>
  <c r="AR72" i="154"/>
  <c r="AR77" i="154"/>
  <c r="AR142" i="154" s="1"/>
  <c r="AR136" i="154"/>
  <c r="AR137" i="154" s="1"/>
  <c r="AI139" i="154"/>
  <c r="AI77" i="154"/>
  <c r="AI142" i="154" s="1"/>
  <c r="AB139" i="154"/>
  <c r="AB77" i="154"/>
  <c r="AB142" i="154" s="1"/>
  <c r="Z139" i="154"/>
  <c r="Z77" i="154"/>
  <c r="Z142" i="154" s="1"/>
  <c r="J74" i="154"/>
  <c r="R139" i="154"/>
  <c r="R77" i="154"/>
  <c r="R142" i="154" s="1"/>
  <c r="M74" i="154"/>
  <c r="M139" i="154" s="1"/>
  <c r="BB139" i="154"/>
  <c r="AO139" i="154"/>
  <c r="AO77" i="154"/>
  <c r="AO142" i="154" s="1"/>
  <c r="AF139" i="154"/>
  <c r="AF77" i="154"/>
  <c r="AF142" i="154" s="1"/>
  <c r="W139" i="154"/>
  <c r="W77" i="154"/>
  <c r="W142" i="154" s="1"/>
  <c r="AJ139" i="154"/>
  <c r="AJ77" i="154"/>
  <c r="AJ142" i="154" s="1"/>
  <c r="AQ139" i="154"/>
  <c r="AQ77" i="154"/>
  <c r="AQ142" i="154" s="1"/>
  <c r="T139" i="154"/>
  <c r="T77" i="154"/>
  <c r="T142" i="154" s="1"/>
  <c r="Y139" i="154"/>
  <c r="Y77" i="154"/>
  <c r="Y142" i="154" s="1"/>
  <c r="AN139" i="154"/>
  <c r="AN77" i="154"/>
  <c r="AN142" i="154" s="1"/>
  <c r="AK139" i="154"/>
  <c r="AK77" i="154"/>
  <c r="AK142" i="154" s="1"/>
  <c r="X139" i="154"/>
  <c r="X77" i="154"/>
  <c r="X142" i="154" s="1"/>
  <c r="S139" i="154"/>
  <c r="S77" i="154"/>
  <c r="S142" i="154" s="1"/>
  <c r="AH139" i="154"/>
  <c r="AH77" i="154"/>
  <c r="AH142" i="154" s="1"/>
  <c r="AE139" i="154"/>
  <c r="AE77" i="154"/>
  <c r="AE142" i="154" s="1"/>
  <c r="AU77" i="154"/>
  <c r="AU142" i="154" s="1"/>
  <c r="AU72" i="154"/>
  <c r="AU136" i="154"/>
  <c r="AU137" i="154" s="1"/>
  <c r="CA122" i="105"/>
  <c r="R170" i="99"/>
  <c r="Y155" i="99" s="1"/>
  <c r="S170" i="99" s="1"/>
  <c r="F98" i="34"/>
  <c r="W155" i="155"/>
  <c r="AN431" i="155" s="1"/>
  <c r="AN437" i="155" s="1"/>
  <c r="AN74" i="155" s="1"/>
  <c r="AN139" i="155" s="1"/>
  <c r="BW129" i="103"/>
  <c r="BV417" i="155"/>
  <c r="BY417" i="155"/>
  <c r="BX417" i="154"/>
  <c r="BV417" i="154"/>
  <c r="BW417" i="154"/>
  <c r="BS417" i="155"/>
  <c r="BS417" i="154"/>
  <c r="BT417" i="154"/>
  <c r="BT417" i="155"/>
  <c r="BY417" i="154"/>
  <c r="BY456" i="154" s="1" a="1"/>
  <c r="BY456" i="154" s="1"/>
  <c r="BU417" i="155"/>
  <c r="BX417" i="155"/>
  <c r="BU417" i="154"/>
  <c r="BW417" i="155"/>
  <c r="BR267" i="153"/>
  <c r="BK275" i="153"/>
  <c r="BX275" i="153"/>
  <c r="BU258" i="153"/>
  <c r="BG258" i="153"/>
  <c r="BO267" i="153"/>
  <c r="BL275" i="153"/>
  <c r="BW267" i="153"/>
  <c r="BP259" i="153"/>
  <c r="BJ267" i="153"/>
  <c r="BN259" i="153"/>
  <c r="BT275" i="153"/>
  <c r="BY259" i="153"/>
  <c r="BS275" i="153"/>
  <c r="BV267" i="153"/>
  <c r="BU259" i="153"/>
  <c r="BM267" i="153"/>
  <c r="BQ275" i="153"/>
  <c r="BR561" i="99"/>
  <c r="BR567" i="99" s="1"/>
  <c r="CD127" i="105"/>
  <c r="BI209" i="153"/>
  <c r="BI242" i="153" s="1"/>
  <c r="BI250" i="153" s="1"/>
  <c r="BI467" i="153" s="1"/>
  <c r="BV358" i="99"/>
  <c r="BW374" i="99"/>
  <c r="BW346" i="99"/>
  <c r="BW439" i="99"/>
  <c r="BW382" i="99"/>
  <c r="V177" i="155"/>
  <c r="W177" i="155"/>
  <c r="Y177" i="155"/>
  <c r="X177" i="155"/>
  <c r="AA177" i="155"/>
  <c r="AG177" i="155"/>
  <c r="T170" i="155"/>
  <c r="AI177" i="155" s="1"/>
  <c r="AB177" i="155"/>
  <c r="Z177" i="155"/>
  <c r="AD177" i="155"/>
  <c r="AE177" i="155"/>
  <c r="AC177" i="155"/>
  <c r="AF177" i="155"/>
  <c r="BN189" i="155"/>
  <c r="BN201" i="155" s="1"/>
  <c r="BM183" i="154"/>
  <c r="BJ275" i="153"/>
  <c r="BN183" i="154"/>
  <c r="BL267" i="153"/>
  <c r="BN303" i="153"/>
  <c r="BJ259" i="153"/>
  <c r="BR303" i="153"/>
  <c r="BK267" i="153"/>
  <c r="BN311" i="153"/>
  <c r="BM319" i="153"/>
  <c r="BK311" i="153"/>
  <c r="BO183" i="154"/>
  <c r="BN275" i="153"/>
  <c r="BM189" i="155"/>
  <c r="BM201" i="155" s="1"/>
  <c r="BP267" i="153"/>
  <c r="BR259" i="153"/>
  <c r="BM259" i="153"/>
  <c r="BO259" i="153"/>
  <c r="BP319" i="153"/>
  <c r="BQ311" i="153"/>
  <c r="BP311" i="153"/>
  <c r="BJ189" i="155"/>
  <c r="BH183" i="154"/>
  <c r="BQ191" i="154"/>
  <c r="BK189" i="155"/>
  <c r="AY217" i="153"/>
  <c r="AY286" i="153" s="1"/>
  <c r="AY294" i="153" s="1"/>
  <c r="AY310" i="153" s="1"/>
  <c r="AY209" i="153"/>
  <c r="AY242" i="153" s="1"/>
  <c r="AY250" i="153" s="1"/>
  <c r="BB332" i="154"/>
  <c r="BB201" i="154"/>
  <c r="BB191" i="154"/>
  <c r="BQ259" i="153"/>
  <c r="BQ468" i="153"/>
  <c r="BH332" i="154"/>
  <c r="BH201" i="154"/>
  <c r="BH191" i="154"/>
  <c r="BL189" i="155"/>
  <c r="BC332" i="154"/>
  <c r="BC201" i="154"/>
  <c r="BC191" i="154"/>
  <c r="BF183" i="154"/>
  <c r="V174" i="155"/>
  <c r="W174" i="155" s="1"/>
  <c r="BX181" i="155"/>
  <c r="BW181" i="155"/>
  <c r="BV181" i="155"/>
  <c r="BF332" i="154"/>
  <c r="BF201" i="154"/>
  <c r="BF191" i="154"/>
  <c r="BO275" i="153"/>
  <c r="BJ468" i="153"/>
  <c r="BB217" i="153"/>
  <c r="BB286" i="153" s="1"/>
  <c r="BB294" i="153" s="1"/>
  <c r="BB302" i="153" s="1"/>
  <c r="BB209" i="153"/>
  <c r="BB242" i="153" s="1"/>
  <c r="BB250" i="153" s="1"/>
  <c r="BO468" i="153"/>
  <c r="BQ332" i="153"/>
  <c r="BQ342" i="153" s="1"/>
  <c r="BQ201" i="153"/>
  <c r="BH332" i="155"/>
  <c r="BH201" i="155"/>
  <c r="BR332" i="153"/>
  <c r="BR342" i="153" s="1"/>
  <c r="BR201" i="153"/>
  <c r="BK189" i="154"/>
  <c r="BK183" i="154"/>
  <c r="BR319" i="153"/>
  <c r="BL259" i="153"/>
  <c r="BL468" i="153"/>
  <c r="BQ303" i="153"/>
  <c r="BG183" i="154"/>
  <c r="BP332" i="153"/>
  <c r="BP342" i="153" s="1"/>
  <c r="BP201" i="153"/>
  <c r="BL189" i="154"/>
  <c r="BL183" i="154"/>
  <c r="BG201" i="154"/>
  <c r="BG332" i="154"/>
  <c r="BG191" i="154"/>
  <c r="BO201" i="153"/>
  <c r="BO332" i="153"/>
  <c r="BO342" i="153" s="1"/>
  <c r="BJ189" i="154"/>
  <c r="BJ183" i="154"/>
  <c r="BA332" i="155"/>
  <c r="BA201" i="155"/>
  <c r="BP275" i="153"/>
  <c r="BP468" i="153"/>
  <c r="BA201" i="154"/>
  <c r="BA332" i="154"/>
  <c r="BA191" i="154"/>
  <c r="BE183" i="154"/>
  <c r="BI183" i="154"/>
  <c r="BN201" i="153"/>
  <c r="BN332" i="153"/>
  <c r="BN342" i="153" s="1"/>
  <c r="AX217" i="153"/>
  <c r="AX286" i="153" s="1"/>
  <c r="AX294" i="153" s="1"/>
  <c r="AX318" i="153" s="1"/>
  <c r="AX209" i="153"/>
  <c r="AX242" i="153" s="1"/>
  <c r="AX250" i="153" s="1"/>
  <c r="V174" i="154"/>
  <c r="W174" i="154" s="1"/>
  <c r="BX181" i="154"/>
  <c r="BW181" i="154"/>
  <c r="BV181" i="154"/>
  <c r="BE332" i="154"/>
  <c r="BE201" i="154"/>
  <c r="BE191" i="154"/>
  <c r="BI201" i="154"/>
  <c r="BI332" i="154"/>
  <c r="BI191" i="154"/>
  <c r="BM201" i="153"/>
  <c r="BM332" i="153"/>
  <c r="BM342" i="153" s="1"/>
  <c r="BE332" i="155"/>
  <c r="BE201" i="155"/>
  <c r="BD201" i="155"/>
  <c r="BD332" i="155"/>
  <c r="BK259" i="153"/>
  <c r="BK468" i="153"/>
  <c r="AX201" i="154"/>
  <c r="AX332" i="154"/>
  <c r="AX191" i="154"/>
  <c r="BN267" i="153"/>
  <c r="BN468" i="153"/>
  <c r="BJ201" i="153"/>
  <c r="BJ332" i="153"/>
  <c r="BJ342" i="153" s="1"/>
  <c r="BD183" i="154"/>
  <c r="BB332" i="155"/>
  <c r="BB201" i="155"/>
  <c r="BR275" i="153"/>
  <c r="BR468" i="153"/>
  <c r="BK303" i="153"/>
  <c r="BL319" i="153"/>
  <c r="AY332" i="154"/>
  <c r="AY201" i="154"/>
  <c r="AY191" i="154"/>
  <c r="BK332" i="153"/>
  <c r="BK342" i="153" s="1"/>
  <c r="BK201" i="153"/>
  <c r="BM303" i="153"/>
  <c r="BD332" i="154"/>
  <c r="BD201" i="154"/>
  <c r="BD191" i="154"/>
  <c r="BL303" i="153"/>
  <c r="BL332" i="153"/>
  <c r="BL342" i="153" s="1"/>
  <c r="BL201" i="153"/>
  <c r="BA217" i="153"/>
  <c r="BA286" i="153" s="1"/>
  <c r="BA294" i="153" s="1"/>
  <c r="BA310" i="153" s="1"/>
  <c r="BA209" i="153"/>
  <c r="BA242" i="153" s="1"/>
  <c r="BA250" i="153" s="1"/>
  <c r="BD217" i="153"/>
  <c r="BD286" i="153" s="1"/>
  <c r="BD294" i="153" s="1"/>
  <c r="BD318" i="153" s="1"/>
  <c r="BD209" i="153"/>
  <c r="BD242" i="153" s="1"/>
  <c r="BD250" i="153" s="1"/>
  <c r="BF217" i="153"/>
  <c r="BF286" i="153" s="1"/>
  <c r="BF294" i="153" s="1"/>
  <c r="BF310" i="153" s="1"/>
  <c r="BF209" i="153"/>
  <c r="BF242" i="153" s="1"/>
  <c r="BF250" i="153" s="1"/>
  <c r="AZ332" i="154"/>
  <c r="AZ201" i="154"/>
  <c r="AZ191" i="154"/>
  <c r="BH332" i="153"/>
  <c r="BH342" i="153" s="1"/>
  <c r="BH201" i="153"/>
  <c r="AZ209" i="153"/>
  <c r="AZ242" i="153" s="1"/>
  <c r="AZ250" i="153" s="1"/>
  <c r="AZ217" i="153"/>
  <c r="AZ286" i="153" s="1"/>
  <c r="AZ294" i="153" s="1"/>
  <c r="AZ310" i="153" s="1"/>
  <c r="AZ332" i="155"/>
  <c r="AZ201" i="155"/>
  <c r="BJ311" i="153"/>
  <c r="AX201" i="155"/>
  <c r="AX332" i="155"/>
  <c r="BE217" i="153"/>
  <c r="BE286" i="153" s="1"/>
  <c r="BE294" i="153" s="1"/>
  <c r="BE318" i="153" s="1"/>
  <c r="BE209" i="153"/>
  <c r="BE242" i="153" s="1"/>
  <c r="BE250" i="153" s="1"/>
  <c r="BF201" i="155"/>
  <c r="BF332" i="155"/>
  <c r="BI332" i="155"/>
  <c r="BI201" i="155"/>
  <c r="R159" i="99"/>
  <c r="J98" i="34" s="1"/>
  <c r="BJ319" i="153"/>
  <c r="BC332" i="155"/>
  <c r="BC201" i="155"/>
  <c r="BC209" i="153"/>
  <c r="BC242" i="153" s="1"/>
  <c r="BC250" i="153" s="1"/>
  <c r="BC217" i="153"/>
  <c r="BC286" i="153" s="1"/>
  <c r="BC294" i="153" s="1"/>
  <c r="BC302" i="153" s="1"/>
  <c r="BO303" i="153"/>
  <c r="BG201" i="155"/>
  <c r="BG332" i="155"/>
  <c r="R157" i="99"/>
  <c r="H98" i="34" s="1"/>
  <c r="AY332" i="155"/>
  <c r="AY201" i="155"/>
  <c r="BM275" i="153"/>
  <c r="BM468" i="153"/>
  <c r="BO311" i="153"/>
  <c r="BQ267" i="153"/>
  <c r="BG432" i="99"/>
  <c r="T394" i="99"/>
  <c r="T439" i="99"/>
  <c r="T366" i="99"/>
  <c r="U346" i="99"/>
  <c r="S382" i="99"/>
  <c r="R439" i="99"/>
  <c r="T358" i="99"/>
  <c r="U439" i="99"/>
  <c r="S402" i="99"/>
  <c r="R374" i="99"/>
  <c r="R382" i="99"/>
  <c r="S439" i="99"/>
  <c r="U394" i="99"/>
  <c r="U402" i="99"/>
  <c r="R346" i="99"/>
  <c r="S394" i="99"/>
  <c r="R358" i="99"/>
  <c r="R394" i="99"/>
  <c r="S346" i="99"/>
  <c r="T374" i="99"/>
  <c r="U374" i="99"/>
  <c r="T382" i="99"/>
  <c r="S366" i="99"/>
  <c r="R366" i="99"/>
  <c r="U366" i="99"/>
  <c r="U382" i="99"/>
  <c r="S358" i="99"/>
  <c r="T346" i="99"/>
  <c r="S374" i="99"/>
  <c r="U358" i="99"/>
  <c r="V346" i="99"/>
  <c r="V374" i="99"/>
  <c r="V402" i="99"/>
  <c r="V366" i="99"/>
  <c r="V439" i="99"/>
  <c r="V382" i="99"/>
  <c r="W366" i="99"/>
  <c r="W439" i="99"/>
  <c r="V358" i="99"/>
  <c r="W346" i="99"/>
  <c r="W402" i="99"/>
  <c r="W374" i="99"/>
  <c r="X394" i="99"/>
  <c r="W394" i="99"/>
  <c r="W358" i="99"/>
  <c r="X346" i="99"/>
  <c r="X382" i="99"/>
  <c r="X374" i="99"/>
  <c r="X366" i="99"/>
  <c r="X439" i="99"/>
  <c r="X402" i="99"/>
  <c r="Y346" i="99"/>
  <c r="Y394" i="99"/>
  <c r="Y374" i="99"/>
  <c r="X358" i="99"/>
  <c r="Y439" i="99"/>
  <c r="Y358" i="99"/>
  <c r="Z431" i="99"/>
  <c r="Z402" i="99"/>
  <c r="U431" i="99"/>
  <c r="W431" i="99"/>
  <c r="Z439" i="99"/>
  <c r="T431" i="99"/>
  <c r="S431" i="99"/>
  <c r="X431" i="99"/>
  <c r="V431" i="99"/>
  <c r="R431" i="99"/>
  <c r="Y431" i="99"/>
  <c r="Z374" i="99"/>
  <c r="Z394" i="99"/>
  <c r="Z346" i="99"/>
  <c r="Y402" i="99"/>
  <c r="AA431" i="99"/>
  <c r="AB431" i="99"/>
  <c r="AA346" i="99"/>
  <c r="AA394" i="99"/>
  <c r="AA439" i="99"/>
  <c r="Z358" i="99"/>
  <c r="AA366" i="99"/>
  <c r="AA402" i="99"/>
  <c r="AA374" i="99"/>
  <c r="AA382" i="99"/>
  <c r="AB402" i="99"/>
  <c r="AC431" i="99"/>
  <c r="AB366" i="99"/>
  <c r="AB382" i="99"/>
  <c r="AB439" i="99"/>
  <c r="AA358" i="99"/>
  <c r="AB346" i="99"/>
  <c r="AB374" i="99"/>
  <c r="AC346" i="99"/>
  <c r="AC402" i="99"/>
  <c r="AC394" i="99"/>
  <c r="AC382" i="99"/>
  <c r="AB394" i="99"/>
  <c r="AB358" i="99"/>
  <c r="AC374" i="99"/>
  <c r="AC439" i="99"/>
  <c r="AE431" i="99"/>
  <c r="AD374" i="99"/>
  <c r="AC358" i="99"/>
  <c r="AD382" i="99"/>
  <c r="AD366" i="99"/>
  <c r="AD346" i="99"/>
  <c r="AD439" i="99"/>
  <c r="AD394" i="99"/>
  <c r="AD402" i="99"/>
  <c r="AE346" i="99"/>
  <c r="AE374" i="99"/>
  <c r="AE439" i="99"/>
  <c r="AD358" i="99"/>
  <c r="AE366" i="99"/>
  <c r="AE382" i="99"/>
  <c r="AE402" i="99"/>
  <c r="AF346" i="99"/>
  <c r="AG431" i="99"/>
  <c r="AF366" i="99"/>
  <c r="AF402" i="99"/>
  <c r="AE358" i="99"/>
  <c r="AF382" i="99"/>
  <c r="AF439" i="99"/>
  <c r="AF374" i="99"/>
  <c r="AF394" i="99"/>
  <c r="AH431" i="99"/>
  <c r="AG374" i="99"/>
  <c r="AG439" i="99"/>
  <c r="AG366" i="99"/>
  <c r="AF358" i="99"/>
  <c r="AG382" i="99"/>
  <c r="AG394" i="99"/>
  <c r="AH382" i="99"/>
  <c r="AI431" i="99"/>
  <c r="AH394" i="99"/>
  <c r="AH366" i="99"/>
  <c r="AH439" i="99"/>
  <c r="AH346" i="99"/>
  <c r="AH374" i="99"/>
  <c r="AG358" i="99"/>
  <c r="AH402" i="99"/>
  <c r="AJ431" i="99"/>
  <c r="AI366" i="99"/>
  <c r="AI402" i="99"/>
  <c r="AI374" i="99"/>
  <c r="AH358" i="99"/>
  <c r="AI394" i="99"/>
  <c r="AI346" i="99"/>
  <c r="AK431" i="99"/>
  <c r="AJ346" i="99"/>
  <c r="AJ394" i="99"/>
  <c r="AJ374" i="99"/>
  <c r="AJ382" i="99"/>
  <c r="AJ366" i="99"/>
  <c r="AJ439" i="99"/>
  <c r="AI358" i="99"/>
  <c r="AJ402" i="99"/>
  <c r="AK374" i="99"/>
  <c r="AL431" i="99"/>
  <c r="AK366" i="99"/>
  <c r="AK439" i="99"/>
  <c r="AJ358" i="99"/>
  <c r="AK382" i="99"/>
  <c r="AK394" i="99"/>
  <c r="AL366" i="99"/>
  <c r="AM431" i="99"/>
  <c r="AL402" i="99"/>
  <c r="AK358" i="99"/>
  <c r="AL374" i="99"/>
  <c r="AL394" i="99"/>
  <c r="AL346" i="99"/>
  <c r="AL439" i="99"/>
  <c r="AL382" i="99"/>
  <c r="AM402" i="99"/>
  <c r="AN431" i="99"/>
  <c r="AM439" i="99"/>
  <c r="AM382" i="99"/>
  <c r="AL358" i="99"/>
  <c r="AM374" i="99"/>
  <c r="AM366" i="99"/>
  <c r="AM346" i="99"/>
  <c r="AO431" i="99"/>
  <c r="AM394" i="99"/>
  <c r="AN366" i="99"/>
  <c r="AN402" i="99"/>
  <c r="AM358" i="99"/>
  <c r="AN374" i="99"/>
  <c r="AN394" i="99"/>
  <c r="AN439" i="99"/>
  <c r="AP431" i="99"/>
  <c r="AO402" i="99"/>
  <c r="AO346" i="99"/>
  <c r="AO439" i="99"/>
  <c r="AO374" i="99"/>
  <c r="AO394" i="99"/>
  <c r="AO382" i="99"/>
  <c r="AO366" i="99"/>
  <c r="AN358" i="99"/>
  <c r="AP346" i="99"/>
  <c r="AQ431" i="99"/>
  <c r="AP374" i="99"/>
  <c r="AP394" i="99"/>
  <c r="AP402" i="99"/>
  <c r="AP439" i="99"/>
  <c r="AP382" i="99"/>
  <c r="AQ439" i="99"/>
  <c r="AQ366" i="99"/>
  <c r="AR431" i="99"/>
  <c r="AQ394" i="99"/>
  <c r="AQ346" i="99"/>
  <c r="AP358" i="99"/>
  <c r="AQ382" i="99"/>
  <c r="AQ374" i="99"/>
  <c r="AQ402" i="99"/>
  <c r="AR394" i="99"/>
  <c r="AS431" i="99"/>
  <c r="AR346" i="99"/>
  <c r="AR439" i="99"/>
  <c r="AQ358" i="99"/>
  <c r="AR402" i="99"/>
  <c r="AR382" i="99"/>
  <c r="AS394" i="99"/>
  <c r="AS382" i="99"/>
  <c r="AR358" i="99"/>
  <c r="AT431" i="99"/>
  <c r="AS346" i="99"/>
  <c r="AS366" i="99"/>
  <c r="AS439" i="99"/>
  <c r="AS374" i="99"/>
  <c r="AS402" i="99"/>
  <c r="AT382" i="99"/>
  <c r="AT374" i="99"/>
  <c r="AU431" i="99"/>
  <c r="AS358" i="99"/>
  <c r="AT346" i="99"/>
  <c r="AT394" i="99"/>
  <c r="AT366" i="99"/>
  <c r="AU394" i="99"/>
  <c r="AV431" i="99"/>
  <c r="AU402" i="99"/>
  <c r="AU439" i="99"/>
  <c r="AT358" i="99"/>
  <c r="AU366" i="99"/>
  <c r="AU346" i="99"/>
  <c r="AU382" i="99"/>
  <c r="AU374" i="99"/>
  <c r="AW431" i="99"/>
  <c r="AU358" i="99"/>
  <c r="AV346" i="99"/>
  <c r="AV374" i="99"/>
  <c r="AV366" i="99"/>
  <c r="AV382" i="99"/>
  <c r="AV394" i="99"/>
  <c r="AV402" i="99"/>
  <c r="AX431" i="99"/>
  <c r="AW374" i="99"/>
  <c r="AW366" i="99"/>
  <c r="AW439" i="99"/>
  <c r="AW402" i="99"/>
  <c r="AW394" i="99"/>
  <c r="AV358" i="99"/>
  <c r="AW382" i="99"/>
  <c r="AW358" i="99"/>
  <c r="AY431" i="99"/>
  <c r="AX374" i="99"/>
  <c r="AX346" i="99"/>
  <c r="AX439" i="99"/>
  <c r="AX382" i="99"/>
  <c r="AX402" i="99"/>
  <c r="AX366" i="99"/>
  <c r="AX394" i="99"/>
  <c r="AY346" i="99"/>
  <c r="AY382" i="99"/>
  <c r="AY402" i="99"/>
  <c r="AZ431" i="99"/>
  <c r="AY374" i="99"/>
  <c r="AY366" i="99"/>
  <c r="AX358" i="99"/>
  <c r="AZ439" i="99"/>
  <c r="AZ346" i="99"/>
  <c r="AZ382" i="99"/>
  <c r="BA431" i="99"/>
  <c r="AZ374" i="99"/>
  <c r="AY358" i="99"/>
  <c r="AZ394" i="99"/>
  <c r="AZ366" i="99"/>
  <c r="AZ402" i="99"/>
  <c r="BA374" i="99"/>
  <c r="BB431" i="99"/>
  <c r="BA402" i="99"/>
  <c r="BA394" i="99"/>
  <c r="BA439" i="99"/>
  <c r="AZ358" i="99"/>
  <c r="BA366" i="99"/>
  <c r="BB346" i="99"/>
  <c r="BC431" i="99"/>
  <c r="BB374" i="99"/>
  <c r="BA358" i="99"/>
  <c r="BB402" i="99"/>
  <c r="BB366" i="99"/>
  <c r="BB382" i="99"/>
  <c r="BB439" i="99"/>
  <c r="BB394" i="99"/>
  <c r="BD431" i="99"/>
  <c r="BC402" i="99"/>
  <c r="BC346" i="99"/>
  <c r="BC374" i="99"/>
  <c r="BC439" i="99"/>
  <c r="BC366" i="99"/>
  <c r="BC394" i="99"/>
  <c r="BD382" i="99"/>
  <c r="BD366" i="99"/>
  <c r="BD346" i="99"/>
  <c r="BE431" i="99"/>
  <c r="BD439" i="99"/>
  <c r="BD402" i="99"/>
  <c r="BD374" i="99"/>
  <c r="BC358" i="99"/>
  <c r="BD394" i="99"/>
  <c r="BF431" i="99"/>
  <c r="BE382" i="99"/>
  <c r="BE439" i="99"/>
  <c r="BE346" i="99"/>
  <c r="BE374" i="99"/>
  <c r="BE394" i="99"/>
  <c r="BE366" i="99"/>
  <c r="BE402" i="99"/>
  <c r="BG431" i="99"/>
  <c r="BF394" i="99"/>
  <c r="BF382" i="99"/>
  <c r="BF374" i="99"/>
  <c r="BF439" i="99"/>
  <c r="BE358" i="99"/>
  <c r="BF366" i="99"/>
  <c r="BF346" i="99"/>
  <c r="BF402" i="99"/>
  <c r="BG382" i="99"/>
  <c r="BH431" i="99"/>
  <c r="BF358" i="99"/>
  <c r="BG346" i="99"/>
  <c r="BG402" i="99"/>
  <c r="BG366" i="99"/>
  <c r="BG394" i="99"/>
  <c r="BG374" i="99"/>
  <c r="BG439" i="99"/>
  <c r="BI431" i="99"/>
  <c r="BH374" i="99"/>
  <c r="BH382" i="99"/>
  <c r="BH402" i="99"/>
  <c r="BG358" i="99"/>
  <c r="BH366" i="99"/>
  <c r="BH394" i="99"/>
  <c r="BH346" i="99"/>
  <c r="BH439" i="99"/>
  <c r="BI382" i="99"/>
  <c r="BJ431" i="99"/>
  <c r="BH358" i="99"/>
  <c r="BI346" i="99"/>
  <c r="BI374" i="99"/>
  <c r="BI402" i="99"/>
  <c r="BI366" i="99"/>
  <c r="BI439" i="99"/>
  <c r="BK431" i="99"/>
  <c r="BJ402" i="99"/>
  <c r="BJ382" i="99"/>
  <c r="BI394" i="99"/>
  <c r="BJ366" i="99"/>
  <c r="BJ439" i="99"/>
  <c r="BJ346" i="99"/>
  <c r="BJ394" i="99"/>
  <c r="BI358" i="99"/>
  <c r="BJ374" i="99"/>
  <c r="BJ358" i="99"/>
  <c r="BL431" i="99"/>
  <c r="BK394" i="99"/>
  <c r="BK374" i="99"/>
  <c r="BK366" i="99"/>
  <c r="BK439" i="99"/>
  <c r="BK346" i="99"/>
  <c r="BK382" i="99"/>
  <c r="BK402" i="99"/>
  <c r="BL382" i="99"/>
  <c r="BL439" i="99"/>
  <c r="BM431" i="99"/>
  <c r="BK358" i="99"/>
  <c r="BL346" i="99"/>
  <c r="BL402" i="99"/>
  <c r="BL366" i="99"/>
  <c r="BL374" i="99"/>
  <c r="BL394" i="99"/>
  <c r="BM374" i="99"/>
  <c r="BL358" i="99"/>
  <c r="BN431" i="99"/>
  <c r="BM382" i="99"/>
  <c r="BM346" i="99"/>
  <c r="BM439" i="99"/>
  <c r="BM366" i="99"/>
  <c r="BM394" i="99"/>
  <c r="BM402" i="99"/>
  <c r="BN394" i="99"/>
  <c r="BO431" i="99"/>
  <c r="BM358" i="99"/>
  <c r="BN402" i="99"/>
  <c r="BN374" i="99"/>
  <c r="BN439" i="99"/>
  <c r="BN346" i="99"/>
  <c r="BN366" i="99"/>
  <c r="BN382" i="99"/>
  <c r="BP431" i="99"/>
  <c r="BN358" i="99"/>
  <c r="BO366" i="99"/>
  <c r="BO402" i="99"/>
  <c r="BO439" i="99"/>
  <c r="BO374" i="99"/>
  <c r="BO346" i="99"/>
  <c r="BO382" i="99"/>
  <c r="BQ431" i="99"/>
  <c r="BO358" i="99"/>
  <c r="BP439" i="99"/>
  <c r="BP346" i="99"/>
  <c r="BP382" i="99"/>
  <c r="BP402" i="99"/>
  <c r="BP366" i="99"/>
  <c r="BP394" i="99"/>
  <c r="BP374" i="99"/>
  <c r="BO394" i="99"/>
  <c r="BQ402" i="99"/>
  <c r="BR431" i="99"/>
  <c r="BQ366" i="99"/>
  <c r="BQ346" i="99"/>
  <c r="BQ439" i="99"/>
  <c r="BQ382" i="99"/>
  <c r="BP358" i="99"/>
  <c r="BQ374" i="99"/>
  <c r="BS431" i="99"/>
  <c r="BR346" i="99"/>
  <c r="BR374" i="99"/>
  <c r="BQ394" i="99"/>
  <c r="BQ358" i="99"/>
  <c r="BR382" i="99"/>
  <c r="BR366" i="99"/>
  <c r="BR394" i="99"/>
  <c r="BR439" i="99"/>
  <c r="BR402" i="99"/>
  <c r="BS366" i="99"/>
  <c r="BS394" i="99"/>
  <c r="BS402" i="99"/>
  <c r="BS374" i="99"/>
  <c r="BT431" i="99"/>
  <c r="BS382" i="99"/>
  <c r="BR358" i="99"/>
  <c r="BS439" i="99"/>
  <c r="BS346" i="99"/>
  <c r="BU431" i="99"/>
  <c r="BT374" i="99"/>
  <c r="BT402" i="99"/>
  <c r="BT346" i="99"/>
  <c r="BT382" i="99"/>
  <c r="BS358" i="99"/>
  <c r="BT366" i="99"/>
  <c r="BT439" i="99"/>
  <c r="BV431" i="99"/>
  <c r="BU346" i="99"/>
  <c r="BU366" i="99"/>
  <c r="BU439" i="99"/>
  <c r="BU394" i="99"/>
  <c r="BT394" i="99"/>
  <c r="BU382" i="99"/>
  <c r="BU374" i="99"/>
  <c r="BU402" i="99"/>
  <c r="BT358" i="99"/>
  <c r="BU358" i="99"/>
  <c r="BV346" i="99"/>
  <c r="BV439" i="99"/>
  <c r="BW431" i="99"/>
  <c r="BV394" i="99"/>
  <c r="BV366" i="99"/>
  <c r="BV382" i="99"/>
  <c r="BV402" i="99"/>
  <c r="BV374" i="99"/>
  <c r="BX431" i="99"/>
  <c r="BW129" i="99"/>
  <c r="BS209" i="153"/>
  <c r="BS242" i="153" s="1"/>
  <c r="BS250" i="153" s="1"/>
  <c r="BY201" i="155"/>
  <c r="BY217" i="155" s="1"/>
  <c r="BY286" i="155" s="1"/>
  <c r="BY201" i="154"/>
  <c r="BY217" i="154" s="1"/>
  <c r="BY286" i="154" s="1"/>
  <c r="BW129" i="104"/>
  <c r="BW64" i="104" s="1"/>
  <c r="CB64" i="105" s="1"/>
  <c r="BW30" i="151" s="1"/>
  <c r="BP332" i="155"/>
  <c r="BP201" i="155"/>
  <c r="BP201" i="154"/>
  <c r="BP332" i="154"/>
  <c r="BQ332" i="154"/>
  <c r="BQ201" i="154"/>
  <c r="BM332" i="154"/>
  <c r="BM201" i="154"/>
  <c r="BM191" i="154"/>
  <c r="BO332" i="155"/>
  <c r="BO201" i="155"/>
  <c r="BO191" i="154"/>
  <c r="BO332" i="154"/>
  <c r="BO201" i="154"/>
  <c r="BQ201" i="155"/>
  <c r="BQ332" i="155"/>
  <c r="BN201" i="154"/>
  <c r="BN332" i="154"/>
  <c r="BN191" i="154"/>
  <c r="BT332" i="155"/>
  <c r="BT201" i="155"/>
  <c r="BS201" i="155"/>
  <c r="BS332" i="155"/>
  <c r="BU201" i="154"/>
  <c r="BU332" i="154"/>
  <c r="BS201" i="154"/>
  <c r="BS332" i="154"/>
  <c r="BU201" i="155"/>
  <c r="BU332" i="155"/>
  <c r="BT332" i="154"/>
  <c r="BT201" i="154"/>
  <c r="BR201" i="155"/>
  <c r="BR332" i="155"/>
  <c r="BR332" i="154"/>
  <c r="BR201" i="154"/>
  <c r="BY183" i="154"/>
  <c r="BX618" i="99"/>
  <c r="BX64" i="99"/>
  <c r="I8" i="69"/>
  <c r="I10" i="69"/>
  <c r="I15" i="69"/>
  <c r="I13" i="69"/>
  <c r="I11" i="69"/>
  <c r="I14" i="69"/>
  <c r="I16" i="69"/>
  <c r="I12" i="69"/>
  <c r="I7" i="69"/>
  <c r="I9" i="69"/>
  <c r="BU319" i="153"/>
  <c r="BW259" i="153"/>
  <c r="BU311" i="153"/>
  <c r="BI310" i="153"/>
  <c r="BS303" i="153"/>
  <c r="BS319" i="153"/>
  <c r="BV319" i="153"/>
  <c r="BV311" i="153"/>
  <c r="BW275" i="153"/>
  <c r="BU275" i="153"/>
  <c r="BX267" i="153"/>
  <c r="BY319" i="153"/>
  <c r="BT259" i="153"/>
  <c r="BX303" i="153"/>
  <c r="BT303" i="153"/>
  <c r="BU274" i="153"/>
  <c r="BT319" i="153"/>
  <c r="BX402" i="99"/>
  <c r="BV275" i="153"/>
  <c r="BG266" i="153"/>
  <c r="BT267" i="153"/>
  <c r="BT468" i="153"/>
  <c r="BY303" i="153"/>
  <c r="BW303" i="153"/>
  <c r="BW319" i="153"/>
  <c r="BS468" i="153"/>
  <c r="BG310" i="153"/>
  <c r="BS259" i="153"/>
  <c r="BG318" i="153"/>
  <c r="BS267" i="153"/>
  <c r="BU267" i="153"/>
  <c r="BU468" i="153"/>
  <c r="BI318" i="153"/>
  <c r="BW209" i="153"/>
  <c r="BW242" i="153" s="1"/>
  <c r="BW250" i="153" s="1"/>
  <c r="BW217" i="153"/>
  <c r="BW286" i="153" s="1"/>
  <c r="BW294" i="153" s="1"/>
  <c r="BW318" i="153" s="1"/>
  <c r="BY267" i="153"/>
  <c r="BU302" i="153"/>
  <c r="BY275" i="153"/>
  <c r="BY468" i="153"/>
  <c r="BV217" i="153"/>
  <c r="BV286" i="153" s="1"/>
  <c r="BV294" i="153" s="1"/>
  <c r="BV302" i="153" s="1"/>
  <c r="BV209" i="153"/>
  <c r="BV242" i="153" s="1"/>
  <c r="BV250" i="153" s="1"/>
  <c r="BT250" i="153"/>
  <c r="BW468" i="153"/>
  <c r="BT294" i="153"/>
  <c r="BT302" i="153" s="1"/>
  <c r="BS294" i="153"/>
  <c r="BS302" i="153" s="1"/>
  <c r="BU310" i="153"/>
  <c r="BV259" i="153"/>
  <c r="BV468" i="153"/>
  <c r="BG274" i="153"/>
  <c r="BG467" i="153"/>
  <c r="BX217" i="153"/>
  <c r="BX286" i="153" s="1"/>
  <c r="BX294" i="153" s="1"/>
  <c r="BX302" i="153" s="1"/>
  <c r="BX209" i="153"/>
  <c r="BX242" i="153" s="1"/>
  <c r="BX250" i="153" s="1"/>
  <c r="BX319" i="153"/>
  <c r="BU467" i="153"/>
  <c r="BU266" i="153"/>
  <c r="BY209" i="153"/>
  <c r="BY242" i="153" s="1"/>
  <c r="BY250" i="153" s="1"/>
  <c r="BY217" i="153"/>
  <c r="BY286" i="153" s="1"/>
  <c r="BY294" i="153" s="1"/>
  <c r="BY310" i="153" s="1"/>
  <c r="BX259" i="153"/>
  <c r="BX468" i="153"/>
  <c r="X209" i="153"/>
  <c r="X217" i="153"/>
  <c r="AW201" i="153"/>
  <c r="AW332" i="153"/>
  <c r="AW342" i="153" s="1"/>
  <c r="AV332" i="153"/>
  <c r="AV342" i="153" s="1"/>
  <c r="AV201" i="153"/>
  <c r="AI217" i="153"/>
  <c r="AI286" i="153" s="1"/>
  <c r="AI209" i="153"/>
  <c r="AI242" i="153" s="1"/>
  <c r="AT201" i="153"/>
  <c r="AT332" i="153"/>
  <c r="AT342" i="153" s="1"/>
  <c r="AJ217" i="153"/>
  <c r="AJ286" i="153" s="1"/>
  <c r="AJ209" i="153"/>
  <c r="AJ242" i="153" s="1"/>
  <c r="AU201" i="153"/>
  <c r="AU332" i="153"/>
  <c r="AU342" i="153" s="1"/>
  <c r="AS201" i="153"/>
  <c r="AS332" i="153"/>
  <c r="AS342" i="153" s="1"/>
  <c r="AR201" i="153"/>
  <c r="AR332" i="153"/>
  <c r="AR342" i="153" s="1"/>
  <c r="W217" i="153"/>
  <c r="W209" i="153"/>
  <c r="AQ201" i="153"/>
  <c r="AQ332" i="153"/>
  <c r="AQ342" i="153" s="1"/>
  <c r="W342" i="153"/>
  <c r="AP201" i="153"/>
  <c r="AP332" i="153"/>
  <c r="AP342" i="153" s="1"/>
  <c r="AK217" i="153"/>
  <c r="AK286" i="153" s="1"/>
  <c r="AK209" i="153"/>
  <c r="AK242" i="153" s="1"/>
  <c r="AO332" i="153"/>
  <c r="AO342" i="153" s="1"/>
  <c r="AO201" i="153"/>
  <c r="AN332" i="153"/>
  <c r="AN342" i="153" s="1"/>
  <c r="AN201" i="153"/>
  <c r="AE217" i="153"/>
  <c r="AE286" i="153" s="1"/>
  <c r="AE209" i="153"/>
  <c r="AE242" i="153" s="1"/>
  <c r="AM332" i="153"/>
  <c r="AM342" i="153" s="1"/>
  <c r="AM201" i="153"/>
  <c r="V342" i="153"/>
  <c r="AL332" i="153"/>
  <c r="AL342" i="153" s="1"/>
  <c r="AL201" i="153"/>
  <c r="V217" i="153"/>
  <c r="V209" i="153"/>
  <c r="AF217" i="153"/>
  <c r="AF286" i="153" s="1"/>
  <c r="AF209" i="153"/>
  <c r="AF242" i="153" s="1"/>
  <c r="AA209" i="153"/>
  <c r="AA242" i="153" s="1"/>
  <c r="AA217" i="153"/>
  <c r="AA286" i="153" s="1"/>
  <c r="S209" i="153"/>
  <c r="S217" i="153"/>
  <c r="AG209" i="153"/>
  <c r="AG242" i="153" s="1"/>
  <c r="AG217" i="153"/>
  <c r="AG286" i="153" s="1"/>
  <c r="S342" i="153"/>
  <c r="Z209" i="153"/>
  <c r="Z242" i="153" s="1"/>
  <c r="Z217" i="153"/>
  <c r="Z286" i="153" s="1"/>
  <c r="Y294" i="153"/>
  <c r="Y318" i="153" s="1"/>
  <c r="Y250" i="153"/>
  <c r="U342" i="153"/>
  <c r="AB217" i="153"/>
  <c r="AB286" i="153" s="1"/>
  <c r="AB209" i="153"/>
  <c r="AB242" i="153" s="1"/>
  <c r="U209" i="153"/>
  <c r="U217" i="153"/>
  <c r="AC209" i="153"/>
  <c r="AC242" i="153" s="1"/>
  <c r="AC217" i="153"/>
  <c r="AC286" i="153" s="1"/>
  <c r="AH217" i="153"/>
  <c r="AH286" i="153" s="1"/>
  <c r="AH209" i="153"/>
  <c r="AH242" i="153" s="1"/>
  <c r="T342" i="153"/>
  <c r="AD217" i="153"/>
  <c r="AD286" i="153" s="1"/>
  <c r="AD209" i="153"/>
  <c r="AD242" i="153" s="1"/>
  <c r="X342" i="153"/>
  <c r="T217" i="153"/>
  <c r="T209" i="153"/>
  <c r="BZ39" i="72"/>
  <c r="K38" i="72"/>
  <c r="L38" i="72"/>
  <c r="M38" i="72"/>
  <c r="N38" i="72"/>
  <c r="N53" i="72"/>
  <c r="J38" i="72"/>
  <c r="J39" i="72"/>
  <c r="BX535" i="99"/>
  <c r="BX599" i="99" s="1"/>
  <c r="BX597" i="99"/>
  <c r="L43" i="72"/>
  <c r="K43" i="72"/>
  <c r="N40" i="72"/>
  <c r="J40" i="72"/>
  <c r="M43" i="72"/>
  <c r="BX439" i="99"/>
  <c r="BX549" i="99"/>
  <c r="BX613" i="99" s="1"/>
  <c r="BX229" i="99"/>
  <c r="J43" i="72"/>
  <c r="L40" i="72"/>
  <c r="K40" i="72"/>
  <c r="T170" i="153"/>
  <c r="S431" i="153"/>
  <c r="S437" i="153" s="1"/>
  <c r="S74" i="153" s="1"/>
  <c r="S139" i="153" s="1"/>
  <c r="R431" i="153"/>
  <c r="R437" i="153" s="1"/>
  <c r="R74" i="153" s="1"/>
  <c r="T431" i="153"/>
  <c r="T437" i="153" s="1"/>
  <c r="T74" i="153" s="1"/>
  <c r="T139" i="153" s="1"/>
  <c r="U431" i="153"/>
  <c r="U437" i="153" s="1"/>
  <c r="U74" i="153" s="1"/>
  <c r="U139" i="153" s="1"/>
  <c r="V431" i="153"/>
  <c r="V437" i="153" s="1"/>
  <c r="V74" i="153" s="1"/>
  <c r="V139" i="153" s="1"/>
  <c r="W431" i="153"/>
  <c r="W437" i="153" s="1"/>
  <c r="W74" i="153" s="1"/>
  <c r="W139" i="153" s="1"/>
  <c r="X431" i="153"/>
  <c r="X437" i="153" s="1"/>
  <c r="X74" i="153" s="1"/>
  <c r="X139" i="153" s="1"/>
  <c r="Y431" i="153"/>
  <c r="Y437" i="153" s="1"/>
  <c r="Y74" i="153" s="1"/>
  <c r="Y139" i="153" s="1"/>
  <c r="Z431" i="153"/>
  <c r="Z437" i="153" s="1"/>
  <c r="Z74" i="153" s="1"/>
  <c r="Z139" i="153" s="1"/>
  <c r="AA431" i="153"/>
  <c r="AA437" i="153" s="1"/>
  <c r="AA74" i="153" s="1"/>
  <c r="AA139" i="153" s="1"/>
  <c r="AB431" i="153"/>
  <c r="AB437" i="153" s="1"/>
  <c r="AB74" i="153" s="1"/>
  <c r="AB139" i="153" s="1"/>
  <c r="AC431" i="153"/>
  <c r="AC437" i="153" s="1"/>
  <c r="AC74" i="153" s="1"/>
  <c r="AC139" i="153" s="1"/>
  <c r="AD431" i="153"/>
  <c r="AD437" i="153" s="1"/>
  <c r="AD74" i="153" s="1"/>
  <c r="AE431" i="153"/>
  <c r="AE437" i="153" s="1"/>
  <c r="AE74" i="153" s="1"/>
  <c r="AE139" i="153" s="1"/>
  <c r="AF431" i="153"/>
  <c r="AF437" i="153" s="1"/>
  <c r="AF74" i="153" s="1"/>
  <c r="AF139" i="153" s="1"/>
  <c r="AG431" i="153"/>
  <c r="AG437" i="153" s="1"/>
  <c r="AG74" i="153" s="1"/>
  <c r="AG139" i="153" s="1"/>
  <c r="AH431" i="153"/>
  <c r="AH437" i="153" s="1"/>
  <c r="AH74" i="153" s="1"/>
  <c r="AH139" i="153" s="1"/>
  <c r="AI431" i="153"/>
  <c r="AI437" i="153" s="1"/>
  <c r="AI74" i="153" s="1"/>
  <c r="AI139" i="153" s="1"/>
  <c r="AJ431" i="153"/>
  <c r="AJ437" i="153" s="1"/>
  <c r="AJ74" i="153" s="1"/>
  <c r="AJ139" i="153" s="1"/>
  <c r="AK431" i="153"/>
  <c r="AK437" i="153" s="1"/>
  <c r="AK74" i="153" s="1"/>
  <c r="AK139" i="153" s="1"/>
  <c r="AL431" i="153"/>
  <c r="AL437" i="153" s="1"/>
  <c r="AL74" i="153" s="1"/>
  <c r="AL139" i="153" s="1"/>
  <c r="AM431" i="153"/>
  <c r="AM437" i="153" s="1"/>
  <c r="AM74" i="153" s="1"/>
  <c r="AM139" i="153" s="1"/>
  <c r="AN431" i="153"/>
  <c r="AN437" i="153" s="1"/>
  <c r="AN74" i="153" s="1"/>
  <c r="AN139" i="153" s="1"/>
  <c r="AO431" i="153"/>
  <c r="AO437" i="153" s="1"/>
  <c r="AO74" i="153" s="1"/>
  <c r="AO139" i="153" s="1"/>
  <c r="AP431" i="153"/>
  <c r="AP437" i="153" s="1"/>
  <c r="AP74" i="153" s="1"/>
  <c r="AQ431" i="153"/>
  <c r="AQ437" i="153" s="1"/>
  <c r="AQ74" i="153" s="1"/>
  <c r="AQ139" i="153" s="1"/>
  <c r="AR431" i="153"/>
  <c r="AR437" i="153" s="1"/>
  <c r="AR74" i="153" s="1"/>
  <c r="AR139" i="153" s="1"/>
  <c r="AS431" i="153"/>
  <c r="AS437" i="153" s="1"/>
  <c r="AS74" i="153" s="1"/>
  <c r="AS139" i="153" s="1"/>
  <c r="AT431" i="153"/>
  <c r="AT437" i="153" s="1"/>
  <c r="AT74" i="153" s="1"/>
  <c r="AT139" i="153" s="1"/>
  <c r="AU431" i="153"/>
  <c r="AU437" i="153" s="1"/>
  <c r="AU74" i="153" s="1"/>
  <c r="AU139" i="153" s="1"/>
  <c r="AV431" i="153"/>
  <c r="AV437" i="153" s="1"/>
  <c r="AV74" i="153" s="1"/>
  <c r="AV139" i="153" s="1"/>
  <c r="AW431" i="153"/>
  <c r="AW437" i="153" s="1"/>
  <c r="AW74" i="153" s="1"/>
  <c r="AW139" i="153" s="1"/>
  <c r="AX431" i="153"/>
  <c r="AX437" i="153" s="1"/>
  <c r="AX74" i="153" s="1"/>
  <c r="AX139" i="153" s="1"/>
  <c r="AY431" i="153"/>
  <c r="AY437" i="153" s="1"/>
  <c r="AY74" i="153" s="1"/>
  <c r="AY139" i="153" s="1"/>
  <c r="AZ431" i="153"/>
  <c r="AZ437" i="153" s="1"/>
  <c r="AZ74" i="153" s="1"/>
  <c r="AZ139" i="153" s="1"/>
  <c r="BA431" i="153"/>
  <c r="BA437" i="153" s="1"/>
  <c r="BA74" i="153" s="1"/>
  <c r="BA139" i="153" s="1"/>
  <c r="BB431" i="153"/>
  <c r="BB437" i="153" s="1"/>
  <c r="BB74" i="153" s="1"/>
  <c r="BC431" i="153"/>
  <c r="BC437" i="153" s="1"/>
  <c r="BC74" i="153" s="1"/>
  <c r="BC139" i="153" s="1"/>
  <c r="BD431" i="153"/>
  <c r="BD437" i="153" s="1"/>
  <c r="BD74" i="153" s="1"/>
  <c r="BD139" i="153" s="1"/>
  <c r="BE431" i="153"/>
  <c r="BE437" i="153" s="1"/>
  <c r="BE74" i="153" s="1"/>
  <c r="BE139" i="153" s="1"/>
  <c r="BF431" i="153"/>
  <c r="BF437" i="153" s="1"/>
  <c r="BF74" i="153" s="1"/>
  <c r="BF139" i="153" s="1"/>
  <c r="BG431" i="153"/>
  <c r="BG437" i="153" s="1"/>
  <c r="BG74" i="153" s="1"/>
  <c r="BG139" i="153" s="1"/>
  <c r="BH431" i="153"/>
  <c r="BH437" i="153" s="1"/>
  <c r="BH74" i="153" s="1"/>
  <c r="BH139" i="153" s="1"/>
  <c r="BI431" i="153"/>
  <c r="BI437" i="153" s="1"/>
  <c r="BI74" i="153" s="1"/>
  <c r="BI139" i="153" s="1"/>
  <c r="BJ431" i="153"/>
  <c r="BJ437" i="153" s="1"/>
  <c r="BJ74" i="153" s="1"/>
  <c r="BJ139" i="153" s="1"/>
  <c r="BK431" i="153"/>
  <c r="BK437" i="153" s="1"/>
  <c r="BK74" i="153" s="1"/>
  <c r="BK139" i="153" s="1"/>
  <c r="BL431" i="153"/>
  <c r="BL437" i="153" s="1"/>
  <c r="BL74" i="153" s="1"/>
  <c r="BL139" i="153" s="1"/>
  <c r="BM431" i="153"/>
  <c r="BM437" i="153" s="1"/>
  <c r="BM74" i="153" s="1"/>
  <c r="BM139" i="153" s="1"/>
  <c r="BN431" i="153"/>
  <c r="BN437" i="153" s="1"/>
  <c r="BN74" i="153" s="1"/>
  <c r="BO431" i="153"/>
  <c r="BO437" i="153" s="1"/>
  <c r="BO74" i="153" s="1"/>
  <c r="BO139" i="153" s="1"/>
  <c r="BP431" i="153"/>
  <c r="BP437" i="153" s="1"/>
  <c r="BP74" i="153" s="1"/>
  <c r="BP139" i="153" s="1"/>
  <c r="BQ431" i="153"/>
  <c r="BQ437" i="153" s="1"/>
  <c r="BQ74" i="153" s="1"/>
  <c r="BQ139" i="153" s="1"/>
  <c r="BR431" i="153"/>
  <c r="BR437" i="153" s="1"/>
  <c r="BR74" i="153" s="1"/>
  <c r="BR139" i="153" s="1"/>
  <c r="BS431" i="153"/>
  <c r="BS437" i="153" s="1"/>
  <c r="BS74" i="153" s="1"/>
  <c r="BS139" i="153" s="1"/>
  <c r="BT431" i="153"/>
  <c r="BT437" i="153" s="1"/>
  <c r="BT74" i="153" s="1"/>
  <c r="BT139" i="153" s="1"/>
  <c r="BU431" i="153"/>
  <c r="BU437" i="153" s="1"/>
  <c r="BU74" i="153" s="1"/>
  <c r="BU139" i="153" s="1"/>
  <c r="BV431" i="153"/>
  <c r="BV437" i="153" s="1"/>
  <c r="BV74" i="153" s="1"/>
  <c r="BV139" i="153" s="1"/>
  <c r="BW431" i="153"/>
  <c r="BW437" i="153" s="1"/>
  <c r="BW74" i="153" s="1"/>
  <c r="BW139" i="153" s="1"/>
  <c r="BX431" i="153"/>
  <c r="BX437" i="153" s="1"/>
  <c r="BX74" i="153" s="1"/>
  <c r="BX139" i="153" s="1"/>
  <c r="BY431" i="153"/>
  <c r="BY437" i="153" s="1"/>
  <c r="BY74" i="153" s="1"/>
  <c r="BY139" i="153" s="1"/>
  <c r="N43" i="72"/>
  <c r="M40" i="72"/>
  <c r="M53" i="72"/>
  <c r="L53" i="72"/>
  <c r="K53" i="72"/>
  <c r="J53" i="72"/>
  <c r="BY17" i="69"/>
  <c r="CD76" i="105" s="1"/>
  <c r="BW515" i="99"/>
  <c r="BW579" i="99" s="1"/>
  <c r="BX233" i="99"/>
  <c r="L9" i="69"/>
  <c r="M7" i="69"/>
  <c r="K14" i="69"/>
  <c r="N13" i="69"/>
  <c r="J7" i="69"/>
  <c r="J10" i="69"/>
  <c r="L7" i="69"/>
  <c r="N11" i="69"/>
  <c r="L8" i="69"/>
  <c r="J14" i="69"/>
  <c r="K16" i="69"/>
  <c r="N8" i="69"/>
  <c r="K12" i="69"/>
  <c r="J15" i="69"/>
  <c r="J13" i="69"/>
  <c r="J16" i="69"/>
  <c r="K13" i="69"/>
  <c r="K15" i="69"/>
  <c r="M10" i="69"/>
  <c r="L15" i="69"/>
  <c r="J12" i="69"/>
  <c r="M8" i="69"/>
  <c r="K7" i="69"/>
  <c r="N10" i="69"/>
  <c r="L14" i="69"/>
  <c r="M16" i="69"/>
  <c r="L16" i="69"/>
  <c r="M9" i="69"/>
  <c r="N7" i="69"/>
  <c r="N12" i="69"/>
  <c r="M11" i="69"/>
  <c r="N9" i="69"/>
  <c r="BR616" i="99"/>
  <c r="BV529" i="99"/>
  <c r="BV581" i="99"/>
  <c r="BV518" i="99"/>
  <c r="M82" i="99"/>
  <c r="M11" i="99"/>
  <c r="M12" i="99" s="1"/>
  <c r="M15" i="99"/>
  <c r="M16" i="99" s="1"/>
  <c r="BX512" i="99"/>
  <c r="BX234" i="99"/>
  <c r="L82" i="99"/>
  <c r="L11" i="99"/>
  <c r="L12" i="99" s="1"/>
  <c r="L15" i="99"/>
  <c r="L16" i="99" s="1"/>
  <c r="K15" i="99"/>
  <c r="K16" i="99" s="1"/>
  <c r="K82" i="99"/>
  <c r="K11" i="99"/>
  <c r="K12" i="99" s="1"/>
  <c r="BX542" i="99"/>
  <c r="BX606" i="99" s="1"/>
  <c r="BX602" i="99"/>
  <c r="BV591" i="99"/>
  <c r="BV224" i="99"/>
  <c r="BW358" i="99"/>
  <c r="BX382" i="99"/>
  <c r="BX366" i="99"/>
  <c r="BX346" i="99"/>
  <c r="BX374" i="99"/>
  <c r="BS551" i="99"/>
  <c r="BS555" i="99" s="1"/>
  <c r="BS608" i="99"/>
  <c r="BQ631" i="99"/>
  <c r="BQ625" i="99"/>
  <c r="BQ626" i="99" s="1"/>
  <c r="BQ562" i="99"/>
  <c r="BU582" i="99"/>
  <c r="BU223" i="99"/>
  <c r="BU530" i="99"/>
  <c r="BU593" i="99"/>
  <c r="BU594" i="99" s="1"/>
  <c r="BU544" i="99"/>
  <c r="BT551" i="99"/>
  <c r="BT555" i="99" s="1"/>
  <c r="BT608" i="99"/>
  <c r="BX228" i="99"/>
  <c r="BW588" i="99"/>
  <c r="BW526" i="99"/>
  <c r="BW590" i="99" s="1"/>
  <c r="BX230" i="99"/>
  <c r="N15" i="99"/>
  <c r="N16" i="99" s="1"/>
  <c r="N82" i="99"/>
  <c r="N11" i="99"/>
  <c r="N12" i="99" s="1"/>
  <c r="BX585" i="99"/>
  <c r="BX524" i="99"/>
  <c r="BR619" i="99"/>
  <c r="BR620" i="99" s="1"/>
  <c r="BR556" i="99"/>
  <c r="J76" i="99"/>
  <c r="K75" i="99"/>
  <c r="N75" i="99"/>
  <c r="L70" i="99"/>
  <c r="M76" i="99"/>
  <c r="K70" i="99"/>
  <c r="N76" i="99"/>
  <c r="K76" i="99"/>
  <c r="L76" i="99"/>
  <c r="BY540" i="99"/>
  <c r="BY604" i="99" s="1"/>
  <c r="M75" i="99"/>
  <c r="J75" i="99"/>
  <c r="J140" i="99" s="1"/>
  <c r="BY541" i="99"/>
  <c r="BY605" i="99" s="1"/>
  <c r="M70" i="99"/>
  <c r="BY547" i="99"/>
  <c r="BY611" i="99" s="1"/>
  <c r="BY539" i="99"/>
  <c r="BY603" i="99" s="1"/>
  <c r="BY538" i="99"/>
  <c r="J70" i="99"/>
  <c r="N70" i="99"/>
  <c r="L75" i="99"/>
  <c r="BY548" i="99"/>
  <c r="BY612" i="99" s="1"/>
  <c r="BY534" i="99"/>
  <c r="BY598" i="99" s="1"/>
  <c r="BY523" i="99"/>
  <c r="BY587" i="99" s="1"/>
  <c r="BY522" i="99"/>
  <c r="BY586" i="99" s="1"/>
  <c r="BY507" i="99"/>
  <c r="BY525" i="99"/>
  <c r="BY589" i="99" s="1"/>
  <c r="BY521" i="99"/>
  <c r="BY509" i="99"/>
  <c r="BY573" i="99" s="1"/>
  <c r="BY514" i="99"/>
  <c r="BY578" i="99" s="1"/>
  <c r="BY516" i="99"/>
  <c r="BY580" i="99" s="1"/>
  <c r="BY513" i="99"/>
  <c r="BY577" i="99" s="1"/>
  <c r="BY558" i="99"/>
  <c r="BY622" i="99" s="1"/>
  <c r="BY533" i="99"/>
  <c r="BY597" i="99" s="1"/>
  <c r="BX232" i="99"/>
  <c r="J37" i="72"/>
  <c r="J36" i="72"/>
  <c r="K37" i="72"/>
  <c r="L37" i="72"/>
  <c r="M37" i="72"/>
  <c r="N37" i="72"/>
  <c r="K36" i="72"/>
  <c r="L36" i="72"/>
  <c r="M36" i="72"/>
  <c r="N36" i="72"/>
  <c r="BX394" i="99"/>
  <c r="J622" i="99"/>
  <c r="K622" i="99"/>
  <c r="L622" i="99"/>
  <c r="M622" i="99"/>
  <c r="J612" i="99"/>
  <c r="K612" i="99"/>
  <c r="L612" i="99"/>
  <c r="M612" i="99"/>
  <c r="J70" i="103"/>
  <c r="K70" i="103"/>
  <c r="L70" i="103"/>
  <c r="M70" i="103"/>
  <c r="N70" i="103"/>
  <c r="BY64" i="99"/>
  <c r="AJ434" i="99" l="1"/>
  <c r="BL349" i="99"/>
  <c r="BM367" i="99"/>
  <c r="R403" i="99"/>
  <c r="BI395" i="99"/>
  <c r="U395" i="99"/>
  <c r="BH440" i="99"/>
  <c r="BQ405" i="99"/>
  <c r="AF361" i="99"/>
  <c r="BA367" i="99"/>
  <c r="AK432" i="99"/>
  <c r="AY383" i="99"/>
  <c r="AA397" i="99"/>
  <c r="AJ395" i="99"/>
  <c r="AP347" i="99"/>
  <c r="AG395" i="99"/>
  <c r="AW375" i="99"/>
  <c r="AU395" i="99"/>
  <c r="U178" i="99"/>
  <c r="U186" i="99" s="1"/>
  <c r="U329" i="99" s="1"/>
  <c r="U339" i="99" s="1"/>
  <c r="BD358" i="99"/>
  <c r="BC382" i="99"/>
  <c r="BA346" i="99"/>
  <c r="AY439" i="99"/>
  <c r="AW346" i="99"/>
  <c r="AT439" i="99"/>
  <c r="AR374" i="99"/>
  <c r="AO358" i="99"/>
  <c r="AN346" i="99"/>
  <c r="AK346" i="99"/>
  <c r="AI382" i="99"/>
  <c r="AG402" i="99"/>
  <c r="AF431" i="99"/>
  <c r="AC366" i="99"/>
  <c r="Z366" i="99"/>
  <c r="Y366" i="99"/>
  <c r="W382" i="99"/>
  <c r="R402" i="99"/>
  <c r="BU383" i="99"/>
  <c r="AE395" i="99"/>
  <c r="BY431" i="99"/>
  <c r="BE432" i="99"/>
  <c r="BE397" i="99"/>
  <c r="AT432" i="99"/>
  <c r="BB358" i="99"/>
  <c r="BA382" i="99"/>
  <c r="AY394" i="99"/>
  <c r="AV439" i="99"/>
  <c r="AT402" i="99"/>
  <c r="AR366" i="99"/>
  <c r="AP366" i="99"/>
  <c r="AN382" i="99"/>
  <c r="AK402" i="99"/>
  <c r="AI439" i="99"/>
  <c r="AG346" i="99"/>
  <c r="AE394" i="99"/>
  <c r="AD431" i="99"/>
  <c r="Z382" i="99"/>
  <c r="Y382" i="99"/>
  <c r="V394" i="99"/>
  <c r="T402" i="99"/>
  <c r="BS347" i="99"/>
  <c r="AB375" i="99"/>
  <c r="BW394" i="99"/>
  <c r="AM359" i="99"/>
  <c r="X432" i="99"/>
  <c r="BQ383" i="99"/>
  <c r="Z440" i="99"/>
  <c r="BW366" i="99"/>
  <c r="U377" i="99"/>
  <c r="BO375" i="99"/>
  <c r="W375" i="99"/>
  <c r="AY349" i="99"/>
  <c r="AT405" i="99"/>
  <c r="AN349" i="99"/>
  <c r="AP180" i="99"/>
  <c r="AP188" i="99" s="1"/>
  <c r="AP331" i="99" s="1"/>
  <c r="AP341" i="99" s="1"/>
  <c r="BV385" i="99"/>
  <c r="BQ385" i="99"/>
  <c r="BL369" i="99"/>
  <c r="AP434" i="99"/>
  <c r="BE385" i="99"/>
  <c r="AY385" i="99"/>
  <c r="AS369" i="99"/>
  <c r="AM405" i="99"/>
  <c r="AG397" i="99"/>
  <c r="AA377" i="99"/>
  <c r="S349" i="99"/>
  <c r="BX369" i="99"/>
  <c r="BX442" i="99"/>
  <c r="AQ180" i="99"/>
  <c r="AQ188" i="99" s="1"/>
  <c r="AQ331" i="99" s="1"/>
  <c r="AQ341" i="99" s="1"/>
  <c r="BW434" i="99"/>
  <c r="BQ377" i="99"/>
  <c r="BL377" i="99"/>
  <c r="BH434" i="99"/>
  <c r="BD397" i="99"/>
  <c r="AY405" i="99"/>
  <c r="AS385" i="99"/>
  <c r="AM385" i="99"/>
  <c r="AG385" i="99"/>
  <c r="Z442" i="99"/>
  <c r="R349" i="99"/>
  <c r="AO180" i="99"/>
  <c r="AO188" i="99" s="1"/>
  <c r="AO200" i="99" s="1"/>
  <c r="BU377" i="99"/>
  <c r="BQ369" i="99"/>
  <c r="BK385" i="99"/>
  <c r="AR434" i="99"/>
  <c r="BE369" i="99"/>
  <c r="AY397" i="99"/>
  <c r="AS405" i="99"/>
  <c r="AL385" i="99"/>
  <c r="AG442" i="99"/>
  <c r="Z397" i="99"/>
  <c r="R405" i="99"/>
  <c r="AD361" i="99"/>
  <c r="AX369" i="99"/>
  <c r="BX405" i="99"/>
  <c r="BU369" i="99"/>
  <c r="BO385" i="99"/>
  <c r="V434" i="99"/>
  <c r="BI349" i="99"/>
  <c r="BD442" i="99"/>
  <c r="AX349" i="99"/>
  <c r="AQ377" i="99"/>
  <c r="AK349" i="99"/>
  <c r="AE442" i="99"/>
  <c r="Y385" i="99"/>
  <c r="T397" i="99"/>
  <c r="BT369" i="99"/>
  <c r="BO377" i="99"/>
  <c r="BE434" i="99"/>
  <c r="BI377" i="99"/>
  <c r="BC369" i="99"/>
  <c r="AV361" i="99"/>
  <c r="AQ369" i="99"/>
  <c r="AK377" i="99"/>
  <c r="AE369" i="99"/>
  <c r="Y377" i="99"/>
  <c r="S405" i="99"/>
  <c r="BX434" i="99"/>
  <c r="BT377" i="99"/>
  <c r="BO442" i="99"/>
  <c r="AQ434" i="99"/>
  <c r="BI405" i="99"/>
  <c r="BC377" i="99"/>
  <c r="AW405" i="99"/>
  <c r="AP361" i="99"/>
  <c r="AJ442" i="99"/>
  <c r="AD377" i="99"/>
  <c r="X442" i="99"/>
  <c r="T369" i="99"/>
  <c r="BW385" i="99"/>
  <c r="AX385" i="99"/>
  <c r="S434" i="99"/>
  <c r="Y180" i="99"/>
  <c r="Y188" i="99" s="1"/>
  <c r="Y200" i="99" s="1"/>
  <c r="BT349" i="99"/>
  <c r="BN361" i="99"/>
  <c r="AU434" i="99"/>
  <c r="BH361" i="99"/>
  <c r="AV397" i="99"/>
  <c r="AQ349" i="99"/>
  <c r="AI361" i="99"/>
  <c r="AD397" i="99"/>
  <c r="X349" i="99"/>
  <c r="R385" i="99"/>
  <c r="V180" i="99"/>
  <c r="V188" i="99" s="1"/>
  <c r="V200" i="99" s="1"/>
  <c r="BT442" i="99"/>
  <c r="BO405" i="99"/>
  <c r="Y434" i="99"/>
  <c r="BH369" i="99"/>
  <c r="BB377" i="99"/>
  <c r="AV377" i="99"/>
  <c r="AQ405" i="99"/>
  <c r="AJ369" i="99"/>
  <c r="AC361" i="99"/>
  <c r="W361" i="99"/>
  <c r="BX385" i="99"/>
  <c r="AD434" i="99"/>
  <c r="BU405" i="99"/>
  <c r="BU397" i="99"/>
  <c r="Y397" i="99"/>
  <c r="BC349" i="99"/>
  <c r="X180" i="99"/>
  <c r="X188" i="99" s="1"/>
  <c r="X200" i="99" s="1"/>
  <c r="BS369" i="99"/>
  <c r="BN397" i="99"/>
  <c r="AK434" i="99"/>
  <c r="BG361" i="99"/>
  <c r="BA361" i="99"/>
  <c r="AU361" i="99"/>
  <c r="AP369" i="99"/>
  <c r="AJ385" i="99"/>
  <c r="AD349" i="99"/>
  <c r="X397" i="99"/>
  <c r="AE361" i="99"/>
  <c r="BO369" i="99"/>
  <c r="BD405" i="99"/>
  <c r="AK442" i="99"/>
  <c r="BN385" i="99"/>
  <c r="AO434" i="99"/>
  <c r="BH385" i="99"/>
  <c r="BB442" i="99"/>
  <c r="AU369" i="99"/>
  <c r="AO369" i="99"/>
  <c r="AJ397" i="99"/>
  <c r="W397" i="99"/>
  <c r="BA397" i="99"/>
  <c r="V361" i="99"/>
  <c r="BY40" i="151"/>
  <c r="CD132" i="105"/>
  <c r="W385" i="99"/>
  <c r="BR405" i="99"/>
  <c r="BM397" i="99"/>
  <c r="U434" i="99"/>
  <c r="BG385" i="99"/>
  <c r="BA385" i="99"/>
  <c r="AU397" i="99"/>
  <c r="AO377" i="99"/>
  <c r="AH361" i="99"/>
  <c r="AC397" i="99"/>
  <c r="W349" i="99"/>
  <c r="AG369" i="99"/>
  <c r="BR385" i="99"/>
  <c r="BL361" i="99"/>
  <c r="AG434" i="99"/>
  <c r="BF361" i="99"/>
  <c r="BA369" i="99"/>
  <c r="AS361" i="99"/>
  <c r="AM397" i="99"/>
  <c r="AH369" i="99"/>
  <c r="AB377" i="99"/>
  <c r="W369" i="99"/>
  <c r="BQ434" i="99"/>
  <c r="BI361" i="99"/>
  <c r="BC361" i="99"/>
  <c r="AX397" i="99"/>
  <c r="AR397" i="99"/>
  <c r="T442" i="99"/>
  <c r="BA434" i="99"/>
  <c r="T405" i="99"/>
  <c r="AD442" i="99"/>
  <c r="BN405" i="99"/>
  <c r="BH377" i="99"/>
  <c r="AU442" i="99"/>
  <c r="AC349" i="99"/>
  <c r="BR369" i="99"/>
  <c r="BI434" i="99"/>
  <c r="BH397" i="99"/>
  <c r="BA349" i="99"/>
  <c r="AU405" i="99"/>
  <c r="AO349" i="99"/>
  <c r="AB397" i="99"/>
  <c r="BR442" i="99"/>
  <c r="BL397" i="99"/>
  <c r="AF434" i="99"/>
  <c r="BE361" i="99"/>
  <c r="AZ361" i="99"/>
  <c r="AT397" i="99"/>
  <c r="AN397" i="99"/>
  <c r="AH405" i="99"/>
  <c r="AB349" i="99"/>
  <c r="V442" i="99"/>
  <c r="BW397" i="99"/>
  <c r="AN180" i="99"/>
  <c r="AN188" i="99" s="1"/>
  <c r="AN331" i="99" s="1"/>
  <c r="AN341" i="99" s="1"/>
  <c r="BP397" i="99"/>
  <c r="Z349" i="99"/>
  <c r="AM180" i="99"/>
  <c r="AM188" i="99" s="1"/>
  <c r="AM331" i="99" s="1"/>
  <c r="AM341" i="99" s="1"/>
  <c r="BK405" i="99"/>
  <c r="AK361" i="99"/>
  <c r="BW361" i="99"/>
  <c r="BO349" i="99"/>
  <c r="BG434" i="99"/>
  <c r="AR349" i="99"/>
  <c r="AK405" i="99"/>
  <c r="Y361" i="99"/>
  <c r="BJ434" i="99"/>
  <c r="AQ385" i="99"/>
  <c r="S361" i="99"/>
  <c r="BR361" i="99"/>
  <c r="AI385" i="99"/>
  <c r="AI442" i="99"/>
  <c r="BR349" i="99"/>
  <c r="BL385" i="99"/>
  <c r="AC434" i="99"/>
  <c r="BF385" i="99"/>
  <c r="BA377" i="99"/>
  <c r="AT369" i="99"/>
  <c r="AN377" i="99"/>
  <c r="AH397" i="99"/>
  <c r="AA385" i="99"/>
  <c r="R442" i="99"/>
  <c r="BW442" i="99"/>
  <c r="BU385" i="99"/>
  <c r="BJ361" i="99"/>
  <c r="BE405" i="99"/>
  <c r="AX442" i="99"/>
  <c r="AR405" i="99"/>
  <c r="AL442" i="99"/>
  <c r="U349" i="99"/>
  <c r="R180" i="99"/>
  <c r="R188" i="99" s="1"/>
  <c r="R200" i="99" s="1"/>
  <c r="BD377" i="99"/>
  <c r="BT361" i="99"/>
  <c r="AE385" i="99"/>
  <c r="W180" i="99"/>
  <c r="W188" i="99" s="1"/>
  <c r="W200" i="99" s="1"/>
  <c r="BS405" i="99"/>
  <c r="BJ369" i="99"/>
  <c r="AO385" i="99"/>
  <c r="BM369" i="99"/>
  <c r="BX377" i="99"/>
  <c r="BS434" i="99"/>
  <c r="BL442" i="99"/>
  <c r="AE434" i="99"/>
  <c r="BF397" i="99"/>
  <c r="AZ385" i="99"/>
  <c r="AT377" i="99"/>
  <c r="AN369" i="99"/>
  <c r="AG377" i="99"/>
  <c r="Z361" i="99"/>
  <c r="S369" i="99"/>
  <c r="T178" i="99"/>
  <c r="T186" i="99" s="1"/>
  <c r="T198" i="99" s="1"/>
  <c r="BW359" i="99"/>
  <c r="BV347" i="99"/>
  <c r="BU432" i="99"/>
  <c r="BQ375" i="99"/>
  <c r="BO403" i="99"/>
  <c r="BL395" i="99"/>
  <c r="BJ359" i="99"/>
  <c r="BG359" i="99"/>
  <c r="BF375" i="99"/>
  <c r="BD347" i="99"/>
  <c r="BB375" i="99"/>
  <c r="BA432" i="99"/>
  <c r="AW367" i="99"/>
  <c r="AT359" i="99"/>
  <c r="AS403" i="99"/>
  <c r="AR432" i="99"/>
  <c r="AN440" i="99"/>
  <c r="AK359" i="99"/>
  <c r="AL347" i="99"/>
  <c r="AI359" i="99"/>
  <c r="AG367" i="99"/>
  <c r="AD359" i="99"/>
  <c r="AC347" i="99"/>
  <c r="Z403" i="99"/>
  <c r="W395" i="99"/>
  <c r="T395" i="99"/>
  <c r="T383" i="99"/>
  <c r="BW375" i="99"/>
  <c r="BV403" i="99"/>
  <c r="BL359" i="99"/>
  <c r="BJ432" i="99"/>
  <c r="BB367" i="99"/>
  <c r="AU347" i="99"/>
  <c r="AQ395" i="99"/>
  <c r="AM432" i="99"/>
  <c r="AH383" i="99"/>
  <c r="AC367" i="99"/>
  <c r="T347" i="99"/>
  <c r="BW403" i="99"/>
  <c r="S178" i="99"/>
  <c r="S186" i="99" s="1"/>
  <c r="S329" i="99" s="1"/>
  <c r="S339" i="99" s="1"/>
  <c r="BV440" i="99"/>
  <c r="BS367" i="99"/>
  <c r="BQ403" i="99"/>
  <c r="BO440" i="99"/>
  <c r="BM375" i="99"/>
  <c r="BL432" i="99"/>
  <c r="BH347" i="99"/>
  <c r="BF395" i="99"/>
  <c r="BD440" i="99"/>
  <c r="BB395" i="99"/>
  <c r="AY440" i="99"/>
  <c r="AV359" i="99"/>
  <c r="AU367" i="99"/>
  <c r="AS383" i="99"/>
  <c r="AQ440" i="99"/>
  <c r="AN383" i="99"/>
  <c r="AL383" i="99"/>
  <c r="AG432" i="99"/>
  <c r="AJ440" i="99"/>
  <c r="AF359" i="99"/>
  <c r="AE383" i="99"/>
  <c r="AB367" i="99"/>
  <c r="Y403" i="99"/>
  <c r="W359" i="99"/>
  <c r="S347" i="99"/>
  <c r="U375" i="99"/>
  <c r="BX440" i="99"/>
  <c r="BX432" i="99"/>
  <c r="BS432" i="99"/>
  <c r="BK367" i="99"/>
  <c r="BD375" i="99"/>
  <c r="AZ383" i="99"/>
  <c r="AS367" i="99"/>
  <c r="AO403" i="99"/>
  <c r="AJ383" i="99"/>
  <c r="AE440" i="99"/>
  <c r="Z395" i="99"/>
  <c r="S383" i="99"/>
  <c r="BW432" i="99"/>
  <c r="BS375" i="99"/>
  <c r="BP359" i="99"/>
  <c r="BO347" i="99"/>
  <c r="BM383" i="99"/>
  <c r="BI359" i="99"/>
  <c r="BH395" i="99"/>
  <c r="BF440" i="99"/>
  <c r="BD403" i="99"/>
  <c r="BC432" i="99"/>
  <c r="AY403" i="99"/>
  <c r="AW383" i="99"/>
  <c r="AU440" i="99"/>
  <c r="AR359" i="99"/>
  <c r="AP403" i="99"/>
  <c r="AN367" i="99"/>
  <c r="AL440" i="99"/>
  <c r="AL367" i="99"/>
  <c r="AJ375" i="99"/>
  <c r="AG403" i="99"/>
  <c r="AE375" i="99"/>
  <c r="AB383" i="99"/>
  <c r="Z375" i="99"/>
  <c r="W403" i="99"/>
  <c r="R347" i="99"/>
  <c r="T403" i="99"/>
  <c r="BW369" i="99"/>
  <c r="BW395" i="99"/>
  <c r="BN432" i="99"/>
  <c r="AU403" i="99"/>
  <c r="AI347" i="99"/>
  <c r="AE367" i="99"/>
  <c r="U403" i="99"/>
  <c r="BW440" i="99"/>
  <c r="U180" i="99"/>
  <c r="U188" i="99" s="1"/>
  <c r="U200" i="99" s="1"/>
  <c r="AL180" i="99"/>
  <c r="AL188" i="99" s="1"/>
  <c r="AL331" i="99" s="1"/>
  <c r="AL341" i="99" s="1"/>
  <c r="BT359" i="99"/>
  <c r="BS440" i="99"/>
  <c r="BQ440" i="99"/>
  <c r="BN359" i="99"/>
  <c r="BL403" i="99"/>
  <c r="BJ367" i="99"/>
  <c r="BH383" i="99"/>
  <c r="BF383" i="99"/>
  <c r="BC395" i="99"/>
  <c r="BA395" i="99"/>
  <c r="AY395" i="99"/>
  <c r="AW403" i="99"/>
  <c r="AV432" i="99"/>
  <c r="AR395" i="99"/>
  <c r="AP375" i="99"/>
  <c r="AN375" i="99"/>
  <c r="R432" i="99"/>
  <c r="Y432" i="99"/>
  <c r="AI403" i="99"/>
  <c r="AG347" i="99"/>
  <c r="AD383" i="99"/>
  <c r="AB440" i="99"/>
  <c r="R178" i="99"/>
  <c r="R186" i="99" s="1"/>
  <c r="R329" i="99" s="1"/>
  <c r="R339" i="99" s="1"/>
  <c r="V359" i="99"/>
  <c r="R440" i="99"/>
  <c r="S375" i="99"/>
  <c r="BT405" i="99"/>
  <c r="BP361" i="99"/>
  <c r="BP434" i="99"/>
  <c r="BK361" i="99"/>
  <c r="Z434" i="99"/>
  <c r="BB434" i="99"/>
  <c r="BH442" i="99"/>
  <c r="BD349" i="99"/>
  <c r="BA405" i="99"/>
  <c r="AW361" i="99"/>
  <c r="AT442" i="99"/>
  <c r="AQ397" i="99"/>
  <c r="AN385" i="99"/>
  <c r="AJ405" i="99"/>
  <c r="AG405" i="99"/>
  <c r="AD385" i="99"/>
  <c r="Z377" i="99"/>
  <c r="W377" i="99"/>
  <c r="T349" i="99"/>
  <c r="BW349" i="99"/>
  <c r="BV361" i="99"/>
  <c r="BQ347" i="99"/>
  <c r="BA383" i="99"/>
  <c r="AN403" i="99"/>
  <c r="Z383" i="99"/>
  <c r="BU375" i="99"/>
  <c r="BJ395" i="99"/>
  <c r="AX432" i="99"/>
  <c r="AR383" i="99"/>
  <c r="AP395" i="99"/>
  <c r="AL403" i="99"/>
  <c r="AL432" i="99"/>
  <c r="AI395" i="99"/>
  <c r="AD440" i="99"/>
  <c r="AB347" i="99"/>
  <c r="Y367" i="99"/>
  <c r="W347" i="99"/>
  <c r="T375" i="99"/>
  <c r="S367" i="99"/>
  <c r="BU440" i="99"/>
  <c r="BH367" i="99"/>
  <c r="BC383" i="99"/>
  <c r="BA440" i="99"/>
  <c r="AW440" i="99"/>
  <c r="AT440" i="99"/>
  <c r="AP440" i="99"/>
  <c r="AN347" i="99"/>
  <c r="AL395" i="99"/>
  <c r="Z432" i="99"/>
  <c r="AI383" i="99"/>
  <c r="AG440" i="99"/>
  <c r="AD395" i="99"/>
  <c r="AA359" i="99"/>
  <c r="W367" i="99"/>
  <c r="U347" i="99"/>
  <c r="BX375" i="99"/>
  <c r="T180" i="99"/>
  <c r="T188" i="99" s="1"/>
  <c r="T331" i="99" s="1"/>
  <c r="T341" i="99" s="1"/>
  <c r="BU367" i="99"/>
  <c r="BT432" i="99"/>
  <c r="BO395" i="99"/>
  <c r="BN440" i="99"/>
  <c r="BK359" i="99"/>
  <c r="BJ383" i="99"/>
  <c r="BI432" i="99"/>
  <c r="BE403" i="99"/>
  <c r="BC367" i="99"/>
  <c r="BA347" i="99"/>
  <c r="AY347" i="99"/>
  <c r="AV403" i="99"/>
  <c r="AT395" i="99"/>
  <c r="AR375" i="99"/>
  <c r="AP383" i="99"/>
  <c r="AM395" i="99"/>
  <c r="W432" i="99"/>
  <c r="AK403" i="99"/>
  <c r="AH359" i="99"/>
  <c r="AF375" i="99"/>
  <c r="AD347" i="99"/>
  <c r="AA383" i="99"/>
  <c r="Y347" i="99"/>
  <c r="W440" i="99"/>
  <c r="S403" i="99"/>
  <c r="BU361" i="99"/>
  <c r="BU434" i="99"/>
  <c r="BQ349" i="99"/>
  <c r="BN369" i="99"/>
  <c r="BK397" i="99"/>
  <c r="AA434" i="99"/>
  <c r="BD434" i="99"/>
  <c r="BG405" i="99"/>
  <c r="BD385" i="99"/>
  <c r="AZ442" i="99"/>
  <c r="AW442" i="99"/>
  <c r="AT349" i="99"/>
  <c r="AP405" i="99"/>
  <c r="AM369" i="99"/>
  <c r="AJ377" i="99"/>
  <c r="AF397" i="99"/>
  <c r="AC385" i="99"/>
  <c r="Y405" i="99"/>
  <c r="W442" i="99"/>
  <c r="S397" i="99"/>
  <c r="BV359" i="99"/>
  <c r="BX403" i="99"/>
  <c r="BU395" i="99"/>
  <c r="BD383" i="99"/>
  <c r="AI432" i="99"/>
  <c r="AZ359" i="99"/>
  <c r="BL347" i="99"/>
  <c r="AR367" i="99"/>
  <c r="T440" i="99"/>
  <c r="BW367" i="99"/>
  <c r="BV432" i="99"/>
  <c r="BS403" i="99"/>
  <c r="BP395" i="99"/>
  <c r="BN367" i="99"/>
  <c r="BL440" i="99"/>
  <c r="BK432" i="99"/>
  <c r="BG383" i="99"/>
  <c r="BE367" i="99"/>
  <c r="BC403" i="99"/>
  <c r="BA403" i="99"/>
  <c r="AX359" i="99"/>
  <c r="AV395" i="99"/>
  <c r="AT403" i="99"/>
  <c r="AR403" i="99"/>
  <c r="AP367" i="99"/>
  <c r="AO432" i="99"/>
  <c r="AF432" i="99"/>
  <c r="AK375" i="99"/>
  <c r="AI440" i="99"/>
  <c r="AF383" i="99"/>
  <c r="AD367" i="99"/>
  <c r="Z359" i="99"/>
  <c r="X359" i="99"/>
  <c r="U359" i="99"/>
  <c r="R367" i="99"/>
  <c r="BV397" i="99"/>
  <c r="BS397" i="99"/>
  <c r="BQ442" i="99"/>
  <c r="BN442" i="99"/>
  <c r="BK377" i="99"/>
  <c r="AH434" i="99"/>
  <c r="AT434" i="99"/>
  <c r="BG369" i="99"/>
  <c r="BD369" i="99"/>
  <c r="AZ349" i="99"/>
  <c r="AW397" i="99"/>
  <c r="AT385" i="99"/>
  <c r="AP385" i="99"/>
  <c r="AL361" i="99"/>
  <c r="AJ349" i="99"/>
  <c r="AF385" i="99"/>
  <c r="AC369" i="99"/>
  <c r="Z369" i="99"/>
  <c r="V385" i="99"/>
  <c r="T385" i="99"/>
  <c r="BW383" i="99"/>
  <c r="AY367" i="99"/>
  <c r="BR432" i="99"/>
  <c r="BQ367" i="99"/>
  <c r="Y375" i="99"/>
  <c r="BU347" i="99"/>
  <c r="BR375" i="99"/>
  <c r="BP347" i="99"/>
  <c r="BN375" i="99"/>
  <c r="BL383" i="99"/>
  <c r="BJ375" i="99"/>
  <c r="BG440" i="99"/>
  <c r="BE383" i="99"/>
  <c r="BC347" i="99"/>
  <c r="BA375" i="99"/>
  <c r="AX403" i="99"/>
  <c r="AV383" i="99"/>
  <c r="AT375" i="99"/>
  <c r="AR440" i="99"/>
  <c r="AQ432" i="99"/>
  <c r="AM347" i="99"/>
  <c r="AH432" i="99"/>
  <c r="AK440" i="99"/>
  <c r="AI367" i="99"/>
  <c r="AF403" i="99"/>
  <c r="AC359" i="99"/>
  <c r="AA403" i="99"/>
  <c r="Y383" i="99"/>
  <c r="V440" i="99"/>
  <c r="S440" i="99"/>
  <c r="BV369" i="99"/>
  <c r="BS349" i="99"/>
  <c r="BR434" i="99"/>
  <c r="BN349" i="99"/>
  <c r="BK442" i="99"/>
  <c r="BJ385" i="99"/>
  <c r="X434" i="99"/>
  <c r="BG349" i="99"/>
  <c r="BC405" i="99"/>
  <c r="AY361" i="99"/>
  <c r="AW349" i="99"/>
  <c r="AS377" i="99"/>
  <c r="AP377" i="99"/>
  <c r="AM442" i="99"/>
  <c r="AI369" i="99"/>
  <c r="AF377" i="99"/>
  <c r="AC405" i="99"/>
  <c r="Z385" i="99"/>
  <c r="V397" i="99"/>
  <c r="R397" i="99"/>
  <c r="BY432" i="99"/>
  <c r="BN347" i="99"/>
  <c r="BX347" i="99"/>
  <c r="BN395" i="99"/>
  <c r="BD395" i="99"/>
  <c r="AW359" i="99"/>
  <c r="AO347" i="99"/>
  <c r="AI375" i="99"/>
  <c r="R375" i="99"/>
  <c r="BJ440" i="99"/>
  <c r="AW347" i="99"/>
  <c r="AC432" i="99"/>
  <c r="AG383" i="99"/>
  <c r="AB403" i="99"/>
  <c r="BJ347" i="99"/>
  <c r="BU403" i="99"/>
  <c r="BR367" i="99"/>
  <c r="BL375" i="99"/>
  <c r="BJ403" i="99"/>
  <c r="BC375" i="99"/>
  <c r="AV367" i="99"/>
  <c r="AS432" i="99"/>
  <c r="AL375" i="99"/>
  <c r="AD375" i="99"/>
  <c r="Y440" i="99"/>
  <c r="BT395" i="99"/>
  <c r="BR440" i="99"/>
  <c r="BP403" i="99"/>
  <c r="BM359" i="99"/>
  <c r="BM432" i="99"/>
  <c r="BH359" i="99"/>
  <c r="BG375" i="99"/>
  <c r="BE375" i="99"/>
  <c r="BC440" i="99"/>
  <c r="AY359" i="99"/>
  <c r="AX383" i="99"/>
  <c r="AV375" i="99"/>
  <c r="AS359" i="99"/>
  <c r="AR347" i="99"/>
  <c r="AO383" i="99"/>
  <c r="AM403" i="99"/>
  <c r="T432" i="99"/>
  <c r="AK395" i="99"/>
  <c r="AH375" i="99"/>
  <c r="AF440" i="99"/>
  <c r="AC440" i="99"/>
  <c r="AA375" i="99"/>
  <c r="Y395" i="99"/>
  <c r="V383" i="99"/>
  <c r="R359" i="99"/>
  <c r="BV405" i="99"/>
  <c r="BS385" i="99"/>
  <c r="BO397" i="99"/>
  <c r="BM405" i="99"/>
  <c r="BL434" i="99"/>
  <c r="BF434" i="99"/>
  <c r="BJ442" i="99"/>
  <c r="BF369" i="99"/>
  <c r="BC397" i="99"/>
  <c r="AX361" i="99"/>
  <c r="AV385" i="99"/>
  <c r="AS442" i="99"/>
  <c r="AO397" i="99"/>
  <c r="AL369" i="99"/>
  <c r="AI397" i="99"/>
  <c r="AD405" i="99"/>
  <c r="AB369" i="99"/>
  <c r="Y369" i="99"/>
  <c r="V377" i="99"/>
  <c r="U385" i="99"/>
  <c r="BS383" i="99"/>
  <c r="BP383" i="99"/>
  <c r="BG395" i="99"/>
  <c r="BB432" i="99"/>
  <c r="AT347" i="99"/>
  <c r="AM383" i="99"/>
  <c r="AK383" i="99"/>
  <c r="AE359" i="99"/>
  <c r="AA440" i="99"/>
  <c r="V367" i="99"/>
  <c r="BX349" i="99"/>
  <c r="BX397" i="99"/>
  <c r="BT403" i="99"/>
  <c r="BR395" i="99"/>
  <c r="BP440" i="99"/>
  <c r="BO432" i="99"/>
  <c r="BK403" i="99"/>
  <c r="BI440" i="99"/>
  <c r="BG367" i="99"/>
  <c r="BE395" i="99"/>
  <c r="BD432" i="99"/>
  <c r="AZ347" i="99"/>
  <c r="AX367" i="99"/>
  <c r="AV440" i="99"/>
  <c r="AT383" i="99"/>
  <c r="AQ375" i="99"/>
  <c r="AO367" i="99"/>
  <c r="AM375" i="99"/>
  <c r="AA432" i="99"/>
  <c r="AK367" i="99"/>
  <c r="AH403" i="99"/>
  <c r="AF367" i="99"/>
  <c r="AB359" i="99"/>
  <c r="AA347" i="99"/>
  <c r="X375" i="99"/>
  <c r="V375" i="99"/>
  <c r="R395" i="99"/>
  <c r="BV442" i="99"/>
  <c r="BS442" i="99"/>
  <c r="BP442" i="99"/>
  <c r="BM349" i="99"/>
  <c r="R434" i="99"/>
  <c r="BJ349" i="99"/>
  <c r="BI442" i="99"/>
  <c r="BF442" i="99"/>
  <c r="BB361" i="99"/>
  <c r="AY377" i="99"/>
  <c r="AV369" i="99"/>
  <c r="AS349" i="99"/>
  <c r="AO405" i="99"/>
  <c r="AL397" i="99"/>
  <c r="AI349" i="99"/>
  <c r="AE405" i="99"/>
  <c r="AB442" i="99"/>
  <c r="X361" i="99"/>
  <c r="R369" i="99"/>
  <c r="U397" i="99"/>
  <c r="BH403" i="99"/>
  <c r="AO359" i="99"/>
  <c r="BR359" i="99"/>
  <c r="BL367" i="99"/>
  <c r="BF403" i="99"/>
  <c r="AY375" i="99"/>
  <c r="AT367" i="99"/>
  <c r="AN395" i="99"/>
  <c r="AG375" i="99"/>
  <c r="BE347" i="99"/>
  <c r="BX367" i="99"/>
  <c r="BU359" i="99"/>
  <c r="BT347" i="99"/>
  <c r="BR347" i="99"/>
  <c r="BP367" i="99"/>
  <c r="BN383" i="99"/>
  <c r="BK383" i="99"/>
  <c r="BI367" i="99"/>
  <c r="BG403" i="99"/>
  <c r="BD359" i="99"/>
  <c r="BB347" i="99"/>
  <c r="AZ440" i="99"/>
  <c r="AX347" i="99"/>
  <c r="AU359" i="99"/>
  <c r="AU432" i="99"/>
  <c r="AQ403" i="99"/>
  <c r="AO440" i="99"/>
  <c r="AM367" i="99"/>
  <c r="AJ432" i="99"/>
  <c r="AK347" i="99"/>
  <c r="AH347" i="99"/>
  <c r="AF395" i="99"/>
  <c r="AC375" i="99"/>
  <c r="AA367" i="99"/>
  <c r="X403" i="99"/>
  <c r="V347" i="99"/>
  <c r="T359" i="99"/>
  <c r="BP432" i="99"/>
  <c r="W383" i="99"/>
  <c r="BH375" i="99"/>
  <c r="BV367" i="99"/>
  <c r="BB440" i="99"/>
  <c r="V403" i="99"/>
  <c r="BN403" i="99"/>
  <c r="AZ432" i="99"/>
  <c r="BX395" i="99"/>
  <c r="BS359" i="99"/>
  <c r="BO359" i="99"/>
  <c r="BM347" i="99"/>
  <c r="BK347" i="99"/>
  <c r="BI403" i="99"/>
  <c r="BG347" i="99"/>
  <c r="BE440" i="99"/>
  <c r="AZ375" i="99"/>
  <c r="AY432" i="99"/>
  <c r="AS395" i="99"/>
  <c r="AP359" i="99"/>
  <c r="AO395" i="99"/>
  <c r="AL359" i="99"/>
  <c r="AE432" i="99"/>
  <c r="AJ359" i="99"/>
  <c r="AH367" i="99"/>
  <c r="AF347" i="99"/>
  <c r="AB395" i="99"/>
  <c r="AA395" i="99"/>
  <c r="X440" i="99"/>
  <c r="R383" i="99"/>
  <c r="BV375" i="99"/>
  <c r="BT367" i="99"/>
  <c r="BQ395" i="99"/>
  <c r="BQ432" i="99"/>
  <c r="BM403" i="99"/>
  <c r="BK395" i="99"/>
  <c r="BI375" i="99"/>
  <c r="BF359" i="99"/>
  <c r="BF432" i="99"/>
  <c r="BB403" i="99"/>
  <c r="AZ395" i="99"/>
  <c r="AW432" i="99"/>
  <c r="AS347" i="99"/>
  <c r="AQ383" i="99"/>
  <c r="AN359" i="99"/>
  <c r="AM440" i="99"/>
  <c r="S432" i="99"/>
  <c r="AJ347" i="99"/>
  <c r="AG359" i="99"/>
  <c r="AD403" i="99"/>
  <c r="AC383" i="99"/>
  <c r="Y359" i="99"/>
  <c r="X383" i="99"/>
  <c r="V395" i="99"/>
  <c r="S395" i="99"/>
  <c r="BT397" i="99"/>
  <c r="BS377" i="99"/>
  <c r="BP369" i="99"/>
  <c r="BM385" i="99"/>
  <c r="BJ377" i="99"/>
  <c r="BJ397" i="99"/>
  <c r="BI385" i="99"/>
  <c r="BF349" i="99"/>
  <c r="BB397" i="99"/>
  <c r="AY369" i="99"/>
  <c r="AV442" i="99"/>
  <c r="AR385" i="99"/>
  <c r="AN361" i="99"/>
  <c r="AL377" i="99"/>
  <c r="AH349" i="99"/>
  <c r="AE397" i="99"/>
  <c r="AB405" i="99"/>
  <c r="X405" i="99"/>
  <c r="U405" i="99"/>
  <c r="S385" i="99"/>
  <c r="BF347" i="99"/>
  <c r="AQ359" i="99"/>
  <c r="T367" i="99"/>
  <c r="BB359" i="99"/>
  <c r="BW347" i="99"/>
  <c r="BR383" i="99"/>
  <c r="AV347" i="99"/>
  <c r="AX395" i="99"/>
  <c r="BX383" i="99"/>
  <c r="BV395" i="99"/>
  <c r="BT383" i="99"/>
  <c r="BQ359" i="99"/>
  <c r="BP375" i="99"/>
  <c r="BM395" i="99"/>
  <c r="BK440" i="99"/>
  <c r="BI347" i="99"/>
  <c r="BH432" i="99"/>
  <c r="BD367" i="99"/>
  <c r="BB383" i="99"/>
  <c r="AZ403" i="99"/>
  <c r="AX375" i="99"/>
  <c r="AU383" i="99"/>
  <c r="AS440" i="99"/>
  <c r="AQ367" i="99"/>
  <c r="AP432" i="99"/>
  <c r="AN432" i="99"/>
  <c r="U432" i="99"/>
  <c r="AJ367" i="99"/>
  <c r="AH395" i="99"/>
  <c r="AE347" i="99"/>
  <c r="AC403" i="99"/>
  <c r="Z347" i="99"/>
  <c r="X367" i="99"/>
  <c r="S359" i="99"/>
  <c r="U440" i="99"/>
  <c r="BU442" i="99"/>
  <c r="BT434" i="99"/>
  <c r="BO361" i="99"/>
  <c r="BM442" i="99"/>
  <c r="AI434" i="99"/>
  <c r="AS434" i="99"/>
  <c r="BI369" i="99"/>
  <c r="BF377" i="99"/>
  <c r="BB369" i="99"/>
  <c r="AY442" i="99"/>
  <c r="AV349" i="99"/>
  <c r="AR369" i="99"/>
  <c r="AO442" i="99"/>
  <c r="AL349" i="99"/>
  <c r="AH385" i="99"/>
  <c r="AE349" i="99"/>
  <c r="AA361" i="99"/>
  <c r="X385" i="99"/>
  <c r="T377" i="99"/>
  <c r="U369" i="99"/>
  <c r="BS395" i="99"/>
  <c r="BV383" i="99"/>
  <c r="BT375" i="99"/>
  <c r="BR403" i="99"/>
  <c r="BO383" i="99"/>
  <c r="BM440" i="99"/>
  <c r="BK375" i="99"/>
  <c r="BI383" i="99"/>
  <c r="BF367" i="99"/>
  <c r="BC359" i="99"/>
  <c r="BA359" i="99"/>
  <c r="AZ367" i="99"/>
  <c r="AX440" i="99"/>
  <c r="AU375" i="99"/>
  <c r="AS375" i="99"/>
  <c r="AQ347" i="99"/>
  <c r="AO375" i="99"/>
  <c r="AD432" i="99"/>
  <c r="V432" i="99"/>
  <c r="AJ403" i="99"/>
  <c r="AH440" i="99"/>
  <c r="AE403" i="99"/>
  <c r="AC395" i="99"/>
  <c r="Z367" i="99"/>
  <c r="X395" i="99"/>
  <c r="U367" i="99"/>
  <c r="U383" i="99"/>
  <c r="BT440" i="99"/>
  <c r="BO367" i="99"/>
  <c r="BE359" i="99"/>
  <c r="AW395" i="99"/>
  <c r="AB432" i="99"/>
  <c r="X347" i="99"/>
  <c r="G98" i="34"/>
  <c r="BN434" i="99"/>
  <c r="W434" i="99"/>
  <c r="AN434" i="99"/>
  <c r="AV434" i="99"/>
  <c r="BH349" i="99"/>
  <c r="BF405" i="99"/>
  <c r="BC385" i="99"/>
  <c r="BA442" i="99"/>
  <c r="AX405" i="99"/>
  <c r="AV405" i="99"/>
  <c r="AS397" i="99"/>
  <c r="AQ442" i="99"/>
  <c r="AN405" i="99"/>
  <c r="AL405" i="99"/>
  <c r="AI405" i="99"/>
  <c r="AG349" i="99"/>
  <c r="AE377" i="99"/>
  <c r="AB385" i="99"/>
  <c r="Z405" i="99"/>
  <c r="W405" i="99"/>
  <c r="S377" i="99"/>
  <c r="S442" i="99"/>
  <c r="BV434" i="99"/>
  <c r="BR377" i="99"/>
  <c r="BP385" i="99"/>
  <c r="BM361" i="99"/>
  <c r="BL405" i="99"/>
  <c r="BJ405" i="99"/>
  <c r="AX434" i="99"/>
  <c r="BK434" i="99"/>
  <c r="BH405" i="99"/>
  <c r="BE377" i="99"/>
  <c r="BC442" i="99"/>
  <c r="AZ397" i="99"/>
  <c r="AX377" i="99"/>
  <c r="AT361" i="99"/>
  <c r="AR361" i="99"/>
  <c r="AP397" i="99"/>
  <c r="AM361" i="99"/>
  <c r="AK397" i="99"/>
  <c r="AI377" i="99"/>
  <c r="AF369" i="99"/>
  <c r="AD369" i="99"/>
  <c r="AA405" i="99"/>
  <c r="Y442" i="99"/>
  <c r="V349" i="99"/>
  <c r="R361" i="99"/>
  <c r="BU349" i="99"/>
  <c r="BQ397" i="99"/>
  <c r="BP349" i="99"/>
  <c r="BN377" i="99"/>
  <c r="BM434" i="99"/>
  <c r="BC434" i="99"/>
  <c r="T434" i="99"/>
  <c r="BI397" i="99"/>
  <c r="BG442" i="99"/>
  <c r="BE442" i="99"/>
  <c r="BB349" i="99"/>
  <c r="AZ405" i="99"/>
  <c r="AW369" i="99"/>
  <c r="AU349" i="99"/>
  <c r="AR377" i="99"/>
  <c r="AP442" i="99"/>
  <c r="AN442" i="99"/>
  <c r="AK369" i="99"/>
  <c r="AG361" i="99"/>
  <c r="AF442" i="99"/>
  <c r="AB361" i="99"/>
  <c r="AA442" i="99"/>
  <c r="Y349" i="99"/>
  <c r="V369" i="99"/>
  <c r="R377" i="99"/>
  <c r="BW377" i="99"/>
  <c r="BV377" i="99"/>
  <c r="BT385" i="99"/>
  <c r="BR397" i="99"/>
  <c r="BP377" i="99"/>
  <c r="BO434" i="99"/>
  <c r="BK349" i="99"/>
  <c r="AM434" i="99"/>
  <c r="AY434" i="99"/>
  <c r="AZ434" i="99"/>
  <c r="BG397" i="99"/>
  <c r="BE349" i="99"/>
  <c r="BB385" i="99"/>
  <c r="AZ377" i="99"/>
  <c r="AW385" i="99"/>
  <c r="AU385" i="99"/>
  <c r="AR442" i="99"/>
  <c r="AP349" i="99"/>
  <c r="AM377" i="99"/>
  <c r="AK385" i="99"/>
  <c r="AH377" i="99"/>
  <c r="AF349" i="99"/>
  <c r="AC377" i="99"/>
  <c r="AA369" i="99"/>
  <c r="X369" i="99"/>
  <c r="V405" i="99"/>
  <c r="T361" i="99"/>
  <c r="BY434" i="99"/>
  <c r="S180" i="99"/>
  <c r="S188" i="99" s="1"/>
  <c r="S200" i="99" s="1"/>
  <c r="BV349" i="99"/>
  <c r="BS361" i="99"/>
  <c r="BQ361" i="99"/>
  <c r="BP405" i="99"/>
  <c r="BM377" i="99"/>
  <c r="BK369" i="99"/>
  <c r="AL434" i="99"/>
  <c r="AW434" i="99"/>
  <c r="AB434" i="99"/>
  <c r="BG377" i="99"/>
  <c r="BD361" i="99"/>
  <c r="BB405" i="99"/>
  <c r="AZ369" i="99"/>
  <c r="AW377" i="99"/>
  <c r="AU377" i="99"/>
  <c r="AQ361" i="99"/>
  <c r="AO361" i="99"/>
  <c r="AM349" i="99"/>
  <c r="AJ361" i="99"/>
  <c r="AH442" i="99"/>
  <c r="AF405" i="99"/>
  <c r="AC442" i="99"/>
  <c r="AA349" i="99"/>
  <c r="X377" i="99"/>
  <c r="U361" i="99"/>
  <c r="U442" i="99"/>
  <c r="BW405" i="99"/>
  <c r="N74" i="153"/>
  <c r="BN139" i="153"/>
  <c r="J74" i="153"/>
  <c r="J139" i="153" s="1"/>
  <c r="R139" i="153"/>
  <c r="K139" i="154"/>
  <c r="K77" i="154"/>
  <c r="K142" i="154" s="1"/>
  <c r="BB139" i="153"/>
  <c r="M74" i="153"/>
  <c r="M139" i="153" s="1"/>
  <c r="K74" i="153"/>
  <c r="K139" i="153" s="1"/>
  <c r="AD139" i="153"/>
  <c r="J139" i="154"/>
  <c r="J77" i="154"/>
  <c r="J142" i="154" s="1"/>
  <c r="P74" i="154"/>
  <c r="N139" i="154"/>
  <c r="P139" i="154" s="1"/>
  <c r="L74" i="153"/>
  <c r="L139" i="153" s="1"/>
  <c r="AP139" i="153"/>
  <c r="CB122" i="105"/>
  <c r="BO431" i="155"/>
  <c r="BO437" i="155" s="1"/>
  <c r="BO74" i="155" s="1"/>
  <c r="BO139" i="155" s="1"/>
  <c r="BX431" i="155"/>
  <c r="BX437" i="155" s="1"/>
  <c r="BX74" i="155" s="1"/>
  <c r="BX139" i="155" s="1"/>
  <c r="BN431" i="155"/>
  <c r="BN437" i="155" s="1"/>
  <c r="BN74" i="155" s="1"/>
  <c r="BF431" i="155"/>
  <c r="BF437" i="155" s="1"/>
  <c r="BF74" i="155" s="1"/>
  <c r="BF139" i="155" s="1"/>
  <c r="AJ431" i="155"/>
  <c r="AJ437" i="155" s="1"/>
  <c r="AJ74" i="155" s="1"/>
  <c r="AJ139" i="155" s="1"/>
  <c r="S431" i="155"/>
  <c r="S437" i="155" s="1"/>
  <c r="S74" i="155" s="1"/>
  <c r="BI431" i="155"/>
  <c r="BI437" i="155" s="1"/>
  <c r="BI74" i="155" s="1"/>
  <c r="BI139" i="155" s="1"/>
  <c r="AB431" i="155"/>
  <c r="AB437" i="155" s="1"/>
  <c r="AB74" i="155" s="1"/>
  <c r="AB139" i="155" s="1"/>
  <c r="AZ431" i="155"/>
  <c r="AZ437" i="155" s="1"/>
  <c r="AZ74" i="155" s="1"/>
  <c r="AZ139" i="155" s="1"/>
  <c r="BK431" i="155"/>
  <c r="BK437" i="155" s="1"/>
  <c r="BK74" i="155" s="1"/>
  <c r="BK139" i="155" s="1"/>
  <c r="AK431" i="155"/>
  <c r="AK437" i="155" s="1"/>
  <c r="AK74" i="155" s="1"/>
  <c r="AK139" i="155" s="1"/>
  <c r="AH431" i="155"/>
  <c r="AH437" i="155" s="1"/>
  <c r="AH74" i="155" s="1"/>
  <c r="AH139" i="155" s="1"/>
  <c r="AY431" i="155"/>
  <c r="AY437" i="155" s="1"/>
  <c r="AY74" i="155" s="1"/>
  <c r="AY139" i="155" s="1"/>
  <c r="AO431" i="155"/>
  <c r="AO437" i="155" s="1"/>
  <c r="AO74" i="155" s="1"/>
  <c r="AO139" i="155" s="1"/>
  <c r="U431" i="155"/>
  <c r="U437" i="155" s="1"/>
  <c r="U74" i="155" s="1"/>
  <c r="X431" i="155"/>
  <c r="X437" i="155" s="1"/>
  <c r="X74" i="155" s="1"/>
  <c r="X139" i="155" s="1"/>
  <c r="AR431" i="155"/>
  <c r="AR437" i="155" s="1"/>
  <c r="AR74" i="155" s="1"/>
  <c r="AR139" i="155" s="1"/>
  <c r="AG431" i="155"/>
  <c r="AG437" i="155" s="1"/>
  <c r="AG74" i="155" s="1"/>
  <c r="AG139" i="155" s="1"/>
  <c r="BR431" i="155"/>
  <c r="BR437" i="155" s="1"/>
  <c r="BR74" i="155" s="1"/>
  <c r="BR139" i="155" s="1"/>
  <c r="AS431" i="155"/>
  <c r="AS437" i="155" s="1"/>
  <c r="AS74" i="155" s="1"/>
  <c r="AS139" i="155" s="1"/>
  <c r="BE431" i="155"/>
  <c r="BE437" i="155" s="1"/>
  <c r="BE74" i="155" s="1"/>
  <c r="BE139" i="155" s="1"/>
  <c r="AM431" i="155"/>
  <c r="AM437" i="155" s="1"/>
  <c r="AM74" i="155" s="1"/>
  <c r="AM139" i="155" s="1"/>
  <c r="AV431" i="155"/>
  <c r="AV437" i="155" s="1"/>
  <c r="AV74" i="155" s="1"/>
  <c r="AV139" i="155" s="1"/>
  <c r="BB431" i="155"/>
  <c r="BB437" i="155" s="1"/>
  <c r="BB74" i="155" s="1"/>
  <c r="BL431" i="155"/>
  <c r="BL437" i="155" s="1"/>
  <c r="BL74" i="155" s="1"/>
  <c r="BL139" i="155" s="1"/>
  <c r="Y431" i="155"/>
  <c r="Y437" i="155" s="1"/>
  <c r="Y74" i="155" s="1"/>
  <c r="Y139" i="155" s="1"/>
  <c r="V431" i="155"/>
  <c r="V437" i="155" s="1"/>
  <c r="V74" i="155" s="1"/>
  <c r="V139" i="155" s="1"/>
  <c r="BW431" i="155"/>
  <c r="BW437" i="155" s="1"/>
  <c r="BW74" i="155" s="1"/>
  <c r="BW139" i="155" s="1"/>
  <c r="BQ431" i="155"/>
  <c r="BQ437" i="155" s="1"/>
  <c r="BQ74" i="155" s="1"/>
  <c r="BQ139" i="155" s="1"/>
  <c r="W431" i="155"/>
  <c r="W437" i="155" s="1"/>
  <c r="W74" i="155" s="1"/>
  <c r="W139" i="155" s="1"/>
  <c r="AP431" i="155"/>
  <c r="AP437" i="155" s="1"/>
  <c r="AP74" i="155" s="1"/>
  <c r="BH431" i="155"/>
  <c r="BH437" i="155" s="1"/>
  <c r="BH74" i="155" s="1"/>
  <c r="BH139" i="155" s="1"/>
  <c r="R431" i="155"/>
  <c r="R437" i="155" s="1"/>
  <c r="R74" i="155" s="1"/>
  <c r="BV431" i="155"/>
  <c r="BV437" i="155" s="1"/>
  <c r="BV74" i="155" s="1"/>
  <c r="BV139" i="155" s="1"/>
  <c r="AU431" i="155"/>
  <c r="AU437" i="155" s="1"/>
  <c r="AU74" i="155" s="1"/>
  <c r="AU139" i="155" s="1"/>
  <c r="Z431" i="155"/>
  <c r="Z437" i="155" s="1"/>
  <c r="Z74" i="155" s="1"/>
  <c r="Z139" i="155" s="1"/>
  <c r="AL431" i="155"/>
  <c r="AL437" i="155" s="1"/>
  <c r="AL74" i="155" s="1"/>
  <c r="AL139" i="155" s="1"/>
  <c r="BD431" i="155"/>
  <c r="BD437" i="155" s="1"/>
  <c r="BD74" i="155" s="1"/>
  <c r="BD139" i="155" s="1"/>
  <c r="AX431" i="155"/>
  <c r="AX437" i="155" s="1"/>
  <c r="AX74" i="155" s="1"/>
  <c r="AX139" i="155" s="1"/>
  <c r="BT431" i="155"/>
  <c r="BT437" i="155" s="1"/>
  <c r="BT74" i="155" s="1"/>
  <c r="BT139" i="155" s="1"/>
  <c r="BA431" i="155"/>
  <c r="BA437" i="155" s="1"/>
  <c r="BA74" i="155" s="1"/>
  <c r="BA139" i="155" s="1"/>
  <c r="BS431" i="155"/>
  <c r="BS437" i="155" s="1"/>
  <c r="BS74" i="155" s="1"/>
  <c r="BS139" i="155" s="1"/>
  <c r="AE431" i="155"/>
  <c r="AE437" i="155" s="1"/>
  <c r="AE74" i="155" s="1"/>
  <c r="AE139" i="155" s="1"/>
  <c r="AW431" i="155"/>
  <c r="AW437" i="155" s="1"/>
  <c r="AW74" i="155" s="1"/>
  <c r="AW139" i="155" s="1"/>
  <c r="BP431" i="155"/>
  <c r="BP437" i="155" s="1"/>
  <c r="BP74" i="155" s="1"/>
  <c r="BP139" i="155" s="1"/>
  <c r="BM431" i="155"/>
  <c r="BM437" i="155" s="1"/>
  <c r="BM74" i="155" s="1"/>
  <c r="BM139" i="155" s="1"/>
  <c r="BJ431" i="155"/>
  <c r="BJ437" i="155" s="1"/>
  <c r="BJ74" i="155" s="1"/>
  <c r="BJ139" i="155" s="1"/>
  <c r="T431" i="155"/>
  <c r="T437" i="155" s="1"/>
  <c r="T74" i="155" s="1"/>
  <c r="BY431" i="155"/>
  <c r="BY437" i="155" s="1"/>
  <c r="BY74" i="155" s="1"/>
  <c r="BY139" i="155" s="1"/>
  <c r="S70" i="105"/>
  <c r="N35" i="151" s="1"/>
  <c r="AQ431" i="155"/>
  <c r="AQ437" i="155" s="1"/>
  <c r="AQ74" i="155" s="1"/>
  <c r="AQ139" i="155" s="1"/>
  <c r="AD431" i="155"/>
  <c r="AD437" i="155" s="1"/>
  <c r="AD74" i="155" s="1"/>
  <c r="Q70" i="105"/>
  <c r="L35" i="151" s="1"/>
  <c r="P70" i="105"/>
  <c r="K35" i="151" s="1"/>
  <c r="AC431" i="155"/>
  <c r="AC437" i="155" s="1"/>
  <c r="AC74" i="155" s="1"/>
  <c r="AC139" i="155" s="1"/>
  <c r="AF431" i="155"/>
  <c r="AF437" i="155" s="1"/>
  <c r="AF74" i="155" s="1"/>
  <c r="AF139" i="155" s="1"/>
  <c r="BC431" i="155"/>
  <c r="BC437" i="155" s="1"/>
  <c r="BC74" i="155" s="1"/>
  <c r="BC139" i="155" s="1"/>
  <c r="BG431" i="155"/>
  <c r="BG437" i="155" s="1"/>
  <c r="BG74" i="155" s="1"/>
  <c r="BG139" i="155" s="1"/>
  <c r="AA431" i="155"/>
  <c r="AA437" i="155" s="1"/>
  <c r="AA74" i="155" s="1"/>
  <c r="AA139" i="155" s="1"/>
  <c r="AT431" i="155"/>
  <c r="AT437" i="155" s="1"/>
  <c r="AT74" i="155" s="1"/>
  <c r="AT139" i="155" s="1"/>
  <c r="BU431" i="155"/>
  <c r="BU437" i="155" s="1"/>
  <c r="BU74" i="155" s="1"/>
  <c r="BU139" i="155" s="1"/>
  <c r="AI431" i="155"/>
  <c r="AI437" i="155" s="1"/>
  <c r="AI74" i="155" s="1"/>
  <c r="AI139" i="155" s="1"/>
  <c r="O70" i="105"/>
  <c r="J35" i="151" s="1"/>
  <c r="J135" i="99"/>
  <c r="J135" i="104"/>
  <c r="J135" i="103"/>
  <c r="R70" i="105"/>
  <c r="M35" i="151" s="1"/>
  <c r="P127" i="105"/>
  <c r="Q127" i="105"/>
  <c r="R127" i="105"/>
  <c r="S127" i="105"/>
  <c r="M135" i="104"/>
  <c r="M135" i="103"/>
  <c r="M135" i="99"/>
  <c r="K135" i="104"/>
  <c r="K135" i="103"/>
  <c r="K135" i="99"/>
  <c r="L135" i="104"/>
  <c r="L135" i="103"/>
  <c r="L135" i="99"/>
  <c r="N135" i="104"/>
  <c r="P135" i="104" s="1"/>
  <c r="N135" i="103"/>
  <c r="P135" i="103" s="1"/>
  <c r="N135" i="99"/>
  <c r="P135" i="99" s="1"/>
  <c r="BX129" i="99"/>
  <c r="BL417" i="153"/>
  <c r="BL456" i="153" s="1" a="1"/>
  <c r="BL456" i="153" s="1"/>
  <c r="BU417" i="153"/>
  <c r="BU456" i="153" s="1" a="1"/>
  <c r="BU456" i="153" s="1"/>
  <c r="BV417" i="153"/>
  <c r="BV456" i="153" s="1" a="1"/>
  <c r="BV456" i="153" s="1"/>
  <c r="BR417" i="153"/>
  <c r="BR456" i="153" s="1" a="1"/>
  <c r="BR456" i="153" s="1"/>
  <c r="BS417" i="153"/>
  <c r="BS456" i="153" s="1" a="1"/>
  <c r="BS456" i="153" s="1"/>
  <c r="BQ417" i="153"/>
  <c r="BQ456" i="153" s="1" a="1"/>
  <c r="BQ456" i="153" s="1"/>
  <c r="BK417" i="153"/>
  <c r="BK456" i="153" s="1" a="1"/>
  <c r="BK456" i="153" s="1"/>
  <c r="BW417" i="153"/>
  <c r="BW456" i="153" s="1" a="1"/>
  <c r="BW456" i="153" s="1"/>
  <c r="BI274" i="153"/>
  <c r="BX417" i="153"/>
  <c r="BX456" i="153" s="1" a="1"/>
  <c r="BX456" i="153" s="1"/>
  <c r="BG416" i="153"/>
  <c r="BG455" i="153" s="1" a="1"/>
  <c r="BG455" i="153" s="1"/>
  <c r="BP417" i="153"/>
  <c r="BP456" i="153" s="1" a="1"/>
  <c r="BP456" i="153" s="1"/>
  <c r="BJ417" i="153"/>
  <c r="BJ456" i="153" s="1" a="1"/>
  <c r="BJ456" i="153" s="1"/>
  <c r="BU416" i="153"/>
  <c r="BU455" i="153" s="1" a="1"/>
  <c r="BU455" i="153" s="1"/>
  <c r="BY417" i="153"/>
  <c r="BY456" i="153" s="1" a="1"/>
  <c r="BY456" i="153" s="1"/>
  <c r="BO417" i="153"/>
  <c r="BO456" i="153" s="1" a="1"/>
  <c r="BO456" i="153" s="1"/>
  <c r="BM417" i="153"/>
  <c r="BM456" i="153" s="1" a="1"/>
  <c r="BM456" i="153" s="1"/>
  <c r="BN417" i="153"/>
  <c r="BN456" i="153" s="1" a="1"/>
  <c r="BN456" i="153" s="1"/>
  <c r="BI266" i="153"/>
  <c r="BT417" i="153"/>
  <c r="BT456" i="153" s="1" a="1"/>
  <c r="BT456" i="153" s="1"/>
  <c r="AX258" i="153"/>
  <c r="BF258" i="153"/>
  <c r="BT274" i="153"/>
  <c r="BB274" i="153"/>
  <c r="BV274" i="153"/>
  <c r="BE274" i="153"/>
  <c r="BY258" i="153"/>
  <c r="BD274" i="153"/>
  <c r="BA274" i="153"/>
  <c r="BS258" i="153"/>
  <c r="BX266" i="153"/>
  <c r="BC258" i="153"/>
  <c r="BW266" i="153"/>
  <c r="AZ274" i="153"/>
  <c r="BI258" i="153"/>
  <c r="AY266" i="153"/>
  <c r="BX378" i="99"/>
  <c r="BX370" i="99"/>
  <c r="BX350" i="99"/>
  <c r="BX406" i="99"/>
  <c r="BX386" i="99"/>
  <c r="BX443" i="99"/>
  <c r="BX398" i="99"/>
  <c r="AX302" i="153"/>
  <c r="BX368" i="99"/>
  <c r="BX376" i="99"/>
  <c r="AF179" i="99"/>
  <c r="AF187" i="99" s="1"/>
  <c r="AF330" i="99" s="1"/>
  <c r="AF340" i="99" s="1"/>
  <c r="BW360" i="99"/>
  <c r="AD179" i="99"/>
  <c r="AD187" i="99" s="1"/>
  <c r="AD330" i="99" s="1"/>
  <c r="AD340" i="99" s="1"/>
  <c r="AG179" i="99"/>
  <c r="AG187" i="99" s="1"/>
  <c r="AG330" i="99" s="1"/>
  <c r="AG340" i="99" s="1"/>
  <c r="BW362" i="99"/>
  <c r="BX384" i="99"/>
  <c r="BX396" i="99"/>
  <c r="BX348" i="99"/>
  <c r="AH179" i="99"/>
  <c r="AH187" i="99" s="1"/>
  <c r="AH330" i="99" s="1"/>
  <c r="AH340" i="99" s="1"/>
  <c r="X179" i="99"/>
  <c r="X187" i="99" s="1"/>
  <c r="X330" i="99" s="1"/>
  <c r="X340" i="99" s="1"/>
  <c r="AE179" i="99"/>
  <c r="AE187" i="99" s="1"/>
  <c r="AE199" i="99" s="1"/>
  <c r="W179" i="99"/>
  <c r="W187" i="99" s="1"/>
  <c r="W199" i="99" s="1"/>
  <c r="AC179" i="99"/>
  <c r="AC187" i="99" s="1"/>
  <c r="AC199" i="99" s="1"/>
  <c r="T179" i="99"/>
  <c r="T187" i="99" s="1"/>
  <c r="T330" i="99" s="1"/>
  <c r="T340" i="99" s="1"/>
  <c r="AB179" i="99"/>
  <c r="AB187" i="99" s="1"/>
  <c r="AB330" i="99" s="1"/>
  <c r="AB340" i="99" s="1"/>
  <c r="BX404" i="99"/>
  <c r="Z179" i="99"/>
  <c r="Z187" i="99" s="1"/>
  <c r="Z199" i="99" s="1"/>
  <c r="AA179" i="99"/>
  <c r="AA187" i="99" s="1"/>
  <c r="AA199" i="99" s="1"/>
  <c r="BA258" i="153"/>
  <c r="BD266" i="153"/>
  <c r="BA266" i="153"/>
  <c r="BD258" i="153"/>
  <c r="AZ266" i="153"/>
  <c r="V179" i="99"/>
  <c r="V187" i="99" s="1"/>
  <c r="V330" i="99" s="1"/>
  <c r="V340" i="99" s="1"/>
  <c r="U179" i="99"/>
  <c r="U187" i="99" s="1"/>
  <c r="U330" i="99" s="1"/>
  <c r="U340" i="99" s="1"/>
  <c r="Y179" i="99"/>
  <c r="Y187" i="99" s="1"/>
  <c r="Y330" i="99" s="1"/>
  <c r="Y340" i="99" s="1"/>
  <c r="BX441" i="99"/>
  <c r="S179" i="99"/>
  <c r="S187" i="99" s="1"/>
  <c r="S199" i="99" s="1"/>
  <c r="AZ467" i="153"/>
  <c r="BA467" i="153"/>
  <c r="AH177" i="155"/>
  <c r="AH185" i="155" s="1"/>
  <c r="AK177" i="155"/>
  <c r="AK185" i="155" s="1"/>
  <c r="X185" i="155"/>
  <c r="X183" i="155"/>
  <c r="Y185" i="155"/>
  <c r="Y183" i="155"/>
  <c r="W185" i="155"/>
  <c r="W183" i="155"/>
  <c r="V183" i="155"/>
  <c r="V185" i="155"/>
  <c r="BD302" i="153"/>
  <c r="BA302" i="153"/>
  <c r="BC310" i="153"/>
  <c r="AX467" i="153"/>
  <c r="AX266" i="153"/>
  <c r="AW350" i="99"/>
  <c r="AK443" i="99"/>
  <c r="AU398" i="99"/>
  <c r="AC362" i="99"/>
  <c r="BO443" i="99"/>
  <c r="AG376" i="99"/>
  <c r="X435" i="99"/>
  <c r="BJ435" i="99"/>
  <c r="BQ398" i="99"/>
  <c r="BI443" i="99"/>
  <c r="AQ386" i="99"/>
  <c r="AK350" i="99"/>
  <c r="AC370" i="99"/>
  <c r="BF467" i="153"/>
  <c r="AZ318" i="153"/>
  <c r="BN332" i="155"/>
  <c r="BN342" i="155" s="1"/>
  <c r="BD310" i="153"/>
  <c r="BB318" i="153"/>
  <c r="BE467" i="153"/>
  <c r="BE266" i="153"/>
  <c r="AX310" i="153"/>
  <c r="AZ302" i="153"/>
  <c r="BB467" i="153"/>
  <c r="BB310" i="153"/>
  <c r="BB258" i="153"/>
  <c r="BC318" i="153"/>
  <c r="BB266" i="153"/>
  <c r="BE302" i="153"/>
  <c r="BE310" i="153"/>
  <c r="BD467" i="153"/>
  <c r="BA318" i="153"/>
  <c r="AX274" i="153"/>
  <c r="V360" i="99"/>
  <c r="AS435" i="99"/>
  <c r="BE258" i="153"/>
  <c r="BF274" i="153"/>
  <c r="BF318" i="153"/>
  <c r="BF302" i="153"/>
  <c r="BC266" i="153"/>
  <c r="BC274" i="153"/>
  <c r="BC467" i="153"/>
  <c r="Z183" i="155"/>
  <c r="Z185" i="155"/>
  <c r="AB185" i="155"/>
  <c r="AB183" i="155"/>
  <c r="AJ177" i="155"/>
  <c r="AM177" i="155"/>
  <c r="AL177" i="155"/>
  <c r="AN177" i="155"/>
  <c r="U170" i="155"/>
  <c r="AT177" i="155" s="1"/>
  <c r="AS177" i="155"/>
  <c r="AR177" i="155"/>
  <c r="AO177" i="155"/>
  <c r="AQ177" i="155"/>
  <c r="AP177" i="155"/>
  <c r="AG185" i="155"/>
  <c r="AG183" i="155"/>
  <c r="AA185" i="155"/>
  <c r="AA183" i="155"/>
  <c r="BQ396" i="99"/>
  <c r="AH384" i="99"/>
  <c r="AI185" i="155"/>
  <c r="AI183" i="155"/>
  <c r="AF185" i="155"/>
  <c r="AF183" i="155"/>
  <c r="AC185" i="155"/>
  <c r="AC183" i="155"/>
  <c r="AE185" i="155"/>
  <c r="AE183" i="155"/>
  <c r="AD185" i="155"/>
  <c r="AD183" i="155"/>
  <c r="AZ258" i="153"/>
  <c r="BM332" i="155"/>
  <c r="BM342" i="155" s="1"/>
  <c r="AY318" i="153"/>
  <c r="AY467" i="153"/>
  <c r="AY274" i="153"/>
  <c r="BF266" i="153"/>
  <c r="AY302" i="153"/>
  <c r="AY258" i="153"/>
  <c r="AY441" i="99"/>
  <c r="AR384" i="99"/>
  <c r="AF376" i="99"/>
  <c r="BN362" i="99"/>
  <c r="AT406" i="99"/>
  <c r="BR368" i="99"/>
  <c r="AZ398" i="99"/>
  <c r="AE433" i="99"/>
  <c r="W348" i="99"/>
  <c r="V348" i="99"/>
  <c r="BR386" i="99"/>
  <c r="BS396" i="99"/>
  <c r="BC406" i="99"/>
  <c r="AW386" i="99"/>
  <c r="BV370" i="99"/>
  <c r="BT362" i="99"/>
  <c r="AN362" i="99"/>
  <c r="BU350" i="99"/>
  <c r="AM362" i="99"/>
  <c r="BL386" i="99"/>
  <c r="BK362" i="99"/>
  <c r="BJ406" i="99"/>
  <c r="AR441" i="99"/>
  <c r="BF378" i="99"/>
  <c r="AQ384" i="99"/>
  <c r="BC370" i="99"/>
  <c r="AZ406" i="99"/>
  <c r="BI441" i="99"/>
  <c r="BH360" i="99"/>
  <c r="BU396" i="99"/>
  <c r="BK396" i="99"/>
  <c r="BC433" i="99"/>
  <c r="AU368" i="99"/>
  <c r="AI360" i="99"/>
  <c r="Z384" i="99"/>
  <c r="BL435" i="99"/>
  <c r="AQ435" i="99"/>
  <c r="BQ435" i="99"/>
  <c r="BP406" i="99"/>
  <c r="BM378" i="99"/>
  <c r="BJ370" i="99"/>
  <c r="BG378" i="99"/>
  <c r="BC362" i="99"/>
  <c r="BA386" i="99"/>
  <c r="AX406" i="99"/>
  <c r="AU378" i="99"/>
  <c r="AR398" i="99"/>
  <c r="AO350" i="99"/>
  <c r="AL370" i="99"/>
  <c r="AG406" i="99"/>
  <c r="V386" i="99"/>
  <c r="BS360" i="99"/>
  <c r="BA404" i="99"/>
  <c r="AT376" i="99"/>
  <c r="AJ404" i="99"/>
  <c r="X360" i="99"/>
  <c r="BU435" i="99"/>
  <c r="BD435" i="99"/>
  <c r="AC435" i="99"/>
  <c r="BS350" i="99"/>
  <c r="BP350" i="99"/>
  <c r="BM370" i="99"/>
  <c r="BJ398" i="99"/>
  <c r="BG350" i="99"/>
  <c r="BD350" i="99"/>
  <c r="BA443" i="99"/>
  <c r="AX398" i="99"/>
  <c r="AU386" i="99"/>
  <c r="AR370" i="99"/>
  <c r="AO378" i="99"/>
  <c r="AL386" i="99"/>
  <c r="AF386" i="99"/>
  <c r="T443" i="99"/>
  <c r="BI360" i="99"/>
  <c r="AZ396" i="99"/>
  <c r="AT396" i="99"/>
  <c r="AI404" i="99"/>
  <c r="X384" i="99"/>
  <c r="AK435" i="99"/>
  <c r="BV398" i="99"/>
  <c r="BV435" i="99"/>
  <c r="BS443" i="99"/>
  <c r="BO362" i="99"/>
  <c r="BL398" i="99"/>
  <c r="BJ350" i="99"/>
  <c r="BF362" i="99"/>
  <c r="BA350" i="99"/>
  <c r="AX443" i="99"/>
  <c r="AU370" i="99"/>
  <c r="AR378" i="99"/>
  <c r="AO370" i="99"/>
  <c r="AK362" i="99"/>
  <c r="AF443" i="99"/>
  <c r="R378" i="99"/>
  <c r="BT348" i="99"/>
  <c r="BJ368" i="99"/>
  <c r="AZ376" i="99"/>
  <c r="AS360" i="99"/>
  <c r="AH360" i="99"/>
  <c r="X368" i="99"/>
  <c r="W435" i="99"/>
  <c r="AP435" i="99"/>
  <c r="AB435" i="99"/>
  <c r="BS386" i="99"/>
  <c r="BO398" i="99"/>
  <c r="BM350" i="99"/>
  <c r="BJ386" i="99"/>
  <c r="BG406" i="99"/>
  <c r="BD378" i="99"/>
  <c r="BA398" i="99"/>
  <c r="AX370" i="99"/>
  <c r="AU350" i="99"/>
  <c r="AR386" i="99"/>
  <c r="AO406" i="99"/>
  <c r="AL378" i="99"/>
  <c r="AE350" i="99"/>
  <c r="T378" i="99"/>
  <c r="BI396" i="99"/>
  <c r="AZ384" i="99"/>
  <c r="AS348" i="99"/>
  <c r="AH404" i="99"/>
  <c r="W396" i="99"/>
  <c r="AX435" i="99"/>
  <c r="BG435" i="99"/>
  <c r="AD435" i="99"/>
  <c r="BR370" i="99"/>
  <c r="BP378" i="99"/>
  <c r="BM386" i="99"/>
  <c r="BI362" i="99"/>
  <c r="BG370" i="99"/>
  <c r="BD443" i="99"/>
  <c r="BA406" i="99"/>
  <c r="AX378" i="99"/>
  <c r="AU443" i="99"/>
  <c r="AR443" i="99"/>
  <c r="AO398" i="99"/>
  <c r="AL443" i="99"/>
  <c r="AD362" i="99"/>
  <c r="T370" i="99"/>
  <c r="BS348" i="99"/>
  <c r="BI368" i="99"/>
  <c r="BA433" i="99"/>
  <c r="AS368" i="99"/>
  <c r="AH368" i="99"/>
  <c r="X396" i="99"/>
  <c r="BK435" i="99"/>
  <c r="AG435" i="99"/>
  <c r="BT398" i="99"/>
  <c r="BR406" i="99"/>
  <c r="BO386" i="99"/>
  <c r="BL362" i="99"/>
  <c r="BJ378" i="99"/>
  <c r="BG386" i="99"/>
  <c r="BD386" i="99"/>
  <c r="AW362" i="99"/>
  <c r="AT362" i="99"/>
  <c r="AR350" i="99"/>
  <c r="AL350" i="99"/>
  <c r="AE386" i="99"/>
  <c r="U370" i="99"/>
  <c r="AM435" i="99"/>
  <c r="BV406" i="99"/>
  <c r="BU398" i="99"/>
  <c r="BQ362" i="99"/>
  <c r="BO370" i="99"/>
  <c r="BL378" i="99"/>
  <c r="BI378" i="99"/>
  <c r="BF350" i="99"/>
  <c r="BC443" i="99"/>
  <c r="AZ443" i="99"/>
  <c r="AW370" i="99"/>
  <c r="AT378" i="99"/>
  <c r="AQ406" i="99"/>
  <c r="AO443" i="99"/>
  <c r="AK370" i="99"/>
  <c r="AD443" i="99"/>
  <c r="BR348" i="99"/>
  <c r="BG360" i="99"/>
  <c r="AM433" i="99"/>
  <c r="AQ376" i="99"/>
  <c r="AG404" i="99"/>
  <c r="AU435" i="99"/>
  <c r="BB435" i="99"/>
  <c r="BU370" i="99"/>
  <c r="BR350" i="99"/>
  <c r="BO378" i="99"/>
  <c r="BL370" i="99"/>
  <c r="BI350" i="99"/>
  <c r="BF370" i="99"/>
  <c r="BC398" i="99"/>
  <c r="AZ350" i="99"/>
  <c r="AW398" i="99"/>
  <c r="AT370" i="99"/>
  <c r="AQ378" i="99"/>
  <c r="AN398" i="99"/>
  <c r="AJ362" i="99"/>
  <c r="AD398" i="99"/>
  <c r="BP376" i="99"/>
  <c r="BF360" i="99"/>
  <c r="AY433" i="99"/>
  <c r="AO360" i="99"/>
  <c r="AE384" i="99"/>
  <c r="S384" i="99"/>
  <c r="BM435" i="99"/>
  <c r="AL435" i="99"/>
  <c r="BU378" i="99"/>
  <c r="BR378" i="99"/>
  <c r="BL350" i="99"/>
  <c r="BH362" i="99"/>
  <c r="BF398" i="99"/>
  <c r="BC378" i="99"/>
  <c r="AY362" i="99"/>
  <c r="AW443" i="99"/>
  <c r="AP362" i="99"/>
  <c r="AN378" i="99"/>
  <c r="AC398" i="99"/>
  <c r="BO396" i="99"/>
  <c r="BH433" i="99"/>
  <c r="Y433" i="99"/>
  <c r="AP368" i="99"/>
  <c r="AE404" i="99"/>
  <c r="U441" i="99"/>
  <c r="AO435" i="99"/>
  <c r="U435" i="99"/>
  <c r="BU443" i="99"/>
  <c r="BR443" i="99"/>
  <c r="BO350" i="99"/>
  <c r="BL443" i="99"/>
  <c r="BF406" i="99"/>
  <c r="BC350" i="99"/>
  <c r="AZ370" i="99"/>
  <c r="AT443" i="99"/>
  <c r="AQ350" i="99"/>
  <c r="AN443" i="99"/>
  <c r="AI362" i="99"/>
  <c r="BP404" i="99"/>
  <c r="BF348" i="99"/>
  <c r="V433" i="99"/>
  <c r="AO348" i="99"/>
  <c r="T360" i="99"/>
  <c r="BW435" i="99"/>
  <c r="AF435" i="99"/>
  <c r="BT386" i="99"/>
  <c r="BO406" i="99"/>
  <c r="BL406" i="99"/>
  <c r="BI370" i="99"/>
  <c r="BF386" i="99"/>
  <c r="BC386" i="99"/>
  <c r="AZ386" i="99"/>
  <c r="AV362" i="99"/>
  <c r="AT398" i="99"/>
  <c r="AQ443" i="99"/>
  <c r="AN370" i="99"/>
  <c r="AJ386" i="99"/>
  <c r="AB378" i="99"/>
  <c r="BO384" i="99"/>
  <c r="BE404" i="99"/>
  <c r="AX348" i="99"/>
  <c r="AM396" i="99"/>
  <c r="AC404" i="99"/>
  <c r="S376" i="99"/>
  <c r="R435" i="99"/>
  <c r="AZ435" i="99"/>
  <c r="BT378" i="99"/>
  <c r="BN443" i="99"/>
  <c r="BG362" i="99"/>
  <c r="BE406" i="99"/>
  <c r="BB398" i="99"/>
  <c r="AW378" i="99"/>
  <c r="AT350" i="99"/>
  <c r="AJ378" i="99"/>
  <c r="AB406" i="99"/>
  <c r="BE376" i="99"/>
  <c r="X433" i="99"/>
  <c r="AB360" i="99"/>
  <c r="T384" i="99"/>
  <c r="AV435" i="99"/>
  <c r="AI435" i="99"/>
  <c r="BS362" i="99"/>
  <c r="BQ386" i="99"/>
  <c r="BN398" i="99"/>
  <c r="BK350" i="99"/>
  <c r="BH398" i="99"/>
  <c r="BD362" i="99"/>
  <c r="BB350" i="99"/>
  <c r="AY398" i="99"/>
  <c r="AT386" i="99"/>
  <c r="AQ398" i="99"/>
  <c r="AN350" i="99"/>
  <c r="AI386" i="99"/>
  <c r="AA406" i="99"/>
  <c r="BN368" i="99"/>
  <c r="BE348" i="99"/>
  <c r="AW360" i="99"/>
  <c r="AN348" i="99"/>
  <c r="AC384" i="99"/>
  <c r="S368" i="99"/>
  <c r="S435" i="99"/>
  <c r="AJ435" i="99"/>
  <c r="BT370" i="99"/>
  <c r="BQ370" i="99"/>
  <c r="BN378" i="99"/>
  <c r="BK398" i="99"/>
  <c r="BE378" i="99"/>
  <c r="BB386" i="99"/>
  <c r="AV398" i="99"/>
  <c r="AS398" i="99"/>
  <c r="AP398" i="99"/>
  <c r="AI443" i="99"/>
  <c r="AA443" i="99"/>
  <c r="BN348" i="99"/>
  <c r="BD396" i="99"/>
  <c r="AX441" i="99"/>
  <c r="AM368" i="99"/>
  <c r="AC348" i="99"/>
  <c r="R441" i="99"/>
  <c r="BH435" i="99"/>
  <c r="BV386" i="99"/>
  <c r="Z435" i="99"/>
  <c r="BT406" i="99"/>
  <c r="BQ406" i="99"/>
  <c r="BH350" i="99"/>
  <c r="BE386" i="99"/>
  <c r="AY386" i="99"/>
  <c r="AV370" i="99"/>
  <c r="AS443" i="99"/>
  <c r="AP378" i="99"/>
  <c r="AM370" i="99"/>
  <c r="AA378" i="99"/>
  <c r="BO433" i="99"/>
  <c r="BD348" i="99"/>
  <c r="AJ433" i="99"/>
  <c r="AM376" i="99"/>
  <c r="BO435" i="99"/>
  <c r="AA435" i="99"/>
  <c r="BT350" i="99"/>
  <c r="BP362" i="99"/>
  <c r="BN370" i="99"/>
  <c r="BK406" i="99"/>
  <c r="BH386" i="99"/>
  <c r="BB370" i="99"/>
  <c r="AY370" i="99"/>
  <c r="AV443" i="99"/>
  <c r="AS370" i="99"/>
  <c r="AP386" i="99"/>
  <c r="AM406" i="99"/>
  <c r="AH378" i="99"/>
  <c r="AA370" i="99"/>
  <c r="BM376" i="99"/>
  <c r="BD384" i="99"/>
  <c r="AW404" i="99"/>
  <c r="AM404" i="99"/>
  <c r="AB404" i="99"/>
  <c r="BV378" i="99"/>
  <c r="BE435" i="99"/>
  <c r="AY435" i="99"/>
  <c r="BT443" i="99"/>
  <c r="BQ443" i="99"/>
  <c r="BN406" i="99"/>
  <c r="BK386" i="99"/>
  <c r="BH378" i="99"/>
  <c r="BE398" i="99"/>
  <c r="BA362" i="99"/>
  <c r="AY406" i="99"/>
  <c r="AU362" i="99"/>
  <c r="AS378" i="99"/>
  <c r="AP370" i="99"/>
  <c r="AM350" i="99"/>
  <c r="Z370" i="99"/>
  <c r="BV376" i="99"/>
  <c r="BL396" i="99"/>
  <c r="BC396" i="99"/>
  <c r="AW396" i="99"/>
  <c r="AL404" i="99"/>
  <c r="AA348" i="99"/>
  <c r="V435" i="99"/>
  <c r="BT435" i="99"/>
  <c r="Y435" i="99"/>
  <c r="BQ378" i="99"/>
  <c r="BM362" i="99"/>
  <c r="BJ362" i="99"/>
  <c r="BH406" i="99"/>
  <c r="BE350" i="99"/>
  <c r="BB406" i="99"/>
  <c r="AX362" i="99"/>
  <c r="AV406" i="99"/>
  <c r="AS350" i="99"/>
  <c r="AO362" i="99"/>
  <c r="AM386" i="99"/>
  <c r="AH406" i="99"/>
  <c r="Y370" i="99"/>
  <c r="BV368" i="99"/>
  <c r="BC348" i="99"/>
  <c r="AL348" i="99"/>
  <c r="AA368" i="99"/>
  <c r="BU362" i="99"/>
  <c r="BP435" i="99"/>
  <c r="BF435" i="99"/>
  <c r="BS398" i="99"/>
  <c r="BQ350" i="99"/>
  <c r="BM398" i="99"/>
  <c r="BG443" i="99"/>
  <c r="BE443" i="99"/>
  <c r="BB443" i="99"/>
  <c r="AY378" i="99"/>
  <c r="AV350" i="99"/>
  <c r="AR362" i="99"/>
  <c r="AP350" i="99"/>
  <c r="AM378" i="99"/>
  <c r="AH386" i="99"/>
  <c r="BU384" i="99"/>
  <c r="BK348" i="99"/>
  <c r="AU384" i="99"/>
  <c r="AJ348" i="99"/>
  <c r="Z404" i="99"/>
  <c r="AT435" i="99"/>
  <c r="BI435" i="99"/>
  <c r="BR435" i="99"/>
  <c r="BS370" i="99"/>
  <c r="BJ443" i="99"/>
  <c r="BG398" i="99"/>
  <c r="BD398" i="99"/>
  <c r="BB378" i="99"/>
  <c r="AY443" i="99"/>
  <c r="AQ362" i="99"/>
  <c r="AP443" i="99"/>
  <c r="AL362" i="99"/>
  <c r="AG350" i="99"/>
  <c r="Y350" i="99"/>
  <c r="AK398" i="99"/>
  <c r="AF398" i="99"/>
  <c r="Y406" i="99"/>
  <c r="S443" i="99"/>
  <c r="AF350" i="99"/>
  <c r="R181" i="99"/>
  <c r="R189" i="99" s="1"/>
  <c r="R201" i="99" s="1"/>
  <c r="R386" i="99"/>
  <c r="AD406" i="99"/>
  <c r="Z398" i="99"/>
  <c r="S398" i="99"/>
  <c r="Z378" i="99"/>
  <c r="BW406" i="99"/>
  <c r="AI398" i="99"/>
  <c r="AD370" i="99"/>
  <c r="Y378" i="99"/>
  <c r="AI350" i="99"/>
  <c r="AD386" i="99"/>
  <c r="Y398" i="99"/>
  <c r="AH362" i="99"/>
  <c r="AD350" i="99"/>
  <c r="W398" i="99"/>
  <c r="W362" i="99"/>
  <c r="AC378" i="99"/>
  <c r="X406" i="99"/>
  <c r="X398" i="99"/>
  <c r="V443" i="99"/>
  <c r="U362" i="99"/>
  <c r="BW404" i="99"/>
  <c r="BV384" i="99"/>
  <c r="BQ404" i="99"/>
  <c r="BL360" i="99"/>
  <c r="BH441" i="99"/>
  <c r="BD433" i="99"/>
  <c r="AU433" i="99"/>
  <c r="AV396" i="99"/>
  <c r="AQ404" i="99"/>
  <c r="AK348" i="99"/>
  <c r="AE360" i="99"/>
  <c r="S396" i="99"/>
  <c r="BV404" i="99"/>
  <c r="BQ384" i="99"/>
  <c r="BL441" i="99"/>
  <c r="BG376" i="99"/>
  <c r="BB348" i="99"/>
  <c r="AC433" i="99"/>
  <c r="AQ396" i="99"/>
  <c r="AK396" i="99"/>
  <c r="Z360" i="99"/>
  <c r="R376" i="99"/>
  <c r="BW433" i="99"/>
  <c r="BP360" i="99"/>
  <c r="BK360" i="99"/>
  <c r="BG396" i="99"/>
  <c r="BB384" i="99"/>
  <c r="S433" i="99"/>
  <c r="AV348" i="99"/>
  <c r="AP348" i="99"/>
  <c r="AJ360" i="99"/>
  <c r="AF404" i="99"/>
  <c r="Z396" i="99"/>
  <c r="T441" i="99"/>
  <c r="BU376" i="99"/>
  <c r="BQ348" i="99"/>
  <c r="BL384" i="99"/>
  <c r="BB368" i="99"/>
  <c r="U433" i="99"/>
  <c r="AV376" i="99"/>
  <c r="AP404" i="99"/>
  <c r="AK441" i="99"/>
  <c r="Y360" i="99"/>
  <c r="R368" i="99"/>
  <c r="BT396" i="99"/>
  <c r="BP441" i="99"/>
  <c r="BK404" i="99"/>
  <c r="BF384" i="99"/>
  <c r="BA396" i="99"/>
  <c r="AN433" i="99"/>
  <c r="AU376" i="99"/>
  <c r="AO384" i="99"/>
  <c r="AJ396" i="99"/>
  <c r="AE376" i="99"/>
  <c r="Y348" i="99"/>
  <c r="S441" i="99"/>
  <c r="BU441" i="99"/>
  <c r="BQ433" i="99"/>
  <c r="BK441" i="99"/>
  <c r="BF376" i="99"/>
  <c r="AZ360" i="99"/>
  <c r="AG433" i="99"/>
  <c r="AT441" i="99"/>
  <c r="AJ384" i="99"/>
  <c r="AD404" i="99"/>
  <c r="U376" i="99"/>
  <c r="BT368" i="99"/>
  <c r="BO348" i="99"/>
  <c r="BJ376" i="99"/>
  <c r="BF404" i="99"/>
  <c r="AI433" i="99"/>
  <c r="AT404" i="99"/>
  <c r="AO376" i="99"/>
  <c r="AI376" i="99"/>
  <c r="AC360" i="99"/>
  <c r="Y441" i="99"/>
  <c r="U368" i="99"/>
  <c r="BS376" i="99"/>
  <c r="BP433" i="99"/>
  <c r="BJ396" i="99"/>
  <c r="BE441" i="99"/>
  <c r="AY360" i="99"/>
  <c r="AR360" i="99"/>
  <c r="AN404" i="99"/>
  <c r="X348" i="99"/>
  <c r="R404" i="99"/>
  <c r="AN435" i="99"/>
  <c r="AW435" i="99"/>
  <c r="BV443" i="99"/>
  <c r="BR362" i="99"/>
  <c r="BP398" i="99"/>
  <c r="BN350" i="99"/>
  <c r="BK443" i="99"/>
  <c r="BI386" i="99"/>
  <c r="BF443" i="99"/>
  <c r="BD370" i="99"/>
  <c r="BA370" i="99"/>
  <c r="AV378" i="99"/>
  <c r="AS386" i="99"/>
  <c r="AM398" i="99"/>
  <c r="AK406" i="99"/>
  <c r="AH443" i="99"/>
  <c r="AC443" i="99"/>
  <c r="X378" i="99"/>
  <c r="BS441" i="99"/>
  <c r="BN384" i="99"/>
  <c r="BI384" i="99"/>
  <c r="AY368" i="99"/>
  <c r="AW433" i="99"/>
  <c r="AR396" i="99"/>
  <c r="AM384" i="99"/>
  <c r="AH348" i="99"/>
  <c r="AC441" i="99"/>
  <c r="W376" i="99"/>
  <c r="T404" i="99"/>
  <c r="BN435" i="99"/>
  <c r="AE435" i="99"/>
  <c r="BA435" i="99"/>
  <c r="BU406" i="99"/>
  <c r="BS406" i="99"/>
  <c r="BP443" i="99"/>
  <c r="BM406" i="99"/>
  <c r="BK378" i="99"/>
  <c r="BH370" i="99"/>
  <c r="BB362" i="99"/>
  <c r="AZ362" i="99"/>
  <c r="AX386" i="99"/>
  <c r="AV386" i="99"/>
  <c r="AQ370" i="99"/>
  <c r="AN406" i="99"/>
  <c r="AK378" i="99"/>
  <c r="AG378" i="99"/>
  <c r="AB443" i="99"/>
  <c r="W443" i="99"/>
  <c r="BR441" i="99"/>
  <c r="BM348" i="99"/>
  <c r="BH376" i="99"/>
  <c r="BD368" i="99"/>
  <c r="AY376" i="99"/>
  <c r="AW441" i="99"/>
  <c r="AQ360" i="99"/>
  <c r="AL368" i="99"/>
  <c r="AG348" i="99"/>
  <c r="AB348" i="99"/>
  <c r="U360" i="99"/>
  <c r="BX435" i="99"/>
  <c r="BM404" i="99"/>
  <c r="BH348" i="99"/>
  <c r="BC441" i="99"/>
  <c r="AQ433" i="99"/>
  <c r="AW376" i="99"/>
  <c r="AR368" i="99"/>
  <c r="AL396" i="99"/>
  <c r="AG441" i="99"/>
  <c r="AA404" i="99"/>
  <c r="V384" i="99"/>
  <c r="BV350" i="99"/>
  <c r="BS435" i="99"/>
  <c r="T435" i="99"/>
  <c r="BR398" i="99"/>
  <c r="BP370" i="99"/>
  <c r="BM443" i="99"/>
  <c r="BI398" i="99"/>
  <c r="BH443" i="99"/>
  <c r="BE370" i="99"/>
  <c r="AZ378" i="99"/>
  <c r="AX350" i="99"/>
  <c r="AU406" i="99"/>
  <c r="AS406" i="99"/>
  <c r="AP406" i="99"/>
  <c r="AN386" i="99"/>
  <c r="AJ406" i="99"/>
  <c r="AA398" i="99"/>
  <c r="S362" i="99"/>
  <c r="AK386" i="99"/>
  <c r="AI370" i="99"/>
  <c r="AE362" i="99"/>
  <c r="AB362" i="99"/>
  <c r="X443" i="99"/>
  <c r="T386" i="99"/>
  <c r="V378" i="99"/>
  <c r="BW386" i="99"/>
  <c r="AG362" i="99"/>
  <c r="AF406" i="99"/>
  <c r="AC350" i="99"/>
  <c r="AA350" i="99"/>
  <c r="X386" i="99"/>
  <c r="V398" i="99"/>
  <c r="U378" i="99"/>
  <c r="BV362" i="99"/>
  <c r="AH350" i="99"/>
  <c r="AF370" i="99"/>
  <c r="AC386" i="99"/>
  <c r="Z350" i="99"/>
  <c r="T350" i="99"/>
  <c r="BY435" i="99"/>
  <c r="R370" i="99"/>
  <c r="S350" i="99"/>
  <c r="R443" i="99"/>
  <c r="U443" i="99"/>
  <c r="AH398" i="99"/>
  <c r="AC406" i="99"/>
  <c r="X350" i="99"/>
  <c r="T362" i="99"/>
  <c r="S378" i="99"/>
  <c r="BW398" i="99"/>
  <c r="AJ370" i="99"/>
  <c r="AF362" i="99"/>
  <c r="AE378" i="99"/>
  <c r="Z406" i="99"/>
  <c r="W378" i="99"/>
  <c r="R398" i="99"/>
  <c r="R406" i="99"/>
  <c r="AL398" i="99"/>
  <c r="AJ398" i="99"/>
  <c r="AG370" i="99"/>
  <c r="AE406" i="99"/>
  <c r="AB350" i="99"/>
  <c r="Z386" i="99"/>
  <c r="W386" i="99"/>
  <c r="U386" i="99"/>
  <c r="U406" i="99"/>
  <c r="AL406" i="99"/>
  <c r="AJ350" i="99"/>
  <c r="AG398" i="99"/>
  <c r="AE398" i="99"/>
  <c r="AB386" i="99"/>
  <c r="Z443" i="99"/>
  <c r="W406" i="99"/>
  <c r="R362" i="99"/>
  <c r="AG386" i="99"/>
  <c r="AE370" i="99"/>
  <c r="AA362" i="99"/>
  <c r="Y362" i="99"/>
  <c r="W350" i="99"/>
  <c r="S406" i="99"/>
  <c r="AI378" i="99"/>
  <c r="AG443" i="99"/>
  <c r="AB370" i="99"/>
  <c r="Y443" i="99"/>
  <c r="W370" i="99"/>
  <c r="R350" i="99"/>
  <c r="X362" i="99"/>
  <c r="V362" i="99"/>
  <c r="S386" i="99"/>
  <c r="T398" i="99"/>
  <c r="V406" i="99"/>
  <c r="S370" i="99"/>
  <c r="AI406" i="99"/>
  <c r="AF378" i="99"/>
  <c r="AD378" i="99"/>
  <c r="Z362" i="99"/>
  <c r="Y386" i="99"/>
  <c r="V370" i="99"/>
  <c r="T406" i="99"/>
  <c r="BW378" i="99"/>
  <c r="U398" i="99"/>
  <c r="BW370" i="99"/>
  <c r="BV360" i="99"/>
  <c r="BW376" i="99"/>
  <c r="BW350" i="99"/>
  <c r="BF342" i="155"/>
  <c r="BK217" i="153"/>
  <c r="BK286" i="153" s="1"/>
  <c r="BK294" i="153" s="1"/>
  <c r="BK302" i="153" s="1"/>
  <c r="BK209" i="153"/>
  <c r="BK242" i="153" s="1"/>
  <c r="BK250" i="153" s="1"/>
  <c r="BU404" i="99"/>
  <c r="BS384" i="99"/>
  <c r="BQ376" i="99"/>
  <c r="BO376" i="99"/>
  <c r="BN433" i="99"/>
  <c r="BH368" i="99"/>
  <c r="BE360" i="99"/>
  <c r="BE433" i="99"/>
  <c r="BA360" i="99"/>
  <c r="AX360" i="99"/>
  <c r="W433" i="99"/>
  <c r="AL433" i="99"/>
  <c r="AU360" i="99"/>
  <c r="AS396" i="99"/>
  <c r="AQ441" i="99"/>
  <c r="AO404" i="99"/>
  <c r="AK360" i="99"/>
  <c r="AJ376" i="99"/>
  <c r="AG396" i="99"/>
  <c r="AE368" i="99"/>
  <c r="AB376" i="99"/>
  <c r="W360" i="99"/>
  <c r="R360" i="99"/>
  <c r="T376" i="99"/>
  <c r="BF217" i="155"/>
  <c r="BF209" i="155"/>
  <c r="BC209" i="154"/>
  <c r="BC217" i="154"/>
  <c r="BC203" i="154"/>
  <c r="BK332" i="155"/>
  <c r="BK201" i="155"/>
  <c r="BG342" i="155"/>
  <c r="BJ332" i="154"/>
  <c r="BJ201" i="154"/>
  <c r="BJ191" i="154"/>
  <c r="BC342" i="154"/>
  <c r="BC344" i="154" s="1"/>
  <c r="BC43" i="154" s="1"/>
  <c r="BC334" i="154"/>
  <c r="BT360" i="99"/>
  <c r="BR360" i="99"/>
  <c r="BQ441" i="99"/>
  <c r="BO404" i="99"/>
  <c r="BL368" i="99"/>
  <c r="BJ404" i="99"/>
  <c r="BH404" i="99"/>
  <c r="BF396" i="99"/>
  <c r="BD404" i="99"/>
  <c r="BA348" i="99"/>
  <c r="AY384" i="99"/>
  <c r="AF433" i="99"/>
  <c r="AK433" i="99"/>
  <c r="AV384" i="99"/>
  <c r="AS384" i="99"/>
  <c r="AN396" i="99"/>
  <c r="AL384" i="99"/>
  <c r="AI348" i="99"/>
  <c r="AF360" i="99"/>
  <c r="AE396" i="99"/>
  <c r="AB384" i="99"/>
  <c r="Z376" i="99"/>
  <c r="W441" i="99"/>
  <c r="T348" i="99"/>
  <c r="U348" i="99"/>
  <c r="BG217" i="155"/>
  <c r="BG209" i="155"/>
  <c r="BI217" i="155"/>
  <c r="BI209" i="155"/>
  <c r="BA342" i="154"/>
  <c r="BA344" i="154" s="1"/>
  <c r="BA43" i="154" s="1"/>
  <c r="BA334" i="154"/>
  <c r="BI342" i="155"/>
  <c r="BA209" i="154"/>
  <c r="BA217" i="154"/>
  <c r="BA203" i="154"/>
  <c r="BF209" i="154"/>
  <c r="BF217" i="154"/>
  <c r="BF203" i="154"/>
  <c r="BX433" i="99"/>
  <c r="BS368" i="99"/>
  <c r="BR433" i="99"/>
  <c r="BN441" i="99"/>
  <c r="BL376" i="99"/>
  <c r="BJ348" i="99"/>
  <c r="BH384" i="99"/>
  <c r="BG433" i="99"/>
  <c r="BC368" i="99"/>
  <c r="BA376" i="99"/>
  <c r="AY404" i="99"/>
  <c r="AX396" i="99"/>
  <c r="R433" i="99"/>
  <c r="AV404" i="99"/>
  <c r="AS376" i="99"/>
  <c r="AQ348" i="99"/>
  <c r="AN368" i="99"/>
  <c r="AL376" i="99"/>
  <c r="AG384" i="99"/>
  <c r="AD396" i="99"/>
  <c r="AA360" i="99"/>
  <c r="Y404" i="99"/>
  <c r="W384" i="99"/>
  <c r="S360" i="99"/>
  <c r="BW396" i="99"/>
  <c r="BG342" i="154"/>
  <c r="BG344" i="154" s="1"/>
  <c r="BG43" i="154" s="1"/>
  <c r="BG334" i="154"/>
  <c r="BF342" i="154"/>
  <c r="BF344" i="154" s="1"/>
  <c r="BF43" i="154" s="1"/>
  <c r="BF334" i="154"/>
  <c r="BU348" i="99"/>
  <c r="BT433" i="99"/>
  <c r="BP396" i="99"/>
  <c r="BL348" i="99"/>
  <c r="BJ441" i="99"/>
  <c r="BI433" i="99"/>
  <c r="BE396" i="99"/>
  <c r="BC384" i="99"/>
  <c r="BA384" i="99"/>
  <c r="AY396" i="99"/>
  <c r="AX384" i="99"/>
  <c r="AX376" i="99"/>
  <c r="AU396" i="99"/>
  <c r="AN376" i="99"/>
  <c r="AI384" i="99"/>
  <c r="AG368" i="99"/>
  <c r="AD348" i="99"/>
  <c r="AB441" i="99"/>
  <c r="Z441" i="99"/>
  <c r="W404" i="99"/>
  <c r="R384" i="99"/>
  <c r="AY217" i="155"/>
  <c r="AY209" i="155"/>
  <c r="BD342" i="155"/>
  <c r="BG217" i="154"/>
  <c r="BG209" i="154"/>
  <c r="BG203" i="154"/>
  <c r="AY342" i="155"/>
  <c r="BD217" i="155"/>
  <c r="BD209" i="155"/>
  <c r="BI342" i="154"/>
  <c r="BI344" i="154" s="1"/>
  <c r="BI43" i="154" s="1"/>
  <c r="BI334" i="154"/>
  <c r="BN209" i="153"/>
  <c r="BN242" i="153" s="1"/>
  <c r="BN250" i="153" s="1"/>
  <c r="BN217" i="153"/>
  <c r="BN286" i="153" s="1"/>
  <c r="BN294" i="153" s="1"/>
  <c r="BN310" i="153" s="1"/>
  <c r="BV433" i="99"/>
  <c r="BQ360" i="99"/>
  <c r="BP384" i="99"/>
  <c r="BN376" i="99"/>
  <c r="BL404" i="99"/>
  <c r="BJ384" i="99"/>
  <c r="BG384" i="99"/>
  <c r="BD360" i="99"/>
  <c r="BB360" i="99"/>
  <c r="BB433" i="99"/>
  <c r="AZ433" i="99"/>
  <c r="AA433" i="99"/>
  <c r="AH433" i="99"/>
  <c r="AU441" i="99"/>
  <c r="AS404" i="99"/>
  <c r="AP384" i="99"/>
  <c r="AN384" i="99"/>
  <c r="AK376" i="99"/>
  <c r="AI396" i="99"/>
  <c r="AF441" i="99"/>
  <c r="AD368" i="99"/>
  <c r="AB368" i="99"/>
  <c r="Y368" i="99"/>
  <c r="W368" i="99"/>
  <c r="T396" i="99"/>
  <c r="R348" i="99"/>
  <c r="BY433" i="99"/>
  <c r="AY217" i="154"/>
  <c r="AY209" i="154"/>
  <c r="AY203" i="154"/>
  <c r="BM217" i="153"/>
  <c r="BM286" i="153" s="1"/>
  <c r="BM294" i="153" s="1"/>
  <c r="BM310" i="153" s="1"/>
  <c r="BM209" i="153"/>
  <c r="BM242" i="153" s="1"/>
  <c r="BM250" i="153" s="1"/>
  <c r="BI217" i="154"/>
  <c r="BI209" i="154"/>
  <c r="BI203" i="154"/>
  <c r="BL332" i="154"/>
  <c r="BL201" i="154"/>
  <c r="BL191" i="154"/>
  <c r="BU368" i="99"/>
  <c r="BR376" i="99"/>
  <c r="BM360" i="99"/>
  <c r="BK433" i="99"/>
  <c r="BG441" i="99"/>
  <c r="BE368" i="99"/>
  <c r="BC404" i="99"/>
  <c r="BA441" i="99"/>
  <c r="AY348" i="99"/>
  <c r="AP433" i="99"/>
  <c r="AW368" i="99"/>
  <c r="AU404" i="99"/>
  <c r="AS441" i="99"/>
  <c r="AP376" i="99"/>
  <c r="AN441" i="99"/>
  <c r="AK384" i="99"/>
  <c r="AI441" i="99"/>
  <c r="AF396" i="99"/>
  <c r="AD441" i="99"/>
  <c r="AA384" i="99"/>
  <c r="Y396" i="99"/>
  <c r="U384" i="99"/>
  <c r="S348" i="99"/>
  <c r="AZ209" i="155"/>
  <c r="AZ217" i="155"/>
  <c r="BH209" i="153"/>
  <c r="BH242" i="153" s="1"/>
  <c r="BH217" i="153"/>
  <c r="BH286" i="153" s="1"/>
  <c r="BD209" i="154"/>
  <c r="BD217" i="154"/>
  <c r="BD203" i="154"/>
  <c r="AY342" i="154"/>
  <c r="AY344" i="154" s="1"/>
  <c r="AY43" i="154" s="1"/>
  <c r="AY334" i="154"/>
  <c r="BB217" i="155"/>
  <c r="BB209" i="155"/>
  <c r="BH217" i="155"/>
  <c r="BH209" i="155"/>
  <c r="AZ342" i="155"/>
  <c r="BD342" i="154"/>
  <c r="BD344" i="154" s="1"/>
  <c r="BD43" i="154" s="1"/>
  <c r="BD334" i="154"/>
  <c r="BB342" i="155"/>
  <c r="AX342" i="154"/>
  <c r="AX344" i="154" s="1"/>
  <c r="AX43" i="154" s="1"/>
  <c r="AX334" i="154"/>
  <c r="BE209" i="155"/>
  <c r="BE217" i="155"/>
  <c r="BO217" i="153"/>
  <c r="BO286" i="153" s="1"/>
  <c r="BO294" i="153" s="1"/>
  <c r="BO318" i="153" s="1"/>
  <c r="BO209" i="153"/>
  <c r="BO242" i="153" s="1"/>
  <c r="BO250" i="153" s="1"/>
  <c r="BH342" i="155"/>
  <c r="BT376" i="99"/>
  <c r="BR396" i="99"/>
  <c r="BP348" i="99"/>
  <c r="BN404" i="99"/>
  <c r="BM433" i="99"/>
  <c r="BI348" i="99"/>
  <c r="BG348" i="99"/>
  <c r="BC376" i="99"/>
  <c r="BA368" i="99"/>
  <c r="Z433" i="99"/>
  <c r="AS433" i="99"/>
  <c r="AW384" i="99"/>
  <c r="AT360" i="99"/>
  <c r="AP441" i="99"/>
  <c r="AM360" i="99"/>
  <c r="AK368" i="99"/>
  <c r="AI368" i="99"/>
  <c r="AF384" i="99"/>
  <c r="AD376" i="99"/>
  <c r="AA441" i="99"/>
  <c r="Y384" i="99"/>
  <c r="V396" i="99"/>
  <c r="S404" i="99"/>
  <c r="AX217" i="154"/>
  <c r="AX209" i="154"/>
  <c r="AX203" i="154"/>
  <c r="BE342" i="155"/>
  <c r="BV189" i="155"/>
  <c r="BL332" i="155"/>
  <c r="BL201" i="155"/>
  <c r="BW441" i="99"/>
  <c r="BU360" i="99"/>
  <c r="BT384" i="99"/>
  <c r="BR404" i="99"/>
  <c r="BO360" i="99"/>
  <c r="BN396" i="99"/>
  <c r="BK376" i="99"/>
  <c r="BI404" i="99"/>
  <c r="BG368" i="99"/>
  <c r="BE384" i="99"/>
  <c r="AZ348" i="99"/>
  <c r="AR433" i="99"/>
  <c r="T433" i="99"/>
  <c r="AV360" i="99"/>
  <c r="AU348" i="99"/>
  <c r="AR348" i="99"/>
  <c r="AP396" i="99"/>
  <c r="AM348" i="99"/>
  <c r="AH396" i="99"/>
  <c r="AF368" i="99"/>
  <c r="AD384" i="99"/>
  <c r="AA376" i="99"/>
  <c r="Y376" i="99"/>
  <c r="V441" i="99"/>
  <c r="R396" i="99"/>
  <c r="R172" i="99"/>
  <c r="Y157" i="99" s="1"/>
  <c r="S172" i="99" s="1"/>
  <c r="T172" i="99" s="1"/>
  <c r="AI179" i="99" s="1"/>
  <c r="AI187" i="99" s="1"/>
  <c r="AI330" i="99" s="1"/>
  <c r="AI340" i="99" s="1"/>
  <c r="BE217" i="154"/>
  <c r="BE209" i="154"/>
  <c r="BE203" i="154"/>
  <c r="BW189" i="155"/>
  <c r="BJ201" i="155"/>
  <c r="BJ332" i="155"/>
  <c r="BJ217" i="153"/>
  <c r="BJ286" i="153" s="1"/>
  <c r="BJ294" i="153" s="1"/>
  <c r="BJ310" i="153" s="1"/>
  <c r="BJ209" i="153"/>
  <c r="BJ242" i="153" s="1"/>
  <c r="BJ250" i="153" s="1"/>
  <c r="BE342" i="154"/>
  <c r="BE344" i="154" s="1"/>
  <c r="BE43" i="154" s="1"/>
  <c r="BE334" i="154"/>
  <c r="BX189" i="155"/>
  <c r="BH209" i="154"/>
  <c r="BH217" i="154"/>
  <c r="BH203" i="154"/>
  <c r="BT183" i="154"/>
  <c r="AZ209" i="154"/>
  <c r="AZ217" i="154"/>
  <c r="AZ203" i="154"/>
  <c r="BP217" i="153"/>
  <c r="BP286" i="153" s="1"/>
  <c r="BP294" i="153" s="1"/>
  <c r="BP310" i="153" s="1"/>
  <c r="BP209" i="153"/>
  <c r="BP242" i="153" s="1"/>
  <c r="BP250" i="153" s="1"/>
  <c r="BH342" i="154"/>
  <c r="BH344" i="154" s="1"/>
  <c r="BH43" i="154" s="1"/>
  <c r="BH334" i="154"/>
  <c r="BV396" i="99"/>
  <c r="BT404" i="99"/>
  <c r="BR384" i="99"/>
  <c r="BP368" i="99"/>
  <c r="BM441" i="99"/>
  <c r="BK368" i="99"/>
  <c r="BI376" i="99"/>
  <c r="BG404" i="99"/>
  <c r="BF433" i="99"/>
  <c r="BB441" i="99"/>
  <c r="AZ441" i="99"/>
  <c r="AV433" i="99"/>
  <c r="AT433" i="99"/>
  <c r="AW348" i="99"/>
  <c r="AT384" i="99"/>
  <c r="AR376" i="99"/>
  <c r="AO368" i="99"/>
  <c r="AL360" i="99"/>
  <c r="AK404" i="99"/>
  <c r="AG360" i="99"/>
  <c r="AF348" i="99"/>
  <c r="AC376" i="99"/>
  <c r="AA396" i="99"/>
  <c r="X441" i="99"/>
  <c r="V376" i="99"/>
  <c r="U396" i="99"/>
  <c r="AH435" i="99"/>
  <c r="BC435" i="99"/>
  <c r="AR435" i="99"/>
  <c r="BU386" i="99"/>
  <c r="BS378" i="99"/>
  <c r="BP386" i="99"/>
  <c r="BN386" i="99"/>
  <c r="BK370" i="99"/>
  <c r="BI406" i="99"/>
  <c r="BE362" i="99"/>
  <c r="BD406" i="99"/>
  <c r="BA378" i="99"/>
  <c r="AY350" i="99"/>
  <c r="AW406" i="99"/>
  <c r="AS362" i="99"/>
  <c r="AR406" i="99"/>
  <c r="AO386" i="99"/>
  <c r="AM443" i="99"/>
  <c r="AJ443" i="99"/>
  <c r="AH370" i="99"/>
  <c r="AE443" i="99"/>
  <c r="AB398" i="99"/>
  <c r="AA386" i="99"/>
  <c r="X370" i="99"/>
  <c r="V350" i="99"/>
  <c r="U350" i="99"/>
  <c r="BW368" i="99"/>
  <c r="AZ342" i="154"/>
  <c r="AZ344" i="154" s="1"/>
  <c r="AZ43" i="154" s="1"/>
  <c r="AZ334" i="154"/>
  <c r="BV189" i="154"/>
  <c r="BV183" i="154"/>
  <c r="BA209" i="155"/>
  <c r="BA217" i="155"/>
  <c r="BU183" i="154"/>
  <c r="AX342" i="155"/>
  <c r="BW189" i="154"/>
  <c r="BW183" i="154"/>
  <c r="BA342" i="155"/>
  <c r="BS183" i="154"/>
  <c r="R160" i="99"/>
  <c r="BY371" i="99" s="1"/>
  <c r="BT441" i="99"/>
  <c r="BS433" i="99"/>
  <c r="BO441" i="99"/>
  <c r="BM396" i="99"/>
  <c r="BJ360" i="99"/>
  <c r="BD376" i="99"/>
  <c r="BB404" i="99"/>
  <c r="AZ368" i="99"/>
  <c r="AB433" i="99"/>
  <c r="AO433" i="99"/>
  <c r="AV441" i="99"/>
  <c r="AT368" i="99"/>
  <c r="AR404" i="99"/>
  <c r="AN360" i="99"/>
  <c r="AH376" i="99"/>
  <c r="AE348" i="99"/>
  <c r="AC396" i="99"/>
  <c r="R179" i="99"/>
  <c r="R187" i="99" s="1"/>
  <c r="R199" i="99" s="1"/>
  <c r="X376" i="99"/>
  <c r="V404" i="99"/>
  <c r="U404" i="99"/>
  <c r="BW348" i="99"/>
  <c r="AX217" i="155"/>
  <c r="AX209" i="155"/>
  <c r="BX189" i="154"/>
  <c r="BX183" i="154"/>
  <c r="BK332" i="154"/>
  <c r="BK201" i="154"/>
  <c r="BK191" i="154"/>
  <c r="BB217" i="154"/>
  <c r="BB209" i="154"/>
  <c r="BB203" i="154"/>
  <c r="BP183" i="154"/>
  <c r="BQ183" i="154"/>
  <c r="BV441" i="99"/>
  <c r="BU433" i="99"/>
  <c r="BQ368" i="99"/>
  <c r="BO368" i="99"/>
  <c r="BM368" i="99"/>
  <c r="BK384" i="99"/>
  <c r="BJ433" i="99"/>
  <c r="BF368" i="99"/>
  <c r="BC360" i="99"/>
  <c r="BB376" i="99"/>
  <c r="AX404" i="99"/>
  <c r="AX433" i="99"/>
  <c r="AV368" i="99"/>
  <c r="AQ368" i="99"/>
  <c r="AO441" i="99"/>
  <c r="AM441" i="99"/>
  <c r="AJ368" i="99"/>
  <c r="AH441" i="99"/>
  <c r="AE441" i="99"/>
  <c r="AB396" i="99"/>
  <c r="Z348" i="99"/>
  <c r="X404" i="99"/>
  <c r="V368" i="99"/>
  <c r="BC217" i="155"/>
  <c r="BC209" i="155"/>
  <c r="BB342" i="154"/>
  <c r="BB344" i="154" s="1"/>
  <c r="BB43" i="154" s="1"/>
  <c r="BB334" i="154"/>
  <c r="BQ203" i="154"/>
  <c r="BC342" i="155"/>
  <c r="BR217" i="153"/>
  <c r="BR286" i="153" s="1"/>
  <c r="BR294" i="153" s="1"/>
  <c r="BR318" i="153" s="1"/>
  <c r="BR209" i="153"/>
  <c r="BR242" i="153" s="1"/>
  <c r="BR250" i="153" s="1"/>
  <c r="BR183" i="154"/>
  <c r="BV348" i="99"/>
  <c r="BS404" i="99"/>
  <c r="BN360" i="99"/>
  <c r="BM384" i="99"/>
  <c r="BL433" i="99"/>
  <c r="BH396" i="99"/>
  <c r="BF441" i="99"/>
  <c r="BD441" i="99"/>
  <c r="BB396" i="99"/>
  <c r="AZ404" i="99"/>
  <c r="AX368" i="99"/>
  <c r="AD433" i="99"/>
  <c r="AT348" i="99"/>
  <c r="AP360" i="99"/>
  <c r="AO396" i="99"/>
  <c r="AL441" i="99"/>
  <c r="AJ441" i="99"/>
  <c r="AD360" i="99"/>
  <c r="AC368" i="99"/>
  <c r="Z368" i="99"/>
  <c r="T368" i="99"/>
  <c r="BW384" i="99"/>
  <c r="BW443" i="99"/>
  <c r="BL217" i="153"/>
  <c r="BL286" i="153" s="1"/>
  <c r="BL294" i="153" s="1"/>
  <c r="BL302" i="153" s="1"/>
  <c r="BL209" i="153"/>
  <c r="BL242" i="153" s="1"/>
  <c r="BL250" i="153" s="1"/>
  <c r="BQ209" i="153"/>
  <c r="BQ242" i="153" s="1"/>
  <c r="BQ250" i="153" s="1"/>
  <c r="BQ217" i="153"/>
  <c r="BQ286" i="153" s="1"/>
  <c r="BQ294" i="153" s="1"/>
  <c r="BQ302" i="153" s="1"/>
  <c r="BY209" i="154"/>
  <c r="BY242" i="154" s="1"/>
  <c r="BY250" i="154" s="1"/>
  <c r="BY209" i="155"/>
  <c r="BY242" i="155" s="1"/>
  <c r="BY250" i="155" s="1"/>
  <c r="BM209" i="154"/>
  <c r="BM217" i="154"/>
  <c r="BM203" i="154"/>
  <c r="BM342" i="154"/>
  <c r="BM344" i="154" s="1"/>
  <c r="BM43" i="154" s="1"/>
  <c r="BM334" i="154"/>
  <c r="BQ209" i="154"/>
  <c r="BQ217" i="154"/>
  <c r="BN342" i="154"/>
  <c r="BN344" i="154" s="1"/>
  <c r="BN43" i="154" s="1"/>
  <c r="BN334" i="154"/>
  <c r="BN209" i="154"/>
  <c r="BN217" i="154"/>
  <c r="BN203" i="154"/>
  <c r="BQ342" i="154"/>
  <c r="BP342" i="154"/>
  <c r="BP217" i="155"/>
  <c r="BP209" i="155"/>
  <c r="BP209" i="154"/>
  <c r="BP217" i="154"/>
  <c r="BP342" i="155"/>
  <c r="BM209" i="155"/>
  <c r="BM217" i="155"/>
  <c r="BO209" i="155"/>
  <c r="BO217" i="155"/>
  <c r="BO342" i="155"/>
  <c r="BN209" i="155"/>
  <c r="BN217" i="155"/>
  <c r="BQ342" i="155"/>
  <c r="BO209" i="154"/>
  <c r="BO217" i="154"/>
  <c r="BO203" i="154"/>
  <c r="BO342" i="154"/>
  <c r="BO344" i="154" s="1"/>
  <c r="BO43" i="154" s="1"/>
  <c r="BO334" i="154"/>
  <c r="BQ217" i="155"/>
  <c r="BQ209" i="155"/>
  <c r="BX129" i="103"/>
  <c r="BR342" i="154"/>
  <c r="BR342" i="155"/>
  <c r="BR209" i="155"/>
  <c r="BR217" i="155"/>
  <c r="BU342" i="155"/>
  <c r="BU209" i="155"/>
  <c r="BU217" i="155"/>
  <c r="BT209" i="155"/>
  <c r="BT217" i="155"/>
  <c r="BT342" i="155"/>
  <c r="BU342" i="154"/>
  <c r="BU217" i="154"/>
  <c r="BU209" i="154"/>
  <c r="BT209" i="154"/>
  <c r="BT217" i="154"/>
  <c r="BT342" i="154"/>
  <c r="BS342" i="155"/>
  <c r="BS342" i="154"/>
  <c r="BS209" i="155"/>
  <c r="BS217" i="155"/>
  <c r="BS209" i="154"/>
  <c r="BS217" i="154"/>
  <c r="BR217" i="154"/>
  <c r="BR209" i="154"/>
  <c r="BY294" i="154"/>
  <c r="BY302" i="154" s="1"/>
  <c r="BY294" i="155"/>
  <c r="BY302" i="155" s="1"/>
  <c r="BX129" i="104"/>
  <c r="BX64" i="104" s="1"/>
  <c r="CC64" i="105" s="1"/>
  <c r="BX30" i="151" s="1"/>
  <c r="BY191" i="154"/>
  <c r="BW456" i="155" a="1"/>
  <c r="BW456" i="155" s="1"/>
  <c r="BY456" i="155" a="1"/>
  <c r="BY456" i="155" s="1"/>
  <c r="BW310" i="153"/>
  <c r="BW302" i="153"/>
  <c r="BV318" i="153"/>
  <c r="BS456" i="154" a="1"/>
  <c r="BS456" i="154" s="1"/>
  <c r="R425" i="154"/>
  <c r="BX456" i="155" a="1"/>
  <c r="BX456" i="155" s="1"/>
  <c r="BY129" i="103"/>
  <c r="BY129" i="104"/>
  <c r="BY64" i="104" s="1"/>
  <c r="CD64" i="105" s="1"/>
  <c r="BY30" i="151" s="1"/>
  <c r="N140" i="103"/>
  <c r="P140" i="103" s="1"/>
  <c r="N140" i="104"/>
  <c r="P140" i="104" s="1"/>
  <c r="BT456" i="155" a="1"/>
  <c r="BT456" i="155" s="1"/>
  <c r="J140" i="104"/>
  <c r="J140" i="103"/>
  <c r="BV310" i="153"/>
  <c r="K140" i="104"/>
  <c r="K140" i="103"/>
  <c r="M140" i="103"/>
  <c r="M140" i="104"/>
  <c r="R425" i="155"/>
  <c r="BS456" i="155" a="1"/>
  <c r="BS456" i="155" s="1"/>
  <c r="L141" i="103"/>
  <c r="L141" i="104"/>
  <c r="BV456" i="155" a="1"/>
  <c r="BV456" i="155" s="1"/>
  <c r="J141" i="103"/>
  <c r="J141" i="104"/>
  <c r="K141" i="103"/>
  <c r="K141" i="104"/>
  <c r="BV456" i="154" a="1"/>
  <c r="BV456" i="154" s="1"/>
  <c r="M141" i="103"/>
  <c r="M141" i="104"/>
  <c r="BW456" i="154" a="1"/>
  <c r="BW456" i="154" s="1"/>
  <c r="BX456" i="154" a="1"/>
  <c r="BX456" i="154" s="1"/>
  <c r="BU456" i="155" a="1"/>
  <c r="BU456" i="155" s="1"/>
  <c r="BT456" i="154" a="1"/>
  <c r="BT456" i="154" s="1"/>
  <c r="N141" i="103"/>
  <c r="P141" i="103" s="1"/>
  <c r="N141" i="104"/>
  <c r="P141" i="104" s="1"/>
  <c r="L140" i="103"/>
  <c r="L140" i="104"/>
  <c r="BU456" i="154" a="1"/>
  <c r="BU456" i="154" s="1"/>
  <c r="BY274" i="153"/>
  <c r="BT266" i="153"/>
  <c r="BT258" i="153"/>
  <c r="BY318" i="153"/>
  <c r="BY302" i="153"/>
  <c r="BW467" i="153"/>
  <c r="BV467" i="153"/>
  <c r="BV266" i="153"/>
  <c r="BX258" i="153"/>
  <c r="BX318" i="153"/>
  <c r="BX467" i="153"/>
  <c r="BX274" i="153"/>
  <c r="BS266" i="153"/>
  <c r="BW258" i="153"/>
  <c r="BW274" i="153"/>
  <c r="AK179" i="99"/>
  <c r="AK187" i="99" s="1"/>
  <c r="AK199" i="99" s="1"/>
  <c r="AJ179" i="99"/>
  <c r="AJ187" i="99" s="1"/>
  <c r="AJ330" i="99" s="1"/>
  <c r="AJ340" i="99" s="1"/>
  <c r="BY266" i="153"/>
  <c r="BY467" i="153"/>
  <c r="BX310" i="153"/>
  <c r="BT310" i="153"/>
  <c r="BV258" i="153"/>
  <c r="AP179" i="99"/>
  <c r="AP187" i="99" s="1"/>
  <c r="AL179" i="99"/>
  <c r="AL187" i="99" s="1"/>
  <c r="AM179" i="99"/>
  <c r="AM187" i="99" s="1"/>
  <c r="AN179" i="99"/>
  <c r="AN187" i="99" s="1"/>
  <c r="AO179" i="99"/>
  <c r="AO187" i="99" s="1"/>
  <c r="AQ179" i="99"/>
  <c r="AQ187" i="99" s="1"/>
  <c r="Y302" i="153"/>
  <c r="BT318" i="153"/>
  <c r="BS274" i="153"/>
  <c r="T177" i="153"/>
  <c r="S177" i="153"/>
  <c r="U177" i="153"/>
  <c r="R177" i="153"/>
  <c r="V177" i="153"/>
  <c r="BS467" i="153"/>
  <c r="BS310" i="153"/>
  <c r="BT467" i="153"/>
  <c r="BS318" i="153"/>
  <c r="Y266" i="153"/>
  <c r="Y467" i="153"/>
  <c r="V286" i="153"/>
  <c r="W242" i="153"/>
  <c r="AU217" i="153"/>
  <c r="AU286" i="153" s="1"/>
  <c r="AU209" i="153"/>
  <c r="AU242" i="153" s="1"/>
  <c r="AH250" i="153"/>
  <c r="AL209" i="153"/>
  <c r="AL242" i="153" s="1"/>
  <c r="AL217" i="153"/>
  <c r="AL286" i="153" s="1"/>
  <c r="W286" i="153"/>
  <c r="AJ250" i="153"/>
  <c r="AH294" i="153"/>
  <c r="AH318" i="153" s="1"/>
  <c r="Y310" i="153"/>
  <c r="AJ294" i="153"/>
  <c r="AJ302" i="153" s="1"/>
  <c r="AC294" i="153"/>
  <c r="AC302" i="153" s="1"/>
  <c r="AC250" i="153"/>
  <c r="Z294" i="153"/>
  <c r="Z318" i="153" s="1"/>
  <c r="AM217" i="153"/>
  <c r="AM286" i="153" s="1"/>
  <c r="AM209" i="153"/>
  <c r="AM242" i="153" s="1"/>
  <c r="U286" i="153"/>
  <c r="Z250" i="153"/>
  <c r="U242" i="153"/>
  <c r="AE250" i="153"/>
  <c r="AE294" i="153"/>
  <c r="AE310" i="153" s="1"/>
  <c r="AG294" i="153"/>
  <c r="AG318" i="153" s="1"/>
  <c r="AN209" i="153"/>
  <c r="AN242" i="153" s="1"/>
  <c r="AN217" i="153"/>
  <c r="AN286" i="153" s="1"/>
  <c r="AG250" i="153"/>
  <c r="Z180" i="99"/>
  <c r="Z188" i="99" s="1"/>
  <c r="AA180" i="99"/>
  <c r="AA188" i="99" s="1"/>
  <c r="AB180" i="99"/>
  <c r="AB188" i="99" s="1"/>
  <c r="AC180" i="99"/>
  <c r="AC188" i="99" s="1"/>
  <c r="AD180" i="99"/>
  <c r="AD188" i="99" s="1"/>
  <c r="AE180" i="99"/>
  <c r="AE188" i="99" s="1"/>
  <c r="AK180" i="99"/>
  <c r="AK188" i="99" s="1"/>
  <c r="AJ180" i="99"/>
  <c r="AJ188" i="99" s="1"/>
  <c r="AI180" i="99"/>
  <c r="AI188" i="99" s="1"/>
  <c r="AH180" i="99"/>
  <c r="AH188" i="99" s="1"/>
  <c r="AG180" i="99"/>
  <c r="AG188" i="99" s="1"/>
  <c r="AF180" i="99"/>
  <c r="AF188" i="99" s="1"/>
  <c r="AO217" i="153"/>
  <c r="AO286" i="153" s="1"/>
  <c r="AO209" i="153"/>
  <c r="AO242" i="153" s="1"/>
  <c r="AR209" i="153"/>
  <c r="AR242" i="153" s="1"/>
  <c r="AR217" i="153"/>
  <c r="AR286" i="153" s="1"/>
  <c r="S286" i="153"/>
  <c r="AT209" i="153"/>
  <c r="AT242" i="153" s="1"/>
  <c r="AT217" i="153"/>
  <c r="AT286" i="153" s="1"/>
  <c r="S242" i="153"/>
  <c r="AK250" i="153"/>
  <c r="AI250" i="153"/>
  <c r="AK294" i="153"/>
  <c r="AK302" i="153" s="1"/>
  <c r="AI294" i="153"/>
  <c r="AI310" i="153" s="1"/>
  <c r="T242" i="153"/>
  <c r="AV217" i="153"/>
  <c r="AV286" i="153" s="1"/>
  <c r="AV209" i="153"/>
  <c r="AV242" i="153" s="1"/>
  <c r="T286" i="153"/>
  <c r="AB250" i="153"/>
  <c r="AA294" i="153"/>
  <c r="AA302" i="153" s="1"/>
  <c r="AP209" i="153"/>
  <c r="AP242" i="153" s="1"/>
  <c r="AP217" i="153"/>
  <c r="AP286" i="153" s="1"/>
  <c r="AB294" i="153"/>
  <c r="AB318" i="153" s="1"/>
  <c r="AA250" i="153"/>
  <c r="AF250" i="153"/>
  <c r="AW209" i="153"/>
  <c r="AW242" i="153" s="1"/>
  <c r="AW217" i="153"/>
  <c r="AW286" i="153" s="1"/>
  <c r="AD250" i="153"/>
  <c r="AF294" i="153"/>
  <c r="AF302" i="153" s="1"/>
  <c r="AD294" i="153"/>
  <c r="AD318" i="153" s="1"/>
  <c r="Y274" i="153"/>
  <c r="AQ209" i="153"/>
  <c r="AQ242" i="153" s="1"/>
  <c r="AQ217" i="153"/>
  <c r="AQ286" i="153" s="1"/>
  <c r="AS209" i="153"/>
  <c r="AS242" i="153" s="1"/>
  <c r="AS217" i="153"/>
  <c r="AS286" i="153" s="1"/>
  <c r="X286" i="153"/>
  <c r="Y258" i="153"/>
  <c r="V242" i="153"/>
  <c r="X242" i="153"/>
  <c r="K39" i="72"/>
  <c r="L39" i="72"/>
  <c r="M39" i="72"/>
  <c r="N39" i="72"/>
  <c r="BY535" i="99"/>
  <c r="BY599" i="99" s="1"/>
  <c r="BY549" i="99"/>
  <c r="BY613" i="99" s="1"/>
  <c r="BW517" i="99"/>
  <c r="BW518" i="99" s="1"/>
  <c r="U170" i="153"/>
  <c r="Y177" i="153" s="1"/>
  <c r="BY230" i="99"/>
  <c r="BY512" i="99"/>
  <c r="BY515" i="99" s="1"/>
  <c r="BY233" i="99"/>
  <c r="I17" i="69"/>
  <c r="BY602" i="99"/>
  <c r="BY542" i="99"/>
  <c r="BY606" i="99" s="1"/>
  <c r="BY366" i="99"/>
  <c r="BY369" i="99"/>
  <c r="BY368" i="99"/>
  <c r="BY367" i="99"/>
  <c r="BY370" i="99"/>
  <c r="BX576" i="99"/>
  <c r="BX515" i="99"/>
  <c r="AG178" i="99"/>
  <c r="AG186" i="99" s="1"/>
  <c r="X178" i="99"/>
  <c r="X186" i="99" s="1"/>
  <c r="AA178" i="99"/>
  <c r="AA186" i="99" s="1"/>
  <c r="AE178" i="99"/>
  <c r="AE186" i="99" s="1"/>
  <c r="AF178" i="99"/>
  <c r="AF186" i="99" s="1"/>
  <c r="Z178" i="99"/>
  <c r="Z186" i="99" s="1"/>
  <c r="Y178" i="99"/>
  <c r="Y186" i="99" s="1"/>
  <c r="V178" i="99"/>
  <c r="V186" i="99" s="1"/>
  <c r="AC178" i="99"/>
  <c r="AC186" i="99" s="1"/>
  <c r="AB178" i="99"/>
  <c r="AB186" i="99" s="1"/>
  <c r="W178" i="99"/>
  <c r="W186" i="99" s="1"/>
  <c r="AD178" i="99"/>
  <c r="AD186" i="99" s="1"/>
  <c r="U171" i="99"/>
  <c r="BX362" i="99"/>
  <c r="BX361" i="99"/>
  <c r="BX358" i="99"/>
  <c r="BX359" i="99"/>
  <c r="BX360" i="99"/>
  <c r="BY228" i="99"/>
  <c r="BY384" i="99"/>
  <c r="BY385" i="99"/>
  <c r="BY386" i="99"/>
  <c r="BY383" i="99"/>
  <c r="BY382" i="99"/>
  <c r="K140" i="99"/>
  <c r="P75" i="99"/>
  <c r="N140" i="99"/>
  <c r="P140" i="99" s="1"/>
  <c r="BY229" i="99"/>
  <c r="J141" i="99"/>
  <c r="BV223" i="99"/>
  <c r="BV582" i="99"/>
  <c r="M140" i="99"/>
  <c r="BV593" i="99"/>
  <c r="BV594" i="99" s="1"/>
  <c r="BV530" i="99"/>
  <c r="BV544" i="99"/>
  <c r="BY524" i="99"/>
  <c r="BY585" i="99"/>
  <c r="BY374" i="99"/>
  <c r="BY376" i="99"/>
  <c r="BY378" i="99"/>
  <c r="BY375" i="99"/>
  <c r="BY377" i="99"/>
  <c r="BR631" i="99"/>
  <c r="BR625" i="99"/>
  <c r="BR626" i="99" s="1"/>
  <c r="BR562" i="99"/>
  <c r="BY234" i="99"/>
  <c r="L141" i="99"/>
  <c r="BW224" i="99"/>
  <c r="BW591" i="99"/>
  <c r="T170" i="99"/>
  <c r="BY232" i="99"/>
  <c r="BS559" i="99" a="1"/>
  <c r="BS559" i="99" s="1"/>
  <c r="BS623" i="99" s="1"/>
  <c r="BS552" i="99"/>
  <c r="BS615" i="99"/>
  <c r="K141" i="99"/>
  <c r="BX526" i="99"/>
  <c r="BX590" i="99" s="1"/>
  <c r="BX588" i="99"/>
  <c r="BY348" i="99"/>
  <c r="BY350" i="99"/>
  <c r="BY346" i="99"/>
  <c r="BY349" i="99"/>
  <c r="BY347" i="99"/>
  <c r="P76" i="99"/>
  <c r="N141" i="99"/>
  <c r="P141" i="99" s="1"/>
  <c r="BT559" i="99" a="1"/>
  <c r="BT559" i="99" s="1"/>
  <c r="BT623" i="99" s="1"/>
  <c r="BT552" i="99"/>
  <c r="BT615" i="99"/>
  <c r="M141" i="99"/>
  <c r="L140" i="99"/>
  <c r="BU551" i="99"/>
  <c r="BU555" i="99" s="1"/>
  <c r="BU608" i="99"/>
  <c r="P70" i="99"/>
  <c r="J535" i="99"/>
  <c r="J597" i="99"/>
  <c r="BY129" i="99"/>
  <c r="J64" i="99"/>
  <c r="K64" i="99"/>
  <c r="L64" i="99"/>
  <c r="M64" i="99"/>
  <c r="N64" i="99"/>
  <c r="BY618" i="99"/>
  <c r="J618" i="99"/>
  <c r="K618" i="99"/>
  <c r="L618" i="99"/>
  <c r="M618" i="99"/>
  <c r="N549" i="99"/>
  <c r="P547" i="99"/>
  <c r="N611" i="99"/>
  <c r="P611" i="99" s="1"/>
  <c r="P70" i="103"/>
  <c r="N622" i="99"/>
  <c r="P622" i="99" s="1"/>
  <c r="P558" i="99"/>
  <c r="M611" i="99"/>
  <c r="M549" i="99"/>
  <c r="M613" i="99" s="1"/>
  <c r="L611" i="99"/>
  <c r="L549" i="99"/>
  <c r="L613" i="99" s="1"/>
  <c r="K611" i="99"/>
  <c r="K549" i="99"/>
  <c r="K613" i="99" s="1"/>
  <c r="P548" i="99"/>
  <c r="N612" i="99"/>
  <c r="P612" i="99" s="1"/>
  <c r="J611" i="99"/>
  <c r="J549" i="99"/>
  <c r="J613" i="99" s="1"/>
  <c r="BY443" i="99"/>
  <c r="BY442" i="99"/>
  <c r="BY441" i="99"/>
  <c r="BY440" i="99"/>
  <c r="BY439" i="99"/>
  <c r="BY398" i="99"/>
  <c r="BY396" i="99"/>
  <c r="BY394" i="99"/>
  <c r="BY395" i="99"/>
  <c r="BY397" i="99"/>
  <c r="BY403" i="99"/>
  <c r="BY406" i="99"/>
  <c r="BY402" i="99"/>
  <c r="BY404" i="99"/>
  <c r="BY405" i="99"/>
  <c r="N597" i="99"/>
  <c r="P597" i="99" s="1"/>
  <c r="N535" i="99"/>
  <c r="P533" i="99"/>
  <c r="M597" i="99"/>
  <c r="M535" i="99"/>
  <c r="L535" i="99"/>
  <c r="L597" i="99"/>
  <c r="K535" i="99"/>
  <c r="K597" i="99"/>
  <c r="AP200" i="99" l="1"/>
  <c r="U331" i="99"/>
  <c r="U341" i="99" s="1"/>
  <c r="AL200" i="99"/>
  <c r="U198" i="99"/>
  <c r="T329" i="99"/>
  <c r="T339" i="99" s="1"/>
  <c r="R198" i="99"/>
  <c r="AO331" i="99"/>
  <c r="AO341" i="99" s="1"/>
  <c r="AN200" i="99"/>
  <c r="AN216" i="99" s="1"/>
  <c r="AN285" i="99" s="1"/>
  <c r="R331" i="99"/>
  <c r="R341" i="99" s="1"/>
  <c r="V331" i="99"/>
  <c r="V341" i="99" s="1"/>
  <c r="Y331" i="99"/>
  <c r="Y341" i="99" s="1"/>
  <c r="AM200" i="99"/>
  <c r="AM208" i="99" s="1"/>
  <c r="AM241" i="99" s="1"/>
  <c r="S331" i="99"/>
  <c r="S341" i="99" s="1"/>
  <c r="W331" i="99"/>
  <c r="W341" i="99" s="1"/>
  <c r="T200" i="99"/>
  <c r="T216" i="99" s="1"/>
  <c r="T285" i="99" s="1"/>
  <c r="S198" i="99"/>
  <c r="S214" i="99" s="1"/>
  <c r="S283" i="99" s="1"/>
  <c r="AQ200" i="99"/>
  <c r="AQ216" i="99" s="1"/>
  <c r="AQ285" i="99" s="1"/>
  <c r="X331" i="99"/>
  <c r="X341" i="99" s="1"/>
  <c r="BM45" i="154"/>
  <c r="BM110" i="154" s="1"/>
  <c r="BM108" i="154"/>
  <c r="BG108" i="154"/>
  <c r="BG45" i="154"/>
  <c r="BG110" i="154" s="1"/>
  <c r="AX108" i="154"/>
  <c r="AX45" i="154"/>
  <c r="L43" i="154"/>
  <c r="L108" i="154" s="1"/>
  <c r="BO108" i="154"/>
  <c r="BO45" i="154"/>
  <c r="BO110" i="154" s="1"/>
  <c r="BC45" i="154"/>
  <c r="BC110" i="154" s="1"/>
  <c r="BC108" i="154"/>
  <c r="BD108" i="154"/>
  <c r="BD45" i="154"/>
  <c r="BD110" i="154" s="1"/>
  <c r="BA108" i="154"/>
  <c r="BA45" i="154"/>
  <c r="BA110" i="154" s="1"/>
  <c r="K74" i="155"/>
  <c r="K139" i="155" s="1"/>
  <c r="AD139" i="155"/>
  <c r="U139" i="155"/>
  <c r="U77" i="155"/>
  <c r="U142" i="155" s="1"/>
  <c r="BN108" i="154"/>
  <c r="BN45" i="154"/>
  <c r="BE108" i="154"/>
  <c r="BE45" i="154"/>
  <c r="BE110" i="154" s="1"/>
  <c r="L74" i="155"/>
  <c r="L139" i="155" s="1"/>
  <c r="AP139" i="155"/>
  <c r="BB108" i="154"/>
  <c r="BB45" i="154"/>
  <c r="AY45" i="154"/>
  <c r="AY110" i="154" s="1"/>
  <c r="AY108" i="154"/>
  <c r="J74" i="155"/>
  <c r="J139" i="155" s="1"/>
  <c r="R139" i="155"/>
  <c r="R77" i="155"/>
  <c r="R142" i="155" s="1"/>
  <c r="AZ108" i="154"/>
  <c r="AZ45" i="154"/>
  <c r="AZ110" i="154" s="1"/>
  <c r="BH108" i="154"/>
  <c r="BH45" i="154"/>
  <c r="BH110" i="154" s="1"/>
  <c r="T139" i="155"/>
  <c r="T77" i="155"/>
  <c r="T142" i="155" s="1"/>
  <c r="BF108" i="154"/>
  <c r="BF45" i="154"/>
  <c r="BF110" i="154" s="1"/>
  <c r="S139" i="155"/>
  <c r="S77" i="155"/>
  <c r="S142" i="155" s="1"/>
  <c r="BI108" i="154"/>
  <c r="BI45" i="154"/>
  <c r="BI110" i="154" s="1"/>
  <c r="M74" i="155"/>
  <c r="M139" i="155" s="1"/>
  <c r="BB139" i="155"/>
  <c r="N74" i="155"/>
  <c r="BN139" i="155"/>
  <c r="N139" i="153"/>
  <c r="P139" i="153" s="1"/>
  <c r="P74" i="153"/>
  <c r="CD122" i="105"/>
  <c r="CC122" i="105"/>
  <c r="AG199" i="99"/>
  <c r="AG215" i="99" s="1"/>
  <c r="AG284" i="99" s="1"/>
  <c r="W330" i="99"/>
  <c r="W340" i="99" s="1"/>
  <c r="AD199" i="99"/>
  <c r="AD215" i="99" s="1"/>
  <c r="AD284" i="99" s="1"/>
  <c r="AZ416" i="153"/>
  <c r="AZ455" i="153" s="1" a="1"/>
  <c r="AZ455" i="153" s="1"/>
  <c r="BT416" i="153"/>
  <c r="BT455" i="153" s="1" a="1"/>
  <c r="BT455" i="153" s="1"/>
  <c r="AB199" i="99"/>
  <c r="AB215" i="99" s="1"/>
  <c r="AB284" i="99" s="1"/>
  <c r="BS416" i="153"/>
  <c r="BS455" i="153" s="1" a="1"/>
  <c r="BS455" i="153" s="1"/>
  <c r="BE416" i="153"/>
  <c r="BE455" i="153" s="1" a="1"/>
  <c r="BE455" i="153" s="1"/>
  <c r="Y416" i="153"/>
  <c r="Y455" i="153" s="1" a="1"/>
  <c r="Y455" i="153" s="1"/>
  <c r="BX416" i="153"/>
  <c r="BX455" i="153" s="1" a="1"/>
  <c r="BX455" i="153" s="1"/>
  <c r="BA416" i="153"/>
  <c r="BA455" i="153" s="1" a="1"/>
  <c r="BA455" i="153" s="1"/>
  <c r="BV416" i="153"/>
  <c r="BV455" i="153" s="1" a="1"/>
  <c r="BV455" i="153" s="1"/>
  <c r="AY416" i="153"/>
  <c r="AY455" i="153" s="1" a="1"/>
  <c r="AY455" i="153" s="1"/>
  <c r="BF416" i="153"/>
  <c r="BF455" i="153" s="1" a="1"/>
  <c r="BF455" i="153" s="1"/>
  <c r="BD416" i="153"/>
  <c r="BD455" i="153" s="1" a="1"/>
  <c r="BD455" i="153" s="1"/>
  <c r="BY416" i="153"/>
  <c r="BY455" i="153" s="1" a="1"/>
  <c r="BY455" i="153" s="1"/>
  <c r="BC416" i="153"/>
  <c r="BC455" i="153" s="1" a="1"/>
  <c r="BC455" i="153" s="1"/>
  <c r="BI416" i="153"/>
  <c r="BI455" i="153" s="1" a="1"/>
  <c r="BI455" i="153" s="1"/>
  <c r="BB416" i="153"/>
  <c r="BB455" i="153" s="1" a="1"/>
  <c r="BB455" i="153" s="1"/>
  <c r="BW416" i="153"/>
  <c r="BW455" i="153" s="1" a="1"/>
  <c r="BW455" i="153" s="1"/>
  <c r="AX416" i="153"/>
  <c r="AX455" i="153" s="1" a="1"/>
  <c r="AX455" i="153" s="1"/>
  <c r="BO467" i="153"/>
  <c r="AJ274" i="153"/>
  <c r="AI258" i="153"/>
  <c r="AG274" i="153"/>
  <c r="AH274" i="153"/>
  <c r="AD258" i="153"/>
  <c r="Z266" i="153"/>
  <c r="AE258" i="153"/>
  <c r="BY266" i="155"/>
  <c r="BQ258" i="153"/>
  <c r="BY258" i="154"/>
  <c r="AA258" i="153"/>
  <c r="AC274" i="153"/>
  <c r="AB258" i="153"/>
  <c r="BR274" i="153"/>
  <c r="BL274" i="153"/>
  <c r="BN258" i="153"/>
  <c r="AK266" i="153"/>
  <c r="AF274" i="153"/>
  <c r="BP258" i="153"/>
  <c r="BK274" i="153"/>
  <c r="BJ266" i="153"/>
  <c r="BM467" i="153"/>
  <c r="BT561" i="99"/>
  <c r="BT567" i="99" s="1"/>
  <c r="BS561" i="99"/>
  <c r="BS567" i="99" s="1"/>
  <c r="BY444" i="99"/>
  <c r="BY445" i="99" s="1"/>
  <c r="BY68" i="99" s="1"/>
  <c r="BY133" i="99" s="1"/>
  <c r="BM266" i="153"/>
  <c r="X199" i="99"/>
  <c r="X215" i="99" s="1"/>
  <c r="X284" i="99" s="1"/>
  <c r="U199" i="99"/>
  <c r="U215" i="99" s="1"/>
  <c r="U284" i="99" s="1"/>
  <c r="AF199" i="99"/>
  <c r="AF215" i="99" s="1"/>
  <c r="AF284" i="99" s="1"/>
  <c r="AE330" i="99"/>
  <c r="AE340" i="99" s="1"/>
  <c r="BL318" i="153"/>
  <c r="Y199" i="99"/>
  <c r="Y207" i="99" s="1"/>
  <c r="Y240" i="99" s="1"/>
  <c r="T199" i="99"/>
  <c r="T215" i="99" s="1"/>
  <c r="T284" i="99" s="1"/>
  <c r="AH199" i="99"/>
  <c r="AH215" i="99" s="1"/>
  <c r="AH284" i="99" s="1"/>
  <c r="AI182" i="99"/>
  <c r="AI190" i="99" s="1"/>
  <c r="AI333" i="99" s="1"/>
  <c r="AI343" i="99" s="1"/>
  <c r="AF182" i="99"/>
  <c r="AF190" i="99" s="1"/>
  <c r="AF202" i="99" s="1"/>
  <c r="AG182" i="99"/>
  <c r="AG190" i="99" s="1"/>
  <c r="AG333" i="99" s="1"/>
  <c r="AG343" i="99" s="1"/>
  <c r="Z330" i="99"/>
  <c r="Z340" i="99" s="1"/>
  <c r="AA330" i="99"/>
  <c r="AA340" i="99" s="1"/>
  <c r="AE182" i="99"/>
  <c r="AE190" i="99" s="1"/>
  <c r="AE333" i="99" s="1"/>
  <c r="AE343" i="99" s="1"/>
  <c r="AB182" i="99"/>
  <c r="AB190" i="99" s="1"/>
  <c r="AB333" i="99" s="1"/>
  <c r="AB343" i="99" s="1"/>
  <c r="AC330" i="99"/>
  <c r="AC340" i="99" s="1"/>
  <c r="AA182" i="99"/>
  <c r="AA190" i="99" s="1"/>
  <c r="AA333" i="99" s="1"/>
  <c r="AA343" i="99" s="1"/>
  <c r="V199" i="99"/>
  <c r="V215" i="99" s="1"/>
  <c r="V284" i="99" s="1"/>
  <c r="S330" i="99"/>
  <c r="S340" i="99" s="1"/>
  <c r="BO302" i="153"/>
  <c r="BR467" i="153"/>
  <c r="BR310" i="153"/>
  <c r="BK318" i="153"/>
  <c r="BK310" i="153"/>
  <c r="AW177" i="155"/>
  <c r="AW185" i="155" s="1"/>
  <c r="AH183" i="155"/>
  <c r="AV177" i="155"/>
  <c r="AV183" i="155" s="1"/>
  <c r="BR302" i="153"/>
  <c r="AK183" i="155"/>
  <c r="V328" i="155"/>
  <c r="V191" i="155"/>
  <c r="V197" i="155"/>
  <c r="W191" i="155"/>
  <c r="W197" i="155"/>
  <c r="W328" i="155"/>
  <c r="Y191" i="155"/>
  <c r="Y197" i="155"/>
  <c r="Y328" i="155"/>
  <c r="X328" i="155"/>
  <c r="X197" i="155"/>
  <c r="X191" i="155"/>
  <c r="BK467" i="153"/>
  <c r="BK266" i="153"/>
  <c r="BK258" i="153"/>
  <c r="BJ302" i="153"/>
  <c r="BN274" i="153"/>
  <c r="BO266" i="153"/>
  <c r="BM258" i="153"/>
  <c r="BO258" i="153"/>
  <c r="BN302" i="153"/>
  <c r="R332" i="99"/>
  <c r="R342" i="99" s="1"/>
  <c r="BO274" i="153"/>
  <c r="BN318" i="153"/>
  <c r="BN266" i="153"/>
  <c r="BM274" i="153"/>
  <c r="BM302" i="153"/>
  <c r="BO310" i="153"/>
  <c r="BP318" i="153"/>
  <c r="BL310" i="153"/>
  <c r="BR266" i="153"/>
  <c r="BQ310" i="153"/>
  <c r="BQ318" i="153"/>
  <c r="BM318" i="153"/>
  <c r="BN467" i="153"/>
  <c r="BJ318" i="153"/>
  <c r="BR258" i="153"/>
  <c r="BQ274" i="153"/>
  <c r="BL258" i="153"/>
  <c r="BL467" i="153"/>
  <c r="BL266" i="153"/>
  <c r="AI197" i="155"/>
  <c r="AI328" i="155"/>
  <c r="AI191" i="155"/>
  <c r="AB197" i="155"/>
  <c r="AB328" i="155"/>
  <c r="AB191" i="155"/>
  <c r="Z191" i="155"/>
  <c r="Z197" i="155"/>
  <c r="Z328" i="155"/>
  <c r="AA328" i="155"/>
  <c r="AA191" i="155"/>
  <c r="AA197" i="155"/>
  <c r="AG197" i="155"/>
  <c r="AG328" i="155"/>
  <c r="AG191" i="155"/>
  <c r="AP185" i="155"/>
  <c r="AP183" i="155"/>
  <c r="AQ185" i="155"/>
  <c r="AQ183" i="155"/>
  <c r="AO185" i="155"/>
  <c r="AO183" i="155"/>
  <c r="AD328" i="155"/>
  <c r="AD197" i="155"/>
  <c r="AD191" i="155"/>
  <c r="AR185" i="155"/>
  <c r="AR183" i="155"/>
  <c r="AE328" i="155"/>
  <c r="AE197" i="155"/>
  <c r="AE191" i="155"/>
  <c r="AS185" i="155"/>
  <c r="AS183" i="155"/>
  <c r="AC328" i="155"/>
  <c r="AC197" i="155"/>
  <c r="AC191" i="155"/>
  <c r="AT185" i="155"/>
  <c r="AT183" i="155"/>
  <c r="AU177" i="155"/>
  <c r="BC177" i="155"/>
  <c r="AZ177" i="155"/>
  <c r="V170" i="155"/>
  <c r="BH177" i="155" s="1"/>
  <c r="AX177" i="155"/>
  <c r="AY177" i="155"/>
  <c r="BD177" i="155"/>
  <c r="BB177" i="155"/>
  <c r="BE177" i="155"/>
  <c r="AK328" i="155"/>
  <c r="AK197" i="155"/>
  <c r="AK191" i="155"/>
  <c r="AN185" i="155"/>
  <c r="AN183" i="155"/>
  <c r="AL185" i="155"/>
  <c r="AL183" i="155"/>
  <c r="AH197" i="155"/>
  <c r="AH328" i="155"/>
  <c r="AH191" i="155"/>
  <c r="AM185" i="155"/>
  <c r="AM183" i="155"/>
  <c r="AF328" i="155"/>
  <c r="AF197" i="155"/>
  <c r="AF191" i="155"/>
  <c r="AJ185" i="155"/>
  <c r="AJ183" i="155"/>
  <c r="BP302" i="153"/>
  <c r="BQ467" i="153"/>
  <c r="BJ467" i="153"/>
  <c r="BQ266" i="153"/>
  <c r="BJ274" i="153"/>
  <c r="BP467" i="153"/>
  <c r="BP266" i="153"/>
  <c r="BP274" i="153"/>
  <c r="BJ258" i="153"/>
  <c r="BQ344" i="154"/>
  <c r="BQ43" i="154" s="1"/>
  <c r="BQ334" i="154"/>
  <c r="BY399" i="99"/>
  <c r="BY400" i="99" s="1"/>
  <c r="BY57" i="99" s="1"/>
  <c r="BY122" i="103" s="1"/>
  <c r="BY387" i="99"/>
  <c r="BY388" i="99" s="1"/>
  <c r="BY51" i="99" s="1"/>
  <c r="BY116" i="103" s="1"/>
  <c r="AK182" i="99"/>
  <c r="AK190" i="99" s="1"/>
  <c r="AK333" i="99" s="1"/>
  <c r="AK343" i="99" s="1"/>
  <c r="AJ182" i="99"/>
  <c r="AJ190" i="99" s="1"/>
  <c r="AJ202" i="99" s="1"/>
  <c r="AH182" i="99"/>
  <c r="AH190" i="99" s="1"/>
  <c r="AH333" i="99" s="1"/>
  <c r="AH343" i="99" s="1"/>
  <c r="AD182" i="99"/>
  <c r="AD190" i="99" s="1"/>
  <c r="AD333" i="99" s="1"/>
  <c r="AD343" i="99" s="1"/>
  <c r="BY351" i="99"/>
  <c r="BY352" i="99" s="1"/>
  <c r="BY44" i="99" s="1"/>
  <c r="BY109" i="103" s="1"/>
  <c r="AC182" i="99"/>
  <c r="AC190" i="99" s="1"/>
  <c r="AC333" i="99" s="1"/>
  <c r="AC343" i="99" s="1"/>
  <c r="Z182" i="99"/>
  <c r="Z190" i="99" s="1"/>
  <c r="Z333" i="99" s="1"/>
  <c r="Z343" i="99" s="1"/>
  <c r="R330" i="99"/>
  <c r="R340" i="99" s="1"/>
  <c r="BY407" i="99"/>
  <c r="BY408" i="99" s="1"/>
  <c r="BY58" i="99" s="1"/>
  <c r="BY123" i="103" s="1"/>
  <c r="BY379" i="99"/>
  <c r="BY380" i="99" s="1"/>
  <c r="BY50" i="99" s="1"/>
  <c r="BY115" i="103" s="1"/>
  <c r="BX363" i="99"/>
  <c r="BX364" i="99" s="1"/>
  <c r="BX48" i="99" s="1"/>
  <c r="BX113" i="103" s="1"/>
  <c r="AT179" i="99"/>
  <c r="AT187" i="99" s="1"/>
  <c r="AT330" i="99" s="1"/>
  <c r="AT340" i="99" s="1"/>
  <c r="AS179" i="99"/>
  <c r="AS187" i="99" s="1"/>
  <c r="AS199" i="99" s="1"/>
  <c r="AR179" i="99"/>
  <c r="AR187" i="99" s="1"/>
  <c r="AR330" i="99" s="1"/>
  <c r="AR340" i="99" s="1"/>
  <c r="AI199" i="99"/>
  <c r="AI215" i="99" s="1"/>
  <c r="AI284" i="99" s="1"/>
  <c r="U172" i="99"/>
  <c r="AV179" i="99" s="1"/>
  <c r="AV187" i="99" s="1"/>
  <c r="AV199" i="99" s="1"/>
  <c r="BV201" i="155"/>
  <c r="BV332" i="155"/>
  <c r="BP191" i="154"/>
  <c r="BU191" i="154"/>
  <c r="AX242" i="155"/>
  <c r="BI242" i="154"/>
  <c r="BI211" i="154"/>
  <c r="AX286" i="155"/>
  <c r="BI286" i="154"/>
  <c r="BI219" i="154"/>
  <c r="BF242" i="155"/>
  <c r="BK209" i="155"/>
  <c r="BK217" i="155"/>
  <c r="BF286" i="155"/>
  <c r="BB242" i="155"/>
  <c r="BG242" i="154"/>
  <c r="BG211" i="154"/>
  <c r="BK342" i="155"/>
  <c r="BB286" i="155"/>
  <c r="BH294" i="153"/>
  <c r="BH310" i="153" s="1"/>
  <c r="BG286" i="154"/>
  <c r="BG219" i="154"/>
  <c r="BA286" i="154"/>
  <c r="BA219" i="154"/>
  <c r="BT191" i="154"/>
  <c r="BH250" i="153"/>
  <c r="BA242" i="154"/>
  <c r="BA211" i="154"/>
  <c r="BE242" i="154"/>
  <c r="BE211" i="154"/>
  <c r="AZ286" i="154"/>
  <c r="AZ219" i="154"/>
  <c r="BE286" i="154"/>
  <c r="BE219" i="154"/>
  <c r="AZ286" i="155"/>
  <c r="BI242" i="155"/>
  <c r="BC242" i="155"/>
  <c r="BB242" i="154"/>
  <c r="BB211" i="154"/>
  <c r="AZ242" i="154"/>
  <c r="AZ211" i="154"/>
  <c r="AZ242" i="155"/>
  <c r="BI286" i="155"/>
  <c r="BJ217" i="154"/>
  <c r="BJ209" i="154"/>
  <c r="BJ203" i="154"/>
  <c r="BC286" i="155"/>
  <c r="BB286" i="154"/>
  <c r="BB219" i="154"/>
  <c r="T407" i="99"/>
  <c r="T408" i="99" s="1"/>
  <c r="T58" i="99" s="1"/>
  <c r="T123" i="99" s="1"/>
  <c r="R444" i="99"/>
  <c r="R445" i="99" s="1"/>
  <c r="R68" i="99" s="1"/>
  <c r="W407" i="99"/>
  <c r="W408" i="99" s="1"/>
  <c r="W58" i="99" s="1"/>
  <c r="W123" i="103" s="1"/>
  <c r="W58" i="103" s="1"/>
  <c r="Z379" i="99"/>
  <c r="Z380" i="99" s="1"/>
  <c r="Z50" i="99" s="1"/>
  <c r="Z115" i="103" s="1"/>
  <c r="Z50" i="103" s="1"/>
  <c r="AE407" i="99"/>
  <c r="AE408" i="99" s="1"/>
  <c r="AE58" i="99" s="1"/>
  <c r="AF363" i="99"/>
  <c r="AF364" i="99" s="1"/>
  <c r="AF48" i="99" s="1"/>
  <c r="AF113" i="104" s="1"/>
  <c r="AF48" i="104" s="1"/>
  <c r="AI371" i="99"/>
  <c r="AI372" i="99" s="1"/>
  <c r="AI49" i="99" s="1"/>
  <c r="AI114" i="103" s="1"/>
  <c r="AI49" i="103" s="1"/>
  <c r="AL351" i="99"/>
  <c r="AL352" i="99" s="1"/>
  <c r="AL44" i="99" s="1"/>
  <c r="AN399" i="99"/>
  <c r="AN400" i="99" s="1"/>
  <c r="AN57" i="99" s="1"/>
  <c r="AN122" i="104" s="1"/>
  <c r="AN57" i="104" s="1"/>
  <c r="AQ351" i="99"/>
  <c r="AQ352" i="99" s="1"/>
  <c r="AQ44" i="99" s="1"/>
  <c r="AQ109" i="104" s="1"/>
  <c r="AQ44" i="104" s="1"/>
  <c r="AS399" i="99"/>
  <c r="AS400" i="99" s="1"/>
  <c r="AS57" i="99" s="1"/>
  <c r="AS122" i="99" s="1"/>
  <c r="AV371" i="99"/>
  <c r="AV372" i="99" s="1"/>
  <c r="AV49" i="99" s="1"/>
  <c r="AV114" i="103" s="1"/>
  <c r="AV49" i="103" s="1"/>
  <c r="AX444" i="99"/>
  <c r="AX445" i="99" s="1"/>
  <c r="AX68" i="99" s="1"/>
  <c r="AX133" i="99" s="1"/>
  <c r="BA444" i="99"/>
  <c r="BA445" i="99" s="1"/>
  <c r="BA68" i="99" s="1"/>
  <c r="BA133" i="99" s="1"/>
  <c r="BC351" i="99"/>
  <c r="BC352" i="99" s="1"/>
  <c r="BC44" i="99" s="1"/>
  <c r="BC109" i="103" s="1"/>
  <c r="BC44" i="103" s="1"/>
  <c r="BE379" i="99"/>
  <c r="BE380" i="99" s="1"/>
  <c r="BE50" i="99" s="1"/>
  <c r="BE115" i="103" s="1"/>
  <c r="BE50" i="103" s="1"/>
  <c r="BH351" i="99"/>
  <c r="BH352" i="99" s="1"/>
  <c r="BH44" i="99" s="1"/>
  <c r="BH109" i="103" s="1"/>
  <c r="BH44" i="103" s="1"/>
  <c r="BI399" i="99"/>
  <c r="BI400" i="99" s="1"/>
  <c r="BI57" i="99" s="1"/>
  <c r="BI122" i="103" s="1"/>
  <c r="BI57" i="103" s="1"/>
  <c r="BM407" i="99"/>
  <c r="BM408" i="99" s="1"/>
  <c r="BM58" i="99" s="1"/>
  <c r="BM123" i="99" s="1"/>
  <c r="BO407" i="99"/>
  <c r="BO408" i="99" s="1"/>
  <c r="BO58" i="99" s="1"/>
  <c r="BO123" i="103" s="1"/>
  <c r="BO58" i="103" s="1"/>
  <c r="BQ399" i="99"/>
  <c r="BQ400" i="99" s="1"/>
  <c r="BQ57" i="99" s="1"/>
  <c r="BQ122" i="104" s="1"/>
  <c r="BQ57" i="104" s="1"/>
  <c r="BI436" i="99"/>
  <c r="BI437" i="99" s="1"/>
  <c r="BI74" i="99" s="1"/>
  <c r="BI139" i="99" s="1"/>
  <c r="U436" i="99"/>
  <c r="U437" i="99" s="1"/>
  <c r="U74" i="99" s="1"/>
  <c r="U139" i="99" s="1"/>
  <c r="BS399" i="99"/>
  <c r="BS400" i="99" s="1"/>
  <c r="BS57" i="99" s="1"/>
  <c r="BS122" i="99" s="1"/>
  <c r="BU387" i="99"/>
  <c r="BU388" i="99" s="1"/>
  <c r="BU51" i="99" s="1"/>
  <c r="BU116" i="99" s="1"/>
  <c r="BW399" i="99"/>
  <c r="BW400" i="99" s="1"/>
  <c r="BW57" i="99" s="1"/>
  <c r="S363" i="99"/>
  <c r="S364" i="99" s="1"/>
  <c r="S48" i="99" s="1"/>
  <c r="S113" i="104" s="1"/>
  <c r="S48" i="104" s="1"/>
  <c r="U387" i="99"/>
  <c r="U388" i="99" s="1"/>
  <c r="U51" i="99" s="1"/>
  <c r="U116" i="103" s="1"/>
  <c r="U51" i="103" s="1"/>
  <c r="X444" i="99"/>
  <c r="X445" i="99" s="1"/>
  <c r="X68" i="99" s="1"/>
  <c r="X133" i="99" s="1"/>
  <c r="Z351" i="99"/>
  <c r="Z352" i="99" s="1"/>
  <c r="Z44" i="99" s="1"/>
  <c r="AB387" i="99"/>
  <c r="AB388" i="99" s="1"/>
  <c r="AB51" i="99" s="1"/>
  <c r="AB116" i="103" s="1"/>
  <c r="AB51" i="103" s="1"/>
  <c r="AE379" i="99"/>
  <c r="AE380" i="99" s="1"/>
  <c r="AE50" i="99" s="1"/>
  <c r="AE115" i="99" s="1"/>
  <c r="AG399" i="99"/>
  <c r="AG400" i="99" s="1"/>
  <c r="AG57" i="99" s="1"/>
  <c r="AG122" i="104" s="1"/>
  <c r="AG57" i="104" s="1"/>
  <c r="AJ351" i="99"/>
  <c r="AJ352" i="99" s="1"/>
  <c r="AJ44" i="99" s="1"/>
  <c r="AJ109" i="104" s="1"/>
  <c r="AJ44" i="104" s="1"/>
  <c r="AL399" i="99"/>
  <c r="AL400" i="99" s="1"/>
  <c r="AL57" i="99" s="1"/>
  <c r="AL122" i="99" s="1"/>
  <c r="AM399" i="99"/>
  <c r="AM400" i="99" s="1"/>
  <c r="AM57" i="99" s="1"/>
  <c r="AM122" i="99" s="1"/>
  <c r="AQ379" i="99"/>
  <c r="AQ380" i="99" s="1"/>
  <c r="AQ50" i="99" s="1"/>
  <c r="AQ115" i="103" s="1"/>
  <c r="AQ50" i="103" s="1"/>
  <c r="AS444" i="99"/>
  <c r="AS445" i="99" s="1"/>
  <c r="AS68" i="99" s="1"/>
  <c r="AS133" i="99" s="1"/>
  <c r="AV444" i="99"/>
  <c r="AV445" i="99" s="1"/>
  <c r="AV68" i="99" s="1"/>
  <c r="AV133" i="99" s="1"/>
  <c r="AX371" i="99"/>
  <c r="AX372" i="99" s="1"/>
  <c r="AX49" i="99" s="1"/>
  <c r="AX114" i="104" s="1"/>
  <c r="AX49" i="104" s="1"/>
  <c r="AZ363" i="99"/>
  <c r="AZ364" i="99" s="1"/>
  <c r="AZ48" i="99" s="1"/>
  <c r="AZ113" i="99" s="1"/>
  <c r="BC407" i="99"/>
  <c r="BC408" i="99" s="1"/>
  <c r="BC58" i="99" s="1"/>
  <c r="BC123" i="103" s="1"/>
  <c r="BC58" i="103" s="1"/>
  <c r="BF407" i="99"/>
  <c r="BF408" i="99" s="1"/>
  <c r="BF58" i="99" s="1"/>
  <c r="BF123" i="103" s="1"/>
  <c r="BF58" i="103" s="1"/>
  <c r="BH371" i="99"/>
  <c r="BH372" i="99" s="1"/>
  <c r="BH49" i="99" s="1"/>
  <c r="BH114" i="103" s="1"/>
  <c r="BH49" i="103" s="1"/>
  <c r="BJ379" i="99"/>
  <c r="BJ380" i="99" s="1"/>
  <c r="BJ50" i="99" s="1"/>
  <c r="BJ115" i="103" s="1"/>
  <c r="BJ50" i="103" s="1"/>
  <c r="BL399" i="99"/>
  <c r="BL400" i="99" s="1"/>
  <c r="BL57" i="99" s="1"/>
  <c r="BL122" i="103" s="1"/>
  <c r="BL57" i="103" s="1"/>
  <c r="BO351" i="99"/>
  <c r="BO352" i="99" s="1"/>
  <c r="BO44" i="99" s="1"/>
  <c r="BO109" i="99" s="1"/>
  <c r="BN436" i="99"/>
  <c r="BN437" i="99" s="1"/>
  <c r="BN74" i="99" s="1"/>
  <c r="BN139" i="99" s="1"/>
  <c r="AJ436" i="99"/>
  <c r="AJ437" i="99" s="1"/>
  <c r="AJ74" i="99" s="1"/>
  <c r="AJ139" i="99" s="1"/>
  <c r="AU436" i="99"/>
  <c r="AU437" i="99" s="1"/>
  <c r="AU74" i="99" s="1"/>
  <c r="AU139" i="99" s="1"/>
  <c r="BU379" i="99"/>
  <c r="BU380" i="99" s="1"/>
  <c r="BU50" i="99" s="1"/>
  <c r="U399" i="99"/>
  <c r="U400" i="99" s="1"/>
  <c r="U57" i="99" s="1"/>
  <c r="X351" i="99"/>
  <c r="X352" i="99" s="1"/>
  <c r="X44" i="99" s="1"/>
  <c r="X109" i="103" s="1"/>
  <c r="X44" i="103" s="1"/>
  <c r="Y407" i="99"/>
  <c r="Y408" i="99" s="1"/>
  <c r="Y58" i="99" s="1"/>
  <c r="Y123" i="103" s="1"/>
  <c r="Y58" i="103" s="1"/>
  <c r="AB379" i="99"/>
  <c r="AB380" i="99" s="1"/>
  <c r="AB50" i="99" s="1"/>
  <c r="AB115" i="99" s="1"/>
  <c r="AE444" i="99"/>
  <c r="AE445" i="99" s="1"/>
  <c r="AE68" i="99" s="1"/>
  <c r="AE133" i="99" s="1"/>
  <c r="AG387" i="99"/>
  <c r="AG388" i="99" s="1"/>
  <c r="AG51" i="99" s="1"/>
  <c r="AG116" i="103" s="1"/>
  <c r="AG51" i="103" s="1"/>
  <c r="AJ407" i="99"/>
  <c r="AJ408" i="99" s="1"/>
  <c r="AJ58" i="99" s="1"/>
  <c r="AL407" i="99"/>
  <c r="AL408" i="99" s="1"/>
  <c r="AL58" i="99" s="1"/>
  <c r="AL123" i="104" s="1"/>
  <c r="AL58" i="104" s="1"/>
  <c r="AO379" i="99"/>
  <c r="AO380" i="99" s="1"/>
  <c r="AO50" i="99" s="1"/>
  <c r="AO115" i="103" s="1"/>
  <c r="AO50" i="103" s="1"/>
  <c r="AQ387" i="99"/>
  <c r="AQ388" i="99" s="1"/>
  <c r="AQ51" i="99" s="1"/>
  <c r="AQ116" i="103" s="1"/>
  <c r="AQ51" i="103" s="1"/>
  <c r="AR363" i="99"/>
  <c r="AR364" i="99" s="1"/>
  <c r="AR48" i="99" s="1"/>
  <c r="AR113" i="103" s="1"/>
  <c r="AR48" i="103" s="1"/>
  <c r="AV399" i="99"/>
  <c r="AV400" i="99" s="1"/>
  <c r="AV57" i="99" s="1"/>
  <c r="AV122" i="99" s="1"/>
  <c r="AX387" i="99"/>
  <c r="AX388" i="99" s="1"/>
  <c r="AX51" i="99" s="1"/>
  <c r="AX116" i="103" s="1"/>
  <c r="AX51" i="103" s="1"/>
  <c r="BA407" i="99"/>
  <c r="BA408" i="99" s="1"/>
  <c r="BA58" i="99" s="1"/>
  <c r="BA123" i="99" s="1"/>
  <c r="BC444" i="99"/>
  <c r="BC445" i="99" s="1"/>
  <c r="BC68" i="99" s="1"/>
  <c r="BC133" i="99" s="1"/>
  <c r="BF444" i="99"/>
  <c r="BF445" i="99" s="1"/>
  <c r="BF68" i="99" s="1"/>
  <c r="BF133" i="99" s="1"/>
  <c r="BH387" i="99"/>
  <c r="BH388" i="99" s="1"/>
  <c r="BH51" i="99" s="1"/>
  <c r="BH116" i="103" s="1"/>
  <c r="BH51" i="103" s="1"/>
  <c r="BK444" i="99"/>
  <c r="BK445" i="99" s="1"/>
  <c r="BK68" i="99" s="1"/>
  <c r="BK133" i="99" s="1"/>
  <c r="BP371" i="99"/>
  <c r="BP372" i="99" s="1"/>
  <c r="BP49" i="99" s="1"/>
  <c r="BP114" i="103" s="1"/>
  <c r="BP49" i="103" s="1"/>
  <c r="BR351" i="99"/>
  <c r="BR352" i="99" s="1"/>
  <c r="BR44" i="99" s="1"/>
  <c r="BR109" i="103" s="1"/>
  <c r="BR44" i="103" s="1"/>
  <c r="AB436" i="99"/>
  <c r="AB437" i="99" s="1"/>
  <c r="AB74" i="99" s="1"/>
  <c r="AB139" i="99" s="1"/>
  <c r="R436" i="99"/>
  <c r="R437" i="99" s="1"/>
  <c r="R74" i="99" s="1"/>
  <c r="R139" i="103" s="1"/>
  <c r="R74" i="103" s="1"/>
  <c r="X436" i="99"/>
  <c r="X437" i="99" s="1"/>
  <c r="X74" i="99" s="1"/>
  <c r="X139" i="99" s="1"/>
  <c r="BU399" i="99"/>
  <c r="BU400" i="99" s="1"/>
  <c r="BU57" i="99" s="1"/>
  <c r="BU122" i="103" s="1"/>
  <c r="BU57" i="103" s="1"/>
  <c r="R371" i="99"/>
  <c r="R372" i="99" s="1"/>
  <c r="R49" i="99" s="1"/>
  <c r="R114" i="99" s="1"/>
  <c r="R379" i="99"/>
  <c r="R380" i="99" s="1"/>
  <c r="R50" i="99" s="1"/>
  <c r="R115" i="99" s="1"/>
  <c r="W363" i="99"/>
  <c r="W364" i="99" s="1"/>
  <c r="W48" i="99" s="1"/>
  <c r="W113" i="103" s="1"/>
  <c r="W48" i="103" s="1"/>
  <c r="Z371" i="99"/>
  <c r="Z372" i="99" s="1"/>
  <c r="Z49" i="99" s="1"/>
  <c r="Z114" i="103" s="1"/>
  <c r="Z49" i="103" s="1"/>
  <c r="AC371" i="99"/>
  <c r="AC372" i="99" s="1"/>
  <c r="AC49" i="99" s="1"/>
  <c r="AC114" i="99" s="1"/>
  <c r="AE371" i="99"/>
  <c r="AE372" i="99" s="1"/>
  <c r="AE49" i="99" s="1"/>
  <c r="AE114" i="99" s="1"/>
  <c r="AG444" i="99"/>
  <c r="AG445" i="99" s="1"/>
  <c r="AG68" i="99" s="1"/>
  <c r="AG133" i="99" s="1"/>
  <c r="AJ399" i="99"/>
  <c r="AJ400" i="99" s="1"/>
  <c r="AJ57" i="99" s="1"/>
  <c r="AJ122" i="103" s="1"/>
  <c r="AJ57" i="103" s="1"/>
  <c r="AL387" i="99"/>
  <c r="AL388" i="99" s="1"/>
  <c r="AL51" i="99" s="1"/>
  <c r="AL116" i="103" s="1"/>
  <c r="AL51" i="103" s="1"/>
  <c r="AO444" i="99"/>
  <c r="AO445" i="99" s="1"/>
  <c r="AO68" i="99" s="1"/>
  <c r="AO133" i="99" s="1"/>
  <c r="AP363" i="99"/>
  <c r="AP364" i="99" s="1"/>
  <c r="AP48" i="99" s="1"/>
  <c r="AS363" i="99"/>
  <c r="AS364" i="99" s="1"/>
  <c r="AS48" i="99" s="1"/>
  <c r="AS113" i="104" s="1"/>
  <c r="AS48" i="104" s="1"/>
  <c r="AV407" i="99"/>
  <c r="AV408" i="99" s="1"/>
  <c r="AV58" i="99" s="1"/>
  <c r="AV123" i="104" s="1"/>
  <c r="AV58" i="104" s="1"/>
  <c r="AX399" i="99"/>
  <c r="AX400" i="99" s="1"/>
  <c r="AX57" i="99" s="1"/>
  <c r="AX122" i="103" s="1"/>
  <c r="AX57" i="103" s="1"/>
  <c r="BA379" i="99"/>
  <c r="BA380" i="99" s="1"/>
  <c r="BA50" i="99" s="1"/>
  <c r="BA115" i="103" s="1"/>
  <c r="BA50" i="103" s="1"/>
  <c r="BC371" i="99"/>
  <c r="BC372" i="99" s="1"/>
  <c r="BC49" i="99" s="1"/>
  <c r="BC114" i="104" s="1"/>
  <c r="BC49" i="104" s="1"/>
  <c r="BF371" i="99"/>
  <c r="BF372" i="99" s="1"/>
  <c r="BF49" i="99" s="1"/>
  <c r="BG363" i="99"/>
  <c r="BG364" i="99" s="1"/>
  <c r="BG48" i="99" s="1"/>
  <c r="BK387" i="99"/>
  <c r="BK388" i="99" s="1"/>
  <c r="BK51" i="99" s="1"/>
  <c r="BM351" i="99"/>
  <c r="BM352" i="99" s="1"/>
  <c r="BM44" i="99" s="1"/>
  <c r="BM109" i="103" s="1"/>
  <c r="BM44" i="103" s="1"/>
  <c r="BP407" i="99"/>
  <c r="BP408" i="99" s="1"/>
  <c r="BP58" i="99" s="1"/>
  <c r="BP123" i="104" s="1"/>
  <c r="BP58" i="104" s="1"/>
  <c r="BR399" i="99"/>
  <c r="BR400" i="99" s="1"/>
  <c r="BR57" i="99" s="1"/>
  <c r="BR122" i="103" s="1"/>
  <c r="BR57" i="103" s="1"/>
  <c r="BR363" i="99"/>
  <c r="BR364" i="99" s="1"/>
  <c r="BR48" i="99" s="1"/>
  <c r="BR113" i="99" s="1"/>
  <c r="T436" i="99"/>
  <c r="T437" i="99" s="1"/>
  <c r="T74" i="99" s="1"/>
  <c r="T139" i="99" s="1"/>
  <c r="BS407" i="99"/>
  <c r="BS408" i="99" s="1"/>
  <c r="BS58" i="99" s="1"/>
  <c r="BS123" i="103" s="1"/>
  <c r="BS58" i="103" s="1"/>
  <c r="BT363" i="99"/>
  <c r="BT364" i="99" s="1"/>
  <c r="BT48" i="99" s="1"/>
  <c r="S444" i="99"/>
  <c r="S445" i="99" s="1"/>
  <c r="S68" i="99" s="1"/>
  <c r="S133" i="99" s="1"/>
  <c r="Z444" i="99"/>
  <c r="Z445" i="99" s="1"/>
  <c r="Z68" i="99" s="1"/>
  <c r="Z133" i="99" s="1"/>
  <c r="AC399" i="99"/>
  <c r="AC400" i="99" s="1"/>
  <c r="AC57" i="99" s="1"/>
  <c r="AC122" i="103" s="1"/>
  <c r="AC57" i="103" s="1"/>
  <c r="AE399" i="99"/>
  <c r="AE400" i="99" s="1"/>
  <c r="AE57" i="99" s="1"/>
  <c r="AE122" i="103" s="1"/>
  <c r="AE57" i="103" s="1"/>
  <c r="AJ379" i="99"/>
  <c r="AJ380" i="99" s="1"/>
  <c r="AJ50" i="99" s="1"/>
  <c r="AK363" i="99"/>
  <c r="AK364" i="99" s="1"/>
  <c r="AK48" i="99" s="1"/>
  <c r="AK113" i="103" s="1"/>
  <c r="AK48" i="103" s="1"/>
  <c r="AO351" i="99"/>
  <c r="AO352" i="99" s="1"/>
  <c r="AO44" i="99" s="1"/>
  <c r="AO109" i="103" s="1"/>
  <c r="AO44" i="103" s="1"/>
  <c r="AT351" i="99"/>
  <c r="AT352" i="99" s="1"/>
  <c r="AT44" i="99" s="1"/>
  <c r="AV387" i="99"/>
  <c r="AV388" i="99" s="1"/>
  <c r="AV51" i="99" s="1"/>
  <c r="AV116" i="103" s="1"/>
  <c r="AV51" i="103" s="1"/>
  <c r="AY379" i="99"/>
  <c r="AY380" i="99" s="1"/>
  <c r="AY50" i="99" s="1"/>
  <c r="AY115" i="103" s="1"/>
  <c r="AY50" i="103" s="1"/>
  <c r="BA351" i="99"/>
  <c r="BA352" i="99" s="1"/>
  <c r="BA44" i="99" s="1"/>
  <c r="BA109" i="104" s="1"/>
  <c r="BA44" i="104" s="1"/>
  <c r="BB363" i="99"/>
  <c r="BB364" i="99" s="1"/>
  <c r="BB48" i="99" s="1"/>
  <c r="BB113" i="99" s="1"/>
  <c r="BF387" i="99"/>
  <c r="BF388" i="99" s="1"/>
  <c r="BF51" i="99" s="1"/>
  <c r="BH399" i="99"/>
  <c r="BH400" i="99" s="1"/>
  <c r="BH57" i="99" s="1"/>
  <c r="BH122" i="104" s="1"/>
  <c r="BH57" i="104" s="1"/>
  <c r="BM379" i="99"/>
  <c r="BM380" i="99" s="1"/>
  <c r="BM50" i="99" s="1"/>
  <c r="BM115" i="104" s="1"/>
  <c r="BM50" i="104" s="1"/>
  <c r="BP444" i="99"/>
  <c r="BP445" i="99" s="1"/>
  <c r="BP68" i="99" s="1"/>
  <c r="BP133" i="99" s="1"/>
  <c r="BR379" i="99"/>
  <c r="BR380" i="99" s="1"/>
  <c r="BR50" i="99" s="1"/>
  <c r="BR115" i="99" s="1"/>
  <c r="Z436" i="99"/>
  <c r="Z437" i="99" s="1"/>
  <c r="Z74" i="99" s="1"/>
  <c r="Z139" i="99" s="1"/>
  <c r="BS444" i="99"/>
  <c r="BS445" i="99" s="1"/>
  <c r="BS68" i="99" s="1"/>
  <c r="BS133" i="99" s="1"/>
  <c r="AG436" i="99"/>
  <c r="AG437" i="99" s="1"/>
  <c r="AG74" i="99" s="1"/>
  <c r="AG139" i="99" s="1"/>
  <c r="BV379" i="99"/>
  <c r="BV380" i="99" s="1"/>
  <c r="BV50" i="99" s="1"/>
  <c r="BV115" i="103" s="1"/>
  <c r="BV50" i="103" s="1"/>
  <c r="BW407" i="99"/>
  <c r="BW408" i="99" s="1"/>
  <c r="BW58" i="99" s="1"/>
  <c r="BW123" i="103" s="1"/>
  <c r="BW58" i="103" s="1"/>
  <c r="S407" i="99"/>
  <c r="S408" i="99" s="1"/>
  <c r="S58" i="99" s="1"/>
  <c r="S123" i="99" s="1"/>
  <c r="X399" i="99"/>
  <c r="X400" i="99" s="1"/>
  <c r="X57" i="99" s="1"/>
  <c r="Y363" i="99"/>
  <c r="Y364" i="99" s="1"/>
  <c r="Y48" i="99" s="1"/>
  <c r="Y113" i="99" s="1"/>
  <c r="AC351" i="99"/>
  <c r="AC352" i="99" s="1"/>
  <c r="AC44" i="99" s="1"/>
  <c r="AC109" i="99" s="1"/>
  <c r="AD363" i="99"/>
  <c r="AD364" i="99" s="1"/>
  <c r="AD48" i="99" s="1"/>
  <c r="AD113" i="99" s="1"/>
  <c r="AH399" i="99"/>
  <c r="AH400" i="99" s="1"/>
  <c r="AH57" i="99" s="1"/>
  <c r="AH122" i="103" s="1"/>
  <c r="AH57" i="103" s="1"/>
  <c r="AJ387" i="99"/>
  <c r="AJ388" i="99" s="1"/>
  <c r="AJ51" i="99" s="1"/>
  <c r="AL371" i="99"/>
  <c r="AL372" i="99" s="1"/>
  <c r="AL49" i="99" s="1"/>
  <c r="AL114" i="103" s="1"/>
  <c r="AL49" i="103" s="1"/>
  <c r="AO399" i="99"/>
  <c r="AO400" i="99" s="1"/>
  <c r="AO57" i="99" s="1"/>
  <c r="AT399" i="99"/>
  <c r="AT400" i="99" s="1"/>
  <c r="AT57" i="99" s="1"/>
  <c r="AY399" i="99"/>
  <c r="AY400" i="99" s="1"/>
  <c r="AY57" i="99" s="1"/>
  <c r="BA399" i="99"/>
  <c r="BA400" i="99" s="1"/>
  <c r="BA57" i="99" s="1"/>
  <c r="BA122" i="99" s="1"/>
  <c r="BD407" i="99"/>
  <c r="BD408" i="99" s="1"/>
  <c r="BD58" i="99" s="1"/>
  <c r="BD123" i="103" s="1"/>
  <c r="BD58" i="103" s="1"/>
  <c r="BE363" i="99"/>
  <c r="BE364" i="99" s="1"/>
  <c r="BE48" i="99" s="1"/>
  <c r="BE113" i="103" s="1"/>
  <c r="BE48" i="103" s="1"/>
  <c r="BK399" i="99"/>
  <c r="BK400" i="99" s="1"/>
  <c r="BK57" i="99" s="1"/>
  <c r="BK122" i="104" s="1"/>
  <c r="BK57" i="104" s="1"/>
  <c r="BM399" i="99"/>
  <c r="BM400" i="99" s="1"/>
  <c r="BM57" i="99" s="1"/>
  <c r="BP351" i="99"/>
  <c r="BP352" i="99" s="1"/>
  <c r="BP44" i="99" s="1"/>
  <c r="BP109" i="99" s="1"/>
  <c r="BR407" i="99"/>
  <c r="BR408" i="99" s="1"/>
  <c r="BR58" i="99" s="1"/>
  <c r="BR123" i="99" s="1"/>
  <c r="AX436" i="99"/>
  <c r="AX437" i="99" s="1"/>
  <c r="AX74" i="99" s="1"/>
  <c r="AX139" i="99" s="1"/>
  <c r="AI436" i="99"/>
  <c r="AI437" i="99" s="1"/>
  <c r="AI74" i="99" s="1"/>
  <c r="AI139" i="99" s="1"/>
  <c r="BW436" i="99"/>
  <c r="BW437" i="99" s="1"/>
  <c r="BW74" i="99" s="1"/>
  <c r="BW139" i="99" s="1"/>
  <c r="R363" i="99"/>
  <c r="R364" i="99" s="1"/>
  <c r="R48" i="99" s="1"/>
  <c r="R113" i="103" s="1"/>
  <c r="R48" i="103" s="1"/>
  <c r="V371" i="99"/>
  <c r="V372" i="99" s="1"/>
  <c r="V49" i="99" s="1"/>
  <c r="V114" i="104" s="1"/>
  <c r="V49" i="104" s="1"/>
  <c r="W399" i="99"/>
  <c r="W400" i="99" s="1"/>
  <c r="W57" i="99" s="1"/>
  <c r="W122" i="104" s="1"/>
  <c r="W57" i="104" s="1"/>
  <c r="R182" i="99"/>
  <c r="R190" i="99" s="1"/>
  <c r="AC444" i="99"/>
  <c r="AC445" i="99" s="1"/>
  <c r="AC68" i="99" s="1"/>
  <c r="AC133" i="99" s="1"/>
  <c r="AE387" i="99"/>
  <c r="AE388" i="99" s="1"/>
  <c r="AE51" i="99" s="1"/>
  <c r="AE116" i="99" s="1"/>
  <c r="AH387" i="99"/>
  <c r="AH388" i="99" s="1"/>
  <c r="AH51" i="99" s="1"/>
  <c r="AH116" i="99" s="1"/>
  <c r="AQ371" i="99"/>
  <c r="AQ372" i="99" s="1"/>
  <c r="AQ49" i="99" s="1"/>
  <c r="AT379" i="99"/>
  <c r="AT380" i="99" s="1"/>
  <c r="AT50" i="99" s="1"/>
  <c r="AT115" i="104" s="1"/>
  <c r="AT50" i="104" s="1"/>
  <c r="AY387" i="99"/>
  <c r="AY388" i="99" s="1"/>
  <c r="AY51" i="99" s="1"/>
  <c r="AY116" i="104" s="1"/>
  <c r="AY51" i="104" s="1"/>
  <c r="BF379" i="99"/>
  <c r="BF380" i="99" s="1"/>
  <c r="BF50" i="99" s="1"/>
  <c r="BF115" i="104" s="1"/>
  <c r="BF50" i="104" s="1"/>
  <c r="BI387" i="99"/>
  <c r="BI388" i="99" s="1"/>
  <c r="BI51" i="99" s="1"/>
  <c r="BI116" i="103" s="1"/>
  <c r="BI51" i="103" s="1"/>
  <c r="BK379" i="99"/>
  <c r="BK380" i="99" s="1"/>
  <c r="BK50" i="99" s="1"/>
  <c r="BK115" i="103" s="1"/>
  <c r="BK50" i="103" s="1"/>
  <c r="BM371" i="99"/>
  <c r="BM372" i="99" s="1"/>
  <c r="BM49" i="99" s="1"/>
  <c r="BP399" i="99"/>
  <c r="BP400" i="99" s="1"/>
  <c r="BP57" i="99" s="1"/>
  <c r="BP122" i="104" s="1"/>
  <c r="BP57" i="104" s="1"/>
  <c r="BR371" i="99"/>
  <c r="BR372" i="99" s="1"/>
  <c r="BR49" i="99" s="1"/>
  <c r="BR114" i="99" s="1"/>
  <c r="AT436" i="99"/>
  <c r="AT437" i="99" s="1"/>
  <c r="AT74" i="99" s="1"/>
  <c r="AZ436" i="99"/>
  <c r="AZ437" i="99" s="1"/>
  <c r="AZ74" i="99" s="1"/>
  <c r="AZ139" i="99" s="1"/>
  <c r="BT444" i="99"/>
  <c r="BT445" i="99" s="1"/>
  <c r="BT68" i="99" s="1"/>
  <c r="BT133" i="99" s="1"/>
  <c r="BV351" i="99"/>
  <c r="BV352" i="99" s="1"/>
  <c r="BV44" i="99" s="1"/>
  <c r="BV109" i="103" s="1"/>
  <c r="BV44" i="103" s="1"/>
  <c r="BV363" i="99"/>
  <c r="BV364" i="99" s="1"/>
  <c r="BV48" i="99" s="1"/>
  <c r="BV113" i="104" s="1"/>
  <c r="BV48" i="104" s="1"/>
  <c r="BW379" i="99"/>
  <c r="BW380" i="99" s="1"/>
  <c r="BW50" i="99" s="1"/>
  <c r="T351" i="99"/>
  <c r="T352" i="99" s="1"/>
  <c r="T44" i="99" s="1"/>
  <c r="T109" i="103" s="1"/>
  <c r="T44" i="103" s="1"/>
  <c r="V387" i="99"/>
  <c r="V388" i="99" s="1"/>
  <c r="V51" i="99" s="1"/>
  <c r="V116" i="103" s="1"/>
  <c r="V51" i="103" s="1"/>
  <c r="X387" i="99"/>
  <c r="X388" i="99" s="1"/>
  <c r="X51" i="99" s="1"/>
  <c r="X116" i="104" s="1"/>
  <c r="X51" i="104" s="1"/>
  <c r="Z399" i="99"/>
  <c r="Z400" i="99" s="1"/>
  <c r="Z57" i="99" s="1"/>
  <c r="Z122" i="103" s="1"/>
  <c r="Z57" i="103" s="1"/>
  <c r="AC387" i="99"/>
  <c r="AC388" i="99" s="1"/>
  <c r="AC51" i="99" s="1"/>
  <c r="AC116" i="104" s="1"/>
  <c r="AC51" i="104" s="1"/>
  <c r="AE351" i="99"/>
  <c r="AE352" i="99" s="1"/>
  <c r="AE44" i="99" s="1"/>
  <c r="AH379" i="99"/>
  <c r="AH380" i="99" s="1"/>
  <c r="AH50" i="99" s="1"/>
  <c r="AH115" i="103" s="1"/>
  <c r="AH50" i="103" s="1"/>
  <c r="AJ371" i="99"/>
  <c r="AJ372" i="99" s="1"/>
  <c r="AJ49" i="99" s="1"/>
  <c r="AJ114" i="103" s="1"/>
  <c r="AJ49" i="103" s="1"/>
  <c r="AM444" i="99"/>
  <c r="AM445" i="99" s="1"/>
  <c r="AM68" i="99" s="1"/>
  <c r="AM133" i="99" s="1"/>
  <c r="AN363" i="99"/>
  <c r="AN364" i="99" s="1"/>
  <c r="AN48" i="99" s="1"/>
  <c r="AN113" i="104" s="1"/>
  <c r="AN48" i="104" s="1"/>
  <c r="AR351" i="99"/>
  <c r="AR352" i="99" s="1"/>
  <c r="AR44" i="99" s="1"/>
  <c r="AR109" i="103" s="1"/>
  <c r="AR44" i="103" s="1"/>
  <c r="AT387" i="99"/>
  <c r="AT388" i="99" s="1"/>
  <c r="AT51" i="99" s="1"/>
  <c r="AT116" i="103" s="1"/>
  <c r="AT51" i="103" s="1"/>
  <c r="AU363" i="99"/>
  <c r="AU364" i="99" s="1"/>
  <c r="AU48" i="99" s="1"/>
  <c r="AU113" i="99" s="1"/>
  <c r="AY407" i="99"/>
  <c r="AY408" i="99" s="1"/>
  <c r="AY58" i="99" s="1"/>
  <c r="AY123" i="104" s="1"/>
  <c r="AY58" i="104" s="1"/>
  <c r="BA371" i="99"/>
  <c r="BA372" i="99" s="1"/>
  <c r="BA49" i="99" s="1"/>
  <c r="BA114" i="103" s="1"/>
  <c r="BA49" i="103" s="1"/>
  <c r="BD351" i="99"/>
  <c r="BD352" i="99" s="1"/>
  <c r="BD44" i="99" s="1"/>
  <c r="BD109" i="99" s="1"/>
  <c r="BF351" i="99"/>
  <c r="BF352" i="99" s="1"/>
  <c r="BF44" i="99" s="1"/>
  <c r="BF109" i="103" s="1"/>
  <c r="BF44" i="103" s="1"/>
  <c r="BI407" i="99"/>
  <c r="BI408" i="99" s="1"/>
  <c r="BI58" i="99" s="1"/>
  <c r="BI123" i="104" s="1"/>
  <c r="BI58" i="104" s="1"/>
  <c r="BJ363" i="99"/>
  <c r="BJ364" i="99" s="1"/>
  <c r="BJ48" i="99" s="1"/>
  <c r="BN371" i="99"/>
  <c r="BN372" i="99" s="1"/>
  <c r="BN49" i="99" s="1"/>
  <c r="BN114" i="103" s="1"/>
  <c r="BN49" i="103" s="1"/>
  <c r="BP387" i="99"/>
  <c r="BP388" i="99" s="1"/>
  <c r="BP51" i="99" s="1"/>
  <c r="BP116" i="103" s="1"/>
  <c r="BP51" i="103" s="1"/>
  <c r="BR444" i="99"/>
  <c r="BR445" i="99" s="1"/>
  <c r="BR68" i="99" s="1"/>
  <c r="BR133" i="99" s="1"/>
  <c r="AM436" i="99"/>
  <c r="AM437" i="99" s="1"/>
  <c r="AM74" i="99" s="1"/>
  <c r="AC436" i="99"/>
  <c r="AC437" i="99" s="1"/>
  <c r="AC74" i="99" s="1"/>
  <c r="AC139" i="99" s="1"/>
  <c r="BU436" i="99"/>
  <c r="BU437" i="99" s="1"/>
  <c r="BU74" i="99" s="1"/>
  <c r="BV407" i="99"/>
  <c r="BV408" i="99" s="1"/>
  <c r="BV58" i="99" s="1"/>
  <c r="BV123" i="104" s="1"/>
  <c r="BV58" i="104" s="1"/>
  <c r="T182" i="99"/>
  <c r="T190" i="99" s="1"/>
  <c r="S182" i="99"/>
  <c r="S190" i="99" s="1"/>
  <c r="BX371" i="99"/>
  <c r="BX372" i="99" s="1"/>
  <c r="BX49" i="99" s="1"/>
  <c r="BX114" i="103" s="1"/>
  <c r="BX49" i="103" s="1"/>
  <c r="V182" i="99"/>
  <c r="V190" i="99" s="1"/>
  <c r="T371" i="99"/>
  <c r="T372" i="99" s="1"/>
  <c r="T49" i="99" s="1"/>
  <c r="X371" i="99"/>
  <c r="X372" i="99" s="1"/>
  <c r="X49" i="99" s="1"/>
  <c r="X114" i="104" s="1"/>
  <c r="X49" i="104" s="1"/>
  <c r="AA407" i="99"/>
  <c r="AA408" i="99" s="1"/>
  <c r="AA58" i="99" s="1"/>
  <c r="AA123" i="99" s="1"/>
  <c r="AB399" i="99"/>
  <c r="AB400" i="99" s="1"/>
  <c r="AB57" i="99" s="1"/>
  <c r="AD407" i="99"/>
  <c r="AD408" i="99" s="1"/>
  <c r="AD58" i="99" s="1"/>
  <c r="AD123" i="99" s="1"/>
  <c r="AH371" i="99"/>
  <c r="AH372" i="99" s="1"/>
  <c r="AH49" i="99" s="1"/>
  <c r="AI363" i="99"/>
  <c r="AI364" i="99" s="1"/>
  <c r="AI48" i="99" s="1"/>
  <c r="AI113" i="103" s="1"/>
  <c r="AI48" i="103" s="1"/>
  <c r="AM387" i="99"/>
  <c r="AM388" i="99" s="1"/>
  <c r="AM51" i="99" s="1"/>
  <c r="AM116" i="99" s="1"/>
  <c r="AO387" i="99"/>
  <c r="AO388" i="99" s="1"/>
  <c r="AO51" i="99" s="1"/>
  <c r="AO116" i="103" s="1"/>
  <c r="AO51" i="103" s="1"/>
  <c r="AR407" i="99"/>
  <c r="AR408" i="99" s="1"/>
  <c r="AR58" i="99" s="1"/>
  <c r="AR123" i="103" s="1"/>
  <c r="AR58" i="103" s="1"/>
  <c r="AW351" i="99"/>
  <c r="AW352" i="99" s="1"/>
  <c r="AW44" i="99" s="1"/>
  <c r="AW109" i="103" s="1"/>
  <c r="AW44" i="103" s="1"/>
  <c r="AY371" i="99"/>
  <c r="AY372" i="99" s="1"/>
  <c r="AY49" i="99" s="1"/>
  <c r="BA387" i="99"/>
  <c r="BA388" i="99" s="1"/>
  <c r="BA51" i="99" s="1"/>
  <c r="BA116" i="103" s="1"/>
  <c r="BA51" i="103" s="1"/>
  <c r="BD379" i="99"/>
  <c r="BD380" i="99" s="1"/>
  <c r="BD50" i="99" s="1"/>
  <c r="BD115" i="103" s="1"/>
  <c r="BD50" i="103" s="1"/>
  <c r="BH363" i="99"/>
  <c r="BH364" i="99" s="1"/>
  <c r="BH48" i="99" s="1"/>
  <c r="BH113" i="99" s="1"/>
  <c r="BK351" i="99"/>
  <c r="BK352" i="99" s="1"/>
  <c r="BK44" i="99" s="1"/>
  <c r="BK109" i="104" s="1"/>
  <c r="BK44" i="104" s="1"/>
  <c r="BN387" i="99"/>
  <c r="BN388" i="99" s="1"/>
  <c r="BN51" i="99" s="1"/>
  <c r="BN116" i="103" s="1"/>
  <c r="BN51" i="103" s="1"/>
  <c r="BA436" i="99"/>
  <c r="BA437" i="99" s="1"/>
  <c r="BA74" i="99" s="1"/>
  <c r="BP436" i="99"/>
  <c r="BP437" i="99" s="1"/>
  <c r="BP74" i="99" s="1"/>
  <c r="V436" i="99"/>
  <c r="V437" i="99" s="1"/>
  <c r="V74" i="99" s="1"/>
  <c r="V139" i="99" s="1"/>
  <c r="BT407" i="99"/>
  <c r="BT408" i="99" s="1"/>
  <c r="BT58" i="99" s="1"/>
  <c r="BT123" i="103" s="1"/>
  <c r="BT58" i="103" s="1"/>
  <c r="BV387" i="99"/>
  <c r="BV388" i="99" s="1"/>
  <c r="BV51" i="99" s="1"/>
  <c r="BV116" i="103" s="1"/>
  <c r="BV51" i="103" s="1"/>
  <c r="R161" i="99"/>
  <c r="BX444" i="99"/>
  <c r="BX445" i="99" s="1"/>
  <c r="BX68" i="99" s="1"/>
  <c r="BX133" i="99" s="1"/>
  <c r="X182" i="99"/>
  <c r="X190" i="99" s="1"/>
  <c r="T444" i="99"/>
  <c r="T445" i="99" s="1"/>
  <c r="T68" i="99" s="1"/>
  <c r="T133" i="99" s="1"/>
  <c r="U363" i="99"/>
  <c r="U364" i="99" s="1"/>
  <c r="U48" i="99" s="1"/>
  <c r="U113" i="104" s="1"/>
  <c r="U48" i="104" s="1"/>
  <c r="X379" i="99"/>
  <c r="X380" i="99" s="1"/>
  <c r="X50" i="99" s="1"/>
  <c r="X115" i="103" s="1"/>
  <c r="X50" i="103" s="1"/>
  <c r="AA351" i="99"/>
  <c r="AA352" i="99" s="1"/>
  <c r="AA44" i="99" s="1"/>
  <c r="AA109" i="103" s="1"/>
  <c r="AA44" i="103" s="1"/>
  <c r="AF371" i="99"/>
  <c r="AF372" i="99" s="1"/>
  <c r="AF49" i="99" s="1"/>
  <c r="AF114" i="104" s="1"/>
  <c r="AF49" i="104" s="1"/>
  <c r="AH351" i="99"/>
  <c r="AH352" i="99" s="1"/>
  <c r="AH44" i="99" s="1"/>
  <c r="AH109" i="103" s="1"/>
  <c r="AH44" i="103" s="1"/>
  <c r="AJ444" i="99"/>
  <c r="AJ445" i="99" s="1"/>
  <c r="AJ68" i="99" s="1"/>
  <c r="AJ133" i="99" s="1"/>
  <c r="AM407" i="99"/>
  <c r="AM408" i="99" s="1"/>
  <c r="AM58" i="99" s="1"/>
  <c r="AM123" i="103" s="1"/>
  <c r="AM58" i="103" s="1"/>
  <c r="AO371" i="99"/>
  <c r="AO372" i="99" s="1"/>
  <c r="AO49" i="99" s="1"/>
  <c r="AO114" i="104" s="1"/>
  <c r="AO49" i="104" s="1"/>
  <c r="AT371" i="99"/>
  <c r="AT372" i="99" s="1"/>
  <c r="AT49" i="99" s="1"/>
  <c r="AT114" i="103" s="1"/>
  <c r="AT49" i="103" s="1"/>
  <c r="AW399" i="99"/>
  <c r="AW400" i="99" s="1"/>
  <c r="AW57" i="99" s="1"/>
  <c r="AW122" i="103" s="1"/>
  <c r="AW57" i="103" s="1"/>
  <c r="BB371" i="99"/>
  <c r="BB372" i="99" s="1"/>
  <c r="BB49" i="99" s="1"/>
  <c r="BD444" i="99"/>
  <c r="BD445" i="99" s="1"/>
  <c r="BD68" i="99" s="1"/>
  <c r="BD133" i="99" s="1"/>
  <c r="BF399" i="99"/>
  <c r="BF400" i="99" s="1"/>
  <c r="BF57" i="99" s="1"/>
  <c r="BF122" i="103" s="1"/>
  <c r="BF57" i="103" s="1"/>
  <c r="BI379" i="99"/>
  <c r="BI380" i="99" s="1"/>
  <c r="BI50" i="99" s="1"/>
  <c r="BI115" i="103" s="1"/>
  <c r="BI50" i="103" s="1"/>
  <c r="BK407" i="99"/>
  <c r="BK408" i="99" s="1"/>
  <c r="BK58" i="99" s="1"/>
  <c r="BK123" i="103" s="1"/>
  <c r="BK58" i="103" s="1"/>
  <c r="BN351" i="99"/>
  <c r="BN352" i="99" s="1"/>
  <c r="BN44" i="99" s="1"/>
  <c r="BN109" i="103" s="1"/>
  <c r="BN44" i="103" s="1"/>
  <c r="BO399" i="99"/>
  <c r="BO400" i="99" s="1"/>
  <c r="BO57" i="99" s="1"/>
  <c r="BO122" i="104" s="1"/>
  <c r="BO57" i="104" s="1"/>
  <c r="AV436" i="99"/>
  <c r="AV437" i="99" s="1"/>
  <c r="AV74" i="99" s="1"/>
  <c r="BG436" i="99"/>
  <c r="BG437" i="99" s="1"/>
  <c r="BG74" i="99" s="1"/>
  <c r="BQ436" i="99"/>
  <c r="BQ437" i="99" s="1"/>
  <c r="BQ74" i="99" s="1"/>
  <c r="BQ139" i="99" s="1"/>
  <c r="BT371" i="99"/>
  <c r="BT372" i="99" s="1"/>
  <c r="BT49" i="99" s="1"/>
  <c r="BT114" i="103" s="1"/>
  <c r="BT49" i="103" s="1"/>
  <c r="U182" i="99"/>
  <c r="U190" i="99" s="1"/>
  <c r="Y182" i="99"/>
  <c r="Y190" i="99" s="1"/>
  <c r="BW444" i="99"/>
  <c r="BW445" i="99" s="1"/>
  <c r="BW68" i="99" s="1"/>
  <c r="BW133" i="99" s="1"/>
  <c r="R399" i="99"/>
  <c r="R400" i="99" s="1"/>
  <c r="R57" i="99" s="1"/>
  <c r="R122" i="103" s="1"/>
  <c r="R57" i="103" s="1"/>
  <c r="V407" i="99"/>
  <c r="V408" i="99" s="1"/>
  <c r="V58" i="99" s="1"/>
  <c r="V123" i="103" s="1"/>
  <c r="V58" i="103" s="1"/>
  <c r="X407" i="99"/>
  <c r="X408" i="99" s="1"/>
  <c r="X58" i="99" s="1"/>
  <c r="AA379" i="99"/>
  <c r="AA380" i="99" s="1"/>
  <c r="AA50" i="99" s="1"/>
  <c r="AA115" i="103" s="1"/>
  <c r="AA50" i="103" s="1"/>
  <c r="AB363" i="99"/>
  <c r="AB364" i="99" s="1"/>
  <c r="AB48" i="99" s="1"/>
  <c r="AB113" i="103" s="1"/>
  <c r="AB48" i="103" s="1"/>
  <c r="AE363" i="99"/>
  <c r="AE364" i="99" s="1"/>
  <c r="AE48" i="99" s="1"/>
  <c r="AE113" i="103" s="1"/>
  <c r="AE48" i="103" s="1"/>
  <c r="AH444" i="99"/>
  <c r="AH445" i="99" s="1"/>
  <c r="AH68" i="99" s="1"/>
  <c r="AH133" i="99" s="1"/>
  <c r="AK351" i="99"/>
  <c r="AK352" i="99" s="1"/>
  <c r="AK44" i="99" s="1"/>
  <c r="AK109" i="103" s="1"/>
  <c r="AK44" i="103" s="1"/>
  <c r="AM379" i="99"/>
  <c r="AM380" i="99" s="1"/>
  <c r="AM50" i="99" s="1"/>
  <c r="AM115" i="103" s="1"/>
  <c r="AM50" i="103" s="1"/>
  <c r="AO407" i="99"/>
  <c r="AO408" i="99" s="1"/>
  <c r="AO58" i="99" s="1"/>
  <c r="AR444" i="99"/>
  <c r="AR445" i="99" s="1"/>
  <c r="AR68" i="99" s="1"/>
  <c r="AR133" i="99" s="1"/>
  <c r="AT407" i="99"/>
  <c r="AT408" i="99" s="1"/>
  <c r="AT58" i="99" s="1"/>
  <c r="AT123" i="104" s="1"/>
  <c r="AT58" i="104" s="1"/>
  <c r="AW444" i="99"/>
  <c r="AW445" i="99" s="1"/>
  <c r="AW68" i="99" s="1"/>
  <c r="AW133" i="99" s="1"/>
  <c r="AY444" i="99"/>
  <c r="AY445" i="99" s="1"/>
  <c r="AY68" i="99" s="1"/>
  <c r="AY133" i="99" s="1"/>
  <c r="BB407" i="99"/>
  <c r="BB408" i="99" s="1"/>
  <c r="BB58" i="99" s="1"/>
  <c r="BB123" i="103" s="1"/>
  <c r="BB58" i="103" s="1"/>
  <c r="BD387" i="99"/>
  <c r="BD388" i="99" s="1"/>
  <c r="BD51" i="99" s="1"/>
  <c r="BD116" i="104" s="1"/>
  <c r="BD51" i="104" s="1"/>
  <c r="BG387" i="99"/>
  <c r="BG388" i="99" s="1"/>
  <c r="BG51" i="99" s="1"/>
  <c r="BG116" i="104" s="1"/>
  <c r="BG51" i="104" s="1"/>
  <c r="BK371" i="99"/>
  <c r="BK372" i="99" s="1"/>
  <c r="BK49" i="99" s="1"/>
  <c r="BK114" i="104" s="1"/>
  <c r="BK49" i="104" s="1"/>
  <c r="BN379" i="99"/>
  <c r="BN380" i="99" s="1"/>
  <c r="BN50" i="99" s="1"/>
  <c r="BN115" i="104" s="1"/>
  <c r="BN50" i="104" s="1"/>
  <c r="BP379" i="99"/>
  <c r="BP380" i="99" s="1"/>
  <c r="BP50" i="99" s="1"/>
  <c r="BP115" i="99" s="1"/>
  <c r="BS379" i="99"/>
  <c r="BS380" i="99" s="1"/>
  <c r="BS50" i="99" s="1"/>
  <c r="BS115" i="99" s="1"/>
  <c r="BH436" i="99"/>
  <c r="BH437" i="99" s="1"/>
  <c r="BH74" i="99" s="1"/>
  <c r="BH139" i="99" s="1"/>
  <c r="BF436" i="99"/>
  <c r="BF437" i="99" s="1"/>
  <c r="BF74" i="99" s="1"/>
  <c r="BF139" i="99" s="1"/>
  <c r="BT387" i="99"/>
  <c r="BT388" i="99" s="1"/>
  <c r="BT51" i="99" s="1"/>
  <c r="BT116" i="103" s="1"/>
  <c r="BT51" i="103" s="1"/>
  <c r="BV444" i="99"/>
  <c r="BV445" i="99" s="1"/>
  <c r="BV68" i="99" s="1"/>
  <c r="BV133" i="99" s="1"/>
  <c r="BX436" i="99"/>
  <c r="BX437" i="99" s="1"/>
  <c r="BX74" i="99" s="1"/>
  <c r="W182" i="99"/>
  <c r="W190" i="99" s="1"/>
  <c r="U351" i="99"/>
  <c r="U352" i="99" s="1"/>
  <c r="U44" i="99" s="1"/>
  <c r="U109" i="99" s="1"/>
  <c r="V444" i="99"/>
  <c r="V445" i="99" s="1"/>
  <c r="V68" i="99" s="1"/>
  <c r="V133" i="99" s="1"/>
  <c r="Y444" i="99"/>
  <c r="Y445" i="99" s="1"/>
  <c r="Y68" i="99" s="1"/>
  <c r="Y133" i="99" s="1"/>
  <c r="AA399" i="99"/>
  <c r="AA400" i="99" s="1"/>
  <c r="AA57" i="99" s="1"/>
  <c r="AC379" i="99"/>
  <c r="AC380" i="99" s="1"/>
  <c r="AC50" i="99" s="1"/>
  <c r="AC115" i="103" s="1"/>
  <c r="AC50" i="103" s="1"/>
  <c r="AF407" i="99"/>
  <c r="AF408" i="99" s="1"/>
  <c r="AF58" i="99" s="1"/>
  <c r="AF123" i="103" s="1"/>
  <c r="AF58" i="103" s="1"/>
  <c r="AH407" i="99"/>
  <c r="AH408" i="99" s="1"/>
  <c r="AH58" i="99" s="1"/>
  <c r="AH123" i="104" s="1"/>
  <c r="AH58" i="104" s="1"/>
  <c r="AJ363" i="99"/>
  <c r="AJ364" i="99" s="1"/>
  <c r="AJ48" i="99" s="1"/>
  <c r="AJ113" i="104" s="1"/>
  <c r="AJ48" i="104" s="1"/>
  <c r="AL363" i="99"/>
  <c r="AL364" i="99" s="1"/>
  <c r="AL48" i="99" s="1"/>
  <c r="AL113" i="99" s="1"/>
  <c r="AP371" i="99"/>
  <c r="AP372" i="99" s="1"/>
  <c r="AP49" i="99" s="1"/>
  <c r="AP114" i="104" s="1"/>
  <c r="AP49" i="104" s="1"/>
  <c r="AR371" i="99"/>
  <c r="AR372" i="99" s="1"/>
  <c r="AR49" i="99" s="1"/>
  <c r="AR114" i="103" s="1"/>
  <c r="AR49" i="103" s="1"/>
  <c r="AT444" i="99"/>
  <c r="AT445" i="99" s="1"/>
  <c r="AT68" i="99" s="1"/>
  <c r="AT133" i="99" s="1"/>
  <c r="AW379" i="99"/>
  <c r="AW380" i="99" s="1"/>
  <c r="AW50" i="99" s="1"/>
  <c r="AW115" i="104" s="1"/>
  <c r="AW50" i="104" s="1"/>
  <c r="AX363" i="99"/>
  <c r="AX364" i="99" s="1"/>
  <c r="AX48" i="99" s="1"/>
  <c r="AX113" i="103" s="1"/>
  <c r="AX48" i="103" s="1"/>
  <c r="BB379" i="99"/>
  <c r="BB380" i="99" s="1"/>
  <c r="BB50" i="99" s="1"/>
  <c r="BB115" i="103" s="1"/>
  <c r="BB50" i="103" s="1"/>
  <c r="BD371" i="99"/>
  <c r="BD372" i="99" s="1"/>
  <c r="BD49" i="99" s="1"/>
  <c r="BD114" i="99" s="1"/>
  <c r="BG407" i="99"/>
  <c r="BG408" i="99" s="1"/>
  <c r="BG58" i="99" s="1"/>
  <c r="BG123" i="103" s="1"/>
  <c r="BG58" i="103" s="1"/>
  <c r="BI371" i="99"/>
  <c r="BI372" i="99" s="1"/>
  <c r="BI49" i="99" s="1"/>
  <c r="BI114" i="104" s="1"/>
  <c r="BI49" i="104" s="1"/>
  <c r="BL387" i="99"/>
  <c r="BL388" i="99" s="1"/>
  <c r="BL51" i="99" s="1"/>
  <c r="BL116" i="104" s="1"/>
  <c r="BL51" i="104" s="1"/>
  <c r="BN407" i="99"/>
  <c r="BN408" i="99" s="1"/>
  <c r="BN58" i="99" s="1"/>
  <c r="BO363" i="99"/>
  <c r="BO364" i="99" s="1"/>
  <c r="BO48" i="99" s="1"/>
  <c r="BO113" i="104" s="1"/>
  <c r="BO48" i="104" s="1"/>
  <c r="BD436" i="99"/>
  <c r="BD437" i="99" s="1"/>
  <c r="BD74" i="99" s="1"/>
  <c r="BD139" i="99" s="1"/>
  <c r="BM436" i="99"/>
  <c r="BM437" i="99" s="1"/>
  <c r="BM74" i="99" s="1"/>
  <c r="BM139" i="99" s="1"/>
  <c r="BB436" i="99"/>
  <c r="BB437" i="99" s="1"/>
  <c r="BB74" i="99" s="1"/>
  <c r="BB139" i="103" s="1"/>
  <c r="BB74" i="103" s="1"/>
  <c r="BT379" i="99"/>
  <c r="BT380" i="99" s="1"/>
  <c r="BT50" i="99" s="1"/>
  <c r="BT115" i="103" s="1"/>
  <c r="BT50" i="103" s="1"/>
  <c r="BV399" i="99"/>
  <c r="BV400" i="99" s="1"/>
  <c r="BV57" i="99" s="1"/>
  <c r="BV122" i="99" s="1"/>
  <c r="BW371" i="99"/>
  <c r="BW372" i="99" s="1"/>
  <c r="BW49" i="99" s="1"/>
  <c r="BW114" i="104" s="1"/>
  <c r="BW49" i="104" s="1"/>
  <c r="U444" i="99"/>
  <c r="U445" i="99" s="1"/>
  <c r="U68" i="99" s="1"/>
  <c r="U133" i="99" s="1"/>
  <c r="V379" i="99"/>
  <c r="V380" i="99" s="1"/>
  <c r="V50" i="99" s="1"/>
  <c r="Y399" i="99"/>
  <c r="Y400" i="99" s="1"/>
  <c r="Y57" i="99" s="1"/>
  <c r="Y122" i="103" s="1"/>
  <c r="Y57" i="103" s="1"/>
  <c r="AC407" i="99"/>
  <c r="AC408" i="99" s="1"/>
  <c r="AC58" i="99" s="1"/>
  <c r="AC123" i="99" s="1"/>
  <c r="AF444" i="99"/>
  <c r="AF445" i="99" s="1"/>
  <c r="AF68" i="99" s="1"/>
  <c r="AF133" i="99" s="1"/>
  <c r="AG363" i="99"/>
  <c r="AG364" i="99" s="1"/>
  <c r="AG48" i="99" s="1"/>
  <c r="AG113" i="99" s="1"/>
  <c r="AK399" i="99"/>
  <c r="AK400" i="99" s="1"/>
  <c r="AK57" i="99" s="1"/>
  <c r="AK122" i="99" s="1"/>
  <c r="AM351" i="99"/>
  <c r="AM352" i="99" s="1"/>
  <c r="AM44" i="99" s="1"/>
  <c r="AM109" i="99" s="1"/>
  <c r="AP351" i="99"/>
  <c r="AP352" i="99" s="1"/>
  <c r="AP44" i="99" s="1"/>
  <c r="AP109" i="103" s="1"/>
  <c r="AP44" i="103" s="1"/>
  <c r="AR387" i="99"/>
  <c r="AR388" i="99" s="1"/>
  <c r="AR51" i="99" s="1"/>
  <c r="AR116" i="99" s="1"/>
  <c r="AU379" i="99"/>
  <c r="AU380" i="99" s="1"/>
  <c r="AU50" i="99" s="1"/>
  <c r="AU115" i="104" s="1"/>
  <c r="AU50" i="104" s="1"/>
  <c r="AV363" i="99"/>
  <c r="AV364" i="99" s="1"/>
  <c r="AV48" i="99" s="1"/>
  <c r="AV113" i="104" s="1"/>
  <c r="AV48" i="104" s="1"/>
  <c r="AY351" i="99"/>
  <c r="AY352" i="99" s="1"/>
  <c r="AY44" i="99" s="1"/>
  <c r="BB387" i="99"/>
  <c r="BB388" i="99" s="1"/>
  <c r="BB51" i="99" s="1"/>
  <c r="BB116" i="104" s="1"/>
  <c r="BB51" i="104" s="1"/>
  <c r="BC363" i="99"/>
  <c r="BC364" i="99" s="1"/>
  <c r="BC48" i="99" s="1"/>
  <c r="BC113" i="103" s="1"/>
  <c r="BC48" i="103" s="1"/>
  <c r="BI351" i="99"/>
  <c r="BI352" i="99" s="1"/>
  <c r="BI44" i="99" s="1"/>
  <c r="BI109" i="103" s="1"/>
  <c r="BI44" i="103" s="1"/>
  <c r="BL444" i="99"/>
  <c r="BL445" i="99" s="1"/>
  <c r="BL68" i="99" s="1"/>
  <c r="BL133" i="99" s="1"/>
  <c r="BM363" i="99"/>
  <c r="BM364" i="99" s="1"/>
  <c r="BM48" i="99" s="1"/>
  <c r="BM113" i="104" s="1"/>
  <c r="BM48" i="104" s="1"/>
  <c r="BQ407" i="99"/>
  <c r="BQ408" i="99" s="1"/>
  <c r="BQ58" i="99" s="1"/>
  <c r="BQ123" i="99" s="1"/>
  <c r="BS371" i="99"/>
  <c r="BS372" i="99" s="1"/>
  <c r="BS49" i="99" s="1"/>
  <c r="BS114" i="104" s="1"/>
  <c r="BS49" i="104" s="1"/>
  <c r="AS436" i="99"/>
  <c r="AS437" i="99" s="1"/>
  <c r="AS74" i="99" s="1"/>
  <c r="AS139" i="99" s="1"/>
  <c r="BR436" i="99"/>
  <c r="BR437" i="99" s="1"/>
  <c r="BR74" i="99" s="1"/>
  <c r="BR139" i="99" s="1"/>
  <c r="BV371" i="99"/>
  <c r="BV372" i="99" s="1"/>
  <c r="BV49" i="99" s="1"/>
  <c r="BV114" i="103" s="1"/>
  <c r="BV49" i="103" s="1"/>
  <c r="S351" i="99"/>
  <c r="S352" i="99" s="1"/>
  <c r="S44" i="99" s="1"/>
  <c r="S109" i="103" s="1"/>
  <c r="S44" i="103" s="1"/>
  <c r="V399" i="99"/>
  <c r="V400" i="99" s="1"/>
  <c r="V57" i="99" s="1"/>
  <c r="V122" i="103" s="1"/>
  <c r="V57" i="103" s="1"/>
  <c r="Y379" i="99"/>
  <c r="Y380" i="99" s="1"/>
  <c r="Y50" i="99" s="1"/>
  <c r="Y115" i="103" s="1"/>
  <c r="Y50" i="103" s="1"/>
  <c r="AA371" i="99"/>
  <c r="AA372" i="99" s="1"/>
  <c r="AA49" i="99" s="1"/>
  <c r="AA114" i="103" s="1"/>
  <c r="AA49" i="103" s="1"/>
  <c r="AD379" i="99"/>
  <c r="AD380" i="99" s="1"/>
  <c r="AD50" i="99" s="1"/>
  <c r="AD115" i="99" s="1"/>
  <c r="AF379" i="99"/>
  <c r="AF380" i="99" s="1"/>
  <c r="AF50" i="99" s="1"/>
  <c r="AF115" i="99" s="1"/>
  <c r="AM371" i="99"/>
  <c r="AM372" i="99" s="1"/>
  <c r="AM49" i="99" s="1"/>
  <c r="AM114" i="103" s="1"/>
  <c r="AM49" i="103" s="1"/>
  <c r="AP407" i="99"/>
  <c r="AP408" i="99" s="1"/>
  <c r="AP58" i="99" s="1"/>
  <c r="AP123" i="103" s="1"/>
  <c r="AP58" i="103" s="1"/>
  <c r="AR379" i="99"/>
  <c r="AR380" i="99" s="1"/>
  <c r="AR50" i="99" s="1"/>
  <c r="AU387" i="99"/>
  <c r="AU388" i="99" s="1"/>
  <c r="AU51" i="99" s="1"/>
  <c r="AU116" i="99" s="1"/>
  <c r="AW387" i="99"/>
  <c r="AW388" i="99" s="1"/>
  <c r="AW51" i="99" s="1"/>
  <c r="AW116" i="104" s="1"/>
  <c r="AW51" i="104" s="1"/>
  <c r="BB444" i="99"/>
  <c r="BB445" i="99" s="1"/>
  <c r="BB68" i="99" s="1"/>
  <c r="BB133" i="99" s="1"/>
  <c r="BE351" i="99"/>
  <c r="BE352" i="99" s="1"/>
  <c r="BE44" i="99" s="1"/>
  <c r="BE109" i="104" s="1"/>
  <c r="BE44" i="104" s="1"/>
  <c r="BG371" i="99"/>
  <c r="BG372" i="99" s="1"/>
  <c r="BG49" i="99" s="1"/>
  <c r="BG114" i="103" s="1"/>
  <c r="BG49" i="103" s="1"/>
  <c r="BI444" i="99"/>
  <c r="BI445" i="99" s="1"/>
  <c r="BI68" i="99" s="1"/>
  <c r="BI133" i="99" s="1"/>
  <c r="BL351" i="99"/>
  <c r="BL352" i="99" s="1"/>
  <c r="BL44" i="99" s="1"/>
  <c r="BL109" i="103" s="1"/>
  <c r="BL44" i="103" s="1"/>
  <c r="BN444" i="99"/>
  <c r="BN445" i="99" s="1"/>
  <c r="BN68" i="99" s="1"/>
  <c r="BN133" i="99" s="1"/>
  <c r="BQ371" i="99"/>
  <c r="BQ372" i="99" s="1"/>
  <c r="BQ49" i="99" s="1"/>
  <c r="BQ114" i="104" s="1"/>
  <c r="BQ49" i="104" s="1"/>
  <c r="AN436" i="99"/>
  <c r="AN437" i="99" s="1"/>
  <c r="AN74" i="99" s="1"/>
  <c r="AN139" i="99" s="1"/>
  <c r="AR436" i="99"/>
  <c r="AR437" i="99" s="1"/>
  <c r="AR74" i="99" s="1"/>
  <c r="AR139" i="99" s="1"/>
  <c r="AA436" i="99"/>
  <c r="AA437" i="99" s="1"/>
  <c r="AA74" i="99" s="1"/>
  <c r="AA139" i="99" s="1"/>
  <c r="BT351" i="99"/>
  <c r="BT352" i="99" s="1"/>
  <c r="BT44" i="99" s="1"/>
  <c r="BT109" i="103" s="1"/>
  <c r="BT44" i="103" s="1"/>
  <c r="BU363" i="99"/>
  <c r="BU364" i="99" s="1"/>
  <c r="BU48" i="99" s="1"/>
  <c r="BU113" i="104" s="1"/>
  <c r="BU48" i="104" s="1"/>
  <c r="BW387" i="99"/>
  <c r="BW388" i="99" s="1"/>
  <c r="BW51" i="99" s="1"/>
  <c r="U371" i="99"/>
  <c r="U372" i="99" s="1"/>
  <c r="U49" i="99" s="1"/>
  <c r="U114" i="103" s="1"/>
  <c r="U49" i="103" s="1"/>
  <c r="V351" i="99"/>
  <c r="V352" i="99" s="1"/>
  <c r="V44" i="99" s="1"/>
  <c r="V109" i="103" s="1"/>
  <c r="V44" i="103" s="1"/>
  <c r="Y371" i="99"/>
  <c r="Y372" i="99" s="1"/>
  <c r="Y49" i="99" s="1"/>
  <c r="Y114" i="99" s="1"/>
  <c r="AA444" i="99"/>
  <c r="AA445" i="99" s="1"/>
  <c r="AA68" i="99" s="1"/>
  <c r="AA133" i="99" s="1"/>
  <c r="AD387" i="99"/>
  <c r="AD388" i="99" s="1"/>
  <c r="AD51" i="99" s="1"/>
  <c r="AD116" i="103" s="1"/>
  <c r="AD51" i="103" s="1"/>
  <c r="AH363" i="99"/>
  <c r="AH364" i="99" s="1"/>
  <c r="AH48" i="99" s="1"/>
  <c r="AH113" i="103" s="1"/>
  <c r="AH48" i="103" s="1"/>
  <c r="AK371" i="99"/>
  <c r="AK372" i="99" s="1"/>
  <c r="AK49" i="99" s="1"/>
  <c r="AK114" i="103" s="1"/>
  <c r="AK49" i="103" s="1"/>
  <c r="AN407" i="99"/>
  <c r="AN408" i="99" s="1"/>
  <c r="AN58" i="99" s="1"/>
  <c r="AN123" i="104" s="1"/>
  <c r="AN58" i="104" s="1"/>
  <c r="AP444" i="99"/>
  <c r="AP445" i="99" s="1"/>
  <c r="AP68" i="99" s="1"/>
  <c r="AP133" i="99" s="1"/>
  <c r="AQ363" i="99"/>
  <c r="AQ364" i="99" s="1"/>
  <c r="AQ48" i="99" s="1"/>
  <c r="AQ113" i="103" s="1"/>
  <c r="AQ48" i="103" s="1"/>
  <c r="AU351" i="99"/>
  <c r="AU352" i="99" s="1"/>
  <c r="AU44" i="99" s="1"/>
  <c r="AU109" i="103" s="1"/>
  <c r="AU44" i="103" s="1"/>
  <c r="AW407" i="99"/>
  <c r="AW408" i="99" s="1"/>
  <c r="AW58" i="99" s="1"/>
  <c r="AW123" i="103" s="1"/>
  <c r="AW58" i="103" s="1"/>
  <c r="AZ371" i="99"/>
  <c r="AZ372" i="99" s="1"/>
  <c r="AZ49" i="99" s="1"/>
  <c r="AZ114" i="99" s="1"/>
  <c r="BE444" i="99"/>
  <c r="BE445" i="99" s="1"/>
  <c r="BE68" i="99" s="1"/>
  <c r="BE133" i="99" s="1"/>
  <c r="BF363" i="99"/>
  <c r="BF364" i="99" s="1"/>
  <c r="BF48" i="99" s="1"/>
  <c r="BF113" i="104" s="1"/>
  <c r="BF48" i="104" s="1"/>
  <c r="BI363" i="99"/>
  <c r="BI364" i="99" s="1"/>
  <c r="BI48" i="99" s="1"/>
  <c r="BI113" i="103" s="1"/>
  <c r="BI48" i="103" s="1"/>
  <c r="BK363" i="99"/>
  <c r="BK364" i="99" s="1"/>
  <c r="BK48" i="99" s="1"/>
  <c r="BK113" i="104" s="1"/>
  <c r="BK48" i="104" s="1"/>
  <c r="BT436" i="99"/>
  <c r="BT437" i="99" s="1"/>
  <c r="BT74" i="99" s="1"/>
  <c r="BT139" i="99" s="1"/>
  <c r="AY436" i="99"/>
  <c r="AY437" i="99" s="1"/>
  <c r="AY74" i="99" s="1"/>
  <c r="AY139" i="99" s="1"/>
  <c r="AP436" i="99"/>
  <c r="AP437" i="99" s="1"/>
  <c r="AP74" i="99" s="1"/>
  <c r="AP139" i="104" s="1"/>
  <c r="AP74" i="104" s="1"/>
  <c r="BS363" i="99"/>
  <c r="BS364" i="99" s="1"/>
  <c r="BS48" i="99" s="1"/>
  <c r="BS113" i="99" s="1"/>
  <c r="BY436" i="99"/>
  <c r="BY437" i="99" s="1"/>
  <c r="BY74" i="99" s="1"/>
  <c r="R351" i="99"/>
  <c r="R352" i="99" s="1"/>
  <c r="R44" i="99" s="1"/>
  <c r="R109" i="103" s="1"/>
  <c r="R44" i="103" s="1"/>
  <c r="U379" i="99"/>
  <c r="U380" i="99" s="1"/>
  <c r="U50" i="99" s="1"/>
  <c r="U115" i="103" s="1"/>
  <c r="U50" i="103" s="1"/>
  <c r="V363" i="99"/>
  <c r="V364" i="99" s="1"/>
  <c r="V48" i="99" s="1"/>
  <c r="V113" i="103" s="1"/>
  <c r="V48" i="103" s="1"/>
  <c r="AA387" i="99"/>
  <c r="AA388" i="99" s="1"/>
  <c r="AA51" i="99" s="1"/>
  <c r="AA116" i="103" s="1"/>
  <c r="AA51" i="103" s="1"/>
  <c r="AD399" i="99"/>
  <c r="AD400" i="99" s="1"/>
  <c r="AD57" i="99" s="1"/>
  <c r="AD122" i="104" s="1"/>
  <c r="AD57" i="104" s="1"/>
  <c r="AF387" i="99"/>
  <c r="AF388" i="99" s="1"/>
  <c r="AF51" i="99" s="1"/>
  <c r="AF116" i="103" s="1"/>
  <c r="AF51" i="103" s="1"/>
  <c r="AI444" i="99"/>
  <c r="AI445" i="99" s="1"/>
  <c r="AI68" i="99" s="1"/>
  <c r="AI133" i="99" s="1"/>
  <c r="AK387" i="99"/>
  <c r="AK388" i="99" s="1"/>
  <c r="AK51" i="99" s="1"/>
  <c r="AK116" i="104" s="1"/>
  <c r="AK51" i="104" s="1"/>
  <c r="AN351" i="99"/>
  <c r="AN352" i="99" s="1"/>
  <c r="AN44" i="99" s="1"/>
  <c r="AN109" i="103" s="1"/>
  <c r="AN44" i="103" s="1"/>
  <c r="AO363" i="99"/>
  <c r="AO364" i="99" s="1"/>
  <c r="AO48" i="99" s="1"/>
  <c r="AO113" i="103" s="1"/>
  <c r="AO48" i="103" s="1"/>
  <c r="AR399" i="99"/>
  <c r="AR400" i="99" s="1"/>
  <c r="AR57" i="99" s="1"/>
  <c r="AR122" i="99" s="1"/>
  <c r="AU399" i="99"/>
  <c r="AU400" i="99" s="1"/>
  <c r="AU57" i="99" s="1"/>
  <c r="AU122" i="103" s="1"/>
  <c r="AU57" i="103" s="1"/>
  <c r="AW371" i="99"/>
  <c r="AW372" i="99" s="1"/>
  <c r="AW49" i="99" s="1"/>
  <c r="AW114" i="103" s="1"/>
  <c r="AW49" i="103" s="1"/>
  <c r="AZ407" i="99"/>
  <c r="AZ408" i="99" s="1"/>
  <c r="AZ58" i="99" s="1"/>
  <c r="BB351" i="99"/>
  <c r="BB352" i="99" s="1"/>
  <c r="BB44" i="99" s="1"/>
  <c r="BB109" i="103" s="1"/>
  <c r="BB44" i="103" s="1"/>
  <c r="BD363" i="99"/>
  <c r="BD364" i="99" s="1"/>
  <c r="BD48" i="99" s="1"/>
  <c r="BD113" i="103" s="1"/>
  <c r="BD48" i="103" s="1"/>
  <c r="BG351" i="99"/>
  <c r="BG352" i="99" s="1"/>
  <c r="BG44" i="99" s="1"/>
  <c r="BG109" i="103" s="1"/>
  <c r="BG44" i="103" s="1"/>
  <c r="BJ407" i="99"/>
  <c r="BJ408" i="99" s="1"/>
  <c r="BJ58" i="99" s="1"/>
  <c r="BJ123" i="104" s="1"/>
  <c r="BJ58" i="104" s="1"/>
  <c r="BN399" i="99"/>
  <c r="BN400" i="99" s="1"/>
  <c r="BN57" i="99" s="1"/>
  <c r="BN122" i="103" s="1"/>
  <c r="BN57" i="103" s="1"/>
  <c r="BQ444" i="99"/>
  <c r="BQ445" i="99" s="1"/>
  <c r="BQ68" i="99" s="1"/>
  <c r="BQ133" i="99" s="1"/>
  <c r="BK436" i="99"/>
  <c r="BK437" i="99" s="1"/>
  <c r="BK74" i="99" s="1"/>
  <c r="BK139" i="103" s="1"/>
  <c r="BK74" i="103" s="1"/>
  <c r="BJ436" i="99"/>
  <c r="BJ437" i="99" s="1"/>
  <c r="BJ74" i="99" s="1"/>
  <c r="BJ139" i="99" s="1"/>
  <c r="BE436" i="99"/>
  <c r="BE437" i="99" s="1"/>
  <c r="BE74" i="99" s="1"/>
  <c r="BT399" i="99"/>
  <c r="BT400" i="99" s="1"/>
  <c r="BT57" i="99" s="1"/>
  <c r="BT122" i="99" s="1"/>
  <c r="U407" i="99"/>
  <c r="U408" i="99" s="1"/>
  <c r="U58" i="99" s="1"/>
  <c r="S379" i="99"/>
  <c r="S380" i="99" s="1"/>
  <c r="S50" i="99" s="1"/>
  <c r="S115" i="104" s="1"/>
  <c r="S50" i="104" s="1"/>
  <c r="X363" i="99"/>
  <c r="X364" i="99" s="1"/>
  <c r="X48" i="99" s="1"/>
  <c r="X113" i="103" s="1"/>
  <c r="X48" i="103" s="1"/>
  <c r="Z363" i="99"/>
  <c r="Z364" i="99" s="1"/>
  <c r="Z48" i="99" s="1"/>
  <c r="Z113" i="99" s="1"/>
  <c r="AD444" i="99"/>
  <c r="AD445" i="99" s="1"/>
  <c r="AD68" i="99" s="1"/>
  <c r="AD133" i="99" s="1"/>
  <c r="AF351" i="99"/>
  <c r="AF352" i="99" s="1"/>
  <c r="AF44" i="99" s="1"/>
  <c r="AF109" i="104" s="1"/>
  <c r="AF44" i="104" s="1"/>
  <c r="AI399" i="99"/>
  <c r="AI400" i="99" s="1"/>
  <c r="AI57" i="99" s="1"/>
  <c r="AI122" i="103" s="1"/>
  <c r="AI57" i="103" s="1"/>
  <c r="AK407" i="99"/>
  <c r="AK408" i="99" s="1"/>
  <c r="AK58" i="99" s="1"/>
  <c r="AN387" i="99"/>
  <c r="AN388" i="99" s="1"/>
  <c r="AN51" i="99" s="1"/>
  <c r="AN116" i="103" s="1"/>
  <c r="AN51" i="103" s="1"/>
  <c r="AP379" i="99"/>
  <c r="AP380" i="99" s="1"/>
  <c r="AP50" i="99" s="1"/>
  <c r="AP115" i="103" s="1"/>
  <c r="AP50" i="103" s="1"/>
  <c r="AS387" i="99"/>
  <c r="AS388" i="99" s="1"/>
  <c r="AS51" i="99" s="1"/>
  <c r="AS116" i="103" s="1"/>
  <c r="AS51" i="103" s="1"/>
  <c r="AT363" i="99"/>
  <c r="AT364" i="99" s="1"/>
  <c r="AT48" i="99" s="1"/>
  <c r="AT113" i="99" s="1"/>
  <c r="AZ399" i="99"/>
  <c r="AZ400" i="99" s="1"/>
  <c r="AZ57" i="99" s="1"/>
  <c r="AZ122" i="103" s="1"/>
  <c r="AZ57" i="103" s="1"/>
  <c r="BB399" i="99"/>
  <c r="BB400" i="99" s="1"/>
  <c r="BB57" i="99" s="1"/>
  <c r="BE399" i="99"/>
  <c r="BE400" i="99" s="1"/>
  <c r="BE57" i="99" s="1"/>
  <c r="BE122" i="103" s="1"/>
  <c r="BE57" i="103" s="1"/>
  <c r="BG444" i="99"/>
  <c r="BG445" i="99" s="1"/>
  <c r="BG68" i="99" s="1"/>
  <c r="BG133" i="99" s="1"/>
  <c r="BJ351" i="99"/>
  <c r="BJ352" i="99" s="1"/>
  <c r="BJ44" i="99" s="1"/>
  <c r="BJ109" i="99" s="1"/>
  <c r="BL407" i="99"/>
  <c r="BL408" i="99" s="1"/>
  <c r="BL58" i="99" s="1"/>
  <c r="BL123" i="104" s="1"/>
  <c r="BL58" i="104" s="1"/>
  <c r="BN363" i="99"/>
  <c r="BN364" i="99" s="1"/>
  <c r="BN48" i="99" s="1"/>
  <c r="BQ387" i="99"/>
  <c r="BQ388" i="99" s="1"/>
  <c r="BQ51" i="99" s="1"/>
  <c r="BQ116" i="103" s="1"/>
  <c r="BQ51" i="103" s="1"/>
  <c r="Y436" i="99"/>
  <c r="Y437" i="99" s="1"/>
  <c r="Y74" i="99" s="1"/>
  <c r="Y139" i="99" s="1"/>
  <c r="AH436" i="99"/>
  <c r="AH437" i="99" s="1"/>
  <c r="AH74" i="99" s="1"/>
  <c r="AH139" i="99" s="1"/>
  <c r="AK436" i="99"/>
  <c r="AK437" i="99" s="1"/>
  <c r="AK74" i="99" s="1"/>
  <c r="AK139" i="99" s="1"/>
  <c r="BU351" i="99"/>
  <c r="BU352" i="99" s="1"/>
  <c r="BU44" i="99" s="1"/>
  <c r="BU109" i="104" s="1"/>
  <c r="BU44" i="104" s="1"/>
  <c r="BW363" i="99"/>
  <c r="BW364" i="99" s="1"/>
  <c r="BW48" i="99" s="1"/>
  <c r="BW113" i="103" s="1"/>
  <c r="BW48" i="103" s="1"/>
  <c r="BX399" i="99"/>
  <c r="BX400" i="99" s="1"/>
  <c r="BX57" i="99" s="1"/>
  <c r="BX122" i="103" s="1"/>
  <c r="BX57" i="103" s="1"/>
  <c r="BX387" i="99"/>
  <c r="BX388" i="99" s="1"/>
  <c r="BX51" i="99" s="1"/>
  <c r="BX116" i="103" s="1"/>
  <c r="BX51" i="103" s="1"/>
  <c r="S387" i="99"/>
  <c r="S388" i="99" s="1"/>
  <c r="S51" i="99" s="1"/>
  <c r="S116" i="103" s="1"/>
  <c r="S51" i="103" s="1"/>
  <c r="T379" i="99"/>
  <c r="T380" i="99" s="1"/>
  <c r="T50" i="99" s="1"/>
  <c r="T115" i="104" s="1"/>
  <c r="T50" i="104" s="1"/>
  <c r="W371" i="99"/>
  <c r="W372" i="99" s="1"/>
  <c r="W49" i="99" s="1"/>
  <c r="W114" i="104" s="1"/>
  <c r="W49" i="104" s="1"/>
  <c r="Y351" i="99"/>
  <c r="Y352" i="99" s="1"/>
  <c r="Y44" i="99" s="1"/>
  <c r="Y109" i="103" s="1"/>
  <c r="Y44" i="103" s="1"/>
  <c r="AB407" i="99"/>
  <c r="AB408" i="99" s="1"/>
  <c r="AB58" i="99" s="1"/>
  <c r="AB123" i="103" s="1"/>
  <c r="AB58" i="103" s="1"/>
  <c r="AD371" i="99"/>
  <c r="AD372" i="99" s="1"/>
  <c r="AD49" i="99" s="1"/>
  <c r="AD114" i="103" s="1"/>
  <c r="AD49" i="103" s="1"/>
  <c r="AF399" i="99"/>
  <c r="AF400" i="99" s="1"/>
  <c r="AF57" i="99" s="1"/>
  <c r="AF122" i="104" s="1"/>
  <c r="AF57" i="104" s="1"/>
  <c r="AI387" i="99"/>
  <c r="AI388" i="99" s="1"/>
  <c r="AI51" i="99" s="1"/>
  <c r="AI116" i="104" s="1"/>
  <c r="AI51" i="104" s="1"/>
  <c r="AK379" i="99"/>
  <c r="AK380" i="99" s="1"/>
  <c r="AK50" i="99" s="1"/>
  <c r="AK115" i="104" s="1"/>
  <c r="AK50" i="104" s="1"/>
  <c r="AP399" i="99"/>
  <c r="AP400" i="99" s="1"/>
  <c r="AP57" i="99" s="1"/>
  <c r="AP122" i="103" s="1"/>
  <c r="AP57" i="103" s="1"/>
  <c r="AS407" i="99"/>
  <c r="AS408" i="99" s="1"/>
  <c r="AS58" i="99" s="1"/>
  <c r="AS123" i="103" s="1"/>
  <c r="AS58" i="103" s="1"/>
  <c r="AU371" i="99"/>
  <c r="AU372" i="99" s="1"/>
  <c r="AU49" i="99" s="1"/>
  <c r="AU114" i="104" s="1"/>
  <c r="AU49" i="104" s="1"/>
  <c r="AX407" i="99"/>
  <c r="AX408" i="99" s="1"/>
  <c r="AX58" i="99" s="1"/>
  <c r="AX123" i="103" s="1"/>
  <c r="AX58" i="103" s="1"/>
  <c r="AZ379" i="99"/>
  <c r="AZ380" i="99" s="1"/>
  <c r="AZ50" i="99" s="1"/>
  <c r="AZ115" i="99" s="1"/>
  <c r="BA363" i="99"/>
  <c r="BA364" i="99" s="1"/>
  <c r="BA48" i="99" s="1"/>
  <c r="BA113" i="103" s="1"/>
  <c r="BA48" i="103" s="1"/>
  <c r="BE371" i="99"/>
  <c r="BE372" i="99" s="1"/>
  <c r="BE49" i="99" s="1"/>
  <c r="BE114" i="103" s="1"/>
  <c r="BE49" i="103" s="1"/>
  <c r="BG399" i="99"/>
  <c r="BG400" i="99" s="1"/>
  <c r="BG57" i="99" s="1"/>
  <c r="BG122" i="104" s="1"/>
  <c r="BG57" i="104" s="1"/>
  <c r="BJ387" i="99"/>
  <c r="BJ388" i="99" s="1"/>
  <c r="BJ51" i="99" s="1"/>
  <c r="BJ116" i="104" s="1"/>
  <c r="BJ51" i="104" s="1"/>
  <c r="BL379" i="99"/>
  <c r="BL380" i="99" s="1"/>
  <c r="BL50" i="99" s="1"/>
  <c r="BL115" i="103" s="1"/>
  <c r="BL50" i="103" s="1"/>
  <c r="BQ351" i="99"/>
  <c r="BQ352" i="99" s="1"/>
  <c r="BQ44" i="99" s="1"/>
  <c r="BQ109" i="103" s="1"/>
  <c r="BQ44" i="103" s="1"/>
  <c r="BL436" i="99"/>
  <c r="BL437" i="99" s="1"/>
  <c r="BL74" i="99" s="1"/>
  <c r="BL139" i="103" s="1"/>
  <c r="BL74" i="103" s="1"/>
  <c r="AF436" i="99"/>
  <c r="AF437" i="99" s="1"/>
  <c r="AF74" i="99" s="1"/>
  <c r="AF139" i="104" s="1"/>
  <c r="AF74" i="104" s="1"/>
  <c r="BS436" i="99"/>
  <c r="BS437" i="99" s="1"/>
  <c r="BS74" i="99" s="1"/>
  <c r="BU407" i="99"/>
  <c r="BU408" i="99" s="1"/>
  <c r="BU58" i="99" s="1"/>
  <c r="BU123" i="103" s="1"/>
  <c r="BU58" i="103" s="1"/>
  <c r="S399" i="99"/>
  <c r="S400" i="99" s="1"/>
  <c r="S57" i="99" s="1"/>
  <c r="S122" i="103" s="1"/>
  <c r="S57" i="103" s="1"/>
  <c r="W351" i="99"/>
  <c r="W352" i="99" s="1"/>
  <c r="W44" i="99" s="1"/>
  <c r="W109" i="104" s="1"/>
  <c r="W44" i="104" s="1"/>
  <c r="Y387" i="99"/>
  <c r="Y388" i="99" s="1"/>
  <c r="Y51" i="99" s="1"/>
  <c r="Y116" i="103" s="1"/>
  <c r="Y51" i="103" s="1"/>
  <c r="AB351" i="99"/>
  <c r="AB352" i="99" s="1"/>
  <c r="AB44" i="99" s="1"/>
  <c r="AB109" i="99" s="1"/>
  <c r="AG371" i="99"/>
  <c r="AG372" i="99" s="1"/>
  <c r="AG49" i="99" s="1"/>
  <c r="AG114" i="103" s="1"/>
  <c r="AG49" i="103" s="1"/>
  <c r="AI351" i="99"/>
  <c r="AI352" i="99" s="1"/>
  <c r="AI44" i="99" s="1"/>
  <c r="AI109" i="103" s="1"/>
  <c r="AI44" i="103" s="1"/>
  <c r="AK444" i="99"/>
  <c r="AK445" i="99" s="1"/>
  <c r="AK68" i="99" s="1"/>
  <c r="AK133" i="99" s="1"/>
  <c r="AN379" i="99"/>
  <c r="AN380" i="99" s="1"/>
  <c r="AN50" i="99" s="1"/>
  <c r="AN115" i="104" s="1"/>
  <c r="AN50" i="104" s="1"/>
  <c r="AP387" i="99"/>
  <c r="AP388" i="99" s="1"/>
  <c r="AP51" i="99" s="1"/>
  <c r="AP116" i="99" s="1"/>
  <c r="AU407" i="99"/>
  <c r="AU408" i="99" s="1"/>
  <c r="AU58" i="99" s="1"/>
  <c r="AU123" i="103" s="1"/>
  <c r="AU58" i="103" s="1"/>
  <c r="AW363" i="99"/>
  <c r="AW364" i="99" s="1"/>
  <c r="AW48" i="99" s="1"/>
  <c r="AW113" i="103" s="1"/>
  <c r="AW48" i="103" s="1"/>
  <c r="AY363" i="99"/>
  <c r="AY364" i="99" s="1"/>
  <c r="AY48" i="99" s="1"/>
  <c r="AY113" i="103" s="1"/>
  <c r="AY48" i="103" s="1"/>
  <c r="BC387" i="99"/>
  <c r="BC388" i="99" s="1"/>
  <c r="BC51" i="99" s="1"/>
  <c r="BC116" i="103" s="1"/>
  <c r="BC51" i="103" s="1"/>
  <c r="BE407" i="99"/>
  <c r="BE408" i="99" s="1"/>
  <c r="BE58" i="99" s="1"/>
  <c r="BE123" i="104" s="1"/>
  <c r="BE58" i="104" s="1"/>
  <c r="BG379" i="99"/>
  <c r="BG380" i="99" s="1"/>
  <c r="BG50" i="99" s="1"/>
  <c r="BG115" i="99" s="1"/>
  <c r="BJ399" i="99"/>
  <c r="BJ400" i="99" s="1"/>
  <c r="BJ57" i="99" s="1"/>
  <c r="BJ122" i="104" s="1"/>
  <c r="BJ57" i="104" s="1"/>
  <c r="BL371" i="99"/>
  <c r="BL372" i="99" s="1"/>
  <c r="BL49" i="99" s="1"/>
  <c r="BL114" i="99" s="1"/>
  <c r="BO444" i="99"/>
  <c r="BO445" i="99" s="1"/>
  <c r="BO68" i="99" s="1"/>
  <c r="BO133" i="99" s="1"/>
  <c r="BP363" i="99"/>
  <c r="BP364" i="99" s="1"/>
  <c r="BP48" i="99" s="1"/>
  <c r="BP113" i="104" s="1"/>
  <c r="BP48" i="104" s="1"/>
  <c r="AE436" i="99"/>
  <c r="AE437" i="99" s="1"/>
  <c r="AE74" i="99" s="1"/>
  <c r="AE139" i="103" s="1"/>
  <c r="AE74" i="103" s="1"/>
  <c r="W436" i="99"/>
  <c r="W437" i="99" s="1"/>
  <c r="W74" i="99" s="1"/>
  <c r="AL436" i="99"/>
  <c r="AL437" i="99" s="1"/>
  <c r="AL74" i="99" s="1"/>
  <c r="AL139" i="99" s="1"/>
  <c r="BU371" i="99"/>
  <c r="BU372" i="99" s="1"/>
  <c r="BU49" i="99" s="1"/>
  <c r="BU114" i="103" s="1"/>
  <c r="BU49" i="103" s="1"/>
  <c r="BX407" i="99"/>
  <c r="BX408" i="99" s="1"/>
  <c r="BX58" i="99" s="1"/>
  <c r="BX123" i="103" s="1"/>
  <c r="BX58" i="103" s="1"/>
  <c r="BX351" i="99"/>
  <c r="BX352" i="99" s="1"/>
  <c r="BX44" i="99" s="1"/>
  <c r="BX109" i="103" s="1"/>
  <c r="BX44" i="103" s="1"/>
  <c r="BX379" i="99"/>
  <c r="BX380" i="99" s="1"/>
  <c r="BX50" i="99" s="1"/>
  <c r="BX115" i="103" s="1"/>
  <c r="BX50" i="103" s="1"/>
  <c r="BW351" i="99"/>
  <c r="BW352" i="99" s="1"/>
  <c r="BW44" i="99" s="1"/>
  <c r="R407" i="99"/>
  <c r="R408" i="99" s="1"/>
  <c r="R58" i="99" s="1"/>
  <c r="R123" i="99" s="1"/>
  <c r="S371" i="99"/>
  <c r="S372" i="99" s="1"/>
  <c r="S49" i="99" s="1"/>
  <c r="S114" i="104" s="1"/>
  <c r="S49" i="104" s="1"/>
  <c r="W387" i="99"/>
  <c r="W388" i="99" s="1"/>
  <c r="W51" i="99" s="1"/>
  <c r="W116" i="99" s="1"/>
  <c r="Z387" i="99"/>
  <c r="Z388" i="99" s="1"/>
  <c r="Z51" i="99" s="1"/>
  <c r="Z116" i="99" s="1"/>
  <c r="AB444" i="99"/>
  <c r="AB445" i="99" s="1"/>
  <c r="AB68" i="99" s="1"/>
  <c r="AB133" i="99" s="1"/>
  <c r="AD351" i="99"/>
  <c r="AD352" i="99" s="1"/>
  <c r="AD44" i="99" s="1"/>
  <c r="AD109" i="103" s="1"/>
  <c r="AD44" i="103" s="1"/>
  <c r="AG379" i="99"/>
  <c r="AG380" i="99" s="1"/>
  <c r="AG50" i="99" s="1"/>
  <c r="AG115" i="103" s="1"/>
  <c r="AG50" i="103" s="1"/>
  <c r="AL444" i="99"/>
  <c r="AL445" i="99" s="1"/>
  <c r="AL68" i="99" s="1"/>
  <c r="AL133" i="99" s="1"/>
  <c r="AM363" i="99"/>
  <c r="AM364" i="99" s="1"/>
  <c r="AM48" i="99" s="1"/>
  <c r="AM113" i="103" s="1"/>
  <c r="AM48" i="103" s="1"/>
  <c r="AQ407" i="99"/>
  <c r="AQ408" i="99" s="1"/>
  <c r="AQ58" i="99" s="1"/>
  <c r="AQ123" i="104" s="1"/>
  <c r="AQ58" i="104" s="1"/>
  <c r="AS379" i="99"/>
  <c r="AS380" i="99" s="1"/>
  <c r="AS50" i="99" s="1"/>
  <c r="AS115" i="103" s="1"/>
  <c r="AS50" i="103" s="1"/>
  <c r="AU444" i="99"/>
  <c r="AU445" i="99" s="1"/>
  <c r="AU68" i="99" s="1"/>
  <c r="AU133" i="99" s="1"/>
  <c r="AX379" i="99"/>
  <c r="AX380" i="99" s="1"/>
  <c r="AX50" i="99" s="1"/>
  <c r="AX115" i="104" s="1"/>
  <c r="AX50" i="104" s="1"/>
  <c r="AZ444" i="99"/>
  <c r="AZ445" i="99" s="1"/>
  <c r="AZ68" i="99" s="1"/>
  <c r="AZ133" i="99" s="1"/>
  <c r="BE387" i="99"/>
  <c r="BE388" i="99" s="1"/>
  <c r="BE51" i="99" s="1"/>
  <c r="BE116" i="103" s="1"/>
  <c r="BE51" i="103" s="1"/>
  <c r="BH444" i="99"/>
  <c r="BH445" i="99" s="1"/>
  <c r="BH68" i="99" s="1"/>
  <c r="BH133" i="99" s="1"/>
  <c r="BJ444" i="99"/>
  <c r="BJ445" i="99" s="1"/>
  <c r="BJ68" i="99" s="1"/>
  <c r="BJ133" i="99" s="1"/>
  <c r="BM444" i="99"/>
  <c r="BM445" i="99" s="1"/>
  <c r="BM68" i="99" s="1"/>
  <c r="BM133" i="99" s="1"/>
  <c r="BO379" i="99"/>
  <c r="BO380" i="99" s="1"/>
  <c r="BO50" i="99" s="1"/>
  <c r="BO115" i="103" s="1"/>
  <c r="BO50" i="103" s="1"/>
  <c r="BQ379" i="99"/>
  <c r="BQ380" i="99" s="1"/>
  <c r="BQ50" i="99" s="1"/>
  <c r="S436" i="99"/>
  <c r="S437" i="99" s="1"/>
  <c r="S74" i="99" s="1"/>
  <c r="S139" i="99" s="1"/>
  <c r="BS387" i="99"/>
  <c r="BS388" i="99" s="1"/>
  <c r="BS51" i="99" s="1"/>
  <c r="BS116" i="99" s="1"/>
  <c r="BS351" i="99"/>
  <c r="BS352" i="99" s="1"/>
  <c r="BS44" i="99" s="1"/>
  <c r="BS109" i="99" s="1"/>
  <c r="BV436" i="99"/>
  <c r="BV437" i="99" s="1"/>
  <c r="BV74" i="99" s="1"/>
  <c r="BV139" i="99" s="1"/>
  <c r="T399" i="99"/>
  <c r="T400" i="99" s="1"/>
  <c r="T57" i="99" s="1"/>
  <c r="T122" i="99" s="1"/>
  <c r="R387" i="99"/>
  <c r="R388" i="99" s="1"/>
  <c r="R51" i="99" s="1"/>
  <c r="R116" i="99" s="1"/>
  <c r="W379" i="99"/>
  <c r="W380" i="99" s="1"/>
  <c r="W50" i="99" s="1"/>
  <c r="W115" i="103" s="1"/>
  <c r="W50" i="103" s="1"/>
  <c r="Z407" i="99"/>
  <c r="Z408" i="99" s="1"/>
  <c r="Z58" i="99" s="1"/>
  <c r="Z123" i="104" s="1"/>
  <c r="Z58" i="104" s="1"/>
  <c r="AB371" i="99"/>
  <c r="AB372" i="99" s="1"/>
  <c r="AB49" i="99" s="1"/>
  <c r="AB114" i="104" s="1"/>
  <c r="AB49" i="104" s="1"/>
  <c r="AC363" i="99"/>
  <c r="AC364" i="99" s="1"/>
  <c r="AC48" i="99" s="1"/>
  <c r="AC113" i="103" s="1"/>
  <c r="AC48" i="103" s="1"/>
  <c r="AG407" i="99"/>
  <c r="AG408" i="99" s="1"/>
  <c r="AG58" i="99" s="1"/>
  <c r="AG123" i="103" s="1"/>
  <c r="AG58" i="103" s="1"/>
  <c r="AI407" i="99"/>
  <c r="AI408" i="99" s="1"/>
  <c r="AI58" i="99" s="1"/>
  <c r="AI123" i="99" s="1"/>
  <c r="AL379" i="99"/>
  <c r="AL380" i="99" s="1"/>
  <c r="AL50" i="99" s="1"/>
  <c r="AL115" i="99" s="1"/>
  <c r="AN444" i="99"/>
  <c r="AN445" i="99" s="1"/>
  <c r="AN68" i="99" s="1"/>
  <c r="AN133" i="99" s="1"/>
  <c r="AQ399" i="99"/>
  <c r="AQ400" i="99" s="1"/>
  <c r="AQ57" i="99" s="1"/>
  <c r="AQ122" i="99" s="1"/>
  <c r="AS351" i="99"/>
  <c r="AS352" i="99" s="1"/>
  <c r="AS44" i="99" s="1"/>
  <c r="AS109" i="103" s="1"/>
  <c r="AS44" i="103" s="1"/>
  <c r="AV351" i="99"/>
  <c r="AV352" i="99" s="1"/>
  <c r="AV44" i="99" s="1"/>
  <c r="AV109" i="103" s="1"/>
  <c r="AV44" i="103" s="1"/>
  <c r="AZ387" i="99"/>
  <c r="AZ388" i="99" s="1"/>
  <c r="AZ51" i="99" s="1"/>
  <c r="AZ116" i="104" s="1"/>
  <c r="AZ51" i="104" s="1"/>
  <c r="BC379" i="99"/>
  <c r="BC380" i="99" s="1"/>
  <c r="BC50" i="99" s="1"/>
  <c r="BC115" i="104" s="1"/>
  <c r="BC50" i="104" s="1"/>
  <c r="BD399" i="99"/>
  <c r="BD400" i="99" s="1"/>
  <c r="BD57" i="99" s="1"/>
  <c r="BD122" i="104" s="1"/>
  <c r="BD57" i="104" s="1"/>
  <c r="BH407" i="99"/>
  <c r="BH408" i="99" s="1"/>
  <c r="BH58" i="99" s="1"/>
  <c r="BH123" i="99" s="1"/>
  <c r="BJ371" i="99"/>
  <c r="BJ372" i="99" s="1"/>
  <c r="BJ49" i="99" s="1"/>
  <c r="BJ114" i="103" s="1"/>
  <c r="BJ49" i="103" s="1"/>
  <c r="BL363" i="99"/>
  <c r="BL364" i="99" s="1"/>
  <c r="BL48" i="99" s="1"/>
  <c r="BL113" i="103" s="1"/>
  <c r="BL48" i="103" s="1"/>
  <c r="BO371" i="99"/>
  <c r="BO372" i="99" s="1"/>
  <c r="BO49" i="99" s="1"/>
  <c r="BO114" i="103" s="1"/>
  <c r="BO49" i="103" s="1"/>
  <c r="BR387" i="99"/>
  <c r="BR388" i="99" s="1"/>
  <c r="BR51" i="99" s="1"/>
  <c r="BR116" i="103" s="1"/>
  <c r="BR51" i="103" s="1"/>
  <c r="AW436" i="99"/>
  <c r="AW437" i="99" s="1"/>
  <c r="AW74" i="99" s="1"/>
  <c r="AW139" i="99" s="1"/>
  <c r="AD436" i="99"/>
  <c r="AD437" i="99" s="1"/>
  <c r="AD74" i="99" s="1"/>
  <c r="AQ436" i="99"/>
  <c r="AQ437" i="99" s="1"/>
  <c r="AQ74" i="99" s="1"/>
  <c r="AQ139" i="99" s="1"/>
  <c r="T363" i="99"/>
  <c r="T364" i="99" s="1"/>
  <c r="T48" i="99" s="1"/>
  <c r="T113" i="103" s="1"/>
  <c r="T48" i="103" s="1"/>
  <c r="T387" i="99"/>
  <c r="T388" i="99" s="1"/>
  <c r="T51" i="99" s="1"/>
  <c r="T116" i="103" s="1"/>
  <c r="T51" i="103" s="1"/>
  <c r="W444" i="99"/>
  <c r="W445" i="99" s="1"/>
  <c r="W68" i="99" s="1"/>
  <c r="W133" i="99" s="1"/>
  <c r="AA363" i="99"/>
  <c r="AA364" i="99" s="1"/>
  <c r="AA48" i="99" s="1"/>
  <c r="AA113" i="103" s="1"/>
  <c r="AA48" i="103" s="1"/>
  <c r="AG351" i="99"/>
  <c r="AG352" i="99" s="1"/>
  <c r="AG44" i="99" s="1"/>
  <c r="AG109" i="103" s="1"/>
  <c r="AG44" i="103" s="1"/>
  <c r="AI379" i="99"/>
  <c r="AI380" i="99" s="1"/>
  <c r="AI50" i="99" s="1"/>
  <c r="AI115" i="99" s="1"/>
  <c r="AN371" i="99"/>
  <c r="AN372" i="99" s="1"/>
  <c r="AN49" i="99" s="1"/>
  <c r="AN114" i="103" s="1"/>
  <c r="AN49" i="103" s="1"/>
  <c r="AQ444" i="99"/>
  <c r="AQ445" i="99" s="1"/>
  <c r="AQ68" i="99" s="1"/>
  <c r="AQ133" i="99" s="1"/>
  <c r="AS371" i="99"/>
  <c r="AS372" i="99" s="1"/>
  <c r="AS49" i="99" s="1"/>
  <c r="AS114" i="104" s="1"/>
  <c r="AS49" i="104" s="1"/>
  <c r="AV379" i="99"/>
  <c r="AV380" i="99" s="1"/>
  <c r="AV50" i="99" s="1"/>
  <c r="AV115" i="99" s="1"/>
  <c r="AX351" i="99"/>
  <c r="AX352" i="99" s="1"/>
  <c r="AX44" i="99" s="1"/>
  <c r="AX109" i="103" s="1"/>
  <c r="AX44" i="103" s="1"/>
  <c r="AZ351" i="99"/>
  <c r="AZ352" i="99" s="1"/>
  <c r="AZ44" i="99" s="1"/>
  <c r="AZ109" i="104" s="1"/>
  <c r="AZ44" i="104" s="1"/>
  <c r="BC399" i="99"/>
  <c r="BC400" i="99" s="1"/>
  <c r="BC57" i="99" s="1"/>
  <c r="BC122" i="103" s="1"/>
  <c r="BC57" i="103" s="1"/>
  <c r="BH379" i="99"/>
  <c r="BH380" i="99" s="1"/>
  <c r="BH50" i="99" s="1"/>
  <c r="BH115" i="103" s="1"/>
  <c r="BH50" i="103" s="1"/>
  <c r="BM387" i="99"/>
  <c r="BM388" i="99" s="1"/>
  <c r="BM51" i="99" s="1"/>
  <c r="BM116" i="103" s="1"/>
  <c r="BM51" i="103" s="1"/>
  <c r="BO387" i="99"/>
  <c r="BO388" i="99" s="1"/>
  <c r="BO51" i="99" s="1"/>
  <c r="BO116" i="103" s="1"/>
  <c r="BO51" i="103" s="1"/>
  <c r="BQ363" i="99"/>
  <c r="BQ364" i="99" s="1"/>
  <c r="BQ48" i="99" s="1"/>
  <c r="BQ113" i="99" s="1"/>
  <c r="BC436" i="99"/>
  <c r="BC437" i="99" s="1"/>
  <c r="BC74" i="99" s="1"/>
  <c r="BC139" i="99" s="1"/>
  <c r="AO436" i="99"/>
  <c r="AO437" i="99" s="1"/>
  <c r="AO74" i="99" s="1"/>
  <c r="AO139" i="99" s="1"/>
  <c r="BO436" i="99"/>
  <c r="BO437" i="99" s="1"/>
  <c r="BO74" i="99" s="1"/>
  <c r="BO139" i="99" s="1"/>
  <c r="BU444" i="99"/>
  <c r="BU445" i="99" s="1"/>
  <c r="BU68" i="99" s="1"/>
  <c r="BU133" i="99" s="1"/>
  <c r="BW332" i="154"/>
  <c r="BW201" i="154"/>
  <c r="BW191" i="154"/>
  <c r="BL217" i="155"/>
  <c r="BL209" i="155"/>
  <c r="BL209" i="154"/>
  <c r="BL217" i="154"/>
  <c r="BL203" i="154"/>
  <c r="BJ342" i="154"/>
  <c r="BJ344" i="154" s="1"/>
  <c r="BJ43" i="154" s="1"/>
  <c r="BJ334" i="154"/>
  <c r="BK209" i="154"/>
  <c r="BK217" i="154"/>
  <c r="BK203" i="154"/>
  <c r="BA286" i="155"/>
  <c r="BL342" i="155"/>
  <c r="BL342" i="154"/>
  <c r="BL344" i="154" s="1"/>
  <c r="BL43" i="154" s="1"/>
  <c r="BL334" i="154"/>
  <c r="BK342" i="154"/>
  <c r="BK344" i="154" s="1"/>
  <c r="BK43" i="154" s="1"/>
  <c r="BK334" i="154"/>
  <c r="BA242" i="155"/>
  <c r="BC286" i="154"/>
  <c r="BC219" i="154"/>
  <c r="BX332" i="154"/>
  <c r="BX201" i="154"/>
  <c r="BX191" i="154"/>
  <c r="BH286" i="154"/>
  <c r="BH219" i="154"/>
  <c r="BJ342" i="155"/>
  <c r="BW332" i="155"/>
  <c r="BW201" i="155"/>
  <c r="BC242" i="154"/>
  <c r="BC211" i="154"/>
  <c r="BS191" i="154"/>
  <c r="BH242" i="154"/>
  <c r="BH211" i="154"/>
  <c r="BJ209" i="155"/>
  <c r="BJ217" i="155"/>
  <c r="BE286" i="155"/>
  <c r="BD286" i="154"/>
  <c r="BD219" i="154"/>
  <c r="AY242" i="154"/>
  <c r="AY211" i="154"/>
  <c r="AY242" i="155"/>
  <c r="BR191" i="154"/>
  <c r="AX242" i="154"/>
  <c r="AX211" i="154"/>
  <c r="BE242" i="155"/>
  <c r="BH242" i="155"/>
  <c r="BD242" i="154"/>
  <c r="BD211" i="154"/>
  <c r="AY286" i="154"/>
  <c r="AY219" i="154"/>
  <c r="BD242" i="155"/>
  <c r="AY286" i="155"/>
  <c r="BX332" i="155"/>
  <c r="BX201" i="155"/>
  <c r="AX286" i="154"/>
  <c r="AX219" i="154"/>
  <c r="BH286" i="155"/>
  <c r="BD286" i="155"/>
  <c r="BF286" i="154"/>
  <c r="BF219" i="154"/>
  <c r="BF242" i="154"/>
  <c r="BF211" i="154"/>
  <c r="BG242" i="155"/>
  <c r="BV201" i="154"/>
  <c r="BV332" i="154"/>
  <c r="BV191" i="154"/>
  <c r="BG286" i="155"/>
  <c r="R217" i="99"/>
  <c r="R286" i="99" s="1"/>
  <c r="R209" i="99"/>
  <c r="R242" i="99" s="1"/>
  <c r="R215" i="99"/>
  <c r="R284" i="99" s="1"/>
  <c r="R207" i="99"/>
  <c r="R240" i="99" s="1"/>
  <c r="R208" i="99"/>
  <c r="R241" i="99" s="1"/>
  <c r="R216" i="99"/>
  <c r="R285" i="99" s="1"/>
  <c r="R206" i="99"/>
  <c r="R239" i="99" s="1"/>
  <c r="R214" i="99"/>
  <c r="R283" i="99" s="1"/>
  <c r="BP242" i="154"/>
  <c r="BN242" i="154"/>
  <c r="BN211" i="154"/>
  <c r="BQ286" i="154"/>
  <c r="BQ242" i="154"/>
  <c r="BM286" i="155"/>
  <c r="BM242" i="155"/>
  <c r="BN286" i="155"/>
  <c r="BN242" i="155"/>
  <c r="BP242" i="155"/>
  <c r="BP286" i="155"/>
  <c r="BO286" i="154"/>
  <c r="BO219" i="154"/>
  <c r="BO286" i="155"/>
  <c r="BO242" i="154"/>
  <c r="BO211" i="154"/>
  <c r="BO242" i="155"/>
  <c r="BM219" i="154"/>
  <c r="BM286" i="154"/>
  <c r="BM242" i="154"/>
  <c r="BM211" i="154"/>
  <c r="BQ242" i="155"/>
  <c r="BQ286" i="155"/>
  <c r="BP286" i="154"/>
  <c r="BN219" i="154"/>
  <c r="BN286" i="154"/>
  <c r="BY274" i="154"/>
  <c r="BU242" i="154"/>
  <c r="BU286" i="154"/>
  <c r="BR286" i="155"/>
  <c r="BY310" i="154"/>
  <c r="BT286" i="155"/>
  <c r="BR242" i="155"/>
  <c r="BY318" i="154"/>
  <c r="BT242" i="155"/>
  <c r="BR242" i="154"/>
  <c r="BR286" i="154"/>
  <c r="BT286" i="154"/>
  <c r="BT242" i="154"/>
  <c r="BS286" i="154"/>
  <c r="BS242" i="154"/>
  <c r="BS286" i="155"/>
  <c r="BS242" i="155"/>
  <c r="BU286" i="155"/>
  <c r="BY274" i="155"/>
  <c r="BU242" i="155"/>
  <c r="BY318" i="155"/>
  <c r="BY310" i="155"/>
  <c r="BY266" i="154"/>
  <c r="BY467" i="154"/>
  <c r="BY258" i="155"/>
  <c r="BY467" i="155"/>
  <c r="BY344" i="154"/>
  <c r="BY43" i="154" s="1"/>
  <c r="BY334" i="154"/>
  <c r="BY203" i="154"/>
  <c r="N133" i="103"/>
  <c r="P133" i="103" s="1"/>
  <c r="N129" i="103"/>
  <c r="P129" i="103" s="1"/>
  <c r="N129" i="104"/>
  <c r="M129" i="103"/>
  <c r="M129" i="104"/>
  <c r="M133" i="103"/>
  <c r="L129" i="104"/>
  <c r="L133" i="103"/>
  <c r="L129" i="103"/>
  <c r="K129" i="104"/>
  <c r="K133" i="103"/>
  <c r="K129" i="103"/>
  <c r="J129" i="104"/>
  <c r="J129" i="103"/>
  <c r="J133" i="103"/>
  <c r="AK310" i="153"/>
  <c r="BY576" i="99"/>
  <c r="Z302" i="153"/>
  <c r="AF266" i="153"/>
  <c r="R425" i="153"/>
  <c r="AJ199" i="99"/>
  <c r="AJ215" i="99" s="1"/>
  <c r="AJ284" i="99" s="1"/>
  <c r="M133" i="104"/>
  <c r="L133" i="104"/>
  <c r="J133" i="104"/>
  <c r="N133" i="104"/>
  <c r="P133" i="104" s="1"/>
  <c r="K133" i="104"/>
  <c r="AK330" i="99"/>
  <c r="AK340" i="99" s="1"/>
  <c r="AU179" i="99"/>
  <c r="AU187" i="99" s="1"/>
  <c r="AU330" i="99" s="1"/>
  <c r="AU340" i="99" s="1"/>
  <c r="BW581" i="99"/>
  <c r="BW582" i="99" s="1"/>
  <c r="AA274" i="153"/>
  <c r="AW179" i="99"/>
  <c r="AW187" i="99" s="1"/>
  <c r="AW199" i="99" s="1"/>
  <c r="Y183" i="153"/>
  <c r="Y185" i="153"/>
  <c r="AJ310" i="153"/>
  <c r="X177" i="153"/>
  <c r="X185" i="153" s="1"/>
  <c r="W177" i="153"/>
  <c r="W185" i="153" s="1"/>
  <c r="AJ266" i="153"/>
  <c r="AF310" i="153"/>
  <c r="AB266" i="153"/>
  <c r="BW529" i="99"/>
  <c r="BW530" i="99" s="1"/>
  <c r="AI274" i="153"/>
  <c r="T185" i="153"/>
  <c r="T183" i="153"/>
  <c r="AF318" i="153"/>
  <c r="AQ199" i="99"/>
  <c r="AQ330" i="99"/>
  <c r="AQ340" i="99" s="1"/>
  <c r="Z207" i="99"/>
  <c r="Z240" i="99" s="1"/>
  <c r="Z215" i="99"/>
  <c r="Z284" i="99" s="1"/>
  <c r="AK215" i="99"/>
  <c r="AK284" i="99" s="1"/>
  <c r="AK207" i="99"/>
  <c r="AK240" i="99" s="1"/>
  <c r="AO330" i="99"/>
  <c r="AO340" i="99" s="1"/>
  <c r="AO199" i="99"/>
  <c r="AN199" i="99"/>
  <c r="AN330" i="99"/>
  <c r="AN340" i="99" s="1"/>
  <c r="AK274" i="153"/>
  <c r="Z310" i="153"/>
  <c r="AM330" i="99"/>
  <c r="AM340" i="99" s="1"/>
  <c r="AM199" i="99"/>
  <c r="AL330" i="99"/>
  <c r="AL340" i="99" s="1"/>
  <c r="AL199" i="99"/>
  <c r="AD266" i="153"/>
  <c r="AE274" i="153"/>
  <c r="AO216" i="99"/>
  <c r="AO285" i="99" s="1"/>
  <c r="AO208" i="99"/>
  <c r="AO241" i="99" s="1"/>
  <c r="AP330" i="99"/>
  <c r="AP340" i="99" s="1"/>
  <c r="AP199" i="99"/>
  <c r="AX179" i="99"/>
  <c r="AX187" i="99" s="1"/>
  <c r="AY179" i="99"/>
  <c r="AY187" i="99" s="1"/>
  <c r="AZ179" i="99"/>
  <c r="AZ187" i="99" s="1"/>
  <c r="BA179" i="99"/>
  <c r="BA187" i="99" s="1"/>
  <c r="BB179" i="99"/>
  <c r="BB187" i="99" s="1"/>
  <c r="BC179" i="99"/>
  <c r="BC187" i="99" s="1"/>
  <c r="BD179" i="99"/>
  <c r="BD187" i="99" s="1"/>
  <c r="BE179" i="99"/>
  <c r="BE187" i="99" s="1"/>
  <c r="BF179" i="99"/>
  <c r="BF187" i="99" s="1"/>
  <c r="AA215" i="99"/>
  <c r="AA284" i="99" s="1"/>
  <c r="AA207" i="99"/>
  <c r="AA240" i="99" s="1"/>
  <c r="AA318" i="153"/>
  <c r="AE215" i="99"/>
  <c r="AE284" i="99" s="1"/>
  <c r="AE207" i="99"/>
  <c r="AE240" i="99" s="1"/>
  <c r="AA310" i="153"/>
  <c r="AC207" i="99"/>
  <c r="AC240" i="99" s="1"/>
  <c r="AC215" i="99"/>
  <c r="AC284" i="99" s="1"/>
  <c r="AI318" i="153"/>
  <c r="AL216" i="99"/>
  <c r="AL285" i="99" s="1"/>
  <c r="AL208" i="99"/>
  <c r="AL241" i="99" s="1"/>
  <c r="AP216" i="99"/>
  <c r="AP285" i="99" s="1"/>
  <c r="AP208" i="99"/>
  <c r="AP241" i="99" s="1"/>
  <c r="Z258" i="153"/>
  <c r="R175" i="99"/>
  <c r="Y160" i="99" s="1"/>
  <c r="S175" i="99" s="1"/>
  <c r="T175" i="99" s="1"/>
  <c r="U175" i="99" s="1"/>
  <c r="V175" i="99" s="1"/>
  <c r="V185" i="153"/>
  <c r="V183" i="153"/>
  <c r="R185" i="153"/>
  <c r="R183" i="153"/>
  <c r="AC318" i="153"/>
  <c r="U185" i="153"/>
  <c r="U183" i="153"/>
  <c r="AD177" i="153"/>
  <c r="AH177" i="153"/>
  <c r="Z177" i="153"/>
  <c r="AC177" i="153"/>
  <c r="AE177" i="153"/>
  <c r="AG177" i="153"/>
  <c r="AB177" i="153"/>
  <c r="AF177" i="153"/>
  <c r="AA177" i="153"/>
  <c r="AC310" i="153"/>
  <c r="S185" i="153"/>
  <c r="S183" i="153"/>
  <c r="AK318" i="153"/>
  <c r="S294" i="153"/>
  <c r="S310" i="153" s="1"/>
  <c r="AG302" i="153"/>
  <c r="AG266" i="153"/>
  <c r="AG467" i="153"/>
  <c r="U250" i="153"/>
  <c r="AA266" i="153"/>
  <c r="AA467" i="153"/>
  <c r="AR294" i="153"/>
  <c r="AR310" i="153" s="1"/>
  <c r="X216" i="99"/>
  <c r="X285" i="99" s="1"/>
  <c r="X208" i="99"/>
  <c r="X241" i="99" s="1"/>
  <c r="AJ258" i="153"/>
  <c r="AJ467" i="153"/>
  <c r="AB302" i="153"/>
  <c r="AR250" i="153"/>
  <c r="W216" i="99"/>
  <c r="W285" i="99" s="1"/>
  <c r="W208" i="99"/>
  <c r="W241" i="99" s="1"/>
  <c r="AC266" i="153"/>
  <c r="AB310" i="153"/>
  <c r="AO250" i="153"/>
  <c r="S216" i="99"/>
  <c r="S285" i="99" s="1"/>
  <c r="S208" i="99"/>
  <c r="S241" i="99" s="1"/>
  <c r="W294" i="153"/>
  <c r="W310" i="153" s="1"/>
  <c r="AO294" i="153"/>
  <c r="AO302" i="153" s="1"/>
  <c r="AC258" i="153"/>
  <c r="AC467" i="153"/>
  <c r="AL294" i="153"/>
  <c r="AL310" i="153" s="1"/>
  <c r="AD274" i="153"/>
  <c r="AI266" i="153"/>
  <c r="AI467" i="153"/>
  <c r="AL250" i="153"/>
  <c r="W215" i="99"/>
  <c r="W284" i="99" s="1"/>
  <c r="W207" i="99"/>
  <c r="W240" i="99" s="1"/>
  <c r="AE302" i="153"/>
  <c r="Z274" i="153"/>
  <c r="Z467" i="153"/>
  <c r="Y216" i="99"/>
  <c r="Y285" i="99" s="1"/>
  <c r="Y208" i="99"/>
  <c r="Y241" i="99" s="1"/>
  <c r="AH266" i="153"/>
  <c r="X250" i="153"/>
  <c r="AD467" i="153"/>
  <c r="AF200" i="99"/>
  <c r="AF331" i="99"/>
  <c r="AF341" i="99" s="1"/>
  <c r="AE318" i="153"/>
  <c r="AW294" i="153"/>
  <c r="AW318" i="153" s="1"/>
  <c r="AP294" i="153"/>
  <c r="AP302" i="153" s="1"/>
  <c r="AG200" i="99"/>
  <c r="AG331" i="99"/>
  <c r="AG341" i="99" s="1"/>
  <c r="U294" i="153"/>
  <c r="U310" i="153" s="1"/>
  <c r="AH258" i="153"/>
  <c r="AH467" i="153"/>
  <c r="V250" i="153"/>
  <c r="AW250" i="153"/>
  <c r="AP250" i="153"/>
  <c r="AH331" i="99"/>
  <c r="AH341" i="99" s="1"/>
  <c r="AH200" i="99"/>
  <c r="AU250" i="153"/>
  <c r="AK258" i="153"/>
  <c r="AK467" i="153"/>
  <c r="AI331" i="99"/>
  <c r="AI341" i="99" s="1"/>
  <c r="AI200" i="99"/>
  <c r="V216" i="99"/>
  <c r="V285" i="99" s="1"/>
  <c r="V208" i="99"/>
  <c r="V241" i="99" s="1"/>
  <c r="AU294" i="153"/>
  <c r="AU318" i="153" s="1"/>
  <c r="S215" i="99"/>
  <c r="S284" i="99" s="1"/>
  <c r="S207" i="99"/>
  <c r="S240" i="99" s="1"/>
  <c r="AJ331" i="99"/>
  <c r="AJ341" i="99" s="1"/>
  <c r="AJ200" i="99"/>
  <c r="X294" i="153"/>
  <c r="X302" i="153" s="1"/>
  <c r="AL182" i="99"/>
  <c r="AL190" i="99" s="1"/>
  <c r="AM182" i="99"/>
  <c r="AM190" i="99" s="1"/>
  <c r="AN182" i="99"/>
  <c r="AN190" i="99" s="1"/>
  <c r="AO182" i="99"/>
  <c r="AO190" i="99" s="1"/>
  <c r="AP182" i="99"/>
  <c r="AP190" i="99" s="1"/>
  <c r="AQ182" i="99"/>
  <c r="AQ190" i="99" s="1"/>
  <c r="AR182" i="99"/>
  <c r="AR190" i="99" s="1"/>
  <c r="AS182" i="99"/>
  <c r="AS190" i="99" s="1"/>
  <c r="AT182" i="99"/>
  <c r="AT190" i="99" s="1"/>
  <c r="AU182" i="99"/>
  <c r="AU190" i="99" s="1"/>
  <c r="AV182" i="99"/>
  <c r="AV190" i="99" s="1"/>
  <c r="AW182" i="99"/>
  <c r="AW190" i="99" s="1"/>
  <c r="S250" i="153"/>
  <c r="AK200" i="99"/>
  <c r="AK331" i="99"/>
  <c r="AK341" i="99" s="1"/>
  <c r="AJ318" i="153"/>
  <c r="W250" i="153"/>
  <c r="AS294" i="153"/>
  <c r="AS318" i="153" s="1"/>
  <c r="AE331" i="99"/>
  <c r="AE341" i="99" s="1"/>
  <c r="AE200" i="99"/>
  <c r="AM250" i="153"/>
  <c r="AS250" i="153"/>
  <c r="T250" i="153"/>
  <c r="AD331" i="99"/>
  <c r="AD341" i="99" s="1"/>
  <c r="AD200" i="99"/>
  <c r="AM294" i="153"/>
  <c r="AM318" i="153" s="1"/>
  <c r="V294" i="153"/>
  <c r="V310" i="153" s="1"/>
  <c r="AQ294" i="153"/>
  <c r="AQ310" i="153" s="1"/>
  <c r="AB274" i="153"/>
  <c r="AB467" i="153"/>
  <c r="AT294" i="153"/>
  <c r="AT318" i="153" s="1"/>
  <c r="AC200" i="99"/>
  <c r="AC331" i="99"/>
  <c r="AC341" i="99" s="1"/>
  <c r="AQ250" i="153"/>
  <c r="AF258" i="153"/>
  <c r="AF467" i="153"/>
  <c r="AT250" i="153"/>
  <c r="AB331" i="99"/>
  <c r="AB341" i="99" s="1"/>
  <c r="AB200" i="99"/>
  <c r="T294" i="153"/>
  <c r="T310" i="153" s="1"/>
  <c r="AI302" i="153"/>
  <c r="AA200" i="99"/>
  <c r="AA331" i="99"/>
  <c r="AA341" i="99" s="1"/>
  <c r="AN294" i="153"/>
  <c r="AN302" i="153" s="1"/>
  <c r="AD302" i="153"/>
  <c r="AV250" i="153"/>
  <c r="Z331" i="99"/>
  <c r="Z341" i="99" s="1"/>
  <c r="Z200" i="99"/>
  <c r="AN250" i="153"/>
  <c r="AH302" i="153"/>
  <c r="AD310" i="153"/>
  <c r="AV294" i="153"/>
  <c r="AV302" i="153" s="1"/>
  <c r="AG258" i="153"/>
  <c r="AG310" i="153"/>
  <c r="AE266" i="153"/>
  <c r="AE467" i="153"/>
  <c r="U216" i="99"/>
  <c r="U285" i="99" s="1"/>
  <c r="U208" i="99"/>
  <c r="U241" i="99" s="1"/>
  <c r="AH310" i="153"/>
  <c r="V170" i="153"/>
  <c r="AK177" i="153" s="1"/>
  <c r="AC198" i="99"/>
  <c r="AC329" i="99"/>
  <c r="AC339" i="99" s="1"/>
  <c r="BX591" i="99"/>
  <c r="BX224" i="99"/>
  <c r="V198" i="99"/>
  <c r="V329" i="99"/>
  <c r="V339" i="99" s="1"/>
  <c r="BV608" i="99"/>
  <c r="BV551" i="99"/>
  <c r="BV555" i="99" s="1"/>
  <c r="Y198" i="99"/>
  <c r="Y329" i="99"/>
  <c r="Y339" i="99" s="1"/>
  <c r="Z329" i="99"/>
  <c r="Z339" i="99" s="1"/>
  <c r="Z198" i="99"/>
  <c r="AF198" i="99"/>
  <c r="AF329" i="99"/>
  <c r="AF339" i="99" s="1"/>
  <c r="BU559" i="99" a="1"/>
  <c r="BU559" i="99" s="1"/>
  <c r="BU623" i="99" s="1"/>
  <c r="BU552" i="99"/>
  <c r="BU615" i="99"/>
  <c r="AE329" i="99"/>
  <c r="AE339" i="99" s="1"/>
  <c r="AE198" i="99"/>
  <c r="U177" i="99"/>
  <c r="T177" i="99"/>
  <c r="R177" i="99"/>
  <c r="U170" i="99"/>
  <c r="S177" i="99"/>
  <c r="AA329" i="99"/>
  <c r="AA339" i="99" s="1"/>
  <c r="AA198" i="99"/>
  <c r="X329" i="99"/>
  <c r="X339" i="99" s="1"/>
  <c r="X198" i="99"/>
  <c r="AG329" i="99"/>
  <c r="AG339" i="99" s="1"/>
  <c r="AG198" i="99"/>
  <c r="U206" i="99"/>
  <c r="U239" i="99" s="1"/>
  <c r="U214" i="99"/>
  <c r="U283" i="99" s="1"/>
  <c r="BS616" i="99"/>
  <c r="T206" i="99"/>
  <c r="T239" i="99" s="1"/>
  <c r="T214" i="99"/>
  <c r="T283" i="99" s="1"/>
  <c r="BY372" i="99"/>
  <c r="BY49" i="99" s="1"/>
  <c r="BY114" i="103" s="1"/>
  <c r="BT619" i="99"/>
  <c r="BT620" i="99" s="1"/>
  <c r="BT556" i="99"/>
  <c r="BS619" i="99"/>
  <c r="BS620" i="99" s="1"/>
  <c r="BS556" i="99"/>
  <c r="BY579" i="99"/>
  <c r="BY517" i="99"/>
  <c r="BT616" i="99"/>
  <c r="BY360" i="99"/>
  <c r="BY359" i="99"/>
  <c r="BY361" i="99"/>
  <c r="BY362" i="99"/>
  <c r="BY358" i="99"/>
  <c r="BY363" i="99"/>
  <c r="V171" i="99"/>
  <c r="AI178" i="99"/>
  <c r="AI186" i="99" s="1"/>
  <c r="AH178" i="99"/>
  <c r="AH186" i="99" s="1"/>
  <c r="AJ178" i="99"/>
  <c r="AJ186" i="99" s="1"/>
  <c r="AL178" i="99"/>
  <c r="AL186" i="99" s="1"/>
  <c r="AK178" i="99"/>
  <c r="AK186" i="99" s="1"/>
  <c r="AM178" i="99"/>
  <c r="AM186" i="99" s="1"/>
  <c r="AO178" i="99"/>
  <c r="AO186" i="99" s="1"/>
  <c r="AN178" i="99"/>
  <c r="AN186" i="99" s="1"/>
  <c r="AP178" i="99"/>
  <c r="AP186" i="99" s="1"/>
  <c r="AR178" i="99"/>
  <c r="AR186" i="99" s="1"/>
  <c r="AQ178" i="99"/>
  <c r="AQ186" i="99" s="1"/>
  <c r="AS178" i="99"/>
  <c r="AS186" i="99" s="1"/>
  <c r="BY526" i="99"/>
  <c r="BY588" i="99"/>
  <c r="AD329" i="99"/>
  <c r="AD339" i="99" s="1"/>
  <c r="AD198" i="99"/>
  <c r="W198" i="99"/>
  <c r="W329" i="99"/>
  <c r="W339" i="99" s="1"/>
  <c r="AB329" i="99"/>
  <c r="AB339" i="99" s="1"/>
  <c r="AB198" i="99"/>
  <c r="BX517" i="99"/>
  <c r="BX579" i="99"/>
  <c r="U70" i="105"/>
  <c r="N129" i="99"/>
  <c r="P129" i="99" s="1"/>
  <c r="P64" i="99"/>
  <c r="L599" i="99"/>
  <c r="L544" i="99"/>
  <c r="M129" i="99"/>
  <c r="K599" i="99"/>
  <c r="K544" i="99"/>
  <c r="M599" i="99"/>
  <c r="M544" i="99"/>
  <c r="L129" i="99"/>
  <c r="J599" i="99"/>
  <c r="J544" i="99"/>
  <c r="K129" i="99"/>
  <c r="J129" i="99"/>
  <c r="N599" i="99"/>
  <c r="P599" i="99" s="1"/>
  <c r="P535" i="99"/>
  <c r="N544" i="99"/>
  <c r="P554" i="99"/>
  <c r="N618" i="99"/>
  <c r="P618" i="99" s="1"/>
  <c r="N613" i="99"/>
  <c r="P613" i="99" s="1"/>
  <c r="P549" i="99"/>
  <c r="AN208" i="99" l="1"/>
  <c r="AN241" i="99" s="1"/>
  <c r="AM216" i="99"/>
  <c r="AM285" i="99" s="1"/>
  <c r="T208" i="99"/>
  <c r="T241" i="99" s="1"/>
  <c r="S206" i="99"/>
  <c r="S239" i="99" s="1"/>
  <c r="AQ208" i="99"/>
  <c r="AQ241" i="99" s="1"/>
  <c r="AQ249" i="99" s="1"/>
  <c r="BL108" i="154"/>
  <c r="BL45" i="154"/>
  <c r="BL110" i="154" s="1"/>
  <c r="BJ108" i="154"/>
  <c r="BJ45" i="154"/>
  <c r="BJ110" i="154" s="1"/>
  <c r="BK45" i="154"/>
  <c r="BK110" i="154" s="1"/>
  <c r="BK108" i="154"/>
  <c r="BQ108" i="154"/>
  <c r="BQ45" i="154"/>
  <c r="BQ110" i="154" s="1"/>
  <c r="P74" i="155"/>
  <c r="N139" i="155"/>
  <c r="P139" i="155" s="1"/>
  <c r="BB110" i="154"/>
  <c r="M43" i="154"/>
  <c r="M108" i="154" s="1"/>
  <c r="AX110" i="154"/>
  <c r="L45" i="154"/>
  <c r="L110" i="154" s="1"/>
  <c r="BY108" i="154"/>
  <c r="BY45" i="154"/>
  <c r="BY110" i="154" s="1"/>
  <c r="BN110" i="154"/>
  <c r="AG207" i="99"/>
  <c r="AG240" i="99" s="1"/>
  <c r="AG248" i="99" s="1"/>
  <c r="AD207" i="99"/>
  <c r="AD240" i="99" s="1"/>
  <c r="AD248" i="99" s="1"/>
  <c r="AF207" i="99"/>
  <c r="AF240" i="99" s="1"/>
  <c r="AF248" i="99" s="1"/>
  <c r="AB207" i="99"/>
  <c r="AB240" i="99" s="1"/>
  <c r="AB248" i="99" s="1"/>
  <c r="AI202" i="99"/>
  <c r="AI210" i="99" s="1"/>
  <c r="AI243" i="99" s="1"/>
  <c r="AH207" i="99"/>
  <c r="AH240" i="99" s="1"/>
  <c r="AH248" i="99" s="1"/>
  <c r="V59" i="103"/>
  <c r="AF333" i="99"/>
  <c r="AF343" i="99" s="1"/>
  <c r="Y59" i="103"/>
  <c r="AE202" i="99"/>
  <c r="AE210" i="99" s="1"/>
  <c r="AE243" i="99" s="1"/>
  <c r="AU59" i="103"/>
  <c r="X207" i="99"/>
  <c r="X240" i="99" s="1"/>
  <c r="X248" i="99" s="1"/>
  <c r="G78" i="294"/>
  <c r="AN59" i="104"/>
  <c r="H78" i="294"/>
  <c r="AX59" i="103"/>
  <c r="E78" i="294"/>
  <c r="BX59" i="103"/>
  <c r="AP59" i="103"/>
  <c r="BU59" i="103"/>
  <c r="BP59" i="104"/>
  <c r="BJ59" i="104"/>
  <c r="BF59" i="103"/>
  <c r="AW59" i="103"/>
  <c r="BC59" i="103"/>
  <c r="F78" i="294"/>
  <c r="I78" i="294"/>
  <c r="J78" i="294" s="1"/>
  <c r="AZ133" i="104"/>
  <c r="AZ68" i="104" s="1"/>
  <c r="AE133" i="104"/>
  <c r="AE68" i="104" s="1"/>
  <c r="BA133" i="103"/>
  <c r="AN133" i="103"/>
  <c r="AY133" i="104"/>
  <c r="AY68" i="104" s="1"/>
  <c r="BO133" i="103"/>
  <c r="BE133" i="103"/>
  <c r="AW133" i="103"/>
  <c r="U133" i="104"/>
  <c r="U68" i="104" s="1"/>
  <c r="AR133" i="103"/>
  <c r="W133" i="103"/>
  <c r="AD133" i="103"/>
  <c r="AL133" i="103"/>
  <c r="AI133" i="104"/>
  <c r="AI68" i="104" s="1"/>
  <c r="AA416" i="153"/>
  <c r="AA455" i="153" s="1" a="1"/>
  <c r="AA455" i="153" s="1"/>
  <c r="BU133" i="104"/>
  <c r="BU68" i="104" s="1"/>
  <c r="AP133" i="103"/>
  <c r="BB133" i="103"/>
  <c r="BL133" i="104"/>
  <c r="BL68" i="104" s="1"/>
  <c r="AB133" i="104"/>
  <c r="AB68" i="104" s="1"/>
  <c r="BR133" i="104"/>
  <c r="BR68" i="104" s="1"/>
  <c r="AK133" i="104"/>
  <c r="AK68" i="104" s="1"/>
  <c r="R133" i="103"/>
  <c r="R68" i="103" s="1"/>
  <c r="BQ133" i="103"/>
  <c r="AA133" i="103"/>
  <c r="AO133" i="104"/>
  <c r="AO68" i="104" s="1"/>
  <c r="BL416" i="153"/>
  <c r="BL455" i="153" s="1" a="1"/>
  <c r="BL455" i="153" s="1"/>
  <c r="AG133" i="104"/>
  <c r="AG68" i="104" s="1"/>
  <c r="BJ133" i="103"/>
  <c r="BH133" i="103"/>
  <c r="T133" i="103"/>
  <c r="AT133" i="103"/>
  <c r="BS133" i="103"/>
  <c r="AS133" i="104"/>
  <c r="AS68" i="104" s="1"/>
  <c r="AF133" i="104"/>
  <c r="AF68" i="104" s="1"/>
  <c r="BN416" i="153"/>
  <c r="BN455" i="153" s="1" a="1"/>
  <c r="BN455" i="153" s="1"/>
  <c r="AF416" i="153"/>
  <c r="AF455" i="153" s="1" a="1"/>
  <c r="AF455" i="153" s="1"/>
  <c r="AG416" i="153"/>
  <c r="AG455" i="153" s="1" a="1"/>
  <c r="AG455" i="153" s="1"/>
  <c r="BK416" i="153"/>
  <c r="BK455" i="153" s="1" a="1"/>
  <c r="BK455" i="153" s="1"/>
  <c r="AK416" i="153"/>
  <c r="AK455" i="153" s="1" a="1"/>
  <c r="AK455" i="153" s="1"/>
  <c r="AE416" i="153"/>
  <c r="AE455" i="153" s="1" a="1"/>
  <c r="AE455" i="153" s="1"/>
  <c r="Z416" i="153"/>
  <c r="Z455" i="153" s="1" a="1"/>
  <c r="Z455" i="153" s="1"/>
  <c r="BY416" i="154"/>
  <c r="BY455" i="154" s="1" a="1"/>
  <c r="BY455" i="154" s="1"/>
  <c r="BP416" i="153"/>
  <c r="BP455" i="153" s="1" a="1"/>
  <c r="BP455" i="153" s="1"/>
  <c r="AI416" i="153"/>
  <c r="AI455" i="153" s="1" a="1"/>
  <c r="AI455" i="153" s="1"/>
  <c r="AJ416" i="153"/>
  <c r="AJ455" i="153" s="1" a="1"/>
  <c r="AJ455" i="153" s="1"/>
  <c r="AD416" i="153"/>
  <c r="AD455" i="153" s="1" a="1"/>
  <c r="AD455" i="153" s="1"/>
  <c r="BQ416" i="153"/>
  <c r="BQ455" i="153" s="1" a="1"/>
  <c r="BQ455" i="153" s="1"/>
  <c r="BO416" i="153"/>
  <c r="BO455" i="153" s="1" a="1"/>
  <c r="BO455" i="153" s="1"/>
  <c r="BY416" i="155"/>
  <c r="BY455" i="155" s="1" a="1"/>
  <c r="BY455" i="155" s="1"/>
  <c r="BM416" i="153"/>
  <c r="BM455" i="153" s="1" a="1"/>
  <c r="BM455" i="153" s="1"/>
  <c r="AC416" i="153"/>
  <c r="AC455" i="153" s="1" a="1"/>
  <c r="AC455" i="153" s="1"/>
  <c r="BJ416" i="153"/>
  <c r="BJ455" i="153" s="1" a="1"/>
  <c r="BJ455" i="153" s="1"/>
  <c r="AH416" i="153"/>
  <c r="AH455" i="153" s="1" a="1"/>
  <c r="AH455" i="153" s="1"/>
  <c r="AB416" i="153"/>
  <c r="AB455" i="153" s="1" a="1"/>
  <c r="AB455" i="153" s="1"/>
  <c r="BR416" i="153"/>
  <c r="BR455" i="153" s="1" a="1"/>
  <c r="BR455" i="153" s="1"/>
  <c r="S258" i="153"/>
  <c r="AQ266" i="153"/>
  <c r="U274" i="153"/>
  <c r="AW266" i="153"/>
  <c r="V258" i="153"/>
  <c r="AP266" i="153"/>
  <c r="AO258" i="153"/>
  <c r="W258" i="153"/>
  <c r="AR274" i="153"/>
  <c r="AN274" i="153"/>
  <c r="T258" i="153"/>
  <c r="AS266" i="153"/>
  <c r="BH274" i="153"/>
  <c r="AM266" i="153"/>
  <c r="AV258" i="153"/>
  <c r="AL274" i="153"/>
  <c r="AU258" i="153"/>
  <c r="AT274" i="153"/>
  <c r="BW133" i="104"/>
  <c r="BW68" i="104" s="1"/>
  <c r="BX114" i="104"/>
  <c r="BX49" i="104" s="1"/>
  <c r="CC49" i="105" s="1"/>
  <c r="BU561" i="99"/>
  <c r="BU567" i="99" s="1"/>
  <c r="U207" i="99"/>
  <c r="U240" i="99" s="1"/>
  <c r="U248" i="99" s="1"/>
  <c r="BP133" i="103"/>
  <c r="AJ109" i="103"/>
  <c r="AJ44" i="103" s="1"/>
  <c r="AO44" i="105" s="1"/>
  <c r="T207" i="99"/>
  <c r="T240" i="99" s="1"/>
  <c r="T248" i="99" s="1"/>
  <c r="Y215" i="99"/>
  <c r="Y284" i="99" s="1"/>
  <c r="Y292" i="99" s="1"/>
  <c r="Y316" i="99" s="1"/>
  <c r="AF113" i="99"/>
  <c r="BC114" i="103"/>
  <c r="BC49" i="103" s="1"/>
  <c r="BH49" i="105" s="1"/>
  <c r="AP115" i="99"/>
  <c r="X133" i="103"/>
  <c r="X133" i="104"/>
  <c r="X68" i="104" s="1"/>
  <c r="BB113" i="103"/>
  <c r="BB48" i="103" s="1"/>
  <c r="AD123" i="103"/>
  <c r="AD58" i="103" s="1"/>
  <c r="BN115" i="103"/>
  <c r="BN50" i="103" s="1"/>
  <c r="BS50" i="105" s="1"/>
  <c r="AJ113" i="103"/>
  <c r="AJ48" i="103" s="1"/>
  <c r="AO48" i="105" s="1"/>
  <c r="BJ123" i="99"/>
  <c r="BJ123" i="103"/>
  <c r="BJ58" i="103" s="1"/>
  <c r="BO58" i="105" s="1"/>
  <c r="AW116" i="103"/>
  <c r="AW51" i="103" s="1"/>
  <c r="BB51" i="105" s="1"/>
  <c r="BA123" i="103"/>
  <c r="BA58" i="103" s="1"/>
  <c r="BA123" i="104"/>
  <c r="BA58" i="104" s="1"/>
  <c r="W109" i="103"/>
  <c r="W44" i="103" s="1"/>
  <c r="AB44" i="105" s="1"/>
  <c r="AN122" i="99"/>
  <c r="T113" i="104"/>
  <c r="T48" i="104" s="1"/>
  <c r="Y48" i="105" s="1"/>
  <c r="AJ113" i="99"/>
  <c r="BB113" i="104"/>
  <c r="BB48" i="104" s="1"/>
  <c r="AF113" i="103"/>
  <c r="AF48" i="103" s="1"/>
  <c r="AK48" i="105" s="1"/>
  <c r="AZ113" i="104"/>
  <c r="AZ48" i="104" s="1"/>
  <c r="T122" i="104"/>
  <c r="T57" i="104" s="1"/>
  <c r="W139" i="99"/>
  <c r="AP133" i="104"/>
  <c r="AP68" i="104" s="1"/>
  <c r="BK122" i="103"/>
  <c r="BK57" i="103" s="1"/>
  <c r="BK59" i="103" s="1"/>
  <c r="X116" i="99"/>
  <c r="AR133" i="104"/>
  <c r="AR68" i="104" s="1"/>
  <c r="BX115" i="104"/>
  <c r="BX50" i="104" s="1"/>
  <c r="CC50" i="105" s="1"/>
  <c r="X116" i="103"/>
  <c r="X51" i="103" s="1"/>
  <c r="AC51" i="105" s="1"/>
  <c r="BS122" i="104"/>
  <c r="BS57" i="104" s="1"/>
  <c r="BQ123" i="104"/>
  <c r="BQ58" i="104" s="1"/>
  <c r="BQ59" i="104" s="1"/>
  <c r="BK122" i="99"/>
  <c r="BC109" i="99"/>
  <c r="Z122" i="104"/>
  <c r="Z57" i="104" s="1"/>
  <c r="AD202" i="99"/>
  <c r="AD210" i="99" s="1"/>
  <c r="AD243" i="99" s="1"/>
  <c r="AG202" i="99"/>
  <c r="AG218" i="99" s="1"/>
  <c r="AG287" i="99" s="1"/>
  <c r="BP109" i="104"/>
  <c r="BP44" i="104" s="1"/>
  <c r="AB202" i="99"/>
  <c r="AB218" i="99" s="1"/>
  <c r="AB287" i="99" s="1"/>
  <c r="R116" i="103"/>
  <c r="R51" i="103" s="1"/>
  <c r="AH123" i="99"/>
  <c r="BS109" i="104"/>
  <c r="BS44" i="104" s="1"/>
  <c r="S116" i="99"/>
  <c r="AE113" i="99"/>
  <c r="AX109" i="104"/>
  <c r="AX44" i="104" s="1"/>
  <c r="BC44" i="105" s="1"/>
  <c r="BW123" i="104"/>
  <c r="BW58" i="104" s="1"/>
  <c r="CB58" i="105" s="1"/>
  <c r="AF123" i="104"/>
  <c r="AF58" i="104" s="1"/>
  <c r="AK58" i="105" s="1"/>
  <c r="AF123" i="99"/>
  <c r="AH123" i="103"/>
  <c r="AH58" i="103" s="1"/>
  <c r="AH59" i="103" s="1"/>
  <c r="AE113" i="104"/>
  <c r="AE48" i="104" s="1"/>
  <c r="AJ48" i="105" s="1"/>
  <c r="AD116" i="104"/>
  <c r="AD51" i="104" s="1"/>
  <c r="AI51" i="105" s="1"/>
  <c r="BX115" i="99"/>
  <c r="AH115" i="99"/>
  <c r="BQ133" i="104"/>
  <c r="BQ68" i="104" s="1"/>
  <c r="AZ133" i="103"/>
  <c r="AN133" i="104"/>
  <c r="AN68" i="104" s="1"/>
  <c r="BU113" i="103"/>
  <c r="BU48" i="103" s="1"/>
  <c r="BZ48" i="105" s="1"/>
  <c r="BT109" i="104"/>
  <c r="BT44" i="104" s="1"/>
  <c r="BY44" i="105" s="1"/>
  <c r="AI114" i="104"/>
  <c r="AI49" i="104" s="1"/>
  <c r="AN49" i="105" s="1"/>
  <c r="BT114" i="99"/>
  <c r="BJ115" i="104"/>
  <c r="BJ50" i="104" s="1"/>
  <c r="BO50" i="105" s="1"/>
  <c r="BW113" i="104"/>
  <c r="BW48" i="104" s="1"/>
  <c r="CB48" i="105" s="1"/>
  <c r="BD113" i="104"/>
  <c r="BD48" i="104" s="1"/>
  <c r="BI48" i="105" s="1"/>
  <c r="AR113" i="99"/>
  <c r="BE123" i="99"/>
  <c r="BX114" i="99"/>
  <c r="V207" i="99"/>
  <c r="V240" i="99" s="1"/>
  <c r="V248" i="99" s="1"/>
  <c r="BR115" i="103"/>
  <c r="BR50" i="103" s="1"/>
  <c r="BE109" i="99"/>
  <c r="AY116" i="99"/>
  <c r="S113" i="103"/>
  <c r="S48" i="103" s="1"/>
  <c r="BJ122" i="99"/>
  <c r="BO59" i="99"/>
  <c r="BO124" i="104" s="1"/>
  <c r="S113" i="99"/>
  <c r="AE122" i="104"/>
  <c r="AE57" i="104" s="1"/>
  <c r="AL116" i="99"/>
  <c r="BE123" i="103"/>
  <c r="BE58" i="103" s="1"/>
  <c r="BE59" i="103" s="1"/>
  <c r="BX133" i="103"/>
  <c r="BE109" i="103"/>
  <c r="BE44" i="103" s="1"/>
  <c r="BJ44" i="105" s="1"/>
  <c r="AG133" i="103"/>
  <c r="AV133" i="103"/>
  <c r="BB109" i="99"/>
  <c r="BJ115" i="99"/>
  <c r="BO122" i="99"/>
  <c r="BN114" i="104"/>
  <c r="BN49" i="104" s="1"/>
  <c r="BS49" i="105" s="1"/>
  <c r="S123" i="104"/>
  <c r="S58" i="104" s="1"/>
  <c r="AR113" i="104"/>
  <c r="AR48" i="104" s="1"/>
  <c r="AW48" i="105" s="1"/>
  <c r="BO122" i="103"/>
  <c r="BO57" i="103" s="1"/>
  <c r="AA202" i="99"/>
  <c r="AA210" i="99" s="1"/>
  <c r="AA243" i="99" s="1"/>
  <c r="BH114" i="99"/>
  <c r="BS109" i="103"/>
  <c r="BS44" i="103" s="1"/>
  <c r="BX133" i="104"/>
  <c r="BX68" i="104" s="1"/>
  <c r="S133" i="104"/>
  <c r="S68" i="104" s="1"/>
  <c r="AB133" i="103"/>
  <c r="AA116" i="104"/>
  <c r="AA51" i="104" s="1"/>
  <c r="AF51" i="105" s="1"/>
  <c r="AT113" i="103"/>
  <c r="AT48" i="103" s="1"/>
  <c r="BU113" i="99"/>
  <c r="T133" i="104"/>
  <c r="T68" i="104" s="1"/>
  <c r="BB109" i="104"/>
  <c r="BB44" i="104" s="1"/>
  <c r="BG44" i="105" s="1"/>
  <c r="S133" i="103"/>
  <c r="AY113" i="99"/>
  <c r="U116" i="104"/>
  <c r="U51" i="104" s="1"/>
  <c r="Z51" i="105" s="1"/>
  <c r="Y109" i="99"/>
  <c r="AA109" i="104"/>
  <c r="AA44" i="104" s="1"/>
  <c r="AF44" i="105" s="1"/>
  <c r="AJ114" i="99"/>
  <c r="BP114" i="104"/>
  <c r="BP49" i="104" s="1"/>
  <c r="BU49" i="105" s="1"/>
  <c r="BT114" i="104"/>
  <c r="BT49" i="104" s="1"/>
  <c r="BY49" i="105" s="1"/>
  <c r="BN114" i="99"/>
  <c r="BE133" i="104"/>
  <c r="BE68" i="104" s="1"/>
  <c r="AF116" i="99"/>
  <c r="BM115" i="103"/>
  <c r="BM50" i="103" s="1"/>
  <c r="BR50" i="105" s="1"/>
  <c r="U116" i="99"/>
  <c r="Y109" i="104"/>
  <c r="Y44" i="104" s="1"/>
  <c r="AD44" i="105" s="1"/>
  <c r="AA109" i="99"/>
  <c r="AH122" i="104"/>
  <c r="AH57" i="104" s="1"/>
  <c r="AS116" i="104"/>
  <c r="AS51" i="104" s="1"/>
  <c r="AX51" i="105" s="1"/>
  <c r="AI114" i="99"/>
  <c r="AR123" i="99"/>
  <c r="AP116" i="103"/>
  <c r="AP51" i="103" s="1"/>
  <c r="BV133" i="104"/>
  <c r="BV68" i="104" s="1"/>
  <c r="AM116" i="103"/>
  <c r="AM51" i="103" s="1"/>
  <c r="AM52" i="103" s="1"/>
  <c r="AL122" i="103"/>
  <c r="AL57" i="103" s="1"/>
  <c r="BH113" i="103"/>
  <c r="BH48" i="103" s="1"/>
  <c r="AA123" i="103"/>
  <c r="AA58" i="103" s="1"/>
  <c r="BV116" i="99"/>
  <c r="AX133" i="104"/>
  <c r="AX68" i="104" s="1"/>
  <c r="W114" i="103"/>
  <c r="W49" i="103" s="1"/>
  <c r="BH114" i="104"/>
  <c r="BH49" i="104" s="1"/>
  <c r="BM49" i="105" s="1"/>
  <c r="BA115" i="99"/>
  <c r="BD115" i="104"/>
  <c r="BD50" i="104" s="1"/>
  <c r="BI50" i="105" s="1"/>
  <c r="AX116" i="99"/>
  <c r="BL115" i="104"/>
  <c r="BL50" i="104" s="1"/>
  <c r="BQ50" i="105" s="1"/>
  <c r="BJ109" i="104"/>
  <c r="BJ44" i="104" s="1"/>
  <c r="AX116" i="104"/>
  <c r="AX51" i="104" s="1"/>
  <c r="BC51" i="105" s="1"/>
  <c r="AL115" i="103"/>
  <c r="AL50" i="103" s="1"/>
  <c r="AT133" i="104"/>
  <c r="AT68" i="104" s="1"/>
  <c r="BA115" i="104"/>
  <c r="BA50" i="104" s="1"/>
  <c r="BF50" i="105" s="1"/>
  <c r="AD116" i="99"/>
  <c r="BH113" i="104"/>
  <c r="BH48" i="104" s="1"/>
  <c r="AF114" i="103"/>
  <c r="AF49" i="103" s="1"/>
  <c r="AK49" i="105" s="1"/>
  <c r="AE114" i="104"/>
  <c r="AE49" i="104" s="1"/>
  <c r="BW133" i="103"/>
  <c r="AV115" i="104"/>
  <c r="AV50" i="104" s="1"/>
  <c r="R109" i="104"/>
  <c r="R44" i="104" s="1"/>
  <c r="W44" i="105" s="1"/>
  <c r="T123" i="103"/>
  <c r="T58" i="103" s="1"/>
  <c r="AD133" i="104"/>
  <c r="AD68" i="104" s="1"/>
  <c r="AU133" i="104"/>
  <c r="AU68" i="104" s="1"/>
  <c r="Y114" i="104"/>
  <c r="Y49" i="104" s="1"/>
  <c r="AO133" i="103"/>
  <c r="AM123" i="104"/>
  <c r="AM58" i="104" s="1"/>
  <c r="AR58" i="105" s="1"/>
  <c r="X115" i="99"/>
  <c r="Y114" i="103"/>
  <c r="Y49" i="103" s="1"/>
  <c r="AV115" i="103"/>
  <c r="AV50" i="103" s="1"/>
  <c r="X115" i="104"/>
  <c r="X50" i="104" s="1"/>
  <c r="AC50" i="105" s="1"/>
  <c r="AG115" i="104"/>
  <c r="AG50" i="104" s="1"/>
  <c r="AL50" i="105" s="1"/>
  <c r="BN109" i="99"/>
  <c r="Z123" i="99"/>
  <c r="BN109" i="104"/>
  <c r="BN44" i="104" s="1"/>
  <c r="BS44" i="105" s="1"/>
  <c r="AT113" i="104"/>
  <c r="AT48" i="104" s="1"/>
  <c r="BF123" i="99"/>
  <c r="BP133" i="104"/>
  <c r="BP68" i="104" s="1"/>
  <c r="BS113" i="103"/>
  <c r="BS48" i="103" s="1"/>
  <c r="BN122" i="99"/>
  <c r="BS113" i="104"/>
  <c r="BS48" i="104" s="1"/>
  <c r="AN122" i="103"/>
  <c r="AN57" i="103" s="1"/>
  <c r="BE122" i="104"/>
  <c r="BE57" i="104" s="1"/>
  <c r="AC139" i="104"/>
  <c r="AC74" i="104" s="1"/>
  <c r="BG115" i="103"/>
  <c r="BG50" i="103" s="1"/>
  <c r="BL116" i="103"/>
  <c r="BL51" i="103" s="1"/>
  <c r="BQ51" i="105" s="1"/>
  <c r="BD123" i="104"/>
  <c r="BD58" i="104" s="1"/>
  <c r="BI58" i="105" s="1"/>
  <c r="AU116" i="104"/>
  <c r="AU51" i="104" s="1"/>
  <c r="W109" i="99"/>
  <c r="AG122" i="103"/>
  <c r="AG57" i="103" s="1"/>
  <c r="AH113" i="99"/>
  <c r="AS122" i="104"/>
  <c r="AS57" i="104" s="1"/>
  <c r="AH113" i="104"/>
  <c r="AH48" i="104" s="1"/>
  <c r="AM48" i="105" s="1"/>
  <c r="AB109" i="103"/>
  <c r="AB44" i="103" s="1"/>
  <c r="BJ114" i="99"/>
  <c r="AS122" i="103"/>
  <c r="AS57" i="103" s="1"/>
  <c r="AS59" i="103" s="1"/>
  <c r="BR114" i="103"/>
  <c r="BR49" i="103" s="1"/>
  <c r="R109" i="99"/>
  <c r="BR133" i="103"/>
  <c r="AZ122" i="104"/>
  <c r="AZ57" i="104" s="1"/>
  <c r="AC139" i="103"/>
  <c r="AC74" i="103" s="1"/>
  <c r="V109" i="99"/>
  <c r="AO114" i="103"/>
  <c r="AO49" i="103" s="1"/>
  <c r="AO52" i="103" s="1"/>
  <c r="BM115" i="99"/>
  <c r="V109" i="104"/>
  <c r="V44" i="104" s="1"/>
  <c r="AA44" i="105" s="1"/>
  <c r="BQ113" i="104"/>
  <c r="BQ48" i="104" s="1"/>
  <c r="AM116" i="104"/>
  <c r="AM51" i="104" s="1"/>
  <c r="BL115" i="99"/>
  <c r="Y133" i="103"/>
  <c r="AM114" i="104"/>
  <c r="AM49" i="104" s="1"/>
  <c r="AR49" i="105" s="1"/>
  <c r="AU116" i="103"/>
  <c r="AU51" i="103" s="1"/>
  <c r="V116" i="99"/>
  <c r="AW113" i="104"/>
  <c r="AW48" i="104" s="1"/>
  <c r="BB48" i="105" s="1"/>
  <c r="AZ109" i="99"/>
  <c r="T59" i="99"/>
  <c r="T124" i="104" s="1"/>
  <c r="AZ109" i="103"/>
  <c r="AZ44" i="103" s="1"/>
  <c r="BE44" i="105" s="1"/>
  <c r="Y116" i="99"/>
  <c r="W114" i="99"/>
  <c r="T139" i="104"/>
  <c r="T74" i="104" s="1"/>
  <c r="AC114" i="103"/>
  <c r="AC49" i="103" s="1"/>
  <c r="BX122" i="99"/>
  <c r="AE116" i="104"/>
  <c r="AE51" i="104" s="1"/>
  <c r="BR109" i="104"/>
  <c r="BR44" i="104" s="1"/>
  <c r="BW44" i="105" s="1"/>
  <c r="BS123" i="104"/>
  <c r="BS58" i="104" s="1"/>
  <c r="BX58" i="105" s="1"/>
  <c r="BF113" i="103"/>
  <c r="BF48" i="103" s="1"/>
  <c r="BK48" i="105" s="1"/>
  <c r="AX115" i="99"/>
  <c r="BF123" i="104"/>
  <c r="BF58" i="104" s="1"/>
  <c r="BK58" i="105" s="1"/>
  <c r="AO109" i="99"/>
  <c r="BB116" i="103"/>
  <c r="BB51" i="103" s="1"/>
  <c r="BG51" i="105" s="1"/>
  <c r="AK133" i="103"/>
  <c r="AJ109" i="99"/>
  <c r="S139" i="104"/>
  <c r="S74" i="104" s="1"/>
  <c r="BK123" i="99"/>
  <c r="Z113" i="103"/>
  <c r="Z48" i="103" s="1"/>
  <c r="U114" i="99"/>
  <c r="S139" i="103"/>
  <c r="S74" i="103" s="1"/>
  <c r="AQ116" i="99"/>
  <c r="BV114" i="104"/>
  <c r="BV49" i="104" s="1"/>
  <c r="CA49" i="105" s="1"/>
  <c r="BA133" i="104"/>
  <c r="BA68" i="104" s="1"/>
  <c r="BS123" i="99"/>
  <c r="BL109" i="104"/>
  <c r="BL44" i="104" s="1"/>
  <c r="BQ44" i="105" s="1"/>
  <c r="V133" i="104"/>
  <c r="V68" i="104" s="1"/>
  <c r="BF115" i="103"/>
  <c r="BF50" i="103" s="1"/>
  <c r="BK50" i="105" s="1"/>
  <c r="BX116" i="99"/>
  <c r="AR116" i="104"/>
  <c r="AR51" i="104" s="1"/>
  <c r="BX116" i="104"/>
  <c r="BX51" i="104" s="1"/>
  <c r="CC51" i="105" s="1"/>
  <c r="AR116" i="103"/>
  <c r="AR51" i="103" s="1"/>
  <c r="BX122" i="104"/>
  <c r="BX57" i="104" s="1"/>
  <c r="AD122" i="99"/>
  <c r="W116" i="103"/>
  <c r="W51" i="103" s="1"/>
  <c r="AE116" i="103"/>
  <c r="AE51" i="103" s="1"/>
  <c r="BJ133" i="104"/>
  <c r="BJ68" i="104" s="1"/>
  <c r="AC114" i="104"/>
  <c r="AC49" i="104" s="1"/>
  <c r="AX115" i="103"/>
  <c r="AX50" i="103" s="1"/>
  <c r="BC50" i="105" s="1"/>
  <c r="BP115" i="103"/>
  <c r="BP50" i="103" s="1"/>
  <c r="AG113" i="103"/>
  <c r="AG48" i="103" s="1"/>
  <c r="AG52" i="103" s="1"/>
  <c r="BH133" i="104"/>
  <c r="BH68" i="104" s="1"/>
  <c r="AX113" i="99"/>
  <c r="AU133" i="103"/>
  <c r="AS113" i="103"/>
  <c r="AS48" i="103" s="1"/>
  <c r="AD122" i="103"/>
  <c r="AD57" i="103" s="1"/>
  <c r="BG115" i="104"/>
  <c r="BG50" i="104" s="1"/>
  <c r="BQ113" i="103"/>
  <c r="BQ48" i="103" s="1"/>
  <c r="BV114" i="99"/>
  <c r="AL122" i="104"/>
  <c r="AL57" i="104" s="1"/>
  <c r="AL59" i="104" s="1"/>
  <c r="AK115" i="99"/>
  <c r="AF116" i="104"/>
  <c r="AF51" i="104" s="1"/>
  <c r="AK51" i="105" s="1"/>
  <c r="W122" i="99"/>
  <c r="AX133" i="103"/>
  <c r="T113" i="99"/>
  <c r="BA113" i="99"/>
  <c r="AY139" i="103"/>
  <c r="AY74" i="103" s="1"/>
  <c r="AW114" i="99"/>
  <c r="AW114" i="104"/>
  <c r="AW49" i="104" s="1"/>
  <c r="BB49" i="105" s="1"/>
  <c r="BM133" i="104"/>
  <c r="BM68" i="104" s="1"/>
  <c r="BT133" i="104"/>
  <c r="BT68" i="104" s="1"/>
  <c r="U113" i="99"/>
  <c r="AC115" i="99"/>
  <c r="T123" i="104"/>
  <c r="T58" i="104" s="1"/>
  <c r="BT133" i="103"/>
  <c r="BL52" i="99"/>
  <c r="BL117" i="103" s="1"/>
  <c r="Z114" i="104"/>
  <c r="Z49" i="104" s="1"/>
  <c r="AE49" i="105" s="1"/>
  <c r="AW183" i="155"/>
  <c r="AJ333" i="99"/>
  <c r="AJ343" i="99" s="1"/>
  <c r="AV185" i="155"/>
  <c r="AV197" i="155" s="1"/>
  <c r="BD139" i="104"/>
  <c r="BD74" i="104" s="1"/>
  <c r="AI116" i="99"/>
  <c r="AU115" i="99"/>
  <c r="AI116" i="103"/>
  <c r="AI51" i="103" s="1"/>
  <c r="AN51" i="105" s="1"/>
  <c r="AE52" i="99"/>
  <c r="AE117" i="104" s="1"/>
  <c r="AE52" i="104" s="1"/>
  <c r="BT122" i="104"/>
  <c r="BT57" i="104" s="1"/>
  <c r="AN114" i="104"/>
  <c r="AN49" i="104" s="1"/>
  <c r="AS49" i="105" s="1"/>
  <c r="AP139" i="103"/>
  <c r="AP74" i="103" s="1"/>
  <c r="AU74" i="105" s="1"/>
  <c r="AP38" i="151" s="1"/>
  <c r="X139" i="104"/>
  <c r="X74" i="104" s="1"/>
  <c r="AB114" i="103"/>
  <c r="AB49" i="103" s="1"/>
  <c r="AG49" i="105" s="1"/>
  <c r="BE122" i="99"/>
  <c r="BF139" i="104"/>
  <c r="BF74" i="104" s="1"/>
  <c r="Y139" i="104"/>
  <c r="Y74" i="104" s="1"/>
  <c r="X139" i="103"/>
  <c r="X74" i="103" s="1"/>
  <c r="BD115" i="99"/>
  <c r="BD114" i="104"/>
  <c r="BD49" i="104" s="1"/>
  <c r="V113" i="104"/>
  <c r="V48" i="104" s="1"/>
  <c r="AA48" i="105" s="1"/>
  <c r="BQ114" i="103"/>
  <c r="BQ49" i="103" s="1"/>
  <c r="BV49" i="105" s="1"/>
  <c r="BE115" i="104"/>
  <c r="BE50" i="104" s="1"/>
  <c r="BJ50" i="105" s="1"/>
  <c r="BU114" i="99"/>
  <c r="BU114" i="104"/>
  <c r="BU49" i="104" s="1"/>
  <c r="BZ49" i="105" s="1"/>
  <c r="BE115" i="99"/>
  <c r="AZ114" i="104"/>
  <c r="AZ49" i="104" s="1"/>
  <c r="AI133" i="103"/>
  <c r="AZ114" i="103"/>
  <c r="AZ49" i="103" s="1"/>
  <c r="AK122" i="104"/>
  <c r="AK57" i="104" s="1"/>
  <c r="AK122" i="103"/>
  <c r="AK57" i="103" s="1"/>
  <c r="Y123" i="104"/>
  <c r="Y58" i="104" s="1"/>
  <c r="AD58" i="105" s="1"/>
  <c r="BK115" i="99"/>
  <c r="S115" i="103"/>
  <c r="S50" i="103" s="1"/>
  <c r="X50" i="105" s="1"/>
  <c r="BI113" i="104"/>
  <c r="BI48" i="104" s="1"/>
  <c r="BN48" i="105" s="1"/>
  <c r="AG115" i="99"/>
  <c r="AI123" i="103"/>
  <c r="AI58" i="103" s="1"/>
  <c r="AI59" i="103" s="1"/>
  <c r="T116" i="99"/>
  <c r="R122" i="104"/>
  <c r="R57" i="104" s="1"/>
  <c r="BO133" i="104"/>
  <c r="BO68" i="104" s="1"/>
  <c r="AZ115" i="104"/>
  <c r="AZ50" i="104" s="1"/>
  <c r="V113" i="99"/>
  <c r="BA109" i="103"/>
  <c r="BA44" i="103" s="1"/>
  <c r="BF44" i="105" s="1"/>
  <c r="AZ115" i="103"/>
  <c r="AZ50" i="103" s="1"/>
  <c r="BI114" i="99"/>
  <c r="V139" i="103"/>
  <c r="V74" i="103" s="1"/>
  <c r="AB116" i="104"/>
  <c r="AB51" i="104" s="1"/>
  <c r="AG51" i="105" s="1"/>
  <c r="BK133" i="104"/>
  <c r="BK68" i="104" s="1"/>
  <c r="AG116" i="99"/>
  <c r="BR114" i="104"/>
  <c r="BR49" i="104" s="1"/>
  <c r="AB114" i="99"/>
  <c r="BI114" i="103"/>
  <c r="BI49" i="103" s="1"/>
  <c r="BN49" i="105" s="1"/>
  <c r="AB116" i="99"/>
  <c r="AG116" i="104"/>
  <c r="AG51" i="104" s="1"/>
  <c r="AL51" i="105" s="1"/>
  <c r="V114" i="99"/>
  <c r="AA114" i="104"/>
  <c r="AA49" i="104" s="1"/>
  <c r="AF49" i="105" s="1"/>
  <c r="R114" i="104"/>
  <c r="R49" i="104" s="1"/>
  <c r="AA114" i="99"/>
  <c r="R114" i="103"/>
  <c r="R49" i="103" s="1"/>
  <c r="AG109" i="104"/>
  <c r="AG44" i="104" s="1"/>
  <c r="AL44" i="105" s="1"/>
  <c r="AR52" i="99"/>
  <c r="AR117" i="104" s="1"/>
  <c r="AR52" i="104" s="1"/>
  <c r="AG139" i="104"/>
  <c r="AG74" i="104" s="1"/>
  <c r="AL139" i="104"/>
  <c r="AL74" i="104" s="1"/>
  <c r="AL139" i="103"/>
  <c r="AL74" i="103" s="1"/>
  <c r="AY139" i="104"/>
  <c r="AY74" i="104" s="1"/>
  <c r="AB139" i="104"/>
  <c r="AB74" i="104" s="1"/>
  <c r="AB139" i="103"/>
  <c r="AB74" i="103" s="1"/>
  <c r="AM114" i="99"/>
  <c r="AO114" i="99"/>
  <c r="BL116" i="99"/>
  <c r="AS114" i="103"/>
  <c r="AS49" i="103" s="1"/>
  <c r="AX49" i="105" s="1"/>
  <c r="AA133" i="104"/>
  <c r="AA68" i="104" s="1"/>
  <c r="AL115" i="104"/>
  <c r="AL50" i="104" s="1"/>
  <c r="BB133" i="104"/>
  <c r="BB68" i="104" s="1"/>
  <c r="S123" i="103"/>
  <c r="S58" i="103" s="1"/>
  <c r="S59" i="103" s="1"/>
  <c r="Y122" i="99"/>
  <c r="BC109" i="104"/>
  <c r="BC44" i="104" s="1"/>
  <c r="BH44" i="105" s="1"/>
  <c r="AV109" i="99"/>
  <c r="AW115" i="99"/>
  <c r="BC114" i="99"/>
  <c r="BV133" i="103"/>
  <c r="AO113" i="99"/>
  <c r="AY123" i="103"/>
  <c r="AY58" i="103" s="1"/>
  <c r="BD58" i="105" s="1"/>
  <c r="AM113" i="99"/>
  <c r="BT115" i="104"/>
  <c r="BT50" i="104" s="1"/>
  <c r="BY50" i="105" s="1"/>
  <c r="BF113" i="99"/>
  <c r="AO109" i="104"/>
  <c r="AO44" i="104" s="1"/>
  <c r="AT44" i="105" s="1"/>
  <c r="T109" i="104"/>
  <c r="T44" i="104" s="1"/>
  <c r="Y44" i="105" s="1"/>
  <c r="AY123" i="99"/>
  <c r="BA109" i="99"/>
  <c r="Y122" i="104"/>
  <c r="Y57" i="104" s="1"/>
  <c r="AV114" i="104"/>
  <c r="AV49" i="104" s="1"/>
  <c r="BA49" i="105" s="1"/>
  <c r="AN123" i="103"/>
  <c r="AN58" i="103" s="1"/>
  <c r="AS58" i="105" s="1"/>
  <c r="BJ109" i="103"/>
  <c r="BJ44" i="103" s="1"/>
  <c r="AI122" i="99"/>
  <c r="AN123" i="99"/>
  <c r="AF122" i="99"/>
  <c r="AH109" i="104"/>
  <c r="AH44" i="104" s="1"/>
  <c r="AM44" i="105" s="1"/>
  <c r="AN109" i="99"/>
  <c r="AV114" i="99"/>
  <c r="AF122" i="103"/>
  <c r="AF57" i="103" s="1"/>
  <c r="AH109" i="99"/>
  <c r="AH59" i="99"/>
  <c r="AH124" i="103" s="1"/>
  <c r="AK115" i="103"/>
  <c r="AK50" i="103" s="1"/>
  <c r="AP50" i="105" s="1"/>
  <c r="BB116" i="99"/>
  <c r="W116" i="104"/>
  <c r="W51" i="104" s="1"/>
  <c r="U114" i="104"/>
  <c r="U49" i="104" s="1"/>
  <c r="Z49" i="105" s="1"/>
  <c r="BV109" i="99"/>
  <c r="BV109" i="104"/>
  <c r="BV44" i="104" s="1"/>
  <c r="CA44" i="105" s="1"/>
  <c r="BJ116" i="103"/>
  <c r="BJ51" i="103" s="1"/>
  <c r="BO51" i="105" s="1"/>
  <c r="BK115" i="104"/>
  <c r="BK50" i="104" s="1"/>
  <c r="BP50" i="105" s="1"/>
  <c r="BW113" i="99"/>
  <c r="AX113" i="104"/>
  <c r="AX48" i="104" s="1"/>
  <c r="BC48" i="105" s="1"/>
  <c r="V123" i="104"/>
  <c r="V58" i="104" s="1"/>
  <c r="AA58" i="105" s="1"/>
  <c r="AH115" i="104"/>
  <c r="AH50" i="104" s="1"/>
  <c r="AM50" i="105" s="1"/>
  <c r="V123" i="99"/>
  <c r="BK113" i="99"/>
  <c r="AF109" i="99"/>
  <c r="BV116" i="104"/>
  <c r="BV51" i="104" s="1"/>
  <c r="CA51" i="105" s="1"/>
  <c r="BP113" i="99"/>
  <c r="BK113" i="103"/>
  <c r="BK48" i="103" s="1"/>
  <c r="BP48" i="105" s="1"/>
  <c r="AF109" i="103"/>
  <c r="AF44" i="103" s="1"/>
  <c r="AK44" i="105" s="1"/>
  <c r="AZ116" i="99"/>
  <c r="BP113" i="103"/>
  <c r="BP48" i="103" s="1"/>
  <c r="BU48" i="105" s="1"/>
  <c r="AK109" i="104"/>
  <c r="AK44" i="104" s="1"/>
  <c r="AP44" i="105" s="1"/>
  <c r="AP116" i="104"/>
  <c r="AP51" i="104" s="1"/>
  <c r="AZ116" i="103"/>
  <c r="AZ51" i="103" s="1"/>
  <c r="BE51" i="105" s="1"/>
  <c r="BN116" i="99"/>
  <c r="R123" i="103"/>
  <c r="R58" i="103" s="1"/>
  <c r="R59" i="103" s="1"/>
  <c r="AZ113" i="103"/>
  <c r="AZ48" i="103" s="1"/>
  <c r="AD123" i="104"/>
  <c r="AD58" i="104" s="1"/>
  <c r="AD59" i="104" s="1"/>
  <c r="BK114" i="103"/>
  <c r="BK49" i="103" s="1"/>
  <c r="BP49" i="105" s="1"/>
  <c r="AE115" i="103"/>
  <c r="AE50" i="103" s="1"/>
  <c r="BQ122" i="103"/>
  <c r="BQ57" i="103" s="1"/>
  <c r="S115" i="99"/>
  <c r="AW123" i="104"/>
  <c r="AW58" i="104" s="1"/>
  <c r="BB58" i="105" s="1"/>
  <c r="X109" i="99"/>
  <c r="AE115" i="104"/>
  <c r="AE50" i="104" s="1"/>
  <c r="AF115" i="104"/>
  <c r="AF50" i="104" s="1"/>
  <c r="AW123" i="99"/>
  <c r="BN122" i="104"/>
  <c r="BN57" i="104" s="1"/>
  <c r="AG113" i="104"/>
  <c r="AG48" i="104" s="1"/>
  <c r="AZ122" i="99"/>
  <c r="AF115" i="103"/>
  <c r="AF50" i="103" s="1"/>
  <c r="AV113" i="99"/>
  <c r="U113" i="103"/>
  <c r="U48" i="103" s="1"/>
  <c r="Z48" i="105" s="1"/>
  <c r="AV113" i="103"/>
  <c r="AV48" i="103" s="1"/>
  <c r="BA48" i="105" s="1"/>
  <c r="T109" i="99"/>
  <c r="AL59" i="99"/>
  <c r="BE114" i="104"/>
  <c r="BE49" i="104" s="1"/>
  <c r="BJ49" i="105" s="1"/>
  <c r="Y116" i="104"/>
  <c r="Y51" i="104" s="1"/>
  <c r="AD51" i="105" s="1"/>
  <c r="AV109" i="104"/>
  <c r="AV44" i="104" s="1"/>
  <c r="BA44" i="105" s="1"/>
  <c r="BE59" i="99"/>
  <c r="BE124" i="103" s="1"/>
  <c r="R123" i="104"/>
  <c r="R58" i="104" s="1"/>
  <c r="BD116" i="103"/>
  <c r="BD51" i="103" s="1"/>
  <c r="BI51" i="105" s="1"/>
  <c r="AN114" i="99"/>
  <c r="BP123" i="103"/>
  <c r="BP58" i="103" s="1"/>
  <c r="BU58" i="105" s="1"/>
  <c r="AD59" i="99"/>
  <c r="AD124" i="103" s="1"/>
  <c r="AP115" i="104"/>
  <c r="AP50" i="104" s="1"/>
  <c r="AU50" i="105" s="1"/>
  <c r="AB109" i="104"/>
  <c r="AB44" i="104" s="1"/>
  <c r="AO52" i="99"/>
  <c r="AO117" i="104" s="1"/>
  <c r="AO52" i="104" s="1"/>
  <c r="AV122" i="104"/>
  <c r="AV57" i="104" s="1"/>
  <c r="AV59" i="104" s="1"/>
  <c r="U109" i="103"/>
  <c r="U44" i="103" s="1"/>
  <c r="Z113" i="104"/>
  <c r="Z48" i="104" s="1"/>
  <c r="AU123" i="104"/>
  <c r="AU58" i="104" s="1"/>
  <c r="AZ58" i="105" s="1"/>
  <c r="AO113" i="104"/>
  <c r="AO48" i="104" s="1"/>
  <c r="AT48" i="105" s="1"/>
  <c r="AO116" i="104"/>
  <c r="AO51" i="104" s="1"/>
  <c r="AT51" i="105" s="1"/>
  <c r="BC116" i="99"/>
  <c r="AB113" i="99"/>
  <c r="BX109" i="99"/>
  <c r="BT109" i="99"/>
  <c r="Y115" i="99"/>
  <c r="BN116" i="104"/>
  <c r="BN51" i="104" s="1"/>
  <c r="BS51" i="105" s="1"/>
  <c r="AU115" i="103"/>
  <c r="AU50" i="103" s="1"/>
  <c r="AZ50" i="105" s="1"/>
  <c r="BP109" i="103"/>
  <c r="BP44" i="103" s="1"/>
  <c r="AW122" i="99"/>
  <c r="BX123" i="104"/>
  <c r="BX58" i="104" s="1"/>
  <c r="CC58" i="105" s="1"/>
  <c r="Y115" i="104"/>
  <c r="Y50" i="104" s="1"/>
  <c r="AD50" i="105" s="1"/>
  <c r="BA114" i="104"/>
  <c r="BA49" i="104" s="1"/>
  <c r="BF49" i="105" s="1"/>
  <c r="R115" i="103"/>
  <c r="R50" i="103" s="1"/>
  <c r="AF52" i="99"/>
  <c r="AF117" i="104" s="1"/>
  <c r="AF52" i="104" s="1"/>
  <c r="AN113" i="103"/>
  <c r="AN48" i="103" s="1"/>
  <c r="AS48" i="105" s="1"/>
  <c r="BP122" i="99"/>
  <c r="AN109" i="104"/>
  <c r="AN44" i="104" s="1"/>
  <c r="AS44" i="105" s="1"/>
  <c r="BP122" i="103"/>
  <c r="BP57" i="103" s="1"/>
  <c r="AU113" i="103"/>
  <c r="AU48" i="103" s="1"/>
  <c r="AY115" i="104"/>
  <c r="AY50" i="104" s="1"/>
  <c r="BD50" i="105" s="1"/>
  <c r="BI116" i="99"/>
  <c r="AD113" i="104"/>
  <c r="AD48" i="104" s="1"/>
  <c r="BE114" i="99"/>
  <c r="AH122" i="99"/>
  <c r="BC116" i="104"/>
  <c r="BC51" i="104" s="1"/>
  <c r="BH51" i="105" s="1"/>
  <c r="AB113" i="104"/>
  <c r="AB48" i="104" s="1"/>
  <c r="AG48" i="105" s="1"/>
  <c r="BO123" i="99"/>
  <c r="AQ115" i="104"/>
  <c r="AQ50" i="104" s="1"/>
  <c r="AV50" i="105" s="1"/>
  <c r="BU122" i="104"/>
  <c r="BU57" i="104" s="1"/>
  <c r="AJ114" i="104"/>
  <c r="AJ49" i="104" s="1"/>
  <c r="AO49" i="105" s="1"/>
  <c r="BI59" i="99"/>
  <c r="BI124" i="103" s="1"/>
  <c r="R113" i="104"/>
  <c r="R48" i="104" s="1"/>
  <c r="W48" i="105" s="1"/>
  <c r="AG122" i="99"/>
  <c r="AA115" i="104"/>
  <c r="AA50" i="104" s="1"/>
  <c r="AF50" i="105" s="1"/>
  <c r="AK116" i="103"/>
  <c r="AK51" i="103" s="1"/>
  <c r="AP51" i="105" s="1"/>
  <c r="BI122" i="99"/>
  <c r="AA113" i="104"/>
  <c r="AA48" i="104" s="1"/>
  <c r="AF48" i="105" s="1"/>
  <c r="BE116" i="99"/>
  <c r="AQ52" i="99"/>
  <c r="AQ117" i="104" s="1"/>
  <c r="AQ52" i="104" s="1"/>
  <c r="AM123" i="99"/>
  <c r="AU113" i="104"/>
  <c r="AU48" i="104" s="1"/>
  <c r="BX109" i="104"/>
  <c r="BX44" i="104" s="1"/>
  <c r="CC44" i="105" s="1"/>
  <c r="BX59" i="99"/>
  <c r="BX124" i="103" s="1"/>
  <c r="AR122" i="103"/>
  <c r="AR57" i="103" s="1"/>
  <c r="AR59" i="103" s="1"/>
  <c r="BM109" i="104"/>
  <c r="BM44" i="104" s="1"/>
  <c r="BR44" i="105" s="1"/>
  <c r="BR122" i="99"/>
  <c r="BX123" i="99"/>
  <c r="BN115" i="99"/>
  <c r="BM109" i="99"/>
  <c r="BP116" i="99"/>
  <c r="AR123" i="104"/>
  <c r="AR58" i="104" s="1"/>
  <c r="AW58" i="105" s="1"/>
  <c r="AX114" i="103"/>
  <c r="AX49" i="103" s="1"/>
  <c r="BC49" i="105" s="1"/>
  <c r="X109" i="104"/>
  <c r="X44" i="104" s="1"/>
  <c r="AC44" i="105" s="1"/>
  <c r="AB115" i="104"/>
  <c r="AB50" i="104" s="1"/>
  <c r="BP114" i="99"/>
  <c r="BT115" i="99"/>
  <c r="X52" i="99"/>
  <c r="X117" i="104" s="1"/>
  <c r="X52" i="104" s="1"/>
  <c r="AZ52" i="99"/>
  <c r="W113" i="99"/>
  <c r="BO115" i="99"/>
  <c r="W113" i="104"/>
  <c r="W48" i="104" s="1"/>
  <c r="AB48" i="105" s="1"/>
  <c r="BG116" i="103"/>
  <c r="BG51" i="103" s="1"/>
  <c r="AG52" i="99"/>
  <c r="AG117" i="99" s="1"/>
  <c r="AW122" i="104"/>
  <c r="AW57" i="104" s="1"/>
  <c r="AG114" i="99"/>
  <c r="AB115" i="103"/>
  <c r="AB50" i="103" s="1"/>
  <c r="AK116" i="99"/>
  <c r="AQ115" i="99"/>
  <c r="AV116" i="104"/>
  <c r="AV51" i="104" s="1"/>
  <c r="BA51" i="105" s="1"/>
  <c r="AA115" i="99"/>
  <c r="AV52" i="99"/>
  <c r="AV117" i="99" s="1"/>
  <c r="BE116" i="104"/>
  <c r="BE51" i="104" s="1"/>
  <c r="BJ51" i="105" s="1"/>
  <c r="BU116" i="103"/>
  <c r="BU51" i="103" s="1"/>
  <c r="BD113" i="99"/>
  <c r="AV116" i="99"/>
  <c r="AM109" i="103"/>
  <c r="AM44" i="103" s="1"/>
  <c r="AU52" i="99"/>
  <c r="AM52" i="99"/>
  <c r="AM113" i="104"/>
  <c r="AM48" i="104" s="1"/>
  <c r="AR48" i="105" s="1"/>
  <c r="AU114" i="99"/>
  <c r="AM109" i="104"/>
  <c r="AM44" i="104" s="1"/>
  <c r="BA52" i="99"/>
  <c r="BA117" i="103" s="1"/>
  <c r="AU114" i="103"/>
  <c r="AU49" i="103" s="1"/>
  <c r="AZ49" i="105" s="1"/>
  <c r="V122" i="99"/>
  <c r="BA116" i="99"/>
  <c r="BV115" i="99"/>
  <c r="BS52" i="99"/>
  <c r="BS117" i="103" s="1"/>
  <c r="BU123" i="104"/>
  <c r="BU58" i="104" s="1"/>
  <c r="BZ58" i="105" s="1"/>
  <c r="AA113" i="99"/>
  <c r="BD114" i="103"/>
  <c r="BD49" i="103" s="1"/>
  <c r="BH52" i="99"/>
  <c r="BH117" i="104" s="1"/>
  <c r="BH52" i="104" s="1"/>
  <c r="AG114" i="104"/>
  <c r="AG49" i="104" s="1"/>
  <c r="AL49" i="105" s="1"/>
  <c r="X203" i="155"/>
  <c r="X213" i="155"/>
  <c r="X205" i="155"/>
  <c r="X338" i="155"/>
  <c r="X344" i="155" s="1"/>
  <c r="X43" i="155" s="1"/>
  <c r="X334" i="155"/>
  <c r="Y338" i="155"/>
  <c r="Y344" i="155" s="1"/>
  <c r="Y43" i="155" s="1"/>
  <c r="Y334" i="155"/>
  <c r="Y213" i="155"/>
  <c r="Y203" i="155"/>
  <c r="Y205" i="155"/>
  <c r="R59" i="99"/>
  <c r="R124" i="104" s="1"/>
  <c r="BG177" i="155"/>
  <c r="BG185" i="155" s="1"/>
  <c r="BF177" i="155"/>
  <c r="BF185" i="155" s="1"/>
  <c r="W338" i="155"/>
  <c r="W344" i="155" s="1"/>
  <c r="W43" i="155" s="1"/>
  <c r="W334" i="155"/>
  <c r="BI177" i="155"/>
  <c r="BI185" i="155" s="1"/>
  <c r="W205" i="155"/>
  <c r="W203" i="155"/>
  <c r="W213" i="155"/>
  <c r="V205" i="155"/>
  <c r="V213" i="155"/>
  <c r="V203" i="155"/>
  <c r="V334" i="155"/>
  <c r="V338" i="155"/>
  <c r="V344" i="155" s="1"/>
  <c r="V43" i="155" s="1"/>
  <c r="V52" i="99"/>
  <c r="AS139" i="104"/>
  <c r="AS74" i="104" s="1"/>
  <c r="S114" i="99"/>
  <c r="AK109" i="99"/>
  <c r="BH109" i="104"/>
  <c r="BH44" i="104" s="1"/>
  <c r="BM44" i="105" s="1"/>
  <c r="AS114" i="99"/>
  <c r="BR122" i="104"/>
  <c r="BR57" i="104" s="1"/>
  <c r="BG133" i="104"/>
  <c r="BG68" i="104" s="1"/>
  <c r="BT116" i="104"/>
  <c r="BT51" i="104" s="1"/>
  <c r="BY51" i="105" s="1"/>
  <c r="AS52" i="99"/>
  <c r="AS117" i="104" s="1"/>
  <c r="AS52" i="104" s="1"/>
  <c r="BI113" i="99"/>
  <c r="S114" i="103"/>
  <c r="S49" i="103" s="1"/>
  <c r="X49" i="105" s="1"/>
  <c r="BU122" i="99"/>
  <c r="Y123" i="99"/>
  <c r="BG133" i="103"/>
  <c r="BC115" i="103"/>
  <c r="BC50" i="103" s="1"/>
  <c r="BH50" i="105" s="1"/>
  <c r="AR114" i="99"/>
  <c r="BA116" i="104"/>
  <c r="BA51" i="104" s="1"/>
  <c r="BF51" i="105" s="1"/>
  <c r="AC109" i="103"/>
  <c r="AC44" i="103" s="1"/>
  <c r="BT116" i="99"/>
  <c r="AN116" i="99"/>
  <c r="AR114" i="104"/>
  <c r="AR49" i="104" s="1"/>
  <c r="AW49" i="105" s="1"/>
  <c r="BM133" i="103"/>
  <c r="BC115" i="99"/>
  <c r="Z202" i="99"/>
  <c r="Z210" i="99" s="1"/>
  <c r="Z243" i="99" s="1"/>
  <c r="AV330" i="99"/>
  <c r="AV340" i="99" s="1"/>
  <c r="BD139" i="103"/>
  <c r="BD74" i="103" s="1"/>
  <c r="BL133" i="103"/>
  <c r="BW123" i="99"/>
  <c r="AT123" i="99"/>
  <c r="BW52" i="99"/>
  <c r="BW117" i="99" s="1"/>
  <c r="BV139" i="103"/>
  <c r="BV74" i="103" s="1"/>
  <c r="W123" i="104"/>
  <c r="W58" i="104" s="1"/>
  <c r="AB58" i="105" s="1"/>
  <c r="AW109" i="104"/>
  <c r="AW44" i="104" s="1"/>
  <c r="BB44" i="105" s="1"/>
  <c r="AD115" i="104"/>
  <c r="AD50" i="104" s="1"/>
  <c r="AD115" i="103"/>
  <c r="AD50" i="103" s="1"/>
  <c r="BG109" i="99"/>
  <c r="W139" i="103"/>
  <c r="W74" i="103" s="1"/>
  <c r="BG109" i="104"/>
  <c r="BG44" i="104" s="1"/>
  <c r="BL44" i="105" s="1"/>
  <c r="AL114" i="104"/>
  <c r="AL49" i="104" s="1"/>
  <c r="AQ49" i="105" s="1"/>
  <c r="BB115" i="99"/>
  <c r="BR109" i="99"/>
  <c r="AY115" i="99"/>
  <c r="AD52" i="99"/>
  <c r="AD117" i="103" s="1"/>
  <c r="BT139" i="104"/>
  <c r="BT74" i="104" s="1"/>
  <c r="AP109" i="99"/>
  <c r="BP52" i="99"/>
  <c r="BP117" i="99" s="1"/>
  <c r="BT52" i="99"/>
  <c r="BT117" i="103" s="1"/>
  <c r="AP109" i="104"/>
  <c r="AP44" i="104" s="1"/>
  <c r="AU44" i="105" s="1"/>
  <c r="AC133" i="104"/>
  <c r="AC68" i="104" s="1"/>
  <c r="AS109" i="104"/>
  <c r="AS44" i="104" s="1"/>
  <c r="AX44" i="105" s="1"/>
  <c r="AC133" i="103"/>
  <c r="BP115" i="104"/>
  <c r="BP50" i="104" s="1"/>
  <c r="AD114" i="99"/>
  <c r="AF114" i="99"/>
  <c r="BP116" i="104"/>
  <c r="BP51" i="104" s="1"/>
  <c r="BU51" i="105" s="1"/>
  <c r="AJ59" i="99"/>
  <c r="AJ124" i="103" s="1"/>
  <c r="BT123" i="99"/>
  <c r="BT123" i="104"/>
  <c r="BT58" i="104" s="1"/>
  <c r="BY58" i="105" s="1"/>
  <c r="BF139" i="103"/>
  <c r="BF74" i="103" s="1"/>
  <c r="BB139" i="104"/>
  <c r="BB74" i="104" s="1"/>
  <c r="BT122" i="103"/>
  <c r="BT57" i="103" s="1"/>
  <c r="BT59" i="103" s="1"/>
  <c r="AG123" i="99"/>
  <c r="AD114" i="104"/>
  <c r="AD49" i="104" s="1"/>
  <c r="AI49" i="105" s="1"/>
  <c r="BR115" i="104"/>
  <c r="BR50" i="104" s="1"/>
  <c r="AX59" i="99"/>
  <c r="AX124" i="103" s="1"/>
  <c r="BJ122" i="103"/>
  <c r="BJ57" i="103" s="1"/>
  <c r="W139" i="104"/>
  <c r="W74" i="104" s="1"/>
  <c r="AL114" i="99"/>
  <c r="Z115" i="104"/>
  <c r="Z50" i="104" s="1"/>
  <c r="AE50" i="105" s="1"/>
  <c r="S122" i="104"/>
  <c r="S57" i="104" s="1"/>
  <c r="AW109" i="99"/>
  <c r="BS116" i="103"/>
  <c r="BS51" i="103" s="1"/>
  <c r="BB115" i="104"/>
  <c r="BB50" i="104" s="1"/>
  <c r="BG50" i="105" s="1"/>
  <c r="BI109" i="99"/>
  <c r="Z114" i="99"/>
  <c r="L51" i="99"/>
  <c r="L116" i="104" s="1"/>
  <c r="AW139" i="104"/>
  <c r="AW74" i="104" s="1"/>
  <c r="AX123" i="99"/>
  <c r="AG109" i="99"/>
  <c r="U109" i="104"/>
  <c r="U44" i="104" s="1"/>
  <c r="AJ139" i="103"/>
  <c r="AJ74" i="103" s="1"/>
  <c r="Z139" i="104"/>
  <c r="Z74" i="104" s="1"/>
  <c r="AA52" i="99"/>
  <c r="AA117" i="104" s="1"/>
  <c r="AA52" i="104" s="1"/>
  <c r="AH202" i="99"/>
  <c r="AH210" i="99" s="1"/>
  <c r="AH243" i="99" s="1"/>
  <c r="V172" i="99"/>
  <c r="BG179" i="99" s="1"/>
  <c r="BG187" i="99" s="1"/>
  <c r="BG330" i="99" s="1"/>
  <c r="BG340" i="99" s="1"/>
  <c r="AK202" i="99"/>
  <c r="AK210" i="99" s="1"/>
  <c r="AK243" i="99" s="1"/>
  <c r="AI207" i="99"/>
  <c r="AI240" i="99" s="1"/>
  <c r="AI248" i="99" s="1"/>
  <c r="AS330" i="99"/>
  <c r="AS340" i="99" s="1"/>
  <c r="AT199" i="99"/>
  <c r="AT215" i="99" s="1"/>
  <c r="AT284" i="99" s="1"/>
  <c r="AR199" i="99"/>
  <c r="AR215" i="99" s="1"/>
  <c r="AR284" i="99" s="1"/>
  <c r="BQ211" i="154"/>
  <c r="BN59" i="99"/>
  <c r="BV59" i="99"/>
  <c r="BV124" i="99" s="1"/>
  <c r="AZ59" i="99"/>
  <c r="AZ124" i="103" s="1"/>
  <c r="AY133" i="103"/>
  <c r="BI133" i="103"/>
  <c r="BI133" i="104"/>
  <c r="BI68" i="104" s="1"/>
  <c r="U133" i="103"/>
  <c r="AS133" i="103"/>
  <c r="AL133" i="104"/>
  <c r="AL68" i="104" s="1"/>
  <c r="BN133" i="104"/>
  <c r="BN68" i="104" s="1"/>
  <c r="BN133" i="103"/>
  <c r="AW133" i="104"/>
  <c r="AW68" i="104" s="1"/>
  <c r="BA59" i="99"/>
  <c r="BA124" i="99" s="1"/>
  <c r="BV123" i="103"/>
  <c r="BV58" i="103" s="1"/>
  <c r="CA58" i="105" s="1"/>
  <c r="AP123" i="104"/>
  <c r="AP58" i="104" s="1"/>
  <c r="AU58" i="105" s="1"/>
  <c r="AB123" i="99"/>
  <c r="AZ123" i="104"/>
  <c r="AZ58" i="104" s="1"/>
  <c r="AZ123" i="99"/>
  <c r="AZ123" i="103"/>
  <c r="AZ58" i="103" s="1"/>
  <c r="AZ59" i="103" s="1"/>
  <c r="V122" i="104"/>
  <c r="V57" i="104" s="1"/>
  <c r="V59" i="99"/>
  <c r="V124" i="99" s="1"/>
  <c r="BO123" i="104"/>
  <c r="BO58" i="104" s="1"/>
  <c r="BT58" i="105" s="1"/>
  <c r="S122" i="99"/>
  <c r="BJ59" i="99"/>
  <c r="BJ124" i="103" s="1"/>
  <c r="BV123" i="99"/>
  <c r="Z122" i="99"/>
  <c r="BQ219" i="154"/>
  <c r="AM59" i="99"/>
  <c r="AY116" i="103"/>
  <c r="AY51" i="103" s="1"/>
  <c r="BD51" i="105" s="1"/>
  <c r="BH109" i="99"/>
  <c r="AY52" i="99"/>
  <c r="AY117" i="99" s="1"/>
  <c r="BI115" i="104"/>
  <c r="BI50" i="104" s="1"/>
  <c r="BN50" i="105" s="1"/>
  <c r="AL123" i="99"/>
  <c r="AN59" i="99"/>
  <c r="AN124" i="104" s="1"/>
  <c r="AA116" i="99"/>
  <c r="AL123" i="103"/>
  <c r="AL58" i="103" s="1"/>
  <c r="AQ58" i="105" s="1"/>
  <c r="AV133" i="104"/>
  <c r="AV68" i="104" s="1"/>
  <c r="BO114" i="99"/>
  <c r="V133" i="103"/>
  <c r="AP123" i="99"/>
  <c r="AT52" i="99"/>
  <c r="AT117" i="104" s="1"/>
  <c r="AT52" i="104" s="1"/>
  <c r="BC52" i="99"/>
  <c r="BC117" i="103" s="1"/>
  <c r="AT114" i="104"/>
  <c r="AT49" i="104" s="1"/>
  <c r="AY49" i="105" s="1"/>
  <c r="BA122" i="103"/>
  <c r="BA57" i="103" s="1"/>
  <c r="AI109" i="99"/>
  <c r="AE133" i="103"/>
  <c r="BC113" i="104"/>
  <c r="BC48" i="104" s="1"/>
  <c r="BH48" i="105" s="1"/>
  <c r="AM122" i="103"/>
  <c r="AM57" i="103" s="1"/>
  <c r="AM59" i="103" s="1"/>
  <c r="BC113" i="99"/>
  <c r="AC116" i="103"/>
  <c r="AC51" i="103" s="1"/>
  <c r="AH51" i="105" s="1"/>
  <c r="BK109" i="103"/>
  <c r="BK44" i="103" s="1"/>
  <c r="BP44" i="105" s="1"/>
  <c r="U115" i="104"/>
  <c r="U50" i="104" s="1"/>
  <c r="Z50" i="105" s="1"/>
  <c r="AM122" i="104"/>
  <c r="AM57" i="104" s="1"/>
  <c r="T122" i="103"/>
  <c r="T57" i="103" s="1"/>
  <c r="AU123" i="99"/>
  <c r="BV122" i="103"/>
  <c r="BV57" i="103" s="1"/>
  <c r="BQ59" i="99"/>
  <c r="BQ124" i="103" s="1"/>
  <c r="BB52" i="99"/>
  <c r="BB117" i="99" s="1"/>
  <c r="S109" i="104"/>
  <c r="S44" i="104" s="1"/>
  <c r="X44" i="105" s="1"/>
  <c r="AB52" i="99"/>
  <c r="AB117" i="99" s="1"/>
  <c r="AT114" i="99"/>
  <c r="AK114" i="99"/>
  <c r="BQ122" i="99"/>
  <c r="BP59" i="99"/>
  <c r="BP124" i="103" s="1"/>
  <c r="BJ116" i="99"/>
  <c r="AC116" i="99"/>
  <c r="BE52" i="99"/>
  <c r="BE117" i="103" s="1"/>
  <c r="AV122" i="103"/>
  <c r="AV57" i="103" s="1"/>
  <c r="AK114" i="104"/>
  <c r="AK49" i="104" s="1"/>
  <c r="AP49" i="105" s="1"/>
  <c r="BK59" i="99"/>
  <c r="BK124" i="104" s="1"/>
  <c r="AA123" i="104"/>
  <c r="AA58" i="104" s="1"/>
  <c r="BS116" i="104"/>
  <c r="BS51" i="104" s="1"/>
  <c r="AC122" i="104"/>
  <c r="AC57" i="104" s="1"/>
  <c r="BR59" i="99"/>
  <c r="BR124" i="103" s="1"/>
  <c r="U52" i="99"/>
  <c r="U117" i="99" s="1"/>
  <c r="BI116" i="104"/>
  <c r="BI51" i="104" s="1"/>
  <c r="BN51" i="105" s="1"/>
  <c r="R115" i="104"/>
  <c r="R50" i="104" s="1"/>
  <c r="W115" i="104"/>
  <c r="W50" i="104" s="1"/>
  <c r="AB50" i="105" s="1"/>
  <c r="BA122" i="104"/>
  <c r="BA57" i="104" s="1"/>
  <c r="AT116" i="99"/>
  <c r="W122" i="103"/>
  <c r="W57" i="103" s="1"/>
  <c r="AT123" i="103"/>
  <c r="AT58" i="103" s="1"/>
  <c r="AY58" i="105" s="1"/>
  <c r="AL116" i="104"/>
  <c r="AL51" i="104" s="1"/>
  <c r="AQ51" i="105" s="1"/>
  <c r="BK109" i="99"/>
  <c r="AY113" i="104"/>
  <c r="AY48" i="104" s="1"/>
  <c r="BD48" i="105" s="1"/>
  <c r="AW116" i="99"/>
  <c r="W52" i="99"/>
  <c r="W117" i="104" s="1"/>
  <c r="W52" i="104" s="1"/>
  <c r="BU59" i="99"/>
  <c r="Z59" i="99"/>
  <c r="Z124" i="104" s="1"/>
  <c r="BJ114" i="104"/>
  <c r="BJ49" i="104" s="1"/>
  <c r="BO49" i="105" s="1"/>
  <c r="AC115" i="104"/>
  <c r="AC50" i="104" s="1"/>
  <c r="AH50" i="105" s="1"/>
  <c r="BC122" i="99"/>
  <c r="AP122" i="99"/>
  <c r="AP122" i="104"/>
  <c r="AP57" i="104" s="1"/>
  <c r="BD59" i="99"/>
  <c r="BD124" i="103" s="1"/>
  <c r="AP59" i="99"/>
  <c r="AP124" i="103" s="1"/>
  <c r="AS328" i="155"/>
  <c r="AS197" i="155"/>
  <c r="AS191" i="155"/>
  <c r="AG338" i="155"/>
  <c r="AG344" i="155" s="1"/>
  <c r="AG43" i="155" s="1"/>
  <c r="AG334" i="155"/>
  <c r="AG213" i="155"/>
  <c r="AG205" i="155"/>
  <c r="AG203" i="155"/>
  <c r="AJ328" i="155"/>
  <c r="AJ197" i="155"/>
  <c r="AJ191" i="155"/>
  <c r="BH185" i="155"/>
  <c r="BH183" i="155"/>
  <c r="AE205" i="155"/>
  <c r="AE213" i="155"/>
  <c r="AE203" i="155"/>
  <c r="BB185" i="155"/>
  <c r="BB183" i="155"/>
  <c r="AE338" i="155"/>
  <c r="AE344" i="155" s="1"/>
  <c r="AE43" i="155" s="1"/>
  <c r="AE334" i="155"/>
  <c r="AF205" i="155"/>
  <c r="AF213" i="155"/>
  <c r="AF203" i="155"/>
  <c r="BD185" i="155"/>
  <c r="BD183" i="155"/>
  <c r="AA213" i="155"/>
  <c r="AA205" i="155"/>
  <c r="AA203" i="155"/>
  <c r="AF338" i="155"/>
  <c r="AF344" i="155" s="1"/>
  <c r="AF43" i="155" s="1"/>
  <c r="AF334" i="155"/>
  <c r="AY185" i="155"/>
  <c r="AY183" i="155"/>
  <c r="AR197" i="155"/>
  <c r="AR328" i="155"/>
  <c r="AR191" i="155"/>
  <c r="AX185" i="155"/>
  <c r="AX183" i="155"/>
  <c r="AA338" i="155"/>
  <c r="AA344" i="155" s="1"/>
  <c r="AA43" i="155" s="1"/>
  <c r="AA334" i="155"/>
  <c r="BA177" i="155"/>
  <c r="BK177" i="155"/>
  <c r="W170" i="155"/>
  <c r="BT177" i="155" s="1"/>
  <c r="BL177" i="155"/>
  <c r="BJ177" i="155"/>
  <c r="BQ177" i="155"/>
  <c r="BN177" i="155"/>
  <c r="BP177" i="155"/>
  <c r="BO177" i="155"/>
  <c r="BM177" i="155"/>
  <c r="AM197" i="155"/>
  <c r="AM328" i="155"/>
  <c r="AM191" i="155"/>
  <c r="AZ185" i="155"/>
  <c r="AZ183" i="155"/>
  <c r="AW197" i="155"/>
  <c r="AW328" i="155"/>
  <c r="AW191" i="155"/>
  <c r="AH338" i="155"/>
  <c r="AH344" i="155" s="1"/>
  <c r="AH43" i="155" s="1"/>
  <c r="AH334" i="155"/>
  <c r="BC185" i="155"/>
  <c r="BC183" i="155"/>
  <c r="Z334" i="155"/>
  <c r="Z338" i="155"/>
  <c r="Z344" i="155" s="1"/>
  <c r="Z43" i="155" s="1"/>
  <c r="AH213" i="155"/>
  <c r="AH205" i="155"/>
  <c r="AH203" i="155"/>
  <c r="AU185" i="155"/>
  <c r="AU183" i="155"/>
  <c r="AD213" i="155"/>
  <c r="AD205" i="155"/>
  <c r="AD203" i="155"/>
  <c r="Z205" i="155"/>
  <c r="Z213" i="155"/>
  <c r="Z203" i="155"/>
  <c r="AD338" i="155"/>
  <c r="AD344" i="155" s="1"/>
  <c r="AD43" i="155" s="1"/>
  <c r="AD334" i="155"/>
  <c r="AL328" i="155"/>
  <c r="AL197" i="155"/>
  <c r="AL191" i="155"/>
  <c r="AT197" i="155"/>
  <c r="AT328" i="155"/>
  <c r="AT191" i="155"/>
  <c r="AO328" i="155"/>
  <c r="AO197" i="155"/>
  <c r="AO191" i="155"/>
  <c r="AB334" i="155"/>
  <c r="AB338" i="155"/>
  <c r="AB344" i="155" s="1"/>
  <c r="AB43" i="155" s="1"/>
  <c r="AN197" i="155"/>
  <c r="AN328" i="155"/>
  <c r="AN191" i="155"/>
  <c r="AC213" i="155"/>
  <c r="AC205" i="155"/>
  <c r="AC203" i="155"/>
  <c r="AB203" i="155"/>
  <c r="AB205" i="155"/>
  <c r="AB213" i="155"/>
  <c r="AC338" i="155"/>
  <c r="AC344" i="155" s="1"/>
  <c r="AC43" i="155" s="1"/>
  <c r="AC334" i="155"/>
  <c r="AQ197" i="155"/>
  <c r="AQ328" i="155"/>
  <c r="AQ191" i="155"/>
  <c r="AK213" i="155"/>
  <c r="AK205" i="155"/>
  <c r="AK203" i="155"/>
  <c r="AI338" i="155"/>
  <c r="AI344" i="155" s="1"/>
  <c r="AI43" i="155" s="1"/>
  <c r="AI334" i="155"/>
  <c r="AK338" i="155"/>
  <c r="AK344" i="155" s="1"/>
  <c r="AK43" i="155" s="1"/>
  <c r="AK334" i="155"/>
  <c r="AP328" i="155"/>
  <c r="AP197" i="155"/>
  <c r="AP191" i="155"/>
  <c r="AI205" i="155"/>
  <c r="AI213" i="155"/>
  <c r="AI203" i="155"/>
  <c r="BE185" i="155"/>
  <c r="BE183" i="155"/>
  <c r="BV139" i="104"/>
  <c r="BV74" i="104" s="1"/>
  <c r="T139" i="103"/>
  <c r="T74" i="103" s="1"/>
  <c r="BH266" i="153"/>
  <c r="BJ52" i="99"/>
  <c r="BJ117" i="104" s="1"/>
  <c r="BJ52" i="104" s="1"/>
  <c r="AW59" i="99"/>
  <c r="AW124" i="103" s="1"/>
  <c r="BU123" i="99"/>
  <c r="AI115" i="103"/>
  <c r="AI50" i="103" s="1"/>
  <c r="BP123" i="99"/>
  <c r="V116" i="104"/>
  <c r="V51" i="104" s="1"/>
  <c r="AA51" i="105" s="1"/>
  <c r="R52" i="99"/>
  <c r="R117" i="104" s="1"/>
  <c r="R52" i="104" s="1"/>
  <c r="AW52" i="99"/>
  <c r="AW117" i="103" s="1"/>
  <c r="S52" i="99"/>
  <c r="S117" i="103" s="1"/>
  <c r="S59" i="99"/>
  <c r="S124" i="103" s="1"/>
  <c r="BH318" i="153"/>
  <c r="AB123" i="104"/>
  <c r="AB58" i="104" s="1"/>
  <c r="AG58" i="105" s="1"/>
  <c r="BK114" i="99"/>
  <c r="BW59" i="99"/>
  <c r="BW124" i="104" s="1"/>
  <c r="BI52" i="99"/>
  <c r="BI117" i="103" s="1"/>
  <c r="AW115" i="103"/>
  <c r="AW50" i="103" s="1"/>
  <c r="BB50" i="105" s="1"/>
  <c r="AT116" i="104"/>
  <c r="AT51" i="104" s="1"/>
  <c r="AY51" i="105" s="1"/>
  <c r="AC52" i="99"/>
  <c r="AC117" i="103" s="1"/>
  <c r="M50" i="99"/>
  <c r="M115" i="103" s="1"/>
  <c r="AR59" i="99"/>
  <c r="AR124" i="103" s="1"/>
  <c r="BV52" i="99"/>
  <c r="BV117" i="104" s="1"/>
  <c r="BV52" i="104" s="1"/>
  <c r="AA59" i="99"/>
  <c r="AJ52" i="99"/>
  <c r="AJ117" i="104" s="1"/>
  <c r="AJ52" i="104" s="1"/>
  <c r="AU109" i="99"/>
  <c r="BG114" i="99"/>
  <c r="Y133" i="104"/>
  <c r="Y68" i="104" s="1"/>
  <c r="AX52" i="99"/>
  <c r="AX117" i="99" s="1"/>
  <c r="AI123" i="104"/>
  <c r="AI58" i="104" s="1"/>
  <c r="BK133" i="103"/>
  <c r="AC122" i="99"/>
  <c r="AN52" i="99"/>
  <c r="AN117" i="103" s="1"/>
  <c r="AS59" i="99"/>
  <c r="AS124" i="103" s="1"/>
  <c r="AF59" i="99"/>
  <c r="L50" i="99"/>
  <c r="L115" i="104" s="1"/>
  <c r="BI122" i="104"/>
  <c r="BI57" i="104" s="1"/>
  <c r="AT59" i="99"/>
  <c r="AT124" i="99" s="1"/>
  <c r="AJ122" i="104"/>
  <c r="AJ57" i="104" s="1"/>
  <c r="BD123" i="99"/>
  <c r="AD109" i="99"/>
  <c r="AH139" i="104"/>
  <c r="AH74" i="104" s="1"/>
  <c r="AD109" i="104"/>
  <c r="AD44" i="104" s="1"/>
  <c r="AI44" i="105" s="1"/>
  <c r="AH139" i="103"/>
  <c r="AH74" i="103" s="1"/>
  <c r="BK123" i="104"/>
  <c r="BK58" i="104" s="1"/>
  <c r="BP58" i="105" s="1"/>
  <c r="AR109" i="99"/>
  <c r="AE114" i="103"/>
  <c r="AE49" i="103" s="1"/>
  <c r="BO116" i="99"/>
  <c r="AC202" i="99"/>
  <c r="AC218" i="99" s="1"/>
  <c r="AC287" i="99" s="1"/>
  <c r="AR139" i="103"/>
  <c r="AR74" i="103" s="1"/>
  <c r="Z139" i="103"/>
  <c r="Z74" i="103" s="1"/>
  <c r="AP139" i="99"/>
  <c r="BN139" i="103"/>
  <c r="BN74" i="103" s="1"/>
  <c r="BB139" i="99"/>
  <c r="R139" i="104"/>
  <c r="R74" i="104" s="1"/>
  <c r="U139" i="103"/>
  <c r="U74" i="103" s="1"/>
  <c r="R139" i="99"/>
  <c r="BC139" i="103"/>
  <c r="BC74" i="103" s="1"/>
  <c r="U139" i="104"/>
  <c r="U74" i="104" s="1"/>
  <c r="BN139" i="104"/>
  <c r="BN74" i="104" s="1"/>
  <c r="BI139" i="104"/>
  <c r="BI74" i="104" s="1"/>
  <c r="BR139" i="103"/>
  <c r="BR74" i="103" s="1"/>
  <c r="BR139" i="104"/>
  <c r="BR74" i="104" s="1"/>
  <c r="AR139" i="104"/>
  <c r="AR74" i="104" s="1"/>
  <c r="AS139" i="103"/>
  <c r="AS74" i="103" s="1"/>
  <c r="AE139" i="104"/>
  <c r="AE74" i="104" s="1"/>
  <c r="AJ74" i="105" s="1"/>
  <c r="AE38" i="151" s="1"/>
  <c r="AA139" i="104"/>
  <c r="AA74" i="104" s="1"/>
  <c r="AX139" i="104"/>
  <c r="AX74" i="104" s="1"/>
  <c r="AU139" i="104"/>
  <c r="AU74" i="104" s="1"/>
  <c r="AQ139" i="104"/>
  <c r="AQ74" i="104" s="1"/>
  <c r="AQ139" i="103"/>
  <c r="AQ74" i="103" s="1"/>
  <c r="L74" i="99"/>
  <c r="L139" i="99" s="1"/>
  <c r="AZ139" i="103"/>
  <c r="AZ74" i="103" s="1"/>
  <c r="AZ139" i="104"/>
  <c r="AZ74" i="104" s="1"/>
  <c r="AE139" i="99"/>
  <c r="AU139" i="103"/>
  <c r="AU74" i="103" s="1"/>
  <c r="AJ139" i="104"/>
  <c r="AJ74" i="104" s="1"/>
  <c r="J74" i="99"/>
  <c r="J139" i="99" s="1"/>
  <c r="BI139" i="103"/>
  <c r="BI74" i="103" s="1"/>
  <c r="BQ114" i="99"/>
  <c r="AC113" i="99"/>
  <c r="BL114" i="104"/>
  <c r="BL49" i="104" s="1"/>
  <c r="BG116" i="99"/>
  <c r="BD122" i="103"/>
  <c r="BD57" i="103" s="1"/>
  <c r="BS122" i="103"/>
  <c r="BS57" i="103" s="1"/>
  <c r="BS59" i="103" s="1"/>
  <c r="Y59" i="99"/>
  <c r="Y124" i="99" s="1"/>
  <c r="BQ109" i="104"/>
  <c r="BQ44" i="104" s="1"/>
  <c r="BV44" i="105" s="1"/>
  <c r="BL59" i="99"/>
  <c r="BL124" i="99" s="1"/>
  <c r="BJ139" i="104"/>
  <c r="BJ74" i="104" s="1"/>
  <c r="BL114" i="103"/>
  <c r="BL49" i="103" s="1"/>
  <c r="AK52" i="99"/>
  <c r="AK117" i="103" s="1"/>
  <c r="AI139" i="104"/>
  <c r="AI74" i="104" s="1"/>
  <c r="W59" i="99"/>
  <c r="W124" i="103" s="1"/>
  <c r="BQ139" i="104"/>
  <c r="BQ74" i="104" s="1"/>
  <c r="W123" i="99"/>
  <c r="AX122" i="104"/>
  <c r="AX57" i="104" s="1"/>
  <c r="AI122" i="104"/>
  <c r="AI57" i="104" s="1"/>
  <c r="AN115" i="99"/>
  <c r="BC59" i="99"/>
  <c r="BC124" i="104" s="1"/>
  <c r="AN115" i="103"/>
  <c r="AN50" i="103" s="1"/>
  <c r="BL113" i="99"/>
  <c r="AX122" i="99"/>
  <c r="BI109" i="104"/>
  <c r="BI44" i="104" s="1"/>
  <c r="BN44" i="105" s="1"/>
  <c r="BC122" i="104"/>
  <c r="BC57" i="104" s="1"/>
  <c r="T116" i="104"/>
  <c r="T51" i="104" s="1"/>
  <c r="Y51" i="105" s="1"/>
  <c r="BH123" i="103"/>
  <c r="BH58" i="103" s="1"/>
  <c r="BE113" i="99"/>
  <c r="BL123" i="103"/>
  <c r="BL58" i="103" s="1"/>
  <c r="BQ58" i="105" s="1"/>
  <c r="BT59" i="99"/>
  <c r="BT124" i="103" s="1"/>
  <c r="AR122" i="104"/>
  <c r="AR57" i="104" s="1"/>
  <c r="AF133" i="103"/>
  <c r="AW113" i="99"/>
  <c r="AS123" i="104"/>
  <c r="AS58" i="104" s="1"/>
  <c r="AX58" i="105" s="1"/>
  <c r="BM139" i="103"/>
  <c r="BM74" i="103" s="1"/>
  <c r="BV122" i="104"/>
  <c r="BV57" i="104" s="1"/>
  <c r="BV59" i="104" s="1"/>
  <c r="BQ109" i="99"/>
  <c r="BH59" i="99"/>
  <c r="BH124" i="103" s="1"/>
  <c r="BC133" i="104"/>
  <c r="BC68" i="104" s="1"/>
  <c r="BE113" i="104"/>
  <c r="BE48" i="104" s="1"/>
  <c r="BJ48" i="105" s="1"/>
  <c r="L48" i="99"/>
  <c r="L113" i="103" s="1"/>
  <c r="AS123" i="99"/>
  <c r="BU109" i="99"/>
  <c r="AW139" i="103"/>
  <c r="AW74" i="103" s="1"/>
  <c r="V139" i="104"/>
  <c r="V74" i="104" s="1"/>
  <c r="BQ139" i="103"/>
  <c r="BQ74" i="103" s="1"/>
  <c r="BL113" i="104"/>
  <c r="BL48" i="104" s="1"/>
  <c r="BQ48" i="105" s="1"/>
  <c r="AS113" i="99"/>
  <c r="BL123" i="99"/>
  <c r="W133" i="104"/>
  <c r="W68" i="104" s="1"/>
  <c r="R116" i="104"/>
  <c r="R51" i="104" s="1"/>
  <c r="BG114" i="104"/>
  <c r="BG49" i="104" s="1"/>
  <c r="BL49" i="105" s="1"/>
  <c r="U115" i="99"/>
  <c r="M44" i="99"/>
  <c r="M109" i="99" s="1"/>
  <c r="BM139" i="104"/>
  <c r="BM74" i="104" s="1"/>
  <c r="AC109" i="104"/>
  <c r="AC44" i="104" s="1"/>
  <c r="BH116" i="104"/>
  <c r="BH51" i="104" s="1"/>
  <c r="BM51" i="105" s="1"/>
  <c r="BB123" i="104"/>
  <c r="BB58" i="104" s="1"/>
  <c r="BG58" i="105" s="1"/>
  <c r="BQ116" i="104"/>
  <c r="BQ51" i="104" s="1"/>
  <c r="BV51" i="105" s="1"/>
  <c r="AN116" i="104"/>
  <c r="AN51" i="104" s="1"/>
  <c r="AS51" i="105" s="1"/>
  <c r="AI109" i="104"/>
  <c r="AI44" i="104" s="1"/>
  <c r="AN44" i="105" s="1"/>
  <c r="BJ139" i="103"/>
  <c r="BJ74" i="103" s="1"/>
  <c r="BB123" i="99"/>
  <c r="BA114" i="99"/>
  <c r="BQ116" i="99"/>
  <c r="M74" i="99"/>
  <c r="M139" i="99" s="1"/>
  <c r="AC113" i="104"/>
  <c r="AC48" i="104" s="1"/>
  <c r="AH48" i="105" s="1"/>
  <c r="AX109" i="99"/>
  <c r="BD122" i="99"/>
  <c r="BS59" i="99"/>
  <c r="BS124" i="103" s="1"/>
  <c r="R113" i="99"/>
  <c r="AI139" i="103"/>
  <c r="AI74" i="103" s="1"/>
  <c r="BO115" i="104"/>
  <c r="BO50" i="104" s="1"/>
  <c r="BT50" i="105" s="1"/>
  <c r="BH123" i="104"/>
  <c r="BH58" i="104" s="1"/>
  <c r="BH59" i="104" s="1"/>
  <c r="BQ52" i="99"/>
  <c r="BQ117" i="103" s="1"/>
  <c r="T115" i="99"/>
  <c r="BG52" i="99"/>
  <c r="BG117" i="103" s="1"/>
  <c r="AS109" i="99"/>
  <c r="Y139" i="103"/>
  <c r="Y74" i="103" s="1"/>
  <c r="BO114" i="104"/>
  <c r="BO49" i="104" s="1"/>
  <c r="BT49" i="105" s="1"/>
  <c r="AX123" i="104"/>
  <c r="AX58" i="104" s="1"/>
  <c r="BC58" i="105" s="1"/>
  <c r="BT139" i="103"/>
  <c r="BT74" i="103" s="1"/>
  <c r="BF115" i="99"/>
  <c r="BM116" i="104"/>
  <c r="BM51" i="104" s="1"/>
  <c r="BR51" i="105" s="1"/>
  <c r="J51" i="99"/>
  <c r="J116" i="103" s="1"/>
  <c r="BR52" i="99"/>
  <c r="BR117" i="103" s="1"/>
  <c r="AV59" i="99"/>
  <c r="AI59" i="99"/>
  <c r="BM116" i="99"/>
  <c r="AI115" i="104"/>
  <c r="AI50" i="104" s="1"/>
  <c r="BA113" i="104"/>
  <c r="BA48" i="104" s="1"/>
  <c r="BF48" i="105" s="1"/>
  <c r="BS114" i="99"/>
  <c r="BH115" i="99"/>
  <c r="L49" i="99"/>
  <c r="L114" i="99" s="1"/>
  <c r="J50" i="99"/>
  <c r="J115" i="104" s="1"/>
  <c r="BU109" i="103"/>
  <c r="BU44" i="103" s="1"/>
  <c r="BZ44" i="105" s="1"/>
  <c r="X113" i="99"/>
  <c r="AG139" i="103"/>
  <c r="AG74" i="103" s="1"/>
  <c r="X113" i="104"/>
  <c r="X48" i="104" s="1"/>
  <c r="AC48" i="105" s="1"/>
  <c r="BU52" i="99"/>
  <c r="BU117" i="104" s="1"/>
  <c r="BU52" i="104" s="1"/>
  <c r="AC59" i="99"/>
  <c r="AC124" i="103" s="1"/>
  <c r="J48" i="99"/>
  <c r="J113" i="103" s="1"/>
  <c r="BH116" i="99"/>
  <c r="BC133" i="103"/>
  <c r="AN113" i="99"/>
  <c r="Z123" i="103"/>
  <c r="Z58" i="103" s="1"/>
  <c r="AE58" i="105" s="1"/>
  <c r="AO116" i="99"/>
  <c r="AP114" i="103"/>
  <c r="AP49" i="103" s="1"/>
  <c r="AU49" i="105" s="1"/>
  <c r="AU122" i="104"/>
  <c r="AU57" i="104" s="1"/>
  <c r="AQ116" i="104"/>
  <c r="AQ51" i="104" s="1"/>
  <c r="AV51" i="105" s="1"/>
  <c r="AU59" i="99"/>
  <c r="AU124" i="103" s="1"/>
  <c r="Y113" i="104"/>
  <c r="Y48" i="104" s="1"/>
  <c r="AK113" i="104"/>
  <c r="AK48" i="104" s="1"/>
  <c r="AP48" i="105" s="1"/>
  <c r="BC123" i="99"/>
  <c r="AI52" i="99"/>
  <c r="AI117" i="103" s="1"/>
  <c r="BG59" i="99"/>
  <c r="BG124" i="104" s="1"/>
  <c r="AQ123" i="99"/>
  <c r="AX139" i="103"/>
  <c r="AX74" i="103" s="1"/>
  <c r="AO115" i="99"/>
  <c r="BO139" i="103"/>
  <c r="BO74" i="103" s="1"/>
  <c r="X114" i="99"/>
  <c r="AI113" i="99"/>
  <c r="AI113" i="104"/>
  <c r="AI48" i="104" s="1"/>
  <c r="AN48" i="105" s="1"/>
  <c r="BO139" i="104"/>
  <c r="BO74" i="104" s="1"/>
  <c r="S116" i="104"/>
  <c r="S51" i="104" s="1"/>
  <c r="X51" i="105" s="1"/>
  <c r="M48" i="99"/>
  <c r="M113" i="104" s="1"/>
  <c r="AG123" i="104"/>
  <c r="AG58" i="104" s="1"/>
  <c r="AL58" i="105" s="1"/>
  <c r="AQ59" i="99"/>
  <c r="AQ124" i="103" s="1"/>
  <c r="V114" i="103"/>
  <c r="V49" i="103" s="1"/>
  <c r="AA49" i="105" s="1"/>
  <c r="AR109" i="104"/>
  <c r="AR44" i="104" s="1"/>
  <c r="AW44" i="105" s="1"/>
  <c r="BW139" i="103"/>
  <c r="BW74" i="103" s="1"/>
  <c r="BI115" i="99"/>
  <c r="AN139" i="103"/>
  <c r="AN74" i="103" s="1"/>
  <c r="BG122" i="99"/>
  <c r="Y113" i="103"/>
  <c r="Y48" i="103" s="1"/>
  <c r="AE122" i="99"/>
  <c r="AC123" i="103"/>
  <c r="AC58" i="103" s="1"/>
  <c r="AC59" i="103" s="1"/>
  <c r="X114" i="103"/>
  <c r="X49" i="103" s="1"/>
  <c r="AC49" i="105" s="1"/>
  <c r="BL109" i="99"/>
  <c r="BW139" i="104"/>
  <c r="BW74" i="104" s="1"/>
  <c r="AU109" i="104"/>
  <c r="AU44" i="104" s="1"/>
  <c r="AZ44" i="105" s="1"/>
  <c r="S109" i="99"/>
  <c r="BQ123" i="103"/>
  <c r="BQ58" i="103" s="1"/>
  <c r="BC139" i="104"/>
  <c r="BC74" i="104" s="1"/>
  <c r="AJ122" i="99"/>
  <c r="BU133" i="103"/>
  <c r="AK139" i="104"/>
  <c r="AK74" i="104" s="1"/>
  <c r="AM115" i="99"/>
  <c r="AP114" i="99"/>
  <c r="AE59" i="99"/>
  <c r="AM115" i="104"/>
  <c r="AM50" i="104" s="1"/>
  <c r="AR50" i="105" s="1"/>
  <c r="BF122" i="104"/>
  <c r="BF57" i="104" s="1"/>
  <c r="AS116" i="99"/>
  <c r="Z52" i="99"/>
  <c r="Z117" i="103" s="1"/>
  <c r="AV123" i="99"/>
  <c r="AA139" i="103"/>
  <c r="AA74" i="103" s="1"/>
  <c r="AK139" i="103"/>
  <c r="AK74" i="103" s="1"/>
  <c r="AX114" i="99"/>
  <c r="T115" i="103"/>
  <c r="T50" i="103" s="1"/>
  <c r="Y50" i="105" s="1"/>
  <c r="AS115" i="104"/>
  <c r="AS50" i="104" s="1"/>
  <c r="AX50" i="105" s="1"/>
  <c r="AC123" i="104"/>
  <c r="AC58" i="104" s="1"/>
  <c r="AD113" i="103"/>
  <c r="AD48" i="103" s="1"/>
  <c r="BV115" i="104"/>
  <c r="BV50" i="104" s="1"/>
  <c r="CA50" i="105" s="1"/>
  <c r="BU116" i="104"/>
  <c r="BU51" i="104" s="1"/>
  <c r="AU122" i="99"/>
  <c r="AV123" i="103"/>
  <c r="AV58" i="103" s="1"/>
  <c r="BA58" i="105" s="1"/>
  <c r="Y52" i="99"/>
  <c r="Y117" i="103" s="1"/>
  <c r="BS114" i="103"/>
  <c r="BS49" i="103" s="1"/>
  <c r="BX49" i="105" s="1"/>
  <c r="AK113" i="99"/>
  <c r="AL113" i="104"/>
  <c r="AL48" i="104" s="1"/>
  <c r="BC123" i="104"/>
  <c r="BC58" i="104" s="1"/>
  <c r="BH58" i="105" s="1"/>
  <c r="AO139" i="103"/>
  <c r="AO74" i="103" s="1"/>
  <c r="AP52" i="99"/>
  <c r="AP117" i="103" s="1"/>
  <c r="Z115" i="99"/>
  <c r="BD116" i="99"/>
  <c r="AQ113" i="104"/>
  <c r="AQ48" i="104" s="1"/>
  <c r="AV48" i="105" s="1"/>
  <c r="BS133" i="104"/>
  <c r="BS68" i="104" s="1"/>
  <c r="AO115" i="104"/>
  <c r="AO50" i="104" s="1"/>
  <c r="AT50" i="105" s="1"/>
  <c r="AS115" i="99"/>
  <c r="BD52" i="99"/>
  <c r="BD117" i="103" s="1"/>
  <c r="AQ113" i="99"/>
  <c r="AL52" i="99"/>
  <c r="AL117" i="103" s="1"/>
  <c r="AL113" i="103"/>
  <c r="AL48" i="103" s="1"/>
  <c r="BF122" i="99"/>
  <c r="AN139" i="104"/>
  <c r="AN74" i="104" s="1"/>
  <c r="BG122" i="103"/>
  <c r="BG57" i="103" s="1"/>
  <c r="AQ123" i="103"/>
  <c r="AQ58" i="103" s="1"/>
  <c r="AV58" i="105" s="1"/>
  <c r="AO139" i="104"/>
  <c r="AO74" i="104" s="1"/>
  <c r="BG123" i="99"/>
  <c r="BH115" i="104"/>
  <c r="BH50" i="104" s="1"/>
  <c r="BM50" i="105" s="1"/>
  <c r="BH139" i="103"/>
  <c r="BH74" i="103" s="1"/>
  <c r="R122" i="99"/>
  <c r="Z116" i="103"/>
  <c r="Z51" i="103" s="1"/>
  <c r="BG123" i="104"/>
  <c r="BG58" i="104" s="1"/>
  <c r="BL58" i="105" s="1"/>
  <c r="Z116" i="104"/>
  <c r="Z51" i="104" s="1"/>
  <c r="BM113" i="99"/>
  <c r="BM113" i="103"/>
  <c r="BM48" i="103" s="1"/>
  <c r="BR48" i="105" s="1"/>
  <c r="BO52" i="99"/>
  <c r="BO117" i="99" s="1"/>
  <c r="BO116" i="104"/>
  <c r="BO51" i="104" s="1"/>
  <c r="BT51" i="105" s="1"/>
  <c r="BH139" i="104"/>
  <c r="BH74" i="104" s="1"/>
  <c r="BR116" i="99"/>
  <c r="W115" i="99"/>
  <c r="BR116" i="104"/>
  <c r="BR51" i="104" s="1"/>
  <c r="BW51" i="105" s="1"/>
  <c r="BB122" i="99"/>
  <c r="BB122" i="103"/>
  <c r="BB57" i="103" s="1"/>
  <c r="BB59" i="103" s="1"/>
  <c r="BB122" i="104"/>
  <c r="BB57" i="104" s="1"/>
  <c r="BB59" i="99"/>
  <c r="BB124" i="103" s="1"/>
  <c r="AG59" i="99"/>
  <c r="AG124" i="99" s="1"/>
  <c r="AJ133" i="103"/>
  <c r="AJ133" i="104"/>
  <c r="AJ68" i="104" s="1"/>
  <c r="AO122" i="103"/>
  <c r="AO57" i="103" s="1"/>
  <c r="AO122" i="104"/>
  <c r="AO57" i="104" s="1"/>
  <c r="AO122" i="99"/>
  <c r="AO59" i="99"/>
  <c r="AO124" i="99" s="1"/>
  <c r="BK52" i="99"/>
  <c r="BK117" i="99" s="1"/>
  <c r="M51" i="99"/>
  <c r="M116" i="103" s="1"/>
  <c r="BK116" i="103"/>
  <c r="BK51" i="103" s="1"/>
  <c r="BK116" i="104"/>
  <c r="BK51" i="104" s="1"/>
  <c r="BK116" i="99"/>
  <c r="Z109" i="103"/>
  <c r="Z44" i="103" s="1"/>
  <c r="J44" i="99"/>
  <c r="J109" i="103" s="1"/>
  <c r="Z109" i="99"/>
  <c r="Z109" i="104"/>
  <c r="Z44" i="104" s="1"/>
  <c r="BF114" i="99"/>
  <c r="BF52" i="99"/>
  <c r="BF117" i="103" s="1"/>
  <c r="M49" i="99"/>
  <c r="M114" i="104" s="1"/>
  <c r="BF114" i="104"/>
  <c r="BF49" i="104" s="1"/>
  <c r="BF114" i="103"/>
  <c r="BF49" i="103" s="1"/>
  <c r="AT109" i="103"/>
  <c r="AT44" i="103" s="1"/>
  <c r="L44" i="99"/>
  <c r="L109" i="104" s="1"/>
  <c r="AT109" i="99"/>
  <c r="AT109" i="104"/>
  <c r="AT44" i="104" s="1"/>
  <c r="K58" i="99"/>
  <c r="K123" i="99" s="1"/>
  <c r="AK123" i="103"/>
  <c r="AK58" i="103" s="1"/>
  <c r="AK123" i="99"/>
  <c r="AK123" i="104"/>
  <c r="AK58" i="104" s="1"/>
  <c r="AK59" i="99"/>
  <c r="AK124" i="103" s="1"/>
  <c r="BF133" i="104"/>
  <c r="BF68" i="104" s="1"/>
  <c r="BF133" i="103"/>
  <c r="AH114" i="103"/>
  <c r="AH49" i="103" s="1"/>
  <c r="AH114" i="104"/>
  <c r="AH49" i="104" s="1"/>
  <c r="AH114" i="99"/>
  <c r="AH52" i="99"/>
  <c r="BM114" i="103"/>
  <c r="BM49" i="103" s="1"/>
  <c r="BM52" i="99"/>
  <c r="BM117" i="104" s="1"/>
  <c r="BM52" i="104" s="1"/>
  <c r="BM114" i="104"/>
  <c r="BM49" i="104" s="1"/>
  <c r="BM114" i="99"/>
  <c r="AB122" i="104"/>
  <c r="AB57" i="104" s="1"/>
  <c r="AB122" i="99"/>
  <c r="AB122" i="103"/>
  <c r="AB57" i="103" s="1"/>
  <c r="AB59" i="103" s="1"/>
  <c r="AB59" i="99"/>
  <c r="AD139" i="99"/>
  <c r="AD139" i="104"/>
  <c r="AD74" i="104" s="1"/>
  <c r="AD139" i="103"/>
  <c r="AD74" i="103" s="1"/>
  <c r="K74" i="99"/>
  <c r="K139" i="99" s="1"/>
  <c r="BM122" i="103"/>
  <c r="BM57" i="103" s="1"/>
  <c r="BM122" i="99"/>
  <c r="BM122" i="104"/>
  <c r="BM57" i="104" s="1"/>
  <c r="BM59" i="99"/>
  <c r="T52" i="99"/>
  <c r="T117" i="99" s="1"/>
  <c r="T114" i="103"/>
  <c r="T49" i="103" s="1"/>
  <c r="T114" i="99"/>
  <c r="T114" i="104"/>
  <c r="T49" i="104" s="1"/>
  <c r="U123" i="103"/>
  <c r="U58" i="103" s="1"/>
  <c r="U123" i="99"/>
  <c r="U123" i="104"/>
  <c r="U58" i="104" s="1"/>
  <c r="U59" i="99"/>
  <c r="U124" i="99" s="1"/>
  <c r="AH133" i="104"/>
  <c r="AH68" i="104" s="1"/>
  <c r="AH133" i="103"/>
  <c r="BN113" i="103"/>
  <c r="BN48" i="103" s="1"/>
  <c r="BN113" i="104"/>
  <c r="BN48" i="104" s="1"/>
  <c r="BN113" i="99"/>
  <c r="BN52" i="99"/>
  <c r="BN117" i="104" s="1"/>
  <c r="BN52" i="104" s="1"/>
  <c r="AE109" i="103"/>
  <c r="AE44" i="103" s="1"/>
  <c r="AE109" i="104"/>
  <c r="AE44" i="104" s="1"/>
  <c r="AE109" i="99"/>
  <c r="BW109" i="103"/>
  <c r="BW44" i="103" s="1"/>
  <c r="BW109" i="99"/>
  <c r="BW109" i="104"/>
  <c r="BW44" i="104" s="1"/>
  <c r="AY122" i="103"/>
  <c r="AY57" i="103" s="1"/>
  <c r="AY122" i="99"/>
  <c r="AY122" i="104"/>
  <c r="AY57" i="104" s="1"/>
  <c r="AY59" i="104" s="1"/>
  <c r="AY59" i="99"/>
  <c r="X123" i="103"/>
  <c r="X58" i="103" s="1"/>
  <c r="X123" i="99"/>
  <c r="X123" i="104"/>
  <c r="X58" i="104" s="1"/>
  <c r="X59" i="99"/>
  <c r="X124" i="99" s="1"/>
  <c r="BF59" i="99"/>
  <c r="BF124" i="99" s="1"/>
  <c r="BU139" i="99"/>
  <c r="BU139" i="103"/>
  <c r="BU74" i="103" s="1"/>
  <c r="BU139" i="104"/>
  <c r="BU74" i="104" s="1"/>
  <c r="N74" i="99"/>
  <c r="N139" i="99" s="1"/>
  <c r="P139" i="99" s="1"/>
  <c r="BE139" i="99"/>
  <c r="BE139" i="103"/>
  <c r="BE74" i="103" s="1"/>
  <c r="BE139" i="104"/>
  <c r="BE74" i="104" s="1"/>
  <c r="W333" i="99"/>
  <c r="W343" i="99" s="1"/>
  <c r="W202" i="99"/>
  <c r="S333" i="99"/>
  <c r="S343" i="99" s="1"/>
  <c r="S202" i="99"/>
  <c r="AT115" i="103"/>
  <c r="AT50" i="103" s="1"/>
  <c r="AY50" i="105" s="1"/>
  <c r="AT115" i="99"/>
  <c r="BB294" i="155"/>
  <c r="BB318" i="155" s="1"/>
  <c r="BK286" i="155"/>
  <c r="BV342" i="154"/>
  <c r="BV344" i="154" s="1"/>
  <c r="BV43" i="154" s="1"/>
  <c r="BV334" i="154"/>
  <c r="BG250" i="155"/>
  <c r="BX209" i="155"/>
  <c r="BX217" i="155"/>
  <c r="AY294" i="154"/>
  <c r="AY288" i="154"/>
  <c r="BQ115" i="103"/>
  <c r="BQ50" i="103" s="1"/>
  <c r="BQ115" i="104"/>
  <c r="BQ50" i="104" s="1"/>
  <c r="BQ115" i="99"/>
  <c r="AR115" i="104"/>
  <c r="AR50" i="104" s="1"/>
  <c r="AR115" i="103"/>
  <c r="AR50" i="103" s="1"/>
  <c r="AR115" i="99"/>
  <c r="BO113" i="103"/>
  <c r="BO48" i="103" s="1"/>
  <c r="BO113" i="99"/>
  <c r="BX139" i="99"/>
  <c r="BX139" i="104"/>
  <c r="BX74" i="104" s="1"/>
  <c r="BX139" i="103"/>
  <c r="BX74" i="103" s="1"/>
  <c r="T333" i="99"/>
  <c r="T343" i="99" s="1"/>
  <c r="T202" i="99"/>
  <c r="AQ114" i="103"/>
  <c r="AQ49" i="103" s="1"/>
  <c r="AQ52" i="103" s="1"/>
  <c r="AQ114" i="99"/>
  <c r="AQ114" i="104"/>
  <c r="AQ49" i="104" s="1"/>
  <c r="BJ242" i="154"/>
  <c r="BJ211" i="154"/>
  <c r="BK242" i="155"/>
  <c r="BU344" i="154"/>
  <c r="BU43" i="154" s="1"/>
  <c r="BU334" i="154"/>
  <c r="BV217" i="154"/>
  <c r="BV209" i="154"/>
  <c r="BV203" i="154"/>
  <c r="BX342" i="155"/>
  <c r="BK139" i="99"/>
  <c r="BK139" i="104"/>
  <c r="BK74" i="104" s="1"/>
  <c r="BP74" i="105" s="1"/>
  <c r="BK38" i="151" s="1"/>
  <c r="BN123" i="103"/>
  <c r="BN58" i="103" s="1"/>
  <c r="BN59" i="103" s="1"/>
  <c r="BN123" i="104"/>
  <c r="BN58" i="104" s="1"/>
  <c r="BN123" i="99"/>
  <c r="BR113" i="104"/>
  <c r="BR48" i="104" s="1"/>
  <c r="BR113" i="103"/>
  <c r="BR48" i="103" s="1"/>
  <c r="BJ286" i="154"/>
  <c r="BJ219" i="154"/>
  <c r="BU203" i="154"/>
  <c r="BH250" i="154"/>
  <c r="BH244" i="154"/>
  <c r="BL286" i="154"/>
  <c r="BL219" i="154"/>
  <c r="BY139" i="104"/>
  <c r="BY74" i="104" s="1"/>
  <c r="BY139" i="103"/>
  <c r="BY74" i="103" s="1"/>
  <c r="BY139" i="99"/>
  <c r="AY109" i="103"/>
  <c r="AY44" i="103" s="1"/>
  <c r="AY109" i="99"/>
  <c r="AY109" i="104"/>
  <c r="AY44" i="104" s="1"/>
  <c r="BH122" i="99"/>
  <c r="BH122" i="103"/>
  <c r="BH57" i="103" s="1"/>
  <c r="AZ294" i="155"/>
  <c r="AZ310" i="155" s="1"/>
  <c r="BE294" i="155"/>
  <c r="BE318" i="155" s="1"/>
  <c r="BL242" i="154"/>
  <c r="BL211" i="154"/>
  <c r="BW209" i="154"/>
  <c r="BW217" i="154"/>
  <c r="BW203" i="154"/>
  <c r="AQ133" i="104"/>
  <c r="AQ68" i="104" s="1"/>
  <c r="AQ133" i="103"/>
  <c r="AT122" i="103"/>
  <c r="AT57" i="103" s="1"/>
  <c r="AT122" i="104"/>
  <c r="AT57" i="104" s="1"/>
  <c r="AT59" i="104" s="1"/>
  <c r="AT122" i="99"/>
  <c r="BF116" i="99"/>
  <c r="BF116" i="103"/>
  <c r="BF51" i="103" s="1"/>
  <c r="BF116" i="104"/>
  <c r="BF51" i="104" s="1"/>
  <c r="BI250" i="155"/>
  <c r="BD294" i="155"/>
  <c r="BD310" i="155" s="1"/>
  <c r="BH294" i="155"/>
  <c r="BH310" i="155" s="1"/>
  <c r="BW342" i="154"/>
  <c r="BW344" i="154" s="1"/>
  <c r="BW43" i="154" s="1"/>
  <c r="BW334" i="154"/>
  <c r="AM139" i="99"/>
  <c r="AM139" i="104"/>
  <c r="AM74" i="104" s="1"/>
  <c r="AM139" i="103"/>
  <c r="AM74" i="103" s="1"/>
  <c r="AH116" i="104"/>
  <c r="AH51" i="104" s="1"/>
  <c r="AH116" i="103"/>
  <c r="AH51" i="103" s="1"/>
  <c r="U122" i="104"/>
  <c r="U57" i="104" s="1"/>
  <c r="U122" i="99"/>
  <c r="U122" i="103"/>
  <c r="U57" i="103" s="1"/>
  <c r="AQ109" i="99"/>
  <c r="AQ109" i="103"/>
  <c r="AQ44" i="103" s="1"/>
  <c r="AV44" i="105" s="1"/>
  <c r="BI250" i="154"/>
  <c r="BI244" i="154"/>
  <c r="BE250" i="155"/>
  <c r="AY250" i="154"/>
  <c r="AY244" i="154"/>
  <c r="BC250" i="154"/>
  <c r="BC244" i="154"/>
  <c r="BS115" i="104"/>
  <c r="BS50" i="104" s="1"/>
  <c r="BS115" i="103"/>
  <c r="BS50" i="103" s="1"/>
  <c r="AY114" i="103"/>
  <c r="AY49" i="103" s="1"/>
  <c r="AY114" i="99"/>
  <c r="AY114" i="104"/>
  <c r="AY49" i="104" s="1"/>
  <c r="BW115" i="103"/>
  <c r="BW50" i="103" s="1"/>
  <c r="BW115" i="99"/>
  <c r="BW115" i="104"/>
  <c r="BW50" i="104" s="1"/>
  <c r="BF294" i="154"/>
  <c r="BF310" i="154" s="1"/>
  <c r="BF288" i="154"/>
  <c r="Y202" i="99"/>
  <c r="Y333" i="99"/>
  <c r="Y343" i="99" s="1"/>
  <c r="BV113" i="103"/>
  <c r="BV48" i="103" s="1"/>
  <c r="CA48" i="105" s="1"/>
  <c r="BV113" i="99"/>
  <c r="BG113" i="103"/>
  <c r="BG48" i="103" s="1"/>
  <c r="BG113" i="99"/>
  <c r="BG113" i="104"/>
  <c r="BG48" i="104" s="1"/>
  <c r="BU115" i="103"/>
  <c r="BU50" i="103" s="1"/>
  <c r="BU115" i="99"/>
  <c r="BU115" i="104"/>
  <c r="BU50" i="104" s="1"/>
  <c r="AL109" i="104"/>
  <c r="AL44" i="104" s="1"/>
  <c r="AL109" i="103"/>
  <c r="AL44" i="103" s="1"/>
  <c r="AL109" i="99"/>
  <c r="BB294" i="154"/>
  <c r="BB318" i="154" s="1"/>
  <c r="BB320" i="154" s="1"/>
  <c r="BB35" i="154" s="1"/>
  <c r="BB288" i="154"/>
  <c r="BA250" i="154"/>
  <c r="BA244" i="154"/>
  <c r="BW209" i="155"/>
  <c r="BW217" i="155"/>
  <c r="BA250" i="155"/>
  <c r="AQ122" i="103"/>
  <c r="AQ57" i="103" s="1"/>
  <c r="AQ122" i="104"/>
  <c r="AQ57" i="104" s="1"/>
  <c r="AQ59" i="104" s="1"/>
  <c r="U333" i="99"/>
  <c r="U343" i="99" s="1"/>
  <c r="U202" i="99"/>
  <c r="R202" i="99"/>
  <c r="R333" i="99"/>
  <c r="R343" i="99" s="1"/>
  <c r="AJ116" i="103"/>
  <c r="AJ51" i="103" s="1"/>
  <c r="AJ116" i="99"/>
  <c r="AJ116" i="104"/>
  <c r="AJ51" i="104" s="1"/>
  <c r="BS203" i="154"/>
  <c r="BW342" i="155"/>
  <c r="BJ113" i="103"/>
  <c r="BJ48" i="103" s="1"/>
  <c r="BJ113" i="99"/>
  <c r="BJ113" i="104"/>
  <c r="BJ48" i="104" s="1"/>
  <c r="BC294" i="155"/>
  <c r="BC318" i="155" s="1"/>
  <c r="AZ294" i="154"/>
  <c r="AZ310" i="154" s="1"/>
  <c r="AZ312" i="154" s="1"/>
  <c r="AZ33" i="154" s="1"/>
  <c r="AZ98" i="154" s="1"/>
  <c r="AZ288" i="154"/>
  <c r="BS344" i="154"/>
  <c r="BS43" i="154" s="1"/>
  <c r="BS334" i="154"/>
  <c r="BL242" i="155"/>
  <c r="BS139" i="99"/>
  <c r="BS139" i="104"/>
  <c r="BS74" i="104" s="1"/>
  <c r="BS139" i="103"/>
  <c r="BS74" i="103" s="1"/>
  <c r="BI123" i="99"/>
  <c r="BI123" i="103"/>
  <c r="BI58" i="103" s="1"/>
  <c r="BN58" i="105" s="1"/>
  <c r="AE123" i="103"/>
  <c r="AE58" i="103" s="1"/>
  <c r="AE59" i="103" s="1"/>
  <c r="AE123" i="99"/>
  <c r="AE123" i="104"/>
  <c r="AE58" i="104" s="1"/>
  <c r="BG294" i="155"/>
  <c r="BW116" i="103"/>
  <c r="BW51" i="103" s="1"/>
  <c r="BW116" i="99"/>
  <c r="BW116" i="104"/>
  <c r="BW51" i="104" s="1"/>
  <c r="BL286" i="155"/>
  <c r="AF139" i="99"/>
  <c r="AF139" i="103"/>
  <c r="AF74" i="103" s="1"/>
  <c r="AK74" i="105" s="1"/>
  <c r="AF38" i="151" s="1"/>
  <c r="BF109" i="104"/>
  <c r="BF44" i="104" s="1"/>
  <c r="BK44" i="105" s="1"/>
  <c r="BF109" i="99"/>
  <c r="AT139" i="99"/>
  <c r="AT139" i="103"/>
  <c r="AT74" i="103" s="1"/>
  <c r="AT139" i="104"/>
  <c r="AT74" i="104" s="1"/>
  <c r="BW122" i="103"/>
  <c r="BW57" i="103" s="1"/>
  <c r="BW59" i="103" s="1"/>
  <c r="BW122" i="104"/>
  <c r="BW57" i="104" s="1"/>
  <c r="BW122" i="99"/>
  <c r="BI294" i="155"/>
  <c r="BI310" i="155" s="1"/>
  <c r="AX250" i="154"/>
  <c r="AX244" i="154"/>
  <c r="BA294" i="155"/>
  <c r="BA310" i="155" s="1"/>
  <c r="BK286" i="154"/>
  <c r="BK219" i="154"/>
  <c r="BL139" i="99"/>
  <c r="BL139" i="104"/>
  <c r="BL74" i="104" s="1"/>
  <c r="BQ74" i="105" s="1"/>
  <c r="BL38" i="151" s="1"/>
  <c r="BG139" i="99"/>
  <c r="BG139" i="103"/>
  <c r="BG74" i="103" s="1"/>
  <c r="BG139" i="104"/>
  <c r="BG74" i="104" s="1"/>
  <c r="BD109" i="103"/>
  <c r="BD44" i="103" s="1"/>
  <c r="BD109" i="104"/>
  <c r="BD44" i="104" s="1"/>
  <c r="BO109" i="104"/>
  <c r="BO44" i="104" s="1"/>
  <c r="BO109" i="103"/>
  <c r="BO44" i="103" s="1"/>
  <c r="BG250" i="154"/>
  <c r="BG244" i="154"/>
  <c r="BF294" i="155"/>
  <c r="BF310" i="155" s="1"/>
  <c r="AX250" i="155"/>
  <c r="BV342" i="155"/>
  <c r="BD250" i="155"/>
  <c r="BR344" i="154"/>
  <c r="BR43" i="154" s="1"/>
  <c r="BR334" i="154"/>
  <c r="BJ286" i="155"/>
  <c r="BC294" i="154"/>
  <c r="BC310" i="154" s="1"/>
  <c r="BC312" i="154" s="1"/>
  <c r="BC33" i="154" s="1"/>
  <c r="BC98" i="154" s="1"/>
  <c r="BC288" i="154"/>
  <c r="BK242" i="154"/>
  <c r="BK211" i="154"/>
  <c r="AV139" i="99"/>
  <c r="AV139" i="104"/>
  <c r="AV74" i="104" s="1"/>
  <c r="AV139" i="103"/>
  <c r="AV74" i="103" s="1"/>
  <c r="X333" i="99"/>
  <c r="X343" i="99" s="1"/>
  <c r="X202" i="99"/>
  <c r="X122" i="103"/>
  <c r="X57" i="103" s="1"/>
  <c r="X122" i="104"/>
  <c r="X57" i="104" s="1"/>
  <c r="X122" i="99"/>
  <c r="AJ115" i="104"/>
  <c r="AJ50" i="104" s="1"/>
  <c r="AJ115" i="103"/>
  <c r="AJ50" i="103" s="1"/>
  <c r="AJ115" i="99"/>
  <c r="BL122" i="99"/>
  <c r="BL122" i="104"/>
  <c r="BL57" i="104" s="1"/>
  <c r="BV217" i="155"/>
  <c r="BV209" i="155"/>
  <c r="BD250" i="154"/>
  <c r="BD244" i="154"/>
  <c r="BR203" i="154"/>
  <c r="BJ242" i="155"/>
  <c r="AP113" i="103"/>
  <c r="AP48" i="103" s="1"/>
  <c r="AP113" i="104"/>
  <c r="AP48" i="104" s="1"/>
  <c r="AP113" i="99"/>
  <c r="R133" i="104"/>
  <c r="R68" i="104" s="1"/>
  <c r="R133" i="99"/>
  <c r="BB250" i="154"/>
  <c r="BB244" i="154"/>
  <c r="BT344" i="154"/>
  <c r="BT43" i="154" s="1"/>
  <c r="BT334" i="154"/>
  <c r="AX294" i="155"/>
  <c r="AY294" i="155"/>
  <c r="AY302" i="155" s="1"/>
  <c r="V115" i="103"/>
  <c r="V50" i="103" s="1"/>
  <c r="V115" i="104"/>
  <c r="V50" i="104" s="1"/>
  <c r="V115" i="99"/>
  <c r="BT203" i="154"/>
  <c r="BX217" i="154"/>
  <c r="BX209" i="154"/>
  <c r="BX203" i="154"/>
  <c r="BR123" i="104"/>
  <c r="BR58" i="104" s="1"/>
  <c r="BR123" i="103"/>
  <c r="BR58" i="103" s="1"/>
  <c r="BR59" i="103" s="1"/>
  <c r="BC250" i="155"/>
  <c r="BF250" i="155"/>
  <c r="BX334" i="154"/>
  <c r="BX342" i="154"/>
  <c r="BX344" i="154" s="1"/>
  <c r="BX43" i="154" s="1"/>
  <c r="BW114" i="103"/>
  <c r="BW49" i="103" s="1"/>
  <c r="CB49" i="105" s="1"/>
  <c r="BW114" i="99"/>
  <c r="Z133" i="104"/>
  <c r="Z68" i="104" s="1"/>
  <c r="Z133" i="103"/>
  <c r="BE294" i="154"/>
  <c r="BE318" i="154" s="1"/>
  <c r="BE320" i="154" s="1"/>
  <c r="BE35" i="154" s="1"/>
  <c r="BE100" i="154" s="1"/>
  <c r="BE288" i="154"/>
  <c r="BE250" i="154"/>
  <c r="BE244" i="154"/>
  <c r="AX294" i="154"/>
  <c r="AX302" i="154" s="1"/>
  <c r="AX304" i="154" s="1"/>
  <c r="AX32" i="154" s="1"/>
  <c r="AX288" i="154"/>
  <c r="BH250" i="155"/>
  <c r="AA122" i="99"/>
  <c r="AA122" i="103"/>
  <c r="AA57" i="103" s="1"/>
  <c r="AA122" i="104"/>
  <c r="AA57" i="104" s="1"/>
  <c r="AO123" i="104"/>
  <c r="AO58" i="104" s="1"/>
  <c r="AO123" i="103"/>
  <c r="AO58" i="103" s="1"/>
  <c r="AO123" i="99"/>
  <c r="BM123" i="103"/>
  <c r="BM58" i="103" s="1"/>
  <c r="BM123" i="104"/>
  <c r="BM58" i="104" s="1"/>
  <c r="BD294" i="154"/>
  <c r="BD288" i="154"/>
  <c r="BD133" i="104"/>
  <c r="BD68" i="104" s="1"/>
  <c r="BD133" i="103"/>
  <c r="BP139" i="99"/>
  <c r="BP139" i="103"/>
  <c r="BP74" i="103" s="1"/>
  <c r="BP139" i="104"/>
  <c r="BP74" i="104" s="1"/>
  <c r="AM133" i="104"/>
  <c r="AM68" i="104" s="1"/>
  <c r="AM133" i="103"/>
  <c r="BH258" i="153"/>
  <c r="BH467" i="153"/>
  <c r="BA294" i="154"/>
  <c r="BA310" i="154" s="1"/>
  <c r="BA312" i="154" s="1"/>
  <c r="BA33" i="154" s="1"/>
  <c r="BA98" i="154" s="1"/>
  <c r="BA288" i="154"/>
  <c r="BG294" i="154"/>
  <c r="BG310" i="154" s="1"/>
  <c r="BG312" i="154" s="1"/>
  <c r="BG33" i="154" s="1"/>
  <c r="BG98" i="154" s="1"/>
  <c r="BG288" i="154"/>
  <c r="BH302" i="153"/>
  <c r="BI294" i="154"/>
  <c r="BI288" i="154"/>
  <c r="AY250" i="155"/>
  <c r="BB114" i="103"/>
  <c r="BB49" i="103" s="1"/>
  <c r="BB114" i="99"/>
  <c r="BB114" i="104"/>
  <c r="BB49" i="104" s="1"/>
  <c r="BA139" i="99"/>
  <c r="BA139" i="104"/>
  <c r="BA74" i="104" s="1"/>
  <c r="BA139" i="103"/>
  <c r="BA74" i="103" s="1"/>
  <c r="V202" i="99"/>
  <c r="V333" i="99"/>
  <c r="V343" i="99" s="1"/>
  <c r="AZ250" i="155"/>
  <c r="AZ250" i="154"/>
  <c r="AZ244" i="154"/>
  <c r="BP203" i="154"/>
  <c r="BF250" i="154"/>
  <c r="BF244" i="154"/>
  <c r="BH294" i="154"/>
  <c r="BH310" i="154" s="1"/>
  <c r="BH312" i="154" s="1"/>
  <c r="BH33" i="154" s="1"/>
  <c r="BH98" i="154" s="1"/>
  <c r="BH288" i="154"/>
  <c r="BT113" i="103"/>
  <c r="BT48" i="103" s="1"/>
  <c r="BT113" i="99"/>
  <c r="BT113" i="104"/>
  <c r="BT48" i="104" s="1"/>
  <c r="AJ123" i="103"/>
  <c r="AJ58" i="103" s="1"/>
  <c r="AJ59" i="103" s="1"/>
  <c r="AJ123" i="99"/>
  <c r="AJ123" i="104"/>
  <c r="AJ58" i="104" s="1"/>
  <c r="BB250" i="155"/>
  <c r="BP344" i="154"/>
  <c r="BP43" i="154" s="1"/>
  <c r="BP334" i="154"/>
  <c r="AA52" i="103"/>
  <c r="BA52" i="103"/>
  <c r="BE52" i="103"/>
  <c r="R293" i="99"/>
  <c r="R309" i="99" s="1"/>
  <c r="R249" i="99"/>
  <c r="R248" i="99"/>
  <c r="R292" i="99"/>
  <c r="R300" i="99" s="1"/>
  <c r="R250" i="99"/>
  <c r="R291" i="99"/>
  <c r="R315" i="99" s="1"/>
  <c r="R294" i="99"/>
  <c r="R310" i="99" s="1"/>
  <c r="R247" i="99"/>
  <c r="BP294" i="155"/>
  <c r="BP302" i="155" s="1"/>
  <c r="BN294" i="154"/>
  <c r="BN296" i="154" s="1"/>
  <c r="BN31" i="154" s="1"/>
  <c r="BN288" i="154"/>
  <c r="BM250" i="155"/>
  <c r="BM294" i="155"/>
  <c r="BM310" i="155" s="1"/>
  <c r="BO294" i="155"/>
  <c r="BO302" i="155" s="1"/>
  <c r="BN250" i="155"/>
  <c r="BQ294" i="155"/>
  <c r="BQ302" i="155" s="1"/>
  <c r="BO250" i="154"/>
  <c r="BO244" i="154"/>
  <c r="BN244" i="154"/>
  <c r="BN250" i="154"/>
  <c r="BN294" i="155"/>
  <c r="BN318" i="155" s="1"/>
  <c r="BP294" i="154"/>
  <c r="BP318" i="154" s="1"/>
  <c r="BM294" i="154"/>
  <c r="BM310" i="154" s="1"/>
  <c r="BM288" i="154"/>
  <c r="BQ250" i="154"/>
  <c r="BQ244" i="154"/>
  <c r="BQ250" i="155"/>
  <c r="BO294" i="154"/>
  <c r="BO302" i="154" s="1"/>
  <c r="BO304" i="154" s="1"/>
  <c r="BO32" i="154" s="1"/>
  <c r="BO97" i="154" s="1"/>
  <c r="BO288" i="154"/>
  <c r="BM250" i="154"/>
  <c r="BM244" i="154"/>
  <c r="BP250" i="155"/>
  <c r="BQ288" i="154"/>
  <c r="BQ294" i="154"/>
  <c r="BQ318" i="154" s="1"/>
  <c r="BO250" i="155"/>
  <c r="BP250" i="154"/>
  <c r="BS294" i="155"/>
  <c r="BS302" i="155" s="1"/>
  <c r="BR250" i="154"/>
  <c r="BS250" i="154"/>
  <c r="BR294" i="154"/>
  <c r="BR310" i="154" s="1"/>
  <c r="BT250" i="155"/>
  <c r="BR250" i="155"/>
  <c r="BU294" i="154"/>
  <c r="BU318" i="154" s="1"/>
  <c r="BR294" i="155"/>
  <c r="BR310" i="155" s="1"/>
  <c r="BS294" i="154"/>
  <c r="BS302" i="154" s="1"/>
  <c r="BU294" i="155"/>
  <c r="BU302" i="155" s="1"/>
  <c r="BS250" i="155"/>
  <c r="BT294" i="155"/>
  <c r="BT302" i="155" s="1"/>
  <c r="BU250" i="154"/>
  <c r="BU250" i="155"/>
  <c r="BT250" i="154"/>
  <c r="BT294" i="154"/>
  <c r="BY219" i="154"/>
  <c r="BY211" i="154"/>
  <c r="BW593" i="99"/>
  <c r="BW594" i="99" s="1"/>
  <c r="AJ207" i="99"/>
  <c r="AJ240" i="99" s="1"/>
  <c r="AJ248" i="99" s="1"/>
  <c r="BY133" i="104"/>
  <c r="BY68" i="104" s="1"/>
  <c r="BY133" i="103"/>
  <c r="W274" i="153"/>
  <c r="T318" i="153"/>
  <c r="AP310" i="153"/>
  <c r="X183" i="153"/>
  <c r="V302" i="153"/>
  <c r="AL318" i="153"/>
  <c r="W183" i="153"/>
  <c r="BW223" i="99"/>
  <c r="BW544" i="99"/>
  <c r="BW608" i="99" s="1"/>
  <c r="AU199" i="99"/>
  <c r="AU215" i="99" s="1"/>
  <c r="AU284" i="99" s="1"/>
  <c r="BY123" i="104"/>
  <c r="BY58" i="104" s="1"/>
  <c r="BY58" i="103"/>
  <c r="BX113" i="104"/>
  <c r="BX48" i="104" s="1"/>
  <c r="BX48" i="103"/>
  <c r="BX52" i="103" s="1"/>
  <c r="N49" i="99"/>
  <c r="BY114" i="104"/>
  <c r="BY49" i="104" s="1"/>
  <c r="BY122" i="104"/>
  <c r="BY57" i="104" s="1"/>
  <c r="N50" i="99"/>
  <c r="N115" i="103" s="1"/>
  <c r="P115" i="103" s="1"/>
  <c r="BY115" i="104"/>
  <c r="BY50" i="104" s="1"/>
  <c r="BY50" i="103"/>
  <c r="BY109" i="104"/>
  <c r="BY44" i="104" s="1"/>
  <c r="BY44" i="103"/>
  <c r="AW330" i="99"/>
  <c r="AW340" i="99" s="1"/>
  <c r="BY116" i="104"/>
  <c r="BY51" i="104" s="1"/>
  <c r="BY51" i="103"/>
  <c r="AL302" i="153"/>
  <c r="AR258" i="153"/>
  <c r="AP318" i="153"/>
  <c r="W302" i="153"/>
  <c r="AM258" i="153"/>
  <c r="V274" i="153"/>
  <c r="AN310" i="153"/>
  <c r="AM274" i="153"/>
  <c r="AW258" i="153"/>
  <c r="AL266" i="153"/>
  <c r="AI177" i="153"/>
  <c r="AI185" i="153" s="1"/>
  <c r="AK185" i="153"/>
  <c r="AK183" i="153"/>
  <c r="AV266" i="153"/>
  <c r="BI179" i="99"/>
  <c r="BI187" i="99" s="1"/>
  <c r="BI199" i="99" s="1"/>
  <c r="BH179" i="99"/>
  <c r="BH187" i="99" s="1"/>
  <c r="BH330" i="99" s="1"/>
  <c r="BH340" i="99" s="1"/>
  <c r="AU274" i="153"/>
  <c r="Y191" i="153"/>
  <c r="Y197" i="153"/>
  <c r="Y328" i="153"/>
  <c r="T266" i="153"/>
  <c r="AJ177" i="153"/>
  <c r="AJ183" i="153" s="1"/>
  <c r="AM249" i="99"/>
  <c r="AE292" i="99"/>
  <c r="AE316" i="99" s="1"/>
  <c r="AV215" i="99"/>
  <c r="AV284" i="99" s="1"/>
  <c r="AV207" i="99"/>
  <c r="AV240" i="99" s="1"/>
  <c r="AC292" i="99"/>
  <c r="AC300" i="99" s="1"/>
  <c r="AC248" i="99"/>
  <c r="AA248" i="99"/>
  <c r="AD292" i="99"/>
  <c r="AD308" i="99" s="1"/>
  <c r="AO318" i="153"/>
  <c r="U197" i="153"/>
  <c r="U328" i="153"/>
  <c r="U191" i="153"/>
  <c r="AF292" i="99"/>
  <c r="AF300" i="99" s="1"/>
  <c r="AA292" i="99"/>
  <c r="AA316" i="99" s="1"/>
  <c r="S197" i="153"/>
  <c r="S328" i="153"/>
  <c r="S191" i="153"/>
  <c r="AN215" i="99"/>
  <c r="AN284" i="99" s="1"/>
  <c r="AN207" i="99"/>
  <c r="AN240" i="99" s="1"/>
  <c r="AQ274" i="153"/>
  <c r="AM310" i="153"/>
  <c r="AU302" i="153"/>
  <c r="AJ292" i="99"/>
  <c r="AJ308" i="99" s="1"/>
  <c r="AM302" i="153"/>
  <c r="W197" i="153"/>
  <c r="W328" i="153"/>
  <c r="W191" i="153"/>
  <c r="BF330" i="99"/>
  <c r="BF340" i="99" s="1"/>
  <c r="BF199" i="99"/>
  <c r="AN266" i="153"/>
  <c r="AA185" i="153"/>
  <c r="AA183" i="153"/>
  <c r="AQ293" i="99"/>
  <c r="AQ317" i="99" s="1"/>
  <c r="BE330" i="99"/>
  <c r="BE340" i="99" s="1"/>
  <c r="BE199" i="99"/>
  <c r="AF185" i="153"/>
  <c r="AF183" i="153"/>
  <c r="X328" i="153"/>
  <c r="X197" i="153"/>
  <c r="X191" i="153"/>
  <c r="BD330" i="99"/>
  <c r="BD340" i="99" s="1"/>
  <c r="BD199" i="99"/>
  <c r="AO207" i="99"/>
  <c r="AO240" i="99" s="1"/>
  <c r="AO215" i="99"/>
  <c r="AO284" i="99" s="1"/>
  <c r="AQ177" i="153"/>
  <c r="AN177" i="153"/>
  <c r="AR177" i="153"/>
  <c r="AL177" i="153"/>
  <c r="AO177" i="153"/>
  <c r="AS177" i="153"/>
  <c r="AM177" i="153"/>
  <c r="AP177" i="153"/>
  <c r="AT177" i="153"/>
  <c r="AB183" i="153"/>
  <c r="AB185" i="153"/>
  <c r="AG292" i="99"/>
  <c r="AG316" i="99" s="1"/>
  <c r="AP249" i="99"/>
  <c r="AB292" i="99"/>
  <c r="AB308" i="99" s="1"/>
  <c r="BC330" i="99"/>
  <c r="BC340" i="99" s="1"/>
  <c r="BC199" i="99"/>
  <c r="AS215" i="99"/>
  <c r="AS284" i="99" s="1"/>
  <c r="AS207" i="99"/>
  <c r="AS240" i="99" s="1"/>
  <c r="AP293" i="99"/>
  <c r="AP309" i="99" s="1"/>
  <c r="BB330" i="99"/>
  <c r="BB340" i="99" s="1"/>
  <c r="BB199" i="99"/>
  <c r="AL215" i="99"/>
  <c r="AL284" i="99" s="1"/>
  <c r="AL207" i="99"/>
  <c r="AL240" i="99" s="1"/>
  <c r="AK248" i="99"/>
  <c r="AG185" i="153"/>
  <c r="AG183" i="153"/>
  <c r="AW207" i="99"/>
  <c r="AW240" i="99" s="1"/>
  <c r="AW215" i="99"/>
  <c r="AW284" i="99" s="1"/>
  <c r="BA199" i="99"/>
  <c r="BA330" i="99"/>
  <c r="BA340" i="99" s="1"/>
  <c r="AK292" i="99"/>
  <c r="AK316" i="99" s="1"/>
  <c r="AN249" i="99"/>
  <c r="AO266" i="153"/>
  <c r="AE185" i="153"/>
  <c r="AE183" i="153"/>
  <c r="AI292" i="99"/>
  <c r="AI300" i="99" s="1"/>
  <c r="AH292" i="99"/>
  <c r="AH316" i="99" s="1"/>
  <c r="AZ199" i="99"/>
  <c r="AZ330" i="99"/>
  <c r="AZ340" i="99" s="1"/>
  <c r="AN293" i="99"/>
  <c r="AN309" i="99" s="1"/>
  <c r="AT310" i="153"/>
  <c r="AO274" i="153"/>
  <c r="AC185" i="153"/>
  <c r="AC183" i="153"/>
  <c r="R328" i="153"/>
  <c r="R197" i="153"/>
  <c r="R191" i="153"/>
  <c r="AY199" i="99"/>
  <c r="AY330" i="99"/>
  <c r="AY340" i="99" s="1"/>
  <c r="AT302" i="153"/>
  <c r="X318" i="153"/>
  <c r="AR302" i="153"/>
  <c r="Z185" i="153"/>
  <c r="Z183" i="153"/>
  <c r="AX330" i="99"/>
  <c r="AX340" i="99" s="1"/>
  <c r="AX199" i="99"/>
  <c r="Z292" i="99"/>
  <c r="Z316" i="99" s="1"/>
  <c r="BJ179" i="99"/>
  <c r="BJ187" i="99" s="1"/>
  <c r="BK179" i="99"/>
  <c r="BK187" i="99" s="1"/>
  <c r="BL179" i="99"/>
  <c r="BL187" i="99" s="1"/>
  <c r="BM179" i="99"/>
  <c r="BM187" i="99" s="1"/>
  <c r="BN179" i="99"/>
  <c r="BN187" i="99" s="1"/>
  <c r="BP179" i="99"/>
  <c r="BP187" i="99" s="1"/>
  <c r="BO179" i="99"/>
  <c r="BO187" i="99" s="1"/>
  <c r="BQ179" i="99"/>
  <c r="BQ187" i="99" s="1"/>
  <c r="BR179" i="99"/>
  <c r="BR187" i="99" s="1"/>
  <c r="Z248" i="99"/>
  <c r="AH185" i="153"/>
  <c r="AH183" i="153"/>
  <c r="AP207" i="99"/>
  <c r="AP240" i="99" s="1"/>
  <c r="AP215" i="99"/>
  <c r="AP284" i="99" s="1"/>
  <c r="AM207" i="99"/>
  <c r="AM240" i="99" s="1"/>
  <c r="AM215" i="99"/>
  <c r="AM284" i="99" s="1"/>
  <c r="AD183" i="153"/>
  <c r="AD185" i="153"/>
  <c r="AQ207" i="99"/>
  <c r="AQ240" i="99" s="1"/>
  <c r="AQ215" i="99"/>
  <c r="AQ284" i="99" s="1"/>
  <c r="AL249" i="99"/>
  <c r="AO249" i="99"/>
  <c r="T197" i="153"/>
  <c r="T328" i="153"/>
  <c r="T191" i="153"/>
  <c r="AQ302" i="153"/>
  <c r="S274" i="153"/>
  <c r="V197" i="153"/>
  <c r="V328" i="153"/>
  <c r="V191" i="153"/>
  <c r="AL293" i="99"/>
  <c r="AL317" i="99" s="1"/>
  <c r="AO293" i="99"/>
  <c r="AO301" i="99" s="1"/>
  <c r="AQ318" i="153"/>
  <c r="AM293" i="99"/>
  <c r="AM309" i="99" s="1"/>
  <c r="AE248" i="99"/>
  <c r="S181" i="99"/>
  <c r="S189" i="99" s="1"/>
  <c r="T181" i="99"/>
  <c r="T189" i="99" s="1"/>
  <c r="Y181" i="99"/>
  <c r="Y189" i="99" s="1"/>
  <c r="W181" i="99"/>
  <c r="W189" i="99" s="1"/>
  <c r="U181" i="99"/>
  <c r="U189" i="99" s="1"/>
  <c r="V181" i="99"/>
  <c r="V189" i="99" s="1"/>
  <c r="X181" i="99"/>
  <c r="X189" i="99" s="1"/>
  <c r="AQ202" i="99"/>
  <c r="AQ333" i="99"/>
  <c r="AQ343" i="99" s="1"/>
  <c r="AP274" i="153"/>
  <c r="X266" i="153"/>
  <c r="X467" i="153"/>
  <c r="AV274" i="153"/>
  <c r="AV467" i="153"/>
  <c r="AP333" i="99"/>
  <c r="AP343" i="99" s="1"/>
  <c r="AP202" i="99"/>
  <c r="U249" i="99"/>
  <c r="AC216" i="99"/>
  <c r="AC285" i="99" s="1"/>
  <c r="AC208" i="99"/>
  <c r="AC241" i="99" s="1"/>
  <c r="AO333" i="99"/>
  <c r="AO343" i="99" s="1"/>
  <c r="AO202" i="99"/>
  <c r="V249" i="99"/>
  <c r="AP258" i="153"/>
  <c r="AP467" i="153"/>
  <c r="Y249" i="99"/>
  <c r="U293" i="99"/>
  <c r="U309" i="99" s="1"/>
  <c r="AN333" i="99"/>
  <c r="AN343" i="99" s="1"/>
  <c r="AN202" i="99"/>
  <c r="V293" i="99"/>
  <c r="V309" i="99" s="1"/>
  <c r="Y293" i="99"/>
  <c r="Y309" i="99" s="1"/>
  <c r="W318" i="153"/>
  <c r="AN318" i="153"/>
  <c r="T274" i="153"/>
  <c r="T467" i="153"/>
  <c r="W266" i="153"/>
  <c r="W467" i="153"/>
  <c r="AM202" i="99"/>
  <c r="AM333" i="99"/>
  <c r="AM343" i="99" s="1"/>
  <c r="AW274" i="153"/>
  <c r="S249" i="99"/>
  <c r="X249" i="99"/>
  <c r="U266" i="153"/>
  <c r="AS258" i="153"/>
  <c r="AL202" i="99"/>
  <c r="AL333" i="99"/>
  <c r="AL343" i="99" s="1"/>
  <c r="AW302" i="153"/>
  <c r="S293" i="99"/>
  <c r="S309" i="99" s="1"/>
  <c r="X293" i="99"/>
  <c r="X301" i="99" s="1"/>
  <c r="W175" i="99"/>
  <c r="AX182" i="99"/>
  <c r="AX190" i="99" s="1"/>
  <c r="AY182" i="99"/>
  <c r="AY190" i="99" s="1"/>
  <c r="BA182" i="99"/>
  <c r="BA190" i="99" s="1"/>
  <c r="AZ182" i="99"/>
  <c r="AZ190" i="99" s="1"/>
  <c r="BB182" i="99"/>
  <c r="BB190" i="99" s="1"/>
  <c r="BC182" i="99"/>
  <c r="BC190" i="99" s="1"/>
  <c r="BD182" i="99"/>
  <c r="BD190" i="99" s="1"/>
  <c r="BE182" i="99"/>
  <c r="BE190" i="99" s="1"/>
  <c r="BF182" i="99"/>
  <c r="BF190" i="99" s="1"/>
  <c r="BG182" i="99"/>
  <c r="BG190" i="99" s="1"/>
  <c r="BI182" i="99"/>
  <c r="BI190" i="99" s="1"/>
  <c r="BH182" i="99"/>
  <c r="BH190" i="99" s="1"/>
  <c r="AI216" i="99"/>
  <c r="AI285" i="99" s="1"/>
  <c r="AI208" i="99"/>
  <c r="AI241" i="99" s="1"/>
  <c r="AW467" i="153"/>
  <c r="AW310" i="153"/>
  <c r="U258" i="153"/>
  <c r="U467" i="153"/>
  <c r="AA216" i="99"/>
  <c r="AA285" i="99" s="1"/>
  <c r="AA208" i="99"/>
  <c r="AA241" i="99" s="1"/>
  <c r="AS274" i="153"/>
  <c r="AS467" i="153"/>
  <c r="AB216" i="99"/>
  <c r="AB285" i="99" s="1"/>
  <c r="AB208" i="99"/>
  <c r="AB241" i="99" s="1"/>
  <c r="V292" i="99"/>
  <c r="V308" i="99" s="1"/>
  <c r="AO467" i="153"/>
  <c r="AR318" i="153"/>
  <c r="X292" i="99"/>
  <c r="X308" i="99" s="1"/>
  <c r="AT258" i="153"/>
  <c r="X310" i="153"/>
  <c r="V266" i="153"/>
  <c r="V467" i="153"/>
  <c r="AV318" i="153"/>
  <c r="AM467" i="153"/>
  <c r="AK208" i="99"/>
  <c r="AK241" i="99" s="1"/>
  <c r="AK216" i="99"/>
  <c r="AK285" i="99" s="1"/>
  <c r="AV310" i="153"/>
  <c r="AT266" i="153"/>
  <c r="AT467" i="153"/>
  <c r="T293" i="99"/>
  <c r="T309" i="99" s="1"/>
  <c r="T249" i="99"/>
  <c r="U292" i="99"/>
  <c r="U300" i="99" s="1"/>
  <c r="T302" i="153"/>
  <c r="AF216" i="99"/>
  <c r="AF285" i="99" s="1"/>
  <c r="AF208" i="99"/>
  <c r="AF241" i="99" s="1"/>
  <c r="AJ218" i="99"/>
  <c r="AJ287" i="99" s="1"/>
  <c r="AJ210" i="99"/>
  <c r="AJ243" i="99" s="1"/>
  <c r="S302" i="153"/>
  <c r="V318" i="153"/>
  <c r="S266" i="153"/>
  <c r="S467" i="153"/>
  <c r="AJ216" i="99"/>
  <c r="AJ285" i="99" s="1"/>
  <c r="AJ208" i="99"/>
  <c r="AJ241" i="99" s="1"/>
  <c r="AU266" i="153"/>
  <c r="AU467" i="153"/>
  <c r="U318" i="153"/>
  <c r="AE208" i="99"/>
  <c r="AE241" i="99" s="1"/>
  <c r="AE216" i="99"/>
  <c r="AE285" i="99" s="1"/>
  <c r="AW333" i="99"/>
  <c r="AW343" i="99" s="1"/>
  <c r="AW202" i="99"/>
  <c r="W248" i="99"/>
  <c r="W249" i="99"/>
  <c r="S318" i="153"/>
  <c r="AV202" i="99"/>
  <c r="AV333" i="99"/>
  <c r="AV343" i="99" s="1"/>
  <c r="U302" i="153"/>
  <c r="W292" i="99"/>
  <c r="W300" i="99" s="1"/>
  <c r="W293" i="99"/>
  <c r="W317" i="99" s="1"/>
  <c r="AN258" i="153"/>
  <c r="AN467" i="153"/>
  <c r="AQ258" i="153"/>
  <c r="AQ467" i="153"/>
  <c r="AU202" i="99"/>
  <c r="AU333" i="99"/>
  <c r="AU343" i="99" s="1"/>
  <c r="AH208" i="99"/>
  <c r="AH241" i="99" s="1"/>
  <c r="AH216" i="99"/>
  <c r="AH285" i="99" s="1"/>
  <c r="AO310" i="153"/>
  <c r="Z216" i="99"/>
  <c r="Z285" i="99" s="1"/>
  <c r="Z208" i="99"/>
  <c r="Z241" i="99" s="1"/>
  <c r="AT202" i="99"/>
  <c r="AT333" i="99"/>
  <c r="AT343" i="99" s="1"/>
  <c r="S248" i="99"/>
  <c r="T292" i="99"/>
  <c r="T300" i="99" s="1"/>
  <c r="AS310" i="153"/>
  <c r="AS333" i="99"/>
  <c r="AS343" i="99" s="1"/>
  <c r="AS202" i="99"/>
  <c r="S292" i="99"/>
  <c r="S316" i="99" s="1"/>
  <c r="X274" i="153"/>
  <c r="AL258" i="153"/>
  <c r="AL467" i="153"/>
  <c r="AR266" i="153"/>
  <c r="AR467" i="153"/>
  <c r="AD208" i="99"/>
  <c r="AD241" i="99" s="1"/>
  <c r="AD216" i="99"/>
  <c r="AD285" i="99" s="1"/>
  <c r="AS302" i="153"/>
  <c r="AR202" i="99"/>
  <c r="AR333" i="99"/>
  <c r="AR343" i="99" s="1"/>
  <c r="AU310" i="153"/>
  <c r="AG216" i="99"/>
  <c r="AG285" i="99" s="1"/>
  <c r="AG208" i="99"/>
  <c r="AG241" i="99" s="1"/>
  <c r="X258" i="153"/>
  <c r="AF218" i="99"/>
  <c r="AF287" i="99" s="1"/>
  <c r="AF210" i="99"/>
  <c r="AF243" i="99" s="1"/>
  <c r="Y248" i="99"/>
  <c r="BJ177" i="153"/>
  <c r="W170" i="153"/>
  <c r="AW177" i="153" s="1"/>
  <c r="BL177" i="153"/>
  <c r="BK177" i="153"/>
  <c r="BY116" i="99"/>
  <c r="K51" i="99"/>
  <c r="K116" i="103" s="1"/>
  <c r="N51" i="99"/>
  <c r="N116" i="103" s="1"/>
  <c r="P116" i="103" s="1"/>
  <c r="BY590" i="99"/>
  <c r="BY529" i="99"/>
  <c r="T291" i="99"/>
  <c r="T315" i="99" s="1"/>
  <c r="AS198" i="99"/>
  <c r="AS329" i="99"/>
  <c r="AS339" i="99" s="1"/>
  <c r="T247" i="99"/>
  <c r="BX52" i="99"/>
  <c r="BX117" i="103" s="1"/>
  <c r="BX113" i="99"/>
  <c r="Y214" i="99"/>
  <c r="Y283" i="99" s="1"/>
  <c r="Y206" i="99"/>
  <c r="Y239" i="99" s="1"/>
  <c r="AQ198" i="99"/>
  <c r="AQ329" i="99"/>
  <c r="AQ339" i="99" s="1"/>
  <c r="U291" i="99"/>
  <c r="U307" i="99" s="1"/>
  <c r="AE214" i="99"/>
  <c r="AE283" i="99" s="1"/>
  <c r="AE206" i="99"/>
  <c r="AE239" i="99" s="1"/>
  <c r="S247" i="99"/>
  <c r="AR198" i="99"/>
  <c r="AR329" i="99"/>
  <c r="AR339" i="99" s="1"/>
  <c r="U247" i="99"/>
  <c r="S291" i="99"/>
  <c r="S299" i="99" s="1"/>
  <c r="AA214" i="99"/>
  <c r="AA283" i="99" s="1"/>
  <c r="AA206" i="99"/>
  <c r="AA239" i="99" s="1"/>
  <c r="K44" i="99"/>
  <c r="K109" i="103" s="1"/>
  <c r="BY109" i="99"/>
  <c r="N44" i="99"/>
  <c r="N109" i="103" s="1"/>
  <c r="P109" i="103" s="1"/>
  <c r="BV559" i="99" a="1"/>
  <c r="BV559" i="99" s="1"/>
  <c r="BV623" i="99" s="1"/>
  <c r="BV615" i="99"/>
  <c r="R174" i="99" s="1"/>
  <c r="BV552" i="99"/>
  <c r="AN198" i="99"/>
  <c r="AN329" i="99"/>
  <c r="AN339" i="99" s="1"/>
  <c r="AO198" i="99"/>
  <c r="AO329" i="99"/>
  <c r="AO339" i="99" s="1"/>
  <c r="AM329" i="99"/>
  <c r="AM339" i="99" s="1"/>
  <c r="AM198" i="99"/>
  <c r="AG206" i="99"/>
  <c r="AG239" i="99" s="1"/>
  <c r="AG214" i="99"/>
  <c r="AG283" i="99" s="1"/>
  <c r="BU182" i="99"/>
  <c r="BU190" i="99" s="1"/>
  <c r="BU616" i="99"/>
  <c r="Z214" i="99"/>
  <c r="Z283" i="99" s="1"/>
  <c r="Z206" i="99"/>
  <c r="Z239" i="99" s="1"/>
  <c r="W214" i="99"/>
  <c r="W283" i="99" s="1"/>
  <c r="W206" i="99"/>
  <c r="W239" i="99" s="1"/>
  <c r="AK329" i="99"/>
  <c r="AK339" i="99" s="1"/>
  <c r="AK198" i="99"/>
  <c r="BY581" i="99"/>
  <c r="BY518" i="99"/>
  <c r="BU556" i="99"/>
  <c r="BU619" i="99"/>
  <c r="BU620" i="99" s="1"/>
  <c r="AP198" i="99"/>
  <c r="AP329" i="99"/>
  <c r="AP339" i="99" s="1"/>
  <c r="AL329" i="99"/>
  <c r="AL339" i="99" s="1"/>
  <c r="AL198" i="99"/>
  <c r="AJ329" i="99"/>
  <c r="AJ339" i="99" s="1"/>
  <c r="AJ198" i="99"/>
  <c r="S185" i="99"/>
  <c r="AH329" i="99"/>
  <c r="AH339" i="99" s="1"/>
  <c r="AH198" i="99"/>
  <c r="BS625" i="99"/>
  <c r="BS626" i="99" s="1"/>
  <c r="BS562" i="99"/>
  <c r="BS631" i="99"/>
  <c r="X177" i="99"/>
  <c r="Y177" i="99"/>
  <c r="V177" i="99"/>
  <c r="W177" i="99"/>
  <c r="V170" i="99"/>
  <c r="Z177" i="99"/>
  <c r="AA177" i="99"/>
  <c r="AB177" i="99"/>
  <c r="AC177" i="99"/>
  <c r="AD177" i="99"/>
  <c r="AD185" i="99" s="1"/>
  <c r="AE177" i="99"/>
  <c r="AE185" i="99" s="1"/>
  <c r="AG177" i="99"/>
  <c r="AG185" i="99" s="1"/>
  <c r="AF177" i="99"/>
  <c r="AF185" i="99" s="1"/>
  <c r="AI329" i="99"/>
  <c r="AI339" i="99" s="1"/>
  <c r="AI198" i="99"/>
  <c r="R183" i="99"/>
  <c r="R185" i="99"/>
  <c r="W171" i="99"/>
  <c r="BU178" i="99" s="1"/>
  <c r="BU186" i="99" s="1"/>
  <c r="AT178" i="99"/>
  <c r="AT186" i="99" s="1"/>
  <c r="AU178" i="99"/>
  <c r="AU186" i="99" s="1"/>
  <c r="AV178" i="99"/>
  <c r="AV186" i="99" s="1"/>
  <c r="AW178" i="99"/>
  <c r="AW186" i="99" s="1"/>
  <c r="AX178" i="99"/>
  <c r="AX186" i="99" s="1"/>
  <c r="AY178" i="99"/>
  <c r="AY186" i="99" s="1"/>
  <c r="BA178" i="99"/>
  <c r="BA186" i="99" s="1"/>
  <c r="AZ178" i="99"/>
  <c r="AZ186" i="99" s="1"/>
  <c r="BB178" i="99"/>
  <c r="BB186" i="99" s="1"/>
  <c r="BC178" i="99"/>
  <c r="BC186" i="99" s="1"/>
  <c r="BD178" i="99"/>
  <c r="BD186" i="99" s="1"/>
  <c r="BE178" i="99"/>
  <c r="BE186" i="99" s="1"/>
  <c r="BT625" i="99"/>
  <c r="BT626" i="99" s="1"/>
  <c r="BT562" i="99"/>
  <c r="BT631" i="99"/>
  <c r="V206" i="99"/>
  <c r="V239" i="99" s="1"/>
  <c r="V214" i="99"/>
  <c r="V283" i="99" s="1"/>
  <c r="T185" i="99"/>
  <c r="BY115" i="99"/>
  <c r="K50" i="99"/>
  <c r="K115" i="103" s="1"/>
  <c r="U185" i="99"/>
  <c r="BX529" i="99"/>
  <c r="BX581" i="99"/>
  <c r="BX518" i="99"/>
  <c r="BY114" i="99"/>
  <c r="BY49" i="103"/>
  <c r="K49" i="99"/>
  <c r="K114" i="103" s="1"/>
  <c r="J49" i="99"/>
  <c r="J114" i="103" s="1"/>
  <c r="AB214" i="99"/>
  <c r="AB283" i="99" s="1"/>
  <c r="AB206" i="99"/>
  <c r="AB239" i="99" s="1"/>
  <c r="X214" i="99"/>
  <c r="X283" i="99" s="1"/>
  <c r="X206" i="99"/>
  <c r="X239" i="99" s="1"/>
  <c r="AF206" i="99"/>
  <c r="AF239" i="99" s="1"/>
  <c r="AF214" i="99"/>
  <c r="AF283" i="99" s="1"/>
  <c r="AC206" i="99"/>
  <c r="AC239" i="99" s="1"/>
  <c r="AC214" i="99"/>
  <c r="AC283" i="99" s="1"/>
  <c r="AD206" i="99"/>
  <c r="AD239" i="99" s="1"/>
  <c r="AD214" i="99"/>
  <c r="AD283" i="99" s="1"/>
  <c r="BY364" i="99"/>
  <c r="BY48" i="99" s="1"/>
  <c r="BY113" i="103" s="1"/>
  <c r="J551" i="99"/>
  <c r="J555" i="99" s="1"/>
  <c r="J608" i="99"/>
  <c r="K608" i="99"/>
  <c r="K551" i="99"/>
  <c r="K555" i="99" s="1"/>
  <c r="BY122" i="99"/>
  <c r="BY59" i="99"/>
  <c r="BY124" i="103" s="1"/>
  <c r="BY57" i="103"/>
  <c r="J57" i="99"/>
  <c r="J122" i="103" s="1"/>
  <c r="K57" i="99"/>
  <c r="K122" i="103" s="1"/>
  <c r="L57" i="99"/>
  <c r="L122" i="103" s="1"/>
  <c r="M57" i="99"/>
  <c r="M122" i="103" s="1"/>
  <c r="N57" i="99"/>
  <c r="N122" i="103" s="1"/>
  <c r="P122" i="103" s="1"/>
  <c r="M551" i="99"/>
  <c r="M555" i="99" s="1"/>
  <c r="M608" i="99"/>
  <c r="BY123" i="99"/>
  <c r="J58" i="99"/>
  <c r="J123" i="103" s="1"/>
  <c r="L58" i="99"/>
  <c r="L123" i="103" s="1"/>
  <c r="M58" i="99"/>
  <c r="M123" i="103" s="1"/>
  <c r="N58" i="99"/>
  <c r="N123" i="103" s="1"/>
  <c r="P123" i="103" s="1"/>
  <c r="N551" i="99"/>
  <c r="N555" i="99" s="1"/>
  <c r="P544" i="99"/>
  <c r="N608" i="99"/>
  <c r="P608" i="99" s="1"/>
  <c r="L551" i="99"/>
  <c r="L555" i="99" s="1"/>
  <c r="L608" i="99"/>
  <c r="J68" i="99"/>
  <c r="K68" i="99"/>
  <c r="L68" i="99"/>
  <c r="M68" i="99"/>
  <c r="N68" i="99"/>
  <c r="BB100" i="154" l="1"/>
  <c r="Y108" i="155"/>
  <c r="Y45" i="155"/>
  <c r="Y110" i="155" s="1"/>
  <c r="BP108" i="154"/>
  <c r="BP45" i="154"/>
  <c r="N43" i="154"/>
  <c r="BN96" i="154"/>
  <c r="BV108" i="154"/>
  <c r="BV45" i="154"/>
  <c r="BV110" i="154" s="1"/>
  <c r="AK45" i="155"/>
  <c r="AK110" i="155" s="1"/>
  <c r="AK108" i="155"/>
  <c r="AB108" i="155"/>
  <c r="AB45" i="155"/>
  <c r="AB110" i="155" s="1"/>
  <c r="X108" i="155"/>
  <c r="X45" i="155"/>
  <c r="X110" i="155" s="1"/>
  <c r="AG108" i="155"/>
  <c r="AG45" i="155"/>
  <c r="AG110" i="155" s="1"/>
  <c r="M45" i="154"/>
  <c r="M110" i="154" s="1"/>
  <c r="AF108" i="155"/>
  <c r="AF45" i="155"/>
  <c r="AF110" i="155" s="1"/>
  <c r="BU108" i="154"/>
  <c r="BU45" i="154"/>
  <c r="BU110" i="154" s="1"/>
  <c r="Z108" i="155"/>
  <c r="Z45" i="155"/>
  <c r="Z110" i="155" s="1"/>
  <c r="AX97" i="154"/>
  <c r="AE108" i="155"/>
  <c r="AE45" i="155"/>
  <c r="AE110" i="155" s="1"/>
  <c r="W108" i="155"/>
  <c r="W45" i="155"/>
  <c r="W110" i="155" s="1"/>
  <c r="AH45" i="155"/>
  <c r="AH110" i="155" s="1"/>
  <c r="AH108" i="155"/>
  <c r="AA108" i="155"/>
  <c r="AA45" i="155"/>
  <c r="AA110" i="155" s="1"/>
  <c r="BW108" i="154"/>
  <c r="BW45" i="154"/>
  <c r="BW110" i="154" s="1"/>
  <c r="AC108" i="155"/>
  <c r="AC45" i="155"/>
  <c r="AC110" i="155" s="1"/>
  <c r="BR108" i="154"/>
  <c r="BR45" i="154"/>
  <c r="BR110" i="154" s="1"/>
  <c r="AI45" i="155"/>
  <c r="AI110" i="155" s="1"/>
  <c r="AI108" i="155"/>
  <c r="BS108" i="154"/>
  <c r="BS45" i="154"/>
  <c r="BS110" i="154" s="1"/>
  <c r="BX108" i="154"/>
  <c r="BX45" i="154"/>
  <c r="BX110" i="154" s="1"/>
  <c r="AD108" i="155"/>
  <c r="AD45" i="155"/>
  <c r="V108" i="155"/>
  <c r="V45" i="155"/>
  <c r="J43" i="155"/>
  <c r="J108" i="155" s="1"/>
  <c r="BT108" i="154"/>
  <c r="BT45" i="154"/>
  <c r="BT110" i="154" s="1"/>
  <c r="AR117" i="99"/>
  <c r="BQ124" i="99"/>
  <c r="AF117" i="103"/>
  <c r="BQ124" i="104"/>
  <c r="BT117" i="99"/>
  <c r="AE218" i="99"/>
  <c r="AE287" i="99" s="1"/>
  <c r="AE295" i="99" s="1"/>
  <c r="AE303" i="99" s="1"/>
  <c r="BL117" i="104"/>
  <c r="BL52" i="104" s="1"/>
  <c r="AB210" i="99"/>
  <c r="AB243" i="99" s="1"/>
  <c r="AB251" i="99" s="1"/>
  <c r="AF117" i="99"/>
  <c r="BB117" i="103"/>
  <c r="AI218" i="99"/>
  <c r="AI287" i="99" s="1"/>
  <c r="AI295" i="99" s="1"/>
  <c r="AI311" i="99" s="1"/>
  <c r="BA59" i="103"/>
  <c r="BO124" i="103"/>
  <c r="BO124" i="99"/>
  <c r="AD124" i="104"/>
  <c r="AD124" i="99"/>
  <c r="U59" i="103"/>
  <c r="X109" i="105"/>
  <c r="BY59" i="103"/>
  <c r="AB59" i="104"/>
  <c r="L74" i="104"/>
  <c r="W68" i="105"/>
  <c r="R33" i="151" s="1"/>
  <c r="K74" i="104"/>
  <c r="BS59" i="104"/>
  <c r="BG74" i="105"/>
  <c r="BB38" i="151" s="1"/>
  <c r="M74" i="104"/>
  <c r="N74" i="104"/>
  <c r="P74" i="104" s="1"/>
  <c r="W74" i="105"/>
  <c r="R38" i="151" s="1"/>
  <c r="J74" i="104"/>
  <c r="BW59" i="104"/>
  <c r="U59" i="104"/>
  <c r="X59" i="104"/>
  <c r="AY59" i="103"/>
  <c r="AD59" i="103"/>
  <c r="AM59" i="104"/>
  <c r="AK59" i="103"/>
  <c r="AA59" i="103"/>
  <c r="X59" i="103"/>
  <c r="AR59" i="104"/>
  <c r="BL68" i="103"/>
  <c r="BQ68" i="105" s="1"/>
  <c r="BL33" i="151" s="1"/>
  <c r="AT68" i="103"/>
  <c r="AY68" i="105" s="1"/>
  <c r="AT33" i="151" s="1"/>
  <c r="AI68" i="103"/>
  <c r="AN68" i="105" s="1"/>
  <c r="AI33" i="151" s="1"/>
  <c r="BW68" i="103"/>
  <c r="CB68" i="105" s="1"/>
  <c r="BW33" i="151" s="1"/>
  <c r="AN68" i="103"/>
  <c r="AS68" i="105" s="1"/>
  <c r="AN33" i="151" s="1"/>
  <c r="BB68" i="103"/>
  <c r="BG68" i="105" s="1"/>
  <c r="BB33" i="151" s="1"/>
  <c r="BA68" i="103"/>
  <c r="BF68" i="105" s="1"/>
  <c r="BA33" i="151" s="1"/>
  <c r="AE68" i="103"/>
  <c r="AJ68" i="105" s="1"/>
  <c r="AE33" i="151" s="1"/>
  <c r="X68" i="103"/>
  <c r="AC68" i="105" s="1"/>
  <c r="X33" i="151" s="1"/>
  <c r="T68" i="103"/>
  <c r="Y68" i="105" s="1"/>
  <c r="T33" i="151" s="1"/>
  <c r="AP68" i="103"/>
  <c r="AU68" i="105" s="1"/>
  <c r="AP33" i="151" s="1"/>
  <c r="AU68" i="103"/>
  <c r="AZ68" i="105" s="1"/>
  <c r="AU33" i="151" s="1"/>
  <c r="BS68" i="103"/>
  <c r="BX68" i="105" s="1"/>
  <c r="BS33" i="151" s="1"/>
  <c r="BN68" i="103"/>
  <c r="BS68" i="105" s="1"/>
  <c r="BN33" i="151" s="1"/>
  <c r="AM68" i="103"/>
  <c r="AR68" i="105" s="1"/>
  <c r="AM33" i="151" s="1"/>
  <c r="BH68" i="103"/>
  <c r="BM68" i="105" s="1"/>
  <c r="BH33" i="151" s="1"/>
  <c r="BR68" i="103"/>
  <c r="BW68" i="105" s="1"/>
  <c r="BR33" i="151" s="1"/>
  <c r="Z68" i="103"/>
  <c r="AE68" i="105" s="1"/>
  <c r="Z33" i="151" s="1"/>
  <c r="AA59" i="104"/>
  <c r="S68" i="103"/>
  <c r="X68" i="105" s="1"/>
  <c r="S33" i="151" s="1"/>
  <c r="AV68" i="103"/>
  <c r="BA68" i="105" s="1"/>
  <c r="AV33" i="151" s="1"/>
  <c r="BJ68" i="103"/>
  <c r="BO68" i="105" s="1"/>
  <c r="BJ33" i="151" s="1"/>
  <c r="AG68" i="103"/>
  <c r="AL68" i="105" s="1"/>
  <c r="AG33" i="151" s="1"/>
  <c r="BX68" i="103"/>
  <c r="CC68" i="105" s="1"/>
  <c r="BX33" i="151" s="1"/>
  <c r="AL68" i="103"/>
  <c r="AQ68" i="105" s="1"/>
  <c r="AL33" i="151" s="1"/>
  <c r="AT59" i="103"/>
  <c r="AH68" i="103"/>
  <c r="AM68" i="105" s="1"/>
  <c r="AH33" i="151" s="1"/>
  <c r="V68" i="103"/>
  <c r="AA68" i="105" s="1"/>
  <c r="V33" i="151" s="1"/>
  <c r="AX68" i="103"/>
  <c r="BC68" i="105" s="1"/>
  <c r="AX33" i="151" s="1"/>
  <c r="AK68" i="103"/>
  <c r="AP68" i="105" s="1"/>
  <c r="AK33" i="151" s="1"/>
  <c r="AS68" i="103"/>
  <c r="AX68" i="105" s="1"/>
  <c r="AS33" i="151" s="1"/>
  <c r="BV68" i="103"/>
  <c r="CA68" i="105" s="1"/>
  <c r="BV33" i="151" s="1"/>
  <c r="Y68" i="103"/>
  <c r="AD68" i="105" s="1"/>
  <c r="Y33" i="151" s="1"/>
  <c r="AD68" i="103"/>
  <c r="AI68" i="105" s="1"/>
  <c r="AD33" i="151" s="1"/>
  <c r="BU68" i="103"/>
  <c r="BZ68" i="105" s="1"/>
  <c r="BU33" i="151" s="1"/>
  <c r="BI68" i="103"/>
  <c r="BN68" i="105" s="1"/>
  <c r="BI33" i="151" s="1"/>
  <c r="AA68" i="103"/>
  <c r="AF68" i="105" s="1"/>
  <c r="AA33" i="151" s="1"/>
  <c r="W68" i="103"/>
  <c r="AB68" i="105" s="1"/>
  <c r="W33" i="151" s="1"/>
  <c r="AJ68" i="103"/>
  <c r="AO68" i="105" s="1"/>
  <c r="AJ33" i="151" s="1"/>
  <c r="AQ68" i="103"/>
  <c r="AV68" i="105" s="1"/>
  <c r="AQ33" i="151" s="1"/>
  <c r="AY68" i="103"/>
  <c r="BD68" i="105" s="1"/>
  <c r="AY33" i="151" s="1"/>
  <c r="AB68" i="103"/>
  <c r="AG68" i="105" s="1"/>
  <c r="AB33" i="151" s="1"/>
  <c r="AZ68" i="103"/>
  <c r="BE68" i="105" s="1"/>
  <c r="AZ33" i="151" s="1"/>
  <c r="BQ68" i="103"/>
  <c r="BV68" i="105" s="1"/>
  <c r="BQ33" i="151" s="1"/>
  <c r="AR68" i="103"/>
  <c r="AW68" i="105" s="1"/>
  <c r="AR33" i="151" s="1"/>
  <c r="AC68" i="103"/>
  <c r="AH68" i="105" s="1"/>
  <c r="AC33" i="151" s="1"/>
  <c r="BO68" i="103"/>
  <c r="BT68" i="105" s="1"/>
  <c r="BO33" i="151" s="1"/>
  <c r="U68" i="103"/>
  <c r="Z68" i="105" s="1"/>
  <c r="U33" i="151" s="1"/>
  <c r="BC68" i="103"/>
  <c r="BH68" i="105" s="1"/>
  <c r="BC33" i="151" s="1"/>
  <c r="AO68" i="103"/>
  <c r="AT68" i="105" s="1"/>
  <c r="AO33" i="151" s="1"/>
  <c r="BT68" i="103"/>
  <c r="BY68" i="105" s="1"/>
  <c r="BT33" i="151" s="1"/>
  <c r="BY59" i="104"/>
  <c r="BY68" i="103"/>
  <c r="CD68" i="105" s="1"/>
  <c r="BY33" i="151" s="1"/>
  <c r="BM68" i="103"/>
  <c r="BR68" i="105" s="1"/>
  <c r="BM33" i="151" s="1"/>
  <c r="AW68" i="103"/>
  <c r="BB68" i="105" s="1"/>
  <c r="AW33" i="151" s="1"/>
  <c r="BF68" i="103"/>
  <c r="BK68" i="105" s="1"/>
  <c r="BF33" i="151" s="1"/>
  <c r="BD68" i="103"/>
  <c r="BI68" i="105" s="1"/>
  <c r="BD33" i="151" s="1"/>
  <c r="AF68" i="103"/>
  <c r="AK68" i="105" s="1"/>
  <c r="AF33" i="151" s="1"/>
  <c r="BK68" i="103"/>
  <c r="BP68" i="105" s="1"/>
  <c r="BK33" i="151" s="1"/>
  <c r="BG68" i="103"/>
  <c r="BL68" i="105" s="1"/>
  <c r="BG33" i="151" s="1"/>
  <c r="BP68" i="103"/>
  <c r="BU68" i="105" s="1"/>
  <c r="BP33" i="151" s="1"/>
  <c r="BE68" i="103"/>
  <c r="BJ68" i="105" s="1"/>
  <c r="BE33" i="151" s="1"/>
  <c r="T59" i="103"/>
  <c r="BS57" i="105"/>
  <c r="BN59" i="104"/>
  <c r="AE57" i="105"/>
  <c r="Z59" i="104"/>
  <c r="BL59" i="103"/>
  <c r="AH57" i="105"/>
  <c r="AC59" i="104"/>
  <c r="W59" i="104"/>
  <c r="BM57" i="105"/>
  <c r="BH59" i="103"/>
  <c r="AU57" i="105"/>
  <c r="AP59" i="104"/>
  <c r="BJ57" i="105"/>
  <c r="BE59" i="104"/>
  <c r="X57" i="105"/>
  <c r="S59" i="104"/>
  <c r="BZ57" i="105"/>
  <c r="BU59" i="104"/>
  <c r="BE57" i="105"/>
  <c r="AZ59" i="104"/>
  <c r="AS57" i="105"/>
  <c r="AN59" i="103"/>
  <c r="BT57" i="105"/>
  <c r="BO59" i="103"/>
  <c r="BQ57" i="105"/>
  <c r="BL59" i="104"/>
  <c r="AK59" i="104"/>
  <c r="BT59" i="104"/>
  <c r="BM59" i="104"/>
  <c r="BV57" i="105"/>
  <c r="BQ59" i="103"/>
  <c r="BG59" i="104"/>
  <c r="AV59" i="103"/>
  <c r="AD57" i="105"/>
  <c r="Y59" i="104"/>
  <c r="Z59" i="103"/>
  <c r="BM59" i="103"/>
  <c r="BH57" i="105"/>
  <c r="BC59" i="104"/>
  <c r="BI57" i="105"/>
  <c r="BD59" i="103"/>
  <c r="BO57" i="105"/>
  <c r="BJ59" i="103"/>
  <c r="BB57" i="105"/>
  <c r="AW59" i="104"/>
  <c r="AO59" i="104"/>
  <c r="BW57" i="105"/>
  <c r="BR59" i="104"/>
  <c r="AL59" i="103"/>
  <c r="AO59" i="103"/>
  <c r="T59" i="104"/>
  <c r="AG59" i="104"/>
  <c r="BK57" i="105"/>
  <c r="BF59" i="104"/>
  <c r="AS59" i="104"/>
  <c r="BO59" i="104"/>
  <c r="AZ57" i="105"/>
  <c r="AU59" i="104"/>
  <c r="BK59" i="104"/>
  <c r="AN57" i="105"/>
  <c r="AI59" i="104"/>
  <c r="AB57" i="105"/>
  <c r="W59" i="103"/>
  <c r="AA57" i="105"/>
  <c r="V59" i="104"/>
  <c r="BU57" i="105"/>
  <c r="BP59" i="103"/>
  <c r="AL57" i="105"/>
  <c r="AG59" i="103"/>
  <c r="BL57" i="105"/>
  <c r="BG59" i="103"/>
  <c r="AK57" i="105"/>
  <c r="AF59" i="103"/>
  <c r="AM57" i="105"/>
  <c r="AH59" i="104"/>
  <c r="BD59" i="104"/>
  <c r="AF59" i="104"/>
  <c r="BB59" i="104"/>
  <c r="BC57" i="105"/>
  <c r="AX59" i="104"/>
  <c r="AO57" i="105"/>
  <c r="AJ59" i="104"/>
  <c r="BA59" i="104"/>
  <c r="W57" i="105"/>
  <c r="R59" i="104"/>
  <c r="CC57" i="105"/>
  <c r="BX59" i="104"/>
  <c r="AJ57" i="105"/>
  <c r="AE59" i="104"/>
  <c r="BI59" i="103"/>
  <c r="BV59" i="103"/>
  <c r="AQ59" i="103"/>
  <c r="BN57" i="105"/>
  <c r="BI59" i="104"/>
  <c r="AE117" i="103"/>
  <c r="AS117" i="103"/>
  <c r="Y159" i="99"/>
  <c r="S174" i="99" s="1"/>
  <c r="BA181" i="99" s="1"/>
  <c r="BA189" i="99" s="1"/>
  <c r="BA332" i="99" s="1"/>
  <c r="BA342" i="99" s="1"/>
  <c r="AL416" i="153"/>
  <c r="AL455" i="153" s="1" a="1"/>
  <c r="AL455" i="153" s="1"/>
  <c r="AW117" i="99"/>
  <c r="BH416" i="153"/>
  <c r="BH455" i="153" s="1" a="1"/>
  <c r="BH455" i="153" s="1"/>
  <c r="AP416" i="153"/>
  <c r="AP455" i="153" s="1" a="1"/>
  <c r="AP455" i="153" s="1"/>
  <c r="AN416" i="153"/>
  <c r="AN455" i="153" s="1" a="1"/>
  <c r="AN455" i="153" s="1"/>
  <c r="AS416" i="153"/>
  <c r="AS455" i="153" s="1" a="1"/>
  <c r="AS455" i="153" s="1"/>
  <c r="S416" i="153"/>
  <c r="AW416" i="153"/>
  <c r="AW455" i="153" s="1" a="1"/>
  <c r="AW455" i="153" s="1"/>
  <c r="T416" i="153"/>
  <c r="AM416" i="153"/>
  <c r="AM455" i="153" s="1" a="1"/>
  <c r="AM455" i="153" s="1"/>
  <c r="BX124" i="99"/>
  <c r="W416" i="153"/>
  <c r="W455" i="153" s="1" a="1"/>
  <c r="W455" i="153" s="1"/>
  <c r="AT416" i="153"/>
  <c r="AT455" i="153" s="1" a="1"/>
  <c r="AT455" i="153" s="1"/>
  <c r="AO416" i="153"/>
  <c r="AO455" i="153" s="1" a="1"/>
  <c r="AO455" i="153" s="1"/>
  <c r="X416" i="153"/>
  <c r="AQ416" i="153"/>
  <c r="AQ455" i="153" s="1" a="1"/>
  <c r="AQ455" i="153" s="1"/>
  <c r="AU416" i="153"/>
  <c r="AU455" i="153" s="1" a="1"/>
  <c r="AU455" i="153" s="1"/>
  <c r="AG117" i="104"/>
  <c r="AG52" i="104" s="1"/>
  <c r="AG117" i="103"/>
  <c r="V416" i="153"/>
  <c r="AR416" i="153"/>
  <c r="AR455" i="153" s="1" a="1"/>
  <c r="AR455" i="153" s="1"/>
  <c r="U416" i="153"/>
  <c r="AV416" i="153"/>
  <c r="BN274" i="155"/>
  <c r="AL265" i="99"/>
  <c r="AN265" i="99"/>
  <c r="R266" i="99"/>
  <c r="AX266" i="155"/>
  <c r="S255" i="99"/>
  <c r="Y264" i="99"/>
  <c r="U273" i="99"/>
  <c r="BO274" i="154"/>
  <c r="BO276" i="154" s="1"/>
  <c r="BO26" i="154" s="1"/>
  <c r="BO91" i="154" s="1"/>
  <c r="BO274" i="155"/>
  <c r="BD258" i="154"/>
  <c r="BD260" i="154" s="1"/>
  <c r="BD23" i="154" s="1"/>
  <c r="BD88" i="154" s="1"/>
  <c r="AY266" i="154"/>
  <c r="AY268" i="154" s="1"/>
  <c r="AY24" i="154" s="1"/>
  <c r="AY89" i="154" s="1"/>
  <c r="AO273" i="99"/>
  <c r="AD272" i="99"/>
  <c r="BB266" i="155"/>
  <c r="BA274" i="155"/>
  <c r="BE266" i="155"/>
  <c r="T265" i="99"/>
  <c r="AE272" i="99"/>
  <c r="AH272" i="99"/>
  <c r="U272" i="99"/>
  <c r="S272" i="99"/>
  <c r="BI274" i="155"/>
  <c r="T255" i="99"/>
  <c r="BT266" i="154"/>
  <c r="BR258" i="154"/>
  <c r="BP258" i="155"/>
  <c r="BB274" i="154"/>
  <c r="BB276" i="154" s="1"/>
  <c r="BB26" i="154" s="1"/>
  <c r="BH258" i="155"/>
  <c r="BG274" i="155"/>
  <c r="S265" i="99"/>
  <c r="R264" i="99"/>
  <c r="AX266" i="154"/>
  <c r="AX268" i="154" s="1"/>
  <c r="AX24" i="154" s="1"/>
  <c r="BQ274" i="154"/>
  <c r="Z272" i="99"/>
  <c r="BU258" i="155"/>
  <c r="BR274" i="155"/>
  <c r="BM266" i="154"/>
  <c r="BM268" i="154" s="1"/>
  <c r="BM24" i="154" s="1"/>
  <c r="BM89" i="154" s="1"/>
  <c r="AQ273" i="99"/>
  <c r="BT258" i="155"/>
  <c r="X273" i="99"/>
  <c r="AA272" i="99"/>
  <c r="BM274" i="155"/>
  <c r="AY258" i="155"/>
  <c r="BI266" i="154"/>
  <c r="BI268" i="154" s="1"/>
  <c r="BI24" i="154" s="1"/>
  <c r="BI89" i="154" s="1"/>
  <c r="R273" i="99"/>
  <c r="V272" i="99"/>
  <c r="AC272" i="99"/>
  <c r="BH266" i="154"/>
  <c r="BH268" i="154" s="1"/>
  <c r="BH24" i="154" s="1"/>
  <c r="BH89" i="154" s="1"/>
  <c r="AJ272" i="99"/>
  <c r="BS266" i="154"/>
  <c r="BP274" i="154"/>
  <c r="BE258" i="154"/>
  <c r="BE260" i="154" s="1"/>
  <c r="BE23" i="154" s="1"/>
  <c r="BE88" i="154" s="1"/>
  <c r="Y265" i="99"/>
  <c r="U255" i="99"/>
  <c r="V273" i="99"/>
  <c r="W256" i="99"/>
  <c r="T264" i="99"/>
  <c r="W257" i="99"/>
  <c r="AB256" i="99"/>
  <c r="AM273" i="99"/>
  <c r="BS266" i="155"/>
  <c r="BN258" i="154"/>
  <c r="BN260" i="154" s="1"/>
  <c r="BN23" i="154" s="1"/>
  <c r="BD258" i="155"/>
  <c r="BA274" i="154"/>
  <c r="BA276" i="154" s="1"/>
  <c r="BA26" i="154" s="1"/>
  <c r="BA91" i="154" s="1"/>
  <c r="BF266" i="154"/>
  <c r="BF268" i="154" s="1"/>
  <c r="BF24" i="154" s="1"/>
  <c r="BF89" i="154" s="1"/>
  <c r="R255" i="99"/>
  <c r="BC258" i="155"/>
  <c r="AP265" i="99"/>
  <c r="BQ266" i="155"/>
  <c r="BC274" i="154"/>
  <c r="BC276" i="154" s="1"/>
  <c r="BC26" i="154" s="1"/>
  <c r="BC91" i="154" s="1"/>
  <c r="AG256" i="99"/>
  <c r="AF256" i="99"/>
  <c r="BU266" i="154"/>
  <c r="AZ274" i="155"/>
  <c r="BF266" i="155"/>
  <c r="BG258" i="154"/>
  <c r="BG260" i="154" s="1"/>
  <c r="BG23" i="154" s="1"/>
  <c r="BG88" i="154" s="1"/>
  <c r="AI264" i="99"/>
  <c r="AA117" i="99"/>
  <c r="BI124" i="99"/>
  <c r="BT117" i="104"/>
  <c r="BT52" i="104" s="1"/>
  <c r="AW117" i="104"/>
  <c r="AW52" i="104" s="1"/>
  <c r="AS117" i="99"/>
  <c r="AR117" i="103"/>
  <c r="AR124" i="99"/>
  <c r="AR124" i="104"/>
  <c r="AZ124" i="99"/>
  <c r="AZ124" i="104"/>
  <c r="S117" i="99"/>
  <c r="BV561" i="99"/>
  <c r="BV567" i="99" s="1"/>
  <c r="BO117" i="103"/>
  <c r="AA117" i="103"/>
  <c r="BR107" i="105"/>
  <c r="AT109" i="105"/>
  <c r="Y109" i="105"/>
  <c r="AC107" i="105"/>
  <c r="BT108" i="105"/>
  <c r="BL108" i="105"/>
  <c r="BZ117" i="105"/>
  <c r="AV109" i="105"/>
  <c r="BN107" i="105"/>
  <c r="AE108" i="105"/>
  <c r="AX110" i="105"/>
  <c r="CB107" i="105"/>
  <c r="BK103" i="105"/>
  <c r="BN117" i="105"/>
  <c r="AB109" i="105"/>
  <c r="BU117" i="105"/>
  <c r="AM109" i="105"/>
  <c r="AF108" i="105"/>
  <c r="AG108" i="105"/>
  <c r="BK117" i="105"/>
  <c r="BO109" i="105"/>
  <c r="BQ130" i="105"/>
  <c r="AK130" i="105"/>
  <c r="AV107" i="105"/>
  <c r="BY110" i="105"/>
  <c r="BR103" i="105"/>
  <c r="AG107" i="105"/>
  <c r="AZ109" i="105"/>
  <c r="BB117" i="105"/>
  <c r="AA117" i="105"/>
  <c r="AS117" i="105"/>
  <c r="CC110" i="105"/>
  <c r="BI117" i="105"/>
  <c r="AR117" i="105"/>
  <c r="AF110" i="105"/>
  <c r="BH108" i="105"/>
  <c r="BP130" i="105"/>
  <c r="BL117" i="105"/>
  <c r="AH107" i="105"/>
  <c r="BN110" i="105"/>
  <c r="AQ117" i="105"/>
  <c r="AI108" i="105"/>
  <c r="BH110" i="105"/>
  <c r="BI110" i="105"/>
  <c r="BC107" i="105"/>
  <c r="BA108" i="105"/>
  <c r="AL110" i="105"/>
  <c r="AD117" i="105"/>
  <c r="AU130" i="105"/>
  <c r="BK107" i="105"/>
  <c r="BQ109" i="105"/>
  <c r="AD103" i="105"/>
  <c r="AN108" i="105"/>
  <c r="AC108" i="105"/>
  <c r="BZ103" i="105"/>
  <c r="BS110" i="105"/>
  <c r="AS108" i="105"/>
  <c r="BX117" i="105"/>
  <c r="AA103" i="105"/>
  <c r="BQ110" i="105"/>
  <c r="BY103" i="105"/>
  <c r="CA107" i="105"/>
  <c r="AZ108" i="105"/>
  <c r="CC103" i="105"/>
  <c r="BP109" i="105"/>
  <c r="AX108" i="105"/>
  <c r="BN108" i="105"/>
  <c r="BK109" i="105"/>
  <c r="BW103" i="105"/>
  <c r="BI109" i="105"/>
  <c r="BR109" i="105"/>
  <c r="BZ107" i="105"/>
  <c r="BQ107" i="105"/>
  <c r="BQ117" i="105"/>
  <c r="AJ130" i="105"/>
  <c r="AY110" i="105"/>
  <c r="AQ108" i="105"/>
  <c r="BM103" i="105"/>
  <c r="BP108" i="105"/>
  <c r="BO110" i="105"/>
  <c r="AK107" i="105"/>
  <c r="BM109" i="105"/>
  <c r="BV103" i="105"/>
  <c r="BB109" i="105"/>
  <c r="AB107" i="105"/>
  <c r="BA103" i="105"/>
  <c r="CA103" i="105"/>
  <c r="BQ103" i="105"/>
  <c r="BM108" i="105"/>
  <c r="BH117" i="105"/>
  <c r="AP107" i="105"/>
  <c r="Z109" i="105"/>
  <c r="BN109" i="105"/>
  <c r="AD110" i="105"/>
  <c r="CC108" i="105"/>
  <c r="AO103" i="105"/>
  <c r="AV103" i="105"/>
  <c r="Y110" i="105"/>
  <c r="BP103" i="105"/>
  <c r="BY117" i="105"/>
  <c r="BL103" i="105"/>
  <c r="AW108" i="105"/>
  <c r="AR107" i="105"/>
  <c r="BD109" i="105"/>
  <c r="BJ108" i="105"/>
  <c r="Y103" i="105"/>
  <c r="AN110" i="105"/>
  <c r="BY108" i="105"/>
  <c r="Y107" i="105"/>
  <c r="AR109" i="105"/>
  <c r="BF107" i="105"/>
  <c r="AH109" i="105"/>
  <c r="AP108" i="105"/>
  <c r="AH110" i="105"/>
  <c r="AF107" i="105"/>
  <c r="Z108" i="105"/>
  <c r="AT103" i="105"/>
  <c r="AG110" i="105"/>
  <c r="W103" i="105"/>
  <c r="BU108" i="105"/>
  <c r="BX108" i="105"/>
  <c r="AV110" i="105"/>
  <c r="BN103" i="105"/>
  <c r="BO108" i="105"/>
  <c r="BD110" i="105"/>
  <c r="BE110" i="105"/>
  <c r="AB103" i="105"/>
  <c r="AY109" i="105"/>
  <c r="AV117" i="105"/>
  <c r="AN103" i="105"/>
  <c r="AU117" i="105"/>
  <c r="BU110" i="105"/>
  <c r="AP110" i="105"/>
  <c r="AS103" i="105"/>
  <c r="AT110" i="105"/>
  <c r="BY109" i="105"/>
  <c r="BZ108" i="105"/>
  <c r="CA108" i="105"/>
  <c r="AF103" i="105"/>
  <c r="AW107" i="105"/>
  <c r="AI110" i="105"/>
  <c r="BA117" i="105"/>
  <c r="AW103" i="105"/>
  <c r="AU108" i="105"/>
  <c r="AS110" i="105"/>
  <c r="BH107" i="105"/>
  <c r="BF110" i="105"/>
  <c r="AT107" i="105"/>
  <c r="BA107" i="105"/>
  <c r="AP103" i="105"/>
  <c r="AP109" i="105"/>
  <c r="BB108" i="105"/>
  <c r="AA108" i="105"/>
  <c r="AG117" i="105"/>
  <c r="AA110" i="105"/>
  <c r="CA117" i="105"/>
  <c r="AF109" i="105"/>
  <c r="AZ117" i="105"/>
  <c r="Z107" i="105"/>
  <c r="BU107" i="105"/>
  <c r="BD117" i="105"/>
  <c r="BF103" i="105"/>
  <c r="BJ109" i="105"/>
  <c r="BC109" i="105"/>
  <c r="BE103" i="105"/>
  <c r="Z110" i="105"/>
  <c r="BS108" i="105"/>
  <c r="BB110" i="105"/>
  <c r="AE117" i="105"/>
  <c r="BV110" i="105"/>
  <c r="BJ107" i="105"/>
  <c r="BG109" i="105"/>
  <c r="AS107" i="105"/>
  <c r="BV108" i="105"/>
  <c r="AK108" i="105"/>
  <c r="AJ107" i="105"/>
  <c r="BO117" i="105"/>
  <c r="BW110" i="105"/>
  <c r="AL117" i="105"/>
  <c r="BG117" i="105"/>
  <c r="BD107" i="105"/>
  <c r="BB103" i="105"/>
  <c r="BJ110" i="105"/>
  <c r="AC103" i="105"/>
  <c r="AK103" i="105"/>
  <c r="AA107" i="105"/>
  <c r="BS103" i="105"/>
  <c r="AC110" i="105"/>
  <c r="AM107" i="105"/>
  <c r="BM110" i="105"/>
  <c r="BP117" i="105"/>
  <c r="AY108" i="105"/>
  <c r="AX103" i="105"/>
  <c r="AB117" i="105"/>
  <c r="BH109" i="105"/>
  <c r="AL108" i="105"/>
  <c r="BC108" i="105"/>
  <c r="W107" i="105"/>
  <c r="BP107" i="105"/>
  <c r="BB107" i="105"/>
  <c r="CC109" i="105"/>
  <c r="AO107" i="105"/>
  <c r="CA109" i="105"/>
  <c r="X110" i="105"/>
  <c r="BR110" i="105"/>
  <c r="AQ110" i="105"/>
  <c r="AW117" i="105"/>
  <c r="BF109" i="105"/>
  <c r="AK117" i="105"/>
  <c r="BS109" i="105"/>
  <c r="CB108" i="105"/>
  <c r="BT109" i="105"/>
  <c r="AI103" i="105"/>
  <c r="AY117" i="105"/>
  <c r="AE109" i="105"/>
  <c r="AU103" i="105"/>
  <c r="BA110" i="105"/>
  <c r="AO108" i="105"/>
  <c r="BF108" i="105"/>
  <c r="CA110" i="105"/>
  <c r="AM103" i="105"/>
  <c r="AL103" i="105"/>
  <c r="AL109" i="105"/>
  <c r="BG103" i="105"/>
  <c r="CB117" i="105"/>
  <c r="BT110" i="105"/>
  <c r="AN107" i="105"/>
  <c r="AD109" i="105"/>
  <c r="AU109" i="105"/>
  <c r="AK110" i="105"/>
  <c r="AC109" i="105"/>
  <c r="BI107" i="105"/>
  <c r="BC103" i="105"/>
  <c r="AX109" i="105"/>
  <c r="AZ103" i="105"/>
  <c r="BC117" i="105"/>
  <c r="AX117" i="105"/>
  <c r="X103" i="105"/>
  <c r="BT117" i="105"/>
  <c r="X108" i="105"/>
  <c r="CC117" i="105"/>
  <c r="BH103" i="105"/>
  <c r="BG110" i="105"/>
  <c r="AR108" i="105"/>
  <c r="BC110" i="105"/>
  <c r="BJ103" i="105"/>
  <c r="Y57" i="105"/>
  <c r="AB117" i="103"/>
  <c r="W124" i="99"/>
  <c r="BP57" i="105"/>
  <c r="BN52" i="103"/>
  <c r="AK52" i="103"/>
  <c r="J74" i="103"/>
  <c r="AI58" i="105"/>
  <c r="BG48" i="105"/>
  <c r="AD218" i="99"/>
  <c r="AD287" i="99" s="1"/>
  <c r="AD295" i="99" s="1"/>
  <c r="AD319" i="99" s="1"/>
  <c r="AI117" i="99"/>
  <c r="AI117" i="104"/>
  <c r="AI52" i="104" s="1"/>
  <c r="L114" i="104"/>
  <c r="L114" i="103"/>
  <c r="S117" i="104"/>
  <c r="S52" i="104" s="1"/>
  <c r="AX117" i="104"/>
  <c r="AX52" i="104" s="1"/>
  <c r="J139" i="104"/>
  <c r="AX117" i="103"/>
  <c r="BJ58" i="105"/>
  <c r="BR117" i="99"/>
  <c r="AT124" i="104"/>
  <c r="BK124" i="99"/>
  <c r="L139" i="104"/>
  <c r="BF58" i="105"/>
  <c r="BB117" i="104"/>
  <c r="BB52" i="104" s="1"/>
  <c r="AL52" i="103"/>
  <c r="AU51" i="105"/>
  <c r="AF52" i="103"/>
  <c r="BV48" i="105"/>
  <c r="BE48" i="105"/>
  <c r="BV58" i="105"/>
  <c r="AP57" i="105"/>
  <c r="AX57" i="105"/>
  <c r="AZ51" i="105"/>
  <c r="AR51" i="105"/>
  <c r="BA50" i="105"/>
  <c r="BM48" i="105"/>
  <c r="BO44" i="105"/>
  <c r="AB51" i="105"/>
  <c r="BL50" i="105"/>
  <c r="AG74" i="105"/>
  <c r="AB38" i="151" s="1"/>
  <c r="AI50" i="105"/>
  <c r="W49" i="105"/>
  <c r="AQ57" i="105"/>
  <c r="AD49" i="105"/>
  <c r="AW51" i="105"/>
  <c r="AW52" i="103"/>
  <c r="R52" i="103"/>
  <c r="X58" i="105"/>
  <c r="BR52" i="103"/>
  <c r="BL52" i="103"/>
  <c r="AT52" i="103"/>
  <c r="BG52" i="103"/>
  <c r="AX52" i="103"/>
  <c r="AI57" i="105"/>
  <c r="W51" i="105"/>
  <c r="AY52" i="103"/>
  <c r="M44" i="103"/>
  <c r="BD124" i="99"/>
  <c r="AR52" i="103"/>
  <c r="BY57" i="105"/>
  <c r="U117" i="104"/>
  <c r="U52" i="104" s="1"/>
  <c r="AS52" i="103"/>
  <c r="BX44" i="105"/>
  <c r="BL51" i="105"/>
  <c r="BE124" i="99"/>
  <c r="AR44" i="105"/>
  <c r="AY117" i="104"/>
  <c r="AY52" i="104" s="1"/>
  <c r="M114" i="103"/>
  <c r="AY117" i="103"/>
  <c r="M114" i="99"/>
  <c r="Y117" i="104"/>
  <c r="Y52" i="104" s="1"/>
  <c r="BE117" i="99"/>
  <c r="AX48" i="105"/>
  <c r="BU50" i="105"/>
  <c r="BW49" i="105"/>
  <c r="AW124" i="99"/>
  <c r="AQ117" i="103"/>
  <c r="BJ117" i="99"/>
  <c r="AU124" i="104"/>
  <c r="BI117" i="99"/>
  <c r="AT49" i="105"/>
  <c r="AM58" i="105"/>
  <c r="R124" i="99"/>
  <c r="AW124" i="104"/>
  <c r="BT124" i="99"/>
  <c r="BJ117" i="103"/>
  <c r="AU124" i="99"/>
  <c r="BI117" i="104"/>
  <c r="BI52" i="104" s="1"/>
  <c r="AJ117" i="99"/>
  <c r="BZ51" i="105"/>
  <c r="AY48" i="105"/>
  <c r="BW50" i="105"/>
  <c r="BD124" i="104"/>
  <c r="AN124" i="99"/>
  <c r="AK117" i="104"/>
  <c r="AK52" i="104" s="1"/>
  <c r="AK117" i="99"/>
  <c r="BK124" i="103"/>
  <c r="BE124" i="104"/>
  <c r="Y117" i="99"/>
  <c r="W124" i="104"/>
  <c r="BA117" i="99"/>
  <c r="AX74" i="105"/>
  <c r="AS38" i="151" s="1"/>
  <c r="AN124" i="103"/>
  <c r="BA117" i="104"/>
  <c r="BA52" i="104" s="1"/>
  <c r="AU52" i="103"/>
  <c r="BE49" i="105"/>
  <c r="AG210" i="99"/>
  <c r="AG243" i="99" s="1"/>
  <c r="AG251" i="99" s="1"/>
  <c r="Z218" i="99"/>
  <c r="Z287" i="99" s="1"/>
  <c r="Z295" i="99" s="1"/>
  <c r="Z311" i="99" s="1"/>
  <c r="AQ117" i="99"/>
  <c r="AD117" i="99"/>
  <c r="AF58" i="105"/>
  <c r="BV124" i="104"/>
  <c r="AJ117" i="103"/>
  <c r="BV124" i="103"/>
  <c r="AJ51" i="105"/>
  <c r="BX124" i="104"/>
  <c r="Y124" i="103"/>
  <c r="AD117" i="104"/>
  <c r="AD52" i="104" s="1"/>
  <c r="BT124" i="104"/>
  <c r="AO74" i="105"/>
  <c r="AJ38" i="151" s="1"/>
  <c r="R117" i="99"/>
  <c r="BD52" i="103"/>
  <c r="L115" i="103"/>
  <c r="BG117" i="104"/>
  <c r="BG52" i="104" s="1"/>
  <c r="Z117" i="104"/>
  <c r="Z52" i="104" s="1"/>
  <c r="W58" i="105"/>
  <c r="Z117" i="99"/>
  <c r="Y124" i="104"/>
  <c r="AH74" i="105"/>
  <c r="AC38" i="151" s="1"/>
  <c r="BX48" i="105"/>
  <c r="BB124" i="99"/>
  <c r="AE48" i="105"/>
  <c r="BB124" i="104"/>
  <c r="AO117" i="103"/>
  <c r="L115" i="99"/>
  <c r="AE117" i="99"/>
  <c r="AB52" i="103"/>
  <c r="R124" i="103"/>
  <c r="AE52" i="103"/>
  <c r="BL117" i="99"/>
  <c r="AP117" i="104"/>
  <c r="AP52" i="104" s="1"/>
  <c r="BU44" i="105"/>
  <c r="BK74" i="105"/>
  <c r="BF38" i="151" s="1"/>
  <c r="AZ117" i="103"/>
  <c r="AZ117" i="99"/>
  <c r="AZ117" i="104"/>
  <c r="AZ52" i="104" s="1"/>
  <c r="AU117" i="99"/>
  <c r="AU117" i="104"/>
  <c r="AU52" i="104" s="1"/>
  <c r="AU117" i="103"/>
  <c r="BE117" i="104"/>
  <c r="BE52" i="104" s="1"/>
  <c r="AA124" i="103"/>
  <c r="AA124" i="104"/>
  <c r="AA124" i="99"/>
  <c r="AM117" i="103"/>
  <c r="AM117" i="99"/>
  <c r="AM117" i="104"/>
  <c r="AM52" i="104" s="1"/>
  <c r="BN124" i="104"/>
  <c r="BN124" i="99"/>
  <c r="BN124" i="103"/>
  <c r="X117" i="103"/>
  <c r="X117" i="99"/>
  <c r="AH117" i="99"/>
  <c r="AH117" i="103"/>
  <c r="AH117" i="104"/>
  <c r="AH52" i="104" s="1"/>
  <c r="W117" i="103"/>
  <c r="W117" i="99"/>
  <c r="AV124" i="104"/>
  <c r="AV124" i="99"/>
  <c r="AV124" i="103"/>
  <c r="AZ52" i="103"/>
  <c r="L52" i="99"/>
  <c r="L117" i="99" s="1"/>
  <c r="S52" i="103"/>
  <c r="X48" i="105"/>
  <c r="AF124" i="99"/>
  <c r="AF124" i="103"/>
  <c r="AF124" i="104"/>
  <c r="AI124" i="99"/>
  <c r="AI124" i="103"/>
  <c r="AI124" i="104"/>
  <c r="L116" i="103"/>
  <c r="V117" i="99"/>
  <c r="V117" i="104"/>
  <c r="V52" i="104" s="1"/>
  <c r="AL124" i="103"/>
  <c r="AL124" i="99"/>
  <c r="AL124" i="104"/>
  <c r="AB49" i="105"/>
  <c r="W52" i="103"/>
  <c r="Y58" i="105"/>
  <c r="BU124" i="99"/>
  <c r="BU124" i="104"/>
  <c r="BU124" i="103"/>
  <c r="AM124" i="99"/>
  <c r="AM124" i="104"/>
  <c r="AM124" i="103"/>
  <c r="AS124" i="104"/>
  <c r="AS124" i="99"/>
  <c r="AQ124" i="104"/>
  <c r="L116" i="99"/>
  <c r="J113" i="104"/>
  <c r="BC124" i="99"/>
  <c r="BC117" i="104"/>
  <c r="BC52" i="104" s="1"/>
  <c r="BH52" i="103"/>
  <c r="AV52" i="103"/>
  <c r="BC124" i="103"/>
  <c r="AT117" i="99"/>
  <c r="M115" i="99"/>
  <c r="AH124" i="104"/>
  <c r="AA218" i="99"/>
  <c r="AA287" i="99" s="1"/>
  <c r="AA295" i="99" s="1"/>
  <c r="AA319" i="99" s="1"/>
  <c r="AT117" i="103"/>
  <c r="S124" i="99"/>
  <c r="AH124" i="99"/>
  <c r="AV117" i="104"/>
  <c r="AV52" i="104" s="1"/>
  <c r="BS124" i="104"/>
  <c r="BH117" i="103"/>
  <c r="BG117" i="99"/>
  <c r="BP117" i="104"/>
  <c r="BP52" i="104" s="1"/>
  <c r="BR124" i="104"/>
  <c r="BB52" i="103"/>
  <c r="AQ50" i="105"/>
  <c r="BP52" i="103"/>
  <c r="BP117" i="103"/>
  <c r="BR124" i="99"/>
  <c r="AI52" i="103"/>
  <c r="BS117" i="104"/>
  <c r="BS52" i="104" s="1"/>
  <c r="AN117" i="104"/>
  <c r="AN52" i="104" s="1"/>
  <c r="AX124" i="104"/>
  <c r="V124" i="103"/>
  <c r="J115" i="99"/>
  <c r="AO117" i="99"/>
  <c r="BU52" i="103"/>
  <c r="AN58" i="105"/>
  <c r="BR117" i="104"/>
  <c r="BR52" i="104" s="1"/>
  <c r="M113" i="99"/>
  <c r="L113" i="99"/>
  <c r="M113" i="103"/>
  <c r="BQ117" i="104"/>
  <c r="BQ52" i="104" s="1"/>
  <c r="BQ117" i="99"/>
  <c r="BP124" i="104"/>
  <c r="M115" i="104"/>
  <c r="T117" i="103"/>
  <c r="S124" i="104"/>
  <c r="AG44" i="105"/>
  <c r="BA124" i="104"/>
  <c r="AT124" i="103"/>
  <c r="AO124" i="104"/>
  <c r="AC117" i="99"/>
  <c r="M109" i="103"/>
  <c r="AV117" i="103"/>
  <c r="K123" i="103"/>
  <c r="AC117" i="104"/>
  <c r="AC52" i="104" s="1"/>
  <c r="AO124" i="103"/>
  <c r="V124" i="104"/>
  <c r="BW117" i="104"/>
  <c r="BW52" i="104" s="1"/>
  <c r="AH218" i="99"/>
  <c r="AH287" i="99" s="1"/>
  <c r="AH295" i="99" s="1"/>
  <c r="AH319" i="99" s="1"/>
  <c r="BW117" i="103"/>
  <c r="BS117" i="99"/>
  <c r="AN117" i="99"/>
  <c r="AX124" i="99"/>
  <c r="BJ124" i="99"/>
  <c r="J116" i="104"/>
  <c r="T124" i="103"/>
  <c r="U52" i="103"/>
  <c r="BN117" i="103"/>
  <c r="AA74" i="105"/>
  <c r="V38" i="151" s="1"/>
  <c r="BC117" i="99"/>
  <c r="BH117" i="99"/>
  <c r="BC52" i="103"/>
  <c r="AB117" i="104"/>
  <c r="AB52" i="104" s="1"/>
  <c r="BJ124" i="104"/>
  <c r="J116" i="99"/>
  <c r="T124" i="99"/>
  <c r="AP124" i="99"/>
  <c r="L113" i="104"/>
  <c r="BP124" i="99"/>
  <c r="T117" i="104"/>
  <c r="T52" i="104" s="1"/>
  <c r="AJ49" i="105"/>
  <c r="AL117" i="104"/>
  <c r="AL52" i="104" s="1"/>
  <c r="X74" i="105"/>
  <c r="S38" i="151" s="1"/>
  <c r="AL117" i="99"/>
  <c r="BA124" i="103"/>
  <c r="BS124" i="99"/>
  <c r="BH124" i="104"/>
  <c r="K123" i="104"/>
  <c r="M109" i="104"/>
  <c r="BO117" i="104"/>
  <c r="BO52" i="104" s="1"/>
  <c r="J115" i="103"/>
  <c r="BL124" i="104"/>
  <c r="AH44" i="105"/>
  <c r="J52" i="99"/>
  <c r="J117" i="104" s="1"/>
  <c r="BL124" i="103"/>
  <c r="R117" i="103"/>
  <c r="J113" i="99"/>
  <c r="M116" i="99"/>
  <c r="BI124" i="104"/>
  <c r="BD74" i="105"/>
  <c r="AY38" i="151" s="1"/>
  <c r="U117" i="103"/>
  <c r="BI49" i="105"/>
  <c r="L109" i="99"/>
  <c r="AV191" i="155"/>
  <c r="W50" i="105"/>
  <c r="AV328" i="155"/>
  <c r="AV338" i="155" s="1"/>
  <c r="AV344" i="155" s="1"/>
  <c r="AV43" i="155" s="1"/>
  <c r="AJ50" i="105"/>
  <c r="BN117" i="99"/>
  <c r="BQ52" i="103"/>
  <c r="BI52" i="103"/>
  <c r="AC52" i="103"/>
  <c r="BK117" i="103"/>
  <c r="J109" i="104"/>
  <c r="BI74" i="105"/>
  <c r="BD38" i="151" s="1"/>
  <c r="J109" i="99"/>
  <c r="AL48" i="105"/>
  <c r="AQ74" i="105"/>
  <c r="AL38" i="151" s="1"/>
  <c r="AH49" i="105"/>
  <c r="BK117" i="104"/>
  <c r="BK52" i="104" s="1"/>
  <c r="AP124" i="104"/>
  <c r="AW57" i="105"/>
  <c r="BE50" i="105"/>
  <c r="V117" i="103"/>
  <c r="AK124" i="104"/>
  <c r="AC124" i="104"/>
  <c r="AK124" i="99"/>
  <c r="AC124" i="99"/>
  <c r="Y74" i="105"/>
  <c r="T38" i="151" s="1"/>
  <c r="BH124" i="99"/>
  <c r="BK52" i="103"/>
  <c r="J48" i="103"/>
  <c r="BF57" i="105"/>
  <c r="AQ124" i="99"/>
  <c r="BX51" i="105"/>
  <c r="AC74" i="105"/>
  <c r="X38" i="151" s="1"/>
  <c r="M139" i="103"/>
  <c r="L139" i="103"/>
  <c r="P74" i="99"/>
  <c r="AD74" i="105"/>
  <c r="Y38" i="151" s="1"/>
  <c r="J139" i="103"/>
  <c r="AR57" i="105"/>
  <c r="AZ48" i="105"/>
  <c r="AL74" i="105"/>
  <c r="AG38" i="151" s="1"/>
  <c r="Z44" i="105"/>
  <c r="AK50" i="105"/>
  <c r="AJ124" i="104"/>
  <c r="CA74" i="105"/>
  <c r="BV38" i="151" s="1"/>
  <c r="AB74" i="105"/>
  <c r="W38" i="151" s="1"/>
  <c r="AE74" i="105"/>
  <c r="Z38" i="151" s="1"/>
  <c r="BF52" i="105"/>
  <c r="BB74" i="105"/>
  <c r="AW38" i="151" s="1"/>
  <c r="BA57" i="105"/>
  <c r="BU177" i="155"/>
  <c r="BU185" i="155" s="1"/>
  <c r="AJ124" i="99"/>
  <c r="Z124" i="99"/>
  <c r="BE58" i="105"/>
  <c r="X52" i="103"/>
  <c r="AG50" i="105"/>
  <c r="M116" i="104"/>
  <c r="AN52" i="103"/>
  <c r="AD52" i="103"/>
  <c r="AP52" i="103"/>
  <c r="BV52" i="103"/>
  <c r="BX57" i="105"/>
  <c r="Z124" i="103"/>
  <c r="BI183" i="155"/>
  <c r="BR177" i="155"/>
  <c r="BR185" i="155" s="1"/>
  <c r="BG183" i="155"/>
  <c r="BF183" i="155"/>
  <c r="V219" i="155"/>
  <c r="V282" i="155"/>
  <c r="V211" i="155"/>
  <c r="V238" i="155"/>
  <c r="W282" i="155"/>
  <c r="W219" i="155"/>
  <c r="W211" i="155"/>
  <c r="W238" i="155"/>
  <c r="Y211" i="155"/>
  <c r="Y238" i="155"/>
  <c r="Y282" i="155"/>
  <c r="Y219" i="155"/>
  <c r="X238" i="155"/>
  <c r="X211" i="155"/>
  <c r="X219" i="155"/>
  <c r="X282" i="155"/>
  <c r="AT207" i="99"/>
  <c r="AT240" i="99" s="1"/>
  <c r="AT248" i="99" s="1"/>
  <c r="AR207" i="99"/>
  <c r="AR240" i="99" s="1"/>
  <c r="AR248" i="99" s="1"/>
  <c r="Z58" i="105"/>
  <c r="BS52" i="103"/>
  <c r="AK218" i="99"/>
  <c r="AK287" i="99" s="1"/>
  <c r="AK295" i="99" s="1"/>
  <c r="AK319" i="99" s="1"/>
  <c r="W172" i="99"/>
  <c r="BU179" i="99" s="1"/>
  <c r="BU187" i="99" s="1"/>
  <c r="BU199" i="99" s="1"/>
  <c r="BG199" i="99"/>
  <c r="BG207" i="99" s="1"/>
  <c r="BG240" i="99" s="1"/>
  <c r="BY74" i="105"/>
  <c r="BT38" i="151" s="1"/>
  <c r="BP51" i="105"/>
  <c r="BH74" i="105"/>
  <c r="BC38" i="151" s="1"/>
  <c r="BM312" i="154"/>
  <c r="BM33" i="154" s="1"/>
  <c r="BM98" i="154" s="1"/>
  <c r="AC210" i="99"/>
  <c r="AC243" i="99" s="1"/>
  <c r="AC251" i="99" s="1"/>
  <c r="CA57" i="105"/>
  <c r="BG57" i="105"/>
  <c r="BM58" i="105"/>
  <c r="AI282" i="155"/>
  <c r="AI219" i="155"/>
  <c r="AE282" i="155"/>
  <c r="AE219" i="155"/>
  <c r="AI238" i="155"/>
  <c r="AI211" i="155"/>
  <c r="AZ328" i="155"/>
  <c r="AZ197" i="155"/>
  <c r="AZ191" i="155"/>
  <c r="AX328" i="155"/>
  <c r="AX197" i="155"/>
  <c r="AX191" i="155"/>
  <c r="AE238" i="155"/>
  <c r="AE211" i="155"/>
  <c r="AC238" i="155"/>
  <c r="AC211" i="155"/>
  <c r="Z219" i="155"/>
  <c r="Z282" i="155"/>
  <c r="AP205" i="155"/>
  <c r="AP213" i="155"/>
  <c r="AP203" i="155"/>
  <c r="AC282" i="155"/>
  <c r="AC219" i="155"/>
  <c r="Z211" i="155"/>
  <c r="Z238" i="155"/>
  <c r="AM338" i="155"/>
  <c r="AM344" i="155" s="1"/>
  <c r="AM43" i="155" s="1"/>
  <c r="AM334" i="155"/>
  <c r="AR338" i="155"/>
  <c r="AR344" i="155" s="1"/>
  <c r="AR43" i="155" s="1"/>
  <c r="AR334" i="155"/>
  <c r="BH328" i="155"/>
  <c r="BH197" i="155"/>
  <c r="BH191" i="155"/>
  <c r="AP338" i="155"/>
  <c r="AP344" i="155" s="1"/>
  <c r="AP43" i="155" s="1"/>
  <c r="AP334" i="155"/>
  <c r="AM213" i="155"/>
  <c r="AM205" i="155"/>
  <c r="AM203" i="155"/>
  <c r="AR205" i="155"/>
  <c r="AR213" i="155"/>
  <c r="AR203" i="155"/>
  <c r="AN338" i="155"/>
  <c r="AN344" i="155" s="1"/>
  <c r="AN43" i="155" s="1"/>
  <c r="AN334" i="155"/>
  <c r="AD238" i="155"/>
  <c r="AD211" i="155"/>
  <c r="AJ213" i="155"/>
  <c r="AJ205" i="155"/>
  <c r="AJ203" i="155"/>
  <c r="AN213" i="155"/>
  <c r="AN205" i="155"/>
  <c r="AN203" i="155"/>
  <c r="AD282" i="155"/>
  <c r="AD219" i="155"/>
  <c r="AY197" i="155"/>
  <c r="AY328" i="155"/>
  <c r="AY191" i="155"/>
  <c r="AJ338" i="155"/>
  <c r="AJ344" i="155" s="1"/>
  <c r="AJ43" i="155" s="1"/>
  <c r="AJ334" i="155"/>
  <c r="AM74" i="105"/>
  <c r="AH38" i="151" s="1"/>
  <c r="AV213" i="155"/>
  <c r="AV205" i="155"/>
  <c r="AV203" i="155"/>
  <c r="BM185" i="155"/>
  <c r="BM183" i="155"/>
  <c r="AU197" i="155"/>
  <c r="AU328" i="155"/>
  <c r="AU191" i="155"/>
  <c r="BO185" i="155"/>
  <c r="BO183" i="155"/>
  <c r="AG238" i="155"/>
  <c r="AG211" i="155"/>
  <c r="BP185" i="155"/>
  <c r="BP183" i="155"/>
  <c r="AG282" i="155"/>
  <c r="AG219" i="155"/>
  <c r="Y49" i="105"/>
  <c r="AH238" i="155"/>
  <c r="AH211" i="155"/>
  <c r="BN185" i="155"/>
  <c r="BN183" i="155"/>
  <c r="AA211" i="155"/>
  <c r="AA238" i="155"/>
  <c r="AH282" i="155"/>
  <c r="AH219" i="155"/>
  <c r="BQ185" i="155"/>
  <c r="BQ183" i="155"/>
  <c r="AA282" i="155"/>
  <c r="AA219" i="155"/>
  <c r="BI328" i="155"/>
  <c r="BI197" i="155"/>
  <c r="BI191" i="155"/>
  <c r="AO213" i="155"/>
  <c r="AO205" i="155"/>
  <c r="AO203" i="155"/>
  <c r="AK238" i="155"/>
  <c r="AK211" i="155"/>
  <c r="AO338" i="155"/>
  <c r="AO344" i="155" s="1"/>
  <c r="AO43" i="155" s="1"/>
  <c r="AO334" i="155"/>
  <c r="BT185" i="155"/>
  <c r="BT183" i="155"/>
  <c r="BD197" i="155"/>
  <c r="BD328" i="155"/>
  <c r="BD191" i="155"/>
  <c r="AK282" i="155"/>
  <c r="AK219" i="155"/>
  <c r="BJ185" i="155"/>
  <c r="BJ183" i="155"/>
  <c r="AT338" i="155"/>
  <c r="AT344" i="155" s="1"/>
  <c r="AT43" i="155" s="1"/>
  <c r="AT334" i="155"/>
  <c r="BC197" i="155"/>
  <c r="BC328" i="155"/>
  <c r="BC191" i="155"/>
  <c r="AF282" i="155"/>
  <c r="AF219" i="155"/>
  <c r="AS213" i="155"/>
  <c r="AS205" i="155"/>
  <c r="AS203" i="155"/>
  <c r="AQ338" i="155"/>
  <c r="AQ344" i="155" s="1"/>
  <c r="AQ43" i="155" s="1"/>
  <c r="AQ334" i="155"/>
  <c r="AT205" i="155"/>
  <c r="AT213" i="155"/>
  <c r="AT203" i="155"/>
  <c r="BL185" i="155"/>
  <c r="BL183" i="155"/>
  <c r="AF238" i="155"/>
  <c r="AF211" i="155"/>
  <c r="AS338" i="155"/>
  <c r="AS344" i="155" s="1"/>
  <c r="AS43" i="155" s="1"/>
  <c r="AS334" i="155"/>
  <c r="AQ205" i="155"/>
  <c r="AQ213" i="155"/>
  <c r="AQ203" i="155"/>
  <c r="BS177" i="155"/>
  <c r="BV177" i="155"/>
  <c r="BY177" i="155"/>
  <c r="BW177" i="155"/>
  <c r="BX177" i="155"/>
  <c r="K44" i="104"/>
  <c r="BK185" i="155"/>
  <c r="BK183" i="155"/>
  <c r="BF197" i="155"/>
  <c r="BF328" i="155"/>
  <c r="BF191" i="155"/>
  <c r="M44" i="104"/>
  <c r="K44" i="103"/>
  <c r="AL213" i="155"/>
  <c r="AL205" i="155"/>
  <c r="AL203" i="155"/>
  <c r="AW338" i="155"/>
  <c r="AW344" i="155" s="1"/>
  <c r="AW43" i="155" s="1"/>
  <c r="AW334" i="155"/>
  <c r="BA185" i="155"/>
  <c r="BA183" i="155"/>
  <c r="BE328" i="155"/>
  <c r="BE197" i="155"/>
  <c r="BE191" i="155"/>
  <c r="AB219" i="155"/>
  <c r="AB282" i="155"/>
  <c r="AL338" i="155"/>
  <c r="AL344" i="155" s="1"/>
  <c r="AL43" i="155" s="1"/>
  <c r="AL334" i="155"/>
  <c r="AW213" i="155"/>
  <c r="AW205" i="155"/>
  <c r="AW203" i="155"/>
  <c r="BB328" i="155"/>
  <c r="BB197" i="155"/>
  <c r="BB191" i="155"/>
  <c r="BG328" i="155"/>
  <c r="BG197" i="155"/>
  <c r="BG191" i="155"/>
  <c r="AB211" i="155"/>
  <c r="AB238" i="155"/>
  <c r="BG266" i="155"/>
  <c r="Y52" i="103"/>
  <c r="AP58" i="105"/>
  <c r="BQ49" i="105"/>
  <c r="AQ48" i="105"/>
  <c r="AN50" i="105"/>
  <c r="L44" i="104"/>
  <c r="AS50" i="105"/>
  <c r="AF74" i="105"/>
  <c r="AA38" i="151" s="1"/>
  <c r="BW124" i="103"/>
  <c r="AP117" i="99"/>
  <c r="CA52" i="105"/>
  <c r="BI302" i="155"/>
  <c r="Z74" i="105"/>
  <c r="U38" i="151" s="1"/>
  <c r="BB258" i="155"/>
  <c r="AX258" i="155"/>
  <c r="BG310" i="155"/>
  <c r="AV74" i="105"/>
  <c r="AQ38" i="151" s="1"/>
  <c r="BF258" i="155"/>
  <c r="AY318" i="155"/>
  <c r="AX274" i="154"/>
  <c r="AX276" i="154" s="1"/>
  <c r="AX26" i="154" s="1"/>
  <c r="AN74" i="105"/>
  <c r="AI38" i="151" s="1"/>
  <c r="BW124" i="99"/>
  <c r="BN74" i="105"/>
  <c r="BI38" i="151" s="1"/>
  <c r="BV117" i="99"/>
  <c r="BV117" i="103"/>
  <c r="AE44" i="105"/>
  <c r="BR74" i="105"/>
  <c r="BM38" i="151" s="1"/>
  <c r="BS74" i="105"/>
  <c r="BN38" i="151" s="1"/>
  <c r="AD48" i="105"/>
  <c r="BA266" i="154"/>
  <c r="BA268" i="154" s="1"/>
  <c r="BA24" i="154" s="1"/>
  <c r="BA89" i="154" s="1"/>
  <c r="BC318" i="154"/>
  <c r="BC320" i="154" s="1"/>
  <c r="BC35" i="154" s="1"/>
  <c r="BC100" i="154" s="1"/>
  <c r="BG302" i="154"/>
  <c r="BG304" i="154" s="1"/>
  <c r="BG32" i="154" s="1"/>
  <c r="BG97" i="154" s="1"/>
  <c r="BO74" i="105"/>
  <c r="BJ38" i="151" s="1"/>
  <c r="BI274" i="154"/>
  <c r="BI276" i="154" s="1"/>
  <c r="BI26" i="154" s="1"/>
  <c r="BI91" i="154" s="1"/>
  <c r="AT57" i="105"/>
  <c r="AY274" i="154"/>
  <c r="AY276" i="154" s="1"/>
  <c r="AY26" i="154" s="1"/>
  <c r="AY91" i="154" s="1"/>
  <c r="BB302" i="154"/>
  <c r="BB304" i="154" s="1"/>
  <c r="BB32" i="154" s="1"/>
  <c r="AW74" i="105"/>
  <c r="AR38" i="151" s="1"/>
  <c r="BA74" i="105"/>
  <c r="AV38" i="151" s="1"/>
  <c r="N139" i="104"/>
  <c r="P139" i="104" s="1"/>
  <c r="N139" i="103"/>
  <c r="P139" i="103" s="1"/>
  <c r="AS74" i="105"/>
  <c r="AN38" i="151" s="1"/>
  <c r="AZ74" i="105"/>
  <c r="AU38" i="151" s="1"/>
  <c r="BV74" i="105"/>
  <c r="BQ38" i="151" s="1"/>
  <c r="BE74" i="105"/>
  <c r="AZ38" i="151" s="1"/>
  <c r="M139" i="104"/>
  <c r="BC74" i="105"/>
  <c r="AX38" i="151" s="1"/>
  <c r="BW74" i="105"/>
  <c r="BR38" i="151" s="1"/>
  <c r="BU117" i="99"/>
  <c r="BU117" i="103"/>
  <c r="L109" i="103"/>
  <c r="AG124" i="103"/>
  <c r="BG124" i="99"/>
  <c r="BK51" i="105"/>
  <c r="AE51" i="105"/>
  <c r="BG124" i="103"/>
  <c r="BF117" i="104"/>
  <c r="BF52" i="104" s="1"/>
  <c r="U124" i="104"/>
  <c r="BF117" i="99"/>
  <c r="U124" i="103"/>
  <c r="BF318" i="155"/>
  <c r="BO48" i="105"/>
  <c r="BD318" i="155"/>
  <c r="BE310" i="154"/>
  <c r="BE312" i="154" s="1"/>
  <c r="BE33" i="154" s="1"/>
  <c r="BE98" i="154" s="1"/>
  <c r="AT74" i="105"/>
  <c r="AO38" i="151" s="1"/>
  <c r="AW50" i="105"/>
  <c r="BF318" i="154"/>
  <c r="BF320" i="154" s="1"/>
  <c r="BF35" i="154" s="1"/>
  <c r="BF100" i="154" s="1"/>
  <c r="BF312" i="154"/>
  <c r="BF33" i="154" s="1"/>
  <c r="BF98" i="154" s="1"/>
  <c r="BQ320" i="154"/>
  <c r="BQ35" i="154" s="1"/>
  <c r="BQ100" i="154" s="1"/>
  <c r="BH258" i="154"/>
  <c r="BH260" i="154" s="1"/>
  <c r="BH23" i="154" s="1"/>
  <c r="BH88" i="154" s="1"/>
  <c r="BG274" i="154"/>
  <c r="BG276" i="154" s="1"/>
  <c r="BG26" i="154" s="1"/>
  <c r="BG91" i="154" s="1"/>
  <c r="BA302" i="154"/>
  <c r="BA304" i="154" s="1"/>
  <c r="BA32" i="154" s="1"/>
  <c r="BA97" i="154" s="1"/>
  <c r="BE274" i="155"/>
  <c r="BK49" i="105"/>
  <c r="AY266" i="155"/>
  <c r="AX310" i="154"/>
  <c r="AX312" i="154" s="1"/>
  <c r="AX33" i="154" s="1"/>
  <c r="BI266" i="155"/>
  <c r="AT58" i="105"/>
  <c r="BD117" i="99"/>
  <c r="CB74" i="105"/>
  <c r="BW38" i="151" s="1"/>
  <c r="M74" i="103"/>
  <c r="BM117" i="103"/>
  <c r="BF52" i="103"/>
  <c r="Z52" i="103"/>
  <c r="M52" i="99"/>
  <c r="M117" i="104" s="1"/>
  <c r="AI48" i="105"/>
  <c r="L44" i="103"/>
  <c r="BM52" i="103"/>
  <c r="K74" i="103"/>
  <c r="AH52" i="103"/>
  <c r="N74" i="103"/>
  <c r="P74" i="103" s="1"/>
  <c r="BM117" i="99"/>
  <c r="BD117" i="104"/>
  <c r="BD52" i="104" s="1"/>
  <c r="BJ52" i="103"/>
  <c r="T52" i="103"/>
  <c r="BT74" i="105"/>
  <c r="BO38" i="151" s="1"/>
  <c r="AJ44" i="105"/>
  <c r="AV49" i="105"/>
  <c r="BW48" i="105"/>
  <c r="AO58" i="105"/>
  <c r="AM49" i="105"/>
  <c r="AP74" i="105"/>
  <c r="AK38" i="151" s="1"/>
  <c r="K139" i="104"/>
  <c r="BU74" i="105"/>
  <c r="BP38" i="151" s="1"/>
  <c r="K139" i="103"/>
  <c r="AG124" i="104"/>
  <c r="AH58" i="105"/>
  <c r="BF124" i="104"/>
  <c r="BD57" i="105"/>
  <c r="AE124" i="103"/>
  <c r="AE124" i="104"/>
  <c r="AE124" i="99"/>
  <c r="BF124" i="103"/>
  <c r="AU48" i="105"/>
  <c r="AY44" i="105"/>
  <c r="BD44" i="105"/>
  <c r="BR57" i="105"/>
  <c r="BX74" i="105"/>
  <c r="BS38" i="151" s="1"/>
  <c r="BF181" i="99"/>
  <c r="BF189" i="99" s="1"/>
  <c r="BF201" i="99" s="1"/>
  <c r="BF209" i="99" s="1"/>
  <c r="BS48" i="105"/>
  <c r="AI74" i="105"/>
  <c r="AD38" i="151" s="1"/>
  <c r="BS58" i="105"/>
  <c r="BM74" i="105"/>
  <c r="BH38" i="151" s="1"/>
  <c r="AA50" i="105"/>
  <c r="AO50" i="105"/>
  <c r="BR58" i="105"/>
  <c r="BB181" i="99"/>
  <c r="BB189" i="99" s="1"/>
  <c r="BB201" i="99" s="1"/>
  <c r="BB217" i="99" s="1"/>
  <c r="BI318" i="154"/>
  <c r="BI320" i="154" s="1"/>
  <c r="BI35" i="154" s="1"/>
  <c r="BI100" i="154" s="1"/>
  <c r="BI296" i="154"/>
  <c r="BI31" i="154" s="1"/>
  <c r="BY48" i="105"/>
  <c r="BT52" i="103"/>
  <c r="BF74" i="105"/>
  <c r="BA38" i="151" s="1"/>
  <c r="L74" i="103"/>
  <c r="BE181" i="99"/>
  <c r="BE189" i="99" s="1"/>
  <c r="BE332" i="99" s="1"/>
  <c r="BE342" i="99" s="1"/>
  <c r="AZ181" i="99"/>
  <c r="AZ189" i="99" s="1"/>
  <c r="AZ201" i="99" s="1"/>
  <c r="AZ217" i="99" s="1"/>
  <c r="BF274" i="154"/>
  <c r="BF276" i="154" s="1"/>
  <c r="BF26" i="154" s="1"/>
  <c r="BF91" i="154" s="1"/>
  <c r="BF467" i="154"/>
  <c r="BF252" i="154"/>
  <c r="BF22" i="154" s="1"/>
  <c r="BF258" i="154"/>
  <c r="BF260" i="154" s="1"/>
  <c r="BF23" i="154" s="1"/>
  <c r="BF88" i="154" s="1"/>
  <c r="BD302" i="154"/>
  <c r="BD304" i="154" s="1"/>
  <c r="BD32" i="154" s="1"/>
  <c r="BD97" i="154" s="1"/>
  <c r="BD296" i="154"/>
  <c r="BD31" i="154" s="1"/>
  <c r="BD310" i="154"/>
  <c r="BD312" i="154" s="1"/>
  <c r="BD33" i="154" s="1"/>
  <c r="BD98" i="154" s="1"/>
  <c r="BD318" i="154"/>
  <c r="BD320" i="154" s="1"/>
  <c r="BD35" i="154" s="1"/>
  <c r="BD100" i="154" s="1"/>
  <c r="AZ274" i="154"/>
  <c r="AZ276" i="154" s="1"/>
  <c r="AZ26" i="154" s="1"/>
  <c r="AZ91" i="154" s="1"/>
  <c r="AZ467" i="154"/>
  <c r="AZ252" i="154"/>
  <c r="AZ22" i="154" s="1"/>
  <c r="AZ266" i="154"/>
  <c r="AZ268" i="154" s="1"/>
  <c r="AZ24" i="154" s="1"/>
  <c r="AZ89" i="154" s="1"/>
  <c r="AZ258" i="154"/>
  <c r="AZ260" i="154" s="1"/>
  <c r="AZ23" i="154" s="1"/>
  <c r="AZ88" i="154" s="1"/>
  <c r="BH302" i="154"/>
  <c r="BH304" i="154" s="1"/>
  <c r="BH32" i="154" s="1"/>
  <c r="BH97" i="154" s="1"/>
  <c r="BH296" i="154"/>
  <c r="BH31" i="154" s="1"/>
  <c r="BH318" i="154"/>
  <c r="BH320" i="154" s="1"/>
  <c r="BH35" i="154" s="1"/>
  <c r="BH100" i="154" s="1"/>
  <c r="AZ258" i="155"/>
  <c r="AZ467" i="155"/>
  <c r="AZ266" i="155"/>
  <c r="AY181" i="99"/>
  <c r="AY189" i="99" s="1"/>
  <c r="AY201" i="99" s="1"/>
  <c r="AY209" i="99" s="1"/>
  <c r="BI310" i="154"/>
  <c r="BI312" i="154" s="1"/>
  <c r="BI33" i="154" s="1"/>
  <c r="BI98" i="154" s="1"/>
  <c r="AX181" i="99"/>
  <c r="AX189" i="99" s="1"/>
  <c r="AX332" i="99" s="1"/>
  <c r="AX342" i="99" s="1"/>
  <c r="BC181" i="99"/>
  <c r="BC189" i="99" s="1"/>
  <c r="BC201" i="99" s="1"/>
  <c r="BC209" i="99" s="1"/>
  <c r="BI302" i="154"/>
  <c r="BI304" i="154" s="1"/>
  <c r="BI32" i="154" s="1"/>
  <c r="BI97" i="154" s="1"/>
  <c r="AX310" i="155"/>
  <c r="BB258" i="154"/>
  <c r="BB260" i="154" s="1"/>
  <c r="BB23" i="154" s="1"/>
  <c r="BS219" i="154"/>
  <c r="AZ318" i="155"/>
  <c r="BV242" i="154"/>
  <c r="BV211" i="154"/>
  <c r="AJ52" i="103"/>
  <c r="AY318" i="154"/>
  <c r="AY320" i="154" s="1"/>
  <c r="AY35" i="154" s="1"/>
  <c r="AY100" i="154" s="1"/>
  <c r="AY296" i="154"/>
  <c r="AY31" i="154" s="1"/>
  <c r="BH266" i="155"/>
  <c r="BH467" i="155"/>
  <c r="BE266" i="154"/>
  <c r="BE268" i="154" s="1"/>
  <c r="BE24" i="154" s="1"/>
  <c r="BE89" i="154" s="1"/>
  <c r="BE467" i="154"/>
  <c r="BE252" i="154"/>
  <c r="BE22" i="154" s="1"/>
  <c r="BJ250" i="155"/>
  <c r="BD266" i="154"/>
  <c r="BD268" i="154" s="1"/>
  <c r="BD24" i="154" s="1"/>
  <c r="BD89" i="154" s="1"/>
  <c r="BD467" i="154"/>
  <c r="BD252" i="154"/>
  <c r="BD22" i="154" s="1"/>
  <c r="AQ44" i="105"/>
  <c r="BV286" i="154"/>
  <c r="BV219" i="154"/>
  <c r="T218" i="99"/>
  <c r="T287" i="99" s="1"/>
  <c r="T295" i="99" s="1"/>
  <c r="T311" i="99" s="1"/>
  <c r="T210" i="99"/>
  <c r="T243" i="99" s="1"/>
  <c r="T251" i="99" s="1"/>
  <c r="BJ74" i="105"/>
  <c r="BE38" i="151" s="1"/>
  <c r="BB266" i="154"/>
  <c r="BB268" i="154" s="1"/>
  <c r="BB24" i="154" s="1"/>
  <c r="BB467" i="154"/>
  <c r="BB252" i="154"/>
  <c r="BB22" i="154" s="1"/>
  <c r="AZ302" i="155"/>
  <c r="BW58" i="105"/>
  <c r="BA258" i="154"/>
  <c r="BA260" i="154" s="1"/>
  <c r="BA23" i="154" s="1"/>
  <c r="BA88" i="154" s="1"/>
  <c r="BA467" i="154"/>
  <c r="BA252" i="154"/>
  <c r="BA22" i="154" s="1"/>
  <c r="BW286" i="154"/>
  <c r="BW219" i="154"/>
  <c r="CD74" i="105"/>
  <c r="BY38" i="151" s="1"/>
  <c r="CC74" i="105"/>
  <c r="BX38" i="151" s="1"/>
  <c r="BZ74" i="105"/>
  <c r="BU38" i="151" s="1"/>
  <c r="BM124" i="103"/>
  <c r="BM124" i="99"/>
  <c r="BM124" i="104"/>
  <c r="BX242" i="154"/>
  <c r="BX211" i="154"/>
  <c r="BL294" i="155"/>
  <c r="BL310" i="155" s="1"/>
  <c r="CB51" i="105"/>
  <c r="BF302" i="154"/>
  <c r="BF304" i="154" s="1"/>
  <c r="BF32" i="154" s="1"/>
  <c r="BF97" i="154" s="1"/>
  <c r="BF296" i="154"/>
  <c r="BF31" i="154" s="1"/>
  <c r="BW242" i="154"/>
  <c r="BW211" i="154"/>
  <c r="BK250" i="155"/>
  <c r="BR49" i="105"/>
  <c r="V52" i="103"/>
  <c r="BX286" i="154"/>
  <c r="BX219" i="154"/>
  <c r="BT44" i="105"/>
  <c r="BZ50" i="105"/>
  <c r="BF302" i="155"/>
  <c r="BL250" i="154"/>
  <c r="BL244" i="154"/>
  <c r="BU211" i="154"/>
  <c r="BB274" i="155"/>
  <c r="BB467" i="155"/>
  <c r="BC274" i="155"/>
  <c r="BJ294" i="155"/>
  <c r="BJ302" i="155" s="1"/>
  <c r="BI318" i="155"/>
  <c r="BC266" i="154"/>
  <c r="BC268" i="154" s="1"/>
  <c r="BC24" i="154" s="1"/>
  <c r="BC89" i="154" s="1"/>
  <c r="BU219" i="154"/>
  <c r="BT48" i="105"/>
  <c r="BO52" i="103"/>
  <c r="AX274" i="155"/>
  <c r="AX467" i="155"/>
  <c r="BI44" i="105"/>
  <c r="BK294" i="154"/>
  <c r="BK302" i="154" s="1"/>
  <c r="BK304" i="154" s="1"/>
  <c r="BK32" i="154" s="1"/>
  <c r="BK97" i="154" s="1"/>
  <c r="BK288" i="154"/>
  <c r="AX258" i="154"/>
  <c r="AX260" i="154" s="1"/>
  <c r="AX23" i="154" s="1"/>
  <c r="AX467" i="154"/>
  <c r="AX252" i="154"/>
  <c r="AX22" i="154" s="1"/>
  <c r="BL48" i="105"/>
  <c r="BL294" i="154"/>
  <c r="BL318" i="154" s="1"/>
  <c r="BL320" i="154" s="1"/>
  <c r="BL35" i="154" s="1"/>
  <c r="BL100" i="154" s="1"/>
  <c r="BL288" i="154"/>
  <c r="AY274" i="155"/>
  <c r="AY467" i="155"/>
  <c r="BC266" i="155"/>
  <c r="BC467" i="155"/>
  <c r="BR219" i="154"/>
  <c r="BC258" i="154"/>
  <c r="BC260" i="154" s="1"/>
  <c r="BC23" i="154" s="1"/>
  <c r="BC88" i="154" s="1"/>
  <c r="BC467" i="154"/>
  <c r="BC252" i="154"/>
  <c r="BC22" i="154" s="1"/>
  <c r="BX286" i="155"/>
  <c r="X124" i="103"/>
  <c r="X124" i="104"/>
  <c r="AF57" i="105"/>
  <c r="BE302" i="154"/>
  <c r="BE304" i="154" s="1"/>
  <c r="BE32" i="154" s="1"/>
  <c r="BE97" i="154" s="1"/>
  <c r="BE296" i="154"/>
  <c r="BE31" i="154" s="1"/>
  <c r="BR211" i="154"/>
  <c r="BK250" i="154"/>
  <c r="BK244" i="154"/>
  <c r="BL74" i="105"/>
  <c r="BG38" i="151" s="1"/>
  <c r="BA302" i="155"/>
  <c r="BG318" i="155"/>
  <c r="BA266" i="155"/>
  <c r="BE302" i="155"/>
  <c r="BX242" i="155"/>
  <c r="AC58" i="105"/>
  <c r="BV242" i="155"/>
  <c r="BG302" i="155"/>
  <c r="AO51" i="105"/>
  <c r="BH318" i="155"/>
  <c r="BG258" i="155"/>
  <c r="BG467" i="155"/>
  <c r="V210" i="99"/>
  <c r="V243" i="99" s="1"/>
  <c r="V251" i="99" s="1"/>
  <c r="V218" i="99"/>
  <c r="V287" i="99" s="1"/>
  <c r="V295" i="99" s="1"/>
  <c r="V303" i="99" s="1"/>
  <c r="BV286" i="155"/>
  <c r="BA318" i="155"/>
  <c r="BA258" i="155"/>
  <c r="BA467" i="155"/>
  <c r="Y218" i="99"/>
  <c r="Y287" i="99" s="1"/>
  <c r="Y295" i="99" s="1"/>
  <c r="Y319" i="99" s="1"/>
  <c r="Y210" i="99"/>
  <c r="Y243" i="99" s="1"/>
  <c r="Y251" i="99" s="1"/>
  <c r="BE310" i="155"/>
  <c r="BT211" i="154"/>
  <c r="AC57" i="105"/>
  <c r="AZ302" i="154"/>
  <c r="AZ304" i="154" s="1"/>
  <c r="AZ32" i="154" s="1"/>
  <c r="AZ97" i="154" s="1"/>
  <c r="BC302" i="155"/>
  <c r="R218" i="99"/>
  <c r="R287" i="99" s="1"/>
  <c r="R295" i="99" s="1"/>
  <c r="R311" i="99" s="1"/>
  <c r="R210" i="99"/>
  <c r="R243" i="99" s="1"/>
  <c r="Z57" i="105"/>
  <c r="BH302" i="155"/>
  <c r="BV50" i="105"/>
  <c r="BB302" i="155"/>
  <c r="BT219" i="154"/>
  <c r="AY310" i="155"/>
  <c r="X210" i="99"/>
  <c r="X243" i="99" s="1"/>
  <c r="X251" i="99" s="1"/>
  <c r="X218" i="99"/>
  <c r="X287" i="99" s="1"/>
  <c r="X295" i="99" s="1"/>
  <c r="X319" i="99" s="1"/>
  <c r="CB57" i="105"/>
  <c r="U210" i="99"/>
  <c r="U243" i="99" s="1"/>
  <c r="U251" i="99" s="1"/>
  <c r="U218" i="99"/>
  <c r="U287" i="99" s="1"/>
  <c r="U295" i="99" s="1"/>
  <c r="U311" i="99" s="1"/>
  <c r="BW286" i="155"/>
  <c r="AY124" i="104"/>
  <c r="AY124" i="103"/>
  <c r="AY124" i="99"/>
  <c r="AZ318" i="154"/>
  <c r="AZ320" i="154" s="1"/>
  <c r="AZ35" i="154" s="1"/>
  <c r="AZ100" i="154" s="1"/>
  <c r="AZ296" i="154"/>
  <c r="AZ31" i="154" s="1"/>
  <c r="BC310" i="155"/>
  <c r="BW242" i="155"/>
  <c r="BB310" i="155"/>
  <c r="BG318" i="154"/>
  <c r="BG320" i="154" s="1"/>
  <c r="BG35" i="154" s="1"/>
  <c r="BG100" i="154" s="1"/>
  <c r="BG296" i="154"/>
  <c r="BG31" i="154" s="1"/>
  <c r="BG266" i="154"/>
  <c r="BG268" i="154" s="1"/>
  <c r="BG24" i="154" s="1"/>
  <c r="BG89" i="154" s="1"/>
  <c r="BG467" i="154"/>
  <c r="BG252" i="154"/>
  <c r="BG22" i="154" s="1"/>
  <c r="AY74" i="105"/>
  <c r="AT38" i="151" s="1"/>
  <c r="AY258" i="154"/>
  <c r="AY260" i="154" s="1"/>
  <c r="AY23" i="154" s="1"/>
  <c r="AY88" i="154" s="1"/>
  <c r="AY467" i="154"/>
  <c r="AY252" i="154"/>
  <c r="AY22" i="154" s="1"/>
  <c r="AM51" i="105"/>
  <c r="BP211" i="154"/>
  <c r="BF274" i="155"/>
  <c r="BF467" i="155"/>
  <c r="BD274" i="155"/>
  <c r="AV57" i="105"/>
  <c r="CB50" i="105"/>
  <c r="BD302" i="155"/>
  <c r="AY57" i="105"/>
  <c r="BJ250" i="154"/>
  <c r="BJ244" i="154"/>
  <c r="BP219" i="154"/>
  <c r="BG49" i="105"/>
  <c r="AX318" i="154"/>
  <c r="AX320" i="154" s="1"/>
  <c r="AX35" i="154" s="1"/>
  <c r="AX296" i="154"/>
  <c r="AX31" i="154" s="1"/>
  <c r="BC302" i="154"/>
  <c r="BC304" i="154" s="1"/>
  <c r="BC32" i="154" s="1"/>
  <c r="BC97" i="154" s="1"/>
  <c r="BC296" i="154"/>
  <c r="BC31" i="154" s="1"/>
  <c r="BL250" i="155"/>
  <c r="AR74" i="105"/>
  <c r="AM38" i="151" s="1"/>
  <c r="S218" i="99"/>
  <c r="S287" i="99" s="1"/>
  <c r="S295" i="99" s="1"/>
  <c r="S303" i="99" s="1"/>
  <c r="S210" i="99"/>
  <c r="S243" i="99" s="1"/>
  <c r="S251" i="99" s="1"/>
  <c r="BD266" i="155"/>
  <c r="BD467" i="155"/>
  <c r="BI258" i="154"/>
  <c r="BI260" i="154" s="1"/>
  <c r="BI23" i="154" s="1"/>
  <c r="BI88" i="154" s="1"/>
  <c r="BI467" i="154"/>
  <c r="BI252" i="154"/>
  <c r="BI22" i="154" s="1"/>
  <c r="AB124" i="103"/>
  <c r="AB124" i="99"/>
  <c r="AB124" i="104"/>
  <c r="BA318" i="154"/>
  <c r="BA320" i="154" s="1"/>
  <c r="BA35" i="154" s="1"/>
  <c r="BA100" i="154" s="1"/>
  <c r="BA296" i="154"/>
  <c r="BA31" i="154" s="1"/>
  <c r="AX318" i="155"/>
  <c r="BD49" i="105"/>
  <c r="BE258" i="155"/>
  <c r="BE467" i="155"/>
  <c r="BI258" i="155"/>
  <c r="BI467" i="155"/>
  <c r="BH274" i="154"/>
  <c r="BH276" i="154" s="1"/>
  <c r="BH26" i="154" s="1"/>
  <c r="BH91" i="154" s="1"/>
  <c r="BH467" i="154"/>
  <c r="BH252" i="154"/>
  <c r="BH22" i="154" s="1"/>
  <c r="AY310" i="154"/>
  <c r="AY312" i="154" s="1"/>
  <c r="AY33" i="154" s="1"/>
  <c r="AY98" i="154" s="1"/>
  <c r="W218" i="99"/>
  <c r="W287" i="99" s="1"/>
  <c r="W295" i="99" s="1"/>
  <c r="W311" i="99" s="1"/>
  <c r="W210" i="99"/>
  <c r="W243" i="99" s="1"/>
  <c r="W251" i="99" s="1"/>
  <c r="CB44" i="105"/>
  <c r="AG57" i="105"/>
  <c r="BH274" i="155"/>
  <c r="BE274" i="154"/>
  <c r="BE276" i="154" s="1"/>
  <c r="BE26" i="154" s="1"/>
  <c r="BE91" i="154" s="1"/>
  <c r="AX302" i="155"/>
  <c r="BD274" i="154"/>
  <c r="BD276" i="154" s="1"/>
  <c r="BD26" i="154" s="1"/>
  <c r="BD91" i="154" s="1"/>
  <c r="AJ58" i="105"/>
  <c r="BS211" i="154"/>
  <c r="BB310" i="154"/>
  <c r="BB312" i="154" s="1"/>
  <c r="BB33" i="154" s="1"/>
  <c r="BB296" i="154"/>
  <c r="BB31" i="154" s="1"/>
  <c r="BX50" i="105"/>
  <c r="BJ294" i="154"/>
  <c r="BJ318" i="154" s="1"/>
  <c r="BJ320" i="154" s="1"/>
  <c r="BJ35" i="154" s="1"/>
  <c r="BJ100" i="154" s="1"/>
  <c r="BJ288" i="154"/>
  <c r="AY302" i="154"/>
  <c r="AY304" i="154" s="1"/>
  <c r="AY32" i="154" s="1"/>
  <c r="AY97" i="154" s="1"/>
  <c r="BK294" i="155"/>
  <c r="BK302" i="155" s="1"/>
  <c r="BW52" i="103"/>
  <c r="R263" i="99"/>
  <c r="R271" i="99"/>
  <c r="R318" i="99"/>
  <c r="R302" i="99"/>
  <c r="R316" i="99"/>
  <c r="R265" i="99"/>
  <c r="R308" i="99"/>
  <c r="R272" i="99"/>
  <c r="BH52" i="105"/>
  <c r="BC52" i="105"/>
  <c r="AP52" i="105"/>
  <c r="BN52" i="105"/>
  <c r="BJ52" i="105"/>
  <c r="Z52" i="105"/>
  <c r="AC52" i="105"/>
  <c r="R301" i="99"/>
  <c r="R317" i="99"/>
  <c r="R256" i="99"/>
  <c r="R465" i="99"/>
  <c r="R464" i="99"/>
  <c r="R299" i="99"/>
  <c r="R307" i="99"/>
  <c r="R274" i="99"/>
  <c r="BB52" i="105"/>
  <c r="R258" i="99"/>
  <c r="R467" i="99"/>
  <c r="R257" i="99"/>
  <c r="R466" i="99"/>
  <c r="AF52" i="105"/>
  <c r="BO310" i="154"/>
  <c r="BO312" i="154" s="1"/>
  <c r="BO33" i="154" s="1"/>
  <c r="BO98" i="154" s="1"/>
  <c r="BQ310" i="154"/>
  <c r="BQ312" i="154" s="1"/>
  <c r="BQ33" i="154" s="1"/>
  <c r="BQ98" i="154" s="1"/>
  <c r="BO318" i="155"/>
  <c r="BM258" i="154"/>
  <c r="BM260" i="154" s="1"/>
  <c r="BM23" i="154" s="1"/>
  <c r="BM88" i="154" s="1"/>
  <c r="BO258" i="154"/>
  <c r="BO260" i="154" s="1"/>
  <c r="BO23" i="154" s="1"/>
  <c r="BO88" i="154" s="1"/>
  <c r="BM302" i="155"/>
  <c r="BN258" i="155"/>
  <c r="BP266" i="155"/>
  <c r="BN310" i="154"/>
  <c r="BN312" i="154" s="1"/>
  <c r="BN33" i="154" s="1"/>
  <c r="BR258" i="155"/>
  <c r="BM318" i="154"/>
  <c r="BM320" i="154" s="1"/>
  <c r="BM35" i="154" s="1"/>
  <c r="BM100" i="154" s="1"/>
  <c r="BP318" i="155"/>
  <c r="BO258" i="155"/>
  <c r="BP310" i="154"/>
  <c r="BQ258" i="155"/>
  <c r="BQ266" i="154"/>
  <c r="BN266" i="154"/>
  <c r="BN268" i="154" s="1"/>
  <c r="BN24" i="154" s="1"/>
  <c r="BR266" i="155"/>
  <c r="BQ302" i="154"/>
  <c r="BQ296" i="154"/>
  <c r="BQ31" i="154" s="1"/>
  <c r="BN274" i="154"/>
  <c r="BN276" i="154" s="1"/>
  <c r="BN26" i="154" s="1"/>
  <c r="BN467" i="154"/>
  <c r="BN252" i="154"/>
  <c r="BN22" i="154" s="1"/>
  <c r="BQ258" i="154"/>
  <c r="BQ467" i="154"/>
  <c r="BQ252" i="154"/>
  <c r="BQ22" i="154" s="1"/>
  <c r="BO318" i="154"/>
  <c r="BO320" i="154" s="1"/>
  <c r="BO35" i="154" s="1"/>
  <c r="BO100" i="154" s="1"/>
  <c r="BO296" i="154"/>
  <c r="BO31" i="154" s="1"/>
  <c r="BN302" i="154"/>
  <c r="BN304" i="154" s="1"/>
  <c r="BN32" i="154" s="1"/>
  <c r="BP274" i="155"/>
  <c r="BP467" i="155"/>
  <c r="BN318" i="154"/>
  <c r="BN320" i="154" s="1"/>
  <c r="BN35" i="154" s="1"/>
  <c r="BO266" i="154"/>
  <c r="BO268" i="154" s="1"/>
  <c r="BO24" i="154" s="1"/>
  <c r="BO89" i="154" s="1"/>
  <c r="BO467" i="154"/>
  <c r="BO252" i="154"/>
  <c r="BO22" i="154" s="1"/>
  <c r="BP258" i="154"/>
  <c r="BO266" i="155"/>
  <c r="BO467" i="155"/>
  <c r="BP266" i="154"/>
  <c r="BP467" i="154"/>
  <c r="BM302" i="154"/>
  <c r="BM304" i="154" s="1"/>
  <c r="BM32" i="154" s="1"/>
  <c r="BM97" i="154" s="1"/>
  <c r="BM296" i="154"/>
  <c r="BM31" i="154" s="1"/>
  <c r="BM274" i="154"/>
  <c r="BM276" i="154" s="1"/>
  <c r="BM26" i="154" s="1"/>
  <c r="BM91" i="154" s="1"/>
  <c r="BM467" i="154"/>
  <c r="BM252" i="154"/>
  <c r="BM22" i="154" s="1"/>
  <c r="BP310" i="155"/>
  <c r="BN302" i="155"/>
  <c r="BM318" i="155"/>
  <c r="BN177" i="153"/>
  <c r="BN183" i="153" s="1"/>
  <c r="BM266" i="155"/>
  <c r="BP302" i="154"/>
  <c r="BN266" i="155"/>
  <c r="BN467" i="155"/>
  <c r="BO310" i="155"/>
  <c r="BN310" i="155"/>
  <c r="BQ310" i="155"/>
  <c r="BM258" i="155"/>
  <c r="BM467" i="155"/>
  <c r="BQ274" i="155"/>
  <c r="BQ467" i="155"/>
  <c r="BQ318" i="155"/>
  <c r="BS258" i="155"/>
  <c r="BT266" i="155"/>
  <c r="BR318" i="154"/>
  <c r="BU274" i="154"/>
  <c r="BU310" i="154"/>
  <c r="BS318" i="155"/>
  <c r="BU310" i="155"/>
  <c r="BS310" i="154"/>
  <c r="BR302" i="155"/>
  <c r="BR274" i="154"/>
  <c r="BT318" i="154"/>
  <c r="BT310" i="155"/>
  <c r="BU274" i="155"/>
  <c r="BU266" i="155"/>
  <c r="BU467" i="155"/>
  <c r="BT274" i="154"/>
  <c r="BT258" i="154"/>
  <c r="BT467" i="154"/>
  <c r="BU318" i="155"/>
  <c r="BS318" i="154"/>
  <c r="BS310" i="155"/>
  <c r="BS274" i="155"/>
  <c r="BS467" i="155"/>
  <c r="BU302" i="154"/>
  <c r="BR467" i="155"/>
  <c r="BR266" i="154"/>
  <c r="BR467" i="154"/>
  <c r="BT274" i="155"/>
  <c r="BT467" i="155"/>
  <c r="BS258" i="154"/>
  <c r="BU258" i="154"/>
  <c r="BU467" i="154"/>
  <c r="BS274" i="154"/>
  <c r="BS467" i="154"/>
  <c r="BR318" i="155"/>
  <c r="BT302" i="154"/>
  <c r="BR302" i="154"/>
  <c r="BT310" i="154"/>
  <c r="BT318" i="155"/>
  <c r="BM177" i="153"/>
  <c r="BM185" i="153" s="1"/>
  <c r="BY312" i="154"/>
  <c r="BY33" i="154" s="1"/>
  <c r="BY98" i="154" s="1"/>
  <c r="BY288" i="154"/>
  <c r="BQ177" i="153"/>
  <c r="BQ183" i="153" s="1"/>
  <c r="BP177" i="153"/>
  <c r="BP185" i="153" s="1"/>
  <c r="BO177" i="153"/>
  <c r="BO185" i="153" s="1"/>
  <c r="BY244" i="154"/>
  <c r="BR177" i="153"/>
  <c r="BR183" i="153" s="1"/>
  <c r="CD57" i="105"/>
  <c r="P50" i="99"/>
  <c r="N115" i="99"/>
  <c r="P115" i="99" s="1"/>
  <c r="CD58" i="105"/>
  <c r="BT177" i="153"/>
  <c r="BT183" i="153" s="1"/>
  <c r="BS177" i="153"/>
  <c r="BS183" i="153" s="1"/>
  <c r="BW551" i="99"/>
  <c r="AU207" i="99"/>
  <c r="AU240" i="99" s="1"/>
  <c r="AU248" i="99" s="1"/>
  <c r="CD44" i="105"/>
  <c r="CD49" i="105"/>
  <c r="CC48" i="105"/>
  <c r="CD51" i="105"/>
  <c r="CD50" i="105"/>
  <c r="AM317" i="99"/>
  <c r="AH256" i="99"/>
  <c r="T183" i="99"/>
  <c r="S183" i="99"/>
  <c r="N114" i="99"/>
  <c r="P114" i="99" s="1"/>
  <c r="N114" i="103"/>
  <c r="P114" i="103" s="1"/>
  <c r="AI183" i="153"/>
  <c r="AF316" i="99"/>
  <c r="AF308" i="99"/>
  <c r="BP181" i="99"/>
  <c r="BP189" i="99" s="1"/>
  <c r="BP332" i="99" s="1"/>
  <c r="Z264" i="99"/>
  <c r="AA264" i="99"/>
  <c r="V265" i="99"/>
  <c r="Y308" i="99"/>
  <c r="V316" i="99"/>
  <c r="X317" i="99"/>
  <c r="AK308" i="99"/>
  <c r="AA300" i="99"/>
  <c r="P49" i="99"/>
  <c r="V301" i="99"/>
  <c r="AM257" i="99"/>
  <c r="M122" i="104"/>
  <c r="K115" i="104"/>
  <c r="N122" i="104"/>
  <c r="P122" i="104" s="1"/>
  <c r="L122" i="104"/>
  <c r="AP301" i="99"/>
  <c r="K122" i="104"/>
  <c r="N48" i="99"/>
  <c r="BY113" i="104"/>
  <c r="BY48" i="104" s="1"/>
  <c r="J122" i="104"/>
  <c r="U256" i="99"/>
  <c r="AJ264" i="99"/>
  <c r="N115" i="104"/>
  <c r="P115" i="104" s="1"/>
  <c r="BH199" i="99"/>
  <c r="BH207" i="99" s="1"/>
  <c r="BH240" i="99" s="1"/>
  <c r="N123" i="104"/>
  <c r="P123" i="104" s="1"/>
  <c r="BY124" i="104"/>
  <c r="M123" i="104"/>
  <c r="N109" i="104"/>
  <c r="P109" i="104" s="1"/>
  <c r="N114" i="104"/>
  <c r="P114" i="104" s="1"/>
  <c r="N116" i="104"/>
  <c r="P116" i="104" s="1"/>
  <c r="J114" i="104"/>
  <c r="K109" i="104"/>
  <c r="BX117" i="104"/>
  <c r="BX52" i="104" s="1"/>
  <c r="K116" i="104"/>
  <c r="L123" i="104"/>
  <c r="J123" i="104"/>
  <c r="K114" i="104"/>
  <c r="BI330" i="99"/>
  <c r="BI340" i="99" s="1"/>
  <c r="AJ185" i="153"/>
  <c r="AJ328" i="153" s="1"/>
  <c r="W265" i="99"/>
  <c r="AL257" i="99"/>
  <c r="X309" i="99"/>
  <c r="AQ309" i="99"/>
  <c r="AF272" i="99"/>
  <c r="AO309" i="99"/>
  <c r="X300" i="99"/>
  <c r="X316" i="99"/>
  <c r="AN273" i="99"/>
  <c r="U316" i="99"/>
  <c r="Z308" i="99"/>
  <c r="AI256" i="99"/>
  <c r="AM301" i="99"/>
  <c r="BT179" i="99"/>
  <c r="BT187" i="99" s="1"/>
  <c r="BS179" i="99"/>
  <c r="BS187" i="99" s="1"/>
  <c r="V264" i="99"/>
  <c r="AI308" i="99"/>
  <c r="BG181" i="99"/>
  <c r="BG189" i="99" s="1"/>
  <c r="BG201" i="99" s="1"/>
  <c r="BG217" i="99" s="1"/>
  <c r="BH181" i="99"/>
  <c r="BH189" i="99" s="1"/>
  <c r="BI181" i="99"/>
  <c r="BI189" i="99" s="1"/>
  <c r="BI332" i="99" s="1"/>
  <c r="AI316" i="99"/>
  <c r="AV177" i="153"/>
  <c r="AV185" i="153" s="1"/>
  <c r="AC264" i="99"/>
  <c r="Y334" i="153"/>
  <c r="Y338" i="153"/>
  <c r="Y344" i="153" s="1"/>
  <c r="Y43" i="153" s="1"/>
  <c r="Y213" i="153"/>
  <c r="Y203" i="153"/>
  <c r="Y205" i="153"/>
  <c r="Z300" i="99"/>
  <c r="AQ301" i="99"/>
  <c r="AD256" i="99"/>
  <c r="AU177" i="153"/>
  <c r="AU183" i="153" s="1"/>
  <c r="Y301" i="99"/>
  <c r="AK300" i="99"/>
  <c r="AA308" i="99"/>
  <c r="V300" i="99"/>
  <c r="AO317" i="99"/>
  <c r="AN317" i="99"/>
  <c r="AP257" i="99"/>
  <c r="U183" i="99"/>
  <c r="W308" i="99"/>
  <c r="S257" i="99"/>
  <c r="AK328" i="153"/>
  <c r="AK191" i="153"/>
  <c r="AK197" i="153"/>
  <c r="W316" i="99"/>
  <c r="AE300" i="99"/>
  <c r="AE308" i="99"/>
  <c r="T272" i="99"/>
  <c r="AH308" i="99"/>
  <c r="AG272" i="99"/>
  <c r="BK199" i="99"/>
  <c r="BK330" i="99"/>
  <c r="BK340" i="99" s="1"/>
  <c r="AK256" i="99"/>
  <c r="AK465" i="99"/>
  <c r="U308" i="99"/>
  <c r="AO265" i="99"/>
  <c r="AO466" i="99"/>
  <c r="BJ330" i="99"/>
  <c r="BJ340" i="99" s="1"/>
  <c r="BJ199" i="99"/>
  <c r="AC197" i="153"/>
  <c r="AC191" i="153"/>
  <c r="AC328" i="153"/>
  <c r="AL248" i="99"/>
  <c r="AB328" i="153"/>
  <c r="AB197" i="153"/>
  <c r="AB191" i="153"/>
  <c r="AB272" i="99"/>
  <c r="AB465" i="99"/>
  <c r="U338" i="153"/>
  <c r="U344" i="153" s="1"/>
  <c r="U43" i="153" s="1"/>
  <c r="U334" i="153"/>
  <c r="T308" i="99"/>
  <c r="AL292" i="99"/>
  <c r="AL300" i="99" s="1"/>
  <c r="AJ300" i="99"/>
  <c r="U205" i="153"/>
  <c r="U213" i="153"/>
  <c r="U203" i="153"/>
  <c r="T316" i="99"/>
  <c r="AN257" i="99"/>
  <c r="AN466" i="99"/>
  <c r="BB215" i="99"/>
  <c r="BB284" i="99" s="1"/>
  <c r="BB207" i="99"/>
  <c r="BB240" i="99" s="1"/>
  <c r="X213" i="153"/>
  <c r="X205" i="153"/>
  <c r="X203" i="153"/>
  <c r="AJ316" i="99"/>
  <c r="BJ181" i="99"/>
  <c r="BJ189" i="99" s="1"/>
  <c r="BJ332" i="99" s="1"/>
  <c r="BM181" i="99"/>
  <c r="BM189" i="99" s="1"/>
  <c r="BM201" i="99" s="1"/>
  <c r="BL181" i="99"/>
  <c r="BL189" i="99" s="1"/>
  <c r="BL332" i="99" s="1"/>
  <c r="BO181" i="99"/>
  <c r="BO189" i="99" s="1"/>
  <c r="BO332" i="99" s="1"/>
  <c r="AV248" i="99"/>
  <c r="X338" i="153"/>
  <c r="X344" i="153" s="1"/>
  <c r="X43" i="153" s="1"/>
  <c r="X334" i="153"/>
  <c r="AV292" i="99"/>
  <c r="AV300" i="99" s="1"/>
  <c r="Z328" i="153"/>
  <c r="Z197" i="153"/>
  <c r="Z191" i="153"/>
  <c r="Y256" i="99"/>
  <c r="AE264" i="99"/>
  <c r="AL301" i="99"/>
  <c r="AN301" i="99"/>
  <c r="AP317" i="99"/>
  <c r="AT183" i="153"/>
  <c r="AT185" i="153"/>
  <c r="AJ256" i="99"/>
  <c r="AJ465" i="99"/>
  <c r="AD316" i="99"/>
  <c r="AT292" i="99"/>
  <c r="AT316" i="99" s="1"/>
  <c r="V317" i="99"/>
  <c r="AL309" i="99"/>
  <c r="AL273" i="99"/>
  <c r="AL466" i="99"/>
  <c r="AH197" i="153"/>
  <c r="AH328" i="153"/>
  <c r="AH191" i="153"/>
  <c r="AP183" i="153"/>
  <c r="AP185" i="153"/>
  <c r="AG264" i="99"/>
  <c r="AG465" i="99"/>
  <c r="AD300" i="99"/>
  <c r="S256" i="99"/>
  <c r="AE256" i="99"/>
  <c r="AE465" i="99"/>
  <c r="AW185" i="153"/>
  <c r="AW183" i="153"/>
  <c r="BA215" i="99"/>
  <c r="BA284" i="99" s="1"/>
  <c r="BA207" i="99"/>
  <c r="BA240" i="99" s="1"/>
  <c r="AM183" i="153"/>
  <c r="AM185" i="153"/>
  <c r="AR292" i="99"/>
  <c r="AR308" i="99" s="1"/>
  <c r="S338" i="153"/>
  <c r="S344" i="153" s="1"/>
  <c r="S43" i="153" s="1"/>
  <c r="S334" i="153"/>
  <c r="BR178" i="99"/>
  <c r="BR186" i="99" s="1"/>
  <c r="BS178" i="99"/>
  <c r="BS186" i="99" s="1"/>
  <c r="BT178" i="99"/>
  <c r="BT186" i="99" s="1"/>
  <c r="AQ292" i="99"/>
  <c r="AQ300" i="99" s="1"/>
  <c r="AU292" i="99"/>
  <c r="AU308" i="99" s="1"/>
  <c r="AF191" i="153"/>
  <c r="AF197" i="153"/>
  <c r="AF328" i="153"/>
  <c r="BF215" i="99"/>
  <c r="BF284" i="99" s="1"/>
  <c r="BF207" i="99"/>
  <c r="BF240" i="99" s="1"/>
  <c r="W338" i="153"/>
  <c r="W344" i="153" s="1"/>
  <c r="W43" i="153" s="1"/>
  <c r="W334" i="153"/>
  <c r="S213" i="153"/>
  <c r="S205" i="153"/>
  <c r="S203" i="153"/>
  <c r="V338" i="153"/>
  <c r="V344" i="153" s="1"/>
  <c r="V43" i="153" s="1"/>
  <c r="V334" i="153"/>
  <c r="AQ248" i="99"/>
  <c r="AS248" i="99"/>
  <c r="AS183" i="153"/>
  <c r="AS185" i="153"/>
  <c r="W205" i="153"/>
  <c r="W213" i="153"/>
  <c r="W203" i="153"/>
  <c r="AN248" i="99"/>
  <c r="U265" i="99"/>
  <c r="V213" i="153"/>
  <c r="V205" i="153"/>
  <c r="V203" i="153"/>
  <c r="AH264" i="99"/>
  <c r="AH465" i="99"/>
  <c r="AS292" i="99"/>
  <c r="AS300" i="99" s="1"/>
  <c r="AO185" i="153"/>
  <c r="AO183" i="153"/>
  <c r="AQ257" i="99"/>
  <c r="AN292" i="99"/>
  <c r="AN308" i="99" s="1"/>
  <c r="Z256" i="99"/>
  <c r="Z465" i="99"/>
  <c r="AZ215" i="99"/>
  <c r="AZ284" i="99" s="1"/>
  <c r="AZ207" i="99"/>
  <c r="AZ240" i="99" s="1"/>
  <c r="BC207" i="99"/>
  <c r="BC240" i="99" s="1"/>
  <c r="BC215" i="99"/>
  <c r="BC284" i="99" s="1"/>
  <c r="AL183" i="153"/>
  <c r="AL185" i="153"/>
  <c r="AI197" i="153"/>
  <c r="AI191" i="153"/>
  <c r="AI328" i="153"/>
  <c r="AQ265" i="99"/>
  <c r="AQ466" i="99"/>
  <c r="AD264" i="99"/>
  <c r="AD465" i="99"/>
  <c r="AA256" i="99"/>
  <c r="AA465" i="99"/>
  <c r="W272" i="99"/>
  <c r="AD191" i="153"/>
  <c r="AD197" i="153"/>
  <c r="AD328" i="153"/>
  <c r="AH300" i="99"/>
  <c r="AI272" i="99"/>
  <c r="AI465" i="99"/>
  <c r="AB300" i="99"/>
  <c r="AR185" i="153"/>
  <c r="AR183" i="153"/>
  <c r="BE215" i="99"/>
  <c r="BE284" i="99" s="1"/>
  <c r="BE207" i="99"/>
  <c r="BE240" i="99" s="1"/>
  <c r="BI207" i="99"/>
  <c r="BI240" i="99" s="1"/>
  <c r="BI215" i="99"/>
  <c r="BI284" i="99" s="1"/>
  <c r="AM265" i="99"/>
  <c r="AM466" i="99"/>
  <c r="BU177" i="153"/>
  <c r="BU183" i="153" s="1"/>
  <c r="BI177" i="153"/>
  <c r="AX177" i="153"/>
  <c r="BA177" i="153"/>
  <c r="BE177" i="153"/>
  <c r="BF177" i="153"/>
  <c r="AY177" i="153"/>
  <c r="BB177" i="153"/>
  <c r="BC177" i="153"/>
  <c r="BH177" i="153"/>
  <c r="BG177" i="153"/>
  <c r="AZ177" i="153"/>
  <c r="BD177" i="153"/>
  <c r="BR330" i="99"/>
  <c r="BR340" i="99" s="1"/>
  <c r="BR199" i="99"/>
  <c r="AW292" i="99"/>
  <c r="AW300" i="99" s="1"/>
  <c r="AB316" i="99"/>
  <c r="AN185" i="153"/>
  <c r="AN183" i="153"/>
  <c r="T338" i="153"/>
  <c r="T344" i="153" s="1"/>
  <c r="T43" i="153" s="1"/>
  <c r="T334" i="153"/>
  <c r="AM292" i="99"/>
  <c r="AM300" i="99" s="1"/>
  <c r="BQ330" i="99"/>
  <c r="BQ340" i="99" s="1"/>
  <c r="BQ199" i="99"/>
  <c r="AW248" i="99"/>
  <c r="AQ185" i="153"/>
  <c r="AQ183" i="153"/>
  <c r="AC256" i="99"/>
  <c r="AC465" i="99"/>
  <c r="T205" i="153"/>
  <c r="T213" i="153"/>
  <c r="T203" i="153"/>
  <c r="AM248" i="99"/>
  <c r="BO199" i="99"/>
  <c r="BO330" i="99"/>
  <c r="BO340" i="99" s="1"/>
  <c r="AO292" i="99"/>
  <c r="AO316" i="99" s="1"/>
  <c r="AP292" i="99"/>
  <c r="AP316" i="99" s="1"/>
  <c r="BP199" i="99"/>
  <c r="BP330" i="99"/>
  <c r="BP340" i="99" s="1"/>
  <c r="AX207" i="99"/>
  <c r="AX240" i="99" s="1"/>
  <c r="AX215" i="99"/>
  <c r="AX284" i="99" s="1"/>
  <c r="AY215" i="99"/>
  <c r="AY284" i="99" s="1"/>
  <c r="AY207" i="99"/>
  <c r="AY240" i="99" s="1"/>
  <c r="AG191" i="153"/>
  <c r="AG328" i="153"/>
  <c r="AG197" i="153"/>
  <c r="AO248" i="99"/>
  <c r="AF264" i="99"/>
  <c r="AF465" i="99"/>
  <c r="AP248" i="99"/>
  <c r="BN199" i="99"/>
  <c r="BN330" i="99"/>
  <c r="BN340" i="99" s="1"/>
  <c r="AP273" i="99"/>
  <c r="AP466" i="99"/>
  <c r="BD215" i="99"/>
  <c r="BD284" i="99" s="1"/>
  <c r="BD207" i="99"/>
  <c r="BD240" i="99" s="1"/>
  <c r="BM330" i="99"/>
  <c r="BM340" i="99" s="1"/>
  <c r="BM199" i="99"/>
  <c r="R213" i="153"/>
  <c r="R205" i="153"/>
  <c r="R203" i="153"/>
  <c r="AE328" i="153"/>
  <c r="AE197" i="153"/>
  <c r="AE191" i="153"/>
  <c r="AK272" i="99"/>
  <c r="AG308" i="99"/>
  <c r="AA191" i="153"/>
  <c r="AA328" i="153"/>
  <c r="AA197" i="153"/>
  <c r="AC308" i="99"/>
  <c r="AO257" i="99"/>
  <c r="BL199" i="99"/>
  <c r="BL330" i="99"/>
  <c r="BL340" i="99" s="1"/>
  <c r="R338" i="153"/>
  <c r="R344" i="153" s="1"/>
  <c r="R43" i="153" s="1"/>
  <c r="R334" i="153"/>
  <c r="AK264" i="99"/>
  <c r="AG300" i="99"/>
  <c r="AB264" i="99"/>
  <c r="AC316" i="99"/>
  <c r="AG249" i="99"/>
  <c r="AH293" i="99"/>
  <c r="AH309" i="99" s="1"/>
  <c r="AE249" i="99"/>
  <c r="X272" i="99"/>
  <c r="X465" i="99"/>
  <c r="BH333" i="99"/>
  <c r="BH343" i="99" s="1"/>
  <c r="BH202" i="99"/>
  <c r="S301" i="99"/>
  <c r="AG293" i="99"/>
  <c r="AG317" i="99" s="1"/>
  <c r="S465" i="99"/>
  <c r="AH249" i="99"/>
  <c r="Z251" i="99"/>
  <c r="BI333" i="99"/>
  <c r="BI343" i="99" s="1"/>
  <c r="BI202" i="99"/>
  <c r="AC249" i="99"/>
  <c r="BG202" i="99"/>
  <c r="BG333" i="99"/>
  <c r="BG343" i="99" s="1"/>
  <c r="AC293" i="99"/>
  <c r="AC317" i="99" s="1"/>
  <c r="AB295" i="99"/>
  <c r="AB311" i="99" s="1"/>
  <c r="S308" i="99"/>
  <c r="AT218" i="99"/>
  <c r="AT287" i="99" s="1"/>
  <c r="AT210" i="99"/>
  <c r="AT243" i="99" s="1"/>
  <c r="AU218" i="99"/>
  <c r="AU287" i="99" s="1"/>
  <c r="AU210" i="99"/>
  <c r="AU243" i="99" s="1"/>
  <c r="T301" i="99"/>
  <c r="BF333" i="99"/>
  <c r="BF343" i="99" s="1"/>
  <c r="BF202" i="99"/>
  <c r="AG295" i="99"/>
  <c r="AG303" i="99" s="1"/>
  <c r="U301" i="99"/>
  <c r="AD181" i="99"/>
  <c r="AD189" i="99" s="1"/>
  <c r="AE181" i="99"/>
  <c r="AE189" i="99" s="1"/>
  <c r="Z181" i="99"/>
  <c r="Z189" i="99" s="1"/>
  <c r="AA181" i="99"/>
  <c r="AA189" i="99" s="1"/>
  <c r="AB181" i="99"/>
  <c r="AB189" i="99" s="1"/>
  <c r="AC181" i="99"/>
  <c r="AC189" i="99" s="1"/>
  <c r="AJ181" i="99"/>
  <c r="AJ189" i="99" s="1"/>
  <c r="AI181" i="99"/>
  <c r="AI189" i="99" s="1"/>
  <c r="AH181" i="99"/>
  <c r="AH189" i="99" s="1"/>
  <c r="AG181" i="99"/>
  <c r="AG189" i="99" s="1"/>
  <c r="AK181" i="99"/>
  <c r="AK189" i="99" s="1"/>
  <c r="AF181" i="99"/>
  <c r="AF189" i="99" s="1"/>
  <c r="S300" i="99"/>
  <c r="AV218" i="99"/>
  <c r="AV287" i="99" s="1"/>
  <c r="AV210" i="99"/>
  <c r="AV243" i="99" s="1"/>
  <c r="T317" i="99"/>
  <c r="AB249" i="99"/>
  <c r="BE202" i="99"/>
  <c r="BE333" i="99"/>
  <c r="BE343" i="99" s="1"/>
  <c r="U317" i="99"/>
  <c r="AJ251" i="99"/>
  <c r="AK293" i="99"/>
  <c r="AK301" i="99" s="1"/>
  <c r="AB293" i="99"/>
  <c r="AB317" i="99" s="1"/>
  <c r="BD333" i="99"/>
  <c r="BD343" i="99" s="1"/>
  <c r="BD202" i="99"/>
  <c r="AR210" i="99"/>
  <c r="AR243" i="99" s="1"/>
  <c r="AR218" i="99"/>
  <c r="AR287" i="99" s="1"/>
  <c r="AS218" i="99"/>
  <c r="AS287" i="99" s="1"/>
  <c r="AS210" i="99"/>
  <c r="AS243" i="99" s="1"/>
  <c r="AJ295" i="99"/>
  <c r="AJ303" i="99" s="1"/>
  <c r="AK249" i="99"/>
  <c r="BC333" i="99"/>
  <c r="BC343" i="99" s="1"/>
  <c r="BC202" i="99"/>
  <c r="AL210" i="99"/>
  <c r="AL243" i="99" s="1"/>
  <c r="AL218" i="99"/>
  <c r="AL287" i="99" s="1"/>
  <c r="AQ218" i="99"/>
  <c r="AQ287" i="99" s="1"/>
  <c r="AQ210" i="99"/>
  <c r="AQ243" i="99" s="1"/>
  <c r="BB333" i="99"/>
  <c r="BB343" i="99" s="1"/>
  <c r="BB202" i="99"/>
  <c r="U257" i="99"/>
  <c r="U466" i="99"/>
  <c r="AD293" i="99"/>
  <c r="AD309" i="99" s="1"/>
  <c r="AD251" i="99"/>
  <c r="V256" i="99"/>
  <c r="V465" i="99"/>
  <c r="AA249" i="99"/>
  <c r="AZ333" i="99"/>
  <c r="AZ343" i="99" s="1"/>
  <c r="AZ202" i="99"/>
  <c r="AD249" i="99"/>
  <c r="AA293" i="99"/>
  <c r="AA301" i="99" s="1"/>
  <c r="BA202" i="99"/>
  <c r="BA333" i="99"/>
  <c r="BA343" i="99" s="1"/>
  <c r="AY333" i="99"/>
  <c r="AY343" i="99" s="1"/>
  <c r="AY202" i="99"/>
  <c r="Y273" i="99"/>
  <c r="W273" i="99"/>
  <c r="W466" i="99"/>
  <c r="T257" i="99"/>
  <c r="AX333" i="99"/>
  <c r="AX343" i="99" s="1"/>
  <c r="AX202" i="99"/>
  <c r="X257" i="99"/>
  <c r="AC295" i="99"/>
  <c r="AC311" i="99" s="1"/>
  <c r="X201" i="99"/>
  <c r="X332" i="99"/>
  <c r="X342" i="99" s="1"/>
  <c r="Y300" i="99"/>
  <c r="BJ182" i="99"/>
  <c r="BJ190" i="99" s="1"/>
  <c r="BK182" i="99"/>
  <c r="BK190" i="99" s="1"/>
  <c r="BL182" i="99"/>
  <c r="BL190" i="99" s="1"/>
  <c r="BM182" i="99"/>
  <c r="BM190" i="99" s="1"/>
  <c r="BN182" i="99"/>
  <c r="BN190" i="99" s="1"/>
  <c r="BP182" i="99"/>
  <c r="BP190" i="99" s="1"/>
  <c r="BO182" i="99"/>
  <c r="BO190" i="99" s="1"/>
  <c r="BQ182" i="99"/>
  <c r="BQ190" i="99" s="1"/>
  <c r="BR182" i="99"/>
  <c r="BR190" i="99" s="1"/>
  <c r="BT182" i="99"/>
  <c r="BT190" i="99" s="1"/>
  <c r="BS182" i="99"/>
  <c r="BS190" i="99" s="1"/>
  <c r="Y257" i="99"/>
  <c r="Y466" i="99"/>
  <c r="V332" i="99"/>
  <c r="V342" i="99" s="1"/>
  <c r="V201" i="99"/>
  <c r="AJ249" i="99"/>
  <c r="T273" i="99"/>
  <c r="T466" i="99"/>
  <c r="X265" i="99"/>
  <c r="X466" i="99"/>
  <c r="AP210" i="99"/>
  <c r="AP243" i="99" s="1"/>
  <c r="AP218" i="99"/>
  <c r="AP287" i="99" s="1"/>
  <c r="U201" i="99"/>
  <c r="U332" i="99"/>
  <c r="U342" i="99" s="1"/>
  <c r="Y272" i="99"/>
  <c r="Y465" i="99"/>
  <c r="Z249" i="99"/>
  <c r="AJ293" i="99"/>
  <c r="AJ309" i="99" s="1"/>
  <c r="AE251" i="99"/>
  <c r="Y317" i="99"/>
  <c r="W201" i="99"/>
  <c r="W332" i="99"/>
  <c r="W342" i="99" s="1"/>
  <c r="AK251" i="99"/>
  <c r="Z293" i="99"/>
  <c r="Z317" i="99" s="1"/>
  <c r="W309" i="99"/>
  <c r="AF249" i="99"/>
  <c r="Y201" i="99"/>
  <c r="Y332" i="99"/>
  <c r="Y342" i="99" s="1"/>
  <c r="W301" i="99"/>
  <c r="W264" i="99"/>
  <c r="W465" i="99"/>
  <c r="AF293" i="99"/>
  <c r="AF301" i="99" s="1"/>
  <c r="S273" i="99"/>
  <c r="S466" i="99"/>
  <c r="T332" i="99"/>
  <c r="T342" i="99" s="1"/>
  <c r="T201" i="99"/>
  <c r="AI251" i="99"/>
  <c r="S201" i="99"/>
  <c r="S332" i="99"/>
  <c r="S342" i="99" s="1"/>
  <c r="AH251" i="99"/>
  <c r="T256" i="99"/>
  <c r="T465" i="99"/>
  <c r="V257" i="99"/>
  <c r="V466" i="99"/>
  <c r="AF251" i="99"/>
  <c r="AW210" i="99"/>
  <c r="AW243" i="99" s="1"/>
  <c r="AW218" i="99"/>
  <c r="AW287" i="99" s="1"/>
  <c r="U264" i="99"/>
  <c r="U465" i="99"/>
  <c r="AN218" i="99"/>
  <c r="AN287" i="99" s="1"/>
  <c r="AN210" i="99"/>
  <c r="AN243" i="99" s="1"/>
  <c r="AO210" i="99"/>
  <c r="AO243" i="99" s="1"/>
  <c r="AO218" i="99"/>
  <c r="AO287" i="99" s="1"/>
  <c r="AF295" i="99"/>
  <c r="AF311" i="99" s="1"/>
  <c r="S264" i="99"/>
  <c r="X256" i="99"/>
  <c r="AI249" i="99"/>
  <c r="AE293" i="99"/>
  <c r="AE301" i="99" s="1"/>
  <c r="AA251" i="99"/>
  <c r="X264" i="99"/>
  <c r="AI293" i="99"/>
  <c r="AI301" i="99" s="1"/>
  <c r="S317" i="99"/>
  <c r="AM210" i="99"/>
  <c r="AM243" i="99" s="1"/>
  <c r="AM218" i="99"/>
  <c r="AM287" i="99" s="1"/>
  <c r="S307" i="99"/>
  <c r="U271" i="99"/>
  <c r="BV177" i="153"/>
  <c r="BW177" i="153"/>
  <c r="BX177" i="153"/>
  <c r="BY177" i="153"/>
  <c r="BJ183" i="153"/>
  <c r="BJ185" i="153"/>
  <c r="BK185" i="153"/>
  <c r="BK183" i="153"/>
  <c r="BL183" i="153"/>
  <c r="BL185" i="153"/>
  <c r="BK177" i="99"/>
  <c r="BK185" i="99" s="1"/>
  <c r="BJ177" i="99"/>
  <c r="BJ185" i="99" s="1"/>
  <c r="BL177" i="99"/>
  <c r="BL185" i="99" s="1"/>
  <c r="T271" i="99"/>
  <c r="BD181" i="99"/>
  <c r="BD189" i="99" s="1"/>
  <c r="S271" i="99"/>
  <c r="W185" i="99"/>
  <c r="W183" i="99"/>
  <c r="W247" i="99"/>
  <c r="AO214" i="99"/>
  <c r="AO283" i="99" s="1"/>
  <c r="AO206" i="99"/>
  <c r="AO239" i="99" s="1"/>
  <c r="J44" i="104"/>
  <c r="N44" i="104"/>
  <c r="P44" i="104" s="1"/>
  <c r="AE247" i="99"/>
  <c r="AF291" i="99"/>
  <c r="AF315" i="99" s="1"/>
  <c r="V247" i="99"/>
  <c r="V185" i="99"/>
  <c r="V183" i="99"/>
  <c r="AJ214" i="99"/>
  <c r="AJ283" i="99" s="1"/>
  <c r="AJ206" i="99"/>
  <c r="AJ239" i="99" s="1"/>
  <c r="W291" i="99"/>
  <c r="W299" i="99" s="1"/>
  <c r="AE291" i="99"/>
  <c r="AE299" i="99" s="1"/>
  <c r="AS206" i="99"/>
  <c r="AS239" i="99" s="1"/>
  <c r="AS214" i="99"/>
  <c r="AS283" i="99" s="1"/>
  <c r="AF247" i="99"/>
  <c r="X247" i="99"/>
  <c r="BX530" i="99"/>
  <c r="BX593" i="99"/>
  <c r="BX594" i="99" s="1"/>
  <c r="BX544" i="99"/>
  <c r="X185" i="99"/>
  <c r="X183" i="99"/>
  <c r="Z247" i="99"/>
  <c r="K109" i="99"/>
  <c r="X291" i="99"/>
  <c r="X299" i="99" s="1"/>
  <c r="Z291" i="99"/>
  <c r="Z315" i="99" s="1"/>
  <c r="AA247" i="99"/>
  <c r="U315" i="99"/>
  <c r="T299" i="99"/>
  <c r="AC247" i="99"/>
  <c r="AA291" i="99"/>
  <c r="AA307" i="99" s="1"/>
  <c r="U299" i="99"/>
  <c r="T307" i="99"/>
  <c r="Y185" i="99"/>
  <c r="Y183" i="99"/>
  <c r="BU329" i="99"/>
  <c r="BU339" i="99" s="1"/>
  <c r="BU198" i="99"/>
  <c r="U328" i="99"/>
  <c r="U197" i="99"/>
  <c r="U191" i="99"/>
  <c r="BX582" i="99"/>
  <c r="BX223" i="99"/>
  <c r="R191" i="99"/>
  <c r="R197" i="99"/>
  <c r="R328" i="99"/>
  <c r="AB247" i="99"/>
  <c r="S315" i="99"/>
  <c r="AQ214" i="99"/>
  <c r="AQ283" i="99" s="1"/>
  <c r="AQ206" i="99"/>
  <c r="AQ239" i="99" s="1"/>
  <c r="AB291" i="99"/>
  <c r="AB315" i="99" s="1"/>
  <c r="AI206" i="99"/>
  <c r="AI239" i="99" s="1"/>
  <c r="AI214" i="99"/>
  <c r="AI283" i="99" s="1"/>
  <c r="AN214" i="99"/>
  <c r="AN283" i="99" s="1"/>
  <c r="AN206" i="99"/>
  <c r="AN239" i="99" s="1"/>
  <c r="BY593" i="99"/>
  <c r="BY594" i="99" s="1"/>
  <c r="BY530" i="99"/>
  <c r="BY544" i="99"/>
  <c r="N116" i="99"/>
  <c r="P116" i="99" s="1"/>
  <c r="P51" i="99"/>
  <c r="K115" i="99"/>
  <c r="BE198" i="99"/>
  <c r="BE329" i="99"/>
  <c r="BE339" i="99" s="1"/>
  <c r="AL206" i="99"/>
  <c r="AL239" i="99" s="1"/>
  <c r="AL214" i="99"/>
  <c r="AL283" i="99" s="1"/>
  <c r="BU202" i="99"/>
  <c r="BU333" i="99"/>
  <c r="BU343" i="99" s="1"/>
  <c r="BY224" i="99"/>
  <c r="BY591" i="99"/>
  <c r="K116" i="99"/>
  <c r="BD329" i="99"/>
  <c r="BD339" i="99" s="1"/>
  <c r="BD198" i="99"/>
  <c r="Y247" i="99"/>
  <c r="J114" i="99"/>
  <c r="J50" i="103"/>
  <c r="K50" i="103"/>
  <c r="L50" i="103"/>
  <c r="M50" i="103"/>
  <c r="N50" i="103"/>
  <c r="BC329" i="99"/>
  <c r="BC339" i="99" s="1"/>
  <c r="BC198" i="99"/>
  <c r="AH214" i="99"/>
  <c r="AH283" i="99" s="1"/>
  <c r="AH206" i="99"/>
  <c r="AH239" i="99" s="1"/>
  <c r="AG291" i="99"/>
  <c r="AG299" i="99" s="1"/>
  <c r="Y291" i="99"/>
  <c r="Y299" i="99" s="1"/>
  <c r="J51" i="103"/>
  <c r="K51" i="103"/>
  <c r="L51" i="103"/>
  <c r="M51" i="103"/>
  <c r="N51" i="103"/>
  <c r="P51" i="103" s="1"/>
  <c r="K114" i="99"/>
  <c r="J50" i="104"/>
  <c r="K50" i="104"/>
  <c r="L50" i="104"/>
  <c r="M50" i="104"/>
  <c r="N50" i="104"/>
  <c r="P50" i="104" s="1"/>
  <c r="BB329" i="99"/>
  <c r="BB339" i="99" s="1"/>
  <c r="BB198" i="99"/>
  <c r="AP206" i="99"/>
  <c r="AP239" i="99" s="1"/>
  <c r="AP214" i="99"/>
  <c r="AP283" i="99" s="1"/>
  <c r="AG247" i="99"/>
  <c r="J51" i="104"/>
  <c r="K51" i="104"/>
  <c r="L51" i="104"/>
  <c r="M51" i="104"/>
  <c r="N51" i="104"/>
  <c r="P51" i="104" s="1"/>
  <c r="AZ198" i="99"/>
  <c r="AZ329" i="99"/>
  <c r="AZ339" i="99" s="1"/>
  <c r="AM206" i="99"/>
  <c r="AM239" i="99" s="1"/>
  <c r="AM214" i="99"/>
  <c r="AM283" i="99" s="1"/>
  <c r="U263" i="99"/>
  <c r="U464" i="99"/>
  <c r="BF178" i="99"/>
  <c r="BG178" i="99"/>
  <c r="BI178" i="99"/>
  <c r="BH178" i="99"/>
  <c r="BJ178" i="99"/>
  <c r="BK178" i="99"/>
  <c r="BL178" i="99"/>
  <c r="BM178" i="99"/>
  <c r="BN178" i="99"/>
  <c r="BO178" i="99"/>
  <c r="BP178" i="99"/>
  <c r="BP186" i="99" s="1"/>
  <c r="BQ178" i="99"/>
  <c r="BQ186" i="99" s="1"/>
  <c r="J49" i="104"/>
  <c r="K49" i="104"/>
  <c r="L49" i="104"/>
  <c r="M49" i="104"/>
  <c r="N49" i="104"/>
  <c r="P49" i="104" s="1"/>
  <c r="BA198" i="99"/>
  <c r="BA329" i="99"/>
  <c r="BA339" i="99" s="1"/>
  <c r="BU631" i="99"/>
  <c r="BU625" i="99"/>
  <c r="BU626" i="99" s="1"/>
  <c r="BU562" i="99"/>
  <c r="BY113" i="99"/>
  <c r="BY52" i="99"/>
  <c r="BY117" i="103" s="1"/>
  <c r="BY48" i="103"/>
  <c r="K48" i="99"/>
  <c r="K113" i="103" s="1"/>
  <c r="J49" i="103"/>
  <c r="K49" i="103"/>
  <c r="L49" i="103"/>
  <c r="M49" i="103"/>
  <c r="N49" i="103"/>
  <c r="AY329" i="99"/>
  <c r="AY339" i="99" s="1"/>
  <c r="AY198" i="99"/>
  <c r="BV619" i="99"/>
  <c r="BV620" i="99" s="1"/>
  <c r="BV556" i="99"/>
  <c r="AR206" i="99"/>
  <c r="AR239" i="99" s="1"/>
  <c r="AR214" i="99"/>
  <c r="AR283" i="99" s="1"/>
  <c r="AD291" i="99"/>
  <c r="AD299" i="99" s="1"/>
  <c r="T328" i="99"/>
  <c r="T197" i="99"/>
  <c r="T191" i="99"/>
  <c r="AX198" i="99"/>
  <c r="AX329" i="99"/>
  <c r="AX339" i="99" s="1"/>
  <c r="AC185" i="99"/>
  <c r="BV182" i="99"/>
  <c r="BV190" i="99" s="1"/>
  <c r="BV179" i="99"/>
  <c r="BV187" i="99" s="1"/>
  <c r="BV178" i="99"/>
  <c r="BV186" i="99" s="1"/>
  <c r="BV616" i="99"/>
  <c r="AD247" i="99"/>
  <c r="AW198" i="99"/>
  <c r="AW329" i="99"/>
  <c r="AW339" i="99" s="1"/>
  <c r="AB185" i="99"/>
  <c r="S328" i="99"/>
  <c r="S197" i="99"/>
  <c r="S191" i="99"/>
  <c r="BY582" i="99"/>
  <c r="BY223" i="99"/>
  <c r="BX117" i="99"/>
  <c r="V291" i="99"/>
  <c r="V299" i="99" s="1"/>
  <c r="AV198" i="99"/>
  <c r="AV329" i="99"/>
  <c r="AV339" i="99" s="1"/>
  <c r="AA185" i="99"/>
  <c r="P44" i="99"/>
  <c r="N109" i="99"/>
  <c r="P109" i="99" s="1"/>
  <c r="AU329" i="99"/>
  <c r="AU339" i="99" s="1"/>
  <c r="AU198" i="99"/>
  <c r="Z185" i="99"/>
  <c r="AK214" i="99"/>
  <c r="AK283" i="99" s="1"/>
  <c r="AK206" i="99"/>
  <c r="AK239" i="99" s="1"/>
  <c r="AC291" i="99"/>
  <c r="AC315" i="99" s="1"/>
  <c r="AT198" i="99"/>
  <c r="AT329" i="99"/>
  <c r="AT339" i="99" s="1"/>
  <c r="W170" i="99"/>
  <c r="BT177" i="99" s="1"/>
  <c r="BT185" i="99" s="1"/>
  <c r="AH177" i="99"/>
  <c r="AH185" i="99" s="1"/>
  <c r="AI177" i="99"/>
  <c r="AI185" i="99" s="1"/>
  <c r="AJ177" i="99"/>
  <c r="AL177" i="99"/>
  <c r="AK177" i="99"/>
  <c r="AM177" i="99"/>
  <c r="AO177" i="99"/>
  <c r="AN177" i="99"/>
  <c r="AP177" i="99"/>
  <c r="AQ177" i="99"/>
  <c r="AR177" i="99"/>
  <c r="AS177" i="99"/>
  <c r="J44" i="103"/>
  <c r="N44" i="103"/>
  <c r="P44" i="103" s="1"/>
  <c r="S263" i="99"/>
  <c r="S464" i="99"/>
  <c r="T263" i="99"/>
  <c r="T464" i="99"/>
  <c r="M123" i="99"/>
  <c r="L123" i="99"/>
  <c r="N123" i="99"/>
  <c r="P123" i="99" s="1"/>
  <c r="P58" i="99"/>
  <c r="J123" i="99"/>
  <c r="J58" i="104"/>
  <c r="K58" i="104"/>
  <c r="L58" i="104"/>
  <c r="M58" i="104"/>
  <c r="N58" i="104"/>
  <c r="P58" i="104" s="1"/>
  <c r="N122" i="99"/>
  <c r="P122" i="99" s="1"/>
  <c r="P57" i="99"/>
  <c r="J58" i="103"/>
  <c r="K58" i="103"/>
  <c r="L58" i="103"/>
  <c r="M58" i="103"/>
  <c r="N58" i="103"/>
  <c r="P58" i="103" s="1"/>
  <c r="M122" i="99"/>
  <c r="N133" i="99"/>
  <c r="P133" i="99" s="1"/>
  <c r="P68" i="99"/>
  <c r="L122" i="99"/>
  <c r="M133" i="99"/>
  <c r="K122" i="99"/>
  <c r="J552" i="99"/>
  <c r="J615" i="99"/>
  <c r="J616" i="99" s="1"/>
  <c r="L133" i="99"/>
  <c r="J122" i="99"/>
  <c r="K552" i="99"/>
  <c r="K615" i="99"/>
  <c r="K616" i="99" s="1"/>
  <c r="K133" i="99"/>
  <c r="J559" i="99"/>
  <c r="J623" i="99" s="1"/>
  <c r="K559" i="99"/>
  <c r="K623" i="99" s="1"/>
  <c r="L559" i="99"/>
  <c r="L623" i="99" s="1"/>
  <c r="M559" i="99"/>
  <c r="M623" i="99" s="1"/>
  <c r="J57" i="103"/>
  <c r="K57" i="103"/>
  <c r="L57" i="103"/>
  <c r="M57" i="103"/>
  <c r="N57" i="103"/>
  <c r="L552" i="99"/>
  <c r="L615" i="99"/>
  <c r="L616" i="99" s="1"/>
  <c r="N615" i="99"/>
  <c r="N552" i="99"/>
  <c r="P552" i="99" s="1"/>
  <c r="P551" i="99"/>
  <c r="J57" i="104"/>
  <c r="K57" i="104"/>
  <c r="L57" i="104"/>
  <c r="M57" i="104"/>
  <c r="N57" i="104"/>
  <c r="BY124" i="99"/>
  <c r="J59" i="99"/>
  <c r="J124" i="103" s="1"/>
  <c r="K59" i="99"/>
  <c r="K124" i="103" s="1"/>
  <c r="L59" i="99"/>
  <c r="L124" i="103" s="1"/>
  <c r="M59" i="99"/>
  <c r="M124" i="103" s="1"/>
  <c r="N59" i="99"/>
  <c r="N124" i="103" s="1"/>
  <c r="P124" i="103" s="1"/>
  <c r="J133" i="99"/>
  <c r="M615" i="99"/>
  <c r="M616" i="99" s="1"/>
  <c r="M552" i="99"/>
  <c r="AP111" i="105" l="1"/>
  <c r="AK24" i="151"/>
  <c r="BC111" i="105"/>
  <c r="AX24" i="151"/>
  <c r="CA111" i="105"/>
  <c r="BV24" i="151"/>
  <c r="BN111" i="105"/>
  <c r="BI24" i="151"/>
  <c r="Z111" i="105"/>
  <c r="U24" i="151"/>
  <c r="AF111" i="105"/>
  <c r="AA24" i="151"/>
  <c r="BF111" i="105"/>
  <c r="BA24" i="151"/>
  <c r="BB111" i="105"/>
  <c r="AW24" i="151"/>
  <c r="BJ111" i="105"/>
  <c r="BE24" i="151"/>
  <c r="BH111" i="105"/>
  <c r="BC24" i="151"/>
  <c r="AC111" i="105"/>
  <c r="X24" i="151"/>
  <c r="BN34" i="154"/>
  <c r="BN99" i="154" s="1"/>
  <c r="K43" i="155"/>
  <c r="K108" i="155" s="1"/>
  <c r="BI87" i="154"/>
  <c r="BI25" i="154"/>
  <c r="BO96" i="154"/>
  <c r="BO34" i="154"/>
  <c r="AX100" i="154"/>
  <c r="L35" i="154"/>
  <c r="L100" i="154" s="1"/>
  <c r="BB88" i="154"/>
  <c r="AL45" i="155"/>
  <c r="AL110" i="155" s="1"/>
  <c r="AL108" i="155"/>
  <c r="AZ87" i="154"/>
  <c r="AZ25" i="154"/>
  <c r="AN108" i="155"/>
  <c r="AN45" i="155"/>
  <c r="AN110" i="155" s="1"/>
  <c r="U108" i="153"/>
  <c r="U45" i="153"/>
  <c r="U110" i="153" s="1"/>
  <c r="S108" i="153"/>
  <c r="S45" i="153"/>
  <c r="S110" i="153" s="1"/>
  <c r="X108" i="153"/>
  <c r="X45" i="153"/>
  <c r="X110" i="153" s="1"/>
  <c r="BQ87" i="154"/>
  <c r="BG87" i="154"/>
  <c r="BG25" i="154"/>
  <c r="BD87" i="154"/>
  <c r="BD25" i="154"/>
  <c r="AX91" i="154"/>
  <c r="L26" i="154"/>
  <c r="L91" i="154" s="1"/>
  <c r="V110" i="155"/>
  <c r="J45" i="155"/>
  <c r="J110" i="155" s="1"/>
  <c r="AJ108" i="155"/>
  <c r="AJ45" i="155"/>
  <c r="AJ110" i="155" s="1"/>
  <c r="BC87" i="154"/>
  <c r="BC25" i="154"/>
  <c r="AX88" i="154"/>
  <c r="L23" i="154"/>
  <c r="L88" i="154" s="1"/>
  <c r="BF96" i="154"/>
  <c r="BF34" i="154"/>
  <c r="BF87" i="154"/>
  <c r="BF25" i="154"/>
  <c r="AP108" i="155"/>
  <c r="AP45" i="155"/>
  <c r="AD110" i="155"/>
  <c r="BN91" i="154"/>
  <c r="BA87" i="154"/>
  <c r="BA25" i="154"/>
  <c r="T45" i="153"/>
  <c r="T110" i="153" s="1"/>
  <c r="T108" i="153"/>
  <c r="BN89" i="154"/>
  <c r="BB96" i="154"/>
  <c r="BB34" i="154"/>
  <c r="AY34" i="154"/>
  <c r="AY96" i="154"/>
  <c r="L32" i="154"/>
  <c r="L97" i="154" s="1"/>
  <c r="AO108" i="155"/>
  <c r="AO45" i="155"/>
  <c r="AO110" i="155" s="1"/>
  <c r="BH87" i="154"/>
  <c r="BH25" i="154"/>
  <c r="N108" i="154"/>
  <c r="P108" i="154" s="1"/>
  <c r="P43" i="154"/>
  <c r="W108" i="153"/>
  <c r="W45" i="153"/>
  <c r="W110" i="153" s="1"/>
  <c r="BP110" i="154"/>
  <c r="N45" i="154"/>
  <c r="BN87" i="154"/>
  <c r="BN25" i="154"/>
  <c r="BM96" i="154"/>
  <c r="BM34" i="154"/>
  <c r="BD96" i="154"/>
  <c r="BD34" i="154"/>
  <c r="Y108" i="153"/>
  <c r="Y45" i="153"/>
  <c r="Y110" i="153" s="1"/>
  <c r="BB89" i="154"/>
  <c r="AW108" i="155"/>
  <c r="AW45" i="155"/>
  <c r="AW110" i="155" s="1"/>
  <c r="AT108" i="155"/>
  <c r="AT45" i="155"/>
  <c r="AT110" i="155" s="1"/>
  <c r="AX87" i="154"/>
  <c r="AX25" i="154"/>
  <c r="L22" i="154"/>
  <c r="L87" i="154" s="1"/>
  <c r="AR108" i="155"/>
  <c r="AR45" i="155"/>
  <c r="AR110" i="155" s="1"/>
  <c r="BN100" i="154"/>
  <c r="AS108" i="155"/>
  <c r="AS45" i="155"/>
  <c r="AS110" i="155" s="1"/>
  <c r="AM108" i="155"/>
  <c r="AM45" i="155"/>
  <c r="AM110" i="155" s="1"/>
  <c r="AV108" i="155"/>
  <c r="AV45" i="155"/>
  <c r="AV110" i="155" s="1"/>
  <c r="BM87" i="154"/>
  <c r="BM25" i="154"/>
  <c r="BB97" i="154"/>
  <c r="BB91" i="154"/>
  <c r="BG96" i="154"/>
  <c r="BG34" i="154"/>
  <c r="BO87" i="154"/>
  <c r="BO25" i="154"/>
  <c r="AX98" i="154"/>
  <c r="L33" i="154"/>
  <c r="L98" i="154" s="1"/>
  <c r="BC96" i="154"/>
  <c r="BC34" i="154"/>
  <c r="BH96" i="154"/>
  <c r="BH34" i="154"/>
  <c r="BN88" i="154"/>
  <c r="BE87" i="154"/>
  <c r="BE25" i="154"/>
  <c r="BQ96" i="154"/>
  <c r="R108" i="153"/>
  <c r="R45" i="153"/>
  <c r="BI96" i="154"/>
  <c r="BI34" i="154"/>
  <c r="AX89" i="154"/>
  <c r="L24" i="154"/>
  <c r="L89" i="154" s="1"/>
  <c r="V108" i="153"/>
  <c r="V45" i="153"/>
  <c r="V110" i="153" s="1"/>
  <c r="AQ108" i="155"/>
  <c r="AQ45" i="155"/>
  <c r="AQ110" i="155" s="1"/>
  <c r="AZ96" i="154"/>
  <c r="AZ34" i="154"/>
  <c r="BB98" i="154"/>
  <c r="BB87" i="154"/>
  <c r="BB25" i="154"/>
  <c r="AY87" i="154"/>
  <c r="AY25" i="154"/>
  <c r="BN97" i="154"/>
  <c r="BN98" i="154"/>
  <c r="BA96" i="154"/>
  <c r="BA34" i="154"/>
  <c r="AX96" i="154"/>
  <c r="AX34" i="154"/>
  <c r="L31" i="154"/>
  <c r="L96" i="154" s="1"/>
  <c r="BE96" i="154"/>
  <c r="BE34" i="154"/>
  <c r="T174" i="99"/>
  <c r="BQ181" i="99" s="1"/>
  <c r="BQ189" i="99" s="1"/>
  <c r="BQ201" i="99" s="1"/>
  <c r="BQ217" i="99" s="1"/>
  <c r="BB59" i="105"/>
  <c r="BQ268" i="154"/>
  <c r="BQ24" i="154" s="1"/>
  <c r="BQ89" i="154" s="1"/>
  <c r="J59" i="103"/>
  <c r="AM116" i="105"/>
  <c r="BG130" i="105"/>
  <c r="BA201" i="99"/>
  <c r="BA217" i="99" s="1"/>
  <c r="BA286" i="99" s="1"/>
  <c r="AN116" i="105"/>
  <c r="X116" i="105"/>
  <c r="BC116" i="105"/>
  <c r="BK116" i="105"/>
  <c r="BV116" i="105"/>
  <c r="BQ59" i="105"/>
  <c r="AE116" i="105"/>
  <c r="AO116" i="105"/>
  <c r="BJ116" i="105"/>
  <c r="AH116" i="105"/>
  <c r="BP59" i="105"/>
  <c r="BI59" i="105"/>
  <c r="BH116" i="105"/>
  <c r="BU59" i="105"/>
  <c r="W116" i="105"/>
  <c r="BZ116" i="105"/>
  <c r="W130" i="105"/>
  <c r="AK59" i="105"/>
  <c r="BM116" i="105"/>
  <c r="AJ116" i="105"/>
  <c r="AD59" i="105"/>
  <c r="AZ59" i="105"/>
  <c r="AZ116" i="105"/>
  <c r="CC59" i="105"/>
  <c r="BO59" i="105"/>
  <c r="M59" i="104"/>
  <c r="BI116" i="105"/>
  <c r="BB116" i="105"/>
  <c r="BT59" i="105"/>
  <c r="BL59" i="105"/>
  <c r="BS116" i="105"/>
  <c r="BQ116" i="105"/>
  <c r="BT116" i="105"/>
  <c r="BN116" i="105"/>
  <c r="BH59" i="105"/>
  <c r="BW116" i="105"/>
  <c r="AS59" i="105"/>
  <c r="BL116" i="105"/>
  <c r="BU116" i="105"/>
  <c r="K59" i="103"/>
  <c r="AS116" i="105"/>
  <c r="AL116" i="105"/>
  <c r="M59" i="103"/>
  <c r="AK116" i="105"/>
  <c r="AD116" i="105"/>
  <c r="AU116" i="105"/>
  <c r="BO116" i="105"/>
  <c r="P57" i="103"/>
  <c r="N59" i="103"/>
  <c r="P59" i="103" s="1"/>
  <c r="AA116" i="105"/>
  <c r="CC116" i="105"/>
  <c r="AB116" i="105"/>
  <c r="L59" i="104"/>
  <c r="BE116" i="105"/>
  <c r="J59" i="104"/>
  <c r="K59" i="104"/>
  <c r="L59" i="103"/>
  <c r="P57" i="104"/>
  <c r="N59" i="104"/>
  <c r="P59" i="104" s="1"/>
  <c r="L117" i="104"/>
  <c r="BQ276" i="154"/>
  <c r="BQ26" i="154" s="1"/>
  <c r="BQ91" i="154" s="1"/>
  <c r="AG414" i="99"/>
  <c r="AG453" i="99" s="1" a="1"/>
  <c r="AG453" i="99" s="1"/>
  <c r="T413" i="99"/>
  <c r="T452" i="99" s="1" a="1"/>
  <c r="T452" i="99" s="1"/>
  <c r="AM415" i="99"/>
  <c r="AM454" i="99" s="1" a="1"/>
  <c r="AM454" i="99" s="1"/>
  <c r="AH414" i="99"/>
  <c r="AH453" i="99" s="1" a="1"/>
  <c r="AH453" i="99" s="1"/>
  <c r="BO416" i="155"/>
  <c r="BF416" i="155"/>
  <c r="BF455" i="155" s="1" a="1"/>
  <c r="BF455" i="155" s="1"/>
  <c r="S414" i="99"/>
  <c r="S453" i="99" s="1" a="1"/>
  <c r="S453" i="99" s="1"/>
  <c r="BM416" i="155"/>
  <c r="BM455" i="155" s="1" a="1"/>
  <c r="BM455" i="155" s="1"/>
  <c r="AA414" i="99"/>
  <c r="AA453" i="99" s="1" a="1"/>
  <c r="AA453" i="99" s="1"/>
  <c r="Y414" i="99"/>
  <c r="Y453" i="99" s="1" a="1"/>
  <c r="Y453" i="99" s="1"/>
  <c r="BQ416" i="154"/>
  <c r="BQ416" i="155"/>
  <c r="BR416" i="155"/>
  <c r="R414" i="99"/>
  <c r="R453" i="99" s="1" a="1"/>
  <c r="R453" i="99" s="1"/>
  <c r="AJ414" i="99"/>
  <c r="AJ453" i="99" s="1" a="1"/>
  <c r="AJ453" i="99" s="1"/>
  <c r="X414" i="99"/>
  <c r="X453" i="99" s="1" a="1"/>
  <c r="X453" i="99" s="1"/>
  <c r="V414" i="99"/>
  <c r="V453" i="99" s="1" a="1"/>
  <c r="V453" i="99" s="1"/>
  <c r="T415" i="99"/>
  <c r="T454" i="99" s="1" a="1"/>
  <c r="T454" i="99" s="1"/>
  <c r="AD414" i="99"/>
  <c r="AD453" i="99" s="1" a="1"/>
  <c r="AD453" i="99" s="1"/>
  <c r="BS416" i="154"/>
  <c r="BN416" i="154"/>
  <c r="BH416" i="155"/>
  <c r="BD416" i="154"/>
  <c r="AI414" i="99"/>
  <c r="AI453" i="99" s="1" a="1"/>
  <c r="AI453" i="99" s="1"/>
  <c r="AX416" i="155"/>
  <c r="U414" i="99"/>
  <c r="U453" i="99" s="1" a="1"/>
  <c r="U453" i="99" s="1"/>
  <c r="BB416" i="155"/>
  <c r="AB414" i="99"/>
  <c r="AB453" i="99" s="1" a="1"/>
  <c r="AB453" i="99" s="1"/>
  <c r="V415" i="99"/>
  <c r="V454" i="99" s="1" a="1"/>
  <c r="V454" i="99" s="1"/>
  <c r="W414" i="99"/>
  <c r="W453" i="99" s="1" a="1"/>
  <c r="W453" i="99" s="1"/>
  <c r="BC416" i="155"/>
  <c r="BR416" i="154"/>
  <c r="AF414" i="99"/>
  <c r="AF453" i="99" s="1" a="1"/>
  <c r="AF453" i="99" s="1"/>
  <c r="Z414" i="99"/>
  <c r="Z453" i="99" s="1" a="1"/>
  <c r="Z453" i="99" s="1"/>
  <c r="S415" i="99"/>
  <c r="S454" i="99" s="1" a="1"/>
  <c r="S454" i="99" s="1"/>
  <c r="BG416" i="155"/>
  <c r="BG455" i="155" s="1" a="1"/>
  <c r="BG455" i="155" s="1"/>
  <c r="BT416" i="155"/>
  <c r="BT455" i="155" s="1" a="1"/>
  <c r="BT455" i="155" s="1"/>
  <c r="R415" i="99"/>
  <c r="R454" i="99" s="1" a="1"/>
  <c r="R454" i="99" s="1"/>
  <c r="T414" i="99"/>
  <c r="T453" i="99" s="1" a="1"/>
  <c r="T453" i="99" s="1"/>
  <c r="AQ415" i="99"/>
  <c r="AQ454" i="99" s="1" a="1"/>
  <c r="AQ454" i="99" s="1"/>
  <c r="R416" i="99"/>
  <c r="R455" i="99" s="1" a="1"/>
  <c r="R455" i="99" s="1"/>
  <c r="R413" i="99"/>
  <c r="R452" i="99" s="1" a="1"/>
  <c r="R452" i="99" s="1"/>
  <c r="BE416" i="155"/>
  <c r="BP416" i="155"/>
  <c r="AY416" i="155"/>
  <c r="AO415" i="99"/>
  <c r="AO454" i="99" s="1" a="1"/>
  <c r="AO454" i="99" s="1"/>
  <c r="AC414" i="99"/>
  <c r="AC453" i="99" s="1" a="1"/>
  <c r="AC453" i="99" s="1"/>
  <c r="AE414" i="99"/>
  <c r="AE453" i="99" s="1" a="1"/>
  <c r="AE453" i="99" s="1"/>
  <c r="AN415" i="99"/>
  <c r="AN454" i="99" s="1" a="1"/>
  <c r="AN454" i="99" s="1"/>
  <c r="AP415" i="99"/>
  <c r="AP454" i="99" s="1" a="1"/>
  <c r="AP454" i="99" s="1"/>
  <c r="BP416" i="154"/>
  <c r="BD416" i="155"/>
  <c r="BE416" i="154"/>
  <c r="BU416" i="155"/>
  <c r="BT416" i="154"/>
  <c r="BS416" i="155"/>
  <c r="AK414" i="99"/>
  <c r="AK453" i="99" s="1" a="1"/>
  <c r="AK453" i="99" s="1"/>
  <c r="AL415" i="99"/>
  <c r="AL454" i="99" s="1" a="1"/>
  <c r="AL454" i="99" s="1"/>
  <c r="S413" i="99"/>
  <c r="S452" i="99" s="1" a="1"/>
  <c r="S452" i="99" s="1"/>
  <c r="U415" i="99"/>
  <c r="U454" i="99" s="1" a="1"/>
  <c r="U454" i="99" s="1"/>
  <c r="W415" i="99"/>
  <c r="W454" i="99" s="1" a="1"/>
  <c r="W454" i="99" s="1"/>
  <c r="BN416" i="155"/>
  <c r="BN455" i="155" s="1" a="1"/>
  <c r="BN455" i="155" s="1"/>
  <c r="BI416" i="155"/>
  <c r="BI455" i="155" s="1" a="1"/>
  <c r="BI455" i="155" s="1"/>
  <c r="BA416" i="155"/>
  <c r="U413" i="99"/>
  <c r="U452" i="99" s="1" a="1"/>
  <c r="U452" i="99" s="1"/>
  <c r="Y415" i="99"/>
  <c r="Y454" i="99" s="1" a="1"/>
  <c r="Y454" i="99" s="1"/>
  <c r="X415" i="99"/>
  <c r="X454" i="99" s="1" a="1"/>
  <c r="X454" i="99" s="1"/>
  <c r="BU416" i="154"/>
  <c r="BU455" i="154" s="1" a="1"/>
  <c r="BU455" i="154" s="1"/>
  <c r="AZ416" i="155"/>
  <c r="AH267" i="99"/>
  <c r="AK257" i="99"/>
  <c r="BO416" i="154"/>
  <c r="AQ272" i="99"/>
  <c r="T259" i="99"/>
  <c r="AB257" i="99"/>
  <c r="AC263" i="99"/>
  <c r="V255" i="99"/>
  <c r="AJ257" i="99"/>
  <c r="AP256" i="99"/>
  <c r="AC267" i="99"/>
  <c r="BF416" i="154"/>
  <c r="AD263" i="99"/>
  <c r="Y263" i="99"/>
  <c r="AI267" i="99"/>
  <c r="AF257" i="99"/>
  <c r="AD259" i="99"/>
  <c r="Z259" i="99"/>
  <c r="BK274" i="155"/>
  <c r="AA273" i="99"/>
  <c r="AA271" i="99"/>
  <c r="AE263" i="99"/>
  <c r="AH257" i="99"/>
  <c r="AK267" i="99"/>
  <c r="AB271" i="99"/>
  <c r="AG259" i="99"/>
  <c r="BC416" i="154"/>
  <c r="BA416" i="154"/>
  <c r="BH416" i="154"/>
  <c r="BH455" i="154" s="1" a="1"/>
  <c r="BH455" i="154" s="1"/>
  <c r="BH457" i="154" s="1"/>
  <c r="BH69" i="154" s="1"/>
  <c r="BH134" i="154" s="1"/>
  <c r="AX416" i="154"/>
  <c r="AO256" i="99"/>
  <c r="AE275" i="99"/>
  <c r="AN264" i="99"/>
  <c r="U267" i="99"/>
  <c r="BL274" i="154"/>
  <c r="BL276" i="154" s="1"/>
  <c r="BL26" i="154" s="1"/>
  <c r="BL91" i="154" s="1"/>
  <c r="AW256" i="99"/>
  <c r="Z255" i="99"/>
  <c r="W271" i="99"/>
  <c r="Z273" i="99"/>
  <c r="AJ259" i="99"/>
  <c r="AV272" i="99"/>
  <c r="AE273" i="99"/>
  <c r="BL274" i="155"/>
  <c r="X267" i="99"/>
  <c r="BJ274" i="155"/>
  <c r="AU264" i="99"/>
  <c r="X263" i="99"/>
  <c r="AF267" i="99"/>
  <c r="W267" i="99"/>
  <c r="BM416" i="154"/>
  <c r="AY416" i="154"/>
  <c r="BG416" i="154"/>
  <c r="AF271" i="99"/>
  <c r="AA267" i="99"/>
  <c r="AG265" i="99"/>
  <c r="AD257" i="99"/>
  <c r="AS256" i="99"/>
  <c r="AL256" i="99"/>
  <c r="BI416" i="154"/>
  <c r="AG271" i="99"/>
  <c r="AI257" i="99"/>
  <c r="AB275" i="99"/>
  <c r="AM264" i="99"/>
  <c r="BY276" i="154"/>
  <c r="BY26" i="154" s="1"/>
  <c r="BY91" i="154" s="1"/>
  <c r="BK274" i="154"/>
  <c r="BK276" i="154" s="1"/>
  <c r="BK26" i="154" s="1"/>
  <c r="BK91" i="154" s="1"/>
  <c r="AR256" i="99"/>
  <c r="S275" i="99"/>
  <c r="AC265" i="99"/>
  <c r="Y259" i="99"/>
  <c r="V275" i="99"/>
  <c r="AT272" i="99"/>
  <c r="BB416" i="154"/>
  <c r="AZ416" i="154"/>
  <c r="M561" i="99"/>
  <c r="M567" i="99" s="1"/>
  <c r="J561" i="99"/>
  <c r="J567" i="99" s="1"/>
  <c r="L561" i="99"/>
  <c r="L567" i="99" s="1"/>
  <c r="K561" i="99"/>
  <c r="K567" i="99" s="1"/>
  <c r="BW552" i="99"/>
  <c r="BW555" i="99"/>
  <c r="BW556" i="99" s="1"/>
  <c r="CD110" i="105"/>
  <c r="BT130" i="105"/>
  <c r="CB130" i="105"/>
  <c r="AW109" i="105"/>
  <c r="BC130" i="105"/>
  <c r="AB130" i="105"/>
  <c r="W109" i="105"/>
  <c r="AG103" i="105"/>
  <c r="AR52" i="105"/>
  <c r="AR110" i="105"/>
  <c r="Z117" i="105"/>
  <c r="BE117" i="105"/>
  <c r="CA130" i="105"/>
  <c r="W59" i="105"/>
  <c r="W117" i="105"/>
  <c r="AZ110" i="105"/>
  <c r="CD116" i="105"/>
  <c r="CB109" i="105"/>
  <c r="CB110" i="105"/>
  <c r="AC130" i="105"/>
  <c r="BE108" i="105"/>
  <c r="AX116" i="105"/>
  <c r="AV116" i="105"/>
  <c r="AY130" i="105"/>
  <c r="BW59" i="105"/>
  <c r="BW117" i="105"/>
  <c r="BR117" i="105"/>
  <c r="BE130" i="105"/>
  <c r="BS130" i="105"/>
  <c r="AK109" i="105"/>
  <c r="BI108" i="105"/>
  <c r="X130" i="105"/>
  <c r="BG108" i="105"/>
  <c r="CC130" i="105"/>
  <c r="AO109" i="105"/>
  <c r="BQ108" i="105"/>
  <c r="BX116" i="105"/>
  <c r="Z103" i="105"/>
  <c r="BE109" i="105"/>
  <c r="AQ109" i="105"/>
  <c r="BK130" i="105"/>
  <c r="AR103" i="105"/>
  <c r="AP116" i="105"/>
  <c r="CC107" i="105"/>
  <c r="AA52" i="105"/>
  <c r="AA109" i="105"/>
  <c r="AT130" i="105"/>
  <c r="AL130" i="105"/>
  <c r="AW116" i="105"/>
  <c r="BD130" i="105"/>
  <c r="BU103" i="105"/>
  <c r="X117" i="105"/>
  <c r="BV117" i="105"/>
  <c r="BM130" i="105"/>
  <c r="BD116" i="105"/>
  <c r="BV130" i="105"/>
  <c r="BO130" i="105"/>
  <c r="AV130" i="105"/>
  <c r="AF130" i="105"/>
  <c r="AP117" i="105"/>
  <c r="AZ107" i="105"/>
  <c r="AJ108" i="105"/>
  <c r="AX130" i="105"/>
  <c r="BL110" i="105"/>
  <c r="BX109" i="105"/>
  <c r="Z116" i="105"/>
  <c r="BY52" i="105"/>
  <c r="BY107" i="105"/>
  <c r="BS59" i="105"/>
  <c r="BS117" i="105"/>
  <c r="AZ130" i="105"/>
  <c r="BA116" i="105"/>
  <c r="BX110" i="105"/>
  <c r="AM117" i="105"/>
  <c r="BX103" i="105"/>
  <c r="BE107" i="105"/>
  <c r="BI103" i="105"/>
  <c r="BT107" i="105"/>
  <c r="AI130" i="105"/>
  <c r="AS130" i="105"/>
  <c r="AT116" i="105"/>
  <c r="BN130" i="105"/>
  <c r="Z130" i="105"/>
  <c r="BH130" i="105"/>
  <c r="AR116" i="105"/>
  <c r="AH108" i="105"/>
  <c r="AT108" i="105"/>
  <c r="BV107" i="105"/>
  <c r="AJ117" i="105"/>
  <c r="AC116" i="105"/>
  <c r="BS52" i="105"/>
  <c r="BS107" i="105"/>
  <c r="BM117" i="105"/>
  <c r="AQ130" i="105"/>
  <c r="AO130" i="105"/>
  <c r="BG107" i="105"/>
  <c r="BD108" i="105"/>
  <c r="AY116" i="105"/>
  <c r="AF116" i="105"/>
  <c r="BT103" i="105"/>
  <c r="AH59" i="105"/>
  <c r="AH117" i="105"/>
  <c r="BF116" i="105"/>
  <c r="AL107" i="105"/>
  <c r="BY116" i="105"/>
  <c r="AW110" i="105"/>
  <c r="AI117" i="105"/>
  <c r="AM110" i="105"/>
  <c r="BX130" i="105"/>
  <c r="BA130" i="105"/>
  <c r="BP110" i="105"/>
  <c r="AN117" i="105"/>
  <c r="AD108" i="105"/>
  <c r="AU110" i="105"/>
  <c r="BL107" i="105"/>
  <c r="AT117" i="105"/>
  <c r="AE110" i="105"/>
  <c r="AW130" i="105"/>
  <c r="BR130" i="105"/>
  <c r="AS109" i="105"/>
  <c r="BG116" i="105"/>
  <c r="BB130" i="105"/>
  <c r="AH103" i="105"/>
  <c r="AQ116" i="105"/>
  <c r="BR116" i="105"/>
  <c r="BK110" i="105"/>
  <c r="AE103" i="105"/>
  <c r="Y108" i="105"/>
  <c r="BI130" i="105"/>
  <c r="W108" i="105"/>
  <c r="BD103" i="105"/>
  <c r="BU130" i="105"/>
  <c r="AM130" i="105"/>
  <c r="AD130" i="105"/>
  <c r="X52" i="105"/>
  <c r="X107" i="105"/>
  <c r="AJ110" i="105"/>
  <c r="AI109" i="105"/>
  <c r="CD109" i="105"/>
  <c r="CD108" i="105"/>
  <c r="AY103" i="105"/>
  <c r="AI107" i="105"/>
  <c r="BK108" i="105"/>
  <c r="AE107" i="105"/>
  <c r="BW108" i="105"/>
  <c r="AG130" i="105"/>
  <c r="BP116" i="105"/>
  <c r="CD103" i="105"/>
  <c r="BF130" i="105"/>
  <c r="AU107" i="105"/>
  <c r="AP130" i="105"/>
  <c r="AN130" i="105"/>
  <c r="AN109" i="105"/>
  <c r="BY130" i="105"/>
  <c r="BU109" i="105"/>
  <c r="BF117" i="105"/>
  <c r="AG59" i="105"/>
  <c r="AG116" i="105"/>
  <c r="AR130" i="105"/>
  <c r="AC117" i="105"/>
  <c r="BR108" i="105"/>
  <c r="BZ130" i="105"/>
  <c r="CD130" i="105"/>
  <c r="AM108" i="105"/>
  <c r="Y130" i="105"/>
  <c r="BX107" i="105"/>
  <c r="BW109" i="105"/>
  <c r="BL109" i="105"/>
  <c r="R109" i="105" s="1"/>
  <c r="CB103" i="105"/>
  <c r="CB116" i="105"/>
  <c r="BV109" i="105"/>
  <c r="BJ130" i="105"/>
  <c r="AO117" i="105"/>
  <c r="AQ107" i="105"/>
  <c r="CA116" i="105"/>
  <c r="AY107" i="105"/>
  <c r="AX107" i="105"/>
  <c r="W110" i="105"/>
  <c r="AB110" i="105"/>
  <c r="AO110" i="105"/>
  <c r="BW107" i="105"/>
  <c r="Y117" i="105"/>
  <c r="AF117" i="105"/>
  <c r="BZ110" i="105"/>
  <c r="BO103" i="105"/>
  <c r="Y116" i="105"/>
  <c r="AV52" i="105"/>
  <c r="AV108" i="105"/>
  <c r="AG109" i="105"/>
  <c r="AE130" i="105"/>
  <c r="AJ109" i="105"/>
  <c r="AH130" i="105"/>
  <c r="BM107" i="105"/>
  <c r="CD117" i="105"/>
  <c r="BL130" i="105"/>
  <c r="BZ109" i="105"/>
  <c r="AQ103" i="105"/>
  <c r="AJ103" i="105"/>
  <c r="BO107" i="105"/>
  <c r="BW130" i="105"/>
  <c r="AD107" i="105"/>
  <c r="AA130" i="105"/>
  <c r="AB108" i="105"/>
  <c r="AI116" i="105"/>
  <c r="BA109" i="105"/>
  <c r="BJ117" i="105"/>
  <c r="BG52" i="105"/>
  <c r="BV52" i="105"/>
  <c r="BJ59" i="105"/>
  <c r="AQ59" i="105"/>
  <c r="BV59" i="105"/>
  <c r="AX59" i="105"/>
  <c r="X59" i="105"/>
  <c r="AW52" i="105"/>
  <c r="BM52" i="105"/>
  <c r="AN59" i="105"/>
  <c r="AB52" i="105"/>
  <c r="AG52" i="105"/>
  <c r="BL52" i="105"/>
  <c r="BA52" i="105"/>
  <c r="AL52" i="105"/>
  <c r="AI59" i="105"/>
  <c r="BP52" i="105"/>
  <c r="W52" i="105"/>
  <c r="AH52" i="105"/>
  <c r="AB59" i="105"/>
  <c r="AY52" i="105"/>
  <c r="AX52" i="105"/>
  <c r="R44" i="105"/>
  <c r="Y59" i="105"/>
  <c r="BX59" i="105"/>
  <c r="AT52" i="105"/>
  <c r="J117" i="103"/>
  <c r="M117" i="99"/>
  <c r="AR59" i="105"/>
  <c r="AK52" i="105"/>
  <c r="BU52" i="105"/>
  <c r="M117" i="103"/>
  <c r="BZ52" i="105"/>
  <c r="BY59" i="105"/>
  <c r="BW52" i="105"/>
  <c r="K52" i="104"/>
  <c r="AZ52" i="105"/>
  <c r="AF59" i="105"/>
  <c r="AM59" i="105"/>
  <c r="BQ304" i="154"/>
  <c r="BQ32" i="154" s="1"/>
  <c r="BQ97" i="154" s="1"/>
  <c r="BE52" i="105"/>
  <c r="AV334" i="155"/>
  <c r="BU330" i="99"/>
  <c r="BU340" i="99" s="1"/>
  <c r="J117" i="99"/>
  <c r="L117" i="103"/>
  <c r="BC217" i="99"/>
  <c r="BC286" i="99" s="1"/>
  <c r="AJ52" i="105"/>
  <c r="BG215" i="99"/>
  <c r="BG284" i="99" s="1"/>
  <c r="BG292" i="99" s="1"/>
  <c r="BG316" i="99" s="1"/>
  <c r="AA59" i="105"/>
  <c r="BI52" i="105"/>
  <c r="BC59" i="105"/>
  <c r="BZ59" i="105"/>
  <c r="BX52" i="105"/>
  <c r="BF59" i="105"/>
  <c r="BC332" i="99"/>
  <c r="BC342" i="99" s="1"/>
  <c r="AY217" i="99"/>
  <c r="AY286" i="99" s="1"/>
  <c r="AX201" i="99"/>
  <c r="AX209" i="99" s="1"/>
  <c r="AX242" i="99" s="1"/>
  <c r="BR183" i="155"/>
  <c r="AY332" i="99"/>
  <c r="AY342" i="99" s="1"/>
  <c r="BU183" i="155"/>
  <c r="BM59" i="105"/>
  <c r="AQ52" i="105"/>
  <c r="BE59" i="105"/>
  <c r="Y52" i="105"/>
  <c r="Z59" i="105"/>
  <c r="BA59" i="105"/>
  <c r="AL59" i="105"/>
  <c r="BQ52" i="105"/>
  <c r="AP59" i="105"/>
  <c r="AE59" i="105"/>
  <c r="X246" i="155"/>
  <c r="X244" i="155"/>
  <c r="Y290" i="155"/>
  <c r="Y296" i="155" s="1"/>
  <c r="Y31" i="155" s="1"/>
  <c r="Y288" i="155"/>
  <c r="Y246" i="155"/>
  <c r="Y244" i="155"/>
  <c r="W244" i="155"/>
  <c r="W246" i="155"/>
  <c r="W290" i="155"/>
  <c r="W296" i="155" s="1"/>
  <c r="W31" i="155" s="1"/>
  <c r="W288" i="155"/>
  <c r="V246" i="155"/>
  <c r="V244" i="155"/>
  <c r="X288" i="155"/>
  <c r="X290" i="155"/>
  <c r="X296" i="155" s="1"/>
  <c r="X31" i="155" s="1"/>
  <c r="V290" i="155"/>
  <c r="V296" i="155" s="1"/>
  <c r="V31" i="155" s="1"/>
  <c r="V288" i="155"/>
  <c r="AI52" i="105"/>
  <c r="U259" i="99"/>
  <c r="U275" i="99"/>
  <c r="AT59" i="105"/>
  <c r="BF217" i="99"/>
  <c r="BF286" i="99" s="1"/>
  <c r="BF332" i="99"/>
  <c r="BF342" i="99" s="1"/>
  <c r="V311" i="99"/>
  <c r="Y311" i="99"/>
  <c r="T267" i="99"/>
  <c r="U303" i="99"/>
  <c r="U319" i="99"/>
  <c r="BG59" i="105"/>
  <c r="Y267" i="99"/>
  <c r="U468" i="99"/>
  <c r="Y303" i="99"/>
  <c r="P44" i="105"/>
  <c r="BQ260" i="154"/>
  <c r="BQ23" i="154" s="1"/>
  <c r="BQ88" i="154" s="1"/>
  <c r="AD52" i="105"/>
  <c r="AU52" i="105"/>
  <c r="AF246" i="155"/>
  <c r="AF244" i="155"/>
  <c r="AN282" i="155"/>
  <c r="AN219" i="155"/>
  <c r="AC246" i="155"/>
  <c r="AC244" i="155"/>
  <c r="AW238" i="155"/>
  <c r="AW211" i="155"/>
  <c r="BF338" i="155"/>
  <c r="BF344" i="155" s="1"/>
  <c r="BF43" i="155" s="1"/>
  <c r="BF334" i="155"/>
  <c r="BN328" i="155"/>
  <c r="BN197" i="155"/>
  <c r="BN191" i="155"/>
  <c r="AW282" i="155"/>
  <c r="AW219" i="155"/>
  <c r="BF213" i="155"/>
  <c r="BF205" i="155"/>
  <c r="BF203" i="155"/>
  <c r="BL197" i="155"/>
  <c r="BL328" i="155"/>
  <c r="BL191" i="155"/>
  <c r="AO238" i="155"/>
  <c r="AO211" i="155"/>
  <c r="AO282" i="155"/>
  <c r="AO219" i="155"/>
  <c r="AH246" i="155"/>
  <c r="AH244" i="155"/>
  <c r="BM328" i="155"/>
  <c r="BM197" i="155"/>
  <c r="BM191" i="155"/>
  <c r="AE246" i="155"/>
  <c r="AE244" i="155"/>
  <c r="AT282" i="155"/>
  <c r="AT219" i="155"/>
  <c r="BJ328" i="155"/>
  <c r="BJ197" i="155"/>
  <c r="BJ191" i="155"/>
  <c r="AB288" i="155"/>
  <c r="AB290" i="155"/>
  <c r="AB296" i="155" s="1"/>
  <c r="AB31" i="155" s="1"/>
  <c r="AT238" i="155"/>
  <c r="AT211" i="155"/>
  <c r="BH205" i="155"/>
  <c r="BH213" i="155"/>
  <c r="BH203" i="155"/>
  <c r="AX213" i="155"/>
  <c r="AX205" i="155"/>
  <c r="AX203" i="155"/>
  <c r="BK197" i="155"/>
  <c r="BK328" i="155"/>
  <c r="BK191" i="155"/>
  <c r="AK290" i="155"/>
  <c r="AK314" i="155" s="1"/>
  <c r="AK320" i="155" s="1"/>
  <c r="AK35" i="155" s="1"/>
  <c r="AK100" i="155" s="1"/>
  <c r="AK288" i="155"/>
  <c r="BI213" i="155"/>
  <c r="BI205" i="155"/>
  <c r="BI203" i="155"/>
  <c r="AG290" i="155"/>
  <c r="AG296" i="155" s="1"/>
  <c r="AG31" i="155" s="1"/>
  <c r="AG288" i="155"/>
  <c r="BH338" i="155"/>
  <c r="BH344" i="155" s="1"/>
  <c r="BH43" i="155" s="1"/>
  <c r="BH334" i="155"/>
  <c r="AX338" i="155"/>
  <c r="AX344" i="155" s="1"/>
  <c r="AX43" i="155" s="1"/>
  <c r="AX334" i="155"/>
  <c r="BI338" i="155"/>
  <c r="BI344" i="155" s="1"/>
  <c r="BI43" i="155" s="1"/>
  <c r="BI334" i="155"/>
  <c r="AV238" i="155"/>
  <c r="AV211" i="155"/>
  <c r="AJ238" i="155"/>
  <c r="AJ211" i="155"/>
  <c r="BE205" i="155"/>
  <c r="BE213" i="155"/>
  <c r="BE203" i="155"/>
  <c r="BX185" i="155"/>
  <c r="BX183" i="155"/>
  <c r="BP197" i="155"/>
  <c r="BP328" i="155"/>
  <c r="BP191" i="155"/>
  <c r="AV282" i="155"/>
  <c r="AV219" i="155"/>
  <c r="AJ282" i="155"/>
  <c r="AJ219" i="155"/>
  <c r="AZ213" i="155"/>
  <c r="AZ205" i="155"/>
  <c r="AZ203" i="155"/>
  <c r="BE338" i="155"/>
  <c r="BE344" i="155" s="1"/>
  <c r="BE43" i="155" s="1"/>
  <c r="BE334" i="155"/>
  <c r="BW185" i="155"/>
  <c r="BW183" i="155"/>
  <c r="AA290" i="155"/>
  <c r="AA296" i="155" s="1"/>
  <c r="AA31" i="155" s="1"/>
  <c r="AA288" i="155"/>
  <c r="AZ338" i="155"/>
  <c r="AZ344" i="155" s="1"/>
  <c r="AZ43" i="155" s="1"/>
  <c r="AZ334" i="155"/>
  <c r="BY185" i="155"/>
  <c r="BY183" i="155"/>
  <c r="BD338" i="155"/>
  <c r="BD344" i="155" s="1"/>
  <c r="BD43" i="155" s="1"/>
  <c r="BD334" i="155"/>
  <c r="AD246" i="155"/>
  <c r="AD244" i="155"/>
  <c r="BD205" i="155"/>
  <c r="BD213" i="155"/>
  <c r="BD203" i="155"/>
  <c r="BQ328" i="155"/>
  <c r="BQ197" i="155"/>
  <c r="BQ191" i="155"/>
  <c r="Z244" i="155"/>
  <c r="Z246" i="155"/>
  <c r="AI246" i="155"/>
  <c r="AI244" i="155"/>
  <c r="AB246" i="155"/>
  <c r="AB244" i="155"/>
  <c r="BA197" i="155"/>
  <c r="BA328" i="155"/>
  <c r="BA191" i="155"/>
  <c r="BV185" i="155"/>
  <c r="BV183" i="155"/>
  <c r="BS185" i="155"/>
  <c r="BS183" i="155"/>
  <c r="AS238" i="155"/>
  <c r="AS211" i="155"/>
  <c r="BT328" i="155"/>
  <c r="BT197" i="155"/>
  <c r="BT191" i="155"/>
  <c r="AH290" i="155"/>
  <c r="AH296" i="155" s="1"/>
  <c r="AH31" i="155" s="1"/>
  <c r="AH288" i="155"/>
  <c r="AG246" i="155"/>
  <c r="AG244" i="155"/>
  <c r="AE290" i="155"/>
  <c r="AE296" i="155" s="1"/>
  <c r="AE31" i="155" s="1"/>
  <c r="AE288" i="155"/>
  <c r="AS282" i="155"/>
  <c r="AS219" i="155"/>
  <c r="AY338" i="155"/>
  <c r="AY344" i="155" s="1"/>
  <c r="AY43" i="155" s="1"/>
  <c r="AY334" i="155"/>
  <c r="AC290" i="155"/>
  <c r="AC306" i="155" s="1"/>
  <c r="AC312" i="155" s="1"/>
  <c r="AC33" i="155" s="1"/>
  <c r="AC98" i="155" s="1"/>
  <c r="AC288" i="155"/>
  <c r="AY213" i="155"/>
  <c r="AY205" i="155"/>
  <c r="AY203" i="155"/>
  <c r="AR282" i="155"/>
  <c r="AR219" i="155"/>
  <c r="AL238" i="155"/>
  <c r="AL211" i="155"/>
  <c r="AF290" i="155"/>
  <c r="AF296" i="155" s="1"/>
  <c r="AF31" i="155" s="1"/>
  <c r="AF288" i="155"/>
  <c r="AR238" i="155"/>
  <c r="AR211" i="155"/>
  <c r="AP282" i="155"/>
  <c r="AP219" i="155"/>
  <c r="BG205" i="155"/>
  <c r="BG213" i="155"/>
  <c r="BG203" i="155"/>
  <c r="AL282" i="155"/>
  <c r="AL219" i="155"/>
  <c r="AQ282" i="155"/>
  <c r="AQ219" i="155"/>
  <c r="AK246" i="155"/>
  <c r="AK244" i="155"/>
  <c r="BO197" i="155"/>
  <c r="BO328" i="155"/>
  <c r="BO191" i="155"/>
  <c r="BU197" i="155"/>
  <c r="BU328" i="155"/>
  <c r="BU191" i="155"/>
  <c r="AP238" i="155"/>
  <c r="AP211" i="155"/>
  <c r="BG338" i="155"/>
  <c r="BG344" i="155" s="1"/>
  <c r="BG43" i="155" s="1"/>
  <c r="BG334" i="155"/>
  <c r="AQ238" i="155"/>
  <c r="AQ211" i="155"/>
  <c r="BC338" i="155"/>
  <c r="BC344" i="155" s="1"/>
  <c r="BC43" i="155" s="1"/>
  <c r="BC334" i="155"/>
  <c r="AM238" i="155"/>
  <c r="AM211" i="155"/>
  <c r="AI290" i="155"/>
  <c r="AI306" i="155" s="1"/>
  <c r="AI312" i="155" s="1"/>
  <c r="AI33" i="155" s="1"/>
  <c r="AI98" i="155" s="1"/>
  <c r="AI288" i="155"/>
  <c r="BC205" i="155"/>
  <c r="BC213" i="155"/>
  <c r="BC203" i="155"/>
  <c r="BR328" i="155"/>
  <c r="BR197" i="155"/>
  <c r="BR191" i="155"/>
  <c r="AU338" i="155"/>
  <c r="AU344" i="155" s="1"/>
  <c r="AU43" i="155" s="1"/>
  <c r="AU334" i="155"/>
  <c r="AD290" i="155"/>
  <c r="AD296" i="155" s="1"/>
  <c r="AD31" i="155" s="1"/>
  <c r="AD288" i="155"/>
  <c r="AM282" i="155"/>
  <c r="AM219" i="155"/>
  <c r="Z290" i="155"/>
  <c r="Z296" i="155" s="1"/>
  <c r="Z31" i="155" s="1"/>
  <c r="Z288" i="155"/>
  <c r="BB205" i="155"/>
  <c r="BB213" i="155"/>
  <c r="BB203" i="155"/>
  <c r="AA246" i="155"/>
  <c r="AA244" i="155"/>
  <c r="AU213" i="155"/>
  <c r="AU205" i="155"/>
  <c r="AU203" i="155"/>
  <c r="BB338" i="155"/>
  <c r="BB344" i="155" s="1"/>
  <c r="BB43" i="155" s="1"/>
  <c r="BB334" i="155"/>
  <c r="AN238" i="155"/>
  <c r="AN211" i="155"/>
  <c r="R74" i="105"/>
  <c r="Q44" i="105"/>
  <c r="AS52" i="105"/>
  <c r="AN52" i="105"/>
  <c r="BK59" i="105"/>
  <c r="S74" i="105"/>
  <c r="BJ318" i="155"/>
  <c r="P74" i="105"/>
  <c r="O74" i="105"/>
  <c r="BL266" i="155"/>
  <c r="BJ266" i="155"/>
  <c r="BL266" i="154"/>
  <c r="BL268" i="154" s="1"/>
  <c r="BL24" i="154" s="1"/>
  <c r="BL89" i="154" s="1"/>
  <c r="BK52" i="105"/>
  <c r="V319" i="99"/>
  <c r="Q74" i="105"/>
  <c r="W319" i="99"/>
  <c r="T319" i="99"/>
  <c r="T468" i="99"/>
  <c r="T275" i="99"/>
  <c r="V468" i="99"/>
  <c r="V267" i="99"/>
  <c r="V259" i="99"/>
  <c r="AE52" i="105"/>
  <c r="R251" i="99"/>
  <c r="CA59" i="105"/>
  <c r="AM52" i="105"/>
  <c r="X303" i="99"/>
  <c r="W468" i="99"/>
  <c r="AZ209" i="99"/>
  <c r="AZ242" i="99" s="1"/>
  <c r="W259" i="99"/>
  <c r="AZ332" i="99"/>
  <c r="AZ342" i="99" s="1"/>
  <c r="BO52" i="105"/>
  <c r="BE201" i="99"/>
  <c r="BE209" i="99" s="1"/>
  <c r="BE242" i="99" s="1"/>
  <c r="BK258" i="155"/>
  <c r="BK266" i="154"/>
  <c r="BK268" i="154" s="1"/>
  <c r="BK24" i="154" s="1"/>
  <c r="BK89" i="154" s="1"/>
  <c r="BK318" i="154"/>
  <c r="BK320" i="154" s="1"/>
  <c r="BK35" i="154" s="1"/>
  <c r="BK100" i="154" s="1"/>
  <c r="BL318" i="155"/>
  <c r="BK310" i="155"/>
  <c r="BL310" i="154"/>
  <c r="BL312" i="154" s="1"/>
  <c r="BL33" i="154" s="1"/>
  <c r="BL98" i="154" s="1"/>
  <c r="BR59" i="105"/>
  <c r="BD59" i="105"/>
  <c r="AO52" i="105"/>
  <c r="S319" i="99"/>
  <c r="X468" i="99"/>
  <c r="R319" i="99"/>
  <c r="X259" i="99"/>
  <c r="BB209" i="99"/>
  <c r="BB242" i="99" s="1"/>
  <c r="S311" i="99"/>
  <c r="BB332" i="99"/>
  <c r="BB342" i="99" s="1"/>
  <c r="AW59" i="105"/>
  <c r="R303" i="99"/>
  <c r="X275" i="99"/>
  <c r="Y468" i="99"/>
  <c r="Y275" i="99"/>
  <c r="W275" i="99"/>
  <c r="S468" i="99"/>
  <c r="S259" i="99"/>
  <c r="W303" i="99"/>
  <c r="BR181" i="99"/>
  <c r="BR189" i="99" s="1"/>
  <c r="BR332" i="99" s="1"/>
  <c r="BR342" i="99" s="1"/>
  <c r="S267" i="99"/>
  <c r="T303" i="99"/>
  <c r="X311" i="99"/>
  <c r="BN181" i="99"/>
  <c r="BN189" i="99" s="1"/>
  <c r="BN201" i="99" s="1"/>
  <c r="BN217" i="99" s="1"/>
  <c r="BK181" i="99"/>
  <c r="BK189" i="99" s="1"/>
  <c r="BK332" i="99" s="1"/>
  <c r="BK342" i="99" s="1"/>
  <c r="BJ266" i="154"/>
  <c r="BJ268" i="154" s="1"/>
  <c r="BJ24" i="154" s="1"/>
  <c r="BJ89" i="154" s="1"/>
  <c r="BJ467" i="154"/>
  <c r="BJ252" i="154"/>
  <c r="BJ22" i="154" s="1"/>
  <c r="BJ258" i="154"/>
  <c r="BJ260" i="154" s="1"/>
  <c r="BJ23" i="154" s="1"/>
  <c r="BJ88" i="154" s="1"/>
  <c r="BJ274" i="154"/>
  <c r="BJ276" i="154" s="1"/>
  <c r="BJ26" i="154" s="1"/>
  <c r="BJ91" i="154" s="1"/>
  <c r="BB322" i="154"/>
  <c r="BS244" i="154"/>
  <c r="AY59" i="105"/>
  <c r="BU244" i="154"/>
  <c r="BK310" i="154"/>
  <c r="BK312" i="154" s="1"/>
  <c r="BK33" i="154" s="1"/>
  <c r="BK98" i="154" s="1"/>
  <c r="BK296" i="154"/>
  <c r="BK31" i="154" s="1"/>
  <c r="BP320" i="154"/>
  <c r="BP35" i="154" s="1"/>
  <c r="BP100" i="154" s="1"/>
  <c r="BP288" i="154"/>
  <c r="BK258" i="154"/>
  <c r="BK260" i="154" s="1"/>
  <c r="BK23" i="154" s="1"/>
  <c r="BK88" i="154" s="1"/>
  <c r="BK467" i="154"/>
  <c r="BK252" i="154"/>
  <c r="BK22" i="154" s="1"/>
  <c r="BR304" i="154"/>
  <c r="BR32" i="154" s="1"/>
  <c r="BR97" i="154" s="1"/>
  <c r="BR288" i="154"/>
  <c r="BK266" i="155"/>
  <c r="BK467" i="155"/>
  <c r="BL302" i="155"/>
  <c r="BA469" i="154"/>
  <c r="BA278" i="154"/>
  <c r="BF278" i="154"/>
  <c r="BF469" i="154"/>
  <c r="BL258" i="155"/>
  <c r="BL467" i="155"/>
  <c r="BC322" i="154"/>
  <c r="AX322" i="154"/>
  <c r="AV59" i="105"/>
  <c r="BU304" i="154"/>
  <c r="BU32" i="154" s="1"/>
  <c r="BU97" i="154" s="1"/>
  <c r="BU288" i="154"/>
  <c r="BJ310" i="155"/>
  <c r="BX250" i="155"/>
  <c r="BC278" i="154"/>
  <c r="BC469" i="154"/>
  <c r="BX244" i="154"/>
  <c r="BX250" i="154"/>
  <c r="BD278" i="154"/>
  <c r="BD469" i="154"/>
  <c r="BD19" i="154" s="1"/>
  <c r="BD84" i="154" s="1"/>
  <c r="AO59" i="105"/>
  <c r="BV250" i="155"/>
  <c r="BE322" i="154"/>
  <c r="BV250" i="154"/>
  <c r="BV244" i="154"/>
  <c r="BA322" i="154"/>
  <c r="BR244" i="154"/>
  <c r="BF322" i="154"/>
  <c r="AU59" i="105"/>
  <c r="BW244" i="154"/>
  <c r="BW250" i="154"/>
  <c r="BB469" i="154"/>
  <c r="BB278" i="154"/>
  <c r="AZ322" i="154"/>
  <c r="CB59" i="105"/>
  <c r="BI469" i="154"/>
  <c r="BI278" i="154"/>
  <c r="BW250" i="155"/>
  <c r="BJ258" i="155"/>
  <c r="BJ467" i="155"/>
  <c r="BR52" i="105"/>
  <c r="BD322" i="154"/>
  <c r="BI322" i="154"/>
  <c r="BJ310" i="154"/>
  <c r="BJ312" i="154" s="1"/>
  <c r="BJ33" i="154" s="1"/>
  <c r="BJ98" i="154" s="1"/>
  <c r="BW294" i="155"/>
  <c r="AJ59" i="105"/>
  <c r="BE469" i="154"/>
  <c r="BE278" i="154"/>
  <c r="BH278" i="154"/>
  <c r="BH469" i="154"/>
  <c r="BH19" i="154" s="1"/>
  <c r="BH84" i="154" s="1"/>
  <c r="BP244" i="154"/>
  <c r="BT244" i="154"/>
  <c r="BS312" i="154"/>
  <c r="BS33" i="154" s="1"/>
  <c r="BS98" i="154" s="1"/>
  <c r="BS288" i="154"/>
  <c r="BJ302" i="154"/>
  <c r="BJ304" i="154" s="1"/>
  <c r="BJ32" i="154" s="1"/>
  <c r="BJ97" i="154" s="1"/>
  <c r="BJ296" i="154"/>
  <c r="BJ31" i="154" s="1"/>
  <c r="BT320" i="154"/>
  <c r="BT35" i="154" s="1"/>
  <c r="BT100" i="154" s="1"/>
  <c r="BT288" i="154"/>
  <c r="BX294" i="154"/>
  <c r="BX288" i="154"/>
  <c r="BD52" i="105"/>
  <c r="AY469" i="154"/>
  <c r="AY278" i="154"/>
  <c r="AX469" i="154"/>
  <c r="AX278" i="154"/>
  <c r="BV294" i="154"/>
  <c r="BV288" i="154"/>
  <c r="BK318" i="155"/>
  <c r="BX294" i="155"/>
  <c r="AC59" i="105"/>
  <c r="BV294" i="155"/>
  <c r="BT52" i="105"/>
  <c r="BW294" i="154"/>
  <c r="BW288" i="154"/>
  <c r="AZ278" i="154"/>
  <c r="AZ469" i="154"/>
  <c r="BG322" i="154"/>
  <c r="BL302" i="154"/>
  <c r="BL304" i="154" s="1"/>
  <c r="BL32" i="154" s="1"/>
  <c r="BL97" i="154" s="1"/>
  <c r="BL296" i="154"/>
  <c r="BL31" i="154" s="1"/>
  <c r="BN59" i="105"/>
  <c r="AY322" i="154"/>
  <c r="BH322" i="154"/>
  <c r="BG469" i="154"/>
  <c r="BG19" i="154" s="1"/>
  <c r="BG84" i="154" s="1"/>
  <c r="BG278" i="154"/>
  <c r="BL258" i="154"/>
  <c r="BL467" i="154"/>
  <c r="BL252" i="154"/>
  <c r="BL22" i="154" s="1"/>
  <c r="CB52" i="105"/>
  <c r="BN185" i="153"/>
  <c r="BN197" i="153" s="1"/>
  <c r="BQ185" i="153"/>
  <c r="BQ197" i="153" s="1"/>
  <c r="BM183" i="153"/>
  <c r="BO183" i="153"/>
  <c r="BN469" i="154"/>
  <c r="BN19" i="154" s="1"/>
  <c r="BN278" i="154"/>
  <c r="BO469" i="154"/>
  <c r="BO278" i="154"/>
  <c r="BM322" i="154"/>
  <c r="BN322" i="154"/>
  <c r="BP183" i="153"/>
  <c r="BQ469" i="154"/>
  <c r="BQ19" i="154" s="1"/>
  <c r="BQ84" i="154" s="1"/>
  <c r="BO322" i="154"/>
  <c r="BP177" i="99"/>
  <c r="BP185" i="99" s="1"/>
  <c r="BM469" i="154"/>
  <c r="BM19" i="154" s="1"/>
  <c r="BM84" i="154" s="1"/>
  <c r="BM278" i="154"/>
  <c r="BQ177" i="99"/>
  <c r="BQ185" i="99" s="1"/>
  <c r="BQ197" i="99" s="1"/>
  <c r="BY304" i="154"/>
  <c r="BY32" i="154" s="1"/>
  <c r="BY97" i="154" s="1"/>
  <c r="BY320" i="154"/>
  <c r="BY35" i="154" s="1"/>
  <c r="BY100" i="154" s="1"/>
  <c r="BY296" i="154"/>
  <c r="BY31" i="154" s="1"/>
  <c r="BO177" i="99"/>
  <c r="BO185" i="99" s="1"/>
  <c r="BO328" i="99" s="1"/>
  <c r="BO338" i="99" s="1"/>
  <c r="BN177" i="99"/>
  <c r="BN185" i="99" s="1"/>
  <c r="BN328" i="99" s="1"/>
  <c r="BN338" i="99" s="1"/>
  <c r="BM177" i="99"/>
  <c r="BM185" i="99" s="1"/>
  <c r="BM328" i="99" s="1"/>
  <c r="BM338" i="99" s="1"/>
  <c r="BY268" i="154"/>
  <c r="BY24" i="154" s="1"/>
  <c r="BY89" i="154" s="1"/>
  <c r="BY260" i="154"/>
  <c r="BY23" i="154" s="1"/>
  <c r="BY88" i="154" s="1"/>
  <c r="BY252" i="154"/>
  <c r="BY22" i="154" s="1"/>
  <c r="BT185" i="153"/>
  <c r="BT191" i="153" s="1"/>
  <c r="CD59" i="105"/>
  <c r="BR185" i="153"/>
  <c r="BR328" i="153" s="1"/>
  <c r="BS185" i="153"/>
  <c r="BS191" i="153" s="1"/>
  <c r="BR177" i="99"/>
  <c r="BR185" i="99" s="1"/>
  <c r="BW559" i="99" a="1"/>
  <c r="BW559" i="99" s="1"/>
  <c r="BW623" i="99" s="1"/>
  <c r="BW615" i="99"/>
  <c r="R173" i="99" s="1"/>
  <c r="BU177" i="99"/>
  <c r="BU185" i="99" s="1"/>
  <c r="BU197" i="99" s="1"/>
  <c r="BU213" i="99" s="1"/>
  <c r="BU282" i="99" s="1"/>
  <c r="BU290" i="99" s="1"/>
  <c r="BS177" i="99"/>
  <c r="BS185" i="99" s="1"/>
  <c r="BS328" i="99" s="1"/>
  <c r="BS338" i="99" s="1"/>
  <c r="BI201" i="99"/>
  <c r="BI209" i="99" s="1"/>
  <c r="AJ197" i="153"/>
  <c r="AJ213" i="153" s="1"/>
  <c r="BP201" i="99"/>
  <c r="BP209" i="99" s="1"/>
  <c r="AJ191" i="153"/>
  <c r="AF183" i="99"/>
  <c r="CD48" i="105"/>
  <c r="BG209" i="99"/>
  <c r="BG242" i="99" s="1"/>
  <c r="BG332" i="99"/>
  <c r="BG342" i="99" s="1"/>
  <c r="BH215" i="99"/>
  <c r="BH284" i="99" s="1"/>
  <c r="BH292" i="99" s="1"/>
  <c r="BH300" i="99" s="1"/>
  <c r="CC52" i="105"/>
  <c r="BM332" i="99"/>
  <c r="BM342" i="99" s="1"/>
  <c r="AC303" i="99"/>
  <c r="S50" i="105"/>
  <c r="R57" i="105"/>
  <c r="N113" i="99"/>
  <c r="P113" i="99" s="1"/>
  <c r="N113" i="103"/>
  <c r="P113" i="103" s="1"/>
  <c r="R51" i="105"/>
  <c r="BU185" i="153"/>
  <c r="BU328" i="153" s="1"/>
  <c r="P49" i="105"/>
  <c r="O44" i="105"/>
  <c r="Q50" i="105"/>
  <c r="Q57" i="105"/>
  <c r="Q49" i="105"/>
  <c r="AU185" i="153"/>
  <c r="AU197" i="153" s="1"/>
  <c r="AV183" i="153"/>
  <c r="BO201" i="99"/>
  <c r="BO217" i="99" s="1"/>
  <c r="P50" i="105"/>
  <c r="AQ316" i="99"/>
  <c r="AQ264" i="99"/>
  <c r="BL201" i="99"/>
  <c r="BL217" i="99" s="1"/>
  <c r="BJ201" i="99"/>
  <c r="BJ217" i="99" s="1"/>
  <c r="AH317" i="99"/>
  <c r="P48" i="99"/>
  <c r="S49" i="105"/>
  <c r="P57" i="105"/>
  <c r="AG267" i="99"/>
  <c r="AR264" i="99"/>
  <c r="O57" i="105"/>
  <c r="AN272" i="99"/>
  <c r="AV256" i="99"/>
  <c r="R58" i="105"/>
  <c r="Q58" i="105"/>
  <c r="Q51" i="105"/>
  <c r="P51" i="105"/>
  <c r="O58" i="105"/>
  <c r="Z183" i="99"/>
  <c r="AD273" i="99"/>
  <c r="AB309" i="99"/>
  <c r="AS316" i="99"/>
  <c r="AA183" i="99"/>
  <c r="O49" i="105"/>
  <c r="AP272" i="99"/>
  <c r="AH273" i="99"/>
  <c r="AS308" i="99"/>
  <c r="S51" i="105"/>
  <c r="S58" i="105"/>
  <c r="N124" i="104"/>
  <c r="P124" i="104" s="1"/>
  <c r="M124" i="104"/>
  <c r="AB183" i="99"/>
  <c r="L124" i="104"/>
  <c r="O51" i="105"/>
  <c r="S57" i="105"/>
  <c r="K124" i="104"/>
  <c r="J124" i="104"/>
  <c r="R49" i="105"/>
  <c r="AO272" i="99"/>
  <c r="AW308" i="99"/>
  <c r="AR316" i="99"/>
  <c r="S44" i="105"/>
  <c r="K113" i="104"/>
  <c r="BY117" i="104"/>
  <c r="BY52" i="104" s="1"/>
  <c r="N113" i="104"/>
  <c r="P113" i="104" s="1"/>
  <c r="P58" i="105"/>
  <c r="R50" i="105"/>
  <c r="AH301" i="99"/>
  <c r="AN300" i="99"/>
  <c r="AE183" i="99"/>
  <c r="O50" i="105"/>
  <c r="AF319" i="99"/>
  <c r="AI303" i="99"/>
  <c r="AG309" i="99"/>
  <c r="AH259" i="99"/>
  <c r="AU300" i="99"/>
  <c r="AC319" i="99"/>
  <c r="AK309" i="99"/>
  <c r="AJ267" i="99"/>
  <c r="AK265" i="99"/>
  <c r="AR300" i="99"/>
  <c r="AL316" i="99"/>
  <c r="Z267" i="99"/>
  <c r="AN316" i="99"/>
  <c r="AF303" i="99"/>
  <c r="AG301" i="99"/>
  <c r="AA317" i="99"/>
  <c r="AJ311" i="99"/>
  <c r="AE265" i="99"/>
  <c r="AA311" i="99"/>
  <c r="AW316" i="99"/>
  <c r="BT181" i="99"/>
  <c r="BS181" i="99"/>
  <c r="BS189" i="99" s="1"/>
  <c r="BU181" i="99"/>
  <c r="BU189" i="99" s="1"/>
  <c r="BU201" i="99" s="1"/>
  <c r="AD183" i="99"/>
  <c r="AV308" i="99"/>
  <c r="AM308" i="99"/>
  <c r="AL264" i="99"/>
  <c r="AB301" i="99"/>
  <c r="AU256" i="99"/>
  <c r="BH332" i="99"/>
  <c r="BH342" i="99" s="1"/>
  <c r="BH201" i="99"/>
  <c r="Z303" i="99"/>
  <c r="AC183" i="99"/>
  <c r="AF265" i="99"/>
  <c r="AK317" i="99"/>
  <c r="AQ308" i="99"/>
  <c r="AI319" i="99"/>
  <c r="AK213" i="153"/>
  <c r="AK203" i="153"/>
  <c r="AK205" i="153"/>
  <c r="Y211" i="153"/>
  <c r="Y238" i="153"/>
  <c r="Z309" i="99"/>
  <c r="AD301" i="99"/>
  <c r="BS330" i="99"/>
  <c r="BS340" i="99" s="1"/>
  <c r="BS199" i="99"/>
  <c r="AF317" i="99"/>
  <c r="Z301" i="99"/>
  <c r="AA309" i="99"/>
  <c r="AD317" i="99"/>
  <c r="AK338" i="153"/>
  <c r="AK344" i="153" s="1"/>
  <c r="AK43" i="153" s="1"/>
  <c r="AK334" i="153"/>
  <c r="Y282" i="153"/>
  <c r="Y219" i="153"/>
  <c r="BT199" i="99"/>
  <c r="BT330" i="99"/>
  <c r="BT340" i="99" s="1"/>
  <c r="AV455" i="153" a="1"/>
  <c r="AV455" i="153" s="1"/>
  <c r="R424" i="153"/>
  <c r="AO191" i="153"/>
  <c r="AO197" i="153"/>
  <c r="AO328" i="153"/>
  <c r="AS191" i="153"/>
  <c r="AS197" i="153"/>
  <c r="AS328" i="153"/>
  <c r="S282" i="153"/>
  <c r="S219" i="153"/>
  <c r="AQ197" i="153"/>
  <c r="AQ191" i="153"/>
  <c r="AQ328" i="153"/>
  <c r="BI292" i="99"/>
  <c r="BI308" i="99" s="1"/>
  <c r="BC292" i="99"/>
  <c r="BC316" i="99" s="1"/>
  <c r="AC205" i="153"/>
  <c r="AC213" i="153"/>
  <c r="AC203" i="153"/>
  <c r="AJ273" i="99"/>
  <c r="BH248" i="99"/>
  <c r="AW272" i="99"/>
  <c r="BI248" i="99"/>
  <c r="BC248" i="99"/>
  <c r="AS272" i="99"/>
  <c r="AT300" i="99"/>
  <c r="BJ207" i="99"/>
  <c r="BJ240" i="99" s="1"/>
  <c r="BJ215" i="99"/>
  <c r="BJ284" i="99" s="1"/>
  <c r="AA259" i="99"/>
  <c r="AJ265" i="99"/>
  <c r="AG273" i="99"/>
  <c r="AI334" i="153"/>
  <c r="AI338" i="153"/>
  <c r="AI344" i="153" s="1"/>
  <c r="AI43" i="153" s="1"/>
  <c r="AZ248" i="99"/>
  <c r="AR272" i="99"/>
  <c r="AR465" i="99"/>
  <c r="AT308" i="99"/>
  <c r="AE259" i="99"/>
  <c r="AC257" i="99"/>
  <c r="AA213" i="153"/>
  <c r="AA205" i="153"/>
  <c r="AA203" i="153"/>
  <c r="AO300" i="99"/>
  <c r="AW264" i="99"/>
  <c r="AW465" i="99"/>
  <c r="BR207" i="99"/>
  <c r="BR240" i="99" s="1"/>
  <c r="BR215" i="99"/>
  <c r="BR284" i="99" s="1"/>
  <c r="AZ292" i="99"/>
  <c r="AZ316" i="99" s="1"/>
  <c r="AS264" i="99"/>
  <c r="AS465" i="99"/>
  <c r="AV316" i="99"/>
  <c r="AA334" i="153"/>
  <c r="AA338" i="153"/>
  <c r="AA344" i="153" s="1"/>
  <c r="AA43" i="153" s="1"/>
  <c r="AO308" i="99"/>
  <c r="BQ215" i="99"/>
  <c r="BQ284" i="99" s="1"/>
  <c r="BQ207" i="99"/>
  <c r="BQ240" i="99" s="1"/>
  <c r="AI205" i="153"/>
  <c r="AI203" i="153"/>
  <c r="AI213" i="153"/>
  <c r="AM197" i="153"/>
  <c r="AM328" i="153"/>
  <c r="AM191" i="153"/>
  <c r="BE248" i="99"/>
  <c r="BF248" i="99"/>
  <c r="AT264" i="99"/>
  <c r="AO264" i="99"/>
  <c r="AO465" i="99"/>
  <c r="AM316" i="99"/>
  <c r="BD183" i="153"/>
  <c r="BD185" i="153"/>
  <c r="BE292" i="99"/>
  <c r="BE308" i="99" s="1"/>
  <c r="BF292" i="99"/>
  <c r="BF316" i="99" s="1"/>
  <c r="AJ334" i="153"/>
  <c r="AJ338" i="153"/>
  <c r="AJ344" i="153" s="1"/>
  <c r="AJ43" i="153" s="1"/>
  <c r="BD248" i="99"/>
  <c r="AG213" i="153"/>
  <c r="AG205" i="153"/>
  <c r="AG203" i="153"/>
  <c r="BO215" i="99"/>
  <c r="BO284" i="99" s="1"/>
  <c r="BO207" i="99"/>
  <c r="BO240" i="99" s="1"/>
  <c r="AZ185" i="153"/>
  <c r="AZ183" i="153"/>
  <c r="AF338" i="153"/>
  <c r="AF344" i="153" s="1"/>
  <c r="AF43" i="153" s="1"/>
  <c r="AF334" i="153"/>
  <c r="AT256" i="99"/>
  <c r="AT465" i="99"/>
  <c r="BG248" i="99"/>
  <c r="AE317" i="99"/>
  <c r="AB303" i="99"/>
  <c r="BD292" i="99"/>
  <c r="BD308" i="99" s="1"/>
  <c r="AG334" i="153"/>
  <c r="AG338" i="153"/>
  <c r="AG344" i="153" s="1"/>
  <c r="AG43" i="153" s="1"/>
  <c r="AM272" i="99"/>
  <c r="BG185" i="153"/>
  <c r="BG183" i="153"/>
  <c r="AR197" i="153"/>
  <c r="AR328" i="153"/>
  <c r="AR191" i="153"/>
  <c r="AF213" i="153"/>
  <c r="AF205" i="153"/>
  <c r="AF203" i="153"/>
  <c r="U282" i="153"/>
  <c r="U219" i="153"/>
  <c r="AE309" i="99"/>
  <c r="AB319" i="99"/>
  <c r="AE213" i="153"/>
  <c r="AE205" i="153"/>
  <c r="AE203" i="153"/>
  <c r="BH185" i="153"/>
  <c r="BH183" i="153"/>
  <c r="BA248" i="99"/>
  <c r="U238" i="153"/>
  <c r="U211" i="153"/>
  <c r="AE334" i="153"/>
  <c r="AE338" i="153"/>
  <c r="AE344" i="153" s="1"/>
  <c r="AE43" i="153" s="1"/>
  <c r="AY248" i="99"/>
  <c r="AM256" i="99"/>
  <c r="AM465" i="99"/>
  <c r="BC185" i="153"/>
  <c r="BC183" i="153"/>
  <c r="AV328" i="153"/>
  <c r="AV197" i="153"/>
  <c r="AV191" i="153"/>
  <c r="BA292" i="99"/>
  <c r="BA316" i="99" s="1"/>
  <c r="X238" i="153"/>
  <c r="X211" i="153"/>
  <c r="AY292" i="99"/>
  <c r="AY316" i="99" s="1"/>
  <c r="BB183" i="153"/>
  <c r="BB185" i="153"/>
  <c r="V238" i="153"/>
  <c r="V211" i="153"/>
  <c r="AP197" i="153"/>
  <c r="AP328" i="153"/>
  <c r="AP191" i="153"/>
  <c r="X282" i="153"/>
  <c r="X219" i="153"/>
  <c r="R238" i="153"/>
  <c r="R211" i="153"/>
  <c r="AX292" i="99"/>
  <c r="AX308" i="99" s="1"/>
  <c r="T282" i="153"/>
  <c r="T219" i="153"/>
  <c r="AY183" i="153"/>
  <c r="AY185" i="153"/>
  <c r="V282" i="153"/>
  <c r="V219" i="153"/>
  <c r="Z213" i="153"/>
  <c r="Z203" i="153"/>
  <c r="Z205" i="153"/>
  <c r="BB248" i="99"/>
  <c r="AL308" i="99"/>
  <c r="AF309" i="99"/>
  <c r="R282" i="153"/>
  <c r="R219" i="153"/>
  <c r="BN215" i="99"/>
  <c r="BN284" i="99" s="1"/>
  <c r="BN207" i="99"/>
  <c r="BN240" i="99" s="1"/>
  <c r="AX248" i="99"/>
  <c r="T238" i="153"/>
  <c r="T211" i="153"/>
  <c r="BF185" i="153"/>
  <c r="BF183" i="153"/>
  <c r="AQ256" i="99"/>
  <c r="AQ465" i="99"/>
  <c r="AU316" i="99"/>
  <c r="Z334" i="153"/>
  <c r="Z338" i="153"/>
  <c r="Z344" i="153" s="1"/>
  <c r="Z43" i="153" s="1"/>
  <c r="BB292" i="99"/>
  <c r="BB300" i="99" s="1"/>
  <c r="BV177" i="99"/>
  <c r="BV185" i="99" s="1"/>
  <c r="BV197" i="99" s="1"/>
  <c r="BF177" i="99"/>
  <c r="BF185" i="99" s="1"/>
  <c r="BG177" i="99"/>
  <c r="BG185" i="99" s="1"/>
  <c r="BI177" i="99"/>
  <c r="BI185" i="99" s="1"/>
  <c r="BH177" i="99"/>
  <c r="BH185" i="99" s="1"/>
  <c r="BE185" i="153"/>
  <c r="BE183" i="153"/>
  <c r="AH334" i="153"/>
  <c r="AH338" i="153"/>
  <c r="AH344" i="153" s="1"/>
  <c r="AH43" i="153" s="1"/>
  <c r="AT328" i="153"/>
  <c r="AT191" i="153"/>
  <c r="AT197" i="153"/>
  <c r="BL215" i="99"/>
  <c r="BL284" i="99" s="1"/>
  <c r="BL207" i="99"/>
  <c r="BL240" i="99" s="1"/>
  <c r="BM215" i="99"/>
  <c r="BM284" i="99" s="1"/>
  <c r="BM207" i="99"/>
  <c r="BM240" i="99" s="1"/>
  <c r="BP215" i="99"/>
  <c r="BP284" i="99" s="1"/>
  <c r="BP207" i="99"/>
  <c r="BP240" i="99" s="1"/>
  <c r="BA185" i="153"/>
  <c r="BA183" i="153"/>
  <c r="AH213" i="153"/>
  <c r="AH205" i="153"/>
  <c r="AH203" i="153"/>
  <c r="AB213" i="153"/>
  <c r="AB203" i="153"/>
  <c r="AB205" i="153"/>
  <c r="AP264" i="99"/>
  <c r="AP465" i="99"/>
  <c r="AP300" i="99"/>
  <c r="AX183" i="153"/>
  <c r="AX185" i="153"/>
  <c r="AB334" i="153"/>
  <c r="AB338" i="153"/>
  <c r="AB344" i="153" s="1"/>
  <c r="AB43" i="153" s="1"/>
  <c r="BK207" i="99"/>
  <c r="BK240" i="99" s="1"/>
  <c r="BK215" i="99"/>
  <c r="BK284" i="99" s="1"/>
  <c r="AP308" i="99"/>
  <c r="BI185" i="153"/>
  <c r="BI183" i="153"/>
  <c r="AN256" i="99"/>
  <c r="AN465" i="99"/>
  <c r="AU272" i="99"/>
  <c r="AU465" i="99"/>
  <c r="AD334" i="153"/>
  <c r="AD338" i="153"/>
  <c r="AD344" i="153" s="1"/>
  <c r="AD43" i="153" s="1"/>
  <c r="BT198" i="99"/>
  <c r="BT329" i="99"/>
  <c r="BT339" i="99" s="1"/>
  <c r="AN197" i="153"/>
  <c r="AN191" i="153"/>
  <c r="AN328" i="153"/>
  <c r="AD203" i="153"/>
  <c r="AD213" i="153"/>
  <c r="AD205" i="153"/>
  <c r="W282" i="153"/>
  <c r="W219" i="153"/>
  <c r="BS329" i="99"/>
  <c r="BS339" i="99" s="1"/>
  <c r="BS198" i="99"/>
  <c r="AW328" i="153"/>
  <c r="AW191" i="153"/>
  <c r="AW197" i="153"/>
  <c r="AV264" i="99"/>
  <c r="AV465" i="99"/>
  <c r="AL272" i="99"/>
  <c r="AL465" i="99"/>
  <c r="AI265" i="99"/>
  <c r="BV181" i="99"/>
  <c r="BV189" i="99" s="1"/>
  <c r="BV332" i="99" s="1"/>
  <c r="AL328" i="153"/>
  <c r="AL197" i="153"/>
  <c r="AL191" i="153"/>
  <c r="W238" i="153"/>
  <c r="W211" i="153"/>
  <c r="S238" i="153"/>
  <c r="S211" i="153"/>
  <c r="BR329" i="99"/>
  <c r="BR339" i="99" s="1"/>
  <c r="BR198" i="99"/>
  <c r="AC334" i="153"/>
  <c r="AC338" i="153"/>
  <c r="AC344" i="153" s="1"/>
  <c r="AC43" i="153" s="1"/>
  <c r="AL181" i="99"/>
  <c r="AL189" i="99" s="1"/>
  <c r="AM181" i="99"/>
  <c r="AM189" i="99" s="1"/>
  <c r="AN181" i="99"/>
  <c r="AN189" i="99" s="1"/>
  <c r="AO181" i="99"/>
  <c r="AO189" i="99" s="1"/>
  <c r="AP181" i="99"/>
  <c r="AP189" i="99" s="1"/>
  <c r="AQ181" i="99"/>
  <c r="AQ189" i="99" s="1"/>
  <c r="AR181" i="99"/>
  <c r="AR189" i="99" s="1"/>
  <c r="AS181" i="99"/>
  <c r="AS189" i="99" s="1"/>
  <c r="AT181" i="99"/>
  <c r="AT189" i="99" s="1"/>
  <c r="AU181" i="99"/>
  <c r="AU189" i="99" s="1"/>
  <c r="AW181" i="99"/>
  <c r="AW189" i="99" s="1"/>
  <c r="AV181" i="99"/>
  <c r="AV189" i="99" s="1"/>
  <c r="BO333" i="99"/>
  <c r="BO343" i="99" s="1"/>
  <c r="BO202" i="99"/>
  <c r="AK332" i="99"/>
  <c r="AK342" i="99" s="1"/>
  <c r="AK201" i="99"/>
  <c r="AF259" i="99"/>
  <c r="AF468" i="99"/>
  <c r="T209" i="99"/>
  <c r="T242" i="99" s="1"/>
  <c r="T250" i="99" s="1"/>
  <c r="T217" i="99"/>
  <c r="T286" i="99" s="1"/>
  <c r="T294" i="99" s="1"/>
  <c r="T302" i="99" s="1"/>
  <c r="Z265" i="99"/>
  <c r="Z466" i="99"/>
  <c r="BP333" i="99"/>
  <c r="BP343" i="99" s="1"/>
  <c r="BP202" i="99"/>
  <c r="AD275" i="99"/>
  <c r="AD468" i="99"/>
  <c r="AS251" i="99"/>
  <c r="AG332" i="99"/>
  <c r="AG342" i="99" s="1"/>
  <c r="AG201" i="99"/>
  <c r="BI218" i="99"/>
  <c r="BI287" i="99" s="1"/>
  <c r="BI210" i="99"/>
  <c r="BI243" i="99" s="1"/>
  <c r="AH275" i="99"/>
  <c r="AH468" i="99"/>
  <c r="BN202" i="99"/>
  <c r="BN333" i="99"/>
  <c r="BN343" i="99" s="1"/>
  <c r="AS295" i="99"/>
  <c r="AS319" i="99" s="1"/>
  <c r="AH201" i="99"/>
  <c r="AH332" i="99"/>
  <c r="AH342" i="99" s="1"/>
  <c r="AG468" i="99"/>
  <c r="BH210" i="99"/>
  <c r="BH243" i="99" s="1"/>
  <c r="BH218" i="99"/>
  <c r="BH287" i="99" s="1"/>
  <c r="AK311" i="99"/>
  <c r="BM333" i="99"/>
  <c r="BM343" i="99" s="1"/>
  <c r="BM202" i="99"/>
  <c r="AX218" i="99"/>
  <c r="AX287" i="99" s="1"/>
  <c r="AX210" i="99"/>
  <c r="AX243" i="99" s="1"/>
  <c r="AY210" i="99"/>
  <c r="AY243" i="99" s="1"/>
  <c r="AY218" i="99"/>
  <c r="AY287" i="99" s="1"/>
  <c r="AR295" i="99"/>
  <c r="AR303" i="99" s="1"/>
  <c r="AI201" i="99"/>
  <c r="AI332" i="99"/>
  <c r="AI342" i="99" s="1"/>
  <c r="AO295" i="99"/>
  <c r="AO311" i="99" s="1"/>
  <c r="S209" i="99"/>
  <c r="S242" i="99" s="1"/>
  <c r="S217" i="99"/>
  <c r="S286" i="99" s="1"/>
  <c r="AK303" i="99"/>
  <c r="AJ466" i="99"/>
  <c r="BL333" i="99"/>
  <c r="BL343" i="99" s="1"/>
  <c r="BL202" i="99"/>
  <c r="AR251" i="99"/>
  <c r="AJ332" i="99"/>
  <c r="AJ342" i="99" s="1"/>
  <c r="AJ201" i="99"/>
  <c r="BG218" i="99"/>
  <c r="BG287" i="99" s="1"/>
  <c r="BG210" i="99"/>
  <c r="BG243" i="99" s="1"/>
  <c r="AO251" i="99"/>
  <c r="BK333" i="99"/>
  <c r="BK343" i="99" s="1"/>
  <c r="BK202" i="99"/>
  <c r="U455" i="153" a="1"/>
  <c r="U455" i="153" s="1"/>
  <c r="AD265" i="99"/>
  <c r="AD466" i="99"/>
  <c r="T455" i="153" a="1"/>
  <c r="T455" i="153" s="1"/>
  <c r="AC332" i="99"/>
  <c r="AC342" i="99" s="1"/>
  <c r="AC201" i="99"/>
  <c r="AN251" i="99"/>
  <c r="U217" i="99"/>
  <c r="U286" i="99" s="1"/>
  <c r="U294" i="99" s="1"/>
  <c r="U318" i="99" s="1"/>
  <c r="U209" i="99"/>
  <c r="U242" i="99" s="1"/>
  <c r="U250" i="99" s="1"/>
  <c r="BJ333" i="99"/>
  <c r="BJ343" i="99" s="1"/>
  <c r="BJ202" i="99"/>
  <c r="AQ251" i="99"/>
  <c r="BD218" i="99"/>
  <c r="BD287" i="99" s="1"/>
  <c r="BD210" i="99"/>
  <c r="BD243" i="99" s="1"/>
  <c r="BE218" i="99"/>
  <c r="BE287" i="99" s="1"/>
  <c r="BE210" i="99"/>
  <c r="BE243" i="99" s="1"/>
  <c r="AB201" i="99"/>
  <c r="AB332" i="99"/>
  <c r="AB342" i="99" s="1"/>
  <c r="AI273" i="99"/>
  <c r="AI466" i="99"/>
  <c r="AN295" i="99"/>
  <c r="AN311" i="99" s="1"/>
  <c r="Y217" i="99"/>
  <c r="Y286" i="99" s="1"/>
  <c r="Y294" i="99" s="1"/>
  <c r="Y302" i="99" s="1"/>
  <c r="Y209" i="99"/>
  <c r="Y242" i="99" s="1"/>
  <c r="Y250" i="99" s="1"/>
  <c r="AP295" i="99"/>
  <c r="AP303" i="99" s="1"/>
  <c r="AQ295" i="99"/>
  <c r="AQ311" i="99" s="1"/>
  <c r="AA332" i="99"/>
  <c r="AA342" i="99" s="1"/>
  <c r="AA201" i="99"/>
  <c r="AI275" i="99"/>
  <c r="AK259" i="99"/>
  <c r="AP251" i="99"/>
  <c r="AL295" i="99"/>
  <c r="AL311" i="99" s="1"/>
  <c r="Z201" i="99"/>
  <c r="Z332" i="99"/>
  <c r="Z342" i="99" s="1"/>
  <c r="Z319" i="99"/>
  <c r="Z275" i="99"/>
  <c r="Z468" i="99"/>
  <c r="AA275" i="99"/>
  <c r="AA468" i="99"/>
  <c r="AK275" i="99"/>
  <c r="AL251" i="99"/>
  <c r="AB265" i="99"/>
  <c r="AE201" i="99"/>
  <c r="AE332" i="99"/>
  <c r="AE342" i="99" s="1"/>
  <c r="V455" i="153" a="1"/>
  <c r="V455" i="153" s="1"/>
  <c r="AI259" i="99"/>
  <c r="AI468" i="99"/>
  <c r="V217" i="99"/>
  <c r="V286" i="99" s="1"/>
  <c r="V294" i="99" s="1"/>
  <c r="V318" i="99" s="1"/>
  <c r="V209" i="99"/>
  <c r="V242" i="99" s="1"/>
  <c r="V250" i="99" s="1"/>
  <c r="AZ210" i="99"/>
  <c r="AZ243" i="99" s="1"/>
  <c r="AZ218" i="99"/>
  <c r="AZ287" i="99" s="1"/>
  <c r="BC210" i="99"/>
  <c r="BC243" i="99" s="1"/>
  <c r="BC218" i="99"/>
  <c r="BC287" i="99" s="1"/>
  <c r="AD201" i="99"/>
  <c r="AD332" i="99"/>
  <c r="AD342" i="99" s="1"/>
  <c r="AU251" i="99"/>
  <c r="AK468" i="99"/>
  <c r="AB273" i="99"/>
  <c r="AB466" i="99"/>
  <c r="AU295" i="99"/>
  <c r="AU319" i="99" s="1"/>
  <c r="AH265" i="99"/>
  <c r="AH466" i="99"/>
  <c r="AC275" i="99"/>
  <c r="AA257" i="99"/>
  <c r="AT251" i="99"/>
  <c r="AB267" i="99"/>
  <c r="AA303" i="99"/>
  <c r="W209" i="99"/>
  <c r="W242" i="99" s="1"/>
  <c r="W250" i="99" s="1"/>
  <c r="W217" i="99"/>
  <c r="W286" i="99" s="1"/>
  <c r="W294" i="99" s="1"/>
  <c r="W310" i="99" s="1"/>
  <c r="AT295" i="99"/>
  <c r="AT303" i="99" s="1"/>
  <c r="AC259" i="99"/>
  <c r="AC468" i="99"/>
  <c r="AA265" i="99"/>
  <c r="AA466" i="99"/>
  <c r="AB259" i="99"/>
  <c r="AB468" i="99"/>
  <c r="AM295" i="99"/>
  <c r="AM303" i="99" s="1"/>
  <c r="BA218" i="99"/>
  <c r="BA287" i="99" s="1"/>
  <c r="BA210" i="99"/>
  <c r="BA243" i="99" s="1"/>
  <c r="X455" i="153" a="1"/>
  <c r="X455" i="153" s="1"/>
  <c r="AE257" i="99"/>
  <c r="AE466" i="99"/>
  <c r="AM251" i="99"/>
  <c r="BB210" i="99"/>
  <c r="BB243" i="99" s="1"/>
  <c r="BB218" i="99"/>
  <c r="BB287" i="99" s="1"/>
  <c r="AK273" i="99"/>
  <c r="AK466" i="99"/>
  <c r="AV251" i="99"/>
  <c r="AG183" i="99"/>
  <c r="AE267" i="99"/>
  <c r="AE468" i="99"/>
  <c r="AV295" i="99"/>
  <c r="AV303" i="99" s="1"/>
  <c r="AI317" i="99"/>
  <c r="AJ301" i="99"/>
  <c r="BS202" i="99"/>
  <c r="BS333" i="99"/>
  <c r="BS343" i="99" s="1"/>
  <c r="X209" i="99"/>
  <c r="X242" i="99" s="1"/>
  <c r="X250" i="99" s="1"/>
  <c r="X217" i="99"/>
  <c r="X286" i="99" s="1"/>
  <c r="X294" i="99" s="1"/>
  <c r="X310" i="99" s="1"/>
  <c r="AJ319" i="99"/>
  <c r="AJ275" i="99"/>
  <c r="AJ468" i="99"/>
  <c r="AG319" i="99"/>
  <c r="AC301" i="99"/>
  <c r="AC273" i="99"/>
  <c r="AC466" i="99"/>
  <c r="AI309" i="99"/>
  <c r="AW295" i="99"/>
  <c r="AW319" i="99" s="1"/>
  <c r="AJ317" i="99"/>
  <c r="BT333" i="99"/>
  <c r="BT343" i="99" s="1"/>
  <c r="BT202" i="99"/>
  <c r="AG311" i="99"/>
  <c r="AC309" i="99"/>
  <c r="AW251" i="99"/>
  <c r="AH303" i="99"/>
  <c r="S455" i="153" a="1"/>
  <c r="S455" i="153" s="1"/>
  <c r="AE319" i="99"/>
  <c r="BR202" i="99"/>
  <c r="BR333" i="99"/>
  <c r="BR343" i="99" s="1"/>
  <c r="AD303" i="99"/>
  <c r="AF275" i="99"/>
  <c r="AH311" i="99"/>
  <c r="AF273" i="99"/>
  <c r="AF466" i="99"/>
  <c r="Z257" i="99"/>
  <c r="AE311" i="99"/>
  <c r="BQ202" i="99"/>
  <c r="BQ333" i="99"/>
  <c r="BQ343" i="99" s="1"/>
  <c r="AD267" i="99"/>
  <c r="AD311" i="99"/>
  <c r="AF332" i="99"/>
  <c r="AF342" i="99" s="1"/>
  <c r="AF201" i="99"/>
  <c r="BF218" i="99"/>
  <c r="BF287" i="99" s="1"/>
  <c r="BF210" i="99"/>
  <c r="BF243" i="99" s="1"/>
  <c r="AG275" i="99"/>
  <c r="AG257" i="99"/>
  <c r="AG466" i="99"/>
  <c r="AD271" i="99"/>
  <c r="AF307" i="99"/>
  <c r="AG315" i="99"/>
  <c r="AF255" i="99"/>
  <c r="AG307" i="99"/>
  <c r="X255" i="99"/>
  <c r="BM328" i="153"/>
  <c r="BM191" i="153"/>
  <c r="BM197" i="153"/>
  <c r="BK328" i="153"/>
  <c r="BK191" i="153"/>
  <c r="BK197" i="153"/>
  <c r="Z299" i="99"/>
  <c r="Z307" i="99"/>
  <c r="BL197" i="153"/>
  <c r="BL191" i="153"/>
  <c r="BL328" i="153"/>
  <c r="BY185" i="153"/>
  <c r="BY183" i="153"/>
  <c r="BX183" i="153"/>
  <c r="BX185" i="153"/>
  <c r="BW183" i="153"/>
  <c r="BW185" i="153"/>
  <c r="BV183" i="153"/>
  <c r="BV185" i="153"/>
  <c r="BJ191" i="153"/>
  <c r="BJ328" i="153"/>
  <c r="BJ197" i="153"/>
  <c r="BO328" i="153"/>
  <c r="BO197" i="153"/>
  <c r="BO191" i="153"/>
  <c r="AC271" i="99"/>
  <c r="BP197" i="153"/>
  <c r="BP328" i="153"/>
  <c r="BP191" i="153"/>
  <c r="AB307" i="99"/>
  <c r="AE315" i="99"/>
  <c r="W255" i="99"/>
  <c r="W315" i="99"/>
  <c r="W307" i="99"/>
  <c r="Z263" i="99"/>
  <c r="BD201" i="99"/>
  <c r="BD332" i="99"/>
  <c r="BD342" i="99" s="1"/>
  <c r="AB299" i="99"/>
  <c r="V271" i="99"/>
  <c r="V263" i="99"/>
  <c r="BT328" i="99"/>
  <c r="BT338" i="99" s="1"/>
  <c r="BT197" i="99"/>
  <c r="AG263" i="99"/>
  <c r="Y315" i="99"/>
  <c r="AF263" i="99"/>
  <c r="AE255" i="99"/>
  <c r="Y307" i="99"/>
  <c r="BL328" i="99"/>
  <c r="BL338" i="99" s="1"/>
  <c r="BL197" i="99"/>
  <c r="BJ328" i="99"/>
  <c r="BJ338" i="99" s="1"/>
  <c r="BJ197" i="99"/>
  <c r="BK328" i="99"/>
  <c r="BK338" i="99" s="1"/>
  <c r="BK197" i="99"/>
  <c r="AE307" i="99"/>
  <c r="BF186" i="99"/>
  <c r="AT177" i="99"/>
  <c r="AU177" i="99"/>
  <c r="AV177" i="99"/>
  <c r="AW177" i="99"/>
  <c r="AY177" i="99"/>
  <c r="AX177" i="99"/>
  <c r="BA177" i="99"/>
  <c r="AZ177" i="99"/>
  <c r="BB177" i="99"/>
  <c r="BC177" i="99"/>
  <c r="BD177" i="99"/>
  <c r="BE177" i="99"/>
  <c r="BV329" i="99"/>
  <c r="BV339" i="99" s="1"/>
  <c r="BV198" i="99"/>
  <c r="BV562" i="99"/>
  <c r="BV631" i="99"/>
  <c r="BV625" i="99"/>
  <c r="BV626" i="99" s="1"/>
  <c r="BA214" i="99"/>
  <c r="BA283" i="99" s="1"/>
  <c r="BA206" i="99"/>
  <c r="BA239" i="99" s="1"/>
  <c r="AF197" i="99"/>
  <c r="AF328" i="99"/>
  <c r="AF191" i="99"/>
  <c r="Y464" i="99"/>
  <c r="BB206" i="99"/>
  <c r="BB239" i="99" s="1"/>
  <c r="BB214" i="99"/>
  <c r="BB283" i="99" s="1"/>
  <c r="AQ247" i="99"/>
  <c r="AT214" i="99"/>
  <c r="AT283" i="99" s="1"/>
  <c r="AT206" i="99"/>
  <c r="AT239" i="99" s="1"/>
  <c r="BV330" i="99"/>
  <c r="BV340" i="99" s="1"/>
  <c r="BV199" i="99"/>
  <c r="AD197" i="99"/>
  <c r="AD328" i="99"/>
  <c r="AD191" i="99"/>
  <c r="AH247" i="99"/>
  <c r="AQ291" i="99"/>
  <c r="AQ315" i="99" s="1"/>
  <c r="U213" i="99"/>
  <c r="U205" i="99"/>
  <c r="U203" i="99"/>
  <c r="AF464" i="99"/>
  <c r="BV202" i="99"/>
  <c r="BV333" i="99"/>
  <c r="BV343" i="99" s="1"/>
  <c r="AY214" i="99"/>
  <c r="AY283" i="99" s="1"/>
  <c r="AY206" i="99"/>
  <c r="AY239" i="99" s="1"/>
  <c r="AH291" i="99"/>
  <c r="AH307" i="99" s="1"/>
  <c r="BD214" i="99"/>
  <c r="BD283" i="99" s="1"/>
  <c r="BD206" i="99"/>
  <c r="BD239" i="99" s="1"/>
  <c r="U338" i="99"/>
  <c r="U344" i="99" s="1"/>
  <c r="U43" i="99" s="1"/>
  <c r="U108" i="103" s="1"/>
  <c r="U334" i="99"/>
  <c r="AC307" i="99"/>
  <c r="S205" i="99"/>
  <c r="S213" i="99"/>
  <c r="S203" i="99"/>
  <c r="AM291" i="99"/>
  <c r="AM307" i="99" s="1"/>
  <c r="AS291" i="99"/>
  <c r="AS307" i="99" s="1"/>
  <c r="AE271" i="99"/>
  <c r="AE464" i="99"/>
  <c r="AC299" i="99"/>
  <c r="S338" i="99"/>
  <c r="S344" i="99" s="1"/>
  <c r="S43" i="99" s="1"/>
  <c r="S108" i="103" s="1"/>
  <c r="S334" i="99"/>
  <c r="AC197" i="99"/>
  <c r="AC328" i="99"/>
  <c r="AC191" i="99"/>
  <c r="P49" i="103"/>
  <c r="AM247" i="99"/>
  <c r="BU215" i="99"/>
  <c r="BU284" i="99" s="1"/>
  <c r="BU207" i="99"/>
  <c r="BU240" i="99" s="1"/>
  <c r="AS247" i="99"/>
  <c r="AA197" i="99"/>
  <c r="AA328" i="99"/>
  <c r="AA191" i="99"/>
  <c r="AB328" i="99"/>
  <c r="AB197" i="99"/>
  <c r="AB191" i="99"/>
  <c r="AX206" i="99"/>
  <c r="AX239" i="99" s="1"/>
  <c r="AX214" i="99"/>
  <c r="AX283" i="99" s="1"/>
  <c r="AG328" i="99"/>
  <c r="AG197" i="99"/>
  <c r="AG191" i="99"/>
  <c r="AO247" i="99"/>
  <c r="BC214" i="99"/>
  <c r="BC283" i="99" s="1"/>
  <c r="BC206" i="99"/>
  <c r="BC239" i="99" s="1"/>
  <c r="BY608" i="99"/>
  <c r="BY551" i="99"/>
  <c r="BY555" i="99" s="1"/>
  <c r="AB263" i="99"/>
  <c r="BU214" i="99"/>
  <c r="BU283" i="99" s="1"/>
  <c r="BU206" i="99"/>
  <c r="BU239" i="99" s="1"/>
  <c r="AO291" i="99"/>
  <c r="AO315" i="99" s="1"/>
  <c r="AS185" i="99"/>
  <c r="AV206" i="99"/>
  <c r="AV239" i="99" s="1"/>
  <c r="AV214" i="99"/>
  <c r="AV283" i="99" s="1"/>
  <c r="AW206" i="99"/>
  <c r="AW239" i="99" s="1"/>
  <c r="AW214" i="99"/>
  <c r="AW283" i="99" s="1"/>
  <c r="T213" i="99"/>
  <c r="T205" i="99"/>
  <c r="T203" i="99"/>
  <c r="AZ214" i="99"/>
  <c r="AZ283" i="99" s="1"/>
  <c r="AZ206" i="99"/>
  <c r="AZ239" i="99" s="1"/>
  <c r="AC255" i="99"/>
  <c r="AC464" i="99"/>
  <c r="AR185" i="99"/>
  <c r="T338" i="99"/>
  <c r="T344" i="99" s="1"/>
  <c r="T43" i="99" s="1"/>
  <c r="T108" i="103" s="1"/>
  <c r="T334" i="99"/>
  <c r="K113" i="99"/>
  <c r="BQ198" i="99"/>
  <c r="BQ329" i="99"/>
  <c r="BQ339" i="99" s="1"/>
  <c r="P50" i="103"/>
  <c r="AB255" i="99"/>
  <c r="AB464" i="99"/>
  <c r="AQ185" i="99"/>
  <c r="AD307" i="99"/>
  <c r="BP329" i="99"/>
  <c r="BP339" i="99" s="1"/>
  <c r="BP198" i="99"/>
  <c r="R334" i="99"/>
  <c r="R338" i="99"/>
  <c r="R344" i="99" s="1"/>
  <c r="R43" i="99" s="1"/>
  <c r="R108" i="103" s="1"/>
  <c r="Z271" i="99"/>
  <c r="Z464" i="99"/>
  <c r="W263" i="99"/>
  <c r="W464" i="99"/>
  <c r="AP185" i="99"/>
  <c r="AD315" i="99"/>
  <c r="J48" i="104"/>
  <c r="O48" i="105" s="1"/>
  <c r="K48" i="104"/>
  <c r="L48" i="104"/>
  <c r="M48" i="104"/>
  <c r="N48" i="104"/>
  <c r="P48" i="104" s="1"/>
  <c r="BO186" i="99"/>
  <c r="BU210" i="99"/>
  <c r="BU243" i="99" s="1"/>
  <c r="BU218" i="99"/>
  <c r="BU287" i="99" s="1"/>
  <c r="AN247" i="99"/>
  <c r="R205" i="99"/>
  <c r="R203" i="99"/>
  <c r="R213" i="99"/>
  <c r="AA263" i="99"/>
  <c r="AJ247" i="99"/>
  <c r="AN185" i="99"/>
  <c r="AK247" i="99"/>
  <c r="V315" i="99"/>
  <c r="BY52" i="103"/>
  <c r="K48" i="103"/>
  <c r="L48" i="103"/>
  <c r="M48" i="103"/>
  <c r="N48" i="103"/>
  <c r="BN186" i="99"/>
  <c r="AL291" i="99"/>
  <c r="AL299" i="99" s="1"/>
  <c r="AN291" i="99"/>
  <c r="AN307" i="99" s="1"/>
  <c r="X197" i="99"/>
  <c r="X328" i="99"/>
  <c r="X191" i="99"/>
  <c r="AJ291" i="99"/>
  <c r="AJ315" i="99" s="1"/>
  <c r="W197" i="99"/>
  <c r="W328" i="99"/>
  <c r="W191" i="99"/>
  <c r="AO185" i="99"/>
  <c r="AK291" i="99"/>
  <c r="AK299" i="99" s="1"/>
  <c r="V307" i="99"/>
  <c r="AD255" i="99"/>
  <c r="AD464" i="99"/>
  <c r="BY117" i="99"/>
  <c r="K52" i="99"/>
  <c r="K117" i="103" s="1"/>
  <c r="BM186" i="99"/>
  <c r="AL247" i="99"/>
  <c r="AI291" i="99"/>
  <c r="AI315" i="99" s="1"/>
  <c r="Y197" i="99"/>
  <c r="Y328" i="99"/>
  <c r="Y191" i="99"/>
  <c r="AA255" i="99"/>
  <c r="AA464" i="99"/>
  <c r="BX551" i="99"/>
  <c r="BX555" i="99" s="1"/>
  <c r="BX608" i="99"/>
  <c r="BL186" i="99"/>
  <c r="AI247" i="99"/>
  <c r="V328" i="99"/>
  <c r="V197" i="99"/>
  <c r="V191" i="99"/>
  <c r="AK185" i="99"/>
  <c r="AK183" i="99"/>
  <c r="BK186" i="99"/>
  <c r="BE206" i="99"/>
  <c r="BE239" i="99" s="1"/>
  <c r="BE214" i="99"/>
  <c r="BE283" i="99" s="1"/>
  <c r="AM185" i="99"/>
  <c r="AL185" i="99"/>
  <c r="BJ186" i="99"/>
  <c r="AJ185" i="99"/>
  <c r="AJ183" i="99"/>
  <c r="Z328" i="99"/>
  <c r="Z197" i="99"/>
  <c r="Z191" i="99"/>
  <c r="AR291" i="99"/>
  <c r="AR307" i="99" s="1"/>
  <c r="BH186" i="99"/>
  <c r="AG255" i="99"/>
  <c r="AG464" i="99"/>
  <c r="AA315" i="99"/>
  <c r="AI183" i="99"/>
  <c r="AU214" i="99"/>
  <c r="AU283" i="99" s="1"/>
  <c r="AU206" i="99"/>
  <c r="AU239" i="99" s="1"/>
  <c r="N52" i="99"/>
  <c r="N117" i="103" s="1"/>
  <c r="P117" i="103" s="1"/>
  <c r="AR247" i="99"/>
  <c r="BI186" i="99"/>
  <c r="AP291" i="99"/>
  <c r="AP315" i="99" s="1"/>
  <c r="Y271" i="99"/>
  <c r="AA299" i="99"/>
  <c r="X307" i="99"/>
  <c r="X271" i="99"/>
  <c r="X464" i="99"/>
  <c r="V464" i="99"/>
  <c r="AH183" i="99"/>
  <c r="AE328" i="99"/>
  <c r="AE197" i="99"/>
  <c r="AE191" i="99"/>
  <c r="BG186" i="99"/>
  <c r="AP247" i="99"/>
  <c r="Y255" i="99"/>
  <c r="X315" i="99"/>
  <c r="AF299" i="99"/>
  <c r="BF242" i="99"/>
  <c r="BM217" i="99"/>
  <c r="BM209" i="99"/>
  <c r="AY242" i="99"/>
  <c r="AZ286" i="99"/>
  <c r="BL342" i="99"/>
  <c r="BB286" i="99"/>
  <c r="BP342" i="99"/>
  <c r="BJ342" i="99"/>
  <c r="BI342" i="99"/>
  <c r="BO342" i="99"/>
  <c r="BC242" i="99"/>
  <c r="BG286" i="99"/>
  <c r="L619" i="99"/>
  <c r="L620" i="99" s="1"/>
  <c r="L556" i="99"/>
  <c r="N616" i="99"/>
  <c r="P616" i="99" s="1"/>
  <c r="P615" i="99"/>
  <c r="J619" i="99"/>
  <c r="J620" i="99" s="1"/>
  <c r="J556" i="99"/>
  <c r="N619" i="99"/>
  <c r="N556" i="99"/>
  <c r="P556" i="99" s="1"/>
  <c r="P555" i="99"/>
  <c r="P59" i="99"/>
  <c r="N124" i="99"/>
  <c r="P124" i="99" s="1"/>
  <c r="M124" i="99"/>
  <c r="L124" i="99"/>
  <c r="K124" i="99"/>
  <c r="J124" i="99"/>
  <c r="K556" i="99"/>
  <c r="K619" i="99"/>
  <c r="K620" i="99" s="1"/>
  <c r="M619" i="99"/>
  <c r="M620" i="99" s="1"/>
  <c r="M556" i="99"/>
  <c r="AC118" i="105" l="1"/>
  <c r="X27" i="151"/>
  <c r="AU111" i="105"/>
  <c r="AP24" i="151"/>
  <c r="BM118" i="105"/>
  <c r="BH27" i="151"/>
  <c r="AM118" i="105"/>
  <c r="AH27" i="151"/>
  <c r="BP111" i="105"/>
  <c r="BK24" i="151"/>
  <c r="AG118" i="105"/>
  <c r="AB27" i="151"/>
  <c r="X111" i="105"/>
  <c r="S24" i="151"/>
  <c r="BS111" i="105"/>
  <c r="BN24" i="151"/>
  <c r="BS118" i="105"/>
  <c r="BN27" i="151"/>
  <c r="BW118" i="105"/>
  <c r="BR27" i="151"/>
  <c r="BU118" i="105"/>
  <c r="BP27" i="151"/>
  <c r="AD111" i="105"/>
  <c r="Y24" i="151"/>
  <c r="AF118" i="105"/>
  <c r="AA27" i="151"/>
  <c r="AI118" i="105"/>
  <c r="AD27" i="151"/>
  <c r="BH118" i="105"/>
  <c r="BC27" i="151"/>
  <c r="AJ118" i="105"/>
  <c r="AE27" i="151"/>
  <c r="AO111" i="105"/>
  <c r="AJ24" i="151"/>
  <c r="AZ111" i="105"/>
  <c r="AU24" i="151"/>
  <c r="AL111" i="105"/>
  <c r="AG24" i="151"/>
  <c r="BY111" i="105"/>
  <c r="BT24" i="151"/>
  <c r="AA111" i="105"/>
  <c r="V24" i="151"/>
  <c r="BI118" i="105"/>
  <c r="BD27" i="151"/>
  <c r="CC111" i="105"/>
  <c r="BX24" i="151"/>
  <c r="BD118" i="105"/>
  <c r="AY27" i="151"/>
  <c r="BA111" i="105"/>
  <c r="AV24" i="151"/>
  <c r="BP118" i="105"/>
  <c r="BK27" i="151"/>
  <c r="CB111" i="105"/>
  <c r="BW24" i="151"/>
  <c r="BR118" i="105"/>
  <c r="BM27" i="151"/>
  <c r="BW111" i="105"/>
  <c r="BR24" i="151"/>
  <c r="BL111" i="105"/>
  <c r="BG24" i="151"/>
  <c r="BU111" i="105"/>
  <c r="BP24" i="151"/>
  <c r="BQ118" i="105"/>
  <c r="BL27" i="151"/>
  <c r="BR111" i="105"/>
  <c r="BM24" i="151"/>
  <c r="BC118" i="105"/>
  <c r="AX27" i="151"/>
  <c r="AR118" i="105"/>
  <c r="AM27" i="151"/>
  <c r="X118" i="105"/>
  <c r="S27" i="151"/>
  <c r="BI111" i="105"/>
  <c r="BD24" i="151"/>
  <c r="AX118" i="105"/>
  <c r="AS27" i="151"/>
  <c r="W118" i="105"/>
  <c r="R27" i="151"/>
  <c r="BO118" i="105"/>
  <c r="BJ27" i="151"/>
  <c r="BN118" i="105"/>
  <c r="BI27" i="151"/>
  <c r="BO111" i="105"/>
  <c r="BJ24" i="151"/>
  <c r="AA118" i="105"/>
  <c r="V27" i="151"/>
  <c r="BV118" i="105"/>
  <c r="BQ27" i="151"/>
  <c r="AH118" i="105"/>
  <c r="AC27" i="151"/>
  <c r="CC118" i="105"/>
  <c r="BX27" i="151"/>
  <c r="BL118" i="105"/>
  <c r="BG27" i="151"/>
  <c r="AN118" i="105"/>
  <c r="AI27" i="151"/>
  <c r="CB118" i="105"/>
  <c r="BW27" i="151"/>
  <c r="F97" i="34"/>
  <c r="J38" i="151"/>
  <c r="I15" i="294"/>
  <c r="AE118" i="105"/>
  <c r="Z27" i="151"/>
  <c r="AT111" i="105"/>
  <c r="AO24" i="151"/>
  <c r="AQ118" i="105"/>
  <c r="AL27" i="151"/>
  <c r="BF118" i="105"/>
  <c r="BA27" i="151"/>
  <c r="BJ118" i="105"/>
  <c r="BE27" i="151"/>
  <c r="AT118" i="105"/>
  <c r="AO27" i="151"/>
  <c r="BQ111" i="105"/>
  <c r="BL24" i="151"/>
  <c r="Y118" i="105"/>
  <c r="T27" i="151"/>
  <c r="BV111" i="105"/>
  <c r="BQ24" i="151"/>
  <c r="AD118" i="105"/>
  <c r="Y27" i="151"/>
  <c r="AK111" i="105"/>
  <c r="AF24" i="151"/>
  <c r="AV118" i="105"/>
  <c r="AQ27" i="151"/>
  <c r="AY118" i="105"/>
  <c r="AT27" i="151"/>
  <c r="AW118" i="105"/>
  <c r="AR27" i="151"/>
  <c r="N38" i="151"/>
  <c r="J97" i="34"/>
  <c r="AL118" i="105"/>
  <c r="AG27" i="151"/>
  <c r="BG111" i="105"/>
  <c r="BB24" i="151"/>
  <c r="AR111" i="105"/>
  <c r="AM24" i="151"/>
  <c r="BY118" i="105"/>
  <c r="BT27" i="151"/>
  <c r="BG118" i="105"/>
  <c r="BB27" i="151"/>
  <c r="BT118" i="105"/>
  <c r="BO27" i="151"/>
  <c r="BK118" i="105"/>
  <c r="BF27" i="151"/>
  <c r="BA118" i="105"/>
  <c r="AV27" i="151"/>
  <c r="AX111" i="105"/>
  <c r="AS24" i="151"/>
  <c r="AO118" i="105"/>
  <c r="AJ27" i="151"/>
  <c r="AG111" i="105"/>
  <c r="AB24" i="151"/>
  <c r="L38" i="151"/>
  <c r="H97" i="34"/>
  <c r="BD111" i="105"/>
  <c r="AY24" i="151"/>
  <c r="AW111" i="105"/>
  <c r="AR24" i="151"/>
  <c r="AN111" i="105"/>
  <c r="AI24" i="151"/>
  <c r="AI111" i="105"/>
  <c r="AD24" i="151"/>
  <c r="AY111" i="105"/>
  <c r="AT24" i="151"/>
  <c r="AK118" i="105"/>
  <c r="AF27" i="151"/>
  <c r="BZ111" i="105"/>
  <c r="BU24" i="151"/>
  <c r="AB111" i="105"/>
  <c r="W24" i="151"/>
  <c r="G97" i="34"/>
  <c r="K38" i="151"/>
  <c r="AP118" i="105"/>
  <c r="AK27" i="151"/>
  <c r="AJ111" i="105"/>
  <c r="AE24" i="151"/>
  <c r="BX118" i="105"/>
  <c r="BS27" i="151"/>
  <c r="AV111" i="105"/>
  <c r="AQ24" i="151"/>
  <c r="Z118" i="105"/>
  <c r="U27" i="151"/>
  <c r="AU118" i="105"/>
  <c r="AP27" i="151"/>
  <c r="CA118" i="105"/>
  <c r="BV27" i="151"/>
  <c r="AS111" i="105"/>
  <c r="AN24" i="151"/>
  <c r="Y111" i="105"/>
  <c r="T24" i="151"/>
  <c r="AB118" i="105"/>
  <c r="W27" i="151"/>
  <c r="BB118" i="105"/>
  <c r="AW27" i="151"/>
  <c r="BX111" i="105"/>
  <c r="BS24" i="151"/>
  <c r="BM111" i="105"/>
  <c r="BH24" i="151"/>
  <c r="BK111" i="105"/>
  <c r="BF24" i="151"/>
  <c r="BZ118" i="105"/>
  <c r="BU27" i="151"/>
  <c r="AZ118" i="105"/>
  <c r="AU27" i="151"/>
  <c r="AM111" i="105"/>
  <c r="AH24" i="151"/>
  <c r="CD118" i="105"/>
  <c r="BY27" i="151"/>
  <c r="BT111" i="105"/>
  <c r="BO24" i="151"/>
  <c r="BE118" i="105"/>
  <c r="AZ27" i="151"/>
  <c r="BE111" i="105"/>
  <c r="AZ24" i="151"/>
  <c r="AH111" i="105"/>
  <c r="AC24" i="151"/>
  <c r="AE111" i="105"/>
  <c r="Z24" i="151"/>
  <c r="M38" i="151"/>
  <c r="I97" i="34"/>
  <c r="AQ111" i="105"/>
  <c r="AL24" i="151"/>
  <c r="W111" i="105"/>
  <c r="R24" i="151"/>
  <c r="AS118" i="105"/>
  <c r="AN27" i="151"/>
  <c r="BQ209" i="99"/>
  <c r="BQ242" i="99" s="1"/>
  <c r="BN36" i="154"/>
  <c r="BN101" i="154" s="1"/>
  <c r="BN102" i="154" s="1"/>
  <c r="BQ332" i="99"/>
  <c r="BQ342" i="99" s="1"/>
  <c r="U174" i="99"/>
  <c r="V174" i="99" s="1"/>
  <c r="W174" i="99" s="1"/>
  <c r="J43" i="153"/>
  <c r="J108" i="153" s="1"/>
  <c r="M31" i="154"/>
  <c r="M96" i="154" s="1"/>
  <c r="BK96" i="154"/>
  <c r="BK34" i="154"/>
  <c r="BF108" i="155"/>
  <c r="BF45" i="155"/>
  <c r="BF110" i="155" s="1"/>
  <c r="AE108" i="153"/>
  <c r="AE45" i="153"/>
  <c r="AE110" i="153" s="1"/>
  <c r="AK108" i="153"/>
  <c r="AK45" i="153"/>
  <c r="AK110" i="153" s="1"/>
  <c r="AX19" i="154"/>
  <c r="AX148" i="154" s="1"/>
  <c r="BB19" i="154"/>
  <c r="BB145" i="154" s="1"/>
  <c r="AF96" i="155"/>
  <c r="AX108" i="155"/>
  <c r="AX45" i="155"/>
  <c r="AX110" i="155" s="1"/>
  <c r="V96" i="155"/>
  <c r="BD99" i="154"/>
  <c r="BD36" i="154"/>
  <c r="BB99" i="154"/>
  <c r="BB36" i="154"/>
  <c r="AI108" i="153"/>
  <c r="AI45" i="153"/>
  <c r="AI110" i="153" s="1"/>
  <c r="AU108" i="155"/>
  <c r="AU45" i="155"/>
  <c r="AU110" i="155" s="1"/>
  <c r="AB96" i="155"/>
  <c r="X96" i="155"/>
  <c r="M33" i="154"/>
  <c r="M98" i="154" s="1"/>
  <c r="BH108" i="155"/>
  <c r="BH45" i="155"/>
  <c r="BH110" i="155" s="1"/>
  <c r="BM99" i="154"/>
  <c r="BM36" i="154"/>
  <c r="BL96" i="154"/>
  <c r="BL34" i="154"/>
  <c r="AZ99" i="154"/>
  <c r="AZ36" i="154"/>
  <c r="BH99" i="154"/>
  <c r="BH36" i="154"/>
  <c r="BC90" i="154"/>
  <c r="BC27" i="154"/>
  <c r="AY19" i="154"/>
  <c r="AY84" i="154" s="1"/>
  <c r="BE99" i="154"/>
  <c r="BE36" i="154"/>
  <c r="BC99" i="154"/>
  <c r="BC36" i="154"/>
  <c r="BN90" i="154"/>
  <c r="BN27" i="154"/>
  <c r="AZ90" i="154"/>
  <c r="AZ27" i="154"/>
  <c r="BO19" i="154"/>
  <c r="BO84" i="154" s="1"/>
  <c r="AC108" i="153"/>
  <c r="AC45" i="153"/>
  <c r="AC110" i="153" s="1"/>
  <c r="BN84" i="154"/>
  <c r="BE19" i="154"/>
  <c r="BE84" i="154" s="1"/>
  <c r="BB45" i="155"/>
  <c r="BB108" i="155"/>
  <c r="BY96" i="154"/>
  <c r="BY34" i="154"/>
  <c r="AZ19" i="154"/>
  <c r="AZ84" i="154" s="1"/>
  <c r="W96" i="155"/>
  <c r="BD108" i="155"/>
  <c r="BD45" i="155"/>
  <c r="BD110" i="155" s="1"/>
  <c r="N110" i="154"/>
  <c r="P110" i="154" s="1"/>
  <c r="P45" i="154"/>
  <c r="BA90" i="154"/>
  <c r="BA27" i="154"/>
  <c r="AF108" i="153"/>
  <c r="AF45" i="153"/>
  <c r="AF110" i="153" s="1"/>
  <c r="AX99" i="154"/>
  <c r="AX36" i="154"/>
  <c r="L34" i="154"/>
  <c r="L99" i="154" s="1"/>
  <c r="M35" i="154"/>
  <c r="M100" i="154" s="1"/>
  <c r="BO90" i="154"/>
  <c r="BO27" i="154"/>
  <c r="BA99" i="154"/>
  <c r="BA36" i="154"/>
  <c r="AX90" i="154"/>
  <c r="AX27" i="154"/>
  <c r="L25" i="154"/>
  <c r="L90" i="154" s="1"/>
  <c r="BG99" i="154"/>
  <c r="BG36" i="154"/>
  <c r="BD90" i="154"/>
  <c r="BD27" i="154"/>
  <c r="Y96" i="155"/>
  <c r="BI99" i="154"/>
  <c r="BI36" i="154"/>
  <c r="BJ96" i="154"/>
  <c r="BJ34" i="154"/>
  <c r="AY108" i="155"/>
  <c r="AY45" i="155"/>
  <c r="AY110" i="155" s="1"/>
  <c r="BA19" i="154"/>
  <c r="BA84" i="154" s="1"/>
  <c r="BC108" i="155"/>
  <c r="BC45" i="155"/>
  <c r="BC110" i="155" s="1"/>
  <c r="AA96" i="155"/>
  <c r="M26" i="154"/>
  <c r="M91" i="154" s="1"/>
  <c r="BH90" i="154"/>
  <c r="BH27" i="154"/>
  <c r="K45" i="155"/>
  <c r="K110" i="155" s="1"/>
  <c r="BG90" i="154"/>
  <c r="BG27" i="154"/>
  <c r="BO99" i="154"/>
  <c r="BO36" i="154"/>
  <c r="BL87" i="154"/>
  <c r="AP110" i="155"/>
  <c r="AZ108" i="155"/>
  <c r="AZ45" i="155"/>
  <c r="AZ110" i="155" s="1"/>
  <c r="Z96" i="155"/>
  <c r="R110" i="153"/>
  <c r="M32" i="154"/>
  <c r="M97" i="154" s="1"/>
  <c r="BQ25" i="154"/>
  <c r="BI90" i="154"/>
  <c r="BI27" i="154"/>
  <c r="BJ87" i="154"/>
  <c r="BJ25" i="154"/>
  <c r="AE96" i="155"/>
  <c r="AY90" i="154"/>
  <c r="AY27" i="154"/>
  <c r="M24" i="154"/>
  <c r="M89" i="154" s="1"/>
  <c r="AG96" i="155"/>
  <c r="BF19" i="154"/>
  <c r="BF84" i="154" s="1"/>
  <c r="AB108" i="153"/>
  <c r="AB45" i="153"/>
  <c r="AB110" i="153" s="1"/>
  <c r="AH108" i="153"/>
  <c r="AH45" i="153"/>
  <c r="AH110" i="153" s="1"/>
  <c r="AJ108" i="153"/>
  <c r="AJ45" i="153"/>
  <c r="AJ110" i="153" s="1"/>
  <c r="BG108" i="155"/>
  <c r="BG45" i="155"/>
  <c r="BG110" i="155" s="1"/>
  <c r="BE108" i="155"/>
  <c r="BE45" i="155"/>
  <c r="BE110" i="155" s="1"/>
  <c r="BQ34" i="154"/>
  <c r="BM90" i="154"/>
  <c r="BM27" i="154"/>
  <c r="BF90" i="154"/>
  <c r="BF27" i="154"/>
  <c r="BI19" i="154"/>
  <c r="BI84" i="154" s="1"/>
  <c r="BB90" i="154"/>
  <c r="BB27" i="154"/>
  <c r="Z108" i="153"/>
  <c r="Z45" i="153"/>
  <c r="Z110" i="153" s="1"/>
  <c r="BI108" i="155"/>
  <c r="BI45" i="155"/>
  <c r="BI110" i="155" s="1"/>
  <c r="AD108" i="153"/>
  <c r="AD45" i="153"/>
  <c r="AG108" i="153"/>
  <c r="AG45" i="153"/>
  <c r="AG110" i="153" s="1"/>
  <c r="AA108" i="153"/>
  <c r="AA45" i="153"/>
  <c r="AA110" i="153" s="1"/>
  <c r="BY87" i="154"/>
  <c r="BY25" i="154"/>
  <c r="BC19" i="154"/>
  <c r="BC84" i="154" s="1"/>
  <c r="BK87" i="154"/>
  <c r="BK25" i="154"/>
  <c r="AD96" i="155"/>
  <c r="AH96" i="155"/>
  <c r="M22" i="154"/>
  <c r="M87" i="154" s="1"/>
  <c r="BE90" i="154"/>
  <c r="BE27" i="154"/>
  <c r="AY99" i="154"/>
  <c r="AY36" i="154"/>
  <c r="BF99" i="154"/>
  <c r="BF36" i="154"/>
  <c r="BA209" i="99"/>
  <c r="BA242" i="99" s="1"/>
  <c r="BA250" i="99" s="1"/>
  <c r="P103" i="105"/>
  <c r="P108" i="105"/>
  <c r="R110" i="105"/>
  <c r="P110" i="105"/>
  <c r="Q110" i="105"/>
  <c r="Q117" i="105"/>
  <c r="S108" i="105"/>
  <c r="R103" i="105"/>
  <c r="S109" i="105"/>
  <c r="O107" i="105"/>
  <c r="O109" i="105"/>
  <c r="R116" i="105"/>
  <c r="Q103" i="105"/>
  <c r="S110" i="105"/>
  <c r="P117" i="105"/>
  <c r="S116" i="105"/>
  <c r="P107" i="105"/>
  <c r="O116" i="105"/>
  <c r="Q109" i="105"/>
  <c r="O103" i="105"/>
  <c r="S103" i="105"/>
  <c r="R117" i="105"/>
  <c r="Q108" i="105"/>
  <c r="Q130" i="105"/>
  <c r="R130" i="105"/>
  <c r="O130" i="105"/>
  <c r="O108" i="105"/>
  <c r="R107" i="105"/>
  <c r="P109" i="105"/>
  <c r="S117" i="105"/>
  <c r="Q107" i="105"/>
  <c r="S130" i="105"/>
  <c r="O110" i="105"/>
  <c r="R108" i="105"/>
  <c r="Q116" i="105"/>
  <c r="P116" i="105"/>
  <c r="O117" i="105"/>
  <c r="P130" i="105"/>
  <c r="AH415" i="99"/>
  <c r="AH454" i="99" s="1" a="1"/>
  <c r="AH454" i="99" s="1"/>
  <c r="AE413" i="99"/>
  <c r="AE452" i="99" s="1" a="1"/>
  <c r="AE452" i="99" s="1"/>
  <c r="AB417" i="99"/>
  <c r="AB456" i="99" s="1" a="1"/>
  <c r="AB456" i="99" s="1"/>
  <c r="V413" i="99"/>
  <c r="V452" i="99" s="1" a="1"/>
  <c r="V452" i="99" s="1"/>
  <c r="AT414" i="99"/>
  <c r="AT453" i="99" s="1" a="1"/>
  <c r="AT453" i="99" s="1"/>
  <c r="V417" i="99"/>
  <c r="V456" i="99" s="1" a="1"/>
  <c r="V456" i="99" s="1"/>
  <c r="AA413" i="99"/>
  <c r="AA452" i="99" s="1" a="1"/>
  <c r="AA452" i="99" s="1"/>
  <c r="X413" i="99"/>
  <c r="X452" i="99" s="1" a="1"/>
  <c r="X452" i="99" s="1"/>
  <c r="T417" i="99"/>
  <c r="T456" i="99" s="1" a="1"/>
  <c r="T456" i="99" s="1"/>
  <c r="AR414" i="99"/>
  <c r="AR453" i="99" s="1" a="1"/>
  <c r="AR453" i="99" s="1"/>
  <c r="AJ415" i="99"/>
  <c r="AJ454" i="99" s="1" a="1"/>
  <c r="AJ454" i="99" s="1"/>
  <c r="AJ417" i="99"/>
  <c r="AJ456" i="99" s="1" a="1"/>
  <c r="AJ456" i="99" s="1"/>
  <c r="AV414" i="99"/>
  <c r="AV453" i="99" s="1" a="1"/>
  <c r="AV453" i="99" s="1"/>
  <c r="AC417" i="99"/>
  <c r="AC456" i="99" s="1" a="1"/>
  <c r="AC456" i="99" s="1"/>
  <c r="AD413" i="99"/>
  <c r="AD452" i="99" s="1" a="1"/>
  <c r="AD452" i="99" s="1"/>
  <c r="BL416" i="154"/>
  <c r="BL416" i="155"/>
  <c r="AF415" i="99"/>
  <c r="AF454" i="99" s="1" a="1"/>
  <c r="AF454" i="99" s="1"/>
  <c r="AC413" i="99"/>
  <c r="AC452" i="99" s="1" a="1"/>
  <c r="AC452" i="99" s="1"/>
  <c r="Z413" i="99"/>
  <c r="Z452" i="99" s="1" a="1"/>
  <c r="Z452" i="99" s="1"/>
  <c r="AG415" i="99"/>
  <c r="AG454" i="99" s="1" a="1"/>
  <c r="AG454" i="99" s="1"/>
  <c r="AD415" i="99"/>
  <c r="AD454" i="99" s="1" a="1"/>
  <c r="AD454" i="99" s="1"/>
  <c r="Y417" i="99"/>
  <c r="Y456" i="99" s="1" a="1"/>
  <c r="Y456" i="99" s="1"/>
  <c r="BJ416" i="155"/>
  <c r="BJ455" i="155" s="1" a="1"/>
  <c r="BJ455" i="155" s="1"/>
  <c r="AB415" i="99"/>
  <c r="AB454" i="99" s="1" a="1"/>
  <c r="AB454" i="99" s="1"/>
  <c r="AG417" i="99"/>
  <c r="AG456" i="99" s="1" a="1"/>
  <c r="AG456" i="99" s="1"/>
  <c r="W413" i="99"/>
  <c r="W452" i="99" s="1" a="1"/>
  <c r="W452" i="99" s="1"/>
  <c r="AN414" i="99"/>
  <c r="AN453" i="99" s="1" a="1"/>
  <c r="AN453" i="99" s="1"/>
  <c r="AE415" i="99"/>
  <c r="AE454" i="99" s="1" a="1"/>
  <c r="AE454" i="99" s="1"/>
  <c r="AK417" i="99"/>
  <c r="AK456" i="99" s="1" a="1"/>
  <c r="AK456" i="99" s="1"/>
  <c r="Y158" i="99"/>
  <c r="S173" i="99" s="1"/>
  <c r="BI180" i="99" s="1"/>
  <c r="BI188" i="99" s="1"/>
  <c r="X417" i="99"/>
  <c r="X456" i="99" s="1" a="1"/>
  <c r="X456" i="99" s="1"/>
  <c r="W417" i="99"/>
  <c r="W456" i="99" s="1" a="1"/>
  <c r="W456" i="99" s="1"/>
  <c r="AP414" i="99"/>
  <c r="AP453" i="99" s="1" a="1"/>
  <c r="AP453" i="99" s="1"/>
  <c r="AA417" i="99"/>
  <c r="AA456" i="99" s="1" a="1"/>
  <c r="AA456" i="99" s="1"/>
  <c r="AH417" i="99"/>
  <c r="AH456" i="99" s="1" a="1"/>
  <c r="AH456" i="99" s="1"/>
  <c r="AU414" i="99"/>
  <c r="AU453" i="99" s="1" a="1"/>
  <c r="AU453" i="99" s="1"/>
  <c r="AB413" i="99"/>
  <c r="AB452" i="99" s="1" a="1"/>
  <c r="AB452" i="99" s="1"/>
  <c r="AO414" i="99"/>
  <c r="AO453" i="99" s="1" a="1"/>
  <c r="AO453" i="99" s="1"/>
  <c r="AD417" i="99"/>
  <c r="AD456" i="99" s="1" a="1"/>
  <c r="AD456" i="99" s="1"/>
  <c r="AQ414" i="99"/>
  <c r="AQ453" i="99" s="1" a="1"/>
  <c r="AQ453" i="99" s="1"/>
  <c r="Y413" i="99"/>
  <c r="Y452" i="99" s="1" a="1"/>
  <c r="Y452" i="99" s="1"/>
  <c r="AG413" i="99"/>
  <c r="AG452" i="99" s="1" a="1"/>
  <c r="AG452" i="99" s="1"/>
  <c r="BK416" i="155"/>
  <c r="AI415" i="99"/>
  <c r="AI454" i="99" s="1" a="1"/>
  <c r="AI454" i="99" s="1"/>
  <c r="Z415" i="99"/>
  <c r="Z454" i="99" s="1" a="1"/>
  <c r="Z454" i="99" s="1"/>
  <c r="AC415" i="99"/>
  <c r="AC454" i="99" s="1" a="1"/>
  <c r="AC454" i="99" s="1"/>
  <c r="AF417" i="99"/>
  <c r="AF456" i="99" s="1" a="1"/>
  <c r="AF456" i="99" s="1"/>
  <c r="AM414" i="99"/>
  <c r="AM453" i="99" s="1" a="1"/>
  <c r="AM453" i="99" s="1"/>
  <c r="AE417" i="99"/>
  <c r="AE456" i="99" s="1" a="1"/>
  <c r="AE456" i="99" s="1"/>
  <c r="AL414" i="99"/>
  <c r="AL453" i="99" s="1" a="1"/>
  <c r="AL453" i="99" s="1"/>
  <c r="AK415" i="99"/>
  <c r="AK454" i="99" s="1" a="1"/>
  <c r="AK454" i="99" s="1"/>
  <c r="AF413" i="99"/>
  <c r="AF452" i="99" s="1" a="1"/>
  <c r="AF452" i="99" s="1"/>
  <c r="U417" i="99"/>
  <c r="U456" i="99" s="1" a="1"/>
  <c r="U456" i="99" s="1"/>
  <c r="AS414" i="99"/>
  <c r="AS453" i="99" s="1" a="1"/>
  <c r="AS453" i="99" s="1"/>
  <c r="S417" i="99"/>
  <c r="S456" i="99" s="1" a="1"/>
  <c r="S456" i="99" s="1"/>
  <c r="AA415" i="99"/>
  <c r="AA454" i="99" s="1" a="1"/>
  <c r="AA454" i="99" s="1"/>
  <c r="AI417" i="99"/>
  <c r="AI456" i="99" s="1" a="1"/>
  <c r="AI456" i="99" s="1"/>
  <c r="Z417" i="99"/>
  <c r="Z456" i="99" s="1" a="1"/>
  <c r="Z456" i="99" s="1"/>
  <c r="AW414" i="99"/>
  <c r="AW453" i="99" s="1" a="1"/>
  <c r="AW453" i="99" s="1"/>
  <c r="AQ275" i="99"/>
  <c r="BF264" i="99"/>
  <c r="AE270" i="155"/>
  <c r="AE276" i="155" s="1"/>
  <c r="AE26" i="155" s="1"/>
  <c r="AE91" i="155" s="1"/>
  <c r="BE264" i="99"/>
  <c r="AW267" i="99"/>
  <c r="W254" i="155"/>
  <c r="W260" i="155" s="1"/>
  <c r="W23" i="155" s="1"/>
  <c r="W88" i="155" s="1"/>
  <c r="U258" i="99"/>
  <c r="AR275" i="99"/>
  <c r="AP271" i="99"/>
  <c r="AO263" i="99"/>
  <c r="AT267" i="99"/>
  <c r="BI256" i="99"/>
  <c r="BR268" i="154"/>
  <c r="BR24" i="154" s="1"/>
  <c r="BR89" i="154" s="1"/>
  <c r="AB270" i="155"/>
  <c r="AB276" i="155" s="1"/>
  <c r="AB26" i="155" s="1"/>
  <c r="AB91" i="155" s="1"/>
  <c r="AH254" i="155"/>
  <c r="AH260" i="155" s="1"/>
  <c r="AH23" i="155" s="1"/>
  <c r="AH88" i="155" s="1"/>
  <c r="Y270" i="155"/>
  <c r="Y276" i="155" s="1"/>
  <c r="Y26" i="155" s="1"/>
  <c r="Y91" i="155" s="1"/>
  <c r="AH263" i="99"/>
  <c r="T274" i="99"/>
  <c r="BH256" i="99"/>
  <c r="R275" i="99"/>
  <c r="AG262" i="155"/>
  <c r="AG268" i="155" s="1"/>
  <c r="AG24" i="155" s="1"/>
  <c r="AG89" i="155" s="1"/>
  <c r="AI270" i="155"/>
  <c r="AI276" i="155" s="1"/>
  <c r="AI26" i="155" s="1"/>
  <c r="AI91" i="155" s="1"/>
  <c r="AC254" i="155"/>
  <c r="AC260" i="155" s="1"/>
  <c r="AC23" i="155" s="1"/>
  <c r="AC88" i="155" s="1"/>
  <c r="V258" i="99"/>
  <c r="AN275" i="99"/>
  <c r="AX272" i="99"/>
  <c r="Z254" i="155"/>
  <c r="Z260" i="155" s="1"/>
  <c r="Z23" i="155" s="1"/>
  <c r="Z88" i="155" s="1"/>
  <c r="BT268" i="154"/>
  <c r="BT24" i="154" s="1"/>
  <c r="BT89" i="154" s="1"/>
  <c r="AY272" i="99"/>
  <c r="X262" i="155"/>
  <c r="X268" i="155" s="1"/>
  <c r="X24" i="155" s="1"/>
  <c r="X89" i="155" s="1"/>
  <c r="BK416" i="154"/>
  <c r="AL263" i="99"/>
  <c r="Y274" i="99"/>
  <c r="BP276" i="154"/>
  <c r="BP26" i="154" s="1"/>
  <c r="AF254" i="155"/>
  <c r="AF260" i="155" s="1"/>
  <c r="AF23" i="155" s="1"/>
  <c r="AF88" i="155" s="1"/>
  <c r="BS276" i="154"/>
  <c r="BS26" i="154" s="1"/>
  <c r="BS91" i="154" s="1"/>
  <c r="AV259" i="99"/>
  <c r="AR255" i="99"/>
  <c r="X258" i="99"/>
  <c r="AZ272" i="99"/>
  <c r="AQ263" i="99"/>
  <c r="BA264" i="99"/>
  <c r="AK254" i="155"/>
  <c r="AK260" i="155" s="1"/>
  <c r="AK23" i="155" s="1"/>
  <c r="AK88" i="155" s="1"/>
  <c r="AI271" i="99"/>
  <c r="AJ255" i="99"/>
  <c r="BB256" i="99"/>
  <c r="BJ416" i="154"/>
  <c r="BD256" i="99"/>
  <c r="AS263" i="99"/>
  <c r="BG272" i="99"/>
  <c r="BU276" i="154"/>
  <c r="BU26" i="154" s="1"/>
  <c r="BU91" i="154" s="1"/>
  <c r="AD262" i="155"/>
  <c r="AD268" i="155" s="1"/>
  <c r="AD24" i="155" s="1"/>
  <c r="AM263" i="99"/>
  <c r="AM259" i="99"/>
  <c r="W274" i="99"/>
  <c r="AL275" i="99"/>
  <c r="AA270" i="155"/>
  <c r="AA276" i="155" s="1"/>
  <c r="AA26" i="155" s="1"/>
  <c r="AA91" i="155" s="1"/>
  <c r="AN271" i="99"/>
  <c r="AP267" i="99"/>
  <c r="AO275" i="99"/>
  <c r="AS275" i="99"/>
  <c r="AU267" i="99"/>
  <c r="V262" i="155"/>
  <c r="V268" i="155" s="1"/>
  <c r="V24" i="155" s="1"/>
  <c r="BW561" i="99"/>
  <c r="BW567" i="99" s="1"/>
  <c r="CD107" i="105"/>
  <c r="S107" i="105" s="1"/>
  <c r="AX217" i="99"/>
  <c r="AX286" i="99" s="1"/>
  <c r="AX294" i="99" s="1"/>
  <c r="AX318" i="99" s="1"/>
  <c r="BQ322" i="154"/>
  <c r="X254" i="155"/>
  <c r="X260" i="155" s="1"/>
  <c r="X23" i="155" s="1"/>
  <c r="X88" i="155" s="1"/>
  <c r="V270" i="155"/>
  <c r="V276" i="155" s="1"/>
  <c r="V26" i="155" s="1"/>
  <c r="W306" i="155"/>
  <c r="W312" i="155" s="1"/>
  <c r="W33" i="155" s="1"/>
  <c r="W98" i="155" s="1"/>
  <c r="W298" i="155"/>
  <c r="W304" i="155" s="1"/>
  <c r="W32" i="155" s="1"/>
  <c r="W97" i="155" s="1"/>
  <c r="Y254" i="155"/>
  <c r="Y260" i="155" s="1"/>
  <c r="Y23" i="155" s="1"/>
  <c r="Y88" i="155" s="1"/>
  <c r="X298" i="155"/>
  <c r="X304" i="155" s="1"/>
  <c r="X32" i="155" s="1"/>
  <c r="X97" i="155" s="1"/>
  <c r="X314" i="155"/>
  <c r="X320" i="155" s="1"/>
  <c r="X35" i="155" s="1"/>
  <c r="X100" i="155" s="1"/>
  <c r="X306" i="155"/>
  <c r="X312" i="155" s="1"/>
  <c r="X33" i="155" s="1"/>
  <c r="X98" i="155" s="1"/>
  <c r="W314" i="155"/>
  <c r="W320" i="155" s="1"/>
  <c r="W35" i="155" s="1"/>
  <c r="W100" i="155" s="1"/>
  <c r="W262" i="155"/>
  <c r="W268" i="155" s="1"/>
  <c r="W24" i="155" s="1"/>
  <c r="W89" i="155" s="1"/>
  <c r="V314" i="155"/>
  <c r="V320" i="155" s="1"/>
  <c r="V35" i="155" s="1"/>
  <c r="V306" i="155"/>
  <c r="V312" i="155" s="1"/>
  <c r="V33" i="155" s="1"/>
  <c r="V298" i="155"/>
  <c r="V304" i="155" s="1"/>
  <c r="V32" i="155" s="1"/>
  <c r="W270" i="155"/>
  <c r="W276" i="155" s="1"/>
  <c r="W26" i="155" s="1"/>
  <c r="W91" i="155" s="1"/>
  <c r="W252" i="155"/>
  <c r="W22" i="155" s="1"/>
  <c r="W463" i="155"/>
  <c r="Y262" i="155"/>
  <c r="Y268" i="155" s="1"/>
  <c r="Y24" i="155" s="1"/>
  <c r="Y89" i="155" s="1"/>
  <c r="Y463" i="155"/>
  <c r="Y252" i="155"/>
  <c r="Y22" i="155" s="1"/>
  <c r="Y306" i="155"/>
  <c r="Y312" i="155" s="1"/>
  <c r="Y33" i="155" s="1"/>
  <c r="Y98" i="155" s="1"/>
  <c r="Y298" i="155"/>
  <c r="Y304" i="155" s="1"/>
  <c r="Y32" i="155" s="1"/>
  <c r="Y97" i="155" s="1"/>
  <c r="Y314" i="155"/>
  <c r="Y320" i="155" s="1"/>
  <c r="Y35" i="155" s="1"/>
  <c r="Y100" i="155" s="1"/>
  <c r="V254" i="155"/>
  <c r="V260" i="155" s="1"/>
  <c r="V23" i="155" s="1"/>
  <c r="V463" i="155"/>
  <c r="V252" i="155"/>
  <c r="V22" i="155" s="1"/>
  <c r="X270" i="155"/>
  <c r="X276" i="155" s="1"/>
  <c r="X26" i="155" s="1"/>
  <c r="X91" i="155" s="1"/>
  <c r="X463" i="155"/>
  <c r="X252" i="155"/>
  <c r="X22" i="155" s="1"/>
  <c r="BH418" i="154"/>
  <c r="BN209" i="99"/>
  <c r="BN242" i="99" s="1"/>
  <c r="BE217" i="99"/>
  <c r="BE286" i="99" s="1"/>
  <c r="BE294" i="99" s="1"/>
  <c r="BE318" i="99" s="1"/>
  <c r="R267" i="99"/>
  <c r="R468" i="99"/>
  <c r="BQ146" i="154"/>
  <c r="BQ278" i="154"/>
  <c r="BQ418" i="154"/>
  <c r="AF262" i="155"/>
  <c r="AF268" i="155" s="1"/>
  <c r="AF24" i="155" s="1"/>
  <c r="AF89" i="155" s="1"/>
  <c r="AB298" i="155"/>
  <c r="AB304" i="155" s="1"/>
  <c r="AB32" i="155" s="1"/>
  <c r="AB97" i="155" s="1"/>
  <c r="AI298" i="155"/>
  <c r="AI304" i="155" s="1"/>
  <c r="AI32" i="155" s="1"/>
  <c r="AI97" i="155" s="1"/>
  <c r="AD314" i="155"/>
  <c r="AD320" i="155" s="1"/>
  <c r="AD35" i="155" s="1"/>
  <c r="AE254" i="155"/>
  <c r="AE260" i="155" s="1"/>
  <c r="AE23" i="155" s="1"/>
  <c r="AE88" i="155" s="1"/>
  <c r="AC270" i="155"/>
  <c r="AC276" i="155" s="1"/>
  <c r="AC26" i="155" s="1"/>
  <c r="AC91" i="155" s="1"/>
  <c r="AC314" i="155"/>
  <c r="AC320" i="155" s="1"/>
  <c r="AC35" i="155" s="1"/>
  <c r="AC100" i="155" s="1"/>
  <c r="AA298" i="155"/>
  <c r="AA304" i="155" s="1"/>
  <c r="AA32" i="155" s="1"/>
  <c r="AA97" i="155" s="1"/>
  <c r="AA314" i="155"/>
  <c r="AA320" i="155" s="1"/>
  <c r="AA35" i="155" s="1"/>
  <c r="AA100" i="155" s="1"/>
  <c r="AK270" i="155"/>
  <c r="AK276" i="155" s="1"/>
  <c r="AK26" i="155" s="1"/>
  <c r="AK91" i="155" s="1"/>
  <c r="AI262" i="155"/>
  <c r="AI268" i="155" s="1"/>
  <c r="AI24" i="155" s="1"/>
  <c r="AI89" i="155" s="1"/>
  <c r="Z306" i="155"/>
  <c r="Z312" i="155" s="1"/>
  <c r="Z33" i="155" s="1"/>
  <c r="Z98" i="155" s="1"/>
  <c r="AG314" i="155"/>
  <c r="AG320" i="155" s="1"/>
  <c r="AG35" i="155" s="1"/>
  <c r="AG100" i="155" s="1"/>
  <c r="AG306" i="155"/>
  <c r="AG312" i="155" s="1"/>
  <c r="AG33" i="155" s="1"/>
  <c r="AG98" i="155" s="1"/>
  <c r="AF298" i="155"/>
  <c r="AF304" i="155" s="1"/>
  <c r="AF32" i="155" s="1"/>
  <c r="AF97" i="155" s="1"/>
  <c r="AG298" i="155"/>
  <c r="AG304" i="155" s="1"/>
  <c r="AG32" i="155" s="1"/>
  <c r="AG97" i="155" s="1"/>
  <c r="AF314" i="155"/>
  <c r="AF320" i="155" s="1"/>
  <c r="AF35" i="155" s="1"/>
  <c r="AF100" i="155" s="1"/>
  <c r="AE306" i="155"/>
  <c r="AE312" i="155" s="1"/>
  <c r="AE33" i="155" s="1"/>
  <c r="AE98" i="155" s="1"/>
  <c r="AB262" i="155"/>
  <c r="AB268" i="155" s="1"/>
  <c r="AB24" i="155" s="1"/>
  <c r="AB89" i="155" s="1"/>
  <c r="AA254" i="155"/>
  <c r="AA260" i="155" s="1"/>
  <c r="AA23" i="155" s="1"/>
  <c r="AA88" i="155" s="1"/>
  <c r="AF306" i="155"/>
  <c r="AF312" i="155" s="1"/>
  <c r="AF33" i="155" s="1"/>
  <c r="AF98" i="155" s="1"/>
  <c r="AD270" i="155"/>
  <c r="AD276" i="155" s="1"/>
  <c r="AD26" i="155" s="1"/>
  <c r="AG270" i="155"/>
  <c r="AG276" i="155" s="1"/>
  <c r="AG26" i="155" s="1"/>
  <c r="AG91" i="155" s="1"/>
  <c r="AH298" i="155"/>
  <c r="AH304" i="155" s="1"/>
  <c r="AH32" i="155" s="1"/>
  <c r="AH97" i="155" s="1"/>
  <c r="Z314" i="155"/>
  <c r="Z320" i="155" s="1"/>
  <c r="Z35" i="155" s="1"/>
  <c r="Z100" i="155" s="1"/>
  <c r="AH306" i="155"/>
  <c r="AH312" i="155" s="1"/>
  <c r="AH33" i="155" s="1"/>
  <c r="AH98" i="155" s="1"/>
  <c r="Z298" i="155"/>
  <c r="Z304" i="155" s="1"/>
  <c r="Z32" i="155" s="1"/>
  <c r="Z97" i="155" s="1"/>
  <c r="AH314" i="155"/>
  <c r="AH320" i="155" s="1"/>
  <c r="AH35" i="155" s="1"/>
  <c r="AH100" i="155" s="1"/>
  <c r="AA306" i="155"/>
  <c r="AA312" i="155" s="1"/>
  <c r="AA33" i="155" s="1"/>
  <c r="AA98" i="155" s="1"/>
  <c r="BG238" i="155"/>
  <c r="BG211" i="155"/>
  <c r="BM205" i="155"/>
  <c r="BM213" i="155"/>
  <c r="BM203" i="155"/>
  <c r="AW290" i="155"/>
  <c r="AW296" i="155" s="1"/>
  <c r="AW31" i="155" s="1"/>
  <c r="AW288" i="155"/>
  <c r="AQ246" i="155"/>
  <c r="AQ244" i="155"/>
  <c r="BS197" i="155"/>
  <c r="BS328" i="155"/>
  <c r="BS191" i="155"/>
  <c r="BI238" i="155"/>
  <c r="BI211" i="155"/>
  <c r="AB314" i="155"/>
  <c r="AB320" i="155" s="1"/>
  <c r="AB35" i="155" s="1"/>
  <c r="AB100" i="155" s="1"/>
  <c r="BM338" i="155"/>
  <c r="BM344" i="155" s="1"/>
  <c r="BM43" i="155" s="1"/>
  <c r="BM334" i="155"/>
  <c r="AI254" i="155"/>
  <c r="AI260" i="155" s="1"/>
  <c r="AI23" i="155" s="1"/>
  <c r="AI88" i="155" s="1"/>
  <c r="AI463" i="155"/>
  <c r="AI252" i="155"/>
  <c r="AI22" i="155" s="1"/>
  <c r="AD254" i="155"/>
  <c r="AD260" i="155" s="1"/>
  <c r="AD23" i="155" s="1"/>
  <c r="AD463" i="155"/>
  <c r="AD252" i="155"/>
  <c r="AD22" i="155" s="1"/>
  <c r="AZ238" i="155"/>
  <c r="AZ211" i="155"/>
  <c r="BI282" i="155"/>
  <c r="BI219" i="155"/>
  <c r="BN205" i="155"/>
  <c r="BN213" i="155"/>
  <c r="BN203" i="155"/>
  <c r="AA262" i="155"/>
  <c r="AA268" i="155" s="1"/>
  <c r="AA24" i="155" s="1"/>
  <c r="AA89" i="155" s="1"/>
  <c r="AA463" i="155"/>
  <c r="AA252" i="155"/>
  <c r="AA22" i="155" s="1"/>
  <c r="Z270" i="155"/>
  <c r="Z276" i="155" s="1"/>
  <c r="Z26" i="155" s="1"/>
  <c r="Z91" i="155" s="1"/>
  <c r="AZ282" i="155"/>
  <c r="AZ219" i="155"/>
  <c r="AH270" i="155"/>
  <c r="AH276" i="155" s="1"/>
  <c r="AH26" i="155" s="1"/>
  <c r="AH91" i="155" s="1"/>
  <c r="BN338" i="155"/>
  <c r="BN344" i="155" s="1"/>
  <c r="BN43" i="155" s="1"/>
  <c r="BN334" i="155"/>
  <c r="AR290" i="155"/>
  <c r="AR296" i="155" s="1"/>
  <c r="AR31" i="155" s="1"/>
  <c r="AR288" i="155"/>
  <c r="AE298" i="155"/>
  <c r="AE304" i="155" s="1"/>
  <c r="AE32" i="155" s="1"/>
  <c r="AE97" i="155" s="1"/>
  <c r="AK298" i="155"/>
  <c r="AK304" i="155" s="1"/>
  <c r="AK32" i="155" s="1"/>
  <c r="AK97" i="155" s="1"/>
  <c r="BR205" i="155"/>
  <c r="BR213" i="155"/>
  <c r="BR203" i="155"/>
  <c r="AP246" i="155"/>
  <c r="AP244" i="155"/>
  <c r="AE314" i="155"/>
  <c r="AE320" i="155" s="1"/>
  <c r="AE35" i="155" s="1"/>
  <c r="AE100" i="155" s="1"/>
  <c r="Z262" i="155"/>
  <c r="Z268" i="155" s="1"/>
  <c r="Z24" i="155" s="1"/>
  <c r="Z89" i="155" s="1"/>
  <c r="Z463" i="155"/>
  <c r="Z252" i="155"/>
  <c r="Z22" i="155" s="1"/>
  <c r="AJ246" i="155"/>
  <c r="AJ244" i="155"/>
  <c r="AH262" i="155"/>
  <c r="AH268" i="155" s="1"/>
  <c r="AH24" i="155" s="1"/>
  <c r="AH89" i="155" s="1"/>
  <c r="AH463" i="155"/>
  <c r="AH252" i="155"/>
  <c r="AH22" i="155" s="1"/>
  <c r="BR338" i="155"/>
  <c r="BR344" i="155" s="1"/>
  <c r="BR43" i="155" s="1"/>
  <c r="BR334" i="155"/>
  <c r="AY238" i="155"/>
  <c r="AY211" i="155"/>
  <c r="BY197" i="155"/>
  <c r="BY328" i="155"/>
  <c r="BY191" i="155"/>
  <c r="AK306" i="155"/>
  <c r="AK312" i="155" s="1"/>
  <c r="AK33" i="155" s="1"/>
  <c r="AK98" i="155" s="1"/>
  <c r="AK296" i="155"/>
  <c r="AK31" i="155" s="1"/>
  <c r="BJ213" i="155"/>
  <c r="BJ205" i="155"/>
  <c r="BJ203" i="155"/>
  <c r="BB282" i="155"/>
  <c r="BB219" i="155"/>
  <c r="BU338" i="155"/>
  <c r="BU344" i="155" s="1"/>
  <c r="BU43" i="155" s="1"/>
  <c r="BU334" i="155"/>
  <c r="AY282" i="155"/>
  <c r="AY219" i="155"/>
  <c r="AJ290" i="155"/>
  <c r="AJ306" i="155" s="1"/>
  <c r="AJ312" i="155" s="1"/>
  <c r="AJ33" i="155" s="1"/>
  <c r="AJ98" i="155" s="1"/>
  <c r="AJ288" i="155"/>
  <c r="AV246" i="155"/>
  <c r="AV244" i="155"/>
  <c r="BJ338" i="155"/>
  <c r="BJ344" i="155" s="1"/>
  <c r="BJ43" i="155" s="1"/>
  <c r="BJ334" i="155"/>
  <c r="AO290" i="155"/>
  <c r="AO298" i="155" s="1"/>
  <c r="AO304" i="155" s="1"/>
  <c r="AO32" i="155" s="1"/>
  <c r="AO97" i="155" s="1"/>
  <c r="AO288" i="155"/>
  <c r="AW246" i="155"/>
  <c r="AW244" i="155"/>
  <c r="BB238" i="155"/>
  <c r="BB211" i="155"/>
  <c r="BC282" i="155"/>
  <c r="BC219" i="155"/>
  <c r="BU205" i="155"/>
  <c r="BU213" i="155"/>
  <c r="BU203" i="155"/>
  <c r="BQ205" i="155"/>
  <c r="BQ213" i="155"/>
  <c r="BQ203" i="155"/>
  <c r="BK338" i="155"/>
  <c r="BK344" i="155" s="1"/>
  <c r="BK43" i="155" s="1"/>
  <c r="BK334" i="155"/>
  <c r="AN246" i="155"/>
  <c r="AN244" i="155"/>
  <c r="BC238" i="155"/>
  <c r="BC211" i="155"/>
  <c r="BQ338" i="155"/>
  <c r="BQ344" i="155" s="1"/>
  <c r="BQ43" i="155" s="1"/>
  <c r="BQ334" i="155"/>
  <c r="AV290" i="155"/>
  <c r="AV314" i="155" s="1"/>
  <c r="AV320" i="155" s="1"/>
  <c r="AV35" i="155" s="1"/>
  <c r="AV100" i="155" s="1"/>
  <c r="AV288" i="155"/>
  <c r="BK205" i="155"/>
  <c r="BK213" i="155"/>
  <c r="BK203" i="155"/>
  <c r="AT290" i="155"/>
  <c r="AT296" i="155" s="1"/>
  <c r="AT31" i="155" s="1"/>
  <c r="AT288" i="155"/>
  <c r="BO338" i="155"/>
  <c r="BO344" i="155" s="1"/>
  <c r="BO43" i="155" s="1"/>
  <c r="BO334" i="155"/>
  <c r="AP290" i="155"/>
  <c r="AP296" i="155" s="1"/>
  <c r="AP31" i="155" s="1"/>
  <c r="AP288" i="155"/>
  <c r="BV197" i="155"/>
  <c r="BV328" i="155"/>
  <c r="BV191" i="155"/>
  <c r="BO213" i="155"/>
  <c r="BO205" i="155"/>
  <c r="BO203" i="155"/>
  <c r="AG254" i="155"/>
  <c r="AG260" i="155" s="1"/>
  <c r="AG23" i="155" s="1"/>
  <c r="AG88" i="155" s="1"/>
  <c r="AG463" i="155"/>
  <c r="AG252" i="155"/>
  <c r="AG22" i="155" s="1"/>
  <c r="BD282" i="155"/>
  <c r="BD219" i="155"/>
  <c r="BP338" i="155"/>
  <c r="BP344" i="155" s="1"/>
  <c r="BP43" i="155" s="1"/>
  <c r="BP334" i="155"/>
  <c r="AR246" i="155"/>
  <c r="AR244" i="155"/>
  <c r="BA338" i="155"/>
  <c r="BA344" i="155" s="1"/>
  <c r="BA43" i="155" s="1"/>
  <c r="L43" i="155" s="1"/>
  <c r="L108" i="155" s="1"/>
  <c r="BA334" i="155"/>
  <c r="BD238" i="155"/>
  <c r="BD211" i="155"/>
  <c r="BP213" i="155"/>
  <c r="BP205" i="155"/>
  <c r="BP203" i="155"/>
  <c r="BA213" i="155"/>
  <c r="BA205" i="155"/>
  <c r="BA203" i="155"/>
  <c r="BX197" i="155"/>
  <c r="BX328" i="155"/>
  <c r="BX191" i="155"/>
  <c r="AX238" i="155"/>
  <c r="AX211" i="155"/>
  <c r="AO246" i="155"/>
  <c r="AO244" i="155"/>
  <c r="AC262" i="155"/>
  <c r="AC268" i="155" s="1"/>
  <c r="AC24" i="155" s="1"/>
  <c r="AC89" i="155" s="1"/>
  <c r="AC463" i="155"/>
  <c r="AC252" i="155"/>
  <c r="AC22" i="155" s="1"/>
  <c r="AK262" i="155"/>
  <c r="AK268" i="155" s="1"/>
  <c r="AK24" i="155" s="1"/>
  <c r="AK89" i="155" s="1"/>
  <c r="AK463" i="155"/>
  <c r="AK252" i="155"/>
  <c r="AK22" i="155" s="1"/>
  <c r="AX282" i="155"/>
  <c r="AX219" i="155"/>
  <c r="BE282" i="155"/>
  <c r="BE219" i="155"/>
  <c r="BL338" i="155"/>
  <c r="BL344" i="155" s="1"/>
  <c r="BL43" i="155" s="1"/>
  <c r="BL334" i="155"/>
  <c r="AN290" i="155"/>
  <c r="AN288" i="155"/>
  <c r="AI314" i="155"/>
  <c r="AI320" i="155" s="1"/>
  <c r="AI35" i="155" s="1"/>
  <c r="AI100" i="155" s="1"/>
  <c r="AI296" i="155"/>
  <c r="AI31" i="155" s="1"/>
  <c r="AQ290" i="155"/>
  <c r="AQ296" i="155" s="1"/>
  <c r="AQ31" i="155" s="1"/>
  <c r="AQ288" i="155"/>
  <c r="AC298" i="155"/>
  <c r="AC304" i="155" s="1"/>
  <c r="AC32" i="155" s="1"/>
  <c r="AC97" i="155" s="1"/>
  <c r="AC296" i="155"/>
  <c r="AC31" i="155" s="1"/>
  <c r="AB254" i="155"/>
  <c r="AB260" i="155" s="1"/>
  <c r="AB23" i="155" s="1"/>
  <c r="AB88" i="155" s="1"/>
  <c r="AB463" i="155"/>
  <c r="AB252" i="155"/>
  <c r="AB22" i="155" s="1"/>
  <c r="BE238" i="155"/>
  <c r="BE211" i="155"/>
  <c r="BH282" i="155"/>
  <c r="BH219" i="155"/>
  <c r="BL213" i="155"/>
  <c r="BL205" i="155"/>
  <c r="BL203" i="155"/>
  <c r="AM290" i="155"/>
  <c r="AM296" i="155" s="1"/>
  <c r="AM31" i="155" s="1"/>
  <c r="AM288" i="155"/>
  <c r="BT213" i="155"/>
  <c r="BT205" i="155"/>
  <c r="BT203" i="155"/>
  <c r="BH238" i="155"/>
  <c r="BH211" i="155"/>
  <c r="AM246" i="155"/>
  <c r="AM244" i="155"/>
  <c r="AL290" i="155"/>
  <c r="AL314" i="155" s="1"/>
  <c r="AL320" i="155" s="1"/>
  <c r="AL35" i="155" s="1"/>
  <c r="AL100" i="155" s="1"/>
  <c r="AL288" i="155"/>
  <c r="AL246" i="155"/>
  <c r="AL244" i="155"/>
  <c r="BT338" i="155"/>
  <c r="BT344" i="155" s="1"/>
  <c r="BT43" i="155" s="1"/>
  <c r="BT334" i="155"/>
  <c r="BW197" i="155"/>
  <c r="BW328" i="155"/>
  <c r="BW191" i="155"/>
  <c r="BF238" i="155"/>
  <c r="BF211" i="155"/>
  <c r="AU238" i="155"/>
  <c r="AU211" i="155"/>
  <c r="AD306" i="155"/>
  <c r="AD312" i="155" s="1"/>
  <c r="AD33" i="155" s="1"/>
  <c r="AT246" i="155"/>
  <c r="AT244" i="155"/>
  <c r="AE262" i="155"/>
  <c r="AE268" i="155" s="1"/>
  <c r="AE24" i="155" s="1"/>
  <c r="AE89" i="155" s="1"/>
  <c r="AE463" i="155"/>
  <c r="AE252" i="155"/>
  <c r="AE22" i="155" s="1"/>
  <c r="BF282" i="155"/>
  <c r="BF219" i="155"/>
  <c r="AF270" i="155"/>
  <c r="AF276" i="155" s="1"/>
  <c r="AF26" i="155" s="1"/>
  <c r="AF91" i="155" s="1"/>
  <c r="AF463" i="155"/>
  <c r="AF252" i="155"/>
  <c r="AF22" i="155" s="1"/>
  <c r="AU282" i="155"/>
  <c r="AU219" i="155"/>
  <c r="AD298" i="155"/>
  <c r="AD304" i="155" s="1"/>
  <c r="AD32" i="155" s="1"/>
  <c r="BG282" i="155"/>
  <c r="BG219" i="155"/>
  <c r="AS290" i="155"/>
  <c r="AS296" i="155" s="1"/>
  <c r="AS31" i="155" s="1"/>
  <c r="AS288" i="155"/>
  <c r="AS246" i="155"/>
  <c r="AS244" i="155"/>
  <c r="AB306" i="155"/>
  <c r="AB312" i="155" s="1"/>
  <c r="AB33" i="155" s="1"/>
  <c r="AB98" i="155" s="1"/>
  <c r="U74" i="105"/>
  <c r="BT312" i="154"/>
  <c r="BT33" i="154" s="1"/>
  <c r="BT98" i="154" s="1"/>
  <c r="BS320" i="154"/>
  <c r="BS35" i="154" s="1"/>
  <c r="BS100" i="154" s="1"/>
  <c r="BB146" i="154"/>
  <c r="R259" i="99"/>
  <c r="BK201" i="99"/>
  <c r="BK217" i="99" s="1"/>
  <c r="BK286" i="99" s="1"/>
  <c r="BR201" i="99"/>
  <c r="BR209" i="99" s="1"/>
  <c r="BR242" i="99" s="1"/>
  <c r="BS268" i="154"/>
  <c r="BS24" i="154" s="1"/>
  <c r="BS89" i="154" s="1"/>
  <c r="BP260" i="154"/>
  <c r="BP23" i="154" s="1"/>
  <c r="BP268" i="154"/>
  <c r="BP24" i="154" s="1"/>
  <c r="BT260" i="154"/>
  <c r="BT23" i="154" s="1"/>
  <c r="BT88" i="154" s="1"/>
  <c r="BU268" i="154"/>
  <c r="BU24" i="154" s="1"/>
  <c r="BU89" i="154" s="1"/>
  <c r="BP312" i="154"/>
  <c r="BP33" i="154" s="1"/>
  <c r="BN332" i="99"/>
  <c r="BN342" i="99" s="1"/>
  <c r="AT180" i="99"/>
  <c r="AT188" i="99" s="1"/>
  <c r="AS180" i="99"/>
  <c r="AS188" i="99" s="1"/>
  <c r="AS191" i="99" s="1"/>
  <c r="AR180" i="99"/>
  <c r="AR188" i="99" s="1"/>
  <c r="AR191" i="99" s="1"/>
  <c r="AU180" i="99"/>
  <c r="AU188" i="99" s="1"/>
  <c r="AW180" i="99"/>
  <c r="AW188" i="99" s="1"/>
  <c r="AX180" i="99"/>
  <c r="AX188" i="99" s="1"/>
  <c r="AZ180" i="99"/>
  <c r="AZ188" i="99" s="1"/>
  <c r="BA180" i="99"/>
  <c r="BA188" i="99" s="1"/>
  <c r="AY180" i="99"/>
  <c r="AY188" i="99" s="1"/>
  <c r="BB180" i="99"/>
  <c r="BB188" i="99" s="1"/>
  <c r="BC180" i="99"/>
  <c r="BC188" i="99" s="1"/>
  <c r="BG148" i="154"/>
  <c r="BG146" i="154"/>
  <c r="BG147" i="154"/>
  <c r="AY455" i="155" a="1"/>
  <c r="AY455" i="155" s="1"/>
  <c r="BW302" i="154"/>
  <c r="BW304" i="154" s="1"/>
  <c r="BW32" i="154" s="1"/>
  <c r="BW97" i="154" s="1"/>
  <c r="BW318" i="154"/>
  <c r="BW320" i="154" s="1"/>
  <c r="BW35" i="154" s="1"/>
  <c r="BW100" i="154" s="1"/>
  <c r="BW310" i="154"/>
  <c r="BW312" i="154" s="1"/>
  <c r="BW33" i="154" s="1"/>
  <c r="BW98" i="154" s="1"/>
  <c r="BW296" i="154"/>
  <c r="BW31" i="154" s="1"/>
  <c r="BL260" i="154"/>
  <c r="BL23" i="154" s="1"/>
  <c r="BL88" i="154" s="1"/>
  <c r="AZ455" i="154" a="1"/>
  <c r="AZ455" i="154" s="1"/>
  <c r="AZ457" i="154" s="1"/>
  <c r="AZ69" i="154" s="1"/>
  <c r="AZ134" i="154" s="1"/>
  <c r="AZ418" i="154"/>
  <c r="BH147" i="154"/>
  <c r="BX266" i="155"/>
  <c r="BX274" i="155"/>
  <c r="BX258" i="155"/>
  <c r="BX467" i="155"/>
  <c r="BG145" i="154"/>
  <c r="BH145" i="154"/>
  <c r="BV274" i="155"/>
  <c r="BV258" i="155"/>
  <c r="BV467" i="155"/>
  <c r="BV266" i="155"/>
  <c r="BJ469" i="154"/>
  <c r="BJ278" i="154"/>
  <c r="AX455" i="154" a="1"/>
  <c r="AX455" i="154" s="1"/>
  <c r="AX457" i="154" s="1"/>
  <c r="AX69" i="154" s="1"/>
  <c r="AX418" i="154"/>
  <c r="BC455" i="154" a="1"/>
  <c r="BC455" i="154" s="1"/>
  <c r="BC457" i="154" s="1"/>
  <c r="BC69" i="154" s="1"/>
  <c r="BC134" i="154" s="1"/>
  <c r="BC418" i="154"/>
  <c r="BX274" i="154"/>
  <c r="BX276" i="154" s="1"/>
  <c r="BX26" i="154" s="1"/>
  <c r="BX91" i="154" s="1"/>
  <c r="BX266" i="154"/>
  <c r="BX268" i="154" s="1"/>
  <c r="BX24" i="154" s="1"/>
  <c r="BX89" i="154" s="1"/>
  <c r="BX467" i="154"/>
  <c r="BX252" i="154"/>
  <c r="BX22" i="154" s="1"/>
  <c r="BX258" i="154"/>
  <c r="BK469" i="154"/>
  <c r="BK19" i="154" s="1"/>
  <c r="BK84" i="154" s="1"/>
  <c r="BK278" i="154"/>
  <c r="BS260" i="154"/>
  <c r="BS23" i="154" s="1"/>
  <c r="BS88" i="154" s="1"/>
  <c r="BS252" i="154"/>
  <c r="BS22" i="154" s="1"/>
  <c r="BX302" i="154"/>
  <c r="BX304" i="154" s="1"/>
  <c r="BX32" i="154" s="1"/>
  <c r="BX97" i="154" s="1"/>
  <c r="BX318" i="154"/>
  <c r="BX320" i="154" s="1"/>
  <c r="BX35" i="154" s="1"/>
  <c r="BX100" i="154" s="1"/>
  <c r="BX310" i="154"/>
  <c r="BX312" i="154" s="1"/>
  <c r="BX33" i="154" s="1"/>
  <c r="BX98" i="154" s="1"/>
  <c r="BX296" i="154"/>
  <c r="BX31" i="154" s="1"/>
  <c r="BT304" i="154"/>
  <c r="BT32" i="154" s="1"/>
  <c r="BT97" i="154" s="1"/>
  <c r="BT296" i="154"/>
  <c r="BT31" i="154" s="1"/>
  <c r="BR312" i="154"/>
  <c r="BR33" i="154" s="1"/>
  <c r="BR98" i="154" s="1"/>
  <c r="BE455" i="154" a="1"/>
  <c r="BE455" i="154" s="1"/>
  <c r="BE457" i="154" s="1"/>
  <c r="BE69" i="154" s="1"/>
  <c r="BE134" i="154" s="1"/>
  <c r="BE418" i="154"/>
  <c r="BT276" i="154"/>
  <c r="BT26" i="154" s="1"/>
  <c r="BT91" i="154" s="1"/>
  <c r="BT252" i="154"/>
  <c r="BT22" i="154" s="1"/>
  <c r="BP252" i="154"/>
  <c r="BP22" i="154" s="1"/>
  <c r="BW266" i="154"/>
  <c r="BW268" i="154" s="1"/>
  <c r="BW24" i="154" s="1"/>
  <c r="BW89" i="154" s="1"/>
  <c r="BW467" i="154"/>
  <c r="BW274" i="154"/>
  <c r="BW276" i="154" s="1"/>
  <c r="BW26" i="154" s="1"/>
  <c r="BW91" i="154" s="1"/>
  <c r="BW258" i="154"/>
  <c r="BW252" i="154"/>
  <c r="BW22" i="154" s="1"/>
  <c r="BB455" i="155" a="1"/>
  <c r="BB455" i="155" s="1"/>
  <c r="BR320" i="154"/>
  <c r="BR35" i="154" s="1"/>
  <c r="BR100" i="154" s="1"/>
  <c r="BR296" i="154"/>
  <c r="BR31" i="154" s="1"/>
  <c r="BL469" i="154"/>
  <c r="BL19" i="154" s="1"/>
  <c r="BL84" i="154" s="1"/>
  <c r="BD455" i="155" a="1"/>
  <c r="BD455" i="155" s="1"/>
  <c r="BB148" i="154"/>
  <c r="BA455" i="154" a="1"/>
  <c r="BA455" i="154" s="1"/>
  <c r="BA457" i="154" s="1"/>
  <c r="BA69" i="154" s="1"/>
  <c r="BA134" i="154" s="1"/>
  <c r="BA418" i="154"/>
  <c r="BU260" i="154"/>
  <c r="BU23" i="154" s="1"/>
  <c r="BU88" i="154" s="1"/>
  <c r="BU252" i="154"/>
  <c r="BU22" i="154" s="1"/>
  <c r="BI455" i="154" a="1"/>
  <c r="BI455" i="154" s="1"/>
  <c r="BI457" i="154" s="1"/>
  <c r="BI69" i="154" s="1"/>
  <c r="BI134" i="154" s="1"/>
  <c r="BI418" i="154"/>
  <c r="AZ455" i="155" a="1"/>
  <c r="AZ455" i="155" s="1"/>
  <c r="BD455" i="154" a="1"/>
  <c r="BD455" i="154" s="1"/>
  <c r="BD457" i="154" s="1"/>
  <c r="BD69" i="154" s="1"/>
  <c r="BD134" i="154" s="1"/>
  <c r="BD418" i="154"/>
  <c r="BP304" i="154"/>
  <c r="BP32" i="154" s="1"/>
  <c r="BP296" i="154"/>
  <c r="BP31" i="154" s="1"/>
  <c r="BH455" i="155" a="1"/>
  <c r="BH455" i="155" s="1"/>
  <c r="BR276" i="154"/>
  <c r="BR26" i="154" s="1"/>
  <c r="BR91" i="154" s="1"/>
  <c r="BV310" i="155"/>
  <c r="BV318" i="155"/>
  <c r="BV302" i="155"/>
  <c r="BJ322" i="154"/>
  <c r="BR260" i="154"/>
  <c r="BR23" i="154" s="1"/>
  <c r="BR88" i="154" s="1"/>
  <c r="BR252" i="154"/>
  <c r="BR22" i="154" s="1"/>
  <c r="BH146" i="154"/>
  <c r="AX455" i="155" a="1"/>
  <c r="AX455" i="155" s="1"/>
  <c r="BC455" i="155" a="1"/>
  <c r="BC455" i="155" s="1"/>
  <c r="BB455" i="154" a="1"/>
  <c r="BB455" i="154" s="1"/>
  <c r="BB457" i="154" s="1"/>
  <c r="BB69" i="154" s="1"/>
  <c r="BB418" i="154"/>
  <c r="BA455" i="155" a="1"/>
  <c r="BA455" i="155" s="1"/>
  <c r="BU320" i="154"/>
  <c r="BU35" i="154" s="1"/>
  <c r="BU100" i="154" s="1"/>
  <c r="BK322" i="154"/>
  <c r="BU312" i="154"/>
  <c r="BU33" i="154" s="1"/>
  <c r="BU98" i="154" s="1"/>
  <c r="BU296" i="154"/>
  <c r="BU31" i="154" s="1"/>
  <c r="BV302" i="154"/>
  <c r="BV304" i="154" s="1"/>
  <c r="BV32" i="154" s="1"/>
  <c r="BV97" i="154" s="1"/>
  <c r="BV310" i="154"/>
  <c r="BV312" i="154" s="1"/>
  <c r="BV33" i="154" s="1"/>
  <c r="BV98" i="154" s="1"/>
  <c r="BV318" i="154"/>
  <c r="BV320" i="154" s="1"/>
  <c r="BV35" i="154" s="1"/>
  <c r="BV100" i="154" s="1"/>
  <c r="BV296" i="154"/>
  <c r="BV31" i="154" s="1"/>
  <c r="BH148" i="154"/>
  <c r="BE455" i="155" a="1"/>
  <c r="BE455" i="155" s="1"/>
  <c r="BG455" i="154" a="1"/>
  <c r="BG455" i="154" s="1"/>
  <c r="BG457" i="154" s="1"/>
  <c r="BG69" i="154" s="1"/>
  <c r="BG134" i="154" s="1"/>
  <c r="BG418" i="154"/>
  <c r="BX302" i="155"/>
  <c r="BX318" i="155"/>
  <c r="BX310" i="155"/>
  <c r="BV258" i="154"/>
  <c r="BV252" i="154"/>
  <c r="BV22" i="154" s="1"/>
  <c r="BV274" i="154"/>
  <c r="BV276" i="154" s="1"/>
  <c r="BV26" i="154" s="1"/>
  <c r="BV91" i="154" s="1"/>
  <c r="BV467" i="154"/>
  <c r="BV266" i="154"/>
  <c r="BV268" i="154" s="1"/>
  <c r="BV24" i="154" s="1"/>
  <c r="BV89" i="154" s="1"/>
  <c r="BD148" i="154"/>
  <c r="BD146" i="154"/>
  <c r="BW318" i="155"/>
  <c r="BW310" i="155"/>
  <c r="BW302" i="155"/>
  <c r="BD147" i="154"/>
  <c r="BD145" i="154"/>
  <c r="BS304" i="154"/>
  <c r="BS32" i="154" s="1"/>
  <c r="BS97" i="154" s="1"/>
  <c r="BS296" i="154"/>
  <c r="BS31" i="154" s="1"/>
  <c r="BW258" i="155"/>
  <c r="BW266" i="155"/>
  <c r="BW274" i="155"/>
  <c r="BW467" i="155"/>
  <c r="BL322" i="154"/>
  <c r="AY455" i="154" a="1"/>
  <c r="AY455" i="154" s="1"/>
  <c r="AY457" i="154" s="1"/>
  <c r="AY69" i="154" s="1"/>
  <c r="AY134" i="154" s="1"/>
  <c r="AY418" i="154"/>
  <c r="BF455" i="154" a="1"/>
  <c r="BF455" i="154" s="1"/>
  <c r="BF457" i="154" s="1"/>
  <c r="BF69" i="154" s="1"/>
  <c r="BF134" i="154" s="1"/>
  <c r="BF418" i="154"/>
  <c r="BN191" i="153"/>
  <c r="BN328" i="153"/>
  <c r="BN338" i="153" s="1"/>
  <c r="BN344" i="153" s="1"/>
  <c r="BN43" i="153" s="1"/>
  <c r="AV180" i="99"/>
  <c r="AV188" i="99" s="1"/>
  <c r="BQ328" i="153"/>
  <c r="BQ334" i="153" s="1"/>
  <c r="BQ191" i="153"/>
  <c r="BP197" i="99"/>
  <c r="BS455" i="154" a="1"/>
  <c r="BS455" i="154" s="1"/>
  <c r="BP328" i="99"/>
  <c r="BP338" i="99" s="1"/>
  <c r="BQ455" i="154" a="1"/>
  <c r="BQ455" i="154" s="1"/>
  <c r="BQ457" i="154" s="1"/>
  <c r="BQ69" i="154" s="1"/>
  <c r="BQ134" i="154" s="1"/>
  <c r="BQ147" i="154"/>
  <c r="BM197" i="99"/>
  <c r="BM213" i="99" s="1"/>
  <c r="BM282" i="99" s="1"/>
  <c r="BQ328" i="99"/>
  <c r="BQ338" i="99" s="1"/>
  <c r="BP455" i="154" a="1"/>
  <c r="BP455" i="154" s="1"/>
  <c r="BO455" i="154" a="1"/>
  <c r="BO455" i="154" s="1"/>
  <c r="BO457" i="154" s="1"/>
  <c r="BO69" i="154" s="1"/>
  <c r="BO134" i="154" s="1"/>
  <c r="BO418" i="154"/>
  <c r="BP455" i="155" a="1"/>
  <c r="BP455" i="155" s="1"/>
  <c r="BM146" i="154"/>
  <c r="BM147" i="154"/>
  <c r="BN147" i="154"/>
  <c r="BN146" i="154"/>
  <c r="BM148" i="154"/>
  <c r="BM145" i="154"/>
  <c r="BN145" i="154"/>
  <c r="BM455" i="154" a="1"/>
  <c r="BM455" i="154" s="1"/>
  <c r="BM457" i="154" s="1"/>
  <c r="BM69" i="154" s="1"/>
  <c r="BM134" i="154" s="1"/>
  <c r="BM418" i="154"/>
  <c r="BO455" i="155" a="1"/>
  <c r="BO455" i="155" s="1"/>
  <c r="BQ455" i="155" a="1"/>
  <c r="BQ455" i="155" s="1"/>
  <c r="BN455" i="154" a="1"/>
  <c r="BN455" i="154" s="1"/>
  <c r="BN457" i="154" s="1"/>
  <c r="BN69" i="154" s="1"/>
  <c r="BN418" i="154"/>
  <c r="BQ148" i="154"/>
  <c r="BN148" i="154"/>
  <c r="BQ145" i="154"/>
  <c r="BN197" i="99"/>
  <c r="BN213" i="99" s="1"/>
  <c r="BN282" i="99" s="1"/>
  <c r="BO197" i="99"/>
  <c r="BO205" i="99" s="1"/>
  <c r="BO238" i="99" s="1"/>
  <c r="BR455" i="155" a="1"/>
  <c r="BR455" i="155" s="1"/>
  <c r="BU455" i="155" a="1"/>
  <c r="BU455" i="155" s="1"/>
  <c r="BT455" i="154" a="1"/>
  <c r="BT455" i="154" s="1"/>
  <c r="BS455" i="155" a="1"/>
  <c r="BS455" i="155" s="1"/>
  <c r="BR455" i="154" a="1"/>
  <c r="BR455" i="154" s="1"/>
  <c r="BY322" i="154"/>
  <c r="BW179" i="99"/>
  <c r="BW187" i="99" s="1"/>
  <c r="BW199" i="99" s="1"/>
  <c r="BY278" i="154"/>
  <c r="BY469" i="154"/>
  <c r="BR191" i="153"/>
  <c r="BR197" i="153"/>
  <c r="BR213" i="153" s="1"/>
  <c r="BT197" i="153"/>
  <c r="BT203" i="153" s="1"/>
  <c r="BT328" i="153"/>
  <c r="BT334" i="153" s="1"/>
  <c r="AJ203" i="153"/>
  <c r="BR197" i="99"/>
  <c r="BR328" i="99"/>
  <c r="BR338" i="99" s="1"/>
  <c r="BW619" i="99"/>
  <c r="BW620" i="99" s="1"/>
  <c r="BS197" i="153"/>
  <c r="BS213" i="153" s="1"/>
  <c r="BW181" i="99"/>
  <c r="BW189" i="99" s="1"/>
  <c r="BW201" i="99" s="1"/>
  <c r="BW616" i="99"/>
  <c r="BW182" i="99"/>
  <c r="BW190" i="99" s="1"/>
  <c r="BW202" i="99" s="1"/>
  <c r="AJ205" i="153"/>
  <c r="AJ211" i="153" s="1"/>
  <c r="BS328" i="153"/>
  <c r="BS334" i="153" s="1"/>
  <c r="BW178" i="99"/>
  <c r="BW186" i="99" s="1"/>
  <c r="BW198" i="99" s="1"/>
  <c r="BW177" i="99"/>
  <c r="BW185" i="99" s="1"/>
  <c r="BU205" i="99"/>
  <c r="BU238" i="99" s="1"/>
  <c r="BU246" i="99" s="1"/>
  <c r="BS197" i="99"/>
  <c r="BS205" i="99" s="1"/>
  <c r="BS238" i="99" s="1"/>
  <c r="BP217" i="99"/>
  <c r="BP286" i="99" s="1"/>
  <c r="BU328" i="99"/>
  <c r="BU338" i="99" s="1"/>
  <c r="BI217" i="99"/>
  <c r="BI286" i="99" s="1"/>
  <c r="CD52" i="105"/>
  <c r="U44" i="105"/>
  <c r="BJ209" i="99"/>
  <c r="BJ242" i="99" s="1"/>
  <c r="BO209" i="99"/>
  <c r="BO242" i="99" s="1"/>
  <c r="BU332" i="99"/>
  <c r="BU342" i="99" s="1"/>
  <c r="BL209" i="99"/>
  <c r="BL242" i="99" s="1"/>
  <c r="BU197" i="153"/>
  <c r="BU205" i="153" s="1"/>
  <c r="AU328" i="153"/>
  <c r="AU338" i="153" s="1"/>
  <c r="AU344" i="153" s="1"/>
  <c r="AU43" i="153" s="1"/>
  <c r="BU191" i="153"/>
  <c r="AU191" i="153"/>
  <c r="Y310" i="99"/>
  <c r="BA308" i="99"/>
  <c r="Y318" i="99"/>
  <c r="T467" i="99"/>
  <c r="Y258" i="99"/>
  <c r="BV328" i="99"/>
  <c r="BV338" i="99" s="1"/>
  <c r="X302" i="99"/>
  <c r="AQ183" i="99"/>
  <c r="W467" i="99"/>
  <c r="BI300" i="99"/>
  <c r="Y467" i="99"/>
  <c r="Y266" i="99"/>
  <c r="S48" i="105"/>
  <c r="AY308" i="99"/>
  <c r="BF308" i="99"/>
  <c r="R48" i="105"/>
  <c r="Q48" i="105"/>
  <c r="P48" i="105"/>
  <c r="W258" i="99"/>
  <c r="W318" i="99"/>
  <c r="W266" i="99"/>
  <c r="T258" i="99"/>
  <c r="AL183" i="99"/>
  <c r="U108" i="104"/>
  <c r="U43" i="104" s="1"/>
  <c r="U43" i="103"/>
  <c r="U45" i="103" s="1"/>
  <c r="T108" i="104"/>
  <c r="T43" i="104" s="1"/>
  <c r="AN183" i="99"/>
  <c r="R108" i="104"/>
  <c r="R43" i="104" s="1"/>
  <c r="U310" i="99"/>
  <c r="AO183" i="99"/>
  <c r="V467" i="99"/>
  <c r="X318" i="99"/>
  <c r="V266" i="99"/>
  <c r="V274" i="99"/>
  <c r="U266" i="99"/>
  <c r="S108" i="104"/>
  <c r="S43" i="104" s="1"/>
  <c r="S43" i="103"/>
  <c r="S45" i="103" s="1"/>
  <c r="K117" i="104"/>
  <c r="BD316" i="99"/>
  <c r="N117" i="104"/>
  <c r="P117" i="104" s="1"/>
  <c r="AM183" i="99"/>
  <c r="U467" i="99"/>
  <c r="U274" i="99"/>
  <c r="AZ300" i="99"/>
  <c r="U302" i="99"/>
  <c r="AP183" i="99"/>
  <c r="AT259" i="99"/>
  <c r="AZ308" i="99"/>
  <c r="AO319" i="99"/>
  <c r="BF300" i="99"/>
  <c r="BH272" i="99"/>
  <c r="T310" i="99"/>
  <c r="AR311" i="99"/>
  <c r="AR319" i="99"/>
  <c r="AN267" i="99"/>
  <c r="AS259" i="99"/>
  <c r="BV201" i="99"/>
  <c r="BV217" i="99" s="1"/>
  <c r="X467" i="99"/>
  <c r="AL259" i="99"/>
  <c r="BH316" i="99"/>
  <c r="X266" i="99"/>
  <c r="W302" i="99"/>
  <c r="BH308" i="99"/>
  <c r="AQ303" i="99"/>
  <c r="AQ319" i="99"/>
  <c r="BG256" i="99"/>
  <c r="BE316" i="99"/>
  <c r="T266" i="99"/>
  <c r="AY300" i="99"/>
  <c r="BD272" i="99"/>
  <c r="BS215" i="99"/>
  <c r="BS284" i="99" s="1"/>
  <c r="BS292" i="99" s="1"/>
  <c r="BS308" i="99" s="1"/>
  <c r="BS207" i="99"/>
  <c r="BS240" i="99" s="1"/>
  <c r="BS248" i="99" s="1"/>
  <c r="BH217" i="99"/>
  <c r="BH286" i="99" s="1"/>
  <c r="BH294" i="99" s="1"/>
  <c r="BH302" i="99" s="1"/>
  <c r="BH209" i="99"/>
  <c r="BH242" i="99" s="1"/>
  <c r="BH250" i="99" s="1"/>
  <c r="BS332" i="99"/>
  <c r="BS201" i="99"/>
  <c r="BT189" i="99"/>
  <c r="V310" i="99"/>
  <c r="AR267" i="99"/>
  <c r="T318" i="99"/>
  <c r="BG308" i="99"/>
  <c r="AX264" i="99"/>
  <c r="BG300" i="99"/>
  <c r="Y246" i="153"/>
  <c r="Y244" i="153"/>
  <c r="BA256" i="99"/>
  <c r="BF272" i="99"/>
  <c r="AK211" i="153"/>
  <c r="AK238" i="153"/>
  <c r="BT207" i="99"/>
  <c r="BT240" i="99" s="1"/>
  <c r="BT248" i="99" s="1"/>
  <c r="BT215" i="99"/>
  <c r="BT284" i="99" s="1"/>
  <c r="BT292" i="99" s="1"/>
  <c r="BT300" i="99" s="1"/>
  <c r="V302" i="99"/>
  <c r="BA300" i="99"/>
  <c r="AK282" i="153"/>
  <c r="AK219" i="153"/>
  <c r="Y290" i="153"/>
  <c r="Y288" i="153"/>
  <c r="AM267" i="99"/>
  <c r="AW275" i="99"/>
  <c r="AO259" i="99"/>
  <c r="S246" i="153"/>
  <c r="S244" i="153"/>
  <c r="AB219" i="153"/>
  <c r="AB282" i="153"/>
  <c r="BB191" i="153"/>
  <c r="BB197" i="153"/>
  <c r="BB328" i="153"/>
  <c r="AR213" i="153"/>
  <c r="AR205" i="153"/>
  <c r="AR203" i="153"/>
  <c r="AJ282" i="153"/>
  <c r="AJ219" i="153"/>
  <c r="BC272" i="99"/>
  <c r="BC465" i="99"/>
  <c r="BC328" i="153"/>
  <c r="BC191" i="153"/>
  <c r="BC197" i="153"/>
  <c r="AE238" i="153"/>
  <c r="AE211" i="153"/>
  <c r="AI238" i="153"/>
  <c r="AI211" i="153"/>
  <c r="AZ264" i="99"/>
  <c r="AZ465" i="99"/>
  <c r="BI272" i="99"/>
  <c r="W246" i="153"/>
  <c r="W244" i="153"/>
  <c r="W290" i="153"/>
  <c r="W296" i="153" s="1"/>
  <c r="W31" i="153" s="1"/>
  <c r="W288" i="153"/>
  <c r="AH211" i="153"/>
  <c r="AH238" i="153"/>
  <c r="BH197" i="99"/>
  <c r="BH328" i="99"/>
  <c r="BH338" i="99" s="1"/>
  <c r="AE219" i="153"/>
  <c r="AE282" i="153"/>
  <c r="BG191" i="153"/>
  <c r="BG197" i="153"/>
  <c r="BG328" i="153"/>
  <c r="BQ248" i="99"/>
  <c r="AQ338" i="153"/>
  <c r="AQ344" i="153" s="1"/>
  <c r="AQ43" i="153" s="1"/>
  <c r="AQ334" i="153"/>
  <c r="BK292" i="99"/>
  <c r="BK316" i="99" s="1"/>
  <c r="AH282" i="153"/>
  <c r="AH219" i="153"/>
  <c r="BI197" i="99"/>
  <c r="BI328" i="99"/>
  <c r="BI338" i="99" s="1"/>
  <c r="T246" i="153"/>
  <c r="T244" i="153"/>
  <c r="AY328" i="153"/>
  <c r="AY191" i="153"/>
  <c r="AY197" i="153"/>
  <c r="BQ292" i="99"/>
  <c r="BQ308" i="99" s="1"/>
  <c r="BI264" i="99"/>
  <c r="BI465" i="99"/>
  <c r="AL205" i="153"/>
  <c r="AL203" i="153"/>
  <c r="AL213" i="153"/>
  <c r="BK248" i="99"/>
  <c r="BG328" i="99"/>
  <c r="BG338" i="99" s="1"/>
  <c r="BG197" i="99"/>
  <c r="AQ205" i="153"/>
  <c r="AQ213" i="153"/>
  <c r="AQ203" i="153"/>
  <c r="AL334" i="153"/>
  <c r="AL338" i="153"/>
  <c r="AL344" i="153" s="1"/>
  <c r="AL43" i="153" s="1"/>
  <c r="AU213" i="153"/>
  <c r="AU203" i="153"/>
  <c r="AU205" i="153"/>
  <c r="BF328" i="99"/>
  <c r="BF338" i="99" s="1"/>
  <c r="BF197" i="99"/>
  <c r="AW303" i="99"/>
  <c r="AD211" i="153"/>
  <c r="AD238" i="153"/>
  <c r="AX256" i="99"/>
  <c r="AX465" i="99"/>
  <c r="T290" i="153"/>
  <c r="T296" i="153" s="1"/>
  <c r="T31" i="153" s="1"/>
  <c r="T288" i="153"/>
  <c r="BD300" i="99"/>
  <c r="AL303" i="99"/>
  <c r="AD219" i="153"/>
  <c r="AD282" i="153"/>
  <c r="BA328" i="153"/>
  <c r="BA191" i="153"/>
  <c r="BA197" i="153"/>
  <c r="BB316" i="99"/>
  <c r="BN248" i="99"/>
  <c r="AX300" i="99"/>
  <c r="AY256" i="99"/>
  <c r="AL319" i="99"/>
  <c r="BP248" i="99"/>
  <c r="BB308" i="99"/>
  <c r="BN292" i="99"/>
  <c r="BN308" i="99" s="1"/>
  <c r="AX316" i="99"/>
  <c r="BF256" i="99"/>
  <c r="BF465" i="99"/>
  <c r="AA211" i="153"/>
  <c r="AA238" i="153"/>
  <c r="AN338" i="153"/>
  <c r="AN344" i="153" s="1"/>
  <c r="AN43" i="153" s="1"/>
  <c r="AN334" i="153"/>
  <c r="BP292" i="99"/>
  <c r="BP316" i="99" s="1"/>
  <c r="X246" i="153"/>
  <c r="X244" i="153"/>
  <c r="AY264" i="99"/>
  <c r="AY465" i="99"/>
  <c r="AZ197" i="153"/>
  <c r="AZ328" i="153"/>
  <c r="AZ191" i="153"/>
  <c r="AA219" i="153"/>
  <c r="AA282" i="153"/>
  <c r="S290" i="153"/>
  <c r="S298" i="153" s="1"/>
  <c r="S304" i="153" s="1"/>
  <c r="S32" i="153" s="1"/>
  <c r="S97" i="153" s="1"/>
  <c r="S288" i="153"/>
  <c r="AV319" i="99"/>
  <c r="BM248" i="99"/>
  <c r="R290" i="153"/>
  <c r="R298" i="153" s="1"/>
  <c r="R304" i="153" s="1"/>
  <c r="R32" i="153" s="1"/>
  <c r="R288" i="153"/>
  <c r="U290" i="153"/>
  <c r="U296" i="153" s="1"/>
  <c r="U31" i="153" s="1"/>
  <c r="U288" i="153"/>
  <c r="BO248" i="99"/>
  <c r="BE272" i="99"/>
  <c r="BH264" i="99"/>
  <c r="BH465" i="99"/>
  <c r="AS334" i="153"/>
  <c r="AS338" i="153"/>
  <c r="AS344" i="153" s="1"/>
  <c r="AS43" i="153" s="1"/>
  <c r="AV311" i="99"/>
  <c r="AN205" i="153"/>
  <c r="AN213" i="153"/>
  <c r="AN203" i="153"/>
  <c r="BM292" i="99"/>
  <c r="BM316" i="99" s="1"/>
  <c r="R246" i="153"/>
  <c r="R244" i="153"/>
  <c r="BO292" i="99"/>
  <c r="BO308" i="99" s="1"/>
  <c r="AS203" i="153"/>
  <c r="AS205" i="153"/>
  <c r="AS213" i="153"/>
  <c r="BL248" i="99"/>
  <c r="BE256" i="99"/>
  <c r="BE465" i="99"/>
  <c r="BL292" i="99"/>
  <c r="BL316" i="99" s="1"/>
  <c r="BG264" i="99"/>
  <c r="BG465" i="99"/>
  <c r="AG211" i="153"/>
  <c r="AG238" i="153"/>
  <c r="AO334" i="153"/>
  <c r="AO338" i="153"/>
  <c r="AO344" i="153" s="1"/>
  <c r="AO43" i="153" s="1"/>
  <c r="AP319" i="99"/>
  <c r="BT214" i="99"/>
  <c r="BT283" i="99" s="1"/>
  <c r="BT291" i="99" s="1"/>
  <c r="BT299" i="99" s="1"/>
  <c r="BT206" i="99"/>
  <c r="BT239" i="99" s="1"/>
  <c r="BT247" i="99" s="1"/>
  <c r="AX328" i="153"/>
  <c r="AX191" i="153"/>
  <c r="AX197" i="153"/>
  <c r="AT213" i="153"/>
  <c r="AT205" i="153"/>
  <c r="AT203" i="153"/>
  <c r="BB264" i="99"/>
  <c r="AF211" i="153"/>
  <c r="AF238" i="153"/>
  <c r="AG219" i="153"/>
  <c r="AG282" i="153"/>
  <c r="AC282" i="153"/>
  <c r="AC219" i="153"/>
  <c r="AO203" i="153"/>
  <c r="AO213" i="153"/>
  <c r="AO205" i="153"/>
  <c r="AP311" i="99"/>
  <c r="AF219" i="153"/>
  <c r="AF282" i="153"/>
  <c r="BE300" i="99"/>
  <c r="AC238" i="153"/>
  <c r="AC211" i="153"/>
  <c r="AT334" i="153"/>
  <c r="AT338" i="153"/>
  <c r="AT344" i="153" s="1"/>
  <c r="AT43" i="153" s="1"/>
  <c r="BB272" i="99"/>
  <c r="BB465" i="99"/>
  <c r="X290" i="153"/>
  <c r="X296" i="153" s="1"/>
  <c r="X31" i="153" s="1"/>
  <c r="X288" i="153"/>
  <c r="U246" i="153"/>
  <c r="U244" i="153"/>
  <c r="BJ292" i="99"/>
  <c r="BJ308" i="99" s="1"/>
  <c r="AS315" i="99"/>
  <c r="AV267" i="99"/>
  <c r="AM311" i="99"/>
  <c r="AP275" i="99"/>
  <c r="BI328" i="153"/>
  <c r="BI197" i="153"/>
  <c r="BI191" i="153"/>
  <c r="Z211" i="153"/>
  <c r="Z238" i="153"/>
  <c r="BD264" i="99"/>
  <c r="BD465" i="99"/>
  <c r="AM338" i="153"/>
  <c r="AM344" i="153" s="1"/>
  <c r="AM43" i="153" s="1"/>
  <c r="AM334" i="153"/>
  <c r="BJ248" i="99"/>
  <c r="AW213" i="153"/>
  <c r="AW203" i="153"/>
  <c r="AW205" i="153"/>
  <c r="AP338" i="153"/>
  <c r="AP344" i="153" s="1"/>
  <c r="AP43" i="153" s="1"/>
  <c r="AP334" i="153"/>
  <c r="BD197" i="153"/>
  <c r="BD328" i="153"/>
  <c r="BD191" i="153"/>
  <c r="AM213" i="153"/>
  <c r="AM203" i="153"/>
  <c r="AM205" i="153"/>
  <c r="BC308" i="99"/>
  <c r="AU303" i="99"/>
  <c r="BR206" i="99"/>
  <c r="BR239" i="99" s="1"/>
  <c r="BR214" i="99"/>
  <c r="BR283" i="99" s="1"/>
  <c r="Z219" i="153"/>
  <c r="Z282" i="153"/>
  <c r="AP205" i="153"/>
  <c r="AP203" i="153"/>
  <c r="AP213" i="153"/>
  <c r="BA272" i="99"/>
  <c r="BA465" i="99"/>
  <c r="BC300" i="99"/>
  <c r="AW334" i="153"/>
  <c r="AW338" i="153"/>
  <c r="AW344" i="153" s="1"/>
  <c r="AW43" i="153" s="1"/>
  <c r="AB211" i="153"/>
  <c r="AB238" i="153"/>
  <c r="BE191" i="153"/>
  <c r="BE197" i="153"/>
  <c r="BE328" i="153"/>
  <c r="BF191" i="153"/>
  <c r="BF197" i="153"/>
  <c r="BF328" i="153"/>
  <c r="AV213" i="153"/>
  <c r="AV203" i="153"/>
  <c r="AV205" i="153"/>
  <c r="BR292" i="99"/>
  <c r="BR316" i="99" s="1"/>
  <c r="BC264" i="99"/>
  <c r="BS214" i="99"/>
  <c r="BS283" i="99" s="1"/>
  <c r="BS291" i="99" s="1"/>
  <c r="BS315" i="99" s="1"/>
  <c r="BS206" i="99"/>
  <c r="BS239" i="99" s="1"/>
  <c r="BS247" i="99" s="1"/>
  <c r="V290" i="153"/>
  <c r="V296" i="153" s="1"/>
  <c r="V31" i="153" s="1"/>
  <c r="V288" i="153"/>
  <c r="V246" i="153"/>
  <c r="V244" i="153"/>
  <c r="AV334" i="153"/>
  <c r="AV338" i="153"/>
  <c r="AV344" i="153" s="1"/>
  <c r="AV43" i="153" s="1"/>
  <c r="BH191" i="153"/>
  <c r="BH328" i="153"/>
  <c r="BH197" i="153"/>
  <c r="AR334" i="153"/>
  <c r="AR338" i="153"/>
  <c r="AR344" i="153" s="1"/>
  <c r="AR43" i="153" s="1"/>
  <c r="AI219" i="153"/>
  <c r="AI282" i="153"/>
  <c r="BR248" i="99"/>
  <c r="AZ256" i="99"/>
  <c r="BC256" i="99"/>
  <c r="BI316" i="99"/>
  <c r="BA251" i="99"/>
  <c r="AD217" i="99"/>
  <c r="AD286" i="99" s="1"/>
  <c r="AD209" i="99"/>
  <c r="AD242" i="99" s="1"/>
  <c r="AE209" i="99"/>
  <c r="AE242" i="99" s="1"/>
  <c r="AE217" i="99"/>
  <c r="AE286" i="99" s="1"/>
  <c r="BA295" i="99"/>
  <c r="BA319" i="99" s="1"/>
  <c r="BC295" i="99"/>
  <c r="BC319" i="99" s="1"/>
  <c r="AQ259" i="99"/>
  <c r="AQ468" i="99"/>
  <c r="BG251" i="99"/>
  <c r="BH295" i="99"/>
  <c r="BH319" i="99" s="1"/>
  <c r="BQ218" i="99"/>
  <c r="BQ287" i="99" s="1"/>
  <c r="BQ210" i="99"/>
  <c r="BQ243" i="99" s="1"/>
  <c r="BC251" i="99"/>
  <c r="AC209" i="99"/>
  <c r="AC242" i="99" s="1"/>
  <c r="AC217" i="99"/>
  <c r="AC286" i="99" s="1"/>
  <c r="BG295" i="99"/>
  <c r="BG303" i="99" s="1"/>
  <c r="BH251" i="99"/>
  <c r="AZ295" i="99"/>
  <c r="AZ303" i="99" s="1"/>
  <c r="AJ217" i="99"/>
  <c r="AJ286" i="99" s="1"/>
  <c r="AJ209" i="99"/>
  <c r="AJ242" i="99" s="1"/>
  <c r="AS267" i="99"/>
  <c r="AS468" i="99"/>
  <c r="AK217" i="99"/>
  <c r="AK286" i="99" s="1"/>
  <c r="AK294" i="99" s="1"/>
  <c r="AK318" i="99" s="1"/>
  <c r="AK209" i="99"/>
  <c r="AK242" i="99" s="1"/>
  <c r="AK250" i="99" s="1"/>
  <c r="AZ251" i="99"/>
  <c r="AL267" i="99"/>
  <c r="AL468" i="99"/>
  <c r="AP259" i="99"/>
  <c r="AP468" i="99"/>
  <c r="AV275" i="99"/>
  <c r="AV468" i="99"/>
  <c r="AU311" i="99"/>
  <c r="BJ218" i="99"/>
  <c r="BJ287" i="99" s="1"/>
  <c r="BJ210" i="99"/>
  <c r="BJ243" i="99" s="1"/>
  <c r="BO218" i="99"/>
  <c r="BO287" i="99" s="1"/>
  <c r="BO210" i="99"/>
  <c r="BO243" i="99" s="1"/>
  <c r="X274" i="99"/>
  <c r="BS210" i="99"/>
  <c r="BS243" i="99" s="1"/>
  <c r="BS251" i="99" s="1"/>
  <c r="BS218" i="99"/>
  <c r="BS287" i="99" s="1"/>
  <c r="BS295" i="99" s="1"/>
  <c r="BS319" i="99" s="1"/>
  <c r="Z217" i="99"/>
  <c r="Z286" i="99" s="1"/>
  <c r="Z209" i="99"/>
  <c r="Z242" i="99" s="1"/>
  <c r="AI217" i="99"/>
  <c r="AI286" i="99" s="1"/>
  <c r="AI209" i="99"/>
  <c r="AI242" i="99" s="1"/>
  <c r="AH209" i="99"/>
  <c r="AH242" i="99" s="1"/>
  <c r="AH217" i="99"/>
  <c r="AH286" i="99" s="1"/>
  <c r="BT218" i="99"/>
  <c r="BT287" i="99" s="1"/>
  <c r="BT295" i="99" s="1"/>
  <c r="BT319" i="99" s="1"/>
  <c r="BT210" i="99"/>
  <c r="BT243" i="99" s="1"/>
  <c r="BT251" i="99" s="1"/>
  <c r="AS311" i="99"/>
  <c r="AM319" i="99"/>
  <c r="AS303" i="99"/>
  <c r="BB295" i="99"/>
  <c r="BB303" i="99" s="1"/>
  <c r="AT311" i="99"/>
  <c r="AT275" i="99"/>
  <c r="AT468" i="99"/>
  <c r="AN319" i="99"/>
  <c r="BP210" i="99"/>
  <c r="BP243" i="99" s="1"/>
  <c r="BP218" i="99"/>
  <c r="BP287" i="99" s="1"/>
  <c r="AW311" i="99"/>
  <c r="BB251" i="99"/>
  <c r="AT319" i="99"/>
  <c r="AN303" i="99"/>
  <c r="AR259" i="99"/>
  <c r="AR468" i="99"/>
  <c r="AV201" i="99"/>
  <c r="AV332" i="99"/>
  <c r="AV342" i="99" s="1"/>
  <c r="BR210" i="99"/>
  <c r="BR243" i="99" s="1"/>
  <c r="BR218" i="99"/>
  <c r="BR287" i="99" s="1"/>
  <c r="BK210" i="99"/>
  <c r="BK243" i="99" s="1"/>
  <c r="BK218" i="99"/>
  <c r="BK287" i="99" s="1"/>
  <c r="AW201" i="99"/>
  <c r="AW332" i="99"/>
  <c r="AW342" i="99" s="1"/>
  <c r="AA209" i="99"/>
  <c r="AA242" i="99" s="1"/>
  <c r="AA217" i="99"/>
  <c r="AA286" i="99" s="1"/>
  <c r="AU201" i="99"/>
  <c r="AU332" i="99"/>
  <c r="AU342" i="99" s="1"/>
  <c r="BN218" i="99"/>
  <c r="BN287" i="99" s="1"/>
  <c r="BN210" i="99"/>
  <c r="BN243" i="99" s="1"/>
  <c r="AT332" i="99"/>
  <c r="AT342" i="99" s="1"/>
  <c r="AT201" i="99"/>
  <c r="BF251" i="99"/>
  <c r="BL218" i="99"/>
  <c r="BL287" i="99" s="1"/>
  <c r="BL210" i="99"/>
  <c r="BL243" i="99" s="1"/>
  <c r="AY295" i="99"/>
  <c r="AY311" i="99" s="1"/>
  <c r="AS332" i="99"/>
  <c r="AS342" i="99" s="1"/>
  <c r="AS201" i="99"/>
  <c r="BF295" i="99"/>
  <c r="BF319" i="99" s="1"/>
  <c r="AY251" i="99"/>
  <c r="AR201" i="99"/>
  <c r="AR332" i="99"/>
  <c r="AR342" i="99" s="1"/>
  <c r="AF217" i="99"/>
  <c r="AF286" i="99" s="1"/>
  <c r="AF209" i="99"/>
  <c r="AF242" i="99" s="1"/>
  <c r="AM275" i="99"/>
  <c r="AM468" i="99"/>
  <c r="AB209" i="99"/>
  <c r="AB242" i="99" s="1"/>
  <c r="AB217" i="99"/>
  <c r="AB286" i="99" s="1"/>
  <c r="AX251" i="99"/>
  <c r="AQ201" i="99"/>
  <c r="AQ332" i="99"/>
  <c r="AQ342" i="99" s="1"/>
  <c r="BE251" i="99"/>
  <c r="AX295" i="99"/>
  <c r="AX319" i="99" s="1"/>
  <c r="BI251" i="99"/>
  <c r="AP332" i="99"/>
  <c r="AP342" i="99" s="1"/>
  <c r="AP201" i="99"/>
  <c r="AW259" i="99"/>
  <c r="AW468" i="99"/>
  <c r="AU275" i="99"/>
  <c r="BE295" i="99"/>
  <c r="BE311" i="99" s="1"/>
  <c r="AN259" i="99"/>
  <c r="AN468" i="99"/>
  <c r="AO267" i="99"/>
  <c r="AO468" i="99"/>
  <c r="BM218" i="99"/>
  <c r="BM287" i="99" s="1"/>
  <c r="BM210" i="99"/>
  <c r="BM243" i="99" s="1"/>
  <c r="BI295" i="99"/>
  <c r="BI303" i="99" s="1"/>
  <c r="AO332" i="99"/>
  <c r="AO342" i="99" s="1"/>
  <c r="AO201" i="99"/>
  <c r="BD251" i="99"/>
  <c r="S294" i="99"/>
  <c r="S310" i="99" s="1"/>
  <c r="AN201" i="99"/>
  <c r="AN332" i="99"/>
  <c r="AN342" i="99" s="1"/>
  <c r="AU259" i="99"/>
  <c r="AU468" i="99"/>
  <c r="BD295" i="99"/>
  <c r="BD319" i="99" s="1"/>
  <c r="S250" i="99"/>
  <c r="AM201" i="99"/>
  <c r="AM332" i="99"/>
  <c r="AM342" i="99" s="1"/>
  <c r="AQ267" i="99"/>
  <c r="AO303" i="99"/>
  <c r="AG209" i="99"/>
  <c r="AG242" i="99" s="1"/>
  <c r="AG217" i="99"/>
  <c r="AG286" i="99" s="1"/>
  <c r="AL201" i="99"/>
  <c r="AL332" i="99"/>
  <c r="AL342" i="99" s="1"/>
  <c r="AM299" i="99"/>
  <c r="AO307" i="99"/>
  <c r="AO299" i="99"/>
  <c r="AS299" i="99"/>
  <c r="AJ263" i="99"/>
  <c r="AS255" i="99"/>
  <c r="AS271" i="99"/>
  <c r="AI307" i="99"/>
  <c r="AP307" i="99"/>
  <c r="AI299" i="99"/>
  <c r="AM315" i="99"/>
  <c r="BK205" i="153"/>
  <c r="BK213" i="153"/>
  <c r="BK203" i="153"/>
  <c r="AP263" i="99"/>
  <c r="BK338" i="153"/>
  <c r="BK344" i="153" s="1"/>
  <c r="BK43" i="153" s="1"/>
  <c r="BK334" i="153"/>
  <c r="BV328" i="153"/>
  <c r="BV197" i="153"/>
  <c r="BV191" i="153"/>
  <c r="BU334" i="153"/>
  <c r="BU338" i="153"/>
  <c r="BU344" i="153" s="1"/>
  <c r="BU43" i="153" s="1"/>
  <c r="BM205" i="153"/>
  <c r="BM213" i="153"/>
  <c r="BM203" i="153"/>
  <c r="BX191" i="153"/>
  <c r="BX328" i="153"/>
  <c r="BX197" i="153"/>
  <c r="BM338" i="153"/>
  <c r="BM344" i="153" s="1"/>
  <c r="BM43" i="153" s="1"/>
  <c r="BM334" i="153"/>
  <c r="BR338" i="153"/>
  <c r="BR344" i="153" s="1"/>
  <c r="BR43" i="153" s="1"/>
  <c r="BR334" i="153"/>
  <c r="BL338" i="153"/>
  <c r="BL344" i="153" s="1"/>
  <c r="BL43" i="153" s="1"/>
  <c r="BL334" i="153"/>
  <c r="BJ213" i="153"/>
  <c r="BJ203" i="153"/>
  <c r="BJ205" i="153"/>
  <c r="BL205" i="153"/>
  <c r="BL213" i="153"/>
  <c r="BL203" i="153"/>
  <c r="BO203" i="153"/>
  <c r="BO213" i="153"/>
  <c r="BO205" i="153"/>
  <c r="BJ338" i="153"/>
  <c r="BJ344" i="153" s="1"/>
  <c r="BJ43" i="153" s="1"/>
  <c r="BJ334" i="153"/>
  <c r="BO334" i="153"/>
  <c r="BO338" i="153"/>
  <c r="BO344" i="153" s="1"/>
  <c r="BO43" i="153" s="1"/>
  <c r="BN213" i="153"/>
  <c r="BN205" i="153"/>
  <c r="BN203" i="153"/>
  <c r="BQ213" i="153"/>
  <c r="BQ203" i="153"/>
  <c r="BQ205" i="153"/>
  <c r="BW197" i="153"/>
  <c r="BW191" i="153"/>
  <c r="BW328" i="153"/>
  <c r="BP334" i="153"/>
  <c r="BP338" i="153"/>
  <c r="BP344" i="153" s="1"/>
  <c r="BP43" i="153" s="1"/>
  <c r="BP203" i="153"/>
  <c r="BP205" i="153"/>
  <c r="BP213" i="153"/>
  <c r="BY191" i="153"/>
  <c r="BY328" i="153"/>
  <c r="BY197" i="153"/>
  <c r="BT213" i="99"/>
  <c r="BT282" i="99" s="1"/>
  <c r="BT205" i="99"/>
  <c r="BT238" i="99" s="1"/>
  <c r="AM271" i="99"/>
  <c r="AN315" i="99"/>
  <c r="AN299" i="99"/>
  <c r="AL315" i="99"/>
  <c r="AR299" i="99"/>
  <c r="AI255" i="99"/>
  <c r="U51" i="105"/>
  <c r="BD209" i="99"/>
  <c r="BD242" i="99" s="1"/>
  <c r="BD250" i="99" s="1"/>
  <c r="BD217" i="99"/>
  <c r="BD286" i="99" s="1"/>
  <c r="BD294" i="99" s="1"/>
  <c r="BD302" i="99" s="1"/>
  <c r="BK213" i="99"/>
  <c r="BK282" i="99" s="1"/>
  <c r="BK205" i="99"/>
  <c r="BK238" i="99" s="1"/>
  <c r="BQ205" i="99"/>
  <c r="BQ238" i="99" s="1"/>
  <c r="BQ213" i="99"/>
  <c r="BQ282" i="99" s="1"/>
  <c r="AQ255" i="99"/>
  <c r="BJ213" i="99"/>
  <c r="BJ282" i="99" s="1"/>
  <c r="BJ205" i="99"/>
  <c r="BJ238" i="99" s="1"/>
  <c r="BL213" i="99"/>
  <c r="BL282" i="99" s="1"/>
  <c r="BL205" i="99"/>
  <c r="BL238" i="99" s="1"/>
  <c r="BJ329" i="99"/>
  <c r="BJ198" i="99"/>
  <c r="V338" i="99"/>
  <c r="V344" i="99" s="1"/>
  <c r="V43" i="99" s="1"/>
  <c r="V108" i="103" s="1"/>
  <c r="V334" i="99"/>
  <c r="AJ299" i="99"/>
  <c r="AK271" i="99"/>
  <c r="AK464" i="99"/>
  <c r="T282" i="99"/>
  <c r="T219" i="99"/>
  <c r="AB338" i="99"/>
  <c r="AB344" i="99" s="1"/>
  <c r="AB43" i="99" s="1"/>
  <c r="AB108" i="103" s="1"/>
  <c r="AB334" i="99"/>
  <c r="BD291" i="99"/>
  <c r="BD307" i="99" s="1"/>
  <c r="AL271" i="99"/>
  <c r="AL464" i="99"/>
  <c r="AJ307" i="99"/>
  <c r="AW291" i="99"/>
  <c r="AW299" i="99" s="1"/>
  <c r="AH299" i="99"/>
  <c r="AH271" i="99"/>
  <c r="AH464" i="99"/>
  <c r="BA247" i="99"/>
  <c r="AL197" i="99"/>
  <c r="AL328" i="99"/>
  <c r="AL191" i="99"/>
  <c r="AN197" i="99"/>
  <c r="AN328" i="99"/>
  <c r="AN191" i="99"/>
  <c r="AW247" i="99"/>
  <c r="AA338" i="99"/>
  <c r="AA344" i="99" s="1"/>
  <c r="AA43" i="99" s="1"/>
  <c r="AA108" i="103" s="1"/>
  <c r="AA334" i="99"/>
  <c r="AH315" i="99"/>
  <c r="BA291" i="99"/>
  <c r="BA299" i="99" s="1"/>
  <c r="AI263" i="99"/>
  <c r="AI464" i="99"/>
  <c r="T45" i="99"/>
  <c r="T110" i="103" s="1"/>
  <c r="T108" i="99"/>
  <c r="T43" i="103"/>
  <c r="T45" i="103" s="1"/>
  <c r="AV291" i="99"/>
  <c r="AV315" i="99" s="1"/>
  <c r="AA205" i="99"/>
  <c r="AA213" i="99"/>
  <c r="AA203" i="99"/>
  <c r="AD338" i="99"/>
  <c r="AD344" i="99" s="1"/>
  <c r="AD43" i="99" s="1"/>
  <c r="AD108" i="103" s="1"/>
  <c r="AD334" i="99"/>
  <c r="BM198" i="99"/>
  <c r="BM329" i="99"/>
  <c r="X338" i="99"/>
  <c r="X344" i="99" s="1"/>
  <c r="X43" i="99" s="1"/>
  <c r="X108" i="103" s="1"/>
  <c r="X334" i="99"/>
  <c r="O52" i="105"/>
  <c r="J24" i="151" s="1"/>
  <c r="AV247" i="99"/>
  <c r="AY247" i="99"/>
  <c r="AD205" i="99"/>
  <c r="AD213" i="99"/>
  <c r="AD203" i="99"/>
  <c r="K117" i="99"/>
  <c r="X213" i="99"/>
  <c r="X205" i="99"/>
  <c r="X203" i="99"/>
  <c r="AM255" i="99"/>
  <c r="AM464" i="99"/>
  <c r="AY291" i="99"/>
  <c r="AY315" i="99" s="1"/>
  <c r="BV215" i="99"/>
  <c r="BV284" i="99" s="1"/>
  <c r="BV207" i="99"/>
  <c r="BV240" i="99" s="1"/>
  <c r="AP255" i="99"/>
  <c r="AP464" i="99"/>
  <c r="BL198" i="99"/>
  <c r="BL329" i="99"/>
  <c r="AS197" i="99"/>
  <c r="AS328" i="99"/>
  <c r="U49" i="105"/>
  <c r="BV206" i="99"/>
  <c r="BV239" i="99" s="1"/>
  <c r="BV214" i="99"/>
  <c r="BV283" i="99" s="1"/>
  <c r="AM328" i="99"/>
  <c r="AM197" i="99"/>
  <c r="AM191" i="99"/>
  <c r="J52" i="104"/>
  <c r="L52" i="104"/>
  <c r="M52" i="104"/>
  <c r="N52" i="104"/>
  <c r="P52" i="104" s="1"/>
  <c r="AP197" i="99"/>
  <c r="AP328" i="99"/>
  <c r="AP191" i="99"/>
  <c r="BV218" i="99"/>
  <c r="BV287" i="99" s="1"/>
  <c r="BV210" i="99"/>
  <c r="BV243" i="99" s="1"/>
  <c r="AT247" i="99"/>
  <c r="BG329" i="99"/>
  <c r="BG198" i="99"/>
  <c r="BH329" i="99"/>
  <c r="BH198" i="99"/>
  <c r="AQ328" i="99"/>
  <c r="AQ197" i="99"/>
  <c r="AQ191" i="99"/>
  <c r="AO271" i="99"/>
  <c r="AT291" i="99"/>
  <c r="AT307" i="99" s="1"/>
  <c r="BE185" i="99"/>
  <c r="AP299" i="99"/>
  <c r="AR315" i="99"/>
  <c r="BE291" i="99"/>
  <c r="BE307" i="99" s="1"/>
  <c r="AL307" i="99"/>
  <c r="AJ271" i="99"/>
  <c r="AJ464" i="99"/>
  <c r="AC338" i="99"/>
  <c r="AC344" i="99" s="1"/>
  <c r="AC43" i="99" s="1"/>
  <c r="AC108" i="103" s="1"/>
  <c r="AC334" i="99"/>
  <c r="S282" i="99"/>
  <c r="S219" i="99"/>
  <c r="BD185" i="99"/>
  <c r="AE205" i="99"/>
  <c r="AE213" i="99"/>
  <c r="AE203" i="99"/>
  <c r="BE247" i="99"/>
  <c r="AO255" i="99"/>
  <c r="AO464" i="99"/>
  <c r="AC213" i="99"/>
  <c r="AC205" i="99"/>
  <c r="AC203" i="99"/>
  <c r="S238" i="99"/>
  <c r="S211" i="99"/>
  <c r="BC185" i="99"/>
  <c r="AE338" i="99"/>
  <c r="AE344" i="99" s="1"/>
  <c r="AE43" i="99" s="1"/>
  <c r="AE108" i="103" s="1"/>
  <c r="AE334" i="99"/>
  <c r="BX559" i="99" a="1"/>
  <c r="BX559" i="99" s="1"/>
  <c r="BX561" i="99" s="1"/>
  <c r="BX567" i="99" s="1"/>
  <c r="BX615" i="99"/>
  <c r="BX552" i="99"/>
  <c r="R282" i="99"/>
  <c r="R219" i="99"/>
  <c r="BB185" i="99"/>
  <c r="BF198" i="99"/>
  <c r="BF329" i="99"/>
  <c r="BK329" i="99"/>
  <c r="BK198" i="99"/>
  <c r="S108" i="99"/>
  <c r="S45" i="99"/>
  <c r="S110" i="103" s="1"/>
  <c r="AZ185" i="99"/>
  <c r="BV205" i="99"/>
  <c r="BV238" i="99" s="1"/>
  <c r="BV246" i="99" s="1"/>
  <c r="BV213" i="99"/>
  <c r="BV282" i="99" s="1"/>
  <c r="BV290" i="99" s="1"/>
  <c r="BI329" i="99"/>
  <c r="BI198" i="99"/>
  <c r="Z213" i="99"/>
  <c r="Z205" i="99"/>
  <c r="Z203" i="99"/>
  <c r="AK315" i="99"/>
  <c r="BN329" i="99"/>
  <c r="BN198" i="99"/>
  <c r="R238" i="99"/>
  <c r="R244" i="99" s="1"/>
  <c r="R211" i="99"/>
  <c r="AR197" i="99"/>
  <c r="AR328" i="99"/>
  <c r="BU247" i="99"/>
  <c r="U238" i="99"/>
  <c r="U211" i="99"/>
  <c r="AQ271" i="99"/>
  <c r="AQ464" i="99"/>
  <c r="BA185" i="99"/>
  <c r="AR263" i="99"/>
  <c r="Z338" i="99"/>
  <c r="Z344" i="99" s="1"/>
  <c r="Z43" i="99" s="1"/>
  <c r="Z108" i="103" s="1"/>
  <c r="Z334" i="99"/>
  <c r="AK328" i="99"/>
  <c r="AK197" i="99"/>
  <c r="AK191" i="99"/>
  <c r="AK307" i="99"/>
  <c r="P48" i="103"/>
  <c r="AN263" i="99"/>
  <c r="BU291" i="99"/>
  <c r="BU299" i="99" s="1"/>
  <c r="AS464" i="99"/>
  <c r="U282" i="99"/>
  <c r="U219" i="99"/>
  <c r="AX185" i="99"/>
  <c r="AH328" i="99"/>
  <c r="AH197" i="99"/>
  <c r="AH191" i="99"/>
  <c r="AG213" i="99"/>
  <c r="AG205" i="99"/>
  <c r="AG203" i="99"/>
  <c r="BU248" i="99"/>
  <c r="AQ307" i="99"/>
  <c r="AY185" i="99"/>
  <c r="AR271" i="99"/>
  <c r="AR464" i="99"/>
  <c r="AJ197" i="99"/>
  <c r="AJ328" i="99"/>
  <c r="AJ191" i="99"/>
  <c r="Y338" i="99"/>
  <c r="Y344" i="99" s="1"/>
  <c r="Y43" i="99" s="1"/>
  <c r="Y108" i="103" s="1"/>
  <c r="Y334" i="99"/>
  <c r="AN255" i="99"/>
  <c r="AN464" i="99"/>
  <c r="U50" i="105"/>
  <c r="BY559" i="99" a="1"/>
  <c r="BY559" i="99" s="1"/>
  <c r="BY623" i="99" s="1"/>
  <c r="BY552" i="99"/>
  <c r="BY615" i="99"/>
  <c r="AG338" i="99"/>
  <c r="AG344" i="99" s="1"/>
  <c r="AG43" i="99" s="1"/>
  <c r="AG108" i="103" s="1"/>
  <c r="AG334" i="99"/>
  <c r="BU292" i="99"/>
  <c r="BU300" i="99" s="1"/>
  <c r="AQ299" i="99"/>
  <c r="AW185" i="99"/>
  <c r="N117" i="99"/>
  <c r="P117" i="99" s="1"/>
  <c r="P52" i="99"/>
  <c r="Y205" i="99"/>
  <c r="Y213" i="99"/>
  <c r="Y203" i="99"/>
  <c r="AO197" i="99"/>
  <c r="AO328" i="99"/>
  <c r="AO191" i="99"/>
  <c r="BU295" i="99"/>
  <c r="BU303" i="99" s="1"/>
  <c r="R45" i="99"/>
  <c r="R110" i="103" s="1"/>
  <c r="R108" i="99"/>
  <c r="R43" i="103"/>
  <c r="U108" i="99"/>
  <c r="U45" i="99"/>
  <c r="U110" i="103" s="1"/>
  <c r="AV185" i="99"/>
  <c r="AU247" i="99"/>
  <c r="J52" i="103"/>
  <c r="K52" i="103"/>
  <c r="L52" i="103"/>
  <c r="M52" i="103"/>
  <c r="N52" i="103"/>
  <c r="P52" i="103" s="1"/>
  <c r="BU251" i="99"/>
  <c r="AZ247" i="99"/>
  <c r="BC247" i="99"/>
  <c r="AX291" i="99"/>
  <c r="AX299" i="99" s="1"/>
  <c r="AU185" i="99"/>
  <c r="AU291" i="99"/>
  <c r="AU315" i="99" s="1"/>
  <c r="BQ214" i="99"/>
  <c r="BQ283" i="99" s="1"/>
  <c r="BQ206" i="99"/>
  <c r="BQ239" i="99" s="1"/>
  <c r="AZ291" i="99"/>
  <c r="AZ307" i="99" s="1"/>
  <c r="BC291" i="99"/>
  <c r="BC307" i="99" s="1"/>
  <c r="AX247" i="99"/>
  <c r="BB291" i="99"/>
  <c r="BB307" i="99" s="1"/>
  <c r="AF338" i="99"/>
  <c r="AF344" i="99" s="1"/>
  <c r="AF43" i="99" s="1"/>
  <c r="AF108" i="103" s="1"/>
  <c r="AF334" i="99"/>
  <c r="AT185" i="99"/>
  <c r="W338" i="99"/>
  <c r="W344" i="99" s="1"/>
  <c r="W43" i="99" s="1"/>
  <c r="W108" i="103" s="1"/>
  <c r="W334" i="99"/>
  <c r="AK263" i="99"/>
  <c r="BP214" i="99"/>
  <c r="BP283" i="99" s="1"/>
  <c r="BP206" i="99"/>
  <c r="BP239" i="99" s="1"/>
  <c r="BB247" i="99"/>
  <c r="AF205" i="99"/>
  <c r="AF213" i="99"/>
  <c r="AF203" i="99"/>
  <c r="AI328" i="99"/>
  <c r="AI197" i="99"/>
  <c r="AI191" i="99"/>
  <c r="V205" i="99"/>
  <c r="V213" i="99"/>
  <c r="V203" i="99"/>
  <c r="AL255" i="99"/>
  <c r="W213" i="99"/>
  <c r="W205" i="99"/>
  <c r="W203" i="99"/>
  <c r="AK255" i="99"/>
  <c r="BO329" i="99"/>
  <c r="BO198" i="99"/>
  <c r="T238" i="99"/>
  <c r="T211" i="99"/>
  <c r="AB213" i="99"/>
  <c r="AB205" i="99"/>
  <c r="AB203" i="99"/>
  <c r="BD247" i="99"/>
  <c r="AH255" i="99"/>
  <c r="BB294" i="99"/>
  <c r="BB310" i="99" s="1"/>
  <c r="BM242" i="99"/>
  <c r="BF294" i="99"/>
  <c r="AZ250" i="99"/>
  <c r="AX250" i="99"/>
  <c r="AZ294" i="99"/>
  <c r="AZ302" i="99" s="1"/>
  <c r="BF250" i="99"/>
  <c r="BP242" i="99"/>
  <c r="BC294" i="99"/>
  <c r="BC318" i="99" s="1"/>
  <c r="BQ286" i="99"/>
  <c r="BM286" i="99"/>
  <c r="BG294" i="99"/>
  <c r="BG302" i="99" s="1"/>
  <c r="BJ286" i="99"/>
  <c r="BA294" i="99"/>
  <c r="BA310" i="99" s="1"/>
  <c r="AY250" i="99"/>
  <c r="BI242" i="99"/>
  <c r="BG250" i="99"/>
  <c r="BU217" i="99"/>
  <c r="BU209" i="99"/>
  <c r="BC250" i="99"/>
  <c r="BN286" i="99"/>
  <c r="BE250" i="99"/>
  <c r="BL286" i="99"/>
  <c r="BB250" i="99"/>
  <c r="BV342" i="99"/>
  <c r="AY294" i="99"/>
  <c r="AY302" i="99" s="1"/>
  <c r="BO286" i="99"/>
  <c r="R59" i="105"/>
  <c r="M27" i="151" s="1"/>
  <c r="Q59" i="105"/>
  <c r="L27" i="151" s="1"/>
  <c r="P59" i="105"/>
  <c r="K27" i="151" s="1"/>
  <c r="BU314" i="99"/>
  <c r="K562" i="99"/>
  <c r="K631" i="99"/>
  <c r="K625" i="99"/>
  <c r="K626" i="99" s="1"/>
  <c r="O59" i="105"/>
  <c r="J27" i="151" s="1"/>
  <c r="BU306" i="99"/>
  <c r="BU298" i="99"/>
  <c r="M625" i="99"/>
  <c r="M626" i="99" s="1"/>
  <c r="M562" i="99"/>
  <c r="M631" i="99"/>
  <c r="S59" i="105"/>
  <c r="N27" i="151" s="1"/>
  <c r="U57" i="105"/>
  <c r="L631" i="99"/>
  <c r="L625" i="99"/>
  <c r="L626" i="99" s="1"/>
  <c r="L562" i="99"/>
  <c r="P619" i="99"/>
  <c r="N620" i="99"/>
  <c r="P620" i="99" s="1"/>
  <c r="U58" i="105"/>
  <c r="J625" i="99"/>
  <c r="J626" i="99" s="1"/>
  <c r="J562" i="99"/>
  <c r="J631" i="99"/>
  <c r="Q118" i="105" l="1"/>
  <c r="S118" i="105"/>
  <c r="P111" i="105"/>
  <c r="BN37" i="154"/>
  <c r="R118" i="105"/>
  <c r="O118" i="105"/>
  <c r="O111" i="105"/>
  <c r="P118" i="105"/>
  <c r="R111" i="105"/>
  <c r="Q111" i="105"/>
  <c r="AX145" i="154"/>
  <c r="AX147" i="154"/>
  <c r="CD111" i="105"/>
  <c r="S111" i="105" s="1"/>
  <c r="BY24" i="151"/>
  <c r="BA147" i="154"/>
  <c r="BA148" i="154"/>
  <c r="BA145" i="154"/>
  <c r="BE147" i="154"/>
  <c r="BE146" i="154"/>
  <c r="BO148" i="154"/>
  <c r="BO146" i="154"/>
  <c r="BO145" i="154"/>
  <c r="BC145" i="154"/>
  <c r="BF147" i="154"/>
  <c r="BF148" i="154"/>
  <c r="BF145" i="154"/>
  <c r="BI145" i="154"/>
  <c r="BI148" i="154"/>
  <c r="BI147" i="154"/>
  <c r="BI146" i="154"/>
  <c r="AY145" i="154"/>
  <c r="AY147" i="154"/>
  <c r="AY148" i="154"/>
  <c r="BA146" i="154"/>
  <c r="BF146" i="154"/>
  <c r="K43" i="153"/>
  <c r="K108" i="153" s="1"/>
  <c r="BC148" i="154"/>
  <c r="BC147" i="154"/>
  <c r="BE145" i="154"/>
  <c r="W34" i="155"/>
  <c r="W99" i="155" s="1"/>
  <c r="AZ146" i="154"/>
  <c r="AD34" i="155"/>
  <c r="AD36" i="155" s="1"/>
  <c r="AF34" i="155"/>
  <c r="AF99" i="155" s="1"/>
  <c r="V34" i="155"/>
  <c r="V99" i="155" s="1"/>
  <c r="J45" i="153"/>
  <c r="J110" i="153" s="1"/>
  <c r="BO147" i="154"/>
  <c r="AZ147" i="154"/>
  <c r="AZ145" i="154"/>
  <c r="BP108" i="153"/>
  <c r="BP45" i="153"/>
  <c r="BP110" i="153" s="1"/>
  <c r="AO108" i="153"/>
  <c r="AO45" i="153"/>
  <c r="AO110" i="153" s="1"/>
  <c r="AL108" i="153"/>
  <c r="AL45" i="153"/>
  <c r="AL110" i="153" s="1"/>
  <c r="BP97" i="154"/>
  <c r="N32" i="154"/>
  <c r="V98" i="155"/>
  <c r="J33" i="155"/>
  <c r="J98" i="155" s="1"/>
  <c r="BO101" i="154"/>
  <c r="BO102" i="154" s="1"/>
  <c r="BO37" i="154"/>
  <c r="BA92" i="154"/>
  <c r="BA93" i="154" s="1"/>
  <c r="BA28" i="154"/>
  <c r="BA39" i="154"/>
  <c r="AS108" i="153"/>
  <c r="AS45" i="153"/>
  <c r="AS110" i="153" s="1"/>
  <c r="BR87" i="154"/>
  <c r="BR25" i="154"/>
  <c r="BT96" i="154"/>
  <c r="BT34" i="154"/>
  <c r="AC96" i="155"/>
  <c r="AC34" i="155"/>
  <c r="BP108" i="155"/>
  <c r="BP45" i="155"/>
  <c r="BP110" i="155" s="1"/>
  <c r="AK96" i="155"/>
  <c r="AK34" i="155"/>
  <c r="AW96" i="155"/>
  <c r="V100" i="155"/>
  <c r="J35" i="155"/>
  <c r="J100" i="155" s="1"/>
  <c r="AD89" i="155"/>
  <c r="BF101" i="154"/>
  <c r="BF102" i="154" s="1"/>
  <c r="BF37" i="154"/>
  <c r="BM92" i="154"/>
  <c r="BM93" i="154" s="1"/>
  <c r="BM28" i="154"/>
  <c r="BM39" i="154"/>
  <c r="Y34" i="155"/>
  <c r="BL99" i="154"/>
  <c r="BL36" i="154"/>
  <c r="J31" i="155"/>
  <c r="J96" i="155" s="1"/>
  <c r="AV108" i="153"/>
  <c r="AV45" i="153"/>
  <c r="AV110" i="153" s="1"/>
  <c r="BR96" i="154"/>
  <c r="BR34" i="154"/>
  <c r="AX134" i="154"/>
  <c r="L69" i="154"/>
  <c r="L134" i="154" s="1"/>
  <c r="AE34" i="155"/>
  <c r="BG92" i="154"/>
  <c r="BG93" i="154" s="1"/>
  <c r="BG39" i="154"/>
  <c r="BG28" i="154"/>
  <c r="BD92" i="154"/>
  <c r="BD93" i="154" s="1"/>
  <c r="BD39" i="154"/>
  <c r="BD28" i="154"/>
  <c r="AY101" i="154"/>
  <c r="AY102" i="154" s="1"/>
  <c r="AY37" i="154"/>
  <c r="BQ99" i="154"/>
  <c r="BQ36" i="154"/>
  <c r="BJ90" i="154"/>
  <c r="BJ27" i="154"/>
  <c r="AZ92" i="154"/>
  <c r="AZ93" i="154" s="1"/>
  <c r="AZ28" i="154"/>
  <c r="AZ39" i="154"/>
  <c r="BM101" i="154"/>
  <c r="BM102" i="154" s="1"/>
  <c r="BM37" i="154"/>
  <c r="BX96" i="154"/>
  <c r="BX34" i="154"/>
  <c r="AD110" i="153"/>
  <c r="BG101" i="154"/>
  <c r="BG102" i="154" s="1"/>
  <c r="BG37" i="154"/>
  <c r="BK108" i="153"/>
  <c r="BK45" i="153"/>
  <c r="BK110" i="153" s="1"/>
  <c r="BL108" i="153"/>
  <c r="BL45" i="153"/>
  <c r="BL110" i="153" s="1"/>
  <c r="AW108" i="153"/>
  <c r="AW45" i="153"/>
  <c r="AW110" i="153" s="1"/>
  <c r="AQ108" i="153"/>
  <c r="AQ45" i="153"/>
  <c r="AQ110" i="153" s="1"/>
  <c r="BW87" i="154"/>
  <c r="BW96" i="154"/>
  <c r="BW34" i="154"/>
  <c r="AI96" i="155"/>
  <c r="AI34" i="155"/>
  <c r="BQ45" i="155"/>
  <c r="BQ110" i="155" s="1"/>
  <c r="BQ108" i="155"/>
  <c r="BE92" i="154"/>
  <c r="BE93" i="154" s="1"/>
  <c r="BE39" i="154"/>
  <c r="BE28" i="154"/>
  <c r="BI92" i="154"/>
  <c r="BI93" i="154" s="1"/>
  <c r="BI39" i="154"/>
  <c r="BI28" i="154"/>
  <c r="BH92" i="154"/>
  <c r="BH93" i="154" s="1"/>
  <c r="BH39" i="154"/>
  <c r="BH28" i="154"/>
  <c r="BN92" i="154"/>
  <c r="BN93" i="154" s="1"/>
  <c r="BN39" i="154"/>
  <c r="BN28" i="154"/>
  <c r="X87" i="155"/>
  <c r="X25" i="155"/>
  <c r="BV87" i="154"/>
  <c r="BJ108" i="155"/>
  <c r="BJ45" i="155"/>
  <c r="BJ110" i="155" s="1"/>
  <c r="AR96" i="155"/>
  <c r="AI87" i="155"/>
  <c r="AI25" i="155"/>
  <c r="V87" i="155"/>
  <c r="V25" i="155"/>
  <c r="J22" i="155"/>
  <c r="J87" i="155" s="1"/>
  <c r="BQ90" i="154"/>
  <c r="BQ27" i="154"/>
  <c r="AX92" i="154"/>
  <c r="AX93" i="154" s="1"/>
  <c r="AX39" i="154"/>
  <c r="AX28" i="154"/>
  <c r="L27" i="154"/>
  <c r="AG87" i="155"/>
  <c r="AG25" i="155"/>
  <c r="AD87" i="155"/>
  <c r="AD25" i="155"/>
  <c r="AD88" i="155"/>
  <c r="BR108" i="153"/>
  <c r="BR45" i="153"/>
  <c r="BR110" i="153" s="1"/>
  <c r="V96" i="153"/>
  <c r="BP98" i="154"/>
  <c r="N33" i="154"/>
  <c r="AP108" i="153"/>
  <c r="AP45" i="153"/>
  <c r="U96" i="153"/>
  <c r="AD98" i="155"/>
  <c r="V89" i="155"/>
  <c r="J24" i="155"/>
  <c r="J89" i="155" s="1"/>
  <c r="AH34" i="155"/>
  <c r="AA34" i="155"/>
  <c r="N35" i="154"/>
  <c r="X34" i="155"/>
  <c r="BB84" i="154"/>
  <c r="BA101" i="154"/>
  <c r="BA102" i="154" s="1"/>
  <c r="BA37" i="154"/>
  <c r="AZ148" i="154"/>
  <c r="BC101" i="154"/>
  <c r="BC102" i="154" s="1"/>
  <c r="BC37" i="154"/>
  <c r="BB147" i="154"/>
  <c r="BR108" i="155"/>
  <c r="BR45" i="155"/>
  <c r="BR110" i="155" s="1"/>
  <c r="X96" i="153"/>
  <c r="R97" i="153"/>
  <c r="BY19" i="154"/>
  <c r="BY84" i="154" s="1"/>
  <c r="BU87" i="154"/>
  <c r="BU25" i="154"/>
  <c r="AM96" i="155"/>
  <c r="AH87" i="155"/>
  <c r="AH25" i="155"/>
  <c r="V91" i="155"/>
  <c r="J26" i="155"/>
  <c r="J91" i="155" s="1"/>
  <c r="BY99" i="154"/>
  <c r="BY36" i="154"/>
  <c r="AB34" i="155"/>
  <c r="AX84" i="154"/>
  <c r="L19" i="154"/>
  <c r="L145" i="154" s="1"/>
  <c r="BJ19" i="154"/>
  <c r="BJ84" i="154" s="1"/>
  <c r="BN134" i="154"/>
  <c r="BL108" i="155"/>
  <c r="BL45" i="155"/>
  <c r="BL110" i="155" s="1"/>
  <c r="BO108" i="153"/>
  <c r="BO45" i="153"/>
  <c r="BO110" i="153" s="1"/>
  <c r="BS96" i="154"/>
  <c r="BS34" i="154"/>
  <c r="BP87" i="154"/>
  <c r="BP25" i="154"/>
  <c r="N22" i="154"/>
  <c r="BK108" i="155"/>
  <c r="BK45" i="155"/>
  <c r="BK110" i="155" s="1"/>
  <c r="BM108" i="155"/>
  <c r="BM45" i="155"/>
  <c r="BM110" i="155" s="1"/>
  <c r="BP91" i="154"/>
  <c r="N26" i="154"/>
  <c r="BB92" i="154"/>
  <c r="BB93" i="154" s="1"/>
  <c r="BB39" i="154"/>
  <c r="BB28" i="154"/>
  <c r="M23" i="154"/>
  <c r="M88" i="154" s="1"/>
  <c r="BE101" i="154"/>
  <c r="BE102" i="154" s="1"/>
  <c r="BE37" i="154"/>
  <c r="AX146" i="154"/>
  <c r="BS87" i="154"/>
  <c r="BS25" i="154"/>
  <c r="AS96" i="155"/>
  <c r="AD100" i="155"/>
  <c r="Z34" i="155"/>
  <c r="BO92" i="154"/>
  <c r="BO93" i="154" s="1"/>
  <c r="BO39" i="154"/>
  <c r="BO28" i="154"/>
  <c r="M43" i="155"/>
  <c r="M108" i="155" s="1"/>
  <c r="AT108" i="153"/>
  <c r="AT45" i="153"/>
  <c r="AT110" i="153" s="1"/>
  <c r="AU108" i="153"/>
  <c r="AU45" i="153"/>
  <c r="AU110" i="153" s="1"/>
  <c r="BT87" i="154"/>
  <c r="BT25" i="154"/>
  <c r="Y87" i="155"/>
  <c r="Y25" i="155"/>
  <c r="BK90" i="154"/>
  <c r="BK27" i="154"/>
  <c r="AA87" i="155"/>
  <c r="AA25" i="155"/>
  <c r="AD91" i="155"/>
  <c r="BB110" i="155"/>
  <c r="AY146" i="154"/>
  <c r="BP89" i="154"/>
  <c r="N24" i="154"/>
  <c r="AP96" i="155"/>
  <c r="BN108" i="153"/>
  <c r="BN45" i="153"/>
  <c r="BX87" i="154"/>
  <c r="AD97" i="155"/>
  <c r="AK87" i="155"/>
  <c r="AK25" i="155"/>
  <c r="BU108" i="155"/>
  <c r="BU45" i="155"/>
  <c r="BU110" i="155" s="1"/>
  <c r="Z87" i="155"/>
  <c r="Z25" i="155"/>
  <c r="BC92" i="154"/>
  <c r="BC93" i="154" s="1"/>
  <c r="BC39" i="154"/>
  <c r="BC28" i="154"/>
  <c r="BJ108" i="153"/>
  <c r="BJ45" i="153"/>
  <c r="BJ110" i="153" s="1"/>
  <c r="AM108" i="153"/>
  <c r="AM45" i="153"/>
  <c r="AM110" i="153" s="1"/>
  <c r="BU108" i="153"/>
  <c r="BU45" i="153"/>
  <c r="BU110" i="153" s="1"/>
  <c r="BB134" i="154"/>
  <c r="BP88" i="154"/>
  <c r="BO108" i="155"/>
  <c r="BO45" i="155"/>
  <c r="BO110" i="155" s="1"/>
  <c r="BC146" i="154"/>
  <c r="AG34" i="155"/>
  <c r="BJ99" i="154"/>
  <c r="BJ36" i="154"/>
  <c r="AX101" i="154"/>
  <c r="AX102" i="154" s="1"/>
  <c r="AX37" i="154"/>
  <c r="L36" i="154"/>
  <c r="BE148" i="154"/>
  <c r="BB101" i="154"/>
  <c r="BB102" i="154" s="1"/>
  <c r="BB37" i="154"/>
  <c r="AN108" i="153"/>
  <c r="AN45" i="153"/>
  <c r="AN110" i="153" s="1"/>
  <c r="BM108" i="153"/>
  <c r="BM45" i="153"/>
  <c r="BM110" i="153" s="1"/>
  <c r="T96" i="153"/>
  <c r="BN108" i="155"/>
  <c r="BN45" i="155"/>
  <c r="V88" i="155"/>
  <c r="J23" i="155"/>
  <c r="J88" i="155" s="1"/>
  <c r="AR108" i="153"/>
  <c r="AR45" i="153"/>
  <c r="AR110" i="153" s="1"/>
  <c r="W96" i="153"/>
  <c r="BT108" i="155"/>
  <c r="BT45" i="155"/>
  <c r="BT110" i="155" s="1"/>
  <c r="BA108" i="155"/>
  <c r="BA45" i="155"/>
  <c r="BA110" i="155" s="1"/>
  <c r="W87" i="155"/>
  <c r="W25" i="155"/>
  <c r="BY90" i="154"/>
  <c r="BY27" i="154"/>
  <c r="BH101" i="154"/>
  <c r="BH102" i="154" s="1"/>
  <c r="BH37" i="154"/>
  <c r="M34" i="154"/>
  <c r="M99" i="154" s="1"/>
  <c r="AQ96" i="155"/>
  <c r="AF87" i="155"/>
  <c r="AF25" i="155"/>
  <c r="AB87" i="155"/>
  <c r="AB25" i="155"/>
  <c r="AC87" i="155"/>
  <c r="AC25" i="155"/>
  <c r="AT96" i="155"/>
  <c r="BL25" i="154"/>
  <c r="M25" i="154" s="1"/>
  <c r="M90" i="154" s="1"/>
  <c r="BI101" i="154"/>
  <c r="BI102" i="154" s="1"/>
  <c r="BI37" i="154"/>
  <c r="BK99" i="154"/>
  <c r="BK36" i="154"/>
  <c r="BU96" i="154"/>
  <c r="BU34" i="154"/>
  <c r="AE87" i="155"/>
  <c r="AE25" i="155"/>
  <c r="BV96" i="154"/>
  <c r="BV34" i="154"/>
  <c r="BP96" i="154"/>
  <c r="BP34" i="154"/>
  <c r="N31" i="154"/>
  <c r="V97" i="155"/>
  <c r="J32" i="155"/>
  <c r="J97" i="155" s="1"/>
  <c r="BF92" i="154"/>
  <c r="BF93" i="154" s="1"/>
  <c r="BF39" i="154"/>
  <c r="BF28" i="154"/>
  <c r="AY92" i="154"/>
  <c r="AY93" i="154" s="1"/>
  <c r="AY28" i="154"/>
  <c r="AY39" i="154"/>
  <c r="AZ101" i="154"/>
  <c r="AZ102" i="154" s="1"/>
  <c r="AZ37" i="154"/>
  <c r="BD101" i="154"/>
  <c r="BD102" i="154" s="1"/>
  <c r="BD37" i="154"/>
  <c r="BW625" i="99"/>
  <c r="BW626" i="99" s="1"/>
  <c r="BN180" i="99"/>
  <c r="BN188" i="99" s="1"/>
  <c r="BN200" i="99" s="1"/>
  <c r="BM180" i="99"/>
  <c r="BM188" i="99" s="1"/>
  <c r="BM331" i="99" s="1"/>
  <c r="BM341" i="99" s="1"/>
  <c r="BL180" i="99"/>
  <c r="BL188" i="99" s="1"/>
  <c r="BJ180" i="99"/>
  <c r="BJ188" i="99" s="1"/>
  <c r="T173" i="99"/>
  <c r="BH180" i="99" s="1"/>
  <c r="BH188" i="99" s="1"/>
  <c r="BH331" i="99" s="1"/>
  <c r="BH341" i="99" s="1"/>
  <c r="BO180" i="99"/>
  <c r="BO188" i="99" s="1"/>
  <c r="BO200" i="99" s="1"/>
  <c r="AI413" i="99"/>
  <c r="AI452" i="99" s="1" a="1"/>
  <c r="AI452" i="99" s="1"/>
  <c r="AV417" i="99"/>
  <c r="AV456" i="99" s="1" a="1"/>
  <c r="AV456" i="99" s="1"/>
  <c r="BA414" i="99"/>
  <c r="BA453" i="99" s="1" a="1"/>
  <c r="BA453" i="99" s="1"/>
  <c r="AL413" i="99"/>
  <c r="AL452" i="99" s="1" a="1"/>
  <c r="AL452" i="99" s="1"/>
  <c r="AT417" i="99"/>
  <c r="AT456" i="99" s="1" a="1"/>
  <c r="AT456" i="99" s="1"/>
  <c r="AR413" i="99"/>
  <c r="AR452" i="99" s="1" a="1"/>
  <c r="AR452" i="99" s="1"/>
  <c r="X416" i="99"/>
  <c r="X455" i="99" s="1" a="1"/>
  <c r="X455" i="99" s="1"/>
  <c r="BH414" i="99"/>
  <c r="BH453" i="99" s="1" a="1"/>
  <c r="BH453" i="99" s="1"/>
  <c r="AS413" i="99"/>
  <c r="AS452" i="99" s="1" a="1"/>
  <c r="AS452" i="99" s="1"/>
  <c r="AO413" i="99"/>
  <c r="AO452" i="99" s="1" a="1"/>
  <c r="AO452" i="99" s="1"/>
  <c r="BF414" i="99"/>
  <c r="BF453" i="99" s="1" a="1"/>
  <c r="BF453" i="99" s="1"/>
  <c r="AZ414" i="99"/>
  <c r="AZ453" i="99" s="1" a="1"/>
  <c r="AZ453" i="99" s="1"/>
  <c r="AX414" i="99"/>
  <c r="AX453" i="99" s="1" a="1"/>
  <c r="AX453" i="99" s="1"/>
  <c r="R417" i="99"/>
  <c r="R456" i="99" s="1" a="1"/>
  <c r="R456" i="99" s="1"/>
  <c r="AQ413" i="99"/>
  <c r="AQ452" i="99" s="1" a="1"/>
  <c r="AQ452" i="99" s="1"/>
  <c r="BW416" i="154"/>
  <c r="BB414" i="99"/>
  <c r="BB453" i="99" s="1" a="1"/>
  <c r="BB453" i="99" s="1"/>
  <c r="AS417" i="99"/>
  <c r="AS456" i="99" s="1" a="1"/>
  <c r="AS456" i="99" s="1"/>
  <c r="AM417" i="99"/>
  <c r="AM456" i="99" s="1" a="1"/>
  <c r="AM456" i="99" s="1"/>
  <c r="AJ413" i="99"/>
  <c r="AJ452" i="99" s="1" a="1"/>
  <c r="AJ452" i="99" s="1"/>
  <c r="BX416" i="155"/>
  <c r="AU417" i="99"/>
  <c r="AU456" i="99" s="1" a="1"/>
  <c r="AU456" i="99" s="1"/>
  <c r="BD414" i="99"/>
  <c r="BD453" i="99" s="1" a="1"/>
  <c r="BD453" i="99" s="1"/>
  <c r="BI414" i="99"/>
  <c r="BI453" i="99" s="1" a="1"/>
  <c r="BI453" i="99" s="1"/>
  <c r="V416" i="99"/>
  <c r="V455" i="99" s="1" a="1"/>
  <c r="V455" i="99" s="1"/>
  <c r="AP413" i="99"/>
  <c r="AP452" i="99" s="1" a="1"/>
  <c r="AP452" i="99" s="1"/>
  <c r="BC414" i="99"/>
  <c r="BC453" i="99" s="1" a="1"/>
  <c r="BC453" i="99" s="1"/>
  <c r="BV416" i="155"/>
  <c r="AH413" i="99"/>
  <c r="AH452" i="99" s="1" a="1"/>
  <c r="AH452" i="99" s="1"/>
  <c r="AM413" i="99"/>
  <c r="AM452" i="99" s="1" a="1"/>
  <c r="AM452" i="99" s="1"/>
  <c r="AY414" i="99"/>
  <c r="AY453" i="99" s="1" a="1"/>
  <c r="AY453" i="99" s="1"/>
  <c r="BW416" i="155"/>
  <c r="AN417" i="99"/>
  <c r="AN456" i="99" s="1" a="1"/>
  <c r="AN456" i="99" s="1"/>
  <c r="AW417" i="99"/>
  <c r="AW456" i="99" s="1" a="1"/>
  <c r="AW456" i="99" s="1"/>
  <c r="BX416" i="154"/>
  <c r="AQ417" i="99"/>
  <c r="AQ456" i="99" s="1" a="1"/>
  <c r="AQ456" i="99" s="1"/>
  <c r="BG414" i="99"/>
  <c r="BG453" i="99" s="1" a="1"/>
  <c r="BG453" i="99" s="1"/>
  <c r="T416" i="99"/>
  <c r="T455" i="99" s="1" a="1"/>
  <c r="T455" i="99" s="1"/>
  <c r="BV416" i="154"/>
  <c r="Y416" i="99"/>
  <c r="Y455" i="99" s="1" a="1"/>
  <c r="Y455" i="99" s="1"/>
  <c r="BE414" i="99"/>
  <c r="BE453" i="99" s="1" a="1"/>
  <c r="BE453" i="99" s="1"/>
  <c r="AL417" i="99"/>
  <c r="AL456" i="99" s="1" a="1"/>
  <c r="AL456" i="99" s="1"/>
  <c r="AO417" i="99"/>
  <c r="AO456" i="99" s="1" a="1"/>
  <c r="AO456" i="99" s="1"/>
  <c r="AR417" i="99"/>
  <c r="AR456" i="99" s="1" a="1"/>
  <c r="AR456" i="99" s="1"/>
  <c r="W416" i="99"/>
  <c r="W455" i="99" s="1" a="1"/>
  <c r="W455" i="99" s="1"/>
  <c r="AP417" i="99"/>
  <c r="AP456" i="99" s="1" a="1"/>
  <c r="AP456" i="99" s="1"/>
  <c r="AK413" i="99"/>
  <c r="AK452" i="99" s="1" a="1"/>
  <c r="AK452" i="99" s="1"/>
  <c r="AN413" i="99"/>
  <c r="AN452" i="99" s="1" a="1"/>
  <c r="AN452" i="99" s="1"/>
  <c r="U416" i="99"/>
  <c r="U455" i="99" s="1" a="1"/>
  <c r="U455" i="99" s="1"/>
  <c r="AZ274" i="99"/>
  <c r="BA255" i="99"/>
  <c r="U254" i="153"/>
  <c r="U260" i="153" s="1"/>
  <c r="U23" i="153" s="1"/>
  <c r="U88" i="153" s="1"/>
  <c r="S262" i="153"/>
  <c r="S268" i="153" s="1"/>
  <c r="S24" i="153" s="1"/>
  <c r="S89" i="153" s="1"/>
  <c r="AL270" i="155"/>
  <c r="AL276" i="155" s="1"/>
  <c r="AL26" i="155" s="1"/>
  <c r="AL91" i="155" s="1"/>
  <c r="AA412" i="155"/>
  <c r="AA451" i="155" s="1" a="1"/>
  <c r="AA451" i="155" s="1"/>
  <c r="AA457" i="155" s="1"/>
  <c r="AA69" i="155" s="1"/>
  <c r="AA134" i="155" s="1"/>
  <c r="BE263" i="99"/>
  <c r="BB266" i="99"/>
  <c r="AY267" i="99"/>
  <c r="BJ264" i="99"/>
  <c r="BS272" i="99"/>
  <c r="BC263" i="99"/>
  <c r="BU272" i="99"/>
  <c r="AZ263" i="99"/>
  <c r="AT263" i="99"/>
  <c r="BM256" i="99"/>
  <c r="BU254" i="99"/>
  <c r="AZ267" i="99"/>
  <c r="BR272" i="99"/>
  <c r="BP264" i="99"/>
  <c r="AM270" i="155"/>
  <c r="AM276" i="155" s="1"/>
  <c r="AM26" i="155" s="1"/>
  <c r="AM91" i="155" s="1"/>
  <c r="AJ254" i="155"/>
  <c r="AJ260" i="155" s="1"/>
  <c r="AJ23" i="155" s="1"/>
  <c r="AJ88" i="155" s="1"/>
  <c r="AY266" i="99"/>
  <c r="BE266" i="99"/>
  <c r="BU259" i="99"/>
  <c r="BC274" i="99"/>
  <c r="BI275" i="99"/>
  <c r="BG275" i="99"/>
  <c r="R254" i="153"/>
  <c r="R260" i="153" s="1"/>
  <c r="R23" i="153" s="1"/>
  <c r="BK256" i="99"/>
  <c r="AF412" i="155"/>
  <c r="Z412" i="155"/>
  <c r="Z418" i="155" s="1"/>
  <c r="BQ272" i="99"/>
  <c r="AT270" i="155"/>
  <c r="AT276" i="155" s="1"/>
  <c r="AT26" i="155" s="1"/>
  <c r="AT91" i="155" s="1"/>
  <c r="BD255" i="99"/>
  <c r="BB271" i="99"/>
  <c r="BU255" i="99"/>
  <c r="BE259" i="99"/>
  <c r="AK258" i="99"/>
  <c r="V412" i="155"/>
  <c r="V451" i="155" s="1" a="1"/>
  <c r="V451" i="155" s="1"/>
  <c r="V457" i="155" s="1"/>
  <c r="V69" i="155" s="1"/>
  <c r="Y412" i="155"/>
  <c r="BD267" i="99"/>
  <c r="AU271" i="99"/>
  <c r="BD258" i="99"/>
  <c r="BG266" i="99"/>
  <c r="BT263" i="99"/>
  <c r="AO262" i="155"/>
  <c r="AO268" i="155" s="1"/>
  <c r="AO24" i="155" s="1"/>
  <c r="AO89" i="155" s="1"/>
  <c r="W412" i="155"/>
  <c r="AS270" i="155"/>
  <c r="AS276" i="155" s="1"/>
  <c r="AS26" i="155" s="1"/>
  <c r="AS91" i="155" s="1"/>
  <c r="AR262" i="155"/>
  <c r="AR268" i="155" s="1"/>
  <c r="AR24" i="155" s="1"/>
  <c r="AR89" i="155" s="1"/>
  <c r="AH412" i="155"/>
  <c r="AH451" i="155" s="1" a="1"/>
  <c r="AH451" i="155" s="1"/>
  <c r="AH457" i="155" s="1"/>
  <c r="AH69" i="155" s="1"/>
  <c r="AH134" i="155" s="1"/>
  <c r="AP254" i="155"/>
  <c r="AP260" i="155" s="1"/>
  <c r="AP23" i="155" s="1"/>
  <c r="BS267" i="99"/>
  <c r="AB412" i="155"/>
  <c r="AB418" i="155" s="1"/>
  <c r="AX275" i="99"/>
  <c r="AW270" i="155"/>
  <c r="AW276" i="155" s="1"/>
  <c r="AW26" i="155" s="1"/>
  <c r="AW91" i="155" s="1"/>
  <c r="AQ270" i="155"/>
  <c r="AQ276" i="155" s="1"/>
  <c r="AQ26" i="155" s="1"/>
  <c r="AQ91" i="155" s="1"/>
  <c r="AD412" i="155"/>
  <c r="AC412" i="155"/>
  <c r="AC451" i="155" s="1" a="1"/>
  <c r="AC451" i="155" s="1"/>
  <c r="AC457" i="155" s="1"/>
  <c r="AC69" i="155" s="1"/>
  <c r="AC134" i="155" s="1"/>
  <c r="BR457" i="154"/>
  <c r="BR69" i="154" s="1"/>
  <c r="BR134" i="154" s="1"/>
  <c r="BF267" i="99"/>
  <c r="BA274" i="99"/>
  <c r="AY271" i="99"/>
  <c r="AW263" i="99"/>
  <c r="V262" i="153"/>
  <c r="V268" i="153" s="1"/>
  <c r="V24" i="153" s="1"/>
  <c r="V89" i="153" s="1"/>
  <c r="X270" i="153"/>
  <c r="X276" i="153" s="1"/>
  <c r="X26" i="153" s="1"/>
  <c r="X91" i="153" s="1"/>
  <c r="AI412" i="155"/>
  <c r="AX255" i="99"/>
  <c r="AV263" i="99"/>
  <c r="BH267" i="99"/>
  <c r="BO264" i="99"/>
  <c r="X412" i="155"/>
  <c r="X418" i="155" s="1"/>
  <c r="AE412" i="155"/>
  <c r="AE451" i="155" s="1" a="1"/>
  <c r="AE451" i="155" s="1"/>
  <c r="AE457" i="155" s="1"/>
  <c r="AE69" i="155" s="1"/>
  <c r="AE134" i="155" s="1"/>
  <c r="AK412" i="155"/>
  <c r="AG412" i="155"/>
  <c r="AG451" i="155" s="1" a="1"/>
  <c r="AG451" i="155" s="1"/>
  <c r="AG457" i="155" s="1"/>
  <c r="AG69" i="155" s="1"/>
  <c r="AG134" i="155" s="1"/>
  <c r="BT465" i="99"/>
  <c r="AV254" i="155"/>
  <c r="AV260" i="155" s="1"/>
  <c r="AV23" i="155" s="1"/>
  <c r="AV88" i="155" s="1"/>
  <c r="BN264" i="99"/>
  <c r="BF258" i="99"/>
  <c r="W270" i="153"/>
  <c r="W276" i="153" s="1"/>
  <c r="W26" i="153" s="1"/>
  <c r="W91" i="153" s="1"/>
  <c r="BV262" i="99"/>
  <c r="BC267" i="99"/>
  <c r="BS263" i="99"/>
  <c r="AN254" i="155"/>
  <c r="AN260" i="155" s="1"/>
  <c r="AN23" i="155" s="1"/>
  <c r="AN88" i="155" s="1"/>
  <c r="T270" i="153"/>
  <c r="T276" i="153" s="1"/>
  <c r="T26" i="153" s="1"/>
  <c r="T91" i="153" s="1"/>
  <c r="AX258" i="99"/>
  <c r="BB259" i="99"/>
  <c r="BT275" i="99"/>
  <c r="BA267" i="99"/>
  <c r="BL264" i="99"/>
  <c r="BH274" i="99"/>
  <c r="BY561" i="99"/>
  <c r="BY567" i="99" s="1"/>
  <c r="BC183" i="99"/>
  <c r="BK209" i="99"/>
  <c r="BK242" i="99" s="1"/>
  <c r="BK250" i="99" s="1"/>
  <c r="W322" i="155"/>
  <c r="X322" i="155"/>
  <c r="V322" i="155"/>
  <c r="Y278" i="155"/>
  <c r="Y469" i="155"/>
  <c r="X278" i="155"/>
  <c r="X469" i="155"/>
  <c r="V469" i="155"/>
  <c r="V19" i="155" s="1"/>
  <c r="V278" i="155"/>
  <c r="W469" i="155"/>
  <c r="W278" i="155"/>
  <c r="Y322" i="155"/>
  <c r="AZ183" i="99"/>
  <c r="BA183" i="99"/>
  <c r="AY183" i="99"/>
  <c r="BR217" i="99"/>
  <c r="BR286" i="99" s="1"/>
  <c r="BR294" i="99" s="1"/>
  <c r="BR310" i="99" s="1"/>
  <c r="AX183" i="99"/>
  <c r="BL278" i="154"/>
  <c r="AP298" i="155"/>
  <c r="AP304" i="155" s="1"/>
  <c r="AP32" i="155" s="1"/>
  <c r="AG322" i="155"/>
  <c r="AF322" i="155"/>
  <c r="AQ306" i="155"/>
  <c r="AQ312" i="155" s="1"/>
  <c r="AQ33" i="155" s="1"/>
  <c r="AQ98" i="155" s="1"/>
  <c r="AQ314" i="155"/>
  <c r="AQ320" i="155" s="1"/>
  <c r="AQ35" i="155" s="1"/>
  <c r="AQ100" i="155" s="1"/>
  <c r="AM306" i="155"/>
  <c r="AM312" i="155" s="1"/>
  <c r="AM33" i="155" s="1"/>
  <c r="AM98" i="155" s="1"/>
  <c r="AM314" i="155"/>
  <c r="AM320" i="155" s="1"/>
  <c r="AM35" i="155" s="1"/>
  <c r="AM100" i="155" s="1"/>
  <c r="AA322" i="155"/>
  <c r="AV270" i="155"/>
  <c r="AV276" i="155" s="1"/>
  <c r="AV26" i="155" s="1"/>
  <c r="AV91" i="155" s="1"/>
  <c r="AM254" i="155"/>
  <c r="AM260" i="155" s="1"/>
  <c r="AM23" i="155" s="1"/>
  <c r="AM88" i="155" s="1"/>
  <c r="AV306" i="155"/>
  <c r="AV312" i="155" s="1"/>
  <c r="AV33" i="155" s="1"/>
  <c r="AV98" i="155" s="1"/>
  <c r="AQ262" i="155"/>
  <c r="AQ268" i="155" s="1"/>
  <c r="AQ24" i="155" s="1"/>
  <c r="AQ89" i="155" s="1"/>
  <c r="AO270" i="155"/>
  <c r="AO276" i="155" s="1"/>
  <c r="AO26" i="155" s="1"/>
  <c r="AO91" i="155" s="1"/>
  <c r="AP306" i="155"/>
  <c r="AP312" i="155" s="1"/>
  <c r="AP33" i="155" s="1"/>
  <c r="AL298" i="155"/>
  <c r="AL304" i="155" s="1"/>
  <c r="AL32" i="155" s="1"/>
  <c r="AL97" i="155" s="1"/>
  <c r="AR254" i="155"/>
  <c r="AR260" i="155" s="1"/>
  <c r="AR23" i="155" s="1"/>
  <c r="AR88" i="155" s="1"/>
  <c r="AS262" i="155"/>
  <c r="AS268" i="155" s="1"/>
  <c r="AS24" i="155" s="1"/>
  <c r="AS89" i="155" s="1"/>
  <c r="AT262" i="155"/>
  <c r="AT268" i="155" s="1"/>
  <c r="AT24" i="155" s="1"/>
  <c r="AT89" i="155" s="1"/>
  <c r="AT306" i="155"/>
  <c r="AT312" i="155" s="1"/>
  <c r="AT33" i="155" s="1"/>
  <c r="AT98" i="155" s="1"/>
  <c r="Z322" i="155"/>
  <c r="AT314" i="155"/>
  <c r="AT320" i="155" s="1"/>
  <c r="AT35" i="155" s="1"/>
  <c r="AT100" i="155" s="1"/>
  <c r="AS298" i="155"/>
  <c r="AS304" i="155" s="1"/>
  <c r="AS32" i="155" s="1"/>
  <c r="AS97" i="155" s="1"/>
  <c r="AT298" i="155"/>
  <c r="AT304" i="155" s="1"/>
  <c r="AT32" i="155" s="1"/>
  <c r="AT97" i="155" s="1"/>
  <c r="AS314" i="155"/>
  <c r="AS320" i="155" s="1"/>
  <c r="AS35" i="155" s="1"/>
  <c r="AS100" i="155" s="1"/>
  <c r="AJ262" i="155"/>
  <c r="AJ268" i="155" s="1"/>
  <c r="AJ24" i="155" s="1"/>
  <c r="AJ89" i="155" s="1"/>
  <c r="AO314" i="155"/>
  <c r="AO320" i="155" s="1"/>
  <c r="AO35" i="155" s="1"/>
  <c r="AO100" i="155" s="1"/>
  <c r="AP270" i="155"/>
  <c r="AP276" i="155" s="1"/>
  <c r="AP26" i="155" s="1"/>
  <c r="AS254" i="155"/>
  <c r="AS260" i="155" s="1"/>
  <c r="AS23" i="155" s="1"/>
  <c r="AS88" i="155" s="1"/>
  <c r="AH322" i="155"/>
  <c r="AN262" i="155"/>
  <c r="AN268" i="155" s="1"/>
  <c r="AN24" i="155" s="1"/>
  <c r="AN89" i="155" s="1"/>
  <c r="AJ314" i="155"/>
  <c r="AJ320" i="155" s="1"/>
  <c r="AJ35" i="155" s="1"/>
  <c r="AJ100" i="155" s="1"/>
  <c r="AR306" i="155"/>
  <c r="AR312" i="155" s="1"/>
  <c r="AR33" i="155" s="1"/>
  <c r="AR98" i="155" s="1"/>
  <c r="AR298" i="155"/>
  <c r="AR304" i="155" s="1"/>
  <c r="AR32" i="155" s="1"/>
  <c r="AR97" i="155" s="1"/>
  <c r="AR314" i="155"/>
  <c r="AR320" i="155" s="1"/>
  <c r="AR35" i="155" s="1"/>
  <c r="AR100" i="155" s="1"/>
  <c r="AL254" i="155"/>
  <c r="AL260" i="155" s="1"/>
  <c r="AL23" i="155" s="1"/>
  <c r="AL88" i="155" s="1"/>
  <c r="BF290" i="155"/>
  <c r="BF296" i="155" s="1"/>
  <c r="BF31" i="155" s="1"/>
  <c r="BF288" i="155"/>
  <c r="BW338" i="155"/>
  <c r="BW344" i="155" s="1"/>
  <c r="BW43" i="155" s="1"/>
  <c r="BW334" i="155"/>
  <c r="BE246" i="155"/>
  <c r="BE244" i="155"/>
  <c r="AN306" i="155"/>
  <c r="AN312" i="155" s="1"/>
  <c r="AN33" i="155" s="1"/>
  <c r="AN98" i="155" s="1"/>
  <c r="AN296" i="155"/>
  <c r="AN31" i="155" s="1"/>
  <c r="BA238" i="155"/>
  <c r="BA211" i="155"/>
  <c r="BR238" i="155"/>
  <c r="BR211" i="155"/>
  <c r="BM282" i="155"/>
  <c r="BM219" i="155"/>
  <c r="AE278" i="155"/>
  <c r="AE469" i="155"/>
  <c r="AE19" i="155" s="1"/>
  <c r="AE84" i="155" s="1"/>
  <c r="BW205" i="155"/>
  <c r="BW213" i="155"/>
  <c r="BW203" i="155"/>
  <c r="BA282" i="155"/>
  <c r="BA219" i="155"/>
  <c r="AY290" i="155"/>
  <c r="AY306" i="155" s="1"/>
  <c r="AY312" i="155" s="1"/>
  <c r="AY33" i="155" s="1"/>
  <c r="AY98" i="155" s="1"/>
  <c r="AY288" i="155"/>
  <c r="AA469" i="155"/>
  <c r="AA278" i="155"/>
  <c r="BM238" i="155"/>
  <c r="BM211" i="155"/>
  <c r="BH246" i="155"/>
  <c r="BH244" i="155"/>
  <c r="AC469" i="155"/>
  <c r="AC278" i="155"/>
  <c r="BC246" i="155"/>
  <c r="BC244" i="155"/>
  <c r="AW254" i="155"/>
  <c r="AW260" i="155" s="1"/>
  <c r="AW23" i="155" s="1"/>
  <c r="AW88" i="155" s="1"/>
  <c r="AH469" i="155"/>
  <c r="AH19" i="155" s="1"/>
  <c r="AH84" i="155" s="1"/>
  <c r="AH278" i="155"/>
  <c r="AS463" i="155"/>
  <c r="AS252" i="155"/>
  <c r="AS22" i="155" s="1"/>
  <c r="AB469" i="155"/>
  <c r="AB19" i="155" s="1"/>
  <c r="AB84" i="155" s="1"/>
  <c r="AB278" i="155"/>
  <c r="BT238" i="155"/>
  <c r="BT211" i="155"/>
  <c r="AW262" i="155"/>
  <c r="AW268" i="155" s="1"/>
  <c r="AW24" i="155" s="1"/>
  <c r="AW89" i="155" s="1"/>
  <c r="AW463" i="155"/>
  <c r="AW252" i="155"/>
  <c r="AW22" i="155" s="1"/>
  <c r="BB290" i="155"/>
  <c r="BB296" i="155" s="1"/>
  <c r="BB31" i="155" s="1"/>
  <c r="BB288" i="155"/>
  <c r="BI246" i="155"/>
  <c r="BI244" i="155"/>
  <c r="BG246" i="155"/>
  <c r="BG244" i="155"/>
  <c r="BT282" i="155"/>
  <c r="BT219" i="155"/>
  <c r="BE290" i="155"/>
  <c r="BE296" i="155" s="1"/>
  <c r="BE31" i="155" s="1"/>
  <c r="BE288" i="155"/>
  <c r="BN282" i="155"/>
  <c r="BN219" i="155"/>
  <c r="AC322" i="155"/>
  <c r="AN270" i="155"/>
  <c r="AN276" i="155" s="1"/>
  <c r="AN26" i="155" s="1"/>
  <c r="AN91" i="155" s="1"/>
  <c r="AN463" i="155"/>
  <c r="AN252" i="155"/>
  <c r="AN22" i="155" s="1"/>
  <c r="BN238" i="155"/>
  <c r="BN211" i="155"/>
  <c r="BS338" i="155"/>
  <c r="BS344" i="155" s="1"/>
  <c r="BS43" i="155" s="1"/>
  <c r="BS334" i="155"/>
  <c r="AS306" i="155"/>
  <c r="AS312" i="155" s="1"/>
  <c r="AS33" i="155" s="1"/>
  <c r="AS98" i="155" s="1"/>
  <c r="AT254" i="155"/>
  <c r="AT260" i="155" s="1"/>
  <c r="AT23" i="155" s="1"/>
  <c r="AT88" i="155" s="1"/>
  <c r="AT463" i="155"/>
  <c r="AT252" i="155"/>
  <c r="AT22" i="155" s="1"/>
  <c r="BP238" i="155"/>
  <c r="BP211" i="155"/>
  <c r="BD290" i="155"/>
  <c r="BD296" i="155" s="1"/>
  <c r="BD31" i="155" s="1"/>
  <c r="BD288" i="155"/>
  <c r="AB322" i="155"/>
  <c r="BS205" i="155"/>
  <c r="BS213" i="155"/>
  <c r="BS203" i="155"/>
  <c r="AL262" i="155"/>
  <c r="AL268" i="155" s="1"/>
  <c r="AL24" i="155" s="1"/>
  <c r="AL89" i="155" s="1"/>
  <c r="AL463" i="155"/>
  <c r="AL252" i="155"/>
  <c r="AL22" i="155" s="1"/>
  <c r="BP282" i="155"/>
  <c r="BP219" i="155"/>
  <c r="AG278" i="155"/>
  <c r="AG469" i="155"/>
  <c r="AG19" i="155" s="1"/>
  <c r="AG84" i="155" s="1"/>
  <c r="AO306" i="155"/>
  <c r="AO312" i="155" s="1"/>
  <c r="AO33" i="155" s="1"/>
  <c r="AO98" i="155" s="1"/>
  <c r="AO296" i="155"/>
  <c r="AO31" i="155" s="1"/>
  <c r="AM298" i="155"/>
  <c r="AM304" i="155" s="1"/>
  <c r="AM32" i="155" s="1"/>
  <c r="AM97" i="155" s="1"/>
  <c r="AO254" i="155"/>
  <c r="AO260" i="155" s="1"/>
  <c r="AO23" i="155" s="1"/>
  <c r="AO88" i="155" s="1"/>
  <c r="AO463" i="155"/>
  <c r="AO252" i="155"/>
  <c r="AO22" i="155" s="1"/>
  <c r="BJ238" i="155"/>
  <c r="BJ211" i="155"/>
  <c r="AJ270" i="155"/>
  <c r="AJ276" i="155" s="1"/>
  <c r="AJ26" i="155" s="1"/>
  <c r="AJ91" i="155" s="1"/>
  <c r="AJ463" i="155"/>
  <c r="AJ252" i="155"/>
  <c r="AJ22" i="155" s="1"/>
  <c r="BG290" i="155"/>
  <c r="BG306" i="155" s="1"/>
  <c r="BG312" i="155" s="1"/>
  <c r="BG33" i="155" s="1"/>
  <c r="BG98" i="155" s="1"/>
  <c r="BG288" i="155"/>
  <c r="AU246" i="155"/>
  <c r="AU244" i="155"/>
  <c r="BQ282" i="155"/>
  <c r="BQ219" i="155"/>
  <c r="BJ282" i="155"/>
  <c r="BJ219" i="155"/>
  <c r="BI290" i="155"/>
  <c r="BI314" i="155" s="1"/>
  <c r="BI320" i="155" s="1"/>
  <c r="BI35" i="155" s="1"/>
  <c r="BI100" i="155" s="1"/>
  <c r="BI288" i="155"/>
  <c r="AX246" i="155"/>
  <c r="AX244" i="155"/>
  <c r="BK282" i="155"/>
  <c r="BK219" i="155"/>
  <c r="BQ238" i="155"/>
  <c r="BQ211" i="155"/>
  <c r="AK322" i="155"/>
  <c r="Z469" i="155"/>
  <c r="Z278" i="155"/>
  <c r="AQ254" i="155"/>
  <c r="AQ260" i="155" s="1"/>
  <c r="AQ23" i="155" s="1"/>
  <c r="AQ88" i="155" s="1"/>
  <c r="AQ463" i="155"/>
  <c r="AQ252" i="155"/>
  <c r="AQ22" i="155" s="1"/>
  <c r="AL306" i="155"/>
  <c r="AL312" i="155" s="1"/>
  <c r="AL33" i="155" s="1"/>
  <c r="AL98" i="155" s="1"/>
  <c r="AL296" i="155"/>
  <c r="AL31" i="155" s="1"/>
  <c r="AQ298" i="155"/>
  <c r="AQ304" i="155" s="1"/>
  <c r="AQ32" i="155" s="1"/>
  <c r="AQ97" i="155" s="1"/>
  <c r="AX290" i="155"/>
  <c r="AX296" i="155" s="1"/>
  <c r="AX31" i="155" s="1"/>
  <c r="AX288" i="155"/>
  <c r="BD246" i="155"/>
  <c r="BD244" i="155"/>
  <c r="BK238" i="155"/>
  <c r="BK211" i="155"/>
  <c r="AZ246" i="155"/>
  <c r="AZ244" i="155"/>
  <c r="AD322" i="155"/>
  <c r="BO238" i="155"/>
  <c r="BO211" i="155"/>
  <c r="BU282" i="155"/>
  <c r="BU219" i="155"/>
  <c r="AD469" i="155"/>
  <c r="AD19" i="155" s="1"/>
  <c r="AD278" i="155"/>
  <c r="BO282" i="155"/>
  <c r="BO219" i="155"/>
  <c r="BU238" i="155"/>
  <c r="BU211" i="155"/>
  <c r="AV262" i="155"/>
  <c r="AV268" i="155" s="1"/>
  <c r="AV24" i="155" s="1"/>
  <c r="AV89" i="155" s="1"/>
  <c r="AV463" i="155"/>
  <c r="AV252" i="155"/>
  <c r="AV22" i="155" s="1"/>
  <c r="BY338" i="155"/>
  <c r="BY344" i="155" s="1"/>
  <c r="BY43" i="155" s="1"/>
  <c r="BY334" i="155"/>
  <c r="AU290" i="155"/>
  <c r="AU314" i="155" s="1"/>
  <c r="AU320" i="155" s="1"/>
  <c r="AU35" i="155" s="1"/>
  <c r="AU100" i="155" s="1"/>
  <c r="AU288" i="155"/>
  <c r="AI322" i="155"/>
  <c r="AK469" i="155"/>
  <c r="AK278" i="155"/>
  <c r="BX338" i="155"/>
  <c r="BX344" i="155" s="1"/>
  <c r="BX43" i="155" s="1"/>
  <c r="BX334" i="155"/>
  <c r="BY205" i="155"/>
  <c r="BY213" i="155"/>
  <c r="BY203" i="155"/>
  <c r="AZ290" i="155"/>
  <c r="AZ296" i="155" s="1"/>
  <c r="AZ31" i="155" s="1"/>
  <c r="AZ288" i="155"/>
  <c r="AF469" i="155"/>
  <c r="AF19" i="155" s="1"/>
  <c r="AF84" i="155" s="1"/>
  <c r="AF278" i="155"/>
  <c r="AM262" i="155"/>
  <c r="AM268" i="155" s="1"/>
  <c r="AM24" i="155" s="1"/>
  <c r="AM89" i="155" s="1"/>
  <c r="AM463" i="155"/>
  <c r="AM252" i="155"/>
  <c r="AM22" i="155" s="1"/>
  <c r="BL238" i="155"/>
  <c r="BL211" i="155"/>
  <c r="BX213" i="155"/>
  <c r="BX205" i="155"/>
  <c r="BX203" i="155"/>
  <c r="BC290" i="155"/>
  <c r="BC296" i="155" s="1"/>
  <c r="BC31" i="155" s="1"/>
  <c r="BC288" i="155"/>
  <c r="AW298" i="155"/>
  <c r="AW304" i="155" s="1"/>
  <c r="AW32" i="155" s="1"/>
  <c r="AW97" i="155" s="1"/>
  <c r="BF246" i="155"/>
  <c r="BF244" i="155"/>
  <c r="BL282" i="155"/>
  <c r="BL219" i="155"/>
  <c r="BV338" i="155"/>
  <c r="BV344" i="155" s="1"/>
  <c r="BV43" i="155" s="1"/>
  <c r="BV334" i="155"/>
  <c r="AY246" i="155"/>
  <c r="AY244" i="155"/>
  <c r="AI278" i="155"/>
  <c r="AI469" i="155"/>
  <c r="AW314" i="155"/>
  <c r="AW320" i="155" s="1"/>
  <c r="AW35" i="155" s="1"/>
  <c r="AW100" i="155" s="1"/>
  <c r="AR270" i="155"/>
  <c r="AR276" i="155" s="1"/>
  <c r="AR26" i="155" s="1"/>
  <c r="AR91" i="155" s="1"/>
  <c r="AR463" i="155"/>
  <c r="AR252" i="155"/>
  <c r="AR22" i="155" s="1"/>
  <c r="BV205" i="155"/>
  <c r="BV213" i="155"/>
  <c r="BV203" i="155"/>
  <c r="AV298" i="155"/>
  <c r="AV304" i="155" s="1"/>
  <c r="AV32" i="155" s="1"/>
  <c r="AV97" i="155" s="1"/>
  <c r="AV296" i="155"/>
  <c r="AV31" i="155" s="1"/>
  <c r="BB246" i="155"/>
  <c r="BB244" i="155"/>
  <c r="AJ298" i="155"/>
  <c r="AJ304" i="155" s="1"/>
  <c r="AJ32" i="155" s="1"/>
  <c r="AJ97" i="155" s="1"/>
  <c r="AJ296" i="155"/>
  <c r="AJ31" i="155" s="1"/>
  <c r="AP262" i="155"/>
  <c r="AP268" i="155" s="1"/>
  <c r="AP24" i="155" s="1"/>
  <c r="AP463" i="155"/>
  <c r="AP252" i="155"/>
  <c r="AP22" i="155" s="1"/>
  <c r="AW306" i="155"/>
  <c r="AW312" i="155" s="1"/>
  <c r="AW33" i="155" s="1"/>
  <c r="AW98" i="155" s="1"/>
  <c r="BH290" i="155"/>
  <c r="BH298" i="155" s="1"/>
  <c r="BH304" i="155" s="1"/>
  <c r="BH32" i="155" s="1"/>
  <c r="BH97" i="155" s="1"/>
  <c r="BH288" i="155"/>
  <c r="AN314" i="155"/>
  <c r="AN320" i="155" s="1"/>
  <c r="AN35" i="155" s="1"/>
  <c r="AN100" i="155" s="1"/>
  <c r="AE322" i="155"/>
  <c r="AN298" i="155"/>
  <c r="AN304" i="155" s="1"/>
  <c r="AN32" i="155" s="1"/>
  <c r="AN97" i="155" s="1"/>
  <c r="AP314" i="155"/>
  <c r="AP320" i="155" s="1"/>
  <c r="AP35" i="155" s="1"/>
  <c r="BR282" i="155"/>
  <c r="BR219" i="155"/>
  <c r="BN334" i="153"/>
  <c r="AU183" i="99"/>
  <c r="AS183" i="99"/>
  <c r="AR183" i="99"/>
  <c r="AT183" i="99"/>
  <c r="BB183" i="99"/>
  <c r="AW183" i="99"/>
  <c r="BI191" i="99"/>
  <c r="BU469" i="154"/>
  <c r="BU19" i="154" s="1"/>
  <c r="BU84" i="154" s="1"/>
  <c r="BU278" i="154"/>
  <c r="BX469" i="154"/>
  <c r="BX19" i="154" s="1"/>
  <c r="BX84" i="154" s="1"/>
  <c r="BW322" i="154"/>
  <c r="BL146" i="154"/>
  <c r="BL147" i="154"/>
  <c r="BL148" i="154"/>
  <c r="BK455" i="154" a="1"/>
  <c r="BK455" i="154" s="1"/>
  <c r="BK457" i="154" s="1"/>
  <c r="BK69" i="154" s="1"/>
  <c r="BK134" i="154" s="1"/>
  <c r="BK418" i="154"/>
  <c r="BV469" i="154"/>
  <c r="BV19" i="154" s="1"/>
  <c r="BV84" i="154" s="1"/>
  <c r="BP469" i="154"/>
  <c r="BP19" i="154" s="1"/>
  <c r="BP84" i="154" s="1"/>
  <c r="BP278" i="154"/>
  <c r="BK180" i="99"/>
  <c r="BK188" i="99" s="1"/>
  <c r="BV260" i="154"/>
  <c r="BV23" i="154" s="1"/>
  <c r="BV88" i="154" s="1"/>
  <c r="R424" i="154"/>
  <c r="BU322" i="154"/>
  <c r="BL145" i="154"/>
  <c r="BV322" i="154"/>
  <c r="BJ455" i="154" a="1"/>
  <c r="BJ455" i="154" s="1"/>
  <c r="BJ457" i="154" s="1"/>
  <c r="BJ69" i="154" s="1"/>
  <c r="BJ134" i="154" s="1"/>
  <c r="BJ418" i="154"/>
  <c r="BT278" i="154"/>
  <c r="BT469" i="154"/>
  <c r="BT19" i="154" s="1"/>
  <c r="BT84" i="154" s="1"/>
  <c r="BC331" i="99"/>
  <c r="BC341" i="99" s="1"/>
  <c r="BC200" i="99"/>
  <c r="BB331" i="99"/>
  <c r="BB341" i="99" s="1"/>
  <c r="BB200" i="99"/>
  <c r="BR278" i="154"/>
  <c r="BR469" i="154"/>
  <c r="BR19" i="154" s="1"/>
  <c r="BR84" i="154" s="1"/>
  <c r="BW469" i="154"/>
  <c r="BW19" i="154" s="1"/>
  <c r="BW84" i="154" s="1"/>
  <c r="BL455" i="154" a="1"/>
  <c r="BL455" i="154" s="1"/>
  <c r="BL457" i="154" s="1"/>
  <c r="BL69" i="154" s="1"/>
  <c r="BL134" i="154" s="1"/>
  <c r="BL418" i="154"/>
  <c r="AY200" i="99"/>
  <c r="AY331" i="99"/>
  <c r="AY341" i="99" s="1"/>
  <c r="BW260" i="154"/>
  <c r="BW23" i="154" s="1"/>
  <c r="BW88" i="154" s="1"/>
  <c r="BT322" i="154"/>
  <c r="BA200" i="99"/>
  <c r="BA331" i="99"/>
  <c r="BA341" i="99" s="1"/>
  <c r="BK455" i="155" a="1"/>
  <c r="BK455" i="155" s="1"/>
  <c r="AZ331" i="99"/>
  <c r="AZ341" i="99" s="1"/>
  <c r="AZ200" i="99"/>
  <c r="R424" i="155"/>
  <c r="AX200" i="99"/>
  <c r="AX331" i="99"/>
  <c r="AX341" i="99" s="1"/>
  <c r="AW331" i="99"/>
  <c r="AW341" i="99" s="1"/>
  <c r="AW200" i="99"/>
  <c r="BD180" i="99"/>
  <c r="BE180" i="99"/>
  <c r="BF180" i="99"/>
  <c r="BS322" i="154"/>
  <c r="BR322" i="154"/>
  <c r="AU200" i="99"/>
  <c r="AU331" i="99"/>
  <c r="AU341" i="99" s="1"/>
  <c r="AR331" i="99"/>
  <c r="AR341" i="99" s="1"/>
  <c r="AR200" i="99"/>
  <c r="AR203" i="99" s="1"/>
  <c r="BL455" i="155" a="1"/>
  <c r="BL455" i="155" s="1"/>
  <c r="BS278" i="154"/>
  <c r="BS469" i="154"/>
  <c r="BS19" i="154" s="1"/>
  <c r="BS84" i="154" s="1"/>
  <c r="AS200" i="99"/>
  <c r="AS203" i="99" s="1"/>
  <c r="AS331" i="99"/>
  <c r="AS341" i="99" s="1"/>
  <c r="AT200" i="99"/>
  <c r="AT331" i="99"/>
  <c r="AT341" i="99" s="1"/>
  <c r="BP322" i="154"/>
  <c r="BK145" i="154"/>
  <c r="BX322" i="154"/>
  <c r="BK146" i="154"/>
  <c r="BK148" i="154"/>
  <c r="BK147" i="154"/>
  <c r="BX260" i="154"/>
  <c r="BX23" i="154" s="1"/>
  <c r="BX88" i="154" s="1"/>
  <c r="AV183" i="99"/>
  <c r="BI331" i="99"/>
  <c r="BI341" i="99" s="1"/>
  <c r="BI200" i="99"/>
  <c r="BS180" i="99"/>
  <c r="BQ338" i="153"/>
  <c r="BQ344" i="153" s="1"/>
  <c r="BQ43" i="153" s="1"/>
  <c r="BG180" i="99"/>
  <c r="AV331" i="99"/>
  <c r="AV341" i="99" s="1"/>
  <c r="AV200" i="99"/>
  <c r="BP205" i="99"/>
  <c r="BP238" i="99" s="1"/>
  <c r="BP246" i="99" s="1"/>
  <c r="BP213" i="99"/>
  <c r="BP282" i="99" s="1"/>
  <c r="BP290" i="99" s="1"/>
  <c r="BP306" i="99" s="1"/>
  <c r="BM205" i="99"/>
  <c r="BM238" i="99" s="1"/>
  <c r="BM246" i="99" s="1"/>
  <c r="BO213" i="99"/>
  <c r="BO282" i="99" s="1"/>
  <c r="BO290" i="99" s="1"/>
  <c r="BO314" i="99" s="1"/>
  <c r="BN205" i="99"/>
  <c r="BN238" i="99" s="1"/>
  <c r="BN246" i="99" s="1"/>
  <c r="BW330" i="99"/>
  <c r="BW340" i="99" s="1"/>
  <c r="BY457" i="154"/>
  <c r="BY69" i="154" s="1"/>
  <c r="BY134" i="154" s="1"/>
  <c r="BY418" i="154"/>
  <c r="BW631" i="99"/>
  <c r="BW562" i="99"/>
  <c r="BW329" i="99"/>
  <c r="BW339" i="99" s="1"/>
  <c r="BR205" i="153"/>
  <c r="BR238" i="153" s="1"/>
  <c r="AJ238" i="153"/>
  <c r="AJ244" i="153" s="1"/>
  <c r="BR203" i="153"/>
  <c r="BT205" i="153"/>
  <c r="BT238" i="153" s="1"/>
  <c r="BT338" i="153"/>
  <c r="BT344" i="153" s="1"/>
  <c r="BT43" i="153" s="1"/>
  <c r="BT213" i="153"/>
  <c r="BT219" i="153" s="1"/>
  <c r="BW333" i="99"/>
  <c r="BW343" i="99" s="1"/>
  <c r="BW332" i="99"/>
  <c r="BW342" i="99" s="1"/>
  <c r="BS203" i="153"/>
  <c r="BS205" i="153"/>
  <c r="BS211" i="153" s="1"/>
  <c r="BR213" i="99"/>
  <c r="BR282" i="99" s="1"/>
  <c r="BR290" i="99" s="1"/>
  <c r="BR306" i="99" s="1"/>
  <c r="BR205" i="99"/>
  <c r="BR238" i="99" s="1"/>
  <c r="BU463" i="99"/>
  <c r="BU270" i="99"/>
  <c r="BS338" i="153"/>
  <c r="BS344" i="153" s="1"/>
  <c r="BS43" i="153" s="1"/>
  <c r="BU262" i="99"/>
  <c r="BS213" i="99"/>
  <c r="BS282" i="99" s="1"/>
  <c r="BS290" i="99" s="1"/>
  <c r="BS306" i="99" s="1"/>
  <c r="BU213" i="153"/>
  <c r="BU282" i="153" s="1"/>
  <c r="BU203" i="153"/>
  <c r="AU334" i="153"/>
  <c r="BS264" i="99"/>
  <c r="Y43" i="105"/>
  <c r="Z43" i="105"/>
  <c r="BS465" i="99"/>
  <c r="BS316" i="99"/>
  <c r="BS300" i="99"/>
  <c r="BS256" i="99"/>
  <c r="X43" i="105"/>
  <c r="W43" i="105"/>
  <c r="P52" i="105"/>
  <c r="K24" i="151" s="1"/>
  <c r="AK266" i="99"/>
  <c r="BS307" i="99"/>
  <c r="X314" i="153"/>
  <c r="X320" i="153" s="1"/>
  <c r="X35" i="153" s="1"/>
  <c r="X100" i="153" s="1"/>
  <c r="T298" i="153"/>
  <c r="T304" i="153" s="1"/>
  <c r="T32" i="153" s="1"/>
  <c r="T97" i="153" s="1"/>
  <c r="R262" i="153"/>
  <c r="R268" i="153" s="1"/>
  <c r="R24" i="153" s="1"/>
  <c r="AK302" i="99"/>
  <c r="BK300" i="99"/>
  <c r="X298" i="153"/>
  <c r="X304" i="153" s="1"/>
  <c r="X32" i="153" s="1"/>
  <c r="X97" i="153" s="1"/>
  <c r="AK310" i="99"/>
  <c r="X306" i="153"/>
  <c r="X312" i="153" s="1"/>
  <c r="X33" i="153" s="1"/>
  <c r="X98" i="153" s="1"/>
  <c r="AK467" i="99"/>
  <c r="BH259" i="99"/>
  <c r="S254" i="153"/>
  <c r="S260" i="153" s="1"/>
  <c r="S23" i="153" s="1"/>
  <c r="S88" i="153" s="1"/>
  <c r="BT255" i="99"/>
  <c r="BT267" i="99"/>
  <c r="BS259" i="99"/>
  <c r="BT307" i="99"/>
  <c r="BT271" i="99"/>
  <c r="BS275" i="99"/>
  <c r="BQ300" i="99"/>
  <c r="BV209" i="99"/>
  <c r="BT464" i="99"/>
  <c r="BS271" i="99"/>
  <c r="BN272" i="99"/>
  <c r="BB267" i="99"/>
  <c r="BQ264" i="99"/>
  <c r="BT316" i="99"/>
  <c r="AB108" i="104"/>
  <c r="AB43" i="104" s="1"/>
  <c r="AB43" i="103"/>
  <c r="AB45" i="103" s="1"/>
  <c r="AD43" i="103"/>
  <c r="AD45" i="103" s="1"/>
  <c r="AD108" i="104"/>
  <c r="AD43" i="104" s="1"/>
  <c r="BT256" i="99"/>
  <c r="U110" i="104"/>
  <c r="U45" i="104" s="1"/>
  <c r="Z43" i="103"/>
  <c r="Z45" i="103" s="1"/>
  <c r="Z108" i="104"/>
  <c r="Z43" i="104" s="1"/>
  <c r="AG43" i="103"/>
  <c r="AG45" i="103" s="1"/>
  <c r="AG108" i="104"/>
  <c r="AG43" i="104" s="1"/>
  <c r="AF108" i="104"/>
  <c r="AF43" i="104" s="1"/>
  <c r="BT264" i="99"/>
  <c r="T110" i="104"/>
  <c r="T45" i="104" s="1"/>
  <c r="V108" i="104"/>
  <c r="V43" i="104" s="1"/>
  <c r="AC108" i="104"/>
  <c r="AC43" i="104" s="1"/>
  <c r="AE108" i="104"/>
  <c r="AE43" i="104" s="1"/>
  <c r="AE43" i="103"/>
  <c r="AE45" i="103" s="1"/>
  <c r="BT308" i="99"/>
  <c r="W108" i="104"/>
  <c r="W43" i="104" s="1"/>
  <c r="BS299" i="99"/>
  <c r="S110" i="104"/>
  <c r="S45" i="104" s="1"/>
  <c r="R110" i="104"/>
  <c r="R45" i="104" s="1"/>
  <c r="Y108" i="104"/>
  <c r="Y43" i="104" s="1"/>
  <c r="Y43" i="103"/>
  <c r="X108" i="104"/>
  <c r="X43" i="104" s="1"/>
  <c r="BT272" i="99"/>
  <c r="AA108" i="104"/>
  <c r="AA43" i="104" s="1"/>
  <c r="AA43" i="103"/>
  <c r="AA45" i="103" s="1"/>
  <c r="BA311" i="99"/>
  <c r="BS464" i="99"/>
  <c r="BT303" i="99"/>
  <c r="BG311" i="99"/>
  <c r="BO272" i="99"/>
  <c r="BO316" i="99"/>
  <c r="U314" i="153"/>
  <c r="U320" i="153" s="1"/>
  <c r="U35" i="153" s="1"/>
  <c r="U100" i="153" s="1"/>
  <c r="U298" i="153"/>
  <c r="U304" i="153" s="1"/>
  <c r="U32" i="153" s="1"/>
  <c r="U97" i="153" s="1"/>
  <c r="BK272" i="99"/>
  <c r="W254" i="153"/>
  <c r="W260" i="153" s="1"/>
  <c r="W23" i="153" s="1"/>
  <c r="W88" i="153" s="1"/>
  <c r="U306" i="153"/>
  <c r="U312" i="153" s="1"/>
  <c r="U33" i="153" s="1"/>
  <c r="U98" i="153" s="1"/>
  <c r="BH303" i="99"/>
  <c r="BB311" i="99"/>
  <c r="BJ316" i="99"/>
  <c r="BS303" i="99"/>
  <c r="W298" i="153"/>
  <c r="W304" i="153" s="1"/>
  <c r="W32" i="153" s="1"/>
  <c r="W97" i="153" s="1"/>
  <c r="BN316" i="99"/>
  <c r="W306" i="153"/>
  <c r="W312" i="153" s="1"/>
  <c r="W33" i="153" s="1"/>
  <c r="W98" i="153" s="1"/>
  <c r="AX267" i="99"/>
  <c r="BR264" i="99"/>
  <c r="S314" i="153"/>
  <c r="S320" i="153" s="1"/>
  <c r="S35" i="153" s="1"/>
  <c r="S100" i="153" s="1"/>
  <c r="AY319" i="99"/>
  <c r="AK274" i="99"/>
  <c r="BT311" i="99"/>
  <c r="BS255" i="99"/>
  <c r="AY303" i="99"/>
  <c r="BC311" i="99"/>
  <c r="BP256" i="99"/>
  <c r="Y296" i="153"/>
  <c r="Y31" i="153" s="1"/>
  <c r="Y314" i="153"/>
  <c r="Y320" i="153" s="1"/>
  <c r="Y35" i="153" s="1"/>
  <c r="Y100" i="153" s="1"/>
  <c r="Y306" i="153"/>
  <c r="Y312" i="153" s="1"/>
  <c r="Y33" i="153" s="1"/>
  <c r="Y98" i="153" s="1"/>
  <c r="Y298" i="153"/>
  <c r="Y304" i="153" s="1"/>
  <c r="Y32" i="153" s="1"/>
  <c r="Y97" i="153" s="1"/>
  <c r="BQ316" i="99"/>
  <c r="AK288" i="153"/>
  <c r="AK290" i="153"/>
  <c r="BR300" i="99"/>
  <c r="BJ300" i="99"/>
  <c r="AZ275" i="99"/>
  <c r="AK246" i="153"/>
  <c r="AK244" i="153"/>
  <c r="BD275" i="99"/>
  <c r="T254" i="153"/>
  <c r="T260" i="153" s="1"/>
  <c r="T23" i="153" s="1"/>
  <c r="T88" i="153" s="1"/>
  <c r="U262" i="153"/>
  <c r="U268" i="153" s="1"/>
  <c r="U24" i="153" s="1"/>
  <c r="U89" i="153" s="1"/>
  <c r="BM300" i="99"/>
  <c r="BH311" i="99"/>
  <c r="V270" i="153"/>
  <c r="V276" i="153" s="1"/>
  <c r="V26" i="153" s="1"/>
  <c r="V91" i="153" s="1"/>
  <c r="BT201" i="99"/>
  <c r="BT332" i="99"/>
  <c r="BI311" i="99"/>
  <c r="BG259" i="99"/>
  <c r="Y270" i="153"/>
  <c r="Y276" i="153" s="1"/>
  <c r="Y26" i="153" s="1"/>
  <c r="Y91" i="153" s="1"/>
  <c r="Y262" i="153"/>
  <c r="Y268" i="153" s="1"/>
  <c r="Y24" i="153" s="1"/>
  <c r="Y89" i="153" s="1"/>
  <c r="Y463" i="153"/>
  <c r="Y252" i="153"/>
  <c r="Y22" i="153" s="1"/>
  <c r="Y254" i="153"/>
  <c r="BS209" i="99"/>
  <c r="BS242" i="99" s="1"/>
  <c r="BS217" i="99"/>
  <c r="BS286" i="99" s="1"/>
  <c r="BS311" i="99"/>
  <c r="BF311" i="99"/>
  <c r="V298" i="153"/>
  <c r="V304" i="153" s="1"/>
  <c r="V32" i="153" s="1"/>
  <c r="V97" i="153" s="1"/>
  <c r="BL300" i="99"/>
  <c r="BM272" i="99"/>
  <c r="BK308" i="99"/>
  <c r="BS342" i="99"/>
  <c r="BF303" i="99"/>
  <c r="V314" i="153"/>
  <c r="V320" i="153" s="1"/>
  <c r="V35" i="153" s="1"/>
  <c r="V100" i="153" s="1"/>
  <c r="BL308" i="99"/>
  <c r="W314" i="153"/>
  <c r="W320" i="153" s="1"/>
  <c r="W35" i="153" s="1"/>
  <c r="W100" i="153" s="1"/>
  <c r="BA275" i="99"/>
  <c r="AV211" i="153"/>
  <c r="AV238" i="153"/>
  <c r="Z290" i="153"/>
  <c r="Z298" i="153" s="1"/>
  <c r="Z304" i="153" s="1"/>
  <c r="Z32" i="153" s="1"/>
  <c r="Z97" i="153" s="1"/>
  <c r="Z288" i="153"/>
  <c r="BJ256" i="99"/>
  <c r="AT219" i="153"/>
  <c r="AT282" i="153"/>
  <c r="R306" i="153"/>
  <c r="R312" i="153" s="1"/>
  <c r="R33" i="153" s="1"/>
  <c r="X254" i="153"/>
  <c r="X260" i="153" s="1"/>
  <c r="X23" i="153" s="1"/>
  <c r="X88" i="153" s="1"/>
  <c r="BC303" i="99"/>
  <c r="AX203" i="153"/>
  <c r="AX205" i="153"/>
  <c r="AX213" i="153"/>
  <c r="BL272" i="99"/>
  <c r="BL465" i="99"/>
  <c r="AV219" i="153"/>
  <c r="AV282" i="153"/>
  <c r="BR291" i="99"/>
  <c r="BR307" i="99" s="1"/>
  <c r="BJ272" i="99"/>
  <c r="BJ465" i="99"/>
  <c r="R314" i="153"/>
  <c r="R320" i="153" s="1"/>
  <c r="R35" i="153" s="1"/>
  <c r="R296" i="153"/>
  <c r="R31" i="153" s="1"/>
  <c r="X262" i="153"/>
  <c r="X268" i="153" s="1"/>
  <c r="X24" i="153" s="1"/>
  <c r="X89" i="153" s="1"/>
  <c r="X463" i="153"/>
  <c r="X252" i="153"/>
  <c r="X22" i="153" s="1"/>
  <c r="AU211" i="153"/>
  <c r="AU238" i="153"/>
  <c r="BF275" i="99"/>
  <c r="V254" i="153"/>
  <c r="V260" i="153" s="1"/>
  <c r="V23" i="153" s="1"/>
  <c r="V88" i="153" s="1"/>
  <c r="V463" i="153"/>
  <c r="V252" i="153"/>
  <c r="V22" i="153" s="1"/>
  <c r="BF334" i="153"/>
  <c r="BF338" i="153"/>
  <c r="BF344" i="153" s="1"/>
  <c r="BF43" i="153" s="1"/>
  <c r="BR247" i="99"/>
  <c r="AF288" i="153"/>
  <c r="AF290" i="153"/>
  <c r="AX334" i="153"/>
  <c r="AX338" i="153"/>
  <c r="AX344" i="153" s="1"/>
  <c r="AX43" i="153" s="1"/>
  <c r="AS219" i="153"/>
  <c r="AS282" i="153"/>
  <c r="BP308" i="99"/>
  <c r="BC275" i="99"/>
  <c r="BF203" i="153"/>
  <c r="BF205" i="153"/>
  <c r="BF213" i="153"/>
  <c r="AS211" i="153"/>
  <c r="AS238" i="153"/>
  <c r="BP300" i="99"/>
  <c r="AU219" i="153"/>
  <c r="AU282" i="153"/>
  <c r="BA303" i="99"/>
  <c r="V306" i="153"/>
  <c r="V312" i="153" s="1"/>
  <c r="V33" i="153" s="1"/>
  <c r="V98" i="153" s="1"/>
  <c r="BE334" i="153"/>
  <c r="BE338" i="153"/>
  <c r="BE344" i="153" s="1"/>
  <c r="BE43" i="153" s="1"/>
  <c r="T306" i="153"/>
  <c r="T312" i="153" s="1"/>
  <c r="T33" i="153" s="1"/>
  <c r="T98" i="153" s="1"/>
  <c r="BE213" i="153"/>
  <c r="BE203" i="153"/>
  <c r="BE205" i="153"/>
  <c r="U270" i="153"/>
  <c r="U276" i="153" s="1"/>
  <c r="U26" i="153" s="1"/>
  <c r="U91" i="153" s="1"/>
  <c r="U463" i="153"/>
  <c r="U252" i="153"/>
  <c r="U22" i="153" s="1"/>
  <c r="AO238" i="153"/>
  <c r="AO211" i="153"/>
  <c r="BM264" i="99"/>
  <c r="BM465" i="99"/>
  <c r="AY213" i="153"/>
  <c r="AY205" i="153"/>
  <c r="AY203" i="153"/>
  <c r="W262" i="153"/>
  <c r="W268" i="153" s="1"/>
  <c r="W24" i="153" s="1"/>
  <c r="W89" i="153" s="1"/>
  <c r="W463" i="153"/>
  <c r="W252" i="153"/>
  <c r="W22" i="153" s="1"/>
  <c r="AJ288" i="153"/>
  <c r="AJ290" i="153"/>
  <c r="Z246" i="153"/>
  <c r="Z244" i="153"/>
  <c r="AO282" i="153"/>
  <c r="AO219" i="153"/>
  <c r="BO300" i="99"/>
  <c r="AA244" i="153"/>
  <c r="AA246" i="153"/>
  <c r="T314" i="153"/>
  <c r="T320" i="153" s="1"/>
  <c r="T35" i="153" s="1"/>
  <c r="T100" i="153" s="1"/>
  <c r="AQ282" i="153"/>
  <c r="AQ219" i="153"/>
  <c r="BQ256" i="99"/>
  <c r="BQ465" i="99"/>
  <c r="S302" i="99"/>
  <c r="BR256" i="99"/>
  <c r="BR465" i="99"/>
  <c r="AB244" i="153"/>
  <c r="AB246" i="153"/>
  <c r="AQ238" i="153"/>
  <c r="AQ211" i="153"/>
  <c r="AY334" i="153"/>
  <c r="AY338" i="153"/>
  <c r="AY344" i="153" s="1"/>
  <c r="AY43" i="153" s="1"/>
  <c r="BG334" i="153"/>
  <c r="BG338" i="153"/>
  <c r="BG344" i="153" s="1"/>
  <c r="BG43" i="153" s="1"/>
  <c r="AR238" i="153"/>
  <c r="AR211" i="153"/>
  <c r="AI290" i="153"/>
  <c r="AI296" i="153" s="1"/>
  <c r="AI31" i="153" s="1"/>
  <c r="AI288" i="153"/>
  <c r="AG246" i="153"/>
  <c r="AG244" i="153"/>
  <c r="BG205" i="153"/>
  <c r="BG213" i="153"/>
  <c r="BG203" i="153"/>
  <c r="AR282" i="153"/>
  <c r="AR219" i="153"/>
  <c r="AM211" i="153"/>
  <c r="AM238" i="153"/>
  <c r="AC290" i="153"/>
  <c r="AC314" i="153" s="1"/>
  <c r="AC320" i="153" s="1"/>
  <c r="AC35" i="153" s="1"/>
  <c r="AC100" i="153" s="1"/>
  <c r="AC288" i="153"/>
  <c r="BN256" i="99"/>
  <c r="BN465" i="99"/>
  <c r="BB334" i="153"/>
  <c r="BB338" i="153"/>
  <c r="BB344" i="153" s="1"/>
  <c r="BB43" i="153" s="1"/>
  <c r="BT468" i="99"/>
  <c r="AG288" i="153"/>
  <c r="AG290" i="153"/>
  <c r="S306" i="153"/>
  <c r="S312" i="153" s="1"/>
  <c r="S33" i="153" s="1"/>
  <c r="S98" i="153" s="1"/>
  <c r="S296" i="153"/>
  <c r="S31" i="153" s="1"/>
  <c r="AE290" i="153"/>
  <c r="AE288" i="153"/>
  <c r="BB213" i="153"/>
  <c r="BB203" i="153"/>
  <c r="BB205" i="153"/>
  <c r="BT259" i="99"/>
  <c r="AM282" i="153"/>
  <c r="AM219" i="153"/>
  <c r="BI203" i="153"/>
  <c r="BI213" i="153"/>
  <c r="BI205" i="153"/>
  <c r="R270" i="153"/>
  <c r="R276" i="153" s="1"/>
  <c r="R26" i="153" s="1"/>
  <c r="R463" i="153"/>
  <c r="R252" i="153"/>
  <c r="R22" i="153" s="1"/>
  <c r="BO256" i="99"/>
  <c r="BO465" i="99"/>
  <c r="AA288" i="153"/>
  <c r="AA290" i="153"/>
  <c r="BA213" i="153"/>
  <c r="BA203" i="153"/>
  <c r="BA205" i="153"/>
  <c r="AD246" i="153"/>
  <c r="AD244" i="153"/>
  <c r="T262" i="153"/>
  <c r="T268" i="153" s="1"/>
  <c r="T24" i="153" s="1"/>
  <c r="T89" i="153" s="1"/>
  <c r="T463" i="153"/>
  <c r="T252" i="153"/>
  <c r="T22" i="153" s="1"/>
  <c r="AI244" i="153"/>
  <c r="AI246" i="153"/>
  <c r="BS468" i="99"/>
  <c r="BI334" i="153"/>
  <c r="BI338" i="153"/>
  <c r="BI344" i="153" s="1"/>
  <c r="BI43" i="153" s="1"/>
  <c r="AF244" i="153"/>
  <c r="AF246" i="153"/>
  <c r="BM308" i="99"/>
  <c r="BN300" i="99"/>
  <c r="BG213" i="99"/>
  <c r="BG282" i="99" s="1"/>
  <c r="BG290" i="99" s="1"/>
  <c r="BG306" i="99" s="1"/>
  <c r="BG205" i="99"/>
  <c r="BG238" i="99" s="1"/>
  <c r="BG246" i="99" s="1"/>
  <c r="BD338" i="153"/>
  <c r="BD344" i="153" s="1"/>
  <c r="BD43" i="153" s="1"/>
  <c r="BD334" i="153"/>
  <c r="BA334" i="153"/>
  <c r="BA338" i="153"/>
  <c r="BA344" i="153" s="1"/>
  <c r="BA43" i="153" s="1"/>
  <c r="BI205" i="99"/>
  <c r="BI238" i="99" s="1"/>
  <c r="BI246" i="99" s="1"/>
  <c r="BI213" i="99"/>
  <c r="BI282" i="99" s="1"/>
  <c r="BI290" i="99" s="1"/>
  <c r="BI298" i="99" s="1"/>
  <c r="AB290" i="153"/>
  <c r="AB288" i="153"/>
  <c r="BD213" i="153"/>
  <c r="BD203" i="153"/>
  <c r="BD205" i="153"/>
  <c r="AZ338" i="153"/>
  <c r="AZ344" i="153" s="1"/>
  <c r="AZ43" i="153" s="1"/>
  <c r="AZ334" i="153"/>
  <c r="BH203" i="153"/>
  <c r="BH205" i="153"/>
  <c r="BH213" i="153"/>
  <c r="AZ205" i="153"/>
  <c r="AZ213" i="153"/>
  <c r="AZ203" i="153"/>
  <c r="AD288" i="153"/>
  <c r="AD290" i="153"/>
  <c r="AH288" i="153"/>
  <c r="AH290" i="153"/>
  <c r="AE244" i="153"/>
  <c r="AE246" i="153"/>
  <c r="BT315" i="99"/>
  <c r="BB319" i="99"/>
  <c r="BH334" i="153"/>
  <c r="BH338" i="153"/>
  <c r="BH344" i="153" s="1"/>
  <c r="BH43" i="153" s="1"/>
  <c r="AN282" i="153"/>
  <c r="AN219" i="153"/>
  <c r="BK264" i="99"/>
  <c r="BK465" i="99"/>
  <c r="BH213" i="99"/>
  <c r="BH282" i="99" s="1"/>
  <c r="BH290" i="99" s="1"/>
  <c r="BH314" i="99" s="1"/>
  <c r="BH205" i="99"/>
  <c r="BH238" i="99" s="1"/>
  <c r="BH246" i="99" s="1"/>
  <c r="BC203" i="153"/>
  <c r="BC213" i="153"/>
  <c r="BC205" i="153"/>
  <c r="AP219" i="153"/>
  <c r="AP282" i="153"/>
  <c r="AW238" i="153"/>
  <c r="AW211" i="153"/>
  <c r="AN211" i="153"/>
  <c r="AN238" i="153"/>
  <c r="AL219" i="153"/>
  <c r="AL282" i="153"/>
  <c r="AH246" i="153"/>
  <c r="AH244" i="153"/>
  <c r="BI319" i="99"/>
  <c r="BR308" i="99"/>
  <c r="AC244" i="153"/>
  <c r="AC246" i="153"/>
  <c r="BP272" i="99"/>
  <c r="BP465" i="99"/>
  <c r="BF213" i="99"/>
  <c r="BF282" i="99" s="1"/>
  <c r="BF290" i="99" s="1"/>
  <c r="BF306" i="99" s="1"/>
  <c r="BF205" i="99"/>
  <c r="BF238" i="99" s="1"/>
  <c r="BF246" i="99" s="1"/>
  <c r="BC338" i="153"/>
  <c r="BC344" i="153" s="1"/>
  <c r="BC43" i="153" s="1"/>
  <c r="BC334" i="153"/>
  <c r="S270" i="153"/>
  <c r="S276" i="153" s="1"/>
  <c r="S26" i="153" s="1"/>
  <c r="S91" i="153" s="1"/>
  <c r="S463" i="153"/>
  <c r="S252" i="153"/>
  <c r="S22" i="153" s="1"/>
  <c r="AX311" i="99"/>
  <c r="BG319" i="99"/>
  <c r="AP211" i="153"/>
  <c r="AP238" i="153"/>
  <c r="AW282" i="153"/>
  <c r="AW219" i="153"/>
  <c r="AT211" i="153"/>
  <c r="AT238" i="153"/>
  <c r="BL256" i="99"/>
  <c r="AL238" i="153"/>
  <c r="AL211" i="153"/>
  <c r="AG294" i="99"/>
  <c r="AG302" i="99" s="1"/>
  <c r="S258" i="99"/>
  <c r="S467" i="99"/>
  <c r="BN251" i="99"/>
  <c r="AH294" i="99"/>
  <c r="AH310" i="99" s="1"/>
  <c r="AG250" i="99"/>
  <c r="BI267" i="99"/>
  <c r="BI468" i="99"/>
  <c r="BN295" i="99"/>
  <c r="BN303" i="99" s="1"/>
  <c r="AH250" i="99"/>
  <c r="BQ251" i="99"/>
  <c r="AI250" i="99"/>
  <c r="BQ295" i="99"/>
  <c r="BQ311" i="99" s="1"/>
  <c r="S318" i="99"/>
  <c r="AX303" i="99"/>
  <c r="BB275" i="99"/>
  <c r="BB468" i="99"/>
  <c r="AI294" i="99"/>
  <c r="AI310" i="99" s="1"/>
  <c r="BD303" i="99"/>
  <c r="AS217" i="99"/>
  <c r="AS286" i="99" s="1"/>
  <c r="AS209" i="99"/>
  <c r="AS242" i="99" s="1"/>
  <c r="BD311" i="99"/>
  <c r="BE303" i="99"/>
  <c r="BE275" i="99"/>
  <c r="BR295" i="99"/>
  <c r="BR303" i="99" s="1"/>
  <c r="Z250" i="99"/>
  <c r="BE319" i="99"/>
  <c r="BR251" i="99"/>
  <c r="BP295" i="99"/>
  <c r="BP303" i="99" s="1"/>
  <c r="Z294" i="99"/>
  <c r="Z310" i="99" s="1"/>
  <c r="BE267" i="99"/>
  <c r="BE468" i="99"/>
  <c r="BP251" i="99"/>
  <c r="AV209" i="99"/>
  <c r="AV242" i="99" s="1"/>
  <c r="AV217" i="99"/>
  <c r="AV286" i="99" s="1"/>
  <c r="BG267" i="99"/>
  <c r="BG468" i="99"/>
  <c r="BL251" i="99"/>
  <c r="AU217" i="99"/>
  <c r="AU286" i="99" s="1"/>
  <c r="AU209" i="99"/>
  <c r="AU242" i="99" s="1"/>
  <c r="BH275" i="99"/>
  <c r="BH468" i="99"/>
  <c r="BD259" i="99"/>
  <c r="BD468" i="99"/>
  <c r="AF250" i="99"/>
  <c r="BL295" i="99"/>
  <c r="BL319" i="99" s="1"/>
  <c r="AZ259" i="99"/>
  <c r="AZ468" i="99"/>
  <c r="AF294" i="99"/>
  <c r="AF302" i="99" s="1"/>
  <c r="AA294" i="99"/>
  <c r="AA310" i="99" s="1"/>
  <c r="AA250" i="99"/>
  <c r="AC294" i="99"/>
  <c r="AC310" i="99" s="1"/>
  <c r="AO209" i="99"/>
  <c r="AO242" i="99" s="1"/>
  <c r="AO217" i="99"/>
  <c r="AO286" i="99" s="1"/>
  <c r="AR209" i="99"/>
  <c r="AR242" i="99" s="1"/>
  <c r="AR217" i="99"/>
  <c r="AR286" i="99" s="1"/>
  <c r="BO251" i="99"/>
  <c r="AC250" i="99"/>
  <c r="AE294" i="99"/>
  <c r="AE302" i="99" s="1"/>
  <c r="AQ217" i="99"/>
  <c r="AQ286" i="99" s="1"/>
  <c r="AQ209" i="99"/>
  <c r="AQ242" i="99" s="1"/>
  <c r="AY275" i="99"/>
  <c r="BO295" i="99"/>
  <c r="BO319" i="99" s="1"/>
  <c r="AE250" i="99"/>
  <c r="AM209" i="99"/>
  <c r="AM242" i="99" s="1"/>
  <c r="AM217" i="99"/>
  <c r="AM286" i="99" s="1"/>
  <c r="AW209" i="99"/>
  <c r="AW242" i="99" s="1"/>
  <c r="AW250" i="99" s="1"/>
  <c r="AW217" i="99"/>
  <c r="AW286" i="99" s="1"/>
  <c r="AW294" i="99" s="1"/>
  <c r="AW318" i="99" s="1"/>
  <c r="BJ251" i="99"/>
  <c r="AD250" i="99"/>
  <c r="AY259" i="99"/>
  <c r="AY468" i="99"/>
  <c r="BJ295" i="99"/>
  <c r="BJ319" i="99" s="1"/>
  <c r="BC259" i="99"/>
  <c r="BC468" i="99"/>
  <c r="AD294" i="99"/>
  <c r="AD318" i="99" s="1"/>
  <c r="AX259" i="99"/>
  <c r="AX468" i="99"/>
  <c r="AJ250" i="99"/>
  <c r="BM251" i="99"/>
  <c r="AP217" i="99"/>
  <c r="AP286" i="99" s="1"/>
  <c r="AP209" i="99"/>
  <c r="AP242" i="99" s="1"/>
  <c r="AB294" i="99"/>
  <c r="AB310" i="99" s="1"/>
  <c r="BF259" i="99"/>
  <c r="BF468" i="99"/>
  <c r="BK295" i="99"/>
  <c r="BK319" i="99" s="1"/>
  <c r="AJ294" i="99"/>
  <c r="AJ318" i="99" s="1"/>
  <c r="S266" i="99"/>
  <c r="AN217" i="99"/>
  <c r="AN286" i="99" s="1"/>
  <c r="AN209" i="99"/>
  <c r="AN242" i="99" s="1"/>
  <c r="BM295" i="99"/>
  <c r="BM303" i="99" s="1"/>
  <c r="AB250" i="99"/>
  <c r="AT217" i="99"/>
  <c r="AT286" i="99" s="1"/>
  <c r="AT209" i="99"/>
  <c r="AT242" i="99" s="1"/>
  <c r="BK251" i="99"/>
  <c r="AZ319" i="99"/>
  <c r="BA259" i="99"/>
  <c r="BA468" i="99"/>
  <c r="AL209" i="99"/>
  <c r="AL242" i="99" s="1"/>
  <c r="AL217" i="99"/>
  <c r="AL286" i="99" s="1"/>
  <c r="S274" i="99"/>
  <c r="BI259" i="99"/>
  <c r="AZ311" i="99"/>
  <c r="AV271" i="99"/>
  <c r="BA307" i="99"/>
  <c r="AV307" i="99"/>
  <c r="AV299" i="99"/>
  <c r="BC299" i="99"/>
  <c r="BA263" i="99"/>
  <c r="BU264" i="99"/>
  <c r="BC255" i="99"/>
  <c r="AW307" i="99"/>
  <c r="AW255" i="99"/>
  <c r="BW203" i="153"/>
  <c r="BW205" i="153"/>
  <c r="BW213" i="153"/>
  <c r="BQ219" i="153"/>
  <c r="BQ282" i="153"/>
  <c r="BK282" i="153"/>
  <c r="BK219" i="153"/>
  <c r="BK238" i="153"/>
  <c r="BK211" i="153"/>
  <c r="BO211" i="153"/>
  <c r="BO238" i="153"/>
  <c r="BO219" i="153"/>
  <c r="BO282" i="153"/>
  <c r="BV213" i="153"/>
  <c r="BV205" i="153"/>
  <c r="BV203" i="153"/>
  <c r="BN238" i="153"/>
  <c r="BN211" i="153"/>
  <c r="BS219" i="153"/>
  <c r="BS282" i="153"/>
  <c r="BV334" i="153"/>
  <c r="BV338" i="153"/>
  <c r="BV344" i="153" s="1"/>
  <c r="BV43" i="153" s="1"/>
  <c r="BU319" i="99"/>
  <c r="BN219" i="153"/>
  <c r="BN282" i="153"/>
  <c r="BD263" i="99"/>
  <c r="AY299" i="99"/>
  <c r="BY213" i="153"/>
  <c r="BY205" i="153"/>
  <c r="BY203" i="153"/>
  <c r="BY334" i="153"/>
  <c r="BY338" i="153"/>
  <c r="BY344" i="153" s="1"/>
  <c r="BY43" i="153" s="1"/>
  <c r="BR282" i="153"/>
  <c r="BR219" i="153"/>
  <c r="BB315" i="99"/>
  <c r="BB299" i="99"/>
  <c r="BL219" i="153"/>
  <c r="BL282" i="153"/>
  <c r="BU211" i="153"/>
  <c r="BU238" i="153"/>
  <c r="BL211" i="153"/>
  <c r="BL238" i="153"/>
  <c r="BX205" i="153"/>
  <c r="BX203" i="153"/>
  <c r="BX213" i="153"/>
  <c r="AW315" i="99"/>
  <c r="BX334" i="153"/>
  <c r="BX338" i="153"/>
  <c r="BX344" i="153" s="1"/>
  <c r="BX43" i="153" s="1"/>
  <c r="BM219" i="153"/>
  <c r="BM282" i="153"/>
  <c r="BM211" i="153"/>
  <c r="BM238" i="153"/>
  <c r="BJ211" i="153"/>
  <c r="BJ238" i="153"/>
  <c r="BP219" i="153"/>
  <c r="BP282" i="153"/>
  <c r="BU271" i="99"/>
  <c r="BP238" i="153"/>
  <c r="BP211" i="153"/>
  <c r="BW334" i="153"/>
  <c r="BW338" i="153"/>
  <c r="BW344" i="153" s="1"/>
  <c r="BW43" i="153" s="1"/>
  <c r="BQ211" i="153"/>
  <c r="BQ238" i="153"/>
  <c r="BJ282" i="153"/>
  <c r="BJ219" i="153"/>
  <c r="BE315" i="99"/>
  <c r="AX271" i="99"/>
  <c r="BU267" i="99"/>
  <c r="BJ246" i="99"/>
  <c r="BJ290" i="99"/>
  <c r="BJ298" i="99" s="1"/>
  <c r="BO246" i="99"/>
  <c r="BE255" i="99"/>
  <c r="AT315" i="99"/>
  <c r="AT299" i="99"/>
  <c r="BQ290" i="99"/>
  <c r="BQ306" i="99" s="1"/>
  <c r="BQ246" i="99"/>
  <c r="AU299" i="99"/>
  <c r="AU263" i="99"/>
  <c r="BD315" i="99"/>
  <c r="BK246" i="99"/>
  <c r="AU307" i="99"/>
  <c r="BD299" i="99"/>
  <c r="BK290" i="99"/>
  <c r="BK306" i="99" s="1"/>
  <c r="BS246" i="99"/>
  <c r="BM290" i="99"/>
  <c r="BM298" i="99" s="1"/>
  <c r="BT246" i="99"/>
  <c r="BL246" i="99"/>
  <c r="BT290" i="99"/>
  <c r="BT314" i="99" s="1"/>
  <c r="BL290" i="99"/>
  <c r="BL314" i="99" s="1"/>
  <c r="BN290" i="99"/>
  <c r="BN298" i="99" s="1"/>
  <c r="AZ271" i="99"/>
  <c r="AT271" i="99"/>
  <c r="BU316" i="99"/>
  <c r="BU315" i="99"/>
  <c r="T246" i="99"/>
  <c r="T244" i="99"/>
  <c r="AZ299" i="99"/>
  <c r="BN339" i="99"/>
  <c r="BK214" i="99"/>
  <c r="BK206" i="99"/>
  <c r="BK339" i="99"/>
  <c r="AY255" i="99"/>
  <c r="AY464" i="99"/>
  <c r="AB45" i="99"/>
  <c r="AB110" i="103" s="1"/>
  <c r="AB108" i="99"/>
  <c r="BO206" i="99"/>
  <c r="BO214" i="99"/>
  <c r="AF282" i="99"/>
  <c r="AF219" i="99"/>
  <c r="BQ247" i="99"/>
  <c r="BC328" i="99"/>
  <c r="BC197" i="99"/>
  <c r="BC191" i="99"/>
  <c r="BD328" i="99"/>
  <c r="BD197" i="99"/>
  <c r="BE328" i="99"/>
  <c r="BE197" i="99"/>
  <c r="AT255" i="99"/>
  <c r="AT464" i="99"/>
  <c r="BW328" i="99"/>
  <c r="BW197" i="99"/>
  <c r="BO339" i="99"/>
  <c r="AF238" i="99"/>
  <c r="AF211" i="99"/>
  <c r="BQ291" i="99"/>
  <c r="BQ307" i="99" s="1"/>
  <c r="BC271" i="99"/>
  <c r="BC464" i="99"/>
  <c r="U110" i="99"/>
  <c r="Q52" i="105"/>
  <c r="L24" i="151" s="1"/>
  <c r="U290" i="99"/>
  <c r="U296" i="99" s="1"/>
  <c r="U288" i="99"/>
  <c r="Z238" i="99"/>
  <c r="Z211" i="99"/>
  <c r="BV251" i="99"/>
  <c r="BL339" i="99"/>
  <c r="AA108" i="99"/>
  <c r="AA45" i="99"/>
  <c r="AA110" i="103" s="1"/>
  <c r="BB255" i="99"/>
  <c r="BU256" i="99"/>
  <c r="BU465" i="99"/>
  <c r="BA197" i="99"/>
  <c r="BA328" i="99"/>
  <c r="BA191" i="99"/>
  <c r="Z282" i="99"/>
  <c r="Z219" i="99"/>
  <c r="S246" i="99"/>
  <c r="S244" i="99"/>
  <c r="S290" i="99"/>
  <c r="S296" i="99" s="1"/>
  <c r="S288" i="99"/>
  <c r="BV295" i="99"/>
  <c r="BV303" i="99" s="1"/>
  <c r="BL214" i="99"/>
  <c r="BL206" i="99"/>
  <c r="X238" i="99"/>
  <c r="X211" i="99"/>
  <c r="AD45" i="99"/>
  <c r="AD110" i="103" s="1"/>
  <c r="AD108" i="99"/>
  <c r="BB263" i="99"/>
  <c r="Y45" i="99"/>
  <c r="Y110" i="103" s="1"/>
  <c r="Y108" i="99"/>
  <c r="X282" i="99"/>
  <c r="X219" i="99"/>
  <c r="W238" i="99"/>
  <c r="W211" i="99"/>
  <c r="AZ255" i="99"/>
  <c r="AZ464" i="99"/>
  <c r="BW209" i="99"/>
  <c r="BW242" i="99" s="1"/>
  <c r="BW217" i="99"/>
  <c r="BW286" i="99" s="1"/>
  <c r="AW197" i="99"/>
  <c r="AW328" i="99"/>
  <c r="AW191" i="99"/>
  <c r="AG238" i="99"/>
  <c r="AG211" i="99"/>
  <c r="BU307" i="99"/>
  <c r="BI214" i="99"/>
  <c r="BI206" i="99"/>
  <c r="AC238" i="99"/>
  <c r="AC211" i="99"/>
  <c r="AC108" i="99"/>
  <c r="AC45" i="99"/>
  <c r="AC110" i="103" s="1"/>
  <c r="AC43" i="103"/>
  <c r="AC45" i="103" s="1"/>
  <c r="AA282" i="99"/>
  <c r="AA219" i="99"/>
  <c r="AW271" i="99"/>
  <c r="AW464" i="99"/>
  <c r="T290" i="99"/>
  <c r="T306" i="99" s="1"/>
  <c r="T312" i="99" s="1"/>
  <c r="T33" i="99" s="1"/>
  <c r="T288" i="99"/>
  <c r="W282" i="99"/>
  <c r="W219" i="99"/>
  <c r="BB464" i="99"/>
  <c r="AT328" i="99"/>
  <c r="AT197" i="99"/>
  <c r="AT191" i="99"/>
  <c r="AJ338" i="99"/>
  <c r="AJ344" i="99" s="1"/>
  <c r="AJ43" i="99" s="1"/>
  <c r="AJ108" i="103" s="1"/>
  <c r="AJ334" i="99"/>
  <c r="AG282" i="99"/>
  <c r="AG219" i="99"/>
  <c r="BI339" i="99"/>
  <c r="AC282" i="99"/>
  <c r="AC219" i="99"/>
  <c r="AV255" i="99"/>
  <c r="AV464" i="99"/>
  <c r="AA238" i="99"/>
  <c r="AA211" i="99"/>
  <c r="AJ205" i="99"/>
  <c r="AJ213" i="99"/>
  <c r="AJ203" i="99"/>
  <c r="R52" i="105"/>
  <c r="M24" i="151" s="1"/>
  <c r="AF45" i="99"/>
  <c r="AF110" i="103" s="1"/>
  <c r="AF108" i="99"/>
  <c r="AF43" i="103"/>
  <c r="AF45" i="103" s="1"/>
  <c r="BU275" i="99"/>
  <c r="BU468" i="99"/>
  <c r="R45" i="103"/>
  <c r="AQ213" i="99"/>
  <c r="AQ205" i="99"/>
  <c r="AQ203" i="99"/>
  <c r="AP338" i="99"/>
  <c r="AP344" i="99" s="1"/>
  <c r="AP43" i="99" s="1"/>
  <c r="AP108" i="103" s="1"/>
  <c r="AP334" i="99"/>
  <c r="AN338" i="99"/>
  <c r="AN344" i="99" s="1"/>
  <c r="AN43" i="99" s="1"/>
  <c r="AN108" i="103" s="1"/>
  <c r="AN334" i="99"/>
  <c r="V282" i="99"/>
  <c r="V219" i="99"/>
  <c r="AH213" i="99"/>
  <c r="AH205" i="99"/>
  <c r="AH203" i="99"/>
  <c r="S52" i="105"/>
  <c r="N24" i="151" s="1"/>
  <c r="U48" i="105"/>
  <c r="U246" i="99"/>
  <c r="U244" i="99"/>
  <c r="BF339" i="99"/>
  <c r="AQ338" i="99"/>
  <c r="AQ344" i="99" s="1"/>
  <c r="AQ43" i="99" s="1"/>
  <c r="AQ108" i="103" s="1"/>
  <c r="AQ334" i="99"/>
  <c r="AP205" i="99"/>
  <c r="AP213" i="99"/>
  <c r="AP203" i="99"/>
  <c r="AN213" i="99"/>
  <c r="AN205" i="99"/>
  <c r="AN203" i="99"/>
  <c r="V238" i="99"/>
  <c r="V211" i="99"/>
  <c r="BP247" i="99"/>
  <c r="R110" i="99"/>
  <c r="AH338" i="99"/>
  <c r="AH344" i="99" s="1"/>
  <c r="AH43" i="99" s="1"/>
  <c r="AH108" i="103" s="1"/>
  <c r="AH334" i="99"/>
  <c r="BF206" i="99"/>
  <c r="BF214" i="99"/>
  <c r="BV291" i="99"/>
  <c r="BV307" i="99" s="1"/>
  <c r="X45" i="99"/>
  <c r="X110" i="103" s="1"/>
  <c r="X108" i="99"/>
  <c r="X43" i="103"/>
  <c r="X45" i="103" s="1"/>
  <c r="BP291" i="99"/>
  <c r="BP307" i="99" s="1"/>
  <c r="BU311" i="99"/>
  <c r="BU308" i="99"/>
  <c r="BE299" i="99"/>
  <c r="BH206" i="99"/>
  <c r="BH214" i="99"/>
  <c r="BV247" i="99"/>
  <c r="AL338" i="99"/>
  <c r="AL344" i="99" s="1"/>
  <c r="AL43" i="99" s="1"/>
  <c r="AL108" i="103" s="1"/>
  <c r="AL334" i="99"/>
  <c r="V45" i="99"/>
  <c r="V110" i="103" s="1"/>
  <c r="V108" i="99"/>
  <c r="V43" i="103"/>
  <c r="V45" i="103" s="1"/>
  <c r="BD271" i="99"/>
  <c r="BD464" i="99"/>
  <c r="AI213" i="99"/>
  <c r="AI205" i="99"/>
  <c r="AI203" i="99"/>
  <c r="BB197" i="99"/>
  <c r="BB328" i="99"/>
  <c r="BB191" i="99"/>
  <c r="BE271" i="99"/>
  <c r="BE464" i="99"/>
  <c r="BH339" i="99"/>
  <c r="BM339" i="99"/>
  <c r="AL205" i="99"/>
  <c r="AL213" i="99"/>
  <c r="AL203" i="99"/>
  <c r="AI338" i="99"/>
  <c r="AI344" i="99" s="1"/>
  <c r="AI43" i="99" s="1"/>
  <c r="AI108" i="103" s="1"/>
  <c r="AI334" i="99"/>
  <c r="BW210" i="99"/>
  <c r="BW243" i="99" s="1"/>
  <c r="BW218" i="99"/>
  <c r="BW287" i="99" s="1"/>
  <c r="AK205" i="99"/>
  <c r="AK213" i="99"/>
  <c r="AK203" i="99"/>
  <c r="BU263" i="99"/>
  <c r="BU464" i="99"/>
  <c r="AZ328" i="99"/>
  <c r="AZ197" i="99"/>
  <c r="AZ191" i="99"/>
  <c r="BM214" i="99"/>
  <c r="BM206" i="99"/>
  <c r="T110" i="99"/>
  <c r="BJ214" i="99"/>
  <c r="BJ206" i="99"/>
  <c r="W45" i="99"/>
  <c r="W110" i="103" s="1"/>
  <c r="W108" i="99"/>
  <c r="W43" i="103"/>
  <c r="W45" i="103" s="1"/>
  <c r="AG108" i="99"/>
  <c r="AG45" i="99"/>
  <c r="AG110" i="103" s="1"/>
  <c r="AK338" i="99"/>
  <c r="AK344" i="99" s="1"/>
  <c r="AK43" i="99" s="1"/>
  <c r="AK108" i="103" s="1"/>
  <c r="AK334" i="99"/>
  <c r="R288" i="99"/>
  <c r="R290" i="99"/>
  <c r="R296" i="99" s="1"/>
  <c r="AE282" i="99"/>
  <c r="AE219" i="99"/>
  <c r="BG214" i="99"/>
  <c r="BG206" i="99"/>
  <c r="BJ339" i="99"/>
  <c r="BW207" i="99"/>
  <c r="BW240" i="99" s="1"/>
  <c r="BW215" i="99"/>
  <c r="BW284" i="99" s="1"/>
  <c r="AU197" i="99"/>
  <c r="AU328" i="99"/>
  <c r="AU191" i="99"/>
  <c r="AO338" i="99"/>
  <c r="AO344" i="99" s="1"/>
  <c r="AO43" i="99" s="1"/>
  <c r="AO108" i="103" s="1"/>
  <c r="AO334" i="99"/>
  <c r="BY182" i="99"/>
  <c r="BY190" i="99" s="1"/>
  <c r="BY616" i="99"/>
  <c r="BY179" i="99"/>
  <c r="BY187" i="99" s="1"/>
  <c r="BY178" i="99"/>
  <c r="BY186" i="99" s="1"/>
  <c r="BY177" i="99"/>
  <c r="BY181" i="99"/>
  <c r="BY189" i="99" s="1"/>
  <c r="AR338" i="99"/>
  <c r="AE238" i="99"/>
  <c r="AE211" i="99"/>
  <c r="BG339" i="99"/>
  <c r="AM213" i="99"/>
  <c r="AM205" i="99"/>
  <c r="AM203" i="99"/>
  <c r="AS338" i="99"/>
  <c r="BV248" i="99"/>
  <c r="AX263" i="99"/>
  <c r="AX464" i="99"/>
  <c r="AU255" i="99"/>
  <c r="AU464" i="99"/>
  <c r="AO205" i="99"/>
  <c r="AO213" i="99"/>
  <c r="AO203" i="99"/>
  <c r="Z45" i="99"/>
  <c r="Z110" i="103" s="1"/>
  <c r="Z108" i="99"/>
  <c r="AR213" i="99"/>
  <c r="AR205" i="99"/>
  <c r="BX178" i="99"/>
  <c r="BX186" i="99" s="1"/>
  <c r="BX177" i="99"/>
  <c r="BX181" i="99"/>
  <c r="BX189" i="99" s="1"/>
  <c r="BX179" i="99"/>
  <c r="BX187" i="99" s="1"/>
  <c r="BX616" i="99"/>
  <c r="BX182" i="99"/>
  <c r="BX190" i="99" s="1"/>
  <c r="AM338" i="99"/>
  <c r="AM344" i="99" s="1"/>
  <c r="AM43" i="99" s="1"/>
  <c r="AM108" i="103" s="1"/>
  <c r="AM334" i="99"/>
  <c r="AS213" i="99"/>
  <c r="AS205" i="99"/>
  <c r="BV292" i="99"/>
  <c r="BV316" i="99" s="1"/>
  <c r="AB238" i="99"/>
  <c r="AB211" i="99"/>
  <c r="BC315" i="99"/>
  <c r="BY619" i="99"/>
  <c r="BY620" i="99" s="1"/>
  <c r="BY556" i="99"/>
  <c r="S110" i="99"/>
  <c r="BX619" i="99"/>
  <c r="BX620" i="99" s="1"/>
  <c r="BX556" i="99"/>
  <c r="BA271" i="99"/>
  <c r="BA464" i="99"/>
  <c r="AB282" i="99"/>
  <c r="AB219" i="99"/>
  <c r="AV197" i="99"/>
  <c r="AV328" i="99"/>
  <c r="AV191" i="99"/>
  <c r="Y282" i="99"/>
  <c r="Y219" i="99"/>
  <c r="AY197" i="99"/>
  <c r="AY328" i="99"/>
  <c r="AY191" i="99"/>
  <c r="R246" i="99"/>
  <c r="BX623" i="99"/>
  <c r="N559" i="99"/>
  <c r="N561" i="99" s="1"/>
  <c r="N567" i="99" s="1"/>
  <c r="AY307" i="99"/>
  <c r="AD282" i="99"/>
  <c r="AD219" i="99"/>
  <c r="BA315" i="99"/>
  <c r="AX315" i="99"/>
  <c r="Y238" i="99"/>
  <c r="Y211" i="99"/>
  <c r="AD238" i="99"/>
  <c r="AD211" i="99"/>
  <c r="AZ315" i="99"/>
  <c r="AX307" i="99"/>
  <c r="AX197" i="99"/>
  <c r="AX328" i="99"/>
  <c r="AX191" i="99"/>
  <c r="BN206" i="99"/>
  <c r="BN214" i="99"/>
  <c r="AE45" i="99"/>
  <c r="AE110" i="103" s="1"/>
  <c r="AE108" i="99"/>
  <c r="AY263" i="99"/>
  <c r="BW214" i="99"/>
  <c r="BW283" i="99" s="1"/>
  <c r="BW206" i="99"/>
  <c r="BW239" i="99" s="1"/>
  <c r="BG318" i="99"/>
  <c r="BB302" i="99"/>
  <c r="BE274" i="99"/>
  <c r="BD318" i="99"/>
  <c r="BC258" i="99"/>
  <c r="AX266" i="99"/>
  <c r="AY258" i="99"/>
  <c r="AX274" i="99"/>
  <c r="BA302" i="99"/>
  <c r="BB258" i="99"/>
  <c r="BD266" i="99"/>
  <c r="AX310" i="99"/>
  <c r="BH266" i="99"/>
  <c r="AZ310" i="99"/>
  <c r="BA258" i="99"/>
  <c r="BH318" i="99"/>
  <c r="BG258" i="99"/>
  <c r="AY310" i="99"/>
  <c r="BF266" i="99"/>
  <c r="BC302" i="99"/>
  <c r="BP250" i="99"/>
  <c r="BF310" i="99"/>
  <c r="BM250" i="99"/>
  <c r="BG274" i="99"/>
  <c r="BG467" i="99"/>
  <c r="BM294" i="99"/>
  <c r="BM310" i="99" s="1"/>
  <c r="BQ294" i="99"/>
  <c r="BQ310" i="99" s="1"/>
  <c r="BH310" i="99"/>
  <c r="BB274" i="99"/>
  <c r="BB467" i="99"/>
  <c r="BL250" i="99"/>
  <c r="BF274" i="99"/>
  <c r="BF467" i="99"/>
  <c r="BE258" i="99"/>
  <c r="BE467" i="99"/>
  <c r="BI294" i="99"/>
  <c r="BI318" i="99" s="1"/>
  <c r="AY318" i="99"/>
  <c r="BC266" i="99"/>
  <c r="BC467" i="99"/>
  <c r="BV286" i="99"/>
  <c r="BD274" i="99"/>
  <c r="BD467" i="99"/>
  <c r="BI250" i="99"/>
  <c r="BG310" i="99"/>
  <c r="BA266" i="99"/>
  <c r="BA467" i="99"/>
  <c r="AX467" i="99"/>
  <c r="BD310" i="99"/>
  <c r="BH258" i="99"/>
  <c r="BH467" i="99"/>
  <c r="BK294" i="99"/>
  <c r="BK310" i="99" s="1"/>
  <c r="BO250" i="99"/>
  <c r="BQ250" i="99"/>
  <c r="BC310" i="99"/>
  <c r="AZ266" i="99"/>
  <c r="BB318" i="99"/>
  <c r="BN294" i="99"/>
  <c r="BN318" i="99" s="1"/>
  <c r="BU242" i="99"/>
  <c r="BF302" i="99"/>
  <c r="BJ250" i="99"/>
  <c r="BR250" i="99"/>
  <c r="BP294" i="99"/>
  <c r="BP302" i="99" s="1"/>
  <c r="AZ467" i="99"/>
  <c r="BE302" i="99"/>
  <c r="BN250" i="99"/>
  <c r="AZ318" i="99"/>
  <c r="AX302" i="99"/>
  <c r="BA318" i="99"/>
  <c r="BJ294" i="99"/>
  <c r="BJ302" i="99" s="1"/>
  <c r="BO294" i="99"/>
  <c r="BO310" i="99" s="1"/>
  <c r="BL294" i="99"/>
  <c r="BL318" i="99" s="1"/>
  <c r="BU286" i="99"/>
  <c r="AY274" i="99"/>
  <c r="AY467" i="99"/>
  <c r="AZ258" i="99"/>
  <c r="BF318" i="99"/>
  <c r="BE310" i="99"/>
  <c r="BV254" i="99"/>
  <c r="BV270" i="99"/>
  <c r="BV298" i="99"/>
  <c r="BV314" i="99"/>
  <c r="BV306" i="99"/>
  <c r="BV463" i="99"/>
  <c r="U59" i="105"/>
  <c r="L146" i="154" l="1"/>
  <c r="L147" i="154"/>
  <c r="BJ147" i="154"/>
  <c r="E81" i="294"/>
  <c r="BJ145" i="154"/>
  <c r="BJ146" i="154"/>
  <c r="BY147" i="154"/>
  <c r="AD99" i="155"/>
  <c r="BJ148" i="154"/>
  <c r="L45" i="155"/>
  <c r="L110" i="155" s="1"/>
  <c r="M19" i="154"/>
  <c r="M84" i="154" s="1"/>
  <c r="W36" i="155"/>
  <c r="W37" i="155" s="1"/>
  <c r="V36" i="155"/>
  <c r="V101" i="155" s="1"/>
  <c r="V102" i="155" s="1"/>
  <c r="BY148" i="154"/>
  <c r="BY145" i="154"/>
  <c r="AF36" i="155"/>
  <c r="AF101" i="155" s="1"/>
  <c r="AF102" i="155" s="1"/>
  <c r="N43" i="153"/>
  <c r="N108" i="153" s="1"/>
  <c r="P108" i="153" s="1"/>
  <c r="AQ34" i="155"/>
  <c r="AQ99" i="155" s="1"/>
  <c r="AS34" i="155"/>
  <c r="AS99" i="155" s="1"/>
  <c r="K22" i="155"/>
  <c r="K87" i="155" s="1"/>
  <c r="K45" i="153"/>
  <c r="K110" i="153" s="1"/>
  <c r="AR34" i="155"/>
  <c r="AR99" i="155" s="1"/>
  <c r="R96" i="153"/>
  <c r="R34" i="153"/>
  <c r="N87" i="154"/>
  <c r="P87" i="154" s="1"/>
  <c r="P22" i="154"/>
  <c r="R100" i="153"/>
  <c r="BP90" i="154"/>
  <c r="BP27" i="154"/>
  <c r="AA19" i="155"/>
  <c r="AA84" i="155" s="1"/>
  <c r="BV45" i="155"/>
  <c r="BV110" i="155" s="1"/>
  <c r="BV108" i="155"/>
  <c r="AD84" i="155"/>
  <c r="BE96" i="155"/>
  <c r="X19" i="155"/>
  <c r="X84" i="155" s="1"/>
  <c r="AP89" i="155"/>
  <c r="Z19" i="155"/>
  <c r="Z84" i="155" s="1"/>
  <c r="Z90" i="155"/>
  <c r="Z27" i="155"/>
  <c r="BY101" i="154"/>
  <c r="BY102" i="154" s="1"/>
  <c r="BY37" i="154"/>
  <c r="BD104" i="154"/>
  <c r="BD105" i="154" s="1"/>
  <c r="BD54" i="154"/>
  <c r="BD40" i="154"/>
  <c r="BX108" i="155"/>
  <c r="BX45" i="155"/>
  <c r="BX110" i="155" s="1"/>
  <c r="X87" i="153"/>
  <c r="X25" i="153"/>
  <c r="AJ96" i="155"/>
  <c r="AJ34" i="155"/>
  <c r="BD96" i="155"/>
  <c r="AP91" i="155"/>
  <c r="Y19" i="155"/>
  <c r="Y84" i="155" s="1"/>
  <c r="N96" i="154"/>
  <c r="P96" i="154" s="1"/>
  <c r="P31" i="154"/>
  <c r="AF90" i="155"/>
  <c r="AF27" i="155"/>
  <c r="K26" i="155"/>
  <c r="K91" i="155" s="1"/>
  <c r="K35" i="155"/>
  <c r="K100" i="155" s="1"/>
  <c r="V34" i="153"/>
  <c r="V90" i="155"/>
  <c r="V27" i="155"/>
  <c r="J25" i="155"/>
  <c r="J90" i="155" s="1"/>
  <c r="BI104" i="154"/>
  <c r="BI105" i="154" s="1"/>
  <c r="BI40" i="154"/>
  <c r="BI54" i="154"/>
  <c r="K24" i="155"/>
  <c r="K89" i="155" s="1"/>
  <c r="BE104" i="154"/>
  <c r="BE105" i="154" s="1"/>
  <c r="BE54" i="154"/>
  <c r="BE40" i="154"/>
  <c r="BT108" i="153"/>
  <c r="BT45" i="153"/>
  <c r="BT110" i="153" s="1"/>
  <c r="R88" i="153"/>
  <c r="BP99" i="154"/>
  <c r="BP36" i="154"/>
  <c r="N34" i="154"/>
  <c r="AG99" i="155"/>
  <c r="AG36" i="155"/>
  <c r="AC19" i="155"/>
  <c r="AC84" i="155" s="1"/>
  <c r="AI90" i="155"/>
  <c r="AI27" i="155"/>
  <c r="AE90" i="155"/>
  <c r="AE27" i="155"/>
  <c r="T34" i="153"/>
  <c r="K32" i="155"/>
  <c r="K97" i="155" s="1"/>
  <c r="AM34" i="155"/>
  <c r="X99" i="155"/>
  <c r="X36" i="155"/>
  <c r="BX99" i="154"/>
  <c r="BX36" i="154"/>
  <c r="N97" i="154"/>
  <c r="P97" i="154" s="1"/>
  <c r="P32" i="154"/>
  <c r="N43" i="155"/>
  <c r="AE99" i="155"/>
  <c r="AE36" i="155"/>
  <c r="BY108" i="153"/>
  <c r="BY45" i="153"/>
  <c r="BY110" i="153" s="1"/>
  <c r="AO96" i="155"/>
  <c r="AO34" i="155"/>
  <c r="BB96" i="155"/>
  <c r="AP97" i="155"/>
  <c r="N23" i="154"/>
  <c r="Y90" i="155"/>
  <c r="Y27" i="155"/>
  <c r="BS99" i="154"/>
  <c r="BS36" i="154"/>
  <c r="N100" i="154"/>
  <c r="P100" i="154" s="1"/>
  <c r="P35" i="154"/>
  <c r="K23" i="155"/>
  <c r="K88" i="155" s="1"/>
  <c r="AK99" i="155"/>
  <c r="AK36" i="155"/>
  <c r="BG54" i="154"/>
  <c r="BG104" i="154"/>
  <c r="BG105" i="154" s="1"/>
  <c r="BG40" i="154"/>
  <c r="AK19" i="155"/>
  <c r="AK84" i="155" s="1"/>
  <c r="BU99" i="154"/>
  <c r="BU36" i="154"/>
  <c r="N19" i="154"/>
  <c r="N148" i="154" s="1"/>
  <c r="BX25" i="154"/>
  <c r="BU90" i="154"/>
  <c r="BU27" i="154"/>
  <c r="AA99" i="155"/>
  <c r="AA36" i="155"/>
  <c r="AI99" i="155"/>
  <c r="AI36" i="155"/>
  <c r="BR99" i="154"/>
  <c r="BR36" i="154"/>
  <c r="BN110" i="155"/>
  <c r="BY92" i="154"/>
  <c r="BY93" i="154" s="1"/>
  <c r="BY39" i="154"/>
  <c r="BY28" i="154"/>
  <c r="BT90" i="154"/>
  <c r="BT27" i="154"/>
  <c r="AH99" i="155"/>
  <c r="AH36" i="155"/>
  <c r="AD90" i="155"/>
  <c r="AD27" i="155"/>
  <c r="BV25" i="154"/>
  <c r="S87" i="153"/>
  <c r="S25" i="153"/>
  <c r="AV96" i="155"/>
  <c r="AV34" i="155"/>
  <c r="BC96" i="155"/>
  <c r="BB108" i="153"/>
  <c r="BB45" i="153"/>
  <c r="M43" i="153"/>
  <c r="M108" i="153" s="1"/>
  <c r="Y96" i="153"/>
  <c r="Y34" i="153"/>
  <c r="BK101" i="154"/>
  <c r="BK102" i="154" s="1"/>
  <c r="BK37" i="154"/>
  <c r="M69" i="154"/>
  <c r="M134" i="154" s="1"/>
  <c r="BN110" i="153"/>
  <c r="BW99" i="154"/>
  <c r="BW36" i="154"/>
  <c r="AZ104" i="154"/>
  <c r="AZ105" i="154" s="1"/>
  <c r="AZ40" i="154"/>
  <c r="AZ54" i="154"/>
  <c r="Y87" i="153"/>
  <c r="AO87" i="155"/>
  <c r="AO25" i="155"/>
  <c r="AI96" i="153"/>
  <c r="AX108" i="153"/>
  <c r="AX45" i="153"/>
  <c r="AX110" i="153" s="1"/>
  <c r="AR87" i="155"/>
  <c r="AR25" i="155"/>
  <c r="W90" i="155"/>
  <c r="W27" i="155"/>
  <c r="BY146" i="154"/>
  <c r="X90" i="155"/>
  <c r="X27" i="155"/>
  <c r="AC99" i="155"/>
  <c r="AC36" i="155"/>
  <c r="BS90" i="154"/>
  <c r="BS27" i="154"/>
  <c r="BS108" i="155"/>
  <c r="BS45" i="155"/>
  <c r="BS110" i="155" s="1"/>
  <c r="R87" i="153"/>
  <c r="R25" i="153"/>
  <c r="R91" i="153"/>
  <c r="K33" i="155"/>
  <c r="K98" i="155" s="1"/>
  <c r="AG90" i="155"/>
  <c r="AG27" i="155"/>
  <c r="BW25" i="154"/>
  <c r="S96" i="153"/>
  <c r="S34" i="153"/>
  <c r="AW34" i="155"/>
  <c r="BD108" i="153"/>
  <c r="BD45" i="153"/>
  <c r="BD110" i="153" s="1"/>
  <c r="BE108" i="153"/>
  <c r="BE45" i="153"/>
  <c r="BE110" i="153" s="1"/>
  <c r="AM87" i="155"/>
  <c r="AM25" i="155"/>
  <c r="AX96" i="155"/>
  <c r="AN87" i="155"/>
  <c r="AN25" i="155"/>
  <c r="BF96" i="155"/>
  <c r="BI108" i="153"/>
  <c r="BI45" i="153"/>
  <c r="BI110" i="153" s="1"/>
  <c r="BF45" i="153"/>
  <c r="BF110" i="153" s="1"/>
  <c r="BF108" i="153"/>
  <c r="AL87" i="155"/>
  <c r="AL25" i="155"/>
  <c r="AY40" i="154"/>
  <c r="AY104" i="154"/>
  <c r="AY105" i="154" s="1"/>
  <c r="AY54" i="154"/>
  <c r="M36" i="154"/>
  <c r="AP34" i="155"/>
  <c r="BJ92" i="154"/>
  <c r="BJ93" i="154" s="1"/>
  <c r="BJ39" i="154"/>
  <c r="BJ28" i="154"/>
  <c r="BL101" i="154"/>
  <c r="BL102" i="154" s="1"/>
  <c r="BL37" i="154"/>
  <c r="BT99" i="154"/>
  <c r="BT36" i="154"/>
  <c r="AP100" i="155"/>
  <c r="AV87" i="155"/>
  <c r="AV25" i="155"/>
  <c r="BL90" i="154"/>
  <c r="BL27" i="154"/>
  <c r="X34" i="153"/>
  <c r="U34" i="153"/>
  <c r="L92" i="154"/>
  <c r="L93" i="154" s="1"/>
  <c r="L28" i="154"/>
  <c r="BN104" i="154"/>
  <c r="BN105" i="154" s="1"/>
  <c r="BN54" i="154"/>
  <c r="BN40" i="154"/>
  <c r="AA90" i="155"/>
  <c r="AA27" i="155"/>
  <c r="AK90" i="155"/>
  <c r="AK27" i="155"/>
  <c r="BK92" i="154"/>
  <c r="BK93" i="154" s="1"/>
  <c r="BK39" i="154"/>
  <c r="BK28" i="154"/>
  <c r="AY108" i="153"/>
  <c r="AY45" i="153"/>
  <c r="AY110" i="153" s="1"/>
  <c r="R89" i="153"/>
  <c r="BS108" i="153"/>
  <c r="BS45" i="153"/>
  <c r="BS110" i="153" s="1"/>
  <c r="AI19" i="155"/>
  <c r="AI84" i="155" s="1"/>
  <c r="AL96" i="155"/>
  <c r="AL34" i="155"/>
  <c r="AP98" i="155"/>
  <c r="AS87" i="155"/>
  <c r="AS25" i="155"/>
  <c r="AT34" i="155"/>
  <c r="BB104" i="154"/>
  <c r="BB105" i="154" s="1"/>
  <c r="BB54" i="154"/>
  <c r="BB40" i="154"/>
  <c r="BQ101" i="154"/>
  <c r="BQ102" i="154" s="1"/>
  <c r="BQ37" i="154"/>
  <c r="Y99" i="155"/>
  <c r="Y36" i="155"/>
  <c r="BR90" i="154"/>
  <c r="BR27" i="154"/>
  <c r="AD101" i="155"/>
  <c r="AD102" i="155" s="1"/>
  <c r="AD37" i="155"/>
  <c r="BA108" i="153"/>
  <c r="BA45" i="153"/>
  <c r="BA110" i="153" s="1"/>
  <c r="AT87" i="155"/>
  <c r="AT25" i="155"/>
  <c r="BX108" i="153"/>
  <c r="BX45" i="153"/>
  <c r="BX110" i="153" s="1"/>
  <c r="AZ108" i="153"/>
  <c r="AZ45" i="153"/>
  <c r="AZ110" i="153" s="1"/>
  <c r="W87" i="153"/>
  <c r="W25" i="153"/>
  <c r="V87" i="153"/>
  <c r="V25" i="153"/>
  <c r="AQ87" i="155"/>
  <c r="AQ25" i="155"/>
  <c r="W19" i="155"/>
  <c r="W84" i="155" s="1"/>
  <c r="AP88" i="155"/>
  <c r="L101" i="154"/>
  <c r="L102" i="154" s="1"/>
  <c r="L37" i="154"/>
  <c r="N89" i="154"/>
  <c r="P89" i="154" s="1"/>
  <c r="P24" i="154"/>
  <c r="AP110" i="153"/>
  <c r="AX104" i="154"/>
  <c r="AX105" i="154" s="1"/>
  <c r="AX54" i="154"/>
  <c r="AX40" i="154"/>
  <c r="L39" i="154"/>
  <c r="BM104" i="154"/>
  <c r="BM105" i="154" s="1"/>
  <c r="BM54" i="154"/>
  <c r="BM40" i="154"/>
  <c r="V134" i="155"/>
  <c r="BY108" i="155"/>
  <c r="BY45" i="155"/>
  <c r="BY110" i="155" s="1"/>
  <c r="BW108" i="155"/>
  <c r="BW45" i="155"/>
  <c r="BW110" i="155" s="1"/>
  <c r="BH108" i="153"/>
  <c r="BH45" i="153"/>
  <c r="BH110" i="153" s="1"/>
  <c r="BF104" i="154"/>
  <c r="BF105" i="154" s="1"/>
  <c r="BF40" i="154"/>
  <c r="BF54" i="154"/>
  <c r="AC90" i="155"/>
  <c r="AC27" i="155"/>
  <c r="W34" i="153"/>
  <c r="BO104" i="154"/>
  <c r="BO105" i="154" s="1"/>
  <c r="BO54" i="154"/>
  <c r="BO40" i="154"/>
  <c r="K31" i="155"/>
  <c r="K96" i="155" s="1"/>
  <c r="L84" i="154"/>
  <c r="L148" i="154"/>
  <c r="L43" i="153"/>
  <c r="L108" i="153" s="1"/>
  <c r="J34" i="155"/>
  <c r="J99" i="155" s="1"/>
  <c r="AH90" i="155"/>
  <c r="AH27" i="155"/>
  <c r="U25" i="153"/>
  <c r="U87" i="153"/>
  <c r="BC108" i="153"/>
  <c r="BC45" i="153"/>
  <c r="BC110" i="153" s="1"/>
  <c r="BG108" i="153"/>
  <c r="BG45" i="153"/>
  <c r="BG110" i="153" s="1"/>
  <c r="BQ108" i="153"/>
  <c r="BQ45" i="153"/>
  <c r="BQ110" i="153" s="1"/>
  <c r="BV108" i="153"/>
  <c r="BV45" i="153"/>
  <c r="BV110" i="153" s="1"/>
  <c r="BW108" i="153"/>
  <c r="BW45" i="153"/>
  <c r="BW110" i="153" s="1"/>
  <c r="T87" i="153"/>
  <c r="T25" i="153"/>
  <c r="R98" i="153"/>
  <c r="AP87" i="155"/>
  <c r="AP25" i="155"/>
  <c r="AZ96" i="155"/>
  <c r="AJ87" i="155"/>
  <c r="AJ25" i="155"/>
  <c r="V84" i="155"/>
  <c r="BC54" i="154"/>
  <c r="BC104" i="154"/>
  <c r="BC105" i="154" s="1"/>
  <c r="BC40" i="154"/>
  <c r="N91" i="154"/>
  <c r="P91" i="154" s="1"/>
  <c r="P26" i="154"/>
  <c r="BQ39" i="154"/>
  <c r="BQ92" i="154"/>
  <c r="BQ93" i="154" s="1"/>
  <c r="BQ28" i="154"/>
  <c r="BH54" i="154"/>
  <c r="BH104" i="154"/>
  <c r="BH105" i="154" s="1"/>
  <c r="BH40" i="154"/>
  <c r="BV99" i="154"/>
  <c r="BV36" i="154"/>
  <c r="AN96" i="155"/>
  <c r="AN34" i="155"/>
  <c r="AW87" i="155"/>
  <c r="AW25" i="155"/>
  <c r="AB90" i="155"/>
  <c r="AB27" i="155"/>
  <c r="BJ101" i="154"/>
  <c r="BJ102" i="154" s="1"/>
  <c r="BJ37" i="154"/>
  <c r="M45" i="155"/>
  <c r="M110" i="155" s="1"/>
  <c r="Z99" i="155"/>
  <c r="Z36" i="155"/>
  <c r="AB99" i="155"/>
  <c r="AB36" i="155"/>
  <c r="N98" i="154"/>
  <c r="P98" i="154" s="1"/>
  <c r="P33" i="154"/>
  <c r="BA104" i="154"/>
  <c r="BA105" i="154" s="1"/>
  <c r="BA40" i="154"/>
  <c r="BA54" i="154"/>
  <c r="BN331" i="99"/>
  <c r="BN341" i="99" s="1"/>
  <c r="BY180" i="99"/>
  <c r="BY188" i="99" s="1"/>
  <c r="BY331" i="99" s="1"/>
  <c r="BY341" i="99" s="1"/>
  <c r="BV180" i="99"/>
  <c r="BV188" i="99" s="1"/>
  <c r="BX180" i="99"/>
  <c r="BX188" i="99" s="1"/>
  <c r="BX200" i="99" s="1"/>
  <c r="BN191" i="99"/>
  <c r="BM200" i="99"/>
  <c r="BM216" i="99" s="1"/>
  <c r="BM285" i="99" s="1"/>
  <c r="BU180" i="99"/>
  <c r="BU188" i="99" s="1"/>
  <c r="BT180" i="99"/>
  <c r="BT188" i="99" s="1"/>
  <c r="BO331" i="99"/>
  <c r="BO341" i="99" s="1"/>
  <c r="U173" i="99"/>
  <c r="V173" i="99" s="1"/>
  <c r="W173" i="99" s="1"/>
  <c r="BH200" i="99"/>
  <c r="BH216" i="99" s="1"/>
  <c r="BH285" i="99" s="1"/>
  <c r="BM191" i="99"/>
  <c r="BU414" i="99"/>
  <c r="BU453" i="99" s="1" a="1"/>
  <c r="BU453" i="99" s="1"/>
  <c r="BU412" i="99"/>
  <c r="BU451" i="99" s="1" a="1"/>
  <c r="BU451" i="99" s="1"/>
  <c r="BG416" i="99"/>
  <c r="BG455" i="99" s="1" a="1"/>
  <c r="BG455" i="99" s="1"/>
  <c r="AV413" i="99"/>
  <c r="AV452" i="99" s="1" a="1"/>
  <c r="AV452" i="99" s="1"/>
  <c r="BA417" i="99"/>
  <c r="BA456" i="99" s="1" a="1"/>
  <c r="BA456" i="99" s="1"/>
  <c r="AX416" i="99"/>
  <c r="AX455" i="99" s="1" a="1"/>
  <c r="AX455" i="99" s="1"/>
  <c r="BI417" i="99"/>
  <c r="BI456" i="99" s="1" a="1"/>
  <c r="BI456" i="99" s="1"/>
  <c r="BQ414" i="99"/>
  <c r="BQ453" i="99" s="1" a="1"/>
  <c r="BQ453" i="99" s="1"/>
  <c r="BE413" i="99"/>
  <c r="BE452" i="99" s="1" a="1"/>
  <c r="BE452" i="99" s="1"/>
  <c r="BA416" i="99"/>
  <c r="BA455" i="99" s="1" a="1"/>
  <c r="BA455" i="99" s="1"/>
  <c r="BT413" i="99"/>
  <c r="BT452" i="99" s="1" a="1"/>
  <c r="BT452" i="99" s="1"/>
  <c r="BK414" i="99"/>
  <c r="BK453" i="99" s="1" a="1"/>
  <c r="BK453" i="99" s="1"/>
  <c r="Y412" i="153"/>
  <c r="BB417" i="99"/>
  <c r="BB456" i="99" s="1" a="1"/>
  <c r="BB456" i="99" s="1"/>
  <c r="BS414" i="99"/>
  <c r="BS453" i="99" s="1" a="1"/>
  <c r="BS453" i="99" s="1"/>
  <c r="BA413" i="99"/>
  <c r="BA452" i="99" s="1" a="1"/>
  <c r="BA452" i="99" s="1"/>
  <c r="AZ417" i="99"/>
  <c r="AZ456" i="99" s="1" a="1"/>
  <c r="AZ456" i="99" s="1"/>
  <c r="BF416" i="99"/>
  <c r="BF455" i="99" s="1" a="1"/>
  <c r="BF455" i="99" s="1"/>
  <c r="BG417" i="99"/>
  <c r="BG456" i="99" s="1" a="1"/>
  <c r="BG456" i="99" s="1"/>
  <c r="BM414" i="99"/>
  <c r="BM453" i="99" s="1" a="1"/>
  <c r="BM453" i="99" s="1"/>
  <c r="BU413" i="99"/>
  <c r="BU452" i="99" s="1" a="1"/>
  <c r="BU452" i="99" s="1"/>
  <c r="BD416" i="99"/>
  <c r="AY413" i="99"/>
  <c r="AY452" i="99" s="1" a="1"/>
  <c r="AY452" i="99" s="1"/>
  <c r="BO414" i="99"/>
  <c r="BO453" i="99" s="1" a="1"/>
  <c r="BO453" i="99" s="1"/>
  <c r="AK416" i="99"/>
  <c r="AK455" i="99" s="1" a="1"/>
  <c r="AK455" i="99" s="1"/>
  <c r="BD413" i="99"/>
  <c r="BD452" i="99" s="1" a="1"/>
  <c r="BD452" i="99" s="1"/>
  <c r="S416" i="99"/>
  <c r="S455" i="99" s="1" a="1"/>
  <c r="S455" i="99" s="1"/>
  <c r="AZ416" i="99"/>
  <c r="BC417" i="99"/>
  <c r="BC456" i="99" s="1" a="1"/>
  <c r="BC456" i="99" s="1"/>
  <c r="BC413" i="99"/>
  <c r="BC452" i="99" s="1" a="1"/>
  <c r="BC452" i="99" s="1"/>
  <c r="AX417" i="99"/>
  <c r="AX456" i="99" s="1" a="1"/>
  <c r="AX456" i="99" s="1"/>
  <c r="BN414" i="99"/>
  <c r="BN453" i="99" s="1" a="1"/>
  <c r="BN453" i="99" s="1"/>
  <c r="AW413" i="99"/>
  <c r="AW452" i="99" s="1" a="1"/>
  <c r="AW452" i="99" s="1"/>
  <c r="BD417" i="99"/>
  <c r="BD456" i="99" s="1" a="1"/>
  <c r="BD456" i="99" s="1"/>
  <c r="BV412" i="99"/>
  <c r="BV451" i="99" s="1" a="1"/>
  <c r="BV451" i="99" s="1"/>
  <c r="BE416" i="99"/>
  <c r="BE455" i="99" s="1" a="1"/>
  <c r="BE455" i="99" s="1"/>
  <c r="BB416" i="99"/>
  <c r="BB455" i="99" s="1" a="1"/>
  <c r="BB455" i="99" s="1"/>
  <c r="AY416" i="99"/>
  <c r="AZ413" i="99"/>
  <c r="AZ452" i="99" s="1" a="1"/>
  <c r="AZ452" i="99" s="1"/>
  <c r="BT414" i="99"/>
  <c r="BT453" i="99" s="1" a="1"/>
  <c r="BT453" i="99" s="1"/>
  <c r="BS417" i="99"/>
  <c r="BS456" i="99" s="1" a="1"/>
  <c r="BS456" i="99" s="1"/>
  <c r="AY417" i="99"/>
  <c r="AY456" i="99" s="1" a="1"/>
  <c r="AY456" i="99" s="1"/>
  <c r="BL414" i="99"/>
  <c r="BL453" i="99" s="1" a="1"/>
  <c r="BL453" i="99" s="1"/>
  <c r="BH416" i="99"/>
  <c r="BC416" i="99"/>
  <c r="BC455" i="99" s="1" a="1"/>
  <c r="BC455" i="99" s="1"/>
  <c r="AT413" i="99"/>
  <c r="AT452" i="99" s="1" a="1"/>
  <c r="AT452" i="99" s="1"/>
  <c r="BJ414" i="99"/>
  <c r="BJ453" i="99" s="1" a="1"/>
  <c r="BJ453" i="99" s="1"/>
  <c r="BB413" i="99"/>
  <c r="BB452" i="99" s="1" a="1"/>
  <c r="BB452" i="99" s="1"/>
  <c r="BP414" i="99"/>
  <c r="BP453" i="99" s="1" a="1"/>
  <c r="BP453" i="99" s="1"/>
  <c r="BT417" i="99"/>
  <c r="BT456" i="99" s="1" a="1"/>
  <c r="BT456" i="99" s="1"/>
  <c r="BR414" i="99"/>
  <c r="BR453" i="99" s="1" a="1"/>
  <c r="BR453" i="99" s="1"/>
  <c r="BH417" i="99"/>
  <c r="BH456" i="99" s="1" a="1"/>
  <c r="BH456" i="99" s="1"/>
  <c r="AU413" i="99"/>
  <c r="AU452" i="99" s="1" a="1"/>
  <c r="AU452" i="99" s="1"/>
  <c r="BE417" i="99"/>
  <c r="BE456" i="99" s="1" a="1"/>
  <c r="BE456" i="99" s="1"/>
  <c r="AX413" i="99"/>
  <c r="AX452" i="99" s="1" a="1"/>
  <c r="AX452" i="99" s="1"/>
  <c r="BF417" i="99"/>
  <c r="BF456" i="99" s="1" a="1"/>
  <c r="BF456" i="99" s="1"/>
  <c r="BS413" i="99"/>
  <c r="BS452" i="99" s="1" a="1"/>
  <c r="BS452" i="99" s="1"/>
  <c r="BU417" i="99"/>
  <c r="BU456" i="99" s="1" a="1"/>
  <c r="BU456" i="99" s="1"/>
  <c r="BN266" i="99"/>
  <c r="BI274" i="99"/>
  <c r="BP266" i="99"/>
  <c r="R254" i="99"/>
  <c r="R260" i="99" s="1"/>
  <c r="R23" i="99" s="1"/>
  <c r="R88" i="103" s="1"/>
  <c r="R23" i="103" s="1"/>
  <c r="BV264" i="99"/>
  <c r="BV259" i="99"/>
  <c r="BR259" i="99"/>
  <c r="AH258" i="99"/>
  <c r="AW467" i="99"/>
  <c r="T262" i="99"/>
  <c r="T268" i="99" s="1"/>
  <c r="T24" i="99" s="1"/>
  <c r="T89" i="103" s="1"/>
  <c r="T24" i="103" s="1"/>
  <c r="BQ263" i="99"/>
  <c r="X412" i="153"/>
  <c r="X451" i="153" s="1" a="1"/>
  <c r="X451" i="153" s="1"/>
  <c r="X457" i="153" s="1"/>
  <c r="X69" i="153" s="1"/>
  <c r="X134" i="153" s="1"/>
  <c r="BO274" i="99"/>
  <c r="BO270" i="99"/>
  <c r="BM275" i="99"/>
  <c r="BI270" i="99"/>
  <c r="AU254" i="155"/>
  <c r="AU260" i="155" s="1"/>
  <c r="AU23" i="155" s="1"/>
  <c r="AU88" i="155" s="1"/>
  <c r="T412" i="153"/>
  <c r="AV412" i="155"/>
  <c r="BR258" i="99"/>
  <c r="AY262" i="155"/>
  <c r="AY268" i="155" s="1"/>
  <c r="AY24" i="155" s="1"/>
  <c r="AY89" i="155" s="1"/>
  <c r="V412" i="153"/>
  <c r="AB274" i="99"/>
  <c r="AE274" i="99"/>
  <c r="AG274" i="99"/>
  <c r="BJ266" i="99"/>
  <c r="BJ270" i="99"/>
  <c r="AF274" i="99"/>
  <c r="AN412" i="155"/>
  <c r="AP412" i="155"/>
  <c r="AP451" i="155" s="1" a="1"/>
  <c r="AP451" i="155" s="1"/>
  <c r="AP457" i="155" s="1"/>
  <c r="AP69" i="155" s="1"/>
  <c r="R412" i="153"/>
  <c r="BL262" i="99"/>
  <c r="AJ266" i="99"/>
  <c r="BF270" i="99"/>
  <c r="BP259" i="99"/>
  <c r="BM254" i="99"/>
  <c r="BT262" i="99"/>
  <c r="BV271" i="99"/>
  <c r="BN275" i="99"/>
  <c r="BG262" i="155"/>
  <c r="BG268" i="155" s="1"/>
  <c r="BG24" i="155" s="1"/>
  <c r="BG89" i="155" s="1"/>
  <c r="BE262" i="155"/>
  <c r="BE268" i="155" s="1"/>
  <c r="BE24" i="155" s="1"/>
  <c r="BE89" i="155" s="1"/>
  <c r="AR412" i="155"/>
  <c r="AR451" i="155" s="1" a="1"/>
  <c r="AR451" i="155" s="1"/>
  <c r="AR457" i="155" s="1"/>
  <c r="AR69" i="155" s="1"/>
  <c r="AR134" i="155" s="1"/>
  <c r="BP255" i="99"/>
  <c r="BK267" i="99"/>
  <c r="AC258" i="99"/>
  <c r="BG262" i="99"/>
  <c r="BP270" i="99"/>
  <c r="AZ254" i="155"/>
  <c r="AZ260" i="155" s="1"/>
  <c r="AZ23" i="155" s="1"/>
  <c r="AZ88" i="155" s="1"/>
  <c r="BS270" i="99"/>
  <c r="BO267" i="99"/>
  <c r="BH254" i="99"/>
  <c r="BB270" i="155"/>
  <c r="BB276" i="155" s="1"/>
  <c r="BB26" i="155" s="1"/>
  <c r="BF270" i="155"/>
  <c r="BF276" i="155" s="1"/>
  <c r="BF26" i="155" s="1"/>
  <c r="BF91" i="155" s="1"/>
  <c r="BI262" i="155"/>
  <c r="BI268" i="155" s="1"/>
  <c r="BI24" i="155" s="1"/>
  <c r="BI89" i="155" s="1"/>
  <c r="AS412" i="155"/>
  <c r="AS451" i="155" s="1" a="1"/>
  <c r="AS451" i="155" s="1"/>
  <c r="AS457" i="155" s="1"/>
  <c r="AS69" i="155" s="1"/>
  <c r="AS134" i="155" s="1"/>
  <c r="Z258" i="99"/>
  <c r="S262" i="99"/>
  <c r="S268" i="99" s="1"/>
  <c r="S24" i="99" s="1"/>
  <c r="BQ274" i="99"/>
  <c r="BL258" i="99"/>
  <c r="BL275" i="99"/>
  <c r="BC262" i="155"/>
  <c r="BC268" i="155" s="1"/>
  <c r="BC24" i="155" s="1"/>
  <c r="BC89" i="155" s="1"/>
  <c r="AL412" i="155"/>
  <c r="AX270" i="155"/>
  <c r="AX276" i="155" s="1"/>
  <c r="AX26" i="155" s="1"/>
  <c r="AX91" i="155" s="1"/>
  <c r="AO412" i="155"/>
  <c r="S412" i="153"/>
  <c r="BK262" i="99"/>
  <c r="U262" i="99"/>
  <c r="U268" i="99" s="1"/>
  <c r="U24" i="99" s="1"/>
  <c r="U89" i="103" s="1"/>
  <c r="U24" i="103" s="1"/>
  <c r="AD274" i="99"/>
  <c r="AB254" i="153"/>
  <c r="AB260" i="153" s="1"/>
  <c r="AB23" i="153" s="1"/>
  <c r="AB88" i="153" s="1"/>
  <c r="BD254" i="155"/>
  <c r="BD260" i="155" s="1"/>
  <c r="BD23" i="155" s="1"/>
  <c r="BD88" i="155" s="1"/>
  <c r="W412" i="153"/>
  <c r="BN270" i="99"/>
  <c r="BH262" i="155"/>
  <c r="BH268" i="155" s="1"/>
  <c r="BH24" i="155" s="1"/>
  <c r="BH89" i="155" s="1"/>
  <c r="U412" i="153"/>
  <c r="AI258" i="99"/>
  <c r="AQ412" i="155"/>
  <c r="BM266" i="99"/>
  <c r="BK266" i="99"/>
  <c r="AW412" i="155"/>
  <c r="AT412" i="155"/>
  <c r="AT451" i="155" s="1" a="1"/>
  <c r="AT451" i="155" s="1"/>
  <c r="AT457" i="155" s="1"/>
  <c r="AT69" i="155" s="1"/>
  <c r="AT134" i="155" s="1"/>
  <c r="AJ412" i="155"/>
  <c r="BQ262" i="99"/>
  <c r="AA266" i="99"/>
  <c r="BQ275" i="99"/>
  <c r="BJ259" i="99"/>
  <c r="AM412" i="155"/>
  <c r="X102" i="105"/>
  <c r="Z45" i="105"/>
  <c r="Z102" i="105"/>
  <c r="Y45" i="105"/>
  <c r="Y102" i="105"/>
  <c r="W102" i="105"/>
  <c r="BH183" i="99"/>
  <c r="X451" i="155" a="1"/>
  <c r="X451" i="155" s="1"/>
  <c r="X457" i="155" s="1"/>
  <c r="X69" i="155" s="1"/>
  <c r="X134" i="155" s="1"/>
  <c r="V418" i="155"/>
  <c r="V145" i="155"/>
  <c r="V148" i="155"/>
  <c r="V147" i="155"/>
  <c r="W418" i="155"/>
  <c r="W451" i="155" a="1"/>
  <c r="W451" i="155" s="1"/>
  <c r="W457" i="155" s="1"/>
  <c r="W69" i="155" s="1"/>
  <c r="W134" i="155" s="1"/>
  <c r="Y451" i="155" a="1"/>
  <c r="Y451" i="155" s="1"/>
  <c r="Y457" i="155" s="1"/>
  <c r="Y69" i="155" s="1"/>
  <c r="Y134" i="155" s="1"/>
  <c r="Y418" i="155"/>
  <c r="V146" i="155"/>
  <c r="BN183" i="99"/>
  <c r="BO183" i="99"/>
  <c r="BJ183" i="99"/>
  <c r="AR344" i="99"/>
  <c r="AR43" i="99" s="1"/>
  <c r="AR108" i="103" s="1"/>
  <c r="AR43" i="103" s="1"/>
  <c r="AR45" i="103" s="1"/>
  <c r="AS344" i="99"/>
  <c r="AS43" i="99" s="1"/>
  <c r="AS108" i="103" s="1"/>
  <c r="AS43" i="103" s="1"/>
  <c r="AS45" i="103" s="1"/>
  <c r="BB262" i="155"/>
  <c r="BB268" i="155" s="1"/>
  <c r="BB24" i="155" s="1"/>
  <c r="AE418" i="155"/>
  <c r="AB451" i="155" a="1"/>
  <c r="AB451" i="155" s="1"/>
  <c r="AB457" i="155" s="1"/>
  <c r="AB69" i="155" s="1"/>
  <c r="AB134" i="155" s="1"/>
  <c r="BB306" i="155"/>
  <c r="BB312" i="155" s="1"/>
  <c r="BB33" i="155" s="1"/>
  <c r="BE270" i="155"/>
  <c r="BE276" i="155" s="1"/>
  <c r="BE26" i="155" s="1"/>
  <c r="BE91" i="155" s="1"/>
  <c r="AH418" i="155"/>
  <c r="AG418" i="155"/>
  <c r="AA418" i="155"/>
  <c r="BG314" i="155"/>
  <c r="BG320" i="155" s="1"/>
  <c r="BG35" i="155" s="1"/>
  <c r="BG100" i="155" s="1"/>
  <c r="AR334" i="99"/>
  <c r="BG254" i="155"/>
  <c r="BG260" i="155" s="1"/>
  <c r="BG23" i="155" s="1"/>
  <c r="BG88" i="155" s="1"/>
  <c r="AZ306" i="155"/>
  <c r="AZ312" i="155" s="1"/>
  <c r="AZ33" i="155" s="1"/>
  <c r="AZ98" i="155" s="1"/>
  <c r="AZ314" i="155"/>
  <c r="AZ320" i="155" s="1"/>
  <c r="AZ35" i="155" s="1"/>
  <c r="AZ100" i="155" s="1"/>
  <c r="BI254" i="155"/>
  <c r="BI260" i="155" s="1"/>
  <c r="BI23" i="155" s="1"/>
  <c r="BI88" i="155" s="1"/>
  <c r="BD298" i="155"/>
  <c r="BD304" i="155" s="1"/>
  <c r="BD32" i="155" s="1"/>
  <c r="BD97" i="155" s="1"/>
  <c r="AX306" i="155"/>
  <c r="AX312" i="155" s="1"/>
  <c r="AX33" i="155" s="1"/>
  <c r="AX98" i="155" s="1"/>
  <c r="R420" i="155"/>
  <c r="BE306" i="155"/>
  <c r="BE312" i="155" s="1"/>
  <c r="BE33" i="155" s="1"/>
  <c r="BE98" i="155" s="1"/>
  <c r="Z451" i="155" a="1"/>
  <c r="Z451" i="155" s="1"/>
  <c r="Z457" i="155" s="1"/>
  <c r="Z69" i="155" s="1"/>
  <c r="Z134" i="155" s="1"/>
  <c r="AT322" i="155"/>
  <c r="AC418" i="155"/>
  <c r="BH306" i="155"/>
  <c r="BH312" i="155" s="1"/>
  <c r="BH33" i="155" s="1"/>
  <c r="BH98" i="155" s="1"/>
  <c r="BE298" i="155"/>
  <c r="BE304" i="155" s="1"/>
  <c r="BE32" i="155" s="1"/>
  <c r="BE97" i="155" s="1"/>
  <c r="BH270" i="155"/>
  <c r="BH276" i="155" s="1"/>
  <c r="BH26" i="155" s="1"/>
  <c r="BH91" i="155" s="1"/>
  <c r="AY298" i="155"/>
  <c r="AY304" i="155" s="1"/>
  <c r="AY32" i="155" s="1"/>
  <c r="AY97" i="155" s="1"/>
  <c r="AY270" i="155"/>
  <c r="AY276" i="155" s="1"/>
  <c r="AY26" i="155" s="1"/>
  <c r="AY91" i="155" s="1"/>
  <c r="BC298" i="155"/>
  <c r="BC304" i="155" s="1"/>
  <c r="BC32" i="155" s="1"/>
  <c r="BC97" i="155" s="1"/>
  <c r="AR322" i="155"/>
  <c r="BD262" i="155"/>
  <c r="BD268" i="155" s="1"/>
  <c r="BD24" i="155" s="1"/>
  <c r="BD89" i="155" s="1"/>
  <c r="AX262" i="155"/>
  <c r="AX268" i="155" s="1"/>
  <c r="AX24" i="155" s="1"/>
  <c r="AX89" i="155" s="1"/>
  <c r="BD314" i="155"/>
  <c r="BD320" i="155" s="1"/>
  <c r="BD35" i="155" s="1"/>
  <c r="BD100" i="155" s="1"/>
  <c r="BD306" i="155"/>
  <c r="BD312" i="155" s="1"/>
  <c r="BD33" i="155" s="1"/>
  <c r="BD98" i="155" s="1"/>
  <c r="BF254" i="155"/>
  <c r="BF260" i="155" s="1"/>
  <c r="BF23" i="155" s="1"/>
  <c r="BF88" i="155" s="1"/>
  <c r="BF314" i="155"/>
  <c r="BF320" i="155" s="1"/>
  <c r="BF35" i="155" s="1"/>
  <c r="BF100" i="155" s="1"/>
  <c r="AU298" i="155"/>
  <c r="AU304" i="155" s="1"/>
  <c r="AU32" i="155" s="1"/>
  <c r="AU97" i="155" s="1"/>
  <c r="BF306" i="155"/>
  <c r="BF312" i="155" s="1"/>
  <c r="BF33" i="155" s="1"/>
  <c r="BF98" i="155" s="1"/>
  <c r="AB147" i="155"/>
  <c r="AB148" i="155"/>
  <c r="AE145" i="155"/>
  <c r="AX298" i="155"/>
  <c r="AX304" i="155" s="1"/>
  <c r="AX32" i="155" s="1"/>
  <c r="AX97" i="155" s="1"/>
  <c r="AU270" i="155"/>
  <c r="AU276" i="155" s="1"/>
  <c r="AU26" i="155" s="1"/>
  <c r="AU91" i="155" s="1"/>
  <c r="AO278" i="155"/>
  <c r="AO469" i="155"/>
  <c r="AO19" i="155" s="1"/>
  <c r="AO84" i="155" s="1"/>
  <c r="AS469" i="155"/>
  <c r="AS19" i="155" s="1"/>
  <c r="AS84" i="155" s="1"/>
  <c r="AS278" i="155"/>
  <c r="AE147" i="155"/>
  <c r="AE148" i="155"/>
  <c r="AE146" i="155"/>
  <c r="AY254" i="155"/>
  <c r="AY260" i="155" s="1"/>
  <c r="AY23" i="155" s="1"/>
  <c r="AY88" i="155" s="1"/>
  <c r="AY463" i="155"/>
  <c r="AY252" i="155"/>
  <c r="AY22" i="155" s="1"/>
  <c r="AF147" i="155"/>
  <c r="AF146" i="155"/>
  <c r="AU306" i="155"/>
  <c r="AU312" i="155" s="1"/>
  <c r="AU33" i="155" s="1"/>
  <c r="AU98" i="155" s="1"/>
  <c r="AU296" i="155"/>
  <c r="AU31" i="155" s="1"/>
  <c r="AQ322" i="155"/>
  <c r="BN246" i="155"/>
  <c r="BN244" i="155"/>
  <c r="AW469" i="155"/>
  <c r="AW278" i="155"/>
  <c r="BE254" i="155"/>
  <c r="BE260" i="155" s="1"/>
  <c r="BE23" i="155" s="1"/>
  <c r="BE88" i="155" s="1"/>
  <c r="BE463" i="155"/>
  <c r="BE252" i="155"/>
  <c r="BE22" i="155" s="1"/>
  <c r="AF145" i="155"/>
  <c r="AU262" i="155"/>
  <c r="AU268" i="155" s="1"/>
  <c r="AU24" i="155" s="1"/>
  <c r="AU89" i="155" s="1"/>
  <c r="AU463" i="155"/>
  <c r="AU252" i="155"/>
  <c r="AU22" i="155" s="1"/>
  <c r="AG147" i="155"/>
  <c r="AG148" i="155"/>
  <c r="AN469" i="155"/>
  <c r="AN278" i="155"/>
  <c r="AB146" i="155"/>
  <c r="BB254" i="155"/>
  <c r="BB260" i="155" s="1"/>
  <c r="BB23" i="155" s="1"/>
  <c r="BB463" i="155"/>
  <c r="BB252" i="155"/>
  <c r="BB22" i="155" s="1"/>
  <c r="AL322" i="155"/>
  <c r="AX254" i="155"/>
  <c r="AX260" i="155" s="1"/>
  <c r="AX23" i="155" s="1"/>
  <c r="AX88" i="155" s="1"/>
  <c r="AX463" i="155"/>
  <c r="AX252" i="155"/>
  <c r="AX22" i="155" s="1"/>
  <c r="BH254" i="155"/>
  <c r="BH260" i="155" s="1"/>
  <c r="BH23" i="155" s="1"/>
  <c r="BH88" i="155" s="1"/>
  <c r="BH463" i="155"/>
  <c r="BH252" i="155"/>
  <c r="BH22" i="155" s="1"/>
  <c r="AV322" i="155"/>
  <c r="AG145" i="155"/>
  <c r="AZ262" i="155"/>
  <c r="AZ268" i="155" s="1"/>
  <c r="AZ24" i="155" s="1"/>
  <c r="AZ89" i="155" s="1"/>
  <c r="BT290" i="155"/>
  <c r="BT306" i="155" s="1"/>
  <c r="BT312" i="155" s="1"/>
  <c r="BT33" i="155" s="1"/>
  <c r="BT98" i="155" s="1"/>
  <c r="BT288" i="155"/>
  <c r="BL290" i="155"/>
  <c r="BL298" i="155" s="1"/>
  <c r="BL304" i="155" s="1"/>
  <c r="BL32" i="155" s="1"/>
  <c r="BL97" i="155" s="1"/>
  <c r="BL288" i="155"/>
  <c r="BC306" i="155"/>
  <c r="BC312" i="155" s="1"/>
  <c r="BC33" i="155" s="1"/>
  <c r="BC98" i="155" s="1"/>
  <c r="AZ298" i="155"/>
  <c r="AZ304" i="155" s="1"/>
  <c r="AZ32" i="155" s="1"/>
  <c r="AZ97" i="155" s="1"/>
  <c r="BG298" i="155"/>
  <c r="BG304" i="155" s="1"/>
  <c r="BG32" i="155" s="1"/>
  <c r="BG97" i="155" s="1"/>
  <c r="BG296" i="155"/>
  <c r="BG31" i="155" s="1"/>
  <c r="BP290" i="155"/>
  <c r="BP314" i="155" s="1"/>
  <c r="BP320" i="155" s="1"/>
  <c r="BP35" i="155" s="1"/>
  <c r="BP100" i="155" s="1"/>
  <c r="BP288" i="155"/>
  <c r="BM246" i="155"/>
  <c r="BM244" i="155"/>
  <c r="BF298" i="155"/>
  <c r="BF304" i="155" s="1"/>
  <c r="BF32" i="155" s="1"/>
  <c r="BF97" i="155" s="1"/>
  <c r="BV282" i="155"/>
  <c r="BV219" i="155"/>
  <c r="BC314" i="155"/>
  <c r="BC320" i="155" s="1"/>
  <c r="BC35" i="155" s="1"/>
  <c r="BC100" i="155" s="1"/>
  <c r="AZ270" i="155"/>
  <c r="AZ276" i="155" s="1"/>
  <c r="AZ26" i="155" s="1"/>
  <c r="AZ91" i="155" s="1"/>
  <c r="AZ463" i="155"/>
  <c r="AZ252" i="155"/>
  <c r="AZ22" i="155" s="1"/>
  <c r="AQ278" i="155"/>
  <c r="AQ469" i="155"/>
  <c r="AQ19" i="155" s="1"/>
  <c r="AQ84" i="155" s="1"/>
  <c r="BI306" i="155"/>
  <c r="BI312" i="155" s="1"/>
  <c r="BI33" i="155" s="1"/>
  <c r="BI98" i="155" s="1"/>
  <c r="AL469" i="155"/>
  <c r="AL19" i="155" s="1"/>
  <c r="AL84" i="155" s="1"/>
  <c r="AL278" i="155"/>
  <c r="BP246" i="155"/>
  <c r="BP244" i="155"/>
  <c r="BM290" i="155"/>
  <c r="BM298" i="155" s="1"/>
  <c r="BM304" i="155" s="1"/>
  <c r="BM32" i="155" s="1"/>
  <c r="BM97" i="155" s="1"/>
  <c r="BM288" i="155"/>
  <c r="BV238" i="155"/>
  <c r="BV211" i="155"/>
  <c r="BT246" i="155"/>
  <c r="BT244" i="155"/>
  <c r="AH148" i="155"/>
  <c r="AH146" i="155"/>
  <c r="BR290" i="155"/>
  <c r="BR306" i="155" s="1"/>
  <c r="BR312" i="155" s="1"/>
  <c r="BR33" i="155" s="1"/>
  <c r="BR98" i="155" s="1"/>
  <c r="BR288" i="155"/>
  <c r="BH314" i="155"/>
  <c r="BH320" i="155" s="1"/>
  <c r="BH35" i="155" s="1"/>
  <c r="BH100" i="155" s="1"/>
  <c r="BH296" i="155"/>
  <c r="BH31" i="155" s="1"/>
  <c r="AR469" i="155"/>
  <c r="AR19" i="155" s="1"/>
  <c r="AR84" i="155" s="1"/>
  <c r="AR278" i="155"/>
  <c r="BY282" i="155"/>
  <c r="BY219" i="155"/>
  <c r="AD451" i="155" a="1"/>
  <c r="AD451" i="155" s="1"/>
  <c r="AD457" i="155" s="1"/>
  <c r="AD69" i="155" s="1"/>
  <c r="AD418" i="155"/>
  <c r="BI298" i="155"/>
  <c r="BI304" i="155" s="1"/>
  <c r="BI32" i="155" s="1"/>
  <c r="BI97" i="155" s="1"/>
  <c r="BI296" i="155"/>
  <c r="BI31" i="155" s="1"/>
  <c r="AH145" i="155"/>
  <c r="AF148" i="155"/>
  <c r="BF262" i="155"/>
  <c r="BF268" i="155" s="1"/>
  <c r="BF24" i="155" s="1"/>
  <c r="BF89" i="155" s="1"/>
  <c r="BF463" i="155"/>
  <c r="BF252" i="155"/>
  <c r="BF22" i="155" s="1"/>
  <c r="BY238" i="155"/>
  <c r="BY211" i="155"/>
  <c r="AD145" i="155"/>
  <c r="AF451" i="155" a="1"/>
  <c r="AF451" i="155" s="1"/>
  <c r="AF457" i="155" s="1"/>
  <c r="AF69" i="155" s="1"/>
  <c r="AF134" i="155" s="1"/>
  <c r="AF418" i="155"/>
  <c r="AD148" i="155"/>
  <c r="AD147" i="155"/>
  <c r="BR246" i="155"/>
  <c r="BR244" i="155"/>
  <c r="AV469" i="155"/>
  <c r="AV19" i="155" s="1"/>
  <c r="AV84" i="155" s="1"/>
  <c r="AV278" i="155"/>
  <c r="AJ278" i="155"/>
  <c r="AJ469" i="155"/>
  <c r="AT469" i="155"/>
  <c r="AT278" i="155"/>
  <c r="BN290" i="155"/>
  <c r="BN306" i="155" s="1"/>
  <c r="BN312" i="155" s="1"/>
  <c r="BN33" i="155" s="1"/>
  <c r="BN288" i="155"/>
  <c r="BX238" i="155"/>
  <c r="BX211" i="155"/>
  <c r="AS322" i="155"/>
  <c r="AH147" i="155"/>
  <c r="BG270" i="155"/>
  <c r="BG276" i="155" s="1"/>
  <c r="BG26" i="155" s="1"/>
  <c r="BG91" i="155" s="1"/>
  <c r="BG463" i="155"/>
  <c r="BG252" i="155"/>
  <c r="BG22" i="155" s="1"/>
  <c r="AP322" i="155"/>
  <c r="AY314" i="155"/>
  <c r="AY320" i="155" s="1"/>
  <c r="AY35" i="155" s="1"/>
  <c r="AY100" i="155" s="1"/>
  <c r="AY296" i="155"/>
  <c r="AY31" i="155" s="1"/>
  <c r="BX282" i="155"/>
  <c r="BX219" i="155"/>
  <c r="BK246" i="155"/>
  <c r="BK244" i="155"/>
  <c r="BJ290" i="155"/>
  <c r="BJ306" i="155" s="1"/>
  <c r="BJ312" i="155" s="1"/>
  <c r="BJ33" i="155" s="1"/>
  <c r="BJ98" i="155" s="1"/>
  <c r="BJ288" i="155"/>
  <c r="BC270" i="155"/>
  <c r="BC276" i="155" s="1"/>
  <c r="BC26" i="155" s="1"/>
  <c r="BC91" i="155" s="1"/>
  <c r="AI451" i="155" a="1"/>
  <c r="AI451" i="155" s="1"/>
  <c r="AI457" i="155" s="1"/>
  <c r="AI69" i="155" s="1"/>
  <c r="AI134" i="155" s="1"/>
  <c r="AI418" i="155"/>
  <c r="AK451" i="155" a="1"/>
  <c r="AK451" i="155" s="1"/>
  <c r="AK457" i="155" s="1"/>
  <c r="AK69" i="155" s="1"/>
  <c r="AK134" i="155" s="1"/>
  <c r="AK418" i="155"/>
  <c r="BA246" i="155"/>
  <c r="BA244" i="155"/>
  <c r="AP469" i="155"/>
  <c r="AP19" i="155" s="1"/>
  <c r="AP278" i="155"/>
  <c r="BC254" i="155"/>
  <c r="BC260" i="155" s="1"/>
  <c r="BC23" i="155" s="1"/>
  <c r="BC88" i="155" s="1"/>
  <c r="BC463" i="155"/>
  <c r="BC252" i="155"/>
  <c r="BC22" i="155" s="1"/>
  <c r="BL246" i="155"/>
  <c r="BL244" i="155"/>
  <c r="BU246" i="155"/>
  <c r="BU244" i="155"/>
  <c r="BQ246" i="155"/>
  <c r="BQ244" i="155"/>
  <c r="BJ246" i="155"/>
  <c r="BJ244" i="155"/>
  <c r="BI270" i="155"/>
  <c r="BI276" i="155" s="1"/>
  <c r="BI26" i="155" s="1"/>
  <c r="BI91" i="155" s="1"/>
  <c r="BI463" i="155"/>
  <c r="BI252" i="155"/>
  <c r="BI22" i="155" s="1"/>
  <c r="BA290" i="155"/>
  <c r="BA296" i="155" s="1"/>
  <c r="BA31" i="155" s="1"/>
  <c r="BA288" i="155"/>
  <c r="AM469" i="155"/>
  <c r="AM19" i="155" s="1"/>
  <c r="AM84" i="155" s="1"/>
  <c r="AM278" i="155"/>
  <c r="BU290" i="155"/>
  <c r="BU298" i="155" s="1"/>
  <c r="BU304" i="155" s="1"/>
  <c r="BU32" i="155" s="1"/>
  <c r="BU97" i="155" s="1"/>
  <c r="BU288" i="155"/>
  <c r="BD270" i="155"/>
  <c r="BD276" i="155" s="1"/>
  <c r="BD26" i="155" s="1"/>
  <c r="BD91" i="155" s="1"/>
  <c r="BD463" i="155"/>
  <c r="BD252" i="155"/>
  <c r="BD22" i="155" s="1"/>
  <c r="BQ290" i="155"/>
  <c r="BQ306" i="155" s="1"/>
  <c r="BQ312" i="155" s="1"/>
  <c r="BQ33" i="155" s="1"/>
  <c r="BQ98" i="155" s="1"/>
  <c r="BQ288" i="155"/>
  <c r="BS282" i="155"/>
  <c r="BS219" i="155"/>
  <c r="AN322" i="155"/>
  <c r="AD146" i="155"/>
  <c r="BO290" i="155"/>
  <c r="BO314" i="155" s="1"/>
  <c r="BO320" i="155" s="1"/>
  <c r="BO35" i="155" s="1"/>
  <c r="BO100" i="155" s="1"/>
  <c r="BO288" i="155"/>
  <c r="BK290" i="155"/>
  <c r="BK298" i="155" s="1"/>
  <c r="BK304" i="155" s="1"/>
  <c r="BK32" i="155" s="1"/>
  <c r="BK97" i="155" s="1"/>
  <c r="BK288" i="155"/>
  <c r="AM322" i="155"/>
  <c r="BS238" i="155"/>
  <c r="BS211" i="155"/>
  <c r="BB314" i="155"/>
  <c r="BB320" i="155" s="1"/>
  <c r="BB35" i="155" s="1"/>
  <c r="BW282" i="155"/>
  <c r="BW219" i="155"/>
  <c r="AW322" i="155"/>
  <c r="AJ322" i="155"/>
  <c r="BO246" i="155"/>
  <c r="BO244" i="155"/>
  <c r="AX314" i="155"/>
  <c r="AX320" i="155" s="1"/>
  <c r="AX35" i="155" s="1"/>
  <c r="AX100" i="155" s="1"/>
  <c r="AG146" i="155"/>
  <c r="AO322" i="155"/>
  <c r="BE314" i="155"/>
  <c r="BE320" i="155" s="1"/>
  <c r="BE35" i="155" s="1"/>
  <c r="BE100" i="155" s="1"/>
  <c r="BB298" i="155"/>
  <c r="BB304" i="155" s="1"/>
  <c r="BB32" i="155" s="1"/>
  <c r="AB145" i="155"/>
  <c r="BW238" i="155"/>
  <c r="BW211" i="155"/>
  <c r="AS334" i="99"/>
  <c r="BR418" i="154"/>
  <c r="BI183" i="99"/>
  <c r="BT457" i="154"/>
  <c r="BT69" i="154" s="1"/>
  <c r="BT134" i="154" s="1"/>
  <c r="BT418" i="154"/>
  <c r="BK183" i="99"/>
  <c r="BM183" i="99"/>
  <c r="BL183" i="99"/>
  <c r="BU145" i="154"/>
  <c r="BI203" i="99"/>
  <c r="BI344" i="99"/>
  <c r="BI43" i="99" s="1"/>
  <c r="BI108" i="103" s="1"/>
  <c r="BI43" i="103" s="1"/>
  <c r="BI45" i="103" s="1"/>
  <c r="BV455" i="155" a="1"/>
  <c r="BV455" i="155" s="1"/>
  <c r="BW455" i="154" a="1"/>
  <c r="BW455" i="154" s="1"/>
  <c r="BW457" i="154" s="1"/>
  <c r="BW69" i="154" s="1"/>
  <c r="BW134" i="154" s="1"/>
  <c r="BW418" i="154"/>
  <c r="BR145" i="154"/>
  <c r="BU146" i="154"/>
  <c r="BU147" i="154"/>
  <c r="BU148" i="154"/>
  <c r="BH344" i="99"/>
  <c r="BH43" i="99" s="1"/>
  <c r="BH45" i="99" s="1"/>
  <c r="BS146" i="154"/>
  <c r="BS148" i="154"/>
  <c r="BS147" i="154"/>
  <c r="BW146" i="154"/>
  <c r="AY216" i="99"/>
  <c r="AY285" i="99" s="1"/>
  <c r="AY208" i="99"/>
  <c r="AY241" i="99" s="1"/>
  <c r="BR147" i="154"/>
  <c r="BR148" i="154"/>
  <c r="BR146" i="154"/>
  <c r="BV418" i="154"/>
  <c r="BV455" i="154" a="1"/>
  <c r="BV455" i="154" s="1"/>
  <c r="BV457" i="154" s="1"/>
  <c r="BV69" i="154" s="1"/>
  <c r="BV134" i="154" s="1"/>
  <c r="BS145" i="154"/>
  <c r="BA216" i="99"/>
  <c r="BA285" i="99" s="1"/>
  <c r="BA208" i="99"/>
  <c r="BA241" i="99" s="1"/>
  <c r="BV146" i="154"/>
  <c r="BW278" i="154"/>
  <c r="BP457" i="154"/>
  <c r="BP69" i="154" s="1"/>
  <c r="BP418" i="154"/>
  <c r="BW145" i="154"/>
  <c r="BX455" i="155" a="1"/>
  <c r="BX455" i="155" s="1"/>
  <c r="BX278" i="154"/>
  <c r="BO191" i="99"/>
  <c r="BW147" i="154"/>
  <c r="BW148" i="154"/>
  <c r="BX145" i="154"/>
  <c r="BM344" i="99"/>
  <c r="BM43" i="99" s="1"/>
  <c r="BM108" i="103" s="1"/>
  <c r="BM43" i="103" s="1"/>
  <c r="BS457" i="154"/>
  <c r="BS69" i="154" s="1"/>
  <c r="BS134" i="154" s="1"/>
  <c r="BS418" i="154"/>
  <c r="BX146" i="154"/>
  <c r="BX147" i="154"/>
  <c r="BX148" i="154"/>
  <c r="BX418" i="154"/>
  <c r="BX455" i="154" a="1"/>
  <c r="BX455" i="154" s="1"/>
  <c r="BX457" i="154" s="1"/>
  <c r="BX69" i="154" s="1"/>
  <c r="BX134" i="154" s="1"/>
  <c r="AZ216" i="99"/>
  <c r="AZ285" i="99" s="1"/>
  <c r="AZ208" i="99"/>
  <c r="AZ241" i="99" s="1"/>
  <c r="AS208" i="99"/>
  <c r="AS241" i="99" s="1"/>
  <c r="AS216" i="99"/>
  <c r="AS285" i="99" s="1"/>
  <c r="BP145" i="154"/>
  <c r="BV145" i="154"/>
  <c r="AW216" i="99"/>
  <c r="AW285" i="99" s="1"/>
  <c r="AW208" i="99"/>
  <c r="AW241" i="99" s="1"/>
  <c r="BW455" i="155" a="1"/>
  <c r="BW455" i="155" s="1"/>
  <c r="BP146" i="154"/>
  <c r="BP147" i="154"/>
  <c r="BP148" i="154"/>
  <c r="BV148" i="154"/>
  <c r="BV147" i="154"/>
  <c r="BV278" i="154"/>
  <c r="AU216" i="99"/>
  <c r="AU285" i="99" s="1"/>
  <c r="AU208" i="99"/>
  <c r="AU241" i="99" s="1"/>
  <c r="BB216" i="99"/>
  <c r="BB285" i="99" s="1"/>
  <c r="BB208" i="99"/>
  <c r="BB241" i="99" s="1"/>
  <c r="BT145" i="154"/>
  <c r="BF188" i="99"/>
  <c r="BF183" i="99"/>
  <c r="AX208" i="99"/>
  <c r="AX241" i="99" s="1"/>
  <c r="AX216" i="99"/>
  <c r="AX285" i="99" s="1"/>
  <c r="BC208" i="99"/>
  <c r="BC241" i="99" s="1"/>
  <c r="BC216" i="99"/>
  <c r="BC285" i="99" s="1"/>
  <c r="BT146" i="154"/>
  <c r="BT147" i="154"/>
  <c r="BT148" i="154"/>
  <c r="BE188" i="99"/>
  <c r="BE183" i="99"/>
  <c r="BD188" i="99"/>
  <c r="BD183" i="99"/>
  <c r="BQ180" i="99"/>
  <c r="BQ188" i="99" s="1"/>
  <c r="BR180" i="99"/>
  <c r="BP180" i="99"/>
  <c r="BW180" i="99"/>
  <c r="BH191" i="99"/>
  <c r="AT208" i="99"/>
  <c r="AT241" i="99" s="1"/>
  <c r="AT216" i="99"/>
  <c r="AT285" i="99" s="1"/>
  <c r="AR216" i="99"/>
  <c r="AR285" i="99" s="1"/>
  <c r="AR208" i="99"/>
  <c r="AR241" i="99" s="1"/>
  <c r="BU457" i="154"/>
  <c r="BU69" i="154" s="1"/>
  <c r="BU134" i="154" s="1"/>
  <c r="BU418" i="154"/>
  <c r="BI208" i="99"/>
  <c r="BI241" i="99" s="1"/>
  <c r="BI216" i="99"/>
  <c r="BI285" i="99" s="1"/>
  <c r="BO216" i="99"/>
  <c r="BO285" i="99" s="1"/>
  <c r="BO208" i="99"/>
  <c r="BO241" i="99" s="1"/>
  <c r="BK200" i="99"/>
  <c r="BK331" i="99"/>
  <c r="BK191" i="99"/>
  <c r="BS188" i="99"/>
  <c r="BN216" i="99"/>
  <c r="BN285" i="99" s="1"/>
  <c r="BN208" i="99"/>
  <c r="BN241" i="99" s="1"/>
  <c r="BL331" i="99"/>
  <c r="BL200" i="99"/>
  <c r="BL191" i="99"/>
  <c r="BJ331" i="99"/>
  <c r="BJ200" i="99"/>
  <c r="BJ191" i="99"/>
  <c r="AV208" i="99"/>
  <c r="AV241" i="99" s="1"/>
  <c r="AV216" i="99"/>
  <c r="AV285" i="99" s="1"/>
  <c r="BG188" i="99"/>
  <c r="BG183" i="99"/>
  <c r="R422" i="99"/>
  <c r="AJ246" i="153"/>
  <c r="BT282" i="153"/>
  <c r="BT290" i="153" s="1"/>
  <c r="BT296" i="153" s="1"/>
  <c r="BT31" i="153" s="1"/>
  <c r="BT211" i="153"/>
  <c r="BR211" i="153"/>
  <c r="BS238" i="153"/>
  <c r="BS246" i="153" s="1"/>
  <c r="BR246" i="99"/>
  <c r="BU219" i="153"/>
  <c r="BV242" i="99"/>
  <c r="BV250" i="99" s="1"/>
  <c r="AL43" i="105"/>
  <c r="AE43" i="105"/>
  <c r="BR319" i="99"/>
  <c r="AJ43" i="105"/>
  <c r="AK43" i="105"/>
  <c r="AC43" i="105"/>
  <c r="X322" i="153"/>
  <c r="AH43" i="105"/>
  <c r="AD43" i="105"/>
  <c r="AF43" i="105"/>
  <c r="AB43" i="105"/>
  <c r="X45" i="105"/>
  <c r="AI43" i="105"/>
  <c r="AA43" i="105"/>
  <c r="AG43" i="105"/>
  <c r="T98" i="103"/>
  <c r="T33" i="103" s="1"/>
  <c r="BI314" i="99"/>
  <c r="U322" i="153"/>
  <c r="AW310" i="99"/>
  <c r="BS294" i="99"/>
  <c r="BS318" i="99" s="1"/>
  <c r="AC318" i="99"/>
  <c r="AW258" i="99"/>
  <c r="AW266" i="99"/>
  <c r="AW274" i="99"/>
  <c r="BO275" i="99"/>
  <c r="BF298" i="99"/>
  <c r="AJ108" i="104"/>
  <c r="AJ43" i="104" s="1"/>
  <c r="AJ43" i="103"/>
  <c r="AJ45" i="103" s="1"/>
  <c r="AD110" i="104"/>
  <c r="AD45" i="104" s="1"/>
  <c r="AB110" i="104"/>
  <c r="AB45" i="104" s="1"/>
  <c r="Z266" i="99"/>
  <c r="AQ108" i="104"/>
  <c r="AQ43" i="104" s="1"/>
  <c r="Z110" i="104"/>
  <c r="Z45" i="104" s="1"/>
  <c r="X110" i="104"/>
  <c r="X45" i="104" s="1"/>
  <c r="AK43" i="103"/>
  <c r="AK45" i="103" s="1"/>
  <c r="AK108" i="104"/>
  <c r="AK43" i="104" s="1"/>
  <c r="AF110" i="104"/>
  <c r="AF45" i="104" s="1"/>
  <c r="AA110" i="104"/>
  <c r="AA45" i="104" s="1"/>
  <c r="BN319" i="99"/>
  <c r="BN311" i="99"/>
  <c r="AG110" i="104"/>
  <c r="AG45" i="104" s="1"/>
  <c r="AM108" i="104"/>
  <c r="AM43" i="104" s="1"/>
  <c r="T98" i="99"/>
  <c r="T98" i="104"/>
  <c r="T33" i="104" s="1"/>
  <c r="BH270" i="99"/>
  <c r="AI108" i="104"/>
  <c r="AI43" i="104" s="1"/>
  <c r="AI43" i="103"/>
  <c r="AI45" i="103" s="1"/>
  <c r="V110" i="104"/>
  <c r="V45" i="104" s="1"/>
  <c r="AL108" i="104"/>
  <c r="AL43" i="104" s="1"/>
  <c r="BH306" i="99"/>
  <c r="AH108" i="104"/>
  <c r="AH43" i="104" s="1"/>
  <c r="AN43" i="103"/>
  <c r="AN45" i="103" s="1"/>
  <c r="AN108" i="104"/>
  <c r="AN43" i="104" s="1"/>
  <c r="AP108" i="104"/>
  <c r="AP43" i="104" s="1"/>
  <c r="AP43" i="103"/>
  <c r="AP45" i="103" s="1"/>
  <c r="AC110" i="104"/>
  <c r="AC45" i="104" s="1"/>
  <c r="BH463" i="99"/>
  <c r="BH262" i="99"/>
  <c r="AO108" i="104"/>
  <c r="AO43" i="104" s="1"/>
  <c r="BS250" i="99"/>
  <c r="Y110" i="104"/>
  <c r="Y45" i="104" s="1"/>
  <c r="W110" i="104"/>
  <c r="W45" i="104" s="1"/>
  <c r="AE110" i="104"/>
  <c r="AE45" i="104" s="1"/>
  <c r="BR275" i="99"/>
  <c r="BG270" i="99"/>
  <c r="AG310" i="99"/>
  <c r="BI306" i="99"/>
  <c r="AC302" i="99"/>
  <c r="BL267" i="99"/>
  <c r="BR311" i="99"/>
  <c r="BG254" i="99"/>
  <c r="BF314" i="99"/>
  <c r="BG463" i="99"/>
  <c r="AE310" i="99"/>
  <c r="BM259" i="99"/>
  <c r="Y260" i="153"/>
  <c r="Y23" i="153" s="1"/>
  <c r="Y88" i="153" s="1"/>
  <c r="BN259" i="99"/>
  <c r="Y469" i="153"/>
  <c r="Y322" i="153"/>
  <c r="BQ267" i="99"/>
  <c r="W322" i="153"/>
  <c r="AK270" i="153"/>
  <c r="AK276" i="153" s="1"/>
  <c r="AK26" i="153" s="1"/>
  <c r="AK91" i="153" s="1"/>
  <c r="AK254" i="153"/>
  <c r="AK260" i="153" s="1"/>
  <c r="AK23" i="153" s="1"/>
  <c r="AK88" i="153" s="1"/>
  <c r="AK262" i="153"/>
  <c r="AK268" i="153" s="1"/>
  <c r="AK24" i="153" s="1"/>
  <c r="AK89" i="153" s="1"/>
  <c r="AK252" i="153"/>
  <c r="AK22" i="153" s="1"/>
  <c r="AK463" i="153"/>
  <c r="BK259" i="99"/>
  <c r="BT342" i="99"/>
  <c r="AC266" i="99"/>
  <c r="BT209" i="99"/>
  <c r="BT217" i="99"/>
  <c r="AK296" i="153"/>
  <c r="AK31" i="153" s="1"/>
  <c r="AK314" i="153"/>
  <c r="AK320" i="153" s="1"/>
  <c r="AK35" i="153" s="1"/>
  <c r="AK100" i="153" s="1"/>
  <c r="AK298" i="153"/>
  <c r="AK304" i="153" s="1"/>
  <c r="AK32" i="153" s="1"/>
  <c r="AK97" i="153" s="1"/>
  <c r="AK306" i="153"/>
  <c r="AK312" i="153" s="1"/>
  <c r="AK33" i="153" s="1"/>
  <c r="AK98" i="153" s="1"/>
  <c r="BJ267" i="99"/>
  <c r="BG314" i="99"/>
  <c r="AI314" i="153"/>
  <c r="AI320" i="153" s="1"/>
  <c r="AI35" i="153" s="1"/>
  <c r="AI100" i="153" s="1"/>
  <c r="AH318" i="99"/>
  <c r="BI254" i="99"/>
  <c r="BH298" i="99"/>
  <c r="AH302" i="99"/>
  <c r="AI306" i="153"/>
  <c r="AI312" i="153" s="1"/>
  <c r="AI33" i="153" s="1"/>
  <c r="AI98" i="153" s="1"/>
  <c r="BF254" i="99"/>
  <c r="AJ310" i="99"/>
  <c r="AI266" i="99"/>
  <c r="AG266" i="99"/>
  <c r="AP246" i="153"/>
  <c r="AP244" i="153"/>
  <c r="BH282" i="153"/>
  <c r="BH219" i="153"/>
  <c r="BA282" i="153"/>
  <c r="BA219" i="153"/>
  <c r="AE296" i="153"/>
  <c r="AE31" i="153" s="1"/>
  <c r="AE314" i="153"/>
  <c r="AE320" i="153" s="1"/>
  <c r="AE35" i="153" s="1"/>
  <c r="AE100" i="153" s="1"/>
  <c r="AE298" i="153"/>
  <c r="AE304" i="153" s="1"/>
  <c r="AE32" i="153" s="1"/>
  <c r="AE97" i="153" s="1"/>
  <c r="AE306" i="153"/>
  <c r="AE312" i="153" s="1"/>
  <c r="AE33" i="153" s="1"/>
  <c r="AE98" i="153" s="1"/>
  <c r="BR255" i="99"/>
  <c r="BR464" i="99"/>
  <c r="BR315" i="99"/>
  <c r="AT288" i="153"/>
  <c r="AT290" i="153"/>
  <c r="AT314" i="153" s="1"/>
  <c r="AT320" i="153" s="1"/>
  <c r="AT35" i="153" s="1"/>
  <c r="AT100" i="153" s="1"/>
  <c r="AJ302" i="99"/>
  <c r="BH211" i="153"/>
  <c r="BH238" i="153"/>
  <c r="AA296" i="153"/>
  <c r="AA31" i="153" s="1"/>
  <c r="AA298" i="153"/>
  <c r="AA304" i="153" s="1"/>
  <c r="AA32" i="153" s="1"/>
  <c r="AA97" i="153" s="1"/>
  <c r="AA314" i="153"/>
  <c r="AA320" i="153" s="1"/>
  <c r="AA35" i="153" s="1"/>
  <c r="AA100" i="153" s="1"/>
  <c r="AA306" i="153"/>
  <c r="AA312" i="153" s="1"/>
  <c r="AA33" i="153" s="1"/>
  <c r="AA98" i="153" s="1"/>
  <c r="S322" i="153"/>
  <c r="BE211" i="153"/>
  <c r="BE238" i="153"/>
  <c r="AS244" i="153"/>
  <c r="AS246" i="153"/>
  <c r="AR290" i="153"/>
  <c r="AR288" i="153"/>
  <c r="AV288" i="153"/>
  <c r="AV290" i="153"/>
  <c r="AJ296" i="153"/>
  <c r="AJ31" i="153" s="1"/>
  <c r="AJ314" i="153"/>
  <c r="AJ320" i="153" s="1"/>
  <c r="AJ35" i="153" s="1"/>
  <c r="AJ100" i="153" s="1"/>
  <c r="AJ298" i="153"/>
  <c r="AJ304" i="153" s="1"/>
  <c r="AJ32" i="153" s="1"/>
  <c r="AJ97" i="153" s="1"/>
  <c r="AJ306" i="153"/>
  <c r="AJ312" i="153" s="1"/>
  <c r="AJ33" i="153" s="1"/>
  <c r="AJ98" i="153" s="1"/>
  <c r="BE219" i="153"/>
  <c r="BE282" i="153"/>
  <c r="V278" i="153"/>
  <c r="V469" i="153"/>
  <c r="BG282" i="153"/>
  <c r="BG219" i="153"/>
  <c r="Z296" i="153"/>
  <c r="Z31" i="153" s="1"/>
  <c r="Z306" i="153"/>
  <c r="Z312" i="153" s="1"/>
  <c r="Z33" i="153" s="1"/>
  <c r="Z98" i="153" s="1"/>
  <c r="Z314" i="153"/>
  <c r="Z320" i="153" s="1"/>
  <c r="Z35" i="153" s="1"/>
  <c r="Z100" i="153" s="1"/>
  <c r="S278" i="153"/>
  <c r="S469" i="153"/>
  <c r="AG296" i="153"/>
  <c r="AG31" i="153" s="1"/>
  <c r="AG298" i="153"/>
  <c r="AG304" i="153" s="1"/>
  <c r="AG32" i="153" s="1"/>
  <c r="AG97" i="153" s="1"/>
  <c r="AG306" i="153"/>
  <c r="AG312" i="153" s="1"/>
  <c r="AG33" i="153" s="1"/>
  <c r="AG98" i="153" s="1"/>
  <c r="AG314" i="153"/>
  <c r="AG320" i="153" s="1"/>
  <c r="AG35" i="153" s="1"/>
  <c r="AG100" i="153" s="1"/>
  <c r="BG211" i="153"/>
  <c r="BG238" i="153"/>
  <c r="W469" i="153"/>
  <c r="W278" i="153"/>
  <c r="BF282" i="153"/>
  <c r="BF219" i="153"/>
  <c r="AV246" i="153"/>
  <c r="AV244" i="153"/>
  <c r="AB302" i="99"/>
  <c r="AH270" i="153"/>
  <c r="AH276" i="153" s="1"/>
  <c r="AH26" i="153" s="1"/>
  <c r="AH91" i="153" s="1"/>
  <c r="AH254" i="153"/>
  <c r="AH262" i="153"/>
  <c r="AH268" i="153" s="1"/>
  <c r="AH24" i="153" s="1"/>
  <c r="AH89" i="153" s="1"/>
  <c r="AH252" i="153"/>
  <c r="AH22" i="153" s="1"/>
  <c r="AH463" i="153"/>
  <c r="AN290" i="153"/>
  <c r="AN306" i="153" s="1"/>
  <c r="AN312" i="153" s="1"/>
  <c r="AN33" i="153" s="1"/>
  <c r="AN98" i="153" s="1"/>
  <c r="AN288" i="153"/>
  <c r="AF254" i="153"/>
  <c r="AF262" i="153"/>
  <c r="AF268" i="153" s="1"/>
  <c r="AF24" i="153" s="1"/>
  <c r="AF89" i="153" s="1"/>
  <c r="AF270" i="153"/>
  <c r="AF276" i="153" s="1"/>
  <c r="AF26" i="153" s="1"/>
  <c r="AF91" i="153" s="1"/>
  <c r="AF252" i="153"/>
  <c r="AF22" i="153" s="1"/>
  <c r="AF463" i="153"/>
  <c r="R469" i="153"/>
  <c r="R19" i="153" s="1"/>
  <c r="R278" i="153"/>
  <c r="BF211" i="153"/>
  <c r="BF238" i="153"/>
  <c r="AB318" i="99"/>
  <c r="AL290" i="153"/>
  <c r="AL306" i="153" s="1"/>
  <c r="AL312" i="153" s="1"/>
  <c r="AL33" i="153" s="1"/>
  <c r="AL98" i="153" s="1"/>
  <c r="AL288" i="153"/>
  <c r="BD238" i="153"/>
  <c r="BD211" i="153"/>
  <c r="AG254" i="153"/>
  <c r="AG463" i="153"/>
  <c r="AG252" i="153"/>
  <c r="AG22" i="153" s="1"/>
  <c r="BP311" i="99"/>
  <c r="AN246" i="153"/>
  <c r="AN244" i="153"/>
  <c r="BD219" i="153"/>
  <c r="BD282" i="153"/>
  <c r="AQ288" i="153"/>
  <c r="AQ290" i="153"/>
  <c r="AG270" i="153"/>
  <c r="AG276" i="153" s="1"/>
  <c r="AG26" i="153" s="1"/>
  <c r="AG91" i="153" s="1"/>
  <c r="BI211" i="153"/>
  <c r="BI238" i="153"/>
  <c r="AY211" i="153"/>
  <c r="AY238" i="153"/>
  <c r="AU246" i="153"/>
  <c r="AU244" i="153"/>
  <c r="BI219" i="153"/>
  <c r="BI282" i="153"/>
  <c r="AR244" i="153"/>
  <c r="AR246" i="153"/>
  <c r="AA262" i="153"/>
  <c r="AA268" i="153" s="1"/>
  <c r="AA24" i="153" s="1"/>
  <c r="AA89" i="153" s="1"/>
  <c r="AA254" i="153"/>
  <c r="AA252" i="153"/>
  <c r="AA22" i="153" s="1"/>
  <c r="AA463" i="153"/>
  <c r="AA270" i="153"/>
  <c r="AA276" i="153" s="1"/>
  <c r="AA26" i="153" s="1"/>
  <c r="AA91" i="153" s="1"/>
  <c r="AY219" i="153"/>
  <c r="AY282" i="153"/>
  <c r="AG318" i="99"/>
  <c r="AW244" i="153"/>
  <c r="AW246" i="153"/>
  <c r="AB296" i="153"/>
  <c r="AB31" i="153" s="1"/>
  <c r="AB306" i="153"/>
  <c r="AB312" i="153" s="1"/>
  <c r="AB33" i="153" s="1"/>
  <c r="AB98" i="153" s="1"/>
  <c r="AB298" i="153"/>
  <c r="AB304" i="153" s="1"/>
  <c r="AB32" i="153" s="1"/>
  <c r="AB97" i="153" s="1"/>
  <c r="AB314" i="153"/>
  <c r="AB320" i="153" s="1"/>
  <c r="AB35" i="153" s="1"/>
  <c r="AB100" i="153" s="1"/>
  <c r="AI254" i="153"/>
  <c r="AI262" i="153"/>
  <c r="AI268" i="153" s="1"/>
  <c r="AI24" i="153" s="1"/>
  <c r="AI89" i="153" s="1"/>
  <c r="AI270" i="153"/>
  <c r="AI276" i="153" s="1"/>
  <c r="AI26" i="153" s="1"/>
  <c r="AI91" i="153" s="1"/>
  <c r="AI463" i="153"/>
  <c r="AI252" i="153"/>
  <c r="AI22" i="153" s="1"/>
  <c r="X469" i="153"/>
  <c r="X278" i="153"/>
  <c r="AG262" i="153"/>
  <c r="AG268" i="153" s="1"/>
  <c r="AG24" i="153" s="1"/>
  <c r="AG89" i="153" s="1"/>
  <c r="AP288" i="153"/>
  <c r="AP290" i="153"/>
  <c r="AP306" i="153" s="1"/>
  <c r="AP312" i="153" s="1"/>
  <c r="AP33" i="153" s="1"/>
  <c r="AE254" i="153"/>
  <c r="AE252" i="153"/>
  <c r="AE22" i="153" s="1"/>
  <c r="AE463" i="153"/>
  <c r="AE262" i="153"/>
  <c r="AE268" i="153" s="1"/>
  <c r="AE24" i="153" s="1"/>
  <c r="AE89" i="153" s="1"/>
  <c r="AE270" i="153"/>
  <c r="AE276" i="153" s="1"/>
  <c r="AE26" i="153" s="1"/>
  <c r="AE91" i="153" s="1"/>
  <c r="AX282" i="153"/>
  <c r="AX219" i="153"/>
  <c r="AB266" i="99"/>
  <c r="T469" i="153"/>
  <c r="T19" i="153" s="1"/>
  <c r="T84" i="153" s="1"/>
  <c r="T278" i="153"/>
  <c r="AM288" i="153"/>
  <c r="AM290" i="153"/>
  <c r="AM314" i="153" s="1"/>
  <c r="AM320" i="153" s="1"/>
  <c r="AM35" i="153" s="1"/>
  <c r="AM100" i="153" s="1"/>
  <c r="AS290" i="153"/>
  <c r="AS288" i="153"/>
  <c r="AX238" i="153"/>
  <c r="AX211" i="153"/>
  <c r="BF262" i="99"/>
  <c r="AH296" i="153"/>
  <c r="AH31" i="153" s="1"/>
  <c r="AH306" i="153"/>
  <c r="AH312" i="153" s="1"/>
  <c r="AH33" i="153" s="1"/>
  <c r="AH98" i="153" s="1"/>
  <c r="AH298" i="153"/>
  <c r="AH304" i="153" s="1"/>
  <c r="AH32" i="153" s="1"/>
  <c r="AH97" i="153" s="1"/>
  <c r="AH314" i="153"/>
  <c r="AH320" i="153" s="1"/>
  <c r="AH35" i="153" s="1"/>
  <c r="AH100" i="153" s="1"/>
  <c r="AL246" i="153"/>
  <c r="AL244" i="153"/>
  <c r="AC254" i="153"/>
  <c r="AC262" i="153"/>
  <c r="AC268" i="153" s="1"/>
  <c r="AC24" i="153" s="1"/>
  <c r="AC89" i="153" s="1"/>
  <c r="AC252" i="153"/>
  <c r="AC22" i="153" s="1"/>
  <c r="AC270" i="153"/>
  <c r="AC276" i="153" s="1"/>
  <c r="AC26" i="153" s="1"/>
  <c r="AC91" i="153" s="1"/>
  <c r="AC463" i="153"/>
  <c r="R322" i="153"/>
  <c r="BM311" i="99"/>
  <c r="BC238" i="153"/>
  <c r="BC211" i="153"/>
  <c r="AD296" i="153"/>
  <c r="AD31" i="153" s="1"/>
  <c r="AD306" i="153"/>
  <c r="AD312" i="153" s="1"/>
  <c r="AD33" i="153" s="1"/>
  <c r="AD298" i="153"/>
  <c r="AD304" i="153" s="1"/>
  <c r="AD32" i="153" s="1"/>
  <c r="AD314" i="153"/>
  <c r="AD320" i="153" s="1"/>
  <c r="AD35" i="153" s="1"/>
  <c r="AQ244" i="153"/>
  <c r="AQ246" i="153"/>
  <c r="AO290" i="153"/>
  <c r="AO288" i="153"/>
  <c r="BG298" i="99"/>
  <c r="AT246" i="153"/>
  <c r="AT244" i="153"/>
  <c r="BC219" i="153"/>
  <c r="BC282" i="153"/>
  <c r="BB211" i="153"/>
  <c r="BB238" i="153"/>
  <c r="AC296" i="153"/>
  <c r="AC31" i="153" s="1"/>
  <c r="AC298" i="153"/>
  <c r="AC304" i="153" s="1"/>
  <c r="AC32" i="153" s="1"/>
  <c r="AC97" i="153" s="1"/>
  <c r="AC306" i="153"/>
  <c r="AC312" i="153" s="1"/>
  <c r="AC33" i="153" s="1"/>
  <c r="AC98" i="153" s="1"/>
  <c r="T322" i="153"/>
  <c r="AO246" i="153"/>
  <c r="AO244" i="153"/>
  <c r="AF296" i="153"/>
  <c r="AF31" i="153" s="1"/>
  <c r="AF306" i="153"/>
  <c r="AF312" i="153" s="1"/>
  <c r="AF33" i="153" s="1"/>
  <c r="AF98" i="153" s="1"/>
  <c r="AF298" i="153"/>
  <c r="AF304" i="153" s="1"/>
  <c r="AF32" i="153" s="1"/>
  <c r="AF97" i="153" s="1"/>
  <c r="AF314" i="153"/>
  <c r="AF320" i="153" s="1"/>
  <c r="AF35" i="153" s="1"/>
  <c r="AF100" i="153" s="1"/>
  <c r="AD254" i="153"/>
  <c r="AD262" i="153"/>
  <c r="AD268" i="153" s="1"/>
  <c r="AD24" i="153" s="1"/>
  <c r="AD270" i="153"/>
  <c r="AD276" i="153" s="1"/>
  <c r="AD26" i="153" s="1"/>
  <c r="AD463" i="153"/>
  <c r="AD252" i="153"/>
  <c r="AD22" i="153" s="1"/>
  <c r="AM244" i="153"/>
  <c r="AM246" i="153"/>
  <c r="Z270" i="153"/>
  <c r="Z276" i="153" s="1"/>
  <c r="Z26" i="153" s="1"/>
  <c r="Z91" i="153" s="1"/>
  <c r="Z252" i="153"/>
  <c r="Z22" i="153" s="1"/>
  <c r="Z254" i="153"/>
  <c r="Z262" i="153"/>
  <c r="Z268" i="153" s="1"/>
  <c r="Z24" i="153" s="1"/>
  <c r="Z89" i="153" s="1"/>
  <c r="Z463" i="153"/>
  <c r="U278" i="153"/>
  <c r="U469" i="153"/>
  <c r="U19" i="153" s="1"/>
  <c r="U84" i="153" s="1"/>
  <c r="AE266" i="99"/>
  <c r="AZ219" i="153"/>
  <c r="AZ282" i="153"/>
  <c r="BA211" i="153"/>
  <c r="BA238" i="153"/>
  <c r="BB219" i="153"/>
  <c r="BB282" i="153"/>
  <c r="AB262" i="153"/>
  <c r="AB463" i="153"/>
  <c r="AB270" i="153"/>
  <c r="AB276" i="153" s="1"/>
  <c r="AB26" i="153" s="1"/>
  <c r="AB91" i="153" s="1"/>
  <c r="AB252" i="153"/>
  <c r="AB22" i="153" s="1"/>
  <c r="AU288" i="153"/>
  <c r="AU290" i="153"/>
  <c r="BR263" i="99"/>
  <c r="BI463" i="99"/>
  <c r="BF463" i="99"/>
  <c r="BI262" i="99"/>
  <c r="AW288" i="153"/>
  <c r="AW290" i="153"/>
  <c r="AZ211" i="153"/>
  <c r="AZ238" i="153"/>
  <c r="V322" i="153"/>
  <c r="BR271" i="99"/>
  <c r="BR299" i="99"/>
  <c r="AI298" i="153"/>
  <c r="AI304" i="153" s="1"/>
  <c r="AI32" i="153" s="1"/>
  <c r="AI97" i="153" s="1"/>
  <c r="BK311" i="99"/>
  <c r="BL311" i="99"/>
  <c r="AV294" i="99"/>
  <c r="AV310" i="99" s="1"/>
  <c r="Z318" i="99"/>
  <c r="BK303" i="99"/>
  <c r="AA318" i="99"/>
  <c r="AV250" i="99"/>
  <c r="Z302" i="99"/>
  <c r="AD302" i="99"/>
  <c r="AA302" i="99"/>
  <c r="AF266" i="99"/>
  <c r="AD310" i="99"/>
  <c r="AC274" i="99"/>
  <c r="AC467" i="99"/>
  <c r="BP319" i="99"/>
  <c r="AI274" i="99"/>
  <c r="AI467" i="99"/>
  <c r="AF258" i="99"/>
  <c r="AF467" i="99"/>
  <c r="BO259" i="99"/>
  <c r="BO468" i="99"/>
  <c r="AG258" i="99"/>
  <c r="AG467" i="99"/>
  <c r="BK275" i="99"/>
  <c r="BK468" i="99"/>
  <c r="AT250" i="99"/>
  <c r="BJ303" i="99"/>
  <c r="AM294" i="99"/>
  <c r="AM302" i="99" s="1"/>
  <c r="BP275" i="99"/>
  <c r="BR267" i="99"/>
  <c r="BR468" i="99"/>
  <c r="AT294" i="99"/>
  <c r="AT302" i="99" s="1"/>
  <c r="AP250" i="99"/>
  <c r="BJ311" i="99"/>
  <c r="AM250" i="99"/>
  <c r="AS250" i="99"/>
  <c r="BQ259" i="99"/>
  <c r="BQ468" i="99"/>
  <c r="AP294" i="99"/>
  <c r="AP318" i="99" s="1"/>
  <c r="AR294" i="99"/>
  <c r="AR302" i="99" s="1"/>
  <c r="BP267" i="99"/>
  <c r="BP468" i="99"/>
  <c r="AS294" i="99"/>
  <c r="AS318" i="99" s="1"/>
  <c r="AR250" i="99"/>
  <c r="AB258" i="99"/>
  <c r="AB467" i="99"/>
  <c r="AE258" i="99"/>
  <c r="AE467" i="99"/>
  <c r="AO294" i="99"/>
  <c r="AO318" i="99" s="1"/>
  <c r="AF318" i="99"/>
  <c r="AI318" i="99"/>
  <c r="AH266" i="99"/>
  <c r="AW302" i="99"/>
  <c r="BM319" i="99"/>
  <c r="BM267" i="99"/>
  <c r="BM468" i="99"/>
  <c r="BO303" i="99"/>
  <c r="AO250" i="99"/>
  <c r="AF310" i="99"/>
  <c r="Z274" i="99"/>
  <c r="Z467" i="99"/>
  <c r="AI302" i="99"/>
  <c r="BO311" i="99"/>
  <c r="AU250" i="99"/>
  <c r="AH274" i="99"/>
  <c r="AH467" i="99"/>
  <c r="AU294" i="99"/>
  <c r="AU318" i="99" s="1"/>
  <c r="BN267" i="99"/>
  <c r="BN468" i="99"/>
  <c r="AN250" i="99"/>
  <c r="AD258" i="99"/>
  <c r="AN294" i="99"/>
  <c r="AN318" i="99" s="1"/>
  <c r="AA274" i="99"/>
  <c r="AJ258" i="99"/>
  <c r="AD266" i="99"/>
  <c r="AD467" i="99"/>
  <c r="AQ250" i="99"/>
  <c r="BL259" i="99"/>
  <c r="BL468" i="99"/>
  <c r="AL294" i="99"/>
  <c r="AL318" i="99" s="1"/>
  <c r="AQ294" i="99"/>
  <c r="AQ302" i="99" s="1"/>
  <c r="AA258" i="99"/>
  <c r="AA467" i="99"/>
  <c r="AL250" i="99"/>
  <c r="AJ274" i="99"/>
  <c r="AJ467" i="99"/>
  <c r="BQ303" i="99"/>
  <c r="BJ275" i="99"/>
  <c r="BJ468" i="99"/>
  <c r="AE318" i="99"/>
  <c r="BL303" i="99"/>
  <c r="BQ319" i="99"/>
  <c r="W45" i="105"/>
  <c r="R306" i="99"/>
  <c r="R312" i="99" s="1"/>
  <c r="R33" i="99" s="1"/>
  <c r="BS254" i="99"/>
  <c r="BV319" i="99"/>
  <c r="BN314" i="99"/>
  <c r="BN262" i="99"/>
  <c r="BL298" i="99"/>
  <c r="BL306" i="99"/>
  <c r="BM262" i="99"/>
  <c r="BT306" i="99"/>
  <c r="BT298" i="99"/>
  <c r="BV255" i="99"/>
  <c r="T314" i="99"/>
  <c r="T320" i="99" s="1"/>
  <c r="T35" i="99" s="1"/>
  <c r="T100" i="103" s="1"/>
  <c r="R270" i="99"/>
  <c r="R276" i="99" s="1"/>
  <c r="R26" i="99" s="1"/>
  <c r="R91" i="103" s="1"/>
  <c r="BV275" i="99"/>
  <c r="R314" i="99"/>
  <c r="R320" i="99" s="1"/>
  <c r="R35" i="99" s="1"/>
  <c r="BK254" i="99"/>
  <c r="BJ262" i="99"/>
  <c r="R298" i="99"/>
  <c r="R304" i="99" s="1"/>
  <c r="R32" i="99" s="1"/>
  <c r="U298" i="99"/>
  <c r="U304" i="99" s="1"/>
  <c r="U32" i="99" s="1"/>
  <c r="U97" i="103" s="1"/>
  <c r="BN306" i="99"/>
  <c r="BR298" i="99"/>
  <c r="BV315" i="99"/>
  <c r="BQ315" i="99"/>
  <c r="BO298" i="99"/>
  <c r="T254" i="99"/>
  <c r="T260" i="99" s="1"/>
  <c r="T23" i="99" s="1"/>
  <c r="T88" i="99" s="1"/>
  <c r="BM314" i="99"/>
  <c r="BX219" i="153"/>
  <c r="BX282" i="153"/>
  <c r="BR244" i="153"/>
  <c r="BR246" i="153"/>
  <c r="BY219" i="153"/>
  <c r="BY282" i="153"/>
  <c r="BV219" i="153"/>
  <c r="BV282" i="153"/>
  <c r="BO244" i="153"/>
  <c r="BO246" i="153"/>
  <c r="BP254" i="99"/>
  <c r="BO262" i="99"/>
  <c r="BU244" i="153"/>
  <c r="BU246" i="153"/>
  <c r="BX238" i="153"/>
  <c r="BX211" i="153"/>
  <c r="BJ290" i="153"/>
  <c r="BJ296" i="153" s="1"/>
  <c r="BJ31" i="153" s="1"/>
  <c r="BJ288" i="153"/>
  <c r="BP315" i="99"/>
  <c r="S270" i="99"/>
  <c r="S276" i="99" s="1"/>
  <c r="S26" i="99" s="1"/>
  <c r="BQ254" i="99"/>
  <c r="BL246" i="153"/>
  <c r="BL244" i="153"/>
  <c r="BN246" i="153"/>
  <c r="BN244" i="153"/>
  <c r="BO290" i="153"/>
  <c r="BO296" i="153" s="1"/>
  <c r="BO31" i="153" s="1"/>
  <c r="BO288" i="153"/>
  <c r="BV256" i="99"/>
  <c r="S254" i="99"/>
  <c r="S260" i="99" s="1"/>
  <c r="S23" i="99" s="1"/>
  <c r="BM306" i="99"/>
  <c r="BJ306" i="99"/>
  <c r="U306" i="99"/>
  <c r="U312" i="99" s="1"/>
  <c r="U33" i="99" s="1"/>
  <c r="U98" i="103" s="1"/>
  <c r="BQ314" i="99"/>
  <c r="BJ314" i="99"/>
  <c r="BN290" i="153"/>
  <c r="BN296" i="153" s="1"/>
  <c r="BN31" i="153" s="1"/>
  <c r="BN288" i="153"/>
  <c r="R421" i="99"/>
  <c r="BQ298" i="99"/>
  <c r="BP288" i="153"/>
  <c r="BP290" i="153"/>
  <c r="BP296" i="153" s="1"/>
  <c r="BP31" i="153" s="1"/>
  <c r="BL288" i="153"/>
  <c r="BL290" i="153"/>
  <c r="BL296" i="153" s="1"/>
  <c r="BL31" i="153" s="1"/>
  <c r="BQ246" i="153"/>
  <c r="BQ244" i="153"/>
  <c r="BQ290" i="153"/>
  <c r="BQ296" i="153" s="1"/>
  <c r="BQ31" i="153" s="1"/>
  <c r="BQ288" i="153"/>
  <c r="BK314" i="99"/>
  <c r="BW282" i="153"/>
  <c r="BW219" i="153"/>
  <c r="BT270" i="99"/>
  <c r="BK298" i="99"/>
  <c r="BO306" i="99"/>
  <c r="BW238" i="153"/>
  <c r="BW211" i="153"/>
  <c r="BP246" i="153"/>
  <c r="BP244" i="153"/>
  <c r="BK244" i="153"/>
  <c r="BK246" i="153"/>
  <c r="BU290" i="153"/>
  <c r="BU296" i="153" s="1"/>
  <c r="BU31" i="153" s="1"/>
  <c r="BU288" i="153"/>
  <c r="BK288" i="153"/>
  <c r="BK290" i="153"/>
  <c r="BK296" i="153" s="1"/>
  <c r="BK31" i="153" s="1"/>
  <c r="BT246" i="153"/>
  <c r="BT244" i="153"/>
  <c r="BV300" i="99"/>
  <c r="BP314" i="99"/>
  <c r="BR314" i="99"/>
  <c r="BM244" i="153"/>
  <c r="BM246" i="153"/>
  <c r="BM290" i="153"/>
  <c r="BM296" i="153" s="1"/>
  <c r="BM31" i="153" s="1"/>
  <c r="BM288" i="153"/>
  <c r="BS288" i="153"/>
  <c r="BS290" i="153"/>
  <c r="BS296" i="153" s="1"/>
  <c r="BS31" i="153" s="1"/>
  <c r="BP298" i="99"/>
  <c r="BJ246" i="153"/>
  <c r="BJ244" i="153"/>
  <c r="BR288" i="153"/>
  <c r="BR290" i="153"/>
  <c r="BR296" i="153" s="1"/>
  <c r="BR31" i="153" s="1"/>
  <c r="BY211" i="153"/>
  <c r="BY238" i="153"/>
  <c r="BV211" i="153"/>
  <c r="BV238" i="153"/>
  <c r="BL254" i="99"/>
  <c r="BL270" i="99"/>
  <c r="BL463" i="99"/>
  <c r="BN254" i="99"/>
  <c r="BN463" i="99"/>
  <c r="BO254" i="99"/>
  <c r="BO463" i="99"/>
  <c r="BP299" i="99"/>
  <c r="BQ270" i="99"/>
  <c r="BQ463" i="99"/>
  <c r="BT254" i="99"/>
  <c r="BT463" i="99"/>
  <c r="BS262" i="99"/>
  <c r="BS463" i="99"/>
  <c r="U314" i="99"/>
  <c r="U320" i="99" s="1"/>
  <c r="U35" i="99" s="1"/>
  <c r="U100" i="103" s="1"/>
  <c r="J45" i="99"/>
  <c r="J110" i="103" s="1"/>
  <c r="BP262" i="99"/>
  <c r="BP463" i="99"/>
  <c r="BJ254" i="99"/>
  <c r="BJ463" i="99"/>
  <c r="BM270" i="99"/>
  <c r="BM463" i="99"/>
  <c r="BS314" i="99"/>
  <c r="BP271" i="99"/>
  <c r="BS298" i="99"/>
  <c r="BQ299" i="99"/>
  <c r="BK270" i="99"/>
  <c r="BK463" i="99"/>
  <c r="J43" i="103"/>
  <c r="BX329" i="99"/>
  <c r="BX339" i="99" s="1"/>
  <c r="BX198" i="99"/>
  <c r="BY185" i="99"/>
  <c r="BG239" i="99"/>
  <c r="BW251" i="99"/>
  <c r="BB213" i="99"/>
  <c r="BB205" i="99"/>
  <c r="BB203" i="99"/>
  <c r="BH283" i="99"/>
  <c r="AQ282" i="99"/>
  <c r="AQ219" i="99"/>
  <c r="AT338" i="99"/>
  <c r="AT344" i="99" s="1"/>
  <c r="AT43" i="99" s="1"/>
  <c r="AT108" i="103" s="1"/>
  <c r="AT334" i="99"/>
  <c r="AC110" i="99"/>
  <c r="X246" i="99"/>
  <c r="X244" i="99"/>
  <c r="BY198" i="99"/>
  <c r="BY329" i="99"/>
  <c r="BY339" i="99" s="1"/>
  <c r="BG283" i="99"/>
  <c r="BJ239" i="99"/>
  <c r="BH239" i="99"/>
  <c r="U254" i="99"/>
  <c r="U260" i="99" s="1"/>
  <c r="U23" i="99" s="1"/>
  <c r="U463" i="99"/>
  <c r="U252" i="99"/>
  <c r="BQ271" i="99"/>
  <c r="BW247" i="99"/>
  <c r="AD246" i="99"/>
  <c r="AD244" i="99"/>
  <c r="BY330" i="99"/>
  <c r="BY340" i="99" s="1"/>
  <c r="BY199" i="99"/>
  <c r="BJ283" i="99"/>
  <c r="AI45" i="99"/>
  <c r="AI110" i="103" s="1"/>
  <c r="AI108" i="99"/>
  <c r="AI238" i="99"/>
  <c r="AI211" i="99"/>
  <c r="BL239" i="99"/>
  <c r="Z246" i="99"/>
  <c r="Z244" i="99"/>
  <c r="BW291" i="99"/>
  <c r="BW315" i="99" s="1"/>
  <c r="AR238" i="99"/>
  <c r="AE290" i="99"/>
  <c r="AE296" i="99" s="1"/>
  <c r="AE288" i="99"/>
  <c r="AI282" i="99"/>
  <c r="AI219" i="99"/>
  <c r="AC246" i="99"/>
  <c r="AC244" i="99"/>
  <c r="BL283" i="99"/>
  <c r="BQ255" i="99"/>
  <c r="BQ464" i="99"/>
  <c r="Y246" i="99"/>
  <c r="Y244" i="99"/>
  <c r="R262" i="99"/>
  <c r="R268" i="99" s="1"/>
  <c r="R24" i="99" s="1"/>
  <c r="R89" i="103" s="1"/>
  <c r="R252" i="99"/>
  <c r="R22" i="99" s="1"/>
  <c r="R463" i="99"/>
  <c r="AR282" i="99"/>
  <c r="U52" i="105"/>
  <c r="W290" i="99"/>
  <c r="W296" i="99" s="1"/>
  <c r="W288" i="99"/>
  <c r="X290" i="99"/>
  <c r="X296" i="99" s="1"/>
  <c r="X288" i="99"/>
  <c r="BW205" i="99"/>
  <c r="BW213" i="99"/>
  <c r="BI239" i="99"/>
  <c r="BV311" i="99"/>
  <c r="BW338" i="99"/>
  <c r="AF290" i="99"/>
  <c r="AF296" i="99" s="1"/>
  <c r="AF288" i="99"/>
  <c r="AY338" i="99"/>
  <c r="AY344" i="99" s="1"/>
  <c r="AY43" i="99" s="1"/>
  <c r="AY108" i="103" s="1"/>
  <c r="AY334" i="99"/>
  <c r="BX631" i="99"/>
  <c r="BX625" i="99"/>
  <c r="BX626" i="99" s="1"/>
  <c r="BX562" i="99"/>
  <c r="BY202" i="99"/>
  <c r="BY333" i="99"/>
  <c r="BY343" i="99" s="1"/>
  <c r="BP263" i="99"/>
  <c r="BP464" i="99"/>
  <c r="AH238" i="99"/>
  <c r="AH211" i="99"/>
  <c r="AA246" i="99"/>
  <c r="AA244" i="99"/>
  <c r="BI283" i="99"/>
  <c r="Y45" i="103"/>
  <c r="J45" i="103" s="1"/>
  <c r="AY205" i="99"/>
  <c r="AY213" i="99"/>
  <c r="AY203" i="99"/>
  <c r="BV272" i="99"/>
  <c r="BV465" i="99"/>
  <c r="R31" i="99"/>
  <c r="AH282" i="99"/>
  <c r="AH219" i="99"/>
  <c r="U31" i="99"/>
  <c r="U96" i="103" s="1"/>
  <c r="BO283" i="99"/>
  <c r="Z110" i="99"/>
  <c r="AO108" i="99"/>
  <c r="AO45" i="99"/>
  <c r="AO110" i="103" s="1"/>
  <c r="AO43" i="103"/>
  <c r="AO45" i="103" s="1"/>
  <c r="V246" i="99"/>
  <c r="V244" i="99"/>
  <c r="Y110" i="99"/>
  <c r="S314" i="99"/>
  <c r="S320" i="99" s="1"/>
  <c r="S35" i="99" s="1"/>
  <c r="S100" i="103" s="1"/>
  <c r="BO239" i="99"/>
  <c r="BK239" i="99"/>
  <c r="AE110" i="99"/>
  <c r="Y290" i="99"/>
  <c r="Y296" i="99" s="1"/>
  <c r="Y288" i="99"/>
  <c r="BV308" i="99"/>
  <c r="V290" i="99"/>
  <c r="V296" i="99" s="1"/>
  <c r="V288" i="99"/>
  <c r="AG246" i="99"/>
  <c r="AG244" i="99"/>
  <c r="S306" i="99"/>
  <c r="S312" i="99" s="1"/>
  <c r="S33" i="99" s="1"/>
  <c r="S98" i="103" s="1"/>
  <c r="BK283" i="99"/>
  <c r="AO282" i="99"/>
  <c r="AO219" i="99"/>
  <c r="AU338" i="99"/>
  <c r="AU344" i="99" s="1"/>
  <c r="AU43" i="99" s="1"/>
  <c r="AU108" i="103" s="1"/>
  <c r="AU334" i="99"/>
  <c r="AK108" i="99"/>
  <c r="AK45" i="99"/>
  <c r="AK110" i="103" s="1"/>
  <c r="BM239" i="99"/>
  <c r="AF110" i="99"/>
  <c r="S298" i="99"/>
  <c r="S304" i="99" s="1"/>
  <c r="S32" i="99" s="1"/>
  <c r="S97" i="103" s="1"/>
  <c r="BE213" i="99"/>
  <c r="BE205" i="99"/>
  <c r="BN283" i="99"/>
  <c r="AV338" i="99"/>
  <c r="AV344" i="99" s="1"/>
  <c r="AV43" i="99" s="1"/>
  <c r="AV108" i="103" s="1"/>
  <c r="AV334" i="99"/>
  <c r="AO238" i="99"/>
  <c r="AO211" i="99"/>
  <c r="AM238" i="99"/>
  <c r="AM211" i="99"/>
  <c r="AU213" i="99"/>
  <c r="AU205" i="99"/>
  <c r="AU203" i="99"/>
  <c r="BM283" i="99"/>
  <c r="AL282" i="99"/>
  <c r="AL219" i="99"/>
  <c r="AN238" i="99"/>
  <c r="AN211" i="99"/>
  <c r="AC290" i="99"/>
  <c r="AC296" i="99" s="1"/>
  <c r="AC288" i="99"/>
  <c r="AW338" i="99"/>
  <c r="AW344" i="99" s="1"/>
  <c r="AW43" i="99" s="1"/>
  <c r="AW108" i="103" s="1"/>
  <c r="AW334" i="99"/>
  <c r="S31" i="99"/>
  <c r="BE338" i="99"/>
  <c r="BN239" i="99"/>
  <c r="AV205" i="99"/>
  <c r="AV213" i="99"/>
  <c r="AV203" i="99"/>
  <c r="AS238" i="99"/>
  <c r="AM282" i="99"/>
  <c r="AM219" i="99"/>
  <c r="BW292" i="99"/>
  <c r="BW316" i="99" s="1"/>
  <c r="AL238" i="99"/>
  <c r="AL211" i="99"/>
  <c r="AN282" i="99"/>
  <c r="AN219" i="99"/>
  <c r="AW213" i="99"/>
  <c r="AW205" i="99"/>
  <c r="AW203" i="99"/>
  <c r="BY562" i="99"/>
  <c r="BY625" i="99"/>
  <c r="BY626" i="99" s="1"/>
  <c r="BY631" i="99"/>
  <c r="AS282" i="99"/>
  <c r="BW248" i="99"/>
  <c r="AZ213" i="99"/>
  <c r="AZ205" i="99"/>
  <c r="AZ203" i="99"/>
  <c r="X110" i="99"/>
  <c r="T298" i="99"/>
  <c r="T304" i="99" s="1"/>
  <c r="T32" i="99" s="1"/>
  <c r="T97" i="103" s="1"/>
  <c r="T296" i="99"/>
  <c r="BW294" i="99"/>
  <c r="BW318" i="99" s="1"/>
  <c r="AA110" i="99"/>
  <c r="BD213" i="99"/>
  <c r="BD205" i="99"/>
  <c r="AX338" i="99"/>
  <c r="AX344" i="99" s="1"/>
  <c r="AX43" i="99" s="1"/>
  <c r="AX108" i="103" s="1"/>
  <c r="AX334" i="99"/>
  <c r="AG110" i="99"/>
  <c r="AZ338" i="99"/>
  <c r="AZ344" i="99" s="1"/>
  <c r="AZ43" i="99" s="1"/>
  <c r="AZ108" i="103" s="1"/>
  <c r="AZ334" i="99"/>
  <c r="AP282" i="99"/>
  <c r="AP219" i="99"/>
  <c r="BW250" i="99"/>
  <c r="BD338" i="99"/>
  <c r="AX205" i="99"/>
  <c r="AX213" i="99"/>
  <c r="AX203" i="99"/>
  <c r="AM45" i="99"/>
  <c r="AM110" i="103" s="1"/>
  <c r="AM108" i="99"/>
  <c r="AM43" i="103"/>
  <c r="AM45" i="103" s="1"/>
  <c r="V110" i="99"/>
  <c r="BV299" i="99"/>
  <c r="AP238" i="99"/>
  <c r="AP211" i="99"/>
  <c r="AG290" i="99"/>
  <c r="AG296" i="99" s="1"/>
  <c r="AG288" i="99"/>
  <c r="BX202" i="99"/>
  <c r="BX333" i="99"/>
  <c r="BX343" i="99" s="1"/>
  <c r="AE246" i="99"/>
  <c r="AE244" i="99"/>
  <c r="S463" i="99"/>
  <c r="S252" i="99"/>
  <c r="BC205" i="99"/>
  <c r="BC213" i="99"/>
  <c r="BC203" i="99"/>
  <c r="T270" i="99"/>
  <c r="T276" i="99" s="1"/>
  <c r="T26" i="99" s="1"/>
  <c r="T463" i="99"/>
  <c r="T252" i="99"/>
  <c r="AB290" i="99"/>
  <c r="AB296" i="99" s="1"/>
  <c r="AB288" i="99"/>
  <c r="AL108" i="99"/>
  <c r="AL45" i="99"/>
  <c r="AL110" i="103" s="1"/>
  <c r="AL43" i="103"/>
  <c r="AL45" i="103" s="1"/>
  <c r="AQ45" i="99"/>
  <c r="AQ110" i="103" s="1"/>
  <c r="AQ108" i="99"/>
  <c r="AQ43" i="103"/>
  <c r="AQ45" i="103" s="1"/>
  <c r="AN108" i="99"/>
  <c r="AN45" i="99"/>
  <c r="AN110" i="103" s="1"/>
  <c r="AJ45" i="99"/>
  <c r="AJ110" i="103" s="1"/>
  <c r="AJ108" i="99"/>
  <c r="BC338" i="99"/>
  <c r="BC344" i="99" s="1"/>
  <c r="BC43" i="99" s="1"/>
  <c r="BC108" i="103" s="1"/>
  <c r="BC334" i="99"/>
  <c r="AB110" i="99"/>
  <c r="BF283" i="99"/>
  <c r="AJ282" i="99"/>
  <c r="AJ219" i="99"/>
  <c r="AA290" i="99"/>
  <c r="AA296" i="99" s="1"/>
  <c r="AA288" i="99"/>
  <c r="Z290" i="99"/>
  <c r="Z296" i="99" s="1"/>
  <c r="Z288" i="99"/>
  <c r="AD290" i="99"/>
  <c r="AD296" i="99" s="1"/>
  <c r="AD288" i="99"/>
  <c r="BX330" i="99"/>
  <c r="BX340" i="99" s="1"/>
  <c r="BX199" i="99"/>
  <c r="AK282" i="99"/>
  <c r="AK219" i="99"/>
  <c r="BF239" i="99"/>
  <c r="AP45" i="99"/>
  <c r="AP110" i="103" s="1"/>
  <c r="AP108" i="99"/>
  <c r="AJ238" i="99"/>
  <c r="AJ211" i="99"/>
  <c r="W246" i="99"/>
  <c r="W244" i="99"/>
  <c r="BV267" i="99"/>
  <c r="BV468" i="99"/>
  <c r="AB246" i="99"/>
  <c r="AB244" i="99"/>
  <c r="BX332" i="99"/>
  <c r="BX342" i="99" s="1"/>
  <c r="BX201" i="99"/>
  <c r="W110" i="99"/>
  <c r="AK238" i="99"/>
  <c r="AK211" i="99"/>
  <c r="BV263" i="99"/>
  <c r="BV464" i="99"/>
  <c r="AD110" i="99"/>
  <c r="BA338" i="99"/>
  <c r="BA344" i="99" s="1"/>
  <c r="BA43" i="99" s="1"/>
  <c r="BA108" i="103" s="1"/>
  <c r="BA334" i="99"/>
  <c r="AF246" i="99"/>
  <c r="AF244" i="99"/>
  <c r="P559" i="99"/>
  <c r="N623" i="99"/>
  <c r="P623" i="99" s="1"/>
  <c r="BX185" i="99"/>
  <c r="BY332" i="99"/>
  <c r="BY342" i="99" s="1"/>
  <c r="BY201" i="99"/>
  <c r="BW295" i="99"/>
  <c r="BW303" i="99" s="1"/>
  <c r="BB338" i="99"/>
  <c r="BB344" i="99" s="1"/>
  <c r="BB43" i="99" s="1"/>
  <c r="BB108" i="103" s="1"/>
  <c r="BB334" i="99"/>
  <c r="AH45" i="99"/>
  <c r="AH110" i="103" s="1"/>
  <c r="AH108" i="99"/>
  <c r="AH43" i="103"/>
  <c r="AH45" i="103" s="1"/>
  <c r="U270" i="99"/>
  <c r="U276" i="99" s="1"/>
  <c r="U26" i="99" s="1"/>
  <c r="AQ238" i="99"/>
  <c r="AQ211" i="99"/>
  <c r="AT205" i="99"/>
  <c r="AT213" i="99"/>
  <c r="AT203" i="99"/>
  <c r="BA213" i="99"/>
  <c r="BA205" i="99"/>
  <c r="BA203" i="99"/>
  <c r="BM274" i="99"/>
  <c r="BI310" i="99"/>
  <c r="BN274" i="99"/>
  <c r="BO258" i="99"/>
  <c r="BR274" i="99"/>
  <c r="BP318" i="99"/>
  <c r="BK274" i="99"/>
  <c r="BJ274" i="99"/>
  <c r="BI266" i="99"/>
  <c r="BR318" i="99"/>
  <c r="BL274" i="99"/>
  <c r="BK302" i="99"/>
  <c r="BL310" i="99"/>
  <c r="BO302" i="99"/>
  <c r="BP258" i="99"/>
  <c r="BO318" i="99"/>
  <c r="BP310" i="99"/>
  <c r="BV294" i="99"/>
  <c r="BV302" i="99" s="1"/>
  <c r="BN310" i="99"/>
  <c r="BI258" i="99"/>
  <c r="BI467" i="99"/>
  <c r="BQ318" i="99"/>
  <c r="BJ318" i="99"/>
  <c r="BU294" i="99"/>
  <c r="BU302" i="99" s="1"/>
  <c r="BM258" i="99"/>
  <c r="BM467" i="99"/>
  <c r="BU250" i="99"/>
  <c r="BR266" i="99"/>
  <c r="BR467" i="99"/>
  <c r="BL266" i="99"/>
  <c r="BQ302" i="99"/>
  <c r="BR302" i="99"/>
  <c r="BN258" i="99"/>
  <c r="BN467" i="99"/>
  <c r="BK258" i="99"/>
  <c r="BK467" i="99"/>
  <c r="BM318" i="99"/>
  <c r="BO266" i="99"/>
  <c r="BO467" i="99"/>
  <c r="BL467" i="99"/>
  <c r="BI302" i="99"/>
  <c r="BM302" i="99"/>
  <c r="BL302" i="99"/>
  <c r="BN302" i="99"/>
  <c r="BQ258" i="99"/>
  <c r="BK318" i="99"/>
  <c r="BP274" i="99"/>
  <c r="BP467" i="99"/>
  <c r="BJ310" i="99"/>
  <c r="BJ258" i="99"/>
  <c r="BJ467" i="99"/>
  <c r="BQ266" i="99"/>
  <c r="BQ467" i="99"/>
  <c r="J43" i="99"/>
  <c r="J108" i="103" s="1"/>
  <c r="K43" i="99"/>
  <c r="K108" i="103" s="1"/>
  <c r="M148" i="154" l="1"/>
  <c r="M147" i="154"/>
  <c r="M145" i="154"/>
  <c r="M146" i="154"/>
  <c r="W101" i="155"/>
  <c r="W102" i="155" s="1"/>
  <c r="AF37" i="155"/>
  <c r="AA146" i="155"/>
  <c r="AA145" i="155"/>
  <c r="Z146" i="155"/>
  <c r="W146" i="155"/>
  <c r="Y104" i="105"/>
  <c r="T23" i="151"/>
  <c r="Z104" i="105"/>
  <c r="U23" i="151"/>
  <c r="W104" i="105"/>
  <c r="R23" i="151"/>
  <c r="W145" i="155"/>
  <c r="W147" i="155"/>
  <c r="X104" i="105"/>
  <c r="S23" i="151"/>
  <c r="BM208" i="99"/>
  <c r="BM241" i="99" s="1"/>
  <c r="BM249" i="99" s="1"/>
  <c r="BM203" i="99"/>
  <c r="AK145" i="155"/>
  <c r="AC145" i="155"/>
  <c r="AC146" i="155"/>
  <c r="AC148" i="155"/>
  <c r="Z145" i="155"/>
  <c r="Z147" i="155"/>
  <c r="AQ36" i="155"/>
  <c r="AQ101" i="155" s="1"/>
  <c r="AQ102" i="155" s="1"/>
  <c r="AK146" i="155"/>
  <c r="AK148" i="155"/>
  <c r="AI145" i="155"/>
  <c r="AA148" i="155"/>
  <c r="X148" i="155"/>
  <c r="X145" i="155"/>
  <c r="X146" i="155"/>
  <c r="X147" i="155"/>
  <c r="V37" i="155"/>
  <c r="N25" i="154"/>
  <c r="N90" i="154" s="1"/>
  <c r="P90" i="154" s="1"/>
  <c r="P43" i="153"/>
  <c r="Y146" i="155"/>
  <c r="AI34" i="153"/>
  <c r="AI36" i="153" s="1"/>
  <c r="AI148" i="155"/>
  <c r="J26" i="153"/>
  <c r="J91" i="153" s="1"/>
  <c r="AI147" i="155"/>
  <c r="BF34" i="155"/>
  <c r="BF36" i="155" s="1"/>
  <c r="AS36" i="155"/>
  <c r="AS37" i="155" s="1"/>
  <c r="J36" i="155"/>
  <c r="J101" i="155" s="1"/>
  <c r="J102" i="155" s="1"/>
  <c r="Y148" i="155"/>
  <c r="AR36" i="155"/>
  <c r="AR37" i="155" s="1"/>
  <c r="Y145" i="155"/>
  <c r="BB34" i="155"/>
  <c r="BB36" i="155" s="1"/>
  <c r="K34" i="155"/>
  <c r="K99" i="155" s="1"/>
  <c r="AK147" i="155"/>
  <c r="AC147" i="155"/>
  <c r="BG119" i="154"/>
  <c r="BG61" i="154"/>
  <c r="AD98" i="153"/>
  <c r="AA96" i="153"/>
  <c r="AA34" i="153"/>
  <c r="AD96" i="153"/>
  <c r="AD34" i="153"/>
  <c r="AK87" i="153"/>
  <c r="AK25" i="153"/>
  <c r="BB100" i="155"/>
  <c r="R84" i="153"/>
  <c r="AI146" i="155"/>
  <c r="S99" i="153"/>
  <c r="S36" i="153"/>
  <c r="AD92" i="155"/>
  <c r="AD93" i="155" s="1"/>
  <c r="AD39" i="155"/>
  <c r="AD28" i="155"/>
  <c r="N84" i="154"/>
  <c r="P19" i="154"/>
  <c r="AJ99" i="155"/>
  <c r="AJ36" i="155"/>
  <c r="BP96" i="153"/>
  <c r="AI87" i="153"/>
  <c r="V19" i="153"/>
  <c r="V84" i="153" s="1"/>
  <c r="W19" i="153"/>
  <c r="W84" i="153" s="1"/>
  <c r="BG87" i="155"/>
  <c r="BG25" i="155"/>
  <c r="AJ96" i="153"/>
  <c r="AJ34" i="153"/>
  <c r="AU87" i="155"/>
  <c r="AU25" i="155"/>
  <c r="Z87" i="153"/>
  <c r="AC87" i="153"/>
  <c r="Y19" i="153"/>
  <c r="Y84" i="153" s="1"/>
  <c r="BA119" i="154"/>
  <c r="BA61" i="154"/>
  <c r="BV101" i="154"/>
  <c r="BV102" i="154" s="1"/>
  <c r="BV37" i="154"/>
  <c r="AZ34" i="155"/>
  <c r="U90" i="153"/>
  <c r="U27" i="153"/>
  <c r="U36" i="153"/>
  <c r="U99" i="153"/>
  <c r="AL90" i="155"/>
  <c r="AL27" i="155"/>
  <c r="W92" i="155"/>
  <c r="W93" i="155" s="1"/>
  <c r="W39" i="155"/>
  <c r="W28" i="155"/>
  <c r="BU101" i="154"/>
  <c r="BU102" i="154" s="1"/>
  <c r="BU37" i="154"/>
  <c r="T99" i="153"/>
  <c r="T36" i="153"/>
  <c r="BI119" i="154"/>
  <c r="BI61" i="154"/>
  <c r="AD97" i="153"/>
  <c r="BR96" i="153"/>
  <c r="BJ96" i="153"/>
  <c r="BP134" i="154"/>
  <c r="N69" i="154"/>
  <c r="AD134" i="155"/>
  <c r="BS96" i="153"/>
  <c r="AC96" i="153"/>
  <c r="AC34" i="153"/>
  <c r="AB96" i="153"/>
  <c r="AB34" i="153"/>
  <c r="AP84" i="155"/>
  <c r="BM96" i="153"/>
  <c r="AF87" i="153"/>
  <c r="BA96" i="155"/>
  <c r="AH92" i="155"/>
  <c r="AH93" i="155" s="1"/>
  <c r="AH39" i="155"/>
  <c r="AH28" i="155"/>
  <c r="W148" i="155"/>
  <c r="BR92" i="154"/>
  <c r="BR93" i="154" s="1"/>
  <c r="BR39" i="154"/>
  <c r="BR28" i="154"/>
  <c r="X99" i="153"/>
  <c r="X36" i="153"/>
  <c r="BW90" i="154"/>
  <c r="BW27" i="154"/>
  <c r="AH101" i="155"/>
  <c r="AH102" i="155" s="1"/>
  <c r="AH37" i="155"/>
  <c r="AE92" i="155"/>
  <c r="AE93" i="155" s="1"/>
  <c r="AE39" i="155"/>
  <c r="AE28" i="155"/>
  <c r="X90" i="153"/>
  <c r="X27" i="153"/>
  <c r="J69" i="155"/>
  <c r="J134" i="155" s="1"/>
  <c r="AG87" i="153"/>
  <c r="BI87" i="155"/>
  <c r="BI25" i="155"/>
  <c r="BH96" i="155"/>
  <c r="BH34" i="155"/>
  <c r="AZ87" i="155"/>
  <c r="AZ25" i="155"/>
  <c r="BB98" i="155"/>
  <c r="BB91" i="155"/>
  <c r="AP90" i="155"/>
  <c r="AP27" i="155"/>
  <c r="AQ90" i="155"/>
  <c r="AQ27" i="155"/>
  <c r="BL92" i="154"/>
  <c r="BL93" i="154" s="1"/>
  <c r="BL39" i="154"/>
  <c r="BL28" i="154"/>
  <c r="AG92" i="155"/>
  <c r="AG93" i="155" s="1"/>
  <c r="AG39" i="155"/>
  <c r="AG28" i="155"/>
  <c r="AR90" i="155"/>
  <c r="AR27" i="155"/>
  <c r="Y99" i="153"/>
  <c r="Y36" i="153"/>
  <c r="Y101" i="155"/>
  <c r="Y102" i="155" s="1"/>
  <c r="Y37" i="155"/>
  <c r="BT92" i="154"/>
  <c r="BT93" i="154" s="1"/>
  <c r="BT39" i="154"/>
  <c r="BT28" i="154"/>
  <c r="AI92" i="155"/>
  <c r="AI93" i="155" s="1"/>
  <c r="AI28" i="155"/>
  <c r="AI39" i="155"/>
  <c r="AB87" i="153"/>
  <c r="AD87" i="153"/>
  <c r="AE87" i="153"/>
  <c r="AG96" i="153"/>
  <c r="AG34" i="153"/>
  <c r="AE96" i="153"/>
  <c r="AE34" i="153"/>
  <c r="BT96" i="153"/>
  <c r="BB97" i="155"/>
  <c r="BH87" i="155"/>
  <c r="BH25" i="155"/>
  <c r="V90" i="153"/>
  <c r="V27" i="153"/>
  <c r="AV90" i="155"/>
  <c r="AV27" i="155"/>
  <c r="AO99" i="155"/>
  <c r="AO36" i="155"/>
  <c r="V92" i="155"/>
  <c r="V93" i="155" s="1"/>
  <c r="V28" i="155"/>
  <c r="V39" i="155"/>
  <c r="J27" i="155"/>
  <c r="AP134" i="155"/>
  <c r="BO96" i="153"/>
  <c r="S19" i="153"/>
  <c r="S84" i="153" s="1"/>
  <c r="BB89" i="155"/>
  <c r="AB101" i="155"/>
  <c r="AB102" i="155" s="1"/>
  <c r="AB37" i="155"/>
  <c r="J33" i="153"/>
  <c r="J98" i="153" s="1"/>
  <c r="J32" i="153"/>
  <c r="J97" i="153" s="1"/>
  <c r="M45" i="153"/>
  <c r="M110" i="153" s="1"/>
  <c r="BB110" i="153"/>
  <c r="AA147" i="155"/>
  <c r="AD89" i="153"/>
  <c r="AA87" i="153"/>
  <c r="BF87" i="155"/>
  <c r="BF25" i="155"/>
  <c r="AX87" i="155"/>
  <c r="AX25" i="155"/>
  <c r="AW19" i="155"/>
  <c r="AW84" i="155" s="1"/>
  <c r="Z101" i="155"/>
  <c r="Z102" i="155" s="1"/>
  <c r="Z37" i="155"/>
  <c r="BH119" i="154"/>
  <c r="BH61" i="154"/>
  <c r="T90" i="153"/>
  <c r="T27" i="153"/>
  <c r="BK104" i="154"/>
  <c r="BK105" i="154" s="1"/>
  <c r="BK54" i="154"/>
  <c r="BK40" i="154"/>
  <c r="BC34" i="155"/>
  <c r="AK101" i="155"/>
  <c r="AK102" i="155" s="1"/>
  <c r="AK37" i="155"/>
  <c r="AG101" i="155"/>
  <c r="AG102" i="155" s="1"/>
  <c r="AG37" i="155"/>
  <c r="BP92" i="154"/>
  <c r="BP93" i="154" s="1"/>
  <c r="BP39" i="154"/>
  <c r="BP28" i="154"/>
  <c r="L104" i="154"/>
  <c r="L105" i="154" s="1"/>
  <c r="L40" i="154"/>
  <c r="BT101" i="154"/>
  <c r="BT102" i="154" s="1"/>
  <c r="BT37" i="154"/>
  <c r="AN90" i="155"/>
  <c r="AN27" i="155"/>
  <c r="R90" i="153"/>
  <c r="R27" i="153"/>
  <c r="AO90" i="155"/>
  <c r="AO27" i="155"/>
  <c r="N45" i="155"/>
  <c r="BD119" i="154"/>
  <c r="BD61" i="154"/>
  <c r="BK96" i="153"/>
  <c r="BL96" i="153"/>
  <c r="Z96" i="153"/>
  <c r="Z34" i="153"/>
  <c r="BO119" i="154"/>
  <c r="BO61" i="154"/>
  <c r="BB119" i="154"/>
  <c r="BB61" i="154"/>
  <c r="AK92" i="155"/>
  <c r="AK93" i="155" s="1"/>
  <c r="AK28" i="155"/>
  <c r="AK39" i="155"/>
  <c r="J22" i="153"/>
  <c r="J87" i="153" s="1"/>
  <c r="AV99" i="155"/>
  <c r="AV36" i="155"/>
  <c r="AE101" i="155"/>
  <c r="AE102" i="155" s="1"/>
  <c r="AE37" i="155"/>
  <c r="N99" i="154"/>
  <c r="P99" i="154" s="1"/>
  <c r="P34" i="154"/>
  <c r="AF92" i="155"/>
  <c r="AF93" i="155" s="1"/>
  <c r="AF39" i="155"/>
  <c r="AF28" i="155"/>
  <c r="J35" i="153"/>
  <c r="J100" i="153" s="1"/>
  <c r="AK96" i="153"/>
  <c r="AK34" i="153"/>
  <c r="AH96" i="153"/>
  <c r="AH34" i="153"/>
  <c r="BN98" i="155"/>
  <c r="AD100" i="153"/>
  <c r="X19" i="153"/>
  <c r="X84" i="153" s="1"/>
  <c r="BQ104" i="154"/>
  <c r="BQ105" i="154" s="1"/>
  <c r="BQ54" i="154"/>
  <c r="BQ40" i="154"/>
  <c r="AX119" i="154"/>
  <c r="AX61" i="154"/>
  <c r="L54" i="154"/>
  <c r="L119" i="154" s="1"/>
  <c r="AX34" i="155"/>
  <c r="Y25" i="153"/>
  <c r="BR101" i="154"/>
  <c r="BR102" i="154" s="1"/>
  <c r="BR37" i="154"/>
  <c r="BP101" i="154"/>
  <c r="BP102" i="154" s="1"/>
  <c r="BP37" i="154"/>
  <c r="N36" i="154"/>
  <c r="Z92" i="155"/>
  <c r="Z93" i="155" s="1"/>
  <c r="Z39" i="155"/>
  <c r="Z28" i="155"/>
  <c r="W99" i="153"/>
  <c r="W36" i="153"/>
  <c r="AT99" i="155"/>
  <c r="AT36" i="155"/>
  <c r="AA39" i="155"/>
  <c r="AA92" i="155"/>
  <c r="AA93" i="155" s="1"/>
  <c r="AA28" i="155"/>
  <c r="S90" i="153"/>
  <c r="S27" i="153"/>
  <c r="N108" i="155"/>
  <c r="P108" i="155" s="1"/>
  <c r="P43" i="155"/>
  <c r="V36" i="153"/>
  <c r="V99" i="153"/>
  <c r="AB92" i="155"/>
  <c r="AB93" i="155" s="1"/>
  <c r="AB39" i="155"/>
  <c r="AB28" i="155"/>
  <c r="AC92" i="155"/>
  <c r="AC93" i="155" s="1"/>
  <c r="AC39" i="155"/>
  <c r="AC28" i="155"/>
  <c r="L45" i="153"/>
  <c r="L110" i="153" s="1"/>
  <c r="AS90" i="155"/>
  <c r="AS27" i="155"/>
  <c r="AM90" i="155"/>
  <c r="AM27" i="155"/>
  <c r="AZ119" i="154"/>
  <c r="AZ61" i="154"/>
  <c r="AI101" i="155"/>
  <c r="AI102" i="155" s="1"/>
  <c r="AI37" i="155"/>
  <c r="BS101" i="154"/>
  <c r="BS102" i="154" s="1"/>
  <c r="BS37" i="154"/>
  <c r="BD87" i="155"/>
  <c r="BD25" i="155"/>
  <c r="AJ19" i="155"/>
  <c r="AJ84" i="155" s="1"/>
  <c r="BG96" i="155"/>
  <c r="BG34" i="155"/>
  <c r="BB88" i="155"/>
  <c r="BJ104" i="154"/>
  <c r="BJ105" i="154" s="1"/>
  <c r="BJ40" i="154"/>
  <c r="BJ54" i="154"/>
  <c r="BS39" i="154"/>
  <c r="BS28" i="154"/>
  <c r="BS92" i="154"/>
  <c r="BS93" i="154" s="1"/>
  <c r="Z148" i="155"/>
  <c r="J31" i="153"/>
  <c r="J96" i="153" s="1"/>
  <c r="BE87" i="155"/>
  <c r="BE25" i="155"/>
  <c r="W90" i="153"/>
  <c r="W27" i="153"/>
  <c r="AH87" i="153"/>
  <c r="BI96" i="155"/>
  <c r="BI34" i="155"/>
  <c r="AW90" i="155"/>
  <c r="AW27" i="155"/>
  <c r="BF61" i="154"/>
  <c r="BF119" i="154"/>
  <c r="AT90" i="155"/>
  <c r="AT27" i="155"/>
  <c r="AA101" i="155"/>
  <c r="AA102" i="155" s="1"/>
  <c r="AA37" i="155"/>
  <c r="BX101" i="154"/>
  <c r="BX102" i="154" s="1"/>
  <c r="BX37" i="154"/>
  <c r="Y147" i="155"/>
  <c r="R99" i="153"/>
  <c r="R36" i="153"/>
  <c r="BY104" i="154"/>
  <c r="BY105" i="154" s="1"/>
  <c r="BY54" i="154"/>
  <c r="BY40" i="154"/>
  <c r="BB87" i="155"/>
  <c r="BB25" i="155"/>
  <c r="BC87" i="155"/>
  <c r="BC25" i="155"/>
  <c r="BC119" i="154"/>
  <c r="BC61" i="154"/>
  <c r="BN119" i="154"/>
  <c r="BN61" i="154"/>
  <c r="AP99" i="155"/>
  <c r="AP36" i="155"/>
  <c r="AC101" i="155"/>
  <c r="AC102" i="155" s="1"/>
  <c r="AC37" i="155"/>
  <c r="BW101" i="154"/>
  <c r="BW102" i="154" s="1"/>
  <c r="BW37" i="154"/>
  <c r="AY96" i="155"/>
  <c r="AY34" i="155"/>
  <c r="AY87" i="155"/>
  <c r="AY25" i="155"/>
  <c r="BN96" i="153"/>
  <c r="AN19" i="155"/>
  <c r="AN84" i="155" s="1"/>
  <c r="J19" i="155"/>
  <c r="J148" i="155" s="1"/>
  <c r="AL99" i="155"/>
  <c r="AL36" i="155"/>
  <c r="M101" i="154"/>
  <c r="M102" i="154" s="1"/>
  <c r="M37" i="154"/>
  <c r="BU92" i="154"/>
  <c r="BU93" i="154" s="1"/>
  <c r="BU28" i="154"/>
  <c r="BU39" i="154"/>
  <c r="Y92" i="155"/>
  <c r="Y93" i="155" s="1"/>
  <c r="Y39" i="155"/>
  <c r="Y28" i="155"/>
  <c r="X101" i="155"/>
  <c r="X102" i="155" s="1"/>
  <c r="X37" i="155"/>
  <c r="BM119" i="154"/>
  <c r="BM61" i="154"/>
  <c r="AT19" i="155"/>
  <c r="AT84" i="155" s="1"/>
  <c r="AU96" i="155"/>
  <c r="AU34" i="155"/>
  <c r="L31" i="155"/>
  <c r="L96" i="155" s="1"/>
  <c r="BU96" i="153"/>
  <c r="AF96" i="153"/>
  <c r="AF34" i="153"/>
  <c r="AY119" i="154"/>
  <c r="AY61" i="154"/>
  <c r="X92" i="155"/>
  <c r="X93" i="155" s="1"/>
  <c r="X39" i="155"/>
  <c r="X28" i="155"/>
  <c r="N45" i="153"/>
  <c r="BV90" i="154"/>
  <c r="BV27" i="154"/>
  <c r="BE119" i="154"/>
  <c r="BE61" i="154"/>
  <c r="BD34" i="155"/>
  <c r="BQ96" i="153"/>
  <c r="AD91" i="153"/>
  <c r="AP98" i="153"/>
  <c r="AN99" i="155"/>
  <c r="AN36" i="155"/>
  <c r="AJ90" i="155"/>
  <c r="AJ27" i="155"/>
  <c r="AW99" i="155"/>
  <c r="AW36" i="155"/>
  <c r="K25" i="155"/>
  <c r="K90" i="155" s="1"/>
  <c r="BX90" i="154"/>
  <c r="BX27" i="154"/>
  <c r="N88" i="154"/>
  <c r="P88" i="154" s="1"/>
  <c r="P23" i="154"/>
  <c r="AM99" i="155"/>
  <c r="AM36" i="155"/>
  <c r="BE34" i="155"/>
  <c r="M27" i="154"/>
  <c r="BY183" i="99"/>
  <c r="BN344" i="99"/>
  <c r="BN43" i="99" s="1"/>
  <c r="BN108" i="99" s="1"/>
  <c r="BY200" i="99"/>
  <c r="BY216" i="99" s="1"/>
  <c r="BY285" i="99" s="1"/>
  <c r="BX331" i="99"/>
  <c r="BX341" i="99" s="1"/>
  <c r="BH208" i="99"/>
  <c r="BH241" i="99" s="1"/>
  <c r="BH249" i="99" s="1"/>
  <c r="BH203" i="99"/>
  <c r="BO344" i="99"/>
  <c r="BO43" i="99" s="1"/>
  <c r="BO108" i="104" s="1"/>
  <c r="BO43" i="104" s="1"/>
  <c r="U89" i="99"/>
  <c r="T89" i="99"/>
  <c r="T89" i="104"/>
  <c r="T24" i="104" s="1"/>
  <c r="Y24" i="105" s="1"/>
  <c r="BO416" i="99"/>
  <c r="BO455" i="99" s="1" a="1"/>
  <c r="BO455" i="99" s="1"/>
  <c r="BN412" i="99"/>
  <c r="BN451" i="99" s="1" a="1"/>
  <c r="BN451" i="99" s="1"/>
  <c r="AJ416" i="99"/>
  <c r="AJ455" i="99" s="1" a="1"/>
  <c r="AJ455" i="99" s="1"/>
  <c r="AH416" i="99"/>
  <c r="AH455" i="99" s="1" a="1"/>
  <c r="AH455" i="99" s="1"/>
  <c r="BR417" i="99"/>
  <c r="BR456" i="99" s="1" a="1"/>
  <c r="BR456" i="99" s="1"/>
  <c r="BH412" i="99"/>
  <c r="BH451" i="99" s="1" a="1"/>
  <c r="BH451" i="99" s="1"/>
  <c r="BM417" i="99"/>
  <c r="BM456" i="99" s="1" a="1"/>
  <c r="BM456" i="99" s="1"/>
  <c r="BL412" i="99"/>
  <c r="BL451" i="99" s="1" a="1"/>
  <c r="BL451" i="99" s="1"/>
  <c r="AD416" i="99"/>
  <c r="AD455" i="99" s="1" a="1"/>
  <c r="AD455" i="99" s="1"/>
  <c r="BK412" i="99"/>
  <c r="BK451" i="99" s="1" a="1"/>
  <c r="BK451" i="99" s="1"/>
  <c r="U89" i="104"/>
  <c r="U24" i="104" s="1"/>
  <c r="Z24" i="105" s="1"/>
  <c r="BK416" i="99"/>
  <c r="AA412" i="153"/>
  <c r="BP412" i="99"/>
  <c r="BP451" i="99" s="1" a="1"/>
  <c r="BP451" i="99" s="1"/>
  <c r="BN417" i="99"/>
  <c r="BN456" i="99" s="1" a="1"/>
  <c r="BN456" i="99" s="1"/>
  <c r="BI416" i="99"/>
  <c r="BQ413" i="99"/>
  <c r="BQ452" i="99" s="1" a="1"/>
  <c r="BQ452" i="99" s="1"/>
  <c r="BV414" i="99"/>
  <c r="BV453" i="99" s="1" a="1"/>
  <c r="BV453" i="99" s="1"/>
  <c r="R97" i="103"/>
  <c r="R32" i="103" s="1"/>
  <c r="BV417" i="99"/>
  <c r="AB412" i="153"/>
  <c r="AC416" i="99"/>
  <c r="AC455" i="99" s="1" a="1"/>
  <c r="AC455" i="99" s="1"/>
  <c r="BF412" i="99"/>
  <c r="BF451" i="99" s="1" a="1"/>
  <c r="BF451" i="99" s="1"/>
  <c r="BN416" i="99"/>
  <c r="BN455" i="99" s="1" a="1"/>
  <c r="BN455" i="99" s="1"/>
  <c r="AG416" i="99"/>
  <c r="AG455" i="99" s="1" a="1"/>
  <c r="AG455" i="99" s="1"/>
  <c r="AI412" i="153"/>
  <c r="AW416" i="99"/>
  <c r="AW455" i="99" s="1" a="1"/>
  <c r="AW455" i="99" s="1"/>
  <c r="BJ412" i="99"/>
  <c r="BJ451" i="99" s="1" a="1"/>
  <c r="BJ451" i="99" s="1"/>
  <c r="BP416" i="99"/>
  <c r="BP455" i="99" s="1" a="1"/>
  <c r="BP455" i="99" s="1"/>
  <c r="AD412" i="153"/>
  <c r="BG412" i="99"/>
  <c r="BG451" i="99" s="1" a="1"/>
  <c r="BG451" i="99" s="1"/>
  <c r="BP413" i="99"/>
  <c r="BP452" i="99" s="1" a="1"/>
  <c r="BP452" i="99" s="1"/>
  <c r="BO417" i="99"/>
  <c r="BO456" i="99" s="1" a="1"/>
  <c r="BO456" i="99" s="1"/>
  <c r="BK417" i="99"/>
  <c r="BK456" i="99" s="1" a="1"/>
  <c r="BK456" i="99" s="1"/>
  <c r="BJ416" i="99"/>
  <c r="BQ412" i="99"/>
  <c r="BQ451" i="99" s="1" a="1"/>
  <c r="BQ451" i="99" s="1"/>
  <c r="BV413" i="99"/>
  <c r="BV452" i="99" s="1" a="1"/>
  <c r="BV452" i="99" s="1"/>
  <c r="BP417" i="99"/>
  <c r="BP456" i="99" s="1" a="1"/>
  <c r="BP456" i="99" s="1"/>
  <c r="R88" i="104"/>
  <c r="R23" i="104" s="1"/>
  <c r="W23" i="105" s="1"/>
  <c r="AB416" i="99"/>
  <c r="AB455" i="99" s="1" a="1"/>
  <c r="AB455" i="99" s="1"/>
  <c r="AC412" i="153"/>
  <c r="AF416" i="99"/>
  <c r="AF455" i="99" s="1" a="1"/>
  <c r="AF455" i="99" s="1"/>
  <c r="AF412" i="153"/>
  <c r="AE416" i="99"/>
  <c r="AE455" i="99" s="1" a="1"/>
  <c r="AE455" i="99" s="1"/>
  <c r="BR413" i="99"/>
  <c r="BR452" i="99" s="1" a="1"/>
  <c r="BR452" i="99" s="1"/>
  <c r="BI412" i="99"/>
  <c r="BI451" i="99" s="1" a="1"/>
  <c r="BI451" i="99" s="1"/>
  <c r="BL416" i="99"/>
  <c r="BT412" i="99"/>
  <c r="BT451" i="99" s="1" a="1"/>
  <c r="BT451" i="99" s="1"/>
  <c r="AA416" i="99"/>
  <c r="AA455" i="99" s="1" a="1"/>
  <c r="AA455" i="99" s="1"/>
  <c r="AG412" i="153"/>
  <c r="BQ417" i="99"/>
  <c r="BQ456" i="99" s="1" a="1"/>
  <c r="BQ456" i="99" s="1"/>
  <c r="R100" i="103"/>
  <c r="R35" i="103" s="1"/>
  <c r="AE412" i="153"/>
  <c r="BQ416" i="99"/>
  <c r="BQ455" i="99" s="1" a="1"/>
  <c r="BQ455" i="99" s="1"/>
  <c r="BR416" i="99"/>
  <c r="BR455" i="99" s="1" a="1"/>
  <c r="BR455" i="99" s="1"/>
  <c r="BM412" i="99"/>
  <c r="BM451" i="99" s="1" a="1"/>
  <c r="BM451" i="99" s="1"/>
  <c r="Z416" i="99"/>
  <c r="Z455" i="99" s="1" a="1"/>
  <c r="Z455" i="99" s="1"/>
  <c r="BL417" i="99"/>
  <c r="BL456" i="99" s="1" a="1"/>
  <c r="BL456" i="99" s="1"/>
  <c r="BM416" i="99"/>
  <c r="BM455" i="99" s="1" a="1"/>
  <c r="BM455" i="99" s="1"/>
  <c r="R88" i="99"/>
  <c r="BJ417" i="99"/>
  <c r="BJ456" i="99" s="1" a="1"/>
  <c r="BJ456" i="99" s="1"/>
  <c r="BO412" i="99"/>
  <c r="BO451" i="99" s="1" a="1"/>
  <c r="BO451" i="99" s="1"/>
  <c r="BS412" i="99"/>
  <c r="BS451" i="99" s="1" a="1"/>
  <c r="BS451" i="99" s="1"/>
  <c r="Z412" i="153"/>
  <c r="AI416" i="99"/>
  <c r="AI455" i="99" s="1" a="1"/>
  <c r="AI455" i="99" s="1"/>
  <c r="BF412" i="155"/>
  <c r="BF451" i="155" s="1" a="1"/>
  <c r="BF451" i="155" s="1"/>
  <c r="BF457" i="155" s="1"/>
  <c r="BF69" i="155" s="1"/>
  <c r="BF134" i="155" s="1"/>
  <c r="AE270" i="99"/>
  <c r="AE276" i="99" s="1"/>
  <c r="AE26" i="99" s="1"/>
  <c r="AE91" i="104" s="1"/>
  <c r="AE26" i="104" s="1"/>
  <c r="W262" i="99"/>
  <c r="W268" i="99" s="1"/>
  <c r="W24" i="99" s="1"/>
  <c r="W89" i="99" s="1"/>
  <c r="X254" i="99"/>
  <c r="X260" i="99" s="1"/>
  <c r="X23" i="99" s="1"/>
  <c r="X88" i="104" s="1"/>
  <c r="X23" i="104" s="1"/>
  <c r="BV274" i="99"/>
  <c r="BU270" i="155"/>
  <c r="BU276" i="155" s="1"/>
  <c r="BU26" i="155" s="1"/>
  <c r="BU91" i="155" s="1"/>
  <c r="BP254" i="155"/>
  <c r="BP260" i="155" s="1"/>
  <c r="BP23" i="155" s="1"/>
  <c r="BP88" i="155" s="1"/>
  <c r="AY412" i="155"/>
  <c r="T412" i="99"/>
  <c r="BS274" i="99"/>
  <c r="U412" i="99"/>
  <c r="AG262" i="99"/>
  <c r="AG268" i="99" s="1"/>
  <c r="AG24" i="99" s="1"/>
  <c r="AG89" i="99" s="1"/>
  <c r="AV258" i="99"/>
  <c r="BI412" i="155"/>
  <c r="AK412" i="153"/>
  <c r="AN258" i="99"/>
  <c r="BL270" i="155"/>
  <c r="BL276" i="155" s="1"/>
  <c r="BL26" i="155" s="1"/>
  <c r="BL91" i="155" s="1"/>
  <c r="AH412" i="153"/>
  <c r="AF262" i="99"/>
  <c r="AF268" i="99" s="1"/>
  <c r="AF24" i="99" s="1"/>
  <c r="AF89" i="99" s="1"/>
  <c r="AC254" i="99"/>
  <c r="AC260" i="99" s="1"/>
  <c r="AC23" i="99" s="1"/>
  <c r="AC88" i="99" s="1"/>
  <c r="AD270" i="99"/>
  <c r="AD276" i="99" s="1"/>
  <c r="AD26" i="99" s="1"/>
  <c r="AD91" i="103" s="1"/>
  <c r="AD26" i="103" s="1"/>
  <c r="BS262" i="153"/>
  <c r="BS268" i="153" s="1"/>
  <c r="BS24" i="153" s="1"/>
  <c r="BS89" i="153" s="1"/>
  <c r="BT262" i="155"/>
  <c r="BT268" i="155" s="1"/>
  <c r="BT24" i="155" s="1"/>
  <c r="BT89" i="155" s="1"/>
  <c r="BW263" i="99"/>
  <c r="BQ262" i="153"/>
  <c r="BQ268" i="153" s="1"/>
  <c r="BQ24" i="153" s="1"/>
  <c r="BQ89" i="153" s="1"/>
  <c r="BN270" i="153"/>
  <c r="BN276" i="153" s="1"/>
  <c r="BN26" i="153" s="1"/>
  <c r="BB412" i="155"/>
  <c r="BE412" i="155"/>
  <c r="AU412" i="155"/>
  <c r="AX412" i="155"/>
  <c r="AX451" i="155" s="1" a="1"/>
  <c r="AX451" i="155" s="1"/>
  <c r="AX457" i="155" s="1"/>
  <c r="AX69" i="155" s="1"/>
  <c r="AX134" i="155" s="1"/>
  <c r="AR266" i="99"/>
  <c r="BG412" i="155"/>
  <c r="BW275" i="99"/>
  <c r="BK262" i="153"/>
  <c r="BK268" i="153" s="1"/>
  <c r="BK24" i="153" s="1"/>
  <c r="BK89" i="153" s="1"/>
  <c r="BO270" i="155"/>
  <c r="BO276" i="155" s="1"/>
  <c r="BO26" i="155" s="1"/>
  <c r="BO91" i="155" s="1"/>
  <c r="AU274" i="99"/>
  <c r="AJ262" i="153"/>
  <c r="AJ268" i="153" s="1"/>
  <c r="AJ24" i="153" s="1"/>
  <c r="AJ89" i="153" s="1"/>
  <c r="BC412" i="155"/>
  <c r="BC418" i="155" s="1"/>
  <c r="BR262" i="153"/>
  <c r="BR268" i="153" s="1"/>
  <c r="BR24" i="153" s="1"/>
  <c r="BR89" i="153" s="1"/>
  <c r="BJ262" i="153"/>
  <c r="BJ268" i="153" s="1"/>
  <c r="BJ24" i="153" s="1"/>
  <c r="BJ89" i="153" s="1"/>
  <c r="BP262" i="153"/>
  <c r="BP268" i="153" s="1"/>
  <c r="BP24" i="153" s="1"/>
  <c r="BP89" i="153" s="1"/>
  <c r="AL274" i="99"/>
  <c r="BH412" i="155"/>
  <c r="AA270" i="99"/>
  <c r="AA276" i="99" s="1"/>
  <c r="AA26" i="99" s="1"/>
  <c r="AA91" i="99" s="1"/>
  <c r="BN262" i="155"/>
  <c r="BN268" i="155" s="1"/>
  <c r="BN24" i="155" s="1"/>
  <c r="R412" i="99"/>
  <c r="BL270" i="153"/>
  <c r="BL276" i="153" s="1"/>
  <c r="BL26" i="153" s="1"/>
  <c r="BL91" i="153" s="1"/>
  <c r="BW266" i="99"/>
  <c r="BR270" i="99"/>
  <c r="BW264" i="99"/>
  <c r="AZ412" i="155"/>
  <c r="AT266" i="99"/>
  <c r="V270" i="99"/>
  <c r="V276" i="99" s="1"/>
  <c r="V26" i="99" s="1"/>
  <c r="V91" i="103" s="1"/>
  <c r="V26" i="103" s="1"/>
  <c r="AO274" i="99"/>
  <c r="AS274" i="99"/>
  <c r="BA262" i="155"/>
  <c r="BA268" i="155" s="1"/>
  <c r="BA24" i="155" s="1"/>
  <c r="BA89" i="155" s="1"/>
  <c r="AM266" i="99"/>
  <c r="BM254" i="155"/>
  <c r="BM260" i="155" s="1"/>
  <c r="BM23" i="155" s="1"/>
  <c r="BM88" i="155" s="1"/>
  <c r="BD412" i="155"/>
  <c r="BD451" i="155" s="1" a="1"/>
  <c r="BD451" i="155" s="1"/>
  <c r="BD457" i="155" s="1"/>
  <c r="BD69" i="155" s="1"/>
  <c r="BD134" i="155" s="1"/>
  <c r="AB270" i="99"/>
  <c r="AB276" i="99" s="1"/>
  <c r="AB26" i="99" s="1"/>
  <c r="AB91" i="99" s="1"/>
  <c r="BJ262" i="155"/>
  <c r="BJ268" i="155" s="1"/>
  <c r="BJ24" i="155" s="1"/>
  <c r="BJ89" i="155" s="1"/>
  <c r="BU258" i="99"/>
  <c r="Z270" i="99"/>
  <c r="Z276" i="99" s="1"/>
  <c r="Z26" i="99" s="1"/>
  <c r="AQ274" i="99"/>
  <c r="AP258" i="99"/>
  <c r="BK254" i="155"/>
  <c r="BK260" i="155" s="1"/>
  <c r="BK23" i="155" s="1"/>
  <c r="BK88" i="155" s="1"/>
  <c r="BR262" i="155"/>
  <c r="BR268" i="155" s="1"/>
  <c r="BR24" i="155" s="1"/>
  <c r="BR89" i="155" s="1"/>
  <c r="S412" i="99"/>
  <c r="S451" i="99" s="1" a="1"/>
  <c r="S451" i="99" s="1"/>
  <c r="S457" i="99" s="1"/>
  <c r="S69" i="99" s="1"/>
  <c r="S134" i="99" s="1"/>
  <c r="BM270" i="153"/>
  <c r="BM276" i="153" s="1"/>
  <c r="BM26" i="153" s="1"/>
  <c r="BM91" i="153" s="1"/>
  <c r="BU270" i="153"/>
  <c r="BU276" i="153" s="1"/>
  <c r="BU26" i="153" s="1"/>
  <c r="BU91" i="153" s="1"/>
  <c r="BQ262" i="155"/>
  <c r="BQ268" i="155" s="1"/>
  <c r="BQ24" i="155" s="1"/>
  <c r="BQ89" i="155" s="1"/>
  <c r="R451" i="153" a="1"/>
  <c r="R451" i="153" s="1"/>
  <c r="R457" i="153" s="1"/>
  <c r="R69" i="153" s="1"/>
  <c r="AC45" i="105"/>
  <c r="AC102" i="105"/>
  <c r="AG102" i="105"/>
  <c r="AA102" i="105"/>
  <c r="AL102" i="105"/>
  <c r="AI102" i="105"/>
  <c r="AB102" i="105"/>
  <c r="AF102" i="105"/>
  <c r="AD102" i="105"/>
  <c r="AH102" i="105"/>
  <c r="AK45" i="105"/>
  <c r="AK102" i="105"/>
  <c r="AJ45" i="105"/>
  <c r="AJ102" i="105"/>
  <c r="AE45" i="105"/>
  <c r="AE102" i="105"/>
  <c r="AR108" i="99"/>
  <c r="AR108" i="104"/>
  <c r="AR43" i="104" s="1"/>
  <c r="AW43" i="105" s="1"/>
  <c r="AR45" i="99"/>
  <c r="AR110" i="103" s="1"/>
  <c r="AS108" i="104"/>
  <c r="AS43" i="104" s="1"/>
  <c r="AX43" i="105" s="1"/>
  <c r="AS211" i="99"/>
  <c r="AS45" i="99"/>
  <c r="AS110" i="103" s="1"/>
  <c r="AS108" i="99"/>
  <c r="N145" i="154"/>
  <c r="AS219" i="99"/>
  <c r="N147" i="154"/>
  <c r="BM334" i="99"/>
  <c r="N146" i="154"/>
  <c r="BI334" i="99"/>
  <c r="BK306" i="155"/>
  <c r="BK312" i="155" s="1"/>
  <c r="BK33" i="155" s="1"/>
  <c r="BK98" i="155" s="1"/>
  <c r="AP418" i="155"/>
  <c r="BU183" i="99"/>
  <c r="BP270" i="155"/>
  <c r="BP276" i="155" s="1"/>
  <c r="BP26" i="155" s="1"/>
  <c r="BP91" i="155" s="1"/>
  <c r="BA270" i="155"/>
  <c r="BA276" i="155" s="1"/>
  <c r="BA26" i="155" s="1"/>
  <c r="BA91" i="155" s="1"/>
  <c r="BA314" i="155"/>
  <c r="BA320" i="155" s="1"/>
  <c r="BA35" i="155" s="1"/>
  <c r="BA100" i="155" s="1"/>
  <c r="BP306" i="155"/>
  <c r="BP312" i="155" s="1"/>
  <c r="BP33" i="155" s="1"/>
  <c r="BP98" i="155" s="1"/>
  <c r="BT298" i="155"/>
  <c r="BT304" i="155" s="1"/>
  <c r="BT32" i="155" s="1"/>
  <c r="BT97" i="155" s="1"/>
  <c r="BU254" i="155"/>
  <c r="BU260" i="155" s="1"/>
  <c r="BU23" i="155" s="1"/>
  <c r="BU88" i="155" s="1"/>
  <c r="BS183" i="99"/>
  <c r="BK262" i="155"/>
  <c r="BK268" i="155" s="1"/>
  <c r="BK24" i="155" s="1"/>
  <c r="BK89" i="155" s="1"/>
  <c r="BR270" i="155"/>
  <c r="BR276" i="155" s="1"/>
  <c r="BR26" i="155" s="1"/>
  <c r="BR91" i="155" s="1"/>
  <c r="BL306" i="155"/>
  <c r="BL312" i="155" s="1"/>
  <c r="BL33" i="155" s="1"/>
  <c r="BL98" i="155" s="1"/>
  <c r="AT418" i="155"/>
  <c r="AR418" i="155"/>
  <c r="BR314" i="155"/>
  <c r="BR320" i="155" s="1"/>
  <c r="BR35" i="155" s="1"/>
  <c r="BR100" i="155" s="1"/>
  <c r="BM262" i="155"/>
  <c r="BM268" i="155" s="1"/>
  <c r="BM24" i="155" s="1"/>
  <c r="BM89" i="155" s="1"/>
  <c r="BD322" i="155"/>
  <c r="BA298" i="155"/>
  <c r="BA304" i="155" s="1"/>
  <c r="BA32" i="155" s="1"/>
  <c r="BA97" i="155" s="1"/>
  <c r="BA306" i="155"/>
  <c r="BA312" i="155" s="1"/>
  <c r="BA33" i="155" s="1"/>
  <c r="BA98" i="155" s="1"/>
  <c r="BF322" i="155"/>
  <c r="AS418" i="155"/>
  <c r="BN314" i="155"/>
  <c r="BN320" i="155" s="1"/>
  <c r="BN35" i="155" s="1"/>
  <c r="BC322" i="155"/>
  <c r="BJ314" i="155"/>
  <c r="BJ320" i="155" s="1"/>
  <c r="BJ35" i="155" s="1"/>
  <c r="BJ100" i="155" s="1"/>
  <c r="BN270" i="155"/>
  <c r="BN276" i="155" s="1"/>
  <c r="BN26" i="155" s="1"/>
  <c r="AM147" i="155"/>
  <c r="AM146" i="155"/>
  <c r="AM148" i="155"/>
  <c r="AV451" i="155" a="1"/>
  <c r="AV451" i="155" s="1"/>
  <c r="AV457" i="155" s="1"/>
  <c r="AV69" i="155" s="1"/>
  <c r="AV134" i="155" s="1"/>
  <c r="AV418" i="155"/>
  <c r="BY290" i="155"/>
  <c r="BY288" i="155"/>
  <c r="BQ270" i="155"/>
  <c r="BQ276" i="155" s="1"/>
  <c r="BQ26" i="155" s="1"/>
  <c r="BQ91" i="155" s="1"/>
  <c r="BQ463" i="155"/>
  <c r="BQ252" i="155"/>
  <c r="BQ22" i="155" s="1"/>
  <c r="BY246" i="155"/>
  <c r="BY244" i="155"/>
  <c r="BT254" i="155"/>
  <c r="BT260" i="155" s="1"/>
  <c r="BT23" i="155" s="1"/>
  <c r="BT88" i="155" s="1"/>
  <c r="BT463" i="155"/>
  <c r="BT252" i="155"/>
  <c r="BT22" i="155" s="1"/>
  <c r="BS246" i="155"/>
  <c r="BS244" i="155"/>
  <c r="BK270" i="155"/>
  <c r="BK276" i="155" s="1"/>
  <c r="BK26" i="155" s="1"/>
  <c r="BK91" i="155" s="1"/>
  <c r="BK463" i="155"/>
  <c r="BK252" i="155"/>
  <c r="BK22" i="155" s="1"/>
  <c r="BF278" i="155"/>
  <c r="BF469" i="155"/>
  <c r="AL451" i="155" a="1"/>
  <c r="AL451" i="155" s="1"/>
  <c r="AL457" i="155" s="1"/>
  <c r="AL69" i="155" s="1"/>
  <c r="AL134" i="155" s="1"/>
  <c r="AL418" i="155"/>
  <c r="BM270" i="155"/>
  <c r="BM276" i="155" s="1"/>
  <c r="BM26" i="155" s="1"/>
  <c r="BM91" i="155" s="1"/>
  <c r="BM463" i="155"/>
  <c r="BM252" i="155"/>
  <c r="BM22" i="155" s="1"/>
  <c r="BN254" i="155"/>
  <c r="BN260" i="155" s="1"/>
  <c r="BN23" i="155" s="1"/>
  <c r="BN463" i="155"/>
  <c r="BN252" i="155"/>
  <c r="BN22" i="155" s="1"/>
  <c r="AP146" i="155"/>
  <c r="AP148" i="155"/>
  <c r="BP262" i="155"/>
  <c r="BP268" i="155" s="1"/>
  <c r="BP24" i="155" s="1"/>
  <c r="BP89" i="155" s="1"/>
  <c r="BP463" i="155"/>
  <c r="BP252" i="155"/>
  <c r="BP22" i="155" s="1"/>
  <c r="AO451" i="155" a="1"/>
  <c r="AO451" i="155" s="1"/>
  <c r="AO457" i="155" s="1"/>
  <c r="AO69" i="155" s="1"/>
  <c r="AO134" i="155" s="1"/>
  <c r="AO418" i="155"/>
  <c r="AP145" i="155"/>
  <c r="BX290" i="155"/>
  <c r="BX298" i="155" s="1"/>
  <c r="BX304" i="155" s="1"/>
  <c r="BX32" i="155" s="1"/>
  <c r="BX97" i="155" s="1"/>
  <c r="BX288" i="155"/>
  <c r="BS290" i="155"/>
  <c r="BS314" i="155" s="1"/>
  <c r="BS320" i="155" s="1"/>
  <c r="BS35" i="155" s="1"/>
  <c r="BS100" i="155" s="1"/>
  <c r="BS288" i="155"/>
  <c r="BU262" i="155"/>
  <c r="BU268" i="155" s="1"/>
  <c r="BU24" i="155" s="1"/>
  <c r="BU89" i="155" s="1"/>
  <c r="BU463" i="155"/>
  <c r="BU252" i="155"/>
  <c r="BU22" i="155" s="1"/>
  <c r="AY322" i="155"/>
  <c r="BX246" i="155"/>
  <c r="BX244" i="155"/>
  <c r="AV146" i="155"/>
  <c r="AV148" i="155"/>
  <c r="AR145" i="155"/>
  <c r="AQ451" i="155" a="1"/>
  <c r="AQ451" i="155" s="1"/>
  <c r="AQ457" i="155" s="1"/>
  <c r="AQ69" i="155" s="1"/>
  <c r="AQ134" i="155" s="1"/>
  <c r="AQ418" i="155"/>
  <c r="AL145" i="155"/>
  <c r="AS145" i="155"/>
  <c r="AV145" i="155"/>
  <c r="AL146" i="155"/>
  <c r="AL148" i="155"/>
  <c r="BP298" i="155"/>
  <c r="BP304" i="155" s="1"/>
  <c r="BP32" i="155" s="1"/>
  <c r="BP97" i="155" s="1"/>
  <c r="BP296" i="155"/>
  <c r="BP31" i="155" s="1"/>
  <c r="AX322" i="155"/>
  <c r="BK314" i="155"/>
  <c r="BK320" i="155" s="1"/>
  <c r="BK35" i="155" s="1"/>
  <c r="BK100" i="155" s="1"/>
  <c r="BK296" i="155"/>
  <c r="BK31" i="155" s="1"/>
  <c r="AR147" i="155"/>
  <c r="AR146" i="155"/>
  <c r="BB469" i="155"/>
  <c r="BB278" i="155"/>
  <c r="AS148" i="155"/>
  <c r="AS146" i="155"/>
  <c r="AS147" i="155"/>
  <c r="BG469" i="155"/>
  <c r="BG278" i="155"/>
  <c r="BH322" i="155"/>
  <c r="AQ147" i="155"/>
  <c r="AQ148" i="155"/>
  <c r="BE469" i="155"/>
  <c r="BE19" i="155" s="1"/>
  <c r="BE84" i="155" s="1"/>
  <c r="BE278" i="155"/>
  <c r="BB322" i="155"/>
  <c r="BO306" i="155"/>
  <c r="BO312" i="155" s="1"/>
  <c r="BO33" i="155" s="1"/>
  <c r="BO98" i="155" s="1"/>
  <c r="BQ314" i="155"/>
  <c r="BQ320" i="155" s="1"/>
  <c r="BQ35" i="155" s="1"/>
  <c r="BQ100" i="155" s="1"/>
  <c r="BL262" i="155"/>
  <c r="BL268" i="155" s="1"/>
  <c r="BL24" i="155" s="1"/>
  <c r="BL89" i="155" s="1"/>
  <c r="BA254" i="155"/>
  <c r="BA260" i="155" s="1"/>
  <c r="BA23" i="155" s="1"/>
  <c r="BA88" i="155" s="1"/>
  <c r="BA463" i="155"/>
  <c r="BA252" i="155"/>
  <c r="BA22" i="155" s="1"/>
  <c r="AU322" i="155"/>
  <c r="BI469" i="155"/>
  <c r="BI19" i="155" s="1"/>
  <c r="BI84" i="155" s="1"/>
  <c r="BI278" i="155"/>
  <c r="AQ145" i="155"/>
  <c r="BG322" i="155"/>
  <c r="AO145" i="155"/>
  <c r="BO262" i="155"/>
  <c r="BO268" i="155" s="1"/>
  <c r="BO24" i="155" s="1"/>
  <c r="BO89" i="155" s="1"/>
  <c r="BO298" i="155"/>
  <c r="BO304" i="155" s="1"/>
  <c r="BO32" i="155" s="1"/>
  <c r="BO97" i="155" s="1"/>
  <c r="BO296" i="155"/>
  <c r="BO31" i="155" s="1"/>
  <c r="BQ298" i="155"/>
  <c r="BQ304" i="155" s="1"/>
  <c r="BQ32" i="155" s="1"/>
  <c r="BQ97" i="155" s="1"/>
  <c r="BQ296" i="155"/>
  <c r="BQ31" i="155" s="1"/>
  <c r="BL254" i="155"/>
  <c r="BL260" i="155" s="1"/>
  <c r="BL23" i="155" s="1"/>
  <c r="BL88" i="155" s="1"/>
  <c r="BL463" i="155"/>
  <c r="BL252" i="155"/>
  <c r="BL22" i="155" s="1"/>
  <c r="AR148" i="155"/>
  <c r="AZ469" i="155"/>
  <c r="AZ19" i="155" s="1"/>
  <c r="AZ84" i="155" s="1"/>
  <c r="AZ278" i="155"/>
  <c r="AW451" i="155" a="1"/>
  <c r="AW451" i="155" s="1"/>
  <c r="AW457" i="155" s="1"/>
  <c r="AW69" i="155" s="1"/>
  <c r="AW134" i="155" s="1"/>
  <c r="AW418" i="155"/>
  <c r="AO147" i="155"/>
  <c r="AO148" i="155"/>
  <c r="AM451" i="155" a="1"/>
  <c r="AM451" i="155" s="1"/>
  <c r="AM457" i="155" s="1"/>
  <c r="AM69" i="155" s="1"/>
  <c r="AM134" i="155" s="1"/>
  <c r="AM418" i="155"/>
  <c r="BD469" i="155"/>
  <c r="BD19" i="155" s="1"/>
  <c r="BD84" i="155" s="1"/>
  <c r="BD278" i="155"/>
  <c r="BV246" i="155"/>
  <c r="BV244" i="155"/>
  <c r="BO254" i="155"/>
  <c r="BO260" i="155" s="1"/>
  <c r="BO23" i="155" s="1"/>
  <c r="BO88" i="155" s="1"/>
  <c r="BO463" i="155"/>
  <c r="BO252" i="155"/>
  <c r="BO22" i="155" s="1"/>
  <c r="BR298" i="155"/>
  <c r="BR304" i="155" s="1"/>
  <c r="BR32" i="155" s="1"/>
  <c r="BR97" i="155" s="1"/>
  <c r="BR296" i="155"/>
  <c r="BR31" i="155" s="1"/>
  <c r="BN298" i="155"/>
  <c r="BN304" i="155" s="1"/>
  <c r="BN32" i="155" s="1"/>
  <c r="BN296" i="155"/>
  <c r="BN31" i="155" s="1"/>
  <c r="AL147" i="155"/>
  <c r="BM306" i="155"/>
  <c r="BM312" i="155" s="1"/>
  <c r="BM33" i="155" s="1"/>
  <c r="BM98" i="155" s="1"/>
  <c r="BH469" i="155"/>
  <c r="BH19" i="155" s="1"/>
  <c r="BH84" i="155" s="1"/>
  <c r="BH278" i="155"/>
  <c r="AY278" i="155"/>
  <c r="AY469" i="155"/>
  <c r="AY19" i="155" s="1"/>
  <c r="AY84" i="155" s="1"/>
  <c r="AP147" i="155"/>
  <c r="AV147" i="155"/>
  <c r="BI322" i="155"/>
  <c r="AZ322" i="155"/>
  <c r="AJ451" i="155" a="1"/>
  <c r="AJ451" i="155" s="1"/>
  <c r="AJ457" i="155" s="1"/>
  <c r="AJ69" i="155" s="1"/>
  <c r="AJ134" i="155" s="1"/>
  <c r="AJ418" i="155"/>
  <c r="AQ146" i="155"/>
  <c r="BM314" i="155"/>
  <c r="BM320" i="155" s="1"/>
  <c r="BM35" i="155" s="1"/>
  <c r="BM100" i="155" s="1"/>
  <c r="BM296" i="155"/>
  <c r="BM31" i="155" s="1"/>
  <c r="BU314" i="155"/>
  <c r="BU320" i="155" s="1"/>
  <c r="BU35" i="155" s="1"/>
  <c r="BU100" i="155" s="1"/>
  <c r="BJ254" i="155"/>
  <c r="BJ260" i="155" s="1"/>
  <c r="BJ23" i="155" s="1"/>
  <c r="BJ88" i="155" s="1"/>
  <c r="BR254" i="155"/>
  <c r="BR260" i="155" s="1"/>
  <c r="BR23" i="155" s="1"/>
  <c r="BR88" i="155" s="1"/>
  <c r="BR463" i="155"/>
  <c r="BR252" i="155"/>
  <c r="BR22" i="155" s="1"/>
  <c r="BL314" i="155"/>
  <c r="BL320" i="155" s="1"/>
  <c r="BL35" i="155" s="1"/>
  <c r="BL100" i="155" s="1"/>
  <c r="BL296" i="155"/>
  <c r="BL31" i="155" s="1"/>
  <c r="BW290" i="155"/>
  <c r="BW298" i="155" s="1"/>
  <c r="BW304" i="155" s="1"/>
  <c r="BW32" i="155" s="1"/>
  <c r="BW97" i="155" s="1"/>
  <c r="BW288" i="155"/>
  <c r="BC469" i="155"/>
  <c r="BC19" i="155" s="1"/>
  <c r="BC84" i="155" s="1"/>
  <c r="BC278" i="155"/>
  <c r="BJ298" i="155"/>
  <c r="BJ304" i="155" s="1"/>
  <c r="BJ32" i="155" s="1"/>
  <c r="BJ97" i="155" s="1"/>
  <c r="BJ296" i="155"/>
  <c r="BJ31" i="155" s="1"/>
  <c r="AN451" i="155" a="1"/>
  <c r="AN451" i="155" s="1"/>
  <c r="AN457" i="155" s="1"/>
  <c r="AN69" i="155" s="1"/>
  <c r="AN134" i="155" s="1"/>
  <c r="AN418" i="155"/>
  <c r="BU306" i="155"/>
  <c r="BU312" i="155" s="1"/>
  <c r="BU33" i="155" s="1"/>
  <c r="BU98" i="155" s="1"/>
  <c r="BU296" i="155"/>
  <c r="BU31" i="155" s="1"/>
  <c r="BJ270" i="155"/>
  <c r="BJ276" i="155" s="1"/>
  <c r="BJ26" i="155" s="1"/>
  <c r="BJ91" i="155" s="1"/>
  <c r="BJ463" i="155"/>
  <c r="BJ252" i="155"/>
  <c r="BJ22" i="155" s="1"/>
  <c r="BV290" i="155"/>
  <c r="BV298" i="155" s="1"/>
  <c r="BV304" i="155" s="1"/>
  <c r="BV32" i="155" s="1"/>
  <c r="BV97" i="155" s="1"/>
  <c r="BV288" i="155"/>
  <c r="AO146" i="155"/>
  <c r="AU278" i="155"/>
  <c r="AU469" i="155"/>
  <c r="BE322" i="155"/>
  <c r="BW246" i="155"/>
  <c r="BW244" i="155"/>
  <c r="AM145" i="155"/>
  <c r="BQ254" i="155"/>
  <c r="BQ260" i="155" s="1"/>
  <c r="BQ23" i="155" s="1"/>
  <c r="BQ88" i="155" s="1"/>
  <c r="BT270" i="155"/>
  <c r="BT276" i="155" s="1"/>
  <c r="BT26" i="155" s="1"/>
  <c r="BT91" i="155" s="1"/>
  <c r="BT314" i="155"/>
  <c r="BT320" i="155" s="1"/>
  <c r="BT35" i="155" s="1"/>
  <c r="BT100" i="155" s="1"/>
  <c r="BT296" i="155"/>
  <c r="BT31" i="155" s="1"/>
  <c r="AX469" i="155"/>
  <c r="AX278" i="155"/>
  <c r="BQ183" i="99"/>
  <c r="AR219" i="99"/>
  <c r="AR211" i="99"/>
  <c r="BV183" i="99"/>
  <c r="BH334" i="99"/>
  <c r="BX183" i="99"/>
  <c r="BT183" i="99"/>
  <c r="BN334" i="99"/>
  <c r="BO334" i="99"/>
  <c r="AY249" i="99"/>
  <c r="AX293" i="99"/>
  <c r="AX317" i="99" s="1"/>
  <c r="AY293" i="99"/>
  <c r="AY301" i="99" s="1"/>
  <c r="BD331" i="99"/>
  <c r="BD200" i="99"/>
  <c r="BD191" i="99"/>
  <c r="AX249" i="99"/>
  <c r="AU249" i="99"/>
  <c r="AR249" i="99"/>
  <c r="AU293" i="99"/>
  <c r="AU309" i="99" s="1"/>
  <c r="BM288" i="99"/>
  <c r="AR293" i="99"/>
  <c r="AR317" i="99" s="1"/>
  <c r="BC293" i="99"/>
  <c r="BC301" i="99" s="1"/>
  <c r="BW188" i="99"/>
  <c r="BW183" i="99"/>
  <c r="BC249" i="99"/>
  <c r="BH288" i="99"/>
  <c r="BP188" i="99"/>
  <c r="BP183" i="99"/>
  <c r="BN244" i="99"/>
  <c r="BN288" i="99"/>
  <c r="BN203" i="99"/>
  <c r="BR188" i="99"/>
  <c r="BR183" i="99"/>
  <c r="AW249" i="99"/>
  <c r="BO244" i="99"/>
  <c r="BO288" i="99"/>
  <c r="BQ331" i="99"/>
  <c r="BQ341" i="99" s="1"/>
  <c r="BQ200" i="99"/>
  <c r="AW293" i="99"/>
  <c r="AW301" i="99" s="1"/>
  <c r="BB249" i="99"/>
  <c r="BB293" i="99"/>
  <c r="BB301" i="99" s="1"/>
  <c r="AZ249" i="99"/>
  <c r="BE200" i="99"/>
  <c r="BE331" i="99"/>
  <c r="BE191" i="99"/>
  <c r="AS293" i="99"/>
  <c r="AS301" i="99" s="1"/>
  <c r="AZ293" i="99"/>
  <c r="AZ309" i="99" s="1"/>
  <c r="AS249" i="99"/>
  <c r="BO203" i="99"/>
  <c r="BF331" i="99"/>
  <c r="BF200" i="99"/>
  <c r="BF191" i="99"/>
  <c r="BA249" i="99"/>
  <c r="BA293" i="99"/>
  <c r="BA309" i="99" s="1"/>
  <c r="BI288" i="99"/>
  <c r="AT293" i="99"/>
  <c r="AT317" i="99" s="1"/>
  <c r="AT249" i="99"/>
  <c r="BI108" i="104"/>
  <c r="BI43" i="104" s="1"/>
  <c r="BN43" i="105" s="1"/>
  <c r="BI108" i="99"/>
  <c r="BI45" i="99"/>
  <c r="BI110" i="103" s="1"/>
  <c r="BH108" i="104"/>
  <c r="BH43" i="104" s="1"/>
  <c r="BH108" i="103"/>
  <c r="BH43" i="103" s="1"/>
  <c r="BH45" i="103" s="1"/>
  <c r="BH108" i="99"/>
  <c r="BM45" i="99"/>
  <c r="BM110" i="103" s="1"/>
  <c r="BM108" i="99"/>
  <c r="BM108" i="104"/>
  <c r="BM43" i="104" s="1"/>
  <c r="BR43" i="105" s="1"/>
  <c r="BJ341" i="99"/>
  <c r="BJ344" i="99" s="1"/>
  <c r="BJ43" i="99" s="1"/>
  <c r="BJ334" i="99"/>
  <c r="BT200" i="99"/>
  <c r="BT331" i="99"/>
  <c r="BT191" i="99"/>
  <c r="BO249" i="99"/>
  <c r="BO293" i="99"/>
  <c r="BO317" i="99" s="1"/>
  <c r="BV200" i="99"/>
  <c r="BV331" i="99"/>
  <c r="BV191" i="99"/>
  <c r="BL216" i="99"/>
  <c r="BL208" i="99"/>
  <c r="BL203" i="99"/>
  <c r="BL341" i="99"/>
  <c r="BL344" i="99" s="1"/>
  <c r="BL43" i="99" s="1"/>
  <c r="BL334" i="99"/>
  <c r="BI293" i="99"/>
  <c r="BI317" i="99" s="1"/>
  <c r="BI249" i="99"/>
  <c r="BN249" i="99"/>
  <c r="BN293" i="99"/>
  <c r="BN309" i="99" s="1"/>
  <c r="BH293" i="99"/>
  <c r="BH317" i="99" s="1"/>
  <c r="BS200" i="99"/>
  <c r="BS331" i="99"/>
  <c r="BS191" i="99"/>
  <c r="BM293" i="99"/>
  <c r="BM301" i="99" s="1"/>
  <c r="BK341" i="99"/>
  <c r="BK344" i="99" s="1"/>
  <c r="BK43" i="99" s="1"/>
  <c r="BK334" i="99"/>
  <c r="BK216" i="99"/>
  <c r="BK208" i="99"/>
  <c r="BK203" i="99"/>
  <c r="BJ216" i="99"/>
  <c r="BJ208" i="99"/>
  <c r="BJ203" i="99"/>
  <c r="BU200" i="99"/>
  <c r="BU331" i="99"/>
  <c r="BU191" i="99"/>
  <c r="BG200" i="99"/>
  <c r="BG331" i="99"/>
  <c r="BG191" i="99"/>
  <c r="AV293" i="99"/>
  <c r="AV317" i="99" s="1"/>
  <c r="AV249" i="99"/>
  <c r="BT288" i="153"/>
  <c r="AJ254" i="153"/>
  <c r="AJ260" i="153" s="1"/>
  <c r="AJ23" i="153" s="1"/>
  <c r="AJ88" i="153" s="1"/>
  <c r="AJ270" i="153"/>
  <c r="AJ276" i="153" s="1"/>
  <c r="AJ26" i="153" s="1"/>
  <c r="AJ91" i="153" s="1"/>
  <c r="BQ191" i="99"/>
  <c r="AJ463" i="153"/>
  <c r="AJ252" i="153"/>
  <c r="AJ22" i="153" s="1"/>
  <c r="BS244" i="153"/>
  <c r="BR463" i="99"/>
  <c r="BR254" i="99"/>
  <c r="BR262" i="99"/>
  <c r="AL45" i="105"/>
  <c r="BS310" i="99"/>
  <c r="BS302" i="99"/>
  <c r="AU43" i="105"/>
  <c r="AM43" i="105"/>
  <c r="BS258" i="99"/>
  <c r="AV43" i="105"/>
  <c r="AR43" i="105"/>
  <c r="AO43" i="105"/>
  <c r="AP43" i="105"/>
  <c r="S96" i="103"/>
  <c r="S31" i="103" s="1"/>
  <c r="AF45" i="105"/>
  <c r="AT43" i="105"/>
  <c r="AI45" i="105"/>
  <c r="R96" i="103"/>
  <c r="R31" i="103" s="1"/>
  <c r="AQ43" i="105"/>
  <c r="AB45" i="105"/>
  <c r="AN43" i="105"/>
  <c r="BS266" i="99"/>
  <c r="X418" i="153"/>
  <c r="BS467" i="99"/>
  <c r="BH110" i="103"/>
  <c r="Y33" i="105"/>
  <c r="AA45" i="105"/>
  <c r="AD45" i="105"/>
  <c r="AH45" i="105"/>
  <c r="AS43" i="105"/>
  <c r="AG45" i="105"/>
  <c r="Y278" i="153"/>
  <c r="S88" i="103"/>
  <c r="S23" i="103" s="1"/>
  <c r="R98" i="99"/>
  <c r="R98" i="103"/>
  <c r="R33" i="103" s="1"/>
  <c r="U91" i="103"/>
  <c r="U26" i="103" s="1"/>
  <c r="T91" i="103"/>
  <c r="T26" i="103" s="1"/>
  <c r="S91" i="103"/>
  <c r="S26" i="103" s="1"/>
  <c r="S89" i="103"/>
  <c r="S24" i="103" s="1"/>
  <c r="U88" i="103"/>
  <c r="U23" i="103" s="1"/>
  <c r="T88" i="103"/>
  <c r="T23" i="103" s="1"/>
  <c r="BM45" i="103"/>
  <c r="AS266" i="99"/>
  <c r="AT274" i="99"/>
  <c r="BB108" i="104"/>
  <c r="BB43" i="104" s="1"/>
  <c r="BB43" i="103"/>
  <c r="BB45" i="103" s="1"/>
  <c r="S97" i="104"/>
  <c r="S32" i="104" s="1"/>
  <c r="S32" i="103"/>
  <c r="R89" i="104"/>
  <c r="R24" i="104" s="1"/>
  <c r="R100" i="99"/>
  <c r="R100" i="104"/>
  <c r="R35" i="104" s="1"/>
  <c r="AT318" i="99"/>
  <c r="S91" i="99"/>
  <c r="S91" i="104"/>
  <c r="S26" i="104" s="1"/>
  <c r="AT108" i="104"/>
  <c r="AT43" i="104" s="1"/>
  <c r="AZ108" i="104"/>
  <c r="AZ43" i="104" s="1"/>
  <c r="AZ43" i="103"/>
  <c r="AZ45" i="103" s="1"/>
  <c r="T91" i="104"/>
  <c r="T26" i="104" s="1"/>
  <c r="BC108" i="104"/>
  <c r="BC43" i="104" s="1"/>
  <c r="J108" i="104"/>
  <c r="AJ110" i="104"/>
  <c r="AJ45" i="104" s="1"/>
  <c r="R91" i="99"/>
  <c r="R91" i="104"/>
  <c r="R26" i="104" s="1"/>
  <c r="R26" i="103"/>
  <c r="AO110" i="104"/>
  <c r="AO45" i="104" s="1"/>
  <c r="T100" i="99"/>
  <c r="T100" i="104"/>
  <c r="T35" i="104" s="1"/>
  <c r="T35" i="103"/>
  <c r="U98" i="104"/>
  <c r="U33" i="104" s="1"/>
  <c r="AK110" i="104"/>
  <c r="AK45" i="104" s="1"/>
  <c r="U96" i="104"/>
  <c r="U31" i="104" s="1"/>
  <c r="U31" i="103"/>
  <c r="AN110" i="104"/>
  <c r="AN45" i="104" s="1"/>
  <c r="AM110" i="104"/>
  <c r="AM45" i="104" s="1"/>
  <c r="AI110" i="104"/>
  <c r="AI45" i="104" s="1"/>
  <c r="J110" i="104"/>
  <c r="T88" i="104"/>
  <c r="T23" i="104" s="1"/>
  <c r="K108" i="104"/>
  <c r="U100" i="104"/>
  <c r="U35" i="104" s="1"/>
  <c r="AU108" i="104"/>
  <c r="AU43" i="104" s="1"/>
  <c r="AU43" i="103"/>
  <c r="AU45" i="103" s="1"/>
  <c r="R96" i="104"/>
  <c r="R31" i="104" s="1"/>
  <c r="AV302" i="99"/>
  <c r="AX108" i="104"/>
  <c r="AX43" i="104" s="1"/>
  <c r="AV318" i="99"/>
  <c r="S88" i="99"/>
  <c r="S88" i="104"/>
  <c r="S23" i="104" s="1"/>
  <c r="AQ110" i="104"/>
  <c r="AQ45" i="104" s="1"/>
  <c r="S89" i="104"/>
  <c r="S24" i="104" s="1"/>
  <c r="S100" i="104"/>
  <c r="S35" i="104" s="1"/>
  <c r="AY108" i="104"/>
  <c r="AY43" i="104" s="1"/>
  <c r="BH110" i="104"/>
  <c r="BH45" i="104" s="1"/>
  <c r="S96" i="104"/>
  <c r="S31" i="104" s="1"/>
  <c r="AV108" i="104"/>
  <c r="AV43" i="104" s="1"/>
  <c r="AV43" i="103"/>
  <c r="AV45" i="103" s="1"/>
  <c r="U91" i="104"/>
  <c r="U26" i="104" s="1"/>
  <c r="AL110" i="104"/>
  <c r="AL45" i="104" s="1"/>
  <c r="S98" i="104"/>
  <c r="S33" i="104" s="1"/>
  <c r="AW108" i="104"/>
  <c r="AW43" i="104" s="1"/>
  <c r="AW43" i="103"/>
  <c r="AW45" i="103" s="1"/>
  <c r="U97" i="99"/>
  <c r="U97" i="104"/>
  <c r="U32" i="104" s="1"/>
  <c r="U32" i="103"/>
  <c r="BA108" i="104"/>
  <c r="BA43" i="104" s="1"/>
  <c r="S89" i="99"/>
  <c r="R97" i="99"/>
  <c r="R97" i="104"/>
  <c r="R32" i="104" s="1"/>
  <c r="R98" i="104"/>
  <c r="R33" i="104" s="1"/>
  <c r="AQ266" i="99"/>
  <c r="AH110" i="104"/>
  <c r="AH45" i="104" s="1"/>
  <c r="AP110" i="104"/>
  <c r="AP45" i="104" s="1"/>
  <c r="T97" i="104"/>
  <c r="T32" i="104" s="1"/>
  <c r="T32" i="103"/>
  <c r="U88" i="104"/>
  <c r="U23" i="104" s="1"/>
  <c r="AP298" i="153"/>
  <c r="AP304" i="153" s="1"/>
  <c r="AP32" i="153" s="1"/>
  <c r="AQ318" i="99"/>
  <c r="AN298" i="153"/>
  <c r="AN304" i="153" s="1"/>
  <c r="AN32" i="153" s="1"/>
  <c r="AN97" i="153" s="1"/>
  <c r="AO302" i="99"/>
  <c r="AU310" i="99"/>
  <c r="AM310" i="99"/>
  <c r="AR310" i="99"/>
  <c r="AP310" i="99"/>
  <c r="AK278" i="153"/>
  <c r="AK469" i="153"/>
  <c r="AK19" i="153" s="1"/>
  <c r="AK84" i="153" s="1"/>
  <c r="AN302" i="99"/>
  <c r="R418" i="153"/>
  <c r="AK322" i="153"/>
  <c r="BT286" i="99"/>
  <c r="BT242" i="99"/>
  <c r="Y451" i="153" a="1"/>
  <c r="Y451" i="153" s="1"/>
  <c r="Y457" i="153" s="1"/>
  <c r="Y69" i="153" s="1"/>
  <c r="Y134" i="153" s="1"/>
  <c r="Y418" i="153"/>
  <c r="AM306" i="153"/>
  <c r="AM312" i="153" s="1"/>
  <c r="AM33" i="153" s="1"/>
  <c r="AM98" i="153" s="1"/>
  <c r="AL310" i="99"/>
  <c r="AL302" i="99"/>
  <c r="U147" i="153"/>
  <c r="U146" i="153"/>
  <c r="T451" i="153" a="1"/>
  <c r="T451" i="153" s="1"/>
  <c r="T457" i="153" s="1"/>
  <c r="T69" i="153" s="1"/>
  <c r="T134" i="153" s="1"/>
  <c r="T418" i="153"/>
  <c r="T148" i="153"/>
  <c r="T146" i="153"/>
  <c r="AI469" i="153"/>
  <c r="AI19" i="153" s="1"/>
  <c r="AI84" i="153" s="1"/>
  <c r="V451" i="153" a="1"/>
  <c r="V451" i="153" s="1"/>
  <c r="V457" i="153" s="1"/>
  <c r="V69" i="153" s="1"/>
  <c r="V134" i="153" s="1"/>
  <c r="V418" i="153"/>
  <c r="AL258" i="99"/>
  <c r="AM318" i="99"/>
  <c r="U145" i="153"/>
  <c r="AO254" i="153"/>
  <c r="AO270" i="153"/>
  <c r="AO276" i="153" s="1"/>
  <c r="AO26" i="153" s="1"/>
  <c r="AO91" i="153" s="1"/>
  <c r="AO252" i="153"/>
  <c r="AO22" i="153" s="1"/>
  <c r="AO463" i="153"/>
  <c r="AO262" i="153"/>
  <c r="AO268" i="153" s="1"/>
  <c r="AO24" i="153" s="1"/>
  <c r="AO89" i="153" s="1"/>
  <c r="AN262" i="153"/>
  <c r="AN268" i="153" s="1"/>
  <c r="AN24" i="153" s="1"/>
  <c r="AN89" i="153" s="1"/>
  <c r="AN270" i="153"/>
  <c r="AN276" i="153" s="1"/>
  <c r="AN26" i="153" s="1"/>
  <c r="AN91" i="153" s="1"/>
  <c r="AN463" i="153"/>
  <c r="AN252" i="153"/>
  <c r="AN22" i="153" s="1"/>
  <c r="AN254" i="153"/>
  <c r="S451" i="153" a="1"/>
  <c r="S451" i="153" s="1"/>
  <c r="S457" i="153" s="1"/>
  <c r="S69" i="153" s="1"/>
  <c r="S134" i="153" s="1"/>
  <c r="S418" i="153"/>
  <c r="AS270" i="153"/>
  <c r="AS276" i="153" s="1"/>
  <c r="AS26" i="153" s="1"/>
  <c r="AS91" i="153" s="1"/>
  <c r="AS463" i="153"/>
  <c r="AS252" i="153"/>
  <c r="AS22" i="153" s="1"/>
  <c r="AS262" i="153"/>
  <c r="AS268" i="153" s="1"/>
  <c r="AS24" i="153" s="1"/>
  <c r="AS89" i="153" s="1"/>
  <c r="AD322" i="153"/>
  <c r="AU262" i="153"/>
  <c r="AU268" i="153" s="1"/>
  <c r="AU24" i="153" s="1"/>
  <c r="AU89" i="153" s="1"/>
  <c r="AU254" i="153"/>
  <c r="AU270" i="153"/>
  <c r="AU276" i="153" s="1"/>
  <c r="AU26" i="153" s="1"/>
  <c r="AU91" i="153" s="1"/>
  <c r="AU463" i="153"/>
  <c r="AU252" i="153"/>
  <c r="AU22" i="153" s="1"/>
  <c r="BG290" i="153"/>
  <c r="BG288" i="153"/>
  <c r="AN266" i="99"/>
  <c r="AP302" i="99"/>
  <c r="BE246" i="153"/>
  <c r="BE244" i="153"/>
  <c r="BC244" i="153"/>
  <c r="BC246" i="153"/>
  <c r="AX290" i="153"/>
  <c r="AX288" i="153"/>
  <c r="AI260" i="153"/>
  <c r="AI23" i="153" s="1"/>
  <c r="AI88" i="153" s="1"/>
  <c r="AV254" i="153"/>
  <c r="AV262" i="153"/>
  <c r="AV268" i="153" s="1"/>
  <c r="AV24" i="153" s="1"/>
  <c r="AV89" i="153" s="1"/>
  <c r="AV270" i="153"/>
  <c r="AV276" i="153" s="1"/>
  <c r="AV26" i="153" s="1"/>
  <c r="AV91" i="153" s="1"/>
  <c r="AV252" i="153"/>
  <c r="AV22" i="153" s="1"/>
  <c r="AV463" i="153"/>
  <c r="AU296" i="153"/>
  <c r="AU31" i="153" s="1"/>
  <c r="AU306" i="153"/>
  <c r="AU312" i="153" s="1"/>
  <c r="AU33" i="153" s="1"/>
  <c r="AU98" i="153" s="1"/>
  <c r="AU314" i="153"/>
  <c r="AU320" i="153" s="1"/>
  <c r="AU35" i="153" s="1"/>
  <c r="AU100" i="153" s="1"/>
  <c r="AU298" i="153"/>
  <c r="AU304" i="153" s="1"/>
  <c r="AU32" i="153" s="1"/>
  <c r="AU97" i="153" s="1"/>
  <c r="Z260" i="153"/>
  <c r="Z23" i="153" s="1"/>
  <c r="Z88" i="153" s="1"/>
  <c r="AC322" i="153"/>
  <c r="AY246" i="153"/>
  <c r="AY244" i="153"/>
  <c r="BF244" i="153"/>
  <c r="BF246" i="153"/>
  <c r="AO310" i="99"/>
  <c r="AI322" i="153"/>
  <c r="Z469" i="153"/>
  <c r="Z19" i="153" s="1"/>
  <c r="Z84" i="153" s="1"/>
  <c r="BB246" i="153"/>
  <c r="BB244" i="153"/>
  <c r="AH322" i="153"/>
  <c r="BF288" i="153"/>
  <c r="BF290" i="153"/>
  <c r="AE322" i="153"/>
  <c r="U451" i="153" a="1"/>
  <c r="U451" i="153" s="1"/>
  <c r="U457" i="153" s="1"/>
  <c r="U69" i="153" s="1"/>
  <c r="U134" i="153" s="1"/>
  <c r="U418" i="153"/>
  <c r="AS254" i="153"/>
  <c r="W451" i="153" a="1"/>
  <c r="W451" i="153" s="1"/>
  <c r="W457" i="153" s="1"/>
  <c r="W69" i="153" s="1"/>
  <c r="W134" i="153" s="1"/>
  <c r="W418" i="153"/>
  <c r="AB469" i="153"/>
  <c r="AB19" i="153" s="1"/>
  <c r="AB84" i="153" s="1"/>
  <c r="AB322" i="153"/>
  <c r="R145" i="153"/>
  <c r="BA290" i="153"/>
  <c r="BA288" i="153"/>
  <c r="AW262" i="153"/>
  <c r="AW268" i="153" s="1"/>
  <c r="AW24" i="153" s="1"/>
  <c r="AW89" i="153" s="1"/>
  <c r="AW270" i="153"/>
  <c r="AW276" i="153" s="1"/>
  <c r="AW26" i="153" s="1"/>
  <c r="AW91" i="153" s="1"/>
  <c r="AW254" i="153"/>
  <c r="AW463" i="153"/>
  <c r="AW252" i="153"/>
  <c r="AW22" i="153" s="1"/>
  <c r="BI244" i="153"/>
  <c r="BI246" i="153"/>
  <c r="AM258" i="99"/>
  <c r="AZ246" i="153"/>
  <c r="AZ244" i="153"/>
  <c r="AM254" i="153"/>
  <c r="AM463" i="153"/>
  <c r="AM252" i="153"/>
  <c r="AM22" i="153" s="1"/>
  <c r="AM270" i="153"/>
  <c r="AM276" i="153" s="1"/>
  <c r="AM26" i="153" s="1"/>
  <c r="AM91" i="153" s="1"/>
  <c r="AM262" i="153"/>
  <c r="AM268" i="153" s="1"/>
  <c r="AM24" i="153" s="1"/>
  <c r="AM89" i="153" s="1"/>
  <c r="BC288" i="153"/>
  <c r="BC290" i="153"/>
  <c r="AE469" i="153"/>
  <c r="AE19" i="153" s="1"/>
  <c r="AE84" i="153" s="1"/>
  <c r="R147" i="153"/>
  <c r="R146" i="153"/>
  <c r="BG244" i="153"/>
  <c r="BG246" i="153"/>
  <c r="BE290" i="153"/>
  <c r="BE288" i="153"/>
  <c r="AA322" i="153"/>
  <c r="AB268" i="153"/>
  <c r="AB24" i="153" s="1"/>
  <c r="AB89" i="153" s="1"/>
  <c r="AE260" i="153"/>
  <c r="AE23" i="153" s="1"/>
  <c r="AE88" i="153" s="1"/>
  <c r="AG469" i="153"/>
  <c r="AG19" i="153" s="1"/>
  <c r="AG84" i="153" s="1"/>
  <c r="BH246" i="153"/>
  <c r="BH244" i="153"/>
  <c r="AR258" i="99"/>
  <c r="AW296" i="153"/>
  <c r="AW31" i="153" s="1"/>
  <c r="AW314" i="153"/>
  <c r="AW320" i="153" s="1"/>
  <c r="AW35" i="153" s="1"/>
  <c r="AW100" i="153" s="1"/>
  <c r="AW306" i="153"/>
  <c r="AW312" i="153" s="1"/>
  <c r="AW33" i="153" s="1"/>
  <c r="AW98" i="153" s="1"/>
  <c r="AW298" i="153"/>
  <c r="AW304" i="153" s="1"/>
  <c r="AW32" i="153" s="1"/>
  <c r="AW97" i="153" s="1"/>
  <c r="BB290" i="153"/>
  <c r="BB288" i="153"/>
  <c r="AD469" i="153"/>
  <c r="AD19" i="153" s="1"/>
  <c r="AP296" i="153"/>
  <c r="AP31" i="153" s="1"/>
  <c r="AP314" i="153"/>
  <c r="AP320" i="153" s="1"/>
  <c r="AP35" i="153" s="1"/>
  <c r="AY288" i="153"/>
  <c r="AY290" i="153"/>
  <c r="AF469" i="153"/>
  <c r="AF19" i="153" s="1"/>
  <c r="AF84" i="153" s="1"/>
  <c r="AT270" i="153"/>
  <c r="AT276" i="153" s="1"/>
  <c r="AT26" i="153" s="1"/>
  <c r="AT91" i="153" s="1"/>
  <c r="AT262" i="153"/>
  <c r="AT268" i="153" s="1"/>
  <c r="AT24" i="153" s="1"/>
  <c r="AT89" i="153" s="1"/>
  <c r="AT254" i="153"/>
  <c r="AT463" i="153"/>
  <c r="AT252" i="153"/>
  <c r="AT22" i="153" s="1"/>
  <c r="AX244" i="153"/>
  <c r="AX246" i="153"/>
  <c r="AG260" i="153"/>
  <c r="AG23" i="153" s="1"/>
  <c r="AG88" i="153" s="1"/>
  <c r="BA244" i="153"/>
  <c r="BA246" i="153"/>
  <c r="AQ296" i="153"/>
  <c r="AQ31" i="153" s="1"/>
  <c r="AQ314" i="153"/>
  <c r="AQ320" i="153" s="1"/>
  <c r="AQ35" i="153" s="1"/>
  <c r="AQ100" i="153" s="1"/>
  <c r="AQ298" i="153"/>
  <c r="AQ304" i="153" s="1"/>
  <c r="AQ32" i="153" s="1"/>
  <c r="AQ97" i="153" s="1"/>
  <c r="AQ306" i="153"/>
  <c r="AQ312" i="153" s="1"/>
  <c r="AQ33" i="153" s="1"/>
  <c r="AQ98" i="153" s="1"/>
  <c r="AT310" i="99"/>
  <c r="AC469" i="153"/>
  <c r="AC19" i="153" s="1"/>
  <c r="AC84" i="153" s="1"/>
  <c r="AS296" i="153"/>
  <c r="AS31" i="153" s="1"/>
  <c r="AS314" i="153"/>
  <c r="AS320" i="153" s="1"/>
  <c r="AS35" i="153" s="1"/>
  <c r="AS100" i="153" s="1"/>
  <c r="AS306" i="153"/>
  <c r="AS312" i="153" s="1"/>
  <c r="AS33" i="153" s="1"/>
  <c r="AS98" i="153" s="1"/>
  <c r="AS298" i="153"/>
  <c r="AS304" i="153" s="1"/>
  <c r="AS32" i="153" s="1"/>
  <c r="AS97" i="153" s="1"/>
  <c r="AF260" i="153"/>
  <c r="AF23" i="153" s="1"/>
  <c r="AF88" i="153" s="1"/>
  <c r="AG322" i="153"/>
  <c r="AJ322" i="153"/>
  <c r="AT296" i="153"/>
  <c r="AT31" i="153" s="1"/>
  <c r="AT298" i="153"/>
  <c r="AT304" i="153" s="1"/>
  <c r="AT32" i="153" s="1"/>
  <c r="AT97" i="153" s="1"/>
  <c r="AT306" i="153"/>
  <c r="AT312" i="153" s="1"/>
  <c r="AT33" i="153" s="1"/>
  <c r="AT98" i="153" s="1"/>
  <c r="BH288" i="153"/>
  <c r="BH290" i="153"/>
  <c r="AZ288" i="153"/>
  <c r="AZ290" i="153"/>
  <c r="AD260" i="153"/>
  <c r="AD23" i="153" s="1"/>
  <c r="AO296" i="153"/>
  <c r="AO31" i="153" s="1"/>
  <c r="AO298" i="153"/>
  <c r="AO304" i="153" s="1"/>
  <c r="AO32" i="153" s="1"/>
  <c r="AO97" i="153" s="1"/>
  <c r="AO314" i="153"/>
  <c r="AO320" i="153" s="1"/>
  <c r="AO35" i="153" s="1"/>
  <c r="AO100" i="153" s="1"/>
  <c r="AO306" i="153"/>
  <c r="AO312" i="153" s="1"/>
  <c r="AO33" i="153" s="1"/>
  <c r="AO98" i="153" s="1"/>
  <c r="AA469" i="153"/>
  <c r="AA19" i="153" s="1"/>
  <c r="AA84" i="153" s="1"/>
  <c r="R148" i="153"/>
  <c r="AV296" i="153"/>
  <c r="AV31" i="153" s="1"/>
  <c r="AV314" i="153"/>
  <c r="AV320" i="153" s="1"/>
  <c r="AV35" i="153" s="1"/>
  <c r="AV100" i="153" s="1"/>
  <c r="AV306" i="153"/>
  <c r="AV312" i="153" s="1"/>
  <c r="AV33" i="153" s="1"/>
  <c r="AV98" i="153" s="1"/>
  <c r="AV298" i="153"/>
  <c r="AV304" i="153" s="1"/>
  <c r="AV32" i="153" s="1"/>
  <c r="AV97" i="153" s="1"/>
  <c r="AV274" i="99"/>
  <c r="AQ254" i="153"/>
  <c r="AQ270" i="153"/>
  <c r="AQ276" i="153" s="1"/>
  <c r="AQ26" i="153" s="1"/>
  <c r="AQ91" i="153" s="1"/>
  <c r="AQ262" i="153"/>
  <c r="AQ268" i="153" s="1"/>
  <c r="AQ24" i="153" s="1"/>
  <c r="AQ89" i="153" s="1"/>
  <c r="AQ252" i="153"/>
  <c r="AQ22" i="153" s="1"/>
  <c r="AQ463" i="153"/>
  <c r="AC260" i="153"/>
  <c r="AC23" i="153" s="1"/>
  <c r="AC88" i="153" s="1"/>
  <c r="AA260" i="153"/>
  <c r="AA23" i="153" s="1"/>
  <c r="AA88" i="153" s="1"/>
  <c r="AN296" i="153"/>
  <c r="AN31" i="153" s="1"/>
  <c r="AN314" i="153"/>
  <c r="AN320" i="153" s="1"/>
  <c r="AN35" i="153" s="1"/>
  <c r="AN100" i="153" s="1"/>
  <c r="AP262" i="153"/>
  <c r="AP268" i="153" s="1"/>
  <c r="AP24" i="153" s="1"/>
  <c r="AP254" i="153"/>
  <c r="AP270" i="153"/>
  <c r="AP276" i="153" s="1"/>
  <c r="AP26" i="153" s="1"/>
  <c r="AP252" i="153"/>
  <c r="AP22" i="153" s="1"/>
  <c r="AP463" i="153"/>
  <c r="AM296" i="153"/>
  <c r="AM31" i="153" s="1"/>
  <c r="AM298" i="153"/>
  <c r="AM304" i="153" s="1"/>
  <c r="AM32" i="153" s="1"/>
  <c r="AM97" i="153" s="1"/>
  <c r="BD288" i="153"/>
  <c r="BD290" i="153"/>
  <c r="T147" i="153"/>
  <c r="AL254" i="153"/>
  <c r="AL252" i="153"/>
  <c r="AL22" i="153" s="1"/>
  <c r="AL463" i="153"/>
  <c r="AL270" i="153"/>
  <c r="AL276" i="153" s="1"/>
  <c r="AL26" i="153" s="1"/>
  <c r="AL91" i="153" s="1"/>
  <c r="AL262" i="153"/>
  <c r="AL268" i="153" s="1"/>
  <c r="AL24" i="153" s="1"/>
  <c r="AL89" i="153" s="1"/>
  <c r="AR262" i="153"/>
  <c r="AR268" i="153" s="1"/>
  <c r="AR24" i="153" s="1"/>
  <c r="AR89" i="153" s="1"/>
  <c r="AR254" i="153"/>
  <c r="AR270" i="153"/>
  <c r="AR276" i="153" s="1"/>
  <c r="AR26" i="153" s="1"/>
  <c r="AR91" i="153" s="1"/>
  <c r="AR252" i="153"/>
  <c r="AR22" i="153" s="1"/>
  <c r="AR463" i="153"/>
  <c r="BD246" i="153"/>
  <c r="BD244" i="153"/>
  <c r="AH469" i="153"/>
  <c r="AH19" i="153" s="1"/>
  <c r="AH84" i="153" s="1"/>
  <c r="AR296" i="153"/>
  <c r="AR31" i="153" s="1"/>
  <c r="AR306" i="153"/>
  <c r="AR312" i="153" s="1"/>
  <c r="AR33" i="153" s="1"/>
  <c r="AR98" i="153" s="1"/>
  <c r="AR298" i="153"/>
  <c r="AR304" i="153" s="1"/>
  <c r="AR32" i="153" s="1"/>
  <c r="AR97" i="153" s="1"/>
  <c r="AR314" i="153"/>
  <c r="AR320" i="153" s="1"/>
  <c r="AR35" i="153" s="1"/>
  <c r="AR100" i="153" s="1"/>
  <c r="AR318" i="99"/>
  <c r="AF322" i="153"/>
  <c r="T145" i="153"/>
  <c r="BI290" i="153"/>
  <c r="BI288" i="153"/>
  <c r="AL296" i="153"/>
  <c r="AL31" i="153" s="1"/>
  <c r="AL298" i="153"/>
  <c r="AL304" i="153" s="1"/>
  <c r="AL32" i="153" s="1"/>
  <c r="AL97" i="153" s="1"/>
  <c r="AL314" i="153"/>
  <c r="AL320" i="153" s="1"/>
  <c r="AL35" i="153" s="1"/>
  <c r="AL100" i="153" s="1"/>
  <c r="AH260" i="153"/>
  <c r="AH23" i="153" s="1"/>
  <c r="AH88" i="153" s="1"/>
  <c r="Z322" i="153"/>
  <c r="U148" i="153"/>
  <c r="AS310" i="99"/>
  <c r="AP274" i="99"/>
  <c r="AS302" i="99"/>
  <c r="AP266" i="99"/>
  <c r="AP467" i="99"/>
  <c r="AU302" i="99"/>
  <c r="AQ258" i="99"/>
  <c r="AQ467" i="99"/>
  <c r="AU266" i="99"/>
  <c r="AU258" i="99"/>
  <c r="AU467" i="99"/>
  <c r="AL266" i="99"/>
  <c r="AL467" i="99"/>
  <c r="AV266" i="99"/>
  <c r="AV467" i="99"/>
  <c r="AN310" i="99"/>
  <c r="AQ310" i="99"/>
  <c r="AO266" i="99"/>
  <c r="AS258" i="99"/>
  <c r="AS467" i="99"/>
  <c r="AT258" i="99"/>
  <c r="AT467" i="99"/>
  <c r="AR274" i="99"/>
  <c r="AR467" i="99"/>
  <c r="AO258" i="99"/>
  <c r="AO467" i="99"/>
  <c r="AN274" i="99"/>
  <c r="AN467" i="99"/>
  <c r="AM274" i="99"/>
  <c r="AM467" i="99"/>
  <c r="L43" i="99"/>
  <c r="L108" i="103" s="1"/>
  <c r="BJ314" i="153"/>
  <c r="BJ320" i="153" s="1"/>
  <c r="BJ35" i="153" s="1"/>
  <c r="BJ100" i="153" s="1"/>
  <c r="BO314" i="153"/>
  <c r="BO320" i="153" s="1"/>
  <c r="BO35" i="153" s="1"/>
  <c r="BO100" i="153" s="1"/>
  <c r="BO306" i="153"/>
  <c r="BO312" i="153" s="1"/>
  <c r="BO33" i="153" s="1"/>
  <c r="BO98" i="153" s="1"/>
  <c r="BL262" i="153"/>
  <c r="BL268" i="153" s="1"/>
  <c r="BL24" i="153" s="1"/>
  <c r="BL89" i="153" s="1"/>
  <c r="BO298" i="153"/>
  <c r="BO304" i="153" s="1"/>
  <c r="BO32" i="153" s="1"/>
  <c r="BO97" i="153" s="1"/>
  <c r="BU254" i="153"/>
  <c r="BU260" i="153" s="1"/>
  <c r="BU23" i="153" s="1"/>
  <c r="BU88" i="153" s="1"/>
  <c r="BJ298" i="153"/>
  <c r="BJ304" i="153" s="1"/>
  <c r="BJ32" i="153" s="1"/>
  <c r="BJ97" i="153" s="1"/>
  <c r="AA306" i="99"/>
  <c r="AA312" i="99" s="1"/>
  <c r="AA33" i="99" s="1"/>
  <c r="BJ306" i="153"/>
  <c r="BJ312" i="153" s="1"/>
  <c r="BJ33" i="153" s="1"/>
  <c r="BJ98" i="153" s="1"/>
  <c r="U322" i="99"/>
  <c r="Z262" i="99"/>
  <c r="Z268" i="99" s="1"/>
  <c r="Z24" i="99" s="1"/>
  <c r="R322" i="99"/>
  <c r="AF314" i="99"/>
  <c r="AF320" i="99" s="1"/>
  <c r="AF35" i="99" s="1"/>
  <c r="AF100" i="103" s="1"/>
  <c r="AA254" i="99"/>
  <c r="AA260" i="99" s="1"/>
  <c r="AA23" i="99" s="1"/>
  <c r="Y314" i="99"/>
  <c r="Y320" i="99" s="1"/>
  <c r="Y35" i="99" s="1"/>
  <c r="Y100" i="103" s="1"/>
  <c r="BS270" i="153"/>
  <c r="BS276" i="153" s="1"/>
  <c r="BS26" i="153" s="1"/>
  <c r="BS91" i="153" s="1"/>
  <c r="BQ314" i="153"/>
  <c r="BQ320" i="153" s="1"/>
  <c r="BQ35" i="153" s="1"/>
  <c r="BQ100" i="153" s="1"/>
  <c r="BL254" i="153"/>
  <c r="BL260" i="153" s="1"/>
  <c r="BL23" i="153" s="1"/>
  <c r="BL88" i="153" s="1"/>
  <c r="X270" i="99"/>
  <c r="X276" i="99" s="1"/>
  <c r="X26" i="99" s="1"/>
  <c r="BM254" i="153"/>
  <c r="BM260" i="153" s="1"/>
  <c r="BM23" i="153" s="1"/>
  <c r="BM88" i="153" s="1"/>
  <c r="J110" i="99"/>
  <c r="BR270" i="153"/>
  <c r="BR276" i="153" s="1"/>
  <c r="BR26" i="153" s="1"/>
  <c r="BR91" i="153" s="1"/>
  <c r="BS314" i="153"/>
  <c r="BS320" i="153" s="1"/>
  <c r="BS35" i="153" s="1"/>
  <c r="BS100" i="153" s="1"/>
  <c r="BQ254" i="153"/>
  <c r="BQ260" i="153" s="1"/>
  <c r="BQ23" i="153" s="1"/>
  <c r="BQ88" i="153" s="1"/>
  <c r="BN262" i="153"/>
  <c r="BN268" i="153" s="1"/>
  <c r="BN24" i="153" s="1"/>
  <c r="BQ306" i="153"/>
  <c r="BQ312" i="153" s="1"/>
  <c r="BQ33" i="153" s="1"/>
  <c r="BQ98" i="153" s="1"/>
  <c r="BQ298" i="153"/>
  <c r="BQ304" i="153" s="1"/>
  <c r="BQ32" i="153" s="1"/>
  <c r="BQ97" i="153" s="1"/>
  <c r="BW302" i="99"/>
  <c r="AF270" i="99"/>
  <c r="AF276" i="99" s="1"/>
  <c r="AF26" i="99" s="1"/>
  <c r="BR298" i="153"/>
  <c r="BR304" i="153" s="1"/>
  <c r="BR32" i="153" s="1"/>
  <c r="BR97" i="153" s="1"/>
  <c r="BM298" i="153"/>
  <c r="BM304" i="153" s="1"/>
  <c r="BM32" i="153" s="1"/>
  <c r="BM97" i="153" s="1"/>
  <c r="BS306" i="153"/>
  <c r="BS312" i="153" s="1"/>
  <c r="BS33" i="153" s="1"/>
  <c r="BS98" i="153" s="1"/>
  <c r="BP306" i="153"/>
  <c r="BP312" i="153" s="1"/>
  <c r="BP33" i="153" s="1"/>
  <c r="BP98" i="153" s="1"/>
  <c r="BR306" i="153"/>
  <c r="BR312" i="153" s="1"/>
  <c r="BR33" i="153" s="1"/>
  <c r="BR98" i="153" s="1"/>
  <c r="BK314" i="153"/>
  <c r="BK320" i="153" s="1"/>
  <c r="BK35" i="153" s="1"/>
  <c r="BK100" i="153" s="1"/>
  <c r="BT306" i="153"/>
  <c r="BT312" i="153" s="1"/>
  <c r="BT33" i="153" s="1"/>
  <c r="BT98" i="153" s="1"/>
  <c r="BT314" i="153"/>
  <c r="BT320" i="153" s="1"/>
  <c r="BT35" i="153" s="1"/>
  <c r="BT100" i="153" s="1"/>
  <c r="BN298" i="153"/>
  <c r="BN304" i="153" s="1"/>
  <c r="BN32" i="153" s="1"/>
  <c r="BN306" i="153"/>
  <c r="BN312" i="153" s="1"/>
  <c r="BN33" i="153" s="1"/>
  <c r="BN314" i="153"/>
  <c r="BN320" i="153" s="1"/>
  <c r="BN35" i="153" s="1"/>
  <c r="BU306" i="153"/>
  <c r="BU312" i="153" s="1"/>
  <c r="BU33" i="153" s="1"/>
  <c r="BU98" i="153" s="1"/>
  <c r="BM314" i="153"/>
  <c r="BM320" i="153" s="1"/>
  <c r="BM35" i="153" s="1"/>
  <c r="BM100" i="153" s="1"/>
  <c r="BK254" i="153"/>
  <c r="BK260" i="153" s="1"/>
  <c r="BK23" i="153" s="1"/>
  <c r="BK88" i="153" s="1"/>
  <c r="BP298" i="153"/>
  <c r="BP304" i="153" s="1"/>
  <c r="BP32" i="153" s="1"/>
  <c r="BP97" i="153" s="1"/>
  <c r="BU262" i="153"/>
  <c r="BU268" i="153" s="1"/>
  <c r="BU24" i="153" s="1"/>
  <c r="BU89" i="153" s="1"/>
  <c r="BP314" i="153"/>
  <c r="BP320" i="153" s="1"/>
  <c r="BP35" i="153" s="1"/>
  <c r="BP100" i="153" s="1"/>
  <c r="BY244" i="153"/>
  <c r="BY246" i="153"/>
  <c r="BT262" i="153"/>
  <c r="BT268" i="153" s="1"/>
  <c r="BT24" i="153" s="1"/>
  <c r="BT89" i="153" s="1"/>
  <c r="BT252" i="153"/>
  <c r="BT22" i="153" s="1"/>
  <c r="BT463" i="153"/>
  <c r="BX288" i="153"/>
  <c r="BX290" i="153"/>
  <c r="BX296" i="153" s="1"/>
  <c r="BX31" i="153" s="1"/>
  <c r="BM262" i="153"/>
  <c r="BM268" i="153" s="1"/>
  <c r="BM24" i="153" s="1"/>
  <c r="BM89" i="153" s="1"/>
  <c r="BM463" i="153"/>
  <c r="BM252" i="153"/>
  <c r="BM22" i="153" s="1"/>
  <c r="BQ270" i="153"/>
  <c r="BQ276" i="153" s="1"/>
  <c r="BQ26" i="153" s="1"/>
  <c r="BQ91" i="153" s="1"/>
  <c r="BQ252" i="153"/>
  <c r="BQ22" i="153" s="1"/>
  <c r="BQ463" i="153"/>
  <c r="BT298" i="153"/>
  <c r="BT304" i="153" s="1"/>
  <c r="BT32" i="153" s="1"/>
  <c r="BT97" i="153" s="1"/>
  <c r="BR314" i="153"/>
  <c r="BR320" i="153" s="1"/>
  <c r="BR35" i="153" s="1"/>
  <c r="BR100" i="153" s="1"/>
  <c r="BS298" i="153"/>
  <c r="BS304" i="153" s="1"/>
  <c r="BS32" i="153" s="1"/>
  <c r="BS97" i="153" s="1"/>
  <c r="BU314" i="153"/>
  <c r="BU320" i="153" s="1"/>
  <c r="BU35" i="153" s="1"/>
  <c r="BU100" i="153" s="1"/>
  <c r="BP254" i="153"/>
  <c r="BP260" i="153" s="1"/>
  <c r="BP23" i="153" s="1"/>
  <c r="BP88" i="153" s="1"/>
  <c r="BX246" i="153"/>
  <c r="BX244" i="153"/>
  <c r="BL463" i="153"/>
  <c r="BL252" i="153"/>
  <c r="BL22" i="153" s="1"/>
  <c r="BO262" i="153"/>
  <c r="BO268" i="153" s="1"/>
  <c r="BO24" i="153" s="1"/>
  <c r="BO89" i="153" s="1"/>
  <c r="BO252" i="153"/>
  <c r="BO22" i="153" s="1"/>
  <c r="BO463" i="153"/>
  <c r="BP270" i="153"/>
  <c r="BP276" i="153" s="1"/>
  <c r="BP26" i="153" s="1"/>
  <c r="BP91" i="153" s="1"/>
  <c r="BP252" i="153"/>
  <c r="BP22" i="153" s="1"/>
  <c r="BP463" i="153"/>
  <c r="BO254" i="153"/>
  <c r="BO260" i="153" s="1"/>
  <c r="BO23" i="153" s="1"/>
  <c r="BO88" i="153" s="1"/>
  <c r="BU298" i="153"/>
  <c r="BU304" i="153" s="1"/>
  <c r="BU32" i="153" s="1"/>
  <c r="BU97" i="153" s="1"/>
  <c r="BL306" i="153"/>
  <c r="BL312" i="153" s="1"/>
  <c r="BL33" i="153" s="1"/>
  <c r="BL98" i="153" s="1"/>
  <c r="BW244" i="153"/>
  <c r="BW246" i="153"/>
  <c r="BL314" i="153"/>
  <c r="BL320" i="153" s="1"/>
  <c r="BL35" i="153" s="1"/>
  <c r="BL100" i="153" s="1"/>
  <c r="BN254" i="153"/>
  <c r="BN260" i="153" s="1"/>
  <c r="BN23" i="153" s="1"/>
  <c r="BN463" i="153"/>
  <c r="BN252" i="153"/>
  <c r="BN22" i="153" s="1"/>
  <c r="BU252" i="153"/>
  <c r="BU22" i="153" s="1"/>
  <c r="BU463" i="153"/>
  <c r="BO270" i="153"/>
  <c r="BO276" i="153" s="1"/>
  <c r="BO26" i="153" s="1"/>
  <c r="BO91" i="153" s="1"/>
  <c r="BW259" i="99"/>
  <c r="BL298" i="153"/>
  <c r="BL304" i="153" s="1"/>
  <c r="BL32" i="153" s="1"/>
  <c r="BL97" i="153" s="1"/>
  <c r="BV290" i="153"/>
  <c r="BV296" i="153" s="1"/>
  <c r="BV31" i="153" s="1"/>
  <c r="BV288" i="153"/>
  <c r="AD314" i="99"/>
  <c r="AD320" i="99" s="1"/>
  <c r="AD35" i="99" s="1"/>
  <c r="AD100" i="103" s="1"/>
  <c r="BJ254" i="153"/>
  <c r="BJ260" i="153" s="1"/>
  <c r="BJ23" i="153" s="1"/>
  <c r="BJ88" i="153" s="1"/>
  <c r="BK306" i="153"/>
  <c r="BK312" i="153" s="1"/>
  <c r="BK33" i="153" s="1"/>
  <c r="BK98" i="153" s="1"/>
  <c r="BK270" i="153"/>
  <c r="BK276" i="153" s="1"/>
  <c r="BK26" i="153" s="1"/>
  <c r="BK91" i="153" s="1"/>
  <c r="BK463" i="153"/>
  <c r="BK252" i="153"/>
  <c r="BK22" i="153" s="1"/>
  <c r="AD298" i="99"/>
  <c r="AD304" i="99" s="1"/>
  <c r="AD32" i="99" s="1"/>
  <c r="AD97" i="103" s="1"/>
  <c r="BK298" i="153"/>
  <c r="BK304" i="153" s="1"/>
  <c r="BK32" i="153" s="1"/>
  <c r="BK97" i="153" s="1"/>
  <c r="BW290" i="153"/>
  <c r="BW296" i="153" s="1"/>
  <c r="BW31" i="153" s="1"/>
  <c r="BW288" i="153"/>
  <c r="W254" i="99"/>
  <c r="W260" i="99" s="1"/>
  <c r="W23" i="99" s="1"/>
  <c r="AG254" i="99"/>
  <c r="AG260" i="99" s="1"/>
  <c r="AG23" i="99" s="1"/>
  <c r="BV244" i="153"/>
  <c r="BV246" i="153"/>
  <c r="BJ270" i="153"/>
  <c r="BJ276" i="153" s="1"/>
  <c r="BJ26" i="153" s="1"/>
  <c r="BJ91" i="153" s="1"/>
  <c r="BJ252" i="153"/>
  <c r="BJ22" i="153" s="1"/>
  <c r="BJ463" i="153"/>
  <c r="BY290" i="153"/>
  <c r="BY296" i="153" s="1"/>
  <c r="BY31" i="153" s="1"/>
  <c r="BY288" i="153"/>
  <c r="AA298" i="99"/>
  <c r="AA304" i="99" s="1"/>
  <c r="AA32" i="99" s="1"/>
  <c r="AA97" i="103" s="1"/>
  <c r="V306" i="99"/>
  <c r="V312" i="99" s="1"/>
  <c r="V33" i="99" s="1"/>
  <c r="V98" i="103" s="1"/>
  <c r="BM306" i="153"/>
  <c r="BM312" i="153" s="1"/>
  <c r="BM33" i="153" s="1"/>
  <c r="BM98" i="153" s="1"/>
  <c r="BT254" i="153"/>
  <c r="BT260" i="153" s="1"/>
  <c r="BT23" i="153" s="1"/>
  <c r="BT88" i="153" s="1"/>
  <c r="U98" i="99"/>
  <c r="U33" i="103"/>
  <c r="BT270" i="153"/>
  <c r="BT276" i="153" s="1"/>
  <c r="BT26" i="153" s="1"/>
  <c r="BT91" i="153" s="1"/>
  <c r="BS254" i="153"/>
  <c r="BS260" i="153" s="1"/>
  <c r="BS23" i="153" s="1"/>
  <c r="BS88" i="153" s="1"/>
  <c r="BS252" i="153"/>
  <c r="BS22" i="153" s="1"/>
  <c r="BS463" i="153"/>
  <c r="BR254" i="153"/>
  <c r="BR260" i="153" s="1"/>
  <c r="BR23" i="153" s="1"/>
  <c r="BR88" i="153" s="1"/>
  <c r="BR463" i="153"/>
  <c r="BR252" i="153"/>
  <c r="BR22" i="153" s="1"/>
  <c r="BW299" i="99"/>
  <c r="AG314" i="99"/>
  <c r="AG320" i="99" s="1"/>
  <c r="AG35" i="99" s="1"/>
  <c r="AG100" i="103" s="1"/>
  <c r="BW307" i="99"/>
  <c r="AD262" i="99"/>
  <c r="AD268" i="99" s="1"/>
  <c r="AD24" i="99" s="1"/>
  <c r="Z314" i="99"/>
  <c r="Z320" i="99" s="1"/>
  <c r="Z35" i="99" s="1"/>
  <c r="Z100" i="103" s="1"/>
  <c r="AG306" i="99"/>
  <c r="AG312" i="99" s="1"/>
  <c r="AG33" i="99" s="1"/>
  <c r="AG98" i="103" s="1"/>
  <c r="Z298" i="99"/>
  <c r="Z304" i="99" s="1"/>
  <c r="Z32" i="99" s="1"/>
  <c r="Z97" i="103" s="1"/>
  <c r="J45" i="104"/>
  <c r="S322" i="99"/>
  <c r="U100" i="99"/>
  <c r="U35" i="103"/>
  <c r="BW300" i="99"/>
  <c r="AE298" i="99"/>
  <c r="AE304" i="99" s="1"/>
  <c r="AE32" i="99" s="1"/>
  <c r="AE97" i="103" s="1"/>
  <c r="AB306" i="99"/>
  <c r="AB312" i="99" s="1"/>
  <c r="AB33" i="99" s="1"/>
  <c r="AB98" i="103" s="1"/>
  <c r="AB314" i="99"/>
  <c r="AB320" i="99" s="1"/>
  <c r="AB35" i="99" s="1"/>
  <c r="AB100" i="103" s="1"/>
  <c r="BY209" i="99"/>
  <c r="BY242" i="99" s="1"/>
  <c r="BY217" i="99"/>
  <c r="BY286" i="99" s="1"/>
  <c r="T97" i="99"/>
  <c r="X31" i="99"/>
  <c r="X96" i="103" s="1"/>
  <c r="Y254" i="99"/>
  <c r="Y260" i="99" s="1"/>
  <c r="Y23" i="99" s="1"/>
  <c r="Y463" i="99"/>
  <c r="Y252" i="99"/>
  <c r="AE306" i="99"/>
  <c r="AE312" i="99" s="1"/>
  <c r="AE33" i="99" s="1"/>
  <c r="AE98" i="103" s="1"/>
  <c r="BL247" i="99"/>
  <c r="AB262" i="99"/>
  <c r="AB268" i="99" s="1"/>
  <c r="AB24" i="99" s="1"/>
  <c r="AB463" i="99"/>
  <c r="AB252" i="99"/>
  <c r="AQ110" i="99"/>
  <c r="AE262" i="99"/>
  <c r="AE268" i="99" s="1"/>
  <c r="AE24" i="99" s="1"/>
  <c r="AW238" i="99"/>
  <c r="AW211" i="99"/>
  <c r="V463" i="99"/>
  <c r="V252" i="99"/>
  <c r="AH290" i="99"/>
  <c r="AH296" i="99" s="1"/>
  <c r="AH288" i="99"/>
  <c r="BW255" i="99"/>
  <c r="BW464" i="99"/>
  <c r="T469" i="99"/>
  <c r="T19" i="99" s="1"/>
  <c r="T84" i="103" s="1"/>
  <c r="T278" i="99"/>
  <c r="T22" i="99"/>
  <c r="AE254" i="99"/>
  <c r="AE260" i="99" s="1"/>
  <c r="AE23" i="99" s="1"/>
  <c r="AW282" i="99"/>
  <c r="AW219" i="99"/>
  <c r="W306" i="99"/>
  <c r="W312" i="99" s="1"/>
  <c r="W33" i="99" s="1"/>
  <c r="W98" i="103" s="1"/>
  <c r="AE31" i="99"/>
  <c r="BA238" i="99"/>
  <c r="BA211" i="99"/>
  <c r="BW258" i="99"/>
  <c r="BE238" i="99"/>
  <c r="Y298" i="99"/>
  <c r="Y304" i="99" s="1"/>
  <c r="Y32" i="99" s="1"/>
  <c r="Y97" i="103" s="1"/>
  <c r="R96" i="99"/>
  <c r="R34" i="99"/>
  <c r="AA262" i="99"/>
  <c r="AA268" i="99" s="1"/>
  <c r="AA24" i="99" s="1"/>
  <c r="AA463" i="99"/>
  <c r="AA252" i="99"/>
  <c r="W298" i="99"/>
  <c r="W304" i="99" s="1"/>
  <c r="W32" i="99" s="1"/>
  <c r="W97" i="103" s="1"/>
  <c r="BA282" i="99"/>
  <c r="BA219" i="99"/>
  <c r="BX197" i="99"/>
  <c r="BX191" i="99"/>
  <c r="BX328" i="99"/>
  <c r="AP110" i="99"/>
  <c r="AE463" i="99"/>
  <c r="AE252" i="99"/>
  <c r="BE282" i="99"/>
  <c r="Y306" i="99"/>
  <c r="Y312" i="99" s="1"/>
  <c r="Y33" i="99" s="1"/>
  <c r="Y98" i="103" s="1"/>
  <c r="W314" i="99"/>
  <c r="W320" i="99" s="1"/>
  <c r="W35" i="99" s="1"/>
  <c r="W100" i="103" s="1"/>
  <c r="AI246" i="99"/>
  <c r="AI244" i="99"/>
  <c r="AT108" i="99"/>
  <c r="AT45" i="99"/>
  <c r="AT110" i="103" s="1"/>
  <c r="AT43" i="103"/>
  <c r="AT45" i="103" s="1"/>
  <c r="AL110" i="99"/>
  <c r="T91" i="99"/>
  <c r="BW274" i="99"/>
  <c r="BW467" i="99"/>
  <c r="S96" i="99"/>
  <c r="S34" i="99"/>
  <c r="AL290" i="99"/>
  <c r="AL296" i="99" s="1"/>
  <c r="AL288" i="99"/>
  <c r="BK291" i="99"/>
  <c r="BK299" i="99" s="1"/>
  <c r="AH246" i="99"/>
  <c r="AH244" i="99"/>
  <c r="W31" i="99"/>
  <c r="W96" i="103" s="1"/>
  <c r="Z306" i="99"/>
  <c r="Z312" i="99" s="1"/>
  <c r="Z33" i="99" s="1"/>
  <c r="Z98" i="103" s="1"/>
  <c r="BX210" i="99"/>
  <c r="BX243" i="99" s="1"/>
  <c r="BX218" i="99"/>
  <c r="BX287" i="99" s="1"/>
  <c r="S97" i="99"/>
  <c r="S98" i="99"/>
  <c r="S33" i="103"/>
  <c r="Y31" i="99"/>
  <c r="Y96" i="103" s="1"/>
  <c r="AR246" i="99"/>
  <c r="AR244" i="99"/>
  <c r="AQ290" i="99"/>
  <c r="AQ296" i="99" s="1"/>
  <c r="AQ288" i="99"/>
  <c r="AT282" i="99"/>
  <c r="AT219" i="99"/>
  <c r="N562" i="99"/>
  <c r="P562" i="99" s="1"/>
  <c r="N625" i="99"/>
  <c r="P561" i="99"/>
  <c r="AK246" i="99"/>
  <c r="AK244" i="99"/>
  <c r="BC282" i="99"/>
  <c r="BC219" i="99"/>
  <c r="AP290" i="99"/>
  <c r="AP296" i="99" s="1"/>
  <c r="AP288" i="99"/>
  <c r="AZ238" i="99"/>
  <c r="AZ211" i="99"/>
  <c r="AN290" i="99"/>
  <c r="AN296" i="99" s="1"/>
  <c r="AN288" i="99"/>
  <c r="BM291" i="99"/>
  <c r="BM315" i="99" s="1"/>
  <c r="AO110" i="99"/>
  <c r="U278" i="99"/>
  <c r="U469" i="99"/>
  <c r="U19" i="99" s="1"/>
  <c r="U84" i="103" s="1"/>
  <c r="U22" i="99"/>
  <c r="AT238" i="99"/>
  <c r="AT211" i="99"/>
  <c r="BC238" i="99"/>
  <c r="BC211" i="99"/>
  <c r="AM110" i="99"/>
  <c r="BD238" i="99"/>
  <c r="AZ282" i="99"/>
  <c r="AZ219" i="99"/>
  <c r="AW45" i="99"/>
  <c r="AW110" i="103" s="1"/>
  <c r="AW108" i="99"/>
  <c r="AY282" i="99"/>
  <c r="AY219" i="99"/>
  <c r="AI110" i="99"/>
  <c r="BH291" i="99"/>
  <c r="BH315" i="99" s="1"/>
  <c r="Z31" i="99"/>
  <c r="BC45" i="99"/>
  <c r="BC110" i="103" s="1"/>
  <c r="BC108" i="99"/>
  <c r="BC43" i="103"/>
  <c r="BC45" i="103" s="1"/>
  <c r="BD282" i="99"/>
  <c r="BW272" i="99"/>
  <c r="AL246" i="99"/>
  <c r="AL244" i="99"/>
  <c r="AU238" i="99"/>
  <c r="AU211" i="99"/>
  <c r="AY238" i="99"/>
  <c r="AY211" i="99"/>
  <c r="AQ246" i="99"/>
  <c r="AQ244" i="99"/>
  <c r="BF247" i="99"/>
  <c r="AX282" i="99"/>
  <c r="AX219" i="99"/>
  <c r="BW308" i="99"/>
  <c r="AU282" i="99"/>
  <c r="AU219" i="99"/>
  <c r="AG270" i="99"/>
  <c r="AG276" i="99" s="1"/>
  <c r="AG26" i="99" s="1"/>
  <c r="AG463" i="99"/>
  <c r="AG252" i="99"/>
  <c r="BJ291" i="99"/>
  <c r="BJ307" i="99" s="1"/>
  <c r="U88" i="99"/>
  <c r="BB238" i="99"/>
  <c r="BB211" i="99"/>
  <c r="U91" i="99"/>
  <c r="S22" i="99"/>
  <c r="S469" i="99"/>
  <c r="S19" i="99" s="1"/>
  <c r="S278" i="99"/>
  <c r="AX238" i="99"/>
  <c r="AX211" i="99"/>
  <c r="AZ45" i="99"/>
  <c r="AZ110" i="103" s="1"/>
  <c r="AZ108" i="99"/>
  <c r="BW256" i="99"/>
  <c r="BW465" i="99"/>
  <c r="BM247" i="99"/>
  <c r="BL291" i="99"/>
  <c r="BL315" i="99" s="1"/>
  <c r="BY207" i="99"/>
  <c r="BY240" i="99" s="1"/>
  <c r="BY215" i="99"/>
  <c r="BY284" i="99" s="1"/>
  <c r="BB282" i="99"/>
  <c r="BB219" i="99"/>
  <c r="AK290" i="99"/>
  <c r="AK296" i="99" s="1"/>
  <c r="AK288" i="99"/>
  <c r="AM246" i="99"/>
  <c r="AM244" i="99"/>
  <c r="BK247" i="99"/>
  <c r="BW282" i="99"/>
  <c r="BX215" i="99"/>
  <c r="BX284" i="99" s="1"/>
  <c r="BX207" i="99"/>
  <c r="BX240" i="99" s="1"/>
  <c r="AA314" i="99"/>
  <c r="AA320" i="99" s="1"/>
  <c r="AA35" i="99" s="1"/>
  <c r="AA100" i="103" s="1"/>
  <c r="AB298" i="99"/>
  <c r="AB304" i="99" s="1"/>
  <c r="AB32" i="99" s="1"/>
  <c r="AB97" i="103" s="1"/>
  <c r="AS290" i="99"/>
  <c r="AS288" i="99"/>
  <c r="AC314" i="99"/>
  <c r="AC320" i="99" s="1"/>
  <c r="AC35" i="99" s="1"/>
  <c r="AC100" i="103" s="1"/>
  <c r="V298" i="99"/>
  <c r="V304" i="99" s="1"/>
  <c r="V32" i="99" s="1"/>
  <c r="V97" i="103" s="1"/>
  <c r="AF306" i="99"/>
  <c r="AF312" i="99" s="1"/>
  <c r="AF33" i="99" s="1"/>
  <c r="AF98" i="103" s="1"/>
  <c r="AC270" i="99"/>
  <c r="AC276" i="99" s="1"/>
  <c r="AC26" i="99" s="1"/>
  <c r="BH247" i="99"/>
  <c r="W270" i="99"/>
  <c r="W276" i="99" s="1"/>
  <c r="W26" i="99" s="1"/>
  <c r="AA31" i="99"/>
  <c r="AJ110" i="99"/>
  <c r="AM290" i="99"/>
  <c r="AM296" i="99" s="1"/>
  <c r="AM288" i="99"/>
  <c r="AC306" i="99"/>
  <c r="AC312" i="99" s="1"/>
  <c r="AC33" i="99" s="1"/>
  <c r="AC98" i="103" s="1"/>
  <c r="AO246" i="99"/>
  <c r="AO244" i="99"/>
  <c r="AK110" i="99"/>
  <c r="V314" i="99"/>
  <c r="V320" i="99" s="1"/>
  <c r="V35" i="99" s="1"/>
  <c r="V100" i="103" s="1"/>
  <c r="BO247" i="99"/>
  <c r="BY218" i="99"/>
  <c r="BY287" i="99" s="1"/>
  <c r="BY210" i="99"/>
  <c r="BY243" i="99" s="1"/>
  <c r="AF298" i="99"/>
  <c r="AF304" i="99" s="1"/>
  <c r="AF32" i="99" s="1"/>
  <c r="AF97" i="103" s="1"/>
  <c r="BW238" i="99"/>
  <c r="AR290" i="99"/>
  <c r="AR288" i="99"/>
  <c r="BW267" i="99"/>
  <c r="BW468" i="99"/>
  <c r="AB31" i="99"/>
  <c r="AC298" i="99"/>
  <c r="AC304" i="99" s="1"/>
  <c r="AC32" i="99" s="1"/>
  <c r="AC97" i="103" s="1"/>
  <c r="V31" i="99"/>
  <c r="V96" i="103" s="1"/>
  <c r="S100" i="99"/>
  <c r="S35" i="103"/>
  <c r="AF31" i="99"/>
  <c r="AC262" i="99"/>
  <c r="AC268" i="99" s="1"/>
  <c r="AC24" i="99" s="1"/>
  <c r="AC463" i="99"/>
  <c r="AC252" i="99"/>
  <c r="BJ247" i="99"/>
  <c r="AH110" i="99"/>
  <c r="AJ290" i="99"/>
  <c r="AJ296" i="99" s="1"/>
  <c r="AJ288" i="99"/>
  <c r="AS246" i="99"/>
  <c r="AS244" i="99"/>
  <c r="AC31" i="99"/>
  <c r="AV108" i="99"/>
  <c r="AV45" i="99"/>
  <c r="AV110" i="103" s="1"/>
  <c r="BG247" i="99"/>
  <c r="W463" i="99"/>
  <c r="W252" i="99"/>
  <c r="AU108" i="99"/>
  <c r="AU45" i="99"/>
  <c r="AU110" i="103" s="1"/>
  <c r="R87" i="103"/>
  <c r="R469" i="99"/>
  <c r="R19" i="99" s="1"/>
  <c r="R84" i="103" s="1"/>
  <c r="R278" i="99"/>
  <c r="BG291" i="99"/>
  <c r="BG307" i="99" s="1"/>
  <c r="BB108" i="99"/>
  <c r="BB45" i="99"/>
  <c r="BB110" i="103" s="1"/>
  <c r="AF254" i="99"/>
  <c r="AF260" i="99" s="1"/>
  <c r="AF23" i="99" s="1"/>
  <c r="AF463" i="99"/>
  <c r="AF252" i="99"/>
  <c r="BX217" i="99"/>
  <c r="BX286" i="99" s="1"/>
  <c r="BX209" i="99"/>
  <c r="BX242" i="99" s="1"/>
  <c r="AD306" i="99"/>
  <c r="AD312" i="99" s="1"/>
  <c r="AD33" i="99" s="1"/>
  <c r="AD98" i="103" s="1"/>
  <c r="BF291" i="99"/>
  <c r="BF299" i="99" s="1"/>
  <c r="AN110" i="99"/>
  <c r="AG298" i="99"/>
  <c r="AG304" i="99" s="1"/>
  <c r="AG32" i="99" s="1"/>
  <c r="AG97" i="103" s="1"/>
  <c r="BW310" i="99"/>
  <c r="AV282" i="99"/>
  <c r="AV219" i="99"/>
  <c r="BN291" i="99"/>
  <c r="BN307" i="99" s="1"/>
  <c r="R24" i="103"/>
  <c r="R89" i="99"/>
  <c r="BY197" i="99"/>
  <c r="BY191" i="99"/>
  <c r="BY328" i="99"/>
  <c r="BW319" i="99"/>
  <c r="AD31" i="99"/>
  <c r="BH110" i="99"/>
  <c r="AG31" i="99"/>
  <c r="AV238" i="99"/>
  <c r="AV211" i="99"/>
  <c r="AO290" i="99"/>
  <c r="AO296" i="99" s="1"/>
  <c r="AO288" i="99"/>
  <c r="BO291" i="99"/>
  <c r="BO307" i="99" s="1"/>
  <c r="AY108" i="99"/>
  <c r="AY45" i="99"/>
  <c r="AY110" i="103" s="1"/>
  <c r="AY43" i="103"/>
  <c r="AY45" i="103" s="1"/>
  <c r="X306" i="99"/>
  <c r="X312" i="99" s="1"/>
  <c r="X33" i="99" s="1"/>
  <c r="X98" i="103" s="1"/>
  <c r="AI290" i="99"/>
  <c r="AI296" i="99" s="1"/>
  <c r="AI288" i="99"/>
  <c r="BY214" i="99"/>
  <c r="BY283" i="99" s="1"/>
  <c r="BY206" i="99"/>
  <c r="BY239" i="99" s="1"/>
  <c r="BX214" i="99"/>
  <c r="BX283" i="99" s="1"/>
  <c r="BX206" i="99"/>
  <c r="BX239" i="99" s="1"/>
  <c r="BW311" i="99"/>
  <c r="AX45" i="99"/>
  <c r="AX110" i="103" s="1"/>
  <c r="AX108" i="99"/>
  <c r="AX43" i="103"/>
  <c r="AX45" i="103" s="1"/>
  <c r="V254" i="99"/>
  <c r="V260" i="99" s="1"/>
  <c r="V23" i="99" s="1"/>
  <c r="BI247" i="99"/>
  <c r="X298" i="99"/>
  <c r="X304" i="99" s="1"/>
  <c r="X32" i="99" s="1"/>
  <c r="X97" i="103" s="1"/>
  <c r="Y262" i="99"/>
  <c r="Y268" i="99" s="1"/>
  <c r="Y24" i="99" s="1"/>
  <c r="Z254" i="99"/>
  <c r="Z260" i="99" s="1"/>
  <c r="Z23" i="99" s="1"/>
  <c r="Z463" i="99"/>
  <c r="Z252" i="99"/>
  <c r="AD254" i="99"/>
  <c r="AD260" i="99" s="1"/>
  <c r="AD23" i="99" s="1"/>
  <c r="AD463" i="99"/>
  <c r="AD252" i="99"/>
  <c r="BX208" i="99"/>
  <c r="BX241" i="99" s="1"/>
  <c r="BX216" i="99"/>
  <c r="BX285" i="99" s="1"/>
  <c r="BA108" i="99"/>
  <c r="BA45" i="99"/>
  <c r="BA110" i="103" s="1"/>
  <c r="BA43" i="103"/>
  <c r="BA45" i="103" s="1"/>
  <c r="AB254" i="99"/>
  <c r="AB260" i="99" s="1"/>
  <c r="AB23" i="99" s="1"/>
  <c r="AJ246" i="99"/>
  <c r="AJ244" i="99"/>
  <c r="AP246" i="99"/>
  <c r="AP244" i="99"/>
  <c r="T31" i="99"/>
  <c r="T96" i="103" s="1"/>
  <c r="T322" i="99"/>
  <c r="BN247" i="99"/>
  <c r="AN246" i="99"/>
  <c r="AN244" i="99"/>
  <c r="V262" i="99"/>
  <c r="V268" i="99" s="1"/>
  <c r="V24" i="99" s="1"/>
  <c r="U34" i="99"/>
  <c r="U99" i="103" s="1"/>
  <c r="U96" i="99"/>
  <c r="BI291" i="99"/>
  <c r="BI315" i="99" s="1"/>
  <c r="X314" i="99"/>
  <c r="X320" i="99" s="1"/>
  <c r="X35" i="99" s="1"/>
  <c r="X100" i="103" s="1"/>
  <c r="Y270" i="99"/>
  <c r="Y276" i="99" s="1"/>
  <c r="Y26" i="99" s="1"/>
  <c r="AE314" i="99"/>
  <c r="AE320" i="99" s="1"/>
  <c r="AE35" i="99" s="1"/>
  <c r="AE100" i="103" s="1"/>
  <c r="BW271" i="99"/>
  <c r="X262" i="99"/>
  <c r="X268" i="99" s="1"/>
  <c r="X24" i="99" s="1"/>
  <c r="X463" i="99"/>
  <c r="X252" i="99"/>
  <c r="AZ455" i="99" a="1"/>
  <c r="AZ455" i="99" s="1"/>
  <c r="BH455" i="99" a="1"/>
  <c r="BH455" i="99" s="1"/>
  <c r="AY455" i="99" a="1"/>
  <c r="AY455" i="99" s="1"/>
  <c r="BD455" i="99" a="1"/>
  <c r="BD455" i="99" s="1"/>
  <c r="BU310" i="99"/>
  <c r="BV310" i="99"/>
  <c r="BU318" i="99"/>
  <c r="BU274" i="99"/>
  <c r="BU266" i="99"/>
  <c r="BU467" i="99"/>
  <c r="BV318" i="99"/>
  <c r="BV258" i="99"/>
  <c r="BV467" i="99"/>
  <c r="BV266" i="99"/>
  <c r="J43" i="104"/>
  <c r="O43" i="105" s="1"/>
  <c r="K43" i="104"/>
  <c r="K45" i="99"/>
  <c r="K110" i="103" s="1"/>
  <c r="K108" i="99"/>
  <c r="K43" i="103"/>
  <c r="J108" i="99"/>
  <c r="W148" i="153" l="1"/>
  <c r="BM244" i="99"/>
  <c r="BN108" i="103"/>
  <c r="BN43" i="103" s="1"/>
  <c r="BN45" i="103" s="1"/>
  <c r="BN108" i="104"/>
  <c r="BN43" i="104" s="1"/>
  <c r="W145" i="153"/>
  <c r="W146" i="153"/>
  <c r="BN45" i="99"/>
  <c r="BN110" i="103" s="1"/>
  <c r="AH104" i="105"/>
  <c r="AC23" i="151"/>
  <c r="AD104" i="105"/>
  <c r="Y23" i="151"/>
  <c r="AI104" i="105"/>
  <c r="AD23" i="151"/>
  <c r="AG104" i="105"/>
  <c r="AB23" i="151"/>
  <c r="AA104" i="105"/>
  <c r="V23" i="151"/>
  <c r="AC104" i="105"/>
  <c r="X23" i="151"/>
  <c r="AQ37" i="155"/>
  <c r="AJ104" i="105"/>
  <c r="AE23" i="151"/>
  <c r="AL104" i="105"/>
  <c r="AG23" i="151"/>
  <c r="AE104" i="105"/>
  <c r="Z23" i="151"/>
  <c r="AF104" i="105"/>
  <c r="AA23" i="151"/>
  <c r="Y147" i="153"/>
  <c r="AK104" i="105"/>
  <c r="AF23" i="151"/>
  <c r="Y145" i="153"/>
  <c r="AB104" i="105"/>
  <c r="W23" i="151"/>
  <c r="P25" i="154"/>
  <c r="X145" i="153"/>
  <c r="S146" i="153"/>
  <c r="S147" i="153"/>
  <c r="AN145" i="155"/>
  <c r="S145" i="153"/>
  <c r="AI99" i="153"/>
  <c r="AN147" i="155"/>
  <c r="S84" i="103"/>
  <c r="S19" i="103" s="1"/>
  <c r="AN146" i="155"/>
  <c r="V145" i="153"/>
  <c r="V148" i="153"/>
  <c r="V147" i="153"/>
  <c r="BF99" i="155"/>
  <c r="AR101" i="155"/>
  <c r="AR102" i="155" s="1"/>
  <c r="Y146" i="153"/>
  <c r="J145" i="155"/>
  <c r="AJ148" i="155"/>
  <c r="AJ147" i="155"/>
  <c r="J147" i="155"/>
  <c r="AJ146" i="155"/>
  <c r="AJ145" i="155"/>
  <c r="AS101" i="155"/>
  <c r="AS102" i="155" s="1"/>
  <c r="BB99" i="155"/>
  <c r="W147" i="153"/>
  <c r="AW145" i="155"/>
  <c r="S148" i="153"/>
  <c r="AW148" i="155"/>
  <c r="AW147" i="155"/>
  <c r="K31" i="153"/>
  <c r="K96" i="153" s="1"/>
  <c r="BN34" i="153"/>
  <c r="BN36" i="153" s="1"/>
  <c r="X147" i="153"/>
  <c r="X148" i="153"/>
  <c r="J34" i="153"/>
  <c r="J99" i="153" s="1"/>
  <c r="Y148" i="153"/>
  <c r="AI25" i="153"/>
  <c r="AI90" i="153" s="1"/>
  <c r="J37" i="155"/>
  <c r="K22" i="153"/>
  <c r="K87" i="153" s="1"/>
  <c r="AQ96" i="153"/>
  <c r="AQ34" i="153"/>
  <c r="BN100" i="153"/>
  <c r="AL87" i="153"/>
  <c r="AT96" i="153"/>
  <c r="AT34" i="153"/>
  <c r="BU96" i="155"/>
  <c r="BU34" i="155"/>
  <c r="BF19" i="155"/>
  <c r="BF84" i="155" s="1"/>
  <c r="AU96" i="153"/>
  <c r="AU34" i="153"/>
  <c r="AX19" i="155"/>
  <c r="AX84" i="155" s="1"/>
  <c r="BP96" i="155"/>
  <c r="BP34" i="155"/>
  <c r="S92" i="153"/>
  <c r="S93" i="153" s="1"/>
  <c r="S28" i="153"/>
  <c r="S39" i="153"/>
  <c r="AX65" i="154"/>
  <c r="AX126" i="154"/>
  <c r="AX127" i="154" s="1"/>
  <c r="AX62" i="154"/>
  <c r="L61" i="154"/>
  <c r="BD65" i="154"/>
  <c r="BD62" i="154"/>
  <c r="BD126" i="154"/>
  <c r="BD127" i="154" s="1"/>
  <c r="J92" i="155"/>
  <c r="J93" i="155" s="1"/>
  <c r="J28" i="155"/>
  <c r="AE25" i="153"/>
  <c r="AG54" i="155"/>
  <c r="AG40" i="155"/>
  <c r="AG104" i="155"/>
  <c r="AG105" i="155" s="1"/>
  <c r="AH54" i="155"/>
  <c r="AH104" i="155"/>
  <c r="AH105" i="155" s="1"/>
  <c r="AH40" i="155"/>
  <c r="BJ34" i="153"/>
  <c r="U92" i="153"/>
  <c r="U93" i="153" s="1"/>
  <c r="U39" i="153"/>
  <c r="U28" i="153"/>
  <c r="R134" i="153"/>
  <c r="BJ87" i="155"/>
  <c r="BJ25" i="155"/>
  <c r="BK87" i="153"/>
  <c r="BK25" i="153"/>
  <c r="BM87" i="153"/>
  <c r="BM25" i="153"/>
  <c r="BT96" i="155"/>
  <c r="BT34" i="155"/>
  <c r="BK87" i="155"/>
  <c r="BK25" i="155"/>
  <c r="BN91" i="155"/>
  <c r="M92" i="154"/>
  <c r="M93" i="154" s="1"/>
  <c r="M28" i="154"/>
  <c r="K26" i="153"/>
  <c r="K91" i="153" s="1"/>
  <c r="AU99" i="155"/>
  <c r="AU36" i="155"/>
  <c r="J84" i="155"/>
  <c r="J146" i="155"/>
  <c r="AP101" i="155"/>
  <c r="AP102" i="155" s="1"/>
  <c r="AP37" i="155"/>
  <c r="K24" i="153"/>
  <c r="K89" i="153" s="1"/>
  <c r="V104" i="155"/>
  <c r="V105" i="155" s="1"/>
  <c r="V54" i="155"/>
  <c r="V40" i="155"/>
  <c r="J39" i="155"/>
  <c r="AG25" i="153"/>
  <c r="M35" i="155"/>
  <c r="M100" i="155" s="1"/>
  <c r="BR87" i="153"/>
  <c r="BR25" i="153"/>
  <c r="BN88" i="153"/>
  <c r="BB19" i="155"/>
  <c r="BB145" i="155" s="1"/>
  <c r="BN98" i="153"/>
  <c r="BP87" i="153"/>
  <c r="BP25" i="153"/>
  <c r="BX96" i="153"/>
  <c r="AM96" i="153"/>
  <c r="AM34" i="153"/>
  <c r="AV87" i="153"/>
  <c r="BM96" i="155"/>
  <c r="BM34" i="155"/>
  <c r="BN96" i="155"/>
  <c r="BN34" i="155"/>
  <c r="BL87" i="155"/>
  <c r="BL25" i="155"/>
  <c r="BE99" i="155"/>
  <c r="BE36" i="155"/>
  <c r="N110" i="155"/>
  <c r="P110" i="155" s="1"/>
  <c r="P45" i="155"/>
  <c r="BC99" i="155"/>
  <c r="BC36" i="155"/>
  <c r="BA34" i="155"/>
  <c r="BR34" i="153"/>
  <c r="AZ99" i="155"/>
  <c r="AZ36" i="155"/>
  <c r="V146" i="153"/>
  <c r="AO96" i="153"/>
  <c r="AO34" i="153"/>
  <c r="BQ34" i="153"/>
  <c r="BQ119" i="154"/>
  <c r="BQ61" i="154"/>
  <c r="AO92" i="155"/>
  <c r="AO93" i="155" s="1"/>
  <c r="AO39" i="155"/>
  <c r="AO28" i="155"/>
  <c r="AP87" i="153"/>
  <c r="AS87" i="153"/>
  <c r="BR96" i="155"/>
  <c r="BR34" i="155"/>
  <c r="BN100" i="155"/>
  <c r="AT146" i="155"/>
  <c r="BN65" i="154"/>
  <c r="BN126" i="154"/>
  <c r="BN127" i="154" s="1"/>
  <c r="BN62" i="154"/>
  <c r="AA104" i="155"/>
  <c r="AA105" i="155" s="1"/>
  <c r="AA54" i="155"/>
  <c r="AA40" i="155"/>
  <c r="AO101" i="155"/>
  <c r="AO102" i="155" s="1"/>
  <c r="AO37" i="155"/>
  <c r="X92" i="153"/>
  <c r="X93" i="153" s="1"/>
  <c r="X39" i="153"/>
  <c r="X28" i="153"/>
  <c r="AF25" i="153"/>
  <c r="K32" i="153"/>
  <c r="K97" i="153" s="1"/>
  <c r="BN97" i="155"/>
  <c r="AM101" i="155"/>
  <c r="AM102" i="155" s="1"/>
  <c r="AM37" i="155"/>
  <c r="L35" i="155"/>
  <c r="L100" i="155" s="1"/>
  <c r="AK90" i="153"/>
  <c r="AK27" i="153"/>
  <c r="BO87" i="153"/>
  <c r="BO25" i="153"/>
  <c r="AT147" i="155"/>
  <c r="BD99" i="155"/>
  <c r="BD36" i="155"/>
  <c r="AI101" i="153"/>
  <c r="AI102" i="153" s="1"/>
  <c r="AI37" i="153"/>
  <c r="AN148" i="155"/>
  <c r="L33" i="155"/>
  <c r="L98" i="155" s="1"/>
  <c r="AM92" i="155"/>
  <c r="AM93" i="155" s="1"/>
  <c r="AM28" i="155"/>
  <c r="AM39" i="155"/>
  <c r="AT101" i="155"/>
  <c r="AT102" i="155" s="1"/>
  <c r="AT37" i="155"/>
  <c r="R92" i="153"/>
  <c r="R93" i="153" s="1"/>
  <c r="R39" i="153"/>
  <c r="R28" i="153"/>
  <c r="BK61" i="154"/>
  <c r="BK119" i="154"/>
  <c r="AB25" i="153"/>
  <c r="J24" i="153"/>
  <c r="J89" i="153" s="1"/>
  <c r="BA65" i="154"/>
  <c r="BA62" i="154"/>
  <c r="BA126" i="154"/>
  <c r="BA127" i="154" s="1"/>
  <c r="BP34" i="153"/>
  <c r="BL104" i="154"/>
  <c r="BL105" i="154" s="1"/>
  <c r="BL54" i="154"/>
  <c r="M54" i="154" s="1"/>
  <c r="M119" i="154" s="1"/>
  <c r="BL40" i="154"/>
  <c r="M39" i="154"/>
  <c r="BJ34" i="155"/>
  <c r="BJ96" i="155"/>
  <c r="AT148" i="155"/>
  <c r="BO87" i="155"/>
  <c r="BO25" i="155"/>
  <c r="BP87" i="155"/>
  <c r="BP25" i="155"/>
  <c r="BT87" i="155"/>
  <c r="BT25" i="155"/>
  <c r="BE65" i="154"/>
  <c r="BE62" i="154"/>
  <c r="BE126" i="154"/>
  <c r="BE127" i="154" s="1"/>
  <c r="BC65" i="154"/>
  <c r="BC62" i="154"/>
  <c r="BC126" i="154"/>
  <c r="BC127" i="154" s="1"/>
  <c r="AT92" i="155"/>
  <c r="AT93" i="155" s="1"/>
  <c r="AT39" i="155"/>
  <c r="AT28" i="155"/>
  <c r="BS104" i="154"/>
  <c r="BS105" i="154" s="1"/>
  <c r="BS40" i="154"/>
  <c r="BS54" i="154"/>
  <c r="X146" i="153"/>
  <c r="AK104" i="155"/>
  <c r="AK105" i="155" s="1"/>
  <c r="AK54" i="155"/>
  <c r="AK40" i="155"/>
  <c r="AV92" i="155"/>
  <c r="AV93" i="155" s="1"/>
  <c r="AV39" i="155"/>
  <c r="AV28" i="155"/>
  <c r="AQ92" i="155"/>
  <c r="AQ93" i="155" s="1"/>
  <c r="AQ39" i="155"/>
  <c r="AQ28" i="155"/>
  <c r="BM34" i="153"/>
  <c r="K19" i="155"/>
  <c r="K145" i="155" s="1"/>
  <c r="AD99" i="153"/>
  <c r="AD36" i="153"/>
  <c r="AN96" i="153"/>
  <c r="AN34" i="153"/>
  <c r="AU19" i="155"/>
  <c r="AU84" i="155" s="1"/>
  <c r="BN87" i="155"/>
  <c r="BN25" i="155"/>
  <c r="AD88" i="153"/>
  <c r="AW87" i="153"/>
  <c r="BV96" i="153"/>
  <c r="AP89" i="153"/>
  <c r="AP96" i="153"/>
  <c r="AP34" i="153"/>
  <c r="BO96" i="155"/>
  <c r="BO34" i="155"/>
  <c r="BX92" i="154"/>
  <c r="BX93" i="154" s="1"/>
  <c r="BX28" i="154"/>
  <c r="BX39" i="154"/>
  <c r="BM65" i="154"/>
  <c r="BM62" i="154"/>
  <c r="BM126" i="154"/>
  <c r="BM127" i="154" s="1"/>
  <c r="N31" i="153"/>
  <c r="BJ119" i="154"/>
  <c r="BJ61" i="154"/>
  <c r="AS92" i="155"/>
  <c r="AS93" i="155" s="1"/>
  <c r="AS39" i="155"/>
  <c r="AS28" i="155"/>
  <c r="W101" i="153"/>
  <c r="W102" i="153" s="1"/>
  <c r="W37" i="153"/>
  <c r="K35" i="153"/>
  <c r="K100" i="153" s="1"/>
  <c r="T92" i="153"/>
  <c r="T93" i="153" s="1"/>
  <c r="T39" i="153"/>
  <c r="T28" i="153"/>
  <c r="AI104" i="155"/>
  <c r="AI105" i="155" s="1"/>
  <c r="AI54" i="155"/>
  <c r="AI40" i="155"/>
  <c r="AE104" i="155"/>
  <c r="AE105" i="155" s="1"/>
  <c r="AE54" i="155"/>
  <c r="AE40" i="155"/>
  <c r="BI65" i="154"/>
  <c r="BI126" i="154"/>
  <c r="BI127" i="154" s="1"/>
  <c r="BI62" i="154"/>
  <c r="AJ101" i="155"/>
  <c r="AJ102" i="155" s="1"/>
  <c r="AJ37" i="155"/>
  <c r="K36" i="155"/>
  <c r="BU87" i="153"/>
  <c r="BU25" i="153"/>
  <c r="AZ65" i="154"/>
  <c r="AZ62" i="154"/>
  <c r="AZ126" i="154"/>
  <c r="AZ127" i="154" s="1"/>
  <c r="AV101" i="155"/>
  <c r="AV102" i="155" s="1"/>
  <c r="AV37" i="155"/>
  <c r="AD25" i="153"/>
  <c r="BT87" i="153"/>
  <c r="BT25" i="153"/>
  <c r="AP91" i="153"/>
  <c r="BQ96" i="155"/>
  <c r="BQ34" i="155"/>
  <c r="AS96" i="153"/>
  <c r="AS34" i="153"/>
  <c r="AP100" i="153"/>
  <c r="BY96" i="153"/>
  <c r="BL87" i="153"/>
  <c r="BL25" i="153"/>
  <c r="AR87" i="153"/>
  <c r="AD84" i="153"/>
  <c r="BV92" i="154"/>
  <c r="BV93" i="154" s="1"/>
  <c r="BV28" i="154"/>
  <c r="BV39" i="154"/>
  <c r="BC90" i="155"/>
  <c r="BC27" i="155"/>
  <c r="AN92" i="155"/>
  <c r="AN93" i="155" s="1"/>
  <c r="AN39" i="155"/>
  <c r="AN28" i="155"/>
  <c r="V92" i="153"/>
  <c r="V93" i="153" s="1"/>
  <c r="V28" i="153"/>
  <c r="V39" i="153"/>
  <c r="AP92" i="155"/>
  <c r="AP93" i="155" s="1"/>
  <c r="AP39" i="155"/>
  <c r="AP28" i="155"/>
  <c r="AA99" i="153"/>
  <c r="AA36" i="153"/>
  <c r="AY90" i="155"/>
  <c r="AY27" i="155"/>
  <c r="BF65" i="154"/>
  <c r="BF126" i="154"/>
  <c r="BF127" i="154" s="1"/>
  <c r="BF62" i="154"/>
  <c r="BH65" i="154"/>
  <c r="BH126" i="154"/>
  <c r="BH127" i="154" s="1"/>
  <c r="BH62" i="154"/>
  <c r="T101" i="153"/>
  <c r="T102" i="153" s="1"/>
  <c r="T37" i="153"/>
  <c r="AC25" i="153"/>
  <c r="L32" i="155"/>
  <c r="L97" i="155" s="1"/>
  <c r="BQ87" i="155"/>
  <c r="BQ25" i="155"/>
  <c r="BN87" i="153"/>
  <c r="BN25" i="153"/>
  <c r="AR96" i="153"/>
  <c r="AR34" i="153"/>
  <c r="AV96" i="153"/>
  <c r="AV34" i="153"/>
  <c r="BJ87" i="153"/>
  <c r="BJ25" i="153"/>
  <c r="AJ87" i="153"/>
  <c r="AJ25" i="153"/>
  <c r="BG19" i="155"/>
  <c r="BG84" i="155" s="1"/>
  <c r="BN89" i="153"/>
  <c r="AN87" i="153"/>
  <c r="AW101" i="155"/>
  <c r="AW102" i="155" s="1"/>
  <c r="AW37" i="155"/>
  <c r="N110" i="153"/>
  <c r="P110" i="153" s="1"/>
  <c r="P45" i="153"/>
  <c r="M22" i="155"/>
  <c r="M87" i="155" s="1"/>
  <c r="AW92" i="155"/>
  <c r="AW93" i="155" s="1"/>
  <c r="AW39" i="155"/>
  <c r="AW28" i="155"/>
  <c r="M23" i="155"/>
  <c r="M88" i="155" s="1"/>
  <c r="Z104" i="155"/>
  <c r="Z105" i="155" s="1"/>
  <c r="Z54" i="155"/>
  <c r="Z40" i="155"/>
  <c r="BB65" i="154"/>
  <c r="BB126" i="154"/>
  <c r="BB127" i="154" s="1"/>
  <c r="BB62" i="154"/>
  <c r="BH90" i="155"/>
  <c r="BH27" i="155"/>
  <c r="AB99" i="153"/>
  <c r="AB36" i="153"/>
  <c r="K33" i="153"/>
  <c r="K98" i="153" s="1"/>
  <c r="AY99" i="155"/>
  <c r="AY36" i="155"/>
  <c r="BB90" i="155"/>
  <c r="BB27" i="155"/>
  <c r="AC54" i="155"/>
  <c r="AC104" i="155"/>
  <c r="AC105" i="155" s="1"/>
  <c r="AC40" i="155"/>
  <c r="AH99" i="153"/>
  <c r="AH36" i="153"/>
  <c r="BT104" i="154"/>
  <c r="BT105" i="154" s="1"/>
  <c r="BT40" i="154"/>
  <c r="BT54" i="154"/>
  <c r="M26" i="155"/>
  <c r="M91" i="155" s="1"/>
  <c r="BW92" i="154"/>
  <c r="BW93" i="154" s="1"/>
  <c r="BW39" i="154"/>
  <c r="BW28" i="154"/>
  <c r="Z25" i="153"/>
  <c r="L23" i="155"/>
  <c r="L88" i="155" s="1"/>
  <c r="X104" i="155"/>
  <c r="X105" i="155" s="1"/>
  <c r="X54" i="155"/>
  <c r="X40" i="155"/>
  <c r="Y104" i="155"/>
  <c r="Y105" i="155" s="1"/>
  <c r="Y54" i="155"/>
  <c r="Y40" i="155"/>
  <c r="BI99" i="155"/>
  <c r="BI36" i="155"/>
  <c r="BG99" i="155"/>
  <c r="BG36" i="155"/>
  <c r="N101" i="154"/>
  <c r="N37" i="154"/>
  <c r="P37" i="154" s="1"/>
  <c r="P36" i="154"/>
  <c r="BO126" i="154"/>
  <c r="BO127" i="154" s="1"/>
  <c r="BO65" i="154"/>
  <c r="BO62" i="154"/>
  <c r="M24" i="155"/>
  <c r="M89" i="155" s="1"/>
  <c r="M32" i="155"/>
  <c r="M97" i="155" s="1"/>
  <c r="AC99" i="153"/>
  <c r="AC36" i="153"/>
  <c r="BG65" i="154"/>
  <c r="BG62" i="154"/>
  <c r="BG126" i="154"/>
  <c r="BG127" i="154" s="1"/>
  <c r="AJ92" i="155"/>
  <c r="AJ93" i="155" s="1"/>
  <c r="AJ28" i="155"/>
  <c r="AJ39" i="155"/>
  <c r="L26" i="155"/>
  <c r="L91" i="155" s="1"/>
  <c r="AK99" i="153"/>
  <c r="AK36" i="153"/>
  <c r="M33" i="155"/>
  <c r="M98" i="155" s="1"/>
  <c r="X101" i="153"/>
  <c r="X102" i="153" s="1"/>
  <c r="X37" i="153"/>
  <c r="AU90" i="155"/>
  <c r="AU27" i="155"/>
  <c r="K27" i="155"/>
  <c r="AY65" i="154"/>
  <c r="AY126" i="154"/>
  <c r="AY127" i="154" s="1"/>
  <c r="AY62" i="154"/>
  <c r="BU104" i="154"/>
  <c r="BU105" i="154" s="1"/>
  <c r="BU54" i="154"/>
  <c r="BU40" i="154"/>
  <c r="BY61" i="154"/>
  <c r="BY119" i="154"/>
  <c r="AB104" i="155"/>
  <c r="AB105" i="155" s="1"/>
  <c r="AB54" i="155"/>
  <c r="AB40" i="155"/>
  <c r="Z99" i="153"/>
  <c r="Z36" i="153"/>
  <c r="N27" i="154"/>
  <c r="AW146" i="155"/>
  <c r="BT34" i="153"/>
  <c r="BS34" i="153"/>
  <c r="W104" i="155"/>
  <c r="W105" i="155" s="1"/>
  <c r="W54" i="155"/>
  <c r="W40" i="155"/>
  <c r="AD104" i="155"/>
  <c r="AD105" i="155" s="1"/>
  <c r="AD54" i="155"/>
  <c r="AD40" i="155"/>
  <c r="M31" i="155"/>
  <c r="M96" i="155" s="1"/>
  <c r="AW96" i="153"/>
  <c r="AW34" i="153"/>
  <c r="BR87" i="155"/>
  <c r="BR25" i="155"/>
  <c r="BU87" i="155"/>
  <c r="BU25" i="155"/>
  <c r="AN101" i="155"/>
  <c r="AN102" i="155" s="1"/>
  <c r="AN37" i="155"/>
  <c r="AH25" i="153"/>
  <c r="AX90" i="155"/>
  <c r="AX27" i="155"/>
  <c r="Y101" i="153"/>
  <c r="Y102" i="153" s="1"/>
  <c r="Y37" i="153"/>
  <c r="AZ90" i="155"/>
  <c r="AZ27" i="155"/>
  <c r="AJ99" i="153"/>
  <c r="AJ36" i="153"/>
  <c r="AP97" i="153"/>
  <c r="BN88" i="155"/>
  <c r="BW96" i="153"/>
  <c r="AF99" i="153"/>
  <c r="AF36" i="153"/>
  <c r="W92" i="153"/>
  <c r="W93" i="153" s="1"/>
  <c r="W39" i="153"/>
  <c r="W28" i="153"/>
  <c r="BD90" i="155"/>
  <c r="BD27" i="155"/>
  <c r="BP104" i="154"/>
  <c r="BP105" i="154" s="1"/>
  <c r="BP54" i="154"/>
  <c r="BP40" i="154"/>
  <c r="BO34" i="153"/>
  <c r="AE99" i="153"/>
  <c r="AE36" i="153"/>
  <c r="BR104" i="154"/>
  <c r="BR105" i="154" s="1"/>
  <c r="BR40" i="154"/>
  <c r="BR54" i="154"/>
  <c r="AL92" i="155"/>
  <c r="AL93" i="155" s="1"/>
  <c r="AL28" i="155"/>
  <c r="AL39" i="155"/>
  <c r="S101" i="153"/>
  <c r="S102" i="153" s="1"/>
  <c r="S37" i="153"/>
  <c r="BL96" i="155"/>
  <c r="BL34" i="155"/>
  <c r="AM87" i="153"/>
  <c r="AQ87" i="153"/>
  <c r="AO87" i="153"/>
  <c r="BS87" i="153"/>
  <c r="BS25" i="153"/>
  <c r="BQ87" i="153"/>
  <c r="BQ25" i="153"/>
  <c r="BN97" i="153"/>
  <c r="AU87" i="153"/>
  <c r="AT145" i="155"/>
  <c r="BK96" i="155"/>
  <c r="BK34" i="155"/>
  <c r="BN91" i="153"/>
  <c r="BF101" i="155"/>
  <c r="BF102" i="155" s="1"/>
  <c r="BF37" i="155"/>
  <c r="R101" i="153"/>
  <c r="R102" i="153" s="1"/>
  <c r="R37" i="153"/>
  <c r="V101" i="153"/>
  <c r="V102" i="153" s="1"/>
  <c r="V37" i="153"/>
  <c r="Y90" i="153"/>
  <c r="Y27" i="153"/>
  <c r="AF54" i="155"/>
  <c r="AF40" i="155"/>
  <c r="AF104" i="155"/>
  <c r="AF105" i="155" s="1"/>
  <c r="BL34" i="153"/>
  <c r="BF90" i="155"/>
  <c r="BF27" i="155"/>
  <c r="AR92" i="155"/>
  <c r="AR93" i="155" s="1"/>
  <c r="AR39" i="155"/>
  <c r="AR28" i="155"/>
  <c r="BH99" i="155"/>
  <c r="BH36" i="155"/>
  <c r="K69" i="155"/>
  <c r="K134" i="155" s="1"/>
  <c r="BG90" i="155"/>
  <c r="BG27" i="155"/>
  <c r="AL96" i="153"/>
  <c r="AL34" i="153"/>
  <c r="BM87" i="155"/>
  <c r="BM25" i="155"/>
  <c r="BA87" i="155"/>
  <c r="BA25" i="155"/>
  <c r="L25" i="155" s="1"/>
  <c r="L90" i="155" s="1"/>
  <c r="L22" i="155"/>
  <c r="L87" i="155" s="1"/>
  <c r="AT87" i="153"/>
  <c r="BN89" i="155"/>
  <c r="BU34" i="153"/>
  <c r="BE90" i="155"/>
  <c r="BE27" i="155"/>
  <c r="J23" i="153"/>
  <c r="J88" i="153" s="1"/>
  <c r="AX99" i="155"/>
  <c r="AX36" i="155"/>
  <c r="AG99" i="153"/>
  <c r="AG36" i="153"/>
  <c r="N134" i="154"/>
  <c r="P134" i="154" s="1"/>
  <c r="P69" i="154"/>
  <c r="BB101" i="155"/>
  <c r="BB102" i="155" s="1"/>
  <c r="BB37" i="155"/>
  <c r="AL101" i="155"/>
  <c r="AL102" i="155" s="1"/>
  <c r="AL37" i="155"/>
  <c r="L24" i="155"/>
  <c r="L89" i="155" s="1"/>
  <c r="BK34" i="153"/>
  <c r="AA25" i="153"/>
  <c r="BI90" i="155"/>
  <c r="BI27" i="155"/>
  <c r="U101" i="153"/>
  <c r="U102" i="153" s="1"/>
  <c r="U37" i="153"/>
  <c r="J19" i="153"/>
  <c r="J84" i="153" s="1"/>
  <c r="BY208" i="99"/>
  <c r="BY241" i="99" s="1"/>
  <c r="BY249" i="99" s="1"/>
  <c r="BH244" i="99"/>
  <c r="BO45" i="99"/>
  <c r="BO110" i="103" s="1"/>
  <c r="BO108" i="99"/>
  <c r="BO108" i="103"/>
  <c r="BO43" i="103" s="1"/>
  <c r="BO45" i="103" s="1"/>
  <c r="X88" i="99"/>
  <c r="X88" i="103"/>
  <c r="X23" i="103" s="1"/>
  <c r="AC23" i="105" s="1"/>
  <c r="V91" i="104"/>
  <c r="V26" i="104" s="1"/>
  <c r="AA26" i="105" s="1"/>
  <c r="W89" i="104"/>
  <c r="W24" i="104" s="1"/>
  <c r="O102" i="105"/>
  <c r="V91" i="99"/>
  <c r="W89" i="103"/>
  <c r="W24" i="103" s="1"/>
  <c r="AD91" i="99"/>
  <c r="AB91" i="103"/>
  <c r="AB26" i="103" s="1"/>
  <c r="AB91" i="104"/>
  <c r="AB26" i="104" s="1"/>
  <c r="AE91" i="103"/>
  <c r="AE26" i="103" s="1"/>
  <c r="AJ26" i="105" s="1"/>
  <c r="AE91" i="99"/>
  <c r="AQ412" i="153"/>
  <c r="AR416" i="99"/>
  <c r="AR455" i="99" s="1" a="1"/>
  <c r="AR455" i="99" s="1"/>
  <c r="AN416" i="99"/>
  <c r="AN455" i="99" s="1" a="1"/>
  <c r="AN455" i="99" s="1"/>
  <c r="AD91" i="104"/>
  <c r="AD26" i="104" s="1"/>
  <c r="AI26" i="105" s="1"/>
  <c r="AU416" i="99"/>
  <c r="AU455" i="99" s="1" a="1"/>
  <c r="AU455" i="99" s="1"/>
  <c r="BU416" i="99"/>
  <c r="AT416" i="99"/>
  <c r="AT455" i="99" s="1" a="1"/>
  <c r="AT455" i="99" s="1"/>
  <c r="AN412" i="153"/>
  <c r="AS416" i="99"/>
  <c r="AS455" i="99" s="1" a="1"/>
  <c r="AS455" i="99" s="1"/>
  <c r="AS412" i="153"/>
  <c r="BT412" i="155"/>
  <c r="BV416" i="99"/>
  <c r="BV455" i="99" s="1" a="1"/>
  <c r="BV455" i="99" s="1"/>
  <c r="BW413" i="99"/>
  <c r="BW452" i="99" s="1" a="1"/>
  <c r="BW452" i="99" s="1"/>
  <c r="BW417" i="99"/>
  <c r="BW456" i="99" s="1" a="1"/>
  <c r="BW456" i="99" s="1"/>
  <c r="J31" i="99"/>
  <c r="AM412" i="153"/>
  <c r="AP412" i="153"/>
  <c r="AT412" i="153"/>
  <c r="BW416" i="99"/>
  <c r="BW455" i="99" s="1" a="1"/>
  <c r="BW455" i="99" s="1"/>
  <c r="AM416" i="99"/>
  <c r="AM455" i="99" s="1" a="1"/>
  <c r="AM455" i="99" s="1"/>
  <c r="AO412" i="153"/>
  <c r="J32" i="99"/>
  <c r="J97" i="103" s="1"/>
  <c r="BR412" i="99"/>
  <c r="BR451" i="99" s="1" a="1"/>
  <c r="BR451" i="99" s="1"/>
  <c r="AR412" i="153"/>
  <c r="AU412" i="153"/>
  <c r="BO412" i="155"/>
  <c r="BO451" i="155" s="1" a="1"/>
  <c r="BO451" i="155" s="1"/>
  <c r="BO457" i="155" s="1"/>
  <c r="BO69" i="155" s="1"/>
  <c r="BO134" i="155" s="1"/>
  <c r="AQ416" i="99"/>
  <c r="AQ455" i="99" s="1" a="1"/>
  <c r="AQ455" i="99" s="1"/>
  <c r="AV416" i="99"/>
  <c r="AV455" i="99" s="1" a="1"/>
  <c r="AV455" i="99" s="1"/>
  <c r="BW414" i="99"/>
  <c r="BW453" i="99" s="1" a="1"/>
  <c r="BW453" i="99" s="1"/>
  <c r="AP416" i="99"/>
  <c r="AP455" i="99" s="1" a="1"/>
  <c r="AP455" i="99" s="1"/>
  <c r="AO416" i="99"/>
  <c r="AO455" i="99" s="1" a="1"/>
  <c r="AO455" i="99" s="1"/>
  <c r="AL412" i="153"/>
  <c r="AW412" i="153"/>
  <c r="AV412" i="153"/>
  <c r="AL416" i="99"/>
  <c r="AL455" i="99" s="1" a="1"/>
  <c r="AL455" i="99" s="1"/>
  <c r="BS416" i="99"/>
  <c r="BS455" i="99" s="1" a="1"/>
  <c r="BS455" i="99" s="1"/>
  <c r="J35" i="99"/>
  <c r="J33" i="99"/>
  <c r="AG412" i="99"/>
  <c r="BW262" i="153"/>
  <c r="BW268" i="153" s="1"/>
  <c r="BW24" i="153" s="1"/>
  <c r="BW89" i="153" s="1"/>
  <c r="AT265" i="99"/>
  <c r="BR412" i="155"/>
  <c r="BA412" i="155"/>
  <c r="BA451" i="155" s="1" a="1"/>
  <c r="BA451" i="155" s="1"/>
  <c r="BA457" i="155" s="1"/>
  <c r="BA69" i="155" s="1"/>
  <c r="BA134" i="155" s="1"/>
  <c r="BN412" i="155"/>
  <c r="BN451" i="155" s="1" a="1"/>
  <c r="BN451" i="155" s="1"/>
  <c r="BN457" i="155" s="1"/>
  <c r="BN69" i="155" s="1"/>
  <c r="AS270" i="99"/>
  <c r="BO271" i="99"/>
  <c r="BS412" i="153"/>
  <c r="BK255" i="99"/>
  <c r="AK270" i="99"/>
  <c r="AK276" i="99" s="1"/>
  <c r="AK26" i="99" s="1"/>
  <c r="AK91" i="104" s="1"/>
  <c r="AK26" i="104" s="1"/>
  <c r="BX254" i="153"/>
  <c r="BX260" i="153" s="1"/>
  <c r="BX23" i="153" s="1"/>
  <c r="BX88" i="153" s="1"/>
  <c r="AZ265" i="99"/>
  <c r="BV270" i="155"/>
  <c r="BV276" i="155" s="1"/>
  <c r="BV26" i="155" s="1"/>
  <c r="BV91" i="155" s="1"/>
  <c r="BK412" i="155"/>
  <c r="BK412" i="153"/>
  <c r="AH270" i="99"/>
  <c r="AH276" i="99" s="1"/>
  <c r="AH26" i="99" s="1"/>
  <c r="AH91" i="103" s="1"/>
  <c r="AH26" i="103" s="1"/>
  <c r="BY262" i="153"/>
  <c r="BY268" i="153" s="1"/>
  <c r="BY24" i="153" s="1"/>
  <c r="BY89" i="153" s="1"/>
  <c r="BW270" i="155"/>
  <c r="BW276" i="155" s="1"/>
  <c r="BW26" i="155" s="1"/>
  <c r="BW91" i="155" s="1"/>
  <c r="AA412" i="99"/>
  <c r="AD412" i="99"/>
  <c r="AN270" i="99"/>
  <c r="AN276" i="99" s="1"/>
  <c r="AN26" i="99" s="1"/>
  <c r="AN91" i="103" s="1"/>
  <c r="AN26" i="103" s="1"/>
  <c r="BI255" i="99"/>
  <c r="BM273" i="99"/>
  <c r="BS262" i="155"/>
  <c r="BS268" i="155" s="1"/>
  <c r="BS24" i="155" s="1"/>
  <c r="BS89" i="155" s="1"/>
  <c r="AM270" i="99"/>
  <c r="AM276" i="99" s="1"/>
  <c r="AM26" i="99" s="1"/>
  <c r="AM91" i="99" s="1"/>
  <c r="BL271" i="99"/>
  <c r="BN263" i="99"/>
  <c r="AU265" i="99"/>
  <c r="AC412" i="99"/>
  <c r="Y412" i="99"/>
  <c r="BJ263" i="99"/>
  <c r="AO262" i="99"/>
  <c r="AO268" i="99" s="1"/>
  <c r="AO24" i="99" s="1"/>
  <c r="AO89" i="104" s="1"/>
  <c r="AO24" i="104" s="1"/>
  <c r="AV257" i="99"/>
  <c r="BH273" i="99"/>
  <c r="V412" i="99"/>
  <c r="AF412" i="99"/>
  <c r="AF418" i="99" s="1"/>
  <c r="BN265" i="99"/>
  <c r="Z412" i="99"/>
  <c r="BP412" i="155"/>
  <c r="BP451" i="155" s="1" a="1"/>
  <c r="BP451" i="155" s="1"/>
  <c r="BP457" i="155" s="1"/>
  <c r="BP69" i="155" s="1"/>
  <c r="BP134" i="155" s="1"/>
  <c r="BI273" i="99"/>
  <c r="BP412" i="153"/>
  <c r="BP418" i="153" s="1"/>
  <c r="BU412" i="155"/>
  <c r="BJ412" i="153"/>
  <c r="BJ451" i="153" s="1" a="1"/>
  <c r="BJ451" i="153" s="1"/>
  <c r="BJ457" i="153" s="1"/>
  <c r="BJ69" i="153" s="1"/>
  <c r="BJ134" i="153" s="1"/>
  <c r="BL412" i="155"/>
  <c r="AR254" i="99"/>
  <c r="BH263" i="99"/>
  <c r="BJ412" i="155"/>
  <c r="AJ270" i="99"/>
  <c r="AJ276" i="99" s="1"/>
  <c r="AJ26" i="99" s="1"/>
  <c r="AJ91" i="103" s="1"/>
  <c r="AJ26" i="103" s="1"/>
  <c r="BY270" i="155"/>
  <c r="BY276" i="155" s="1"/>
  <c r="BY26" i="155" s="1"/>
  <c r="BY91" i="155" s="1"/>
  <c r="BR412" i="153"/>
  <c r="BR451" i="153" s="1" a="1"/>
  <c r="BR451" i="153" s="1"/>
  <c r="BR457" i="153" s="1"/>
  <c r="BR69" i="153" s="1"/>
  <c r="BR134" i="153" s="1"/>
  <c r="BC273" i="99"/>
  <c r="AX257" i="99"/>
  <c r="AB412" i="99"/>
  <c r="BA257" i="99"/>
  <c r="BQ412" i="155"/>
  <c r="BQ451" i="155" s="1" a="1"/>
  <c r="BQ451" i="155" s="1"/>
  <c r="BQ457" i="155" s="1"/>
  <c r="BQ69" i="155" s="1"/>
  <c r="BQ134" i="155" s="1"/>
  <c r="BN412" i="153"/>
  <c r="X412" i="99"/>
  <c r="AP254" i="99"/>
  <c r="AP260" i="99" s="1"/>
  <c r="AP23" i="99" s="1"/>
  <c r="AP88" i="99" s="1"/>
  <c r="BG271" i="99"/>
  <c r="BM271" i="99"/>
  <c r="AI262" i="99"/>
  <c r="AI268" i="99" s="1"/>
  <c r="AI24" i="99" s="1"/>
  <c r="AI89" i="103" s="1"/>
  <c r="AI24" i="103" s="1"/>
  <c r="BV262" i="153"/>
  <c r="BV268" i="153" s="1"/>
  <c r="BV24" i="153" s="1"/>
  <c r="BV89" i="153" s="1"/>
  <c r="AJ412" i="153"/>
  <c r="AJ418" i="153" s="1"/>
  <c r="AR273" i="99"/>
  <c r="BU412" i="153"/>
  <c r="BM412" i="155"/>
  <c r="BQ412" i="153"/>
  <c r="W412" i="99"/>
  <c r="W451" i="99" s="1" a="1"/>
  <c r="W451" i="99" s="1"/>
  <c r="W457" i="99" s="1"/>
  <c r="W69" i="99" s="1"/>
  <c r="W134" i="99" s="1"/>
  <c r="BF255" i="99"/>
  <c r="AS273" i="99"/>
  <c r="BX270" i="155"/>
  <c r="BX276" i="155" s="1"/>
  <c r="BX26" i="155" s="1"/>
  <c r="BX91" i="155" s="1"/>
  <c r="AW257" i="99"/>
  <c r="AY265" i="99"/>
  <c r="BM412" i="153"/>
  <c r="BL412" i="153"/>
  <c r="BO412" i="153"/>
  <c r="AE412" i="99"/>
  <c r="BO273" i="99"/>
  <c r="BB257" i="99"/>
  <c r="BT412" i="153"/>
  <c r="R451" i="99" a="1"/>
  <c r="R451" i="99" s="1"/>
  <c r="R457" i="99" s="1"/>
  <c r="R69" i="99" s="1"/>
  <c r="AU45" i="105"/>
  <c r="AU102" i="105"/>
  <c r="AN102" i="105"/>
  <c r="AX102" i="105"/>
  <c r="Z86" i="105"/>
  <c r="AW45" i="105"/>
  <c r="AW102" i="105"/>
  <c r="AQ102" i="105"/>
  <c r="W85" i="105"/>
  <c r="AS102" i="105"/>
  <c r="BN102" i="105"/>
  <c r="AT102" i="105"/>
  <c r="AM45" i="105"/>
  <c r="AM102" i="105"/>
  <c r="BR102" i="105"/>
  <c r="AP45" i="105"/>
  <c r="AP102" i="105"/>
  <c r="Y86" i="105"/>
  <c r="Y94" i="105"/>
  <c r="AO102" i="105"/>
  <c r="AR45" i="105"/>
  <c r="AR102" i="105"/>
  <c r="AV45" i="105"/>
  <c r="AV102" i="105"/>
  <c r="AR110" i="99"/>
  <c r="AR110" i="104"/>
  <c r="AR45" i="104" s="1"/>
  <c r="BN110" i="99"/>
  <c r="AS110" i="99"/>
  <c r="AR296" i="99"/>
  <c r="AR31" i="99" s="1"/>
  <c r="AS110" i="104"/>
  <c r="AS45" i="104" s="1"/>
  <c r="BD418" i="155"/>
  <c r="AX418" i="155"/>
  <c r="BX254" i="155"/>
  <c r="BX260" i="155" s="1"/>
  <c r="BX23" i="155" s="1"/>
  <c r="BX88" i="155" s="1"/>
  <c r="BW254" i="155"/>
  <c r="BW260" i="155" s="1"/>
  <c r="BW23" i="155" s="1"/>
  <c r="BW88" i="155" s="1"/>
  <c r="BC451" i="155" a="1"/>
  <c r="BC451" i="155" s="1"/>
  <c r="BC457" i="155" s="1"/>
  <c r="BC69" i="155" s="1"/>
  <c r="BC134" i="155" s="1"/>
  <c r="BY262" i="155"/>
  <c r="BY268" i="155" s="1"/>
  <c r="BY24" i="155" s="1"/>
  <c r="BY89" i="155" s="1"/>
  <c r="BS298" i="155"/>
  <c r="BS304" i="155" s="1"/>
  <c r="BS32" i="155" s="1"/>
  <c r="BS97" i="155" s="1"/>
  <c r="BS270" i="155"/>
  <c r="BS276" i="155" s="1"/>
  <c r="BS26" i="155" s="1"/>
  <c r="BS91" i="155" s="1"/>
  <c r="BA322" i="155"/>
  <c r="BX314" i="155"/>
  <c r="BX320" i="155" s="1"/>
  <c r="BX35" i="155" s="1"/>
  <c r="BX100" i="155" s="1"/>
  <c r="BV306" i="155"/>
  <c r="BV312" i="155" s="1"/>
  <c r="BV33" i="155" s="1"/>
  <c r="BV98" i="155" s="1"/>
  <c r="BV262" i="155"/>
  <c r="BV268" i="155" s="1"/>
  <c r="BV24" i="155" s="1"/>
  <c r="BV89" i="155" s="1"/>
  <c r="BF418" i="155"/>
  <c r="BL322" i="155"/>
  <c r="BM322" i="155"/>
  <c r="BY306" i="155"/>
  <c r="BY312" i="155" s="1"/>
  <c r="BY33" i="155" s="1"/>
  <c r="BY98" i="155" s="1"/>
  <c r="BY296" i="155"/>
  <c r="BY31" i="155" s="1"/>
  <c r="AZ147" i="155"/>
  <c r="AZ146" i="155"/>
  <c r="BX306" i="155"/>
  <c r="BX312" i="155" s="1"/>
  <c r="BX33" i="155" s="1"/>
  <c r="BX98" i="155" s="1"/>
  <c r="BX296" i="155"/>
  <c r="BX31" i="155" s="1"/>
  <c r="BR322" i="155"/>
  <c r="BV254" i="155"/>
  <c r="BV260" i="155" s="1"/>
  <c r="BV23" i="155" s="1"/>
  <c r="BV88" i="155" s="1"/>
  <c r="BV463" i="155"/>
  <c r="BV252" i="155"/>
  <c r="BV22" i="155" s="1"/>
  <c r="BA469" i="155"/>
  <c r="BA19" i="155" s="1"/>
  <c r="BA84" i="155" s="1"/>
  <c r="BA278" i="155"/>
  <c r="BX262" i="155"/>
  <c r="BX268" i="155" s="1"/>
  <c r="BX24" i="155" s="1"/>
  <c r="BX89" i="155" s="1"/>
  <c r="BX463" i="155"/>
  <c r="BX252" i="155"/>
  <c r="BX22" i="155" s="1"/>
  <c r="BQ469" i="155"/>
  <c r="BQ278" i="155"/>
  <c r="BT322" i="155"/>
  <c r="BR469" i="155"/>
  <c r="BR278" i="155"/>
  <c r="BS254" i="155"/>
  <c r="BS260" i="155" s="1"/>
  <c r="BS23" i="155" s="1"/>
  <c r="BS88" i="155" s="1"/>
  <c r="BS463" i="155"/>
  <c r="BS252" i="155"/>
  <c r="BS22" i="155" s="1"/>
  <c r="AU451" i="155" a="1"/>
  <c r="AU451" i="155" s="1"/>
  <c r="AU457" i="155" s="1"/>
  <c r="AU69" i="155" s="1"/>
  <c r="AU134" i="155" s="1"/>
  <c r="AU418" i="155"/>
  <c r="AY147" i="155"/>
  <c r="AY148" i="155"/>
  <c r="BU278" i="155"/>
  <c r="BU469" i="155"/>
  <c r="AY145" i="155"/>
  <c r="BM469" i="155"/>
  <c r="BM19" i="155" s="1"/>
  <c r="BM84" i="155" s="1"/>
  <c r="BM278" i="155"/>
  <c r="BD145" i="155"/>
  <c r="BI145" i="155"/>
  <c r="BJ322" i="155"/>
  <c r="BL469" i="155"/>
  <c r="BL19" i="155" s="1"/>
  <c r="BL84" i="155" s="1"/>
  <c r="BL278" i="155"/>
  <c r="BV314" i="155"/>
  <c r="BV320" i="155" s="1"/>
  <c r="BV35" i="155" s="1"/>
  <c r="BV100" i="155" s="1"/>
  <c r="BV296" i="155"/>
  <c r="BV31" i="155" s="1"/>
  <c r="BD148" i="155"/>
  <c r="BD146" i="155"/>
  <c r="BD147" i="155"/>
  <c r="BI146" i="155"/>
  <c r="BI147" i="155"/>
  <c r="BC145" i="155"/>
  <c r="BP469" i="155"/>
  <c r="BP19" i="155" s="1"/>
  <c r="BP84" i="155" s="1"/>
  <c r="BP278" i="155"/>
  <c r="AY451" i="155" a="1"/>
  <c r="AY451" i="155" s="1"/>
  <c r="AY457" i="155" s="1"/>
  <c r="AY69" i="155" s="1"/>
  <c r="AY134" i="155" s="1"/>
  <c r="AY418" i="155"/>
  <c r="BI148" i="155"/>
  <c r="BK322" i="155"/>
  <c r="BC148" i="155"/>
  <c r="BC147" i="155"/>
  <c r="BH145" i="155"/>
  <c r="BI451" i="155" a="1"/>
  <c r="BI451" i="155" s="1"/>
  <c r="BI457" i="155" s="1"/>
  <c r="BI69" i="155" s="1"/>
  <c r="BI134" i="155" s="1"/>
  <c r="BI418" i="155"/>
  <c r="BE145" i="155"/>
  <c r="BS306" i="155"/>
  <c r="BS312" i="155" s="1"/>
  <c r="BS33" i="155" s="1"/>
  <c r="BS98" i="155" s="1"/>
  <c r="BS296" i="155"/>
  <c r="BS31" i="155" s="1"/>
  <c r="BT278" i="155"/>
  <c r="BT469" i="155"/>
  <c r="BH147" i="155"/>
  <c r="BH148" i="155"/>
  <c r="BQ322" i="155"/>
  <c r="BC146" i="155"/>
  <c r="BJ469" i="155"/>
  <c r="BJ19" i="155" s="1"/>
  <c r="BJ84" i="155" s="1"/>
  <c r="BJ278" i="155"/>
  <c r="BW314" i="155"/>
  <c r="BW320" i="155" s="1"/>
  <c r="BW35" i="155" s="1"/>
  <c r="BW100" i="155" s="1"/>
  <c r="AZ148" i="155"/>
  <c r="BE146" i="155"/>
  <c r="BE147" i="155"/>
  <c r="BE148" i="155"/>
  <c r="BH451" i="155" a="1"/>
  <c r="BH451" i="155" s="1"/>
  <c r="BH457" i="155" s="1"/>
  <c r="BH69" i="155" s="1"/>
  <c r="BH134" i="155" s="1"/>
  <c r="BH418" i="155"/>
  <c r="BO469" i="155"/>
  <c r="BO278" i="155"/>
  <c r="BO322" i="155"/>
  <c r="BB451" i="155" a="1"/>
  <c r="BB451" i="155" s="1"/>
  <c r="BB457" i="155" s="1"/>
  <c r="BB69" i="155" s="1"/>
  <c r="BB418" i="155"/>
  <c r="BW306" i="155"/>
  <c r="BW312" i="155" s="1"/>
  <c r="BW33" i="155" s="1"/>
  <c r="BW98" i="155" s="1"/>
  <c r="BW296" i="155"/>
  <c r="BW31" i="155" s="1"/>
  <c r="BP322" i="155"/>
  <c r="AY146" i="155"/>
  <c r="BE451" i="155" a="1"/>
  <c r="BE451" i="155" s="1"/>
  <c r="BE457" i="155" s="1"/>
  <c r="BE69" i="155" s="1"/>
  <c r="BE134" i="155" s="1"/>
  <c r="BE418" i="155"/>
  <c r="BK278" i="155"/>
  <c r="BK469" i="155"/>
  <c r="BU322" i="155"/>
  <c r="BN322" i="155"/>
  <c r="BW262" i="155"/>
  <c r="BW268" i="155" s="1"/>
  <c r="BW24" i="155" s="1"/>
  <c r="BW89" i="155" s="1"/>
  <c r="BW463" i="155"/>
  <c r="BW252" i="155"/>
  <c r="BW22" i="155" s="1"/>
  <c r="BH146" i="155"/>
  <c r="BY254" i="155"/>
  <c r="BY260" i="155" s="1"/>
  <c r="BY23" i="155" s="1"/>
  <c r="BY88" i="155" s="1"/>
  <c r="BY463" i="155"/>
  <c r="BY252" i="155"/>
  <c r="BY22" i="155" s="1"/>
  <c r="BY298" i="155"/>
  <c r="BY304" i="155" s="1"/>
  <c r="BY32" i="155" s="1"/>
  <c r="BY97" i="155" s="1"/>
  <c r="AZ451" i="155" a="1"/>
  <c r="AZ451" i="155" s="1"/>
  <c r="AZ457" i="155" s="1"/>
  <c r="AZ69" i="155" s="1"/>
  <c r="AZ134" i="155" s="1"/>
  <c r="AZ418" i="155"/>
  <c r="AZ145" i="155"/>
  <c r="BG451" i="155" a="1"/>
  <c r="BG451" i="155" s="1"/>
  <c r="BG457" i="155" s="1"/>
  <c r="BG69" i="155" s="1"/>
  <c r="BG134" i="155" s="1"/>
  <c r="BG418" i="155"/>
  <c r="BN469" i="155"/>
  <c r="BN278" i="155"/>
  <c r="BY314" i="155"/>
  <c r="BY320" i="155" s="1"/>
  <c r="BY35" i="155" s="1"/>
  <c r="BY100" i="155" s="1"/>
  <c r="AZ273" i="99"/>
  <c r="AX301" i="99"/>
  <c r="BC265" i="99"/>
  <c r="BO219" i="99"/>
  <c r="BM219" i="99"/>
  <c r="BM211" i="99"/>
  <c r="BH211" i="99"/>
  <c r="BH219" i="99"/>
  <c r="BO211" i="99"/>
  <c r="BA273" i="99"/>
  <c r="AT273" i="99"/>
  <c r="AX265" i="99"/>
  <c r="BN211" i="99"/>
  <c r="AS296" i="99"/>
  <c r="AS31" i="99" s="1"/>
  <c r="AW309" i="99"/>
  <c r="BI219" i="99"/>
  <c r="AY317" i="99"/>
  <c r="AY273" i="99"/>
  <c r="AS257" i="99"/>
  <c r="AZ301" i="99"/>
  <c r="AZ317" i="99"/>
  <c r="BB317" i="99"/>
  <c r="BB273" i="99"/>
  <c r="BN219" i="99"/>
  <c r="AW273" i="99"/>
  <c r="AR257" i="99"/>
  <c r="AS309" i="99"/>
  <c r="AS317" i="99"/>
  <c r="BD341" i="99"/>
  <c r="BD344" i="99" s="1"/>
  <c r="BD43" i="99" s="1"/>
  <c r="BD334" i="99"/>
  <c r="BF208" i="99"/>
  <c r="BF216" i="99"/>
  <c r="BF203" i="99"/>
  <c r="BW200" i="99"/>
  <c r="BW191" i="99"/>
  <c r="BW331" i="99"/>
  <c r="BF341" i="99"/>
  <c r="BF344" i="99" s="1"/>
  <c r="BF43" i="99" s="1"/>
  <c r="BF334" i="99"/>
  <c r="AY257" i="99"/>
  <c r="AY466" i="99"/>
  <c r="BB309" i="99"/>
  <c r="AX309" i="99"/>
  <c r="AT309" i="99"/>
  <c r="AX273" i="99"/>
  <c r="AX466" i="99"/>
  <c r="AT301" i="99"/>
  <c r="BA265" i="99"/>
  <c r="BA466" i="99"/>
  <c r="BB265" i="99"/>
  <c r="BB466" i="99"/>
  <c r="AT257" i="99"/>
  <c r="AT466" i="99"/>
  <c r="BR191" i="99"/>
  <c r="BR331" i="99"/>
  <c r="BR200" i="99"/>
  <c r="AR265" i="99"/>
  <c r="AR466" i="99"/>
  <c r="BQ216" i="99"/>
  <c r="BQ285" i="99" s="1"/>
  <c r="BQ293" i="99" s="1"/>
  <c r="BQ317" i="99" s="1"/>
  <c r="BQ208" i="99"/>
  <c r="BQ241" i="99" s="1"/>
  <c r="BQ249" i="99" s="1"/>
  <c r="AU317" i="99"/>
  <c r="AW317" i="99"/>
  <c r="AU301" i="99"/>
  <c r="BA317" i="99"/>
  <c r="AZ257" i="99"/>
  <c r="AZ466" i="99"/>
  <c r="BC309" i="99"/>
  <c r="AR301" i="99"/>
  <c r="AU273" i="99"/>
  <c r="BA301" i="99"/>
  <c r="BP191" i="99"/>
  <c r="BP200" i="99"/>
  <c r="BP331" i="99"/>
  <c r="BC317" i="99"/>
  <c r="AR309" i="99"/>
  <c r="BE341" i="99"/>
  <c r="BE344" i="99" s="1"/>
  <c r="BE43" i="99" s="1"/>
  <c r="BE334" i="99"/>
  <c r="AU257" i="99"/>
  <c r="AU466" i="99"/>
  <c r="AS265" i="99"/>
  <c r="AS466" i="99"/>
  <c r="BE216" i="99"/>
  <c r="BE208" i="99"/>
  <c r="BE203" i="99"/>
  <c r="AW265" i="99"/>
  <c r="AW466" i="99"/>
  <c r="BC257" i="99"/>
  <c r="BC466" i="99"/>
  <c r="BI211" i="99"/>
  <c r="AY309" i="99"/>
  <c r="BI320" i="99"/>
  <c r="BI35" i="99" s="1"/>
  <c r="BI100" i="99" s="1"/>
  <c r="BD216" i="99"/>
  <c r="BD208" i="99"/>
  <c r="BD203" i="99"/>
  <c r="BI110" i="99"/>
  <c r="BI110" i="104"/>
  <c r="BI45" i="104" s="1"/>
  <c r="BM43" i="105"/>
  <c r="BM110" i="104"/>
  <c r="BM45" i="104" s="1"/>
  <c r="BM110" i="99"/>
  <c r="R420" i="153"/>
  <c r="BN257" i="99"/>
  <c r="BH265" i="99"/>
  <c r="BM309" i="99"/>
  <c r="BI301" i="99"/>
  <c r="BM317" i="99"/>
  <c r="BI309" i="99"/>
  <c r="BO265" i="99"/>
  <c r="AV301" i="99"/>
  <c r="AV309" i="99"/>
  <c r="BH309" i="99"/>
  <c r="BV208" i="99"/>
  <c r="BV216" i="99"/>
  <c r="BV203" i="99"/>
  <c r="BS341" i="99"/>
  <c r="BS344" i="99" s="1"/>
  <c r="BS43" i="99" s="1"/>
  <c r="BS334" i="99"/>
  <c r="BO309" i="99"/>
  <c r="BU341" i="99"/>
  <c r="BU344" i="99" s="1"/>
  <c r="BU43" i="99" s="1"/>
  <c r="BU334" i="99"/>
  <c r="BS208" i="99"/>
  <c r="BS216" i="99"/>
  <c r="BS203" i="99"/>
  <c r="BO301" i="99"/>
  <c r="BU208" i="99"/>
  <c r="BU216" i="99"/>
  <c r="BU203" i="99"/>
  <c r="BJ241" i="99"/>
  <c r="BJ211" i="99"/>
  <c r="BN273" i="99"/>
  <c r="BN466" i="99"/>
  <c r="BJ285" i="99"/>
  <c r="BJ219" i="99"/>
  <c r="BM265" i="99"/>
  <c r="BI257" i="99"/>
  <c r="BO257" i="99"/>
  <c r="BO466" i="99"/>
  <c r="BM257" i="99"/>
  <c r="BM466" i="99"/>
  <c r="BI265" i="99"/>
  <c r="BI466" i="99"/>
  <c r="BK241" i="99"/>
  <c r="BK211" i="99"/>
  <c r="BK285" i="99"/>
  <c r="BK219" i="99"/>
  <c r="BH301" i="99"/>
  <c r="BT341" i="99"/>
  <c r="BT344" i="99" s="1"/>
  <c r="BT43" i="99" s="1"/>
  <c r="BT334" i="99"/>
  <c r="AV265" i="99"/>
  <c r="BT216" i="99"/>
  <c r="BT208" i="99"/>
  <c r="BT203" i="99"/>
  <c r="BK108" i="103"/>
  <c r="BK43" i="103" s="1"/>
  <c r="BK108" i="99"/>
  <c r="BK45" i="99"/>
  <c r="BK108" i="104"/>
  <c r="BK43" i="104" s="1"/>
  <c r="BL108" i="103"/>
  <c r="BL43" i="103" s="1"/>
  <c r="BL108" i="104"/>
  <c r="BL43" i="104" s="1"/>
  <c r="BL45" i="99"/>
  <c r="BL108" i="99"/>
  <c r="BH257" i="99"/>
  <c r="BH466" i="99"/>
  <c r="BL241" i="99"/>
  <c r="BL211" i="99"/>
  <c r="BL285" i="99"/>
  <c r="BL219" i="99"/>
  <c r="BN317" i="99"/>
  <c r="BJ108" i="103"/>
  <c r="BJ43" i="103" s="1"/>
  <c r="BJ108" i="104"/>
  <c r="BJ43" i="104" s="1"/>
  <c r="BJ108" i="99"/>
  <c r="BJ45" i="99"/>
  <c r="BN301" i="99"/>
  <c r="BV341" i="99"/>
  <c r="BV344" i="99" s="1"/>
  <c r="BV43" i="99" s="1"/>
  <c r="BV334" i="99"/>
  <c r="AV273" i="99"/>
  <c r="AV466" i="99"/>
  <c r="BG341" i="99"/>
  <c r="BG344" i="99" s="1"/>
  <c r="BG43" i="99" s="1"/>
  <c r="BG334" i="99"/>
  <c r="BG208" i="99"/>
  <c r="BG216" i="99"/>
  <c r="BG203" i="99"/>
  <c r="BQ203" i="99"/>
  <c r="BQ344" i="99"/>
  <c r="BQ43" i="99" s="1"/>
  <c r="BQ334" i="99"/>
  <c r="AJ469" i="153"/>
  <c r="AJ19" i="153" s="1"/>
  <c r="AJ84" i="153" s="1"/>
  <c r="X32" i="105"/>
  <c r="BG43" i="105"/>
  <c r="AO45" i="105"/>
  <c r="BR45" i="105"/>
  <c r="AZ43" i="105"/>
  <c r="BB43" i="105"/>
  <c r="Z35" i="105"/>
  <c r="Y35" i="105"/>
  <c r="Z23" i="105"/>
  <c r="S99" i="103"/>
  <c r="AB96" i="103"/>
  <c r="AB31" i="103" s="1"/>
  <c r="BC43" i="105"/>
  <c r="Z31" i="105"/>
  <c r="AY43" i="105"/>
  <c r="AD96" i="103"/>
  <c r="AD31" i="103" s="1"/>
  <c r="Z33" i="105"/>
  <c r="AF89" i="104"/>
  <c r="AF24" i="104" s="1"/>
  <c r="X31" i="105"/>
  <c r="BE43" i="105"/>
  <c r="BD43" i="105"/>
  <c r="X35" i="105"/>
  <c r="W35" i="105"/>
  <c r="Y23" i="105"/>
  <c r="AG96" i="103"/>
  <c r="AG31" i="103" s="1"/>
  <c r="X26" i="105"/>
  <c r="X33" i="105"/>
  <c r="R99" i="103"/>
  <c r="AA96" i="103"/>
  <c r="AA31" i="103" s="1"/>
  <c r="BH43" i="105"/>
  <c r="BN45" i="105"/>
  <c r="BA43" i="105"/>
  <c r="AQ45" i="105"/>
  <c r="W33" i="105"/>
  <c r="W32" i="105"/>
  <c r="AX45" i="105"/>
  <c r="W31" i="105"/>
  <c r="AS45" i="105"/>
  <c r="BF43" i="105"/>
  <c r="AT45" i="105"/>
  <c r="AE96" i="103"/>
  <c r="AE31" i="103" s="1"/>
  <c r="Y32" i="105"/>
  <c r="Z32" i="105"/>
  <c r="AC96" i="103"/>
  <c r="AC31" i="103" s="1"/>
  <c r="AN45" i="105"/>
  <c r="Y26" i="105"/>
  <c r="Z26" i="105"/>
  <c r="L108" i="99"/>
  <c r="Z96" i="103"/>
  <c r="Z31" i="103" s="1"/>
  <c r="X24" i="105"/>
  <c r="AG88" i="103"/>
  <c r="AG23" i="103" s="1"/>
  <c r="AA91" i="103"/>
  <c r="AA26" i="103" s="1"/>
  <c r="S134" i="103"/>
  <c r="S69" i="103" s="1"/>
  <c r="S134" i="104"/>
  <c r="S69" i="104" s="1"/>
  <c r="W88" i="103"/>
  <c r="W23" i="103" s="1"/>
  <c r="AA98" i="99"/>
  <c r="AA98" i="103"/>
  <c r="AA33" i="103" s="1"/>
  <c r="V89" i="103"/>
  <c r="V24" i="103" s="1"/>
  <c r="AF88" i="103"/>
  <c r="AF23" i="103" s="1"/>
  <c r="Z88" i="103"/>
  <c r="Z23" i="103" s="1"/>
  <c r="AB89" i="103"/>
  <c r="AB24" i="103" s="1"/>
  <c r="AG89" i="103"/>
  <c r="AG24" i="103" s="1"/>
  <c r="S87" i="103"/>
  <c r="S22" i="103" s="1"/>
  <c r="AE88" i="103"/>
  <c r="AE23" i="103" s="1"/>
  <c r="AD89" i="103"/>
  <c r="AD24" i="103" s="1"/>
  <c r="Z91" i="103"/>
  <c r="Z26" i="103" s="1"/>
  <c r="AC88" i="103"/>
  <c r="AC23" i="103" s="1"/>
  <c r="Y89" i="103"/>
  <c r="Y24" i="103" s="1"/>
  <c r="W91" i="103"/>
  <c r="W26" i="103" s="1"/>
  <c r="U87" i="103"/>
  <c r="U22" i="103" s="1"/>
  <c r="AD88" i="103"/>
  <c r="AD23" i="103" s="1"/>
  <c r="AF89" i="103"/>
  <c r="AF24" i="103" s="1"/>
  <c r="AC91" i="103"/>
  <c r="AC26" i="103" s="1"/>
  <c r="AF91" i="103"/>
  <c r="AF26" i="103" s="1"/>
  <c r="AA88" i="103"/>
  <c r="AA23" i="103" s="1"/>
  <c r="X91" i="103"/>
  <c r="X26" i="103" s="1"/>
  <c r="X91" i="99"/>
  <c r="W26" i="105"/>
  <c r="V88" i="103"/>
  <c r="V23" i="103" s="1"/>
  <c r="AB88" i="103"/>
  <c r="AB23" i="103" s="1"/>
  <c r="X89" i="103"/>
  <c r="X24" i="103" s="1"/>
  <c r="Y91" i="103"/>
  <c r="Y26" i="103" s="1"/>
  <c r="AG91" i="103"/>
  <c r="AG26" i="103" s="1"/>
  <c r="T87" i="103"/>
  <c r="T22" i="103" s="1"/>
  <c r="R418" i="99"/>
  <c r="X23" i="105"/>
  <c r="AC89" i="103"/>
  <c r="AC24" i="103" s="1"/>
  <c r="AE89" i="103"/>
  <c r="AE24" i="103" s="1"/>
  <c r="Z89" i="103"/>
  <c r="Z24" i="103" s="1"/>
  <c r="AA89" i="103"/>
  <c r="AA24" i="103" s="1"/>
  <c r="Y88" i="103"/>
  <c r="Y23" i="103" s="1"/>
  <c r="AF96" i="103"/>
  <c r="AF31" i="103" s="1"/>
  <c r="R34" i="103"/>
  <c r="R36" i="103" s="1"/>
  <c r="R37" i="103" s="1"/>
  <c r="AC88" i="104"/>
  <c r="AC23" i="104" s="1"/>
  <c r="W24" i="105"/>
  <c r="P43" i="105"/>
  <c r="AF91" i="104"/>
  <c r="AF26" i="104" s="1"/>
  <c r="AG97" i="104"/>
  <c r="AG32" i="104" s="1"/>
  <c r="U87" i="104"/>
  <c r="U22" i="104" s="1"/>
  <c r="Y100" i="99"/>
  <c r="Y100" i="104"/>
  <c r="Y35" i="104" s="1"/>
  <c r="Y35" i="103"/>
  <c r="Z91" i="104"/>
  <c r="Z26" i="104" s="1"/>
  <c r="AF97" i="104"/>
  <c r="AF32" i="104" s="1"/>
  <c r="U148" i="99"/>
  <c r="U84" i="104"/>
  <c r="U19" i="104" s="1"/>
  <c r="AG89" i="104"/>
  <c r="AG24" i="104" s="1"/>
  <c r="AU110" i="104"/>
  <c r="AU45" i="104" s="1"/>
  <c r="AC91" i="104"/>
  <c r="AC26" i="104" s="1"/>
  <c r="AA88" i="99"/>
  <c r="AA88" i="104"/>
  <c r="AA23" i="104" s="1"/>
  <c r="W91" i="104"/>
  <c r="W26" i="104" s="1"/>
  <c r="Z88" i="104"/>
  <c r="Z23" i="104" s="1"/>
  <c r="AG96" i="104"/>
  <c r="AG31" i="104" s="1"/>
  <c r="AV110" i="104"/>
  <c r="AV45" i="104" s="1"/>
  <c r="AF98" i="104"/>
  <c r="AF33" i="104" s="1"/>
  <c r="AZ110" i="104"/>
  <c r="AZ45" i="104" s="1"/>
  <c r="AG91" i="104"/>
  <c r="AG26" i="104" s="1"/>
  <c r="AT110" i="104"/>
  <c r="AT45" i="104" s="1"/>
  <c r="AF100" i="99"/>
  <c r="AF100" i="104"/>
  <c r="AF35" i="104" s="1"/>
  <c r="AF35" i="103"/>
  <c r="AD88" i="104"/>
  <c r="AD23" i="104" s="1"/>
  <c r="T96" i="104"/>
  <c r="T31" i="104" s="1"/>
  <c r="Y89" i="104"/>
  <c r="Y24" i="104" s="1"/>
  <c r="V97" i="104"/>
  <c r="V32" i="104" s="1"/>
  <c r="AC89" i="104"/>
  <c r="AC24" i="104" s="1"/>
  <c r="X97" i="104"/>
  <c r="X32" i="104" s="1"/>
  <c r="X32" i="103"/>
  <c r="AD98" i="104"/>
  <c r="AD33" i="104" s="1"/>
  <c r="W97" i="104"/>
  <c r="W32" i="104" s="1"/>
  <c r="AE96" i="104"/>
  <c r="AE31" i="104" s="1"/>
  <c r="AC96" i="104"/>
  <c r="AC31" i="104" s="1"/>
  <c r="AD96" i="104"/>
  <c r="AD31" i="104" s="1"/>
  <c r="V100" i="104"/>
  <c r="V35" i="104" s="1"/>
  <c r="AC100" i="104"/>
  <c r="AC35" i="104" s="1"/>
  <c r="W98" i="104"/>
  <c r="W33" i="104" s="1"/>
  <c r="AG88" i="99"/>
  <c r="AG88" i="104"/>
  <c r="AG23" i="104" s="1"/>
  <c r="AF96" i="104"/>
  <c r="AF31" i="104" s="1"/>
  <c r="S84" i="104"/>
  <c r="S19" i="104" s="1"/>
  <c r="AW110" i="104"/>
  <c r="AW45" i="104" s="1"/>
  <c r="W100" i="104"/>
  <c r="W35" i="104" s="1"/>
  <c r="W88" i="104"/>
  <c r="W23" i="104" s="1"/>
  <c r="Z89" i="99"/>
  <c r="Z89" i="104"/>
  <c r="Z24" i="104" s="1"/>
  <c r="V88" i="104"/>
  <c r="V23" i="104" s="1"/>
  <c r="S87" i="104"/>
  <c r="S22" i="104" s="1"/>
  <c r="AE89" i="104"/>
  <c r="AE24" i="104" s="1"/>
  <c r="Z97" i="99"/>
  <c r="Z97" i="104"/>
  <c r="Z32" i="104" s="1"/>
  <c r="Z32" i="103"/>
  <c r="AB97" i="104"/>
  <c r="AB32" i="104" s="1"/>
  <c r="Y96" i="104"/>
  <c r="Y31" i="104" s="1"/>
  <c r="Y98" i="104"/>
  <c r="Y33" i="104" s="1"/>
  <c r="AG98" i="99"/>
  <c r="AG98" i="104"/>
  <c r="AG33" i="104" s="1"/>
  <c r="AG33" i="103"/>
  <c r="AB88" i="104"/>
  <c r="AB23" i="104" s="1"/>
  <c r="AF88" i="104"/>
  <c r="AF23" i="104" s="1"/>
  <c r="AA100" i="104"/>
  <c r="AA35" i="104" s="1"/>
  <c r="S99" i="104"/>
  <c r="S34" i="104" s="1"/>
  <c r="AA89" i="104"/>
  <c r="AA24" i="104" s="1"/>
  <c r="Z100" i="99"/>
  <c r="Z100" i="104"/>
  <c r="Z35" i="104" s="1"/>
  <c r="Z35" i="103"/>
  <c r="L108" i="104"/>
  <c r="X89" i="104"/>
  <c r="X24" i="104" s="1"/>
  <c r="R99" i="104"/>
  <c r="R34" i="104" s="1"/>
  <c r="AE88" i="104"/>
  <c r="AE23" i="104" s="1"/>
  <c r="AD97" i="99"/>
  <c r="AD97" i="104"/>
  <c r="AD32" i="104" s="1"/>
  <c r="AD32" i="103"/>
  <c r="AE100" i="104"/>
  <c r="AE35" i="104" s="1"/>
  <c r="BA110" i="104"/>
  <c r="BA45" i="104" s="1"/>
  <c r="BB110" i="104"/>
  <c r="BB45" i="104" s="1"/>
  <c r="AC97" i="104"/>
  <c r="AC32" i="104" s="1"/>
  <c r="AC32" i="103"/>
  <c r="T87" i="104"/>
  <c r="T22" i="104" s="1"/>
  <c r="AB89" i="104"/>
  <c r="AB24" i="104" s="1"/>
  <c r="AB100" i="99"/>
  <c r="AB100" i="104"/>
  <c r="AB35" i="104" s="1"/>
  <c r="AB35" i="103"/>
  <c r="AG100" i="99"/>
  <c r="AG100" i="104"/>
  <c r="AG35" i="104" s="1"/>
  <c r="AG35" i="103"/>
  <c r="X100" i="104"/>
  <c r="X35" i="104" s="1"/>
  <c r="Y97" i="104"/>
  <c r="Y32" i="104" s="1"/>
  <c r="Z96" i="104"/>
  <c r="Z31" i="104" s="1"/>
  <c r="AE98" i="104"/>
  <c r="AE33" i="104" s="1"/>
  <c r="AA97" i="99"/>
  <c r="AA97" i="104"/>
  <c r="AA32" i="104" s="1"/>
  <c r="AA32" i="103"/>
  <c r="AA91" i="104"/>
  <c r="AA26" i="104" s="1"/>
  <c r="AD89" i="99"/>
  <c r="AD89" i="104"/>
  <c r="AD24" i="104" s="1"/>
  <c r="AA98" i="104"/>
  <c r="AA33" i="104" s="1"/>
  <c r="X98" i="104"/>
  <c r="X33" i="104" s="1"/>
  <c r="T148" i="99"/>
  <c r="T84" i="104"/>
  <c r="T19" i="104" s="1"/>
  <c r="V98" i="99"/>
  <c r="V33" i="103"/>
  <c r="V98" i="104"/>
  <c r="V33" i="104" s="1"/>
  <c r="AX110" i="104"/>
  <c r="AX45" i="104" s="1"/>
  <c r="AY110" i="104"/>
  <c r="AY45" i="104" s="1"/>
  <c r="AF91" i="99"/>
  <c r="Z98" i="104"/>
  <c r="Z33" i="104" s="1"/>
  <c r="Z33" i="103"/>
  <c r="AB98" i="99"/>
  <c r="AB33" i="103"/>
  <c r="AB98" i="104"/>
  <c r="AB33" i="104" s="1"/>
  <c r="X91" i="104"/>
  <c r="X26" i="104" s="1"/>
  <c r="V96" i="104"/>
  <c r="V31" i="104" s="1"/>
  <c r="V31" i="103"/>
  <c r="BC110" i="104"/>
  <c r="BC45" i="104" s="1"/>
  <c r="R84" i="104"/>
  <c r="R19" i="104" s="1"/>
  <c r="R149" i="104" s="1"/>
  <c r="R19" i="103"/>
  <c r="R148" i="103" s="1"/>
  <c r="U99" i="104"/>
  <c r="U34" i="104" s="1"/>
  <c r="R22" i="103"/>
  <c r="R87" i="104"/>
  <c r="R22" i="104" s="1"/>
  <c r="W96" i="104"/>
  <c r="W31" i="104" s="1"/>
  <c r="W31" i="103"/>
  <c r="Y88" i="104"/>
  <c r="Y23" i="104" s="1"/>
  <c r="Z91" i="99"/>
  <c r="AE97" i="104"/>
  <c r="AE32" i="104" s="1"/>
  <c r="AE32" i="103"/>
  <c r="AC33" i="103"/>
  <c r="AC98" i="104"/>
  <c r="AC33" i="104" s="1"/>
  <c r="Y91" i="104"/>
  <c r="Y26" i="104" s="1"/>
  <c r="AB96" i="104"/>
  <c r="AB31" i="104" s="1"/>
  <c r="K110" i="104"/>
  <c r="V89" i="104"/>
  <c r="V24" i="104" s="1"/>
  <c r="AA96" i="104"/>
  <c r="AA31" i="104" s="1"/>
  <c r="X31" i="103"/>
  <c r="X96" i="104"/>
  <c r="X31" i="104" s="1"/>
  <c r="AD100" i="99"/>
  <c r="AD100" i="104"/>
  <c r="AD35" i="104" s="1"/>
  <c r="AD35" i="103"/>
  <c r="AF278" i="153"/>
  <c r="AG278" i="153"/>
  <c r="BT250" i="99"/>
  <c r="BT294" i="99"/>
  <c r="BT310" i="99" s="1"/>
  <c r="AK451" i="153" a="1"/>
  <c r="AK451" i="153" s="1"/>
  <c r="AK457" i="153" s="1"/>
  <c r="AK69" i="153" s="1"/>
  <c r="AK134" i="153" s="1"/>
  <c r="AK418" i="153"/>
  <c r="AB278" i="153"/>
  <c r="Z278" i="153"/>
  <c r="AK146" i="153"/>
  <c r="AK147" i="153"/>
  <c r="AK148" i="153"/>
  <c r="AE278" i="153"/>
  <c r="AI278" i="153"/>
  <c r="AK145" i="153"/>
  <c r="BB296" i="153"/>
  <c r="BB31" i="153" s="1"/>
  <c r="BB306" i="153"/>
  <c r="BB312" i="153" s="1"/>
  <c r="BB33" i="153" s="1"/>
  <c r="BB314" i="153"/>
  <c r="BB320" i="153" s="1"/>
  <c r="BB35" i="153" s="1"/>
  <c r="BB298" i="153"/>
  <c r="BB304" i="153" s="1"/>
  <c r="BB32" i="153" s="1"/>
  <c r="BG296" i="153"/>
  <c r="BG31" i="153" s="1"/>
  <c r="BG314" i="153"/>
  <c r="BG320" i="153" s="1"/>
  <c r="BG35" i="153" s="1"/>
  <c r="BG100" i="153" s="1"/>
  <c r="BG306" i="153"/>
  <c r="BG312" i="153" s="1"/>
  <c r="BG33" i="153" s="1"/>
  <c r="BG98" i="153" s="1"/>
  <c r="BG298" i="153"/>
  <c r="BG304" i="153" s="1"/>
  <c r="BG32" i="153" s="1"/>
  <c r="BG97" i="153" s="1"/>
  <c r="AO469" i="153"/>
  <c r="AO19" i="153" s="1"/>
  <c r="AO84" i="153" s="1"/>
  <c r="AR469" i="153"/>
  <c r="AR19" i="153" s="1"/>
  <c r="AR84" i="153" s="1"/>
  <c r="BE296" i="153"/>
  <c r="BE31" i="153" s="1"/>
  <c r="BE314" i="153"/>
  <c r="BE320" i="153" s="1"/>
  <c r="BE35" i="153" s="1"/>
  <c r="BE100" i="153" s="1"/>
  <c r="BE306" i="153"/>
  <c r="BE312" i="153" s="1"/>
  <c r="BE33" i="153" s="1"/>
  <c r="BE98" i="153" s="1"/>
  <c r="BE298" i="153"/>
  <c r="BE304" i="153" s="1"/>
  <c r="BE32" i="153" s="1"/>
  <c r="BE97" i="153" s="1"/>
  <c r="BI262" i="153"/>
  <c r="BI268" i="153" s="1"/>
  <c r="BI24" i="153" s="1"/>
  <c r="BI89" i="153" s="1"/>
  <c r="BI270" i="153"/>
  <c r="BI276" i="153" s="1"/>
  <c r="BI26" i="153" s="1"/>
  <c r="BI91" i="153" s="1"/>
  <c r="BI254" i="153"/>
  <c r="BI463" i="153"/>
  <c r="BI252" i="153"/>
  <c r="BI22" i="153" s="1"/>
  <c r="AU322" i="153"/>
  <c r="AU469" i="153"/>
  <c r="AU19" i="153" s="1"/>
  <c r="AU84" i="153" s="1"/>
  <c r="AA145" i="153"/>
  <c r="AG451" i="153" a="1"/>
  <c r="AG451" i="153" s="1"/>
  <c r="AG457" i="153" s="1"/>
  <c r="AG69" i="153" s="1"/>
  <c r="AG134" i="153" s="1"/>
  <c r="AG418" i="153"/>
  <c r="BG262" i="153"/>
  <c r="BG268" i="153" s="1"/>
  <c r="BG24" i="153" s="1"/>
  <c r="BG89" i="153" s="1"/>
  <c r="BG270" i="153"/>
  <c r="BG276" i="153" s="1"/>
  <c r="BG26" i="153" s="1"/>
  <c r="BG91" i="153" s="1"/>
  <c r="BG463" i="153"/>
  <c r="BG252" i="153"/>
  <c r="BG22" i="153" s="1"/>
  <c r="BG254" i="153"/>
  <c r="AB145" i="153"/>
  <c r="AO260" i="153"/>
  <c r="AO23" i="153" s="1"/>
  <c r="AO88" i="153" s="1"/>
  <c r="AR260" i="153"/>
  <c r="AR23" i="153" s="1"/>
  <c r="AR88" i="153" s="1"/>
  <c r="AA278" i="153"/>
  <c r="AG146" i="153"/>
  <c r="AW469" i="153"/>
  <c r="AW19" i="153" s="1"/>
  <c r="AW84" i="153" s="1"/>
  <c r="AB146" i="153"/>
  <c r="AB148" i="153"/>
  <c r="BB270" i="153"/>
  <c r="BB276" i="153" s="1"/>
  <c r="BB26" i="153" s="1"/>
  <c r="BB262" i="153"/>
  <c r="BB268" i="153" s="1"/>
  <c r="BB24" i="153" s="1"/>
  <c r="BB252" i="153"/>
  <c r="BB22" i="153" s="1"/>
  <c r="BB463" i="153"/>
  <c r="BB254" i="153"/>
  <c r="AV469" i="153"/>
  <c r="AV19" i="153" s="1"/>
  <c r="AV84" i="153" s="1"/>
  <c r="AA147" i="153"/>
  <c r="AA148" i="153"/>
  <c r="AF451" i="153" a="1"/>
  <c r="AF451" i="153" s="1"/>
  <c r="AF457" i="153" s="1"/>
  <c r="AF69" i="153" s="1"/>
  <c r="AF134" i="153" s="1"/>
  <c r="AF418" i="153"/>
  <c r="AX262" i="153"/>
  <c r="AX268" i="153" s="1"/>
  <c r="AX24" i="153" s="1"/>
  <c r="AX89" i="153" s="1"/>
  <c r="AX252" i="153"/>
  <c r="AX22" i="153" s="1"/>
  <c r="AX463" i="153"/>
  <c r="AX270" i="153"/>
  <c r="AX276" i="153" s="1"/>
  <c r="AX26" i="153" s="1"/>
  <c r="AX91" i="153" s="1"/>
  <c r="AX254" i="153"/>
  <c r="AW322" i="153"/>
  <c r="AU260" i="153"/>
  <c r="AU23" i="153" s="1"/>
  <c r="AU88" i="153" s="1"/>
  <c r="AN322" i="153"/>
  <c r="AF146" i="153"/>
  <c r="AW260" i="153"/>
  <c r="AW23" i="153" s="1"/>
  <c r="AW88" i="153" s="1"/>
  <c r="Z147" i="153"/>
  <c r="Z148" i="153"/>
  <c r="AA451" i="153" a="1"/>
  <c r="AA451" i="153" s="1"/>
  <c r="AA457" i="153" s="1"/>
  <c r="AA69" i="153" s="1"/>
  <c r="AA134" i="153" s="1"/>
  <c r="AA418" i="153"/>
  <c r="AT469" i="153"/>
  <c r="AT19" i="153" s="1"/>
  <c r="AT84" i="153" s="1"/>
  <c r="Z145" i="153"/>
  <c r="AV260" i="153"/>
  <c r="AV23" i="153" s="1"/>
  <c r="AV88" i="153" s="1"/>
  <c r="AA146" i="153"/>
  <c r="BH270" i="153"/>
  <c r="BH276" i="153" s="1"/>
  <c r="BH26" i="153" s="1"/>
  <c r="BH91" i="153" s="1"/>
  <c r="BH254" i="153"/>
  <c r="BH262" i="153"/>
  <c r="BH268" i="153" s="1"/>
  <c r="BH24" i="153" s="1"/>
  <c r="BH89" i="153" s="1"/>
  <c r="BH252" i="153"/>
  <c r="BH22" i="153" s="1"/>
  <c r="BH463" i="153"/>
  <c r="AE145" i="153"/>
  <c r="AL469" i="153"/>
  <c r="AL19" i="153" s="1"/>
  <c r="AL84" i="153" s="1"/>
  <c r="AC451" i="153" a="1"/>
  <c r="AC451" i="153" s="1"/>
  <c r="AC457" i="153" s="1"/>
  <c r="AC69" i="153" s="1"/>
  <c r="AC134" i="153" s="1"/>
  <c r="AC418" i="153"/>
  <c r="AT260" i="153"/>
  <c r="AT23" i="153" s="1"/>
  <c r="AT88" i="153" s="1"/>
  <c r="AE147" i="153"/>
  <c r="AE148" i="153"/>
  <c r="AL260" i="153"/>
  <c r="AL23" i="153" s="1"/>
  <c r="AL88" i="153" s="1"/>
  <c r="AC146" i="153"/>
  <c r="AG148" i="153"/>
  <c r="AG147" i="153"/>
  <c r="AI418" i="153"/>
  <c r="AI451" i="153" a="1"/>
  <c r="AI451" i="153" s="1"/>
  <c r="AI457" i="153" s="1"/>
  <c r="AI69" i="153" s="1"/>
  <c r="AI134" i="153" s="1"/>
  <c r="AG145" i="153"/>
  <c r="BC296" i="153"/>
  <c r="BC31" i="153" s="1"/>
  <c r="BC306" i="153"/>
  <c r="BC312" i="153" s="1"/>
  <c r="BC33" i="153" s="1"/>
  <c r="BC98" i="153" s="1"/>
  <c r="BC314" i="153"/>
  <c r="BC320" i="153" s="1"/>
  <c r="BC35" i="153" s="1"/>
  <c r="BC100" i="153" s="1"/>
  <c r="AI146" i="153"/>
  <c r="AS469" i="153"/>
  <c r="AS19" i="153" s="1"/>
  <c r="AS84" i="153" s="1"/>
  <c r="AI145" i="153"/>
  <c r="AH418" i="153"/>
  <c r="AH451" i="153" a="1"/>
  <c r="AH451" i="153" s="1"/>
  <c r="AH457" i="153" s="1"/>
  <c r="AH69" i="153" s="1"/>
  <c r="AH134" i="153" s="1"/>
  <c r="BD296" i="153"/>
  <c r="BD31" i="153" s="1"/>
  <c r="BD306" i="153"/>
  <c r="BD312" i="153" s="1"/>
  <c r="BD33" i="153" s="1"/>
  <c r="BD98" i="153" s="1"/>
  <c r="BD298" i="153"/>
  <c r="BD304" i="153" s="1"/>
  <c r="BD32" i="153" s="1"/>
  <c r="BD97" i="153" s="1"/>
  <c r="BD314" i="153"/>
  <c r="BD320" i="153" s="1"/>
  <c r="BD35" i="153" s="1"/>
  <c r="BD100" i="153" s="1"/>
  <c r="AQ469" i="153"/>
  <c r="AQ19" i="153" s="1"/>
  <c r="AQ84" i="153" s="1"/>
  <c r="AO322" i="153"/>
  <c r="AS322" i="153"/>
  <c r="AF145" i="153"/>
  <c r="AE418" i="153"/>
  <c r="AE451" i="153" a="1"/>
  <c r="AE451" i="153" s="1"/>
  <c r="AE457" i="153" s="1"/>
  <c r="AE69" i="153" s="1"/>
  <c r="AE134" i="153" s="1"/>
  <c r="AH146" i="153"/>
  <c r="AD418" i="153"/>
  <c r="AD451" i="153" a="1"/>
  <c r="AD451" i="153" s="1"/>
  <c r="AD457" i="153" s="1"/>
  <c r="AD69" i="153" s="1"/>
  <c r="AC278" i="153"/>
  <c r="AE146" i="153"/>
  <c r="BF270" i="153"/>
  <c r="BF276" i="153" s="1"/>
  <c r="BF26" i="153" s="1"/>
  <c r="BF91" i="153" s="1"/>
  <c r="BF262" i="153"/>
  <c r="BF268" i="153" s="1"/>
  <c r="BF24" i="153" s="1"/>
  <c r="BF89" i="153" s="1"/>
  <c r="BF252" i="153"/>
  <c r="BF22" i="153" s="1"/>
  <c r="BF463" i="153"/>
  <c r="BF254" i="153"/>
  <c r="AX296" i="153"/>
  <c r="AX31" i="153" s="1"/>
  <c r="AX306" i="153"/>
  <c r="AX312" i="153" s="1"/>
  <c r="AX33" i="153" s="1"/>
  <c r="AX98" i="153" s="1"/>
  <c r="AX314" i="153"/>
  <c r="AX320" i="153" s="1"/>
  <c r="AX35" i="153" s="1"/>
  <c r="AX100" i="153" s="1"/>
  <c r="AX298" i="153"/>
  <c r="AX304" i="153" s="1"/>
  <c r="AX32" i="153" s="1"/>
  <c r="AX97" i="153" s="1"/>
  <c r="AI148" i="153"/>
  <c r="AI147" i="153"/>
  <c r="AD146" i="153"/>
  <c r="AC147" i="153"/>
  <c r="AC148" i="153"/>
  <c r="AF148" i="153"/>
  <c r="AF147" i="153"/>
  <c r="BA296" i="153"/>
  <c r="BA31" i="153" s="1"/>
  <c r="BA306" i="153"/>
  <c r="BA312" i="153" s="1"/>
  <c r="BA33" i="153" s="1"/>
  <c r="BA98" i="153" s="1"/>
  <c r="BA298" i="153"/>
  <c r="BA304" i="153" s="1"/>
  <c r="BA32" i="153" s="1"/>
  <c r="BA97" i="153" s="1"/>
  <c r="BA314" i="153"/>
  <c r="BA320" i="153" s="1"/>
  <c r="BA35" i="153" s="1"/>
  <c r="BA100" i="153" s="1"/>
  <c r="AS260" i="153"/>
  <c r="AS23" i="153" s="1"/>
  <c r="AS88" i="153" s="1"/>
  <c r="BC262" i="153"/>
  <c r="BC268" i="153" s="1"/>
  <c r="BC24" i="153" s="1"/>
  <c r="BC89" i="153" s="1"/>
  <c r="BC270" i="153"/>
  <c r="BC276" i="153" s="1"/>
  <c r="BC26" i="153" s="1"/>
  <c r="BC91" i="153" s="1"/>
  <c r="BC254" i="153"/>
  <c r="BC252" i="153"/>
  <c r="BC22" i="153" s="1"/>
  <c r="BC463" i="153"/>
  <c r="AR322" i="153"/>
  <c r="AQ260" i="153"/>
  <c r="AQ23" i="153" s="1"/>
  <c r="AQ88" i="153" s="1"/>
  <c r="AZ296" i="153"/>
  <c r="AZ31" i="153" s="1"/>
  <c r="AZ314" i="153"/>
  <c r="AZ320" i="153" s="1"/>
  <c r="AZ35" i="153" s="1"/>
  <c r="AZ100" i="153" s="1"/>
  <c r="AZ298" i="153"/>
  <c r="AZ304" i="153" s="1"/>
  <c r="AZ32" i="153" s="1"/>
  <c r="AZ97" i="153" s="1"/>
  <c r="AZ306" i="153"/>
  <c r="AZ312" i="153" s="1"/>
  <c r="AZ33" i="153" s="1"/>
  <c r="AZ98" i="153" s="1"/>
  <c r="AC145" i="153"/>
  <c r="AY296" i="153"/>
  <c r="AY31" i="153" s="1"/>
  <c r="AY306" i="153"/>
  <c r="AY312" i="153" s="1"/>
  <c r="AY33" i="153" s="1"/>
  <c r="AY98" i="153" s="1"/>
  <c r="AY298" i="153"/>
  <c r="AY304" i="153" s="1"/>
  <c r="AY32" i="153" s="1"/>
  <c r="AY97" i="153" s="1"/>
  <c r="AY314" i="153"/>
  <c r="AY320" i="153" s="1"/>
  <c r="AY35" i="153" s="1"/>
  <c r="AY100" i="153" s="1"/>
  <c r="AM469" i="153"/>
  <c r="AM19" i="153" s="1"/>
  <c r="AM84" i="153" s="1"/>
  <c r="AL322" i="153"/>
  <c r="AB451" i="153" a="1"/>
  <c r="AB451" i="153" s="1"/>
  <c r="AB457" i="153" s="1"/>
  <c r="AB69" i="153" s="1"/>
  <c r="AB134" i="153" s="1"/>
  <c r="AB418" i="153"/>
  <c r="AY262" i="153"/>
  <c r="AY268" i="153" s="1"/>
  <c r="AY24" i="153" s="1"/>
  <c r="AY89" i="153" s="1"/>
  <c r="AY254" i="153"/>
  <c r="AY463" i="153"/>
  <c r="AY252" i="153"/>
  <c r="AY22" i="153" s="1"/>
  <c r="AY270" i="153"/>
  <c r="AY276" i="153" s="1"/>
  <c r="AY26" i="153" s="1"/>
  <c r="AY91" i="153" s="1"/>
  <c r="AN260" i="153"/>
  <c r="AN23" i="153" s="1"/>
  <c r="AN88" i="153" s="1"/>
  <c r="AM322" i="153"/>
  <c r="AB147" i="153"/>
  <c r="AM260" i="153"/>
  <c r="AM23" i="153" s="1"/>
  <c r="AM88" i="153" s="1"/>
  <c r="BE270" i="153"/>
  <c r="BE276" i="153" s="1"/>
  <c r="BE26" i="153" s="1"/>
  <c r="BE91" i="153" s="1"/>
  <c r="BE463" i="153"/>
  <c r="BE252" i="153"/>
  <c r="BE22" i="153" s="1"/>
  <c r="BE262" i="153"/>
  <c r="BE268" i="153" s="1"/>
  <c r="BE24" i="153" s="1"/>
  <c r="BE89" i="153" s="1"/>
  <c r="BE254" i="153"/>
  <c r="AN469" i="153"/>
  <c r="AN19" i="153" s="1"/>
  <c r="AN84" i="153" s="1"/>
  <c r="BV456" i="99" a="1"/>
  <c r="BV456" i="99" s="1"/>
  <c r="R425" i="99"/>
  <c r="BI296" i="153"/>
  <c r="BI31" i="153" s="1"/>
  <c r="BI306" i="153"/>
  <c r="BI312" i="153" s="1"/>
  <c r="BI33" i="153" s="1"/>
  <c r="BI98" i="153" s="1"/>
  <c r="BI314" i="153"/>
  <c r="BI320" i="153" s="1"/>
  <c r="BI35" i="153" s="1"/>
  <c r="BI100" i="153" s="1"/>
  <c r="BI298" i="153"/>
  <c r="BI304" i="153" s="1"/>
  <c r="BI32" i="153" s="1"/>
  <c r="BI97" i="153" s="1"/>
  <c r="AH278" i="153"/>
  <c r="BH296" i="153"/>
  <c r="BH31" i="153" s="1"/>
  <c r="BH298" i="153"/>
  <c r="BH304" i="153" s="1"/>
  <c r="BH32" i="153" s="1"/>
  <c r="BH97" i="153" s="1"/>
  <c r="BH306" i="153"/>
  <c r="BH312" i="153" s="1"/>
  <c r="BH33" i="153" s="1"/>
  <c r="BH98" i="153" s="1"/>
  <c r="BH314" i="153"/>
  <c r="BH320" i="153" s="1"/>
  <c r="BH35" i="153" s="1"/>
  <c r="BH100" i="153" s="1"/>
  <c r="AP322" i="153"/>
  <c r="AH145" i="153"/>
  <c r="AD278" i="153"/>
  <c r="AZ262" i="153"/>
  <c r="AZ268" i="153" s="1"/>
  <c r="AZ24" i="153" s="1"/>
  <c r="AZ89" i="153" s="1"/>
  <c r="AZ270" i="153"/>
  <c r="AZ276" i="153" s="1"/>
  <c r="AZ26" i="153" s="1"/>
  <c r="AZ91" i="153" s="1"/>
  <c r="AZ463" i="153"/>
  <c r="AZ252" i="153"/>
  <c r="AZ22" i="153" s="1"/>
  <c r="AZ254" i="153"/>
  <c r="Z451" i="153" a="1"/>
  <c r="Z451" i="153" s="1"/>
  <c r="Z457" i="153" s="1"/>
  <c r="Z69" i="153" s="1"/>
  <c r="Z134" i="153" s="1"/>
  <c r="Z418" i="153"/>
  <c r="AH147" i="153"/>
  <c r="AH148" i="153"/>
  <c r="AP469" i="153"/>
  <c r="AP19" i="153" s="1"/>
  <c r="AV322" i="153"/>
  <c r="AQ322" i="153"/>
  <c r="AD147" i="153"/>
  <c r="AD148" i="153"/>
  <c r="AJ278" i="153"/>
  <c r="Z146" i="153"/>
  <c r="BA270" i="153"/>
  <c r="BA276" i="153" s="1"/>
  <c r="BA26" i="153" s="1"/>
  <c r="BA91" i="153" s="1"/>
  <c r="BA262" i="153"/>
  <c r="BA268" i="153" s="1"/>
  <c r="BA24" i="153" s="1"/>
  <c r="BA89" i="153" s="1"/>
  <c r="BA254" i="153"/>
  <c r="BA463" i="153"/>
  <c r="BA252" i="153"/>
  <c r="BA22" i="153" s="1"/>
  <c r="AD145" i="153"/>
  <c r="BF296" i="153"/>
  <c r="BF31" i="153" s="1"/>
  <c r="BF306" i="153"/>
  <c r="BF312" i="153" s="1"/>
  <c r="BF33" i="153" s="1"/>
  <c r="BF98" i="153" s="1"/>
  <c r="BF314" i="153"/>
  <c r="BF320" i="153" s="1"/>
  <c r="BF35" i="153" s="1"/>
  <c r="BF100" i="153" s="1"/>
  <c r="BF298" i="153"/>
  <c r="BF304" i="153" s="1"/>
  <c r="BF32" i="153" s="1"/>
  <c r="BF97" i="153" s="1"/>
  <c r="BD262" i="153"/>
  <c r="BD268" i="153" s="1"/>
  <c r="BD24" i="153" s="1"/>
  <c r="BD89" i="153" s="1"/>
  <c r="BD254" i="153"/>
  <c r="BD252" i="153"/>
  <c r="BD22" i="153" s="1"/>
  <c r="BD463" i="153"/>
  <c r="BD270" i="153"/>
  <c r="BD276" i="153" s="1"/>
  <c r="BD26" i="153" s="1"/>
  <c r="BD91" i="153" s="1"/>
  <c r="AP260" i="153"/>
  <c r="AP23" i="153" s="1"/>
  <c r="AT322" i="153"/>
  <c r="BC298" i="153"/>
  <c r="BC304" i="153" s="1"/>
  <c r="BC32" i="153" s="1"/>
  <c r="BC97" i="153" s="1"/>
  <c r="AE97" i="99"/>
  <c r="BJ322" i="153"/>
  <c r="BO322" i="153"/>
  <c r="W88" i="99"/>
  <c r="S418" i="99"/>
  <c r="BV306" i="153"/>
  <c r="BV312" i="153" s="1"/>
  <c r="BV33" i="153" s="1"/>
  <c r="BV98" i="153" s="1"/>
  <c r="BV314" i="153"/>
  <c r="BV320" i="153" s="1"/>
  <c r="BV35" i="153" s="1"/>
  <c r="BV100" i="153" s="1"/>
  <c r="BP322" i="153"/>
  <c r="L45" i="99"/>
  <c r="L110" i="103" s="1"/>
  <c r="AL314" i="99"/>
  <c r="AL320" i="99" s="1"/>
  <c r="AL35" i="99" s="1"/>
  <c r="BQ322" i="153"/>
  <c r="BV298" i="153"/>
  <c r="BV304" i="153" s="1"/>
  <c r="BV32" i="153" s="1"/>
  <c r="BV97" i="153" s="1"/>
  <c r="BY270" i="153"/>
  <c r="BY276" i="153" s="1"/>
  <c r="BY26" i="153" s="1"/>
  <c r="BY91" i="153" s="1"/>
  <c r="AQ314" i="99"/>
  <c r="AQ320" i="99" s="1"/>
  <c r="AQ35" i="99" s="1"/>
  <c r="AQ100" i="103" s="1"/>
  <c r="BI307" i="99"/>
  <c r="BH307" i="99"/>
  <c r="AI254" i="99"/>
  <c r="AI260" i="99" s="1"/>
  <c r="AI23" i="99" s="1"/>
  <c r="AI88" i="99" s="1"/>
  <c r="BX262" i="153"/>
  <c r="BX268" i="153" s="1"/>
  <c r="BX24" i="153" s="1"/>
  <c r="BX89" i="153" s="1"/>
  <c r="AJ262" i="99"/>
  <c r="AJ268" i="99" s="1"/>
  <c r="AJ24" i="99" s="1"/>
  <c r="AJ89" i="99" s="1"/>
  <c r="BG263" i="99"/>
  <c r="W322" i="99"/>
  <c r="AR306" i="99"/>
  <c r="J24" i="99"/>
  <c r="BF263" i="99"/>
  <c r="BL255" i="99"/>
  <c r="BY314" i="153"/>
  <c r="BY320" i="153" s="1"/>
  <c r="BY35" i="153" s="1"/>
  <c r="BY100" i="153" s="1"/>
  <c r="BN322" i="153"/>
  <c r="BW314" i="153"/>
  <c r="BW320" i="153" s="1"/>
  <c r="BW35" i="153" s="1"/>
  <c r="BW100" i="153" s="1"/>
  <c r="BR322" i="153"/>
  <c r="BS322" i="153"/>
  <c r="BK322" i="153"/>
  <c r="BW298" i="153"/>
  <c r="BW304" i="153" s="1"/>
  <c r="BW32" i="153" s="1"/>
  <c r="BW97" i="153" s="1"/>
  <c r="BW254" i="153"/>
  <c r="BW260" i="153" s="1"/>
  <c r="BW23" i="153" s="1"/>
  <c r="BW88" i="153" s="1"/>
  <c r="BV254" i="153"/>
  <c r="BV260" i="153" s="1"/>
  <c r="BV23" i="153" s="1"/>
  <c r="BV88" i="153" s="1"/>
  <c r="AR270" i="99"/>
  <c r="BN469" i="153"/>
  <c r="BN19" i="153" s="1"/>
  <c r="BN278" i="153"/>
  <c r="BQ278" i="153"/>
  <c r="BQ469" i="153"/>
  <c r="BQ19" i="153" s="1"/>
  <c r="BQ84" i="153" s="1"/>
  <c r="BT469" i="153"/>
  <c r="BT278" i="153"/>
  <c r="BN271" i="99"/>
  <c r="BR278" i="153"/>
  <c r="BR469" i="153"/>
  <c r="BP469" i="153"/>
  <c r="BP278" i="153"/>
  <c r="BW270" i="153"/>
  <c r="BW276" i="153" s="1"/>
  <c r="BW26" i="153" s="1"/>
  <c r="BW91" i="153" s="1"/>
  <c r="BW463" i="153"/>
  <c r="BW252" i="153"/>
  <c r="BW22" i="153" s="1"/>
  <c r="BY254" i="153"/>
  <c r="BY260" i="153" s="1"/>
  <c r="BY23" i="153" s="1"/>
  <c r="BY88" i="153" s="1"/>
  <c r="BY463" i="153"/>
  <c r="BY252" i="153"/>
  <c r="BY22" i="153" s="1"/>
  <c r="AS262" i="99"/>
  <c r="BF271" i="99"/>
  <c r="AK254" i="99"/>
  <c r="AK260" i="99" s="1"/>
  <c r="AK23" i="99" s="1"/>
  <c r="BG299" i="99"/>
  <c r="BU322" i="153"/>
  <c r="BS278" i="153"/>
  <c r="BS469" i="153"/>
  <c r="BT322" i="153"/>
  <c r="BM469" i="153"/>
  <c r="BM19" i="153" s="1"/>
  <c r="BM84" i="153" s="1"/>
  <c r="BM278" i="153"/>
  <c r="BO469" i="153"/>
  <c r="BO19" i="153" s="1"/>
  <c r="BO84" i="153" s="1"/>
  <c r="BO278" i="153"/>
  <c r="AJ254" i="99"/>
  <c r="AJ260" i="99" s="1"/>
  <c r="AJ23" i="99" s="1"/>
  <c r="Z322" i="99"/>
  <c r="BY298" i="153"/>
  <c r="BY304" i="153" s="1"/>
  <c r="BY32" i="153" s="1"/>
  <c r="BY97" i="153" s="1"/>
  <c r="BJ278" i="153"/>
  <c r="BJ469" i="153"/>
  <c r="BW306" i="153"/>
  <c r="BW312" i="153" s="1"/>
  <c r="BW33" i="153" s="1"/>
  <c r="BW98" i="153" s="1"/>
  <c r="BX306" i="153"/>
  <c r="BX312" i="153" s="1"/>
  <c r="BX33" i="153" s="1"/>
  <c r="BX98" i="153" s="1"/>
  <c r="AH262" i="99"/>
  <c r="AH268" i="99" s="1"/>
  <c r="AH24" i="99" s="1"/>
  <c r="BY306" i="153"/>
  <c r="BY312" i="153" s="1"/>
  <c r="BY33" i="153" s="1"/>
  <c r="BY98" i="153" s="1"/>
  <c r="BK278" i="153"/>
  <c r="BK469" i="153"/>
  <c r="BK19" i="153" s="1"/>
  <c r="BK84" i="153" s="1"/>
  <c r="U34" i="103"/>
  <c r="U36" i="103" s="1"/>
  <c r="U37" i="103" s="1"/>
  <c r="BL278" i="153"/>
  <c r="BL469" i="153"/>
  <c r="BL19" i="153" s="1"/>
  <c r="BL84" i="153" s="1"/>
  <c r="BX298" i="153"/>
  <c r="BX304" i="153" s="1"/>
  <c r="BX32" i="153" s="1"/>
  <c r="BX97" i="153" s="1"/>
  <c r="BF307" i="99"/>
  <c r="BU469" i="153"/>
  <c r="BU19" i="153" s="1"/>
  <c r="BU84" i="153" s="1"/>
  <c r="BU278" i="153"/>
  <c r="BX314" i="153"/>
  <c r="BX320" i="153" s="1"/>
  <c r="BX35" i="153" s="1"/>
  <c r="BX100" i="153" s="1"/>
  <c r="BV270" i="153"/>
  <c r="BV276" i="153" s="1"/>
  <c r="BV26" i="153" s="1"/>
  <c r="BV91" i="153" s="1"/>
  <c r="BV252" i="153"/>
  <c r="BV22" i="153" s="1"/>
  <c r="BV463" i="153"/>
  <c r="BX270" i="153"/>
  <c r="BX276" i="153" s="1"/>
  <c r="BX26" i="153" s="1"/>
  <c r="BX91" i="153" s="1"/>
  <c r="BX252" i="153"/>
  <c r="BX22" i="153" s="1"/>
  <c r="BX463" i="153"/>
  <c r="AP306" i="99"/>
  <c r="AP312" i="99" s="1"/>
  <c r="AP33" i="99" s="1"/>
  <c r="AP98" i="103" s="1"/>
  <c r="BM322" i="153"/>
  <c r="BL322" i="153"/>
  <c r="AI298" i="99"/>
  <c r="AI304" i="99" s="1"/>
  <c r="AI32" i="99" s="1"/>
  <c r="AI97" i="103" s="1"/>
  <c r="BM255" i="99"/>
  <c r="AO254" i="99"/>
  <c r="AO260" i="99" s="1"/>
  <c r="AO23" i="99" s="1"/>
  <c r="U146" i="99"/>
  <c r="AL306" i="99"/>
  <c r="AL312" i="99" s="1"/>
  <c r="AL33" i="99" s="1"/>
  <c r="AL98" i="103" s="1"/>
  <c r="AP270" i="99"/>
  <c r="AP276" i="99" s="1"/>
  <c r="AP26" i="99" s="1"/>
  <c r="L43" i="104"/>
  <c r="AM314" i="99"/>
  <c r="AM320" i="99" s="1"/>
  <c r="AM35" i="99" s="1"/>
  <c r="AM100" i="103" s="1"/>
  <c r="BM299" i="99"/>
  <c r="AL298" i="99"/>
  <c r="AL304" i="99" s="1"/>
  <c r="AL32" i="99" s="1"/>
  <c r="AL97" i="103" s="1"/>
  <c r="BI271" i="99"/>
  <c r="AO306" i="99"/>
  <c r="AO312" i="99" s="1"/>
  <c r="AO33" i="99" s="1"/>
  <c r="AO98" i="103" s="1"/>
  <c r="AR298" i="99"/>
  <c r="AK306" i="99"/>
  <c r="AK312" i="99" s="1"/>
  <c r="AK33" i="99" s="1"/>
  <c r="AK98" i="103" s="1"/>
  <c r="AQ298" i="99"/>
  <c r="AQ304" i="99" s="1"/>
  <c r="AQ32" i="99" s="1"/>
  <c r="AQ97" i="103" s="1"/>
  <c r="AH306" i="99"/>
  <c r="AH312" i="99" s="1"/>
  <c r="AH33" i="99" s="1"/>
  <c r="AH98" i="103" s="1"/>
  <c r="AH314" i="99"/>
  <c r="AH320" i="99" s="1"/>
  <c r="AH35" i="99" s="1"/>
  <c r="AH100" i="103" s="1"/>
  <c r="AP298" i="99"/>
  <c r="AP304" i="99" s="1"/>
  <c r="AP32" i="99" s="1"/>
  <c r="AP97" i="103" s="1"/>
  <c r="AQ306" i="99"/>
  <c r="AQ312" i="99" s="1"/>
  <c r="AQ33" i="99" s="1"/>
  <c r="AQ98" i="103" s="1"/>
  <c r="AH298" i="99"/>
  <c r="AH304" i="99" s="1"/>
  <c r="AH32" i="99" s="1"/>
  <c r="AH97" i="103" s="1"/>
  <c r="AN262" i="99"/>
  <c r="AN268" i="99" s="1"/>
  <c r="AN24" i="99" s="1"/>
  <c r="BO255" i="99"/>
  <c r="L43" i="103"/>
  <c r="AD278" i="99"/>
  <c r="AD22" i="99"/>
  <c r="AD469" i="99"/>
  <c r="AD19" i="99" s="1"/>
  <c r="AD84" i="103" s="1"/>
  <c r="AG97" i="99"/>
  <c r="AG32" i="103"/>
  <c r="AC98" i="99"/>
  <c r="BL299" i="99"/>
  <c r="AQ254" i="99"/>
  <c r="AQ260" i="99" s="1"/>
  <c r="AQ23" i="99" s="1"/>
  <c r="AQ463" i="99"/>
  <c r="AQ252" i="99"/>
  <c r="AL262" i="99"/>
  <c r="AL268" i="99" s="1"/>
  <c r="AL24" i="99" s="1"/>
  <c r="AL463" i="99"/>
  <c r="AL252" i="99"/>
  <c r="AN31" i="99"/>
  <c r="BK315" i="99"/>
  <c r="AE100" i="99"/>
  <c r="AE35" i="103"/>
  <c r="AX110" i="99"/>
  <c r="AR314" i="99"/>
  <c r="AR320" i="99" s="1"/>
  <c r="AR35" i="99" s="1"/>
  <c r="AR100" i="103" s="1"/>
  <c r="BH255" i="99"/>
  <c r="BH464" i="99"/>
  <c r="AG278" i="99"/>
  <c r="AG22" i="99"/>
  <c r="AG469" i="99"/>
  <c r="AG19" i="99" s="1"/>
  <c r="AG84" i="103" s="1"/>
  <c r="Y98" i="99"/>
  <c r="Y33" i="103"/>
  <c r="T451" i="99" a="1"/>
  <c r="T451" i="99" s="1"/>
  <c r="T457" i="99" s="1"/>
  <c r="T69" i="99" s="1"/>
  <c r="T134" i="99" s="1"/>
  <c r="T418" i="99"/>
  <c r="AW246" i="99"/>
  <c r="AW244" i="99"/>
  <c r="Y88" i="99"/>
  <c r="Y91" i="99"/>
  <c r="BY247" i="99"/>
  <c r="AC91" i="99"/>
  <c r="BW290" i="99"/>
  <c r="BL307" i="99"/>
  <c r="AZ246" i="99"/>
  <c r="AZ244" i="99"/>
  <c r="AT290" i="99"/>
  <c r="AT296" i="99" s="1"/>
  <c r="AT288" i="99"/>
  <c r="BK307" i="99"/>
  <c r="X96" i="99"/>
  <c r="X34" i="99"/>
  <c r="X99" i="103" s="1"/>
  <c r="X100" i="99"/>
  <c r="X35" i="103"/>
  <c r="AD88" i="99"/>
  <c r="BY291" i="99"/>
  <c r="BY299" i="99" s="1"/>
  <c r="AM306" i="99"/>
  <c r="AM312" i="99" s="1"/>
  <c r="AM33" i="99" s="1"/>
  <c r="AM98" i="103" s="1"/>
  <c r="AF98" i="99"/>
  <c r="AF33" i="103"/>
  <c r="BD290" i="99"/>
  <c r="BX295" i="99"/>
  <c r="BX311" i="99" s="1"/>
  <c r="BE290" i="99"/>
  <c r="BA246" i="99"/>
  <c r="BA244" i="99"/>
  <c r="AE89" i="99"/>
  <c r="X322" i="99"/>
  <c r="AP262" i="99"/>
  <c r="AP268" i="99" s="1"/>
  <c r="AP24" i="99" s="1"/>
  <c r="AP463" i="99"/>
  <c r="AP252" i="99"/>
  <c r="Z469" i="99"/>
  <c r="Z19" i="99" s="1"/>
  <c r="Z84" i="103" s="1"/>
  <c r="Z278" i="99"/>
  <c r="Z22" i="99"/>
  <c r="BO315" i="99"/>
  <c r="BY334" i="99"/>
  <c r="BY338" i="99"/>
  <c r="BY344" i="99" s="1"/>
  <c r="BY43" i="99" s="1"/>
  <c r="BY108" i="103" s="1"/>
  <c r="BG315" i="99"/>
  <c r="W22" i="99"/>
  <c r="W469" i="99"/>
  <c r="W19" i="99" s="1"/>
  <c r="W84" i="103" s="1"/>
  <c r="W278" i="99"/>
  <c r="BG255" i="99"/>
  <c r="BG464" i="99"/>
  <c r="V322" i="99"/>
  <c r="AM298" i="99"/>
  <c r="AM304" i="99" s="1"/>
  <c r="AM32" i="99" s="1"/>
  <c r="AM97" i="103" s="1"/>
  <c r="V97" i="99"/>
  <c r="V32" i="103"/>
  <c r="AG91" i="99"/>
  <c r="AT246" i="99"/>
  <c r="AT244" i="99"/>
  <c r="AP314" i="99"/>
  <c r="AP320" i="99" s="1"/>
  <c r="AP35" i="99" s="1"/>
  <c r="AP100" i="103" s="1"/>
  <c r="BX251" i="99"/>
  <c r="W97" i="99"/>
  <c r="W32" i="103"/>
  <c r="V96" i="99"/>
  <c r="V34" i="99"/>
  <c r="V99" i="103" s="1"/>
  <c r="BW246" i="99"/>
  <c r="AM31" i="99"/>
  <c r="Z98" i="99"/>
  <c r="BO299" i="99"/>
  <c r="BY205" i="99"/>
  <c r="BY213" i="99"/>
  <c r="BY203" i="99"/>
  <c r="R84" i="99"/>
  <c r="R148" i="99"/>
  <c r="R146" i="99"/>
  <c r="AC97" i="99"/>
  <c r="AC35" i="103"/>
  <c r="AC100" i="99"/>
  <c r="AU290" i="99"/>
  <c r="AU296" i="99" s="1"/>
  <c r="AU288" i="99"/>
  <c r="BY293" i="99"/>
  <c r="BY301" i="99" s="1"/>
  <c r="Z88" i="99"/>
  <c r="BF315" i="99"/>
  <c r="R145" i="99"/>
  <c r="R25" i="99"/>
  <c r="R90" i="103" s="1"/>
  <c r="R87" i="99"/>
  <c r="AB322" i="99"/>
  <c r="AF97" i="99"/>
  <c r="AF32" i="103"/>
  <c r="AY246" i="99"/>
  <c r="AY244" i="99"/>
  <c r="BC110" i="99"/>
  <c r="AP31" i="99"/>
  <c r="AA22" i="99"/>
  <c r="AA278" i="99"/>
  <c r="AA469" i="99"/>
  <c r="AA19" i="99" s="1"/>
  <c r="AA84" i="103" s="1"/>
  <c r="AB469" i="99"/>
  <c r="AB19" i="99" s="1"/>
  <c r="AB84" i="103" s="1"/>
  <c r="AB22" i="99"/>
  <c r="AB278" i="99"/>
  <c r="BI299" i="99"/>
  <c r="Y89" i="99"/>
  <c r="R147" i="99"/>
  <c r="AD98" i="99"/>
  <c r="AD33" i="103"/>
  <c r="AJ306" i="99"/>
  <c r="AJ312" i="99" s="1"/>
  <c r="AJ33" i="99" s="1"/>
  <c r="AJ98" i="103" s="1"/>
  <c r="AB96" i="99"/>
  <c r="AB34" i="99"/>
  <c r="BY251" i="99"/>
  <c r="AS306" i="99"/>
  <c r="BM263" i="99"/>
  <c r="BM464" i="99"/>
  <c r="AW110" i="99"/>
  <c r="U87" i="99"/>
  <c r="U145" i="99"/>
  <c r="U25" i="99"/>
  <c r="U90" i="103" s="1"/>
  <c r="AE322" i="99"/>
  <c r="AJ463" i="99"/>
  <c r="AJ252" i="99"/>
  <c r="X97" i="99"/>
  <c r="AO314" i="99"/>
  <c r="AO320" i="99" s="1"/>
  <c r="AO35" i="99" s="1"/>
  <c r="AO100" i="103" s="1"/>
  <c r="BX250" i="99"/>
  <c r="AJ298" i="99"/>
  <c r="AJ304" i="99" s="1"/>
  <c r="AJ32" i="99" s="1"/>
  <c r="AJ97" i="103" s="1"/>
  <c r="BY295" i="99"/>
  <c r="BY311" i="99" s="1"/>
  <c r="AS314" i="99"/>
  <c r="BK263" i="99"/>
  <c r="AX290" i="99"/>
  <c r="AX296" i="99" s="1"/>
  <c r="AX288" i="99"/>
  <c r="Z96" i="99"/>
  <c r="Z34" i="99"/>
  <c r="U84" i="99"/>
  <c r="U147" i="99"/>
  <c r="U19" i="103"/>
  <c r="U148" i="103" s="1"/>
  <c r="BC290" i="99"/>
  <c r="BC296" i="99" s="1"/>
  <c r="BC288" i="99"/>
  <c r="AQ31" i="99"/>
  <c r="AL31" i="99"/>
  <c r="AE22" i="99"/>
  <c r="AE278" i="99"/>
  <c r="AE469" i="99"/>
  <c r="AE19" i="99" s="1"/>
  <c r="AE84" i="103" s="1"/>
  <c r="AE96" i="99"/>
  <c r="AE34" i="99"/>
  <c r="U36" i="99"/>
  <c r="U101" i="103" s="1"/>
  <c r="U102" i="103" s="1"/>
  <c r="U99" i="99"/>
  <c r="AB88" i="99"/>
  <c r="AO298" i="99"/>
  <c r="AO304" i="99" s="1"/>
  <c r="AO32" i="99" s="1"/>
  <c r="AO97" i="103" s="1"/>
  <c r="BX294" i="99"/>
  <c r="BX318" i="99" s="1"/>
  <c r="AJ314" i="99"/>
  <c r="AJ320" i="99" s="1"/>
  <c r="AJ35" i="99" s="1"/>
  <c r="AJ100" i="103" s="1"/>
  <c r="BJ271" i="99"/>
  <c r="AS298" i="99"/>
  <c r="AS304" i="99" s="1"/>
  <c r="AS32" i="99" s="1"/>
  <c r="AS97" i="103" s="1"/>
  <c r="AK314" i="99"/>
  <c r="AK320" i="99" s="1"/>
  <c r="AK35" i="99" s="1"/>
  <c r="AK100" i="103" s="1"/>
  <c r="AZ290" i="99"/>
  <c r="AZ296" i="99" s="1"/>
  <c r="AZ288" i="99"/>
  <c r="AA89" i="99"/>
  <c r="W98" i="99"/>
  <c r="W33" i="103"/>
  <c r="AB89" i="99"/>
  <c r="V89" i="99"/>
  <c r="AO31" i="99"/>
  <c r="AF22" i="99"/>
  <c r="AF278" i="99"/>
  <c r="AF469" i="99"/>
  <c r="AF19" i="99" s="1"/>
  <c r="AF84" i="103" s="1"/>
  <c r="AJ31" i="99"/>
  <c r="AJ96" i="103" s="1"/>
  <c r="BK271" i="99"/>
  <c r="BK464" i="99"/>
  <c r="AK298" i="99"/>
  <c r="AK304" i="99" s="1"/>
  <c r="AK32" i="99" s="1"/>
  <c r="AK97" i="103" s="1"/>
  <c r="BB246" i="99"/>
  <c r="BB244" i="99"/>
  <c r="AU110" i="99"/>
  <c r="AV110" i="99"/>
  <c r="BJ255" i="99"/>
  <c r="BJ464" i="99"/>
  <c r="AB97" i="99"/>
  <c r="AB32" i="103"/>
  <c r="BD246" i="99"/>
  <c r="S34" i="103"/>
  <c r="S36" i="103" s="1"/>
  <c r="S37" i="103" s="1"/>
  <c r="R99" i="99"/>
  <c r="R36" i="99"/>
  <c r="BI263" i="99"/>
  <c r="BI464" i="99"/>
  <c r="AV246" i="99"/>
  <c r="AV244" i="99"/>
  <c r="AC469" i="99"/>
  <c r="AC19" i="99" s="1"/>
  <c r="AC84" i="103" s="1"/>
  <c r="AC22" i="99"/>
  <c r="AC278" i="99"/>
  <c r="BO263" i="99"/>
  <c r="BO464" i="99"/>
  <c r="AA100" i="99"/>
  <c r="AA35" i="103"/>
  <c r="AK31" i="99"/>
  <c r="AK96" i="103" s="1"/>
  <c r="AR262" i="99"/>
  <c r="AR463" i="99"/>
  <c r="AR252" i="99"/>
  <c r="W96" i="99"/>
  <c r="W34" i="99"/>
  <c r="W99" i="103" s="1"/>
  <c r="S36" i="99"/>
  <c r="S99" i="99"/>
  <c r="BA110" i="99"/>
  <c r="V88" i="99"/>
  <c r="J23" i="99"/>
  <c r="AI306" i="99"/>
  <c r="AI312" i="99" s="1"/>
  <c r="AI33" i="99" s="1"/>
  <c r="AI98" i="103" s="1"/>
  <c r="AG322" i="99"/>
  <c r="AF88" i="99"/>
  <c r="AC96" i="99"/>
  <c r="AC34" i="99"/>
  <c r="V100" i="99"/>
  <c r="V35" i="103"/>
  <c r="AA322" i="99"/>
  <c r="BX248" i="99"/>
  <c r="AT110" i="99"/>
  <c r="BY294" i="99"/>
  <c r="BY310" i="99" s="1"/>
  <c r="AN254" i="99"/>
  <c r="AN260" i="99" s="1"/>
  <c r="AN23" i="99" s="1"/>
  <c r="AN463" i="99"/>
  <c r="AN252" i="99"/>
  <c r="AI314" i="99"/>
  <c r="AI320" i="99" s="1"/>
  <c r="AI35" i="99" s="1"/>
  <c r="AI100" i="103" s="1"/>
  <c r="AG34" i="99"/>
  <c r="AG96" i="99"/>
  <c r="BN299" i="99"/>
  <c r="AC322" i="99"/>
  <c r="AA96" i="99"/>
  <c r="AA34" i="99"/>
  <c r="BX292" i="99"/>
  <c r="BX308" i="99" s="1"/>
  <c r="BH299" i="99"/>
  <c r="Y322" i="99"/>
  <c r="BX334" i="99"/>
  <c r="BX338" i="99"/>
  <c r="BX344" i="99" s="1"/>
  <c r="BX43" i="99" s="1"/>
  <c r="BX108" i="103" s="1"/>
  <c r="BY250" i="99"/>
  <c r="AI31" i="99"/>
  <c r="AI96" i="103" s="1"/>
  <c r="AC89" i="99"/>
  <c r="W91" i="99"/>
  <c r="AZ110" i="99"/>
  <c r="BF464" i="99"/>
  <c r="U451" i="99" a="1"/>
  <c r="U451" i="99" s="1"/>
  <c r="U457" i="99" s="1"/>
  <c r="U69" i="99" s="1"/>
  <c r="U134" i="99" s="1"/>
  <c r="U418" i="99"/>
  <c r="Y96" i="99"/>
  <c r="Y34" i="99"/>
  <c r="Y99" i="103" s="1"/>
  <c r="Y31" i="103"/>
  <c r="Y97" i="99"/>
  <c r="Y32" i="103"/>
  <c r="AW290" i="99"/>
  <c r="AW296" i="99" s="1"/>
  <c r="AW288" i="99"/>
  <c r="BX247" i="99"/>
  <c r="X98" i="99"/>
  <c r="X33" i="103"/>
  <c r="BN315" i="99"/>
  <c r="AM262" i="99"/>
  <c r="AM268" i="99" s="1"/>
  <c r="AM24" i="99" s="1"/>
  <c r="BJ315" i="99"/>
  <c r="BC246" i="99"/>
  <c r="BC244" i="99"/>
  <c r="BM307" i="99"/>
  <c r="AH254" i="99"/>
  <c r="AH260" i="99" s="1"/>
  <c r="AH23" i="99" s="1"/>
  <c r="AH463" i="99"/>
  <c r="AH252" i="99"/>
  <c r="BX213" i="99"/>
  <c r="BX203" i="99"/>
  <c r="BX205" i="99"/>
  <c r="AE88" i="99"/>
  <c r="X469" i="99"/>
  <c r="X19" i="99" s="1"/>
  <c r="X84" i="103" s="1"/>
  <c r="X278" i="99"/>
  <c r="X22" i="99"/>
  <c r="BX291" i="99"/>
  <c r="BX307" i="99" s="1"/>
  <c r="BB110" i="99"/>
  <c r="BB290" i="99"/>
  <c r="BB296" i="99" s="1"/>
  <c r="BB288" i="99"/>
  <c r="AX246" i="99"/>
  <c r="AX244" i="99"/>
  <c r="AU246" i="99"/>
  <c r="AU244" i="99"/>
  <c r="AK262" i="99"/>
  <c r="AK463" i="99"/>
  <c r="AK252" i="99"/>
  <c r="BE246" i="99"/>
  <c r="T145" i="99"/>
  <c r="T25" i="99"/>
  <c r="T90" i="103" s="1"/>
  <c r="T87" i="99"/>
  <c r="AH31" i="99"/>
  <c r="AH96" i="103" s="1"/>
  <c r="BL263" i="99"/>
  <c r="BL464" i="99"/>
  <c r="BN255" i="99"/>
  <c r="BN464" i="99"/>
  <c r="AD322" i="99"/>
  <c r="AS254" i="99"/>
  <c r="AS463" i="99"/>
  <c r="AS252" i="99"/>
  <c r="AF322" i="99"/>
  <c r="AM254" i="99"/>
  <c r="AM260" i="99" s="1"/>
  <c r="AM23" i="99" s="1"/>
  <c r="AM463" i="99"/>
  <c r="AM252" i="99"/>
  <c r="BY292" i="99"/>
  <c r="BY308" i="99" s="1"/>
  <c r="BJ299" i="99"/>
  <c r="AN306" i="99"/>
  <c r="AN312" i="99" s="1"/>
  <c r="AN33" i="99" s="1"/>
  <c r="AN98" i="103" s="1"/>
  <c r="BA290" i="99"/>
  <c r="BA296" i="99" s="1"/>
  <c r="BA288" i="99"/>
  <c r="V22" i="99"/>
  <c r="V469" i="99"/>
  <c r="V19" i="99" s="1"/>
  <c r="V84" i="103" s="1"/>
  <c r="V278" i="99"/>
  <c r="AE98" i="99"/>
  <c r="AE33" i="103"/>
  <c r="BX293" i="99"/>
  <c r="BX309" i="99" s="1"/>
  <c r="AD34" i="99"/>
  <c r="AD96" i="99"/>
  <c r="AV290" i="99"/>
  <c r="AV296" i="99" s="1"/>
  <c r="AV288" i="99"/>
  <c r="AF34" i="99"/>
  <c r="AF96" i="99"/>
  <c r="BY248" i="99"/>
  <c r="S146" i="99"/>
  <c r="S84" i="99"/>
  <c r="S148" i="99"/>
  <c r="S147" i="99"/>
  <c r="AQ262" i="99"/>
  <c r="AQ268" i="99" s="1"/>
  <c r="AQ24" i="99" s="1"/>
  <c r="AL254" i="99"/>
  <c r="AL260" i="99" s="1"/>
  <c r="AL23" i="99" s="1"/>
  <c r="AN314" i="99"/>
  <c r="AN320" i="99" s="1"/>
  <c r="AN35" i="99" s="1"/>
  <c r="AN100" i="103" s="1"/>
  <c r="P625" i="99"/>
  <c r="N626" i="99"/>
  <c r="P626" i="99" s="1"/>
  <c r="AI270" i="99"/>
  <c r="AI276" i="99" s="1"/>
  <c r="AI26" i="99" s="1"/>
  <c r="AI463" i="99"/>
  <c r="AI252" i="99"/>
  <c r="T147" i="99"/>
  <c r="T84" i="99"/>
  <c r="T146" i="99"/>
  <c r="T19" i="103"/>
  <c r="T149" i="103" s="1"/>
  <c r="Y469" i="99"/>
  <c r="Y19" i="99" s="1"/>
  <c r="Y84" i="103" s="1"/>
  <c r="Y22" i="99"/>
  <c r="Y278" i="99"/>
  <c r="X89" i="99"/>
  <c r="T34" i="99"/>
  <c r="T99" i="103" s="1"/>
  <c r="T96" i="99"/>
  <c r="T31" i="103"/>
  <c r="BX249" i="99"/>
  <c r="AY110" i="99"/>
  <c r="AO270" i="99"/>
  <c r="AO463" i="99"/>
  <c r="AO252" i="99"/>
  <c r="BH271" i="99"/>
  <c r="S25" i="99"/>
  <c r="S90" i="103" s="1"/>
  <c r="S87" i="99"/>
  <c r="S145" i="99"/>
  <c r="AQ270" i="99"/>
  <c r="AQ276" i="99" s="1"/>
  <c r="AQ26" i="99" s="1"/>
  <c r="AL270" i="99"/>
  <c r="AL276" i="99" s="1"/>
  <c r="AL26" i="99" s="1"/>
  <c r="AY290" i="99"/>
  <c r="AY296" i="99" s="1"/>
  <c r="AY288" i="99"/>
  <c r="AN298" i="99"/>
  <c r="AN304" i="99" s="1"/>
  <c r="AN32" i="99" s="1"/>
  <c r="AN97" i="103" s="1"/>
  <c r="N631" i="99"/>
  <c r="P631" i="99" s="1"/>
  <c r="P567" i="99"/>
  <c r="W100" i="99"/>
  <c r="W35" i="103"/>
  <c r="BJ455" i="99" a="1"/>
  <c r="BJ455" i="99" s="1"/>
  <c r="BK455" i="99" a="1"/>
  <c r="BK455" i="99" s="1"/>
  <c r="BI455" i="99" a="1"/>
  <c r="BI455" i="99" s="1"/>
  <c r="BL455" i="99" a="1"/>
  <c r="BL455" i="99" s="1"/>
  <c r="O45" i="105"/>
  <c r="J23" i="151" s="1"/>
  <c r="K45" i="103"/>
  <c r="L45" i="103"/>
  <c r="K110" i="99"/>
  <c r="K45" i="104"/>
  <c r="BF148" i="155" l="1"/>
  <c r="BN110" i="104"/>
  <c r="BN45" i="104" s="1"/>
  <c r="BB147" i="155"/>
  <c r="BB148" i="155"/>
  <c r="BS43" i="105"/>
  <c r="BF145" i="155"/>
  <c r="O104" i="105"/>
  <c r="K146" i="155"/>
  <c r="BN99" i="153"/>
  <c r="BR104" i="105"/>
  <c r="BM23" i="151"/>
  <c r="AP104" i="105"/>
  <c r="AK23" i="151"/>
  <c r="AO104" i="105"/>
  <c r="AJ23" i="151"/>
  <c r="AU146" i="155"/>
  <c r="AU147" i="155"/>
  <c r="AT104" i="105"/>
  <c r="AO23" i="151"/>
  <c r="AW104" i="105"/>
  <c r="AR23" i="151"/>
  <c r="AN104" i="105"/>
  <c r="AI23" i="151"/>
  <c r="AV104" i="105"/>
  <c r="AQ23" i="151"/>
  <c r="AU104" i="105"/>
  <c r="AP23" i="151"/>
  <c r="AM104" i="105"/>
  <c r="AH23" i="151"/>
  <c r="AQ104" i="105"/>
  <c r="AL23" i="151"/>
  <c r="AS104" i="105"/>
  <c r="AN23" i="151"/>
  <c r="AX104" i="105"/>
  <c r="AS23" i="151"/>
  <c r="AR104" i="105"/>
  <c r="AM23" i="151"/>
  <c r="BN104" i="105"/>
  <c r="BI23" i="151"/>
  <c r="AU145" i="155"/>
  <c r="BG145" i="155"/>
  <c r="AX147" i="155"/>
  <c r="AX148" i="155"/>
  <c r="BG146" i="155"/>
  <c r="BG147" i="155"/>
  <c r="AX145" i="155"/>
  <c r="K147" i="155"/>
  <c r="AI27" i="153"/>
  <c r="AI92" i="153" s="1"/>
  <c r="AI93" i="153" s="1"/>
  <c r="M25" i="155"/>
  <c r="M90" i="155" s="1"/>
  <c r="M34" i="155"/>
  <c r="M99" i="155" s="1"/>
  <c r="K34" i="153"/>
  <c r="K99" i="153" s="1"/>
  <c r="L31" i="153"/>
  <c r="L96" i="153" s="1"/>
  <c r="J36" i="153"/>
  <c r="J37" i="153" s="1"/>
  <c r="N39" i="154"/>
  <c r="P39" i="154" s="1"/>
  <c r="BG148" i="155"/>
  <c r="N31" i="155"/>
  <c r="N96" i="155" s="1"/>
  <c r="P96" i="155" s="1"/>
  <c r="AU148" i="155"/>
  <c r="AX146" i="155"/>
  <c r="BX87" i="153"/>
  <c r="BX25" i="153"/>
  <c r="BI87" i="153"/>
  <c r="BQ19" i="155"/>
  <c r="BQ84" i="155" s="1"/>
  <c r="BN134" i="155"/>
  <c r="BA87" i="153"/>
  <c r="BX87" i="155"/>
  <c r="BX25" i="155"/>
  <c r="BM90" i="155"/>
  <c r="BM27" i="155"/>
  <c r="W119" i="155"/>
  <c r="W61" i="155"/>
  <c r="AU39" i="155"/>
  <c r="AU92" i="155"/>
  <c r="AU93" i="155" s="1"/>
  <c r="AU28" i="155"/>
  <c r="BT119" i="154"/>
  <c r="BT61" i="154"/>
  <c r="AJ90" i="153"/>
  <c r="AJ27" i="153"/>
  <c r="BH130" i="154"/>
  <c r="BH131" i="154" s="1"/>
  <c r="BH71" i="154"/>
  <c r="BH66" i="154"/>
  <c r="L26" i="153"/>
  <c r="L91" i="153" s="1"/>
  <c r="BM66" i="154"/>
  <c r="BM71" i="154"/>
  <c r="BM130" i="154"/>
  <c r="BM131" i="154" s="1"/>
  <c r="M104" i="154"/>
  <c r="M105" i="154" s="1"/>
  <c r="M40" i="154"/>
  <c r="X104" i="153"/>
  <c r="X105" i="153" s="1"/>
  <c r="X54" i="153"/>
  <c r="X40" i="153"/>
  <c r="BL90" i="155"/>
  <c r="BL27" i="155"/>
  <c r="N26" i="155"/>
  <c r="AH119" i="155"/>
  <c r="AH61" i="155"/>
  <c r="AX87" i="153"/>
  <c r="BN84" i="153"/>
  <c r="BN19" i="155"/>
  <c r="BN147" i="155" s="1"/>
  <c r="BB91" i="153"/>
  <c r="M26" i="153"/>
  <c r="M91" i="153" s="1"/>
  <c r="AO25" i="153"/>
  <c r="BB66" i="154"/>
  <c r="BB130" i="154"/>
  <c r="BB131" i="154" s="1"/>
  <c r="BB71" i="154"/>
  <c r="BC92" i="155"/>
  <c r="BC93" i="155" s="1"/>
  <c r="BC39" i="155"/>
  <c r="BC28" i="155"/>
  <c r="AE119" i="155"/>
  <c r="AE61" i="155"/>
  <c r="BX104" i="154"/>
  <c r="BX105" i="154" s="1"/>
  <c r="BX54" i="154"/>
  <c r="BX40" i="154"/>
  <c r="BR90" i="153"/>
  <c r="BR27" i="153"/>
  <c r="AU99" i="153"/>
  <c r="AU36" i="153"/>
  <c r="BW87" i="153"/>
  <c r="BW25" i="153"/>
  <c r="BE87" i="153"/>
  <c r="BB89" i="153"/>
  <c r="M24" i="153"/>
  <c r="M89" i="153" s="1"/>
  <c r="BV87" i="153"/>
  <c r="BV25" i="153"/>
  <c r="BP19" i="153"/>
  <c r="BP84" i="153" s="1"/>
  <c r="AZ96" i="153"/>
  <c r="AZ34" i="153"/>
  <c r="BU19" i="155"/>
  <c r="BU84" i="155" s="1"/>
  <c r="AL99" i="153"/>
  <c r="AL36" i="153"/>
  <c r="BP119" i="154"/>
  <c r="BP61" i="154"/>
  <c r="BS99" i="153"/>
  <c r="BS36" i="153"/>
  <c r="BJ90" i="153"/>
  <c r="BJ27" i="153"/>
  <c r="N33" i="155"/>
  <c r="BT90" i="153"/>
  <c r="BT27" i="153"/>
  <c r="AN99" i="153"/>
  <c r="AN36" i="153"/>
  <c r="BL119" i="154"/>
  <c r="BL61" i="154"/>
  <c r="AO104" i="155"/>
  <c r="AO105" i="155" s="1"/>
  <c r="AO54" i="155"/>
  <c r="AO40" i="155"/>
  <c r="BK90" i="155"/>
  <c r="BK27" i="155"/>
  <c r="AQ25" i="153"/>
  <c r="AX92" i="155"/>
  <c r="AX93" i="155" s="1"/>
  <c r="AX39" i="155"/>
  <c r="AX28" i="155"/>
  <c r="BT99" i="153"/>
  <c r="BT36" i="153"/>
  <c r="N102" i="154"/>
  <c r="P102" i="154" s="1"/>
  <c r="P101" i="154"/>
  <c r="AH101" i="153"/>
  <c r="AH102" i="153" s="1"/>
  <c r="AH37" i="153"/>
  <c r="Z61" i="155"/>
  <c r="Z119" i="155"/>
  <c r="BV54" i="154"/>
  <c r="BV104" i="154"/>
  <c r="BV105" i="154" s="1"/>
  <c r="BV40" i="154"/>
  <c r="AT104" i="155"/>
  <c r="AT105" i="155" s="1"/>
  <c r="AT54" i="155"/>
  <c r="AT40" i="155"/>
  <c r="BN99" i="155"/>
  <c r="BN36" i="155"/>
  <c r="AG61" i="155"/>
  <c r="AG119" i="155"/>
  <c r="BD92" i="155"/>
  <c r="BD93" i="155" s="1"/>
  <c r="BD39" i="155"/>
  <c r="BD28" i="155"/>
  <c r="BG101" i="155"/>
  <c r="BG102" i="155" s="1"/>
  <c r="BG37" i="155"/>
  <c r="AV99" i="153"/>
  <c r="AV36" i="153"/>
  <c r="AI119" i="155"/>
  <c r="AI61" i="155"/>
  <c r="BO99" i="155"/>
  <c r="BO36" i="155"/>
  <c r="AD101" i="153"/>
  <c r="AD102" i="153" s="1"/>
  <c r="AD37" i="153"/>
  <c r="BP99" i="153"/>
  <c r="BP36" i="153"/>
  <c r="BQ65" i="154"/>
  <c r="BQ126" i="154"/>
  <c r="BQ127" i="154" s="1"/>
  <c r="BQ62" i="154"/>
  <c r="AG90" i="153"/>
  <c r="AG27" i="153"/>
  <c r="BT99" i="155"/>
  <c r="BT36" i="155"/>
  <c r="AE90" i="153"/>
  <c r="AE27" i="153"/>
  <c r="BF147" i="155"/>
  <c r="BR19" i="153"/>
  <c r="BR84" i="153" s="1"/>
  <c r="AG37" i="153"/>
  <c r="AG101" i="153"/>
  <c r="AG102" i="153" s="1"/>
  <c r="BG92" i="155"/>
  <c r="BG93" i="155" s="1"/>
  <c r="BG28" i="155"/>
  <c r="BG39" i="155"/>
  <c r="AM25" i="153"/>
  <c r="AH90" i="153"/>
  <c r="AH27" i="153"/>
  <c r="N92" i="154"/>
  <c r="N28" i="154"/>
  <c r="P28" i="154" s="1"/>
  <c r="P27" i="154"/>
  <c r="AK101" i="153"/>
  <c r="AK102" i="153" s="1"/>
  <c r="AK37" i="153"/>
  <c r="BF71" i="154"/>
  <c r="BF130" i="154"/>
  <c r="BF131" i="154" s="1"/>
  <c r="BF66" i="154"/>
  <c r="BD101" i="155"/>
  <c r="BD102" i="155" s="1"/>
  <c r="BD37" i="155"/>
  <c r="AA61" i="155"/>
  <c r="AA119" i="155"/>
  <c r="BM99" i="155"/>
  <c r="BM36" i="155"/>
  <c r="J104" i="155"/>
  <c r="J105" i="155" s="1"/>
  <c r="J40" i="155"/>
  <c r="BU99" i="155"/>
  <c r="BU36" i="155"/>
  <c r="AY87" i="153"/>
  <c r="BC87" i="153"/>
  <c r="BY87" i="155"/>
  <c r="BY25" i="155"/>
  <c r="Z101" i="153"/>
  <c r="Z102" i="153" s="1"/>
  <c r="Z37" i="153"/>
  <c r="BI101" i="155"/>
  <c r="BI102" i="155" s="1"/>
  <c r="BI37" i="155"/>
  <c r="AR99" i="153"/>
  <c r="AR36" i="153"/>
  <c r="AY92" i="155"/>
  <c r="AY93" i="155" s="1"/>
  <c r="AY39" i="155"/>
  <c r="AY28" i="155"/>
  <c r="K19" i="153"/>
  <c r="K84" i="153" s="1"/>
  <c r="AD90" i="153"/>
  <c r="AD27" i="153"/>
  <c r="BQ99" i="153"/>
  <c r="BQ36" i="153"/>
  <c r="BM90" i="153"/>
  <c r="BM27" i="153"/>
  <c r="AX96" i="153"/>
  <c r="AX34" i="153"/>
  <c r="BH96" i="153"/>
  <c r="BH34" i="153"/>
  <c r="BT19" i="155"/>
  <c r="BT84" i="155" s="1"/>
  <c r="AX101" i="155"/>
  <c r="AX102" i="155" s="1"/>
  <c r="AX37" i="155"/>
  <c r="BL99" i="155"/>
  <c r="BL36" i="155"/>
  <c r="W54" i="153"/>
  <c r="W104" i="153"/>
  <c r="W105" i="153" s="1"/>
  <c r="W40" i="153"/>
  <c r="AC61" i="155"/>
  <c r="AC119" i="155"/>
  <c r="AW104" i="155"/>
  <c r="AW105" i="155" s="1"/>
  <c r="AW54" i="155"/>
  <c r="AW40" i="155"/>
  <c r="T104" i="153"/>
  <c r="T105" i="153" s="1"/>
  <c r="T54" i="153"/>
  <c r="T40" i="153"/>
  <c r="AP99" i="153"/>
  <c r="AP36" i="153"/>
  <c r="K84" i="155"/>
  <c r="K148" i="155"/>
  <c r="BC71" i="154"/>
  <c r="BC66" i="154"/>
  <c r="BC130" i="154"/>
  <c r="BC131" i="154" s="1"/>
  <c r="BA66" i="154"/>
  <c r="BA71" i="154"/>
  <c r="BA130" i="154"/>
  <c r="BA131" i="154" s="1"/>
  <c r="AO99" i="153"/>
  <c r="AO36" i="153"/>
  <c r="AV25" i="153"/>
  <c r="V119" i="155"/>
  <c r="V61" i="155"/>
  <c r="J54" i="155"/>
  <c r="J119" i="155" s="1"/>
  <c r="AT99" i="153"/>
  <c r="AT36" i="153"/>
  <c r="BB134" i="155"/>
  <c r="BS87" i="155"/>
  <c r="BS25" i="155"/>
  <c r="BH101" i="155"/>
  <c r="BH102" i="155" s="1"/>
  <c r="BH37" i="155"/>
  <c r="N26" i="153"/>
  <c r="BU90" i="155"/>
  <c r="BU27" i="155"/>
  <c r="AJ54" i="155"/>
  <c r="AJ104" i="155"/>
  <c r="AJ105" i="155" s="1"/>
  <c r="AJ40" i="155"/>
  <c r="BB92" i="155"/>
  <c r="BB93" i="155" s="1"/>
  <c r="BB28" i="155"/>
  <c r="BB39" i="155"/>
  <c r="BN90" i="153"/>
  <c r="BN27" i="153"/>
  <c r="AA101" i="153"/>
  <c r="AA102" i="153" s="1"/>
  <c r="AA37" i="153"/>
  <c r="AR25" i="153"/>
  <c r="BM99" i="153"/>
  <c r="BM36" i="153"/>
  <c r="BO90" i="153"/>
  <c r="BO27" i="153"/>
  <c r="BK90" i="153"/>
  <c r="BK27" i="153"/>
  <c r="BS19" i="153"/>
  <c r="BS84" i="153" s="1"/>
  <c r="AF101" i="153"/>
  <c r="AF102" i="153" s="1"/>
  <c r="AF37" i="153"/>
  <c r="AB61" i="155"/>
  <c r="AB119" i="155"/>
  <c r="Y61" i="155"/>
  <c r="Y119" i="155"/>
  <c r="N22" i="153"/>
  <c r="L24" i="153"/>
  <c r="L89" i="153" s="1"/>
  <c r="AB90" i="153"/>
  <c r="AB27" i="153"/>
  <c r="AM99" i="153"/>
  <c r="AM36" i="153"/>
  <c r="BD71" i="154"/>
  <c r="BD130" i="154"/>
  <c r="BD131" i="154" s="1"/>
  <c r="BD66" i="154"/>
  <c r="AL25" i="153"/>
  <c r="BG87" i="153"/>
  <c r="BE92" i="155"/>
  <c r="BE93" i="155" s="1"/>
  <c r="BE28" i="155"/>
  <c r="BE39" i="155"/>
  <c r="BK99" i="155"/>
  <c r="BK36" i="155"/>
  <c r="BR90" i="155"/>
  <c r="BR27" i="155"/>
  <c r="L19" i="155"/>
  <c r="L84" i="155" s="1"/>
  <c r="BL90" i="153"/>
  <c r="BL27" i="153"/>
  <c r="AQ104" i="155"/>
  <c r="AQ105" i="155" s="1"/>
  <c r="AQ54" i="155"/>
  <c r="AQ40" i="155"/>
  <c r="BE130" i="154"/>
  <c r="BE131" i="154" s="1"/>
  <c r="BE71" i="154"/>
  <c r="BE66" i="154"/>
  <c r="AK92" i="153"/>
  <c r="AK93" i="153" s="1"/>
  <c r="AK39" i="153"/>
  <c r="AK28" i="153"/>
  <c r="BN66" i="154"/>
  <c r="BN71" i="154"/>
  <c r="BN130" i="154"/>
  <c r="BN131" i="154" s="1"/>
  <c r="AZ101" i="155"/>
  <c r="AZ102" i="155" s="1"/>
  <c r="AZ37" i="155"/>
  <c r="BJ90" i="155"/>
  <c r="BJ27" i="155"/>
  <c r="L65" i="154"/>
  <c r="L62" i="154"/>
  <c r="L126" i="154"/>
  <c r="L127" i="154" s="1"/>
  <c r="BO19" i="155"/>
  <c r="BO84" i="155" s="1"/>
  <c r="BI92" i="155"/>
  <c r="BI93" i="155" s="1"/>
  <c r="BI28" i="155"/>
  <c r="BI39" i="155"/>
  <c r="AR104" i="155"/>
  <c r="AR105" i="155" s="1"/>
  <c r="AR54" i="155"/>
  <c r="AR40" i="155"/>
  <c r="AL104" i="155"/>
  <c r="AL105" i="155" s="1"/>
  <c r="AL54" i="155"/>
  <c r="AL40" i="155"/>
  <c r="BW34" i="153"/>
  <c r="AY101" i="155"/>
  <c r="AY102" i="155" s="1"/>
  <c r="AY37" i="155"/>
  <c r="BQ90" i="155"/>
  <c r="BQ27" i="155"/>
  <c r="AZ66" i="154"/>
  <c r="AZ130" i="154"/>
  <c r="AZ131" i="154" s="1"/>
  <c r="AZ71" i="154"/>
  <c r="BV34" i="153"/>
  <c r="BT90" i="155"/>
  <c r="BT27" i="155"/>
  <c r="BK65" i="154"/>
  <c r="BK126" i="154"/>
  <c r="BK127" i="154" s="1"/>
  <c r="BK62" i="154"/>
  <c r="BX34" i="153"/>
  <c r="N35" i="153"/>
  <c r="BD96" i="153"/>
  <c r="BD34" i="153"/>
  <c r="BT19" i="153"/>
  <c r="BT84" i="153" s="1"/>
  <c r="BX96" i="155"/>
  <c r="BX34" i="155"/>
  <c r="BU99" i="153"/>
  <c r="BU36" i="153"/>
  <c r="AW99" i="153"/>
  <c r="AW36" i="153"/>
  <c r="BY65" i="154"/>
  <c r="BY62" i="154"/>
  <c r="BY126" i="154"/>
  <c r="BY127" i="154" s="1"/>
  <c r="X61" i="155"/>
  <c r="X119" i="155"/>
  <c r="BY34" i="153"/>
  <c r="BU90" i="153"/>
  <c r="BU27" i="153"/>
  <c r="N35" i="155"/>
  <c r="BR99" i="153"/>
  <c r="BR36" i="153"/>
  <c r="BS96" i="155"/>
  <c r="BS34" i="155"/>
  <c r="BD87" i="153"/>
  <c r="BI96" i="153"/>
  <c r="BI34" i="153"/>
  <c r="BR19" i="155"/>
  <c r="BR84" i="155" s="1"/>
  <c r="AD134" i="153"/>
  <c r="BC96" i="153"/>
  <c r="BC34" i="153"/>
  <c r="BG96" i="153"/>
  <c r="BG34" i="153"/>
  <c r="BW87" i="155"/>
  <c r="BW25" i="155"/>
  <c r="L69" i="155"/>
  <c r="L134" i="155" s="1"/>
  <c r="N24" i="155"/>
  <c r="BF92" i="155"/>
  <c r="BF93" i="155" s="1"/>
  <c r="BF28" i="155"/>
  <c r="BF39" i="155"/>
  <c r="AU25" i="153"/>
  <c r="N23" i="155"/>
  <c r="BG71" i="154"/>
  <c r="BG66" i="154"/>
  <c r="BG130" i="154"/>
  <c r="BG131" i="154" s="1"/>
  <c r="AP104" i="155"/>
  <c r="AP105" i="155" s="1"/>
  <c r="AP54" i="155"/>
  <c r="AP40" i="155"/>
  <c r="AS104" i="155"/>
  <c r="AS105" i="155" s="1"/>
  <c r="AS54" i="155"/>
  <c r="AS40" i="155"/>
  <c r="AW25" i="153"/>
  <c r="AV104" i="155"/>
  <c r="AV105" i="155" s="1"/>
  <c r="AV54" i="155"/>
  <c r="AV40" i="155"/>
  <c r="BP90" i="155"/>
  <c r="BP27" i="155"/>
  <c r="BA99" i="155"/>
  <c r="BA36" i="155"/>
  <c r="BP90" i="153"/>
  <c r="BP27" i="153"/>
  <c r="J69" i="153"/>
  <c r="J134" i="153" s="1"/>
  <c r="AX71" i="154"/>
  <c r="AX66" i="154"/>
  <c r="AX130" i="154"/>
  <c r="AX131" i="154" s="1"/>
  <c r="AQ99" i="153"/>
  <c r="AQ36" i="153"/>
  <c r="BW96" i="155"/>
  <c r="BW34" i="155"/>
  <c r="AA90" i="153"/>
  <c r="AA27" i="153"/>
  <c r="BR119" i="154"/>
  <c r="BR61" i="154"/>
  <c r="BU119" i="154"/>
  <c r="BU61" i="154"/>
  <c r="AC101" i="153"/>
  <c r="AC102" i="153" s="1"/>
  <c r="AC37" i="153"/>
  <c r="AB101" i="153"/>
  <c r="AB102" i="153" s="1"/>
  <c r="AB37" i="153"/>
  <c r="AN25" i="153"/>
  <c r="AC90" i="153"/>
  <c r="AC27" i="153"/>
  <c r="L35" i="153"/>
  <c r="L100" i="153" s="1"/>
  <c r="K101" i="155"/>
  <c r="K102" i="155" s="1"/>
  <c r="K37" i="155"/>
  <c r="R104" i="153"/>
  <c r="R105" i="153" s="1"/>
  <c r="R40" i="153"/>
  <c r="R54" i="153"/>
  <c r="BR99" i="155"/>
  <c r="BR36" i="155"/>
  <c r="BC101" i="155"/>
  <c r="BC102" i="155" s="1"/>
  <c r="BC37" i="155"/>
  <c r="S104" i="153"/>
  <c r="S105" i="153" s="1"/>
  <c r="S40" i="153"/>
  <c r="S54" i="153"/>
  <c r="BH87" i="153"/>
  <c r="BF146" i="155"/>
  <c r="BK99" i="153"/>
  <c r="BK36" i="153"/>
  <c r="AT25" i="153"/>
  <c r="BL99" i="153"/>
  <c r="BL36" i="153"/>
  <c r="N32" i="153"/>
  <c r="L32" i="153"/>
  <c r="L97" i="153" s="1"/>
  <c r="K39" i="155"/>
  <c r="Z90" i="153"/>
  <c r="Z27" i="153"/>
  <c r="V104" i="153"/>
  <c r="V105" i="153" s="1"/>
  <c r="V54" i="153"/>
  <c r="V40" i="153"/>
  <c r="BJ65" i="154"/>
  <c r="BJ126" i="154"/>
  <c r="BJ127" i="154" s="1"/>
  <c r="BJ62" i="154"/>
  <c r="K23" i="153"/>
  <c r="K88" i="153" s="1"/>
  <c r="BO90" i="155"/>
  <c r="BO27" i="155"/>
  <c r="N33" i="153"/>
  <c r="AU101" i="155"/>
  <c r="AU102" i="155" s="1"/>
  <c r="AU37" i="155"/>
  <c r="U104" i="153"/>
  <c r="U105" i="153" s="1"/>
  <c r="U54" i="153"/>
  <c r="U40" i="153"/>
  <c r="J25" i="153"/>
  <c r="J90" i="153" s="1"/>
  <c r="BY87" i="153"/>
  <c r="BY25" i="153"/>
  <c r="BB100" i="153"/>
  <c r="M35" i="153"/>
  <c r="M100" i="153" s="1"/>
  <c r="BB98" i="153"/>
  <c r="M33" i="153"/>
  <c r="M98" i="153" s="1"/>
  <c r="BY96" i="155"/>
  <c r="BY34" i="155"/>
  <c r="BH92" i="155"/>
  <c r="BH93" i="155" s="1"/>
  <c r="BH28" i="155"/>
  <c r="BH39" i="155"/>
  <c r="N24" i="153"/>
  <c r="AS99" i="153"/>
  <c r="AS36" i="153"/>
  <c r="AK119" i="155"/>
  <c r="AK61" i="155"/>
  <c r="N32" i="155"/>
  <c r="AS25" i="153"/>
  <c r="BN101" i="153"/>
  <c r="BN102" i="153" s="1"/>
  <c r="BN37" i="153"/>
  <c r="BB97" i="153"/>
  <c r="M32" i="153"/>
  <c r="M97" i="153" s="1"/>
  <c r="BQ90" i="153"/>
  <c r="BQ27" i="153"/>
  <c r="AE101" i="153"/>
  <c r="AE102" i="153" s="1"/>
  <c r="AE37" i="153"/>
  <c r="AJ37" i="153"/>
  <c r="AJ101" i="153"/>
  <c r="AJ102" i="153" s="1"/>
  <c r="AD119" i="155"/>
  <c r="AD61" i="155"/>
  <c r="BW54" i="154"/>
  <c r="BW104" i="154"/>
  <c r="BW105" i="154" s="1"/>
  <c r="BW40" i="154"/>
  <c r="N96" i="153"/>
  <c r="P96" i="153" s="1"/>
  <c r="P31" i="153"/>
  <c r="BN90" i="155"/>
  <c r="BN27" i="155"/>
  <c r="BB84" i="155"/>
  <c r="BJ99" i="153"/>
  <c r="BJ36" i="153"/>
  <c r="BP99" i="155"/>
  <c r="BP36" i="155"/>
  <c r="BE96" i="153"/>
  <c r="BE34" i="153"/>
  <c r="BF87" i="153"/>
  <c r="AP88" i="153"/>
  <c r="BV96" i="155"/>
  <c r="BV34" i="155"/>
  <c r="AP84" i="153"/>
  <c r="AZ87" i="153"/>
  <c r="AY96" i="153"/>
  <c r="AY34" i="153"/>
  <c r="BB96" i="153"/>
  <c r="M31" i="153"/>
  <c r="M96" i="153" s="1"/>
  <c r="BB34" i="153"/>
  <c r="BJ19" i="153"/>
  <c r="BJ84" i="153" s="1"/>
  <c r="BF96" i="153"/>
  <c r="BF34" i="153"/>
  <c r="BB87" i="153"/>
  <c r="M22" i="153"/>
  <c r="M87" i="153" s="1"/>
  <c r="BA90" i="155"/>
  <c r="BA27" i="155"/>
  <c r="AF119" i="155"/>
  <c r="AF61" i="155"/>
  <c r="AY71" i="154"/>
  <c r="AY66" i="154"/>
  <c r="AY130" i="154"/>
  <c r="AY131" i="154" s="1"/>
  <c r="BQ99" i="155"/>
  <c r="BQ36" i="155"/>
  <c r="N22" i="155"/>
  <c r="AM40" i="155"/>
  <c r="AM54" i="155"/>
  <c r="AM104" i="155"/>
  <c r="AM105" i="155" s="1"/>
  <c r="AF90" i="153"/>
  <c r="AF27" i="153"/>
  <c r="L22" i="153"/>
  <c r="L87" i="153" s="1"/>
  <c r="BE101" i="155"/>
  <c r="BE102" i="155" s="1"/>
  <c r="BE37" i="155"/>
  <c r="BB146" i="155"/>
  <c r="BV87" i="155"/>
  <c r="BV25" i="155"/>
  <c r="BA96" i="153"/>
  <c r="BA34" i="153"/>
  <c r="BK19" i="155"/>
  <c r="BK84" i="155" s="1"/>
  <c r="L33" i="153"/>
  <c r="L98" i="153" s="1"/>
  <c r="Y39" i="153"/>
  <c r="Y92" i="153"/>
  <c r="Y93" i="153" s="1"/>
  <c r="Y28" i="153"/>
  <c r="BS90" i="153"/>
  <c r="BS27" i="153"/>
  <c r="BO99" i="153"/>
  <c r="BO36" i="153"/>
  <c r="AZ92" i="155"/>
  <c r="AZ93" i="155" s="1"/>
  <c r="AZ39" i="155"/>
  <c r="AZ28" i="155"/>
  <c r="K92" i="155"/>
  <c r="K93" i="155" s="1"/>
  <c r="K28" i="155"/>
  <c r="BO71" i="154"/>
  <c r="BO66" i="154"/>
  <c r="BO130" i="154"/>
  <c r="BO131" i="154" s="1"/>
  <c r="AN40" i="155"/>
  <c r="AN104" i="155"/>
  <c r="AN105" i="155" s="1"/>
  <c r="AN54" i="155"/>
  <c r="BI71" i="154"/>
  <c r="BI130" i="154"/>
  <c r="BI131" i="154" s="1"/>
  <c r="BI66" i="154"/>
  <c r="BS119" i="154"/>
  <c r="BS61" i="154"/>
  <c r="BJ99" i="155"/>
  <c r="BJ36" i="155"/>
  <c r="AP25" i="153"/>
  <c r="N23" i="153"/>
  <c r="L34" i="155"/>
  <c r="L99" i="155" s="1"/>
  <c r="BT43" i="105"/>
  <c r="BO110" i="99"/>
  <c r="BO110" i="104"/>
  <c r="BO45" i="104" s="1"/>
  <c r="AB24" i="105"/>
  <c r="AK91" i="103"/>
  <c r="AK26" i="103" s="1"/>
  <c r="AP26" i="105" s="1"/>
  <c r="AK91" i="99"/>
  <c r="P102" i="105"/>
  <c r="AI89" i="99"/>
  <c r="AH91" i="104"/>
  <c r="AH26" i="104" s="1"/>
  <c r="AM26" i="105" s="1"/>
  <c r="AG26" i="105"/>
  <c r="AJ91" i="99"/>
  <c r="AH91" i="99"/>
  <c r="X69" i="105"/>
  <c r="S34" i="151" s="1"/>
  <c r="AI89" i="104"/>
  <c r="AI24" i="104" s="1"/>
  <c r="AN24" i="105" s="1"/>
  <c r="AJ91" i="104"/>
  <c r="AJ26" i="104" s="1"/>
  <c r="AO26" i="105" s="1"/>
  <c r="AR276" i="99"/>
  <c r="AR26" i="99" s="1"/>
  <c r="AR91" i="99" s="1"/>
  <c r="AU415" i="99"/>
  <c r="AU454" i="99" s="1" a="1"/>
  <c r="AU454" i="99" s="1"/>
  <c r="BM415" i="99"/>
  <c r="BM454" i="99" s="1" a="1"/>
  <c r="BM454" i="99" s="1"/>
  <c r="BC415" i="99"/>
  <c r="BC454" i="99" s="1" a="1"/>
  <c r="BC454" i="99" s="1"/>
  <c r="BD412" i="153"/>
  <c r="BO413" i="99"/>
  <c r="BB415" i="99"/>
  <c r="BB454" i="99" s="1" a="1"/>
  <c r="BB454" i="99" s="1"/>
  <c r="BO415" i="99"/>
  <c r="BO454" i="99" s="1" a="1"/>
  <c r="BO454" i="99" s="1"/>
  <c r="BI415" i="99"/>
  <c r="BI454" i="99" s="1" a="1"/>
  <c r="BI454" i="99" s="1"/>
  <c r="BI413" i="99"/>
  <c r="BE412" i="153"/>
  <c r="AV415" i="99"/>
  <c r="AV454" i="99" s="1" a="1"/>
  <c r="AV454" i="99" s="1"/>
  <c r="BN415" i="99"/>
  <c r="BN454" i="99" s="1" a="1"/>
  <c r="BN454" i="99" s="1"/>
  <c r="BG413" i="99"/>
  <c r="AS276" i="99"/>
  <c r="AS26" i="99" s="1"/>
  <c r="AS91" i="104" s="1"/>
  <c r="AS26" i="104" s="1"/>
  <c r="AS412" i="99"/>
  <c r="AS451" i="99" s="1" a="1"/>
  <c r="AS451" i="99" s="1"/>
  <c r="BG412" i="153"/>
  <c r="BB412" i="153"/>
  <c r="BH413" i="99"/>
  <c r="BL413" i="99"/>
  <c r="BC412" i="153"/>
  <c r="BH415" i="99"/>
  <c r="BH454" i="99" s="1" a="1"/>
  <c r="BH454" i="99" s="1"/>
  <c r="AS415" i="99"/>
  <c r="AS454" i="99" s="1" a="1"/>
  <c r="AS454" i="99" s="1"/>
  <c r="BF413" i="99"/>
  <c r="BF452" i="99" s="1" a="1"/>
  <c r="BF452" i="99" s="1"/>
  <c r="J100" i="104"/>
  <c r="AR412" i="99"/>
  <c r="AR451" i="99" s="1" a="1"/>
  <c r="AR451" i="99" s="1"/>
  <c r="BJ413" i="99"/>
  <c r="AX415" i="99"/>
  <c r="AX454" i="99" s="1" a="1"/>
  <c r="AX454" i="99" s="1"/>
  <c r="AZ415" i="99"/>
  <c r="AZ454" i="99" s="1" a="1"/>
  <c r="AZ454" i="99" s="1"/>
  <c r="BA412" i="153"/>
  <c r="AX412" i="153"/>
  <c r="BN413" i="99"/>
  <c r="AT415" i="99"/>
  <c r="AT454" i="99" s="1" a="1"/>
  <c r="AT454" i="99" s="1"/>
  <c r="BK413" i="99"/>
  <c r="BA415" i="99"/>
  <c r="BA454" i="99" s="1" a="1"/>
  <c r="BA454" i="99" s="1"/>
  <c r="BM413" i="99"/>
  <c r="AR260" i="99"/>
  <c r="AR23" i="99" s="1"/>
  <c r="AR88" i="99" s="1"/>
  <c r="AZ412" i="153"/>
  <c r="J98" i="104"/>
  <c r="BI412" i="153"/>
  <c r="AW415" i="99"/>
  <c r="AW454" i="99" s="1" a="1"/>
  <c r="AW454" i="99" s="1"/>
  <c r="BF412" i="153"/>
  <c r="AY412" i="153"/>
  <c r="BH412" i="153"/>
  <c r="AY415" i="99"/>
  <c r="AY454" i="99" s="1" a="1"/>
  <c r="AY454" i="99" s="1"/>
  <c r="BX412" i="153"/>
  <c r="BX418" i="153" s="1"/>
  <c r="AY262" i="99"/>
  <c r="AY268" i="99" s="1"/>
  <c r="AY24" i="99" s="1"/>
  <c r="AY89" i="103" s="1"/>
  <c r="AY24" i="103" s="1"/>
  <c r="BX272" i="99"/>
  <c r="AK412" i="99"/>
  <c r="BX412" i="155"/>
  <c r="BY266" i="99"/>
  <c r="BY265" i="99"/>
  <c r="AP412" i="99"/>
  <c r="AP451" i="99" s="1" a="1"/>
  <c r="AP451" i="99" s="1"/>
  <c r="AP457" i="99" s="1"/>
  <c r="AP69" i="99" s="1"/>
  <c r="AP134" i="99" s="1"/>
  <c r="AW262" i="99"/>
  <c r="AW268" i="99" s="1"/>
  <c r="AW24" i="99" s="1"/>
  <c r="AW89" i="103" s="1"/>
  <c r="AW24" i="103" s="1"/>
  <c r="AN412" i="99"/>
  <c r="BB270" i="99"/>
  <c r="BB276" i="99" s="1"/>
  <c r="BB26" i="99" s="1"/>
  <c r="BB91" i="104" s="1"/>
  <c r="BB26" i="104" s="1"/>
  <c r="BW262" i="99"/>
  <c r="BY263" i="99"/>
  <c r="BY267" i="99"/>
  <c r="BX271" i="99"/>
  <c r="AO412" i="99"/>
  <c r="BH276" i="99"/>
  <c r="BH26" i="99" s="1"/>
  <c r="BH91" i="103" s="1"/>
  <c r="BH26" i="103" s="1"/>
  <c r="BW412" i="155"/>
  <c r="BX274" i="99"/>
  <c r="BM276" i="99"/>
  <c r="BM26" i="99" s="1"/>
  <c r="BM91" i="103" s="1"/>
  <c r="BM26" i="103" s="1"/>
  <c r="BY412" i="153"/>
  <c r="BE254" i="99"/>
  <c r="AV262" i="99"/>
  <c r="AV268" i="99" s="1"/>
  <c r="AV24" i="99" s="1"/>
  <c r="AV89" i="103" s="1"/>
  <c r="AV24" i="103" s="1"/>
  <c r="BX267" i="99"/>
  <c r="BT266" i="99"/>
  <c r="AR415" i="99"/>
  <c r="AR454" i="99" s="1" a="1"/>
  <c r="AR454" i="99" s="1"/>
  <c r="AH412" i="99"/>
  <c r="BN268" i="99"/>
  <c r="BN24" i="99" s="1"/>
  <c r="BN89" i="99" s="1"/>
  <c r="AT262" i="99"/>
  <c r="AT268" i="99" s="1"/>
  <c r="AT24" i="99" s="1"/>
  <c r="AT89" i="104" s="1"/>
  <c r="AT24" i="104" s="1"/>
  <c r="AZ270" i="99"/>
  <c r="AZ276" i="99" s="1"/>
  <c r="AZ26" i="99" s="1"/>
  <c r="AZ91" i="104" s="1"/>
  <c r="AZ26" i="104" s="1"/>
  <c r="AL412" i="99"/>
  <c r="BX273" i="99"/>
  <c r="BA262" i="99"/>
  <c r="BA268" i="99" s="1"/>
  <c r="BA24" i="99" s="1"/>
  <c r="BA89" i="103" s="1"/>
  <c r="BA24" i="103" s="1"/>
  <c r="BQ273" i="99"/>
  <c r="BV412" i="153"/>
  <c r="BV451" i="153" s="1" a="1"/>
  <c r="BV451" i="153" s="1"/>
  <c r="BV457" i="153" s="1"/>
  <c r="BV69" i="153" s="1"/>
  <c r="BV134" i="153" s="1"/>
  <c r="BV412" i="155"/>
  <c r="BV418" i="155" s="1"/>
  <c r="BW412" i="153"/>
  <c r="AU254" i="99"/>
  <c r="AU260" i="99" s="1"/>
  <c r="AU23" i="99" s="1"/>
  <c r="AU88" i="99" s="1"/>
  <c r="BD262" i="99"/>
  <c r="BY412" i="155"/>
  <c r="AM412" i="99"/>
  <c r="AI412" i="99"/>
  <c r="AI418" i="99" s="1"/>
  <c r="AQ412" i="99"/>
  <c r="BC262" i="99"/>
  <c r="BC268" i="99" s="1"/>
  <c r="BC24" i="99" s="1"/>
  <c r="BC89" i="104" s="1"/>
  <c r="BC24" i="104" s="1"/>
  <c r="BY272" i="99"/>
  <c r="AX254" i="99"/>
  <c r="AX260" i="99" s="1"/>
  <c r="AX23" i="99" s="1"/>
  <c r="AX88" i="99" s="1"/>
  <c r="AJ412" i="99"/>
  <c r="AJ451" i="99" s="1" a="1"/>
  <c r="AJ451" i="99" s="1"/>
  <c r="AJ457" i="99" s="1"/>
  <c r="AJ69" i="99" s="1"/>
  <c r="AJ134" i="99" s="1"/>
  <c r="BS412" i="155"/>
  <c r="R134" i="99"/>
  <c r="R134" i="103"/>
  <c r="R69" i="103" s="1"/>
  <c r="R134" i="104"/>
  <c r="R69" i="104" s="1"/>
  <c r="X94" i="105"/>
  <c r="AC85" i="105"/>
  <c r="AZ45" i="105"/>
  <c r="AZ102" i="105"/>
  <c r="X86" i="105"/>
  <c r="Y85" i="105"/>
  <c r="X85" i="105"/>
  <c r="BF102" i="105"/>
  <c r="W96" i="105"/>
  <c r="X96" i="105"/>
  <c r="X88" i="105"/>
  <c r="BD102" i="105"/>
  <c r="AI88" i="105"/>
  <c r="BE45" i="105"/>
  <c r="BE102" i="105"/>
  <c r="BB45" i="105"/>
  <c r="BB102" i="105"/>
  <c r="W92" i="105"/>
  <c r="X92" i="105"/>
  <c r="BG102" i="105"/>
  <c r="AJ88" i="105"/>
  <c r="X93" i="105"/>
  <c r="BM45" i="105"/>
  <c r="BM102" i="105"/>
  <c r="AA88" i="105"/>
  <c r="W93" i="105"/>
  <c r="W88" i="105"/>
  <c r="Y88" i="105"/>
  <c r="W94" i="105"/>
  <c r="AY45" i="105"/>
  <c r="AY102" i="105"/>
  <c r="Z92" i="105"/>
  <c r="BC45" i="105"/>
  <c r="BC102" i="105"/>
  <c r="W86" i="105"/>
  <c r="BA102" i="105"/>
  <c r="BS45" i="105"/>
  <c r="BS102" i="105"/>
  <c r="BH45" i="105"/>
  <c r="BH102" i="105"/>
  <c r="Z88" i="105"/>
  <c r="Z94" i="105"/>
  <c r="Z85" i="105"/>
  <c r="Z93" i="105"/>
  <c r="Y96" i="105"/>
  <c r="Y93" i="105"/>
  <c r="Z96" i="105"/>
  <c r="AS312" i="99"/>
  <c r="AS33" i="99" s="1"/>
  <c r="AS98" i="103" s="1"/>
  <c r="AS33" i="103" s="1"/>
  <c r="AS260" i="99"/>
  <c r="AS23" i="99" s="1"/>
  <c r="AS88" i="103" s="1"/>
  <c r="AS23" i="103" s="1"/>
  <c r="BO252" i="99"/>
  <c r="BO469" i="99" s="1"/>
  <c r="BO19" i="99" s="1"/>
  <c r="BM296" i="99"/>
  <c r="BM31" i="99" s="1"/>
  <c r="BM96" i="103" s="1"/>
  <c r="AR312" i="99"/>
  <c r="AR33" i="99" s="1"/>
  <c r="AR98" i="103" s="1"/>
  <c r="AR33" i="103" s="1"/>
  <c r="BO320" i="99"/>
  <c r="BO35" i="99" s="1"/>
  <c r="BO100" i="103" s="1"/>
  <c r="BO35" i="103" s="1"/>
  <c r="AR268" i="99"/>
  <c r="AR24" i="99" s="1"/>
  <c r="AR89" i="99" s="1"/>
  <c r="BN252" i="99"/>
  <c r="BN22" i="99" s="1"/>
  <c r="BN296" i="99"/>
  <c r="BN31" i="99" s="1"/>
  <c r="BN96" i="103" s="1"/>
  <c r="BH252" i="99"/>
  <c r="BH22" i="99" s="1"/>
  <c r="BO296" i="99"/>
  <c r="BO31" i="99" s="1"/>
  <c r="BO96" i="103" s="1"/>
  <c r="AR304" i="99"/>
  <c r="AR32" i="99" s="1"/>
  <c r="AR97" i="103" s="1"/>
  <c r="AR32" i="103" s="1"/>
  <c r="BA418" i="155"/>
  <c r="BO418" i="155"/>
  <c r="BP418" i="155"/>
  <c r="BN418" i="155"/>
  <c r="BQ418" i="155"/>
  <c r="BS322" i="155"/>
  <c r="BW469" i="155"/>
  <c r="BW19" i="155" s="1"/>
  <c r="BW84" i="155" s="1"/>
  <c r="BW278" i="155"/>
  <c r="BJ451" i="155" a="1"/>
  <c r="BJ451" i="155" s="1"/>
  <c r="BJ457" i="155" s="1"/>
  <c r="BJ69" i="155" s="1"/>
  <c r="BJ134" i="155" s="1"/>
  <c r="BJ418" i="155"/>
  <c r="BA146" i="155"/>
  <c r="BA147" i="155"/>
  <c r="BA148" i="155"/>
  <c r="BX322" i="155"/>
  <c r="BW322" i="155"/>
  <c r="BA145" i="155"/>
  <c r="BY278" i="155"/>
  <c r="BY469" i="155"/>
  <c r="BY19" i="155" s="1"/>
  <c r="BY84" i="155" s="1"/>
  <c r="BJ145" i="155"/>
  <c r="BL145" i="155"/>
  <c r="BM145" i="155"/>
  <c r="BV469" i="155"/>
  <c r="BV278" i="155"/>
  <c r="BJ146" i="155"/>
  <c r="BJ147" i="155"/>
  <c r="BP148" i="155"/>
  <c r="BP146" i="155"/>
  <c r="BL451" i="155" a="1"/>
  <c r="BL451" i="155" s="1"/>
  <c r="BL457" i="155" s="1"/>
  <c r="BL69" i="155" s="1"/>
  <c r="BL134" i="155" s="1"/>
  <c r="BL418" i="155"/>
  <c r="BL146" i="155"/>
  <c r="BL148" i="155"/>
  <c r="BP145" i="155"/>
  <c r="BM146" i="155"/>
  <c r="BM147" i="155"/>
  <c r="BY322" i="155"/>
  <c r="BK451" i="155" a="1"/>
  <c r="BK451" i="155" s="1"/>
  <c r="BK457" i="155" s="1"/>
  <c r="BK69" i="155" s="1"/>
  <c r="BK134" i="155" s="1"/>
  <c r="BK418" i="155"/>
  <c r="BT451" i="155" a="1"/>
  <c r="BT451" i="155" s="1"/>
  <c r="BT457" i="155" s="1"/>
  <c r="BT69" i="155" s="1"/>
  <c r="BT134" i="155" s="1"/>
  <c r="BT418" i="155"/>
  <c r="BU451" i="155" a="1"/>
  <c r="BU451" i="155" s="1"/>
  <c r="BU457" i="155" s="1"/>
  <c r="BU69" i="155" s="1"/>
  <c r="BU134" i="155" s="1"/>
  <c r="BU418" i="155"/>
  <c r="BM451" i="155" a="1"/>
  <c r="BM451" i="155" s="1"/>
  <c r="BM457" i="155" s="1"/>
  <c r="BM69" i="155" s="1"/>
  <c r="BM134" i="155" s="1"/>
  <c r="BM418" i="155"/>
  <c r="BP147" i="155"/>
  <c r="BV322" i="155"/>
  <c r="BJ148" i="155"/>
  <c r="BL147" i="155"/>
  <c r="BR451" i="155" a="1"/>
  <c r="BR451" i="155" s="1"/>
  <c r="BR457" i="155" s="1"/>
  <c r="BR69" i="155" s="1"/>
  <c r="BR134" i="155" s="1"/>
  <c r="BR418" i="155"/>
  <c r="BS469" i="155"/>
  <c r="BS278" i="155"/>
  <c r="BX469" i="155"/>
  <c r="BX278" i="155"/>
  <c r="BM148" i="155"/>
  <c r="BH296" i="99"/>
  <c r="BH31" i="99" s="1"/>
  <c r="AS268" i="99"/>
  <c r="AS24" i="99" s="1"/>
  <c r="AS89" i="99" s="1"/>
  <c r="BQ466" i="99"/>
  <c r="BI296" i="99"/>
  <c r="BI31" i="99" s="1"/>
  <c r="BM304" i="99"/>
  <c r="BM32" i="99" s="1"/>
  <c r="BQ257" i="99"/>
  <c r="BM260" i="99"/>
  <c r="BM23" i="99" s="1"/>
  <c r="BM88" i="103" s="1"/>
  <c r="BM23" i="103" s="1"/>
  <c r="BQ265" i="99"/>
  <c r="BM252" i="99"/>
  <c r="BM469" i="99" s="1"/>
  <c r="BM19" i="99" s="1"/>
  <c r="BM84" i="103" s="1"/>
  <c r="AS320" i="99"/>
  <c r="AS35" i="99" s="1"/>
  <c r="AS100" i="103" s="1"/>
  <c r="AS35" i="103" s="1"/>
  <c r="BN276" i="99"/>
  <c r="BN26" i="99" s="1"/>
  <c r="BN91" i="99" s="1"/>
  <c r="BI312" i="99"/>
  <c r="BI33" i="99" s="1"/>
  <c r="BI98" i="99" s="1"/>
  <c r="BQ309" i="99"/>
  <c r="BQ301" i="99"/>
  <c r="BM320" i="99"/>
  <c r="BM35" i="99" s="1"/>
  <c r="BO304" i="99"/>
  <c r="BO32" i="99" s="1"/>
  <c r="BO97" i="103" s="1"/>
  <c r="BO32" i="103" s="1"/>
  <c r="BH312" i="99"/>
  <c r="BH33" i="99" s="1"/>
  <c r="BR341" i="99"/>
  <c r="BR344" i="99" s="1"/>
  <c r="BR43" i="99" s="1"/>
  <c r="BR334" i="99"/>
  <c r="BO268" i="99"/>
  <c r="BO24" i="99" s="1"/>
  <c r="BO89" i="104" s="1"/>
  <c r="BO24" i="104" s="1"/>
  <c r="BN312" i="99"/>
  <c r="BN33" i="99" s="1"/>
  <c r="BN98" i="99" s="1"/>
  <c r="BN304" i="99"/>
  <c r="BN32" i="99" s="1"/>
  <c r="BN97" i="103" s="1"/>
  <c r="BN32" i="103" s="1"/>
  <c r="BD108" i="103"/>
  <c r="BD43" i="103" s="1"/>
  <c r="BD108" i="104"/>
  <c r="BD43" i="104" s="1"/>
  <c r="BD108" i="99"/>
  <c r="BD45" i="99"/>
  <c r="BF108" i="104"/>
  <c r="BF43" i="104" s="1"/>
  <c r="BF45" i="99"/>
  <c r="BF108" i="103"/>
  <c r="BF43" i="103" s="1"/>
  <c r="BF45" i="103" s="1"/>
  <c r="BF108" i="99"/>
  <c r="BI304" i="99"/>
  <c r="BI32" i="99" s="1"/>
  <c r="BI97" i="104" s="1"/>
  <c r="BI32" i="104" s="1"/>
  <c r="BE108" i="103"/>
  <c r="BE43" i="103" s="1"/>
  <c r="BE45" i="99"/>
  <c r="BE108" i="99"/>
  <c r="BE108" i="104"/>
  <c r="BE43" i="104" s="1"/>
  <c r="BD241" i="99"/>
  <c r="BD211" i="99"/>
  <c r="BD285" i="99"/>
  <c r="BD219" i="99"/>
  <c r="BH260" i="99"/>
  <c r="BH23" i="99" s="1"/>
  <c r="BH88" i="99" s="1"/>
  <c r="BW341" i="99"/>
  <c r="BW344" i="99" s="1"/>
  <c r="BW43" i="99" s="1"/>
  <c r="BW334" i="99"/>
  <c r="BF285" i="99"/>
  <c r="BF219" i="99"/>
  <c r="BH268" i="99"/>
  <c r="BH24" i="99" s="1"/>
  <c r="BF241" i="99"/>
  <c r="BF211" i="99"/>
  <c r="BE241" i="99"/>
  <c r="BE211" i="99"/>
  <c r="BP341" i="99"/>
  <c r="BP344" i="99" s="1"/>
  <c r="BP43" i="99" s="1"/>
  <c r="BP334" i="99"/>
  <c r="BW216" i="99"/>
  <c r="BW208" i="99"/>
  <c r="BW203" i="99"/>
  <c r="BI244" i="99"/>
  <c r="BE285" i="99"/>
  <c r="BE219" i="99"/>
  <c r="BP216" i="99"/>
  <c r="BP208" i="99"/>
  <c r="BP203" i="99"/>
  <c r="BM268" i="99"/>
  <c r="BM24" i="99" s="1"/>
  <c r="BM89" i="99" s="1"/>
  <c r="BO312" i="99"/>
  <c r="BO33" i="99" s="1"/>
  <c r="BO276" i="99"/>
  <c r="BO26" i="99" s="1"/>
  <c r="BO91" i="103" s="1"/>
  <c r="BO26" i="103" s="1"/>
  <c r="BH320" i="99"/>
  <c r="BH35" i="99" s="1"/>
  <c r="BH100" i="99" s="1"/>
  <c r="BR203" i="99"/>
  <c r="BR216" i="99"/>
  <c r="BR208" i="99"/>
  <c r="BM312" i="99"/>
  <c r="BM33" i="99" s="1"/>
  <c r="BM98" i="103" s="1"/>
  <c r="BM33" i="103" s="1"/>
  <c r="BN320" i="99"/>
  <c r="BN35" i="99" s="1"/>
  <c r="BN100" i="103" s="1"/>
  <c r="BN35" i="103" s="1"/>
  <c r="BH304" i="99"/>
  <c r="BH32" i="99" s="1"/>
  <c r="BH97" i="104" s="1"/>
  <c r="BH32" i="104" s="1"/>
  <c r="BT285" i="99"/>
  <c r="BT219" i="99"/>
  <c r="BJ45" i="103"/>
  <c r="BO43" i="105"/>
  <c r="BT108" i="103"/>
  <c r="BT43" i="103" s="1"/>
  <c r="BT108" i="104"/>
  <c r="BT43" i="104" s="1"/>
  <c r="BT108" i="99"/>
  <c r="BT45" i="99"/>
  <c r="BJ293" i="99"/>
  <c r="BJ301" i="99" s="1"/>
  <c r="BJ288" i="99"/>
  <c r="BK293" i="99"/>
  <c r="BK301" i="99" s="1"/>
  <c r="BK288" i="99"/>
  <c r="BS285" i="99"/>
  <c r="BS219" i="99"/>
  <c r="BS241" i="99"/>
  <c r="BS211" i="99"/>
  <c r="BK249" i="99"/>
  <c r="BK244" i="99"/>
  <c r="BL110" i="103"/>
  <c r="BL110" i="99"/>
  <c r="BL110" i="104"/>
  <c r="BL45" i="104" s="1"/>
  <c r="BU108" i="104"/>
  <c r="BU43" i="104" s="1"/>
  <c r="BU108" i="99"/>
  <c r="BU45" i="99"/>
  <c r="BU108" i="103"/>
  <c r="BU43" i="103" s="1"/>
  <c r="BU45" i="103" s="1"/>
  <c r="BL293" i="99"/>
  <c r="BL301" i="99" s="1"/>
  <c r="BL304" i="99" s="1"/>
  <c r="BL32" i="99" s="1"/>
  <c r="BL288" i="99"/>
  <c r="BL45" i="103"/>
  <c r="BQ43" i="105"/>
  <c r="BK110" i="103"/>
  <c r="BK110" i="99"/>
  <c r="BK110" i="104"/>
  <c r="BK45" i="104" s="1"/>
  <c r="BJ249" i="99"/>
  <c r="BJ244" i="99"/>
  <c r="BS108" i="103"/>
  <c r="BS43" i="103" s="1"/>
  <c r="BS45" i="103" s="1"/>
  <c r="BS108" i="99"/>
  <c r="BS45" i="99"/>
  <c r="BS108" i="104"/>
  <c r="BS43" i="104" s="1"/>
  <c r="BK45" i="103"/>
  <c r="BP43" i="105"/>
  <c r="BV45" i="99"/>
  <c r="BV108" i="104"/>
  <c r="BV43" i="104" s="1"/>
  <c r="BV108" i="99"/>
  <c r="BV108" i="103"/>
  <c r="BV43" i="103" s="1"/>
  <c r="BV45" i="103" s="1"/>
  <c r="BL249" i="99"/>
  <c r="BL244" i="99"/>
  <c r="BU285" i="99"/>
  <c r="BU219" i="99"/>
  <c r="BV285" i="99"/>
  <c r="BV219" i="99"/>
  <c r="BJ110" i="103"/>
  <c r="BJ110" i="99"/>
  <c r="BJ110" i="104"/>
  <c r="BJ45" i="104" s="1"/>
  <c r="BT241" i="99"/>
  <c r="BT211" i="99"/>
  <c r="BU241" i="99"/>
  <c r="BU211" i="99"/>
  <c r="BV241" i="99"/>
  <c r="BV211" i="99"/>
  <c r="BG285" i="99"/>
  <c r="BG219" i="99"/>
  <c r="BG241" i="99"/>
  <c r="BG211" i="99"/>
  <c r="BG108" i="99"/>
  <c r="BG108" i="104"/>
  <c r="BG43" i="104" s="1"/>
  <c r="BG108" i="103"/>
  <c r="BG43" i="103" s="1"/>
  <c r="BG45" i="99"/>
  <c r="M43" i="99"/>
  <c r="AJ451" i="153" a="1"/>
  <c r="AJ451" i="153" s="1"/>
  <c r="AJ457" i="153" s="1"/>
  <c r="AJ69" i="153" s="1"/>
  <c r="AJ134" i="153" s="1"/>
  <c r="AJ148" i="153"/>
  <c r="AJ147" i="153"/>
  <c r="AJ145" i="153"/>
  <c r="AJ146" i="153"/>
  <c r="BQ108" i="103"/>
  <c r="BQ43" i="103" s="1"/>
  <c r="BQ45" i="103" s="1"/>
  <c r="BQ108" i="99"/>
  <c r="BQ45" i="99"/>
  <c r="BQ108" i="104"/>
  <c r="BQ43" i="104" s="1"/>
  <c r="BQ211" i="99"/>
  <c r="BQ219" i="99"/>
  <c r="BG45" i="105"/>
  <c r="AG99" i="103"/>
  <c r="AO89" i="99"/>
  <c r="AO89" i="103"/>
  <c r="AO24" i="103" s="1"/>
  <c r="AT24" i="105" s="1"/>
  <c r="BD45" i="105"/>
  <c r="X34" i="105"/>
  <c r="AK24" i="105"/>
  <c r="AF99" i="103"/>
  <c r="AO96" i="103"/>
  <c r="AO31" i="103" s="1"/>
  <c r="AH31" i="105"/>
  <c r="AC99" i="103"/>
  <c r="AC33" i="105"/>
  <c r="AC31" i="105"/>
  <c r="AH33" i="105"/>
  <c r="W34" i="105"/>
  <c r="AM91" i="103"/>
  <c r="AM26" i="103" s="1"/>
  <c r="AM91" i="104"/>
  <c r="AM26" i="104" s="1"/>
  <c r="AL31" i="105"/>
  <c r="AF33" i="105"/>
  <c r="AE31" i="105"/>
  <c r="AJ31" i="105"/>
  <c r="AN96" i="103"/>
  <c r="AN31" i="103" s="1"/>
  <c r="AA31" i="105"/>
  <c r="AJ32" i="105"/>
  <c r="AL35" i="105"/>
  <c r="AB33" i="105"/>
  <c r="AB31" i="105"/>
  <c r="AK33" i="105"/>
  <c r="AC32" i="105"/>
  <c r="AF31" i="105"/>
  <c r="AD35" i="105"/>
  <c r="AB32" i="105"/>
  <c r="AB35" i="105"/>
  <c r="J89" i="103"/>
  <c r="AK32" i="105"/>
  <c r="AF35" i="105"/>
  <c r="AI33" i="105"/>
  <c r="AD99" i="103"/>
  <c r="AG32" i="105"/>
  <c r="L110" i="99"/>
  <c r="J88" i="103"/>
  <c r="AK23" i="105"/>
  <c r="AN91" i="99"/>
  <c r="AL32" i="105"/>
  <c r="P45" i="105"/>
  <c r="K23" i="151" s="1"/>
  <c r="AA33" i="105"/>
  <c r="AA32" i="105"/>
  <c r="AL33" i="105"/>
  <c r="AJ35" i="105"/>
  <c r="AQ96" i="103"/>
  <c r="AQ31" i="103" s="1"/>
  <c r="AN91" i="104"/>
  <c r="AN26" i="104" s="1"/>
  <c r="AS26" i="105" s="1"/>
  <c r="AA99" i="103"/>
  <c r="AH35" i="105"/>
  <c r="AK31" i="105"/>
  <c r="AI35" i="105"/>
  <c r="AM96" i="103"/>
  <c r="AM31" i="103" s="1"/>
  <c r="AG31" i="105"/>
  <c r="BF45" i="105"/>
  <c r="AC35" i="105"/>
  <c r="AH32" i="105"/>
  <c r="AD33" i="105"/>
  <c r="AI31" i="105"/>
  <c r="AJ33" i="105"/>
  <c r="AI32" i="105"/>
  <c r="Y31" i="105"/>
  <c r="AG33" i="105"/>
  <c r="Z34" i="105"/>
  <c r="AE32" i="105"/>
  <c r="BA45" i="105"/>
  <c r="AD32" i="105"/>
  <c r="AE33" i="105"/>
  <c r="S101" i="103"/>
  <c r="S102" i="103" s="1"/>
  <c r="AE99" i="103"/>
  <c r="AG35" i="105"/>
  <c r="AD31" i="105"/>
  <c r="AF32" i="105"/>
  <c r="AA35" i="105"/>
  <c r="AI24" i="105"/>
  <c r="AE35" i="105"/>
  <c r="AK35" i="105"/>
  <c r="AF23" i="105"/>
  <c r="AA24" i="105"/>
  <c r="AL96" i="103"/>
  <c r="AL31" i="103" s="1"/>
  <c r="AE24" i="105"/>
  <c r="AD23" i="105"/>
  <c r="Z22" i="105"/>
  <c r="AJ23" i="105"/>
  <c r="AB26" i="105"/>
  <c r="AB99" i="103"/>
  <c r="AS96" i="103"/>
  <c r="AS31" i="103" s="1"/>
  <c r="AH24" i="105"/>
  <c r="AC24" i="105"/>
  <c r="AQ278" i="153"/>
  <c r="AH23" i="105"/>
  <c r="AJ24" i="105"/>
  <c r="AH26" i="105"/>
  <c r="AK26" i="105"/>
  <c r="AG23" i="105"/>
  <c r="Y22" i="105"/>
  <c r="AL24" i="105"/>
  <c r="AD26" i="105"/>
  <c r="AD24" i="105"/>
  <c r="AG24" i="105"/>
  <c r="AB23" i="105"/>
  <c r="X22" i="105"/>
  <c r="AE23" i="105"/>
  <c r="AF24" i="105"/>
  <c r="AL26" i="105"/>
  <c r="AI23" i="105"/>
  <c r="AF26" i="105"/>
  <c r="AP96" i="103"/>
  <c r="AP31" i="103" s="1"/>
  <c r="AA23" i="105"/>
  <c r="W134" i="103"/>
  <c r="W69" i="103" s="1"/>
  <c r="W134" i="104"/>
  <c r="W69" i="104" s="1"/>
  <c r="AI91" i="103"/>
  <c r="AI26" i="103" s="1"/>
  <c r="AP89" i="103"/>
  <c r="AP24" i="103" s="1"/>
  <c r="AO88" i="103"/>
  <c r="AO23" i="103" s="1"/>
  <c r="AD87" i="103"/>
  <c r="AD22" i="103" s="1"/>
  <c r="AL88" i="103"/>
  <c r="AL23" i="103" s="1"/>
  <c r="AR96" i="103"/>
  <c r="AR31" i="103" s="1"/>
  <c r="BI100" i="103"/>
  <c r="BI35" i="103" s="1"/>
  <c r="AH89" i="99"/>
  <c r="AH89" i="103"/>
  <c r="AH24" i="103" s="1"/>
  <c r="AJ88" i="103"/>
  <c r="AJ23" i="103" s="1"/>
  <c r="AP88" i="103"/>
  <c r="AP23" i="103" s="1"/>
  <c r="AC26" i="105"/>
  <c r="AF87" i="103"/>
  <c r="AF22" i="103" s="1"/>
  <c r="V87" i="103"/>
  <c r="V22" i="103" s="1"/>
  <c r="AN88" i="103"/>
  <c r="AN23" i="103" s="1"/>
  <c r="AJ89" i="103"/>
  <c r="AJ24" i="103" s="1"/>
  <c r="AH88" i="103"/>
  <c r="AH23" i="103" s="1"/>
  <c r="Z99" i="103"/>
  <c r="W418" i="99"/>
  <c r="AQ89" i="103"/>
  <c r="AQ24" i="103" s="1"/>
  <c r="T134" i="103"/>
  <c r="T69" i="103" s="1"/>
  <c r="T134" i="104"/>
  <c r="T69" i="104" s="1"/>
  <c r="AK88" i="99"/>
  <c r="AK88" i="103"/>
  <c r="AK23" i="103" s="1"/>
  <c r="AI88" i="103"/>
  <c r="AI23" i="103" s="1"/>
  <c r="AL91" i="103"/>
  <c r="AL26" i="103" s="1"/>
  <c r="AC87" i="103"/>
  <c r="AC22" i="103" s="1"/>
  <c r="W87" i="103"/>
  <c r="W22" i="103" s="1"/>
  <c r="Y87" i="103"/>
  <c r="Y22" i="103" s="1"/>
  <c r="Y25" i="103" s="1"/>
  <c r="Y27" i="103" s="1"/>
  <c r="AM89" i="103"/>
  <c r="AM24" i="103" s="1"/>
  <c r="AL89" i="103"/>
  <c r="AL24" i="103" s="1"/>
  <c r="AQ91" i="103"/>
  <c r="AQ26" i="103" s="1"/>
  <c r="AG87" i="103"/>
  <c r="AG22" i="103" s="1"/>
  <c r="AL23" i="105"/>
  <c r="AB87" i="103"/>
  <c r="AB22" i="103" s="1"/>
  <c r="AQ88" i="103"/>
  <c r="AQ23" i="103" s="1"/>
  <c r="U134" i="103"/>
  <c r="U69" i="103" s="1"/>
  <c r="U134" i="104"/>
  <c r="U69" i="104" s="1"/>
  <c r="Z87" i="103"/>
  <c r="Z22" i="103" s="1"/>
  <c r="AM88" i="103"/>
  <c r="AM23" i="103" s="1"/>
  <c r="X87" i="103"/>
  <c r="X22" i="103" s="1"/>
  <c r="AE87" i="103"/>
  <c r="AE22" i="103" s="1"/>
  <c r="AN89" i="103"/>
  <c r="AN24" i="103" s="1"/>
  <c r="AP91" i="103"/>
  <c r="AP26" i="103" s="1"/>
  <c r="AL100" i="99"/>
  <c r="AL100" i="103"/>
  <c r="AL35" i="103" s="1"/>
  <c r="R101" i="103"/>
  <c r="R102" i="103" s="1"/>
  <c r="AA87" i="103"/>
  <c r="AA22" i="103" s="1"/>
  <c r="AE26" i="105"/>
  <c r="AG34" i="103"/>
  <c r="AG36" i="103" s="1"/>
  <c r="AG37" i="103" s="1"/>
  <c r="X19" i="105"/>
  <c r="AP88" i="104"/>
  <c r="AP23" i="104" s="1"/>
  <c r="BI100" i="104"/>
  <c r="BI35" i="104" s="1"/>
  <c r="AW278" i="153"/>
  <c r="AA34" i="103"/>
  <c r="AA36" i="103" s="1"/>
  <c r="AA37" i="103" s="1"/>
  <c r="W22" i="105"/>
  <c r="Q43" i="105"/>
  <c r="AF451" i="99" a="1"/>
  <c r="AF451" i="99" s="1"/>
  <c r="AF457" i="99" s="1"/>
  <c r="AF69" i="99" s="1"/>
  <c r="AF134" i="99" s="1"/>
  <c r="J24" i="103"/>
  <c r="BT258" i="99"/>
  <c r="AA84" i="104"/>
  <c r="AA19" i="104" s="1"/>
  <c r="AA149" i="104" s="1"/>
  <c r="R90" i="104"/>
  <c r="R25" i="104" s="1"/>
  <c r="AM98" i="104"/>
  <c r="AM33" i="104" s="1"/>
  <c r="AL97" i="99"/>
  <c r="AL97" i="104"/>
  <c r="AL32" i="104" s="1"/>
  <c r="AL32" i="103"/>
  <c r="AI97" i="99"/>
  <c r="AI32" i="103"/>
  <c r="AI97" i="104"/>
  <c r="AI32" i="104" s="1"/>
  <c r="AK88" i="104"/>
  <c r="AK23" i="104" s="1"/>
  <c r="AB99" i="104"/>
  <c r="AB34" i="104" s="1"/>
  <c r="J98" i="99"/>
  <c r="AK96" i="104"/>
  <c r="AK31" i="104" s="1"/>
  <c r="R101" i="104"/>
  <c r="R102" i="104" s="1"/>
  <c r="Z87" i="104"/>
  <c r="Z22" i="104" s="1"/>
  <c r="AA87" i="104"/>
  <c r="AA22" i="104" s="1"/>
  <c r="AM96" i="104"/>
  <c r="AM31" i="104" s="1"/>
  <c r="J97" i="104"/>
  <c r="U101" i="104"/>
  <c r="U102" i="104" s="1"/>
  <c r="AJ98" i="104"/>
  <c r="AJ33" i="104" s="1"/>
  <c r="Z84" i="104"/>
  <c r="Z19" i="104" s="1"/>
  <c r="Z148" i="104" s="1"/>
  <c r="AM100" i="99"/>
  <c r="AM100" i="104"/>
  <c r="AM35" i="104" s="1"/>
  <c r="AM35" i="103"/>
  <c r="AF99" i="104"/>
  <c r="AF34" i="104" s="1"/>
  <c r="AR100" i="104"/>
  <c r="AR35" i="104" s="1"/>
  <c r="AH88" i="104"/>
  <c r="AH23" i="104" s="1"/>
  <c r="T90" i="104"/>
  <c r="T25" i="104" s="1"/>
  <c r="AN89" i="99"/>
  <c r="AN89" i="104"/>
  <c r="AN24" i="104" s="1"/>
  <c r="AP98" i="99"/>
  <c r="AP98" i="104"/>
  <c r="AP33" i="104" s="1"/>
  <c r="AP33" i="103"/>
  <c r="AJ89" i="104"/>
  <c r="AJ24" i="104" s="1"/>
  <c r="AI91" i="104"/>
  <c r="AI26" i="104" s="1"/>
  <c r="AD99" i="104"/>
  <c r="AD34" i="104" s="1"/>
  <c r="AM88" i="104"/>
  <c r="AM23" i="104" s="1"/>
  <c r="AA99" i="104"/>
  <c r="AA34" i="104" s="1"/>
  <c r="S101" i="104"/>
  <c r="S102" i="104" s="1"/>
  <c r="AE99" i="104"/>
  <c r="AE34" i="104" s="1"/>
  <c r="AP89" i="104"/>
  <c r="AP24" i="104" s="1"/>
  <c r="AH97" i="99"/>
  <c r="AH97" i="104"/>
  <c r="AH32" i="104" s="1"/>
  <c r="AH32" i="103"/>
  <c r="AK97" i="104"/>
  <c r="AK32" i="104" s="1"/>
  <c r="V99" i="104"/>
  <c r="V34" i="104" s="1"/>
  <c r="AP91" i="99"/>
  <c r="AP91" i="104"/>
  <c r="AP26" i="104" s="1"/>
  <c r="AE147" i="99"/>
  <c r="AE84" i="104"/>
  <c r="AE19" i="104" s="1"/>
  <c r="AE150" i="104" s="1"/>
  <c r="AQ98" i="99"/>
  <c r="AQ98" i="104"/>
  <c r="AQ33" i="104" s="1"/>
  <c r="AQ33" i="103"/>
  <c r="AL98" i="104"/>
  <c r="AL33" i="104" s="1"/>
  <c r="AL33" i="103"/>
  <c r="AM89" i="104"/>
  <c r="AM24" i="104" s="1"/>
  <c r="AJ97" i="104"/>
  <c r="AJ32" i="104" s="1"/>
  <c r="AM97" i="104"/>
  <c r="AM32" i="104" s="1"/>
  <c r="AM32" i="103"/>
  <c r="AD146" i="99"/>
  <c r="AD84" i="104"/>
  <c r="AD19" i="104" s="1"/>
  <c r="AD148" i="104" s="1"/>
  <c r="AP32" i="103"/>
  <c r="AP97" i="104"/>
  <c r="AP32" i="104" s="1"/>
  <c r="AE87" i="104"/>
  <c r="AE22" i="104" s="1"/>
  <c r="AP96" i="104"/>
  <c r="AP31" i="104" s="1"/>
  <c r="AR96" i="104"/>
  <c r="AR31" i="104" s="1"/>
  <c r="AD87" i="104"/>
  <c r="AD22" i="104" s="1"/>
  <c r="AH100" i="99"/>
  <c r="AH35" i="103"/>
  <c r="AH100" i="104"/>
  <c r="AH35" i="104" s="1"/>
  <c r="AI88" i="104"/>
  <c r="AI23" i="104" s="1"/>
  <c r="AQ89" i="104"/>
  <c r="AQ24" i="104" s="1"/>
  <c r="AC99" i="104"/>
  <c r="AC34" i="104" s="1"/>
  <c r="AC148" i="99"/>
  <c r="AC84" i="104"/>
  <c r="AC19" i="104" s="1"/>
  <c r="AC148" i="104" s="1"/>
  <c r="AS96" i="104"/>
  <c r="AS31" i="104" s="1"/>
  <c r="AL96" i="104"/>
  <c r="AL31" i="104" s="1"/>
  <c r="U90" i="104"/>
  <c r="U25" i="104" s="1"/>
  <c r="AH98" i="99"/>
  <c r="AH98" i="104"/>
  <c r="AH33" i="104" s="1"/>
  <c r="AH33" i="103"/>
  <c r="AO88" i="99"/>
  <c r="AO88" i="104"/>
  <c r="AO23" i="104" s="1"/>
  <c r="Z19" i="105"/>
  <c r="AH96" i="104"/>
  <c r="AH31" i="104" s="1"/>
  <c r="AH31" i="103"/>
  <c r="X87" i="104"/>
  <c r="X22" i="104" s="1"/>
  <c r="AQ97" i="99"/>
  <c r="AQ32" i="103"/>
  <c r="AQ97" i="104"/>
  <c r="AQ32" i="104" s="1"/>
  <c r="AC87" i="104"/>
  <c r="AC22" i="104" s="1"/>
  <c r="AN97" i="104"/>
  <c r="AN32" i="104" s="1"/>
  <c r="W19" i="105"/>
  <c r="AJ96" i="104"/>
  <c r="AJ31" i="104" s="1"/>
  <c r="AQ96" i="104"/>
  <c r="AQ31" i="104" s="1"/>
  <c r="T99" i="104"/>
  <c r="T34" i="104" s="1"/>
  <c r="V84" i="104"/>
  <c r="V19" i="104" s="1"/>
  <c r="V148" i="104" s="1"/>
  <c r="V87" i="104"/>
  <c r="V22" i="104" s="1"/>
  <c r="X19" i="103"/>
  <c r="X148" i="103" s="1"/>
  <c r="X84" i="104"/>
  <c r="X19" i="104" s="1"/>
  <c r="AG99" i="104"/>
  <c r="AG34" i="104" s="1"/>
  <c r="AF146" i="99"/>
  <c r="AF19" i="103"/>
  <c r="AF84" i="104"/>
  <c r="AF19" i="104" s="1"/>
  <c r="AF148" i="104" s="1"/>
  <c r="AK100" i="104"/>
  <c r="AK35" i="104" s="1"/>
  <c r="AN96" i="104"/>
  <c r="AN31" i="104" s="1"/>
  <c r="AQ100" i="99"/>
  <c r="AQ100" i="104"/>
  <c r="AQ35" i="104" s="1"/>
  <c r="AQ35" i="103"/>
  <c r="Y99" i="104"/>
  <c r="Y34" i="104" s="1"/>
  <c r="BX108" i="104"/>
  <c r="BX43" i="104" s="1"/>
  <c r="AI100" i="104"/>
  <c r="AI35" i="104" s="1"/>
  <c r="AS97" i="104"/>
  <c r="AS32" i="104" s="1"/>
  <c r="AK98" i="104"/>
  <c r="AK33" i="104" s="1"/>
  <c r="AK33" i="103"/>
  <c r="Y19" i="105"/>
  <c r="AN100" i="104"/>
  <c r="AN35" i="104" s="1"/>
  <c r="AQ91" i="104"/>
  <c r="AQ26" i="104" s="1"/>
  <c r="AF87" i="104"/>
  <c r="AF22" i="104" s="1"/>
  <c r="AO100" i="104"/>
  <c r="AO35" i="104" s="1"/>
  <c r="W148" i="99"/>
  <c r="W84" i="104"/>
  <c r="W19" i="104" s="1"/>
  <c r="W150" i="104" s="1"/>
  <c r="W19" i="103"/>
  <c r="X99" i="104"/>
  <c r="X34" i="104" s="1"/>
  <c r="AI98" i="104"/>
  <c r="AI33" i="104" s="1"/>
  <c r="AJ100" i="104"/>
  <c r="AJ35" i="104" s="1"/>
  <c r="W87" i="104"/>
  <c r="W22" i="104" s="1"/>
  <c r="AG19" i="103"/>
  <c r="AG149" i="103" s="1"/>
  <c r="AG84" i="104"/>
  <c r="AG19" i="104" s="1"/>
  <c r="AG150" i="104" s="1"/>
  <c r="AL89" i="104"/>
  <c r="AL24" i="104" s="1"/>
  <c r="AL88" i="104"/>
  <c r="AL23" i="104" s="1"/>
  <c r="AI96" i="104"/>
  <c r="AI31" i="104" s="1"/>
  <c r="Y87" i="104"/>
  <c r="Y22" i="104" s="1"/>
  <c r="J33" i="104"/>
  <c r="AN88" i="104"/>
  <c r="AN23" i="104" s="1"/>
  <c r="J88" i="104"/>
  <c r="AO96" i="104"/>
  <c r="AO31" i="104" s="1"/>
  <c r="AG87" i="104"/>
  <c r="AG22" i="104" s="1"/>
  <c r="AH89" i="104"/>
  <c r="AH24" i="104" s="1"/>
  <c r="AJ88" i="99"/>
  <c r="AJ88" i="104"/>
  <c r="AJ23" i="104" s="1"/>
  <c r="W99" i="104"/>
  <c r="W34" i="104" s="1"/>
  <c r="AL91" i="104"/>
  <c r="AL26" i="104" s="1"/>
  <c r="Y19" i="103"/>
  <c r="Y148" i="103" s="1"/>
  <c r="Y84" i="104"/>
  <c r="Y19" i="104" s="1"/>
  <c r="Y149" i="104" s="1"/>
  <c r="AO97" i="104"/>
  <c r="AO32" i="104" s="1"/>
  <c r="AO98" i="99"/>
  <c r="AO98" i="104"/>
  <c r="AO33" i="104" s="1"/>
  <c r="AO33" i="103"/>
  <c r="AB87" i="104"/>
  <c r="AB22" i="104" s="1"/>
  <c r="BY108" i="104"/>
  <c r="BY43" i="104" s="1"/>
  <c r="AQ88" i="104"/>
  <c r="AQ23" i="104" s="1"/>
  <c r="J89" i="99"/>
  <c r="J89" i="104"/>
  <c r="AL100" i="104"/>
  <c r="AL35" i="104" s="1"/>
  <c r="AN98" i="104"/>
  <c r="AN33" i="104" s="1"/>
  <c r="S90" i="104"/>
  <c r="S25" i="104" s="1"/>
  <c r="Z99" i="104"/>
  <c r="Z34" i="104" s="1"/>
  <c r="AB84" i="104"/>
  <c r="AB19" i="104" s="1"/>
  <c r="AB149" i="104" s="1"/>
  <c r="AB19" i="103"/>
  <c r="AB149" i="103" s="1"/>
  <c r="AP100" i="104"/>
  <c r="AP35" i="104" s="1"/>
  <c r="AP35" i="103"/>
  <c r="L110" i="104"/>
  <c r="L45" i="104"/>
  <c r="J23" i="103"/>
  <c r="BT318" i="99"/>
  <c r="AU278" i="153"/>
  <c r="AL278" i="153"/>
  <c r="BT302" i="99"/>
  <c r="BT274" i="99"/>
  <c r="BT467" i="99"/>
  <c r="BE260" i="153"/>
  <c r="BE23" i="153" s="1"/>
  <c r="BE88" i="153" s="1"/>
  <c r="BC469" i="153"/>
  <c r="BC19" i="153" s="1"/>
  <c r="BC84" i="153" s="1"/>
  <c r="AX260" i="153"/>
  <c r="AX23" i="153" s="1"/>
  <c r="AX88" i="153" s="1"/>
  <c r="AW145" i="153"/>
  <c r="BC260" i="153"/>
  <c r="BC23" i="153" s="1"/>
  <c r="BC88" i="153" s="1"/>
  <c r="AR148" i="153"/>
  <c r="AR147" i="153"/>
  <c r="BE469" i="153"/>
  <c r="BE19" i="153" s="1"/>
  <c r="BE84" i="153" s="1"/>
  <c r="AR145" i="153"/>
  <c r="AP418" i="153"/>
  <c r="AP451" i="153" a="1"/>
  <c r="AP451" i="153" s="1"/>
  <c r="AP457" i="153" s="1"/>
  <c r="AP69" i="153" s="1"/>
  <c r="AM147" i="153"/>
  <c r="AM148" i="153"/>
  <c r="BC322" i="153"/>
  <c r="BH469" i="153"/>
  <c r="BH19" i="153" s="1"/>
  <c r="BH84" i="153" s="1"/>
  <c r="J148" i="153"/>
  <c r="AX469" i="153"/>
  <c r="AU146" i="153"/>
  <c r="AU147" i="153"/>
  <c r="AU148" i="153"/>
  <c r="AR278" i="153"/>
  <c r="AP146" i="153"/>
  <c r="J146" i="153"/>
  <c r="AM145" i="153"/>
  <c r="AS451" i="153" a="1"/>
  <c r="AS451" i="153" s="1"/>
  <c r="AS457" i="153" s="1"/>
  <c r="AS69" i="153" s="1"/>
  <c r="AS134" i="153" s="1"/>
  <c r="AS418" i="153"/>
  <c r="AX322" i="153"/>
  <c r="AU145" i="153"/>
  <c r="AO148" i="153"/>
  <c r="AO147" i="153"/>
  <c r="AM451" i="153" a="1"/>
  <c r="AM451" i="153" s="1"/>
  <c r="AM457" i="153" s="1"/>
  <c r="AM69" i="153" s="1"/>
  <c r="AM134" i="153" s="1"/>
  <c r="AM418" i="153"/>
  <c r="AM278" i="153"/>
  <c r="AS146" i="153"/>
  <c r="BF260" i="153"/>
  <c r="BF23" i="153" s="1"/>
  <c r="BF88" i="153" s="1"/>
  <c r="BH260" i="153"/>
  <c r="BH23" i="153" s="1"/>
  <c r="BH88" i="153" s="1"/>
  <c r="AO145" i="153"/>
  <c r="AZ260" i="153"/>
  <c r="AZ23" i="153" s="1"/>
  <c r="AZ88" i="153" s="1"/>
  <c r="AM146" i="153"/>
  <c r="AW451" i="153" a="1"/>
  <c r="AW451" i="153" s="1"/>
  <c r="AW457" i="153" s="1"/>
  <c r="AW69" i="153" s="1"/>
  <c r="AW134" i="153" s="1"/>
  <c r="AW418" i="153"/>
  <c r="AO278" i="153"/>
  <c r="BD469" i="153"/>
  <c r="BD19" i="153" s="1"/>
  <c r="BD84" i="153" s="1"/>
  <c r="AZ469" i="153"/>
  <c r="AZ19" i="153" s="1"/>
  <c r="AZ84" i="153" s="1"/>
  <c r="J147" i="153"/>
  <c r="BF469" i="153"/>
  <c r="BF19" i="153" s="1"/>
  <c r="BF84" i="153" s="1"/>
  <c r="AQ145" i="153"/>
  <c r="AT418" i="153"/>
  <c r="AT451" i="153" a="1"/>
  <c r="AT451" i="153" s="1"/>
  <c r="AT457" i="153" s="1"/>
  <c r="AT69" i="153" s="1"/>
  <c r="AT134" i="153" s="1"/>
  <c r="AW146" i="153"/>
  <c r="AR451" i="153" a="1"/>
  <c r="AR451" i="153" s="1"/>
  <c r="AR457" i="153" s="1"/>
  <c r="AR69" i="153" s="1"/>
  <c r="AR134" i="153" s="1"/>
  <c r="AR418" i="153"/>
  <c r="BD260" i="153"/>
  <c r="BD23" i="153" s="1"/>
  <c r="BD88" i="153" s="1"/>
  <c r="AQ148" i="153"/>
  <c r="AR146" i="153"/>
  <c r="AY322" i="153"/>
  <c r="BA322" i="153"/>
  <c r="AV451" i="153" a="1"/>
  <c r="AV451" i="153" s="1"/>
  <c r="AV457" i="153" s="1"/>
  <c r="AV69" i="153" s="1"/>
  <c r="AV134" i="153" s="1"/>
  <c r="AV418" i="153"/>
  <c r="AO451" i="153" a="1"/>
  <c r="AO451" i="153" s="1"/>
  <c r="AO457" i="153" s="1"/>
  <c r="AO69" i="153" s="1"/>
  <c r="AO134" i="153" s="1"/>
  <c r="AO418" i="153"/>
  <c r="AQ147" i="153"/>
  <c r="BH322" i="153"/>
  <c r="AV146" i="153"/>
  <c r="AV145" i="153"/>
  <c r="AO146" i="153"/>
  <c r="BI469" i="153"/>
  <c r="BI19" i="153" s="1"/>
  <c r="BI84" i="153" s="1"/>
  <c r="BG322" i="153"/>
  <c r="J145" i="153"/>
  <c r="AV278" i="153"/>
  <c r="AN418" i="153"/>
  <c r="AN451" i="153" a="1"/>
  <c r="AN451" i="153" s="1"/>
  <c r="AN457" i="153" s="1"/>
  <c r="AN69" i="153" s="1"/>
  <c r="AN134" i="153" s="1"/>
  <c r="BD322" i="153"/>
  <c r="AV148" i="153"/>
  <c r="AV147" i="153"/>
  <c r="BI260" i="153"/>
  <c r="BI23" i="153" s="1"/>
  <c r="BI88" i="153" s="1"/>
  <c r="AN146" i="153"/>
  <c r="AL145" i="153"/>
  <c r="BB260" i="153"/>
  <c r="BB23" i="153" s="1"/>
  <c r="BF322" i="153"/>
  <c r="BG260" i="153"/>
  <c r="BG23" i="153" s="1"/>
  <c r="BG88" i="153" s="1"/>
  <c r="BI322" i="153"/>
  <c r="AY469" i="153"/>
  <c r="AY19" i="153" s="1"/>
  <c r="AY84" i="153" s="1"/>
  <c r="AL147" i="153"/>
  <c r="AL148" i="153"/>
  <c r="AT278" i="153"/>
  <c r="BB469" i="153"/>
  <c r="BB19" i="153" s="1"/>
  <c r="BG469" i="153"/>
  <c r="BG19" i="153" s="1"/>
  <c r="BG84" i="153" s="1"/>
  <c r="AP145" i="153"/>
  <c r="AZ322" i="153"/>
  <c r="AT145" i="153"/>
  <c r="BB322" i="153"/>
  <c r="AP148" i="153"/>
  <c r="AP147" i="153"/>
  <c r="AY260" i="153"/>
  <c r="AY23" i="153" s="1"/>
  <c r="AY88" i="153" s="1"/>
  <c r="AQ418" i="153"/>
  <c r="AQ451" i="153" a="1"/>
  <c r="AQ451" i="153" s="1"/>
  <c r="AQ457" i="153" s="1"/>
  <c r="AQ69" i="153" s="1"/>
  <c r="AQ134" i="153" s="1"/>
  <c r="AT146" i="153"/>
  <c r="AT148" i="153"/>
  <c r="AT147" i="153"/>
  <c r="BA469" i="153"/>
  <c r="BA19" i="153" s="1"/>
  <c r="BA84" i="153" s="1"/>
  <c r="AP278" i="153"/>
  <c r="AQ146" i="153"/>
  <c r="AS148" i="153"/>
  <c r="AS147" i="153"/>
  <c r="AU451" i="153" a="1"/>
  <c r="AU451" i="153" s="1"/>
  <c r="AU457" i="153" s="1"/>
  <c r="AU69" i="153" s="1"/>
  <c r="AU134" i="153" s="1"/>
  <c r="AU418" i="153"/>
  <c r="BE322" i="153"/>
  <c r="AN278" i="153"/>
  <c r="AS278" i="153"/>
  <c r="AL451" i="153" a="1"/>
  <c r="AL451" i="153" s="1"/>
  <c r="AL457" i="153" s="1"/>
  <c r="AL69" i="153" s="1"/>
  <c r="AL134" i="153" s="1"/>
  <c r="AL418" i="153"/>
  <c r="BA260" i="153"/>
  <c r="BA23" i="153" s="1"/>
  <c r="BA88" i="153" s="1"/>
  <c r="AN145" i="153"/>
  <c r="AS145" i="153"/>
  <c r="AL146" i="153"/>
  <c r="AN148" i="153"/>
  <c r="AN147" i="153"/>
  <c r="AW148" i="153"/>
  <c r="AW147" i="153"/>
  <c r="AQ322" i="99"/>
  <c r="BJ418" i="153"/>
  <c r="K32" i="99"/>
  <c r="K97" i="103" s="1"/>
  <c r="AL322" i="99"/>
  <c r="K33" i="99"/>
  <c r="K98" i="103" s="1"/>
  <c r="AL98" i="99"/>
  <c r="K23" i="99"/>
  <c r="K88" i="99" s="1"/>
  <c r="BV322" i="153"/>
  <c r="BO146" i="153"/>
  <c r="AK98" i="99"/>
  <c r="K35" i="99"/>
  <c r="K100" i="103" s="1"/>
  <c r="J34" i="99"/>
  <c r="AP97" i="99"/>
  <c r="BO148" i="153"/>
  <c r="BX258" i="99"/>
  <c r="AM322" i="99"/>
  <c r="BY319" i="99"/>
  <c r="BX316" i="99"/>
  <c r="BP451" i="153" a="1"/>
  <c r="BP451" i="153" s="1"/>
  <c r="BP457" i="153" s="1"/>
  <c r="BP69" i="153" s="1"/>
  <c r="BP134" i="153" s="1"/>
  <c r="BX257" i="99"/>
  <c r="BX317" i="99"/>
  <c r="BY318" i="99"/>
  <c r="S147" i="104"/>
  <c r="AU298" i="99"/>
  <c r="AU304" i="99" s="1"/>
  <c r="AU32" i="99" s="1"/>
  <c r="AU97" i="103" s="1"/>
  <c r="AU314" i="99"/>
  <c r="AU320" i="99" s="1"/>
  <c r="AU35" i="99" s="1"/>
  <c r="BY273" i="99"/>
  <c r="AE146" i="99"/>
  <c r="AH322" i="99"/>
  <c r="J97" i="99"/>
  <c r="AY314" i="99"/>
  <c r="AY320" i="99" s="1"/>
  <c r="AY35" i="99" s="1"/>
  <c r="AY100" i="103" s="1"/>
  <c r="U147" i="103"/>
  <c r="BR418" i="153"/>
  <c r="BW322" i="153"/>
  <c r="BK148" i="153"/>
  <c r="BK145" i="153"/>
  <c r="AZ298" i="99"/>
  <c r="AZ304" i="99" s="1"/>
  <c r="AZ32" i="99" s="1"/>
  <c r="AZ97" i="103" s="1"/>
  <c r="BL418" i="153"/>
  <c r="BL451" i="153" a="1"/>
  <c r="BL451" i="153" s="1"/>
  <c r="BL457" i="153" s="1"/>
  <c r="BL69" i="153" s="1"/>
  <c r="BL134" i="153" s="1"/>
  <c r="BM145" i="153"/>
  <c r="BM146" i="153"/>
  <c r="BM148" i="153"/>
  <c r="BQ418" i="153"/>
  <c r="BQ451" i="153" a="1"/>
  <c r="BQ451" i="153" s="1"/>
  <c r="BQ457" i="153" s="1"/>
  <c r="BQ69" i="153" s="1"/>
  <c r="BQ134" i="153" s="1"/>
  <c r="AW314" i="99"/>
  <c r="AW320" i="99" s="1"/>
  <c r="AW35" i="99" s="1"/>
  <c r="AW100" i="103" s="1"/>
  <c r="AW306" i="99"/>
  <c r="AW312" i="99" s="1"/>
  <c r="AW33" i="99" s="1"/>
  <c r="AW98" i="103" s="1"/>
  <c r="BY302" i="99"/>
  <c r="BV278" i="153"/>
  <c r="BV469" i="153"/>
  <c r="BU451" i="153" a="1"/>
  <c r="BU451" i="153" s="1"/>
  <c r="BU457" i="153" s="1"/>
  <c r="BU69" i="153" s="1"/>
  <c r="BU134" i="153" s="1"/>
  <c r="BU418" i="153"/>
  <c r="BY271" i="99"/>
  <c r="BN418" i="153"/>
  <c r="BN451" i="153" a="1"/>
  <c r="BN451" i="153" s="1"/>
  <c r="BN457" i="153" s="1"/>
  <c r="BN69" i="153" s="1"/>
  <c r="BK418" i="153"/>
  <c r="BK451" i="153" a="1"/>
  <c r="BK451" i="153" s="1"/>
  <c r="BK457" i="153" s="1"/>
  <c r="BK69" i="153" s="1"/>
  <c r="BK134" i="153" s="1"/>
  <c r="BS418" i="153"/>
  <c r="BS451" i="153" a="1"/>
  <c r="BS451" i="153" s="1"/>
  <c r="BS457" i="153" s="1"/>
  <c r="BS69" i="153" s="1"/>
  <c r="BS134" i="153" s="1"/>
  <c r="BT418" i="153"/>
  <c r="BT451" i="153" a="1"/>
  <c r="BT451" i="153" s="1"/>
  <c r="BT457" i="153" s="1"/>
  <c r="BT69" i="153" s="1"/>
  <c r="BT134" i="153" s="1"/>
  <c r="BN145" i="153"/>
  <c r="AU306" i="99"/>
  <c r="AU312" i="99" s="1"/>
  <c r="AU33" i="99" s="1"/>
  <c r="AU98" i="103" s="1"/>
  <c r="BQ146" i="153"/>
  <c r="BQ147" i="153"/>
  <c r="BN147" i="153"/>
  <c r="BN148" i="153"/>
  <c r="BY322" i="153"/>
  <c r="BQ145" i="153"/>
  <c r="BX300" i="99"/>
  <c r="U147" i="104"/>
  <c r="AC147" i="99"/>
  <c r="BQ148" i="153"/>
  <c r="BB298" i="99"/>
  <c r="BB304" i="99" s="1"/>
  <c r="BB32" i="99" s="1"/>
  <c r="BB97" i="103" s="1"/>
  <c r="BL145" i="153"/>
  <c r="BO145" i="153"/>
  <c r="BY469" i="153"/>
  <c r="BY19" i="153" s="1"/>
  <c r="BY84" i="153" s="1"/>
  <c r="BY278" i="153"/>
  <c r="BB306" i="99"/>
  <c r="BB312" i="99" s="1"/>
  <c r="BB33" i="99" s="1"/>
  <c r="BB98" i="103" s="1"/>
  <c r="BL147" i="153"/>
  <c r="BL146" i="153"/>
  <c r="BL148" i="153"/>
  <c r="AP322" i="99"/>
  <c r="BX322" i="153"/>
  <c r="AX306" i="99"/>
  <c r="AX312" i="99" s="1"/>
  <c r="AX33" i="99" s="1"/>
  <c r="AX98" i="103" s="1"/>
  <c r="AX314" i="99"/>
  <c r="AX320" i="99" s="1"/>
  <c r="AX35" i="99" s="1"/>
  <c r="AX100" i="103" s="1"/>
  <c r="BX469" i="153"/>
  <c r="BX19" i="153" s="1"/>
  <c r="BX84" i="153" s="1"/>
  <c r="BX278" i="153"/>
  <c r="BM418" i="153"/>
  <c r="BM451" i="153" a="1"/>
  <c r="BM451" i="153" s="1"/>
  <c r="BM457" i="153" s="1"/>
  <c r="BM69" i="153" s="1"/>
  <c r="BM134" i="153" s="1"/>
  <c r="BW469" i="153"/>
  <c r="BW19" i="153" s="1"/>
  <c r="BW84" i="153" s="1"/>
  <c r="BW278" i="153"/>
  <c r="BN146" i="153"/>
  <c r="BM147" i="153"/>
  <c r="BO418" i="153"/>
  <c r="BO451" i="153" a="1"/>
  <c r="BO451" i="153" s="1"/>
  <c r="BO457" i="153" s="1"/>
  <c r="BO69" i="153" s="1"/>
  <c r="BO134" i="153" s="1"/>
  <c r="BU147" i="153"/>
  <c r="BU148" i="153"/>
  <c r="BU146" i="153"/>
  <c r="BO147" i="153"/>
  <c r="BE270" i="99"/>
  <c r="BY275" i="99"/>
  <c r="BU145" i="153"/>
  <c r="BK147" i="153"/>
  <c r="BK146" i="153"/>
  <c r="BA306" i="99"/>
  <c r="BA312" i="99" s="1"/>
  <c r="BA33" i="99" s="1"/>
  <c r="BY307" i="99"/>
  <c r="J35" i="104"/>
  <c r="BC306" i="99"/>
  <c r="BC312" i="99" s="1"/>
  <c r="BC33" i="99" s="1"/>
  <c r="BC98" i="103" s="1"/>
  <c r="BC298" i="99"/>
  <c r="BC304" i="99" s="1"/>
  <c r="BC32" i="99" s="1"/>
  <c r="BC97" i="103" s="1"/>
  <c r="BX259" i="99"/>
  <c r="BB254" i="99"/>
  <c r="BB260" i="99" s="1"/>
  <c r="BB23" i="99" s="1"/>
  <c r="BC314" i="99"/>
  <c r="BC320" i="99" s="1"/>
  <c r="BC35" i="99" s="1"/>
  <c r="BC100" i="103" s="1"/>
  <c r="AU262" i="99"/>
  <c r="AU268" i="99" s="1"/>
  <c r="AU24" i="99" s="1"/>
  <c r="BW270" i="99"/>
  <c r="BE298" i="99"/>
  <c r="AW298" i="99"/>
  <c r="AW304" i="99" s="1"/>
  <c r="AW32" i="99" s="1"/>
  <c r="AW97" i="103" s="1"/>
  <c r="AT270" i="99"/>
  <c r="AT276" i="99" s="1"/>
  <c r="AT26" i="99" s="1"/>
  <c r="AT91" i="99" s="1"/>
  <c r="BX319" i="99"/>
  <c r="BW306" i="99"/>
  <c r="BW298" i="99"/>
  <c r="AX270" i="99"/>
  <c r="AX276" i="99" s="1"/>
  <c r="AX26" i="99" s="1"/>
  <c r="BD306" i="99"/>
  <c r="T147" i="104"/>
  <c r="AJ322" i="99"/>
  <c r="BX301" i="99"/>
  <c r="BB314" i="99"/>
  <c r="BB320" i="99" s="1"/>
  <c r="BB35" i="99" s="1"/>
  <c r="BB100" i="103" s="1"/>
  <c r="AV270" i="99"/>
  <c r="AV276" i="99" s="1"/>
  <c r="AV26" i="99" s="1"/>
  <c r="J23" i="104"/>
  <c r="AO322" i="99"/>
  <c r="AZ306" i="99"/>
  <c r="AZ312" i="99" s="1"/>
  <c r="AZ33" i="99" s="1"/>
  <c r="AZ98" i="103" s="1"/>
  <c r="R420" i="99"/>
  <c r="J22" i="99"/>
  <c r="J87" i="103" s="1"/>
  <c r="BY274" i="99"/>
  <c r="BY303" i="99"/>
  <c r="J26" i="103"/>
  <c r="J33" i="103"/>
  <c r="Z34" i="103"/>
  <c r="Z36" i="103" s="1"/>
  <c r="Z37" i="103" s="1"/>
  <c r="AO276" i="99"/>
  <c r="AO26" i="99" s="1"/>
  <c r="AK268" i="99"/>
  <c r="AK24" i="99" s="1"/>
  <c r="AJ469" i="99"/>
  <c r="AJ19" i="99" s="1"/>
  <c r="AJ84" i="103" s="1"/>
  <c r="AJ278" i="99"/>
  <c r="AJ22" i="99"/>
  <c r="R148" i="104"/>
  <c r="R150" i="104"/>
  <c r="Z146" i="99"/>
  <c r="Z84" i="99"/>
  <c r="Z19" i="103"/>
  <c r="Z147" i="99"/>
  <c r="Z148" i="99"/>
  <c r="AS469" i="99"/>
  <c r="AS19" i="99" s="1"/>
  <c r="AS84" i="103" s="1"/>
  <c r="AS22" i="99"/>
  <c r="AC451" i="99" a="1"/>
  <c r="AC451" i="99" s="1"/>
  <c r="AC457" i="99" s="1"/>
  <c r="AC69" i="99" s="1"/>
  <c r="AC134" i="99" s="1"/>
  <c r="AC418" i="99"/>
  <c r="AO97" i="99"/>
  <c r="AO32" i="103"/>
  <c r="AQ34" i="99"/>
  <c r="AQ96" i="99"/>
  <c r="U90" i="99"/>
  <c r="U27" i="99"/>
  <c r="U92" i="103" s="1"/>
  <c r="U93" i="103" s="1"/>
  <c r="AB25" i="99"/>
  <c r="AB90" i="103" s="1"/>
  <c r="AB145" i="99"/>
  <c r="AB87" i="99"/>
  <c r="AY270" i="99"/>
  <c r="AY276" i="99" s="1"/>
  <c r="AY26" i="99" s="1"/>
  <c r="AY463" i="99"/>
  <c r="AY252" i="99"/>
  <c r="R149" i="103"/>
  <c r="R147" i="103"/>
  <c r="AP469" i="99"/>
  <c r="AP19" i="99" s="1"/>
  <c r="AP84" i="103" s="1"/>
  <c r="AP22" i="99"/>
  <c r="AP278" i="99"/>
  <c r="S148" i="104"/>
  <c r="S150" i="104"/>
  <c r="S149" i="104"/>
  <c r="AH96" i="99"/>
  <c r="AH34" i="99"/>
  <c r="AH99" i="103" s="1"/>
  <c r="AB84" i="99"/>
  <c r="AB148" i="99"/>
  <c r="Z451" i="99" a="1"/>
  <c r="Z451" i="99" s="1"/>
  <c r="Z457" i="99" s="1"/>
  <c r="Z69" i="99" s="1"/>
  <c r="Z134" i="99" s="1"/>
  <c r="Z418" i="99"/>
  <c r="J32" i="103"/>
  <c r="Y87" i="99"/>
  <c r="Y145" i="99"/>
  <c r="Y25" i="99"/>
  <c r="Y90" i="103" s="1"/>
  <c r="S149" i="103"/>
  <c r="S148" i="103"/>
  <c r="S147" i="103"/>
  <c r="BX211" i="99"/>
  <c r="BX238" i="99"/>
  <c r="AC34" i="103"/>
  <c r="AC36" i="103" s="1"/>
  <c r="AC37" i="103" s="1"/>
  <c r="AV254" i="99"/>
  <c r="AV260" i="99" s="1"/>
  <c r="AV23" i="99" s="1"/>
  <c r="AV463" i="99"/>
  <c r="AV252" i="99"/>
  <c r="AA147" i="99"/>
  <c r="AA84" i="99"/>
  <c r="AA19" i="103"/>
  <c r="AA146" i="99"/>
  <c r="AA148" i="99"/>
  <c r="BX303" i="99"/>
  <c r="AN97" i="99"/>
  <c r="AN32" i="103"/>
  <c r="Y147" i="99"/>
  <c r="Y84" i="99"/>
  <c r="T146" i="103"/>
  <c r="T25" i="103"/>
  <c r="T27" i="103" s="1"/>
  <c r="AU270" i="99"/>
  <c r="AU276" i="99" s="1"/>
  <c r="AU26" i="99" s="1"/>
  <c r="AU463" i="99"/>
  <c r="AU252" i="99"/>
  <c r="AC99" i="99"/>
  <c r="AC36" i="99"/>
  <c r="R37" i="99"/>
  <c r="R101" i="99"/>
  <c r="R102" i="99" s="1"/>
  <c r="AO96" i="99"/>
  <c r="AO34" i="99"/>
  <c r="AB146" i="99"/>
  <c r="BY282" i="99"/>
  <c r="BY219" i="99"/>
  <c r="AM97" i="99"/>
  <c r="AP89" i="99"/>
  <c r="AT298" i="99"/>
  <c r="AT304" i="99" s="1"/>
  <c r="AT32" i="99" s="1"/>
  <c r="AT97" i="103" s="1"/>
  <c r="V451" i="99" a="1"/>
  <c r="V451" i="99" s="1"/>
  <c r="V457" i="99" s="1"/>
  <c r="V69" i="99" s="1"/>
  <c r="V134" i="99" s="1"/>
  <c r="V418" i="99"/>
  <c r="BY264" i="99"/>
  <c r="AN98" i="99"/>
  <c r="AN33" i="103"/>
  <c r="BX299" i="99"/>
  <c r="BX219" i="99"/>
  <c r="BX282" i="99"/>
  <c r="AE451" i="99" a="1"/>
  <c r="AE451" i="99" s="1"/>
  <c r="AE457" i="99" s="1"/>
  <c r="AE69" i="99" s="1"/>
  <c r="AE134" i="99" s="1"/>
  <c r="AE418" i="99"/>
  <c r="AA145" i="99"/>
  <c r="AA87" i="99"/>
  <c r="AA25" i="99"/>
  <c r="AA90" i="103" s="1"/>
  <c r="BY211" i="99"/>
  <c r="BY238" i="99"/>
  <c r="AT306" i="99"/>
  <c r="AT312" i="99" s="1"/>
  <c r="AT33" i="99" s="1"/>
  <c r="AT98" i="103" s="1"/>
  <c r="T148" i="103"/>
  <c r="T147" i="103"/>
  <c r="T27" i="99"/>
  <c r="T92" i="103" s="1"/>
  <c r="T93" i="103" s="1"/>
  <c r="T90" i="99"/>
  <c r="BX315" i="99"/>
  <c r="AH469" i="99"/>
  <c r="AH19" i="99" s="1"/>
  <c r="AH84" i="103" s="1"/>
  <c r="AH278" i="99"/>
  <c r="AH22" i="99"/>
  <c r="AW31" i="99"/>
  <c r="AW96" i="103" s="1"/>
  <c r="BY258" i="99"/>
  <c r="BY467" i="99"/>
  <c r="AA99" i="99"/>
  <c r="AA36" i="99"/>
  <c r="AK322" i="99"/>
  <c r="BC31" i="99"/>
  <c r="AJ97" i="99"/>
  <c r="AJ32" i="103"/>
  <c r="AR96" i="99"/>
  <c r="BD314" i="99"/>
  <c r="AT314" i="99"/>
  <c r="AT320" i="99" s="1"/>
  <c r="AT35" i="99" s="1"/>
  <c r="AT100" i="103" s="1"/>
  <c r="AG148" i="99"/>
  <c r="AG84" i="99"/>
  <c r="AG147" i="99"/>
  <c r="AG146" i="99"/>
  <c r="AY306" i="99"/>
  <c r="AY312" i="99" s="1"/>
  <c r="AY33" i="99" s="1"/>
  <c r="AY98" i="103" s="1"/>
  <c r="T149" i="104"/>
  <c r="T150" i="104"/>
  <c r="T148" i="104"/>
  <c r="BY256" i="99"/>
  <c r="BY465" i="99"/>
  <c r="S37" i="99"/>
  <c r="S101" i="99"/>
  <c r="S102" i="99" s="1"/>
  <c r="AK96" i="99"/>
  <c r="AK34" i="99"/>
  <c r="AK99" i="103" s="1"/>
  <c r="AK31" i="103"/>
  <c r="U150" i="104"/>
  <c r="U149" i="104"/>
  <c r="AT31" i="99"/>
  <c r="AT96" i="103" s="1"/>
  <c r="Y148" i="99"/>
  <c r="AG87" i="99"/>
  <c r="AG25" i="99"/>
  <c r="AG90" i="103" s="1"/>
  <c r="AG145" i="99"/>
  <c r="AY298" i="99"/>
  <c r="AY304" i="99" s="1"/>
  <c r="AY32" i="99" s="1"/>
  <c r="AY97" i="103" s="1"/>
  <c r="AF34" i="103"/>
  <c r="AF36" i="103" s="1"/>
  <c r="AF37" i="103" s="1"/>
  <c r="AX262" i="99"/>
  <c r="AX268" i="99" s="1"/>
  <c r="AX24" i="99" s="1"/>
  <c r="AX463" i="99"/>
  <c r="AX252" i="99"/>
  <c r="BB262" i="99"/>
  <c r="BB268" i="99" s="1"/>
  <c r="BB24" i="99" s="1"/>
  <c r="BB463" i="99"/>
  <c r="BB252" i="99"/>
  <c r="AU31" i="99"/>
  <c r="AU96" i="103" s="1"/>
  <c r="AM96" i="99"/>
  <c r="AM34" i="99"/>
  <c r="BD298" i="99"/>
  <c r="AY31" i="99"/>
  <c r="BE262" i="99"/>
  <c r="AH88" i="99"/>
  <c r="BX255" i="99"/>
  <c r="AK97" i="99"/>
  <c r="AK32" i="103"/>
  <c r="AZ314" i="99"/>
  <c r="AZ320" i="99" s="1"/>
  <c r="AZ35" i="99" s="1"/>
  <c r="AZ100" i="103" s="1"/>
  <c r="U37" i="99"/>
  <c r="U101" i="99"/>
  <c r="U102" i="99" s="1"/>
  <c r="AB451" i="99" a="1"/>
  <c r="AB451" i="99" s="1"/>
  <c r="AB457" i="99" s="1"/>
  <c r="AB69" i="99" s="1"/>
  <c r="AB134" i="99" s="1"/>
  <c r="AB418" i="99"/>
  <c r="R25" i="103"/>
  <c r="R146" i="103"/>
  <c r="U149" i="103"/>
  <c r="AZ254" i="99"/>
  <c r="AZ260" i="99" s="1"/>
  <c r="AZ23" i="99" s="1"/>
  <c r="AL91" i="99"/>
  <c r="BX265" i="99"/>
  <c r="BX466" i="99"/>
  <c r="BY316" i="99"/>
  <c r="X451" i="99" a="1"/>
  <c r="X451" i="99" s="1"/>
  <c r="X457" i="99" s="1"/>
  <c r="X69" i="99" s="1"/>
  <c r="X134" i="99" s="1"/>
  <c r="X418" i="99"/>
  <c r="R147" i="104"/>
  <c r="AN322" i="99"/>
  <c r="AQ91" i="99"/>
  <c r="AI278" i="99"/>
  <c r="AI22" i="99"/>
  <c r="AI469" i="99"/>
  <c r="AI19" i="99" s="1"/>
  <c r="AI84" i="103" s="1"/>
  <c r="AF36" i="99"/>
  <c r="AF99" i="99"/>
  <c r="BY300" i="99"/>
  <c r="X87" i="99"/>
  <c r="X145" i="99"/>
  <c r="X25" i="99"/>
  <c r="X90" i="103" s="1"/>
  <c r="BX263" i="99"/>
  <c r="BX464" i="99"/>
  <c r="BX45" i="99"/>
  <c r="BX110" i="103" s="1"/>
  <c r="BX108" i="99"/>
  <c r="BX43" i="103"/>
  <c r="AI98" i="99"/>
  <c r="AI33" i="103"/>
  <c r="W34" i="103"/>
  <c r="W36" i="103" s="1"/>
  <c r="W37" i="103" s="1"/>
  <c r="AA451" i="99" a="1"/>
  <c r="AA451" i="99" s="1"/>
  <c r="AA457" i="99" s="1"/>
  <c r="AA69" i="99" s="1"/>
  <c r="AA134" i="99" s="1"/>
  <c r="AA418" i="99"/>
  <c r="BW254" i="99"/>
  <c r="BW463" i="99"/>
  <c r="AZ262" i="99"/>
  <c r="AZ268" i="99" s="1"/>
  <c r="AZ24" i="99" s="1"/>
  <c r="AZ463" i="99"/>
  <c r="AZ252" i="99"/>
  <c r="AN34" i="99"/>
  <c r="AN96" i="99"/>
  <c r="AD84" i="99"/>
  <c r="AD19" i="103"/>
  <c r="AD148" i="99"/>
  <c r="AD147" i="99"/>
  <c r="T34" i="103"/>
  <c r="J31" i="103"/>
  <c r="BE463" i="99"/>
  <c r="J88" i="99"/>
  <c r="W36" i="99"/>
  <c r="W101" i="103" s="1"/>
  <c r="W102" i="103" s="1"/>
  <c r="W99" i="99"/>
  <c r="AZ31" i="99"/>
  <c r="R27" i="99"/>
  <c r="R92" i="103" s="1"/>
  <c r="R93" i="103" s="1"/>
  <c r="R90" i="99"/>
  <c r="BX275" i="99"/>
  <c r="BX468" i="99"/>
  <c r="Y146" i="99"/>
  <c r="AL469" i="99"/>
  <c r="AL19" i="99" s="1"/>
  <c r="AL84" i="103" s="1"/>
  <c r="AL22" i="99"/>
  <c r="AL278" i="99"/>
  <c r="AD25" i="99"/>
  <c r="AD90" i="103" s="1"/>
  <c r="AD145" i="99"/>
  <c r="AD87" i="99"/>
  <c r="S146" i="103"/>
  <c r="S25" i="103"/>
  <c r="S27" i="103" s="1"/>
  <c r="AV298" i="99"/>
  <c r="AV304" i="99" s="1"/>
  <c r="AV32" i="99" s="1"/>
  <c r="AV97" i="103" s="1"/>
  <c r="AM469" i="99"/>
  <c r="AM19" i="99" s="1"/>
  <c r="AM84" i="103" s="1"/>
  <c r="AM22" i="99"/>
  <c r="AM278" i="99"/>
  <c r="BB31" i="99"/>
  <c r="X84" i="99"/>
  <c r="X146" i="99"/>
  <c r="X148" i="99"/>
  <c r="BC270" i="99"/>
  <c r="BC276" i="99" s="1"/>
  <c r="BC26" i="99" s="1"/>
  <c r="Z36" i="99"/>
  <c r="Z99" i="99"/>
  <c r="BY309" i="99"/>
  <c r="AP100" i="99"/>
  <c r="W147" i="99"/>
  <c r="W84" i="99"/>
  <c r="W146" i="99"/>
  <c r="BA270" i="99"/>
  <c r="BA276" i="99" s="1"/>
  <c r="BA26" i="99" s="1"/>
  <c r="T99" i="99"/>
  <c r="T36" i="99"/>
  <c r="T101" i="103" s="1"/>
  <c r="T102" i="103" s="1"/>
  <c r="AI91" i="99"/>
  <c r="AV306" i="99"/>
  <c r="AV312" i="99" s="1"/>
  <c r="AV33" i="99" s="1"/>
  <c r="AV98" i="103" s="1"/>
  <c r="AG99" i="99"/>
  <c r="AG36" i="99"/>
  <c r="BX264" i="99"/>
  <c r="AR22" i="99"/>
  <c r="AR469" i="99"/>
  <c r="AR19" i="99" s="1"/>
  <c r="AR84" i="103" s="1"/>
  <c r="BD254" i="99"/>
  <c r="AE34" i="103"/>
  <c r="AE36" i="103" s="1"/>
  <c r="AE37" i="103" s="1"/>
  <c r="BX266" i="99"/>
  <c r="BX467" i="99"/>
  <c r="BY259" i="99"/>
  <c r="BY468" i="99"/>
  <c r="BY317" i="99"/>
  <c r="V34" i="103"/>
  <c r="V36" i="103" s="1"/>
  <c r="V37" i="103" s="1"/>
  <c r="W145" i="99"/>
  <c r="W25" i="99"/>
  <c r="W90" i="103" s="1"/>
  <c r="W87" i="99"/>
  <c r="AM98" i="99"/>
  <c r="AM33" i="103"/>
  <c r="X34" i="103"/>
  <c r="X36" i="103" s="1"/>
  <c r="X37" i="103" s="1"/>
  <c r="AG451" i="99" a="1"/>
  <c r="AG451" i="99" s="1"/>
  <c r="AG457" i="99" s="1"/>
  <c r="AG69" i="99" s="1"/>
  <c r="AG134" i="99" s="1"/>
  <c r="AG418" i="99"/>
  <c r="AV314" i="99"/>
  <c r="AV320" i="99" s="1"/>
  <c r="AV35" i="99" s="1"/>
  <c r="AV100" i="103" s="1"/>
  <c r="V147" i="99"/>
  <c r="V84" i="99"/>
  <c r="V19" i="103"/>
  <c r="V148" i="99"/>
  <c r="BC254" i="99"/>
  <c r="BC260" i="99" s="1"/>
  <c r="BC23" i="99" s="1"/>
  <c r="BC463" i="99"/>
  <c r="BC252" i="99"/>
  <c r="AI100" i="99"/>
  <c r="AI35" i="103"/>
  <c r="V146" i="99"/>
  <c r="AS96" i="99"/>
  <c r="AE36" i="99"/>
  <c r="AE99" i="99"/>
  <c r="J24" i="104"/>
  <c r="AB34" i="103"/>
  <c r="AB36" i="103" s="1"/>
  <c r="AB37" i="103" s="1"/>
  <c r="V99" i="99"/>
  <c r="V36" i="99"/>
  <c r="V101" i="103" s="1"/>
  <c r="V102" i="103" s="1"/>
  <c r="BA254" i="99"/>
  <c r="BA260" i="99" s="1"/>
  <c r="BA23" i="99" s="1"/>
  <c r="BA463" i="99"/>
  <c r="BA252" i="99"/>
  <c r="AL89" i="99"/>
  <c r="Y451" i="99" a="1"/>
  <c r="Y451" i="99" s="1"/>
  <c r="Y457" i="99" s="1"/>
  <c r="Y69" i="99" s="1"/>
  <c r="Y134" i="99" s="1"/>
  <c r="Y418" i="99"/>
  <c r="AV31" i="99"/>
  <c r="AV96" i="103" s="1"/>
  <c r="V145" i="99"/>
  <c r="V25" i="99"/>
  <c r="V90" i="103" s="1"/>
  <c r="V87" i="99"/>
  <c r="AM88" i="99"/>
  <c r="Y34" i="103"/>
  <c r="Y36" i="103" s="1"/>
  <c r="Y37" i="103" s="1"/>
  <c r="AN469" i="99"/>
  <c r="AN19" i="99" s="1"/>
  <c r="AN84" i="103" s="1"/>
  <c r="AN278" i="99"/>
  <c r="AN22" i="99"/>
  <c r="BX256" i="99"/>
  <c r="BX465" i="99"/>
  <c r="BD270" i="99"/>
  <c r="BD463" i="99"/>
  <c r="AK100" i="99"/>
  <c r="AK35" i="103"/>
  <c r="AP34" i="99"/>
  <c r="AP96" i="99"/>
  <c r="BY257" i="99"/>
  <c r="BY466" i="99"/>
  <c r="X36" i="99"/>
  <c r="X101" i="103" s="1"/>
  <c r="X102" i="103" s="1"/>
  <c r="X99" i="99"/>
  <c r="AW254" i="99"/>
  <c r="AW260" i="99" s="1"/>
  <c r="AW23" i="99" s="1"/>
  <c r="AQ22" i="99"/>
  <c r="AQ278" i="99"/>
  <c r="AQ469" i="99"/>
  <c r="AQ19" i="99" s="1"/>
  <c r="AQ84" i="103" s="1"/>
  <c r="S90" i="99"/>
  <c r="S27" i="99"/>
  <c r="S92" i="103" s="1"/>
  <c r="S93" i="103" s="1"/>
  <c r="X147" i="99"/>
  <c r="AN100" i="99"/>
  <c r="AN35" i="103"/>
  <c r="AM89" i="99"/>
  <c r="Y36" i="99"/>
  <c r="Y101" i="103" s="1"/>
  <c r="Y102" i="103" s="1"/>
  <c r="Y99" i="99"/>
  <c r="AJ34" i="99"/>
  <c r="AJ99" i="103" s="1"/>
  <c r="AJ96" i="99"/>
  <c r="AJ31" i="103"/>
  <c r="AB147" i="99"/>
  <c r="AS97" i="99"/>
  <c r="AS32" i="103"/>
  <c r="AE84" i="99"/>
  <c r="AE19" i="103"/>
  <c r="AE148" i="99"/>
  <c r="AX298" i="99"/>
  <c r="AX304" i="99" s="1"/>
  <c r="AX32" i="99" s="1"/>
  <c r="AX97" i="103" s="1"/>
  <c r="AO100" i="99"/>
  <c r="AO35" i="103"/>
  <c r="AB99" i="99"/>
  <c r="AB36" i="99"/>
  <c r="AT254" i="99"/>
  <c r="AT260" i="99" s="1"/>
  <c r="AT23" i="99" s="1"/>
  <c r="AT463" i="99"/>
  <c r="AT252" i="99"/>
  <c r="BY45" i="99"/>
  <c r="BY110" i="103" s="1"/>
  <c r="BY108" i="99"/>
  <c r="BY43" i="103"/>
  <c r="BY45" i="103" s="1"/>
  <c r="AR100" i="99"/>
  <c r="AR35" i="103"/>
  <c r="AL88" i="99"/>
  <c r="AD34" i="103"/>
  <c r="AD36" i="103" s="1"/>
  <c r="AD37" i="103" s="1"/>
  <c r="AI322" i="99"/>
  <c r="AW270" i="99"/>
  <c r="AW276" i="99" s="1"/>
  <c r="AW26" i="99" s="1"/>
  <c r="AW463" i="99"/>
  <c r="AW252" i="99"/>
  <c r="U148" i="104"/>
  <c r="AO22" i="99"/>
  <c r="AO469" i="99"/>
  <c r="AO19" i="99" s="1"/>
  <c r="AO84" i="103" s="1"/>
  <c r="AQ89" i="99"/>
  <c r="BA314" i="99"/>
  <c r="BA320" i="99" s="1"/>
  <c r="BA35" i="99" s="1"/>
  <c r="BA100" i="103" s="1"/>
  <c r="AK469" i="99"/>
  <c r="AK19" i="99" s="1"/>
  <c r="AK84" i="103" s="1"/>
  <c r="AK22" i="99"/>
  <c r="AI96" i="99"/>
  <c r="AI34" i="99"/>
  <c r="AI99" i="103" s="1"/>
  <c r="AI31" i="103"/>
  <c r="AN88" i="99"/>
  <c r="J100" i="99"/>
  <c r="AC87" i="99"/>
  <c r="AC145" i="99"/>
  <c r="AC25" i="99"/>
  <c r="AC90" i="103" s="1"/>
  <c r="AF84" i="99"/>
  <c r="AF148" i="99"/>
  <c r="AF147" i="99"/>
  <c r="AJ100" i="99"/>
  <c r="AJ35" i="103"/>
  <c r="AE145" i="99"/>
  <c r="AE25" i="99"/>
  <c r="AE90" i="103" s="1"/>
  <c r="AE87" i="99"/>
  <c r="AX31" i="99"/>
  <c r="AJ98" i="99"/>
  <c r="AJ33" i="103"/>
  <c r="BW314" i="99"/>
  <c r="AQ88" i="99"/>
  <c r="AD99" i="99"/>
  <c r="AD36" i="99"/>
  <c r="BA298" i="99"/>
  <c r="BA304" i="99" s="1"/>
  <c r="BA32" i="99" s="1"/>
  <c r="BA97" i="103" s="1"/>
  <c r="AC84" i="99"/>
  <c r="AC19" i="103"/>
  <c r="AC146" i="99"/>
  <c r="BX302" i="99"/>
  <c r="J19" i="99"/>
  <c r="J84" i="103" s="1"/>
  <c r="Z87" i="99"/>
  <c r="Z25" i="99"/>
  <c r="Z90" i="103" s="1"/>
  <c r="Z145" i="99"/>
  <c r="BE314" i="99"/>
  <c r="BY255" i="99"/>
  <c r="BY464" i="99"/>
  <c r="BA31" i="99"/>
  <c r="AF87" i="99"/>
  <c r="AF145" i="99"/>
  <c r="AF25" i="99"/>
  <c r="AF90" i="103" s="1"/>
  <c r="BX310" i="99"/>
  <c r="AL34" i="99"/>
  <c r="AL96" i="99"/>
  <c r="U146" i="103"/>
  <c r="U25" i="103"/>
  <c r="U27" i="103" s="1"/>
  <c r="AY254" i="99"/>
  <c r="AY260" i="99" s="1"/>
  <c r="AY23" i="99" s="1"/>
  <c r="BE306" i="99"/>
  <c r="BY315" i="99"/>
  <c r="J26" i="104"/>
  <c r="AD451" i="99" a="1"/>
  <c r="AD451" i="99" s="1"/>
  <c r="AD457" i="99" s="1"/>
  <c r="AD69" i="99" s="1"/>
  <c r="AD134" i="99" s="1"/>
  <c r="AD418" i="99"/>
  <c r="BU455" i="99" a="1"/>
  <c r="BU455" i="99" s="1"/>
  <c r="J26" i="99"/>
  <c r="J91" i="103" s="1"/>
  <c r="K31" i="99"/>
  <c r="J32" i="104"/>
  <c r="BO84" i="103" l="1"/>
  <c r="BR148" i="153"/>
  <c r="BO147" i="155"/>
  <c r="BQ147" i="155"/>
  <c r="BQ145" i="155"/>
  <c r="BP147" i="153"/>
  <c r="BO148" i="155"/>
  <c r="L147" i="155"/>
  <c r="P104" i="105"/>
  <c r="L148" i="155"/>
  <c r="BJ147" i="153"/>
  <c r="BJ146" i="153"/>
  <c r="AY104" i="105"/>
  <c r="AT23" i="151"/>
  <c r="BM104" i="105"/>
  <c r="BH23" i="151"/>
  <c r="BA104" i="105"/>
  <c r="AV23" i="151"/>
  <c r="L146" i="155"/>
  <c r="AZ104" i="105"/>
  <c r="AU23" i="151"/>
  <c r="J101" i="153"/>
  <c r="J102" i="153" s="1"/>
  <c r="BB104" i="105"/>
  <c r="AW23" i="151"/>
  <c r="BC104" i="105"/>
  <c r="AX23" i="151"/>
  <c r="BD104" i="105"/>
  <c r="AY23" i="151"/>
  <c r="BS104" i="105"/>
  <c r="BN23" i="151"/>
  <c r="BG104" i="105"/>
  <c r="BB23" i="151"/>
  <c r="BE104" i="105"/>
  <c r="AZ23" i="151"/>
  <c r="BH104" i="105"/>
  <c r="BC23" i="151"/>
  <c r="BF104" i="105"/>
  <c r="BA23" i="151"/>
  <c r="BP145" i="153"/>
  <c r="BT147" i="155"/>
  <c r="BR147" i="153"/>
  <c r="BN145" i="155"/>
  <c r="BN148" i="155"/>
  <c r="BR145" i="153"/>
  <c r="BJ145" i="153"/>
  <c r="BT102" i="105"/>
  <c r="BU146" i="155"/>
  <c r="AI28" i="153"/>
  <c r="AI39" i="153"/>
  <c r="AI54" i="153" s="1"/>
  <c r="BU145" i="155"/>
  <c r="BT146" i="153"/>
  <c r="BU148" i="155"/>
  <c r="BT148" i="153"/>
  <c r="BT148" i="155"/>
  <c r="BT145" i="155"/>
  <c r="BT45" i="105"/>
  <c r="BT145" i="153"/>
  <c r="K36" i="153"/>
  <c r="K101" i="153" s="1"/>
  <c r="K102" i="153" s="1"/>
  <c r="BO145" i="155"/>
  <c r="BQ146" i="155"/>
  <c r="BJ148" i="153"/>
  <c r="N40" i="154"/>
  <c r="P40" i="154" s="1"/>
  <c r="N104" i="154"/>
  <c r="P104" i="154" s="1"/>
  <c r="BS145" i="153"/>
  <c r="BR145" i="155"/>
  <c r="BK145" i="155"/>
  <c r="BR147" i="155"/>
  <c r="BR148" i="155"/>
  <c r="BT147" i="153"/>
  <c r="K25" i="153"/>
  <c r="K90" i="153" s="1"/>
  <c r="BS147" i="153"/>
  <c r="BP146" i="153"/>
  <c r="BS148" i="153"/>
  <c r="BK146" i="155"/>
  <c r="L34" i="153"/>
  <c r="L99" i="153" s="1"/>
  <c r="P31" i="155"/>
  <c r="BK147" i="155"/>
  <c r="BK148" i="155"/>
  <c r="BR146" i="155"/>
  <c r="M27" i="155"/>
  <c r="M28" i="155" s="1"/>
  <c r="N34" i="155"/>
  <c r="P34" i="155" s="1"/>
  <c r="N25" i="153"/>
  <c r="N90" i="153" s="1"/>
  <c r="P90" i="153" s="1"/>
  <c r="M19" i="155"/>
  <c r="M146" i="155" s="1"/>
  <c r="BU147" i="155"/>
  <c r="AN119" i="155"/>
  <c r="AN61" i="155"/>
  <c r="AF65" i="155"/>
  <c r="AF126" i="155"/>
  <c r="AF127" i="155" s="1"/>
  <c r="AF62" i="155"/>
  <c r="BV99" i="155"/>
  <c r="BV36" i="155"/>
  <c r="AS101" i="153"/>
  <c r="AS102" i="153" s="1"/>
  <c r="AS37" i="153"/>
  <c r="N98" i="153"/>
  <c r="P98" i="153" s="1"/>
  <c r="P33" i="153"/>
  <c r="BA101" i="155"/>
  <c r="BA102" i="155" s="1"/>
  <c r="BA37" i="155"/>
  <c r="BF104" i="155"/>
  <c r="BF105" i="155" s="1"/>
  <c r="BF54" i="155"/>
  <c r="BF40" i="155"/>
  <c r="BD99" i="153"/>
  <c r="BD36" i="153"/>
  <c r="AL119" i="155"/>
  <c r="AL61" i="155"/>
  <c r="N91" i="153"/>
  <c r="P91" i="153" s="1"/>
  <c r="P26" i="153"/>
  <c r="BC72" i="154"/>
  <c r="BC77" i="154"/>
  <c r="BC142" i="154" s="1"/>
  <c r="BC136" i="154"/>
  <c r="BC137" i="154" s="1"/>
  <c r="AV101" i="153"/>
  <c r="AV102" i="153" s="1"/>
  <c r="AV37" i="153"/>
  <c r="BB88" i="153"/>
  <c r="M23" i="153"/>
  <c r="M88" i="153" s="1"/>
  <c r="BA99" i="153"/>
  <c r="BA36" i="153"/>
  <c r="BW61" i="154"/>
  <c r="BW119" i="154"/>
  <c r="BO39" i="155"/>
  <c r="BO92" i="155"/>
  <c r="BO93" i="155" s="1"/>
  <c r="BO28" i="155"/>
  <c r="BH25" i="153"/>
  <c r="BR101" i="153"/>
  <c r="BR102" i="153" s="1"/>
  <c r="BR37" i="153"/>
  <c r="AK104" i="153"/>
  <c r="AK105" i="153" s="1"/>
  <c r="AK40" i="153"/>
  <c r="AK54" i="153"/>
  <c r="AL90" i="153"/>
  <c r="AL27" i="153"/>
  <c r="BO92" i="153"/>
  <c r="BO93" i="153" s="1"/>
  <c r="BO39" i="153"/>
  <c r="BO28" i="153"/>
  <c r="BT101" i="155"/>
  <c r="BT102" i="155" s="1"/>
  <c r="BT37" i="155"/>
  <c r="Z126" i="155"/>
  <c r="Z127" i="155" s="1"/>
  <c r="Z62" i="155"/>
  <c r="Z65" i="155"/>
  <c r="BT92" i="153"/>
  <c r="BT93" i="153" s="1"/>
  <c r="BT28" i="153"/>
  <c r="BT39" i="153"/>
  <c r="BA25" i="153"/>
  <c r="BN134" i="153"/>
  <c r="AX19" i="153"/>
  <c r="AX147" i="153" s="1"/>
  <c r="BS19" i="155"/>
  <c r="BS84" i="155" s="1"/>
  <c r="BA92" i="155"/>
  <c r="BA93" i="155" s="1"/>
  <c r="BA39" i="155"/>
  <c r="BA28" i="155"/>
  <c r="L23" i="153"/>
  <c r="L88" i="153" s="1"/>
  <c r="K54" i="155"/>
  <c r="K119" i="155" s="1"/>
  <c r="N89" i="153"/>
  <c r="P89" i="153" s="1"/>
  <c r="P24" i="153"/>
  <c r="BP92" i="155"/>
  <c r="BP93" i="155" s="1"/>
  <c r="BP39" i="155"/>
  <c r="BP28" i="155"/>
  <c r="N100" i="153"/>
  <c r="P100" i="153" s="1"/>
  <c r="P35" i="153"/>
  <c r="BT146" i="155"/>
  <c r="BF136" i="154"/>
  <c r="BF137" i="154" s="1"/>
  <c r="BF72" i="154"/>
  <c r="BF77" i="154"/>
  <c r="BF142" i="154" s="1"/>
  <c r="AO90" i="153"/>
  <c r="AO27" i="153"/>
  <c r="BM72" i="154"/>
  <c r="BM77" i="154"/>
  <c r="BM142" i="154" s="1"/>
  <c r="BM136" i="154"/>
  <c r="BM137" i="154" s="1"/>
  <c r="BV90" i="155"/>
  <c r="BV27" i="155"/>
  <c r="AD65" i="155"/>
  <c r="AD62" i="155"/>
  <c r="AD126" i="155"/>
  <c r="AD127" i="155" s="1"/>
  <c r="BH40" i="155"/>
  <c r="BH54" i="155"/>
  <c r="BH104" i="155"/>
  <c r="BH105" i="155" s="1"/>
  <c r="S119" i="153"/>
  <c r="S61" i="153"/>
  <c r="N89" i="155"/>
  <c r="P89" i="155" s="1"/>
  <c r="P24" i="155"/>
  <c r="N100" i="155"/>
  <c r="P100" i="155" s="1"/>
  <c r="P35" i="155"/>
  <c r="BX99" i="153"/>
  <c r="BX36" i="153"/>
  <c r="AR61" i="155"/>
  <c r="AR119" i="155"/>
  <c r="BM101" i="153"/>
  <c r="BM102" i="153" s="1"/>
  <c r="BM37" i="153"/>
  <c r="BS90" i="155"/>
  <c r="BS27" i="155"/>
  <c r="AP101" i="153"/>
  <c r="AP102" i="153" s="1"/>
  <c r="AP37" i="153"/>
  <c r="BH99" i="153"/>
  <c r="BH36" i="153"/>
  <c r="AG92" i="153"/>
  <c r="AG93" i="153" s="1"/>
  <c r="AG39" i="153"/>
  <c r="AG28" i="153"/>
  <c r="N98" i="155"/>
  <c r="P98" i="155" s="1"/>
  <c r="P33" i="155"/>
  <c r="BE25" i="153"/>
  <c r="BB25" i="153"/>
  <c r="BF25" i="153"/>
  <c r="BU126" i="154"/>
  <c r="BU127" i="154" s="1"/>
  <c r="BU65" i="154"/>
  <c r="BU62" i="154"/>
  <c r="BU92" i="153"/>
  <c r="BU93" i="153" s="1"/>
  <c r="BU39" i="153"/>
  <c r="BU28" i="153"/>
  <c r="BE136" i="154"/>
  <c r="BE137" i="154" s="1"/>
  <c r="BE72" i="154"/>
  <c r="BE77" i="154"/>
  <c r="BE142" i="154" s="1"/>
  <c r="BD72" i="154"/>
  <c r="BD77" i="154"/>
  <c r="BD142" i="154" s="1"/>
  <c r="BD136" i="154"/>
  <c r="BD137" i="154" s="1"/>
  <c r="BY90" i="155"/>
  <c r="BY27" i="155"/>
  <c r="BJ92" i="153"/>
  <c r="BJ93" i="153" s="1"/>
  <c r="BJ39" i="153"/>
  <c r="BJ28" i="153"/>
  <c r="BO77" i="154"/>
  <c r="BO142" i="154" s="1"/>
  <c r="BO72" i="154"/>
  <c r="BO136" i="154"/>
  <c r="BO137" i="154" s="1"/>
  <c r="AV61" i="155"/>
  <c r="AV119" i="155"/>
  <c r="BW90" i="155"/>
  <c r="BW27" i="155"/>
  <c r="BI54" i="155"/>
  <c r="BI104" i="155"/>
  <c r="BI105" i="155" s="1"/>
  <c r="BI40" i="155"/>
  <c r="AM101" i="153"/>
  <c r="AM102" i="153" s="1"/>
  <c r="AM37" i="153"/>
  <c r="AR90" i="153"/>
  <c r="AR27" i="153"/>
  <c r="AX99" i="153"/>
  <c r="AX36" i="153"/>
  <c r="BD54" i="155"/>
  <c r="BD104" i="155"/>
  <c r="BD105" i="155" s="1"/>
  <c r="BD40" i="155"/>
  <c r="BW90" i="153"/>
  <c r="BW27" i="153"/>
  <c r="BN84" i="155"/>
  <c r="AP134" i="153"/>
  <c r="BE99" i="153"/>
  <c r="BE36" i="153"/>
  <c r="BY99" i="155"/>
  <c r="BY36" i="155"/>
  <c r="BJ66" i="154"/>
  <c r="BJ71" i="154"/>
  <c r="BJ130" i="154"/>
  <c r="BJ131" i="154" s="1"/>
  <c r="BR65" i="154"/>
  <c r="BR62" i="154"/>
  <c r="BR126" i="154"/>
  <c r="BR127" i="154" s="1"/>
  <c r="BY99" i="153"/>
  <c r="BY36" i="153"/>
  <c r="BK66" i="154"/>
  <c r="BK71" i="154"/>
  <c r="BK130" i="154"/>
  <c r="BK131" i="154" s="1"/>
  <c r="M69" i="155"/>
  <c r="M134" i="155" s="1"/>
  <c r="BC25" i="153"/>
  <c r="BT101" i="153"/>
  <c r="BT102" i="153" s="1"/>
  <c r="BT37" i="153"/>
  <c r="BS101" i="153"/>
  <c r="BS102" i="153" s="1"/>
  <c r="BS37" i="153"/>
  <c r="BN146" i="155"/>
  <c r="BH72" i="154"/>
  <c r="BH77" i="154"/>
  <c r="BH142" i="154" s="1"/>
  <c r="BH136" i="154"/>
  <c r="BH137" i="154" s="1"/>
  <c r="BQ148" i="155"/>
  <c r="BF99" i="153"/>
  <c r="BF36" i="153"/>
  <c r="AW90" i="153"/>
  <c r="AW27" i="153"/>
  <c r="BG99" i="153"/>
  <c r="BG36" i="153"/>
  <c r="BT92" i="155"/>
  <c r="BT93" i="155" s="1"/>
  <c r="BT39" i="155"/>
  <c r="BT28" i="155"/>
  <c r="AQ119" i="155"/>
  <c r="AQ61" i="155"/>
  <c r="AB92" i="153"/>
  <c r="AB93" i="153" s="1"/>
  <c r="AB39" i="153"/>
  <c r="AB28" i="153"/>
  <c r="AT101" i="153"/>
  <c r="AT102" i="153" s="1"/>
  <c r="AT37" i="153"/>
  <c r="T119" i="153"/>
  <c r="T61" i="153"/>
  <c r="BM92" i="153"/>
  <c r="BM93" i="153" s="1"/>
  <c r="BM39" i="153"/>
  <c r="BM28" i="153"/>
  <c r="N93" i="154"/>
  <c r="P93" i="154" s="1"/>
  <c r="P92" i="154"/>
  <c r="BQ66" i="154"/>
  <c r="BQ71" i="154"/>
  <c r="BQ130" i="154"/>
  <c r="BQ131" i="154" s="1"/>
  <c r="AU101" i="153"/>
  <c r="AU102" i="153" s="1"/>
  <c r="AU37" i="153"/>
  <c r="BI25" i="153"/>
  <c r="BP101" i="155"/>
  <c r="BP102" i="155" s="1"/>
  <c r="BP37" i="155"/>
  <c r="V61" i="153"/>
  <c r="V119" i="153"/>
  <c r="BR101" i="155"/>
  <c r="BR102" i="155" s="1"/>
  <c r="BR37" i="155"/>
  <c r="AA92" i="153"/>
  <c r="AA93" i="153" s="1"/>
  <c r="AA39" i="153"/>
  <c r="AA28" i="153"/>
  <c r="X126" i="155"/>
  <c r="X127" i="155" s="1"/>
  <c r="X62" i="155"/>
  <c r="X65" i="155"/>
  <c r="AY25" i="153"/>
  <c r="AH92" i="153"/>
  <c r="AH93" i="153" s="1"/>
  <c r="AH39" i="153"/>
  <c r="AH28" i="153"/>
  <c r="BP101" i="153"/>
  <c r="BP102" i="153" s="1"/>
  <c r="BP37" i="153"/>
  <c r="N54" i="154"/>
  <c r="AJ92" i="153"/>
  <c r="AJ93" i="153" s="1"/>
  <c r="AJ39" i="153"/>
  <c r="AJ28" i="153"/>
  <c r="AZ104" i="155"/>
  <c r="AZ105" i="155" s="1"/>
  <c r="AZ40" i="155"/>
  <c r="AZ54" i="155"/>
  <c r="AF92" i="153"/>
  <c r="AF93" i="153" s="1"/>
  <c r="AF39" i="153"/>
  <c r="AF28" i="153"/>
  <c r="BQ92" i="153"/>
  <c r="BQ93" i="153" s="1"/>
  <c r="BQ39" i="153"/>
  <c r="BQ28" i="153"/>
  <c r="AS61" i="155"/>
  <c r="AS119" i="155"/>
  <c r="BC99" i="153"/>
  <c r="BC36" i="153"/>
  <c r="BV99" i="153"/>
  <c r="BV36" i="153"/>
  <c r="BO146" i="155"/>
  <c r="BL92" i="153"/>
  <c r="BL93" i="153" s="1"/>
  <c r="BL39" i="153"/>
  <c r="BL28" i="153"/>
  <c r="BN92" i="153"/>
  <c r="BN93" i="153" s="1"/>
  <c r="BN39" i="153"/>
  <c r="BN28" i="153"/>
  <c r="BQ101" i="153"/>
  <c r="BQ102" i="153" s="1"/>
  <c r="BQ37" i="153"/>
  <c r="AX104" i="155"/>
  <c r="AX105" i="155" s="1"/>
  <c r="AX54" i="155"/>
  <c r="AX40" i="155"/>
  <c r="BP126" i="154"/>
  <c r="BP127" i="154" s="1"/>
  <c r="BP65" i="154"/>
  <c r="BP62" i="154"/>
  <c r="BR92" i="153"/>
  <c r="BR93" i="153" s="1"/>
  <c r="BR28" i="153"/>
  <c r="BR39" i="153"/>
  <c r="AX25" i="153"/>
  <c r="BX90" i="153"/>
  <c r="BX27" i="153"/>
  <c r="BJ101" i="153"/>
  <c r="BJ102" i="153" s="1"/>
  <c r="BJ37" i="153"/>
  <c r="Z92" i="153"/>
  <c r="Z93" i="153" s="1"/>
  <c r="Z39" i="153"/>
  <c r="Z28" i="153"/>
  <c r="R119" i="153"/>
  <c r="R61" i="153"/>
  <c r="BW99" i="155"/>
  <c r="BW36" i="155"/>
  <c r="AZ77" i="154"/>
  <c r="AZ142" i="154" s="1"/>
  <c r="AZ72" i="154"/>
  <c r="AZ136" i="154"/>
  <c r="AZ137" i="154" s="1"/>
  <c r="N87" i="153"/>
  <c r="P87" i="153" s="1"/>
  <c r="P22" i="153"/>
  <c r="V65" i="155"/>
  <c r="V126" i="155"/>
  <c r="V127" i="155" s="1"/>
  <c r="V62" i="155"/>
  <c r="J61" i="155"/>
  <c r="AW119" i="155"/>
  <c r="AW61" i="155"/>
  <c r="BU101" i="155"/>
  <c r="BU102" i="155" s="1"/>
  <c r="BU37" i="155"/>
  <c r="AM90" i="153"/>
  <c r="AM27" i="153"/>
  <c r="AG65" i="155"/>
  <c r="AG126" i="155"/>
  <c r="AG127" i="155" s="1"/>
  <c r="AG62" i="155"/>
  <c r="BT65" i="154"/>
  <c r="BT126" i="154"/>
  <c r="BT127" i="154" s="1"/>
  <c r="BT62" i="154"/>
  <c r="N88" i="153"/>
  <c r="P88" i="153" s="1"/>
  <c r="P23" i="153"/>
  <c r="BO101" i="153"/>
  <c r="BO102" i="153" s="1"/>
  <c r="BO37" i="153"/>
  <c r="BB99" i="153"/>
  <c r="BB36" i="153"/>
  <c r="M34" i="153"/>
  <c r="M99" i="153" s="1"/>
  <c r="BY130" i="154"/>
  <c r="BY131" i="154" s="1"/>
  <c r="BY66" i="154"/>
  <c r="BY71" i="154"/>
  <c r="AD92" i="153"/>
  <c r="AD93" i="153" s="1"/>
  <c r="AD39" i="153"/>
  <c r="AD28" i="153"/>
  <c r="BG40" i="155"/>
  <c r="BG54" i="155"/>
  <c r="BG104" i="155"/>
  <c r="BG105" i="155" s="1"/>
  <c r="AQ90" i="153"/>
  <c r="AQ27" i="153"/>
  <c r="AL101" i="153"/>
  <c r="AL102" i="153" s="1"/>
  <c r="AL37" i="153"/>
  <c r="AH65" i="155"/>
  <c r="AH126" i="155"/>
  <c r="AH127" i="155" s="1"/>
  <c r="AH62" i="155"/>
  <c r="AP90" i="153"/>
  <c r="AP27" i="153"/>
  <c r="AM119" i="155"/>
  <c r="AM61" i="155"/>
  <c r="BY90" i="153"/>
  <c r="BY27" i="153"/>
  <c r="K104" i="155"/>
  <c r="K105" i="155" s="1"/>
  <c r="K40" i="155"/>
  <c r="AQ101" i="153"/>
  <c r="AQ102" i="153" s="1"/>
  <c r="AQ37" i="153"/>
  <c r="K69" i="153"/>
  <c r="K134" i="153" s="1"/>
  <c r="AW101" i="153"/>
  <c r="AW102" i="153" s="1"/>
  <c r="AW37" i="153"/>
  <c r="L66" i="154"/>
  <c r="L71" i="154"/>
  <c r="L130" i="154"/>
  <c r="L131" i="154" s="1"/>
  <c r="BR92" i="155"/>
  <c r="BR93" i="155" s="1"/>
  <c r="BR39" i="155"/>
  <c r="BR28" i="155"/>
  <c r="Y65" i="155"/>
  <c r="Y126" i="155"/>
  <c r="Y127" i="155" s="1"/>
  <c r="Y62" i="155"/>
  <c r="BB104" i="155"/>
  <c r="BB105" i="155" s="1"/>
  <c r="BB40" i="155"/>
  <c r="BB54" i="155"/>
  <c r="AV90" i="153"/>
  <c r="AV27" i="153"/>
  <c r="BN101" i="155"/>
  <c r="BN102" i="155" s="1"/>
  <c r="BN37" i="155"/>
  <c r="BK92" i="155"/>
  <c r="BK93" i="155" s="1"/>
  <c r="BK28" i="155"/>
  <c r="BK39" i="155"/>
  <c r="BX61" i="154"/>
  <c r="BX119" i="154"/>
  <c r="BJ101" i="155"/>
  <c r="BJ102" i="155" s="1"/>
  <c r="BJ37" i="155"/>
  <c r="BS92" i="153"/>
  <c r="BS93" i="153" s="1"/>
  <c r="BS39" i="153"/>
  <c r="BS28" i="153"/>
  <c r="AP119" i="155"/>
  <c r="AP61" i="155"/>
  <c r="L27" i="155"/>
  <c r="BJ92" i="155"/>
  <c r="BJ93" i="155" s="1"/>
  <c r="BJ28" i="155"/>
  <c r="BJ39" i="155"/>
  <c r="AO101" i="153"/>
  <c r="AO102" i="153" s="1"/>
  <c r="AO37" i="153"/>
  <c r="AC65" i="155"/>
  <c r="AC126" i="155"/>
  <c r="AC127" i="155" s="1"/>
  <c r="AC62" i="155"/>
  <c r="BO101" i="155"/>
  <c r="BO102" i="155" s="1"/>
  <c r="BO37" i="155"/>
  <c r="N91" i="155"/>
  <c r="P91" i="155" s="1"/>
  <c r="P26" i="155"/>
  <c r="BB84" i="153"/>
  <c r="M19" i="153"/>
  <c r="M84" i="153" s="1"/>
  <c r="N87" i="155"/>
  <c r="P87" i="155" s="1"/>
  <c r="P22" i="155"/>
  <c r="AY99" i="153"/>
  <c r="AY36" i="153"/>
  <c r="BN92" i="155"/>
  <c r="BN93" i="155" s="1"/>
  <c r="BN39" i="155"/>
  <c r="BN28" i="155"/>
  <c r="N97" i="153"/>
  <c r="P97" i="153" s="1"/>
  <c r="P32" i="153"/>
  <c r="BU101" i="153"/>
  <c r="BU102" i="153" s="1"/>
  <c r="BU37" i="153"/>
  <c r="BQ92" i="155"/>
  <c r="BQ93" i="155" s="1"/>
  <c r="BQ39" i="155"/>
  <c r="BQ28" i="155"/>
  <c r="BK101" i="155"/>
  <c r="BK102" i="155" s="1"/>
  <c r="BK37" i="155"/>
  <c r="AB65" i="155"/>
  <c r="AB126" i="155"/>
  <c r="AB127" i="155" s="1"/>
  <c r="AB62" i="155"/>
  <c r="BM101" i="155"/>
  <c r="BM102" i="155" s="1"/>
  <c r="BM37" i="155"/>
  <c r="AE65" i="155"/>
  <c r="AE126" i="155"/>
  <c r="AE127" i="155" s="1"/>
  <c r="AE62" i="155"/>
  <c r="BL92" i="155"/>
  <c r="BL93" i="155" s="1"/>
  <c r="BL28" i="155"/>
  <c r="BL39" i="155"/>
  <c r="AU104" i="155"/>
  <c r="AU105" i="155" s="1"/>
  <c r="AU54" i="155"/>
  <c r="AU40" i="155"/>
  <c r="N34" i="153"/>
  <c r="BS65" i="154"/>
  <c r="BS126" i="154"/>
  <c r="BS127" i="154" s="1"/>
  <c r="BS62" i="154"/>
  <c r="BQ101" i="155"/>
  <c r="BQ102" i="155" s="1"/>
  <c r="BQ37" i="155"/>
  <c r="N25" i="155"/>
  <c r="BL101" i="153"/>
  <c r="BL102" i="153" s="1"/>
  <c r="BL37" i="153"/>
  <c r="BI99" i="153"/>
  <c r="BI36" i="153"/>
  <c r="AI65" i="155"/>
  <c r="AI126" i="155"/>
  <c r="AI127" i="155" s="1"/>
  <c r="AI62" i="155"/>
  <c r="AT119" i="155"/>
  <c r="AT61" i="155"/>
  <c r="AO119" i="155"/>
  <c r="AO61" i="155"/>
  <c r="AZ99" i="153"/>
  <c r="AZ36" i="153"/>
  <c r="W65" i="155"/>
  <c r="W126" i="155"/>
  <c r="W127" i="155" s="1"/>
  <c r="W62" i="155"/>
  <c r="J27" i="153"/>
  <c r="AZ25" i="153"/>
  <c r="AS90" i="153"/>
  <c r="AS27" i="153"/>
  <c r="U119" i="153"/>
  <c r="U61" i="153"/>
  <c r="AX72" i="154"/>
  <c r="AX77" i="154"/>
  <c r="AX142" i="154" s="1"/>
  <c r="AX136" i="154"/>
  <c r="AX137" i="154" s="1"/>
  <c r="BX99" i="155"/>
  <c r="BX36" i="155"/>
  <c r="BE104" i="155"/>
  <c r="BE105" i="155" s="1"/>
  <c r="BE54" i="155"/>
  <c r="BE40" i="155"/>
  <c r="BA72" i="154"/>
  <c r="BA136" i="154"/>
  <c r="BA137" i="154" s="1"/>
  <c r="BA77" i="154"/>
  <c r="BA142" i="154" s="1"/>
  <c r="W61" i="153"/>
  <c r="W119" i="153"/>
  <c r="AY104" i="155"/>
  <c r="AY105" i="155" s="1"/>
  <c r="AY54" i="155"/>
  <c r="AY40" i="155"/>
  <c r="L36" i="155"/>
  <c r="BV19" i="155"/>
  <c r="BV84" i="155" s="1"/>
  <c r="Y104" i="153"/>
  <c r="Y105" i="153" s="1"/>
  <c r="Y40" i="153"/>
  <c r="Y54" i="153"/>
  <c r="N97" i="155"/>
  <c r="P97" i="155" s="1"/>
  <c r="P32" i="155"/>
  <c r="AT90" i="153"/>
  <c r="AT27" i="153"/>
  <c r="AC92" i="153"/>
  <c r="AC93" i="153" s="1"/>
  <c r="AC39" i="153"/>
  <c r="AC28" i="153"/>
  <c r="BG72" i="154"/>
  <c r="BG136" i="154"/>
  <c r="BG137" i="154" s="1"/>
  <c r="BG77" i="154"/>
  <c r="BG142" i="154" s="1"/>
  <c r="BD25" i="153"/>
  <c r="AJ119" i="155"/>
  <c r="AJ61" i="155"/>
  <c r="BL101" i="155"/>
  <c r="BL102" i="155" s="1"/>
  <c r="BL37" i="155"/>
  <c r="AA65" i="155"/>
  <c r="AA126" i="155"/>
  <c r="AA127" i="155" s="1"/>
  <c r="AA62" i="155"/>
  <c r="BR146" i="153"/>
  <c r="BL65" i="154"/>
  <c r="BL126" i="154"/>
  <c r="BL127" i="154" s="1"/>
  <c r="BL62" i="154"/>
  <c r="M61" i="154"/>
  <c r="BC104" i="155"/>
  <c r="BC105" i="155" s="1"/>
  <c r="BC40" i="155"/>
  <c r="BC54" i="155"/>
  <c r="X119" i="153"/>
  <c r="X61" i="153"/>
  <c r="BM92" i="155"/>
  <c r="BM93" i="155" s="1"/>
  <c r="BM28" i="155"/>
  <c r="BM39" i="155"/>
  <c r="AK62" i="155"/>
  <c r="AK65" i="155"/>
  <c r="AK126" i="155"/>
  <c r="AK127" i="155" s="1"/>
  <c r="BK101" i="153"/>
  <c r="BK102" i="153" s="1"/>
  <c r="BK37" i="153"/>
  <c r="BP92" i="153"/>
  <c r="BP93" i="153" s="1"/>
  <c r="BP39" i="153"/>
  <c r="BP28" i="153"/>
  <c r="N88" i="155"/>
  <c r="P88" i="155" s="1"/>
  <c r="P23" i="155"/>
  <c r="BW99" i="153"/>
  <c r="BW36" i="153"/>
  <c r="BN77" i="154"/>
  <c r="BN142" i="154" s="1"/>
  <c r="BN72" i="154"/>
  <c r="BN136" i="154"/>
  <c r="BN137" i="154" s="1"/>
  <c r="BS146" i="153"/>
  <c r="BU92" i="155"/>
  <c r="BU93" i="155" s="1"/>
  <c r="BU39" i="155"/>
  <c r="BU28" i="155"/>
  <c r="AR101" i="153"/>
  <c r="AR102" i="153" s="1"/>
  <c r="AR37" i="153"/>
  <c r="BP148" i="153"/>
  <c r="BV19" i="153"/>
  <c r="BV84" i="153" s="1"/>
  <c r="BX19" i="155"/>
  <c r="BX84" i="155" s="1"/>
  <c r="BI72" i="154"/>
  <c r="BI77" i="154"/>
  <c r="BI142" i="154" s="1"/>
  <c r="BI136" i="154"/>
  <c r="BI137" i="154" s="1"/>
  <c r="AY72" i="154"/>
  <c r="AY77" i="154"/>
  <c r="AY142" i="154" s="1"/>
  <c r="AY136" i="154"/>
  <c r="AY137" i="154" s="1"/>
  <c r="AN90" i="153"/>
  <c r="AN27" i="153"/>
  <c r="AU90" i="153"/>
  <c r="AU27" i="153"/>
  <c r="BS99" i="155"/>
  <c r="BS36" i="155"/>
  <c r="BG25" i="153"/>
  <c r="BK92" i="153"/>
  <c r="BK93" i="153" s="1"/>
  <c r="BK39" i="153"/>
  <c r="BK28" i="153"/>
  <c r="AE92" i="153"/>
  <c r="AE93" i="153" s="1"/>
  <c r="AE39" i="153"/>
  <c r="AE28" i="153"/>
  <c r="BV119" i="154"/>
  <c r="BV61" i="154"/>
  <c r="AN101" i="153"/>
  <c r="AN102" i="153" s="1"/>
  <c r="AN37" i="153"/>
  <c r="BV90" i="153"/>
  <c r="BV27" i="153"/>
  <c r="BB72" i="154"/>
  <c r="BB77" i="154"/>
  <c r="BB142" i="154" s="1"/>
  <c r="BB136" i="154"/>
  <c r="BB137" i="154" s="1"/>
  <c r="BX90" i="155"/>
  <c r="BX27" i="155"/>
  <c r="M36" i="155"/>
  <c r="AB86" i="105"/>
  <c r="AY89" i="99"/>
  <c r="AY89" i="104"/>
  <c r="AY24" i="104" s="1"/>
  <c r="BD24" i="105" s="1"/>
  <c r="Y69" i="105"/>
  <c r="T34" i="151" s="1"/>
  <c r="AG88" i="105"/>
  <c r="AR88" i="103"/>
  <c r="AR23" i="103" s="1"/>
  <c r="Q102" i="105"/>
  <c r="AR88" i="104"/>
  <c r="AR23" i="104" s="1"/>
  <c r="AS34" i="99"/>
  <c r="AS99" i="103" s="1"/>
  <c r="AS98" i="99"/>
  <c r="AS98" i="104"/>
  <c r="AS33" i="104" s="1"/>
  <c r="AX33" i="105" s="1"/>
  <c r="Z69" i="105"/>
  <c r="U34" i="151" s="1"/>
  <c r="AR91" i="104"/>
  <c r="AR26" i="104" s="1"/>
  <c r="AR91" i="103"/>
  <c r="AR26" i="103" s="1"/>
  <c r="AT89" i="103"/>
  <c r="AT24" i="103" s="1"/>
  <c r="AY24" i="105" s="1"/>
  <c r="AT89" i="99"/>
  <c r="W69" i="105"/>
  <c r="R34" i="151" s="1"/>
  <c r="AB69" i="105"/>
  <c r="W34" i="151" s="1"/>
  <c r="BN89" i="104"/>
  <c r="BN24" i="104" s="1"/>
  <c r="BN89" i="103"/>
  <c r="BN24" i="103" s="1"/>
  <c r="AS91" i="99"/>
  <c r="BX414" i="99"/>
  <c r="BX453" i="99" s="1" a="1"/>
  <c r="BX453" i="99" s="1"/>
  <c r="AS91" i="103"/>
  <c r="AS26" i="103" s="1"/>
  <c r="AX26" i="105" s="1"/>
  <c r="BE412" i="99"/>
  <c r="BM91" i="99"/>
  <c r="BO260" i="99"/>
  <c r="BO23" i="99" s="1"/>
  <c r="BO88" i="104" s="1"/>
  <c r="BO23" i="104" s="1"/>
  <c r="J100" i="103"/>
  <c r="BX413" i="99"/>
  <c r="BX452" i="99" s="1" a="1"/>
  <c r="BX452" i="99" s="1"/>
  <c r="BX417" i="99"/>
  <c r="BX456" i="99" s="1" a="1"/>
  <c r="BX456" i="99" s="1"/>
  <c r="BY417" i="99"/>
  <c r="BY456" i="99" s="1" a="1"/>
  <c r="BY456" i="99" s="1"/>
  <c r="BY413" i="99"/>
  <c r="BY452" i="99" s="1" a="1"/>
  <c r="BY452" i="99" s="1"/>
  <c r="BX416" i="99"/>
  <c r="BW412" i="99"/>
  <c r="BD412" i="99"/>
  <c r="J98" i="103"/>
  <c r="BT416" i="99"/>
  <c r="BT455" i="99" s="1" a="1"/>
  <c r="BT455" i="99" s="1"/>
  <c r="BX415" i="99"/>
  <c r="BX454" i="99" s="1" a="1"/>
  <c r="BX454" i="99" s="1"/>
  <c r="J36" i="99"/>
  <c r="J37" i="99" s="1"/>
  <c r="BY415" i="99"/>
  <c r="J96" i="103"/>
  <c r="BY414" i="99"/>
  <c r="BY453" i="99" s="1" a="1"/>
  <c r="BY453" i="99" s="1"/>
  <c r="BY416" i="99"/>
  <c r="BY455" i="99" s="1" a="1"/>
  <c r="BY455" i="99" s="1"/>
  <c r="BQ415" i="99"/>
  <c r="BQ454" i="99" s="1" a="1"/>
  <c r="BQ454" i="99" s="1"/>
  <c r="BM91" i="104"/>
  <c r="BM26" i="104" s="1"/>
  <c r="BR26" i="105" s="1"/>
  <c r="BB412" i="99"/>
  <c r="BJ273" i="99"/>
  <c r="BJ276" i="99" s="1"/>
  <c r="BJ26" i="99" s="1"/>
  <c r="BJ91" i="103" s="1"/>
  <c r="BJ26" i="103" s="1"/>
  <c r="AZ412" i="99"/>
  <c r="BI260" i="99"/>
  <c r="BI23" i="99" s="1"/>
  <c r="BI88" i="99" s="1"/>
  <c r="AW412" i="99"/>
  <c r="AT412" i="99"/>
  <c r="AT451" i="99" s="1" a="1"/>
  <c r="AT451" i="99" s="1"/>
  <c r="AT457" i="99" s="1"/>
  <c r="AT69" i="99" s="1"/>
  <c r="AT134" i="99" s="1"/>
  <c r="AU412" i="99"/>
  <c r="AU418" i="99" s="1"/>
  <c r="BL265" i="99"/>
  <c r="BL268" i="99" s="1"/>
  <c r="BL24" i="99" s="1"/>
  <c r="BL89" i="99" s="1"/>
  <c r="AX412" i="99"/>
  <c r="AV412" i="99"/>
  <c r="BK257" i="99"/>
  <c r="BK260" i="99" s="1"/>
  <c r="BK23" i="99" s="1"/>
  <c r="BK88" i="104" s="1"/>
  <c r="BK23" i="104" s="1"/>
  <c r="BA412" i="99"/>
  <c r="AY412" i="99"/>
  <c r="BC412" i="99"/>
  <c r="AL85" i="105"/>
  <c r="AC88" i="105"/>
  <c r="AL88" i="105"/>
  <c r="AH86" i="105"/>
  <c r="AE94" i="105"/>
  <c r="AG92" i="105"/>
  <c r="AI94" i="105"/>
  <c r="AF86" i="105"/>
  <c r="AD93" i="105"/>
  <c r="AF96" i="105"/>
  <c r="W81" i="105"/>
  <c r="X126" i="105"/>
  <c r="AI96" i="105"/>
  <c r="AK93" i="105"/>
  <c r="X81" i="105"/>
  <c r="AE85" i="105"/>
  <c r="AB88" i="105"/>
  <c r="AK92" i="105"/>
  <c r="W36" i="105"/>
  <c r="W97" i="105" s="1"/>
  <c r="W95" i="105"/>
  <c r="AJ85" i="105"/>
  <c r="X84" i="105"/>
  <c r="AH96" i="105"/>
  <c r="AB96" i="105"/>
  <c r="AH94" i="105"/>
  <c r="AE88" i="105"/>
  <c r="AB85" i="105"/>
  <c r="Z84" i="105"/>
  <c r="AE93" i="105"/>
  <c r="AO88" i="105"/>
  <c r="AD85" i="105"/>
  <c r="Z36" i="105"/>
  <c r="Z95" i="105"/>
  <c r="AS88" i="105"/>
  <c r="AB93" i="105"/>
  <c r="AG86" i="105"/>
  <c r="AD96" i="105"/>
  <c r="AC92" i="105"/>
  <c r="AE86" i="105"/>
  <c r="AG94" i="105"/>
  <c r="AF92" i="105"/>
  <c r="BQ102" i="105"/>
  <c r="AC94" i="105"/>
  <c r="AM88" i="105"/>
  <c r="AD86" i="105"/>
  <c r="AA86" i="105"/>
  <c r="Y92" i="105"/>
  <c r="AJ96" i="105"/>
  <c r="AC93" i="105"/>
  <c r="AH92" i="105"/>
  <c r="AD88" i="105"/>
  <c r="AL94" i="105"/>
  <c r="AK96" i="105"/>
  <c r="AI93" i="105"/>
  <c r="AA93" i="105"/>
  <c r="AB92" i="105"/>
  <c r="BO102" i="105"/>
  <c r="Y84" i="105"/>
  <c r="AE96" i="105"/>
  <c r="AJ94" i="105"/>
  <c r="AB94" i="105"/>
  <c r="AF85" i="105"/>
  <c r="AK94" i="105"/>
  <c r="AL86" i="105"/>
  <c r="AG85" i="105"/>
  <c r="AI86" i="105"/>
  <c r="AI92" i="105"/>
  <c r="AA94" i="105"/>
  <c r="AL96" i="105"/>
  <c r="AK86" i="105"/>
  <c r="AK88" i="105"/>
  <c r="AA96" i="105"/>
  <c r="AD94" i="105"/>
  <c r="AJ93" i="105"/>
  <c r="Z81" i="105"/>
  <c r="AH88" i="105"/>
  <c r="AH93" i="105"/>
  <c r="AL93" i="105"/>
  <c r="AA92" i="105"/>
  <c r="AJ86" i="105"/>
  <c r="AF93" i="105"/>
  <c r="AC96" i="105"/>
  <c r="X36" i="105"/>
  <c r="X95" i="105"/>
  <c r="AA85" i="105"/>
  <c r="AH85" i="105"/>
  <c r="AD92" i="105"/>
  <c r="AK85" i="105"/>
  <c r="AJ92" i="105"/>
  <c r="AP88" i="105"/>
  <c r="AG96" i="105"/>
  <c r="AE92" i="105"/>
  <c r="AT86" i="105"/>
  <c r="W84" i="105"/>
  <c r="AF88" i="105"/>
  <c r="AF94" i="105"/>
  <c r="BP102" i="105"/>
  <c r="AC86" i="105"/>
  <c r="AG93" i="105"/>
  <c r="AL92" i="105"/>
  <c r="AI85" i="105"/>
  <c r="Y81" i="105"/>
  <c r="AN86" i="105"/>
  <c r="BB91" i="99"/>
  <c r="BB91" i="103"/>
  <c r="BB26" i="103" s="1"/>
  <c r="BG26" i="105" s="1"/>
  <c r="AZ91" i="103"/>
  <c r="AZ26" i="103" s="1"/>
  <c r="BE26" i="105" s="1"/>
  <c r="AR89" i="103"/>
  <c r="AR24" i="103" s="1"/>
  <c r="BC89" i="99"/>
  <c r="BA89" i="99"/>
  <c r="BA89" i="104"/>
  <c r="BA24" i="104" s="1"/>
  <c r="BF24" i="105" s="1"/>
  <c r="AS88" i="104"/>
  <c r="AS23" i="104" s="1"/>
  <c r="AX23" i="105" s="1"/>
  <c r="AS88" i="99"/>
  <c r="BC89" i="103"/>
  <c r="BC24" i="103" s="1"/>
  <c r="BH24" i="105" s="1"/>
  <c r="BO22" i="99"/>
  <c r="AR98" i="99"/>
  <c r="AS100" i="104"/>
  <c r="AS35" i="104" s="1"/>
  <c r="AX35" i="105" s="1"/>
  <c r="BO100" i="104"/>
  <c r="BO35" i="104" s="1"/>
  <c r="BT35" i="105" s="1"/>
  <c r="AR97" i="99"/>
  <c r="BO100" i="99"/>
  <c r="AZ91" i="99"/>
  <c r="AS100" i="99"/>
  <c r="AS322" i="99"/>
  <c r="AS89" i="104"/>
  <c r="AS24" i="104" s="1"/>
  <c r="AS89" i="103"/>
  <c r="AS24" i="103" s="1"/>
  <c r="N43" i="99"/>
  <c r="N108" i="103" s="1"/>
  <c r="P108" i="103" s="1"/>
  <c r="BJ304" i="99"/>
  <c r="BJ32" i="99" s="1"/>
  <c r="BJ97" i="103" s="1"/>
  <c r="BJ32" i="103" s="1"/>
  <c r="BH469" i="99"/>
  <c r="BH19" i="99" s="1"/>
  <c r="BH84" i="103" s="1"/>
  <c r="BH19" i="103" s="1"/>
  <c r="BM22" i="99"/>
  <c r="BM87" i="103" s="1"/>
  <c r="BM22" i="103" s="1"/>
  <c r="AR98" i="104"/>
  <c r="AR33" i="104" s="1"/>
  <c r="AW33" i="105" s="1"/>
  <c r="AR34" i="99"/>
  <c r="AR36" i="99" s="1"/>
  <c r="AU88" i="104"/>
  <c r="AU23" i="104" s="1"/>
  <c r="AS278" i="99"/>
  <c r="AR322" i="99"/>
  <c r="AR89" i="104"/>
  <c r="AR24" i="104" s="1"/>
  <c r="BN469" i="99"/>
  <c r="BN19" i="99" s="1"/>
  <c r="BN84" i="103" s="1"/>
  <c r="BN19" i="103" s="1"/>
  <c r="AR97" i="104"/>
  <c r="AR32" i="104" s="1"/>
  <c r="AW32" i="105" s="1"/>
  <c r="AS457" i="99"/>
  <c r="AS69" i="99" s="1"/>
  <c r="AS134" i="99" s="1"/>
  <c r="AR278" i="99"/>
  <c r="AU88" i="103"/>
  <c r="AU23" i="103" s="1"/>
  <c r="AR457" i="99"/>
  <c r="AR69" i="99" s="1"/>
  <c r="AR134" i="99" s="1"/>
  <c r="BV451" i="155" a="1"/>
  <c r="BV451" i="155" s="1"/>
  <c r="BV457" i="155" s="1"/>
  <c r="BV69" i="155" s="1"/>
  <c r="BV134" i="155" s="1"/>
  <c r="BW145" i="155"/>
  <c r="BW148" i="155"/>
  <c r="BW146" i="155"/>
  <c r="L145" i="155"/>
  <c r="BS451" i="155" a="1"/>
  <c r="BS451" i="155" s="1"/>
  <c r="BS457" i="155" s="1"/>
  <c r="BS69" i="155" s="1"/>
  <c r="BS134" i="155" s="1"/>
  <c r="BS418" i="155"/>
  <c r="BW451" i="155" a="1"/>
  <c r="BW451" i="155" s="1"/>
  <c r="BW457" i="155" s="1"/>
  <c r="BW69" i="155" s="1"/>
  <c r="BW134" i="155" s="1"/>
  <c r="BW418" i="155"/>
  <c r="BY451" i="155" a="1"/>
  <c r="BY451" i="155" s="1"/>
  <c r="BY457" i="155" s="1"/>
  <c r="BY69" i="155" s="1"/>
  <c r="BY134" i="155" s="1"/>
  <c r="BY418" i="155"/>
  <c r="BW147" i="155"/>
  <c r="BY145" i="155"/>
  <c r="BY147" i="155"/>
  <c r="BY148" i="155"/>
  <c r="BY146" i="155"/>
  <c r="BX451" i="155" a="1"/>
  <c r="BX451" i="155" s="1"/>
  <c r="BX457" i="155" s="1"/>
  <c r="BX69" i="155" s="1"/>
  <c r="BX134" i="155" s="1"/>
  <c r="BX418" i="155"/>
  <c r="BN91" i="103"/>
  <c r="BN26" i="103" s="1"/>
  <c r="BM97" i="103"/>
  <c r="BM32" i="103" s="1"/>
  <c r="BM97" i="99"/>
  <c r="BM97" i="104"/>
  <c r="BM32" i="104" s="1"/>
  <c r="AV89" i="104"/>
  <c r="AV24" i="104" s="1"/>
  <c r="BA24" i="105" s="1"/>
  <c r="AV89" i="99"/>
  <c r="BN98" i="104"/>
  <c r="BN33" i="104" s="1"/>
  <c r="AW89" i="99"/>
  <c r="AW89" i="104"/>
  <c r="AW24" i="104" s="1"/>
  <c r="BB24" i="105" s="1"/>
  <c r="BN98" i="103"/>
  <c r="BN33" i="103" s="1"/>
  <c r="M43" i="104"/>
  <c r="BM100" i="104"/>
  <c r="BM35" i="104" s="1"/>
  <c r="BM100" i="99"/>
  <c r="BH98" i="103"/>
  <c r="BH33" i="103" s="1"/>
  <c r="BH98" i="99"/>
  <c r="BH98" i="104"/>
  <c r="BH33" i="104" s="1"/>
  <c r="BM322" i="99"/>
  <c r="BH100" i="103"/>
  <c r="BH35" i="103" s="1"/>
  <c r="BH91" i="104"/>
  <c r="BH26" i="104" s="1"/>
  <c r="BM26" i="105" s="1"/>
  <c r="BH100" i="104"/>
  <c r="BH35" i="104" s="1"/>
  <c r="BK43" i="105"/>
  <c r="BM100" i="103"/>
  <c r="BM35" i="103" s="1"/>
  <c r="BH91" i="99"/>
  <c r="BK304" i="99"/>
  <c r="BK32" i="99" s="1"/>
  <c r="BK97" i="99" s="1"/>
  <c r="BO98" i="99"/>
  <c r="BO98" i="103"/>
  <c r="BO33" i="103" s="1"/>
  <c r="BO98" i="104"/>
  <c r="BO33" i="104" s="1"/>
  <c r="BH89" i="99"/>
  <c r="BH89" i="104"/>
  <c r="BH24" i="104" s="1"/>
  <c r="BH89" i="103"/>
  <c r="BH24" i="103" s="1"/>
  <c r="BN260" i="99"/>
  <c r="BI268" i="99"/>
  <c r="BI24" i="99" s="1"/>
  <c r="BI89" i="103" s="1"/>
  <c r="BI24" i="103" s="1"/>
  <c r="BD45" i="103"/>
  <c r="BI43" i="105"/>
  <c r="BI276" i="99"/>
  <c r="BI26" i="99" s="1"/>
  <c r="BI252" i="99"/>
  <c r="BF293" i="99"/>
  <c r="BF309" i="99" s="1"/>
  <c r="BF312" i="99" s="1"/>
  <c r="BF33" i="99" s="1"/>
  <c r="BF288" i="99"/>
  <c r="BD293" i="99"/>
  <c r="BD317" i="99" s="1"/>
  <c r="BD320" i="99" s="1"/>
  <c r="BD35" i="99" s="1"/>
  <c r="BD288" i="99"/>
  <c r="BE293" i="99"/>
  <c r="BE317" i="99" s="1"/>
  <c r="BE320" i="99" s="1"/>
  <c r="BE35" i="99" s="1"/>
  <c r="BE288" i="99"/>
  <c r="BW108" i="103"/>
  <c r="BW43" i="103" s="1"/>
  <c r="BW45" i="103" s="1"/>
  <c r="BW108" i="104"/>
  <c r="BW43" i="104" s="1"/>
  <c r="BW108" i="99"/>
  <c r="BW45" i="99"/>
  <c r="BF249" i="99"/>
  <c r="BF244" i="99"/>
  <c r="BE249" i="99"/>
  <c r="BE244" i="99"/>
  <c r="BR241" i="99"/>
  <c r="BR211" i="99"/>
  <c r="BR285" i="99"/>
  <c r="BR219" i="99"/>
  <c r="BR108" i="104"/>
  <c r="BR43" i="104" s="1"/>
  <c r="BR108" i="99"/>
  <c r="BR108" i="103"/>
  <c r="BR43" i="103" s="1"/>
  <c r="BR45" i="103" s="1"/>
  <c r="BR45" i="99"/>
  <c r="BE110" i="103"/>
  <c r="BE110" i="99"/>
  <c r="BE110" i="104"/>
  <c r="BE45" i="104" s="1"/>
  <c r="BP241" i="99"/>
  <c r="BP211" i="99"/>
  <c r="BW241" i="99"/>
  <c r="BW211" i="99"/>
  <c r="BE45" i="103"/>
  <c r="BJ43" i="105"/>
  <c r="BP285" i="99"/>
  <c r="BP219" i="99"/>
  <c r="BW285" i="99"/>
  <c r="BW219" i="99"/>
  <c r="BF110" i="99"/>
  <c r="BF110" i="104"/>
  <c r="BF45" i="104" s="1"/>
  <c r="BF110" i="103"/>
  <c r="BP108" i="99"/>
  <c r="BP108" i="104"/>
  <c r="BP43" i="104" s="1"/>
  <c r="BP108" i="103"/>
  <c r="BP43" i="103" s="1"/>
  <c r="BP45" i="103" s="1"/>
  <c r="BP45" i="99"/>
  <c r="BO91" i="99"/>
  <c r="BD249" i="99"/>
  <c r="BD244" i="99"/>
  <c r="BD110" i="103"/>
  <c r="BD110" i="104"/>
  <c r="BD45" i="104" s="1"/>
  <c r="BD110" i="99"/>
  <c r="BO91" i="104"/>
  <c r="BO26" i="104" s="1"/>
  <c r="BT26" i="105" s="1"/>
  <c r="BH322" i="99"/>
  <c r="BN91" i="104"/>
  <c r="BN26" i="104" s="1"/>
  <c r="BI97" i="103"/>
  <c r="BI32" i="103" s="1"/>
  <c r="BN32" i="105" s="1"/>
  <c r="BI97" i="99"/>
  <c r="BN100" i="99"/>
  <c r="BO89" i="99"/>
  <c r="BM98" i="104"/>
  <c r="BM33" i="104" s="1"/>
  <c r="BR33" i="105" s="1"/>
  <c r="BK309" i="99"/>
  <c r="BK312" i="99" s="1"/>
  <c r="BK33" i="99" s="1"/>
  <c r="BK98" i="103" s="1"/>
  <c r="BK33" i="103" s="1"/>
  <c r="BM89" i="104"/>
  <c r="BM24" i="104" s="1"/>
  <c r="BM98" i="99"/>
  <c r="BO89" i="103"/>
  <c r="BO24" i="103" s="1"/>
  <c r="BT24" i="105" s="1"/>
  <c r="BH97" i="99"/>
  <c r="BJ265" i="99"/>
  <c r="BJ268" i="99" s="1"/>
  <c r="BJ24" i="99" s="1"/>
  <c r="BJ89" i="99" s="1"/>
  <c r="BM89" i="103"/>
  <c r="BM24" i="103" s="1"/>
  <c r="BM278" i="99"/>
  <c r="BO97" i="104"/>
  <c r="BO32" i="104" s="1"/>
  <c r="BT32" i="105" s="1"/>
  <c r="BN100" i="104"/>
  <c r="BN35" i="104" s="1"/>
  <c r="BS35" i="105" s="1"/>
  <c r="BI322" i="99"/>
  <c r="BH278" i="99"/>
  <c r="BN97" i="104"/>
  <c r="BN32" i="104" s="1"/>
  <c r="BS32" i="105" s="1"/>
  <c r="BO97" i="99"/>
  <c r="BI98" i="103"/>
  <c r="BI33" i="103" s="1"/>
  <c r="BM88" i="104"/>
  <c r="BM23" i="104" s="1"/>
  <c r="BR23" i="105" s="1"/>
  <c r="BN97" i="99"/>
  <c r="BM88" i="99"/>
  <c r="BH88" i="104"/>
  <c r="BH23" i="104" s="1"/>
  <c r="BI98" i="104"/>
  <c r="BI33" i="104" s="1"/>
  <c r="BN322" i="99"/>
  <c r="BO322" i="99"/>
  <c r="BH97" i="103"/>
  <c r="BH32" i="103" s="1"/>
  <c r="BM32" i="105" s="1"/>
  <c r="BL43" i="105"/>
  <c r="BL273" i="99"/>
  <c r="BL276" i="99" s="1"/>
  <c r="BL26" i="99" s="1"/>
  <c r="BL91" i="103" s="1"/>
  <c r="BL26" i="103" s="1"/>
  <c r="BK265" i="99"/>
  <c r="BK268" i="99" s="1"/>
  <c r="BK24" i="99" s="1"/>
  <c r="CA43" i="105"/>
  <c r="BZ43" i="105"/>
  <c r="BL97" i="103"/>
  <c r="BL32" i="103" s="1"/>
  <c r="BL97" i="99"/>
  <c r="BL97" i="104"/>
  <c r="BL32" i="104" s="1"/>
  <c r="BU249" i="99"/>
  <c r="BU244" i="99"/>
  <c r="BV110" i="99"/>
  <c r="BV110" i="103"/>
  <c r="BV110" i="104"/>
  <c r="BV45" i="104" s="1"/>
  <c r="BJ317" i="99"/>
  <c r="BJ320" i="99" s="1"/>
  <c r="BJ35" i="99" s="1"/>
  <c r="BJ296" i="99"/>
  <c r="BT249" i="99"/>
  <c r="BT244" i="99"/>
  <c r="BP45" i="105"/>
  <c r="BQ45" i="105"/>
  <c r="BK273" i="99"/>
  <c r="BK276" i="99" s="1"/>
  <c r="BK26" i="99" s="1"/>
  <c r="BK466" i="99"/>
  <c r="BK252" i="99"/>
  <c r="BT110" i="103"/>
  <c r="BT110" i="99"/>
  <c r="BT110" i="104"/>
  <c r="BT45" i="104" s="1"/>
  <c r="BL309" i="99"/>
  <c r="BL312" i="99" s="1"/>
  <c r="BL33" i="99" s="1"/>
  <c r="BS249" i="99"/>
  <c r="BS244" i="99"/>
  <c r="BL317" i="99"/>
  <c r="BL320" i="99" s="1"/>
  <c r="BL35" i="99" s="1"/>
  <c r="BL296" i="99"/>
  <c r="BT45" i="103"/>
  <c r="BY43" i="105"/>
  <c r="BV293" i="99"/>
  <c r="BV301" i="99" s="1"/>
  <c r="BV288" i="99"/>
  <c r="BX43" i="105"/>
  <c r="BS293" i="99"/>
  <c r="BS309" i="99" s="1"/>
  <c r="BS288" i="99"/>
  <c r="BO45" i="105"/>
  <c r="BU293" i="99"/>
  <c r="BU317" i="99" s="1"/>
  <c r="BU320" i="99" s="1"/>
  <c r="BU35" i="99" s="1"/>
  <c r="BU288" i="99"/>
  <c r="BS110" i="103"/>
  <c r="BS110" i="99"/>
  <c r="BS110" i="104"/>
  <c r="BS45" i="104" s="1"/>
  <c r="BU110" i="103"/>
  <c r="BU110" i="99"/>
  <c r="BU110" i="104"/>
  <c r="BU45" i="104" s="1"/>
  <c r="BK317" i="99"/>
  <c r="BK320" i="99" s="1"/>
  <c r="BK35" i="99" s="1"/>
  <c r="BK296" i="99"/>
  <c r="BT293" i="99"/>
  <c r="BT309" i="99" s="1"/>
  <c r="BT288" i="99"/>
  <c r="BL257" i="99"/>
  <c r="BL260" i="99" s="1"/>
  <c r="BL23" i="99" s="1"/>
  <c r="BL466" i="99"/>
  <c r="BL252" i="99"/>
  <c r="BJ257" i="99"/>
  <c r="BJ260" i="99" s="1"/>
  <c r="BJ23" i="99" s="1"/>
  <c r="BJ466" i="99"/>
  <c r="BJ252" i="99"/>
  <c r="BV249" i="99"/>
  <c r="BV244" i="99"/>
  <c r="BJ309" i="99"/>
  <c r="BJ312" i="99" s="1"/>
  <c r="BJ33" i="99" s="1"/>
  <c r="M108" i="103"/>
  <c r="M108" i="99"/>
  <c r="M108" i="104"/>
  <c r="BG110" i="104"/>
  <c r="BG45" i="104" s="1"/>
  <c r="BG110" i="99"/>
  <c r="BG110" i="103"/>
  <c r="M45" i="99"/>
  <c r="BG45" i="103"/>
  <c r="M43" i="103"/>
  <c r="BG249" i="99"/>
  <c r="BG244" i="99"/>
  <c r="BG293" i="99"/>
  <c r="BG301" i="99" s="1"/>
  <c r="BG304" i="99" s="1"/>
  <c r="BG32" i="99" s="1"/>
  <c r="BG288" i="99"/>
  <c r="BV43" i="105"/>
  <c r="BQ312" i="99"/>
  <c r="BQ33" i="99" s="1"/>
  <c r="BQ288" i="99"/>
  <c r="BQ244" i="99"/>
  <c r="BQ110" i="99"/>
  <c r="BQ110" i="104"/>
  <c r="BQ45" i="104" s="1"/>
  <c r="BQ110" i="103"/>
  <c r="AC34" i="105"/>
  <c r="AR26" i="105"/>
  <c r="AB34" i="105"/>
  <c r="AW31" i="105"/>
  <c r="BH96" i="103"/>
  <c r="BH31" i="103" s="1"/>
  <c r="AL99" i="103"/>
  <c r="AD101" i="103"/>
  <c r="AD102" i="103" s="1"/>
  <c r="K100" i="99"/>
  <c r="AZ96" i="103"/>
  <c r="AZ31" i="103" s="1"/>
  <c r="Z101" i="103"/>
  <c r="Z102" i="103" s="1"/>
  <c r="AL34" i="105"/>
  <c r="AX96" i="103"/>
  <c r="AX31" i="103" s="1"/>
  <c r="K97" i="99"/>
  <c r="AB101" i="103"/>
  <c r="AB102" i="103" s="1"/>
  <c r="BA96" i="103"/>
  <c r="BA31" i="103" s="1"/>
  <c r="AA34" i="105"/>
  <c r="BI96" i="103"/>
  <c r="BI31" i="103" s="1"/>
  <c r="AE101" i="103"/>
  <c r="AE102" i="103" s="1"/>
  <c r="O24" i="105"/>
  <c r="AF34" i="105"/>
  <c r="AJ34" i="105"/>
  <c r="AK34" i="105"/>
  <c r="CC43" i="105"/>
  <c r="U36" i="104"/>
  <c r="U37" i="104" s="1"/>
  <c r="AG101" i="103"/>
  <c r="AG102" i="103" s="1"/>
  <c r="K98" i="99"/>
  <c r="AV35" i="105"/>
  <c r="AO31" i="105"/>
  <c r="AR32" i="105"/>
  <c r="AQ32" i="105"/>
  <c r="AM31" i="105"/>
  <c r="AH34" i="105"/>
  <c r="AQ33" i="105"/>
  <c r="AN33" i="105"/>
  <c r="AX100" i="99"/>
  <c r="AU35" i="105"/>
  <c r="AM33" i="105"/>
  <c r="AG34" i="105"/>
  <c r="AU33" i="105"/>
  <c r="AQ31" i="105"/>
  <c r="AP35" i="105"/>
  <c r="AI34" i="105"/>
  <c r="AT31" i="105"/>
  <c r="AP33" i="105"/>
  <c r="AN35" i="105"/>
  <c r="AN31" i="105"/>
  <c r="AV31" i="105"/>
  <c r="AP31" i="105"/>
  <c r="AM35" i="105"/>
  <c r="AM32" i="105"/>
  <c r="AD34" i="105"/>
  <c r="AM99" i="103"/>
  <c r="W25" i="105"/>
  <c r="W87" i="105" s="1"/>
  <c r="AP32" i="105"/>
  <c r="AO32" i="105"/>
  <c r="Z25" i="105"/>
  <c r="Y25" i="105"/>
  <c r="AV33" i="105"/>
  <c r="K96" i="103"/>
  <c r="AS31" i="105"/>
  <c r="AO33" i="105"/>
  <c r="AX31" i="105"/>
  <c r="AR33" i="105"/>
  <c r="CD43" i="105"/>
  <c r="Y34" i="105"/>
  <c r="AS32" i="105"/>
  <c r="AN32" i="105"/>
  <c r="AQ99" i="103"/>
  <c r="AE34" i="105"/>
  <c r="AT35" i="105"/>
  <c r="AA101" i="103"/>
  <c r="AA102" i="103" s="1"/>
  <c r="AR35" i="105"/>
  <c r="X25" i="105"/>
  <c r="AS33" i="105"/>
  <c r="AT33" i="105"/>
  <c r="AU32" i="105"/>
  <c r="AS35" i="105"/>
  <c r="AO35" i="105"/>
  <c r="AV32" i="105"/>
  <c r="AX32" i="105"/>
  <c r="AQ35" i="105"/>
  <c r="AT32" i="105"/>
  <c r="BN35" i="105"/>
  <c r="AW35" i="105"/>
  <c r="AU31" i="105"/>
  <c r="AR31" i="105"/>
  <c r="AN23" i="105"/>
  <c r="AK22" i="105"/>
  <c r="AS24" i="105"/>
  <c r="J99" i="103"/>
  <c r="AA22" i="105"/>
  <c r="AQ24" i="105"/>
  <c r="BC96" i="103"/>
  <c r="BC31" i="103" s="1"/>
  <c r="AV26" i="105"/>
  <c r="AF101" i="103"/>
  <c r="AF102" i="103" s="1"/>
  <c r="AO24" i="105"/>
  <c r="AG22" i="105"/>
  <c r="AI22" i="105"/>
  <c r="AY100" i="99"/>
  <c r="AT23" i="105"/>
  <c r="AF22" i="105"/>
  <c r="AV24" i="105"/>
  <c r="AN26" i="105"/>
  <c r="AY96" i="103"/>
  <c r="AY31" i="103" s="1"/>
  <c r="AZ97" i="99"/>
  <c r="AP99" i="103"/>
  <c r="AE22" i="105"/>
  <c r="AQ26" i="105"/>
  <c r="AV23" i="105"/>
  <c r="BB96" i="103"/>
  <c r="BB31" i="103" s="1"/>
  <c r="AL22" i="105"/>
  <c r="AC22" i="105"/>
  <c r="BC278" i="153"/>
  <c r="AS23" i="105"/>
  <c r="AJ22" i="105"/>
  <c r="AR24" i="105"/>
  <c r="AM24" i="105"/>
  <c r="AU24" i="105"/>
  <c r="AB22" i="105"/>
  <c r="AR23" i="105"/>
  <c r="AH22" i="105"/>
  <c r="AM23" i="105"/>
  <c r="AU23" i="105"/>
  <c r="AQ23" i="105"/>
  <c r="AU91" i="103"/>
  <c r="AU26" i="103" s="1"/>
  <c r="AR87" i="103"/>
  <c r="AR22" i="103" s="1"/>
  <c r="BB89" i="103"/>
  <c r="BB24" i="103" s="1"/>
  <c r="AT91" i="103"/>
  <c r="AT26" i="103" s="1"/>
  <c r="AF134" i="103"/>
  <c r="AF69" i="103" s="1"/>
  <c r="AF134" i="104"/>
  <c r="AF69" i="104" s="1"/>
  <c r="AA134" i="104"/>
  <c r="AA69" i="104" s="1"/>
  <c r="AA134" i="103"/>
  <c r="AA69" i="103" s="1"/>
  <c r="AZ88" i="103"/>
  <c r="AZ23" i="103" s="1"/>
  <c r="AL87" i="103"/>
  <c r="AL22" i="103" s="1"/>
  <c r="AI87" i="103"/>
  <c r="AI22" i="103" s="1"/>
  <c r="BH88" i="103"/>
  <c r="BH23" i="103" s="1"/>
  <c r="AD22" i="105"/>
  <c r="BC88" i="103"/>
  <c r="BC23" i="103" s="1"/>
  <c r="AV91" i="103"/>
  <c r="AV26" i="103" s="1"/>
  <c r="AU89" i="103"/>
  <c r="AU24" i="103" s="1"/>
  <c r="BC91" i="103"/>
  <c r="BC26" i="103" s="1"/>
  <c r="AX89" i="103"/>
  <c r="AX24" i="103" s="1"/>
  <c r="AO99" i="103"/>
  <c r="AJ87" i="103"/>
  <c r="AJ22" i="103" s="1"/>
  <c r="AU100" i="99"/>
  <c r="AU100" i="103"/>
  <c r="AU35" i="103" s="1"/>
  <c r="AN99" i="103"/>
  <c r="AH87" i="103"/>
  <c r="AH22" i="103" s="1"/>
  <c r="AE134" i="103"/>
  <c r="AE69" i="103" s="1"/>
  <c r="AE134" i="104"/>
  <c r="AE69" i="104" s="1"/>
  <c r="AP23" i="105"/>
  <c r="AO87" i="103"/>
  <c r="AO22" i="103" s="1"/>
  <c r="AQ87" i="103"/>
  <c r="AQ22" i="103" s="1"/>
  <c r="AP87" i="103"/>
  <c r="AP22" i="103" s="1"/>
  <c r="BX451" i="153" a="1"/>
  <c r="BX451" i="153" s="1"/>
  <c r="BX457" i="153" s="1"/>
  <c r="BX69" i="153" s="1"/>
  <c r="BX134" i="153" s="1"/>
  <c r="AT88" i="103"/>
  <c r="AT23" i="103" s="1"/>
  <c r="Y134" i="104"/>
  <c r="Y69" i="104" s="1"/>
  <c r="Y134" i="103"/>
  <c r="Y69" i="103" s="1"/>
  <c r="AC134" i="104"/>
  <c r="AC69" i="104" s="1"/>
  <c r="AC134" i="103"/>
  <c r="AC69" i="103" s="1"/>
  <c r="BB88" i="103"/>
  <c r="BB23" i="103" s="1"/>
  <c r="AW88" i="103"/>
  <c r="AW23" i="103" s="1"/>
  <c r="AB134" i="103"/>
  <c r="AB69" i="103" s="1"/>
  <c r="AB134" i="104"/>
  <c r="AB69" i="104" s="1"/>
  <c r="AD134" i="103"/>
  <c r="AD69" i="103" s="1"/>
  <c r="AD134" i="104"/>
  <c r="AD69" i="104" s="1"/>
  <c r="AZ89" i="103"/>
  <c r="AZ24" i="103" s="1"/>
  <c r="AC101" i="103"/>
  <c r="AC102" i="103" s="1"/>
  <c r="AS87" i="103"/>
  <c r="AS22" i="103" s="1"/>
  <c r="AM87" i="103"/>
  <c r="AM22" i="103" s="1"/>
  <c r="AW100" i="99"/>
  <c r="Z134" i="104"/>
  <c r="Z69" i="104" s="1"/>
  <c r="Z134" i="103"/>
  <c r="Z69" i="103" s="1"/>
  <c r="AK89" i="103"/>
  <c r="AK24" i="103" s="1"/>
  <c r="K24" i="103" s="1"/>
  <c r="K88" i="103"/>
  <c r="AW91" i="103"/>
  <c r="AW26" i="103" s="1"/>
  <c r="AP134" i="104"/>
  <c r="AP69" i="104" s="1"/>
  <c r="AP134" i="103"/>
  <c r="AP69" i="103" s="1"/>
  <c r="AG134" i="103"/>
  <c r="AG69" i="103" s="1"/>
  <c r="AG134" i="104"/>
  <c r="AG69" i="104" s="1"/>
  <c r="BH87" i="103"/>
  <c r="BH22" i="103" s="1"/>
  <c r="AV88" i="103"/>
  <c r="AV23" i="103" s="1"/>
  <c r="AO91" i="103"/>
  <c r="AO26" i="103" s="1"/>
  <c r="K26" i="103" s="1"/>
  <c r="AJ134" i="103"/>
  <c r="AJ69" i="103" s="1"/>
  <c r="AJ134" i="104"/>
  <c r="AJ69" i="104" s="1"/>
  <c r="AX91" i="103"/>
  <c r="AX26" i="103" s="1"/>
  <c r="AO23" i="105"/>
  <c r="AX88" i="103"/>
  <c r="AX23" i="103" s="1"/>
  <c r="AK87" i="103"/>
  <c r="AK22" i="103" s="1"/>
  <c r="BA91" i="103"/>
  <c r="BA26" i="103" s="1"/>
  <c r="BN87" i="103"/>
  <c r="AY91" i="103"/>
  <c r="AY26" i="103" s="1"/>
  <c r="BH278" i="153"/>
  <c r="AU26" i="105"/>
  <c r="AY88" i="103"/>
  <c r="AY23" i="103" s="1"/>
  <c r="AN87" i="103"/>
  <c r="AN22" i="103" s="1"/>
  <c r="BA88" i="103"/>
  <c r="BA23" i="103" s="1"/>
  <c r="X134" i="103"/>
  <c r="X69" i="103" s="1"/>
  <c r="X134" i="104"/>
  <c r="X69" i="104" s="1"/>
  <c r="V134" i="103"/>
  <c r="V69" i="103" s="1"/>
  <c r="V134" i="104"/>
  <c r="V69" i="104" s="1"/>
  <c r="BA98" i="99"/>
  <c r="BA98" i="103"/>
  <c r="BA33" i="103" s="1"/>
  <c r="Q45" i="105"/>
  <c r="L23" i="151" s="1"/>
  <c r="AR34" i="103"/>
  <c r="AR36" i="103" s="1"/>
  <c r="AR37" i="103" s="1"/>
  <c r="AH34" i="103"/>
  <c r="AH36" i="103" s="1"/>
  <c r="AH37" i="103" s="1"/>
  <c r="AY278" i="153"/>
  <c r="AX88" i="104"/>
  <c r="AX23" i="104" s="1"/>
  <c r="AK19" i="105"/>
  <c r="AH19" i="105"/>
  <c r="AQ34" i="103"/>
  <c r="AQ36" i="103" s="1"/>
  <c r="AQ37" i="103" s="1"/>
  <c r="AJ19" i="105"/>
  <c r="K33" i="104"/>
  <c r="AB19" i="105"/>
  <c r="AF19" i="105"/>
  <c r="AA19" i="105"/>
  <c r="O32" i="105"/>
  <c r="K32" i="104"/>
  <c r="AI19" i="105"/>
  <c r="AE19" i="105"/>
  <c r="Z90" i="104"/>
  <c r="Z25" i="104" s="1"/>
  <c r="AC90" i="104"/>
  <c r="AC25" i="104" s="1"/>
  <c r="AO84" i="104"/>
  <c r="AO19" i="104" s="1"/>
  <c r="AV100" i="104"/>
  <c r="AV35" i="104" s="1"/>
  <c r="AD90" i="104"/>
  <c r="AD25" i="104" s="1"/>
  <c r="AZ97" i="104"/>
  <c r="AZ32" i="104" s="1"/>
  <c r="AZ32" i="103"/>
  <c r="AG19" i="105"/>
  <c r="BI96" i="104"/>
  <c r="BI31" i="104" s="1"/>
  <c r="BB89" i="104"/>
  <c r="BB24" i="104" s="1"/>
  <c r="AT100" i="104"/>
  <c r="AT35" i="104" s="1"/>
  <c r="AA101" i="104"/>
  <c r="AA102" i="104" s="1"/>
  <c r="BN96" i="104"/>
  <c r="BN31" i="104" s="1"/>
  <c r="BB97" i="99"/>
  <c r="BB97" i="104"/>
  <c r="BB32" i="104" s="1"/>
  <c r="BB32" i="103"/>
  <c r="AB101" i="104"/>
  <c r="AB102" i="104" s="1"/>
  <c r="BC88" i="104"/>
  <c r="BC23" i="104" s="1"/>
  <c r="AF90" i="104"/>
  <c r="AF25" i="104" s="1"/>
  <c r="AO87" i="104"/>
  <c r="AO22" i="104" s="1"/>
  <c r="AE101" i="104"/>
  <c r="AE102" i="104" s="1"/>
  <c r="Z101" i="104"/>
  <c r="Z102" i="104" s="1"/>
  <c r="X101" i="104"/>
  <c r="X102" i="104" s="1"/>
  <c r="AL87" i="104"/>
  <c r="AL22" i="104" s="1"/>
  <c r="X90" i="104"/>
  <c r="X25" i="104" s="1"/>
  <c r="AZ88" i="104"/>
  <c r="AZ23" i="104" s="1"/>
  <c r="AJ87" i="104"/>
  <c r="AJ22" i="104" s="1"/>
  <c r="AZ98" i="99"/>
  <c r="AZ98" i="104"/>
  <c r="AZ33" i="104" s="1"/>
  <c r="AZ33" i="103"/>
  <c r="BC97" i="99"/>
  <c r="BC97" i="104"/>
  <c r="BC32" i="104" s="1"/>
  <c r="BC32" i="103"/>
  <c r="AY100" i="104"/>
  <c r="AY35" i="104" s="1"/>
  <c r="AY35" i="103"/>
  <c r="AL148" i="99"/>
  <c r="AL84" i="104"/>
  <c r="AL19" i="104" s="1"/>
  <c r="AC101" i="104"/>
  <c r="AC102" i="104" s="1"/>
  <c r="AC19" i="105"/>
  <c r="T101" i="104"/>
  <c r="T102" i="104" s="1"/>
  <c r="AJ84" i="104"/>
  <c r="AJ19" i="104" s="1"/>
  <c r="AJ19" i="103"/>
  <c r="BC98" i="99"/>
  <c r="BC33" i="103"/>
  <c r="BC98" i="104"/>
  <c r="BC33" i="104" s="1"/>
  <c r="BB98" i="99"/>
  <c r="BB33" i="103"/>
  <c r="BB98" i="104"/>
  <c r="BB33" i="104" s="1"/>
  <c r="AW100" i="104"/>
  <c r="AW35" i="104" s="1"/>
  <c r="AW35" i="103"/>
  <c r="K88" i="104"/>
  <c r="AN87" i="104"/>
  <c r="AN22" i="104" s="1"/>
  <c r="BC91" i="104"/>
  <c r="BC26" i="104" s="1"/>
  <c r="AW96" i="104"/>
  <c r="AW31" i="104" s="1"/>
  <c r="AT97" i="104"/>
  <c r="AT32" i="104" s="1"/>
  <c r="AT32" i="103"/>
  <c r="AX91" i="99"/>
  <c r="AX91" i="104"/>
  <c r="AX26" i="104" s="1"/>
  <c r="J84" i="104"/>
  <c r="AW91" i="104"/>
  <c r="AW26" i="104" s="1"/>
  <c r="AX96" i="104"/>
  <c r="AX31" i="104" s="1"/>
  <c r="BA88" i="104"/>
  <c r="BA23" i="104" s="1"/>
  <c r="AH87" i="104"/>
  <c r="AH22" i="104" s="1"/>
  <c r="AA90" i="104"/>
  <c r="AA25" i="104" s="1"/>
  <c r="AY91" i="104"/>
  <c r="AY26" i="104" s="1"/>
  <c r="AS87" i="104"/>
  <c r="AS22" i="104" s="1"/>
  <c r="AD19" i="105"/>
  <c r="O33" i="105"/>
  <c r="BH96" i="104"/>
  <c r="BH31" i="104" s="1"/>
  <c r="K98" i="104"/>
  <c r="S92" i="104"/>
  <c r="S93" i="104" s="1"/>
  <c r="AS146" i="99"/>
  <c r="AS84" i="104"/>
  <c r="AS19" i="104" s="1"/>
  <c r="J96" i="104"/>
  <c r="BA96" i="104"/>
  <c r="BA31" i="104" s="1"/>
  <c r="BO96" i="104"/>
  <c r="BO31" i="104" s="1"/>
  <c r="BO31" i="103"/>
  <c r="AH146" i="99"/>
  <c r="AH84" i="104"/>
  <c r="AH19" i="104" s="1"/>
  <c r="AX100" i="104"/>
  <c r="AX35" i="104" s="1"/>
  <c r="AX35" i="103"/>
  <c r="K96" i="104"/>
  <c r="AN84" i="104"/>
  <c r="AN19" i="104" s="1"/>
  <c r="AN148" i="104" s="1"/>
  <c r="AN19" i="103"/>
  <c r="BO84" i="104"/>
  <c r="BO19" i="104" s="1"/>
  <c r="BO149" i="104" s="1"/>
  <c r="BO19" i="103"/>
  <c r="BH87" i="104"/>
  <c r="BH22" i="104" s="1"/>
  <c r="R92" i="104"/>
  <c r="R93" i="104" s="1"/>
  <c r="AY96" i="104"/>
  <c r="AY31" i="104" s="1"/>
  <c r="AX89" i="104"/>
  <c r="AX24" i="104" s="1"/>
  <c r="BM84" i="104"/>
  <c r="BM19" i="104" s="1"/>
  <c r="BM19" i="103"/>
  <c r="AK89" i="104"/>
  <c r="AK24" i="104" s="1"/>
  <c r="K24" i="104" s="1"/>
  <c r="K97" i="104"/>
  <c r="AN99" i="104"/>
  <c r="AN34" i="104" s="1"/>
  <c r="AT91" i="104"/>
  <c r="AT26" i="104" s="1"/>
  <c r="BA98" i="104"/>
  <c r="BA33" i="104" s="1"/>
  <c r="AY88" i="104"/>
  <c r="AY23" i="104" s="1"/>
  <c r="AE90" i="104"/>
  <c r="AE25" i="104" s="1"/>
  <c r="BY110" i="104"/>
  <c r="BY45" i="104" s="1"/>
  <c r="AZ96" i="104"/>
  <c r="AZ31" i="104" s="1"/>
  <c r="O26" i="105"/>
  <c r="J91" i="104"/>
  <c r="AI99" i="104"/>
  <c r="AI34" i="104" s="1"/>
  <c r="AJ99" i="104"/>
  <c r="AJ34" i="104" s="1"/>
  <c r="BA91" i="104"/>
  <c r="BA26" i="104" s="1"/>
  <c r="BB96" i="104"/>
  <c r="BB31" i="104" s="1"/>
  <c r="AB90" i="104"/>
  <c r="AB25" i="104" s="1"/>
  <c r="AO91" i="104"/>
  <c r="AO26" i="104" s="1"/>
  <c r="K26" i="104" s="1"/>
  <c r="AV91" i="99"/>
  <c r="AV91" i="104"/>
  <c r="AV26" i="104" s="1"/>
  <c r="BA97" i="104"/>
  <c r="BA32" i="104" s="1"/>
  <c r="AQ147" i="99"/>
  <c r="AQ84" i="104"/>
  <c r="AQ19" i="104" s="1"/>
  <c r="AQ149" i="104" s="1"/>
  <c r="AF101" i="104"/>
  <c r="AF102" i="104" s="1"/>
  <c r="BM96" i="104"/>
  <c r="BM31" i="104" s="1"/>
  <c r="BM31" i="103"/>
  <c r="T92" i="104"/>
  <c r="T93" i="104" s="1"/>
  <c r="AU91" i="104"/>
  <c r="AU26" i="104" s="1"/>
  <c r="AH99" i="104"/>
  <c r="AH34" i="104" s="1"/>
  <c r="AL19" i="105"/>
  <c r="AK87" i="104"/>
  <c r="AK22" i="104" s="1"/>
  <c r="V101" i="104"/>
  <c r="V102" i="104" s="1"/>
  <c r="AR147" i="99"/>
  <c r="AR84" i="104"/>
  <c r="AR19" i="104" s="1"/>
  <c r="AM87" i="104"/>
  <c r="AM22" i="104" s="1"/>
  <c r="AZ89" i="104"/>
  <c r="AZ24" i="104" s="1"/>
  <c r="AI148" i="99"/>
  <c r="AI84" i="104"/>
  <c r="AI19" i="104" s="1"/>
  <c r="AI150" i="104" s="1"/>
  <c r="Y90" i="104"/>
  <c r="Y25" i="104" s="1"/>
  <c r="U92" i="104"/>
  <c r="U93" i="104" s="1"/>
  <c r="AW97" i="99"/>
  <c r="AW97" i="104"/>
  <c r="AW32" i="104" s="1"/>
  <c r="AW32" i="103"/>
  <c r="AU98" i="99"/>
  <c r="AU98" i="104"/>
  <c r="AU33" i="104" s="1"/>
  <c r="AU33" i="103"/>
  <c r="AU100" i="104"/>
  <c r="AU35" i="104" s="1"/>
  <c r="AD101" i="104"/>
  <c r="AD102" i="104" s="1"/>
  <c r="AK84" i="104"/>
  <c r="AK19" i="104" s="1"/>
  <c r="AK19" i="103"/>
  <c r="AT88" i="104"/>
  <c r="AT23" i="104" s="1"/>
  <c r="AQ87" i="104"/>
  <c r="AQ22" i="104" s="1"/>
  <c r="AP99" i="104"/>
  <c r="AP34" i="104" s="1"/>
  <c r="W90" i="104"/>
  <c r="W25" i="104" s="1"/>
  <c r="AR87" i="104"/>
  <c r="AR22" i="104" s="1"/>
  <c r="AM146" i="99"/>
  <c r="AM84" i="104"/>
  <c r="AM19" i="104" s="1"/>
  <c r="AM150" i="104" s="1"/>
  <c r="AM19" i="103"/>
  <c r="AM149" i="103" s="1"/>
  <c r="AI87" i="104"/>
  <c r="AI22" i="104" s="1"/>
  <c r="AY97" i="104"/>
  <c r="AY32" i="104" s="1"/>
  <c r="AU97" i="99"/>
  <c r="AU97" i="104"/>
  <c r="AU32" i="104" s="1"/>
  <c r="AU32" i="103"/>
  <c r="AV97" i="104"/>
  <c r="AV32" i="104" s="1"/>
  <c r="W101" i="104"/>
  <c r="W102" i="104" s="1"/>
  <c r="AZ100" i="104"/>
  <c r="AZ35" i="104" s="1"/>
  <c r="BN87" i="104"/>
  <c r="BN22" i="104" s="1"/>
  <c r="AV88" i="104"/>
  <c r="AV23" i="104" s="1"/>
  <c r="BX110" i="104"/>
  <c r="BX45" i="104" s="1"/>
  <c r="AM99" i="104"/>
  <c r="AM34" i="104" s="1"/>
  <c r="AY33" i="103"/>
  <c r="AY98" i="104"/>
  <c r="AY33" i="104" s="1"/>
  <c r="BC96" i="104"/>
  <c r="BC31" i="104" s="1"/>
  <c r="O23" i="105"/>
  <c r="V90" i="104"/>
  <c r="V25" i="104" s="1"/>
  <c r="AP418" i="99"/>
  <c r="AU89" i="99"/>
  <c r="AU89" i="104"/>
  <c r="AU24" i="104" s="1"/>
  <c r="AW98" i="99"/>
  <c r="AW98" i="104"/>
  <c r="AW33" i="104" s="1"/>
  <c r="AW33" i="103"/>
  <c r="BA100" i="104"/>
  <c r="BA35" i="104" s="1"/>
  <c r="BA35" i="103"/>
  <c r="AW88" i="104"/>
  <c r="AW23" i="104" s="1"/>
  <c r="AV96" i="104"/>
  <c r="AV31" i="104" s="1"/>
  <c r="AG101" i="104"/>
  <c r="AG102" i="104" s="1"/>
  <c r="AU322" i="99"/>
  <c r="AG90" i="104"/>
  <c r="AG25" i="104" s="1"/>
  <c r="AQ99" i="104"/>
  <c r="AQ34" i="104" s="1"/>
  <c r="J87" i="104"/>
  <c r="J99" i="99"/>
  <c r="J99" i="104"/>
  <c r="AL99" i="104"/>
  <c r="AL34" i="104" s="1"/>
  <c r="AU96" i="104"/>
  <c r="AU31" i="104" s="1"/>
  <c r="AO99" i="104"/>
  <c r="AO34" i="104" s="1"/>
  <c r="BB100" i="99"/>
  <c r="BB100" i="104"/>
  <c r="BB35" i="104" s="1"/>
  <c r="BB35" i="103"/>
  <c r="BC100" i="99"/>
  <c r="BC35" i="103"/>
  <c r="BC100" i="104"/>
  <c r="BC35" i="104" s="1"/>
  <c r="AX98" i="99"/>
  <c r="AX98" i="104"/>
  <c r="AX33" i="104" s="1"/>
  <c r="AX33" i="103"/>
  <c r="AP87" i="104"/>
  <c r="AP22" i="104" s="1"/>
  <c r="K100" i="104"/>
  <c r="AX32" i="103"/>
  <c r="AX97" i="104"/>
  <c r="AX32" i="104" s="1"/>
  <c r="Y101" i="104"/>
  <c r="Y102" i="104" s="1"/>
  <c r="AV98" i="104"/>
  <c r="AV33" i="104" s="1"/>
  <c r="AV33" i="103"/>
  <c r="AT96" i="104"/>
  <c r="AT31" i="104" s="1"/>
  <c r="AT31" i="103"/>
  <c r="AK99" i="104"/>
  <c r="AK34" i="104" s="1"/>
  <c r="AT98" i="104"/>
  <c r="AT33" i="104" s="1"/>
  <c r="AT33" i="103"/>
  <c r="AP147" i="99"/>
  <c r="AP84" i="104"/>
  <c r="AP19" i="104" s="1"/>
  <c r="AP149" i="104" s="1"/>
  <c r="BB88" i="99"/>
  <c r="BB88" i="104"/>
  <c r="BB23" i="104" s="1"/>
  <c r="K23" i="104"/>
  <c r="AI34" i="103"/>
  <c r="AI36" i="103" s="1"/>
  <c r="AI37" i="103" s="1"/>
  <c r="BE278" i="153"/>
  <c r="BG278" i="153"/>
  <c r="AZ278" i="153"/>
  <c r="BB145" i="153"/>
  <c r="BB418" i="153"/>
  <c r="BB451" i="153" a="1"/>
  <c r="BB451" i="153" s="1"/>
  <c r="BB457" i="153" s="1"/>
  <c r="BB69" i="153" s="1"/>
  <c r="BH145" i="153"/>
  <c r="BE148" i="153"/>
  <c r="BB147" i="153"/>
  <c r="BB148" i="153"/>
  <c r="BB146" i="153"/>
  <c r="AZ148" i="153"/>
  <c r="AZ147" i="153"/>
  <c r="AX418" i="153"/>
  <c r="AX451" i="153" a="1"/>
  <c r="AX451" i="153" s="1"/>
  <c r="AX457" i="153" s="1"/>
  <c r="AX69" i="153" s="1"/>
  <c r="AX134" i="153" s="1"/>
  <c r="BB278" i="153"/>
  <c r="BH147" i="153"/>
  <c r="BH148" i="153"/>
  <c r="BE145" i="153"/>
  <c r="BD451" i="153" a="1"/>
  <c r="BD451" i="153" s="1"/>
  <c r="BD457" i="153" s="1"/>
  <c r="BD69" i="153" s="1"/>
  <c r="BD134" i="153" s="1"/>
  <c r="BD418" i="153"/>
  <c r="AZ145" i="153"/>
  <c r="BH418" i="153"/>
  <c r="BH451" i="153" a="1"/>
  <c r="BH451" i="153" s="1"/>
  <c r="BH457" i="153" s="1"/>
  <c r="BH69" i="153" s="1"/>
  <c r="BH134" i="153" s="1"/>
  <c r="K147" i="153"/>
  <c r="K148" i="153"/>
  <c r="BD146" i="153"/>
  <c r="BD148" i="153"/>
  <c r="BH146" i="153"/>
  <c r="BD278" i="153"/>
  <c r="BD145" i="153"/>
  <c r="K145" i="153"/>
  <c r="BF418" i="153"/>
  <c r="BF451" i="153" a="1"/>
  <c r="BF451" i="153" s="1"/>
  <c r="BF457" i="153" s="1"/>
  <c r="BF69" i="153" s="1"/>
  <c r="BF134" i="153" s="1"/>
  <c r="BC145" i="153"/>
  <c r="AY146" i="153"/>
  <c r="AY147" i="153"/>
  <c r="AY148" i="153"/>
  <c r="BF146" i="153"/>
  <c r="BC146" i="153"/>
  <c r="BC148" i="153"/>
  <c r="BC147" i="153"/>
  <c r="AY145" i="153"/>
  <c r="BC418" i="153"/>
  <c r="BC451" i="153" a="1"/>
  <c r="BC451" i="153" s="1"/>
  <c r="BC457" i="153" s="1"/>
  <c r="BC69" i="153" s="1"/>
  <c r="BC134" i="153" s="1"/>
  <c r="BE451" i="153" a="1"/>
  <c r="BE451" i="153" s="1"/>
  <c r="BE457" i="153" s="1"/>
  <c r="BE69" i="153" s="1"/>
  <c r="BE134" i="153" s="1"/>
  <c r="BE418" i="153"/>
  <c r="AY451" i="153" a="1"/>
  <c r="AY451" i="153" s="1"/>
  <c r="AY457" i="153" s="1"/>
  <c r="AY69" i="153" s="1"/>
  <c r="AY134" i="153" s="1"/>
  <c r="AY418" i="153"/>
  <c r="K146" i="153"/>
  <c r="BE146" i="153"/>
  <c r="BG451" i="153" a="1"/>
  <c r="BG451" i="153" s="1"/>
  <c r="BG457" i="153" s="1"/>
  <c r="BG69" i="153" s="1"/>
  <c r="BG134" i="153" s="1"/>
  <c r="BG418" i="153"/>
  <c r="BG146" i="153"/>
  <c r="AZ418" i="153"/>
  <c r="AZ451" i="153" a="1"/>
  <c r="AZ451" i="153" s="1"/>
  <c r="AZ457" i="153" s="1"/>
  <c r="AZ69" i="153" s="1"/>
  <c r="AZ134" i="153" s="1"/>
  <c r="BI278" i="153"/>
  <c r="AZ146" i="153"/>
  <c r="BE147" i="153"/>
  <c r="BI418" i="153"/>
  <c r="BI451" i="153" a="1"/>
  <c r="BI451" i="153" s="1"/>
  <c r="BI457" i="153" s="1"/>
  <c r="BI69" i="153" s="1"/>
  <c r="BI134" i="153" s="1"/>
  <c r="BI145" i="153"/>
  <c r="BF278" i="153"/>
  <c r="BA451" i="153" a="1"/>
  <c r="BA451" i="153" s="1"/>
  <c r="BA457" i="153" s="1"/>
  <c r="BA69" i="153" s="1"/>
  <c r="BA134" i="153" s="1"/>
  <c r="BA418" i="153"/>
  <c r="BA145" i="153"/>
  <c r="BI146" i="153"/>
  <c r="BI148" i="153"/>
  <c r="BI147" i="153"/>
  <c r="BF145" i="153"/>
  <c r="AX278" i="153"/>
  <c r="BA146" i="153"/>
  <c r="BA148" i="153"/>
  <c r="BA147" i="153"/>
  <c r="BG145" i="153"/>
  <c r="BF148" i="153"/>
  <c r="BF147" i="153"/>
  <c r="BA278" i="153"/>
  <c r="BD147" i="153"/>
  <c r="BG148" i="153"/>
  <c r="BG147" i="153"/>
  <c r="AI451" i="99" a="1"/>
  <c r="AI451" i="99" s="1"/>
  <c r="AI457" i="99" s="1"/>
  <c r="AI69" i="99" s="1"/>
  <c r="AI134" i="99" s="1"/>
  <c r="J145" i="99"/>
  <c r="Y148" i="104"/>
  <c r="AK278" i="99"/>
  <c r="AO278" i="99"/>
  <c r="L26" i="99"/>
  <c r="L91" i="103" s="1"/>
  <c r="BB322" i="99"/>
  <c r="AB148" i="103"/>
  <c r="L31" i="99"/>
  <c r="L96" i="99" s="1"/>
  <c r="Z147" i="104"/>
  <c r="AS418" i="99"/>
  <c r="AR418" i="99"/>
  <c r="Y149" i="103"/>
  <c r="AM147" i="99"/>
  <c r="BO452" i="99" a="1"/>
  <c r="BO452" i="99" s="1"/>
  <c r="AW322" i="99"/>
  <c r="BV418" i="153"/>
  <c r="AJ418" i="99"/>
  <c r="BC322" i="99"/>
  <c r="AB147" i="104"/>
  <c r="BY418" i="153"/>
  <c r="BY451" i="153" a="1"/>
  <c r="BY451" i="153" s="1"/>
  <c r="BY457" i="153" s="1"/>
  <c r="BY69" i="153" s="1"/>
  <c r="BY134" i="153" s="1"/>
  <c r="BY148" i="153"/>
  <c r="BY147" i="153"/>
  <c r="AG147" i="104"/>
  <c r="BX146" i="153"/>
  <c r="BX147" i="153"/>
  <c r="BW148" i="153"/>
  <c r="BX145" i="153"/>
  <c r="AA147" i="104"/>
  <c r="BX148" i="153"/>
  <c r="AT322" i="99"/>
  <c r="V147" i="104"/>
  <c r="BY146" i="153"/>
  <c r="BK452" i="99" a="1"/>
  <c r="BK452" i="99" s="1"/>
  <c r="AV322" i="99"/>
  <c r="BW145" i="153"/>
  <c r="BW147" i="153"/>
  <c r="BW146" i="153"/>
  <c r="AF147" i="104"/>
  <c r="J87" i="99"/>
  <c r="BW451" i="153" a="1"/>
  <c r="BW451" i="153" s="1"/>
  <c r="BW457" i="153" s="1"/>
  <c r="BW69" i="153" s="1"/>
  <c r="BW134" i="153" s="1"/>
  <c r="BW418" i="153"/>
  <c r="BY145" i="153"/>
  <c r="AD147" i="104"/>
  <c r="K35" i="104"/>
  <c r="AL147" i="99"/>
  <c r="Y147" i="103"/>
  <c r="J19" i="104"/>
  <c r="J148" i="104" s="1"/>
  <c r="AX322" i="99"/>
  <c r="AY322" i="99"/>
  <c r="AB147" i="103"/>
  <c r="K32" i="103"/>
  <c r="Y146" i="103"/>
  <c r="K33" i="103"/>
  <c r="Z147" i="103"/>
  <c r="V147" i="103"/>
  <c r="Z27" i="99"/>
  <c r="Z92" i="103" s="1"/>
  <c r="Z93" i="103" s="1"/>
  <c r="Z90" i="99"/>
  <c r="AE27" i="99"/>
  <c r="AE92" i="103" s="1"/>
  <c r="AE93" i="103" s="1"/>
  <c r="AE90" i="99"/>
  <c r="BY110" i="99"/>
  <c r="AP34" i="103"/>
  <c r="AP36" i="103" s="1"/>
  <c r="V101" i="99"/>
  <c r="V102" i="99" s="1"/>
  <c r="V37" i="99"/>
  <c r="AG148" i="104"/>
  <c r="AG149" i="104"/>
  <c r="BC34" i="99"/>
  <c r="BC96" i="99"/>
  <c r="AU469" i="99"/>
  <c r="AU19" i="99" s="1"/>
  <c r="AU84" i="103" s="1"/>
  <c r="AU278" i="99"/>
  <c r="AU22" i="99"/>
  <c r="AC150" i="104"/>
  <c r="AQ99" i="99"/>
  <c r="AQ36" i="99"/>
  <c r="AJ146" i="99"/>
  <c r="AJ84" i="99"/>
  <c r="AJ148" i="99"/>
  <c r="AJ147" i="99"/>
  <c r="BH34" i="99"/>
  <c r="BH96" i="99"/>
  <c r="AN25" i="99"/>
  <c r="AN90" i="103" s="1"/>
  <c r="AN145" i="99"/>
  <c r="AN87" i="99"/>
  <c r="AD146" i="103"/>
  <c r="AD25" i="103"/>
  <c r="AD27" i="103" s="1"/>
  <c r="BB89" i="99"/>
  <c r="AG25" i="103"/>
  <c r="AG27" i="103" s="1"/>
  <c r="AG146" i="103"/>
  <c r="T92" i="99"/>
  <c r="T93" i="99" s="1"/>
  <c r="T39" i="99"/>
  <c r="T104" i="103" s="1"/>
  <c r="T105" i="103" s="1"/>
  <c r="T28" i="99"/>
  <c r="J19" i="103"/>
  <c r="AY88" i="99"/>
  <c r="BA322" i="99"/>
  <c r="AT469" i="99"/>
  <c r="AT19" i="99" s="1"/>
  <c r="AT84" i="103" s="1"/>
  <c r="AT278" i="99"/>
  <c r="AT22" i="99"/>
  <c r="BH25" i="99"/>
  <c r="BH87" i="99"/>
  <c r="AO34" i="103"/>
  <c r="AO36" i="103" s="1"/>
  <c r="AO37" i="103" s="1"/>
  <c r="BA34" i="99"/>
  <c r="BA96" i="99"/>
  <c r="AW469" i="99"/>
  <c r="AW19" i="99" s="1"/>
  <c r="AW84" i="103" s="1"/>
  <c r="AW22" i="99"/>
  <c r="AW278" i="99"/>
  <c r="AW88" i="99"/>
  <c r="AP36" i="99"/>
  <c r="AP99" i="99"/>
  <c r="AN146" i="99"/>
  <c r="AN84" i="99"/>
  <c r="AN148" i="99"/>
  <c r="AN147" i="99"/>
  <c r="BH452" i="99" a="1"/>
  <c r="BH452" i="99" s="1"/>
  <c r="AG101" i="99"/>
  <c r="AG102" i="99" s="1"/>
  <c r="AG37" i="99"/>
  <c r="BC91" i="99"/>
  <c r="W37" i="99"/>
  <c r="W101" i="99"/>
  <c r="W102" i="99" s="1"/>
  <c r="BX45" i="103"/>
  <c r="AG27" i="99"/>
  <c r="AG92" i="103" s="1"/>
  <c r="AG93" i="103" s="1"/>
  <c r="AG90" i="99"/>
  <c r="AT100" i="99"/>
  <c r="AT35" i="103"/>
  <c r="L35" i="99"/>
  <c r="L100" i="103" s="1"/>
  <c r="AU91" i="99"/>
  <c r="U39" i="103"/>
  <c r="U28" i="103"/>
  <c r="AQ146" i="99"/>
  <c r="AJ34" i="103"/>
  <c r="AJ36" i="103" s="1"/>
  <c r="AJ37" i="103" s="1"/>
  <c r="AD90" i="99"/>
  <c r="AD27" i="99"/>
  <c r="AD92" i="103" s="1"/>
  <c r="AD93" i="103" s="1"/>
  <c r="AD149" i="104"/>
  <c r="AD150" i="104"/>
  <c r="BN87" i="99"/>
  <c r="AO36" i="99"/>
  <c r="AO99" i="99"/>
  <c r="AY22" i="99"/>
  <c r="AY278" i="99"/>
  <c r="AY469" i="99"/>
  <c r="AY19" i="99" s="1"/>
  <c r="AY84" i="103" s="1"/>
  <c r="AT88" i="99"/>
  <c r="BI34" i="99"/>
  <c r="BI96" i="99"/>
  <c r="J69" i="99"/>
  <c r="BA91" i="99"/>
  <c r="AD148" i="103"/>
  <c r="AD149" i="103"/>
  <c r="AY96" i="99"/>
  <c r="AY34" i="99"/>
  <c r="BN452" i="99" a="1"/>
  <c r="BN452" i="99" s="1"/>
  <c r="T28" i="103"/>
  <c r="BN34" i="99"/>
  <c r="BN99" i="103" s="1"/>
  <c r="BN96" i="99"/>
  <c r="AI36" i="99"/>
  <c r="AI101" i="103" s="1"/>
  <c r="AI102" i="103" s="1"/>
  <c r="AI99" i="99"/>
  <c r="AW91" i="99"/>
  <c r="AM451" i="99" a="1"/>
  <c r="AM451" i="99" s="1"/>
  <c r="AM457" i="99" s="1"/>
  <c r="AM69" i="99" s="1"/>
  <c r="AM134" i="99" s="1"/>
  <c r="AM418" i="99"/>
  <c r="AL145" i="99"/>
  <c r="AL25" i="99"/>
  <c r="AL90" i="103" s="1"/>
  <c r="AL87" i="99"/>
  <c r="BX110" i="99"/>
  <c r="AZ100" i="99"/>
  <c r="AZ35" i="103"/>
  <c r="AA148" i="104"/>
  <c r="AA150" i="104"/>
  <c r="AH36" i="99"/>
  <c r="AH101" i="103" s="1"/>
  <c r="AH102" i="103" s="1"/>
  <c r="AH99" i="99"/>
  <c r="J84" i="99"/>
  <c r="J147" i="99"/>
  <c r="AJ99" i="99"/>
  <c r="AJ36" i="99"/>
  <c r="AJ101" i="103" s="1"/>
  <c r="AJ102" i="103" s="1"/>
  <c r="S39" i="99"/>
  <c r="S104" i="103" s="1"/>
  <c r="S105" i="103" s="1"/>
  <c r="S28" i="99"/>
  <c r="S92" i="99"/>
  <c r="S93" i="99" s="1"/>
  <c r="AV98" i="99"/>
  <c r="X149" i="103"/>
  <c r="X147" i="103"/>
  <c r="AL146" i="99"/>
  <c r="AL84" i="99"/>
  <c r="AL19" i="103"/>
  <c r="AL147" i="103" s="1"/>
  <c r="J146" i="99"/>
  <c r="AN34" i="103"/>
  <c r="AN36" i="103" s="1"/>
  <c r="AN37" i="103" s="1"/>
  <c r="AX469" i="99"/>
  <c r="AX19" i="99" s="1"/>
  <c r="AX278" i="99"/>
  <c r="AX22" i="99"/>
  <c r="AT34" i="99"/>
  <c r="AT99" i="103" s="1"/>
  <c r="AT96" i="99"/>
  <c r="AT97" i="99"/>
  <c r="L32" i="99"/>
  <c r="L97" i="103" s="1"/>
  <c r="AA149" i="103"/>
  <c r="AA147" i="103"/>
  <c r="BX246" i="99"/>
  <c r="BX244" i="99"/>
  <c r="AY91" i="99"/>
  <c r="Z149" i="103"/>
  <c r="Z148" i="103"/>
  <c r="AK451" i="99" a="1"/>
  <c r="AK451" i="99" s="1"/>
  <c r="AK457" i="99" s="1"/>
  <c r="AK69" i="99" s="1"/>
  <c r="AK134" i="99" s="1"/>
  <c r="AK418" i="99"/>
  <c r="AK145" i="99"/>
  <c r="AK87" i="99"/>
  <c r="AK25" i="99"/>
  <c r="AK90" i="103" s="1"/>
  <c r="AC149" i="104"/>
  <c r="W149" i="104"/>
  <c r="W148" i="104"/>
  <c r="X148" i="104"/>
  <c r="X150" i="104"/>
  <c r="Y150" i="104"/>
  <c r="AD147" i="103"/>
  <c r="AB148" i="104"/>
  <c r="AB150" i="104"/>
  <c r="AB146" i="103"/>
  <c r="AB25" i="103"/>
  <c r="AB27" i="103" s="1"/>
  <c r="Z150" i="104"/>
  <c r="Z149" i="104"/>
  <c r="AK89" i="99"/>
  <c r="AK147" i="99"/>
  <c r="K24" i="99"/>
  <c r="K89" i="103" s="1"/>
  <c r="BL452" i="99" a="1"/>
  <c r="BL452" i="99" s="1"/>
  <c r="AF148" i="103"/>
  <c r="AF149" i="103"/>
  <c r="AB101" i="99"/>
  <c r="AB102" i="99" s="1"/>
  <c r="AB37" i="99"/>
  <c r="BA278" i="99"/>
  <c r="BA469" i="99"/>
  <c r="BA19" i="99" s="1"/>
  <c r="BA84" i="103" s="1"/>
  <c r="BA22" i="99"/>
  <c r="BC469" i="99"/>
  <c r="BC19" i="99" s="1"/>
  <c r="BC84" i="103" s="1"/>
  <c r="BC278" i="99"/>
  <c r="BC22" i="99"/>
  <c r="W148" i="103"/>
  <c r="W147" i="103"/>
  <c r="AF101" i="99"/>
  <c r="AF102" i="99" s="1"/>
  <c r="AF37" i="99"/>
  <c r="AA37" i="99"/>
  <c r="AA101" i="99"/>
  <c r="AA102" i="99" s="1"/>
  <c r="R36" i="104"/>
  <c r="R37" i="104" s="1"/>
  <c r="AF150" i="104"/>
  <c r="AF149" i="104"/>
  <c r="AK84" i="99"/>
  <c r="AK146" i="99"/>
  <c r="AK148" i="99"/>
  <c r="X37" i="99"/>
  <c r="X101" i="99"/>
  <c r="X102" i="99" s="1"/>
  <c r="AN36" i="99"/>
  <c r="AN99" i="99"/>
  <c r="AI84" i="99"/>
  <c r="AI19" i="103"/>
  <c r="AI149" i="103" s="1"/>
  <c r="AI147" i="99"/>
  <c r="AI146" i="99"/>
  <c r="AX89" i="99"/>
  <c r="BO34" i="99"/>
  <c r="BO99" i="103" s="1"/>
  <c r="BO96" i="99"/>
  <c r="AT98" i="99"/>
  <c r="L33" i="99"/>
  <c r="L98" i="103" s="1"/>
  <c r="BN31" i="103"/>
  <c r="AL34" i="103"/>
  <c r="AL36" i="103" s="1"/>
  <c r="AL37" i="103" s="1"/>
  <c r="AE101" i="99"/>
  <c r="AE102" i="99" s="1"/>
  <c r="AE37" i="99"/>
  <c r="BB34" i="99"/>
  <c r="BB96" i="99"/>
  <c r="AI25" i="99"/>
  <c r="AI90" i="103" s="1"/>
  <c r="AI87" i="99"/>
  <c r="AI145" i="99"/>
  <c r="AZ88" i="99"/>
  <c r="BJ452" i="99" a="1"/>
  <c r="BJ452" i="99" s="1"/>
  <c r="L24" i="99"/>
  <c r="L89" i="103" s="1"/>
  <c r="AC148" i="103"/>
  <c r="AC147" i="103"/>
  <c r="BA88" i="99"/>
  <c r="BC88" i="99"/>
  <c r="J34" i="104"/>
  <c r="J25" i="99"/>
  <c r="J90" i="103" s="1"/>
  <c r="AZ22" i="99"/>
  <c r="AZ469" i="99"/>
  <c r="AZ19" i="99" s="1"/>
  <c r="AZ84" i="103" s="1"/>
  <c r="AZ278" i="99"/>
  <c r="BY246" i="99"/>
  <c r="BY244" i="99"/>
  <c r="AB27" i="99"/>
  <c r="AB92" i="103" s="1"/>
  <c r="AB93" i="103" s="1"/>
  <c r="AB90" i="99"/>
  <c r="AE148" i="104"/>
  <c r="AL36" i="99"/>
  <c r="AL99" i="99"/>
  <c r="AC147" i="104"/>
  <c r="AQ451" i="99" a="1"/>
  <c r="AQ451" i="99" s="1"/>
  <c r="AQ457" i="99" s="1"/>
  <c r="AQ69" i="99" s="1"/>
  <c r="AQ134" i="99" s="1"/>
  <c r="AQ418" i="99"/>
  <c r="W147" i="104"/>
  <c r="AM145" i="99"/>
  <c r="AM87" i="99"/>
  <c r="AM25" i="99"/>
  <c r="AM90" i="103" s="1"/>
  <c r="BM96" i="99"/>
  <c r="BM34" i="99"/>
  <c r="BM99" i="103" s="1"/>
  <c r="AM34" i="103"/>
  <c r="AM36" i="103" s="1"/>
  <c r="AM37" i="103" s="1"/>
  <c r="AK34" i="103"/>
  <c r="AK36" i="103" s="1"/>
  <c r="AK37" i="103" s="1"/>
  <c r="AC101" i="99"/>
  <c r="AC102" i="99" s="1"/>
  <c r="AC37" i="99"/>
  <c r="AA148" i="103"/>
  <c r="AC149" i="103"/>
  <c r="AO451" i="99" a="1"/>
  <c r="AO451" i="99" s="1"/>
  <c r="AO457" i="99" s="1"/>
  <c r="AO69" i="99" s="1"/>
  <c r="AO134" i="99" s="1"/>
  <c r="AO418" i="99"/>
  <c r="AC25" i="103"/>
  <c r="AC27" i="103" s="1"/>
  <c r="AC146" i="103"/>
  <c r="BA100" i="99"/>
  <c r="V146" i="103"/>
  <c r="V25" i="103"/>
  <c r="V27" i="103" s="1"/>
  <c r="W25" i="103"/>
  <c r="W27" i="103" s="1"/>
  <c r="W146" i="103"/>
  <c r="BO147" i="99"/>
  <c r="BO148" i="99"/>
  <c r="BO84" i="99"/>
  <c r="T37" i="99"/>
  <c r="T101" i="99"/>
  <c r="T102" i="99" s="1"/>
  <c r="AM84" i="99"/>
  <c r="AM148" i="99"/>
  <c r="AE148" i="103"/>
  <c r="BI452" i="99" a="1"/>
  <c r="BI452" i="99" s="1"/>
  <c r="AK99" i="99"/>
  <c r="AK36" i="99"/>
  <c r="AK101" i="103" s="1"/>
  <c r="AK102" i="103" s="1"/>
  <c r="AV469" i="99"/>
  <c r="AV19" i="99" s="1"/>
  <c r="AV84" i="103" s="1"/>
  <c r="AV278" i="99"/>
  <c r="AV22" i="99"/>
  <c r="AO91" i="99"/>
  <c r="AO148" i="99"/>
  <c r="K26" i="99"/>
  <c r="K91" i="103" s="1"/>
  <c r="AC27" i="99"/>
  <c r="AC92" i="103" s="1"/>
  <c r="AC93" i="103" s="1"/>
  <c r="AC90" i="99"/>
  <c r="AX97" i="99"/>
  <c r="AN451" i="99" a="1"/>
  <c r="AN451" i="99" s="1"/>
  <c r="AN457" i="99" s="1"/>
  <c r="AN69" i="99" s="1"/>
  <c r="AN134" i="99" s="1"/>
  <c r="AN418" i="99"/>
  <c r="AV97" i="99"/>
  <c r="AV32" i="103"/>
  <c r="AZ89" i="99"/>
  <c r="X146" i="103"/>
  <c r="X25" i="103"/>
  <c r="X27" i="103" s="1"/>
  <c r="BG452" i="99" a="1"/>
  <c r="BG452" i="99" s="1"/>
  <c r="AM36" i="99"/>
  <c r="AM99" i="99"/>
  <c r="AY97" i="99"/>
  <c r="AY32" i="103"/>
  <c r="AY98" i="99"/>
  <c r="AW96" i="99"/>
  <c r="AW34" i="99"/>
  <c r="AW99" i="103" s="1"/>
  <c r="AW31" i="103"/>
  <c r="BX288" i="99"/>
  <c r="BX290" i="99"/>
  <c r="BX296" i="99" s="1"/>
  <c r="U92" i="99"/>
  <c r="U93" i="99" s="1"/>
  <c r="U28" i="99"/>
  <c r="U39" i="99"/>
  <c r="U104" i="103" s="1"/>
  <c r="U105" i="103" s="1"/>
  <c r="AS87" i="99"/>
  <c r="AS25" i="99"/>
  <c r="AS90" i="103" s="1"/>
  <c r="AS145" i="99"/>
  <c r="AF146" i="103"/>
  <c r="AF25" i="103"/>
  <c r="AF27" i="103" s="1"/>
  <c r="AS34" i="103"/>
  <c r="AS36" i="103" s="1"/>
  <c r="AS37" i="103" s="1"/>
  <c r="V148" i="103"/>
  <c r="V149" i="103"/>
  <c r="W90" i="99"/>
  <c r="W27" i="99"/>
  <c r="W92" i="103" s="1"/>
  <c r="W93" i="103" s="1"/>
  <c r="S39" i="103"/>
  <c r="S28" i="103"/>
  <c r="R92" i="99"/>
  <c r="R93" i="99" s="1"/>
  <c r="R39" i="99"/>
  <c r="R28" i="99"/>
  <c r="X147" i="104"/>
  <c r="AH87" i="99"/>
  <c r="AH25" i="99"/>
  <c r="AH90" i="103" s="1"/>
  <c r="AH145" i="99"/>
  <c r="AS84" i="99"/>
  <c r="AS19" i="103"/>
  <c r="AS147" i="103" s="1"/>
  <c r="AS147" i="99"/>
  <c r="AS148" i="99"/>
  <c r="AF27" i="99"/>
  <c r="AF92" i="103" s="1"/>
  <c r="AF93" i="103" s="1"/>
  <c r="AF90" i="99"/>
  <c r="BA97" i="99"/>
  <c r="BA32" i="103"/>
  <c r="V90" i="99"/>
  <c r="V27" i="99"/>
  <c r="V92" i="103" s="1"/>
  <c r="V93" i="103" s="1"/>
  <c r="V149" i="104"/>
  <c r="V150" i="104"/>
  <c r="X90" i="99"/>
  <c r="X27" i="99"/>
  <c r="X92" i="103" s="1"/>
  <c r="X93" i="103" s="1"/>
  <c r="W149" i="103"/>
  <c r="AV88" i="99"/>
  <c r="Y39" i="103"/>
  <c r="Y28" i="103"/>
  <c r="AX34" i="99"/>
  <c r="AX96" i="99"/>
  <c r="AE147" i="103"/>
  <c r="AE149" i="103"/>
  <c r="AQ148" i="99"/>
  <c r="AQ84" i="99"/>
  <c r="AQ19" i="103"/>
  <c r="AQ147" i="103" s="1"/>
  <c r="AR146" i="99"/>
  <c r="AR84" i="99"/>
  <c r="AR19" i="103"/>
  <c r="AR148" i="99"/>
  <c r="AZ322" i="99"/>
  <c r="AU96" i="99"/>
  <c r="AU34" i="99"/>
  <c r="AU99" i="103" s="1"/>
  <c r="AU31" i="103"/>
  <c r="AH84" i="99"/>
  <c r="AH19" i="103"/>
  <c r="AH147" i="103" s="1"/>
  <c r="AH147" i="99"/>
  <c r="AH148" i="99"/>
  <c r="Y147" i="104"/>
  <c r="AP25" i="99"/>
  <c r="AP90" i="103" s="1"/>
  <c r="AP145" i="99"/>
  <c r="AP87" i="99"/>
  <c r="Z25" i="103"/>
  <c r="Z27" i="103" s="1"/>
  <c r="Z146" i="103"/>
  <c r="AE25" i="103"/>
  <c r="AE27" i="103" s="1"/>
  <c r="AE146" i="103"/>
  <c r="AO84" i="99"/>
  <c r="AO19" i="103"/>
  <c r="AO146" i="99"/>
  <c r="AO147" i="99"/>
  <c r="Y101" i="99"/>
  <c r="Y102" i="99" s="1"/>
  <c r="Y37" i="99"/>
  <c r="AV96" i="99"/>
  <c r="AV34" i="99"/>
  <c r="AV99" i="103" s="1"/>
  <c r="AV31" i="103"/>
  <c r="AR87" i="99"/>
  <c r="AR25" i="99"/>
  <c r="AR90" i="103" s="1"/>
  <c r="AR145" i="99"/>
  <c r="AZ96" i="99"/>
  <c r="AZ34" i="99"/>
  <c r="AE149" i="104"/>
  <c r="J22" i="103"/>
  <c r="BM452" i="99" a="1"/>
  <c r="BM452" i="99" s="1"/>
  <c r="BM147" i="99"/>
  <c r="BM148" i="99"/>
  <c r="BM146" i="99"/>
  <c r="BM84" i="99"/>
  <c r="S36" i="104"/>
  <c r="S37" i="104" s="1"/>
  <c r="AA25" i="103"/>
  <c r="AA27" i="103" s="1"/>
  <c r="AA146" i="103"/>
  <c r="BY290" i="99"/>
  <c r="BY296" i="99" s="1"/>
  <c r="BY288" i="99"/>
  <c r="Y27" i="99"/>
  <c r="Y92" i="103" s="1"/>
  <c r="Y93" i="103" s="1"/>
  <c r="Y90" i="99"/>
  <c r="AP84" i="99"/>
  <c r="AP19" i="103"/>
  <c r="AP146" i="99"/>
  <c r="AP148" i="99"/>
  <c r="AD37" i="99"/>
  <c r="AD101" i="99"/>
  <c r="AD102" i="99" s="1"/>
  <c r="AE147" i="104"/>
  <c r="AO145" i="99"/>
  <c r="AO25" i="99"/>
  <c r="AO90" i="103" s="1"/>
  <c r="AO87" i="99"/>
  <c r="AQ87" i="99"/>
  <c r="AQ145" i="99"/>
  <c r="AQ25" i="99"/>
  <c r="AQ90" i="103" s="1"/>
  <c r="AV100" i="99"/>
  <c r="AV35" i="103"/>
  <c r="Z37" i="99"/>
  <c r="Z101" i="99"/>
  <c r="Z102" i="99" s="1"/>
  <c r="T36" i="103"/>
  <c r="J34" i="103"/>
  <c r="BB22" i="99"/>
  <c r="BB469" i="99"/>
  <c r="BB19" i="99" s="1"/>
  <c r="BB84" i="103" s="1"/>
  <c r="BB278" i="99"/>
  <c r="L23" i="99"/>
  <c r="AF147" i="103"/>
  <c r="AJ145" i="99"/>
  <c r="AJ87" i="99"/>
  <c r="AJ25" i="99"/>
  <c r="AJ90" i="103" s="1"/>
  <c r="X149" i="104"/>
  <c r="AL451" i="99" a="1"/>
  <c r="AL451" i="99" s="1"/>
  <c r="AL457" i="99" s="1"/>
  <c r="AL69" i="99" s="1"/>
  <c r="AL134" i="99" s="1"/>
  <c r="AL418" i="99"/>
  <c r="J22" i="104"/>
  <c r="R27" i="103"/>
  <c r="AH451" i="99" a="1"/>
  <c r="AH451" i="99" s="1"/>
  <c r="AH457" i="99" s="1"/>
  <c r="AH69" i="99" s="1"/>
  <c r="AH134" i="99" s="1"/>
  <c r="AH418" i="99"/>
  <c r="AG147" i="103"/>
  <c r="AG148" i="103"/>
  <c r="AA27" i="99"/>
  <c r="AA92" i="103" s="1"/>
  <c r="AA93" i="103" s="1"/>
  <c r="AA90" i="99"/>
  <c r="J31" i="104"/>
  <c r="O31" i="105" s="1"/>
  <c r="K31" i="104"/>
  <c r="J35" i="103"/>
  <c r="O35" i="105" s="1"/>
  <c r="K35" i="103"/>
  <c r="J91" i="99"/>
  <c r="J148" i="99"/>
  <c r="K19" i="99"/>
  <c r="K84" i="103" s="1"/>
  <c r="K22" i="99"/>
  <c r="K87" i="103" s="1"/>
  <c r="K96" i="99"/>
  <c r="K23" i="103"/>
  <c r="K31" i="103"/>
  <c r="K34" i="99"/>
  <c r="J96" i="99"/>
  <c r="M145" i="155" l="1"/>
  <c r="M147" i="155"/>
  <c r="Q104" i="105"/>
  <c r="BT104" i="105"/>
  <c r="BO23" i="151"/>
  <c r="AI40" i="153"/>
  <c r="AI104" i="153"/>
  <c r="AI105" i="153" s="1"/>
  <c r="AX145" i="153"/>
  <c r="BQ104" i="105"/>
  <c r="BL23" i="151"/>
  <c r="BO104" i="105"/>
  <c r="BJ23" i="151"/>
  <c r="BP104" i="105"/>
  <c r="BK23" i="151"/>
  <c r="BX148" i="155"/>
  <c r="BX145" i="155"/>
  <c r="BV145" i="153"/>
  <c r="BS147" i="155"/>
  <c r="BS148" i="155"/>
  <c r="BX146" i="155"/>
  <c r="AX146" i="153"/>
  <c r="BS145" i="155"/>
  <c r="K37" i="153"/>
  <c r="AX84" i="103"/>
  <c r="AX19" i="103" s="1"/>
  <c r="AX148" i="103" s="1"/>
  <c r="BV147" i="153"/>
  <c r="N105" i="154"/>
  <c r="P105" i="154" s="1"/>
  <c r="BV146" i="153"/>
  <c r="BV145" i="155"/>
  <c r="BV147" i="155"/>
  <c r="BV148" i="155"/>
  <c r="N61" i="154"/>
  <c r="N65" i="154" s="1"/>
  <c r="N99" i="155"/>
  <c r="P99" i="155" s="1"/>
  <c r="P25" i="153"/>
  <c r="BV146" i="155"/>
  <c r="BS146" i="155"/>
  <c r="M92" i="155"/>
  <c r="M93" i="155" s="1"/>
  <c r="M84" i="155"/>
  <c r="M148" i="155"/>
  <c r="AZ90" i="153"/>
  <c r="AZ27" i="153"/>
  <c r="AH66" i="155"/>
  <c r="AH71" i="155"/>
  <c r="AH130" i="155"/>
  <c r="AH131" i="155" s="1"/>
  <c r="BC101" i="153"/>
  <c r="BC102" i="153" s="1"/>
  <c r="BC37" i="153"/>
  <c r="AH104" i="153"/>
  <c r="AH105" i="153" s="1"/>
  <c r="AH54" i="153"/>
  <c r="AH40" i="153"/>
  <c r="BQ77" i="154"/>
  <c r="BQ142" i="154" s="1"/>
  <c r="BQ72" i="154"/>
  <c r="BQ136" i="154"/>
  <c r="BQ137" i="154" s="1"/>
  <c r="AX101" i="153"/>
  <c r="AX102" i="153" s="1"/>
  <c r="AX37" i="153"/>
  <c r="BY92" i="155"/>
  <c r="BY93" i="155" s="1"/>
  <c r="BY39" i="155"/>
  <c r="BY28" i="155"/>
  <c r="AG104" i="153"/>
  <c r="AG105" i="153" s="1"/>
  <c r="AG54" i="153"/>
  <c r="AG40" i="153"/>
  <c r="BG90" i="153"/>
  <c r="BG27" i="153"/>
  <c r="AI119" i="153"/>
  <c r="AI61" i="153"/>
  <c r="AK71" i="155"/>
  <c r="AK66" i="155"/>
  <c r="AK130" i="155"/>
  <c r="AK131" i="155" s="1"/>
  <c r="AJ65" i="155"/>
  <c r="AJ126" i="155"/>
  <c r="AJ127" i="155" s="1"/>
  <c r="AJ62" i="155"/>
  <c r="AY119" i="155"/>
  <c r="AY61" i="155"/>
  <c r="J92" i="153"/>
  <c r="J93" i="153" s="1"/>
  <c r="J28" i="153"/>
  <c r="AW92" i="153"/>
  <c r="AW93" i="153" s="1"/>
  <c r="AW39" i="153"/>
  <c r="AW28" i="153"/>
  <c r="Z66" i="155"/>
  <c r="Z71" i="155"/>
  <c r="Z130" i="155"/>
  <c r="Z131" i="155" s="1"/>
  <c r="BW65" i="154"/>
  <c r="BW62" i="154"/>
  <c r="BW126" i="154"/>
  <c r="BW127" i="154" s="1"/>
  <c r="BS101" i="155"/>
  <c r="BS102" i="155" s="1"/>
  <c r="BS37" i="155"/>
  <c r="BQ104" i="155"/>
  <c r="BQ105" i="155" s="1"/>
  <c r="BQ54" i="155"/>
  <c r="BQ40" i="155"/>
  <c r="BX65" i="154"/>
  <c r="BX62" i="154"/>
  <c r="BX126" i="154"/>
  <c r="BX127" i="154" s="1"/>
  <c r="L72" i="154"/>
  <c r="L77" i="154"/>
  <c r="L142" i="154" s="1"/>
  <c r="L136" i="154"/>
  <c r="L137" i="154" s="1"/>
  <c r="AY90" i="153"/>
  <c r="AY27" i="153"/>
  <c r="AR92" i="153"/>
  <c r="AR93" i="153" s="1"/>
  <c r="AR39" i="153"/>
  <c r="AR28" i="153"/>
  <c r="BH101" i="153"/>
  <c r="BH102" i="153" s="1"/>
  <c r="BH37" i="153"/>
  <c r="BH119" i="155"/>
  <c r="BH61" i="155"/>
  <c r="BP104" i="155"/>
  <c r="BP105" i="155" s="1"/>
  <c r="BP40" i="155"/>
  <c r="BP54" i="155"/>
  <c r="BA101" i="153"/>
  <c r="BA102" i="153" s="1"/>
  <c r="BA37" i="153"/>
  <c r="M101" i="155"/>
  <c r="M102" i="155" s="1"/>
  <c r="M37" i="155"/>
  <c r="BM104" i="155"/>
  <c r="BM105" i="155" s="1"/>
  <c r="BM54" i="155"/>
  <c r="BM40" i="155"/>
  <c r="BD90" i="153"/>
  <c r="BD27" i="153"/>
  <c r="BS71" i="154"/>
  <c r="BS66" i="154"/>
  <c r="BS130" i="154"/>
  <c r="BS131" i="154" s="1"/>
  <c r="BK104" i="155"/>
  <c r="BK105" i="155" s="1"/>
  <c r="BK54" i="155"/>
  <c r="BK40" i="155"/>
  <c r="AQ92" i="153"/>
  <c r="AQ93" i="153" s="1"/>
  <c r="AQ39" i="153"/>
  <c r="AQ28" i="153"/>
  <c r="BP66" i="154"/>
  <c r="BP71" i="154"/>
  <c r="BP130" i="154"/>
  <c r="BP131" i="154" s="1"/>
  <c r="AS65" i="155"/>
  <c r="AS62" i="155"/>
  <c r="AS126" i="155"/>
  <c r="AS127" i="155" s="1"/>
  <c r="X66" i="155"/>
  <c r="X71" i="155"/>
  <c r="X130" i="155"/>
  <c r="X131" i="155" s="1"/>
  <c r="BF101" i="153"/>
  <c r="BF102" i="153" s="1"/>
  <c r="BF37" i="153"/>
  <c r="BR66" i="154"/>
  <c r="BR71" i="154"/>
  <c r="BR130" i="154"/>
  <c r="BR131" i="154" s="1"/>
  <c r="BX92" i="155"/>
  <c r="BX93" i="155" s="1"/>
  <c r="BX39" i="155"/>
  <c r="BX28" i="155"/>
  <c r="AU92" i="153"/>
  <c r="AU93" i="153" s="1"/>
  <c r="AU28" i="153"/>
  <c r="AU39" i="153"/>
  <c r="W65" i="153"/>
  <c r="W126" i="153"/>
  <c r="W127" i="153" s="1"/>
  <c r="W62" i="153"/>
  <c r="W66" i="155"/>
  <c r="W130" i="155"/>
  <c r="W131" i="155" s="1"/>
  <c r="W71" i="155"/>
  <c r="N99" i="153"/>
  <c r="P99" i="153" s="1"/>
  <c r="P34" i="153"/>
  <c r="BU104" i="155"/>
  <c r="BU105" i="155" s="1"/>
  <c r="BU54" i="155"/>
  <c r="BU40" i="155"/>
  <c r="AZ101" i="153"/>
  <c r="AZ102" i="153" s="1"/>
  <c r="AZ37" i="153"/>
  <c r="BW101" i="155"/>
  <c r="BW102" i="155" s="1"/>
  <c r="BW37" i="155"/>
  <c r="BQ104" i="153"/>
  <c r="BQ105" i="153" s="1"/>
  <c r="BQ54" i="153"/>
  <c r="BQ40" i="153"/>
  <c r="BM104" i="153"/>
  <c r="BM105" i="153" s="1"/>
  <c r="BM54" i="153"/>
  <c r="BM40" i="153"/>
  <c r="BJ77" i="154"/>
  <c r="BJ142" i="154" s="1"/>
  <c r="BJ136" i="154"/>
  <c r="BJ137" i="154" s="1"/>
  <c r="BJ72" i="154"/>
  <c r="L36" i="153"/>
  <c r="AN92" i="153"/>
  <c r="AN93" i="153" s="1"/>
  <c r="AN39" i="153"/>
  <c r="AN28" i="153"/>
  <c r="X65" i="153"/>
  <c r="X62" i="153"/>
  <c r="X126" i="153"/>
  <c r="X127" i="153" s="1"/>
  <c r="AU61" i="155"/>
  <c r="AU119" i="155"/>
  <c r="AC71" i="155"/>
  <c r="AC130" i="155"/>
  <c r="AC131" i="155" s="1"/>
  <c r="AC66" i="155"/>
  <c r="N36" i="155"/>
  <c r="BT66" i="154"/>
  <c r="BT71" i="154"/>
  <c r="BT130" i="154"/>
  <c r="BT131" i="154" s="1"/>
  <c r="AX119" i="155"/>
  <c r="AX61" i="155"/>
  <c r="K61" i="155"/>
  <c r="BV101" i="155"/>
  <c r="BV102" i="155" s="1"/>
  <c r="BV37" i="155"/>
  <c r="AO65" i="155"/>
  <c r="AO62" i="155"/>
  <c r="AO126" i="155"/>
  <c r="AO127" i="155" s="1"/>
  <c r="AA104" i="153"/>
  <c r="AA105" i="153" s="1"/>
  <c r="AA54" i="153"/>
  <c r="AA40" i="153"/>
  <c r="T65" i="153"/>
  <c r="T126" i="153"/>
  <c r="T127" i="153" s="1"/>
  <c r="T62" i="153"/>
  <c r="BY101" i="155"/>
  <c r="BY102" i="155" s="1"/>
  <c r="BY37" i="155"/>
  <c r="BS92" i="155"/>
  <c r="BS93" i="155" s="1"/>
  <c r="BS28" i="155"/>
  <c r="BS39" i="155"/>
  <c r="AD130" i="155"/>
  <c r="AD131" i="155" s="1"/>
  <c r="AD71" i="155"/>
  <c r="AD66" i="155"/>
  <c r="BO104" i="153"/>
  <c r="BO105" i="153" s="1"/>
  <c r="BO40" i="153"/>
  <c r="BO54" i="153"/>
  <c r="BC119" i="155"/>
  <c r="BC61" i="155"/>
  <c r="AC104" i="153"/>
  <c r="AC105" i="153" s="1"/>
  <c r="AC54" i="153"/>
  <c r="AC40" i="153"/>
  <c r="BL104" i="155"/>
  <c r="BL105" i="155" s="1"/>
  <c r="BL54" i="155"/>
  <c r="BL40" i="155"/>
  <c r="N27" i="155"/>
  <c r="BG119" i="155"/>
  <c r="BG61" i="155"/>
  <c r="R65" i="153"/>
  <c r="R62" i="153"/>
  <c r="R126" i="153"/>
  <c r="R127" i="153" s="1"/>
  <c r="AF104" i="153"/>
  <c r="AF105" i="153" s="1"/>
  <c r="AF54" i="153"/>
  <c r="AF40" i="153"/>
  <c r="BI119" i="155"/>
  <c r="BI61" i="155"/>
  <c r="BV92" i="155"/>
  <c r="BV93" i="155" s="1"/>
  <c r="BV39" i="155"/>
  <c r="BV28" i="155"/>
  <c r="BV92" i="153"/>
  <c r="BV93" i="153" s="1"/>
  <c r="BV28" i="153"/>
  <c r="BV39" i="153"/>
  <c r="BE119" i="155"/>
  <c r="BE61" i="155"/>
  <c r="AT126" i="155"/>
  <c r="AT127" i="155" s="1"/>
  <c r="AT65" i="155"/>
  <c r="AT62" i="155"/>
  <c r="BJ104" i="155"/>
  <c r="BJ105" i="155" s="1"/>
  <c r="BJ54" i="155"/>
  <c r="BJ40" i="155"/>
  <c r="AV92" i="153"/>
  <c r="AV93" i="153" s="1"/>
  <c r="AV39" i="153"/>
  <c r="AV28" i="153"/>
  <c r="AG66" i="155"/>
  <c r="AG71" i="155"/>
  <c r="AG130" i="155"/>
  <c r="AG131" i="155" s="1"/>
  <c r="BE101" i="153"/>
  <c r="BE102" i="153" s="1"/>
  <c r="BE37" i="153"/>
  <c r="BW92" i="155"/>
  <c r="BW93" i="155" s="1"/>
  <c r="BW39" i="155"/>
  <c r="BW28" i="155"/>
  <c r="BU104" i="153"/>
  <c r="BU105" i="153" s="1"/>
  <c r="BU54" i="153"/>
  <c r="BU40" i="153"/>
  <c r="BA104" i="155"/>
  <c r="BA105" i="155" s="1"/>
  <c r="BA54" i="155"/>
  <c r="L54" i="155" s="1"/>
  <c r="L119" i="155" s="1"/>
  <c r="BA40" i="155"/>
  <c r="AL92" i="153"/>
  <c r="AL93" i="153" s="1"/>
  <c r="AL39" i="153"/>
  <c r="AL28" i="153"/>
  <c r="AT92" i="153"/>
  <c r="AT93" i="153" s="1"/>
  <c r="AT39" i="153"/>
  <c r="AT28" i="153"/>
  <c r="BN104" i="155"/>
  <c r="BN105" i="155" s="1"/>
  <c r="BN54" i="155"/>
  <c r="BN40" i="155"/>
  <c r="K27" i="153"/>
  <c r="AM92" i="153"/>
  <c r="AM93" i="153" s="1"/>
  <c r="AM39" i="153"/>
  <c r="AM28" i="153"/>
  <c r="AZ119" i="155"/>
  <c r="AZ61" i="155"/>
  <c r="AF66" i="155"/>
  <c r="AF130" i="155"/>
  <c r="AF131" i="155" s="1"/>
  <c r="AF71" i="155"/>
  <c r="BW101" i="153"/>
  <c r="BW102" i="153" s="1"/>
  <c r="BW37" i="153"/>
  <c r="M65" i="154"/>
  <c r="M62" i="154"/>
  <c r="M126" i="154"/>
  <c r="M127" i="154" s="1"/>
  <c r="BX101" i="155"/>
  <c r="BX102" i="155" s="1"/>
  <c r="BX37" i="155"/>
  <c r="BB119" i="155"/>
  <c r="BB61" i="155"/>
  <c r="BY92" i="153"/>
  <c r="BY93" i="153" s="1"/>
  <c r="BY39" i="153"/>
  <c r="BY28" i="153"/>
  <c r="Z104" i="153"/>
  <c r="Z105" i="153" s="1"/>
  <c r="Z54" i="153"/>
  <c r="Z40" i="153"/>
  <c r="J39" i="153"/>
  <c r="BN104" i="153"/>
  <c r="BN105" i="153" s="1"/>
  <c r="BN54" i="153"/>
  <c r="BN40" i="153"/>
  <c r="AK119" i="153"/>
  <c r="AK61" i="153"/>
  <c r="AN65" i="155"/>
  <c r="AN126" i="155"/>
  <c r="AN127" i="155" s="1"/>
  <c r="AN62" i="155"/>
  <c r="AY101" i="153"/>
  <c r="AY102" i="153" s="1"/>
  <c r="AY37" i="153"/>
  <c r="L92" i="155"/>
  <c r="L93" i="155" s="1"/>
  <c r="L28" i="155"/>
  <c r="M39" i="155"/>
  <c r="AD104" i="153"/>
  <c r="AD105" i="153" s="1"/>
  <c r="AD54" i="153"/>
  <c r="AD40" i="153"/>
  <c r="N27" i="153"/>
  <c r="V65" i="153"/>
  <c r="V126" i="153"/>
  <c r="V127" i="153" s="1"/>
  <c r="V62" i="153"/>
  <c r="AB104" i="153"/>
  <c r="AB105" i="153" s="1"/>
  <c r="AB54" i="153"/>
  <c r="AB40" i="153"/>
  <c r="L69" i="153"/>
  <c r="L134" i="153" s="1"/>
  <c r="AV65" i="155"/>
  <c r="AV126" i="155"/>
  <c r="AV127" i="155" s="1"/>
  <c r="AV62" i="155"/>
  <c r="BU66" i="154"/>
  <c r="BU71" i="154"/>
  <c r="BU130" i="154"/>
  <c r="BU131" i="154" s="1"/>
  <c r="AR126" i="155"/>
  <c r="AR127" i="155" s="1"/>
  <c r="AR65" i="155"/>
  <c r="AR62" i="155"/>
  <c r="BV65" i="154"/>
  <c r="BV62" i="154"/>
  <c r="BV126" i="154"/>
  <c r="BV127" i="154" s="1"/>
  <c r="AI66" i="155"/>
  <c r="AI71" i="155"/>
  <c r="AI130" i="155"/>
  <c r="AI131" i="155" s="1"/>
  <c r="AE71" i="155"/>
  <c r="AE66" i="155"/>
  <c r="AE130" i="155"/>
  <c r="AE131" i="155" s="1"/>
  <c r="AM65" i="155"/>
  <c r="AM126" i="155"/>
  <c r="AM127" i="155" s="1"/>
  <c r="AM62" i="155"/>
  <c r="N19" i="155"/>
  <c r="N146" i="155" s="1"/>
  <c r="BX101" i="153"/>
  <c r="BX102" i="153" s="1"/>
  <c r="BX37" i="153"/>
  <c r="AO92" i="153"/>
  <c r="AO93" i="153" s="1"/>
  <c r="AO39" i="153"/>
  <c r="AO28" i="153"/>
  <c r="AX84" i="153"/>
  <c r="L19" i="153"/>
  <c r="L84" i="153" s="1"/>
  <c r="AL62" i="155"/>
  <c r="AL65" i="155"/>
  <c r="AL126" i="155"/>
  <c r="AL127" i="155" s="1"/>
  <c r="BL66" i="154"/>
  <c r="BL71" i="154"/>
  <c r="BL130" i="154"/>
  <c r="BL131" i="154" s="1"/>
  <c r="Y119" i="153"/>
  <c r="Y61" i="153"/>
  <c r="BI101" i="153"/>
  <c r="BI102" i="153" s="1"/>
  <c r="BI37" i="153"/>
  <c r="AP65" i="155"/>
  <c r="AP126" i="155"/>
  <c r="AP127" i="155" s="1"/>
  <c r="AP62" i="155"/>
  <c r="BY72" i="154"/>
  <c r="BY77" i="154"/>
  <c r="BY142" i="154" s="1"/>
  <c r="BY136" i="154"/>
  <c r="BY137" i="154" s="1"/>
  <c r="AW65" i="155"/>
  <c r="AW126" i="155"/>
  <c r="AW127" i="155" s="1"/>
  <c r="AW62" i="155"/>
  <c r="AJ40" i="153"/>
  <c r="AJ54" i="153"/>
  <c r="AJ104" i="153"/>
  <c r="AJ105" i="153" s="1"/>
  <c r="AQ65" i="155"/>
  <c r="AQ126" i="155"/>
  <c r="AQ127" i="155" s="1"/>
  <c r="AQ62" i="155"/>
  <c r="BC90" i="153"/>
  <c r="BC27" i="153"/>
  <c r="BF90" i="153"/>
  <c r="BF27" i="153"/>
  <c r="AX148" i="153"/>
  <c r="M69" i="153"/>
  <c r="M134" i="153" s="1"/>
  <c r="BB134" i="153"/>
  <c r="BX147" i="155"/>
  <c r="AP92" i="153"/>
  <c r="AP93" i="153" s="1"/>
  <c r="AP39" i="153"/>
  <c r="AP28" i="153"/>
  <c r="BX92" i="153"/>
  <c r="BX93" i="153" s="1"/>
  <c r="BX28" i="153"/>
  <c r="BX39" i="153"/>
  <c r="BL54" i="153"/>
  <c r="BL104" i="153"/>
  <c r="BL105" i="153" s="1"/>
  <c r="BL40" i="153"/>
  <c r="BI90" i="153"/>
  <c r="BI27" i="153"/>
  <c r="BW92" i="153"/>
  <c r="BW93" i="153" s="1"/>
  <c r="BW39" i="153"/>
  <c r="BW28" i="153"/>
  <c r="BB90" i="153"/>
  <c r="BB27" i="153"/>
  <c r="M25" i="153"/>
  <c r="M90" i="153" s="1"/>
  <c r="BD101" i="153"/>
  <c r="BD102" i="153" s="1"/>
  <c r="BD37" i="153"/>
  <c r="AE54" i="153"/>
  <c r="AE104" i="153"/>
  <c r="AE105" i="153" s="1"/>
  <c r="AE40" i="153"/>
  <c r="BP104" i="153"/>
  <c r="BP105" i="153" s="1"/>
  <c r="BP54" i="153"/>
  <c r="BP40" i="153"/>
  <c r="U65" i="153"/>
  <c r="U126" i="153"/>
  <c r="U127" i="153" s="1"/>
  <c r="U62" i="153"/>
  <c r="L25" i="153"/>
  <c r="L90" i="153" s="1"/>
  <c r="J65" i="155"/>
  <c r="J126" i="155"/>
  <c r="J127" i="155" s="1"/>
  <c r="J62" i="155"/>
  <c r="P54" i="154"/>
  <c r="N119" i="154"/>
  <c r="P119" i="154" s="1"/>
  <c r="N19" i="153"/>
  <c r="N145" i="153" s="1"/>
  <c r="N69" i="155"/>
  <c r="BE90" i="153"/>
  <c r="BE27" i="153"/>
  <c r="N69" i="153"/>
  <c r="BH90" i="153"/>
  <c r="BH27" i="153"/>
  <c r="BV148" i="153"/>
  <c r="BS104" i="153"/>
  <c r="BS105" i="153" s="1"/>
  <c r="BS54" i="153"/>
  <c r="BS40" i="153"/>
  <c r="Y66" i="155"/>
  <c r="Y130" i="155"/>
  <c r="Y131" i="155" s="1"/>
  <c r="Y71" i="155"/>
  <c r="AX90" i="153"/>
  <c r="AX27" i="153"/>
  <c r="BT104" i="155"/>
  <c r="BT105" i="155" s="1"/>
  <c r="BT54" i="155"/>
  <c r="BT40" i="155"/>
  <c r="BK72" i="154"/>
  <c r="BK77" i="154"/>
  <c r="BK142" i="154" s="1"/>
  <c r="BK136" i="154"/>
  <c r="BK137" i="154" s="1"/>
  <c r="BA90" i="153"/>
  <c r="BA27" i="153"/>
  <c r="L39" i="155"/>
  <c r="AA71" i="155"/>
  <c r="AA66" i="155"/>
  <c r="AA130" i="155"/>
  <c r="AA131" i="155" s="1"/>
  <c r="AS92" i="153"/>
  <c r="AS93" i="153" s="1"/>
  <c r="AS39" i="153"/>
  <c r="AS28" i="153"/>
  <c r="N90" i="155"/>
  <c r="P90" i="155" s="1"/>
  <c r="P25" i="155"/>
  <c r="AB71" i="155"/>
  <c r="AB66" i="155"/>
  <c r="AB130" i="155"/>
  <c r="AB131" i="155" s="1"/>
  <c r="BB101" i="153"/>
  <c r="BB102" i="153" s="1"/>
  <c r="M36" i="153"/>
  <c r="BB37" i="153"/>
  <c r="BR104" i="153"/>
  <c r="BR105" i="153" s="1"/>
  <c r="BR54" i="153"/>
  <c r="BR40" i="153"/>
  <c r="BV101" i="153"/>
  <c r="BV102" i="153" s="1"/>
  <c r="BV37" i="153"/>
  <c r="N36" i="153"/>
  <c r="BJ104" i="153"/>
  <c r="BJ105" i="153" s="1"/>
  <c r="BJ40" i="153"/>
  <c r="BJ54" i="153"/>
  <c r="BT104" i="153"/>
  <c r="BT105" i="153" s="1"/>
  <c r="BT54" i="153"/>
  <c r="BT40" i="153"/>
  <c r="BF119" i="155"/>
  <c r="BF61" i="155"/>
  <c r="BK54" i="153"/>
  <c r="BK104" i="153"/>
  <c r="BK105" i="153" s="1"/>
  <c r="BK40" i="153"/>
  <c r="L101" i="155"/>
  <c r="L102" i="155" s="1"/>
  <c r="L37" i="155"/>
  <c r="BR104" i="155"/>
  <c r="BR105" i="155" s="1"/>
  <c r="BR54" i="155"/>
  <c r="BR40" i="155"/>
  <c r="V66" i="155"/>
  <c r="V130" i="155"/>
  <c r="V131" i="155" s="1"/>
  <c r="V71" i="155"/>
  <c r="BG101" i="153"/>
  <c r="BG102" i="153" s="1"/>
  <c r="BG37" i="153"/>
  <c r="BY101" i="153"/>
  <c r="BY102" i="153" s="1"/>
  <c r="BY37" i="153"/>
  <c r="BD119" i="155"/>
  <c r="BD61" i="155"/>
  <c r="S65" i="153"/>
  <c r="S62" i="153"/>
  <c r="S126" i="153"/>
  <c r="S127" i="153" s="1"/>
  <c r="BO104" i="155"/>
  <c r="BO105" i="155" s="1"/>
  <c r="BO54" i="155"/>
  <c r="BO40" i="155"/>
  <c r="BI88" i="103"/>
  <c r="BI23" i="103" s="1"/>
  <c r="BI88" i="104"/>
  <c r="BI23" i="104" s="1"/>
  <c r="AS99" i="104"/>
  <c r="AS34" i="104" s="1"/>
  <c r="AS99" i="99"/>
  <c r="AS36" i="99"/>
  <c r="AS101" i="103" s="1"/>
  <c r="AS102" i="103" s="1"/>
  <c r="BO88" i="103"/>
  <c r="BO23" i="103" s="1"/>
  <c r="BT23" i="105" s="1"/>
  <c r="BO88" i="99"/>
  <c r="AW26" i="105"/>
  <c r="BL89" i="104"/>
  <c r="BL24" i="104" s="1"/>
  <c r="O96" i="105"/>
  <c r="AF69" i="105"/>
  <c r="AA34" i="151" s="1"/>
  <c r="BJ91" i="104"/>
  <c r="BJ26" i="104" s="1"/>
  <c r="BO26" i="105" s="1"/>
  <c r="BO146" i="99"/>
  <c r="AX88" i="105"/>
  <c r="BK88" i="103"/>
  <c r="BK23" i="103" s="1"/>
  <c r="BP23" i="105" s="1"/>
  <c r="BK88" i="99"/>
  <c r="O86" i="105"/>
  <c r="BO278" i="99"/>
  <c r="AW23" i="105"/>
  <c r="O85" i="105"/>
  <c r="O88" i="105"/>
  <c r="O94" i="105"/>
  <c r="O92" i="105"/>
  <c r="O93" i="105"/>
  <c r="BL89" i="103"/>
  <c r="BL24" i="103" s="1"/>
  <c r="AH69" i="105"/>
  <c r="AC34" i="151" s="1"/>
  <c r="W126" i="105"/>
  <c r="AK69" i="105"/>
  <c r="AF34" i="151" s="1"/>
  <c r="AJ69" i="105"/>
  <c r="AE34" i="151" s="1"/>
  <c r="W37" i="105"/>
  <c r="AU69" i="105"/>
  <c r="AP34" i="151" s="1"/>
  <c r="AI69" i="105"/>
  <c r="AD34" i="151" s="1"/>
  <c r="AG69" i="105"/>
  <c r="AB34" i="151" s="1"/>
  <c r="AL69" i="105"/>
  <c r="AG34" i="151" s="1"/>
  <c r="AD69" i="105"/>
  <c r="Y34" i="151" s="1"/>
  <c r="AE69" i="105"/>
  <c r="Z34" i="151" s="1"/>
  <c r="AA69" i="105"/>
  <c r="V34" i="151" s="1"/>
  <c r="AC69" i="105"/>
  <c r="X34" i="151" s="1"/>
  <c r="AO69" i="105"/>
  <c r="AJ34" i="151" s="1"/>
  <c r="BS24" i="105"/>
  <c r="BO25" i="99"/>
  <c r="BO90" i="103" s="1"/>
  <c r="BR88" i="105"/>
  <c r="AR134" i="104"/>
  <c r="AR69" i="104" s="1"/>
  <c r="BJ91" i="99"/>
  <c r="R104" i="103"/>
  <c r="R105" i="103" s="1"/>
  <c r="BL415" i="99"/>
  <c r="BX270" i="99"/>
  <c r="BX276" i="99" s="1"/>
  <c r="BX26" i="99" s="1"/>
  <c r="BX91" i="103" s="1"/>
  <c r="BX26" i="103" s="1"/>
  <c r="BT273" i="99"/>
  <c r="BT276" i="99" s="1"/>
  <c r="BT26" i="99" s="1"/>
  <c r="BT91" i="104" s="1"/>
  <c r="BT26" i="104" s="1"/>
  <c r="BD265" i="99"/>
  <c r="BD268" i="99" s="1"/>
  <c r="BD24" i="99" s="1"/>
  <c r="BD89" i="104" s="1"/>
  <c r="BD24" i="104" s="1"/>
  <c r="BY270" i="99"/>
  <c r="BY276" i="99" s="1"/>
  <c r="BY26" i="99" s="1"/>
  <c r="BY91" i="103" s="1"/>
  <c r="BY26" i="103" s="1"/>
  <c r="BK415" i="99"/>
  <c r="BQ260" i="99"/>
  <c r="BQ23" i="99" s="1"/>
  <c r="BQ88" i="99" s="1"/>
  <c r="BJ415" i="99"/>
  <c r="BE257" i="99"/>
  <c r="BE260" i="99" s="1"/>
  <c r="BE23" i="99" s="1"/>
  <c r="BE88" i="104" s="1"/>
  <c r="BE23" i="104" s="1"/>
  <c r="BF273" i="99"/>
  <c r="BF276" i="99" s="1"/>
  <c r="BF26" i="99" s="1"/>
  <c r="BF91" i="99" s="1"/>
  <c r="BS273" i="99"/>
  <c r="BS276" i="99" s="1"/>
  <c r="BS26" i="99" s="1"/>
  <c r="BS91" i="99" s="1"/>
  <c r="BU265" i="99"/>
  <c r="BU268" i="99" s="1"/>
  <c r="BU24" i="99" s="1"/>
  <c r="BU89" i="99" s="1"/>
  <c r="BG265" i="99"/>
  <c r="BG268" i="99" s="1"/>
  <c r="BG24" i="99" s="1"/>
  <c r="BG89" i="99" s="1"/>
  <c r="AA81" i="105"/>
  <c r="AD84" i="105"/>
  <c r="AY86" i="105"/>
  <c r="AU94" i="105"/>
  <c r="AW94" i="105"/>
  <c r="BH86" i="105"/>
  <c r="AF81" i="105"/>
  <c r="AB84" i="105"/>
  <c r="AI84" i="105"/>
  <c r="Y27" i="105"/>
  <c r="Y87" i="105"/>
  <c r="AG36" i="105"/>
  <c r="AG95" i="105"/>
  <c r="AA36" i="105"/>
  <c r="AA95" i="105"/>
  <c r="BN93" i="105"/>
  <c r="Z37" i="105"/>
  <c r="Z97" i="105"/>
  <c r="BS93" i="105"/>
  <c r="AM86" i="105"/>
  <c r="AG84" i="105"/>
  <c r="AX94" i="105"/>
  <c r="AE36" i="105"/>
  <c r="AE95" i="105"/>
  <c r="AU96" i="105"/>
  <c r="BK45" i="105"/>
  <c r="BK102" i="105"/>
  <c r="AM94" i="105"/>
  <c r="BE88" i="105"/>
  <c r="Z126" i="105"/>
  <c r="AJ84" i="105"/>
  <c r="AN94" i="105"/>
  <c r="AR86" i="105"/>
  <c r="BS96" i="105"/>
  <c r="AH81" i="105"/>
  <c r="AU88" i="105"/>
  <c r="AB126" i="105"/>
  <c r="AV88" i="105"/>
  <c r="AN93" i="105"/>
  <c r="AO93" i="105"/>
  <c r="AQ94" i="105"/>
  <c r="AL36" i="105"/>
  <c r="AL95" i="105"/>
  <c r="BM88" i="105"/>
  <c r="BB86" i="105"/>
  <c r="BA86" i="105"/>
  <c r="AX85" i="105"/>
  <c r="X37" i="105"/>
  <c r="X97" i="105"/>
  <c r="AJ81" i="105"/>
  <c r="AO86" i="105"/>
  <c r="AO96" i="105"/>
  <c r="Z27" i="105"/>
  <c r="Z89" i="105" s="1"/>
  <c r="Z87" i="105"/>
  <c r="AK81" i="105"/>
  <c r="AP85" i="105"/>
  <c r="AS85" i="105"/>
  <c r="AS93" i="105"/>
  <c r="AP93" i="105"/>
  <c r="AH36" i="105"/>
  <c r="AH95" i="105"/>
  <c r="BT93" i="105"/>
  <c r="AW93" i="105"/>
  <c r="BF86" i="105"/>
  <c r="BG88" i="105"/>
  <c r="AB81" i="105"/>
  <c r="AU86" i="105"/>
  <c r="AG81" i="105"/>
  <c r="AC84" i="105"/>
  <c r="AA84" i="105"/>
  <c r="Y36" i="105"/>
  <c r="Y95" i="105"/>
  <c r="AQ93" i="105"/>
  <c r="BZ45" i="105"/>
  <c r="BZ102" i="105"/>
  <c r="AL81" i="105"/>
  <c r="AC81" i="105"/>
  <c r="AL84" i="105"/>
  <c r="CD102" i="105"/>
  <c r="AD36" i="105"/>
  <c r="AD95" i="105"/>
  <c r="AR93" i="105"/>
  <c r="CA45" i="105"/>
  <c r="CA102" i="105"/>
  <c r="BJ102" i="105"/>
  <c r="AM93" i="105"/>
  <c r="BT96" i="105"/>
  <c r="AS96" i="105"/>
  <c r="AR94" i="105"/>
  <c r="AO92" i="105"/>
  <c r="AV85" i="105"/>
  <c r="AX92" i="105"/>
  <c r="AM96" i="105"/>
  <c r="AV96" i="105"/>
  <c r="BT86" i="105"/>
  <c r="AV93" i="105"/>
  <c r="AS86" i="105"/>
  <c r="AQ88" i="105"/>
  <c r="AK84" i="105"/>
  <c r="AU93" i="105"/>
  <c r="AO94" i="105"/>
  <c r="AP92" i="105"/>
  <c r="AW92" i="105"/>
  <c r="BL45" i="105"/>
  <c r="BL102" i="105"/>
  <c r="AX96" i="105"/>
  <c r="AM92" i="105"/>
  <c r="AO85" i="105"/>
  <c r="AE84" i="105"/>
  <c r="AB36" i="105"/>
  <c r="AB95" i="105"/>
  <c r="BM93" i="105"/>
  <c r="BV102" i="105"/>
  <c r="AQ85" i="105"/>
  <c r="AR92" i="105"/>
  <c r="AS94" i="105"/>
  <c r="AS92" i="105"/>
  <c r="AN92" i="105"/>
  <c r="BX102" i="105"/>
  <c r="AU85" i="105"/>
  <c r="AU92" i="105"/>
  <c r="AN96" i="105"/>
  <c r="CC45" i="105"/>
  <c r="CC102" i="105"/>
  <c r="BR94" i="105"/>
  <c r="AN85" i="105"/>
  <c r="AR88" i="105"/>
  <c r="AE81" i="105"/>
  <c r="AM85" i="105"/>
  <c r="AW96" i="105"/>
  <c r="AP94" i="105"/>
  <c r="AK36" i="105"/>
  <c r="AK95" i="105"/>
  <c r="AC36" i="105"/>
  <c r="AC95" i="105"/>
  <c r="AT96" i="105"/>
  <c r="AQ86" i="105"/>
  <c r="AT94" i="105"/>
  <c r="AV92" i="105"/>
  <c r="Y126" i="105"/>
  <c r="AN88" i="105"/>
  <c r="BN96" i="105"/>
  <c r="X27" i="105"/>
  <c r="X39" i="105" s="1"/>
  <c r="S22" i="151" s="1"/>
  <c r="X87" i="105"/>
  <c r="AT92" i="105"/>
  <c r="AJ36" i="105"/>
  <c r="AJ95" i="105"/>
  <c r="BY102" i="105"/>
  <c r="BI102" i="105"/>
  <c r="AI81" i="105"/>
  <c r="AH84" i="105"/>
  <c r="AV86" i="105"/>
  <c r="AT93" i="105"/>
  <c r="AR96" i="105"/>
  <c r="AV94" i="105"/>
  <c r="AI36" i="105"/>
  <c r="AI95" i="105"/>
  <c r="AF36" i="105"/>
  <c r="AF95" i="105"/>
  <c r="AD81" i="105"/>
  <c r="BD86" i="105"/>
  <c r="AF84" i="105"/>
  <c r="AQ96" i="105"/>
  <c r="AP96" i="105"/>
  <c r="BT88" i="105"/>
  <c r="AR85" i="105"/>
  <c r="AT85" i="105"/>
  <c r="AX93" i="105"/>
  <c r="AQ92" i="105"/>
  <c r="BR85" i="105"/>
  <c r="BN84" i="99"/>
  <c r="AR148" i="103"/>
  <c r="AW24" i="105"/>
  <c r="BN84" i="104"/>
  <c r="BN19" i="104" s="1"/>
  <c r="BN150" i="104" s="1"/>
  <c r="AR99" i="104"/>
  <c r="AR34" i="104" s="1"/>
  <c r="BM25" i="99"/>
  <c r="BM90" i="103" s="1"/>
  <c r="BN148" i="99"/>
  <c r="N108" i="104"/>
  <c r="P108" i="104" s="1"/>
  <c r="BO87" i="104"/>
  <c r="BO22" i="104" s="1"/>
  <c r="BO147" i="104" s="1"/>
  <c r="BJ97" i="104"/>
  <c r="BJ32" i="104" s="1"/>
  <c r="BO32" i="105" s="1"/>
  <c r="BJ97" i="99"/>
  <c r="AX24" i="105"/>
  <c r="BH148" i="99"/>
  <c r="BH84" i="104"/>
  <c r="BH19" i="104" s="1"/>
  <c r="BH149" i="104" s="1"/>
  <c r="AS25" i="103"/>
  <c r="AS27" i="103" s="1"/>
  <c r="AS28" i="103" s="1"/>
  <c r="BH147" i="99"/>
  <c r="BH146" i="99"/>
  <c r="BO87" i="99"/>
  <c r="N108" i="99"/>
  <c r="P108" i="99" s="1"/>
  <c r="R43" i="105"/>
  <c r="BM457" i="99"/>
  <c r="BM69" i="99" s="1"/>
  <c r="BM134" i="99" s="1"/>
  <c r="BO145" i="99"/>
  <c r="BH84" i="99"/>
  <c r="P43" i="99"/>
  <c r="BH145" i="99"/>
  <c r="BO87" i="103"/>
  <c r="BO22" i="103" s="1"/>
  <c r="BM418" i="99"/>
  <c r="AR99" i="99"/>
  <c r="BM87" i="99"/>
  <c r="BM145" i="99"/>
  <c r="AR99" i="103"/>
  <c r="BS26" i="105"/>
  <c r="AS134" i="104"/>
  <c r="AS69" i="104" s="1"/>
  <c r="AS134" i="103"/>
  <c r="AS69" i="103" s="1"/>
  <c r="BM87" i="104"/>
  <c r="BM22" i="104" s="1"/>
  <c r="BM147" i="104" s="1"/>
  <c r="AZ23" i="105"/>
  <c r="BR32" i="105"/>
  <c r="BO418" i="99"/>
  <c r="BO457" i="99"/>
  <c r="BO69" i="99" s="1"/>
  <c r="BO134" i="99" s="1"/>
  <c r="BN418" i="99"/>
  <c r="BN457" i="99"/>
  <c r="BN69" i="99" s="1"/>
  <c r="BN134" i="99" s="1"/>
  <c r="BV304" i="99"/>
  <c r="BV32" i="99" s="1"/>
  <c r="BV97" i="99" s="1"/>
  <c r="BN147" i="99"/>
  <c r="AR134" i="103"/>
  <c r="BN145" i="99"/>
  <c r="BH418" i="99"/>
  <c r="BH457" i="99"/>
  <c r="BH69" i="99" s="1"/>
  <c r="BH134" i="99" s="1"/>
  <c r="BT312" i="99"/>
  <c r="BT33" i="99" s="1"/>
  <c r="BT98" i="104" s="1"/>
  <c r="BT33" i="104" s="1"/>
  <c r="J101" i="103"/>
  <c r="J102" i="103" s="1"/>
  <c r="BM35" i="105"/>
  <c r="BM24" i="105"/>
  <c r="N43" i="104"/>
  <c r="P43" i="104" s="1"/>
  <c r="BO34" i="103"/>
  <c r="BO36" i="103" s="1"/>
  <c r="BO37" i="103" s="1"/>
  <c r="BN34" i="103"/>
  <c r="BN36" i="103" s="1"/>
  <c r="BN37" i="103" s="1"/>
  <c r="BM33" i="105"/>
  <c r="BS33" i="105"/>
  <c r="N45" i="99"/>
  <c r="N110" i="103" s="1"/>
  <c r="P110" i="103" s="1"/>
  <c r="BT33" i="105"/>
  <c r="BR35" i="105"/>
  <c r="M45" i="103"/>
  <c r="BK97" i="103"/>
  <c r="BK32" i="103" s="1"/>
  <c r="BK97" i="104"/>
  <c r="BK32" i="104" s="1"/>
  <c r="BF257" i="99"/>
  <c r="BF260" i="99" s="1"/>
  <c r="BF23" i="99" s="1"/>
  <c r="BI278" i="99"/>
  <c r="CB43" i="105"/>
  <c r="N43" i="103"/>
  <c r="P43" i="103" s="1"/>
  <c r="BI89" i="99"/>
  <c r="BI89" i="104"/>
  <c r="BI24" i="104" s="1"/>
  <c r="BN24" i="105" s="1"/>
  <c r="BD309" i="99"/>
  <c r="BD312" i="99" s="1"/>
  <c r="BD33" i="99" s="1"/>
  <c r="BU43" i="105"/>
  <c r="BE273" i="99"/>
  <c r="BE276" i="99" s="1"/>
  <c r="BE26" i="99" s="1"/>
  <c r="BE91" i="99" s="1"/>
  <c r="BD257" i="99"/>
  <c r="BD260" i="99" s="1"/>
  <c r="BD23" i="99" s="1"/>
  <c r="BD88" i="99" s="1"/>
  <c r="BF301" i="99"/>
  <c r="BF304" i="99" s="1"/>
  <c r="BF32" i="99" s="1"/>
  <c r="BF97" i="104" s="1"/>
  <c r="BF32" i="104" s="1"/>
  <c r="BD100" i="103"/>
  <c r="BD35" i="103" s="1"/>
  <c r="BD100" i="104"/>
  <c r="BD35" i="104" s="1"/>
  <c r="BD100" i="99"/>
  <c r="BE100" i="103"/>
  <c r="BE35" i="103" s="1"/>
  <c r="BE100" i="104"/>
  <c r="BE35" i="104" s="1"/>
  <c r="BE100" i="99"/>
  <c r="BD301" i="99"/>
  <c r="BD304" i="99" s="1"/>
  <c r="BD32" i="99" s="1"/>
  <c r="BD296" i="99"/>
  <c r="BW110" i="103"/>
  <c r="BW110" i="99"/>
  <c r="BW110" i="104"/>
  <c r="BW45" i="104" s="1"/>
  <c r="BW293" i="99"/>
  <c r="BW301" i="99" s="1"/>
  <c r="BW304" i="99" s="1"/>
  <c r="BW32" i="99" s="1"/>
  <c r="BW288" i="99"/>
  <c r="BN23" i="99"/>
  <c r="BN278" i="99"/>
  <c r="BI45" i="105"/>
  <c r="BP293" i="99"/>
  <c r="BP309" i="99" s="1"/>
  <c r="BP312" i="99" s="1"/>
  <c r="BP33" i="99" s="1"/>
  <c r="BP288" i="99"/>
  <c r="BS312" i="99"/>
  <c r="BS33" i="99" s="1"/>
  <c r="BS98" i="103" s="1"/>
  <c r="BS33" i="103" s="1"/>
  <c r="BJ45" i="105"/>
  <c r="BW43" i="105"/>
  <c r="BF265" i="99"/>
  <c r="BF268" i="99" s="1"/>
  <c r="BF24" i="99" s="1"/>
  <c r="BF466" i="99"/>
  <c r="BF252" i="99"/>
  <c r="BW249" i="99"/>
  <c r="BW244" i="99"/>
  <c r="BR110" i="99"/>
  <c r="BR110" i="103"/>
  <c r="BR110" i="104"/>
  <c r="BR45" i="104" s="1"/>
  <c r="BR288" i="99"/>
  <c r="BR293" i="99"/>
  <c r="BR301" i="99" s="1"/>
  <c r="BR304" i="99" s="1"/>
  <c r="BR32" i="99" s="1"/>
  <c r="BI469" i="99"/>
  <c r="BI19" i="99" s="1"/>
  <c r="BI22" i="99"/>
  <c r="BP110" i="99"/>
  <c r="BP110" i="104"/>
  <c r="BP45" i="104" s="1"/>
  <c r="BP110" i="103"/>
  <c r="BP249" i="99"/>
  <c r="BP244" i="99"/>
  <c r="BI91" i="104"/>
  <c r="BI26" i="104" s="1"/>
  <c r="BI91" i="103"/>
  <c r="BI26" i="103" s="1"/>
  <c r="BI91" i="99"/>
  <c r="BD273" i="99"/>
  <c r="BD276" i="99" s="1"/>
  <c r="BD26" i="99" s="1"/>
  <c r="BD466" i="99"/>
  <c r="BD252" i="99"/>
  <c r="BF98" i="103"/>
  <c r="BF33" i="103" s="1"/>
  <c r="BF98" i="99"/>
  <c r="BF98" i="104"/>
  <c r="BF33" i="104" s="1"/>
  <c r="BF317" i="99"/>
  <c r="BF320" i="99" s="1"/>
  <c r="BF35" i="99" s="1"/>
  <c r="BF296" i="99"/>
  <c r="M45" i="104"/>
  <c r="BR244" i="99"/>
  <c r="BR249" i="99"/>
  <c r="BE309" i="99"/>
  <c r="BE312" i="99" s="1"/>
  <c r="BE33" i="99" s="1"/>
  <c r="BE301" i="99"/>
  <c r="BE304" i="99" s="1"/>
  <c r="BE32" i="99" s="1"/>
  <c r="BE296" i="99"/>
  <c r="BE265" i="99"/>
  <c r="BE268" i="99" s="1"/>
  <c r="BE24" i="99" s="1"/>
  <c r="BE466" i="99"/>
  <c r="BE252" i="99"/>
  <c r="BM149" i="104"/>
  <c r="BK98" i="99"/>
  <c r="BK98" i="104"/>
  <c r="BK33" i="104" s="1"/>
  <c r="BP33" i="105" s="1"/>
  <c r="BR24" i="105"/>
  <c r="BJ89" i="104"/>
  <c r="BJ24" i="104" s="1"/>
  <c r="BJ89" i="103"/>
  <c r="BJ24" i="103" s="1"/>
  <c r="BM25" i="103"/>
  <c r="BM27" i="103" s="1"/>
  <c r="BM28" i="103" s="1"/>
  <c r="BN33" i="105"/>
  <c r="BI34" i="103"/>
  <c r="BI36" i="103" s="1"/>
  <c r="BI37" i="103" s="1"/>
  <c r="BM23" i="105"/>
  <c r="BL91" i="104"/>
  <c r="BL26" i="104" s="1"/>
  <c r="BQ26" i="105" s="1"/>
  <c r="BL91" i="99"/>
  <c r="BS301" i="99"/>
  <c r="BS304" i="99" s="1"/>
  <c r="BS32" i="99" s="1"/>
  <c r="BS97" i="103" s="1"/>
  <c r="BS32" i="103" s="1"/>
  <c r="BQ32" i="105"/>
  <c r="N45" i="103"/>
  <c r="P45" i="103" s="1"/>
  <c r="BU301" i="99"/>
  <c r="BU304" i="99" s="1"/>
  <c r="BU32" i="99" s="1"/>
  <c r="BU97" i="99" s="1"/>
  <c r="BL278" i="99"/>
  <c r="BT265" i="99"/>
  <c r="BT268" i="99" s="1"/>
  <c r="BT24" i="99" s="1"/>
  <c r="BT89" i="103" s="1"/>
  <c r="BT24" i="103" s="1"/>
  <c r="BS265" i="99"/>
  <c r="BS268" i="99" s="1"/>
  <c r="BS24" i="99" s="1"/>
  <c r="BS89" i="99" s="1"/>
  <c r="BV317" i="99"/>
  <c r="BV320" i="99" s="1"/>
  <c r="BV35" i="99" s="1"/>
  <c r="BV100" i="104" s="1"/>
  <c r="BV35" i="104" s="1"/>
  <c r="BK89" i="99"/>
  <c r="BK89" i="104"/>
  <c r="BK24" i="104" s="1"/>
  <c r="BK89" i="103"/>
  <c r="BK24" i="103" s="1"/>
  <c r="BU100" i="99"/>
  <c r="BU100" i="104"/>
  <c r="BU35" i="104" s="1"/>
  <c r="BU100" i="103"/>
  <c r="BU35" i="103" s="1"/>
  <c r="BV257" i="99"/>
  <c r="BV260" i="99" s="1"/>
  <c r="BV23" i="99" s="1"/>
  <c r="BV466" i="99"/>
  <c r="BV252" i="99"/>
  <c r="BL31" i="99"/>
  <c r="BL322" i="99"/>
  <c r="BG273" i="99"/>
  <c r="BG276" i="99" s="1"/>
  <c r="BG26" i="99" s="1"/>
  <c r="BL100" i="103"/>
  <c r="BL35" i="103" s="1"/>
  <c r="BL100" i="104"/>
  <c r="BL35" i="104" s="1"/>
  <c r="BL100" i="99"/>
  <c r="BU257" i="99"/>
  <c r="BU260" i="99" s="1"/>
  <c r="BU23" i="99" s="1"/>
  <c r="BU273" i="99"/>
  <c r="BU276" i="99" s="1"/>
  <c r="BU26" i="99" s="1"/>
  <c r="BU466" i="99"/>
  <c r="BU252" i="99"/>
  <c r="BU309" i="99"/>
  <c r="BU312" i="99" s="1"/>
  <c r="BU33" i="99" s="1"/>
  <c r="BU296" i="99"/>
  <c r="BJ22" i="99"/>
  <c r="BJ469" i="99"/>
  <c r="BJ19" i="99" s="1"/>
  <c r="BJ278" i="99"/>
  <c r="BT301" i="99"/>
  <c r="BT304" i="99" s="1"/>
  <c r="BT32" i="99" s="1"/>
  <c r="BT317" i="99"/>
  <c r="BT320" i="99" s="1"/>
  <c r="BT35" i="99" s="1"/>
  <c r="BT296" i="99"/>
  <c r="BJ88" i="103"/>
  <c r="BJ23" i="103" s="1"/>
  <c r="BJ88" i="104"/>
  <c r="BJ23" i="104" s="1"/>
  <c r="BJ88" i="99"/>
  <c r="BK322" i="99"/>
  <c r="BK31" i="99"/>
  <c r="BS257" i="99"/>
  <c r="BS260" i="99" s="1"/>
  <c r="BS23" i="99" s="1"/>
  <c r="BS466" i="99"/>
  <c r="BS252" i="99"/>
  <c r="BL22" i="99"/>
  <c r="BL469" i="99"/>
  <c r="BL19" i="99" s="1"/>
  <c r="BK100" i="103"/>
  <c r="BK35" i="103" s="1"/>
  <c r="BK100" i="99"/>
  <c r="BK100" i="104"/>
  <c r="BK35" i="104" s="1"/>
  <c r="BL98" i="103"/>
  <c r="BL33" i="103" s="1"/>
  <c r="BL98" i="104"/>
  <c r="BL33" i="104" s="1"/>
  <c r="BL98" i="99"/>
  <c r="BS317" i="99"/>
  <c r="BS320" i="99" s="1"/>
  <c r="BS35" i="99" s="1"/>
  <c r="BS296" i="99"/>
  <c r="BT257" i="99"/>
  <c r="BT260" i="99" s="1"/>
  <c r="BT23" i="99" s="1"/>
  <c r="BT466" i="99"/>
  <c r="BT252" i="99"/>
  <c r="BL88" i="103"/>
  <c r="BL23" i="103" s="1"/>
  <c r="BL88" i="99"/>
  <c r="BL88" i="104"/>
  <c r="BL23" i="104" s="1"/>
  <c r="BX45" i="105"/>
  <c r="BJ31" i="99"/>
  <c r="BJ322" i="99"/>
  <c r="BJ100" i="103"/>
  <c r="BJ35" i="103" s="1"/>
  <c r="BJ100" i="99"/>
  <c r="BJ100" i="104"/>
  <c r="BJ35" i="104" s="1"/>
  <c r="BJ98" i="104"/>
  <c r="BJ33" i="104" s="1"/>
  <c r="BJ98" i="99"/>
  <c r="BJ98" i="103"/>
  <c r="BJ33" i="103" s="1"/>
  <c r="BK22" i="99"/>
  <c r="BK278" i="99"/>
  <c r="BK469" i="99"/>
  <c r="BK19" i="99" s="1"/>
  <c r="BV309" i="99"/>
  <c r="BV312" i="99" s="1"/>
  <c r="BV33" i="99" s="1"/>
  <c r="BV296" i="99"/>
  <c r="BV273" i="99"/>
  <c r="BV276" i="99" s="1"/>
  <c r="BV26" i="99" s="1"/>
  <c r="BY45" i="105"/>
  <c r="BV265" i="99"/>
  <c r="BV268" i="99" s="1"/>
  <c r="BV24" i="99" s="1"/>
  <c r="BK91" i="99"/>
  <c r="BK91" i="104"/>
  <c r="BK26" i="104" s="1"/>
  <c r="BK91" i="103"/>
  <c r="BK26" i="103" s="1"/>
  <c r="BG317" i="99"/>
  <c r="BG320" i="99" s="1"/>
  <c r="BG35" i="99" s="1"/>
  <c r="BG97" i="103"/>
  <c r="BG32" i="103" s="1"/>
  <c r="BG97" i="99"/>
  <c r="BG97" i="104"/>
  <c r="BG32" i="104" s="1"/>
  <c r="BG309" i="99"/>
  <c r="BG312" i="99" s="1"/>
  <c r="BG33" i="99" s="1"/>
  <c r="BG296" i="99"/>
  <c r="BG257" i="99"/>
  <c r="BG260" i="99" s="1"/>
  <c r="BG23" i="99" s="1"/>
  <c r="BG466" i="99"/>
  <c r="BG252" i="99"/>
  <c r="M110" i="103"/>
  <c r="M110" i="104"/>
  <c r="M110" i="99"/>
  <c r="BY454" i="99" a="1"/>
  <c r="BY454" i="99" s="1"/>
  <c r="BV45" i="105"/>
  <c r="BX455" i="99" a="1"/>
  <c r="BX455" i="99" s="1"/>
  <c r="R424" i="99"/>
  <c r="BQ276" i="99"/>
  <c r="BQ26" i="99" s="1"/>
  <c r="BQ91" i="99" s="1"/>
  <c r="BQ304" i="99"/>
  <c r="BQ32" i="99" s="1"/>
  <c r="BQ97" i="99" s="1"/>
  <c r="BQ268" i="99"/>
  <c r="BQ24" i="99" s="1"/>
  <c r="BQ252" i="99"/>
  <c r="BQ98" i="99"/>
  <c r="BQ98" i="103"/>
  <c r="BQ33" i="103" s="1"/>
  <c r="BQ98" i="104"/>
  <c r="BQ33" i="104" s="1"/>
  <c r="BQ320" i="99"/>
  <c r="BQ35" i="99" s="1"/>
  <c r="BQ296" i="99"/>
  <c r="P23" i="105"/>
  <c r="K99" i="103"/>
  <c r="AM101" i="103"/>
  <c r="AM102" i="103" s="1"/>
  <c r="AQ34" i="105"/>
  <c r="P33" i="105"/>
  <c r="L88" i="103"/>
  <c r="P35" i="105"/>
  <c r="BB26" i="105"/>
  <c r="BM148" i="104"/>
  <c r="BO150" i="104"/>
  <c r="AX99" i="103"/>
  <c r="BF31" i="105"/>
  <c r="BA23" i="105"/>
  <c r="BG32" i="105"/>
  <c r="BM31" i="105"/>
  <c r="L91" i="99"/>
  <c r="P32" i="105"/>
  <c r="W27" i="105"/>
  <c r="BR31" i="105"/>
  <c r="AZ99" i="103"/>
  <c r="AU34" i="103"/>
  <c r="AU36" i="103" s="1"/>
  <c r="AU37" i="103" s="1"/>
  <c r="BA99" i="103"/>
  <c r="AT34" i="105"/>
  <c r="AP34" i="105"/>
  <c r="BA32" i="105"/>
  <c r="BB32" i="105"/>
  <c r="BB99" i="103"/>
  <c r="AR101" i="103"/>
  <c r="AR102" i="103" s="1"/>
  <c r="AN101" i="103"/>
  <c r="AN102" i="103" s="1"/>
  <c r="BA33" i="105"/>
  <c r="BH35" i="105"/>
  <c r="AO34" i="105"/>
  <c r="AY35" i="105"/>
  <c r="BC32" i="105"/>
  <c r="BG35" i="105"/>
  <c r="AZ32" i="105"/>
  <c r="BE31" i="105"/>
  <c r="BH31" i="105"/>
  <c r="AX34" i="105"/>
  <c r="BB33" i="105"/>
  <c r="AY99" i="103"/>
  <c r="BB31" i="105"/>
  <c r="AS34" i="105"/>
  <c r="AY32" i="105"/>
  <c r="AV34" i="105"/>
  <c r="AY33" i="105"/>
  <c r="BH32" i="105"/>
  <c r="BC33" i="105"/>
  <c r="BB23" i="105"/>
  <c r="AP101" i="103"/>
  <c r="AP102" i="103" s="1"/>
  <c r="BC31" i="105"/>
  <c r="AZ35" i="105"/>
  <c r="BD31" i="105"/>
  <c r="AU34" i="105"/>
  <c r="BG33" i="105"/>
  <c r="AM34" i="105"/>
  <c r="BF32" i="105"/>
  <c r="AJ25" i="105"/>
  <c r="BO148" i="104"/>
  <c r="AL101" i="103"/>
  <c r="AL102" i="103" s="1"/>
  <c r="BE35" i="105"/>
  <c r="BC35" i="105"/>
  <c r="BE32" i="105"/>
  <c r="BD35" i="105"/>
  <c r="AC25" i="105"/>
  <c r="AL25" i="105"/>
  <c r="AA25" i="105"/>
  <c r="AK25" i="105"/>
  <c r="AY31" i="105"/>
  <c r="AF25" i="105"/>
  <c r="BA35" i="105"/>
  <c r="BI99" i="103"/>
  <c r="AN34" i="105"/>
  <c r="BM150" i="104"/>
  <c r="BG31" i="105"/>
  <c r="BT31" i="105"/>
  <c r="AD25" i="105"/>
  <c r="AH25" i="105"/>
  <c r="BA31" i="105"/>
  <c r="AI25" i="105"/>
  <c r="BE33" i="105"/>
  <c r="BF35" i="105"/>
  <c r="AG25" i="105"/>
  <c r="AE25" i="105"/>
  <c r="AW34" i="105"/>
  <c r="CD45" i="105"/>
  <c r="BD32" i="105"/>
  <c r="BB35" i="105"/>
  <c r="BS31" i="105"/>
  <c r="AB25" i="105"/>
  <c r="AR34" i="105"/>
  <c r="BD33" i="105"/>
  <c r="AZ31" i="105"/>
  <c r="BF33" i="105"/>
  <c r="BH33" i="105"/>
  <c r="BN31" i="105"/>
  <c r="AM22" i="105"/>
  <c r="BE23" i="105"/>
  <c r="AZ33" i="105"/>
  <c r="BC26" i="105"/>
  <c r="BH147" i="103"/>
  <c r="BM22" i="105"/>
  <c r="BH90" i="103"/>
  <c r="BG23" i="105"/>
  <c r="AW22" i="105"/>
  <c r="AV22" i="105"/>
  <c r="BH23" i="105"/>
  <c r="BD23" i="105"/>
  <c r="AY26" i="105"/>
  <c r="AN22" i="105"/>
  <c r="BH26" i="105"/>
  <c r="BA26" i="105"/>
  <c r="AR22" i="105"/>
  <c r="AU22" i="105"/>
  <c r="AZ26" i="105"/>
  <c r="AO101" i="103"/>
  <c r="AO102" i="103" s="1"/>
  <c r="BG24" i="105"/>
  <c r="BD26" i="105"/>
  <c r="AS22" i="105"/>
  <c r="BC23" i="105"/>
  <c r="AY23" i="105"/>
  <c r="AT22" i="105"/>
  <c r="BC99" i="103"/>
  <c r="AQ22" i="105"/>
  <c r="BH99" i="103"/>
  <c r="BF26" i="105"/>
  <c r="AO22" i="105"/>
  <c r="BF23" i="105"/>
  <c r="BC24" i="105"/>
  <c r="BE24" i="105"/>
  <c r="AP22" i="105"/>
  <c r="AX87" i="103"/>
  <c r="AX22" i="103" s="1"/>
  <c r="BC87" i="103"/>
  <c r="BC22" i="103" s="1"/>
  <c r="AK134" i="103"/>
  <c r="AK69" i="103" s="1"/>
  <c r="AK134" i="104"/>
  <c r="AK69" i="104" s="1"/>
  <c r="BB87" i="103"/>
  <c r="BB22" i="103" s="1"/>
  <c r="AN134" i="103"/>
  <c r="AN69" i="103" s="1"/>
  <c r="AN134" i="104"/>
  <c r="AN69" i="104" s="1"/>
  <c r="BA87" i="103"/>
  <c r="BA22" i="103" s="1"/>
  <c r="AT26" i="105"/>
  <c r="AO134" i="104"/>
  <c r="AO69" i="104" s="1"/>
  <c r="AO134" i="103"/>
  <c r="AO69" i="103" s="1"/>
  <c r="AY87" i="103"/>
  <c r="AY22" i="103" s="1"/>
  <c r="AU87" i="103"/>
  <c r="AU22" i="103" s="1"/>
  <c r="L96" i="103"/>
  <c r="AZ87" i="103"/>
  <c r="AZ22" i="103" s="1"/>
  <c r="AQ134" i="104"/>
  <c r="AQ69" i="104" s="1"/>
  <c r="AQ134" i="103"/>
  <c r="AQ69" i="103" s="1"/>
  <c r="AP24" i="105"/>
  <c r="AH134" i="103"/>
  <c r="AH69" i="103" s="1"/>
  <c r="AH134" i="104"/>
  <c r="AH69" i="104" s="1"/>
  <c r="AT134" i="103"/>
  <c r="AT69" i="103" s="1"/>
  <c r="AT134" i="104"/>
  <c r="AT69" i="104" s="1"/>
  <c r="BN22" i="103"/>
  <c r="AM134" i="103"/>
  <c r="AM69" i="103" s="1"/>
  <c r="AM134" i="104"/>
  <c r="AM69" i="104" s="1"/>
  <c r="AZ24" i="105"/>
  <c r="AV87" i="103"/>
  <c r="AT418" i="99"/>
  <c r="J134" i="103"/>
  <c r="J134" i="104"/>
  <c r="AL134" i="103"/>
  <c r="AL69" i="103" s="1"/>
  <c r="AL134" i="104"/>
  <c r="AL69" i="104" s="1"/>
  <c r="AW87" i="103"/>
  <c r="AW22" i="103" s="1"/>
  <c r="AT87" i="103"/>
  <c r="AT22" i="103" s="1"/>
  <c r="AQ101" i="103"/>
  <c r="AQ102" i="103" s="1"/>
  <c r="AX22" i="105"/>
  <c r="AI134" i="103"/>
  <c r="AI69" i="103" s="1"/>
  <c r="AI134" i="104"/>
  <c r="AI69" i="104" s="1"/>
  <c r="BN148" i="103"/>
  <c r="BN149" i="103"/>
  <c r="L24" i="104"/>
  <c r="L26" i="104"/>
  <c r="BO149" i="103"/>
  <c r="BO148" i="103"/>
  <c r="AO19" i="105"/>
  <c r="BC34" i="103"/>
  <c r="BC36" i="103" s="1"/>
  <c r="BC37" i="103" s="1"/>
  <c r="BM34" i="103"/>
  <c r="BM36" i="103" s="1"/>
  <c r="BM37" i="103" s="1"/>
  <c r="AU19" i="105"/>
  <c r="AP19" i="105"/>
  <c r="AT19" i="105"/>
  <c r="AS19" i="105"/>
  <c r="O22" i="105"/>
  <c r="L26" i="103"/>
  <c r="P31" i="105"/>
  <c r="O19" i="105"/>
  <c r="E63" i="294" s="1"/>
  <c r="BM148" i="103"/>
  <c r="BM147" i="103"/>
  <c r="BM149" i="103"/>
  <c r="BR19" i="105"/>
  <c r="BM146" i="103"/>
  <c r="AO90" i="104"/>
  <c r="AO25" i="104" s="1"/>
  <c r="AF92" i="104"/>
  <c r="AF93" i="104" s="1"/>
  <c r="AN101" i="104"/>
  <c r="AN102" i="104" s="1"/>
  <c r="AR101" i="104"/>
  <c r="AR102" i="104" s="1"/>
  <c r="AP101" i="104"/>
  <c r="AP102" i="104" s="1"/>
  <c r="L96" i="104"/>
  <c r="AV99" i="104"/>
  <c r="AV34" i="104" s="1"/>
  <c r="R104" i="104"/>
  <c r="R105" i="104" s="1"/>
  <c r="L98" i="99"/>
  <c r="L98" i="104"/>
  <c r="BC87" i="104"/>
  <c r="BC22" i="104" s="1"/>
  <c r="AK90" i="104"/>
  <c r="AK25" i="104" s="1"/>
  <c r="BN99" i="104"/>
  <c r="BN34" i="104" s="1"/>
  <c r="AY146" i="99"/>
  <c r="AY84" i="104"/>
  <c r="AY19" i="104" s="1"/>
  <c r="AY148" i="104" s="1"/>
  <c r="AN90" i="104"/>
  <c r="AN25" i="104" s="1"/>
  <c r="AU87" i="104"/>
  <c r="AU22" i="104" s="1"/>
  <c r="AL90" i="104"/>
  <c r="AL25" i="104" s="1"/>
  <c r="T104" i="104"/>
  <c r="T105" i="104" s="1"/>
  <c r="AX19" i="105"/>
  <c r="AP90" i="104"/>
  <c r="AP25" i="104" s="1"/>
  <c r="BA87" i="104"/>
  <c r="BA22" i="104" s="1"/>
  <c r="S104" i="104"/>
  <c r="S105" i="104" s="1"/>
  <c r="AU84" i="104"/>
  <c r="AU19" i="104" s="1"/>
  <c r="X92" i="104"/>
  <c r="X93" i="104" s="1"/>
  <c r="BA148" i="99"/>
  <c r="BA84" i="104"/>
  <c r="BA19" i="104" s="1"/>
  <c r="BA148" i="104" s="1"/>
  <c r="AT99" i="104"/>
  <c r="AT34" i="104" s="1"/>
  <c r="AD92" i="104"/>
  <c r="AD93" i="104" s="1"/>
  <c r="L91" i="104"/>
  <c r="AW19" i="105"/>
  <c r="AJ90" i="104"/>
  <c r="AJ25" i="104" s="1"/>
  <c r="AY87" i="104"/>
  <c r="AY22" i="104" s="1"/>
  <c r="W92" i="104"/>
  <c r="W93" i="104" s="1"/>
  <c r="U104" i="104"/>
  <c r="U105" i="104" s="1"/>
  <c r="AC92" i="104"/>
  <c r="AC93" i="104" s="1"/>
  <c r="AI90" i="104"/>
  <c r="AI25" i="104" s="1"/>
  <c r="BO99" i="104"/>
  <c r="BO34" i="104" s="1"/>
  <c r="AX87" i="104"/>
  <c r="AX22" i="104" s="1"/>
  <c r="AJ101" i="104"/>
  <c r="AJ102" i="104" s="1"/>
  <c r="AE92" i="104"/>
  <c r="AE93" i="104" s="1"/>
  <c r="P26" i="105"/>
  <c r="K91" i="104"/>
  <c r="AM90" i="104"/>
  <c r="AM25" i="104" s="1"/>
  <c r="AY99" i="104"/>
  <c r="AY34" i="104" s="1"/>
  <c r="AW87" i="104"/>
  <c r="AW22" i="104" s="1"/>
  <c r="BH99" i="104"/>
  <c r="BH34" i="104" s="1"/>
  <c r="L89" i="99"/>
  <c r="L89" i="104"/>
  <c r="AX147" i="99"/>
  <c r="AX84" i="104"/>
  <c r="AX19" i="104" s="1"/>
  <c r="AO101" i="104"/>
  <c r="AO102" i="104" s="1"/>
  <c r="AW148" i="99"/>
  <c r="AW84" i="104"/>
  <c r="AW19" i="104" s="1"/>
  <c r="AW149" i="104" s="1"/>
  <c r="BC99" i="104"/>
  <c r="BC34" i="104" s="1"/>
  <c r="J101" i="99"/>
  <c r="J102" i="99" s="1"/>
  <c r="AR19" i="105"/>
  <c r="L100" i="99"/>
  <c r="L100" i="104"/>
  <c r="BH90" i="104"/>
  <c r="BH25" i="104" s="1"/>
  <c r="Z92" i="104"/>
  <c r="Z93" i="104" s="1"/>
  <c r="V92" i="104"/>
  <c r="V93" i="104" s="1"/>
  <c r="AZ99" i="104"/>
  <c r="AZ34" i="104" s="1"/>
  <c r="AT87" i="104"/>
  <c r="AT22" i="104" s="1"/>
  <c r="AV87" i="104"/>
  <c r="AV22" i="104" s="1"/>
  <c r="BB99" i="104"/>
  <c r="BB34" i="104" s="1"/>
  <c r="AH101" i="104"/>
  <c r="AH102" i="104" s="1"/>
  <c r="BA99" i="104"/>
  <c r="BA34" i="104" s="1"/>
  <c r="AV19" i="105"/>
  <c r="J69" i="103"/>
  <c r="AT84" i="104"/>
  <c r="AT19" i="104" s="1"/>
  <c r="AT148" i="104" s="1"/>
  <c r="J69" i="104"/>
  <c r="AS90" i="104"/>
  <c r="AS25" i="104" s="1"/>
  <c r="K87" i="104"/>
  <c r="AQ90" i="104"/>
  <c r="AQ25" i="104" s="1"/>
  <c r="Y92" i="104"/>
  <c r="Y93" i="104" s="1"/>
  <c r="AV84" i="104"/>
  <c r="AV19" i="104" s="1"/>
  <c r="AV148" i="104" s="1"/>
  <c r="AU99" i="104"/>
  <c r="AU34" i="104" s="1"/>
  <c r="AX99" i="104"/>
  <c r="AX34" i="104" s="1"/>
  <c r="AW99" i="104"/>
  <c r="AW34" i="104" s="1"/>
  <c r="AZ146" i="99"/>
  <c r="AZ84" i="104"/>
  <c r="AZ19" i="104" s="1"/>
  <c r="K89" i="99"/>
  <c r="P24" i="105"/>
  <c r="K89" i="104"/>
  <c r="AG92" i="104"/>
  <c r="AG93" i="104" s="1"/>
  <c r="AQ101" i="104"/>
  <c r="AQ102" i="104" s="1"/>
  <c r="AB92" i="104"/>
  <c r="AB93" i="104" s="1"/>
  <c r="BC148" i="99"/>
  <c r="BC84" i="104"/>
  <c r="BC19" i="104" s="1"/>
  <c r="AR90" i="104"/>
  <c r="AR25" i="104" s="1"/>
  <c r="AK101" i="104"/>
  <c r="AK102" i="104" s="1"/>
  <c r="AZ87" i="104"/>
  <c r="AZ22" i="104" s="1"/>
  <c r="L33" i="104"/>
  <c r="J90" i="99"/>
  <c r="J90" i="104"/>
  <c r="L97" i="99"/>
  <c r="L97" i="104"/>
  <c r="AI101" i="104"/>
  <c r="AI102" i="104" s="1"/>
  <c r="AM101" i="104"/>
  <c r="AM102" i="104" s="1"/>
  <c r="AA92" i="104"/>
  <c r="AA93" i="104" s="1"/>
  <c r="K99" i="104"/>
  <c r="K84" i="104"/>
  <c r="L88" i="99"/>
  <c r="L88" i="104"/>
  <c r="AH90" i="104"/>
  <c r="AH25" i="104" s="1"/>
  <c r="BI99" i="104"/>
  <c r="BI34" i="104" s="1"/>
  <c r="AN19" i="105"/>
  <c r="BB147" i="99"/>
  <c r="BB84" i="104"/>
  <c r="BB19" i="104" s="1"/>
  <c r="BT19" i="105"/>
  <c r="AQ19" i="105"/>
  <c r="BB87" i="104"/>
  <c r="BB22" i="104" s="1"/>
  <c r="BM99" i="104"/>
  <c r="BM34" i="104" s="1"/>
  <c r="AL101" i="104"/>
  <c r="AL102" i="104" s="1"/>
  <c r="AM19" i="105"/>
  <c r="L35" i="104"/>
  <c r="L31" i="104"/>
  <c r="J147" i="104"/>
  <c r="J150" i="104"/>
  <c r="L35" i="103"/>
  <c r="M147" i="153"/>
  <c r="M145" i="153"/>
  <c r="AU451" i="99" a="1"/>
  <c r="AU451" i="99" s="1"/>
  <c r="AU457" i="99" s="1"/>
  <c r="AU69" i="99" s="1"/>
  <c r="AU134" i="99" s="1"/>
  <c r="M148" i="153"/>
  <c r="M146" i="153"/>
  <c r="J149" i="104"/>
  <c r="L34" i="99"/>
  <c r="L19" i="99"/>
  <c r="L84" i="99" s="1"/>
  <c r="AY148" i="99"/>
  <c r="BX254" i="99"/>
  <c r="BX260" i="99" s="1"/>
  <c r="BX23" i="99" s="1"/>
  <c r="BX88" i="99" s="1"/>
  <c r="BY262" i="99"/>
  <c r="BY268" i="99" s="1"/>
  <c r="BY24" i="99" s="1"/>
  <c r="BY89" i="99" s="1"/>
  <c r="BX262" i="99"/>
  <c r="BX268" i="99" s="1"/>
  <c r="BX24" i="99" s="1"/>
  <c r="BX89" i="99" s="1"/>
  <c r="L22" i="99"/>
  <c r="L87" i="103" s="1"/>
  <c r="BH149" i="103"/>
  <c r="BX314" i="99"/>
  <c r="BX320" i="99" s="1"/>
  <c r="BX35" i="99" s="1"/>
  <c r="BX100" i="103" s="1"/>
  <c r="AI147" i="104"/>
  <c r="AM148" i="103"/>
  <c r="AN147" i="104"/>
  <c r="J68" i="104"/>
  <c r="AZ147" i="99"/>
  <c r="BC146" i="99"/>
  <c r="AM147" i="103"/>
  <c r="L31" i="103"/>
  <c r="AL147" i="104"/>
  <c r="AQ150" i="104"/>
  <c r="L23" i="103"/>
  <c r="BX306" i="99"/>
  <c r="BX312" i="99" s="1"/>
  <c r="BX33" i="99" s="1"/>
  <c r="BX98" i="103" s="1"/>
  <c r="AV34" i="103"/>
  <c r="AV36" i="103" s="1"/>
  <c r="AV37" i="103" s="1"/>
  <c r="AQ148" i="103"/>
  <c r="L24" i="103"/>
  <c r="J68" i="103"/>
  <c r="BW451" i="99" a="1"/>
  <c r="BW451" i="99" s="1"/>
  <c r="AO146" i="103"/>
  <c r="AO25" i="103"/>
  <c r="AO27" i="103" s="1"/>
  <c r="Y92" i="99"/>
  <c r="Y93" i="99" s="1"/>
  <c r="Y39" i="99"/>
  <c r="Y104" i="103" s="1"/>
  <c r="Y105" i="103" s="1"/>
  <c r="Y28" i="99"/>
  <c r="AZ36" i="99"/>
  <c r="AZ99" i="99"/>
  <c r="U27" i="104"/>
  <c r="U28" i="104" s="1"/>
  <c r="AO149" i="103"/>
  <c r="BB36" i="99"/>
  <c r="BB99" i="99"/>
  <c r="BO36" i="99"/>
  <c r="BO101" i="103" s="1"/>
  <c r="BO102" i="103" s="1"/>
  <c r="BO99" i="99"/>
  <c r="AK147" i="104"/>
  <c r="AJ101" i="99"/>
  <c r="AJ102" i="99" s="1"/>
  <c r="AJ37" i="99"/>
  <c r="AL149" i="103"/>
  <c r="U54" i="103"/>
  <c r="U61" i="103" s="1"/>
  <c r="U65" i="103" s="1"/>
  <c r="U40" i="103"/>
  <c r="BH90" i="99"/>
  <c r="BH27" i="99"/>
  <c r="T40" i="99"/>
  <c r="T104" i="99"/>
  <c r="T105" i="99" s="1"/>
  <c r="T54" i="99"/>
  <c r="T119" i="103" s="1"/>
  <c r="AJ147" i="104"/>
  <c r="AJ148" i="104"/>
  <c r="AJ150" i="104"/>
  <c r="AJ149" i="104"/>
  <c r="AX99" i="99"/>
  <c r="AX36" i="99"/>
  <c r="AH147" i="104"/>
  <c r="U104" i="99"/>
  <c r="U105" i="99" s="1"/>
  <c r="U54" i="99"/>
  <c r="U119" i="103" s="1"/>
  <c r="U40" i="99"/>
  <c r="AE36" i="104"/>
  <c r="AE37" i="104" s="1"/>
  <c r="AK90" i="99"/>
  <c r="AK27" i="99"/>
  <c r="AK92" i="103" s="1"/>
  <c r="AK93" i="103" s="1"/>
  <c r="T37" i="103"/>
  <c r="J36" i="103"/>
  <c r="J37" i="103" s="1"/>
  <c r="AO90" i="99"/>
  <c r="AO27" i="99"/>
  <c r="AO92" i="103" s="1"/>
  <c r="AO93" i="103" s="1"/>
  <c r="AP146" i="103"/>
  <c r="AP25" i="103"/>
  <c r="AP27" i="103" s="1"/>
  <c r="AH146" i="103"/>
  <c r="AH25" i="103"/>
  <c r="AH27" i="103" s="1"/>
  <c r="BC451" i="99" a="1"/>
  <c r="BC451" i="99" s="1"/>
  <c r="BC457" i="99" s="1"/>
  <c r="BC69" i="99" s="1"/>
  <c r="BC134" i="99" s="1"/>
  <c r="BC418" i="99"/>
  <c r="AF36" i="104"/>
  <c r="AF37" i="104" s="1"/>
  <c r="AI101" i="99"/>
  <c r="AI102" i="99" s="1"/>
  <c r="AI37" i="99"/>
  <c r="W36" i="104"/>
  <c r="W37" i="104" s="1"/>
  <c r="AT87" i="99"/>
  <c r="AT145" i="99"/>
  <c r="AT25" i="99"/>
  <c r="AT90" i="103" s="1"/>
  <c r="BH148" i="103"/>
  <c r="BY306" i="99"/>
  <c r="BY312" i="99" s="1"/>
  <c r="BY33" i="99" s="1"/>
  <c r="BY98" i="103" s="1"/>
  <c r="AR25" i="103"/>
  <c r="AR27" i="103" s="1"/>
  <c r="AR146" i="103"/>
  <c r="AV145" i="99"/>
  <c r="AV25" i="99"/>
  <c r="AV90" i="103" s="1"/>
  <c r="AV87" i="99"/>
  <c r="BA451" i="99" a="1"/>
  <c r="BA451" i="99" s="1"/>
  <c r="BA457" i="99" s="1"/>
  <c r="BA69" i="99" s="1"/>
  <c r="BA134" i="99" s="1"/>
  <c r="BA418" i="99"/>
  <c r="AQ148" i="104"/>
  <c r="AG28" i="103"/>
  <c r="AG39" i="103"/>
  <c r="Z92" i="99"/>
  <c r="Z93" i="99" s="1"/>
  <c r="Z39" i="99"/>
  <c r="Z104" i="103" s="1"/>
  <c r="Z105" i="103" s="1"/>
  <c r="Z28" i="99"/>
  <c r="Z36" i="104"/>
  <c r="Z37" i="104" s="1"/>
  <c r="BY298" i="99"/>
  <c r="BY304" i="99" s="1"/>
  <c r="BY32" i="99" s="1"/>
  <c r="BY97" i="103" s="1"/>
  <c r="V28" i="99"/>
  <c r="V39" i="99"/>
  <c r="V104" i="103" s="1"/>
  <c r="V105" i="103" s="1"/>
  <c r="V92" i="99"/>
  <c r="V93" i="99" s="1"/>
  <c r="AH27" i="99"/>
  <c r="AH92" i="103" s="1"/>
  <c r="AH93" i="103" s="1"/>
  <c r="AH90" i="99"/>
  <c r="AF28" i="103"/>
  <c r="AF39" i="103"/>
  <c r="AZ451" i="99" a="1"/>
  <c r="AZ451" i="99" s="1"/>
  <c r="AZ457" i="99" s="1"/>
  <c r="AZ69" i="99" s="1"/>
  <c r="AZ134" i="99" s="1"/>
  <c r="AZ418" i="99"/>
  <c r="AM148" i="104"/>
  <c r="AL25" i="103"/>
  <c r="AL27" i="103" s="1"/>
  <c r="AL146" i="103"/>
  <c r="AT84" i="99"/>
  <c r="AT19" i="103"/>
  <c r="AT147" i="103" s="1"/>
  <c r="AT148" i="99"/>
  <c r="AT147" i="99"/>
  <c r="AN25" i="103"/>
  <c r="AN27" i="103" s="1"/>
  <c r="AN146" i="103"/>
  <c r="AA39" i="99"/>
  <c r="AA104" i="103" s="1"/>
  <c r="AA105" i="103" s="1"/>
  <c r="AA28" i="99"/>
  <c r="AA92" i="99"/>
  <c r="AA93" i="99" s="1"/>
  <c r="BY314" i="99"/>
  <c r="BY320" i="99" s="1"/>
  <c r="BY35" i="99" s="1"/>
  <c r="BY100" i="103" s="1"/>
  <c r="AM101" i="99"/>
  <c r="AM102" i="99" s="1"/>
  <c r="AM37" i="99"/>
  <c r="AV146" i="99"/>
  <c r="AV84" i="99"/>
  <c r="AV19" i="103"/>
  <c r="AV147" i="103" s="1"/>
  <c r="AV147" i="99"/>
  <c r="AV148" i="99"/>
  <c r="X36" i="104"/>
  <c r="X37" i="104" s="1"/>
  <c r="L32" i="104"/>
  <c r="AY451" i="99" a="1"/>
  <c r="AY451" i="99" s="1"/>
  <c r="AY457" i="99" s="1"/>
  <c r="AY69" i="99" s="1"/>
  <c r="AY134" i="99" s="1"/>
  <c r="AY418" i="99"/>
  <c r="AP37" i="99"/>
  <c r="AP101" i="99"/>
  <c r="AP102" i="99" s="1"/>
  <c r="AL148" i="104"/>
  <c r="AQ37" i="99"/>
  <c r="AQ101" i="99"/>
  <c r="AQ102" i="99" s="1"/>
  <c r="AM149" i="104"/>
  <c r="AD36" i="104"/>
  <c r="AD37" i="104" s="1"/>
  <c r="AR27" i="99"/>
  <c r="AR92" i="103" s="1"/>
  <c r="AR93" i="103" s="1"/>
  <c r="AR90" i="99"/>
  <c r="AP27" i="99"/>
  <c r="AP92" i="103" s="1"/>
  <c r="AP93" i="103" s="1"/>
  <c r="AP90" i="99"/>
  <c r="AR149" i="103"/>
  <c r="AR147" i="103"/>
  <c r="BD451" i="99" a="1"/>
  <c r="BD451" i="99" s="1"/>
  <c r="AQ149" i="103"/>
  <c r="AV451" i="99" a="1"/>
  <c r="AV451" i="99" s="1"/>
  <c r="AV457" i="99" s="1"/>
  <c r="AV69" i="99" s="1"/>
  <c r="AV134" i="99" s="1"/>
  <c r="AV418" i="99"/>
  <c r="AM147" i="104"/>
  <c r="AL37" i="99"/>
  <c r="AL101" i="99"/>
  <c r="AL102" i="99" s="1"/>
  <c r="AZ84" i="99"/>
  <c r="AZ19" i="103"/>
  <c r="AZ147" i="103" s="1"/>
  <c r="AZ148" i="99"/>
  <c r="AS148" i="104"/>
  <c r="AY84" i="99"/>
  <c r="AY19" i="103"/>
  <c r="AY148" i="103" s="1"/>
  <c r="AY147" i="99"/>
  <c r="AN147" i="103"/>
  <c r="BY31" i="99"/>
  <c r="BY96" i="103" s="1"/>
  <c r="AO147" i="103"/>
  <c r="AO148" i="103"/>
  <c r="AR147" i="104"/>
  <c r="AR150" i="104"/>
  <c r="AR148" i="104"/>
  <c r="AM25" i="103"/>
  <c r="AM27" i="103" s="1"/>
  <c r="AM146" i="103"/>
  <c r="AZ87" i="99"/>
  <c r="AZ25" i="99"/>
  <c r="AZ90" i="103" s="1"/>
  <c r="AZ145" i="99"/>
  <c r="AL90" i="99"/>
  <c r="AL27" i="99"/>
  <c r="AL92" i="103" s="1"/>
  <c r="AL93" i="103" s="1"/>
  <c r="AN27" i="99"/>
  <c r="AN92" i="103" s="1"/>
  <c r="AN93" i="103" s="1"/>
  <c r="AN90" i="99"/>
  <c r="AO148" i="104"/>
  <c r="AO149" i="104"/>
  <c r="AK101" i="99"/>
  <c r="AK102" i="99" s="1"/>
  <c r="AK37" i="99"/>
  <c r="W28" i="103"/>
  <c r="W39" i="103"/>
  <c r="AM27" i="99"/>
  <c r="AM92" i="103" s="1"/>
  <c r="AM93" i="103" s="1"/>
  <c r="AM90" i="99"/>
  <c r="AX451" i="99" a="1"/>
  <c r="AX451" i="99" s="1"/>
  <c r="AX457" i="99" s="1"/>
  <c r="AX69" i="99" s="1"/>
  <c r="AX134" i="99" s="1"/>
  <c r="AX418" i="99"/>
  <c r="AY145" i="99"/>
  <c r="AY87" i="99"/>
  <c r="AY25" i="99"/>
  <c r="AY90" i="103" s="1"/>
  <c r="AA39" i="103"/>
  <c r="AA28" i="103"/>
  <c r="Y54" i="103"/>
  <c r="Y61" i="103" s="1"/>
  <c r="Y65" i="103" s="1"/>
  <c r="Y40" i="103"/>
  <c r="R27" i="104"/>
  <c r="BX298" i="99"/>
  <c r="BX304" i="99" s="1"/>
  <c r="BX32" i="99" s="1"/>
  <c r="BX97" i="103" s="1"/>
  <c r="X28" i="103"/>
  <c r="X39" i="103"/>
  <c r="AC36" i="104"/>
  <c r="AC37" i="104" s="1"/>
  <c r="J134" i="99"/>
  <c r="V36" i="104"/>
  <c r="V37" i="104" s="1"/>
  <c r="BX31" i="99"/>
  <c r="BX96" i="103" s="1"/>
  <c r="AA36" i="104"/>
  <c r="AA37" i="104" s="1"/>
  <c r="AR37" i="99"/>
  <c r="AR101" i="99"/>
  <c r="AR102" i="99" s="1"/>
  <c r="AG28" i="99"/>
  <c r="AG92" i="99"/>
  <c r="AG93" i="99" s="1"/>
  <c r="AG39" i="99"/>
  <c r="AG104" i="103" s="1"/>
  <c r="AG105" i="103" s="1"/>
  <c r="L32" i="103"/>
  <c r="BB451" i="99" a="1"/>
  <c r="BB451" i="99" s="1"/>
  <c r="BB457" i="99" s="1"/>
  <c r="BB69" i="99" s="1"/>
  <c r="BB134" i="99" s="1"/>
  <c r="BB418" i="99"/>
  <c r="AE28" i="103"/>
  <c r="AE39" i="103"/>
  <c r="R104" i="99"/>
  <c r="R105" i="99" s="1"/>
  <c r="R54" i="99"/>
  <c r="R119" i="103" s="1"/>
  <c r="R40" i="99"/>
  <c r="BN36" i="99"/>
  <c r="BN101" i="103" s="1"/>
  <c r="BN102" i="103" s="1"/>
  <c r="BN99" i="99"/>
  <c r="AG36" i="104"/>
  <c r="AG37" i="104" s="1"/>
  <c r="AQ146" i="103"/>
  <c r="AQ25" i="103"/>
  <c r="AQ27" i="103" s="1"/>
  <c r="AS146" i="103"/>
  <c r="AS149" i="103"/>
  <c r="AS148" i="103"/>
  <c r="AW34" i="103"/>
  <c r="AW36" i="103" s="1"/>
  <c r="AW37" i="103" s="1"/>
  <c r="AB28" i="99"/>
  <c r="AB39" i="99"/>
  <c r="AB104" i="103" s="1"/>
  <c r="AB105" i="103" s="1"/>
  <c r="AB92" i="99"/>
  <c r="AB93" i="99" s="1"/>
  <c r="AI25" i="103"/>
  <c r="AI27" i="103" s="1"/>
  <c r="AI146" i="103"/>
  <c r="AK147" i="103"/>
  <c r="AK149" i="103"/>
  <c r="T39" i="103"/>
  <c r="AW145" i="99"/>
  <c r="AW25" i="99"/>
  <c r="AW90" i="103" s="1"/>
  <c r="AW87" i="99"/>
  <c r="BH34" i="103"/>
  <c r="BH36" i="103" s="1"/>
  <c r="BH37" i="103" s="1"/>
  <c r="J25" i="103"/>
  <c r="AQ147" i="104"/>
  <c r="AH148" i="104"/>
  <c r="AH150" i="104"/>
  <c r="AH149" i="104"/>
  <c r="AS150" i="104"/>
  <c r="AS149" i="104"/>
  <c r="V39" i="103"/>
  <c r="V28" i="103"/>
  <c r="AK150" i="104"/>
  <c r="AK148" i="104"/>
  <c r="AH101" i="99"/>
  <c r="AH102" i="99" s="1"/>
  <c r="AH37" i="99"/>
  <c r="AD92" i="99"/>
  <c r="AD93" i="99" s="1"/>
  <c r="AD28" i="99"/>
  <c r="AD39" i="99"/>
  <c r="AD104" i="103" s="1"/>
  <c r="AD105" i="103" s="1"/>
  <c r="AW146" i="99"/>
  <c r="AW84" i="99"/>
  <c r="AW19" i="103"/>
  <c r="AW148" i="103" s="1"/>
  <c r="AW147" i="99"/>
  <c r="R28" i="103"/>
  <c r="R39" i="103"/>
  <c r="J27" i="103"/>
  <c r="J28" i="103" s="1"/>
  <c r="AQ90" i="99"/>
  <c r="AQ27" i="99"/>
  <c r="AQ92" i="103" s="1"/>
  <c r="AQ93" i="103" s="1"/>
  <c r="Z39" i="103"/>
  <c r="Z28" i="103"/>
  <c r="AH149" i="103"/>
  <c r="AH148" i="103"/>
  <c r="S40" i="103"/>
  <c r="S54" i="103"/>
  <c r="S61" i="103" s="1"/>
  <c r="S65" i="103" s="1"/>
  <c r="AW36" i="99"/>
  <c r="AW101" i="103" s="1"/>
  <c r="AW102" i="103" s="1"/>
  <c r="AW99" i="99"/>
  <c r="AC28" i="99"/>
  <c r="AC92" i="99"/>
  <c r="AC93" i="99" s="1"/>
  <c r="AC39" i="99"/>
  <c r="AC104" i="103" s="1"/>
  <c r="AC105" i="103" s="1"/>
  <c r="AI147" i="103"/>
  <c r="AI148" i="103"/>
  <c r="BC25" i="99"/>
  <c r="BC90" i="103" s="1"/>
  <c r="BC145" i="99"/>
  <c r="BC87" i="99"/>
  <c r="AK149" i="104"/>
  <c r="AT34" i="103"/>
  <c r="AT36" i="103" s="1"/>
  <c r="AT37" i="103" s="1"/>
  <c r="AL148" i="103"/>
  <c r="AO101" i="99"/>
  <c r="AO102" i="99" s="1"/>
  <c r="AO37" i="99"/>
  <c r="BA34" i="103"/>
  <c r="BA36" i="103" s="1"/>
  <c r="BA37" i="103" s="1"/>
  <c r="AU87" i="99"/>
  <c r="AU25" i="99"/>
  <c r="AU90" i="103" s="1"/>
  <c r="AU145" i="99"/>
  <c r="AP37" i="103"/>
  <c r="AV99" i="99"/>
  <c r="AV36" i="99"/>
  <c r="AV101" i="103" s="1"/>
  <c r="AV102" i="103" s="1"/>
  <c r="AI148" i="104"/>
  <c r="AI149" i="104"/>
  <c r="AK148" i="103"/>
  <c r="AL149" i="104"/>
  <c r="K22" i="103"/>
  <c r="BH99" i="99"/>
  <c r="BH36" i="99"/>
  <c r="BB84" i="99"/>
  <c r="BB19" i="103"/>
  <c r="BB148" i="99"/>
  <c r="BB146" i="99"/>
  <c r="AP149" i="103"/>
  <c r="AP147" i="103"/>
  <c r="AS147" i="104"/>
  <c r="AI27" i="99"/>
  <c r="AI92" i="103" s="1"/>
  <c r="AI93" i="103" s="1"/>
  <c r="AI90" i="99"/>
  <c r="BC84" i="99"/>
  <c r="BC19" i="103"/>
  <c r="BC148" i="103" s="1"/>
  <c r="BC147" i="99"/>
  <c r="AT36" i="99"/>
  <c r="AT101" i="103" s="1"/>
  <c r="AT102" i="103" s="1"/>
  <c r="AT99" i="99"/>
  <c r="S27" i="104"/>
  <c r="S28" i="104" s="1"/>
  <c r="BI36" i="99"/>
  <c r="BI99" i="99"/>
  <c r="J148" i="103"/>
  <c r="J147" i="103"/>
  <c r="J149" i="103"/>
  <c r="AD39" i="103"/>
  <c r="AD28" i="103"/>
  <c r="AU148" i="99"/>
  <c r="AU84" i="99"/>
  <c r="AU19" i="103"/>
  <c r="AU147" i="99"/>
  <c r="AU146" i="99"/>
  <c r="BB25" i="99"/>
  <c r="BB90" i="103" s="1"/>
  <c r="BB145" i="99"/>
  <c r="BB87" i="99"/>
  <c r="AP147" i="104"/>
  <c r="AP150" i="104"/>
  <c r="AP148" i="104"/>
  <c r="W92" i="99"/>
  <c r="W93" i="99" s="1"/>
  <c r="W28" i="99"/>
  <c r="W39" i="99"/>
  <c r="W104" i="103" s="1"/>
  <c r="W105" i="103" s="1"/>
  <c r="BA87" i="99"/>
  <c r="BA145" i="99"/>
  <c r="BA25" i="99"/>
  <c r="BA90" i="103" s="1"/>
  <c r="AX145" i="99"/>
  <c r="AX25" i="99"/>
  <c r="AX90" i="103" s="1"/>
  <c r="AX87" i="99"/>
  <c r="BA99" i="99"/>
  <c r="BA36" i="99"/>
  <c r="J146" i="103"/>
  <c r="X92" i="99"/>
  <c r="X93" i="99" s="1"/>
  <c r="X39" i="99"/>
  <c r="X104" i="103" s="1"/>
  <c r="X105" i="103" s="1"/>
  <c r="X28" i="99"/>
  <c r="BY254" i="99"/>
  <c r="BY260" i="99" s="1"/>
  <c r="BY23" i="99" s="1"/>
  <c r="BY252" i="99"/>
  <c r="BY463" i="99"/>
  <c r="AP148" i="103"/>
  <c r="BA147" i="99"/>
  <c r="BA84" i="99"/>
  <c r="BA19" i="103"/>
  <c r="BA148" i="103" s="1"/>
  <c r="AW451" i="99" a="1"/>
  <c r="AW451" i="99" s="1"/>
  <c r="AW457" i="99" s="1"/>
  <c r="AW69" i="99" s="1"/>
  <c r="AW134" i="99" s="1"/>
  <c r="AW418" i="99"/>
  <c r="AJ146" i="103"/>
  <c r="AJ25" i="103"/>
  <c r="AJ27" i="103" s="1"/>
  <c r="AU99" i="99"/>
  <c r="AU36" i="99"/>
  <c r="AU101" i="103" s="1"/>
  <c r="AU102" i="103" s="1"/>
  <c r="AS90" i="99"/>
  <c r="AS27" i="99"/>
  <c r="AS92" i="103" s="1"/>
  <c r="AS93" i="103" s="1"/>
  <c r="BE451" i="99" a="1"/>
  <c r="BE451" i="99" s="1"/>
  <c r="K91" i="99"/>
  <c r="L33" i="103"/>
  <c r="AX84" i="99"/>
  <c r="AX146" i="99"/>
  <c r="AX148" i="99"/>
  <c r="S54" i="99"/>
  <c r="S119" i="103" s="1"/>
  <c r="S40" i="99"/>
  <c r="S104" i="99"/>
  <c r="S105" i="99" s="1"/>
  <c r="AY34" i="103"/>
  <c r="AY36" i="103" s="1"/>
  <c r="AY37" i="103" s="1"/>
  <c r="AT146" i="99"/>
  <c r="BH146" i="103"/>
  <c r="BH25" i="103"/>
  <c r="BH27" i="103" s="1"/>
  <c r="T27" i="104"/>
  <c r="T28" i="104" s="1"/>
  <c r="AZ34" i="103"/>
  <c r="AZ36" i="103" s="1"/>
  <c r="AZ37" i="103" s="1"/>
  <c r="AC28" i="103"/>
  <c r="AC39" i="103"/>
  <c r="AR149" i="104"/>
  <c r="BA146" i="99"/>
  <c r="BB34" i="103"/>
  <c r="BB36" i="103" s="1"/>
  <c r="BB37" i="103" s="1"/>
  <c r="AN101" i="99"/>
  <c r="AN102" i="99" s="1"/>
  <c r="AN37" i="99"/>
  <c r="AB28" i="103"/>
  <c r="AB39" i="103"/>
  <c r="BX463" i="99"/>
  <c r="BX252" i="99"/>
  <c r="AY36" i="99"/>
  <c r="AY99" i="99"/>
  <c r="AL150" i="104"/>
  <c r="AN149" i="104"/>
  <c r="AN150" i="104"/>
  <c r="BC99" i="99"/>
  <c r="BC36" i="99"/>
  <c r="AJ90" i="99"/>
  <c r="AJ27" i="99"/>
  <c r="AJ92" i="103" s="1"/>
  <c r="AJ93" i="103" s="1"/>
  <c r="AO147" i="104"/>
  <c r="Y36" i="104"/>
  <c r="Y37" i="104" s="1"/>
  <c r="AX34" i="103"/>
  <c r="AX36" i="103" s="1"/>
  <c r="AX37" i="103" s="1"/>
  <c r="AF92" i="99"/>
  <c r="AF93" i="99" s="1"/>
  <c r="AF39" i="99"/>
  <c r="AF104" i="103" s="1"/>
  <c r="AF105" i="103" s="1"/>
  <c r="AF28" i="99"/>
  <c r="AO150" i="104"/>
  <c r="T36" i="104"/>
  <c r="BM99" i="99"/>
  <c r="BM36" i="99"/>
  <c r="BM101" i="103" s="1"/>
  <c r="BM102" i="103" s="1"/>
  <c r="AB36" i="104"/>
  <c r="AB37" i="104" s="1"/>
  <c r="AK25" i="103"/>
  <c r="AK27" i="103" s="1"/>
  <c r="AK146" i="103"/>
  <c r="L23" i="104"/>
  <c r="AN149" i="103"/>
  <c r="AN148" i="103"/>
  <c r="AJ148" i="103"/>
  <c r="AJ149" i="103"/>
  <c r="AJ147" i="103"/>
  <c r="AE28" i="99"/>
  <c r="AE92" i="99"/>
  <c r="AE93" i="99" s="1"/>
  <c r="AE39" i="99"/>
  <c r="AE104" i="103" s="1"/>
  <c r="AE105" i="103" s="1"/>
  <c r="O34" i="105"/>
  <c r="K146" i="99"/>
  <c r="K84" i="99"/>
  <c r="K148" i="99"/>
  <c r="K147" i="99"/>
  <c r="K19" i="103"/>
  <c r="K19" i="104"/>
  <c r="K148" i="104" s="1"/>
  <c r="K87" i="99"/>
  <c r="K145" i="99"/>
  <c r="K22" i="104"/>
  <c r="K99" i="99"/>
  <c r="K34" i="104"/>
  <c r="K25" i="99"/>
  <c r="K90" i="103" s="1"/>
  <c r="K36" i="99"/>
  <c r="K34" i="103"/>
  <c r="K69" i="99"/>
  <c r="CD104" i="105" l="1"/>
  <c r="BY23" i="151"/>
  <c r="N147" i="153"/>
  <c r="N148" i="153"/>
  <c r="BI104" i="105"/>
  <c r="BD23" i="151"/>
  <c r="CA104" i="105"/>
  <c r="BV23" i="151"/>
  <c r="BL104" i="105"/>
  <c r="BG23" i="151"/>
  <c r="BV104" i="105"/>
  <c r="BQ23" i="151"/>
  <c r="BX104" i="105"/>
  <c r="BS23" i="151"/>
  <c r="BY104" i="105"/>
  <c r="BT23" i="151"/>
  <c r="BK104" i="105"/>
  <c r="BF23" i="151"/>
  <c r="BJ104" i="105"/>
  <c r="BE23" i="151"/>
  <c r="CC104" i="105"/>
  <c r="BX23" i="151"/>
  <c r="BZ104" i="105"/>
  <c r="BU23" i="151"/>
  <c r="AS101" i="99"/>
  <c r="AS102" i="99" s="1"/>
  <c r="N126" i="154"/>
  <c r="P126" i="154" s="1"/>
  <c r="P61" i="154"/>
  <c r="N62" i="154"/>
  <c r="P62" i="154" s="1"/>
  <c r="N145" i="155"/>
  <c r="N147" i="155"/>
  <c r="N148" i="155"/>
  <c r="M54" i="155"/>
  <c r="M119" i="155" s="1"/>
  <c r="L147" i="153"/>
  <c r="L146" i="153"/>
  <c r="L145" i="153"/>
  <c r="Y71" i="103"/>
  <c r="Y72" i="103" s="1"/>
  <c r="Y66" i="103"/>
  <c r="S71" i="103"/>
  <c r="S72" i="103" s="1"/>
  <c r="S66" i="103"/>
  <c r="L27" i="153"/>
  <c r="L28" i="153" s="1"/>
  <c r="U71" i="103"/>
  <c r="U72" i="103" s="1"/>
  <c r="U66" i="103"/>
  <c r="K39" i="153"/>
  <c r="K40" i="153" s="1"/>
  <c r="L148" i="153"/>
  <c r="BV104" i="155"/>
  <c r="BV105" i="155" s="1"/>
  <c r="BV54" i="155"/>
  <c r="BV40" i="155"/>
  <c r="BF62" i="155"/>
  <c r="BF65" i="155"/>
  <c r="BF126" i="155"/>
  <c r="BF127" i="155" s="1"/>
  <c r="BL61" i="153"/>
  <c r="BL119" i="153"/>
  <c r="AJ119" i="153"/>
  <c r="AJ61" i="153"/>
  <c r="AL66" i="155"/>
  <c r="AL71" i="155"/>
  <c r="AL130" i="155"/>
  <c r="AL131" i="155" s="1"/>
  <c r="Z119" i="153"/>
  <c r="Z61" i="153"/>
  <c r="AA119" i="153"/>
  <c r="AA61" i="153"/>
  <c r="BU61" i="155"/>
  <c r="BU119" i="155"/>
  <c r="AO66" i="155"/>
  <c r="AO71" i="155"/>
  <c r="AO130" i="155"/>
  <c r="AO131" i="155" s="1"/>
  <c r="BX71" i="154"/>
  <c r="BX130" i="154"/>
  <c r="BX131" i="154" s="1"/>
  <c r="BX66" i="154"/>
  <c r="U66" i="153"/>
  <c r="U130" i="153"/>
  <c r="U131" i="153" s="1"/>
  <c r="U71" i="153"/>
  <c r="BX104" i="153"/>
  <c r="BX105" i="153" s="1"/>
  <c r="BX40" i="153"/>
  <c r="BX54" i="153"/>
  <c r="AM104" i="153"/>
  <c r="AM105" i="153" s="1"/>
  <c r="AM54" i="153"/>
  <c r="AM40" i="153"/>
  <c r="BW104" i="155"/>
  <c r="BW105" i="155" s="1"/>
  <c r="BW54" i="155"/>
  <c r="BW40" i="155"/>
  <c r="AC119" i="153"/>
  <c r="AC61" i="153"/>
  <c r="X66" i="153"/>
  <c r="X130" i="153"/>
  <c r="X131" i="153" s="1"/>
  <c r="X71" i="153"/>
  <c r="S66" i="153"/>
  <c r="S71" i="153"/>
  <c r="S130" i="153"/>
  <c r="S131" i="153" s="1"/>
  <c r="BV66" i="154"/>
  <c r="BV71" i="154"/>
  <c r="BV130" i="154"/>
  <c r="BV131" i="154" s="1"/>
  <c r="AD119" i="153"/>
  <c r="AD61" i="153"/>
  <c r="X72" i="155"/>
  <c r="X77" i="155"/>
  <c r="X142" i="155" s="1"/>
  <c r="X136" i="155"/>
  <c r="X137" i="155" s="1"/>
  <c r="BM61" i="155"/>
  <c r="BM119" i="155"/>
  <c r="BY104" i="155"/>
  <c r="BY105" i="155" s="1"/>
  <c r="BY54" i="155"/>
  <c r="BY40" i="155"/>
  <c r="AA77" i="155"/>
  <c r="AA142" i="155" s="1"/>
  <c r="AA72" i="155"/>
  <c r="AA136" i="155"/>
  <c r="AA137" i="155" s="1"/>
  <c r="AE61" i="153"/>
  <c r="AE119" i="153"/>
  <c r="BU72" i="154"/>
  <c r="BU77" i="154"/>
  <c r="BU142" i="154" s="1"/>
  <c r="BU136" i="154"/>
  <c r="BU137" i="154" s="1"/>
  <c r="K65" i="155"/>
  <c r="K126" i="155"/>
  <c r="K127" i="155" s="1"/>
  <c r="K62" i="155"/>
  <c r="BQ119" i="155"/>
  <c r="BQ61" i="155"/>
  <c r="K92" i="153"/>
  <c r="K93" i="153" s="1"/>
  <c r="K28" i="153"/>
  <c r="AY65" i="155"/>
  <c r="AY126" i="155"/>
  <c r="AY127" i="155" s="1"/>
  <c r="AY62" i="155"/>
  <c r="P36" i="153"/>
  <c r="N101" i="153"/>
  <c r="N37" i="153"/>
  <c r="P37" i="153" s="1"/>
  <c r="L104" i="155"/>
  <c r="L105" i="155" s="1"/>
  <c r="L40" i="155"/>
  <c r="P69" i="153"/>
  <c r="N134" i="153"/>
  <c r="P134" i="153" s="1"/>
  <c r="AF119" i="153"/>
  <c r="AF61" i="153"/>
  <c r="AX65" i="155"/>
  <c r="AX62" i="155"/>
  <c r="AX126" i="155"/>
  <c r="AX127" i="155" s="1"/>
  <c r="BP72" i="154"/>
  <c r="BP77" i="154"/>
  <c r="BP142" i="154" s="1"/>
  <c r="BP136" i="154"/>
  <c r="BP137" i="154" s="1"/>
  <c r="BP119" i="155"/>
  <c r="BP61" i="155"/>
  <c r="BO61" i="153"/>
  <c r="BO119" i="153"/>
  <c r="V77" i="155"/>
  <c r="V142" i="155" s="1"/>
  <c r="V72" i="155"/>
  <c r="V136" i="155"/>
  <c r="V137" i="155" s="1"/>
  <c r="BA92" i="153"/>
  <c r="BA93" i="153" s="1"/>
  <c r="BA28" i="153"/>
  <c r="BA39" i="153"/>
  <c r="BE92" i="153"/>
  <c r="BE93" i="153" s="1"/>
  <c r="BE39" i="153"/>
  <c r="BE28" i="153"/>
  <c r="N84" i="155"/>
  <c r="P19" i="155"/>
  <c r="AT54" i="153"/>
  <c r="AT40" i="153"/>
  <c r="AT104" i="153"/>
  <c r="AT105" i="153" s="1"/>
  <c r="AV40" i="153"/>
  <c r="AV104" i="153"/>
  <c r="AV105" i="153" s="1"/>
  <c r="AV54" i="153"/>
  <c r="AD72" i="155"/>
  <c r="AD136" i="155"/>
  <c r="AD137" i="155" s="1"/>
  <c r="AD77" i="155"/>
  <c r="AD142" i="155" s="1"/>
  <c r="W66" i="153"/>
  <c r="W130" i="153"/>
  <c r="W131" i="153" s="1"/>
  <c r="W71" i="153"/>
  <c r="AS104" i="153"/>
  <c r="AS105" i="153" s="1"/>
  <c r="AS54" i="153"/>
  <c r="AS40" i="153"/>
  <c r="AN104" i="153"/>
  <c r="AN105" i="153" s="1"/>
  <c r="AN54" i="153"/>
  <c r="AN40" i="153"/>
  <c r="AS66" i="155"/>
  <c r="AS130" i="155"/>
  <c r="AS131" i="155" s="1"/>
  <c r="AS71" i="155"/>
  <c r="BM119" i="153"/>
  <c r="BM61" i="153"/>
  <c r="AU54" i="153"/>
  <c r="AU104" i="153"/>
  <c r="AU105" i="153" s="1"/>
  <c r="AU40" i="153"/>
  <c r="AJ66" i="155"/>
  <c r="AJ71" i="155"/>
  <c r="AJ130" i="155"/>
  <c r="AJ131" i="155" s="1"/>
  <c r="AH119" i="153"/>
  <c r="AH61" i="153"/>
  <c r="M104" i="155"/>
  <c r="M105" i="155" s="1"/>
  <c r="M40" i="155"/>
  <c r="BH92" i="153"/>
  <c r="BH93" i="153" s="1"/>
  <c r="BH39" i="153"/>
  <c r="BH28" i="153"/>
  <c r="P69" i="155"/>
  <c r="N134" i="155"/>
  <c r="P134" i="155" s="1"/>
  <c r="BB92" i="153"/>
  <c r="BB93" i="153" s="1"/>
  <c r="M27" i="153"/>
  <c r="BB39" i="153"/>
  <c r="BB28" i="153"/>
  <c r="AP66" i="155"/>
  <c r="AP130" i="155"/>
  <c r="AP131" i="155" s="1"/>
  <c r="AP71" i="155"/>
  <c r="AV71" i="155"/>
  <c r="AV66" i="155"/>
  <c r="AV130" i="155"/>
  <c r="AV131" i="155" s="1"/>
  <c r="AN66" i="155"/>
  <c r="AN71" i="155"/>
  <c r="AN130" i="155"/>
  <c r="AN131" i="155" s="1"/>
  <c r="BS104" i="155"/>
  <c r="BS105" i="155" s="1"/>
  <c r="BS40" i="155"/>
  <c r="BS54" i="155"/>
  <c r="BT72" i="154"/>
  <c r="BT136" i="154"/>
  <c r="BT137" i="154" s="1"/>
  <c r="BT77" i="154"/>
  <c r="BT142" i="154" s="1"/>
  <c r="AQ104" i="153"/>
  <c r="AQ105" i="153" s="1"/>
  <c r="AQ54" i="153"/>
  <c r="AQ40" i="153"/>
  <c r="BH65" i="155"/>
  <c r="BH62" i="155"/>
  <c r="BH126" i="155"/>
  <c r="BH127" i="155" s="1"/>
  <c r="BS61" i="153"/>
  <c r="BS119" i="153"/>
  <c r="BP119" i="153"/>
  <c r="BP61" i="153"/>
  <c r="BY104" i="153"/>
  <c r="BY105" i="153" s="1"/>
  <c r="BY54" i="153"/>
  <c r="BY40" i="153"/>
  <c r="BR61" i="153"/>
  <c r="BR119" i="153"/>
  <c r="N84" i="153"/>
  <c r="P19" i="153"/>
  <c r="N146" i="153"/>
  <c r="BF92" i="153"/>
  <c r="BF93" i="153" s="1"/>
  <c r="BF39" i="153"/>
  <c r="BF28" i="153"/>
  <c r="AM71" i="155"/>
  <c r="AM66" i="155"/>
  <c r="AM130" i="155"/>
  <c r="AM131" i="155" s="1"/>
  <c r="AK126" i="153"/>
  <c r="AK127" i="153" s="1"/>
  <c r="AK65" i="153"/>
  <c r="AK62" i="153"/>
  <c r="M71" i="154"/>
  <c r="M66" i="154"/>
  <c r="M130" i="154"/>
  <c r="M131" i="154" s="1"/>
  <c r="AL104" i="153"/>
  <c r="AL105" i="153" s="1"/>
  <c r="AL40" i="153"/>
  <c r="AL54" i="153"/>
  <c r="BJ119" i="155"/>
  <c r="BJ61" i="155"/>
  <c r="BD65" i="155"/>
  <c r="BD126" i="155"/>
  <c r="BD127" i="155" s="1"/>
  <c r="BD62" i="155"/>
  <c r="AW66" i="155"/>
  <c r="AW130" i="155"/>
  <c r="AW131" i="155" s="1"/>
  <c r="AW71" i="155"/>
  <c r="BJ119" i="153"/>
  <c r="BJ61" i="153"/>
  <c r="AP104" i="153"/>
  <c r="AP105" i="153" s="1"/>
  <c r="AP40" i="153"/>
  <c r="AP54" i="153"/>
  <c r="BR119" i="155"/>
  <c r="BR61" i="155"/>
  <c r="R71" i="153"/>
  <c r="R66" i="153"/>
  <c r="R130" i="153"/>
  <c r="R131" i="153" s="1"/>
  <c r="N101" i="155"/>
  <c r="N37" i="155"/>
  <c r="P37" i="155" s="1"/>
  <c r="P36" i="155"/>
  <c r="BQ119" i="153"/>
  <c r="BQ61" i="153"/>
  <c r="BW71" i="154"/>
  <c r="BW66" i="154"/>
  <c r="BW130" i="154"/>
  <c r="BW131" i="154" s="1"/>
  <c r="AK77" i="155"/>
  <c r="AK142" i="155" s="1"/>
  <c r="AK72" i="155"/>
  <c r="AK136" i="155"/>
  <c r="AK137" i="155" s="1"/>
  <c r="P65" i="154"/>
  <c r="N66" i="154"/>
  <c r="P66" i="154" s="1"/>
  <c r="N71" i="154"/>
  <c r="N130" i="154"/>
  <c r="BW104" i="153"/>
  <c r="BW105" i="153" s="1"/>
  <c r="BW54" i="153"/>
  <c r="BW40" i="153"/>
  <c r="BC92" i="153"/>
  <c r="BC93" i="153" s="1"/>
  <c r="BC39" i="153"/>
  <c r="BC28" i="153"/>
  <c r="Y65" i="153"/>
  <c r="Y126" i="153"/>
  <c r="Y127" i="153" s="1"/>
  <c r="Y62" i="153"/>
  <c r="AB119" i="153"/>
  <c r="AB61" i="153"/>
  <c r="N39" i="153"/>
  <c r="BG65" i="155"/>
  <c r="BG62" i="155"/>
  <c r="BG126" i="155"/>
  <c r="BG127" i="155" s="1"/>
  <c r="BX54" i="155"/>
  <c r="BX104" i="155"/>
  <c r="BX105" i="155" s="1"/>
  <c r="BX40" i="155"/>
  <c r="BK119" i="155"/>
  <c r="BK61" i="155"/>
  <c r="AI65" i="153"/>
  <c r="AI62" i="153"/>
  <c r="AI126" i="153"/>
  <c r="AI127" i="153" s="1"/>
  <c r="BC65" i="155"/>
  <c r="BC126" i="155"/>
  <c r="BC127" i="155" s="1"/>
  <c r="BC62" i="155"/>
  <c r="AR66" i="155"/>
  <c r="AR71" i="155"/>
  <c r="AR130" i="155"/>
  <c r="AR131" i="155" s="1"/>
  <c r="BI65" i="155"/>
  <c r="BI62" i="155"/>
  <c r="BI126" i="155"/>
  <c r="BI127" i="155" s="1"/>
  <c r="AG72" i="155"/>
  <c r="AG77" i="155"/>
  <c r="AG142" i="155" s="1"/>
  <c r="AG136" i="155"/>
  <c r="AG137" i="155" s="1"/>
  <c r="M101" i="153"/>
  <c r="M102" i="153" s="1"/>
  <c r="M37" i="153"/>
  <c r="BT119" i="155"/>
  <c r="BT61" i="155"/>
  <c r="AF72" i="155"/>
  <c r="AF77" i="155"/>
  <c r="AF142" i="155" s="1"/>
  <c r="AF136" i="155"/>
  <c r="AF137" i="155" s="1"/>
  <c r="BA61" i="155"/>
  <c r="L61" i="155" s="1"/>
  <c r="BA119" i="155"/>
  <c r="AT66" i="155"/>
  <c r="AT71" i="155"/>
  <c r="AT130" i="155"/>
  <c r="AT131" i="155" s="1"/>
  <c r="Z72" i="155"/>
  <c r="Z136" i="155"/>
  <c r="Z137" i="155" s="1"/>
  <c r="Z77" i="155"/>
  <c r="Z142" i="155" s="1"/>
  <c r="AH77" i="155"/>
  <c r="AH142" i="155" s="1"/>
  <c r="AH72" i="155"/>
  <c r="AH136" i="155"/>
  <c r="AH137" i="155" s="1"/>
  <c r="N39" i="155"/>
  <c r="BI92" i="153"/>
  <c r="BI93" i="153" s="1"/>
  <c r="BI39" i="153"/>
  <c r="BI28" i="153"/>
  <c r="AE72" i="155"/>
  <c r="AE136" i="155"/>
  <c r="AE137" i="155" s="1"/>
  <c r="AE77" i="155"/>
  <c r="AE142" i="155" s="1"/>
  <c r="BN119" i="153"/>
  <c r="BN61" i="153"/>
  <c r="N28" i="155"/>
  <c r="P28" i="155" s="1"/>
  <c r="P27" i="155"/>
  <c r="N92" i="155"/>
  <c r="AC72" i="155"/>
  <c r="AC77" i="155"/>
  <c r="AC142" i="155" s="1"/>
  <c r="AC136" i="155"/>
  <c r="AC137" i="155" s="1"/>
  <c r="AR104" i="153"/>
  <c r="AR105" i="153" s="1"/>
  <c r="AR40" i="153"/>
  <c r="AR54" i="153"/>
  <c r="BG92" i="153"/>
  <c r="BG93" i="153" s="1"/>
  <c r="BG39" i="153"/>
  <c r="BG28" i="153"/>
  <c r="L101" i="153"/>
  <c r="L102" i="153" s="1"/>
  <c r="L37" i="153"/>
  <c r="AX92" i="153"/>
  <c r="AX93" i="153" s="1"/>
  <c r="AX39" i="153"/>
  <c r="AX28" i="153"/>
  <c r="J71" i="155"/>
  <c r="J130" i="155"/>
  <c r="J131" i="155" s="1"/>
  <c r="J66" i="155"/>
  <c r="BL77" i="154"/>
  <c r="BL142" i="154" s="1"/>
  <c r="BL72" i="154"/>
  <c r="BL136" i="154"/>
  <c r="BL137" i="154" s="1"/>
  <c r="BE62" i="155"/>
  <c r="BE65" i="155"/>
  <c r="BE126" i="155"/>
  <c r="BE127" i="155" s="1"/>
  <c r="BR77" i="154"/>
  <c r="BR142" i="154" s="1"/>
  <c r="BR72" i="154"/>
  <c r="BR136" i="154"/>
  <c r="BR137" i="154" s="1"/>
  <c r="AZ92" i="153"/>
  <c r="AZ93" i="153" s="1"/>
  <c r="AZ28" i="153"/>
  <c r="AZ39" i="153"/>
  <c r="W77" i="155"/>
  <c r="W142" i="155" s="1"/>
  <c r="W136" i="155"/>
  <c r="W137" i="155" s="1"/>
  <c r="W72" i="155"/>
  <c r="BN119" i="155"/>
  <c r="BN61" i="155"/>
  <c r="BO119" i="155"/>
  <c r="BO61" i="155"/>
  <c r="AQ66" i="155"/>
  <c r="AQ130" i="155"/>
  <c r="AQ131" i="155" s="1"/>
  <c r="AQ71" i="155"/>
  <c r="AI77" i="155"/>
  <c r="AI142" i="155" s="1"/>
  <c r="AI72" i="155"/>
  <c r="AI136" i="155"/>
  <c r="AI137" i="155" s="1"/>
  <c r="V71" i="153"/>
  <c r="V66" i="153"/>
  <c r="V130" i="153"/>
  <c r="V131" i="153" s="1"/>
  <c r="J104" i="153"/>
  <c r="J105" i="153" s="1"/>
  <c r="J40" i="153"/>
  <c r="AZ65" i="155"/>
  <c r="AZ126" i="155"/>
  <c r="AZ127" i="155" s="1"/>
  <c r="AZ62" i="155"/>
  <c r="BU119" i="153"/>
  <c r="BU61" i="153"/>
  <c r="BL61" i="155"/>
  <c r="BL119" i="155"/>
  <c r="T71" i="153"/>
  <c r="T130" i="153"/>
  <c r="T131" i="153" s="1"/>
  <c r="T66" i="153"/>
  <c r="AU65" i="155"/>
  <c r="AU62" i="155"/>
  <c r="AU126" i="155"/>
  <c r="AU127" i="155" s="1"/>
  <c r="BS72" i="154"/>
  <c r="BS77" i="154"/>
  <c r="BS142" i="154" s="1"/>
  <c r="BS136" i="154"/>
  <c r="BS137" i="154" s="1"/>
  <c r="AY92" i="153"/>
  <c r="AY93" i="153" s="1"/>
  <c r="AY39" i="153"/>
  <c r="AY28" i="153"/>
  <c r="AW104" i="153"/>
  <c r="AW105" i="153" s="1"/>
  <c r="AW54" i="153"/>
  <c r="AW40" i="153"/>
  <c r="BT119" i="153"/>
  <c r="BT61" i="153"/>
  <c r="AO104" i="153"/>
  <c r="AO105" i="153" s="1"/>
  <c r="AO54" i="153"/>
  <c r="AO40" i="153"/>
  <c r="BB65" i="155"/>
  <c r="BB126" i="155"/>
  <c r="BB127" i="155" s="1"/>
  <c r="BB62" i="155"/>
  <c r="BK119" i="153"/>
  <c r="BK61" i="153"/>
  <c r="AB72" i="155"/>
  <c r="AB77" i="155"/>
  <c r="AB142" i="155" s="1"/>
  <c r="AB136" i="155"/>
  <c r="AB137" i="155" s="1"/>
  <c r="Y77" i="155"/>
  <c r="Y142" i="155" s="1"/>
  <c r="Y72" i="155"/>
  <c r="Y136" i="155"/>
  <c r="Y137" i="155" s="1"/>
  <c r="N92" i="153"/>
  <c r="P27" i="153"/>
  <c r="N28" i="153"/>
  <c r="P28" i="153" s="1"/>
  <c r="BV104" i="153"/>
  <c r="BV105" i="153" s="1"/>
  <c r="BV54" i="153"/>
  <c r="BV40" i="153"/>
  <c r="BD92" i="153"/>
  <c r="BD93" i="153" s="1"/>
  <c r="BD39" i="153"/>
  <c r="BD28" i="153"/>
  <c r="AG119" i="153"/>
  <c r="AG61" i="153"/>
  <c r="J54" i="153"/>
  <c r="J119" i="153" s="1"/>
  <c r="BO147" i="103"/>
  <c r="BO25" i="103"/>
  <c r="BO27" i="103" s="1"/>
  <c r="BO28" i="103" s="1"/>
  <c r="AS101" i="104"/>
  <c r="AS102" i="104" s="1"/>
  <c r="AS37" i="99"/>
  <c r="BN23" i="105"/>
  <c r="AW88" i="105"/>
  <c r="AP69" i="105"/>
  <c r="AK34" i="151" s="1"/>
  <c r="O69" i="105"/>
  <c r="J34" i="151" s="1"/>
  <c r="BQ24" i="105"/>
  <c r="BF91" i="104"/>
  <c r="BF26" i="104" s="1"/>
  <c r="BF91" i="103"/>
  <c r="BF26" i="103" s="1"/>
  <c r="BU89" i="103"/>
  <c r="BU24" i="103" s="1"/>
  <c r="BY91" i="104"/>
  <c r="BY26" i="104" s="1"/>
  <c r="CD26" i="105" s="1"/>
  <c r="BO90" i="104"/>
  <c r="BO25" i="104" s="1"/>
  <c r="P85" i="105"/>
  <c r="BS86" i="105"/>
  <c r="BO90" i="99"/>
  <c r="BO27" i="99"/>
  <c r="BO92" i="103" s="1"/>
  <c r="BO93" i="103" s="1"/>
  <c r="BG89" i="104"/>
  <c r="BG24" i="104" s="1"/>
  <c r="J101" i="104"/>
  <c r="J102" i="104" s="1"/>
  <c r="BQ88" i="104"/>
  <c r="BQ23" i="104" s="1"/>
  <c r="BG89" i="103"/>
  <c r="BG24" i="103" s="1"/>
  <c r="BE88" i="99"/>
  <c r="BT85" i="105"/>
  <c r="AX69" i="105"/>
  <c r="AS34" i="151" s="1"/>
  <c r="AW85" i="105"/>
  <c r="O95" i="105"/>
  <c r="R102" i="105"/>
  <c r="O84" i="105"/>
  <c r="P94" i="105"/>
  <c r="P96" i="105"/>
  <c r="P92" i="105"/>
  <c r="P93" i="105"/>
  <c r="BU89" i="104"/>
  <c r="BU24" i="104" s="1"/>
  <c r="BM90" i="99"/>
  <c r="O81" i="105"/>
  <c r="AQ69" i="105"/>
  <c r="AL34" i="151" s="1"/>
  <c r="AS69" i="105"/>
  <c r="AN34" i="151" s="1"/>
  <c r="AN69" i="105"/>
  <c r="AI34" i="151" s="1"/>
  <c r="AM69" i="105"/>
  <c r="AH34" i="151" s="1"/>
  <c r="AR69" i="105"/>
  <c r="AM34" i="151" s="1"/>
  <c r="AY69" i="105"/>
  <c r="AT34" i="151" s="1"/>
  <c r="O68" i="105"/>
  <c r="J33" i="151" s="1"/>
  <c r="AT69" i="105"/>
  <c r="AO34" i="151" s="1"/>
  <c r="AV69" i="105"/>
  <c r="AQ34" i="151" s="1"/>
  <c r="AR69" i="103"/>
  <c r="AW69" i="105" s="1"/>
  <c r="AR34" i="151" s="1"/>
  <c r="BE88" i="103"/>
  <c r="BE23" i="103" s="1"/>
  <c r="BJ23" i="105" s="1"/>
  <c r="Y39" i="105"/>
  <c r="BY91" i="99"/>
  <c r="BD89" i="99"/>
  <c r="BD89" i="103"/>
  <c r="BD24" i="103" s="1"/>
  <c r="BI24" i="105" s="1"/>
  <c r="BH134" i="103"/>
  <c r="BH69" i="103" s="1"/>
  <c r="BX91" i="99"/>
  <c r="BX91" i="104"/>
  <c r="BX26" i="104" s="1"/>
  <c r="CC26" i="105" s="1"/>
  <c r="BN134" i="104"/>
  <c r="BN69" i="104" s="1"/>
  <c r="BQ88" i="103"/>
  <c r="BQ23" i="103" s="1"/>
  <c r="J39" i="99"/>
  <c r="J40" i="99" s="1"/>
  <c r="BS415" i="99"/>
  <c r="BS418" i="99" s="1"/>
  <c r="BF415" i="99"/>
  <c r="BF454" i="99" s="1" a="1"/>
  <c r="BF454" i="99" s="1"/>
  <c r="BF457" i="99" s="1"/>
  <c r="BF69" i="99" s="1"/>
  <c r="BF134" i="99" s="1"/>
  <c r="BE415" i="99"/>
  <c r="BW257" i="99"/>
  <c r="BW260" i="99" s="1"/>
  <c r="BW23" i="99" s="1"/>
  <c r="BW88" i="99" s="1"/>
  <c r="BY412" i="99"/>
  <c r="BY451" i="99" s="1" a="1"/>
  <c r="BY451" i="99" s="1"/>
  <c r="BY457" i="99" s="1"/>
  <c r="BY69" i="99" s="1"/>
  <c r="BY134" i="99" s="1"/>
  <c r="BD415" i="99"/>
  <c r="BR273" i="99"/>
  <c r="BR276" i="99" s="1"/>
  <c r="BR26" i="99" s="1"/>
  <c r="BR91" i="99" s="1"/>
  <c r="BT415" i="99"/>
  <c r="BX412" i="99"/>
  <c r="BX451" i="99" s="1" a="1"/>
  <c r="BX451" i="99" s="1"/>
  <c r="BX457" i="99" s="1"/>
  <c r="BX69" i="99" s="1"/>
  <c r="BX134" i="99" s="1"/>
  <c r="BP257" i="99"/>
  <c r="BP260" i="99" s="1"/>
  <c r="BP23" i="99" s="1"/>
  <c r="BP88" i="99" s="1"/>
  <c r="BG415" i="99"/>
  <c r="BV415" i="99"/>
  <c r="BU415" i="99"/>
  <c r="BM90" i="104"/>
  <c r="BM25" i="104" s="1"/>
  <c r="Z39" i="105"/>
  <c r="Z28" i="105"/>
  <c r="BM27" i="99"/>
  <c r="BM92" i="103" s="1"/>
  <c r="BM93" i="103" s="1"/>
  <c r="AE126" i="105"/>
  <c r="BC93" i="105"/>
  <c r="AF126" i="105"/>
  <c r="AD27" i="105"/>
  <c r="AD28" i="105" s="1"/>
  <c r="AD87" i="105"/>
  <c r="BC92" i="105"/>
  <c r="BA85" i="105"/>
  <c r="AZ85" i="105"/>
  <c r="AV81" i="105"/>
  <c r="BM84" i="105"/>
  <c r="AB27" i="105"/>
  <c r="AB39" i="105" s="1"/>
  <c r="W22" i="151" s="1"/>
  <c r="AB87" i="105"/>
  <c r="BT92" i="105"/>
  <c r="BD96" i="105"/>
  <c r="BB85" i="105"/>
  <c r="AO36" i="105"/>
  <c r="AO95" i="105"/>
  <c r="AQ81" i="105"/>
  <c r="AW81" i="105"/>
  <c r="AZ88" i="105"/>
  <c r="BS92" i="105"/>
  <c r="BG92" i="105"/>
  <c r="BC94" i="105"/>
  <c r="AG126" i="105"/>
  <c r="BG85" i="105"/>
  <c r="BT81" i="105"/>
  <c r="AU84" i="105"/>
  <c r="BC88" i="105"/>
  <c r="BB96" i="105"/>
  <c r="BH96" i="105"/>
  <c r="AB37" i="105"/>
  <c r="AB97" i="105"/>
  <c r="Y37" i="105"/>
  <c r="Y97" i="105"/>
  <c r="AR36" i="105"/>
  <c r="AR95" i="105"/>
  <c r="AP84" i="105"/>
  <c r="AH126" i="105"/>
  <c r="AZ94" i="105"/>
  <c r="BD93" i="105"/>
  <c r="AN36" i="105"/>
  <c r="AN95" i="105"/>
  <c r="BH93" i="105"/>
  <c r="BA94" i="105"/>
  <c r="BB88" i="105"/>
  <c r="BR86" i="105"/>
  <c r="BM94" i="105"/>
  <c r="AD37" i="105"/>
  <c r="AD97" i="105"/>
  <c r="AA37" i="105"/>
  <c r="AA97" i="105"/>
  <c r="AO81" i="105"/>
  <c r="BR81" i="105"/>
  <c r="BE86" i="105"/>
  <c r="AO126" i="105"/>
  <c r="BE85" i="105"/>
  <c r="BE93" i="105"/>
  <c r="AY94" i="105"/>
  <c r="BP94" i="105"/>
  <c r="BU102" i="105"/>
  <c r="AL37" i="105"/>
  <c r="AL97" i="105"/>
  <c r="BM92" i="105"/>
  <c r="BC86" i="105"/>
  <c r="AR84" i="105"/>
  <c r="AM84" i="105"/>
  <c r="BC96" i="105"/>
  <c r="AV36" i="105"/>
  <c r="AV95" i="105"/>
  <c r="AG37" i="105"/>
  <c r="AG97" i="105"/>
  <c r="AZ86" i="105"/>
  <c r="AV84" i="105"/>
  <c r="AH27" i="105"/>
  <c r="AH28" i="105" s="1"/>
  <c r="AH87" i="105"/>
  <c r="BG96" i="105"/>
  <c r="AM81" i="105"/>
  <c r="AP86" i="105"/>
  <c r="P86" i="105" s="1"/>
  <c r="BF85" i="105"/>
  <c r="BA88" i="105"/>
  <c r="AK126" i="105"/>
  <c r="AW36" i="105"/>
  <c r="AW95" i="105"/>
  <c r="BE96" i="105"/>
  <c r="AY93" i="105"/>
  <c r="AJ37" i="105"/>
  <c r="AJ97" i="105"/>
  <c r="AH37" i="105"/>
  <c r="AH97" i="105"/>
  <c r="BB93" i="105"/>
  <c r="BN86" i="105"/>
  <c r="Y28" i="105"/>
  <c r="Y89" i="105"/>
  <c r="AX84" i="105"/>
  <c r="AO84" i="105"/>
  <c r="AD126" i="105"/>
  <c r="AS36" i="105"/>
  <c r="AS95" i="105"/>
  <c r="AN81" i="105"/>
  <c r="BF88" i="105"/>
  <c r="BH88" i="105"/>
  <c r="AE27" i="105"/>
  <c r="AE89" i="105" s="1"/>
  <c r="AE87" i="105"/>
  <c r="BA96" i="105"/>
  <c r="BA93" i="105"/>
  <c r="AQ36" i="105"/>
  <c r="AQ95" i="105"/>
  <c r="BM96" i="105"/>
  <c r="AX86" i="105"/>
  <c r="AL126" i="105"/>
  <c r="BN92" i="105"/>
  <c r="BB92" i="105"/>
  <c r="AP36" i="105"/>
  <c r="AP95" i="105"/>
  <c r="BT94" i="105"/>
  <c r="R45" i="105"/>
  <c r="M23" i="151" s="1"/>
  <c r="BD92" i="105"/>
  <c r="AQ84" i="105"/>
  <c r="AA126" i="105"/>
  <c r="BH94" i="105"/>
  <c r="AG27" i="105"/>
  <c r="AG39" i="105" s="1"/>
  <c r="AB22" i="151" s="1"/>
  <c r="AG87" i="105"/>
  <c r="AF27" i="105"/>
  <c r="AF39" i="105" s="1"/>
  <c r="AA22" i="151" s="1"/>
  <c r="AF87" i="105"/>
  <c r="AT36" i="105"/>
  <c r="AT95" i="105"/>
  <c r="BP85" i="105"/>
  <c r="AI126" i="105"/>
  <c r="AN84" i="105"/>
  <c r="BF96" i="105"/>
  <c r="AY92" i="105"/>
  <c r="BB94" i="105"/>
  <c r="BO88" i="105"/>
  <c r="CB102" i="105"/>
  <c r="X28" i="105"/>
  <c r="X89" i="105"/>
  <c r="AS81" i="105"/>
  <c r="BE94" i="105"/>
  <c r="AJ27" i="105"/>
  <c r="AJ39" i="105" s="1"/>
  <c r="AE22" i="151" s="1"/>
  <c r="AJ87" i="105"/>
  <c r="X54" i="105"/>
  <c r="X99" i="105"/>
  <c r="BQ93" i="105"/>
  <c r="BW102" i="105"/>
  <c r="AR81" i="105"/>
  <c r="AP81" i="105"/>
  <c r="BD85" i="105"/>
  <c r="BF94" i="105"/>
  <c r="AI27" i="105"/>
  <c r="AI39" i="105" s="1"/>
  <c r="AD22" i="151" s="1"/>
  <c r="AI87" i="105"/>
  <c r="BF93" i="105"/>
  <c r="AX36" i="105"/>
  <c r="AX95" i="105"/>
  <c r="BR92" i="105"/>
  <c r="AT84" i="105"/>
  <c r="AU81" i="105"/>
  <c r="AT88" i="105"/>
  <c r="P88" i="105" s="1"/>
  <c r="AY85" i="105"/>
  <c r="AC126" i="105"/>
  <c r="BA92" i="105"/>
  <c r="AA27" i="105"/>
  <c r="AA89" i="105" s="1"/>
  <c r="AA87" i="105"/>
  <c r="AM36" i="105"/>
  <c r="AM95" i="105"/>
  <c r="BH92" i="105"/>
  <c r="W28" i="105"/>
  <c r="W89" i="105"/>
  <c r="BR93" i="105"/>
  <c r="BC85" i="105"/>
  <c r="BH85" i="105"/>
  <c r="AZ92" i="105"/>
  <c r="BG94" i="105"/>
  <c r="BE92" i="105"/>
  <c r="BS94" i="105"/>
  <c r="AE37" i="105"/>
  <c r="AE97" i="105"/>
  <c r="AT81" i="105"/>
  <c r="AY88" i="105"/>
  <c r="AK27" i="105"/>
  <c r="AK89" i="105" s="1"/>
  <c r="AK87" i="105"/>
  <c r="AU126" i="105"/>
  <c r="AS84" i="105"/>
  <c r="AJ126" i="105"/>
  <c r="BD94" i="105"/>
  <c r="AL27" i="105"/>
  <c r="AL28" i="105" s="1"/>
  <c r="AL87" i="105"/>
  <c r="AU36" i="105"/>
  <c r="AU95" i="105"/>
  <c r="AZ93" i="105"/>
  <c r="BQ88" i="105"/>
  <c r="BO93" i="105"/>
  <c r="AW86" i="105"/>
  <c r="BM86" i="105"/>
  <c r="AF37" i="105"/>
  <c r="AF97" i="105"/>
  <c r="AC37" i="105"/>
  <c r="AC97" i="105"/>
  <c r="BG93" i="105"/>
  <c r="BM85" i="105"/>
  <c r="BS88" i="105"/>
  <c r="BD88" i="105"/>
  <c r="AW84" i="105"/>
  <c r="AZ96" i="105"/>
  <c r="BR96" i="105"/>
  <c r="AI37" i="105"/>
  <c r="AI97" i="105"/>
  <c r="AK37" i="105"/>
  <c r="AK97" i="105"/>
  <c r="AX81" i="105"/>
  <c r="BG86" i="105"/>
  <c r="AC27" i="105"/>
  <c r="AC39" i="105" s="1"/>
  <c r="X22" i="151" s="1"/>
  <c r="AC87" i="105"/>
  <c r="AY96" i="105"/>
  <c r="BF92" i="105"/>
  <c r="BN94" i="105"/>
  <c r="BM134" i="104"/>
  <c r="BM69" i="104" s="1"/>
  <c r="BM134" i="103"/>
  <c r="BM69" i="103" s="1"/>
  <c r="BN149" i="104"/>
  <c r="BS19" i="105"/>
  <c r="BN147" i="104"/>
  <c r="AS39" i="103"/>
  <c r="AS40" i="103" s="1"/>
  <c r="BR34" i="105"/>
  <c r="BM19" i="105"/>
  <c r="BH147" i="104"/>
  <c r="BH150" i="104"/>
  <c r="BR22" i="105"/>
  <c r="BH148" i="104"/>
  <c r="BO146" i="103"/>
  <c r="BV97" i="104"/>
  <c r="BV32" i="104" s="1"/>
  <c r="BV97" i="103"/>
  <c r="BV32" i="103" s="1"/>
  <c r="BO134" i="104"/>
  <c r="BO69" i="104" s="1"/>
  <c r="BO134" i="103"/>
  <c r="BO69" i="103" s="1"/>
  <c r="BT91" i="103"/>
  <c r="BT26" i="103" s="1"/>
  <c r="BY26" i="105" s="1"/>
  <c r="BT91" i="99"/>
  <c r="BN134" i="103"/>
  <c r="BN69" i="103" s="1"/>
  <c r="N110" i="104"/>
  <c r="P110" i="104" s="1"/>
  <c r="BH134" i="104"/>
  <c r="BH69" i="104" s="1"/>
  <c r="BT98" i="103"/>
  <c r="BT33" i="103" s="1"/>
  <c r="BY33" i="105" s="1"/>
  <c r="BT98" i="99"/>
  <c r="BS91" i="104"/>
  <c r="BS26" i="104" s="1"/>
  <c r="BS91" i="103"/>
  <c r="BS26" i="103" s="1"/>
  <c r="P45" i="99"/>
  <c r="N110" i="99"/>
  <c r="P110" i="99" s="1"/>
  <c r="BP32" i="105"/>
  <c r="BS98" i="104"/>
  <c r="BS33" i="104" s="1"/>
  <c r="BX33" i="105" s="1"/>
  <c r="BU45" i="105"/>
  <c r="BS98" i="99"/>
  <c r="CB45" i="105"/>
  <c r="BP265" i="99"/>
  <c r="BP268" i="99" s="1"/>
  <c r="BP24" i="99" s="1"/>
  <c r="BP89" i="103" s="1"/>
  <c r="BP24" i="103" s="1"/>
  <c r="BF97" i="103"/>
  <c r="BF32" i="103" s="1"/>
  <c r="BK32" i="105" s="1"/>
  <c r="BW265" i="99"/>
  <c r="BW268" i="99" s="1"/>
  <c r="BW24" i="99" s="1"/>
  <c r="BW89" i="103" s="1"/>
  <c r="BW24" i="103" s="1"/>
  <c r="BF97" i="99"/>
  <c r="BE91" i="103"/>
  <c r="BE26" i="103" s="1"/>
  <c r="N45" i="104"/>
  <c r="P45" i="104" s="1"/>
  <c r="BE91" i="104"/>
  <c r="BE26" i="104" s="1"/>
  <c r="BJ35" i="105"/>
  <c r="BI35" i="105"/>
  <c r="BI457" i="99"/>
  <c r="BI69" i="99" s="1"/>
  <c r="BI134" i="99" s="1"/>
  <c r="BI418" i="99"/>
  <c r="BD98" i="99"/>
  <c r="BD98" i="104"/>
  <c r="BD33" i="104" s="1"/>
  <c r="BD98" i="103"/>
  <c r="BD33" i="103" s="1"/>
  <c r="BF88" i="99"/>
  <c r="BF88" i="103"/>
  <c r="BF23" i="103" s="1"/>
  <c r="BF88" i="104"/>
  <c r="BF23" i="104" s="1"/>
  <c r="S43" i="105"/>
  <c r="BD88" i="104"/>
  <c r="BD23" i="104" s="1"/>
  <c r="BD88" i="103"/>
  <c r="BD23" i="103" s="1"/>
  <c r="M35" i="99"/>
  <c r="M100" i="103" s="1"/>
  <c r="M26" i="99"/>
  <c r="M91" i="103" s="1"/>
  <c r="BR317" i="99"/>
  <c r="BR320" i="99" s="1"/>
  <c r="BR35" i="99" s="1"/>
  <c r="BR100" i="103" s="1"/>
  <c r="BR35" i="103" s="1"/>
  <c r="BW309" i="99"/>
  <c r="BW312" i="99" s="1"/>
  <c r="BW33" i="99" s="1"/>
  <c r="M24" i="99"/>
  <c r="M89" i="103" s="1"/>
  <c r="BP98" i="99"/>
  <c r="BP98" i="103"/>
  <c r="BP33" i="103" s="1"/>
  <c r="BP98" i="104"/>
  <c r="BP33" i="104" s="1"/>
  <c r="BW97" i="103"/>
  <c r="BW32" i="103" s="1"/>
  <c r="BW97" i="99"/>
  <c r="BW97" i="104"/>
  <c r="BW32" i="104" s="1"/>
  <c r="BW273" i="99"/>
  <c r="BW276" i="99" s="1"/>
  <c r="BW26" i="99" s="1"/>
  <c r="BW466" i="99"/>
  <c r="BW252" i="99"/>
  <c r="BW45" i="105"/>
  <c r="BE98" i="103"/>
  <c r="BE33" i="103" s="1"/>
  <c r="BE98" i="104"/>
  <c r="BE33" i="104" s="1"/>
  <c r="BE98" i="99"/>
  <c r="BP301" i="99"/>
  <c r="BP304" i="99" s="1"/>
  <c r="BP32" i="99" s="1"/>
  <c r="N32" i="99" s="1"/>
  <c r="N97" i="103" s="1"/>
  <c r="P97" i="103" s="1"/>
  <c r="BR265" i="99"/>
  <c r="BR268" i="99" s="1"/>
  <c r="BR24" i="99" s="1"/>
  <c r="BR257" i="99"/>
  <c r="BR260" i="99" s="1"/>
  <c r="BR23" i="99" s="1"/>
  <c r="BR466" i="99"/>
  <c r="BR252" i="99"/>
  <c r="BF469" i="99"/>
  <c r="BF19" i="99" s="1"/>
  <c r="BF147" i="99" s="1"/>
  <c r="BF278" i="99"/>
  <c r="BF22" i="99"/>
  <c r="BP317" i="99"/>
  <c r="BP320" i="99" s="1"/>
  <c r="BP35" i="99" s="1"/>
  <c r="BP296" i="99"/>
  <c r="BN26" i="105"/>
  <c r="BR97" i="99"/>
  <c r="BR97" i="103"/>
  <c r="BR32" i="103" s="1"/>
  <c r="BR97" i="104"/>
  <c r="BR32" i="104" s="1"/>
  <c r="BN88" i="99"/>
  <c r="BN88" i="104"/>
  <c r="BN23" i="104" s="1"/>
  <c r="BN148" i="104" s="1"/>
  <c r="BN88" i="103"/>
  <c r="BN23" i="103" s="1"/>
  <c r="BN147" i="103" s="1"/>
  <c r="BN146" i="99"/>
  <c r="BN25" i="99"/>
  <c r="BR309" i="99"/>
  <c r="BR312" i="99" s="1"/>
  <c r="BR33" i="99" s="1"/>
  <c r="BR296" i="99"/>
  <c r="BD22" i="99"/>
  <c r="BD278" i="99"/>
  <c r="BD469" i="99"/>
  <c r="BD19" i="99" s="1"/>
  <c r="BF89" i="99"/>
  <c r="BF89" i="103"/>
  <c r="BF24" i="103" s="1"/>
  <c r="BF89" i="104"/>
  <c r="BF24" i="104" s="1"/>
  <c r="BF31" i="99"/>
  <c r="BF322" i="99"/>
  <c r="BD91" i="104"/>
  <c r="BD26" i="104" s="1"/>
  <c r="BD91" i="99"/>
  <c r="BD91" i="103"/>
  <c r="BD26" i="103" s="1"/>
  <c r="BP273" i="99"/>
  <c r="BP276" i="99" s="1"/>
  <c r="BP26" i="99" s="1"/>
  <c r="BP466" i="99"/>
  <c r="BP252" i="99"/>
  <c r="BI25" i="99"/>
  <c r="BI87" i="104"/>
  <c r="BI22" i="104" s="1"/>
  <c r="BI87" i="103"/>
  <c r="BI22" i="103" s="1"/>
  <c r="BI145" i="99"/>
  <c r="BI87" i="99"/>
  <c r="BW317" i="99"/>
  <c r="BW320" i="99" s="1"/>
  <c r="BW35" i="99" s="1"/>
  <c r="BW296" i="99"/>
  <c r="BE469" i="99"/>
  <c r="BE19" i="99" s="1"/>
  <c r="BE278" i="99"/>
  <c r="BE22" i="99"/>
  <c r="BE31" i="99"/>
  <c r="BE322" i="99"/>
  <c r="BF100" i="103"/>
  <c r="BF35" i="103" s="1"/>
  <c r="BF100" i="99"/>
  <c r="BF100" i="104"/>
  <c r="BF35" i="104" s="1"/>
  <c r="BI146" i="99"/>
  <c r="BI147" i="99"/>
  <c r="BI148" i="99"/>
  <c r="BI84" i="104"/>
  <c r="BI19" i="104" s="1"/>
  <c r="BI84" i="99"/>
  <c r="BI84" i="103"/>
  <c r="BI19" i="103" s="1"/>
  <c r="BE97" i="103"/>
  <c r="BE32" i="103" s="1"/>
  <c r="BE97" i="99"/>
  <c r="BE97" i="104"/>
  <c r="BE32" i="104" s="1"/>
  <c r="BD31" i="99"/>
  <c r="BD322" i="99"/>
  <c r="BE89" i="104"/>
  <c r="BE24" i="104" s="1"/>
  <c r="BE89" i="99"/>
  <c r="BE89" i="103"/>
  <c r="BE24" i="103" s="1"/>
  <c r="BD97" i="103"/>
  <c r="BD32" i="103" s="1"/>
  <c r="BD97" i="104"/>
  <c r="BD32" i="104" s="1"/>
  <c r="BD97" i="99"/>
  <c r="BK33" i="105"/>
  <c r="M32" i="99"/>
  <c r="BO24" i="105"/>
  <c r="BU97" i="104"/>
  <c r="BU32" i="104" s="1"/>
  <c r="BT89" i="104"/>
  <c r="BT24" i="104" s="1"/>
  <c r="BY24" i="105" s="1"/>
  <c r="BT89" i="99"/>
  <c r="BS97" i="99"/>
  <c r="BS97" i="104"/>
  <c r="BS32" i="104" s="1"/>
  <c r="BX32" i="105" s="1"/>
  <c r="BU97" i="103"/>
  <c r="BU32" i="103" s="1"/>
  <c r="BQ35" i="105"/>
  <c r="BP24" i="105"/>
  <c r="BV100" i="103"/>
  <c r="BV35" i="103" s="1"/>
  <c r="CA35" i="105" s="1"/>
  <c r="BP26" i="105"/>
  <c r="BG91" i="104"/>
  <c r="BG26" i="104" s="1"/>
  <c r="BG91" i="103"/>
  <c r="BG26" i="103" s="1"/>
  <c r="BZ35" i="105"/>
  <c r="BV100" i="99"/>
  <c r="BS89" i="103"/>
  <c r="BS24" i="103" s="1"/>
  <c r="BS89" i="104"/>
  <c r="BS24" i="104" s="1"/>
  <c r="BG100" i="104"/>
  <c r="BG35" i="104" s="1"/>
  <c r="BG100" i="103"/>
  <c r="BG35" i="103" s="1"/>
  <c r="BQ33" i="105"/>
  <c r="BO33" i="105"/>
  <c r="BG91" i="99"/>
  <c r="BQ23" i="105"/>
  <c r="BJ454" i="99" a="1"/>
  <c r="BJ454" i="99" s="1"/>
  <c r="BJ457" i="99" s="1"/>
  <c r="BJ69" i="99" s="1"/>
  <c r="BJ134" i="99" s="1"/>
  <c r="BJ418" i="99"/>
  <c r="BG100" i="99"/>
  <c r="BL454" i="99" a="1"/>
  <c r="BL454" i="99" s="1"/>
  <c r="BL457" i="99" s="1"/>
  <c r="BL69" i="99" s="1"/>
  <c r="BL134" i="99" s="1"/>
  <c r="BL418" i="99"/>
  <c r="BT31" i="99"/>
  <c r="BT322" i="99"/>
  <c r="BT100" i="103"/>
  <c r="BT35" i="103" s="1"/>
  <c r="BT100" i="104"/>
  <c r="BT35" i="104" s="1"/>
  <c r="BT100" i="99"/>
  <c r="BU88" i="99"/>
  <c r="BU88" i="103"/>
  <c r="BU23" i="103" s="1"/>
  <c r="BU88" i="104"/>
  <c r="BU23" i="104" s="1"/>
  <c r="BT22" i="99"/>
  <c r="BT278" i="99"/>
  <c r="BT469" i="99"/>
  <c r="BT19" i="99" s="1"/>
  <c r="BP35" i="105"/>
  <c r="BT97" i="103"/>
  <c r="BT32" i="103" s="1"/>
  <c r="BT97" i="99"/>
  <c r="BT97" i="104"/>
  <c r="BT32" i="104" s="1"/>
  <c r="BT88" i="104"/>
  <c r="BT23" i="104" s="1"/>
  <c r="BT88" i="99"/>
  <c r="BT88" i="103"/>
  <c r="BT23" i="103" s="1"/>
  <c r="BL84" i="103"/>
  <c r="BL19" i="103" s="1"/>
  <c r="BL146" i="99"/>
  <c r="BL84" i="99"/>
  <c r="BL148" i="99"/>
  <c r="BL84" i="104"/>
  <c r="BL19" i="104" s="1"/>
  <c r="BL147" i="99"/>
  <c r="BV91" i="99"/>
  <c r="BV91" i="104"/>
  <c r="BV26" i="104" s="1"/>
  <c r="BV91" i="103"/>
  <c r="BV26" i="103" s="1"/>
  <c r="BL145" i="99"/>
  <c r="BL87" i="104"/>
  <c r="BL22" i="104" s="1"/>
  <c r="BL87" i="99"/>
  <c r="BL87" i="103"/>
  <c r="BL22" i="103" s="1"/>
  <c r="BL25" i="99"/>
  <c r="BJ84" i="103"/>
  <c r="BJ19" i="103" s="1"/>
  <c r="BJ146" i="99"/>
  <c r="BJ148" i="99"/>
  <c r="BJ84" i="99"/>
  <c r="BJ147" i="99"/>
  <c r="BJ84" i="104"/>
  <c r="BJ19" i="104" s="1"/>
  <c r="BK454" i="99" a="1"/>
  <c r="BK454" i="99" s="1"/>
  <c r="BK457" i="99" s="1"/>
  <c r="BK69" i="99" s="1"/>
  <c r="BK134" i="99" s="1"/>
  <c r="BK418" i="99"/>
  <c r="BO35" i="105"/>
  <c r="BS469" i="99"/>
  <c r="BS19" i="99" s="1"/>
  <c r="BS146" i="99" s="1"/>
  <c r="BS278" i="99"/>
  <c r="BS22" i="99"/>
  <c r="BJ145" i="99"/>
  <c r="BJ87" i="104"/>
  <c r="BJ22" i="104" s="1"/>
  <c r="BJ87" i="103"/>
  <c r="BJ22" i="103" s="1"/>
  <c r="BJ87" i="99"/>
  <c r="BJ25" i="99"/>
  <c r="BV322" i="99"/>
  <c r="BV31" i="99"/>
  <c r="BL96" i="103"/>
  <c r="BL31" i="103" s="1"/>
  <c r="BL96" i="99"/>
  <c r="BL34" i="99"/>
  <c r="BL96" i="104"/>
  <c r="BL31" i="104" s="1"/>
  <c r="BV98" i="99"/>
  <c r="BV98" i="103"/>
  <c r="BV33" i="103" s="1"/>
  <c r="BV98" i="104"/>
  <c r="BV33" i="104" s="1"/>
  <c r="BJ96" i="103"/>
  <c r="BJ31" i="103" s="1"/>
  <c r="BJ34" i="103" s="1"/>
  <c r="BJ36" i="103" s="1"/>
  <c r="BJ37" i="103" s="1"/>
  <c r="BJ34" i="99"/>
  <c r="BJ96" i="99"/>
  <c r="BJ96" i="104"/>
  <c r="BJ31" i="104" s="1"/>
  <c r="BU31" i="99"/>
  <c r="BU322" i="99"/>
  <c r="BV278" i="99"/>
  <c r="BV22" i="99"/>
  <c r="BV469" i="99"/>
  <c r="BV19" i="99" s="1"/>
  <c r="BV148" i="99" s="1"/>
  <c r="BS31" i="99"/>
  <c r="BS322" i="99"/>
  <c r="BS88" i="99"/>
  <c r="BS88" i="103"/>
  <c r="BS23" i="103" s="1"/>
  <c r="BS88" i="104"/>
  <c r="BS23" i="104" s="1"/>
  <c r="BU98" i="103"/>
  <c r="BU33" i="103" s="1"/>
  <c r="BU98" i="99"/>
  <c r="BU98" i="104"/>
  <c r="BU33" i="104" s="1"/>
  <c r="BS100" i="99"/>
  <c r="BS100" i="103"/>
  <c r="BS35" i="103" s="1"/>
  <c r="BS100" i="104"/>
  <c r="BS35" i="104" s="1"/>
  <c r="BK96" i="103"/>
  <c r="BK31" i="103" s="1"/>
  <c r="BK96" i="104"/>
  <c r="BK31" i="104" s="1"/>
  <c r="BK96" i="99"/>
  <c r="BK34" i="99"/>
  <c r="BV88" i="99"/>
  <c r="BV88" i="103"/>
  <c r="BV23" i="103" s="1"/>
  <c r="BV88" i="104"/>
  <c r="BV23" i="104" s="1"/>
  <c r="BU278" i="99"/>
  <c r="BU22" i="99"/>
  <c r="BU469" i="99"/>
  <c r="BU19" i="99" s="1"/>
  <c r="BU148" i="99" s="1"/>
  <c r="BK84" i="103"/>
  <c r="BK19" i="103" s="1"/>
  <c r="BK84" i="99"/>
  <c r="BK148" i="99"/>
  <c r="BK146" i="99"/>
  <c r="BK147" i="99"/>
  <c r="BK84" i="104"/>
  <c r="BK19" i="104" s="1"/>
  <c r="BO23" i="105"/>
  <c r="BV89" i="99"/>
  <c r="BV89" i="103"/>
  <c r="BV24" i="103" s="1"/>
  <c r="BV89" i="104"/>
  <c r="BV24" i="104" s="1"/>
  <c r="BK87" i="99"/>
  <c r="BK87" i="104"/>
  <c r="BK22" i="104" s="1"/>
  <c r="BK87" i="103"/>
  <c r="BK22" i="103" s="1"/>
  <c r="BK145" i="99"/>
  <c r="BK25" i="99"/>
  <c r="BU91" i="103"/>
  <c r="BU26" i="103" s="1"/>
  <c r="BU91" i="99"/>
  <c r="BU91" i="104"/>
  <c r="BU26" i="104" s="1"/>
  <c r="BG278" i="99"/>
  <c r="BG469" i="99"/>
  <c r="BG19" i="99" s="1"/>
  <c r="BG146" i="99" s="1"/>
  <c r="BG22" i="99"/>
  <c r="BG88" i="99"/>
  <c r="M23" i="99"/>
  <c r="BG88" i="104"/>
  <c r="BG23" i="104" s="1"/>
  <c r="BG88" i="103"/>
  <c r="BG23" i="103" s="1"/>
  <c r="BG31" i="99"/>
  <c r="BG322" i="99"/>
  <c r="BG98" i="99"/>
  <c r="BG98" i="103"/>
  <c r="BG33" i="103" s="1"/>
  <c r="BG98" i="104"/>
  <c r="BG33" i="104" s="1"/>
  <c r="M33" i="99"/>
  <c r="BL32" i="105"/>
  <c r="BQ97" i="104"/>
  <c r="BQ32" i="104" s="1"/>
  <c r="BQ97" i="103"/>
  <c r="BQ32" i="103" s="1"/>
  <c r="BQ91" i="104"/>
  <c r="BQ26" i="104" s="1"/>
  <c r="BQ91" i="103"/>
  <c r="BQ26" i="103" s="1"/>
  <c r="BV33" i="105"/>
  <c r="BQ89" i="99"/>
  <c r="BQ89" i="104"/>
  <c r="BQ24" i="104" s="1"/>
  <c r="BQ89" i="103"/>
  <c r="BQ24" i="103" s="1"/>
  <c r="BQ31" i="99"/>
  <c r="BQ322" i="99"/>
  <c r="BQ100" i="99"/>
  <c r="BQ100" i="103"/>
  <c r="BQ35" i="103" s="1"/>
  <c r="BQ100" i="104"/>
  <c r="BQ35" i="104" s="1"/>
  <c r="BQ469" i="99"/>
  <c r="BQ19" i="99" s="1"/>
  <c r="BQ147" i="99" s="1"/>
  <c r="BQ22" i="99"/>
  <c r="BQ278" i="99"/>
  <c r="W39" i="105"/>
  <c r="R22" i="151" s="1"/>
  <c r="L146" i="99"/>
  <c r="BM34" i="105"/>
  <c r="L145" i="99"/>
  <c r="X40" i="105"/>
  <c r="P34" i="105"/>
  <c r="L147" i="99"/>
  <c r="BM39" i="103"/>
  <c r="BM40" i="103" s="1"/>
  <c r="BI101" i="103"/>
  <c r="BI102" i="103" s="1"/>
  <c r="BC34" i="105"/>
  <c r="K101" i="103"/>
  <c r="K102" i="103" s="1"/>
  <c r="BA34" i="105"/>
  <c r="BE34" i="105"/>
  <c r="BB34" i="105"/>
  <c r="AY34" i="105"/>
  <c r="BF34" i="105"/>
  <c r="BM25" i="105"/>
  <c r="BD34" i="105"/>
  <c r="AN25" i="105"/>
  <c r="BN34" i="105"/>
  <c r="AO25" i="105"/>
  <c r="AX25" i="105"/>
  <c r="BH34" i="105"/>
  <c r="AQ25" i="105"/>
  <c r="BT34" i="105"/>
  <c r="BT95" i="105" s="1"/>
  <c r="BB101" i="103"/>
  <c r="BB102" i="103" s="1"/>
  <c r="BG34" i="105"/>
  <c r="AY101" i="103"/>
  <c r="AY102" i="103" s="1"/>
  <c r="BH101" i="103"/>
  <c r="BH102" i="103" s="1"/>
  <c r="AT25" i="105"/>
  <c r="AU25" i="105"/>
  <c r="AZ34" i="105"/>
  <c r="BA101" i="103"/>
  <c r="BA102" i="103" s="1"/>
  <c r="AS25" i="105"/>
  <c r="BS34" i="105"/>
  <c r="AR25" i="105"/>
  <c r="AV25" i="105"/>
  <c r="AW25" i="105"/>
  <c r="AM25" i="105"/>
  <c r="Q33" i="105"/>
  <c r="BE22" i="105"/>
  <c r="BG22" i="105"/>
  <c r="Q24" i="105"/>
  <c r="Q26" i="105"/>
  <c r="BC22" i="105"/>
  <c r="BC101" i="103"/>
  <c r="BC102" i="103" s="1"/>
  <c r="BD22" i="105"/>
  <c r="AX101" i="103"/>
  <c r="AX102" i="103" s="1"/>
  <c r="AZ101" i="103"/>
  <c r="AZ102" i="103" s="1"/>
  <c r="AY22" i="105"/>
  <c r="BH22" i="105"/>
  <c r="BB22" i="105"/>
  <c r="BF22" i="105"/>
  <c r="AZ22" i="105"/>
  <c r="AP25" i="105"/>
  <c r="AU134" i="103"/>
  <c r="AU69" i="103" s="1"/>
  <c r="AU134" i="104"/>
  <c r="AU69" i="104" s="1"/>
  <c r="L148" i="99"/>
  <c r="L84" i="103"/>
  <c r="AW134" i="103"/>
  <c r="AW69" i="103" s="1"/>
  <c r="AW134" i="104"/>
  <c r="AW69" i="104" s="1"/>
  <c r="BC134" i="104"/>
  <c r="BC69" i="104" s="1"/>
  <c r="BC134" i="103"/>
  <c r="BC69" i="103" s="1"/>
  <c r="BS22" i="105"/>
  <c r="AX134" i="103"/>
  <c r="AX69" i="103" s="1"/>
  <c r="AX134" i="104"/>
  <c r="AX69" i="104" s="1"/>
  <c r="L99" i="99"/>
  <c r="L99" i="103"/>
  <c r="BN146" i="103"/>
  <c r="K134" i="103"/>
  <c r="K134" i="104"/>
  <c r="AY134" i="103"/>
  <c r="AY69" i="103" s="1"/>
  <c r="AY134" i="104"/>
  <c r="AY69" i="104" s="1"/>
  <c r="AV134" i="103"/>
  <c r="AV69" i="103" s="1"/>
  <c r="AV134" i="104"/>
  <c r="AV69" i="104" s="1"/>
  <c r="BX89" i="103"/>
  <c r="BX24" i="103" s="1"/>
  <c r="BT22" i="105"/>
  <c r="BH92" i="103"/>
  <c r="BH93" i="103" s="1"/>
  <c r="BY88" i="103"/>
  <c r="BY23" i="103" s="1"/>
  <c r="AZ134" i="104"/>
  <c r="AZ69" i="104" s="1"/>
  <c r="AZ134" i="103"/>
  <c r="AZ69" i="103" s="1"/>
  <c r="AV22" i="103"/>
  <c r="BA22" i="105" s="1"/>
  <c r="BA134" i="103"/>
  <c r="BA69" i="103" s="1"/>
  <c r="BA134" i="104"/>
  <c r="BA69" i="104" s="1"/>
  <c r="BY89" i="103"/>
  <c r="BY24" i="103" s="1"/>
  <c r="BB134" i="103"/>
  <c r="BB69" i="103" s="1"/>
  <c r="BB134" i="104"/>
  <c r="BB69" i="104" s="1"/>
  <c r="BX88" i="103"/>
  <c r="BX23" i="103" s="1"/>
  <c r="Q23" i="105"/>
  <c r="AZ19" i="105"/>
  <c r="Q32" i="105"/>
  <c r="Q31" i="105"/>
  <c r="K69" i="103"/>
  <c r="K69" i="104"/>
  <c r="BG19" i="105"/>
  <c r="P19" i="105"/>
  <c r="F63" i="294" s="1"/>
  <c r="P22" i="105"/>
  <c r="Q35" i="105"/>
  <c r="AE104" i="104"/>
  <c r="AE105" i="104" s="1"/>
  <c r="BA90" i="104"/>
  <c r="BA25" i="104" s="1"/>
  <c r="BI101" i="104"/>
  <c r="BI102" i="104" s="1"/>
  <c r="AW101" i="104"/>
  <c r="AW102" i="104" s="1"/>
  <c r="AD104" i="104"/>
  <c r="AD105" i="104" s="1"/>
  <c r="AL92" i="104"/>
  <c r="AL93" i="104" s="1"/>
  <c r="BY96" i="104"/>
  <c r="BY31" i="104" s="1"/>
  <c r="BB90" i="104"/>
  <c r="BB25" i="104" s="1"/>
  <c r="BY100" i="104"/>
  <c r="BY35" i="104" s="1"/>
  <c r="BY35" i="103"/>
  <c r="BY89" i="104"/>
  <c r="BY24" i="104" s="1"/>
  <c r="BN101" i="104"/>
  <c r="BN102" i="104" s="1"/>
  <c r="BY98" i="104"/>
  <c r="BY33" i="104" s="1"/>
  <c r="BX88" i="104"/>
  <c r="BX23" i="104" s="1"/>
  <c r="AY101" i="104"/>
  <c r="AY102" i="104" s="1"/>
  <c r="AB104" i="104"/>
  <c r="AB105" i="104" s="1"/>
  <c r="AF104" i="104"/>
  <c r="AF105" i="104" s="1"/>
  <c r="AG104" i="104"/>
  <c r="AG105" i="104" s="1"/>
  <c r="AK92" i="104"/>
  <c r="AK93" i="104" s="1"/>
  <c r="BE19" i="105"/>
  <c r="BX100" i="99"/>
  <c r="BX100" i="104"/>
  <c r="BX35" i="104" s="1"/>
  <c r="BX35" i="103"/>
  <c r="BA19" i="105"/>
  <c r="AS92" i="104"/>
  <c r="AS93" i="104" s="1"/>
  <c r="AA104" i="104"/>
  <c r="AA105" i="104" s="1"/>
  <c r="AX101" i="104"/>
  <c r="AX102" i="104" s="1"/>
  <c r="AT101" i="104"/>
  <c r="AT102" i="104" s="1"/>
  <c r="AH92" i="104"/>
  <c r="AH93" i="104" s="1"/>
  <c r="BC19" i="105"/>
  <c r="AU101" i="104"/>
  <c r="AU102" i="104" s="1"/>
  <c r="BA101" i="104"/>
  <c r="BA102" i="104" s="1"/>
  <c r="W104" i="104"/>
  <c r="W105" i="104" s="1"/>
  <c r="AQ92" i="104"/>
  <c r="AQ93" i="104" s="1"/>
  <c r="R119" i="104"/>
  <c r="R54" i="104" s="1"/>
  <c r="AZ90" i="104"/>
  <c r="AZ25" i="104" s="1"/>
  <c r="L84" i="104"/>
  <c r="BH19" i="105"/>
  <c r="V104" i="104"/>
  <c r="V105" i="104" s="1"/>
  <c r="BD19" i="105"/>
  <c r="K101" i="104"/>
  <c r="K102" i="104" s="1"/>
  <c r="AJ92" i="104"/>
  <c r="AJ93" i="104" s="1"/>
  <c r="BO101" i="104"/>
  <c r="BO102" i="104" s="1"/>
  <c r="AV101" i="104"/>
  <c r="AV102" i="104" s="1"/>
  <c r="AW90" i="104"/>
  <c r="AW25" i="104" s="1"/>
  <c r="AV90" i="104"/>
  <c r="AV25" i="104" s="1"/>
  <c r="AT90" i="104"/>
  <c r="AT25" i="104" s="1"/>
  <c r="L87" i="99"/>
  <c r="L87" i="104"/>
  <c r="AO92" i="104"/>
  <c r="AO93" i="104" s="1"/>
  <c r="BB101" i="104"/>
  <c r="BB102" i="104" s="1"/>
  <c r="BX98" i="99"/>
  <c r="BX98" i="104"/>
  <c r="BX33" i="104" s="1"/>
  <c r="BX33" i="103"/>
  <c r="AX90" i="104"/>
  <c r="AX25" i="104" s="1"/>
  <c r="BX89" i="104"/>
  <c r="BX24" i="104" s="1"/>
  <c r="K90" i="104"/>
  <c r="AI92" i="104"/>
  <c r="AI93" i="104" s="1"/>
  <c r="BC101" i="104"/>
  <c r="BC102" i="104" s="1"/>
  <c r="BX97" i="104"/>
  <c r="BX32" i="104" s="1"/>
  <c r="T119" i="104"/>
  <c r="T54" i="104" s="1"/>
  <c r="BF19" i="105"/>
  <c r="BM101" i="104"/>
  <c r="BH101" i="104"/>
  <c r="BH102" i="104" s="1"/>
  <c r="AC104" i="104"/>
  <c r="AC105" i="104" s="1"/>
  <c r="L99" i="104"/>
  <c r="AP92" i="104"/>
  <c r="AP93" i="104" s="1"/>
  <c r="Z104" i="104"/>
  <c r="Z105" i="104" s="1"/>
  <c r="U119" i="104"/>
  <c r="U54" i="104" s="1"/>
  <c r="AZ101" i="104"/>
  <c r="AZ102" i="104" s="1"/>
  <c r="BX31" i="103"/>
  <c r="BX96" i="104"/>
  <c r="BX31" i="104" s="1"/>
  <c r="BC90" i="104"/>
  <c r="BC25" i="104" s="1"/>
  <c r="BY88" i="104"/>
  <c r="BY23" i="104" s="1"/>
  <c r="X104" i="104"/>
  <c r="X105" i="104" s="1"/>
  <c r="AU90" i="104"/>
  <c r="AU25" i="104" s="1"/>
  <c r="AM92" i="104"/>
  <c r="AM93" i="104" s="1"/>
  <c r="AN92" i="104"/>
  <c r="AN93" i="104" s="1"/>
  <c r="BH92" i="104"/>
  <c r="BH93" i="104" s="1"/>
  <c r="BB19" i="105"/>
  <c r="AY90" i="104"/>
  <c r="AY25" i="104" s="1"/>
  <c r="BY97" i="104"/>
  <c r="BY32" i="104" s="1"/>
  <c r="BY32" i="103"/>
  <c r="S119" i="104"/>
  <c r="S54" i="104" s="1"/>
  <c r="AR92" i="104"/>
  <c r="AR93" i="104" s="1"/>
  <c r="Y104" i="104"/>
  <c r="Y105" i="104" s="1"/>
  <c r="AY19" i="105"/>
  <c r="L34" i="104"/>
  <c r="L22" i="104"/>
  <c r="L19" i="104"/>
  <c r="L148" i="104" s="1"/>
  <c r="L34" i="103"/>
  <c r="AY150" i="104"/>
  <c r="Y62" i="103"/>
  <c r="L36" i="99"/>
  <c r="L37" i="99" s="1"/>
  <c r="L25" i="99"/>
  <c r="L90" i="103" s="1"/>
  <c r="BY322" i="99"/>
  <c r="BB147" i="104"/>
  <c r="K146" i="103"/>
  <c r="AU147" i="104"/>
  <c r="AW150" i="104"/>
  <c r="AW149" i="103"/>
  <c r="AY149" i="103"/>
  <c r="AY147" i="103"/>
  <c r="BA147" i="103"/>
  <c r="BX22" i="99"/>
  <c r="BX278" i="99"/>
  <c r="BX469" i="99"/>
  <c r="BX19" i="99" s="1"/>
  <c r="BX84" i="103" s="1"/>
  <c r="BA150" i="104"/>
  <c r="BA149" i="104"/>
  <c r="AU149" i="104"/>
  <c r="AU148" i="104"/>
  <c r="AW27" i="99"/>
  <c r="AW92" i="103" s="1"/>
  <c r="AW93" i="103" s="1"/>
  <c r="AW90" i="99"/>
  <c r="AL28" i="103"/>
  <c r="AL39" i="103"/>
  <c r="U39" i="104"/>
  <c r="U40" i="104" s="1"/>
  <c r="AJ92" i="99"/>
  <c r="AJ93" i="99" s="1"/>
  <c r="AJ28" i="99"/>
  <c r="AJ39" i="99"/>
  <c r="AJ104" i="103" s="1"/>
  <c r="AJ105" i="103" s="1"/>
  <c r="BC27" i="99"/>
  <c r="BC92" i="103" s="1"/>
  <c r="BC93" i="103" s="1"/>
  <c r="BC90" i="99"/>
  <c r="BN101" i="99"/>
  <c r="BN102" i="99" s="1"/>
  <c r="BN37" i="99"/>
  <c r="BO37" i="99"/>
  <c r="BO101" i="99"/>
  <c r="BO102" i="99" s="1"/>
  <c r="AE27" i="104"/>
  <c r="AE28" i="104" s="1"/>
  <c r="AB40" i="103"/>
  <c r="AB54" i="103"/>
  <c r="AB61" i="103" s="1"/>
  <c r="AB65" i="103" s="1"/>
  <c r="BH39" i="103"/>
  <c r="BH28" i="103"/>
  <c r="BA25" i="103"/>
  <c r="BA27" i="103" s="1"/>
  <c r="BA146" i="103"/>
  <c r="L36" i="103"/>
  <c r="L37" i="103" s="1"/>
  <c r="AQ92" i="99"/>
  <c r="AQ93" i="99" s="1"/>
  <c r="AQ28" i="99"/>
  <c r="AQ39" i="99"/>
  <c r="AQ104" i="103" s="1"/>
  <c r="AQ105" i="103" s="1"/>
  <c r="AD27" i="104"/>
  <c r="AD28" i="104" s="1"/>
  <c r="T40" i="103"/>
  <c r="T54" i="103"/>
  <c r="T61" i="103" s="1"/>
  <c r="T65" i="103" s="1"/>
  <c r="AA54" i="103"/>
  <c r="AA61" i="103" s="1"/>
  <c r="AA65" i="103" s="1"/>
  <c r="AA40" i="103"/>
  <c r="BY31" i="103"/>
  <c r="BY96" i="99"/>
  <c r="BY34" i="99"/>
  <c r="BY99" i="103" s="1"/>
  <c r="AZ149" i="104"/>
  <c r="AZ150" i="104"/>
  <c r="BY100" i="99"/>
  <c r="BM37" i="99"/>
  <c r="BM101" i="99"/>
  <c r="BM102" i="99" s="1"/>
  <c r="BA147" i="104"/>
  <c r="AD54" i="99"/>
  <c r="AD119" i="103" s="1"/>
  <c r="AD104" i="99"/>
  <c r="AD105" i="99" s="1"/>
  <c r="AD40" i="99"/>
  <c r="BC149" i="103"/>
  <c r="AZ147" i="104"/>
  <c r="AZ148" i="103"/>
  <c r="AZ149" i="103"/>
  <c r="AA27" i="104"/>
  <c r="AA28" i="104" s="1"/>
  <c r="U119" i="99"/>
  <c r="U61" i="99"/>
  <c r="T39" i="104"/>
  <c r="T40" i="104" s="1"/>
  <c r="AE40" i="99"/>
  <c r="AE54" i="99"/>
  <c r="AE119" i="103" s="1"/>
  <c r="AE104" i="99"/>
  <c r="AE105" i="99" s="1"/>
  <c r="BA27" i="99"/>
  <c r="BA92" i="103" s="1"/>
  <c r="BA93" i="103" s="1"/>
  <c r="BA90" i="99"/>
  <c r="AD54" i="103"/>
  <c r="AD61" i="103" s="1"/>
  <c r="AD65" i="103" s="1"/>
  <c r="AD40" i="103"/>
  <c r="BC147" i="103"/>
  <c r="AM92" i="99"/>
  <c r="AM93" i="99" s="1"/>
  <c r="AM39" i="99"/>
  <c r="AM104" i="103" s="1"/>
  <c r="AM105" i="103" s="1"/>
  <c r="AM28" i="99"/>
  <c r="AZ25" i="103"/>
  <c r="AZ27" i="103" s="1"/>
  <c r="AZ146" i="103"/>
  <c r="AP36" i="104"/>
  <c r="AP37" i="104" s="1"/>
  <c r="AV147" i="104"/>
  <c r="T119" i="99"/>
  <c r="T61" i="99"/>
  <c r="R54" i="103"/>
  <c r="R40" i="103"/>
  <c r="J39" i="103"/>
  <c r="J40" i="103" s="1"/>
  <c r="W54" i="103"/>
  <c r="W61" i="103" s="1"/>
  <c r="W65" i="103" s="1"/>
  <c r="W40" i="103"/>
  <c r="BB37" i="99"/>
  <c r="BB101" i="99"/>
  <c r="BB102" i="99" s="1"/>
  <c r="T37" i="104"/>
  <c r="J36" i="104"/>
  <c r="J37" i="104" s="1"/>
  <c r="AN36" i="104"/>
  <c r="AN37" i="104" s="1"/>
  <c r="BB146" i="103"/>
  <c r="BB25" i="103"/>
  <c r="BB27" i="103" s="1"/>
  <c r="BC149" i="104"/>
  <c r="AU146" i="103"/>
  <c r="AU25" i="103"/>
  <c r="AU27" i="103" s="1"/>
  <c r="AZ90" i="99"/>
  <c r="AZ27" i="99"/>
  <c r="AZ92" i="103" s="1"/>
  <c r="AZ93" i="103" s="1"/>
  <c r="AL36" i="104"/>
  <c r="AL37" i="104" s="1"/>
  <c r="AV27" i="99"/>
  <c r="AV92" i="103" s="1"/>
  <c r="AV93" i="103" s="1"/>
  <c r="AV90" i="99"/>
  <c r="AT147" i="104"/>
  <c r="BB147" i="103"/>
  <c r="BB149" i="103"/>
  <c r="AC27" i="104"/>
  <c r="AC28" i="104" s="1"/>
  <c r="AA104" i="99"/>
  <c r="AA105" i="99" s="1"/>
  <c r="AA54" i="99"/>
  <c r="AA119" i="103" s="1"/>
  <c r="AA40" i="99"/>
  <c r="Z27" i="104"/>
  <c r="Z28" i="104" s="1"/>
  <c r="AT25" i="103"/>
  <c r="AT27" i="103" s="1"/>
  <c r="AT146" i="103"/>
  <c r="AH28" i="103"/>
  <c r="AH39" i="103"/>
  <c r="AK28" i="99"/>
  <c r="AK92" i="99"/>
  <c r="AK93" i="99" s="1"/>
  <c r="AK39" i="99"/>
  <c r="AK104" i="103" s="1"/>
  <c r="AK105" i="103" s="1"/>
  <c r="BY22" i="99"/>
  <c r="BY278" i="99"/>
  <c r="BY469" i="99"/>
  <c r="BY19" i="99" s="1"/>
  <c r="BY84" i="103" s="1"/>
  <c r="BB150" i="104"/>
  <c r="BB148" i="104"/>
  <c r="AU90" i="99"/>
  <c r="AU27" i="99"/>
  <c r="AU92" i="103" s="1"/>
  <c r="AU93" i="103" s="1"/>
  <c r="AH36" i="104"/>
  <c r="AH37" i="104" s="1"/>
  <c r="R119" i="99"/>
  <c r="R61" i="99"/>
  <c r="AK36" i="104"/>
  <c r="AK37" i="104" s="1"/>
  <c r="BB148" i="103"/>
  <c r="AP28" i="99"/>
  <c r="AP92" i="99"/>
  <c r="AP93" i="99" s="1"/>
  <c r="AP39" i="99"/>
  <c r="AP104" i="103" s="1"/>
  <c r="AP105" i="103" s="1"/>
  <c r="AT27" i="99"/>
  <c r="AT92" i="103" s="1"/>
  <c r="AT93" i="103" s="1"/>
  <c r="AT90" i="99"/>
  <c r="BC101" i="99"/>
  <c r="BC102" i="99" s="1"/>
  <c r="BC37" i="99"/>
  <c r="BY88" i="99"/>
  <c r="BA37" i="99"/>
  <c r="BA101" i="99"/>
  <c r="BA102" i="99" s="1"/>
  <c r="BB27" i="99"/>
  <c r="BB92" i="103" s="1"/>
  <c r="BB93" i="103" s="1"/>
  <c r="BB90" i="99"/>
  <c r="AC54" i="99"/>
  <c r="AC119" i="103" s="1"/>
  <c r="AC40" i="99"/>
  <c r="AC104" i="99"/>
  <c r="AC105" i="99" s="1"/>
  <c r="AG27" i="104"/>
  <c r="AG28" i="104" s="1"/>
  <c r="BX322" i="99"/>
  <c r="Z104" i="99"/>
  <c r="Z105" i="99" s="1"/>
  <c r="Z40" i="99"/>
  <c r="Z54" i="99"/>
  <c r="Z119" i="103" s="1"/>
  <c r="AP28" i="103"/>
  <c r="AP39" i="103"/>
  <c r="BH92" i="99"/>
  <c r="BH93" i="99" s="1"/>
  <c r="BH39" i="99"/>
  <c r="BH28" i="99"/>
  <c r="AS28" i="99"/>
  <c r="AS39" i="99"/>
  <c r="AS104" i="103" s="1"/>
  <c r="AS105" i="103" s="1"/>
  <c r="AS92" i="99"/>
  <c r="AS93" i="99" s="1"/>
  <c r="BX34" i="99"/>
  <c r="BX99" i="103" s="1"/>
  <c r="BX96" i="99"/>
  <c r="AZ148" i="104"/>
  <c r="AM28" i="103"/>
  <c r="AM39" i="103"/>
  <c r="AW147" i="103"/>
  <c r="AF40" i="103"/>
  <c r="AF54" i="103"/>
  <c r="AF61" i="103" s="1"/>
  <c r="AF65" i="103" s="1"/>
  <c r="R39" i="104"/>
  <c r="AG40" i="99"/>
  <c r="AG54" i="99"/>
  <c r="AG119" i="103" s="1"/>
  <c r="AG104" i="99"/>
  <c r="AG105" i="99" s="1"/>
  <c r="BB149" i="104"/>
  <c r="AG54" i="103"/>
  <c r="AG61" i="103" s="1"/>
  <c r="AG65" i="103" s="1"/>
  <c r="AG40" i="103"/>
  <c r="L19" i="103"/>
  <c r="L148" i="103" s="1"/>
  <c r="AF27" i="104"/>
  <c r="AF28" i="104" s="1"/>
  <c r="W27" i="104"/>
  <c r="W28" i="104" s="1"/>
  <c r="AI28" i="99"/>
  <c r="AI92" i="99"/>
  <c r="AI93" i="99" s="1"/>
  <c r="AI39" i="99"/>
  <c r="AI104" i="103" s="1"/>
  <c r="AI105" i="103" s="1"/>
  <c r="AI28" i="103"/>
  <c r="AI39" i="103"/>
  <c r="AQ39" i="103"/>
  <c r="AQ28" i="103"/>
  <c r="BC150" i="104"/>
  <c r="AN92" i="99"/>
  <c r="AN93" i="99" s="1"/>
  <c r="AN28" i="99"/>
  <c r="AN39" i="99"/>
  <c r="AN104" i="103" s="1"/>
  <c r="AN105" i="103" s="1"/>
  <c r="AR28" i="99"/>
  <c r="AR39" i="99"/>
  <c r="AR104" i="103" s="1"/>
  <c r="AR105" i="103" s="1"/>
  <c r="AR92" i="99"/>
  <c r="AR93" i="99" s="1"/>
  <c r="AN28" i="103"/>
  <c r="AN39" i="103"/>
  <c r="U62" i="103"/>
  <c r="AZ101" i="99"/>
  <c r="AZ102" i="99" s="1"/>
  <c r="AZ37" i="99"/>
  <c r="AC40" i="103"/>
  <c r="AC54" i="103"/>
  <c r="AC61" i="103" s="1"/>
  <c r="AC65" i="103" s="1"/>
  <c r="S61" i="99"/>
  <c r="S119" i="99"/>
  <c r="AX25" i="103"/>
  <c r="AX27" i="103" s="1"/>
  <c r="AX146" i="103"/>
  <c r="W54" i="99"/>
  <c r="W119" i="103" s="1"/>
  <c r="W40" i="99"/>
  <c r="W104" i="99"/>
  <c r="W105" i="99" s="1"/>
  <c r="AO36" i="104"/>
  <c r="AO37" i="104" s="1"/>
  <c r="AW148" i="104"/>
  <c r="Y27" i="104"/>
  <c r="Y28" i="104" s="1"/>
  <c r="AF40" i="99"/>
  <c r="AF104" i="99"/>
  <c r="AF105" i="99" s="1"/>
  <c r="AF54" i="99"/>
  <c r="AF119" i="103" s="1"/>
  <c r="S39" i="104"/>
  <c r="S40" i="104" s="1"/>
  <c r="AU37" i="99"/>
  <c r="AU101" i="99"/>
  <c r="AU102" i="99" s="1"/>
  <c r="AX147" i="104"/>
  <c r="AB27" i="104"/>
  <c r="AB28" i="104" s="1"/>
  <c r="AU149" i="103"/>
  <c r="X40" i="103"/>
  <c r="X54" i="103"/>
  <c r="X61" i="103" s="1"/>
  <c r="X65" i="103" s="1"/>
  <c r="BA149" i="103"/>
  <c r="AY147" i="104"/>
  <c r="AY149" i="104"/>
  <c r="AO28" i="99"/>
  <c r="AO92" i="99"/>
  <c r="AO93" i="99" s="1"/>
  <c r="AO39" i="99"/>
  <c r="AO104" i="103" s="1"/>
  <c r="AO105" i="103" s="1"/>
  <c r="AX37" i="99"/>
  <c r="AX101" i="99"/>
  <c r="AX102" i="99" s="1"/>
  <c r="BI101" i="99"/>
  <c r="BI102" i="99" s="1"/>
  <c r="BI37" i="99"/>
  <c r="AW101" i="99"/>
  <c r="AW102" i="99" s="1"/>
  <c r="AW37" i="99"/>
  <c r="AE40" i="103"/>
  <c r="AE54" i="103"/>
  <c r="AE61" i="103" s="1"/>
  <c r="AE65" i="103" s="1"/>
  <c r="AY25" i="103"/>
  <c r="AY27" i="103" s="1"/>
  <c r="AY146" i="103"/>
  <c r="AH28" i="99"/>
  <c r="AH39" i="99"/>
  <c r="AH104" i="103" s="1"/>
  <c r="AH105" i="103" s="1"/>
  <c r="AH92" i="99"/>
  <c r="AH93" i="99" s="1"/>
  <c r="AI36" i="104"/>
  <c r="AI37" i="104" s="1"/>
  <c r="X27" i="104"/>
  <c r="X28" i="104" s="1"/>
  <c r="AX90" i="99"/>
  <c r="AX27" i="99"/>
  <c r="AX92" i="103" s="1"/>
  <c r="AX93" i="103" s="1"/>
  <c r="AV37" i="99"/>
  <c r="AV101" i="99"/>
  <c r="AV102" i="99" s="1"/>
  <c r="S62" i="103"/>
  <c r="AB40" i="99"/>
  <c r="AB54" i="99"/>
  <c r="AB119" i="103" s="1"/>
  <c r="AB104" i="99"/>
  <c r="AB105" i="99" s="1"/>
  <c r="BX97" i="99"/>
  <c r="BX32" i="103"/>
  <c r="AY27" i="99"/>
  <c r="AY92" i="103" s="1"/>
  <c r="AY93" i="103" s="1"/>
  <c r="AY90" i="99"/>
  <c r="AV150" i="104"/>
  <c r="AV149" i="104"/>
  <c r="AT149" i="104"/>
  <c r="AT150" i="104"/>
  <c r="V27" i="104"/>
  <c r="V28" i="104" s="1"/>
  <c r="AJ36" i="104"/>
  <c r="AJ37" i="104" s="1"/>
  <c r="Y40" i="99"/>
  <c r="Y104" i="99"/>
  <c r="Y105" i="99" s="1"/>
  <c r="Y54" i="99"/>
  <c r="Y119" i="103" s="1"/>
  <c r="AJ28" i="103"/>
  <c r="AJ39" i="103"/>
  <c r="R28" i="104"/>
  <c r="AL39" i="99"/>
  <c r="AL104" i="103" s="1"/>
  <c r="AL105" i="103" s="1"/>
  <c r="AL92" i="99"/>
  <c r="AL93" i="99" s="1"/>
  <c r="AL28" i="99"/>
  <c r="AV148" i="103"/>
  <c r="AV149" i="103"/>
  <c r="AT148" i="103"/>
  <c r="AT149" i="103"/>
  <c r="AR39" i="103"/>
  <c r="AR28" i="103"/>
  <c r="AY101" i="99"/>
  <c r="AY102" i="99" s="1"/>
  <c r="AY37" i="99"/>
  <c r="AX149" i="104"/>
  <c r="AX150" i="104"/>
  <c r="AX148" i="104"/>
  <c r="X40" i="99"/>
  <c r="X54" i="99"/>
  <c r="X119" i="103" s="1"/>
  <c r="X104" i="99"/>
  <c r="X105" i="99" s="1"/>
  <c r="BH37" i="99"/>
  <c r="BH101" i="99"/>
  <c r="BH102" i="99" s="1"/>
  <c r="AQ36" i="104"/>
  <c r="AQ37" i="104" s="1"/>
  <c r="AO39" i="103"/>
  <c r="AO28" i="103"/>
  <c r="AX147" i="103"/>
  <c r="AX149" i="103"/>
  <c r="BC147" i="104"/>
  <c r="BC148" i="104"/>
  <c r="AW147" i="104"/>
  <c r="L69" i="99"/>
  <c r="V104" i="99"/>
  <c r="V105" i="99" s="1"/>
  <c r="V54" i="99"/>
  <c r="V119" i="103" s="1"/>
  <c r="V40" i="99"/>
  <c r="BY98" i="99"/>
  <c r="BY33" i="103"/>
  <c r="AK39" i="103"/>
  <c r="AK28" i="103"/>
  <c r="BC25" i="103"/>
  <c r="BC27" i="103" s="1"/>
  <c r="BC146" i="103"/>
  <c r="AW146" i="103"/>
  <c r="AW25" i="103"/>
  <c r="AW27" i="103" s="1"/>
  <c r="AR36" i="104"/>
  <c r="AR37" i="104" s="1"/>
  <c r="O25" i="105"/>
  <c r="AU148" i="103"/>
  <c r="AU147" i="103"/>
  <c r="AT101" i="99"/>
  <c r="AT102" i="99" s="1"/>
  <c r="AT37" i="99"/>
  <c r="Z54" i="103"/>
  <c r="Z61" i="103" s="1"/>
  <c r="Z65" i="103" s="1"/>
  <c r="Z40" i="103"/>
  <c r="V54" i="103"/>
  <c r="V61" i="103" s="1"/>
  <c r="V65" i="103" s="1"/>
  <c r="V40" i="103"/>
  <c r="AU150" i="104"/>
  <c r="AM36" i="104"/>
  <c r="AM37" i="104" s="1"/>
  <c r="BY97" i="99"/>
  <c r="K147" i="103"/>
  <c r="K149" i="103"/>
  <c r="K148" i="103"/>
  <c r="K101" i="99"/>
  <c r="K102" i="99" s="1"/>
  <c r="K37" i="99"/>
  <c r="K147" i="104"/>
  <c r="K149" i="104"/>
  <c r="K25" i="103"/>
  <c r="O36" i="105"/>
  <c r="K134" i="99"/>
  <c r="K68" i="103"/>
  <c r="K150" i="104"/>
  <c r="K68" i="104"/>
  <c r="J25" i="104"/>
  <c r="K25" i="104"/>
  <c r="K36" i="103"/>
  <c r="K37" i="103" s="1"/>
  <c r="K90" i="99"/>
  <c r="J27" i="99"/>
  <c r="J92" i="103" s="1"/>
  <c r="J93" i="103" s="1"/>
  <c r="K27" i="99"/>
  <c r="K92" i="103" s="1"/>
  <c r="K93" i="103" s="1"/>
  <c r="N127" i="154" l="1"/>
  <c r="P127" i="154" s="1"/>
  <c r="R104" i="105"/>
  <c r="CB104" i="105"/>
  <c r="BW23" i="151"/>
  <c r="BU104" i="105"/>
  <c r="BP23" i="151"/>
  <c r="Z99" i="105"/>
  <c r="U22" i="151"/>
  <c r="BW104" i="105"/>
  <c r="BR23" i="151"/>
  <c r="Y40" i="105"/>
  <c r="T22" i="151"/>
  <c r="K104" i="153"/>
  <c r="K105" i="153" s="1"/>
  <c r="L92" i="153"/>
  <c r="L93" i="153" s="1"/>
  <c r="M61" i="155"/>
  <c r="M65" i="155" s="1"/>
  <c r="K54" i="153"/>
  <c r="K119" i="153" s="1"/>
  <c r="AB71" i="103"/>
  <c r="AB72" i="103" s="1"/>
  <c r="AB66" i="103"/>
  <c r="AC71" i="103"/>
  <c r="AC72" i="103" s="1"/>
  <c r="AC66" i="103"/>
  <c r="X71" i="103"/>
  <c r="X72" i="103" s="1"/>
  <c r="X66" i="103"/>
  <c r="AE71" i="103"/>
  <c r="AE72" i="103" s="1"/>
  <c r="AE66" i="103"/>
  <c r="AG71" i="103"/>
  <c r="AG72" i="103" s="1"/>
  <c r="AG66" i="103"/>
  <c r="AD71" i="103"/>
  <c r="AD72" i="103" s="1"/>
  <c r="AD66" i="103"/>
  <c r="V71" i="103"/>
  <c r="V72" i="103" s="1"/>
  <c r="V66" i="103"/>
  <c r="W71" i="103"/>
  <c r="W72" i="103" s="1"/>
  <c r="W66" i="103"/>
  <c r="AF71" i="103"/>
  <c r="AF72" i="103" s="1"/>
  <c r="AF66" i="103"/>
  <c r="T71" i="103"/>
  <c r="T72" i="103" s="1"/>
  <c r="T66" i="103"/>
  <c r="Z71" i="103"/>
  <c r="Z72" i="103" s="1"/>
  <c r="Z66" i="103"/>
  <c r="AA71" i="103"/>
  <c r="AA72" i="103" s="1"/>
  <c r="AA66" i="103"/>
  <c r="L65" i="155"/>
  <c r="L126" i="155"/>
  <c r="L127" i="155" s="1"/>
  <c r="L62" i="155"/>
  <c r="AO119" i="153"/>
  <c r="AO61" i="153"/>
  <c r="BL126" i="155"/>
  <c r="BL127" i="155" s="1"/>
  <c r="BL65" i="155"/>
  <c r="BL62" i="155"/>
  <c r="BN126" i="155"/>
  <c r="BN127" i="155" s="1"/>
  <c r="BN62" i="155"/>
  <c r="BN65" i="155"/>
  <c r="BK65" i="155"/>
  <c r="BK126" i="155"/>
  <c r="BK127" i="155" s="1"/>
  <c r="BK62" i="155"/>
  <c r="P130" i="154"/>
  <c r="N131" i="154"/>
  <c r="P131" i="154" s="1"/>
  <c r="AP119" i="153"/>
  <c r="AP61" i="153"/>
  <c r="AP77" i="155"/>
  <c r="AP142" i="155" s="1"/>
  <c r="AP72" i="155"/>
  <c r="AP136" i="155"/>
  <c r="AP137" i="155" s="1"/>
  <c r="AV119" i="153"/>
  <c r="AV61" i="153"/>
  <c r="BP65" i="155"/>
  <c r="BP126" i="155"/>
  <c r="BP127" i="155" s="1"/>
  <c r="BP62" i="155"/>
  <c r="BW119" i="155"/>
  <c r="BW61" i="155"/>
  <c r="BU65" i="155"/>
  <c r="BU126" i="155"/>
  <c r="BU127" i="155" s="1"/>
  <c r="BU62" i="155"/>
  <c r="BU65" i="153"/>
  <c r="BU126" i="153"/>
  <c r="BU127" i="153" s="1"/>
  <c r="BU62" i="153"/>
  <c r="AX104" i="153"/>
  <c r="AX105" i="153" s="1"/>
  <c r="AX54" i="153"/>
  <c r="AX40" i="153"/>
  <c r="BT65" i="155"/>
  <c r="BT126" i="155"/>
  <c r="BT127" i="155" s="1"/>
  <c r="BT62" i="155"/>
  <c r="N136" i="154"/>
  <c r="N72" i="154"/>
  <c r="P72" i="154" s="1"/>
  <c r="P71" i="154"/>
  <c r="N77" i="154"/>
  <c r="L39" i="153"/>
  <c r="AK71" i="153"/>
  <c r="AK66" i="153"/>
  <c r="AK130" i="153"/>
  <c r="AK131" i="153" s="1"/>
  <c r="BS65" i="153"/>
  <c r="BS62" i="153"/>
  <c r="BS126" i="153"/>
  <c r="BS127" i="153" s="1"/>
  <c r="BM65" i="155"/>
  <c r="BM62" i="155"/>
  <c r="BM126" i="155"/>
  <c r="BM127" i="155" s="1"/>
  <c r="AA65" i="153"/>
  <c r="AA126" i="153"/>
  <c r="AA127" i="153" s="1"/>
  <c r="AA62" i="153"/>
  <c r="BV119" i="153"/>
  <c r="BV61" i="153"/>
  <c r="BT65" i="153"/>
  <c r="BT126" i="153"/>
  <c r="BT127" i="153" s="1"/>
  <c r="BT62" i="153"/>
  <c r="AU61" i="153"/>
  <c r="AU119" i="153"/>
  <c r="BM65" i="153"/>
  <c r="BM62" i="153"/>
  <c r="BM126" i="153"/>
  <c r="BM127" i="153" s="1"/>
  <c r="AM119" i="153"/>
  <c r="AM61" i="153"/>
  <c r="Z65" i="153"/>
  <c r="Z126" i="153"/>
  <c r="Z127" i="153" s="1"/>
  <c r="Z62" i="153"/>
  <c r="J61" i="153"/>
  <c r="BI104" i="153"/>
  <c r="BI105" i="153" s="1"/>
  <c r="BI54" i="153"/>
  <c r="BI40" i="153"/>
  <c r="BX119" i="155"/>
  <c r="BX61" i="155"/>
  <c r="BJ65" i="153"/>
  <c r="BJ126" i="153"/>
  <c r="BJ127" i="153" s="1"/>
  <c r="BJ62" i="153"/>
  <c r="BH66" i="155"/>
  <c r="BH71" i="155"/>
  <c r="BH130" i="155"/>
  <c r="BH131" i="155" s="1"/>
  <c r="BB104" i="153"/>
  <c r="BB105" i="153" s="1"/>
  <c r="M39" i="153"/>
  <c r="BB40" i="153"/>
  <c r="BB54" i="153"/>
  <c r="BQ65" i="155"/>
  <c r="BQ126" i="155"/>
  <c r="BQ127" i="155" s="1"/>
  <c r="BQ62" i="155"/>
  <c r="AW119" i="153"/>
  <c r="AW61" i="153"/>
  <c r="AZ71" i="155"/>
  <c r="AZ66" i="155"/>
  <c r="AZ130" i="155"/>
  <c r="AZ131" i="155" s="1"/>
  <c r="AZ104" i="153"/>
  <c r="AZ105" i="153" s="1"/>
  <c r="AZ54" i="153"/>
  <c r="AZ40" i="153"/>
  <c r="AM77" i="155"/>
  <c r="AM142" i="155" s="1"/>
  <c r="AM72" i="155"/>
  <c r="AM136" i="155"/>
  <c r="AM137" i="155" s="1"/>
  <c r="M92" i="153"/>
  <c r="M93" i="153" s="1"/>
  <c r="M28" i="153"/>
  <c r="AS77" i="155"/>
  <c r="AS142" i="155" s="1"/>
  <c r="AS72" i="155"/>
  <c r="AS136" i="155"/>
  <c r="AS137" i="155" s="1"/>
  <c r="AT119" i="153"/>
  <c r="AT61" i="153"/>
  <c r="BX119" i="153"/>
  <c r="BX61" i="153"/>
  <c r="P92" i="153"/>
  <c r="N93" i="153"/>
  <c r="P93" i="153" s="1"/>
  <c r="BG104" i="153"/>
  <c r="BG105" i="153" s="1"/>
  <c r="BG40" i="153"/>
  <c r="BG54" i="153"/>
  <c r="N104" i="155"/>
  <c r="P39" i="155"/>
  <c r="N40" i="155"/>
  <c r="P40" i="155" s="1"/>
  <c r="AW72" i="155"/>
  <c r="AW77" i="155"/>
  <c r="AW142" i="155" s="1"/>
  <c r="AW136" i="155"/>
  <c r="AW137" i="155" s="1"/>
  <c r="AQ61" i="153"/>
  <c r="AQ119" i="153"/>
  <c r="AD65" i="153"/>
  <c r="AD126" i="153"/>
  <c r="AD127" i="153" s="1"/>
  <c r="AD62" i="153"/>
  <c r="AL77" i="155"/>
  <c r="AL142" i="155" s="1"/>
  <c r="AL72" i="155"/>
  <c r="AL136" i="155"/>
  <c r="AL137" i="155" s="1"/>
  <c r="BG71" i="155"/>
  <c r="BG66" i="155"/>
  <c r="BG130" i="155"/>
  <c r="BG131" i="155" s="1"/>
  <c r="BF104" i="153"/>
  <c r="BF105" i="153" s="1"/>
  <c r="BF40" i="153"/>
  <c r="BF54" i="153"/>
  <c r="AX71" i="155"/>
  <c r="AX66" i="155"/>
  <c r="AX130" i="155"/>
  <c r="AX131" i="155" s="1"/>
  <c r="AY104" i="153"/>
  <c r="AY105" i="153" s="1"/>
  <c r="AY54" i="153"/>
  <c r="AY40" i="153"/>
  <c r="AR61" i="153"/>
  <c r="AR119" i="153"/>
  <c r="N104" i="153"/>
  <c r="N40" i="153"/>
  <c r="P40" i="153" s="1"/>
  <c r="P39" i="153"/>
  <c r="AF126" i="153"/>
  <c r="AF127" i="153" s="1"/>
  <c r="AF65" i="153"/>
  <c r="AF62" i="153"/>
  <c r="K66" i="155"/>
  <c r="K71" i="155"/>
  <c r="K130" i="155"/>
  <c r="K131" i="155" s="1"/>
  <c r="U72" i="153"/>
  <c r="U77" i="153"/>
  <c r="U142" i="153" s="1"/>
  <c r="U136" i="153"/>
  <c r="U137" i="153" s="1"/>
  <c r="AJ65" i="153"/>
  <c r="AJ126" i="153"/>
  <c r="AJ127" i="153" s="1"/>
  <c r="AJ62" i="153"/>
  <c r="AB65" i="153"/>
  <c r="AB126" i="153"/>
  <c r="AB127" i="153" s="1"/>
  <c r="AB62" i="153"/>
  <c r="BW72" i="154"/>
  <c r="BW77" i="154"/>
  <c r="BW142" i="154" s="1"/>
  <c r="BW136" i="154"/>
  <c r="BW137" i="154" s="1"/>
  <c r="AN61" i="153"/>
  <c r="AN119" i="153"/>
  <c r="BV72" i="154"/>
  <c r="BV136" i="154"/>
  <c r="BV137" i="154" s="1"/>
  <c r="BV77" i="154"/>
  <c r="BV142" i="154" s="1"/>
  <c r="BD66" i="155"/>
  <c r="BD71" i="155"/>
  <c r="BD130" i="155"/>
  <c r="BD131" i="155" s="1"/>
  <c r="BS119" i="155"/>
  <c r="BS61" i="155"/>
  <c r="BH104" i="153"/>
  <c r="BH105" i="153" s="1"/>
  <c r="BH40" i="153"/>
  <c r="BH54" i="153"/>
  <c r="BL65" i="153"/>
  <c r="BL62" i="153"/>
  <c r="BL126" i="153"/>
  <c r="BL127" i="153" s="1"/>
  <c r="BE71" i="155"/>
  <c r="BE66" i="155"/>
  <c r="BE130" i="155"/>
  <c r="BE131" i="155" s="1"/>
  <c r="AR72" i="155"/>
  <c r="AR77" i="155"/>
  <c r="AR142" i="155" s="1"/>
  <c r="AR136" i="155"/>
  <c r="AR137" i="155" s="1"/>
  <c r="BJ65" i="155"/>
  <c r="BJ126" i="155"/>
  <c r="BJ127" i="155" s="1"/>
  <c r="BJ62" i="155"/>
  <c r="AS61" i="153"/>
  <c r="AS119" i="153"/>
  <c r="BA104" i="153"/>
  <c r="BA105" i="153" s="1"/>
  <c r="BA54" i="153"/>
  <c r="BA40" i="153"/>
  <c r="S77" i="153"/>
  <c r="S142" i="153" s="1"/>
  <c r="S72" i="153"/>
  <c r="S136" i="153"/>
  <c r="S137" i="153" s="1"/>
  <c r="BQ65" i="153"/>
  <c r="BQ126" i="153"/>
  <c r="BQ127" i="153" s="1"/>
  <c r="BQ62" i="153"/>
  <c r="BK65" i="153"/>
  <c r="BK62" i="153"/>
  <c r="BK126" i="153"/>
  <c r="BK127" i="153" s="1"/>
  <c r="Y66" i="153"/>
  <c r="Y71" i="153"/>
  <c r="Y130" i="153"/>
  <c r="Y131" i="153" s="1"/>
  <c r="BR65" i="153"/>
  <c r="BR126" i="153"/>
  <c r="BR127" i="153" s="1"/>
  <c r="BR62" i="153"/>
  <c r="AE65" i="153"/>
  <c r="AE126" i="153"/>
  <c r="AE127" i="153" s="1"/>
  <c r="AE62" i="153"/>
  <c r="BX72" i="154"/>
  <c r="BX77" i="154"/>
  <c r="BX142" i="154" s="1"/>
  <c r="BX136" i="154"/>
  <c r="BX137" i="154" s="1"/>
  <c r="BF66" i="155"/>
  <c r="BF71" i="155"/>
  <c r="BF130" i="155"/>
  <c r="BF131" i="155" s="1"/>
  <c r="AQ77" i="155"/>
  <c r="AQ142" i="155" s="1"/>
  <c r="AQ72" i="155"/>
  <c r="AQ136" i="155"/>
  <c r="AQ137" i="155" s="1"/>
  <c r="P92" i="155"/>
  <c r="N93" i="155"/>
  <c r="P93" i="155" s="1"/>
  <c r="AT72" i="155"/>
  <c r="AT136" i="155"/>
  <c r="AT137" i="155" s="1"/>
  <c r="AT77" i="155"/>
  <c r="AT142" i="155" s="1"/>
  <c r="N102" i="155"/>
  <c r="P102" i="155" s="1"/>
  <c r="P101" i="155"/>
  <c r="AL119" i="153"/>
  <c r="AL61" i="153"/>
  <c r="W77" i="153"/>
  <c r="W142" i="153" s="1"/>
  <c r="W136" i="153"/>
  <c r="W137" i="153" s="1"/>
  <c r="W72" i="153"/>
  <c r="X77" i="153"/>
  <c r="X142" i="153" s="1"/>
  <c r="X72" i="153"/>
  <c r="X136" i="153"/>
  <c r="X137" i="153" s="1"/>
  <c r="AU71" i="155"/>
  <c r="AU66" i="155"/>
  <c r="AU130" i="155"/>
  <c r="AU131" i="155" s="1"/>
  <c r="BC104" i="153"/>
  <c r="BC105" i="153" s="1"/>
  <c r="BC54" i="153"/>
  <c r="BC40" i="153"/>
  <c r="AN72" i="155"/>
  <c r="AN77" i="155"/>
  <c r="AN142" i="155" s="1"/>
  <c r="AN136" i="155"/>
  <c r="AN137" i="155" s="1"/>
  <c r="AH65" i="153"/>
  <c r="AH126" i="153"/>
  <c r="AH127" i="153" s="1"/>
  <c r="AH62" i="153"/>
  <c r="P101" i="153"/>
  <c r="N102" i="153"/>
  <c r="P102" i="153" s="1"/>
  <c r="AO72" i="155"/>
  <c r="AO77" i="155"/>
  <c r="AO142" i="155" s="1"/>
  <c r="AO136" i="155"/>
  <c r="AO137" i="155" s="1"/>
  <c r="AG65" i="153"/>
  <c r="AG126" i="153"/>
  <c r="AG127" i="153" s="1"/>
  <c r="AG62" i="153"/>
  <c r="BC66" i="155"/>
  <c r="BC71" i="155"/>
  <c r="BC130" i="155"/>
  <c r="BC131" i="155" s="1"/>
  <c r="BY119" i="153"/>
  <c r="BY61" i="153"/>
  <c r="BV119" i="155"/>
  <c r="BV61" i="155"/>
  <c r="BO65" i="155"/>
  <c r="BO62" i="155"/>
  <c r="BO126" i="155"/>
  <c r="BO127" i="155" s="1"/>
  <c r="N54" i="153"/>
  <c r="BA65" i="155"/>
  <c r="BA126" i="155"/>
  <c r="BA127" i="155" s="1"/>
  <c r="BA62" i="155"/>
  <c r="R77" i="153"/>
  <c r="R142" i="153" s="1"/>
  <c r="R72" i="153"/>
  <c r="R136" i="153"/>
  <c r="R137" i="153" s="1"/>
  <c r="AC65" i="153"/>
  <c r="AC62" i="153"/>
  <c r="AC126" i="153"/>
  <c r="AC127" i="153" s="1"/>
  <c r="BB66" i="155"/>
  <c r="BB71" i="155"/>
  <c r="BB130" i="155"/>
  <c r="BB131" i="155" s="1"/>
  <c r="T77" i="153"/>
  <c r="T142" i="153" s="1"/>
  <c r="T72" i="153"/>
  <c r="T136" i="153"/>
  <c r="T137" i="153" s="1"/>
  <c r="BN65" i="153"/>
  <c r="BN126" i="153"/>
  <c r="BN127" i="153" s="1"/>
  <c r="BN62" i="153"/>
  <c r="BW119" i="153"/>
  <c r="BW61" i="153"/>
  <c r="BR65" i="155"/>
  <c r="BR62" i="155"/>
  <c r="BR126" i="155"/>
  <c r="BR127" i="155" s="1"/>
  <c r="BP65" i="153"/>
  <c r="BP126" i="153"/>
  <c r="BP127" i="153" s="1"/>
  <c r="BP62" i="153"/>
  <c r="AJ77" i="155"/>
  <c r="AJ142" i="155" s="1"/>
  <c r="AJ72" i="155"/>
  <c r="AJ136" i="155"/>
  <c r="AJ137" i="155" s="1"/>
  <c r="BY119" i="155"/>
  <c r="BY61" i="155"/>
  <c r="V72" i="153"/>
  <c r="V77" i="153"/>
  <c r="V142" i="153" s="1"/>
  <c r="V136" i="153"/>
  <c r="V137" i="153" s="1"/>
  <c r="BI66" i="155"/>
  <c r="BI71" i="155"/>
  <c r="BI130" i="155"/>
  <c r="BI131" i="155" s="1"/>
  <c r="BE104" i="153"/>
  <c r="BE105" i="153" s="1"/>
  <c r="BE40" i="153"/>
  <c r="BE54" i="153"/>
  <c r="BD104" i="153"/>
  <c r="BD105" i="153" s="1"/>
  <c r="BD54" i="153"/>
  <c r="BD40" i="153"/>
  <c r="N54" i="155"/>
  <c r="J72" i="155"/>
  <c r="J77" i="155"/>
  <c r="J142" i="155" s="1"/>
  <c r="J136" i="155"/>
  <c r="J137" i="155" s="1"/>
  <c r="AI66" i="153"/>
  <c r="AI71" i="153"/>
  <c r="AI130" i="153"/>
  <c r="AI131" i="153" s="1"/>
  <c r="M136" i="154"/>
  <c r="M137" i="154" s="1"/>
  <c r="M77" i="154"/>
  <c r="M142" i="154" s="1"/>
  <c r="M72" i="154"/>
  <c r="AV72" i="155"/>
  <c r="AV77" i="155"/>
  <c r="AV142" i="155" s="1"/>
  <c r="AV136" i="155"/>
  <c r="AV137" i="155" s="1"/>
  <c r="BO65" i="153"/>
  <c r="BO62" i="153"/>
  <c r="BO126" i="153"/>
  <c r="BO127" i="153" s="1"/>
  <c r="AY71" i="155"/>
  <c r="AY66" i="155"/>
  <c r="AY130" i="155"/>
  <c r="AY131" i="155" s="1"/>
  <c r="BO39" i="103"/>
  <c r="BO40" i="103" s="1"/>
  <c r="BN85" i="105"/>
  <c r="AS36" i="104"/>
  <c r="AS37" i="104" s="1"/>
  <c r="BK26" i="105"/>
  <c r="BV23" i="105"/>
  <c r="BQ86" i="105"/>
  <c r="BL24" i="105"/>
  <c r="BZ24" i="105"/>
  <c r="BM69" i="105"/>
  <c r="BH34" i="151" s="1"/>
  <c r="BO92" i="99"/>
  <c r="BO93" i="99" s="1"/>
  <c r="BO28" i="99"/>
  <c r="BO39" i="99"/>
  <c r="BO104" i="103" s="1"/>
  <c r="BO105" i="103" s="1"/>
  <c r="BO92" i="104"/>
  <c r="BO93" i="104" s="1"/>
  <c r="BR91" i="104"/>
  <c r="BR26" i="104" s="1"/>
  <c r="BT69" i="105"/>
  <c r="BO34" i="151" s="1"/>
  <c r="BM92" i="104"/>
  <c r="BM93" i="104" s="1"/>
  <c r="BR91" i="103"/>
  <c r="BR26" i="103" s="1"/>
  <c r="J104" i="103"/>
  <c r="J105" i="103" s="1"/>
  <c r="O126" i="105"/>
  <c r="BH69" i="105"/>
  <c r="BC34" i="151" s="1"/>
  <c r="Q92" i="105"/>
  <c r="Q96" i="105"/>
  <c r="Q86" i="105"/>
  <c r="P95" i="105"/>
  <c r="Q88" i="105"/>
  <c r="Q93" i="105"/>
  <c r="Q94" i="105"/>
  <c r="P84" i="105"/>
  <c r="Q85" i="105"/>
  <c r="O87" i="105"/>
  <c r="S102" i="105"/>
  <c r="O97" i="105"/>
  <c r="BW88" i="103"/>
  <c r="BW23" i="103" s="1"/>
  <c r="P81" i="105"/>
  <c r="BM28" i="99"/>
  <c r="BM39" i="99"/>
  <c r="BM104" i="103" s="1"/>
  <c r="BM105" i="103" s="1"/>
  <c r="BW88" i="104"/>
  <c r="BW23" i="104" s="1"/>
  <c r="N23" i="99"/>
  <c r="N88" i="103" s="1"/>
  <c r="P88" i="103" s="1"/>
  <c r="BM92" i="99"/>
  <c r="BM93" i="99" s="1"/>
  <c r="Y54" i="105"/>
  <c r="Y61" i="105" s="1"/>
  <c r="BF69" i="105"/>
  <c r="BA34" i="151" s="1"/>
  <c r="AZ69" i="105"/>
  <c r="AU34" i="151" s="1"/>
  <c r="BA69" i="105"/>
  <c r="AV34" i="151" s="1"/>
  <c r="P69" i="105"/>
  <c r="K34" i="151" s="1"/>
  <c r="BD69" i="105"/>
  <c r="AY34" i="151" s="1"/>
  <c r="BC69" i="105"/>
  <c r="AX34" i="151" s="1"/>
  <c r="BG69" i="105"/>
  <c r="BB34" i="151" s="1"/>
  <c r="BB69" i="105"/>
  <c r="AW34" i="151" s="1"/>
  <c r="BE69" i="105"/>
  <c r="AZ34" i="151" s="1"/>
  <c r="AW126" i="105"/>
  <c r="P68" i="105"/>
  <c r="K33" i="151" s="1"/>
  <c r="BS69" i="105"/>
  <c r="BN34" i="151" s="1"/>
  <c r="BR69" i="105"/>
  <c r="BM34" i="151" s="1"/>
  <c r="AA28" i="105"/>
  <c r="Z54" i="105"/>
  <c r="Z61" i="105" s="1"/>
  <c r="U126" i="103"/>
  <c r="U127" i="103" s="1"/>
  <c r="U65" i="99"/>
  <c r="R126" i="103"/>
  <c r="R127" i="103" s="1"/>
  <c r="R65" i="99"/>
  <c r="T126" i="103"/>
  <c r="T127" i="103" s="1"/>
  <c r="T65" i="99"/>
  <c r="S126" i="103"/>
  <c r="S127" i="103" s="1"/>
  <c r="S65" i="99"/>
  <c r="Y99" i="105"/>
  <c r="BP88" i="103"/>
  <c r="BP23" i="103" s="1"/>
  <c r="BP88" i="104"/>
  <c r="BP23" i="104" s="1"/>
  <c r="AA39" i="105"/>
  <c r="Z40" i="105"/>
  <c r="BP415" i="99"/>
  <c r="BP454" i="99" s="1" a="1"/>
  <c r="BP454" i="99" s="1"/>
  <c r="BP457" i="99" s="1"/>
  <c r="BP69" i="99" s="1"/>
  <c r="BP134" i="99" s="1"/>
  <c r="BR415" i="99"/>
  <c r="BW415" i="99"/>
  <c r="AK39" i="105"/>
  <c r="AK28" i="105"/>
  <c r="AE39" i="105"/>
  <c r="AE28" i="105"/>
  <c r="AP126" i="105"/>
  <c r="AI40" i="105"/>
  <c r="AI99" i="105"/>
  <c r="AX27" i="105"/>
  <c r="AX28" i="105" s="1"/>
  <c r="AX87" i="105"/>
  <c r="BV94" i="105"/>
  <c r="BL93" i="105"/>
  <c r="BQ85" i="105"/>
  <c r="BY86" i="105"/>
  <c r="BK94" i="105"/>
  <c r="BM81" i="105"/>
  <c r="BA81" i="105"/>
  <c r="W40" i="105"/>
  <c r="W99" i="105"/>
  <c r="BD81" i="105"/>
  <c r="BB84" i="105"/>
  <c r="BB36" i="105"/>
  <c r="BB95" i="105"/>
  <c r="BH81" i="105"/>
  <c r="BH84" i="105"/>
  <c r="BR36" i="105"/>
  <c r="BR95" i="105"/>
  <c r="AN37" i="105"/>
  <c r="AN97" i="105"/>
  <c r="AM126" i="105"/>
  <c r="BX93" i="105"/>
  <c r="AY84" i="105"/>
  <c r="AO27" i="105"/>
  <c r="AO39" i="105" s="1"/>
  <c r="AJ22" i="151" s="1"/>
  <c r="AO87" i="105"/>
  <c r="BE36" i="105"/>
  <c r="BE95" i="105"/>
  <c r="BO94" i="105"/>
  <c r="AS27" i="105"/>
  <c r="AS39" i="105" s="1"/>
  <c r="AN22" i="151" s="1"/>
  <c r="AS87" i="105"/>
  <c r="BH36" i="105"/>
  <c r="BH95" i="105"/>
  <c r="AV126" i="105"/>
  <c r="AW27" i="105"/>
  <c r="AW39" i="105" s="1"/>
  <c r="AR22" i="151" s="1"/>
  <c r="AW87" i="105"/>
  <c r="AJ54" i="105"/>
  <c r="AJ99" i="105"/>
  <c r="BX94" i="105"/>
  <c r="BQ94" i="105"/>
  <c r="BO86" i="105"/>
  <c r="BS84" i="105"/>
  <c r="BN36" i="105"/>
  <c r="BN95" i="105"/>
  <c r="BA36" i="105"/>
  <c r="BA95" i="105"/>
  <c r="BP96" i="105"/>
  <c r="AO37" i="105"/>
  <c r="AO97" i="105"/>
  <c r="BE81" i="105"/>
  <c r="AZ36" i="105"/>
  <c r="AZ95" i="105"/>
  <c r="AX126" i="105"/>
  <c r="AU37" i="105"/>
  <c r="AU97" i="105"/>
  <c r="AV27" i="105"/>
  <c r="AV39" i="105" s="1"/>
  <c r="AQ22" i="151" s="1"/>
  <c r="AV87" i="105"/>
  <c r="AN27" i="105"/>
  <c r="AN39" i="105" s="1"/>
  <c r="AI22" i="151" s="1"/>
  <c r="AN87" i="105"/>
  <c r="BO85" i="105"/>
  <c r="X61" i="105"/>
  <c r="X113" i="105"/>
  <c r="BC36" i="105"/>
  <c r="BC95" i="105"/>
  <c r="CD88" i="105"/>
  <c r="AU27" i="105"/>
  <c r="AU28" i="105" s="1"/>
  <c r="AU87" i="105"/>
  <c r="AQ27" i="105"/>
  <c r="AQ39" i="105" s="1"/>
  <c r="AL22" i="151" s="1"/>
  <c r="AQ87" i="105"/>
  <c r="BD36" i="105"/>
  <c r="BD95" i="105"/>
  <c r="AF54" i="105"/>
  <c r="AF99" i="105"/>
  <c r="BP93" i="105"/>
  <c r="AL39" i="105"/>
  <c r="AG22" i="151" s="1"/>
  <c r="AL89" i="105"/>
  <c r="AM37" i="105"/>
  <c r="AM97" i="105"/>
  <c r="AH39" i="105"/>
  <c r="AC22" i="151" s="1"/>
  <c r="AH89" i="105"/>
  <c r="BA84" i="105"/>
  <c r="BD84" i="105"/>
  <c r="AY81" i="105"/>
  <c r="BI96" i="105"/>
  <c r="AJ28" i="105"/>
  <c r="AJ89" i="105"/>
  <c r="BM27" i="105"/>
  <c r="BM89" i="105" s="1"/>
  <c r="BM87" i="105"/>
  <c r="BZ96" i="105"/>
  <c r="AC28" i="105"/>
  <c r="AC89" i="105"/>
  <c r="BP86" i="105"/>
  <c r="AQ126" i="105"/>
  <c r="BC84" i="105"/>
  <c r="AT27" i="105"/>
  <c r="AT39" i="105" s="1"/>
  <c r="AO22" i="151" s="1"/>
  <c r="AT87" i="105"/>
  <c r="BJ85" i="105"/>
  <c r="BJ96" i="105"/>
  <c r="P36" i="105"/>
  <c r="AW37" i="105"/>
  <c r="AW97" i="105"/>
  <c r="AD39" i="105"/>
  <c r="Y22" i="151" s="1"/>
  <c r="AD89" i="105"/>
  <c r="AR126" i="105"/>
  <c r="AN126" i="105"/>
  <c r="BF36" i="105"/>
  <c r="BF95" i="105"/>
  <c r="BP88" i="105"/>
  <c r="AR37" i="105"/>
  <c r="AR97" i="105"/>
  <c r="AB28" i="105"/>
  <c r="AB89" i="105"/>
  <c r="BC81" i="105"/>
  <c r="BT84" i="105"/>
  <c r="AT126" i="105"/>
  <c r="CA96" i="105"/>
  <c r="BS36" i="105"/>
  <c r="BS95" i="105"/>
  <c r="AS126" i="105"/>
  <c r="AR27" i="105"/>
  <c r="AR39" i="105" s="1"/>
  <c r="AM22" i="151" s="1"/>
  <c r="AR87" i="105"/>
  <c r="BG81" i="105"/>
  <c r="AP27" i="105"/>
  <c r="AP39" i="105" s="1"/>
  <c r="AK22" i="151" s="1"/>
  <c r="AP87" i="105"/>
  <c r="BG36" i="105"/>
  <c r="BG95" i="105"/>
  <c r="AB54" i="105"/>
  <c r="AB99" i="105"/>
  <c r="AX37" i="105"/>
  <c r="AX97" i="105"/>
  <c r="AT37" i="105"/>
  <c r="AT97" i="105"/>
  <c r="AV37" i="105"/>
  <c r="AV97" i="105"/>
  <c r="AY126" i="105"/>
  <c r="BB81" i="105"/>
  <c r="AZ84" i="105"/>
  <c r="BE84" i="105"/>
  <c r="AC40" i="105"/>
  <c r="AC99" i="105"/>
  <c r="AG54" i="105"/>
  <c r="AG99" i="105"/>
  <c r="BM36" i="105"/>
  <c r="BM95" i="105"/>
  <c r="BQ96" i="105"/>
  <c r="BK93" i="105"/>
  <c r="BY88" i="105"/>
  <c r="BS81" i="105"/>
  <c r="AF28" i="105"/>
  <c r="AF89" i="105"/>
  <c r="AS37" i="105"/>
  <c r="AS97" i="105"/>
  <c r="BG84" i="105"/>
  <c r="BF81" i="105"/>
  <c r="BF84" i="105"/>
  <c r="BI86" i="105"/>
  <c r="AY36" i="105"/>
  <c r="AY95" i="105"/>
  <c r="BO96" i="105"/>
  <c r="BN88" i="105"/>
  <c r="BY94" i="105"/>
  <c r="BR84" i="105"/>
  <c r="AG28" i="105"/>
  <c r="AG89" i="105"/>
  <c r="AP37" i="105"/>
  <c r="AP97" i="105"/>
  <c r="AZ81" i="105"/>
  <c r="CC88" i="105"/>
  <c r="AM27" i="105"/>
  <c r="AM89" i="105" s="1"/>
  <c r="AM87" i="105"/>
  <c r="AI28" i="105"/>
  <c r="AI89" i="105"/>
  <c r="AQ37" i="105"/>
  <c r="AQ97" i="105"/>
  <c r="AS54" i="103"/>
  <c r="AS61" i="103" s="1"/>
  <c r="AS65" i="103" s="1"/>
  <c r="BW89" i="104"/>
  <c r="BW24" i="104" s="1"/>
  <c r="CB24" i="105" s="1"/>
  <c r="BW89" i="99"/>
  <c r="BP89" i="99"/>
  <c r="R423" i="99"/>
  <c r="BR25" i="105"/>
  <c r="CA32" i="105"/>
  <c r="BX26" i="105"/>
  <c r="BP89" i="104"/>
  <c r="BP24" i="104" s="1"/>
  <c r="BU24" i="105" s="1"/>
  <c r="M100" i="99"/>
  <c r="M100" i="104"/>
  <c r="BI33" i="105"/>
  <c r="M33" i="104"/>
  <c r="M24" i="103"/>
  <c r="N35" i="99"/>
  <c r="N100" i="103" s="1"/>
  <c r="P100" i="103" s="1"/>
  <c r="N24" i="99"/>
  <c r="N89" i="103" s="1"/>
  <c r="P89" i="103" s="1"/>
  <c r="N33" i="99"/>
  <c r="N98" i="103" s="1"/>
  <c r="P98" i="103" s="1"/>
  <c r="M35" i="103"/>
  <c r="N26" i="99"/>
  <c r="N91" i="103" s="1"/>
  <c r="P91" i="103" s="1"/>
  <c r="BW98" i="104"/>
  <c r="BW33" i="104" s="1"/>
  <c r="M91" i="104"/>
  <c r="M24" i="104"/>
  <c r="BW98" i="99"/>
  <c r="BW98" i="103"/>
  <c r="BW33" i="103" s="1"/>
  <c r="M26" i="104"/>
  <c r="M89" i="99"/>
  <c r="M26" i="103"/>
  <c r="M89" i="104"/>
  <c r="CB32" i="105"/>
  <c r="M33" i="103"/>
  <c r="BI26" i="105"/>
  <c r="BK24" i="105"/>
  <c r="BW32" i="105"/>
  <c r="BK35" i="105"/>
  <c r="BJ26" i="105"/>
  <c r="S45" i="105"/>
  <c r="N23" i="151" s="1"/>
  <c r="BI23" i="105"/>
  <c r="M91" i="99"/>
  <c r="M32" i="103"/>
  <c r="BU33" i="105"/>
  <c r="BK23" i="105"/>
  <c r="BN25" i="103"/>
  <c r="BN27" i="103" s="1"/>
  <c r="BN39" i="103" s="1"/>
  <c r="BI134" i="103"/>
  <c r="BI69" i="103" s="1"/>
  <c r="BI134" i="104"/>
  <c r="BI69" i="104" s="1"/>
  <c r="BF418" i="99"/>
  <c r="BR100" i="99"/>
  <c r="BE454" i="99" a="1"/>
  <c r="BE454" i="99" s="1"/>
  <c r="BE457" i="99" s="1"/>
  <c r="BE69" i="99" s="1"/>
  <c r="BE134" i="99" s="1"/>
  <c r="BE418" i="99"/>
  <c r="BR100" i="104"/>
  <c r="BR35" i="104" s="1"/>
  <c r="BW35" i="105" s="1"/>
  <c r="U43" i="105"/>
  <c r="BJ32" i="105"/>
  <c r="BI147" i="104"/>
  <c r="M32" i="104"/>
  <c r="BD454" i="99" a="1"/>
  <c r="BD454" i="99" s="1"/>
  <c r="BD457" i="99" s="1"/>
  <c r="BD69" i="99" s="1"/>
  <c r="BD134" i="99" s="1"/>
  <c r="BD418" i="99"/>
  <c r="M97" i="103"/>
  <c r="M97" i="99"/>
  <c r="M97" i="104"/>
  <c r="BN90" i="103"/>
  <c r="BN90" i="104"/>
  <c r="BN25" i="104" s="1"/>
  <c r="BN90" i="99"/>
  <c r="BN27" i="99"/>
  <c r="BI25" i="103"/>
  <c r="BI27" i="103" s="1"/>
  <c r="BN22" i="105"/>
  <c r="BI146" i="103"/>
  <c r="BF96" i="104"/>
  <c r="BF31" i="104" s="1"/>
  <c r="BF96" i="99"/>
  <c r="BF34" i="99"/>
  <c r="BF96" i="103"/>
  <c r="BF31" i="103" s="1"/>
  <c r="BF34" i="103" s="1"/>
  <c r="BF36" i="103" s="1"/>
  <c r="BF37" i="103" s="1"/>
  <c r="BJ33" i="105"/>
  <c r="BI32" i="105"/>
  <c r="BS23" i="105"/>
  <c r="BI90" i="104"/>
  <c r="BI25" i="104" s="1"/>
  <c r="BI90" i="99"/>
  <c r="BI27" i="99"/>
  <c r="BI90" i="103"/>
  <c r="BD84" i="103"/>
  <c r="BD19" i="103" s="1"/>
  <c r="BD148" i="99"/>
  <c r="BD84" i="99"/>
  <c r="BD147" i="99"/>
  <c r="BD146" i="99"/>
  <c r="BD84" i="104"/>
  <c r="BD19" i="104" s="1"/>
  <c r="M35" i="104"/>
  <c r="BD87" i="99"/>
  <c r="BD145" i="99"/>
  <c r="BD25" i="99"/>
  <c r="BD87" i="104"/>
  <c r="BD22" i="104" s="1"/>
  <c r="BD87" i="103"/>
  <c r="BD22" i="103" s="1"/>
  <c r="BR22" i="99"/>
  <c r="BR278" i="99"/>
  <c r="BR469" i="99"/>
  <c r="BR19" i="99" s="1"/>
  <c r="BR146" i="99" s="1"/>
  <c r="BF87" i="103"/>
  <c r="BF22" i="103" s="1"/>
  <c r="BF25" i="99"/>
  <c r="BF145" i="99"/>
  <c r="BF87" i="99"/>
  <c r="BF87" i="104"/>
  <c r="BF22" i="104" s="1"/>
  <c r="BR88" i="104"/>
  <c r="BR23" i="104" s="1"/>
  <c r="BR88" i="103"/>
  <c r="BR23" i="103" s="1"/>
  <c r="BR88" i="99"/>
  <c r="BF148" i="99"/>
  <c r="BF84" i="104"/>
  <c r="BF19" i="104" s="1"/>
  <c r="BF149" i="104" s="1"/>
  <c r="BF84" i="99"/>
  <c r="BF146" i="99"/>
  <c r="BF84" i="103"/>
  <c r="BF19" i="103" s="1"/>
  <c r="BE96" i="103"/>
  <c r="BE31" i="103" s="1"/>
  <c r="BE34" i="103" s="1"/>
  <c r="BE36" i="103" s="1"/>
  <c r="BE37" i="103" s="1"/>
  <c r="BE96" i="104"/>
  <c r="BE31" i="104" s="1"/>
  <c r="BE96" i="99"/>
  <c r="BE34" i="99"/>
  <c r="BR31" i="99"/>
  <c r="BR322" i="99"/>
  <c r="BR89" i="104"/>
  <c r="BR24" i="104" s="1"/>
  <c r="BR89" i="99"/>
  <c r="BR89" i="103"/>
  <c r="BR24" i="103" s="1"/>
  <c r="BI147" i="103"/>
  <c r="BN19" i="105"/>
  <c r="BI149" i="103"/>
  <c r="BI148" i="103"/>
  <c r="BE87" i="99"/>
  <c r="BE145" i="99"/>
  <c r="BE25" i="99"/>
  <c r="BE87" i="104"/>
  <c r="BE22" i="104" s="1"/>
  <c r="BE87" i="103"/>
  <c r="BE22" i="103" s="1"/>
  <c r="BR98" i="99"/>
  <c r="BR98" i="104"/>
  <c r="BR33" i="104" s="1"/>
  <c r="BR98" i="103"/>
  <c r="BR33" i="103" s="1"/>
  <c r="BW22" i="99"/>
  <c r="BW278" i="99"/>
  <c r="BW469" i="99"/>
  <c r="BW19" i="99" s="1"/>
  <c r="BW148" i="99" s="1"/>
  <c r="BF134" i="104"/>
  <c r="BF69" i="104" s="1"/>
  <c r="BF134" i="103"/>
  <c r="BF69" i="103" s="1"/>
  <c r="BI150" i="104"/>
  <c r="BI149" i="104"/>
  <c r="BI148" i="104"/>
  <c r="BE84" i="103"/>
  <c r="BE19" i="103" s="1"/>
  <c r="BE147" i="99"/>
  <c r="BE84" i="104"/>
  <c r="BE19" i="104" s="1"/>
  <c r="BE148" i="99"/>
  <c r="BE84" i="99"/>
  <c r="BE146" i="99"/>
  <c r="BJ24" i="105"/>
  <c r="BP97" i="103"/>
  <c r="BP32" i="103" s="1"/>
  <c r="N32" i="103" s="1"/>
  <c r="P32" i="103" s="1"/>
  <c r="BP97" i="99"/>
  <c r="BP97" i="104"/>
  <c r="BP32" i="104" s="1"/>
  <c r="N32" i="104" s="1"/>
  <c r="P32" i="104" s="1"/>
  <c r="BW91" i="99"/>
  <c r="BW91" i="103"/>
  <c r="BW26" i="103" s="1"/>
  <c r="BW91" i="104"/>
  <c r="BW26" i="104" s="1"/>
  <c r="BW31" i="99"/>
  <c r="BW322" i="99"/>
  <c r="BP22" i="99"/>
  <c r="BP469" i="99"/>
  <c r="BP19" i="99" s="1"/>
  <c r="BP148" i="99" s="1"/>
  <c r="BP278" i="99"/>
  <c r="BW100" i="103"/>
  <c r="BW35" i="103" s="1"/>
  <c r="BW100" i="99"/>
  <c r="BW100" i="104"/>
  <c r="BW35" i="104" s="1"/>
  <c r="BD96" i="104"/>
  <c r="BD31" i="104" s="1"/>
  <c r="BD34" i="99"/>
  <c r="BD96" i="99"/>
  <c r="BD96" i="103"/>
  <c r="BD31" i="103" s="1"/>
  <c r="BD34" i="103" s="1"/>
  <c r="BD36" i="103" s="1"/>
  <c r="BD37" i="103" s="1"/>
  <c r="BP91" i="99"/>
  <c r="BP91" i="104"/>
  <c r="BP26" i="104" s="1"/>
  <c r="BP91" i="103"/>
  <c r="BP26" i="103" s="1"/>
  <c r="BP31" i="99"/>
  <c r="BP322" i="99"/>
  <c r="BP100" i="99"/>
  <c r="BP100" i="104"/>
  <c r="BP35" i="104" s="1"/>
  <c r="BP100" i="103"/>
  <c r="BP35" i="103" s="1"/>
  <c r="BZ32" i="105"/>
  <c r="CA26" i="105"/>
  <c r="CA33" i="105"/>
  <c r="BS454" i="99" a="1"/>
  <c r="BS454" i="99" s="1"/>
  <c r="BS457" i="99" s="1"/>
  <c r="BS69" i="99" s="1"/>
  <c r="BS134" i="99" s="1"/>
  <c r="BX24" i="105"/>
  <c r="BY23" i="105"/>
  <c r="BL35" i="105"/>
  <c r="BZ33" i="105"/>
  <c r="BL26" i="105"/>
  <c r="CA23" i="105"/>
  <c r="BX35" i="105"/>
  <c r="BO31" i="105"/>
  <c r="BL134" i="103"/>
  <c r="BL69" i="103" s="1"/>
  <c r="BL134" i="104"/>
  <c r="BL69" i="104" s="1"/>
  <c r="BV147" i="99"/>
  <c r="BG418" i="99"/>
  <c r="BG454" i="99" a="1"/>
  <c r="BG454" i="99" s="1"/>
  <c r="BG457" i="99" s="1"/>
  <c r="BG69" i="99" s="1"/>
  <c r="BG134" i="99" s="1"/>
  <c r="BJ134" i="103"/>
  <c r="BJ69" i="103" s="1"/>
  <c r="BJ134" i="104"/>
  <c r="BJ69" i="104" s="1"/>
  <c r="BK148" i="104"/>
  <c r="BK149" i="104"/>
  <c r="BK150" i="104"/>
  <c r="BJ25" i="103"/>
  <c r="BJ27" i="103" s="1"/>
  <c r="BO22" i="105"/>
  <c r="BJ146" i="103"/>
  <c r="BJ147" i="104"/>
  <c r="BK99" i="103"/>
  <c r="BK99" i="99"/>
  <c r="BK99" i="104"/>
  <c r="BK34" i="104" s="1"/>
  <c r="BK36" i="99"/>
  <c r="BS145" i="99"/>
  <c r="BS87" i="104"/>
  <c r="BS22" i="104" s="1"/>
  <c r="BS25" i="99"/>
  <c r="BS87" i="99"/>
  <c r="BS87" i="103"/>
  <c r="BS22" i="103" s="1"/>
  <c r="BZ26" i="105"/>
  <c r="BY35" i="105"/>
  <c r="BK149" i="103"/>
  <c r="BK147" i="103"/>
  <c r="BP19" i="105"/>
  <c r="BK148" i="103"/>
  <c r="BK34" i="103"/>
  <c r="BK36" i="103" s="1"/>
  <c r="BK37" i="103" s="1"/>
  <c r="BP31" i="105"/>
  <c r="BS96" i="99"/>
  <c r="BS34" i="99"/>
  <c r="BS96" i="103"/>
  <c r="BS31" i="103" s="1"/>
  <c r="BS34" i="103" s="1"/>
  <c r="BS36" i="103" s="1"/>
  <c r="BS37" i="103" s="1"/>
  <c r="BS96" i="104"/>
  <c r="BS31" i="104" s="1"/>
  <c r="BL99" i="103"/>
  <c r="BL36" i="99"/>
  <c r="BL99" i="99"/>
  <c r="BL99" i="104"/>
  <c r="BL34" i="104" s="1"/>
  <c r="BS84" i="99"/>
  <c r="BS84" i="104"/>
  <c r="BS19" i="104" s="1"/>
  <c r="BS84" i="103"/>
  <c r="BS19" i="103" s="1"/>
  <c r="BS148" i="99"/>
  <c r="BS147" i="99"/>
  <c r="BU84" i="104"/>
  <c r="BU19" i="104" s="1"/>
  <c r="BU150" i="104" s="1"/>
  <c r="BU84" i="103"/>
  <c r="BU19" i="103" s="1"/>
  <c r="BU147" i="103" s="1"/>
  <c r="BU84" i="99"/>
  <c r="BU147" i="99"/>
  <c r="BT96" i="103"/>
  <c r="BT31" i="103" s="1"/>
  <c r="BT34" i="99"/>
  <c r="BT96" i="104"/>
  <c r="BT31" i="104" s="1"/>
  <c r="BT96" i="99"/>
  <c r="BK90" i="103"/>
  <c r="BK90" i="99"/>
  <c r="BK90" i="104"/>
  <c r="BK25" i="104" s="1"/>
  <c r="BK27" i="99"/>
  <c r="BU87" i="103"/>
  <c r="BU22" i="103" s="1"/>
  <c r="BU25" i="99"/>
  <c r="BU87" i="104"/>
  <c r="BU22" i="104" s="1"/>
  <c r="BU145" i="99"/>
  <c r="BU87" i="99"/>
  <c r="BQ31" i="105"/>
  <c r="BL34" i="103"/>
  <c r="BL36" i="103" s="1"/>
  <c r="BL37" i="103" s="1"/>
  <c r="BT454" i="99" a="1"/>
  <c r="BT454" i="99" s="1"/>
  <c r="BT457" i="99" s="1"/>
  <c r="BT69" i="99" s="1"/>
  <c r="BT134" i="99" s="1"/>
  <c r="BT418" i="99"/>
  <c r="BK134" i="104"/>
  <c r="BK69" i="104" s="1"/>
  <c r="BK134" i="103"/>
  <c r="BK69" i="103" s="1"/>
  <c r="BK25" i="103"/>
  <c r="BK27" i="103" s="1"/>
  <c r="BP22" i="105"/>
  <c r="BK146" i="103"/>
  <c r="BJ149" i="104"/>
  <c r="BJ148" i="104"/>
  <c r="BJ150" i="104"/>
  <c r="BL149" i="104"/>
  <c r="BL148" i="104"/>
  <c r="BL150" i="104"/>
  <c r="BK147" i="104"/>
  <c r="BV84" i="99"/>
  <c r="BV84" i="104"/>
  <c r="BV19" i="104" s="1"/>
  <c r="BV148" i="104" s="1"/>
  <c r="BV84" i="103"/>
  <c r="BV19" i="103" s="1"/>
  <c r="BV148" i="103" s="1"/>
  <c r="BT84" i="103"/>
  <c r="BT19" i="103" s="1"/>
  <c r="BT84" i="99"/>
  <c r="BT147" i="99"/>
  <c r="BT146" i="99"/>
  <c r="BT148" i="99"/>
  <c r="BT84" i="104"/>
  <c r="BT19" i="104" s="1"/>
  <c r="BV25" i="99"/>
  <c r="BV145" i="99"/>
  <c r="BV87" i="99"/>
  <c r="BV87" i="104"/>
  <c r="BV22" i="104" s="1"/>
  <c r="BV87" i="103"/>
  <c r="BV22" i="103" s="1"/>
  <c r="BQ19" i="105"/>
  <c r="BL147" i="103"/>
  <c r="BL149" i="103"/>
  <c r="BL148" i="103"/>
  <c r="BT25" i="99"/>
  <c r="BT87" i="99"/>
  <c r="BT87" i="103"/>
  <c r="BT22" i="103" s="1"/>
  <c r="BT145" i="99"/>
  <c r="BT87" i="104"/>
  <c r="BT22" i="104" s="1"/>
  <c r="CA24" i="105"/>
  <c r="BV454" i="99" a="1"/>
  <c r="BV454" i="99" s="1"/>
  <c r="BV457" i="99" s="1"/>
  <c r="BV69" i="99" s="1"/>
  <c r="BV134" i="99" s="1"/>
  <c r="BV418" i="99"/>
  <c r="BJ147" i="103"/>
  <c r="BJ148" i="103"/>
  <c r="BJ149" i="103"/>
  <c r="BO19" i="105"/>
  <c r="BU96" i="103"/>
  <c r="BU31" i="103" s="1"/>
  <c r="BU34" i="103" s="1"/>
  <c r="BU36" i="103" s="1"/>
  <c r="BU37" i="103" s="1"/>
  <c r="BU96" i="99"/>
  <c r="BU34" i="99"/>
  <c r="BU96" i="104"/>
  <c r="BU31" i="104" s="1"/>
  <c r="BL90" i="103"/>
  <c r="BL90" i="99"/>
  <c r="BL27" i="99"/>
  <c r="BL90" i="104"/>
  <c r="BL25" i="104" s="1"/>
  <c r="BV146" i="99"/>
  <c r="BV96" i="103"/>
  <c r="BV31" i="103" s="1"/>
  <c r="BV34" i="103" s="1"/>
  <c r="BV36" i="103" s="1"/>
  <c r="BV37" i="103" s="1"/>
  <c r="BV96" i="99"/>
  <c r="BV34" i="99"/>
  <c r="BV96" i="104"/>
  <c r="BV31" i="104" s="1"/>
  <c r="BL25" i="103"/>
  <c r="BL27" i="103" s="1"/>
  <c r="BL146" i="103"/>
  <c r="BQ22" i="105"/>
  <c r="BU146" i="99"/>
  <c r="BU454" i="99" a="1"/>
  <c r="BU454" i="99" s="1"/>
  <c r="BU457" i="99" s="1"/>
  <c r="BU69" i="99" s="1"/>
  <c r="BU134" i="99" s="1"/>
  <c r="BU418" i="99"/>
  <c r="BJ99" i="103"/>
  <c r="BJ36" i="99"/>
  <c r="BJ99" i="99"/>
  <c r="BJ99" i="104"/>
  <c r="BJ34" i="104" s="1"/>
  <c r="BJ90" i="103"/>
  <c r="BJ90" i="99"/>
  <c r="BJ27" i="99"/>
  <c r="BJ90" i="104"/>
  <c r="BJ25" i="104" s="1"/>
  <c r="BL147" i="104"/>
  <c r="BZ23" i="105"/>
  <c r="BX23" i="105"/>
  <c r="BY32" i="105"/>
  <c r="M98" i="103"/>
  <c r="M98" i="99"/>
  <c r="M98" i="104"/>
  <c r="BL33" i="105"/>
  <c r="M31" i="99"/>
  <c r="BG96" i="103"/>
  <c r="BG31" i="103" s="1"/>
  <c r="BG34" i="99"/>
  <c r="BG96" i="99"/>
  <c r="BG96" i="104"/>
  <c r="BG31" i="104" s="1"/>
  <c r="BL23" i="105"/>
  <c r="M23" i="103"/>
  <c r="M23" i="104"/>
  <c r="M88" i="104"/>
  <c r="M88" i="103"/>
  <c r="M88" i="99"/>
  <c r="BG87" i="104"/>
  <c r="BG22" i="104" s="1"/>
  <c r="BG25" i="99"/>
  <c r="BG145" i="99"/>
  <c r="BG87" i="99"/>
  <c r="BG87" i="103"/>
  <c r="BG22" i="103" s="1"/>
  <c r="M22" i="99"/>
  <c r="BG84" i="103"/>
  <c r="BG19" i="103" s="1"/>
  <c r="BG147" i="103" s="1"/>
  <c r="BG84" i="104"/>
  <c r="BG19" i="104" s="1"/>
  <c r="BG147" i="99"/>
  <c r="BG84" i="99"/>
  <c r="BG148" i="99"/>
  <c r="M19" i="99"/>
  <c r="BV32" i="105"/>
  <c r="BV26" i="105"/>
  <c r="BV24" i="105"/>
  <c r="BV35" i="105"/>
  <c r="BQ457" i="99"/>
  <c r="BQ69" i="99" s="1"/>
  <c r="BQ134" i="99" s="1"/>
  <c r="BQ418" i="99"/>
  <c r="BQ96" i="103"/>
  <c r="BQ31" i="103" s="1"/>
  <c r="BQ34" i="103" s="1"/>
  <c r="BQ36" i="103" s="1"/>
  <c r="BQ37" i="103" s="1"/>
  <c r="BQ34" i="99"/>
  <c r="BQ96" i="99"/>
  <c r="BQ96" i="104"/>
  <c r="BQ31" i="104" s="1"/>
  <c r="BQ145" i="99"/>
  <c r="BQ87" i="99"/>
  <c r="BQ25" i="99"/>
  <c r="BQ87" i="104"/>
  <c r="BQ22" i="104" s="1"/>
  <c r="BQ87" i="103"/>
  <c r="BQ22" i="103" s="1"/>
  <c r="BQ84" i="99"/>
  <c r="BQ84" i="104"/>
  <c r="BQ19" i="104" s="1"/>
  <c r="BQ84" i="103"/>
  <c r="BQ19" i="103" s="1"/>
  <c r="BQ146" i="99"/>
  <c r="BQ148" i="99"/>
  <c r="W54" i="105"/>
  <c r="W113" i="105" s="1"/>
  <c r="AV25" i="103"/>
  <c r="AV27" i="103" s="1"/>
  <c r="AV28" i="103" s="1"/>
  <c r="BM54" i="103"/>
  <c r="BM61" i="103" s="1"/>
  <c r="BM65" i="103" s="1"/>
  <c r="AV146" i="103"/>
  <c r="CC31" i="105"/>
  <c r="BN36" i="104"/>
  <c r="BN37" i="104" s="1"/>
  <c r="AF40" i="105"/>
  <c r="BI36" i="104"/>
  <c r="BI37" i="104" s="1"/>
  <c r="AJ40" i="105"/>
  <c r="AG40" i="105"/>
  <c r="L90" i="99"/>
  <c r="CD32" i="105"/>
  <c r="L22" i="103"/>
  <c r="Q22" i="105" s="1"/>
  <c r="AC54" i="105"/>
  <c r="CD35" i="105"/>
  <c r="AB40" i="105"/>
  <c r="BH104" i="103"/>
  <c r="BH105" i="103" s="1"/>
  <c r="BF25" i="105"/>
  <c r="CD31" i="105"/>
  <c r="BB25" i="105"/>
  <c r="BD25" i="105"/>
  <c r="BH25" i="105"/>
  <c r="Q34" i="105"/>
  <c r="BT25" i="105"/>
  <c r="BA25" i="105"/>
  <c r="BG25" i="105"/>
  <c r="CC35" i="105"/>
  <c r="AY25" i="105"/>
  <c r="AI54" i="105"/>
  <c r="BE25" i="105"/>
  <c r="BC25" i="105"/>
  <c r="AZ25" i="105"/>
  <c r="BT36" i="105"/>
  <c r="BT97" i="105" s="1"/>
  <c r="CC32" i="105"/>
  <c r="CC33" i="105"/>
  <c r="CD24" i="105"/>
  <c r="CD33" i="105"/>
  <c r="CC23" i="105"/>
  <c r="CC24" i="105"/>
  <c r="CD23" i="105"/>
  <c r="BX418" i="99"/>
  <c r="BY87" i="103"/>
  <c r="BY22" i="103" s="1"/>
  <c r="L101" i="99"/>
  <c r="L102" i="99" s="1"/>
  <c r="L101" i="103"/>
  <c r="L102" i="103" s="1"/>
  <c r="BX134" i="104"/>
  <c r="BX69" i="104" s="1"/>
  <c r="BX134" i="103"/>
  <c r="BX69" i="103" s="1"/>
  <c r="BX87" i="103"/>
  <c r="BX22" i="103" s="1"/>
  <c r="L134" i="103"/>
  <c r="L134" i="104"/>
  <c r="BY134" i="104"/>
  <c r="BY69" i="104" s="1"/>
  <c r="BY134" i="103"/>
  <c r="BY69" i="103" s="1"/>
  <c r="L149" i="104"/>
  <c r="BO36" i="104"/>
  <c r="BO37" i="104" s="1"/>
  <c r="L150" i="104"/>
  <c r="L147" i="104"/>
  <c r="AV92" i="104"/>
  <c r="AV93" i="104" s="1"/>
  <c r="AI104" i="104"/>
  <c r="AI105" i="104" s="1"/>
  <c r="BH104" i="104"/>
  <c r="BH105" i="104" s="1"/>
  <c r="AU92" i="104"/>
  <c r="AU93" i="104" s="1"/>
  <c r="AW92" i="104"/>
  <c r="AW93" i="104" s="1"/>
  <c r="AC119" i="104"/>
  <c r="AC54" i="104" s="1"/>
  <c r="L90" i="104"/>
  <c r="Q19" i="105"/>
  <c r="G63" i="294" s="1"/>
  <c r="AL104" i="104"/>
  <c r="AL105" i="104" s="1"/>
  <c r="AR104" i="104"/>
  <c r="AR105" i="104" s="1"/>
  <c r="BX99" i="104"/>
  <c r="BX34" i="104" s="1"/>
  <c r="AA119" i="104"/>
  <c r="AA54" i="104" s="1"/>
  <c r="BA92" i="104"/>
  <c r="BA93" i="104" s="1"/>
  <c r="AJ104" i="104"/>
  <c r="AJ105" i="104" s="1"/>
  <c r="J104" i="104"/>
  <c r="J105" i="104" s="1"/>
  <c r="AQ104" i="104"/>
  <c r="AQ105" i="104" s="1"/>
  <c r="L69" i="103"/>
  <c r="AT92" i="104"/>
  <c r="AT93" i="104" s="1"/>
  <c r="AX92" i="104"/>
  <c r="AX93" i="104" s="1"/>
  <c r="W119" i="104"/>
  <c r="W54" i="104" s="1"/>
  <c r="Z119" i="104"/>
  <c r="Z54" i="104" s="1"/>
  <c r="BB92" i="104"/>
  <c r="BB93" i="104" s="1"/>
  <c r="L101" i="104"/>
  <c r="L102" i="104" s="1"/>
  <c r="L68" i="104"/>
  <c r="AN104" i="104"/>
  <c r="AN105" i="104" s="1"/>
  <c r="AP104" i="104"/>
  <c r="AP105" i="104" s="1"/>
  <c r="L134" i="99"/>
  <c r="AM104" i="104"/>
  <c r="AM105" i="104" s="1"/>
  <c r="BY99" i="104"/>
  <c r="BY34" i="104" s="1"/>
  <c r="BM102" i="104"/>
  <c r="BM36" i="104"/>
  <c r="BM37" i="104" s="1"/>
  <c r="L69" i="104"/>
  <c r="S126" i="104"/>
  <c r="AK104" i="104"/>
  <c r="AK105" i="104" s="1"/>
  <c r="AE119" i="104"/>
  <c r="AE54" i="104" s="1"/>
  <c r="BX84" i="104"/>
  <c r="BX19" i="104" s="1"/>
  <c r="BX19" i="103"/>
  <c r="AG119" i="104"/>
  <c r="AG54" i="104" s="1"/>
  <c r="X119" i="104"/>
  <c r="X54" i="104" s="1"/>
  <c r="AZ92" i="104"/>
  <c r="AZ93" i="104" s="1"/>
  <c r="K92" i="104"/>
  <c r="K93" i="104" s="1"/>
  <c r="V119" i="104"/>
  <c r="V54" i="104" s="1"/>
  <c r="J92" i="104"/>
  <c r="J93" i="104" s="1"/>
  <c r="BX87" i="104"/>
  <c r="BX22" i="104" s="1"/>
  <c r="BY87" i="104"/>
  <c r="BY22" i="104" s="1"/>
  <c r="Y119" i="104"/>
  <c r="Y54" i="104" s="1"/>
  <c r="AH104" i="104"/>
  <c r="AH105" i="104" s="1"/>
  <c r="T126" i="104"/>
  <c r="BC92" i="104"/>
  <c r="BC93" i="104" s="1"/>
  <c r="N97" i="104"/>
  <c r="P97" i="104" s="1"/>
  <c r="BY146" i="99"/>
  <c r="BY84" i="104"/>
  <c r="BY19" i="104" s="1"/>
  <c r="BY148" i="104" s="1"/>
  <c r="AB119" i="104"/>
  <c r="AB54" i="104" s="1"/>
  <c r="AO104" i="104"/>
  <c r="AO105" i="104" s="1"/>
  <c r="AF119" i="104"/>
  <c r="AF54" i="104" s="1"/>
  <c r="AY92" i="104"/>
  <c r="AY93" i="104" s="1"/>
  <c r="AS104" i="104"/>
  <c r="AS105" i="104" s="1"/>
  <c r="R126" i="104"/>
  <c r="U126" i="104"/>
  <c r="AD119" i="104"/>
  <c r="AD54" i="104" s="1"/>
  <c r="BY418" i="99"/>
  <c r="L27" i="99"/>
  <c r="L92" i="103" s="1"/>
  <c r="L93" i="103" s="1"/>
  <c r="J104" i="99"/>
  <c r="J105" i="99" s="1"/>
  <c r="J54" i="99"/>
  <c r="J119" i="103" s="1"/>
  <c r="L25" i="104"/>
  <c r="L147" i="103"/>
  <c r="L68" i="103"/>
  <c r="L149" i="103"/>
  <c r="R40" i="104"/>
  <c r="R62" i="99"/>
  <c r="R126" i="99"/>
  <c r="R127" i="99" s="1"/>
  <c r="AH54" i="103"/>
  <c r="AH61" i="103" s="1"/>
  <c r="AH65" i="103" s="1"/>
  <c r="AH40" i="103"/>
  <c r="BH40" i="103"/>
  <c r="BH54" i="103"/>
  <c r="BH61" i="103" s="1"/>
  <c r="BH65" i="103" s="1"/>
  <c r="BC28" i="103"/>
  <c r="BC39" i="103"/>
  <c r="BH36" i="104"/>
  <c r="BH37" i="104" s="1"/>
  <c r="AH40" i="99"/>
  <c r="AH54" i="99"/>
  <c r="AH119" i="103" s="1"/>
  <c r="AH104" i="99"/>
  <c r="AH105" i="99" s="1"/>
  <c r="BX99" i="99"/>
  <c r="BX36" i="99"/>
  <c r="BX101" i="103" s="1"/>
  <c r="BX102" i="103" s="1"/>
  <c r="BH54" i="99"/>
  <c r="BH104" i="99"/>
  <c r="BH105" i="99" s="1"/>
  <c r="BH40" i="99"/>
  <c r="AE119" i="99"/>
  <c r="AE61" i="99"/>
  <c r="AA62" i="103"/>
  <c r="AB62" i="103"/>
  <c r="AV36" i="104"/>
  <c r="AV37" i="104" s="1"/>
  <c r="AX36" i="104"/>
  <c r="AX37" i="104" s="1"/>
  <c r="AZ36" i="104"/>
  <c r="AZ37" i="104" s="1"/>
  <c r="BC92" i="99"/>
  <c r="BC93" i="99" s="1"/>
  <c r="BC39" i="99"/>
  <c r="BC104" i="103" s="1"/>
  <c r="BC105" i="103" s="1"/>
  <c r="BC28" i="99"/>
  <c r="AC39" i="104"/>
  <c r="AC40" i="104" s="1"/>
  <c r="AT28" i="103"/>
  <c r="AT39" i="103"/>
  <c r="N97" i="99"/>
  <c r="P97" i="99" s="1"/>
  <c r="P32" i="99"/>
  <c r="AQ54" i="103"/>
  <c r="AQ61" i="103" s="1"/>
  <c r="AQ65" i="103" s="1"/>
  <c r="AQ40" i="103"/>
  <c r="AU28" i="103"/>
  <c r="AU39" i="103"/>
  <c r="W62" i="103"/>
  <c r="AK54" i="103"/>
  <c r="AK61" i="103" s="1"/>
  <c r="AK65" i="103" s="1"/>
  <c r="AK40" i="103"/>
  <c r="AR54" i="103"/>
  <c r="AR61" i="103" s="1"/>
  <c r="AR65" i="103" s="1"/>
  <c r="AR40" i="103"/>
  <c r="AY39" i="103"/>
  <c r="AY28" i="103"/>
  <c r="W39" i="104"/>
  <c r="W40" i="104" s="1"/>
  <c r="AI54" i="103"/>
  <c r="AI61" i="103" s="1"/>
  <c r="AI65" i="103" s="1"/>
  <c r="AI40" i="103"/>
  <c r="AT28" i="99"/>
  <c r="AT92" i="99"/>
  <c r="AT93" i="99" s="1"/>
  <c r="AT39" i="99"/>
  <c r="AT104" i="103" s="1"/>
  <c r="AT105" i="103" s="1"/>
  <c r="T62" i="103"/>
  <c r="AU36" i="104"/>
  <c r="AU37" i="104" s="1"/>
  <c r="AP54" i="103"/>
  <c r="AP61" i="103" s="1"/>
  <c r="AP65" i="103" s="1"/>
  <c r="AP40" i="103"/>
  <c r="AU92" i="99"/>
  <c r="AU93" i="99" s="1"/>
  <c r="AU28" i="99"/>
  <c r="AU39" i="99"/>
  <c r="AU104" i="103" s="1"/>
  <c r="AU105" i="103" s="1"/>
  <c r="AL54" i="103"/>
  <c r="AL61" i="103" s="1"/>
  <c r="AL65" i="103" s="1"/>
  <c r="AL40" i="103"/>
  <c r="AO54" i="103"/>
  <c r="AO61" i="103" s="1"/>
  <c r="AO65" i="103" s="1"/>
  <c r="AO40" i="103"/>
  <c r="AE62" i="103"/>
  <c r="AN40" i="103"/>
  <c r="AN54" i="103"/>
  <c r="AN61" i="103" s="1"/>
  <c r="AN65" i="103" s="1"/>
  <c r="AC119" i="99"/>
  <c r="AC61" i="99"/>
  <c r="BC36" i="104"/>
  <c r="BC37" i="104" s="1"/>
  <c r="BX147" i="99"/>
  <c r="BX84" i="99"/>
  <c r="BX148" i="99"/>
  <c r="BX146" i="99"/>
  <c r="X39" i="104"/>
  <c r="X40" i="104" s="1"/>
  <c r="AY92" i="99"/>
  <c r="AY93" i="99" s="1"/>
  <c r="AY39" i="99"/>
  <c r="AY104" i="103" s="1"/>
  <c r="AY105" i="103" s="1"/>
  <c r="AY28" i="99"/>
  <c r="AO27" i="104"/>
  <c r="AO28" i="104" s="1"/>
  <c r="W119" i="99"/>
  <c r="W61" i="99"/>
  <c r="Z39" i="104"/>
  <c r="Z40" i="104" s="1"/>
  <c r="AP27" i="104"/>
  <c r="AP28" i="104" s="1"/>
  <c r="BB28" i="103"/>
  <c r="BB39" i="103"/>
  <c r="AO104" i="99"/>
  <c r="AO105" i="99" s="1"/>
  <c r="AO54" i="99"/>
  <c r="AO119" i="103" s="1"/>
  <c r="AO40" i="99"/>
  <c r="AI27" i="104"/>
  <c r="AI28" i="104" s="1"/>
  <c r="AP104" i="99"/>
  <c r="AP105" i="99" s="1"/>
  <c r="AP54" i="99"/>
  <c r="AP119" i="103" s="1"/>
  <c r="AP40" i="99"/>
  <c r="AD62" i="103"/>
  <c r="AQ27" i="104"/>
  <c r="AQ28" i="104" s="1"/>
  <c r="BX145" i="99"/>
  <c r="BX87" i="99"/>
  <c r="BX25" i="99"/>
  <c r="BX90" i="103" s="1"/>
  <c r="V62" i="103"/>
  <c r="Y39" i="104"/>
  <c r="Y40" i="104" s="1"/>
  <c r="AX39" i="103"/>
  <c r="AX28" i="103"/>
  <c r="AR27" i="104"/>
  <c r="AR28" i="104" s="1"/>
  <c r="Z61" i="99"/>
  <c r="Z119" i="99"/>
  <c r="X119" i="99"/>
  <c r="X61" i="99"/>
  <c r="AL27" i="104"/>
  <c r="AL28" i="104" s="1"/>
  <c r="Y119" i="99"/>
  <c r="Y61" i="99"/>
  <c r="AW36" i="104"/>
  <c r="AW37" i="104" s="1"/>
  <c r="AF39" i="104"/>
  <c r="AF40" i="104" s="1"/>
  <c r="AI40" i="99"/>
  <c r="AI54" i="99"/>
  <c r="AI119" i="103" s="1"/>
  <c r="AI104" i="99"/>
  <c r="AI105" i="99" s="1"/>
  <c r="AA39" i="104"/>
  <c r="AA40" i="104" s="1"/>
  <c r="AD39" i="104"/>
  <c r="AD40" i="104" s="1"/>
  <c r="BY99" i="99"/>
  <c r="BY36" i="99"/>
  <c r="BY101" i="103" s="1"/>
  <c r="BY102" i="103" s="1"/>
  <c r="AQ40" i="99"/>
  <c r="AQ54" i="99"/>
  <c r="AQ119" i="103" s="1"/>
  <c r="AQ104" i="99"/>
  <c r="AQ105" i="99" s="1"/>
  <c r="Z62" i="103"/>
  <c r="AX28" i="99"/>
  <c r="AX92" i="99"/>
  <c r="AX93" i="99" s="1"/>
  <c r="AX39" i="99"/>
  <c r="AX104" i="103" s="1"/>
  <c r="AX105" i="103" s="1"/>
  <c r="AR40" i="99"/>
  <c r="AR104" i="99"/>
  <c r="AR105" i="99" s="1"/>
  <c r="AR54" i="99"/>
  <c r="AR119" i="103" s="1"/>
  <c r="AG62" i="103"/>
  <c r="AF62" i="103"/>
  <c r="BY148" i="99"/>
  <c r="BY19" i="103"/>
  <c r="BY147" i="99"/>
  <c r="BY84" i="99"/>
  <c r="R61" i="103"/>
  <c r="R65" i="103" s="1"/>
  <c r="R66" i="103" s="1"/>
  <c r="J54" i="103"/>
  <c r="U62" i="99"/>
  <c r="U126" i="99"/>
  <c r="U127" i="99" s="1"/>
  <c r="AF119" i="99"/>
  <c r="AF61" i="99"/>
  <c r="AS27" i="104"/>
  <c r="AS28" i="104" s="1"/>
  <c r="AV39" i="99"/>
  <c r="AV104" i="103" s="1"/>
  <c r="AV105" i="103" s="1"/>
  <c r="AV92" i="99"/>
  <c r="AV93" i="99" s="1"/>
  <c r="AV28" i="99"/>
  <c r="AZ39" i="103"/>
  <c r="AZ28" i="103"/>
  <c r="BY34" i="103"/>
  <c r="BY36" i="103" s="1"/>
  <c r="BY37" i="103" s="1"/>
  <c r="AL40" i="99"/>
  <c r="AL104" i="99"/>
  <c r="AL105" i="99" s="1"/>
  <c r="AL54" i="99"/>
  <c r="AL119" i="103" s="1"/>
  <c r="S126" i="99"/>
  <c r="S127" i="99" s="1"/>
  <c r="S62" i="99"/>
  <c r="BB92" i="99"/>
  <c r="BB93" i="99" s="1"/>
  <c r="BB39" i="99"/>
  <c r="BB104" i="103" s="1"/>
  <c r="BB105" i="103" s="1"/>
  <c r="BB28" i="99"/>
  <c r="BY145" i="99"/>
  <c r="BY25" i="99"/>
  <c r="BY90" i="103" s="1"/>
  <c r="BY87" i="99"/>
  <c r="AA61" i="99"/>
  <c r="AA119" i="99"/>
  <c r="BA92" i="99"/>
  <c r="BA93" i="99" s="1"/>
  <c r="BA39" i="99"/>
  <c r="BA104" i="103" s="1"/>
  <c r="BA105" i="103" s="1"/>
  <c r="BA28" i="99"/>
  <c r="J27" i="104"/>
  <c r="J28" i="104" s="1"/>
  <c r="AB39" i="104"/>
  <c r="AB40" i="104" s="1"/>
  <c r="AC62" i="103"/>
  <c r="AM40" i="103"/>
  <c r="AM54" i="103"/>
  <c r="AM61" i="103" s="1"/>
  <c r="AM65" i="103" s="1"/>
  <c r="AS40" i="99"/>
  <c r="AS104" i="99"/>
  <c r="AS105" i="99" s="1"/>
  <c r="AS54" i="99"/>
  <c r="AS119" i="103" s="1"/>
  <c r="AD119" i="99"/>
  <c r="AD61" i="99"/>
  <c r="AM27" i="104"/>
  <c r="AM28" i="104" s="1"/>
  <c r="AJ27" i="104"/>
  <c r="AJ28" i="104" s="1"/>
  <c r="AT36" i="104"/>
  <c r="AT37" i="104" s="1"/>
  <c r="AN27" i="104"/>
  <c r="AN28" i="104" s="1"/>
  <c r="AG39" i="104"/>
  <c r="AG40" i="104" s="1"/>
  <c r="AJ54" i="99"/>
  <c r="AJ119" i="103" s="1"/>
  <c r="AJ104" i="99"/>
  <c r="AJ105" i="99" s="1"/>
  <c r="AJ40" i="99"/>
  <c r="AW28" i="99"/>
  <c r="AW92" i="99"/>
  <c r="AW93" i="99" s="1"/>
  <c r="AW39" i="99"/>
  <c r="AW104" i="103" s="1"/>
  <c r="AW105" i="103" s="1"/>
  <c r="V39" i="104"/>
  <c r="V40" i="104" s="1"/>
  <c r="AY36" i="104"/>
  <c r="AY37" i="104" s="1"/>
  <c r="AB119" i="99"/>
  <c r="AB61" i="99"/>
  <c r="X62" i="103"/>
  <c r="AN40" i="99"/>
  <c r="AN104" i="99"/>
  <c r="AN105" i="99" s="1"/>
  <c r="AN54" i="99"/>
  <c r="AN119" i="103" s="1"/>
  <c r="BA36" i="104"/>
  <c r="BA37" i="104" s="1"/>
  <c r="AK27" i="104"/>
  <c r="AK28" i="104" s="1"/>
  <c r="BB36" i="104"/>
  <c r="BB37" i="104" s="1"/>
  <c r="BA28" i="103"/>
  <c r="BA39" i="103"/>
  <c r="AG61" i="99"/>
  <c r="AG119" i="99"/>
  <c r="AK104" i="99"/>
  <c r="AK105" i="99" s="1"/>
  <c r="AK54" i="99"/>
  <c r="AK119" i="103" s="1"/>
  <c r="AK40" i="99"/>
  <c r="AM54" i="99"/>
  <c r="AM119" i="103" s="1"/>
  <c r="AM104" i="99"/>
  <c r="AM105" i="99" s="1"/>
  <c r="AM40" i="99"/>
  <c r="AW28" i="103"/>
  <c r="AW39" i="103"/>
  <c r="BX34" i="103"/>
  <c r="BH27" i="104"/>
  <c r="BH28" i="104" s="1"/>
  <c r="AE39" i="104"/>
  <c r="AE40" i="104" s="1"/>
  <c r="O27" i="105"/>
  <c r="V61" i="99"/>
  <c r="V119" i="99"/>
  <c r="AJ54" i="103"/>
  <c r="AJ61" i="103" s="1"/>
  <c r="AJ65" i="103" s="1"/>
  <c r="AJ40" i="103"/>
  <c r="AH27" i="104"/>
  <c r="AH28" i="104" s="1"/>
  <c r="AZ92" i="99"/>
  <c r="AZ93" i="99" s="1"/>
  <c r="AZ39" i="99"/>
  <c r="AZ104" i="103" s="1"/>
  <c r="AZ105" i="103" s="1"/>
  <c r="AZ28" i="99"/>
  <c r="T126" i="99"/>
  <c r="T127" i="99" s="1"/>
  <c r="T62" i="99"/>
  <c r="K39" i="99"/>
  <c r="K104" i="103" s="1"/>
  <c r="K105" i="103" s="1"/>
  <c r="O37" i="105"/>
  <c r="K28" i="99"/>
  <c r="K92" i="99"/>
  <c r="K93" i="99" s="1"/>
  <c r="K27" i="103"/>
  <c r="K28" i="103" s="1"/>
  <c r="P25" i="105"/>
  <c r="J92" i="99"/>
  <c r="J93" i="99" s="1"/>
  <c r="J28" i="99"/>
  <c r="K36" i="104"/>
  <c r="K37" i="104" s="1"/>
  <c r="Y120" i="105" l="1"/>
  <c r="Y62" i="105"/>
  <c r="Z120" i="105"/>
  <c r="Z62" i="105"/>
  <c r="X120" i="105"/>
  <c r="X62" i="105"/>
  <c r="S104" i="105"/>
  <c r="AA99" i="105"/>
  <c r="V22" i="151"/>
  <c r="AE99" i="105"/>
  <c r="Z22" i="151"/>
  <c r="AK99" i="105"/>
  <c r="AF22" i="151"/>
  <c r="BO54" i="103"/>
  <c r="BO61" i="103" s="1"/>
  <c r="BO65" i="103" s="1"/>
  <c r="BO71" i="103" s="1"/>
  <c r="BO72" i="103" s="1"/>
  <c r="M126" i="155"/>
  <c r="M127" i="155" s="1"/>
  <c r="M62" i="155"/>
  <c r="AQ71" i="103"/>
  <c r="AQ72" i="103" s="1"/>
  <c r="AQ66" i="103"/>
  <c r="AJ71" i="103"/>
  <c r="AJ72" i="103" s="1"/>
  <c r="AJ66" i="103"/>
  <c r="AP71" i="103"/>
  <c r="AP72" i="103" s="1"/>
  <c r="AP66" i="103"/>
  <c r="AM71" i="103"/>
  <c r="AM72" i="103" s="1"/>
  <c r="AM66" i="103"/>
  <c r="BH71" i="103"/>
  <c r="BH72" i="103" s="1"/>
  <c r="BH66" i="103"/>
  <c r="AH71" i="103"/>
  <c r="AH72" i="103" s="1"/>
  <c r="AH66" i="103"/>
  <c r="AR71" i="103"/>
  <c r="AR72" i="103" s="1"/>
  <c r="AR66" i="103"/>
  <c r="AO71" i="103"/>
  <c r="AO72" i="103" s="1"/>
  <c r="AO66" i="103"/>
  <c r="BM71" i="103"/>
  <c r="BM72" i="103" s="1"/>
  <c r="BM66" i="103"/>
  <c r="AL71" i="103"/>
  <c r="AL72" i="103" s="1"/>
  <c r="AL66" i="103"/>
  <c r="AK71" i="103"/>
  <c r="AK72" i="103" s="1"/>
  <c r="AK66" i="103"/>
  <c r="AN71" i="103"/>
  <c r="AN72" i="103" s="1"/>
  <c r="AN66" i="103"/>
  <c r="AS71" i="103"/>
  <c r="AS72" i="103" s="1"/>
  <c r="AS66" i="103"/>
  <c r="AI71" i="103"/>
  <c r="AI72" i="103" s="1"/>
  <c r="AI66" i="103"/>
  <c r="AG71" i="153"/>
  <c r="AG66" i="153"/>
  <c r="AG130" i="153"/>
  <c r="AG131" i="153" s="1"/>
  <c r="BF119" i="153"/>
  <c r="BF61" i="153"/>
  <c r="P104" i="155"/>
  <c r="N105" i="155"/>
  <c r="P105" i="155" s="1"/>
  <c r="BT71" i="155"/>
  <c r="BT130" i="155"/>
  <c r="BT131" i="155" s="1"/>
  <c r="BT66" i="155"/>
  <c r="AP65" i="153"/>
  <c r="AP126" i="153"/>
  <c r="AP127" i="153" s="1"/>
  <c r="AP62" i="153"/>
  <c r="BD119" i="153"/>
  <c r="BD61" i="153"/>
  <c r="BA119" i="153"/>
  <c r="BA61" i="153"/>
  <c r="BS65" i="155"/>
  <c r="BS126" i="155"/>
  <c r="BS127" i="155" s="1"/>
  <c r="BS62" i="155"/>
  <c r="BG119" i="153"/>
  <c r="BG61" i="153"/>
  <c r="L54" i="153"/>
  <c r="L119" i="153" s="1"/>
  <c r="BR71" i="155"/>
  <c r="BR130" i="155"/>
  <c r="BR131" i="155" s="1"/>
  <c r="BR66" i="155"/>
  <c r="BI119" i="153"/>
  <c r="BI61" i="153"/>
  <c r="AX119" i="153"/>
  <c r="AX61" i="153"/>
  <c r="AY72" i="155"/>
  <c r="AY77" i="155"/>
  <c r="AY142" i="155" s="1"/>
  <c r="AY136" i="155"/>
  <c r="AY137" i="155" s="1"/>
  <c r="BE119" i="153"/>
  <c r="BE61" i="153"/>
  <c r="BW65" i="153"/>
  <c r="BW126" i="153"/>
  <c r="BW127" i="153" s="1"/>
  <c r="BW62" i="153"/>
  <c r="BA66" i="155"/>
  <c r="BA71" i="155"/>
  <c r="BA130" i="155"/>
  <c r="BA131" i="155" s="1"/>
  <c r="AZ72" i="155"/>
  <c r="AZ77" i="155"/>
  <c r="AZ142" i="155" s="1"/>
  <c r="AZ136" i="155"/>
  <c r="AZ137" i="155" s="1"/>
  <c r="AA66" i="153"/>
  <c r="AA71" i="153"/>
  <c r="AA130" i="153"/>
  <c r="AA131" i="153" s="1"/>
  <c r="P54" i="153"/>
  <c r="N119" i="153"/>
  <c r="P119" i="153" s="1"/>
  <c r="AL65" i="153"/>
  <c r="AL62" i="153"/>
  <c r="AL126" i="153"/>
  <c r="AL127" i="153" s="1"/>
  <c r="AE66" i="153"/>
  <c r="AE71" i="153"/>
  <c r="AE130" i="153"/>
  <c r="AE131" i="153" s="1"/>
  <c r="AS126" i="153"/>
  <c r="AS127" i="153" s="1"/>
  <c r="AS65" i="153"/>
  <c r="AS62" i="153"/>
  <c r="BD136" i="155"/>
  <c r="BD137" i="155" s="1"/>
  <c r="BD72" i="155"/>
  <c r="BD77" i="155"/>
  <c r="BD142" i="155" s="1"/>
  <c r="K72" i="155"/>
  <c r="K77" i="155"/>
  <c r="K142" i="155" s="1"/>
  <c r="K136" i="155"/>
  <c r="K137" i="155" s="1"/>
  <c r="AW65" i="153"/>
  <c r="AW126" i="153"/>
  <c r="AW127" i="153" s="1"/>
  <c r="AW62" i="153"/>
  <c r="BG77" i="155"/>
  <c r="BG142" i="155" s="1"/>
  <c r="BG136" i="155"/>
  <c r="BG137" i="155" s="1"/>
  <c r="BG72" i="155"/>
  <c r="J65" i="153"/>
  <c r="J126" i="153"/>
  <c r="J127" i="153" s="1"/>
  <c r="J62" i="153"/>
  <c r="BO66" i="153"/>
  <c r="BO130" i="153"/>
  <c r="BO131" i="153" s="1"/>
  <c r="BO71" i="153"/>
  <c r="BX65" i="153"/>
  <c r="BX126" i="153"/>
  <c r="BX127" i="153" s="1"/>
  <c r="BX62" i="153"/>
  <c r="BM66" i="155"/>
  <c r="BM130" i="155"/>
  <c r="BM131" i="155" s="1"/>
  <c r="BM71" i="155"/>
  <c r="BU71" i="153"/>
  <c r="BU66" i="153"/>
  <c r="BU130" i="153"/>
  <c r="BU131" i="153" s="1"/>
  <c r="BI72" i="155"/>
  <c r="BI77" i="155"/>
  <c r="BI142" i="155" s="1"/>
  <c r="BI136" i="155"/>
  <c r="BI137" i="155" s="1"/>
  <c r="N61" i="153"/>
  <c r="BO71" i="155"/>
  <c r="BO66" i="155"/>
  <c r="BO130" i="155"/>
  <c r="BO131" i="155" s="1"/>
  <c r="BR66" i="153"/>
  <c r="BR71" i="153"/>
  <c r="BR130" i="153"/>
  <c r="BR131" i="153" s="1"/>
  <c r="BJ66" i="155"/>
  <c r="BJ130" i="155"/>
  <c r="BJ131" i="155" s="1"/>
  <c r="BJ71" i="155"/>
  <c r="AF71" i="153"/>
  <c r="AF66" i="153"/>
  <c r="AF130" i="153"/>
  <c r="AF131" i="153" s="1"/>
  <c r="BK66" i="155"/>
  <c r="BK130" i="155"/>
  <c r="BK131" i="155" s="1"/>
  <c r="BK71" i="155"/>
  <c r="BN66" i="153"/>
  <c r="BN71" i="153"/>
  <c r="BN130" i="153"/>
  <c r="BN131" i="153" s="1"/>
  <c r="AH71" i="153"/>
  <c r="AH66" i="153"/>
  <c r="AH130" i="153"/>
  <c r="AH131" i="153" s="1"/>
  <c r="AT65" i="153"/>
  <c r="AT62" i="153"/>
  <c r="AT126" i="153"/>
  <c r="AT127" i="153" s="1"/>
  <c r="BQ71" i="155"/>
  <c r="BQ66" i="155"/>
  <c r="BQ130" i="155"/>
  <c r="BQ131" i="155" s="1"/>
  <c r="Z71" i="153"/>
  <c r="Z130" i="153"/>
  <c r="Z131" i="153" s="1"/>
  <c r="Z66" i="153"/>
  <c r="N61" i="155"/>
  <c r="Y72" i="153"/>
  <c r="Y136" i="153"/>
  <c r="Y137" i="153" s="1"/>
  <c r="Y77" i="153"/>
  <c r="Y142" i="153" s="1"/>
  <c r="M54" i="153"/>
  <c r="M119" i="153" s="1"/>
  <c r="BB119" i="153"/>
  <c r="BB61" i="153"/>
  <c r="AM65" i="153"/>
  <c r="AM62" i="153"/>
  <c r="AM126" i="153"/>
  <c r="AM127" i="153" s="1"/>
  <c r="BS66" i="153"/>
  <c r="BS71" i="153"/>
  <c r="BS130" i="153"/>
  <c r="BS131" i="153" s="1"/>
  <c r="BU66" i="155"/>
  <c r="BU71" i="155"/>
  <c r="BU130" i="155"/>
  <c r="BU131" i="155" s="1"/>
  <c r="BN66" i="155"/>
  <c r="BN71" i="155"/>
  <c r="BN130" i="155"/>
  <c r="BN131" i="155" s="1"/>
  <c r="M66" i="155"/>
  <c r="M71" i="155"/>
  <c r="M130" i="155"/>
  <c r="AN65" i="153"/>
  <c r="AN126" i="153"/>
  <c r="AN127" i="153" s="1"/>
  <c r="AN62" i="153"/>
  <c r="BW65" i="155"/>
  <c r="BW126" i="155"/>
  <c r="BW127" i="155" s="1"/>
  <c r="BW62" i="155"/>
  <c r="BV65" i="155"/>
  <c r="BV126" i="155"/>
  <c r="BV127" i="155" s="1"/>
  <c r="BV62" i="155"/>
  <c r="P104" i="153"/>
  <c r="N105" i="153"/>
  <c r="P105" i="153" s="1"/>
  <c r="K61" i="153"/>
  <c r="M104" i="153"/>
  <c r="M105" i="153" s="1"/>
  <c r="M40" i="153"/>
  <c r="BY62" i="155"/>
  <c r="BY65" i="155"/>
  <c r="BY126" i="155"/>
  <c r="BY127" i="155" s="1"/>
  <c r="AD66" i="153"/>
  <c r="AD71" i="153"/>
  <c r="AD130" i="153"/>
  <c r="AD131" i="153" s="1"/>
  <c r="AK72" i="153"/>
  <c r="AK77" i="153"/>
  <c r="AK142" i="153" s="1"/>
  <c r="AK136" i="153"/>
  <c r="AK137" i="153" s="1"/>
  <c r="BB77" i="155"/>
  <c r="BB142" i="155" s="1"/>
  <c r="BB72" i="155"/>
  <c r="BB136" i="155"/>
  <c r="BB137" i="155" s="1"/>
  <c r="BY65" i="153"/>
  <c r="BY126" i="153"/>
  <c r="BY127" i="153" s="1"/>
  <c r="BY62" i="153"/>
  <c r="BC119" i="153"/>
  <c r="BC61" i="153"/>
  <c r="BK66" i="153"/>
  <c r="BK71" i="153"/>
  <c r="BK130" i="153"/>
  <c r="BK131" i="153" s="1"/>
  <c r="BE136" i="155"/>
  <c r="BE137" i="155" s="1"/>
  <c r="BE72" i="155"/>
  <c r="BE77" i="155"/>
  <c r="BE142" i="155" s="1"/>
  <c r="AR65" i="153"/>
  <c r="AR62" i="153"/>
  <c r="AR126" i="153"/>
  <c r="AR127" i="153" s="1"/>
  <c r="BM71" i="153"/>
  <c r="BM66" i="153"/>
  <c r="BM130" i="153"/>
  <c r="BM131" i="153" s="1"/>
  <c r="L104" i="153"/>
  <c r="L105" i="153" s="1"/>
  <c r="L40" i="153"/>
  <c r="BL66" i="155"/>
  <c r="BL71" i="155"/>
  <c r="BL130" i="155"/>
  <c r="BL131" i="155" s="1"/>
  <c r="AI72" i="153"/>
  <c r="AI77" i="153"/>
  <c r="AI142" i="153" s="1"/>
  <c r="AI136" i="153"/>
  <c r="AI137" i="153" s="1"/>
  <c r="AQ65" i="153"/>
  <c r="AQ62" i="153"/>
  <c r="AQ126" i="153"/>
  <c r="AQ127" i="153" s="1"/>
  <c r="BH72" i="155"/>
  <c r="BH77" i="155"/>
  <c r="BH142" i="155" s="1"/>
  <c r="BH136" i="155"/>
  <c r="BH137" i="155" s="1"/>
  <c r="P77" i="154"/>
  <c r="N142" i="154"/>
  <c r="P142" i="154" s="1"/>
  <c r="BP71" i="155"/>
  <c r="BP66" i="155"/>
  <c r="BP130" i="155"/>
  <c r="BP131" i="155" s="1"/>
  <c r="AY61" i="153"/>
  <c r="AY119" i="153"/>
  <c r="AU65" i="153"/>
  <c r="AU126" i="153"/>
  <c r="AU127" i="153" s="1"/>
  <c r="AU62" i="153"/>
  <c r="AV65" i="153"/>
  <c r="AV126" i="153"/>
  <c r="AV127" i="153" s="1"/>
  <c r="AV62" i="153"/>
  <c r="AO126" i="153"/>
  <c r="AO127" i="153" s="1"/>
  <c r="AO65" i="153"/>
  <c r="AO62" i="153"/>
  <c r="BC77" i="155"/>
  <c r="BC142" i="155" s="1"/>
  <c r="BC136" i="155"/>
  <c r="BC137" i="155" s="1"/>
  <c r="BC72" i="155"/>
  <c r="BQ66" i="153"/>
  <c r="BQ71" i="153"/>
  <c r="BQ130" i="153"/>
  <c r="BQ131" i="153" s="1"/>
  <c r="AB66" i="153"/>
  <c r="AB71" i="153"/>
  <c r="AB130" i="153"/>
  <c r="AB131" i="153" s="1"/>
  <c r="AC66" i="153"/>
  <c r="AC130" i="153"/>
  <c r="AC131" i="153" s="1"/>
  <c r="AC71" i="153"/>
  <c r="AU77" i="155"/>
  <c r="AU142" i="155" s="1"/>
  <c r="AU136" i="155"/>
  <c r="AU137" i="155" s="1"/>
  <c r="AU72" i="155"/>
  <c r="BF77" i="155"/>
  <c r="BF142" i="155" s="1"/>
  <c r="BF136" i="155"/>
  <c r="BF137" i="155" s="1"/>
  <c r="BF72" i="155"/>
  <c r="BL66" i="153"/>
  <c r="BL71" i="153"/>
  <c r="BL130" i="153"/>
  <c r="BL131" i="153" s="1"/>
  <c r="N137" i="154"/>
  <c r="P137" i="154" s="1"/>
  <c r="P136" i="154"/>
  <c r="BH119" i="153"/>
  <c r="BH61" i="153"/>
  <c r="BJ71" i="153"/>
  <c r="BJ66" i="153"/>
  <c r="BJ130" i="153"/>
  <c r="BJ131" i="153" s="1"/>
  <c r="BT71" i="153"/>
  <c r="BT66" i="153"/>
  <c r="BT130" i="153"/>
  <c r="BT131" i="153" s="1"/>
  <c r="N119" i="155"/>
  <c r="P119" i="155" s="1"/>
  <c r="P54" i="155"/>
  <c r="BP66" i="153"/>
  <c r="BP71" i="153"/>
  <c r="BP130" i="153"/>
  <c r="BP131" i="153" s="1"/>
  <c r="AJ66" i="153"/>
  <c r="AJ71" i="153"/>
  <c r="AJ130" i="153"/>
  <c r="AJ131" i="153" s="1"/>
  <c r="AX72" i="155"/>
  <c r="AX136" i="155"/>
  <c r="AX137" i="155" s="1"/>
  <c r="AX77" i="155"/>
  <c r="AX142" i="155" s="1"/>
  <c r="AZ119" i="153"/>
  <c r="AZ61" i="153"/>
  <c r="BX65" i="155"/>
  <c r="BX126" i="155"/>
  <c r="BX127" i="155" s="1"/>
  <c r="BX62" i="155"/>
  <c r="BV65" i="153"/>
  <c r="BV126" i="153"/>
  <c r="BV127" i="153" s="1"/>
  <c r="BV62" i="153"/>
  <c r="L66" i="155"/>
  <c r="L71" i="155"/>
  <c r="L130" i="155"/>
  <c r="L131" i="155" s="1"/>
  <c r="T71" i="99"/>
  <c r="T72" i="99" s="1"/>
  <c r="T66" i="99"/>
  <c r="R71" i="99"/>
  <c r="R66" i="99"/>
  <c r="U71" i="99"/>
  <c r="U72" i="99" s="1"/>
  <c r="U66" i="99"/>
  <c r="S71" i="99"/>
  <c r="S72" i="99" s="1"/>
  <c r="S66" i="99"/>
  <c r="BO54" i="99"/>
  <c r="BO119" i="103" s="1"/>
  <c r="BO40" i="99"/>
  <c r="BV85" i="105"/>
  <c r="BM40" i="99"/>
  <c r="BO104" i="104"/>
  <c r="BO105" i="104" s="1"/>
  <c r="BK88" i="105"/>
  <c r="BM104" i="104"/>
  <c r="BM105" i="104" s="1"/>
  <c r="BO104" i="99"/>
  <c r="BO105" i="99" s="1"/>
  <c r="Q68" i="105"/>
  <c r="L33" i="151" s="1"/>
  <c r="CB23" i="105"/>
  <c r="BW26" i="105"/>
  <c r="CC69" i="105"/>
  <c r="BX34" i="151" s="1"/>
  <c r="BL86" i="105"/>
  <c r="BZ86" i="105"/>
  <c r="N88" i="104"/>
  <c r="P88" i="104" s="1"/>
  <c r="AK40" i="105"/>
  <c r="BM104" i="99"/>
  <c r="BM105" i="99" s="1"/>
  <c r="BM126" i="105"/>
  <c r="BM54" i="99"/>
  <c r="BM119" i="103" s="1"/>
  <c r="BO27" i="104"/>
  <c r="BO28" i="104" s="1"/>
  <c r="N88" i="99"/>
  <c r="P88" i="99" s="1"/>
  <c r="P23" i="99"/>
  <c r="Q84" i="105"/>
  <c r="BM27" i="104"/>
  <c r="BM28" i="104" s="1"/>
  <c r="P87" i="105"/>
  <c r="Q95" i="105"/>
  <c r="BP69" i="105"/>
  <c r="BK34" i="151" s="1"/>
  <c r="O89" i="105"/>
  <c r="P126" i="105"/>
  <c r="P97" i="105"/>
  <c r="Y113" i="105"/>
  <c r="Q81" i="105"/>
  <c r="Z113" i="105"/>
  <c r="CD69" i="105"/>
  <c r="BY34" i="151" s="1"/>
  <c r="S127" i="104"/>
  <c r="S174" i="104" a="1"/>
  <c r="S174" i="104" s="1"/>
  <c r="S75" i="104" s="1"/>
  <c r="X75" i="105" s="1"/>
  <c r="BQ69" i="105"/>
  <c r="BL34" i="151" s="1"/>
  <c r="U127" i="104"/>
  <c r="U174" i="104" a="1"/>
  <c r="U174" i="104" s="1"/>
  <c r="U75" i="104" s="1"/>
  <c r="Z75" i="105" s="1"/>
  <c r="R127" i="104"/>
  <c r="R174" i="104" a="1"/>
  <c r="R174" i="104" s="1"/>
  <c r="R75" i="104" s="1"/>
  <c r="BK69" i="105"/>
  <c r="BF34" i="151" s="1"/>
  <c r="Q69" i="105"/>
  <c r="L34" i="151" s="1"/>
  <c r="T127" i="104"/>
  <c r="T174" i="104" a="1"/>
  <c r="T174" i="104" s="1"/>
  <c r="T75" i="104" s="1"/>
  <c r="Y75" i="105" s="1"/>
  <c r="BO69" i="105"/>
  <c r="BJ34" i="151" s="1"/>
  <c r="BN69" i="105"/>
  <c r="BI34" i="151" s="1"/>
  <c r="BU23" i="105"/>
  <c r="N23" i="104"/>
  <c r="P23" i="104" s="1"/>
  <c r="AE54" i="105"/>
  <c r="AE61" i="105" s="1"/>
  <c r="AE40" i="105"/>
  <c r="AA54" i="105"/>
  <c r="AA61" i="105" s="1"/>
  <c r="AA40" i="105"/>
  <c r="N23" i="103"/>
  <c r="P23" i="103" s="1"/>
  <c r="BS126" i="105"/>
  <c r="AD126" i="103"/>
  <c r="AD127" i="103" s="1"/>
  <c r="AD65" i="99"/>
  <c r="V126" i="103"/>
  <c r="V127" i="103" s="1"/>
  <c r="V65" i="99"/>
  <c r="AB126" i="103"/>
  <c r="AB127" i="103" s="1"/>
  <c r="AB65" i="99"/>
  <c r="W126" i="103"/>
  <c r="W127" i="103" s="1"/>
  <c r="W65" i="99"/>
  <c r="Y126" i="103"/>
  <c r="Y127" i="103" s="1"/>
  <c r="Y65" i="99"/>
  <c r="AC126" i="103"/>
  <c r="AC127" i="103" s="1"/>
  <c r="AC65" i="99"/>
  <c r="X126" i="103"/>
  <c r="X127" i="103" s="1"/>
  <c r="X65" i="99"/>
  <c r="Z126" i="103"/>
  <c r="Z127" i="103" s="1"/>
  <c r="Z65" i="99"/>
  <c r="AG126" i="103"/>
  <c r="AG127" i="103" s="1"/>
  <c r="AG65" i="99"/>
  <c r="AF126" i="103"/>
  <c r="AF127" i="103" s="1"/>
  <c r="AF65" i="99"/>
  <c r="AA126" i="103"/>
  <c r="AA127" i="103" s="1"/>
  <c r="AA65" i="99"/>
  <c r="AE126" i="103"/>
  <c r="AE127" i="103" s="1"/>
  <c r="AE65" i="99"/>
  <c r="AK54" i="105"/>
  <c r="AK61" i="105" s="1"/>
  <c r="P37" i="105"/>
  <c r="AM39" i="105"/>
  <c r="AM28" i="105"/>
  <c r="BM39" i="105"/>
  <c r="BM28" i="105"/>
  <c r="AS62" i="103"/>
  <c r="BV86" i="105"/>
  <c r="CC85" i="105"/>
  <c r="CC92" i="105"/>
  <c r="BV88" i="105"/>
  <c r="BY96" i="105"/>
  <c r="CA94" i="105"/>
  <c r="BT126" i="105"/>
  <c r="AZ37" i="105"/>
  <c r="AZ97" i="105"/>
  <c r="BB126" i="105"/>
  <c r="BG126" i="105"/>
  <c r="BE27" i="105"/>
  <c r="BE89" i="105" s="1"/>
  <c r="BE87" i="105"/>
  <c r="BF27" i="105"/>
  <c r="BF39" i="105" s="1"/>
  <c r="BA22" i="151" s="1"/>
  <c r="BF87" i="105"/>
  <c r="BZ88" i="105"/>
  <c r="BI94" i="105"/>
  <c r="BX88" i="105"/>
  <c r="AZ126" i="105"/>
  <c r="BT27" i="105"/>
  <c r="BT39" i="105" s="1"/>
  <c r="BO22" i="151" s="1"/>
  <c r="BT87" i="105"/>
  <c r="AO40" i="105"/>
  <c r="AO99" i="105"/>
  <c r="BL85" i="105"/>
  <c r="BO81" i="105"/>
  <c r="CA88" i="105"/>
  <c r="AF61" i="105"/>
  <c r="AF113" i="105"/>
  <c r="BJ86" i="105"/>
  <c r="BN81" i="105"/>
  <c r="AY37" i="105"/>
  <c r="AY97" i="105"/>
  <c r="AB61" i="105"/>
  <c r="AB113" i="105"/>
  <c r="AX39" i="105"/>
  <c r="AS22" i="151" s="1"/>
  <c r="AX89" i="105"/>
  <c r="BI93" i="105"/>
  <c r="BK85" i="105"/>
  <c r="BD37" i="105"/>
  <c r="BD97" i="105"/>
  <c r="BE37" i="105"/>
  <c r="BE97" i="105"/>
  <c r="CD86" i="105"/>
  <c r="CD96" i="105"/>
  <c r="BU94" i="105"/>
  <c r="CA93" i="105"/>
  <c r="BR27" i="105"/>
  <c r="BR89" i="105" s="1"/>
  <c r="BR87" i="105"/>
  <c r="BG37" i="105"/>
  <c r="BG97" i="105"/>
  <c r="BZ93" i="105"/>
  <c r="AI61" i="105"/>
  <c r="AI113" i="105"/>
  <c r="AC61" i="105"/>
  <c r="AC113" i="105"/>
  <c r="AT28" i="105"/>
  <c r="AT89" i="105"/>
  <c r="AQ28" i="105"/>
  <c r="AQ89" i="105"/>
  <c r="AJ61" i="105"/>
  <c r="AJ113" i="105"/>
  <c r="AO28" i="105"/>
  <c r="AO89" i="105"/>
  <c r="AV54" i="105"/>
  <c r="AV99" i="105"/>
  <c r="BV93" i="105"/>
  <c r="BQ92" i="105"/>
  <c r="AW54" i="105"/>
  <c r="AW99" i="105"/>
  <c r="BF37" i="105"/>
  <c r="BF97" i="105"/>
  <c r="BQ84" i="105"/>
  <c r="CA86" i="105"/>
  <c r="AH40" i="105"/>
  <c r="AH99" i="105"/>
  <c r="AH54" i="105"/>
  <c r="AU39" i="105"/>
  <c r="AP22" i="151" s="1"/>
  <c r="AU89" i="105"/>
  <c r="AN28" i="105"/>
  <c r="AN89" i="105"/>
  <c r="AW28" i="105"/>
  <c r="AW89" i="105"/>
  <c r="BD126" i="105"/>
  <c r="BL94" i="105"/>
  <c r="BF126" i="105"/>
  <c r="CC94" i="105"/>
  <c r="AY27" i="105"/>
  <c r="AY39" i="105" s="1"/>
  <c r="AT22" i="151" s="1"/>
  <c r="AY87" i="105"/>
  <c r="BD27" i="105"/>
  <c r="BD39" i="105" s="1"/>
  <c r="AY22" i="151" s="1"/>
  <c r="BD87" i="105"/>
  <c r="CD93" i="105"/>
  <c r="BI85" i="105"/>
  <c r="AP28" i="105"/>
  <c r="AP89" i="105"/>
  <c r="AV28" i="105"/>
  <c r="AV89" i="105"/>
  <c r="CC93" i="105"/>
  <c r="BO92" i="105"/>
  <c r="BM37" i="105"/>
  <c r="BM97" i="105"/>
  <c r="CD94" i="105"/>
  <c r="CC96" i="105"/>
  <c r="AT54" i="105"/>
  <c r="AT99" i="105"/>
  <c r="BX96" i="105"/>
  <c r="BJ94" i="105"/>
  <c r="BJ88" i="105"/>
  <c r="BR126" i="105"/>
  <c r="BH37" i="105"/>
  <c r="BH97" i="105"/>
  <c r="BH27" i="105"/>
  <c r="BH28" i="105" s="1"/>
  <c r="BH87" i="105"/>
  <c r="BC126" i="105"/>
  <c r="CA85" i="105"/>
  <c r="BK96" i="105"/>
  <c r="AG61" i="105"/>
  <c r="AG113" i="105"/>
  <c r="BC37" i="105"/>
  <c r="BC97" i="105"/>
  <c r="BY93" i="105"/>
  <c r="BO84" i="105"/>
  <c r="BJ93" i="105"/>
  <c r="BW93" i="105"/>
  <c r="AR28" i="105"/>
  <c r="AR89" i="105"/>
  <c r="BA37" i="105"/>
  <c r="BA97" i="105"/>
  <c r="AS28" i="105"/>
  <c r="AS89" i="105"/>
  <c r="BG27" i="105"/>
  <c r="BG89" i="105" s="1"/>
  <c r="BG87" i="105"/>
  <c r="O39" i="105"/>
  <c r="J22" i="151" s="1"/>
  <c r="BA126" i="105"/>
  <c r="BX85" i="105"/>
  <c r="BL88" i="105"/>
  <c r="BK86" i="105"/>
  <c r="AL40" i="105"/>
  <c r="AL99" i="105"/>
  <c r="AL54" i="105"/>
  <c r="BB37" i="105"/>
  <c r="BB97" i="105"/>
  <c r="CD85" i="105"/>
  <c r="AZ27" i="105"/>
  <c r="AZ39" i="105" s="1"/>
  <c r="AU22" i="151" s="1"/>
  <c r="AZ87" i="105"/>
  <c r="BB27" i="105"/>
  <c r="BB39" i="105" s="1"/>
  <c r="BB87" i="105"/>
  <c r="CD92" i="105"/>
  <c r="AN54" i="105"/>
  <c r="AN99" i="105"/>
  <c r="BH126" i="105"/>
  <c r="AS40" i="105"/>
  <c r="AS99" i="105"/>
  <c r="BP92" i="105"/>
  <c r="BZ94" i="105"/>
  <c r="CB86" i="105"/>
  <c r="BN37" i="105"/>
  <c r="BN97" i="105"/>
  <c r="AP54" i="105"/>
  <c r="AP99" i="105"/>
  <c r="BC27" i="105"/>
  <c r="BC89" i="105" s="1"/>
  <c r="BC87" i="105"/>
  <c r="BZ85" i="105"/>
  <c r="BQ81" i="105"/>
  <c r="BL96" i="105"/>
  <c r="BN84" i="105"/>
  <c r="BW96" i="105"/>
  <c r="BI88" i="105"/>
  <c r="BY85" i="105"/>
  <c r="BU86" i="105"/>
  <c r="BE126" i="105"/>
  <c r="BA27" i="105"/>
  <c r="BA39" i="105" s="1"/>
  <c r="AV22" i="151" s="1"/>
  <c r="BA87" i="105"/>
  <c r="AQ40" i="105"/>
  <c r="AQ99" i="105"/>
  <c r="BP81" i="105"/>
  <c r="BX86" i="105"/>
  <c r="BS25" i="105"/>
  <c r="BS87" i="105" s="1"/>
  <c r="BS85" i="105"/>
  <c r="BS37" i="105"/>
  <c r="BS97" i="105"/>
  <c r="BR37" i="105"/>
  <c r="BR97" i="105"/>
  <c r="CC86" i="105"/>
  <c r="AR40" i="105"/>
  <c r="AR99" i="105"/>
  <c r="BV96" i="105"/>
  <c r="BP84" i="105"/>
  <c r="CB93" i="105"/>
  <c r="AD99" i="105"/>
  <c r="AD54" i="105"/>
  <c r="AD40" i="105"/>
  <c r="N89" i="104"/>
  <c r="P89" i="104" s="1"/>
  <c r="N89" i="99"/>
  <c r="P89" i="99" s="1"/>
  <c r="N100" i="104"/>
  <c r="P100" i="104" s="1"/>
  <c r="P26" i="99"/>
  <c r="N91" i="99"/>
  <c r="P91" i="99" s="1"/>
  <c r="U45" i="105"/>
  <c r="N91" i="104"/>
  <c r="P91" i="104" s="1"/>
  <c r="N24" i="104"/>
  <c r="P24" i="104" s="1"/>
  <c r="BP418" i="99"/>
  <c r="P24" i="99"/>
  <c r="N98" i="104"/>
  <c r="P98" i="104" s="1"/>
  <c r="P33" i="99"/>
  <c r="R26" i="105"/>
  <c r="N98" i="99"/>
  <c r="P98" i="99" s="1"/>
  <c r="N100" i="99"/>
  <c r="P100" i="99" s="1"/>
  <c r="P35" i="99"/>
  <c r="R24" i="105"/>
  <c r="N33" i="103"/>
  <c r="P33" i="103" s="1"/>
  <c r="N33" i="104"/>
  <c r="P33" i="104" s="1"/>
  <c r="CB33" i="105"/>
  <c r="R33" i="105"/>
  <c r="CB35" i="105"/>
  <c r="BD147" i="104"/>
  <c r="N35" i="103"/>
  <c r="P35" i="103" s="1"/>
  <c r="BK31" i="105"/>
  <c r="M69" i="99"/>
  <c r="R35" i="105"/>
  <c r="N35" i="104"/>
  <c r="P35" i="104" s="1"/>
  <c r="N22" i="99"/>
  <c r="N87" i="103" s="1"/>
  <c r="P87" i="103" s="1"/>
  <c r="N26" i="104"/>
  <c r="P26" i="104" s="1"/>
  <c r="BN28" i="103"/>
  <c r="BE147" i="104"/>
  <c r="BU32" i="105"/>
  <c r="BU35" i="105"/>
  <c r="BR147" i="99"/>
  <c r="BE134" i="104"/>
  <c r="BE69" i="104" s="1"/>
  <c r="BE134" i="103"/>
  <c r="BE69" i="103" s="1"/>
  <c r="BW33" i="105"/>
  <c r="BW24" i="105"/>
  <c r="BU26" i="105"/>
  <c r="R32" i="105"/>
  <c r="BK19" i="105"/>
  <c r="N19" i="99"/>
  <c r="N84" i="103" s="1"/>
  <c r="M31" i="104"/>
  <c r="CB26" i="105"/>
  <c r="BD134" i="103"/>
  <c r="BD69" i="103" s="1"/>
  <c r="BD134" i="104"/>
  <c r="BD69" i="104" s="1"/>
  <c r="N31" i="99"/>
  <c r="N96" i="103" s="1"/>
  <c r="P96" i="103" s="1"/>
  <c r="N24" i="103"/>
  <c r="P24" i="103" s="1"/>
  <c r="BE148" i="103"/>
  <c r="BJ19" i="105"/>
  <c r="BE147" i="103"/>
  <c r="BE149" i="103"/>
  <c r="BI28" i="103"/>
  <c r="BI39" i="103"/>
  <c r="BF90" i="104"/>
  <c r="BF25" i="104" s="1"/>
  <c r="BF27" i="99"/>
  <c r="BF90" i="99"/>
  <c r="BF90" i="103"/>
  <c r="BF146" i="103"/>
  <c r="BF25" i="103"/>
  <c r="BF27" i="103" s="1"/>
  <c r="BP134" i="104"/>
  <c r="BP69" i="104" s="1"/>
  <c r="BP134" i="103"/>
  <c r="BP69" i="103" s="1"/>
  <c r="BJ31" i="105"/>
  <c r="BR454" i="99" a="1"/>
  <c r="BR454" i="99" s="1"/>
  <c r="BR457" i="99" s="1"/>
  <c r="BR69" i="99" s="1"/>
  <c r="BR134" i="99" s="1"/>
  <c r="BR418" i="99"/>
  <c r="BE99" i="104"/>
  <c r="BE34" i="104" s="1"/>
  <c r="BE99" i="103"/>
  <c r="BE99" i="99"/>
  <c r="BE36" i="99"/>
  <c r="BW84" i="103"/>
  <c r="BW19" i="103" s="1"/>
  <c r="BW149" i="103" s="1"/>
  <c r="BW146" i="99"/>
  <c r="BW84" i="104"/>
  <c r="BW19" i="104" s="1"/>
  <c r="BW84" i="99"/>
  <c r="BW147" i="99"/>
  <c r="BE146" i="103"/>
  <c r="BJ22" i="105"/>
  <c r="BE25" i="103"/>
  <c r="BE27" i="103" s="1"/>
  <c r="BR96" i="99"/>
  <c r="BR96" i="104"/>
  <c r="BR31" i="104" s="1"/>
  <c r="BR34" i="99"/>
  <c r="BR96" i="103"/>
  <c r="BR31" i="103" s="1"/>
  <c r="BR34" i="103" s="1"/>
  <c r="BR36" i="103" s="1"/>
  <c r="BR37" i="103" s="1"/>
  <c r="BF149" i="103"/>
  <c r="BF147" i="103"/>
  <c r="BN92" i="103"/>
  <c r="BN93" i="103" s="1"/>
  <c r="BN92" i="99"/>
  <c r="BN93" i="99" s="1"/>
  <c r="BN39" i="99"/>
  <c r="BN92" i="104"/>
  <c r="BN28" i="99"/>
  <c r="BW87" i="103"/>
  <c r="BW22" i="103" s="1"/>
  <c r="BW87" i="104"/>
  <c r="BW22" i="104" s="1"/>
  <c r="BW25" i="99"/>
  <c r="BW87" i="99"/>
  <c r="BW145" i="99"/>
  <c r="BE90" i="103"/>
  <c r="BE90" i="99"/>
  <c r="BE90" i="104"/>
  <c r="BE25" i="104" s="1"/>
  <c r="BE27" i="99"/>
  <c r="BI22" i="105"/>
  <c r="BD25" i="103"/>
  <c r="BD27" i="103" s="1"/>
  <c r="BD146" i="103"/>
  <c r="BI92" i="103"/>
  <c r="BI93" i="103" s="1"/>
  <c r="BI92" i="104"/>
  <c r="BI28" i="99"/>
  <c r="BI39" i="99"/>
  <c r="BI92" i="99"/>
  <c r="BI93" i="99" s="1"/>
  <c r="BF99" i="104"/>
  <c r="BF34" i="104" s="1"/>
  <c r="BF99" i="103"/>
  <c r="BF99" i="99"/>
  <c r="BF36" i="99"/>
  <c r="BF150" i="104"/>
  <c r="BF148" i="104"/>
  <c r="BD90" i="103"/>
  <c r="BD90" i="99"/>
  <c r="BD27" i="99"/>
  <c r="BD90" i="104"/>
  <c r="BD25" i="104" s="1"/>
  <c r="BP147" i="99"/>
  <c r="BP84" i="99"/>
  <c r="BP146" i="99"/>
  <c r="BP84" i="103"/>
  <c r="BP19" i="103" s="1"/>
  <c r="BP84" i="104"/>
  <c r="BP19" i="104" s="1"/>
  <c r="BP87" i="99"/>
  <c r="BP25" i="99"/>
  <c r="BP145" i="99"/>
  <c r="BP87" i="103"/>
  <c r="BP22" i="103" s="1"/>
  <c r="BP87" i="104"/>
  <c r="BP22" i="104" s="1"/>
  <c r="BW454" i="99" a="1"/>
  <c r="BW454" i="99" s="1"/>
  <c r="BW457" i="99" s="1"/>
  <c r="BW69" i="99" s="1"/>
  <c r="BW134" i="99" s="1"/>
  <c r="BW418" i="99"/>
  <c r="BI31" i="105"/>
  <c r="BD150" i="104"/>
  <c r="BD149" i="104"/>
  <c r="BD148" i="104"/>
  <c r="BP96" i="99"/>
  <c r="BP34" i="99"/>
  <c r="BP96" i="103"/>
  <c r="BP31" i="103" s="1"/>
  <c r="BP34" i="103" s="1"/>
  <c r="BP36" i="103" s="1"/>
  <c r="BP37" i="103" s="1"/>
  <c r="BP96" i="104"/>
  <c r="BP31" i="104" s="1"/>
  <c r="BW23" i="105"/>
  <c r="BD99" i="99"/>
  <c r="BD36" i="99"/>
  <c r="BD99" i="103"/>
  <c r="BD99" i="104"/>
  <c r="BD34" i="104" s="1"/>
  <c r="BF148" i="103"/>
  <c r="BR145" i="99"/>
  <c r="BR84" i="99"/>
  <c r="BR84" i="104"/>
  <c r="BR19" i="104" s="1"/>
  <c r="BR84" i="103"/>
  <c r="BR19" i="103" s="1"/>
  <c r="BR147" i="103" s="1"/>
  <c r="BR148" i="99"/>
  <c r="BW96" i="103"/>
  <c r="BW31" i="103" s="1"/>
  <c r="BW34" i="103" s="1"/>
  <c r="BW36" i="103" s="1"/>
  <c r="BW37" i="103" s="1"/>
  <c r="BW96" i="99"/>
  <c r="BW34" i="99"/>
  <c r="BW96" i="104"/>
  <c r="BW31" i="104" s="1"/>
  <c r="BE149" i="104"/>
  <c r="BE150" i="104"/>
  <c r="BE148" i="104"/>
  <c r="BK22" i="105"/>
  <c r="N26" i="103"/>
  <c r="P26" i="103" s="1"/>
  <c r="BF147" i="104"/>
  <c r="BR87" i="99"/>
  <c r="BR87" i="103"/>
  <c r="BR22" i="103" s="1"/>
  <c r="BR25" i="99"/>
  <c r="BR87" i="104"/>
  <c r="BR22" i="104" s="1"/>
  <c r="BI19" i="105"/>
  <c r="BD149" i="103"/>
  <c r="BD147" i="103"/>
  <c r="BD148" i="103"/>
  <c r="BN25" i="105"/>
  <c r="BN87" i="105" s="1"/>
  <c r="BO34" i="105"/>
  <c r="BS134" i="103"/>
  <c r="BS69" i="103" s="1"/>
  <c r="BS134" i="104"/>
  <c r="BS69" i="104" s="1"/>
  <c r="BG134" i="104"/>
  <c r="BG69" i="104" s="1"/>
  <c r="CA31" i="105"/>
  <c r="BV147" i="104"/>
  <c r="BL22" i="105"/>
  <c r="BV149" i="103"/>
  <c r="BU149" i="103"/>
  <c r="BX19" i="105"/>
  <c r="BV147" i="103"/>
  <c r="BG134" i="103"/>
  <c r="BG69" i="103" s="1"/>
  <c r="BZ31" i="105"/>
  <c r="BX22" i="105"/>
  <c r="BU146" i="103"/>
  <c r="BU25" i="103"/>
  <c r="BU27" i="103" s="1"/>
  <c r="BT90" i="103"/>
  <c r="BT90" i="104"/>
  <c r="BT25" i="104" s="1"/>
  <c r="BT90" i="99"/>
  <c r="BT27" i="99"/>
  <c r="BK92" i="103"/>
  <c r="BK93" i="103" s="1"/>
  <c r="BK92" i="99"/>
  <c r="BK93" i="99" s="1"/>
  <c r="BK28" i="99"/>
  <c r="BK39" i="99"/>
  <c r="BK92" i="104"/>
  <c r="BS149" i="103"/>
  <c r="BS148" i="103"/>
  <c r="BS150" i="104"/>
  <c r="BS149" i="104"/>
  <c r="BQ25" i="105"/>
  <c r="BQ87" i="105" s="1"/>
  <c r="BT147" i="103"/>
  <c r="BT149" i="103"/>
  <c r="BT148" i="103"/>
  <c r="BY19" i="105"/>
  <c r="BP25" i="105"/>
  <c r="BP87" i="105" s="1"/>
  <c r="BS148" i="104"/>
  <c r="BL39" i="103"/>
  <c r="BL28" i="103"/>
  <c r="BK28" i="103"/>
  <c r="BK39" i="103"/>
  <c r="BV149" i="104"/>
  <c r="BL101" i="103"/>
  <c r="BL102" i="103" s="1"/>
  <c r="BL37" i="99"/>
  <c r="BL101" i="104"/>
  <c r="BL101" i="99"/>
  <c r="BL102" i="99" s="1"/>
  <c r="BJ92" i="103"/>
  <c r="BJ93" i="103" s="1"/>
  <c r="BJ92" i="104"/>
  <c r="BJ39" i="99"/>
  <c r="BJ28" i="99"/>
  <c r="BJ92" i="99"/>
  <c r="BJ93" i="99" s="1"/>
  <c r="BT99" i="103"/>
  <c r="BT99" i="104"/>
  <c r="BT34" i="104" s="1"/>
  <c r="BT36" i="99"/>
  <c r="BT99" i="99"/>
  <c r="BV99" i="103"/>
  <c r="BV99" i="104"/>
  <c r="BV34" i="104" s="1"/>
  <c r="BV36" i="99"/>
  <c r="BV99" i="99"/>
  <c r="CA19" i="105"/>
  <c r="BT34" i="103"/>
  <c r="BT36" i="103" s="1"/>
  <c r="BT37" i="103" s="1"/>
  <c r="BY31" i="105"/>
  <c r="BX31" i="105"/>
  <c r="BV150" i="104"/>
  <c r="BS25" i="103"/>
  <c r="BS27" i="103" s="1"/>
  <c r="BS146" i="103"/>
  <c r="BO25" i="105"/>
  <c r="BO87" i="105" s="1"/>
  <c r="BL31" i="105"/>
  <c r="BJ39" i="103"/>
  <c r="BJ28" i="103"/>
  <c r="CA22" i="105"/>
  <c r="BV146" i="103"/>
  <c r="BV25" i="103"/>
  <c r="BV27" i="103" s="1"/>
  <c r="BS99" i="104"/>
  <c r="BS34" i="104" s="1"/>
  <c r="BS99" i="99"/>
  <c r="BS36" i="99"/>
  <c r="BS99" i="103"/>
  <c r="BS90" i="99"/>
  <c r="BS90" i="104"/>
  <c r="BS25" i="104" s="1"/>
  <c r="BS27" i="99"/>
  <c r="BS90" i="103"/>
  <c r="BJ101" i="103"/>
  <c r="BJ102" i="103" s="1"/>
  <c r="BJ101" i="99"/>
  <c r="BJ102" i="99" s="1"/>
  <c r="BJ101" i="104"/>
  <c r="BJ37" i="99"/>
  <c r="BT134" i="103"/>
  <c r="BT69" i="103" s="1"/>
  <c r="BT134" i="104"/>
  <c r="BT69" i="104" s="1"/>
  <c r="BS147" i="104"/>
  <c r="BP34" i="105"/>
  <c r="BP95" i="105" s="1"/>
  <c r="BV134" i="104"/>
  <c r="BV69" i="104" s="1"/>
  <c r="BV134" i="103"/>
  <c r="BV69" i="103" s="1"/>
  <c r="BQ34" i="105"/>
  <c r="BQ95" i="105" s="1"/>
  <c r="BZ19" i="105"/>
  <c r="BU148" i="103"/>
  <c r="BL92" i="103"/>
  <c r="BL93" i="103" s="1"/>
  <c r="BL92" i="99"/>
  <c r="BL93" i="99" s="1"/>
  <c r="BL92" i="104"/>
  <c r="BL28" i="99"/>
  <c r="BL39" i="99"/>
  <c r="BV90" i="99"/>
  <c r="BV27" i="99"/>
  <c r="BV90" i="103"/>
  <c r="BV90" i="104"/>
  <c r="BV25" i="104" s="1"/>
  <c r="BZ22" i="105"/>
  <c r="BU148" i="104"/>
  <c r="BU149" i="104"/>
  <c r="BU134" i="103"/>
  <c r="BU69" i="103" s="1"/>
  <c r="BU134" i="104"/>
  <c r="BU69" i="104" s="1"/>
  <c r="BS147" i="103"/>
  <c r="BT147" i="104"/>
  <c r="BK101" i="103"/>
  <c r="BK102" i="103" s="1"/>
  <c r="BK101" i="104"/>
  <c r="BK37" i="99"/>
  <c r="BK101" i="99"/>
  <c r="BK102" i="99" s="1"/>
  <c r="BT149" i="104"/>
  <c r="BT150" i="104"/>
  <c r="BT148" i="104"/>
  <c r="BU147" i="104"/>
  <c r="BU99" i="103"/>
  <c r="BU99" i="104"/>
  <c r="BU34" i="104" s="1"/>
  <c r="BU36" i="99"/>
  <c r="BU99" i="99"/>
  <c r="BY22" i="105"/>
  <c r="BT146" i="103"/>
  <c r="BT25" i="103"/>
  <c r="BT27" i="103" s="1"/>
  <c r="BU27" i="99"/>
  <c r="BU90" i="104"/>
  <c r="BU25" i="104" s="1"/>
  <c r="BU90" i="103"/>
  <c r="BU90" i="99"/>
  <c r="R23" i="105"/>
  <c r="M148" i="99"/>
  <c r="M84" i="99"/>
  <c r="M84" i="103"/>
  <c r="M146" i="99"/>
  <c r="M84" i="104"/>
  <c r="M147" i="99"/>
  <c r="BG150" i="104"/>
  <c r="BG149" i="104"/>
  <c r="M19" i="104"/>
  <c r="BG149" i="103"/>
  <c r="BG148" i="103"/>
  <c r="M19" i="103"/>
  <c r="M87" i="103"/>
  <c r="M87" i="99"/>
  <c r="M87" i="104"/>
  <c r="M145" i="99"/>
  <c r="BG25" i="103"/>
  <c r="BG146" i="103"/>
  <c r="M22" i="103"/>
  <c r="BG99" i="104"/>
  <c r="BG34" i="104" s="1"/>
  <c r="BG99" i="103"/>
  <c r="M34" i="99"/>
  <c r="BG36" i="99"/>
  <c r="BG99" i="99"/>
  <c r="M31" i="103"/>
  <c r="BG34" i="103"/>
  <c r="BG90" i="104"/>
  <c r="BG25" i="104" s="1"/>
  <c r="BG90" i="103"/>
  <c r="BG90" i="99"/>
  <c r="BG27" i="99"/>
  <c r="M25" i="99"/>
  <c r="M96" i="99"/>
  <c r="M96" i="103"/>
  <c r="M96" i="104"/>
  <c r="BG147" i="104"/>
  <c r="M22" i="104"/>
  <c r="BL19" i="105"/>
  <c r="BG148" i="104"/>
  <c r="BV19" i="105"/>
  <c r="BV31" i="105"/>
  <c r="BV22" i="105"/>
  <c r="BQ147" i="104"/>
  <c r="BQ147" i="103"/>
  <c r="BQ149" i="103"/>
  <c r="BQ150" i="104"/>
  <c r="BQ148" i="104"/>
  <c r="BQ148" i="103"/>
  <c r="BQ99" i="99"/>
  <c r="BQ36" i="99"/>
  <c r="BQ99" i="104"/>
  <c r="BQ34" i="104" s="1"/>
  <c r="BQ99" i="103"/>
  <c r="BQ25" i="103"/>
  <c r="BQ27" i="103" s="1"/>
  <c r="BQ146" i="103"/>
  <c r="BQ149" i="104"/>
  <c r="BQ90" i="99"/>
  <c r="BQ27" i="99"/>
  <c r="BQ90" i="103"/>
  <c r="BQ90" i="104"/>
  <c r="BQ25" i="104" s="1"/>
  <c r="BQ134" i="103"/>
  <c r="BQ69" i="103" s="1"/>
  <c r="BQ134" i="104"/>
  <c r="BQ69" i="104" s="1"/>
  <c r="W61" i="105"/>
  <c r="BM62" i="103"/>
  <c r="L27" i="103"/>
  <c r="L28" i="103" s="1"/>
  <c r="L25" i="103"/>
  <c r="AV39" i="103"/>
  <c r="AV40" i="103" s="1"/>
  <c r="AR54" i="105"/>
  <c r="AQ54" i="105"/>
  <c r="L146" i="103"/>
  <c r="AO54" i="105"/>
  <c r="AS54" i="105"/>
  <c r="Q25" i="105"/>
  <c r="AN40" i="105"/>
  <c r="AV40" i="105"/>
  <c r="AW40" i="105"/>
  <c r="Q36" i="105"/>
  <c r="L28" i="99"/>
  <c r="CC34" i="105"/>
  <c r="L92" i="99"/>
  <c r="L93" i="99" s="1"/>
  <c r="CD34" i="105"/>
  <c r="BT37" i="105"/>
  <c r="AP40" i="105"/>
  <c r="CD22" i="105"/>
  <c r="AT40" i="105"/>
  <c r="BH119" i="103"/>
  <c r="CC22" i="105"/>
  <c r="BN54" i="103"/>
  <c r="BN61" i="103" s="1"/>
  <c r="BN65" i="103" s="1"/>
  <c r="BN40" i="103"/>
  <c r="L36" i="104"/>
  <c r="L37" i="104" s="1"/>
  <c r="CD19" i="105"/>
  <c r="CC19" i="105"/>
  <c r="AO119" i="104"/>
  <c r="AO54" i="104" s="1"/>
  <c r="W126" i="104"/>
  <c r="AE126" i="104"/>
  <c r="Z126" i="104"/>
  <c r="BA104" i="104"/>
  <c r="BA105" i="104" s="1"/>
  <c r="J119" i="99"/>
  <c r="J119" i="104"/>
  <c r="AW104" i="104"/>
  <c r="AW105" i="104" s="1"/>
  <c r="AX104" i="104"/>
  <c r="AX105" i="104" s="1"/>
  <c r="AZ104" i="104"/>
  <c r="AZ105" i="104" s="1"/>
  <c r="AL119" i="104"/>
  <c r="AL54" i="104" s="1"/>
  <c r="K104" i="104"/>
  <c r="K105" i="104" s="1"/>
  <c r="AY104" i="104"/>
  <c r="AY105" i="104" s="1"/>
  <c r="AJ119" i="104"/>
  <c r="AJ54" i="104" s="1"/>
  <c r="AI119" i="104"/>
  <c r="AI54" i="104" s="1"/>
  <c r="AM119" i="104"/>
  <c r="AM54" i="104" s="1"/>
  <c r="AA126" i="104"/>
  <c r="AN119" i="104"/>
  <c r="AN54" i="104" s="1"/>
  <c r="BY90" i="104"/>
  <c r="BY25" i="104" s="1"/>
  <c r="AU104" i="104"/>
  <c r="AU105" i="104" s="1"/>
  <c r="AK119" i="104"/>
  <c r="AK54" i="104" s="1"/>
  <c r="AC126" i="104"/>
  <c r="BH119" i="104"/>
  <c r="BH54" i="104" s="1"/>
  <c r="Y126" i="104"/>
  <c r="BX101" i="104"/>
  <c r="BX102" i="104" s="1"/>
  <c r="AS119" i="104"/>
  <c r="AS54" i="104" s="1"/>
  <c r="AP119" i="104"/>
  <c r="AP54" i="104" s="1"/>
  <c r="S32" i="105"/>
  <c r="AT104" i="104"/>
  <c r="AT105" i="104" s="1"/>
  <c r="BB104" i="104"/>
  <c r="BB105" i="104" s="1"/>
  <c r="AQ119" i="104"/>
  <c r="AQ54" i="104" s="1"/>
  <c r="AV104" i="104"/>
  <c r="AV105" i="104" s="1"/>
  <c r="AB126" i="104"/>
  <c r="X126" i="104"/>
  <c r="AG126" i="104"/>
  <c r="BY101" i="104"/>
  <c r="BY102" i="104" s="1"/>
  <c r="BX90" i="104"/>
  <c r="BX25" i="104" s="1"/>
  <c r="L92" i="104"/>
  <c r="L93" i="104" s="1"/>
  <c r="AF126" i="104"/>
  <c r="BC104" i="104"/>
  <c r="BC105" i="104" s="1"/>
  <c r="AH119" i="104"/>
  <c r="AH54" i="104" s="1"/>
  <c r="V126" i="104"/>
  <c r="AR119" i="104"/>
  <c r="AR54" i="104" s="1"/>
  <c r="AD126" i="104"/>
  <c r="BY147" i="104"/>
  <c r="J61" i="99"/>
  <c r="AW104" i="99"/>
  <c r="AW105" i="99" s="1"/>
  <c r="AW40" i="99"/>
  <c r="AW54" i="99"/>
  <c r="AW119" i="103" s="1"/>
  <c r="BA54" i="99"/>
  <c r="BA119" i="103" s="1"/>
  <c r="BA104" i="99"/>
  <c r="BA105" i="99" s="1"/>
  <c r="BA40" i="99"/>
  <c r="R62" i="103"/>
  <c r="J61" i="103"/>
  <c r="AI62" i="103"/>
  <c r="AQ62" i="103"/>
  <c r="BC54" i="103"/>
  <c r="BC61" i="103" s="1"/>
  <c r="BC65" i="103" s="1"/>
  <c r="BC40" i="103"/>
  <c r="AJ39" i="104"/>
  <c r="AJ40" i="104" s="1"/>
  <c r="X62" i="99"/>
  <c r="X126" i="99"/>
  <c r="X127" i="99" s="1"/>
  <c r="AO39" i="104"/>
  <c r="AO40" i="104" s="1"/>
  <c r="BY149" i="104"/>
  <c r="BY150" i="104"/>
  <c r="AC126" i="99"/>
  <c r="AC127" i="99" s="1"/>
  <c r="AC62" i="99"/>
  <c r="AU27" i="104"/>
  <c r="AU28" i="104" s="1"/>
  <c r="AF126" i="99"/>
  <c r="AF127" i="99" s="1"/>
  <c r="AF62" i="99"/>
  <c r="AO119" i="99"/>
  <c r="AO61" i="99"/>
  <c r="AA126" i="99"/>
  <c r="AA127" i="99" s="1"/>
  <c r="AA62" i="99"/>
  <c r="AL39" i="104"/>
  <c r="AL40" i="104" s="1"/>
  <c r="BY147" i="103"/>
  <c r="BY149" i="103"/>
  <c r="BY148" i="103"/>
  <c r="AN62" i="103"/>
  <c r="AU40" i="99"/>
  <c r="AU54" i="99"/>
  <c r="AU119" i="103" s="1"/>
  <c r="AU104" i="99"/>
  <c r="AU105" i="99" s="1"/>
  <c r="BH39" i="104"/>
  <c r="BH40" i="104" s="1"/>
  <c r="AM39" i="104"/>
  <c r="AM40" i="104" s="1"/>
  <c r="AB126" i="99"/>
  <c r="AB127" i="99" s="1"/>
  <c r="AB62" i="99"/>
  <c r="AJ61" i="99"/>
  <c r="AJ119" i="99"/>
  <c r="AI39" i="104"/>
  <c r="AI40" i="104" s="1"/>
  <c r="AY54" i="103"/>
  <c r="AY61" i="103" s="1"/>
  <c r="AY65" i="103" s="1"/>
  <c r="AY40" i="103"/>
  <c r="BX36" i="103"/>
  <c r="BA54" i="103"/>
  <c r="BA61" i="103" s="1"/>
  <c r="BA65" i="103" s="1"/>
  <c r="BA40" i="103"/>
  <c r="AS39" i="104"/>
  <c r="AS40" i="104" s="1"/>
  <c r="AL61" i="99"/>
  <c r="AL119" i="99"/>
  <c r="W126" i="99"/>
  <c r="W127" i="99" s="1"/>
  <c r="W62" i="99"/>
  <c r="BH62" i="103"/>
  <c r="AS61" i="99"/>
  <c r="AS119" i="99"/>
  <c r="BY90" i="99"/>
  <c r="BY27" i="99"/>
  <c r="BY92" i="103" s="1"/>
  <c r="BY93" i="103" s="1"/>
  <c r="AR62" i="103"/>
  <c r="BH119" i="99"/>
  <c r="BH61" i="99"/>
  <c r="BH65" i="99" s="1"/>
  <c r="AM119" i="99"/>
  <c r="AM61" i="99"/>
  <c r="BY146" i="103"/>
  <c r="BY25" i="103"/>
  <c r="BY27" i="103" s="1"/>
  <c r="AI61" i="99"/>
  <c r="AI119" i="99"/>
  <c r="AT27" i="104"/>
  <c r="AT28" i="104" s="1"/>
  <c r="BC27" i="104"/>
  <c r="BC28" i="104" s="1"/>
  <c r="T61" i="104"/>
  <c r="T62" i="104" s="1"/>
  <c r="AJ62" i="103"/>
  <c r="AK39" i="104"/>
  <c r="AK40" i="104" s="1"/>
  <c r="AK62" i="103"/>
  <c r="BX101" i="99"/>
  <c r="BX102" i="99" s="1"/>
  <c r="BX37" i="99"/>
  <c r="AH62" i="103"/>
  <c r="AM62" i="103"/>
  <c r="AQ39" i="104"/>
  <c r="AQ40" i="104" s="1"/>
  <c r="BX149" i="103"/>
  <c r="BX147" i="103"/>
  <c r="BX148" i="103"/>
  <c r="AO62" i="103"/>
  <c r="AP62" i="103"/>
  <c r="AT54" i="99"/>
  <c r="AT119" i="103" s="1"/>
  <c r="AT40" i="99"/>
  <c r="AT104" i="99"/>
  <c r="AT105" i="99" s="1"/>
  <c r="BC40" i="99"/>
  <c r="BC104" i="99"/>
  <c r="BC105" i="99" s="1"/>
  <c r="BC54" i="99"/>
  <c r="BC119" i="103" s="1"/>
  <c r="BB27" i="104"/>
  <c r="BB28" i="104" s="1"/>
  <c r="AZ40" i="103"/>
  <c r="AZ54" i="103"/>
  <c r="AZ61" i="103" s="1"/>
  <c r="AZ65" i="103" s="1"/>
  <c r="AR39" i="104"/>
  <c r="AR40" i="104" s="1"/>
  <c r="BX147" i="104"/>
  <c r="AP39" i="104"/>
  <c r="AP40" i="104" s="1"/>
  <c r="AY27" i="104"/>
  <c r="AY28" i="104" s="1"/>
  <c r="BX150" i="104"/>
  <c r="BX149" i="104"/>
  <c r="BX148" i="104"/>
  <c r="AK61" i="99"/>
  <c r="AK119" i="99"/>
  <c r="K54" i="99"/>
  <c r="K119" i="103" s="1"/>
  <c r="AR119" i="99"/>
  <c r="AR61" i="99"/>
  <c r="AQ119" i="99"/>
  <c r="AQ61" i="99"/>
  <c r="BX146" i="103"/>
  <c r="BX25" i="103"/>
  <c r="R61" i="104"/>
  <c r="Z126" i="99"/>
  <c r="Z127" i="99" s="1"/>
  <c r="Z62" i="99"/>
  <c r="BX27" i="99"/>
  <c r="BX92" i="103" s="1"/>
  <c r="BX93" i="103" s="1"/>
  <c r="BX90" i="99"/>
  <c r="AP61" i="99"/>
  <c r="AP119" i="99"/>
  <c r="AY40" i="99"/>
  <c r="AY104" i="99"/>
  <c r="AY105" i="99" s="1"/>
  <c r="AY54" i="99"/>
  <c r="AY119" i="103" s="1"/>
  <c r="AW40" i="103"/>
  <c r="AW54" i="103"/>
  <c r="AW61" i="103" s="1"/>
  <c r="AW65" i="103" s="1"/>
  <c r="AD126" i="99"/>
  <c r="AD127" i="99" s="1"/>
  <c r="AD62" i="99"/>
  <c r="BB104" i="99"/>
  <c r="BB105" i="99" s="1"/>
  <c r="BB54" i="99"/>
  <c r="BB119" i="103" s="1"/>
  <c r="BB40" i="99"/>
  <c r="AT54" i="103"/>
  <c r="AT61" i="103" s="1"/>
  <c r="AT65" i="103" s="1"/>
  <c r="AT40" i="103"/>
  <c r="AG62" i="99"/>
  <c r="AG126" i="99"/>
  <c r="AG127" i="99" s="1"/>
  <c r="L39" i="99"/>
  <c r="L104" i="103" s="1"/>
  <c r="L105" i="103" s="1"/>
  <c r="AZ27" i="104"/>
  <c r="AZ28" i="104" s="1"/>
  <c r="V126" i="99"/>
  <c r="V127" i="99" s="1"/>
  <c r="V62" i="99"/>
  <c r="AV27" i="104"/>
  <c r="AV28" i="104" s="1"/>
  <c r="U61" i="104"/>
  <c r="U62" i="104" s="1"/>
  <c r="BB54" i="103"/>
  <c r="BB61" i="103" s="1"/>
  <c r="BB65" i="103" s="1"/>
  <c r="BB40" i="103"/>
  <c r="AU54" i="103"/>
  <c r="AU61" i="103" s="1"/>
  <c r="AU65" i="103" s="1"/>
  <c r="AU40" i="103"/>
  <c r="AX27" i="104"/>
  <c r="AX28" i="104" s="1"/>
  <c r="BY37" i="99"/>
  <c r="BY101" i="99"/>
  <c r="BY102" i="99" s="1"/>
  <c r="AH39" i="104"/>
  <c r="AH40" i="104" s="1"/>
  <c r="J39" i="104"/>
  <c r="J40" i="104" s="1"/>
  <c r="O28" i="105"/>
  <c r="AN39" i="104"/>
  <c r="AN40" i="104" s="1"/>
  <c r="AZ104" i="99"/>
  <c r="AZ105" i="99" s="1"/>
  <c r="AZ40" i="99"/>
  <c r="AZ54" i="99"/>
  <c r="AZ119" i="103" s="1"/>
  <c r="AX40" i="99"/>
  <c r="AX54" i="99"/>
  <c r="AX119" i="103" s="1"/>
  <c r="AX104" i="99"/>
  <c r="AX105" i="99" s="1"/>
  <c r="Y126" i="99"/>
  <c r="Y127" i="99" s="1"/>
  <c r="Y62" i="99"/>
  <c r="AX40" i="103"/>
  <c r="AX54" i="103"/>
  <c r="AX61" i="103" s="1"/>
  <c r="AX65" i="103" s="1"/>
  <c r="AN61" i="99"/>
  <c r="AN119" i="99"/>
  <c r="AW27" i="104"/>
  <c r="AW28" i="104" s="1"/>
  <c r="S61" i="104"/>
  <c r="S62" i="104" s="1"/>
  <c r="AV40" i="99"/>
  <c r="AV104" i="99"/>
  <c r="AV105" i="99" s="1"/>
  <c r="AV54" i="99"/>
  <c r="AV119" i="103" s="1"/>
  <c r="AL62" i="103"/>
  <c r="AE126" i="99"/>
  <c r="AE127" i="99" s="1"/>
  <c r="AE62" i="99"/>
  <c r="AH119" i="99"/>
  <c r="AH61" i="99"/>
  <c r="BA27" i="104"/>
  <c r="BA28" i="104" s="1"/>
  <c r="K104" i="99"/>
  <c r="K105" i="99" s="1"/>
  <c r="K40" i="99"/>
  <c r="K39" i="103"/>
  <c r="K40" i="103" s="1"/>
  <c r="K27" i="104"/>
  <c r="K28" i="104" s="1"/>
  <c r="P27" i="105"/>
  <c r="BO62" i="103" l="1"/>
  <c r="AI120" i="105"/>
  <c r="AI62" i="105"/>
  <c r="AB120" i="105"/>
  <c r="AB62" i="105"/>
  <c r="AC120" i="105"/>
  <c r="AC62" i="105"/>
  <c r="AA120" i="105"/>
  <c r="AA62" i="105"/>
  <c r="AG120" i="105"/>
  <c r="AG62" i="105"/>
  <c r="W120" i="105"/>
  <c r="W62" i="105"/>
  <c r="AJ120" i="105"/>
  <c r="AJ62" i="105"/>
  <c r="AK120" i="105"/>
  <c r="AK62" i="105"/>
  <c r="AE120" i="105"/>
  <c r="AE62" i="105"/>
  <c r="AF120" i="105"/>
  <c r="AF62" i="105"/>
  <c r="BM99" i="105"/>
  <c r="BH22" i="151"/>
  <c r="AM99" i="105"/>
  <c r="P99" i="105" s="1"/>
  <c r="AH22" i="151"/>
  <c r="S39" i="151"/>
  <c r="T33" i="72"/>
  <c r="BB99" i="105"/>
  <c r="AW22" i="151"/>
  <c r="T39" i="151"/>
  <c r="U33" i="72"/>
  <c r="U39" i="151"/>
  <c r="V33" i="72"/>
  <c r="M131" i="155"/>
  <c r="BO66" i="103"/>
  <c r="AY71" i="103"/>
  <c r="AY72" i="103" s="1"/>
  <c r="AY66" i="103"/>
  <c r="AT71" i="103"/>
  <c r="AT72" i="103" s="1"/>
  <c r="AT66" i="103"/>
  <c r="AX71" i="103"/>
  <c r="AX72" i="103" s="1"/>
  <c r="AX66" i="103"/>
  <c r="BB71" i="103"/>
  <c r="BB72" i="103" s="1"/>
  <c r="BB66" i="103"/>
  <c r="BO119" i="99"/>
  <c r="AW71" i="103"/>
  <c r="AW72" i="103" s="1"/>
  <c r="AW66" i="103"/>
  <c r="AU71" i="103"/>
  <c r="AU72" i="103" s="1"/>
  <c r="AU66" i="103"/>
  <c r="AZ71" i="103"/>
  <c r="AZ72" i="103" s="1"/>
  <c r="AZ66" i="103"/>
  <c r="BC71" i="103"/>
  <c r="BC72" i="103" s="1"/>
  <c r="BC66" i="103"/>
  <c r="BN71" i="103"/>
  <c r="BN72" i="103" s="1"/>
  <c r="BN66" i="103"/>
  <c r="BA71" i="103"/>
  <c r="BA72" i="103" s="1"/>
  <c r="BA66" i="103"/>
  <c r="BY71" i="155"/>
  <c r="BY66" i="155"/>
  <c r="BY130" i="155"/>
  <c r="BY131" i="155" s="1"/>
  <c r="AF72" i="153"/>
  <c r="AF77" i="153"/>
  <c r="AF142" i="153" s="1"/>
  <c r="AF136" i="153"/>
  <c r="AF137" i="153" s="1"/>
  <c r="BJ77" i="155"/>
  <c r="BJ142" i="155" s="1"/>
  <c r="BJ72" i="155"/>
  <c r="BJ136" i="155"/>
  <c r="BJ137" i="155" s="1"/>
  <c r="BS71" i="155"/>
  <c r="BS130" i="155"/>
  <c r="BS131" i="155" s="1"/>
  <c r="BS66" i="155"/>
  <c r="R77" i="99"/>
  <c r="R72" i="99"/>
  <c r="BN72" i="155"/>
  <c r="BN136" i="155"/>
  <c r="BN137" i="155" s="1"/>
  <c r="BN77" i="155"/>
  <c r="BN142" i="155" s="1"/>
  <c r="Z77" i="153"/>
  <c r="Z142" i="153" s="1"/>
  <c r="Z136" i="153"/>
  <c r="Z137" i="153" s="1"/>
  <c r="Z72" i="153"/>
  <c r="BX71" i="153"/>
  <c r="BX66" i="153"/>
  <c r="BX130" i="153"/>
  <c r="BX131" i="153" s="1"/>
  <c r="AS71" i="153"/>
  <c r="AS66" i="153"/>
  <c r="AS130" i="153"/>
  <c r="AS131" i="153" s="1"/>
  <c r="BA65" i="153"/>
  <c r="BA126" i="153"/>
  <c r="BA127" i="153" s="1"/>
  <c r="BA62" i="153"/>
  <c r="BL77" i="153"/>
  <c r="BL142" i="153" s="1"/>
  <c r="BL72" i="153"/>
  <c r="BL136" i="153"/>
  <c r="BL137" i="153" s="1"/>
  <c r="BK72" i="153"/>
  <c r="BK77" i="153"/>
  <c r="BK142" i="153" s="1"/>
  <c r="BK136" i="153"/>
  <c r="BK137" i="153" s="1"/>
  <c r="BO77" i="153"/>
  <c r="BO142" i="153" s="1"/>
  <c r="BO72" i="153"/>
  <c r="BO136" i="153"/>
  <c r="BO137" i="153" s="1"/>
  <c r="BW71" i="153"/>
  <c r="BW66" i="153"/>
  <c r="BW130" i="153"/>
  <c r="BW131" i="153" s="1"/>
  <c r="AO66" i="153"/>
  <c r="AO71" i="153"/>
  <c r="AO130" i="153"/>
  <c r="AO131" i="153" s="1"/>
  <c r="AQ66" i="153"/>
  <c r="AQ71" i="153"/>
  <c r="AQ130" i="153"/>
  <c r="AQ131" i="153" s="1"/>
  <c r="K65" i="153"/>
  <c r="K126" i="153"/>
  <c r="K127" i="153" s="1"/>
  <c r="K62" i="153"/>
  <c r="BE65" i="153"/>
  <c r="BE126" i="153"/>
  <c r="BE127" i="153" s="1"/>
  <c r="BE62" i="153"/>
  <c r="BD65" i="153"/>
  <c r="BD126" i="153"/>
  <c r="BD127" i="153" s="1"/>
  <c r="BD62" i="153"/>
  <c r="AJ72" i="153"/>
  <c r="AJ77" i="153"/>
  <c r="AJ142" i="153" s="1"/>
  <c r="AJ136" i="153"/>
  <c r="AJ137" i="153" s="1"/>
  <c r="BC65" i="153"/>
  <c r="BC126" i="153"/>
  <c r="BC127" i="153" s="1"/>
  <c r="BC62" i="153"/>
  <c r="BU72" i="155"/>
  <c r="BU77" i="155"/>
  <c r="BU142" i="155" s="1"/>
  <c r="BU136" i="155"/>
  <c r="BU137" i="155" s="1"/>
  <c r="BQ72" i="155"/>
  <c r="BQ136" i="155"/>
  <c r="BQ137" i="155" s="1"/>
  <c r="BQ77" i="155"/>
  <c r="BQ142" i="155" s="1"/>
  <c r="BR72" i="153"/>
  <c r="BR77" i="153"/>
  <c r="BR142" i="153" s="1"/>
  <c r="BR136" i="153"/>
  <c r="BR137" i="153" s="1"/>
  <c r="AE77" i="153"/>
  <c r="AE142" i="153" s="1"/>
  <c r="AE72" i="153"/>
  <c r="AE136" i="153"/>
  <c r="AE137" i="153" s="1"/>
  <c r="L61" i="153"/>
  <c r="BP72" i="153"/>
  <c r="BP77" i="153"/>
  <c r="BP142" i="153" s="1"/>
  <c r="BP136" i="153"/>
  <c r="BP137" i="153" s="1"/>
  <c r="AV130" i="153"/>
  <c r="AV131" i="153" s="1"/>
  <c r="AV66" i="153"/>
  <c r="AV71" i="153"/>
  <c r="BS72" i="153"/>
  <c r="BS136" i="153"/>
  <c r="BS137" i="153" s="1"/>
  <c r="BS77" i="153"/>
  <c r="BS142" i="153" s="1"/>
  <c r="AT71" i="153"/>
  <c r="AT130" i="153"/>
  <c r="AT131" i="153" s="1"/>
  <c r="AT66" i="153"/>
  <c r="J71" i="153"/>
  <c r="J66" i="153"/>
  <c r="J130" i="153"/>
  <c r="J131" i="153" s="1"/>
  <c r="BL72" i="155"/>
  <c r="BL77" i="155"/>
  <c r="BL142" i="155" s="1"/>
  <c r="BL136" i="155"/>
  <c r="BL137" i="155" s="1"/>
  <c r="BY71" i="153"/>
  <c r="BY66" i="153"/>
  <c r="BY130" i="153"/>
  <c r="BY131" i="153" s="1"/>
  <c r="BV66" i="155"/>
  <c r="BV71" i="155"/>
  <c r="BV130" i="155"/>
  <c r="BV131" i="155" s="1"/>
  <c r="BO77" i="155"/>
  <c r="BO142" i="155" s="1"/>
  <c r="BO136" i="155"/>
  <c r="BO137" i="155" s="1"/>
  <c r="BO72" i="155"/>
  <c r="AL71" i="153"/>
  <c r="AL66" i="153"/>
  <c r="AL130" i="153"/>
  <c r="AL131" i="153" s="1"/>
  <c r="AX65" i="153"/>
  <c r="AX62" i="153"/>
  <c r="AX126" i="153"/>
  <c r="AX127" i="153" s="1"/>
  <c r="AP71" i="153"/>
  <c r="AP66" i="153"/>
  <c r="AP130" i="153"/>
  <c r="AP131" i="153" s="1"/>
  <c r="N65" i="153"/>
  <c r="N126" i="153"/>
  <c r="N62" i="153"/>
  <c r="P62" i="153" s="1"/>
  <c r="P61" i="153"/>
  <c r="L77" i="155"/>
  <c r="L142" i="155" s="1"/>
  <c r="L72" i="155"/>
  <c r="L136" i="155"/>
  <c r="L137" i="155" s="1"/>
  <c r="AC136" i="153"/>
  <c r="AC137" i="153" s="1"/>
  <c r="AC72" i="153"/>
  <c r="AC77" i="153"/>
  <c r="AC142" i="153" s="1"/>
  <c r="AU66" i="153"/>
  <c r="AU71" i="153"/>
  <c r="AU130" i="153"/>
  <c r="AU131" i="153" s="1"/>
  <c r="AH72" i="153"/>
  <c r="AH77" i="153"/>
  <c r="AH142" i="153" s="1"/>
  <c r="AH136" i="153"/>
  <c r="AH137" i="153" s="1"/>
  <c r="BI126" i="153"/>
  <c r="BI127" i="153" s="1"/>
  <c r="BI62" i="153"/>
  <c r="BI65" i="153"/>
  <c r="AM66" i="153"/>
  <c r="AM71" i="153"/>
  <c r="AM130" i="153"/>
  <c r="AM131" i="153" s="1"/>
  <c r="BT77" i="155"/>
  <c r="BT142" i="155" s="1"/>
  <c r="BT72" i="155"/>
  <c r="BT136" i="155"/>
  <c r="BT137" i="155" s="1"/>
  <c r="AY65" i="153"/>
  <c r="AY62" i="153"/>
  <c r="AY126" i="153"/>
  <c r="AY127" i="153" s="1"/>
  <c r="BW66" i="155"/>
  <c r="BW71" i="155"/>
  <c r="BW130" i="155"/>
  <c r="BW131" i="155" s="1"/>
  <c r="BB65" i="153"/>
  <c r="BB126" i="153"/>
  <c r="BB127" i="153" s="1"/>
  <c r="M61" i="153"/>
  <c r="BB62" i="153"/>
  <c r="BN77" i="153"/>
  <c r="BN142" i="153" s="1"/>
  <c r="BN72" i="153"/>
  <c r="BN136" i="153"/>
  <c r="BN137" i="153" s="1"/>
  <c r="AA136" i="153"/>
  <c r="AA137" i="153" s="1"/>
  <c r="AA77" i="153"/>
  <c r="AA142" i="153" s="1"/>
  <c r="AA72" i="153"/>
  <c r="BT72" i="153"/>
  <c r="BT77" i="153"/>
  <c r="BT142" i="153" s="1"/>
  <c r="BT136" i="153"/>
  <c r="BT137" i="153" s="1"/>
  <c r="AW66" i="153"/>
  <c r="AW71" i="153"/>
  <c r="AW130" i="153"/>
  <c r="AW131" i="153" s="1"/>
  <c r="BV71" i="153"/>
  <c r="BV66" i="153"/>
  <c r="BV130" i="153"/>
  <c r="BV131" i="153" s="1"/>
  <c r="AB77" i="153"/>
  <c r="AB142" i="153" s="1"/>
  <c r="AB136" i="153"/>
  <c r="AB137" i="153" s="1"/>
  <c r="AB72" i="153"/>
  <c r="BM72" i="153"/>
  <c r="BM136" i="153"/>
  <c r="BM137" i="153" s="1"/>
  <c r="BM77" i="153"/>
  <c r="BM142" i="153" s="1"/>
  <c r="BK77" i="155"/>
  <c r="BK142" i="155" s="1"/>
  <c r="BK136" i="155"/>
  <c r="BK137" i="155" s="1"/>
  <c r="BK72" i="155"/>
  <c r="BR72" i="155"/>
  <c r="BR136" i="155"/>
  <c r="BR137" i="155" s="1"/>
  <c r="BR77" i="155"/>
  <c r="BR142" i="155" s="1"/>
  <c r="BF65" i="153"/>
  <c r="BF126" i="153"/>
  <c r="BF127" i="153" s="1"/>
  <c r="BF62" i="153"/>
  <c r="BP72" i="155"/>
  <c r="BP77" i="155"/>
  <c r="BP142" i="155" s="1"/>
  <c r="BP136" i="155"/>
  <c r="BP137" i="155" s="1"/>
  <c r="AN71" i="153"/>
  <c r="AN66" i="153"/>
  <c r="AN130" i="153"/>
  <c r="AN131" i="153" s="1"/>
  <c r="BU72" i="153"/>
  <c r="BU77" i="153"/>
  <c r="BU142" i="153" s="1"/>
  <c r="BU136" i="153"/>
  <c r="BU137" i="153" s="1"/>
  <c r="BJ72" i="153"/>
  <c r="BJ77" i="153"/>
  <c r="BJ142" i="153" s="1"/>
  <c r="BJ136" i="153"/>
  <c r="BJ137" i="153" s="1"/>
  <c r="AD72" i="153"/>
  <c r="AD77" i="153"/>
  <c r="AD142" i="153" s="1"/>
  <c r="AD136" i="153"/>
  <c r="AD137" i="153" s="1"/>
  <c r="BM77" i="155"/>
  <c r="BM142" i="155" s="1"/>
  <c r="BM72" i="155"/>
  <c r="BM136" i="155"/>
  <c r="BM137" i="155" s="1"/>
  <c r="BG126" i="153"/>
  <c r="BG127" i="153" s="1"/>
  <c r="BG65" i="153"/>
  <c r="BG62" i="153"/>
  <c r="BX66" i="155"/>
  <c r="BX71" i="155"/>
  <c r="BX130" i="155"/>
  <c r="BX131" i="155" s="1"/>
  <c r="BH65" i="153"/>
  <c r="BH62" i="153"/>
  <c r="BH126" i="153"/>
  <c r="BH127" i="153" s="1"/>
  <c r="BQ77" i="153"/>
  <c r="BQ142" i="153" s="1"/>
  <c r="BQ72" i="153"/>
  <c r="BQ136" i="153"/>
  <c r="BQ137" i="153" s="1"/>
  <c r="AR66" i="153"/>
  <c r="AR71" i="153"/>
  <c r="AR130" i="153"/>
  <c r="AR131" i="153" s="1"/>
  <c r="M77" i="155"/>
  <c r="M142" i="155" s="1"/>
  <c r="M136" i="155"/>
  <c r="M137" i="155" s="1"/>
  <c r="M72" i="155"/>
  <c r="AZ126" i="153"/>
  <c r="AZ127" i="153" s="1"/>
  <c r="AZ65" i="153"/>
  <c r="AZ62" i="153"/>
  <c r="P61" i="155"/>
  <c r="N65" i="155"/>
  <c r="N126" i="155"/>
  <c r="N62" i="155"/>
  <c r="P62" i="155" s="1"/>
  <c r="BA72" i="155"/>
  <c r="BA77" i="155"/>
  <c r="BA142" i="155" s="1"/>
  <c r="BA136" i="155"/>
  <c r="BA137" i="155" s="1"/>
  <c r="AG72" i="153"/>
  <c r="AG77" i="153"/>
  <c r="AG142" i="153" s="1"/>
  <c r="AG136" i="153"/>
  <c r="AG137" i="153" s="1"/>
  <c r="S77" i="99"/>
  <c r="S136" i="99"/>
  <c r="U77" i="99"/>
  <c r="U136" i="99"/>
  <c r="T77" i="99"/>
  <c r="T136" i="99"/>
  <c r="X71" i="99"/>
  <c r="X72" i="99" s="1"/>
  <c r="X66" i="99"/>
  <c r="Z71" i="99"/>
  <c r="Z72" i="99" s="1"/>
  <c r="Z66" i="99"/>
  <c r="AC71" i="99"/>
  <c r="AC72" i="99" s="1"/>
  <c r="AC66" i="99"/>
  <c r="BH71" i="99"/>
  <c r="BH72" i="99" s="1"/>
  <c r="BH66" i="99"/>
  <c r="Y71" i="99"/>
  <c r="Y72" i="99" s="1"/>
  <c r="Y66" i="99"/>
  <c r="W71" i="99"/>
  <c r="W72" i="99" s="1"/>
  <c r="W66" i="99"/>
  <c r="AE71" i="99"/>
  <c r="AE72" i="99" s="1"/>
  <c r="AE66" i="99"/>
  <c r="AB71" i="99"/>
  <c r="AB72" i="99" s="1"/>
  <c r="AB66" i="99"/>
  <c r="AA71" i="99"/>
  <c r="AA72" i="99" s="1"/>
  <c r="AA66" i="99"/>
  <c r="V71" i="99"/>
  <c r="V72" i="99" s="1"/>
  <c r="V66" i="99"/>
  <c r="AF71" i="99"/>
  <c r="AF72" i="99" s="1"/>
  <c r="AF66" i="99"/>
  <c r="AD71" i="99"/>
  <c r="AD72" i="99" s="1"/>
  <c r="AD66" i="99"/>
  <c r="AG71" i="99"/>
  <c r="AG72" i="99" s="1"/>
  <c r="AG66" i="99"/>
  <c r="BO61" i="99"/>
  <c r="BO126" i="99" s="1"/>
  <c r="BO127" i="99" s="1"/>
  <c r="BO119" i="104"/>
  <c r="BO54" i="104" s="1"/>
  <c r="BM39" i="104"/>
  <c r="BM40" i="104" s="1"/>
  <c r="BO39" i="104"/>
  <c r="BO40" i="104" s="1"/>
  <c r="CB85" i="105"/>
  <c r="BM119" i="104"/>
  <c r="BM54" i="104" s="1"/>
  <c r="BW88" i="105"/>
  <c r="BM61" i="99"/>
  <c r="BM126" i="103" s="1"/>
  <c r="BM127" i="103" s="1"/>
  <c r="BM119" i="99"/>
  <c r="BU85" i="105"/>
  <c r="O99" i="105"/>
  <c r="R85" i="105"/>
  <c r="R88" i="105"/>
  <c r="Q126" i="105"/>
  <c r="R86" i="105"/>
  <c r="Q97" i="105"/>
  <c r="R96" i="105"/>
  <c r="P89" i="105"/>
  <c r="Q87" i="105"/>
  <c r="R93" i="105"/>
  <c r="R94" i="105"/>
  <c r="BJ69" i="105"/>
  <c r="BE34" i="151" s="1"/>
  <c r="BY69" i="105"/>
  <c r="BT34" i="151" s="1"/>
  <c r="BX69" i="105"/>
  <c r="BS34" i="151" s="1"/>
  <c r="AA113" i="105"/>
  <c r="AE113" i="105"/>
  <c r="O54" i="105"/>
  <c r="BI69" i="105"/>
  <c r="BD34" i="151" s="1"/>
  <c r="CA69" i="105"/>
  <c r="BV34" i="151" s="1"/>
  <c r="BZ69" i="105"/>
  <c r="BU34" i="151" s="1"/>
  <c r="BU69" i="105"/>
  <c r="BP34" i="151" s="1"/>
  <c r="BV69" i="105"/>
  <c r="BQ34" i="151" s="1"/>
  <c r="Y127" i="104"/>
  <c r="Y174" i="104" a="1"/>
  <c r="Y174" i="104" s="1"/>
  <c r="Y75" i="104" s="1"/>
  <c r="AD75" i="105" s="1"/>
  <c r="Z127" i="104"/>
  <c r="Z174" i="104" a="1"/>
  <c r="Z174" i="104" s="1"/>
  <c r="Z75" i="104" s="1"/>
  <c r="AE75" i="105" s="1"/>
  <c r="BL69" i="105"/>
  <c r="BG34" i="151" s="1"/>
  <c r="W127" i="104"/>
  <c r="W174" i="104" a="1"/>
  <c r="W174" i="104" s="1"/>
  <c r="W75" i="104" s="1"/>
  <c r="AB75" i="105" s="1"/>
  <c r="AE127" i="104"/>
  <c r="AE174" i="104" a="1"/>
  <c r="AE174" i="104" s="1"/>
  <c r="AE75" i="104" s="1"/>
  <c r="AJ75" i="105" s="1"/>
  <c r="AD127" i="104"/>
  <c r="AD174" i="104" a="1"/>
  <c r="AD174" i="104" s="1"/>
  <c r="AD75" i="104" s="1"/>
  <c r="AC127" i="104"/>
  <c r="AC174" i="104" a="1"/>
  <c r="AC174" i="104" s="1"/>
  <c r="AC75" i="104" s="1"/>
  <c r="AH75" i="105" s="1"/>
  <c r="V127" i="104"/>
  <c r="V174" i="104" a="1"/>
  <c r="V174" i="104" s="1"/>
  <c r="V75" i="104" s="1"/>
  <c r="AA75" i="105" s="1"/>
  <c r="AF127" i="104"/>
  <c r="AF174" i="104" a="1"/>
  <c r="AF174" i="104" s="1"/>
  <c r="AF75" i="104" s="1"/>
  <c r="AK75" i="105" s="1"/>
  <c r="AA127" i="104"/>
  <c r="AA174" i="104" a="1"/>
  <c r="AA174" i="104" s="1"/>
  <c r="AA75" i="104" s="1"/>
  <c r="AF75" i="105" s="1"/>
  <c r="W75" i="105"/>
  <c r="AG127" i="104"/>
  <c r="AG174" i="104" a="1"/>
  <c r="AG174" i="104" s="1"/>
  <c r="AG75" i="104" s="1"/>
  <c r="AL75" i="105" s="1"/>
  <c r="X127" i="104"/>
  <c r="X174" i="104" a="1"/>
  <c r="X174" i="104" s="1"/>
  <c r="X75" i="104" s="1"/>
  <c r="AC75" i="105" s="1"/>
  <c r="AB127" i="104"/>
  <c r="AB174" i="104" a="1"/>
  <c r="AB174" i="104" s="1"/>
  <c r="AB75" i="104" s="1"/>
  <c r="AG75" i="105" s="1"/>
  <c r="AK113" i="105"/>
  <c r="BM40" i="105"/>
  <c r="M69" i="104"/>
  <c r="AM40" i="105"/>
  <c r="BM54" i="105"/>
  <c r="BM61" i="105" s="1"/>
  <c r="AM54" i="105"/>
  <c r="AM61" i="105" s="1"/>
  <c r="J62" i="103"/>
  <c r="J65" i="103"/>
  <c r="J66" i="103" s="1"/>
  <c r="S23" i="105"/>
  <c r="BE39" i="105"/>
  <c r="BE28" i="105"/>
  <c r="M69" i="103"/>
  <c r="BG28" i="105"/>
  <c r="AL126" i="103"/>
  <c r="AL127" i="103" s="1"/>
  <c r="AL65" i="99"/>
  <c r="AK126" i="103"/>
  <c r="AK127" i="103" s="1"/>
  <c r="AK65" i="99"/>
  <c r="AP126" i="103"/>
  <c r="AP127" i="103" s="1"/>
  <c r="AP65" i="99"/>
  <c r="AM126" i="103"/>
  <c r="AM127" i="103" s="1"/>
  <c r="AM65" i="99"/>
  <c r="AR126" i="103"/>
  <c r="AR127" i="103" s="1"/>
  <c r="AR65" i="99"/>
  <c r="AN126" i="103"/>
  <c r="AN127" i="103" s="1"/>
  <c r="AN65" i="99"/>
  <c r="AH126" i="103"/>
  <c r="AH127" i="103" s="1"/>
  <c r="AH65" i="99"/>
  <c r="AO126" i="103"/>
  <c r="AO127" i="103" s="1"/>
  <c r="AO65" i="99"/>
  <c r="AI126" i="103"/>
  <c r="AI127" i="103" s="1"/>
  <c r="AI65" i="99"/>
  <c r="J126" i="103"/>
  <c r="J127" i="103" s="1"/>
  <c r="J65" i="99"/>
  <c r="AJ126" i="103"/>
  <c r="AJ127" i="103" s="1"/>
  <c r="AJ65" i="99"/>
  <c r="AS126" i="103"/>
  <c r="AS127" i="103" s="1"/>
  <c r="AS65" i="99"/>
  <c r="AQ126" i="103"/>
  <c r="AQ127" i="103" s="1"/>
  <c r="AQ65" i="99"/>
  <c r="O40" i="105"/>
  <c r="BG39" i="105"/>
  <c r="BC39" i="105"/>
  <c r="M134" i="99"/>
  <c r="BS27" i="105"/>
  <c r="BS89" i="105" s="1"/>
  <c r="BC28" i="105"/>
  <c r="BR39" i="105"/>
  <c r="BR28" i="105"/>
  <c r="AT61" i="105"/>
  <c r="AT113" i="105"/>
  <c r="AS61" i="105"/>
  <c r="AS113" i="105"/>
  <c r="CD84" i="105"/>
  <c r="AO61" i="105"/>
  <c r="AO113" i="105"/>
  <c r="BZ81" i="105"/>
  <c r="BO36" i="105"/>
  <c r="BO97" i="105" s="1"/>
  <c r="BO95" i="105"/>
  <c r="BK81" i="105"/>
  <c r="AX99" i="105"/>
  <c r="AX40" i="105"/>
  <c r="AX54" i="105"/>
  <c r="BY81" i="105"/>
  <c r="CC81" i="105"/>
  <c r="AQ61" i="105"/>
  <c r="AQ113" i="105"/>
  <c r="BJ81" i="105"/>
  <c r="BH39" i="105"/>
  <c r="BC22" i="151" s="1"/>
  <c r="BH89" i="105"/>
  <c r="AW61" i="105"/>
  <c r="AW113" i="105"/>
  <c r="CA84" i="105"/>
  <c r="BX84" i="105"/>
  <c r="AN61" i="105"/>
  <c r="AN113" i="105"/>
  <c r="BF28" i="105"/>
  <c r="BF89" i="105"/>
  <c r="AR61" i="105"/>
  <c r="AR113" i="105"/>
  <c r="BZ34" i="105"/>
  <c r="BZ95" i="105" s="1"/>
  <c r="BZ92" i="105"/>
  <c r="BK126" i="105"/>
  <c r="BU88" i="105"/>
  <c r="BK34" i="105"/>
  <c r="BK95" i="105" s="1"/>
  <c r="BK92" i="105"/>
  <c r="AP61" i="105"/>
  <c r="AP113" i="105"/>
  <c r="CD81" i="105"/>
  <c r="BW86" i="105"/>
  <c r="S86" i="105" s="1"/>
  <c r="BI84" i="105"/>
  <c r="BL92" i="105"/>
  <c r="BI92" i="105"/>
  <c r="BW94" i="105"/>
  <c r="BT28" i="105"/>
  <c r="BT89" i="105"/>
  <c r="BI81" i="105"/>
  <c r="CB96" i="105"/>
  <c r="BB28" i="105"/>
  <c r="BB89" i="105"/>
  <c r="BD28" i="105"/>
  <c r="BD89" i="105"/>
  <c r="BA28" i="105"/>
  <c r="BA89" i="105"/>
  <c r="AU40" i="105"/>
  <c r="AU99" i="105"/>
  <c r="AU54" i="105"/>
  <c r="AV61" i="105"/>
  <c r="AV113" i="105"/>
  <c r="AY40" i="105"/>
  <c r="AY99" i="105"/>
  <c r="BL81" i="105"/>
  <c r="AZ54" i="105"/>
  <c r="AZ99" i="105"/>
  <c r="BT54" i="105"/>
  <c r="BT99" i="105"/>
  <c r="CC36" i="105"/>
  <c r="CC95" i="105"/>
  <c r="BY84" i="105"/>
  <c r="BZ84" i="105"/>
  <c r="CB94" i="105"/>
  <c r="AZ28" i="105"/>
  <c r="AZ89" i="105"/>
  <c r="AY28" i="105"/>
  <c r="AY89" i="105"/>
  <c r="AH61" i="105"/>
  <c r="AH113" i="105"/>
  <c r="BF54" i="105"/>
  <c r="BF99" i="105"/>
  <c r="BX81" i="105"/>
  <c r="BK84" i="105"/>
  <c r="BU96" i="105"/>
  <c r="CD126" i="105"/>
  <c r="BA54" i="105"/>
  <c r="BA99" i="105"/>
  <c r="BV25" i="105"/>
  <c r="BV87" i="105" s="1"/>
  <c r="BV84" i="105"/>
  <c r="BL84" i="105"/>
  <c r="BV92" i="105"/>
  <c r="BU93" i="105"/>
  <c r="S93" i="105" s="1"/>
  <c r="BV81" i="105"/>
  <c r="BX92" i="105"/>
  <c r="CA34" i="105"/>
  <c r="CA95" i="105" s="1"/>
  <c r="CA92" i="105"/>
  <c r="Q37" i="105"/>
  <c r="BY92" i="105"/>
  <c r="BO126" i="105"/>
  <c r="BN126" i="105"/>
  <c r="AD61" i="105"/>
  <c r="AD113" i="105"/>
  <c r="BP126" i="105"/>
  <c r="BQ126" i="105"/>
  <c r="CC84" i="105"/>
  <c r="CA81" i="105"/>
  <c r="BJ92" i="105"/>
  <c r="AL61" i="105"/>
  <c r="AL113" i="105"/>
  <c r="CC126" i="105"/>
  <c r="CD36" i="105"/>
  <c r="CD95" i="105"/>
  <c r="BD54" i="105"/>
  <c r="BD99" i="105"/>
  <c r="BW85" i="105"/>
  <c r="BJ84" i="105"/>
  <c r="CB88" i="105"/>
  <c r="Y65" i="105"/>
  <c r="Y66" i="105" s="1"/>
  <c r="W65" i="105"/>
  <c r="W66" i="105" s="1"/>
  <c r="Z65" i="105"/>
  <c r="Z66" i="105" s="1"/>
  <c r="X65" i="105"/>
  <c r="X66" i="105" s="1"/>
  <c r="S33" i="105"/>
  <c r="M134" i="104"/>
  <c r="N87" i="99"/>
  <c r="P87" i="99" s="1"/>
  <c r="P22" i="99"/>
  <c r="S24" i="105"/>
  <c r="N87" i="104"/>
  <c r="P87" i="104" s="1"/>
  <c r="R31" i="105"/>
  <c r="S35" i="105"/>
  <c r="N25" i="99"/>
  <c r="N90" i="103" s="1"/>
  <c r="P90" i="103" s="1"/>
  <c r="N22" i="104"/>
  <c r="P22" i="104" s="1"/>
  <c r="N145" i="99"/>
  <c r="N147" i="99"/>
  <c r="N84" i="104"/>
  <c r="N84" i="99"/>
  <c r="P19" i="99"/>
  <c r="N148" i="99"/>
  <c r="M134" i="103"/>
  <c r="N19" i="104"/>
  <c r="N148" i="104" s="1"/>
  <c r="N146" i="99"/>
  <c r="M68" i="104"/>
  <c r="N31" i="104"/>
  <c r="P31" i="104" s="1"/>
  <c r="N96" i="104"/>
  <c r="P96" i="104" s="1"/>
  <c r="P31" i="99"/>
  <c r="BU19" i="105"/>
  <c r="N22" i="103"/>
  <c r="BW22" i="105"/>
  <c r="M25" i="104"/>
  <c r="M34" i="104"/>
  <c r="N19" i="103"/>
  <c r="N148" i="103" s="1"/>
  <c r="CB22" i="105"/>
  <c r="CB19" i="105"/>
  <c r="N96" i="99"/>
  <c r="P96" i="99" s="1"/>
  <c r="N31" i="103"/>
  <c r="P31" i="103" s="1"/>
  <c r="S26" i="105"/>
  <c r="BW31" i="105"/>
  <c r="BU22" i="105"/>
  <c r="N34" i="99"/>
  <c r="N99" i="103" s="1"/>
  <c r="P99" i="103" s="1"/>
  <c r="BR147" i="104"/>
  <c r="BR150" i="104"/>
  <c r="BR99" i="104"/>
  <c r="BR34" i="104" s="1"/>
  <c r="BR99" i="103"/>
  <c r="BR36" i="99"/>
  <c r="BR99" i="99"/>
  <c r="BE101" i="103"/>
  <c r="BE102" i="103" s="1"/>
  <c r="BE101" i="99"/>
  <c r="BE102" i="99" s="1"/>
  <c r="BE101" i="104"/>
  <c r="BE37" i="99"/>
  <c r="BJ34" i="105"/>
  <c r="BJ95" i="105" s="1"/>
  <c r="BR149" i="104"/>
  <c r="BP148" i="104"/>
  <c r="BP149" i="104"/>
  <c r="BP148" i="103"/>
  <c r="BP147" i="103"/>
  <c r="BF37" i="99"/>
  <c r="BF101" i="99"/>
  <c r="BF102" i="99" s="1"/>
  <c r="BF101" i="103"/>
  <c r="BF102" i="103" s="1"/>
  <c r="BF101" i="104"/>
  <c r="BD92" i="103"/>
  <c r="BD93" i="103" s="1"/>
  <c r="BD28" i="99"/>
  <c r="BD92" i="104"/>
  <c r="BD39" i="99"/>
  <c r="BD92" i="99"/>
  <c r="BD93" i="99" s="1"/>
  <c r="BE92" i="103"/>
  <c r="BE93" i="103" s="1"/>
  <c r="BE92" i="99"/>
  <c r="BE93" i="99" s="1"/>
  <c r="BE28" i="99"/>
  <c r="BE92" i="104"/>
  <c r="BE39" i="99"/>
  <c r="BR134" i="104"/>
  <c r="BR69" i="104" s="1"/>
  <c r="BR134" i="103"/>
  <c r="BR69" i="103" s="1"/>
  <c r="BI40" i="103"/>
  <c r="BI54" i="103"/>
  <c r="BI61" i="103" s="1"/>
  <c r="BI65" i="103" s="1"/>
  <c r="BR148" i="104"/>
  <c r="CB31" i="105"/>
  <c r="BD39" i="103"/>
  <c r="BD28" i="103"/>
  <c r="BN93" i="104"/>
  <c r="BN27" i="104"/>
  <c r="BN28" i="104" s="1"/>
  <c r="BW134" i="104"/>
  <c r="BW69" i="104" s="1"/>
  <c r="BW134" i="103"/>
  <c r="BW69" i="103" s="1"/>
  <c r="BI25" i="105"/>
  <c r="BI87" i="105" s="1"/>
  <c r="BN104" i="103"/>
  <c r="BN105" i="103" s="1"/>
  <c r="BN104" i="104"/>
  <c r="BN54" i="99"/>
  <c r="BN40" i="99"/>
  <c r="BN104" i="99"/>
  <c r="BN105" i="99" s="1"/>
  <c r="BW99" i="103"/>
  <c r="BW36" i="99"/>
  <c r="BW99" i="104"/>
  <c r="BW34" i="104" s="1"/>
  <c r="BW99" i="99"/>
  <c r="BE28" i="103"/>
  <c r="BE39" i="103"/>
  <c r="BP149" i="103"/>
  <c r="BK25" i="105"/>
  <c r="BK87" i="105" s="1"/>
  <c r="BW90" i="103"/>
  <c r="BW90" i="99"/>
  <c r="BW90" i="104"/>
  <c r="BW25" i="104" s="1"/>
  <c r="BW27" i="99"/>
  <c r="BJ25" i="105"/>
  <c r="BJ87" i="105" s="1"/>
  <c r="BW147" i="104"/>
  <c r="N69" i="99"/>
  <c r="BI34" i="105"/>
  <c r="BI95" i="105" s="1"/>
  <c r="BW25" i="103"/>
  <c r="BW27" i="103" s="1"/>
  <c r="BW146" i="103"/>
  <c r="BR90" i="99"/>
  <c r="BR27" i="99"/>
  <c r="BR90" i="103"/>
  <c r="BR90" i="104"/>
  <c r="BR25" i="104" s="1"/>
  <c r="BR25" i="103"/>
  <c r="BR27" i="103" s="1"/>
  <c r="BR146" i="103"/>
  <c r="BD101" i="104"/>
  <c r="BD37" i="99"/>
  <c r="BD101" i="99"/>
  <c r="BD102" i="99" s="1"/>
  <c r="BD101" i="103"/>
  <c r="BD102" i="103" s="1"/>
  <c r="BU31" i="105"/>
  <c r="BW150" i="104"/>
  <c r="BI104" i="104"/>
  <c r="BI54" i="99"/>
  <c r="BI40" i="99"/>
  <c r="BI104" i="99"/>
  <c r="BI105" i="99" s="1"/>
  <c r="BI104" i="103"/>
  <c r="BI105" i="103" s="1"/>
  <c r="BP147" i="104"/>
  <c r="BF39" i="103"/>
  <c r="BF28" i="103"/>
  <c r="BP99" i="104"/>
  <c r="BP34" i="104" s="1"/>
  <c r="BP99" i="103"/>
  <c r="BP99" i="99"/>
  <c r="BP36" i="99"/>
  <c r="BP25" i="103"/>
  <c r="BP27" i="103" s="1"/>
  <c r="BP146" i="103"/>
  <c r="BI93" i="104"/>
  <c r="BI27" i="104"/>
  <c r="BI28" i="104" s="1"/>
  <c r="BW148" i="104"/>
  <c r="BW149" i="104"/>
  <c r="BW19" i="105"/>
  <c r="BP150" i="104"/>
  <c r="BN27" i="105"/>
  <c r="BN89" i="105" s="1"/>
  <c r="BR148" i="103"/>
  <c r="BR149" i="103"/>
  <c r="BP90" i="99"/>
  <c r="BP27" i="99"/>
  <c r="BP90" i="104"/>
  <c r="BP25" i="104" s="1"/>
  <c r="BP90" i="103"/>
  <c r="BW148" i="103"/>
  <c r="BW147" i="103"/>
  <c r="BF39" i="99"/>
  <c r="BF28" i="99"/>
  <c r="BF92" i="103"/>
  <c r="BF93" i="103" s="1"/>
  <c r="BF92" i="104"/>
  <c r="BF92" i="99"/>
  <c r="BF93" i="99" s="1"/>
  <c r="BL34" i="105"/>
  <c r="BL95" i="105" s="1"/>
  <c r="N34" i="103"/>
  <c r="P34" i="103" s="1"/>
  <c r="BL25" i="105"/>
  <c r="M68" i="103"/>
  <c r="BX25" i="105"/>
  <c r="BP36" i="105"/>
  <c r="BP97" i="105" s="1"/>
  <c r="BT92" i="103"/>
  <c r="BT93" i="103" s="1"/>
  <c r="BT92" i="99"/>
  <c r="BT93" i="99" s="1"/>
  <c r="BT28" i="99"/>
  <c r="BT92" i="104"/>
  <c r="BT39" i="99"/>
  <c r="BV28" i="103"/>
  <c r="BV39" i="103"/>
  <c r="BV39" i="99"/>
  <c r="BV28" i="99"/>
  <c r="BV92" i="99"/>
  <c r="BV93" i="99" s="1"/>
  <c r="BV92" i="103"/>
  <c r="BV93" i="103" s="1"/>
  <c r="BV92" i="104"/>
  <c r="BL102" i="104"/>
  <c r="BL36" i="104"/>
  <c r="BL37" i="104" s="1"/>
  <c r="BK102" i="104"/>
  <c r="BK36" i="104"/>
  <c r="BK37" i="104" s="1"/>
  <c r="CA25" i="105"/>
  <c r="CA87" i="105" s="1"/>
  <c r="BL104" i="103"/>
  <c r="BL105" i="103" s="1"/>
  <c r="BL40" i="99"/>
  <c r="BL54" i="99"/>
  <c r="BL104" i="99"/>
  <c r="BL105" i="99" s="1"/>
  <c r="BL104" i="104"/>
  <c r="BV101" i="104"/>
  <c r="BV101" i="103"/>
  <c r="BV102" i="103" s="1"/>
  <c r="BV101" i="99"/>
  <c r="BV102" i="99" s="1"/>
  <c r="BV37" i="99"/>
  <c r="BU92" i="104"/>
  <c r="BU92" i="103"/>
  <c r="BU93" i="103" s="1"/>
  <c r="BU28" i="99"/>
  <c r="BU92" i="99"/>
  <c r="BU93" i="99" s="1"/>
  <c r="BU39" i="99"/>
  <c r="BJ54" i="103"/>
  <c r="BJ61" i="103" s="1"/>
  <c r="BJ65" i="103" s="1"/>
  <c r="BJ40" i="103"/>
  <c r="BT28" i="103"/>
  <c r="BT39" i="103"/>
  <c r="BL93" i="104"/>
  <c r="BL27" i="104"/>
  <c r="BL28" i="104" s="1"/>
  <c r="BK54" i="103"/>
  <c r="BK61" i="103" s="1"/>
  <c r="BK65" i="103" s="1"/>
  <c r="BK40" i="103"/>
  <c r="BQ27" i="105"/>
  <c r="BQ89" i="105" s="1"/>
  <c r="BY25" i="105"/>
  <c r="BY87" i="105" s="1"/>
  <c r="BU28" i="103"/>
  <c r="BU39" i="103"/>
  <c r="BJ102" i="104"/>
  <c r="BJ36" i="104"/>
  <c r="BJ37" i="104" s="1"/>
  <c r="BU101" i="103"/>
  <c r="BU102" i="103" s="1"/>
  <c r="BU101" i="99"/>
  <c r="BU102" i="99" s="1"/>
  <c r="BU37" i="99"/>
  <c r="BU101" i="104"/>
  <c r="BO27" i="105"/>
  <c r="BO89" i="105" s="1"/>
  <c r="BL54" i="103"/>
  <c r="BL61" i="103" s="1"/>
  <c r="BL65" i="103" s="1"/>
  <c r="BL40" i="103"/>
  <c r="BQ36" i="105"/>
  <c r="BQ97" i="105" s="1"/>
  <c r="BT101" i="103"/>
  <c r="BT102" i="103" s="1"/>
  <c r="BT101" i="99"/>
  <c r="BT102" i="99" s="1"/>
  <c r="BT37" i="99"/>
  <c r="BT101" i="104"/>
  <c r="BS39" i="99"/>
  <c r="BS92" i="103"/>
  <c r="BS93" i="103" s="1"/>
  <c r="BS28" i="99"/>
  <c r="BS92" i="99"/>
  <c r="BS93" i="99" s="1"/>
  <c r="BS92" i="104"/>
  <c r="BS28" i="103"/>
  <c r="BS39" i="103"/>
  <c r="BP27" i="105"/>
  <c r="BP89" i="105" s="1"/>
  <c r="BK93" i="104"/>
  <c r="BK27" i="104"/>
  <c r="BK28" i="104" s="1"/>
  <c r="BK104" i="103"/>
  <c r="BK105" i="103" s="1"/>
  <c r="BK104" i="104"/>
  <c r="BK54" i="99"/>
  <c r="BK104" i="99"/>
  <c r="BK105" i="99" s="1"/>
  <c r="BK40" i="99"/>
  <c r="BS37" i="99"/>
  <c r="BS101" i="99"/>
  <c r="BS102" i="99" s="1"/>
  <c r="BS101" i="104"/>
  <c r="BS101" i="103"/>
  <c r="BS102" i="103" s="1"/>
  <c r="BX34" i="105"/>
  <c r="BX95" i="105" s="1"/>
  <c r="BJ104" i="103"/>
  <c r="BJ105" i="103" s="1"/>
  <c r="BJ104" i="99"/>
  <c r="BJ105" i="99" s="1"/>
  <c r="BJ40" i="99"/>
  <c r="BJ54" i="99"/>
  <c r="BJ104" i="104"/>
  <c r="BZ25" i="105"/>
  <c r="BZ87" i="105" s="1"/>
  <c r="BY34" i="105"/>
  <c r="BY95" i="105" s="1"/>
  <c r="BJ93" i="104"/>
  <c r="BJ27" i="104"/>
  <c r="BJ28" i="104" s="1"/>
  <c r="BG92" i="104"/>
  <c r="BG92" i="103"/>
  <c r="BG93" i="103" s="1"/>
  <c r="BG28" i="99"/>
  <c r="BG92" i="99"/>
  <c r="BG93" i="99" s="1"/>
  <c r="BG39" i="99"/>
  <c r="M27" i="99"/>
  <c r="M150" i="104"/>
  <c r="M148" i="104"/>
  <c r="M149" i="104"/>
  <c r="BG36" i="103"/>
  <c r="M34" i="103"/>
  <c r="M36" i="99"/>
  <c r="BG101" i="103"/>
  <c r="BG102" i="103" s="1"/>
  <c r="BG101" i="99"/>
  <c r="BG102" i="99" s="1"/>
  <c r="BG37" i="99"/>
  <c r="BG101" i="104"/>
  <c r="M99" i="99"/>
  <c r="M99" i="104"/>
  <c r="M99" i="103"/>
  <c r="R22" i="105"/>
  <c r="M146" i="103"/>
  <c r="BG27" i="103"/>
  <c r="M25" i="103"/>
  <c r="M147" i="104"/>
  <c r="M90" i="103"/>
  <c r="M90" i="104"/>
  <c r="M90" i="99"/>
  <c r="M149" i="103"/>
  <c r="M148" i="103"/>
  <c r="R19" i="105"/>
  <c r="H63" i="294" s="1"/>
  <c r="M147" i="103"/>
  <c r="BV34" i="105"/>
  <c r="BQ101" i="104"/>
  <c r="BQ101" i="103"/>
  <c r="BQ102" i="103" s="1"/>
  <c r="BQ101" i="99"/>
  <c r="BQ102" i="99" s="1"/>
  <c r="BQ37" i="99"/>
  <c r="BQ39" i="99"/>
  <c r="BQ92" i="99"/>
  <c r="BQ93" i="99" s="1"/>
  <c r="BQ28" i="99"/>
  <c r="BQ92" i="104"/>
  <c r="BQ92" i="103"/>
  <c r="BQ93" i="103" s="1"/>
  <c r="BQ28" i="103"/>
  <c r="BQ39" i="103"/>
  <c r="L39" i="103"/>
  <c r="L40" i="103" s="1"/>
  <c r="AV54" i="103"/>
  <c r="AV61" i="103" s="1"/>
  <c r="AV65" i="103" s="1"/>
  <c r="Q27" i="105"/>
  <c r="BF40" i="105"/>
  <c r="BD40" i="105"/>
  <c r="BA40" i="105"/>
  <c r="BH126" i="103"/>
  <c r="BH127" i="103" s="1"/>
  <c r="CD25" i="105"/>
  <c r="CC25" i="105"/>
  <c r="AY54" i="105"/>
  <c r="BT40" i="105"/>
  <c r="AZ40" i="105"/>
  <c r="BB54" i="105"/>
  <c r="BB40" i="105"/>
  <c r="U130" i="104"/>
  <c r="U131" i="104" s="1"/>
  <c r="U130" i="103"/>
  <c r="U131" i="103" s="1"/>
  <c r="S130" i="104"/>
  <c r="S131" i="104" s="1"/>
  <c r="S130" i="103"/>
  <c r="S131" i="103" s="1"/>
  <c r="T130" i="104"/>
  <c r="T131" i="104" s="1"/>
  <c r="T130" i="103"/>
  <c r="T131" i="103" s="1"/>
  <c r="BN62" i="103"/>
  <c r="R130" i="103"/>
  <c r="R131" i="103" s="1"/>
  <c r="R130" i="104"/>
  <c r="R131" i="104" s="1"/>
  <c r="AQ126" i="104"/>
  <c r="BH126" i="104"/>
  <c r="AZ119" i="104"/>
  <c r="AZ54" i="104" s="1"/>
  <c r="AN126" i="104"/>
  <c r="AU119" i="104"/>
  <c r="AU54" i="104" s="1"/>
  <c r="L40" i="99"/>
  <c r="L104" i="104"/>
  <c r="L105" i="104" s="1"/>
  <c r="AR126" i="104"/>
  <c r="K119" i="99"/>
  <c r="K119" i="104"/>
  <c r="AW119" i="104"/>
  <c r="AW54" i="104" s="1"/>
  <c r="AJ126" i="104"/>
  <c r="AO126" i="104"/>
  <c r="AY119" i="104"/>
  <c r="AY54" i="104" s="1"/>
  <c r="AK126" i="104"/>
  <c r="BY92" i="104"/>
  <c r="BY93" i="104" s="1"/>
  <c r="AI126" i="104"/>
  <c r="AL126" i="104"/>
  <c r="BC119" i="104"/>
  <c r="BC54" i="104" s="1"/>
  <c r="AV119" i="104"/>
  <c r="AV54" i="104" s="1"/>
  <c r="AS126" i="104"/>
  <c r="AX119" i="104"/>
  <c r="AX54" i="104" s="1"/>
  <c r="BA119" i="104"/>
  <c r="BA54" i="104" s="1"/>
  <c r="BB119" i="104"/>
  <c r="BB54" i="104" s="1"/>
  <c r="BX92" i="104"/>
  <c r="BX93" i="104" s="1"/>
  <c r="AH126" i="104"/>
  <c r="AT119" i="104"/>
  <c r="AT54" i="104" s="1"/>
  <c r="J62" i="99"/>
  <c r="J126" i="104"/>
  <c r="J127" i="104" s="1"/>
  <c r="AP126" i="104"/>
  <c r="AM126" i="104"/>
  <c r="J126" i="99"/>
  <c r="J127" i="99" s="1"/>
  <c r="L27" i="104"/>
  <c r="L28" i="104" s="1"/>
  <c r="L104" i="99"/>
  <c r="L105" i="99" s="1"/>
  <c r="K54" i="104"/>
  <c r="BY92" i="99"/>
  <c r="BY93" i="99" s="1"/>
  <c r="BY39" i="99"/>
  <c r="BY104" i="103" s="1"/>
  <c r="BY105" i="103" s="1"/>
  <c r="BY28" i="99"/>
  <c r="AY62" i="103"/>
  <c r="AW61" i="99"/>
  <c r="AW119" i="99"/>
  <c r="AG61" i="104"/>
  <c r="AG62" i="104" s="1"/>
  <c r="AW62" i="103"/>
  <c r="AO126" i="99"/>
  <c r="AO127" i="99" s="1"/>
  <c r="AO62" i="99"/>
  <c r="BY36" i="104"/>
  <c r="BY37" i="104" s="1"/>
  <c r="AT61" i="99"/>
  <c r="AT119" i="99"/>
  <c r="AN62" i="99"/>
  <c r="AN126" i="99"/>
  <c r="AN127" i="99" s="1"/>
  <c r="AZ39" i="104"/>
  <c r="AZ40" i="104" s="1"/>
  <c r="BX92" i="99"/>
  <c r="BX93" i="99" s="1"/>
  <c r="BX28" i="99"/>
  <c r="BX39" i="99"/>
  <c r="BX104" i="103" s="1"/>
  <c r="BX105" i="103" s="1"/>
  <c r="AK126" i="99"/>
  <c r="AK127" i="99" s="1"/>
  <c r="AK62" i="99"/>
  <c r="BC62" i="103"/>
  <c r="R71" i="103"/>
  <c r="R72" i="103" s="1"/>
  <c r="AM62" i="99"/>
  <c r="AM126" i="99"/>
  <c r="AM127" i="99" s="1"/>
  <c r="AA61" i="104"/>
  <c r="AA62" i="104" s="1"/>
  <c r="X61" i="104"/>
  <c r="X62" i="104" s="1"/>
  <c r="BA39" i="104"/>
  <c r="BA40" i="104" s="1"/>
  <c r="AZ61" i="99"/>
  <c r="AZ119" i="99"/>
  <c r="Z61" i="104"/>
  <c r="Z62" i="104" s="1"/>
  <c r="BB62" i="103"/>
  <c r="AT62" i="103"/>
  <c r="AS62" i="99"/>
  <c r="AS126" i="99"/>
  <c r="AS127" i="99" s="1"/>
  <c r="AU39" i="104"/>
  <c r="AU40" i="104" s="1"/>
  <c r="AF61" i="104"/>
  <c r="AF62" i="104" s="1"/>
  <c r="BA61" i="99"/>
  <c r="BA119" i="99"/>
  <c r="AX62" i="103"/>
  <c r="AL126" i="99"/>
  <c r="AL127" i="99" s="1"/>
  <c r="AL62" i="99"/>
  <c r="AU119" i="99"/>
  <c r="AU61" i="99"/>
  <c r="AC61" i="104"/>
  <c r="AC62" i="104" s="1"/>
  <c r="AV39" i="104"/>
  <c r="AV40" i="104" s="1"/>
  <c r="BX36" i="104"/>
  <c r="AJ126" i="99"/>
  <c r="AJ127" i="99" s="1"/>
  <c r="AJ62" i="99"/>
  <c r="R130" i="99"/>
  <c r="R131" i="99" s="1"/>
  <c r="BX27" i="103"/>
  <c r="BH62" i="99"/>
  <c r="BH126" i="99"/>
  <c r="BH127" i="99" s="1"/>
  <c r="AB61" i="104"/>
  <c r="AB62" i="104" s="1"/>
  <c r="AY39" i="104"/>
  <c r="AY40" i="104" s="1"/>
  <c r="AV119" i="99"/>
  <c r="AV61" i="99"/>
  <c r="Y61" i="104"/>
  <c r="Y62" i="104" s="1"/>
  <c r="AH126" i="99"/>
  <c r="AH127" i="99" s="1"/>
  <c r="AH62" i="99"/>
  <c r="V61" i="104"/>
  <c r="V62" i="104" s="1"/>
  <c r="AY119" i="99"/>
  <c r="AY61" i="99"/>
  <c r="BA62" i="103"/>
  <c r="S130" i="99"/>
  <c r="S131" i="99" s="1"/>
  <c r="BB39" i="104"/>
  <c r="BB40" i="104" s="1"/>
  <c r="AI126" i="99"/>
  <c r="AI127" i="99" s="1"/>
  <c r="AI62" i="99"/>
  <c r="AE61" i="104"/>
  <c r="AE62" i="104" s="1"/>
  <c r="AQ126" i="99"/>
  <c r="AQ127" i="99" s="1"/>
  <c r="AQ62" i="99"/>
  <c r="BC39" i="104"/>
  <c r="BC40" i="104" s="1"/>
  <c r="BX37" i="103"/>
  <c r="N36" i="103"/>
  <c r="AX39" i="104"/>
  <c r="AX40" i="104" s="1"/>
  <c r="BB61" i="99"/>
  <c r="BB119" i="99"/>
  <c r="BC119" i="99"/>
  <c r="BC61" i="99"/>
  <c r="AU62" i="103"/>
  <c r="L54" i="99"/>
  <c r="L119" i="103" s="1"/>
  <c r="BY28" i="103"/>
  <c r="BY39" i="103"/>
  <c r="W61" i="104"/>
  <c r="W62" i="104" s="1"/>
  <c r="AD61" i="104"/>
  <c r="AD62" i="104" s="1"/>
  <c r="T130" i="99"/>
  <c r="T131" i="99" s="1"/>
  <c r="AR62" i="99"/>
  <c r="AR126" i="99"/>
  <c r="AR127" i="99" s="1"/>
  <c r="AP62" i="99"/>
  <c r="AP126" i="99"/>
  <c r="AP127" i="99" s="1"/>
  <c r="AZ62" i="103"/>
  <c r="U32" i="105"/>
  <c r="AW39" i="104"/>
  <c r="AW40" i="104" s="1"/>
  <c r="U130" i="99"/>
  <c r="U131" i="99" s="1"/>
  <c r="AX119" i="99"/>
  <c r="AX61" i="99"/>
  <c r="R62" i="104"/>
  <c r="AT39" i="104"/>
  <c r="AT40" i="104" s="1"/>
  <c r="P28" i="105"/>
  <c r="P39" i="105"/>
  <c r="K22" i="151" s="1"/>
  <c r="K54" i="103"/>
  <c r="J54" i="104"/>
  <c r="K61" i="99"/>
  <c r="K39" i="104"/>
  <c r="K40" i="104" s="1"/>
  <c r="AT120" i="105" l="1"/>
  <c r="AT62" i="105"/>
  <c r="AW120" i="105"/>
  <c r="AW62" i="105"/>
  <c r="AL120" i="105"/>
  <c r="AL62" i="105"/>
  <c r="AQ120" i="105"/>
  <c r="AQ62" i="105"/>
  <c r="AV120" i="105"/>
  <c r="AV62" i="105"/>
  <c r="AH120" i="105"/>
  <c r="AH62" i="105"/>
  <c r="AP120" i="105"/>
  <c r="AP62" i="105"/>
  <c r="AD120" i="105"/>
  <c r="AD62" i="105"/>
  <c r="AR120" i="105"/>
  <c r="AR62" i="105"/>
  <c r="AO120" i="105"/>
  <c r="AO62" i="105"/>
  <c r="AN120" i="105"/>
  <c r="AN62" i="105"/>
  <c r="AS120" i="105"/>
  <c r="AS62" i="105"/>
  <c r="AM120" i="105"/>
  <c r="AM62" i="105"/>
  <c r="BM120" i="105"/>
  <c r="BM62" i="105"/>
  <c r="BC99" i="105"/>
  <c r="AX22" i="151"/>
  <c r="X39" i="151"/>
  <c r="Y33" i="72"/>
  <c r="Y39" i="151"/>
  <c r="Z33" i="72"/>
  <c r="AB39" i="151"/>
  <c r="AC33" i="72"/>
  <c r="AG39" i="151"/>
  <c r="AH33" i="72"/>
  <c r="AF39" i="151"/>
  <c r="AG33" i="72"/>
  <c r="BE99" i="105"/>
  <c r="AZ22" i="151"/>
  <c r="AC39" i="151"/>
  <c r="AD33" i="72"/>
  <c r="Z39" i="151"/>
  <c r="AA33" i="72"/>
  <c r="R39" i="151"/>
  <c r="S33" i="72"/>
  <c r="S46" i="72" s="1"/>
  <c r="AA39" i="151"/>
  <c r="AB33" i="72"/>
  <c r="AE39" i="151"/>
  <c r="AF33" i="72"/>
  <c r="BG99" i="105"/>
  <c r="BB22" i="151"/>
  <c r="W39" i="151"/>
  <c r="X33" i="72"/>
  <c r="V39" i="151"/>
  <c r="W33" i="72"/>
  <c r="BR99" i="105"/>
  <c r="BM22" i="151"/>
  <c r="BK71" i="103"/>
  <c r="BK72" i="103" s="1"/>
  <c r="BK66" i="103"/>
  <c r="BO126" i="104"/>
  <c r="BO174" i="104" s="1" a="1"/>
  <c r="BO174" i="104" s="1"/>
  <c r="BO75" i="104" s="1"/>
  <c r="BT75" i="105" s="1"/>
  <c r="BI71" i="103"/>
  <c r="BI72" i="103" s="1"/>
  <c r="BI66" i="103"/>
  <c r="AV71" i="103"/>
  <c r="AV72" i="103" s="1"/>
  <c r="AV66" i="103"/>
  <c r="BJ71" i="103"/>
  <c r="BJ72" i="103" s="1"/>
  <c r="BJ66" i="103"/>
  <c r="BO65" i="99"/>
  <c r="BO71" i="99" s="1"/>
  <c r="BO72" i="99" s="1"/>
  <c r="BO126" i="103"/>
  <c r="BO127" i="103" s="1"/>
  <c r="BL71" i="103"/>
  <c r="BL72" i="103" s="1"/>
  <c r="BL66" i="103"/>
  <c r="BO62" i="99"/>
  <c r="AN72" i="153"/>
  <c r="AN77" i="153"/>
  <c r="AN142" i="153" s="1"/>
  <c r="AN136" i="153"/>
  <c r="AN137" i="153" s="1"/>
  <c r="BC66" i="153"/>
  <c r="BC71" i="153"/>
  <c r="BC130" i="153"/>
  <c r="BC131" i="153" s="1"/>
  <c r="BX72" i="155"/>
  <c r="BX77" i="155"/>
  <c r="BX142" i="155" s="1"/>
  <c r="BX136" i="155"/>
  <c r="BX137" i="155" s="1"/>
  <c r="BV72" i="153"/>
  <c r="BV77" i="153"/>
  <c r="BV142" i="153" s="1"/>
  <c r="BV136" i="153"/>
  <c r="BV137" i="153" s="1"/>
  <c r="BW72" i="153"/>
  <c r="BW77" i="153"/>
  <c r="BW142" i="153" s="1"/>
  <c r="BW136" i="153"/>
  <c r="BW137" i="153" s="1"/>
  <c r="N127" i="155"/>
  <c r="P127" i="155" s="1"/>
  <c r="P126" i="155"/>
  <c r="BV77" i="155"/>
  <c r="BV142" i="155" s="1"/>
  <c r="BV72" i="155"/>
  <c r="BV136" i="155"/>
  <c r="BV137" i="155" s="1"/>
  <c r="N66" i="155"/>
  <c r="P66" i="155" s="1"/>
  <c r="N71" i="155"/>
  <c r="P65" i="155"/>
  <c r="N130" i="155"/>
  <c r="AW72" i="153"/>
  <c r="AW136" i="153"/>
  <c r="AW137" i="153" s="1"/>
  <c r="AW77" i="153"/>
  <c r="AW142" i="153" s="1"/>
  <c r="AY71" i="153"/>
  <c r="AY66" i="153"/>
  <c r="AY130" i="153"/>
  <c r="AY131" i="153" s="1"/>
  <c r="BG66" i="153"/>
  <c r="BG71" i="153"/>
  <c r="BG130" i="153"/>
  <c r="BG131" i="153" s="1"/>
  <c r="L65" i="153"/>
  <c r="L126" i="153"/>
  <c r="L127" i="153" s="1"/>
  <c r="L62" i="153"/>
  <c r="AZ71" i="153"/>
  <c r="AZ66" i="153"/>
  <c r="AZ130" i="153"/>
  <c r="AZ131" i="153" s="1"/>
  <c r="BF66" i="153"/>
  <c r="BF71" i="153"/>
  <c r="BF130" i="153"/>
  <c r="BF131" i="153" s="1"/>
  <c r="BY72" i="153"/>
  <c r="BY77" i="153"/>
  <c r="BY142" i="153" s="1"/>
  <c r="BY136" i="153"/>
  <c r="BY137" i="153" s="1"/>
  <c r="BD66" i="153"/>
  <c r="BD71" i="153"/>
  <c r="BD130" i="153"/>
  <c r="BD131" i="153" s="1"/>
  <c r="P126" i="153"/>
  <c r="N127" i="153"/>
  <c r="P127" i="153" s="1"/>
  <c r="AM77" i="153"/>
  <c r="AM142" i="153" s="1"/>
  <c r="AM72" i="153"/>
  <c r="AM136" i="153"/>
  <c r="AM137" i="153" s="1"/>
  <c r="P65" i="153"/>
  <c r="N71" i="153"/>
  <c r="N66" i="153"/>
  <c r="P66" i="153" s="1"/>
  <c r="N130" i="153"/>
  <c r="BE71" i="153"/>
  <c r="BE66" i="153"/>
  <c r="BE130" i="153"/>
  <c r="BE131" i="153" s="1"/>
  <c r="BI66" i="153"/>
  <c r="BI130" i="153"/>
  <c r="BI131" i="153" s="1"/>
  <c r="BI71" i="153"/>
  <c r="BS72" i="155"/>
  <c r="BS77" i="155"/>
  <c r="BS142" i="155" s="1"/>
  <c r="BS136" i="155"/>
  <c r="BS137" i="155" s="1"/>
  <c r="AP77" i="153"/>
  <c r="AP142" i="153" s="1"/>
  <c r="AP72" i="153"/>
  <c r="AP136" i="153"/>
  <c r="AP137" i="153" s="1"/>
  <c r="AR77" i="153"/>
  <c r="AR142" i="153" s="1"/>
  <c r="AR72" i="153"/>
  <c r="AR136" i="153"/>
  <c r="AR137" i="153" s="1"/>
  <c r="J72" i="153"/>
  <c r="J77" i="153"/>
  <c r="J142" i="153" s="1"/>
  <c r="J136" i="153"/>
  <c r="J137" i="153" s="1"/>
  <c r="K71" i="153"/>
  <c r="K66" i="153"/>
  <c r="K130" i="153"/>
  <c r="K131" i="153" s="1"/>
  <c r="BA71" i="153"/>
  <c r="BA66" i="153"/>
  <c r="BA130" i="153"/>
  <c r="BA131" i="153" s="1"/>
  <c r="AX71" i="153"/>
  <c r="AX130" i="153"/>
  <c r="AX131" i="153" s="1"/>
  <c r="AX66" i="153"/>
  <c r="AQ77" i="153"/>
  <c r="AQ142" i="153" s="1"/>
  <c r="AQ72" i="153"/>
  <c r="AQ136" i="153"/>
  <c r="AQ137" i="153" s="1"/>
  <c r="M65" i="153"/>
  <c r="M62" i="153"/>
  <c r="M126" i="153"/>
  <c r="M127" i="153" s="1"/>
  <c r="AT72" i="153"/>
  <c r="AT77" i="153"/>
  <c r="AT142" i="153" s="1"/>
  <c r="AT136" i="153"/>
  <c r="AT137" i="153" s="1"/>
  <c r="AS72" i="153"/>
  <c r="AS136" i="153"/>
  <c r="AS137" i="153" s="1"/>
  <c r="AS77" i="153"/>
  <c r="AS142" i="153" s="1"/>
  <c r="BB66" i="153"/>
  <c r="BB130" i="153"/>
  <c r="BB131" i="153" s="1"/>
  <c r="BB71" i="153"/>
  <c r="AU72" i="153"/>
  <c r="AU77" i="153"/>
  <c r="AU142" i="153" s="1"/>
  <c r="AU136" i="153"/>
  <c r="AU137" i="153" s="1"/>
  <c r="AL77" i="153"/>
  <c r="AL142" i="153" s="1"/>
  <c r="AL72" i="153"/>
  <c r="AL136" i="153"/>
  <c r="AL137" i="153" s="1"/>
  <c r="AO72" i="153"/>
  <c r="AO77" i="153"/>
  <c r="AO142" i="153" s="1"/>
  <c r="AO136" i="153"/>
  <c r="AO137" i="153" s="1"/>
  <c r="BH71" i="153"/>
  <c r="BH130" i="153"/>
  <c r="BH131" i="153" s="1"/>
  <c r="BH66" i="153"/>
  <c r="BW77" i="155"/>
  <c r="BW142" i="155" s="1"/>
  <c r="BW72" i="155"/>
  <c r="BW136" i="155"/>
  <c r="BW137" i="155" s="1"/>
  <c r="AV136" i="153"/>
  <c r="AV137" i="153" s="1"/>
  <c r="AV77" i="153"/>
  <c r="AV142" i="153" s="1"/>
  <c r="AV72" i="153"/>
  <c r="BX72" i="153"/>
  <c r="BX77" i="153"/>
  <c r="BX142" i="153" s="1"/>
  <c r="BX136" i="153"/>
  <c r="BX137" i="153" s="1"/>
  <c r="BY72" i="155"/>
  <c r="BY77" i="155"/>
  <c r="BY142" i="155" s="1"/>
  <c r="BY136" i="155"/>
  <c r="BY137" i="155" s="1"/>
  <c r="AG77" i="99"/>
  <c r="AG136" i="99"/>
  <c r="BH77" i="99"/>
  <c r="BH136" i="99"/>
  <c r="AC77" i="99"/>
  <c r="AC136" i="99"/>
  <c r="AD77" i="99"/>
  <c r="AD136" i="99"/>
  <c r="AF77" i="99"/>
  <c r="AF136" i="99"/>
  <c r="Z77" i="99"/>
  <c r="Z136" i="99"/>
  <c r="V77" i="99"/>
  <c r="V136" i="99"/>
  <c r="X77" i="99"/>
  <c r="X136" i="99"/>
  <c r="AA77" i="99"/>
  <c r="AA136" i="99"/>
  <c r="AB77" i="99"/>
  <c r="AB136" i="99"/>
  <c r="AE77" i="99"/>
  <c r="AE136" i="99"/>
  <c r="T137" i="99"/>
  <c r="W77" i="99"/>
  <c r="W136" i="99"/>
  <c r="U137" i="99"/>
  <c r="S137" i="99"/>
  <c r="Y77" i="99"/>
  <c r="Y136" i="99"/>
  <c r="AH71" i="99"/>
  <c r="AH72" i="99" s="1"/>
  <c r="AH66" i="99"/>
  <c r="AI71" i="99"/>
  <c r="AI72" i="99" s="1"/>
  <c r="AI66" i="99"/>
  <c r="AO71" i="99"/>
  <c r="AO72" i="99" s="1"/>
  <c r="AO66" i="99"/>
  <c r="AL71" i="99"/>
  <c r="AL72" i="99" s="1"/>
  <c r="AL66" i="99"/>
  <c r="AN71" i="99"/>
  <c r="AN72" i="99" s="1"/>
  <c r="AN66" i="99"/>
  <c r="AR71" i="99"/>
  <c r="AR72" i="99" s="1"/>
  <c r="AR66" i="99"/>
  <c r="AM71" i="99"/>
  <c r="AM72" i="99" s="1"/>
  <c r="AM66" i="99"/>
  <c r="AS71" i="99"/>
  <c r="AS72" i="99" s="1"/>
  <c r="AS66" i="99"/>
  <c r="AP71" i="99"/>
  <c r="AP72" i="99" s="1"/>
  <c r="AP66" i="99"/>
  <c r="AQ71" i="99"/>
  <c r="AQ72" i="99" s="1"/>
  <c r="AQ66" i="99"/>
  <c r="AJ71" i="99"/>
  <c r="AJ72" i="99" s="1"/>
  <c r="AJ66" i="99"/>
  <c r="AK71" i="99"/>
  <c r="AK72" i="99" s="1"/>
  <c r="AK66" i="99"/>
  <c r="X123" i="105"/>
  <c r="Y123" i="105"/>
  <c r="Z123" i="105"/>
  <c r="W123" i="105"/>
  <c r="BM62" i="99"/>
  <c r="BM126" i="99"/>
  <c r="BM127" i="99" s="1"/>
  <c r="BM65" i="99"/>
  <c r="BM126" i="104"/>
  <c r="BM127" i="104" s="1"/>
  <c r="S85" i="105"/>
  <c r="U85" i="105" s="1"/>
  <c r="S94" i="105"/>
  <c r="Q89" i="105"/>
  <c r="S88" i="105"/>
  <c r="R95" i="105"/>
  <c r="O113" i="105"/>
  <c r="BS39" i="105"/>
  <c r="R92" i="105"/>
  <c r="R84" i="105"/>
  <c r="S96" i="105"/>
  <c r="U103" i="105"/>
  <c r="U127" i="105"/>
  <c r="U107" i="105"/>
  <c r="BE40" i="105"/>
  <c r="BE54" i="105"/>
  <c r="BE113" i="105" s="1"/>
  <c r="O61" i="105"/>
  <c r="BS28" i="105"/>
  <c r="BM113" i="105"/>
  <c r="R81" i="105"/>
  <c r="U23" i="105"/>
  <c r="BW69" i="105"/>
  <c r="BR34" i="151" s="1"/>
  <c r="CB69" i="105"/>
  <c r="BW34" i="151" s="1"/>
  <c r="AH127" i="104"/>
  <c r="AH174" i="104" a="1"/>
  <c r="AH174" i="104" s="1"/>
  <c r="AH75" i="104" s="1"/>
  <c r="AM75" i="105" s="1"/>
  <c r="J75" i="104"/>
  <c r="O75" i="105" s="1"/>
  <c r="AN127" i="104"/>
  <c r="AN174" i="104" a="1"/>
  <c r="AN174" i="104" s="1"/>
  <c r="AN75" i="104" s="1"/>
  <c r="AS75" i="105" s="1"/>
  <c r="BH127" i="104"/>
  <c r="BH174" i="104" a="1"/>
  <c r="BH174" i="104" s="1"/>
  <c r="BH75" i="104" s="1"/>
  <c r="BM75" i="105" s="1"/>
  <c r="AQ127" i="104"/>
  <c r="AQ174" i="104" a="1"/>
  <c r="AQ174" i="104" s="1"/>
  <c r="AQ75" i="104" s="1"/>
  <c r="AV75" i="105" s="1"/>
  <c r="R68" i="105"/>
  <c r="M33" i="151" s="1"/>
  <c r="AI127" i="104"/>
  <c r="AI174" i="104" a="1"/>
  <c r="AI174" i="104" s="1"/>
  <c r="AI75" i="104" s="1"/>
  <c r="AN75" i="105" s="1"/>
  <c r="AS127" i="104"/>
  <c r="AS174" i="104" a="1"/>
  <c r="AS174" i="104" s="1"/>
  <c r="AS75" i="104" s="1"/>
  <c r="AX75" i="105" s="1"/>
  <c r="AI75" i="105"/>
  <c r="AK127" i="104"/>
  <c r="AK174" i="104" a="1"/>
  <c r="AK174" i="104" s="1"/>
  <c r="AK75" i="104" s="1"/>
  <c r="AP75" i="105" s="1"/>
  <c r="R69" i="105"/>
  <c r="M34" i="151" s="1"/>
  <c r="AO127" i="104"/>
  <c r="AO174" i="104" a="1"/>
  <c r="AO174" i="104" s="1"/>
  <c r="AO75" i="104" s="1"/>
  <c r="AT75" i="105" s="1"/>
  <c r="AJ127" i="104"/>
  <c r="AJ174" i="104" a="1"/>
  <c r="AJ174" i="104" s="1"/>
  <c r="AJ75" i="104" s="1"/>
  <c r="AO75" i="105" s="1"/>
  <c r="AL127" i="104"/>
  <c r="AL174" i="104" a="1"/>
  <c r="AL174" i="104" s="1"/>
  <c r="AL75" i="104" s="1"/>
  <c r="AQ75" i="105" s="1"/>
  <c r="AM113" i="105"/>
  <c r="P113" i="105" s="1"/>
  <c r="AM127" i="104"/>
  <c r="AM174" i="104" a="1"/>
  <c r="AM174" i="104" s="1"/>
  <c r="AM75" i="104" s="1"/>
  <c r="AR75" i="105" s="1"/>
  <c r="AP127" i="104"/>
  <c r="AP174" i="104" a="1"/>
  <c r="AP174" i="104" s="1"/>
  <c r="AP75" i="104" s="1"/>
  <c r="AR127" i="104"/>
  <c r="AR174" i="104" a="1"/>
  <c r="AR174" i="104" s="1"/>
  <c r="AR75" i="104" s="1"/>
  <c r="AW75" i="105" s="1"/>
  <c r="BC40" i="105"/>
  <c r="BC54" i="105"/>
  <c r="BC61" i="105" s="1"/>
  <c r="BG54" i="105"/>
  <c r="BG61" i="105" s="1"/>
  <c r="R65" i="104"/>
  <c r="R66" i="104" s="1"/>
  <c r="BG40" i="105"/>
  <c r="BR40" i="105"/>
  <c r="BR54" i="105"/>
  <c r="BR61" i="105" s="1"/>
  <c r="N69" i="103"/>
  <c r="P69" i="103" s="1"/>
  <c r="N69" i="104"/>
  <c r="BB126" i="103"/>
  <c r="BB127" i="103" s="1"/>
  <c r="BB65" i="99"/>
  <c r="AY126" i="103"/>
  <c r="AY127" i="103" s="1"/>
  <c r="AY65" i="99"/>
  <c r="AU126" i="103"/>
  <c r="AU127" i="103" s="1"/>
  <c r="AU65" i="99"/>
  <c r="AZ126" i="103"/>
  <c r="AZ127" i="103" s="1"/>
  <c r="AZ65" i="99"/>
  <c r="AX126" i="103"/>
  <c r="AX127" i="103" s="1"/>
  <c r="AX65" i="99"/>
  <c r="AV126" i="103"/>
  <c r="AV127" i="103" s="1"/>
  <c r="AV65" i="99"/>
  <c r="J66" i="99"/>
  <c r="J71" i="99"/>
  <c r="AT126" i="103"/>
  <c r="AT127" i="103" s="1"/>
  <c r="AT65" i="99"/>
  <c r="K126" i="103"/>
  <c r="K127" i="103" s="1"/>
  <c r="K65" i="99"/>
  <c r="BC126" i="103"/>
  <c r="BC127" i="103" s="1"/>
  <c r="BC65" i="99"/>
  <c r="BA126" i="103"/>
  <c r="BA127" i="103" s="1"/>
  <c r="BA65" i="99"/>
  <c r="AW126" i="103"/>
  <c r="AW127" i="103" s="1"/>
  <c r="AW65" i="99"/>
  <c r="N134" i="99"/>
  <c r="P134" i="99" s="1"/>
  <c r="BK36" i="105"/>
  <c r="BK97" i="105" s="1"/>
  <c r="BO37" i="105"/>
  <c r="BZ36" i="105"/>
  <c r="BZ97" i="105" s="1"/>
  <c r="CA36" i="105"/>
  <c r="CA97" i="105" s="1"/>
  <c r="BV27" i="105"/>
  <c r="BV89" i="105" s="1"/>
  <c r="BF61" i="105"/>
  <c r="BF113" i="105"/>
  <c r="AZ61" i="105"/>
  <c r="AZ113" i="105"/>
  <c r="BV126" i="105"/>
  <c r="BB61" i="105"/>
  <c r="BB113" i="105"/>
  <c r="BD61" i="105"/>
  <c r="BD113" i="105"/>
  <c r="Q39" i="105"/>
  <c r="L22" i="151" s="1"/>
  <c r="BV36" i="105"/>
  <c r="BV97" i="105" s="1"/>
  <c r="BV95" i="105"/>
  <c r="BI126" i="105"/>
  <c r="BX27" i="105"/>
  <c r="BX89" i="105" s="1"/>
  <c r="BX87" i="105"/>
  <c r="CD37" i="105"/>
  <c r="CD97" i="105"/>
  <c r="BY126" i="105"/>
  <c r="BU25" i="105"/>
  <c r="BU87" i="105" s="1"/>
  <c r="BU84" i="105"/>
  <c r="BW92" i="105"/>
  <c r="BA61" i="105"/>
  <c r="BA113" i="105"/>
  <c r="U26" i="105"/>
  <c r="CA126" i="105"/>
  <c r="BJ126" i="105"/>
  <c r="AX61" i="105"/>
  <c r="AX113" i="105"/>
  <c r="BZ126" i="105"/>
  <c r="AU61" i="105"/>
  <c r="AU113" i="105"/>
  <c r="CB81" i="105"/>
  <c r="BU126" i="105"/>
  <c r="BW81" i="105"/>
  <c r="CB84" i="105"/>
  <c r="AY61" i="105"/>
  <c r="AY113" i="105"/>
  <c r="CC27" i="105"/>
  <c r="CC39" i="105" s="1"/>
  <c r="CC87" i="105"/>
  <c r="BH40" i="105"/>
  <c r="BH99" i="105"/>
  <c r="BH54" i="105"/>
  <c r="W131" i="105"/>
  <c r="BL27" i="105"/>
  <c r="BL89" i="105" s="1"/>
  <c r="BL87" i="105"/>
  <c r="R87" i="105" s="1"/>
  <c r="CD27" i="105"/>
  <c r="CD39" i="105" s="1"/>
  <c r="BY22" i="151" s="1"/>
  <c r="CD87" i="105"/>
  <c r="BL126" i="105"/>
  <c r="BW25" i="105"/>
  <c r="BW87" i="105" s="1"/>
  <c r="BW84" i="105"/>
  <c r="U86" i="105" s="1"/>
  <c r="BX126" i="105"/>
  <c r="BU81" i="105"/>
  <c r="R34" i="105"/>
  <c r="CC37" i="105"/>
  <c r="CC97" i="105"/>
  <c r="BU92" i="105"/>
  <c r="CB92" i="105"/>
  <c r="BT61" i="105"/>
  <c r="BT113" i="105"/>
  <c r="AC65" i="105"/>
  <c r="AC66" i="105" s="1"/>
  <c r="AK65" i="105"/>
  <c r="AK66" i="105" s="1"/>
  <c r="AL65" i="105"/>
  <c r="AL66" i="105" s="1"/>
  <c r="AI65" i="105"/>
  <c r="AI66" i="105" s="1"/>
  <c r="AA65" i="105"/>
  <c r="AA66" i="105" s="1"/>
  <c r="AJ65" i="105"/>
  <c r="AJ66" i="105" s="1"/>
  <c r="AD65" i="105"/>
  <c r="AD66" i="105" s="1"/>
  <c r="AH65" i="105"/>
  <c r="AH66" i="105" s="1"/>
  <c r="AE65" i="105"/>
  <c r="AE66" i="105" s="1"/>
  <c r="AG65" i="105"/>
  <c r="AG66" i="105" s="1"/>
  <c r="AF65" i="105"/>
  <c r="AF66" i="105" s="1"/>
  <c r="AB65" i="105"/>
  <c r="AB66" i="105" s="1"/>
  <c r="U24" i="105"/>
  <c r="U33" i="105"/>
  <c r="N90" i="104"/>
  <c r="P90" i="104" s="1"/>
  <c r="U35" i="105"/>
  <c r="S22" i="105"/>
  <c r="P25" i="99"/>
  <c r="N90" i="99"/>
  <c r="P90" i="99" s="1"/>
  <c r="N147" i="104"/>
  <c r="N146" i="103"/>
  <c r="S19" i="105"/>
  <c r="I63" i="294" s="1"/>
  <c r="J63" i="294" s="1"/>
  <c r="P19" i="103"/>
  <c r="P22" i="103"/>
  <c r="N149" i="103"/>
  <c r="N147" i="103"/>
  <c r="P19" i="104"/>
  <c r="N150" i="104"/>
  <c r="N149" i="104"/>
  <c r="N25" i="103"/>
  <c r="P25" i="103" s="1"/>
  <c r="N25" i="104"/>
  <c r="P25" i="104" s="1"/>
  <c r="N36" i="99"/>
  <c r="N101" i="103" s="1"/>
  <c r="N102" i="103" s="1"/>
  <c r="P102" i="103" s="1"/>
  <c r="CB25" i="105"/>
  <c r="S31" i="105"/>
  <c r="N68" i="104"/>
  <c r="N99" i="99"/>
  <c r="P99" i="99" s="1"/>
  <c r="N99" i="104"/>
  <c r="P99" i="104" s="1"/>
  <c r="P34" i="99"/>
  <c r="N34" i="104"/>
  <c r="P34" i="104" s="1"/>
  <c r="N27" i="99"/>
  <c r="N92" i="103" s="1"/>
  <c r="N93" i="103" s="1"/>
  <c r="P93" i="103" s="1"/>
  <c r="BW34" i="105"/>
  <c r="N68" i="103"/>
  <c r="P68" i="103" s="1"/>
  <c r="N134" i="104"/>
  <c r="P134" i="104" s="1"/>
  <c r="BI119" i="104"/>
  <c r="BI54" i="104" s="1"/>
  <c r="BI119" i="99"/>
  <c r="BI61" i="99"/>
  <c r="BI65" i="99" s="1"/>
  <c r="BI119" i="103"/>
  <c r="BN105" i="104"/>
  <c r="BN39" i="104"/>
  <c r="BN40" i="104" s="1"/>
  <c r="CB34" i="105"/>
  <c r="CB95" i="105" s="1"/>
  <c r="BJ36" i="105"/>
  <c r="BJ97" i="105" s="1"/>
  <c r="BI105" i="104"/>
  <c r="BI39" i="104"/>
  <c r="BI40" i="104" s="1"/>
  <c r="BW28" i="103"/>
  <c r="BW39" i="103"/>
  <c r="BE102" i="104"/>
  <c r="BE36" i="104"/>
  <c r="BE37" i="104" s="1"/>
  <c r="BI36" i="105"/>
  <c r="BI97" i="105" s="1"/>
  <c r="BK27" i="105"/>
  <c r="BK89" i="105" s="1"/>
  <c r="BF54" i="103"/>
  <c r="BF61" i="103" s="1"/>
  <c r="BF65" i="103" s="1"/>
  <c r="BF40" i="103"/>
  <c r="BU34" i="105"/>
  <c r="BU95" i="105" s="1"/>
  <c r="BI27" i="105"/>
  <c r="BI89" i="105" s="1"/>
  <c r="BR101" i="99"/>
  <c r="BR102" i="99" s="1"/>
  <c r="BR101" i="103"/>
  <c r="BR102" i="103" s="1"/>
  <c r="BR101" i="104"/>
  <c r="BR37" i="99"/>
  <c r="BE40" i="103"/>
  <c r="BE54" i="103"/>
  <c r="BE61" i="103" s="1"/>
  <c r="BE65" i="103" s="1"/>
  <c r="BE104" i="103"/>
  <c r="BE105" i="103" s="1"/>
  <c r="BE104" i="104"/>
  <c r="BE104" i="99"/>
  <c r="BE105" i="99" s="1"/>
  <c r="BE54" i="99"/>
  <c r="BE40" i="99"/>
  <c r="BF102" i="104"/>
  <c r="BF36" i="104"/>
  <c r="BF37" i="104" s="1"/>
  <c r="BJ27" i="105"/>
  <c r="BJ89" i="105" s="1"/>
  <c r="BE93" i="104"/>
  <c r="BE27" i="104"/>
  <c r="BE28" i="104" s="1"/>
  <c r="BR92" i="99"/>
  <c r="BR93" i="99" s="1"/>
  <c r="BR39" i="99"/>
  <c r="BR92" i="103"/>
  <c r="BR93" i="103" s="1"/>
  <c r="BR92" i="104"/>
  <c r="BR28" i="99"/>
  <c r="BP39" i="99"/>
  <c r="BP92" i="99"/>
  <c r="BP93" i="99" s="1"/>
  <c r="BP28" i="99"/>
  <c r="BP92" i="103"/>
  <c r="BP93" i="103" s="1"/>
  <c r="BP92" i="104"/>
  <c r="BN39" i="105"/>
  <c r="BN28" i="105"/>
  <c r="BP39" i="103"/>
  <c r="BP28" i="103"/>
  <c r="BW92" i="103"/>
  <c r="BW93" i="103" s="1"/>
  <c r="BW92" i="99"/>
  <c r="BW93" i="99" s="1"/>
  <c r="BW92" i="104"/>
  <c r="BW39" i="99"/>
  <c r="BW28" i="99"/>
  <c r="N134" i="103"/>
  <c r="P134" i="103" s="1"/>
  <c r="BF93" i="104"/>
  <c r="BF27" i="104"/>
  <c r="BF28" i="104" s="1"/>
  <c r="BD102" i="104"/>
  <c r="BD36" i="104"/>
  <c r="BD37" i="104" s="1"/>
  <c r="BP101" i="104"/>
  <c r="BP37" i="99"/>
  <c r="BP101" i="103"/>
  <c r="BP102" i="103" s="1"/>
  <c r="BP101" i="99"/>
  <c r="BP102" i="99" s="1"/>
  <c r="P69" i="99"/>
  <c r="BR28" i="103"/>
  <c r="BR39" i="103"/>
  <c r="BW101" i="103"/>
  <c r="BW102" i="103" s="1"/>
  <c r="BW37" i="99"/>
  <c r="BW101" i="104"/>
  <c r="BW101" i="99"/>
  <c r="BW102" i="99" s="1"/>
  <c r="BD54" i="103"/>
  <c r="BD61" i="103" s="1"/>
  <c r="BD65" i="103" s="1"/>
  <c r="BD40" i="103"/>
  <c r="BF54" i="99"/>
  <c r="BF104" i="103"/>
  <c r="BF105" i="103" s="1"/>
  <c r="BF104" i="104"/>
  <c r="BF40" i="99"/>
  <c r="BF104" i="99"/>
  <c r="BF105" i="99" s="1"/>
  <c r="BI62" i="103"/>
  <c r="BD104" i="103"/>
  <c r="BD105" i="103" s="1"/>
  <c r="BD104" i="99"/>
  <c r="BD105" i="99" s="1"/>
  <c r="BD54" i="99"/>
  <c r="BD40" i="99"/>
  <c r="BD104" i="104"/>
  <c r="BN119" i="103"/>
  <c r="BN61" i="99"/>
  <c r="BN65" i="99" s="1"/>
  <c r="BN119" i="99"/>
  <c r="BN119" i="104"/>
  <c r="BN54" i="104" s="1"/>
  <c r="BD93" i="104"/>
  <c r="BD27" i="104"/>
  <c r="BD28" i="104" s="1"/>
  <c r="BL36" i="105"/>
  <c r="BS93" i="104"/>
  <c r="BS27" i="104"/>
  <c r="BS28" i="104" s="1"/>
  <c r="BQ28" i="105"/>
  <c r="BQ39" i="105"/>
  <c r="BV102" i="104"/>
  <c r="BV36" i="104"/>
  <c r="BV37" i="104" s="1"/>
  <c r="BV93" i="104"/>
  <c r="BV27" i="104"/>
  <c r="BV28" i="104" s="1"/>
  <c r="BL105" i="104"/>
  <c r="BL39" i="104"/>
  <c r="BL40" i="104" s="1"/>
  <c r="BS102" i="104"/>
  <c r="BS36" i="104"/>
  <c r="BS37" i="104" s="1"/>
  <c r="BK62" i="103"/>
  <c r="BL119" i="103"/>
  <c r="BL119" i="104"/>
  <c r="BL54" i="104" s="1"/>
  <c r="BL119" i="99"/>
  <c r="BL61" i="99"/>
  <c r="BL65" i="99" s="1"/>
  <c r="BS104" i="99"/>
  <c r="BS105" i="99" s="1"/>
  <c r="BS40" i="99"/>
  <c r="BS54" i="99"/>
  <c r="BS104" i="103"/>
  <c r="BS105" i="103" s="1"/>
  <c r="BS104" i="104"/>
  <c r="BV40" i="99"/>
  <c r="BV104" i="99"/>
  <c r="BV105" i="99" s="1"/>
  <c r="BV54" i="99"/>
  <c r="BV104" i="103"/>
  <c r="BV105" i="103" s="1"/>
  <c r="BV104" i="104"/>
  <c r="BT40" i="103"/>
  <c r="BT54" i="103"/>
  <c r="BT61" i="103" s="1"/>
  <c r="BT65" i="103" s="1"/>
  <c r="BU102" i="104"/>
  <c r="BU36" i="104"/>
  <c r="BU37" i="104" s="1"/>
  <c r="BV40" i="103"/>
  <c r="BV54" i="103"/>
  <c r="BV61" i="103" s="1"/>
  <c r="BV65" i="103" s="1"/>
  <c r="BY36" i="105"/>
  <c r="BY97" i="105" s="1"/>
  <c r="CA27" i="105"/>
  <c r="CA89" i="105" s="1"/>
  <c r="BT102" i="104"/>
  <c r="BT36" i="104"/>
  <c r="BT37" i="104" s="1"/>
  <c r="BT104" i="103"/>
  <c r="BT105" i="103" s="1"/>
  <c r="BT104" i="104"/>
  <c r="BT54" i="99"/>
  <c r="BT40" i="99"/>
  <c r="BT104" i="99"/>
  <c r="BT105" i="99" s="1"/>
  <c r="BT27" i="104"/>
  <c r="BT28" i="104" s="1"/>
  <c r="BT93" i="104"/>
  <c r="BJ62" i="103"/>
  <c r="BZ27" i="105"/>
  <c r="BZ89" i="105" s="1"/>
  <c r="BK119" i="103"/>
  <c r="BK119" i="104"/>
  <c r="BK54" i="104" s="1"/>
  <c r="BK119" i="99"/>
  <c r="BK61" i="99"/>
  <c r="BK65" i="99" s="1"/>
  <c r="BK105" i="104"/>
  <c r="BK39" i="104"/>
  <c r="BK40" i="104" s="1"/>
  <c r="BU40" i="103"/>
  <c r="BU54" i="103"/>
  <c r="BU61" i="103" s="1"/>
  <c r="BU65" i="103" s="1"/>
  <c r="BU104" i="104"/>
  <c r="BU104" i="103"/>
  <c r="BU105" i="103" s="1"/>
  <c r="BU54" i="99"/>
  <c r="BU104" i="99"/>
  <c r="BU105" i="99" s="1"/>
  <c r="BU40" i="99"/>
  <c r="BJ105" i="104"/>
  <c r="BJ39" i="104"/>
  <c r="BJ40" i="104" s="1"/>
  <c r="BQ37" i="105"/>
  <c r="BJ119" i="103"/>
  <c r="BJ119" i="99"/>
  <c r="BJ119" i="104"/>
  <c r="BJ54" i="104" s="1"/>
  <c r="BJ61" i="99"/>
  <c r="BJ65" i="99" s="1"/>
  <c r="BP37" i="105"/>
  <c r="BY27" i="105"/>
  <c r="BY89" i="105" s="1"/>
  <c r="BU93" i="104"/>
  <c r="BU27" i="104"/>
  <c r="BU28" i="104" s="1"/>
  <c r="BP28" i="105"/>
  <c r="BP39" i="105"/>
  <c r="BL62" i="103"/>
  <c r="BS54" i="103"/>
  <c r="BS61" i="103" s="1"/>
  <c r="BS65" i="103" s="1"/>
  <c r="BS40" i="103"/>
  <c r="BX36" i="105"/>
  <c r="BO28" i="105"/>
  <c r="BO39" i="105"/>
  <c r="BG102" i="104"/>
  <c r="BG36" i="104"/>
  <c r="M101" i="99"/>
  <c r="M102" i="99" s="1"/>
  <c r="M101" i="103"/>
  <c r="M102" i="103" s="1"/>
  <c r="M101" i="104"/>
  <c r="M102" i="104" s="1"/>
  <c r="M37" i="99"/>
  <c r="BG37" i="103"/>
  <c r="M36" i="103"/>
  <c r="M37" i="103" s="1"/>
  <c r="M92" i="103"/>
  <c r="M93" i="103" s="1"/>
  <c r="M92" i="99"/>
  <c r="M93" i="99" s="1"/>
  <c r="M92" i="104"/>
  <c r="M93" i="104" s="1"/>
  <c r="M28" i="99"/>
  <c r="BG104" i="104"/>
  <c r="BG104" i="103"/>
  <c r="BG105" i="103" s="1"/>
  <c r="BG40" i="99"/>
  <c r="BG54" i="99"/>
  <c r="BG104" i="99"/>
  <c r="BG105" i="99" s="1"/>
  <c r="M39" i="99"/>
  <c r="BG39" i="103"/>
  <c r="BG28" i="103"/>
  <c r="M27" i="103"/>
  <c r="M28" i="103" s="1"/>
  <c r="R25" i="105"/>
  <c r="BG93" i="104"/>
  <c r="BG27" i="104"/>
  <c r="BQ54" i="103"/>
  <c r="BQ61" i="103" s="1"/>
  <c r="BQ65" i="103" s="1"/>
  <c r="BQ40" i="103"/>
  <c r="BQ102" i="104"/>
  <c r="BQ36" i="104"/>
  <c r="BQ37" i="104" s="1"/>
  <c r="BQ93" i="104"/>
  <c r="BQ27" i="104"/>
  <c r="BQ28" i="104" s="1"/>
  <c r="BQ40" i="99"/>
  <c r="BQ104" i="99"/>
  <c r="BQ105" i="99" s="1"/>
  <c r="BQ54" i="99"/>
  <c r="BQ104" i="103"/>
  <c r="BQ105" i="103" s="1"/>
  <c r="BQ104" i="104"/>
  <c r="L54" i="103"/>
  <c r="L61" i="103"/>
  <c r="Q28" i="105"/>
  <c r="AV62" i="103"/>
  <c r="X130" i="103"/>
  <c r="X131" i="103" s="1"/>
  <c r="X130" i="104"/>
  <c r="X131" i="104" s="1"/>
  <c r="T136" i="104"/>
  <c r="T137" i="104" s="1"/>
  <c r="T136" i="103"/>
  <c r="T137" i="103" s="1"/>
  <c r="AB130" i="104"/>
  <c r="AB131" i="104" s="1"/>
  <c r="AB130" i="103"/>
  <c r="AB131" i="103" s="1"/>
  <c r="J130" i="99"/>
  <c r="J131" i="99" s="1"/>
  <c r="V130" i="104"/>
  <c r="V131" i="104" s="1"/>
  <c r="V130" i="103"/>
  <c r="V131" i="103" s="1"/>
  <c r="AF130" i="103"/>
  <c r="AF131" i="103" s="1"/>
  <c r="AF130" i="104"/>
  <c r="AF131" i="104" s="1"/>
  <c r="AG130" i="103"/>
  <c r="AG131" i="103" s="1"/>
  <c r="AG130" i="104"/>
  <c r="AG131" i="104" s="1"/>
  <c r="AE130" i="103"/>
  <c r="AE131" i="103" s="1"/>
  <c r="AE130" i="104"/>
  <c r="AE131" i="104" s="1"/>
  <c r="R136" i="104"/>
  <c r="R137" i="104" s="1"/>
  <c r="R136" i="103"/>
  <c r="R137" i="103" s="1"/>
  <c r="AA130" i="103"/>
  <c r="AA131" i="103" s="1"/>
  <c r="AA130" i="104"/>
  <c r="AA131" i="104" s="1"/>
  <c r="U136" i="103"/>
  <c r="U137" i="103" s="1"/>
  <c r="U136" i="104"/>
  <c r="U137" i="104" s="1"/>
  <c r="S136" i="103"/>
  <c r="S137" i="103" s="1"/>
  <c r="S136" i="104"/>
  <c r="S137" i="104" s="1"/>
  <c r="W130" i="104"/>
  <c r="W131" i="104" s="1"/>
  <c r="W130" i="103"/>
  <c r="W131" i="103" s="1"/>
  <c r="Y130" i="103"/>
  <c r="Y131" i="103" s="1"/>
  <c r="Y130" i="104"/>
  <c r="Y131" i="104" s="1"/>
  <c r="Z130" i="103"/>
  <c r="Z131" i="103" s="1"/>
  <c r="Z130" i="104"/>
  <c r="Z131" i="104" s="1"/>
  <c r="AD130" i="104"/>
  <c r="AD131" i="104" s="1"/>
  <c r="AD130" i="103"/>
  <c r="AD131" i="103" s="1"/>
  <c r="AC130" i="103"/>
  <c r="AC131" i="103" s="1"/>
  <c r="AC130" i="104"/>
  <c r="AC131" i="104" s="1"/>
  <c r="BY104" i="104"/>
  <c r="BY105" i="104" s="1"/>
  <c r="L119" i="99"/>
  <c r="L119" i="104"/>
  <c r="AV126" i="104"/>
  <c r="AX126" i="104"/>
  <c r="K126" i="104"/>
  <c r="K127" i="104" s="1"/>
  <c r="AY126" i="104"/>
  <c r="BC126" i="104"/>
  <c r="AZ126" i="104"/>
  <c r="AT126" i="104"/>
  <c r="AW126" i="104"/>
  <c r="BA126" i="104"/>
  <c r="BB126" i="104"/>
  <c r="L54" i="104"/>
  <c r="AU126" i="104"/>
  <c r="BX104" i="104"/>
  <c r="BX105" i="104" s="1"/>
  <c r="L61" i="99"/>
  <c r="L65" i="99" s="1"/>
  <c r="J61" i="104"/>
  <c r="BB62" i="99"/>
  <c r="BB126" i="99"/>
  <c r="BB127" i="99" s="1"/>
  <c r="AI61" i="104"/>
  <c r="AI62" i="104" s="1"/>
  <c r="BX28" i="103"/>
  <c r="BX39" i="103"/>
  <c r="N27" i="103"/>
  <c r="AL61" i="104"/>
  <c r="AL62" i="104" s="1"/>
  <c r="AW62" i="99"/>
  <c r="AW126" i="99"/>
  <c r="AW127" i="99" s="1"/>
  <c r="R136" i="99"/>
  <c r="R137" i="99" s="1"/>
  <c r="AS61" i="104"/>
  <c r="AS62" i="104" s="1"/>
  <c r="Y130" i="99"/>
  <c r="Y131" i="99" s="1"/>
  <c r="AC130" i="99"/>
  <c r="AC131" i="99" s="1"/>
  <c r="AE130" i="99"/>
  <c r="AE131" i="99" s="1"/>
  <c r="X130" i="99"/>
  <c r="X131" i="99" s="1"/>
  <c r="AA130" i="99"/>
  <c r="AA131" i="99" s="1"/>
  <c r="BX27" i="104"/>
  <c r="AV126" i="99"/>
  <c r="AV127" i="99" s="1"/>
  <c r="AV62" i="99"/>
  <c r="BX40" i="99"/>
  <c r="BX104" i="99"/>
  <c r="BX105" i="99" s="1"/>
  <c r="BX54" i="99"/>
  <c r="BX119" i="103" s="1"/>
  <c r="AB130" i="99"/>
  <c r="AB131" i="99" s="1"/>
  <c r="BC126" i="99"/>
  <c r="BC127" i="99" s="1"/>
  <c r="BC62" i="99"/>
  <c r="N37" i="103"/>
  <c r="P37" i="103" s="1"/>
  <c r="P36" i="103"/>
  <c r="AY62" i="99"/>
  <c r="AY126" i="99"/>
  <c r="AY127" i="99" s="1"/>
  <c r="AT126" i="99"/>
  <c r="AT127" i="99" s="1"/>
  <c r="AT62" i="99"/>
  <c r="BY54" i="99"/>
  <c r="BY119" i="103" s="1"/>
  <c r="BY40" i="99"/>
  <c r="BY104" i="99"/>
  <c r="BY105" i="99" s="1"/>
  <c r="AX126" i="99"/>
  <c r="AX127" i="99" s="1"/>
  <c r="AX62" i="99"/>
  <c r="AF130" i="99"/>
  <c r="AF131" i="99" s="1"/>
  <c r="AJ61" i="104"/>
  <c r="AJ62" i="104" s="1"/>
  <c r="BY27" i="104"/>
  <c r="BY28" i="104" s="1"/>
  <c r="AM61" i="104"/>
  <c r="AM62" i="104" s="1"/>
  <c r="W130" i="99"/>
  <c r="W131" i="99" s="1"/>
  <c r="AP61" i="104"/>
  <c r="AP62" i="104" s="1"/>
  <c r="AZ62" i="99"/>
  <c r="AZ126" i="99"/>
  <c r="AZ127" i="99" s="1"/>
  <c r="AN61" i="104"/>
  <c r="AN62" i="104" s="1"/>
  <c r="AD130" i="99"/>
  <c r="AD131" i="99" s="1"/>
  <c r="Z130" i="99"/>
  <c r="Z131" i="99" s="1"/>
  <c r="AQ61" i="104"/>
  <c r="AQ62" i="104" s="1"/>
  <c r="BH61" i="104"/>
  <c r="BH62" i="104" s="1"/>
  <c r="V130" i="99"/>
  <c r="V131" i="99" s="1"/>
  <c r="AH61" i="104"/>
  <c r="AH62" i="104" s="1"/>
  <c r="AR61" i="104"/>
  <c r="AR62" i="104" s="1"/>
  <c r="AO61" i="104"/>
  <c r="AO62" i="104" s="1"/>
  <c r="BX37" i="104"/>
  <c r="AU62" i="99"/>
  <c r="AU126" i="99"/>
  <c r="AU127" i="99" s="1"/>
  <c r="BA126" i="99"/>
  <c r="BA127" i="99" s="1"/>
  <c r="BA62" i="99"/>
  <c r="AK61" i="104"/>
  <c r="AK62" i="104" s="1"/>
  <c r="L39" i="104"/>
  <c r="L40" i="104" s="1"/>
  <c r="BY54" i="103"/>
  <c r="BY61" i="103" s="1"/>
  <c r="BY65" i="103" s="1"/>
  <c r="BY40" i="103"/>
  <c r="AG130" i="99"/>
  <c r="AG131" i="99" s="1"/>
  <c r="K126" i="99"/>
  <c r="K62" i="99"/>
  <c r="K61" i="103"/>
  <c r="P54" i="105"/>
  <c r="P40" i="105"/>
  <c r="BF120" i="105" l="1"/>
  <c r="BF62" i="105"/>
  <c r="BA120" i="105"/>
  <c r="BA62" i="105"/>
  <c r="BT120" i="105"/>
  <c r="BT62" i="105"/>
  <c r="AY120" i="105"/>
  <c r="AY62" i="105"/>
  <c r="BD120" i="105"/>
  <c r="BD62" i="105"/>
  <c r="AU120" i="105"/>
  <c r="AU62" i="105"/>
  <c r="BG120" i="105"/>
  <c r="BG62" i="105"/>
  <c r="BC120" i="105"/>
  <c r="BC62" i="105"/>
  <c r="BR120" i="105"/>
  <c r="BR62" i="105"/>
  <c r="BB120" i="105"/>
  <c r="BB62" i="105"/>
  <c r="AX120" i="105"/>
  <c r="AX62" i="105"/>
  <c r="AZ120" i="105"/>
  <c r="AZ62" i="105"/>
  <c r="Q99" i="105"/>
  <c r="J39" i="151"/>
  <c r="BN99" i="105"/>
  <c r="BI22" i="151"/>
  <c r="AL39" i="151"/>
  <c r="AM33" i="72"/>
  <c r="AH39" i="151"/>
  <c r="AI33" i="72"/>
  <c r="AN39" i="151"/>
  <c r="AO33" i="72"/>
  <c r="BS99" i="105"/>
  <c r="BN22" i="151"/>
  <c r="BO39" i="151"/>
  <c r="BP33" i="72"/>
  <c r="CC99" i="105"/>
  <c r="BX22" i="151"/>
  <c r="AK39" i="151"/>
  <c r="AL33" i="72"/>
  <c r="AD39" i="151"/>
  <c r="AE33" i="72"/>
  <c r="BO99" i="105"/>
  <c r="BJ22" i="151"/>
  <c r="AS39" i="151"/>
  <c r="AT33" i="72"/>
  <c r="AI39" i="151"/>
  <c r="AJ33" i="72"/>
  <c r="AM39" i="151"/>
  <c r="AN33" i="72"/>
  <c r="AJ39" i="151"/>
  <c r="AK33" i="72"/>
  <c r="AR39" i="151"/>
  <c r="AS33" i="72"/>
  <c r="AQ39" i="151"/>
  <c r="AR33" i="72"/>
  <c r="BQ99" i="105"/>
  <c r="BL22" i="151"/>
  <c r="AO39" i="151"/>
  <c r="AP33" i="72"/>
  <c r="BP99" i="105"/>
  <c r="BK22" i="151"/>
  <c r="BH39" i="151"/>
  <c r="BI33" i="72"/>
  <c r="BO127" i="104"/>
  <c r="BO61" i="104"/>
  <c r="BO62" i="104" s="1"/>
  <c r="BO66" i="99"/>
  <c r="BE71" i="103"/>
  <c r="BE72" i="103" s="1"/>
  <c r="BE66" i="103"/>
  <c r="BU71" i="103"/>
  <c r="BU72" i="103" s="1"/>
  <c r="BU66" i="103"/>
  <c r="BV71" i="103"/>
  <c r="BV72" i="103" s="1"/>
  <c r="BV66" i="103"/>
  <c r="BY71" i="103"/>
  <c r="BY72" i="103" s="1"/>
  <c r="BY66" i="103"/>
  <c r="BF71" i="103"/>
  <c r="BF72" i="103" s="1"/>
  <c r="BF66" i="103"/>
  <c r="BQ71" i="103"/>
  <c r="BQ72" i="103" s="1"/>
  <c r="BQ66" i="103"/>
  <c r="BS71" i="103"/>
  <c r="BS72" i="103" s="1"/>
  <c r="BS66" i="103"/>
  <c r="BT71" i="103"/>
  <c r="BT72" i="103" s="1"/>
  <c r="BT66" i="103"/>
  <c r="BD71" i="103"/>
  <c r="BD72" i="103" s="1"/>
  <c r="BD66" i="103"/>
  <c r="BE72" i="153"/>
  <c r="BE77" i="153"/>
  <c r="BE142" i="153" s="1"/>
  <c r="BE136" i="153"/>
  <c r="BE137" i="153" s="1"/>
  <c r="K72" i="153"/>
  <c r="K77" i="153"/>
  <c r="K142" i="153" s="1"/>
  <c r="K136" i="153"/>
  <c r="K137" i="153" s="1"/>
  <c r="N131" i="153"/>
  <c r="P131" i="153" s="1"/>
  <c r="P130" i="153"/>
  <c r="AZ77" i="153"/>
  <c r="AZ142" i="153" s="1"/>
  <c r="AZ136" i="153"/>
  <c r="AZ137" i="153" s="1"/>
  <c r="AZ72" i="153"/>
  <c r="P71" i="153"/>
  <c r="N77" i="153"/>
  <c r="N72" i="153"/>
  <c r="P72" i="153" s="1"/>
  <c r="N136" i="153"/>
  <c r="L71" i="153"/>
  <c r="L66" i="153"/>
  <c r="L130" i="153"/>
  <c r="L131" i="153" s="1"/>
  <c r="BH77" i="153"/>
  <c r="BH142" i="153" s="1"/>
  <c r="BH72" i="153"/>
  <c r="BH136" i="153"/>
  <c r="BH137" i="153" s="1"/>
  <c r="M66" i="153"/>
  <c r="M71" i="153"/>
  <c r="M130" i="153"/>
  <c r="M131" i="153" s="1"/>
  <c r="BG77" i="153"/>
  <c r="BG142" i="153" s="1"/>
  <c r="BG72" i="153"/>
  <c r="BG136" i="153"/>
  <c r="BG137" i="153" s="1"/>
  <c r="BD77" i="153"/>
  <c r="BD142" i="153" s="1"/>
  <c r="BD72" i="153"/>
  <c r="BD136" i="153"/>
  <c r="BD137" i="153" s="1"/>
  <c r="AY72" i="153"/>
  <c r="AY77" i="153"/>
  <c r="AY142" i="153" s="1"/>
  <c r="AY136" i="153"/>
  <c r="AY137" i="153" s="1"/>
  <c r="AX72" i="153"/>
  <c r="AX136" i="153"/>
  <c r="AX137" i="153" s="1"/>
  <c r="AX77" i="153"/>
  <c r="AX142" i="153" s="1"/>
  <c r="BI72" i="153"/>
  <c r="BI77" i="153"/>
  <c r="BI142" i="153" s="1"/>
  <c r="BI136" i="153"/>
  <c r="BI137" i="153" s="1"/>
  <c r="BC72" i="153"/>
  <c r="BC77" i="153"/>
  <c r="BC142" i="153" s="1"/>
  <c r="BC136" i="153"/>
  <c r="BC137" i="153" s="1"/>
  <c r="V137" i="99"/>
  <c r="N131" i="155"/>
  <c r="P131" i="155" s="1"/>
  <c r="P130" i="155"/>
  <c r="BB72" i="153"/>
  <c r="BB77" i="153"/>
  <c r="BB142" i="153" s="1"/>
  <c r="BB136" i="153"/>
  <c r="BB137" i="153" s="1"/>
  <c r="BA72" i="153"/>
  <c r="BA77" i="153"/>
  <c r="BA142" i="153" s="1"/>
  <c r="BA136" i="153"/>
  <c r="BA137" i="153" s="1"/>
  <c r="BF72" i="153"/>
  <c r="BF77" i="153"/>
  <c r="BF142" i="153" s="1"/>
  <c r="BF136" i="153"/>
  <c r="BF137" i="153" s="1"/>
  <c r="P71" i="155"/>
  <c r="N136" i="155"/>
  <c r="N77" i="155"/>
  <c r="N72" i="155"/>
  <c r="P72" i="155" s="1"/>
  <c r="AK77" i="99"/>
  <c r="AK136" i="99"/>
  <c r="AI77" i="99"/>
  <c r="AI136" i="99"/>
  <c r="AB137" i="99"/>
  <c r="AJ77" i="99"/>
  <c r="AJ136" i="99"/>
  <c r="BO77" i="99"/>
  <c r="BO136" i="99"/>
  <c r="AA137" i="99"/>
  <c r="AQ77" i="99"/>
  <c r="AQ136" i="99"/>
  <c r="AH77" i="99"/>
  <c r="AH136" i="99"/>
  <c r="X137" i="99"/>
  <c r="AS77" i="99"/>
  <c r="AS136" i="99"/>
  <c r="Z137" i="99"/>
  <c r="AM77" i="99"/>
  <c r="AM136" i="99"/>
  <c r="AF137" i="99"/>
  <c r="Y137" i="99"/>
  <c r="AR77" i="99"/>
  <c r="AR136" i="99"/>
  <c r="AD137" i="99"/>
  <c r="AN77" i="99"/>
  <c r="AN136" i="99"/>
  <c r="AC137" i="99"/>
  <c r="W137" i="99"/>
  <c r="AP77" i="99"/>
  <c r="AP136" i="99"/>
  <c r="AL77" i="99"/>
  <c r="AL136" i="99"/>
  <c r="AO77" i="99"/>
  <c r="AO136" i="99"/>
  <c r="AE137" i="99"/>
  <c r="AG137" i="99"/>
  <c r="AT71" i="99"/>
  <c r="AT72" i="99" s="1"/>
  <c r="AT66" i="99"/>
  <c r="J77" i="99"/>
  <c r="J72" i="99"/>
  <c r="AV71" i="99"/>
  <c r="AV72" i="99" s="1"/>
  <c r="AV66" i="99"/>
  <c r="BM71" i="99"/>
  <c r="BM72" i="99" s="1"/>
  <c r="BM66" i="99"/>
  <c r="AX71" i="99"/>
  <c r="AX72" i="99" s="1"/>
  <c r="AX66" i="99"/>
  <c r="BL71" i="99"/>
  <c r="BL72" i="99" s="1"/>
  <c r="BL66" i="99"/>
  <c r="BN71" i="99"/>
  <c r="BN72" i="99" s="1"/>
  <c r="BN66" i="99"/>
  <c r="AW71" i="99"/>
  <c r="AW72" i="99" s="1"/>
  <c r="AW66" i="99"/>
  <c r="AZ71" i="99"/>
  <c r="AZ72" i="99" s="1"/>
  <c r="AZ66" i="99"/>
  <c r="BA71" i="99"/>
  <c r="BA72" i="99" s="1"/>
  <c r="BA66" i="99"/>
  <c r="BC71" i="99"/>
  <c r="BC72" i="99" s="1"/>
  <c r="BC66" i="99"/>
  <c r="AU71" i="99"/>
  <c r="AU72" i="99" s="1"/>
  <c r="AU66" i="99"/>
  <c r="BI71" i="99"/>
  <c r="BI72" i="99" s="1"/>
  <c r="BI66" i="99"/>
  <c r="AY71" i="99"/>
  <c r="AY72" i="99" s="1"/>
  <c r="AY66" i="99"/>
  <c r="BK71" i="99"/>
  <c r="BK72" i="99" s="1"/>
  <c r="BK66" i="99"/>
  <c r="BJ71" i="99"/>
  <c r="BJ72" i="99" s="1"/>
  <c r="BJ66" i="99"/>
  <c r="BB71" i="99"/>
  <c r="BB72" i="99" s="1"/>
  <c r="BB66" i="99"/>
  <c r="AD123" i="105"/>
  <c r="AJ123" i="105"/>
  <c r="AI123" i="105"/>
  <c r="AA123" i="105"/>
  <c r="AL123" i="105"/>
  <c r="AK123" i="105"/>
  <c r="AC123" i="105"/>
  <c r="AB123" i="105"/>
  <c r="AF123" i="105"/>
  <c r="AG123" i="105"/>
  <c r="AE123" i="105"/>
  <c r="O62" i="105"/>
  <c r="O120" i="105"/>
  <c r="AH123" i="105"/>
  <c r="BM61" i="104"/>
  <c r="BM62" i="104" s="1"/>
  <c r="BM174" i="104" a="1"/>
  <c r="BM174" i="104" s="1"/>
  <c r="BM75" i="104" s="1"/>
  <c r="BR75" i="105" s="1"/>
  <c r="BS54" i="105"/>
  <c r="BS113" i="105" s="1"/>
  <c r="BS40" i="105"/>
  <c r="R89" i="105"/>
  <c r="BE61" i="105"/>
  <c r="R126" i="105"/>
  <c r="U102" i="105"/>
  <c r="S84" i="105"/>
  <c r="U84" i="105" s="1"/>
  <c r="S92" i="105"/>
  <c r="U92" i="105" s="1"/>
  <c r="U88" i="105"/>
  <c r="U111" i="105"/>
  <c r="U108" i="105"/>
  <c r="U104" i="105"/>
  <c r="U130" i="105"/>
  <c r="U93" i="105"/>
  <c r="U109" i="105"/>
  <c r="U110" i="105"/>
  <c r="U117" i="105"/>
  <c r="U116" i="105"/>
  <c r="U94" i="105"/>
  <c r="U118" i="105"/>
  <c r="U96" i="105"/>
  <c r="BG113" i="105"/>
  <c r="BK37" i="105"/>
  <c r="S81" i="105"/>
  <c r="U81" i="105" s="1"/>
  <c r="BC113" i="105"/>
  <c r="Q113" i="105" s="1"/>
  <c r="BR113" i="105"/>
  <c r="AT127" i="104"/>
  <c r="AT174" i="104" a="1"/>
  <c r="AT174" i="104" s="1"/>
  <c r="AT75" i="104" s="1"/>
  <c r="AY75" i="105" s="1"/>
  <c r="AZ127" i="104"/>
  <c r="AZ174" i="104" a="1"/>
  <c r="AZ174" i="104" s="1"/>
  <c r="AZ75" i="104" s="1"/>
  <c r="BE75" i="105" s="1"/>
  <c r="BC127" i="104"/>
  <c r="BC174" i="104" a="1"/>
  <c r="BC174" i="104" s="1"/>
  <c r="BC75" i="104" s="1"/>
  <c r="BH75" i="105" s="1"/>
  <c r="AY127" i="104"/>
  <c r="AY174" i="104" a="1"/>
  <c r="AY174" i="104" s="1"/>
  <c r="AY75" i="104" s="1"/>
  <c r="BD75" i="105" s="1"/>
  <c r="K75" i="104"/>
  <c r="P75" i="105" s="1"/>
  <c r="K39" i="151" s="1"/>
  <c r="AX127" i="104"/>
  <c r="AX174" i="104" a="1"/>
  <c r="AX174" i="104" s="1"/>
  <c r="AX75" i="104" s="1"/>
  <c r="BC75" i="105" s="1"/>
  <c r="AV127" i="104"/>
  <c r="AV174" i="104" a="1"/>
  <c r="AV174" i="104" s="1"/>
  <c r="AV75" i="104" s="1"/>
  <c r="BA75" i="105" s="1"/>
  <c r="AU75" i="105"/>
  <c r="AU127" i="104"/>
  <c r="AU174" i="104" a="1"/>
  <c r="AU174" i="104" s="1"/>
  <c r="AU75" i="104" s="1"/>
  <c r="AZ75" i="105" s="1"/>
  <c r="BB127" i="104"/>
  <c r="BB174" i="104" a="1"/>
  <c r="BB174" i="104" s="1"/>
  <c r="BB75" i="104" s="1"/>
  <c r="BA127" i="104"/>
  <c r="BA174" i="104" a="1"/>
  <c r="BA174" i="104" s="1"/>
  <c r="BA75" i="104" s="1"/>
  <c r="BF75" i="105" s="1"/>
  <c r="AW127" i="104"/>
  <c r="AW174" i="104" a="1"/>
  <c r="AW174" i="104" s="1"/>
  <c r="AW75" i="104" s="1"/>
  <c r="BB75" i="105" s="1"/>
  <c r="P69" i="104"/>
  <c r="S69" i="105"/>
  <c r="N34" i="151" s="1"/>
  <c r="P68" i="104"/>
  <c r="S68" i="105"/>
  <c r="N33" i="151" s="1"/>
  <c r="Z71" i="105"/>
  <c r="U65" i="104"/>
  <c r="U66" i="104" s="1"/>
  <c r="BV28" i="105"/>
  <c r="X71" i="105"/>
  <c r="X77" i="105" s="1"/>
  <c r="X133" i="105" s="1"/>
  <c r="S65" i="104"/>
  <c r="S66" i="104" s="1"/>
  <c r="Y71" i="105"/>
  <c r="T65" i="104"/>
  <c r="T66" i="104" s="1"/>
  <c r="K62" i="103"/>
  <c r="K65" i="103"/>
  <c r="K66" i="103" s="1"/>
  <c r="AD65" i="104"/>
  <c r="Y125" i="105"/>
  <c r="L62" i="103"/>
  <c r="L65" i="103"/>
  <c r="L66" i="103" s="1"/>
  <c r="Z125" i="105"/>
  <c r="J71" i="103"/>
  <c r="J72" i="103" s="1"/>
  <c r="R71" i="104"/>
  <c r="R72" i="104" s="1"/>
  <c r="L66" i="99"/>
  <c r="L71" i="99"/>
  <c r="K66" i="99"/>
  <c r="K71" i="99"/>
  <c r="BZ37" i="105"/>
  <c r="Q40" i="105"/>
  <c r="BV37" i="105"/>
  <c r="CA37" i="105"/>
  <c r="Q54" i="105"/>
  <c r="BV39" i="105"/>
  <c r="BU27" i="105"/>
  <c r="BU89" i="105" s="1"/>
  <c r="BL28" i="105"/>
  <c r="BX28" i="105"/>
  <c r="BW27" i="105"/>
  <c r="BW89" i="105" s="1"/>
  <c r="R36" i="105"/>
  <c r="CB27" i="105"/>
  <c r="CB89" i="105" s="1"/>
  <c r="CB87" i="105"/>
  <c r="S87" i="105" s="1"/>
  <c r="CD28" i="105"/>
  <c r="CD89" i="105"/>
  <c r="Z131" i="105"/>
  <c r="BH61" i="105"/>
  <c r="BH113" i="105"/>
  <c r="BW36" i="105"/>
  <c r="BW97" i="105" s="1"/>
  <c r="BW95" i="105"/>
  <c r="S95" i="105" s="1"/>
  <c r="CD54" i="105"/>
  <c r="CD99" i="105"/>
  <c r="X131" i="105"/>
  <c r="BL39" i="105"/>
  <c r="BL97" i="105"/>
  <c r="R97" i="105" s="1"/>
  <c r="BW126" i="105"/>
  <c r="CC28" i="105"/>
  <c r="CC89" i="105"/>
  <c r="CB126" i="105"/>
  <c r="Y131" i="105"/>
  <c r="BX39" i="105"/>
  <c r="BX97" i="105"/>
  <c r="R46" i="72"/>
  <c r="R44" i="72" s="1"/>
  <c r="R49" i="72" s="1"/>
  <c r="S35" i="72" s="1"/>
  <c r="S41" i="72" s="1"/>
  <c r="S42" i="72" s="1"/>
  <c r="BR65" i="105"/>
  <c r="BR66" i="105" s="1"/>
  <c r="AX65" i="105"/>
  <c r="AX66" i="105" s="1"/>
  <c r="AQ65" i="105"/>
  <c r="AQ66" i="105" s="1"/>
  <c r="AW65" i="105"/>
  <c r="AW66" i="105" s="1"/>
  <c r="AP65" i="105"/>
  <c r="AP66" i="105" s="1"/>
  <c r="BT65" i="105"/>
  <c r="BT66" i="105" s="1"/>
  <c r="AO65" i="105"/>
  <c r="AO66" i="105" s="1"/>
  <c r="AU65" i="105"/>
  <c r="AU66" i="105" s="1"/>
  <c r="AT65" i="105"/>
  <c r="AT66" i="105" s="1"/>
  <c r="AM65" i="105"/>
  <c r="AM66" i="105" s="1"/>
  <c r="BM65" i="105"/>
  <c r="BM66" i="105" s="1"/>
  <c r="AS65" i="105"/>
  <c r="AS66" i="105" s="1"/>
  <c r="AR65" i="105"/>
  <c r="AR66" i="105" s="1"/>
  <c r="AN65" i="105"/>
  <c r="AN66" i="105" s="1"/>
  <c r="AV65" i="105"/>
  <c r="AV66" i="105" s="1"/>
  <c r="S25" i="105"/>
  <c r="U22" i="105"/>
  <c r="N37" i="99"/>
  <c r="P37" i="99" s="1"/>
  <c r="P36" i="99"/>
  <c r="N101" i="99"/>
  <c r="N102" i="99" s="1"/>
  <c r="P102" i="99" s="1"/>
  <c r="N101" i="104"/>
  <c r="P101" i="104" s="1"/>
  <c r="S34" i="105"/>
  <c r="U19" i="105"/>
  <c r="U31" i="105"/>
  <c r="P101" i="103"/>
  <c r="N28" i="99"/>
  <c r="P28" i="99" s="1"/>
  <c r="N92" i="99"/>
  <c r="P92" i="99" s="1"/>
  <c r="P92" i="103"/>
  <c r="N92" i="104"/>
  <c r="N93" i="104" s="1"/>
  <c r="P93" i="104" s="1"/>
  <c r="P27" i="99"/>
  <c r="BD119" i="103"/>
  <c r="BD119" i="104"/>
  <c r="BD54" i="104" s="1"/>
  <c r="BD61" i="99"/>
  <c r="BD65" i="99" s="1"/>
  <c r="BD119" i="99"/>
  <c r="BF119" i="104"/>
  <c r="BF54" i="104" s="1"/>
  <c r="BF119" i="99"/>
  <c r="BF61" i="99"/>
  <c r="BF65" i="99" s="1"/>
  <c r="BF119" i="103"/>
  <c r="BE119" i="103"/>
  <c r="BE119" i="104"/>
  <c r="BE54" i="104" s="1"/>
  <c r="BE119" i="99"/>
  <c r="BE61" i="99"/>
  <c r="BE65" i="99" s="1"/>
  <c r="BR102" i="104"/>
  <c r="BR36" i="104"/>
  <c r="BR37" i="104" s="1"/>
  <c r="BW104" i="103"/>
  <c r="BW105" i="103" s="1"/>
  <c r="BW104" i="104"/>
  <c r="BW104" i="99"/>
  <c r="BW105" i="99" s="1"/>
  <c r="BW54" i="99"/>
  <c r="BW40" i="99"/>
  <c r="BE105" i="104"/>
  <c r="BE39" i="104"/>
  <c r="BE40" i="104" s="1"/>
  <c r="BW93" i="104"/>
  <c r="BW27" i="104"/>
  <c r="BW28" i="104" s="1"/>
  <c r="BJ37" i="105"/>
  <c r="BD62" i="103"/>
  <c r="CB36" i="105"/>
  <c r="CB97" i="105" s="1"/>
  <c r="BN126" i="103"/>
  <c r="BN127" i="103" s="1"/>
  <c r="BN126" i="99"/>
  <c r="BN127" i="99" s="1"/>
  <c r="BN126" i="104"/>
  <c r="BN174" i="104" s="1" a="1"/>
  <c r="BN174" i="104" s="1"/>
  <c r="BN75" i="104" s="1"/>
  <c r="BN62" i="99"/>
  <c r="BP54" i="103"/>
  <c r="BP61" i="103" s="1"/>
  <c r="BP65" i="103" s="1"/>
  <c r="BP40" i="103"/>
  <c r="BW102" i="104"/>
  <c r="BW36" i="104"/>
  <c r="BW37" i="104" s="1"/>
  <c r="BP102" i="104"/>
  <c r="BP36" i="104"/>
  <c r="BP37" i="104" s="1"/>
  <c r="BR93" i="104"/>
  <c r="BR27" i="104"/>
  <c r="BR28" i="104" s="1"/>
  <c r="BN40" i="105"/>
  <c r="BN54" i="105"/>
  <c r="BN113" i="105" s="1"/>
  <c r="BI37" i="105"/>
  <c r="BR54" i="99"/>
  <c r="BR40" i="99"/>
  <c r="BR104" i="99"/>
  <c r="BR105" i="99" s="1"/>
  <c r="BR104" i="103"/>
  <c r="BR105" i="103" s="1"/>
  <c r="BR104" i="104"/>
  <c r="BI28" i="105"/>
  <c r="BI39" i="105"/>
  <c r="BP93" i="104"/>
  <c r="BP27" i="104"/>
  <c r="BP28" i="104" s="1"/>
  <c r="BJ28" i="105"/>
  <c r="BJ39" i="105"/>
  <c r="BU36" i="105"/>
  <c r="BI126" i="103"/>
  <c r="BI127" i="103" s="1"/>
  <c r="BI62" i="99"/>
  <c r="BI126" i="99"/>
  <c r="BI127" i="99" s="1"/>
  <c r="BI126" i="104"/>
  <c r="BI174" i="104" s="1" a="1"/>
  <c r="BI174" i="104" s="1"/>
  <c r="BI75" i="104" s="1"/>
  <c r="BN75" i="105" s="1"/>
  <c r="BP104" i="99"/>
  <c r="BP105" i="99" s="1"/>
  <c r="BP54" i="99"/>
  <c r="BP40" i="99"/>
  <c r="BP104" i="104"/>
  <c r="BP104" i="103"/>
  <c r="BP105" i="103" s="1"/>
  <c r="BL37" i="105"/>
  <c r="BE62" i="103"/>
  <c r="BR40" i="103"/>
  <c r="BR54" i="103"/>
  <c r="BR61" i="103" s="1"/>
  <c r="BR65" i="103" s="1"/>
  <c r="BF62" i="103"/>
  <c r="BW40" i="103"/>
  <c r="BW54" i="103"/>
  <c r="BW61" i="103" s="1"/>
  <c r="BW65" i="103" s="1"/>
  <c r="N39" i="99"/>
  <c r="N104" i="103" s="1"/>
  <c r="P104" i="103" s="1"/>
  <c r="BD105" i="104"/>
  <c r="BD39" i="104"/>
  <c r="BD40" i="104" s="1"/>
  <c r="BF105" i="104"/>
  <c r="BF39" i="104"/>
  <c r="BF40" i="104" s="1"/>
  <c r="BK28" i="105"/>
  <c r="BK39" i="105"/>
  <c r="BU119" i="104"/>
  <c r="BU54" i="104" s="1"/>
  <c r="BU119" i="103"/>
  <c r="BU61" i="99"/>
  <c r="BU65" i="99" s="1"/>
  <c r="BU119" i="99"/>
  <c r="BT119" i="103"/>
  <c r="BT119" i="99"/>
  <c r="BT61" i="99"/>
  <c r="BT65" i="99" s="1"/>
  <c r="BT119" i="104"/>
  <c r="BT54" i="104" s="1"/>
  <c r="BP54" i="105"/>
  <c r="BP113" i="105" s="1"/>
  <c r="BP40" i="105"/>
  <c r="BT39" i="104"/>
  <c r="BT40" i="104" s="1"/>
  <c r="BT105" i="104"/>
  <c r="BU105" i="104"/>
  <c r="BU39" i="104"/>
  <c r="BU40" i="104" s="1"/>
  <c r="BU62" i="103"/>
  <c r="BT62" i="103"/>
  <c r="BY28" i="105"/>
  <c r="BY39" i="105"/>
  <c r="CA28" i="105"/>
  <c r="CA39" i="105"/>
  <c r="BK126" i="103"/>
  <c r="BK127" i="103" s="1"/>
  <c r="BK126" i="104"/>
  <c r="BK174" i="104" s="1" a="1"/>
  <c r="BK174" i="104" s="1"/>
  <c r="BK75" i="104" s="1"/>
  <c r="BP75" i="105" s="1"/>
  <c r="BK62" i="99"/>
  <c r="BK126" i="99"/>
  <c r="BK127" i="99" s="1"/>
  <c r="BV119" i="99"/>
  <c r="BV61" i="99"/>
  <c r="BV65" i="99" s="1"/>
  <c r="BV119" i="103"/>
  <c r="BV119" i="104"/>
  <c r="BV54" i="104" s="1"/>
  <c r="BJ126" i="103"/>
  <c r="BJ127" i="103" s="1"/>
  <c r="BJ62" i="99"/>
  <c r="BJ126" i="104"/>
  <c r="BJ174" i="104" s="1" a="1"/>
  <c r="BJ174" i="104" s="1"/>
  <c r="BJ75" i="104" s="1"/>
  <c r="BO75" i="105" s="1"/>
  <c r="BJ126" i="99"/>
  <c r="BJ127" i="99" s="1"/>
  <c r="BS105" i="104"/>
  <c r="BS39" i="104"/>
  <c r="BS40" i="104" s="1"/>
  <c r="BV105" i="104"/>
  <c r="BV39" i="104"/>
  <c r="BV40" i="104" s="1"/>
  <c r="BO54" i="105"/>
  <c r="BO113" i="105" s="1"/>
  <c r="BO40" i="105"/>
  <c r="BZ28" i="105"/>
  <c r="BZ39" i="105"/>
  <c r="BS61" i="99"/>
  <c r="BS65" i="99" s="1"/>
  <c r="BS119" i="99"/>
  <c r="BS119" i="103"/>
  <c r="BS119" i="104"/>
  <c r="BS54" i="104" s="1"/>
  <c r="BX37" i="105"/>
  <c r="BL126" i="103"/>
  <c r="BL127" i="103" s="1"/>
  <c r="BL62" i="99"/>
  <c r="BL126" i="99"/>
  <c r="BL127" i="99" s="1"/>
  <c r="BL126" i="104"/>
  <c r="BL174" i="104" s="1" a="1"/>
  <c r="BL174" i="104" s="1"/>
  <c r="BL75" i="104" s="1"/>
  <c r="BQ75" i="105" s="1"/>
  <c r="BQ40" i="105"/>
  <c r="BQ54" i="105"/>
  <c r="BQ113" i="105" s="1"/>
  <c r="BY37" i="105"/>
  <c r="BS62" i="103"/>
  <c r="BV62" i="103"/>
  <c r="BG105" i="104"/>
  <c r="BG39" i="104"/>
  <c r="BG28" i="104"/>
  <c r="M27" i="104"/>
  <c r="M28" i="104" s="1"/>
  <c r="R27" i="105"/>
  <c r="BG54" i="103"/>
  <c r="BG40" i="103"/>
  <c r="M39" i="103"/>
  <c r="M40" i="103" s="1"/>
  <c r="M104" i="103"/>
  <c r="M105" i="103" s="1"/>
  <c r="M104" i="104"/>
  <c r="M105" i="104" s="1"/>
  <c r="M40" i="99"/>
  <c r="M104" i="99"/>
  <c r="M105" i="99" s="1"/>
  <c r="BG37" i="104"/>
  <c r="M36" i="104"/>
  <c r="M37" i="104" s="1"/>
  <c r="BG119" i="99"/>
  <c r="BG119" i="103"/>
  <c r="BG61" i="99"/>
  <c r="BG65" i="99" s="1"/>
  <c r="BG119" i="104"/>
  <c r="BG54" i="104" s="1"/>
  <c r="M54" i="99"/>
  <c r="BQ105" i="104"/>
  <c r="BQ39" i="104"/>
  <c r="BQ40" i="104" s="1"/>
  <c r="BQ61" i="99"/>
  <c r="BQ65" i="99" s="1"/>
  <c r="BQ119" i="99"/>
  <c r="BQ119" i="104"/>
  <c r="BQ54" i="104" s="1"/>
  <c r="BQ119" i="103"/>
  <c r="BQ62" i="103"/>
  <c r="CD40" i="105"/>
  <c r="J136" i="103"/>
  <c r="CC54" i="105"/>
  <c r="CC40" i="105"/>
  <c r="AF136" i="103"/>
  <c r="AF137" i="103" s="1"/>
  <c r="AF136" i="104"/>
  <c r="AF137" i="104" s="1"/>
  <c r="AC136" i="104"/>
  <c r="AC137" i="104" s="1"/>
  <c r="AC136" i="103"/>
  <c r="AC137" i="103" s="1"/>
  <c r="X136" i="103"/>
  <c r="X137" i="103" s="1"/>
  <c r="X136" i="104"/>
  <c r="X137" i="104" s="1"/>
  <c r="AO130" i="103"/>
  <c r="AO131" i="103" s="1"/>
  <c r="AO130" i="104"/>
  <c r="AO131" i="104" s="1"/>
  <c r="AK130" i="103"/>
  <c r="AK131" i="103" s="1"/>
  <c r="AK130" i="104"/>
  <c r="AK131" i="104" s="1"/>
  <c r="W136" i="103"/>
  <c r="W137" i="103" s="1"/>
  <c r="W136" i="104"/>
  <c r="W137" i="104" s="1"/>
  <c r="Y136" i="104"/>
  <c r="Y137" i="104" s="1"/>
  <c r="Y136" i="103"/>
  <c r="Y137" i="103" s="1"/>
  <c r="AP130" i="103"/>
  <c r="AP131" i="103" s="1"/>
  <c r="AP130" i="104"/>
  <c r="AP131" i="104" s="1"/>
  <c r="AS130" i="103"/>
  <c r="AS131" i="103" s="1"/>
  <c r="AS130" i="104"/>
  <c r="AS131" i="104" s="1"/>
  <c r="AB136" i="104"/>
  <c r="AB137" i="104" s="1"/>
  <c r="AB136" i="103"/>
  <c r="AB137" i="103" s="1"/>
  <c r="AH130" i="103"/>
  <c r="AH131" i="103" s="1"/>
  <c r="AH130" i="104"/>
  <c r="AH131" i="104" s="1"/>
  <c r="V136" i="103"/>
  <c r="V137" i="103" s="1"/>
  <c r="V136" i="104"/>
  <c r="V137" i="104" s="1"/>
  <c r="U142" i="103"/>
  <c r="U142" i="104"/>
  <c r="L126" i="99"/>
  <c r="L127" i="99" s="1"/>
  <c r="L126" i="103"/>
  <c r="L127" i="103" s="1"/>
  <c r="BH130" i="103"/>
  <c r="BH131" i="103" s="1"/>
  <c r="BH130" i="104"/>
  <c r="BH131" i="104" s="1"/>
  <c r="AN130" i="103"/>
  <c r="AN131" i="103" s="1"/>
  <c r="AN130" i="104"/>
  <c r="AN131" i="104" s="1"/>
  <c r="AD136" i="103"/>
  <c r="AD137" i="103" s="1"/>
  <c r="AD136" i="104"/>
  <c r="AD137" i="104" s="1"/>
  <c r="AA136" i="103"/>
  <c r="AA137" i="103" s="1"/>
  <c r="AA136" i="104"/>
  <c r="AA137" i="104" s="1"/>
  <c r="AI130" i="103"/>
  <c r="AI131" i="103" s="1"/>
  <c r="AI130" i="104"/>
  <c r="AI131" i="104" s="1"/>
  <c r="AR130" i="104"/>
  <c r="AR131" i="104" s="1"/>
  <c r="AR130" i="103"/>
  <c r="AR131" i="103" s="1"/>
  <c r="J130" i="104"/>
  <c r="J131" i="104" s="1"/>
  <c r="J130" i="103"/>
  <c r="J131" i="103" s="1"/>
  <c r="T142" i="103"/>
  <c r="T142" i="104"/>
  <c r="AQ130" i="103"/>
  <c r="AQ131" i="103" s="1"/>
  <c r="AQ130" i="104"/>
  <c r="AQ131" i="104" s="1"/>
  <c r="BO130" i="103"/>
  <c r="BO131" i="103" s="1"/>
  <c r="BO130" i="104"/>
  <c r="BO131" i="104" s="1"/>
  <c r="BM130" i="103"/>
  <c r="BM131" i="103" s="1"/>
  <c r="BM130" i="104"/>
  <c r="BM131" i="104" s="1"/>
  <c r="AM130" i="104"/>
  <c r="AM131" i="104" s="1"/>
  <c r="AM130" i="103"/>
  <c r="AM131" i="103" s="1"/>
  <c r="AL130" i="104"/>
  <c r="AL131" i="104" s="1"/>
  <c r="AL130" i="103"/>
  <c r="AL131" i="103" s="1"/>
  <c r="Z136" i="103"/>
  <c r="Z137" i="103" s="1"/>
  <c r="Z136" i="104"/>
  <c r="Z137" i="104" s="1"/>
  <c r="R142" i="103"/>
  <c r="R142" i="104"/>
  <c r="AG136" i="103"/>
  <c r="AG137" i="103" s="1"/>
  <c r="AG136" i="104"/>
  <c r="AG137" i="104" s="1"/>
  <c r="AJ130" i="103"/>
  <c r="AJ131" i="103" s="1"/>
  <c r="AJ130" i="104"/>
  <c r="AJ131" i="104" s="1"/>
  <c r="S142" i="103"/>
  <c r="S142" i="104"/>
  <c r="AE136" i="104"/>
  <c r="AE137" i="104" s="1"/>
  <c r="AE136" i="103"/>
  <c r="AE137" i="103" s="1"/>
  <c r="L62" i="99"/>
  <c r="BX119" i="104"/>
  <c r="BX54" i="104" s="1"/>
  <c r="BY119" i="104"/>
  <c r="BY54" i="104" s="1"/>
  <c r="L126" i="104"/>
  <c r="L127" i="104" s="1"/>
  <c r="J62" i="104"/>
  <c r="BY62" i="103"/>
  <c r="AT61" i="104"/>
  <c r="AT62" i="104" s="1"/>
  <c r="BX61" i="99"/>
  <c r="BX119" i="99"/>
  <c r="BX39" i="104"/>
  <c r="AZ61" i="104"/>
  <c r="AZ62" i="104" s="1"/>
  <c r="AM130" i="99"/>
  <c r="AM131" i="99" s="1"/>
  <c r="BX28" i="104"/>
  <c r="BH130" i="99"/>
  <c r="BH131" i="99" s="1"/>
  <c r="AP130" i="99"/>
  <c r="AP131" i="99" s="1"/>
  <c r="BO130" i="99"/>
  <c r="BO131" i="99" s="1"/>
  <c r="AS130" i="99"/>
  <c r="AS131" i="99" s="1"/>
  <c r="BA61" i="104"/>
  <c r="BA62" i="104" s="1"/>
  <c r="AX61" i="104"/>
  <c r="AX62" i="104" s="1"/>
  <c r="AY61" i="104"/>
  <c r="AY62" i="104" s="1"/>
  <c r="AW61" i="104"/>
  <c r="AW62" i="104" s="1"/>
  <c r="BB61" i="104"/>
  <c r="BB62" i="104" s="1"/>
  <c r="AH130" i="99"/>
  <c r="AH131" i="99" s="1"/>
  <c r="BM130" i="99"/>
  <c r="BM131" i="99" s="1"/>
  <c r="AU61" i="104"/>
  <c r="AU62" i="104" s="1"/>
  <c r="AI130" i="99"/>
  <c r="AI131" i="99" s="1"/>
  <c r="U142" i="99"/>
  <c r="AV61" i="104"/>
  <c r="AV62" i="104" s="1"/>
  <c r="AO130" i="99"/>
  <c r="AO131" i="99" s="1"/>
  <c r="AJ130" i="99"/>
  <c r="AJ131" i="99" s="1"/>
  <c r="AN130" i="99"/>
  <c r="AN131" i="99" s="1"/>
  <c r="AR130" i="99"/>
  <c r="AR131" i="99" s="1"/>
  <c r="S142" i="99"/>
  <c r="BY39" i="104"/>
  <c r="BY40" i="104" s="1"/>
  <c r="BC61" i="104"/>
  <c r="BC62" i="104" s="1"/>
  <c r="T142" i="99"/>
  <c r="AQ130" i="99"/>
  <c r="AQ131" i="99" s="1"/>
  <c r="R142" i="99"/>
  <c r="P27" i="103"/>
  <c r="N28" i="103"/>
  <c r="P28" i="103" s="1"/>
  <c r="BY61" i="99"/>
  <c r="BY119" i="99"/>
  <c r="AK130" i="99"/>
  <c r="AK131" i="99" s="1"/>
  <c r="BX54" i="103"/>
  <c r="BX40" i="103"/>
  <c r="N39" i="103"/>
  <c r="AL130" i="99"/>
  <c r="AL131" i="99" s="1"/>
  <c r="K127" i="99"/>
  <c r="K61" i="104"/>
  <c r="P61" i="105"/>
  <c r="P120" i="105" s="1"/>
  <c r="BE120" i="105" l="1"/>
  <c r="BE62" i="105"/>
  <c r="BH120" i="105"/>
  <c r="BH62" i="105"/>
  <c r="BT123" i="105"/>
  <c r="AU39" i="151"/>
  <c r="AV33" i="72"/>
  <c r="BI39" i="151"/>
  <c r="BJ33" i="72"/>
  <c r="BX99" i="105"/>
  <c r="BS22" i="151"/>
  <c r="AP39" i="151"/>
  <c r="AQ33" i="72"/>
  <c r="BK39" i="151"/>
  <c r="BL33" i="72"/>
  <c r="BV99" i="105"/>
  <c r="BQ22" i="151"/>
  <c r="BZ99" i="105"/>
  <c r="BU22" i="151"/>
  <c r="BY99" i="105"/>
  <c r="BT22" i="151"/>
  <c r="AY39" i="151"/>
  <c r="AZ33" i="72"/>
  <c r="BL99" i="105"/>
  <c r="BG22" i="151"/>
  <c r="BI99" i="105"/>
  <c r="BD22" i="151"/>
  <c r="BC39" i="151"/>
  <c r="BD33" i="72"/>
  <c r="AX39" i="151"/>
  <c r="AY33" i="72"/>
  <c r="BK99" i="105"/>
  <c r="BF22" i="151"/>
  <c r="BL39" i="151"/>
  <c r="BM33" i="72"/>
  <c r="BJ99" i="105"/>
  <c r="BE22" i="151"/>
  <c r="AW39" i="151"/>
  <c r="AX33" i="72"/>
  <c r="AT39" i="151"/>
  <c r="AU33" i="72"/>
  <c r="BJ39" i="151"/>
  <c r="BK33" i="72"/>
  <c r="BM39" i="151"/>
  <c r="BN33" i="72"/>
  <c r="AV39" i="151"/>
  <c r="AW33" i="72"/>
  <c r="AZ39" i="151"/>
  <c r="BA33" i="72"/>
  <c r="BA39" i="151"/>
  <c r="BB33" i="72"/>
  <c r="CA99" i="105"/>
  <c r="BV22" i="151"/>
  <c r="AD71" i="104"/>
  <c r="AD72" i="104" s="1"/>
  <c r="AD66" i="104"/>
  <c r="BP71" i="103"/>
  <c r="BP72" i="103" s="1"/>
  <c r="BP66" i="103"/>
  <c r="J137" i="103"/>
  <c r="BW71" i="103"/>
  <c r="BW72" i="103" s="1"/>
  <c r="BW66" i="103"/>
  <c r="BR71" i="103"/>
  <c r="BR72" i="103" s="1"/>
  <c r="BR66" i="103"/>
  <c r="P77" i="155"/>
  <c r="N142" i="155"/>
  <c r="P142" i="155" s="1"/>
  <c r="P136" i="155"/>
  <c r="N137" i="155"/>
  <c r="P137" i="155" s="1"/>
  <c r="L77" i="153"/>
  <c r="L142" i="153" s="1"/>
  <c r="L72" i="153"/>
  <c r="L136" i="153"/>
  <c r="L137" i="153" s="1"/>
  <c r="P136" i="153"/>
  <c r="N137" i="153"/>
  <c r="P137" i="153" s="1"/>
  <c r="P77" i="153"/>
  <c r="N142" i="153"/>
  <c r="P142" i="153" s="1"/>
  <c r="M72" i="153"/>
  <c r="M77" i="153"/>
  <c r="M142" i="153" s="1"/>
  <c r="M136" i="153"/>
  <c r="M137" i="153" s="1"/>
  <c r="AS137" i="99"/>
  <c r="BH137" i="99"/>
  <c r="AW77" i="99"/>
  <c r="AW136" i="99"/>
  <c r="AO137" i="99"/>
  <c r="BJ77" i="99"/>
  <c r="BJ136" i="99"/>
  <c r="BL77" i="99"/>
  <c r="BL136" i="99"/>
  <c r="AL137" i="99"/>
  <c r="AH137" i="99"/>
  <c r="BK77" i="99"/>
  <c r="BK136" i="99"/>
  <c r="AX77" i="99"/>
  <c r="AX136" i="99"/>
  <c r="AP137" i="99"/>
  <c r="BN77" i="99"/>
  <c r="BN136" i="99"/>
  <c r="AQ137" i="99"/>
  <c r="AY77" i="99"/>
  <c r="AY136" i="99"/>
  <c r="BM77" i="99"/>
  <c r="BM136" i="99"/>
  <c r="BM137" i="99" s="1"/>
  <c r="BI77" i="99"/>
  <c r="BI136" i="99"/>
  <c r="AV77" i="99"/>
  <c r="AV136" i="99"/>
  <c r="AN137" i="99"/>
  <c r="BO137" i="99"/>
  <c r="AU77" i="99"/>
  <c r="AU136" i="99"/>
  <c r="AJ137" i="99"/>
  <c r="AR137" i="99"/>
  <c r="BC77" i="99"/>
  <c r="BC136" i="99"/>
  <c r="AT77" i="99"/>
  <c r="AT136" i="99"/>
  <c r="AI137" i="99"/>
  <c r="BA77" i="99"/>
  <c r="BA136" i="99"/>
  <c r="BB77" i="99"/>
  <c r="BB136" i="99"/>
  <c r="AM137" i="99"/>
  <c r="AK137" i="99"/>
  <c r="AZ77" i="99"/>
  <c r="AZ136" i="99"/>
  <c r="BQ71" i="99"/>
  <c r="BQ72" i="99" s="1"/>
  <c r="BQ66" i="99"/>
  <c r="BG71" i="99"/>
  <c r="BG72" i="99" s="1"/>
  <c r="BG66" i="99"/>
  <c r="K77" i="99"/>
  <c r="K72" i="99"/>
  <c r="L77" i="99"/>
  <c r="L72" i="99"/>
  <c r="BF71" i="99"/>
  <c r="BF72" i="99" s="1"/>
  <c r="BF66" i="99"/>
  <c r="BE71" i="99"/>
  <c r="BE72" i="99" s="1"/>
  <c r="BE66" i="99"/>
  <c r="BV71" i="99"/>
  <c r="BV72" i="99" s="1"/>
  <c r="BV66" i="99"/>
  <c r="BT71" i="99"/>
  <c r="BT72" i="99" s="1"/>
  <c r="BT66" i="99"/>
  <c r="BD71" i="99"/>
  <c r="BD72" i="99" s="1"/>
  <c r="BD66" i="99"/>
  <c r="BU71" i="99"/>
  <c r="BU72" i="99" s="1"/>
  <c r="BU66" i="99"/>
  <c r="BS71" i="99"/>
  <c r="BS72" i="99" s="1"/>
  <c r="BS66" i="99"/>
  <c r="AO123" i="105"/>
  <c r="BM123" i="105"/>
  <c r="AP123" i="105"/>
  <c r="AQ123" i="105"/>
  <c r="AX123" i="105"/>
  <c r="BR123" i="105"/>
  <c r="AR123" i="105"/>
  <c r="AS123" i="105"/>
  <c r="AV123" i="105"/>
  <c r="AM123" i="105"/>
  <c r="AW123" i="105"/>
  <c r="AN123" i="105"/>
  <c r="AT123" i="105"/>
  <c r="AU123" i="105"/>
  <c r="BS61" i="105"/>
  <c r="S126" i="105"/>
  <c r="U126" i="105" s="1"/>
  <c r="S89" i="105"/>
  <c r="U95" i="105"/>
  <c r="U87" i="105"/>
  <c r="BG75" i="105"/>
  <c r="BS75" i="105"/>
  <c r="L75" i="104"/>
  <c r="Q75" i="105" s="1"/>
  <c r="L39" i="151" s="1"/>
  <c r="Y128" i="105"/>
  <c r="Y72" i="105"/>
  <c r="X128" i="105"/>
  <c r="X72" i="105"/>
  <c r="Z128" i="105"/>
  <c r="Z72" i="105"/>
  <c r="X125" i="105"/>
  <c r="AC71" i="105"/>
  <c r="AC77" i="105" s="1"/>
  <c r="AC133" i="105" s="1"/>
  <c r="X65" i="104"/>
  <c r="X66" i="104" s="1"/>
  <c r="AF71" i="105"/>
  <c r="AA65" i="104"/>
  <c r="AA66" i="104" s="1"/>
  <c r="AK71" i="105"/>
  <c r="AF65" i="104"/>
  <c r="AF66" i="104" s="1"/>
  <c r="BV40" i="105"/>
  <c r="BV54" i="105"/>
  <c r="BV113" i="105" s="1"/>
  <c r="AB71" i="105"/>
  <c r="W65" i="104"/>
  <c r="W66" i="104" s="1"/>
  <c r="AA71" i="105"/>
  <c r="V65" i="104"/>
  <c r="V66" i="104" s="1"/>
  <c r="AH71" i="105"/>
  <c r="AC65" i="104"/>
  <c r="AC66" i="104" s="1"/>
  <c r="AJ71" i="105"/>
  <c r="AE65" i="104"/>
  <c r="AE66" i="104" s="1"/>
  <c r="S71" i="104"/>
  <c r="AG71" i="105"/>
  <c r="AB65" i="104"/>
  <c r="AB66" i="104" s="1"/>
  <c r="T71" i="104"/>
  <c r="Y77" i="105"/>
  <c r="Y133" i="105" s="1"/>
  <c r="AL71" i="105"/>
  <c r="AG65" i="104"/>
  <c r="AG66" i="104" s="1"/>
  <c r="Z65" i="104"/>
  <c r="Z66" i="104" s="1"/>
  <c r="U71" i="104"/>
  <c r="AD71" i="105"/>
  <c r="Y65" i="104"/>
  <c r="Y66" i="104" s="1"/>
  <c r="AD125" i="105"/>
  <c r="AP65" i="104"/>
  <c r="AE125" i="105"/>
  <c r="J64" i="104"/>
  <c r="O64" i="105" s="1"/>
  <c r="J30" i="151" s="1"/>
  <c r="AF125" i="105"/>
  <c r="Q61" i="105"/>
  <c r="Q120" i="105" s="1"/>
  <c r="AK125" i="105"/>
  <c r="AC125" i="105"/>
  <c r="AE71" i="105"/>
  <c r="AB125" i="105"/>
  <c r="W125" i="105"/>
  <c r="W71" i="105"/>
  <c r="W72" i="105" s="1"/>
  <c r="BL40" i="105"/>
  <c r="L71" i="103"/>
  <c r="L72" i="103" s="1"/>
  <c r="BW28" i="105"/>
  <c r="BU28" i="105"/>
  <c r="BY126" i="103"/>
  <c r="BY127" i="103" s="1"/>
  <c r="BY65" i="99"/>
  <c r="BX126" i="103"/>
  <c r="BX127" i="103" s="1"/>
  <c r="BX65" i="99"/>
  <c r="BL54" i="105"/>
  <c r="BL113" i="105" s="1"/>
  <c r="BX54" i="105"/>
  <c r="BX113" i="105" s="1"/>
  <c r="BX40" i="105"/>
  <c r="R37" i="105"/>
  <c r="CB28" i="105"/>
  <c r="BW39" i="105"/>
  <c r="BW37" i="105"/>
  <c r="BR131" i="105"/>
  <c r="CC61" i="105"/>
  <c r="CC113" i="105"/>
  <c r="AH131" i="105"/>
  <c r="BT131" i="105"/>
  <c r="AC131" i="105"/>
  <c r="AF131" i="105"/>
  <c r="AI131" i="105"/>
  <c r="AB131" i="105"/>
  <c r="BU39" i="105"/>
  <c r="BU97" i="105"/>
  <c r="S97" i="105" s="1"/>
  <c r="AD131" i="105"/>
  <c r="AA131" i="105"/>
  <c r="AK131" i="105"/>
  <c r="AE131" i="105"/>
  <c r="AL131" i="105"/>
  <c r="AJ131" i="105"/>
  <c r="AG131" i="105"/>
  <c r="CD61" i="105"/>
  <c r="CD113" i="105"/>
  <c r="J35" i="72" a="1"/>
  <c r="J35" i="72" s="1"/>
  <c r="S45" i="72"/>
  <c r="S44" i="72" s="1"/>
  <c r="S49" i="72" s="1"/>
  <c r="R51" i="72"/>
  <c r="Q49" i="151" s="1"/>
  <c r="BB65" i="105"/>
  <c r="BB66" i="105" s="1"/>
  <c r="BE65" i="105"/>
  <c r="BE66" i="105" s="1"/>
  <c r="BG65" i="105"/>
  <c r="BG66" i="105" s="1"/>
  <c r="BD65" i="105"/>
  <c r="BD66" i="105" s="1"/>
  <c r="BF65" i="105"/>
  <c r="BF66" i="105" s="1"/>
  <c r="BA65" i="105"/>
  <c r="BA66" i="105" s="1"/>
  <c r="AY65" i="105"/>
  <c r="AY66" i="105" s="1"/>
  <c r="BH65" i="105"/>
  <c r="BH66" i="105" s="1"/>
  <c r="BC65" i="105"/>
  <c r="BC66" i="105" s="1"/>
  <c r="AZ65" i="105"/>
  <c r="AZ66" i="105" s="1"/>
  <c r="T46" i="72"/>
  <c r="S27" i="105"/>
  <c r="U25" i="105"/>
  <c r="P101" i="99"/>
  <c r="N93" i="99"/>
  <c r="P93" i="99" s="1"/>
  <c r="U34" i="105"/>
  <c r="S36" i="105"/>
  <c r="N40" i="99"/>
  <c r="P40" i="99" s="1"/>
  <c r="N104" i="99"/>
  <c r="N105" i="99" s="1"/>
  <c r="P105" i="99" s="1"/>
  <c r="N102" i="104"/>
  <c r="P102" i="104" s="1"/>
  <c r="P92" i="104"/>
  <c r="N105" i="103"/>
  <c r="P105" i="103" s="1"/>
  <c r="N104" i="104"/>
  <c r="P104" i="104" s="1"/>
  <c r="P39" i="99"/>
  <c r="N54" i="99"/>
  <c r="N119" i="103" s="1"/>
  <c r="P119" i="103" s="1"/>
  <c r="U69" i="105"/>
  <c r="N27" i="104"/>
  <c r="N28" i="104" s="1"/>
  <c r="P28" i="104" s="1"/>
  <c r="N36" i="104"/>
  <c r="P36" i="104" s="1"/>
  <c r="BR62" i="103"/>
  <c r="BW119" i="103"/>
  <c r="BW61" i="99"/>
  <c r="BW65" i="99" s="1"/>
  <c r="BW119" i="104"/>
  <c r="BW54" i="104" s="1"/>
  <c r="BW119" i="99"/>
  <c r="BP62" i="103"/>
  <c r="BW105" i="104"/>
  <c r="BW39" i="104"/>
  <c r="BW40" i="104" s="1"/>
  <c r="BI54" i="105"/>
  <c r="BI113" i="105" s="1"/>
  <c r="BI40" i="105"/>
  <c r="BK40" i="105"/>
  <c r="BK54" i="105"/>
  <c r="BK113" i="105" s="1"/>
  <c r="BR105" i="104"/>
  <c r="BR39" i="104"/>
  <c r="BR40" i="104" s="1"/>
  <c r="BN127" i="104"/>
  <c r="BN61" i="104"/>
  <c r="BN62" i="104" s="1"/>
  <c r="BP39" i="104"/>
  <c r="BP40" i="104" s="1"/>
  <c r="BP105" i="104"/>
  <c r="BE126" i="103"/>
  <c r="BE127" i="103" s="1"/>
  <c r="BE126" i="104"/>
  <c r="BE174" i="104" s="1" a="1"/>
  <c r="BE174" i="104" s="1"/>
  <c r="BE75" i="104" s="1"/>
  <c r="BJ75" i="105" s="1"/>
  <c r="BE126" i="99"/>
  <c r="BE127" i="99" s="1"/>
  <c r="BE62" i="99"/>
  <c r="BP119" i="103"/>
  <c r="BP119" i="99"/>
  <c r="BP61" i="99"/>
  <c r="BP65" i="99" s="1"/>
  <c r="BP119" i="104"/>
  <c r="BP54" i="104" s="1"/>
  <c r="BR61" i="99"/>
  <c r="BR65" i="99" s="1"/>
  <c r="BR119" i="99"/>
  <c r="BR119" i="103"/>
  <c r="BR119" i="104"/>
  <c r="BR54" i="104" s="1"/>
  <c r="CB37" i="105"/>
  <c r="BI127" i="104"/>
  <c r="BI61" i="104"/>
  <c r="BI62" i="104" s="1"/>
  <c r="M54" i="104"/>
  <c r="BN61" i="105"/>
  <c r="BF126" i="99"/>
  <c r="BF127" i="99" s="1"/>
  <c r="BF62" i="99"/>
  <c r="BF126" i="104"/>
  <c r="BF174" i="104" s="1" a="1"/>
  <c r="BF174" i="104" s="1"/>
  <c r="BF75" i="104" s="1"/>
  <c r="BK75" i="105" s="1"/>
  <c r="BF126" i="103"/>
  <c r="BF127" i="103" s="1"/>
  <c r="CB39" i="105"/>
  <c r="BW62" i="103"/>
  <c r="BU37" i="105"/>
  <c r="BD126" i="103"/>
  <c r="BD127" i="103" s="1"/>
  <c r="BD126" i="99"/>
  <c r="BD127" i="99" s="1"/>
  <c r="BD62" i="99"/>
  <c r="BD126" i="104"/>
  <c r="BD174" i="104" s="1" a="1"/>
  <c r="BD174" i="104" s="1"/>
  <c r="BD75" i="104" s="1"/>
  <c r="BI75" i="105" s="1"/>
  <c r="BJ54" i="105"/>
  <c r="BJ113" i="105" s="1"/>
  <c r="BJ40" i="105"/>
  <c r="BK127" i="104"/>
  <c r="BK61" i="104"/>
  <c r="BK62" i="104" s="1"/>
  <c r="CA40" i="105"/>
  <c r="CA54" i="105"/>
  <c r="CA113" i="105" s="1"/>
  <c r="BJ61" i="104"/>
  <c r="BJ62" i="104" s="1"/>
  <c r="BJ127" i="104"/>
  <c r="BY40" i="105"/>
  <c r="BY54" i="105"/>
  <c r="BY113" i="105" s="1"/>
  <c r="BP61" i="105"/>
  <c r="BS62" i="99"/>
  <c r="BS126" i="99"/>
  <c r="BS127" i="99" s="1"/>
  <c r="BS126" i="103"/>
  <c r="BS127" i="103" s="1"/>
  <c r="BS126" i="104"/>
  <c r="BS174" i="104" s="1" a="1"/>
  <c r="BS174" i="104" s="1"/>
  <c r="BS75" i="104" s="1"/>
  <c r="BX75" i="105" s="1"/>
  <c r="BT126" i="103"/>
  <c r="BT127" i="103" s="1"/>
  <c r="BT126" i="99"/>
  <c r="BT127" i="99" s="1"/>
  <c r="BT62" i="99"/>
  <c r="BT126" i="104"/>
  <c r="BT174" i="104" s="1" a="1"/>
  <c r="BT174" i="104" s="1"/>
  <c r="BT75" i="104" s="1"/>
  <c r="BY75" i="105" s="1"/>
  <c r="BZ40" i="105"/>
  <c r="BZ54" i="105"/>
  <c r="BZ113" i="105" s="1"/>
  <c r="BQ61" i="105"/>
  <c r="BU126" i="99"/>
  <c r="BU127" i="99" s="1"/>
  <c r="BU62" i="99"/>
  <c r="BU126" i="104"/>
  <c r="BU174" i="104" s="1" a="1"/>
  <c r="BU174" i="104" s="1"/>
  <c r="BU75" i="104" s="1"/>
  <c r="BZ75" i="105" s="1"/>
  <c r="BU126" i="103"/>
  <c r="BU127" i="103" s="1"/>
  <c r="BO61" i="105"/>
  <c r="BV126" i="99"/>
  <c r="BV127" i="99" s="1"/>
  <c r="BV62" i="99"/>
  <c r="BV126" i="104"/>
  <c r="BV174" i="104" s="1" a="1"/>
  <c r="BV174" i="104" s="1"/>
  <c r="BV75" i="104" s="1"/>
  <c r="CA75" i="105" s="1"/>
  <c r="BV126" i="103"/>
  <c r="BV127" i="103" s="1"/>
  <c r="BL127" i="104"/>
  <c r="BL61" i="104"/>
  <c r="BL62" i="104" s="1"/>
  <c r="BG61" i="103"/>
  <c r="BG65" i="103" s="1"/>
  <c r="M54" i="103"/>
  <c r="R28" i="105"/>
  <c r="R39" i="105"/>
  <c r="M22" i="151" s="1"/>
  <c r="M119" i="103"/>
  <c r="M119" i="104"/>
  <c r="M119" i="99"/>
  <c r="BG62" i="99"/>
  <c r="BG126" i="99"/>
  <c r="BG127" i="99" s="1"/>
  <c r="BG126" i="103"/>
  <c r="BG127" i="103" s="1"/>
  <c r="BG126" i="104"/>
  <c r="BG174" i="104" s="1" a="1"/>
  <c r="BG174" i="104" s="1"/>
  <c r="BG75" i="104" s="1"/>
  <c r="BL75" i="105" s="1"/>
  <c r="M61" i="99"/>
  <c r="M65" i="99" s="1"/>
  <c r="BG40" i="104"/>
  <c r="M39" i="104"/>
  <c r="M40" i="104" s="1"/>
  <c r="BQ62" i="99"/>
  <c r="BQ126" i="99"/>
  <c r="BQ127" i="99" s="1"/>
  <c r="BQ126" i="104"/>
  <c r="BQ174" i="104" s="1" a="1"/>
  <c r="BQ174" i="104" s="1"/>
  <c r="BQ75" i="104" s="1"/>
  <c r="BV75" i="105" s="1"/>
  <c r="BQ126" i="103"/>
  <c r="BQ127" i="103" s="1"/>
  <c r="J142" i="104"/>
  <c r="J136" i="99"/>
  <c r="J137" i="99" s="1"/>
  <c r="J136" i="104"/>
  <c r="J137" i="104" s="1"/>
  <c r="AP136" i="103"/>
  <c r="AP137" i="103" s="1"/>
  <c r="AP136" i="104"/>
  <c r="AP137" i="104" s="1"/>
  <c r="BC130" i="104"/>
  <c r="BC131" i="104" s="1"/>
  <c r="BC130" i="103"/>
  <c r="BC131" i="103" s="1"/>
  <c r="AJ136" i="104"/>
  <c r="AJ137" i="104" s="1"/>
  <c r="AJ136" i="103"/>
  <c r="AJ137" i="103" s="1"/>
  <c r="L130" i="103"/>
  <c r="L131" i="103" s="1"/>
  <c r="L130" i="104"/>
  <c r="L131" i="104" s="1"/>
  <c r="AM136" i="103"/>
  <c r="AM137" i="103" s="1"/>
  <c r="AM136" i="104"/>
  <c r="AM137" i="104" s="1"/>
  <c r="BH136" i="103"/>
  <c r="BH137" i="103" s="1"/>
  <c r="BH136" i="104"/>
  <c r="BH137" i="104" s="1"/>
  <c r="V142" i="103"/>
  <c r="V142" i="104"/>
  <c r="AI136" i="103"/>
  <c r="AI137" i="103" s="1"/>
  <c r="AI136" i="104"/>
  <c r="AI137" i="104" s="1"/>
  <c r="AY130" i="103"/>
  <c r="AY131" i="103" s="1"/>
  <c r="AY130" i="104"/>
  <c r="AY131" i="104" s="1"/>
  <c r="AZ130" i="104"/>
  <c r="AZ131" i="104" s="1"/>
  <c r="AZ130" i="103"/>
  <c r="AZ131" i="103" s="1"/>
  <c r="AV130" i="103"/>
  <c r="AV131" i="103" s="1"/>
  <c r="AV130" i="104"/>
  <c r="AV131" i="104" s="1"/>
  <c r="AU130" i="103"/>
  <c r="AU131" i="103" s="1"/>
  <c r="AU130" i="104"/>
  <c r="AU131" i="104" s="1"/>
  <c r="AX130" i="103"/>
  <c r="AX131" i="103" s="1"/>
  <c r="AX130" i="104"/>
  <c r="AX131" i="104" s="1"/>
  <c r="AO136" i="104"/>
  <c r="AO137" i="104" s="1"/>
  <c r="AO136" i="103"/>
  <c r="AO137" i="103" s="1"/>
  <c r="AT130" i="103"/>
  <c r="AT131" i="103" s="1"/>
  <c r="AT130" i="104"/>
  <c r="AT131" i="104" s="1"/>
  <c r="BB130" i="103"/>
  <c r="BB131" i="103" s="1"/>
  <c r="BB130" i="104"/>
  <c r="BB131" i="104" s="1"/>
  <c r="BM136" i="103"/>
  <c r="BM137" i="103" s="1"/>
  <c r="BM136" i="104"/>
  <c r="BM137" i="104" s="1"/>
  <c r="AL136" i="103"/>
  <c r="AL137" i="103" s="1"/>
  <c r="AL136" i="104"/>
  <c r="AL137" i="104" s="1"/>
  <c r="AK136" i="103"/>
  <c r="AK137" i="103" s="1"/>
  <c r="AK136" i="104"/>
  <c r="AK137" i="104" s="1"/>
  <c r="K130" i="104"/>
  <c r="K131" i="104" s="1"/>
  <c r="K130" i="103"/>
  <c r="K131" i="103" s="1"/>
  <c r="AD142" i="103"/>
  <c r="AD142" i="104"/>
  <c r="BA130" i="103"/>
  <c r="BA131" i="103" s="1"/>
  <c r="BA130" i="104"/>
  <c r="BA131" i="104" s="1"/>
  <c r="AR136" i="103"/>
  <c r="AR137" i="103" s="1"/>
  <c r="AR136" i="104"/>
  <c r="AR137" i="104" s="1"/>
  <c r="AN136" i="103"/>
  <c r="AN137" i="103" s="1"/>
  <c r="AN136" i="104"/>
  <c r="AN137" i="104" s="1"/>
  <c r="Y142" i="103"/>
  <c r="Y142" i="104"/>
  <c r="Z142" i="103"/>
  <c r="Z142" i="104"/>
  <c r="AG142" i="103"/>
  <c r="AG142" i="104"/>
  <c r="BO136" i="103"/>
  <c r="BO137" i="103" s="1"/>
  <c r="BO136" i="104"/>
  <c r="BO137" i="104" s="1"/>
  <c r="AC142" i="103"/>
  <c r="AC142" i="104"/>
  <c r="X142" i="103"/>
  <c r="X142" i="104"/>
  <c r="AF142" i="103"/>
  <c r="AF142" i="104"/>
  <c r="AA142" i="103"/>
  <c r="AA142" i="104"/>
  <c r="AS136" i="103"/>
  <c r="AS137" i="103" s="1"/>
  <c r="AS136" i="104"/>
  <c r="AS137" i="104" s="1"/>
  <c r="AB142" i="104"/>
  <c r="AB142" i="103"/>
  <c r="AE142" i="103"/>
  <c r="AE142" i="104"/>
  <c r="AH136" i="103"/>
  <c r="AH137" i="103" s="1"/>
  <c r="AH136" i="104"/>
  <c r="AH137" i="104" s="1"/>
  <c r="AQ136" i="104"/>
  <c r="AQ137" i="104" s="1"/>
  <c r="AQ136" i="103"/>
  <c r="AQ137" i="103" s="1"/>
  <c r="W142" i="104"/>
  <c r="W142" i="103"/>
  <c r="AW130" i="103"/>
  <c r="AW131" i="103" s="1"/>
  <c r="AW130" i="104"/>
  <c r="AW131" i="104" s="1"/>
  <c r="BX126" i="104"/>
  <c r="BY126" i="104"/>
  <c r="L61" i="104"/>
  <c r="AU130" i="99"/>
  <c r="AU131" i="99" s="1"/>
  <c r="AD142" i="99"/>
  <c r="AC142" i="99"/>
  <c r="P39" i="103"/>
  <c r="N40" i="103"/>
  <c r="P40" i="103" s="1"/>
  <c r="AV130" i="99"/>
  <c r="AV131" i="99" s="1"/>
  <c r="BX61" i="103"/>
  <c r="BX65" i="103" s="1"/>
  <c r="N54" i="103"/>
  <c r="P54" i="103" s="1"/>
  <c r="BA130" i="99"/>
  <c r="BA131" i="99" s="1"/>
  <c r="AW130" i="99"/>
  <c r="AW131" i="99" s="1"/>
  <c r="AT130" i="99"/>
  <c r="AT131" i="99" s="1"/>
  <c r="BC130" i="99"/>
  <c r="BC131" i="99" s="1"/>
  <c r="AG142" i="99"/>
  <c r="AF142" i="99"/>
  <c r="BB130" i="99"/>
  <c r="BB131" i="99" s="1"/>
  <c r="Y142" i="99"/>
  <c r="W142" i="99"/>
  <c r="AE142" i="99"/>
  <c r="BX126" i="99"/>
  <c r="BX127" i="99" s="1"/>
  <c r="BX62" i="99"/>
  <c r="X142" i="99"/>
  <c r="AA142" i="99"/>
  <c r="V142" i="99"/>
  <c r="AY130" i="99"/>
  <c r="AY131" i="99" s="1"/>
  <c r="AB142" i="99"/>
  <c r="R77" i="104"/>
  <c r="BY126" i="99"/>
  <c r="BY127" i="99" s="1"/>
  <c r="BY62" i="99"/>
  <c r="Z142" i="99"/>
  <c r="BX40" i="104"/>
  <c r="AX130" i="99"/>
  <c r="AX131" i="99" s="1"/>
  <c r="AZ130" i="99"/>
  <c r="AZ131" i="99" s="1"/>
  <c r="L130" i="99"/>
  <c r="L131" i="99" s="1"/>
  <c r="K130" i="99"/>
  <c r="K131" i="99" s="1"/>
  <c r="P62" i="105"/>
  <c r="K62" i="104"/>
  <c r="BO120" i="105" l="1"/>
  <c r="BO62" i="105"/>
  <c r="CC120" i="105"/>
  <c r="CC62" i="105"/>
  <c r="BN120" i="105"/>
  <c r="BN62" i="105"/>
  <c r="CD120" i="105"/>
  <c r="CD62" i="105"/>
  <c r="BQ120" i="105"/>
  <c r="BQ62" i="105"/>
  <c r="BP120" i="105"/>
  <c r="BP62" i="105"/>
  <c r="BS120" i="105"/>
  <c r="BS62" i="105"/>
  <c r="R99" i="105"/>
  <c r="BW99" i="105"/>
  <c r="BR22" i="151"/>
  <c r="BQ39" i="151"/>
  <c r="BR33" i="72"/>
  <c r="BF39" i="151"/>
  <c r="BG33" i="72"/>
  <c r="BV39" i="151"/>
  <c r="BW33" i="72"/>
  <c r="BU39" i="151"/>
  <c r="BV33" i="72"/>
  <c r="BN39" i="151"/>
  <c r="BO33" i="72"/>
  <c r="BB39" i="151"/>
  <c r="BC33" i="72"/>
  <c r="BG39" i="151"/>
  <c r="BH33" i="72"/>
  <c r="BD39" i="151"/>
  <c r="BE33" i="72"/>
  <c r="BT39" i="151"/>
  <c r="BU33" i="72"/>
  <c r="CB99" i="105"/>
  <c r="BW22" i="151"/>
  <c r="BS39" i="151"/>
  <c r="BT33" i="72"/>
  <c r="BE39" i="151"/>
  <c r="BF33" i="72"/>
  <c r="BU99" i="105"/>
  <c r="BP22" i="151"/>
  <c r="R6" i="151"/>
  <c r="D55" i="294"/>
  <c r="T77" i="104"/>
  <c r="T72" i="104"/>
  <c r="S77" i="104"/>
  <c r="S72" i="104"/>
  <c r="AP71" i="104"/>
  <c r="AP72" i="104" s="1"/>
  <c r="AP66" i="104"/>
  <c r="U77" i="104"/>
  <c r="U72" i="104"/>
  <c r="BG71" i="103"/>
  <c r="BG72" i="103" s="1"/>
  <c r="BG66" i="103"/>
  <c r="BX71" i="103"/>
  <c r="BX72" i="103" s="1"/>
  <c r="BX66" i="103"/>
  <c r="BT77" i="99"/>
  <c r="BT136" i="99"/>
  <c r="AY137" i="99"/>
  <c r="BB137" i="99"/>
  <c r="BV77" i="99"/>
  <c r="BV136" i="99"/>
  <c r="BA137" i="99"/>
  <c r="BE77" i="99"/>
  <c r="BE136" i="99"/>
  <c r="AT137" i="99"/>
  <c r="BC137" i="99"/>
  <c r="AX137" i="99"/>
  <c r="BF77" i="99"/>
  <c r="BF136" i="99"/>
  <c r="AU137" i="99"/>
  <c r="BG77" i="99"/>
  <c r="BG136" i="99"/>
  <c r="BS77" i="99"/>
  <c r="BS136" i="99"/>
  <c r="BQ77" i="99"/>
  <c r="BQ136" i="99"/>
  <c r="AV137" i="99"/>
  <c r="BU77" i="99"/>
  <c r="BU136" i="99"/>
  <c r="AZ137" i="99"/>
  <c r="BD77" i="99"/>
  <c r="BD136" i="99"/>
  <c r="AW137" i="99"/>
  <c r="BX71" i="99"/>
  <c r="BX72" i="99" s="1"/>
  <c r="BX66" i="99"/>
  <c r="BY71" i="99"/>
  <c r="BY72" i="99" s="1"/>
  <c r="BY66" i="99"/>
  <c r="BR71" i="99"/>
  <c r="BR72" i="99" s="1"/>
  <c r="BR66" i="99"/>
  <c r="BP71" i="99"/>
  <c r="BP72" i="99" s="1"/>
  <c r="BP66" i="99"/>
  <c r="BW71" i="99"/>
  <c r="BW72" i="99" s="1"/>
  <c r="BW66" i="99"/>
  <c r="I49" i="151"/>
  <c r="BS65" i="105"/>
  <c r="BS66" i="105" s="1"/>
  <c r="AZ123" i="105"/>
  <c r="AY123" i="105"/>
  <c r="BH123" i="105"/>
  <c r="BF123" i="105"/>
  <c r="O122" i="105"/>
  <c r="BD123" i="105"/>
  <c r="BA123" i="105"/>
  <c r="BG123" i="105"/>
  <c r="BC123" i="105"/>
  <c r="BE123" i="105"/>
  <c r="BB123" i="105"/>
  <c r="R113" i="105"/>
  <c r="O131" i="105"/>
  <c r="O65" i="105"/>
  <c r="O66" i="105" s="1"/>
  <c r="BX61" i="105"/>
  <c r="BV61" i="105"/>
  <c r="Q62" i="105"/>
  <c r="BL61" i="105"/>
  <c r="BL62" i="105" s="1"/>
  <c r="BY127" i="104"/>
  <c r="BY174" i="104" a="1"/>
  <c r="BY174" i="104" s="1"/>
  <c r="BY75" i="104" s="1"/>
  <c r="CD75" i="105" s="1"/>
  <c r="BX127" i="104"/>
  <c r="BX174" i="104" a="1"/>
  <c r="BX174" i="104" s="1"/>
  <c r="BX75" i="104" s="1"/>
  <c r="CC75" i="105" s="1"/>
  <c r="M75" i="104"/>
  <c r="R75" i="105" s="1"/>
  <c r="M39" i="151" s="1"/>
  <c r="AE128" i="105"/>
  <c r="AE72" i="105"/>
  <c r="AD128" i="105"/>
  <c r="AD72" i="105"/>
  <c r="AL128" i="105"/>
  <c r="AL72" i="105"/>
  <c r="AG128" i="105"/>
  <c r="AG72" i="105"/>
  <c r="AJ128" i="105"/>
  <c r="AJ72" i="105"/>
  <c r="AH128" i="105"/>
  <c r="AH72" i="105"/>
  <c r="AA128" i="105"/>
  <c r="AA72" i="105"/>
  <c r="AB128" i="105"/>
  <c r="AB72" i="105"/>
  <c r="AK128" i="105"/>
  <c r="AK72" i="105"/>
  <c r="AF128" i="105"/>
  <c r="AF72" i="105"/>
  <c r="AC128" i="105"/>
  <c r="AC72" i="105"/>
  <c r="AA77" i="105"/>
  <c r="AA133" i="105" s="1"/>
  <c r="AB77" i="105"/>
  <c r="AB133" i="105" s="1"/>
  <c r="AJ125" i="105"/>
  <c r="AK77" i="105"/>
  <c r="AK133" i="105" s="1"/>
  <c r="AH77" i="105"/>
  <c r="AH133" i="105" s="1"/>
  <c r="BR125" i="105"/>
  <c r="BM65" i="104"/>
  <c r="BM66" i="104" s="1"/>
  <c r="AQ65" i="104"/>
  <c r="AQ66" i="104" s="1"/>
  <c r="AS71" i="105"/>
  <c r="AN65" i="104"/>
  <c r="AN66" i="104" s="1"/>
  <c r="AC71" i="104"/>
  <c r="AC72" i="104" s="1"/>
  <c r="AX71" i="105"/>
  <c r="AS65" i="104"/>
  <c r="AS66" i="104" s="1"/>
  <c r="V71" i="104"/>
  <c r="V72" i="104" s="1"/>
  <c r="Y71" i="104"/>
  <c r="W71" i="104"/>
  <c r="W72" i="104" s="1"/>
  <c r="AE77" i="105"/>
  <c r="AE133" i="105" s="1"/>
  <c r="AM71" i="105"/>
  <c r="AH65" i="104"/>
  <c r="AH66" i="104" s="1"/>
  <c r="AN71" i="105"/>
  <c r="AI65" i="104"/>
  <c r="AI66" i="104" s="1"/>
  <c r="AG125" i="105"/>
  <c r="Z71" i="104"/>
  <c r="Z72" i="104" s="1"/>
  <c r="AF71" i="104"/>
  <c r="AB71" i="104"/>
  <c r="AB72" i="104" s="1"/>
  <c r="AH125" i="105"/>
  <c r="AR71" i="105"/>
  <c r="AM65" i="104"/>
  <c r="AM66" i="104" s="1"/>
  <c r="AG71" i="104"/>
  <c r="AG72" i="104" s="1"/>
  <c r="AA71" i="104"/>
  <c r="AA72" i="104" s="1"/>
  <c r="AW71" i="105"/>
  <c r="AR65" i="104"/>
  <c r="AR66" i="104" s="1"/>
  <c r="AE71" i="104"/>
  <c r="AE72" i="104" s="1"/>
  <c r="AA125" i="105"/>
  <c r="AQ125" i="105"/>
  <c r="AL65" i="104"/>
  <c r="AL66" i="104" s="1"/>
  <c r="AL125" i="105"/>
  <c r="AO125" i="105"/>
  <c r="AJ65" i="104"/>
  <c r="AJ66" i="104" s="1"/>
  <c r="X71" i="104"/>
  <c r="AT71" i="105"/>
  <c r="AO65" i="104"/>
  <c r="AO66" i="104" s="1"/>
  <c r="BT125" i="105"/>
  <c r="BO65" i="104"/>
  <c r="BO66" i="104" s="1"/>
  <c r="BM71" i="105"/>
  <c r="BH65" i="104"/>
  <c r="BH66" i="104" s="1"/>
  <c r="AP71" i="105"/>
  <c r="AK65" i="104"/>
  <c r="AK66" i="104" s="1"/>
  <c r="AI125" i="105"/>
  <c r="AI71" i="105"/>
  <c r="AI72" i="105" s="1"/>
  <c r="K64" i="104"/>
  <c r="P64" i="105" s="1"/>
  <c r="K30" i="151" s="1"/>
  <c r="J65" i="104"/>
  <c r="J66" i="104" s="1"/>
  <c r="AR125" i="105"/>
  <c r="W128" i="105"/>
  <c r="AP125" i="105"/>
  <c r="AN125" i="105"/>
  <c r="BB65" i="104"/>
  <c r="BR71" i="105"/>
  <c r="AV71" i="105"/>
  <c r="BM125" i="105"/>
  <c r="K71" i="103"/>
  <c r="K72" i="103" s="1"/>
  <c r="M66" i="99"/>
  <c r="M71" i="99"/>
  <c r="BW54" i="105"/>
  <c r="BW113" i="105" s="1"/>
  <c r="BW40" i="105"/>
  <c r="BU40" i="105"/>
  <c r="BU54" i="105"/>
  <c r="BU113" i="105" s="1"/>
  <c r="AW131" i="105"/>
  <c r="BO65" i="105"/>
  <c r="BO66" i="105" s="1"/>
  <c r="BP65" i="105"/>
  <c r="BP66" i="105" s="1"/>
  <c r="AM131" i="105"/>
  <c r="BN65" i="105"/>
  <c r="BN66" i="105" s="1"/>
  <c r="AP131" i="105"/>
  <c r="BQ65" i="105"/>
  <c r="BQ66" i="105" s="1"/>
  <c r="U36" i="105"/>
  <c r="U97" i="105"/>
  <c r="AX131" i="105"/>
  <c r="AS131" i="105"/>
  <c r="AQ131" i="105"/>
  <c r="AN131" i="105"/>
  <c r="U27" i="105"/>
  <c r="U89" i="105"/>
  <c r="AT131" i="105"/>
  <c r="AU131" i="105"/>
  <c r="BM131" i="105"/>
  <c r="AR131" i="105"/>
  <c r="AO131" i="105"/>
  <c r="AV131" i="105"/>
  <c r="U46" i="72"/>
  <c r="V46" i="72"/>
  <c r="W46" i="72"/>
  <c r="S28" i="105"/>
  <c r="U28" i="105" s="1"/>
  <c r="S39" i="105"/>
  <c r="N22" i="151" s="1"/>
  <c r="P104" i="99"/>
  <c r="S37" i="105"/>
  <c r="U37" i="105" s="1"/>
  <c r="N119" i="99"/>
  <c r="P119" i="99" s="1"/>
  <c r="P54" i="99"/>
  <c r="N105" i="104"/>
  <c r="P105" i="104" s="1"/>
  <c r="P27" i="104"/>
  <c r="N119" i="104"/>
  <c r="P119" i="104" s="1"/>
  <c r="N61" i="99"/>
  <c r="N54" i="104"/>
  <c r="P54" i="104" s="1"/>
  <c r="N39" i="104"/>
  <c r="P39" i="104" s="1"/>
  <c r="N37" i="104"/>
  <c r="P37" i="104" s="1"/>
  <c r="BF127" i="104"/>
  <c r="BF61" i="104"/>
  <c r="BF62" i="104" s="1"/>
  <c r="BR62" i="99"/>
  <c r="BR126" i="99"/>
  <c r="BR127" i="99" s="1"/>
  <c r="BR126" i="103"/>
  <c r="BR127" i="103" s="1"/>
  <c r="BR126" i="104"/>
  <c r="BR174" i="104" s="1" a="1"/>
  <c r="BR174" i="104" s="1"/>
  <c r="BR75" i="104" s="1"/>
  <c r="BW75" i="105" s="1"/>
  <c r="BP62" i="99"/>
  <c r="BP126" i="99"/>
  <c r="BP127" i="99" s="1"/>
  <c r="BP126" i="103"/>
  <c r="BP127" i="103" s="1"/>
  <c r="BP126" i="104"/>
  <c r="BP174" i="104" s="1" a="1"/>
  <c r="BP174" i="104" s="1"/>
  <c r="BP75" i="104" s="1"/>
  <c r="BN130" i="104"/>
  <c r="BN130" i="99"/>
  <c r="BN131" i="99" s="1"/>
  <c r="BN130" i="103"/>
  <c r="BN131" i="103" s="1"/>
  <c r="BJ61" i="105"/>
  <c r="BI61" i="105"/>
  <c r="BI130" i="104"/>
  <c r="BI131" i="104" s="1"/>
  <c r="BI130" i="103"/>
  <c r="BI131" i="103" s="1"/>
  <c r="BI130" i="99"/>
  <c r="BI131" i="99" s="1"/>
  <c r="BD127" i="104"/>
  <c r="BD61" i="104"/>
  <c r="BD62" i="104" s="1"/>
  <c r="BE127" i="104"/>
  <c r="BE61" i="104"/>
  <c r="BE62" i="104" s="1"/>
  <c r="BW126" i="103"/>
  <c r="BW127" i="103" s="1"/>
  <c r="BW126" i="99"/>
  <c r="BW127" i="99" s="1"/>
  <c r="BW126" i="104"/>
  <c r="BW174" i="104" s="1" a="1"/>
  <c r="BW174" i="104" s="1"/>
  <c r="BW75" i="104" s="1"/>
  <c r="CB75" i="105" s="1"/>
  <c r="BW62" i="99"/>
  <c r="CB40" i="105"/>
  <c r="CB54" i="105"/>
  <c r="CB113" i="105" s="1"/>
  <c r="BK61" i="105"/>
  <c r="BS127" i="104"/>
  <c r="BS61" i="104"/>
  <c r="BS62" i="104" s="1"/>
  <c r="CA61" i="105"/>
  <c r="BV127" i="104"/>
  <c r="BV61" i="104"/>
  <c r="BV62" i="104" s="1"/>
  <c r="BZ61" i="105"/>
  <c r="BK130" i="99"/>
  <c r="BK131" i="99" s="1"/>
  <c r="BK130" i="104"/>
  <c r="BK131" i="104" s="1"/>
  <c r="BK130" i="103"/>
  <c r="BK131" i="103" s="1"/>
  <c r="BJ130" i="99"/>
  <c r="BJ131" i="99" s="1"/>
  <c r="BJ130" i="104"/>
  <c r="BJ131" i="104" s="1"/>
  <c r="BJ130" i="103"/>
  <c r="BJ131" i="103" s="1"/>
  <c r="BT127" i="104"/>
  <c r="BT61" i="104"/>
  <c r="BT62" i="104" s="1"/>
  <c r="BU127" i="104"/>
  <c r="BU61" i="104"/>
  <c r="BU62" i="104" s="1"/>
  <c r="BY61" i="105"/>
  <c r="BL130" i="99"/>
  <c r="BL131" i="99" s="1"/>
  <c r="BL130" i="104"/>
  <c r="BL131" i="104" s="1"/>
  <c r="BL130" i="103"/>
  <c r="BL131" i="103" s="1"/>
  <c r="M126" i="99"/>
  <c r="M127" i="99" s="1"/>
  <c r="M62" i="99"/>
  <c r="M126" i="103"/>
  <c r="M127" i="103" s="1"/>
  <c r="M126" i="104"/>
  <c r="M127" i="104" s="1"/>
  <c r="BG127" i="104"/>
  <c r="BG61" i="104"/>
  <c r="R40" i="105"/>
  <c r="R54" i="105"/>
  <c r="BG62" i="103"/>
  <c r="M61" i="103"/>
  <c r="BQ127" i="104"/>
  <c r="BQ61" i="104"/>
  <c r="BQ62" i="104" s="1"/>
  <c r="J142" i="103"/>
  <c r="J142" i="99"/>
  <c r="L62" i="104"/>
  <c r="BO142" i="99"/>
  <c r="BO142" i="103"/>
  <c r="BO142" i="104"/>
  <c r="AV136" i="103"/>
  <c r="AV137" i="103" s="1"/>
  <c r="AV136" i="104"/>
  <c r="AV137" i="104" s="1"/>
  <c r="AO142" i="103"/>
  <c r="AO142" i="104"/>
  <c r="AP142" i="103"/>
  <c r="AP142" i="104"/>
  <c r="BB136" i="103"/>
  <c r="BB137" i="103" s="1"/>
  <c r="BB136" i="104"/>
  <c r="BB137" i="104" s="1"/>
  <c r="BA136" i="104"/>
  <c r="BA137" i="104" s="1"/>
  <c r="BA136" i="103"/>
  <c r="BA137" i="103" s="1"/>
  <c r="AL142" i="103"/>
  <c r="AL142" i="104"/>
  <c r="AU136" i="103"/>
  <c r="AU137" i="103" s="1"/>
  <c r="AU136" i="104"/>
  <c r="AU137" i="104" s="1"/>
  <c r="L136" i="103"/>
  <c r="L137" i="103" s="1"/>
  <c r="L136" i="104"/>
  <c r="L137" i="104" s="1"/>
  <c r="BC136" i="104"/>
  <c r="BC137" i="104" s="1"/>
  <c r="BC136" i="103"/>
  <c r="BC137" i="103" s="1"/>
  <c r="AZ136" i="103"/>
  <c r="AZ137" i="103" s="1"/>
  <c r="AZ136" i="104"/>
  <c r="AZ137" i="104" s="1"/>
  <c r="AH142" i="103"/>
  <c r="AH142" i="104"/>
  <c r="AN142" i="104"/>
  <c r="AN142" i="103"/>
  <c r="AT136" i="103"/>
  <c r="AT137" i="103" s="1"/>
  <c r="AT136" i="104"/>
  <c r="AT137" i="104" s="1"/>
  <c r="BM142" i="99"/>
  <c r="BM142" i="103"/>
  <c r="BM142" i="104"/>
  <c r="K136" i="103"/>
  <c r="K137" i="103" s="1"/>
  <c r="K136" i="104"/>
  <c r="K137" i="104" s="1"/>
  <c r="AI142" i="103"/>
  <c r="AI142" i="104"/>
  <c r="AJ142" i="103"/>
  <c r="AJ142" i="104"/>
  <c r="AS142" i="103"/>
  <c r="AS142" i="104"/>
  <c r="AR142" i="103"/>
  <c r="AR142" i="104"/>
  <c r="AY136" i="103"/>
  <c r="AY137" i="103" s="1"/>
  <c r="AY136" i="104"/>
  <c r="AY137" i="104" s="1"/>
  <c r="AX136" i="103"/>
  <c r="AX137" i="103" s="1"/>
  <c r="AX136" i="104"/>
  <c r="AX137" i="104" s="1"/>
  <c r="AQ142" i="103"/>
  <c r="AQ142" i="104"/>
  <c r="AK142" i="103"/>
  <c r="AK142" i="104"/>
  <c r="AM142" i="104"/>
  <c r="AM142" i="103"/>
  <c r="AW136" i="103"/>
  <c r="AW137" i="103" s="1"/>
  <c r="AW136" i="104"/>
  <c r="AW137" i="104" s="1"/>
  <c r="BH142" i="103"/>
  <c r="BH142" i="104"/>
  <c r="AR142" i="99"/>
  <c r="AS142" i="99"/>
  <c r="AD77" i="104"/>
  <c r="BY61" i="104"/>
  <c r="BY62" i="104" s="1"/>
  <c r="AL142" i="99"/>
  <c r="AJ142" i="99"/>
  <c r="AK142" i="99"/>
  <c r="AO142" i="99"/>
  <c r="BX62" i="103"/>
  <c r="N61" i="103"/>
  <c r="N65" i="103" s="1"/>
  <c r="N66" i="103" s="1"/>
  <c r="AQ142" i="99"/>
  <c r="AN142" i="99"/>
  <c r="AH142" i="99"/>
  <c r="AP142" i="99"/>
  <c r="AI142" i="99"/>
  <c r="AM142" i="99"/>
  <c r="BX61" i="104"/>
  <c r="BH142" i="99"/>
  <c r="L136" i="99"/>
  <c r="L137" i="99" s="1"/>
  <c r="K136" i="99"/>
  <c r="K137" i="99" s="1"/>
  <c r="BJ120" i="105" l="1"/>
  <c r="BJ62" i="105"/>
  <c r="BZ120" i="105"/>
  <c r="BZ62" i="105"/>
  <c r="BI120" i="105"/>
  <c r="BI62" i="105"/>
  <c r="BK120" i="105"/>
  <c r="BK62" i="105"/>
  <c r="BY120" i="105"/>
  <c r="BY62" i="105"/>
  <c r="CA120" i="105"/>
  <c r="CA62" i="105"/>
  <c r="BV120" i="105"/>
  <c r="BV62" i="105"/>
  <c r="BX120" i="105"/>
  <c r="BX62" i="105"/>
  <c r="BS123" i="105"/>
  <c r="D91" i="294"/>
  <c r="S99" i="105"/>
  <c r="U99" i="105" s="1"/>
  <c r="BR39" i="151"/>
  <c r="BS33" i="72"/>
  <c r="BW39" i="151"/>
  <c r="BX33" i="72"/>
  <c r="BY39" i="151"/>
  <c r="BZ33" i="72"/>
  <c r="BX39" i="151"/>
  <c r="BY33" i="72"/>
  <c r="AF77" i="104"/>
  <c r="AF72" i="104"/>
  <c r="BB71" i="104"/>
  <c r="BB72" i="104" s="1"/>
  <c r="BB66" i="104"/>
  <c r="X77" i="104"/>
  <c r="X72" i="104"/>
  <c r="BN65" i="104"/>
  <c r="BN131" i="104"/>
  <c r="Y77" i="104"/>
  <c r="Y72" i="104"/>
  <c r="BL137" i="99"/>
  <c r="BR77" i="99"/>
  <c r="BR136" i="99"/>
  <c r="BY77" i="99"/>
  <c r="BY136" i="99"/>
  <c r="BX77" i="99"/>
  <c r="BX136" i="99"/>
  <c r="BK137" i="99"/>
  <c r="BI137" i="99"/>
  <c r="BN137" i="99"/>
  <c r="BJ137" i="99"/>
  <c r="BW77" i="99"/>
  <c r="BW136" i="99"/>
  <c r="BP77" i="99"/>
  <c r="BP136" i="99"/>
  <c r="M77" i="99"/>
  <c r="M72" i="99"/>
  <c r="O71" i="105"/>
  <c r="O72" i="105" s="1"/>
  <c r="O123" i="105"/>
  <c r="BQ123" i="105"/>
  <c r="BN123" i="105"/>
  <c r="BL65" i="105"/>
  <c r="BL66" i="105" s="1"/>
  <c r="BL120" i="105"/>
  <c r="P122" i="105"/>
  <c r="BP123" i="105"/>
  <c r="BO123" i="105"/>
  <c r="BX65" i="105"/>
  <c r="BX66" i="105" s="1"/>
  <c r="AG77" i="104"/>
  <c r="BV65" i="105"/>
  <c r="BV66" i="105" s="1"/>
  <c r="O125" i="105"/>
  <c r="P131" i="105"/>
  <c r="V77" i="104"/>
  <c r="O128" i="105"/>
  <c r="S113" i="105"/>
  <c r="AA77" i="104"/>
  <c r="E73" i="294"/>
  <c r="BW61" i="105"/>
  <c r="BU75" i="105"/>
  <c r="N75" i="104"/>
  <c r="S75" i="105" s="1"/>
  <c r="N39" i="151" s="1"/>
  <c r="AV128" i="105"/>
  <c r="AV72" i="105"/>
  <c r="BR77" i="105"/>
  <c r="BR133" i="105" s="1"/>
  <c r="BR72" i="105"/>
  <c r="AP128" i="105"/>
  <c r="AP72" i="105"/>
  <c r="BM128" i="105"/>
  <c r="BM72" i="105"/>
  <c r="AT128" i="105"/>
  <c r="AT72" i="105"/>
  <c r="AW128" i="105"/>
  <c r="AW72" i="105"/>
  <c r="AR128" i="105"/>
  <c r="AR72" i="105"/>
  <c r="AN128" i="105"/>
  <c r="AN72" i="105"/>
  <c r="AM128" i="105"/>
  <c r="AM72" i="105"/>
  <c r="AX128" i="105"/>
  <c r="AX72" i="105"/>
  <c r="AS128" i="105"/>
  <c r="AS72" i="105"/>
  <c r="W77" i="104"/>
  <c r="AE77" i="104"/>
  <c r="AN77" i="105"/>
  <c r="AN133" i="105" s="1"/>
  <c r="P65" i="105"/>
  <c r="P66" i="105" s="1"/>
  <c r="AB77" i="104"/>
  <c r="AC77" i="104"/>
  <c r="AQ71" i="105"/>
  <c r="AT125" i="105"/>
  <c r="Z77" i="104"/>
  <c r="AR71" i="104"/>
  <c r="AR72" i="104" s="1"/>
  <c r="AO71" i="105"/>
  <c r="AO72" i="105" s="1"/>
  <c r="BA125" i="105"/>
  <c r="AV65" i="104"/>
  <c r="AV66" i="104" s="1"/>
  <c r="AK71" i="104"/>
  <c r="BT71" i="105"/>
  <c r="BT128" i="105" s="1"/>
  <c r="BO71" i="105"/>
  <c r="BJ65" i="104"/>
  <c r="AY71" i="105"/>
  <c r="AT65" i="104"/>
  <c r="AT66" i="104" s="1"/>
  <c r="BH71" i="104"/>
  <c r="AM71" i="104"/>
  <c r="BF71" i="105"/>
  <c r="BA65" i="104"/>
  <c r="BA66" i="104" s="1"/>
  <c r="BO71" i="104"/>
  <c r="BO72" i="104" s="1"/>
  <c r="BC65" i="104"/>
  <c r="BC66" i="104" s="1"/>
  <c r="AZ71" i="105"/>
  <c r="AU65" i="104"/>
  <c r="AU66" i="104" s="1"/>
  <c r="AO71" i="104"/>
  <c r="AS71" i="104"/>
  <c r="BE71" i="105"/>
  <c r="AZ65" i="104"/>
  <c r="AZ66" i="104" s="1"/>
  <c r="BK65" i="104"/>
  <c r="AX125" i="105"/>
  <c r="AJ71" i="104"/>
  <c r="AJ72" i="104" s="1"/>
  <c r="AN71" i="104"/>
  <c r="AN72" i="104" s="1"/>
  <c r="BD71" i="105"/>
  <c r="AY65" i="104"/>
  <c r="AY66" i="104" s="1"/>
  <c r="AW125" i="105"/>
  <c r="AL71" i="104"/>
  <c r="AQ71" i="104"/>
  <c r="AQ72" i="104" s="1"/>
  <c r="BC71" i="105"/>
  <c r="AX65" i="104"/>
  <c r="AX66" i="104" s="1"/>
  <c r="BL65" i="104"/>
  <c r="BN125" i="105"/>
  <c r="BI65" i="104"/>
  <c r="BB71" i="105"/>
  <c r="AW65" i="104"/>
  <c r="AW66" i="104" s="1"/>
  <c r="BM71" i="104"/>
  <c r="BM72" i="104" s="1"/>
  <c r="AW77" i="105"/>
  <c r="AW133" i="105" s="1"/>
  <c r="AM125" i="105"/>
  <c r="AV125" i="105"/>
  <c r="AI71" i="104"/>
  <c r="AI72" i="104" s="1"/>
  <c r="AS125" i="105"/>
  <c r="AH71" i="104"/>
  <c r="AT77" i="105"/>
  <c r="AT133" i="105" s="1"/>
  <c r="AU125" i="105"/>
  <c r="AU71" i="105"/>
  <c r="AU72" i="105" s="1"/>
  <c r="L64" i="104"/>
  <c r="Q64" i="105" s="1"/>
  <c r="L30" i="151" s="1"/>
  <c r="AY125" i="105"/>
  <c r="BE125" i="105"/>
  <c r="BP125" i="105"/>
  <c r="BF125" i="105"/>
  <c r="AZ125" i="105"/>
  <c r="BQ125" i="105"/>
  <c r="BR128" i="105"/>
  <c r="J71" i="104"/>
  <c r="J72" i="104" s="1"/>
  <c r="K65" i="104"/>
  <c r="K66" i="104" s="1"/>
  <c r="M62" i="103"/>
  <c r="M65" i="103"/>
  <c r="M66" i="103" s="1"/>
  <c r="BO125" i="105"/>
  <c r="AI128" i="105"/>
  <c r="BU61" i="105"/>
  <c r="N71" i="103"/>
  <c r="N72" i="103" s="1"/>
  <c r="N126" i="103"/>
  <c r="N127" i="103" s="1"/>
  <c r="P127" i="103" s="1"/>
  <c r="N65" i="99"/>
  <c r="BK65" i="105"/>
  <c r="BK66" i="105" s="1"/>
  <c r="BD131" i="105"/>
  <c r="AZ131" i="105"/>
  <c r="BH131" i="105"/>
  <c r="BC131" i="105"/>
  <c r="BN71" i="105"/>
  <c r="BF131" i="105"/>
  <c r="CA65" i="105"/>
  <c r="CA66" i="105" s="1"/>
  <c r="BQ131" i="105"/>
  <c r="BP131" i="105"/>
  <c r="BB131" i="105"/>
  <c r="BG131" i="105"/>
  <c r="AY131" i="105"/>
  <c r="BS131" i="105"/>
  <c r="BN131" i="105"/>
  <c r="BP71" i="105"/>
  <c r="BY65" i="105"/>
  <c r="BY66" i="105" s="1"/>
  <c r="BI65" i="105"/>
  <c r="BI66" i="105" s="1"/>
  <c r="BJ65" i="105"/>
  <c r="BJ66" i="105" s="1"/>
  <c r="BE131" i="105"/>
  <c r="BO131" i="105"/>
  <c r="BA131" i="105"/>
  <c r="BZ65" i="105"/>
  <c r="BZ66" i="105" s="1"/>
  <c r="U39" i="105"/>
  <c r="BQ71" i="105"/>
  <c r="CD65" i="105"/>
  <c r="CD66" i="105" s="1"/>
  <c r="CC65" i="105"/>
  <c r="CC66" i="105" s="1"/>
  <c r="Y46" i="72"/>
  <c r="AE46" i="72"/>
  <c r="Z46" i="72"/>
  <c r="AF46" i="72"/>
  <c r="X46" i="72"/>
  <c r="AA46" i="72"/>
  <c r="AB46" i="72"/>
  <c r="AG46" i="72"/>
  <c r="AH46" i="72"/>
  <c r="AD46" i="72"/>
  <c r="AC46" i="72"/>
  <c r="S54" i="105"/>
  <c r="S40" i="105"/>
  <c r="U40" i="105" s="1"/>
  <c r="N126" i="104"/>
  <c r="P126" i="104" s="1"/>
  <c r="P61" i="99"/>
  <c r="N126" i="99"/>
  <c r="N127" i="99" s="1"/>
  <c r="P127" i="99" s="1"/>
  <c r="N62" i="99"/>
  <c r="P62" i="99" s="1"/>
  <c r="P66" i="103"/>
  <c r="N40" i="104"/>
  <c r="P40" i="104" s="1"/>
  <c r="BE130" i="99"/>
  <c r="BE131" i="99" s="1"/>
  <c r="BE130" i="103"/>
  <c r="BE131" i="103" s="1"/>
  <c r="BE130" i="104"/>
  <c r="BE131" i="104" s="1"/>
  <c r="BN136" i="103"/>
  <c r="BN137" i="103" s="1"/>
  <c r="BN136" i="104"/>
  <c r="BN137" i="104" s="1"/>
  <c r="BI136" i="104"/>
  <c r="BI137" i="104" s="1"/>
  <c r="BI136" i="103"/>
  <c r="BI137" i="103" s="1"/>
  <c r="BF130" i="103"/>
  <c r="BF131" i="103" s="1"/>
  <c r="BF130" i="104"/>
  <c r="BF131" i="104" s="1"/>
  <c r="BF130" i="99"/>
  <c r="BF131" i="99" s="1"/>
  <c r="BW127" i="104"/>
  <c r="BW61" i="104"/>
  <c r="BW62" i="104" s="1"/>
  <c r="BP61" i="104"/>
  <c r="BP62" i="104" s="1"/>
  <c r="BP127" i="104"/>
  <c r="BD130" i="103"/>
  <c r="BD131" i="103" s="1"/>
  <c r="BD130" i="99"/>
  <c r="BD131" i="99" s="1"/>
  <c r="BD130" i="104"/>
  <c r="BD131" i="104" s="1"/>
  <c r="BR127" i="104"/>
  <c r="BR61" i="104"/>
  <c r="BR62" i="104" s="1"/>
  <c r="CB61" i="105"/>
  <c r="BT130" i="99"/>
  <c r="BT131" i="99" s="1"/>
  <c r="BT130" i="104"/>
  <c r="BT131" i="104" s="1"/>
  <c r="BT130" i="103"/>
  <c r="BT131" i="103" s="1"/>
  <c r="BV130" i="99"/>
  <c r="BV131" i="99" s="1"/>
  <c r="BV130" i="103"/>
  <c r="BV131" i="103" s="1"/>
  <c r="BV130" i="104"/>
  <c r="BV131" i="104" s="1"/>
  <c r="BU130" i="103"/>
  <c r="BU131" i="103" s="1"/>
  <c r="BU130" i="99"/>
  <c r="BU131" i="99" s="1"/>
  <c r="BU130" i="104"/>
  <c r="BU131" i="104" s="1"/>
  <c r="BL136" i="103"/>
  <c r="BL137" i="103" s="1"/>
  <c r="BL136" i="104"/>
  <c r="BL137" i="104" s="1"/>
  <c r="BS130" i="99"/>
  <c r="BS131" i="99" s="1"/>
  <c r="BS130" i="103"/>
  <c r="BS131" i="103" s="1"/>
  <c r="BS130" i="104"/>
  <c r="BS131" i="104" s="1"/>
  <c r="BK136" i="104"/>
  <c r="BK137" i="104" s="1"/>
  <c r="BK136" i="103"/>
  <c r="BK137" i="103" s="1"/>
  <c r="BJ136" i="103"/>
  <c r="BJ137" i="103" s="1"/>
  <c r="BJ136" i="104"/>
  <c r="BJ137" i="104" s="1"/>
  <c r="R61" i="105"/>
  <c r="R120" i="105" s="1"/>
  <c r="BG130" i="99"/>
  <c r="BG131" i="99" s="1"/>
  <c r="BG130" i="104"/>
  <c r="BG131" i="104" s="1"/>
  <c r="BG130" i="103"/>
  <c r="BG131" i="103" s="1"/>
  <c r="BG62" i="104"/>
  <c r="M61" i="104"/>
  <c r="BQ130" i="99"/>
  <c r="BQ131" i="99" s="1"/>
  <c r="BQ130" i="103"/>
  <c r="BQ131" i="103" s="1"/>
  <c r="BQ130" i="104"/>
  <c r="BQ131" i="104" s="1"/>
  <c r="BY130" i="103"/>
  <c r="BY131" i="103" s="1"/>
  <c r="BY130" i="104"/>
  <c r="BY131" i="104" s="1"/>
  <c r="AZ142" i="104"/>
  <c r="AZ142" i="103"/>
  <c r="BA142" i="104"/>
  <c r="BA142" i="103"/>
  <c r="BX130" i="104"/>
  <c r="BX131" i="104" s="1"/>
  <c r="BX130" i="103"/>
  <c r="BX131" i="103" s="1"/>
  <c r="BB142" i="104"/>
  <c r="BB142" i="103"/>
  <c r="AX142" i="103"/>
  <c r="AX142" i="104"/>
  <c r="AU142" i="103"/>
  <c r="AU142" i="104"/>
  <c r="AW142" i="103"/>
  <c r="AW142" i="104"/>
  <c r="AT142" i="103"/>
  <c r="AT142" i="104"/>
  <c r="BC142" i="104"/>
  <c r="BC142" i="103"/>
  <c r="AY142" i="104"/>
  <c r="AY142" i="103"/>
  <c r="K142" i="103"/>
  <c r="K142" i="104"/>
  <c r="AV142" i="104"/>
  <c r="AV142" i="103"/>
  <c r="L142" i="104"/>
  <c r="L142" i="103"/>
  <c r="P129" i="104"/>
  <c r="P65" i="103"/>
  <c r="BY130" i="99"/>
  <c r="BY131" i="99" s="1"/>
  <c r="AU142" i="99"/>
  <c r="AY142" i="99"/>
  <c r="BX62" i="104"/>
  <c r="AW142" i="99"/>
  <c r="AP77" i="104"/>
  <c r="AX142" i="99"/>
  <c r="BC142" i="99"/>
  <c r="BA142" i="99"/>
  <c r="BX130" i="99"/>
  <c r="BX131" i="99" s="1"/>
  <c r="BB142" i="99"/>
  <c r="AV142" i="99"/>
  <c r="AT142" i="99"/>
  <c r="P61" i="103"/>
  <c r="N62" i="103"/>
  <c r="P62" i="103" s="1"/>
  <c r="AZ142" i="99"/>
  <c r="K142" i="99"/>
  <c r="L142" i="99"/>
  <c r="CB120" i="105" l="1"/>
  <c r="CB62" i="105"/>
  <c r="BU120" i="105"/>
  <c r="BU62" i="105"/>
  <c r="BW120" i="105"/>
  <c r="BW62" i="105"/>
  <c r="P123" i="105"/>
  <c r="I21" i="294"/>
  <c r="BP39" i="151"/>
  <c r="BQ33" i="72"/>
  <c r="BK71" i="104"/>
  <c r="BK72" i="104" s="1"/>
  <c r="BK66" i="104"/>
  <c r="AK77" i="104"/>
  <c r="AK72" i="104"/>
  <c r="BN71" i="104"/>
  <c r="BN72" i="104" s="1"/>
  <c r="BN66" i="104"/>
  <c r="BJ71" i="104"/>
  <c r="BJ72" i="104" s="1"/>
  <c r="BJ66" i="104"/>
  <c r="BI71" i="104"/>
  <c r="BI72" i="104" s="1"/>
  <c r="BI66" i="104"/>
  <c r="AS77" i="104"/>
  <c r="AS72" i="104"/>
  <c r="AO77" i="104"/>
  <c r="AO72" i="104"/>
  <c r="BH77" i="104"/>
  <c r="BH72" i="104"/>
  <c r="BL71" i="104"/>
  <c r="BL72" i="104" s="1"/>
  <c r="BL66" i="104"/>
  <c r="AL77" i="104"/>
  <c r="AL72" i="104"/>
  <c r="AH77" i="104"/>
  <c r="AH72" i="104"/>
  <c r="AM77" i="104"/>
  <c r="AM72" i="104"/>
  <c r="BQ137" i="99"/>
  <c r="BG137" i="99"/>
  <c r="BS137" i="99"/>
  <c r="BV137" i="99"/>
  <c r="BU137" i="99"/>
  <c r="BE137" i="99"/>
  <c r="BD137" i="99"/>
  <c r="BX137" i="99"/>
  <c r="BY137" i="99"/>
  <c r="BF137" i="99"/>
  <c r="BT137" i="99"/>
  <c r="CD123" i="105"/>
  <c r="CA123" i="105"/>
  <c r="CC123" i="105"/>
  <c r="BX123" i="105"/>
  <c r="BZ123" i="105"/>
  <c r="BL123" i="105"/>
  <c r="BV123" i="105"/>
  <c r="BJ123" i="105"/>
  <c r="BK123" i="105"/>
  <c r="Q122" i="105"/>
  <c r="BI123" i="105"/>
  <c r="BY123" i="105"/>
  <c r="AQ77" i="104"/>
  <c r="P125" i="105"/>
  <c r="Q131" i="105"/>
  <c r="BW65" i="105"/>
  <c r="BW66" i="105" s="1"/>
  <c r="P126" i="103"/>
  <c r="U113" i="105"/>
  <c r="BQ128" i="105"/>
  <c r="BQ72" i="105"/>
  <c r="BP128" i="105"/>
  <c r="BP72" i="105"/>
  <c r="BN128" i="105"/>
  <c r="BN72" i="105"/>
  <c r="BB128" i="105"/>
  <c r="BB72" i="105"/>
  <c r="BC128" i="105"/>
  <c r="BC72" i="105"/>
  <c r="BD128" i="105"/>
  <c r="BD72" i="105"/>
  <c r="BE128" i="105"/>
  <c r="BE72" i="105"/>
  <c r="AZ128" i="105"/>
  <c r="AZ72" i="105"/>
  <c r="BF128" i="105"/>
  <c r="BF72" i="105"/>
  <c r="AY128" i="105"/>
  <c r="AY72" i="105"/>
  <c r="BO128" i="105"/>
  <c r="BO72" i="105"/>
  <c r="BT72" i="105"/>
  <c r="AQ128" i="105"/>
  <c r="AQ72" i="105"/>
  <c r="J77" i="104"/>
  <c r="AQ77" i="105"/>
  <c r="AQ133" i="105" s="1"/>
  <c r="AJ77" i="104"/>
  <c r="AR77" i="104"/>
  <c r="AZ77" i="105"/>
  <c r="AZ133" i="105" s="1"/>
  <c r="BC125" i="105"/>
  <c r="Q65" i="105"/>
  <c r="Q66" i="105" s="1"/>
  <c r="BA71" i="105"/>
  <c r="F73" i="294"/>
  <c r="AY71" i="104"/>
  <c r="AY72" i="104" s="1"/>
  <c r="BH125" i="105"/>
  <c r="BV65" i="104"/>
  <c r="BE65" i="104"/>
  <c r="BS65" i="104"/>
  <c r="BD125" i="105"/>
  <c r="AT71" i="104"/>
  <c r="BO77" i="104"/>
  <c r="BV125" i="105"/>
  <c r="BQ65" i="104"/>
  <c r="AZ71" i="104"/>
  <c r="AW71" i="104"/>
  <c r="AW72" i="104" s="1"/>
  <c r="AX71" i="104"/>
  <c r="AX72" i="104" s="1"/>
  <c r="BY125" i="105"/>
  <c r="BT65" i="104"/>
  <c r="AV71" i="104"/>
  <c r="AI77" i="104"/>
  <c r="AN77" i="104"/>
  <c r="BH71" i="105"/>
  <c r="BL71" i="105"/>
  <c r="BG65" i="104"/>
  <c r="AU71" i="104"/>
  <c r="AO128" i="105"/>
  <c r="BZ71" i="105"/>
  <c r="BU65" i="104"/>
  <c r="BB125" i="105"/>
  <c r="BI71" i="105"/>
  <c r="BD65" i="104"/>
  <c r="BM77" i="104"/>
  <c r="BA71" i="104"/>
  <c r="BA72" i="104" s="1"/>
  <c r="BC77" i="105"/>
  <c r="BC133" i="105" s="1"/>
  <c r="BF65" i="104"/>
  <c r="BU65" i="105"/>
  <c r="BU66" i="105" s="1"/>
  <c r="BC71" i="104"/>
  <c r="BC72" i="104" s="1"/>
  <c r="BF77" i="105"/>
  <c r="BF133" i="105" s="1"/>
  <c r="BX125" i="105"/>
  <c r="BG125" i="105"/>
  <c r="BG71" i="105"/>
  <c r="BG72" i="105" s="1"/>
  <c r="P71" i="105"/>
  <c r="M64" i="104"/>
  <c r="R64" i="105" s="1"/>
  <c r="M30" i="151" s="1"/>
  <c r="CA125" i="105"/>
  <c r="K71" i="104"/>
  <c r="K72" i="104" s="1"/>
  <c r="BJ125" i="105"/>
  <c r="BS125" i="105"/>
  <c r="BS71" i="105"/>
  <c r="BS72" i="105" s="1"/>
  <c r="L65" i="104"/>
  <c r="L66" i="104" s="1"/>
  <c r="AU128" i="105"/>
  <c r="BL125" i="105"/>
  <c r="BX71" i="105"/>
  <c r="BK125" i="105"/>
  <c r="N66" i="99"/>
  <c r="P66" i="99" s="1"/>
  <c r="N71" i="99"/>
  <c r="BJ71" i="105"/>
  <c r="CB65" i="105"/>
  <c r="CB66" i="105" s="1"/>
  <c r="BK131" i="105"/>
  <c r="BZ131" i="105"/>
  <c r="CA131" i="105"/>
  <c r="BX131" i="105"/>
  <c r="BI131" i="105"/>
  <c r="CA71" i="105"/>
  <c r="CC131" i="105"/>
  <c r="BJ131" i="105"/>
  <c r="BY131" i="105"/>
  <c r="BV131" i="105"/>
  <c r="BO77" i="105"/>
  <c r="BO133" i="105" s="1"/>
  <c r="BK71" i="105"/>
  <c r="AK46" i="72"/>
  <c r="AP46" i="72"/>
  <c r="AL46" i="72"/>
  <c r="AQ46" i="72"/>
  <c r="AO46" i="72"/>
  <c r="AM46" i="72"/>
  <c r="AJ46" i="72"/>
  <c r="AI46" i="72"/>
  <c r="AN46" i="72"/>
  <c r="AR46" i="72"/>
  <c r="AS46" i="72"/>
  <c r="AU46" i="72"/>
  <c r="AT46" i="72"/>
  <c r="U54" i="105"/>
  <c r="S61" i="105"/>
  <c r="N127" i="104"/>
  <c r="P127" i="104" s="1"/>
  <c r="P126" i="99"/>
  <c r="N61" i="104"/>
  <c r="P61" i="104" s="1"/>
  <c r="BI142" i="104"/>
  <c r="BI142" i="103"/>
  <c r="BI142" i="99"/>
  <c r="BN142" i="99"/>
  <c r="BN142" i="103"/>
  <c r="BN142" i="104"/>
  <c r="BR130" i="99"/>
  <c r="BR131" i="99" s="1"/>
  <c r="BR130" i="103"/>
  <c r="BR131" i="103" s="1"/>
  <c r="BR130" i="104"/>
  <c r="BR131" i="104" s="1"/>
  <c r="BP130" i="99"/>
  <c r="BP131" i="99" s="1"/>
  <c r="BP130" i="104"/>
  <c r="BP130" i="103"/>
  <c r="BP131" i="103" s="1"/>
  <c r="BF136" i="104"/>
  <c r="BF137" i="104" s="1"/>
  <c r="BF136" i="103"/>
  <c r="BF137" i="103" s="1"/>
  <c r="BE136" i="104"/>
  <c r="BE137" i="104" s="1"/>
  <c r="BE136" i="103"/>
  <c r="BE137" i="103" s="1"/>
  <c r="BD136" i="103"/>
  <c r="BD137" i="103" s="1"/>
  <c r="BD136" i="104"/>
  <c r="BD137" i="104" s="1"/>
  <c r="BW130" i="104"/>
  <c r="BW131" i="104" s="1"/>
  <c r="BW130" i="103"/>
  <c r="BW131" i="103" s="1"/>
  <c r="BW130" i="99"/>
  <c r="BW131" i="99" s="1"/>
  <c r="BU136" i="103"/>
  <c r="BU137" i="103" s="1"/>
  <c r="BU136" i="104"/>
  <c r="BU137" i="104" s="1"/>
  <c r="BT136" i="103"/>
  <c r="BT137" i="103" s="1"/>
  <c r="BT136" i="104"/>
  <c r="BT137" i="104" s="1"/>
  <c r="BS136" i="103"/>
  <c r="BS137" i="103" s="1"/>
  <c r="BS136" i="104"/>
  <c r="BS137" i="104" s="1"/>
  <c r="BJ142" i="99"/>
  <c r="BJ142" i="103"/>
  <c r="BJ142" i="104"/>
  <c r="BK142" i="99"/>
  <c r="BK142" i="104"/>
  <c r="BK142" i="103"/>
  <c r="BV136" i="104"/>
  <c r="BV137" i="104" s="1"/>
  <c r="BV136" i="103"/>
  <c r="BV137" i="103" s="1"/>
  <c r="BL142" i="104"/>
  <c r="BL142" i="99"/>
  <c r="BL142" i="103"/>
  <c r="M130" i="99"/>
  <c r="M131" i="99" s="1"/>
  <c r="M130" i="103"/>
  <c r="M131" i="103" s="1"/>
  <c r="M130" i="104"/>
  <c r="M131" i="104" s="1"/>
  <c r="M62" i="104"/>
  <c r="BG136" i="104"/>
  <c r="BG137" i="104" s="1"/>
  <c r="BG136" i="103"/>
  <c r="BG137" i="103" s="1"/>
  <c r="R62" i="105"/>
  <c r="BQ136" i="104"/>
  <c r="BQ137" i="104" s="1"/>
  <c r="BQ136" i="103"/>
  <c r="BQ137" i="103" s="1"/>
  <c r="BY136" i="103"/>
  <c r="BY137" i="103" s="1"/>
  <c r="BY136" i="104"/>
  <c r="BY137" i="104" s="1"/>
  <c r="BX136" i="103"/>
  <c r="BX137" i="103" s="1"/>
  <c r="BX136" i="104"/>
  <c r="BX137" i="104" s="1"/>
  <c r="BB77" i="104"/>
  <c r="S120" i="105" l="1"/>
  <c r="BU123" i="105"/>
  <c r="Q123" i="105"/>
  <c r="BD71" i="104"/>
  <c r="BD72" i="104" s="1"/>
  <c r="BD66" i="104"/>
  <c r="AZ77" i="104"/>
  <c r="AZ72" i="104"/>
  <c r="BU71" i="104"/>
  <c r="BU72" i="104" s="1"/>
  <c r="BU66" i="104"/>
  <c r="AT77" i="104"/>
  <c r="AT72" i="104"/>
  <c r="BS71" i="104"/>
  <c r="BS72" i="104" s="1"/>
  <c r="BS66" i="104"/>
  <c r="AU77" i="104"/>
  <c r="AU72" i="104"/>
  <c r="BE71" i="104"/>
  <c r="BE72" i="104" s="1"/>
  <c r="BE66" i="104"/>
  <c r="BV71" i="104"/>
  <c r="BV72" i="104" s="1"/>
  <c r="BV66" i="104"/>
  <c r="BG71" i="104"/>
  <c r="BG72" i="104" s="1"/>
  <c r="BG66" i="104"/>
  <c r="BQ71" i="104"/>
  <c r="BQ72" i="104" s="1"/>
  <c r="BQ66" i="104"/>
  <c r="AV77" i="104"/>
  <c r="AV72" i="104"/>
  <c r="BP65" i="104"/>
  <c r="BP131" i="104"/>
  <c r="BF71" i="104"/>
  <c r="BF72" i="104" s="1"/>
  <c r="BF66" i="104"/>
  <c r="BT71" i="104"/>
  <c r="BT72" i="104" s="1"/>
  <c r="BT66" i="104"/>
  <c r="BP137" i="99"/>
  <c r="BR137" i="99"/>
  <c r="BW137" i="99"/>
  <c r="N77" i="99"/>
  <c r="N72" i="99"/>
  <c r="R122" i="105"/>
  <c r="BW123" i="105"/>
  <c r="CB123" i="105"/>
  <c r="Q125" i="105"/>
  <c r="R65" i="105"/>
  <c r="R66" i="105" s="1"/>
  <c r="K77" i="104"/>
  <c r="P128" i="105"/>
  <c r="BA77" i="104"/>
  <c r="U120" i="105"/>
  <c r="P72" i="105"/>
  <c r="BK128" i="105"/>
  <c r="BK72" i="105"/>
  <c r="CA128" i="105"/>
  <c r="CA72" i="105"/>
  <c r="BJ128" i="105"/>
  <c r="BJ72" i="105"/>
  <c r="BX128" i="105"/>
  <c r="BX72" i="105"/>
  <c r="BI128" i="105"/>
  <c r="BI72" i="105"/>
  <c r="BZ128" i="105"/>
  <c r="BZ72" i="105"/>
  <c r="BL128" i="105"/>
  <c r="BL72" i="105"/>
  <c r="BH128" i="105"/>
  <c r="BH72" i="105"/>
  <c r="BA72" i="105"/>
  <c r="BC77" i="104"/>
  <c r="BV71" i="105"/>
  <c r="BA128" i="105"/>
  <c r="Q128" i="105" s="1"/>
  <c r="G73" i="294"/>
  <c r="BZ125" i="105"/>
  <c r="AY77" i="104"/>
  <c r="BY71" i="105"/>
  <c r="AW77" i="104"/>
  <c r="BI125" i="105"/>
  <c r="R125" i="105" s="1"/>
  <c r="BX65" i="104"/>
  <c r="BX66" i="104" s="1"/>
  <c r="BW71" i="105"/>
  <c r="BR65" i="104"/>
  <c r="AX77" i="104"/>
  <c r="CD71" i="105"/>
  <c r="BY65" i="104"/>
  <c r="BY66" i="104" s="1"/>
  <c r="CB71" i="105"/>
  <c r="BW65" i="104"/>
  <c r="CB125" i="105"/>
  <c r="BW125" i="105"/>
  <c r="N64" i="104"/>
  <c r="S64" i="105" s="1"/>
  <c r="N30" i="151" s="1"/>
  <c r="M65" i="104"/>
  <c r="CC71" i="105"/>
  <c r="L71" i="104"/>
  <c r="L72" i="104" s="1"/>
  <c r="BG128" i="105"/>
  <c r="Q71" i="105"/>
  <c r="CD125" i="105"/>
  <c r="BX77" i="105"/>
  <c r="BX133" i="105" s="1"/>
  <c r="BS128" i="105"/>
  <c r="M71" i="103"/>
  <c r="M72" i="103" s="1"/>
  <c r="BI77" i="105"/>
  <c r="BI133" i="105" s="1"/>
  <c r="CA77" i="105"/>
  <c r="CA133" i="105" s="1"/>
  <c r="CB131" i="105"/>
  <c r="BU131" i="105"/>
  <c r="CD131" i="105"/>
  <c r="BL77" i="105"/>
  <c r="BL133" i="105" s="1"/>
  <c r="BL131" i="105"/>
  <c r="R131" i="105" s="1"/>
  <c r="BW131" i="105"/>
  <c r="AV46" i="72"/>
  <c r="BC46" i="72"/>
  <c r="BA46" i="72"/>
  <c r="BB46" i="72"/>
  <c r="AZ46" i="72"/>
  <c r="AX46" i="72"/>
  <c r="BD46" i="72"/>
  <c r="AW46" i="72"/>
  <c r="AY46" i="72"/>
  <c r="BE46" i="72"/>
  <c r="U61" i="105"/>
  <c r="S62" i="105"/>
  <c r="U62" i="105" s="1"/>
  <c r="N130" i="99"/>
  <c r="N130" i="104"/>
  <c r="N130" i="103"/>
  <c r="P65" i="99"/>
  <c r="N136" i="104"/>
  <c r="N62" i="104"/>
  <c r="P62" i="104" s="1"/>
  <c r="BE142" i="99"/>
  <c r="BE142" i="103"/>
  <c r="BE142" i="104"/>
  <c r="BD142" i="103"/>
  <c r="BD142" i="99"/>
  <c r="BD142" i="104"/>
  <c r="BW136" i="104"/>
  <c r="BW137" i="104" s="1"/>
  <c r="BW136" i="103"/>
  <c r="BW137" i="103" s="1"/>
  <c r="BF142" i="99"/>
  <c r="BF142" i="103"/>
  <c r="BF142" i="104"/>
  <c r="BN77" i="104"/>
  <c r="BP136" i="103"/>
  <c r="BP137" i="103" s="1"/>
  <c r="BP136" i="104"/>
  <c r="BP137" i="104" s="1"/>
  <c r="BI77" i="104"/>
  <c r="BR136" i="104"/>
  <c r="BR137" i="104" s="1"/>
  <c r="BR136" i="103"/>
  <c r="BR137" i="103" s="1"/>
  <c r="BU142" i="99"/>
  <c r="BU142" i="104"/>
  <c r="BU142" i="103"/>
  <c r="BV142" i="99"/>
  <c r="BV142" i="104"/>
  <c r="BV142" i="103"/>
  <c r="BS142" i="99"/>
  <c r="BS142" i="103"/>
  <c r="BS142" i="104"/>
  <c r="BJ77" i="104"/>
  <c r="BL77" i="104"/>
  <c r="BT142" i="104"/>
  <c r="BT142" i="103"/>
  <c r="BT142" i="99"/>
  <c r="BK77" i="104"/>
  <c r="BG142" i="103"/>
  <c r="BG142" i="99"/>
  <c r="BG142" i="104"/>
  <c r="M136" i="104"/>
  <c r="M137" i="104" s="1"/>
  <c r="M136" i="99"/>
  <c r="M137" i="99" s="1"/>
  <c r="M136" i="103"/>
  <c r="M137" i="103" s="1"/>
  <c r="BQ142" i="99"/>
  <c r="BQ142" i="103"/>
  <c r="BQ142" i="104"/>
  <c r="BY142" i="103"/>
  <c r="BY142" i="104"/>
  <c r="BX142" i="103"/>
  <c r="BX142" i="104"/>
  <c r="BX142" i="99"/>
  <c r="BY142" i="99"/>
  <c r="N137" i="104" l="1"/>
  <c r="P137" i="104" s="1"/>
  <c r="BW71" i="104"/>
  <c r="BW72" i="104" s="1"/>
  <c r="BW66" i="104"/>
  <c r="N131" i="104"/>
  <c r="P131" i="104" s="1"/>
  <c r="BR71" i="104"/>
  <c r="BR72" i="104" s="1"/>
  <c r="BR66" i="104"/>
  <c r="BP71" i="104"/>
  <c r="BP72" i="104" s="1"/>
  <c r="BP66" i="104"/>
  <c r="M71" i="104"/>
  <c r="M72" i="104" s="1"/>
  <c r="M66" i="104"/>
  <c r="N131" i="103"/>
  <c r="P131" i="103" s="1"/>
  <c r="N131" i="99"/>
  <c r="P131" i="99" s="1"/>
  <c r="S122" i="105"/>
  <c r="U122" i="105" s="1"/>
  <c r="R123" i="105"/>
  <c r="R71" i="105"/>
  <c r="R72" i="105" s="1"/>
  <c r="R128" i="105"/>
  <c r="S131" i="105"/>
  <c r="U131" i="105" s="1"/>
  <c r="S65" i="105"/>
  <c r="S66" i="105" s="1"/>
  <c r="Q72" i="105"/>
  <c r="U64" i="105"/>
  <c r="L77" i="104"/>
  <c r="CC128" i="105"/>
  <c r="CC72" i="105"/>
  <c r="CB128" i="105"/>
  <c r="CB72" i="105"/>
  <c r="CD128" i="105"/>
  <c r="CD72" i="105"/>
  <c r="BW128" i="105"/>
  <c r="BW72" i="105"/>
  <c r="BY128" i="105"/>
  <c r="BY72" i="105"/>
  <c r="BV128" i="105"/>
  <c r="BV72" i="105"/>
  <c r="CD77" i="105"/>
  <c r="CD133" i="105" s="1"/>
  <c r="H73" i="294"/>
  <c r="CC125" i="105"/>
  <c r="BY71" i="104"/>
  <c r="BY72" i="104" s="1"/>
  <c r="BX71" i="104"/>
  <c r="BX72" i="104" s="1"/>
  <c r="N65" i="104"/>
  <c r="P64" i="104"/>
  <c r="BU125" i="105"/>
  <c r="BU71" i="105"/>
  <c r="BU72" i="105" s="1"/>
  <c r="CB77" i="105"/>
  <c r="CB133" i="105" s="1"/>
  <c r="BG46" i="72"/>
  <c r="BF46" i="72"/>
  <c r="BO46" i="72"/>
  <c r="P130" i="104"/>
  <c r="P130" i="103"/>
  <c r="P130" i="99"/>
  <c r="N136" i="103"/>
  <c r="P71" i="99"/>
  <c r="N136" i="99"/>
  <c r="N142" i="99"/>
  <c r="P142" i="99" s="1"/>
  <c r="P72" i="99"/>
  <c r="BP142" i="99"/>
  <c r="BP142" i="103"/>
  <c r="BP142" i="104"/>
  <c r="BD77" i="104"/>
  <c r="BW142" i="103"/>
  <c r="BW142" i="99"/>
  <c r="BW142" i="104"/>
  <c r="BR142" i="99"/>
  <c r="BR142" i="103"/>
  <c r="BR142" i="104"/>
  <c r="BF77" i="104"/>
  <c r="BE77" i="104"/>
  <c r="BS77" i="104"/>
  <c r="BU77" i="104"/>
  <c r="BT77" i="104"/>
  <c r="BV77" i="104"/>
  <c r="M142" i="104"/>
  <c r="M142" i="99"/>
  <c r="M142" i="103"/>
  <c r="BG77" i="104"/>
  <c r="BQ77" i="104"/>
  <c r="P136" i="104"/>
  <c r="H81" i="294"/>
  <c r="N71" i="104" l="1"/>
  <c r="N72" i="104" s="1"/>
  <c r="P72" i="104" s="1"/>
  <c r="N66" i="104"/>
  <c r="P66" i="104" s="1"/>
  <c r="N137" i="103"/>
  <c r="P137" i="103" s="1"/>
  <c r="N137" i="99"/>
  <c r="P137" i="99" s="1"/>
  <c r="I73" i="294"/>
  <c r="J73" i="294" s="1"/>
  <c r="S71" i="105"/>
  <c r="U71" i="105" s="1"/>
  <c r="S123" i="105"/>
  <c r="U123" i="105" s="1"/>
  <c r="U66" i="105"/>
  <c r="U65" i="105"/>
  <c r="S125" i="105"/>
  <c r="U125" i="105" s="1"/>
  <c r="P65" i="104"/>
  <c r="BX77" i="104"/>
  <c r="BY77" i="104"/>
  <c r="BU128" i="105"/>
  <c r="S128" i="105" s="1"/>
  <c r="U128" i="105" s="1"/>
  <c r="BU77" i="105"/>
  <c r="BU133" i="105" s="1"/>
  <c r="U68" i="105"/>
  <c r="I76" i="294"/>
  <c r="J76" i="294" s="1"/>
  <c r="BS46" i="72"/>
  <c r="BH46" i="72"/>
  <c r="BM46" i="72"/>
  <c r="BJ46" i="72"/>
  <c r="BU46" i="72"/>
  <c r="BI46" i="72"/>
  <c r="BK46" i="72"/>
  <c r="BN46" i="72"/>
  <c r="BP46" i="72"/>
  <c r="BL46" i="72"/>
  <c r="BQ46" i="72"/>
  <c r="BZ46" i="72"/>
  <c r="BW46" i="72"/>
  <c r="BX46" i="72"/>
  <c r="BR46" i="72"/>
  <c r="BY46" i="72"/>
  <c r="BT46" i="72"/>
  <c r="BV46" i="72"/>
  <c r="P136" i="103"/>
  <c r="N142" i="104"/>
  <c r="P142" i="104" s="1"/>
  <c r="N142" i="103"/>
  <c r="P142" i="103" s="1"/>
  <c r="P136" i="99"/>
  <c r="P77" i="99"/>
  <c r="BR77" i="104"/>
  <c r="M77" i="104"/>
  <c r="BP77" i="104"/>
  <c r="BW77" i="104"/>
  <c r="E76" i="294"/>
  <c r="F76" i="294"/>
  <c r="G81" i="294"/>
  <c r="I81" i="294"/>
  <c r="J81" i="294" s="1"/>
  <c r="P71" i="104" l="1"/>
  <c r="S72" i="105"/>
  <c r="U72" i="105" s="1"/>
  <c r="N77" i="104"/>
  <c r="P77" i="104" s="1"/>
  <c r="U75" i="105"/>
  <c r="G76" i="294"/>
  <c r="H76" i="294"/>
  <c r="F81" i="294" l="1"/>
  <c r="I70" i="294"/>
  <c r="J70" i="294" s="1"/>
  <c r="E70" i="294"/>
  <c r="G67" i="294"/>
  <c r="I67" i="294"/>
  <c r="J67" i="294" s="1"/>
  <c r="H70" i="294"/>
  <c r="H67" i="294"/>
  <c r="E67" i="294"/>
  <c r="F67" i="294"/>
  <c r="F70" i="294"/>
  <c r="G70" i="294"/>
  <c r="F66" i="294" l="1"/>
  <c r="E66" i="294"/>
  <c r="X25" i="151" l="1"/>
  <c r="X28" i="151" s="1"/>
  <c r="X31" i="151" s="1"/>
  <c r="X36" i="151" s="1"/>
  <c r="R25" i="151"/>
  <c r="R28" i="151" s="1"/>
  <c r="R31" i="151" s="1"/>
  <c r="R36" i="151" s="1"/>
  <c r="W25" i="151"/>
  <c r="W28" i="151" s="1"/>
  <c r="W31" i="151" s="1"/>
  <c r="W36" i="151" s="1"/>
  <c r="H66" i="294"/>
  <c r="G66" i="294"/>
  <c r="U25" i="151" l="1"/>
  <c r="U28" i="151" s="1"/>
  <c r="U31" i="151" s="1"/>
  <c r="U36" i="151" s="1"/>
  <c r="V25" i="151"/>
  <c r="V28" i="151" s="1"/>
  <c r="V31" i="151" s="1"/>
  <c r="V36" i="151" s="1"/>
  <c r="E77" i="294"/>
  <c r="S25" i="151" l="1"/>
  <c r="S28" i="151" s="1"/>
  <c r="S31" i="151" s="1"/>
  <c r="S36" i="151" s="1"/>
  <c r="T25" i="151"/>
  <c r="T28" i="151" s="1"/>
  <c r="T31" i="151" s="1"/>
  <c r="T36" i="151" s="1"/>
  <c r="I66" i="294"/>
  <c r="J66" i="294" s="1"/>
  <c r="G77" i="294"/>
  <c r="AA25" i="151" l="1"/>
  <c r="AA28" i="151" s="1"/>
  <c r="AA31" i="151" s="1"/>
  <c r="AA36" i="151" s="1"/>
  <c r="AE25" i="151"/>
  <c r="AE28" i="151" s="1"/>
  <c r="AE31" i="151" s="1"/>
  <c r="AE36" i="151" s="1"/>
  <c r="AK25" i="151"/>
  <c r="AK28" i="151" s="1"/>
  <c r="AK31" i="151" s="1"/>
  <c r="AK36" i="151" s="1"/>
  <c r="AP25" i="151"/>
  <c r="AP28" i="151" s="1"/>
  <c r="AP31" i="151" s="1"/>
  <c r="AP36" i="151" s="1"/>
  <c r="AF25" i="151"/>
  <c r="AF28" i="151" s="1"/>
  <c r="AF31" i="151" s="1"/>
  <c r="AF36" i="151" s="1"/>
  <c r="AN25" i="151"/>
  <c r="AN28" i="151" s="1"/>
  <c r="AN31" i="151" s="1"/>
  <c r="AN36" i="151" s="1"/>
  <c r="Y25" i="151"/>
  <c r="Y28" i="151" s="1"/>
  <c r="Y31" i="151" s="1"/>
  <c r="Y36" i="151" s="1"/>
  <c r="AQ25" i="151"/>
  <c r="AQ28" i="151" s="1"/>
  <c r="AQ31" i="151" s="1"/>
  <c r="AQ36" i="151" s="1"/>
  <c r="AV25" i="151"/>
  <c r="AV28" i="151" s="1"/>
  <c r="AV31" i="151" s="1"/>
  <c r="AV36" i="151" s="1"/>
  <c r="AB25" i="151"/>
  <c r="AB28" i="151" s="1"/>
  <c r="AB31" i="151" s="1"/>
  <c r="AB36" i="151" s="1"/>
  <c r="AI25" i="151"/>
  <c r="AI28" i="151" s="1"/>
  <c r="AI31" i="151" s="1"/>
  <c r="AI36" i="151" s="1"/>
  <c r="F77" i="294"/>
  <c r="AO25" i="151" l="1"/>
  <c r="AO28" i="151" s="1"/>
  <c r="AO31" i="151" s="1"/>
  <c r="AO36" i="151" s="1"/>
  <c r="AR25" i="151"/>
  <c r="AR28" i="151" s="1"/>
  <c r="AR31" i="151" s="1"/>
  <c r="AR36" i="151" s="1"/>
  <c r="BH25" i="151"/>
  <c r="BH28" i="151" s="1"/>
  <c r="BH31" i="151" s="1"/>
  <c r="BH36" i="151" s="1"/>
  <c r="AS25" i="151"/>
  <c r="AS28" i="151" s="1"/>
  <c r="AS31" i="151" s="1"/>
  <c r="AS36" i="151" s="1"/>
  <c r="AJ25" i="151"/>
  <c r="AJ28" i="151" s="1"/>
  <c r="AJ31" i="151" s="1"/>
  <c r="AJ36" i="151" s="1"/>
  <c r="BC25" i="151"/>
  <c r="BC28" i="151" s="1"/>
  <c r="BC31" i="151" s="1"/>
  <c r="BC36" i="151" s="1"/>
  <c r="AT25" i="151"/>
  <c r="AT28" i="151" s="1"/>
  <c r="AT31" i="151" s="1"/>
  <c r="AT36" i="151" s="1"/>
  <c r="AM25" i="151"/>
  <c r="AM28" i="151" s="1"/>
  <c r="AM31" i="151" s="1"/>
  <c r="AM36" i="151" s="1"/>
  <c r="AU25" i="151"/>
  <c r="AU28" i="151" s="1"/>
  <c r="AU31" i="151" s="1"/>
  <c r="AU36" i="151" s="1"/>
  <c r="AH25" i="151"/>
  <c r="AH28" i="151" s="1"/>
  <c r="AH31" i="151" s="1"/>
  <c r="AH36" i="151" s="1"/>
  <c r="BG25" i="151"/>
  <c r="BG28" i="151" s="1"/>
  <c r="BG31" i="151" s="1"/>
  <c r="BG36" i="151" s="1"/>
  <c r="AC25" i="151"/>
  <c r="AC28" i="151" s="1"/>
  <c r="AC31" i="151" s="1"/>
  <c r="AC36" i="151" s="1"/>
  <c r="AG25" i="151"/>
  <c r="AG28" i="151" s="1"/>
  <c r="AG31" i="151" s="1"/>
  <c r="AG36" i="151" s="1"/>
  <c r="AL25" i="151"/>
  <c r="AL28" i="151" s="1"/>
  <c r="AL31" i="151" s="1"/>
  <c r="AL36" i="151" s="1"/>
  <c r="Z25" i="151"/>
  <c r="Z28" i="151" s="1"/>
  <c r="Z31" i="151" s="1"/>
  <c r="Z36" i="151" s="1"/>
  <c r="BA25" i="151"/>
  <c r="BA28" i="151" s="1"/>
  <c r="BA31" i="151" s="1"/>
  <c r="BA36" i="151" s="1"/>
  <c r="AD25" i="151"/>
  <c r="AD28" i="151" s="1"/>
  <c r="AD31" i="151" s="1"/>
  <c r="AD36" i="151" s="1"/>
  <c r="BF25" i="151"/>
  <c r="BF28" i="151" s="1"/>
  <c r="BF31" i="151" s="1"/>
  <c r="BF36" i="151" s="1"/>
  <c r="BB25" i="151"/>
  <c r="BB28" i="151" s="1"/>
  <c r="BB31" i="151" s="1"/>
  <c r="BB36" i="151" s="1"/>
  <c r="BE25" i="151"/>
  <c r="BE28" i="151" s="1"/>
  <c r="BE31" i="151" s="1"/>
  <c r="BE36" i="151" s="1"/>
  <c r="H77" i="294"/>
  <c r="AZ25" i="151" l="1"/>
  <c r="AZ28" i="151" s="1"/>
  <c r="AZ31" i="151" s="1"/>
  <c r="AZ36" i="151" s="1"/>
  <c r="BQ25" i="151"/>
  <c r="BQ28" i="151" s="1"/>
  <c r="BQ31" i="151" s="1"/>
  <c r="BQ36" i="151" s="1"/>
  <c r="BD25" i="151"/>
  <c r="BD28" i="151" s="1"/>
  <c r="BD31" i="151" s="1"/>
  <c r="BD36" i="151" s="1"/>
  <c r="AX25" i="151"/>
  <c r="AX28" i="151" s="1"/>
  <c r="AX31" i="151" s="1"/>
  <c r="AX36" i="151" s="1"/>
  <c r="BJ25" i="151"/>
  <c r="BJ28" i="151" s="1"/>
  <c r="BJ31" i="151" s="1"/>
  <c r="BJ36" i="151" s="1"/>
  <c r="AY25" i="151"/>
  <c r="AY28" i="151" s="1"/>
  <c r="AY31" i="151" s="1"/>
  <c r="AY36" i="151" s="1"/>
  <c r="AW25" i="151"/>
  <c r="AW28" i="151" s="1"/>
  <c r="AW31" i="151" s="1"/>
  <c r="AW36" i="151" s="1"/>
  <c r="BI25" i="151"/>
  <c r="BI28" i="151" s="1"/>
  <c r="BI31" i="151" s="1"/>
  <c r="BI36" i="151" s="1"/>
  <c r="BP25" i="151"/>
  <c r="BP28" i="151" s="1"/>
  <c r="BP31" i="151" s="1"/>
  <c r="BP36" i="151" s="1"/>
  <c r="E65" i="294"/>
  <c r="I77" i="294"/>
  <c r="J77" i="294" s="1"/>
  <c r="J25" i="151" l="1"/>
  <c r="E68" i="294" s="1"/>
  <c r="BY25" i="151"/>
  <c r="BY28" i="151" s="1"/>
  <c r="BS25" i="151"/>
  <c r="BS28" i="151" s="1"/>
  <c r="BS31" i="151" s="1"/>
  <c r="BS36" i="151" s="1"/>
  <c r="BW25" i="151"/>
  <c r="BW28" i="151" s="1"/>
  <c r="BW31" i="151" s="1"/>
  <c r="BW36" i="151" s="1"/>
  <c r="BK25" i="151"/>
  <c r="BK28" i="151" s="1"/>
  <c r="BK31" i="151" s="1"/>
  <c r="BK36" i="151" s="1"/>
  <c r="BN25" i="151"/>
  <c r="BN28" i="151" s="1"/>
  <c r="BN31" i="151" s="1"/>
  <c r="BN36" i="151" s="1"/>
  <c r="BT25" i="151"/>
  <c r="BT28" i="151" s="1"/>
  <c r="BT31" i="151" s="1"/>
  <c r="BT36" i="151" s="1"/>
  <c r="BL25" i="151"/>
  <c r="BL28" i="151" s="1"/>
  <c r="BL31" i="151" s="1"/>
  <c r="BL36" i="151" s="1"/>
  <c r="BM25" i="151"/>
  <c r="BM28" i="151" s="1"/>
  <c r="BM31" i="151" s="1"/>
  <c r="BM36" i="151" s="1"/>
  <c r="BO25" i="151"/>
  <c r="BO28" i="151" s="1"/>
  <c r="BO31" i="151" s="1"/>
  <c r="BO36" i="151" s="1"/>
  <c r="BU25" i="151"/>
  <c r="BU28" i="151" s="1"/>
  <c r="BU31" i="151" s="1"/>
  <c r="BU36" i="151" s="1"/>
  <c r="BR25" i="151"/>
  <c r="BR28" i="151" s="1"/>
  <c r="BR31" i="151" s="1"/>
  <c r="BR36" i="151" s="1"/>
  <c r="H65" i="294"/>
  <c r="G65" i="294"/>
  <c r="F65" i="294"/>
  <c r="BY44" i="151" l="1"/>
  <c r="BY45" i="151" s="1"/>
  <c r="BY31" i="151"/>
  <c r="BY36" i="151" s="1"/>
  <c r="L25" i="151"/>
  <c r="G68" i="294" s="1"/>
  <c r="M25" i="151"/>
  <c r="H68" i="294" s="1"/>
  <c r="K25" i="151"/>
  <c r="F68" i="294" s="1"/>
  <c r="J28" i="151"/>
  <c r="E71" i="294" s="1"/>
  <c r="BV25" i="151"/>
  <c r="BV28" i="151" s="1"/>
  <c r="BV31" i="151" s="1"/>
  <c r="BV36" i="151" s="1"/>
  <c r="BX25" i="151"/>
  <c r="BX28" i="151" s="1"/>
  <c r="BX31" i="151" s="1"/>
  <c r="BX36" i="151" s="1"/>
  <c r="F82" i="294"/>
  <c r="J31" i="151" l="1"/>
  <c r="K28" i="151"/>
  <c r="F71" i="294" s="1"/>
  <c r="L28" i="151"/>
  <c r="G71" i="294" s="1"/>
  <c r="M28" i="151"/>
  <c r="H71" i="294" s="1"/>
  <c r="I65" i="294"/>
  <c r="J65" i="294" s="1"/>
  <c r="BX44" i="151"/>
  <c r="E82" i="294"/>
  <c r="H82" i="294"/>
  <c r="G82" i="294"/>
  <c r="J36" i="151" l="1"/>
  <c r="E79" i="294" s="1"/>
  <c r="E74" i="294"/>
  <c r="M31" i="151"/>
  <c r="K31" i="151"/>
  <c r="N25" i="151"/>
  <c r="I68" i="294" s="1"/>
  <c r="J68" i="294" s="1"/>
  <c r="L31" i="151"/>
  <c r="BX45" i="151"/>
  <c r="N45" i="151" s="1"/>
  <c r="I88" i="294" s="1"/>
  <c r="N44" i="151"/>
  <c r="I87" i="294" s="1"/>
  <c r="S51" i="72"/>
  <c r="R49" i="151" s="1"/>
  <c r="M36" i="151" l="1"/>
  <c r="H79" i="294" s="1"/>
  <c r="H74" i="294"/>
  <c r="L36" i="151"/>
  <c r="G79" i="294" s="1"/>
  <c r="G74" i="294"/>
  <c r="K36" i="151"/>
  <c r="F79" i="294" s="1"/>
  <c r="F74" i="294"/>
  <c r="N28" i="151"/>
  <c r="I71" i="294" s="1"/>
  <c r="J71" i="294" s="1"/>
  <c r="J33" i="72"/>
  <c r="T35" i="72"/>
  <c r="T45" i="72" s="1"/>
  <c r="T44" i="72" s="1"/>
  <c r="M33" i="72"/>
  <c r="N31" i="151" l="1"/>
  <c r="J46" i="72"/>
  <c r="L33" i="72"/>
  <c r="K33" i="72"/>
  <c r="T41" i="72"/>
  <c r="N33" i="72"/>
  <c r="T49" i="72"/>
  <c r="U35" i="72" s="1"/>
  <c r="I82" i="294"/>
  <c r="N36" i="151" l="1"/>
  <c r="I79" i="294" s="1"/>
  <c r="J79" i="294" s="1"/>
  <c r="I74" i="294"/>
  <c r="J74" i="294" s="1"/>
  <c r="T42" i="72"/>
  <c r="T51" i="72" s="1"/>
  <c r="S49" i="151" s="1"/>
  <c r="M46" i="72"/>
  <c r="L46" i="72"/>
  <c r="K46" i="72"/>
  <c r="N46" i="72"/>
  <c r="U45" i="72"/>
  <c r="U41" i="72"/>
  <c r="U42" i="72" l="1"/>
  <c r="U44" i="72"/>
  <c r="U49" i="72" l="1"/>
  <c r="V35" i="72" s="1"/>
  <c r="U51" i="72"/>
  <c r="T49" i="151" s="1"/>
  <c r="V41" i="72" l="1"/>
  <c r="V45" i="72"/>
  <c r="V44" i="72" l="1"/>
  <c r="V42" i="72"/>
  <c r="V51" i="72" l="1"/>
  <c r="U49" i="151" s="1"/>
  <c r="V49" i="72"/>
  <c r="W35" i="72" s="1"/>
  <c r="W41" i="72" l="1"/>
  <c r="W45" i="72"/>
  <c r="W44" i="72" l="1"/>
  <c r="W42" i="72"/>
  <c r="W51" i="72" l="1"/>
  <c r="V49" i="151" s="1"/>
  <c r="W49" i="72"/>
  <c r="X35" i="72" s="1"/>
  <c r="X45" i="72" l="1"/>
  <c r="X41" i="72"/>
  <c r="X44" i="72" l="1"/>
  <c r="X49" i="72" s="1"/>
  <c r="Y35" i="72" s="1"/>
  <c r="X42" i="72"/>
  <c r="X51" i="72" l="1"/>
  <c r="W49" i="151" s="1"/>
  <c r="Y41" i="72"/>
  <c r="Y42" i="72" s="1"/>
  <c r="Y45" i="72"/>
  <c r="Y44" i="72" s="1"/>
  <c r="Y49" i="72" s="1"/>
  <c r="Z35" i="72" s="1"/>
  <c r="Z41" i="72" l="1"/>
  <c r="Z42" i="72" s="1"/>
  <c r="Z45" i="72"/>
  <c r="Z44" i="72" s="1"/>
  <c r="Z49" i="72" s="1"/>
  <c r="AA35" i="72" s="1"/>
  <c r="Y51" i="72"/>
  <c r="X49" i="151" s="1"/>
  <c r="Z51" i="72" l="1"/>
  <c r="Y49" i="151" s="1"/>
  <c r="AA41" i="72"/>
  <c r="AA42" i="72" s="1"/>
  <c r="AA45" i="72"/>
  <c r="AA44" i="72" s="1"/>
  <c r="AA49" i="72" s="1"/>
  <c r="AB35" i="72" s="1"/>
  <c r="AB45" i="72" l="1"/>
  <c r="AB41" i="72"/>
  <c r="AB42" i="72" s="1"/>
  <c r="AA51" i="72"/>
  <c r="Z49" i="151" s="1"/>
  <c r="AB44" i="72" l="1"/>
  <c r="AB49" i="72" s="1"/>
  <c r="AC35" i="72" s="1"/>
  <c r="AB51" i="72" l="1"/>
  <c r="AA49" i="151" s="1"/>
  <c r="AC45" i="72"/>
  <c r="AC44" i="72" s="1"/>
  <c r="AC49" i="72" s="1"/>
  <c r="AD35" i="72" s="1"/>
  <c r="AD45" i="72" s="1"/>
  <c r="AD44" i="72" s="1"/>
  <c r="AD49" i="72" s="1"/>
  <c r="AC41" i="72"/>
  <c r="AC42" i="72" s="1"/>
  <c r="AD41" i="72" l="1"/>
  <c r="AD42" i="72" s="1"/>
  <c r="AD51" i="72" s="1"/>
  <c r="AC49" i="151" s="1"/>
  <c r="AC51" i="72"/>
  <c r="AB49" i="151" s="1"/>
  <c r="J49" i="72" a="1"/>
  <c r="J49" i="72" s="1"/>
  <c r="AE35" i="72"/>
  <c r="AE41" i="72" l="1"/>
  <c r="AE45" i="72"/>
  <c r="K35" i="72" a="1"/>
  <c r="K35" i="72" s="1"/>
  <c r="AE44" i="72" l="1"/>
  <c r="AE42" i="72"/>
  <c r="AE51" i="72" l="1"/>
  <c r="AD49" i="151" s="1"/>
  <c r="AE49" i="72"/>
  <c r="AF35" i="72" s="1"/>
  <c r="AF45" i="72" l="1"/>
  <c r="AF41" i="72"/>
  <c r="AF42" i="72" l="1"/>
  <c r="AF44" i="72"/>
  <c r="AF49" i="72" l="1"/>
  <c r="AG35" i="72" s="1"/>
  <c r="AF51" i="72"/>
  <c r="AE49" i="151" s="1"/>
  <c r="AG41" i="72" l="1"/>
  <c r="AG45" i="72"/>
  <c r="AG44" i="72" l="1"/>
  <c r="AG42" i="72"/>
  <c r="AG51" i="72" l="1"/>
  <c r="AF49" i="151" s="1"/>
  <c r="AG49" i="72"/>
  <c r="AH35" i="72" s="1"/>
  <c r="AH41" i="72" l="1"/>
  <c r="AH45" i="72"/>
  <c r="AH44" i="72" l="1"/>
  <c r="AH42" i="72"/>
  <c r="AH51" i="72" l="1"/>
  <c r="AG49" i="151" s="1"/>
  <c r="AH49" i="72"/>
  <c r="AI35" i="72" s="1"/>
  <c r="AI45" i="72" l="1"/>
  <c r="AI41" i="72"/>
  <c r="AI42" i="72" l="1"/>
  <c r="AI44" i="72"/>
  <c r="AI51" i="72" l="1"/>
  <c r="AH49" i="151" s="1"/>
  <c r="AI49" i="72"/>
  <c r="AJ35" i="72" s="1"/>
  <c r="AJ41" i="72" l="1"/>
  <c r="AJ42" i="72" s="1"/>
  <c r="AJ45" i="72"/>
  <c r="AJ44" i="72" s="1"/>
  <c r="AJ49" i="72" s="1"/>
  <c r="AK35" i="72" s="1"/>
  <c r="AK45" i="72" l="1"/>
  <c r="AK44" i="72" s="1"/>
  <c r="AK49" i="72" s="1"/>
  <c r="AL35" i="72" s="1"/>
  <c r="AK41" i="72"/>
  <c r="AK42" i="72" s="1"/>
  <c r="AJ51" i="72"/>
  <c r="AI49" i="151" s="1"/>
  <c r="AK51" i="72" l="1"/>
  <c r="AJ49" i="151" s="1"/>
  <c r="AL41" i="72"/>
  <c r="AL42" i="72" s="1"/>
  <c r="AL45" i="72"/>
  <c r="AL44" i="72" s="1"/>
  <c r="AL49" i="72" s="1"/>
  <c r="AM35" i="72" s="1"/>
  <c r="AM41" i="72" l="1"/>
  <c r="AM42" i="72" s="1"/>
  <c r="AM45" i="72"/>
  <c r="AM44" i="72" s="1"/>
  <c r="AM49" i="72" s="1"/>
  <c r="AN35" i="72" s="1"/>
  <c r="AL51" i="72"/>
  <c r="AK49" i="151" s="1"/>
  <c r="AN45" i="72" l="1"/>
  <c r="AN44" i="72" s="1"/>
  <c r="AN49" i="72" s="1"/>
  <c r="AO35" i="72" s="1"/>
  <c r="AN41" i="72"/>
  <c r="AN42" i="72" s="1"/>
  <c r="AM51" i="72"/>
  <c r="AL49" i="151" s="1"/>
  <c r="AN51" i="72" l="1"/>
  <c r="AM49" i="151" s="1"/>
  <c r="AO41" i="72"/>
  <c r="AO42" i="72" s="1"/>
  <c r="AO45" i="72"/>
  <c r="AO44" i="72" s="1"/>
  <c r="AO49" i="72" s="1"/>
  <c r="AP35" i="72" s="1"/>
  <c r="AP41" i="72" l="1"/>
  <c r="AP42" i="72" s="1"/>
  <c r="AP45" i="72"/>
  <c r="AP44" i="72" s="1"/>
  <c r="AP49" i="72" s="1"/>
  <c r="AO51" i="72"/>
  <c r="AN49" i="151" s="1"/>
  <c r="K49" i="72" l="1" a="1"/>
  <c r="K49" i="72" s="1"/>
  <c r="AQ35" i="72"/>
  <c r="AP51" i="72"/>
  <c r="AO49" i="151" s="1"/>
  <c r="AQ41" i="72" l="1"/>
  <c r="L35" i="72" a="1"/>
  <c r="L35" i="72" s="1"/>
  <c r="AQ45" i="72"/>
  <c r="AQ44" i="72" l="1"/>
  <c r="AQ42" i="72"/>
  <c r="AQ51" i="72" l="1"/>
  <c r="AP49" i="151" s="1"/>
  <c r="AQ49" i="72"/>
  <c r="AR35" i="72" s="1"/>
  <c r="AR45" i="72" l="1"/>
  <c r="AR41" i="72"/>
  <c r="AR42" i="72" l="1"/>
  <c r="AR44" i="72"/>
  <c r="AR49" i="72" l="1"/>
  <c r="AS35" i="72" s="1"/>
  <c r="AR51" i="72"/>
  <c r="AQ49" i="151" s="1"/>
  <c r="AS41" i="72" l="1"/>
  <c r="AS45" i="72"/>
  <c r="AS44" i="72" l="1"/>
  <c r="AS42" i="72"/>
  <c r="AS51" i="72" l="1"/>
  <c r="AR49" i="151" s="1"/>
  <c r="AS49" i="72"/>
  <c r="AT35" i="72" s="1"/>
  <c r="AT45" i="72" l="1"/>
  <c r="AT41" i="72"/>
  <c r="AT42" i="72" l="1"/>
  <c r="AT44" i="72"/>
  <c r="AT49" i="72" l="1"/>
  <c r="AU35" i="72" s="1"/>
  <c r="AT51" i="72"/>
  <c r="AS49" i="151" s="1"/>
  <c r="AU45" i="72" l="1"/>
  <c r="AU41" i="72"/>
  <c r="AU42" i="72" l="1"/>
  <c r="AU44" i="72"/>
  <c r="AU49" i="72" l="1"/>
  <c r="AV35" i="72" s="1"/>
  <c r="AU51" i="72"/>
  <c r="AT49" i="151" s="1"/>
  <c r="AV41" i="72" l="1"/>
  <c r="AV42" i="72" s="1"/>
  <c r="AV45" i="72"/>
  <c r="AV44" i="72" s="1"/>
  <c r="AV49" i="72" s="1"/>
  <c r="AW35" i="72" s="1"/>
  <c r="AW45" i="72" l="1"/>
  <c r="AW44" i="72" s="1"/>
  <c r="AW49" i="72" s="1"/>
  <c r="AX35" i="72" s="1"/>
  <c r="AW41" i="72"/>
  <c r="AW42" i="72" s="1"/>
  <c r="AV51" i="72"/>
  <c r="AU49" i="151" s="1"/>
  <c r="AW51" i="72" l="1"/>
  <c r="AV49" i="151" s="1"/>
  <c r="AX45" i="72"/>
  <c r="AX44" i="72" s="1"/>
  <c r="AX49" i="72" s="1"/>
  <c r="AY35" i="72" s="1"/>
  <c r="AX41" i="72"/>
  <c r="AX42" i="72" s="1"/>
  <c r="AX51" i="72" l="1"/>
  <c r="AW49" i="151" s="1"/>
  <c r="AY41" i="72"/>
  <c r="AY42" i="72" s="1"/>
  <c r="AY45" i="72"/>
  <c r="AY44" i="72" s="1"/>
  <c r="AY49" i="72" s="1"/>
  <c r="AZ35" i="72" s="1"/>
  <c r="AZ41" i="72" l="1"/>
  <c r="AZ42" i="72" s="1"/>
  <c r="AZ45" i="72"/>
  <c r="AZ44" i="72" s="1"/>
  <c r="AZ49" i="72" s="1"/>
  <c r="BA35" i="72" s="1"/>
  <c r="AY51" i="72"/>
  <c r="AX49" i="151" s="1"/>
  <c r="BA45" i="72" l="1"/>
  <c r="BA44" i="72" s="1"/>
  <c r="BA49" i="72" s="1"/>
  <c r="BB35" i="72" s="1"/>
  <c r="BA41" i="72"/>
  <c r="BA42" i="72" s="1"/>
  <c r="AZ51" i="72"/>
  <c r="AY49" i="151" s="1"/>
  <c r="BA51" i="72" l="1"/>
  <c r="AZ49" i="151" s="1"/>
  <c r="BB41" i="72"/>
  <c r="BB42" i="72" s="1"/>
  <c r="BB45" i="72"/>
  <c r="BB44" i="72" s="1"/>
  <c r="BB49" i="72" s="1"/>
  <c r="BC35" i="72" l="1"/>
  <c r="L49" i="72" a="1"/>
  <c r="L49" i="72" s="1"/>
  <c r="BB51" i="72"/>
  <c r="BA49" i="151" s="1"/>
  <c r="BC45" i="72" l="1"/>
  <c r="BC41" i="72"/>
  <c r="M35" i="72" a="1"/>
  <c r="M35" i="72" s="1"/>
  <c r="BC42" i="72" l="1"/>
  <c r="BC44" i="72"/>
  <c r="BC49" i="72" l="1"/>
  <c r="BD35" i="72" s="1"/>
  <c r="BC51" i="72"/>
  <c r="BB49" i="151" s="1"/>
  <c r="BD45" i="72" l="1"/>
  <c r="BD41" i="72"/>
  <c r="BD42" i="72" l="1"/>
  <c r="BD44" i="72"/>
  <c r="BD49" i="72" l="1"/>
  <c r="BE35" i="72" s="1"/>
  <c r="BD51" i="72"/>
  <c r="BC49" i="151" s="1"/>
  <c r="BE45" i="72" l="1"/>
  <c r="BE41" i="72"/>
  <c r="BE42" i="72" l="1"/>
  <c r="BE44" i="72"/>
  <c r="BE49" i="72" l="1"/>
  <c r="BF35" i="72" s="1"/>
  <c r="BE51" i="72"/>
  <c r="BD49" i="151" s="1"/>
  <c r="BF41" i="72" l="1"/>
  <c r="BF45" i="72"/>
  <c r="BF44" i="72" l="1"/>
  <c r="BF42" i="72"/>
  <c r="BF51" i="72" l="1"/>
  <c r="BE49" i="151" s="1"/>
  <c r="BF49" i="72"/>
  <c r="BG35" i="72" s="1"/>
  <c r="BG45" i="72" l="1"/>
  <c r="BG41" i="72"/>
  <c r="BG42" i="72" l="1"/>
  <c r="BG44" i="72"/>
  <c r="BG49" i="72" l="1"/>
  <c r="BH35" i="72" s="1"/>
  <c r="BG51" i="72"/>
  <c r="BF49" i="151" s="1"/>
  <c r="BH45" i="72" l="1"/>
  <c r="BH44" i="72" s="1"/>
  <c r="BH49" i="72" s="1"/>
  <c r="BI35" i="72" s="1"/>
  <c r="BH41" i="72"/>
  <c r="BH42" i="72" s="1"/>
  <c r="BH51" i="72" l="1"/>
  <c r="BG49" i="151" s="1"/>
  <c r="BI45" i="72"/>
  <c r="BI44" i="72" s="1"/>
  <c r="BI49" i="72" s="1"/>
  <c r="BJ35" i="72" s="1"/>
  <c r="BI41" i="72"/>
  <c r="BI42" i="72" s="1"/>
  <c r="BI51" i="72" l="1"/>
  <c r="BH49" i="151" s="1"/>
  <c r="BJ45" i="72"/>
  <c r="BJ44" i="72" s="1"/>
  <c r="BJ49" i="72" s="1"/>
  <c r="BK35" i="72" s="1"/>
  <c r="BJ41" i="72"/>
  <c r="BJ42" i="72" s="1"/>
  <c r="BJ51" i="72" l="1"/>
  <c r="BI49" i="151" s="1"/>
  <c r="BK45" i="72"/>
  <c r="BK44" i="72" s="1"/>
  <c r="BK49" i="72" s="1"/>
  <c r="BL35" i="72" s="1"/>
  <c r="BK41" i="72"/>
  <c r="BK42" i="72" s="1"/>
  <c r="BK51" i="72" l="1"/>
  <c r="BJ49" i="151" s="1"/>
  <c r="BL45" i="72"/>
  <c r="BL44" i="72" s="1"/>
  <c r="BL49" i="72" s="1"/>
  <c r="BM35" i="72" s="1"/>
  <c r="BL41" i="72"/>
  <c r="BL42" i="72" s="1"/>
  <c r="BL51" i="72" l="1"/>
  <c r="BK49" i="151" s="1"/>
  <c r="BM45" i="72"/>
  <c r="BM44" i="72" s="1"/>
  <c r="BM49" i="72" s="1"/>
  <c r="BN35" i="72" s="1"/>
  <c r="BM41" i="72"/>
  <c r="BM42" i="72" s="1"/>
  <c r="BM51" i="72" l="1"/>
  <c r="BL49" i="151" s="1"/>
  <c r="BN45" i="72"/>
  <c r="BN44" i="72" s="1"/>
  <c r="BN49" i="72" s="1"/>
  <c r="BN41" i="72"/>
  <c r="BN42" i="72" s="1"/>
  <c r="BN51" i="72" l="1"/>
  <c r="BM49" i="151" s="1"/>
  <c r="BO35" i="72"/>
  <c r="M49" i="72" a="1"/>
  <c r="M49" i="72" s="1"/>
  <c r="BO41" i="72" l="1"/>
  <c r="BO45" i="72"/>
  <c r="N35" i="72" a="1"/>
  <c r="N35" i="72" s="1"/>
  <c r="BO44" i="72" l="1"/>
  <c r="BO42" i="72"/>
  <c r="BO51" i="72" l="1"/>
  <c r="BN49" i="151" s="1"/>
  <c r="BO49" i="72"/>
  <c r="BP35" i="72" s="1"/>
  <c r="BP45" i="72" l="1"/>
  <c r="BP41" i="72"/>
  <c r="BP42" i="72" l="1"/>
  <c r="BP44" i="72"/>
  <c r="BP49" i="72" l="1"/>
  <c r="BQ35" i="72" s="1"/>
  <c r="BP51" i="72"/>
  <c r="BO49" i="151" s="1"/>
  <c r="BQ41" i="72" l="1"/>
  <c r="BQ45" i="72"/>
  <c r="BQ44" i="72" l="1"/>
  <c r="BQ42" i="72"/>
  <c r="BQ51" i="72" l="1"/>
  <c r="BP49" i="151" s="1"/>
  <c r="BQ49" i="72"/>
  <c r="BR35" i="72" s="1"/>
  <c r="BR41" i="72" l="1"/>
  <c r="BR45" i="72"/>
  <c r="BR44" i="72" l="1"/>
  <c r="BR42" i="72"/>
  <c r="BR51" i="72" l="1"/>
  <c r="BQ49" i="151" s="1"/>
  <c r="BR49" i="72"/>
  <c r="BS35" i="72" s="1"/>
  <c r="BS45" i="72" l="1"/>
  <c r="BS41" i="72"/>
  <c r="BS42" i="72" l="1"/>
  <c r="BS44" i="72"/>
  <c r="BS49" i="72" l="1"/>
  <c r="BT35" i="72" s="1"/>
  <c r="BS51" i="72"/>
  <c r="BR49" i="151" s="1"/>
  <c r="BT41" i="72" l="1"/>
  <c r="BT42" i="72" s="1"/>
  <c r="BT45" i="72"/>
  <c r="BT44" i="72" s="1"/>
  <c r="BT49" i="72" s="1"/>
  <c r="BU35" i="72" s="1"/>
  <c r="BU41" i="72" l="1"/>
  <c r="BU42" i="72" s="1"/>
  <c r="BU45" i="72"/>
  <c r="BU44" i="72" s="1"/>
  <c r="BU49" i="72" s="1"/>
  <c r="BV35" i="72" s="1"/>
  <c r="BT51" i="72"/>
  <c r="BS49" i="151" s="1"/>
  <c r="BV45" i="72" l="1"/>
  <c r="BV44" i="72" s="1"/>
  <c r="BV49" i="72" s="1"/>
  <c r="BW35" i="72" s="1"/>
  <c r="BV41" i="72"/>
  <c r="BV42" i="72" s="1"/>
  <c r="BU51" i="72"/>
  <c r="BT49" i="151" s="1"/>
  <c r="BW47" i="72" l="1"/>
  <c r="BV51" i="72"/>
  <c r="BU49" i="151" s="1"/>
  <c r="BW41" i="72"/>
  <c r="BW42" i="72" s="1"/>
  <c r="BW45" i="72"/>
  <c r="BW44" i="72" s="1"/>
  <c r="BW48" i="72" l="1"/>
  <c r="BW49" i="72" s="1"/>
  <c r="BX35" i="72" s="1"/>
  <c r="BX47" i="72" s="1"/>
  <c r="BW51" i="72" l="1"/>
  <c r="BV49" i="151" s="1"/>
  <c r="BX41" i="72"/>
  <c r="BX42" i="72" s="1"/>
  <c r="BX45" i="72"/>
  <c r="BX44" i="72" s="1"/>
  <c r="BX48" i="72" s="1"/>
  <c r="BX51" i="72" l="1"/>
  <c r="BW49" i="151" s="1"/>
  <c r="BX49" i="72"/>
  <c r="BY35" i="72" s="1"/>
  <c r="BY45" i="72" l="1"/>
  <c r="BY44" i="72" s="1"/>
  <c r="BY47" i="72"/>
  <c r="BY48" i="72"/>
  <c r="BY41" i="72"/>
  <c r="BY42" i="72" s="1"/>
  <c r="J47" i="72"/>
  <c r="K47" i="72"/>
  <c r="L47" i="72"/>
  <c r="M47" i="72"/>
  <c r="J45" i="72"/>
  <c r="K45" i="72"/>
  <c r="L45" i="72"/>
  <c r="M45" i="72"/>
  <c r="K41" i="72"/>
  <c r="L41" i="72"/>
  <c r="M41" i="72"/>
  <c r="BY51" i="72" l="1"/>
  <c r="BX49" i="151" s="1"/>
  <c r="BY49" i="72"/>
  <c r="BZ35" i="72" s="1"/>
  <c r="J42" i="72"/>
  <c r="K42" i="72"/>
  <c r="L42" i="72"/>
  <c r="M42" i="72"/>
  <c r="J44" i="72"/>
  <c r="K44" i="72"/>
  <c r="L44" i="72"/>
  <c r="M44" i="72"/>
  <c r="BZ47" i="72" l="1"/>
  <c r="N47" i="72" s="1"/>
  <c r="BZ45" i="72"/>
  <c r="BZ41" i="72"/>
  <c r="J41" i="72" s="1"/>
  <c r="J48" i="72"/>
  <c r="K48" i="72"/>
  <c r="L48" i="72"/>
  <c r="M48" i="72"/>
  <c r="N41" i="72" l="1"/>
  <c r="BZ42" i="72"/>
  <c r="BZ44" i="72"/>
  <c r="BZ48" i="72" s="1"/>
  <c r="N48" i="72" s="1"/>
  <c r="N45" i="72"/>
  <c r="J51" i="72"/>
  <c r="K51" i="72"/>
  <c r="L51" i="72"/>
  <c r="M51" i="72"/>
  <c r="N44" i="72" l="1"/>
  <c r="BZ49" i="72"/>
  <c r="N49" i="72" s="1" a="1"/>
  <c r="N49" i="72" s="1"/>
  <c r="N42" i="72"/>
  <c r="BZ51" i="72"/>
  <c r="BY49" i="151" s="1"/>
  <c r="M49" i="151" l="1"/>
  <c r="J49" i="151"/>
  <c r="K49" i="151"/>
  <c r="L49" i="151"/>
  <c r="N49" i="151"/>
  <c r="N51" i="72"/>
  <c r="G91" i="294" l="1"/>
  <c r="E91" i="294"/>
  <c r="F91" i="294"/>
  <c r="I91" i="294"/>
  <c r="H91" i="294"/>
  <c r="R11" i="69"/>
  <c r="R17" i="69" s="1"/>
  <c r="W76" i="105" s="1"/>
  <c r="W77" i="105" s="1"/>
  <c r="W133" i="105" s="1"/>
  <c r="R40" i="151" l="1"/>
  <c r="W132" i="105"/>
  <c r="J25" i="69"/>
  <c r="AN10" i="69" s="1"/>
  <c r="AN17" i="69" s="1"/>
  <c r="AS76" i="105" s="1"/>
  <c r="AS77" i="105" s="1"/>
  <c r="AS133" i="105" s="1"/>
  <c r="J24" i="69"/>
  <c r="AH9" i="69" s="1"/>
  <c r="AH17" i="69" s="1"/>
  <c r="AM76" i="105" s="1"/>
  <c r="AM77" i="105" s="1"/>
  <c r="AM133" i="105" s="1"/>
  <c r="J29" i="69"/>
  <c r="BL14" i="69" s="1"/>
  <c r="BL17" i="69" s="1"/>
  <c r="BQ76" i="105" s="1"/>
  <c r="BQ77" i="105" s="1"/>
  <c r="BQ133" i="105" s="1"/>
  <c r="J26" i="69"/>
  <c r="AT11" i="69" s="1"/>
  <c r="AT17" i="69" s="1"/>
  <c r="AY76" i="105" s="1"/>
  <c r="AY77" i="105" s="1"/>
  <c r="AY133" i="105" s="1"/>
  <c r="J30" i="69"/>
  <c r="BR15" i="69" s="1"/>
  <c r="BR17" i="69" s="1"/>
  <c r="BW76" i="105" s="1"/>
  <c r="BW77" i="105" s="1"/>
  <c r="BW133" i="105" s="1"/>
  <c r="J27" i="69"/>
  <c r="AZ12" i="69" s="1"/>
  <c r="AZ17" i="69" s="1"/>
  <c r="BE76" i="105" s="1"/>
  <c r="BE77" i="105" s="1"/>
  <c r="BE133" i="105" s="1"/>
  <c r="J31" i="69"/>
  <c r="BX16" i="69" s="1"/>
  <c r="BX17" i="69" s="1"/>
  <c r="CC76" i="105" s="1"/>
  <c r="CC77" i="105" s="1"/>
  <c r="CC133" i="105" s="1"/>
  <c r="J23" i="69"/>
  <c r="AB8" i="69" s="1"/>
  <c r="AB17" i="69" s="1"/>
  <c r="AG76" i="105" s="1"/>
  <c r="AG77" i="105" s="1"/>
  <c r="AG133" i="105" s="1"/>
  <c r="J28" i="69"/>
  <c r="BF13" i="69" s="1"/>
  <c r="BF17" i="69" s="1"/>
  <c r="BK76" i="105" s="1"/>
  <c r="BK77" i="105" s="1"/>
  <c r="BK133" i="105" s="1"/>
  <c r="BE14" i="69"/>
  <c r="BE17" i="69" s="1"/>
  <c r="BJ76" i="105" s="1"/>
  <c r="BJ77" i="105" s="1"/>
  <c r="BJ133" i="105" s="1"/>
  <c r="AS12" i="69"/>
  <c r="AS17" i="69" s="1"/>
  <c r="AX76" i="105" s="1"/>
  <c r="AX77" i="105" s="1"/>
  <c r="AX133" i="105" s="1"/>
  <c r="U8" i="69"/>
  <c r="U17" i="69" s="1"/>
  <c r="Z76" i="105" s="1"/>
  <c r="Z77" i="105" s="1"/>
  <c r="Z133" i="105" s="1"/>
  <c r="AY13" i="69"/>
  <c r="AY17" i="69" s="1"/>
  <c r="BD76" i="105" s="1"/>
  <c r="BD77" i="105" s="1"/>
  <c r="BD133" i="105" s="1"/>
  <c r="AM11" i="69"/>
  <c r="K11" i="69" s="1"/>
  <c r="AA9" i="69"/>
  <c r="AA17" i="69" s="1"/>
  <c r="AF76" i="105" s="1"/>
  <c r="AF77" i="105" s="1"/>
  <c r="AF133" i="105" s="1"/>
  <c r="AG10" i="69"/>
  <c r="AG17" i="69" s="1"/>
  <c r="AL76" i="105" s="1"/>
  <c r="AL77" i="105" s="1"/>
  <c r="AL133" i="105" s="1"/>
  <c r="BK15" i="69"/>
  <c r="M15" i="69" s="1"/>
  <c r="BU16" i="69"/>
  <c r="BU17" i="69" s="1"/>
  <c r="BZ76" i="105" s="1"/>
  <c r="BZ77" i="105" s="1"/>
  <c r="BZ133" i="105" s="1"/>
  <c r="BQ16" i="69"/>
  <c r="BQ17" i="69" s="1"/>
  <c r="BV76" i="105" s="1"/>
  <c r="BV77" i="105" s="1"/>
  <c r="BV133" i="105" s="1"/>
  <c r="J11" i="69"/>
  <c r="BN14" i="69"/>
  <c r="BN17" i="69" s="1"/>
  <c r="BS76" i="105" s="1"/>
  <c r="BS77" i="105" s="1"/>
  <c r="BS133" i="105" s="1"/>
  <c r="BI14" i="69"/>
  <c r="BB12" i="69"/>
  <c r="BB17" i="69" s="1"/>
  <c r="BG76" i="105" s="1"/>
  <c r="BG77" i="105" s="1"/>
  <c r="BG133" i="105" s="1"/>
  <c r="AW12" i="69"/>
  <c r="AD8" i="69"/>
  <c r="AD17" i="69" s="1"/>
  <c r="AI76" i="105" s="1"/>
  <c r="AI77" i="105" s="1"/>
  <c r="AI133" i="105" s="1"/>
  <c r="Y8" i="69"/>
  <c r="BT15" i="69"/>
  <c r="BT17" i="69" s="1"/>
  <c r="BY76" i="105" s="1"/>
  <c r="BY77" i="105" s="1"/>
  <c r="BY133" i="105" s="1"/>
  <c r="BO15" i="69"/>
  <c r="BO17" i="69" s="1"/>
  <c r="BT76" i="105" s="1"/>
  <c r="BT77" i="105" s="1"/>
  <c r="BT133" i="105" s="1"/>
  <c r="AP10" i="69"/>
  <c r="AP17" i="69" s="1"/>
  <c r="AU76" i="105" s="1"/>
  <c r="AU77" i="105" s="1"/>
  <c r="AU133" i="105" s="1"/>
  <c r="AK10" i="69"/>
  <c r="AV11" i="69"/>
  <c r="AV17" i="69" s="1"/>
  <c r="BA76" i="105" s="1"/>
  <c r="BA77" i="105" s="1"/>
  <c r="BA133" i="105" s="1"/>
  <c r="AQ11" i="69"/>
  <c r="AQ17" i="69" s="1"/>
  <c r="AV76" i="105" s="1"/>
  <c r="AV77" i="105" s="1"/>
  <c r="AV133" i="105" s="1"/>
  <c r="BH13" i="69"/>
  <c r="BH17" i="69" s="1"/>
  <c r="BM76" i="105" s="1"/>
  <c r="BM77" i="105" s="1"/>
  <c r="BM133" i="105" s="1"/>
  <c r="BC13" i="69"/>
  <c r="BC17" i="69" s="1"/>
  <c r="BH76" i="105" s="1"/>
  <c r="BH77" i="105" s="1"/>
  <c r="BH133" i="105" s="1"/>
  <c r="AJ9" i="69"/>
  <c r="AE9" i="69"/>
  <c r="AE17" i="69" s="1"/>
  <c r="AJ76" i="105" s="1"/>
  <c r="AJ77" i="105" s="1"/>
  <c r="AJ133" i="105" s="1"/>
  <c r="S133" i="105" l="1"/>
  <c r="U133" i="105" s="1"/>
  <c r="AV40" i="151"/>
  <c r="BA132" i="105"/>
  <c r="AG40" i="151"/>
  <c r="AL132" i="105"/>
  <c r="AP40" i="151"/>
  <c r="AU132" i="105"/>
  <c r="AN40" i="151"/>
  <c r="AS132" i="105"/>
  <c r="AA40" i="151"/>
  <c r="AF132" i="105"/>
  <c r="AZ40" i="151"/>
  <c r="BE132" i="105"/>
  <c r="AH40" i="151"/>
  <c r="AM132" i="105"/>
  <c r="BF40" i="151"/>
  <c r="BK132" i="105"/>
  <c r="AB40" i="151"/>
  <c r="AG132" i="105"/>
  <c r="BN40" i="151"/>
  <c r="S76" i="105"/>
  <c r="S77" i="105" s="1"/>
  <c r="U77" i="105" s="1"/>
  <c r="BS132" i="105"/>
  <c r="BT40" i="151"/>
  <c r="BY132" i="105"/>
  <c r="BB40" i="151"/>
  <c r="BG132" i="105"/>
  <c r="AE40" i="151"/>
  <c r="AJ132" i="105"/>
  <c r="BC40" i="151"/>
  <c r="BH132" i="105"/>
  <c r="AQ40" i="151"/>
  <c r="AV132" i="105"/>
  <c r="BE40" i="151"/>
  <c r="BJ132" i="105"/>
  <c r="BX40" i="151"/>
  <c r="CC132" i="105"/>
  <c r="BQ40" i="151"/>
  <c r="BV132" i="105"/>
  <c r="AT40" i="151"/>
  <c r="AY132" i="105"/>
  <c r="U40" i="151"/>
  <c r="Z132" i="105"/>
  <c r="AS40" i="151"/>
  <c r="AX132" i="105"/>
  <c r="BR40" i="151"/>
  <c r="BW132" i="105"/>
  <c r="BU40" i="151"/>
  <c r="BZ132" i="105"/>
  <c r="BH40" i="151"/>
  <c r="BM132" i="105"/>
  <c r="AY40" i="151"/>
  <c r="BD132" i="105"/>
  <c r="BO40" i="151"/>
  <c r="BT132" i="105"/>
  <c r="AD40" i="151"/>
  <c r="AI132" i="105"/>
  <c r="BL40" i="151"/>
  <c r="BQ132" i="105"/>
  <c r="AM17" i="69"/>
  <c r="AR76" i="105" s="1"/>
  <c r="AR77" i="105" s="1"/>
  <c r="AR133" i="105" s="1"/>
  <c r="N14" i="69"/>
  <c r="L13" i="69"/>
  <c r="J9" i="69"/>
  <c r="BK17" i="69"/>
  <c r="BP76" i="105" s="1"/>
  <c r="BP77" i="105" s="1"/>
  <c r="BP133" i="105" s="1"/>
  <c r="M12" i="69"/>
  <c r="N16" i="69"/>
  <c r="N15" i="69"/>
  <c r="K8" i="69"/>
  <c r="K9" i="69"/>
  <c r="M13" i="69"/>
  <c r="L10" i="69"/>
  <c r="AJ17" i="69"/>
  <c r="AO76" i="105" s="1"/>
  <c r="AO77" i="105" s="1"/>
  <c r="AO133" i="105" s="1"/>
  <c r="AK17" i="69"/>
  <c r="AP76" i="105" s="1"/>
  <c r="AP77" i="105" s="1"/>
  <c r="AP133" i="105" s="1"/>
  <c r="K10" i="69"/>
  <c r="Y17" i="69"/>
  <c r="AD76" i="105" s="1"/>
  <c r="AD77" i="105" s="1"/>
  <c r="AD133" i="105" s="1"/>
  <c r="O133" i="105" s="1"/>
  <c r="J8" i="69"/>
  <c r="AW17" i="69"/>
  <c r="BB76" i="105" s="1"/>
  <c r="BB77" i="105" s="1"/>
  <c r="BB133" i="105" s="1"/>
  <c r="Q133" i="105" s="1"/>
  <c r="L12" i="69"/>
  <c r="BI17" i="69"/>
  <c r="BN76" i="105" s="1"/>
  <c r="M14" i="69"/>
  <c r="L11" i="69"/>
  <c r="P133" i="105" l="1"/>
  <c r="R76" i="105"/>
  <c r="R77" i="105" s="1"/>
  <c r="BN77" i="105"/>
  <c r="BN133" i="105" s="1"/>
  <c r="R133" i="105" s="1"/>
  <c r="S132" i="105"/>
  <c r="U132" i="105" s="1"/>
  <c r="P76" i="105"/>
  <c r="Y40" i="151"/>
  <c r="AD132" i="105"/>
  <c r="O132" i="105" s="1"/>
  <c r="O76" i="105"/>
  <c r="O77" i="105" s="1"/>
  <c r="AM40" i="151"/>
  <c r="AR132" i="105"/>
  <c r="AW40" i="151"/>
  <c r="BB132" i="105"/>
  <c r="Q132" i="105" s="1"/>
  <c r="AJ40" i="151"/>
  <c r="AO132" i="105"/>
  <c r="BI40" i="151"/>
  <c r="BN132" i="105"/>
  <c r="N40" i="151"/>
  <c r="I83" i="294" s="1"/>
  <c r="U76" i="105"/>
  <c r="AK40" i="151"/>
  <c r="AP132" i="105"/>
  <c r="Q76" i="105"/>
  <c r="BK40" i="151"/>
  <c r="BP132" i="105"/>
  <c r="J17" i="69"/>
  <c r="N17" i="69"/>
  <c r="M17" i="69"/>
  <c r="K17" i="69"/>
  <c r="L17" i="69"/>
  <c r="M40" i="151" l="1"/>
  <c r="K40" i="151"/>
  <c r="P77" i="105"/>
  <c r="L40" i="151"/>
  <c r="Q77" i="105"/>
  <c r="P132" i="105"/>
  <c r="R132" i="105"/>
  <c r="J40" i="151"/>
  <c r="I26" i="294"/>
  <c r="G83" i="294"/>
  <c r="F83" i="294"/>
  <c r="H83" i="294"/>
  <c r="E83" i="294"/>
  <c r="I77" i="103" l="1"/>
  <c r="P71" i="103"/>
  <c r="R77" i="103"/>
  <c r="P72" i="103" l="1"/>
  <c r="BO77" i="103"/>
  <c r="AL77" i="103"/>
  <c r="AY77" i="103"/>
  <c r="BU77" i="103"/>
  <c r="BW77" i="103"/>
  <c r="BL77" i="103"/>
  <c r="Y77" i="103"/>
  <c r="AN77" i="103"/>
  <c r="AS77" i="103"/>
  <c r="BP77" i="103"/>
  <c r="BX77" i="103"/>
  <c r="AH77" i="103"/>
  <c r="BH77" i="103"/>
  <c r="AO77" i="103"/>
  <c r="BY77" i="103"/>
  <c r="AA77" i="103"/>
  <c r="BB77" i="103"/>
  <c r="BQ77" i="103"/>
  <c r="AW77" i="103"/>
  <c r="AP77" i="103"/>
  <c r="BI77" i="103"/>
  <c r="BG77" i="103"/>
  <c r="BA77" i="103"/>
  <c r="BR77" i="103"/>
  <c r="AD77" i="103"/>
  <c r="X77" i="103"/>
  <c r="Z77" i="103"/>
  <c r="BS77" i="103"/>
  <c r="AK77" i="103"/>
  <c r="BV77" i="103"/>
  <c r="BN77" i="103"/>
  <c r="BT77" i="103"/>
  <c r="AR77" i="103"/>
  <c r="AJ77" i="103"/>
  <c r="AI77" i="103"/>
  <c r="U77" i="103"/>
  <c r="BJ77" i="103"/>
  <c r="V77" i="103"/>
  <c r="AG77" i="103"/>
  <c r="BD77" i="103"/>
  <c r="AT77" i="103"/>
  <c r="S77" i="103"/>
  <c r="BF77" i="103"/>
  <c r="T77" i="103"/>
  <c r="AV77" i="103"/>
  <c r="AQ77" i="103"/>
  <c r="AF77" i="103"/>
  <c r="BE77" i="103"/>
  <c r="BM77" i="103"/>
  <c r="AZ77" i="103"/>
  <c r="BC77" i="103"/>
  <c r="AU77" i="103"/>
  <c r="AX77" i="103"/>
  <c r="BK77" i="103"/>
  <c r="AC77" i="103"/>
  <c r="AB77" i="103"/>
  <c r="AE77" i="103"/>
  <c r="W77" i="103"/>
  <c r="AM77" i="103"/>
  <c r="J77" i="103" l="1"/>
  <c r="K77" i="103"/>
  <c r="N77" i="103"/>
  <c r="P77" i="103" s="1"/>
  <c r="L77" i="103"/>
  <c r="M77" i="103"/>
  <c r="I41" i="151"/>
  <c r="D84" i="294" s="1"/>
  <c r="J41" i="151"/>
  <c r="E84" i="294" s="1"/>
  <c r="K41" i="151"/>
  <c r="F84" i="294" s="1"/>
  <c r="L41" i="151"/>
  <c r="G84" i="294" s="1"/>
  <c r="M41" i="151"/>
  <c r="H84" i="294" s="1"/>
  <c r="N41" i="151"/>
  <c r="I84" i="294" s="1"/>
  <c r="J84" i="294" l="1"/>
  <c r="N46" i="151"/>
  <c r="M46" i="151"/>
  <c r="K46" i="151"/>
  <c r="I46" i="151"/>
  <c r="L46" i="151"/>
  <c r="J46" i="151"/>
  <c r="Q41" i="151"/>
  <c r="Q46" i="151" s="1"/>
  <c r="Q50" i="151" s="1"/>
  <c r="R41" i="151"/>
  <c r="S41" i="151"/>
  <c r="T41" i="151"/>
  <c r="U41" i="151"/>
  <c r="V41" i="151"/>
  <c r="W41" i="151"/>
  <c r="X41" i="151"/>
  <c r="Y41" i="151"/>
  <c r="Z41" i="151"/>
  <c r="AA41" i="151"/>
  <c r="AB41" i="151"/>
  <c r="AC41" i="151"/>
  <c r="AD41" i="151"/>
  <c r="AE41" i="151"/>
  <c r="AF41" i="151"/>
  <c r="AG41" i="151"/>
  <c r="AH41" i="151"/>
  <c r="AI41" i="151"/>
  <c r="AJ41" i="151"/>
  <c r="AK41" i="151"/>
  <c r="AL41" i="151"/>
  <c r="AM41" i="151"/>
  <c r="AN41" i="151"/>
  <c r="AO41" i="151"/>
  <c r="AP41" i="151"/>
  <c r="AQ41" i="151"/>
  <c r="AR41" i="151"/>
  <c r="AS41" i="151"/>
  <c r="AT41" i="151"/>
  <c r="AU41" i="151"/>
  <c r="AV41" i="151"/>
  <c r="AW41" i="151"/>
  <c r="AX41" i="151"/>
  <c r="AY41" i="151"/>
  <c r="AZ41" i="151"/>
  <c r="BA41" i="151"/>
  <c r="BB41" i="151"/>
  <c r="BC41" i="151"/>
  <c r="BD41" i="151"/>
  <c r="BE41" i="151"/>
  <c r="BF41" i="151"/>
  <c r="BG41" i="151"/>
  <c r="BH41" i="151"/>
  <c r="BI41" i="151"/>
  <c r="BJ41" i="151"/>
  <c r="BK41" i="151"/>
  <c r="BL41" i="151"/>
  <c r="BM41" i="151"/>
  <c r="BN41" i="151"/>
  <c r="BO41" i="151"/>
  <c r="BP41" i="151"/>
  <c r="BQ41" i="151"/>
  <c r="BR41" i="151"/>
  <c r="BS41" i="151"/>
  <c r="BT41" i="151"/>
  <c r="BU41" i="151"/>
  <c r="BV41" i="151"/>
  <c r="BW41" i="151"/>
  <c r="BX41" i="151"/>
  <c r="BY41" i="151"/>
  <c r="D89" i="294" l="1"/>
  <c r="I50" i="151"/>
  <c r="H89" i="294"/>
  <c r="M50" i="151"/>
  <c r="E89" i="294"/>
  <c r="J50" i="151"/>
  <c r="G89" i="294"/>
  <c r="L50" i="151"/>
  <c r="F89" i="294"/>
  <c r="K50" i="151"/>
  <c r="I89" i="294"/>
  <c r="N50" i="151"/>
  <c r="AL47" i="151"/>
  <c r="AK47" i="151"/>
  <c r="BX46" i="151"/>
  <c r="BX50" i="151" s="1"/>
  <c r="BX47" i="151"/>
  <c r="BF46" i="151"/>
  <c r="BF50" i="151" s="1"/>
  <c r="BF47" i="151"/>
  <c r="AJ46" i="151"/>
  <c r="AJ50" i="151" s="1"/>
  <c r="AJ47" i="151"/>
  <c r="BA46" i="151"/>
  <c r="BA50" i="151" s="1"/>
  <c r="BA47" i="151"/>
  <c r="BT46" i="151"/>
  <c r="BT50" i="151" s="1"/>
  <c r="BT47" i="151"/>
  <c r="BR47" i="151"/>
  <c r="AW47" i="151"/>
  <c r="AV47" i="151"/>
  <c r="AU47" i="151"/>
  <c r="Z47" i="151"/>
  <c r="BM47" i="151"/>
  <c r="BL47" i="151"/>
  <c r="AQ47" i="151"/>
  <c r="BJ47" i="151"/>
  <c r="U47" i="151"/>
  <c r="R46" i="151"/>
  <c r="R50" i="151" s="1"/>
  <c r="R47" i="151"/>
  <c r="BE46" i="151"/>
  <c r="BE50" i="151" s="1"/>
  <c r="BE47" i="151"/>
  <c r="BD46" i="151"/>
  <c r="BD50" i="151" s="1"/>
  <c r="BD47" i="151"/>
  <c r="BC47" i="151"/>
  <c r="AH46" i="151"/>
  <c r="AH50" i="151" s="1"/>
  <c r="AH47" i="151"/>
  <c r="AF47" i="151"/>
  <c r="AY47" i="151"/>
  <c r="AX47" i="151"/>
  <c r="BQ47" i="151"/>
  <c r="AC47" i="151"/>
  <c r="AB47" i="151"/>
  <c r="AA47" i="151"/>
  <c r="BN47" i="151"/>
  <c r="AT47" i="151"/>
  <c r="AS47" i="151"/>
  <c r="V47" i="151"/>
  <c r="BI47" i="151"/>
  <c r="AN47" i="151"/>
  <c r="T47" i="151"/>
  <c r="BY46" i="151"/>
  <c r="BY50" i="151" s="1"/>
  <c r="BY47" i="151"/>
  <c r="BW46" i="151"/>
  <c r="BW50" i="151" s="1"/>
  <c r="BW47" i="151"/>
  <c r="AI47" i="151"/>
  <c r="BV46" i="151"/>
  <c r="BV50" i="151" s="1"/>
  <c r="BV47" i="151"/>
  <c r="BB46" i="151"/>
  <c r="BB50" i="151" s="1"/>
  <c r="BB47" i="151"/>
  <c r="BU46" i="151"/>
  <c r="BU50" i="151" s="1"/>
  <c r="BU47" i="151"/>
  <c r="AG46" i="151"/>
  <c r="AG50" i="151" s="1"/>
  <c r="AG47" i="151"/>
  <c r="AZ46" i="151"/>
  <c r="AZ50" i="151" s="1"/>
  <c r="AZ47" i="151"/>
  <c r="BS47" i="151"/>
  <c r="AE47" i="151"/>
  <c r="AD47" i="151"/>
  <c r="BP47" i="151"/>
  <c r="BO47" i="151"/>
  <c r="Y47" i="151"/>
  <c r="AR47" i="151"/>
  <c r="X47" i="151"/>
  <c r="BK47" i="151"/>
  <c r="W47" i="151"/>
  <c r="AP47" i="151"/>
  <c r="AO47" i="151"/>
  <c r="BH47" i="151"/>
  <c r="BG46" i="151"/>
  <c r="BG50" i="151" s="1"/>
  <c r="BG47" i="151"/>
  <c r="AM47" i="151"/>
  <c r="S47" i="151"/>
  <c r="AY46" i="151"/>
  <c r="AY50" i="151" s="1"/>
  <c r="BS46" i="151"/>
  <c r="BS50" i="151" s="1"/>
  <c r="AB46" i="151"/>
  <c r="AB50" i="151" s="1"/>
  <c r="BO46" i="151"/>
  <c r="BO50" i="151" s="1"/>
  <c r="BR46" i="151"/>
  <c r="BR50" i="151" s="1"/>
  <c r="AD46" i="151"/>
  <c r="AD50" i="151" s="1"/>
  <c r="AW46" i="151"/>
  <c r="AW50" i="151" s="1"/>
  <c r="BM46" i="151"/>
  <c r="BM50" i="151" s="1"/>
  <c r="Z46" i="151"/>
  <c r="Z50" i="151" s="1"/>
  <c r="AE46" i="151"/>
  <c r="AE50" i="151" s="1"/>
  <c r="X46" i="151"/>
  <c r="X50" i="151" s="1"/>
  <c r="BQ46" i="151"/>
  <c r="BQ50" i="151" s="1"/>
  <c r="AU46" i="151"/>
  <c r="AU50" i="151" s="1"/>
  <c r="AT46" i="151"/>
  <c r="AT50" i="151" s="1"/>
  <c r="Y46" i="151"/>
  <c r="Y50" i="151" s="1"/>
  <c r="AR46" i="151"/>
  <c r="AR50" i="151" s="1"/>
  <c r="BK46" i="151"/>
  <c r="BK50" i="151" s="1"/>
  <c r="AQ46" i="151"/>
  <c r="AQ50" i="151" s="1"/>
  <c r="W46" i="151"/>
  <c r="W50" i="151" s="1"/>
  <c r="BJ46" i="151"/>
  <c r="BJ50" i="151" s="1"/>
  <c r="AP46" i="151"/>
  <c r="AP50" i="151" s="1"/>
  <c r="V46" i="151"/>
  <c r="V50" i="151" s="1"/>
  <c r="AO46" i="151"/>
  <c r="AO50" i="151" s="1"/>
  <c r="BH46" i="151"/>
  <c r="BH50" i="151" s="1"/>
  <c r="AN46" i="151"/>
  <c r="AN50" i="151" s="1"/>
  <c r="S46" i="151"/>
  <c r="S50" i="151" s="1"/>
  <c r="AL46" i="151"/>
  <c r="AL50" i="151" s="1"/>
  <c r="BC46" i="151"/>
  <c r="BC50" i="151" s="1"/>
  <c r="AI46" i="151"/>
  <c r="AI50" i="151" s="1"/>
  <c r="AF46" i="151"/>
  <c r="AF50" i="151" s="1"/>
  <c r="AX46" i="151"/>
  <c r="AX50" i="151" s="1"/>
  <c r="AC46" i="151"/>
  <c r="AC50" i="151" s="1"/>
  <c r="BP46" i="151"/>
  <c r="BP50" i="151" s="1"/>
  <c r="AV46" i="151"/>
  <c r="AV50" i="151" s="1"/>
  <c r="AA46" i="151"/>
  <c r="AA50" i="151" s="1"/>
  <c r="BN46" i="151"/>
  <c r="BN50" i="151" s="1"/>
  <c r="AS46" i="151"/>
  <c r="AS50" i="151" s="1"/>
  <c r="BL46" i="151"/>
  <c r="BL50" i="151" s="1"/>
  <c r="BI46" i="151"/>
  <c r="BI50" i="151" s="1"/>
  <c r="U46" i="151"/>
  <c r="U50" i="151" s="1"/>
  <c r="T46" i="151"/>
  <c r="T50" i="151" s="1"/>
  <c r="AM46" i="151"/>
  <c r="AM50" i="151" s="1"/>
  <c r="AK46" i="151"/>
  <c r="AK50" i="151" s="1"/>
  <c r="J47" i="151" l="1"/>
  <c r="I59" i="151" s="1"/>
  <c r="I48" i="294" s="1"/>
  <c r="I61" i="151"/>
  <c r="I56" i="151"/>
  <c r="I57" i="151"/>
  <c r="I55" i="151"/>
  <c r="I46" i="294" s="1"/>
  <c r="N47" i="151"/>
  <c r="I60" i="151" s="1"/>
  <c r="I49" i="294" s="1"/>
  <c r="L47" i="151"/>
  <c r="M47" i="151"/>
  <c r="K47" i="151"/>
  <c r="I58" i="151" l="1"/>
  <c r="I47" i="294" s="1"/>
  <c r="D92" i="294"/>
  <c r="E92" i="294"/>
  <c r="F92" i="294"/>
  <c r="G92" i="294"/>
  <c r="H92" i="294"/>
  <c r="I92" i="294"/>
  <c r="AH51" i="151"/>
  <c r="AF51" i="151"/>
  <c r="AG51" i="151"/>
  <c r="BA51" i="151"/>
  <c r="BU51" i="151"/>
  <c r="AD51" i="151" l="1"/>
  <c r="BQ51" i="151"/>
  <c r="AW51" i="151"/>
  <c r="AC51" i="151"/>
  <c r="AX51" i="151"/>
  <c r="AB51" i="151"/>
  <c r="BT51" i="151"/>
  <c r="BS51" i="151"/>
  <c r="BR51" i="151"/>
  <c r="AV51" i="151"/>
  <c r="AU51" i="151"/>
  <c r="BN51" i="151"/>
  <c r="AT51" i="151"/>
  <c r="Z51" i="151"/>
  <c r="BM51" i="151"/>
  <c r="AS51" i="151"/>
  <c r="Y51" i="151"/>
  <c r="AZ51" i="151"/>
  <c r="AE51" i="151"/>
  <c r="BP51" i="151"/>
  <c r="BO51" i="151"/>
  <c r="AA51" i="151"/>
  <c r="BL51" i="151"/>
  <c r="AR51" i="151"/>
  <c r="X51" i="151"/>
  <c r="J57" i="151"/>
  <c r="BK51" i="151"/>
  <c r="AQ51" i="151"/>
  <c r="W51" i="151"/>
  <c r="V51" i="151"/>
  <c r="U51" i="151"/>
  <c r="D54" i="294"/>
  <c r="AP51" i="151"/>
  <c r="AO51" i="151"/>
  <c r="T51" i="151"/>
  <c r="AM51" i="151"/>
  <c r="R51" i="151"/>
  <c r="BY51" i="151"/>
  <c r="AK51" i="151"/>
  <c r="BX51" i="151"/>
  <c r="BD51" i="151"/>
  <c r="AJ51" i="151"/>
  <c r="R5" i="151"/>
  <c r="BJ51" i="151"/>
  <c r="AN51" i="151"/>
  <c r="BE51" i="151"/>
  <c r="BW51" i="151"/>
  <c r="BC51" i="151"/>
  <c r="AI51" i="151"/>
  <c r="AY51" i="151"/>
  <c r="J56" i="151"/>
  <c r="J55" i="151"/>
  <c r="J46" i="294" s="1"/>
  <c r="BI51" i="151"/>
  <c r="BH51" i="151"/>
  <c r="BG51" i="151"/>
  <c r="S51" i="151"/>
  <c r="BF51" i="151"/>
  <c r="AL51" i="151"/>
  <c r="BV51" i="151"/>
  <c r="BB51" i="151"/>
  <c r="L51" i="151" l="1"/>
  <c r="J58" i="151"/>
  <c r="J47" i="294" s="1"/>
  <c r="M51" i="151"/>
  <c r="N51" i="151"/>
  <c r="J60" i="151" s="1"/>
  <c r="J49" i="294" s="1"/>
  <c r="K51" i="151"/>
  <c r="J61" i="151"/>
  <c r="J51" i="151"/>
  <c r="J59" i="151" s="1"/>
  <c r="J48" i="294" s="1"/>
  <c r="D56" i="294"/>
  <c r="R7" i="151"/>
  <c r="E56" i="294" l="1"/>
  <c r="E55" i="294"/>
  <c r="E54" i="294"/>
  <c r="S7" i="151"/>
  <c r="S6" i="151"/>
  <c r="S5" i="15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<sst xmlns="http://schemas.openxmlformats.org/spreadsheetml/2006/main" count="2261" uniqueCount="414">
  <si>
    <t>BCF Gross Sales</t>
  </si>
  <si>
    <t>BCF Cost of Sales</t>
  </si>
  <si>
    <t>BCF Dist &amp; Disp</t>
  </si>
  <si>
    <t>BCF Comm. (Gross)</t>
  </si>
  <si>
    <t>BCF Discount</t>
  </si>
  <si>
    <t>BCF Comm. (Net)</t>
  </si>
  <si>
    <t>WSM Gross Sales</t>
  </si>
  <si>
    <t>WSM Cost of Sales</t>
  </si>
  <si>
    <t>WSM Dist &amp; Disp</t>
  </si>
  <si>
    <t>WSM Comm. (Gross)</t>
  </si>
  <si>
    <t>WSM Discount</t>
  </si>
  <si>
    <t>WSM Comm. (Net)</t>
  </si>
  <si>
    <t>Drinks Gross Profit</t>
  </si>
  <si>
    <t>Rental Income</t>
  </si>
  <si>
    <t>Tie Release Fees</t>
  </si>
  <si>
    <t>Other Income</t>
  </si>
  <si>
    <t>Machines Income</t>
  </si>
  <si>
    <t>F&amp;F Income</t>
  </si>
  <si>
    <t>Insurance Income</t>
  </si>
  <si>
    <t>R&amp;M</t>
  </si>
  <si>
    <t>Marketing Support</t>
  </si>
  <si>
    <t>Outlet EBITDA</t>
  </si>
  <si>
    <t>BCF</t>
  </si>
  <si>
    <t>WSM</t>
  </si>
  <si>
    <t>Drinks gross profit (BCF + WSM)</t>
  </si>
  <si>
    <t>Rental income</t>
  </si>
  <si>
    <t>Total rental income</t>
  </si>
  <si>
    <t>Ancillary income</t>
  </si>
  <si>
    <t>Other income</t>
  </si>
  <si>
    <t>Machines income</t>
  </si>
  <si>
    <t>F&amp;F income</t>
  </si>
  <si>
    <t>Insurance income</t>
  </si>
  <si>
    <t>Total other income</t>
  </si>
  <si>
    <t>Net income (drinks GP + rent + other income)</t>
  </si>
  <si>
    <t>Costs</t>
  </si>
  <si>
    <t>Total pub costs</t>
  </si>
  <si>
    <t>Total</t>
  </si>
  <si>
    <t>X</t>
  </si>
  <si>
    <t>Offering</t>
  </si>
  <si>
    <t>Portfolio</t>
  </si>
  <si>
    <t>RPI</t>
  </si>
  <si>
    <t>N/A</t>
  </si>
  <si>
    <t>CPIH</t>
  </si>
  <si>
    <t>CIPH</t>
  </si>
  <si>
    <t>Value</t>
  </si>
  <si>
    <t>Upper Mid-Market</t>
  </si>
  <si>
    <t>Mid-Market</t>
  </si>
  <si>
    <t>Premium</t>
  </si>
  <si>
    <t>BCF Volumes</t>
  </si>
  <si>
    <t>CPI forecast</t>
  </si>
  <si>
    <t>RPI forecast</t>
  </si>
  <si>
    <t>Pub costs</t>
  </si>
  <si>
    <t>Maintenance capex</t>
  </si>
  <si>
    <t>Bad debts / EBITDA</t>
  </si>
  <si>
    <t>Corporate overheads / pub</t>
  </si>
  <si>
    <t>Dist &amp; Disp</t>
  </si>
  <si>
    <t>Discounts</t>
  </si>
  <si>
    <t>No. of Pubs</t>
  </si>
  <si>
    <t>Sub-Buckets</t>
  </si>
  <si>
    <t>Volumes</t>
  </si>
  <si>
    <t>Pricing vs CPI</t>
  </si>
  <si>
    <t>Pricing</t>
  </si>
  <si>
    <t>Cost of sales per barrel</t>
  </si>
  <si>
    <t>Cost of sales</t>
  </si>
  <si>
    <t>Other</t>
  </si>
  <si>
    <t>Premium Mainstream</t>
  </si>
  <si>
    <t>Mainstream</t>
  </si>
  <si>
    <t>Modelling Group</t>
  </si>
  <si>
    <t>No. of pubs</t>
  </si>
  <si>
    <t>Bad debts</t>
  </si>
  <si>
    <t>Growth capex</t>
  </si>
  <si>
    <t>Portfolio net cash flow</t>
  </si>
  <si>
    <t>Invested - capex assumptions</t>
  </si>
  <si>
    <t>Target ROI</t>
  </si>
  <si>
    <t>Key capex assumptions</t>
  </si>
  <si>
    <t>EBITDA growth rates post capex deployment</t>
  </si>
  <si>
    <t>EBITDA growth split</t>
  </si>
  <si>
    <t>Pubs / tranche</t>
  </si>
  <si>
    <t>Capex / pub</t>
  </si>
  <si>
    <t>Start date</t>
  </si>
  <si>
    <t>Capex period</t>
  </si>
  <si>
    <t>End date</t>
  </si>
  <si>
    <t>Capex / month</t>
  </si>
  <si>
    <t>Drinks</t>
  </si>
  <si>
    <t>Rent</t>
  </si>
  <si>
    <t>Capex + 1yr</t>
  </si>
  <si>
    <t>Capex + 2yr</t>
  </si>
  <si>
    <t>Capex + 3yr</t>
  </si>
  <si>
    <t>Capex + 4yr</t>
  </si>
  <si>
    <t>Capex + 5yr</t>
  </si>
  <si>
    <t>Workings</t>
  </si>
  <si>
    <t>EBITDA uplift due to capex</t>
  </si>
  <si>
    <t>EBITDA post capex deployment</t>
  </si>
  <si>
    <t>Post capex: outlet EBITDA</t>
  </si>
  <si>
    <t>Capex start (RR)</t>
  </si>
  <si>
    <t xml:space="preserve">Drinks </t>
  </si>
  <si>
    <t>Uplift calcs:</t>
  </si>
  <si>
    <t>Margin calcs:</t>
  </si>
  <si>
    <t>BCF net commission margin</t>
  </si>
  <si>
    <t>WSM net commission margin</t>
  </si>
  <si>
    <t>Cost of sales calcs:</t>
  </si>
  <si>
    <t>BCF: Cost of sales (% of leakage)</t>
  </si>
  <si>
    <t>BCF: Dist &amp; disp (% of leakage)</t>
  </si>
  <si>
    <t>BCF: Discounts (% of leakage)</t>
  </si>
  <si>
    <t>WSM: Cost of sales (% of leakage)</t>
  </si>
  <si>
    <t>WSM: Dist &amp; disp (% of leakage)</t>
  </si>
  <si>
    <t>WSM: Discounts (% of leakage)</t>
  </si>
  <si>
    <t>Total calcs - BCF:</t>
  </si>
  <si>
    <t>Check</t>
  </si>
  <si>
    <t>Total calcs - WSM:</t>
  </si>
  <si>
    <t>Total calcs:</t>
  </si>
  <si>
    <t>Capex spend</t>
  </si>
  <si>
    <t>Flags</t>
  </si>
  <si>
    <t>1 = during capex period, 0 = outside of capex period</t>
  </si>
  <si>
    <t>1 = post capex deployment, 0 = pre or during capex deployment</t>
  </si>
  <si>
    <t>1 = pre capex deployment, 0 = during or post capex deployment</t>
  </si>
  <si>
    <t>1 = first 12 months after capex deployment, 2 = second 12 months, etc.</t>
  </si>
  <si>
    <t>BCF Price Per Barrel</t>
  </si>
  <si>
    <t>Pre-Capex Total</t>
  </si>
  <si>
    <t>Pre-Capex Per Pub Basis</t>
  </si>
  <si>
    <t>Consolidated Output</t>
  </si>
  <si>
    <t>No. of pubs disposed</t>
  </si>
  <si>
    <t>Disposal assumptions</t>
  </si>
  <si>
    <t>Security costs</t>
  </si>
  <si>
    <t>Closures</t>
  </si>
  <si>
    <t># of Pubs Closed Annually</t>
  </si>
  <si>
    <t># of Pubs</t>
  </si>
  <si>
    <t>Disposals</t>
  </si>
  <si>
    <t>Disposal Proceeds</t>
  </si>
  <si>
    <t>Overheads</t>
  </si>
  <si>
    <t>Sales</t>
  </si>
  <si>
    <t xml:space="preserve">  of which open</t>
  </si>
  <si>
    <t xml:space="preserve">  of which closed</t>
  </si>
  <si>
    <t xml:space="preserve">Price </t>
  </si>
  <si>
    <t>Cost of Sales</t>
  </si>
  <si>
    <t>Consolidated Output - Per Pub</t>
  </si>
  <si>
    <t>Sale date</t>
  </si>
  <si>
    <t>Quantum</t>
  </si>
  <si>
    <t>BoP</t>
  </si>
  <si>
    <t>EoP</t>
  </si>
  <si>
    <t>Exit date</t>
  </si>
  <si>
    <t>Debt schedule - initial portfolio</t>
  </si>
  <si>
    <t>Loan Start Date</t>
  </si>
  <si>
    <t>Repayment Date</t>
  </si>
  <si>
    <t>Loan Amount</t>
  </si>
  <si>
    <t>Implied quantum</t>
  </si>
  <si>
    <t>All-In Cost</t>
  </si>
  <si>
    <t>Margin</t>
  </si>
  <si>
    <t>Interest Method</t>
  </si>
  <si>
    <t>Current</t>
  </si>
  <si>
    <t>Type</t>
  </si>
  <si>
    <t>Fixed</t>
  </si>
  <si>
    <t>5Y Swap</t>
  </si>
  <si>
    <t>Commitment Fee %</t>
  </si>
  <si>
    <t>Commitment Fee Method</t>
  </si>
  <si>
    <t>UFF</t>
  </si>
  <si>
    <t>Amortisation</t>
  </si>
  <si>
    <t>Exit Fee</t>
  </si>
  <si>
    <t>Release Pricing Premium</t>
  </si>
  <si>
    <t>Opening Balance</t>
  </si>
  <si>
    <t>Drawdown</t>
  </si>
  <si>
    <t>Upfront Fee</t>
  </si>
  <si>
    <t>Commitment Fee</t>
  </si>
  <si>
    <t>Paid</t>
  </si>
  <si>
    <t>PIK</t>
  </si>
  <si>
    <t>Interest</t>
  </si>
  <si>
    <t>Contracted Amortisation</t>
  </si>
  <si>
    <t>Asset Sales Amortisation</t>
  </si>
  <si>
    <t>Balloon Repayment</t>
  </si>
  <si>
    <t>Closing Balance</t>
  </si>
  <si>
    <t>Equity Cashflow</t>
  </si>
  <si>
    <t>SONIA 3M</t>
  </si>
  <si>
    <t>EBITDA Multiple</t>
  </si>
  <si>
    <t xml:space="preserve">  % of total estate closed</t>
  </si>
  <si>
    <t>Total no. of pubs within sub-portfolio</t>
  </si>
  <si>
    <t xml:space="preserve">  BCF net commission margin (%)</t>
  </si>
  <si>
    <t xml:space="preserve">  WSM net commission margin (%)</t>
  </si>
  <si>
    <t xml:space="preserve">  Drinks gross profit margin (%)</t>
  </si>
  <si>
    <t>BCF per barrel - key metrics</t>
  </si>
  <si>
    <t>FY23-FY28</t>
  </si>
  <si>
    <t>CAGR</t>
  </si>
  <si>
    <t>Disposal Buckets</t>
  </si>
  <si>
    <t>Date</t>
  </si>
  <si>
    <t>Disposal Multiple</t>
  </si>
  <si>
    <t>Security costs re closed sites</t>
  </si>
  <si>
    <t>Asset disposal proceeds</t>
  </si>
  <si>
    <t>Sub-Portfolio Totals</t>
  </si>
  <si>
    <t>Sub-Portfolio</t>
  </si>
  <si>
    <t>Indexation Type</t>
  </si>
  <si>
    <t>CPI</t>
  </si>
  <si>
    <t xml:space="preserve">  of which retained</t>
  </si>
  <si>
    <t xml:space="preserve">  of which disposed</t>
  </si>
  <si>
    <t>Pubs disposed of in period</t>
  </si>
  <si>
    <t>Pubs disposed of cumulatively</t>
  </si>
  <si>
    <t>Pub disposals (#):</t>
  </si>
  <si>
    <t>Pub disposals proceeds:</t>
  </si>
  <si>
    <t>Closure assumptions</t>
  </si>
  <si>
    <t>Security costs re. closures</t>
  </si>
  <si>
    <t>Maintenance capex / pub / year</t>
  </si>
  <si>
    <t>Inflation assumptions</t>
  </si>
  <si>
    <t>Inflation-driven assumptions</t>
  </si>
  <si>
    <t>Disposal multiples</t>
  </si>
  <si>
    <t>Capex start date</t>
  </si>
  <si>
    <t>EBITDA growth post-capex</t>
  </si>
  <si>
    <t xml:space="preserve">Total disposals </t>
  </si>
  <si>
    <t>Growth capex / pub</t>
  </si>
  <si>
    <t>Growth capex assumptions</t>
  </si>
  <si>
    <t>End</t>
  </si>
  <si>
    <t>Inflation curves</t>
  </si>
  <si>
    <t>Financing Cashflows</t>
  </si>
  <si>
    <t>Exit Proceeds</t>
  </si>
  <si>
    <t xml:space="preserve">Levered portfolio net cash flow </t>
  </si>
  <si>
    <t>Exit Date</t>
  </si>
  <si>
    <t>Purchasers' Costs</t>
  </si>
  <si>
    <t>Purchase Price</t>
  </si>
  <si>
    <t>Annual security costs per closed pub</t>
  </si>
  <si>
    <t>Disposal Costs</t>
  </si>
  <si>
    <t>Transaction Timing</t>
  </si>
  <si>
    <t xml:space="preserve">Acquisition </t>
  </si>
  <si>
    <t>Growth Capex</t>
  </si>
  <si>
    <t>Flat</t>
  </si>
  <si>
    <t>Flat Forecast</t>
  </si>
  <si>
    <t>Exit multiple (outlet level)</t>
  </si>
  <si>
    <t>Disposal Frequency</t>
  </si>
  <si>
    <t>Cost of sales / barrel</t>
  </si>
  <si>
    <t>Assets with no indexation are those on short term leases - assumed to grow at CPI</t>
  </si>
  <si>
    <t>Yield</t>
  </si>
  <si>
    <t xml:space="preserve">  Outlet EBITDA Margin</t>
  </si>
  <si>
    <t>BCF assumptions</t>
  </si>
  <si>
    <t>WSM assumptions</t>
  </si>
  <si>
    <t>Assumptions</t>
  </si>
  <si>
    <t>Portfolio exit</t>
  </si>
  <si>
    <t xml:space="preserve">Portfolio entry </t>
  </si>
  <si>
    <t>Per Pub Basis</t>
  </si>
  <si>
    <t>Calc Date</t>
  </si>
  <si>
    <t>Debt Assumptions (INPUT)</t>
  </si>
  <si>
    <t>Date and Fiscal Year Index</t>
  </si>
  <si>
    <t>Income Statement Mapping</t>
  </si>
  <si>
    <t>BCF Price</t>
  </si>
  <si>
    <t>Time Period Flag</t>
  </si>
  <si>
    <t>Area Header Row</t>
  </si>
  <si>
    <t>Set the row number of the area header cell</t>
  </si>
  <si>
    <t>Bucket Offering Index</t>
  </si>
  <si>
    <t>Index Table</t>
  </si>
  <si>
    <t>Live Fiscal Years</t>
  </si>
  <si>
    <t>Month 0</t>
  </si>
  <si>
    <t>Month 1</t>
  </si>
  <si>
    <t>Month 2</t>
  </si>
  <si>
    <t>Month 3</t>
  </si>
  <si>
    <t>Month 4</t>
  </si>
  <si>
    <t>Month 5</t>
  </si>
  <si>
    <t>Month 6</t>
  </si>
  <si>
    <t>Month 7</t>
  </si>
  <si>
    <t>Month 8</t>
  </si>
  <si>
    <t>Month 9</t>
  </si>
  <si>
    <t>Month 10</t>
  </si>
  <si>
    <t>Month 11</t>
  </si>
  <si>
    <t>Month 12</t>
  </si>
  <si>
    <t>Entry Date</t>
  </si>
  <si>
    <t>Entry multiple (outlet level)</t>
  </si>
  <si>
    <t>Transaction Costs</t>
  </si>
  <si>
    <t>Sales Costs</t>
  </si>
  <si>
    <t>Return Summary</t>
  </si>
  <si>
    <t>Equity Multiple</t>
  </si>
  <si>
    <t>Profit</t>
  </si>
  <si>
    <t>Equity Requirement</t>
  </si>
  <si>
    <t xml:space="preserve"> # disposed</t>
  </si>
  <si>
    <t>Discounts vs CPI</t>
  </si>
  <si>
    <t>None</t>
  </si>
  <si>
    <t>Allocated Loan Amount (%)</t>
  </si>
  <si>
    <t>Allocated loan amount (% LTV)</t>
  </si>
  <si>
    <t>Avg. cash yield</t>
  </si>
  <si>
    <t>Acq value</t>
  </si>
  <si>
    <t>Outlet EBITDA multiple</t>
  </si>
  <si>
    <t>Corporate EBITDA multiple</t>
  </si>
  <si>
    <t>Fiscal Year</t>
  </si>
  <si>
    <t>Start Date (2026)</t>
  </si>
  <si>
    <t>End of year</t>
  </si>
  <si>
    <t>Weight (2026)</t>
  </si>
  <si>
    <t>Weight (2027)</t>
  </si>
  <si>
    <t>% of Total</t>
  </si>
  <si>
    <t>Do not Delete</t>
  </si>
  <si>
    <t>Capex spent per year</t>
  </si>
  <si>
    <t xml:space="preserve">Assumed # of Pubs invested each year </t>
  </si>
  <si>
    <t xml:space="preserve">  % of total estate invested</t>
  </si>
  <si>
    <t xml:space="preserve">Actual # of pubs invested each year </t>
  </si>
  <si>
    <t>Uninvested</t>
  </si>
  <si>
    <t>Duty per Barrel</t>
  </si>
  <si>
    <t>HHN</t>
  </si>
  <si>
    <t xml:space="preserve">Sales growth </t>
  </si>
  <si>
    <t>Dist &amp; disp / barrel (BCF)</t>
  </si>
  <si>
    <t xml:space="preserve">Note: Price per barrel is calculated on the price per barrel excl. £125 of duty. Therefore the growth rate is applied to a smaller base figure than is shown in the cashflows and growth in pricing is therefore below CPI + X% assumed here. Duty is a cost of sale which is recouped directly from the publican on a 1:1 basis. </t>
  </si>
  <si>
    <t>Corporate EBITDA</t>
  </si>
  <si>
    <t>Normalised operating CF</t>
  </si>
  <si>
    <t>% of Total Sold</t>
  </si>
  <si>
    <t>Dist &amp; disp</t>
  </si>
  <si>
    <t>COGS vs Baseline</t>
  </si>
  <si>
    <t>Key Inputs</t>
  </si>
  <si>
    <t>Valuation Assumptions</t>
  </si>
  <si>
    <t>Exit Multiple</t>
  </si>
  <si>
    <t>Entry</t>
  </si>
  <si>
    <t>Exit</t>
  </si>
  <si>
    <t>Entry Multiple (FY26 Outlet EBITDA)</t>
  </si>
  <si>
    <t xml:space="preserve">Operational Assumptions </t>
  </si>
  <si>
    <t>COGS Baseline</t>
  </si>
  <si>
    <t>Dist &amp; Disp Baseline</t>
  </si>
  <si>
    <t>WSM (Absolute Growth Rate)</t>
  </si>
  <si>
    <t>BCF (Growth Rate per Barrel)</t>
  </si>
  <si>
    <t>COGS</t>
  </si>
  <si>
    <t>Other Assumptions</t>
  </si>
  <si>
    <t>Maintenance Capex per Pub</t>
  </si>
  <si>
    <t>Corporate Overheads per Pub</t>
  </si>
  <si>
    <t>Bad Debt as % of EBITDA</t>
  </si>
  <si>
    <t># of Closed Pubs per Portfolio p.a.</t>
  </si>
  <si>
    <t>% of total estate disposed</t>
  </si>
  <si>
    <t>Business Plan Levers</t>
  </si>
  <si>
    <t>On / Off Toggle</t>
  </si>
  <si>
    <t>(1 = On; 0 = Off)</t>
  </si>
  <si>
    <t># of Pubs Disposed per Portfolio p.a.</t>
  </si>
  <si>
    <t>Growth Capex Spend per Project</t>
  </si>
  <si>
    <t># of Pubs Invested per Portfolio p.a.</t>
  </si>
  <si>
    <t>Identified Land Surplus Pipeline</t>
  </si>
  <si>
    <t>Average Disposal Proceeds p.a.</t>
  </si>
  <si>
    <t>Average Growth Capex Spend p.a.</t>
  </si>
  <si>
    <t>Financing Assumptions</t>
  </si>
  <si>
    <t>Implied LTV (%)</t>
  </si>
  <si>
    <t>Key Outputs</t>
  </si>
  <si>
    <t>Valuation</t>
  </si>
  <si>
    <t>Entry Purchase Price</t>
  </si>
  <si>
    <t>Entry Price per Pub</t>
  </si>
  <si>
    <t>Entry FY26 Outlet EBITDA Multiple</t>
  </si>
  <si>
    <t>Entry FY26 Corporate EBITDA Multiple</t>
  </si>
  <si>
    <t>Maintenance capex FY26F / pub / year</t>
  </si>
  <si>
    <t>Sources &amp; Uses</t>
  </si>
  <si>
    <t>Sources</t>
  </si>
  <si>
    <t>Day-1 Equity</t>
  </si>
  <si>
    <t>Amount</t>
  </si>
  <si>
    <t>Day-1 Debt Drawdown</t>
  </si>
  <si>
    <t>Total Day-1 Sources</t>
  </si>
  <si>
    <t>Uses</t>
  </si>
  <si>
    <t>Day-1 Purchase Price</t>
  </si>
  <si>
    <t>Returns</t>
  </si>
  <si>
    <t>Unlevered</t>
  </si>
  <si>
    <t xml:space="preserve">IRR </t>
  </si>
  <si>
    <t>Year 1 Cash-on-Cash</t>
  </si>
  <si>
    <t>Year 5 Cash-on-Cash</t>
  </si>
  <si>
    <t>Levered</t>
  </si>
  <si>
    <t>(Flat, CPI, RPI or Fixed Growth)</t>
  </si>
  <si>
    <t>Summary Cashflow</t>
  </si>
  <si>
    <t xml:space="preserve">Unlevered portfolio net cash flow </t>
  </si>
  <si>
    <t>Levered running cash yield (incl. disposal proceeds)</t>
  </si>
  <si>
    <t>Unlevered running cash yield (incl. disposal proceeds)</t>
  </si>
  <si>
    <t>Valuation Summary</t>
  </si>
  <si>
    <t>IRR</t>
  </si>
  <si>
    <t>Average Sale Proceeds p.a.</t>
  </si>
  <si>
    <t>Dashboard</t>
  </si>
  <si>
    <t>Note: Should always be inputted at the beginning of the month: 01/xx/xx</t>
  </si>
  <si>
    <t>Growth assumptions</t>
  </si>
  <si>
    <t>Project Demeter</t>
  </si>
  <si>
    <t>Project Demeter - Portfolio Categorisation</t>
  </si>
  <si>
    <t>FY23</t>
  </si>
  <si>
    <t>FY24</t>
  </si>
  <si>
    <t>FY25</t>
  </si>
  <si>
    <t>LTM</t>
  </si>
  <si>
    <t>Uninvested Tranche</t>
  </si>
  <si>
    <r>
      <rPr>
        <b/>
        <sz val="10"/>
        <color theme="1"/>
        <rFont val="Century Gothic"/>
        <family val="2"/>
      </rPr>
      <t>DISCLAIMER</t>
    </r>
    <r>
      <rPr>
        <sz val="8"/>
        <color theme="1"/>
        <rFont val="Century Gothic"/>
        <family val="2"/>
        <scheme val="minor"/>
      </rPr>
      <t xml:space="preserve">
This document and any other materials accompanying this document (collectively, the “Materials”) are provided on a non-binding and non-reliance basis and are for general informational and marketing purposes only. By accepting any Materials, the recipient acknowledges and agrees to the matters set out below.
The Materials have been prepared by Eastdil Secured Limited (the “Advisor”) to obtain indications of interest only. The Materials do not constitute an offer or invitation to make an investment, in any form, in the opportunity discussed herein. Provision of the Materials is not intended to create any kind of contractual or fiduciary relationship between the recipient and the Sponsor or Advisor. Any offer or related transaction will only be made on the basis of the completion of the recipient’s due diligence exercise, and the negotiation and execution of full documentation.
The Materials have been prepared on the basis of information obtained from Advisor’s client (the “Sponsor”) and other sources considered to be reliable. Neither the Advisor nor the Sponsor have verified information contained in the Materials or the underlying sources. This is because the Advisor and Sponsor anticipate that the intended recipient will complete their own due diligence exercise and obtain appropriate professional advice on these matters. The Advisor and the Sponsor do not undertake any duty or obligation to update the information. Neither the Advisor nor the Sponsor makes or gives any representation, warranty or guarantee, whether express or implied, that the information contained in the Materials or otherwise supplied to the recipient, at any time by or on behalf of the Advisor or the Sponsor whether in writing or not is complete or accurate or up to date, or that reasonable care has been taken in compiling, preparing or furnishing the information.
The Materials provide a guide only and are not intended to be exhaustive. They should not be used as the basis of any credit analysis or other evaluation, they do not contain disclosure of any of the risks associated with the opportunity, and they are not to be construed as investment, tax or legal advice in relation to the relevant subject matter. Any opinions or estimates contained in the Materials represent the judgement of the Advisor at the time the Materials are produced and these are subject to change without notice.
The Materials may contain statements, opinions, estimates, targets or projections that are forward looking and which include projections of future financial performance, anticipated growth strategies and anticipated trends and are subject to numerous risks, uncertainties and assumptions. Such statements or projections are based on current expectations and projections about future events and actual results could differ materially in light of actual events, levels of activity, performance or achievements.
Estimates or forecasts in the Materials should not be interpreted as a promise or representation by the Advisor or the Sponsor as to future matters and nothing contained in the Materials should be relied upon as a representation as to future matters. Each recipient is responsible for making its own credit analysis and its own independent assessment of the relevant subject matter and such independent investigation as it considers necessary or appropriate for determining whether to participate in the relevant investment.
The Materials have been prepared to obtain indications of interest only. The Materials do not constitute an offer or invitation or recommendation to buy or subscribe any securities or make an investment, in any form and in any jurisdiction, in the opportunity discussed herein. Provision of the Materials is not intended to create any kind of contractual or fiduciary relationship between the Advisor and the recipient or the Sponsor and the recipient of the Materials.
Neither the Advisor nor the Sponsor accepts or assumes responsibility or liability of any kind (whether for negligence or otherwise) to any of the recipients of the Materials or to any other person for any action taken or omitted to be taken by any party in connection with or arising in any way from or in relation to the information contained in the Materials. None of the Advisor, the Sponsor or any of their or their affiliates’ respective directors, officers, employees, agents, partners or professional advisors shall be liable for any direct, indirect or consequential loss or damage suffered by any person as a result of relying on any statement contained in the Materials or any such other information.
The Materials are confidential and are not to be used for any other purpose or made available to any other person without the express written consent of the Advisor. Each recipient should also be aware that some of the information may constitute material non-public information concerning Stonegate or its securities and that the use of that information may be regulated or prohibited by applicable legislation relating to insider dealing. By receipt of the Materials, each recipient undertakes not to use any of the Materials for any unlawful purpose. Each recipient should therefore take appropriate advice as to the use to which such information may lawfully be put. The Materials and any use thereof are subject to the respective non-disclosure agreement that each recipient entered into in respect of the opportunity discussed herein prior to receiving the Materials.
Eastdil Secured Limited is a company incorporated under English law with its registered office at One Berkeley Street, London, W1J 8DJ. Eastdil Secured Limited is registered with the UK’s Companies House under number 12751924.
Eastdil Secured © 2026. All Rights Reserved. PUB25.</t>
    </r>
  </si>
  <si>
    <t>Project Demeter - Financial Model</t>
  </si>
  <si>
    <t>Surplus Land Sales - Assumptions</t>
  </si>
  <si>
    <t>Surplus land</t>
  </si>
  <si>
    <t>Total Surplus land Proceeds</t>
  </si>
  <si>
    <t>Surplus land disposal proceeds</t>
  </si>
  <si>
    <t>Surplus land bucket</t>
  </si>
  <si>
    <t>Surplus land Sales - Cashflow</t>
  </si>
  <si>
    <t>BCF Volumes (Barrels)</t>
  </si>
  <si>
    <t>FY23A</t>
  </si>
  <si>
    <t>FY24A</t>
  </si>
  <si>
    <t>FY25A</t>
  </si>
  <si>
    <t>FY26 P4 LTM</t>
  </si>
  <si>
    <t>FY26E</t>
  </si>
  <si>
    <t>FY27E</t>
  </si>
  <si>
    <t>FY28E</t>
  </si>
  <si>
    <t>FY29E</t>
  </si>
  <si>
    <t>FY30E</t>
  </si>
  <si>
    <t>FY31E</t>
  </si>
  <si>
    <t xml:space="preserve">Note: all figures throughout the model are in £ unless otherwise noted. </t>
  </si>
  <si>
    <t>BCF gross commission</t>
  </si>
  <si>
    <t>(-) BCF dist &amp; disp</t>
  </si>
  <si>
    <t>(-) BCF cost of sales</t>
  </si>
  <si>
    <t>BCF gross sales</t>
  </si>
  <si>
    <t>(-) BCF discounts</t>
  </si>
  <si>
    <t>BCF net commission</t>
  </si>
  <si>
    <t>WSM gross sales</t>
  </si>
  <si>
    <t>(-) WSM cost of sales</t>
  </si>
  <si>
    <t>(-) WSM dist &amp; disp</t>
  </si>
  <si>
    <t>WSM gross commission</t>
  </si>
  <si>
    <t>(-) WSM discounts</t>
  </si>
  <si>
    <t>WSM net commission</t>
  </si>
  <si>
    <t>Portfolio - Value</t>
  </si>
  <si>
    <t>Portfolio - Mid-Market</t>
  </si>
  <si>
    <t>Portfolio - Upper Mid-Market</t>
  </si>
  <si>
    <t>Portfolio - Premium</t>
  </si>
  <si>
    <t>Outlet EBITDA (pre-OHs)"</t>
  </si>
  <si>
    <t>EBITDA used for debt sizing (pre overheads)</t>
  </si>
  <si>
    <t>Corporate EBITDA margin (%)</t>
  </si>
  <si>
    <t xml:space="preserve">  Normalised operating CF conversion (%)</t>
  </si>
  <si>
    <t xml:space="preserve">  Outlet EBITDA Margin (%)</t>
  </si>
  <si>
    <t>Corporate EBITDA Margin (%)</t>
  </si>
  <si>
    <t xml:space="preserve">  Normalised Operating CF Conversion (%)</t>
  </si>
  <si>
    <t>Growth Capex (IM p.84)</t>
  </si>
  <si>
    <t>Disposals (IM p.85)</t>
  </si>
  <si>
    <t>Surplus land (IM p.86)</t>
  </si>
  <si>
    <t>FY26E-FY31E CAGR</t>
  </si>
  <si>
    <t>Drivers Toggles</t>
  </si>
  <si>
    <t>Surplus Land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</si>
</sst>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8">
    <numFmt numFmtId="43" formatCode="_-* #,##0.00_-;\-* #,##0.00_-;_-* &quot;-&quot;??_-;_-@_-"/>
    <numFmt numFmtId="164" formatCode="#,##0;\(#,##0\);\-"/>
    <numFmt numFmtId="165" formatCode="#,##0.0;\(#,##0.0\);\-"/>
    <numFmt numFmtId="166" formatCode="#,##0.00;\(#,##0.00\);\-"/>
    <numFmt numFmtId="167" formatCode="0.0%"/>
    <numFmt numFmtId="168" formatCode="#,##0\ ;[Red]\(#,##0\);\-\ "/>
    <numFmt numFmtId="169" formatCode="#,##0,\ ;[Red]\(#,##0,\);\-\ "/>
    <numFmt numFmtId="170" formatCode="dd\-mmm\-yyyy"/>
    <numFmt numFmtId="171" formatCode="&quot;Yes&quot;;&quot;ERROR&quot;;&quot;No&quot;"/>
    <numFmt numFmtId="172" formatCode="General;\(General\);\-"/>
    <numFmt numFmtId="173" formatCode="[$-409]mmmm\-yy;@"/>
    <numFmt numFmtId="174" formatCode="0.0%;\(0.0\)%;\-"/>
    <numFmt numFmtId="175" formatCode="#,##0%;\(#,##0%\);\-"/>
    <numFmt numFmtId="176" formatCode="&quot;Year &quot;#,##0"/>
    <numFmt numFmtId="177" formatCode="#,##0&quot; month(s)&quot;"/>
    <numFmt numFmtId="178" formatCode="0.00%;\(0.00\)%;\-"/>
    <numFmt numFmtId="179" formatCode="&quot;Year &quot;#,##0;;&quot;During capex&quot;"/>
    <numFmt numFmtId="180" formatCode="&quot;Post capex - outlet EBITDA: Portfolio &quot;#,##0"/>
    <numFmt numFmtId="181" formatCode="&quot;Outlet EBITDA: Portfolio &quot;#,##0"/>
    <numFmt numFmtId="182" formatCode="&quot;EBITDA uplift due to capex: Portfolio &quot;#,##0"/>
    <numFmt numFmtId="183" formatCode="&quot;Drinks net comm. uplift due to capex: Portfolio &quot;#,##0"/>
    <numFmt numFmtId="184" formatCode="&quot;BCF net comm. uplift due to capex: Portfolio &quot;#,##0"/>
    <numFmt numFmtId="185" formatCode="&quot;WSM net comm. uplift due to capex: Portfolio &quot;#,##0"/>
    <numFmt numFmtId="186" formatCode="&quot;BCF net comm.: Portfolio &quot;#,##0"/>
    <numFmt numFmtId="187" formatCode="&quot;BCF gross sales: Portfolio &quot;#,##0"/>
    <numFmt numFmtId="188" formatCode="&quot;BCF cost of sales: Portfolio &quot;#,##0"/>
    <numFmt numFmtId="189" formatCode="&quot;BCF dist &amp; disp: Portfolio &quot;#,##0"/>
    <numFmt numFmtId="190" formatCode="&quot;BCF discounts: Portfolio &quot;#,##0"/>
    <numFmt numFmtId="191" formatCode="&quot;WSM net comm.: Portfolio &quot;#,##0"/>
    <numFmt numFmtId="192" formatCode="&quot;WSM gross sales: Portfolio &quot;#,##0"/>
    <numFmt numFmtId="193" formatCode="&quot;WSM cost of sales: Portfolio &quot;#,##0"/>
    <numFmt numFmtId="194" formatCode="&quot;WSM dist &amp; disp: Portfolio &quot;#,##0"/>
    <numFmt numFmtId="195" formatCode="&quot;WSM discounts: Portfolio &quot;#,##0"/>
    <numFmt numFmtId="196" formatCode="&quot;Rental income uplift due to capex: Portfolio &quot;#,##0"/>
    <numFmt numFmtId="197" formatCode="&quot;Rental income: Portfolio &quot;#,##0"/>
    <numFmt numFmtId="198" formatCode="&quot;Tie release fees: Portfolio &quot;#,##0"/>
    <numFmt numFmtId="199" formatCode="&quot;Other income: Portfolio &quot;#,##0"/>
    <numFmt numFmtId="200" formatCode="&quot;Machines income: Portfolio &quot;#,##0"/>
    <numFmt numFmtId="201" formatCode="&quot;F&amp;F income: Portfolio &quot;#,##0"/>
    <numFmt numFmtId="202" formatCode="&quot;Insurance income: Portfolio &quot;#,##0"/>
    <numFmt numFmtId="203" formatCode="&quot;R&amp;M: Portfolio &quot;#,##0"/>
    <numFmt numFmtId="204" formatCode="&quot;Marketing support: Portfolio &quot;#,##0"/>
    <numFmt numFmtId="205" formatCode="&quot;Implied EBITDA: Portfolio &quot;#,##0"/>
    <numFmt numFmtId="206" formatCode="&quot;EBITDA uplift: Portfolio &quot;#,##0"/>
    <numFmt numFmtId="207" formatCode="&quot;Growth capex: Portfolio &quot;#,##0"/>
    <numFmt numFmtId="208" formatCode="&quot;Maintenance capex: Portfolio &quot;#,##0"/>
    <numFmt numFmtId="209" formatCode="&quot;Bad debts: Portfolio &quot;#,##0"/>
    <numFmt numFmtId="210" formatCode="&quot;Volumes: Portfolio &quot;#,##0"/>
    <numFmt numFmtId="211" formatCode="&quot;Flag - capex period - Tranche &quot;#,##0"/>
    <numFmt numFmtId="212" formatCode="&quot;Pre vs post capex: Portfolio &quot;#,##0"/>
    <numFmt numFmtId="213" formatCode="&quot;EBITDA growth post capex: Portfolio &quot;#,##0"/>
    <numFmt numFmtId="214" formatCode="#,##0.0%;\(#,##0.0%\);\-"/>
    <numFmt numFmtId="215" formatCode="&quot;Bucket &quot;#,##0"/>
    <numFmt numFmtId="216" formatCode="0.0&quot;x&quot;;\(0.0\)&quot;x&quot;;\-"/>
    <numFmt numFmtId="217" formatCode="&quot;£&quot;#,##0;&quot;£&quot;\(#,##0\);\-"/>
    <numFmt numFmtId="218" formatCode="&quot;Land Parcel&quot;\ 0"/>
    <numFmt numFmtId="219" formatCode="&quot;Land parcel &quot;#,##0"/>
    <numFmt numFmtId="220" formatCode="0;\(0\);\-"/>
    <numFmt numFmtId="221" formatCode="&quot;£&quot;#,##0.0,,&quot;m&quot;;\(&quot;£&quot;#,##0.0,,&quot;m&quot;\);\-"/>
    <numFmt numFmtId="222" formatCode="&quot;£&quot;#,##0.00"/>
    <numFmt numFmtId="223" formatCode="0.0&quot;x&quot;"/>
    <numFmt numFmtId="224" formatCode="\+0.0%;\(0.0\)%;\-"/>
    <numFmt numFmtId="225" formatCode="0.000"/>
    <numFmt numFmtId="226" formatCode="0.00000;\(0.00000\);\-"/>
    <numFmt numFmtId="227" formatCode="#,##0.00&quot;x&quot;;\(#,##0.00&quot;x&quot;\);\-"/>
    <numFmt numFmtId="228" formatCode="#,##0.00%;\(#,##0.00%\);\-"/>
    <numFmt numFmtId="229" formatCode="#,##0.00%;\(#,##0.00%\)\:\-"/>
    <numFmt numFmtId="230" formatCode="#,##0_);\(#,##0\);\-_)"/>
    <numFmt numFmtId="231" formatCode="#,##0.00%;\(#,##0.00\)%;\-"/>
    <numFmt numFmtId="232" formatCode="0.0&quot;x&quot;;\(0.0&quot;x&quot;\);\-"/>
    <numFmt numFmtId="233" formatCode="0;\(0\);&quot;&quot;"/>
    <numFmt numFmtId="234" formatCode="0.000%"/>
    <numFmt numFmtId="235" formatCode="#,##0.0%;\(#,##0.0\)%;\-"/>
    <numFmt numFmtId="236" formatCode="#,##0.0&quot;x&quot;;\(#,##0.0&quot;x&quot;\);\-"/>
    <numFmt numFmtId="237" formatCode="&quot;£&quot;0.0&quot;m&quot;;\(&quot;£&quot;0.0&quot;m&quot;\)"/>
    <numFmt numFmtId="238" formatCode="&quot;£&quot;#,##0.0;&quot;£&quot;\(#,##0.0\);\-"/>
    <numFmt numFmtId="239" formatCode="&quot;£&quot;#,##0,,&quot;m&quot;;&quot;£&quot;\(#,##0\);\-"/>
    <numFmt numFmtId="240" formatCode="&quot;£&quot;#,##0.0,,&quot;m&quot;;&quot;£&quot;\(#,##0.0,,\)&quot;m&quot;;\-"/>
    <numFmt numFmtId="241" formatCode="#,##0.0"/>
    <numFmt numFmtId="242" formatCode="&quot;£&quot;#,##0.0_);\(&quot;£&quot;#,##0.0\)"/>
    <numFmt numFmtId="243" formatCode="&quot;£&quot;#,##0.0"/>
    <numFmt numFmtId="244" formatCode="&quot;On&quot;;;&quot;Off&quot;"/>
    <numFmt numFmtId="245" formatCode="&quot;£&quot;#,##0.0,,&quot;m&quot;;&quot;£&quot;\(#,##0.0\)&quot;m&quot;;\-"/>
    <numFmt numFmtId="246" formatCode="&quot;£&quot;#,##0,,&quot;m&quot;;&quot;£&quot;\(#,##0,,\)&quot;m&quot;;\-"/>
    <numFmt numFmtId="247" formatCode="&quot;£&quot;#,##0.0,,&quot;m&quot;"/>
    <numFmt numFmtId="248" formatCode="#,##0.0%&quot; of Estate&quot;"/>
    <numFmt numFmtId="249" formatCode="0.00&quot;x&quot;;\(0.00&quot;x&quot;\);\-"/>
    <numFmt numFmtId="250" formatCode=";;;"/>
  </numFmts>
  <fonts count="98" x14ac:knownFonts="1">
    <font>
      <sz val="10"/>
      <color theme="1"/>
      <name val="Arial Narrow"/>
      <family val="2"/>
    </font>
    <font>
      <sz val="10"/>
      <color theme="1"/>
      <name val="Century Gothic"/>
      <family val="2"/>
    </font>
    <font>
      <sz val="10"/>
      <color theme="1"/>
      <name val="Arial Narrow"/>
      <family val="2"/>
    </font>
    <font>
      <sz val="11"/>
      <color theme="1"/>
      <name val="Century Gothic"/>
      <family val="2"/>
      <scheme val="minor"/>
    </font>
    <font>
      <sz val="11"/>
      <color theme="0"/>
      <name val="Century Gothic"/>
      <family val="2"/>
      <scheme val="minor"/>
    </font>
    <font>
      <b/>
      <sz val="15"/>
      <color theme="3"/>
      <name val="Century Gothic"/>
      <family val="2"/>
      <scheme val="minor"/>
    </font>
    <font>
      <sz val="8"/>
      <color theme="1"/>
      <name val="Arial"/>
      <family val="2"/>
    </font>
    <font>
      <b/>
      <sz val="13"/>
      <color theme="3"/>
      <name val="Century Gothic"/>
      <family val="2"/>
      <scheme val="minor"/>
    </font>
    <font>
      <u/>
      <sz val="8"/>
      <color theme="10"/>
      <name val="Arial"/>
      <family val="2"/>
    </font>
    <font>
      <b/>
      <sz val="11"/>
      <color theme="3"/>
      <name val="Century Gothic"/>
      <family val="2"/>
      <scheme val="minor"/>
    </font>
    <font>
      <sz val="8"/>
      <color theme="0" tint="-4.9989318521683403E-2"/>
      <name val="Century Gothic"/>
      <family val="2"/>
    </font>
    <font>
      <sz val="8"/>
      <color theme="1"/>
      <name val="Century Gothic"/>
      <family val="2"/>
    </font>
    <font>
      <b/>
      <sz val="8"/>
      <color theme="1"/>
      <name val="Century Gothic"/>
      <family val="2"/>
    </font>
    <font>
      <sz val="8"/>
      <color theme="1" tint="4.9989318521683403E-2"/>
      <name val="Century Gothic"/>
      <family val="2"/>
    </font>
    <font>
      <sz val="8"/>
      <color theme="0"/>
      <name val="Century Gothic"/>
      <family val="2"/>
    </font>
    <font>
      <sz val="8"/>
      <color rgb="FF0000FF"/>
      <name val="Century Gothic"/>
      <family val="2"/>
    </font>
    <font>
      <sz val="8"/>
      <color rgb="FF00B050"/>
      <name val="Century Gothic"/>
      <family val="2"/>
    </font>
    <font>
      <b/>
      <sz val="8"/>
      <color theme="0"/>
      <name val="Century Gothic"/>
      <family val="2"/>
    </font>
    <font>
      <sz val="8"/>
      <color theme="0" tint="-0.249977111117893"/>
      <name val="Century Gothic"/>
      <family val="2"/>
    </font>
    <font>
      <b/>
      <sz val="8"/>
      <color rgb="FFC00000"/>
      <name val="Century Gothic"/>
      <family val="2"/>
    </font>
    <font>
      <b/>
      <u/>
      <sz val="8"/>
      <color theme="1"/>
      <name val="Century Gothic"/>
      <family val="2"/>
    </font>
    <font>
      <sz val="8"/>
      <name val="Century Gothic"/>
      <family val="2"/>
    </font>
    <font>
      <b/>
      <sz val="8"/>
      <color theme="0" tint="-0.499984740745262"/>
      <name val="Century Gothic"/>
      <family val="2"/>
    </font>
    <font>
      <b/>
      <sz val="8"/>
      <name val="Century Gothic"/>
      <family val="2"/>
    </font>
    <font>
      <i/>
      <sz val="8"/>
      <color theme="1"/>
      <name val="Century Gothic"/>
      <family val="2"/>
    </font>
    <font>
      <b/>
      <sz val="8"/>
      <color rgb="FF0000FF"/>
      <name val="Century Gothic"/>
      <family val="2"/>
    </font>
    <font>
      <sz val="8"/>
      <color theme="3" tint="-0.499984740745262"/>
      <name val="Century Gothic"/>
      <family val="2"/>
    </font>
    <font>
      <b/>
      <sz val="8"/>
      <color theme="1" tint="4.9989318521683403E-2"/>
      <name val="Century Gothic"/>
      <family val="2"/>
    </font>
    <font>
      <b/>
      <sz val="8"/>
      <color theme="0" tint="-4.9989318521683403E-2"/>
      <name val="Century Gothic"/>
      <family val="2"/>
    </font>
    <font>
      <i/>
      <sz val="8"/>
      <color theme="0" tint="-0.499984740745262"/>
      <name val="Century Gothic"/>
      <family val="2"/>
    </font>
    <font>
      <b/>
      <i/>
      <sz val="8"/>
      <color theme="0" tint="-0.499984740745262"/>
      <name val="Century Gothic"/>
      <family val="2"/>
    </font>
    <font>
      <sz val="8"/>
      <color theme="0" tint="-0.499984740745262"/>
      <name val="Century Gothic"/>
      <family val="2"/>
    </font>
    <font>
      <sz val="8"/>
      <color rgb="FFDA5F26"/>
      <name val="Century Gothic"/>
      <family val="2"/>
    </font>
    <font>
      <sz val="8"/>
      <color theme="0" tint="-0.34998626667073579"/>
      <name val="Century Gothic"/>
      <family val="2"/>
    </font>
    <font>
      <sz val="8"/>
      <color theme="0" tint="-0.14999847407452621"/>
      <name val="Century Gothic"/>
      <family val="2"/>
    </font>
    <font>
      <b/>
      <sz val="8"/>
      <color rgb="FFFF0000"/>
      <name val="Century Gothic"/>
      <family val="2"/>
    </font>
    <font>
      <b/>
      <sz val="8"/>
      <color rgb="FF00B050"/>
      <name val="Century Gothic"/>
      <family val="2"/>
    </font>
    <font>
      <b/>
      <u/>
      <sz val="8"/>
      <color rgb="FFC00000"/>
      <name val="Century Gothic"/>
      <family val="2"/>
    </font>
    <font>
      <u val="singleAccounting"/>
      <sz val="8"/>
      <color theme="0"/>
      <name val="Century Gothic"/>
      <family val="2"/>
    </font>
    <font>
      <b/>
      <sz val="8"/>
      <color theme="0" tint="-0.249977111117893"/>
      <name val="Century Gothic"/>
      <family val="2"/>
    </font>
    <font>
      <sz val="8"/>
      <name val="Arial"/>
      <family val="2"/>
    </font>
    <font>
      <b/>
      <u val="singleAccounting"/>
      <sz val="8"/>
      <color theme="0"/>
      <name val="Century Gothic"/>
      <family val="2"/>
    </font>
    <font>
      <sz val="8"/>
      <name val="Arial Narrow"/>
      <family val="2"/>
    </font>
    <font>
      <u/>
      <sz val="8"/>
      <color theme="1"/>
      <name val="Century Gothic"/>
      <family val="2"/>
    </font>
    <font>
      <i/>
      <sz val="8"/>
      <color rgb="FFC00000"/>
      <name val="Century Gothic"/>
      <family val="2"/>
    </font>
    <font>
      <i/>
      <sz val="8"/>
      <color theme="1"/>
      <name val="Century Gothic"/>
      <family val="2"/>
    </font>
    <font>
      <sz val="8"/>
      <color theme="1"/>
      <name val="Century Gothic"/>
      <family val="2"/>
    </font>
    <font>
      <sz val="10"/>
      <color theme="1"/>
      <name val="Calibri"/>
      <family val="2"/>
    </font>
    <font>
      <sz val="11"/>
      <color rgb="FF000000"/>
      <name val="Calibri"/>
      <family val="2"/>
    </font>
    <font>
      <sz val="8"/>
      <color theme="1"/>
      <name val="Century Gothic"/>
      <family val="2"/>
    </font>
    <font>
      <sz val="8"/>
      <color theme="0" tint="-4.9989318521683403E-2"/>
      <name val="Century Gothic"/>
      <family val="2"/>
    </font>
    <font>
      <b/>
      <sz val="8"/>
      <color theme="0"/>
      <name val="Century Gothic"/>
      <family val="2"/>
    </font>
    <font>
      <sz val="8"/>
      <color rgb="FF0000FF"/>
      <name val="Century Gothic"/>
      <family val="2"/>
    </font>
    <font>
      <b/>
      <u/>
      <sz val="8"/>
      <name val="Century Gothic"/>
      <family val="2"/>
    </font>
    <font>
      <b/>
      <sz val="9"/>
      <color theme="4"/>
      <name val="Century Gothic"/>
      <family val="2"/>
      <scheme val="minor"/>
    </font>
    <font>
      <b/>
      <sz val="9"/>
      <color theme="1"/>
      <name val="Century Gothic"/>
      <family val="2"/>
      <scheme val="minor"/>
    </font>
    <font>
      <b/>
      <sz val="8"/>
      <color indexed="8"/>
      <name val="Century Gothic"/>
      <family val="2"/>
    </font>
    <font>
      <sz val="8"/>
      <color theme="1"/>
      <name val="Century Gothic"/>
      <family val="2"/>
      <scheme val="minor"/>
    </font>
    <font>
      <sz val="8"/>
      <color theme="0" tint="-4.9989318521683403E-2"/>
      <name val="Century Gothic"/>
      <family val="2"/>
      <scheme val="minor"/>
    </font>
    <font>
      <b/>
      <sz val="8"/>
      <color theme="1"/>
      <name val="Century Gothic"/>
      <family val="2"/>
      <scheme val="minor"/>
    </font>
    <font>
      <b/>
      <sz val="8"/>
      <color theme="0"/>
      <name val="Century Gothic"/>
      <family val="2"/>
      <scheme val="minor"/>
    </font>
    <font>
      <b/>
      <u/>
      <sz val="8"/>
      <color theme="1"/>
      <name val="Century Gothic"/>
      <family val="2"/>
      <scheme val="minor"/>
    </font>
    <font>
      <sz val="8"/>
      <color theme="0" tint="-0.249977111117893"/>
      <name val="Century Gothic"/>
      <family val="2"/>
      <scheme val="minor"/>
    </font>
    <font>
      <sz val="8"/>
      <color rgb="FF00B050"/>
      <name val="Century Gothic"/>
      <family val="2"/>
      <scheme val="minor"/>
    </font>
    <font>
      <i/>
      <sz val="8"/>
      <color theme="1"/>
      <name val="Century Gothic"/>
      <family val="2"/>
      <scheme val="minor"/>
    </font>
    <font>
      <sz val="8"/>
      <color theme="1"/>
      <name val="Century Gothic"/>
      <family val="2"/>
    </font>
    <font>
      <u val="singleAccounting"/>
      <sz val="8"/>
      <color theme="0"/>
      <name val="Century Gothic"/>
      <family val="2"/>
    </font>
    <font>
      <sz val="10"/>
      <color theme="1"/>
      <name val="Century Gothic"/>
      <family val="2"/>
      <scheme val="minor"/>
    </font>
    <font>
      <b/>
      <sz val="10"/>
      <color theme="1"/>
      <name val="Century Gothic"/>
      <family val="2"/>
      <scheme val="minor"/>
    </font>
    <font>
      <b/>
      <sz val="10"/>
      <color theme="1"/>
      <name val="Century Gothic"/>
      <family val="2"/>
    </font>
    <font>
      <b/>
      <sz val="12"/>
      <color theme="1"/>
      <name val="Century Gothic"/>
      <family val="2"/>
      <scheme val="minor"/>
    </font>
    <font>
      <sz val="8"/>
      <color rgb="FF000000"/>
      <name val="Century Gothic"/>
      <family val="2"/>
    </font>
    <font>
      <b/>
      <sz val="8"/>
      <color rgb="FF000000"/>
      <name val="Century Gothic"/>
      <family val="2"/>
    </font>
    <font>
      <i/>
      <sz val="8"/>
      <color rgb="FF000000"/>
      <name val="Century Gothic"/>
      <family val="2"/>
    </font>
    <font>
      <sz val="8"/>
      <color theme="3" tint="-0.499984740745262"/>
      <name val="Century Gothic"/>
      <family val="2"/>
    </font>
    <font>
      <sz val="8"/>
      <color theme="0" tint="-0.249977111117893"/>
      <name val="Century Gothic"/>
      <family val="2"/>
    </font>
    <font>
      <b/>
      <sz val="8"/>
      <color theme="0"/>
      <name val="Century Gothic"/>
      <family val="2"/>
    </font>
    <font>
      <sz val="8"/>
      <color theme="1"/>
      <name val="Century Gothic"/>
      <family val="2"/>
    </font>
    <font>
      <sz val="8"/>
      <color rgb="FF000000"/>
      <name val="Century Gothic"/>
      <family val="2"/>
    </font>
    <font>
      <sz val="8"/>
      <color rgb="FF0000FF"/>
      <name val="Century Gothic"/>
      <family val="2"/>
    </font>
    <font>
      <b/>
      <sz val="8"/>
      <color rgb="FF000000"/>
      <name val="Century Gothic"/>
      <family val="2"/>
    </font>
    <font>
      <b/>
      <sz val="8"/>
      <color theme="1"/>
      <name val="Century Gothic"/>
      <family val="2"/>
    </font>
    <font>
      <i/>
      <sz val="8"/>
      <color rgb="FF000000"/>
      <name val="Century Gothic"/>
      <family val="2"/>
    </font>
    <font>
      <sz val="8"/>
      <color rgb="FF00B050"/>
      <name val="Century Gothic"/>
      <family val="2"/>
    </font>
    <font>
      <sz val="8"/>
      <color theme="0" tint="-4.9989318521683403E-2"/>
      <name val="Century Gothic"/>
      <family val="2"/>
    </font>
    <font>
      <b/>
      <sz val="8"/>
      <color rgb="FF0000FF"/>
      <name val="Century Gothic"/>
      <family val="2"/>
    </font>
    <font>
      <sz val="8"/>
      <color theme="1" tint="4.9989318521683403E-2"/>
      <name val="Century Gothic"/>
      <family val="2"/>
    </font>
    <font>
      <b/>
      <sz val="8"/>
      <color theme="1" tint="4.9989318521683403E-2"/>
      <name val="Century Gothic"/>
      <family val="2"/>
    </font>
    <font>
      <sz val="8"/>
      <color theme="0"/>
      <name val="Century Gothic"/>
      <family val="2"/>
    </font>
    <font>
      <i/>
      <sz val="8"/>
      <color theme="0" tint="-0.499984740745262"/>
      <name val="Century Gothic"/>
      <family val="2"/>
    </font>
    <font>
      <b/>
      <i/>
      <sz val="8"/>
      <color theme="0" tint="-0.499984740745262"/>
      <name val="Century Gothic"/>
      <family val="2"/>
    </font>
    <font>
      <b/>
      <u/>
      <sz val="8"/>
      <color theme="1"/>
      <name val="Century Gothic"/>
      <family val="2"/>
    </font>
    <font>
      <sz val="8"/>
      <name val="Century Gothic"/>
      <family val="2"/>
    </font>
    <font>
      <sz val="8"/>
      <color theme="0" tint="-0.34998626667073579"/>
      <name val="Century Gothic"/>
      <family val="2"/>
    </font>
    <font>
      <i/>
      <sz val="8"/>
      <color theme="1"/>
      <name val="Century Gothic"/>
      <family val="2"/>
    </font>
    <font>
      <sz val="8"/>
      <color theme="0" tint="-0.499984740745262"/>
      <name val="Century Gothic"/>
      <family val="2"/>
    </font>
    <font>
      <b/>
      <sz val="8"/>
      <color rgb="FF00B050"/>
      <name val="Century Gothic"/>
      <family val="2"/>
    </font>
    <font>
      <b/>
      <sz val="8"/>
      <color theme="0" tint="-0.499984740745262"/>
      <name val="Century Gothic"/>
      <family val="2"/>
    </font>
  </fonts>
  <fills count="16">
    <fill>
      <patternFill patternType="none"/>
    </fill>
    <fill>
      <patternFill patternType="gray125"/>
    </fill>
    <fill>
      <patternFill patternType="solid">
        <fgColor rgb="FF001641"/>
        <bgColor indexed="64"/>
      </patternFill>
    </fill>
    <fill>
      <patternFill patternType="solid">
        <fgColor theme="0" tint="-4.9989318521683403E-2"/>
        <bgColor indexed="64"/>
      </patternFill>
    </fill>
    <fill>
      <patternFill patternType="solid">
        <fgColor rgb="FFF2F2F2"/>
        <bgColor indexed="64"/>
      </patternFill>
    </fill>
    <fill>
      <patternFill patternType="solid">
        <fgColor theme="0" tint="-0.14999847407452621"/>
        <bgColor indexed="64"/>
      </patternFill>
    </fill>
    <fill>
      <patternFill patternType="solid">
        <fgColor rgb="FFD9D9D9"/>
        <bgColor indexed="64"/>
      </patternFill>
    </fill>
    <fill>
      <patternFill patternType="solid">
        <fgColor rgb="FF343741"/>
        <bgColor indexed="64"/>
      </patternFill>
    </fill>
    <fill>
      <patternFill patternType="solid">
        <fgColor theme="4"/>
      </patternFill>
    </fill>
    <fill>
      <patternFill patternType="solid">
        <fgColor rgb="FF001E41"/>
        <bgColor indexed="64"/>
      </patternFill>
    </fill>
    <fill>
      <patternFill patternType="solid">
        <fgColor rgb="FF1B6CA1"/>
        <bgColor indexed="64"/>
      </patternFill>
    </fill>
    <fill>
      <patternFill patternType="lightUp"/>
    </fill>
    <fill>
      <patternFill patternType="solid">
        <fgColor theme="0" tint="-0.249977111117893"/>
        <bgColor indexed="64"/>
      </patternFill>
    </fill>
    <fill>
      <patternFill patternType="solid">
        <fgColor rgb="FFC7E2F5"/>
        <bgColor indexed="64"/>
      </patternFill>
    </fill>
    <fill>
      <patternFill patternType="solid">
        <fgColor rgb="FFFDFDFD"/>
        <bgColor indexed="64"/>
      </patternFill>
    </fill>
    <fill>
      <patternFill patternType="solid">
        <fgColor rgb="FF9ACCEE"/>
        <bgColor indexed="64"/>
      </patternFill>
    </fill>
  </fills>
  <borders count="28">
    <border>
      <left/>
      <right/>
      <top/>
      <bottom/>
      <diagonal/>
    </border>
    <border>
      <left/>
      <right/>
      <top/>
      <bottom style="thin">
        <color indexed="64"/>
      </bottom>
      <diagonal/>
    </border>
    <border>
      <left/>
      <right/>
      <top style="thin">
        <color indexed="64"/>
      </top>
      <bottom style="thin">
        <color indexed="64"/>
      </bottom>
      <diagonal/>
    </border>
    <border>
      <left/>
      <right/>
      <top style="thin">
        <color indexed="64"/>
      </top>
      <bottom/>
      <diagonal/>
    </border>
    <border>
      <left style="thin">
        <color indexed="64"/>
      </left>
      <right style="thin">
        <color indexed="64"/>
      </right>
      <top style="thin">
        <color indexed="64"/>
      </top>
      <bottom style="thin">
        <color indexed="64"/>
      </bottom>
      <diagonal/>
    </border>
    <border>
      <left/>
      <right style="thin">
        <color indexed="64"/>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auto="1"/>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indexed="64"/>
      </left>
      <right/>
      <top/>
      <bottom style="thin">
        <color indexed="64"/>
      </bottom>
      <diagonal/>
    </border>
    <border>
      <left/>
      <right style="thin">
        <color indexed="64"/>
      </right>
      <top/>
      <bottom style="thin">
        <color indexed="64"/>
      </bottom>
      <diagonal/>
    </border>
    <border>
      <left/>
      <right/>
      <top/>
      <bottom style="thin">
        <color theme="0" tint="-0.249977111117893"/>
      </bottom>
      <diagonal/>
    </border>
    <border>
      <left style="hair">
        <color rgb="FFC00000"/>
      </left>
      <right/>
      <top style="hair">
        <color rgb="FFC00000"/>
      </top>
      <bottom/>
      <diagonal/>
    </border>
    <border>
      <left/>
      <right/>
      <top style="hair">
        <color rgb="FFC00000"/>
      </top>
      <bottom/>
      <diagonal/>
    </border>
    <border>
      <left/>
      <right style="hair">
        <color rgb="FFC00000"/>
      </right>
      <top style="hair">
        <color rgb="FFC00000"/>
      </top>
      <bottom/>
      <diagonal/>
    </border>
    <border>
      <left style="hair">
        <color rgb="FFC00000"/>
      </left>
      <right/>
      <top/>
      <bottom/>
      <diagonal/>
    </border>
    <border>
      <left/>
      <right style="hair">
        <color rgb="FFC00000"/>
      </right>
      <top/>
      <bottom/>
      <diagonal/>
    </border>
    <border>
      <left style="hair">
        <color rgb="FFC00000"/>
      </left>
      <right/>
      <top/>
      <bottom style="hair">
        <color rgb="FFC00000"/>
      </bottom>
      <diagonal/>
    </border>
    <border>
      <left/>
      <right/>
      <top/>
      <bottom style="hair">
        <color rgb="FFC00000"/>
      </bottom>
      <diagonal/>
    </border>
    <border>
      <left/>
      <right style="hair">
        <color rgb="FFC00000"/>
      </right>
      <top/>
      <bottom style="hair">
        <color rgb="FFC00000"/>
      </bottom>
      <diagonal/>
    </border>
    <border>
      <left/>
      <right/>
      <top/>
      <bottom style="medium">
        <color theme="4"/>
      </bottom>
      <diagonal/>
    </border>
    <border>
      <left/>
      <right/>
      <top style="thin">
        <color theme="4"/>
      </top>
      <bottom style="medium">
        <color theme="4"/>
      </bottom>
      <diagonal/>
    </border>
  </borders>
  <cellStyleXfs count="32">
    <xf numFmtId="0" fontId="0" fillId="0" borderId="0"/>
    <xf numFmtId="9" fontId="2" fillId="0" borderId="0" applyFont="0" applyFill="0" applyBorder="0" applyAlignment="0" applyProtection="0"/>
    <xf numFmtId="0" fontId="3" fillId="0" borderId="0"/>
    <xf numFmtId="9" fontId="3" fillId="0" borderId="0" applyFont="0" applyFill="0" applyBorder="0" applyAlignment="0" applyProtection="0"/>
    <xf numFmtId="43" fontId="3" fillId="0" borderId="0" applyFont="0" applyFill="0" applyBorder="0" applyAlignment="0" applyProtection="0"/>
    <xf numFmtId="0" fontId="5" fillId="0" borderId="12" applyNumberFormat="0" applyFill="0" applyAlignment="0" applyProtection="0"/>
    <xf numFmtId="0" fontId="3" fillId="0" borderId="0"/>
    <xf numFmtId="0" fontId="7" fillId="0" borderId="13" applyNumberFormat="0" applyFill="0" applyAlignment="0" applyProtection="0"/>
    <xf numFmtId="168" fontId="8" fillId="0" borderId="0" applyNumberFormat="0" applyFill="0" applyBorder="0" applyAlignment="0" applyProtection="0"/>
    <xf numFmtId="0" fontId="9" fillId="0" borderId="14" applyNumberFormat="0" applyFill="0" applyAlignment="0" applyProtection="0"/>
    <xf numFmtId="168" fontId="6" fillId="0" borderId="0" applyBorder="0" applyAlignment="0" applyProtection="0"/>
    <xf numFmtId="169" fontId="6" fillId="0" borderId="0" applyFont="0" applyFill="0" applyBorder="0" applyAlignment="0" applyProtection="0"/>
    <xf numFmtId="0" fontId="4" fillId="8" borderId="0" applyNumberFormat="0" applyBorder="0" applyAlignment="0" applyProtection="0"/>
    <xf numFmtId="170" fontId="6" fillId="0" borderId="0" applyFont="0" applyFill="0" applyBorder="0" applyAlignment="0" applyProtection="0"/>
    <xf numFmtId="171" fontId="6" fillId="0" borderId="0" applyFont="0" applyFill="0" applyBorder="0" applyAlignment="0" applyProtection="0"/>
    <xf numFmtId="17" fontId="6" fillId="0" borderId="0" applyFont="0" applyFill="0" applyBorder="0" applyAlignment="0" applyProtection="0"/>
    <xf numFmtId="230" fontId="40" fillId="0" borderId="0"/>
    <xf numFmtId="0" fontId="3" fillId="0" borderId="0"/>
    <xf numFmtId="0" fontId="3" fillId="0" borderId="0"/>
    <xf numFmtId="0" fontId="3" fillId="0" borderId="0"/>
    <xf numFmtId="0" fontId="3" fillId="0" borderId="0"/>
    <xf numFmtId="0" fontId="47" fillId="0" borderId="0"/>
    <xf numFmtId="0" fontId="47" fillId="0" borderId="0"/>
    <xf numFmtId="0" fontId="3" fillId="0" borderId="0"/>
    <xf numFmtId="0" fontId="48" fillId="0" borderId="0"/>
    <xf numFmtId="9" fontId="47" fillId="0" borderId="0" applyFont="0" applyFill="0" applyBorder="0" applyAlignment="0" applyProtection="0"/>
    <xf numFmtId="0" fontId="2" fillId="0" borderId="0"/>
    <xf numFmtId="0" fontId="1" fillId="0" borderId="0"/>
    <xf numFmtId="9" fontId="1" fillId="0" borderId="0" applyFont="0" applyFill="0" applyBorder="0" applyAlignment="0" applyProtection="0"/>
    <xf numFmtId="0" fontId="54" fillId="0" borderId="26" applyFill="0" applyProtection="0">
      <alignment horizontal="left" wrapText="1"/>
    </xf>
    <xf numFmtId="0" fontId="55" fillId="0" borderId="27" applyNumberFormat="0" applyFill="0" applyAlignment="0" applyProtection="0"/>
    <xf numFmtId="43" fontId="3" fillId="0" borderId="0" applyFont="0" applyFill="0" applyBorder="0" applyAlignment="0" applyProtection="0"/>
  </cellStyleXfs>
  <cellXfs count="703">
    <xf numFmtId="0" fontId="0" fillId="0" borderId="0" xfId="0"/>
    <xf numFmtId="0" fontId="10" fillId="0" borderId="0" xfId="0" applyFont="1" applyAlignment="1">
      <alignment vertical="center"/>
    </xf>
    <xf numFmtId="0" fontId="11" fillId="0" borderId="0" xfId="0" applyFont="1" applyAlignment="1">
      <alignment vertical="center"/>
    </xf>
    <xf numFmtId="0" fontId="11" fillId="0" borderId="0" xfId="0" applyFont="1"/>
    <xf numFmtId="0" fontId="12" fillId="3" borderId="3" xfId="0" applyFont="1" applyFill="1" applyBorder="1" applyAlignment="1">
      <alignment vertical="center"/>
    </xf>
    <xf numFmtId="165" fontId="12" fillId="3" borderId="3" xfId="0" applyNumberFormat="1" applyFont="1" applyFill="1" applyBorder="1" applyAlignment="1">
      <alignment vertical="center"/>
    </xf>
    <xf numFmtId="164" fontId="12" fillId="4" borderId="3" xfId="0" applyNumberFormat="1" applyFont="1" applyFill="1" applyBorder="1" applyAlignment="1">
      <alignment vertical="center"/>
    </xf>
    <xf numFmtId="0" fontId="13" fillId="0" borderId="0" xfId="0" applyFont="1"/>
    <xf numFmtId="164" fontId="11" fillId="0" borderId="0" xfId="0" applyNumberFormat="1" applyFont="1"/>
    <xf numFmtId="225" fontId="11" fillId="0" borderId="0" xfId="10" applyNumberFormat="1" applyFont="1" applyAlignment="1">
      <alignment vertical="center"/>
    </xf>
    <xf numFmtId="0" fontId="11" fillId="0" borderId="0" xfId="0" applyFont="1" applyAlignment="1">
      <alignment horizontal="center" vertical="center"/>
    </xf>
    <xf numFmtId="0" fontId="17" fillId="9" borderId="3" xfId="0" applyFont="1" applyFill="1" applyBorder="1" applyAlignment="1">
      <alignment horizontal="left" vertical="center"/>
    </xf>
    <xf numFmtId="0" fontId="17" fillId="9" borderId="3" xfId="0" applyFont="1" applyFill="1" applyBorder="1" applyAlignment="1">
      <alignment horizontal="center" vertical="center"/>
    </xf>
    <xf numFmtId="173" fontId="17" fillId="9" borderId="3" xfId="0" applyNumberFormat="1" applyFont="1" applyFill="1" applyBorder="1" applyAlignment="1">
      <alignment horizontal="right" vertical="center"/>
    </xf>
    <xf numFmtId="0" fontId="17" fillId="10" borderId="0" xfId="0" applyFont="1" applyFill="1" applyAlignment="1">
      <alignment vertical="center"/>
    </xf>
    <xf numFmtId="0" fontId="17" fillId="10" borderId="0" xfId="0" applyFont="1" applyFill="1" applyAlignment="1">
      <alignment horizontal="right" vertical="center"/>
    </xf>
    <xf numFmtId="0" fontId="19" fillId="0" borderId="0" xfId="0" applyFont="1" applyAlignment="1">
      <alignment vertical="center"/>
    </xf>
    <xf numFmtId="0" fontId="20" fillId="0" borderId="0" xfId="0" applyFont="1" applyAlignment="1">
      <alignment vertical="center"/>
    </xf>
    <xf numFmtId="174" fontId="16" fillId="0" borderId="0" xfId="0" applyNumberFormat="1" applyFont="1" applyAlignment="1">
      <alignment vertical="center"/>
    </xf>
    <xf numFmtId="164" fontId="16" fillId="0" borderId="0" xfId="0" applyNumberFormat="1" applyFont="1" applyAlignment="1">
      <alignment vertical="center"/>
    </xf>
    <xf numFmtId="0" fontId="17" fillId="2" borderId="0" xfId="0" applyFont="1" applyFill="1" applyAlignment="1">
      <alignment vertical="center"/>
    </xf>
    <xf numFmtId="0" fontId="17" fillId="2" borderId="0" xfId="0" applyFont="1" applyFill="1" applyAlignment="1">
      <alignment horizontal="right" vertical="center"/>
    </xf>
    <xf numFmtId="0" fontId="12" fillId="0" borderId="0" xfId="0" applyFont="1" applyAlignment="1">
      <alignment vertical="center"/>
    </xf>
    <xf numFmtId="174" fontId="11" fillId="0" borderId="0" xfId="0" applyNumberFormat="1" applyFont="1" applyAlignment="1">
      <alignment vertical="center"/>
    </xf>
    <xf numFmtId="0" fontId="17" fillId="10" borderId="0" xfId="0" applyFont="1" applyFill="1" applyAlignment="1">
      <alignment horizontal="center" vertical="center"/>
    </xf>
    <xf numFmtId="0" fontId="12" fillId="0" borderId="0" xfId="0" applyFont="1"/>
    <xf numFmtId="0" fontId="19" fillId="0" borderId="0" xfId="0" applyFont="1"/>
    <xf numFmtId="0" fontId="11" fillId="0" borderId="0" xfId="0" applyFont="1" applyAlignment="1">
      <alignment horizontal="center"/>
    </xf>
    <xf numFmtId="0" fontId="12" fillId="0" borderId="1" xfId="0" applyFont="1" applyBorder="1"/>
    <xf numFmtId="0" fontId="11" fillId="0" borderId="1" xfId="0" applyFont="1" applyBorder="1"/>
    <xf numFmtId="164" fontId="11" fillId="0" borderId="1" xfId="0" applyNumberFormat="1" applyFont="1" applyBorder="1"/>
    <xf numFmtId="0" fontId="17" fillId="2" borderId="0" xfId="0" applyFont="1" applyFill="1" applyAlignment="1">
      <alignment horizontal="center"/>
    </xf>
    <xf numFmtId="0" fontId="17" fillId="2" borderId="0" xfId="0" applyFont="1" applyFill="1"/>
    <xf numFmtId="164" fontId="11" fillId="0" borderId="0" xfId="0" applyNumberFormat="1" applyFont="1" applyAlignment="1">
      <alignment horizontal="center"/>
    </xf>
    <xf numFmtId="0" fontId="11" fillId="0" borderId="0" xfId="0" applyFont="1" applyAlignment="1">
      <alignment horizontal="left" vertical="center"/>
    </xf>
    <xf numFmtId="164" fontId="11" fillId="0" borderId="0" xfId="0" applyNumberFormat="1" applyFont="1" applyAlignment="1">
      <alignment horizontal="center" vertical="center"/>
    </xf>
    <xf numFmtId="0" fontId="17" fillId="2" borderId="0" xfId="0" applyFont="1" applyFill="1" applyAlignment="1">
      <alignment horizontal="center" vertical="center"/>
    </xf>
    <xf numFmtId="164" fontId="11" fillId="0" borderId="0" xfId="0" applyNumberFormat="1" applyFont="1" applyAlignment="1">
      <alignment vertical="center"/>
    </xf>
    <xf numFmtId="0" fontId="26" fillId="0" borderId="0" xfId="0" applyFont="1" applyAlignment="1">
      <alignment horizontal="center"/>
    </xf>
    <xf numFmtId="0" fontId="26" fillId="0" borderId="0" xfId="0" applyFont="1" applyAlignment="1">
      <alignment horizontal="center" vertical="center"/>
    </xf>
    <xf numFmtId="0" fontId="18" fillId="0" borderId="0" xfId="0" applyFont="1" applyAlignment="1">
      <alignment horizontal="right" vertical="center"/>
    </xf>
    <xf numFmtId="15" fontId="11" fillId="0" borderId="0" xfId="0" applyNumberFormat="1" applyFont="1" applyAlignment="1">
      <alignment vertical="center"/>
    </xf>
    <xf numFmtId="0" fontId="17" fillId="0" borderId="0" xfId="0" applyFont="1" applyAlignment="1">
      <alignment horizontal="right" vertical="center"/>
    </xf>
    <xf numFmtId="15" fontId="17" fillId="2" borderId="0" xfId="0" applyNumberFormat="1" applyFont="1" applyFill="1" applyAlignment="1">
      <alignment vertical="center"/>
    </xf>
    <xf numFmtId="15" fontId="17" fillId="2" borderId="0" xfId="0" applyNumberFormat="1" applyFont="1" applyFill="1" applyAlignment="1">
      <alignment horizontal="right" vertical="center"/>
    </xf>
    <xf numFmtId="15" fontId="17" fillId="0" borderId="0" xfId="0" applyNumberFormat="1" applyFont="1" applyAlignment="1">
      <alignment horizontal="right" vertical="center"/>
    </xf>
    <xf numFmtId="15" fontId="17" fillId="2" borderId="0" xfId="0" applyNumberFormat="1" applyFont="1" applyFill="1" applyAlignment="1">
      <alignment horizontal="center" vertical="center"/>
    </xf>
    <xf numFmtId="0" fontId="28" fillId="0" borderId="0" xfId="0" applyFont="1" applyAlignment="1">
      <alignment vertical="center"/>
    </xf>
    <xf numFmtId="0" fontId="17" fillId="7" borderId="0" xfId="0" applyFont="1" applyFill="1" applyAlignment="1">
      <alignment horizontal="center" vertical="center"/>
    </xf>
    <xf numFmtId="0" fontId="17" fillId="7" borderId="0" xfId="0" applyFont="1" applyFill="1" applyAlignment="1">
      <alignment vertical="center"/>
    </xf>
    <xf numFmtId="224" fontId="29" fillId="0" borderId="0" xfId="1" applyNumberFormat="1" applyFont="1" applyFill="1" applyBorder="1" applyAlignment="1">
      <alignment horizontal="center" vertical="center"/>
    </xf>
    <xf numFmtId="164" fontId="21" fillId="0" borderId="0" xfId="0" applyNumberFormat="1" applyFont="1" applyAlignment="1">
      <alignment vertical="center"/>
    </xf>
    <xf numFmtId="164" fontId="15" fillId="3" borderId="0" xfId="0" applyNumberFormat="1" applyFont="1" applyFill="1" applyAlignment="1">
      <alignment vertical="center"/>
    </xf>
    <xf numFmtId="0" fontId="12" fillId="13" borderId="0" xfId="0" applyFont="1" applyFill="1" applyAlignment="1">
      <alignment horizontal="center" vertical="center"/>
    </xf>
    <xf numFmtId="165" fontId="11" fillId="0" borderId="0" xfId="0" applyNumberFormat="1" applyFont="1" applyAlignment="1">
      <alignment vertical="center"/>
    </xf>
    <xf numFmtId="224" fontId="30" fillId="0" borderId="0" xfId="1" applyNumberFormat="1" applyFont="1" applyFill="1" applyBorder="1" applyAlignment="1">
      <alignment horizontal="center" vertical="center"/>
    </xf>
    <xf numFmtId="164" fontId="21" fillId="0" borderId="0" xfId="0" applyNumberFormat="1" applyFont="1" applyAlignment="1">
      <alignment horizontal="right" vertical="center"/>
    </xf>
    <xf numFmtId="164" fontId="12" fillId="0" borderId="0" xfId="0" applyNumberFormat="1" applyFont="1" applyAlignment="1">
      <alignment vertical="center"/>
    </xf>
    <xf numFmtId="166" fontId="11" fillId="0" borderId="0" xfId="0" applyNumberFormat="1" applyFont="1" applyAlignment="1">
      <alignment vertical="center"/>
    </xf>
    <xf numFmtId="167" fontId="11" fillId="0" borderId="0" xfId="1" applyNumberFormat="1" applyFont="1" applyFill="1" applyAlignment="1">
      <alignment vertical="center"/>
    </xf>
    <xf numFmtId="164" fontId="11" fillId="0" borderId="0" xfId="1" applyNumberFormat="1" applyFont="1" applyFill="1" applyAlignment="1">
      <alignment vertical="center"/>
    </xf>
    <xf numFmtId="164" fontId="11" fillId="0" borderId="0" xfId="1" applyNumberFormat="1" applyFont="1" applyFill="1" applyAlignment="1">
      <alignment horizontal="center" vertical="center"/>
    </xf>
    <xf numFmtId="0" fontId="12" fillId="5" borderId="2" xfId="0" applyFont="1" applyFill="1" applyBorder="1" applyAlignment="1">
      <alignment vertical="center"/>
    </xf>
    <xf numFmtId="165" fontId="12" fillId="5" borderId="2" xfId="0" applyNumberFormat="1" applyFont="1" applyFill="1" applyBorder="1" applyAlignment="1">
      <alignment vertical="center"/>
    </xf>
    <xf numFmtId="164" fontId="12" fillId="5" borderId="2" xfId="0" applyNumberFormat="1" applyFont="1" applyFill="1" applyBorder="1" applyAlignment="1">
      <alignment vertical="center"/>
    </xf>
    <xf numFmtId="164" fontId="12" fillId="3" borderId="3" xfId="0" applyNumberFormat="1" applyFont="1" applyFill="1" applyBorder="1" applyAlignment="1">
      <alignment vertical="center"/>
    </xf>
    <xf numFmtId="164" fontId="12" fillId="6" borderId="2" xfId="0" applyNumberFormat="1" applyFont="1" applyFill="1" applyBorder="1" applyAlignment="1">
      <alignment vertical="center"/>
    </xf>
    <xf numFmtId="164" fontId="15" fillId="0" borderId="0" xfId="0" applyNumberFormat="1" applyFont="1" applyAlignment="1">
      <alignment vertical="center"/>
    </xf>
    <xf numFmtId="165" fontId="12" fillId="0" borderId="0" xfId="0" applyNumberFormat="1" applyFont="1" applyAlignment="1">
      <alignment vertical="center"/>
    </xf>
    <xf numFmtId="164" fontId="12" fillId="0" borderId="0" xfId="0" applyNumberFormat="1" applyFont="1" applyAlignment="1">
      <alignment horizontal="center" vertical="center"/>
    </xf>
    <xf numFmtId="211" fontId="11" fillId="0" borderId="0" xfId="0" applyNumberFormat="1" applyFont="1" applyAlignment="1">
      <alignment horizontal="left" vertical="center"/>
    </xf>
    <xf numFmtId="164" fontId="15" fillId="4" borderId="0" xfId="0" applyNumberFormat="1" applyFont="1" applyFill="1" applyAlignment="1">
      <alignment vertical="center"/>
    </xf>
    <xf numFmtId="0" fontId="17" fillId="2" borderId="0" xfId="0" applyFont="1" applyFill="1" applyAlignment="1">
      <alignment horizontal="centerContinuous" vertical="center"/>
    </xf>
    <xf numFmtId="176" fontId="17" fillId="10" borderId="0" xfId="0" applyNumberFormat="1" applyFont="1" applyFill="1" applyAlignment="1">
      <alignment horizontal="right" vertical="center"/>
    </xf>
    <xf numFmtId="0" fontId="17" fillId="5" borderId="0" xfId="0" applyFont="1" applyFill="1" applyAlignment="1">
      <alignment horizontal="right"/>
    </xf>
    <xf numFmtId="15" fontId="15" fillId="4" borderId="0" xfId="0" applyNumberFormat="1" applyFont="1" applyFill="1" applyAlignment="1">
      <alignment vertical="center"/>
    </xf>
    <xf numFmtId="212" fontId="11" fillId="0" borderId="0" xfId="0" applyNumberFormat="1" applyFont="1" applyAlignment="1">
      <alignment horizontal="left"/>
    </xf>
    <xf numFmtId="179" fontId="12" fillId="3" borderId="0" xfId="0" applyNumberFormat="1" applyFont="1" applyFill="1" applyAlignment="1">
      <alignment horizontal="right" vertical="center"/>
    </xf>
    <xf numFmtId="213" fontId="11" fillId="0" borderId="0" xfId="0" applyNumberFormat="1" applyFont="1" applyAlignment="1">
      <alignment horizontal="left"/>
    </xf>
    <xf numFmtId="181" fontId="11" fillId="0" borderId="0" xfId="0" applyNumberFormat="1" applyFont="1" applyAlignment="1">
      <alignment horizontal="left"/>
    </xf>
    <xf numFmtId="0" fontId="17" fillId="10" borderId="0" xfId="0" applyFont="1" applyFill="1" applyAlignment="1">
      <alignment horizontal="left"/>
    </xf>
    <xf numFmtId="174" fontId="11" fillId="0" borderId="0" xfId="0" applyNumberFormat="1" applyFont="1"/>
    <xf numFmtId="0" fontId="21" fillId="0" borderId="0" xfId="0" applyFont="1" applyAlignment="1">
      <alignment vertical="center"/>
    </xf>
    <xf numFmtId="0" fontId="33" fillId="0" borderId="0" xfId="0" applyFont="1" applyAlignment="1">
      <alignment vertical="center"/>
    </xf>
    <xf numFmtId="164" fontId="11" fillId="0" borderId="0" xfId="0" quotePrefix="1" applyNumberFormat="1" applyFont="1" applyAlignment="1">
      <alignment vertical="center"/>
    </xf>
    <xf numFmtId="0" fontId="21" fillId="0" borderId="0" xfId="0" applyFont="1"/>
    <xf numFmtId="174" fontId="11" fillId="0" borderId="0" xfId="0" applyNumberFormat="1" applyFont="1" applyAlignment="1">
      <alignment horizontal="center" vertical="center"/>
    </xf>
    <xf numFmtId="0" fontId="27" fillId="0" borderId="0" xfId="0" applyFont="1" applyAlignment="1">
      <alignment horizontal="center"/>
    </xf>
    <xf numFmtId="0" fontId="14" fillId="0" borderId="0" xfId="0" applyFont="1" applyAlignment="1">
      <alignment vertical="center"/>
    </xf>
    <xf numFmtId="164" fontId="16" fillId="0" borderId="0" xfId="0" applyNumberFormat="1" applyFont="1" applyAlignment="1">
      <alignment horizontal="right" vertical="center"/>
    </xf>
    <xf numFmtId="224" fontId="24" fillId="0" borderId="0" xfId="1" applyNumberFormat="1" applyFont="1" applyFill="1" applyBorder="1" applyAlignment="1">
      <alignment horizontal="center" vertical="center"/>
    </xf>
    <xf numFmtId="164" fontId="11" fillId="0" borderId="0" xfId="0" applyNumberFormat="1" applyFont="1" applyAlignment="1">
      <alignment horizontal="right" vertical="center"/>
    </xf>
    <xf numFmtId="0" fontId="20" fillId="0" borderId="0" xfId="0" applyFont="1" applyAlignment="1">
      <alignment horizontal="left"/>
    </xf>
    <xf numFmtId="0" fontId="20" fillId="0" borderId="0" xfId="0" applyFont="1" applyAlignment="1">
      <alignment horizontal="right"/>
    </xf>
    <xf numFmtId="215" fontId="11" fillId="0" borderId="0" xfId="0" applyNumberFormat="1" applyFont="1" applyAlignment="1">
      <alignment horizontal="left"/>
    </xf>
    <xf numFmtId="15" fontId="16" fillId="0" borderId="0" xfId="0" applyNumberFormat="1" applyFont="1" applyAlignment="1">
      <alignment horizontal="right"/>
    </xf>
    <xf numFmtId="0" fontId="11" fillId="0" borderId="0" xfId="0" applyFont="1" applyAlignment="1">
      <alignment horizontal="left"/>
    </xf>
    <xf numFmtId="216" fontId="16" fillId="0" borderId="0" xfId="0" applyNumberFormat="1" applyFont="1"/>
    <xf numFmtId="0" fontId="20" fillId="0" borderId="0" xfId="0" applyFont="1"/>
    <xf numFmtId="15" fontId="16" fillId="0" borderId="0" xfId="0" applyNumberFormat="1" applyFont="1" applyAlignment="1">
      <alignment vertical="center"/>
    </xf>
    <xf numFmtId="177" fontId="21" fillId="0" borderId="0" xfId="0" applyNumberFormat="1" applyFont="1" applyAlignment="1">
      <alignment vertical="center"/>
    </xf>
    <xf numFmtId="178" fontId="16" fillId="0" borderId="0" xfId="0" applyNumberFormat="1" applyFont="1" applyAlignment="1">
      <alignment vertical="center"/>
    </xf>
    <xf numFmtId="15" fontId="10" fillId="0" borderId="0" xfId="0" applyNumberFormat="1" applyFont="1"/>
    <xf numFmtId="179" fontId="12" fillId="3" borderId="0" xfId="0" applyNumberFormat="1" applyFont="1" applyFill="1" applyAlignment="1">
      <alignment horizontal="left" vertical="center"/>
    </xf>
    <xf numFmtId="179" fontId="12" fillId="3" borderId="0" xfId="0" applyNumberFormat="1" applyFont="1" applyFill="1" applyAlignment="1">
      <alignment horizontal="center" vertical="center"/>
    </xf>
    <xf numFmtId="180" fontId="11" fillId="0" borderId="0" xfId="0" applyNumberFormat="1" applyFont="1" applyAlignment="1">
      <alignment horizontal="left"/>
    </xf>
    <xf numFmtId="0" fontId="12" fillId="3" borderId="3" xfId="0" applyFont="1" applyFill="1" applyBorder="1" applyAlignment="1">
      <alignment horizontal="center" vertical="center"/>
    </xf>
    <xf numFmtId="182" fontId="11" fillId="0" borderId="0" xfId="0" applyNumberFormat="1" applyFont="1" applyAlignment="1">
      <alignment horizontal="left"/>
    </xf>
    <xf numFmtId="0" fontId="20" fillId="12" borderId="1" xfId="0" applyFont="1" applyFill="1" applyBorder="1" applyAlignment="1">
      <alignment vertical="center"/>
    </xf>
    <xf numFmtId="0" fontId="11" fillId="12" borderId="1" xfId="0" applyFont="1" applyFill="1" applyBorder="1" applyAlignment="1">
      <alignment vertical="center"/>
    </xf>
    <xf numFmtId="0" fontId="11" fillId="12" borderId="1" xfId="0" applyFont="1" applyFill="1" applyBorder="1" applyAlignment="1">
      <alignment horizontal="center" vertical="center"/>
    </xf>
    <xf numFmtId="183" fontId="11" fillId="0" borderId="0" xfId="0" applyNumberFormat="1" applyFont="1" applyAlignment="1">
      <alignment horizontal="left"/>
    </xf>
    <xf numFmtId="184" fontId="11" fillId="0" borderId="0" xfId="0" applyNumberFormat="1" applyFont="1" applyAlignment="1">
      <alignment horizontal="left"/>
    </xf>
    <xf numFmtId="185" fontId="11" fillId="0" borderId="0" xfId="0" applyNumberFormat="1" applyFont="1" applyAlignment="1">
      <alignment horizontal="left"/>
    </xf>
    <xf numFmtId="9" fontId="11" fillId="0" borderId="0" xfId="1" applyFont="1" applyAlignment="1">
      <alignment vertical="center"/>
    </xf>
    <xf numFmtId="186" fontId="11" fillId="0" borderId="0" xfId="0" applyNumberFormat="1" applyFont="1" applyAlignment="1">
      <alignment horizontal="left"/>
    </xf>
    <xf numFmtId="187" fontId="11" fillId="0" borderId="0" xfId="0" applyNumberFormat="1" applyFont="1" applyAlignment="1">
      <alignment horizontal="left"/>
    </xf>
    <xf numFmtId="188" fontId="11" fillId="0" borderId="0" xfId="0" applyNumberFormat="1" applyFont="1" applyAlignment="1">
      <alignment horizontal="left"/>
    </xf>
    <xf numFmtId="189" fontId="11" fillId="0" borderId="0" xfId="0" applyNumberFormat="1" applyFont="1" applyAlignment="1">
      <alignment horizontal="left"/>
    </xf>
    <xf numFmtId="190" fontId="11" fillId="0" borderId="0" xfId="0" applyNumberFormat="1" applyFont="1" applyAlignment="1">
      <alignment horizontal="left"/>
    </xf>
    <xf numFmtId="0" fontId="24" fillId="0" borderId="0" xfId="0" applyFont="1" applyAlignment="1">
      <alignment vertical="center"/>
    </xf>
    <xf numFmtId="0" fontId="24" fillId="0" borderId="0" xfId="0" applyFont="1" applyAlignment="1">
      <alignment horizontal="center" vertical="center"/>
    </xf>
    <xf numFmtId="191" fontId="11" fillId="0" borderId="0" xfId="0" applyNumberFormat="1" applyFont="1" applyAlignment="1">
      <alignment horizontal="left"/>
    </xf>
    <xf numFmtId="192" fontId="11" fillId="0" borderId="0" xfId="0" applyNumberFormat="1" applyFont="1" applyAlignment="1">
      <alignment horizontal="left"/>
    </xf>
    <xf numFmtId="193" fontId="11" fillId="0" borderId="0" xfId="0" applyNumberFormat="1" applyFont="1" applyAlignment="1">
      <alignment horizontal="left"/>
    </xf>
    <xf numFmtId="194" fontId="11" fillId="0" borderId="0" xfId="0" applyNumberFormat="1" applyFont="1" applyAlignment="1">
      <alignment horizontal="left"/>
    </xf>
    <xf numFmtId="195" fontId="11" fillId="0" borderId="0" xfId="0" applyNumberFormat="1" applyFont="1" applyAlignment="1">
      <alignment horizontal="left"/>
    </xf>
    <xf numFmtId="196" fontId="11" fillId="0" borderId="0" xfId="0" applyNumberFormat="1" applyFont="1" applyAlignment="1">
      <alignment horizontal="left"/>
    </xf>
    <xf numFmtId="197" fontId="11" fillId="0" borderId="0" xfId="0" applyNumberFormat="1" applyFont="1" applyAlignment="1">
      <alignment horizontal="left"/>
    </xf>
    <xf numFmtId="198" fontId="11" fillId="0" borderId="0" xfId="0" applyNumberFormat="1" applyFont="1" applyAlignment="1">
      <alignment horizontal="left"/>
    </xf>
    <xf numFmtId="9" fontId="11" fillId="0" borderId="0" xfId="0" applyNumberFormat="1" applyFont="1" applyAlignment="1">
      <alignment vertical="center"/>
    </xf>
    <xf numFmtId="199" fontId="11" fillId="0" borderId="0" xfId="0" applyNumberFormat="1" applyFont="1" applyAlignment="1">
      <alignment horizontal="left"/>
    </xf>
    <xf numFmtId="200" fontId="11" fillId="0" borderId="0" xfId="0" applyNumberFormat="1" applyFont="1" applyAlignment="1">
      <alignment horizontal="left"/>
    </xf>
    <xf numFmtId="201" fontId="11" fillId="0" borderId="0" xfId="0" applyNumberFormat="1" applyFont="1" applyAlignment="1">
      <alignment horizontal="left"/>
    </xf>
    <xf numFmtId="202" fontId="11" fillId="0" borderId="0" xfId="0" applyNumberFormat="1" applyFont="1" applyAlignment="1">
      <alignment horizontal="left"/>
    </xf>
    <xf numFmtId="203" fontId="11" fillId="0" borderId="0" xfId="0" applyNumberFormat="1" applyFont="1" applyAlignment="1">
      <alignment horizontal="left"/>
    </xf>
    <xf numFmtId="204" fontId="11" fillId="0" borderId="0" xfId="0" applyNumberFormat="1" applyFont="1" applyAlignment="1">
      <alignment horizontal="left"/>
    </xf>
    <xf numFmtId="205" fontId="11" fillId="0" borderId="0" xfId="0" applyNumberFormat="1" applyFont="1" applyAlignment="1">
      <alignment horizontal="left"/>
    </xf>
    <xf numFmtId="206" fontId="11" fillId="0" borderId="0" xfId="0" applyNumberFormat="1" applyFont="1" applyAlignment="1">
      <alignment horizontal="left"/>
    </xf>
    <xf numFmtId="167" fontId="11" fillId="0" borderId="0" xfId="1" applyNumberFormat="1" applyFont="1" applyFill="1" applyAlignment="1">
      <alignment horizontal="right" vertical="center"/>
    </xf>
    <xf numFmtId="207" fontId="11" fillId="0" borderId="0" xfId="0" applyNumberFormat="1" applyFont="1" applyAlignment="1">
      <alignment horizontal="left"/>
    </xf>
    <xf numFmtId="208" fontId="11" fillId="0" borderId="0" xfId="0" applyNumberFormat="1" applyFont="1" applyAlignment="1">
      <alignment horizontal="left"/>
    </xf>
    <xf numFmtId="209" fontId="11" fillId="0" borderId="0" xfId="0" applyNumberFormat="1" applyFont="1" applyAlignment="1">
      <alignment horizontal="left"/>
    </xf>
    <xf numFmtId="210" fontId="11" fillId="0" borderId="0" xfId="0" applyNumberFormat="1" applyFont="1" applyAlignment="1">
      <alignment horizontal="left"/>
    </xf>
    <xf numFmtId="164" fontId="31" fillId="0" borderId="0" xfId="0" applyNumberFormat="1" applyFont="1" applyAlignment="1">
      <alignment horizontal="center" vertical="center"/>
    </xf>
    <xf numFmtId="164" fontId="31" fillId="0" borderId="0" xfId="1" applyNumberFormat="1" applyFont="1" applyFill="1" applyAlignment="1">
      <alignment horizontal="center" vertical="center"/>
    </xf>
    <xf numFmtId="0" fontId="31" fillId="0" borderId="0" xfId="0" applyFont="1" applyAlignment="1">
      <alignment horizontal="center" vertical="center"/>
    </xf>
    <xf numFmtId="0" fontId="31" fillId="0" borderId="0" xfId="0" applyFont="1" applyAlignment="1">
      <alignment horizontal="center"/>
    </xf>
    <xf numFmtId="0" fontId="22" fillId="10" borderId="0" xfId="0" applyFont="1" applyFill="1" applyAlignment="1">
      <alignment horizontal="center" vertical="center"/>
    </xf>
    <xf numFmtId="0" fontId="11" fillId="0" borderId="0" xfId="0" applyFont="1" applyAlignment="1">
      <alignment horizontal="right" vertical="center"/>
    </xf>
    <xf numFmtId="0" fontId="26" fillId="0" borderId="0" xfId="0" applyFont="1" applyAlignment="1">
      <alignment horizontal="right" vertical="center"/>
    </xf>
    <xf numFmtId="0" fontId="17" fillId="0" borderId="0" xfId="0" applyFont="1" applyAlignment="1">
      <alignment horizontal="center" vertical="center"/>
    </xf>
    <xf numFmtId="0" fontId="17" fillId="7" borderId="0" xfId="0" applyFont="1" applyFill="1" applyAlignment="1">
      <alignment horizontal="left" vertical="center"/>
    </xf>
    <xf numFmtId="0" fontId="12" fillId="0" borderId="3" xfId="0" applyFont="1" applyBorder="1" applyAlignment="1">
      <alignment horizontal="left" vertical="center"/>
    </xf>
    <xf numFmtId="0" fontId="12" fillId="0" borderId="3" xfId="0" applyFont="1" applyBorder="1" applyAlignment="1">
      <alignment vertical="center"/>
    </xf>
    <xf numFmtId="164" fontId="12" fillId="0" borderId="3" xfId="0" applyNumberFormat="1" applyFont="1" applyBorder="1" applyAlignment="1">
      <alignment vertical="center"/>
    </xf>
    <xf numFmtId="15" fontId="11" fillId="0" borderId="0" xfId="0" applyNumberFormat="1" applyFont="1" applyAlignment="1">
      <alignment horizontal="left" vertical="center"/>
    </xf>
    <xf numFmtId="0" fontId="17" fillId="2" borderId="0" xfId="0" applyFont="1" applyFill="1" applyAlignment="1">
      <alignment horizontal="right"/>
    </xf>
    <xf numFmtId="219" fontId="11" fillId="0" borderId="0" xfId="0" applyNumberFormat="1" applyFont="1" applyAlignment="1">
      <alignment horizontal="left"/>
    </xf>
    <xf numFmtId="15" fontId="16" fillId="0" borderId="0" xfId="0" applyNumberFormat="1" applyFont="1"/>
    <xf numFmtId="0" fontId="34" fillId="0" borderId="0" xfId="0" applyFont="1" applyAlignment="1">
      <alignment vertical="center"/>
    </xf>
    <xf numFmtId="0" fontId="12" fillId="3" borderId="3" xfId="0" applyFont="1" applyFill="1" applyBorder="1"/>
    <xf numFmtId="0" fontId="17" fillId="10" borderId="0" xfId="0" applyFont="1" applyFill="1"/>
    <xf numFmtId="0" fontId="17" fillId="10" borderId="0" xfId="0" applyFont="1" applyFill="1" applyAlignment="1">
      <alignment horizontal="right"/>
    </xf>
    <xf numFmtId="164" fontId="16" fillId="0" borderId="0" xfId="0" applyNumberFormat="1" applyFont="1" applyAlignment="1">
      <alignment horizontal="right"/>
    </xf>
    <xf numFmtId="0" fontId="24" fillId="0" borderId="0" xfId="0" applyFont="1"/>
    <xf numFmtId="164" fontId="24" fillId="0" borderId="0" xfId="0" applyNumberFormat="1" applyFont="1"/>
    <xf numFmtId="0" fontId="17" fillId="2" borderId="2" xfId="0" applyFont="1" applyFill="1" applyBorder="1" applyAlignment="1">
      <alignment vertical="center"/>
    </xf>
    <xf numFmtId="167" fontId="16" fillId="0" borderId="0" xfId="1" applyNumberFormat="1" applyFont="1" applyFill="1" applyAlignment="1">
      <alignment vertical="center"/>
    </xf>
    <xf numFmtId="167" fontId="11" fillId="0" borderId="0" xfId="1" applyNumberFormat="1" applyFont="1" applyAlignment="1">
      <alignment vertical="center"/>
    </xf>
    <xf numFmtId="0" fontId="17" fillId="10" borderId="1" xfId="0" applyFont="1" applyFill="1" applyBorder="1" applyAlignment="1">
      <alignment vertical="center"/>
    </xf>
    <xf numFmtId="0" fontId="17" fillId="10" borderId="1" xfId="0" applyFont="1" applyFill="1" applyBorder="1" applyAlignment="1">
      <alignment horizontal="right" vertical="center"/>
    </xf>
    <xf numFmtId="15" fontId="21" fillId="0" borderId="0" xfId="0" applyNumberFormat="1" applyFont="1"/>
    <xf numFmtId="221" fontId="21" fillId="0" borderId="0" xfId="0" applyNumberFormat="1" applyFont="1"/>
    <xf numFmtId="221" fontId="15" fillId="0" borderId="0" xfId="0" applyNumberFormat="1" applyFont="1"/>
    <xf numFmtId="11" fontId="11" fillId="0" borderId="0" xfId="0" applyNumberFormat="1" applyFont="1"/>
    <xf numFmtId="0" fontId="12" fillId="0" borderId="3" xfId="0" applyFont="1" applyBorder="1"/>
    <xf numFmtId="222" fontId="11" fillId="0" borderId="0" xfId="0" applyNumberFormat="1" applyFont="1"/>
    <xf numFmtId="10" fontId="11" fillId="0" borderId="0" xfId="0" applyNumberFormat="1" applyFont="1"/>
    <xf numFmtId="10" fontId="16" fillId="0" borderId="0" xfId="0" applyNumberFormat="1" applyFont="1"/>
    <xf numFmtId="0" fontId="35" fillId="0" borderId="0" xfId="0" applyFont="1"/>
    <xf numFmtId="10" fontId="16" fillId="0" borderId="0" xfId="0" applyNumberFormat="1" applyFont="1" applyAlignment="1">
      <alignment horizontal="right"/>
    </xf>
    <xf numFmtId="0" fontId="16" fillId="0" borderId="0" xfId="0" applyFont="1" applyAlignment="1">
      <alignment horizontal="right"/>
    </xf>
    <xf numFmtId="0" fontId="16" fillId="0" borderId="0" xfId="0" applyFont="1"/>
    <xf numFmtId="164" fontId="12" fillId="0" borderId="2" xfId="0" applyNumberFormat="1" applyFont="1" applyBorder="1" applyAlignment="1">
      <alignment vertical="center"/>
    </xf>
    <xf numFmtId="164" fontId="36" fillId="0" borderId="2" xfId="0" applyNumberFormat="1" applyFont="1" applyBorder="1" applyAlignment="1">
      <alignment vertical="center"/>
    </xf>
    <xf numFmtId="165" fontId="12" fillId="0" borderId="1" xfId="0" applyNumberFormat="1" applyFont="1" applyBorder="1"/>
    <xf numFmtId="164" fontId="12" fillId="0" borderId="1" xfId="0" applyNumberFormat="1" applyFont="1" applyBorder="1"/>
    <xf numFmtId="165" fontId="11" fillId="0" borderId="0" xfId="0" applyNumberFormat="1" applyFont="1"/>
    <xf numFmtId="0" fontId="11" fillId="0" borderId="17" xfId="0" applyFont="1" applyBorder="1"/>
    <xf numFmtId="165" fontId="11" fillId="0" borderId="17" xfId="0" applyNumberFormat="1" applyFont="1" applyBorder="1"/>
    <xf numFmtId="164" fontId="11" fillId="0" borderId="17" xfId="0" applyNumberFormat="1" applyFont="1" applyBorder="1"/>
    <xf numFmtId="165" fontId="11" fillId="0" borderId="1" xfId="0" applyNumberFormat="1" applyFont="1" applyBorder="1"/>
    <xf numFmtId="165" fontId="12" fillId="0" borderId="0" xfId="0" applyNumberFormat="1" applyFont="1"/>
    <xf numFmtId="164" fontId="12" fillId="0" borderId="0" xfId="0" applyNumberFormat="1" applyFont="1"/>
    <xf numFmtId="0" fontId="11" fillId="0" borderId="2" xfId="0" applyFont="1" applyBorder="1"/>
    <xf numFmtId="164" fontId="12" fillId="0" borderId="1" xfId="0" applyNumberFormat="1" applyFont="1" applyBorder="1" applyAlignment="1">
      <alignment vertical="center"/>
    </xf>
    <xf numFmtId="0" fontId="24" fillId="0" borderId="1" xfId="0" applyFont="1" applyBorder="1"/>
    <xf numFmtId="10" fontId="24" fillId="0" borderId="1" xfId="0" applyNumberFormat="1" applyFont="1" applyBorder="1"/>
    <xf numFmtId="0" fontId="23" fillId="0" borderId="0" xfId="0" applyFont="1" applyAlignment="1">
      <alignment horizontal="center" vertical="center"/>
    </xf>
    <xf numFmtId="0" fontId="28" fillId="2" borderId="0" xfId="0" applyFont="1" applyFill="1" applyAlignment="1">
      <alignment horizontal="center" vertical="center"/>
    </xf>
    <xf numFmtId="0" fontId="21" fillId="0" borderId="0" xfId="0" applyFont="1" applyAlignment="1">
      <alignment horizontal="left" vertical="center"/>
    </xf>
    <xf numFmtId="174" fontId="15" fillId="4" borderId="0" xfId="0" applyNumberFormat="1" applyFont="1" applyFill="1" applyAlignment="1">
      <alignment vertical="center"/>
    </xf>
    <xf numFmtId="167" fontId="11" fillId="0" borderId="0" xfId="1" applyNumberFormat="1" applyFont="1" applyAlignment="1">
      <alignment horizontal="center" vertical="center"/>
    </xf>
    <xf numFmtId="0" fontId="37" fillId="0" borderId="0" xfId="0" applyFont="1" applyAlignment="1">
      <alignment vertical="center"/>
    </xf>
    <xf numFmtId="217" fontId="15" fillId="4" borderId="0" xfId="0" applyNumberFormat="1" applyFont="1" applyFill="1" applyAlignment="1">
      <alignment vertical="center"/>
    </xf>
    <xf numFmtId="217" fontId="11" fillId="0" borderId="0" xfId="0" applyNumberFormat="1" applyFont="1" applyAlignment="1">
      <alignment vertical="center"/>
    </xf>
    <xf numFmtId="15" fontId="21" fillId="0" borderId="0" xfId="0" applyNumberFormat="1" applyFont="1" applyAlignment="1">
      <alignment vertical="center"/>
    </xf>
    <xf numFmtId="177" fontId="15" fillId="4" borderId="0" xfId="0" applyNumberFormat="1" applyFont="1" applyFill="1" applyAlignment="1">
      <alignment vertical="center"/>
    </xf>
    <xf numFmtId="214" fontId="11" fillId="11" borderId="0" xfId="0" applyNumberFormat="1" applyFont="1" applyFill="1" applyAlignment="1">
      <alignment horizontal="right" vertical="center"/>
    </xf>
    <xf numFmtId="214" fontId="15" fillId="3" borderId="0" xfId="0" applyNumberFormat="1" applyFont="1" applyFill="1" applyAlignment="1">
      <alignment horizontal="right" vertical="center"/>
    </xf>
    <xf numFmtId="214" fontId="21" fillId="0" borderId="0" xfId="0" applyNumberFormat="1" applyFont="1" applyAlignment="1">
      <alignment horizontal="right" vertical="center"/>
    </xf>
    <xf numFmtId="174" fontId="11" fillId="0" borderId="0" xfId="1" applyNumberFormat="1" applyFont="1" applyFill="1" applyAlignment="1">
      <alignment vertical="center"/>
    </xf>
    <xf numFmtId="215" fontId="11" fillId="0" borderId="3" xfId="0" applyNumberFormat="1" applyFont="1" applyBorder="1" applyAlignment="1">
      <alignment horizontal="left"/>
    </xf>
    <xf numFmtId="15" fontId="15" fillId="3" borderId="0" xfId="0" applyNumberFormat="1" applyFont="1" applyFill="1"/>
    <xf numFmtId="10" fontId="15" fillId="4" borderId="0" xfId="0" applyNumberFormat="1" applyFont="1" applyFill="1" applyAlignment="1">
      <alignment vertical="center"/>
    </xf>
    <xf numFmtId="0" fontId="17" fillId="0" borderId="0" xfId="0" applyFont="1"/>
    <xf numFmtId="0" fontId="11" fillId="0" borderId="3" xfId="0" applyFont="1" applyBorder="1" applyAlignment="1">
      <alignment vertical="center"/>
    </xf>
    <xf numFmtId="10" fontId="15" fillId="3" borderId="0" xfId="0" applyNumberFormat="1" applyFont="1" applyFill="1" applyAlignment="1">
      <alignment horizontal="right"/>
    </xf>
    <xf numFmtId="0" fontId="15" fillId="3" borderId="0" xfId="0" applyFont="1" applyFill="1" applyAlignment="1">
      <alignment horizontal="right"/>
    </xf>
    <xf numFmtId="0" fontId="17" fillId="2" borderId="6" xfId="0" applyFont="1" applyFill="1" applyBorder="1"/>
    <xf numFmtId="0" fontId="17" fillId="2" borderId="2" xfId="0" applyFont="1" applyFill="1" applyBorder="1"/>
    <xf numFmtId="0" fontId="17" fillId="2" borderId="7" xfId="0" applyFont="1" applyFill="1" applyBorder="1"/>
    <xf numFmtId="0" fontId="21" fillId="0" borderId="9" xfId="0" applyFont="1" applyBorder="1" applyAlignment="1">
      <alignment vertical="center"/>
    </xf>
    <xf numFmtId="0" fontId="21" fillId="0" borderId="3" xfId="0" applyFont="1" applyBorder="1" applyAlignment="1">
      <alignment vertical="center"/>
    </xf>
    <xf numFmtId="0" fontId="21" fillId="0" borderId="10" xfId="0" applyFont="1" applyBorder="1" applyAlignment="1">
      <alignment vertical="center"/>
    </xf>
    <xf numFmtId="0" fontId="21" fillId="0" borderId="11" xfId="0" applyFont="1" applyBorder="1" applyAlignment="1">
      <alignment vertical="center"/>
    </xf>
    <xf numFmtId="0" fontId="21" fillId="0" borderId="5" xfId="0" applyFont="1" applyBorder="1" applyAlignment="1">
      <alignment vertical="center"/>
    </xf>
    <xf numFmtId="0" fontId="11" fillId="0" borderId="9" xfId="0" applyFont="1" applyBorder="1" applyAlignment="1">
      <alignment vertical="center"/>
    </xf>
    <xf numFmtId="0" fontId="11" fillId="0" borderId="11" xfId="0" applyFont="1" applyBorder="1" applyAlignment="1">
      <alignment vertical="center"/>
    </xf>
    <xf numFmtId="0" fontId="12" fillId="13" borderId="6" xfId="0" applyFont="1" applyFill="1" applyBorder="1" applyAlignment="1">
      <alignment vertical="center"/>
    </xf>
    <xf numFmtId="0" fontId="12" fillId="13" borderId="2" xfId="0" applyFont="1" applyFill="1" applyBorder="1" applyAlignment="1">
      <alignment vertical="center"/>
    </xf>
    <xf numFmtId="0" fontId="12" fillId="13" borderId="7" xfId="0" applyFont="1" applyFill="1" applyBorder="1" applyAlignment="1">
      <alignment horizontal="center" vertical="center"/>
    </xf>
    <xf numFmtId="0" fontId="17" fillId="2" borderId="4" xfId="0" applyFont="1" applyFill="1" applyBorder="1" applyAlignment="1">
      <alignment horizontal="center" vertical="center"/>
    </xf>
    <xf numFmtId="0" fontId="17" fillId="2" borderId="6" xfId="0" applyFont="1" applyFill="1" applyBorder="1" applyAlignment="1">
      <alignment horizontal="center" vertical="center"/>
    </xf>
    <xf numFmtId="0" fontId="17" fillId="2" borderId="2" xfId="0" applyFont="1" applyFill="1" applyBorder="1" applyAlignment="1">
      <alignment horizontal="center" vertical="center"/>
    </xf>
    <xf numFmtId="0" fontId="17" fillId="2" borderId="7" xfId="0" applyFont="1" applyFill="1" applyBorder="1" applyAlignment="1">
      <alignment horizontal="center" vertical="center"/>
    </xf>
    <xf numFmtId="164" fontId="12" fillId="0" borderId="8" xfId="0" applyNumberFormat="1" applyFont="1" applyBorder="1" applyAlignment="1">
      <alignment horizontal="center" vertical="center"/>
    </xf>
    <xf numFmtId="164" fontId="11" fillId="0" borderId="11" xfId="0" applyNumberFormat="1" applyFont="1" applyBorder="1" applyAlignment="1">
      <alignment horizontal="center"/>
    </xf>
    <xf numFmtId="164" fontId="11" fillId="0" borderId="5" xfId="0" applyNumberFormat="1" applyFont="1" applyBorder="1" applyAlignment="1">
      <alignment horizontal="center"/>
    </xf>
    <xf numFmtId="175" fontId="11" fillId="0" borderId="11" xfId="0" applyNumberFormat="1" applyFont="1" applyBorder="1" applyAlignment="1">
      <alignment horizontal="center"/>
    </xf>
    <xf numFmtId="175" fontId="11" fillId="0" borderId="0" xfId="0" applyNumberFormat="1" applyFont="1" applyAlignment="1">
      <alignment horizontal="center"/>
    </xf>
    <xf numFmtId="175" fontId="11" fillId="0" borderId="5" xfId="0" applyNumberFormat="1" applyFont="1" applyBorder="1" applyAlignment="1">
      <alignment horizontal="center"/>
    </xf>
    <xf numFmtId="164" fontId="12" fillId="13" borderId="4" xfId="0" applyNumberFormat="1" applyFont="1" applyFill="1" applyBorder="1" applyAlignment="1">
      <alignment horizontal="center"/>
    </xf>
    <xf numFmtId="0" fontId="12" fillId="13" borderId="6" xfId="0" applyFont="1" applyFill="1" applyBorder="1" applyAlignment="1">
      <alignment horizontal="center"/>
    </xf>
    <xf numFmtId="0" fontId="12" fillId="13" borderId="2" xfId="0" applyFont="1" applyFill="1" applyBorder="1" applyAlignment="1">
      <alignment horizontal="center"/>
    </xf>
    <xf numFmtId="0" fontId="12" fillId="13" borderId="7" xfId="0" applyFont="1" applyFill="1" applyBorder="1" applyAlignment="1">
      <alignment horizontal="center"/>
    </xf>
    <xf numFmtId="175" fontId="12" fillId="13" borderId="6" xfId="0" applyNumberFormat="1" applyFont="1" applyFill="1" applyBorder="1" applyAlignment="1">
      <alignment horizontal="center"/>
    </xf>
    <xf numFmtId="175" fontId="12" fillId="13" borderId="2" xfId="0" applyNumberFormat="1" applyFont="1" applyFill="1" applyBorder="1" applyAlignment="1">
      <alignment horizontal="center"/>
    </xf>
    <xf numFmtId="175" fontId="12" fillId="13" borderId="7" xfId="0" applyNumberFormat="1" applyFont="1" applyFill="1" applyBorder="1" applyAlignment="1">
      <alignment horizontal="center"/>
    </xf>
    <xf numFmtId="0" fontId="17" fillId="2" borderId="0" xfId="0" applyFont="1" applyFill="1" applyAlignment="1">
      <alignment horizontal="left"/>
    </xf>
    <xf numFmtId="0" fontId="11" fillId="0" borderId="10" xfId="0" applyFont="1" applyBorder="1" applyAlignment="1">
      <alignment horizontal="center"/>
    </xf>
    <xf numFmtId="0" fontId="12" fillId="13" borderId="6" xfId="0" applyFont="1" applyFill="1" applyBorder="1" applyAlignment="1">
      <alignment horizontal="left" vertical="center"/>
    </xf>
    <xf numFmtId="226" fontId="15" fillId="4" borderId="0" xfId="0" applyNumberFormat="1" applyFont="1" applyFill="1"/>
    <xf numFmtId="174" fontId="12" fillId="3" borderId="3" xfId="0" applyNumberFormat="1" applyFont="1" applyFill="1" applyBorder="1" applyAlignment="1">
      <alignment vertical="center"/>
    </xf>
    <xf numFmtId="174" fontId="12" fillId="0" borderId="0" xfId="0" applyNumberFormat="1" applyFont="1" applyAlignment="1">
      <alignment vertical="center"/>
    </xf>
    <xf numFmtId="217" fontId="16" fillId="0" borderId="0" xfId="0" applyNumberFormat="1" applyFont="1" applyAlignment="1">
      <alignment vertical="center"/>
    </xf>
    <xf numFmtId="0" fontId="12" fillId="13" borderId="0" xfId="0" applyFont="1" applyFill="1" applyAlignment="1">
      <alignment horizontal="left" vertical="center"/>
    </xf>
    <xf numFmtId="173" fontId="12" fillId="13" borderId="0" xfId="0" applyNumberFormat="1" applyFont="1" applyFill="1" applyAlignment="1">
      <alignment horizontal="right" vertical="center"/>
    </xf>
    <xf numFmtId="0" fontId="17" fillId="10" borderId="1" xfId="0" applyFont="1" applyFill="1" applyBorder="1" applyAlignment="1">
      <alignment horizontal="centerContinuous" vertical="center"/>
    </xf>
    <xf numFmtId="0" fontId="17" fillId="10" borderId="1" xfId="0" applyFont="1" applyFill="1" applyBorder="1" applyAlignment="1">
      <alignment horizontal="centerContinuous"/>
    </xf>
    <xf numFmtId="0" fontId="17" fillId="2" borderId="1" xfId="0" applyFont="1" applyFill="1" applyBorder="1" applyAlignment="1">
      <alignment vertical="center"/>
    </xf>
    <xf numFmtId="0" fontId="17" fillId="2" borderId="1" xfId="0" applyFont="1" applyFill="1" applyBorder="1" applyAlignment="1">
      <alignment horizontal="right" vertical="center"/>
    </xf>
    <xf numFmtId="164" fontId="23" fillId="3" borderId="3" xfId="0" applyNumberFormat="1" applyFont="1" applyFill="1" applyBorder="1" applyAlignment="1">
      <alignment vertical="center"/>
    </xf>
    <xf numFmtId="0" fontId="14" fillId="10" borderId="0" xfId="0" applyFont="1" applyFill="1"/>
    <xf numFmtId="0" fontId="11" fillId="0" borderId="10" xfId="0" applyFont="1" applyBorder="1" applyAlignment="1">
      <alignment horizontal="center" vertical="center"/>
    </xf>
    <xf numFmtId="0" fontId="11" fillId="0" borderId="5" xfId="0" applyFont="1" applyBorder="1" applyAlignment="1">
      <alignment horizontal="center" vertical="center"/>
    </xf>
    <xf numFmtId="176" fontId="17" fillId="0" borderId="0" xfId="0" applyNumberFormat="1" applyFont="1" applyAlignment="1">
      <alignment horizontal="right" vertical="center"/>
    </xf>
    <xf numFmtId="217" fontId="21" fillId="0" borderId="0" xfId="0" applyNumberFormat="1" applyFont="1" applyAlignment="1">
      <alignment vertical="center"/>
    </xf>
    <xf numFmtId="165" fontId="24" fillId="0" borderId="0" xfId="0" applyNumberFormat="1" applyFont="1"/>
    <xf numFmtId="0" fontId="24" fillId="0" borderId="17" xfId="0" applyFont="1" applyBorder="1"/>
    <xf numFmtId="165" fontId="24" fillId="0" borderId="17" xfId="0" applyNumberFormat="1" applyFont="1" applyBorder="1"/>
    <xf numFmtId="164" fontId="24" fillId="0" borderId="17" xfId="0" applyNumberFormat="1" applyFont="1" applyBorder="1"/>
    <xf numFmtId="0" fontId="11" fillId="0" borderId="11" xfId="0" applyFont="1" applyBorder="1"/>
    <xf numFmtId="0" fontId="11" fillId="0" borderId="15" xfId="0" applyFont="1" applyBorder="1"/>
    <xf numFmtId="229" fontId="16" fillId="0" borderId="0" xfId="1" applyNumberFormat="1" applyFont="1"/>
    <xf numFmtId="0" fontId="38" fillId="2" borderId="3" xfId="0" applyFont="1" applyFill="1" applyBorder="1" applyAlignment="1">
      <alignment horizontal="centerContinuous"/>
    </xf>
    <xf numFmtId="164" fontId="38" fillId="2" borderId="10" xfId="0" applyNumberFormat="1" applyFont="1" applyFill="1" applyBorder="1" applyAlignment="1">
      <alignment horizontal="centerContinuous"/>
    </xf>
    <xf numFmtId="0" fontId="21" fillId="0" borderId="0" xfId="0" applyFont="1" applyAlignment="1">
      <alignment horizontal="right"/>
    </xf>
    <xf numFmtId="0" fontId="17" fillId="10" borderId="1" xfId="0" applyFont="1" applyFill="1" applyBorder="1" applyAlignment="1">
      <alignment horizontal="center" vertical="center"/>
    </xf>
    <xf numFmtId="167" fontId="16" fillId="0" borderId="0" xfId="1" applyNumberFormat="1" applyFont="1" applyAlignment="1">
      <alignment vertical="center"/>
    </xf>
    <xf numFmtId="0" fontId="11" fillId="0" borderId="0" xfId="0" applyFont="1" applyAlignment="1">
      <alignment horizontal="right"/>
    </xf>
    <xf numFmtId="0" fontId="11" fillId="0" borderId="9" xfId="0" applyFont="1" applyBorder="1"/>
    <xf numFmtId="0" fontId="31" fillId="0" borderId="0" xfId="0" applyFont="1" applyAlignment="1">
      <alignment horizontal="right"/>
    </xf>
    <xf numFmtId="0" fontId="11" fillId="0" borderId="0" xfId="0" applyFont="1" applyAlignment="1">
      <alignment horizontal="centerContinuous"/>
    </xf>
    <xf numFmtId="228" fontId="21" fillId="0" borderId="0" xfId="0" applyNumberFormat="1" applyFont="1"/>
    <xf numFmtId="0" fontId="10" fillId="0" borderId="0" xfId="0" applyFont="1" applyAlignment="1">
      <alignment horizontal="center" vertical="center"/>
    </xf>
    <xf numFmtId="0" fontId="15" fillId="0" borderId="0" xfId="0" applyFont="1" applyAlignment="1">
      <alignment horizontal="right"/>
    </xf>
    <xf numFmtId="228" fontId="15" fillId="4" borderId="0" xfId="0" applyNumberFormat="1" applyFont="1" applyFill="1"/>
    <xf numFmtId="0" fontId="41" fillId="2" borderId="9" xfId="0" applyFont="1" applyFill="1" applyBorder="1" applyAlignment="1">
      <alignment horizontal="centerContinuous"/>
    </xf>
    <xf numFmtId="0" fontId="35" fillId="0" borderId="0" xfId="0" applyFont="1" applyAlignment="1">
      <alignment vertical="center"/>
    </xf>
    <xf numFmtId="167" fontId="11" fillId="0" borderId="0" xfId="1" applyNumberFormat="1" applyFont="1"/>
    <xf numFmtId="15" fontId="21" fillId="0" borderId="0" xfId="0" applyNumberFormat="1" applyFont="1" applyAlignment="1">
      <alignment horizontal="right"/>
    </xf>
    <xf numFmtId="14" fontId="11" fillId="0" borderId="0" xfId="0" applyNumberFormat="1" applyFont="1" applyAlignment="1">
      <alignment vertical="center"/>
    </xf>
    <xf numFmtId="10" fontId="11" fillId="0" borderId="0" xfId="1" applyNumberFormat="1" applyFont="1" applyAlignment="1">
      <alignment vertical="center"/>
    </xf>
    <xf numFmtId="231" fontId="15" fillId="4" borderId="0" xfId="0" applyNumberFormat="1" applyFont="1" applyFill="1"/>
    <xf numFmtId="231" fontId="15" fillId="3" borderId="0" xfId="0" applyNumberFormat="1" applyFont="1" applyFill="1"/>
    <xf numFmtId="232" fontId="15" fillId="4" borderId="0" xfId="0" applyNumberFormat="1" applyFont="1" applyFill="1"/>
    <xf numFmtId="0" fontId="17" fillId="2" borderId="3" xfId="0" applyFont="1" applyFill="1" applyBorder="1" applyAlignment="1">
      <alignment horizontal="center" vertical="center"/>
    </xf>
    <xf numFmtId="0" fontId="17" fillId="2" borderId="3" xfId="0" applyFont="1" applyFill="1" applyBorder="1" applyAlignment="1">
      <alignment vertical="center"/>
    </xf>
    <xf numFmtId="214" fontId="15" fillId="0" borderId="0" xfId="0" applyNumberFormat="1" applyFont="1" applyAlignment="1">
      <alignment horizontal="right" vertical="center"/>
    </xf>
    <xf numFmtId="164" fontId="12" fillId="3" borderId="3" xfId="0" applyNumberFormat="1" applyFont="1" applyFill="1" applyBorder="1" applyAlignment="1">
      <alignment horizontal="center" vertical="center"/>
    </xf>
    <xf numFmtId="10" fontId="21" fillId="0" borderId="0" xfId="0" applyNumberFormat="1" applyFont="1"/>
    <xf numFmtId="10" fontId="21" fillId="0" borderId="0" xfId="0" applyNumberFormat="1" applyFont="1" applyAlignment="1">
      <alignment horizontal="right"/>
    </xf>
    <xf numFmtId="167" fontId="21" fillId="0" borderId="0" xfId="0" applyNumberFormat="1" applyFont="1"/>
    <xf numFmtId="223" fontId="21" fillId="0" borderId="0" xfId="0" applyNumberFormat="1" applyFont="1"/>
    <xf numFmtId="0" fontId="25" fillId="0" borderId="0" xfId="0" applyFont="1" applyAlignment="1">
      <alignment horizontal="left" vertical="center"/>
    </xf>
    <xf numFmtId="0" fontId="12" fillId="0" borderId="0" xfId="0" applyFont="1" applyAlignment="1">
      <alignment horizontal="center"/>
    </xf>
    <xf numFmtId="0" fontId="43" fillId="0" borderId="0" xfId="0" applyFont="1" applyAlignment="1">
      <alignment vertical="center"/>
    </xf>
    <xf numFmtId="0" fontId="27" fillId="0" borderId="0" xfId="0" applyFont="1" applyAlignment="1">
      <alignment horizontal="left"/>
    </xf>
    <xf numFmtId="234" fontId="11" fillId="0" borderId="0" xfId="1" applyNumberFormat="1" applyFont="1" applyAlignment="1">
      <alignment vertical="center"/>
    </xf>
    <xf numFmtId="220" fontId="15" fillId="4" borderId="0" xfId="0" applyNumberFormat="1" applyFont="1" applyFill="1" applyAlignment="1">
      <alignment horizontal="center"/>
    </xf>
    <xf numFmtId="220" fontId="15" fillId="0" borderId="0" xfId="0" applyNumberFormat="1" applyFont="1" applyAlignment="1">
      <alignment horizontal="center"/>
    </xf>
    <xf numFmtId="220" fontId="21" fillId="0" borderId="0" xfId="0" applyNumberFormat="1" applyFont="1" applyAlignment="1">
      <alignment horizontal="center"/>
    </xf>
    <xf numFmtId="0" fontId="17" fillId="10" borderId="1" xfId="0" applyFont="1" applyFill="1" applyBorder="1" applyAlignment="1">
      <alignment horizontal="left" vertical="center"/>
    </xf>
    <xf numFmtId="0" fontId="17" fillId="10" borderId="1" xfId="0" applyFont="1" applyFill="1" applyBorder="1" applyAlignment="1">
      <alignment horizontal="right"/>
    </xf>
    <xf numFmtId="0" fontId="11" fillId="0" borderId="3" xfId="0" applyFont="1" applyBorder="1" applyAlignment="1">
      <alignment horizontal="center"/>
    </xf>
    <xf numFmtId="0" fontId="11" fillId="0" borderId="3" xfId="0" applyFont="1" applyBorder="1"/>
    <xf numFmtId="0" fontId="17" fillId="0" borderId="0" xfId="0" applyFont="1" applyAlignment="1">
      <alignment vertical="center"/>
    </xf>
    <xf numFmtId="14" fontId="11" fillId="0" borderId="0" xfId="0" applyNumberFormat="1" applyFont="1"/>
    <xf numFmtId="14" fontId="21" fillId="0" borderId="0" xfId="0" applyNumberFormat="1" applyFont="1"/>
    <xf numFmtId="0" fontId="34" fillId="0" borderId="0" xfId="0" applyFont="1" applyAlignment="1">
      <alignment horizontal="right" vertical="center"/>
    </xf>
    <xf numFmtId="233" fontId="10" fillId="0" borderId="0" xfId="0" applyNumberFormat="1" applyFont="1" applyAlignment="1">
      <alignment horizontal="center"/>
    </xf>
    <xf numFmtId="220" fontId="21" fillId="4" borderId="0" xfId="0" applyNumberFormat="1" applyFont="1" applyFill="1" applyAlignment="1">
      <alignment horizontal="right"/>
    </xf>
    <xf numFmtId="164" fontId="39" fillId="14" borderId="0" xfId="0" applyNumberFormat="1" applyFont="1" applyFill="1" applyAlignment="1">
      <alignment vertical="center"/>
    </xf>
    <xf numFmtId="10" fontId="44" fillId="0" borderId="1" xfId="0" applyNumberFormat="1" applyFont="1" applyBorder="1"/>
    <xf numFmtId="220" fontId="16" fillId="4" borderId="0" xfId="0" applyNumberFormat="1" applyFont="1" applyFill="1" applyAlignment="1">
      <alignment horizontal="center"/>
    </xf>
    <xf numFmtId="0" fontId="12" fillId="0" borderId="0" xfId="0" applyFont="1" applyAlignment="1">
      <alignment horizontal="center" vertical="center"/>
    </xf>
    <xf numFmtId="0" fontId="17" fillId="10" borderId="1" xfId="0" applyFont="1" applyFill="1" applyBorder="1" applyAlignment="1">
      <alignment horizontal="center"/>
    </xf>
    <xf numFmtId="220" fontId="25" fillId="0" borderId="0" xfId="0" applyNumberFormat="1" applyFont="1" applyAlignment="1">
      <alignment horizontal="center"/>
    </xf>
    <xf numFmtId="0" fontId="17" fillId="0" borderId="0" xfId="0" applyFont="1" applyAlignment="1">
      <alignment horizontal="centerContinuous" vertical="center"/>
    </xf>
    <xf numFmtId="220" fontId="25" fillId="0" borderId="0" xfId="0" applyNumberFormat="1" applyFont="1" applyAlignment="1">
      <alignment horizontal="centerContinuous"/>
    </xf>
    <xf numFmtId="238" fontId="21" fillId="0" borderId="0" xfId="0" applyNumberFormat="1" applyFont="1" applyAlignment="1">
      <alignment vertical="center"/>
    </xf>
    <xf numFmtId="239" fontId="11" fillId="0" borderId="0" xfId="0" applyNumberFormat="1" applyFont="1"/>
    <xf numFmtId="216" fontId="15" fillId="4" borderId="0" xfId="0" applyNumberFormat="1" applyFont="1" applyFill="1"/>
    <xf numFmtId="9" fontId="11" fillId="0" borderId="0" xfId="1" applyFont="1"/>
    <xf numFmtId="9" fontId="46" fillId="0" borderId="0" xfId="1" applyFont="1"/>
    <xf numFmtId="167" fontId="16" fillId="0" borderId="0" xfId="0" applyNumberFormat="1" applyFont="1"/>
    <xf numFmtId="164" fontId="45" fillId="0" borderId="0" xfId="0" applyNumberFormat="1" applyFont="1"/>
    <xf numFmtId="223" fontId="16" fillId="0" borderId="0" xfId="0" applyNumberFormat="1" applyFont="1"/>
    <xf numFmtId="221" fontId="16" fillId="0" borderId="0" xfId="0" applyNumberFormat="1" applyFont="1"/>
    <xf numFmtId="221" fontId="23" fillId="0" borderId="3" xfId="0" applyNumberFormat="1" applyFont="1" applyBorder="1"/>
    <xf numFmtId="167" fontId="11" fillId="0" borderId="0" xfId="0" applyNumberFormat="1" applyFont="1"/>
    <xf numFmtId="216" fontId="11" fillId="0" borderId="0" xfId="0" applyNumberFormat="1" applyFont="1"/>
    <xf numFmtId="0" fontId="12" fillId="4" borderId="3" xfId="0" applyFont="1" applyFill="1" applyBorder="1" applyAlignment="1">
      <alignment vertical="center"/>
    </xf>
    <xf numFmtId="174" fontId="12" fillId="4" borderId="3" xfId="0" applyNumberFormat="1" applyFont="1" applyFill="1" applyBorder="1" applyAlignment="1">
      <alignment vertical="center"/>
    </xf>
    <xf numFmtId="174" fontId="32" fillId="0" borderId="0" xfId="0" applyNumberFormat="1" applyFont="1" applyAlignment="1">
      <alignment vertical="center"/>
    </xf>
    <xf numFmtId="0" fontId="12" fillId="4" borderId="3" xfId="0" applyFont="1" applyFill="1" applyBorder="1"/>
    <xf numFmtId="14" fontId="11" fillId="0" borderId="0" xfId="0" applyNumberFormat="1" applyFont="1" applyAlignment="1">
      <alignment horizontal="right"/>
    </xf>
    <xf numFmtId="2" fontId="21" fillId="0" borderId="0" xfId="0" applyNumberFormat="1" applyFont="1"/>
    <xf numFmtId="0" fontId="11" fillId="0" borderId="18" xfId="0" applyFont="1" applyBorder="1"/>
    <xf numFmtId="0" fontId="19" fillId="0" borderId="19" xfId="0" applyFont="1" applyBorder="1"/>
    <xf numFmtId="0" fontId="11" fillId="0" borderId="19" xfId="0" applyFont="1" applyBorder="1"/>
    <xf numFmtId="0" fontId="11" fillId="0" borderId="20" xfId="0" applyFont="1" applyBorder="1"/>
    <xf numFmtId="0" fontId="11" fillId="0" borderId="21" xfId="0" applyFont="1" applyBorder="1"/>
    <xf numFmtId="0" fontId="11" fillId="0" borderId="22" xfId="0" applyFont="1" applyBorder="1"/>
    <xf numFmtId="0" fontId="11" fillId="0" borderId="23" xfId="0" applyFont="1" applyBorder="1"/>
    <xf numFmtId="0" fontId="11" fillId="0" borderId="24" xfId="0" applyFont="1" applyBorder="1"/>
    <xf numFmtId="0" fontId="11" fillId="0" borderId="25" xfId="0" applyFont="1" applyBorder="1"/>
    <xf numFmtId="167" fontId="12" fillId="0" borderId="0" xfId="1" applyNumberFormat="1" applyFont="1" applyBorder="1" applyAlignment="1">
      <alignment horizontal="right"/>
    </xf>
    <xf numFmtId="167" fontId="12" fillId="0" borderId="0" xfId="0" applyNumberFormat="1" applyFont="1" applyAlignment="1">
      <alignment horizontal="right"/>
    </xf>
    <xf numFmtId="214" fontId="11" fillId="0" borderId="0" xfId="0" applyNumberFormat="1" applyFont="1" applyAlignment="1">
      <alignment horizontal="right" vertical="center"/>
    </xf>
    <xf numFmtId="3" fontId="15" fillId="0" borderId="0" xfId="0" applyNumberFormat="1" applyFont="1" applyAlignment="1">
      <alignment horizontal="right" vertical="center"/>
    </xf>
    <xf numFmtId="0" fontId="49" fillId="0" borderId="0" xfId="0" applyFont="1" applyAlignment="1">
      <alignment vertical="center"/>
    </xf>
    <xf numFmtId="0" fontId="50" fillId="0" borderId="0" xfId="0" applyFont="1" applyAlignment="1">
      <alignment vertical="center"/>
    </xf>
    <xf numFmtId="0" fontId="51" fillId="10" borderId="0" xfId="0" applyFont="1" applyFill="1" applyAlignment="1">
      <alignment vertical="center"/>
    </xf>
    <xf numFmtId="176" fontId="51" fillId="10" borderId="0" xfId="0" applyNumberFormat="1" applyFont="1" applyFill="1" applyAlignment="1">
      <alignment horizontal="right" vertical="center"/>
    </xf>
    <xf numFmtId="0" fontId="49" fillId="0" borderId="0" xfId="0" applyFont="1"/>
    <xf numFmtId="166" fontId="49" fillId="0" borderId="0" xfId="0" applyNumberFormat="1" applyFont="1" applyAlignment="1">
      <alignment horizontal="right" vertical="center"/>
    </xf>
    <xf numFmtId="240" fontId="11" fillId="0" borderId="0" xfId="0" applyNumberFormat="1" applyFont="1" applyAlignment="1">
      <alignment vertical="center"/>
    </xf>
    <xf numFmtId="3" fontId="21" fillId="0" borderId="0" xfId="0" applyNumberFormat="1" applyFont="1" applyAlignment="1">
      <alignment horizontal="right" vertical="center"/>
    </xf>
    <xf numFmtId="166" fontId="18" fillId="0" borderId="0" xfId="0" applyNumberFormat="1" applyFont="1" applyAlignment="1">
      <alignment horizontal="right" vertical="center"/>
    </xf>
    <xf numFmtId="167" fontId="18" fillId="0" borderId="0" xfId="1" applyNumberFormat="1" applyFont="1" applyAlignment="1">
      <alignment vertical="center"/>
    </xf>
    <xf numFmtId="15" fontId="18" fillId="0" borderId="0" xfId="0" applyNumberFormat="1" applyFont="1" applyAlignment="1">
      <alignment vertical="center"/>
    </xf>
    <xf numFmtId="11" fontId="11" fillId="0" borderId="0" xfId="0" applyNumberFormat="1" applyFont="1" applyAlignment="1">
      <alignment vertical="center"/>
    </xf>
    <xf numFmtId="1" fontId="15" fillId="4" borderId="0" xfId="0" applyNumberFormat="1" applyFont="1" applyFill="1" applyAlignment="1">
      <alignment horizontal="right"/>
    </xf>
    <xf numFmtId="174" fontId="15" fillId="0" borderId="0" xfId="0" applyNumberFormat="1" applyFont="1" applyAlignment="1">
      <alignment vertical="center"/>
    </xf>
    <xf numFmtId="164" fontId="29" fillId="0" borderId="0" xfId="0" applyNumberFormat="1" applyFont="1" applyAlignment="1">
      <alignment horizontal="left" vertical="center"/>
    </xf>
    <xf numFmtId="174" fontId="52" fillId="4" borderId="0" xfId="0" applyNumberFormat="1" applyFont="1" applyFill="1" applyAlignment="1">
      <alignment vertical="center"/>
    </xf>
    <xf numFmtId="174" fontId="15" fillId="4" borderId="0" xfId="0" applyNumberFormat="1" applyFont="1" applyFill="1" applyAlignment="1">
      <alignment horizontal="right"/>
    </xf>
    <xf numFmtId="15" fontId="21" fillId="0" borderId="3" xfId="0" applyNumberFormat="1" applyFont="1" applyBorder="1"/>
    <xf numFmtId="242" fontId="11" fillId="0" borderId="0" xfId="0" applyNumberFormat="1" applyFont="1" applyAlignment="1">
      <alignment vertical="center"/>
    </xf>
    <xf numFmtId="174" fontId="15" fillId="4" borderId="0" xfId="0" applyNumberFormat="1" applyFont="1" applyFill="1" applyAlignment="1">
      <alignment horizontal="right" vertical="center"/>
    </xf>
    <xf numFmtId="174" fontId="11" fillId="0" borderId="0" xfId="0" applyNumberFormat="1" applyFont="1" applyAlignment="1">
      <alignment horizontal="right" vertical="center"/>
    </xf>
    <xf numFmtId="0" fontId="12" fillId="0" borderId="0" xfId="0" applyFont="1" applyAlignment="1">
      <alignment horizontal="right" vertical="center"/>
    </xf>
    <xf numFmtId="167" fontId="11" fillId="0" borderId="0" xfId="1" applyNumberFormat="1" applyFont="1" applyFill="1"/>
    <xf numFmtId="0" fontId="20" fillId="0" borderId="0" xfId="0" applyFont="1" applyAlignment="1">
      <alignment horizontal="center" vertical="center"/>
    </xf>
    <xf numFmtId="242" fontId="11" fillId="0" borderId="0" xfId="0" applyNumberFormat="1" applyFont="1" applyAlignment="1">
      <alignment horizontal="center" vertical="center"/>
    </xf>
    <xf numFmtId="17" fontId="21" fillId="0" borderId="0" xfId="0" applyNumberFormat="1" applyFont="1" applyAlignment="1">
      <alignment horizontal="right" vertical="center"/>
    </xf>
    <xf numFmtId="17" fontId="53" fillId="0" borderId="0" xfId="0" applyNumberFormat="1" applyFont="1" applyAlignment="1">
      <alignment vertical="center"/>
    </xf>
    <xf numFmtId="0" fontId="53" fillId="0" borderId="0" xfId="0" applyFont="1" applyAlignment="1">
      <alignment horizontal="right" vertical="center"/>
    </xf>
    <xf numFmtId="174" fontId="21" fillId="0" borderId="0" xfId="0" applyNumberFormat="1" applyFont="1" applyAlignment="1">
      <alignment horizontal="right"/>
    </xf>
    <xf numFmtId="176" fontId="23" fillId="0" borderId="0" xfId="0" applyNumberFormat="1" applyFont="1" applyAlignment="1">
      <alignment horizontal="right" vertical="center"/>
    </xf>
    <xf numFmtId="3" fontId="21" fillId="0" borderId="0" xfId="0" applyNumberFormat="1" applyFont="1" applyAlignment="1">
      <alignment vertical="center"/>
    </xf>
    <xf numFmtId="241" fontId="21" fillId="0" borderId="0" xfId="0" applyNumberFormat="1" applyFont="1" applyAlignment="1">
      <alignment vertical="center"/>
    </xf>
    <xf numFmtId="174" fontId="21" fillId="0" borderId="0" xfId="1" applyNumberFormat="1" applyFont="1" applyFill="1" applyBorder="1" applyAlignment="1">
      <alignment vertical="center"/>
    </xf>
    <xf numFmtId="176" fontId="21" fillId="0" borderId="0" xfId="0" applyNumberFormat="1" applyFont="1" applyAlignment="1">
      <alignment horizontal="right" vertical="center"/>
    </xf>
    <xf numFmtId="0" fontId="53" fillId="0" borderId="0" xfId="0" applyFont="1" applyAlignment="1">
      <alignment vertical="center"/>
    </xf>
    <xf numFmtId="164" fontId="21" fillId="0" borderId="0" xfId="0" applyNumberFormat="1" applyFont="1" applyAlignment="1">
      <alignment horizontal="center"/>
    </xf>
    <xf numFmtId="17" fontId="11" fillId="0" borderId="0" xfId="0" applyNumberFormat="1" applyFont="1" applyAlignment="1">
      <alignment vertical="center"/>
    </xf>
    <xf numFmtId="172" fontId="11" fillId="0" borderId="0" xfId="0" applyNumberFormat="1" applyFont="1" applyAlignment="1">
      <alignment horizontal="center" vertical="center"/>
    </xf>
    <xf numFmtId="14" fontId="16" fillId="0" borderId="0" xfId="0" applyNumberFormat="1" applyFont="1"/>
    <xf numFmtId="0" fontId="23" fillId="0" borderId="0" xfId="0" applyFont="1" applyAlignment="1">
      <alignment horizontal="centerContinuous" vertical="center"/>
    </xf>
    <xf numFmtId="220" fontId="23" fillId="0" borderId="0" xfId="0" applyNumberFormat="1" applyFont="1" applyAlignment="1">
      <alignment horizontal="center"/>
    </xf>
    <xf numFmtId="220" fontId="23" fillId="0" borderId="0" xfId="0" applyNumberFormat="1" applyFont="1" applyAlignment="1">
      <alignment horizontal="centerContinuous"/>
    </xf>
    <xf numFmtId="0" fontId="56" fillId="0" borderId="0" xfId="0" applyFont="1" applyAlignment="1">
      <alignment vertical="center"/>
    </xf>
    <xf numFmtId="0" fontId="23" fillId="0" borderId="0" xfId="0" applyFont="1" applyAlignment="1">
      <alignment horizontal="center"/>
    </xf>
    <xf numFmtId="243" fontId="11" fillId="0" borderId="0" xfId="0" applyNumberFormat="1" applyFont="1"/>
    <xf numFmtId="167" fontId="21" fillId="0" borderId="0" xfId="1" applyNumberFormat="1" applyFont="1" applyFill="1" applyBorder="1" applyAlignment="1">
      <alignment vertical="center"/>
    </xf>
    <xf numFmtId="17" fontId="21" fillId="0" borderId="0" xfId="0" applyNumberFormat="1" applyFont="1" applyAlignment="1">
      <alignment vertical="center"/>
    </xf>
    <xf numFmtId="9" fontId="21" fillId="0" borderId="0" xfId="1" applyFont="1" applyAlignment="1">
      <alignment vertical="center"/>
    </xf>
    <xf numFmtId="0" fontId="21" fillId="0" borderId="0" xfId="0" applyFont="1" applyAlignment="1">
      <alignment horizontal="center"/>
    </xf>
    <xf numFmtId="164" fontId="21" fillId="0" borderId="0" xfId="0" applyNumberFormat="1" applyFont="1" applyAlignment="1">
      <alignment horizontal="center" vertical="center"/>
    </xf>
    <xf numFmtId="0" fontId="23" fillId="0" borderId="0" xfId="0" applyFont="1" applyAlignment="1">
      <alignment horizontal="right"/>
    </xf>
    <xf numFmtId="164" fontId="21" fillId="0" borderId="0" xfId="0" applyNumberFormat="1" applyFont="1"/>
    <xf numFmtId="164" fontId="23" fillId="0" borderId="0" xfId="0" applyNumberFormat="1" applyFont="1" applyAlignment="1">
      <alignment vertical="center"/>
    </xf>
    <xf numFmtId="0" fontId="39" fillId="15" borderId="0" xfId="0" applyFont="1" applyFill="1" applyAlignment="1">
      <alignment horizontal="center"/>
    </xf>
    <xf numFmtId="164" fontId="18" fillId="14" borderId="3" xfId="0" applyNumberFormat="1" applyFont="1" applyFill="1" applyBorder="1" applyAlignment="1">
      <alignment horizontal="center"/>
    </xf>
    <xf numFmtId="164" fontId="18" fillId="14" borderId="0" xfId="0" applyNumberFormat="1" applyFont="1" applyFill="1" applyAlignment="1">
      <alignment horizontal="center"/>
    </xf>
    <xf numFmtId="164" fontId="39" fillId="14" borderId="3" xfId="0" applyNumberFormat="1" applyFont="1" applyFill="1" applyBorder="1" applyAlignment="1">
      <alignment horizontal="center" vertical="center"/>
    </xf>
    <xf numFmtId="0" fontId="57" fillId="0" borderId="0" xfId="0" applyFont="1" applyAlignment="1">
      <alignment vertical="center"/>
    </xf>
    <xf numFmtId="0" fontId="58" fillId="0" borderId="0" xfId="0" applyFont="1" applyAlignment="1">
      <alignment vertical="center"/>
    </xf>
    <xf numFmtId="0" fontId="61" fillId="0" borderId="0" xfId="0" applyFont="1" applyAlignment="1">
      <alignment vertical="center"/>
    </xf>
    <xf numFmtId="227" fontId="15" fillId="3" borderId="0" xfId="0" applyNumberFormat="1" applyFont="1" applyFill="1" applyAlignment="1">
      <alignment vertical="center"/>
    </xf>
    <xf numFmtId="227" fontId="16" fillId="0" borderId="0" xfId="0" applyNumberFormat="1" applyFont="1"/>
    <xf numFmtId="228" fontId="16" fillId="0" borderId="0" xfId="0" applyNumberFormat="1" applyFont="1"/>
    <xf numFmtId="174" fontId="16" fillId="0" borderId="0" xfId="0" applyNumberFormat="1" applyFont="1" applyAlignment="1">
      <alignment horizontal="right" vertical="center"/>
    </xf>
    <xf numFmtId="174" fontId="16" fillId="0" borderId="0" xfId="0" applyNumberFormat="1" applyFont="1" applyAlignment="1">
      <alignment horizontal="right"/>
    </xf>
    <xf numFmtId="0" fontId="12" fillId="13" borderId="1" xfId="0" applyFont="1" applyFill="1" applyBorder="1" applyAlignment="1">
      <alignment horizontal="left" vertical="center"/>
    </xf>
    <xf numFmtId="0" fontId="60" fillId="10" borderId="1" xfId="0" applyFont="1" applyFill="1" applyBorder="1" applyAlignment="1">
      <alignment vertical="center"/>
    </xf>
    <xf numFmtId="0" fontId="57" fillId="10" borderId="1" xfId="0" applyFont="1" applyFill="1" applyBorder="1" applyAlignment="1">
      <alignment vertical="center"/>
    </xf>
    <xf numFmtId="244" fontId="52" fillId="4" borderId="0" xfId="0" applyNumberFormat="1" applyFont="1" applyFill="1" applyAlignment="1">
      <alignment vertical="center"/>
    </xf>
    <xf numFmtId="164" fontId="39" fillId="0" borderId="0" xfId="0" applyNumberFormat="1" applyFont="1" applyAlignment="1">
      <alignment vertical="center"/>
    </xf>
    <xf numFmtId="164" fontId="39" fillId="0" borderId="0" xfId="0" applyNumberFormat="1" applyFont="1" applyAlignment="1">
      <alignment horizontal="center" vertical="center"/>
    </xf>
    <xf numFmtId="167" fontId="12" fillId="0" borderId="0" xfId="1" applyNumberFormat="1" applyFont="1" applyAlignment="1">
      <alignment horizontal="center" vertical="center"/>
    </xf>
    <xf numFmtId="240" fontId="57" fillId="0" borderId="0" xfId="0" applyNumberFormat="1" applyFont="1" applyAlignment="1">
      <alignment vertical="center"/>
    </xf>
    <xf numFmtId="235" fontId="15" fillId="3" borderId="0" xfId="0" applyNumberFormat="1" applyFont="1" applyFill="1"/>
    <xf numFmtId="244" fontId="36" fillId="0" borderId="0" xfId="0" applyNumberFormat="1" applyFont="1" applyAlignment="1">
      <alignment horizontal="center"/>
    </xf>
    <xf numFmtId="3" fontId="16" fillId="0" borderId="0" xfId="0" applyNumberFormat="1" applyFont="1" applyAlignment="1">
      <alignment vertical="center"/>
    </xf>
    <xf numFmtId="0" fontId="17" fillId="0" borderId="0" xfId="0" applyFont="1" applyAlignment="1">
      <alignment horizontal="right"/>
    </xf>
    <xf numFmtId="240" fontId="63" fillId="0" borderId="0" xfId="0" applyNumberFormat="1" applyFont="1" applyAlignment="1">
      <alignment vertical="center"/>
    </xf>
    <xf numFmtId="221" fontId="21" fillId="0" borderId="0" xfId="0" applyNumberFormat="1" applyFont="1" applyAlignment="1">
      <alignment vertical="center"/>
    </xf>
    <xf numFmtId="164" fontId="16" fillId="0" borderId="3" xfId="0" applyNumberFormat="1" applyFont="1" applyBorder="1" applyAlignment="1">
      <alignment horizontal="center"/>
    </xf>
    <xf numFmtId="164" fontId="16" fillId="0" borderId="0" xfId="0" applyNumberFormat="1" applyFont="1" applyAlignment="1">
      <alignment horizontal="center"/>
    </xf>
    <xf numFmtId="240" fontId="15" fillId="4" borderId="0" xfId="0" applyNumberFormat="1" applyFont="1" applyFill="1"/>
    <xf numFmtId="221" fontId="11" fillId="0" borderId="0" xfId="0" applyNumberFormat="1" applyFont="1" applyAlignment="1">
      <alignment vertical="center"/>
    </xf>
    <xf numFmtId="237" fontId="16" fillId="0" borderId="0" xfId="0" applyNumberFormat="1" applyFont="1" applyAlignment="1">
      <alignment vertical="center"/>
    </xf>
    <xf numFmtId="232" fontId="16" fillId="0" borderId="0" xfId="0" applyNumberFormat="1" applyFont="1"/>
    <xf numFmtId="231" fontId="16" fillId="0" borderId="0" xfId="0" applyNumberFormat="1" applyFont="1"/>
    <xf numFmtId="235" fontId="21" fillId="0" borderId="0" xfId="0" applyNumberFormat="1" applyFont="1"/>
    <xf numFmtId="246" fontId="63" fillId="0" borderId="0" xfId="0" applyNumberFormat="1" applyFont="1" applyAlignment="1">
      <alignment vertical="center"/>
    </xf>
    <xf numFmtId="236" fontId="57" fillId="0" borderId="0" xfId="0" applyNumberFormat="1" applyFont="1" applyAlignment="1">
      <alignment vertical="center"/>
    </xf>
    <xf numFmtId="246" fontId="57" fillId="0" borderId="0" xfId="0" applyNumberFormat="1" applyFont="1" applyAlignment="1">
      <alignment vertical="center"/>
    </xf>
    <xf numFmtId="0" fontId="63" fillId="0" borderId="0" xfId="0" applyFont="1" applyAlignment="1">
      <alignment vertical="center"/>
    </xf>
    <xf numFmtId="0" fontId="12" fillId="13" borderId="1" xfId="0" applyFont="1" applyFill="1" applyBorder="1" applyAlignment="1">
      <alignment horizontal="right" vertical="center"/>
    </xf>
    <xf numFmtId="0" fontId="59" fillId="4" borderId="2" xfId="0" applyFont="1" applyFill="1" applyBorder="1" applyAlignment="1">
      <alignment vertical="center"/>
    </xf>
    <xf numFmtId="246" fontId="59" fillId="4" borderId="2" xfId="0" applyNumberFormat="1" applyFont="1" applyFill="1" applyBorder="1" applyAlignment="1">
      <alignment vertical="center"/>
    </xf>
    <xf numFmtId="235" fontId="57" fillId="0" borderId="0" xfId="0" applyNumberFormat="1" applyFont="1" applyAlignment="1">
      <alignment horizontal="right" vertical="center"/>
    </xf>
    <xf numFmtId="235" fontId="57" fillId="0" borderId="0" xfId="0" applyNumberFormat="1" applyFont="1" applyAlignment="1">
      <alignment vertical="center"/>
    </xf>
    <xf numFmtId="235" fontId="59" fillId="4" borderId="2" xfId="0" applyNumberFormat="1" applyFont="1" applyFill="1" applyBorder="1" applyAlignment="1">
      <alignment vertical="center"/>
    </xf>
    <xf numFmtId="0" fontId="57" fillId="0" borderId="0" xfId="0" applyFont="1" applyAlignment="1">
      <alignment horizontal="left" vertical="center"/>
    </xf>
    <xf numFmtId="0" fontId="57" fillId="10" borderId="1" xfId="0" applyFont="1" applyFill="1" applyBorder="1" applyAlignment="1">
      <alignment horizontal="left" vertical="center"/>
    </xf>
    <xf numFmtId="0" fontId="62" fillId="0" borderId="0" xfId="0" applyFont="1" applyAlignment="1">
      <alignment horizontal="left" vertical="center"/>
    </xf>
    <xf numFmtId="248" fontId="62" fillId="0" borderId="0" xfId="0" applyNumberFormat="1" applyFont="1" applyAlignment="1">
      <alignment horizontal="left" vertical="center"/>
    </xf>
    <xf numFmtId="245" fontId="57" fillId="0" borderId="0" xfId="0" applyNumberFormat="1" applyFont="1" applyAlignment="1">
      <alignment horizontal="left" vertical="center"/>
    </xf>
    <xf numFmtId="0" fontId="12" fillId="0" borderId="0" xfId="0" applyFont="1" applyAlignment="1">
      <alignment horizontal="left" vertical="center"/>
    </xf>
    <xf numFmtId="0" fontId="60" fillId="0" borderId="0" xfId="0" applyFont="1" applyAlignment="1">
      <alignment vertical="center"/>
    </xf>
    <xf numFmtId="235" fontId="59" fillId="0" borderId="0" xfId="0" applyNumberFormat="1" applyFont="1" applyAlignment="1">
      <alignment vertical="center"/>
    </xf>
    <xf numFmtId="0" fontId="20" fillId="0" borderId="0" xfId="0" applyFont="1" applyAlignment="1">
      <alignment horizontal="right" vertical="center"/>
    </xf>
    <xf numFmtId="240" fontId="12" fillId="5" borderId="2" xfId="0" applyNumberFormat="1" applyFont="1" applyFill="1" applyBorder="1" applyAlignment="1">
      <alignment vertical="center"/>
    </xf>
    <xf numFmtId="240" fontId="12" fillId="6" borderId="2" xfId="0" applyNumberFormat="1" applyFont="1" applyFill="1" applyBorder="1" applyAlignment="1">
      <alignment vertical="center"/>
    </xf>
    <xf numFmtId="240" fontId="12" fillId="0" borderId="0" xfId="0" applyNumberFormat="1" applyFont="1" applyAlignment="1">
      <alignment vertical="center"/>
    </xf>
    <xf numFmtId="0" fontId="64" fillId="0" borderId="0" xfId="0" applyFont="1" applyAlignment="1">
      <alignment vertical="center"/>
    </xf>
    <xf numFmtId="0" fontId="59" fillId="0" borderId="1" xfId="0" applyFont="1" applyBorder="1" applyAlignment="1">
      <alignment vertical="center"/>
    </xf>
    <xf numFmtId="235" fontId="11" fillId="0" borderId="0" xfId="0" applyNumberFormat="1" applyFont="1"/>
    <xf numFmtId="227" fontId="11" fillId="0" borderId="0" xfId="0" applyNumberFormat="1" applyFont="1"/>
    <xf numFmtId="164" fontId="66" fillId="2" borderId="10" xfId="0" applyNumberFormat="1" applyFont="1" applyFill="1" applyBorder="1" applyAlignment="1">
      <alignment horizontal="centerContinuous"/>
    </xf>
    <xf numFmtId="167" fontId="65" fillId="0" borderId="0" xfId="0" applyNumberFormat="1" applyFont="1"/>
    <xf numFmtId="235" fontId="65" fillId="0" borderId="5" xfId="0" applyNumberFormat="1" applyFont="1" applyBorder="1"/>
    <xf numFmtId="0" fontId="65" fillId="0" borderId="11" xfId="0" applyFont="1" applyBorder="1"/>
    <xf numFmtId="227" fontId="65" fillId="0" borderId="5" xfId="0" applyNumberFormat="1" applyFont="1" applyBorder="1"/>
    <xf numFmtId="167" fontId="65" fillId="0" borderId="5" xfId="0" applyNumberFormat="1" applyFont="1" applyBorder="1"/>
    <xf numFmtId="167" fontId="65" fillId="0" borderId="16" xfId="0" applyNumberFormat="1" applyFont="1" applyBorder="1"/>
    <xf numFmtId="247" fontId="11" fillId="0" borderId="0" xfId="0" applyNumberFormat="1" applyFont="1"/>
    <xf numFmtId="247" fontId="65" fillId="0" borderId="5" xfId="0" applyNumberFormat="1" applyFont="1" applyBorder="1"/>
    <xf numFmtId="167" fontId="11" fillId="0" borderId="1" xfId="0" applyNumberFormat="1" applyFont="1" applyBorder="1"/>
    <xf numFmtId="0" fontId="20" fillId="0" borderId="3" xfId="0" applyFont="1" applyBorder="1" applyAlignment="1">
      <alignment horizontal="right"/>
    </xf>
    <xf numFmtId="0" fontId="20" fillId="0" borderId="10" xfId="0" applyFont="1" applyBorder="1" applyAlignment="1">
      <alignment horizontal="right"/>
    </xf>
    <xf numFmtId="167" fontId="57" fillId="0" borderId="0" xfId="1" applyNumberFormat="1" applyFont="1" applyFill="1" applyBorder="1" applyAlignment="1">
      <alignment vertical="center"/>
    </xf>
    <xf numFmtId="167" fontId="57" fillId="0" borderId="0" xfId="1" applyNumberFormat="1" applyFont="1" applyAlignment="1">
      <alignment vertical="center"/>
    </xf>
    <xf numFmtId="249" fontId="57" fillId="0" borderId="0" xfId="0" applyNumberFormat="1" applyFont="1" applyAlignment="1">
      <alignment vertical="center"/>
    </xf>
    <xf numFmtId="250" fontId="17" fillId="10" borderId="1" xfId="0" applyNumberFormat="1" applyFont="1" applyFill="1" applyBorder="1" applyAlignment="1">
      <alignment horizontal="right" vertical="center"/>
    </xf>
    <xf numFmtId="0" fontId="18" fillId="0" borderId="0" xfId="0" applyFont="1" applyAlignment="1">
      <alignment horizontal="left" vertical="center"/>
    </xf>
    <xf numFmtId="0" fontId="67" fillId="0" borderId="0" xfId="0" applyFont="1" applyAlignment="1">
      <alignment vertical="center"/>
    </xf>
    <xf numFmtId="0" fontId="68" fillId="0" borderId="1" xfId="0" applyFont="1" applyBorder="1" applyAlignment="1">
      <alignment vertical="center"/>
    </xf>
    <xf numFmtId="0" fontId="70" fillId="0" borderId="1" xfId="0" applyFont="1" applyBorder="1" applyAlignment="1">
      <alignment vertical="center"/>
    </xf>
    <xf numFmtId="0" fontId="16" fillId="0" borderId="0" xfId="0" applyFont="1" applyAlignment="1">
      <alignment vertical="center"/>
    </xf>
    <xf numFmtId="164" fontId="71" fillId="0" borderId="0" xfId="0" applyNumberFormat="1" applyFont="1" applyAlignment="1">
      <alignment vertical="center"/>
    </xf>
    <xf numFmtId="164" fontId="72" fillId="4" borderId="3" xfId="0" applyNumberFormat="1" applyFont="1" applyFill="1" applyBorder="1" applyAlignment="1">
      <alignment vertical="center"/>
    </xf>
    <xf numFmtId="174" fontId="71" fillId="0" borderId="0" xfId="0" applyNumberFormat="1" applyFont="1" applyAlignment="1">
      <alignment vertical="center"/>
    </xf>
    <xf numFmtId="164" fontId="72" fillId="3" borderId="3" xfId="0" applyNumberFormat="1" applyFont="1" applyFill="1" applyBorder="1" applyAlignment="1">
      <alignment vertical="center"/>
    </xf>
    <xf numFmtId="164" fontId="72" fillId="6" borderId="2" xfId="0" applyNumberFormat="1" applyFont="1" applyFill="1" applyBorder="1" applyAlignment="1">
      <alignment vertical="center"/>
    </xf>
    <xf numFmtId="164" fontId="72" fillId="5" borderId="2" xfId="0" applyNumberFormat="1" applyFont="1" applyFill="1" applyBorder="1" applyAlignment="1">
      <alignment vertical="center"/>
    </xf>
    <xf numFmtId="164" fontId="15" fillId="0" borderId="0" xfId="0" applyNumberFormat="1" applyFont="1"/>
    <xf numFmtId="164" fontId="16" fillId="0" borderId="0" xfId="0" applyNumberFormat="1" applyFont="1"/>
    <xf numFmtId="164" fontId="25" fillId="4" borderId="3" xfId="0" applyNumberFormat="1" applyFont="1" applyFill="1" applyBorder="1" applyAlignment="1">
      <alignment vertical="center"/>
    </xf>
    <xf numFmtId="164" fontId="25" fillId="3" borderId="3" xfId="0" applyNumberFormat="1" applyFont="1" applyFill="1" applyBorder="1" applyAlignment="1">
      <alignment vertical="center"/>
    </xf>
    <xf numFmtId="164" fontId="36" fillId="4" borderId="3" xfId="0" applyNumberFormat="1" applyFont="1" applyFill="1" applyBorder="1" applyAlignment="1">
      <alignment vertical="center"/>
    </xf>
    <xf numFmtId="165" fontId="16" fillId="0" borderId="0" xfId="0" applyNumberFormat="1" applyFont="1" applyAlignment="1">
      <alignment vertical="center"/>
    </xf>
    <xf numFmtId="177" fontId="16" fillId="0" borderId="0" xfId="0" applyNumberFormat="1" applyFont="1" applyAlignment="1">
      <alignment vertical="center"/>
    </xf>
    <xf numFmtId="178" fontId="71" fillId="0" borderId="0" xfId="0" applyNumberFormat="1" applyFont="1" applyAlignment="1">
      <alignment vertical="center"/>
    </xf>
    <xf numFmtId="177" fontId="71" fillId="0" borderId="0" xfId="0" applyNumberFormat="1" applyFont="1" applyAlignment="1">
      <alignment vertical="center"/>
    </xf>
    <xf numFmtId="165" fontId="71" fillId="0" borderId="0" xfId="0" applyNumberFormat="1" applyFont="1" applyAlignment="1">
      <alignment vertical="center"/>
    </xf>
    <xf numFmtId="0" fontId="72" fillId="0" borderId="0" xfId="0" applyFont="1" applyAlignment="1">
      <alignment horizontal="right" vertical="center"/>
    </xf>
    <xf numFmtId="0" fontId="15" fillId="0" borderId="0" xfId="0" applyFont="1" applyAlignment="1">
      <alignment vertical="center"/>
    </xf>
    <xf numFmtId="179" fontId="25" fillId="4" borderId="0" xfId="0" applyNumberFormat="1" applyFont="1" applyFill="1" applyAlignment="1">
      <alignment horizontal="right" vertical="center"/>
    </xf>
    <xf numFmtId="9" fontId="71" fillId="0" borderId="0" xfId="1" applyFont="1" applyFill="1" applyAlignment="1">
      <alignment vertical="center"/>
    </xf>
    <xf numFmtId="9" fontId="71" fillId="0" borderId="0" xfId="1" applyFont="1" applyAlignment="1">
      <alignment vertical="center"/>
    </xf>
    <xf numFmtId="164" fontId="73" fillId="0" borderId="0" xfId="0" applyNumberFormat="1" applyFont="1" applyAlignment="1">
      <alignment vertical="center"/>
    </xf>
    <xf numFmtId="164" fontId="71" fillId="0" borderId="0" xfId="0" applyNumberFormat="1" applyFont="1"/>
    <xf numFmtId="167" fontId="71" fillId="0" borderId="0" xfId="1" applyNumberFormat="1" applyFont="1" applyFill="1" applyAlignment="1">
      <alignment horizontal="right" vertical="center"/>
    </xf>
    <xf numFmtId="0" fontId="74" fillId="0" borderId="0" xfId="0" applyFont="1" applyAlignment="1">
      <alignment horizontal="center"/>
    </xf>
    <xf numFmtId="0" fontId="75" fillId="0" borderId="0" xfId="0" applyFont="1" applyAlignment="1">
      <alignment horizontal="right" vertical="center"/>
    </xf>
    <xf numFmtId="15" fontId="76" fillId="2" borderId="0" xfId="0" applyNumberFormat="1" applyFont="1" applyFill="1" applyAlignment="1">
      <alignment vertical="center"/>
    </xf>
    <xf numFmtId="15" fontId="76" fillId="2" borderId="0" xfId="0" applyNumberFormat="1" applyFont="1" applyFill="1" applyAlignment="1">
      <alignment horizontal="right" vertical="center"/>
    </xf>
    <xf numFmtId="0" fontId="77" fillId="0" borderId="0" xfId="0" applyFont="1" applyAlignment="1">
      <alignment vertical="center"/>
    </xf>
    <xf numFmtId="0" fontId="76" fillId="7" borderId="0" xfId="0" applyFont="1" applyFill="1" applyAlignment="1">
      <alignment vertical="center"/>
    </xf>
    <xf numFmtId="164" fontId="78" fillId="0" borderId="0" xfId="0" applyNumberFormat="1" applyFont="1" applyAlignment="1">
      <alignment vertical="center"/>
    </xf>
    <xf numFmtId="164" fontId="79" fillId="3" borderId="0" xfId="0" applyNumberFormat="1" applyFont="1" applyFill="1" applyAlignment="1">
      <alignment vertical="center"/>
    </xf>
    <xf numFmtId="164" fontId="77" fillId="0" borderId="0" xfId="0" applyNumberFormat="1" applyFont="1" applyAlignment="1">
      <alignment vertical="center"/>
    </xf>
    <xf numFmtId="164" fontId="80" fillId="4" borderId="3" xfId="0" applyNumberFormat="1" applyFont="1" applyFill="1" applyBorder="1" applyAlignment="1">
      <alignment vertical="center"/>
    </xf>
    <xf numFmtId="174" fontId="78" fillId="0" borderId="0" xfId="0" applyNumberFormat="1" applyFont="1" applyAlignment="1">
      <alignment vertical="center"/>
    </xf>
    <xf numFmtId="164" fontId="80" fillId="3" borderId="3" xfId="0" applyNumberFormat="1" applyFont="1" applyFill="1" applyBorder="1" applyAlignment="1">
      <alignment vertical="center"/>
    </xf>
    <xf numFmtId="164" fontId="77" fillId="0" borderId="0" xfId="1" applyNumberFormat="1" applyFont="1" applyAlignment="1">
      <alignment vertical="center"/>
    </xf>
    <xf numFmtId="164" fontId="80" fillId="5" borderId="2" xfId="0" applyNumberFormat="1" applyFont="1" applyFill="1" applyBorder="1" applyAlignment="1">
      <alignment vertical="center"/>
    </xf>
    <xf numFmtId="164" fontId="80" fillId="6" borderId="2" xfId="0" applyNumberFormat="1" applyFont="1" applyFill="1" applyBorder="1" applyAlignment="1">
      <alignment vertical="center"/>
    </xf>
    <xf numFmtId="164" fontId="81" fillId="0" borderId="0" xfId="0" applyNumberFormat="1" applyFont="1" applyAlignment="1">
      <alignment vertical="center"/>
    </xf>
    <xf numFmtId="0" fontId="77" fillId="0" borderId="0" xfId="0" applyFont="1"/>
    <xf numFmtId="0" fontId="76" fillId="10" borderId="0" xfId="0" applyFont="1" applyFill="1" applyAlignment="1">
      <alignment vertical="center"/>
    </xf>
    <xf numFmtId="0" fontId="77" fillId="12" borderId="1" xfId="0" applyFont="1" applyFill="1" applyBorder="1" applyAlignment="1">
      <alignment vertical="center"/>
    </xf>
    <xf numFmtId="9" fontId="78" fillId="0" borderId="0" xfId="1" applyFont="1" applyAlignment="1">
      <alignment vertical="center"/>
    </xf>
    <xf numFmtId="164" fontId="82" fillId="0" borderId="0" xfId="0" applyNumberFormat="1" applyFont="1" applyAlignment="1">
      <alignment vertical="center"/>
    </xf>
    <xf numFmtId="164" fontId="83" fillId="0" borderId="0" xfId="0" applyNumberFormat="1" applyFont="1" applyAlignment="1">
      <alignment vertical="center"/>
    </xf>
    <xf numFmtId="164" fontId="78" fillId="0" borderId="0" xfId="0" applyNumberFormat="1" applyFont="1"/>
    <xf numFmtId="164" fontId="79" fillId="0" borderId="0" xfId="0" applyNumberFormat="1" applyFont="1" applyAlignment="1">
      <alignment vertical="center"/>
    </xf>
    <xf numFmtId="0" fontId="83" fillId="0" borderId="0" xfId="0" applyFont="1"/>
    <xf numFmtId="174" fontId="77" fillId="0" borderId="0" xfId="0" applyNumberFormat="1" applyFont="1" applyAlignment="1">
      <alignment vertical="center"/>
    </xf>
    <xf numFmtId="0" fontId="77" fillId="0" borderId="0" xfId="0" applyFont="1" applyAlignment="1">
      <alignment horizontal="center"/>
    </xf>
    <xf numFmtId="0" fontId="84" fillId="0" borderId="0" xfId="0" applyFont="1" applyAlignment="1">
      <alignment vertical="center"/>
    </xf>
    <xf numFmtId="0" fontId="74" fillId="0" borderId="0" xfId="0" applyFont="1" applyAlignment="1">
      <alignment horizontal="center" vertical="center"/>
    </xf>
    <xf numFmtId="0" fontId="85" fillId="0" borderId="0" xfId="0" applyFont="1" applyAlignment="1">
      <alignment horizontal="left" vertical="center"/>
    </xf>
    <xf numFmtId="0" fontId="86" fillId="0" borderId="0" xfId="0" applyFont="1"/>
    <xf numFmtId="0" fontId="87" fillId="0" borderId="0" xfId="0" applyFont="1" applyAlignment="1">
      <alignment horizontal="left"/>
    </xf>
    <xf numFmtId="0" fontId="76" fillId="2" borderId="0" xfId="0" applyFont="1" applyFill="1" applyAlignment="1">
      <alignment vertical="center"/>
    </xf>
    <xf numFmtId="15" fontId="77" fillId="0" borderId="0" xfId="0" applyNumberFormat="1" applyFont="1" applyAlignment="1">
      <alignment vertical="center"/>
    </xf>
    <xf numFmtId="0" fontId="76" fillId="2" borderId="0" xfId="0" applyFont="1" applyFill="1" applyAlignment="1">
      <alignment horizontal="right" vertical="center"/>
    </xf>
    <xf numFmtId="0" fontId="76" fillId="0" borderId="0" xfId="0" applyFont="1" applyAlignment="1">
      <alignment horizontal="right" vertical="center"/>
    </xf>
    <xf numFmtId="0" fontId="76" fillId="2" borderId="0" xfId="0" applyFont="1" applyFill="1" applyAlignment="1">
      <alignment horizontal="center" vertical="center"/>
    </xf>
    <xf numFmtId="15" fontId="76" fillId="0" borderId="0" xfId="0" applyNumberFormat="1" applyFont="1" applyAlignment="1">
      <alignment horizontal="right" vertical="center"/>
    </xf>
    <xf numFmtId="15" fontId="76" fillId="2" borderId="0" xfId="0" applyNumberFormat="1" applyFont="1" applyFill="1" applyAlignment="1">
      <alignment horizontal="center" vertical="center"/>
    </xf>
    <xf numFmtId="0" fontId="76" fillId="7" borderId="0" xfId="0" applyFont="1" applyFill="1" applyAlignment="1">
      <alignment horizontal="center" vertical="center"/>
    </xf>
    <xf numFmtId="0" fontId="88" fillId="0" borderId="0" xfId="0" applyFont="1" applyAlignment="1">
      <alignment vertical="center"/>
    </xf>
    <xf numFmtId="164" fontId="77" fillId="0" borderId="0" xfId="0" applyNumberFormat="1" applyFont="1" applyAlignment="1">
      <alignment horizontal="center" vertical="center"/>
    </xf>
    <xf numFmtId="0" fontId="83" fillId="0" borderId="0" xfId="0" applyFont="1" applyAlignment="1">
      <alignment vertical="center"/>
    </xf>
    <xf numFmtId="224" fontId="89" fillId="0" borderId="0" xfId="1" applyNumberFormat="1" applyFont="1" applyAlignment="1">
      <alignment horizontal="center" vertical="center"/>
    </xf>
    <xf numFmtId="0" fontId="77" fillId="0" borderId="0" xfId="0" applyFont="1" applyAlignment="1">
      <alignment horizontal="center" vertical="center"/>
    </xf>
    <xf numFmtId="0" fontId="81" fillId="0" borderId="0" xfId="0" applyFont="1" applyAlignment="1">
      <alignment vertical="center"/>
    </xf>
    <xf numFmtId="165" fontId="77" fillId="0" borderId="0" xfId="0" applyNumberFormat="1" applyFont="1" applyAlignment="1">
      <alignment vertical="center"/>
    </xf>
    <xf numFmtId="224" fontId="90" fillId="0" borderId="0" xfId="1" applyNumberFormat="1" applyFont="1" applyAlignment="1">
      <alignment horizontal="center" vertical="center"/>
    </xf>
    <xf numFmtId="167" fontId="77" fillId="0" borderId="0" xfId="1" applyNumberFormat="1" applyFont="1"/>
    <xf numFmtId="0" fontId="91" fillId="0" borderId="0" xfId="0" applyFont="1" applyAlignment="1">
      <alignment vertical="center"/>
    </xf>
    <xf numFmtId="164" fontId="92" fillId="0" borderId="0" xfId="0" applyNumberFormat="1" applyFont="1" applyAlignment="1">
      <alignment horizontal="right" vertical="center"/>
    </xf>
    <xf numFmtId="0" fontId="81" fillId="3" borderId="3" xfId="0" applyFont="1" applyFill="1" applyBorder="1" applyAlignment="1">
      <alignment vertical="center"/>
    </xf>
    <xf numFmtId="165" fontId="81" fillId="3" borderId="3" xfId="0" applyNumberFormat="1" applyFont="1" applyFill="1" applyBorder="1" applyAlignment="1">
      <alignment vertical="center"/>
    </xf>
    <xf numFmtId="164" fontId="77" fillId="0" borderId="0" xfId="0" applyNumberFormat="1" applyFont="1"/>
    <xf numFmtId="166" fontId="77" fillId="0" borderId="0" xfId="0" applyNumberFormat="1" applyFont="1" applyAlignment="1">
      <alignment vertical="center"/>
    </xf>
    <xf numFmtId="167" fontId="77" fillId="0" borderId="0" xfId="1" applyNumberFormat="1" applyFont="1" applyAlignment="1">
      <alignment vertical="center"/>
    </xf>
    <xf numFmtId="164" fontId="77" fillId="0" borderId="0" xfId="1" applyNumberFormat="1" applyFont="1" applyAlignment="1">
      <alignment horizontal="center" vertical="center"/>
    </xf>
    <xf numFmtId="0" fontId="81" fillId="5" borderId="2" xfId="0" applyFont="1" applyFill="1" applyBorder="1" applyAlignment="1">
      <alignment vertical="center"/>
    </xf>
    <xf numFmtId="165" fontId="81" fillId="5" borderId="2" xfId="0" applyNumberFormat="1" applyFont="1" applyFill="1" applyBorder="1" applyAlignment="1">
      <alignment vertical="center"/>
    </xf>
    <xf numFmtId="164" fontId="79" fillId="4" borderId="0" xfId="0" applyNumberFormat="1" applyFont="1" applyFill="1" applyAlignment="1">
      <alignment vertical="center"/>
    </xf>
    <xf numFmtId="165" fontId="81" fillId="0" borderId="0" xfId="0" applyNumberFormat="1" applyFont="1" applyAlignment="1">
      <alignment vertical="center"/>
    </xf>
    <xf numFmtId="164" fontId="81" fillId="0" borderId="0" xfId="0" applyNumberFormat="1" applyFont="1" applyAlignment="1">
      <alignment horizontal="center" vertical="center"/>
    </xf>
    <xf numFmtId="0" fontId="76" fillId="2" borderId="0" xfId="0" applyFont="1" applyFill="1" applyAlignment="1">
      <alignment horizontal="centerContinuous" vertical="center"/>
    </xf>
    <xf numFmtId="0" fontId="76" fillId="10" borderId="0" xfId="0" applyFont="1" applyFill="1" applyAlignment="1">
      <alignment horizontal="center" vertical="center"/>
    </xf>
    <xf numFmtId="0" fontId="76" fillId="10" borderId="0" xfId="0" applyFont="1" applyFill="1" applyAlignment="1">
      <alignment horizontal="right" vertical="center"/>
    </xf>
    <xf numFmtId="176" fontId="76" fillId="10" borderId="0" xfId="0" applyNumberFormat="1" applyFont="1" applyFill="1" applyAlignment="1">
      <alignment horizontal="right" vertical="center"/>
    </xf>
    <xf numFmtId="0" fontId="76" fillId="5" borderId="0" xfId="0" applyFont="1" applyFill="1" applyAlignment="1">
      <alignment horizontal="right"/>
    </xf>
    <xf numFmtId="0" fontId="77" fillId="0" borderId="0" xfId="0" applyFont="1" applyAlignment="1">
      <alignment horizontal="left" vertical="center"/>
    </xf>
    <xf numFmtId="166" fontId="77" fillId="0" borderId="0" xfId="0" applyNumberFormat="1" applyFont="1" applyAlignment="1">
      <alignment horizontal="right" vertical="center"/>
    </xf>
    <xf numFmtId="165" fontId="83" fillId="0" borderId="0" xfId="0" applyNumberFormat="1" applyFont="1" applyAlignment="1">
      <alignment vertical="center"/>
    </xf>
    <xf numFmtId="15" fontId="83" fillId="0" borderId="0" xfId="0" applyNumberFormat="1" applyFont="1" applyAlignment="1">
      <alignment vertical="center"/>
    </xf>
    <xf numFmtId="177" fontId="83" fillId="0" borderId="0" xfId="0" applyNumberFormat="1" applyFont="1" applyAlignment="1">
      <alignment vertical="center"/>
    </xf>
    <xf numFmtId="178" fontId="83" fillId="0" borderId="0" xfId="0" applyNumberFormat="1" applyFont="1" applyAlignment="1">
      <alignment vertical="center"/>
    </xf>
    <xf numFmtId="178" fontId="78" fillId="0" borderId="0" xfId="0" applyNumberFormat="1" applyFont="1" applyAlignment="1">
      <alignment vertical="center"/>
    </xf>
    <xf numFmtId="15" fontId="84" fillId="0" borderId="0" xfId="0" applyNumberFormat="1" applyFont="1"/>
    <xf numFmtId="15" fontId="92" fillId="0" borderId="0" xfId="0" applyNumberFormat="1" applyFont="1" applyAlignment="1">
      <alignment vertical="center"/>
    </xf>
    <xf numFmtId="177" fontId="78" fillId="0" borderId="0" xfId="0" applyNumberFormat="1" applyFont="1" applyAlignment="1">
      <alignment vertical="center"/>
    </xf>
    <xf numFmtId="166" fontId="75" fillId="0" borderId="0" xfId="0" applyNumberFormat="1" applyFont="1" applyAlignment="1">
      <alignment horizontal="right" vertical="center"/>
    </xf>
    <xf numFmtId="167" fontId="75" fillId="0" borderId="0" xfId="1" applyNumberFormat="1" applyFont="1" applyAlignment="1">
      <alignment vertical="center"/>
    </xf>
    <xf numFmtId="165" fontId="78" fillId="0" borderId="0" xfId="0" applyNumberFormat="1" applyFont="1" applyAlignment="1">
      <alignment vertical="center"/>
    </xf>
    <xf numFmtId="15" fontId="75" fillId="0" borderId="0" xfId="0" applyNumberFormat="1" applyFont="1" applyAlignment="1">
      <alignment vertical="center"/>
    </xf>
    <xf numFmtId="0" fontId="80" fillId="0" borderId="0" xfId="0" applyFont="1" applyAlignment="1">
      <alignment horizontal="right" vertical="center"/>
    </xf>
    <xf numFmtId="0" fontId="93" fillId="0" borderId="0" xfId="0" applyFont="1" applyAlignment="1">
      <alignment vertical="center"/>
    </xf>
    <xf numFmtId="0" fontId="79" fillId="0" borderId="0" xfId="0" applyFont="1" applyAlignment="1">
      <alignment vertical="center"/>
    </xf>
    <xf numFmtId="179" fontId="81" fillId="3" borderId="0" xfId="0" applyNumberFormat="1" applyFont="1" applyFill="1" applyAlignment="1">
      <alignment horizontal="left" vertical="center"/>
    </xf>
    <xf numFmtId="179" fontId="81" fillId="3" borderId="0" xfId="0" applyNumberFormat="1" applyFont="1" applyFill="1" applyAlignment="1">
      <alignment horizontal="center" vertical="center"/>
    </xf>
    <xf numFmtId="179" fontId="81" fillId="3" borderId="0" xfId="0" applyNumberFormat="1" applyFont="1" applyFill="1" applyAlignment="1">
      <alignment horizontal="right" vertical="center"/>
    </xf>
    <xf numFmtId="179" fontId="85" fillId="4" borderId="0" xfId="0" applyNumberFormat="1" applyFont="1" applyFill="1" applyAlignment="1">
      <alignment horizontal="right" vertical="center"/>
    </xf>
    <xf numFmtId="180" fontId="77" fillId="0" borderId="0" xfId="0" applyNumberFormat="1" applyFont="1" applyAlignment="1">
      <alignment horizontal="left"/>
    </xf>
    <xf numFmtId="9" fontId="77" fillId="0" borderId="0" xfId="1" applyFont="1" applyAlignment="1">
      <alignment vertical="center"/>
    </xf>
    <xf numFmtId="181" fontId="77" fillId="0" borderId="0" xfId="0" applyNumberFormat="1" applyFont="1" applyAlignment="1">
      <alignment horizontal="left"/>
    </xf>
    <xf numFmtId="0" fontId="81" fillId="3" borderId="3" xfId="0" applyFont="1" applyFill="1" applyBorder="1" applyAlignment="1">
      <alignment horizontal="center" vertical="center"/>
    </xf>
    <xf numFmtId="182" fontId="77" fillId="0" borderId="0" xfId="0" applyNumberFormat="1" applyFont="1" applyAlignment="1">
      <alignment horizontal="left"/>
    </xf>
    <xf numFmtId="0" fontId="91" fillId="12" borderId="1" xfId="0" applyFont="1" applyFill="1" applyBorder="1" applyAlignment="1">
      <alignment vertical="center"/>
    </xf>
    <xf numFmtId="0" fontId="77" fillId="12" borderId="1" xfId="0" applyFont="1" applyFill="1" applyBorder="1" applyAlignment="1">
      <alignment horizontal="center" vertical="center"/>
    </xf>
    <xf numFmtId="183" fontId="77" fillId="0" borderId="0" xfId="0" applyNumberFormat="1" applyFont="1" applyAlignment="1">
      <alignment horizontal="left"/>
    </xf>
    <xf numFmtId="184" fontId="77" fillId="0" borderId="0" xfId="0" applyNumberFormat="1" applyFont="1" applyAlignment="1">
      <alignment horizontal="left"/>
    </xf>
    <xf numFmtId="185" fontId="77" fillId="0" borderId="0" xfId="0" applyNumberFormat="1" applyFont="1" applyAlignment="1">
      <alignment horizontal="left"/>
    </xf>
    <xf numFmtId="186" fontId="77" fillId="0" borderId="0" xfId="0" applyNumberFormat="1" applyFont="1" applyAlignment="1">
      <alignment horizontal="left"/>
    </xf>
    <xf numFmtId="187" fontId="77" fillId="0" borderId="0" xfId="0" applyNumberFormat="1" applyFont="1" applyAlignment="1">
      <alignment horizontal="left"/>
    </xf>
    <xf numFmtId="188" fontId="77" fillId="0" borderId="0" xfId="0" applyNumberFormat="1" applyFont="1" applyAlignment="1">
      <alignment horizontal="left"/>
    </xf>
    <xf numFmtId="189" fontId="77" fillId="0" borderId="0" xfId="0" applyNumberFormat="1" applyFont="1" applyAlignment="1">
      <alignment horizontal="left"/>
    </xf>
    <xf numFmtId="190" fontId="77" fillId="0" borderId="0" xfId="0" applyNumberFormat="1" applyFont="1" applyAlignment="1">
      <alignment horizontal="left"/>
    </xf>
    <xf numFmtId="0" fontId="94" fillId="0" borderId="0" xfId="0" applyFont="1" applyAlignment="1">
      <alignment vertical="center"/>
    </xf>
    <xf numFmtId="0" fontId="94" fillId="0" borderId="0" xfId="0" applyFont="1" applyAlignment="1">
      <alignment horizontal="center" vertical="center"/>
    </xf>
    <xf numFmtId="191" fontId="77" fillId="0" borderId="0" xfId="0" applyNumberFormat="1" applyFont="1" applyAlignment="1">
      <alignment horizontal="left"/>
    </xf>
    <xf numFmtId="192" fontId="77" fillId="0" borderId="0" xfId="0" applyNumberFormat="1" applyFont="1" applyAlignment="1">
      <alignment horizontal="left"/>
    </xf>
    <xf numFmtId="193" fontId="77" fillId="0" borderId="0" xfId="0" applyNumberFormat="1" applyFont="1" applyAlignment="1">
      <alignment horizontal="left"/>
    </xf>
    <xf numFmtId="194" fontId="77" fillId="0" borderId="0" xfId="0" applyNumberFormat="1" applyFont="1" applyAlignment="1">
      <alignment horizontal="left"/>
    </xf>
    <xf numFmtId="195" fontId="77" fillId="0" borderId="0" xfId="0" applyNumberFormat="1" applyFont="1" applyAlignment="1">
      <alignment horizontal="left"/>
    </xf>
    <xf numFmtId="196" fontId="77" fillId="0" borderId="0" xfId="0" applyNumberFormat="1" applyFont="1" applyAlignment="1">
      <alignment horizontal="left"/>
    </xf>
    <xf numFmtId="197" fontId="77" fillId="0" borderId="0" xfId="0" applyNumberFormat="1" applyFont="1" applyAlignment="1">
      <alignment horizontal="left"/>
    </xf>
    <xf numFmtId="198" fontId="77" fillId="0" borderId="0" xfId="0" applyNumberFormat="1" applyFont="1" applyAlignment="1">
      <alignment horizontal="left"/>
    </xf>
    <xf numFmtId="9" fontId="77" fillId="0" borderId="0" xfId="0" applyNumberFormat="1" applyFont="1" applyAlignment="1">
      <alignment vertical="center"/>
    </xf>
    <xf numFmtId="199" fontId="77" fillId="0" borderId="0" xfId="0" applyNumberFormat="1" applyFont="1" applyAlignment="1">
      <alignment horizontal="left"/>
    </xf>
    <xf numFmtId="200" fontId="77" fillId="0" borderId="0" xfId="0" applyNumberFormat="1" applyFont="1" applyAlignment="1">
      <alignment horizontal="left"/>
    </xf>
    <xf numFmtId="201" fontId="77" fillId="0" borderId="0" xfId="0" applyNumberFormat="1" applyFont="1" applyAlignment="1">
      <alignment horizontal="left"/>
    </xf>
    <xf numFmtId="202" fontId="77" fillId="0" borderId="0" xfId="0" applyNumberFormat="1" applyFont="1" applyAlignment="1">
      <alignment horizontal="left"/>
    </xf>
    <xf numFmtId="203" fontId="77" fillId="0" borderId="0" xfId="0" applyNumberFormat="1" applyFont="1" applyAlignment="1">
      <alignment horizontal="left"/>
    </xf>
    <xf numFmtId="204" fontId="77" fillId="0" borderId="0" xfId="0" applyNumberFormat="1" applyFont="1" applyAlignment="1">
      <alignment horizontal="left"/>
    </xf>
    <xf numFmtId="205" fontId="77" fillId="0" borderId="0" xfId="0" applyNumberFormat="1" applyFont="1" applyAlignment="1">
      <alignment horizontal="left"/>
    </xf>
    <xf numFmtId="206" fontId="77" fillId="0" borderId="0" xfId="0" applyNumberFormat="1" applyFont="1" applyAlignment="1">
      <alignment horizontal="left"/>
    </xf>
    <xf numFmtId="167" fontId="78" fillId="0" borderId="0" xfId="1" applyNumberFormat="1" applyFont="1" applyAlignment="1">
      <alignment horizontal="right" vertical="center"/>
    </xf>
    <xf numFmtId="167" fontId="77" fillId="0" borderId="0" xfId="1" applyNumberFormat="1" applyFont="1" applyAlignment="1">
      <alignment horizontal="right" vertical="center"/>
    </xf>
    <xf numFmtId="207" fontId="77" fillId="0" borderId="0" xfId="0" applyNumberFormat="1" applyFont="1" applyAlignment="1">
      <alignment horizontal="left"/>
    </xf>
    <xf numFmtId="208" fontId="77" fillId="0" borderId="0" xfId="0" applyNumberFormat="1" applyFont="1" applyAlignment="1">
      <alignment horizontal="left"/>
    </xf>
    <xf numFmtId="0" fontId="92" fillId="0" borderId="0" xfId="0" applyFont="1" applyAlignment="1">
      <alignment vertical="center"/>
    </xf>
    <xf numFmtId="233" fontId="84" fillId="0" borderId="0" xfId="0" applyNumberFormat="1" applyFont="1" applyAlignment="1">
      <alignment horizontal="center"/>
    </xf>
    <xf numFmtId="209" fontId="77" fillId="0" borderId="0" xfId="0" applyNumberFormat="1" applyFont="1" applyAlignment="1">
      <alignment horizontal="left"/>
    </xf>
    <xf numFmtId="210" fontId="77" fillId="0" borderId="0" xfId="0" applyNumberFormat="1" applyFont="1" applyAlignment="1">
      <alignment horizontal="left"/>
    </xf>
    <xf numFmtId="211" fontId="77" fillId="0" borderId="0" xfId="0" applyNumberFormat="1" applyFont="1" applyAlignment="1">
      <alignment horizontal="left" vertical="center"/>
    </xf>
    <xf numFmtId="212" fontId="77" fillId="0" borderId="0" xfId="0" applyNumberFormat="1" applyFont="1" applyAlignment="1">
      <alignment horizontal="left"/>
    </xf>
    <xf numFmtId="164" fontId="77" fillId="0" borderId="0" xfId="0" applyNumberFormat="1" applyFont="1" applyAlignment="1">
      <alignment horizontal="center"/>
    </xf>
    <xf numFmtId="234" fontId="77" fillId="0" borderId="0" xfId="1" applyNumberFormat="1" applyFont="1" applyAlignment="1">
      <alignment vertical="center"/>
    </xf>
    <xf numFmtId="213" fontId="77" fillId="0" borderId="0" xfId="0" applyNumberFormat="1" applyFont="1" applyAlignment="1">
      <alignment horizontal="left"/>
    </xf>
    <xf numFmtId="164" fontId="79" fillId="0" borderId="0" xfId="0" applyNumberFormat="1" applyFont="1"/>
    <xf numFmtId="164" fontId="83" fillId="0" borderId="0" xfId="0" applyNumberFormat="1" applyFont="1"/>
    <xf numFmtId="164" fontId="85" fillId="4" borderId="3" xfId="0" applyNumberFormat="1" applyFont="1" applyFill="1" applyBorder="1" applyAlignment="1">
      <alignment vertical="center"/>
    </xf>
    <xf numFmtId="164" fontId="85" fillId="3" borderId="3" xfId="0" applyNumberFormat="1" applyFont="1" applyFill="1" applyBorder="1" applyAlignment="1">
      <alignment vertical="center"/>
    </xf>
    <xf numFmtId="164" fontId="95" fillId="0" borderId="0" xfId="0" applyNumberFormat="1" applyFont="1" applyAlignment="1">
      <alignment horizontal="center" vertical="center"/>
    </xf>
    <xf numFmtId="164" fontId="96" fillId="4" borderId="3" xfId="0" applyNumberFormat="1" applyFont="1" applyFill="1" applyBorder="1" applyAlignment="1">
      <alignment vertical="center"/>
    </xf>
    <xf numFmtId="164" fontId="95" fillId="0" borderId="0" xfId="1" applyNumberFormat="1" applyFont="1" applyAlignment="1">
      <alignment horizontal="center" vertical="center"/>
    </xf>
    <xf numFmtId="10" fontId="77" fillId="0" borderId="0" xfId="1" applyNumberFormat="1" applyFont="1" applyAlignment="1">
      <alignment vertical="center"/>
    </xf>
    <xf numFmtId="0" fontId="95" fillId="0" borderId="0" xfId="0" applyFont="1" applyAlignment="1">
      <alignment horizontal="center" vertical="center"/>
    </xf>
    <xf numFmtId="0" fontId="95" fillId="0" borderId="0" xfId="0" applyFont="1" applyAlignment="1">
      <alignment horizontal="center"/>
    </xf>
    <xf numFmtId="0" fontId="97" fillId="10" borderId="0" xfId="0" applyFont="1" applyFill="1" applyAlignment="1">
      <alignment horizontal="center" vertical="center"/>
    </xf>
    <xf numFmtId="164" fontId="77" fillId="0" borderId="0" xfId="0" quotePrefix="1" applyNumberFormat="1" applyFont="1" applyAlignment="1">
      <alignment vertical="center"/>
    </xf>
    <xf numFmtId="0" fontId="92" fillId="0" borderId="0" xfId="0" applyFont="1"/>
    <xf numFmtId="174" fontId="77" fillId="0" borderId="0" xfId="0" applyNumberFormat="1" applyFont="1" applyAlignment="1">
      <alignment horizontal="center" vertical="center"/>
    </xf>
    <xf numFmtId="164" fontId="71" fillId="3" borderId="0" xfId="0" applyNumberFormat="1" applyFont="1" applyFill="1" applyAlignment="1">
      <alignment vertical="center"/>
    </xf>
    <xf numFmtId="164" fontId="36" fillId="5" borderId="2" xfId="0" applyNumberFormat="1" applyFont="1" applyFill="1" applyBorder="1" applyAlignment="1">
      <alignment vertical="center"/>
    </xf>
    <xf numFmtId="164" fontId="36" fillId="3" borderId="3" xfId="0" applyNumberFormat="1" applyFont="1" applyFill="1" applyBorder="1" applyAlignment="1">
      <alignment vertical="center"/>
    </xf>
    <xf numFmtId="164" fontId="36" fillId="6" borderId="2" xfId="0" applyNumberFormat="1" applyFont="1" applyFill="1" applyBorder="1" applyAlignment="1">
      <alignment vertical="center"/>
    </xf>
    <xf numFmtId="164" fontId="96" fillId="5" borderId="2" xfId="0" applyNumberFormat="1" applyFont="1" applyFill="1" applyBorder="1" applyAlignment="1">
      <alignment vertical="center"/>
    </xf>
    <xf numFmtId="164" fontId="96" fillId="3" borderId="3" xfId="0" applyNumberFormat="1" applyFont="1" applyFill="1" applyBorder="1" applyAlignment="1">
      <alignment vertical="center"/>
    </xf>
    <xf numFmtId="164" fontId="96" fillId="6" borderId="2" xfId="0" applyNumberFormat="1" applyFont="1" applyFill="1" applyBorder="1" applyAlignment="1">
      <alignment vertical="center"/>
    </xf>
    <xf numFmtId="164" fontId="71" fillId="0" borderId="0" xfId="0" applyNumberFormat="1" applyFont="1" applyAlignment="1">
      <alignment horizontal="right" vertical="center"/>
    </xf>
    <xf numFmtId="164" fontId="78" fillId="0" borderId="0" xfId="0" applyNumberFormat="1" applyFont="1" applyAlignment="1">
      <alignment horizontal="right" vertical="center"/>
    </xf>
    <xf numFmtId="218" fontId="15" fillId="0" borderId="0" xfId="0" applyNumberFormat="1" applyFont="1" applyAlignment="1">
      <alignment horizontal="left" vertical="center"/>
    </xf>
    <xf numFmtId="218" fontId="71" fillId="0" borderId="0" xfId="0" applyNumberFormat="1" applyFont="1" applyAlignment="1">
      <alignment horizontal="left" vertical="center"/>
    </xf>
    <xf numFmtId="164" fontId="72" fillId="0" borderId="3" xfId="0" applyNumberFormat="1" applyFont="1" applyBorder="1" applyAlignment="1">
      <alignment vertical="center"/>
    </xf>
    <xf numFmtId="219" fontId="15" fillId="0" borderId="0" xfId="0" applyNumberFormat="1" applyFont="1" applyAlignment="1">
      <alignment horizontal="left"/>
    </xf>
    <xf numFmtId="219" fontId="71" fillId="0" borderId="0" xfId="0" applyNumberFormat="1" applyFont="1" applyAlignment="1">
      <alignment horizontal="left"/>
    </xf>
    <xf numFmtId="167" fontId="17" fillId="2" borderId="0" xfId="1" applyNumberFormat="1" applyFont="1" applyFill="1" applyAlignment="1">
      <alignment horizontal="right" vertical="center"/>
    </xf>
    <xf numFmtId="224" fontId="11" fillId="0" borderId="0" xfId="1" applyNumberFormat="1" applyFont="1" applyAlignment="1">
      <alignment vertical="center"/>
    </xf>
    <xf numFmtId="224" fontId="12" fillId="0" borderId="0" xfId="1" applyNumberFormat="1" applyFont="1" applyAlignment="1">
      <alignment horizontal="right" vertical="center"/>
    </xf>
    <xf numFmtId="224" fontId="12" fillId="5" borderId="2" xfId="1" applyNumberFormat="1" applyFont="1" applyFill="1" applyBorder="1" applyAlignment="1">
      <alignment vertical="center"/>
    </xf>
    <xf numFmtId="224" fontId="12" fillId="6" borderId="2" xfId="1" applyNumberFormat="1" applyFont="1" applyFill="1" applyBorder="1" applyAlignment="1">
      <alignment vertical="center"/>
    </xf>
    <xf numFmtId="224" fontId="12" fillId="0" borderId="0" xfId="1" applyNumberFormat="1" applyFont="1" applyAlignment="1">
      <alignment vertical="center"/>
    </xf>
    <xf numFmtId="224" fontId="57" fillId="0" borderId="0" xfId="1" applyNumberFormat="1" applyFont="1" applyAlignment="1">
      <alignment vertical="center"/>
    </xf>
    <xf numFmtId="240" fontId="11" fillId="0" borderId="0" xfId="1" applyNumberFormat="1" applyFont="1" applyAlignment="1">
      <alignment vertical="center"/>
    </xf>
    <xf numFmtId="0" fontId="11" fillId="0" borderId="0" xfId="0" applyFont="1" applyAlignment="1">
      <alignment horizontal="left" vertical="center" indent="1"/>
    </xf>
    <xf numFmtId="174" fontId="11" fillId="4" borderId="0" xfId="0" applyNumberFormat="1" applyFont="1" applyFill="1" applyAlignment="1">
      <alignment vertical="center"/>
    </xf>
    <xf numFmtId="0" fontId="57" fillId="0" borderId="9" xfId="0" applyFont="1" applyBorder="1" applyAlignment="1">
      <alignment vertical="top" wrapText="1"/>
    </xf>
    <xf numFmtId="0" fontId="57" fillId="0" borderId="3" xfId="0" applyFont="1" applyBorder="1" applyAlignment="1">
      <alignment vertical="top" wrapText="1"/>
    </xf>
    <xf numFmtId="0" fontId="57" fillId="0" borderId="10" xfId="0" applyFont="1" applyBorder="1" applyAlignment="1">
      <alignment vertical="top" wrapText="1"/>
    </xf>
    <xf numFmtId="0" fontId="57" fillId="0" borderId="11" xfId="0" applyFont="1" applyBorder="1" applyAlignment="1">
      <alignment vertical="top" wrapText="1"/>
    </xf>
    <xf numFmtId="0" fontId="57" fillId="0" borderId="0" xfId="0" applyFont="1" applyAlignment="1">
      <alignment vertical="top" wrapText="1"/>
    </xf>
    <xf numFmtId="0" fontId="57" fillId="0" borderId="5" xfId="0" applyFont="1" applyBorder="1" applyAlignment="1">
      <alignment vertical="top" wrapText="1"/>
    </xf>
    <xf numFmtId="0" fontId="57" fillId="0" borderId="15" xfId="0" applyFont="1" applyBorder="1" applyAlignment="1">
      <alignment vertical="top" wrapText="1"/>
    </xf>
    <xf numFmtId="0" fontId="57" fillId="0" borderId="1" xfId="0" applyFont="1" applyBorder="1" applyAlignment="1">
      <alignment vertical="top" wrapText="1"/>
    </xf>
    <xf numFmtId="0" fontId="57" fillId="0" borderId="16" xfId="0" applyFont="1" applyBorder="1" applyAlignment="1">
      <alignment vertical="top" wrapText="1"/>
    </xf>
  </cellXfs>
  <cellStyles count="32">
    <cellStyle name="Accent1 2" xfId="12" xr:uid="{F56C1C25-0B85-432C-9C2D-52C8E9D2226D}"/>
    <cellStyle name="Comma 2" xfId="4" xr:uid="{E66B8E1B-CBE4-4ADB-AAAA-AD8F617D3E82}"/>
    <cellStyle name="Comma 4" xfId="31" xr:uid="{ED70093F-9816-4F7B-8A33-7E7699B297D8}"/>
    <cellStyle name="Date Long" xfId="13" xr:uid="{0AB06342-5EB0-42FD-A133-FA91DBA97E08}"/>
    <cellStyle name="Date Short" xfId="15" xr:uid="{B3D45612-76DA-4264-9D55-B6005A3783CA}"/>
    <cellStyle name="Heading 1 2" xfId="5" xr:uid="{08B4E6E1-3DDC-47B1-BE3E-8BBF4563A1C1}"/>
    <cellStyle name="Heading 2 2" xfId="7" xr:uid="{CCFF8B27-A22E-40FC-836F-93D2EB627B7C}"/>
    <cellStyle name="Heading 3 2" xfId="9" xr:uid="{D0319CB9-DDD9-4D82-A885-F6D511088A9E}"/>
    <cellStyle name="Hyperlink 2" xfId="8" xr:uid="{C433057B-BE93-4B22-95B1-12BD327CC063}"/>
    <cellStyle name="Normal" xfId="0" builtinId="0"/>
    <cellStyle name="Normal 16 2" xfId="21" xr:uid="{0EF2BDBE-9EEA-44FE-9C64-59310BF42238}"/>
    <cellStyle name="Normal 16 2 2" xfId="22" xr:uid="{31365764-2732-493A-B019-8D50C3871301}"/>
    <cellStyle name="Normal 16 2 3" xfId="23" xr:uid="{F29A79F4-AE9D-4F1C-9789-02C589942997}"/>
    <cellStyle name="Normal 2" xfId="2" xr:uid="{8458633F-D474-487A-A81F-2AA64EDCFFD0}"/>
    <cellStyle name="Normal 2 3" xfId="6" xr:uid="{A5336629-EF28-43FC-9D95-E793BCD86B8D}"/>
    <cellStyle name="Normal 2 3 6" xfId="17" xr:uid="{D01C857D-D24C-4D5D-859D-ABE37FE3F4FB}"/>
    <cellStyle name="Normal 2 3 6 2" xfId="20" xr:uid="{1F990487-0127-4C39-810D-FB1500F838C5}"/>
    <cellStyle name="Normal 2 4 4" xfId="18" xr:uid="{C47369C1-90C3-4F60-A17C-FCA9BEECB585}"/>
    <cellStyle name="Normal 21 31" xfId="26" xr:uid="{D9D4E901-4084-46FD-9D63-9B4485C5876C}"/>
    <cellStyle name="Normal 3" xfId="10" xr:uid="{9288C9EE-583C-4007-84E2-9684659205F9}"/>
    <cellStyle name="Normal 3 3" xfId="19" xr:uid="{DD067C69-D038-4B74-9699-3F97A55F37EE}"/>
    <cellStyle name="Normal 4" xfId="16" xr:uid="{5CEB63A8-0198-46AA-803E-AC1F7EE17CF4}"/>
    <cellStyle name="Normal 5" xfId="27" xr:uid="{C3C312CE-2458-4EFD-81DE-7C1E9568F517}"/>
    <cellStyle name="Normal 7 2" xfId="24" xr:uid="{21BF7AD3-9448-4230-BA0A-733AB07AD8C2}"/>
    <cellStyle name="Percent" xfId="1" builtinId="5"/>
    <cellStyle name="Percent 2" xfId="3" xr:uid="{C2E1C6A6-47C7-42A5-8B8E-618EB32DF4D2}"/>
    <cellStyle name="Percent 3" xfId="28" xr:uid="{74F35794-7F41-4A5A-9520-C2EE949646BA}"/>
    <cellStyle name="Percent 37" xfId="25" xr:uid="{ED779500-9483-4AA1-97A4-511F57893D96}"/>
    <cellStyle name="Smart Subtitle 1 2" xfId="29" xr:uid="{FCDE3C90-3A46-4E84-92D5-2A8AA20D42E3}"/>
    <cellStyle name="Smart Total" xfId="30" xr:uid="{C4DBF151-6A41-4F68-B61A-0F3EC90D36CC}"/>
    <cellStyle name="Thousands" xfId="11" xr:uid="{996EB7E4-6778-47C8-9D4E-BFDB6092F2D3}"/>
    <cellStyle name="Yes_No" xfId="14" xr:uid="{0FB86DE7-A8BE-4FCF-8AEF-DCD9D71F96C7}"/>
  </cellStyles>
  <dxfs count="0"/>
  <tableStyles count="0" defaultTableStyle="TableStyleMedium2" defaultPivotStyle="PivotStyleLight16"/>
  <colors>
    <mruColors>
      <color rgb="FF808080"/>
      <color rgb="FFF2F2F2"/>
      <color rgb="FF0000FF"/>
      <color rgb="FF001641"/>
      <color rgb="FF1B6CA1"/>
      <color rgb="FF8BD5EA"/>
      <color rgb="FF129DA7"/>
      <color rgb="FFD5DBE0"/>
      <color rgb="FF002C43"/>
      <color rgb="FF00ABD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28"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 Id="rId27" Type="http://schemas.openxmlformats.org/officeDocument/2006/relationships/customXml" Target="../customXml/item1.xml"/></Relationships>
</file>

<file path=xl/theme/theme1.xml><?xml version="1.0" encoding="utf-8"?>
<a:theme xmlns:a="http://schemas.openxmlformats.org/drawingml/2006/main" name="pub25">
  <a:themeElements>
    <a:clrScheme name="Platinum 2">
      <a:dk1>
        <a:srgbClr val="0F0F10"/>
      </a:dk1>
      <a:lt1>
        <a:srgbClr val="FFFFFF"/>
      </a:lt1>
      <a:dk2>
        <a:srgbClr val="002C43"/>
      </a:dk2>
      <a:lt2>
        <a:srgbClr val="E1E8E5"/>
      </a:lt2>
      <a:accent1>
        <a:srgbClr val="3F4A55"/>
      </a:accent1>
      <a:accent2>
        <a:srgbClr val="004A55"/>
      </a:accent2>
      <a:accent3>
        <a:srgbClr val="129DA7"/>
      </a:accent3>
      <a:accent4>
        <a:srgbClr val="807384"/>
      </a:accent4>
      <a:accent5>
        <a:srgbClr val="B4B3B4"/>
      </a:accent5>
      <a:accent6>
        <a:srgbClr val="1A748E"/>
      </a:accent6>
      <a:hlink>
        <a:srgbClr val="0000FF"/>
      </a:hlink>
      <a:folHlink>
        <a:srgbClr val="800080"/>
      </a:folHlink>
    </a:clrScheme>
    <a:fontScheme name="IvyPresto Headline">
      <a:majorFont>
        <a:latin typeface="IvyPresto Headline Light"/>
        <a:ea typeface=""/>
        <a:cs typeface=""/>
      </a:majorFont>
      <a:minorFont>
        <a:latin typeface="Century Gothic"/>
        <a:ea typeface=""/>
        <a:cs typeface=""/>
      </a:minorFont>
    </a:fontScheme>
    <a:fmtScheme name="Office Them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solidFill>
          <a:schemeClr val="tx1"/>
        </a:solidFill>
        <a:ln>
          <a:noFill/>
        </a:ln>
      </a:spPr>
      <a:bodyPr rtlCol="0" anchor="ctr"/>
      <a:lstStyle>
        <a:defPPr algn="ctr">
          <a:defRPr/>
        </a:defPPr>
      </a:lstStyle>
      <a:style>
        <a:lnRef idx="2">
          <a:schemeClr val="accent1">
            <a:shade val="50000"/>
          </a:schemeClr>
        </a:lnRef>
        <a:fillRef idx="1">
          <a:schemeClr val="accent1"/>
        </a:fillRef>
        <a:effectRef idx="0">
          <a:schemeClr val="accent1"/>
        </a:effectRef>
        <a:fontRef idx="minor">
          <a:schemeClr val="lt1"/>
        </a:fontRef>
      </a:style>
    </a:spDef>
    <a:lnDef>
      <a:spPr>
        <a:ln>
          <a:solidFill>
            <a:schemeClr val="tx1"/>
          </a:solidFill>
        </a:ln>
      </a:spPr>
      <a:bodyPr/>
      <a:lstStyle/>
      <a:style>
        <a:lnRef idx="1">
          <a:schemeClr val="accent1"/>
        </a:lnRef>
        <a:fillRef idx="0">
          <a:schemeClr val="accent1"/>
        </a:fillRef>
        <a:effectRef idx="0">
          <a:schemeClr val="accent1"/>
        </a:effectRef>
        <a:fontRef idx="minor">
          <a:schemeClr val="tx1"/>
        </a:fontRef>
      </a:style>
    </a:lnDef>
    <a:txDef>
      <a:spPr>
        <a:noFill/>
      </a:spPr>
      <a:bodyPr wrap="square" lIns="0" tIns="0" rIns="0" bIns="0" rtlCol="0">
        <a:spAutoFit/>
      </a:bodyPr>
      <a:lstStyle>
        <a:defPPr algn="l">
          <a:lnSpc>
            <a:spcPct val="110000"/>
          </a:lnSpc>
          <a:spcAft>
            <a:spcPts val="500"/>
          </a:spcAft>
          <a:defRPr sz="1000" dirty="0" err="1" smtClean="0"/>
        </a:defPPr>
      </a:lstStyle>
    </a:txDef>
  </a:objectDefaults>
  <a:extraClrSchemeLst/>
  <a:extLst>
    <a:ext uri="{05A4C25C-085E-4340-85A3-A5531E510DB2}">
      <thm15:themeFamily xmlns:thm15="http://schemas.microsoft.com/office/thememl/2012/main" name="pub25" id="{C16A3C6E-55CD-4B21-B3FF-EFE7C2347524}" vid="{E2AF2C8B-72F4-4B48-8A3C-57B2698A13AB}"/>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1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337B2D04-F288-4D69-8922-9F223097DA48}">
  <we:reference id="cba9fc06-6fc9-492e-9525-923870a3b909" version="1.0.0.0" store="EXCatalog" storeType="EXCatalog"/>
  <we:alternateReferences>
    <we:reference id="WA200010215" version="1.0.0.0" store="en-US" storeType="OMEX"/>
  </we:alternateReferences>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34B322-3EF2-4E49-B9C1-4E72F082FC07}">
  <dimension ref="A1:V39"/>
  <sheetViews>
    <sheetView showGridLines="0" tabSelected="1" workbookViewId="0"/>
  </sheetViews>
  <sheetFormatPr defaultColWidth="0" defaultRowHeight="13.5" zeroHeight="1" x14ac:dyDescent="0.2"/>
  <cols>
    <col min="1" max="1" width="3.33203125" style="420" customWidth="1"/>
    <col min="2" max="20" width="9.33203125" style="420" customWidth="1"/>
    <col min="21" max="21" width="3.33203125" style="420" customWidth="1"/>
    <col min="22" max="22" width="5.83203125" style="420" hidden="1" customWidth="1"/>
    <col min="23" max="16384" width="9.33203125" style="420" hidden="1"/>
  </cols>
  <sheetData>
    <row r="1" spans="2:20" x14ac:dyDescent="0.2"/>
    <row r="2" spans="2:20" s="493" customFormat="1" ht="15" x14ac:dyDescent="0.2">
      <c r="B2" s="495" t="s">
        <v>366</v>
      </c>
      <c r="C2" s="494"/>
      <c r="D2" s="494"/>
      <c r="E2" s="494"/>
      <c r="F2" s="494"/>
      <c r="G2" s="494"/>
      <c r="H2" s="494"/>
      <c r="I2" s="494"/>
      <c r="J2" s="494"/>
      <c r="K2" s="494"/>
      <c r="L2" s="494"/>
      <c r="M2" s="494"/>
      <c r="N2" s="494"/>
      <c r="O2" s="494"/>
      <c r="P2" s="494"/>
      <c r="Q2" s="494"/>
      <c r="R2" s="494"/>
      <c r="S2" s="494"/>
      <c r="T2" s="494"/>
    </row>
    <row r="3" spans="2:20" s="493" customFormat="1" x14ac:dyDescent="0.2"/>
    <row r="4" spans="2:20" x14ac:dyDescent="0.2">
      <c r="B4" s="694" t="s">
        <v>365</v>
      </c>
      <c r="C4" s="695"/>
      <c r="D4" s="695"/>
      <c r="E4" s="695"/>
      <c r="F4" s="695"/>
      <c r="G4" s="695"/>
      <c r="H4" s="695"/>
      <c r="I4" s="695"/>
      <c r="J4" s="695"/>
      <c r="K4" s="695"/>
      <c r="L4" s="695"/>
      <c r="M4" s="695"/>
      <c r="N4" s="695"/>
      <c r="O4" s="695"/>
      <c r="P4" s="695"/>
      <c r="Q4" s="695"/>
      <c r="R4" s="695"/>
      <c r="S4" s="695"/>
      <c r="T4" s="696"/>
    </row>
    <row r="5" spans="2:20" x14ac:dyDescent="0.2">
      <c r="B5" s="697"/>
      <c r="C5" s="698"/>
      <c r="D5" s="698"/>
      <c r="E5" s="698"/>
      <c r="F5" s="698"/>
      <c r="G5" s="698"/>
      <c r="H5" s="698"/>
      <c r="I5" s="698"/>
      <c r="J5" s="698"/>
      <c r="K5" s="698"/>
      <c r="L5" s="698"/>
      <c r="M5" s="698"/>
      <c r="N5" s="698"/>
      <c r="O5" s="698"/>
      <c r="P5" s="698"/>
      <c r="Q5" s="698"/>
      <c r="R5" s="698"/>
      <c r="S5" s="698"/>
      <c r="T5" s="699"/>
    </row>
    <row r="6" spans="2:20" x14ac:dyDescent="0.2">
      <c r="B6" s="697"/>
      <c r="C6" s="698"/>
      <c r="D6" s="698"/>
      <c r="E6" s="698"/>
      <c r="F6" s="698"/>
      <c r="G6" s="698"/>
      <c r="H6" s="698"/>
      <c r="I6" s="698"/>
      <c r="J6" s="698"/>
      <c r="K6" s="698"/>
      <c r="L6" s="698"/>
      <c r="M6" s="698"/>
      <c r="N6" s="698"/>
      <c r="O6" s="698"/>
      <c r="P6" s="698"/>
      <c r="Q6" s="698"/>
      <c r="R6" s="698"/>
      <c r="S6" s="698"/>
      <c r="T6" s="699"/>
    </row>
    <row r="7" spans="2:20" x14ac:dyDescent="0.2">
      <c r="B7" s="697"/>
      <c r="C7" s="698"/>
      <c r="D7" s="698"/>
      <c r="E7" s="698"/>
      <c r="F7" s="698"/>
      <c r="G7" s="698"/>
      <c r="H7" s="698"/>
      <c r="I7" s="698"/>
      <c r="J7" s="698"/>
      <c r="K7" s="698"/>
      <c r="L7" s="698"/>
      <c r="M7" s="698"/>
      <c r="N7" s="698"/>
      <c r="O7" s="698"/>
      <c r="P7" s="698"/>
      <c r="Q7" s="698"/>
      <c r="R7" s="698"/>
      <c r="S7" s="698"/>
      <c r="T7" s="699"/>
    </row>
    <row r="8" spans="2:20" x14ac:dyDescent="0.2">
      <c r="B8" s="697"/>
      <c r="C8" s="698"/>
      <c r="D8" s="698"/>
      <c r="E8" s="698"/>
      <c r="F8" s="698"/>
      <c r="G8" s="698"/>
      <c r="H8" s="698"/>
      <c r="I8" s="698"/>
      <c r="J8" s="698"/>
      <c r="K8" s="698"/>
      <c r="L8" s="698"/>
      <c r="M8" s="698"/>
      <c r="N8" s="698"/>
      <c r="O8" s="698"/>
      <c r="P8" s="698"/>
      <c r="Q8" s="698"/>
      <c r="R8" s="698"/>
      <c r="S8" s="698"/>
      <c r="T8" s="699"/>
    </row>
    <row r="9" spans="2:20" x14ac:dyDescent="0.2">
      <c r="B9" s="697"/>
      <c r="C9" s="698"/>
      <c r="D9" s="698"/>
      <c r="E9" s="698"/>
      <c r="F9" s="698"/>
      <c r="G9" s="698"/>
      <c r="H9" s="698"/>
      <c r="I9" s="698"/>
      <c r="J9" s="698"/>
      <c r="K9" s="698"/>
      <c r="L9" s="698"/>
      <c r="M9" s="698"/>
      <c r="N9" s="698"/>
      <c r="O9" s="698"/>
      <c r="P9" s="698"/>
      <c r="Q9" s="698"/>
      <c r="R9" s="698"/>
      <c r="S9" s="698"/>
      <c r="T9" s="699"/>
    </row>
    <row r="10" spans="2:20" x14ac:dyDescent="0.2">
      <c r="B10" s="697"/>
      <c r="C10" s="698"/>
      <c r="D10" s="698"/>
      <c r="E10" s="698"/>
      <c r="F10" s="698"/>
      <c r="G10" s="698"/>
      <c r="H10" s="698"/>
      <c r="I10" s="698"/>
      <c r="J10" s="698"/>
      <c r="K10" s="698"/>
      <c r="L10" s="698"/>
      <c r="M10" s="698"/>
      <c r="N10" s="698"/>
      <c r="O10" s="698"/>
      <c r="P10" s="698"/>
      <c r="Q10" s="698"/>
      <c r="R10" s="698"/>
      <c r="S10" s="698"/>
      <c r="T10" s="699"/>
    </row>
    <row r="11" spans="2:20" x14ac:dyDescent="0.2">
      <c r="B11" s="697"/>
      <c r="C11" s="698"/>
      <c r="D11" s="698"/>
      <c r="E11" s="698"/>
      <c r="F11" s="698"/>
      <c r="G11" s="698"/>
      <c r="H11" s="698"/>
      <c r="I11" s="698"/>
      <c r="J11" s="698"/>
      <c r="K11" s="698"/>
      <c r="L11" s="698"/>
      <c r="M11" s="698"/>
      <c r="N11" s="698"/>
      <c r="O11" s="698"/>
      <c r="P11" s="698"/>
      <c r="Q11" s="698"/>
      <c r="R11" s="698"/>
      <c r="S11" s="698"/>
      <c r="T11" s="699"/>
    </row>
    <row r="12" spans="2:20" x14ac:dyDescent="0.2">
      <c r="B12" s="697"/>
      <c r="C12" s="698"/>
      <c r="D12" s="698"/>
      <c r="E12" s="698"/>
      <c r="F12" s="698"/>
      <c r="G12" s="698"/>
      <c r="H12" s="698"/>
      <c r="I12" s="698"/>
      <c r="J12" s="698"/>
      <c r="K12" s="698"/>
      <c r="L12" s="698"/>
      <c r="M12" s="698"/>
      <c r="N12" s="698"/>
      <c r="O12" s="698"/>
      <c r="P12" s="698"/>
      <c r="Q12" s="698"/>
      <c r="R12" s="698"/>
      <c r="S12" s="698"/>
      <c r="T12" s="699"/>
    </row>
    <row r="13" spans="2:20" x14ac:dyDescent="0.2">
      <c r="B13" s="697"/>
      <c r="C13" s="698"/>
      <c r="D13" s="698"/>
      <c r="E13" s="698"/>
      <c r="F13" s="698"/>
      <c r="G13" s="698"/>
      <c r="H13" s="698"/>
      <c r="I13" s="698"/>
      <c r="J13" s="698"/>
      <c r="K13" s="698"/>
      <c r="L13" s="698"/>
      <c r="M13" s="698"/>
      <c r="N13" s="698"/>
      <c r="O13" s="698"/>
      <c r="P13" s="698"/>
      <c r="Q13" s="698"/>
      <c r="R13" s="698"/>
      <c r="S13" s="698"/>
      <c r="T13" s="699"/>
    </row>
    <row r="14" spans="2:20" x14ac:dyDescent="0.2">
      <c r="B14" s="697"/>
      <c r="C14" s="698"/>
      <c r="D14" s="698"/>
      <c r="E14" s="698"/>
      <c r="F14" s="698"/>
      <c r="G14" s="698"/>
      <c r="H14" s="698"/>
      <c r="I14" s="698"/>
      <c r="J14" s="698"/>
      <c r="K14" s="698"/>
      <c r="L14" s="698"/>
      <c r="M14" s="698"/>
      <c r="N14" s="698"/>
      <c r="O14" s="698"/>
      <c r="P14" s="698"/>
      <c r="Q14" s="698"/>
      <c r="R14" s="698"/>
      <c r="S14" s="698"/>
      <c r="T14" s="699"/>
    </row>
    <row r="15" spans="2:20" x14ac:dyDescent="0.2">
      <c r="B15" s="697"/>
      <c r="C15" s="698"/>
      <c r="D15" s="698"/>
      <c r="E15" s="698"/>
      <c r="F15" s="698"/>
      <c r="G15" s="698"/>
      <c r="H15" s="698"/>
      <c r="I15" s="698"/>
      <c r="J15" s="698"/>
      <c r="K15" s="698"/>
      <c r="L15" s="698"/>
      <c r="M15" s="698"/>
      <c r="N15" s="698"/>
      <c r="O15" s="698"/>
      <c r="P15" s="698"/>
      <c r="Q15" s="698"/>
      <c r="R15" s="698"/>
      <c r="S15" s="698"/>
      <c r="T15" s="699"/>
    </row>
    <row r="16" spans="2:20" x14ac:dyDescent="0.2">
      <c r="B16" s="697"/>
      <c r="C16" s="698"/>
      <c r="D16" s="698"/>
      <c r="E16" s="698"/>
      <c r="F16" s="698"/>
      <c r="G16" s="698"/>
      <c r="H16" s="698"/>
      <c r="I16" s="698"/>
      <c r="J16" s="698"/>
      <c r="K16" s="698"/>
      <c r="L16" s="698"/>
      <c r="M16" s="698"/>
      <c r="N16" s="698"/>
      <c r="O16" s="698"/>
      <c r="P16" s="698"/>
      <c r="Q16" s="698"/>
      <c r="R16" s="698"/>
      <c r="S16" s="698"/>
      <c r="T16" s="699"/>
    </row>
    <row r="17" spans="2:20" x14ac:dyDescent="0.2">
      <c r="B17" s="697"/>
      <c r="C17" s="698"/>
      <c r="D17" s="698"/>
      <c r="E17" s="698"/>
      <c r="F17" s="698"/>
      <c r="G17" s="698"/>
      <c r="H17" s="698"/>
      <c r="I17" s="698"/>
      <c r="J17" s="698"/>
      <c r="K17" s="698"/>
      <c r="L17" s="698"/>
      <c r="M17" s="698"/>
      <c r="N17" s="698"/>
      <c r="O17" s="698"/>
      <c r="P17" s="698"/>
      <c r="Q17" s="698"/>
      <c r="R17" s="698"/>
      <c r="S17" s="698"/>
      <c r="T17" s="699"/>
    </row>
    <row r="18" spans="2:20" x14ac:dyDescent="0.2">
      <c r="B18" s="697"/>
      <c r="C18" s="698"/>
      <c r="D18" s="698"/>
      <c r="E18" s="698"/>
      <c r="F18" s="698"/>
      <c r="G18" s="698"/>
      <c r="H18" s="698"/>
      <c r="I18" s="698"/>
      <c r="J18" s="698"/>
      <c r="K18" s="698"/>
      <c r="L18" s="698"/>
      <c r="M18" s="698"/>
      <c r="N18" s="698"/>
      <c r="O18" s="698"/>
      <c r="P18" s="698"/>
      <c r="Q18" s="698"/>
      <c r="R18" s="698"/>
      <c r="S18" s="698"/>
      <c r="T18" s="699"/>
    </row>
    <row r="19" spans="2:20" x14ac:dyDescent="0.2">
      <c r="B19" s="697"/>
      <c r="C19" s="698"/>
      <c r="D19" s="698"/>
      <c r="E19" s="698"/>
      <c r="F19" s="698"/>
      <c r="G19" s="698"/>
      <c r="H19" s="698"/>
      <c r="I19" s="698"/>
      <c r="J19" s="698"/>
      <c r="K19" s="698"/>
      <c r="L19" s="698"/>
      <c r="M19" s="698"/>
      <c r="N19" s="698"/>
      <c r="O19" s="698"/>
      <c r="P19" s="698"/>
      <c r="Q19" s="698"/>
      <c r="R19" s="698"/>
      <c r="S19" s="698"/>
      <c r="T19" s="699"/>
    </row>
    <row r="20" spans="2:20" x14ac:dyDescent="0.2">
      <c r="B20" s="697"/>
      <c r="C20" s="698"/>
      <c r="D20" s="698"/>
      <c r="E20" s="698"/>
      <c r="F20" s="698"/>
      <c r="G20" s="698"/>
      <c r="H20" s="698"/>
      <c r="I20" s="698"/>
      <c r="J20" s="698"/>
      <c r="K20" s="698"/>
      <c r="L20" s="698"/>
      <c r="M20" s="698"/>
      <c r="N20" s="698"/>
      <c r="O20" s="698"/>
      <c r="P20" s="698"/>
      <c r="Q20" s="698"/>
      <c r="R20" s="698"/>
      <c r="S20" s="698"/>
      <c r="T20" s="699"/>
    </row>
    <row r="21" spans="2:20" x14ac:dyDescent="0.2">
      <c r="B21" s="697"/>
      <c r="C21" s="698"/>
      <c r="D21" s="698"/>
      <c r="E21" s="698"/>
      <c r="F21" s="698"/>
      <c r="G21" s="698"/>
      <c r="H21" s="698"/>
      <c r="I21" s="698"/>
      <c r="J21" s="698"/>
      <c r="K21" s="698"/>
      <c r="L21" s="698"/>
      <c r="M21" s="698"/>
      <c r="N21" s="698"/>
      <c r="O21" s="698"/>
      <c r="P21" s="698"/>
      <c r="Q21" s="698"/>
      <c r="R21" s="698"/>
      <c r="S21" s="698"/>
      <c r="T21" s="699"/>
    </row>
    <row r="22" spans="2:20" x14ac:dyDescent="0.2">
      <c r="B22" s="697"/>
      <c r="C22" s="698"/>
      <c r="D22" s="698"/>
      <c r="E22" s="698"/>
      <c r="F22" s="698"/>
      <c r="G22" s="698"/>
      <c r="H22" s="698"/>
      <c r="I22" s="698"/>
      <c r="J22" s="698"/>
      <c r="K22" s="698"/>
      <c r="L22" s="698"/>
      <c r="M22" s="698"/>
      <c r="N22" s="698"/>
      <c r="O22" s="698"/>
      <c r="P22" s="698"/>
      <c r="Q22" s="698"/>
      <c r="R22" s="698"/>
      <c r="S22" s="698"/>
      <c r="T22" s="699"/>
    </row>
    <row r="23" spans="2:20" x14ac:dyDescent="0.2">
      <c r="B23" s="697"/>
      <c r="C23" s="698"/>
      <c r="D23" s="698"/>
      <c r="E23" s="698"/>
      <c r="F23" s="698"/>
      <c r="G23" s="698"/>
      <c r="H23" s="698"/>
      <c r="I23" s="698"/>
      <c r="J23" s="698"/>
      <c r="K23" s="698"/>
      <c r="L23" s="698"/>
      <c r="M23" s="698"/>
      <c r="N23" s="698"/>
      <c r="O23" s="698"/>
      <c r="P23" s="698"/>
      <c r="Q23" s="698"/>
      <c r="R23" s="698"/>
      <c r="S23" s="698"/>
      <c r="T23" s="699"/>
    </row>
    <row r="24" spans="2:20" x14ac:dyDescent="0.2">
      <c r="B24" s="697"/>
      <c r="C24" s="698"/>
      <c r="D24" s="698"/>
      <c r="E24" s="698"/>
      <c r="F24" s="698"/>
      <c r="G24" s="698"/>
      <c r="H24" s="698"/>
      <c r="I24" s="698"/>
      <c r="J24" s="698"/>
      <c r="K24" s="698"/>
      <c r="L24" s="698"/>
      <c r="M24" s="698"/>
      <c r="N24" s="698"/>
      <c r="O24" s="698"/>
      <c r="P24" s="698"/>
      <c r="Q24" s="698"/>
      <c r="R24" s="698"/>
      <c r="S24" s="698"/>
      <c r="T24" s="699"/>
    </row>
    <row r="25" spans="2:20" x14ac:dyDescent="0.2">
      <c r="B25" s="697"/>
      <c r="C25" s="698"/>
      <c r="D25" s="698"/>
      <c r="E25" s="698"/>
      <c r="F25" s="698"/>
      <c r="G25" s="698"/>
      <c r="H25" s="698"/>
      <c r="I25" s="698"/>
      <c r="J25" s="698"/>
      <c r="K25" s="698"/>
      <c r="L25" s="698"/>
      <c r="M25" s="698"/>
      <c r="N25" s="698"/>
      <c r="O25" s="698"/>
      <c r="P25" s="698"/>
      <c r="Q25" s="698"/>
      <c r="R25" s="698"/>
      <c r="S25" s="698"/>
      <c r="T25" s="699"/>
    </row>
    <row r="26" spans="2:20" x14ac:dyDescent="0.2">
      <c r="B26" s="697"/>
      <c r="C26" s="698"/>
      <c r="D26" s="698"/>
      <c r="E26" s="698"/>
      <c r="F26" s="698"/>
      <c r="G26" s="698"/>
      <c r="H26" s="698"/>
      <c r="I26" s="698"/>
      <c r="J26" s="698"/>
      <c r="K26" s="698"/>
      <c r="L26" s="698"/>
      <c r="M26" s="698"/>
      <c r="N26" s="698"/>
      <c r="O26" s="698"/>
      <c r="P26" s="698"/>
      <c r="Q26" s="698"/>
      <c r="R26" s="698"/>
      <c r="S26" s="698"/>
      <c r="T26" s="699"/>
    </row>
    <row r="27" spans="2:20" x14ac:dyDescent="0.2">
      <c r="B27" s="697"/>
      <c r="C27" s="698"/>
      <c r="D27" s="698"/>
      <c r="E27" s="698"/>
      <c r="F27" s="698"/>
      <c r="G27" s="698"/>
      <c r="H27" s="698"/>
      <c r="I27" s="698"/>
      <c r="J27" s="698"/>
      <c r="K27" s="698"/>
      <c r="L27" s="698"/>
      <c r="M27" s="698"/>
      <c r="N27" s="698"/>
      <c r="O27" s="698"/>
      <c r="P27" s="698"/>
      <c r="Q27" s="698"/>
      <c r="R27" s="698"/>
      <c r="S27" s="698"/>
      <c r="T27" s="699"/>
    </row>
    <row r="28" spans="2:20" x14ac:dyDescent="0.2">
      <c r="B28" s="697"/>
      <c r="C28" s="698"/>
      <c r="D28" s="698"/>
      <c r="E28" s="698"/>
      <c r="F28" s="698"/>
      <c r="G28" s="698"/>
      <c r="H28" s="698"/>
      <c r="I28" s="698"/>
      <c r="J28" s="698"/>
      <c r="K28" s="698"/>
      <c r="L28" s="698"/>
      <c r="M28" s="698"/>
      <c r="N28" s="698"/>
      <c r="O28" s="698"/>
      <c r="P28" s="698"/>
      <c r="Q28" s="698"/>
      <c r="R28" s="698"/>
      <c r="S28" s="698"/>
      <c r="T28" s="699"/>
    </row>
    <row r="29" spans="2:20" x14ac:dyDescent="0.2">
      <c r="B29" s="697"/>
      <c r="C29" s="698"/>
      <c r="D29" s="698"/>
      <c r="E29" s="698"/>
      <c r="F29" s="698"/>
      <c r="G29" s="698"/>
      <c r="H29" s="698"/>
      <c r="I29" s="698"/>
      <c r="J29" s="698"/>
      <c r="K29" s="698"/>
      <c r="L29" s="698"/>
      <c r="M29" s="698"/>
      <c r="N29" s="698"/>
      <c r="O29" s="698"/>
      <c r="P29" s="698"/>
      <c r="Q29" s="698"/>
      <c r="R29" s="698"/>
      <c r="S29" s="698"/>
      <c r="T29" s="699"/>
    </row>
    <row r="30" spans="2:20" x14ac:dyDescent="0.2">
      <c r="B30" s="697"/>
      <c r="C30" s="698"/>
      <c r="D30" s="698"/>
      <c r="E30" s="698"/>
      <c r="F30" s="698"/>
      <c r="G30" s="698"/>
      <c r="H30" s="698"/>
      <c r="I30" s="698"/>
      <c r="J30" s="698"/>
      <c r="K30" s="698"/>
      <c r="L30" s="698"/>
      <c r="M30" s="698"/>
      <c r="N30" s="698"/>
      <c r="O30" s="698"/>
      <c r="P30" s="698"/>
      <c r="Q30" s="698"/>
      <c r="R30" s="698"/>
      <c r="S30" s="698"/>
      <c r="T30" s="699"/>
    </row>
    <row r="31" spans="2:20" x14ac:dyDescent="0.2">
      <c r="B31" s="697"/>
      <c r="C31" s="698"/>
      <c r="D31" s="698"/>
      <c r="E31" s="698"/>
      <c r="F31" s="698"/>
      <c r="G31" s="698"/>
      <c r="H31" s="698"/>
      <c r="I31" s="698"/>
      <c r="J31" s="698"/>
      <c r="K31" s="698"/>
      <c r="L31" s="698"/>
      <c r="M31" s="698"/>
      <c r="N31" s="698"/>
      <c r="O31" s="698"/>
      <c r="P31" s="698"/>
      <c r="Q31" s="698"/>
      <c r="R31" s="698"/>
      <c r="S31" s="698"/>
      <c r="T31" s="699"/>
    </row>
    <row r="32" spans="2:20" x14ac:dyDescent="0.2">
      <c r="B32" s="697"/>
      <c r="C32" s="698"/>
      <c r="D32" s="698"/>
      <c r="E32" s="698"/>
      <c r="F32" s="698"/>
      <c r="G32" s="698"/>
      <c r="H32" s="698"/>
      <c r="I32" s="698"/>
      <c r="J32" s="698"/>
      <c r="K32" s="698"/>
      <c r="L32" s="698"/>
      <c r="M32" s="698"/>
      <c r="N32" s="698"/>
      <c r="O32" s="698"/>
      <c r="P32" s="698"/>
      <c r="Q32" s="698"/>
      <c r="R32" s="698"/>
      <c r="S32" s="698"/>
      <c r="T32" s="699"/>
    </row>
    <row r="33" spans="2:20" x14ac:dyDescent="0.2">
      <c r="B33" s="697"/>
      <c r="C33" s="698"/>
      <c r="D33" s="698"/>
      <c r="E33" s="698"/>
      <c r="F33" s="698"/>
      <c r="G33" s="698"/>
      <c r="H33" s="698"/>
      <c r="I33" s="698"/>
      <c r="J33" s="698"/>
      <c r="K33" s="698"/>
      <c r="L33" s="698"/>
      <c r="M33" s="698"/>
      <c r="N33" s="698"/>
      <c r="O33" s="698"/>
      <c r="P33" s="698"/>
      <c r="Q33" s="698"/>
      <c r="R33" s="698"/>
      <c r="S33" s="698"/>
      <c r="T33" s="699"/>
    </row>
    <row r="34" spans="2:20" x14ac:dyDescent="0.2">
      <c r="B34" s="697"/>
      <c r="C34" s="698"/>
      <c r="D34" s="698"/>
      <c r="E34" s="698"/>
      <c r="F34" s="698"/>
      <c r="G34" s="698"/>
      <c r="H34" s="698"/>
      <c r="I34" s="698"/>
      <c r="J34" s="698"/>
      <c r="K34" s="698"/>
      <c r="L34" s="698"/>
      <c r="M34" s="698"/>
      <c r="N34" s="698"/>
      <c r="O34" s="698"/>
      <c r="P34" s="698"/>
      <c r="Q34" s="698"/>
      <c r="R34" s="698"/>
      <c r="S34" s="698"/>
      <c r="T34" s="699"/>
    </row>
    <row r="35" spans="2:20" x14ac:dyDescent="0.2">
      <c r="B35" s="697"/>
      <c r="C35" s="698"/>
      <c r="D35" s="698"/>
      <c r="E35" s="698"/>
      <c r="F35" s="698"/>
      <c r="G35" s="698"/>
      <c r="H35" s="698"/>
      <c r="I35" s="698"/>
      <c r="J35" s="698"/>
      <c r="K35" s="698"/>
      <c r="L35" s="698"/>
      <c r="M35" s="698"/>
      <c r="N35" s="698"/>
      <c r="O35" s="698"/>
      <c r="P35" s="698"/>
      <c r="Q35" s="698"/>
      <c r="R35" s="698"/>
      <c r="S35" s="698"/>
      <c r="T35" s="699"/>
    </row>
    <row r="36" spans="2:20" x14ac:dyDescent="0.2">
      <c r="B36" s="697"/>
      <c r="C36" s="698"/>
      <c r="D36" s="698"/>
      <c r="E36" s="698"/>
      <c r="F36" s="698"/>
      <c r="G36" s="698"/>
      <c r="H36" s="698"/>
      <c r="I36" s="698"/>
      <c r="J36" s="698"/>
      <c r="K36" s="698"/>
      <c r="L36" s="698"/>
      <c r="M36" s="698"/>
      <c r="N36" s="698"/>
      <c r="O36" s="698"/>
      <c r="P36" s="698"/>
      <c r="Q36" s="698"/>
      <c r="R36" s="698"/>
      <c r="S36" s="698"/>
      <c r="T36" s="699"/>
    </row>
    <row r="37" spans="2:20" x14ac:dyDescent="0.2">
      <c r="B37" s="697"/>
      <c r="C37" s="698"/>
      <c r="D37" s="698"/>
      <c r="E37" s="698"/>
      <c r="F37" s="698"/>
      <c r="G37" s="698"/>
      <c r="H37" s="698"/>
      <c r="I37" s="698"/>
      <c r="J37" s="698"/>
      <c r="K37" s="698"/>
      <c r="L37" s="698"/>
      <c r="M37" s="698"/>
      <c r="N37" s="698"/>
      <c r="O37" s="698"/>
      <c r="P37" s="698"/>
      <c r="Q37" s="698"/>
      <c r="R37" s="698"/>
      <c r="S37" s="698"/>
      <c r="T37" s="699"/>
    </row>
    <row r="38" spans="2:20" x14ac:dyDescent="0.2">
      <c r="B38" s="700"/>
      <c r="C38" s="701"/>
      <c r="D38" s="701"/>
      <c r="E38" s="701"/>
      <c r="F38" s="701"/>
      <c r="G38" s="701"/>
      <c r="H38" s="701"/>
      <c r="I38" s="701"/>
      <c r="J38" s="701"/>
      <c r="K38" s="701"/>
      <c r="L38" s="701"/>
      <c r="M38" s="701"/>
      <c r="N38" s="701"/>
      <c r="O38" s="701"/>
      <c r="P38" s="701"/>
      <c r="Q38" s="701"/>
      <c r="R38" s="701"/>
      <c r="S38" s="701"/>
      <c r="T38" s="702"/>
    </row>
    <row r="39" spans="2:20" x14ac:dyDescent="0.2"/>
  </sheetData>
  <mergeCells count="1">
    <mergeCell ref="B4:T38"/>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86AE9D-69E3-4A3D-BC17-99085E6A6CBD}">
  <sheetPr codeName="Sheet16">
    <tabColor theme="1"/>
  </sheetPr>
  <dimension ref="B2:D60"/>
  <sheetViews>
    <sheetView showGridLines="0" workbookViewId="0"/>
  </sheetViews>
  <sheetFormatPr defaultColWidth="9" defaultRowHeight="13.5" x14ac:dyDescent="0.2"/>
  <cols>
    <col min="1" max="1" width="9" style="10"/>
    <col min="2" max="2" width="20.83203125" style="10" customWidth="1"/>
    <col min="3" max="4" width="15.83203125" style="10" customWidth="1"/>
    <col min="5" max="16384" width="9" style="10"/>
  </cols>
  <sheetData>
    <row r="2" spans="2:4" x14ac:dyDescent="0.2">
      <c r="B2" s="386"/>
      <c r="C2" s="386"/>
      <c r="D2" s="386"/>
    </row>
    <row r="3" spans="2:4" x14ac:dyDescent="0.2">
      <c r="B3" s="400"/>
      <c r="C3" s="35"/>
      <c r="D3" s="35"/>
    </row>
    <row r="4" spans="2:4" x14ac:dyDescent="0.2">
      <c r="B4" s="400"/>
      <c r="C4" s="35"/>
      <c r="D4" s="35"/>
    </row>
    <row r="5" spans="2:4" x14ac:dyDescent="0.2">
      <c r="B5" s="400"/>
      <c r="C5" s="35"/>
      <c r="D5" s="35"/>
    </row>
    <row r="6" spans="2:4" x14ac:dyDescent="0.2">
      <c r="B6" s="400"/>
      <c r="C6" s="35"/>
      <c r="D6" s="35"/>
    </row>
    <row r="7" spans="2:4" x14ac:dyDescent="0.2">
      <c r="B7" s="400"/>
      <c r="C7" s="35"/>
      <c r="D7" s="35"/>
    </row>
    <row r="8" spans="2:4" x14ac:dyDescent="0.2">
      <c r="B8" s="400"/>
      <c r="C8" s="35"/>
      <c r="D8" s="35"/>
    </row>
    <row r="9" spans="2:4" x14ac:dyDescent="0.2">
      <c r="B9" s="400"/>
      <c r="C9" s="35"/>
      <c r="D9" s="35"/>
    </row>
    <row r="10" spans="2:4" x14ac:dyDescent="0.2">
      <c r="B10" s="400"/>
      <c r="C10" s="35"/>
      <c r="D10" s="35"/>
    </row>
    <row r="11" spans="2:4" x14ac:dyDescent="0.2">
      <c r="B11" s="400"/>
      <c r="C11" s="35"/>
      <c r="D11" s="35"/>
    </row>
    <row r="12" spans="2:4" x14ac:dyDescent="0.2">
      <c r="B12" s="400"/>
      <c r="C12" s="35"/>
      <c r="D12" s="35"/>
    </row>
    <row r="13" spans="2:4" x14ac:dyDescent="0.2">
      <c r="B13" s="400"/>
      <c r="C13" s="35"/>
      <c r="D13" s="35"/>
    </row>
    <row r="14" spans="2:4" x14ac:dyDescent="0.2">
      <c r="B14" s="400"/>
      <c r="C14" s="35"/>
      <c r="D14" s="35"/>
    </row>
    <row r="15" spans="2:4" x14ac:dyDescent="0.2">
      <c r="B15" s="400"/>
      <c r="C15" s="35"/>
      <c r="D15" s="35"/>
    </row>
    <row r="16" spans="2:4" x14ac:dyDescent="0.2">
      <c r="B16" s="400"/>
      <c r="C16" s="35"/>
      <c r="D16" s="35"/>
    </row>
    <row r="17" spans="2:4" x14ac:dyDescent="0.2">
      <c r="B17" s="400"/>
      <c r="C17" s="35"/>
      <c r="D17" s="35"/>
    </row>
    <row r="18" spans="2:4" x14ac:dyDescent="0.2">
      <c r="B18" s="400"/>
      <c r="C18" s="35"/>
      <c r="D18" s="35"/>
    </row>
    <row r="19" spans="2:4" x14ac:dyDescent="0.2">
      <c r="B19" s="400"/>
      <c r="C19" s="35"/>
      <c r="D19" s="35"/>
    </row>
    <row r="20" spans="2:4" x14ac:dyDescent="0.2">
      <c r="B20" s="400"/>
      <c r="C20" s="35"/>
      <c r="D20" s="35"/>
    </row>
    <row r="21" spans="2:4" x14ac:dyDescent="0.2">
      <c r="B21" s="400"/>
      <c r="C21" s="35"/>
      <c r="D21" s="35"/>
    </row>
    <row r="22" spans="2:4" x14ac:dyDescent="0.2">
      <c r="B22" s="400"/>
      <c r="C22" s="35"/>
      <c r="D22" s="35"/>
    </row>
    <row r="23" spans="2:4" x14ac:dyDescent="0.2">
      <c r="B23" s="400"/>
      <c r="C23" s="35"/>
      <c r="D23" s="35"/>
    </row>
    <row r="24" spans="2:4" x14ac:dyDescent="0.2">
      <c r="B24" s="400"/>
      <c r="C24" s="35"/>
      <c r="D24" s="35"/>
    </row>
    <row r="25" spans="2:4" x14ac:dyDescent="0.2">
      <c r="B25" s="400"/>
      <c r="C25" s="35"/>
      <c r="D25" s="35"/>
    </row>
    <row r="26" spans="2:4" x14ac:dyDescent="0.2">
      <c r="B26" s="400"/>
      <c r="C26" s="35"/>
      <c r="D26" s="35"/>
    </row>
    <row r="27" spans="2:4" x14ac:dyDescent="0.2">
      <c r="B27" s="400"/>
      <c r="C27" s="35"/>
      <c r="D27" s="35"/>
    </row>
    <row r="28" spans="2:4" x14ac:dyDescent="0.2">
      <c r="B28" s="400"/>
      <c r="C28" s="35"/>
      <c r="D28" s="35"/>
    </row>
    <row r="29" spans="2:4" x14ac:dyDescent="0.2">
      <c r="B29" s="400"/>
      <c r="C29" s="35"/>
      <c r="D29" s="35"/>
    </row>
    <row r="30" spans="2:4" x14ac:dyDescent="0.2">
      <c r="B30" s="400"/>
      <c r="C30" s="35"/>
      <c r="D30" s="35"/>
    </row>
    <row r="31" spans="2:4" x14ac:dyDescent="0.2">
      <c r="B31" s="400"/>
      <c r="C31" s="35"/>
      <c r="D31" s="35"/>
    </row>
    <row r="32" spans="2:4" x14ac:dyDescent="0.2">
      <c r="B32" s="400"/>
      <c r="C32" s="35"/>
      <c r="D32" s="35"/>
    </row>
    <row r="33" spans="2:4" x14ac:dyDescent="0.2">
      <c r="B33" s="400"/>
      <c r="C33" s="35"/>
      <c r="D33" s="35"/>
    </row>
    <row r="34" spans="2:4" x14ac:dyDescent="0.2">
      <c r="B34" s="400"/>
      <c r="C34" s="35"/>
      <c r="D34" s="35"/>
    </row>
    <row r="35" spans="2:4" x14ac:dyDescent="0.2">
      <c r="B35" s="400"/>
      <c r="C35" s="35"/>
      <c r="D35" s="35"/>
    </row>
    <row r="36" spans="2:4" x14ac:dyDescent="0.2">
      <c r="B36" s="400"/>
      <c r="C36" s="35"/>
      <c r="D36" s="35"/>
    </row>
    <row r="37" spans="2:4" x14ac:dyDescent="0.2">
      <c r="B37" s="400"/>
      <c r="C37" s="35"/>
      <c r="D37" s="35"/>
    </row>
    <row r="38" spans="2:4" x14ac:dyDescent="0.2">
      <c r="B38" s="400"/>
      <c r="C38" s="35"/>
      <c r="D38" s="35"/>
    </row>
    <row r="39" spans="2:4" x14ac:dyDescent="0.2">
      <c r="B39" s="400"/>
      <c r="C39" s="35"/>
      <c r="D39" s="35"/>
    </row>
    <row r="40" spans="2:4" x14ac:dyDescent="0.2">
      <c r="B40" s="400"/>
      <c r="C40" s="35"/>
      <c r="D40" s="35"/>
    </row>
    <row r="41" spans="2:4" x14ac:dyDescent="0.2">
      <c r="B41" s="400"/>
      <c r="C41" s="35"/>
      <c r="D41" s="35"/>
    </row>
    <row r="42" spans="2:4" x14ac:dyDescent="0.2">
      <c r="B42" s="400"/>
      <c r="C42" s="35"/>
      <c r="D42" s="35"/>
    </row>
    <row r="43" spans="2:4" x14ac:dyDescent="0.2">
      <c r="B43" s="400"/>
      <c r="C43" s="35"/>
      <c r="D43" s="35"/>
    </row>
    <row r="44" spans="2:4" x14ac:dyDescent="0.2">
      <c r="B44" s="400"/>
      <c r="C44" s="35"/>
      <c r="D44" s="35"/>
    </row>
    <row r="45" spans="2:4" x14ac:dyDescent="0.2">
      <c r="B45" s="400"/>
      <c r="C45" s="35"/>
      <c r="D45" s="35"/>
    </row>
    <row r="46" spans="2:4" x14ac:dyDescent="0.2">
      <c r="B46" s="400"/>
      <c r="C46" s="35"/>
      <c r="D46" s="35"/>
    </row>
    <row r="47" spans="2:4" x14ac:dyDescent="0.2">
      <c r="B47" s="400"/>
      <c r="C47" s="35"/>
      <c r="D47" s="35"/>
    </row>
    <row r="48" spans="2:4" x14ac:dyDescent="0.2">
      <c r="B48" s="400"/>
      <c r="C48" s="35"/>
      <c r="D48" s="35"/>
    </row>
    <row r="49" spans="2:4" x14ac:dyDescent="0.2">
      <c r="B49" s="400"/>
      <c r="C49" s="35"/>
      <c r="D49" s="35"/>
    </row>
    <row r="50" spans="2:4" x14ac:dyDescent="0.2">
      <c r="B50" s="400"/>
      <c r="C50" s="35"/>
      <c r="D50" s="35"/>
    </row>
    <row r="51" spans="2:4" x14ac:dyDescent="0.2">
      <c r="B51" s="400"/>
      <c r="C51" s="35"/>
      <c r="D51" s="35"/>
    </row>
    <row r="52" spans="2:4" x14ac:dyDescent="0.2">
      <c r="B52" s="400"/>
      <c r="C52" s="35"/>
      <c r="D52" s="35"/>
    </row>
    <row r="53" spans="2:4" x14ac:dyDescent="0.2">
      <c r="B53" s="400"/>
      <c r="C53" s="35"/>
      <c r="D53" s="35"/>
    </row>
    <row r="54" spans="2:4" x14ac:dyDescent="0.2">
      <c r="B54" s="400"/>
      <c r="C54" s="35"/>
      <c r="D54" s="35"/>
    </row>
    <row r="55" spans="2:4" x14ac:dyDescent="0.2">
      <c r="B55" s="400"/>
      <c r="C55" s="35"/>
      <c r="D55" s="35"/>
    </row>
    <row r="56" spans="2:4" x14ac:dyDescent="0.2">
      <c r="B56" s="400"/>
      <c r="C56" s="35"/>
      <c r="D56" s="35"/>
    </row>
    <row r="57" spans="2:4" x14ac:dyDescent="0.2">
      <c r="B57" s="400"/>
      <c r="C57" s="35"/>
      <c r="D57" s="35"/>
    </row>
    <row r="58" spans="2:4" x14ac:dyDescent="0.2">
      <c r="B58" s="400"/>
      <c r="C58" s="35"/>
      <c r="D58" s="35"/>
    </row>
    <row r="59" spans="2:4" x14ac:dyDescent="0.2">
      <c r="B59" s="400"/>
      <c r="C59" s="35"/>
      <c r="D59" s="35"/>
    </row>
    <row r="60" spans="2:4" x14ac:dyDescent="0.2">
      <c r="B60" s="400"/>
      <c r="C60" s="35"/>
      <c r="D60" s="35"/>
    </row>
  </sheetData>
  <pageMargins left="0.7" right="0.7" top="0.75" bottom="0.75" header="0.3" footer="0.3"/>
  <pageSetup paperSize="9" orientation="portrait" verticalDpi="12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FE9CE-071B-412A-A537-E4132D13CBEC}">
  <sheetPr>
    <tabColor theme="9" tint="0.79998168889431442"/>
    <pageSetUpPr fitToPage="1"/>
  </sheetPr>
  <dimension ref="A1:N98"/>
  <sheetViews>
    <sheetView showGridLines="0" view="pageBreakPreview" zoomScaleNormal="115" zoomScaleSheetLayoutView="100" workbookViewId="0"/>
  </sheetViews>
  <sheetFormatPr defaultColWidth="0" defaultRowHeight="13.5" zeroHeight="1" x14ac:dyDescent="0.2"/>
  <cols>
    <col min="1" max="1" width="5.83203125" style="420" customWidth="1"/>
    <col min="2" max="2" width="1.83203125" style="420" customWidth="1"/>
    <col min="3" max="3" width="35.83203125" style="420" customWidth="1"/>
    <col min="4" max="7" width="20.83203125" style="420" customWidth="1"/>
    <col min="8" max="8" width="35.83203125" style="420" customWidth="1"/>
    <col min="9" max="10" width="20.83203125" style="420" customWidth="1"/>
    <col min="11" max="13" width="1.83203125" style="420" customWidth="1"/>
    <col min="14" max="14" width="9.33203125" style="420" hidden="1" customWidth="1"/>
    <col min="15" max="16384" width="13.33203125" style="420" hidden="1"/>
  </cols>
  <sheetData>
    <row r="1" spans="2:10" ht="13.5" customHeight="1" x14ac:dyDescent="0.2">
      <c r="E1" s="460"/>
      <c r="F1" s="460"/>
      <c r="G1" s="460"/>
      <c r="H1" s="460"/>
      <c r="I1" s="460"/>
      <c r="J1" s="460"/>
    </row>
    <row r="2" spans="2:10" ht="13.5" customHeight="1" x14ac:dyDescent="0.2">
      <c r="E2" s="460"/>
      <c r="F2" s="460"/>
      <c r="G2" s="460"/>
      <c r="H2" s="460"/>
      <c r="I2" s="460"/>
      <c r="J2" s="460"/>
    </row>
    <row r="3" spans="2:10" ht="13.5" customHeight="1" x14ac:dyDescent="0.2">
      <c r="C3" s="473" t="s">
        <v>358</v>
      </c>
      <c r="D3" s="473"/>
      <c r="E3" s="473"/>
      <c r="F3" s="473"/>
      <c r="G3" s="473"/>
      <c r="H3" s="473"/>
      <c r="I3" s="473"/>
      <c r="J3" s="473"/>
    </row>
    <row r="4" spans="2:10" ht="13.5" customHeight="1" x14ac:dyDescent="0.2">
      <c r="C4" s="472" t="s">
        <v>355</v>
      </c>
      <c r="D4" s="472"/>
      <c r="E4" s="472"/>
      <c r="F4" s="472"/>
      <c r="G4" s="472"/>
      <c r="H4" s="472"/>
      <c r="I4" s="472"/>
      <c r="J4" s="472"/>
    </row>
    <row r="5" spans="2:10" ht="13.5" customHeight="1" x14ac:dyDescent="0.2">
      <c r="E5" s="460"/>
      <c r="F5" s="460"/>
      <c r="G5" s="460"/>
      <c r="H5" s="460"/>
      <c r="I5" s="460"/>
      <c r="J5" s="460"/>
    </row>
    <row r="6" spans="2:10" ht="13.5" customHeight="1" x14ac:dyDescent="0.2">
      <c r="B6" s="421"/>
      <c r="C6" s="11" t="s">
        <v>297</v>
      </c>
      <c r="D6" s="11"/>
      <c r="E6" s="11"/>
      <c r="F6" s="11"/>
      <c r="G6" s="11"/>
      <c r="H6" s="11"/>
      <c r="I6" s="11"/>
      <c r="J6" s="11"/>
    </row>
    <row r="7" spans="2:10" ht="13.5" customHeight="1" x14ac:dyDescent="0.2">
      <c r="E7" s="460"/>
      <c r="F7" s="460"/>
      <c r="G7" s="460"/>
      <c r="H7" s="460"/>
      <c r="I7" s="460"/>
      <c r="J7" s="460"/>
    </row>
    <row r="8" spans="2:10" ht="13.5" customHeight="1" x14ac:dyDescent="0.2">
      <c r="C8" s="429" t="s">
        <v>298</v>
      </c>
      <c r="D8" s="430"/>
      <c r="E8" s="461"/>
      <c r="F8" s="460"/>
      <c r="G8" s="460"/>
      <c r="H8" s="429" t="s">
        <v>315</v>
      </c>
      <c r="I8" s="430"/>
      <c r="J8" s="461"/>
    </row>
    <row r="9" spans="2:10" ht="13.5" customHeight="1" x14ac:dyDescent="0.2">
      <c r="C9" s="422" t="s">
        <v>300</v>
      </c>
      <c r="E9" s="460"/>
      <c r="F9" s="460"/>
      <c r="G9" s="460"/>
      <c r="J9" s="460"/>
    </row>
    <row r="10" spans="2:10" ht="13.5" customHeight="1" x14ac:dyDescent="0.2">
      <c r="C10" s="420" t="s">
        <v>302</v>
      </c>
      <c r="D10" s="423">
        <v>12</v>
      </c>
      <c r="E10" s="460"/>
      <c r="F10" s="460"/>
      <c r="G10" s="460"/>
      <c r="H10" s="428" t="s">
        <v>408</v>
      </c>
      <c r="I10" s="428"/>
      <c r="J10" s="428"/>
    </row>
    <row r="11" spans="2:10" ht="13.5" customHeight="1" x14ac:dyDescent="0.3">
      <c r="C11" s="420" t="s">
        <v>213</v>
      </c>
      <c r="D11" s="288">
        <v>0.01</v>
      </c>
      <c r="E11" s="460"/>
      <c r="F11" s="460"/>
      <c r="G11" s="460"/>
      <c r="H11" s="420" t="s">
        <v>316</v>
      </c>
      <c r="I11" s="431">
        <v>1</v>
      </c>
      <c r="J11" s="462" t="s">
        <v>317</v>
      </c>
    </row>
    <row r="12" spans="2:10" ht="13.5" customHeight="1" x14ac:dyDescent="0.2">
      <c r="E12" s="460"/>
      <c r="F12" s="460"/>
      <c r="G12" s="460"/>
      <c r="H12" s="420" t="s">
        <v>73</v>
      </c>
      <c r="I12" s="202">
        <v>0.45</v>
      </c>
      <c r="J12" s="460"/>
    </row>
    <row r="13" spans="2:10" ht="13.5" customHeight="1" x14ac:dyDescent="0.2">
      <c r="C13" s="422" t="s">
        <v>301</v>
      </c>
      <c r="E13" s="460"/>
      <c r="F13" s="460"/>
      <c r="G13" s="460"/>
      <c r="H13" s="420" t="s">
        <v>319</v>
      </c>
      <c r="I13" s="205">
        <v>40000</v>
      </c>
      <c r="J13" s="460"/>
    </row>
    <row r="14" spans="2:10" ht="13.5" customHeight="1" x14ac:dyDescent="0.2">
      <c r="C14" s="420" t="s">
        <v>299</v>
      </c>
      <c r="D14" s="423">
        <v>12</v>
      </c>
      <c r="E14" s="460"/>
      <c r="F14" s="460"/>
      <c r="G14" s="460"/>
      <c r="H14" s="420" t="s">
        <v>320</v>
      </c>
      <c r="I14" s="71">
        <v>42</v>
      </c>
      <c r="J14" s="460"/>
    </row>
    <row r="15" spans="2:10" ht="13.5" customHeight="1" x14ac:dyDescent="0.3">
      <c r="C15" s="420" t="s">
        <v>261</v>
      </c>
      <c r="D15" s="288">
        <v>0.01</v>
      </c>
      <c r="E15" s="460"/>
      <c r="F15" s="460"/>
      <c r="G15" s="460"/>
      <c r="H15" s="420" t="s">
        <v>323</v>
      </c>
      <c r="I15" s="440">
        <f>-AVERAGE(Portfolio!O74:S74)</f>
        <v>1482901.7422839799</v>
      </c>
      <c r="J15" s="464"/>
    </row>
    <row r="16" spans="2:10" ht="13.5" customHeight="1" x14ac:dyDescent="0.2">
      <c r="E16" s="460"/>
      <c r="F16" s="460"/>
      <c r="G16" s="460"/>
      <c r="J16" s="460"/>
    </row>
    <row r="17" spans="3:10" ht="13.5" customHeight="1" x14ac:dyDescent="0.2">
      <c r="C17" s="429" t="s">
        <v>303</v>
      </c>
      <c r="D17" s="430"/>
      <c r="E17" s="461"/>
      <c r="F17" s="460"/>
      <c r="G17" s="460"/>
      <c r="H17" s="428" t="s">
        <v>409</v>
      </c>
      <c r="I17" s="428"/>
      <c r="J17" s="428"/>
    </row>
    <row r="18" spans="3:10" ht="13.5" customHeight="1" x14ac:dyDescent="0.2">
      <c r="E18" s="460"/>
      <c r="F18" s="460"/>
      <c r="G18" s="460"/>
      <c r="H18" s="420" t="s">
        <v>316</v>
      </c>
      <c r="I18" s="431">
        <v>1</v>
      </c>
      <c r="J18" s="462" t="s">
        <v>317</v>
      </c>
    </row>
    <row r="19" spans="3:10" ht="13.5" customHeight="1" x14ac:dyDescent="0.3">
      <c r="C19" s="428" t="s">
        <v>307</v>
      </c>
      <c r="D19" s="428"/>
      <c r="E19" s="428"/>
      <c r="F19" s="465"/>
      <c r="G19" s="465"/>
      <c r="H19" s="420" t="s">
        <v>183</v>
      </c>
      <c r="I19" s="334">
        <v>13</v>
      </c>
      <c r="J19" s="460"/>
    </row>
    <row r="20" spans="3:10" ht="13.5" customHeight="1" x14ac:dyDescent="0.2">
      <c r="C20" s="420" t="s">
        <v>60</v>
      </c>
      <c r="D20" s="382">
        <v>0.02</v>
      </c>
      <c r="E20" s="460"/>
      <c r="F20" s="460"/>
      <c r="G20" s="460"/>
      <c r="H20" s="420" t="s">
        <v>318</v>
      </c>
      <c r="I20" s="71">
        <v>16</v>
      </c>
      <c r="J20" s="460"/>
    </row>
    <row r="21" spans="3:10" ht="13.5" customHeight="1" x14ac:dyDescent="0.3">
      <c r="C21" s="420" t="s">
        <v>304</v>
      </c>
      <c r="D21" s="379">
        <v>0.02</v>
      </c>
      <c r="E21" s="462" t="s">
        <v>347</v>
      </c>
      <c r="F21" s="462"/>
      <c r="G21" s="462"/>
      <c r="H21" s="420" t="s">
        <v>322</v>
      </c>
      <c r="I21" s="440">
        <f>AVERAGE(Portfolio!O75:S75)</f>
        <v>23668419.229619604</v>
      </c>
      <c r="J21" s="464"/>
    </row>
    <row r="22" spans="3:10" ht="13.5" customHeight="1" x14ac:dyDescent="0.2">
      <c r="C22" s="420" t="s">
        <v>296</v>
      </c>
      <c r="D22" s="382">
        <v>0</v>
      </c>
      <c r="E22" s="460"/>
      <c r="F22" s="460"/>
      <c r="G22" s="460"/>
      <c r="J22" s="460"/>
    </row>
    <row r="23" spans="3:10" ht="13.5" customHeight="1" x14ac:dyDescent="0.2">
      <c r="C23" s="420" t="s">
        <v>305</v>
      </c>
      <c r="D23" s="382">
        <v>0.02</v>
      </c>
      <c r="E23" s="462" t="s">
        <v>347</v>
      </c>
      <c r="F23" s="462"/>
      <c r="G23" s="462"/>
      <c r="H23" s="428" t="s">
        <v>410</v>
      </c>
      <c r="I23" s="428"/>
      <c r="J23" s="428"/>
    </row>
    <row r="24" spans="3:10" ht="13.5" customHeight="1" x14ac:dyDescent="0.2">
      <c r="E24" s="460"/>
      <c r="F24" s="460"/>
      <c r="G24" s="460"/>
      <c r="H24" s="420" t="s">
        <v>316</v>
      </c>
      <c r="I24" s="431">
        <v>1</v>
      </c>
      <c r="J24" s="462" t="s">
        <v>317</v>
      </c>
    </row>
    <row r="25" spans="3:10" ht="13.5" customHeight="1" x14ac:dyDescent="0.3">
      <c r="C25" s="428" t="s">
        <v>306</v>
      </c>
      <c r="D25" s="428"/>
      <c r="E25" s="428"/>
      <c r="F25" s="465"/>
      <c r="G25" s="465"/>
      <c r="H25" s="420" t="s">
        <v>369</v>
      </c>
      <c r="I25" s="444">
        <v>17500000</v>
      </c>
      <c r="J25" s="460"/>
    </row>
    <row r="26" spans="3:10" ht="13.5" customHeight="1" x14ac:dyDescent="0.2">
      <c r="C26" s="420" t="s">
        <v>130</v>
      </c>
      <c r="D26" s="378">
        <v>0</v>
      </c>
      <c r="E26" s="460"/>
      <c r="F26" s="460"/>
      <c r="G26" s="460"/>
      <c r="H26" s="420" t="s">
        <v>354</v>
      </c>
      <c r="I26" s="440">
        <f>AVERAGE(Portfolio!O76:S76)</f>
        <v>3500000</v>
      </c>
      <c r="J26" s="464"/>
    </row>
    <row r="27" spans="3:10" ht="13.5" customHeight="1" x14ac:dyDescent="0.2">
      <c r="C27" s="420" t="s">
        <v>56</v>
      </c>
      <c r="D27" s="378">
        <v>0</v>
      </c>
      <c r="E27" s="462"/>
      <c r="F27" s="462"/>
      <c r="G27" s="462"/>
      <c r="J27" s="460"/>
    </row>
    <row r="28" spans="3:10" ht="13.5" customHeight="1" x14ac:dyDescent="0.2">
      <c r="C28" s="420" t="s">
        <v>308</v>
      </c>
      <c r="D28" s="378">
        <v>0</v>
      </c>
      <c r="E28" s="460"/>
      <c r="F28" s="460"/>
      <c r="G28" s="460"/>
      <c r="H28" s="429" t="s">
        <v>324</v>
      </c>
      <c r="I28" s="430"/>
      <c r="J28" s="461"/>
    </row>
    <row r="29" spans="3:10" ht="13.5" customHeight="1" x14ac:dyDescent="0.3">
      <c r="C29" s="420" t="s">
        <v>55</v>
      </c>
      <c r="D29" s="378">
        <v>0</v>
      </c>
      <c r="E29" s="462"/>
      <c r="F29" s="462"/>
      <c r="G29" s="462"/>
      <c r="H29" s="2" t="s">
        <v>172</v>
      </c>
      <c r="I29" s="297">
        <v>7</v>
      </c>
      <c r="J29" s="460"/>
    </row>
    <row r="30" spans="3:10" ht="13.5" customHeight="1" x14ac:dyDescent="0.3">
      <c r="E30" s="460"/>
      <c r="F30" s="460"/>
      <c r="G30" s="460"/>
      <c r="H30" s="420" t="s">
        <v>147</v>
      </c>
      <c r="I30" s="295">
        <v>4.7500000000000001E-2</v>
      </c>
      <c r="J30" s="460"/>
    </row>
    <row r="31" spans="3:10" ht="13.5" customHeight="1" x14ac:dyDescent="0.3">
      <c r="C31" s="428" t="s">
        <v>309</v>
      </c>
      <c r="D31" s="428"/>
      <c r="E31" s="428"/>
      <c r="F31" s="465"/>
      <c r="G31" s="465"/>
      <c r="H31" s="420" t="s">
        <v>148</v>
      </c>
      <c r="I31" s="218" t="s">
        <v>149</v>
      </c>
      <c r="J31" s="460"/>
    </row>
    <row r="32" spans="3:10" ht="13.5" customHeight="1" x14ac:dyDescent="0.3">
      <c r="C32" s="420" t="s">
        <v>310</v>
      </c>
      <c r="D32" s="205">
        <v>8000</v>
      </c>
      <c r="E32" s="460"/>
      <c r="F32" s="460"/>
      <c r="G32" s="460"/>
      <c r="H32" s="420" t="s">
        <v>150</v>
      </c>
      <c r="I32" s="219" t="s">
        <v>151</v>
      </c>
      <c r="J32" s="460"/>
    </row>
    <row r="33" spans="2:10" ht="13.5" customHeight="1" x14ac:dyDescent="0.3">
      <c r="C33" s="420" t="s">
        <v>311</v>
      </c>
      <c r="D33" s="205">
        <v>8700</v>
      </c>
      <c r="E33" s="460"/>
      <c r="F33" s="460"/>
      <c r="G33" s="460"/>
      <c r="H33" s="420" t="s">
        <v>152</v>
      </c>
      <c r="I33" s="296">
        <v>4.0259999999999997E-2</v>
      </c>
      <c r="J33" s="460"/>
    </row>
    <row r="34" spans="2:10" ht="13.5" customHeight="1" x14ac:dyDescent="0.3">
      <c r="C34" s="420" t="s">
        <v>312</v>
      </c>
      <c r="D34" s="202">
        <v>-1.4999999999999999E-2</v>
      </c>
      <c r="E34" s="460"/>
      <c r="F34" s="460"/>
      <c r="G34" s="460"/>
      <c r="H34" s="420" t="s">
        <v>153</v>
      </c>
      <c r="I34" s="296">
        <v>0</v>
      </c>
      <c r="J34" s="460"/>
    </row>
    <row r="35" spans="2:10" ht="13.5" customHeight="1" x14ac:dyDescent="0.3">
      <c r="C35" s="420" t="s">
        <v>313</v>
      </c>
      <c r="D35" s="71">
        <v>10</v>
      </c>
      <c r="E35" s="463">
        <f>'Detailed Assumptions'!E108</f>
        <v>3.2467532467532464E-2</v>
      </c>
      <c r="F35" s="463"/>
      <c r="G35" s="463"/>
      <c r="H35" s="420" t="s">
        <v>154</v>
      </c>
      <c r="I35" s="218" t="s">
        <v>149</v>
      </c>
      <c r="J35" s="460"/>
    </row>
    <row r="36" spans="2:10" ht="13.5" customHeight="1" x14ac:dyDescent="0.3">
      <c r="E36" s="460"/>
      <c r="F36" s="460"/>
      <c r="G36" s="460"/>
      <c r="H36" s="420" t="s">
        <v>155</v>
      </c>
      <c r="I36" s="296">
        <v>0.01</v>
      </c>
      <c r="J36" s="460"/>
    </row>
    <row r="37" spans="2:10" ht="13.5" customHeight="1" x14ac:dyDescent="0.3">
      <c r="F37" s="460"/>
      <c r="G37" s="460"/>
      <c r="H37" s="420" t="s">
        <v>156</v>
      </c>
      <c r="I37" s="296">
        <v>0</v>
      </c>
      <c r="J37" s="460"/>
    </row>
    <row r="38" spans="2:10" ht="13.5" customHeight="1" x14ac:dyDescent="0.3">
      <c r="F38" s="460"/>
      <c r="G38" s="460"/>
      <c r="H38" s="420" t="s">
        <v>157</v>
      </c>
      <c r="I38" s="296">
        <v>0.01</v>
      </c>
      <c r="J38" s="460"/>
    </row>
    <row r="39" spans="2:10" ht="13.5" customHeight="1" x14ac:dyDescent="0.3">
      <c r="F39" s="465"/>
      <c r="G39" s="465"/>
      <c r="H39" s="420" t="s">
        <v>158</v>
      </c>
      <c r="I39" s="295">
        <v>0.15</v>
      </c>
      <c r="J39" s="460"/>
    </row>
    <row r="40" spans="2:10" ht="13.5" customHeight="1" x14ac:dyDescent="0.3">
      <c r="F40" s="462"/>
      <c r="G40" s="462"/>
      <c r="H40" s="420" t="s">
        <v>325</v>
      </c>
      <c r="I40" s="449">
        <f>I29/D10</f>
        <v>0.58333333333333337</v>
      </c>
      <c r="J40" s="462"/>
    </row>
    <row r="41" spans="2:10" ht="13.5" customHeight="1" x14ac:dyDescent="0.2"/>
    <row r="42" spans="2:10" ht="13.5" customHeight="1" x14ac:dyDescent="0.2">
      <c r="B42" s="421"/>
      <c r="C42" s="11" t="s">
        <v>326</v>
      </c>
      <c r="D42" s="11"/>
      <c r="E42" s="11"/>
      <c r="F42" s="11"/>
      <c r="G42" s="11"/>
      <c r="H42" s="11"/>
      <c r="I42" s="11"/>
      <c r="J42" s="11"/>
    </row>
    <row r="43" spans="2:10" ht="13.5" customHeight="1" x14ac:dyDescent="0.2"/>
    <row r="44" spans="2:10" ht="13.5" customHeight="1" x14ac:dyDescent="0.2">
      <c r="C44" s="429" t="s">
        <v>327</v>
      </c>
      <c r="D44" s="430"/>
      <c r="E44" s="430"/>
      <c r="H44" s="429" t="s">
        <v>341</v>
      </c>
      <c r="I44" s="430"/>
      <c r="J44" s="430"/>
    </row>
    <row r="45" spans="2:10" ht="13.5" customHeight="1" x14ac:dyDescent="0.2">
      <c r="C45" s="466"/>
      <c r="H45" s="465"/>
      <c r="I45" s="468" t="s">
        <v>342</v>
      </c>
      <c r="J45" s="468" t="s">
        <v>346</v>
      </c>
    </row>
    <row r="46" spans="2:10" ht="13.5" customHeight="1" x14ac:dyDescent="0.2">
      <c r="C46" s="420" t="s">
        <v>328</v>
      </c>
      <c r="D46" s="450">
        <f>-'Returns Analysis'!Q43</f>
        <v>346019304.43837708</v>
      </c>
      <c r="H46" s="420" t="s">
        <v>343</v>
      </c>
      <c r="I46" s="488">
        <f>'Returns Analysis'!I55</f>
        <v>0.14414125084877014</v>
      </c>
      <c r="J46" s="489">
        <f>'Returns Analysis'!J55</f>
        <v>0.1913598954677582</v>
      </c>
    </row>
    <row r="47" spans="2:10" ht="13.5" customHeight="1" x14ac:dyDescent="0.2">
      <c r="C47" s="420" t="s">
        <v>330</v>
      </c>
      <c r="D47" s="451">
        <f>D$46/E47</f>
        <v>12</v>
      </c>
      <c r="E47" s="450">
        <f>'Returns Analysis'!I28</f>
        <v>28834942.036531422</v>
      </c>
      <c r="F47" s="450"/>
      <c r="G47" s="450"/>
      <c r="H47" s="420" t="s">
        <v>263</v>
      </c>
      <c r="I47" s="490">
        <f>'Returns Analysis'!I58</f>
        <v>1.6857874330331191</v>
      </c>
      <c r="J47" s="490">
        <f>'Returns Analysis'!J58</f>
        <v>2.0653518304447185</v>
      </c>
    </row>
    <row r="48" spans="2:10" ht="13.5" customHeight="1" x14ac:dyDescent="0.2">
      <c r="C48" s="420" t="s">
        <v>331</v>
      </c>
      <c r="D48" s="451">
        <f>D$46/E48</f>
        <v>13.229393213634467</v>
      </c>
      <c r="E48" s="450">
        <f>'Returns Analysis'!I28+'Returns Analysis'!I30</f>
        <v>26155342.036531422</v>
      </c>
      <c r="F48" s="450"/>
      <c r="G48" s="450"/>
      <c r="H48" s="420" t="s">
        <v>344</v>
      </c>
      <c r="I48" s="488">
        <f>'Returns Analysis'!I59</f>
        <v>0.12662551005920822</v>
      </c>
      <c r="J48" s="489">
        <f>'Returns Analysis'!J59</f>
        <v>8.5900223299936421E-2</v>
      </c>
    </row>
    <row r="49" spans="2:10" ht="13.5" customHeight="1" x14ac:dyDescent="0.2">
      <c r="C49" s="420" t="s">
        <v>329</v>
      </c>
      <c r="D49" s="435">
        <f>D$46/E49</f>
        <v>1123439.300124601</v>
      </c>
      <c r="E49" s="453">
        <f>Portfolio!N9</f>
        <v>308</v>
      </c>
      <c r="F49" s="453"/>
      <c r="G49" s="453"/>
      <c r="H49" s="420" t="s">
        <v>345</v>
      </c>
      <c r="I49" s="488">
        <f>'Returns Analysis'!I60</f>
        <v>0.1552869255568087</v>
      </c>
      <c r="J49" s="489">
        <f>'Returns Analysis'!J60</f>
        <v>0.1045107728736131</v>
      </c>
    </row>
    <row r="50" spans="2:10" ht="13.5" customHeight="1" x14ac:dyDescent="0.2"/>
    <row r="51" spans="2:10" ht="13.5" customHeight="1" x14ac:dyDescent="0.2">
      <c r="C51" s="429" t="s">
        <v>333</v>
      </c>
      <c r="D51" s="430"/>
      <c r="E51" s="430"/>
      <c r="F51" s="430"/>
      <c r="G51" s="430"/>
      <c r="H51" s="430"/>
      <c r="I51" s="430"/>
      <c r="J51" s="430"/>
    </row>
    <row r="52" spans="2:10" ht="13.5" customHeight="1" x14ac:dyDescent="0.2"/>
    <row r="53" spans="2:10" ht="13.5" customHeight="1" x14ac:dyDescent="0.2">
      <c r="C53" s="428" t="s">
        <v>334</v>
      </c>
      <c r="D53" s="454" t="s">
        <v>336</v>
      </c>
      <c r="E53" s="454" t="s">
        <v>280</v>
      </c>
      <c r="F53" s="384"/>
      <c r="G53" s="384"/>
      <c r="H53" s="428" t="s">
        <v>339</v>
      </c>
      <c r="I53" s="454" t="s">
        <v>336</v>
      </c>
      <c r="J53" s="454" t="s">
        <v>280</v>
      </c>
    </row>
    <row r="54" spans="2:10" ht="13.5" customHeight="1" x14ac:dyDescent="0.2">
      <c r="C54" s="420" t="s">
        <v>335</v>
      </c>
      <c r="D54" s="452">
        <f>-'Returns Analysis'!Q50</f>
        <v>149653349.16959807</v>
      </c>
      <c r="E54" s="457">
        <f>D54/D$56</f>
        <v>0.42821782178217821</v>
      </c>
      <c r="F54" s="457"/>
      <c r="G54" s="457"/>
      <c r="H54" s="420" t="s">
        <v>340</v>
      </c>
      <c r="I54" s="452">
        <f>D46</f>
        <v>346019304.43837708</v>
      </c>
      <c r="J54" s="457">
        <f>I54/I$56</f>
        <v>0.99009900990099009</v>
      </c>
    </row>
    <row r="55" spans="2:10" ht="13.5" customHeight="1" x14ac:dyDescent="0.2">
      <c r="C55" s="420" t="s">
        <v>337</v>
      </c>
      <c r="D55" s="452">
        <f>'Returns Analysis'!Q49</f>
        <v>199826148.31316277</v>
      </c>
      <c r="E55" s="458">
        <f>D55/D$56</f>
        <v>0.57178217821782185</v>
      </c>
      <c r="F55" s="458"/>
      <c r="G55" s="458"/>
      <c r="H55" s="420" t="s">
        <v>260</v>
      </c>
      <c r="I55" s="452">
        <f>-'Returns Analysis'!Q45</f>
        <v>3460193.0443837708</v>
      </c>
      <c r="J55" s="458">
        <f>I55/I$56</f>
        <v>9.9009900990099011E-3</v>
      </c>
    </row>
    <row r="56" spans="2:10" ht="13.5" customHeight="1" x14ac:dyDescent="0.2">
      <c r="C56" s="455" t="s">
        <v>338</v>
      </c>
      <c r="D56" s="456">
        <f>SUM(D54:D55)</f>
        <v>349479497.48276085</v>
      </c>
      <c r="E56" s="459">
        <f>D56/D$56</f>
        <v>1</v>
      </c>
      <c r="F56" s="467"/>
      <c r="G56" s="467"/>
      <c r="H56" s="455" t="s">
        <v>338</v>
      </c>
      <c r="I56" s="456">
        <f>SUM(I54:I55)</f>
        <v>349479497.48276085</v>
      </c>
      <c r="J56" s="459">
        <f>I56/I$56</f>
        <v>1</v>
      </c>
    </row>
    <row r="57" spans="2:10" ht="13.5" customHeight="1" x14ac:dyDescent="0.2"/>
    <row r="58" spans="2:10" ht="13.5" customHeight="1" x14ac:dyDescent="0.2">
      <c r="B58" s="421"/>
      <c r="C58" s="11" t="s">
        <v>348</v>
      </c>
      <c r="D58" s="11"/>
      <c r="E58" s="11"/>
      <c r="F58" s="11"/>
      <c r="G58" s="11"/>
      <c r="H58" s="11"/>
      <c r="I58" s="11"/>
      <c r="J58" s="11"/>
    </row>
    <row r="59" spans="2:10" ht="13.5" customHeight="1" x14ac:dyDescent="0.2"/>
    <row r="60" spans="2:10" ht="13.5" customHeight="1" x14ac:dyDescent="0.2">
      <c r="C60" s="21"/>
      <c r="D60" s="21" t="str">
        <f>'Detailed Assumptions'!$E$17</f>
        <v>FY26E</v>
      </c>
      <c r="E60" s="21" t="str">
        <f>'Detailed Assumptions'!$F$17</f>
        <v>FY27E</v>
      </c>
      <c r="F60" s="21" t="str">
        <f>'Detailed Assumptions'!$G$17</f>
        <v>FY28E</v>
      </c>
      <c r="G60" s="21" t="str">
        <f>'Detailed Assumptions'!$H$17</f>
        <v>FY29E</v>
      </c>
      <c r="H60" s="21" t="str">
        <f>'Detailed Assumptions'!$I$17</f>
        <v>FY30E</v>
      </c>
      <c r="I60" s="21" t="str">
        <f>'Detailed Assumptions'!$J$17</f>
        <v>FY31E</v>
      </c>
      <c r="J60" s="684" t="s">
        <v>411</v>
      </c>
    </row>
    <row r="61" spans="2:10" ht="13.5" customHeight="1" x14ac:dyDescent="0.3">
      <c r="C61" s="2" t="s">
        <v>126</v>
      </c>
      <c r="D61" s="8">
        <f>Portfolio!N9</f>
        <v>308</v>
      </c>
      <c r="E61" s="8">
        <f>Portfolio!O9</f>
        <v>292</v>
      </c>
      <c r="F61" s="8">
        <f>Portfolio!P9</f>
        <v>276</v>
      </c>
      <c r="G61" s="8">
        <f>Portfolio!Q9</f>
        <v>260</v>
      </c>
      <c r="H61" s="8">
        <f>Portfolio!R9</f>
        <v>244</v>
      </c>
      <c r="I61" s="8">
        <f>Portfolio!S9</f>
        <v>228</v>
      </c>
      <c r="J61" s="685"/>
    </row>
    <row r="62" spans="2:10" ht="13.5" customHeight="1" x14ac:dyDescent="0.3">
      <c r="C62" s="2"/>
      <c r="D62" s="8"/>
      <c r="E62" s="8"/>
      <c r="F62" s="8"/>
      <c r="G62" s="8"/>
      <c r="H62" s="8"/>
      <c r="I62" s="8"/>
      <c r="J62" s="685"/>
    </row>
    <row r="63" spans="2:10" ht="13.5" customHeight="1" x14ac:dyDescent="0.2">
      <c r="C63" s="22" t="s">
        <v>373</v>
      </c>
      <c r="D63" s="57">
        <f>Portfolio!N19</f>
        <v>46171.619896121454</v>
      </c>
      <c r="E63" s="57">
        <f>Portfolio!O19</f>
        <v>45875.273438752156</v>
      </c>
      <c r="F63" s="57">
        <f>Portfolio!P19</f>
        <v>44232.509289320893</v>
      </c>
      <c r="G63" s="57">
        <f>Portfolio!Q19</f>
        <v>42482.492381980337</v>
      </c>
      <c r="H63" s="57">
        <f>Portfolio!R19</f>
        <v>40663.945912943469</v>
      </c>
      <c r="I63" s="57">
        <f>Portfolio!S19</f>
        <v>38757.829163319802</v>
      </c>
      <c r="J63" s="686">
        <f>IFERROR(((I63/D63)^(1/5))-1,0)</f>
        <v>-3.4400868472398427E-2</v>
      </c>
    </row>
    <row r="64" spans="2:10" ht="13.5" customHeight="1" x14ac:dyDescent="0.2">
      <c r="C64" s="2"/>
      <c r="D64" s="369"/>
      <c r="E64" s="369"/>
      <c r="F64" s="369"/>
      <c r="G64" s="369"/>
      <c r="H64" s="369"/>
      <c r="I64" s="369"/>
      <c r="J64" s="685"/>
    </row>
    <row r="65" spans="3:10" ht="13.5" customHeight="1" x14ac:dyDescent="0.2">
      <c r="C65" s="62" t="s">
        <v>24</v>
      </c>
      <c r="D65" s="469">
        <f>'Returns Analysis'!I22</f>
        <v>16220326.429562395</v>
      </c>
      <c r="E65" s="469">
        <f>'Returns Analysis'!J22</f>
        <v>16977330.25107462</v>
      </c>
      <c r="F65" s="469">
        <f>'Returns Analysis'!K22</f>
        <v>17206442.827405717</v>
      </c>
      <c r="G65" s="469">
        <f>'Returns Analysis'!L22</f>
        <v>17328212.970069736</v>
      </c>
      <c r="H65" s="469">
        <f>'Returns Analysis'!M22</f>
        <v>17347419.217420988</v>
      </c>
      <c r="I65" s="469">
        <f>'Returns Analysis'!N22</f>
        <v>17286720.278510548</v>
      </c>
      <c r="J65" s="687">
        <f>IFERROR(((I65/D65)^(1/5))-1,0)</f>
        <v>1.2816115219968838E-2</v>
      </c>
    </row>
    <row r="66" spans="3:10" ht="13.5" customHeight="1" x14ac:dyDescent="0.2">
      <c r="C66" s="2" t="s">
        <v>26</v>
      </c>
      <c r="D66" s="369">
        <f>'Returns Analysis'!I23</f>
        <v>11314202.737723859</v>
      </c>
      <c r="E66" s="369">
        <f>'Returns Analysis'!J23</f>
        <v>11610486.446463693</v>
      </c>
      <c r="F66" s="369">
        <f>'Returns Analysis'!K23</f>
        <v>11569976.626993924</v>
      </c>
      <c r="G66" s="369">
        <f>'Returns Analysis'!L23</f>
        <v>11476062.220567212</v>
      </c>
      <c r="H66" s="369">
        <f>'Returns Analysis'!M23</f>
        <v>11310607.850688249</v>
      </c>
      <c r="I66" s="369">
        <f>'Returns Analysis'!N23</f>
        <v>11087203.678904884</v>
      </c>
      <c r="J66" s="685">
        <f>IFERROR(((I66/D66)^(1/5))-1,0)</f>
        <v>-4.0452347779752484E-3</v>
      </c>
    </row>
    <row r="67" spans="3:10" ht="13.5" customHeight="1" x14ac:dyDescent="0.2">
      <c r="C67" s="2" t="s">
        <v>32</v>
      </c>
      <c r="D67" s="369">
        <f>'Returns Analysis'!I24</f>
        <v>1964702.02829119</v>
      </c>
      <c r="E67" s="369">
        <f>'Returns Analysis'!J24</f>
        <v>1929539.5758832938</v>
      </c>
      <c r="F67" s="369">
        <f>'Returns Analysis'!K24</f>
        <v>1824052.2186596058</v>
      </c>
      <c r="G67" s="369">
        <f>'Returns Analysis'!L24</f>
        <v>1718564.8614359177</v>
      </c>
      <c r="H67" s="369">
        <f>'Returns Analysis'!M24</f>
        <v>1613077.5042122295</v>
      </c>
      <c r="I67" s="369">
        <f>'Returns Analysis'!N24</f>
        <v>1507590.1469885416</v>
      </c>
      <c r="J67" s="685">
        <f>IFERROR(((I67/D67)^(1/5))-1,0)</f>
        <v>-5.158739065236706E-2</v>
      </c>
    </row>
    <row r="68" spans="3:10" ht="13.5" customHeight="1" x14ac:dyDescent="0.2">
      <c r="C68" s="62" t="s">
        <v>33</v>
      </c>
      <c r="D68" s="469">
        <f>'Returns Analysis'!I25</f>
        <v>29499231.195577443</v>
      </c>
      <c r="E68" s="469">
        <f>'Returns Analysis'!J25</f>
        <v>30517356.273421608</v>
      </c>
      <c r="F68" s="469">
        <f>'Returns Analysis'!K25</f>
        <v>30600471.673059247</v>
      </c>
      <c r="G68" s="469">
        <f>'Returns Analysis'!L25</f>
        <v>30522840.052072864</v>
      </c>
      <c r="H68" s="469">
        <f>'Returns Analysis'!M25</f>
        <v>30271104.572321467</v>
      </c>
      <c r="I68" s="469">
        <f>'Returns Analysis'!N25</f>
        <v>29881514.104403973</v>
      </c>
      <c r="J68" s="687">
        <f>IFERROR(((I68/D68)^(1/5))-1,0)</f>
        <v>2.5784845839069703E-3</v>
      </c>
    </row>
    <row r="69" spans="3:10" ht="13.5" customHeight="1" x14ac:dyDescent="0.2">
      <c r="C69" s="2"/>
      <c r="D69" s="369"/>
      <c r="E69" s="369"/>
      <c r="F69" s="369"/>
      <c r="G69" s="369"/>
      <c r="H69" s="369"/>
      <c r="I69" s="369"/>
      <c r="J69" s="685"/>
    </row>
    <row r="70" spans="3:10" ht="13.5" customHeight="1" x14ac:dyDescent="0.2">
      <c r="C70" s="2" t="s">
        <v>35</v>
      </c>
      <c r="D70" s="369">
        <f>'Returns Analysis'!I27</f>
        <v>-664289.15904601978</v>
      </c>
      <c r="E70" s="369">
        <f>'Returns Analysis'!J27</f>
        <v>-665448.32133697253</v>
      </c>
      <c r="F70" s="369">
        <f>'Returns Analysis'!K27</f>
        <v>-641649.8278404111</v>
      </c>
      <c r="G70" s="369">
        <f>'Returns Analysis'!L27</f>
        <v>-616633.21527545247</v>
      </c>
      <c r="H70" s="369">
        <f>'Returns Analysis'!M27</f>
        <v>-590359.2782767592</v>
      </c>
      <c r="I70" s="369">
        <f>'Returns Analysis'!N27</f>
        <v>-562787.73051200842</v>
      </c>
      <c r="J70" s="685">
        <f>IFERROR(((I70/D70)^(1/5))-1,0)</f>
        <v>-3.261913846541431E-2</v>
      </c>
    </row>
    <row r="71" spans="3:10" ht="13.5" customHeight="1" x14ac:dyDescent="0.2">
      <c r="C71" s="62" t="s">
        <v>21</v>
      </c>
      <c r="D71" s="470">
        <f>'Returns Analysis'!I28</f>
        <v>28834942.036531422</v>
      </c>
      <c r="E71" s="470">
        <f>'Returns Analysis'!J28</f>
        <v>29851907.952084634</v>
      </c>
      <c r="F71" s="470">
        <f>'Returns Analysis'!K28</f>
        <v>29958821.845218837</v>
      </c>
      <c r="G71" s="470">
        <f>'Returns Analysis'!L28</f>
        <v>29906206.836797412</v>
      </c>
      <c r="H71" s="470">
        <f>'Returns Analysis'!M28</f>
        <v>29680745.294044707</v>
      </c>
      <c r="I71" s="470">
        <f>'Returns Analysis'!N28</f>
        <v>29318726.373891965</v>
      </c>
      <c r="J71" s="688">
        <f>IFERROR(((I71/D71)^(1/5))-1,0)</f>
        <v>3.3332470280003079E-3</v>
      </c>
    </row>
    <row r="72" spans="3:10" ht="13.5" customHeight="1" x14ac:dyDescent="0.2">
      <c r="C72" s="22"/>
      <c r="D72" s="471"/>
      <c r="E72" s="471"/>
      <c r="F72" s="471"/>
      <c r="G72" s="471"/>
      <c r="H72" s="471"/>
      <c r="I72" s="471"/>
      <c r="J72" s="689"/>
    </row>
    <row r="73" spans="3:10" ht="13.5" customHeight="1" x14ac:dyDescent="0.2">
      <c r="C73" s="2" t="s">
        <v>129</v>
      </c>
      <c r="D73" s="369">
        <f>'Returns Analysis'!I30</f>
        <v>-2679600</v>
      </c>
      <c r="E73" s="369">
        <f>'Returns Analysis'!J30</f>
        <v>-2698177.9974794523</v>
      </c>
      <c r="F73" s="369">
        <f>'Returns Analysis'!K30</f>
        <v>-2614763.0211445345</v>
      </c>
      <c r="G73" s="369">
        <f>'Returns Analysis'!L30</f>
        <v>-2521776.6403262266</v>
      </c>
      <c r="H73" s="369">
        <f>'Returns Analysis'!M30</f>
        <v>-2419207.8892892697</v>
      </c>
      <c r="I73" s="369">
        <f>'Returns Analysis'!N30</f>
        <v>-2311200.3776949281</v>
      </c>
      <c r="J73" s="685">
        <f>IFERROR(((I73/D73)^(1/5))-1,0)</f>
        <v>-2.9146890042928031E-2</v>
      </c>
    </row>
    <row r="74" spans="3:10" ht="13.5" customHeight="1" x14ac:dyDescent="0.2">
      <c r="C74" s="62" t="s">
        <v>292</v>
      </c>
      <c r="D74" s="469">
        <f>'Returns Analysis'!I31</f>
        <v>26155342.036531422</v>
      </c>
      <c r="E74" s="469">
        <f>'Returns Analysis'!J31</f>
        <v>27153729.954605181</v>
      </c>
      <c r="F74" s="469">
        <f>'Returns Analysis'!K31</f>
        <v>27344058.824074302</v>
      </c>
      <c r="G74" s="469">
        <f>'Returns Analysis'!L31</f>
        <v>27384430.196471184</v>
      </c>
      <c r="H74" s="469">
        <f>'Returns Analysis'!M31</f>
        <v>27261537.404755436</v>
      </c>
      <c r="I74" s="469">
        <f>'Returns Analysis'!N31</f>
        <v>27007525.996197037</v>
      </c>
      <c r="J74" s="687">
        <f>IFERROR(((I74/D74)^(1/5))-1,0)</f>
        <v>6.4330263460166126E-3</v>
      </c>
    </row>
    <row r="75" spans="3:10" ht="13.5" customHeight="1" x14ac:dyDescent="0.2">
      <c r="C75" s="2"/>
      <c r="D75" s="369"/>
      <c r="E75" s="691"/>
      <c r="F75" s="369"/>
      <c r="G75" s="369"/>
      <c r="H75" s="369"/>
      <c r="I75" s="369"/>
      <c r="J75" s="685"/>
    </row>
    <row r="76" spans="3:10" ht="13.5" customHeight="1" x14ac:dyDescent="0.2">
      <c r="C76" s="2" t="s">
        <v>52</v>
      </c>
      <c r="D76" s="369">
        <f>'Returns Analysis'!I33</f>
        <v>-3065576.1291033244</v>
      </c>
      <c r="E76" s="369">
        <f>'Returns Analysis'!J33</f>
        <v>-2388160</v>
      </c>
      <c r="F76" s="369">
        <f>'Returns Analysis'!K33</f>
        <v>-2302752.0000000005</v>
      </c>
      <c r="G76" s="369">
        <f>'Returns Analysis'!L33</f>
        <v>-2212972.4160000002</v>
      </c>
      <c r="H76" s="369">
        <f>'Returns Analysis'!M33</f>
        <v>-2118680.5478399992</v>
      </c>
      <c r="I76" s="369">
        <f>'Returns Analysis'!N33</f>
        <v>-2019731.8159872005</v>
      </c>
      <c r="J76" s="685">
        <f>IFERROR(((I76/D76)^(1/5))-1,0)</f>
        <v>-8.006674158001581E-2</v>
      </c>
    </row>
    <row r="77" spans="3:10" ht="13.5" customHeight="1" x14ac:dyDescent="0.2">
      <c r="C77" s="2" t="s">
        <v>69</v>
      </c>
      <c r="D77" s="369">
        <f>'Returns Analysis'!I34</f>
        <v>-432524.13054797129</v>
      </c>
      <c r="E77" s="369">
        <f>'Returns Analysis'!J34</f>
        <v>-447778.61928126944</v>
      </c>
      <c r="F77" s="369">
        <f>'Returns Analysis'!K34</f>
        <v>-449382.32767828228</v>
      </c>
      <c r="G77" s="369">
        <f>'Returns Analysis'!L34</f>
        <v>-448593.10255196108</v>
      </c>
      <c r="H77" s="369">
        <f>'Returns Analysis'!M34</f>
        <v>-445211.17941067065</v>
      </c>
      <c r="I77" s="369">
        <f>'Returns Analysis'!N34</f>
        <v>-439780.89560837945</v>
      </c>
      <c r="J77" s="685">
        <f>IFERROR(((I77/D77)^(1/5))-1,0)</f>
        <v>3.3332470280003079E-3</v>
      </c>
    </row>
    <row r="78" spans="3:10" ht="13.5" customHeight="1" x14ac:dyDescent="0.2">
      <c r="C78" s="2" t="s">
        <v>184</v>
      </c>
      <c r="D78" s="369">
        <f>'Returns Analysis'!I35</f>
        <v>-300000</v>
      </c>
      <c r="E78" s="369">
        <f>'Returns Analysis'!J35</f>
        <v>-307402.9315068493</v>
      </c>
      <c r="F78" s="369">
        <f>'Returns Analysis'!K35</f>
        <v>-314526.42595964728</v>
      </c>
      <c r="G78" s="369">
        <f>'Returns Analysis'!L35</f>
        <v>-321272.71619579918</v>
      </c>
      <c r="H78" s="369">
        <f>'Returns Analysis'!M35</f>
        <v>-327569.22133362567</v>
      </c>
      <c r="I78" s="369">
        <f>'Returns Analysis'!N35</f>
        <v>-333924.15397249005</v>
      </c>
      <c r="J78" s="685">
        <f>IFERROR(((I78/D78)^(1/5))-1,0)</f>
        <v>2.1657472733383143E-2</v>
      </c>
    </row>
    <row r="79" spans="3:10" ht="13.5" customHeight="1" x14ac:dyDescent="0.2">
      <c r="C79" s="62" t="s">
        <v>293</v>
      </c>
      <c r="D79" s="469">
        <f>'Returns Analysis'!I36</f>
        <v>22357241.776880126</v>
      </c>
      <c r="E79" s="469">
        <f>'Returns Analysis'!J36</f>
        <v>24010388.403817061</v>
      </c>
      <c r="F79" s="469">
        <f>'Returns Analysis'!K36</f>
        <v>24277398.070436373</v>
      </c>
      <c r="G79" s="469">
        <f>'Returns Analysis'!L36</f>
        <v>24401591.961723424</v>
      </c>
      <c r="H79" s="469">
        <f>'Returns Analysis'!M36</f>
        <v>24370076.45617114</v>
      </c>
      <c r="I79" s="469">
        <f>'Returns Analysis'!N36</f>
        <v>24214089.130628966</v>
      </c>
      <c r="J79" s="687">
        <f>IFERROR(((I79/D79)^(1/5))-1,0)</f>
        <v>1.6084865556129202E-2</v>
      </c>
    </row>
    <row r="80" spans="3:10" ht="13.5" customHeight="1" x14ac:dyDescent="0.2">
      <c r="C80" s="2"/>
      <c r="D80" s="369"/>
      <c r="E80" s="369"/>
      <c r="F80" s="369"/>
      <c r="G80" s="369"/>
      <c r="H80" s="369"/>
      <c r="I80" s="369"/>
      <c r="J80" s="685"/>
    </row>
    <row r="81" spans="3:10" ht="13.5" customHeight="1" x14ac:dyDescent="0.2">
      <c r="C81" s="2" t="s">
        <v>70</v>
      </c>
      <c r="D81" s="369">
        <f>'Returns Analysis'!I38</f>
        <v>-1391870.9220779222</v>
      </c>
      <c r="E81" s="369">
        <f>'Returns Analysis'!J38</f>
        <v>-1597966.6417299686</v>
      </c>
      <c r="F81" s="369">
        <f>'Returns Analysis'!K38</f>
        <v>-1546113.4246865364</v>
      </c>
      <c r="G81" s="369">
        <f>'Returns Analysis'!L38</f>
        <v>-1488519.2320715429</v>
      </c>
      <c r="H81" s="369">
        <f>'Returns Analysis'!M38</f>
        <v>-1425078.231778247</v>
      </c>
      <c r="I81" s="369">
        <f>'Returns Analysis'!N38</f>
        <v>-1356831.1811536034</v>
      </c>
      <c r="J81" s="685">
        <f>IFERROR(((I81/D81)^(1/5))-1,0)</f>
        <v>-5.0863926799720183E-3</v>
      </c>
    </row>
    <row r="82" spans="3:10" ht="13.5" customHeight="1" x14ac:dyDescent="0.2">
      <c r="C82" s="2" t="s">
        <v>185</v>
      </c>
      <c r="D82" s="369">
        <f>'Returns Analysis'!I39</f>
        <v>0</v>
      </c>
      <c r="E82" s="369">
        <f>'Returns Analysis'!J39</f>
        <v>21007264.528569944</v>
      </c>
      <c r="F82" s="369">
        <f>'Returns Analysis'!K39</f>
        <v>22302772.979129054</v>
      </c>
      <c r="G82" s="369">
        <f>'Returns Analysis'!L39</f>
        <v>23631372.312853575</v>
      </c>
      <c r="H82" s="369">
        <f>'Returns Analysis'!M39</f>
        <v>24988347.567784414</v>
      </c>
      <c r="I82" s="369">
        <f>'Returns Analysis'!N39</f>
        <v>26412338.759761043</v>
      </c>
      <c r="J82" s="685">
        <v>0</v>
      </c>
    </row>
    <row r="83" spans="3:10" ht="13.5" customHeight="1" x14ac:dyDescent="0.2">
      <c r="C83" s="2" t="s">
        <v>370</v>
      </c>
      <c r="D83" s="369">
        <f>'Returns Analysis'!I40</f>
        <v>0</v>
      </c>
      <c r="E83" s="369">
        <f>'Returns Analysis'!J40</f>
        <v>833333.33333333337</v>
      </c>
      <c r="F83" s="369">
        <f>'Returns Analysis'!K40</f>
        <v>2500000</v>
      </c>
      <c r="G83" s="369">
        <f>'Returns Analysis'!L40</f>
        <v>4166666.666666667</v>
      </c>
      <c r="H83" s="369">
        <f>'Returns Analysis'!M40</f>
        <v>5000000</v>
      </c>
      <c r="I83" s="369">
        <f>'Returns Analysis'!N40</f>
        <v>5000000</v>
      </c>
      <c r="J83" s="685">
        <v>0</v>
      </c>
    </row>
    <row r="84" spans="3:10" ht="13.5" customHeight="1" x14ac:dyDescent="0.2">
      <c r="C84" s="62" t="s">
        <v>71</v>
      </c>
      <c r="D84" s="469">
        <f>'Returns Analysis'!I41</f>
        <v>20965370.854802206</v>
      </c>
      <c r="E84" s="469">
        <f>'Returns Analysis'!J41</f>
        <v>44253019.623990372</v>
      </c>
      <c r="F84" s="469">
        <f>'Returns Analysis'!K41</f>
        <v>47534057.624878891</v>
      </c>
      <c r="G84" s="469">
        <f>'Returns Analysis'!L41</f>
        <v>50711111.70917213</v>
      </c>
      <c r="H84" s="469">
        <f>'Returns Analysis'!M41</f>
        <v>52933345.792177305</v>
      </c>
      <c r="I84" s="469">
        <f>'Returns Analysis'!N41</f>
        <v>54269596.709236406</v>
      </c>
      <c r="J84" s="687">
        <f>IFERROR(((I84/D84)^(1/5))-1,0)</f>
        <v>0.20951374769433473</v>
      </c>
    </row>
    <row r="85" spans="3:10" ht="13.5" customHeight="1" x14ac:dyDescent="0.2">
      <c r="J85" s="690"/>
    </row>
    <row r="86" spans="3:10" ht="13.5" customHeight="1" x14ac:dyDescent="0.2">
      <c r="C86" s="2" t="s">
        <v>214</v>
      </c>
      <c r="D86" s="369">
        <f>'Returns Analysis'!I43</f>
        <v>-346019304.43837708</v>
      </c>
      <c r="E86" s="369">
        <f>'Returns Analysis'!J43</f>
        <v>0</v>
      </c>
      <c r="F86" s="369">
        <f>'Returns Analysis'!K43</f>
        <v>0</v>
      </c>
      <c r="G86" s="369">
        <f>'Returns Analysis'!L43</f>
        <v>0</v>
      </c>
      <c r="H86" s="369">
        <f>'Returns Analysis'!M43</f>
        <v>0</v>
      </c>
      <c r="I86" s="369">
        <f>'Returns Analysis'!N43</f>
        <v>0</v>
      </c>
      <c r="J86" s="685">
        <v>0</v>
      </c>
    </row>
    <row r="87" spans="3:10" ht="13.5" customHeight="1" x14ac:dyDescent="0.2">
      <c r="C87" s="2" t="s">
        <v>210</v>
      </c>
      <c r="D87" s="369">
        <f>'Returns Analysis'!I44</f>
        <v>0</v>
      </c>
      <c r="E87" s="369">
        <f>'Returns Analysis'!J44</f>
        <v>0</v>
      </c>
      <c r="F87" s="369">
        <f>'Returns Analysis'!K44</f>
        <v>0</v>
      </c>
      <c r="G87" s="369">
        <f>'Returns Analysis'!L44</f>
        <v>0</v>
      </c>
      <c r="H87" s="369">
        <f>'Returns Analysis'!M44</f>
        <v>0</v>
      </c>
      <c r="I87" s="369">
        <f>'Returns Analysis'!N44</f>
        <v>342875771.21183085</v>
      </c>
      <c r="J87" s="685">
        <v>0</v>
      </c>
    </row>
    <row r="88" spans="3:10" ht="13.5" customHeight="1" x14ac:dyDescent="0.2">
      <c r="C88" s="2" t="s">
        <v>260</v>
      </c>
      <c r="D88" s="369">
        <f>'Returns Analysis'!I45</f>
        <v>-3460193.0443837708</v>
      </c>
      <c r="E88" s="369">
        <f>'Returns Analysis'!J45</f>
        <v>0</v>
      </c>
      <c r="F88" s="369">
        <f>'Returns Analysis'!K45</f>
        <v>0</v>
      </c>
      <c r="G88" s="369">
        <f>'Returns Analysis'!L45</f>
        <v>0</v>
      </c>
      <c r="H88" s="369">
        <f>'Returns Analysis'!M45</f>
        <v>0</v>
      </c>
      <c r="I88" s="369">
        <f>'Returns Analysis'!N45</f>
        <v>-3428757.7121183085</v>
      </c>
      <c r="J88" s="685">
        <v>0</v>
      </c>
    </row>
    <row r="89" spans="3:10" ht="13.5" customHeight="1" x14ac:dyDescent="0.2">
      <c r="C89" s="62" t="s">
        <v>349</v>
      </c>
      <c r="D89" s="469">
        <f>'Returns Analysis'!I46</f>
        <v>-328514126.62795866</v>
      </c>
      <c r="E89" s="469">
        <f>'Returns Analysis'!J46</f>
        <v>44253019.623990372</v>
      </c>
      <c r="F89" s="469">
        <f>'Returns Analysis'!K46</f>
        <v>47534057.624878891</v>
      </c>
      <c r="G89" s="469">
        <f>'Returns Analysis'!L46</f>
        <v>50711111.70917213</v>
      </c>
      <c r="H89" s="469">
        <f>'Returns Analysis'!M46</f>
        <v>52933345.792177305</v>
      </c>
      <c r="I89" s="469">
        <f>'Returns Analysis'!N46</f>
        <v>393716610.20894891</v>
      </c>
      <c r="J89" s="687">
        <v>0</v>
      </c>
    </row>
    <row r="90" spans="3:10" ht="13.5" customHeight="1" x14ac:dyDescent="0.2">
      <c r="J90" s="690"/>
    </row>
    <row r="91" spans="3:10" ht="13.5" customHeight="1" x14ac:dyDescent="0.2">
      <c r="C91" s="2" t="s">
        <v>209</v>
      </c>
      <c r="D91" s="369">
        <f>'Returns Analysis'!I49</f>
        <v>199826148.31316277</v>
      </c>
      <c r="E91" s="369">
        <f>'Returns Analysis'!J49</f>
        <v>-31397763.512738537</v>
      </c>
      <c r="F91" s="369">
        <f>'Returns Analysis'!K49</f>
        <v>-31005738.536544994</v>
      </c>
      <c r="G91" s="369">
        <f>'Returns Analysis'!L49</f>
        <v>-30559065.203129906</v>
      </c>
      <c r="H91" s="369">
        <f>'Returns Analysis'!M49</f>
        <v>-30052726.458807904</v>
      </c>
      <c r="I91" s="369">
        <f>'Returns Analysis'!N49</f>
        <v>-153191557.21079701</v>
      </c>
      <c r="J91" s="685">
        <v>0</v>
      </c>
    </row>
    <row r="92" spans="3:10" ht="13.5" customHeight="1" x14ac:dyDescent="0.2">
      <c r="C92" s="62" t="s">
        <v>211</v>
      </c>
      <c r="D92" s="469">
        <f>'Returns Analysis'!I50</f>
        <v>-128687978.31479588</v>
      </c>
      <c r="E92" s="469">
        <f>'Returns Analysis'!J50</f>
        <v>12855256.111251835</v>
      </c>
      <c r="F92" s="469">
        <f>'Returns Analysis'!K50</f>
        <v>16528319.088333897</v>
      </c>
      <c r="G92" s="469">
        <f>'Returns Analysis'!L50</f>
        <v>20152046.506042223</v>
      </c>
      <c r="H92" s="469">
        <f>'Returns Analysis'!M50</f>
        <v>22880619.3333694</v>
      </c>
      <c r="I92" s="469">
        <f>'Returns Analysis'!N50</f>
        <v>240525052.9981519</v>
      </c>
      <c r="J92" s="687">
        <v>0</v>
      </c>
    </row>
    <row r="93" spans="3:10" ht="13.5" customHeight="1" x14ac:dyDescent="0.2"/>
    <row r="94" spans="3:10" ht="13.5" customHeight="1" x14ac:dyDescent="0.2"/>
    <row r="95" spans="3:10" ht="13.5" customHeight="1" x14ac:dyDescent="0.2"/>
    <row r="96" spans="3:10" x14ac:dyDescent="0.2"/>
    <row r="97" x14ac:dyDescent="0.2"/>
    <row r="98" x14ac:dyDescent="0.2"/>
  </sheetData>
  <dataValidations count="2">
    <dataValidation type="list" allowBlank="1" showInputMessage="1" showErrorMessage="1" sqref="I11 I18 I24" xr:uid="{8AF39D4C-93CB-438B-B148-5333A6C71E3B}">
      <formula1>"1,0"</formula1>
    </dataValidation>
    <dataValidation type="list" allowBlank="1" showInputMessage="1" showErrorMessage="1" sqref="I32" xr:uid="{6AC5CD5E-AD64-499F-902A-F2CE0326F2B5}">
      <formula1>"Fixed,Floating"</formula1>
    </dataValidation>
  </dataValidations>
  <printOptions horizontalCentered="1"/>
  <pageMargins left="0.39370078740157483" right="0.39370078740157483" top="0.39370078740157483" bottom="0.39370078740157483" header="0.31496062992125984" footer="0.31496062992125984"/>
  <pageSetup paperSize="9" scale="58"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3DC766-4134-447E-A3C2-174E08E71AF8}">
  <sheetPr codeName="Sheet15">
    <tabColor theme="9" tint="0.79998168889431442"/>
    <pageSetUpPr fitToPage="1"/>
  </sheetPr>
  <dimension ref="A1:BW323"/>
  <sheetViews>
    <sheetView showGridLines="0" zoomScaleNormal="100" workbookViewId="0"/>
  </sheetViews>
  <sheetFormatPr defaultColWidth="0" defaultRowHeight="13.5" zeroHeight="1" x14ac:dyDescent="0.2"/>
  <cols>
    <col min="1" max="1" width="2.1640625" style="2" customWidth="1"/>
    <col min="2" max="3" width="1.6640625" style="1" customWidth="1"/>
    <col min="4" max="4" width="40.6640625" style="2" customWidth="1"/>
    <col min="5" max="7" width="15.6640625" style="2" customWidth="1"/>
    <col min="8" max="10" width="13.33203125" style="2" customWidth="1"/>
    <col min="11" max="11" width="7.6640625" style="2" bestFit="1" customWidth="1"/>
    <col min="12" max="12" width="40.6640625" style="2" customWidth="1"/>
    <col min="13" max="18" width="13.33203125" style="2" customWidth="1"/>
    <col min="19" max="19" width="5.5" style="2" bestFit="1" customWidth="1"/>
    <col min="20" max="20" width="40.6640625" style="2" customWidth="1"/>
    <col min="21" max="26" width="13.33203125" style="2" customWidth="1"/>
    <col min="27" max="27" width="7.1640625" style="2" bestFit="1" customWidth="1"/>
    <col min="28" max="28" width="40.6640625" style="2" customWidth="1"/>
    <col min="29" max="34" width="13.33203125" style="2" customWidth="1"/>
    <col min="35" max="35" width="3.6640625" style="2" customWidth="1"/>
    <col min="36" max="38" width="1.6640625" style="2" customWidth="1"/>
    <col min="39" max="75" width="0" style="2" hidden="1" customWidth="1"/>
    <col min="76" max="16384" width="9.33203125" style="2" hidden="1"/>
  </cols>
  <sheetData>
    <row r="1" spans="1:35" ht="13.5" customHeight="1" x14ac:dyDescent="0.2">
      <c r="E1" s="149"/>
      <c r="F1" s="149"/>
      <c r="G1" s="149"/>
      <c r="H1" s="149"/>
      <c r="I1" s="149"/>
      <c r="J1" s="149"/>
    </row>
    <row r="2" spans="1:35" ht="13.5" customHeight="1" x14ac:dyDescent="0.2">
      <c r="D2" s="120" t="s">
        <v>384</v>
      </c>
      <c r="E2" s="149"/>
      <c r="F2" s="149"/>
      <c r="G2" s="149"/>
      <c r="H2" s="149"/>
      <c r="I2" s="149"/>
      <c r="J2" s="149"/>
    </row>
    <row r="3" spans="1:35" ht="13.5" customHeight="1" x14ac:dyDescent="0.2">
      <c r="B3" s="200" t="s">
        <v>37</v>
      </c>
      <c r="D3" s="11" t="s">
        <v>412</v>
      </c>
      <c r="E3" s="12"/>
      <c r="F3" s="12"/>
      <c r="G3" s="12"/>
      <c r="H3" s="12"/>
      <c r="I3" s="12"/>
      <c r="J3" s="12"/>
      <c r="K3" s="12"/>
      <c r="L3" s="12"/>
      <c r="M3" s="12"/>
      <c r="N3" s="12"/>
      <c r="O3" s="12"/>
      <c r="P3" s="12"/>
      <c r="Q3" s="12"/>
      <c r="R3" s="12"/>
      <c r="S3" s="12"/>
      <c r="T3" s="12"/>
      <c r="U3" s="12"/>
      <c r="V3" s="12"/>
      <c r="W3" s="12"/>
      <c r="X3" s="12"/>
      <c r="Y3" s="12"/>
      <c r="Z3" s="12"/>
      <c r="AA3" s="12"/>
      <c r="AB3" s="12"/>
      <c r="AC3" s="12"/>
      <c r="AD3" s="12"/>
      <c r="AE3" s="12"/>
      <c r="AF3" s="12"/>
      <c r="AG3" s="12"/>
      <c r="AH3" s="13"/>
      <c r="AI3" s="12"/>
    </row>
    <row r="4" spans="1:35" x14ac:dyDescent="0.25">
      <c r="E4" s="437">
        <f>Dashboard!I11</f>
        <v>1</v>
      </c>
      <c r="F4" s="437">
        <f>Dashboard!I18</f>
        <v>1</v>
      </c>
      <c r="H4" s="329"/>
      <c r="I4" s="56"/>
      <c r="J4" s="56"/>
      <c r="K4" s="82"/>
      <c r="L4" s="82"/>
      <c r="M4" s="82"/>
      <c r="N4" s="82"/>
      <c r="O4" s="82"/>
      <c r="P4" s="82"/>
      <c r="Q4" s="82"/>
      <c r="R4" s="82"/>
      <c r="S4" s="82"/>
      <c r="T4" s="82"/>
      <c r="U4" s="397"/>
      <c r="V4" s="82"/>
      <c r="W4" s="82"/>
      <c r="X4" s="82"/>
      <c r="Y4" s="397"/>
      <c r="Z4" s="82"/>
      <c r="AA4" s="82"/>
    </row>
    <row r="5" spans="1:35" x14ac:dyDescent="0.2">
      <c r="E5" s="171" t="s">
        <v>219</v>
      </c>
      <c r="F5" s="279" t="s">
        <v>127</v>
      </c>
      <c r="G5" s="279" t="s">
        <v>413</v>
      </c>
      <c r="H5" s="151"/>
      <c r="J5" s="82"/>
      <c r="K5" s="82"/>
      <c r="L5" s="199"/>
      <c r="M5" s="199"/>
      <c r="N5" s="199"/>
      <c r="O5" s="82"/>
      <c r="P5" s="82"/>
      <c r="Q5" s="82"/>
      <c r="R5" s="82"/>
      <c r="S5" s="82"/>
      <c r="T5" s="82"/>
      <c r="U5" s="397"/>
      <c r="V5" s="199"/>
      <c r="W5" s="199"/>
      <c r="X5" s="82"/>
      <c r="Y5" s="199"/>
      <c r="Z5" s="199"/>
      <c r="AA5" s="402"/>
      <c r="AB5" s="330"/>
    </row>
    <row r="6" spans="1:35" x14ac:dyDescent="0.25">
      <c r="A6" s="47"/>
      <c r="D6" s="201" t="s">
        <v>39</v>
      </c>
      <c r="E6" s="403">
        <f>IF(E$4=1,1,0)</f>
        <v>1</v>
      </c>
      <c r="F6" s="403">
        <f>IF(F$4=1,1,0)</f>
        <v>1</v>
      </c>
      <c r="G6" s="437">
        <f>Dashboard!$I$24</f>
        <v>1</v>
      </c>
      <c r="H6" s="329"/>
      <c r="J6" s="82"/>
      <c r="K6" s="82"/>
      <c r="L6" s="403"/>
      <c r="M6" s="403"/>
      <c r="N6" s="403"/>
      <c r="O6" s="82"/>
      <c r="P6" s="82"/>
      <c r="Q6" s="82"/>
      <c r="R6" s="82"/>
      <c r="S6" s="82"/>
      <c r="T6" s="82"/>
      <c r="U6" s="397"/>
      <c r="V6" s="403"/>
      <c r="W6" s="403"/>
      <c r="X6" s="82"/>
      <c r="Y6" s="403"/>
      <c r="Z6" s="403"/>
      <c r="AA6" s="404"/>
      <c r="AB6" s="331"/>
    </row>
    <row r="7" spans="1:35" x14ac:dyDescent="0.2">
      <c r="D7" s="201"/>
      <c r="E7" s="56"/>
      <c r="F7" s="56"/>
      <c r="H7" s="56"/>
      <c r="I7" s="56"/>
      <c r="J7" s="56"/>
      <c r="K7" s="82"/>
      <c r="L7" s="82"/>
      <c r="M7" s="82"/>
      <c r="N7" s="82"/>
      <c r="U7" s="82"/>
      <c r="V7" s="82"/>
      <c r="W7" s="82"/>
      <c r="X7" s="82"/>
      <c r="Y7" s="82"/>
      <c r="Z7" s="82"/>
      <c r="AA7" s="82"/>
    </row>
    <row r="8" spans="1:35" x14ac:dyDescent="0.25">
      <c r="D8" s="201"/>
      <c r="F8" s="56"/>
      <c r="H8" s="56"/>
      <c r="I8" s="56"/>
      <c r="J8" s="56"/>
      <c r="K8" s="82"/>
      <c r="L8" s="82"/>
      <c r="M8" s="82"/>
      <c r="N8" s="82"/>
      <c r="O8" s="82"/>
      <c r="P8" s="82"/>
      <c r="Q8" s="82"/>
      <c r="R8" s="82"/>
      <c r="S8" s="82"/>
      <c r="T8" s="82"/>
      <c r="U8" s="403"/>
      <c r="V8" s="82"/>
      <c r="W8" s="82"/>
      <c r="X8" s="82"/>
      <c r="Y8" s="403"/>
      <c r="Z8" s="82"/>
      <c r="AA8" s="82"/>
    </row>
    <row r="9" spans="1:35" x14ac:dyDescent="0.2">
      <c r="D9" s="201"/>
      <c r="E9"/>
      <c r="F9" s="56"/>
      <c r="G9" s="56"/>
      <c r="H9" s="56"/>
      <c r="I9" s="56"/>
      <c r="J9" s="56"/>
    </row>
    <row r="10" spans="1:35" ht="13.5" customHeight="1" x14ac:dyDescent="0.2">
      <c r="B10" s="200" t="s">
        <v>37</v>
      </c>
      <c r="D10" s="11" t="s">
        <v>217</v>
      </c>
      <c r="E10" s="12"/>
      <c r="F10" s="12"/>
      <c r="G10" s="12"/>
      <c r="H10" s="12"/>
      <c r="I10" s="12"/>
      <c r="J10" s="12"/>
      <c r="K10" s="12"/>
      <c r="L10" s="12"/>
      <c r="M10" s="12"/>
      <c r="N10" s="12"/>
      <c r="O10" s="12"/>
      <c r="P10" s="12"/>
      <c r="Q10" s="12"/>
      <c r="R10" s="12"/>
      <c r="S10" s="12"/>
      <c r="T10" s="12"/>
      <c r="U10" s="12"/>
      <c r="V10" s="12"/>
      <c r="W10" s="12"/>
      <c r="X10" s="12"/>
      <c r="Y10" s="12"/>
      <c r="Z10" s="12"/>
      <c r="AA10" s="12"/>
      <c r="AB10" s="12"/>
      <c r="AC10" s="12"/>
      <c r="AD10" s="12"/>
      <c r="AE10" s="12"/>
      <c r="AF10" s="12"/>
      <c r="AG10" s="12"/>
      <c r="AH10" s="13"/>
      <c r="AI10" s="12"/>
    </row>
    <row r="11" spans="1:35" x14ac:dyDescent="0.2">
      <c r="E11" s="67"/>
      <c r="F11" s="56"/>
      <c r="G11" s="56"/>
      <c r="H11" s="56"/>
      <c r="I11" s="56"/>
      <c r="J11" s="56"/>
    </row>
    <row r="12" spans="1:35" x14ac:dyDescent="0.2">
      <c r="D12" s="2" t="s">
        <v>79</v>
      </c>
      <c r="E12" s="75">
        <v>46296</v>
      </c>
      <c r="F12" s="377" t="s">
        <v>356</v>
      </c>
      <c r="G12" s="56"/>
      <c r="H12" s="56"/>
      <c r="I12" s="56"/>
      <c r="J12" s="56"/>
    </row>
    <row r="13" spans="1:35" x14ac:dyDescent="0.2">
      <c r="D13" s="2" t="s">
        <v>140</v>
      </c>
      <c r="E13" s="207">
        <f>EOMONTH(E12,12*5-1)</f>
        <v>48121</v>
      </c>
      <c r="F13" s="56"/>
      <c r="G13" s="56"/>
      <c r="H13" s="56"/>
      <c r="I13" s="56"/>
      <c r="J13" s="56"/>
    </row>
    <row r="14" spans="1:35" x14ac:dyDescent="0.2">
      <c r="E14" s="41"/>
      <c r="F14" s="56"/>
      <c r="G14" s="56"/>
      <c r="H14" s="56"/>
      <c r="I14" s="56"/>
      <c r="J14" s="56"/>
    </row>
    <row r="15" spans="1:35" x14ac:dyDescent="0.2">
      <c r="B15" s="200" t="s">
        <v>37</v>
      </c>
      <c r="D15" s="11" t="s">
        <v>357</v>
      </c>
      <c r="E15" s="12"/>
      <c r="F15" s="12"/>
      <c r="G15" s="12"/>
      <c r="H15" s="12"/>
      <c r="I15" s="12"/>
      <c r="J15" s="12"/>
      <c r="K15" s="12"/>
      <c r="L15" s="12"/>
      <c r="M15" s="12"/>
      <c r="N15" s="12"/>
      <c r="O15" s="12"/>
      <c r="P15" s="12"/>
      <c r="Q15" s="12"/>
      <c r="R15" s="12"/>
      <c r="S15" s="12"/>
      <c r="T15" s="12"/>
      <c r="U15" s="12"/>
      <c r="V15" s="12"/>
      <c r="W15" s="12"/>
      <c r="X15" s="12"/>
      <c r="Y15" s="12"/>
      <c r="Z15" s="12"/>
      <c r="AA15" s="12"/>
      <c r="AB15" s="12"/>
      <c r="AC15" s="12"/>
      <c r="AD15" s="12"/>
      <c r="AE15" s="12"/>
      <c r="AF15" s="12"/>
      <c r="AG15" s="12"/>
      <c r="AH15" s="13"/>
      <c r="AI15" s="12"/>
    </row>
    <row r="16" spans="1:35" x14ac:dyDescent="0.2">
      <c r="D16" s="16"/>
      <c r="E16" s="67"/>
      <c r="F16" s="56"/>
      <c r="G16" s="56"/>
      <c r="H16" s="56"/>
      <c r="I16" s="56"/>
      <c r="J16" s="56"/>
    </row>
    <row r="17" spans="4:10" x14ac:dyDescent="0.2">
      <c r="D17" s="170"/>
      <c r="E17" s="491" t="s">
        <v>378</v>
      </c>
      <c r="F17" s="171" t="s">
        <v>379</v>
      </c>
      <c r="G17" s="171" t="s">
        <v>380</v>
      </c>
      <c r="H17" s="171" t="s">
        <v>381</v>
      </c>
      <c r="I17" s="171" t="s">
        <v>382</v>
      </c>
      <c r="J17" s="171" t="s">
        <v>383</v>
      </c>
    </row>
    <row r="18" spans="4:10" ht="13.5" customHeight="1" x14ac:dyDescent="0.2">
      <c r="E18" s="67"/>
      <c r="F18" s="56"/>
      <c r="G18" s="56"/>
      <c r="H18" s="56"/>
      <c r="I18" s="56"/>
      <c r="J18" s="56"/>
    </row>
    <row r="19" spans="4:10" ht="13.5" customHeight="1" x14ac:dyDescent="0.2">
      <c r="D19" s="17" t="s">
        <v>48</v>
      </c>
      <c r="E19" s="67"/>
      <c r="F19" s="56"/>
      <c r="G19" s="56"/>
      <c r="H19" s="56"/>
      <c r="I19" s="56"/>
      <c r="J19" s="56"/>
    </row>
    <row r="20" spans="4:10" ht="13.5" customHeight="1" x14ac:dyDescent="0.2">
      <c r="D20" s="2" t="s">
        <v>44</v>
      </c>
      <c r="F20" s="693">
        <v>0</v>
      </c>
      <c r="G20" s="693">
        <v>0</v>
      </c>
      <c r="H20" s="693">
        <v>0</v>
      </c>
      <c r="I20" s="693">
        <v>0</v>
      </c>
      <c r="J20" s="693">
        <v>0</v>
      </c>
    </row>
    <row r="21" spans="4:10" ht="13.5" customHeight="1" x14ac:dyDescent="0.2">
      <c r="D21" s="2" t="s">
        <v>66</v>
      </c>
      <c r="F21" s="693">
        <v>0</v>
      </c>
      <c r="G21" s="693">
        <v>0</v>
      </c>
      <c r="H21" s="693">
        <v>0</v>
      </c>
      <c r="I21" s="693">
        <v>0</v>
      </c>
      <c r="J21" s="693">
        <v>0</v>
      </c>
    </row>
    <row r="22" spans="4:10" ht="13.5" customHeight="1" x14ac:dyDescent="0.2">
      <c r="D22" s="2" t="s">
        <v>65</v>
      </c>
      <c r="F22" s="693">
        <v>0</v>
      </c>
      <c r="G22" s="693">
        <v>0</v>
      </c>
      <c r="H22" s="693">
        <v>0</v>
      </c>
      <c r="I22" s="693">
        <v>0</v>
      </c>
      <c r="J22" s="693">
        <v>0</v>
      </c>
    </row>
    <row r="23" spans="4:10" ht="13.5" customHeight="1" x14ac:dyDescent="0.2">
      <c r="D23" s="2" t="s">
        <v>47</v>
      </c>
      <c r="F23" s="693">
        <v>0</v>
      </c>
      <c r="G23" s="693">
        <v>0</v>
      </c>
      <c r="H23" s="693">
        <v>0</v>
      </c>
      <c r="I23" s="693">
        <v>0</v>
      </c>
      <c r="J23" s="693">
        <v>0</v>
      </c>
    </row>
    <row r="24" spans="4:10" ht="13.5" customHeight="1" x14ac:dyDescent="0.2">
      <c r="E24" s="67"/>
      <c r="F24" s="56"/>
      <c r="G24" s="56"/>
      <c r="H24" s="56"/>
      <c r="I24" s="56"/>
      <c r="J24" s="56"/>
    </row>
    <row r="25" spans="4:10" x14ac:dyDescent="0.2">
      <c r="D25" s="17" t="s">
        <v>228</v>
      </c>
      <c r="E25" s="67"/>
      <c r="F25" s="56"/>
      <c r="G25" s="56"/>
      <c r="H25" s="56"/>
      <c r="I25" s="56"/>
      <c r="J25" s="56"/>
    </row>
    <row r="26" spans="4:10" ht="13.5" customHeight="1" x14ac:dyDescent="0.2">
      <c r="D26" s="2" t="s">
        <v>60</v>
      </c>
      <c r="E26" s="426">
        <f>Dashboard!D20</f>
        <v>0.02</v>
      </c>
      <c r="F26" s="56"/>
      <c r="G26" s="56"/>
      <c r="H26" s="56"/>
      <c r="I26" s="56"/>
      <c r="J26" s="56"/>
    </row>
    <row r="27" spans="4:10" ht="13.5" customHeight="1" x14ac:dyDescent="0.2">
      <c r="D27" s="2" t="s">
        <v>296</v>
      </c>
      <c r="E27" s="426">
        <f>Dashboard!D22</f>
        <v>0</v>
      </c>
      <c r="F27" s="56"/>
      <c r="G27" s="56"/>
      <c r="H27" s="56"/>
      <c r="I27" s="56"/>
      <c r="J27" s="56"/>
    </row>
    <row r="28" spans="4:10" ht="13.5" customHeight="1" x14ac:dyDescent="0.2">
      <c r="D28" s="2" t="s">
        <v>267</v>
      </c>
      <c r="E28" s="383">
        <f>E26</f>
        <v>0.02</v>
      </c>
      <c r="F28" s="51"/>
      <c r="G28" s="56"/>
      <c r="H28" s="56"/>
      <c r="I28" s="56"/>
      <c r="J28" s="56"/>
    </row>
    <row r="29" spans="4:10" ht="13.5" customHeight="1" x14ac:dyDescent="0.3">
      <c r="D29" s="2" t="s">
        <v>287</v>
      </c>
      <c r="E29" s="375">
        <v>125</v>
      </c>
      <c r="F29" s="377" t="s">
        <v>291</v>
      </c>
      <c r="G29" s="56"/>
      <c r="H29" s="56"/>
      <c r="I29" s="56"/>
      <c r="J29" s="56"/>
    </row>
    <row r="30" spans="4:10" ht="13.5" customHeight="1" x14ac:dyDescent="0.2">
      <c r="E30" s="67"/>
      <c r="F30" s="56"/>
      <c r="G30" s="56"/>
      <c r="H30" s="56"/>
      <c r="I30" s="56"/>
      <c r="J30" s="56"/>
    </row>
    <row r="31" spans="4:10" x14ac:dyDescent="0.2">
      <c r="D31" s="17" t="s">
        <v>229</v>
      </c>
      <c r="E31" s="67"/>
      <c r="F31" s="56"/>
      <c r="G31" s="388"/>
      <c r="H31" s="388"/>
      <c r="I31" s="388"/>
      <c r="J31" s="56"/>
    </row>
    <row r="32" spans="4:10" ht="13.5" customHeight="1" x14ac:dyDescent="0.2">
      <c r="D32" s="2" t="s">
        <v>289</v>
      </c>
      <c r="E32" s="18">
        <f>Dashboard!D26</f>
        <v>0</v>
      </c>
      <c r="F32" s="56"/>
      <c r="G32" s="376"/>
      <c r="H32" s="376"/>
      <c r="I32" s="376"/>
      <c r="J32" s="56"/>
    </row>
    <row r="33" spans="1:15" ht="13.5" customHeight="1" x14ac:dyDescent="0.2">
      <c r="D33" s="2" t="s">
        <v>56</v>
      </c>
      <c r="E33" s="18">
        <f>Dashboard!D27</f>
        <v>0</v>
      </c>
      <c r="F33" s="56"/>
      <c r="G33" s="376"/>
      <c r="H33" s="376"/>
      <c r="I33" s="376"/>
      <c r="J33" s="56"/>
    </row>
    <row r="34" spans="1:15" ht="13.5" customHeight="1" x14ac:dyDescent="0.2">
      <c r="D34" s="2" t="s">
        <v>63</v>
      </c>
      <c r="E34" s="18">
        <f>Dashboard!D28</f>
        <v>0</v>
      </c>
      <c r="F34" s="56"/>
      <c r="G34" s="376"/>
      <c r="H34" s="376"/>
      <c r="I34" s="376"/>
      <c r="J34" s="56"/>
    </row>
    <row r="35" spans="1:15" ht="13.5" customHeight="1" x14ac:dyDescent="0.2">
      <c r="D35" s="2" t="s">
        <v>295</v>
      </c>
      <c r="E35" s="18">
        <f>Dashboard!D29</f>
        <v>0</v>
      </c>
      <c r="F35" s="56"/>
      <c r="G35" s="376"/>
      <c r="H35" s="376"/>
      <c r="I35" s="376"/>
      <c r="J35" s="56"/>
    </row>
    <row r="36" spans="1:15" ht="13.5" customHeight="1" x14ac:dyDescent="0.2">
      <c r="E36" s="376"/>
      <c r="F36" s="56"/>
      <c r="G36" s="56"/>
      <c r="H36" s="56"/>
      <c r="I36" s="56"/>
      <c r="J36" s="56"/>
    </row>
    <row r="37" spans="1:15" x14ac:dyDescent="0.2">
      <c r="D37" s="17" t="s">
        <v>199</v>
      </c>
      <c r="E37" s="67"/>
      <c r="F37" s="56"/>
      <c r="G37" s="56"/>
      <c r="H37" s="56"/>
      <c r="I37" s="56"/>
      <c r="J37" s="56"/>
    </row>
    <row r="38" spans="1:15" x14ac:dyDescent="0.3">
      <c r="D38" s="2" t="s">
        <v>221</v>
      </c>
      <c r="E38" s="283" t="s">
        <v>220</v>
      </c>
      <c r="F38" s="202">
        <v>0</v>
      </c>
      <c r="G38" s="202">
        <v>0</v>
      </c>
      <c r="H38" s="202">
        <v>0</v>
      </c>
      <c r="I38" s="202">
        <v>0</v>
      </c>
      <c r="J38" s="202">
        <v>0</v>
      </c>
    </row>
    <row r="39" spans="1:15" x14ac:dyDescent="0.3">
      <c r="A39" s="1"/>
      <c r="D39" s="2" t="s">
        <v>49</v>
      </c>
      <c r="E39" s="283" t="s">
        <v>189</v>
      </c>
      <c r="F39" s="202">
        <v>2.4676438356164385E-2</v>
      </c>
      <c r="G39" s="202">
        <v>2.3173150684931507E-2</v>
      </c>
      <c r="H39" s="202">
        <v>2.1449041095890409E-2</v>
      </c>
      <c r="I39" s="202">
        <v>1.9598630136986303E-2</v>
      </c>
      <c r="J39" s="202">
        <v>1.9400273972602741E-2</v>
      </c>
    </row>
    <row r="40" spans="1:15" x14ac:dyDescent="0.3">
      <c r="D40" s="2" t="s">
        <v>50</v>
      </c>
      <c r="E40" s="283" t="s">
        <v>40</v>
      </c>
      <c r="F40" s="202">
        <v>3.5127123287671237E-2</v>
      </c>
      <c r="G40" s="202">
        <v>3.3197534246575344E-2</v>
      </c>
      <c r="H40" s="202">
        <v>3.1849589041095888E-2</v>
      </c>
      <c r="I40" s="202">
        <v>2.576958904109589E-2</v>
      </c>
      <c r="J40" s="202">
        <v>2.1623013698630136E-2</v>
      </c>
      <c r="L40" s="82"/>
      <c r="M40" s="82"/>
      <c r="N40" s="82"/>
      <c r="O40" s="82"/>
    </row>
    <row r="41" spans="1:15" x14ac:dyDescent="0.3">
      <c r="E41" s="281"/>
      <c r="F41" s="56"/>
      <c r="G41" s="56"/>
      <c r="H41" s="56"/>
      <c r="I41" s="56"/>
      <c r="J41" s="56"/>
      <c r="L41" s="82"/>
      <c r="M41" s="82"/>
      <c r="N41" s="82"/>
      <c r="O41" s="82"/>
    </row>
    <row r="42" spans="1:15" x14ac:dyDescent="0.3">
      <c r="D42" s="17" t="s">
        <v>200</v>
      </c>
      <c r="E42" s="281"/>
      <c r="F42" s="56"/>
      <c r="G42" s="56"/>
      <c r="H42" s="56"/>
      <c r="I42" s="56"/>
      <c r="J42" s="56"/>
      <c r="L42" s="389"/>
      <c r="M42" s="389"/>
      <c r="N42" s="390"/>
      <c r="O42" s="82"/>
    </row>
    <row r="43" spans="1:15" x14ac:dyDescent="0.3">
      <c r="D43" s="2" t="s">
        <v>224</v>
      </c>
      <c r="E43" s="427">
        <f>Dashboard!D21</f>
        <v>0.02</v>
      </c>
      <c r="F43" s="18">
        <f t="shared" ref="F43:J50" si="0">IF(ISNUMBER($E43),$E43,INDEX(F$38:F$40,MATCH($E43,$E$38:$E$40,0)))</f>
        <v>0.02</v>
      </c>
      <c r="G43" s="18">
        <f t="shared" si="0"/>
        <v>0.02</v>
      </c>
      <c r="H43" s="18">
        <f t="shared" si="0"/>
        <v>0.02</v>
      </c>
      <c r="I43" s="18">
        <f t="shared" si="0"/>
        <v>0.02</v>
      </c>
      <c r="J43" s="18">
        <f t="shared" si="0"/>
        <v>0.02</v>
      </c>
      <c r="L43" s="391"/>
      <c r="M43" s="391"/>
      <c r="N43" s="391"/>
      <c r="O43" s="82"/>
    </row>
    <row r="44" spans="1:15" x14ac:dyDescent="0.3">
      <c r="D44" s="2" t="s">
        <v>290</v>
      </c>
      <c r="E44" s="427">
        <f>Dashboard!D23</f>
        <v>0.02</v>
      </c>
      <c r="F44" s="18">
        <f t="shared" si="0"/>
        <v>0.02</v>
      </c>
      <c r="G44" s="18">
        <f t="shared" si="0"/>
        <v>0.02</v>
      </c>
      <c r="H44" s="18">
        <f t="shared" si="0"/>
        <v>0.02</v>
      </c>
      <c r="I44" s="18">
        <f t="shared" si="0"/>
        <v>0.02</v>
      </c>
      <c r="J44" s="18">
        <f t="shared" si="0"/>
        <v>0.02</v>
      </c>
      <c r="L44" s="391"/>
      <c r="M44" s="391"/>
      <c r="N44" s="391"/>
      <c r="O44" s="82"/>
    </row>
    <row r="45" spans="1:15" x14ac:dyDescent="0.3">
      <c r="D45" s="2" t="s">
        <v>14</v>
      </c>
      <c r="E45" s="379" t="s">
        <v>40</v>
      </c>
      <c r="F45" s="18">
        <f t="shared" si="0"/>
        <v>3.5127123287671237E-2</v>
      </c>
      <c r="G45" s="18">
        <f t="shared" si="0"/>
        <v>3.3197534246575344E-2</v>
      </c>
      <c r="H45" s="18">
        <f t="shared" si="0"/>
        <v>3.1849589041095888E-2</v>
      </c>
      <c r="I45" s="18">
        <f t="shared" si="0"/>
        <v>2.576958904109589E-2</v>
      </c>
      <c r="J45" s="18">
        <f t="shared" si="0"/>
        <v>2.1623013698630136E-2</v>
      </c>
      <c r="L45" s="391"/>
      <c r="M45" s="391"/>
      <c r="N45" s="391"/>
      <c r="O45" s="82"/>
    </row>
    <row r="46" spans="1:15" x14ac:dyDescent="0.3">
      <c r="D46" s="2" t="s">
        <v>28</v>
      </c>
      <c r="E46" s="379" t="s">
        <v>220</v>
      </c>
      <c r="F46" s="18">
        <f t="shared" si="0"/>
        <v>0</v>
      </c>
      <c r="G46" s="18">
        <f t="shared" si="0"/>
        <v>0</v>
      </c>
      <c r="H46" s="18">
        <f t="shared" si="0"/>
        <v>0</v>
      </c>
      <c r="I46" s="18">
        <f t="shared" si="0"/>
        <v>0</v>
      </c>
      <c r="J46" s="18">
        <f t="shared" si="0"/>
        <v>0</v>
      </c>
      <c r="L46" s="391"/>
      <c r="M46" s="391"/>
      <c r="N46" s="391"/>
      <c r="O46" s="82"/>
    </row>
    <row r="47" spans="1:15" x14ac:dyDescent="0.3">
      <c r="D47" s="2" t="s">
        <v>51</v>
      </c>
      <c r="E47" s="379">
        <v>0.02</v>
      </c>
      <c r="F47" s="18">
        <f t="shared" si="0"/>
        <v>0.02</v>
      </c>
      <c r="G47" s="18">
        <f t="shared" si="0"/>
        <v>0.02</v>
      </c>
      <c r="H47" s="18">
        <f t="shared" si="0"/>
        <v>0.02</v>
      </c>
      <c r="I47" s="18">
        <f t="shared" si="0"/>
        <v>0.02</v>
      </c>
      <c r="J47" s="18">
        <f t="shared" si="0"/>
        <v>0.02</v>
      </c>
      <c r="L47" s="391"/>
      <c r="M47" s="391"/>
      <c r="N47" s="391"/>
      <c r="O47" s="82"/>
    </row>
    <row r="48" spans="1:15" x14ac:dyDescent="0.3">
      <c r="D48" s="2" t="s">
        <v>52</v>
      </c>
      <c r="E48" s="379">
        <v>0.02</v>
      </c>
      <c r="F48" s="18">
        <f t="shared" si="0"/>
        <v>0.02</v>
      </c>
      <c r="G48" s="18">
        <f t="shared" si="0"/>
        <v>0.02</v>
      </c>
      <c r="H48" s="18">
        <f t="shared" si="0"/>
        <v>0.02</v>
      </c>
      <c r="I48" s="18">
        <f t="shared" si="0"/>
        <v>0.02</v>
      </c>
      <c r="J48" s="18">
        <f t="shared" si="0"/>
        <v>0.02</v>
      </c>
      <c r="L48" s="391"/>
      <c r="M48" s="391"/>
      <c r="N48" s="391"/>
      <c r="O48" s="82"/>
    </row>
    <row r="49" spans="1:47" x14ac:dyDescent="0.3">
      <c r="D49" s="2" t="s">
        <v>129</v>
      </c>
      <c r="E49" s="379" t="s">
        <v>189</v>
      </c>
      <c r="F49" s="18">
        <f t="shared" si="0"/>
        <v>2.4676438356164385E-2</v>
      </c>
      <c r="G49" s="18">
        <f t="shared" si="0"/>
        <v>2.3173150684931507E-2</v>
      </c>
      <c r="H49" s="18">
        <f t="shared" si="0"/>
        <v>2.1449041095890409E-2</v>
      </c>
      <c r="I49" s="18">
        <f t="shared" si="0"/>
        <v>1.9598630136986303E-2</v>
      </c>
      <c r="J49" s="18">
        <f t="shared" si="0"/>
        <v>1.9400273972602741E-2</v>
      </c>
      <c r="L49" s="391"/>
      <c r="M49" s="391"/>
      <c r="N49" s="391"/>
      <c r="O49" s="82"/>
    </row>
    <row r="50" spans="1:47" x14ac:dyDescent="0.3">
      <c r="D50" s="2" t="s">
        <v>197</v>
      </c>
      <c r="E50" s="379" t="s">
        <v>189</v>
      </c>
      <c r="F50" s="18">
        <f t="shared" si="0"/>
        <v>2.4676438356164385E-2</v>
      </c>
      <c r="G50" s="18">
        <f t="shared" si="0"/>
        <v>2.3173150684931507E-2</v>
      </c>
      <c r="H50" s="18">
        <f t="shared" si="0"/>
        <v>2.1449041095890409E-2</v>
      </c>
      <c r="I50" s="18">
        <f t="shared" si="0"/>
        <v>1.9598630136986303E-2</v>
      </c>
      <c r="J50" s="18">
        <f t="shared" si="0"/>
        <v>1.9400273972602741E-2</v>
      </c>
      <c r="L50" s="391"/>
      <c r="M50" s="391"/>
      <c r="N50" s="391"/>
      <c r="O50" s="82"/>
    </row>
    <row r="51" spans="1:47" x14ac:dyDescent="0.3">
      <c r="E51" s="287"/>
      <c r="F51" s="18"/>
      <c r="G51" s="18"/>
      <c r="H51" s="18"/>
      <c r="I51" s="18"/>
      <c r="J51" s="18"/>
    </row>
    <row r="52" spans="1:47" s="1" customFormat="1" ht="13.5" customHeight="1" x14ac:dyDescent="0.2">
      <c r="A52" s="2"/>
      <c r="D52" s="2" t="s">
        <v>332</v>
      </c>
      <c r="E52" s="256">
        <f>Dashboard!D32</f>
        <v>8000</v>
      </c>
    </row>
    <row r="53" spans="1:47" s="1" customFormat="1" ht="13.5" customHeight="1" x14ac:dyDescent="0.2">
      <c r="A53" s="2"/>
      <c r="D53" s="2" t="s">
        <v>53</v>
      </c>
      <c r="E53" s="18">
        <f>Dashboard!D34</f>
        <v>-1.4999999999999999E-2</v>
      </c>
    </row>
    <row r="54" spans="1:47" s="1" customFormat="1" ht="13.5" customHeight="1" x14ac:dyDescent="0.2">
      <c r="A54" s="2"/>
    </row>
    <row r="55" spans="1:47" x14ac:dyDescent="0.2">
      <c r="D55" s="261"/>
      <c r="E55" s="262" t="str">
        <f>$E$17</f>
        <v>FY26E</v>
      </c>
      <c r="F55" s="262" t="str">
        <f>$F$17</f>
        <v>FY27E</v>
      </c>
      <c r="G55" s="262" t="str">
        <f>$G$17</f>
        <v>FY28E</v>
      </c>
      <c r="H55" s="262" t="str">
        <f>$H$17</f>
        <v>FY29E</v>
      </c>
      <c r="I55" s="262" t="str">
        <f>$I$17</f>
        <v>FY30E</v>
      </c>
      <c r="J55" s="262" t="str">
        <f>$J$17</f>
        <v>FY31E</v>
      </c>
      <c r="L55" s="261"/>
      <c r="M55" s="262" t="str">
        <f>$E$17</f>
        <v>FY26E</v>
      </c>
      <c r="N55" s="262" t="str">
        <f>$F$17</f>
        <v>FY27E</v>
      </c>
      <c r="O55" s="262" t="str">
        <f>$G$17</f>
        <v>FY28E</v>
      </c>
      <c r="P55" s="262" t="str">
        <f>$H$17</f>
        <v>FY29E</v>
      </c>
      <c r="Q55" s="262" t="str">
        <f>$I$17</f>
        <v>FY30E</v>
      </c>
      <c r="R55" s="262" t="str">
        <f>$J$17</f>
        <v>FY31E</v>
      </c>
      <c r="T55" s="261"/>
      <c r="U55" s="262" t="str">
        <f>$E$17</f>
        <v>FY26E</v>
      </c>
      <c r="V55" s="262" t="str">
        <f>$F$17</f>
        <v>FY27E</v>
      </c>
      <c r="W55" s="262" t="str">
        <f>$G$17</f>
        <v>FY28E</v>
      </c>
      <c r="X55" s="262" t="str">
        <f>$H$17</f>
        <v>FY29E</v>
      </c>
      <c r="Y55" s="262" t="str">
        <f>$I$17</f>
        <v>FY30E</v>
      </c>
      <c r="Z55" s="262" t="str">
        <f>$J$17</f>
        <v>FY31E</v>
      </c>
      <c r="AB55" s="261"/>
      <c r="AC55" s="262" t="str">
        <f>$E$17</f>
        <v>FY26E</v>
      </c>
      <c r="AD55" s="262" t="str">
        <f>$F$17</f>
        <v>FY27E</v>
      </c>
      <c r="AE55" s="262" t="str">
        <f>$G$17</f>
        <v>FY28E</v>
      </c>
      <c r="AF55" s="262" t="str">
        <f>$H$17</f>
        <v>FY29E</v>
      </c>
      <c r="AG55" s="262" t="str">
        <f>$I$17</f>
        <v>FY30E</v>
      </c>
      <c r="AH55" s="262" t="str">
        <f>$J$17</f>
        <v>FY31E</v>
      </c>
    </row>
    <row r="56" spans="1:47" s="1" customFormat="1" ht="13.5" customHeight="1" x14ac:dyDescent="0.2"/>
    <row r="57" spans="1:47" x14ac:dyDescent="0.25">
      <c r="D57" s="259" t="s">
        <v>44</v>
      </c>
      <c r="E57" s="260"/>
      <c r="F57" s="260"/>
      <c r="G57" s="259"/>
      <c r="H57" s="259"/>
      <c r="I57" s="259"/>
      <c r="J57" s="259"/>
      <c r="L57" s="259" t="s">
        <v>46</v>
      </c>
      <c r="M57" s="260"/>
      <c r="N57" s="260"/>
      <c r="O57" s="259"/>
      <c r="P57" s="259"/>
      <c r="Q57" s="259"/>
      <c r="R57" s="259"/>
      <c r="T57" s="259" t="s">
        <v>45</v>
      </c>
      <c r="U57" s="260"/>
      <c r="V57" s="260"/>
      <c r="W57" s="259"/>
      <c r="X57" s="259"/>
      <c r="Y57" s="259"/>
      <c r="Z57" s="259"/>
      <c r="AB57" s="259" t="s">
        <v>47</v>
      </c>
      <c r="AC57" s="260"/>
      <c r="AD57" s="260"/>
      <c r="AE57" s="259"/>
      <c r="AF57" s="259"/>
      <c r="AG57" s="259"/>
      <c r="AH57" s="259"/>
    </row>
    <row r="58" spans="1:47" ht="13.5" customHeight="1" x14ac:dyDescent="0.2">
      <c r="D58" s="47" t="s">
        <v>397</v>
      </c>
      <c r="L58" s="47" t="s">
        <v>398</v>
      </c>
      <c r="T58" s="47" t="s">
        <v>399</v>
      </c>
      <c r="AB58" s="47" t="s">
        <v>400</v>
      </c>
    </row>
    <row r="59" spans="1:47" x14ac:dyDescent="0.2">
      <c r="B59" s="53" t="s">
        <v>37</v>
      </c>
      <c r="C59" s="1" t="s">
        <v>39</v>
      </c>
      <c r="D59" s="257" t="s">
        <v>39</v>
      </c>
      <c r="E59" s="53"/>
      <c r="F59" s="53"/>
      <c r="G59" s="53"/>
      <c r="H59" s="53"/>
      <c r="I59" s="53"/>
      <c r="J59" s="53"/>
      <c r="K59" s="53"/>
      <c r="L59" s="53"/>
      <c r="M59" s="53"/>
      <c r="N59" s="53"/>
      <c r="O59" s="53"/>
      <c r="P59" s="53"/>
      <c r="Q59" s="53"/>
      <c r="R59" s="53"/>
      <c r="S59" s="53"/>
      <c r="T59" s="53"/>
      <c r="U59" s="53"/>
      <c r="V59" s="53"/>
      <c r="W59" s="53"/>
      <c r="X59" s="53"/>
      <c r="Y59" s="53"/>
      <c r="Z59" s="53"/>
      <c r="AA59" s="53"/>
      <c r="AB59" s="53"/>
      <c r="AC59" s="53"/>
      <c r="AD59" s="53"/>
      <c r="AE59" s="53"/>
      <c r="AF59" s="53"/>
      <c r="AG59" s="53"/>
      <c r="AH59" s="258"/>
      <c r="AI59" s="53"/>
    </row>
    <row r="60" spans="1:47" x14ac:dyDescent="0.3">
      <c r="D60" s="17" t="s">
        <v>22</v>
      </c>
      <c r="L60" s="17" t="s">
        <v>22</v>
      </c>
      <c r="M60" s="3"/>
      <c r="T60" s="17" t="s">
        <v>22</v>
      </c>
      <c r="U60" s="3"/>
      <c r="AB60" s="17" t="s">
        <v>22</v>
      </c>
      <c r="AC60" s="3"/>
      <c r="AK60" s="10"/>
      <c r="AM60" s="10"/>
      <c r="AN60" s="10"/>
      <c r="AO60" s="10"/>
    </row>
    <row r="61" spans="1:47" x14ac:dyDescent="0.3">
      <c r="B61" s="286"/>
      <c r="D61" s="2" t="s">
        <v>59</v>
      </c>
      <c r="F61" s="18">
        <f>'Detailed Assumptions'!$F$20</f>
        <v>0</v>
      </c>
      <c r="G61" s="18">
        <f>'Detailed Assumptions'!$G$20</f>
        <v>0</v>
      </c>
      <c r="H61" s="18">
        <f>'Detailed Assumptions'!$H$20</f>
        <v>0</v>
      </c>
      <c r="I61" s="18">
        <f>'Detailed Assumptions'!$I$20</f>
        <v>0</v>
      </c>
      <c r="J61" s="18">
        <f>'Detailed Assumptions'!$J$20</f>
        <v>0</v>
      </c>
      <c r="L61" s="2" t="s">
        <v>59</v>
      </c>
      <c r="M61" s="3"/>
      <c r="N61" s="18">
        <f>'Detailed Assumptions'!$F$21</f>
        <v>0</v>
      </c>
      <c r="O61" s="18">
        <f>'Detailed Assumptions'!$G$21</f>
        <v>0</v>
      </c>
      <c r="P61" s="18">
        <f>'Detailed Assumptions'!$H$21</f>
        <v>0</v>
      </c>
      <c r="Q61" s="18">
        <f>'Detailed Assumptions'!$I$21</f>
        <v>0</v>
      </c>
      <c r="R61" s="18">
        <f>'Detailed Assumptions'!$J$21</f>
        <v>0</v>
      </c>
      <c r="S61" s="23"/>
      <c r="T61" s="2" t="s">
        <v>59</v>
      </c>
      <c r="U61" s="3"/>
      <c r="V61" s="18">
        <f>'Detailed Assumptions'!$F$22</f>
        <v>0</v>
      </c>
      <c r="W61" s="18">
        <f>'Detailed Assumptions'!$G$22</f>
        <v>0</v>
      </c>
      <c r="X61" s="18">
        <f>'Detailed Assumptions'!$H$22</f>
        <v>0</v>
      </c>
      <c r="Y61" s="18">
        <f>'Detailed Assumptions'!$I$22</f>
        <v>0</v>
      </c>
      <c r="Z61" s="18">
        <f>'Detailed Assumptions'!$J$22</f>
        <v>0</v>
      </c>
      <c r="AB61" s="2" t="s">
        <v>59</v>
      </c>
      <c r="AC61" s="3"/>
      <c r="AD61" s="18">
        <f>'Detailed Assumptions'!$F$23</f>
        <v>0</v>
      </c>
      <c r="AE61" s="18">
        <f>'Detailed Assumptions'!$G$23</f>
        <v>0</v>
      </c>
      <c r="AF61" s="18">
        <f>'Detailed Assumptions'!$H$23</f>
        <v>0</v>
      </c>
      <c r="AG61" s="18">
        <f>'Detailed Assumptions'!$I$23</f>
        <v>0</v>
      </c>
      <c r="AH61" s="18">
        <f>'Detailed Assumptions'!$J$23</f>
        <v>0</v>
      </c>
      <c r="AK61" s="10"/>
      <c r="AL61" s="10"/>
      <c r="AM61" s="10"/>
      <c r="AN61" s="10"/>
      <c r="AO61" s="10"/>
    </row>
    <row r="62" spans="1:47" ht="13.5" customHeight="1" x14ac:dyDescent="0.3">
      <c r="D62" s="2" t="s">
        <v>60</v>
      </c>
      <c r="F62" s="18">
        <f>$E$26</f>
        <v>0.02</v>
      </c>
      <c r="G62" s="18">
        <f>$F62</f>
        <v>0.02</v>
      </c>
      <c r="H62" s="18">
        <f>$F62</f>
        <v>0.02</v>
      </c>
      <c r="I62" s="18">
        <f>$F62</f>
        <v>0.02</v>
      </c>
      <c r="J62" s="18">
        <f>$F62</f>
        <v>0.02</v>
      </c>
      <c r="L62" s="2" t="s">
        <v>60</v>
      </c>
      <c r="M62" s="3"/>
      <c r="N62" s="18">
        <f>$E$26</f>
        <v>0.02</v>
      </c>
      <c r="O62" s="18">
        <f>$N62</f>
        <v>0.02</v>
      </c>
      <c r="P62" s="18">
        <f>$N62</f>
        <v>0.02</v>
      </c>
      <c r="Q62" s="18">
        <f>$N62</f>
        <v>0.02</v>
      </c>
      <c r="R62" s="18">
        <f>$N62</f>
        <v>0.02</v>
      </c>
      <c r="S62" s="18"/>
      <c r="T62" s="2" t="s">
        <v>60</v>
      </c>
      <c r="U62" s="3"/>
      <c r="V62" s="18">
        <f>$E$26</f>
        <v>0.02</v>
      </c>
      <c r="W62" s="18">
        <f>$V62</f>
        <v>0.02</v>
      </c>
      <c r="X62" s="18">
        <f t="shared" ref="X62:Y64" si="1">$V62</f>
        <v>0.02</v>
      </c>
      <c r="Y62" s="18">
        <f t="shared" si="1"/>
        <v>0.02</v>
      </c>
      <c r="Z62" s="18">
        <f>$V62</f>
        <v>0.02</v>
      </c>
      <c r="AB62" s="2" t="s">
        <v>60</v>
      </c>
      <c r="AC62" s="3"/>
      <c r="AD62" s="18">
        <f>$E$26</f>
        <v>0.02</v>
      </c>
      <c r="AE62" s="18">
        <f>$AD62</f>
        <v>0.02</v>
      </c>
      <c r="AF62" s="18">
        <f>$AD62</f>
        <v>0.02</v>
      </c>
      <c r="AG62" s="18">
        <f>$AD62</f>
        <v>0.02</v>
      </c>
      <c r="AH62" s="18">
        <f>$AD62</f>
        <v>0.02</v>
      </c>
      <c r="AK62" s="10"/>
      <c r="AL62" s="10"/>
      <c r="AM62" s="10"/>
      <c r="AN62" s="10"/>
      <c r="AO62" s="10"/>
    </row>
    <row r="63" spans="1:47" x14ac:dyDescent="0.25">
      <c r="B63" s="286"/>
      <c r="D63" s="344" t="s">
        <v>61</v>
      </c>
      <c r="E63" s="344"/>
      <c r="F63" s="345">
        <f>$F$39+F62</f>
        <v>4.4676438356164389E-2</v>
      </c>
      <c r="G63" s="345">
        <f>$G$39+G62</f>
        <v>4.3173150684931508E-2</v>
      </c>
      <c r="H63" s="345">
        <f>$H$39+H62</f>
        <v>4.1449041095890413E-2</v>
      </c>
      <c r="I63" s="345">
        <f>$I$39+I62</f>
        <v>3.9598630136986307E-2</v>
      </c>
      <c r="J63" s="345">
        <f>$J$39+J62</f>
        <v>3.9400273972602741E-2</v>
      </c>
      <c r="L63" s="344" t="s">
        <v>61</v>
      </c>
      <c r="M63" s="347"/>
      <c r="N63" s="254">
        <f>$F$39+N62</f>
        <v>4.4676438356164389E-2</v>
      </c>
      <c r="O63" s="254">
        <f>$G$39+O62</f>
        <v>4.3173150684931508E-2</v>
      </c>
      <c r="P63" s="254">
        <f>$H$39+P62</f>
        <v>4.1449041095890413E-2</v>
      </c>
      <c r="Q63" s="254">
        <f>$I$39+Q62</f>
        <v>3.9598630136986307E-2</v>
      </c>
      <c r="R63" s="254">
        <f>$J$39+R62</f>
        <v>3.9400273972602741E-2</v>
      </c>
      <c r="S63" s="255"/>
      <c r="T63" s="4" t="s">
        <v>61</v>
      </c>
      <c r="U63" s="161"/>
      <c r="V63" s="254">
        <f>$F$39+V62</f>
        <v>4.4676438356164389E-2</v>
      </c>
      <c r="W63" s="254">
        <f>$G$39+W62</f>
        <v>4.3173150684931508E-2</v>
      </c>
      <c r="X63" s="254">
        <f>$H$39+X62</f>
        <v>4.1449041095890413E-2</v>
      </c>
      <c r="Y63" s="254">
        <f>$I$39+Y62</f>
        <v>3.9598630136986307E-2</v>
      </c>
      <c r="Z63" s="254">
        <f>$J$39+Z62</f>
        <v>3.9400273972602741E-2</v>
      </c>
      <c r="AB63" s="4" t="s">
        <v>61</v>
      </c>
      <c r="AC63" s="161"/>
      <c r="AD63" s="254">
        <f>$F$39+AD62</f>
        <v>4.4676438356164389E-2</v>
      </c>
      <c r="AE63" s="254">
        <f>$G$39+AE62</f>
        <v>4.3173150684931508E-2</v>
      </c>
      <c r="AF63" s="254">
        <f>$H$39+AF62</f>
        <v>4.1449041095890413E-2</v>
      </c>
      <c r="AG63" s="254">
        <f>$I$39+AG62</f>
        <v>3.9598630136986307E-2</v>
      </c>
      <c r="AH63" s="254">
        <f>$J$39+AH62</f>
        <v>3.9400273972602741E-2</v>
      </c>
      <c r="AK63" s="10"/>
      <c r="AL63" s="10"/>
      <c r="AM63" s="10"/>
      <c r="AN63" s="10"/>
      <c r="AO63" s="10"/>
    </row>
    <row r="64" spans="1:47" s="3" customFormat="1" ht="12.75" customHeight="1" x14ac:dyDescent="0.3">
      <c r="A64" s="2"/>
      <c r="B64" s="1"/>
      <c r="C64" s="1"/>
      <c r="D64" s="2" t="s">
        <v>296</v>
      </c>
      <c r="F64" s="18">
        <f>E27</f>
        <v>0</v>
      </c>
      <c r="G64" s="18">
        <f>$F64</f>
        <v>0</v>
      </c>
      <c r="H64" s="18">
        <f>$F64</f>
        <v>0</v>
      </c>
      <c r="I64" s="18">
        <v>0</v>
      </c>
      <c r="J64" s="18">
        <f>$F64</f>
        <v>0</v>
      </c>
      <c r="L64" s="2" t="s">
        <v>296</v>
      </c>
      <c r="N64" s="18">
        <f>$E$27</f>
        <v>0</v>
      </c>
      <c r="O64" s="18">
        <f>$N64</f>
        <v>0</v>
      </c>
      <c r="P64" s="18">
        <f>$N64</f>
        <v>0</v>
      </c>
      <c r="Q64" s="18">
        <f>$N64</f>
        <v>0</v>
      </c>
      <c r="R64" s="18">
        <f>$N64</f>
        <v>0</v>
      </c>
      <c r="S64" s="18"/>
      <c r="T64" s="2" t="s">
        <v>296</v>
      </c>
      <c r="V64" s="18">
        <f>$E$27</f>
        <v>0</v>
      </c>
      <c r="W64" s="18">
        <f>$V64</f>
        <v>0</v>
      </c>
      <c r="X64" s="18">
        <f t="shared" si="1"/>
        <v>0</v>
      </c>
      <c r="Y64" s="18">
        <f t="shared" si="1"/>
        <v>0</v>
      </c>
      <c r="Z64" s="18">
        <f>$V64</f>
        <v>0</v>
      </c>
      <c r="AB64" s="2" t="s">
        <v>296</v>
      </c>
      <c r="AD64" s="18">
        <f>$E$27</f>
        <v>0</v>
      </c>
      <c r="AE64" s="18">
        <f>$AD64</f>
        <v>0</v>
      </c>
      <c r="AF64" s="18">
        <f>$AD64</f>
        <v>0</v>
      </c>
      <c r="AG64" s="18">
        <f>$AD64</f>
        <v>0</v>
      </c>
      <c r="AH64" s="18">
        <f>$AD64</f>
        <v>0</v>
      </c>
      <c r="AK64" s="10"/>
      <c r="AL64" s="2"/>
      <c r="AM64" s="10"/>
      <c r="AN64" s="10"/>
      <c r="AO64" s="10"/>
      <c r="AQ64" s="2"/>
      <c r="AR64" s="2"/>
      <c r="AS64" s="2"/>
      <c r="AT64" s="2"/>
      <c r="AU64" s="2"/>
    </row>
    <row r="65" spans="1:41" ht="12.75" customHeight="1" x14ac:dyDescent="0.25">
      <c r="B65" s="286"/>
      <c r="D65" s="344" t="s">
        <v>62</v>
      </c>
      <c r="E65" s="344"/>
      <c r="F65" s="345">
        <f>$F$43+F64</f>
        <v>0.02</v>
      </c>
      <c r="G65" s="345">
        <f>$G$43+G64</f>
        <v>0.02</v>
      </c>
      <c r="H65" s="345">
        <f>$H$43+H64</f>
        <v>0.02</v>
      </c>
      <c r="I65" s="345">
        <f>$I$43+I64</f>
        <v>0.02</v>
      </c>
      <c r="J65" s="345">
        <f>$J$43+J64</f>
        <v>0.02</v>
      </c>
      <c r="L65" s="344" t="s">
        <v>62</v>
      </c>
      <c r="M65" s="347"/>
      <c r="N65" s="254">
        <f>$F$43+N64</f>
        <v>0.02</v>
      </c>
      <c r="O65" s="254">
        <f>$G$43+O64</f>
        <v>0.02</v>
      </c>
      <c r="P65" s="254">
        <f>$H$43+P64</f>
        <v>0.02</v>
      </c>
      <c r="Q65" s="254">
        <f>$I$43+Q64</f>
        <v>0.02</v>
      </c>
      <c r="R65" s="254">
        <f>$J$43+R64</f>
        <v>0.02</v>
      </c>
      <c r="S65" s="255"/>
      <c r="T65" s="4" t="s">
        <v>62</v>
      </c>
      <c r="U65" s="161"/>
      <c r="V65" s="254">
        <f>$F$43+V64</f>
        <v>0.02</v>
      </c>
      <c r="W65" s="254">
        <f>$G$43+W64</f>
        <v>0.02</v>
      </c>
      <c r="X65" s="254">
        <f>$H$43+X64</f>
        <v>0.02</v>
      </c>
      <c r="Y65" s="254">
        <f>$I$43+Y64</f>
        <v>0.02</v>
      </c>
      <c r="Z65" s="254">
        <f>$J$43+Z64</f>
        <v>0.02</v>
      </c>
      <c r="AB65" s="4" t="s">
        <v>62</v>
      </c>
      <c r="AC65" s="161"/>
      <c r="AD65" s="254">
        <f>$F$43+AD64</f>
        <v>0.02</v>
      </c>
      <c r="AE65" s="254">
        <f>$G$43+AE64</f>
        <v>0.02</v>
      </c>
      <c r="AF65" s="254">
        <f>$H$43+AF64</f>
        <v>0.02</v>
      </c>
      <c r="AG65" s="254">
        <f>$I$43+AG64</f>
        <v>0.02</v>
      </c>
      <c r="AH65" s="254">
        <f>$J$43+AH64</f>
        <v>0.02</v>
      </c>
      <c r="AK65" s="10"/>
      <c r="AM65" s="10"/>
      <c r="AN65" s="10"/>
      <c r="AO65" s="10"/>
    </row>
    <row r="66" spans="1:41" x14ac:dyDescent="0.2">
      <c r="B66" s="286"/>
      <c r="D66" s="2" t="s">
        <v>56</v>
      </c>
      <c r="F66" s="18">
        <f>$E$28+INDEX($F$39:$J$39,MATCH(F55,$F$17:$J$17,0))</f>
        <v>4.4676438356164389E-2</v>
      </c>
      <c r="G66" s="18">
        <f>$E$28+INDEX($F$39:$J$39,MATCH(G55,$F$17:$J$17,0))</f>
        <v>4.3173150684931508E-2</v>
      </c>
      <c r="H66" s="18">
        <f>$E$28+INDEX($F$39:$J$39,MATCH(H55,$F$17:$J$17,0))</f>
        <v>4.1449041095890413E-2</v>
      </c>
      <c r="I66" s="18">
        <f>$E$28+INDEX($F$39:$J$39,MATCH(I55,$F$17:$J$17,0))</f>
        <v>3.9598630136986307E-2</v>
      </c>
      <c r="J66" s="18">
        <f>$E$28+INDEX($F$39:$J$39,MATCH(J55,$F$17:$J$17,0))</f>
        <v>3.9400273972602741E-2</v>
      </c>
      <c r="L66" s="2" t="s">
        <v>56</v>
      </c>
      <c r="N66" s="18">
        <f>$E$28+INDEX($F$39:$J$39,MATCH(N55,$F$17:$J$17,0))</f>
        <v>4.4676438356164389E-2</v>
      </c>
      <c r="O66" s="18">
        <f>$E$28+INDEX($F$39:$J$39,MATCH(O55,$F$17:$J$17,0))</f>
        <v>4.3173150684931508E-2</v>
      </c>
      <c r="P66" s="18">
        <f>$E$28+INDEX($F$39:$J$39,MATCH(P55,$F$17:$J$17,0))</f>
        <v>4.1449041095890413E-2</v>
      </c>
      <c r="Q66" s="18">
        <f>$E$28+INDEX($F$39:$J$39,MATCH(Q55,$F$17:$J$17,0))</f>
        <v>3.9598630136986307E-2</v>
      </c>
      <c r="R66" s="18">
        <f>$E$28+INDEX($F$39:$J$39,MATCH(R55,$F$17:$J$17,0))</f>
        <v>3.9400273972602741E-2</v>
      </c>
      <c r="T66" s="2" t="s">
        <v>56</v>
      </c>
      <c r="V66" s="18">
        <f>$E$28+INDEX($F$39:$J$39,MATCH(V55,$F$17:$J$17,0))</f>
        <v>4.4676438356164389E-2</v>
      </c>
      <c r="W66" s="18">
        <f>$E$28+INDEX($F$39:$J$39,MATCH(W55,$F$17:$J$17,0))</f>
        <v>4.3173150684931508E-2</v>
      </c>
      <c r="X66" s="18">
        <f>$E$28+INDEX($F$39:$J$39,MATCH(X55,$F$17:$J$17,0))</f>
        <v>4.1449041095890413E-2</v>
      </c>
      <c r="Y66" s="18">
        <f>$E$28+INDEX($F$39:$J$39,MATCH(Y55,$F$17:$J$17,0))</f>
        <v>3.9598630136986307E-2</v>
      </c>
      <c r="Z66" s="18">
        <f>$E$28+INDEX($F$39:$J$39,MATCH(Z55,$F$17:$J$17,0))</f>
        <v>3.9400273972602741E-2</v>
      </c>
      <c r="AB66" s="2" t="s">
        <v>56</v>
      </c>
      <c r="AD66" s="18">
        <f>$E$28+INDEX($F$39:$J$39,MATCH(AD55,$F$17:$J$17,0))</f>
        <v>4.4676438356164389E-2</v>
      </c>
      <c r="AE66" s="18">
        <f>$E$28+INDEX($F$39:$J$39,MATCH(AE55,$F$17:$J$17,0))</f>
        <v>4.3173150684931508E-2</v>
      </c>
      <c r="AF66" s="18">
        <f>$E$28+INDEX($F$39:$J$39,MATCH(AF55,$F$17:$J$17,0))</f>
        <v>4.1449041095890413E-2</v>
      </c>
      <c r="AG66" s="18">
        <f>$E$28+INDEX($F$39:$J$39,MATCH(AG55,$F$17:$J$17,0))</f>
        <v>3.9598630136986307E-2</v>
      </c>
      <c r="AH66" s="18">
        <f>$E$28+INDEX($F$39:$J$39,MATCH(AH55,$F$17:$J$17,0))</f>
        <v>3.9400273972602741E-2</v>
      </c>
      <c r="AK66" s="10"/>
      <c r="AM66" s="10"/>
      <c r="AN66" s="10"/>
      <c r="AO66" s="10"/>
    </row>
    <row r="67" spans="1:41" x14ac:dyDescent="0.2">
      <c r="A67" s="82"/>
      <c r="AK67" s="10"/>
      <c r="AM67" s="10"/>
      <c r="AN67" s="10"/>
      <c r="AO67" s="10"/>
    </row>
    <row r="68" spans="1:41" x14ac:dyDescent="0.2">
      <c r="A68" s="82"/>
      <c r="D68" s="17" t="s">
        <v>23</v>
      </c>
      <c r="L68" s="17" t="s">
        <v>23</v>
      </c>
      <c r="T68" s="17" t="s">
        <v>23</v>
      </c>
      <c r="AB68" s="17" t="s">
        <v>23</v>
      </c>
      <c r="AK68" s="10"/>
      <c r="AM68" s="10"/>
      <c r="AN68" s="10"/>
      <c r="AO68" s="10"/>
    </row>
    <row r="69" spans="1:41" x14ac:dyDescent="0.2">
      <c r="A69" s="82"/>
      <c r="D69" s="344" t="s">
        <v>130</v>
      </c>
      <c r="E69" s="344"/>
      <c r="F69" s="345">
        <f>$E$32</f>
        <v>0</v>
      </c>
      <c r="G69" s="345">
        <f>F69</f>
        <v>0</v>
      </c>
      <c r="H69" s="345">
        <f>G69</f>
        <v>0</v>
      </c>
      <c r="I69" s="345">
        <f>H69</f>
        <v>0</v>
      </c>
      <c r="J69" s="345">
        <f>I69</f>
        <v>0</v>
      </c>
      <c r="L69" s="344" t="s">
        <v>130</v>
      </c>
      <c r="M69" s="344"/>
      <c r="N69" s="345">
        <f>$E$32</f>
        <v>0</v>
      </c>
      <c r="O69" s="345">
        <f>N69</f>
        <v>0</v>
      </c>
      <c r="P69" s="345">
        <f>O69</f>
        <v>0</v>
      </c>
      <c r="Q69" s="345">
        <f>P69</f>
        <v>0</v>
      </c>
      <c r="R69" s="345">
        <f>Q69</f>
        <v>0</v>
      </c>
      <c r="S69" s="255"/>
      <c r="T69" s="344" t="s">
        <v>130</v>
      </c>
      <c r="U69" s="344"/>
      <c r="V69" s="345">
        <f>$E$32</f>
        <v>0</v>
      </c>
      <c r="W69" s="345">
        <f>V69</f>
        <v>0</v>
      </c>
      <c r="X69" s="345">
        <f>W69</f>
        <v>0</v>
      </c>
      <c r="Y69" s="345">
        <f>X69</f>
        <v>0</v>
      </c>
      <c r="Z69" s="345">
        <f>Y69</f>
        <v>0</v>
      </c>
      <c r="AB69" s="344" t="s">
        <v>130</v>
      </c>
      <c r="AC69" s="344"/>
      <c r="AD69" s="345">
        <f>$E$32</f>
        <v>0</v>
      </c>
      <c r="AE69" s="345">
        <f>AD69</f>
        <v>0</v>
      </c>
      <c r="AF69" s="345">
        <f>AE69</f>
        <v>0</v>
      </c>
      <c r="AG69" s="345">
        <f>AF69</f>
        <v>0</v>
      </c>
      <c r="AH69" s="345">
        <f>AG69</f>
        <v>0</v>
      </c>
      <c r="AK69" s="10"/>
      <c r="AL69" s="10"/>
      <c r="AM69" s="10"/>
      <c r="AN69" s="10"/>
      <c r="AO69" s="10"/>
    </row>
    <row r="70" spans="1:41" ht="13.5" customHeight="1" x14ac:dyDescent="0.2">
      <c r="A70" s="82"/>
      <c r="D70" s="2" t="s">
        <v>63</v>
      </c>
      <c r="F70" s="18">
        <f>$E$34</f>
        <v>0</v>
      </c>
      <c r="G70" s="18">
        <f>$E$34</f>
        <v>0</v>
      </c>
      <c r="H70" s="18">
        <f>$E$34</f>
        <v>0</v>
      </c>
      <c r="I70" s="18">
        <f>$E$34</f>
        <v>0</v>
      </c>
      <c r="J70" s="18">
        <f>$E$34</f>
        <v>0</v>
      </c>
      <c r="L70" s="2" t="s">
        <v>63</v>
      </c>
      <c r="N70" s="18">
        <f>$E$34</f>
        <v>0</v>
      </c>
      <c r="O70" s="18">
        <f>$E$34</f>
        <v>0</v>
      </c>
      <c r="P70" s="18">
        <f>$E$34</f>
        <v>0</v>
      </c>
      <c r="Q70" s="18">
        <f>$E$34</f>
        <v>0</v>
      </c>
      <c r="R70" s="18">
        <f>$E$34</f>
        <v>0</v>
      </c>
      <c r="T70" s="2" t="s">
        <v>63</v>
      </c>
      <c r="V70" s="18">
        <f>$E$34</f>
        <v>0</v>
      </c>
      <c r="W70" s="18">
        <f>$E$34</f>
        <v>0</v>
      </c>
      <c r="X70" s="18">
        <f>$E$34</f>
        <v>0</v>
      </c>
      <c r="Y70" s="18">
        <f>$E$34</f>
        <v>0</v>
      </c>
      <c r="Z70" s="18">
        <f>$E$34</f>
        <v>0</v>
      </c>
      <c r="AB70" s="2" t="s">
        <v>63</v>
      </c>
      <c r="AD70" s="18">
        <f>$E$34</f>
        <v>0</v>
      </c>
      <c r="AE70" s="18">
        <f>$E$34</f>
        <v>0</v>
      </c>
      <c r="AF70" s="18">
        <f>$E$34</f>
        <v>0</v>
      </c>
      <c r="AG70" s="18">
        <f>$E$34</f>
        <v>0</v>
      </c>
      <c r="AH70" s="18">
        <f>$E$34</f>
        <v>0</v>
      </c>
      <c r="AK70" s="10"/>
      <c r="AL70" s="10"/>
      <c r="AM70" s="10"/>
      <c r="AN70" s="10"/>
      <c r="AO70" s="10"/>
    </row>
    <row r="71" spans="1:41" x14ac:dyDescent="0.2">
      <c r="A71" s="82"/>
      <c r="D71" s="2" t="s">
        <v>56</v>
      </c>
      <c r="F71" s="18">
        <f>$E$33</f>
        <v>0</v>
      </c>
      <c r="G71" s="18">
        <f>$E$33</f>
        <v>0</v>
      </c>
      <c r="H71" s="18">
        <f>$E$33</f>
        <v>0</v>
      </c>
      <c r="I71" s="18">
        <f>$E$33</f>
        <v>0</v>
      </c>
      <c r="J71" s="18">
        <f>$E$33</f>
        <v>0</v>
      </c>
      <c r="L71" s="2" t="s">
        <v>56</v>
      </c>
      <c r="N71" s="18">
        <f>$E$33</f>
        <v>0</v>
      </c>
      <c r="O71" s="18">
        <f>$E$33</f>
        <v>0</v>
      </c>
      <c r="P71" s="18">
        <f>$E$33</f>
        <v>0</v>
      </c>
      <c r="Q71" s="18">
        <f>$E$33</f>
        <v>0</v>
      </c>
      <c r="R71" s="18">
        <f>$E$33</f>
        <v>0</v>
      </c>
      <c r="T71" s="2" t="s">
        <v>56</v>
      </c>
      <c r="V71" s="18">
        <f>$E$33</f>
        <v>0</v>
      </c>
      <c r="W71" s="18">
        <f>$E$33</f>
        <v>0</v>
      </c>
      <c r="X71" s="18">
        <f>$E$33</f>
        <v>0</v>
      </c>
      <c r="Y71" s="18">
        <f>$E$33</f>
        <v>0</v>
      </c>
      <c r="Z71" s="18">
        <f>$E$33</f>
        <v>0</v>
      </c>
      <c r="AB71" s="2" t="s">
        <v>56</v>
      </c>
      <c r="AD71" s="18">
        <f>$E$33</f>
        <v>0</v>
      </c>
      <c r="AE71" s="18">
        <f>$E$33</f>
        <v>0</v>
      </c>
      <c r="AF71" s="18">
        <f>$E$33</f>
        <v>0</v>
      </c>
      <c r="AG71" s="18">
        <f>$E$33</f>
        <v>0</v>
      </c>
      <c r="AH71" s="18">
        <f>$E$33</f>
        <v>0</v>
      </c>
      <c r="AK71" s="10"/>
      <c r="AM71" s="10"/>
      <c r="AN71" s="10"/>
      <c r="AO71" s="10"/>
    </row>
    <row r="72" spans="1:41" ht="13.5" customHeight="1" x14ac:dyDescent="0.2">
      <c r="A72" s="82"/>
      <c r="AK72" s="10"/>
      <c r="AL72" s="10"/>
      <c r="AM72" s="10"/>
      <c r="AN72" s="10"/>
      <c r="AO72" s="10"/>
    </row>
    <row r="73" spans="1:41" x14ac:dyDescent="0.3">
      <c r="A73" s="82"/>
      <c r="D73" s="17" t="s">
        <v>13</v>
      </c>
      <c r="L73" s="17" t="s">
        <v>13</v>
      </c>
      <c r="M73" s="3"/>
      <c r="T73" s="17" t="s">
        <v>13</v>
      </c>
      <c r="U73" s="3"/>
      <c r="AB73" s="17" t="s">
        <v>13</v>
      </c>
      <c r="AC73" s="3"/>
      <c r="AK73" s="10"/>
      <c r="AM73" s="10"/>
      <c r="AN73" s="10"/>
      <c r="AO73" s="10"/>
    </row>
    <row r="74" spans="1:41" x14ac:dyDescent="0.2">
      <c r="A74" s="82"/>
      <c r="D74" s="2" t="s">
        <v>13</v>
      </c>
      <c r="E74" s="256"/>
      <c r="F74" s="168" cm="1">
        <f t="array" ref="F74">INDEX($F$40:$J$40,0,MATCH(F$55,$F$17:$J$17,0))*INDEX(Portfolio_Categorisation!$H$24:$H$27,MATCH(D58,Portfolio_Categorisation!$C$24:$C$27,0),0)+
INDEX($F$39:$J$39,0,MATCH(F$55,$F$17:$J$17,0))*INDEX(Portfolio_Categorisation!$I$24:$I$27,MATCH(D58,Portfolio_Categorisation!$C$24:$C$27,0),0)</f>
        <v>2.842796628029505E-2</v>
      </c>
      <c r="G74" s="168" cm="1">
        <f t="array" ref="G74">INDEX($F$40:$J$40,0,MATCH(G$55,$F$17:$J$17,0))*INDEX(Portfolio_Categorisation!$H$24:$H$27,MATCH(D58,Portfolio_Categorisation!$C$24:$C$27,0),0)+
INDEX($F$39:$J$39,0,MATCH(G$55,$F$17:$J$17,0))*INDEX(Portfolio_Categorisation!$I$24:$I$27,MATCH(D58,Portfolio_Categorisation!$C$24:$C$27,0),0)</f>
        <v>2.6771647348085709E-2</v>
      </c>
      <c r="H74" s="168" cm="1">
        <f t="array" ref="H74">INDEX($F$40:$J$40,0,MATCH(H$55,$F$17:$J$17,0))*INDEX(Portfolio_Categorisation!$H$24:$H$27,MATCH(D58,Portfolio_Categorisation!$C$24:$C$27,0),0)+
INDEX($F$39:$J$39,0,MATCH(H$55,$F$17:$J$17,0))*INDEX(Portfolio_Categorisation!$I$24:$I$27,MATCH(D58,Portfolio_Categorisation!$C$24:$C$27,0),0)</f>
        <v>2.5182571127502634E-2</v>
      </c>
      <c r="I74" s="168" cm="1">
        <f t="array" ref="I74">INDEX($F$40:$J$40,0,MATCH(I$55,$F$17:$J$17,0))*INDEX(Portfolio_Categorisation!$H$24:$H$27,MATCH(D58,Portfolio_Categorisation!$C$24:$C$27,0),0)+
INDEX($F$39:$J$39,0,MATCH(I$55,$F$17:$J$17,0))*INDEX(Portfolio_Categorisation!$I$24:$I$27,MATCH(D58,Portfolio_Categorisation!$C$24:$C$27,0),0)</f>
        <v>2.1813846153846156E-2</v>
      </c>
      <c r="J74" s="168" cm="1">
        <f t="array" ref="J74">INDEX($F$40:$J$40,0,MATCH(J$55,$F$17:$J$17,0))*INDEX(Portfolio_Categorisation!$H$24:$H$27,MATCH(D58,Portfolio_Categorisation!$C$24:$C$27,0),0)+
INDEX($F$39:$J$39,0,MATCH(J$55,$F$17:$J$17,0))*INDEX(Portfolio_Categorisation!$I$24:$I$27,MATCH(D58,Portfolio_Categorisation!$C$24:$C$27,0),0)</f>
        <v>2.019818054092027E-2</v>
      </c>
      <c r="L74" s="2" t="s">
        <v>13</v>
      </c>
      <c r="M74" s="256"/>
      <c r="N74" s="280" cm="1">
        <f t="array" ref="N74">INDEX($F$40:$J$40,0,MATCH(N$55,$F$17:$J$17,0))*INDEX(Portfolio_Categorisation!$H$24:$H$27,MATCH(L58,Portfolio_Categorisation!$C$24:$C$27,0),0)+
INDEX($F$39:$J$39,0,MATCH(N$55,$F$17:$J$17,0))*INDEX(Portfolio_Categorisation!$I$24:$I$27,MATCH(L58,Portfolio_Categorisation!$C$24:$C$27,0),0)</f>
        <v>2.9519438690277316E-2</v>
      </c>
      <c r="O74" s="280" cm="1">
        <f t="array" ref="O74">INDEX($F$40:$J$40,0,MATCH(O$55,$F$17:$J$17,0))*INDEX(Portfolio_Categorisation!$H$24:$H$27,MATCH(L58,Portfolio_Categorisation!$C$24:$C$27,0),0)+
INDEX($F$39:$J$39,0,MATCH(O$55,$F$17:$J$17,0))*INDEX(Portfolio_Categorisation!$I$24:$I$27,MATCH(L58,Portfolio_Categorisation!$C$24:$C$27,0),0)</f>
        <v>2.7818596725693288E-2</v>
      </c>
      <c r="P74" s="280" cm="1">
        <f t="array" ref="P74">INDEX($F$40:$J$40,0,MATCH(P$55,$F$17:$J$17,0))*INDEX(Portfolio_Categorisation!$H$24:$H$27,MATCH(L58,Portfolio_Categorisation!$C$24:$C$27,0),0)+
INDEX($F$39:$J$39,0,MATCH(P$55,$F$17:$J$17,0))*INDEX(Portfolio_Categorisation!$I$24:$I$27,MATCH(L58,Portfolio_Categorisation!$C$24:$C$27,0),0)</f>
        <v>2.6268807216839291E-2</v>
      </c>
      <c r="Q74" s="280" cm="1">
        <f t="array" ref="Q74">INDEX($F$40:$J$40,0,MATCH(Q$55,$F$17:$J$17,0))*INDEX(Portfolio_Categorisation!$H$24:$H$27,MATCH(L58,Portfolio_Categorisation!$C$24:$C$27,0),0)+
INDEX($F$39:$J$39,0,MATCH(Q$55,$F$17:$J$17,0))*INDEX(Portfolio_Categorisation!$I$24:$I$27,MATCH(L58,Portfolio_Categorisation!$C$24:$C$27,0),0)</f>
        <v>2.245834279986636E-2</v>
      </c>
      <c r="R74" s="280" cm="1">
        <f t="array" ref="R74">INDEX($F$40:$J$40,0,MATCH(R$55,$F$17:$J$17,0))*INDEX(Portfolio_Categorisation!$H$24:$H$27,MATCH(L58,Portfolio_Categorisation!$C$24:$C$27,0),0)+
INDEX($F$39:$J$39,0,MATCH(R$55,$F$17:$J$17,0))*INDEX(Portfolio_Categorisation!$I$24:$I$27,MATCH(L58,Portfolio_Categorisation!$C$24:$C$27,0),0)</f>
        <v>2.0430324089542269E-2</v>
      </c>
      <c r="T74" s="2" t="s">
        <v>13</v>
      </c>
      <c r="U74" s="256"/>
      <c r="V74" s="280" cm="1">
        <f t="array" ref="V74">INDEX($F$40:$J$40,0,MATCH(V$55,$F$17:$J$17,0))*INDEX(Portfolio_Categorisation!$H$24:$H$27,MATCH(T58,Portfolio_Categorisation!$C$24:$C$27,0),0)+
INDEX($F$39:$J$39,0,MATCH(V$55,$F$17:$J$17,0))*INDEX(Portfolio_Categorisation!$I$24:$I$27,MATCH(T58,Portfolio_Categorisation!$C$24:$C$27,0),0)</f>
        <v>2.9947218582489579E-2</v>
      </c>
      <c r="W74" s="280" cm="1">
        <f t="array" ref="W74">INDEX($F$40:$J$40,0,MATCH(W$55,$F$17:$J$17,0))*INDEX(Portfolio_Categorisation!$H$24:$H$27,MATCH(T58,Portfolio_Categorisation!$C$24:$C$27,0),0)+
INDEX($F$39:$J$39,0,MATCH(W$55,$F$17:$J$17,0))*INDEX(Portfolio_Categorisation!$I$24:$I$27,MATCH(T58,Portfolio_Categorisation!$C$24:$C$27,0),0)</f>
        <v>2.82289267421084E-2</v>
      </c>
      <c r="X74" s="280" cm="1">
        <f t="array" ref="X74">INDEX($F$40:$J$40,0,MATCH(X$55,$F$17:$J$17,0))*INDEX(Portfolio_Categorisation!$H$24:$H$27,MATCH(T58,Portfolio_Categorisation!$C$24:$C$27,0),0)+
INDEX($F$39:$J$39,0,MATCH(X$55,$F$17:$J$17,0))*INDEX(Portfolio_Categorisation!$I$24:$I$27,MATCH(T58,Portfolio_Categorisation!$C$24:$C$27,0),0)</f>
        <v>2.6694534842167952E-2</v>
      </c>
      <c r="Y74" s="280" cm="1">
        <f t="array" ref="Y74">INDEX($F$40:$J$40,0,MATCH(Y$55,$F$17:$J$17,0))*INDEX(Portfolio_Categorisation!$H$24:$H$27,MATCH(T58,Portfolio_Categorisation!$C$24:$C$27,0),0)+
INDEX($F$39:$J$39,0,MATCH(Y$55,$F$17:$J$17,0))*INDEX(Portfolio_Categorisation!$I$24:$I$27,MATCH(T58,Portfolio_Categorisation!$C$24:$C$27,0),0)</f>
        <v>2.2710939845145921E-2</v>
      </c>
      <c r="Z74" s="280" cm="1">
        <f t="array" ref="Z74">INDEX($F$40:$J$40,0,MATCH(Z$55,$F$17:$J$17,0))*INDEX(Portfolio_Categorisation!$H$24:$H$27,MATCH(T58,Portfolio_Categorisation!$C$24:$C$27,0),0)+
INDEX($F$39:$J$39,0,MATCH(Z$55,$F$17:$J$17,0))*INDEX(Portfolio_Categorisation!$I$24:$I$27,MATCH(T58,Portfolio_Categorisation!$C$24:$C$27,0),0)</f>
        <v>2.0521307921381775E-2</v>
      </c>
      <c r="AB74" s="2" t="s">
        <v>13</v>
      </c>
      <c r="AC74" s="256"/>
      <c r="AD74" s="280" cm="1">
        <f t="array" ref="AD74">INDEX($F$40:$J$40,0,MATCH(AD$55,$F$17:$J$17,0))*INDEX(Portfolio_Categorisation!$H$24:$H$27,MATCH(AB58,Portfolio_Categorisation!$C$24:$C$27,0),0)+
INDEX($F$39:$J$39,0,MATCH(AD$55,$F$17:$J$17,0))*INDEX(Portfolio_Categorisation!$I$24:$I$27,MATCH(AB58,Portfolio_Categorisation!$C$24:$C$27,0),0)</f>
        <v>3.0744577993813527E-2</v>
      </c>
      <c r="AE74" s="280" cm="1">
        <f t="array" ref="AE74">INDEX($F$40:$J$40,0,MATCH(AE$55,$F$17:$J$17,0))*INDEX(Portfolio_Categorisation!$H$24:$H$27,MATCH(AB58,Portfolio_Categorisation!$C$24:$C$27,0),0)+
INDEX($F$39:$J$39,0,MATCH(AE$55,$F$17:$J$17,0))*INDEX(Portfolio_Categorisation!$I$24:$I$27,MATCH(AB58,Portfolio_Categorisation!$C$24:$C$27,0),0)</f>
        <v>2.8993760494918253E-2</v>
      </c>
      <c r="AF74" s="280" cm="1">
        <f t="array" ref="AF74">INDEX($F$40:$J$40,0,MATCH(AF$55,$F$17:$J$17,0))*INDEX(Portfolio_Categorisation!$H$24:$H$27,MATCH(AB58,Portfolio_Categorisation!$C$24:$C$27,0),0)+
INDEX($F$39:$J$39,0,MATCH(AF$55,$F$17:$J$17,0))*INDEX(Portfolio_Categorisation!$I$24:$I$27,MATCH(AB58,Portfolio_Categorisation!$C$24:$C$27,0),0)</f>
        <v>2.7488068935041979E-2</v>
      </c>
      <c r="AG74" s="280" cm="1">
        <f t="array" ref="AG74">INDEX($F$40:$J$40,0,MATCH(AG$55,$F$17:$J$17,0))*INDEX(Portfolio_Categorisation!$H$24:$H$27,MATCH(AB58,Portfolio_Categorisation!$C$24:$C$27,0),0)+
INDEX($F$39:$J$39,0,MATCH(AG$55,$F$17:$J$17,0))*INDEX(Portfolio_Categorisation!$I$24:$I$27,MATCH(AB58,Portfolio_Categorisation!$C$24:$C$27,0),0)</f>
        <v>2.3181767565178965E-2</v>
      </c>
      <c r="AH74" s="280" cm="1">
        <f t="array" ref="AH74">INDEX($F$40:$J$40,0,MATCH(AH$55,$F$17:$J$17,0))*INDEX(Portfolio_Categorisation!$H$24:$H$27,MATCH(AB58,Portfolio_Categorisation!$C$24:$C$27,0),0)+
INDEX($F$39:$J$39,0,MATCH(AH$55,$F$17:$J$17,0))*INDEX(Portfolio_Categorisation!$I$24:$I$27,MATCH(AB58,Portfolio_Categorisation!$C$24:$C$27,0),0)</f>
        <v>2.0690897039328325E-2</v>
      </c>
      <c r="AK74" s="10"/>
      <c r="AL74" s="203"/>
      <c r="AM74" s="10"/>
      <c r="AN74" s="10"/>
      <c r="AO74" s="10"/>
    </row>
    <row r="75" spans="1:41" ht="13.5" customHeight="1" x14ac:dyDescent="0.2">
      <c r="A75" s="82"/>
      <c r="AK75" s="10"/>
      <c r="AL75" s="10"/>
      <c r="AM75" s="10"/>
      <c r="AN75" s="10"/>
      <c r="AO75" s="10"/>
    </row>
    <row r="76" spans="1:41" x14ac:dyDescent="0.3">
      <c r="A76" s="82"/>
      <c r="D76" s="17" t="s">
        <v>64</v>
      </c>
      <c r="L76" s="17" t="s">
        <v>64</v>
      </c>
      <c r="M76" s="3"/>
      <c r="T76" s="17" t="s">
        <v>64</v>
      </c>
      <c r="U76" s="3"/>
      <c r="AB76" s="17" t="s">
        <v>64</v>
      </c>
      <c r="AC76" s="3"/>
      <c r="AK76" s="10"/>
      <c r="AM76" s="10"/>
      <c r="AN76" s="10"/>
      <c r="AO76" s="10"/>
    </row>
    <row r="77" spans="1:41" x14ac:dyDescent="0.2">
      <c r="A77" s="82"/>
      <c r="D77" s="2" t="s">
        <v>198</v>
      </c>
      <c r="E77" s="256">
        <f>$E$52</f>
        <v>8000</v>
      </c>
      <c r="L77" s="2" t="s">
        <v>198</v>
      </c>
      <c r="M77" s="256">
        <f>$E$52</f>
        <v>8000</v>
      </c>
      <c r="T77" s="2" t="s">
        <v>198</v>
      </c>
      <c r="U77" s="256">
        <f>$E$52</f>
        <v>8000</v>
      </c>
      <c r="AB77" s="2" t="s">
        <v>198</v>
      </c>
      <c r="AC77" s="256">
        <f>$E$52</f>
        <v>8000</v>
      </c>
      <c r="AK77" s="10"/>
      <c r="AL77" s="203"/>
      <c r="AM77" s="10"/>
      <c r="AN77" s="10"/>
      <c r="AO77" s="10"/>
    </row>
    <row r="78" spans="1:41" x14ac:dyDescent="0.2">
      <c r="A78" s="82"/>
      <c r="D78" s="2" t="s">
        <v>53</v>
      </c>
      <c r="E78" s="18">
        <f>$E$53</f>
        <v>-1.4999999999999999E-2</v>
      </c>
      <c r="F78" s="346"/>
      <c r="G78" s="346"/>
      <c r="H78" s="346"/>
      <c r="I78" s="346"/>
      <c r="J78" s="346"/>
      <c r="K78" s="204"/>
      <c r="L78" s="2" t="s">
        <v>53</v>
      </c>
      <c r="M78" s="18">
        <f>$E$53</f>
        <v>-1.4999999999999999E-2</v>
      </c>
      <c r="N78" s="18"/>
      <c r="O78" s="18"/>
      <c r="P78" s="18"/>
      <c r="Q78" s="18"/>
      <c r="R78" s="18"/>
      <c r="S78" s="204"/>
      <c r="T78" s="2" t="s">
        <v>53</v>
      </c>
      <c r="U78" s="18">
        <f>$E$53</f>
        <v>-1.4999999999999999E-2</v>
      </c>
      <c r="V78" s="18"/>
      <c r="W78" s="18"/>
      <c r="X78" s="18"/>
      <c r="Y78" s="18"/>
      <c r="Z78" s="18"/>
      <c r="AB78" s="2" t="s">
        <v>53</v>
      </c>
      <c r="AC78" s="18">
        <f>$E$53</f>
        <v>-1.4999999999999999E-2</v>
      </c>
      <c r="AD78" s="18"/>
      <c r="AE78" s="18"/>
      <c r="AF78" s="18"/>
      <c r="AG78" s="18"/>
      <c r="AH78" s="18"/>
      <c r="AK78" s="10"/>
      <c r="AL78" s="10"/>
      <c r="AM78" s="10"/>
      <c r="AN78" s="10"/>
      <c r="AO78" s="10"/>
    </row>
    <row r="79" spans="1:41" x14ac:dyDescent="0.2">
      <c r="A79" s="82"/>
      <c r="E79" s="18"/>
      <c r="F79" s="346"/>
      <c r="G79" s="346"/>
      <c r="H79" s="346"/>
      <c r="I79" s="346"/>
      <c r="J79" s="346"/>
      <c r="K79" s="204"/>
      <c r="M79" s="18"/>
      <c r="N79" s="18"/>
      <c r="O79" s="18"/>
      <c r="P79" s="18"/>
      <c r="Q79" s="18"/>
      <c r="R79" s="18"/>
      <c r="S79" s="204"/>
      <c r="U79" s="18"/>
      <c r="V79" s="18"/>
      <c r="W79" s="18"/>
      <c r="X79" s="18"/>
      <c r="Y79" s="18"/>
      <c r="Z79" s="18"/>
      <c r="AC79" s="18"/>
      <c r="AD79" s="18"/>
      <c r="AE79" s="18"/>
      <c r="AF79" s="18"/>
      <c r="AG79" s="18"/>
      <c r="AH79" s="18"/>
      <c r="AK79" s="10"/>
      <c r="AL79" s="10"/>
      <c r="AM79" s="10"/>
      <c r="AN79" s="10"/>
      <c r="AO79" s="10"/>
    </row>
    <row r="80" spans="1:41" x14ac:dyDescent="0.2">
      <c r="B80" s="53" t="s">
        <v>37</v>
      </c>
      <c r="D80" s="257" t="s">
        <v>54</v>
      </c>
      <c r="E80" s="53"/>
      <c r="F80" s="53"/>
      <c r="G80" s="53"/>
      <c r="H80" s="53"/>
      <c r="I80" s="53"/>
      <c r="J80" s="53"/>
      <c r="K80" s="53"/>
      <c r="L80" s="53"/>
      <c r="M80" s="53"/>
      <c r="N80" s="53"/>
      <c r="O80" s="53"/>
      <c r="P80" s="53"/>
      <c r="Q80" s="53"/>
      <c r="R80" s="53"/>
      <c r="S80" s="53"/>
      <c r="T80" s="53"/>
      <c r="U80" s="53"/>
      <c r="V80" s="53"/>
      <c r="W80" s="53"/>
      <c r="X80" s="53"/>
      <c r="Y80" s="53"/>
      <c r="Z80" s="53"/>
      <c r="AA80" s="53"/>
      <c r="AB80" s="53"/>
      <c r="AC80" s="53"/>
      <c r="AD80" s="53"/>
      <c r="AE80" s="53"/>
      <c r="AF80" s="53"/>
      <c r="AG80" s="53"/>
      <c r="AH80" s="258"/>
      <c r="AI80" s="53"/>
    </row>
    <row r="81" spans="1:75" x14ac:dyDescent="0.2">
      <c r="D81" s="2" t="s">
        <v>54</v>
      </c>
      <c r="E81" s="256">
        <f>Dashboard!$D$33</f>
        <v>8700</v>
      </c>
      <c r="G81" s="206"/>
      <c r="H81" s="206"/>
      <c r="I81" s="206"/>
      <c r="J81" s="206"/>
      <c r="M81" s="256"/>
      <c r="O81" s="206"/>
      <c r="P81" s="206"/>
      <c r="Q81" s="206"/>
      <c r="R81" s="206"/>
      <c r="U81" s="256"/>
      <c r="W81" s="206"/>
      <c r="X81" s="206"/>
      <c r="Y81" s="206"/>
      <c r="Z81" s="206"/>
      <c r="AC81" s="256"/>
      <c r="AE81" s="206"/>
      <c r="AF81" s="206"/>
      <c r="AG81" s="206"/>
      <c r="AH81" s="206"/>
      <c r="AK81" s="10"/>
      <c r="AL81" s="10"/>
      <c r="AM81" s="10"/>
      <c r="AN81" s="10"/>
      <c r="AO81" s="10"/>
    </row>
    <row r="82" spans="1:75" ht="12.6" customHeight="1" x14ac:dyDescent="0.2"/>
    <row r="83" spans="1:75" x14ac:dyDescent="0.2">
      <c r="B83" s="200" t="s">
        <v>37</v>
      </c>
      <c r="D83" s="11" t="s">
        <v>206</v>
      </c>
      <c r="E83" s="12"/>
      <c r="F83" s="12"/>
      <c r="G83" s="12"/>
      <c r="H83" s="12"/>
      <c r="I83" s="12"/>
      <c r="J83" s="12"/>
      <c r="K83" s="12"/>
      <c r="L83" s="12"/>
      <c r="M83" s="12"/>
      <c r="N83" s="12"/>
      <c r="O83" s="12"/>
      <c r="P83" s="12"/>
      <c r="Q83" s="12"/>
      <c r="R83" s="12"/>
      <c r="S83" s="12"/>
      <c r="T83" s="12"/>
      <c r="U83" s="12"/>
      <c r="V83" s="12"/>
      <c r="W83" s="12"/>
      <c r="X83" s="12"/>
      <c r="Y83" s="12"/>
      <c r="Z83" s="12"/>
      <c r="AA83" s="12"/>
      <c r="AB83" s="12"/>
      <c r="AC83" s="12"/>
      <c r="AD83" s="12"/>
      <c r="AE83" s="12"/>
      <c r="AF83" s="12"/>
      <c r="AG83" s="12"/>
      <c r="AH83" s="13"/>
      <c r="AI83" s="12"/>
    </row>
    <row r="84" spans="1:75" ht="12.6" customHeight="1" x14ac:dyDescent="0.2">
      <c r="H84" s="409"/>
      <c r="I84" s="409"/>
      <c r="J84" s="82"/>
    </row>
    <row r="85" spans="1:75" x14ac:dyDescent="0.2">
      <c r="D85" s="2" t="s">
        <v>73</v>
      </c>
      <c r="E85" s="168">
        <f>Dashboard!I12</f>
        <v>0.45</v>
      </c>
      <c r="H85" s="408"/>
      <c r="I85" s="408"/>
      <c r="J85" s="82"/>
      <c r="P85" s="207"/>
    </row>
    <row r="86" spans="1:75" x14ac:dyDescent="0.3">
      <c r="D86" s="3" t="s">
        <v>80</v>
      </c>
      <c r="E86" s="208">
        <v>1</v>
      </c>
      <c r="H86" s="100"/>
      <c r="I86" s="100"/>
      <c r="J86" s="82"/>
      <c r="M86" s="300"/>
      <c r="P86" s="207"/>
    </row>
    <row r="87" spans="1:75" x14ac:dyDescent="0.3">
      <c r="D87" s="3" t="s">
        <v>202</v>
      </c>
      <c r="E87" s="207">
        <f>EOMONTH($E$12,4)</f>
        <v>46446</v>
      </c>
      <c r="F87" s="293"/>
      <c r="H87" s="207"/>
      <c r="I87" s="207"/>
      <c r="J87" s="82"/>
      <c r="P87" s="207"/>
    </row>
    <row r="88" spans="1:75" x14ac:dyDescent="0.3">
      <c r="D88" s="3" t="s">
        <v>205</v>
      </c>
      <c r="E88" s="256">
        <f>Dashboard!I13</f>
        <v>40000</v>
      </c>
      <c r="H88" s="268"/>
      <c r="I88" s="268"/>
      <c r="J88" s="82"/>
      <c r="P88" s="207"/>
    </row>
    <row r="89" spans="1:75" x14ac:dyDescent="0.3">
      <c r="D89" s="3"/>
      <c r="E89" s="3"/>
      <c r="F89" s="3"/>
      <c r="P89" s="207"/>
    </row>
    <row r="90" spans="1:75" x14ac:dyDescent="0.2">
      <c r="D90" s="14"/>
      <c r="E90" s="73">
        <v>1</v>
      </c>
      <c r="F90" s="73">
        <v>2</v>
      </c>
      <c r="G90" s="73">
        <v>3</v>
      </c>
      <c r="H90" s="73">
        <v>4</v>
      </c>
      <c r="I90" s="73">
        <v>5</v>
      </c>
      <c r="J90" s="73">
        <v>6</v>
      </c>
      <c r="P90" s="207"/>
    </row>
    <row r="91" spans="1:75" x14ac:dyDescent="0.2">
      <c r="D91" s="2" t="s">
        <v>203</v>
      </c>
      <c r="E91" s="209">
        <v>0</v>
      </c>
      <c r="F91" s="300">
        <v>0.04</v>
      </c>
      <c r="G91" s="300">
        <v>0.04</v>
      </c>
      <c r="H91" s="300">
        <v>0.04</v>
      </c>
      <c r="I91" s="300">
        <v>0.04</v>
      </c>
      <c r="J91" s="300">
        <v>0.04</v>
      </c>
    </row>
    <row r="92" spans="1:75" x14ac:dyDescent="0.3">
      <c r="A92" s="363"/>
      <c r="B92" s="364"/>
      <c r="C92" s="364"/>
      <c r="D92" s="367"/>
      <c r="E92" s="367"/>
      <c r="F92" s="367"/>
      <c r="G92" s="363"/>
      <c r="H92" s="363"/>
      <c r="I92" s="363"/>
      <c r="J92" s="363"/>
      <c r="K92" s="363"/>
      <c r="L92" s="363"/>
      <c r="M92" s="389"/>
      <c r="N92" s="82"/>
      <c r="O92" s="82"/>
      <c r="P92" s="207"/>
      <c r="Q92" s="82"/>
      <c r="R92" s="82"/>
      <c r="S92" s="82"/>
      <c r="T92" s="82"/>
      <c r="U92" s="389"/>
      <c r="V92" s="82"/>
      <c r="W92" s="82"/>
      <c r="X92" s="207"/>
      <c r="Y92" s="82"/>
      <c r="Z92" s="82"/>
      <c r="AA92" s="389"/>
      <c r="AB92" s="82"/>
      <c r="AC92" s="82"/>
      <c r="AD92" s="207"/>
      <c r="AE92" s="82"/>
      <c r="AF92" s="82"/>
      <c r="AG92" s="363"/>
      <c r="AH92" s="363"/>
      <c r="AI92" s="363"/>
      <c r="AJ92" s="363"/>
      <c r="AK92" s="363"/>
      <c r="AL92" s="363"/>
      <c r="AM92" s="363"/>
      <c r="AN92" s="363"/>
      <c r="AO92" s="363"/>
      <c r="AP92" s="363"/>
      <c r="AQ92" s="363"/>
      <c r="AR92" s="363"/>
      <c r="AS92" s="363"/>
      <c r="AT92" s="363"/>
      <c r="AU92" s="363"/>
      <c r="AV92" s="363"/>
      <c r="AW92" s="363"/>
      <c r="AX92" s="363"/>
      <c r="AY92" s="363"/>
      <c r="AZ92" s="363"/>
      <c r="BA92" s="363"/>
      <c r="BB92" s="363"/>
      <c r="BC92" s="363"/>
      <c r="BD92" s="363"/>
      <c r="BE92" s="363"/>
      <c r="BF92" s="363"/>
      <c r="BG92" s="363"/>
      <c r="BH92" s="363"/>
      <c r="BI92" s="363"/>
      <c r="BJ92" s="363"/>
      <c r="BK92" s="363"/>
      <c r="BL92" s="363"/>
      <c r="BM92" s="363"/>
      <c r="BN92" s="363"/>
      <c r="BO92" s="363"/>
      <c r="BP92" s="363"/>
      <c r="BQ92" s="363"/>
      <c r="BR92" s="363"/>
      <c r="BS92" s="363"/>
      <c r="BT92" s="363"/>
      <c r="BU92" s="363"/>
      <c r="BV92" s="363"/>
      <c r="BW92" s="363"/>
    </row>
    <row r="93" spans="1:75" x14ac:dyDescent="0.2">
      <c r="A93" s="363"/>
      <c r="B93" s="364"/>
      <c r="C93" s="364"/>
      <c r="D93" s="365" t="s">
        <v>283</v>
      </c>
      <c r="E93" s="365"/>
      <c r="F93" s="366" t="str">
        <f>F17</f>
        <v>FY27E</v>
      </c>
      <c r="G93" s="366" t="str">
        <f>G17</f>
        <v>FY28E</v>
      </c>
      <c r="H93" s="366" t="str">
        <f>H17</f>
        <v>FY29E</v>
      </c>
      <c r="I93" s="366" t="str">
        <f>I17</f>
        <v>FY30E</v>
      </c>
      <c r="J93" s="366" t="str">
        <f>J17</f>
        <v>FY31E</v>
      </c>
      <c r="K93" s="10"/>
      <c r="L93" s="363"/>
      <c r="M93" s="392"/>
      <c r="N93" s="392"/>
      <c r="O93" s="392"/>
      <c r="P93" s="392"/>
      <c r="Q93" s="392"/>
      <c r="R93" s="82"/>
      <c r="S93" s="82"/>
      <c r="T93" s="82"/>
      <c r="U93" s="392"/>
      <c r="V93" s="392"/>
      <c r="W93" s="392"/>
      <c r="X93" s="392"/>
      <c r="Y93" s="392"/>
      <c r="Z93" s="82"/>
      <c r="AA93" s="392"/>
      <c r="AB93" s="392"/>
      <c r="AC93" s="392"/>
      <c r="AD93" s="392"/>
      <c r="AE93" s="392"/>
      <c r="AF93" s="82"/>
      <c r="AG93" s="363"/>
      <c r="AH93" s="363"/>
      <c r="AI93" s="363"/>
      <c r="AJ93" s="363"/>
      <c r="AK93" s="363"/>
      <c r="AL93" s="363"/>
      <c r="AM93" s="363"/>
      <c r="AN93" s="363"/>
      <c r="AO93" s="363"/>
      <c r="AP93" s="363"/>
      <c r="AQ93" s="363"/>
      <c r="AR93" s="363"/>
      <c r="AS93" s="363"/>
      <c r="AT93" s="363"/>
      <c r="AU93" s="363"/>
      <c r="AV93" s="363"/>
      <c r="AW93" s="363"/>
      <c r="AX93" s="363"/>
      <c r="AY93" s="363"/>
      <c r="AZ93" s="363"/>
      <c r="BA93" s="363"/>
      <c r="BB93" s="363"/>
      <c r="BC93" s="363"/>
      <c r="BD93" s="363"/>
      <c r="BE93" s="363"/>
      <c r="BF93" s="363"/>
      <c r="BG93" s="363"/>
      <c r="BH93" s="363"/>
      <c r="BI93" s="363"/>
      <c r="BJ93" s="363"/>
      <c r="BK93" s="363"/>
      <c r="BL93" s="363"/>
      <c r="BM93" s="363"/>
      <c r="BN93" s="363"/>
      <c r="BO93" s="363"/>
      <c r="BP93" s="363"/>
      <c r="BQ93" s="363"/>
      <c r="BR93" s="363"/>
      <c r="BS93" s="363"/>
      <c r="BT93" s="363"/>
      <c r="BU93" s="363"/>
      <c r="BV93" s="363"/>
      <c r="BW93" s="363"/>
    </row>
    <row r="94" spans="1:75" x14ac:dyDescent="0.2">
      <c r="D94" s="2" t="s">
        <v>39</v>
      </c>
      <c r="F94" s="438">
        <f>Dashboard!$I$14</f>
        <v>42</v>
      </c>
      <c r="G94" s="393">
        <f>F94</f>
        <v>42</v>
      </c>
      <c r="H94" s="393">
        <f>G94</f>
        <v>42</v>
      </c>
      <c r="I94" s="393">
        <f>H94</f>
        <v>42</v>
      </c>
      <c r="J94" s="393">
        <f>I94</f>
        <v>42</v>
      </c>
      <c r="K94" s="363"/>
      <c r="M94" s="393"/>
      <c r="N94" s="393"/>
      <c r="O94" s="393"/>
      <c r="P94" s="393"/>
      <c r="Q94" s="393"/>
      <c r="R94" s="82"/>
      <c r="S94" s="82"/>
      <c r="T94" s="82"/>
      <c r="U94" s="393"/>
      <c r="V94" s="393"/>
      <c r="W94" s="393"/>
      <c r="X94" s="393"/>
      <c r="Y94" s="393"/>
      <c r="Z94" s="82"/>
      <c r="AA94" s="394"/>
      <c r="AB94" s="394"/>
      <c r="AC94" s="394"/>
      <c r="AD94" s="394"/>
      <c r="AE94" s="394"/>
      <c r="AF94" s="82"/>
    </row>
    <row r="95" spans="1:75" x14ac:dyDescent="0.2">
      <c r="D95" s="4" t="s">
        <v>36</v>
      </c>
      <c r="E95" s="263"/>
      <c r="F95" s="263">
        <f>F94</f>
        <v>42</v>
      </c>
      <c r="G95" s="263">
        <f t="shared" ref="G95:J95" si="2">G94</f>
        <v>42</v>
      </c>
      <c r="H95" s="263">
        <f t="shared" si="2"/>
        <v>42</v>
      </c>
      <c r="I95" s="263">
        <f t="shared" si="2"/>
        <v>42</v>
      </c>
      <c r="J95" s="263">
        <f t="shared" si="2"/>
        <v>42</v>
      </c>
      <c r="K95" s="363"/>
      <c r="M95" s="82"/>
      <c r="N95" s="82"/>
      <c r="O95" s="82"/>
      <c r="P95" s="82"/>
      <c r="Q95" s="82"/>
      <c r="R95" s="82"/>
      <c r="S95" s="82"/>
      <c r="T95" s="82"/>
      <c r="U95" s="82"/>
      <c r="V95" s="82"/>
      <c r="W95" s="82"/>
      <c r="X95" s="82"/>
      <c r="Y95" s="82"/>
      <c r="Z95" s="82"/>
      <c r="AA95" s="82"/>
      <c r="AB95" s="82"/>
      <c r="AC95" s="82"/>
      <c r="AD95" s="82"/>
      <c r="AE95" s="82"/>
      <c r="AF95" s="82"/>
    </row>
    <row r="96" spans="1:75" x14ac:dyDescent="0.2">
      <c r="D96" s="2" t="s">
        <v>284</v>
      </c>
      <c r="E96" s="212"/>
      <c r="F96" s="212">
        <f>IFERROR(F95/Portfolio!O9,0)</f>
        <v>0.14383561643835616</v>
      </c>
      <c r="G96" s="212">
        <f>IFERROR(G95/Portfolio!P9,0)</f>
        <v>0.15217391304347827</v>
      </c>
      <c r="H96" s="212">
        <f>IFERROR(H95/Portfolio!Q9,0)</f>
        <v>0.16153846153846155</v>
      </c>
      <c r="I96" s="212">
        <f>IFERROR(I95/Portfolio!R9,0)</f>
        <v>0.1721311475409836</v>
      </c>
      <c r="J96" s="212">
        <f>IFERROR(J95/Portfolio!S9,0)</f>
        <v>0.18421052631578946</v>
      </c>
      <c r="K96" s="363"/>
      <c r="M96" s="82"/>
      <c r="N96" s="82"/>
      <c r="O96" s="82"/>
      <c r="P96" s="82"/>
      <c r="Q96" s="82"/>
      <c r="R96" s="82"/>
      <c r="S96" s="82"/>
      <c r="T96" s="82"/>
      <c r="U96" s="82"/>
      <c r="V96" s="82"/>
      <c r="W96" s="82"/>
      <c r="X96" s="82"/>
      <c r="Y96" s="82"/>
      <c r="Z96" s="82"/>
      <c r="AA96" s="82"/>
      <c r="AB96" s="82"/>
      <c r="AC96" s="82"/>
      <c r="AD96" s="82"/>
      <c r="AE96" s="82"/>
      <c r="AF96" s="82"/>
    </row>
    <row r="97" spans="2:35" x14ac:dyDescent="0.2">
      <c r="D97" s="2" t="s">
        <v>282</v>
      </c>
      <c r="F97" s="369">
        <f>-Portfolio!O74</f>
        <v>1597966.6417299686</v>
      </c>
      <c r="G97" s="369">
        <f>-Portfolio!P74</f>
        <v>1546113.4246865364</v>
      </c>
      <c r="H97" s="369">
        <f>-Portfolio!Q74</f>
        <v>1488519.2320715429</v>
      </c>
      <c r="I97" s="369">
        <f>-Portfolio!R74</f>
        <v>1425078.231778247</v>
      </c>
      <c r="J97" s="369">
        <f>-Portfolio!S74</f>
        <v>1356831.1811536034</v>
      </c>
      <c r="K97" s="363"/>
      <c r="L97" s="290"/>
      <c r="M97" s="82"/>
      <c r="N97" s="82"/>
      <c r="O97" s="82"/>
      <c r="P97" s="82"/>
      <c r="Q97" s="82"/>
      <c r="R97" s="82"/>
      <c r="S97" s="82"/>
      <c r="T97" s="82"/>
      <c r="U97" s="82"/>
      <c r="V97" s="82"/>
      <c r="W97" s="82"/>
      <c r="X97" s="82"/>
      <c r="Y97" s="82"/>
      <c r="Z97" s="82"/>
      <c r="AA97" s="82"/>
      <c r="AB97" s="82"/>
      <c r="AC97" s="82"/>
      <c r="AD97" s="82"/>
      <c r="AE97" s="82"/>
      <c r="AF97" s="82"/>
    </row>
    <row r="98" spans="2:35" ht="12.6" customHeight="1" x14ac:dyDescent="0.2">
      <c r="D98" s="2" t="s">
        <v>285</v>
      </c>
      <c r="E98" s="361"/>
      <c r="F98" s="370">
        <f>SUM('Portfolio&gt;&gt;&gt;:&lt;&lt;&lt;Portfolio'!R155)</f>
        <v>42</v>
      </c>
      <c r="G98" s="370">
        <f>SUM('Portfolio&gt;&gt;&gt;:&lt;&lt;&lt;Portfolio'!R156)</f>
        <v>42</v>
      </c>
      <c r="H98" s="370">
        <f>SUM('Portfolio&gt;&gt;&gt;:&lt;&lt;&lt;Portfolio'!R157)</f>
        <v>42</v>
      </c>
      <c r="I98" s="370">
        <f>SUM('Portfolio&gt;&gt;&gt;:&lt;&lt;&lt;Portfolio'!R158)</f>
        <v>42</v>
      </c>
      <c r="J98" s="370">
        <f>SUM('Portfolio&gt;&gt;&gt;:&lt;&lt;&lt;Portfolio'!R159)</f>
        <v>42</v>
      </c>
    </row>
    <row r="99" spans="2:35" ht="12.6" customHeight="1" x14ac:dyDescent="0.2">
      <c r="E99" s="361"/>
      <c r="F99" s="370"/>
      <c r="G99" s="370"/>
      <c r="H99" s="362"/>
      <c r="I99" s="362"/>
      <c r="J99" s="362"/>
    </row>
    <row r="100" spans="2:35" ht="12.6" customHeight="1" x14ac:dyDescent="0.25">
      <c r="D100" s="162"/>
      <c r="E100" s="163" t="s">
        <v>83</v>
      </c>
      <c r="F100" s="163" t="s">
        <v>84</v>
      </c>
    </row>
    <row r="101" spans="2:35" ht="12.6" customHeight="1" x14ac:dyDescent="0.3">
      <c r="D101" s="3" t="s">
        <v>76</v>
      </c>
      <c r="E101" s="210">
        <v>0.55000000000000004</v>
      </c>
      <c r="F101" s="211">
        <f>1-E101</f>
        <v>0.44999999999999996</v>
      </c>
    </row>
    <row r="102" spans="2:35" ht="12.6" customHeight="1" x14ac:dyDescent="0.2"/>
    <row r="103" spans="2:35" x14ac:dyDescent="0.2">
      <c r="B103" s="200" t="s">
        <v>37</v>
      </c>
      <c r="D103" s="11" t="s">
        <v>124</v>
      </c>
      <c r="E103" s="12"/>
      <c r="F103" s="12"/>
      <c r="G103" s="12"/>
      <c r="H103" s="12"/>
      <c r="I103" s="12"/>
      <c r="J103" s="12"/>
      <c r="K103" s="12"/>
      <c r="L103" s="12"/>
      <c r="M103" s="12"/>
      <c r="N103" s="12"/>
      <c r="O103" s="12"/>
      <c r="P103" s="12"/>
      <c r="Q103" s="12"/>
      <c r="R103" s="12"/>
      <c r="S103" s="12"/>
      <c r="T103" s="12"/>
      <c r="U103" s="12"/>
      <c r="V103" s="12"/>
      <c r="W103" s="12"/>
      <c r="X103" s="12"/>
      <c r="Y103" s="12"/>
      <c r="Z103" s="12"/>
      <c r="AA103" s="12"/>
      <c r="AB103" s="12"/>
      <c r="AC103" s="12"/>
      <c r="AD103" s="12"/>
      <c r="AE103" s="12"/>
      <c r="AF103" s="12"/>
      <c r="AG103" s="12"/>
      <c r="AH103" s="13"/>
      <c r="AI103" s="12"/>
    </row>
    <row r="104" spans="2:35" x14ac:dyDescent="0.2"/>
    <row r="105" spans="2:35" x14ac:dyDescent="0.2">
      <c r="D105" s="14" t="s">
        <v>125</v>
      </c>
      <c r="E105" s="73" t="str">
        <f t="shared" ref="E105:J105" si="3">E$17</f>
        <v>FY26E</v>
      </c>
      <c r="F105" s="73" t="str">
        <f t="shared" si="3"/>
        <v>FY27E</v>
      </c>
      <c r="G105" s="73" t="str">
        <f t="shared" si="3"/>
        <v>FY28E</v>
      </c>
      <c r="H105" s="73" t="str">
        <f t="shared" si="3"/>
        <v>FY29E</v>
      </c>
      <c r="I105" s="73" t="str">
        <f t="shared" si="3"/>
        <v>FY30E</v>
      </c>
      <c r="J105" s="73" t="str">
        <f t="shared" si="3"/>
        <v>FY31E</v>
      </c>
      <c r="L105" s="396"/>
      <c r="M105" s="396"/>
    </row>
    <row r="106" spans="2:35" x14ac:dyDescent="0.2">
      <c r="D106" s="2" t="s">
        <v>39</v>
      </c>
      <c r="E106" s="19">
        <f>Dashboard!$D$35</f>
        <v>10</v>
      </c>
      <c r="F106" s="56">
        <f>E106</f>
        <v>10</v>
      </c>
      <c r="G106" s="56">
        <f>F106</f>
        <v>10</v>
      </c>
      <c r="H106" s="56">
        <f>G106</f>
        <v>10</v>
      </c>
      <c r="I106" s="56">
        <f>H106</f>
        <v>10</v>
      </c>
      <c r="J106" s="56">
        <f>I106</f>
        <v>10</v>
      </c>
      <c r="L106" s="51"/>
      <c r="M106" s="51"/>
    </row>
    <row r="107" spans="2:35" x14ac:dyDescent="0.2">
      <c r="D107" s="4" t="s">
        <v>36</v>
      </c>
      <c r="E107" s="263">
        <f>E106</f>
        <v>10</v>
      </c>
      <c r="F107" s="263">
        <f t="shared" ref="F107:J107" si="4">F106</f>
        <v>10</v>
      </c>
      <c r="G107" s="263">
        <f t="shared" si="4"/>
        <v>10</v>
      </c>
      <c r="H107" s="263">
        <f t="shared" si="4"/>
        <v>10</v>
      </c>
      <c r="I107" s="263">
        <f t="shared" si="4"/>
        <v>10</v>
      </c>
      <c r="J107" s="263">
        <f t="shared" si="4"/>
        <v>10</v>
      </c>
      <c r="L107" s="51"/>
      <c r="M107" s="51"/>
    </row>
    <row r="108" spans="2:35" x14ac:dyDescent="0.2">
      <c r="D108" s="2" t="s">
        <v>173</v>
      </c>
      <c r="E108" s="212">
        <f>IFERROR(E107/Portfolio!N9,0)</f>
        <v>3.2467532467532464E-2</v>
      </c>
      <c r="F108" s="212">
        <f>IFERROR(F107/Portfolio!O9,0)</f>
        <v>3.4246575342465752E-2</v>
      </c>
      <c r="G108" s="212">
        <f>IFERROR(G107/Portfolio!P9,0)</f>
        <v>3.6231884057971016E-2</v>
      </c>
      <c r="H108" s="212">
        <f>IFERROR(H107/Portfolio!Q9,0)</f>
        <v>3.8461538461538464E-2</v>
      </c>
      <c r="I108" s="212">
        <f>IFERROR(I107/Portfolio!R9,0)</f>
        <v>4.0983606557377046E-2</v>
      </c>
      <c r="J108" s="212">
        <f>IFERROR(J107/Portfolio!S9,0)</f>
        <v>4.3859649122807015E-2</v>
      </c>
      <c r="L108" s="395"/>
      <c r="M108" s="395"/>
    </row>
    <row r="109" spans="2:35" x14ac:dyDescent="0.2">
      <c r="E109" s="37"/>
      <c r="F109" s="91"/>
      <c r="G109" s="91"/>
      <c r="H109" s="91"/>
      <c r="I109" s="91"/>
      <c r="J109" s="91"/>
      <c r="L109" s="82"/>
      <c r="M109" s="82"/>
    </row>
    <row r="110" spans="2:35" x14ac:dyDescent="0.2">
      <c r="D110" s="2" t="s">
        <v>215</v>
      </c>
      <c r="E110" s="205">
        <v>30000</v>
      </c>
      <c r="F110" s="56"/>
      <c r="G110" s="56"/>
      <c r="H110" s="56"/>
      <c r="I110" s="56"/>
      <c r="J110" s="56"/>
    </row>
    <row r="111" spans="2:35" x14ac:dyDescent="0.2">
      <c r="E111" s="67"/>
      <c r="F111" s="56"/>
      <c r="G111" s="56"/>
      <c r="H111" s="56"/>
      <c r="I111" s="56"/>
      <c r="J111" s="56"/>
    </row>
    <row r="112" spans="2:35" x14ac:dyDescent="0.2">
      <c r="E112" s="67"/>
      <c r="F112" s="56"/>
      <c r="G112" s="56"/>
      <c r="H112" s="56"/>
      <c r="I112" s="56"/>
      <c r="J112" s="56"/>
    </row>
    <row r="113" spans="2:36" x14ac:dyDescent="0.2">
      <c r="B113" s="200" t="s">
        <v>37</v>
      </c>
      <c r="D113" s="11" t="s">
        <v>127</v>
      </c>
      <c r="E113" s="12"/>
      <c r="F113" s="12"/>
      <c r="G113" s="12"/>
      <c r="H113" s="12"/>
      <c r="I113" s="12"/>
      <c r="J113" s="12"/>
      <c r="K113" s="12"/>
      <c r="L113" s="12"/>
      <c r="M113" s="12"/>
      <c r="N113" s="12"/>
      <c r="O113" s="12"/>
      <c r="P113" s="12"/>
      <c r="Q113" s="12"/>
      <c r="R113" s="12"/>
      <c r="S113" s="12"/>
      <c r="T113" s="12"/>
      <c r="U113" s="12"/>
      <c r="V113" s="12"/>
      <c r="W113" s="12"/>
      <c r="X113" s="12"/>
      <c r="Y113" s="12"/>
      <c r="Z113" s="12"/>
      <c r="AA113" s="12"/>
      <c r="AB113" s="12"/>
      <c r="AC113" s="12"/>
      <c r="AD113" s="12"/>
      <c r="AE113" s="12"/>
      <c r="AF113" s="12"/>
      <c r="AG113" s="12"/>
      <c r="AH113" s="13"/>
      <c r="AI113" s="12"/>
    </row>
    <row r="114" spans="2:36" x14ac:dyDescent="0.2"/>
    <row r="115" spans="2:36" x14ac:dyDescent="0.2">
      <c r="D115" s="2" t="s">
        <v>223</v>
      </c>
      <c r="E115" s="208">
        <v>6</v>
      </c>
    </row>
    <row r="116" spans="2:36" x14ac:dyDescent="0.2">
      <c r="D116" s="290"/>
      <c r="W116" s="82"/>
      <c r="X116" s="82"/>
      <c r="Y116" s="82"/>
      <c r="Z116" s="82"/>
      <c r="AA116" s="82"/>
      <c r="AB116" s="82"/>
      <c r="AC116" s="82"/>
      <c r="AD116" s="82"/>
      <c r="AE116" s="82"/>
      <c r="AF116" s="82"/>
      <c r="AG116" s="82"/>
      <c r="AH116" s="82"/>
      <c r="AI116" s="82"/>
      <c r="AJ116" s="82"/>
    </row>
    <row r="117" spans="2:36" x14ac:dyDescent="0.3">
      <c r="D117" s="80" t="s">
        <v>121</v>
      </c>
      <c r="E117" s="264"/>
      <c r="F117" s="328" t="s">
        <v>39</v>
      </c>
      <c r="G117" s="411"/>
      <c r="H117" s="416" t="str">
        <f>F117</f>
        <v>Portfolio</v>
      </c>
      <c r="K117" s="413"/>
      <c r="M117" s="397"/>
      <c r="N117" s="82"/>
      <c r="O117" s="82"/>
      <c r="P117" s="82"/>
      <c r="Q117" s="82"/>
      <c r="R117" s="82"/>
      <c r="S117" s="82"/>
      <c r="T117" s="82"/>
      <c r="U117" s="82"/>
      <c r="V117" s="82"/>
      <c r="W117" s="82"/>
      <c r="X117" s="82"/>
      <c r="Y117" s="82"/>
      <c r="Z117" s="82"/>
    </row>
    <row r="118" spans="2:36" ht="13.5" customHeight="1" x14ac:dyDescent="0.3">
      <c r="D118" s="213">
        <v>1</v>
      </c>
      <c r="E118" s="380">
        <f>EOMONTH(E12,4)</f>
        <v>46446</v>
      </c>
      <c r="F118" s="442">
        <f>Dashboard!$I$20/2</f>
        <v>8</v>
      </c>
      <c r="G118" s="398"/>
      <c r="H118" s="417">
        <f t="shared" ref="H118:H127" si="5">F118*$F$6</f>
        <v>8</v>
      </c>
      <c r="K118" s="414"/>
      <c r="M118" s="398"/>
      <c r="N118" s="398"/>
      <c r="O118" s="398"/>
      <c r="P118" s="398"/>
      <c r="Q118" s="398"/>
      <c r="R118" s="398"/>
      <c r="S118" s="82"/>
      <c r="T118" s="398"/>
      <c r="U118" s="398"/>
      <c r="V118" s="398"/>
      <c r="W118" s="398"/>
      <c r="X118" s="398"/>
      <c r="Y118" s="398"/>
      <c r="Z118" s="82"/>
    </row>
    <row r="119" spans="2:36" x14ac:dyDescent="0.3">
      <c r="D119" s="94">
        <f t="shared" ref="D119:D127" si="6">D118+1</f>
        <v>2</v>
      </c>
      <c r="E119" s="172">
        <f>EOMONTH(E118,$E$115)</f>
        <v>46630</v>
      </c>
      <c r="F119" s="443">
        <f>Dashboard!$I$20/2</f>
        <v>8</v>
      </c>
      <c r="G119" s="398"/>
      <c r="H119" s="418">
        <f t="shared" si="5"/>
        <v>8</v>
      </c>
      <c r="K119" s="414"/>
      <c r="M119" s="398"/>
      <c r="N119" s="398"/>
      <c r="O119" s="398"/>
      <c r="P119" s="398"/>
      <c r="Q119" s="398"/>
      <c r="R119" s="398"/>
      <c r="S119" s="82"/>
      <c r="T119" s="398"/>
      <c r="U119" s="398"/>
      <c r="V119" s="398"/>
      <c r="W119" s="398"/>
      <c r="X119" s="398"/>
      <c r="Y119" s="398"/>
      <c r="Z119" s="82"/>
    </row>
    <row r="120" spans="2:36" x14ac:dyDescent="0.3">
      <c r="D120" s="94">
        <f t="shared" si="6"/>
        <v>3</v>
      </c>
      <c r="E120" s="172">
        <f t="shared" ref="E120:E127" si="7">EOMONTH(E119,$E$115)</f>
        <v>46812</v>
      </c>
      <c r="F120" s="443">
        <f>Dashboard!$I$20/2</f>
        <v>8</v>
      </c>
      <c r="G120" s="398"/>
      <c r="H120" s="418">
        <f t="shared" si="5"/>
        <v>8</v>
      </c>
      <c r="K120" s="414"/>
      <c r="M120" s="398"/>
      <c r="N120" s="398"/>
      <c r="O120" s="398"/>
      <c r="P120" s="398"/>
      <c r="Q120" s="398"/>
      <c r="R120" s="398"/>
      <c r="S120" s="82"/>
      <c r="T120" s="398"/>
      <c r="U120" s="398"/>
      <c r="V120" s="398"/>
      <c r="W120" s="398"/>
      <c r="X120" s="398"/>
      <c r="Y120" s="398"/>
      <c r="Z120" s="82"/>
    </row>
    <row r="121" spans="2:36" x14ac:dyDescent="0.3">
      <c r="D121" s="94">
        <f t="shared" si="6"/>
        <v>4</v>
      </c>
      <c r="E121" s="172">
        <f t="shared" si="7"/>
        <v>46996</v>
      </c>
      <c r="F121" s="443">
        <f>Dashboard!$I$20/2</f>
        <v>8</v>
      </c>
      <c r="G121" s="398"/>
      <c r="H121" s="418">
        <f t="shared" si="5"/>
        <v>8</v>
      </c>
      <c r="K121" s="414"/>
      <c r="M121" s="398"/>
      <c r="N121" s="398"/>
      <c r="O121" s="398"/>
      <c r="P121" s="398"/>
      <c r="Q121" s="398"/>
      <c r="R121" s="398"/>
      <c r="S121" s="82"/>
      <c r="T121" s="398"/>
      <c r="U121" s="398"/>
      <c r="V121" s="398"/>
      <c r="W121" s="398"/>
      <c r="X121" s="398"/>
      <c r="Y121" s="398"/>
      <c r="Z121" s="82"/>
    </row>
    <row r="122" spans="2:36" x14ac:dyDescent="0.3">
      <c r="D122" s="94">
        <f t="shared" si="6"/>
        <v>5</v>
      </c>
      <c r="E122" s="172">
        <f t="shared" si="7"/>
        <v>47177</v>
      </c>
      <c r="F122" s="443">
        <f>Dashboard!$I$20/2</f>
        <v>8</v>
      </c>
      <c r="G122" s="398"/>
      <c r="H122" s="418">
        <f t="shared" si="5"/>
        <v>8</v>
      </c>
      <c r="K122" s="414"/>
      <c r="M122" s="398"/>
      <c r="N122" s="398"/>
      <c r="O122" s="398"/>
      <c r="P122" s="398"/>
      <c r="Q122" s="398"/>
      <c r="R122" s="398"/>
      <c r="S122" s="82"/>
      <c r="T122" s="398"/>
      <c r="U122" s="398"/>
      <c r="V122" s="398"/>
      <c r="W122" s="398"/>
      <c r="X122" s="398"/>
      <c r="Y122" s="398"/>
      <c r="Z122" s="82"/>
    </row>
    <row r="123" spans="2:36" x14ac:dyDescent="0.3">
      <c r="D123" s="94">
        <f t="shared" si="6"/>
        <v>6</v>
      </c>
      <c r="E123" s="172">
        <f t="shared" si="7"/>
        <v>47361</v>
      </c>
      <c r="F123" s="443">
        <f>Dashboard!$I$20/2</f>
        <v>8</v>
      </c>
      <c r="G123" s="398"/>
      <c r="H123" s="418">
        <f t="shared" si="5"/>
        <v>8</v>
      </c>
      <c r="K123" s="414"/>
      <c r="M123" s="398"/>
      <c r="N123" s="398"/>
      <c r="O123" s="398"/>
      <c r="P123" s="398"/>
      <c r="Q123" s="398"/>
      <c r="R123" s="398"/>
      <c r="S123" s="82"/>
      <c r="T123" s="398"/>
      <c r="U123" s="398"/>
      <c r="V123" s="398"/>
      <c r="W123" s="398"/>
      <c r="X123" s="398"/>
      <c r="Y123" s="398"/>
      <c r="Z123" s="82"/>
    </row>
    <row r="124" spans="2:36" x14ac:dyDescent="0.3">
      <c r="D124" s="94">
        <f t="shared" si="6"/>
        <v>7</v>
      </c>
      <c r="E124" s="172">
        <f t="shared" si="7"/>
        <v>47542</v>
      </c>
      <c r="F124" s="443">
        <f>Dashboard!$I$20/2</f>
        <v>8</v>
      </c>
      <c r="G124" s="398"/>
      <c r="H124" s="418">
        <f t="shared" si="5"/>
        <v>8</v>
      </c>
      <c r="K124" s="414"/>
      <c r="M124" s="398"/>
      <c r="N124" s="398"/>
      <c r="O124" s="398"/>
      <c r="P124" s="398"/>
      <c r="Q124" s="398"/>
      <c r="R124" s="398"/>
      <c r="S124" s="82"/>
      <c r="T124" s="398"/>
      <c r="U124" s="398"/>
      <c r="V124" s="398"/>
      <c r="W124" s="398"/>
      <c r="X124" s="398"/>
      <c r="Y124" s="398"/>
      <c r="Z124" s="82"/>
    </row>
    <row r="125" spans="2:36" x14ac:dyDescent="0.3">
      <c r="D125" s="94">
        <f t="shared" si="6"/>
        <v>8</v>
      </c>
      <c r="E125" s="172">
        <f t="shared" si="7"/>
        <v>47726</v>
      </c>
      <c r="F125" s="443">
        <f>Dashboard!$I$20/2</f>
        <v>8</v>
      </c>
      <c r="G125" s="398"/>
      <c r="H125" s="418">
        <f t="shared" si="5"/>
        <v>8</v>
      </c>
      <c r="K125" s="414"/>
      <c r="M125" s="398"/>
      <c r="N125" s="398"/>
      <c r="O125" s="398"/>
      <c r="P125" s="398"/>
      <c r="Q125" s="398"/>
      <c r="R125" s="398"/>
      <c r="S125" s="82"/>
      <c r="T125" s="398"/>
      <c r="U125" s="398"/>
      <c r="V125" s="398"/>
      <c r="W125" s="398"/>
      <c r="X125" s="398"/>
      <c r="Y125" s="398"/>
      <c r="Z125" s="82"/>
    </row>
    <row r="126" spans="2:36" x14ac:dyDescent="0.3">
      <c r="D126" s="94">
        <f t="shared" si="6"/>
        <v>9</v>
      </c>
      <c r="E126" s="172">
        <f t="shared" si="7"/>
        <v>47907</v>
      </c>
      <c r="F126" s="443">
        <f>Dashboard!$I$20/2</f>
        <v>8</v>
      </c>
      <c r="G126" s="398"/>
      <c r="H126" s="418">
        <f t="shared" si="5"/>
        <v>8</v>
      </c>
      <c r="K126" s="414"/>
      <c r="M126" s="398"/>
      <c r="N126" s="398"/>
      <c r="O126" s="398"/>
      <c r="P126" s="398"/>
      <c r="Q126" s="398"/>
      <c r="R126" s="398"/>
      <c r="S126" s="82"/>
      <c r="T126" s="398"/>
      <c r="U126" s="398"/>
      <c r="V126" s="398"/>
      <c r="W126" s="398"/>
      <c r="X126" s="398"/>
      <c r="Y126" s="398"/>
      <c r="Z126" s="82"/>
    </row>
    <row r="127" spans="2:36" x14ac:dyDescent="0.3">
      <c r="D127" s="94">
        <f t="shared" si="6"/>
        <v>10</v>
      </c>
      <c r="E127" s="172">
        <f t="shared" si="7"/>
        <v>48091</v>
      </c>
      <c r="F127" s="443">
        <f>Dashboard!$I$20/2</f>
        <v>8</v>
      </c>
      <c r="G127" s="398"/>
      <c r="H127" s="418">
        <f t="shared" si="5"/>
        <v>8</v>
      </c>
      <c r="K127" s="414"/>
      <c r="M127" s="398"/>
      <c r="N127" s="398"/>
      <c r="O127" s="398"/>
      <c r="P127" s="398"/>
      <c r="Q127" s="398"/>
      <c r="R127" s="398"/>
      <c r="S127" s="82"/>
      <c r="T127" s="398"/>
      <c r="U127" s="398"/>
      <c r="V127" s="398"/>
      <c r="W127" s="398"/>
      <c r="X127" s="398"/>
      <c r="Y127" s="398"/>
      <c r="Z127" s="82"/>
    </row>
    <row r="128" spans="2:36" x14ac:dyDescent="0.2">
      <c r="D128" s="4" t="s">
        <v>204</v>
      </c>
      <c r="E128" s="4"/>
      <c r="F128" s="301">
        <f>SUM(F118:F127)</f>
        <v>80</v>
      </c>
      <c r="G128" s="412"/>
      <c r="H128" s="419">
        <f>SUM(H118:H127)</f>
        <v>80</v>
      </c>
      <c r="K128" s="415"/>
      <c r="L128" s="324"/>
      <c r="M128" s="82"/>
      <c r="N128" s="82"/>
      <c r="O128" s="82"/>
      <c r="P128" s="82"/>
      <c r="Q128" s="82"/>
      <c r="R128" s="82"/>
      <c r="S128" s="82"/>
      <c r="T128" s="82"/>
      <c r="U128" s="82"/>
      <c r="V128" s="82"/>
      <c r="W128" s="82"/>
      <c r="X128" s="82"/>
      <c r="Y128" s="82"/>
      <c r="Z128" s="82"/>
    </row>
    <row r="129" spans="2:36" x14ac:dyDescent="0.2">
      <c r="D129" s="2" t="s">
        <v>314</v>
      </c>
      <c r="E129" s="22"/>
      <c r="F129" s="434">
        <f>F128/Portfolio!N9</f>
        <v>0.25974025974025972</v>
      </c>
      <c r="G129" s="412"/>
      <c r="J129" s="432"/>
      <c r="K129" s="432"/>
      <c r="L129" s="432"/>
      <c r="M129" s="432"/>
      <c r="N129" s="432"/>
      <c r="O129" s="433"/>
      <c r="P129" s="415"/>
      <c r="Q129" s="432"/>
      <c r="R129" s="82"/>
      <c r="S129" s="82"/>
      <c r="T129" s="82"/>
      <c r="U129" s="82"/>
      <c r="V129" s="82"/>
      <c r="W129" s="82"/>
      <c r="X129" s="82"/>
      <c r="Y129" s="82"/>
      <c r="Z129" s="82"/>
      <c r="AA129" s="82"/>
      <c r="AB129" s="82"/>
      <c r="AC129" s="82"/>
      <c r="AD129" s="82"/>
      <c r="AE129" s="82"/>
    </row>
    <row r="130" spans="2:36" x14ac:dyDescent="0.2">
      <c r="F130" s="37"/>
      <c r="G130" s="37"/>
      <c r="H130" s="37"/>
      <c r="I130" s="37"/>
      <c r="L130" s="82"/>
      <c r="U130" s="82"/>
      <c r="W130" s="82"/>
      <c r="X130" s="82"/>
      <c r="Y130" s="82"/>
      <c r="Z130" s="82"/>
      <c r="AA130" s="82"/>
      <c r="AB130" s="82"/>
      <c r="AC130" s="82"/>
      <c r="AD130" s="82"/>
      <c r="AE130" s="82"/>
      <c r="AF130" s="82"/>
      <c r="AG130" s="82"/>
      <c r="AH130" s="82"/>
      <c r="AI130" s="82"/>
      <c r="AJ130" s="82"/>
    </row>
    <row r="131" spans="2:36" x14ac:dyDescent="0.3">
      <c r="D131" s="92" t="s">
        <v>201</v>
      </c>
      <c r="E131" s="163" t="s">
        <v>172</v>
      </c>
      <c r="F131" s="163" t="s">
        <v>226</v>
      </c>
      <c r="G131" s="3"/>
      <c r="H131" s="3"/>
    </row>
    <row r="132" spans="2:36" x14ac:dyDescent="0.3">
      <c r="D132" s="96" t="s">
        <v>39</v>
      </c>
      <c r="E132" s="97">
        <f>Dashboard!$I$19</f>
        <v>13</v>
      </c>
      <c r="F132" s="285">
        <f>IFERROR(1/E132,0)</f>
        <v>7.6923076923076927E-2</v>
      </c>
      <c r="G132" s="3"/>
    </row>
    <row r="133" spans="2:36" x14ac:dyDescent="0.2"/>
    <row r="134" spans="2:36" x14ac:dyDescent="0.2">
      <c r="D134" s="156" t="s">
        <v>216</v>
      </c>
      <c r="E134" s="215">
        <v>0.01</v>
      </c>
    </row>
    <row r="135" spans="2:36" x14ac:dyDescent="0.2"/>
    <row r="136" spans="2:36" x14ac:dyDescent="0.2"/>
    <row r="137" spans="2:36" x14ac:dyDescent="0.2">
      <c r="B137" s="200" t="s">
        <v>37</v>
      </c>
      <c r="D137" s="11" t="s">
        <v>235</v>
      </c>
      <c r="E137" s="12"/>
      <c r="F137" s="12"/>
      <c r="G137" s="12"/>
      <c r="H137" s="12"/>
      <c r="I137" s="12"/>
      <c r="J137" s="12"/>
      <c r="K137" s="12"/>
      <c r="L137" s="12"/>
      <c r="M137" s="12"/>
      <c r="N137" s="12"/>
      <c r="O137" s="12"/>
      <c r="P137" s="12"/>
      <c r="Q137" s="12"/>
      <c r="R137" s="12"/>
      <c r="S137" s="12"/>
      <c r="T137" s="12"/>
      <c r="U137" s="12"/>
      <c r="V137" s="12"/>
      <c r="W137" s="12"/>
      <c r="X137" s="12"/>
      <c r="Y137" s="12"/>
      <c r="Z137" s="12"/>
      <c r="AA137" s="12"/>
      <c r="AB137" s="12"/>
      <c r="AC137" s="12"/>
      <c r="AD137" s="12"/>
      <c r="AE137" s="12"/>
      <c r="AF137" s="12"/>
      <c r="AG137" s="12"/>
      <c r="AH137" s="13"/>
      <c r="AI137" s="12"/>
    </row>
    <row r="138" spans="2:36" x14ac:dyDescent="0.2"/>
    <row r="139" spans="2:36" x14ac:dyDescent="0.2">
      <c r="D139" s="14"/>
      <c r="E139" s="73" t="s">
        <v>218</v>
      </c>
      <c r="F139" s="267"/>
      <c r="G139" s="267"/>
      <c r="H139" s="267"/>
      <c r="I139" s="267"/>
    </row>
    <row r="140" spans="2:36" x14ac:dyDescent="0.3">
      <c r="D140" s="2" t="s">
        <v>172</v>
      </c>
      <c r="E140" s="447">
        <f>Dashboard!I29</f>
        <v>7</v>
      </c>
      <c r="F140" s="305"/>
      <c r="G140" s="305"/>
      <c r="H140" s="305"/>
    </row>
    <row r="141" spans="2:36" x14ac:dyDescent="0.3">
      <c r="D141" s="2" t="s">
        <v>143</v>
      </c>
      <c r="E141" s="172">
        <f>$E$13</f>
        <v>48121</v>
      </c>
      <c r="F141" s="172"/>
      <c r="G141" s="172"/>
      <c r="H141" s="172"/>
    </row>
    <row r="142" spans="2:36" x14ac:dyDescent="0.3">
      <c r="D142" s="3" t="s">
        <v>146</v>
      </c>
      <c r="E142" s="178">
        <f>E146+E143</f>
        <v>8.7760000000000005E-2</v>
      </c>
      <c r="F142" s="178"/>
      <c r="G142" s="178"/>
      <c r="H142" s="178"/>
    </row>
    <row r="143" spans="2:36" x14ac:dyDescent="0.3">
      <c r="D143" s="3" t="s">
        <v>147</v>
      </c>
      <c r="E143" s="448">
        <f>Dashboard!I30</f>
        <v>4.7500000000000001E-2</v>
      </c>
      <c r="F143" s="302"/>
      <c r="G143" s="302"/>
      <c r="H143" s="302"/>
    </row>
    <row r="144" spans="2:36" x14ac:dyDescent="0.3">
      <c r="D144" s="3" t="s">
        <v>148</v>
      </c>
      <c r="E144" s="181" t="str">
        <f>Dashboard!I31</f>
        <v>Current</v>
      </c>
      <c r="F144" s="303"/>
      <c r="G144" s="303"/>
      <c r="H144" s="303"/>
    </row>
    <row r="145" spans="2:35" x14ac:dyDescent="0.3">
      <c r="D145" s="3" t="s">
        <v>150</v>
      </c>
      <c r="E145" s="182" t="str">
        <f>Dashboard!I32</f>
        <v>Fixed</v>
      </c>
      <c r="F145" s="278"/>
      <c r="G145" s="278"/>
      <c r="H145" s="278"/>
    </row>
    <row r="146" spans="2:35" x14ac:dyDescent="0.3">
      <c r="D146" s="3" t="s">
        <v>152</v>
      </c>
      <c r="E146" s="448">
        <f>Dashboard!I33</f>
        <v>4.0259999999999997E-2</v>
      </c>
      <c r="F146" s="302"/>
      <c r="G146" s="302"/>
      <c r="H146" s="302"/>
    </row>
    <row r="147" spans="2:35" x14ac:dyDescent="0.3">
      <c r="D147" s="3" t="s">
        <v>153</v>
      </c>
      <c r="E147" s="448">
        <f>Dashboard!I34</f>
        <v>0</v>
      </c>
      <c r="F147" s="302"/>
      <c r="G147" s="302"/>
      <c r="H147" s="302"/>
    </row>
    <row r="148" spans="2:35" x14ac:dyDescent="0.3">
      <c r="D148" s="3" t="s">
        <v>154</v>
      </c>
      <c r="E148" s="181" t="str">
        <f>Dashboard!I35</f>
        <v>Current</v>
      </c>
      <c r="F148" s="303"/>
      <c r="G148" s="303"/>
      <c r="H148" s="303"/>
    </row>
    <row r="149" spans="2:35" x14ac:dyDescent="0.3">
      <c r="D149" s="3" t="s">
        <v>155</v>
      </c>
      <c r="E149" s="448">
        <f>Dashboard!I36</f>
        <v>0.01</v>
      </c>
      <c r="F149" s="302"/>
      <c r="G149" s="302"/>
      <c r="H149" s="302"/>
    </row>
    <row r="150" spans="2:35" x14ac:dyDescent="0.3">
      <c r="D150" s="3" t="s">
        <v>156</v>
      </c>
      <c r="E150" s="448">
        <f>Dashboard!I37</f>
        <v>0</v>
      </c>
      <c r="F150" s="302"/>
      <c r="G150" s="302"/>
      <c r="H150" s="302"/>
    </row>
    <row r="151" spans="2:35" x14ac:dyDescent="0.3">
      <c r="D151" s="3" t="s">
        <v>157</v>
      </c>
      <c r="E151" s="448">
        <f>Dashboard!I38</f>
        <v>0.01</v>
      </c>
      <c r="F151" s="302"/>
      <c r="G151" s="302"/>
      <c r="H151" s="302"/>
    </row>
    <row r="152" spans="2:35" x14ac:dyDescent="0.3">
      <c r="D152" s="3" t="s">
        <v>158</v>
      </c>
      <c r="E152" s="448">
        <f>Dashboard!I39</f>
        <v>0.15</v>
      </c>
      <c r="F152" s="302"/>
      <c r="G152" s="302"/>
      <c r="H152" s="302"/>
    </row>
    <row r="153" spans="2:35" x14ac:dyDescent="0.3">
      <c r="D153" s="3" t="s">
        <v>269</v>
      </c>
      <c r="E153" s="448">
        <f>Dashboard!I40</f>
        <v>0.58333333333333337</v>
      </c>
      <c r="F153" s="304"/>
      <c r="G153" s="304"/>
      <c r="H153" s="304"/>
    </row>
    <row r="154" spans="2:35" x14ac:dyDescent="0.2">
      <c r="F154" s="82"/>
    </row>
    <row r="155" spans="2:35" x14ac:dyDescent="0.2"/>
    <row r="156" spans="2:35" x14ac:dyDescent="0.2"/>
    <row r="157" spans="2:35" x14ac:dyDescent="0.2">
      <c r="B157" s="200" t="s">
        <v>37</v>
      </c>
      <c r="D157" s="11" t="s">
        <v>368</v>
      </c>
      <c r="E157" s="12"/>
      <c r="F157" s="12"/>
      <c r="G157" s="12"/>
      <c r="H157" s="12"/>
      <c r="I157" s="12"/>
      <c r="J157" s="12"/>
      <c r="K157" s="12"/>
      <c r="L157" s="12"/>
      <c r="M157" s="12"/>
      <c r="N157" s="12"/>
      <c r="O157" s="12"/>
      <c r="P157" s="12"/>
      <c r="Q157" s="12"/>
      <c r="R157" s="12"/>
      <c r="S157" s="12"/>
      <c r="T157" s="12"/>
      <c r="U157" s="12"/>
      <c r="V157" s="12"/>
      <c r="W157" s="12"/>
      <c r="X157" s="12"/>
      <c r="Y157" s="12"/>
      <c r="Z157" s="12"/>
      <c r="AA157" s="12"/>
      <c r="AB157" s="12"/>
      <c r="AC157" s="12"/>
      <c r="AD157" s="12"/>
      <c r="AE157" s="12"/>
      <c r="AF157" s="12"/>
      <c r="AG157" s="12"/>
      <c r="AH157" s="13"/>
      <c r="AI157" s="12"/>
    </row>
    <row r="158" spans="2:35" x14ac:dyDescent="0.2"/>
    <row r="159" spans="2:35" x14ac:dyDescent="0.2">
      <c r="D159" s="2" t="s">
        <v>321</v>
      </c>
      <c r="E159" s="446">
        <f>Dashboard!$I$25/1000000</f>
        <v>17.5</v>
      </c>
    </row>
    <row r="160" spans="2:35" x14ac:dyDescent="0.2"/>
    <row r="161" spans="2:35" x14ac:dyDescent="0.25">
      <c r="D161" s="32" t="s">
        <v>371</v>
      </c>
      <c r="E161" s="157" t="s">
        <v>136</v>
      </c>
      <c r="F161" s="157" t="s">
        <v>294</v>
      </c>
      <c r="G161" s="157" t="s">
        <v>137</v>
      </c>
      <c r="H161" s="439"/>
      <c r="I161" s="399"/>
      <c r="J161" s="399"/>
      <c r="L161" s="10"/>
      <c r="M161" s="10"/>
    </row>
    <row r="162" spans="2:35" x14ac:dyDescent="0.3">
      <c r="D162" s="158">
        <v>1</v>
      </c>
      <c r="E162" s="172">
        <f>EOMONTH($E$12,4)</f>
        <v>46446</v>
      </c>
      <c r="F162" s="436">
        <v>0</v>
      </c>
      <c r="G162" s="441">
        <f t="shared" ref="G162:G171" si="8">$E$159*F162*1000000*$G$6</f>
        <v>0</v>
      </c>
      <c r="H162" s="381"/>
      <c r="I162" s="410"/>
      <c r="J162" s="332"/>
      <c r="K162" s="374"/>
      <c r="L162" s="387"/>
      <c r="M162" s="387"/>
    </row>
    <row r="163" spans="2:35" x14ac:dyDescent="0.3">
      <c r="D163" s="158">
        <f>D162+1</f>
        <v>2</v>
      </c>
      <c r="E163" s="214">
        <f>EOMONTH(E162,6)</f>
        <v>46630</v>
      </c>
      <c r="F163" s="436">
        <v>4.7619047619047623E-2</v>
      </c>
      <c r="G163" s="441">
        <f t="shared" si="8"/>
        <v>833333.33333333337</v>
      </c>
      <c r="H163" s="381"/>
      <c r="I163" s="410"/>
      <c r="J163" s="332"/>
      <c r="L163" s="387"/>
      <c r="M163" s="387"/>
    </row>
    <row r="164" spans="2:35" x14ac:dyDescent="0.3">
      <c r="D164" s="158">
        <f t="shared" ref="D164:D171" si="9">D163+1</f>
        <v>3</v>
      </c>
      <c r="E164" s="214">
        <f t="shared" ref="E164:E171" si="10">EOMONTH(E163,6)</f>
        <v>46812</v>
      </c>
      <c r="F164" s="436">
        <v>4.7619047619047623E-2</v>
      </c>
      <c r="G164" s="441">
        <f t="shared" si="8"/>
        <v>833333.33333333337</v>
      </c>
      <c r="H164" s="381"/>
      <c r="I164" s="410"/>
      <c r="J164" s="332"/>
      <c r="L164" s="387"/>
      <c r="M164" s="387"/>
    </row>
    <row r="165" spans="2:35" x14ac:dyDescent="0.3">
      <c r="D165" s="158">
        <f t="shared" si="9"/>
        <v>4</v>
      </c>
      <c r="E165" s="214">
        <f t="shared" si="10"/>
        <v>46996</v>
      </c>
      <c r="F165" s="436">
        <v>9.5238095238095247E-2</v>
      </c>
      <c r="G165" s="441">
        <f t="shared" si="8"/>
        <v>1666666.6666666667</v>
      </c>
      <c r="H165" s="381"/>
      <c r="I165" s="410"/>
      <c r="J165" s="332"/>
      <c r="L165" s="387"/>
      <c r="M165" s="387"/>
    </row>
    <row r="166" spans="2:35" x14ac:dyDescent="0.3">
      <c r="D166" s="158">
        <f t="shared" si="9"/>
        <v>5</v>
      </c>
      <c r="E166" s="214">
        <f t="shared" si="10"/>
        <v>47177</v>
      </c>
      <c r="F166" s="436">
        <v>9.5238095238095247E-2</v>
      </c>
      <c r="G166" s="441">
        <f t="shared" si="8"/>
        <v>1666666.6666666667</v>
      </c>
      <c r="H166" s="381"/>
      <c r="I166" s="410"/>
      <c r="J166" s="332"/>
      <c r="L166" s="387"/>
      <c r="M166" s="387"/>
    </row>
    <row r="167" spans="2:35" x14ac:dyDescent="0.3">
      <c r="D167" s="158">
        <f t="shared" si="9"/>
        <v>6</v>
      </c>
      <c r="E167" s="214">
        <f t="shared" si="10"/>
        <v>47361</v>
      </c>
      <c r="F167" s="436">
        <v>0.14285714285714285</v>
      </c>
      <c r="G167" s="441">
        <f t="shared" si="8"/>
        <v>2500000</v>
      </c>
      <c r="H167" s="381"/>
      <c r="I167" s="410"/>
      <c r="J167" s="332"/>
      <c r="L167" s="387"/>
      <c r="M167" s="387"/>
    </row>
    <row r="168" spans="2:35" x14ac:dyDescent="0.3">
      <c r="D168" s="158">
        <f t="shared" si="9"/>
        <v>7</v>
      </c>
      <c r="E168" s="214">
        <f t="shared" si="10"/>
        <v>47542</v>
      </c>
      <c r="F168" s="436">
        <v>0.14285714285714285</v>
      </c>
      <c r="G168" s="441">
        <f t="shared" si="8"/>
        <v>2500000</v>
      </c>
      <c r="H168" s="381"/>
      <c r="I168" s="410"/>
      <c r="J168" s="332"/>
      <c r="L168" s="387"/>
      <c r="M168" s="387"/>
    </row>
    <row r="169" spans="2:35" x14ac:dyDescent="0.3">
      <c r="D169" s="158">
        <f t="shared" si="9"/>
        <v>8</v>
      </c>
      <c r="E169" s="214">
        <f t="shared" si="10"/>
        <v>47726</v>
      </c>
      <c r="F169" s="436">
        <v>0.14285714285714285</v>
      </c>
      <c r="G169" s="441">
        <f t="shared" si="8"/>
        <v>2500000</v>
      </c>
      <c r="H169" s="381"/>
      <c r="I169" s="410"/>
      <c r="J169" s="332"/>
      <c r="L169" s="387"/>
      <c r="M169" s="387"/>
    </row>
    <row r="170" spans="2:35" x14ac:dyDescent="0.3">
      <c r="D170" s="158">
        <f t="shared" si="9"/>
        <v>9</v>
      </c>
      <c r="E170" s="214">
        <f t="shared" si="10"/>
        <v>47907</v>
      </c>
      <c r="F170" s="436">
        <v>0.14285714285714285</v>
      </c>
      <c r="G170" s="441">
        <f t="shared" si="8"/>
        <v>2500000</v>
      </c>
      <c r="H170" s="381"/>
      <c r="I170" s="410"/>
      <c r="J170" s="332"/>
      <c r="L170" s="387"/>
      <c r="M170" s="387"/>
    </row>
    <row r="171" spans="2:35" x14ac:dyDescent="0.3">
      <c r="D171" s="158">
        <f t="shared" si="9"/>
        <v>10</v>
      </c>
      <c r="E171" s="214">
        <f t="shared" si="10"/>
        <v>48091</v>
      </c>
      <c r="F171" s="436">
        <v>0.14285714285714285</v>
      </c>
      <c r="G171" s="441">
        <f t="shared" si="8"/>
        <v>2500000</v>
      </c>
      <c r="H171" s="381"/>
      <c r="I171" s="410"/>
      <c r="J171" s="332"/>
      <c r="L171" s="387"/>
      <c r="M171" s="387"/>
    </row>
    <row r="172" spans="2:35" x14ac:dyDescent="0.2">
      <c r="G172" s="445"/>
    </row>
    <row r="173" spans="2:35" x14ac:dyDescent="0.2">
      <c r="B173" s="200" t="s">
        <v>37</v>
      </c>
      <c r="D173" s="11" t="s">
        <v>207</v>
      </c>
      <c r="E173" s="12"/>
      <c r="F173" s="12"/>
      <c r="G173" s="12"/>
      <c r="H173" s="12"/>
      <c r="I173" s="12"/>
      <c r="J173" s="12"/>
      <c r="K173" s="12"/>
      <c r="L173" s="12"/>
      <c r="M173" s="12"/>
      <c r="N173" s="12"/>
      <c r="O173" s="12"/>
      <c r="P173" s="12"/>
      <c r="Q173" s="12"/>
      <c r="R173" s="12"/>
      <c r="S173" s="12"/>
      <c r="T173" s="12"/>
      <c r="U173" s="12"/>
      <c r="V173" s="12"/>
      <c r="W173" s="12"/>
      <c r="X173" s="12"/>
      <c r="Y173" s="12"/>
      <c r="Z173" s="12"/>
      <c r="AA173" s="12"/>
      <c r="AB173" s="12"/>
      <c r="AC173" s="12"/>
      <c r="AD173" s="12"/>
      <c r="AE173" s="12"/>
      <c r="AF173" s="12"/>
      <c r="AG173" s="12"/>
      <c r="AH173" s="13"/>
      <c r="AI173" s="12"/>
    </row>
    <row r="174" spans="2:35" x14ac:dyDescent="0.2"/>
    <row r="175" spans="2:35" x14ac:dyDescent="0.2"/>
    <row r="176" spans="2:35" x14ac:dyDescent="0.2"/>
    <row r="177" x14ac:dyDescent="0.2"/>
    <row r="178" x14ac:dyDescent="0.2"/>
    <row r="179" x14ac:dyDescent="0.2"/>
    <row r="180" x14ac:dyDescent="0.2"/>
    <row r="181" x14ac:dyDescent="0.2"/>
    <row r="182" x14ac:dyDescent="0.2"/>
    <row r="183" x14ac:dyDescent="0.2"/>
    <row r="184" x14ac:dyDescent="0.2"/>
    <row r="185" x14ac:dyDescent="0.2"/>
    <row r="186" x14ac:dyDescent="0.2"/>
    <row r="187" x14ac:dyDescent="0.2"/>
    <row r="188" x14ac:dyDescent="0.2"/>
    <row r="189" x14ac:dyDescent="0.2"/>
    <row r="190" x14ac:dyDescent="0.2"/>
    <row r="191" x14ac:dyDescent="0.2"/>
    <row r="192" x14ac:dyDescent="0.2"/>
    <row r="193" x14ac:dyDescent="0.2"/>
    <row r="194" x14ac:dyDescent="0.2"/>
    <row r="195" x14ac:dyDescent="0.2"/>
    <row r="196" x14ac:dyDescent="0.2"/>
    <row r="197" x14ac:dyDescent="0.2"/>
    <row r="198" x14ac:dyDescent="0.2"/>
    <row r="199" x14ac:dyDescent="0.2"/>
    <row r="200" x14ac:dyDescent="0.2"/>
    <row r="201" x14ac:dyDescent="0.2"/>
    <row r="202" x14ac:dyDescent="0.2"/>
    <row r="203" x14ac:dyDescent="0.2"/>
    <row r="204" x14ac:dyDescent="0.2"/>
    <row r="205" x14ac:dyDescent="0.2"/>
    <row r="206" x14ac:dyDescent="0.2"/>
    <row r="207" x14ac:dyDescent="0.2"/>
    <row r="208" x14ac:dyDescent="0.2"/>
    <row r="209" x14ac:dyDescent="0.2"/>
    <row r="210" x14ac:dyDescent="0.2"/>
    <row r="211" x14ac:dyDescent="0.2"/>
    <row r="212" x14ac:dyDescent="0.2"/>
    <row r="213" x14ac:dyDescent="0.2"/>
    <row r="214" x14ac:dyDescent="0.2"/>
    <row r="215" x14ac:dyDescent="0.2"/>
    <row r="216" x14ac:dyDescent="0.2"/>
    <row r="217" x14ac:dyDescent="0.2"/>
    <row r="218" x14ac:dyDescent="0.2"/>
    <row r="219" x14ac:dyDescent="0.2"/>
    <row r="220" x14ac:dyDescent="0.2"/>
    <row r="221" x14ac:dyDescent="0.2"/>
    <row r="222" x14ac:dyDescent="0.2"/>
    <row r="223" x14ac:dyDescent="0.2"/>
    <row r="224" x14ac:dyDescent="0.2"/>
    <row r="225" x14ac:dyDescent="0.2"/>
    <row r="226" x14ac:dyDescent="0.2"/>
    <row r="227" x14ac:dyDescent="0.2"/>
    <row r="228" x14ac:dyDescent="0.2"/>
    <row r="229" x14ac:dyDescent="0.2"/>
    <row r="230" x14ac:dyDescent="0.2"/>
    <row r="231" x14ac:dyDescent="0.2"/>
    <row r="232" x14ac:dyDescent="0.2"/>
    <row r="233" x14ac:dyDescent="0.2"/>
    <row r="234" x14ac:dyDescent="0.2"/>
    <row r="235" x14ac:dyDescent="0.2"/>
    <row r="236" x14ac:dyDescent="0.2"/>
    <row r="237" x14ac:dyDescent="0.2"/>
    <row r="238" x14ac:dyDescent="0.2"/>
    <row r="239" x14ac:dyDescent="0.2"/>
    <row r="240" x14ac:dyDescent="0.2"/>
    <row r="241" x14ac:dyDescent="0.2"/>
    <row r="242" x14ac:dyDescent="0.2"/>
    <row r="243" x14ac:dyDescent="0.2"/>
    <row r="244" x14ac:dyDescent="0.2"/>
    <row r="245" x14ac:dyDescent="0.2"/>
    <row r="246" x14ac:dyDescent="0.2"/>
    <row r="247" x14ac:dyDescent="0.2"/>
    <row r="248" x14ac:dyDescent="0.2"/>
    <row r="249" x14ac:dyDescent="0.2"/>
    <row r="250" x14ac:dyDescent="0.2"/>
    <row r="251" x14ac:dyDescent="0.2"/>
    <row r="252" x14ac:dyDescent="0.2"/>
    <row r="253" x14ac:dyDescent="0.2"/>
    <row r="254" x14ac:dyDescent="0.2"/>
    <row r="255" x14ac:dyDescent="0.2"/>
    <row r="256" x14ac:dyDescent="0.2"/>
    <row r="257" x14ac:dyDescent="0.2"/>
    <row r="258" x14ac:dyDescent="0.2"/>
    <row r="259" x14ac:dyDescent="0.2"/>
    <row r="260" x14ac:dyDescent="0.2"/>
    <row r="261" x14ac:dyDescent="0.2"/>
    <row r="262" x14ac:dyDescent="0.2"/>
    <row r="263" x14ac:dyDescent="0.2"/>
    <row r="264" x14ac:dyDescent="0.2"/>
    <row r="265" x14ac:dyDescent="0.2"/>
    <row r="266" x14ac:dyDescent="0.2"/>
    <row r="267" x14ac:dyDescent="0.2"/>
    <row r="268" x14ac:dyDescent="0.2"/>
    <row r="269" x14ac:dyDescent="0.2"/>
    <row r="270" x14ac:dyDescent="0.2"/>
    <row r="271" x14ac:dyDescent="0.2"/>
    <row r="272" x14ac:dyDescent="0.2"/>
    <row r="273" x14ac:dyDescent="0.2"/>
    <row r="274" x14ac:dyDescent="0.2"/>
    <row r="275" x14ac:dyDescent="0.2"/>
    <row r="276" x14ac:dyDescent="0.2"/>
    <row r="277" x14ac:dyDescent="0.2"/>
    <row r="278" x14ac:dyDescent="0.2"/>
    <row r="279" x14ac:dyDescent="0.2"/>
    <row r="280" x14ac:dyDescent="0.2"/>
    <row r="281" x14ac:dyDescent="0.2"/>
    <row r="282" x14ac:dyDescent="0.2"/>
    <row r="283" x14ac:dyDescent="0.2"/>
    <row r="284" x14ac:dyDescent="0.2"/>
    <row r="285" x14ac:dyDescent="0.2"/>
    <row r="286" x14ac:dyDescent="0.2"/>
    <row r="287" x14ac:dyDescent="0.2"/>
    <row r="288" x14ac:dyDescent="0.2"/>
    <row r="289" x14ac:dyDescent="0.2"/>
    <row r="290" x14ac:dyDescent="0.2"/>
    <row r="291" x14ac:dyDescent="0.2"/>
    <row r="292" x14ac:dyDescent="0.2"/>
    <row r="293" x14ac:dyDescent="0.2"/>
    <row r="294" x14ac:dyDescent="0.2"/>
    <row r="295" x14ac:dyDescent="0.2"/>
    <row r="296" x14ac:dyDescent="0.2"/>
    <row r="297" x14ac:dyDescent="0.2"/>
    <row r="298" x14ac:dyDescent="0.2"/>
    <row r="299" x14ac:dyDescent="0.2"/>
    <row r="300" x14ac:dyDescent="0.2"/>
    <row r="301" x14ac:dyDescent="0.2"/>
    <row r="302" x14ac:dyDescent="0.2"/>
    <row r="303" x14ac:dyDescent="0.2"/>
    <row r="304" x14ac:dyDescent="0.2"/>
    <row r="305" x14ac:dyDescent="0.2"/>
    <row r="306" x14ac:dyDescent="0.2"/>
    <row r="307" x14ac:dyDescent="0.2"/>
    <row r="308" x14ac:dyDescent="0.2"/>
    <row r="309" x14ac:dyDescent="0.2"/>
    <row r="310" x14ac:dyDescent="0.2"/>
    <row r="311" x14ac:dyDescent="0.2"/>
    <row r="312" x14ac:dyDescent="0.2"/>
    <row r="313" x14ac:dyDescent="0.2"/>
    <row r="314" x14ac:dyDescent="0.2"/>
    <row r="315" x14ac:dyDescent="0.2"/>
    <row r="316" x14ac:dyDescent="0.2"/>
    <row r="317" x14ac:dyDescent="0.2"/>
    <row r="318" x14ac:dyDescent="0.2"/>
    <row r="319" x14ac:dyDescent="0.2"/>
    <row r="320" x14ac:dyDescent="0.2"/>
    <row r="321" x14ac:dyDescent="0.2"/>
    <row r="322" x14ac:dyDescent="0.2"/>
    <row r="323" x14ac:dyDescent="0.2"/>
  </sheetData>
  <dataValidations disablePrompts="1" count="2">
    <dataValidation type="list" allowBlank="1" showInputMessage="1" showErrorMessage="1" sqref="E148 E144" xr:uid="{F45ED761-9F4B-44A1-8380-15E7EC51262E}">
      <formula1>"PIK,Current"</formula1>
    </dataValidation>
    <dataValidation type="list" allowBlank="1" showInputMessage="1" showErrorMessage="1" sqref="E145" xr:uid="{9784A4FF-8370-4859-8874-4B840B0CBC1A}">
      <formula1>"Fixed,Floating"</formula1>
    </dataValidation>
  </dataValidations>
  <printOptions horizontalCentered="1"/>
  <pageMargins left="0.39370078740157483" right="0.39370078740157483" top="0.39370078740157483" bottom="0.39370078740157483" header="0.31496062992125984" footer="0.31496062992125984"/>
  <pageSetup paperSize="8" scale="48" fitToHeight="0" orientation="landscape" r:id="rId1"/>
  <ignoredErrors>
    <ignoredError sqref="G63:H63 J63 O63:R63 W63:Z63 AE63:AH63 G65:H65 J65 O65:R65 W65:Z65 AE65:AH65" formula="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9A1B15-4808-4B78-9BCF-B8961E0992AA}">
  <sheetPr>
    <tabColor theme="1"/>
  </sheetPr>
  <dimension ref="B2:D60"/>
  <sheetViews>
    <sheetView showGridLines="0" workbookViewId="0"/>
  </sheetViews>
  <sheetFormatPr defaultColWidth="9" defaultRowHeight="13.5" x14ac:dyDescent="0.2"/>
  <cols>
    <col min="1" max="1" width="9" style="10"/>
    <col min="2" max="2" width="20.83203125" style="10" customWidth="1"/>
    <col min="3" max="4" width="15.83203125" style="10" customWidth="1"/>
    <col min="5" max="16384" width="9" style="10"/>
  </cols>
  <sheetData>
    <row r="2" spans="2:4" x14ac:dyDescent="0.2">
      <c r="B2" s="386"/>
      <c r="C2" s="386"/>
      <c r="D2" s="386"/>
    </row>
    <row r="3" spans="2:4" x14ac:dyDescent="0.2">
      <c r="B3" s="400"/>
      <c r="C3" s="35"/>
      <c r="D3" s="35"/>
    </row>
    <row r="4" spans="2:4" x14ac:dyDescent="0.2">
      <c r="B4" s="400"/>
      <c r="C4" s="35"/>
      <c r="D4" s="35"/>
    </row>
    <row r="5" spans="2:4" x14ac:dyDescent="0.2">
      <c r="B5" s="400"/>
      <c r="C5" s="35"/>
      <c r="D5" s="35"/>
    </row>
    <row r="6" spans="2:4" x14ac:dyDescent="0.2">
      <c r="B6" s="400"/>
      <c r="C6" s="35"/>
      <c r="D6" s="35"/>
    </row>
    <row r="7" spans="2:4" x14ac:dyDescent="0.2">
      <c r="B7" s="400"/>
      <c r="C7" s="35"/>
      <c r="D7" s="35"/>
    </row>
    <row r="8" spans="2:4" x14ac:dyDescent="0.2">
      <c r="B8" s="400"/>
      <c r="C8" s="35"/>
      <c r="D8" s="35"/>
    </row>
    <row r="9" spans="2:4" x14ac:dyDescent="0.2">
      <c r="B9" s="400"/>
      <c r="C9" s="35"/>
      <c r="D9" s="35"/>
    </row>
    <row r="10" spans="2:4" x14ac:dyDescent="0.2">
      <c r="B10" s="400"/>
      <c r="C10" s="35"/>
      <c r="D10" s="35"/>
    </row>
    <row r="11" spans="2:4" x14ac:dyDescent="0.2">
      <c r="B11" s="400"/>
      <c r="C11" s="35"/>
      <c r="D11" s="35"/>
    </row>
    <row r="12" spans="2:4" x14ac:dyDescent="0.2">
      <c r="B12" s="400"/>
      <c r="C12" s="35"/>
      <c r="D12" s="35"/>
    </row>
    <row r="13" spans="2:4" x14ac:dyDescent="0.2">
      <c r="B13" s="400"/>
      <c r="C13" s="35"/>
      <c r="D13" s="35"/>
    </row>
    <row r="14" spans="2:4" x14ac:dyDescent="0.2">
      <c r="B14" s="400"/>
      <c r="C14" s="35"/>
      <c r="D14" s="35"/>
    </row>
    <row r="15" spans="2:4" x14ac:dyDescent="0.2">
      <c r="B15" s="400"/>
      <c r="C15" s="35"/>
      <c r="D15" s="35"/>
    </row>
    <row r="16" spans="2:4" x14ac:dyDescent="0.2">
      <c r="B16" s="400"/>
      <c r="C16" s="35"/>
      <c r="D16" s="35"/>
    </row>
    <row r="17" spans="2:4" x14ac:dyDescent="0.2">
      <c r="B17" s="400"/>
      <c r="C17" s="35"/>
      <c r="D17" s="35"/>
    </row>
    <row r="18" spans="2:4" x14ac:dyDescent="0.2">
      <c r="B18" s="400"/>
      <c r="C18" s="35"/>
      <c r="D18" s="35"/>
    </row>
    <row r="19" spans="2:4" x14ac:dyDescent="0.2">
      <c r="B19" s="400"/>
      <c r="C19" s="35"/>
      <c r="D19" s="35"/>
    </row>
    <row r="20" spans="2:4" x14ac:dyDescent="0.2">
      <c r="B20" s="400"/>
      <c r="C20" s="35"/>
      <c r="D20" s="35"/>
    </row>
    <row r="21" spans="2:4" x14ac:dyDescent="0.2">
      <c r="B21" s="400"/>
      <c r="C21" s="35"/>
      <c r="D21" s="35"/>
    </row>
    <row r="22" spans="2:4" x14ac:dyDescent="0.2">
      <c r="B22" s="400"/>
      <c r="C22" s="35"/>
      <c r="D22" s="35"/>
    </row>
    <row r="23" spans="2:4" x14ac:dyDescent="0.2">
      <c r="B23" s="400"/>
      <c r="C23" s="35"/>
      <c r="D23" s="35"/>
    </row>
    <row r="24" spans="2:4" x14ac:dyDescent="0.2">
      <c r="B24" s="400"/>
      <c r="C24" s="35"/>
      <c r="D24" s="35"/>
    </row>
    <row r="25" spans="2:4" x14ac:dyDescent="0.2">
      <c r="B25" s="400"/>
      <c r="C25" s="35"/>
      <c r="D25" s="35"/>
    </row>
    <row r="26" spans="2:4" x14ac:dyDescent="0.2">
      <c r="B26" s="400"/>
      <c r="C26" s="35"/>
      <c r="D26" s="35"/>
    </row>
    <row r="27" spans="2:4" x14ac:dyDescent="0.2">
      <c r="B27" s="400"/>
      <c r="C27" s="35"/>
      <c r="D27" s="35"/>
    </row>
    <row r="28" spans="2:4" x14ac:dyDescent="0.2">
      <c r="B28" s="400"/>
      <c r="C28" s="35"/>
      <c r="D28" s="35"/>
    </row>
    <row r="29" spans="2:4" x14ac:dyDescent="0.2">
      <c r="B29" s="400"/>
      <c r="C29" s="35"/>
      <c r="D29" s="35"/>
    </row>
    <row r="30" spans="2:4" x14ac:dyDescent="0.2">
      <c r="B30" s="400"/>
      <c r="C30" s="35"/>
      <c r="D30" s="35"/>
    </row>
    <row r="31" spans="2:4" x14ac:dyDescent="0.2">
      <c r="B31" s="400"/>
      <c r="C31" s="35"/>
      <c r="D31" s="35"/>
    </row>
    <row r="32" spans="2:4" x14ac:dyDescent="0.2">
      <c r="B32" s="400"/>
      <c r="C32" s="35"/>
      <c r="D32" s="35"/>
    </row>
    <row r="33" spans="2:4" x14ac:dyDescent="0.2">
      <c r="B33" s="400"/>
      <c r="C33" s="35"/>
      <c r="D33" s="35"/>
    </row>
    <row r="34" spans="2:4" x14ac:dyDescent="0.2">
      <c r="B34" s="400"/>
      <c r="C34" s="35"/>
      <c r="D34" s="35"/>
    </row>
    <row r="35" spans="2:4" x14ac:dyDescent="0.2">
      <c r="B35" s="400"/>
      <c r="C35" s="35"/>
      <c r="D35" s="35"/>
    </row>
    <row r="36" spans="2:4" x14ac:dyDescent="0.2">
      <c r="B36" s="400"/>
      <c r="C36" s="35"/>
      <c r="D36" s="35"/>
    </row>
    <row r="37" spans="2:4" x14ac:dyDescent="0.2">
      <c r="B37" s="400"/>
      <c r="C37" s="35"/>
      <c r="D37" s="35"/>
    </row>
    <row r="38" spans="2:4" x14ac:dyDescent="0.2">
      <c r="B38" s="400"/>
      <c r="C38" s="35"/>
      <c r="D38" s="35"/>
    </row>
    <row r="39" spans="2:4" x14ac:dyDescent="0.2">
      <c r="B39" s="400"/>
      <c r="C39" s="35"/>
      <c r="D39" s="35"/>
    </row>
    <row r="40" spans="2:4" x14ac:dyDescent="0.2">
      <c r="B40" s="400"/>
      <c r="C40" s="35"/>
      <c r="D40" s="35"/>
    </row>
    <row r="41" spans="2:4" x14ac:dyDescent="0.2">
      <c r="B41" s="400"/>
      <c r="C41" s="35"/>
      <c r="D41" s="35"/>
    </row>
    <row r="42" spans="2:4" x14ac:dyDescent="0.2">
      <c r="B42" s="400"/>
      <c r="C42" s="35"/>
      <c r="D42" s="35"/>
    </row>
    <row r="43" spans="2:4" x14ac:dyDescent="0.2">
      <c r="B43" s="400"/>
      <c r="C43" s="35"/>
      <c r="D43" s="35"/>
    </row>
    <row r="44" spans="2:4" x14ac:dyDescent="0.2">
      <c r="B44" s="400"/>
      <c r="C44" s="35"/>
      <c r="D44" s="35"/>
    </row>
    <row r="45" spans="2:4" x14ac:dyDescent="0.2">
      <c r="B45" s="400"/>
      <c r="C45" s="35"/>
      <c r="D45" s="35"/>
    </row>
    <row r="46" spans="2:4" x14ac:dyDescent="0.2">
      <c r="B46" s="400"/>
      <c r="C46" s="35"/>
      <c r="D46" s="35"/>
    </row>
    <row r="47" spans="2:4" x14ac:dyDescent="0.2">
      <c r="B47" s="400"/>
      <c r="C47" s="35"/>
      <c r="D47" s="35"/>
    </row>
    <row r="48" spans="2:4" x14ac:dyDescent="0.2">
      <c r="B48" s="400"/>
      <c r="C48" s="35"/>
      <c r="D48" s="35"/>
    </row>
    <row r="49" spans="2:4" x14ac:dyDescent="0.2">
      <c r="B49" s="400"/>
      <c r="C49" s="35"/>
      <c r="D49" s="35"/>
    </row>
    <row r="50" spans="2:4" x14ac:dyDescent="0.2">
      <c r="B50" s="400"/>
      <c r="C50" s="35"/>
      <c r="D50" s="35"/>
    </row>
    <row r="51" spans="2:4" x14ac:dyDescent="0.2">
      <c r="B51" s="400"/>
      <c r="C51" s="35"/>
      <c r="D51" s="35"/>
    </row>
    <row r="52" spans="2:4" x14ac:dyDescent="0.2">
      <c r="B52" s="400"/>
      <c r="C52" s="35"/>
      <c r="D52" s="35"/>
    </row>
    <row r="53" spans="2:4" x14ac:dyDescent="0.2">
      <c r="B53" s="400"/>
      <c r="C53" s="35"/>
      <c r="D53" s="35"/>
    </row>
    <row r="54" spans="2:4" x14ac:dyDescent="0.2">
      <c r="B54" s="400"/>
      <c r="C54" s="35"/>
      <c r="D54" s="35"/>
    </row>
    <row r="55" spans="2:4" x14ac:dyDescent="0.2">
      <c r="B55" s="400"/>
      <c r="C55" s="35"/>
      <c r="D55" s="35"/>
    </row>
    <row r="56" spans="2:4" x14ac:dyDescent="0.2">
      <c r="B56" s="400"/>
      <c r="C56" s="35"/>
      <c r="D56" s="35"/>
    </row>
    <row r="57" spans="2:4" x14ac:dyDescent="0.2">
      <c r="B57" s="400"/>
      <c r="C57" s="35"/>
      <c r="D57" s="35"/>
    </row>
    <row r="58" spans="2:4" x14ac:dyDescent="0.2">
      <c r="B58" s="400"/>
      <c r="C58" s="35"/>
      <c r="D58" s="35"/>
    </row>
    <row r="59" spans="2:4" x14ac:dyDescent="0.2">
      <c r="B59" s="400"/>
      <c r="C59" s="35"/>
      <c r="D59" s="35"/>
    </row>
    <row r="60" spans="2:4" x14ac:dyDescent="0.2">
      <c r="B60" s="400"/>
      <c r="C60" s="35"/>
      <c r="D60" s="35"/>
    </row>
  </sheetData>
  <pageMargins left="0.7" right="0.7" top="0.75" bottom="0.75" header="0.3" footer="0.3"/>
  <pageSetup paperSize="9" orientation="portrait" verticalDpi="12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00B9FF-0388-4E87-A39D-1FDE5342B225}">
  <sheetPr codeName="Sheet17">
    <tabColor rgb="FF808080"/>
  </sheetPr>
  <dimension ref="B2:CB63"/>
  <sheetViews>
    <sheetView showGridLines="0" zoomScaleNormal="100" workbookViewId="0"/>
  </sheetViews>
  <sheetFormatPr defaultColWidth="0" defaultRowHeight="12" customHeight="1" x14ac:dyDescent="0.3"/>
  <cols>
    <col min="1" max="2" width="1.6640625" style="3" customWidth="1"/>
    <col min="3" max="3" width="3.33203125" style="3" customWidth="1"/>
    <col min="4" max="4" width="1.6640625" style="3" customWidth="1"/>
    <col min="5" max="5" width="40.6640625" style="3" customWidth="1"/>
    <col min="6" max="8" width="1.6640625" style="3" customWidth="1"/>
    <col min="9" max="14" width="13.33203125" style="3" customWidth="1"/>
    <col min="15" max="15" width="1.6640625" style="3" customWidth="1"/>
    <col min="16" max="77" width="13.33203125" style="3" customWidth="1"/>
    <col min="78" max="80" width="1.6640625" style="3" customWidth="1"/>
    <col min="81" max="16384" width="0" style="3" hidden="1"/>
  </cols>
  <sheetData>
    <row r="2" spans="3:42" s="2" customFormat="1" ht="12" customHeight="1" x14ac:dyDescent="0.2">
      <c r="C2" s="200" t="s">
        <v>37</v>
      </c>
      <c r="E2" s="11" t="s">
        <v>230</v>
      </c>
      <c r="F2" s="12"/>
      <c r="G2" s="12"/>
      <c r="H2" s="12"/>
      <c r="I2" s="12"/>
      <c r="J2" s="12"/>
      <c r="K2" s="12"/>
      <c r="L2" s="12"/>
      <c r="M2" s="12"/>
      <c r="N2" s="12"/>
      <c r="O2" s="12"/>
      <c r="P2" s="12"/>
      <c r="Q2" s="12"/>
      <c r="R2" s="12"/>
      <c r="S2" s="12"/>
      <c r="T2" s="12"/>
      <c r="U2" s="12"/>
      <c r="V2" s="12"/>
      <c r="W2" s="12"/>
      <c r="X2" s="12"/>
      <c r="Y2" s="12"/>
      <c r="Z2" s="12"/>
      <c r="AA2" s="12"/>
      <c r="AB2" s="12"/>
      <c r="AC2" s="12"/>
      <c r="AD2" s="12"/>
      <c r="AE2" s="12"/>
      <c r="AF2" s="12"/>
      <c r="AG2" s="12"/>
      <c r="AH2" s="13"/>
      <c r="AI2" s="12"/>
      <c r="AJ2" s="12"/>
      <c r="AK2" s="12"/>
      <c r="AL2" s="12"/>
      <c r="AM2" s="12"/>
      <c r="AN2" s="12"/>
      <c r="AO2" s="12"/>
      <c r="AP2" s="13"/>
    </row>
    <row r="4" spans="3:42" ht="12" customHeight="1" x14ac:dyDescent="0.3">
      <c r="E4" s="259" t="s">
        <v>232</v>
      </c>
      <c r="F4" s="259"/>
      <c r="G4" s="259"/>
      <c r="H4" s="259"/>
      <c r="I4" s="259"/>
      <c r="P4" s="428" t="s">
        <v>334</v>
      </c>
      <c r="Q4" s="428"/>
      <c r="R4" s="454" t="s">
        <v>336</v>
      </c>
      <c r="S4" s="454" t="s">
        <v>280</v>
      </c>
      <c r="T4" s="384"/>
      <c r="U4" s="428" t="s">
        <v>339</v>
      </c>
      <c r="V4" s="428"/>
      <c r="W4" s="454" t="s">
        <v>336</v>
      </c>
      <c r="X4" s="454" t="s">
        <v>280</v>
      </c>
    </row>
    <row r="5" spans="3:42" ht="12" customHeight="1" x14ac:dyDescent="0.3">
      <c r="E5" s="3" t="s">
        <v>258</v>
      </c>
      <c r="I5" s="159">
        <f>EOMONTH('Detailed Assumptions'!E12,-1)</f>
        <v>46295</v>
      </c>
      <c r="P5" s="420" t="s">
        <v>335</v>
      </c>
      <c r="Q5" s="420"/>
      <c r="R5" s="452">
        <f>-Q50</f>
        <v>149653349.16959807</v>
      </c>
      <c r="S5" s="457">
        <f>R5/R$7</f>
        <v>0.42821782178217821</v>
      </c>
      <c r="T5" s="457"/>
      <c r="U5" s="420" t="s">
        <v>340</v>
      </c>
      <c r="V5" s="420"/>
      <c r="W5" s="452">
        <f>I15</f>
        <v>346019304.43837708</v>
      </c>
      <c r="X5" s="457">
        <f>W5/W$7</f>
        <v>0.99009900990099009</v>
      </c>
    </row>
    <row r="6" spans="3:42" ht="12" customHeight="1" x14ac:dyDescent="0.3">
      <c r="E6" s="3" t="s">
        <v>259</v>
      </c>
      <c r="I6" s="424">
        <f>Dashboard!D10</f>
        <v>12</v>
      </c>
      <c r="P6" s="420" t="s">
        <v>337</v>
      </c>
      <c r="Q6" s="420"/>
      <c r="R6" s="452">
        <f>Q49</f>
        <v>199826148.31316277</v>
      </c>
      <c r="S6" s="458">
        <f>R6/R$7</f>
        <v>0.57178217821782185</v>
      </c>
      <c r="T6" s="458"/>
      <c r="U6" s="420" t="s">
        <v>260</v>
      </c>
      <c r="V6" s="420"/>
      <c r="W6" s="452">
        <f>-Q45</f>
        <v>3460193.0443837708</v>
      </c>
      <c r="X6" s="458">
        <f>W6/W$7</f>
        <v>9.9009900990099011E-3</v>
      </c>
    </row>
    <row r="7" spans="3:42" ht="12" customHeight="1" x14ac:dyDescent="0.3">
      <c r="E7" s="3" t="s">
        <v>213</v>
      </c>
      <c r="I7" s="425">
        <f>Dashboard!D11</f>
        <v>0.01</v>
      </c>
      <c r="P7" s="455" t="s">
        <v>338</v>
      </c>
      <c r="Q7" s="455"/>
      <c r="R7" s="456">
        <f>SUM(R5:R6)</f>
        <v>349479497.48276085</v>
      </c>
      <c r="S7" s="459">
        <f>R7/R$7</f>
        <v>1</v>
      </c>
      <c r="T7" s="467"/>
      <c r="U7" s="455" t="s">
        <v>338</v>
      </c>
      <c r="V7" s="455"/>
      <c r="W7" s="456">
        <f>SUM(W5:W6)</f>
        <v>349479497.48276085</v>
      </c>
      <c r="X7" s="459">
        <f>W7/W$7</f>
        <v>1</v>
      </c>
    </row>
    <row r="9" spans="3:42" ht="12" customHeight="1" x14ac:dyDescent="0.3">
      <c r="E9" s="259" t="s">
        <v>231</v>
      </c>
      <c r="F9" s="259"/>
      <c r="G9" s="259"/>
      <c r="H9" s="259"/>
      <c r="I9" s="259"/>
    </row>
    <row r="10" spans="3:42" ht="12" customHeight="1" x14ac:dyDescent="0.3">
      <c r="E10" s="3" t="s">
        <v>222</v>
      </c>
      <c r="I10" s="424">
        <f>Dashboard!D14</f>
        <v>12</v>
      </c>
      <c r="K10" s="151"/>
    </row>
    <row r="11" spans="3:42" ht="12" customHeight="1" x14ac:dyDescent="0.3">
      <c r="E11" s="3" t="s">
        <v>212</v>
      </c>
      <c r="I11" s="159">
        <f>'Detailed Assumptions'!$E$13</f>
        <v>48121</v>
      </c>
    </row>
    <row r="12" spans="3:42" ht="12" customHeight="1" x14ac:dyDescent="0.3">
      <c r="E12" s="3" t="s">
        <v>261</v>
      </c>
      <c r="I12" s="425">
        <f>Dashboard!D15</f>
        <v>0.01</v>
      </c>
    </row>
    <row r="13" spans="3:42" ht="12" customHeight="1" x14ac:dyDescent="0.3">
      <c r="P13"/>
    </row>
    <row r="14" spans="3:42" ht="12" customHeight="1" x14ac:dyDescent="0.3">
      <c r="E14" s="259" t="s">
        <v>352</v>
      </c>
      <c r="F14" s="259"/>
      <c r="G14" s="259"/>
      <c r="H14" s="259"/>
      <c r="I14" s="259"/>
    </row>
    <row r="15" spans="3:42" ht="12" customHeight="1" x14ac:dyDescent="0.3">
      <c r="E15" s="3" t="s">
        <v>272</v>
      </c>
      <c r="I15" s="333">
        <f>-I43</f>
        <v>346019304.43837708</v>
      </c>
      <c r="P15"/>
    </row>
    <row r="16" spans="3:42" ht="12" customHeight="1" x14ac:dyDescent="0.3">
      <c r="E16" s="3" t="s">
        <v>273</v>
      </c>
      <c r="I16" s="343">
        <f>I15/I28</f>
        <v>12</v>
      </c>
      <c r="P16"/>
    </row>
    <row r="17" spans="2:80" ht="12" customHeight="1" x14ac:dyDescent="0.3">
      <c r="E17" s="3" t="s">
        <v>274</v>
      </c>
      <c r="I17" s="343">
        <f>I15/(SUM(I28,I30))</f>
        <v>13.229393213634467</v>
      </c>
      <c r="P17"/>
    </row>
    <row r="18" spans="2:80" ht="12" customHeight="1" x14ac:dyDescent="0.3">
      <c r="B18" s="1"/>
      <c r="C18" s="7"/>
      <c r="Q18" s="40" t="str" cm="1">
        <f t="array" ref="Q18">INDEX(Index_Tab!$F$4:$K$4,MATCH(1,(Q$20&gt;=Index_Tab!$F$5:$K$5)*(Q$20&lt;=Index_Tab!$F$17:$K$17),0))</f>
        <v>FY26E</v>
      </c>
      <c r="R18" s="40" t="str" cm="1">
        <f t="array" ref="R18">INDEX(Index_Tab!$G$4:$K$4,MATCH(1,(R$20&gt;=Index_Tab!$G$5:$K$5)*(R$20&lt;=Index_Tab!$G$17:$K$17),0))</f>
        <v>FY27E</v>
      </c>
      <c r="S18" s="40" t="str" cm="1">
        <f t="array" ref="S18">INDEX(Index_Tab!$G$4:$K$4,MATCH(1,(S$20&gt;=Index_Tab!$G$5:$K$5)*(S$20&lt;=Index_Tab!$G$17:$K$17),0))</f>
        <v>FY27E</v>
      </c>
      <c r="T18" s="40" t="str" cm="1">
        <f t="array" ref="T18">INDEX(Index_Tab!$G$4:$K$4,MATCH(1,(T$20&gt;=Index_Tab!$G$5:$K$5)*(T$20&lt;=Index_Tab!$G$17:$K$17),0))</f>
        <v>FY27E</v>
      </c>
      <c r="U18" s="40" t="str" cm="1">
        <f t="array" ref="U18">INDEX(Index_Tab!$G$4:$K$4,MATCH(1,(U$20&gt;=Index_Tab!$G$5:$K$5)*(U$20&lt;=Index_Tab!$G$17:$K$17),0))</f>
        <v>FY27E</v>
      </c>
      <c r="V18" s="40" t="str" cm="1">
        <f t="array" ref="V18">INDEX(Index_Tab!$G$4:$K$4,MATCH(1,(V$20&gt;=Index_Tab!$G$5:$K$5)*(V$20&lt;=Index_Tab!$G$17:$K$17),0))</f>
        <v>FY27E</v>
      </c>
      <c r="W18" s="40" t="str" cm="1">
        <f t="array" ref="W18">INDEX(Index_Tab!$G$4:$K$4,MATCH(1,(W$20&gt;=Index_Tab!$G$5:$K$5)*(W$20&lt;=Index_Tab!$G$17:$K$17),0))</f>
        <v>FY27E</v>
      </c>
      <c r="X18" s="40" t="str" cm="1">
        <f t="array" ref="X18">INDEX(Index_Tab!$G$4:$K$4,MATCH(1,(X$20&gt;=Index_Tab!$G$5:$K$5)*(X$20&lt;=Index_Tab!$G$17:$K$17),0))</f>
        <v>FY27E</v>
      </c>
      <c r="Y18" s="40" t="str" cm="1">
        <f t="array" ref="Y18">INDEX(Index_Tab!$G$4:$K$4,MATCH(1,(Y$20&gt;=Index_Tab!$G$5:$K$5)*(Y$20&lt;=Index_Tab!$G$17:$K$17),0))</f>
        <v>FY27E</v>
      </c>
      <c r="Z18" s="40" t="str" cm="1">
        <f t="array" ref="Z18">INDEX(Index_Tab!$G$4:$K$4,MATCH(1,(Z$20&gt;=Index_Tab!$G$5:$K$5)*(Z$20&lt;=Index_Tab!$G$17:$K$17),0))</f>
        <v>FY27E</v>
      </c>
      <c r="AA18" s="40" t="str" cm="1">
        <f t="array" ref="AA18">INDEX(Index_Tab!$G$4:$K$4,MATCH(1,(AA$20&gt;=Index_Tab!$G$5:$K$5)*(AA$20&lt;=Index_Tab!$G$17:$K$17),0))</f>
        <v>FY27E</v>
      </c>
      <c r="AB18" s="40" t="str" cm="1">
        <f t="array" ref="AB18">INDEX(Index_Tab!$G$4:$K$4,MATCH(1,(AB$20&gt;=Index_Tab!$G$5:$K$5)*(AB$20&lt;=Index_Tab!$G$17:$K$17),0))</f>
        <v>FY27E</v>
      </c>
      <c r="AC18" s="40" t="str" cm="1">
        <f t="array" ref="AC18">INDEX(Index_Tab!$G$4:$K$4,MATCH(1,(AC$20&gt;=Index_Tab!$G$5:$K$5)*(AC$20&lt;=Index_Tab!$G$17:$K$17),0))</f>
        <v>FY27E</v>
      </c>
      <c r="AD18" s="40" t="str" cm="1">
        <f t="array" ref="AD18">INDEX(Index_Tab!$G$4:$K$4,MATCH(1,(AD$20&gt;=Index_Tab!$G$5:$K$5)*(AD$20&lt;=Index_Tab!$G$17:$K$17),0))</f>
        <v>FY28E</v>
      </c>
      <c r="AE18" s="40" t="str" cm="1">
        <f t="array" ref="AE18">INDEX(Index_Tab!$G$4:$K$4,MATCH(1,(AE$20&gt;=Index_Tab!$G$5:$K$5)*(AE$20&lt;=Index_Tab!$G$17:$K$17),0))</f>
        <v>FY28E</v>
      </c>
      <c r="AF18" s="40" t="str" cm="1">
        <f t="array" ref="AF18">INDEX(Index_Tab!$G$4:$K$4,MATCH(1,(AF$20&gt;=Index_Tab!$G$5:$K$5)*(AF$20&lt;=Index_Tab!$G$17:$K$17),0))</f>
        <v>FY28E</v>
      </c>
      <c r="AG18" s="40" t="str" cm="1">
        <f t="array" ref="AG18">INDEX(Index_Tab!$G$4:$K$4,MATCH(1,(AG$20&gt;=Index_Tab!$G$5:$K$5)*(AG$20&lt;=Index_Tab!$G$17:$K$17),0))</f>
        <v>FY28E</v>
      </c>
      <c r="AH18" s="40" t="str" cm="1">
        <f t="array" ref="AH18">INDEX(Index_Tab!$G$4:$K$4,MATCH(1,(AH$20&gt;=Index_Tab!$G$5:$K$5)*(AH$20&lt;=Index_Tab!$G$17:$K$17),0))</f>
        <v>FY28E</v>
      </c>
      <c r="AI18" s="40" t="str" cm="1">
        <f t="array" ref="AI18">INDEX(Index_Tab!$G$4:$K$4,MATCH(1,(AI$20&gt;=Index_Tab!$G$5:$K$5)*(AI$20&lt;=Index_Tab!$G$17:$K$17),0))</f>
        <v>FY28E</v>
      </c>
      <c r="AJ18" s="40" t="str" cm="1">
        <f t="array" ref="AJ18">INDEX(Index_Tab!$G$4:$K$4,MATCH(1,(AJ$20&gt;=Index_Tab!$G$5:$K$5)*(AJ$20&lt;=Index_Tab!$G$17:$K$17),0))</f>
        <v>FY28E</v>
      </c>
      <c r="AK18" s="40" t="str" cm="1">
        <f t="array" ref="AK18">INDEX(Index_Tab!$G$4:$K$4,MATCH(1,(AK$20&gt;=Index_Tab!$G$5:$K$5)*(AK$20&lt;=Index_Tab!$G$17:$K$17),0))</f>
        <v>FY28E</v>
      </c>
      <c r="AL18" s="40" t="str" cm="1">
        <f t="array" ref="AL18">INDEX(Index_Tab!$G$4:$K$4,MATCH(1,(AL$20&gt;=Index_Tab!$G$5:$K$5)*(AL$20&lt;=Index_Tab!$G$17:$K$17),0))</f>
        <v>FY28E</v>
      </c>
      <c r="AM18" s="40" t="str" cm="1">
        <f t="array" ref="AM18">INDEX(Index_Tab!$G$4:$K$4,MATCH(1,(AM$20&gt;=Index_Tab!$G$5:$K$5)*(AM$20&lt;=Index_Tab!$G$17:$K$17),0))</f>
        <v>FY28E</v>
      </c>
      <c r="AN18" s="40" t="str" cm="1">
        <f t="array" ref="AN18">INDEX(Index_Tab!$G$4:$K$4,MATCH(1,(AN$20&gt;=Index_Tab!$G$5:$K$5)*(AN$20&lt;=Index_Tab!$G$17:$K$17),0))</f>
        <v>FY28E</v>
      </c>
      <c r="AO18" s="40" t="str" cm="1">
        <f t="array" ref="AO18">INDEX(Index_Tab!$G$4:$K$4,MATCH(1,(AO$20&gt;=Index_Tab!$G$5:$K$5)*(AO$20&lt;=Index_Tab!$G$17:$K$17),0))</f>
        <v>FY28E</v>
      </c>
      <c r="AP18" s="40" t="str" cm="1">
        <f t="array" ref="AP18">INDEX(Index_Tab!$G$4:$K$4,MATCH(1,(AP$20&gt;=Index_Tab!$G$5:$K$5)*(AP$20&lt;=Index_Tab!$G$17:$K$17),0))</f>
        <v>FY29E</v>
      </c>
      <c r="AQ18" s="40" t="str" cm="1">
        <f t="array" ref="AQ18">INDEX(Index_Tab!$G$4:$K$4,MATCH(1,(AQ$20&gt;=Index_Tab!$G$5:$K$5)*(AQ$20&lt;=Index_Tab!$G$17:$K$17),0))</f>
        <v>FY29E</v>
      </c>
      <c r="AR18" s="40" t="str" cm="1">
        <f t="array" ref="AR18">INDEX(Index_Tab!$G$4:$K$4,MATCH(1,(AR$20&gt;=Index_Tab!$G$5:$K$5)*(AR$20&lt;=Index_Tab!$G$17:$K$17),0))</f>
        <v>FY29E</v>
      </c>
      <c r="AS18" s="40" t="str" cm="1">
        <f t="array" ref="AS18">INDEX(Index_Tab!$G$4:$K$4,MATCH(1,(AS$20&gt;=Index_Tab!$G$5:$K$5)*(AS$20&lt;=Index_Tab!$G$17:$K$17),0))</f>
        <v>FY29E</v>
      </c>
      <c r="AT18" s="40" t="str" cm="1">
        <f t="array" ref="AT18">INDEX(Index_Tab!$G$4:$K$4,MATCH(1,(AT$20&gt;=Index_Tab!$G$5:$K$5)*(AT$20&lt;=Index_Tab!$G$17:$K$17),0))</f>
        <v>FY29E</v>
      </c>
      <c r="AU18" s="40" t="str" cm="1">
        <f t="array" ref="AU18">INDEX(Index_Tab!$G$4:$K$4,MATCH(1,(AU$20&gt;=Index_Tab!$G$5:$K$5)*(AU$20&lt;=Index_Tab!$G$17:$K$17),0))</f>
        <v>FY29E</v>
      </c>
      <c r="AV18" s="40" t="str" cm="1">
        <f t="array" ref="AV18">INDEX(Index_Tab!$G$4:$K$4,MATCH(1,(AV$20&gt;=Index_Tab!$G$5:$K$5)*(AV$20&lt;=Index_Tab!$G$17:$K$17),0))</f>
        <v>FY29E</v>
      </c>
      <c r="AW18" s="40" t="str" cm="1">
        <f t="array" ref="AW18">INDEX(Index_Tab!$G$4:$K$4,MATCH(1,(AW$20&gt;=Index_Tab!$G$5:$K$5)*(AW$20&lt;=Index_Tab!$G$17:$K$17),0))</f>
        <v>FY29E</v>
      </c>
      <c r="AX18" s="40" t="str" cm="1">
        <f t="array" ref="AX18">INDEX(Index_Tab!$G$4:$K$4,MATCH(1,(AX$20&gt;=Index_Tab!$G$5:$K$5)*(AX$20&lt;=Index_Tab!$G$17:$K$17),0))</f>
        <v>FY29E</v>
      </c>
      <c r="AY18" s="40" t="str" cm="1">
        <f t="array" ref="AY18">INDEX(Index_Tab!$G$4:$K$4,MATCH(1,(AY$20&gt;=Index_Tab!$G$5:$K$5)*(AY$20&lt;=Index_Tab!$G$17:$K$17),0))</f>
        <v>FY29E</v>
      </c>
      <c r="AZ18" s="40" t="str" cm="1">
        <f t="array" ref="AZ18">INDEX(Index_Tab!$G$4:$K$4,MATCH(1,(AZ$20&gt;=Index_Tab!$G$5:$K$5)*(AZ$20&lt;=Index_Tab!$G$17:$K$17),0))</f>
        <v>FY29E</v>
      </c>
      <c r="BA18" s="40" t="str" cm="1">
        <f t="array" ref="BA18">INDEX(Index_Tab!$G$4:$K$4,MATCH(1,(BA$20&gt;=Index_Tab!$G$5:$K$5)*(BA$20&lt;=Index_Tab!$G$17:$K$17),0))</f>
        <v>FY29E</v>
      </c>
      <c r="BB18" s="40" t="str" cm="1">
        <f t="array" ref="BB18">INDEX(Index_Tab!$G$4:$K$4,MATCH(1,(BB$20&gt;=Index_Tab!$G$5:$K$5)*(BB$20&lt;=Index_Tab!$G$17:$K$17),0))</f>
        <v>FY30E</v>
      </c>
      <c r="BC18" s="40" t="str" cm="1">
        <f t="array" ref="BC18">INDEX(Index_Tab!$G$4:$K$4,MATCH(1,(BC$20&gt;=Index_Tab!$G$5:$K$5)*(BC$20&lt;=Index_Tab!$G$17:$K$17),0))</f>
        <v>FY30E</v>
      </c>
      <c r="BD18" s="40" t="str" cm="1">
        <f t="array" ref="BD18">INDEX(Index_Tab!$G$4:$K$4,MATCH(1,(BD$20&gt;=Index_Tab!$G$5:$K$5)*(BD$20&lt;=Index_Tab!$G$17:$K$17),0))</f>
        <v>FY30E</v>
      </c>
      <c r="BE18" s="40" t="str" cm="1">
        <f t="array" ref="BE18">INDEX(Index_Tab!$G$4:$K$4,MATCH(1,(BE$20&gt;=Index_Tab!$G$5:$K$5)*(BE$20&lt;=Index_Tab!$G$17:$K$17),0))</f>
        <v>FY30E</v>
      </c>
      <c r="BF18" s="40" t="str" cm="1">
        <f t="array" ref="BF18">INDEX(Index_Tab!$G$4:$K$4,MATCH(1,(BF$20&gt;=Index_Tab!$G$5:$K$5)*(BF$20&lt;=Index_Tab!$G$17:$K$17),0))</f>
        <v>FY30E</v>
      </c>
      <c r="BG18" s="40" t="str" cm="1">
        <f t="array" ref="BG18">INDEX(Index_Tab!$G$4:$K$4,MATCH(1,(BG$20&gt;=Index_Tab!$G$5:$K$5)*(BG$20&lt;=Index_Tab!$G$17:$K$17),0))</f>
        <v>FY30E</v>
      </c>
      <c r="BH18" s="40" t="str" cm="1">
        <f t="array" ref="BH18">INDEX(Index_Tab!$G$4:$K$4,MATCH(1,(BH$20&gt;=Index_Tab!$G$5:$K$5)*(BH$20&lt;=Index_Tab!$G$17:$K$17),0))</f>
        <v>FY30E</v>
      </c>
      <c r="BI18" s="40" t="str" cm="1">
        <f t="array" ref="BI18">INDEX(Index_Tab!$G$4:$K$4,MATCH(1,(BI$20&gt;=Index_Tab!$G$5:$K$5)*(BI$20&lt;=Index_Tab!$G$17:$K$17),0))</f>
        <v>FY30E</v>
      </c>
      <c r="BJ18" s="40" t="str" cm="1">
        <f t="array" ref="BJ18">INDEX(Index_Tab!$G$4:$K$4,MATCH(1,(BJ$20&gt;=Index_Tab!$G$5:$K$5)*(BJ$20&lt;=Index_Tab!$G$17:$K$17),0))</f>
        <v>FY30E</v>
      </c>
      <c r="BK18" s="40" t="str" cm="1">
        <f t="array" ref="BK18">INDEX(Index_Tab!$G$4:$K$4,MATCH(1,(BK$20&gt;=Index_Tab!$G$5:$K$5)*(BK$20&lt;=Index_Tab!$G$17:$K$17),0))</f>
        <v>FY30E</v>
      </c>
      <c r="BL18" s="40" t="str" cm="1">
        <f t="array" ref="BL18">INDEX(Index_Tab!$G$4:$K$4,MATCH(1,(BL$20&gt;=Index_Tab!$G$5:$K$5)*(BL$20&lt;=Index_Tab!$G$17:$K$17),0))</f>
        <v>FY30E</v>
      </c>
      <c r="BM18" s="40" t="str" cm="1">
        <f t="array" ref="BM18">INDEX(Index_Tab!$G$4:$K$4,MATCH(1,(BM$20&gt;=Index_Tab!$G$5:$K$5)*(BM$20&lt;=Index_Tab!$G$17:$K$17),0))</f>
        <v>FY30E</v>
      </c>
      <c r="BN18" s="40" t="str" cm="1">
        <f t="array" ref="BN18">INDEX(Index_Tab!$G$4:$K$4,MATCH(1,(BN$20&gt;=Index_Tab!$G$5:$K$5)*(BN$20&lt;=Index_Tab!$G$17:$K$17),0))</f>
        <v>FY31E</v>
      </c>
      <c r="BO18" s="40" t="str" cm="1">
        <f t="array" ref="BO18">INDEX(Index_Tab!$G$4:$K$4,MATCH(1,(BO$20&gt;=Index_Tab!$G$5:$K$5)*(BO$20&lt;=Index_Tab!$G$17:$K$17),0))</f>
        <v>FY31E</v>
      </c>
      <c r="BP18" s="40" t="str" cm="1">
        <f t="array" ref="BP18">INDEX(Index_Tab!$G$4:$K$4,MATCH(1,(BP$20&gt;=Index_Tab!$G$5:$K$5)*(BP$20&lt;=Index_Tab!$G$17:$K$17),0))</f>
        <v>FY31E</v>
      </c>
      <c r="BQ18" s="40" t="str" cm="1">
        <f t="array" ref="BQ18">INDEX(Index_Tab!$G$4:$K$4,MATCH(1,(BQ$20&gt;=Index_Tab!$G$5:$K$5)*(BQ$20&lt;=Index_Tab!$G$17:$K$17),0))</f>
        <v>FY31E</v>
      </c>
      <c r="BR18" s="40" t="str" cm="1">
        <f t="array" ref="BR18">INDEX(Index_Tab!$G$4:$K$4,MATCH(1,(BR$20&gt;=Index_Tab!$G$5:$K$5)*(BR$20&lt;=Index_Tab!$G$17:$K$17),0))</f>
        <v>FY31E</v>
      </c>
      <c r="BS18" s="40" t="str" cm="1">
        <f t="array" ref="BS18">INDEX(Index_Tab!$G$4:$K$4,MATCH(1,(BS$20&gt;=Index_Tab!$G$5:$K$5)*(BS$20&lt;=Index_Tab!$G$17:$K$17),0))</f>
        <v>FY31E</v>
      </c>
      <c r="BT18" s="40" t="str" cm="1">
        <f t="array" ref="BT18">INDEX(Index_Tab!$G$4:$K$4,MATCH(1,(BT$20&gt;=Index_Tab!$G$5:$K$5)*(BT$20&lt;=Index_Tab!$G$17:$K$17),0))</f>
        <v>FY31E</v>
      </c>
      <c r="BU18" s="40" t="str" cm="1">
        <f t="array" ref="BU18">INDEX(Index_Tab!$G$4:$K$4,MATCH(1,(BU$20&gt;=Index_Tab!$G$5:$K$5)*(BU$20&lt;=Index_Tab!$G$17:$K$17),0))</f>
        <v>FY31E</v>
      </c>
      <c r="BV18" s="40" t="str" cm="1">
        <f t="array" ref="BV18">INDEX(Index_Tab!$G$4:$K$4,MATCH(1,(BV$20&gt;=Index_Tab!$G$5:$K$5)*(BV$20&lt;=Index_Tab!$G$17:$K$17),0))</f>
        <v>FY31E</v>
      </c>
      <c r="BW18" s="40" t="str" cm="1">
        <f t="array" ref="BW18">INDEX(Index_Tab!$G$4:$K$4,MATCH(1,(BW$20&gt;=Index_Tab!$G$5:$K$5)*(BW$20&lt;=Index_Tab!$G$17:$K$17),0))</f>
        <v>FY31E</v>
      </c>
      <c r="BX18" s="40" t="str" cm="1">
        <f t="array" ref="BX18">INDEX(Index_Tab!$G$4:$K$4,MATCH(1,(BX$20&gt;=Index_Tab!$G$5:$K$5)*(BX$20&lt;=Index_Tab!$G$17:$K$17),0))</f>
        <v>FY31E</v>
      </c>
      <c r="BY18" s="40" t="str" cm="1">
        <f t="array" ref="BY18">INDEX(Index_Tab!$G$4:$K$4,MATCH(1,(BY$20&gt;=Index_Tab!$G$5:$K$5)*(BY$20&lt;=Index_Tab!$G$17:$K$17),0))</f>
        <v>FY31E</v>
      </c>
    </row>
    <row r="19" spans="2:80" ht="12" customHeight="1" x14ac:dyDescent="0.3">
      <c r="C19" s="87"/>
      <c r="E19" s="20"/>
      <c r="F19" s="20"/>
      <c r="G19" s="20"/>
      <c r="H19" s="41"/>
      <c r="I19" s="21" t="str">
        <f>'Detailed Assumptions'!$E$17</f>
        <v>FY26E</v>
      </c>
      <c r="J19" s="21" t="str">
        <f>'Detailed Assumptions'!$F$17</f>
        <v>FY27E</v>
      </c>
      <c r="K19" s="21" t="str">
        <f>'Detailed Assumptions'!$G$17</f>
        <v>FY28E</v>
      </c>
      <c r="L19" s="21" t="str">
        <f>'Detailed Assumptions'!$H$17</f>
        <v>FY29E</v>
      </c>
      <c r="M19" s="21" t="str">
        <f>'Detailed Assumptions'!$I$17</f>
        <v>FY30E</v>
      </c>
      <c r="N19" s="21" t="str">
        <f>'Detailed Assumptions'!$J$17</f>
        <v>FY31E</v>
      </c>
      <c r="O19" s="42"/>
      <c r="P19" s="41"/>
      <c r="Q19" s="43">
        <f>EDATE(R19,-1)</f>
        <v>46266</v>
      </c>
      <c r="R19" s="43">
        <f>'Detailed Assumptions'!$E$12</f>
        <v>46296</v>
      </c>
      <c r="S19" s="43">
        <f>R20+1</f>
        <v>46327</v>
      </c>
      <c r="T19" s="43">
        <f t="shared" ref="T19:BY19" si="0">S20+1</f>
        <v>46357</v>
      </c>
      <c r="U19" s="43">
        <f t="shared" si="0"/>
        <v>46388</v>
      </c>
      <c r="V19" s="43">
        <f t="shared" si="0"/>
        <v>46419</v>
      </c>
      <c r="W19" s="43">
        <f t="shared" si="0"/>
        <v>46447</v>
      </c>
      <c r="X19" s="43">
        <f t="shared" si="0"/>
        <v>46478</v>
      </c>
      <c r="Y19" s="43">
        <f t="shared" si="0"/>
        <v>46508</v>
      </c>
      <c r="Z19" s="43">
        <f t="shared" si="0"/>
        <v>46539</v>
      </c>
      <c r="AA19" s="43">
        <f t="shared" si="0"/>
        <v>46569</v>
      </c>
      <c r="AB19" s="43">
        <f t="shared" si="0"/>
        <v>46600</v>
      </c>
      <c r="AC19" s="43">
        <f t="shared" si="0"/>
        <v>46631</v>
      </c>
      <c r="AD19" s="43">
        <f t="shared" si="0"/>
        <v>46661</v>
      </c>
      <c r="AE19" s="43">
        <f t="shared" si="0"/>
        <v>46692</v>
      </c>
      <c r="AF19" s="43">
        <f t="shared" si="0"/>
        <v>46722</v>
      </c>
      <c r="AG19" s="43">
        <f t="shared" si="0"/>
        <v>46753</v>
      </c>
      <c r="AH19" s="43">
        <f t="shared" si="0"/>
        <v>46784</v>
      </c>
      <c r="AI19" s="43">
        <f t="shared" si="0"/>
        <v>46813</v>
      </c>
      <c r="AJ19" s="43">
        <f t="shared" si="0"/>
        <v>46844</v>
      </c>
      <c r="AK19" s="43">
        <f t="shared" si="0"/>
        <v>46874</v>
      </c>
      <c r="AL19" s="43">
        <f t="shared" si="0"/>
        <v>46905</v>
      </c>
      <c r="AM19" s="43">
        <f t="shared" si="0"/>
        <v>46935</v>
      </c>
      <c r="AN19" s="43">
        <f t="shared" si="0"/>
        <v>46966</v>
      </c>
      <c r="AO19" s="43">
        <f t="shared" si="0"/>
        <v>46997</v>
      </c>
      <c r="AP19" s="43">
        <f t="shared" si="0"/>
        <v>47027</v>
      </c>
      <c r="AQ19" s="43">
        <f t="shared" si="0"/>
        <v>47058</v>
      </c>
      <c r="AR19" s="43">
        <f t="shared" si="0"/>
        <v>47088</v>
      </c>
      <c r="AS19" s="43">
        <f t="shared" si="0"/>
        <v>47119</v>
      </c>
      <c r="AT19" s="43">
        <f t="shared" si="0"/>
        <v>47150</v>
      </c>
      <c r="AU19" s="43">
        <f t="shared" si="0"/>
        <v>47178</v>
      </c>
      <c r="AV19" s="43">
        <f t="shared" si="0"/>
        <v>47209</v>
      </c>
      <c r="AW19" s="43">
        <f t="shared" si="0"/>
        <v>47239</v>
      </c>
      <c r="AX19" s="43">
        <f t="shared" si="0"/>
        <v>47270</v>
      </c>
      <c r="AY19" s="43">
        <f t="shared" si="0"/>
        <v>47300</v>
      </c>
      <c r="AZ19" s="43">
        <f t="shared" si="0"/>
        <v>47331</v>
      </c>
      <c r="BA19" s="43">
        <f t="shared" si="0"/>
        <v>47362</v>
      </c>
      <c r="BB19" s="43">
        <f t="shared" si="0"/>
        <v>47392</v>
      </c>
      <c r="BC19" s="43">
        <f t="shared" si="0"/>
        <v>47423</v>
      </c>
      <c r="BD19" s="43">
        <f t="shared" si="0"/>
        <v>47453</v>
      </c>
      <c r="BE19" s="43">
        <f t="shared" si="0"/>
        <v>47484</v>
      </c>
      <c r="BF19" s="43">
        <f t="shared" si="0"/>
        <v>47515</v>
      </c>
      <c r="BG19" s="43">
        <f t="shared" si="0"/>
        <v>47543</v>
      </c>
      <c r="BH19" s="43">
        <f t="shared" si="0"/>
        <v>47574</v>
      </c>
      <c r="BI19" s="43">
        <f t="shared" si="0"/>
        <v>47604</v>
      </c>
      <c r="BJ19" s="43">
        <f t="shared" si="0"/>
        <v>47635</v>
      </c>
      <c r="BK19" s="43">
        <f t="shared" si="0"/>
        <v>47665</v>
      </c>
      <c r="BL19" s="43">
        <f t="shared" si="0"/>
        <v>47696</v>
      </c>
      <c r="BM19" s="43">
        <f t="shared" si="0"/>
        <v>47727</v>
      </c>
      <c r="BN19" s="43">
        <f t="shared" si="0"/>
        <v>47757</v>
      </c>
      <c r="BO19" s="43">
        <f t="shared" si="0"/>
        <v>47788</v>
      </c>
      <c r="BP19" s="43">
        <f t="shared" si="0"/>
        <v>47818</v>
      </c>
      <c r="BQ19" s="43">
        <f t="shared" si="0"/>
        <v>47849</v>
      </c>
      <c r="BR19" s="43">
        <f t="shared" si="0"/>
        <v>47880</v>
      </c>
      <c r="BS19" s="43">
        <f t="shared" si="0"/>
        <v>47908</v>
      </c>
      <c r="BT19" s="43">
        <f t="shared" si="0"/>
        <v>47939</v>
      </c>
      <c r="BU19" s="43">
        <f t="shared" si="0"/>
        <v>47969</v>
      </c>
      <c r="BV19" s="43">
        <f t="shared" si="0"/>
        <v>48000</v>
      </c>
      <c r="BW19" s="43">
        <f t="shared" si="0"/>
        <v>48030</v>
      </c>
      <c r="BX19" s="43">
        <f t="shared" si="0"/>
        <v>48061</v>
      </c>
      <c r="BY19" s="43">
        <f t="shared" si="0"/>
        <v>48092</v>
      </c>
      <c r="CB19" s="41"/>
    </row>
    <row r="20" spans="2:80" ht="12" customHeight="1" x14ac:dyDescent="0.3">
      <c r="B20" s="1"/>
      <c r="C20" s="1"/>
      <c r="E20" s="20"/>
      <c r="F20" s="20"/>
      <c r="G20" s="20"/>
      <c r="H20" s="41"/>
      <c r="I20" s="44">
        <f>'Detailed Assumptions'!$E$12-1</f>
        <v>46295</v>
      </c>
      <c r="J20" s="44">
        <f>EOMONTH(I20,12)</f>
        <v>46660</v>
      </c>
      <c r="K20" s="44">
        <f>EOMONTH(J20,12)</f>
        <v>47026</v>
      </c>
      <c r="L20" s="44">
        <f>EOMONTH(K20,12)</f>
        <v>47391</v>
      </c>
      <c r="M20" s="44">
        <f>EOMONTH(L20,12)</f>
        <v>47756</v>
      </c>
      <c r="N20" s="44">
        <f>EOMONTH(M20,12)</f>
        <v>48121</v>
      </c>
      <c r="O20" s="45"/>
      <c r="P20" s="41"/>
      <c r="Q20" s="44">
        <f>EOMONTH(Q19,0)</f>
        <v>46295</v>
      </c>
      <c r="R20" s="44">
        <f>EOMONTH(R19,0)</f>
        <v>46326</v>
      </c>
      <c r="S20" s="44">
        <f>EOMONTH(S19,0)</f>
        <v>46356</v>
      </c>
      <c r="T20" s="44">
        <f t="shared" ref="T20:BY20" si="1">EOMONTH(T19,0)</f>
        <v>46387</v>
      </c>
      <c r="U20" s="44">
        <f t="shared" si="1"/>
        <v>46418</v>
      </c>
      <c r="V20" s="44">
        <f t="shared" si="1"/>
        <v>46446</v>
      </c>
      <c r="W20" s="44">
        <f t="shared" si="1"/>
        <v>46477</v>
      </c>
      <c r="X20" s="44">
        <f t="shared" si="1"/>
        <v>46507</v>
      </c>
      <c r="Y20" s="44">
        <f t="shared" si="1"/>
        <v>46538</v>
      </c>
      <c r="Z20" s="44">
        <f t="shared" si="1"/>
        <v>46568</v>
      </c>
      <c r="AA20" s="44">
        <f t="shared" si="1"/>
        <v>46599</v>
      </c>
      <c r="AB20" s="44">
        <f t="shared" si="1"/>
        <v>46630</v>
      </c>
      <c r="AC20" s="44">
        <f t="shared" si="1"/>
        <v>46660</v>
      </c>
      <c r="AD20" s="44">
        <f t="shared" si="1"/>
        <v>46691</v>
      </c>
      <c r="AE20" s="44">
        <f t="shared" si="1"/>
        <v>46721</v>
      </c>
      <c r="AF20" s="44">
        <f t="shared" si="1"/>
        <v>46752</v>
      </c>
      <c r="AG20" s="44">
        <f t="shared" si="1"/>
        <v>46783</v>
      </c>
      <c r="AH20" s="44">
        <f t="shared" si="1"/>
        <v>46812</v>
      </c>
      <c r="AI20" s="44">
        <f t="shared" si="1"/>
        <v>46843</v>
      </c>
      <c r="AJ20" s="44">
        <f t="shared" si="1"/>
        <v>46873</v>
      </c>
      <c r="AK20" s="44">
        <f t="shared" si="1"/>
        <v>46904</v>
      </c>
      <c r="AL20" s="44">
        <f t="shared" si="1"/>
        <v>46934</v>
      </c>
      <c r="AM20" s="44">
        <f t="shared" si="1"/>
        <v>46965</v>
      </c>
      <c r="AN20" s="44">
        <f t="shared" si="1"/>
        <v>46996</v>
      </c>
      <c r="AO20" s="44">
        <f t="shared" si="1"/>
        <v>47026</v>
      </c>
      <c r="AP20" s="44">
        <f t="shared" si="1"/>
        <v>47057</v>
      </c>
      <c r="AQ20" s="44">
        <f t="shared" si="1"/>
        <v>47087</v>
      </c>
      <c r="AR20" s="44">
        <f t="shared" si="1"/>
        <v>47118</v>
      </c>
      <c r="AS20" s="44">
        <f t="shared" si="1"/>
        <v>47149</v>
      </c>
      <c r="AT20" s="44">
        <f t="shared" si="1"/>
        <v>47177</v>
      </c>
      <c r="AU20" s="44">
        <f t="shared" si="1"/>
        <v>47208</v>
      </c>
      <c r="AV20" s="44">
        <f t="shared" si="1"/>
        <v>47238</v>
      </c>
      <c r="AW20" s="44">
        <f t="shared" si="1"/>
        <v>47269</v>
      </c>
      <c r="AX20" s="44">
        <f t="shared" si="1"/>
        <v>47299</v>
      </c>
      <c r="AY20" s="44">
        <f t="shared" si="1"/>
        <v>47330</v>
      </c>
      <c r="AZ20" s="44">
        <f t="shared" si="1"/>
        <v>47361</v>
      </c>
      <c r="BA20" s="44">
        <f t="shared" si="1"/>
        <v>47391</v>
      </c>
      <c r="BB20" s="44">
        <f t="shared" si="1"/>
        <v>47422</v>
      </c>
      <c r="BC20" s="44">
        <f t="shared" si="1"/>
        <v>47452</v>
      </c>
      <c r="BD20" s="44">
        <f t="shared" si="1"/>
        <v>47483</v>
      </c>
      <c r="BE20" s="44">
        <f t="shared" si="1"/>
        <v>47514</v>
      </c>
      <c r="BF20" s="44">
        <f t="shared" si="1"/>
        <v>47542</v>
      </c>
      <c r="BG20" s="44">
        <f t="shared" si="1"/>
        <v>47573</v>
      </c>
      <c r="BH20" s="44">
        <f t="shared" si="1"/>
        <v>47603</v>
      </c>
      <c r="BI20" s="44">
        <f t="shared" si="1"/>
        <v>47634</v>
      </c>
      <c r="BJ20" s="44">
        <f t="shared" si="1"/>
        <v>47664</v>
      </c>
      <c r="BK20" s="44">
        <f t="shared" si="1"/>
        <v>47695</v>
      </c>
      <c r="BL20" s="44">
        <f t="shared" si="1"/>
        <v>47726</v>
      </c>
      <c r="BM20" s="44">
        <f t="shared" si="1"/>
        <v>47756</v>
      </c>
      <c r="BN20" s="44">
        <f t="shared" si="1"/>
        <v>47787</v>
      </c>
      <c r="BO20" s="44">
        <f t="shared" si="1"/>
        <v>47817</v>
      </c>
      <c r="BP20" s="44">
        <f t="shared" si="1"/>
        <v>47848</v>
      </c>
      <c r="BQ20" s="44">
        <f t="shared" si="1"/>
        <v>47879</v>
      </c>
      <c r="BR20" s="44">
        <f t="shared" si="1"/>
        <v>47907</v>
      </c>
      <c r="BS20" s="44">
        <f t="shared" si="1"/>
        <v>47938</v>
      </c>
      <c r="BT20" s="44">
        <f t="shared" si="1"/>
        <v>47968</v>
      </c>
      <c r="BU20" s="44">
        <f t="shared" si="1"/>
        <v>47999</v>
      </c>
      <c r="BV20" s="44">
        <f t="shared" si="1"/>
        <v>48029</v>
      </c>
      <c r="BW20" s="44">
        <f t="shared" si="1"/>
        <v>48060</v>
      </c>
      <c r="BX20" s="44">
        <f t="shared" si="1"/>
        <v>48091</v>
      </c>
      <c r="BY20" s="44">
        <f t="shared" si="1"/>
        <v>48121</v>
      </c>
      <c r="CB20" s="41"/>
    </row>
    <row r="22" spans="2:80" ht="12" customHeight="1" x14ac:dyDescent="0.3">
      <c r="E22" s="2" t="s">
        <v>24</v>
      </c>
      <c r="F22" s="2"/>
      <c r="G22" s="2"/>
      <c r="H22" s="2"/>
      <c r="I22" s="8">
        <f>Portfolio!N39</f>
        <v>16220326.429562395</v>
      </c>
      <c r="J22" s="8">
        <f>Portfolio!O39</f>
        <v>16977330.25107462</v>
      </c>
      <c r="K22" s="8">
        <f>Portfolio!P39</f>
        <v>17206442.827405717</v>
      </c>
      <c r="L22" s="8">
        <f>Portfolio!Q39</f>
        <v>17328212.970069736</v>
      </c>
      <c r="M22" s="8">
        <f>Portfolio!R39</f>
        <v>17347419.217420988</v>
      </c>
      <c r="N22" s="8">
        <f>Portfolio!S39</f>
        <v>17286720.278510548</v>
      </c>
      <c r="O22" s="8"/>
      <c r="P22" s="8"/>
      <c r="Q22" s="8">
        <f>Portfolio!V39</f>
        <v>0</v>
      </c>
      <c r="R22" s="8">
        <f>Portfolio!W39</f>
        <v>1423857.1577417594</v>
      </c>
      <c r="S22" s="8">
        <f>Portfolio!X39</f>
        <v>1423857.1577417594</v>
      </c>
      <c r="T22" s="8">
        <f>Portfolio!Y39</f>
        <v>1423857.1577417594</v>
      </c>
      <c r="U22" s="8">
        <f>Portfolio!Z39</f>
        <v>1423857.1577417594</v>
      </c>
      <c r="V22" s="8">
        <f>Portfolio!AA39</f>
        <v>1423857.1577417594</v>
      </c>
      <c r="W22" s="8">
        <f>Portfolio!AB39</f>
        <v>1385632.804513793</v>
      </c>
      <c r="X22" s="8">
        <f>Portfolio!AC39</f>
        <v>1418590.8664994738</v>
      </c>
      <c r="Y22" s="8">
        <f>Portfolio!AD39</f>
        <v>1418590.8664994738</v>
      </c>
      <c r="Z22" s="8">
        <f>Portfolio!AE39</f>
        <v>1418590.8664994738</v>
      </c>
      <c r="AA22" s="8">
        <f>Portfolio!AF39</f>
        <v>1418590.8664994738</v>
      </c>
      <c r="AB22" s="8">
        <f>Portfolio!AG39</f>
        <v>1418590.8664994738</v>
      </c>
      <c r="AC22" s="8">
        <f>Portfolio!AH39</f>
        <v>1379457.3253546606</v>
      </c>
      <c r="AD22" s="8">
        <f>Portfolio!AI39</f>
        <v>1441201.617801382</v>
      </c>
      <c r="AE22" s="8">
        <f>Portfolio!AJ39</f>
        <v>1441201.617801382</v>
      </c>
      <c r="AF22" s="8">
        <f>Portfolio!AK39</f>
        <v>1441201.617801382</v>
      </c>
      <c r="AG22" s="8">
        <f>Portfolio!AL39</f>
        <v>1441201.617801382</v>
      </c>
      <c r="AH22" s="8">
        <f>Portfolio!AM39</f>
        <v>1441201.617801382</v>
      </c>
      <c r="AI22" s="8">
        <f>Portfolio!AN39</f>
        <v>1400316.4655233284</v>
      </c>
      <c r="AJ22" s="8">
        <f>Portfolio!AO39</f>
        <v>1440362.1068263315</v>
      </c>
      <c r="AK22" s="8">
        <f>Portfolio!AP39</f>
        <v>1440362.1068263315</v>
      </c>
      <c r="AL22" s="8">
        <f>Portfolio!AQ39</f>
        <v>1440362.1068263315</v>
      </c>
      <c r="AM22" s="8">
        <f>Portfolio!AR39</f>
        <v>1440362.1068263315</v>
      </c>
      <c r="AN22" s="8">
        <f>Portfolio!AS39</f>
        <v>1440362.1068263315</v>
      </c>
      <c r="AO22" s="8">
        <f>Portfolio!AT39</f>
        <v>1398307.7387438116</v>
      </c>
      <c r="AP22" s="8">
        <f>Portfolio!AU39</f>
        <v>1449880.4928224355</v>
      </c>
      <c r="AQ22" s="8">
        <f>Portfolio!AV39</f>
        <v>1449880.4928224355</v>
      </c>
      <c r="AR22" s="8">
        <f>Portfolio!AW39</f>
        <v>1449880.4928224355</v>
      </c>
      <c r="AS22" s="8">
        <f>Portfolio!AX39</f>
        <v>1449880.4928224355</v>
      </c>
      <c r="AT22" s="8">
        <f>Portfolio!AY39</f>
        <v>1449880.4928224355</v>
      </c>
      <c r="AU22" s="8">
        <f>Portfolio!AZ39</f>
        <v>1406275.0644668734</v>
      </c>
      <c r="AV22" s="8">
        <f>Portfolio!BA39</f>
        <v>1452931.2622757114</v>
      </c>
      <c r="AW22" s="8">
        <f>Portfolio!BB39</f>
        <v>1452931.2622757114</v>
      </c>
      <c r="AX22" s="8">
        <f>Portfolio!BC39</f>
        <v>1452931.2622757114</v>
      </c>
      <c r="AY22" s="8">
        <f>Portfolio!BD39</f>
        <v>1452931.2622757114</v>
      </c>
      <c r="AZ22" s="8">
        <f>Portfolio!BE39</f>
        <v>1452931.2622757114</v>
      </c>
      <c r="BA22" s="8">
        <f>Portfolio!BF39</f>
        <v>1407879.130112123</v>
      </c>
      <c r="BB22" s="8">
        <f>Portfolio!BG39</f>
        <v>1450356.3583766506</v>
      </c>
      <c r="BC22" s="8">
        <f>Portfolio!BH39</f>
        <v>1450356.3583766506</v>
      </c>
      <c r="BD22" s="8">
        <f>Portfolio!BI39</f>
        <v>1450356.3583766506</v>
      </c>
      <c r="BE22" s="8">
        <f>Portfolio!BJ39</f>
        <v>1450356.3583766506</v>
      </c>
      <c r="BF22" s="8">
        <f>Portfolio!BK39</f>
        <v>1450356.3583766506</v>
      </c>
      <c r="BG22" s="8">
        <f>Portfolio!BL39</f>
        <v>1403944.9549085977</v>
      </c>
      <c r="BH22" s="8">
        <f>Portfolio!BM39</f>
        <v>1456640.9819198418</v>
      </c>
      <c r="BI22" s="8">
        <f>Portfolio!BN39</f>
        <v>1456640.9819198418</v>
      </c>
      <c r="BJ22" s="8">
        <f>Portfolio!BO39</f>
        <v>1456640.9819198418</v>
      </c>
      <c r="BK22" s="8">
        <f>Portfolio!BP39</f>
        <v>1456640.9819198418</v>
      </c>
      <c r="BL22" s="8">
        <f>Portfolio!BQ39</f>
        <v>1456640.9819198418</v>
      </c>
      <c r="BM22" s="8">
        <f>Portfolio!BR39</f>
        <v>1408487.5610299292</v>
      </c>
      <c r="BN22" s="8">
        <f>Portfolio!BS39</f>
        <v>1444615.7087398334</v>
      </c>
      <c r="BO22" s="8">
        <f>Portfolio!BT39</f>
        <v>1444615.7087398334</v>
      </c>
      <c r="BP22" s="8">
        <f>Portfolio!BU39</f>
        <v>1444615.7087398334</v>
      </c>
      <c r="BQ22" s="8">
        <f>Portfolio!BV39</f>
        <v>1444615.7087398334</v>
      </c>
      <c r="BR22" s="8">
        <f>Portfolio!BW39</f>
        <v>1444615.7087398334</v>
      </c>
      <c r="BS22" s="8">
        <f>Portfolio!BX39</f>
        <v>1395227.1375008649</v>
      </c>
      <c r="BT22" s="8">
        <f>Portfolio!BY39</f>
        <v>1453309.865721199</v>
      </c>
      <c r="BU22" s="8">
        <f>Portfolio!BZ39</f>
        <v>1453309.865721199</v>
      </c>
      <c r="BV22" s="8">
        <f>Portfolio!CA39</f>
        <v>1453309.865721199</v>
      </c>
      <c r="BW22" s="8">
        <f>Portfolio!CB39</f>
        <v>1453309.865721199</v>
      </c>
      <c r="BX22" s="8">
        <f>Portfolio!CC39</f>
        <v>1453309.865721199</v>
      </c>
      <c r="BY22" s="8">
        <f>Portfolio!CD39</f>
        <v>1401865.2687045196</v>
      </c>
      <c r="BZ22" s="8"/>
      <c r="CA22" s="8"/>
      <c r="CB22" s="8"/>
    </row>
    <row r="23" spans="2:80" ht="12" customHeight="1" x14ac:dyDescent="0.3">
      <c r="E23" s="2" t="s">
        <v>26</v>
      </c>
      <c r="F23" s="2"/>
      <c r="G23" s="2"/>
      <c r="H23" s="2"/>
      <c r="I23" s="8">
        <f>Portfolio!N45</f>
        <v>11314202.737723859</v>
      </c>
      <c r="J23" s="8">
        <f>Portfolio!O45</f>
        <v>11610486.446463693</v>
      </c>
      <c r="K23" s="8">
        <f>Portfolio!P45</f>
        <v>11569976.626993924</v>
      </c>
      <c r="L23" s="8">
        <f>Portfolio!Q45</f>
        <v>11476062.220567212</v>
      </c>
      <c r="M23" s="8">
        <f>Portfolio!R45</f>
        <v>11310607.850688249</v>
      </c>
      <c r="N23" s="8">
        <f>Portfolio!S45</f>
        <v>11087203.678904884</v>
      </c>
      <c r="O23" s="8"/>
      <c r="P23" s="8"/>
      <c r="Q23" s="8">
        <f>Portfolio!V45</f>
        <v>0</v>
      </c>
      <c r="R23" s="8">
        <f>Portfolio!W45</f>
        <v>971506.83060746011</v>
      </c>
      <c r="S23" s="8">
        <f>Portfolio!X45</f>
        <v>971506.83060746011</v>
      </c>
      <c r="T23" s="8">
        <f>Portfolio!Y45</f>
        <v>971506.83060746011</v>
      </c>
      <c r="U23" s="8">
        <f>Portfolio!Z45</f>
        <v>971506.83060746011</v>
      </c>
      <c r="V23" s="8">
        <f>Portfolio!AA45</f>
        <v>971506.83060746011</v>
      </c>
      <c r="W23" s="8">
        <f>Portfolio!AB45</f>
        <v>945426.11032269616</v>
      </c>
      <c r="X23" s="8">
        <f>Portfolio!AC45</f>
        <v>972391.79740188911</v>
      </c>
      <c r="Y23" s="8">
        <f>Portfolio!AD45</f>
        <v>972391.79740188911</v>
      </c>
      <c r="Z23" s="8">
        <f>Portfolio!AE45</f>
        <v>972391.79740188911</v>
      </c>
      <c r="AA23" s="8">
        <f>Portfolio!AF45</f>
        <v>972391.79740188911</v>
      </c>
      <c r="AB23" s="8">
        <f>Portfolio!AG45</f>
        <v>972391.79740188911</v>
      </c>
      <c r="AC23" s="8">
        <f>Portfolio!AH45</f>
        <v>945567.19609425077</v>
      </c>
      <c r="AD23" s="8">
        <f>Portfolio!AI45</f>
        <v>966134.17143715115</v>
      </c>
      <c r="AE23" s="8">
        <f>Portfolio!AJ45</f>
        <v>966134.17143715115</v>
      </c>
      <c r="AF23" s="8">
        <f>Portfolio!AK45</f>
        <v>966134.17143715115</v>
      </c>
      <c r="AG23" s="8">
        <f>Portfolio!AL45</f>
        <v>966134.17143715115</v>
      </c>
      <c r="AH23" s="8">
        <f>Portfolio!AM45</f>
        <v>966134.17143715115</v>
      </c>
      <c r="AI23" s="8">
        <f>Portfolio!AN45</f>
        <v>938726.10983609722</v>
      </c>
      <c r="AJ23" s="8">
        <f>Portfolio!AO45</f>
        <v>971490.72544764541</v>
      </c>
      <c r="AK23" s="8">
        <f>Portfolio!AP45</f>
        <v>971490.72544764541</v>
      </c>
      <c r="AL23" s="8">
        <f>Portfolio!AQ45</f>
        <v>971490.72544764541</v>
      </c>
      <c r="AM23" s="8">
        <f>Portfolio!AR45</f>
        <v>971490.72544764541</v>
      </c>
      <c r="AN23" s="8">
        <f>Portfolio!AS45</f>
        <v>971490.72544764541</v>
      </c>
      <c r="AO23" s="8">
        <f>Portfolio!AT45</f>
        <v>943126.03273384552</v>
      </c>
      <c r="AP23" s="8">
        <f>Portfolio!AU45</f>
        <v>956529.05838671047</v>
      </c>
      <c r="AQ23" s="8">
        <f>Portfolio!AV45</f>
        <v>956529.05838671047</v>
      </c>
      <c r="AR23" s="8">
        <f>Portfolio!AW45</f>
        <v>956529.05838671047</v>
      </c>
      <c r="AS23" s="8">
        <f>Portfolio!AX45</f>
        <v>956529.05838671047</v>
      </c>
      <c r="AT23" s="8">
        <f>Portfolio!AY45</f>
        <v>956529.05838671047</v>
      </c>
      <c r="AU23" s="8">
        <f>Portfolio!AZ45</f>
        <v>927761.26715703495</v>
      </c>
      <c r="AV23" s="8">
        <f>Portfolio!BA45</f>
        <v>965934.51990972087</v>
      </c>
      <c r="AW23" s="8">
        <f>Portfolio!BB45</f>
        <v>965934.51990972087</v>
      </c>
      <c r="AX23" s="8">
        <f>Portfolio!BC45</f>
        <v>965934.51990972087</v>
      </c>
      <c r="AY23" s="8">
        <f>Portfolio!BD45</f>
        <v>965934.51990972087</v>
      </c>
      <c r="AZ23" s="8">
        <f>Portfolio!BE45</f>
        <v>965934.51990972087</v>
      </c>
      <c r="BA23" s="8">
        <f>Portfolio!BF45</f>
        <v>935983.06192802405</v>
      </c>
      <c r="BB23" s="8">
        <f>Portfolio!BG45</f>
        <v>941190.69742197392</v>
      </c>
      <c r="BC23" s="8">
        <f>Portfolio!BH45</f>
        <v>941190.69742197392</v>
      </c>
      <c r="BD23" s="8">
        <f>Portfolio!BI45</f>
        <v>941190.69742197392</v>
      </c>
      <c r="BE23" s="8">
        <f>Portfolio!BJ45</f>
        <v>941190.69742197392</v>
      </c>
      <c r="BF23" s="8">
        <f>Portfolio!BK45</f>
        <v>941190.69742197392</v>
      </c>
      <c r="BG23" s="8">
        <f>Portfolio!BL45</f>
        <v>911072.59510447062</v>
      </c>
      <c r="BH23" s="8">
        <f>Portfolio!BM45</f>
        <v>954187.52629548882</v>
      </c>
      <c r="BI23" s="8">
        <f>Portfolio!BN45</f>
        <v>954187.52629548882</v>
      </c>
      <c r="BJ23" s="8">
        <f>Portfolio!BO45</f>
        <v>954187.52629548882</v>
      </c>
      <c r="BK23" s="8">
        <f>Portfolio!BP45</f>
        <v>954187.52629548882</v>
      </c>
      <c r="BL23" s="8">
        <f>Portfolio!BQ45</f>
        <v>954187.52629548882</v>
      </c>
      <c r="BM23" s="8">
        <f>Portfolio!BR45</f>
        <v>922644.13699646434</v>
      </c>
      <c r="BN23" s="8">
        <f>Portfolio!BS45</f>
        <v>921311.25450559554</v>
      </c>
      <c r="BO23" s="8">
        <f>Portfolio!BT45</f>
        <v>921311.25450559554</v>
      </c>
      <c r="BP23" s="8">
        <f>Portfolio!BU45</f>
        <v>921311.25450559554</v>
      </c>
      <c r="BQ23" s="8">
        <f>Portfolio!BV45</f>
        <v>921311.25450559554</v>
      </c>
      <c r="BR23" s="8">
        <f>Portfolio!BW45</f>
        <v>921311.25450559554</v>
      </c>
      <c r="BS23" s="8">
        <f>Portfolio!BX45</f>
        <v>889813.43383873766</v>
      </c>
      <c r="BT23" s="8">
        <f>Portfolio!BY45</f>
        <v>937335.66601901082</v>
      </c>
      <c r="BU23" s="8">
        <f>Portfolio!BZ45</f>
        <v>937335.66601901082</v>
      </c>
      <c r="BV23" s="8">
        <f>Portfolio!CA45</f>
        <v>937335.66601901082</v>
      </c>
      <c r="BW23" s="8">
        <f>Portfolio!CB45</f>
        <v>937335.66601901082</v>
      </c>
      <c r="BX23" s="8">
        <f>Portfolio!CC45</f>
        <v>937335.66601901082</v>
      </c>
      <c r="BY23" s="8">
        <f>Portfolio!CD45</f>
        <v>904155.64244311664</v>
      </c>
      <c r="BZ23" s="8"/>
      <c r="CA23" s="8"/>
      <c r="CB23" s="8"/>
    </row>
    <row r="24" spans="2:80" ht="12" customHeight="1" x14ac:dyDescent="0.3">
      <c r="E24" s="2" t="s">
        <v>32</v>
      </c>
      <c r="F24" s="2"/>
      <c r="G24" s="2"/>
      <c r="H24" s="2"/>
      <c r="I24" s="8">
        <f>Portfolio!N52</f>
        <v>1964702.02829119</v>
      </c>
      <c r="J24" s="8">
        <f>Portfolio!O52</f>
        <v>1929539.5758832938</v>
      </c>
      <c r="K24" s="8">
        <f>Portfolio!P52</f>
        <v>1824052.2186596058</v>
      </c>
      <c r="L24" s="8">
        <f>Portfolio!Q52</f>
        <v>1718564.8614359177</v>
      </c>
      <c r="M24" s="8">
        <f>Portfolio!R52</f>
        <v>1613077.5042122295</v>
      </c>
      <c r="N24" s="8">
        <f>Portfolio!S52</f>
        <v>1507590.1469885416</v>
      </c>
      <c r="O24" s="8"/>
      <c r="P24" s="8"/>
      <c r="Q24" s="8">
        <f>Portfolio!V52</f>
        <v>0</v>
      </c>
      <c r="R24" s="8">
        <f>Portfolio!W52</f>
        <v>163725.16902426584</v>
      </c>
      <c r="S24" s="8">
        <f>Portfolio!X52</f>
        <v>163725.16902426584</v>
      </c>
      <c r="T24" s="8">
        <f>Portfolio!Y52</f>
        <v>163725.16902426584</v>
      </c>
      <c r="U24" s="8">
        <f>Portfolio!Z52</f>
        <v>163725.16902426584</v>
      </c>
      <c r="V24" s="8">
        <f>Portfolio!AA52</f>
        <v>163725.16902426584</v>
      </c>
      <c r="W24" s="8">
        <f>Portfolio!AB52</f>
        <v>159329.86247327883</v>
      </c>
      <c r="X24" s="8">
        <f>Portfolio!AC52</f>
        <v>159329.86247327883</v>
      </c>
      <c r="Y24" s="8">
        <f>Portfolio!AD52</f>
        <v>159329.86247327883</v>
      </c>
      <c r="Z24" s="8">
        <f>Portfolio!AE52</f>
        <v>159329.86247327883</v>
      </c>
      <c r="AA24" s="8">
        <f>Portfolio!AF52</f>
        <v>159329.86247327883</v>
      </c>
      <c r="AB24" s="8">
        <f>Portfolio!AG52</f>
        <v>159329.86247327883</v>
      </c>
      <c r="AC24" s="8">
        <f>Portfolio!AH52</f>
        <v>154934.55592229182</v>
      </c>
      <c r="AD24" s="8">
        <f>Portfolio!AI52</f>
        <v>154934.55592229182</v>
      </c>
      <c r="AE24" s="8">
        <f>Portfolio!AJ52</f>
        <v>154934.55592229182</v>
      </c>
      <c r="AF24" s="8">
        <f>Portfolio!AK52</f>
        <v>154934.55592229182</v>
      </c>
      <c r="AG24" s="8">
        <f>Portfolio!AL52</f>
        <v>154934.55592229182</v>
      </c>
      <c r="AH24" s="8">
        <f>Portfolio!AM52</f>
        <v>154934.55592229182</v>
      </c>
      <c r="AI24" s="8">
        <f>Portfolio!AN52</f>
        <v>150539.24937130482</v>
      </c>
      <c r="AJ24" s="8">
        <f>Portfolio!AO52</f>
        <v>150539.24937130482</v>
      </c>
      <c r="AK24" s="8">
        <f>Portfolio!AP52</f>
        <v>150539.24937130482</v>
      </c>
      <c r="AL24" s="8">
        <f>Portfolio!AQ52</f>
        <v>150539.24937130482</v>
      </c>
      <c r="AM24" s="8">
        <f>Portfolio!AR52</f>
        <v>150539.24937130482</v>
      </c>
      <c r="AN24" s="8">
        <f>Portfolio!AS52</f>
        <v>150539.24937130482</v>
      </c>
      <c r="AO24" s="8">
        <f>Portfolio!AT52</f>
        <v>146143.94282031781</v>
      </c>
      <c r="AP24" s="8">
        <f>Portfolio!AU52</f>
        <v>146143.94282031781</v>
      </c>
      <c r="AQ24" s="8">
        <f>Portfolio!AV52</f>
        <v>146143.94282031781</v>
      </c>
      <c r="AR24" s="8">
        <f>Portfolio!AW52</f>
        <v>146143.94282031781</v>
      </c>
      <c r="AS24" s="8">
        <f>Portfolio!AX52</f>
        <v>146143.94282031781</v>
      </c>
      <c r="AT24" s="8">
        <f>Portfolio!AY52</f>
        <v>146143.94282031781</v>
      </c>
      <c r="AU24" s="8">
        <f>Portfolio!AZ52</f>
        <v>141748.6362693308</v>
      </c>
      <c r="AV24" s="8">
        <f>Portfolio!BA52</f>
        <v>141748.6362693308</v>
      </c>
      <c r="AW24" s="8">
        <f>Portfolio!BB52</f>
        <v>141748.6362693308</v>
      </c>
      <c r="AX24" s="8">
        <f>Portfolio!BC52</f>
        <v>141748.6362693308</v>
      </c>
      <c r="AY24" s="8">
        <f>Portfolio!BD52</f>
        <v>141748.6362693308</v>
      </c>
      <c r="AZ24" s="8">
        <f>Portfolio!BE52</f>
        <v>141748.6362693308</v>
      </c>
      <c r="BA24" s="8">
        <f>Portfolio!BF52</f>
        <v>137353.32971834383</v>
      </c>
      <c r="BB24" s="8">
        <f>Portfolio!BG52</f>
        <v>137353.32971834383</v>
      </c>
      <c r="BC24" s="8">
        <f>Portfolio!BH52</f>
        <v>137353.32971834383</v>
      </c>
      <c r="BD24" s="8">
        <f>Portfolio!BI52</f>
        <v>137353.32971834383</v>
      </c>
      <c r="BE24" s="8">
        <f>Portfolio!BJ52</f>
        <v>137353.32971834383</v>
      </c>
      <c r="BF24" s="8">
        <f>Portfolio!BK52</f>
        <v>137353.32971834383</v>
      </c>
      <c r="BG24" s="8">
        <f>Portfolio!BL52</f>
        <v>132958.02316735682</v>
      </c>
      <c r="BH24" s="8">
        <f>Portfolio!BM52</f>
        <v>132958.02316735682</v>
      </c>
      <c r="BI24" s="8">
        <f>Portfolio!BN52</f>
        <v>132958.02316735682</v>
      </c>
      <c r="BJ24" s="8">
        <f>Portfolio!BO52</f>
        <v>132958.02316735682</v>
      </c>
      <c r="BK24" s="8">
        <f>Portfolio!BP52</f>
        <v>132958.02316735682</v>
      </c>
      <c r="BL24" s="8">
        <f>Portfolio!BQ52</f>
        <v>132958.02316735682</v>
      </c>
      <c r="BM24" s="8">
        <f>Portfolio!BR52</f>
        <v>128562.71661636981</v>
      </c>
      <c r="BN24" s="8">
        <f>Portfolio!BS52</f>
        <v>128562.71661636981</v>
      </c>
      <c r="BO24" s="8">
        <f>Portfolio!BT52</f>
        <v>128562.71661636981</v>
      </c>
      <c r="BP24" s="8">
        <f>Portfolio!BU52</f>
        <v>128562.71661636981</v>
      </c>
      <c r="BQ24" s="8">
        <f>Portfolio!BV52</f>
        <v>128562.71661636981</v>
      </c>
      <c r="BR24" s="8">
        <f>Portfolio!BW52</f>
        <v>128562.71661636981</v>
      </c>
      <c r="BS24" s="8">
        <f>Portfolio!BX52</f>
        <v>124167.41006538281</v>
      </c>
      <c r="BT24" s="8">
        <f>Portfolio!BY52</f>
        <v>124167.41006538281</v>
      </c>
      <c r="BU24" s="8">
        <f>Portfolio!BZ52</f>
        <v>124167.41006538281</v>
      </c>
      <c r="BV24" s="8">
        <f>Portfolio!CA52</f>
        <v>124167.41006538281</v>
      </c>
      <c r="BW24" s="8">
        <f>Portfolio!CB52</f>
        <v>124167.41006538281</v>
      </c>
      <c r="BX24" s="8">
        <f>Portfolio!CC52</f>
        <v>124167.41006538281</v>
      </c>
      <c r="BY24" s="8">
        <f>Portfolio!CD52</f>
        <v>119772.1035143958</v>
      </c>
      <c r="BZ24" s="8"/>
      <c r="CA24" s="8"/>
      <c r="CB24" s="8"/>
    </row>
    <row r="25" spans="2:80" ht="12" customHeight="1" x14ac:dyDescent="0.3">
      <c r="E25" s="62" t="s">
        <v>33</v>
      </c>
      <c r="F25" s="62"/>
      <c r="G25" s="62"/>
      <c r="H25" s="62"/>
      <c r="I25" s="64">
        <f t="shared" ref="I25:N25" si="2">SUM(I22:I24)</f>
        <v>29499231.195577443</v>
      </c>
      <c r="J25" s="64">
        <f t="shared" si="2"/>
        <v>30517356.273421608</v>
      </c>
      <c r="K25" s="64">
        <f t="shared" si="2"/>
        <v>30600471.673059247</v>
      </c>
      <c r="L25" s="64">
        <f t="shared" si="2"/>
        <v>30522840.052072864</v>
      </c>
      <c r="M25" s="64">
        <f>SUM(M22:M24)</f>
        <v>30271104.572321467</v>
      </c>
      <c r="N25" s="64">
        <f t="shared" si="2"/>
        <v>29881514.104403973</v>
      </c>
      <c r="O25" s="64"/>
      <c r="P25" s="64"/>
      <c r="Q25" s="64">
        <f>SUM(Q22:Q24)</f>
        <v>0</v>
      </c>
      <c r="R25" s="64">
        <f t="shared" ref="R25:BY25" si="3">SUM(R22:R24)</f>
        <v>2559089.1573734856</v>
      </c>
      <c r="S25" s="64">
        <f t="shared" si="3"/>
        <v>2559089.1573734856</v>
      </c>
      <c r="T25" s="64">
        <f t="shared" si="3"/>
        <v>2559089.1573734856</v>
      </c>
      <c r="U25" s="64">
        <f t="shared" si="3"/>
        <v>2559089.1573734856</v>
      </c>
      <c r="V25" s="64">
        <f t="shared" si="3"/>
        <v>2559089.1573734856</v>
      </c>
      <c r="W25" s="64">
        <f t="shared" si="3"/>
        <v>2490388.7773097679</v>
      </c>
      <c r="X25" s="64">
        <f t="shared" si="3"/>
        <v>2550312.5263746418</v>
      </c>
      <c r="Y25" s="64">
        <f t="shared" si="3"/>
        <v>2550312.5263746418</v>
      </c>
      <c r="Z25" s="64">
        <f t="shared" si="3"/>
        <v>2550312.5263746418</v>
      </c>
      <c r="AA25" s="64">
        <f t="shared" si="3"/>
        <v>2550312.5263746418</v>
      </c>
      <c r="AB25" s="64">
        <f t="shared" si="3"/>
        <v>2550312.5263746418</v>
      </c>
      <c r="AC25" s="64">
        <f t="shared" si="3"/>
        <v>2479959.0773712029</v>
      </c>
      <c r="AD25" s="64">
        <f t="shared" si="3"/>
        <v>2562270.3451608247</v>
      </c>
      <c r="AE25" s="64">
        <f t="shared" si="3"/>
        <v>2562270.3451608247</v>
      </c>
      <c r="AF25" s="64">
        <f t="shared" si="3"/>
        <v>2562270.3451608247</v>
      </c>
      <c r="AG25" s="64">
        <f t="shared" si="3"/>
        <v>2562270.3451608247</v>
      </c>
      <c r="AH25" s="64">
        <f t="shared" si="3"/>
        <v>2562270.3451608247</v>
      </c>
      <c r="AI25" s="64">
        <f t="shared" si="3"/>
        <v>2489581.8247307301</v>
      </c>
      <c r="AJ25" s="64">
        <f t="shared" si="3"/>
        <v>2562392.0816452815</v>
      </c>
      <c r="AK25" s="64">
        <f t="shared" si="3"/>
        <v>2562392.0816452815</v>
      </c>
      <c r="AL25" s="64">
        <f t="shared" si="3"/>
        <v>2562392.0816452815</v>
      </c>
      <c r="AM25" s="64">
        <f t="shared" si="3"/>
        <v>2562392.0816452815</v>
      </c>
      <c r="AN25" s="64">
        <f t="shared" si="3"/>
        <v>2562392.0816452815</v>
      </c>
      <c r="AO25" s="64">
        <f t="shared" si="3"/>
        <v>2487577.7142979754</v>
      </c>
      <c r="AP25" s="64">
        <f t="shared" si="3"/>
        <v>2552553.4940294642</v>
      </c>
      <c r="AQ25" s="64">
        <f t="shared" si="3"/>
        <v>2552553.4940294642</v>
      </c>
      <c r="AR25" s="64">
        <f t="shared" si="3"/>
        <v>2552553.4940294642</v>
      </c>
      <c r="AS25" s="64">
        <f t="shared" si="3"/>
        <v>2552553.4940294642</v>
      </c>
      <c r="AT25" s="64">
        <f t="shared" si="3"/>
        <v>2552553.4940294642</v>
      </c>
      <c r="AU25" s="64">
        <f t="shared" si="3"/>
        <v>2475784.9678932391</v>
      </c>
      <c r="AV25" s="64">
        <f t="shared" si="3"/>
        <v>2560614.4184547635</v>
      </c>
      <c r="AW25" s="64">
        <f t="shared" si="3"/>
        <v>2560614.4184547635</v>
      </c>
      <c r="AX25" s="64">
        <f t="shared" si="3"/>
        <v>2560614.4184547635</v>
      </c>
      <c r="AY25" s="64">
        <f t="shared" si="3"/>
        <v>2560614.4184547635</v>
      </c>
      <c r="AZ25" s="64">
        <f t="shared" si="3"/>
        <v>2560614.4184547635</v>
      </c>
      <c r="BA25" s="64">
        <f t="shared" si="3"/>
        <v>2481215.5217584912</v>
      </c>
      <c r="BB25" s="64">
        <f t="shared" si="3"/>
        <v>2528900.3855169686</v>
      </c>
      <c r="BC25" s="64">
        <f t="shared" si="3"/>
        <v>2528900.3855169686</v>
      </c>
      <c r="BD25" s="64">
        <f t="shared" si="3"/>
        <v>2528900.3855169686</v>
      </c>
      <c r="BE25" s="64">
        <f t="shared" si="3"/>
        <v>2528900.3855169686</v>
      </c>
      <c r="BF25" s="64">
        <f t="shared" si="3"/>
        <v>2528900.3855169686</v>
      </c>
      <c r="BG25" s="64">
        <f t="shared" si="3"/>
        <v>2447975.573180425</v>
      </c>
      <c r="BH25" s="64">
        <f t="shared" si="3"/>
        <v>2543786.5313826874</v>
      </c>
      <c r="BI25" s="64">
        <f t="shared" si="3"/>
        <v>2543786.5313826874</v>
      </c>
      <c r="BJ25" s="64">
        <f t="shared" si="3"/>
        <v>2543786.5313826874</v>
      </c>
      <c r="BK25" s="64">
        <f t="shared" si="3"/>
        <v>2543786.5313826874</v>
      </c>
      <c r="BL25" s="64">
        <f t="shared" si="3"/>
        <v>2543786.5313826874</v>
      </c>
      <c r="BM25" s="64">
        <f t="shared" si="3"/>
        <v>2459694.4146427633</v>
      </c>
      <c r="BN25" s="64">
        <f t="shared" si="3"/>
        <v>2494489.6798617989</v>
      </c>
      <c r="BO25" s="64">
        <f t="shared" si="3"/>
        <v>2494489.6798617989</v>
      </c>
      <c r="BP25" s="64">
        <f t="shared" si="3"/>
        <v>2494489.6798617989</v>
      </c>
      <c r="BQ25" s="64">
        <f t="shared" si="3"/>
        <v>2494489.6798617989</v>
      </c>
      <c r="BR25" s="64">
        <f t="shared" si="3"/>
        <v>2494489.6798617989</v>
      </c>
      <c r="BS25" s="64">
        <f t="shared" si="3"/>
        <v>2409207.9814049853</v>
      </c>
      <c r="BT25" s="64">
        <f t="shared" si="3"/>
        <v>2514812.9418055927</v>
      </c>
      <c r="BU25" s="64">
        <f t="shared" si="3"/>
        <v>2514812.9418055927</v>
      </c>
      <c r="BV25" s="64">
        <f t="shared" si="3"/>
        <v>2514812.9418055927</v>
      </c>
      <c r="BW25" s="64">
        <f t="shared" si="3"/>
        <v>2514812.9418055927</v>
      </c>
      <c r="BX25" s="64">
        <f t="shared" si="3"/>
        <v>2514812.9418055927</v>
      </c>
      <c r="BY25" s="64">
        <f t="shared" si="3"/>
        <v>2425793.014662032</v>
      </c>
      <c r="BZ25" s="8"/>
      <c r="CA25" s="8"/>
      <c r="CB25" s="8"/>
    </row>
    <row r="26" spans="2:80" ht="12" customHeight="1" x14ac:dyDescent="0.3">
      <c r="I26" s="8"/>
      <c r="J26" s="8"/>
      <c r="K26" s="8"/>
      <c r="L26" s="8"/>
      <c r="M26" s="8"/>
      <c r="N26" s="8"/>
      <c r="O26" s="8"/>
      <c r="P26" s="8"/>
      <c r="Q26" s="8"/>
      <c r="R26" s="8"/>
      <c r="S26" s="8"/>
      <c r="T26" s="8"/>
      <c r="U26" s="8"/>
      <c r="V26" s="8"/>
      <c r="W26" s="8"/>
      <c r="X26" s="8"/>
      <c r="Y26" s="8"/>
      <c r="Z26" s="8"/>
      <c r="AA26" s="8"/>
      <c r="AB26" s="8"/>
      <c r="AC26" s="8"/>
      <c r="AD26" s="8"/>
      <c r="AE26" s="8"/>
      <c r="AF26" s="8"/>
      <c r="AG26" s="8"/>
      <c r="AH26" s="8"/>
      <c r="AI26" s="8"/>
      <c r="AJ26" s="8"/>
      <c r="AK26" s="8"/>
      <c r="AL26" s="8"/>
      <c r="AM26" s="8"/>
      <c r="AN26" s="8"/>
      <c r="AO26" s="8"/>
      <c r="AP26" s="8"/>
      <c r="AQ26" s="8"/>
      <c r="AR26" s="8"/>
      <c r="AS26" s="8"/>
      <c r="AT26" s="8"/>
      <c r="AU26" s="8"/>
      <c r="AV26" s="8"/>
      <c r="AW26" s="8"/>
      <c r="AX26" s="8"/>
      <c r="AY26" s="8"/>
      <c r="AZ26" s="8"/>
      <c r="BA26" s="8"/>
      <c r="BB26" s="8"/>
      <c r="BC26" s="8"/>
      <c r="BD26" s="8"/>
      <c r="BE26" s="8"/>
      <c r="BF26" s="8"/>
      <c r="BG26" s="8"/>
      <c r="BH26" s="8"/>
      <c r="BI26" s="8"/>
      <c r="BJ26" s="8"/>
      <c r="BK26" s="8"/>
      <c r="BL26" s="8"/>
      <c r="BM26" s="8"/>
      <c r="BN26" s="8"/>
      <c r="BO26" s="8"/>
      <c r="BP26" s="8"/>
      <c r="BQ26" s="8"/>
      <c r="BR26" s="8"/>
      <c r="BS26" s="8"/>
      <c r="BT26" s="8"/>
      <c r="BU26" s="8"/>
      <c r="BV26" s="8"/>
      <c r="BW26" s="8"/>
      <c r="BX26" s="8"/>
      <c r="BY26" s="8"/>
      <c r="BZ26" s="8"/>
      <c r="CA26" s="8"/>
      <c r="CB26" s="8"/>
    </row>
    <row r="27" spans="2:80" ht="12" customHeight="1" x14ac:dyDescent="0.3">
      <c r="E27" s="2" t="s">
        <v>35</v>
      </c>
      <c r="F27" s="2"/>
      <c r="G27" s="2"/>
      <c r="H27" s="2"/>
      <c r="I27" s="37">
        <f>Portfolio!N59</f>
        <v>-664289.15904601978</v>
      </c>
      <c r="J27" s="37">
        <f>Portfolio!O59</f>
        <v>-665448.32133697253</v>
      </c>
      <c r="K27" s="37">
        <f>Portfolio!P59</f>
        <v>-641649.8278404111</v>
      </c>
      <c r="L27" s="37">
        <f>Portfolio!Q59</f>
        <v>-616633.21527545247</v>
      </c>
      <c r="M27" s="37">
        <f>Portfolio!R59</f>
        <v>-590359.2782767592</v>
      </c>
      <c r="N27" s="37">
        <f>Portfolio!S59</f>
        <v>-562787.73051200842</v>
      </c>
      <c r="O27" s="37"/>
      <c r="P27" s="37"/>
      <c r="Q27" s="37">
        <f>Portfolio!V59</f>
        <v>0</v>
      </c>
      <c r="R27" s="37">
        <f>Portfolio!W59</f>
        <v>-56464.578518911687</v>
      </c>
      <c r="S27" s="37">
        <f>Portfolio!X59</f>
        <v>-56464.578518911687</v>
      </c>
      <c r="T27" s="37">
        <f>Portfolio!Y59</f>
        <v>-56464.578518911687</v>
      </c>
      <c r="U27" s="37">
        <f>Portfolio!Z59</f>
        <v>-56464.578518911687</v>
      </c>
      <c r="V27" s="37">
        <f>Portfolio!AA59</f>
        <v>-56464.578518911687</v>
      </c>
      <c r="W27" s="37">
        <f>Portfolio!AB59</f>
        <v>-54948.750907665737</v>
      </c>
      <c r="X27" s="37">
        <f>Portfolio!AC59</f>
        <v>-54948.750907665737</v>
      </c>
      <c r="Y27" s="37">
        <f>Portfolio!AD59</f>
        <v>-54948.750907665737</v>
      </c>
      <c r="Z27" s="37">
        <f>Portfolio!AE59</f>
        <v>-54948.750907665737</v>
      </c>
      <c r="AA27" s="37">
        <f>Portfolio!AF59</f>
        <v>-54948.750907665737</v>
      </c>
      <c r="AB27" s="37">
        <f>Portfolio!AG59</f>
        <v>-54948.750907665737</v>
      </c>
      <c r="AC27" s="37">
        <f>Portfolio!AH59</f>
        <v>-53432.92329641978</v>
      </c>
      <c r="AD27" s="37">
        <f>Portfolio!AI59</f>
        <v>-54501.581762348178</v>
      </c>
      <c r="AE27" s="37">
        <f>Portfolio!AJ59</f>
        <v>-54501.581762348178</v>
      </c>
      <c r="AF27" s="37">
        <f>Portfolio!AK59</f>
        <v>-54501.581762348178</v>
      </c>
      <c r="AG27" s="37">
        <f>Portfolio!AL59</f>
        <v>-54501.581762348178</v>
      </c>
      <c r="AH27" s="37">
        <f>Portfolio!AM59</f>
        <v>-54501.581762348178</v>
      </c>
      <c r="AI27" s="37">
        <f>Portfolio!AN59</f>
        <v>-52955.43759887731</v>
      </c>
      <c r="AJ27" s="37">
        <f>Portfolio!AO59</f>
        <v>-52955.43759887731</v>
      </c>
      <c r="AK27" s="37">
        <f>Portfolio!AP59</f>
        <v>-52955.43759887731</v>
      </c>
      <c r="AL27" s="37">
        <f>Portfolio!AQ59</f>
        <v>-52955.43759887731</v>
      </c>
      <c r="AM27" s="37">
        <f>Portfolio!AR59</f>
        <v>-52955.43759887731</v>
      </c>
      <c r="AN27" s="37">
        <f>Portfolio!AS59</f>
        <v>-52955.43759887731</v>
      </c>
      <c r="AO27" s="37">
        <f>Portfolio!AT59</f>
        <v>-51409.293435406442</v>
      </c>
      <c r="AP27" s="37">
        <f>Portfolio!AU59</f>
        <v>-52437.479304114568</v>
      </c>
      <c r="AQ27" s="37">
        <f>Portfolio!AV59</f>
        <v>-52437.479304114568</v>
      </c>
      <c r="AR27" s="37">
        <f>Portfolio!AW59</f>
        <v>-52437.479304114568</v>
      </c>
      <c r="AS27" s="37">
        <f>Portfolio!AX59</f>
        <v>-52437.479304114568</v>
      </c>
      <c r="AT27" s="37">
        <f>Portfolio!AY59</f>
        <v>-52437.479304114568</v>
      </c>
      <c r="AU27" s="37">
        <f>Portfolio!AZ59</f>
        <v>-50860.412257374286</v>
      </c>
      <c r="AV27" s="37">
        <f>Portfolio!BA59</f>
        <v>-50860.412257374286</v>
      </c>
      <c r="AW27" s="37">
        <f>Portfolio!BB59</f>
        <v>-50860.412257374286</v>
      </c>
      <c r="AX27" s="37">
        <f>Portfolio!BC59</f>
        <v>-50860.412257374286</v>
      </c>
      <c r="AY27" s="37">
        <f>Portfolio!BD59</f>
        <v>-50860.412257374286</v>
      </c>
      <c r="AZ27" s="37">
        <f>Portfolio!BE59</f>
        <v>-50860.412257374286</v>
      </c>
      <c r="BA27" s="37">
        <f>Portfolio!BF59</f>
        <v>-49283.34521063399</v>
      </c>
      <c r="BB27" s="37">
        <f>Portfolio!BG59</f>
        <v>-50269.012114846671</v>
      </c>
      <c r="BC27" s="37">
        <f>Portfolio!BH59</f>
        <v>-50269.012114846671</v>
      </c>
      <c r="BD27" s="37">
        <f>Portfolio!BI59</f>
        <v>-50269.012114846671</v>
      </c>
      <c r="BE27" s="37">
        <f>Portfolio!BJ59</f>
        <v>-50269.012114846671</v>
      </c>
      <c r="BF27" s="37">
        <f>Portfolio!BK59</f>
        <v>-50269.012114846671</v>
      </c>
      <c r="BG27" s="37">
        <f>Portfolio!BL59</f>
        <v>-48660.403727171579</v>
      </c>
      <c r="BH27" s="37">
        <f>Portfolio!BM59</f>
        <v>-48660.403727171579</v>
      </c>
      <c r="BI27" s="37">
        <f>Portfolio!BN59</f>
        <v>-48660.403727171579</v>
      </c>
      <c r="BJ27" s="37">
        <f>Portfolio!BO59</f>
        <v>-48660.403727171579</v>
      </c>
      <c r="BK27" s="37">
        <f>Portfolio!BP59</f>
        <v>-48660.403727171579</v>
      </c>
      <c r="BL27" s="37">
        <f>Portfolio!BQ59</f>
        <v>-48660.403727171579</v>
      </c>
      <c r="BM27" s="37">
        <f>Portfolio!BR59</f>
        <v>-47051.795339496486</v>
      </c>
      <c r="BN27" s="37">
        <f>Portfolio!BS59</f>
        <v>-47992.831246286427</v>
      </c>
      <c r="BO27" s="37">
        <f>Portfolio!BT59</f>
        <v>-47992.831246286427</v>
      </c>
      <c r="BP27" s="37">
        <f>Portfolio!BU59</f>
        <v>-47992.831246286427</v>
      </c>
      <c r="BQ27" s="37">
        <f>Portfolio!BV59</f>
        <v>-47992.831246286427</v>
      </c>
      <c r="BR27" s="37">
        <f>Portfolio!BW59</f>
        <v>-47992.831246286427</v>
      </c>
      <c r="BS27" s="37">
        <f>Portfolio!BX59</f>
        <v>-46352.050690857825</v>
      </c>
      <c r="BT27" s="37">
        <f>Portfolio!BY59</f>
        <v>-46352.050690857825</v>
      </c>
      <c r="BU27" s="37">
        <f>Portfolio!BZ59</f>
        <v>-46352.050690857825</v>
      </c>
      <c r="BV27" s="37">
        <f>Portfolio!CA59</f>
        <v>-46352.050690857825</v>
      </c>
      <c r="BW27" s="37">
        <f>Portfolio!CB59</f>
        <v>-46352.050690857825</v>
      </c>
      <c r="BX27" s="37">
        <f>Portfolio!CC59</f>
        <v>-46352.050690857825</v>
      </c>
      <c r="BY27" s="37">
        <f>Portfolio!CD59</f>
        <v>-44711.270135429229</v>
      </c>
      <c r="BZ27" s="8"/>
      <c r="CA27" s="8"/>
      <c r="CB27" s="8"/>
    </row>
    <row r="28" spans="2:80" ht="12" customHeight="1" x14ac:dyDescent="0.3">
      <c r="E28" s="62" t="s">
        <v>21</v>
      </c>
      <c r="F28" s="62"/>
      <c r="G28" s="62"/>
      <c r="H28" s="62"/>
      <c r="I28" s="66">
        <f t="shared" ref="I28:N28" si="4">I25+I27</f>
        <v>28834942.036531422</v>
      </c>
      <c r="J28" s="66">
        <f t="shared" si="4"/>
        <v>29851907.952084634</v>
      </c>
      <c r="K28" s="66">
        <f t="shared" si="4"/>
        <v>29958821.845218837</v>
      </c>
      <c r="L28" s="66">
        <f t="shared" si="4"/>
        <v>29906206.836797412</v>
      </c>
      <c r="M28" s="66">
        <f t="shared" si="4"/>
        <v>29680745.294044707</v>
      </c>
      <c r="N28" s="66">
        <f t="shared" si="4"/>
        <v>29318726.373891965</v>
      </c>
      <c r="O28" s="64"/>
      <c r="P28" s="64"/>
      <c r="Q28" s="64">
        <f t="shared" ref="Q28:AV28" si="5">Q25+Q27</f>
        <v>0</v>
      </c>
      <c r="R28" s="64">
        <f t="shared" si="5"/>
        <v>2502624.5788545739</v>
      </c>
      <c r="S28" s="64">
        <f t="shared" si="5"/>
        <v>2502624.5788545739</v>
      </c>
      <c r="T28" s="64">
        <f t="shared" si="5"/>
        <v>2502624.5788545739</v>
      </c>
      <c r="U28" s="64">
        <f t="shared" si="5"/>
        <v>2502624.5788545739</v>
      </c>
      <c r="V28" s="64">
        <f t="shared" si="5"/>
        <v>2502624.5788545739</v>
      </c>
      <c r="W28" s="64">
        <f t="shared" si="5"/>
        <v>2435440.0264021023</v>
      </c>
      <c r="X28" s="64">
        <f t="shared" si="5"/>
        <v>2495363.7754669762</v>
      </c>
      <c r="Y28" s="64">
        <f t="shared" si="5"/>
        <v>2495363.7754669762</v>
      </c>
      <c r="Z28" s="64">
        <f t="shared" si="5"/>
        <v>2495363.7754669762</v>
      </c>
      <c r="AA28" s="64">
        <f t="shared" si="5"/>
        <v>2495363.7754669762</v>
      </c>
      <c r="AB28" s="64">
        <f t="shared" si="5"/>
        <v>2495363.7754669762</v>
      </c>
      <c r="AC28" s="64">
        <f t="shared" si="5"/>
        <v>2426526.154074783</v>
      </c>
      <c r="AD28" s="64">
        <f t="shared" si="5"/>
        <v>2507768.7633984764</v>
      </c>
      <c r="AE28" s="64">
        <f t="shared" si="5"/>
        <v>2507768.7633984764</v>
      </c>
      <c r="AF28" s="64">
        <f t="shared" si="5"/>
        <v>2507768.7633984764</v>
      </c>
      <c r="AG28" s="64">
        <f t="shared" si="5"/>
        <v>2507768.7633984764</v>
      </c>
      <c r="AH28" s="64">
        <f t="shared" si="5"/>
        <v>2507768.7633984764</v>
      </c>
      <c r="AI28" s="64">
        <f t="shared" si="5"/>
        <v>2436626.387131853</v>
      </c>
      <c r="AJ28" s="64">
        <f t="shared" si="5"/>
        <v>2509436.6440464044</v>
      </c>
      <c r="AK28" s="64">
        <f t="shared" si="5"/>
        <v>2509436.6440464044</v>
      </c>
      <c r="AL28" s="64">
        <f t="shared" si="5"/>
        <v>2509436.6440464044</v>
      </c>
      <c r="AM28" s="64">
        <f t="shared" si="5"/>
        <v>2509436.6440464044</v>
      </c>
      <c r="AN28" s="64">
        <f t="shared" si="5"/>
        <v>2509436.6440464044</v>
      </c>
      <c r="AO28" s="64">
        <f t="shared" si="5"/>
        <v>2436168.420862569</v>
      </c>
      <c r="AP28" s="64">
        <f t="shared" si="5"/>
        <v>2500116.0147253498</v>
      </c>
      <c r="AQ28" s="64">
        <f t="shared" si="5"/>
        <v>2500116.0147253498</v>
      </c>
      <c r="AR28" s="64">
        <f t="shared" si="5"/>
        <v>2500116.0147253498</v>
      </c>
      <c r="AS28" s="64">
        <f t="shared" si="5"/>
        <v>2500116.0147253498</v>
      </c>
      <c r="AT28" s="64">
        <f t="shared" si="5"/>
        <v>2500116.0147253498</v>
      </c>
      <c r="AU28" s="64">
        <f t="shared" si="5"/>
        <v>2424924.5556358648</v>
      </c>
      <c r="AV28" s="64">
        <f t="shared" si="5"/>
        <v>2509754.0061973892</v>
      </c>
      <c r="AW28" s="64">
        <f t="shared" ref="AW28:BY28" si="6">AW25+AW27</f>
        <v>2509754.0061973892</v>
      </c>
      <c r="AX28" s="64">
        <f t="shared" si="6"/>
        <v>2509754.0061973892</v>
      </c>
      <c r="AY28" s="64">
        <f t="shared" si="6"/>
        <v>2509754.0061973892</v>
      </c>
      <c r="AZ28" s="64">
        <f t="shared" si="6"/>
        <v>2509754.0061973892</v>
      </c>
      <c r="BA28" s="64">
        <f t="shared" si="6"/>
        <v>2431932.176547857</v>
      </c>
      <c r="BB28" s="64">
        <f t="shared" si="6"/>
        <v>2478631.3734021219</v>
      </c>
      <c r="BC28" s="64">
        <f t="shared" si="6"/>
        <v>2478631.3734021219</v>
      </c>
      <c r="BD28" s="64">
        <f t="shared" si="6"/>
        <v>2478631.3734021219</v>
      </c>
      <c r="BE28" s="64">
        <f t="shared" si="6"/>
        <v>2478631.3734021219</v>
      </c>
      <c r="BF28" s="64">
        <f t="shared" si="6"/>
        <v>2478631.3734021219</v>
      </c>
      <c r="BG28" s="64">
        <f t="shared" si="6"/>
        <v>2399315.1694532535</v>
      </c>
      <c r="BH28" s="64">
        <f t="shared" si="6"/>
        <v>2495126.1276555159</v>
      </c>
      <c r="BI28" s="64">
        <f t="shared" si="6"/>
        <v>2495126.1276555159</v>
      </c>
      <c r="BJ28" s="64">
        <f t="shared" si="6"/>
        <v>2495126.1276555159</v>
      </c>
      <c r="BK28" s="64">
        <f t="shared" si="6"/>
        <v>2495126.1276555159</v>
      </c>
      <c r="BL28" s="64">
        <f t="shared" si="6"/>
        <v>2495126.1276555159</v>
      </c>
      <c r="BM28" s="64">
        <f t="shared" si="6"/>
        <v>2412642.619303267</v>
      </c>
      <c r="BN28" s="64">
        <f t="shared" si="6"/>
        <v>2446496.8486155123</v>
      </c>
      <c r="BO28" s="64">
        <f t="shared" si="6"/>
        <v>2446496.8486155123</v>
      </c>
      <c r="BP28" s="64">
        <f t="shared" si="6"/>
        <v>2446496.8486155123</v>
      </c>
      <c r="BQ28" s="64">
        <f t="shared" si="6"/>
        <v>2446496.8486155123</v>
      </c>
      <c r="BR28" s="64">
        <f t="shared" si="6"/>
        <v>2446496.8486155123</v>
      </c>
      <c r="BS28" s="64">
        <f t="shared" si="6"/>
        <v>2362855.9307141276</v>
      </c>
      <c r="BT28" s="64">
        <f t="shared" si="6"/>
        <v>2468460.891114735</v>
      </c>
      <c r="BU28" s="64">
        <f t="shared" si="6"/>
        <v>2468460.891114735</v>
      </c>
      <c r="BV28" s="64">
        <f t="shared" si="6"/>
        <v>2468460.891114735</v>
      </c>
      <c r="BW28" s="64">
        <f t="shared" si="6"/>
        <v>2468460.891114735</v>
      </c>
      <c r="BX28" s="64">
        <f t="shared" si="6"/>
        <v>2468460.891114735</v>
      </c>
      <c r="BY28" s="64">
        <f t="shared" si="6"/>
        <v>2381081.7445266028</v>
      </c>
      <c r="BZ28" s="8"/>
      <c r="CA28" s="8"/>
      <c r="CB28" s="8"/>
    </row>
    <row r="29" spans="2:80" ht="12" customHeight="1" x14ac:dyDescent="0.3">
      <c r="E29" s="22"/>
      <c r="F29" s="22"/>
      <c r="G29" s="22"/>
      <c r="H29" s="22"/>
      <c r="I29" s="57"/>
      <c r="J29" s="57"/>
      <c r="K29" s="57"/>
      <c r="L29" s="57"/>
      <c r="M29" s="57"/>
      <c r="N29" s="57"/>
      <c r="O29" s="57"/>
      <c r="P29" s="57"/>
      <c r="Q29" s="57"/>
      <c r="R29" s="57"/>
      <c r="S29" s="57"/>
      <c r="T29" s="57"/>
      <c r="U29" s="57"/>
      <c r="V29" s="57"/>
      <c r="W29" s="57"/>
      <c r="X29" s="57"/>
      <c r="Y29" s="57"/>
      <c r="Z29" s="57"/>
      <c r="AA29" s="57"/>
      <c r="AB29" s="57"/>
      <c r="AC29" s="57"/>
      <c r="AD29" s="57"/>
      <c r="AE29" s="57"/>
      <c r="AF29" s="57"/>
      <c r="AG29" s="57"/>
      <c r="AH29" s="57"/>
      <c r="AI29" s="57"/>
      <c r="AJ29" s="57"/>
      <c r="AK29" s="57"/>
      <c r="AL29" s="57"/>
      <c r="AM29" s="57"/>
      <c r="AN29" s="57"/>
      <c r="AO29" s="57"/>
      <c r="AP29" s="57"/>
      <c r="AQ29" s="57"/>
      <c r="AR29" s="57"/>
      <c r="AS29" s="57"/>
      <c r="AT29" s="57"/>
      <c r="AU29" s="57"/>
      <c r="AV29" s="57"/>
      <c r="AW29" s="57"/>
      <c r="AX29" s="57"/>
      <c r="AY29" s="57"/>
      <c r="AZ29" s="57"/>
      <c r="BA29" s="57"/>
      <c r="BB29" s="57"/>
      <c r="BC29" s="57"/>
      <c r="BD29" s="57"/>
      <c r="BE29" s="57"/>
      <c r="BF29" s="57"/>
      <c r="BG29" s="57"/>
      <c r="BH29" s="57"/>
      <c r="BI29" s="57"/>
      <c r="BJ29" s="57"/>
      <c r="BK29" s="57"/>
      <c r="BL29" s="57"/>
      <c r="BM29" s="57"/>
      <c r="BN29" s="57"/>
      <c r="BO29" s="57"/>
      <c r="BP29" s="57"/>
      <c r="BQ29" s="57"/>
      <c r="BR29" s="57"/>
      <c r="BS29" s="57"/>
      <c r="BT29" s="57"/>
      <c r="BU29" s="57"/>
      <c r="BV29" s="57"/>
      <c r="BW29" s="57"/>
      <c r="BX29" s="57"/>
      <c r="BY29" s="57"/>
      <c r="BZ29" s="8"/>
      <c r="CA29" s="8"/>
      <c r="CB29" s="8"/>
    </row>
    <row r="30" spans="2:80" ht="12" customHeight="1" x14ac:dyDescent="0.3">
      <c r="E30" s="2" t="s">
        <v>129</v>
      </c>
      <c r="I30" s="8">
        <f>Portfolio!N64</f>
        <v>-2679600</v>
      </c>
      <c r="J30" s="8">
        <f>Portfolio!O64</f>
        <v>-2698177.9974794523</v>
      </c>
      <c r="K30" s="8">
        <f>Portfolio!P64</f>
        <v>-2614763.0211445345</v>
      </c>
      <c r="L30" s="8">
        <f>Portfolio!Q64</f>
        <v>-2521776.6403262266</v>
      </c>
      <c r="M30" s="8">
        <f>Portfolio!R64</f>
        <v>-2419207.8892892697</v>
      </c>
      <c r="N30" s="8">
        <f>Portfolio!S64</f>
        <v>-2311200.3776949281</v>
      </c>
      <c r="O30" s="8"/>
      <c r="P30" s="8"/>
      <c r="Q30" s="8">
        <f>Portfolio!V64</f>
        <v>0</v>
      </c>
      <c r="R30" s="8">
        <f>Portfolio!W64</f>
        <v>-228810.24868493152</v>
      </c>
      <c r="S30" s="8">
        <f>Portfolio!X64</f>
        <v>-228810.24868493152</v>
      </c>
      <c r="T30" s="8">
        <f>Portfolio!Y64</f>
        <v>-228810.24868493152</v>
      </c>
      <c r="U30" s="8">
        <f>Portfolio!Z64</f>
        <v>-228810.24868493152</v>
      </c>
      <c r="V30" s="8">
        <f>Portfolio!AA64</f>
        <v>-228810.24868493152</v>
      </c>
      <c r="W30" s="8">
        <f>Portfolio!AB64</f>
        <v>-222867.12534246576</v>
      </c>
      <c r="X30" s="8">
        <f>Portfolio!AC64</f>
        <v>-222867.12534246576</v>
      </c>
      <c r="Y30" s="8">
        <f>Portfolio!AD64</f>
        <v>-222867.12534246576</v>
      </c>
      <c r="Z30" s="8">
        <f>Portfolio!AE64</f>
        <v>-222867.12534246576</v>
      </c>
      <c r="AA30" s="8">
        <f>Portfolio!AF64</f>
        <v>-222867.12534246576</v>
      </c>
      <c r="AB30" s="8">
        <f>Portfolio!AG64</f>
        <v>-222867.12534246576</v>
      </c>
      <c r="AC30" s="8">
        <f>Portfolio!AH64</f>
        <v>-216924.00200000001</v>
      </c>
      <c r="AD30" s="8">
        <f>Portfolio!AI64</f>
        <v>-221950.81458552438</v>
      </c>
      <c r="AE30" s="8">
        <f>Portfolio!AJ64</f>
        <v>-221950.81458552438</v>
      </c>
      <c r="AF30" s="8">
        <f>Portfolio!AK64</f>
        <v>-221950.81458552438</v>
      </c>
      <c r="AG30" s="8">
        <f>Portfolio!AL64</f>
        <v>-221950.81458552438</v>
      </c>
      <c r="AH30" s="8">
        <f>Portfolio!AM64</f>
        <v>-221950.81458552438</v>
      </c>
      <c r="AI30" s="8">
        <f>Portfolio!AN64</f>
        <v>-215869.97035030453</v>
      </c>
      <c r="AJ30" s="8">
        <f>Portfolio!AO64</f>
        <v>-215869.97035030453</v>
      </c>
      <c r="AK30" s="8">
        <f>Portfolio!AP64</f>
        <v>-215869.97035030453</v>
      </c>
      <c r="AL30" s="8">
        <f>Portfolio!AQ64</f>
        <v>-215869.97035030453</v>
      </c>
      <c r="AM30" s="8">
        <f>Portfolio!AR64</f>
        <v>-215869.97035030453</v>
      </c>
      <c r="AN30" s="8">
        <f>Portfolio!AS64</f>
        <v>-215869.97035030453</v>
      </c>
      <c r="AO30" s="8">
        <f>Portfolio!AT64</f>
        <v>-209789.12611508468</v>
      </c>
      <c r="AP30" s="8">
        <f>Portfolio!AU64</f>
        <v>-214288.90170259806</v>
      </c>
      <c r="AQ30" s="8">
        <f>Portfolio!AV64</f>
        <v>-214288.90170259806</v>
      </c>
      <c r="AR30" s="8">
        <f>Portfolio!AW64</f>
        <v>-214288.90170259806</v>
      </c>
      <c r="AS30" s="8">
        <f>Portfolio!AX64</f>
        <v>-214288.90170259806</v>
      </c>
      <c r="AT30" s="8">
        <f>Portfolio!AY64</f>
        <v>-214288.90170259806</v>
      </c>
      <c r="AU30" s="8">
        <f>Portfolio!AZ64</f>
        <v>-208077.62918947928</v>
      </c>
      <c r="AV30" s="8">
        <f>Portfolio!BA64</f>
        <v>-208077.62918947928</v>
      </c>
      <c r="AW30" s="8">
        <f>Portfolio!BB64</f>
        <v>-208077.62918947928</v>
      </c>
      <c r="AX30" s="8">
        <f>Portfolio!BC64</f>
        <v>-208077.62918947928</v>
      </c>
      <c r="AY30" s="8">
        <f>Portfolio!BD64</f>
        <v>-208077.62918947928</v>
      </c>
      <c r="AZ30" s="8">
        <f>Portfolio!BE64</f>
        <v>-208077.62918947928</v>
      </c>
      <c r="BA30" s="8">
        <f>Portfolio!BF64</f>
        <v>-201866.35667636048</v>
      </c>
      <c r="BB30" s="8">
        <f>Portfolio!BG64</f>
        <v>-205822.66073796141</v>
      </c>
      <c r="BC30" s="8">
        <f>Portfolio!BH64</f>
        <v>-205822.66073796141</v>
      </c>
      <c r="BD30" s="8">
        <f>Portfolio!BI64</f>
        <v>-205822.66073796141</v>
      </c>
      <c r="BE30" s="8">
        <f>Portfolio!BJ64</f>
        <v>-205822.66073796141</v>
      </c>
      <c r="BF30" s="8">
        <f>Portfolio!BK64</f>
        <v>-205822.66073796141</v>
      </c>
      <c r="BG30" s="8">
        <f>Portfolio!BL64</f>
        <v>-199489.655792178</v>
      </c>
      <c r="BH30" s="8">
        <f>Portfolio!BM64</f>
        <v>-199489.655792178</v>
      </c>
      <c r="BI30" s="8">
        <f>Portfolio!BN64</f>
        <v>-199489.655792178</v>
      </c>
      <c r="BJ30" s="8">
        <f>Portfolio!BO64</f>
        <v>-199489.655792178</v>
      </c>
      <c r="BK30" s="8">
        <f>Portfolio!BP64</f>
        <v>-199489.655792178</v>
      </c>
      <c r="BL30" s="8">
        <f>Portfolio!BQ64</f>
        <v>-199489.655792178</v>
      </c>
      <c r="BM30" s="8">
        <f>Portfolio!BR64</f>
        <v>-193156.65084639456</v>
      </c>
      <c r="BN30" s="8">
        <f>Portfolio!BS64</f>
        <v>-196903.94279244501</v>
      </c>
      <c r="BO30" s="8">
        <f>Portfolio!BT64</f>
        <v>-196903.94279244501</v>
      </c>
      <c r="BP30" s="8">
        <f>Portfolio!BU64</f>
        <v>-196903.94279244501</v>
      </c>
      <c r="BQ30" s="8">
        <f>Portfolio!BV64</f>
        <v>-196903.94279244501</v>
      </c>
      <c r="BR30" s="8">
        <f>Portfolio!BW64</f>
        <v>-196903.94279244501</v>
      </c>
      <c r="BS30" s="8">
        <f>Portfolio!BX64</f>
        <v>-190448.07581564353</v>
      </c>
      <c r="BT30" s="8">
        <f>Portfolio!BY64</f>
        <v>-190448.07581564353</v>
      </c>
      <c r="BU30" s="8">
        <f>Portfolio!BZ64</f>
        <v>-190448.07581564353</v>
      </c>
      <c r="BV30" s="8">
        <f>Portfolio!CA64</f>
        <v>-190448.07581564353</v>
      </c>
      <c r="BW30" s="8">
        <f>Portfolio!CB64</f>
        <v>-190448.07581564353</v>
      </c>
      <c r="BX30" s="8">
        <f>Portfolio!CC64</f>
        <v>-190448.07581564353</v>
      </c>
      <c r="BY30" s="8">
        <f>Portfolio!CD64</f>
        <v>-183992.20883884205</v>
      </c>
      <c r="BZ30" s="8"/>
      <c r="CA30" s="8"/>
      <c r="CB30" s="8"/>
    </row>
    <row r="31" spans="2:80" ht="12" customHeight="1" x14ac:dyDescent="0.3">
      <c r="E31" s="62" t="s">
        <v>292</v>
      </c>
      <c r="F31" s="62"/>
      <c r="G31" s="62"/>
      <c r="H31" s="62"/>
      <c r="I31" s="64">
        <f t="shared" ref="I31:N31" si="7">I28+SUM(I30)</f>
        <v>26155342.036531422</v>
      </c>
      <c r="J31" s="64">
        <f t="shared" si="7"/>
        <v>27153729.954605181</v>
      </c>
      <c r="K31" s="64">
        <f t="shared" si="7"/>
        <v>27344058.824074302</v>
      </c>
      <c r="L31" s="64">
        <f t="shared" si="7"/>
        <v>27384430.196471184</v>
      </c>
      <c r="M31" s="64">
        <f t="shared" si="7"/>
        <v>27261537.404755436</v>
      </c>
      <c r="N31" s="64">
        <f t="shared" si="7"/>
        <v>27007525.996197037</v>
      </c>
      <c r="O31" s="64"/>
      <c r="P31" s="64"/>
      <c r="Q31" s="64">
        <f t="shared" ref="Q31:AV31" si="8">Q28+SUM(Q30)</f>
        <v>0</v>
      </c>
      <c r="R31" s="64">
        <f t="shared" si="8"/>
        <v>2273814.3301696423</v>
      </c>
      <c r="S31" s="64">
        <f t="shared" si="8"/>
        <v>2273814.3301696423</v>
      </c>
      <c r="T31" s="64">
        <f t="shared" si="8"/>
        <v>2273814.3301696423</v>
      </c>
      <c r="U31" s="64">
        <f t="shared" si="8"/>
        <v>2273814.3301696423</v>
      </c>
      <c r="V31" s="64">
        <f t="shared" si="8"/>
        <v>2273814.3301696423</v>
      </c>
      <c r="W31" s="64">
        <f t="shared" si="8"/>
        <v>2212572.9010596364</v>
      </c>
      <c r="X31" s="64">
        <f t="shared" si="8"/>
        <v>2272496.6501245103</v>
      </c>
      <c r="Y31" s="64">
        <f t="shared" si="8"/>
        <v>2272496.6501245103</v>
      </c>
      <c r="Z31" s="64">
        <f t="shared" si="8"/>
        <v>2272496.6501245103</v>
      </c>
      <c r="AA31" s="64">
        <f t="shared" si="8"/>
        <v>2272496.6501245103</v>
      </c>
      <c r="AB31" s="64">
        <f t="shared" si="8"/>
        <v>2272496.6501245103</v>
      </c>
      <c r="AC31" s="64">
        <f t="shared" si="8"/>
        <v>2209602.1520747831</v>
      </c>
      <c r="AD31" s="64">
        <f t="shared" si="8"/>
        <v>2285817.9488129523</v>
      </c>
      <c r="AE31" s="64">
        <f t="shared" si="8"/>
        <v>2285817.9488129523</v>
      </c>
      <c r="AF31" s="64">
        <f t="shared" si="8"/>
        <v>2285817.9488129523</v>
      </c>
      <c r="AG31" s="64">
        <f t="shared" si="8"/>
        <v>2285817.9488129523</v>
      </c>
      <c r="AH31" s="64">
        <f t="shared" si="8"/>
        <v>2285817.9488129523</v>
      </c>
      <c r="AI31" s="64">
        <f t="shared" si="8"/>
        <v>2220756.4167815484</v>
      </c>
      <c r="AJ31" s="64">
        <f t="shared" si="8"/>
        <v>2293566.6736960998</v>
      </c>
      <c r="AK31" s="64">
        <f t="shared" si="8"/>
        <v>2293566.6736960998</v>
      </c>
      <c r="AL31" s="64">
        <f t="shared" si="8"/>
        <v>2293566.6736960998</v>
      </c>
      <c r="AM31" s="64">
        <f t="shared" si="8"/>
        <v>2293566.6736960998</v>
      </c>
      <c r="AN31" s="64">
        <f t="shared" si="8"/>
        <v>2293566.6736960998</v>
      </c>
      <c r="AO31" s="64">
        <f t="shared" si="8"/>
        <v>2226379.2947474844</v>
      </c>
      <c r="AP31" s="64">
        <f t="shared" si="8"/>
        <v>2285827.1130227516</v>
      </c>
      <c r="AQ31" s="64">
        <f t="shared" si="8"/>
        <v>2285827.1130227516</v>
      </c>
      <c r="AR31" s="64">
        <f t="shared" si="8"/>
        <v>2285827.1130227516</v>
      </c>
      <c r="AS31" s="64">
        <f t="shared" si="8"/>
        <v>2285827.1130227516</v>
      </c>
      <c r="AT31" s="64">
        <f t="shared" si="8"/>
        <v>2285827.1130227516</v>
      </c>
      <c r="AU31" s="64">
        <f t="shared" si="8"/>
        <v>2216846.9264463857</v>
      </c>
      <c r="AV31" s="64">
        <f t="shared" si="8"/>
        <v>2301676.3770079101</v>
      </c>
      <c r="AW31" s="64">
        <f t="shared" ref="AW31:BY31" si="9">AW28+SUM(AW30)</f>
        <v>2301676.3770079101</v>
      </c>
      <c r="AX31" s="64">
        <f t="shared" si="9"/>
        <v>2301676.3770079101</v>
      </c>
      <c r="AY31" s="64">
        <f t="shared" si="9"/>
        <v>2301676.3770079101</v>
      </c>
      <c r="AZ31" s="64">
        <f t="shared" si="9"/>
        <v>2301676.3770079101</v>
      </c>
      <c r="BA31" s="64">
        <f t="shared" si="9"/>
        <v>2230065.8198714964</v>
      </c>
      <c r="BB31" s="64">
        <f t="shared" si="9"/>
        <v>2272808.7126641604</v>
      </c>
      <c r="BC31" s="64">
        <f t="shared" si="9"/>
        <v>2272808.7126641604</v>
      </c>
      <c r="BD31" s="64">
        <f t="shared" si="9"/>
        <v>2272808.7126641604</v>
      </c>
      <c r="BE31" s="64">
        <f t="shared" si="9"/>
        <v>2272808.7126641604</v>
      </c>
      <c r="BF31" s="64">
        <f t="shared" si="9"/>
        <v>2272808.7126641604</v>
      </c>
      <c r="BG31" s="64">
        <f t="shared" si="9"/>
        <v>2199825.5136610754</v>
      </c>
      <c r="BH31" s="64">
        <f t="shared" si="9"/>
        <v>2295636.4718633378</v>
      </c>
      <c r="BI31" s="64">
        <f t="shared" si="9"/>
        <v>2295636.4718633378</v>
      </c>
      <c r="BJ31" s="64">
        <f t="shared" si="9"/>
        <v>2295636.4718633378</v>
      </c>
      <c r="BK31" s="64">
        <f t="shared" si="9"/>
        <v>2295636.4718633378</v>
      </c>
      <c r="BL31" s="64">
        <f t="shared" si="9"/>
        <v>2295636.4718633378</v>
      </c>
      <c r="BM31" s="64">
        <f t="shared" si="9"/>
        <v>2219485.9684568723</v>
      </c>
      <c r="BN31" s="64">
        <f t="shared" si="9"/>
        <v>2249592.9058230673</v>
      </c>
      <c r="BO31" s="64">
        <f t="shared" si="9"/>
        <v>2249592.9058230673</v>
      </c>
      <c r="BP31" s="64">
        <f t="shared" si="9"/>
        <v>2249592.9058230673</v>
      </c>
      <c r="BQ31" s="64">
        <f t="shared" si="9"/>
        <v>2249592.9058230673</v>
      </c>
      <c r="BR31" s="64">
        <f t="shared" si="9"/>
        <v>2249592.9058230673</v>
      </c>
      <c r="BS31" s="64">
        <f t="shared" si="9"/>
        <v>2172407.854898484</v>
      </c>
      <c r="BT31" s="64">
        <f t="shared" si="9"/>
        <v>2278012.8152990914</v>
      </c>
      <c r="BU31" s="64">
        <f t="shared" si="9"/>
        <v>2278012.8152990914</v>
      </c>
      <c r="BV31" s="64">
        <f t="shared" si="9"/>
        <v>2278012.8152990914</v>
      </c>
      <c r="BW31" s="64">
        <f t="shared" si="9"/>
        <v>2278012.8152990914</v>
      </c>
      <c r="BX31" s="64">
        <f t="shared" si="9"/>
        <v>2278012.8152990914</v>
      </c>
      <c r="BY31" s="64">
        <f t="shared" si="9"/>
        <v>2197089.5356877609</v>
      </c>
      <c r="BZ31" s="8"/>
      <c r="CA31" s="8"/>
      <c r="CB31" s="8"/>
    </row>
    <row r="32" spans="2:80" ht="12" customHeight="1" x14ac:dyDescent="0.3">
      <c r="E32" s="2"/>
      <c r="I32" s="8"/>
      <c r="J32" s="291"/>
      <c r="K32" s="8"/>
      <c r="L32" s="8"/>
      <c r="M32" s="8"/>
      <c r="N32" s="8"/>
      <c r="O32" s="8"/>
      <c r="P32" s="8"/>
      <c r="Q32" s="8"/>
      <c r="R32" s="8"/>
      <c r="S32" s="8"/>
      <c r="T32" s="8"/>
      <c r="U32" s="8"/>
      <c r="V32" s="8"/>
      <c r="W32" s="8"/>
      <c r="X32" s="8"/>
      <c r="Y32" s="8"/>
      <c r="Z32" s="8"/>
      <c r="AA32" s="8"/>
      <c r="AB32" s="8"/>
      <c r="AC32" s="8"/>
      <c r="AD32" s="8"/>
      <c r="AE32" s="8"/>
      <c r="AF32" s="8"/>
      <c r="AG32" s="8"/>
      <c r="AH32" s="8"/>
      <c r="AI32" s="8"/>
      <c r="AJ32" s="8"/>
      <c r="AK32" s="8"/>
      <c r="AL32" s="8"/>
      <c r="AM32" s="8"/>
      <c r="AN32" s="8"/>
      <c r="AO32" s="8"/>
      <c r="AP32" s="8"/>
      <c r="AQ32" s="8"/>
      <c r="AR32" s="8"/>
      <c r="AS32" s="8"/>
      <c r="AT32" s="8"/>
      <c r="AU32" s="8"/>
      <c r="AV32" s="8"/>
      <c r="AW32" s="8"/>
      <c r="AX32" s="8"/>
      <c r="AY32" s="8"/>
      <c r="AZ32" s="8"/>
      <c r="BA32" s="8"/>
      <c r="BB32" s="8"/>
      <c r="BC32" s="8"/>
      <c r="BD32" s="8"/>
      <c r="BE32" s="8"/>
      <c r="BF32" s="8"/>
      <c r="BG32" s="8"/>
      <c r="BH32" s="8"/>
      <c r="BI32" s="8"/>
      <c r="BJ32" s="8"/>
      <c r="BK32" s="8"/>
      <c r="BL32" s="8"/>
      <c r="BM32" s="8"/>
      <c r="BN32" s="8"/>
      <c r="BO32" s="8"/>
      <c r="BP32" s="8"/>
      <c r="BQ32" s="8"/>
      <c r="BR32" s="8"/>
      <c r="BS32" s="8"/>
      <c r="BT32" s="8"/>
      <c r="BU32" s="8"/>
      <c r="BV32" s="8"/>
      <c r="BW32" s="8"/>
      <c r="BX32" s="8"/>
      <c r="BY32" s="8"/>
      <c r="BZ32" s="8"/>
      <c r="CA32" s="8"/>
      <c r="CB32" s="8"/>
    </row>
    <row r="33" spans="5:80" ht="12" customHeight="1" x14ac:dyDescent="0.3">
      <c r="E33" s="2" t="s">
        <v>52</v>
      </c>
      <c r="I33" s="8">
        <f>Portfolio!N68</f>
        <v>-3065576.1291033244</v>
      </c>
      <c r="J33" s="8">
        <f>Portfolio!O68</f>
        <v>-2388160</v>
      </c>
      <c r="K33" s="8">
        <f>Portfolio!P68</f>
        <v>-2302752.0000000005</v>
      </c>
      <c r="L33" s="8">
        <f>Portfolio!Q68</f>
        <v>-2212972.4160000002</v>
      </c>
      <c r="M33" s="8">
        <f>Portfolio!R68</f>
        <v>-2118680.5478399992</v>
      </c>
      <c r="N33" s="8">
        <f>Portfolio!S68</f>
        <v>-2019731.8159872005</v>
      </c>
      <c r="O33" s="8"/>
      <c r="P33" s="8"/>
      <c r="Q33" s="8">
        <f>Portfolio!V68</f>
        <v>0</v>
      </c>
      <c r="R33" s="8">
        <f>Portfolio!W68</f>
        <v>-202640</v>
      </c>
      <c r="S33" s="8">
        <f>Portfolio!X68</f>
        <v>-202640</v>
      </c>
      <c r="T33" s="8">
        <f>Portfolio!Y68</f>
        <v>-202640</v>
      </c>
      <c r="U33" s="8">
        <f>Portfolio!Z68</f>
        <v>-202640</v>
      </c>
      <c r="V33" s="8">
        <f>Portfolio!AA68</f>
        <v>-202640</v>
      </c>
      <c r="W33" s="8">
        <f>Portfolio!AB68</f>
        <v>-197200</v>
      </c>
      <c r="X33" s="8">
        <f>Portfolio!AC68</f>
        <v>-197200</v>
      </c>
      <c r="Y33" s="8">
        <f>Portfolio!AD68</f>
        <v>-197200</v>
      </c>
      <c r="Z33" s="8">
        <f>Portfolio!AE68</f>
        <v>-197200</v>
      </c>
      <c r="AA33" s="8">
        <f>Portfolio!AF68</f>
        <v>-197200</v>
      </c>
      <c r="AB33" s="8">
        <f>Portfolio!AG68</f>
        <v>-197200</v>
      </c>
      <c r="AC33" s="8">
        <f>Portfolio!AH68</f>
        <v>-191760</v>
      </c>
      <c r="AD33" s="8">
        <f>Portfolio!AI68</f>
        <v>-195595.2</v>
      </c>
      <c r="AE33" s="8">
        <f>Portfolio!AJ68</f>
        <v>-195595.2</v>
      </c>
      <c r="AF33" s="8">
        <f>Portfolio!AK68</f>
        <v>-195595.2</v>
      </c>
      <c r="AG33" s="8">
        <f>Portfolio!AL68</f>
        <v>-195595.2</v>
      </c>
      <c r="AH33" s="8">
        <f>Portfolio!AM68</f>
        <v>-195595.2</v>
      </c>
      <c r="AI33" s="8">
        <f>Portfolio!AN68</f>
        <v>-190046.40000000002</v>
      </c>
      <c r="AJ33" s="8">
        <f>Portfolio!AO68</f>
        <v>-190046.40000000002</v>
      </c>
      <c r="AK33" s="8">
        <f>Portfolio!AP68</f>
        <v>-190046.40000000002</v>
      </c>
      <c r="AL33" s="8">
        <f>Portfolio!AQ68</f>
        <v>-190046.40000000002</v>
      </c>
      <c r="AM33" s="8">
        <f>Portfolio!AR68</f>
        <v>-190046.40000000002</v>
      </c>
      <c r="AN33" s="8">
        <f>Portfolio!AS68</f>
        <v>-190046.40000000002</v>
      </c>
      <c r="AO33" s="8">
        <f>Portfolio!AT68</f>
        <v>-184497.6</v>
      </c>
      <c r="AP33" s="8">
        <f>Portfolio!AU68</f>
        <v>-188187.55200000003</v>
      </c>
      <c r="AQ33" s="8">
        <f>Portfolio!AV68</f>
        <v>-188187.55200000003</v>
      </c>
      <c r="AR33" s="8">
        <f>Portfolio!AW68</f>
        <v>-188187.55200000003</v>
      </c>
      <c r="AS33" s="8">
        <f>Portfolio!AX68</f>
        <v>-188187.55200000003</v>
      </c>
      <c r="AT33" s="8">
        <f>Portfolio!AY68</f>
        <v>-188187.55200000003</v>
      </c>
      <c r="AU33" s="8">
        <f>Portfolio!AZ68</f>
        <v>-182527.77600000001</v>
      </c>
      <c r="AV33" s="8">
        <f>Portfolio!BA68</f>
        <v>-182527.77600000001</v>
      </c>
      <c r="AW33" s="8">
        <f>Portfolio!BB68</f>
        <v>-182527.77600000001</v>
      </c>
      <c r="AX33" s="8">
        <f>Portfolio!BC68</f>
        <v>-182527.77600000001</v>
      </c>
      <c r="AY33" s="8">
        <f>Portfolio!BD68</f>
        <v>-182527.77600000001</v>
      </c>
      <c r="AZ33" s="8">
        <f>Portfolio!BE68</f>
        <v>-182527.77600000001</v>
      </c>
      <c r="BA33" s="8">
        <f>Portfolio!BF68</f>
        <v>-176868</v>
      </c>
      <c r="BB33" s="8">
        <f>Portfolio!BG68</f>
        <v>-180405.36</v>
      </c>
      <c r="BC33" s="8">
        <f>Portfolio!BH68</f>
        <v>-180405.36</v>
      </c>
      <c r="BD33" s="8">
        <f>Portfolio!BI68</f>
        <v>-180405.36</v>
      </c>
      <c r="BE33" s="8">
        <f>Portfolio!BJ68</f>
        <v>-180405.36</v>
      </c>
      <c r="BF33" s="8">
        <f>Portfolio!BK68</f>
        <v>-180405.36</v>
      </c>
      <c r="BG33" s="8">
        <f>Portfolio!BL68</f>
        <v>-174632.38847999999</v>
      </c>
      <c r="BH33" s="8">
        <f>Portfolio!BM68</f>
        <v>-174632.38847999999</v>
      </c>
      <c r="BI33" s="8">
        <f>Portfolio!BN68</f>
        <v>-174632.38847999999</v>
      </c>
      <c r="BJ33" s="8">
        <f>Portfolio!BO68</f>
        <v>-174632.38847999999</v>
      </c>
      <c r="BK33" s="8">
        <f>Portfolio!BP68</f>
        <v>-174632.38847999999</v>
      </c>
      <c r="BL33" s="8">
        <f>Portfolio!BQ68</f>
        <v>-174632.38847999999</v>
      </c>
      <c r="BM33" s="8">
        <f>Portfolio!BR68</f>
        <v>-168859.41696</v>
      </c>
      <c r="BN33" s="8">
        <f>Portfolio!BS68</f>
        <v>-172236.60529919999</v>
      </c>
      <c r="BO33" s="8">
        <f>Portfolio!BT68</f>
        <v>-172236.60529919999</v>
      </c>
      <c r="BP33" s="8">
        <f>Portfolio!BU68</f>
        <v>-172236.60529919999</v>
      </c>
      <c r="BQ33" s="8">
        <f>Portfolio!BV68</f>
        <v>-172236.60529919999</v>
      </c>
      <c r="BR33" s="8">
        <f>Portfolio!BW68</f>
        <v>-172236.60529919999</v>
      </c>
      <c r="BS33" s="8">
        <f>Portfolio!BX68</f>
        <v>-166348.17434880001</v>
      </c>
      <c r="BT33" s="8">
        <f>Portfolio!BY68</f>
        <v>-166348.17434880001</v>
      </c>
      <c r="BU33" s="8">
        <f>Portfolio!BZ68</f>
        <v>-166348.17434880001</v>
      </c>
      <c r="BV33" s="8">
        <f>Portfolio!CA68</f>
        <v>-166348.17434880001</v>
      </c>
      <c r="BW33" s="8">
        <f>Portfolio!CB68</f>
        <v>-166348.17434880001</v>
      </c>
      <c r="BX33" s="8">
        <f>Portfolio!CC68</f>
        <v>-166348.17434880001</v>
      </c>
      <c r="BY33" s="8">
        <f>Portfolio!CD68</f>
        <v>-160459.74339839999</v>
      </c>
      <c r="BZ33" s="8"/>
      <c r="CA33" s="8"/>
      <c r="CB33" s="8"/>
    </row>
    <row r="34" spans="5:80" ht="12" customHeight="1" x14ac:dyDescent="0.3">
      <c r="E34" s="2" t="s">
        <v>69</v>
      </c>
      <c r="I34" s="8">
        <f>Portfolio!N69</f>
        <v>-432524.13054797129</v>
      </c>
      <c r="J34" s="8">
        <f>Portfolio!O69</f>
        <v>-447778.61928126944</v>
      </c>
      <c r="K34" s="8">
        <f>Portfolio!P69</f>
        <v>-449382.32767828228</v>
      </c>
      <c r="L34" s="8">
        <f>Portfolio!Q69</f>
        <v>-448593.10255196108</v>
      </c>
      <c r="M34" s="8">
        <f>Portfolio!R69</f>
        <v>-445211.17941067065</v>
      </c>
      <c r="N34" s="8">
        <f>Portfolio!S69</f>
        <v>-439780.89560837945</v>
      </c>
      <c r="O34" s="8"/>
      <c r="P34" s="8"/>
      <c r="Q34" s="8">
        <f>Portfolio!V69</f>
        <v>0</v>
      </c>
      <c r="R34" s="8">
        <f>Portfolio!W69</f>
        <v>-37539.368682818604</v>
      </c>
      <c r="S34" s="8">
        <f>Portfolio!X69</f>
        <v>-37539.368682818604</v>
      </c>
      <c r="T34" s="8">
        <f>Portfolio!Y69</f>
        <v>-37539.368682818604</v>
      </c>
      <c r="U34" s="8">
        <f>Portfolio!Z69</f>
        <v>-37539.368682818604</v>
      </c>
      <c r="V34" s="8">
        <f>Portfolio!AA69</f>
        <v>-37539.368682818604</v>
      </c>
      <c r="W34" s="8">
        <f>Portfolio!AB69</f>
        <v>-36531.600396031528</v>
      </c>
      <c r="X34" s="8">
        <f>Portfolio!AC69</f>
        <v>-37430.456632004643</v>
      </c>
      <c r="Y34" s="8">
        <f>Portfolio!AD69</f>
        <v>-37430.456632004643</v>
      </c>
      <c r="Z34" s="8">
        <f>Portfolio!AE69</f>
        <v>-37430.456632004643</v>
      </c>
      <c r="AA34" s="8">
        <f>Portfolio!AF69</f>
        <v>-37430.456632004643</v>
      </c>
      <c r="AB34" s="8">
        <f>Portfolio!AG69</f>
        <v>-37430.456632004643</v>
      </c>
      <c r="AC34" s="8">
        <f>Portfolio!AH69</f>
        <v>-36397.892311121752</v>
      </c>
      <c r="AD34" s="8">
        <f>Portfolio!AI69</f>
        <v>-37616.531450977134</v>
      </c>
      <c r="AE34" s="8">
        <f>Portfolio!AJ69</f>
        <v>-37616.531450977134</v>
      </c>
      <c r="AF34" s="8">
        <f>Portfolio!AK69</f>
        <v>-37616.531450977134</v>
      </c>
      <c r="AG34" s="8">
        <f>Portfolio!AL69</f>
        <v>-37616.531450977134</v>
      </c>
      <c r="AH34" s="8">
        <f>Portfolio!AM69</f>
        <v>-37616.531450977134</v>
      </c>
      <c r="AI34" s="8">
        <f>Portfolio!AN69</f>
        <v>-36549.39580697778</v>
      </c>
      <c r="AJ34" s="8">
        <f>Portfolio!AO69</f>
        <v>-37641.549660696073</v>
      </c>
      <c r="AK34" s="8">
        <f>Portfolio!AP69</f>
        <v>-37641.549660696073</v>
      </c>
      <c r="AL34" s="8">
        <f>Portfolio!AQ69</f>
        <v>-37641.549660696073</v>
      </c>
      <c r="AM34" s="8">
        <f>Portfolio!AR69</f>
        <v>-37641.549660696073</v>
      </c>
      <c r="AN34" s="8">
        <f>Portfolio!AS69</f>
        <v>-37641.549660696073</v>
      </c>
      <c r="AO34" s="8">
        <f>Portfolio!AT69</f>
        <v>-36542.526312938528</v>
      </c>
      <c r="AP34" s="8">
        <f>Portfolio!AU69</f>
        <v>-37501.74022088023</v>
      </c>
      <c r="AQ34" s="8">
        <f>Portfolio!AV69</f>
        <v>-37501.74022088023</v>
      </c>
      <c r="AR34" s="8">
        <f>Portfolio!AW69</f>
        <v>-37501.74022088023</v>
      </c>
      <c r="AS34" s="8">
        <f>Portfolio!AX69</f>
        <v>-37501.74022088023</v>
      </c>
      <c r="AT34" s="8">
        <f>Portfolio!AY69</f>
        <v>-37501.74022088023</v>
      </c>
      <c r="AU34" s="8">
        <f>Portfolio!AZ69</f>
        <v>-36373.868334537969</v>
      </c>
      <c r="AV34" s="8">
        <f>Portfolio!BA69</f>
        <v>-37646.310092960834</v>
      </c>
      <c r="AW34" s="8">
        <f>Portfolio!BB69</f>
        <v>-37646.310092960834</v>
      </c>
      <c r="AX34" s="8">
        <f>Portfolio!BC69</f>
        <v>-37646.310092960834</v>
      </c>
      <c r="AY34" s="8">
        <f>Portfolio!BD69</f>
        <v>-37646.310092960834</v>
      </c>
      <c r="AZ34" s="8">
        <f>Portfolio!BE69</f>
        <v>-37646.310092960834</v>
      </c>
      <c r="BA34" s="8">
        <f>Portfolio!BF69</f>
        <v>-36478.982648217861</v>
      </c>
      <c r="BB34" s="8">
        <f>Portfolio!BG69</f>
        <v>-37179.470601031819</v>
      </c>
      <c r="BC34" s="8">
        <f>Portfolio!BH69</f>
        <v>-37179.470601031819</v>
      </c>
      <c r="BD34" s="8">
        <f>Portfolio!BI69</f>
        <v>-37179.470601031819</v>
      </c>
      <c r="BE34" s="8">
        <f>Portfolio!BJ69</f>
        <v>-37179.470601031819</v>
      </c>
      <c r="BF34" s="8">
        <f>Portfolio!BK69</f>
        <v>-37179.470601031819</v>
      </c>
      <c r="BG34" s="8">
        <f>Portfolio!BL69</f>
        <v>-35989.727541798806</v>
      </c>
      <c r="BH34" s="8">
        <f>Portfolio!BM69</f>
        <v>-37426.89191483274</v>
      </c>
      <c r="BI34" s="8">
        <f>Portfolio!BN69</f>
        <v>-37426.89191483274</v>
      </c>
      <c r="BJ34" s="8">
        <f>Portfolio!BO69</f>
        <v>-37426.89191483274</v>
      </c>
      <c r="BK34" s="8">
        <f>Portfolio!BP69</f>
        <v>-37426.89191483274</v>
      </c>
      <c r="BL34" s="8">
        <f>Portfolio!BQ69</f>
        <v>-37426.89191483274</v>
      </c>
      <c r="BM34" s="8">
        <f>Portfolio!BR69</f>
        <v>-36189.639289549013</v>
      </c>
      <c r="BN34" s="8">
        <f>Portfolio!BS69</f>
        <v>-36697.452729232682</v>
      </c>
      <c r="BO34" s="8">
        <f>Portfolio!BT69</f>
        <v>-36697.452729232682</v>
      </c>
      <c r="BP34" s="8">
        <f>Portfolio!BU69</f>
        <v>-36697.452729232682</v>
      </c>
      <c r="BQ34" s="8">
        <f>Portfolio!BV69</f>
        <v>-36697.452729232682</v>
      </c>
      <c r="BR34" s="8">
        <f>Portfolio!BW69</f>
        <v>-36697.452729232682</v>
      </c>
      <c r="BS34" s="8">
        <f>Portfolio!BX69</f>
        <v>-35442.83896071191</v>
      </c>
      <c r="BT34" s="8">
        <f>Portfolio!BY69</f>
        <v>-37026.913366721012</v>
      </c>
      <c r="BU34" s="8">
        <f>Portfolio!BZ69</f>
        <v>-37026.913366721012</v>
      </c>
      <c r="BV34" s="8">
        <f>Portfolio!CA69</f>
        <v>-37026.913366721012</v>
      </c>
      <c r="BW34" s="8">
        <f>Portfolio!CB69</f>
        <v>-37026.913366721012</v>
      </c>
      <c r="BX34" s="8">
        <f>Portfolio!CC69</f>
        <v>-37026.913366721012</v>
      </c>
      <c r="BY34" s="8">
        <f>Portfolio!CD69</f>
        <v>-35716.226167899033</v>
      </c>
      <c r="BZ34" s="8"/>
      <c r="CA34" s="8"/>
      <c r="CB34" s="8"/>
    </row>
    <row r="35" spans="5:80" ht="12" customHeight="1" x14ac:dyDescent="0.3">
      <c r="E35" s="2" t="s">
        <v>184</v>
      </c>
      <c r="I35" s="8">
        <f>Portfolio!N70</f>
        <v>-300000</v>
      </c>
      <c r="J35" s="8">
        <f>Portfolio!O70</f>
        <v>-307402.9315068493</v>
      </c>
      <c r="K35" s="8">
        <f>Portfolio!P70</f>
        <v>-314526.42595964728</v>
      </c>
      <c r="L35" s="8">
        <f>Portfolio!Q70</f>
        <v>-321272.71619579918</v>
      </c>
      <c r="M35" s="8">
        <f>Portfolio!R70</f>
        <v>-327569.22133362567</v>
      </c>
      <c r="N35" s="8">
        <f>Portfolio!S70</f>
        <v>-333924.15397249005</v>
      </c>
      <c r="O35" s="8"/>
      <c r="P35" s="8"/>
      <c r="Q35" s="8">
        <f>Portfolio!V70</f>
        <v>0</v>
      </c>
      <c r="R35" s="8">
        <f>Portfolio!W70</f>
        <v>-25616.910958904111</v>
      </c>
      <c r="S35" s="8">
        <f>Portfolio!X70</f>
        <v>-25616.910958904111</v>
      </c>
      <c r="T35" s="8">
        <f>Portfolio!Y70</f>
        <v>-25616.910958904111</v>
      </c>
      <c r="U35" s="8">
        <f>Portfolio!Z70</f>
        <v>-25616.910958904111</v>
      </c>
      <c r="V35" s="8">
        <f>Portfolio!AA70</f>
        <v>-25616.910958904111</v>
      </c>
      <c r="W35" s="8">
        <f>Portfolio!AB70</f>
        <v>-25616.910958904111</v>
      </c>
      <c r="X35" s="8">
        <f>Portfolio!AC70</f>
        <v>-25616.910958904111</v>
      </c>
      <c r="Y35" s="8">
        <f>Portfolio!AD70</f>
        <v>-25616.910958904111</v>
      </c>
      <c r="Z35" s="8">
        <f>Portfolio!AE70</f>
        <v>-25616.910958904111</v>
      </c>
      <c r="AA35" s="8">
        <f>Portfolio!AF70</f>
        <v>-25616.910958904111</v>
      </c>
      <c r="AB35" s="8">
        <f>Portfolio!AG70</f>
        <v>-25616.910958904111</v>
      </c>
      <c r="AC35" s="8">
        <f>Portfolio!AH70</f>
        <v>-25616.910958904111</v>
      </c>
      <c r="AD35" s="8">
        <f>Portfolio!AI70</f>
        <v>-26210.535496637269</v>
      </c>
      <c r="AE35" s="8">
        <f>Portfolio!AJ70</f>
        <v>-26210.535496637269</v>
      </c>
      <c r="AF35" s="8">
        <f>Portfolio!AK70</f>
        <v>-26210.535496637269</v>
      </c>
      <c r="AG35" s="8">
        <f>Portfolio!AL70</f>
        <v>-26210.535496637269</v>
      </c>
      <c r="AH35" s="8">
        <f>Portfolio!AM70</f>
        <v>-26210.535496637269</v>
      </c>
      <c r="AI35" s="8">
        <f>Portfolio!AN70</f>
        <v>-26210.535496637269</v>
      </c>
      <c r="AJ35" s="8">
        <f>Portfolio!AO70</f>
        <v>-26210.535496637269</v>
      </c>
      <c r="AK35" s="8">
        <f>Portfolio!AP70</f>
        <v>-26210.535496637269</v>
      </c>
      <c r="AL35" s="8">
        <f>Portfolio!AQ70</f>
        <v>-26210.535496637269</v>
      </c>
      <c r="AM35" s="8">
        <f>Portfolio!AR70</f>
        <v>-26210.535496637269</v>
      </c>
      <c r="AN35" s="8">
        <f>Portfolio!AS70</f>
        <v>-26210.535496637269</v>
      </c>
      <c r="AO35" s="8">
        <f>Portfolio!AT70</f>
        <v>-26210.535496637269</v>
      </c>
      <c r="AP35" s="8">
        <f>Portfolio!AU70</f>
        <v>-26772.726349649933</v>
      </c>
      <c r="AQ35" s="8">
        <f>Portfolio!AV70</f>
        <v>-26772.726349649933</v>
      </c>
      <c r="AR35" s="8">
        <f>Portfolio!AW70</f>
        <v>-26772.726349649933</v>
      </c>
      <c r="AS35" s="8">
        <f>Portfolio!AX70</f>
        <v>-26772.726349649933</v>
      </c>
      <c r="AT35" s="8">
        <f>Portfolio!AY70</f>
        <v>-26772.726349649933</v>
      </c>
      <c r="AU35" s="8">
        <f>Portfolio!AZ70</f>
        <v>-26772.726349649933</v>
      </c>
      <c r="AV35" s="8">
        <f>Portfolio!BA70</f>
        <v>-26772.726349649933</v>
      </c>
      <c r="AW35" s="8">
        <f>Portfolio!BB70</f>
        <v>-26772.726349649933</v>
      </c>
      <c r="AX35" s="8">
        <f>Portfolio!BC70</f>
        <v>-26772.726349649933</v>
      </c>
      <c r="AY35" s="8">
        <f>Portfolio!BD70</f>
        <v>-26772.726349649933</v>
      </c>
      <c r="AZ35" s="8">
        <f>Portfolio!BE70</f>
        <v>-26772.726349649933</v>
      </c>
      <c r="BA35" s="8">
        <f>Portfolio!BF70</f>
        <v>-26772.726349649933</v>
      </c>
      <c r="BB35" s="8">
        <f>Portfolio!BG70</f>
        <v>-27297.43511113547</v>
      </c>
      <c r="BC35" s="8">
        <f>Portfolio!BH70</f>
        <v>-27297.43511113547</v>
      </c>
      <c r="BD35" s="8">
        <f>Portfolio!BI70</f>
        <v>-27297.43511113547</v>
      </c>
      <c r="BE35" s="8">
        <f>Portfolio!BJ70</f>
        <v>-27297.43511113547</v>
      </c>
      <c r="BF35" s="8">
        <f>Portfolio!BK70</f>
        <v>-27297.43511113547</v>
      </c>
      <c r="BG35" s="8">
        <f>Portfolio!BL70</f>
        <v>-27297.43511113547</v>
      </c>
      <c r="BH35" s="8">
        <f>Portfolio!BM70</f>
        <v>-27297.43511113547</v>
      </c>
      <c r="BI35" s="8">
        <f>Portfolio!BN70</f>
        <v>-27297.43511113547</v>
      </c>
      <c r="BJ35" s="8">
        <f>Portfolio!BO70</f>
        <v>-27297.43511113547</v>
      </c>
      <c r="BK35" s="8">
        <f>Portfolio!BP70</f>
        <v>-27297.43511113547</v>
      </c>
      <c r="BL35" s="8">
        <f>Portfolio!BQ70</f>
        <v>-27297.43511113547</v>
      </c>
      <c r="BM35" s="8">
        <f>Portfolio!BR70</f>
        <v>-27297.43511113547</v>
      </c>
      <c r="BN35" s="8">
        <f>Portfolio!BS70</f>
        <v>-27827.012831040844</v>
      </c>
      <c r="BO35" s="8">
        <f>Portfolio!BT70</f>
        <v>-27827.012831040844</v>
      </c>
      <c r="BP35" s="8">
        <f>Portfolio!BU70</f>
        <v>-27827.012831040844</v>
      </c>
      <c r="BQ35" s="8">
        <f>Portfolio!BV70</f>
        <v>-27827.012831040844</v>
      </c>
      <c r="BR35" s="8">
        <f>Portfolio!BW70</f>
        <v>-27827.012831040844</v>
      </c>
      <c r="BS35" s="8">
        <f>Portfolio!BX70</f>
        <v>-27827.012831040844</v>
      </c>
      <c r="BT35" s="8">
        <f>Portfolio!BY70</f>
        <v>-27827.012831040844</v>
      </c>
      <c r="BU35" s="8">
        <f>Portfolio!BZ70</f>
        <v>-27827.012831040844</v>
      </c>
      <c r="BV35" s="8">
        <f>Portfolio!CA70</f>
        <v>-27827.012831040844</v>
      </c>
      <c r="BW35" s="8">
        <f>Portfolio!CB70</f>
        <v>-27827.012831040844</v>
      </c>
      <c r="BX35" s="8">
        <f>Portfolio!CC70</f>
        <v>-27827.012831040844</v>
      </c>
      <c r="BY35" s="8">
        <f>Portfolio!CD70</f>
        <v>-27827.012831040844</v>
      </c>
      <c r="BZ35" s="8"/>
      <c r="CA35" s="8"/>
      <c r="CB35" s="8"/>
    </row>
    <row r="36" spans="5:80" ht="12" customHeight="1" x14ac:dyDescent="0.3">
      <c r="E36" s="62" t="s">
        <v>293</v>
      </c>
      <c r="F36" s="62"/>
      <c r="G36" s="62"/>
      <c r="H36" s="62"/>
      <c r="I36" s="64">
        <f t="shared" ref="I36:N36" si="10">I31+SUM(I33:I35)</f>
        <v>22357241.776880126</v>
      </c>
      <c r="J36" s="64">
        <f t="shared" si="10"/>
        <v>24010388.403817061</v>
      </c>
      <c r="K36" s="64">
        <f t="shared" si="10"/>
        <v>24277398.070436373</v>
      </c>
      <c r="L36" s="64">
        <f t="shared" si="10"/>
        <v>24401591.961723424</v>
      </c>
      <c r="M36" s="64">
        <f t="shared" si="10"/>
        <v>24370076.45617114</v>
      </c>
      <c r="N36" s="64">
        <f t="shared" si="10"/>
        <v>24214089.130628966</v>
      </c>
      <c r="O36" s="64"/>
      <c r="P36" s="64"/>
      <c r="Q36" s="64">
        <f t="shared" ref="Q36:AV36" si="11">Q31+SUM(Q33:Q35)</f>
        <v>0</v>
      </c>
      <c r="R36" s="64">
        <f t="shared" si="11"/>
        <v>2008018.0505279195</v>
      </c>
      <c r="S36" s="64">
        <f t="shared" si="11"/>
        <v>2008018.0505279195</v>
      </c>
      <c r="T36" s="64">
        <f t="shared" si="11"/>
        <v>2008018.0505279195</v>
      </c>
      <c r="U36" s="64">
        <f t="shared" si="11"/>
        <v>2008018.0505279195</v>
      </c>
      <c r="V36" s="64">
        <f t="shared" si="11"/>
        <v>2008018.0505279195</v>
      </c>
      <c r="W36" s="64">
        <f t="shared" si="11"/>
        <v>1953224.3897047008</v>
      </c>
      <c r="X36" s="64">
        <f t="shared" si="11"/>
        <v>2012249.2825336016</v>
      </c>
      <c r="Y36" s="64">
        <f t="shared" si="11"/>
        <v>2012249.2825336016</v>
      </c>
      <c r="Z36" s="64">
        <f t="shared" si="11"/>
        <v>2012249.2825336016</v>
      </c>
      <c r="AA36" s="64">
        <f t="shared" si="11"/>
        <v>2012249.2825336016</v>
      </c>
      <c r="AB36" s="64">
        <f t="shared" si="11"/>
        <v>2012249.2825336016</v>
      </c>
      <c r="AC36" s="64">
        <f t="shared" si="11"/>
        <v>1955827.3488047572</v>
      </c>
      <c r="AD36" s="64">
        <f t="shared" si="11"/>
        <v>2026395.6818653378</v>
      </c>
      <c r="AE36" s="64">
        <f t="shared" si="11"/>
        <v>2026395.6818653378</v>
      </c>
      <c r="AF36" s="64">
        <f t="shared" si="11"/>
        <v>2026395.6818653378</v>
      </c>
      <c r="AG36" s="64">
        <f t="shared" si="11"/>
        <v>2026395.6818653378</v>
      </c>
      <c r="AH36" s="64">
        <f t="shared" si="11"/>
        <v>2026395.6818653378</v>
      </c>
      <c r="AI36" s="64">
        <f t="shared" si="11"/>
        <v>1967950.0854779333</v>
      </c>
      <c r="AJ36" s="64">
        <f t="shared" si="11"/>
        <v>2039668.1885387665</v>
      </c>
      <c r="AK36" s="64">
        <f t="shared" si="11"/>
        <v>2039668.1885387665</v>
      </c>
      <c r="AL36" s="64">
        <f t="shared" si="11"/>
        <v>2039668.1885387665</v>
      </c>
      <c r="AM36" s="64">
        <f t="shared" si="11"/>
        <v>2039668.1885387665</v>
      </c>
      <c r="AN36" s="64">
        <f t="shared" si="11"/>
        <v>2039668.1885387665</v>
      </c>
      <c r="AO36" s="64">
        <f t="shared" si="11"/>
        <v>1979128.6329379086</v>
      </c>
      <c r="AP36" s="64">
        <f t="shared" si="11"/>
        <v>2033365.0944522214</v>
      </c>
      <c r="AQ36" s="64">
        <f t="shared" si="11"/>
        <v>2033365.0944522214</v>
      </c>
      <c r="AR36" s="64">
        <f t="shared" si="11"/>
        <v>2033365.0944522214</v>
      </c>
      <c r="AS36" s="64">
        <f t="shared" si="11"/>
        <v>2033365.0944522214</v>
      </c>
      <c r="AT36" s="64">
        <f t="shared" si="11"/>
        <v>2033365.0944522214</v>
      </c>
      <c r="AU36" s="64">
        <f t="shared" si="11"/>
        <v>1971172.5557621978</v>
      </c>
      <c r="AV36" s="64">
        <f t="shared" si="11"/>
        <v>2054729.5645652993</v>
      </c>
      <c r="AW36" s="64">
        <f t="shared" ref="AW36:BY36" si="12">AW31+SUM(AW33:AW35)</f>
        <v>2054729.5645652993</v>
      </c>
      <c r="AX36" s="64">
        <f t="shared" si="12"/>
        <v>2054729.5645652993</v>
      </c>
      <c r="AY36" s="64">
        <f t="shared" si="12"/>
        <v>2054729.5645652993</v>
      </c>
      <c r="AZ36" s="64">
        <f t="shared" si="12"/>
        <v>2054729.5645652993</v>
      </c>
      <c r="BA36" s="64">
        <f t="shared" si="12"/>
        <v>1989946.1108736286</v>
      </c>
      <c r="BB36" s="64">
        <f t="shared" si="12"/>
        <v>2027926.446951993</v>
      </c>
      <c r="BC36" s="64">
        <f t="shared" si="12"/>
        <v>2027926.446951993</v>
      </c>
      <c r="BD36" s="64">
        <f t="shared" si="12"/>
        <v>2027926.446951993</v>
      </c>
      <c r="BE36" s="64">
        <f t="shared" si="12"/>
        <v>2027926.446951993</v>
      </c>
      <c r="BF36" s="64">
        <f t="shared" si="12"/>
        <v>2027926.446951993</v>
      </c>
      <c r="BG36" s="64">
        <f t="shared" si="12"/>
        <v>1961905.9625281412</v>
      </c>
      <c r="BH36" s="64">
        <f t="shared" si="12"/>
        <v>2056279.7563573695</v>
      </c>
      <c r="BI36" s="64">
        <f t="shared" si="12"/>
        <v>2056279.7563573695</v>
      </c>
      <c r="BJ36" s="64">
        <f t="shared" si="12"/>
        <v>2056279.7563573695</v>
      </c>
      <c r="BK36" s="64">
        <f t="shared" si="12"/>
        <v>2056279.7563573695</v>
      </c>
      <c r="BL36" s="64">
        <f t="shared" si="12"/>
        <v>2056279.7563573695</v>
      </c>
      <c r="BM36" s="64">
        <f t="shared" si="12"/>
        <v>1987139.4770961879</v>
      </c>
      <c r="BN36" s="64">
        <f t="shared" si="12"/>
        <v>2012831.8349635939</v>
      </c>
      <c r="BO36" s="64">
        <f t="shared" si="12"/>
        <v>2012831.8349635939</v>
      </c>
      <c r="BP36" s="64">
        <f t="shared" si="12"/>
        <v>2012831.8349635939</v>
      </c>
      <c r="BQ36" s="64">
        <f t="shared" si="12"/>
        <v>2012831.8349635939</v>
      </c>
      <c r="BR36" s="64">
        <f t="shared" si="12"/>
        <v>2012831.8349635939</v>
      </c>
      <c r="BS36" s="64">
        <f t="shared" si="12"/>
        <v>1942789.8287579312</v>
      </c>
      <c r="BT36" s="64">
        <f t="shared" si="12"/>
        <v>2046810.7147525295</v>
      </c>
      <c r="BU36" s="64">
        <f t="shared" si="12"/>
        <v>2046810.7147525295</v>
      </c>
      <c r="BV36" s="64">
        <f t="shared" si="12"/>
        <v>2046810.7147525295</v>
      </c>
      <c r="BW36" s="64">
        <f t="shared" si="12"/>
        <v>2046810.7147525295</v>
      </c>
      <c r="BX36" s="64">
        <f t="shared" si="12"/>
        <v>2046810.7147525295</v>
      </c>
      <c r="BY36" s="64">
        <f t="shared" si="12"/>
        <v>1973086.5532904211</v>
      </c>
      <c r="BZ36" s="8"/>
      <c r="CA36" s="8"/>
      <c r="CB36" s="8"/>
    </row>
    <row r="37" spans="5:80" ht="12" customHeight="1" x14ac:dyDescent="0.3">
      <c r="E37" s="2"/>
      <c r="I37" s="8"/>
      <c r="J37" s="8"/>
      <c r="K37" s="8"/>
      <c r="L37" s="8"/>
      <c r="M37" s="8"/>
      <c r="N37" s="8"/>
      <c r="O37" s="8"/>
      <c r="P37" s="8"/>
      <c r="Q37" s="8"/>
      <c r="R37" s="8"/>
      <c r="S37" s="8"/>
      <c r="T37" s="8"/>
      <c r="U37" s="8"/>
      <c r="V37" s="8"/>
      <c r="W37" s="8"/>
      <c r="X37" s="8"/>
      <c r="Y37" s="8"/>
      <c r="Z37" s="8"/>
      <c r="AA37" s="8"/>
      <c r="AB37" s="8"/>
      <c r="AC37" s="8"/>
      <c r="AD37" s="8"/>
      <c r="AE37" s="8"/>
      <c r="AF37" s="8"/>
      <c r="AG37" s="8"/>
      <c r="AH37" s="8"/>
      <c r="AI37" s="8"/>
      <c r="AJ37" s="8"/>
      <c r="AK37" s="8"/>
      <c r="AL37" s="8"/>
      <c r="AM37" s="8"/>
      <c r="AN37" s="8"/>
      <c r="AO37" s="8"/>
      <c r="AP37" s="8"/>
      <c r="AQ37" s="8"/>
      <c r="AR37" s="8"/>
      <c r="AS37" s="8"/>
      <c r="AT37" s="8"/>
      <c r="AU37" s="8"/>
      <c r="AV37" s="8"/>
      <c r="AW37" s="8"/>
      <c r="AX37" s="8"/>
      <c r="AY37" s="8"/>
      <c r="AZ37" s="8"/>
      <c r="BA37" s="8"/>
      <c r="BB37" s="8"/>
      <c r="BC37" s="8"/>
      <c r="BD37" s="8"/>
      <c r="BE37" s="8"/>
      <c r="BF37" s="8"/>
      <c r="BG37" s="8"/>
      <c r="BH37" s="8"/>
      <c r="BI37" s="8"/>
      <c r="BJ37" s="8"/>
      <c r="BK37" s="8"/>
      <c r="BL37" s="8"/>
      <c r="BM37" s="8"/>
      <c r="BN37" s="8"/>
      <c r="BO37" s="8"/>
      <c r="BP37" s="8"/>
      <c r="BQ37" s="8"/>
      <c r="BR37" s="8"/>
      <c r="BS37" s="8"/>
      <c r="BT37" s="8"/>
      <c r="BU37" s="8"/>
      <c r="BV37" s="8"/>
      <c r="BW37" s="8"/>
      <c r="BX37" s="8"/>
      <c r="BY37" s="8"/>
      <c r="BZ37" s="8"/>
      <c r="CA37" s="8"/>
      <c r="CB37" s="8"/>
    </row>
    <row r="38" spans="5:80" ht="12" customHeight="1" x14ac:dyDescent="0.3">
      <c r="E38" s="2" t="s">
        <v>219</v>
      </c>
      <c r="I38" s="8">
        <f>Portfolio!N74</f>
        <v>-1391870.9220779222</v>
      </c>
      <c r="J38" s="8">
        <f>Portfolio!O74</f>
        <v>-1597966.6417299686</v>
      </c>
      <c r="K38" s="8">
        <f>Portfolio!P74</f>
        <v>-1546113.4246865364</v>
      </c>
      <c r="L38" s="8">
        <f>Portfolio!Q74</f>
        <v>-1488519.2320715429</v>
      </c>
      <c r="M38" s="8">
        <f>Portfolio!R74</f>
        <v>-1425078.231778247</v>
      </c>
      <c r="N38" s="8">
        <f>Portfolio!S74</f>
        <v>-1356831.1811536034</v>
      </c>
      <c r="O38" s="8"/>
      <c r="P38" s="8"/>
      <c r="Q38" s="8">
        <f>Portfolio!V74</f>
        <v>0</v>
      </c>
      <c r="R38" s="8">
        <f>Portfolio!W74</f>
        <v>0</v>
      </c>
      <c r="S38" s="8">
        <f>Portfolio!X74</f>
        <v>0</v>
      </c>
      <c r="T38" s="8">
        <f>Portfolio!Y74</f>
        <v>0</v>
      </c>
      <c r="U38" s="8">
        <f>Portfolio!Z74</f>
        <v>0</v>
      </c>
      <c r="V38" s="8">
        <f>Portfolio!AA74</f>
        <v>0</v>
      </c>
      <c r="W38" s="8">
        <f>Portfolio!AB74</f>
        <v>-1597966.6417299686</v>
      </c>
      <c r="X38" s="8">
        <f>Portfolio!AC74</f>
        <v>0</v>
      </c>
      <c r="Y38" s="8">
        <f>Portfolio!AD74</f>
        <v>0</v>
      </c>
      <c r="Z38" s="8">
        <f>Portfolio!AE74</f>
        <v>0</v>
      </c>
      <c r="AA38" s="8">
        <f>Portfolio!AF74</f>
        <v>0</v>
      </c>
      <c r="AB38" s="8">
        <f>Portfolio!AG74</f>
        <v>0</v>
      </c>
      <c r="AC38" s="8">
        <f>Portfolio!AH74</f>
        <v>0</v>
      </c>
      <c r="AD38" s="8">
        <f>Portfolio!AI74</f>
        <v>0</v>
      </c>
      <c r="AE38" s="8">
        <f>Portfolio!AJ74</f>
        <v>0</v>
      </c>
      <c r="AF38" s="8">
        <f>Portfolio!AK74</f>
        <v>0</v>
      </c>
      <c r="AG38" s="8">
        <f>Portfolio!AL74</f>
        <v>0</v>
      </c>
      <c r="AH38" s="8">
        <f>Portfolio!AM74</f>
        <v>0</v>
      </c>
      <c r="AI38" s="8">
        <f>Portfolio!AN74</f>
        <v>-1546113.4246865364</v>
      </c>
      <c r="AJ38" s="8">
        <f>Portfolio!AO74</f>
        <v>0</v>
      </c>
      <c r="AK38" s="8">
        <f>Portfolio!AP74</f>
        <v>0</v>
      </c>
      <c r="AL38" s="8">
        <f>Portfolio!AQ74</f>
        <v>0</v>
      </c>
      <c r="AM38" s="8">
        <f>Portfolio!AR74</f>
        <v>0</v>
      </c>
      <c r="AN38" s="8">
        <f>Portfolio!AS74</f>
        <v>0</v>
      </c>
      <c r="AO38" s="8">
        <f>Portfolio!AT74</f>
        <v>0</v>
      </c>
      <c r="AP38" s="8">
        <f>Portfolio!AU74</f>
        <v>0</v>
      </c>
      <c r="AQ38" s="8">
        <f>Portfolio!AV74</f>
        <v>0</v>
      </c>
      <c r="AR38" s="8">
        <f>Portfolio!AW74</f>
        <v>0</v>
      </c>
      <c r="AS38" s="8">
        <f>Portfolio!AX74</f>
        <v>0</v>
      </c>
      <c r="AT38" s="8">
        <f>Portfolio!AY74</f>
        <v>0</v>
      </c>
      <c r="AU38" s="8">
        <f>Portfolio!AZ74</f>
        <v>-1488519.2320715429</v>
      </c>
      <c r="AV38" s="8">
        <f>Portfolio!BA74</f>
        <v>0</v>
      </c>
      <c r="AW38" s="8">
        <f>Portfolio!BB74</f>
        <v>0</v>
      </c>
      <c r="AX38" s="8">
        <f>Portfolio!BC74</f>
        <v>0</v>
      </c>
      <c r="AY38" s="8">
        <f>Portfolio!BD74</f>
        <v>0</v>
      </c>
      <c r="AZ38" s="8">
        <f>Portfolio!BE74</f>
        <v>0</v>
      </c>
      <c r="BA38" s="8">
        <f>Portfolio!BF74</f>
        <v>0</v>
      </c>
      <c r="BB38" s="8">
        <f>Portfolio!BG74</f>
        <v>0</v>
      </c>
      <c r="BC38" s="8">
        <f>Portfolio!BH74</f>
        <v>0</v>
      </c>
      <c r="BD38" s="8">
        <f>Portfolio!BI74</f>
        <v>0</v>
      </c>
      <c r="BE38" s="8">
        <f>Portfolio!BJ74</f>
        <v>0</v>
      </c>
      <c r="BF38" s="8">
        <f>Portfolio!BK74</f>
        <v>0</v>
      </c>
      <c r="BG38" s="8">
        <f>Portfolio!BL74</f>
        <v>-1425078.231778247</v>
      </c>
      <c r="BH38" s="8">
        <f>Portfolio!BM74</f>
        <v>0</v>
      </c>
      <c r="BI38" s="8">
        <f>Portfolio!BN74</f>
        <v>0</v>
      </c>
      <c r="BJ38" s="8">
        <f>Portfolio!BO74</f>
        <v>0</v>
      </c>
      <c r="BK38" s="8">
        <f>Portfolio!BP74</f>
        <v>0</v>
      </c>
      <c r="BL38" s="8">
        <f>Portfolio!BQ74</f>
        <v>0</v>
      </c>
      <c r="BM38" s="8">
        <f>Portfolio!BR74</f>
        <v>0</v>
      </c>
      <c r="BN38" s="8">
        <f>Portfolio!BS74</f>
        <v>0</v>
      </c>
      <c r="BO38" s="8">
        <f>Portfolio!BT74</f>
        <v>0</v>
      </c>
      <c r="BP38" s="8">
        <f>Portfolio!BU74</f>
        <v>0</v>
      </c>
      <c r="BQ38" s="8">
        <f>Portfolio!BV74</f>
        <v>0</v>
      </c>
      <c r="BR38" s="8">
        <f>Portfolio!BW74</f>
        <v>0</v>
      </c>
      <c r="BS38" s="8">
        <f>Portfolio!BX74</f>
        <v>-1356831.1811536034</v>
      </c>
      <c r="BT38" s="8">
        <f>Portfolio!BY74</f>
        <v>0</v>
      </c>
      <c r="BU38" s="8">
        <f>Portfolio!BZ74</f>
        <v>0</v>
      </c>
      <c r="BV38" s="8">
        <f>Portfolio!CA74</f>
        <v>0</v>
      </c>
      <c r="BW38" s="8">
        <f>Portfolio!CB74</f>
        <v>0</v>
      </c>
      <c r="BX38" s="8">
        <f>Portfolio!CC74</f>
        <v>0</v>
      </c>
      <c r="BY38" s="8">
        <f>Portfolio!CD74</f>
        <v>0</v>
      </c>
      <c r="BZ38" s="8"/>
      <c r="CA38" s="8"/>
      <c r="CB38" s="8"/>
    </row>
    <row r="39" spans="5:80" ht="12" customHeight="1" x14ac:dyDescent="0.3">
      <c r="E39" s="2" t="s">
        <v>185</v>
      </c>
      <c r="I39" s="8">
        <f>Portfolio!N75</f>
        <v>0</v>
      </c>
      <c r="J39" s="8">
        <f>Portfolio!O75</f>
        <v>21007264.528569944</v>
      </c>
      <c r="K39" s="8">
        <f>Portfolio!P75</f>
        <v>22302772.979129054</v>
      </c>
      <c r="L39" s="8">
        <f>Portfolio!Q75</f>
        <v>23631372.312853575</v>
      </c>
      <c r="M39" s="8">
        <f>Portfolio!R75</f>
        <v>24988347.567784414</v>
      </c>
      <c r="N39" s="8">
        <f>Portfolio!S75</f>
        <v>26412338.759761043</v>
      </c>
      <c r="O39" s="8"/>
      <c r="P39" s="8"/>
      <c r="Q39" s="8">
        <f>Portfolio!V75</f>
        <v>0</v>
      </c>
      <c r="R39" s="8">
        <f>Portfolio!W75</f>
        <v>0</v>
      </c>
      <c r="S39" s="8">
        <f>Portfolio!X75</f>
        <v>0</v>
      </c>
      <c r="T39" s="8">
        <f>Portfolio!Y75</f>
        <v>0</v>
      </c>
      <c r="U39" s="8">
        <f>Portfolio!Z75</f>
        <v>0</v>
      </c>
      <c r="V39" s="8">
        <f>Portfolio!AA75</f>
        <v>10375982.280759742</v>
      </c>
      <c r="W39" s="8">
        <f>Portfolio!AB75</f>
        <v>0</v>
      </c>
      <c r="X39" s="8">
        <f>Portfolio!AC75</f>
        <v>0</v>
      </c>
      <c r="Y39" s="8">
        <f>Portfolio!AD75</f>
        <v>0</v>
      </c>
      <c r="Z39" s="8">
        <f>Portfolio!AE75</f>
        <v>0</v>
      </c>
      <c r="AA39" s="8">
        <f>Portfolio!AF75</f>
        <v>0</v>
      </c>
      <c r="AB39" s="8">
        <f>Portfolio!AG75</f>
        <v>10631282.247810202</v>
      </c>
      <c r="AC39" s="8">
        <f>Portfolio!AH75</f>
        <v>0</v>
      </c>
      <c r="AD39" s="8">
        <f>Portfolio!AI75</f>
        <v>0</v>
      </c>
      <c r="AE39" s="8">
        <f>Portfolio!AJ75</f>
        <v>0</v>
      </c>
      <c r="AF39" s="8">
        <f>Portfolio!AK75</f>
        <v>0</v>
      </c>
      <c r="AG39" s="8">
        <f>Portfolio!AL75</f>
        <v>0</v>
      </c>
      <c r="AH39" s="8">
        <f>Portfolio!AM75</f>
        <v>10987228.590617323</v>
      </c>
      <c r="AI39" s="8">
        <f>Portfolio!AN75</f>
        <v>0</v>
      </c>
      <c r="AJ39" s="8">
        <f>Portfolio!AO75</f>
        <v>0</v>
      </c>
      <c r="AK39" s="8">
        <f>Portfolio!AP75</f>
        <v>0</v>
      </c>
      <c r="AL39" s="8">
        <f>Portfolio!AQ75</f>
        <v>0</v>
      </c>
      <c r="AM39" s="8">
        <f>Portfolio!AR75</f>
        <v>0</v>
      </c>
      <c r="AN39" s="8">
        <f>Portfolio!AS75</f>
        <v>11315544.388511732</v>
      </c>
      <c r="AO39" s="8">
        <f>Portfolio!AT75</f>
        <v>0</v>
      </c>
      <c r="AP39" s="8">
        <f>Portfolio!AU75</f>
        <v>0</v>
      </c>
      <c r="AQ39" s="8">
        <f>Portfolio!AV75</f>
        <v>0</v>
      </c>
      <c r="AR39" s="8">
        <f>Portfolio!AW75</f>
        <v>0</v>
      </c>
      <c r="AS39" s="8">
        <f>Portfolio!AX75</f>
        <v>0</v>
      </c>
      <c r="AT39" s="8">
        <f>Portfolio!AY75</f>
        <v>11612568.941779938</v>
      </c>
      <c r="AU39" s="8">
        <f>Portfolio!AZ75</f>
        <v>0</v>
      </c>
      <c r="AV39" s="8">
        <f>Portfolio!BA75</f>
        <v>0</v>
      </c>
      <c r="AW39" s="8">
        <f>Portfolio!BB75</f>
        <v>0</v>
      </c>
      <c r="AX39" s="8">
        <f>Portfolio!BC75</f>
        <v>0</v>
      </c>
      <c r="AY39" s="8">
        <f>Portfolio!BD75</f>
        <v>0</v>
      </c>
      <c r="AZ39" s="8">
        <f>Portfolio!BE75</f>
        <v>12018803.371073635</v>
      </c>
      <c r="BA39" s="8">
        <f>Portfolio!BF75</f>
        <v>0</v>
      </c>
      <c r="BB39" s="8">
        <f>Portfolio!BG75</f>
        <v>0</v>
      </c>
      <c r="BC39" s="8">
        <f>Portfolio!BH75</f>
        <v>0</v>
      </c>
      <c r="BD39" s="8">
        <f>Portfolio!BI75</f>
        <v>0</v>
      </c>
      <c r="BE39" s="8">
        <f>Portfolio!BJ75</f>
        <v>0</v>
      </c>
      <c r="BF39" s="8">
        <f>Portfolio!BK75</f>
        <v>12249594.537863156</v>
      </c>
      <c r="BG39" s="8">
        <f>Portfolio!BL75</f>
        <v>0</v>
      </c>
      <c r="BH39" s="8">
        <f>Portfolio!BM75</f>
        <v>0</v>
      </c>
      <c r="BI39" s="8">
        <f>Portfolio!BN75</f>
        <v>0</v>
      </c>
      <c r="BJ39" s="8">
        <f>Portfolio!BO75</f>
        <v>0</v>
      </c>
      <c r="BK39" s="8">
        <f>Portfolio!BP75</f>
        <v>0</v>
      </c>
      <c r="BL39" s="8">
        <f>Portfolio!BQ75</f>
        <v>12738753.029921256</v>
      </c>
      <c r="BM39" s="8">
        <f>Portfolio!BR75</f>
        <v>0</v>
      </c>
      <c r="BN39" s="8">
        <f>Portfolio!BS75</f>
        <v>0</v>
      </c>
      <c r="BO39" s="8">
        <f>Portfolio!BT75</f>
        <v>0</v>
      </c>
      <c r="BP39" s="8">
        <f>Portfolio!BU75</f>
        <v>0</v>
      </c>
      <c r="BQ39" s="8">
        <f>Portfolio!BV75</f>
        <v>0</v>
      </c>
      <c r="BR39" s="8">
        <f>Portfolio!BW75</f>
        <v>12917503.360689906</v>
      </c>
      <c r="BS39" s="8">
        <f>Portfolio!BX75</f>
        <v>0</v>
      </c>
      <c r="BT39" s="8">
        <f>Portfolio!BY75</f>
        <v>0</v>
      </c>
      <c r="BU39" s="8">
        <f>Portfolio!BZ75</f>
        <v>0</v>
      </c>
      <c r="BV39" s="8">
        <f>Portfolio!CA75</f>
        <v>0</v>
      </c>
      <c r="BW39" s="8">
        <f>Portfolio!CB75</f>
        <v>0</v>
      </c>
      <c r="BX39" s="8">
        <f>Portfolio!CC75</f>
        <v>13494835.399071135</v>
      </c>
      <c r="BY39" s="8">
        <f>Portfolio!CD75</f>
        <v>0</v>
      </c>
      <c r="BZ39" s="8"/>
      <c r="CA39" s="8"/>
      <c r="CB39" s="8"/>
    </row>
    <row r="40" spans="5:80" ht="12" customHeight="1" x14ac:dyDescent="0.3">
      <c r="E40" s="2" t="s">
        <v>370</v>
      </c>
      <c r="I40" s="8">
        <f>Portfolio!N76</f>
        <v>0</v>
      </c>
      <c r="J40" s="8">
        <f>Portfolio!O76</f>
        <v>833333.33333333337</v>
      </c>
      <c r="K40" s="8">
        <f>Portfolio!P76</f>
        <v>2500000</v>
      </c>
      <c r="L40" s="8">
        <f>Portfolio!Q76</f>
        <v>4166666.666666667</v>
      </c>
      <c r="M40" s="8">
        <f>Portfolio!R76</f>
        <v>5000000</v>
      </c>
      <c r="N40" s="8">
        <f>Portfolio!S76</f>
        <v>5000000</v>
      </c>
      <c r="O40" s="8"/>
      <c r="P40" s="8"/>
      <c r="Q40" s="8">
        <f>Portfolio!V76</f>
        <v>0</v>
      </c>
      <c r="R40" s="8">
        <f>Portfolio!W76</f>
        <v>0</v>
      </c>
      <c r="S40" s="8">
        <f>Portfolio!X76</f>
        <v>0</v>
      </c>
      <c r="T40" s="8">
        <f>Portfolio!Y76</f>
        <v>0</v>
      </c>
      <c r="U40" s="8">
        <f>Portfolio!Z76</f>
        <v>0</v>
      </c>
      <c r="V40" s="8">
        <f>Portfolio!AA76</f>
        <v>0</v>
      </c>
      <c r="W40" s="8">
        <f>Portfolio!AB76</f>
        <v>0</v>
      </c>
      <c r="X40" s="8">
        <f>Portfolio!AC76</f>
        <v>0</v>
      </c>
      <c r="Y40" s="8">
        <f>Portfolio!AD76</f>
        <v>0</v>
      </c>
      <c r="Z40" s="8">
        <f>Portfolio!AE76</f>
        <v>0</v>
      </c>
      <c r="AA40" s="8">
        <f>Portfolio!AF76</f>
        <v>0</v>
      </c>
      <c r="AB40" s="8">
        <f>Portfolio!AG76</f>
        <v>833333.33333333337</v>
      </c>
      <c r="AC40" s="8">
        <f>Portfolio!AH76</f>
        <v>0</v>
      </c>
      <c r="AD40" s="8">
        <f>Portfolio!AI76</f>
        <v>0</v>
      </c>
      <c r="AE40" s="8">
        <f>Portfolio!AJ76</f>
        <v>0</v>
      </c>
      <c r="AF40" s="8">
        <f>Portfolio!AK76</f>
        <v>0</v>
      </c>
      <c r="AG40" s="8">
        <f>Portfolio!AL76</f>
        <v>0</v>
      </c>
      <c r="AH40" s="8">
        <f>Portfolio!AM76</f>
        <v>833333.33333333337</v>
      </c>
      <c r="AI40" s="8">
        <f>Portfolio!AN76</f>
        <v>0</v>
      </c>
      <c r="AJ40" s="8">
        <f>Portfolio!AO76</f>
        <v>0</v>
      </c>
      <c r="AK40" s="8">
        <f>Portfolio!AP76</f>
        <v>0</v>
      </c>
      <c r="AL40" s="8">
        <f>Portfolio!AQ76</f>
        <v>0</v>
      </c>
      <c r="AM40" s="8">
        <f>Portfolio!AR76</f>
        <v>0</v>
      </c>
      <c r="AN40" s="8">
        <f>Portfolio!AS76</f>
        <v>1666666.6666666667</v>
      </c>
      <c r="AO40" s="8">
        <f>Portfolio!AT76</f>
        <v>0</v>
      </c>
      <c r="AP40" s="8">
        <f>Portfolio!AU76</f>
        <v>0</v>
      </c>
      <c r="AQ40" s="8">
        <f>Portfolio!AV76</f>
        <v>0</v>
      </c>
      <c r="AR40" s="8">
        <f>Portfolio!AW76</f>
        <v>0</v>
      </c>
      <c r="AS40" s="8">
        <f>Portfolio!AX76</f>
        <v>0</v>
      </c>
      <c r="AT40" s="8">
        <f>Portfolio!AY76</f>
        <v>1666666.6666666667</v>
      </c>
      <c r="AU40" s="8">
        <f>Portfolio!AZ76</f>
        <v>0</v>
      </c>
      <c r="AV40" s="8">
        <f>Portfolio!BA76</f>
        <v>0</v>
      </c>
      <c r="AW40" s="8">
        <f>Portfolio!BB76</f>
        <v>0</v>
      </c>
      <c r="AX40" s="8">
        <f>Portfolio!BC76</f>
        <v>0</v>
      </c>
      <c r="AY40" s="8">
        <f>Portfolio!BD76</f>
        <v>0</v>
      </c>
      <c r="AZ40" s="8">
        <f>Portfolio!BE76</f>
        <v>2500000</v>
      </c>
      <c r="BA40" s="8">
        <f>Portfolio!BF76</f>
        <v>0</v>
      </c>
      <c r="BB40" s="8">
        <f>Portfolio!BG76</f>
        <v>0</v>
      </c>
      <c r="BC40" s="8">
        <f>Portfolio!BH76</f>
        <v>0</v>
      </c>
      <c r="BD40" s="8">
        <f>Portfolio!BI76</f>
        <v>0</v>
      </c>
      <c r="BE40" s="8">
        <f>Portfolio!BJ76</f>
        <v>0</v>
      </c>
      <c r="BF40" s="8">
        <f>Portfolio!BK76</f>
        <v>2500000</v>
      </c>
      <c r="BG40" s="8">
        <f>Portfolio!BL76</f>
        <v>0</v>
      </c>
      <c r="BH40" s="8">
        <f>Portfolio!BM76</f>
        <v>0</v>
      </c>
      <c r="BI40" s="8">
        <f>Portfolio!BN76</f>
        <v>0</v>
      </c>
      <c r="BJ40" s="8">
        <f>Portfolio!BO76</f>
        <v>0</v>
      </c>
      <c r="BK40" s="8">
        <f>Portfolio!BP76</f>
        <v>0</v>
      </c>
      <c r="BL40" s="8">
        <f>Portfolio!BQ76</f>
        <v>2500000</v>
      </c>
      <c r="BM40" s="8">
        <f>Portfolio!BR76</f>
        <v>0</v>
      </c>
      <c r="BN40" s="8">
        <f>Portfolio!BS76</f>
        <v>0</v>
      </c>
      <c r="BO40" s="8">
        <f>Portfolio!BT76</f>
        <v>0</v>
      </c>
      <c r="BP40" s="8">
        <f>Portfolio!BU76</f>
        <v>0</v>
      </c>
      <c r="BQ40" s="8">
        <f>Portfolio!BV76</f>
        <v>0</v>
      </c>
      <c r="BR40" s="8">
        <f>Portfolio!BW76</f>
        <v>2500000</v>
      </c>
      <c r="BS40" s="8">
        <f>Portfolio!BX76</f>
        <v>0</v>
      </c>
      <c r="BT40" s="8">
        <f>Portfolio!BY76</f>
        <v>0</v>
      </c>
      <c r="BU40" s="8">
        <f>Portfolio!BZ76</f>
        <v>0</v>
      </c>
      <c r="BV40" s="8">
        <f>Portfolio!CA76</f>
        <v>0</v>
      </c>
      <c r="BW40" s="8">
        <f>Portfolio!CB76</f>
        <v>0</v>
      </c>
      <c r="BX40" s="8">
        <f>Portfolio!CC76</f>
        <v>2500000</v>
      </c>
      <c r="BY40" s="8">
        <f>Portfolio!CD76</f>
        <v>0</v>
      </c>
      <c r="BZ40" s="8"/>
      <c r="CA40" s="8"/>
      <c r="CB40" s="8"/>
    </row>
    <row r="41" spans="5:80" ht="12" customHeight="1" x14ac:dyDescent="0.3">
      <c r="E41" s="62" t="s">
        <v>71</v>
      </c>
      <c r="F41" s="62"/>
      <c r="G41" s="62"/>
      <c r="H41" s="62"/>
      <c r="I41" s="64">
        <f t="shared" ref="I41:N41" si="13">I36+SUM(I38:I40)</f>
        <v>20965370.854802206</v>
      </c>
      <c r="J41" s="64">
        <f t="shared" si="13"/>
        <v>44253019.623990372</v>
      </c>
      <c r="K41" s="64">
        <f t="shared" si="13"/>
        <v>47534057.624878891</v>
      </c>
      <c r="L41" s="64">
        <f t="shared" si="13"/>
        <v>50711111.70917213</v>
      </c>
      <c r="M41" s="64">
        <f t="shared" si="13"/>
        <v>52933345.792177305</v>
      </c>
      <c r="N41" s="64">
        <f t="shared" si="13"/>
        <v>54269596.709236406</v>
      </c>
      <c r="O41" s="64"/>
      <c r="P41" s="64"/>
      <c r="Q41" s="64">
        <f t="shared" ref="Q41:AV41" si="14">Q36+SUM(Q38:Q40)</f>
        <v>0</v>
      </c>
      <c r="R41" s="64">
        <f t="shared" si="14"/>
        <v>2008018.0505279195</v>
      </c>
      <c r="S41" s="64">
        <f t="shared" si="14"/>
        <v>2008018.0505279195</v>
      </c>
      <c r="T41" s="64">
        <f t="shared" si="14"/>
        <v>2008018.0505279195</v>
      </c>
      <c r="U41" s="64">
        <f t="shared" si="14"/>
        <v>2008018.0505279195</v>
      </c>
      <c r="V41" s="64">
        <f t="shared" si="14"/>
        <v>12384000.331287662</v>
      </c>
      <c r="W41" s="64">
        <f t="shared" si="14"/>
        <v>355257.74797473219</v>
      </c>
      <c r="X41" s="64">
        <f t="shared" si="14"/>
        <v>2012249.2825336016</v>
      </c>
      <c r="Y41" s="64">
        <f t="shared" si="14"/>
        <v>2012249.2825336016</v>
      </c>
      <c r="Z41" s="64">
        <f t="shared" si="14"/>
        <v>2012249.2825336016</v>
      </c>
      <c r="AA41" s="64">
        <f t="shared" si="14"/>
        <v>2012249.2825336016</v>
      </c>
      <c r="AB41" s="64">
        <f t="shared" si="14"/>
        <v>13476864.863677137</v>
      </c>
      <c r="AC41" s="64">
        <f t="shared" si="14"/>
        <v>1955827.3488047572</v>
      </c>
      <c r="AD41" s="64">
        <f t="shared" si="14"/>
        <v>2026395.6818653378</v>
      </c>
      <c r="AE41" s="64">
        <f t="shared" si="14"/>
        <v>2026395.6818653378</v>
      </c>
      <c r="AF41" s="64">
        <f t="shared" si="14"/>
        <v>2026395.6818653378</v>
      </c>
      <c r="AG41" s="64">
        <f t="shared" si="14"/>
        <v>2026395.6818653378</v>
      </c>
      <c r="AH41" s="64">
        <f t="shared" si="14"/>
        <v>13846957.605815995</v>
      </c>
      <c r="AI41" s="64">
        <f t="shared" si="14"/>
        <v>421836.66079139686</v>
      </c>
      <c r="AJ41" s="64">
        <f t="shared" si="14"/>
        <v>2039668.1885387665</v>
      </c>
      <c r="AK41" s="64">
        <f t="shared" si="14"/>
        <v>2039668.1885387665</v>
      </c>
      <c r="AL41" s="64">
        <f t="shared" si="14"/>
        <v>2039668.1885387665</v>
      </c>
      <c r="AM41" s="64">
        <f t="shared" si="14"/>
        <v>2039668.1885387665</v>
      </c>
      <c r="AN41" s="64">
        <f t="shared" si="14"/>
        <v>15021879.243717164</v>
      </c>
      <c r="AO41" s="64">
        <f t="shared" si="14"/>
        <v>1979128.6329379086</v>
      </c>
      <c r="AP41" s="64">
        <f t="shared" si="14"/>
        <v>2033365.0944522214</v>
      </c>
      <c r="AQ41" s="64">
        <f t="shared" si="14"/>
        <v>2033365.0944522214</v>
      </c>
      <c r="AR41" s="64">
        <f t="shared" si="14"/>
        <v>2033365.0944522214</v>
      </c>
      <c r="AS41" s="64">
        <f t="shared" si="14"/>
        <v>2033365.0944522214</v>
      </c>
      <c r="AT41" s="64">
        <f t="shared" si="14"/>
        <v>15312600.702898825</v>
      </c>
      <c r="AU41" s="64">
        <f t="shared" si="14"/>
        <v>482653.32369065494</v>
      </c>
      <c r="AV41" s="64">
        <f t="shared" si="14"/>
        <v>2054729.5645652993</v>
      </c>
      <c r="AW41" s="64">
        <f t="shared" ref="AW41:BY41" si="15">AW36+SUM(AW38:AW40)</f>
        <v>2054729.5645652993</v>
      </c>
      <c r="AX41" s="64">
        <f t="shared" si="15"/>
        <v>2054729.5645652993</v>
      </c>
      <c r="AY41" s="64">
        <f t="shared" si="15"/>
        <v>2054729.5645652993</v>
      </c>
      <c r="AZ41" s="64">
        <f t="shared" si="15"/>
        <v>16573532.935638934</v>
      </c>
      <c r="BA41" s="64">
        <f t="shared" si="15"/>
        <v>1989946.1108736286</v>
      </c>
      <c r="BB41" s="64">
        <f t="shared" si="15"/>
        <v>2027926.446951993</v>
      </c>
      <c r="BC41" s="64">
        <f t="shared" si="15"/>
        <v>2027926.446951993</v>
      </c>
      <c r="BD41" s="64">
        <f t="shared" si="15"/>
        <v>2027926.446951993</v>
      </c>
      <c r="BE41" s="64">
        <f t="shared" si="15"/>
        <v>2027926.446951993</v>
      </c>
      <c r="BF41" s="64">
        <f t="shared" si="15"/>
        <v>16777520.98481515</v>
      </c>
      <c r="BG41" s="64">
        <f t="shared" si="15"/>
        <v>536827.73074989417</v>
      </c>
      <c r="BH41" s="64">
        <f t="shared" si="15"/>
        <v>2056279.7563573695</v>
      </c>
      <c r="BI41" s="64">
        <f t="shared" si="15"/>
        <v>2056279.7563573695</v>
      </c>
      <c r="BJ41" s="64">
        <f t="shared" si="15"/>
        <v>2056279.7563573695</v>
      </c>
      <c r="BK41" s="64">
        <f t="shared" si="15"/>
        <v>2056279.7563573695</v>
      </c>
      <c r="BL41" s="64">
        <f t="shared" si="15"/>
        <v>17295032.786278624</v>
      </c>
      <c r="BM41" s="64">
        <f t="shared" si="15"/>
        <v>1987139.4770961879</v>
      </c>
      <c r="BN41" s="64">
        <f t="shared" si="15"/>
        <v>2012831.8349635939</v>
      </c>
      <c r="BO41" s="64">
        <f t="shared" si="15"/>
        <v>2012831.8349635939</v>
      </c>
      <c r="BP41" s="64">
        <f t="shared" si="15"/>
        <v>2012831.8349635939</v>
      </c>
      <c r="BQ41" s="64">
        <f t="shared" si="15"/>
        <v>2012831.8349635939</v>
      </c>
      <c r="BR41" s="64">
        <f t="shared" si="15"/>
        <v>17430335.195653502</v>
      </c>
      <c r="BS41" s="64">
        <f t="shared" si="15"/>
        <v>585958.64760432788</v>
      </c>
      <c r="BT41" s="64">
        <f t="shared" si="15"/>
        <v>2046810.7147525295</v>
      </c>
      <c r="BU41" s="64">
        <f t="shared" si="15"/>
        <v>2046810.7147525295</v>
      </c>
      <c r="BV41" s="64">
        <f t="shared" si="15"/>
        <v>2046810.7147525295</v>
      </c>
      <c r="BW41" s="64">
        <f t="shared" si="15"/>
        <v>2046810.7147525295</v>
      </c>
      <c r="BX41" s="66">
        <f t="shared" si="15"/>
        <v>18041646.113823663</v>
      </c>
      <c r="BY41" s="64">
        <f t="shared" si="15"/>
        <v>1973086.5532904211</v>
      </c>
      <c r="BZ41" s="8"/>
      <c r="CA41" s="8"/>
      <c r="CB41" s="8"/>
    </row>
    <row r="42" spans="5:80" ht="12" customHeight="1" x14ac:dyDescent="0.3">
      <c r="I42" s="8"/>
      <c r="J42" s="8"/>
      <c r="K42" s="8"/>
      <c r="L42" s="8"/>
      <c r="M42" s="8"/>
      <c r="N42" s="8"/>
      <c r="O42" s="8"/>
      <c r="P42" s="8"/>
      <c r="Q42" s="8"/>
      <c r="R42" s="8"/>
      <c r="S42" s="8"/>
      <c r="T42" s="8"/>
      <c r="U42" s="8"/>
      <c r="V42" s="8"/>
      <c r="W42" s="8"/>
      <c r="X42" s="8"/>
      <c r="Y42" s="8"/>
      <c r="Z42" s="8"/>
      <c r="AA42" s="8"/>
      <c r="AB42" s="8"/>
      <c r="AC42" s="8"/>
      <c r="AD42" s="8"/>
      <c r="AE42" s="8"/>
      <c r="AF42" s="8"/>
      <c r="AG42" s="8"/>
      <c r="AH42" s="8"/>
      <c r="AI42" s="8"/>
      <c r="AJ42" s="8"/>
      <c r="AK42" s="8"/>
      <c r="AL42" s="8"/>
      <c r="AM42" s="8"/>
      <c r="AN42" s="8"/>
      <c r="AO42" s="8"/>
      <c r="AP42" s="8"/>
      <c r="AQ42" s="8"/>
      <c r="AR42" s="8"/>
      <c r="AS42" s="8"/>
      <c r="AT42" s="8"/>
      <c r="AU42" s="8"/>
      <c r="AV42" s="8"/>
      <c r="AW42" s="8"/>
      <c r="AX42" s="8"/>
      <c r="AY42" s="8"/>
      <c r="AZ42" s="8"/>
      <c r="BA42" s="8"/>
      <c r="BB42" s="8"/>
      <c r="BC42" s="8"/>
      <c r="BD42" s="8"/>
      <c r="BE42" s="8"/>
      <c r="BF42" s="8"/>
      <c r="BG42" s="8"/>
      <c r="BH42" s="8"/>
      <c r="BI42" s="8"/>
      <c r="BJ42" s="8"/>
      <c r="BK42" s="8"/>
      <c r="BL42" s="8"/>
      <c r="BM42" s="8"/>
      <c r="BN42" s="8"/>
      <c r="BO42" s="8"/>
      <c r="BP42" s="8"/>
      <c r="BQ42" s="8"/>
      <c r="BR42" s="8"/>
      <c r="BS42" s="8"/>
      <c r="BT42" s="8"/>
      <c r="BU42" s="8"/>
      <c r="BV42" s="8"/>
      <c r="BW42" s="8"/>
      <c r="BX42" s="8"/>
      <c r="BY42" s="8"/>
      <c r="BZ42" s="8"/>
      <c r="CA42" s="8"/>
      <c r="CB42" s="8"/>
    </row>
    <row r="43" spans="5:80" ht="12" customHeight="1" x14ac:dyDescent="0.3">
      <c r="E43" s="3" t="s">
        <v>214</v>
      </c>
      <c r="I43" s="8">
        <f t="shared" ref="I43:N43" si="16">SUMIFS($Q43:$BY43,$Q$18:$BY$18,I$19)</f>
        <v>-346019304.43837708</v>
      </c>
      <c r="J43" s="8">
        <f t="shared" si="16"/>
        <v>0</v>
      </c>
      <c r="K43" s="8">
        <f t="shared" si="16"/>
        <v>0</v>
      </c>
      <c r="L43" s="8">
        <f t="shared" si="16"/>
        <v>0</v>
      </c>
      <c r="M43" s="8">
        <f t="shared" si="16"/>
        <v>0</v>
      </c>
      <c r="N43" s="8">
        <f t="shared" si="16"/>
        <v>0</v>
      </c>
      <c r="O43" s="8"/>
      <c r="P43" s="8"/>
      <c r="Q43" s="8">
        <f t="shared" ref="Q43:AV43" si="17">IF(Q$20=$I$5,-$I$28*$I$6,0)</f>
        <v>-346019304.43837708</v>
      </c>
      <c r="R43" s="8">
        <f t="shared" si="17"/>
        <v>0</v>
      </c>
      <c r="S43" s="8">
        <f t="shared" si="17"/>
        <v>0</v>
      </c>
      <c r="T43" s="8">
        <f t="shared" si="17"/>
        <v>0</v>
      </c>
      <c r="U43" s="8">
        <f t="shared" si="17"/>
        <v>0</v>
      </c>
      <c r="V43" s="8">
        <f t="shared" si="17"/>
        <v>0</v>
      </c>
      <c r="W43" s="8">
        <f t="shared" si="17"/>
        <v>0</v>
      </c>
      <c r="X43" s="8">
        <f t="shared" si="17"/>
        <v>0</v>
      </c>
      <c r="Y43" s="8">
        <f t="shared" si="17"/>
        <v>0</v>
      </c>
      <c r="Z43" s="8">
        <f t="shared" si="17"/>
        <v>0</v>
      </c>
      <c r="AA43" s="8">
        <f t="shared" si="17"/>
        <v>0</v>
      </c>
      <c r="AB43" s="8">
        <f t="shared" si="17"/>
        <v>0</v>
      </c>
      <c r="AC43" s="8">
        <f t="shared" si="17"/>
        <v>0</v>
      </c>
      <c r="AD43" s="8">
        <f t="shared" si="17"/>
        <v>0</v>
      </c>
      <c r="AE43" s="8">
        <f t="shared" si="17"/>
        <v>0</v>
      </c>
      <c r="AF43" s="8">
        <f t="shared" si="17"/>
        <v>0</v>
      </c>
      <c r="AG43" s="8">
        <f t="shared" si="17"/>
        <v>0</v>
      </c>
      <c r="AH43" s="8">
        <f t="shared" si="17"/>
        <v>0</v>
      </c>
      <c r="AI43" s="8">
        <f t="shared" si="17"/>
        <v>0</v>
      </c>
      <c r="AJ43" s="8">
        <f t="shared" si="17"/>
        <v>0</v>
      </c>
      <c r="AK43" s="8">
        <f t="shared" si="17"/>
        <v>0</v>
      </c>
      <c r="AL43" s="8">
        <f t="shared" si="17"/>
        <v>0</v>
      </c>
      <c r="AM43" s="8">
        <f t="shared" si="17"/>
        <v>0</v>
      </c>
      <c r="AN43" s="8">
        <f t="shared" si="17"/>
        <v>0</v>
      </c>
      <c r="AO43" s="8">
        <f t="shared" si="17"/>
        <v>0</v>
      </c>
      <c r="AP43" s="8">
        <f t="shared" si="17"/>
        <v>0</v>
      </c>
      <c r="AQ43" s="8">
        <f t="shared" si="17"/>
        <v>0</v>
      </c>
      <c r="AR43" s="8">
        <f t="shared" si="17"/>
        <v>0</v>
      </c>
      <c r="AS43" s="8">
        <f t="shared" si="17"/>
        <v>0</v>
      </c>
      <c r="AT43" s="8">
        <f t="shared" si="17"/>
        <v>0</v>
      </c>
      <c r="AU43" s="8">
        <f t="shared" si="17"/>
        <v>0</v>
      </c>
      <c r="AV43" s="8">
        <f t="shared" si="17"/>
        <v>0</v>
      </c>
      <c r="AW43" s="8">
        <f t="shared" ref="AW43:BY43" si="18">IF(AW$20=$I$5,-$I$28*$I$6,0)</f>
        <v>0</v>
      </c>
      <c r="AX43" s="8">
        <f t="shared" si="18"/>
        <v>0</v>
      </c>
      <c r="AY43" s="8">
        <f t="shared" si="18"/>
        <v>0</v>
      </c>
      <c r="AZ43" s="8">
        <f t="shared" si="18"/>
        <v>0</v>
      </c>
      <c r="BA43" s="8">
        <f t="shared" si="18"/>
        <v>0</v>
      </c>
      <c r="BB43" s="8">
        <f t="shared" si="18"/>
        <v>0</v>
      </c>
      <c r="BC43" s="8">
        <f t="shared" si="18"/>
        <v>0</v>
      </c>
      <c r="BD43" s="8">
        <f t="shared" si="18"/>
        <v>0</v>
      </c>
      <c r="BE43" s="8">
        <f t="shared" si="18"/>
        <v>0</v>
      </c>
      <c r="BF43" s="8">
        <f t="shared" si="18"/>
        <v>0</v>
      </c>
      <c r="BG43" s="8">
        <f t="shared" si="18"/>
        <v>0</v>
      </c>
      <c r="BH43" s="8">
        <f t="shared" si="18"/>
        <v>0</v>
      </c>
      <c r="BI43" s="8">
        <f t="shared" si="18"/>
        <v>0</v>
      </c>
      <c r="BJ43" s="8">
        <f t="shared" si="18"/>
        <v>0</v>
      </c>
      <c r="BK43" s="8">
        <f t="shared" si="18"/>
        <v>0</v>
      </c>
      <c r="BL43" s="8">
        <f t="shared" si="18"/>
        <v>0</v>
      </c>
      <c r="BM43" s="8">
        <f t="shared" si="18"/>
        <v>0</v>
      </c>
      <c r="BN43" s="8">
        <f t="shared" si="18"/>
        <v>0</v>
      </c>
      <c r="BO43" s="8">
        <f t="shared" si="18"/>
        <v>0</v>
      </c>
      <c r="BP43" s="8">
        <f t="shared" si="18"/>
        <v>0</v>
      </c>
      <c r="BQ43" s="8">
        <f t="shared" si="18"/>
        <v>0</v>
      </c>
      <c r="BR43" s="8">
        <f t="shared" si="18"/>
        <v>0</v>
      </c>
      <c r="BS43" s="8">
        <f t="shared" si="18"/>
        <v>0</v>
      </c>
      <c r="BT43" s="8">
        <f t="shared" si="18"/>
        <v>0</v>
      </c>
      <c r="BU43" s="8">
        <f t="shared" si="18"/>
        <v>0</v>
      </c>
      <c r="BV43" s="8">
        <f t="shared" si="18"/>
        <v>0</v>
      </c>
      <c r="BW43" s="8">
        <f t="shared" si="18"/>
        <v>0</v>
      </c>
      <c r="BX43" s="8">
        <f t="shared" si="18"/>
        <v>0</v>
      </c>
      <c r="BY43" s="8">
        <f t="shared" si="18"/>
        <v>0</v>
      </c>
      <c r="BZ43" s="8"/>
      <c r="CA43" s="8"/>
      <c r="CB43" s="8"/>
    </row>
    <row r="44" spans="5:80" ht="12" customHeight="1" x14ac:dyDescent="0.3">
      <c r="E44" s="2" t="s">
        <v>210</v>
      </c>
      <c r="I44" s="8">
        <f t="shared" ref="I44:N45" si="19">SUMIFS($Q44:$BY44,$Q$18:$BY$18,I$19)</f>
        <v>0</v>
      </c>
      <c r="J44" s="8">
        <f t="shared" si="19"/>
        <v>0</v>
      </c>
      <c r="K44" s="8">
        <f t="shared" si="19"/>
        <v>0</v>
      </c>
      <c r="L44" s="8">
        <f t="shared" si="19"/>
        <v>0</v>
      </c>
      <c r="M44" s="8">
        <f t="shared" si="19"/>
        <v>0</v>
      </c>
      <c r="N44" s="8">
        <f t="shared" si="19"/>
        <v>342875771.21183085</v>
      </c>
      <c r="O44" s="8"/>
      <c r="P44" s="8"/>
      <c r="Q44" s="8">
        <f t="shared" ref="Q44:AV44" si="20">IF(Q$20=$I$11,Q28*12*$I$10,0)</f>
        <v>0</v>
      </c>
      <c r="R44" s="8">
        <f t="shared" si="20"/>
        <v>0</v>
      </c>
      <c r="S44" s="8">
        <f t="shared" si="20"/>
        <v>0</v>
      </c>
      <c r="T44" s="8">
        <f t="shared" si="20"/>
        <v>0</v>
      </c>
      <c r="U44" s="8">
        <f t="shared" si="20"/>
        <v>0</v>
      </c>
      <c r="V44" s="8">
        <f t="shared" si="20"/>
        <v>0</v>
      </c>
      <c r="W44" s="8">
        <f t="shared" si="20"/>
        <v>0</v>
      </c>
      <c r="X44" s="8">
        <f t="shared" si="20"/>
        <v>0</v>
      </c>
      <c r="Y44" s="8">
        <f t="shared" si="20"/>
        <v>0</v>
      </c>
      <c r="Z44" s="8">
        <f t="shared" si="20"/>
        <v>0</v>
      </c>
      <c r="AA44" s="8">
        <f t="shared" si="20"/>
        <v>0</v>
      </c>
      <c r="AB44" s="8">
        <f t="shared" si="20"/>
        <v>0</v>
      </c>
      <c r="AC44" s="8">
        <f t="shared" si="20"/>
        <v>0</v>
      </c>
      <c r="AD44" s="8">
        <f t="shared" si="20"/>
        <v>0</v>
      </c>
      <c r="AE44" s="8">
        <f t="shared" si="20"/>
        <v>0</v>
      </c>
      <c r="AF44" s="8">
        <f t="shared" si="20"/>
        <v>0</v>
      </c>
      <c r="AG44" s="8">
        <f t="shared" si="20"/>
        <v>0</v>
      </c>
      <c r="AH44" s="8">
        <f t="shared" si="20"/>
        <v>0</v>
      </c>
      <c r="AI44" s="8">
        <f t="shared" si="20"/>
        <v>0</v>
      </c>
      <c r="AJ44" s="8">
        <f t="shared" si="20"/>
        <v>0</v>
      </c>
      <c r="AK44" s="8">
        <f t="shared" si="20"/>
        <v>0</v>
      </c>
      <c r="AL44" s="8">
        <f t="shared" si="20"/>
        <v>0</v>
      </c>
      <c r="AM44" s="8">
        <f t="shared" si="20"/>
        <v>0</v>
      </c>
      <c r="AN44" s="8">
        <f t="shared" si="20"/>
        <v>0</v>
      </c>
      <c r="AO44" s="8">
        <f t="shared" si="20"/>
        <v>0</v>
      </c>
      <c r="AP44" s="8">
        <f t="shared" si="20"/>
        <v>0</v>
      </c>
      <c r="AQ44" s="8">
        <f t="shared" si="20"/>
        <v>0</v>
      </c>
      <c r="AR44" s="8">
        <f t="shared" si="20"/>
        <v>0</v>
      </c>
      <c r="AS44" s="8">
        <f t="shared" si="20"/>
        <v>0</v>
      </c>
      <c r="AT44" s="8">
        <f t="shared" si="20"/>
        <v>0</v>
      </c>
      <c r="AU44" s="8">
        <f t="shared" si="20"/>
        <v>0</v>
      </c>
      <c r="AV44" s="8">
        <f t="shared" si="20"/>
        <v>0</v>
      </c>
      <c r="AW44" s="8">
        <f t="shared" ref="AW44:BY44" si="21">IF(AW$20=$I$11,AW28*12*$I$10,0)</f>
        <v>0</v>
      </c>
      <c r="AX44" s="8">
        <f t="shared" si="21"/>
        <v>0</v>
      </c>
      <c r="AY44" s="8">
        <f t="shared" si="21"/>
        <v>0</v>
      </c>
      <c r="AZ44" s="8">
        <f t="shared" si="21"/>
        <v>0</v>
      </c>
      <c r="BA44" s="8">
        <f t="shared" si="21"/>
        <v>0</v>
      </c>
      <c r="BB44" s="8">
        <f t="shared" si="21"/>
        <v>0</v>
      </c>
      <c r="BC44" s="8">
        <f t="shared" si="21"/>
        <v>0</v>
      </c>
      <c r="BD44" s="8">
        <f t="shared" si="21"/>
        <v>0</v>
      </c>
      <c r="BE44" s="8">
        <f t="shared" si="21"/>
        <v>0</v>
      </c>
      <c r="BF44" s="8">
        <f t="shared" si="21"/>
        <v>0</v>
      </c>
      <c r="BG44" s="8">
        <f t="shared" si="21"/>
        <v>0</v>
      </c>
      <c r="BH44" s="8">
        <f t="shared" si="21"/>
        <v>0</v>
      </c>
      <c r="BI44" s="8">
        <f t="shared" si="21"/>
        <v>0</v>
      </c>
      <c r="BJ44" s="8">
        <f t="shared" si="21"/>
        <v>0</v>
      </c>
      <c r="BK44" s="8">
        <f t="shared" si="21"/>
        <v>0</v>
      </c>
      <c r="BL44" s="8">
        <f t="shared" si="21"/>
        <v>0</v>
      </c>
      <c r="BM44" s="8">
        <f t="shared" si="21"/>
        <v>0</v>
      </c>
      <c r="BN44" s="8">
        <f t="shared" si="21"/>
        <v>0</v>
      </c>
      <c r="BO44" s="8">
        <f t="shared" si="21"/>
        <v>0</v>
      </c>
      <c r="BP44" s="8">
        <f t="shared" si="21"/>
        <v>0</v>
      </c>
      <c r="BQ44" s="8">
        <f t="shared" si="21"/>
        <v>0</v>
      </c>
      <c r="BR44" s="8">
        <f t="shared" si="21"/>
        <v>0</v>
      </c>
      <c r="BS44" s="8">
        <f t="shared" si="21"/>
        <v>0</v>
      </c>
      <c r="BT44" s="8">
        <f t="shared" si="21"/>
        <v>0</v>
      </c>
      <c r="BU44" s="8">
        <f t="shared" si="21"/>
        <v>0</v>
      </c>
      <c r="BV44" s="8">
        <f t="shared" si="21"/>
        <v>0</v>
      </c>
      <c r="BW44" s="8">
        <f t="shared" si="21"/>
        <v>0</v>
      </c>
      <c r="BX44" s="8">
        <f t="shared" si="21"/>
        <v>0</v>
      </c>
      <c r="BY44" s="8">
        <f t="shared" si="21"/>
        <v>342875771.21183085</v>
      </c>
      <c r="BZ44" s="8"/>
      <c r="CA44" s="8"/>
      <c r="CB44" s="8"/>
    </row>
    <row r="45" spans="5:80" ht="12" customHeight="1" x14ac:dyDescent="0.3">
      <c r="E45" s="2" t="s">
        <v>260</v>
      </c>
      <c r="I45" s="8">
        <f t="shared" si="19"/>
        <v>-3460193.0443837708</v>
      </c>
      <c r="J45" s="8">
        <f t="shared" si="19"/>
        <v>0</v>
      </c>
      <c r="K45" s="8">
        <f t="shared" si="19"/>
        <v>0</v>
      </c>
      <c r="L45" s="8">
        <f t="shared" si="19"/>
        <v>0</v>
      </c>
      <c r="M45" s="8">
        <f t="shared" si="19"/>
        <v>0</v>
      </c>
      <c r="N45" s="8">
        <f t="shared" si="19"/>
        <v>-3428757.7121183085</v>
      </c>
      <c r="O45" s="8"/>
      <c r="P45" s="8"/>
      <c r="Q45" s="8">
        <f t="shared" ref="Q45:AV45" si="22">Q43*$I$7+-Q44*$I$12</f>
        <v>-3460193.0443837708</v>
      </c>
      <c r="R45" s="8">
        <f t="shared" si="22"/>
        <v>0</v>
      </c>
      <c r="S45" s="8">
        <f t="shared" si="22"/>
        <v>0</v>
      </c>
      <c r="T45" s="8">
        <f t="shared" si="22"/>
        <v>0</v>
      </c>
      <c r="U45" s="8">
        <f t="shared" si="22"/>
        <v>0</v>
      </c>
      <c r="V45" s="8">
        <f t="shared" si="22"/>
        <v>0</v>
      </c>
      <c r="W45" s="8">
        <f t="shared" si="22"/>
        <v>0</v>
      </c>
      <c r="X45" s="8">
        <f t="shared" si="22"/>
        <v>0</v>
      </c>
      <c r="Y45" s="8">
        <f t="shared" si="22"/>
        <v>0</v>
      </c>
      <c r="Z45" s="8">
        <f t="shared" si="22"/>
        <v>0</v>
      </c>
      <c r="AA45" s="8">
        <f t="shared" si="22"/>
        <v>0</v>
      </c>
      <c r="AB45" s="8">
        <f t="shared" si="22"/>
        <v>0</v>
      </c>
      <c r="AC45" s="8">
        <f t="shared" si="22"/>
        <v>0</v>
      </c>
      <c r="AD45" s="8">
        <f t="shared" si="22"/>
        <v>0</v>
      </c>
      <c r="AE45" s="8">
        <f t="shared" si="22"/>
        <v>0</v>
      </c>
      <c r="AF45" s="8">
        <f t="shared" si="22"/>
        <v>0</v>
      </c>
      <c r="AG45" s="8">
        <f t="shared" si="22"/>
        <v>0</v>
      </c>
      <c r="AH45" s="8">
        <f t="shared" si="22"/>
        <v>0</v>
      </c>
      <c r="AI45" s="8">
        <f t="shared" si="22"/>
        <v>0</v>
      </c>
      <c r="AJ45" s="8">
        <f t="shared" si="22"/>
        <v>0</v>
      </c>
      <c r="AK45" s="8">
        <f t="shared" si="22"/>
        <v>0</v>
      </c>
      <c r="AL45" s="8">
        <f t="shared" si="22"/>
        <v>0</v>
      </c>
      <c r="AM45" s="8">
        <f t="shared" si="22"/>
        <v>0</v>
      </c>
      <c r="AN45" s="8">
        <f t="shared" si="22"/>
        <v>0</v>
      </c>
      <c r="AO45" s="8">
        <f t="shared" si="22"/>
        <v>0</v>
      </c>
      <c r="AP45" s="8">
        <f t="shared" si="22"/>
        <v>0</v>
      </c>
      <c r="AQ45" s="8">
        <f t="shared" si="22"/>
        <v>0</v>
      </c>
      <c r="AR45" s="8">
        <f t="shared" si="22"/>
        <v>0</v>
      </c>
      <c r="AS45" s="8">
        <f t="shared" si="22"/>
        <v>0</v>
      </c>
      <c r="AT45" s="8">
        <f t="shared" si="22"/>
        <v>0</v>
      </c>
      <c r="AU45" s="8">
        <f t="shared" si="22"/>
        <v>0</v>
      </c>
      <c r="AV45" s="8">
        <f t="shared" si="22"/>
        <v>0</v>
      </c>
      <c r="AW45" s="8">
        <f t="shared" ref="AW45:BY45" si="23">AW43*$I$7+-AW44*$I$12</f>
        <v>0</v>
      </c>
      <c r="AX45" s="8">
        <f t="shared" si="23"/>
        <v>0</v>
      </c>
      <c r="AY45" s="8">
        <f t="shared" si="23"/>
        <v>0</v>
      </c>
      <c r="AZ45" s="8">
        <f t="shared" si="23"/>
        <v>0</v>
      </c>
      <c r="BA45" s="8">
        <f t="shared" si="23"/>
        <v>0</v>
      </c>
      <c r="BB45" s="8">
        <f t="shared" si="23"/>
        <v>0</v>
      </c>
      <c r="BC45" s="8">
        <f t="shared" si="23"/>
        <v>0</v>
      </c>
      <c r="BD45" s="8">
        <f t="shared" si="23"/>
        <v>0</v>
      </c>
      <c r="BE45" s="8">
        <f t="shared" si="23"/>
        <v>0</v>
      </c>
      <c r="BF45" s="8">
        <f t="shared" si="23"/>
        <v>0</v>
      </c>
      <c r="BG45" s="8">
        <f t="shared" si="23"/>
        <v>0</v>
      </c>
      <c r="BH45" s="8">
        <f t="shared" si="23"/>
        <v>0</v>
      </c>
      <c r="BI45" s="8">
        <f t="shared" si="23"/>
        <v>0</v>
      </c>
      <c r="BJ45" s="8">
        <f t="shared" si="23"/>
        <v>0</v>
      </c>
      <c r="BK45" s="8">
        <f t="shared" si="23"/>
        <v>0</v>
      </c>
      <c r="BL45" s="8">
        <f t="shared" si="23"/>
        <v>0</v>
      </c>
      <c r="BM45" s="8">
        <f t="shared" si="23"/>
        <v>0</v>
      </c>
      <c r="BN45" s="8">
        <f t="shared" si="23"/>
        <v>0</v>
      </c>
      <c r="BO45" s="8">
        <f t="shared" si="23"/>
        <v>0</v>
      </c>
      <c r="BP45" s="8">
        <f t="shared" si="23"/>
        <v>0</v>
      </c>
      <c r="BQ45" s="8">
        <f t="shared" si="23"/>
        <v>0</v>
      </c>
      <c r="BR45" s="8">
        <f t="shared" si="23"/>
        <v>0</v>
      </c>
      <c r="BS45" s="8">
        <f t="shared" si="23"/>
        <v>0</v>
      </c>
      <c r="BT45" s="8">
        <f t="shared" si="23"/>
        <v>0</v>
      </c>
      <c r="BU45" s="8">
        <f t="shared" si="23"/>
        <v>0</v>
      </c>
      <c r="BV45" s="8">
        <f t="shared" si="23"/>
        <v>0</v>
      </c>
      <c r="BW45" s="8">
        <f t="shared" si="23"/>
        <v>0</v>
      </c>
      <c r="BX45" s="8">
        <f t="shared" si="23"/>
        <v>0</v>
      </c>
      <c r="BY45" s="8">
        <f t="shared" si="23"/>
        <v>-3428757.7121183085</v>
      </c>
      <c r="BZ45" s="8"/>
      <c r="CA45" s="8"/>
      <c r="CB45" s="8"/>
    </row>
    <row r="46" spans="5:80" ht="12" customHeight="1" x14ac:dyDescent="0.3">
      <c r="E46" s="62" t="s">
        <v>349</v>
      </c>
      <c r="F46" s="62"/>
      <c r="G46" s="62"/>
      <c r="H46" s="62"/>
      <c r="I46" s="64">
        <f t="shared" ref="I46:N46" si="24">SUM(I41:I45)</f>
        <v>-328514126.62795866</v>
      </c>
      <c r="J46" s="64">
        <f t="shared" si="24"/>
        <v>44253019.623990372</v>
      </c>
      <c r="K46" s="64">
        <f t="shared" si="24"/>
        <v>47534057.624878891</v>
      </c>
      <c r="L46" s="64">
        <f t="shared" si="24"/>
        <v>50711111.70917213</v>
      </c>
      <c r="M46" s="64">
        <f t="shared" si="24"/>
        <v>52933345.792177305</v>
      </c>
      <c r="N46" s="64">
        <f t="shared" si="24"/>
        <v>393716610.20894891</v>
      </c>
      <c r="O46" s="64"/>
      <c r="P46" s="64"/>
      <c r="Q46" s="64">
        <f t="shared" ref="Q46:AV46" si="25">SUM(Q41:Q45)</f>
        <v>-349479497.48276085</v>
      </c>
      <c r="R46" s="64">
        <f t="shared" si="25"/>
        <v>2008018.0505279195</v>
      </c>
      <c r="S46" s="64">
        <f t="shared" si="25"/>
        <v>2008018.0505279195</v>
      </c>
      <c r="T46" s="64">
        <f t="shared" si="25"/>
        <v>2008018.0505279195</v>
      </c>
      <c r="U46" s="64">
        <f t="shared" si="25"/>
        <v>2008018.0505279195</v>
      </c>
      <c r="V46" s="64">
        <f t="shared" si="25"/>
        <v>12384000.331287662</v>
      </c>
      <c r="W46" s="64">
        <f t="shared" si="25"/>
        <v>355257.74797473219</v>
      </c>
      <c r="X46" s="64">
        <f t="shared" si="25"/>
        <v>2012249.2825336016</v>
      </c>
      <c r="Y46" s="64">
        <f t="shared" si="25"/>
        <v>2012249.2825336016</v>
      </c>
      <c r="Z46" s="64">
        <f t="shared" si="25"/>
        <v>2012249.2825336016</v>
      </c>
      <c r="AA46" s="64">
        <f t="shared" si="25"/>
        <v>2012249.2825336016</v>
      </c>
      <c r="AB46" s="64">
        <f t="shared" si="25"/>
        <v>13476864.863677137</v>
      </c>
      <c r="AC46" s="64">
        <f t="shared" si="25"/>
        <v>1955827.3488047572</v>
      </c>
      <c r="AD46" s="64">
        <f t="shared" si="25"/>
        <v>2026395.6818653378</v>
      </c>
      <c r="AE46" s="64">
        <f t="shared" si="25"/>
        <v>2026395.6818653378</v>
      </c>
      <c r="AF46" s="64">
        <f t="shared" si="25"/>
        <v>2026395.6818653378</v>
      </c>
      <c r="AG46" s="64">
        <f t="shared" si="25"/>
        <v>2026395.6818653378</v>
      </c>
      <c r="AH46" s="64">
        <f t="shared" si="25"/>
        <v>13846957.605815995</v>
      </c>
      <c r="AI46" s="64">
        <f t="shared" si="25"/>
        <v>421836.66079139686</v>
      </c>
      <c r="AJ46" s="64">
        <f t="shared" si="25"/>
        <v>2039668.1885387665</v>
      </c>
      <c r="AK46" s="64">
        <f t="shared" si="25"/>
        <v>2039668.1885387665</v>
      </c>
      <c r="AL46" s="64">
        <f t="shared" si="25"/>
        <v>2039668.1885387665</v>
      </c>
      <c r="AM46" s="64">
        <f t="shared" si="25"/>
        <v>2039668.1885387665</v>
      </c>
      <c r="AN46" s="64">
        <f t="shared" si="25"/>
        <v>15021879.243717164</v>
      </c>
      <c r="AO46" s="64">
        <f t="shared" si="25"/>
        <v>1979128.6329379086</v>
      </c>
      <c r="AP46" s="64">
        <f t="shared" si="25"/>
        <v>2033365.0944522214</v>
      </c>
      <c r="AQ46" s="64">
        <f t="shared" si="25"/>
        <v>2033365.0944522214</v>
      </c>
      <c r="AR46" s="64">
        <f t="shared" si="25"/>
        <v>2033365.0944522214</v>
      </c>
      <c r="AS46" s="64">
        <f t="shared" si="25"/>
        <v>2033365.0944522214</v>
      </c>
      <c r="AT46" s="64">
        <f t="shared" si="25"/>
        <v>15312600.702898825</v>
      </c>
      <c r="AU46" s="64">
        <f t="shared" si="25"/>
        <v>482653.32369065494</v>
      </c>
      <c r="AV46" s="64">
        <f t="shared" si="25"/>
        <v>2054729.5645652993</v>
      </c>
      <c r="AW46" s="64">
        <f t="shared" ref="AW46:BY46" si="26">SUM(AW41:AW45)</f>
        <v>2054729.5645652993</v>
      </c>
      <c r="AX46" s="64">
        <f t="shared" si="26"/>
        <v>2054729.5645652993</v>
      </c>
      <c r="AY46" s="64">
        <f t="shared" si="26"/>
        <v>2054729.5645652993</v>
      </c>
      <c r="AZ46" s="64">
        <f t="shared" si="26"/>
        <v>16573532.935638934</v>
      </c>
      <c r="BA46" s="64">
        <f t="shared" si="26"/>
        <v>1989946.1108736286</v>
      </c>
      <c r="BB46" s="64">
        <f t="shared" si="26"/>
        <v>2027926.446951993</v>
      </c>
      <c r="BC46" s="64">
        <f t="shared" si="26"/>
        <v>2027926.446951993</v>
      </c>
      <c r="BD46" s="64">
        <f t="shared" si="26"/>
        <v>2027926.446951993</v>
      </c>
      <c r="BE46" s="64">
        <f t="shared" si="26"/>
        <v>2027926.446951993</v>
      </c>
      <c r="BF46" s="64">
        <f t="shared" si="26"/>
        <v>16777520.98481515</v>
      </c>
      <c r="BG46" s="64">
        <f t="shared" si="26"/>
        <v>536827.73074989417</v>
      </c>
      <c r="BH46" s="64">
        <f t="shared" si="26"/>
        <v>2056279.7563573695</v>
      </c>
      <c r="BI46" s="64">
        <f t="shared" si="26"/>
        <v>2056279.7563573695</v>
      </c>
      <c r="BJ46" s="64">
        <f t="shared" si="26"/>
        <v>2056279.7563573695</v>
      </c>
      <c r="BK46" s="64">
        <f t="shared" si="26"/>
        <v>2056279.7563573695</v>
      </c>
      <c r="BL46" s="64">
        <f t="shared" si="26"/>
        <v>17295032.786278624</v>
      </c>
      <c r="BM46" s="64">
        <f t="shared" si="26"/>
        <v>1987139.4770961879</v>
      </c>
      <c r="BN46" s="64">
        <f t="shared" si="26"/>
        <v>2012831.8349635939</v>
      </c>
      <c r="BO46" s="64">
        <f t="shared" si="26"/>
        <v>2012831.8349635939</v>
      </c>
      <c r="BP46" s="64">
        <f t="shared" si="26"/>
        <v>2012831.8349635939</v>
      </c>
      <c r="BQ46" s="64">
        <f t="shared" si="26"/>
        <v>2012831.8349635939</v>
      </c>
      <c r="BR46" s="64">
        <f t="shared" si="26"/>
        <v>17430335.195653502</v>
      </c>
      <c r="BS46" s="64">
        <f t="shared" si="26"/>
        <v>585958.64760432788</v>
      </c>
      <c r="BT46" s="64">
        <f t="shared" si="26"/>
        <v>2046810.7147525295</v>
      </c>
      <c r="BU46" s="64">
        <f t="shared" si="26"/>
        <v>2046810.7147525295</v>
      </c>
      <c r="BV46" s="64">
        <f t="shared" si="26"/>
        <v>2046810.7147525295</v>
      </c>
      <c r="BW46" s="64">
        <f t="shared" si="26"/>
        <v>2046810.7147525295</v>
      </c>
      <c r="BX46" s="64">
        <f t="shared" si="26"/>
        <v>18041646.113823663</v>
      </c>
      <c r="BY46" s="64">
        <f t="shared" si="26"/>
        <v>341420100.05300295</v>
      </c>
      <c r="BZ46" s="8"/>
      <c r="CA46" s="8"/>
      <c r="CB46" s="8"/>
    </row>
    <row r="47" spans="5:80" ht="12" customHeight="1" x14ac:dyDescent="0.3">
      <c r="E47" s="165" t="s">
        <v>351</v>
      </c>
      <c r="J47" s="291">
        <f>AVERAGEIF($Q$18:$BY$18,J$19,$Q$47:$BY$47)</f>
        <v>0.12662551005920822</v>
      </c>
      <c r="K47" s="291">
        <f>AVERAGEIF($Q$18:$BY$18,K$19,$Q$47:$BY$47)</f>
        <v>0.13601386624182052</v>
      </c>
      <c r="L47" s="291">
        <f>AVERAGEIF($Q$18:$BY$18,L$19,$Q$47:$BY$47)</f>
        <v>0.145104683034156</v>
      </c>
      <c r="M47" s="291">
        <f>AVERAGEIF($Q$18:$BY$18,M$19,$Q$47:$BY$47)</f>
        <v>0.15146337960723549</v>
      </c>
      <c r="N47" s="291">
        <f>AVERAGEIF($Q$18:$BY$18,N$19,$Q$47:$BY$47)</f>
        <v>0.1552869255568087</v>
      </c>
      <c r="O47" s="8"/>
      <c r="P47" s="8"/>
      <c r="Q47" s="8"/>
      <c r="R47" s="291">
        <f t="shared" ref="R47:AW47" si="27">(R41*12)/-$Q$46</f>
        <v>6.8948870477083299E-2</v>
      </c>
      <c r="S47" s="291">
        <f t="shared" si="27"/>
        <v>6.8948870477083299E-2</v>
      </c>
      <c r="T47" s="291">
        <f t="shared" si="27"/>
        <v>6.8948870477083299E-2</v>
      </c>
      <c r="U47" s="291">
        <f t="shared" si="27"/>
        <v>6.8948870477083299E-2</v>
      </c>
      <c r="V47" s="291">
        <f t="shared" si="27"/>
        <v>0.42522667294032745</v>
      </c>
      <c r="W47" s="291">
        <f t="shared" si="27"/>
        <v>1.2198406505683717E-2</v>
      </c>
      <c r="X47" s="291">
        <f t="shared" si="27"/>
        <v>6.9094157352089999E-2</v>
      </c>
      <c r="Y47" s="291">
        <f t="shared" si="27"/>
        <v>6.9094157352089999E-2</v>
      </c>
      <c r="Z47" s="291">
        <f t="shared" si="27"/>
        <v>6.9094157352089999E-2</v>
      </c>
      <c r="AA47" s="291">
        <f t="shared" si="27"/>
        <v>6.9094157352089999E-2</v>
      </c>
      <c r="AB47" s="291">
        <f t="shared" si="27"/>
        <v>0.46275212002129851</v>
      </c>
      <c r="AC47" s="291">
        <f t="shared" si="27"/>
        <v>6.7156809926495947E-2</v>
      </c>
      <c r="AD47" s="291">
        <f t="shared" si="27"/>
        <v>6.9579899128656461E-2</v>
      </c>
      <c r="AE47" s="291">
        <f t="shared" si="27"/>
        <v>6.9579899128656461E-2</v>
      </c>
      <c r="AF47" s="291">
        <f t="shared" si="27"/>
        <v>6.9579899128656461E-2</v>
      </c>
      <c r="AG47" s="291">
        <f t="shared" si="27"/>
        <v>6.9579899128656461E-2</v>
      </c>
      <c r="AH47" s="291">
        <f t="shared" si="27"/>
        <v>0.47545991243159691</v>
      </c>
      <c r="AI47" s="291">
        <f t="shared" si="27"/>
        <v>1.4484511869674022E-2</v>
      </c>
      <c r="AJ47" s="291">
        <f t="shared" si="27"/>
        <v>7.0035634246820314E-2</v>
      </c>
      <c r="AK47" s="291">
        <f t="shared" si="27"/>
        <v>7.0035634246820314E-2</v>
      </c>
      <c r="AL47" s="291">
        <f t="shared" si="27"/>
        <v>7.0035634246820314E-2</v>
      </c>
      <c r="AM47" s="291">
        <f t="shared" si="27"/>
        <v>7.0035634246820314E-2</v>
      </c>
      <c r="AN47" s="291">
        <f t="shared" si="27"/>
        <v>0.51580293614648443</v>
      </c>
      <c r="AO47" s="291">
        <f t="shared" si="27"/>
        <v>6.795690095218368E-2</v>
      </c>
      <c r="AP47" s="291">
        <f t="shared" si="27"/>
        <v>6.981920630302578E-2</v>
      </c>
      <c r="AQ47" s="291">
        <f t="shared" si="27"/>
        <v>6.981920630302578E-2</v>
      </c>
      <c r="AR47" s="291">
        <f t="shared" si="27"/>
        <v>6.981920630302578E-2</v>
      </c>
      <c r="AS47" s="291">
        <f t="shared" si="27"/>
        <v>6.981920630302578E-2</v>
      </c>
      <c r="AT47" s="291">
        <f t="shared" si="27"/>
        <v>0.52578537441627748</v>
      </c>
      <c r="AU47" s="291">
        <f t="shared" si="27"/>
        <v>1.6572760136160949E-2</v>
      </c>
      <c r="AV47" s="291">
        <f t="shared" si="27"/>
        <v>7.0552793375239023E-2</v>
      </c>
      <c r="AW47" s="291">
        <f t="shared" si="27"/>
        <v>7.0552793375239023E-2</v>
      </c>
      <c r="AX47" s="291">
        <f t="shared" ref="AX47:BY47" si="28">(AX41*12)/-$Q$46</f>
        <v>7.0552793375239023E-2</v>
      </c>
      <c r="AY47" s="291">
        <f t="shared" si="28"/>
        <v>7.0552793375239023E-2</v>
      </c>
      <c r="AZ47" s="291">
        <f t="shared" si="28"/>
        <v>0.56908172485133468</v>
      </c>
      <c r="BA47" s="291">
        <f t="shared" si="28"/>
        <v>6.8328338293039539E-2</v>
      </c>
      <c r="BB47" s="291">
        <f t="shared" si="28"/>
        <v>6.9632460669954821E-2</v>
      </c>
      <c r="BC47" s="291">
        <f t="shared" si="28"/>
        <v>6.9632460669954821E-2</v>
      </c>
      <c r="BD47" s="291">
        <f t="shared" si="28"/>
        <v>6.9632460669954821E-2</v>
      </c>
      <c r="BE47" s="291">
        <f t="shared" si="28"/>
        <v>6.9632460669954821E-2</v>
      </c>
      <c r="BF47" s="291">
        <f t="shared" si="28"/>
        <v>0.57608601725688657</v>
      </c>
      <c r="BG47" s="291">
        <f t="shared" si="28"/>
        <v>1.843293473694118E-2</v>
      </c>
      <c r="BH47" s="291">
        <f t="shared" si="28"/>
        <v>7.0606021967012877E-2</v>
      </c>
      <c r="BI47" s="291">
        <f t="shared" si="28"/>
        <v>7.0606021967012877E-2</v>
      </c>
      <c r="BJ47" s="291">
        <f t="shared" si="28"/>
        <v>7.0606021967012877E-2</v>
      </c>
      <c r="BK47" s="291">
        <f t="shared" si="28"/>
        <v>7.0606021967012877E-2</v>
      </c>
      <c r="BL47" s="291">
        <f t="shared" si="28"/>
        <v>0.59385570521366871</v>
      </c>
      <c r="BM47" s="291">
        <f t="shared" si="28"/>
        <v>6.8231967531458743E-2</v>
      </c>
      <c r="BN47" s="291">
        <f t="shared" si="28"/>
        <v>6.9114160325684335E-2</v>
      </c>
      <c r="BO47" s="291">
        <f t="shared" si="28"/>
        <v>6.9114160325684335E-2</v>
      </c>
      <c r="BP47" s="291">
        <f t="shared" si="28"/>
        <v>6.9114160325684335E-2</v>
      </c>
      <c r="BQ47" s="291">
        <f t="shared" si="28"/>
        <v>6.9114160325684335E-2</v>
      </c>
      <c r="BR47" s="291">
        <f t="shared" si="28"/>
        <v>0.59850155403797245</v>
      </c>
      <c r="BS47" s="291">
        <f t="shared" si="28"/>
        <v>2.0119932133068223E-2</v>
      </c>
      <c r="BT47" s="291">
        <f t="shared" si="28"/>
        <v>7.0280885585403866E-2</v>
      </c>
      <c r="BU47" s="291">
        <f t="shared" si="28"/>
        <v>7.0280885585403866E-2</v>
      </c>
      <c r="BV47" s="291">
        <f t="shared" si="28"/>
        <v>7.0280885585403866E-2</v>
      </c>
      <c r="BW47" s="291">
        <f t="shared" si="28"/>
        <v>7.0280885585403866E-2</v>
      </c>
      <c r="BX47" s="291">
        <f t="shared" si="28"/>
        <v>0.6194920014630142</v>
      </c>
      <c r="BY47" s="291">
        <f t="shared" si="28"/>
        <v>6.7749435403297142E-2</v>
      </c>
      <c r="BZ47" s="8"/>
      <c r="CA47" s="8"/>
      <c r="CB47" s="8"/>
    </row>
    <row r="48" spans="5:80" ht="12" customHeight="1" x14ac:dyDescent="0.3">
      <c r="E48" s="2"/>
      <c r="F48" s="2"/>
      <c r="G48" s="2"/>
      <c r="H48" s="2"/>
      <c r="I48" s="37"/>
      <c r="J48" s="37"/>
      <c r="K48" s="37"/>
      <c r="L48" s="37"/>
      <c r="M48" s="37"/>
      <c r="N48" s="37"/>
      <c r="O48" s="37"/>
      <c r="P48" s="37"/>
      <c r="Q48" s="37"/>
      <c r="R48" s="37"/>
      <c r="S48" s="37"/>
      <c r="T48" s="37"/>
      <c r="U48" s="37"/>
      <c r="V48" s="37"/>
      <c r="W48" s="37"/>
      <c r="X48" s="37"/>
      <c r="Y48" s="37"/>
      <c r="Z48" s="37"/>
      <c r="AA48" s="37"/>
      <c r="AB48" s="37"/>
      <c r="AC48" s="37"/>
      <c r="AD48" s="37"/>
      <c r="AE48" s="37"/>
      <c r="AF48" s="37"/>
      <c r="AG48" s="37"/>
      <c r="AH48" s="37"/>
      <c r="AI48" s="37"/>
      <c r="AJ48" s="37"/>
      <c r="AK48" s="37"/>
      <c r="AL48" s="37"/>
      <c r="AM48" s="37"/>
      <c r="AN48" s="37"/>
      <c r="AO48" s="37"/>
      <c r="AP48" s="37"/>
      <c r="AQ48" s="37"/>
      <c r="AR48" s="37"/>
      <c r="AS48" s="37"/>
      <c r="AT48" s="37"/>
      <c r="AU48" s="37"/>
      <c r="AV48" s="37"/>
      <c r="AW48" s="37"/>
      <c r="AX48" s="37"/>
      <c r="AY48" s="37"/>
      <c r="AZ48" s="37"/>
      <c r="BA48" s="37"/>
      <c r="BB48" s="37"/>
      <c r="BC48" s="37"/>
      <c r="BD48" s="37"/>
      <c r="BE48" s="37"/>
      <c r="BF48" s="37"/>
      <c r="BG48" s="37"/>
      <c r="BH48" s="37"/>
      <c r="BI48" s="37"/>
      <c r="BJ48" s="37"/>
      <c r="BK48" s="37"/>
      <c r="BL48" s="37"/>
      <c r="BM48" s="37"/>
      <c r="BN48" s="37"/>
      <c r="BO48" s="37"/>
      <c r="BP48" s="37"/>
      <c r="BQ48" s="37"/>
      <c r="BR48" s="37"/>
      <c r="BS48" s="37"/>
      <c r="BT48" s="37"/>
      <c r="BU48" s="37"/>
      <c r="BV48" s="37"/>
      <c r="BW48" s="37"/>
      <c r="BX48" s="37"/>
      <c r="BY48" s="37"/>
      <c r="BZ48" s="8"/>
      <c r="CA48" s="8"/>
      <c r="CB48" s="8"/>
    </row>
    <row r="49" spans="5:80" ht="12" customHeight="1" x14ac:dyDescent="0.3">
      <c r="E49" s="2" t="s">
        <v>209</v>
      </c>
      <c r="I49" s="8">
        <f t="shared" ref="I49:N49" si="29">SUMIFS($Q49:$BY49,$Q$18:$BY$18,I$19)</f>
        <v>199826148.31316277</v>
      </c>
      <c r="J49" s="8">
        <f t="shared" si="29"/>
        <v>-31397763.512738537</v>
      </c>
      <c r="K49" s="8">
        <f t="shared" si="29"/>
        <v>-31005738.536544994</v>
      </c>
      <c r="L49" s="8">
        <f t="shared" si="29"/>
        <v>-30559065.203129906</v>
      </c>
      <c r="M49" s="8">
        <f t="shared" si="29"/>
        <v>-30052726.458807904</v>
      </c>
      <c r="N49" s="8">
        <f t="shared" si="29"/>
        <v>-153191557.21079701</v>
      </c>
      <c r="O49" s="8"/>
      <c r="P49" s="8"/>
      <c r="Q49" s="8">
        <f>'Debt Schedule'!R51</f>
        <v>199826148.31316277</v>
      </c>
      <c r="R49" s="8">
        <f>'Debt Schedule'!S51</f>
        <v>-1476156.7993234985</v>
      </c>
      <c r="S49" s="8">
        <f>'Debt Schedule'!T51</f>
        <v>-1476156.7993234985</v>
      </c>
      <c r="T49" s="8">
        <f>'Debt Schedule'!U51</f>
        <v>-1476156.7993234985</v>
      </c>
      <c r="U49" s="8">
        <f>'Debt Schedule'!V51</f>
        <v>-1476156.7993234985</v>
      </c>
      <c r="V49" s="8">
        <f>'Debt Schedule'!W51</f>
        <v>-8436711.5793331601</v>
      </c>
      <c r="W49" s="8">
        <f>'Debt Schedule'!X51</f>
        <v>-1425251.9420323614</v>
      </c>
      <c r="X49" s="8">
        <f>'Debt Schedule'!Y51</f>
        <v>-1425251.9420323614</v>
      </c>
      <c r="Y49" s="8">
        <f>'Debt Schedule'!Z51</f>
        <v>-1425251.9420323614</v>
      </c>
      <c r="Z49" s="8">
        <f>'Debt Schedule'!AA51</f>
        <v>-1425251.9420323614</v>
      </c>
      <c r="AA49" s="8">
        <f>'Debt Schedule'!AB51</f>
        <v>-1425251.9420323614</v>
      </c>
      <c r="AB49" s="8">
        <f>'Debt Schedule'!AC51</f>
        <v>-8557070.4499383718</v>
      </c>
      <c r="AC49" s="8">
        <f>'Debt Schedule'!AD51</f>
        <v>-1373094.5760112086</v>
      </c>
      <c r="AD49" s="8">
        <f>'Debt Schedule'!AE51</f>
        <v>-1373094.5760112086</v>
      </c>
      <c r="AE49" s="8">
        <f>'Debt Schedule'!AF51</f>
        <v>-1373094.5760112086</v>
      </c>
      <c r="AF49" s="8">
        <f>'Debt Schedule'!AG51</f>
        <v>-1373094.5760112086</v>
      </c>
      <c r="AG49" s="8">
        <f>'Debt Schedule'!AH51</f>
        <v>-1373094.5760112086</v>
      </c>
      <c r="AH49" s="8">
        <f>'Debt Schedule'!AI51</f>
        <v>-8743693.7555503286</v>
      </c>
      <c r="AI49" s="8">
        <f>'Debt Schedule'!AJ51</f>
        <v>-1319190.9273448461</v>
      </c>
      <c r="AJ49" s="8">
        <f>'Debt Schedule'!AK51</f>
        <v>-1319190.9273448461</v>
      </c>
      <c r="AK49" s="8">
        <f>'Debt Schedule'!AL51</f>
        <v>-1319190.9273448461</v>
      </c>
      <c r="AL49" s="8">
        <f>'Debt Schedule'!AM51</f>
        <v>-1319190.9273448461</v>
      </c>
      <c r="AM49" s="8">
        <f>'Debt Schedule'!AN51</f>
        <v>-1319190.9273448461</v>
      </c>
      <c r="AN49" s="8">
        <f>'Debt Schedule'!AO51</f>
        <v>-8910035.2879714668</v>
      </c>
      <c r="AO49" s="8">
        <f>'Debt Schedule'!AP51</f>
        <v>-1263676.5522541301</v>
      </c>
      <c r="AP49" s="8">
        <f>'Debt Schedule'!AQ51</f>
        <v>-1263676.5522541301</v>
      </c>
      <c r="AQ49" s="8">
        <f>'Debt Schedule'!AR51</f>
        <v>-1263676.5522541301</v>
      </c>
      <c r="AR49" s="8">
        <f>'Debt Schedule'!AS51</f>
        <v>-1263676.5522541301</v>
      </c>
      <c r="AS49" s="8">
        <f>'Debt Schedule'!AT51</f>
        <v>-1263676.5522541301</v>
      </c>
      <c r="AT49" s="8">
        <f>'Debt Schedule'!AU51</f>
        <v>-9053774.8840315044</v>
      </c>
      <c r="AU49" s="8">
        <f>'Debt Schedule'!AV51</f>
        <v>-1206704.9664543984</v>
      </c>
      <c r="AV49" s="8">
        <f>'Debt Schedule'!AW51</f>
        <v>-1206704.9664543984</v>
      </c>
      <c r="AW49" s="8">
        <f>'Debt Schedule'!AX51</f>
        <v>-1206704.9664543984</v>
      </c>
      <c r="AX49" s="8">
        <f>'Debt Schedule'!AY51</f>
        <v>-1206704.9664543984</v>
      </c>
      <c r="AY49" s="8">
        <f>'Debt Schedule'!AZ51</f>
        <v>-1206704.9664543984</v>
      </c>
      <c r="AZ49" s="8">
        <f>'Debt Schedule'!BA51</f>
        <v>-9269318.8945496287</v>
      </c>
      <c r="BA49" s="8">
        <f>'Debt Schedule'!BB51</f>
        <v>-1147740.383260262</v>
      </c>
      <c r="BB49" s="8">
        <f>'Debt Schedule'!BC51</f>
        <v>-1147740.383260262</v>
      </c>
      <c r="BC49" s="8">
        <f>'Debt Schedule'!BD51</f>
        <v>-1147740.383260262</v>
      </c>
      <c r="BD49" s="8">
        <f>'Debt Schedule'!BE51</f>
        <v>-1147740.383260262</v>
      </c>
      <c r="BE49" s="8">
        <f>'Debt Schedule'!BF51</f>
        <v>-1147740.383260262</v>
      </c>
      <c r="BF49" s="8">
        <f>'Debt Schedule'!BG51</f>
        <v>-9365176.7190767955</v>
      </c>
      <c r="BG49" s="8">
        <f>'Debt Schedule'!BH51</f>
        <v>-1087643.5321909904</v>
      </c>
      <c r="BH49" s="8">
        <f>'Debt Schedule'!BI51</f>
        <v>-1087643.5321909904</v>
      </c>
      <c r="BI49" s="8">
        <f>'Debt Schedule'!BJ51</f>
        <v>-1087643.5321909904</v>
      </c>
      <c r="BJ49" s="8">
        <f>'Debt Schedule'!BK51</f>
        <v>-1087643.5321909904</v>
      </c>
      <c r="BK49" s="8">
        <f>'Debt Schedule'!BL51</f>
        <v>-1087643.5321909904</v>
      </c>
      <c r="BL49" s="8">
        <f>'Debt Schedule'!BM51</f>
        <v>-9633223.689763166</v>
      </c>
      <c r="BM49" s="8">
        <f>'Debt Schedule'!BN51</f>
        <v>-1025146.8559719458</v>
      </c>
      <c r="BN49" s="8">
        <f>'Debt Schedule'!BO51</f>
        <v>-1025146.8559719458</v>
      </c>
      <c r="BO49" s="8">
        <f>'Debt Schedule'!BP51</f>
        <v>-1025146.8559719458</v>
      </c>
      <c r="BP49" s="8">
        <f>'Debt Schedule'!BQ51</f>
        <v>-1025146.8559719458</v>
      </c>
      <c r="BQ49" s="8">
        <f>'Debt Schedule'!BR51</f>
        <v>-1025146.8559719458</v>
      </c>
      <c r="BR49" s="8">
        <f>'Debt Schedule'!BS51</f>
        <v>-9690638.6937680896</v>
      </c>
      <c r="BS49" s="8">
        <f>'Debt Schedule'!BT51</f>
        <v>-961773.22566486325</v>
      </c>
      <c r="BT49" s="8">
        <f>'Debt Schedule'!BU51</f>
        <v>-961773.22566486325</v>
      </c>
      <c r="BU49" s="8">
        <f>'Debt Schedule'!BV51</f>
        <v>-961773.22566486325</v>
      </c>
      <c r="BV49" s="8">
        <f>'Debt Schedule'!BW51</f>
        <v>-961773.22566486325</v>
      </c>
      <c r="BW49" s="8">
        <f>'Debt Schedule'!BX51</f>
        <v>-961773.22566486325</v>
      </c>
      <c r="BX49" s="8">
        <f>'Debt Schedule'!BY51</f>
        <v>-10014558.639208417</v>
      </c>
      <c r="BY49" s="8">
        <f>'Debt Schedule'!BZ51</f>
        <v>-124576906.32560842</v>
      </c>
      <c r="BZ49" s="8"/>
      <c r="CA49" s="8"/>
      <c r="CB49" s="8"/>
    </row>
    <row r="50" spans="5:80" ht="12" customHeight="1" x14ac:dyDescent="0.3">
      <c r="E50" s="62" t="s">
        <v>211</v>
      </c>
      <c r="F50" s="62"/>
      <c r="G50" s="62"/>
      <c r="H50" s="62"/>
      <c r="I50" s="66">
        <f t="shared" ref="I50:N50" si="30">I49+I46</f>
        <v>-128687978.31479588</v>
      </c>
      <c r="J50" s="66">
        <f t="shared" si="30"/>
        <v>12855256.111251835</v>
      </c>
      <c r="K50" s="66">
        <f t="shared" si="30"/>
        <v>16528319.088333897</v>
      </c>
      <c r="L50" s="66">
        <f t="shared" si="30"/>
        <v>20152046.506042223</v>
      </c>
      <c r="M50" s="66">
        <f t="shared" si="30"/>
        <v>22880619.3333694</v>
      </c>
      <c r="N50" s="66">
        <f t="shared" si="30"/>
        <v>240525052.9981519</v>
      </c>
      <c r="O50" s="64"/>
      <c r="P50" s="64"/>
      <c r="Q50" s="66">
        <f t="shared" ref="Q50:BY50" si="31">Q49+Q46</f>
        <v>-149653349.16959807</v>
      </c>
      <c r="R50" s="66">
        <f t="shared" si="31"/>
        <v>531861.25120442105</v>
      </c>
      <c r="S50" s="66">
        <f t="shared" si="31"/>
        <v>531861.25120442105</v>
      </c>
      <c r="T50" s="66">
        <f t="shared" si="31"/>
        <v>531861.25120442105</v>
      </c>
      <c r="U50" s="66">
        <f t="shared" si="31"/>
        <v>531861.25120442105</v>
      </c>
      <c r="V50" s="66">
        <f t="shared" si="31"/>
        <v>3947288.7519545015</v>
      </c>
      <c r="W50" s="66">
        <f t="shared" si="31"/>
        <v>-1069994.1940576292</v>
      </c>
      <c r="X50" s="66">
        <f t="shared" si="31"/>
        <v>586997.34050124022</v>
      </c>
      <c r="Y50" s="66">
        <f t="shared" si="31"/>
        <v>586997.34050124022</v>
      </c>
      <c r="Z50" s="66">
        <f t="shared" si="31"/>
        <v>586997.34050124022</v>
      </c>
      <c r="AA50" s="66">
        <f t="shared" si="31"/>
        <v>586997.34050124022</v>
      </c>
      <c r="AB50" s="66">
        <f t="shared" si="31"/>
        <v>4919794.4137387648</v>
      </c>
      <c r="AC50" s="66">
        <f t="shared" si="31"/>
        <v>582732.77279354865</v>
      </c>
      <c r="AD50" s="66">
        <f t="shared" si="31"/>
        <v>653301.10585412919</v>
      </c>
      <c r="AE50" s="66">
        <f t="shared" si="31"/>
        <v>653301.10585412919</v>
      </c>
      <c r="AF50" s="66">
        <f t="shared" si="31"/>
        <v>653301.10585412919</v>
      </c>
      <c r="AG50" s="66">
        <f t="shared" si="31"/>
        <v>653301.10585412919</v>
      </c>
      <c r="AH50" s="66">
        <f t="shared" si="31"/>
        <v>5103263.8502656668</v>
      </c>
      <c r="AI50" s="66">
        <f t="shared" si="31"/>
        <v>-897354.26655344921</v>
      </c>
      <c r="AJ50" s="66">
        <f t="shared" si="31"/>
        <v>720477.26119392039</v>
      </c>
      <c r="AK50" s="66">
        <f t="shared" si="31"/>
        <v>720477.26119392039</v>
      </c>
      <c r="AL50" s="66">
        <f t="shared" si="31"/>
        <v>720477.26119392039</v>
      </c>
      <c r="AM50" s="66">
        <f t="shared" si="31"/>
        <v>720477.26119392039</v>
      </c>
      <c r="AN50" s="66">
        <f t="shared" si="31"/>
        <v>6111843.955745697</v>
      </c>
      <c r="AO50" s="66">
        <f t="shared" si="31"/>
        <v>715452.08068377851</v>
      </c>
      <c r="AP50" s="66">
        <f t="shared" si="31"/>
        <v>769688.54219809128</v>
      </c>
      <c r="AQ50" s="66">
        <f t="shared" si="31"/>
        <v>769688.54219809128</v>
      </c>
      <c r="AR50" s="66">
        <f t="shared" si="31"/>
        <v>769688.54219809128</v>
      </c>
      <c r="AS50" s="66">
        <f t="shared" si="31"/>
        <v>769688.54219809128</v>
      </c>
      <c r="AT50" s="66">
        <f t="shared" si="31"/>
        <v>6258825.8188673202</v>
      </c>
      <c r="AU50" s="66">
        <f t="shared" si="31"/>
        <v>-724051.64276374341</v>
      </c>
      <c r="AV50" s="66">
        <f t="shared" si="31"/>
        <v>848024.59811090096</v>
      </c>
      <c r="AW50" s="66">
        <f t="shared" si="31"/>
        <v>848024.59811090096</v>
      </c>
      <c r="AX50" s="66">
        <f t="shared" si="31"/>
        <v>848024.59811090096</v>
      </c>
      <c r="AY50" s="66">
        <f t="shared" si="31"/>
        <v>848024.59811090096</v>
      </c>
      <c r="AZ50" s="66">
        <f t="shared" si="31"/>
        <v>7304214.0410893057</v>
      </c>
      <c r="BA50" s="66">
        <f t="shared" si="31"/>
        <v>842205.72761336667</v>
      </c>
      <c r="BB50" s="66">
        <f t="shared" si="31"/>
        <v>880186.06369173108</v>
      </c>
      <c r="BC50" s="66">
        <f t="shared" si="31"/>
        <v>880186.06369173108</v>
      </c>
      <c r="BD50" s="66">
        <f t="shared" si="31"/>
        <v>880186.06369173108</v>
      </c>
      <c r="BE50" s="66">
        <f t="shared" si="31"/>
        <v>880186.06369173108</v>
      </c>
      <c r="BF50" s="66">
        <f t="shared" si="31"/>
        <v>7412344.265738355</v>
      </c>
      <c r="BG50" s="66">
        <f t="shared" si="31"/>
        <v>-550815.80144109624</v>
      </c>
      <c r="BH50" s="66">
        <f t="shared" si="31"/>
        <v>968636.22416637908</v>
      </c>
      <c r="BI50" s="66">
        <f t="shared" si="31"/>
        <v>968636.22416637908</v>
      </c>
      <c r="BJ50" s="66">
        <f t="shared" si="31"/>
        <v>968636.22416637908</v>
      </c>
      <c r="BK50" s="66">
        <f t="shared" si="31"/>
        <v>968636.22416637908</v>
      </c>
      <c r="BL50" s="66">
        <f t="shared" si="31"/>
        <v>7661809.0965154581</v>
      </c>
      <c r="BM50" s="66">
        <f t="shared" si="31"/>
        <v>961992.62112424208</v>
      </c>
      <c r="BN50" s="66">
        <f t="shared" si="31"/>
        <v>987684.97899164807</v>
      </c>
      <c r="BO50" s="66">
        <f t="shared" si="31"/>
        <v>987684.97899164807</v>
      </c>
      <c r="BP50" s="66">
        <f t="shared" si="31"/>
        <v>987684.97899164807</v>
      </c>
      <c r="BQ50" s="66">
        <f t="shared" si="31"/>
        <v>987684.97899164807</v>
      </c>
      <c r="BR50" s="66">
        <f t="shared" si="31"/>
        <v>7739696.5018854123</v>
      </c>
      <c r="BS50" s="66">
        <f t="shared" si="31"/>
        <v>-375814.57806053536</v>
      </c>
      <c r="BT50" s="66">
        <f t="shared" si="31"/>
        <v>1085037.4890876664</v>
      </c>
      <c r="BU50" s="66">
        <f t="shared" si="31"/>
        <v>1085037.4890876664</v>
      </c>
      <c r="BV50" s="66">
        <f t="shared" si="31"/>
        <v>1085037.4890876664</v>
      </c>
      <c r="BW50" s="66">
        <f t="shared" si="31"/>
        <v>1085037.4890876664</v>
      </c>
      <c r="BX50" s="66">
        <f t="shared" si="31"/>
        <v>8027087.4746152461</v>
      </c>
      <c r="BY50" s="66">
        <f t="shared" si="31"/>
        <v>216843193.72739452</v>
      </c>
      <c r="BZ50" s="8"/>
      <c r="CA50" s="8"/>
      <c r="CB50" s="8"/>
    </row>
    <row r="51" spans="5:80" ht="12" customHeight="1" x14ac:dyDescent="0.3">
      <c r="E51" s="165" t="s">
        <v>350</v>
      </c>
      <c r="J51" s="385">
        <f>AVERAGEIF($Q$18:$BY$18,J$19,$Q$51:$BY$51)</f>
        <v>8.5900223299936421E-2</v>
      </c>
      <c r="K51" s="385">
        <f>AVERAGEIF($Q$18:$BY$18,K$19,$Q$51:$BY$51)</f>
        <v>0.11044403068856679</v>
      </c>
      <c r="L51" s="385">
        <f>AVERAGEIF($Q$18:$BY$18,L$19,$Q$51:$BY$51)</f>
        <v>0.13465817248903969</v>
      </c>
      <c r="M51" s="385">
        <f>AVERAGEIF($Q$18:$BY$18,M$19,$Q$51:$BY$51)</f>
        <v>0.1528907936930928</v>
      </c>
      <c r="N51" s="385">
        <f>AVERAGEIF($Q$18:$BY$18,N$19,$Q$51:$BY$51)</f>
        <v>0.1045107728736131</v>
      </c>
      <c r="O51" s="8"/>
      <c r="P51" s="8"/>
      <c r="Q51" s="8"/>
      <c r="R51" s="385">
        <f t="shared" ref="R51:AW51" si="32">(SUM(R41,R49)*12)/-$Q$50</f>
        <v>4.2647458609296647E-2</v>
      </c>
      <c r="S51" s="385">
        <f t="shared" si="32"/>
        <v>4.2647458609296647E-2</v>
      </c>
      <c r="T51" s="385">
        <f t="shared" si="32"/>
        <v>4.2647458609296647E-2</v>
      </c>
      <c r="U51" s="385">
        <f t="shared" si="32"/>
        <v>4.2647458609296647E-2</v>
      </c>
      <c r="V51" s="385">
        <f t="shared" si="32"/>
        <v>0.31651456707309478</v>
      </c>
      <c r="W51" s="385">
        <f t="shared" si="32"/>
        <v>-8.5797814749474177E-2</v>
      </c>
      <c r="X51" s="385">
        <f t="shared" si="32"/>
        <v>4.7068562949648021E-2</v>
      </c>
      <c r="Y51" s="385">
        <f t="shared" si="32"/>
        <v>4.7068562949648021E-2</v>
      </c>
      <c r="Z51" s="385">
        <f t="shared" si="32"/>
        <v>4.7068562949648021E-2</v>
      </c>
      <c r="AA51" s="385">
        <f t="shared" si="32"/>
        <v>4.7068562949648021E-2</v>
      </c>
      <c r="AB51" s="385">
        <f t="shared" si="32"/>
        <v>0.39449523376827034</v>
      </c>
      <c r="AC51" s="385">
        <f t="shared" si="32"/>
        <v>4.6726607271567584E-2</v>
      </c>
      <c r="AD51" s="385">
        <f t="shared" si="32"/>
        <v>5.2385150841930905E-2</v>
      </c>
      <c r="AE51" s="385">
        <f t="shared" si="32"/>
        <v>5.2385150841930905E-2</v>
      </c>
      <c r="AF51" s="385">
        <f t="shared" si="32"/>
        <v>5.2385150841930905E-2</v>
      </c>
      <c r="AG51" s="385">
        <f t="shared" si="32"/>
        <v>5.2385150841930905E-2</v>
      </c>
      <c r="AH51" s="385">
        <f t="shared" si="32"/>
        <v>0.40920678717178138</v>
      </c>
      <c r="AI51" s="385">
        <f t="shared" si="32"/>
        <v>-7.1954628869936102E-2</v>
      </c>
      <c r="AJ51" s="385">
        <f t="shared" si="32"/>
        <v>5.7771691594613608E-2</v>
      </c>
      <c r="AK51" s="385">
        <f t="shared" si="32"/>
        <v>5.7771691594613608E-2</v>
      </c>
      <c r="AL51" s="385">
        <f t="shared" si="32"/>
        <v>5.7771691594613608E-2</v>
      </c>
      <c r="AM51" s="385">
        <f t="shared" si="32"/>
        <v>5.7771691594613608E-2</v>
      </c>
      <c r="AN51" s="385">
        <f t="shared" si="32"/>
        <v>0.49008009427060484</v>
      </c>
      <c r="AO51" s="385">
        <f t="shared" si="32"/>
        <v>5.7368745944173377E-2</v>
      </c>
      <c r="AP51" s="385">
        <f t="shared" si="32"/>
        <v>6.1717713353076319E-2</v>
      </c>
      <c r="AQ51" s="385">
        <f t="shared" si="32"/>
        <v>6.1717713353076319E-2</v>
      </c>
      <c r="AR51" s="385">
        <f t="shared" si="32"/>
        <v>6.1717713353076319E-2</v>
      </c>
      <c r="AS51" s="385">
        <f t="shared" si="32"/>
        <v>6.1717713353076319E-2</v>
      </c>
      <c r="AT51" s="385">
        <f t="shared" si="32"/>
        <v>0.50186588033718083</v>
      </c>
      <c r="AU51" s="385">
        <f t="shared" si="32"/>
        <v>-5.8058304484173921E-2</v>
      </c>
      <c r="AV51" s="385">
        <f t="shared" si="32"/>
        <v>6.7999114178181816E-2</v>
      </c>
      <c r="AW51" s="385">
        <f t="shared" si="32"/>
        <v>6.7999114178181816E-2</v>
      </c>
      <c r="AX51" s="385">
        <f t="shared" ref="AX51:BX51" si="33">(SUM(AX41,AX49)*12)/-$Q$50</f>
        <v>6.7999114178181816E-2</v>
      </c>
      <c r="AY51" s="385">
        <f t="shared" si="33"/>
        <v>6.7999114178181816E-2</v>
      </c>
      <c r="AZ51" s="385">
        <f t="shared" si="33"/>
        <v>0.58569065763934003</v>
      </c>
      <c r="BA51" s="385">
        <f t="shared" si="33"/>
        <v>6.7532526251096556E-2</v>
      </c>
      <c r="BB51" s="385">
        <f t="shared" si="33"/>
        <v>7.0577991223777295E-2</v>
      </c>
      <c r="BC51" s="385">
        <f t="shared" si="33"/>
        <v>7.0577991223777295E-2</v>
      </c>
      <c r="BD51" s="385">
        <f t="shared" si="33"/>
        <v>7.0577991223777295E-2</v>
      </c>
      <c r="BE51" s="385">
        <f t="shared" si="33"/>
        <v>7.0577991223777295E-2</v>
      </c>
      <c r="BF51" s="385">
        <f t="shared" si="33"/>
        <v>0.59436111308179118</v>
      </c>
      <c r="BG51" s="385">
        <f t="shared" si="33"/>
        <v>-4.4167335071148055E-2</v>
      </c>
      <c r="BH51" s="385">
        <f t="shared" si="33"/>
        <v>7.7670394645319954E-2</v>
      </c>
      <c r="BI51" s="385">
        <f t="shared" si="33"/>
        <v>7.7670394645319954E-2</v>
      </c>
      <c r="BJ51" s="385">
        <f t="shared" si="33"/>
        <v>7.7670394645319954E-2</v>
      </c>
      <c r="BK51" s="385">
        <f t="shared" si="33"/>
        <v>7.7670394645319954E-2</v>
      </c>
      <c r="BL51" s="385">
        <f t="shared" si="33"/>
        <v>0.61436452754552429</v>
      </c>
      <c r="BM51" s="385">
        <f t="shared" si="33"/>
        <v>7.7137675284557145E-2</v>
      </c>
      <c r="BN51" s="385">
        <f t="shared" si="33"/>
        <v>7.9197824931187988E-2</v>
      </c>
      <c r="BO51" s="385">
        <f t="shared" si="33"/>
        <v>7.9197824931187988E-2</v>
      </c>
      <c r="BP51" s="385">
        <f t="shared" si="33"/>
        <v>7.9197824931187988E-2</v>
      </c>
      <c r="BQ51" s="385">
        <f t="shared" si="33"/>
        <v>7.9197824931187988E-2</v>
      </c>
      <c r="BR51" s="385">
        <f t="shared" si="33"/>
        <v>0.62060995318835588</v>
      </c>
      <c r="BS51" s="385">
        <f t="shared" si="33"/>
        <v>-3.013480795284855E-2</v>
      </c>
      <c r="BT51" s="385">
        <f t="shared" si="33"/>
        <v>8.7004066005206965E-2</v>
      </c>
      <c r="BU51" s="385">
        <f t="shared" si="33"/>
        <v>8.7004066005206965E-2</v>
      </c>
      <c r="BV51" s="385">
        <f t="shared" si="33"/>
        <v>8.7004066005206965E-2</v>
      </c>
      <c r="BW51" s="385">
        <f t="shared" si="33"/>
        <v>8.7004066005206965E-2</v>
      </c>
      <c r="BX51" s="385">
        <f t="shared" si="33"/>
        <v>0.64365448705207651</v>
      </c>
      <c r="BY51" s="385">
        <f>(SUM(BY41,BX49)*12)/-$Q$50</f>
        <v>-0.64480792154980626</v>
      </c>
      <c r="BZ51" s="8"/>
      <c r="CA51" s="8"/>
      <c r="CB51" s="8"/>
    </row>
    <row r="52" spans="5:80" ht="12" customHeight="1" x14ac:dyDescent="0.3">
      <c r="L52" s="8"/>
      <c r="M52" s="8"/>
      <c r="N52" s="8"/>
      <c r="O52" s="8"/>
      <c r="P52" s="8"/>
      <c r="Q52" s="8"/>
      <c r="R52" s="8"/>
      <c r="S52" s="8"/>
      <c r="T52" s="8"/>
      <c r="U52" s="8"/>
      <c r="V52" s="8"/>
      <c r="W52" s="8"/>
      <c r="X52" s="8"/>
      <c r="Y52" s="8"/>
      <c r="Z52" s="8"/>
      <c r="AA52" s="8"/>
      <c r="AB52" s="8"/>
      <c r="AC52" s="8"/>
      <c r="AD52" s="8"/>
      <c r="AE52" s="8"/>
      <c r="AF52" s="8"/>
      <c r="AG52" s="8"/>
      <c r="AH52" s="8"/>
      <c r="AI52" s="8"/>
      <c r="AJ52" s="8"/>
      <c r="AK52" s="8"/>
      <c r="AL52" s="8"/>
      <c r="AM52" s="8"/>
      <c r="AN52" s="8"/>
      <c r="AO52" s="8"/>
      <c r="AP52" s="8"/>
      <c r="AQ52" s="8"/>
      <c r="AR52" s="8"/>
      <c r="AS52" s="8"/>
      <c r="AT52" s="8"/>
      <c r="AU52" s="8"/>
      <c r="AV52" s="8"/>
      <c r="AW52" s="8"/>
      <c r="AX52" s="8"/>
      <c r="AY52" s="8"/>
      <c r="AZ52" s="8"/>
      <c r="BA52" s="8"/>
      <c r="BB52" s="8"/>
      <c r="BC52" s="8"/>
      <c r="BD52" s="8"/>
      <c r="BE52" s="8"/>
      <c r="BF52" s="8"/>
      <c r="BG52" s="8"/>
      <c r="BH52" s="8"/>
      <c r="BI52" s="8"/>
      <c r="BJ52" s="8"/>
      <c r="BK52" s="8"/>
      <c r="BL52" s="8"/>
      <c r="BM52" s="8"/>
      <c r="BN52" s="8"/>
      <c r="BO52" s="8"/>
      <c r="BP52" s="8"/>
      <c r="BQ52" s="8"/>
      <c r="BR52" s="8"/>
      <c r="BS52" s="8"/>
      <c r="BT52" s="8"/>
      <c r="BU52" s="8"/>
      <c r="BV52" s="8"/>
      <c r="BW52" s="8"/>
      <c r="BX52" s="8"/>
      <c r="BY52" s="8"/>
      <c r="BZ52" s="8"/>
      <c r="CA52" s="8"/>
      <c r="CB52" s="8"/>
    </row>
    <row r="53" spans="5:80" ht="12" customHeight="1" x14ac:dyDescent="0.45">
      <c r="E53" s="289" t="s">
        <v>262</v>
      </c>
      <c r="F53" s="276"/>
      <c r="G53" s="276"/>
      <c r="H53" s="276"/>
      <c r="I53" s="277"/>
      <c r="J53" s="476"/>
      <c r="K53" s="8"/>
      <c r="L53" s="8"/>
      <c r="M53" s="8"/>
      <c r="N53" s="8"/>
      <c r="O53" s="8"/>
      <c r="P53" s="8"/>
      <c r="Q53" s="8"/>
      <c r="R53" s="8"/>
      <c r="S53" s="8"/>
      <c r="T53" s="8"/>
      <c r="U53" s="8"/>
      <c r="V53" s="8"/>
      <c r="W53" s="8"/>
      <c r="X53" s="8"/>
      <c r="Y53" s="8"/>
      <c r="Z53" s="8"/>
      <c r="AA53" s="8"/>
      <c r="AB53" s="8"/>
      <c r="AC53" s="8"/>
      <c r="AD53" s="8"/>
      <c r="AE53" s="8"/>
      <c r="AF53" s="8"/>
      <c r="AG53" s="8"/>
      <c r="AH53" s="8"/>
      <c r="AI53" s="8"/>
      <c r="AJ53" s="8"/>
      <c r="AK53" s="8"/>
      <c r="AL53" s="8"/>
      <c r="AM53" s="8"/>
      <c r="AN53" s="8"/>
      <c r="AO53" s="8"/>
      <c r="AP53" s="8"/>
      <c r="AQ53" s="8"/>
      <c r="AR53" s="8"/>
      <c r="AS53" s="8"/>
      <c r="AT53" s="8"/>
      <c r="AU53" s="8"/>
      <c r="AV53" s="8"/>
      <c r="AW53" s="8"/>
      <c r="AX53" s="8"/>
      <c r="AY53" s="8"/>
      <c r="AZ53" s="8"/>
      <c r="BA53" s="8"/>
      <c r="BB53" s="8"/>
      <c r="BC53" s="8"/>
      <c r="BD53" s="8"/>
      <c r="BE53" s="8"/>
      <c r="BF53" s="8"/>
      <c r="BG53" s="8"/>
      <c r="BH53" s="8"/>
      <c r="BI53" s="8"/>
      <c r="BJ53" s="8"/>
      <c r="BK53" s="8"/>
      <c r="BL53" s="8"/>
      <c r="BM53" s="8"/>
      <c r="BN53" s="8"/>
      <c r="BO53" s="8"/>
      <c r="BP53" s="8"/>
      <c r="BQ53" s="8"/>
      <c r="BR53" s="8"/>
      <c r="BS53" s="8"/>
      <c r="BT53" s="8"/>
      <c r="BU53" s="8"/>
      <c r="BV53" s="8"/>
      <c r="BW53" s="8"/>
      <c r="BX53" s="8"/>
      <c r="BY53" s="8"/>
      <c r="BZ53" s="8"/>
      <c r="CA53" s="8"/>
      <c r="CB53" s="8"/>
    </row>
    <row r="54" spans="5:80" ht="12" customHeight="1" x14ac:dyDescent="0.3">
      <c r="E54" s="282"/>
      <c r="F54" s="317"/>
      <c r="G54" s="317"/>
      <c r="H54" s="317"/>
      <c r="I54" s="486" t="s">
        <v>342</v>
      </c>
      <c r="J54" s="487" t="s">
        <v>346</v>
      </c>
      <c r="K54" s="8"/>
      <c r="L54" s="8"/>
      <c r="M54" s="8"/>
      <c r="N54" s="8"/>
      <c r="O54" s="8"/>
      <c r="P54" s="8"/>
      <c r="Q54" s="8"/>
      <c r="R54" s="8"/>
      <c r="S54" s="8"/>
      <c r="T54" s="8"/>
      <c r="U54" s="8"/>
      <c r="V54" s="8"/>
      <c r="W54" s="8"/>
      <c r="X54" s="8"/>
      <c r="Y54" s="8"/>
      <c r="Z54" s="8"/>
      <c r="AA54" s="8"/>
      <c r="AB54" s="8"/>
      <c r="AC54" s="8"/>
      <c r="AD54" s="8"/>
      <c r="AE54" s="8"/>
      <c r="AF54" s="8"/>
      <c r="AG54" s="8"/>
      <c r="AH54" s="8"/>
      <c r="AI54" s="8"/>
      <c r="AJ54" s="8"/>
      <c r="AK54" s="8"/>
      <c r="AL54" s="8"/>
      <c r="AM54" s="8"/>
      <c r="AN54" s="8"/>
      <c r="AO54" s="8"/>
      <c r="AP54" s="8"/>
      <c r="AQ54" s="8"/>
      <c r="AR54" s="8"/>
      <c r="AS54" s="8"/>
      <c r="AT54" s="8"/>
      <c r="AU54" s="8"/>
      <c r="AV54" s="8"/>
      <c r="AW54" s="8"/>
      <c r="AX54" s="8"/>
      <c r="AY54" s="8"/>
      <c r="AZ54" s="8"/>
      <c r="BA54" s="8"/>
      <c r="BB54" s="8"/>
      <c r="BC54" s="8"/>
      <c r="BD54" s="8"/>
      <c r="BE54" s="8"/>
      <c r="BF54" s="8"/>
      <c r="BG54" s="8"/>
      <c r="BH54" s="8"/>
      <c r="BI54" s="8"/>
      <c r="BJ54" s="8"/>
      <c r="BK54" s="8"/>
      <c r="BL54" s="8"/>
      <c r="BM54" s="8"/>
      <c r="BN54" s="8"/>
      <c r="BO54" s="8"/>
      <c r="BP54" s="8"/>
      <c r="BQ54" s="8"/>
      <c r="BR54" s="8"/>
      <c r="BS54" s="8"/>
      <c r="BT54" s="8"/>
      <c r="BU54" s="8"/>
      <c r="BV54" s="8"/>
      <c r="BW54" s="8"/>
      <c r="BX54" s="8"/>
      <c r="BY54" s="8"/>
      <c r="BZ54" s="8"/>
      <c r="CA54" s="8"/>
      <c r="CB54" s="8"/>
    </row>
    <row r="55" spans="5:80" ht="12" customHeight="1" x14ac:dyDescent="0.3">
      <c r="E55" s="273" t="s">
        <v>353</v>
      </c>
      <c r="I55" s="474">
        <f>XIRR($Q$46:$BY$46,$Q$20:$BY$20)</f>
        <v>0.14414125084877014</v>
      </c>
      <c r="J55" s="478">
        <f>XIRR($Q$50:$BY$50,$Q$20:$BY$20)</f>
        <v>0.1913598954677582</v>
      </c>
      <c r="L55" s="8"/>
      <c r="M55" s="8"/>
      <c r="N55" s="8"/>
      <c r="P55" s="8"/>
      <c r="Q55" s="8"/>
      <c r="R55" s="8"/>
      <c r="S55" s="8"/>
      <c r="T55" s="8"/>
      <c r="U55" s="8"/>
      <c r="V55" s="8"/>
      <c r="W55" s="8"/>
      <c r="X55" s="8"/>
      <c r="Y55" s="8"/>
      <c r="Z55" s="8"/>
      <c r="AA55" s="8"/>
      <c r="AB55" s="8"/>
      <c r="AC55" s="8"/>
      <c r="AD55" s="8"/>
      <c r="AE55" s="8"/>
      <c r="AF55" s="8"/>
      <c r="AG55" s="8"/>
      <c r="AH55" s="8"/>
      <c r="AI55" s="8"/>
      <c r="AJ55" s="8"/>
      <c r="AK55" s="8"/>
      <c r="AL55" s="8"/>
      <c r="AM55" s="8"/>
      <c r="AN55" s="8"/>
      <c r="AO55" s="8"/>
      <c r="AP55" s="8"/>
      <c r="AQ55" s="8"/>
      <c r="AR55" s="8"/>
      <c r="AS55" s="8"/>
      <c r="AT55" s="8"/>
      <c r="AU55" s="8"/>
      <c r="AV55" s="8"/>
      <c r="AW55" s="8"/>
      <c r="AX55" s="8"/>
      <c r="AY55" s="8"/>
      <c r="AZ55" s="8"/>
      <c r="BA55" s="8"/>
      <c r="BB55" s="8"/>
      <c r="BC55" s="8"/>
      <c r="BD55" s="8"/>
      <c r="BE55" s="8"/>
      <c r="BF55" s="8"/>
      <c r="BG55" s="8"/>
      <c r="BH55" s="8"/>
      <c r="BI55" s="8"/>
      <c r="BJ55" s="8"/>
      <c r="BK55" s="8"/>
      <c r="BL55" s="8"/>
      <c r="BM55" s="8"/>
      <c r="BN55" s="8"/>
      <c r="BO55" s="8"/>
      <c r="BP55" s="8"/>
      <c r="BQ55" s="8"/>
      <c r="BR55" s="8"/>
      <c r="BS55" s="8"/>
      <c r="BT55" s="8"/>
      <c r="BU55" s="8"/>
      <c r="BV55" s="8"/>
      <c r="BW55" s="8"/>
      <c r="BX55" s="8"/>
      <c r="BY55" s="8"/>
      <c r="BZ55" s="8"/>
      <c r="CA55" s="8"/>
      <c r="CB55" s="8"/>
    </row>
    <row r="56" spans="5:80" ht="12" customHeight="1" x14ac:dyDescent="0.3">
      <c r="E56" s="479" t="s">
        <v>264</v>
      </c>
      <c r="I56" s="483">
        <f>SUM(Q46:BY46)</f>
        <v>239668647.47640696</v>
      </c>
      <c r="J56" s="484">
        <f>SUM(Q50:BY50)</f>
        <v>163287944.86755115</v>
      </c>
      <c r="L56" s="8"/>
      <c r="M56" s="8"/>
      <c r="N56" s="8"/>
      <c r="O56" s="8"/>
      <c r="P56" s="8"/>
      <c r="Q56" s="8"/>
      <c r="R56" s="8"/>
      <c r="S56" s="8"/>
      <c r="T56" s="8"/>
      <c r="U56" s="8"/>
      <c r="V56" s="8"/>
      <c r="W56" s="8"/>
      <c r="X56" s="8"/>
      <c r="Y56" s="8"/>
      <c r="Z56" s="8"/>
      <c r="AA56" s="8"/>
      <c r="AB56" s="8"/>
      <c r="AC56" s="8"/>
      <c r="AD56" s="8"/>
      <c r="AE56" s="8"/>
      <c r="AF56" s="8"/>
      <c r="AG56" s="8"/>
      <c r="AH56" s="8"/>
      <c r="AI56" s="8"/>
      <c r="AJ56" s="8"/>
      <c r="AK56" s="8"/>
      <c r="AL56" s="8"/>
      <c r="AM56" s="8"/>
      <c r="AN56" s="8"/>
      <c r="AO56" s="8"/>
      <c r="AP56" s="8"/>
      <c r="AQ56" s="8"/>
      <c r="AR56" s="8"/>
      <c r="AS56" s="8"/>
      <c r="AT56" s="8"/>
      <c r="AU56" s="8"/>
      <c r="AV56" s="8"/>
      <c r="AW56" s="8"/>
      <c r="AX56" s="8"/>
      <c r="AY56" s="8"/>
      <c r="AZ56" s="8"/>
      <c r="BA56" s="8"/>
      <c r="BB56" s="8"/>
      <c r="BC56" s="8"/>
      <c r="BD56" s="8"/>
      <c r="BE56" s="8"/>
      <c r="BF56" s="8"/>
      <c r="BG56" s="8"/>
      <c r="BH56" s="8"/>
      <c r="BI56" s="8"/>
      <c r="BJ56" s="8"/>
      <c r="BK56" s="8"/>
      <c r="BL56" s="8"/>
      <c r="BM56" s="8"/>
      <c r="BN56" s="8"/>
      <c r="BO56" s="8"/>
      <c r="BP56" s="8"/>
      <c r="BQ56" s="8"/>
      <c r="BR56" s="8"/>
      <c r="BS56" s="8"/>
      <c r="BT56" s="8"/>
      <c r="BU56" s="8"/>
      <c r="BV56" s="8"/>
      <c r="BW56" s="8"/>
      <c r="BX56" s="8"/>
      <c r="BY56" s="8"/>
      <c r="BZ56" s="8"/>
      <c r="CA56" s="8"/>
      <c r="CB56" s="8"/>
    </row>
    <row r="57" spans="5:80" ht="12" customHeight="1" x14ac:dyDescent="0.3">
      <c r="E57" s="479" t="s">
        <v>265</v>
      </c>
      <c r="I57" s="483">
        <f>-SUMIFS($Q46:$BY46,$Q46:$BY46,"&lt;"&amp;0)</f>
        <v>349479497.48276085</v>
      </c>
      <c r="J57" s="484">
        <f>-SUMIFS($Q50:$BY50,$Q50:$BY50,"&lt;"&amp;0)</f>
        <v>153271379.65247455</v>
      </c>
      <c r="K57" s="291"/>
      <c r="L57" s="291"/>
      <c r="M57" s="291"/>
      <c r="N57" s="291"/>
      <c r="O57" s="8"/>
      <c r="P57" s="8"/>
      <c r="Q57" s="8"/>
      <c r="R57" s="8"/>
      <c r="S57" s="8"/>
      <c r="T57" s="8"/>
      <c r="U57" s="8"/>
      <c r="V57" s="8"/>
      <c r="W57" s="8"/>
      <c r="X57" s="8"/>
      <c r="Y57" s="8"/>
      <c r="Z57" s="8"/>
      <c r="AA57" s="8"/>
      <c r="AB57" s="8"/>
      <c r="AC57" s="8"/>
      <c r="AD57" s="8"/>
      <c r="AE57" s="8"/>
      <c r="AF57" s="8"/>
      <c r="AG57" s="8"/>
      <c r="AH57" s="8"/>
      <c r="AI57" s="8"/>
      <c r="AJ57" s="8"/>
      <c r="AK57" s="8"/>
      <c r="AL57" s="8"/>
      <c r="AM57" s="8"/>
      <c r="AN57" s="8"/>
      <c r="AO57" s="8"/>
      <c r="AP57" s="8"/>
      <c r="AQ57" s="8"/>
      <c r="AR57" s="8"/>
      <c r="AS57" s="8"/>
      <c r="AT57" s="8"/>
      <c r="AU57" s="8"/>
      <c r="AV57" s="8"/>
      <c r="AW57" s="8"/>
      <c r="AX57" s="8"/>
      <c r="AY57" s="8"/>
      <c r="AZ57" s="8"/>
      <c r="BA57" s="8"/>
      <c r="BB57" s="8"/>
      <c r="BC57" s="8"/>
      <c r="BD57" s="8"/>
      <c r="BE57" s="8"/>
      <c r="BF57" s="8"/>
      <c r="BG57" s="8"/>
      <c r="BH57" s="8"/>
      <c r="BI57" s="8"/>
      <c r="BJ57" s="8"/>
      <c r="BK57" s="8"/>
      <c r="BL57" s="8"/>
      <c r="BM57" s="8"/>
      <c r="BN57" s="8"/>
      <c r="BO57" s="8"/>
      <c r="BP57" s="8"/>
      <c r="BQ57" s="8"/>
      <c r="BR57" s="8"/>
      <c r="BS57" s="8"/>
      <c r="BT57" s="8"/>
      <c r="BU57" s="8"/>
      <c r="BV57" s="8"/>
      <c r="BW57" s="8"/>
      <c r="BX57" s="8"/>
      <c r="BY57" s="8"/>
      <c r="BZ57" s="8"/>
      <c r="CA57" s="8"/>
      <c r="CB57" s="8"/>
    </row>
    <row r="58" spans="5:80" ht="12" customHeight="1" x14ac:dyDescent="0.3">
      <c r="E58" s="273" t="s">
        <v>263</v>
      </c>
      <c r="I58" s="475">
        <f>(I56+I57)/I57</f>
        <v>1.6857874330331191</v>
      </c>
      <c r="J58" s="480">
        <f>(J56+J57)/J57</f>
        <v>2.0653518304447185</v>
      </c>
      <c r="K58" s="291"/>
      <c r="L58" s="291"/>
      <c r="M58" s="291"/>
      <c r="N58" s="291"/>
      <c r="O58" s="8"/>
      <c r="P58" s="8"/>
      <c r="Q58" s="8"/>
      <c r="R58" s="8"/>
      <c r="S58" s="8"/>
      <c r="T58" s="8"/>
      <c r="U58" s="8"/>
      <c r="V58" s="8"/>
      <c r="W58" s="8"/>
      <c r="X58" s="8"/>
      <c r="Y58" s="8"/>
      <c r="Z58" s="8"/>
      <c r="AA58" s="8"/>
      <c r="AB58" s="8"/>
      <c r="AC58" s="8"/>
      <c r="AD58" s="8"/>
      <c r="AE58" s="8"/>
      <c r="AF58" s="8"/>
      <c r="AG58" s="8"/>
      <c r="AH58" s="8"/>
      <c r="AI58" s="8"/>
      <c r="AJ58" s="8"/>
      <c r="AK58" s="8"/>
      <c r="AL58" s="8"/>
      <c r="AM58" s="8"/>
      <c r="AN58" s="8"/>
      <c r="AO58" s="8"/>
      <c r="AP58" s="8"/>
      <c r="AQ58" s="8"/>
      <c r="AR58" s="8"/>
      <c r="AS58" s="8"/>
      <c r="AT58" s="8"/>
      <c r="AU58" s="8"/>
      <c r="AV58" s="8"/>
      <c r="AW58" s="8"/>
      <c r="AX58" s="8"/>
      <c r="AY58" s="8"/>
      <c r="AZ58" s="8"/>
      <c r="BA58" s="8"/>
      <c r="BB58" s="8"/>
      <c r="BC58" s="8"/>
      <c r="BD58" s="8"/>
      <c r="BE58" s="8"/>
      <c r="BF58" s="8"/>
      <c r="BG58" s="8"/>
      <c r="BH58" s="8"/>
      <c r="BI58" s="8"/>
      <c r="BJ58" s="8"/>
      <c r="BK58" s="8"/>
      <c r="BL58" s="8"/>
      <c r="BM58" s="8"/>
      <c r="BN58" s="8"/>
      <c r="BO58" s="8"/>
      <c r="BP58" s="8"/>
      <c r="BQ58" s="8"/>
      <c r="BR58" s="8"/>
      <c r="BS58" s="8"/>
      <c r="BT58" s="8"/>
      <c r="BU58" s="8"/>
      <c r="BV58" s="8"/>
      <c r="BW58" s="8"/>
      <c r="BX58" s="8"/>
      <c r="BY58" s="8"/>
      <c r="BZ58" s="8"/>
      <c r="CA58" s="8"/>
      <c r="CB58" s="8"/>
    </row>
    <row r="59" spans="5:80" ht="12" customHeight="1" x14ac:dyDescent="0.3">
      <c r="E59" s="273" t="s">
        <v>344</v>
      </c>
      <c r="I59" s="342">
        <f>J47</f>
        <v>0.12662551005920822</v>
      </c>
      <c r="J59" s="481">
        <f>J51</f>
        <v>8.5900223299936421E-2</v>
      </c>
      <c r="K59" s="291"/>
      <c r="L59" s="291"/>
      <c r="M59" s="291"/>
      <c r="N59" s="291"/>
      <c r="O59" s="8"/>
      <c r="P59" s="8"/>
      <c r="Q59" s="8"/>
      <c r="R59" s="8"/>
      <c r="S59" s="8"/>
      <c r="T59" s="8"/>
      <c r="U59" s="8"/>
      <c r="V59" s="8"/>
      <c r="W59" s="8"/>
      <c r="X59" s="8"/>
      <c r="Y59" s="8"/>
      <c r="Z59" s="8"/>
      <c r="AA59" s="8"/>
      <c r="AB59" s="8"/>
      <c r="AC59" s="8"/>
      <c r="AD59" s="8"/>
      <c r="AE59" s="8"/>
      <c r="AF59" s="8"/>
      <c r="AG59" s="8"/>
      <c r="AH59" s="8"/>
      <c r="AI59" s="8"/>
      <c r="AJ59" s="8"/>
      <c r="AK59" s="8"/>
      <c r="AL59" s="8"/>
      <c r="AM59" s="8"/>
      <c r="AN59" s="8"/>
      <c r="AO59" s="8"/>
      <c r="AP59" s="8"/>
      <c r="AQ59" s="8"/>
      <c r="AR59" s="8"/>
      <c r="AS59" s="8"/>
      <c r="AT59" s="8"/>
      <c r="AU59" s="8"/>
      <c r="AV59" s="8"/>
      <c r="AW59" s="8"/>
      <c r="AX59" s="8"/>
      <c r="AY59" s="8"/>
      <c r="AZ59" s="8"/>
      <c r="BA59" s="8"/>
      <c r="BB59" s="8"/>
      <c r="BC59" s="8"/>
      <c r="BD59" s="8"/>
      <c r="BE59" s="8"/>
      <c r="BF59" s="8"/>
      <c r="BG59" s="8"/>
      <c r="BH59" s="8"/>
      <c r="BI59" s="8"/>
      <c r="BJ59" s="8"/>
      <c r="BK59" s="8"/>
      <c r="BL59" s="8"/>
      <c r="BM59" s="8"/>
      <c r="BN59" s="8"/>
      <c r="BO59" s="8"/>
      <c r="BP59" s="8"/>
      <c r="BQ59" s="8"/>
      <c r="BR59" s="8"/>
      <c r="BS59" s="8"/>
      <c r="BT59" s="8"/>
      <c r="BU59" s="8"/>
      <c r="BV59" s="8"/>
      <c r="BW59" s="8"/>
      <c r="BX59" s="8"/>
      <c r="BY59" s="8"/>
      <c r="BZ59" s="8"/>
      <c r="CA59" s="8"/>
      <c r="CB59" s="8"/>
    </row>
    <row r="60" spans="5:80" ht="12" customHeight="1" x14ac:dyDescent="0.3">
      <c r="E60" s="273" t="s">
        <v>345</v>
      </c>
      <c r="I60" s="342">
        <f>N47</f>
        <v>0.1552869255568087</v>
      </c>
      <c r="J60" s="481">
        <f>N51</f>
        <v>0.1045107728736131</v>
      </c>
      <c r="L60" s="8"/>
      <c r="M60" s="8"/>
      <c r="N60" s="8"/>
      <c r="O60" s="8"/>
      <c r="P60" s="8"/>
      <c r="Q60" s="8"/>
      <c r="R60" s="8"/>
      <c r="S60" s="8"/>
      <c r="T60" s="8"/>
      <c r="U60" s="8"/>
      <c r="V60" s="8"/>
      <c r="W60" s="8"/>
      <c r="X60" s="8"/>
      <c r="Y60" s="8"/>
      <c r="Z60" s="8"/>
      <c r="AA60" s="8"/>
      <c r="AB60" s="8"/>
      <c r="AC60" s="8"/>
      <c r="AD60" s="8"/>
      <c r="AE60" s="8"/>
      <c r="AF60" s="8"/>
      <c r="AG60" s="8"/>
      <c r="AH60" s="8"/>
      <c r="AI60" s="8"/>
      <c r="AJ60" s="8"/>
      <c r="AK60" s="8"/>
      <c r="AL60" s="8"/>
      <c r="AM60" s="8"/>
      <c r="AN60" s="8"/>
      <c r="AO60" s="8"/>
      <c r="AP60" s="8"/>
      <c r="AQ60" s="8"/>
      <c r="AR60" s="8"/>
      <c r="AS60" s="8"/>
      <c r="AT60" s="8"/>
      <c r="AU60" s="8"/>
      <c r="AV60" s="8"/>
      <c r="AW60" s="8"/>
      <c r="AX60" s="8"/>
      <c r="AY60" s="8"/>
      <c r="AZ60" s="8"/>
      <c r="BA60" s="8"/>
      <c r="BB60" s="8"/>
      <c r="BC60" s="8"/>
      <c r="BD60" s="8"/>
      <c r="BE60" s="8"/>
      <c r="BF60" s="8"/>
      <c r="BG60" s="8"/>
      <c r="BH60" s="8"/>
      <c r="BI60" s="8"/>
      <c r="BJ60" s="8"/>
      <c r="BK60" s="8"/>
      <c r="BL60" s="8"/>
      <c r="BM60" s="8"/>
      <c r="BN60" s="8"/>
      <c r="BO60" s="8"/>
      <c r="BP60" s="8"/>
      <c r="BQ60" s="8"/>
      <c r="BR60" s="8"/>
      <c r="BS60" s="8"/>
      <c r="BT60" s="8"/>
      <c r="BU60" s="8"/>
      <c r="BV60" s="8"/>
      <c r="BW60" s="8"/>
      <c r="BX60" s="8"/>
      <c r="BY60" s="8"/>
      <c r="BZ60" s="8"/>
      <c r="CA60" s="8"/>
      <c r="CB60" s="8"/>
    </row>
    <row r="61" spans="5:80" ht="12" customHeight="1" x14ac:dyDescent="0.3">
      <c r="E61" s="274" t="s">
        <v>271</v>
      </c>
      <c r="F61" s="29"/>
      <c r="G61" s="29"/>
      <c r="H61" s="29"/>
      <c r="I61" s="485">
        <f>AVERAGE(R47:BY47)</f>
        <v>0.14289887289984576</v>
      </c>
      <c r="J61" s="482">
        <f>AVERAGE(R51:BY51)</f>
        <v>0.11768079860884975</v>
      </c>
      <c r="L61" s="8"/>
      <c r="M61" s="8"/>
      <c r="N61" s="8"/>
      <c r="O61" s="8"/>
      <c r="P61" s="8"/>
      <c r="Q61" s="8"/>
      <c r="R61" s="8"/>
      <c r="S61" s="8"/>
      <c r="T61" s="8"/>
      <c r="U61" s="8"/>
      <c r="V61" s="8"/>
      <c r="W61" s="8"/>
      <c r="X61" s="8"/>
      <c r="Y61" s="8"/>
      <c r="Z61" s="8"/>
      <c r="AA61" s="8"/>
      <c r="AB61" s="8"/>
      <c r="AC61" s="8"/>
      <c r="AD61" s="8"/>
      <c r="AE61" s="8"/>
      <c r="AF61" s="8"/>
      <c r="AG61" s="8"/>
      <c r="AH61" s="8"/>
      <c r="AI61" s="8"/>
      <c r="AJ61" s="8"/>
      <c r="AK61" s="8"/>
      <c r="AL61" s="8"/>
      <c r="AM61" s="8"/>
      <c r="AN61" s="8"/>
      <c r="AO61" s="8"/>
      <c r="AP61" s="8"/>
      <c r="AQ61" s="8"/>
      <c r="AR61" s="8"/>
      <c r="AS61" s="8"/>
      <c r="AT61" s="8"/>
      <c r="AU61" s="8"/>
      <c r="AV61" s="8"/>
      <c r="AW61" s="8"/>
      <c r="AX61" s="8"/>
      <c r="AY61" s="8"/>
      <c r="AZ61" s="8"/>
      <c r="BA61" s="8"/>
      <c r="BB61" s="8"/>
      <c r="BC61" s="8"/>
      <c r="BD61" s="8"/>
      <c r="BE61" s="8"/>
      <c r="BF61" s="8"/>
      <c r="BG61" s="8"/>
      <c r="BH61" s="8"/>
      <c r="BI61" s="8"/>
      <c r="BJ61" s="8"/>
      <c r="BK61" s="8"/>
      <c r="BL61" s="8"/>
      <c r="BM61" s="8"/>
      <c r="BN61" s="8"/>
      <c r="BO61" s="8"/>
      <c r="BP61" s="8"/>
      <c r="BQ61" s="8"/>
      <c r="BR61" s="8"/>
      <c r="BS61" s="8"/>
      <c r="BT61" s="8"/>
      <c r="BU61" s="8"/>
      <c r="BV61" s="8"/>
      <c r="BW61" s="8"/>
      <c r="BX61" s="8"/>
      <c r="BY61" s="8"/>
      <c r="BZ61" s="8"/>
      <c r="CA61" s="8"/>
      <c r="CB61" s="8"/>
    </row>
    <row r="62" spans="5:80" ht="12" customHeight="1" x14ac:dyDescent="0.3">
      <c r="J62" s="477"/>
      <c r="L62" s="8"/>
      <c r="M62" s="8"/>
      <c r="N62" s="8"/>
      <c r="O62" s="8"/>
      <c r="P62" s="8"/>
      <c r="Q62" s="8"/>
      <c r="R62" s="8"/>
      <c r="S62" s="8"/>
      <c r="T62" s="8"/>
      <c r="U62" s="8"/>
      <c r="V62" s="8"/>
      <c r="W62" s="8"/>
      <c r="X62" s="8"/>
      <c r="Y62" s="8"/>
      <c r="Z62" s="8"/>
      <c r="AA62" s="8"/>
      <c r="AB62" s="8"/>
      <c r="AC62" s="8"/>
      <c r="AD62" s="8"/>
      <c r="AE62" s="8"/>
      <c r="AF62" s="8"/>
      <c r="AG62" s="8"/>
      <c r="AH62" s="8"/>
      <c r="AI62" s="8"/>
      <c r="AJ62" s="8"/>
      <c r="AK62" s="8"/>
      <c r="AL62" s="8"/>
      <c r="AM62" s="8"/>
      <c r="AN62" s="8"/>
      <c r="AO62" s="8"/>
      <c r="AP62" s="8"/>
      <c r="AQ62" s="8"/>
      <c r="AR62" s="8"/>
      <c r="AS62" s="8"/>
      <c r="AT62" s="8"/>
      <c r="AU62" s="8"/>
      <c r="AV62" s="8"/>
      <c r="AW62" s="8"/>
      <c r="AX62" s="8"/>
      <c r="AY62" s="8"/>
      <c r="AZ62" s="8"/>
      <c r="BA62" s="8"/>
      <c r="BB62" s="8"/>
      <c r="BC62" s="8"/>
      <c r="BD62" s="8"/>
      <c r="BE62" s="8"/>
      <c r="BF62" s="8"/>
      <c r="BG62" s="8"/>
      <c r="BH62" s="8"/>
      <c r="BI62" s="8"/>
      <c r="BJ62" s="8"/>
      <c r="BK62" s="8"/>
      <c r="BL62" s="8"/>
      <c r="BM62" s="8"/>
      <c r="BN62" s="8"/>
      <c r="BO62" s="8"/>
      <c r="BP62" s="8"/>
      <c r="BQ62" s="8"/>
      <c r="BR62" s="8"/>
      <c r="BS62" s="8"/>
      <c r="BT62" s="8"/>
      <c r="BU62" s="8"/>
      <c r="BV62" s="8"/>
      <c r="BW62" s="8"/>
      <c r="BX62" s="8"/>
      <c r="BY62" s="8"/>
      <c r="BZ62" s="8"/>
      <c r="CA62" s="8"/>
      <c r="CB62" s="8"/>
    </row>
    <row r="63" spans="5:80" ht="12" customHeight="1" x14ac:dyDescent="0.3">
      <c r="I63" s="342"/>
      <c r="L63" s="8"/>
      <c r="M63" s="8"/>
      <c r="N63" s="8"/>
      <c r="O63" s="8"/>
      <c r="P63" s="8"/>
      <c r="Q63" s="8"/>
      <c r="R63" s="8"/>
      <c r="S63" s="8"/>
      <c r="T63" s="8"/>
      <c r="U63" s="8"/>
      <c r="V63" s="8"/>
      <c r="W63" s="8"/>
      <c r="X63" s="8"/>
      <c r="Y63" s="8"/>
      <c r="Z63" s="8"/>
      <c r="AA63" s="8"/>
      <c r="AB63" s="8"/>
      <c r="AC63" s="8"/>
      <c r="AD63" s="8"/>
      <c r="AE63" s="8"/>
      <c r="AF63" s="8"/>
      <c r="AG63" s="8"/>
      <c r="AH63" s="8"/>
      <c r="AI63" s="8"/>
      <c r="AJ63" s="8"/>
      <c r="AK63" s="8"/>
      <c r="AL63" s="8"/>
      <c r="AM63" s="8"/>
      <c r="AN63" s="8"/>
      <c r="AO63" s="8"/>
      <c r="AP63" s="8"/>
      <c r="AQ63" s="8"/>
      <c r="AR63" s="8"/>
      <c r="AS63" s="8"/>
      <c r="AT63" s="8"/>
      <c r="AU63" s="8"/>
      <c r="AV63" s="8"/>
      <c r="AW63" s="8"/>
      <c r="AX63" s="8"/>
      <c r="AY63" s="8"/>
      <c r="AZ63" s="8"/>
      <c r="BA63" s="8"/>
      <c r="BB63" s="8"/>
      <c r="BC63" s="8"/>
      <c r="BD63" s="8"/>
      <c r="BE63" s="8"/>
      <c r="BF63" s="8"/>
      <c r="BG63" s="8"/>
      <c r="BH63" s="8"/>
      <c r="BI63" s="8"/>
      <c r="BJ63" s="8"/>
      <c r="BK63" s="8"/>
      <c r="BL63" s="8"/>
      <c r="BM63" s="8"/>
      <c r="BN63" s="8"/>
      <c r="BO63" s="8"/>
      <c r="BP63" s="8"/>
      <c r="BQ63" s="8"/>
      <c r="BR63" s="8"/>
      <c r="BS63" s="8"/>
      <c r="BT63" s="8"/>
      <c r="BU63" s="8"/>
      <c r="BV63" s="8"/>
      <c r="BW63" s="8"/>
      <c r="BX63" s="8"/>
      <c r="BY63" s="8"/>
      <c r="BZ63" s="8"/>
      <c r="CA63" s="8"/>
      <c r="CB63" s="8"/>
    </row>
  </sheetData>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13CA08-1653-4CC5-AB12-6D4221C1E146}">
  <sheetPr codeName="Sheet99">
    <tabColor rgb="FF808080"/>
  </sheetPr>
  <dimension ref="B1:IW53"/>
  <sheetViews>
    <sheetView showGridLines="0" workbookViewId="0"/>
  </sheetViews>
  <sheetFormatPr defaultColWidth="0" defaultRowHeight="13.5" x14ac:dyDescent="0.3"/>
  <cols>
    <col min="1" max="2" width="1.6640625" style="3" customWidth="1"/>
    <col min="3" max="3" width="3.33203125" style="3" customWidth="1"/>
    <col min="4" max="4" width="21.6640625" style="3" bestFit="1" customWidth="1"/>
    <col min="5" max="5" width="67.6640625" style="3" bestFit="1" customWidth="1"/>
    <col min="6" max="8" width="1.6640625" style="3" customWidth="1"/>
    <col min="9" max="14" width="13.33203125" style="3" customWidth="1"/>
    <col min="15" max="15" width="1.6640625" style="3" customWidth="1"/>
    <col min="16" max="78" width="13.33203125" style="3" customWidth="1"/>
    <col min="79" max="81" width="1.6640625" style="3" customWidth="1"/>
    <col min="82" max="257" width="9.33203125" style="3" hidden="1" customWidth="1"/>
    <col min="258" max="16384" width="0" style="3" hidden="1"/>
  </cols>
  <sheetData>
    <row r="1" spans="2:88" s="2" customFormat="1" x14ac:dyDescent="0.2"/>
    <row r="2" spans="2:88" s="88" customFormat="1" x14ac:dyDescent="0.2">
      <c r="B2" s="48" t="s">
        <v>37</v>
      </c>
      <c r="D2" s="49" t="s">
        <v>141</v>
      </c>
      <c r="E2" s="49"/>
      <c r="F2" s="49"/>
      <c r="G2" s="49"/>
      <c r="H2" s="49"/>
      <c r="I2" s="49"/>
      <c r="J2" s="49"/>
      <c r="K2" s="49"/>
      <c r="L2" s="49"/>
      <c r="M2" s="49"/>
      <c r="N2" s="49"/>
      <c r="O2" s="49"/>
      <c r="P2" s="49"/>
      <c r="Q2" s="49"/>
      <c r="R2" s="49"/>
      <c r="S2" s="49"/>
      <c r="T2" s="49"/>
      <c r="U2" s="49"/>
      <c r="V2" s="49"/>
      <c r="W2" s="49"/>
      <c r="X2" s="49"/>
      <c r="Y2" s="49"/>
      <c r="Z2" s="49"/>
      <c r="AA2" s="49"/>
      <c r="AB2" s="49"/>
      <c r="AC2" s="49"/>
      <c r="AD2" s="49"/>
      <c r="AE2" s="49"/>
      <c r="AF2" s="49"/>
      <c r="AG2" s="49"/>
      <c r="AH2" s="49"/>
      <c r="AI2" s="49"/>
      <c r="AJ2" s="49"/>
      <c r="AK2" s="49"/>
      <c r="AL2" s="49"/>
      <c r="AM2" s="49"/>
      <c r="AN2" s="49"/>
      <c r="AO2" s="49"/>
      <c r="AP2" s="49"/>
      <c r="AQ2" s="49"/>
      <c r="AR2" s="49"/>
      <c r="AS2" s="49"/>
      <c r="AT2" s="49"/>
      <c r="AU2" s="49"/>
      <c r="AV2" s="49"/>
      <c r="AW2" s="49"/>
      <c r="AX2" s="49"/>
      <c r="AY2" s="49"/>
      <c r="AZ2" s="49"/>
      <c r="BA2" s="49"/>
      <c r="BB2" s="49"/>
      <c r="BC2" s="49"/>
      <c r="BD2" s="49"/>
      <c r="BE2" s="49"/>
      <c r="BF2" s="49"/>
      <c r="BG2" s="49"/>
      <c r="BH2" s="49"/>
      <c r="BI2" s="49"/>
      <c r="BJ2" s="49"/>
      <c r="BK2" s="49"/>
      <c r="BL2" s="49"/>
      <c r="BM2" s="49"/>
      <c r="BN2" s="49"/>
      <c r="BO2" s="49"/>
      <c r="BP2" s="49"/>
      <c r="BQ2" s="49"/>
      <c r="BR2" s="49"/>
      <c r="BS2" s="49"/>
      <c r="BT2" s="49"/>
      <c r="BU2" s="49"/>
      <c r="BV2" s="49"/>
      <c r="BW2" s="49"/>
      <c r="BX2" s="49"/>
      <c r="BY2" s="49"/>
      <c r="BZ2" s="49"/>
    </row>
    <row r="3" spans="2:88" s="2" customFormat="1" x14ac:dyDescent="0.2">
      <c r="D3" s="16"/>
    </row>
    <row r="4" spans="2:88" s="2" customFormat="1" x14ac:dyDescent="0.2">
      <c r="H4" s="160"/>
      <c r="I4" s="160"/>
      <c r="J4" s="40" t="str">
        <f>'Detailed Assumptions'!F$17</f>
        <v>FY27E</v>
      </c>
      <c r="K4" s="40" t="str">
        <f>'Detailed Assumptions'!G$17</f>
        <v>FY28E</v>
      </c>
      <c r="L4" s="40" t="str">
        <f>'Detailed Assumptions'!H$17</f>
        <v>FY29E</v>
      </c>
      <c r="M4" s="40" t="str">
        <f>'Detailed Assumptions'!I$17</f>
        <v>FY30E</v>
      </c>
      <c r="N4" s="40" t="str">
        <f>'Detailed Assumptions'!J$17</f>
        <v>FY31E</v>
      </c>
      <c r="O4" s="160"/>
      <c r="P4" s="160"/>
      <c r="Q4" s="160"/>
      <c r="R4" s="40" t="str" cm="1">
        <f t="array" ref="R4">INDEX(Index_Tab!$F$4:$K$4,MATCH(1,(R6&gt;=Index_Tab!$F$5:$K$5)*(R6&lt;=Index_Tab!$F$17:$K$17),0))</f>
        <v>FY26E</v>
      </c>
      <c r="S4" s="40" t="str" cm="1">
        <f t="array" ref="S4">INDEX(Index_Tab!$F$4:$K$4,MATCH(1,(S6&gt;=Index_Tab!$F$5:$K$5)*(S6&lt;=Index_Tab!$F$17:$K$17),0))</f>
        <v>FY27E</v>
      </c>
      <c r="T4" s="40" t="str" cm="1">
        <f t="array" ref="T4">INDEX(Index_Tab!$F$4:$K$4,MATCH(1,(T6&gt;=Index_Tab!$F$5:$K$5)*(T6&lt;=Index_Tab!$F$17:$K$17),0))</f>
        <v>FY27E</v>
      </c>
      <c r="U4" s="40" t="str" cm="1">
        <f t="array" ref="U4">INDEX(Index_Tab!$F$4:$K$4,MATCH(1,(U6&gt;=Index_Tab!$F$5:$K$5)*(U6&lt;=Index_Tab!$F$17:$K$17),0))</f>
        <v>FY27E</v>
      </c>
      <c r="V4" s="40" t="str" cm="1">
        <f t="array" ref="V4">INDEX(Index_Tab!$F$4:$K$4,MATCH(1,(V6&gt;=Index_Tab!$F$5:$K$5)*(V6&lt;=Index_Tab!$F$17:$K$17),0))</f>
        <v>FY27E</v>
      </c>
      <c r="W4" s="40" t="str" cm="1">
        <f t="array" ref="W4">INDEX(Index_Tab!$F$4:$K$4,MATCH(1,(W6&gt;=Index_Tab!$F$5:$K$5)*(W6&lt;=Index_Tab!$F$17:$K$17),0))</f>
        <v>FY27E</v>
      </c>
      <c r="X4" s="40" t="str" cm="1">
        <f t="array" ref="X4">INDEX(Index_Tab!$F$4:$K$4,MATCH(1,(X6&gt;=Index_Tab!$F$5:$K$5)*(X6&lt;=Index_Tab!$F$17:$K$17),0))</f>
        <v>FY27E</v>
      </c>
      <c r="Y4" s="40" t="str" cm="1">
        <f t="array" ref="Y4">INDEX(Index_Tab!$F$4:$K$4,MATCH(1,(Y6&gt;=Index_Tab!$F$5:$K$5)*(Y6&lt;=Index_Tab!$F$17:$K$17),0))</f>
        <v>FY27E</v>
      </c>
      <c r="Z4" s="40" t="str" cm="1">
        <f t="array" ref="Z4">INDEX(Index_Tab!$F$4:$K$4,MATCH(1,(Z6&gt;=Index_Tab!$F$5:$K$5)*(Z6&lt;=Index_Tab!$F$17:$K$17),0))</f>
        <v>FY27E</v>
      </c>
      <c r="AA4" s="40" t="str" cm="1">
        <f t="array" ref="AA4">INDEX(Index_Tab!$F$4:$K$4,MATCH(1,(AA6&gt;=Index_Tab!$F$5:$K$5)*(AA6&lt;=Index_Tab!$F$17:$K$17),0))</f>
        <v>FY27E</v>
      </c>
      <c r="AB4" s="40" t="str" cm="1">
        <f t="array" ref="AB4">INDEX(Index_Tab!$F$4:$K$4,MATCH(1,(AB6&gt;=Index_Tab!$F$5:$K$5)*(AB6&lt;=Index_Tab!$F$17:$K$17),0))</f>
        <v>FY27E</v>
      </c>
      <c r="AC4" s="40" t="str" cm="1">
        <f t="array" ref="AC4">INDEX(Index_Tab!$F$4:$K$4,MATCH(1,(AC6&gt;=Index_Tab!$F$5:$K$5)*(AC6&lt;=Index_Tab!$F$17:$K$17),0))</f>
        <v>FY27E</v>
      </c>
      <c r="AD4" s="40" t="str" cm="1">
        <f t="array" ref="AD4">INDEX(Index_Tab!$F$4:$K$4,MATCH(1,(AD6&gt;=Index_Tab!$F$5:$K$5)*(AD6&lt;=Index_Tab!$F$17:$K$17),0))</f>
        <v>FY27E</v>
      </c>
      <c r="AE4" s="40" t="str" cm="1">
        <f t="array" ref="AE4">INDEX(Index_Tab!$F$4:$K$4,MATCH(1,(AE6&gt;=Index_Tab!$F$5:$K$5)*(AE6&lt;=Index_Tab!$F$17:$K$17),0))</f>
        <v>FY28E</v>
      </c>
      <c r="AF4" s="40" t="str" cm="1">
        <f t="array" ref="AF4">INDEX(Index_Tab!$F$4:$K$4,MATCH(1,(AF6&gt;=Index_Tab!$F$5:$K$5)*(AF6&lt;=Index_Tab!$F$17:$K$17),0))</f>
        <v>FY28E</v>
      </c>
      <c r="AG4" s="40" t="str" cm="1">
        <f t="array" ref="AG4">INDEX(Index_Tab!$F$4:$K$4,MATCH(1,(AG6&gt;=Index_Tab!$F$5:$K$5)*(AG6&lt;=Index_Tab!$F$17:$K$17),0))</f>
        <v>FY28E</v>
      </c>
      <c r="AH4" s="40" t="str" cm="1">
        <f t="array" ref="AH4">INDEX(Index_Tab!$F$4:$K$4,MATCH(1,(AH6&gt;=Index_Tab!$F$5:$K$5)*(AH6&lt;=Index_Tab!$F$17:$K$17),0))</f>
        <v>FY28E</v>
      </c>
      <c r="AI4" s="40" t="str" cm="1">
        <f t="array" ref="AI4">INDEX(Index_Tab!$F$4:$K$4,MATCH(1,(AI6&gt;=Index_Tab!$F$5:$K$5)*(AI6&lt;=Index_Tab!$F$17:$K$17),0))</f>
        <v>FY28E</v>
      </c>
      <c r="AJ4" s="40" t="str" cm="1">
        <f t="array" ref="AJ4">INDEX(Index_Tab!$F$4:$K$4,MATCH(1,(AJ6&gt;=Index_Tab!$F$5:$K$5)*(AJ6&lt;=Index_Tab!$F$17:$K$17),0))</f>
        <v>FY28E</v>
      </c>
      <c r="AK4" s="40" t="str" cm="1">
        <f t="array" ref="AK4">INDEX(Index_Tab!$F$4:$K$4,MATCH(1,(AK6&gt;=Index_Tab!$F$5:$K$5)*(AK6&lt;=Index_Tab!$F$17:$K$17),0))</f>
        <v>FY28E</v>
      </c>
      <c r="AL4" s="40" t="str" cm="1">
        <f t="array" ref="AL4">INDEX(Index_Tab!$F$4:$K$4,MATCH(1,(AL6&gt;=Index_Tab!$F$5:$K$5)*(AL6&lt;=Index_Tab!$F$17:$K$17),0))</f>
        <v>FY28E</v>
      </c>
      <c r="AM4" s="40" t="str" cm="1">
        <f t="array" ref="AM4">INDEX(Index_Tab!$F$4:$K$4,MATCH(1,(AM6&gt;=Index_Tab!$F$5:$K$5)*(AM6&lt;=Index_Tab!$F$17:$K$17),0))</f>
        <v>FY28E</v>
      </c>
      <c r="AN4" s="40" t="str" cm="1">
        <f t="array" ref="AN4">INDEX(Index_Tab!$F$4:$K$4,MATCH(1,(AN6&gt;=Index_Tab!$F$5:$K$5)*(AN6&lt;=Index_Tab!$F$17:$K$17),0))</f>
        <v>FY28E</v>
      </c>
      <c r="AO4" s="40" t="str" cm="1">
        <f t="array" ref="AO4">INDEX(Index_Tab!$F$4:$K$4,MATCH(1,(AO6&gt;=Index_Tab!$F$5:$K$5)*(AO6&lt;=Index_Tab!$F$17:$K$17),0))</f>
        <v>FY28E</v>
      </c>
      <c r="AP4" s="40" t="str" cm="1">
        <f t="array" ref="AP4">INDEX(Index_Tab!$F$4:$K$4,MATCH(1,(AP6&gt;=Index_Tab!$F$5:$K$5)*(AP6&lt;=Index_Tab!$F$17:$K$17),0))</f>
        <v>FY28E</v>
      </c>
      <c r="AQ4" s="40" t="str" cm="1">
        <f t="array" ref="AQ4">INDEX(Index_Tab!$F$4:$K$4,MATCH(1,(AQ6&gt;=Index_Tab!$F$5:$K$5)*(AQ6&lt;=Index_Tab!$F$17:$K$17),0))</f>
        <v>FY29E</v>
      </c>
      <c r="AR4" s="40" t="str" cm="1">
        <f t="array" ref="AR4">INDEX(Index_Tab!$F$4:$K$4,MATCH(1,(AR6&gt;=Index_Tab!$F$5:$K$5)*(AR6&lt;=Index_Tab!$F$17:$K$17),0))</f>
        <v>FY29E</v>
      </c>
      <c r="AS4" s="40" t="str" cm="1">
        <f t="array" ref="AS4">INDEX(Index_Tab!$F$4:$K$4,MATCH(1,(AS6&gt;=Index_Tab!$F$5:$K$5)*(AS6&lt;=Index_Tab!$F$17:$K$17),0))</f>
        <v>FY29E</v>
      </c>
      <c r="AT4" s="40" t="str" cm="1">
        <f t="array" ref="AT4">INDEX(Index_Tab!$F$4:$K$4,MATCH(1,(AT6&gt;=Index_Tab!$F$5:$K$5)*(AT6&lt;=Index_Tab!$F$17:$K$17),0))</f>
        <v>FY29E</v>
      </c>
      <c r="AU4" s="40" t="str" cm="1">
        <f t="array" ref="AU4">INDEX(Index_Tab!$F$4:$K$4,MATCH(1,(AU6&gt;=Index_Tab!$F$5:$K$5)*(AU6&lt;=Index_Tab!$F$17:$K$17),0))</f>
        <v>FY29E</v>
      </c>
      <c r="AV4" s="40" t="str" cm="1">
        <f t="array" ref="AV4">INDEX(Index_Tab!$F$4:$K$4,MATCH(1,(AV6&gt;=Index_Tab!$F$5:$K$5)*(AV6&lt;=Index_Tab!$F$17:$K$17),0))</f>
        <v>FY29E</v>
      </c>
      <c r="AW4" s="40" t="str" cm="1">
        <f t="array" ref="AW4">INDEX(Index_Tab!$F$4:$K$4,MATCH(1,(AW6&gt;=Index_Tab!$F$5:$K$5)*(AW6&lt;=Index_Tab!$F$17:$K$17),0))</f>
        <v>FY29E</v>
      </c>
      <c r="AX4" s="40" t="str" cm="1">
        <f t="array" ref="AX4">INDEX(Index_Tab!$F$4:$K$4,MATCH(1,(AX6&gt;=Index_Tab!$F$5:$K$5)*(AX6&lt;=Index_Tab!$F$17:$K$17),0))</f>
        <v>FY29E</v>
      </c>
      <c r="AY4" s="40" t="str" cm="1">
        <f t="array" ref="AY4">INDEX(Index_Tab!$F$4:$K$4,MATCH(1,(AY6&gt;=Index_Tab!$F$5:$K$5)*(AY6&lt;=Index_Tab!$F$17:$K$17),0))</f>
        <v>FY29E</v>
      </c>
      <c r="AZ4" s="40" t="str" cm="1">
        <f t="array" ref="AZ4">INDEX(Index_Tab!$F$4:$K$4,MATCH(1,(AZ6&gt;=Index_Tab!$F$5:$K$5)*(AZ6&lt;=Index_Tab!$F$17:$K$17),0))</f>
        <v>FY29E</v>
      </c>
      <c r="BA4" s="40" t="str" cm="1">
        <f t="array" ref="BA4">INDEX(Index_Tab!$F$4:$K$4,MATCH(1,(BA6&gt;=Index_Tab!$F$5:$K$5)*(BA6&lt;=Index_Tab!$F$17:$K$17),0))</f>
        <v>FY29E</v>
      </c>
      <c r="BB4" s="40" t="str" cm="1">
        <f t="array" ref="BB4">INDEX(Index_Tab!$F$4:$K$4,MATCH(1,(BB6&gt;=Index_Tab!$F$5:$K$5)*(BB6&lt;=Index_Tab!$F$17:$K$17),0))</f>
        <v>FY29E</v>
      </c>
      <c r="BC4" s="40" t="str" cm="1">
        <f t="array" ref="BC4">INDEX(Index_Tab!$F$4:$K$4,MATCH(1,(BC6&gt;=Index_Tab!$F$5:$K$5)*(BC6&lt;=Index_Tab!$F$17:$K$17),0))</f>
        <v>FY30E</v>
      </c>
      <c r="BD4" s="40" t="str" cm="1">
        <f t="array" ref="BD4">INDEX(Index_Tab!$F$4:$K$4,MATCH(1,(BD6&gt;=Index_Tab!$F$5:$K$5)*(BD6&lt;=Index_Tab!$F$17:$K$17),0))</f>
        <v>FY30E</v>
      </c>
      <c r="BE4" s="40" t="str" cm="1">
        <f t="array" ref="BE4">INDEX(Index_Tab!$F$4:$K$4,MATCH(1,(BE6&gt;=Index_Tab!$F$5:$K$5)*(BE6&lt;=Index_Tab!$F$17:$K$17),0))</f>
        <v>FY30E</v>
      </c>
      <c r="BF4" s="40" t="str" cm="1">
        <f t="array" ref="BF4">INDEX(Index_Tab!$F$4:$K$4,MATCH(1,(BF6&gt;=Index_Tab!$F$5:$K$5)*(BF6&lt;=Index_Tab!$F$17:$K$17),0))</f>
        <v>FY30E</v>
      </c>
      <c r="BG4" s="40" t="str" cm="1">
        <f t="array" ref="BG4">INDEX(Index_Tab!$F$4:$K$4,MATCH(1,(BG6&gt;=Index_Tab!$F$5:$K$5)*(BG6&lt;=Index_Tab!$F$17:$K$17),0))</f>
        <v>FY30E</v>
      </c>
      <c r="BH4" s="40" t="str" cm="1">
        <f t="array" ref="BH4">INDEX(Index_Tab!$F$4:$K$4,MATCH(1,(BH6&gt;=Index_Tab!$F$5:$K$5)*(BH6&lt;=Index_Tab!$F$17:$K$17),0))</f>
        <v>FY30E</v>
      </c>
      <c r="BI4" s="40" t="str" cm="1">
        <f t="array" ref="BI4">INDEX(Index_Tab!$F$4:$K$4,MATCH(1,(BI6&gt;=Index_Tab!$F$5:$K$5)*(BI6&lt;=Index_Tab!$F$17:$K$17),0))</f>
        <v>FY30E</v>
      </c>
      <c r="BJ4" s="40" t="str" cm="1">
        <f t="array" ref="BJ4">INDEX(Index_Tab!$F$4:$K$4,MATCH(1,(BJ6&gt;=Index_Tab!$F$5:$K$5)*(BJ6&lt;=Index_Tab!$F$17:$K$17),0))</f>
        <v>FY30E</v>
      </c>
      <c r="BK4" s="40" t="str" cm="1">
        <f t="array" ref="BK4">INDEX(Index_Tab!$F$4:$K$4,MATCH(1,(BK6&gt;=Index_Tab!$F$5:$K$5)*(BK6&lt;=Index_Tab!$F$17:$K$17),0))</f>
        <v>FY30E</v>
      </c>
      <c r="BL4" s="40" t="str" cm="1">
        <f t="array" ref="BL4">INDEX(Index_Tab!$F$4:$K$4,MATCH(1,(BL6&gt;=Index_Tab!$F$5:$K$5)*(BL6&lt;=Index_Tab!$F$17:$K$17),0))</f>
        <v>FY30E</v>
      </c>
      <c r="BM4" s="40" t="str" cm="1">
        <f t="array" ref="BM4">INDEX(Index_Tab!$F$4:$K$4,MATCH(1,(BM6&gt;=Index_Tab!$F$5:$K$5)*(BM6&lt;=Index_Tab!$F$17:$K$17),0))</f>
        <v>FY30E</v>
      </c>
      <c r="BN4" s="40" t="str" cm="1">
        <f t="array" ref="BN4">INDEX(Index_Tab!$F$4:$K$4,MATCH(1,(BN6&gt;=Index_Tab!$F$5:$K$5)*(BN6&lt;=Index_Tab!$F$17:$K$17),0))</f>
        <v>FY30E</v>
      </c>
      <c r="BO4" s="40" t="str" cm="1">
        <f t="array" ref="BO4">INDEX(Index_Tab!$F$4:$K$4,MATCH(1,(BO6&gt;=Index_Tab!$F$5:$K$5)*(BO6&lt;=Index_Tab!$F$17:$K$17),0))</f>
        <v>FY31E</v>
      </c>
      <c r="BP4" s="40" t="str" cm="1">
        <f t="array" ref="BP4">INDEX(Index_Tab!$F$4:$K$4,MATCH(1,(BP6&gt;=Index_Tab!$F$5:$K$5)*(BP6&lt;=Index_Tab!$F$17:$K$17),0))</f>
        <v>FY31E</v>
      </c>
      <c r="BQ4" s="40" t="str" cm="1">
        <f t="array" ref="BQ4">INDEX(Index_Tab!$F$4:$K$4,MATCH(1,(BQ6&gt;=Index_Tab!$F$5:$K$5)*(BQ6&lt;=Index_Tab!$F$17:$K$17),0))</f>
        <v>FY31E</v>
      </c>
      <c r="BR4" s="40" t="str" cm="1">
        <f t="array" ref="BR4">INDEX(Index_Tab!$F$4:$K$4,MATCH(1,(BR6&gt;=Index_Tab!$F$5:$K$5)*(BR6&lt;=Index_Tab!$F$17:$K$17),0))</f>
        <v>FY31E</v>
      </c>
      <c r="BS4" s="40" t="str" cm="1">
        <f t="array" ref="BS4">INDEX(Index_Tab!$F$4:$K$4,MATCH(1,(BS6&gt;=Index_Tab!$F$5:$K$5)*(BS6&lt;=Index_Tab!$F$17:$K$17),0))</f>
        <v>FY31E</v>
      </c>
      <c r="BT4" s="40" t="str" cm="1">
        <f t="array" ref="BT4">INDEX(Index_Tab!$F$4:$K$4,MATCH(1,(BT6&gt;=Index_Tab!$F$5:$K$5)*(BT6&lt;=Index_Tab!$F$17:$K$17),0))</f>
        <v>FY31E</v>
      </c>
      <c r="BU4" s="40" t="str" cm="1">
        <f t="array" ref="BU4">INDEX(Index_Tab!$F$4:$K$4,MATCH(1,(BU6&gt;=Index_Tab!$F$5:$K$5)*(BU6&lt;=Index_Tab!$F$17:$K$17),0))</f>
        <v>FY31E</v>
      </c>
      <c r="BV4" s="40" t="str" cm="1">
        <f t="array" ref="BV4">INDEX(Index_Tab!$F$4:$K$4,MATCH(1,(BV6&gt;=Index_Tab!$F$5:$K$5)*(BV6&lt;=Index_Tab!$F$17:$K$17),0))</f>
        <v>FY31E</v>
      </c>
      <c r="BW4" s="40" t="str" cm="1">
        <f t="array" ref="BW4">INDEX(Index_Tab!$F$4:$K$4,MATCH(1,(BW6&gt;=Index_Tab!$F$5:$K$5)*(BW6&lt;=Index_Tab!$F$17:$K$17),0))</f>
        <v>FY31E</v>
      </c>
      <c r="BX4" s="40" t="str" cm="1">
        <f t="array" ref="BX4">INDEX(Index_Tab!$F$4:$K$4,MATCH(1,(BX6&gt;=Index_Tab!$F$5:$K$5)*(BX6&lt;=Index_Tab!$F$17:$K$17),0))</f>
        <v>FY31E</v>
      </c>
      <c r="BY4" s="40" t="str" cm="1">
        <f t="array" ref="BY4">INDEX(Index_Tab!$F$4:$K$4,MATCH(1,(BY6&gt;=Index_Tab!$F$5:$K$5)*(BY6&lt;=Index_Tab!$F$17:$K$17),0))</f>
        <v>FY31E</v>
      </c>
      <c r="BZ4" s="40" t="str" cm="1">
        <f t="array" ref="BZ4">INDEX(Index_Tab!$F$4:$K$4,MATCH(1,(BZ6&gt;=Index_Tab!$F$5:$K$5)*(BZ6&lt;=Index_Tab!$F$17:$K$17),0))</f>
        <v>FY31E</v>
      </c>
    </row>
    <row r="5" spans="2:88" s="2" customFormat="1" x14ac:dyDescent="0.2">
      <c r="D5" s="20" t="s">
        <v>138</v>
      </c>
      <c r="E5" s="20"/>
      <c r="F5" s="20"/>
      <c r="G5" s="20"/>
      <c r="H5" s="43"/>
      <c r="I5" s="43"/>
      <c r="J5" s="44">
        <f>Index_Tab!G5</f>
        <v>46296</v>
      </c>
      <c r="K5" s="44">
        <f>J6+1</f>
        <v>46661</v>
      </c>
      <c r="L5" s="44">
        <f>K6+1</f>
        <v>47027</v>
      </c>
      <c r="M5" s="44">
        <f>L6+1</f>
        <v>47392</v>
      </c>
      <c r="N5" s="44">
        <f>M6+1</f>
        <v>47757</v>
      </c>
      <c r="O5" s="43"/>
      <c r="P5" s="43"/>
      <c r="Q5" s="43"/>
      <c r="R5" s="43">
        <f>EDATE(S5,-1)</f>
        <v>46266</v>
      </c>
      <c r="S5" s="43">
        <f>J5</f>
        <v>46296</v>
      </c>
      <c r="T5" s="43">
        <f t="shared" ref="T5:BZ5" si="0">S6+1</f>
        <v>46327</v>
      </c>
      <c r="U5" s="43">
        <f t="shared" si="0"/>
        <v>46357</v>
      </c>
      <c r="V5" s="43">
        <f t="shared" si="0"/>
        <v>46388</v>
      </c>
      <c r="W5" s="43">
        <f t="shared" si="0"/>
        <v>46419</v>
      </c>
      <c r="X5" s="43">
        <f t="shared" si="0"/>
        <v>46447</v>
      </c>
      <c r="Y5" s="43">
        <f t="shared" si="0"/>
        <v>46478</v>
      </c>
      <c r="Z5" s="43">
        <f t="shared" si="0"/>
        <v>46508</v>
      </c>
      <c r="AA5" s="43">
        <f t="shared" si="0"/>
        <v>46539</v>
      </c>
      <c r="AB5" s="43">
        <f t="shared" si="0"/>
        <v>46569</v>
      </c>
      <c r="AC5" s="43">
        <f t="shared" si="0"/>
        <v>46600</v>
      </c>
      <c r="AD5" s="43">
        <f t="shared" si="0"/>
        <v>46631</v>
      </c>
      <c r="AE5" s="43">
        <f t="shared" si="0"/>
        <v>46661</v>
      </c>
      <c r="AF5" s="43">
        <f t="shared" si="0"/>
        <v>46692</v>
      </c>
      <c r="AG5" s="43">
        <f t="shared" si="0"/>
        <v>46722</v>
      </c>
      <c r="AH5" s="43">
        <f t="shared" si="0"/>
        <v>46753</v>
      </c>
      <c r="AI5" s="43">
        <f t="shared" si="0"/>
        <v>46784</v>
      </c>
      <c r="AJ5" s="43">
        <f t="shared" si="0"/>
        <v>46813</v>
      </c>
      <c r="AK5" s="43">
        <f t="shared" si="0"/>
        <v>46844</v>
      </c>
      <c r="AL5" s="43">
        <f t="shared" si="0"/>
        <v>46874</v>
      </c>
      <c r="AM5" s="43">
        <f t="shared" si="0"/>
        <v>46905</v>
      </c>
      <c r="AN5" s="43">
        <f t="shared" si="0"/>
        <v>46935</v>
      </c>
      <c r="AO5" s="43">
        <f t="shared" si="0"/>
        <v>46966</v>
      </c>
      <c r="AP5" s="43">
        <f t="shared" si="0"/>
        <v>46997</v>
      </c>
      <c r="AQ5" s="43">
        <f t="shared" si="0"/>
        <v>47027</v>
      </c>
      <c r="AR5" s="43">
        <f t="shared" si="0"/>
        <v>47058</v>
      </c>
      <c r="AS5" s="43">
        <f t="shared" si="0"/>
        <v>47088</v>
      </c>
      <c r="AT5" s="43">
        <f t="shared" si="0"/>
        <v>47119</v>
      </c>
      <c r="AU5" s="43">
        <f t="shared" si="0"/>
        <v>47150</v>
      </c>
      <c r="AV5" s="43">
        <f t="shared" si="0"/>
        <v>47178</v>
      </c>
      <c r="AW5" s="43">
        <f t="shared" si="0"/>
        <v>47209</v>
      </c>
      <c r="AX5" s="43">
        <f t="shared" si="0"/>
        <v>47239</v>
      </c>
      <c r="AY5" s="43">
        <f t="shared" si="0"/>
        <v>47270</v>
      </c>
      <c r="AZ5" s="43">
        <f t="shared" si="0"/>
        <v>47300</v>
      </c>
      <c r="BA5" s="43">
        <f t="shared" si="0"/>
        <v>47331</v>
      </c>
      <c r="BB5" s="43">
        <f t="shared" si="0"/>
        <v>47362</v>
      </c>
      <c r="BC5" s="43">
        <f t="shared" si="0"/>
        <v>47392</v>
      </c>
      <c r="BD5" s="43">
        <f t="shared" si="0"/>
        <v>47423</v>
      </c>
      <c r="BE5" s="43">
        <f t="shared" si="0"/>
        <v>47453</v>
      </c>
      <c r="BF5" s="43">
        <f t="shared" si="0"/>
        <v>47484</v>
      </c>
      <c r="BG5" s="43">
        <f t="shared" si="0"/>
        <v>47515</v>
      </c>
      <c r="BH5" s="43">
        <f t="shared" si="0"/>
        <v>47543</v>
      </c>
      <c r="BI5" s="43">
        <f t="shared" si="0"/>
        <v>47574</v>
      </c>
      <c r="BJ5" s="43">
        <f t="shared" si="0"/>
        <v>47604</v>
      </c>
      <c r="BK5" s="43">
        <f t="shared" si="0"/>
        <v>47635</v>
      </c>
      <c r="BL5" s="43">
        <f t="shared" si="0"/>
        <v>47665</v>
      </c>
      <c r="BM5" s="43">
        <f t="shared" si="0"/>
        <v>47696</v>
      </c>
      <c r="BN5" s="43">
        <f t="shared" si="0"/>
        <v>47727</v>
      </c>
      <c r="BO5" s="43">
        <f t="shared" si="0"/>
        <v>47757</v>
      </c>
      <c r="BP5" s="43">
        <f t="shared" si="0"/>
        <v>47788</v>
      </c>
      <c r="BQ5" s="43">
        <f t="shared" si="0"/>
        <v>47818</v>
      </c>
      <c r="BR5" s="43">
        <f t="shared" si="0"/>
        <v>47849</v>
      </c>
      <c r="BS5" s="43">
        <f t="shared" si="0"/>
        <v>47880</v>
      </c>
      <c r="BT5" s="43">
        <f t="shared" si="0"/>
        <v>47908</v>
      </c>
      <c r="BU5" s="43">
        <f t="shared" si="0"/>
        <v>47939</v>
      </c>
      <c r="BV5" s="43">
        <f t="shared" si="0"/>
        <v>47969</v>
      </c>
      <c r="BW5" s="43">
        <f t="shared" si="0"/>
        <v>48000</v>
      </c>
      <c r="BX5" s="43">
        <f t="shared" si="0"/>
        <v>48030</v>
      </c>
      <c r="BY5" s="43">
        <f t="shared" si="0"/>
        <v>48061</v>
      </c>
      <c r="BZ5" s="43">
        <f t="shared" si="0"/>
        <v>48092</v>
      </c>
      <c r="CA5" s="41"/>
      <c r="CB5" s="41"/>
      <c r="CC5" s="41"/>
      <c r="CD5" s="41"/>
      <c r="CE5" s="41"/>
      <c r="CF5" s="41"/>
      <c r="CG5" s="41"/>
      <c r="CH5" s="41"/>
      <c r="CI5" s="41"/>
      <c r="CJ5" s="41"/>
    </row>
    <row r="6" spans="2:88" s="2" customFormat="1" x14ac:dyDescent="0.2">
      <c r="D6" s="20" t="s">
        <v>139</v>
      </c>
      <c r="E6" s="20"/>
      <c r="F6" s="20"/>
      <c r="G6" s="20"/>
      <c r="H6" s="43"/>
      <c r="I6" s="43"/>
      <c r="J6" s="44">
        <f>EOMONTH(J5,11)</f>
        <v>46660</v>
      </c>
      <c r="K6" s="44">
        <f>EOMONTH(K5,11)</f>
        <v>47026</v>
      </c>
      <c r="L6" s="44">
        <f>EOMONTH(L5,11)</f>
        <v>47391</v>
      </c>
      <c r="M6" s="44">
        <f>EOMONTH(M5,11)</f>
        <v>47756</v>
      </c>
      <c r="N6" s="44">
        <f>EOMONTH(N5,11)</f>
        <v>48121</v>
      </c>
      <c r="O6" s="43"/>
      <c r="P6" s="43"/>
      <c r="Q6" s="43"/>
      <c r="R6" s="43">
        <f>EOMONTH(R5,0)</f>
        <v>46295</v>
      </c>
      <c r="S6" s="43">
        <f t="shared" ref="S6:BZ6" si="1">EOMONTH(S5,0)</f>
        <v>46326</v>
      </c>
      <c r="T6" s="43">
        <f t="shared" si="1"/>
        <v>46356</v>
      </c>
      <c r="U6" s="43">
        <f t="shared" si="1"/>
        <v>46387</v>
      </c>
      <c r="V6" s="43">
        <f t="shared" si="1"/>
        <v>46418</v>
      </c>
      <c r="W6" s="43">
        <f t="shared" si="1"/>
        <v>46446</v>
      </c>
      <c r="X6" s="43">
        <f t="shared" si="1"/>
        <v>46477</v>
      </c>
      <c r="Y6" s="43">
        <f t="shared" si="1"/>
        <v>46507</v>
      </c>
      <c r="Z6" s="43">
        <f t="shared" si="1"/>
        <v>46538</v>
      </c>
      <c r="AA6" s="43">
        <f t="shared" si="1"/>
        <v>46568</v>
      </c>
      <c r="AB6" s="43">
        <f t="shared" si="1"/>
        <v>46599</v>
      </c>
      <c r="AC6" s="43">
        <f t="shared" si="1"/>
        <v>46630</v>
      </c>
      <c r="AD6" s="43">
        <f t="shared" si="1"/>
        <v>46660</v>
      </c>
      <c r="AE6" s="43">
        <f t="shared" si="1"/>
        <v>46691</v>
      </c>
      <c r="AF6" s="43">
        <f t="shared" si="1"/>
        <v>46721</v>
      </c>
      <c r="AG6" s="43">
        <f t="shared" si="1"/>
        <v>46752</v>
      </c>
      <c r="AH6" s="43">
        <f t="shared" si="1"/>
        <v>46783</v>
      </c>
      <c r="AI6" s="43">
        <f t="shared" si="1"/>
        <v>46812</v>
      </c>
      <c r="AJ6" s="43">
        <f t="shared" si="1"/>
        <v>46843</v>
      </c>
      <c r="AK6" s="43">
        <f t="shared" si="1"/>
        <v>46873</v>
      </c>
      <c r="AL6" s="43">
        <f t="shared" si="1"/>
        <v>46904</v>
      </c>
      <c r="AM6" s="43">
        <f t="shared" si="1"/>
        <v>46934</v>
      </c>
      <c r="AN6" s="43">
        <f t="shared" si="1"/>
        <v>46965</v>
      </c>
      <c r="AO6" s="43">
        <f t="shared" si="1"/>
        <v>46996</v>
      </c>
      <c r="AP6" s="43">
        <f t="shared" si="1"/>
        <v>47026</v>
      </c>
      <c r="AQ6" s="43">
        <f t="shared" si="1"/>
        <v>47057</v>
      </c>
      <c r="AR6" s="43">
        <f t="shared" si="1"/>
        <v>47087</v>
      </c>
      <c r="AS6" s="43">
        <f t="shared" si="1"/>
        <v>47118</v>
      </c>
      <c r="AT6" s="43">
        <f t="shared" si="1"/>
        <v>47149</v>
      </c>
      <c r="AU6" s="43">
        <f t="shared" si="1"/>
        <v>47177</v>
      </c>
      <c r="AV6" s="43">
        <f t="shared" si="1"/>
        <v>47208</v>
      </c>
      <c r="AW6" s="43">
        <f t="shared" si="1"/>
        <v>47238</v>
      </c>
      <c r="AX6" s="43">
        <f t="shared" si="1"/>
        <v>47269</v>
      </c>
      <c r="AY6" s="43">
        <f t="shared" si="1"/>
        <v>47299</v>
      </c>
      <c r="AZ6" s="43">
        <f t="shared" si="1"/>
        <v>47330</v>
      </c>
      <c r="BA6" s="43">
        <f t="shared" si="1"/>
        <v>47361</v>
      </c>
      <c r="BB6" s="43">
        <f t="shared" si="1"/>
        <v>47391</v>
      </c>
      <c r="BC6" s="43">
        <f t="shared" si="1"/>
        <v>47422</v>
      </c>
      <c r="BD6" s="43">
        <f t="shared" si="1"/>
        <v>47452</v>
      </c>
      <c r="BE6" s="43">
        <f t="shared" si="1"/>
        <v>47483</v>
      </c>
      <c r="BF6" s="43">
        <f t="shared" si="1"/>
        <v>47514</v>
      </c>
      <c r="BG6" s="43">
        <f t="shared" si="1"/>
        <v>47542</v>
      </c>
      <c r="BH6" s="43">
        <f t="shared" si="1"/>
        <v>47573</v>
      </c>
      <c r="BI6" s="43">
        <f t="shared" si="1"/>
        <v>47603</v>
      </c>
      <c r="BJ6" s="43">
        <f t="shared" si="1"/>
        <v>47634</v>
      </c>
      <c r="BK6" s="43">
        <f t="shared" si="1"/>
        <v>47664</v>
      </c>
      <c r="BL6" s="43">
        <f t="shared" si="1"/>
        <v>47695</v>
      </c>
      <c r="BM6" s="43">
        <f t="shared" si="1"/>
        <v>47726</v>
      </c>
      <c r="BN6" s="43">
        <f t="shared" si="1"/>
        <v>47756</v>
      </c>
      <c r="BO6" s="43">
        <f t="shared" si="1"/>
        <v>47787</v>
      </c>
      <c r="BP6" s="43">
        <f t="shared" si="1"/>
        <v>47817</v>
      </c>
      <c r="BQ6" s="43">
        <f t="shared" si="1"/>
        <v>47848</v>
      </c>
      <c r="BR6" s="43">
        <f t="shared" si="1"/>
        <v>47879</v>
      </c>
      <c r="BS6" s="43">
        <f t="shared" si="1"/>
        <v>47907</v>
      </c>
      <c r="BT6" s="43">
        <f t="shared" si="1"/>
        <v>47938</v>
      </c>
      <c r="BU6" s="43">
        <f t="shared" si="1"/>
        <v>47968</v>
      </c>
      <c r="BV6" s="43">
        <f t="shared" si="1"/>
        <v>47999</v>
      </c>
      <c r="BW6" s="43">
        <f t="shared" si="1"/>
        <v>48029</v>
      </c>
      <c r="BX6" s="43">
        <f t="shared" si="1"/>
        <v>48060</v>
      </c>
      <c r="BY6" s="43">
        <f t="shared" si="1"/>
        <v>48091</v>
      </c>
      <c r="BZ6" s="43">
        <f t="shared" si="1"/>
        <v>48121</v>
      </c>
      <c r="CA6" s="41"/>
      <c r="CB6" s="41"/>
      <c r="CC6" s="41"/>
      <c r="CD6" s="41"/>
      <c r="CE6" s="41"/>
      <c r="CF6" s="41"/>
      <c r="CG6" s="41"/>
      <c r="CH6" s="41"/>
      <c r="CI6" s="41"/>
      <c r="CJ6" s="41"/>
    </row>
    <row r="7" spans="2:88" x14ac:dyDescent="0.3">
      <c r="J7" s="319"/>
    </row>
    <row r="8" spans="2:88" x14ac:dyDescent="0.3">
      <c r="D8" s="3" t="s">
        <v>142</v>
      </c>
      <c r="E8" s="159">
        <f>'Returns Analysis'!I5</f>
        <v>46295</v>
      </c>
    </row>
    <row r="9" spans="2:88" x14ac:dyDescent="0.3">
      <c r="D9" s="3" t="s">
        <v>143</v>
      </c>
      <c r="E9" s="172">
        <f>'Detailed Assumptions'!$E$141</f>
        <v>48121</v>
      </c>
    </row>
    <row r="10" spans="2:88" x14ac:dyDescent="0.3">
      <c r="D10" s="3" t="s">
        <v>144</v>
      </c>
      <c r="E10" s="173">
        <f>E15</f>
        <v>201844594.25571996</v>
      </c>
    </row>
    <row r="11" spans="2:88" x14ac:dyDescent="0.3">
      <c r="E11" s="174"/>
    </row>
    <row r="12" spans="2:88" x14ac:dyDescent="0.3">
      <c r="D12" s="3" t="s">
        <v>401</v>
      </c>
      <c r="E12" s="340">
        <f>Portfolio!N61</f>
        <v>28834942.036531422</v>
      </c>
      <c r="G12" s="175"/>
    </row>
    <row r="13" spans="2:88" x14ac:dyDescent="0.3">
      <c r="D13" s="3" t="s">
        <v>402</v>
      </c>
      <c r="E13" s="340">
        <f>E12</f>
        <v>28834942.036531422</v>
      </c>
    </row>
    <row r="14" spans="2:88" x14ac:dyDescent="0.3">
      <c r="D14" s="3" t="s">
        <v>172</v>
      </c>
      <c r="E14" s="339">
        <f>'Detailed Assumptions'!$E$140</f>
        <v>7</v>
      </c>
    </row>
    <row r="15" spans="2:88" x14ac:dyDescent="0.3">
      <c r="D15" s="176" t="s">
        <v>145</v>
      </c>
      <c r="E15" s="341">
        <f>E13*E14</f>
        <v>201844594.25571996</v>
      </c>
      <c r="G15" s="177"/>
    </row>
    <row r="18" spans="4:78" x14ac:dyDescent="0.3">
      <c r="D18" s="3" t="s">
        <v>146</v>
      </c>
      <c r="E18" s="178">
        <f>E22+E19</f>
        <v>8.7760000000000005E-2</v>
      </c>
    </row>
    <row r="19" spans="4:78" x14ac:dyDescent="0.3">
      <c r="D19" s="3" t="s">
        <v>147</v>
      </c>
      <c r="E19" s="179">
        <f>'Detailed Assumptions'!$E$143</f>
        <v>4.7500000000000001E-2</v>
      </c>
      <c r="F19" s="180"/>
    </row>
    <row r="20" spans="4:78" x14ac:dyDescent="0.3">
      <c r="D20" s="3" t="s">
        <v>148</v>
      </c>
      <c r="E20" s="181" t="str">
        <f>'Detailed Assumptions'!$E$144</f>
        <v>Current</v>
      </c>
    </row>
    <row r="21" spans="4:78" x14ac:dyDescent="0.3">
      <c r="D21" s="3" t="s">
        <v>150</v>
      </c>
      <c r="E21" s="182" t="str">
        <f>'Detailed Assumptions'!$E$145</f>
        <v>Fixed</v>
      </c>
    </row>
    <row r="22" spans="4:78" x14ac:dyDescent="0.3">
      <c r="D22" s="3" t="s">
        <v>152</v>
      </c>
      <c r="E22" s="179">
        <f>'Detailed Assumptions'!$E$146</f>
        <v>4.0259999999999997E-2</v>
      </c>
    </row>
    <row r="23" spans="4:78" x14ac:dyDescent="0.3">
      <c r="E23" s="183"/>
    </row>
    <row r="24" spans="4:78" x14ac:dyDescent="0.3">
      <c r="D24" s="3" t="s">
        <v>153</v>
      </c>
      <c r="E24" s="179">
        <f>'Detailed Assumptions'!$E$147</f>
        <v>0</v>
      </c>
    </row>
    <row r="25" spans="4:78" x14ac:dyDescent="0.3">
      <c r="D25" s="3" t="s">
        <v>154</v>
      </c>
      <c r="E25" s="181" t="str">
        <f>'Detailed Assumptions'!$E$148</f>
        <v>Current</v>
      </c>
    </row>
    <row r="26" spans="4:78" x14ac:dyDescent="0.3">
      <c r="D26" s="3" t="s">
        <v>155</v>
      </c>
      <c r="E26" s="179">
        <f>'Detailed Assumptions'!$E$149</f>
        <v>0.01</v>
      </c>
    </row>
    <row r="27" spans="4:78" x14ac:dyDescent="0.3">
      <c r="D27" s="3" t="s">
        <v>156</v>
      </c>
      <c r="E27" s="179">
        <f>'Detailed Assumptions'!$E$150</f>
        <v>0</v>
      </c>
    </row>
    <row r="28" spans="4:78" x14ac:dyDescent="0.3">
      <c r="D28" s="3" t="s">
        <v>157</v>
      </c>
      <c r="E28" s="179">
        <f>'Detailed Assumptions'!$E$151</f>
        <v>0.01</v>
      </c>
    </row>
    <row r="29" spans="4:78" x14ac:dyDescent="0.3">
      <c r="D29" s="3" t="s">
        <v>158</v>
      </c>
      <c r="E29" s="179">
        <f>'Detailed Assumptions'!$E$152</f>
        <v>0.15</v>
      </c>
    </row>
    <row r="30" spans="4:78" x14ac:dyDescent="0.3">
      <c r="D30" s="3" t="s">
        <v>270</v>
      </c>
      <c r="E30" s="337">
        <f>'Detailed Assumptions'!$E$153</f>
        <v>0.58333333333333337</v>
      </c>
    </row>
    <row r="31" spans="4:78" x14ac:dyDescent="0.3">
      <c r="Y31" s="166"/>
      <c r="BC31" s="336"/>
      <c r="BI31" s="336"/>
      <c r="BO31" s="336"/>
      <c r="BU31" s="335"/>
    </row>
    <row r="32" spans="4:78" x14ac:dyDescent="0.3">
      <c r="D32" s="29"/>
      <c r="E32" s="29"/>
      <c r="F32" s="29"/>
      <c r="G32" s="29"/>
      <c r="H32" s="29"/>
      <c r="I32" s="29"/>
      <c r="J32" s="29"/>
      <c r="K32" s="29"/>
      <c r="L32" s="29"/>
      <c r="M32" s="29"/>
      <c r="N32" s="29"/>
      <c r="O32" s="29"/>
      <c r="P32" s="29"/>
      <c r="Q32" s="29"/>
      <c r="R32" s="29"/>
      <c r="S32" s="29"/>
      <c r="T32" s="29"/>
      <c r="U32" s="29"/>
      <c r="V32" s="29"/>
      <c r="W32" s="29"/>
      <c r="X32" s="29"/>
      <c r="Y32" s="29"/>
      <c r="Z32" s="29"/>
      <c r="AA32" s="29"/>
      <c r="AB32" s="29"/>
      <c r="AC32" s="29"/>
      <c r="AD32" s="29"/>
      <c r="AE32" s="29"/>
      <c r="AF32" s="29"/>
      <c r="AG32" s="29"/>
      <c r="AH32" s="29"/>
      <c r="AI32" s="29"/>
      <c r="AJ32" s="29"/>
      <c r="AK32" s="29"/>
      <c r="AL32" s="29"/>
      <c r="AM32" s="29"/>
      <c r="AN32" s="29"/>
      <c r="AO32" s="29"/>
      <c r="AP32" s="29"/>
      <c r="AQ32" s="29"/>
      <c r="AR32" s="29"/>
      <c r="AS32" s="29"/>
      <c r="AT32" s="29"/>
      <c r="AU32" s="29"/>
      <c r="AV32" s="29"/>
      <c r="AW32" s="29"/>
      <c r="AX32" s="29"/>
      <c r="AY32" s="29"/>
      <c r="AZ32" s="29"/>
      <c r="BA32" s="29"/>
      <c r="BB32" s="29"/>
      <c r="BC32" s="29"/>
      <c r="BD32" s="29"/>
      <c r="BE32" s="29"/>
      <c r="BF32" s="29"/>
      <c r="BG32" s="29"/>
      <c r="BH32" s="29"/>
      <c r="BI32" s="29"/>
      <c r="BJ32" s="29"/>
      <c r="BK32" s="29"/>
      <c r="BL32" s="29"/>
      <c r="BM32" s="29"/>
      <c r="BN32" s="29"/>
      <c r="BO32" s="29"/>
      <c r="BP32" s="29"/>
      <c r="BQ32" s="29"/>
      <c r="BR32" s="29"/>
      <c r="BS32" s="29"/>
      <c r="BT32" s="29"/>
      <c r="BU32" s="29"/>
      <c r="BV32" s="29"/>
      <c r="BW32" s="29"/>
      <c r="BX32" s="29"/>
      <c r="BY32" s="29"/>
      <c r="BZ32" s="29"/>
    </row>
    <row r="33" spans="4:78" x14ac:dyDescent="0.3">
      <c r="D33" s="28" t="s">
        <v>128</v>
      </c>
      <c r="E33" s="184"/>
      <c r="F33" s="184"/>
      <c r="G33" s="184"/>
      <c r="H33" s="185"/>
      <c r="I33" s="185"/>
      <c r="J33" s="185">
        <f>SUMIFS($S33:$BZ33,$S$4:$BZ$4,J$4)</f>
        <v>21007264.528569944</v>
      </c>
      <c r="K33" s="185">
        <f>SUMIFS($S33:$BZ33,$S$4:$BZ$4,K$4)</f>
        <v>22302772.979129054</v>
      </c>
      <c r="L33" s="185">
        <f>SUMIFS($S33:$BZ33,$S$4:$BZ$4,L$4)</f>
        <v>23631372.312853575</v>
      </c>
      <c r="M33" s="185">
        <f>SUMIFS($S33:$BZ33,$S$4:$BZ$4,M$4)</f>
        <v>24988347.567784414</v>
      </c>
      <c r="N33" s="185">
        <f>SUMIFS($S33:$BZ33,$S$4:$BZ$4,N$4)</f>
        <v>26412338.759761043</v>
      </c>
      <c r="O33" s="185"/>
      <c r="P33" s="185"/>
      <c r="Q33" s="185"/>
      <c r="R33" s="185">
        <f>IFERROR(INDEX(Portfolio!$W$75:$CD$75,MATCH('Debt Schedule'!R$6,Portfolio!$W$4:$CD$4,0)),0)</f>
        <v>0</v>
      </c>
      <c r="S33" s="185">
        <f>IFERROR(INDEX(Portfolio!$W$75:$CD$75,MATCH('Debt Schedule'!S$6,Portfolio!$W$4:$CD$4,0)),0)</f>
        <v>0</v>
      </c>
      <c r="T33" s="185">
        <f>IFERROR(INDEX(Portfolio!$W$75:$CD$75,MATCH('Debt Schedule'!T$6,Portfolio!$W$4:$CD$4,0)),0)</f>
        <v>0</v>
      </c>
      <c r="U33" s="185">
        <f>IFERROR(INDEX(Portfolio!$W$75:$CD$75,MATCH('Debt Schedule'!U$6,Portfolio!$W$4:$CD$4,0)),0)</f>
        <v>0</v>
      </c>
      <c r="V33" s="185">
        <f>IFERROR(INDEX(Portfolio!$W$75:$CD$75,MATCH('Debt Schedule'!V$6,Portfolio!$W$4:$CD$4,0)),0)</f>
        <v>0</v>
      </c>
      <c r="W33" s="185">
        <f>IFERROR(INDEX(Portfolio!$W$75:$CD$75,MATCH('Debt Schedule'!W$6,Portfolio!$W$4:$CD$4,0)),0)</f>
        <v>10375982.280759742</v>
      </c>
      <c r="X33" s="185">
        <f>IFERROR(INDEX(Portfolio!$W$75:$CD$75,MATCH('Debt Schedule'!X$6,Portfolio!$W$4:$CD$4,0)),0)</f>
        <v>0</v>
      </c>
      <c r="Y33" s="185">
        <f>IFERROR(INDEX(Portfolio!$W$75:$CD$75,MATCH('Debt Schedule'!Y$6,Portfolio!$W$4:$CD$4,0)),0)</f>
        <v>0</v>
      </c>
      <c r="Z33" s="185">
        <f>IFERROR(INDEX(Portfolio!$W$75:$CD$75,MATCH('Debt Schedule'!Z$6,Portfolio!$W$4:$CD$4,0)),0)</f>
        <v>0</v>
      </c>
      <c r="AA33" s="185">
        <f>IFERROR(INDEX(Portfolio!$W$75:$CD$75,MATCH('Debt Schedule'!AA$6,Portfolio!$W$4:$CD$4,0)),0)</f>
        <v>0</v>
      </c>
      <c r="AB33" s="185">
        <f>IFERROR(INDEX(Portfolio!$W$75:$CD$75,MATCH('Debt Schedule'!AB$6,Portfolio!$W$4:$CD$4,0)),0)</f>
        <v>0</v>
      </c>
      <c r="AC33" s="185">
        <f>IFERROR(INDEX(Portfolio!$W$75:$CD$75,MATCH('Debt Schedule'!AC$6,Portfolio!$W$4:$CD$4,0)),0)</f>
        <v>10631282.247810202</v>
      </c>
      <c r="AD33" s="185">
        <f>IFERROR(INDEX(Portfolio!$W$75:$CD$75,MATCH('Debt Schedule'!AD$6,Portfolio!$W$4:$CD$4,0)),0)</f>
        <v>0</v>
      </c>
      <c r="AE33" s="185">
        <f>IFERROR(INDEX(Portfolio!$W$75:$CD$75,MATCH('Debt Schedule'!AE$6,Portfolio!$W$4:$CD$4,0)),0)</f>
        <v>0</v>
      </c>
      <c r="AF33" s="185">
        <f>IFERROR(INDEX(Portfolio!$W$75:$CD$75,MATCH('Debt Schedule'!AF$6,Portfolio!$W$4:$CD$4,0)),0)</f>
        <v>0</v>
      </c>
      <c r="AG33" s="185">
        <f>IFERROR(INDEX(Portfolio!$W$75:$CD$75,MATCH('Debt Schedule'!AG$6,Portfolio!$W$4:$CD$4,0)),0)</f>
        <v>0</v>
      </c>
      <c r="AH33" s="185">
        <f>IFERROR(INDEX(Portfolio!$W$75:$CD$75,MATCH('Debt Schedule'!AH$6,Portfolio!$W$4:$CD$4,0)),0)</f>
        <v>0</v>
      </c>
      <c r="AI33" s="185">
        <f>IFERROR(INDEX(Portfolio!$W$75:$CD$75,MATCH('Debt Schedule'!AI$6,Portfolio!$W$4:$CD$4,0)),0)</f>
        <v>10987228.590617323</v>
      </c>
      <c r="AJ33" s="185">
        <f>IFERROR(INDEX(Portfolio!$W$75:$CD$75,MATCH('Debt Schedule'!AJ$6,Portfolio!$W$4:$CD$4,0)),0)</f>
        <v>0</v>
      </c>
      <c r="AK33" s="185">
        <f>IFERROR(INDEX(Portfolio!$W$75:$CD$75,MATCH('Debt Schedule'!AK$6,Portfolio!$W$4:$CD$4,0)),0)</f>
        <v>0</v>
      </c>
      <c r="AL33" s="185">
        <f>IFERROR(INDEX(Portfolio!$W$75:$CD$75,MATCH('Debt Schedule'!AL$6,Portfolio!$W$4:$CD$4,0)),0)</f>
        <v>0</v>
      </c>
      <c r="AM33" s="185">
        <f>IFERROR(INDEX(Portfolio!$W$75:$CD$75,MATCH('Debt Schedule'!AM$6,Portfolio!$W$4:$CD$4,0)),0)</f>
        <v>0</v>
      </c>
      <c r="AN33" s="185">
        <f>IFERROR(INDEX(Portfolio!$W$75:$CD$75,MATCH('Debt Schedule'!AN$6,Portfolio!$W$4:$CD$4,0)),0)</f>
        <v>0</v>
      </c>
      <c r="AO33" s="185">
        <f>IFERROR(INDEX(Portfolio!$W$75:$CD$75,MATCH('Debt Schedule'!AO$6,Portfolio!$W$4:$CD$4,0)),0)</f>
        <v>11315544.388511732</v>
      </c>
      <c r="AP33" s="185">
        <f>IFERROR(INDEX(Portfolio!$W$75:$CD$75,MATCH('Debt Schedule'!AP$6,Portfolio!$W$4:$CD$4,0)),0)</f>
        <v>0</v>
      </c>
      <c r="AQ33" s="185">
        <f>IFERROR(INDEX(Portfolio!$W$75:$CD$75,MATCH('Debt Schedule'!AQ$6,Portfolio!$W$4:$CD$4,0)),0)</f>
        <v>0</v>
      </c>
      <c r="AR33" s="185">
        <f>IFERROR(INDEX(Portfolio!$W$75:$CD$75,MATCH('Debt Schedule'!AR$6,Portfolio!$W$4:$CD$4,0)),0)</f>
        <v>0</v>
      </c>
      <c r="AS33" s="185">
        <f>IFERROR(INDEX(Portfolio!$W$75:$CD$75,MATCH('Debt Schedule'!AS$6,Portfolio!$W$4:$CD$4,0)),0)</f>
        <v>0</v>
      </c>
      <c r="AT33" s="185">
        <f>IFERROR(INDEX(Portfolio!$W$75:$CD$75,MATCH('Debt Schedule'!AT$6,Portfolio!$W$4:$CD$4,0)),0)</f>
        <v>0</v>
      </c>
      <c r="AU33" s="185">
        <f>IFERROR(INDEX(Portfolio!$W$75:$CD$75,MATCH('Debt Schedule'!AU$6,Portfolio!$W$4:$CD$4,0)),0)</f>
        <v>11612568.941779938</v>
      </c>
      <c r="AV33" s="185">
        <f>IFERROR(INDEX(Portfolio!$W$75:$CD$75,MATCH('Debt Schedule'!AV$6,Portfolio!$W$4:$CD$4,0)),0)</f>
        <v>0</v>
      </c>
      <c r="AW33" s="185">
        <f>IFERROR(INDEX(Portfolio!$W$75:$CD$75,MATCH('Debt Schedule'!AW$6,Portfolio!$W$4:$CD$4,0)),0)</f>
        <v>0</v>
      </c>
      <c r="AX33" s="185">
        <f>IFERROR(INDEX(Portfolio!$W$75:$CD$75,MATCH('Debt Schedule'!AX$6,Portfolio!$W$4:$CD$4,0)),0)</f>
        <v>0</v>
      </c>
      <c r="AY33" s="185">
        <f>IFERROR(INDEX(Portfolio!$W$75:$CD$75,MATCH('Debt Schedule'!AY$6,Portfolio!$W$4:$CD$4,0)),0)</f>
        <v>0</v>
      </c>
      <c r="AZ33" s="185">
        <f>IFERROR(INDEX(Portfolio!$W$75:$CD$75,MATCH('Debt Schedule'!AZ$6,Portfolio!$W$4:$CD$4,0)),0)</f>
        <v>0</v>
      </c>
      <c r="BA33" s="185">
        <f>IFERROR(INDEX(Portfolio!$W$75:$CD$75,MATCH('Debt Schedule'!BA$6,Portfolio!$W$4:$CD$4,0)),0)</f>
        <v>12018803.371073635</v>
      </c>
      <c r="BB33" s="185">
        <f>IFERROR(INDEX(Portfolio!$W$75:$CD$75,MATCH('Debt Schedule'!BB$6,Portfolio!$W$4:$CD$4,0)),0)</f>
        <v>0</v>
      </c>
      <c r="BC33" s="185">
        <f>IFERROR(INDEX(Portfolio!$W$75:$CD$75,MATCH('Debt Schedule'!BC$6,Portfolio!$W$4:$CD$4,0)),0)</f>
        <v>0</v>
      </c>
      <c r="BD33" s="185">
        <f>IFERROR(INDEX(Portfolio!$W$75:$CD$75,MATCH('Debt Schedule'!BD$6,Portfolio!$W$4:$CD$4,0)),0)</f>
        <v>0</v>
      </c>
      <c r="BE33" s="185">
        <f>IFERROR(INDEX(Portfolio!$W$75:$CD$75,MATCH('Debt Schedule'!BE$6,Portfolio!$W$4:$CD$4,0)),0)</f>
        <v>0</v>
      </c>
      <c r="BF33" s="185">
        <f>IFERROR(INDEX(Portfolio!$W$75:$CD$75,MATCH('Debt Schedule'!BF$6,Portfolio!$W$4:$CD$4,0)),0)</f>
        <v>0</v>
      </c>
      <c r="BG33" s="185">
        <f>IFERROR(INDEX(Portfolio!$W$75:$CD$75,MATCH('Debt Schedule'!BG$6,Portfolio!$W$4:$CD$4,0)),0)</f>
        <v>12249594.537863156</v>
      </c>
      <c r="BH33" s="185">
        <f>IFERROR(INDEX(Portfolio!$W$75:$CD$75,MATCH('Debt Schedule'!BH$6,Portfolio!$W$4:$CD$4,0)),0)</f>
        <v>0</v>
      </c>
      <c r="BI33" s="185">
        <f>IFERROR(INDEX(Portfolio!$W$75:$CD$75,MATCH('Debt Schedule'!BI$6,Portfolio!$W$4:$CD$4,0)),0)</f>
        <v>0</v>
      </c>
      <c r="BJ33" s="185">
        <f>IFERROR(INDEX(Portfolio!$W$75:$CD$75,MATCH('Debt Schedule'!BJ$6,Portfolio!$W$4:$CD$4,0)),0)</f>
        <v>0</v>
      </c>
      <c r="BK33" s="185">
        <f>IFERROR(INDEX(Portfolio!$W$75:$CD$75,MATCH('Debt Schedule'!BK$6,Portfolio!$W$4:$CD$4,0)),0)</f>
        <v>0</v>
      </c>
      <c r="BL33" s="185">
        <f>IFERROR(INDEX(Portfolio!$W$75:$CD$75,MATCH('Debt Schedule'!BL$6,Portfolio!$W$4:$CD$4,0)),0)</f>
        <v>0</v>
      </c>
      <c r="BM33" s="185">
        <f>IFERROR(INDEX(Portfolio!$W$75:$CD$75,MATCH('Debt Schedule'!BM$6,Portfolio!$W$4:$CD$4,0)),0)</f>
        <v>12738753.029921256</v>
      </c>
      <c r="BN33" s="185">
        <f>IFERROR(INDEX(Portfolio!$W$75:$CD$75,MATCH('Debt Schedule'!BN$6,Portfolio!$W$4:$CD$4,0)),0)</f>
        <v>0</v>
      </c>
      <c r="BO33" s="185">
        <f>IFERROR(INDEX(Portfolio!$W$75:$CD$75,MATCH('Debt Schedule'!BO$6,Portfolio!$W$4:$CD$4,0)),0)</f>
        <v>0</v>
      </c>
      <c r="BP33" s="185">
        <f>IFERROR(INDEX(Portfolio!$W$75:$CD$75,MATCH('Debt Schedule'!BP$6,Portfolio!$W$4:$CD$4,0)),0)</f>
        <v>0</v>
      </c>
      <c r="BQ33" s="185">
        <f>IFERROR(INDEX(Portfolio!$W$75:$CD$75,MATCH('Debt Schedule'!BQ$6,Portfolio!$W$4:$CD$4,0)),0)</f>
        <v>0</v>
      </c>
      <c r="BR33" s="185">
        <f>IFERROR(INDEX(Portfolio!$W$75:$CD$75,MATCH('Debt Schedule'!BR$6,Portfolio!$W$4:$CD$4,0)),0)</f>
        <v>0</v>
      </c>
      <c r="BS33" s="185">
        <f>IFERROR(INDEX(Portfolio!$W$75:$CD$75,MATCH('Debt Schedule'!BS$6,Portfolio!$W$4:$CD$4,0)),0)</f>
        <v>12917503.360689906</v>
      </c>
      <c r="BT33" s="185">
        <f>IFERROR(INDEX(Portfolio!$W$75:$CD$75,MATCH('Debt Schedule'!BT$6,Portfolio!$W$4:$CD$4,0)),0)</f>
        <v>0</v>
      </c>
      <c r="BU33" s="185">
        <f>IFERROR(INDEX(Portfolio!$W$75:$CD$75,MATCH('Debt Schedule'!BU$6,Portfolio!$W$4:$CD$4,0)),0)</f>
        <v>0</v>
      </c>
      <c r="BV33" s="185">
        <f>IFERROR(INDEX(Portfolio!$W$75:$CD$75,MATCH('Debt Schedule'!BV$6,Portfolio!$W$4:$CD$4,0)),0)</f>
        <v>0</v>
      </c>
      <c r="BW33" s="185">
        <f>IFERROR(INDEX(Portfolio!$W$75:$CD$75,MATCH('Debt Schedule'!BW$6,Portfolio!$W$4:$CD$4,0)),0)</f>
        <v>0</v>
      </c>
      <c r="BX33" s="185">
        <f>IFERROR(INDEX(Portfolio!$W$75:$CD$75,MATCH('Debt Schedule'!BX$6,Portfolio!$W$4:$CD$4,0)),0)</f>
        <v>0</v>
      </c>
      <c r="BY33" s="185">
        <f>IFERROR(INDEX(Portfolio!$W$75:$CD$75,MATCH('Debt Schedule'!BY$6,Portfolio!$W$4:$CD$4,0)),0)</f>
        <v>13494835.399071135</v>
      </c>
      <c r="BZ33" s="185">
        <f>IFERROR(INDEX(Portfolio!$W$75:$CD$75,MATCH('Debt Schedule'!BZ$6,Portfolio!$W$4:$CD$4,0)),0)</f>
        <v>0</v>
      </c>
    </row>
    <row r="35" spans="4:78" x14ac:dyDescent="0.3">
      <c r="D35" s="28" t="s">
        <v>159</v>
      </c>
      <c r="E35" s="186"/>
      <c r="F35" s="186"/>
      <c r="G35" s="186"/>
      <c r="H35" s="187"/>
      <c r="I35" s="187"/>
      <c r="J35" s="187" cm="1">
        <f t="array" ref="J35">INDEX($S35:$BZ35,0,MATCH(EOMONTH(J$6,-11),$S$6:$BZ$6,0))</f>
        <v>201844594.25571996</v>
      </c>
      <c r="K35" s="187" cm="1">
        <f t="array" ref="K35">INDEX($S35:$BZ35,0,MATCH(EOMONTH(K$6,-11),$S$6:$BZ$6,0))</f>
        <v>187752220.96780428</v>
      </c>
      <c r="L35" s="187" cm="1">
        <f t="array" ref="L35">INDEX($S35:$BZ35,0,MATCH(EOMONTH(L$6,-11),$S$6:$BZ$6,0))</f>
        <v>172790777.42763856</v>
      </c>
      <c r="M35" s="187" cm="1">
        <f t="array" ref="M35">INDEX($S35:$BZ35,0,MATCH(EOMONTH(M$6,-11),$S$6:$BZ$6,0))</f>
        <v>156938065.16776597</v>
      </c>
      <c r="N35" s="187" cm="1">
        <f t="array" ref="N35">INDEX($S35:$BZ35,0,MATCH(EOMONTH(N$6,-11),$S$6:$BZ$6,0))</f>
        <v>140175048.67437726</v>
      </c>
      <c r="O35" s="187"/>
      <c r="P35" s="187"/>
      <c r="Q35" s="187"/>
      <c r="R35" s="187">
        <v>0</v>
      </c>
      <c r="S35" s="187">
        <f>R49</f>
        <v>201844594.25571996</v>
      </c>
      <c r="T35" s="187">
        <f>S49</f>
        <v>201844594.25571996</v>
      </c>
      <c r="U35" s="187">
        <f t="shared" ref="U35:BZ35" si="2">T49</f>
        <v>201844594.25571996</v>
      </c>
      <c r="V35" s="187">
        <f t="shared" si="2"/>
        <v>201844594.25571996</v>
      </c>
      <c r="W35" s="187">
        <f t="shared" si="2"/>
        <v>201844594.25571996</v>
      </c>
      <c r="X35" s="187">
        <f t="shared" si="2"/>
        <v>194884039.4757103</v>
      </c>
      <c r="Y35" s="187">
        <f t="shared" si="2"/>
        <v>194884039.4757103</v>
      </c>
      <c r="Z35" s="187">
        <f t="shared" si="2"/>
        <v>194884039.4757103</v>
      </c>
      <c r="AA35" s="187">
        <f t="shared" si="2"/>
        <v>194884039.4757103</v>
      </c>
      <c r="AB35" s="187">
        <f t="shared" si="2"/>
        <v>194884039.4757103</v>
      </c>
      <c r="AC35" s="187">
        <f t="shared" si="2"/>
        <v>194884039.4757103</v>
      </c>
      <c r="AD35" s="187">
        <f t="shared" si="2"/>
        <v>187752220.96780428</v>
      </c>
      <c r="AE35" s="187">
        <f t="shared" si="2"/>
        <v>187752220.96780428</v>
      </c>
      <c r="AF35" s="187">
        <f t="shared" si="2"/>
        <v>187752220.96780428</v>
      </c>
      <c r="AG35" s="187">
        <f t="shared" si="2"/>
        <v>187752220.96780428</v>
      </c>
      <c r="AH35" s="187">
        <f t="shared" si="2"/>
        <v>187752220.96780428</v>
      </c>
      <c r="AI35" s="187">
        <f t="shared" si="2"/>
        <v>187752220.96780428</v>
      </c>
      <c r="AJ35" s="187">
        <f t="shared" si="2"/>
        <v>180381621.78826517</v>
      </c>
      <c r="AK35" s="187">
        <f t="shared" si="2"/>
        <v>180381621.78826517</v>
      </c>
      <c r="AL35" s="187">
        <f t="shared" si="2"/>
        <v>180381621.78826517</v>
      </c>
      <c r="AM35" s="187">
        <f t="shared" si="2"/>
        <v>180381621.78826517</v>
      </c>
      <c r="AN35" s="187">
        <f t="shared" si="2"/>
        <v>180381621.78826517</v>
      </c>
      <c r="AO35" s="187">
        <f t="shared" si="2"/>
        <v>180381621.78826517</v>
      </c>
      <c r="AP35" s="187">
        <f t="shared" si="2"/>
        <v>172790777.42763856</v>
      </c>
      <c r="AQ35" s="187">
        <f t="shared" si="2"/>
        <v>172790777.42763856</v>
      </c>
      <c r="AR35" s="187">
        <f t="shared" si="2"/>
        <v>172790777.42763856</v>
      </c>
      <c r="AS35" s="187">
        <f t="shared" si="2"/>
        <v>172790777.42763856</v>
      </c>
      <c r="AT35" s="187">
        <f t="shared" si="2"/>
        <v>172790777.42763856</v>
      </c>
      <c r="AU35" s="187">
        <f t="shared" si="2"/>
        <v>172790777.42763856</v>
      </c>
      <c r="AV35" s="187">
        <f t="shared" si="2"/>
        <v>165000679.0958612</v>
      </c>
      <c r="AW35" s="187">
        <f t="shared" si="2"/>
        <v>165000679.0958612</v>
      </c>
      <c r="AX35" s="187">
        <f t="shared" si="2"/>
        <v>165000679.0958612</v>
      </c>
      <c r="AY35" s="187">
        <f t="shared" si="2"/>
        <v>165000679.0958612</v>
      </c>
      <c r="AZ35" s="187">
        <f t="shared" si="2"/>
        <v>165000679.0958612</v>
      </c>
      <c r="BA35" s="187">
        <f t="shared" si="2"/>
        <v>165000679.0958612</v>
      </c>
      <c r="BB35" s="187">
        <f t="shared" si="2"/>
        <v>156938065.16776597</v>
      </c>
      <c r="BC35" s="187">
        <f t="shared" si="2"/>
        <v>156938065.16776597</v>
      </c>
      <c r="BD35" s="187">
        <f t="shared" si="2"/>
        <v>156938065.16776597</v>
      </c>
      <c r="BE35" s="187">
        <f t="shared" si="2"/>
        <v>156938065.16776597</v>
      </c>
      <c r="BF35" s="187">
        <f t="shared" si="2"/>
        <v>156938065.16776597</v>
      </c>
      <c r="BG35" s="187">
        <f t="shared" si="2"/>
        <v>156938065.16776597</v>
      </c>
      <c r="BH35" s="187">
        <f t="shared" si="2"/>
        <v>148720628.83194944</v>
      </c>
      <c r="BI35" s="187">
        <f t="shared" si="2"/>
        <v>148720628.83194944</v>
      </c>
      <c r="BJ35" s="187">
        <f t="shared" si="2"/>
        <v>148720628.83194944</v>
      </c>
      <c r="BK35" s="187">
        <f t="shared" si="2"/>
        <v>148720628.83194944</v>
      </c>
      <c r="BL35" s="187">
        <f t="shared" si="2"/>
        <v>148720628.83194944</v>
      </c>
      <c r="BM35" s="187">
        <f t="shared" si="2"/>
        <v>148720628.83194944</v>
      </c>
      <c r="BN35" s="187">
        <f t="shared" si="2"/>
        <v>140175048.67437726</v>
      </c>
      <c r="BO35" s="187">
        <f t="shared" si="2"/>
        <v>140175048.67437726</v>
      </c>
      <c r="BP35" s="187">
        <f t="shared" si="2"/>
        <v>140175048.67437726</v>
      </c>
      <c r="BQ35" s="187">
        <f t="shared" si="2"/>
        <v>140175048.67437726</v>
      </c>
      <c r="BR35" s="187">
        <f t="shared" si="2"/>
        <v>140175048.67437726</v>
      </c>
      <c r="BS35" s="187">
        <f t="shared" si="2"/>
        <v>140175048.67437726</v>
      </c>
      <c r="BT35" s="187">
        <f t="shared" si="2"/>
        <v>131509556.83658111</v>
      </c>
      <c r="BU35" s="187">
        <f t="shared" si="2"/>
        <v>131509556.83658111</v>
      </c>
      <c r="BV35" s="187">
        <f t="shared" si="2"/>
        <v>131509556.83658111</v>
      </c>
      <c r="BW35" s="187">
        <f t="shared" si="2"/>
        <v>131509556.83658111</v>
      </c>
      <c r="BX35" s="187">
        <f t="shared" si="2"/>
        <v>131509556.83658111</v>
      </c>
      <c r="BY35" s="187">
        <f t="shared" si="2"/>
        <v>131509556.83658111</v>
      </c>
      <c r="BZ35" s="187">
        <f t="shared" si="2"/>
        <v>122456771.42303756</v>
      </c>
    </row>
    <row r="36" spans="4:78" x14ac:dyDescent="0.3">
      <c r="D36" s="3" t="s">
        <v>160</v>
      </c>
      <c r="E36" s="188"/>
      <c r="F36" s="188"/>
      <c r="G36" s="188"/>
      <c r="H36" s="8"/>
      <c r="I36" s="8"/>
      <c r="J36" s="8">
        <f t="shared" ref="J36:N48" si="3">SUMIFS($S36:$BZ36,$S$4:$BZ$4,J$4)</f>
        <v>0</v>
      </c>
      <c r="K36" s="8">
        <f t="shared" si="3"/>
        <v>0</v>
      </c>
      <c r="L36" s="8">
        <f t="shared" si="3"/>
        <v>0</v>
      </c>
      <c r="M36" s="8">
        <f t="shared" si="3"/>
        <v>0</v>
      </c>
      <c r="N36" s="8">
        <f t="shared" si="3"/>
        <v>0</v>
      </c>
      <c r="O36" s="8"/>
      <c r="P36" s="8"/>
      <c r="Q36" s="8"/>
      <c r="R36" s="8">
        <f t="shared" ref="R36:AX36" si="4">IF(R$6=$E$8,$E$10,0)</f>
        <v>201844594.25571996</v>
      </c>
      <c r="S36" s="8">
        <f t="shared" si="4"/>
        <v>0</v>
      </c>
      <c r="T36" s="8">
        <f t="shared" si="4"/>
        <v>0</v>
      </c>
      <c r="U36" s="8">
        <f t="shared" si="4"/>
        <v>0</v>
      </c>
      <c r="V36" s="8">
        <f t="shared" si="4"/>
        <v>0</v>
      </c>
      <c r="W36" s="8">
        <f t="shared" si="4"/>
        <v>0</v>
      </c>
      <c r="X36" s="8">
        <f t="shared" si="4"/>
        <v>0</v>
      </c>
      <c r="Y36" s="8">
        <f t="shared" si="4"/>
        <v>0</v>
      </c>
      <c r="Z36" s="8">
        <f t="shared" si="4"/>
        <v>0</v>
      </c>
      <c r="AA36" s="8">
        <f t="shared" si="4"/>
        <v>0</v>
      </c>
      <c r="AB36" s="8">
        <f t="shared" si="4"/>
        <v>0</v>
      </c>
      <c r="AC36" s="8">
        <f t="shared" si="4"/>
        <v>0</v>
      </c>
      <c r="AD36" s="8">
        <f t="shared" si="4"/>
        <v>0</v>
      </c>
      <c r="AE36" s="8">
        <f t="shared" si="4"/>
        <v>0</v>
      </c>
      <c r="AF36" s="8">
        <f t="shared" si="4"/>
        <v>0</v>
      </c>
      <c r="AG36" s="8">
        <f t="shared" si="4"/>
        <v>0</v>
      </c>
      <c r="AH36" s="8">
        <f t="shared" si="4"/>
        <v>0</v>
      </c>
      <c r="AI36" s="8">
        <f t="shared" si="4"/>
        <v>0</v>
      </c>
      <c r="AJ36" s="8">
        <f t="shared" si="4"/>
        <v>0</v>
      </c>
      <c r="AK36" s="8">
        <f t="shared" si="4"/>
        <v>0</v>
      </c>
      <c r="AL36" s="8">
        <f t="shared" si="4"/>
        <v>0</v>
      </c>
      <c r="AM36" s="8">
        <f t="shared" si="4"/>
        <v>0</v>
      </c>
      <c r="AN36" s="8">
        <f t="shared" si="4"/>
        <v>0</v>
      </c>
      <c r="AO36" s="8">
        <f t="shared" si="4"/>
        <v>0</v>
      </c>
      <c r="AP36" s="8">
        <f t="shared" si="4"/>
        <v>0</v>
      </c>
      <c r="AQ36" s="8">
        <f t="shared" si="4"/>
        <v>0</v>
      </c>
      <c r="AR36" s="8">
        <f t="shared" si="4"/>
        <v>0</v>
      </c>
      <c r="AS36" s="8">
        <f t="shared" si="4"/>
        <v>0</v>
      </c>
      <c r="AT36" s="8">
        <f t="shared" si="4"/>
        <v>0</v>
      </c>
      <c r="AU36" s="8">
        <f t="shared" si="4"/>
        <v>0</v>
      </c>
      <c r="AV36" s="8">
        <f t="shared" si="4"/>
        <v>0</v>
      </c>
      <c r="AW36" s="8">
        <f t="shared" si="4"/>
        <v>0</v>
      </c>
      <c r="AX36" s="8">
        <f t="shared" si="4"/>
        <v>0</v>
      </c>
      <c r="AY36" s="8">
        <f t="shared" ref="AY36:BZ36" si="5">IF(AY$6=$E$8,$E$10,0)</f>
        <v>0</v>
      </c>
      <c r="AZ36" s="8">
        <f t="shared" si="5"/>
        <v>0</v>
      </c>
      <c r="BA36" s="8">
        <f t="shared" si="5"/>
        <v>0</v>
      </c>
      <c r="BB36" s="8">
        <f t="shared" si="5"/>
        <v>0</v>
      </c>
      <c r="BC36" s="8">
        <f t="shared" si="5"/>
        <v>0</v>
      </c>
      <c r="BD36" s="8">
        <f t="shared" si="5"/>
        <v>0</v>
      </c>
      <c r="BE36" s="8">
        <f t="shared" si="5"/>
        <v>0</v>
      </c>
      <c r="BF36" s="8">
        <f t="shared" si="5"/>
        <v>0</v>
      </c>
      <c r="BG36" s="8">
        <f t="shared" si="5"/>
        <v>0</v>
      </c>
      <c r="BH36" s="8">
        <f t="shared" si="5"/>
        <v>0</v>
      </c>
      <c r="BI36" s="8">
        <f t="shared" si="5"/>
        <v>0</v>
      </c>
      <c r="BJ36" s="8">
        <f t="shared" si="5"/>
        <v>0</v>
      </c>
      <c r="BK36" s="8">
        <f t="shared" si="5"/>
        <v>0</v>
      </c>
      <c r="BL36" s="8">
        <f t="shared" si="5"/>
        <v>0</v>
      </c>
      <c r="BM36" s="8">
        <f t="shared" si="5"/>
        <v>0</v>
      </c>
      <c r="BN36" s="8">
        <f t="shared" si="5"/>
        <v>0</v>
      </c>
      <c r="BO36" s="8">
        <f t="shared" si="5"/>
        <v>0</v>
      </c>
      <c r="BP36" s="8">
        <f t="shared" si="5"/>
        <v>0</v>
      </c>
      <c r="BQ36" s="8">
        <f t="shared" si="5"/>
        <v>0</v>
      </c>
      <c r="BR36" s="8">
        <f t="shared" si="5"/>
        <v>0</v>
      </c>
      <c r="BS36" s="8">
        <f t="shared" si="5"/>
        <v>0</v>
      </c>
      <c r="BT36" s="8">
        <f t="shared" si="5"/>
        <v>0</v>
      </c>
      <c r="BU36" s="8">
        <f t="shared" si="5"/>
        <v>0</v>
      </c>
      <c r="BV36" s="8">
        <f t="shared" si="5"/>
        <v>0</v>
      </c>
      <c r="BW36" s="8">
        <f t="shared" si="5"/>
        <v>0</v>
      </c>
      <c r="BX36" s="8">
        <f t="shared" si="5"/>
        <v>0</v>
      </c>
      <c r="BY36" s="8">
        <f t="shared" si="5"/>
        <v>0</v>
      </c>
      <c r="BZ36" s="8">
        <f t="shared" si="5"/>
        <v>0</v>
      </c>
    </row>
    <row r="37" spans="4:78" x14ac:dyDescent="0.3">
      <c r="D37" s="189" t="s">
        <v>161</v>
      </c>
      <c r="E37" s="190"/>
      <c r="F37" s="190"/>
      <c r="G37" s="190"/>
      <c r="H37" s="191"/>
      <c r="I37" s="191"/>
      <c r="J37" s="191">
        <f t="shared" si="3"/>
        <v>0</v>
      </c>
      <c r="K37" s="191">
        <f t="shared" si="3"/>
        <v>0</v>
      </c>
      <c r="L37" s="191">
        <f t="shared" si="3"/>
        <v>0</v>
      </c>
      <c r="M37" s="191">
        <f t="shared" si="3"/>
        <v>0</v>
      </c>
      <c r="N37" s="191">
        <f t="shared" si="3"/>
        <v>0</v>
      </c>
      <c r="O37" s="191"/>
      <c r="P37" s="191"/>
      <c r="Q37" s="191"/>
      <c r="R37" s="191">
        <f>-IF(R$6=$E8,$E10*$E26,0)</f>
        <v>-2018445.9425571996</v>
      </c>
      <c r="S37" s="191">
        <f>-IF(S$6=$E8,$E10*$E26,0)</f>
        <v>0</v>
      </c>
      <c r="T37" s="191">
        <f t="shared" ref="T37:AX37" si="6">-IF(T$6=$E8,$E10*$E26,0)</f>
        <v>0</v>
      </c>
      <c r="U37" s="191">
        <f t="shared" si="6"/>
        <v>0</v>
      </c>
      <c r="V37" s="191">
        <f t="shared" si="6"/>
        <v>0</v>
      </c>
      <c r="W37" s="191">
        <f t="shared" si="6"/>
        <v>0</v>
      </c>
      <c r="X37" s="191">
        <f t="shared" si="6"/>
        <v>0</v>
      </c>
      <c r="Y37" s="191">
        <f t="shared" si="6"/>
        <v>0</v>
      </c>
      <c r="Z37" s="191">
        <f t="shared" si="6"/>
        <v>0</v>
      </c>
      <c r="AA37" s="191">
        <f t="shared" si="6"/>
        <v>0</v>
      </c>
      <c r="AB37" s="191">
        <f t="shared" si="6"/>
        <v>0</v>
      </c>
      <c r="AC37" s="191">
        <f t="shared" si="6"/>
        <v>0</v>
      </c>
      <c r="AD37" s="191">
        <f t="shared" si="6"/>
        <v>0</v>
      </c>
      <c r="AE37" s="191">
        <f t="shared" si="6"/>
        <v>0</v>
      </c>
      <c r="AF37" s="191">
        <f t="shared" si="6"/>
        <v>0</v>
      </c>
      <c r="AG37" s="191">
        <f t="shared" si="6"/>
        <v>0</v>
      </c>
      <c r="AH37" s="191">
        <f t="shared" si="6"/>
        <v>0</v>
      </c>
      <c r="AI37" s="191">
        <f t="shared" si="6"/>
        <v>0</v>
      </c>
      <c r="AJ37" s="191">
        <f t="shared" si="6"/>
        <v>0</v>
      </c>
      <c r="AK37" s="191">
        <f t="shared" si="6"/>
        <v>0</v>
      </c>
      <c r="AL37" s="191">
        <f t="shared" si="6"/>
        <v>0</v>
      </c>
      <c r="AM37" s="191">
        <f t="shared" si="6"/>
        <v>0</v>
      </c>
      <c r="AN37" s="191">
        <f t="shared" si="6"/>
        <v>0</v>
      </c>
      <c r="AO37" s="191">
        <f t="shared" si="6"/>
        <v>0</v>
      </c>
      <c r="AP37" s="191">
        <f t="shared" si="6"/>
        <v>0</v>
      </c>
      <c r="AQ37" s="191">
        <f t="shared" si="6"/>
        <v>0</v>
      </c>
      <c r="AR37" s="191">
        <f t="shared" si="6"/>
        <v>0</v>
      </c>
      <c r="AS37" s="191">
        <f t="shared" si="6"/>
        <v>0</v>
      </c>
      <c r="AT37" s="191">
        <f t="shared" si="6"/>
        <v>0</v>
      </c>
      <c r="AU37" s="191">
        <f t="shared" si="6"/>
        <v>0</v>
      </c>
      <c r="AV37" s="191">
        <f t="shared" si="6"/>
        <v>0</v>
      </c>
      <c r="AW37" s="191">
        <f t="shared" si="6"/>
        <v>0</v>
      </c>
      <c r="AX37" s="191">
        <f t="shared" si="6"/>
        <v>0</v>
      </c>
      <c r="AY37" s="191">
        <f t="shared" ref="AY37:BZ37" si="7">-IF(AY$6=$E8,$E10*$E26,0)</f>
        <v>0</v>
      </c>
      <c r="AZ37" s="191">
        <f t="shared" si="7"/>
        <v>0</v>
      </c>
      <c r="BA37" s="191">
        <f t="shared" si="7"/>
        <v>0</v>
      </c>
      <c r="BB37" s="191">
        <f t="shared" si="7"/>
        <v>0</v>
      </c>
      <c r="BC37" s="191">
        <f t="shared" si="7"/>
        <v>0</v>
      </c>
      <c r="BD37" s="191">
        <f t="shared" si="7"/>
        <v>0</v>
      </c>
      <c r="BE37" s="191">
        <f t="shared" si="7"/>
        <v>0</v>
      </c>
      <c r="BF37" s="191">
        <f t="shared" si="7"/>
        <v>0</v>
      </c>
      <c r="BG37" s="191">
        <f t="shared" si="7"/>
        <v>0</v>
      </c>
      <c r="BH37" s="191">
        <f t="shared" si="7"/>
        <v>0</v>
      </c>
      <c r="BI37" s="191">
        <f t="shared" si="7"/>
        <v>0</v>
      </c>
      <c r="BJ37" s="191">
        <f t="shared" si="7"/>
        <v>0</v>
      </c>
      <c r="BK37" s="191">
        <f t="shared" si="7"/>
        <v>0</v>
      </c>
      <c r="BL37" s="191">
        <f t="shared" si="7"/>
        <v>0</v>
      </c>
      <c r="BM37" s="191">
        <f t="shared" si="7"/>
        <v>0</v>
      </c>
      <c r="BN37" s="191">
        <f t="shared" si="7"/>
        <v>0</v>
      </c>
      <c r="BO37" s="191">
        <f t="shared" si="7"/>
        <v>0</v>
      </c>
      <c r="BP37" s="191">
        <f t="shared" si="7"/>
        <v>0</v>
      </c>
      <c r="BQ37" s="191">
        <f t="shared" si="7"/>
        <v>0</v>
      </c>
      <c r="BR37" s="191">
        <f t="shared" si="7"/>
        <v>0</v>
      </c>
      <c r="BS37" s="191">
        <f t="shared" si="7"/>
        <v>0</v>
      </c>
      <c r="BT37" s="191">
        <f t="shared" si="7"/>
        <v>0</v>
      </c>
      <c r="BU37" s="191">
        <f t="shared" si="7"/>
        <v>0</v>
      </c>
      <c r="BV37" s="191">
        <f t="shared" si="7"/>
        <v>0</v>
      </c>
      <c r="BW37" s="191">
        <f t="shared" si="7"/>
        <v>0</v>
      </c>
      <c r="BX37" s="191">
        <f t="shared" si="7"/>
        <v>0</v>
      </c>
      <c r="BY37" s="191">
        <f t="shared" si="7"/>
        <v>0</v>
      </c>
      <c r="BZ37" s="191">
        <f t="shared" si="7"/>
        <v>0</v>
      </c>
    </row>
    <row r="38" spans="4:78" x14ac:dyDescent="0.3">
      <c r="D38" s="3" t="s">
        <v>162</v>
      </c>
      <c r="E38" s="188"/>
      <c r="F38" s="188"/>
      <c r="G38" s="188"/>
      <c r="H38" s="8"/>
      <c r="I38" s="8"/>
      <c r="J38" s="8">
        <f t="shared" si="3"/>
        <v>0</v>
      </c>
      <c r="K38" s="8">
        <f t="shared" si="3"/>
        <v>0</v>
      </c>
      <c r="L38" s="8">
        <f t="shared" si="3"/>
        <v>0</v>
      </c>
      <c r="M38" s="8">
        <f t="shared" si="3"/>
        <v>0</v>
      </c>
      <c r="N38" s="8">
        <f t="shared" si="3"/>
        <v>0</v>
      </c>
      <c r="O38" s="8"/>
      <c r="P38" s="8"/>
      <c r="Q38" s="8"/>
      <c r="R38" s="8">
        <f>IF(AND(R$6&gt;=$E8,R$6&lt;$E9),-((($E10)-SUM(R36:$S36))*($E24))/12,0)</f>
        <v>0</v>
      </c>
      <c r="S38" s="8">
        <f>IF(AND(S$6&gt;=$E8,S$6&lt;$E9),-((($E10)-SUM($S36:S36))*($E24))/12,0)</f>
        <v>0</v>
      </c>
      <c r="T38" s="8">
        <f>IF(AND(T$6&gt;=$E8,T$6&lt;$E9),-((($E10)-SUM($S36:T36))*($E24))/12,0)</f>
        <v>0</v>
      </c>
      <c r="U38" s="8">
        <f>IF(AND(U$6&gt;=$E8,U$6&lt;$E9),-((($E10)-SUM($S36:U36))*($E24))/12,0)</f>
        <v>0</v>
      </c>
      <c r="V38" s="8">
        <f>IF(AND(V$6&gt;=$E8,V$6&lt;$E9),-((($E10)-SUM($S36:V36))*($E24))/12,0)</f>
        <v>0</v>
      </c>
      <c r="W38" s="8">
        <f>IF(AND(W$6&gt;=$E8,W$6&lt;$E9),-((($E10)-SUM($S36:W36))*($E24))/12,0)</f>
        <v>0</v>
      </c>
      <c r="X38" s="8">
        <f>IF(AND(X$6&gt;=$E8,X$6&lt;$E9),-((($E10)-SUM($S36:X36))*($E24))/12,0)</f>
        <v>0</v>
      </c>
      <c r="Y38" s="8">
        <f>IF(AND(Y$6&gt;=$E8,Y$6&lt;$E9),-((($E10)-SUM($S36:Y36))*($E24))/12,0)</f>
        <v>0</v>
      </c>
      <c r="Z38" s="8">
        <f>IF(AND(Z$6&gt;=$E8,Z$6&lt;$E9),-((($E10)-SUM($S36:Z36))*($E24))/12,0)</f>
        <v>0</v>
      </c>
      <c r="AA38" s="8">
        <f>IF(AND(AA$6&gt;=$E8,AA$6&lt;$E9),-((($E10)-SUM($S36:AA36))*($E24))/12,0)</f>
        <v>0</v>
      </c>
      <c r="AB38" s="8">
        <f>IF(AND(AB$6&gt;=$E8,AB$6&lt;$E9),-((($E10)-SUM($S36:AB36))*($E24))/12,0)</f>
        <v>0</v>
      </c>
      <c r="AC38" s="8">
        <f>IF(AND(AC$6&gt;=$E8,AC$6&lt;$E9),-((($E10)-SUM($S36:AC36))*($E24))/12,0)</f>
        <v>0</v>
      </c>
      <c r="AD38" s="8">
        <f>IF(AND(AD$6&gt;=$E8,AD$6&lt;$E9),-((($E10)-SUM($S36:AD36))*($E24))/12,0)</f>
        <v>0</v>
      </c>
      <c r="AE38" s="8">
        <f>IF(AND(AE$6&gt;=$E8,AE$6&lt;$E9),-((($E10)-SUM($S36:AE36))*($E24))/12,0)</f>
        <v>0</v>
      </c>
      <c r="AF38" s="8">
        <f>IF(AND(AF$6&gt;=$E8,AF$6&lt;$E9),-((($E10)-SUM($S36:AF36))*($E24))/12,0)</f>
        <v>0</v>
      </c>
      <c r="AG38" s="8">
        <f>IF(AND(AG$6&gt;=$E8,AG$6&lt;$E9),-((($E10)-SUM($S36:AG36))*($E24))/12,0)</f>
        <v>0</v>
      </c>
      <c r="AH38" s="8">
        <f>IF(AND(AH$6&gt;=$E8,AH$6&lt;$E9),-((($E10)-SUM($S36:AH36))*($E24))/12,0)</f>
        <v>0</v>
      </c>
      <c r="AI38" s="8">
        <f>IF(AND(AI$6&gt;=$E8,AI$6&lt;$E9),-((($E10)-SUM($S36:AI36))*($E24))/12,0)</f>
        <v>0</v>
      </c>
      <c r="AJ38" s="8">
        <f>IF(AND(AJ$6&gt;=$E8,AJ$6&lt;$E9),-((($E10)-SUM($S36:AJ36))*($E24))/12,0)</f>
        <v>0</v>
      </c>
      <c r="AK38" s="8">
        <f>IF(AND(AK$6&gt;=$E8,AK$6&lt;$E9),-((($E10)-SUM($S36:AK36))*($E24))/12,0)</f>
        <v>0</v>
      </c>
      <c r="AL38" s="8">
        <f>IF(AND(AL$6&gt;=$E8,AL$6&lt;$E9),-((($E10)-SUM($S36:AL36))*($E24))/12,0)</f>
        <v>0</v>
      </c>
      <c r="AM38" s="8">
        <f>IF(AND(AM$6&gt;=$E8,AM$6&lt;$E9),-((($E10)-SUM($S36:AM36))*($E24))/12,0)</f>
        <v>0</v>
      </c>
      <c r="AN38" s="8">
        <f>IF(AND(AN$6&gt;=$E8,AN$6&lt;$E9),-((($E10)-SUM($S36:AN36))*($E24))/12,0)</f>
        <v>0</v>
      </c>
      <c r="AO38" s="8">
        <f>IF(AND(AO$6&gt;=$E8,AO$6&lt;$E9),-((($E10)-SUM($S36:AO36))*($E24))/12,0)</f>
        <v>0</v>
      </c>
      <c r="AP38" s="8">
        <f>IF(AND(AP$6&gt;=$E8,AP$6&lt;$E9),-((($E10)-SUM($S36:AP36))*($E24))/12,0)</f>
        <v>0</v>
      </c>
      <c r="AQ38" s="8">
        <f>IF(AND(AQ$6&gt;=$E8,AQ$6&lt;$E9),-((($E10)-SUM($S36:AQ36))*($E24))/12,0)</f>
        <v>0</v>
      </c>
      <c r="AR38" s="8">
        <f>IF(AND(AR$6&gt;=$E8,AR$6&lt;$E9),-((($E10)-SUM($S36:AR36))*($E24))/12,0)</f>
        <v>0</v>
      </c>
      <c r="AS38" s="8">
        <f>IF(AND(AS$6&gt;=$E8,AS$6&lt;$E9),-((($E10)-SUM($S36:AS36))*($E24))/12,0)</f>
        <v>0</v>
      </c>
      <c r="AT38" s="8">
        <f>IF(AND(AT$6&gt;=$E8,AT$6&lt;$E9),-((($E10)-SUM($S36:AT36))*($E24))/12,0)</f>
        <v>0</v>
      </c>
      <c r="AU38" s="8">
        <f>IF(AND(AU$6&gt;=$E8,AU$6&lt;$E9),-((($E10)-SUM($S36:AU36))*($E24))/12,0)</f>
        <v>0</v>
      </c>
      <c r="AV38" s="8">
        <f>IF(AND(AV$6&gt;=$E8,AV$6&lt;$E9),-((($E10)-SUM($S36:AV36))*($E24))/12,0)</f>
        <v>0</v>
      </c>
      <c r="AW38" s="8">
        <f>IF(AND(AW$6&gt;=$E8,AW$6&lt;$E9),-((($E10)-SUM($S36:AW36))*($E24))/12,0)</f>
        <v>0</v>
      </c>
      <c r="AX38" s="8">
        <f>IF(AND(AX$6&gt;=$E8,AX$6&lt;$E9),-((($E10)-SUM($S36:AX36))*($E24))/12,0)</f>
        <v>0</v>
      </c>
      <c r="AY38" s="8">
        <f>IF(AND(AY$6&gt;=$E8,AY$6&lt;$E9),-((($E10)-SUM($S36:AY36))*($E24))/12,0)</f>
        <v>0</v>
      </c>
      <c r="AZ38" s="8">
        <f>IF(AND(AZ$6&gt;=$E8,AZ$6&lt;$E9),-((($E10)-SUM($S36:AZ36))*($E24))/12,0)</f>
        <v>0</v>
      </c>
      <c r="BA38" s="8">
        <f>IF(AND(BA$6&gt;=$E8,BA$6&lt;$E9),-((($E10)-SUM($S36:BA36))*($E24))/12,0)</f>
        <v>0</v>
      </c>
      <c r="BB38" s="8">
        <f>IF(AND(BB$6&gt;=$E8,BB$6&lt;$E9),-((($E10)-SUM($S36:BB36))*($E24))/12,0)</f>
        <v>0</v>
      </c>
      <c r="BC38" s="8">
        <f>IF(AND(BC$6&gt;=$E8,BC$6&lt;$E9),-((($E10)-SUM($S36:BC36))*($E24))/12,0)</f>
        <v>0</v>
      </c>
      <c r="BD38" s="8">
        <f>IF(AND(BD$6&gt;=$E8,BD$6&lt;$E9),-((($E10)-SUM($S36:BD36))*($E24))/12,0)</f>
        <v>0</v>
      </c>
      <c r="BE38" s="8">
        <f>IF(AND(BE$6&gt;=$E8,BE$6&lt;$E9),-((($E10)-SUM($S36:BE36))*($E24))/12,0)</f>
        <v>0</v>
      </c>
      <c r="BF38" s="8">
        <f>IF(AND(BF$6&gt;=$E8,BF$6&lt;$E9),-((($E10)-SUM($S36:BF36))*($E24))/12,0)</f>
        <v>0</v>
      </c>
      <c r="BG38" s="8">
        <f>IF(AND(BG$6&gt;=$E8,BG$6&lt;$E9),-((($E10)-SUM($S36:BG36))*($E24))/12,0)</f>
        <v>0</v>
      </c>
      <c r="BH38" s="8">
        <f>IF(AND(BH$6&gt;=$E8,BH$6&lt;$E9),-((($E10)-SUM($S36:BH36))*($E24))/12,0)</f>
        <v>0</v>
      </c>
      <c r="BI38" s="8">
        <f>IF(AND(BI$6&gt;=$E8,BI$6&lt;$E9),-((($E10)-SUM($S36:BI36))*($E24))/12,0)</f>
        <v>0</v>
      </c>
      <c r="BJ38" s="8">
        <f>IF(AND(BJ$6&gt;=$E8,BJ$6&lt;$E9),-((($E10)-SUM($S36:BJ36))*($E24))/12,0)</f>
        <v>0</v>
      </c>
      <c r="BK38" s="8">
        <f>IF(AND(BK$6&gt;=$E8,BK$6&lt;$E9),-((($E10)-SUM($S36:BK36))*($E24))/12,0)</f>
        <v>0</v>
      </c>
      <c r="BL38" s="8">
        <f>IF(AND(BL$6&gt;=$E8,BL$6&lt;$E9),-((($E10)-SUM($S36:BL36))*($E24))/12,0)</f>
        <v>0</v>
      </c>
      <c r="BM38" s="8">
        <f>IF(AND(BM$6&gt;=$E8,BM$6&lt;$E9),-((($E10)-SUM($S36:BM36))*($E24))/12,0)</f>
        <v>0</v>
      </c>
      <c r="BN38" s="8">
        <f>IF(AND(BN$6&gt;=$E8,BN$6&lt;$E9),-((($E10)-SUM($S36:BN36))*($E24))/12,0)</f>
        <v>0</v>
      </c>
      <c r="BO38" s="8">
        <f>IF(AND(BO$6&gt;=$E8,BO$6&lt;$E9),-((($E10)-SUM($S36:BO36))*($E24))/12,0)</f>
        <v>0</v>
      </c>
      <c r="BP38" s="8">
        <f>IF(AND(BP$6&gt;=$E8,BP$6&lt;$E9),-((($E10)-SUM($S36:BP36))*($E24))/12,0)</f>
        <v>0</v>
      </c>
      <c r="BQ38" s="8">
        <f>IF(AND(BQ$6&gt;=$E8,BQ$6&lt;$E9),-((($E10)-SUM($S36:BQ36))*($E24))/12,0)</f>
        <v>0</v>
      </c>
      <c r="BR38" s="8">
        <f>IF(AND(BR$6&gt;=$E8,BR$6&lt;$E9),-((($E10)-SUM($S36:BR36))*($E24))/12,0)</f>
        <v>0</v>
      </c>
      <c r="BS38" s="8">
        <f>IF(AND(BS$6&gt;=$E8,BS$6&lt;$E9),-((($E10)-SUM($S36:BS36))*($E24))/12,0)</f>
        <v>0</v>
      </c>
      <c r="BT38" s="8">
        <f>IF(AND(BT$6&gt;=$E8,BT$6&lt;$E9),-((($E10)-SUM($S36:BT36))*($E24))/12,0)</f>
        <v>0</v>
      </c>
      <c r="BU38" s="8">
        <f>IF(AND(BU$6&gt;=$E8,BU$6&lt;$E9),-((($E10)-SUM($S36:BU36))*($E24))/12,0)</f>
        <v>0</v>
      </c>
      <c r="BV38" s="8">
        <f>IF(AND(BV$6&gt;=$E8,BV$6&lt;$E9),-((($E10)-SUM($S36:BV36))*($E24))/12,0)</f>
        <v>0</v>
      </c>
      <c r="BW38" s="8">
        <f>IF(AND(BW$6&gt;=$E8,BW$6&lt;$E9),-((($E10)-SUM($S36:BW36))*($E24))/12,0)</f>
        <v>0</v>
      </c>
      <c r="BX38" s="8">
        <f>IF(AND(BX$6&gt;=$E8,BX$6&lt;$E9),-((($E10)-SUM($S36:BX36))*($E24))/12,0)</f>
        <v>0</v>
      </c>
      <c r="BY38" s="8">
        <f>IF(AND(BY$6&gt;=$E8,BY$6&lt;$E9),-((($E10)-SUM($S36:BY36))*($E24))/12,0)</f>
        <v>0</v>
      </c>
      <c r="BZ38" s="8">
        <f>IF(AND(BZ$6&gt;=$E8,BZ$6&lt;$E9),-((($E10)-SUM($S36:BZ36))*($E24))/12,0)</f>
        <v>0</v>
      </c>
    </row>
    <row r="39" spans="4:78" s="165" customFormat="1" ht="12.75" x14ac:dyDescent="0.25">
      <c r="D39" s="165" t="s">
        <v>163</v>
      </c>
      <c r="E39" s="269"/>
      <c r="F39" s="269"/>
      <c r="G39" s="269"/>
      <c r="H39" s="166"/>
      <c r="I39" s="166"/>
      <c r="J39" s="166">
        <f t="shared" si="3"/>
        <v>0</v>
      </c>
      <c r="K39" s="166">
        <f t="shared" si="3"/>
        <v>0</v>
      </c>
      <c r="L39" s="166">
        <f t="shared" si="3"/>
        <v>0</v>
      </c>
      <c r="M39" s="166">
        <f t="shared" si="3"/>
        <v>0</v>
      </c>
      <c r="N39" s="166">
        <f t="shared" si="3"/>
        <v>0</v>
      </c>
      <c r="O39" s="166"/>
      <c r="P39" s="166"/>
      <c r="Q39" s="166"/>
      <c r="R39" s="166">
        <f t="shared" ref="R39:AX39" si="8">IF($E$25="Current",R$38,0)</f>
        <v>0</v>
      </c>
      <c r="S39" s="166">
        <f t="shared" si="8"/>
        <v>0</v>
      </c>
      <c r="T39" s="166">
        <f t="shared" si="8"/>
        <v>0</v>
      </c>
      <c r="U39" s="166">
        <f t="shared" si="8"/>
        <v>0</v>
      </c>
      <c r="V39" s="166">
        <f t="shared" si="8"/>
        <v>0</v>
      </c>
      <c r="W39" s="166">
        <f t="shared" si="8"/>
        <v>0</v>
      </c>
      <c r="X39" s="166">
        <f t="shared" si="8"/>
        <v>0</v>
      </c>
      <c r="Y39" s="166">
        <f t="shared" si="8"/>
        <v>0</v>
      </c>
      <c r="Z39" s="166">
        <f t="shared" si="8"/>
        <v>0</v>
      </c>
      <c r="AA39" s="166">
        <f t="shared" si="8"/>
        <v>0</v>
      </c>
      <c r="AB39" s="166">
        <f t="shared" si="8"/>
        <v>0</v>
      </c>
      <c r="AC39" s="166">
        <f t="shared" si="8"/>
        <v>0</v>
      </c>
      <c r="AD39" s="166">
        <f t="shared" si="8"/>
        <v>0</v>
      </c>
      <c r="AE39" s="166">
        <f t="shared" si="8"/>
        <v>0</v>
      </c>
      <c r="AF39" s="166">
        <f t="shared" si="8"/>
        <v>0</v>
      </c>
      <c r="AG39" s="166">
        <f t="shared" si="8"/>
        <v>0</v>
      </c>
      <c r="AH39" s="166">
        <f t="shared" si="8"/>
        <v>0</v>
      </c>
      <c r="AI39" s="166">
        <f t="shared" si="8"/>
        <v>0</v>
      </c>
      <c r="AJ39" s="166">
        <f t="shared" si="8"/>
        <v>0</v>
      </c>
      <c r="AK39" s="166">
        <f t="shared" si="8"/>
        <v>0</v>
      </c>
      <c r="AL39" s="166">
        <f t="shared" si="8"/>
        <v>0</v>
      </c>
      <c r="AM39" s="166">
        <f t="shared" si="8"/>
        <v>0</v>
      </c>
      <c r="AN39" s="166">
        <f t="shared" si="8"/>
        <v>0</v>
      </c>
      <c r="AO39" s="166">
        <f t="shared" si="8"/>
        <v>0</v>
      </c>
      <c r="AP39" s="166">
        <f t="shared" si="8"/>
        <v>0</v>
      </c>
      <c r="AQ39" s="166">
        <f t="shared" si="8"/>
        <v>0</v>
      </c>
      <c r="AR39" s="166">
        <f t="shared" si="8"/>
        <v>0</v>
      </c>
      <c r="AS39" s="166">
        <f t="shared" si="8"/>
        <v>0</v>
      </c>
      <c r="AT39" s="166">
        <f t="shared" si="8"/>
        <v>0</v>
      </c>
      <c r="AU39" s="166">
        <f t="shared" si="8"/>
        <v>0</v>
      </c>
      <c r="AV39" s="166">
        <f t="shared" si="8"/>
        <v>0</v>
      </c>
      <c r="AW39" s="166">
        <f t="shared" si="8"/>
        <v>0</v>
      </c>
      <c r="AX39" s="166">
        <f t="shared" si="8"/>
        <v>0</v>
      </c>
      <c r="AY39" s="166">
        <f t="shared" ref="AY39:BZ39" si="9">IF($E$25="Current",AY$38,0)</f>
        <v>0</v>
      </c>
      <c r="AZ39" s="166">
        <f t="shared" si="9"/>
        <v>0</v>
      </c>
      <c r="BA39" s="166">
        <f t="shared" si="9"/>
        <v>0</v>
      </c>
      <c r="BB39" s="166">
        <f t="shared" si="9"/>
        <v>0</v>
      </c>
      <c r="BC39" s="166">
        <f t="shared" si="9"/>
        <v>0</v>
      </c>
      <c r="BD39" s="166">
        <f t="shared" si="9"/>
        <v>0</v>
      </c>
      <c r="BE39" s="166">
        <f t="shared" si="9"/>
        <v>0</v>
      </c>
      <c r="BF39" s="166">
        <f t="shared" si="9"/>
        <v>0</v>
      </c>
      <c r="BG39" s="166">
        <f t="shared" si="9"/>
        <v>0</v>
      </c>
      <c r="BH39" s="166">
        <f t="shared" si="9"/>
        <v>0</v>
      </c>
      <c r="BI39" s="166">
        <f t="shared" si="9"/>
        <v>0</v>
      </c>
      <c r="BJ39" s="166">
        <f t="shared" si="9"/>
        <v>0</v>
      </c>
      <c r="BK39" s="166">
        <f t="shared" si="9"/>
        <v>0</v>
      </c>
      <c r="BL39" s="166">
        <f t="shared" si="9"/>
        <v>0</v>
      </c>
      <c r="BM39" s="166">
        <f t="shared" si="9"/>
        <v>0</v>
      </c>
      <c r="BN39" s="166">
        <f t="shared" si="9"/>
        <v>0</v>
      </c>
      <c r="BO39" s="166">
        <f t="shared" si="9"/>
        <v>0</v>
      </c>
      <c r="BP39" s="166">
        <f t="shared" si="9"/>
        <v>0</v>
      </c>
      <c r="BQ39" s="166">
        <f t="shared" si="9"/>
        <v>0</v>
      </c>
      <c r="BR39" s="166">
        <f t="shared" si="9"/>
        <v>0</v>
      </c>
      <c r="BS39" s="166">
        <f t="shared" si="9"/>
        <v>0</v>
      </c>
      <c r="BT39" s="166">
        <f t="shared" si="9"/>
        <v>0</v>
      </c>
      <c r="BU39" s="166">
        <f t="shared" si="9"/>
        <v>0</v>
      </c>
      <c r="BV39" s="166">
        <f t="shared" si="9"/>
        <v>0</v>
      </c>
      <c r="BW39" s="166">
        <f t="shared" si="9"/>
        <v>0</v>
      </c>
      <c r="BX39" s="166">
        <f t="shared" si="9"/>
        <v>0</v>
      </c>
      <c r="BY39" s="166">
        <f t="shared" si="9"/>
        <v>0</v>
      </c>
      <c r="BZ39" s="166">
        <f t="shared" si="9"/>
        <v>0</v>
      </c>
    </row>
    <row r="40" spans="4:78" s="165" customFormat="1" ht="12.75" x14ac:dyDescent="0.25">
      <c r="D40" s="270" t="s">
        <v>164</v>
      </c>
      <c r="E40" s="271"/>
      <c r="F40" s="271"/>
      <c r="G40" s="271"/>
      <c r="H40" s="272"/>
      <c r="I40" s="272"/>
      <c r="J40" s="272">
        <f t="shared" si="3"/>
        <v>0</v>
      </c>
      <c r="K40" s="272">
        <f t="shared" si="3"/>
        <v>0</v>
      </c>
      <c r="L40" s="272">
        <f t="shared" si="3"/>
        <v>0</v>
      </c>
      <c r="M40" s="272">
        <f t="shared" si="3"/>
        <v>0</v>
      </c>
      <c r="N40" s="272">
        <f t="shared" si="3"/>
        <v>0</v>
      </c>
      <c r="O40" s="272"/>
      <c r="P40" s="272"/>
      <c r="Q40" s="272"/>
      <c r="R40" s="272">
        <f t="shared" ref="R40:AX40" si="10">IF($E$25="PIK",-R$38,0)</f>
        <v>0</v>
      </c>
      <c r="S40" s="272">
        <f t="shared" si="10"/>
        <v>0</v>
      </c>
      <c r="T40" s="272">
        <f t="shared" si="10"/>
        <v>0</v>
      </c>
      <c r="U40" s="272">
        <f t="shared" si="10"/>
        <v>0</v>
      </c>
      <c r="V40" s="272">
        <f t="shared" si="10"/>
        <v>0</v>
      </c>
      <c r="W40" s="272">
        <f t="shared" si="10"/>
        <v>0</v>
      </c>
      <c r="X40" s="272">
        <f t="shared" si="10"/>
        <v>0</v>
      </c>
      <c r="Y40" s="272">
        <f t="shared" si="10"/>
        <v>0</v>
      </c>
      <c r="Z40" s="272">
        <f t="shared" si="10"/>
        <v>0</v>
      </c>
      <c r="AA40" s="272">
        <f t="shared" si="10"/>
        <v>0</v>
      </c>
      <c r="AB40" s="272">
        <f t="shared" si="10"/>
        <v>0</v>
      </c>
      <c r="AC40" s="272">
        <f t="shared" si="10"/>
        <v>0</v>
      </c>
      <c r="AD40" s="272">
        <f t="shared" si="10"/>
        <v>0</v>
      </c>
      <c r="AE40" s="272">
        <f t="shared" si="10"/>
        <v>0</v>
      </c>
      <c r="AF40" s="272">
        <f t="shared" si="10"/>
        <v>0</v>
      </c>
      <c r="AG40" s="272">
        <f t="shared" si="10"/>
        <v>0</v>
      </c>
      <c r="AH40" s="272">
        <f t="shared" si="10"/>
        <v>0</v>
      </c>
      <c r="AI40" s="272">
        <f t="shared" si="10"/>
        <v>0</v>
      </c>
      <c r="AJ40" s="272">
        <f t="shared" si="10"/>
        <v>0</v>
      </c>
      <c r="AK40" s="272">
        <f t="shared" si="10"/>
        <v>0</v>
      </c>
      <c r="AL40" s="272">
        <f t="shared" si="10"/>
        <v>0</v>
      </c>
      <c r="AM40" s="272">
        <f t="shared" si="10"/>
        <v>0</v>
      </c>
      <c r="AN40" s="272">
        <f t="shared" si="10"/>
        <v>0</v>
      </c>
      <c r="AO40" s="272">
        <f t="shared" si="10"/>
        <v>0</v>
      </c>
      <c r="AP40" s="272">
        <f t="shared" si="10"/>
        <v>0</v>
      </c>
      <c r="AQ40" s="272">
        <f t="shared" si="10"/>
        <v>0</v>
      </c>
      <c r="AR40" s="272">
        <f t="shared" si="10"/>
        <v>0</v>
      </c>
      <c r="AS40" s="272">
        <f t="shared" si="10"/>
        <v>0</v>
      </c>
      <c r="AT40" s="272">
        <f t="shared" si="10"/>
        <v>0</v>
      </c>
      <c r="AU40" s="272">
        <f t="shared" si="10"/>
        <v>0</v>
      </c>
      <c r="AV40" s="272">
        <f t="shared" si="10"/>
        <v>0</v>
      </c>
      <c r="AW40" s="272">
        <f t="shared" si="10"/>
        <v>0</v>
      </c>
      <c r="AX40" s="272">
        <f t="shared" si="10"/>
        <v>0</v>
      </c>
      <c r="AY40" s="272">
        <f t="shared" ref="AY40:BZ40" si="11">IF($E$25="PIK",-AY$38,0)</f>
        <v>0</v>
      </c>
      <c r="AZ40" s="272">
        <f t="shared" si="11"/>
        <v>0</v>
      </c>
      <c r="BA40" s="272">
        <f t="shared" si="11"/>
        <v>0</v>
      </c>
      <c r="BB40" s="272">
        <f t="shared" si="11"/>
        <v>0</v>
      </c>
      <c r="BC40" s="272">
        <f t="shared" si="11"/>
        <v>0</v>
      </c>
      <c r="BD40" s="272">
        <f t="shared" si="11"/>
        <v>0</v>
      </c>
      <c r="BE40" s="272">
        <f t="shared" si="11"/>
        <v>0</v>
      </c>
      <c r="BF40" s="272">
        <f t="shared" si="11"/>
        <v>0</v>
      </c>
      <c r="BG40" s="272">
        <f t="shared" si="11"/>
        <v>0</v>
      </c>
      <c r="BH40" s="272">
        <f t="shared" si="11"/>
        <v>0</v>
      </c>
      <c r="BI40" s="272">
        <f t="shared" si="11"/>
        <v>0</v>
      </c>
      <c r="BJ40" s="272">
        <f t="shared" si="11"/>
        <v>0</v>
      </c>
      <c r="BK40" s="272">
        <f t="shared" si="11"/>
        <v>0</v>
      </c>
      <c r="BL40" s="272">
        <f t="shared" si="11"/>
        <v>0</v>
      </c>
      <c r="BM40" s="272">
        <f t="shared" si="11"/>
        <v>0</v>
      </c>
      <c r="BN40" s="272">
        <f t="shared" si="11"/>
        <v>0</v>
      </c>
      <c r="BO40" s="272">
        <f t="shared" si="11"/>
        <v>0</v>
      </c>
      <c r="BP40" s="272">
        <f t="shared" si="11"/>
        <v>0</v>
      </c>
      <c r="BQ40" s="272">
        <f t="shared" si="11"/>
        <v>0</v>
      </c>
      <c r="BR40" s="272">
        <f t="shared" si="11"/>
        <v>0</v>
      </c>
      <c r="BS40" s="272">
        <f t="shared" si="11"/>
        <v>0</v>
      </c>
      <c r="BT40" s="272">
        <f t="shared" si="11"/>
        <v>0</v>
      </c>
      <c r="BU40" s="272">
        <f t="shared" si="11"/>
        <v>0</v>
      </c>
      <c r="BV40" s="272">
        <f t="shared" si="11"/>
        <v>0</v>
      </c>
      <c r="BW40" s="272">
        <f t="shared" si="11"/>
        <v>0</v>
      </c>
      <c r="BX40" s="272">
        <f t="shared" si="11"/>
        <v>0</v>
      </c>
      <c r="BY40" s="272">
        <f t="shared" si="11"/>
        <v>0</v>
      </c>
      <c r="BZ40" s="272">
        <f t="shared" si="11"/>
        <v>0</v>
      </c>
    </row>
    <row r="41" spans="4:78" x14ac:dyDescent="0.3">
      <c r="D41" s="3" t="s">
        <v>165</v>
      </c>
      <c r="E41" s="188"/>
      <c r="F41" s="188"/>
      <c r="G41" s="188"/>
      <c r="H41" s="8"/>
      <c r="I41" s="8"/>
      <c r="J41" s="8">
        <f>SUMIFS($S41:$BZ41,$S$4:$BZ$4,J$4)</f>
        <v>-17305390.224822868</v>
      </c>
      <c r="K41" s="8">
        <f t="shared" si="3"/>
        <v>-16044294.996379249</v>
      </c>
      <c r="L41" s="8">
        <f t="shared" si="3"/>
        <v>-14706352.9432573</v>
      </c>
      <c r="M41" s="8">
        <f t="shared" si="3"/>
        <v>-13289709.965419196</v>
      </c>
      <c r="N41" s="8">
        <f t="shared" si="3"/>
        <v>-11791940.822189391</v>
      </c>
      <c r="O41" s="8"/>
      <c r="P41" s="8"/>
      <c r="Q41" s="8"/>
      <c r="R41" s="8">
        <f>-(R35*(IF($E$21="Floating",R$53+$E$19,$E$18))/12)</f>
        <v>0</v>
      </c>
      <c r="S41" s="8">
        <f>-(S35*(IF($E$21="Floating",S$53+$E$19,$E$18))/12)</f>
        <v>-1476156.7993234985</v>
      </c>
      <c r="T41" s="8">
        <f t="shared" ref="T41:AX41" si="12">-(T35*(IF($E$21="Floating",T$53+$E$19,$E$18))/12)</f>
        <v>-1476156.7993234985</v>
      </c>
      <c r="U41" s="8">
        <f t="shared" si="12"/>
        <v>-1476156.7993234985</v>
      </c>
      <c r="V41" s="8">
        <f t="shared" si="12"/>
        <v>-1476156.7993234985</v>
      </c>
      <c r="W41" s="8">
        <f t="shared" si="12"/>
        <v>-1476156.7993234985</v>
      </c>
      <c r="X41" s="8">
        <f t="shared" si="12"/>
        <v>-1425251.9420323614</v>
      </c>
      <c r="Y41" s="8">
        <f t="shared" si="12"/>
        <v>-1425251.9420323614</v>
      </c>
      <c r="Z41" s="8">
        <f t="shared" si="12"/>
        <v>-1425251.9420323614</v>
      </c>
      <c r="AA41" s="8">
        <f t="shared" si="12"/>
        <v>-1425251.9420323614</v>
      </c>
      <c r="AB41" s="8">
        <f t="shared" si="12"/>
        <v>-1425251.9420323614</v>
      </c>
      <c r="AC41" s="8">
        <f t="shared" si="12"/>
        <v>-1425251.9420323614</v>
      </c>
      <c r="AD41" s="8">
        <f t="shared" si="12"/>
        <v>-1373094.5760112086</v>
      </c>
      <c r="AE41" s="8">
        <f t="shared" si="12"/>
        <v>-1373094.5760112086</v>
      </c>
      <c r="AF41" s="8">
        <f t="shared" si="12"/>
        <v>-1373094.5760112086</v>
      </c>
      <c r="AG41" s="8">
        <f t="shared" si="12"/>
        <v>-1373094.5760112086</v>
      </c>
      <c r="AH41" s="8">
        <f t="shared" si="12"/>
        <v>-1373094.5760112086</v>
      </c>
      <c r="AI41" s="8">
        <f t="shared" si="12"/>
        <v>-1373094.5760112086</v>
      </c>
      <c r="AJ41" s="8">
        <f t="shared" si="12"/>
        <v>-1319190.9273448461</v>
      </c>
      <c r="AK41" s="8">
        <f t="shared" si="12"/>
        <v>-1319190.9273448461</v>
      </c>
      <c r="AL41" s="8">
        <f t="shared" si="12"/>
        <v>-1319190.9273448461</v>
      </c>
      <c r="AM41" s="8">
        <f t="shared" si="12"/>
        <v>-1319190.9273448461</v>
      </c>
      <c r="AN41" s="8">
        <f t="shared" si="12"/>
        <v>-1319190.9273448461</v>
      </c>
      <c r="AO41" s="8">
        <f t="shared" si="12"/>
        <v>-1319190.9273448461</v>
      </c>
      <c r="AP41" s="8">
        <f t="shared" si="12"/>
        <v>-1263676.5522541301</v>
      </c>
      <c r="AQ41" s="8">
        <f t="shared" si="12"/>
        <v>-1263676.5522541301</v>
      </c>
      <c r="AR41" s="8">
        <f t="shared" si="12"/>
        <v>-1263676.5522541301</v>
      </c>
      <c r="AS41" s="8">
        <f t="shared" si="12"/>
        <v>-1263676.5522541301</v>
      </c>
      <c r="AT41" s="8">
        <f t="shared" si="12"/>
        <v>-1263676.5522541301</v>
      </c>
      <c r="AU41" s="8">
        <f t="shared" si="12"/>
        <v>-1263676.5522541301</v>
      </c>
      <c r="AV41" s="8">
        <f t="shared" si="12"/>
        <v>-1206704.9664543984</v>
      </c>
      <c r="AW41" s="8">
        <f t="shared" si="12"/>
        <v>-1206704.9664543984</v>
      </c>
      <c r="AX41" s="8">
        <f t="shared" si="12"/>
        <v>-1206704.9664543984</v>
      </c>
      <c r="AY41" s="8">
        <f t="shared" ref="AY41:BZ41" si="13">-(AY35*(IF($E$21="Floating",AY$53+$E$19,$E$18))/12)</f>
        <v>-1206704.9664543984</v>
      </c>
      <c r="AZ41" s="8">
        <f t="shared" si="13"/>
        <v>-1206704.9664543984</v>
      </c>
      <c r="BA41" s="8">
        <f t="shared" si="13"/>
        <v>-1206704.9664543984</v>
      </c>
      <c r="BB41" s="8">
        <f t="shared" si="13"/>
        <v>-1147740.383260262</v>
      </c>
      <c r="BC41" s="8">
        <f t="shared" si="13"/>
        <v>-1147740.383260262</v>
      </c>
      <c r="BD41" s="8">
        <f t="shared" si="13"/>
        <v>-1147740.383260262</v>
      </c>
      <c r="BE41" s="8">
        <f t="shared" si="13"/>
        <v>-1147740.383260262</v>
      </c>
      <c r="BF41" s="8">
        <f t="shared" si="13"/>
        <v>-1147740.383260262</v>
      </c>
      <c r="BG41" s="8">
        <f t="shared" si="13"/>
        <v>-1147740.383260262</v>
      </c>
      <c r="BH41" s="8">
        <f t="shared" si="13"/>
        <v>-1087643.5321909904</v>
      </c>
      <c r="BI41" s="8">
        <f t="shared" si="13"/>
        <v>-1087643.5321909904</v>
      </c>
      <c r="BJ41" s="8">
        <f t="shared" si="13"/>
        <v>-1087643.5321909904</v>
      </c>
      <c r="BK41" s="8">
        <f t="shared" si="13"/>
        <v>-1087643.5321909904</v>
      </c>
      <c r="BL41" s="8">
        <f t="shared" si="13"/>
        <v>-1087643.5321909904</v>
      </c>
      <c r="BM41" s="8">
        <f t="shared" si="13"/>
        <v>-1087643.5321909904</v>
      </c>
      <c r="BN41" s="8">
        <f t="shared" si="13"/>
        <v>-1025146.8559719458</v>
      </c>
      <c r="BO41" s="8">
        <f t="shared" si="13"/>
        <v>-1025146.8559719458</v>
      </c>
      <c r="BP41" s="8">
        <f t="shared" si="13"/>
        <v>-1025146.8559719458</v>
      </c>
      <c r="BQ41" s="8">
        <f t="shared" si="13"/>
        <v>-1025146.8559719458</v>
      </c>
      <c r="BR41" s="8">
        <f t="shared" si="13"/>
        <v>-1025146.8559719458</v>
      </c>
      <c r="BS41" s="8">
        <f t="shared" si="13"/>
        <v>-1025146.8559719458</v>
      </c>
      <c r="BT41" s="8">
        <f t="shared" si="13"/>
        <v>-961773.22566486325</v>
      </c>
      <c r="BU41" s="8">
        <f t="shared" si="13"/>
        <v>-961773.22566486325</v>
      </c>
      <c r="BV41" s="8">
        <f t="shared" si="13"/>
        <v>-961773.22566486325</v>
      </c>
      <c r="BW41" s="8">
        <f t="shared" si="13"/>
        <v>-961773.22566486325</v>
      </c>
      <c r="BX41" s="8">
        <f t="shared" si="13"/>
        <v>-961773.22566486325</v>
      </c>
      <c r="BY41" s="8">
        <f t="shared" si="13"/>
        <v>-961773.22566486325</v>
      </c>
      <c r="BZ41" s="8">
        <f t="shared" si="13"/>
        <v>-895567.18834048137</v>
      </c>
    </row>
    <row r="42" spans="4:78" s="165" customFormat="1" ht="12.75" x14ac:dyDescent="0.25">
      <c r="D42" s="165" t="s">
        <v>163</v>
      </c>
      <c r="E42" s="269"/>
      <c r="F42" s="269"/>
      <c r="G42" s="269"/>
      <c r="H42" s="166"/>
      <c r="I42" s="166"/>
      <c r="J42" s="166">
        <f t="shared" si="3"/>
        <v>-17305390.224822868</v>
      </c>
      <c r="K42" s="166">
        <f t="shared" si="3"/>
        <v>-16044294.996379249</v>
      </c>
      <c r="L42" s="166">
        <f t="shared" si="3"/>
        <v>-14706352.9432573</v>
      </c>
      <c r="M42" s="166">
        <f t="shared" si="3"/>
        <v>-13289709.965419196</v>
      </c>
      <c r="N42" s="166">
        <f t="shared" si="3"/>
        <v>-11791940.822189391</v>
      </c>
      <c r="O42" s="166"/>
      <c r="P42" s="166"/>
      <c r="Q42" s="166"/>
      <c r="R42" s="166">
        <f t="shared" ref="R42:AX42" si="14">IF($E$20="Current",R$41,0)</f>
        <v>0</v>
      </c>
      <c r="S42" s="166">
        <f t="shared" si="14"/>
        <v>-1476156.7993234985</v>
      </c>
      <c r="T42" s="166">
        <f t="shared" si="14"/>
        <v>-1476156.7993234985</v>
      </c>
      <c r="U42" s="166">
        <f t="shared" si="14"/>
        <v>-1476156.7993234985</v>
      </c>
      <c r="V42" s="166">
        <f t="shared" si="14"/>
        <v>-1476156.7993234985</v>
      </c>
      <c r="W42" s="166">
        <f t="shared" si="14"/>
        <v>-1476156.7993234985</v>
      </c>
      <c r="X42" s="166">
        <f t="shared" si="14"/>
        <v>-1425251.9420323614</v>
      </c>
      <c r="Y42" s="166">
        <f t="shared" si="14"/>
        <v>-1425251.9420323614</v>
      </c>
      <c r="Z42" s="166">
        <f t="shared" si="14"/>
        <v>-1425251.9420323614</v>
      </c>
      <c r="AA42" s="166">
        <f t="shared" si="14"/>
        <v>-1425251.9420323614</v>
      </c>
      <c r="AB42" s="166">
        <f t="shared" si="14"/>
        <v>-1425251.9420323614</v>
      </c>
      <c r="AC42" s="166">
        <f t="shared" si="14"/>
        <v>-1425251.9420323614</v>
      </c>
      <c r="AD42" s="166">
        <f t="shared" si="14"/>
        <v>-1373094.5760112086</v>
      </c>
      <c r="AE42" s="166">
        <f t="shared" si="14"/>
        <v>-1373094.5760112086</v>
      </c>
      <c r="AF42" s="166">
        <f t="shared" si="14"/>
        <v>-1373094.5760112086</v>
      </c>
      <c r="AG42" s="166">
        <f t="shared" si="14"/>
        <v>-1373094.5760112086</v>
      </c>
      <c r="AH42" s="166">
        <f t="shared" si="14"/>
        <v>-1373094.5760112086</v>
      </c>
      <c r="AI42" s="166">
        <f t="shared" si="14"/>
        <v>-1373094.5760112086</v>
      </c>
      <c r="AJ42" s="166">
        <f t="shared" si="14"/>
        <v>-1319190.9273448461</v>
      </c>
      <c r="AK42" s="166">
        <f t="shared" si="14"/>
        <v>-1319190.9273448461</v>
      </c>
      <c r="AL42" s="166">
        <f t="shared" si="14"/>
        <v>-1319190.9273448461</v>
      </c>
      <c r="AM42" s="166">
        <f t="shared" si="14"/>
        <v>-1319190.9273448461</v>
      </c>
      <c r="AN42" s="166">
        <f t="shared" si="14"/>
        <v>-1319190.9273448461</v>
      </c>
      <c r="AO42" s="166">
        <f t="shared" si="14"/>
        <v>-1319190.9273448461</v>
      </c>
      <c r="AP42" s="166">
        <f t="shared" si="14"/>
        <v>-1263676.5522541301</v>
      </c>
      <c r="AQ42" s="166">
        <f t="shared" si="14"/>
        <v>-1263676.5522541301</v>
      </c>
      <c r="AR42" s="166">
        <f t="shared" si="14"/>
        <v>-1263676.5522541301</v>
      </c>
      <c r="AS42" s="166">
        <f t="shared" si="14"/>
        <v>-1263676.5522541301</v>
      </c>
      <c r="AT42" s="166">
        <f t="shared" si="14"/>
        <v>-1263676.5522541301</v>
      </c>
      <c r="AU42" s="166">
        <f t="shared" si="14"/>
        <v>-1263676.5522541301</v>
      </c>
      <c r="AV42" s="166">
        <f t="shared" si="14"/>
        <v>-1206704.9664543984</v>
      </c>
      <c r="AW42" s="166">
        <f t="shared" si="14"/>
        <v>-1206704.9664543984</v>
      </c>
      <c r="AX42" s="166">
        <f t="shared" si="14"/>
        <v>-1206704.9664543984</v>
      </c>
      <c r="AY42" s="166">
        <f t="shared" ref="AY42:BZ42" si="15">IF($E$20="Current",AY$41,0)</f>
        <v>-1206704.9664543984</v>
      </c>
      <c r="AZ42" s="166">
        <f t="shared" si="15"/>
        <v>-1206704.9664543984</v>
      </c>
      <c r="BA42" s="166">
        <f t="shared" si="15"/>
        <v>-1206704.9664543984</v>
      </c>
      <c r="BB42" s="166">
        <f t="shared" si="15"/>
        <v>-1147740.383260262</v>
      </c>
      <c r="BC42" s="166">
        <f t="shared" si="15"/>
        <v>-1147740.383260262</v>
      </c>
      <c r="BD42" s="166">
        <f t="shared" si="15"/>
        <v>-1147740.383260262</v>
      </c>
      <c r="BE42" s="166">
        <f t="shared" si="15"/>
        <v>-1147740.383260262</v>
      </c>
      <c r="BF42" s="166">
        <f t="shared" si="15"/>
        <v>-1147740.383260262</v>
      </c>
      <c r="BG42" s="166">
        <f t="shared" si="15"/>
        <v>-1147740.383260262</v>
      </c>
      <c r="BH42" s="166">
        <f t="shared" si="15"/>
        <v>-1087643.5321909904</v>
      </c>
      <c r="BI42" s="166">
        <f t="shared" si="15"/>
        <v>-1087643.5321909904</v>
      </c>
      <c r="BJ42" s="166">
        <f t="shared" si="15"/>
        <v>-1087643.5321909904</v>
      </c>
      <c r="BK42" s="166">
        <f t="shared" si="15"/>
        <v>-1087643.5321909904</v>
      </c>
      <c r="BL42" s="166">
        <f t="shared" si="15"/>
        <v>-1087643.5321909904</v>
      </c>
      <c r="BM42" s="166">
        <f t="shared" si="15"/>
        <v>-1087643.5321909904</v>
      </c>
      <c r="BN42" s="166">
        <f t="shared" si="15"/>
        <v>-1025146.8559719458</v>
      </c>
      <c r="BO42" s="166">
        <f t="shared" si="15"/>
        <v>-1025146.8559719458</v>
      </c>
      <c r="BP42" s="166">
        <f t="shared" si="15"/>
        <v>-1025146.8559719458</v>
      </c>
      <c r="BQ42" s="166">
        <f t="shared" si="15"/>
        <v>-1025146.8559719458</v>
      </c>
      <c r="BR42" s="166">
        <f t="shared" si="15"/>
        <v>-1025146.8559719458</v>
      </c>
      <c r="BS42" s="166">
        <f t="shared" si="15"/>
        <v>-1025146.8559719458</v>
      </c>
      <c r="BT42" s="166">
        <f t="shared" si="15"/>
        <v>-961773.22566486325</v>
      </c>
      <c r="BU42" s="166">
        <f t="shared" si="15"/>
        <v>-961773.22566486325</v>
      </c>
      <c r="BV42" s="166">
        <f t="shared" si="15"/>
        <v>-961773.22566486325</v>
      </c>
      <c r="BW42" s="166">
        <f t="shared" si="15"/>
        <v>-961773.22566486325</v>
      </c>
      <c r="BX42" s="166">
        <f t="shared" si="15"/>
        <v>-961773.22566486325</v>
      </c>
      <c r="BY42" s="166">
        <f t="shared" si="15"/>
        <v>-961773.22566486325</v>
      </c>
      <c r="BZ42" s="166">
        <f t="shared" si="15"/>
        <v>-895567.18834048137</v>
      </c>
    </row>
    <row r="43" spans="4:78" s="165" customFormat="1" ht="12.75" x14ac:dyDescent="0.25">
      <c r="D43" s="270" t="s">
        <v>164</v>
      </c>
      <c r="E43" s="271"/>
      <c r="F43" s="271"/>
      <c r="G43" s="271"/>
      <c r="H43" s="272"/>
      <c r="I43" s="272"/>
      <c r="J43" s="272">
        <f t="shared" si="3"/>
        <v>0</v>
      </c>
      <c r="K43" s="272">
        <f t="shared" si="3"/>
        <v>0</v>
      </c>
      <c r="L43" s="272">
        <f t="shared" si="3"/>
        <v>0</v>
      </c>
      <c r="M43" s="272">
        <f t="shared" si="3"/>
        <v>0</v>
      </c>
      <c r="N43" s="272">
        <f t="shared" si="3"/>
        <v>0</v>
      </c>
      <c r="O43" s="272"/>
      <c r="P43" s="272"/>
      <c r="Q43" s="272"/>
      <c r="R43" s="272">
        <f t="shared" ref="R43:AX43" si="16">IF($E$20="PIK",-R$41,0)</f>
        <v>0</v>
      </c>
      <c r="S43" s="272">
        <f t="shared" si="16"/>
        <v>0</v>
      </c>
      <c r="T43" s="272">
        <f t="shared" si="16"/>
        <v>0</v>
      </c>
      <c r="U43" s="272">
        <f t="shared" si="16"/>
        <v>0</v>
      </c>
      <c r="V43" s="272">
        <f t="shared" si="16"/>
        <v>0</v>
      </c>
      <c r="W43" s="272">
        <f t="shared" si="16"/>
        <v>0</v>
      </c>
      <c r="X43" s="272">
        <f t="shared" si="16"/>
        <v>0</v>
      </c>
      <c r="Y43" s="272">
        <f t="shared" si="16"/>
        <v>0</v>
      </c>
      <c r="Z43" s="272">
        <f t="shared" si="16"/>
        <v>0</v>
      </c>
      <c r="AA43" s="272">
        <f t="shared" si="16"/>
        <v>0</v>
      </c>
      <c r="AB43" s="272">
        <f t="shared" si="16"/>
        <v>0</v>
      </c>
      <c r="AC43" s="272">
        <f t="shared" si="16"/>
        <v>0</v>
      </c>
      <c r="AD43" s="272">
        <f t="shared" si="16"/>
        <v>0</v>
      </c>
      <c r="AE43" s="272">
        <f t="shared" si="16"/>
        <v>0</v>
      </c>
      <c r="AF43" s="272">
        <f t="shared" si="16"/>
        <v>0</v>
      </c>
      <c r="AG43" s="272">
        <f t="shared" si="16"/>
        <v>0</v>
      </c>
      <c r="AH43" s="272">
        <f t="shared" si="16"/>
        <v>0</v>
      </c>
      <c r="AI43" s="272">
        <f t="shared" si="16"/>
        <v>0</v>
      </c>
      <c r="AJ43" s="272">
        <f t="shared" si="16"/>
        <v>0</v>
      </c>
      <c r="AK43" s="272">
        <f t="shared" si="16"/>
        <v>0</v>
      </c>
      <c r="AL43" s="272">
        <f t="shared" si="16"/>
        <v>0</v>
      </c>
      <c r="AM43" s="272">
        <f t="shared" si="16"/>
        <v>0</v>
      </c>
      <c r="AN43" s="272">
        <f t="shared" si="16"/>
        <v>0</v>
      </c>
      <c r="AO43" s="272">
        <f t="shared" si="16"/>
        <v>0</v>
      </c>
      <c r="AP43" s="272">
        <f t="shared" si="16"/>
        <v>0</v>
      </c>
      <c r="AQ43" s="272">
        <f t="shared" si="16"/>
        <v>0</v>
      </c>
      <c r="AR43" s="272">
        <f t="shared" si="16"/>
        <v>0</v>
      </c>
      <c r="AS43" s="272">
        <f t="shared" si="16"/>
        <v>0</v>
      </c>
      <c r="AT43" s="272">
        <f t="shared" si="16"/>
        <v>0</v>
      </c>
      <c r="AU43" s="272">
        <f t="shared" si="16"/>
        <v>0</v>
      </c>
      <c r="AV43" s="272">
        <f t="shared" si="16"/>
        <v>0</v>
      </c>
      <c r="AW43" s="272">
        <f t="shared" si="16"/>
        <v>0</v>
      </c>
      <c r="AX43" s="272">
        <f t="shared" si="16"/>
        <v>0</v>
      </c>
      <c r="AY43" s="272">
        <f t="shared" ref="AY43:BZ43" si="17">IF($E$20="PIK",-AY$41,0)</f>
        <v>0</v>
      </c>
      <c r="AZ43" s="272">
        <f t="shared" si="17"/>
        <v>0</v>
      </c>
      <c r="BA43" s="272">
        <f t="shared" si="17"/>
        <v>0</v>
      </c>
      <c r="BB43" s="272">
        <f t="shared" si="17"/>
        <v>0</v>
      </c>
      <c r="BC43" s="272">
        <f t="shared" si="17"/>
        <v>0</v>
      </c>
      <c r="BD43" s="272">
        <f t="shared" si="17"/>
        <v>0</v>
      </c>
      <c r="BE43" s="272">
        <f t="shared" si="17"/>
        <v>0</v>
      </c>
      <c r="BF43" s="272">
        <f t="shared" si="17"/>
        <v>0</v>
      </c>
      <c r="BG43" s="272">
        <f t="shared" si="17"/>
        <v>0</v>
      </c>
      <c r="BH43" s="272">
        <f t="shared" si="17"/>
        <v>0</v>
      </c>
      <c r="BI43" s="272">
        <f t="shared" si="17"/>
        <v>0</v>
      </c>
      <c r="BJ43" s="272">
        <f t="shared" si="17"/>
        <v>0</v>
      </c>
      <c r="BK43" s="272">
        <f t="shared" si="17"/>
        <v>0</v>
      </c>
      <c r="BL43" s="272">
        <f t="shared" si="17"/>
        <v>0</v>
      </c>
      <c r="BM43" s="272">
        <f t="shared" si="17"/>
        <v>0</v>
      </c>
      <c r="BN43" s="272">
        <f t="shared" si="17"/>
        <v>0</v>
      </c>
      <c r="BO43" s="272">
        <f t="shared" si="17"/>
        <v>0</v>
      </c>
      <c r="BP43" s="272">
        <f t="shared" si="17"/>
        <v>0</v>
      </c>
      <c r="BQ43" s="272">
        <f t="shared" si="17"/>
        <v>0</v>
      </c>
      <c r="BR43" s="272">
        <f t="shared" si="17"/>
        <v>0</v>
      </c>
      <c r="BS43" s="272">
        <f t="shared" si="17"/>
        <v>0</v>
      </c>
      <c r="BT43" s="272">
        <f t="shared" si="17"/>
        <v>0</v>
      </c>
      <c r="BU43" s="272">
        <f t="shared" si="17"/>
        <v>0</v>
      </c>
      <c r="BV43" s="272">
        <f t="shared" si="17"/>
        <v>0</v>
      </c>
      <c r="BW43" s="272">
        <f t="shared" si="17"/>
        <v>0</v>
      </c>
      <c r="BX43" s="272">
        <f t="shared" si="17"/>
        <v>0</v>
      </c>
      <c r="BY43" s="272">
        <f t="shared" si="17"/>
        <v>0</v>
      </c>
      <c r="BZ43" s="272">
        <f t="shared" si="17"/>
        <v>0</v>
      </c>
    </row>
    <row r="44" spans="4:78" x14ac:dyDescent="0.3">
      <c r="D44" s="3" t="s">
        <v>156</v>
      </c>
      <c r="E44" s="188"/>
      <c r="F44" s="188"/>
      <c r="G44" s="188"/>
      <c r="H44" s="8"/>
      <c r="I44" s="8"/>
      <c r="J44" s="8">
        <f t="shared" si="3"/>
        <v>-14092373.287915671</v>
      </c>
      <c r="K44" s="8">
        <f t="shared" si="3"/>
        <v>-14961443.540165741</v>
      </c>
      <c r="L44" s="8">
        <f t="shared" si="3"/>
        <v>-15852712.259872604</v>
      </c>
      <c r="M44" s="8">
        <f t="shared" si="3"/>
        <v>-16763016.493388709</v>
      </c>
      <c r="N44" s="8">
        <f t="shared" si="3"/>
        <v>-17718277.251339696</v>
      </c>
      <c r="O44" s="8"/>
      <c r="P44" s="8"/>
      <c r="Q44" s="8"/>
      <c r="R44" s="8">
        <f>R45+R46</f>
        <v>0</v>
      </c>
      <c r="S44" s="8">
        <f>S45+S46</f>
        <v>0</v>
      </c>
      <c r="T44" s="8">
        <f t="shared" ref="T44:BZ44" si="18">T45+T46</f>
        <v>0</v>
      </c>
      <c r="U44" s="8">
        <f t="shared" si="18"/>
        <v>0</v>
      </c>
      <c r="V44" s="8">
        <f t="shared" si="18"/>
        <v>0</v>
      </c>
      <c r="W44" s="8">
        <f t="shared" si="18"/>
        <v>-6960554.7800096609</v>
      </c>
      <c r="X44" s="8">
        <f t="shared" si="18"/>
        <v>0</v>
      </c>
      <c r="Y44" s="8">
        <f t="shared" si="18"/>
        <v>0</v>
      </c>
      <c r="Z44" s="8">
        <f t="shared" si="18"/>
        <v>0</v>
      </c>
      <c r="AA44" s="8">
        <f t="shared" si="18"/>
        <v>0</v>
      </c>
      <c r="AB44" s="8">
        <f>AB45+AB46</f>
        <v>0</v>
      </c>
      <c r="AC44" s="8">
        <f t="shared" si="18"/>
        <v>-7131818.5079060104</v>
      </c>
      <c r="AD44" s="8">
        <f t="shared" si="18"/>
        <v>0</v>
      </c>
      <c r="AE44" s="8">
        <f t="shared" si="18"/>
        <v>0</v>
      </c>
      <c r="AF44" s="8">
        <f t="shared" si="18"/>
        <v>0</v>
      </c>
      <c r="AG44" s="8">
        <f t="shared" si="18"/>
        <v>0</v>
      </c>
      <c r="AH44" s="8">
        <f t="shared" si="18"/>
        <v>0</v>
      </c>
      <c r="AI44" s="8">
        <f t="shared" si="18"/>
        <v>-7370599.1795391208</v>
      </c>
      <c r="AJ44" s="8">
        <f t="shared" si="18"/>
        <v>0</v>
      </c>
      <c r="AK44" s="8">
        <f t="shared" si="18"/>
        <v>0</v>
      </c>
      <c r="AL44" s="8">
        <f t="shared" si="18"/>
        <v>0</v>
      </c>
      <c r="AM44" s="8">
        <f t="shared" si="18"/>
        <v>0</v>
      </c>
      <c r="AN44" s="8">
        <f t="shared" si="18"/>
        <v>0</v>
      </c>
      <c r="AO44" s="8">
        <f t="shared" si="18"/>
        <v>-7590844.3606266202</v>
      </c>
      <c r="AP44" s="8">
        <f t="shared" si="18"/>
        <v>0</v>
      </c>
      <c r="AQ44" s="8">
        <f t="shared" si="18"/>
        <v>0</v>
      </c>
      <c r="AR44" s="8">
        <f t="shared" si="18"/>
        <v>0</v>
      </c>
      <c r="AS44" s="8">
        <f t="shared" si="18"/>
        <v>0</v>
      </c>
      <c r="AT44" s="8">
        <f t="shared" si="18"/>
        <v>0</v>
      </c>
      <c r="AU44" s="8">
        <f t="shared" si="18"/>
        <v>-7790098.3317773752</v>
      </c>
      <c r="AV44" s="8">
        <f t="shared" si="18"/>
        <v>0</v>
      </c>
      <c r="AW44" s="8">
        <f t="shared" si="18"/>
        <v>0</v>
      </c>
      <c r="AX44" s="8">
        <f t="shared" si="18"/>
        <v>0</v>
      </c>
      <c r="AY44" s="8">
        <f t="shared" si="18"/>
        <v>0</v>
      </c>
      <c r="AZ44" s="8">
        <f t="shared" si="18"/>
        <v>0</v>
      </c>
      <c r="BA44" s="8">
        <f t="shared" si="18"/>
        <v>-8062613.9280952299</v>
      </c>
      <c r="BB44" s="8">
        <f t="shared" si="18"/>
        <v>0</v>
      </c>
      <c r="BC44" s="8">
        <f t="shared" si="18"/>
        <v>0</v>
      </c>
      <c r="BD44" s="8">
        <f t="shared" si="18"/>
        <v>0</v>
      </c>
      <c r="BE44" s="8">
        <f t="shared" si="18"/>
        <v>0</v>
      </c>
      <c r="BF44" s="8">
        <f t="shared" si="18"/>
        <v>0</v>
      </c>
      <c r="BG44" s="8">
        <f t="shared" si="18"/>
        <v>-8217436.3358165333</v>
      </c>
      <c r="BH44" s="8">
        <f t="shared" si="18"/>
        <v>0</v>
      </c>
      <c r="BI44" s="8">
        <f t="shared" si="18"/>
        <v>0</v>
      </c>
      <c r="BJ44" s="8">
        <f t="shared" si="18"/>
        <v>0</v>
      </c>
      <c r="BK44" s="8">
        <f t="shared" si="18"/>
        <v>0</v>
      </c>
      <c r="BL44" s="8">
        <f t="shared" si="18"/>
        <v>0</v>
      </c>
      <c r="BM44" s="8">
        <f t="shared" si="18"/>
        <v>-8545580.1575721763</v>
      </c>
      <c r="BN44" s="8">
        <f t="shared" si="18"/>
        <v>0</v>
      </c>
      <c r="BO44" s="8">
        <f t="shared" si="18"/>
        <v>0</v>
      </c>
      <c r="BP44" s="8">
        <f t="shared" si="18"/>
        <v>0</v>
      </c>
      <c r="BQ44" s="8">
        <f t="shared" si="18"/>
        <v>0</v>
      </c>
      <c r="BR44" s="8">
        <f t="shared" si="18"/>
        <v>0</v>
      </c>
      <c r="BS44" s="8">
        <f t="shared" si="18"/>
        <v>-8665491.8377961442</v>
      </c>
      <c r="BT44" s="8">
        <f t="shared" si="18"/>
        <v>0</v>
      </c>
      <c r="BU44" s="8">
        <f t="shared" si="18"/>
        <v>0</v>
      </c>
      <c r="BV44" s="8">
        <f t="shared" si="18"/>
        <v>0</v>
      </c>
      <c r="BW44" s="8">
        <f t="shared" si="18"/>
        <v>0</v>
      </c>
      <c r="BX44" s="8">
        <f t="shared" si="18"/>
        <v>0</v>
      </c>
      <c r="BY44" s="8">
        <f t="shared" si="18"/>
        <v>-9052785.413543554</v>
      </c>
      <c r="BZ44" s="8">
        <f t="shared" si="18"/>
        <v>0</v>
      </c>
    </row>
    <row r="45" spans="4:78" s="165" customFormat="1" ht="12.75" x14ac:dyDescent="0.25">
      <c r="D45" s="165" t="s">
        <v>166</v>
      </c>
      <c r="E45" s="269"/>
      <c r="F45" s="269"/>
      <c r="G45" s="269"/>
      <c r="H45" s="166"/>
      <c r="I45" s="166"/>
      <c r="J45" s="166">
        <f t="shared" si="3"/>
        <v>0</v>
      </c>
      <c r="K45" s="166">
        <f t="shared" si="3"/>
        <v>0</v>
      </c>
      <c r="L45" s="166">
        <f t="shared" si="3"/>
        <v>0</v>
      </c>
      <c r="M45" s="166">
        <f t="shared" si="3"/>
        <v>0</v>
      </c>
      <c r="N45" s="166">
        <f t="shared" si="3"/>
        <v>0</v>
      </c>
      <c r="O45" s="166"/>
      <c r="P45" s="166"/>
      <c r="Q45" s="166"/>
      <c r="R45" s="166">
        <f t="shared" ref="R45:AX45" si="19">(-R$35*$E$27)/12</f>
        <v>0</v>
      </c>
      <c r="S45" s="166">
        <f t="shared" si="19"/>
        <v>0</v>
      </c>
      <c r="T45" s="166">
        <f t="shared" si="19"/>
        <v>0</v>
      </c>
      <c r="U45" s="166">
        <f t="shared" si="19"/>
        <v>0</v>
      </c>
      <c r="V45" s="166">
        <f t="shared" si="19"/>
        <v>0</v>
      </c>
      <c r="W45" s="166">
        <f t="shared" si="19"/>
        <v>0</v>
      </c>
      <c r="X45" s="166">
        <f t="shared" si="19"/>
        <v>0</v>
      </c>
      <c r="Y45" s="166">
        <f t="shared" si="19"/>
        <v>0</v>
      </c>
      <c r="Z45" s="166">
        <f t="shared" si="19"/>
        <v>0</v>
      </c>
      <c r="AA45" s="166">
        <f t="shared" si="19"/>
        <v>0</v>
      </c>
      <c r="AB45" s="166">
        <f t="shared" si="19"/>
        <v>0</v>
      </c>
      <c r="AC45" s="166">
        <f t="shared" si="19"/>
        <v>0</v>
      </c>
      <c r="AD45" s="166">
        <f t="shared" si="19"/>
        <v>0</v>
      </c>
      <c r="AE45" s="166">
        <f t="shared" si="19"/>
        <v>0</v>
      </c>
      <c r="AF45" s="166">
        <f t="shared" si="19"/>
        <v>0</v>
      </c>
      <c r="AG45" s="166">
        <f t="shared" si="19"/>
        <v>0</v>
      </c>
      <c r="AH45" s="166">
        <f t="shared" si="19"/>
        <v>0</v>
      </c>
      <c r="AI45" s="166">
        <f t="shared" si="19"/>
        <v>0</v>
      </c>
      <c r="AJ45" s="166">
        <f t="shared" si="19"/>
        <v>0</v>
      </c>
      <c r="AK45" s="166">
        <f t="shared" si="19"/>
        <v>0</v>
      </c>
      <c r="AL45" s="166">
        <f t="shared" si="19"/>
        <v>0</v>
      </c>
      <c r="AM45" s="166">
        <f t="shared" si="19"/>
        <v>0</v>
      </c>
      <c r="AN45" s="166">
        <f t="shared" si="19"/>
        <v>0</v>
      </c>
      <c r="AO45" s="166">
        <f t="shared" si="19"/>
        <v>0</v>
      </c>
      <c r="AP45" s="166">
        <f t="shared" si="19"/>
        <v>0</v>
      </c>
      <c r="AQ45" s="166">
        <f t="shared" si="19"/>
        <v>0</v>
      </c>
      <c r="AR45" s="166">
        <f t="shared" si="19"/>
        <v>0</v>
      </c>
      <c r="AS45" s="166">
        <f t="shared" si="19"/>
        <v>0</v>
      </c>
      <c r="AT45" s="166">
        <f t="shared" si="19"/>
        <v>0</v>
      </c>
      <c r="AU45" s="166">
        <f t="shared" si="19"/>
        <v>0</v>
      </c>
      <c r="AV45" s="166">
        <f t="shared" si="19"/>
        <v>0</v>
      </c>
      <c r="AW45" s="166">
        <f t="shared" si="19"/>
        <v>0</v>
      </c>
      <c r="AX45" s="166">
        <f t="shared" si="19"/>
        <v>0</v>
      </c>
      <c r="AY45" s="166">
        <f t="shared" ref="AY45:BZ45" si="20">(-AY$35*$E$27)/12</f>
        <v>0</v>
      </c>
      <c r="AZ45" s="166">
        <f t="shared" si="20"/>
        <v>0</v>
      </c>
      <c r="BA45" s="166">
        <f t="shared" si="20"/>
        <v>0</v>
      </c>
      <c r="BB45" s="166">
        <f t="shared" si="20"/>
        <v>0</v>
      </c>
      <c r="BC45" s="166">
        <f t="shared" si="20"/>
        <v>0</v>
      </c>
      <c r="BD45" s="166">
        <f t="shared" si="20"/>
        <v>0</v>
      </c>
      <c r="BE45" s="166">
        <f t="shared" si="20"/>
        <v>0</v>
      </c>
      <c r="BF45" s="166">
        <f t="shared" si="20"/>
        <v>0</v>
      </c>
      <c r="BG45" s="166">
        <f t="shared" si="20"/>
        <v>0</v>
      </c>
      <c r="BH45" s="166">
        <f t="shared" si="20"/>
        <v>0</v>
      </c>
      <c r="BI45" s="166">
        <f t="shared" si="20"/>
        <v>0</v>
      </c>
      <c r="BJ45" s="166">
        <f t="shared" si="20"/>
        <v>0</v>
      </c>
      <c r="BK45" s="166">
        <f t="shared" si="20"/>
        <v>0</v>
      </c>
      <c r="BL45" s="166">
        <f t="shared" si="20"/>
        <v>0</v>
      </c>
      <c r="BM45" s="166">
        <f t="shared" si="20"/>
        <v>0</v>
      </c>
      <c r="BN45" s="166">
        <f t="shared" si="20"/>
        <v>0</v>
      </c>
      <c r="BO45" s="166">
        <f t="shared" si="20"/>
        <v>0</v>
      </c>
      <c r="BP45" s="166">
        <f t="shared" si="20"/>
        <v>0</v>
      </c>
      <c r="BQ45" s="166">
        <f t="shared" si="20"/>
        <v>0</v>
      </c>
      <c r="BR45" s="166">
        <f t="shared" si="20"/>
        <v>0</v>
      </c>
      <c r="BS45" s="166">
        <f t="shared" si="20"/>
        <v>0</v>
      </c>
      <c r="BT45" s="166">
        <f t="shared" si="20"/>
        <v>0</v>
      </c>
      <c r="BU45" s="166">
        <f t="shared" si="20"/>
        <v>0</v>
      </c>
      <c r="BV45" s="166">
        <f t="shared" si="20"/>
        <v>0</v>
      </c>
      <c r="BW45" s="166">
        <f t="shared" si="20"/>
        <v>0</v>
      </c>
      <c r="BX45" s="166">
        <f t="shared" si="20"/>
        <v>0</v>
      </c>
      <c r="BY45" s="166">
        <f t="shared" si="20"/>
        <v>0</v>
      </c>
      <c r="BZ45" s="166">
        <f t="shared" si="20"/>
        <v>0</v>
      </c>
    </row>
    <row r="46" spans="4:78" s="165" customFormat="1" ht="12.75" x14ac:dyDescent="0.25">
      <c r="D46" s="165" t="s">
        <v>167</v>
      </c>
      <c r="E46" s="269"/>
      <c r="F46" s="269"/>
      <c r="G46" s="269"/>
      <c r="H46" s="166"/>
      <c r="I46" s="166"/>
      <c r="J46" s="166">
        <f t="shared" si="3"/>
        <v>-14092373.287915671</v>
      </c>
      <c r="K46" s="166">
        <f t="shared" si="3"/>
        <v>-14961443.540165741</v>
      </c>
      <c r="L46" s="166">
        <f t="shared" si="3"/>
        <v>-15852712.259872604</v>
      </c>
      <c r="M46" s="166">
        <f t="shared" si="3"/>
        <v>-16763016.493388709</v>
      </c>
      <c r="N46" s="166">
        <f t="shared" si="3"/>
        <v>-17718277.251339696</v>
      </c>
      <c r="O46" s="166"/>
      <c r="P46" s="166"/>
      <c r="Q46" s="166"/>
      <c r="R46" s="166">
        <f>(-IF((1+$E$29)*($E$30*(SUM(R$33:$S$33)))&gt;$R$36,(MAX(0,($R$36-((1+$E$29)*$E$30*(SUM(R$33:$S$33)))))),((1+$E$29))*($E$30*R$33)))</f>
        <v>0</v>
      </c>
      <c r="S46" s="166">
        <f>(-IF((1+$E$29)*($E$30*(SUM(S$33:$S$33)))&gt;$R$36,(MAX(0,($R$36-((1+$E$29)*$E$30*(SUM(S$33:$S$33)))))),((1+$E$29))*($E$30*S$33)))</f>
        <v>0</v>
      </c>
      <c r="T46" s="166">
        <f>(-IF((1+$E$29)*($E$30*(SUM($S$33:T$33)))&gt;$R$36,(MAX(0,($R$36-((1+$E$29)*$E$30*(SUM($S$33:T$33)))))),((1+$E$29))*($E$30*T$33)))</f>
        <v>0</v>
      </c>
      <c r="U46" s="166">
        <f>(-IF((1+$E$29)*($E$30*(SUM($S$33:U$33)))&gt;$R$36,(MAX(0,($R$36-((1+$E$29)*$E$30*(SUM($S$33:U$33)))))),((1+$E$29))*($E$30*U$33)))</f>
        <v>0</v>
      </c>
      <c r="V46" s="166">
        <f>(-IF((1+$E$29)*($E$30*(SUM($S$33:V$33)))&gt;$R$36,(MAX(0,($R$36-((1+$E$29)*$E$30*(SUM($S$33:V$33)))))),((1+$E$29))*($E$30*V$33)))</f>
        <v>0</v>
      </c>
      <c r="W46" s="166">
        <f>(-IF((1+$E$29)*($E$30*(SUM($S$33:W$33)))&gt;$R$36,(MAX(0,($R$36-((1+$E$29)*$E$30*(SUM($S$33:W$33)))))),((1+$E$29))*($E$30*W$33)))</f>
        <v>-6960554.7800096609</v>
      </c>
      <c r="X46" s="166">
        <f>(-IF((1+$E$29)*($E$30*(SUM($S$33:X$33)))&gt;$R$36,(MAX(0,($R$36-((1+$E$29)*$E$30*(SUM($S$33:X$33)))))),((1+$E$29))*($E$30*X$33)))</f>
        <v>0</v>
      </c>
      <c r="Y46" s="338">
        <f>(-IF((1+$E$29)*($E$30*(SUM($S$33:Y$33)))&gt;$R$36,(MAX(0,($R$36-((1+$E$29)*$E$30*(SUM($S$33:Y$33)))))),((1+$E$29))*($E$30*Y$33)))</f>
        <v>0</v>
      </c>
      <c r="Z46" s="338">
        <f>(-IF((1+$E$29)*($E$30*(SUM($S$33:Z$33)))&gt;$R$36,(MAX(0,($R$36-((1+$E$29)*$E$30*(SUM($S$33:Z$33)))))),((1+$E$29))*($E$30*Z$33)))</f>
        <v>0</v>
      </c>
      <c r="AA46" s="166">
        <f>(-IF((1+$E$29)*($E$30*(SUM($S$33:AA$33)))&gt;$R$36,(MAX(0,($R$36-((1+$E$29)*$E$30*(SUM($S$33:AA$33)))))),((1+$E$29))*($E$30*AA$33)))</f>
        <v>0</v>
      </c>
      <c r="AB46" s="166">
        <f>(-IF((1+$E$29)*($E$30*(SUM($S$33:AB$33)))&gt;$R$36,(MAX(0,($R$36-((1+$E$29)*$E$30*(SUM($S$33:AB$33)))))),((1+$E$29))*($E$30*AB$33)))</f>
        <v>0</v>
      </c>
      <c r="AC46" s="166">
        <f>(-IF((1+$E$29)*($E$30*(SUM($S$33:AC$33)))&gt;$R$36,(MAX(0,($R$36-((1+$E$29)*$E$30*(SUM($S$33:AC$33)))))),((1+$E$29))*($E$30*AC$33)))</f>
        <v>-7131818.5079060104</v>
      </c>
      <c r="AD46" s="166">
        <f>(-IF((1+$E$29)*($E$30*(SUM($S$33:AD$33)))&gt;$R$36,(MAX(0,($R$36-((1+$E$29)*$E$30*(SUM($S$33:AD$33)))))),((1+$E$29))*($E$30*AD$33)))</f>
        <v>0</v>
      </c>
      <c r="AE46" s="166">
        <f>(-IF((1+$E$29)*($E$30*(SUM($S$33:AE$33)))&gt;$R$36,(MAX(0,($R$36-((1+$E$29)*$E$30*(SUM($S$33:AE$33)))))),((1+$E$29))*($E$30*AE$33)))</f>
        <v>0</v>
      </c>
      <c r="AF46" s="166">
        <f>(-IF((1+$E$29)*($E$30*(SUM($S$33:AF$33)))&gt;$R$36,(MAX(0,($R$36-((1+$E$29)*$E$30*(SUM($S$33:AF$33)))))),((1+$E$29))*($E$30*AF$33)))</f>
        <v>0</v>
      </c>
      <c r="AG46" s="166">
        <f>(-IF((1+$E$29)*($E$30*(SUM($S$33:AG$33)))&gt;$R$36,(MAX(0,($R$36-((1+$E$29)*$E$30*(SUM($S$33:AG$33)))))),((1+$E$29))*($E$30*AG$33)))</f>
        <v>0</v>
      </c>
      <c r="AH46" s="166">
        <f>(-IF((1+$E$29)*($E$30*(SUM($S$33:AH$33)))&gt;$R$36,(MAX(0,($R$36-((1+$E$29)*$E$30*(SUM($S$33:AH$33)))))),((1+$E$29))*($E$30*AH$33)))</f>
        <v>0</v>
      </c>
      <c r="AI46" s="166">
        <f>(-IF((1+$E$29)*($E$30*(SUM($S$33:AI$33)))&gt;$R$36,(MAX(0,($R$36-((1+$E$29)*$E$30*(SUM($S$33:AI$33)))))),((1+$E$29))*($E$30*AI$33)))</f>
        <v>-7370599.1795391208</v>
      </c>
      <c r="AJ46" s="166">
        <f>(-IF((1+$E$29)*($E$30*(SUM($S$33:AJ$33)))&gt;$R$36,(MAX(0,($R$36-((1+$E$29)*$E$30*(SUM($S$33:AJ$33)))))),((1+$E$29))*($E$30*AJ$33)))</f>
        <v>0</v>
      </c>
      <c r="AK46" s="166">
        <f>(-IF((1+$E$29)*($E$30*(SUM($S$33:AK$33)))&gt;$R$36,(MAX(0,($R$36-((1+$E$29)*$E$30*(SUM($S$33:AK$33)))))),((1+$E$29))*($E$30*AK$33)))</f>
        <v>0</v>
      </c>
      <c r="AL46" s="166">
        <f>(-IF((1+$E$29)*($E$30*(SUM($S$33:AL$33)))&gt;$R$36,(MAX(0,($R$36-((1+$E$29)*$E$30*(SUM($S$33:AL$33)))))),((1+$E$29))*($E$30*AL$33)))</f>
        <v>0</v>
      </c>
      <c r="AM46" s="166">
        <f>(-IF((1+$E$29)*($E$30*(SUM($S$33:AM$33)))&gt;$R$36,(MAX(0,($R$36-((1+$E$29)*$E$30*(SUM($S$33:AM$33)))))),((1+$E$29))*($E$30*AM$33)))</f>
        <v>0</v>
      </c>
      <c r="AN46" s="166">
        <f>(-IF((1+$E$29)*($E$30*(SUM($S$33:AN$33)))&gt;$R$36,(MAX(0,($R$36-((1+$E$29)*$E$30*(SUM($S$33:AN$33)))))),((1+$E$29))*($E$30*AN$33)))</f>
        <v>0</v>
      </c>
      <c r="AO46" s="166">
        <f>(-IF((1+$E$29)*($E$30*(SUM($S$33:AO$33)))&gt;$R$36,(MAX(0,($R$36-((1+$E$29)*$E$30*(SUM($S$33:AO$33)))))),((1+$E$29))*($E$30*AO$33)))</f>
        <v>-7590844.3606266202</v>
      </c>
      <c r="AP46" s="166">
        <f>(-IF((1+$E$29)*($E$30*(SUM($S$33:AP$33)))&gt;$R$36,(MAX(0,($R$36-((1+$E$29)*$E$30*(SUM($S$33:AP$33)))))),((1+$E$29))*($E$30*AP$33)))</f>
        <v>0</v>
      </c>
      <c r="AQ46" s="166">
        <f>(-IF((1+$E$29)*($E$30*(SUM($S$33:AQ$33)))&gt;$R$36,(MAX(0,($R$36-((1+$E$29)*$E$30*(SUM($S$33:AQ$33)))))),((1+$E$29))*($E$30*AQ$33)))</f>
        <v>0</v>
      </c>
      <c r="AR46" s="166">
        <f>(-IF((1+$E$29)*($E$30*(SUM($S$33:AR$33)))&gt;$R$36,(MAX(0,($R$36-((1+$E$29)*$E$30*(SUM($S$33:AR$33)))))),((1+$E$29))*($E$30*AR$33)))</f>
        <v>0</v>
      </c>
      <c r="AS46" s="166">
        <f>(-IF((1+$E$29)*($E$30*(SUM($S$33:AS$33)))&gt;$R$36,(MAX(0,($R$36-((1+$E$29)*$E$30*(SUM($S$33:AS$33)))))),((1+$E$29))*($E$30*AS$33)))</f>
        <v>0</v>
      </c>
      <c r="AT46" s="166">
        <f>(-IF((1+$E$29)*($E$30*(SUM($S$33:AT$33)))&gt;$R$36,(MAX(0,($R$36-((1+$E$29)*$E$30*(SUM($S$33:AT$33)))))),((1+$E$29))*($E$30*AT$33)))</f>
        <v>0</v>
      </c>
      <c r="AU46" s="166">
        <f>(-IF((1+$E$29)*($E$30*(SUM($S$33:AU$33)))&gt;$R$36,(MAX(0,($R$36-((1+$E$29)*$E$30*(SUM($S$33:AU$33)))))),((1+$E$29))*($E$30*AU$33)))</f>
        <v>-7790098.3317773752</v>
      </c>
      <c r="AV46" s="166">
        <f>(-IF((1+$E$29)*($E$30*(SUM($S$33:AV$33)))&gt;$R$36,(MAX(0,($R$36-((1+$E$29)*$E$30*(SUM($S$33:AV$33)))))),((1+$E$29))*($E$30*AV$33)))</f>
        <v>0</v>
      </c>
      <c r="AW46" s="166">
        <f>(-IF((1+$E$29)*($E$30*(SUM($S$33:AW$33)))&gt;$R$36,(MAX(0,($R$36-((1+$E$29)*$E$30*(SUM($S$33:AW$33)))))),((1+$E$29))*($E$30*AW$33)))</f>
        <v>0</v>
      </c>
      <c r="AX46" s="166">
        <f>(-IF((1+$E$29)*($E$30*(SUM($S$33:AX$33)))&gt;$R$36,(MAX(0,($R$36-((1+$E$29)*$E$30*(SUM($S$33:AX$33)))))),((1+$E$29))*($E$30*AX$33)))</f>
        <v>0</v>
      </c>
      <c r="AY46" s="166">
        <f>(-IF((1+$E$29)*($E$30*(SUM($S$33:AY$33)))&gt;$R$36,(MAX(0,($R$36-((1+$E$29)*$E$30*(SUM($S$33:AY$33)))))),((1+$E$29))*($E$30*AY$33)))</f>
        <v>0</v>
      </c>
      <c r="AZ46" s="166">
        <f>(-IF((1+$E$29)*($E$30*(SUM($S$33:AZ$33)))&gt;$R$36,(MAX(0,($R$36-((1+$E$29)*$E$30*(SUM($S$33:AZ$33)))))),((1+$E$29))*($E$30*AZ$33)))</f>
        <v>0</v>
      </c>
      <c r="BA46" s="166">
        <f>(-IF((1+$E$29)*($E$30*(SUM($S$33:BA$33)))&gt;$R$36,(MAX(0,($R$36-((1+$E$29)*$E$30*(SUM($S$33:BA$33)))))),((1+$E$29))*($E$30*BA$33)))</f>
        <v>-8062613.9280952299</v>
      </c>
      <c r="BB46" s="166">
        <f>(-IF((1+$E$29)*($E$30*(SUM($S$33:BB$33)))&gt;$R$36,(MAX(0,($R$36-((1+$E$29)*$E$30*(SUM($S$33:BB$33)))))),((1+$E$29))*($E$30*BB$33)))</f>
        <v>0</v>
      </c>
      <c r="BC46" s="166">
        <f>(-IF((1+$E$29)*($E$30*(SUM($S$33:BC$33)))&gt;$R$36,(MAX(0,($R$36-((1+$E$29)*$E$30*(SUM($S$33:BC$33)))))),((1+$E$29))*($E$30*BC$33)))</f>
        <v>0</v>
      </c>
      <c r="BD46" s="166">
        <f>(-IF((1+$E$29)*($E$30*(SUM($S$33:BD$33)))&gt;$R$36,(MAX(0,($R$36-((1+$E$29)*$E$30*(SUM($S$33:BD$33)))))),((1+$E$29))*($E$30*BD$33)))</f>
        <v>0</v>
      </c>
      <c r="BE46" s="166">
        <f>(-IF((1+$E$29)*($E$30*(SUM($S$33:BE$33)))&gt;$R$36,(MAX(0,($R$36-((1+$E$29)*$E$30*(SUM($S$33:BE$33)))))),((1+$E$29))*($E$30*BE$33)))</f>
        <v>0</v>
      </c>
      <c r="BF46" s="166">
        <f>(-IF((1+$E$29)*($E$30*(SUM($S$33:BF$33)))&gt;$R$36,(MAX(0,($R$36-((1+$E$29)*$E$30*(SUM($S$33:BF$33)))))),((1+$E$29))*($E$30*BF$33)))</f>
        <v>0</v>
      </c>
      <c r="BG46" s="166">
        <f>(-IF((1+$E$29)*($E$30*(SUM($S$33:BG$33)))&gt;$R$36,(MAX(0,($R$36-((1+$E$29)*$E$30*(SUM($S$33:BG$33)))))),((1+$E$29))*($E$30*BG$33)))</f>
        <v>-8217436.3358165333</v>
      </c>
      <c r="BH46" s="166">
        <f>(-IF((1+$E$29)*($E$30*(SUM($S$33:BH$33)))&gt;$R$36,(MAX(0,($R$36-((1+$E$29)*$E$30*(SUM($S$33:BH$33)))))),((1+$E$29))*($E$30*BH$33)))</f>
        <v>0</v>
      </c>
      <c r="BI46" s="166">
        <f>(-IF((1+$E$29)*($E$30*(SUM($S$33:BI$33)))&gt;$R$36,(MAX(0,($R$36-((1+$E$29)*$E$30*(SUM($S$33:BI$33)))))),((1+$E$29))*($E$30*BI$33)))</f>
        <v>0</v>
      </c>
      <c r="BJ46" s="166">
        <f>(-IF((1+$E$29)*($E$30*(SUM($S$33:BJ$33)))&gt;$R$36,(MAX(0,($R$36-((1+$E$29)*$E$30*(SUM($S$33:BJ$33)))))),((1+$E$29))*($E$30*BJ$33)))</f>
        <v>0</v>
      </c>
      <c r="BK46" s="166">
        <f>(-IF((1+$E$29)*($E$30*(SUM($S$33:BK$33)))&gt;$R$36,(MAX(0,($R$36-((1+$E$29)*$E$30*(SUM($S$33:BK$33)))))),((1+$E$29))*($E$30*BK$33)))</f>
        <v>0</v>
      </c>
      <c r="BL46" s="166">
        <f>(-IF((1+$E$29)*($E$30*(SUM($S$33:BL$33)))&gt;$R$36,(MAX(0,($R$36-((1+$E$29)*$E$30*(SUM($S$33:BL$33)))))),((1+$E$29))*($E$30*BL$33)))</f>
        <v>0</v>
      </c>
      <c r="BM46" s="166">
        <f>(-IF((1+$E$29)*($E$30*(SUM($S$33:BM$33)))&gt;$R$36,(MAX(0,($R$36-((1+$E$29)*$E$30*(SUM($S$33:BM$33)))))),((1+$E$29))*($E$30*BM$33)))</f>
        <v>-8545580.1575721763</v>
      </c>
      <c r="BN46" s="166">
        <f>(-IF((1+$E$29)*($E$30*(SUM($S$33:BN$33)))&gt;$R$36,(MAX(0,($R$36-((1+$E$29)*$E$30*(SUM($S$33:BN$33)))))),((1+$E$29))*($E$30*BN$33)))</f>
        <v>0</v>
      </c>
      <c r="BO46" s="166">
        <f>(-IF((1+$E$29)*($E$30*(SUM($S$33:BO$33)))&gt;$R$36,(MAX(0,($R$36-((1+$E$29)*$E$30*(SUM($S$33:BO$33)))))),((1+$E$29))*($E$30*BO$33)))</f>
        <v>0</v>
      </c>
      <c r="BP46" s="166">
        <f>(-IF((1+$E$29)*($E$30*(SUM($S$33:BP$33)))&gt;$R$36,(MAX(0,($R$36-((1+$E$29)*$E$30*(SUM($S$33:BP$33)))))),((1+$E$29))*($E$30*BP$33)))</f>
        <v>0</v>
      </c>
      <c r="BQ46" s="166">
        <f>(-IF((1+$E$29)*($E$30*(SUM($S$33:BQ$33)))&gt;$R$36,(MAX(0,($R$36-((1+$E$29)*$E$30*(SUM($S$33:BQ$33)))))),((1+$E$29))*($E$30*BQ$33)))</f>
        <v>0</v>
      </c>
      <c r="BR46" s="166">
        <f>(-IF((1+$E$29)*($E$30*(SUM($S$33:BR$33)))&gt;$R$36,(MAX(0,($R$36-((1+$E$29)*$E$30*(SUM($S$33:BR$33)))))),((1+$E$29))*($E$30*BR$33)))</f>
        <v>0</v>
      </c>
      <c r="BS46" s="166">
        <f>(-IF((1+$E$29)*($E$30*(SUM($S$33:BS$33)))&gt;$R$36,(MAX(0,($R$36-((1+$E$29)*$E$30*(SUM($S$33:BS$33)))))),((1+$E$29))*($E$30*BS$33)))</f>
        <v>-8665491.8377961442</v>
      </c>
      <c r="BT46" s="166">
        <f>(-IF((1+$E$29)*($E$30*(SUM($S$33:BT$33)))&gt;$R$36,(MAX(0,($R$36-((1+$E$29)*$E$30*(SUM($S$33:BT$33)))))),((1+$E$29))*($E$30*BT$33)))</f>
        <v>0</v>
      </c>
      <c r="BU46" s="166">
        <f>(-IF((1+$E$29)*($E$30*(SUM($S$33:BU$33)))&gt;$R$36,(MAX(0,($R$36-((1+$E$29)*$E$30*(SUM($S$33:BU$33)))))),((1+$E$29))*($E$30*BU$33)))</f>
        <v>0</v>
      </c>
      <c r="BV46" s="166">
        <f>(-IF((1+$E$29)*($E$30*(SUM($S$33:BV$33)))&gt;$R$36,(MAX(0,($R$36-((1+$E$29)*$E$30*(SUM($S$33:BV$33)))))),((1+$E$29))*($E$30*BV$33)))</f>
        <v>0</v>
      </c>
      <c r="BW46" s="166">
        <f>(-IF((1+$E$29)*($E$30*(SUM($S$33:BW$33)))&gt;$R$36,(MAX(0,($R$36-((1+$E$29)*$E$30*(SUM($S$33:BW$33)))))),((1+$E$29))*($E$30*BW$33)))</f>
        <v>0</v>
      </c>
      <c r="BX46" s="166">
        <f>(-IF((1+$E$29)*($E$30*(SUM($S$33:BX$33)))&gt;$R$36,(MAX(0,($R$36-((1+$E$29)*$E$30*(SUM($S$33:BX$33)))))),((1+$E$29))*($E$30*BX$33)))</f>
        <v>0</v>
      </c>
      <c r="BY46" s="166">
        <f>(-IF((1+$E$29)*($E$30*(SUM($S$33:BY$33)))&gt;$R$36,(MAX(0,($R$36-((1+$E$29)*$E$30*(SUM($S$33:BY$33)))))),((1+$E$29))*($E$30*BY$33)))</f>
        <v>-9052785.413543554</v>
      </c>
      <c r="BZ46" s="166">
        <f>(-IF((1+$E$29)*($E$30*(SUM($S$33:BZ$33)))&gt;$R$36,(MAX(0,($R$36-((1+$E$29)*$E$30*(SUM($S$33:BZ$33)))))),((1+$E$29))*($E$30*BZ$33)))</f>
        <v>0</v>
      </c>
    </row>
    <row r="47" spans="4:78" x14ac:dyDescent="0.3">
      <c r="D47" s="3" t="s">
        <v>157</v>
      </c>
      <c r="E47" s="188"/>
      <c r="F47" s="188"/>
      <c r="G47" s="188"/>
      <c r="H47" s="8"/>
      <c r="I47" s="8"/>
      <c r="J47" s="8">
        <f t="shared" si="3"/>
        <v>0</v>
      </c>
      <c r="K47" s="8">
        <f t="shared" si="3"/>
        <v>0</v>
      </c>
      <c r="L47" s="8">
        <f t="shared" si="3"/>
        <v>0</v>
      </c>
      <c r="M47" s="8">
        <f t="shared" si="3"/>
        <v>0</v>
      </c>
      <c r="N47" s="8">
        <f t="shared" si="3"/>
        <v>-1224567.7142303756</v>
      </c>
      <c r="O47" s="8"/>
      <c r="P47" s="8"/>
      <c r="Q47" s="8"/>
      <c r="R47" s="8">
        <f>-IF(R$6=$E$9,R35*$E$28,0)</f>
        <v>0</v>
      </c>
      <c r="S47" s="8">
        <f>-IF(S$6=$E$9,S35*$E$28,0)</f>
        <v>0</v>
      </c>
      <c r="T47" s="8">
        <f t="shared" ref="T47:AX47" si="21">-IF(T$6=$E$9,T35*$E$28,0)</f>
        <v>0</v>
      </c>
      <c r="U47" s="8">
        <f t="shared" si="21"/>
        <v>0</v>
      </c>
      <c r="V47" s="8">
        <f t="shared" si="21"/>
        <v>0</v>
      </c>
      <c r="W47" s="8">
        <f t="shared" si="21"/>
        <v>0</v>
      </c>
      <c r="X47" s="8">
        <f t="shared" si="21"/>
        <v>0</v>
      </c>
      <c r="Y47" s="8">
        <f t="shared" si="21"/>
        <v>0</v>
      </c>
      <c r="Z47" s="8">
        <f t="shared" si="21"/>
        <v>0</v>
      </c>
      <c r="AA47" s="8">
        <f t="shared" si="21"/>
        <v>0</v>
      </c>
      <c r="AB47" s="8">
        <f t="shared" si="21"/>
        <v>0</v>
      </c>
      <c r="AC47" s="8">
        <f t="shared" si="21"/>
        <v>0</v>
      </c>
      <c r="AD47" s="8">
        <f t="shared" si="21"/>
        <v>0</v>
      </c>
      <c r="AE47" s="8">
        <f t="shared" si="21"/>
        <v>0</v>
      </c>
      <c r="AF47" s="8">
        <f t="shared" si="21"/>
        <v>0</v>
      </c>
      <c r="AG47" s="8">
        <f t="shared" si="21"/>
        <v>0</v>
      </c>
      <c r="AH47" s="8">
        <f t="shared" si="21"/>
        <v>0</v>
      </c>
      <c r="AI47" s="8">
        <f t="shared" si="21"/>
        <v>0</v>
      </c>
      <c r="AJ47" s="8">
        <f t="shared" si="21"/>
        <v>0</v>
      </c>
      <c r="AK47" s="8">
        <f t="shared" si="21"/>
        <v>0</v>
      </c>
      <c r="AL47" s="8">
        <f t="shared" si="21"/>
        <v>0</v>
      </c>
      <c r="AM47" s="8">
        <f t="shared" si="21"/>
        <v>0</v>
      </c>
      <c r="AN47" s="8">
        <f t="shared" si="21"/>
        <v>0</v>
      </c>
      <c r="AO47" s="8">
        <f t="shared" si="21"/>
        <v>0</v>
      </c>
      <c r="AP47" s="8">
        <f t="shared" si="21"/>
        <v>0</v>
      </c>
      <c r="AQ47" s="8">
        <f t="shared" si="21"/>
        <v>0</v>
      </c>
      <c r="AR47" s="8">
        <f t="shared" si="21"/>
        <v>0</v>
      </c>
      <c r="AS47" s="8">
        <f t="shared" si="21"/>
        <v>0</v>
      </c>
      <c r="AT47" s="8">
        <f t="shared" si="21"/>
        <v>0</v>
      </c>
      <c r="AU47" s="8">
        <f t="shared" si="21"/>
        <v>0</v>
      </c>
      <c r="AV47" s="8">
        <f t="shared" si="21"/>
        <v>0</v>
      </c>
      <c r="AW47" s="8">
        <f t="shared" si="21"/>
        <v>0</v>
      </c>
      <c r="AX47" s="8">
        <f t="shared" si="21"/>
        <v>0</v>
      </c>
      <c r="AY47" s="8">
        <f t="shared" ref="AY47:BZ47" si="22">-IF(AY$6=$E$9,AY35*$E$28,0)</f>
        <v>0</v>
      </c>
      <c r="AZ47" s="8">
        <f t="shared" si="22"/>
        <v>0</v>
      </c>
      <c r="BA47" s="8">
        <f t="shared" si="22"/>
        <v>0</v>
      </c>
      <c r="BB47" s="8">
        <f t="shared" si="22"/>
        <v>0</v>
      </c>
      <c r="BC47" s="8">
        <f t="shared" si="22"/>
        <v>0</v>
      </c>
      <c r="BD47" s="8">
        <f t="shared" si="22"/>
        <v>0</v>
      </c>
      <c r="BE47" s="8">
        <f t="shared" si="22"/>
        <v>0</v>
      </c>
      <c r="BF47" s="8">
        <f t="shared" si="22"/>
        <v>0</v>
      </c>
      <c r="BG47" s="8">
        <f t="shared" si="22"/>
        <v>0</v>
      </c>
      <c r="BH47" s="8">
        <f t="shared" si="22"/>
        <v>0</v>
      </c>
      <c r="BI47" s="8">
        <f t="shared" si="22"/>
        <v>0</v>
      </c>
      <c r="BJ47" s="8">
        <f t="shared" si="22"/>
        <v>0</v>
      </c>
      <c r="BK47" s="8">
        <f t="shared" si="22"/>
        <v>0</v>
      </c>
      <c r="BL47" s="8">
        <f t="shared" si="22"/>
        <v>0</v>
      </c>
      <c r="BM47" s="8">
        <f t="shared" si="22"/>
        <v>0</v>
      </c>
      <c r="BN47" s="8">
        <f t="shared" si="22"/>
        <v>0</v>
      </c>
      <c r="BO47" s="8">
        <f t="shared" si="22"/>
        <v>0</v>
      </c>
      <c r="BP47" s="8">
        <f t="shared" si="22"/>
        <v>0</v>
      </c>
      <c r="BQ47" s="8">
        <f t="shared" si="22"/>
        <v>0</v>
      </c>
      <c r="BR47" s="8">
        <f t="shared" si="22"/>
        <v>0</v>
      </c>
      <c r="BS47" s="8">
        <f t="shared" si="22"/>
        <v>0</v>
      </c>
      <c r="BT47" s="8">
        <f t="shared" si="22"/>
        <v>0</v>
      </c>
      <c r="BU47" s="8">
        <f t="shared" si="22"/>
        <v>0</v>
      </c>
      <c r="BV47" s="8">
        <f t="shared" si="22"/>
        <v>0</v>
      </c>
      <c r="BW47" s="8">
        <f t="shared" si="22"/>
        <v>0</v>
      </c>
      <c r="BX47" s="8">
        <f t="shared" si="22"/>
        <v>0</v>
      </c>
      <c r="BY47" s="8">
        <f t="shared" si="22"/>
        <v>0</v>
      </c>
      <c r="BZ47" s="8">
        <f t="shared" si="22"/>
        <v>-1224567.7142303756</v>
      </c>
    </row>
    <row r="48" spans="4:78" x14ac:dyDescent="0.3">
      <c r="D48" s="29" t="s">
        <v>168</v>
      </c>
      <c r="E48" s="192"/>
      <c r="F48" s="192"/>
      <c r="G48" s="192"/>
      <c r="H48" s="30"/>
      <c r="I48" s="30"/>
      <c r="J48" s="30">
        <f t="shared" si="3"/>
        <v>0</v>
      </c>
      <c r="K48" s="30">
        <f t="shared" si="3"/>
        <v>0</v>
      </c>
      <c r="L48" s="30">
        <f t="shared" si="3"/>
        <v>0</v>
      </c>
      <c r="M48" s="30">
        <f t="shared" si="3"/>
        <v>0</v>
      </c>
      <c r="N48" s="30">
        <f t="shared" si="3"/>
        <v>-122456771.42303756</v>
      </c>
      <c r="O48" s="30"/>
      <c r="P48" s="30"/>
      <c r="Q48" s="30"/>
      <c r="R48" s="30">
        <f>IF(R$6=$E$9,-(R35+R36+R40+R43+R44),0)</f>
        <v>0</v>
      </c>
      <c r="S48" s="30">
        <f>IF(S$6=$E$9,-(S35+S36+S40+S43+S44),0)</f>
        <v>0</v>
      </c>
      <c r="T48" s="30">
        <f t="shared" ref="T48:AX48" si="23">IF(T$6=$E$9,-(T35+T36+T40+T43+T44),0)</f>
        <v>0</v>
      </c>
      <c r="U48" s="30">
        <f t="shared" si="23"/>
        <v>0</v>
      </c>
      <c r="V48" s="30">
        <f t="shared" si="23"/>
        <v>0</v>
      </c>
      <c r="W48" s="30">
        <f t="shared" si="23"/>
        <v>0</v>
      </c>
      <c r="X48" s="30">
        <f t="shared" si="23"/>
        <v>0</v>
      </c>
      <c r="Y48" s="30">
        <f t="shared" si="23"/>
        <v>0</v>
      </c>
      <c r="Z48" s="30">
        <f t="shared" si="23"/>
        <v>0</v>
      </c>
      <c r="AA48" s="30">
        <f t="shared" si="23"/>
        <v>0</v>
      </c>
      <c r="AB48" s="30">
        <f t="shared" si="23"/>
        <v>0</v>
      </c>
      <c r="AC48" s="30">
        <f t="shared" si="23"/>
        <v>0</v>
      </c>
      <c r="AD48" s="30">
        <f t="shared" si="23"/>
        <v>0</v>
      </c>
      <c r="AE48" s="30">
        <f t="shared" si="23"/>
        <v>0</v>
      </c>
      <c r="AF48" s="30">
        <f t="shared" si="23"/>
        <v>0</v>
      </c>
      <c r="AG48" s="30">
        <f t="shared" si="23"/>
        <v>0</v>
      </c>
      <c r="AH48" s="30">
        <f t="shared" si="23"/>
        <v>0</v>
      </c>
      <c r="AI48" s="30">
        <f t="shared" si="23"/>
        <v>0</v>
      </c>
      <c r="AJ48" s="30">
        <f t="shared" si="23"/>
        <v>0</v>
      </c>
      <c r="AK48" s="30">
        <f t="shared" si="23"/>
        <v>0</v>
      </c>
      <c r="AL48" s="30">
        <f t="shared" si="23"/>
        <v>0</v>
      </c>
      <c r="AM48" s="30">
        <f t="shared" si="23"/>
        <v>0</v>
      </c>
      <c r="AN48" s="30">
        <f t="shared" si="23"/>
        <v>0</v>
      </c>
      <c r="AO48" s="30">
        <f t="shared" si="23"/>
        <v>0</v>
      </c>
      <c r="AP48" s="30">
        <f t="shared" si="23"/>
        <v>0</v>
      </c>
      <c r="AQ48" s="30">
        <f t="shared" si="23"/>
        <v>0</v>
      </c>
      <c r="AR48" s="30">
        <f t="shared" si="23"/>
        <v>0</v>
      </c>
      <c r="AS48" s="30">
        <f t="shared" si="23"/>
        <v>0</v>
      </c>
      <c r="AT48" s="30">
        <f t="shared" si="23"/>
        <v>0</v>
      </c>
      <c r="AU48" s="30">
        <f t="shared" si="23"/>
        <v>0</v>
      </c>
      <c r="AV48" s="30">
        <f t="shared" si="23"/>
        <v>0</v>
      </c>
      <c r="AW48" s="30">
        <f t="shared" si="23"/>
        <v>0</v>
      </c>
      <c r="AX48" s="30">
        <f t="shared" si="23"/>
        <v>0</v>
      </c>
      <c r="AY48" s="30">
        <f t="shared" ref="AY48:BZ48" si="24">IF(AY$6=$E$9,-(AY35+AY36+AY40+AY43+AY44),0)</f>
        <v>0</v>
      </c>
      <c r="AZ48" s="30">
        <f t="shared" si="24"/>
        <v>0</v>
      </c>
      <c r="BA48" s="30">
        <f t="shared" si="24"/>
        <v>0</v>
      </c>
      <c r="BB48" s="30">
        <f t="shared" si="24"/>
        <v>0</v>
      </c>
      <c r="BC48" s="30">
        <f t="shared" si="24"/>
        <v>0</v>
      </c>
      <c r="BD48" s="30">
        <f t="shared" si="24"/>
        <v>0</v>
      </c>
      <c r="BE48" s="30">
        <f t="shared" si="24"/>
        <v>0</v>
      </c>
      <c r="BF48" s="30">
        <f t="shared" si="24"/>
        <v>0</v>
      </c>
      <c r="BG48" s="30">
        <f t="shared" si="24"/>
        <v>0</v>
      </c>
      <c r="BH48" s="30">
        <f t="shared" si="24"/>
        <v>0</v>
      </c>
      <c r="BI48" s="30">
        <f t="shared" si="24"/>
        <v>0</v>
      </c>
      <c r="BJ48" s="30">
        <f t="shared" si="24"/>
        <v>0</v>
      </c>
      <c r="BK48" s="30">
        <f t="shared" si="24"/>
        <v>0</v>
      </c>
      <c r="BL48" s="30">
        <f t="shared" si="24"/>
        <v>0</v>
      </c>
      <c r="BM48" s="30">
        <f t="shared" si="24"/>
        <v>0</v>
      </c>
      <c r="BN48" s="30">
        <f t="shared" si="24"/>
        <v>0</v>
      </c>
      <c r="BO48" s="30">
        <f t="shared" si="24"/>
        <v>0</v>
      </c>
      <c r="BP48" s="30">
        <f t="shared" si="24"/>
        <v>0</v>
      </c>
      <c r="BQ48" s="30">
        <f t="shared" si="24"/>
        <v>0</v>
      </c>
      <c r="BR48" s="30">
        <f t="shared" si="24"/>
        <v>0</v>
      </c>
      <c r="BS48" s="30">
        <f t="shared" si="24"/>
        <v>0</v>
      </c>
      <c r="BT48" s="30">
        <f t="shared" si="24"/>
        <v>0</v>
      </c>
      <c r="BU48" s="30">
        <f t="shared" si="24"/>
        <v>0</v>
      </c>
      <c r="BV48" s="30">
        <f t="shared" si="24"/>
        <v>0</v>
      </c>
      <c r="BW48" s="30">
        <f t="shared" si="24"/>
        <v>0</v>
      </c>
      <c r="BX48" s="30">
        <f t="shared" si="24"/>
        <v>0</v>
      </c>
      <c r="BY48" s="30">
        <f t="shared" si="24"/>
        <v>0</v>
      </c>
      <c r="BZ48" s="30">
        <f t="shared" si="24"/>
        <v>-122456771.42303756</v>
      </c>
    </row>
    <row r="49" spans="4:78" x14ac:dyDescent="0.3">
      <c r="D49" s="25" t="s">
        <v>169</v>
      </c>
      <c r="E49" s="193"/>
      <c r="F49" s="193"/>
      <c r="G49" s="193"/>
      <c r="H49" s="194"/>
      <c r="I49" s="194"/>
      <c r="J49" s="187" cm="1">
        <f t="array" ref="J49">INDEX($S49:$BZ49,0,MATCH(J$6,$S$6:$BZ$6,0))</f>
        <v>187752220.96780428</v>
      </c>
      <c r="K49" s="187" cm="1">
        <f t="array" ref="K49">INDEX($S49:$BZ49,0,MATCH(K$6,$S$6:$BZ$6,0))</f>
        <v>172790777.42763856</v>
      </c>
      <c r="L49" s="187" cm="1">
        <f t="array" ref="L49">INDEX($S49:$BZ49,0,MATCH(L$6,$S$6:$BZ$6,0))</f>
        <v>156938065.16776597</v>
      </c>
      <c r="M49" s="187" cm="1">
        <f t="array" ref="M49">INDEX($S49:$BZ49,0,MATCH(M$6,$S$6:$BZ$6,0))</f>
        <v>140175048.67437726</v>
      </c>
      <c r="N49" s="187" cm="1">
        <f t="array" ref="N49">INDEX($S49:$BZ49,0,MATCH(N$6,$S$6:$BZ$6,0))</f>
        <v>0</v>
      </c>
      <c r="O49" s="194"/>
      <c r="P49" s="194"/>
      <c r="Q49" s="194"/>
      <c r="R49" s="194">
        <f>R35+R36+R40+R43+R44+R48</f>
        <v>201844594.25571996</v>
      </c>
      <c r="S49" s="194">
        <f>S35+S36+S40+S43+S44+S48</f>
        <v>201844594.25571996</v>
      </c>
      <c r="T49" s="194">
        <f t="shared" ref="T49:AX49" si="25">T35+T36+T40+T43+T44+T48</f>
        <v>201844594.25571996</v>
      </c>
      <c r="U49" s="194">
        <f t="shared" si="25"/>
        <v>201844594.25571996</v>
      </c>
      <c r="V49" s="194">
        <f t="shared" si="25"/>
        <v>201844594.25571996</v>
      </c>
      <c r="W49" s="194">
        <f t="shared" si="25"/>
        <v>194884039.4757103</v>
      </c>
      <c r="X49" s="194">
        <f t="shared" si="25"/>
        <v>194884039.4757103</v>
      </c>
      <c r="Y49" s="194">
        <f t="shared" si="25"/>
        <v>194884039.4757103</v>
      </c>
      <c r="Z49" s="194">
        <f t="shared" si="25"/>
        <v>194884039.4757103</v>
      </c>
      <c r="AA49" s="194">
        <f t="shared" si="25"/>
        <v>194884039.4757103</v>
      </c>
      <c r="AB49" s="194">
        <f t="shared" si="25"/>
        <v>194884039.4757103</v>
      </c>
      <c r="AC49" s="194">
        <f t="shared" si="25"/>
        <v>187752220.96780428</v>
      </c>
      <c r="AD49" s="194">
        <f t="shared" si="25"/>
        <v>187752220.96780428</v>
      </c>
      <c r="AE49" s="194">
        <f t="shared" si="25"/>
        <v>187752220.96780428</v>
      </c>
      <c r="AF49" s="194">
        <f t="shared" si="25"/>
        <v>187752220.96780428</v>
      </c>
      <c r="AG49" s="194">
        <f t="shared" si="25"/>
        <v>187752220.96780428</v>
      </c>
      <c r="AH49" s="194">
        <f t="shared" si="25"/>
        <v>187752220.96780428</v>
      </c>
      <c r="AI49" s="194">
        <f t="shared" si="25"/>
        <v>180381621.78826517</v>
      </c>
      <c r="AJ49" s="194">
        <f t="shared" si="25"/>
        <v>180381621.78826517</v>
      </c>
      <c r="AK49" s="194">
        <f t="shared" si="25"/>
        <v>180381621.78826517</v>
      </c>
      <c r="AL49" s="194">
        <f t="shared" si="25"/>
        <v>180381621.78826517</v>
      </c>
      <c r="AM49" s="194">
        <f t="shared" si="25"/>
        <v>180381621.78826517</v>
      </c>
      <c r="AN49" s="194">
        <f t="shared" si="25"/>
        <v>180381621.78826517</v>
      </c>
      <c r="AO49" s="194">
        <f t="shared" si="25"/>
        <v>172790777.42763856</v>
      </c>
      <c r="AP49" s="194">
        <f t="shared" si="25"/>
        <v>172790777.42763856</v>
      </c>
      <c r="AQ49" s="194">
        <f t="shared" si="25"/>
        <v>172790777.42763856</v>
      </c>
      <c r="AR49" s="194">
        <f t="shared" si="25"/>
        <v>172790777.42763856</v>
      </c>
      <c r="AS49" s="194">
        <f t="shared" si="25"/>
        <v>172790777.42763856</v>
      </c>
      <c r="AT49" s="194">
        <f t="shared" si="25"/>
        <v>172790777.42763856</v>
      </c>
      <c r="AU49" s="194">
        <f t="shared" si="25"/>
        <v>165000679.0958612</v>
      </c>
      <c r="AV49" s="194">
        <f t="shared" si="25"/>
        <v>165000679.0958612</v>
      </c>
      <c r="AW49" s="194">
        <f t="shared" si="25"/>
        <v>165000679.0958612</v>
      </c>
      <c r="AX49" s="194">
        <f t="shared" si="25"/>
        <v>165000679.0958612</v>
      </c>
      <c r="AY49" s="194">
        <f t="shared" ref="AY49:BZ49" si="26">AY35+AY36+AY40+AY43+AY44+AY48</f>
        <v>165000679.0958612</v>
      </c>
      <c r="AZ49" s="194">
        <f t="shared" si="26"/>
        <v>165000679.0958612</v>
      </c>
      <c r="BA49" s="194">
        <f t="shared" si="26"/>
        <v>156938065.16776597</v>
      </c>
      <c r="BB49" s="194">
        <f t="shared" si="26"/>
        <v>156938065.16776597</v>
      </c>
      <c r="BC49" s="194">
        <f t="shared" si="26"/>
        <v>156938065.16776597</v>
      </c>
      <c r="BD49" s="194">
        <f t="shared" si="26"/>
        <v>156938065.16776597</v>
      </c>
      <c r="BE49" s="194">
        <f t="shared" si="26"/>
        <v>156938065.16776597</v>
      </c>
      <c r="BF49" s="194">
        <f t="shared" si="26"/>
        <v>156938065.16776597</v>
      </c>
      <c r="BG49" s="194">
        <f t="shared" si="26"/>
        <v>148720628.83194944</v>
      </c>
      <c r="BH49" s="194">
        <f t="shared" si="26"/>
        <v>148720628.83194944</v>
      </c>
      <c r="BI49" s="194">
        <f t="shared" si="26"/>
        <v>148720628.83194944</v>
      </c>
      <c r="BJ49" s="194">
        <f t="shared" si="26"/>
        <v>148720628.83194944</v>
      </c>
      <c r="BK49" s="194">
        <f t="shared" si="26"/>
        <v>148720628.83194944</v>
      </c>
      <c r="BL49" s="194">
        <f t="shared" si="26"/>
        <v>148720628.83194944</v>
      </c>
      <c r="BM49" s="194">
        <f t="shared" si="26"/>
        <v>140175048.67437726</v>
      </c>
      <c r="BN49" s="194">
        <f t="shared" si="26"/>
        <v>140175048.67437726</v>
      </c>
      <c r="BO49" s="194">
        <f t="shared" si="26"/>
        <v>140175048.67437726</v>
      </c>
      <c r="BP49" s="194">
        <f t="shared" si="26"/>
        <v>140175048.67437726</v>
      </c>
      <c r="BQ49" s="194">
        <f t="shared" si="26"/>
        <v>140175048.67437726</v>
      </c>
      <c r="BR49" s="194">
        <f t="shared" si="26"/>
        <v>140175048.67437726</v>
      </c>
      <c r="BS49" s="194">
        <f t="shared" si="26"/>
        <v>131509556.83658111</v>
      </c>
      <c r="BT49" s="194">
        <f t="shared" si="26"/>
        <v>131509556.83658111</v>
      </c>
      <c r="BU49" s="194">
        <f t="shared" si="26"/>
        <v>131509556.83658111</v>
      </c>
      <c r="BV49" s="194">
        <f t="shared" si="26"/>
        <v>131509556.83658111</v>
      </c>
      <c r="BW49" s="194">
        <f t="shared" si="26"/>
        <v>131509556.83658111</v>
      </c>
      <c r="BX49" s="194">
        <f t="shared" si="26"/>
        <v>131509556.83658111</v>
      </c>
      <c r="BY49" s="194">
        <f t="shared" si="26"/>
        <v>122456771.42303756</v>
      </c>
      <c r="BZ49" s="194">
        <f t="shared" si="26"/>
        <v>0</v>
      </c>
    </row>
    <row r="50" spans="4:78" x14ac:dyDescent="0.3">
      <c r="D50" s="195"/>
      <c r="E50" s="195"/>
      <c r="F50" s="195"/>
      <c r="G50" s="195"/>
      <c r="H50" s="195"/>
      <c r="I50" s="195"/>
      <c r="J50" s="195"/>
      <c r="K50" s="195"/>
      <c r="L50" s="195"/>
      <c r="M50" s="195"/>
      <c r="N50" s="195"/>
      <c r="O50" s="195"/>
      <c r="P50" s="195"/>
      <c r="Q50" s="195"/>
      <c r="R50" s="195"/>
      <c r="S50" s="195"/>
      <c r="T50" s="195"/>
      <c r="U50" s="195"/>
      <c r="V50" s="195"/>
      <c r="W50" s="195"/>
      <c r="X50" s="195"/>
      <c r="Y50" s="195"/>
      <c r="Z50" s="195"/>
      <c r="AA50" s="195"/>
      <c r="AB50" s="195"/>
      <c r="AC50" s="195"/>
      <c r="AD50" s="195"/>
      <c r="AE50" s="195"/>
      <c r="AF50" s="195"/>
      <c r="AG50" s="195"/>
      <c r="AH50" s="195"/>
      <c r="AI50" s="195"/>
      <c r="AJ50" s="195"/>
      <c r="AK50" s="195"/>
      <c r="AL50" s="195"/>
      <c r="AM50" s="195"/>
      <c r="AN50" s="195"/>
      <c r="AO50" s="195"/>
      <c r="AP50" s="195"/>
      <c r="AQ50" s="195"/>
      <c r="AR50" s="195"/>
      <c r="AS50" s="195"/>
      <c r="AT50" s="195"/>
      <c r="AU50" s="195"/>
      <c r="AV50" s="195"/>
      <c r="AW50" s="195"/>
      <c r="AX50" s="195"/>
      <c r="AY50" s="195"/>
      <c r="AZ50" s="195"/>
      <c r="BA50" s="195"/>
      <c r="BB50" s="195"/>
      <c r="BC50" s="195"/>
      <c r="BD50" s="195"/>
      <c r="BE50" s="195"/>
      <c r="BF50" s="195"/>
      <c r="BG50" s="195"/>
      <c r="BH50" s="195"/>
      <c r="BI50" s="195"/>
      <c r="BJ50" s="195"/>
      <c r="BK50" s="195"/>
      <c r="BL50" s="195"/>
      <c r="BM50" s="195"/>
      <c r="BN50" s="195"/>
      <c r="BO50" s="195"/>
      <c r="BP50" s="195"/>
      <c r="BQ50" s="195"/>
      <c r="BR50" s="195"/>
      <c r="BS50" s="195"/>
      <c r="BT50" s="195"/>
      <c r="BU50" s="195"/>
      <c r="BV50" s="195"/>
      <c r="BW50" s="195"/>
      <c r="BX50" s="195"/>
      <c r="BY50" s="195"/>
      <c r="BZ50" s="195"/>
    </row>
    <row r="51" spans="4:78" x14ac:dyDescent="0.3">
      <c r="D51" s="28" t="s">
        <v>170</v>
      </c>
      <c r="E51" s="196"/>
      <c r="F51" s="196"/>
      <c r="G51" s="196"/>
      <c r="H51" s="196"/>
      <c r="I51" s="196"/>
      <c r="J51" s="196">
        <f>SUMIFS($S51:$BZ51,$S$4:$BZ$4,J$4)</f>
        <v>-31397763.512738537</v>
      </c>
      <c r="K51" s="196">
        <f>SUMIFS($S51:$BZ51,$S$4:$BZ$4,K$4)</f>
        <v>-31005738.536544994</v>
      </c>
      <c r="L51" s="196">
        <f>SUMIFS($S51:$BZ51,$S$4:$BZ$4,L$4)</f>
        <v>-30559065.203129906</v>
      </c>
      <c r="M51" s="196">
        <f>SUMIFS($S51:$BZ51,$S$4:$BZ$4,M$4)</f>
        <v>-30052726.458807904</v>
      </c>
      <c r="N51" s="196">
        <f>SUMIFS($S51:$BZ51,$S$4:$BZ$4,N$4)</f>
        <v>-153191557.21079701</v>
      </c>
      <c r="O51" s="196"/>
      <c r="P51" s="196"/>
      <c r="Q51" s="196"/>
      <c r="R51" s="196">
        <f>R36+R37+R39+R42+R44+R47+R48</f>
        <v>199826148.31316277</v>
      </c>
      <c r="S51" s="196">
        <f t="shared" ref="S51:AX51" si="27">S36+S37+S39+S42+S44+S47+S48</f>
        <v>-1476156.7993234985</v>
      </c>
      <c r="T51" s="196">
        <f t="shared" si="27"/>
        <v>-1476156.7993234985</v>
      </c>
      <c r="U51" s="196">
        <f t="shared" si="27"/>
        <v>-1476156.7993234985</v>
      </c>
      <c r="V51" s="196">
        <f t="shared" si="27"/>
        <v>-1476156.7993234985</v>
      </c>
      <c r="W51" s="196">
        <f t="shared" si="27"/>
        <v>-8436711.5793331601</v>
      </c>
      <c r="X51" s="196">
        <f t="shared" si="27"/>
        <v>-1425251.9420323614</v>
      </c>
      <c r="Y51" s="196">
        <f t="shared" si="27"/>
        <v>-1425251.9420323614</v>
      </c>
      <c r="Z51" s="196">
        <f t="shared" si="27"/>
        <v>-1425251.9420323614</v>
      </c>
      <c r="AA51" s="196">
        <f t="shared" si="27"/>
        <v>-1425251.9420323614</v>
      </c>
      <c r="AB51" s="196">
        <f t="shared" si="27"/>
        <v>-1425251.9420323614</v>
      </c>
      <c r="AC51" s="196">
        <f t="shared" si="27"/>
        <v>-8557070.4499383718</v>
      </c>
      <c r="AD51" s="196">
        <f t="shared" si="27"/>
        <v>-1373094.5760112086</v>
      </c>
      <c r="AE51" s="196">
        <f t="shared" si="27"/>
        <v>-1373094.5760112086</v>
      </c>
      <c r="AF51" s="196">
        <f t="shared" si="27"/>
        <v>-1373094.5760112086</v>
      </c>
      <c r="AG51" s="196">
        <f t="shared" si="27"/>
        <v>-1373094.5760112086</v>
      </c>
      <c r="AH51" s="196">
        <f t="shared" si="27"/>
        <v>-1373094.5760112086</v>
      </c>
      <c r="AI51" s="196">
        <f t="shared" si="27"/>
        <v>-8743693.7555503286</v>
      </c>
      <c r="AJ51" s="196">
        <f t="shared" si="27"/>
        <v>-1319190.9273448461</v>
      </c>
      <c r="AK51" s="196">
        <f t="shared" si="27"/>
        <v>-1319190.9273448461</v>
      </c>
      <c r="AL51" s="196">
        <f t="shared" si="27"/>
        <v>-1319190.9273448461</v>
      </c>
      <c r="AM51" s="196">
        <f t="shared" si="27"/>
        <v>-1319190.9273448461</v>
      </c>
      <c r="AN51" s="196">
        <f t="shared" si="27"/>
        <v>-1319190.9273448461</v>
      </c>
      <c r="AO51" s="196">
        <f t="shared" si="27"/>
        <v>-8910035.2879714668</v>
      </c>
      <c r="AP51" s="196">
        <f t="shared" si="27"/>
        <v>-1263676.5522541301</v>
      </c>
      <c r="AQ51" s="196">
        <f t="shared" si="27"/>
        <v>-1263676.5522541301</v>
      </c>
      <c r="AR51" s="196">
        <f t="shared" si="27"/>
        <v>-1263676.5522541301</v>
      </c>
      <c r="AS51" s="196">
        <f t="shared" si="27"/>
        <v>-1263676.5522541301</v>
      </c>
      <c r="AT51" s="196">
        <f t="shared" si="27"/>
        <v>-1263676.5522541301</v>
      </c>
      <c r="AU51" s="196">
        <f t="shared" si="27"/>
        <v>-9053774.8840315044</v>
      </c>
      <c r="AV51" s="196">
        <f t="shared" si="27"/>
        <v>-1206704.9664543984</v>
      </c>
      <c r="AW51" s="196">
        <f t="shared" si="27"/>
        <v>-1206704.9664543984</v>
      </c>
      <c r="AX51" s="196">
        <f t="shared" si="27"/>
        <v>-1206704.9664543984</v>
      </c>
      <c r="AY51" s="196">
        <f t="shared" ref="AY51:BZ51" si="28">AY36+AY37+AY39+AY42+AY44+AY47+AY48</f>
        <v>-1206704.9664543984</v>
      </c>
      <c r="AZ51" s="196">
        <f t="shared" si="28"/>
        <v>-1206704.9664543984</v>
      </c>
      <c r="BA51" s="196">
        <f t="shared" si="28"/>
        <v>-9269318.8945496287</v>
      </c>
      <c r="BB51" s="196">
        <f t="shared" si="28"/>
        <v>-1147740.383260262</v>
      </c>
      <c r="BC51" s="196">
        <f t="shared" si="28"/>
        <v>-1147740.383260262</v>
      </c>
      <c r="BD51" s="196">
        <f t="shared" si="28"/>
        <v>-1147740.383260262</v>
      </c>
      <c r="BE51" s="196">
        <f t="shared" si="28"/>
        <v>-1147740.383260262</v>
      </c>
      <c r="BF51" s="196">
        <f t="shared" si="28"/>
        <v>-1147740.383260262</v>
      </c>
      <c r="BG51" s="196">
        <f t="shared" si="28"/>
        <v>-9365176.7190767955</v>
      </c>
      <c r="BH51" s="196">
        <f t="shared" si="28"/>
        <v>-1087643.5321909904</v>
      </c>
      <c r="BI51" s="196">
        <f t="shared" si="28"/>
        <v>-1087643.5321909904</v>
      </c>
      <c r="BJ51" s="196">
        <f t="shared" si="28"/>
        <v>-1087643.5321909904</v>
      </c>
      <c r="BK51" s="196">
        <f t="shared" si="28"/>
        <v>-1087643.5321909904</v>
      </c>
      <c r="BL51" s="196">
        <f t="shared" si="28"/>
        <v>-1087643.5321909904</v>
      </c>
      <c r="BM51" s="196">
        <f t="shared" si="28"/>
        <v>-9633223.689763166</v>
      </c>
      <c r="BN51" s="196">
        <f t="shared" si="28"/>
        <v>-1025146.8559719458</v>
      </c>
      <c r="BO51" s="196">
        <f t="shared" si="28"/>
        <v>-1025146.8559719458</v>
      </c>
      <c r="BP51" s="196">
        <f t="shared" si="28"/>
        <v>-1025146.8559719458</v>
      </c>
      <c r="BQ51" s="196">
        <f t="shared" si="28"/>
        <v>-1025146.8559719458</v>
      </c>
      <c r="BR51" s="196">
        <f t="shared" si="28"/>
        <v>-1025146.8559719458</v>
      </c>
      <c r="BS51" s="196">
        <f t="shared" si="28"/>
        <v>-9690638.6937680896</v>
      </c>
      <c r="BT51" s="196">
        <f t="shared" si="28"/>
        <v>-961773.22566486325</v>
      </c>
      <c r="BU51" s="196">
        <f t="shared" si="28"/>
        <v>-961773.22566486325</v>
      </c>
      <c r="BV51" s="196">
        <f t="shared" si="28"/>
        <v>-961773.22566486325</v>
      </c>
      <c r="BW51" s="196">
        <f t="shared" si="28"/>
        <v>-961773.22566486325</v>
      </c>
      <c r="BX51" s="196">
        <f t="shared" si="28"/>
        <v>-961773.22566486325</v>
      </c>
      <c r="BY51" s="196">
        <f t="shared" si="28"/>
        <v>-10014558.639208417</v>
      </c>
      <c r="BZ51" s="196">
        <f t="shared" si="28"/>
        <v>-124576906.32560842</v>
      </c>
    </row>
    <row r="52" spans="4:78" x14ac:dyDescent="0.3">
      <c r="D52" s="195"/>
      <c r="E52" s="195"/>
      <c r="F52" s="195"/>
      <c r="G52" s="195"/>
      <c r="H52" s="195"/>
      <c r="I52" s="195"/>
      <c r="J52" s="195"/>
      <c r="K52" s="195"/>
      <c r="L52" s="195"/>
      <c r="M52" s="195"/>
      <c r="N52" s="195"/>
      <c r="O52" s="195"/>
      <c r="P52" s="195"/>
      <c r="Q52" s="195"/>
      <c r="R52" s="195"/>
      <c r="S52" s="195"/>
      <c r="T52" s="195"/>
      <c r="U52" s="195"/>
      <c r="V52" s="195"/>
      <c r="W52" s="195"/>
      <c r="X52" s="195"/>
      <c r="Y52" s="195"/>
      <c r="Z52" s="195"/>
      <c r="AA52" s="195"/>
      <c r="AB52" s="195"/>
      <c r="AC52" s="195"/>
      <c r="AD52" s="195"/>
      <c r="AE52" s="195"/>
      <c r="AF52" s="195"/>
      <c r="AG52" s="195"/>
      <c r="AH52" s="195"/>
      <c r="AI52" s="195"/>
      <c r="AJ52" s="195"/>
      <c r="AK52" s="195"/>
      <c r="AL52" s="195"/>
      <c r="AM52" s="195"/>
      <c r="AN52" s="195"/>
      <c r="AO52" s="195"/>
      <c r="AP52" s="195"/>
      <c r="AQ52" s="195"/>
      <c r="AR52" s="195"/>
      <c r="AS52" s="195"/>
      <c r="AT52" s="195"/>
      <c r="AU52" s="195"/>
      <c r="AV52" s="195"/>
      <c r="AW52" s="195"/>
      <c r="AX52" s="195"/>
      <c r="AY52" s="195"/>
      <c r="AZ52" s="195"/>
      <c r="BA52" s="195"/>
      <c r="BB52" s="195"/>
      <c r="BC52" s="195"/>
      <c r="BD52" s="195"/>
      <c r="BE52" s="195"/>
      <c r="BF52" s="195"/>
      <c r="BG52" s="195"/>
      <c r="BH52" s="195"/>
      <c r="BI52" s="195"/>
      <c r="BJ52" s="195"/>
      <c r="BK52" s="195"/>
      <c r="BL52" s="195"/>
      <c r="BM52" s="195"/>
      <c r="BN52" s="195"/>
      <c r="BO52" s="195"/>
      <c r="BP52" s="195"/>
      <c r="BQ52" s="195"/>
      <c r="BR52" s="195"/>
      <c r="BS52" s="195"/>
      <c r="BT52" s="195"/>
      <c r="BU52" s="195"/>
      <c r="BV52" s="195"/>
      <c r="BW52" s="195"/>
      <c r="BX52" s="195"/>
      <c r="BY52" s="195"/>
      <c r="BZ52" s="195"/>
    </row>
    <row r="53" spans="4:78" s="165" customFormat="1" ht="12.75" x14ac:dyDescent="0.25">
      <c r="D53" s="197" t="s">
        <v>171</v>
      </c>
      <c r="E53" s="198"/>
      <c r="F53" s="198"/>
      <c r="G53" s="198"/>
      <c r="H53" s="198"/>
      <c r="I53" s="198"/>
      <c r="J53" s="198">
        <f>AVERAGEIFS($S53:$BZ53,$S$4:$BZ$4,J$4)</f>
        <v>5.4891251503602217E-2</v>
      </c>
      <c r="K53" s="198">
        <f>AVERAGEIFS($S53:$BZ53,$S$4:$BZ$4,K$4)</f>
        <v>4.9270045006293978E-2</v>
      </c>
      <c r="L53" s="198">
        <f>AVERAGEIFS($S53:$BZ53,$S$4:$BZ$4,L$4)</f>
        <v>4.4287892882156073E-2</v>
      </c>
      <c r="M53" s="198">
        <f>AVERAGEIFS($S53:$BZ53,$S$4:$BZ$4,M$4)</f>
        <v>4.1617366899983181E-2</v>
      </c>
      <c r="N53" s="198">
        <f>AVERAGEIFS($S53:$BZ53,$S$4:$BZ$4,N$4)</f>
        <v>3.9487561375792991E-2</v>
      </c>
      <c r="O53" s="198"/>
      <c r="P53" s="198"/>
      <c r="Q53" s="198"/>
      <c r="R53" s="325">
        <v>5.428808025886412E-2</v>
      </c>
      <c r="S53" s="325">
        <v>5.428808025886412E-2</v>
      </c>
      <c r="T53" s="325">
        <v>5.5188802998589706E-2</v>
      </c>
      <c r="U53" s="325">
        <v>5.553215212793338E-2</v>
      </c>
      <c r="V53" s="325">
        <v>5.5589406272477687E-2</v>
      </c>
      <c r="W53" s="325">
        <v>5.5679735303541984E-2</v>
      </c>
      <c r="X53" s="325">
        <v>5.5692061008116946E-2</v>
      </c>
      <c r="Y53" s="325">
        <v>5.5595272486131914E-2</v>
      </c>
      <c r="Z53" s="325">
        <v>5.5481019566253079E-2</v>
      </c>
      <c r="AA53" s="325">
        <v>5.5115718345867065E-2</v>
      </c>
      <c r="AB53" s="325">
        <v>5.4664690305654649E-2</v>
      </c>
      <c r="AC53" s="325">
        <v>5.4082932313817583E-2</v>
      </c>
      <c r="AD53" s="325">
        <v>5.1785147055978475E-2</v>
      </c>
      <c r="AE53" s="325">
        <v>5.1785147055978677E-2</v>
      </c>
      <c r="AF53" s="325">
        <v>5.1785147055981182E-2</v>
      </c>
      <c r="AG53" s="325">
        <v>5.1785147055981431E-2</v>
      </c>
      <c r="AH53" s="325">
        <v>5.1785147055978677E-2</v>
      </c>
      <c r="AI53" s="325">
        <v>5.1785147055979606E-2</v>
      </c>
      <c r="AJ53" s="325">
        <v>4.7966777044090192E-2</v>
      </c>
      <c r="AK53" s="325">
        <v>4.7966777044090192E-2</v>
      </c>
      <c r="AL53" s="325">
        <v>4.7966777044090192E-2</v>
      </c>
      <c r="AM53" s="325">
        <v>4.7966777044087444E-2</v>
      </c>
      <c r="AN53" s="325">
        <v>4.7966777044090192E-2</v>
      </c>
      <c r="AO53" s="325">
        <v>4.7966777044090192E-2</v>
      </c>
      <c r="AP53" s="325">
        <v>4.4514142531089755E-2</v>
      </c>
      <c r="AQ53" s="325">
        <v>4.4514142531088569E-2</v>
      </c>
      <c r="AR53" s="325">
        <v>4.4514142531088555E-2</v>
      </c>
      <c r="AS53" s="325">
        <v>4.4514142531089755E-2</v>
      </c>
      <c r="AT53" s="325">
        <v>4.4514142531091191E-2</v>
      </c>
      <c r="AU53" s="325">
        <v>4.4514142531088589E-2</v>
      </c>
      <c r="AV53" s="325">
        <v>4.4514142531093738E-2</v>
      </c>
      <c r="AW53" s="325">
        <v>4.4514142531088555E-2</v>
      </c>
      <c r="AX53" s="325">
        <v>4.4514142531088569E-2</v>
      </c>
      <c r="AY53" s="325">
        <v>4.4514142531089755E-2</v>
      </c>
      <c r="AZ53" s="325">
        <v>4.4514142531091191E-2</v>
      </c>
      <c r="BA53" s="325">
        <v>4.4514142531088569E-2</v>
      </c>
      <c r="BB53" s="325">
        <v>4.1799146743885886E-2</v>
      </c>
      <c r="BC53" s="325">
        <v>4.1799146743888516E-2</v>
      </c>
      <c r="BD53" s="325">
        <v>4.179914674388583E-2</v>
      </c>
      <c r="BE53" s="325">
        <v>4.1799146743888516E-2</v>
      </c>
      <c r="BF53" s="325">
        <v>4.1799146743885886E-2</v>
      </c>
      <c r="BG53" s="325">
        <v>4.1799146743889709E-2</v>
      </c>
      <c r="BH53" s="325">
        <v>4.1799146743885247E-2</v>
      </c>
      <c r="BI53" s="325">
        <v>4.1799146743888543E-2</v>
      </c>
      <c r="BJ53" s="325">
        <v>4.1799146743885886E-2</v>
      </c>
      <c r="BK53" s="325">
        <v>4.1799146743888516E-2</v>
      </c>
      <c r="BL53" s="325">
        <v>4.1799146743888516E-2</v>
      </c>
      <c r="BM53" s="325">
        <v>4.1799146743886857E-2</v>
      </c>
      <c r="BN53" s="325">
        <v>3.9617788617036125E-2</v>
      </c>
      <c r="BO53" s="325">
        <v>3.9617788617036881E-2</v>
      </c>
      <c r="BP53" s="325">
        <v>3.9617788617040711E-2</v>
      </c>
      <c r="BQ53" s="325">
        <v>3.9617788617040815E-2</v>
      </c>
      <c r="BR53" s="325">
        <v>3.9617788617040815E-2</v>
      </c>
      <c r="BS53" s="325">
        <v>3.9617788617039504E-2</v>
      </c>
      <c r="BT53" s="325">
        <v>3.9617788617039504E-2</v>
      </c>
      <c r="BU53" s="325">
        <v>3.9617788617036125E-2</v>
      </c>
      <c r="BV53" s="325">
        <v>3.9617788617038165E-2</v>
      </c>
      <c r="BW53" s="325">
        <v>3.9617788617038831E-2</v>
      </c>
      <c r="BX53" s="325">
        <v>3.9617788617040815E-2</v>
      </c>
      <c r="BY53" s="325">
        <v>3.9617788617039504E-2</v>
      </c>
      <c r="BZ53" s="325">
        <v>3.8055061722084157E-2</v>
      </c>
    </row>
  </sheetData>
  <dataValidations disablePrompts="1" count="2">
    <dataValidation type="list" allowBlank="1" showInputMessage="1" showErrorMessage="1" sqref="E21" xr:uid="{699645C0-3967-4035-8BA1-813B5B5C5712}">
      <formula1>"Fixed,Floating"</formula1>
    </dataValidation>
    <dataValidation type="list" allowBlank="1" showInputMessage="1" showErrorMessage="1" sqref="E25 E20" xr:uid="{3943A3E6-B66A-4DA5-B7DF-B060173A1B78}">
      <formula1>"PIK,Current"</formula1>
    </dataValidation>
  </dataValidations>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727880-9A0E-496D-BED8-1D2F4623618D}">
  <sheetPr codeName="Sheet19">
    <tabColor rgb="FF808080"/>
    <pageSetUpPr autoPageBreaks="0"/>
  </sheetPr>
  <dimension ref="A1:CG133"/>
  <sheetViews>
    <sheetView showGridLines="0" zoomScaleNormal="100" workbookViewId="0">
      <pane xSplit="5" ySplit="4" topLeftCell="F5" activePane="bottomRight" state="frozen"/>
      <selection activeCell="B4" sqref="B4:T38"/>
      <selection pane="topRight" activeCell="B4" sqref="B4:T38"/>
      <selection pane="bottomLeft" activeCell="B4" sqref="B4:T38"/>
      <selection pane="bottomRight" activeCell="F5" sqref="F5"/>
    </sheetView>
  </sheetViews>
  <sheetFormatPr defaultColWidth="0" defaultRowHeight="13.5" x14ac:dyDescent="0.3"/>
  <cols>
    <col min="1" max="2" width="1.6640625" style="3" customWidth="1"/>
    <col min="3" max="3" width="3.33203125" style="3" customWidth="1"/>
    <col min="4" max="4" width="1.6640625" style="3" customWidth="1"/>
    <col min="5" max="5" width="67.6640625" style="3" bestFit="1" customWidth="1"/>
    <col min="6" max="8" width="1.6640625" style="3" customWidth="1"/>
    <col min="9" max="12" width="13.33203125" style="3" customWidth="1"/>
    <col min="13" max="13" width="1.6640625" style="3" customWidth="1"/>
    <col min="14" max="19" width="13.33203125" style="3" customWidth="1"/>
    <col min="20" max="20" width="1.6640625" style="3" customWidth="1"/>
    <col min="21" max="82" width="13.33203125" style="3" customWidth="1"/>
    <col min="83" max="85" width="1.6640625" style="3" customWidth="1"/>
    <col min="86" max="16384" width="0" style="3" hidden="1"/>
  </cols>
  <sheetData>
    <row r="1" spans="1:85" s="38" customFormat="1" x14ac:dyDescent="0.3">
      <c r="A1" s="27"/>
      <c r="B1" s="1"/>
      <c r="V1" s="39"/>
      <c r="CE1" s="39"/>
      <c r="CF1" s="39"/>
      <c r="CG1" s="39"/>
    </row>
    <row r="2" spans="1:85" x14ac:dyDescent="0.3">
      <c r="B2" s="1"/>
      <c r="C2" s="7"/>
      <c r="E2" s="492"/>
      <c r="I2" s="40" t="s">
        <v>360</v>
      </c>
      <c r="J2" s="40" t="s">
        <v>361</v>
      </c>
      <c r="K2" s="40" t="s">
        <v>362</v>
      </c>
      <c r="L2" s="40" t="s">
        <v>363</v>
      </c>
      <c r="N2" s="40"/>
      <c r="O2" s="40"/>
      <c r="P2" s="40"/>
      <c r="Q2" s="40"/>
      <c r="R2" s="40"/>
      <c r="S2" s="40"/>
      <c r="U2" s="27"/>
      <c r="W2" s="40" t="str" cm="1">
        <f t="array" ref="W2">INDEX(Index_Tab!$G$4:$K$4,MATCH(1,(W$4&gt;=Index_Tab!$G$5:$K$5)*(W$4&lt;=Index_Tab!$G$17:$K$17),0))</f>
        <v>FY27E</v>
      </c>
      <c r="X2" s="40" t="str" cm="1">
        <f t="array" ref="X2">INDEX(Index_Tab!$G$4:$K$4,MATCH(1,(X$4&gt;=Index_Tab!$G$5:$K$5)*(X$4&lt;=Index_Tab!$G$17:$K$17),0))</f>
        <v>FY27E</v>
      </c>
      <c r="Y2" s="40" t="str" cm="1">
        <f t="array" ref="Y2">INDEX(Index_Tab!$G$4:$K$4,MATCH(1,(Y$4&gt;=Index_Tab!$G$5:$K$5)*(Y$4&lt;=Index_Tab!$G$17:$K$17),0))</f>
        <v>FY27E</v>
      </c>
      <c r="Z2" s="40" t="str" cm="1">
        <f t="array" ref="Z2">INDEX(Index_Tab!$G$4:$K$4,MATCH(1,(Z$4&gt;=Index_Tab!$G$5:$K$5)*(Z$4&lt;=Index_Tab!$G$17:$K$17),0))</f>
        <v>FY27E</v>
      </c>
      <c r="AA2" s="40" t="str" cm="1">
        <f t="array" ref="AA2">INDEX(Index_Tab!$G$4:$K$4,MATCH(1,(AA$4&gt;=Index_Tab!$G$5:$K$5)*(AA$4&lt;=Index_Tab!$G$17:$K$17),0))</f>
        <v>FY27E</v>
      </c>
      <c r="AB2" s="40" t="str" cm="1">
        <f t="array" ref="AB2">INDEX(Index_Tab!$G$4:$K$4,MATCH(1,(AB$4&gt;=Index_Tab!$G$5:$K$5)*(AB$4&lt;=Index_Tab!$G$17:$K$17),0))</f>
        <v>FY27E</v>
      </c>
      <c r="AC2" s="40" t="str" cm="1">
        <f t="array" ref="AC2">INDEX(Index_Tab!$G$4:$K$4,MATCH(1,(AC$4&gt;=Index_Tab!$G$5:$K$5)*(AC$4&lt;=Index_Tab!$G$17:$K$17),0))</f>
        <v>FY27E</v>
      </c>
      <c r="AD2" s="40" t="str" cm="1">
        <f t="array" ref="AD2">INDEX(Index_Tab!$G$4:$K$4,MATCH(1,(AD$4&gt;=Index_Tab!$G$5:$K$5)*(AD$4&lt;=Index_Tab!$G$17:$K$17),0))</f>
        <v>FY27E</v>
      </c>
      <c r="AE2" s="40" t="str" cm="1">
        <f t="array" ref="AE2">INDEX(Index_Tab!$G$4:$K$4,MATCH(1,(AE$4&gt;=Index_Tab!$G$5:$K$5)*(AE$4&lt;=Index_Tab!$G$17:$K$17),0))</f>
        <v>FY27E</v>
      </c>
      <c r="AF2" s="40" t="str" cm="1">
        <f t="array" ref="AF2">INDEX(Index_Tab!$G$4:$K$4,MATCH(1,(AF$4&gt;=Index_Tab!$G$5:$K$5)*(AF$4&lt;=Index_Tab!$G$17:$K$17),0))</f>
        <v>FY27E</v>
      </c>
      <c r="AG2" s="40" t="str" cm="1">
        <f t="array" ref="AG2">INDEX(Index_Tab!$G$4:$K$4,MATCH(1,(AG$4&gt;=Index_Tab!$G$5:$K$5)*(AG$4&lt;=Index_Tab!$G$17:$K$17),0))</f>
        <v>FY27E</v>
      </c>
      <c r="AH2" s="40" t="str" cm="1">
        <f t="array" ref="AH2">INDEX(Index_Tab!$G$4:$K$4,MATCH(1,(AH$4&gt;=Index_Tab!$G$5:$K$5)*(AH$4&lt;=Index_Tab!$G$17:$K$17),0))</f>
        <v>FY27E</v>
      </c>
      <c r="AI2" s="40" t="str" cm="1">
        <f t="array" ref="AI2">INDEX(Index_Tab!$G$4:$K$4,MATCH(1,(AI$4&gt;=Index_Tab!$G$5:$K$5)*(AI$4&lt;=Index_Tab!$G$17:$K$17),0))</f>
        <v>FY28E</v>
      </c>
      <c r="AJ2" s="40" t="str" cm="1">
        <f t="array" ref="AJ2">INDEX(Index_Tab!$G$4:$K$4,MATCH(1,(AJ$4&gt;=Index_Tab!$G$5:$K$5)*(AJ$4&lt;=Index_Tab!$G$17:$K$17),0))</f>
        <v>FY28E</v>
      </c>
      <c r="AK2" s="40" t="str" cm="1">
        <f t="array" ref="AK2">INDEX(Index_Tab!$G$4:$K$4,MATCH(1,(AK$4&gt;=Index_Tab!$G$5:$K$5)*(AK$4&lt;=Index_Tab!$G$17:$K$17),0))</f>
        <v>FY28E</v>
      </c>
      <c r="AL2" s="40" t="str" cm="1">
        <f t="array" ref="AL2">INDEX(Index_Tab!$G$4:$K$4,MATCH(1,(AL$4&gt;=Index_Tab!$G$5:$K$5)*(AL$4&lt;=Index_Tab!$G$17:$K$17),0))</f>
        <v>FY28E</v>
      </c>
      <c r="AM2" s="40" t="str" cm="1">
        <f t="array" ref="AM2">INDEX(Index_Tab!$G$4:$K$4,MATCH(1,(AM$4&gt;=Index_Tab!$G$5:$K$5)*(AM$4&lt;=Index_Tab!$G$17:$K$17),0))</f>
        <v>FY28E</v>
      </c>
      <c r="AN2" s="40" t="str" cm="1">
        <f t="array" ref="AN2">INDEX(Index_Tab!$G$4:$K$4,MATCH(1,(AN$4&gt;=Index_Tab!$G$5:$K$5)*(AN$4&lt;=Index_Tab!$G$17:$K$17),0))</f>
        <v>FY28E</v>
      </c>
      <c r="AO2" s="40" t="str" cm="1">
        <f t="array" ref="AO2">INDEX(Index_Tab!$G$4:$K$4,MATCH(1,(AO$4&gt;=Index_Tab!$G$5:$K$5)*(AO$4&lt;=Index_Tab!$G$17:$K$17),0))</f>
        <v>FY28E</v>
      </c>
      <c r="AP2" s="40" t="str" cm="1">
        <f t="array" ref="AP2">INDEX(Index_Tab!$G$4:$K$4,MATCH(1,(AP$4&gt;=Index_Tab!$G$5:$K$5)*(AP$4&lt;=Index_Tab!$G$17:$K$17),0))</f>
        <v>FY28E</v>
      </c>
      <c r="AQ2" s="40" t="str" cm="1">
        <f t="array" ref="AQ2">INDEX(Index_Tab!$G$4:$K$4,MATCH(1,(AQ$4&gt;=Index_Tab!$G$5:$K$5)*(AQ$4&lt;=Index_Tab!$G$17:$K$17),0))</f>
        <v>FY28E</v>
      </c>
      <c r="AR2" s="40" t="str" cm="1">
        <f t="array" ref="AR2">INDEX(Index_Tab!$G$4:$K$4,MATCH(1,(AR$4&gt;=Index_Tab!$G$5:$K$5)*(AR$4&lt;=Index_Tab!$G$17:$K$17),0))</f>
        <v>FY28E</v>
      </c>
      <c r="AS2" s="40" t="str" cm="1">
        <f t="array" ref="AS2">INDEX(Index_Tab!$G$4:$K$4,MATCH(1,(AS$4&gt;=Index_Tab!$G$5:$K$5)*(AS$4&lt;=Index_Tab!$G$17:$K$17),0))</f>
        <v>FY28E</v>
      </c>
      <c r="AT2" s="40" t="str" cm="1">
        <f t="array" ref="AT2">INDEX(Index_Tab!$G$4:$K$4,MATCH(1,(AT$4&gt;=Index_Tab!$G$5:$K$5)*(AT$4&lt;=Index_Tab!$G$17:$K$17),0))</f>
        <v>FY28E</v>
      </c>
      <c r="AU2" s="40" t="str" cm="1">
        <f t="array" ref="AU2">INDEX(Index_Tab!$G$4:$K$4,MATCH(1,(AU$4&gt;=Index_Tab!$G$5:$K$5)*(AU$4&lt;=Index_Tab!$G$17:$K$17),0))</f>
        <v>FY29E</v>
      </c>
      <c r="AV2" s="40" t="str" cm="1">
        <f t="array" ref="AV2">INDEX(Index_Tab!$G$4:$K$4,MATCH(1,(AV$4&gt;=Index_Tab!$G$5:$K$5)*(AV$4&lt;=Index_Tab!$G$17:$K$17),0))</f>
        <v>FY29E</v>
      </c>
      <c r="AW2" s="40" t="str" cm="1">
        <f t="array" ref="AW2">INDEX(Index_Tab!$G$4:$K$4,MATCH(1,(AW$4&gt;=Index_Tab!$G$5:$K$5)*(AW$4&lt;=Index_Tab!$G$17:$K$17),0))</f>
        <v>FY29E</v>
      </c>
      <c r="AX2" s="40" t="str" cm="1">
        <f t="array" ref="AX2">INDEX(Index_Tab!$G$4:$K$4,MATCH(1,(AX$4&gt;=Index_Tab!$G$5:$K$5)*(AX$4&lt;=Index_Tab!$G$17:$K$17),0))</f>
        <v>FY29E</v>
      </c>
      <c r="AY2" s="40" t="str" cm="1">
        <f t="array" ref="AY2">INDEX(Index_Tab!$G$4:$K$4,MATCH(1,(AY$4&gt;=Index_Tab!$G$5:$K$5)*(AY$4&lt;=Index_Tab!$G$17:$K$17),0))</f>
        <v>FY29E</v>
      </c>
      <c r="AZ2" s="40" t="str" cm="1">
        <f t="array" ref="AZ2">INDEX(Index_Tab!$G$4:$K$4,MATCH(1,(AZ$4&gt;=Index_Tab!$G$5:$K$5)*(AZ$4&lt;=Index_Tab!$G$17:$K$17),0))</f>
        <v>FY29E</v>
      </c>
      <c r="BA2" s="40" t="str" cm="1">
        <f t="array" ref="BA2">INDEX(Index_Tab!$G$4:$K$4,MATCH(1,(BA$4&gt;=Index_Tab!$G$5:$K$5)*(BA$4&lt;=Index_Tab!$G$17:$K$17),0))</f>
        <v>FY29E</v>
      </c>
      <c r="BB2" s="40" t="str" cm="1">
        <f t="array" ref="BB2">INDEX(Index_Tab!$G$4:$K$4,MATCH(1,(BB$4&gt;=Index_Tab!$G$5:$K$5)*(BB$4&lt;=Index_Tab!$G$17:$K$17),0))</f>
        <v>FY29E</v>
      </c>
      <c r="BC2" s="40" t="str" cm="1">
        <f t="array" ref="BC2">INDEX(Index_Tab!$G$4:$K$4,MATCH(1,(BC$4&gt;=Index_Tab!$G$5:$K$5)*(BC$4&lt;=Index_Tab!$G$17:$K$17),0))</f>
        <v>FY29E</v>
      </c>
      <c r="BD2" s="40" t="str" cm="1">
        <f t="array" ref="BD2">INDEX(Index_Tab!$G$4:$K$4,MATCH(1,(BD$4&gt;=Index_Tab!$G$5:$K$5)*(BD$4&lt;=Index_Tab!$G$17:$K$17),0))</f>
        <v>FY29E</v>
      </c>
      <c r="BE2" s="40" t="str" cm="1">
        <f t="array" ref="BE2">INDEX(Index_Tab!$G$4:$K$4,MATCH(1,(BE$4&gt;=Index_Tab!$G$5:$K$5)*(BE$4&lt;=Index_Tab!$G$17:$K$17),0))</f>
        <v>FY29E</v>
      </c>
      <c r="BF2" s="40" t="str" cm="1">
        <f t="array" ref="BF2">INDEX(Index_Tab!$G$4:$K$4,MATCH(1,(BF$4&gt;=Index_Tab!$G$5:$K$5)*(BF$4&lt;=Index_Tab!$G$17:$K$17),0))</f>
        <v>FY29E</v>
      </c>
      <c r="BG2" s="40" t="str" cm="1">
        <f t="array" ref="BG2">INDEX(Index_Tab!$G$4:$K$4,MATCH(1,(BG$4&gt;=Index_Tab!$G$5:$K$5)*(BG$4&lt;=Index_Tab!$G$17:$K$17),0))</f>
        <v>FY30E</v>
      </c>
      <c r="BH2" s="40" t="str" cm="1">
        <f t="array" ref="BH2">INDEX(Index_Tab!$G$4:$K$4,MATCH(1,(BH$4&gt;=Index_Tab!$G$5:$K$5)*(BH$4&lt;=Index_Tab!$G$17:$K$17),0))</f>
        <v>FY30E</v>
      </c>
      <c r="BI2" s="40" t="str" cm="1">
        <f t="array" ref="BI2">INDEX(Index_Tab!$G$4:$K$4,MATCH(1,(BI$4&gt;=Index_Tab!$G$5:$K$5)*(BI$4&lt;=Index_Tab!$G$17:$K$17),0))</f>
        <v>FY30E</v>
      </c>
      <c r="BJ2" s="40" t="str" cm="1">
        <f t="array" ref="BJ2">INDEX(Index_Tab!$G$4:$K$4,MATCH(1,(BJ$4&gt;=Index_Tab!$G$5:$K$5)*(BJ$4&lt;=Index_Tab!$G$17:$K$17),0))</f>
        <v>FY30E</v>
      </c>
      <c r="BK2" s="40" t="str" cm="1">
        <f t="array" ref="BK2">INDEX(Index_Tab!$G$4:$K$4,MATCH(1,(BK$4&gt;=Index_Tab!$G$5:$K$5)*(BK$4&lt;=Index_Tab!$G$17:$K$17),0))</f>
        <v>FY30E</v>
      </c>
      <c r="BL2" s="40" t="str" cm="1">
        <f t="array" ref="BL2">INDEX(Index_Tab!$G$4:$K$4,MATCH(1,(BL$4&gt;=Index_Tab!$G$5:$K$5)*(BL$4&lt;=Index_Tab!$G$17:$K$17),0))</f>
        <v>FY30E</v>
      </c>
      <c r="BM2" s="40" t="str" cm="1">
        <f t="array" ref="BM2">INDEX(Index_Tab!$G$4:$K$4,MATCH(1,(BM$4&gt;=Index_Tab!$G$5:$K$5)*(BM$4&lt;=Index_Tab!$G$17:$K$17),0))</f>
        <v>FY30E</v>
      </c>
      <c r="BN2" s="40" t="str" cm="1">
        <f t="array" ref="BN2">INDEX(Index_Tab!$G$4:$K$4,MATCH(1,(BN$4&gt;=Index_Tab!$G$5:$K$5)*(BN$4&lt;=Index_Tab!$G$17:$K$17),0))</f>
        <v>FY30E</v>
      </c>
      <c r="BO2" s="40" t="str" cm="1">
        <f t="array" ref="BO2">INDEX(Index_Tab!$G$4:$K$4,MATCH(1,(BO$4&gt;=Index_Tab!$G$5:$K$5)*(BO$4&lt;=Index_Tab!$G$17:$K$17),0))</f>
        <v>FY30E</v>
      </c>
      <c r="BP2" s="40" t="str" cm="1">
        <f t="array" ref="BP2">INDEX(Index_Tab!$G$4:$K$4,MATCH(1,(BP$4&gt;=Index_Tab!$G$5:$K$5)*(BP$4&lt;=Index_Tab!$G$17:$K$17),0))</f>
        <v>FY30E</v>
      </c>
      <c r="BQ2" s="40" t="str" cm="1">
        <f t="array" ref="BQ2">INDEX(Index_Tab!$G$4:$K$4,MATCH(1,(BQ$4&gt;=Index_Tab!$G$5:$K$5)*(BQ$4&lt;=Index_Tab!$G$17:$K$17),0))</f>
        <v>FY30E</v>
      </c>
      <c r="BR2" s="40" t="str" cm="1">
        <f t="array" ref="BR2">INDEX(Index_Tab!$G$4:$K$4,MATCH(1,(BR$4&gt;=Index_Tab!$G$5:$K$5)*(BR$4&lt;=Index_Tab!$G$17:$K$17),0))</f>
        <v>FY30E</v>
      </c>
      <c r="BS2" s="40" t="str" cm="1">
        <f t="array" ref="BS2">INDEX(Index_Tab!$G$4:$K$4,MATCH(1,(BS$4&gt;=Index_Tab!$G$5:$K$5)*(BS$4&lt;=Index_Tab!$G$17:$K$17),0))</f>
        <v>FY31E</v>
      </c>
      <c r="BT2" s="40" t="str" cm="1">
        <f t="array" ref="BT2">INDEX(Index_Tab!$G$4:$K$4,MATCH(1,(BT$4&gt;=Index_Tab!$G$5:$K$5)*(BT$4&lt;=Index_Tab!$G$17:$K$17),0))</f>
        <v>FY31E</v>
      </c>
      <c r="BU2" s="40" t="str" cm="1">
        <f t="array" ref="BU2">INDEX(Index_Tab!$G$4:$K$4,MATCH(1,(BU$4&gt;=Index_Tab!$G$5:$K$5)*(BU$4&lt;=Index_Tab!$G$17:$K$17),0))</f>
        <v>FY31E</v>
      </c>
      <c r="BV2" s="40" t="str" cm="1">
        <f t="array" ref="BV2">INDEX(Index_Tab!$G$4:$K$4,MATCH(1,(BV$4&gt;=Index_Tab!$G$5:$K$5)*(BV$4&lt;=Index_Tab!$G$17:$K$17),0))</f>
        <v>FY31E</v>
      </c>
      <c r="BW2" s="40" t="str" cm="1">
        <f t="array" ref="BW2">INDEX(Index_Tab!$G$4:$K$4,MATCH(1,(BW$4&gt;=Index_Tab!$G$5:$K$5)*(BW$4&lt;=Index_Tab!$G$17:$K$17),0))</f>
        <v>FY31E</v>
      </c>
      <c r="BX2" s="40" t="str" cm="1">
        <f t="array" ref="BX2">INDEX(Index_Tab!$G$4:$K$4,MATCH(1,(BX$4&gt;=Index_Tab!$G$5:$K$5)*(BX$4&lt;=Index_Tab!$G$17:$K$17),0))</f>
        <v>FY31E</v>
      </c>
      <c r="BY2" s="40" t="str" cm="1">
        <f t="array" ref="BY2">INDEX(Index_Tab!$G$4:$K$4,MATCH(1,(BY$4&gt;=Index_Tab!$G$5:$K$5)*(BY$4&lt;=Index_Tab!$G$17:$K$17),0))</f>
        <v>FY31E</v>
      </c>
      <c r="BZ2" s="40" t="str" cm="1">
        <f t="array" ref="BZ2">INDEX(Index_Tab!$G$4:$K$4,MATCH(1,(BZ$4&gt;=Index_Tab!$G$5:$K$5)*(BZ$4&lt;=Index_Tab!$G$17:$K$17),0))</f>
        <v>FY31E</v>
      </c>
      <c r="CA2" s="40" t="str" cm="1">
        <f t="array" ref="CA2">INDEX(Index_Tab!$G$4:$K$4,MATCH(1,(CA$4&gt;=Index_Tab!$G$5:$K$5)*(CA$4&lt;=Index_Tab!$G$17:$K$17),0))</f>
        <v>FY31E</v>
      </c>
      <c r="CB2" s="40" t="str" cm="1">
        <f t="array" ref="CB2">INDEX(Index_Tab!$G$4:$K$4,MATCH(1,(CB$4&gt;=Index_Tab!$G$5:$K$5)*(CB$4&lt;=Index_Tab!$G$17:$K$17),0))</f>
        <v>FY31E</v>
      </c>
      <c r="CC2" s="40" t="str" cm="1">
        <f t="array" ref="CC2">INDEX(Index_Tab!$G$4:$K$4,MATCH(1,(CC$4&gt;=Index_Tab!$G$5:$K$5)*(CC$4&lt;=Index_Tab!$G$17:$K$17),0))</f>
        <v>FY31E</v>
      </c>
      <c r="CD2" s="40" t="str" cm="1">
        <f t="array" ref="CD2">INDEX(Index_Tab!$G$4:$K$4,MATCH(1,(CD$4&gt;=Index_Tab!$G$5:$K$5)*(CD$4&lt;=Index_Tab!$G$17:$K$17),0))</f>
        <v>FY31E</v>
      </c>
    </row>
    <row r="3" spans="1:85" ht="12.75" customHeight="1" x14ac:dyDescent="0.3">
      <c r="C3" s="87"/>
      <c r="E3" s="20"/>
      <c r="F3" s="20"/>
      <c r="G3" s="20"/>
      <c r="H3" s="41"/>
      <c r="I3" s="21" t="s">
        <v>374</v>
      </c>
      <c r="J3" s="21" t="s">
        <v>375</v>
      </c>
      <c r="K3" s="21" t="s">
        <v>376</v>
      </c>
      <c r="L3" s="21" t="s">
        <v>377</v>
      </c>
      <c r="M3" s="41"/>
      <c r="N3" s="21" t="str">
        <f>'Detailed Assumptions'!$E$17</f>
        <v>FY26E</v>
      </c>
      <c r="O3" s="21" t="str">
        <f>'Detailed Assumptions'!$F$17</f>
        <v>FY27E</v>
      </c>
      <c r="P3" s="21" t="str">
        <f>'Detailed Assumptions'!$G$17</f>
        <v>FY28E</v>
      </c>
      <c r="Q3" s="21" t="str">
        <f>'Detailed Assumptions'!$H$17</f>
        <v>FY29E</v>
      </c>
      <c r="R3" s="21" t="str">
        <f>'Detailed Assumptions'!$I$17</f>
        <v>FY30E</v>
      </c>
      <c r="S3" s="21" t="str">
        <f>'Detailed Assumptions'!$J$17</f>
        <v>FY31E</v>
      </c>
      <c r="T3" s="42"/>
      <c r="U3" s="36" t="str">
        <f>N3&amp;"-"&amp;S3</f>
        <v>FY26E-FY31E</v>
      </c>
      <c r="V3" s="41"/>
      <c r="W3" s="43">
        <f>'Detailed Assumptions'!$E$12</f>
        <v>46296</v>
      </c>
      <c r="X3" s="43">
        <f>W4+1</f>
        <v>46327</v>
      </c>
      <c r="Y3" s="43">
        <f t="shared" ref="Y3:AS3" si="0">X4+1</f>
        <v>46357</v>
      </c>
      <c r="Z3" s="43">
        <f t="shared" si="0"/>
        <v>46388</v>
      </c>
      <c r="AA3" s="43">
        <f t="shared" si="0"/>
        <v>46419</v>
      </c>
      <c r="AB3" s="43">
        <f>AA4+1</f>
        <v>46447</v>
      </c>
      <c r="AC3" s="43">
        <f t="shared" si="0"/>
        <v>46478</v>
      </c>
      <c r="AD3" s="43">
        <f t="shared" si="0"/>
        <v>46508</v>
      </c>
      <c r="AE3" s="43">
        <f t="shared" si="0"/>
        <v>46539</v>
      </c>
      <c r="AF3" s="43">
        <f t="shared" si="0"/>
        <v>46569</v>
      </c>
      <c r="AG3" s="43">
        <f t="shared" si="0"/>
        <v>46600</v>
      </c>
      <c r="AH3" s="43">
        <f>AG4+1</f>
        <v>46631</v>
      </c>
      <c r="AI3" s="43">
        <f>AH4+1</f>
        <v>46661</v>
      </c>
      <c r="AJ3" s="43">
        <f>AI4+1</f>
        <v>46692</v>
      </c>
      <c r="AK3" s="43">
        <f t="shared" si="0"/>
        <v>46722</v>
      </c>
      <c r="AL3" s="43">
        <f t="shared" si="0"/>
        <v>46753</v>
      </c>
      <c r="AM3" s="43">
        <f t="shared" si="0"/>
        <v>46784</v>
      </c>
      <c r="AN3" s="43">
        <f>AM4+1</f>
        <v>46813</v>
      </c>
      <c r="AO3" s="43">
        <f t="shared" si="0"/>
        <v>46844</v>
      </c>
      <c r="AP3" s="43">
        <f t="shared" si="0"/>
        <v>46874</v>
      </c>
      <c r="AQ3" s="43">
        <f t="shared" si="0"/>
        <v>46905</v>
      </c>
      <c r="AR3" s="43">
        <f t="shared" si="0"/>
        <v>46935</v>
      </c>
      <c r="AS3" s="43">
        <f t="shared" si="0"/>
        <v>46966</v>
      </c>
      <c r="AT3" s="43">
        <f>AS4+1</f>
        <v>46997</v>
      </c>
      <c r="AU3" s="43">
        <f>AT4+1</f>
        <v>47027</v>
      </c>
      <c r="AV3" s="43">
        <f>AU4+1</f>
        <v>47058</v>
      </c>
      <c r="AW3" s="43">
        <f t="shared" ref="AW3:BE3" si="1">AV4+1</f>
        <v>47088</v>
      </c>
      <c r="AX3" s="43">
        <f t="shared" si="1"/>
        <v>47119</v>
      </c>
      <c r="AY3" s="43">
        <f t="shared" si="1"/>
        <v>47150</v>
      </c>
      <c r="AZ3" s="43">
        <f>AY4+1</f>
        <v>47178</v>
      </c>
      <c r="BA3" s="43">
        <f t="shared" si="1"/>
        <v>47209</v>
      </c>
      <c r="BB3" s="43">
        <f t="shared" si="1"/>
        <v>47239</v>
      </c>
      <c r="BC3" s="43">
        <f t="shared" si="1"/>
        <v>47270</v>
      </c>
      <c r="BD3" s="43">
        <f t="shared" si="1"/>
        <v>47300</v>
      </c>
      <c r="BE3" s="43">
        <f t="shared" si="1"/>
        <v>47331</v>
      </c>
      <c r="BF3" s="43">
        <f>BE4+1</f>
        <v>47362</v>
      </c>
      <c r="BG3" s="43">
        <f>BF4+1</f>
        <v>47392</v>
      </c>
      <c r="BH3" s="43">
        <f>BG4+1</f>
        <v>47423</v>
      </c>
      <c r="BI3" s="43">
        <f t="shared" ref="BI3:BQ3" si="2">BH4+1</f>
        <v>47453</v>
      </c>
      <c r="BJ3" s="43">
        <f t="shared" si="2"/>
        <v>47484</v>
      </c>
      <c r="BK3" s="43">
        <f t="shared" si="2"/>
        <v>47515</v>
      </c>
      <c r="BL3" s="43">
        <f>BK4+1</f>
        <v>47543</v>
      </c>
      <c r="BM3" s="43">
        <f t="shared" si="2"/>
        <v>47574</v>
      </c>
      <c r="BN3" s="43">
        <f t="shared" si="2"/>
        <v>47604</v>
      </c>
      <c r="BO3" s="43">
        <f t="shared" si="2"/>
        <v>47635</v>
      </c>
      <c r="BP3" s="43">
        <f t="shared" si="2"/>
        <v>47665</v>
      </c>
      <c r="BQ3" s="43">
        <f t="shared" si="2"/>
        <v>47696</v>
      </c>
      <c r="BR3" s="43">
        <f>BQ4+1</f>
        <v>47727</v>
      </c>
      <c r="BS3" s="43">
        <f>BR4+1</f>
        <v>47757</v>
      </c>
      <c r="BT3" s="43">
        <f>BS4+1</f>
        <v>47788</v>
      </c>
      <c r="BU3" s="43">
        <f t="shared" ref="BU3:CC3" si="3">BT4+1</f>
        <v>47818</v>
      </c>
      <c r="BV3" s="43">
        <f t="shared" si="3"/>
        <v>47849</v>
      </c>
      <c r="BW3" s="43">
        <f t="shared" si="3"/>
        <v>47880</v>
      </c>
      <c r="BX3" s="43">
        <f>BW4+1</f>
        <v>47908</v>
      </c>
      <c r="BY3" s="43">
        <f t="shared" si="3"/>
        <v>47939</v>
      </c>
      <c r="BZ3" s="43">
        <f t="shared" si="3"/>
        <v>47969</v>
      </c>
      <c r="CA3" s="43">
        <f t="shared" si="3"/>
        <v>48000</v>
      </c>
      <c r="CB3" s="43">
        <f t="shared" si="3"/>
        <v>48030</v>
      </c>
      <c r="CC3" s="43">
        <f t="shared" si="3"/>
        <v>48061</v>
      </c>
      <c r="CD3" s="43">
        <f>CC4+1</f>
        <v>48092</v>
      </c>
      <c r="CG3" s="41"/>
    </row>
    <row r="4" spans="1:85" ht="12.75" customHeight="1" x14ac:dyDescent="0.3">
      <c r="B4" s="1"/>
      <c r="C4" s="1"/>
      <c r="E4" s="20"/>
      <c r="F4" s="20"/>
      <c r="G4" s="20"/>
      <c r="H4" s="41"/>
      <c r="I4" s="44">
        <v>45199</v>
      </c>
      <c r="J4" s="44">
        <f>EDATE(I4,12)</f>
        <v>45565</v>
      </c>
      <c r="K4" s="44">
        <f>EDATE(J4,12)</f>
        <v>45930</v>
      </c>
      <c r="L4" s="44">
        <v>46040</v>
      </c>
      <c r="M4" s="41"/>
      <c r="N4" s="44">
        <f>'Detailed Assumptions'!$E$12-1</f>
        <v>46295</v>
      </c>
      <c r="O4" s="44">
        <f>EOMONTH(N4,12)</f>
        <v>46660</v>
      </c>
      <c r="P4" s="44">
        <f>EOMONTH(O4,12)</f>
        <v>47026</v>
      </c>
      <c r="Q4" s="44">
        <f>EOMONTH(P4,12)</f>
        <v>47391</v>
      </c>
      <c r="R4" s="44">
        <f>EOMONTH(Q4,12)</f>
        <v>47756</v>
      </c>
      <c r="S4" s="44">
        <f>EOMONTH(R4,12)</f>
        <v>48121</v>
      </c>
      <c r="T4" s="45"/>
      <c r="U4" s="46" t="s">
        <v>180</v>
      </c>
      <c r="V4" s="41"/>
      <c r="W4" s="44">
        <f>EOMONTH(W3,0)</f>
        <v>46326</v>
      </c>
      <c r="X4" s="44">
        <f>EOMONTH(X3,0)</f>
        <v>46356</v>
      </c>
      <c r="Y4" s="44">
        <f t="shared" ref="Y4:CD4" si="4">EOMONTH(Y3,0)</f>
        <v>46387</v>
      </c>
      <c r="Z4" s="44">
        <f t="shared" si="4"/>
        <v>46418</v>
      </c>
      <c r="AA4" s="44">
        <f t="shared" si="4"/>
        <v>46446</v>
      </c>
      <c r="AB4" s="44">
        <f>EOMONTH(AB3,0)</f>
        <v>46477</v>
      </c>
      <c r="AC4" s="44">
        <f t="shared" si="4"/>
        <v>46507</v>
      </c>
      <c r="AD4" s="44">
        <f t="shared" si="4"/>
        <v>46538</v>
      </c>
      <c r="AE4" s="44">
        <f t="shared" si="4"/>
        <v>46568</v>
      </c>
      <c r="AF4" s="44">
        <f t="shared" si="4"/>
        <v>46599</v>
      </c>
      <c r="AG4" s="44">
        <f t="shared" si="4"/>
        <v>46630</v>
      </c>
      <c r="AH4" s="44">
        <f t="shared" si="4"/>
        <v>46660</v>
      </c>
      <c r="AI4" s="44">
        <f t="shared" si="4"/>
        <v>46691</v>
      </c>
      <c r="AJ4" s="44">
        <f t="shared" si="4"/>
        <v>46721</v>
      </c>
      <c r="AK4" s="44">
        <f t="shared" si="4"/>
        <v>46752</v>
      </c>
      <c r="AL4" s="44">
        <f t="shared" si="4"/>
        <v>46783</v>
      </c>
      <c r="AM4" s="44">
        <f t="shared" si="4"/>
        <v>46812</v>
      </c>
      <c r="AN4" s="44">
        <f t="shared" si="4"/>
        <v>46843</v>
      </c>
      <c r="AO4" s="44">
        <f t="shared" si="4"/>
        <v>46873</v>
      </c>
      <c r="AP4" s="44">
        <f t="shared" si="4"/>
        <v>46904</v>
      </c>
      <c r="AQ4" s="44">
        <f t="shared" si="4"/>
        <v>46934</v>
      </c>
      <c r="AR4" s="44">
        <f t="shared" si="4"/>
        <v>46965</v>
      </c>
      <c r="AS4" s="44">
        <f t="shared" si="4"/>
        <v>46996</v>
      </c>
      <c r="AT4" s="44">
        <f t="shared" si="4"/>
        <v>47026</v>
      </c>
      <c r="AU4" s="44">
        <f t="shared" si="4"/>
        <v>47057</v>
      </c>
      <c r="AV4" s="44">
        <f t="shared" si="4"/>
        <v>47087</v>
      </c>
      <c r="AW4" s="44">
        <f t="shared" si="4"/>
        <v>47118</v>
      </c>
      <c r="AX4" s="44">
        <f t="shared" si="4"/>
        <v>47149</v>
      </c>
      <c r="AY4" s="44">
        <f t="shared" si="4"/>
        <v>47177</v>
      </c>
      <c r="AZ4" s="44">
        <f t="shared" si="4"/>
        <v>47208</v>
      </c>
      <c r="BA4" s="44">
        <f t="shared" si="4"/>
        <v>47238</v>
      </c>
      <c r="BB4" s="44">
        <f t="shared" si="4"/>
        <v>47269</v>
      </c>
      <c r="BC4" s="44">
        <f t="shared" si="4"/>
        <v>47299</v>
      </c>
      <c r="BD4" s="44">
        <f t="shared" si="4"/>
        <v>47330</v>
      </c>
      <c r="BE4" s="44">
        <f t="shared" si="4"/>
        <v>47361</v>
      </c>
      <c r="BF4" s="44">
        <f t="shared" si="4"/>
        <v>47391</v>
      </c>
      <c r="BG4" s="44">
        <f t="shared" si="4"/>
        <v>47422</v>
      </c>
      <c r="BH4" s="44">
        <f t="shared" si="4"/>
        <v>47452</v>
      </c>
      <c r="BI4" s="44">
        <f t="shared" si="4"/>
        <v>47483</v>
      </c>
      <c r="BJ4" s="44">
        <f t="shared" si="4"/>
        <v>47514</v>
      </c>
      <c r="BK4" s="44">
        <f t="shared" si="4"/>
        <v>47542</v>
      </c>
      <c r="BL4" s="44">
        <f t="shared" si="4"/>
        <v>47573</v>
      </c>
      <c r="BM4" s="44">
        <f t="shared" si="4"/>
        <v>47603</v>
      </c>
      <c r="BN4" s="44">
        <f t="shared" si="4"/>
        <v>47634</v>
      </c>
      <c r="BO4" s="44">
        <f t="shared" si="4"/>
        <v>47664</v>
      </c>
      <c r="BP4" s="44">
        <f t="shared" si="4"/>
        <v>47695</v>
      </c>
      <c r="BQ4" s="44">
        <f t="shared" si="4"/>
        <v>47726</v>
      </c>
      <c r="BR4" s="44">
        <f t="shared" si="4"/>
        <v>47756</v>
      </c>
      <c r="BS4" s="44">
        <f t="shared" si="4"/>
        <v>47787</v>
      </c>
      <c r="BT4" s="44">
        <f t="shared" si="4"/>
        <v>47817</v>
      </c>
      <c r="BU4" s="44">
        <f t="shared" si="4"/>
        <v>47848</v>
      </c>
      <c r="BV4" s="44">
        <f t="shared" si="4"/>
        <v>47879</v>
      </c>
      <c r="BW4" s="44">
        <f t="shared" si="4"/>
        <v>47907</v>
      </c>
      <c r="BX4" s="44">
        <f t="shared" si="4"/>
        <v>47938</v>
      </c>
      <c r="BY4" s="44">
        <f t="shared" si="4"/>
        <v>47968</v>
      </c>
      <c r="BZ4" s="44">
        <f t="shared" si="4"/>
        <v>47999</v>
      </c>
      <c r="CA4" s="44">
        <f t="shared" si="4"/>
        <v>48029</v>
      </c>
      <c r="CB4" s="44">
        <f t="shared" si="4"/>
        <v>48060</v>
      </c>
      <c r="CC4" s="44">
        <f t="shared" si="4"/>
        <v>48091</v>
      </c>
      <c r="CD4" s="44">
        <f t="shared" si="4"/>
        <v>48121</v>
      </c>
      <c r="CG4" s="41"/>
    </row>
    <row r="5" spans="1:85" ht="5.0999999999999996" customHeight="1" x14ac:dyDescent="0.3">
      <c r="B5" s="1"/>
      <c r="C5" s="7"/>
      <c r="E5" s="2"/>
      <c r="F5" s="2"/>
      <c r="G5" s="2"/>
      <c r="H5" s="41"/>
      <c r="I5" s="41"/>
      <c r="J5" s="41"/>
      <c r="K5" s="41"/>
      <c r="L5" s="41"/>
      <c r="M5" s="41"/>
      <c r="U5" s="27"/>
      <c r="V5" s="41"/>
      <c r="W5" s="2"/>
      <c r="X5" s="2"/>
      <c r="Y5" s="2"/>
      <c r="Z5" s="2"/>
      <c r="AA5" s="2"/>
      <c r="AB5" s="2"/>
      <c r="AC5" s="2"/>
      <c r="AD5" s="2"/>
      <c r="AE5" s="2"/>
      <c r="AF5" s="2"/>
      <c r="AG5" s="2"/>
      <c r="AH5" s="2"/>
      <c r="AI5" s="2"/>
      <c r="AJ5" s="2"/>
      <c r="AK5" s="2"/>
      <c r="AL5" s="2"/>
      <c r="AM5" s="2"/>
      <c r="AN5" s="2"/>
      <c r="AO5" s="2"/>
      <c r="AP5" s="2"/>
      <c r="AQ5" s="2"/>
      <c r="AR5" s="2"/>
      <c r="AS5" s="2"/>
      <c r="AT5" s="2"/>
      <c r="AU5" s="2"/>
      <c r="AV5" s="2"/>
      <c r="AW5" s="2"/>
      <c r="AX5" s="2"/>
      <c r="AY5" s="2"/>
      <c r="AZ5" s="2"/>
      <c r="BA5" s="2"/>
      <c r="BB5" s="2"/>
      <c r="BC5" s="2"/>
      <c r="BD5" s="2"/>
      <c r="BE5" s="2"/>
      <c r="BF5" s="2"/>
      <c r="BG5" s="2"/>
      <c r="BH5" s="2"/>
      <c r="BI5" s="2"/>
      <c r="BJ5" s="2"/>
      <c r="BK5" s="2"/>
      <c r="BL5" s="2"/>
      <c r="BM5" s="2"/>
      <c r="BN5" s="2"/>
      <c r="BO5" s="2"/>
      <c r="BP5" s="2"/>
      <c r="BQ5" s="2"/>
      <c r="BR5" s="2"/>
      <c r="BS5" s="2"/>
      <c r="BT5" s="2"/>
      <c r="BU5" s="2"/>
      <c r="BV5" s="2"/>
      <c r="BW5" s="2"/>
      <c r="BX5" s="2"/>
      <c r="BY5" s="2"/>
      <c r="BZ5" s="2"/>
      <c r="CA5" s="2"/>
      <c r="CB5" s="2"/>
      <c r="CC5" s="2"/>
      <c r="CD5" s="2"/>
      <c r="CG5" s="41"/>
    </row>
    <row r="6" spans="1:85" ht="12.75" customHeight="1" x14ac:dyDescent="0.3">
      <c r="B6" s="1"/>
      <c r="C6" s="7"/>
      <c r="E6" s="2"/>
      <c r="F6" s="2"/>
      <c r="G6" s="2"/>
      <c r="H6" s="41"/>
      <c r="I6" s="41"/>
      <c r="J6" s="41"/>
      <c r="K6" s="41"/>
      <c r="L6" s="41"/>
      <c r="M6" s="41"/>
      <c r="U6" s="27"/>
      <c r="V6" s="41"/>
      <c r="W6" s="2"/>
      <c r="X6" s="2"/>
      <c r="Y6" s="2"/>
      <c r="Z6" s="2"/>
      <c r="AA6" s="2"/>
      <c r="AB6" s="2"/>
      <c r="AC6" s="2"/>
      <c r="AD6" s="2"/>
      <c r="AE6" s="2"/>
      <c r="AF6" s="2"/>
      <c r="AG6" s="2"/>
      <c r="AH6" s="2"/>
      <c r="AI6" s="2"/>
      <c r="AJ6" s="2"/>
      <c r="AK6" s="2"/>
      <c r="AL6" s="2"/>
      <c r="AM6" s="2"/>
      <c r="AN6" s="2"/>
      <c r="AO6" s="2"/>
      <c r="AP6" s="2"/>
      <c r="AQ6" s="2"/>
      <c r="AR6" s="2"/>
      <c r="AS6" s="2"/>
      <c r="AT6" s="2"/>
      <c r="AU6" s="2"/>
      <c r="AV6" s="2"/>
      <c r="AW6" s="2"/>
      <c r="AX6" s="2"/>
      <c r="AY6" s="2"/>
      <c r="AZ6" s="2"/>
      <c r="BA6" s="2"/>
      <c r="BB6" s="2"/>
      <c r="BC6" s="2"/>
      <c r="BD6" s="2"/>
      <c r="BE6" s="2"/>
      <c r="BF6" s="2"/>
      <c r="BG6" s="2"/>
      <c r="BH6" s="2"/>
      <c r="BI6" s="2"/>
      <c r="BJ6" s="2"/>
      <c r="BK6" s="2"/>
      <c r="BL6" s="2"/>
      <c r="BM6" s="2"/>
      <c r="BN6" s="2"/>
      <c r="BO6" s="2"/>
      <c r="BP6" s="2"/>
      <c r="BQ6" s="2"/>
      <c r="BR6" s="2"/>
      <c r="BS6" s="2"/>
      <c r="BT6" s="2"/>
      <c r="BU6" s="2"/>
      <c r="BV6" s="2"/>
      <c r="BW6" s="2"/>
      <c r="BX6" s="2"/>
      <c r="BY6" s="2"/>
      <c r="BZ6" s="2"/>
      <c r="CA6" s="2"/>
      <c r="CB6" s="2"/>
      <c r="CC6" s="2"/>
      <c r="CD6" s="2"/>
      <c r="CG6" s="41"/>
    </row>
    <row r="7" spans="1:85" ht="12.75" customHeight="1" x14ac:dyDescent="0.3">
      <c r="A7" s="7"/>
      <c r="B7" s="1"/>
      <c r="C7" s="48" t="s">
        <v>37</v>
      </c>
      <c r="D7" s="88"/>
      <c r="E7" s="49" t="s">
        <v>120</v>
      </c>
      <c r="F7" s="49"/>
      <c r="G7" s="49"/>
      <c r="H7" s="49"/>
      <c r="I7" s="49"/>
      <c r="J7" s="49"/>
      <c r="K7" s="49"/>
      <c r="L7" s="49"/>
      <c r="M7" s="49"/>
      <c r="N7" s="49"/>
      <c r="O7" s="49"/>
      <c r="P7" s="49"/>
      <c r="Q7" s="49"/>
      <c r="R7" s="49"/>
      <c r="S7" s="49"/>
      <c r="T7" s="49"/>
      <c r="U7" s="48"/>
      <c r="V7" s="49"/>
      <c r="W7" s="49"/>
      <c r="X7" s="49"/>
      <c r="Y7" s="49"/>
      <c r="Z7" s="49"/>
      <c r="AA7" s="49"/>
      <c r="AB7" s="49"/>
      <c r="AC7" s="49"/>
      <c r="AD7" s="49"/>
      <c r="AE7" s="49"/>
      <c r="AF7" s="49"/>
      <c r="AG7" s="49"/>
      <c r="AH7" s="49"/>
      <c r="AI7" s="49"/>
      <c r="AJ7" s="49"/>
      <c r="AK7" s="49"/>
      <c r="AL7" s="49"/>
      <c r="AM7" s="49"/>
      <c r="AN7" s="49"/>
      <c r="AO7" s="49"/>
      <c r="AP7" s="49"/>
      <c r="AQ7" s="49"/>
      <c r="AR7" s="49"/>
      <c r="AS7" s="49"/>
      <c r="AT7" s="49"/>
      <c r="AU7" s="49"/>
      <c r="AV7" s="49"/>
      <c r="AW7" s="49"/>
      <c r="AX7" s="49"/>
      <c r="AY7" s="49"/>
      <c r="AZ7" s="49"/>
      <c r="BA7" s="49"/>
      <c r="BB7" s="49"/>
      <c r="BC7" s="49"/>
      <c r="BD7" s="49"/>
      <c r="BE7" s="49"/>
      <c r="BF7" s="49"/>
      <c r="BG7" s="49"/>
      <c r="BH7" s="49"/>
      <c r="BI7" s="49"/>
      <c r="BJ7" s="49"/>
      <c r="BK7" s="49"/>
      <c r="BL7" s="49"/>
      <c r="BM7" s="49"/>
      <c r="BN7" s="49"/>
      <c r="BO7" s="49"/>
      <c r="BP7" s="49"/>
      <c r="BQ7" s="49"/>
      <c r="BR7" s="49"/>
      <c r="BS7" s="49"/>
      <c r="BT7" s="49"/>
      <c r="BU7" s="49"/>
      <c r="BV7" s="49"/>
      <c r="BW7" s="49"/>
      <c r="BX7" s="49"/>
      <c r="BY7" s="49"/>
      <c r="BZ7" s="49"/>
      <c r="CA7" s="49"/>
      <c r="CB7" s="49"/>
      <c r="CC7" s="49"/>
      <c r="CD7" s="49"/>
    </row>
    <row r="8" spans="1:85" x14ac:dyDescent="0.3">
      <c r="A8" s="7"/>
      <c r="B8" s="1"/>
      <c r="C8" s="2"/>
      <c r="D8" s="2"/>
      <c r="E8" s="2"/>
      <c r="F8" s="2"/>
      <c r="G8" s="2"/>
      <c r="H8" s="2"/>
      <c r="I8" s="2"/>
      <c r="J8" s="2"/>
      <c r="K8" s="2"/>
      <c r="L8" s="2"/>
      <c r="M8" s="2"/>
      <c r="N8" s="37"/>
      <c r="O8" s="37"/>
      <c r="P8" s="37"/>
      <c r="Q8" s="37"/>
      <c r="R8" s="37"/>
      <c r="S8" s="37"/>
      <c r="T8" s="37"/>
      <c r="U8" s="35"/>
      <c r="W8" s="37"/>
      <c r="X8" s="2"/>
      <c r="Y8" s="2"/>
      <c r="Z8" s="2"/>
      <c r="AA8" s="2"/>
      <c r="AB8" s="2"/>
      <c r="AC8" s="2"/>
      <c r="AD8" s="2"/>
      <c r="AE8" s="2"/>
      <c r="AF8" s="2"/>
      <c r="AG8" s="2"/>
      <c r="AH8" s="2"/>
      <c r="AI8" s="2"/>
      <c r="AJ8" s="2"/>
      <c r="AK8" s="2"/>
      <c r="AL8" s="2"/>
      <c r="AM8" s="2"/>
      <c r="AN8" s="2"/>
      <c r="AO8" s="2"/>
      <c r="AP8" s="2"/>
      <c r="AQ8" s="2"/>
      <c r="AR8" s="2"/>
      <c r="AS8" s="2"/>
      <c r="AT8" s="2"/>
      <c r="AU8" s="2"/>
      <c r="AV8" s="2"/>
      <c r="AW8" s="2"/>
      <c r="AX8" s="2"/>
      <c r="AY8" s="2"/>
      <c r="AZ8" s="2"/>
      <c r="BA8" s="2"/>
      <c r="BB8" s="2"/>
      <c r="BC8" s="2"/>
      <c r="BD8" s="2"/>
      <c r="BE8" s="2"/>
      <c r="BF8" s="2"/>
      <c r="BG8" s="2"/>
      <c r="BH8" s="2"/>
      <c r="BI8" s="2"/>
      <c r="BJ8" s="2"/>
      <c r="BK8" s="2"/>
      <c r="BL8" s="2"/>
      <c r="BM8" s="2"/>
      <c r="BN8" s="2"/>
      <c r="BO8" s="2"/>
      <c r="BP8" s="2"/>
      <c r="BQ8" s="2"/>
      <c r="BR8" s="2"/>
      <c r="BS8" s="2"/>
      <c r="BT8" s="2"/>
      <c r="BU8" s="2"/>
      <c r="BV8" s="2"/>
      <c r="BW8" s="2"/>
      <c r="BX8" s="2"/>
      <c r="BY8" s="2"/>
      <c r="BZ8" s="2"/>
      <c r="CA8" s="2"/>
      <c r="CB8" s="2"/>
      <c r="CC8" s="2"/>
      <c r="CD8" s="2"/>
    </row>
    <row r="9" spans="1:85" x14ac:dyDescent="0.3">
      <c r="A9" s="7"/>
      <c r="B9" s="1"/>
      <c r="C9" s="2"/>
      <c r="D9" s="2"/>
      <c r="E9" s="2" t="s">
        <v>174</v>
      </c>
      <c r="F9" s="2"/>
      <c r="G9" s="2"/>
      <c r="H9" s="2"/>
      <c r="I9" s="497">
        <f>$N$9</f>
        <v>308</v>
      </c>
      <c r="J9" s="497">
        <f>$N$9</f>
        <v>308</v>
      </c>
      <c r="K9" s="497">
        <f>$N$9</f>
        <v>308</v>
      </c>
      <c r="L9" s="497">
        <f>$N$9</f>
        <v>308</v>
      </c>
      <c r="M9" s="2"/>
      <c r="N9" s="19">
        <f>'Value Segment'!I9+'Mid-Market Segment'!I9+'Upper Mid-Market Segment'!I9+'Premium Segment'!I9+'Closures Overlay'!I9+'Disposals Overlay'!I9</f>
        <v>308</v>
      </c>
      <c r="O9" s="497">
        <f>INDEX($W9:$CD9,MATCH(O$4,$W$4:$CD$4,0))</f>
        <v>292</v>
      </c>
      <c r="P9" s="497">
        <f>INDEX($W9:$CD9,MATCH(P$4,$W$4:$CD$4,0))</f>
        <v>276</v>
      </c>
      <c r="Q9" s="497">
        <f>INDEX($W9:$CD9,MATCH(Q$4,$W$4:$CD$4,0))</f>
        <v>260</v>
      </c>
      <c r="R9" s="497">
        <f>INDEX($W9:$CD9,MATCH(R$4,$W$4:$CD$4,0))</f>
        <v>244</v>
      </c>
      <c r="S9" s="497">
        <f>INDEX($W9:$CD9,MATCH(S$4,$W$4:$CD$4,0))</f>
        <v>228</v>
      </c>
      <c r="T9" s="37"/>
      <c r="U9" s="50"/>
      <c r="W9" s="19">
        <f>'Value Segment'!R9+'Mid-Market Segment'!R9+'Upper Mid-Market Segment'!R9+'Premium Segment'!R9+'Closures Overlay'!R9+'Disposals Overlay'!R9</f>
        <v>308</v>
      </c>
      <c r="X9" s="19">
        <f>'Value Segment'!S9+'Mid-Market Segment'!S9+'Upper Mid-Market Segment'!S9+'Premium Segment'!S9+'Closures Overlay'!S9+'Disposals Overlay'!S9</f>
        <v>308</v>
      </c>
      <c r="Y9" s="19">
        <f>'Value Segment'!T9+'Mid-Market Segment'!T9+'Upper Mid-Market Segment'!T9+'Premium Segment'!T9+'Closures Overlay'!T9+'Disposals Overlay'!T9</f>
        <v>308</v>
      </c>
      <c r="Z9" s="19">
        <f>'Value Segment'!U9+'Mid-Market Segment'!U9+'Upper Mid-Market Segment'!U9+'Premium Segment'!U9+'Closures Overlay'!U9+'Disposals Overlay'!U9</f>
        <v>308</v>
      </c>
      <c r="AA9" s="19">
        <f>'Value Segment'!V9+'Mid-Market Segment'!V9+'Upper Mid-Market Segment'!V9+'Premium Segment'!V9+'Closures Overlay'!V9+'Disposals Overlay'!V9</f>
        <v>308</v>
      </c>
      <c r="AB9" s="19">
        <f>'Value Segment'!W9+'Mid-Market Segment'!W9+'Upper Mid-Market Segment'!W9+'Premium Segment'!W9+'Closures Overlay'!W9+'Disposals Overlay'!W9</f>
        <v>300</v>
      </c>
      <c r="AC9" s="19">
        <f>'Value Segment'!X9+'Mid-Market Segment'!X9+'Upper Mid-Market Segment'!X9+'Premium Segment'!X9+'Closures Overlay'!X9+'Disposals Overlay'!X9</f>
        <v>300</v>
      </c>
      <c r="AD9" s="19">
        <f>'Value Segment'!Y9+'Mid-Market Segment'!Y9+'Upper Mid-Market Segment'!Y9+'Premium Segment'!Y9+'Closures Overlay'!Y9+'Disposals Overlay'!Y9</f>
        <v>300</v>
      </c>
      <c r="AE9" s="19">
        <f>'Value Segment'!Z9+'Mid-Market Segment'!Z9+'Upper Mid-Market Segment'!Z9+'Premium Segment'!Z9+'Closures Overlay'!Z9+'Disposals Overlay'!Z9</f>
        <v>300</v>
      </c>
      <c r="AF9" s="19">
        <f>'Value Segment'!AA9+'Mid-Market Segment'!AA9+'Upper Mid-Market Segment'!AA9+'Premium Segment'!AA9+'Closures Overlay'!AA9+'Disposals Overlay'!AA9</f>
        <v>300</v>
      </c>
      <c r="AG9" s="19">
        <f>'Value Segment'!AB9+'Mid-Market Segment'!AB9+'Upper Mid-Market Segment'!AB9+'Premium Segment'!AB9+'Closures Overlay'!AB9+'Disposals Overlay'!AB9</f>
        <v>300</v>
      </c>
      <c r="AH9" s="19">
        <f>'Value Segment'!AC9+'Mid-Market Segment'!AC9+'Upper Mid-Market Segment'!AC9+'Premium Segment'!AC9+'Closures Overlay'!AC9+'Disposals Overlay'!AC9</f>
        <v>292</v>
      </c>
      <c r="AI9" s="19">
        <f>'Value Segment'!AD9+'Mid-Market Segment'!AD9+'Upper Mid-Market Segment'!AD9+'Premium Segment'!AD9+'Closures Overlay'!AD9+'Disposals Overlay'!AD9</f>
        <v>292</v>
      </c>
      <c r="AJ9" s="19">
        <f>'Value Segment'!AE9+'Mid-Market Segment'!AE9+'Upper Mid-Market Segment'!AE9+'Premium Segment'!AE9+'Closures Overlay'!AE9+'Disposals Overlay'!AE9</f>
        <v>292</v>
      </c>
      <c r="AK9" s="19">
        <f>'Value Segment'!AF9+'Mid-Market Segment'!AF9+'Upper Mid-Market Segment'!AF9+'Premium Segment'!AF9+'Closures Overlay'!AF9+'Disposals Overlay'!AF9</f>
        <v>292</v>
      </c>
      <c r="AL9" s="19">
        <f>'Value Segment'!AG9+'Mid-Market Segment'!AG9+'Upper Mid-Market Segment'!AG9+'Premium Segment'!AG9+'Closures Overlay'!AG9+'Disposals Overlay'!AG9</f>
        <v>292</v>
      </c>
      <c r="AM9" s="19">
        <f>'Value Segment'!AH9+'Mid-Market Segment'!AH9+'Upper Mid-Market Segment'!AH9+'Premium Segment'!AH9+'Closures Overlay'!AH9+'Disposals Overlay'!AH9</f>
        <v>292</v>
      </c>
      <c r="AN9" s="19">
        <f>'Value Segment'!AI9+'Mid-Market Segment'!AI9+'Upper Mid-Market Segment'!AI9+'Premium Segment'!AI9+'Closures Overlay'!AI9+'Disposals Overlay'!AI9</f>
        <v>284</v>
      </c>
      <c r="AO9" s="19">
        <f>'Value Segment'!AJ9+'Mid-Market Segment'!AJ9+'Upper Mid-Market Segment'!AJ9+'Premium Segment'!AJ9+'Closures Overlay'!AJ9+'Disposals Overlay'!AJ9</f>
        <v>284</v>
      </c>
      <c r="AP9" s="19">
        <f>'Value Segment'!AK9+'Mid-Market Segment'!AK9+'Upper Mid-Market Segment'!AK9+'Premium Segment'!AK9+'Closures Overlay'!AK9+'Disposals Overlay'!AK9</f>
        <v>284</v>
      </c>
      <c r="AQ9" s="19">
        <f>'Value Segment'!AL9+'Mid-Market Segment'!AL9+'Upper Mid-Market Segment'!AL9+'Premium Segment'!AL9+'Closures Overlay'!AL9+'Disposals Overlay'!AL9</f>
        <v>284</v>
      </c>
      <c r="AR9" s="19">
        <f>'Value Segment'!AM9+'Mid-Market Segment'!AM9+'Upper Mid-Market Segment'!AM9+'Premium Segment'!AM9+'Closures Overlay'!AM9+'Disposals Overlay'!AM9</f>
        <v>284</v>
      </c>
      <c r="AS9" s="19">
        <f>'Value Segment'!AN9+'Mid-Market Segment'!AN9+'Upper Mid-Market Segment'!AN9+'Premium Segment'!AN9+'Closures Overlay'!AN9+'Disposals Overlay'!AN9</f>
        <v>284</v>
      </c>
      <c r="AT9" s="19">
        <f>'Value Segment'!AO9+'Mid-Market Segment'!AO9+'Upper Mid-Market Segment'!AO9+'Premium Segment'!AO9+'Closures Overlay'!AO9+'Disposals Overlay'!AO9</f>
        <v>276</v>
      </c>
      <c r="AU9" s="19">
        <f>'Value Segment'!AP9+'Mid-Market Segment'!AP9+'Upper Mid-Market Segment'!AP9+'Premium Segment'!AP9+'Closures Overlay'!AP9+'Disposals Overlay'!AP9</f>
        <v>276</v>
      </c>
      <c r="AV9" s="19">
        <f>'Value Segment'!AQ9+'Mid-Market Segment'!AQ9+'Upper Mid-Market Segment'!AQ9+'Premium Segment'!AQ9+'Closures Overlay'!AQ9+'Disposals Overlay'!AQ9</f>
        <v>276</v>
      </c>
      <c r="AW9" s="19">
        <f>'Value Segment'!AR9+'Mid-Market Segment'!AR9+'Upper Mid-Market Segment'!AR9+'Premium Segment'!AR9+'Closures Overlay'!AR9+'Disposals Overlay'!AR9</f>
        <v>276</v>
      </c>
      <c r="AX9" s="19">
        <f>'Value Segment'!AS9+'Mid-Market Segment'!AS9+'Upper Mid-Market Segment'!AS9+'Premium Segment'!AS9+'Closures Overlay'!AS9+'Disposals Overlay'!AS9</f>
        <v>276</v>
      </c>
      <c r="AY9" s="19">
        <f>'Value Segment'!AT9+'Mid-Market Segment'!AT9+'Upper Mid-Market Segment'!AT9+'Premium Segment'!AT9+'Closures Overlay'!AT9+'Disposals Overlay'!AT9</f>
        <v>276</v>
      </c>
      <c r="AZ9" s="19">
        <f>'Value Segment'!AU9+'Mid-Market Segment'!AU9+'Upper Mid-Market Segment'!AU9+'Premium Segment'!AU9+'Closures Overlay'!AU9+'Disposals Overlay'!AU9</f>
        <v>268</v>
      </c>
      <c r="BA9" s="19">
        <f>'Value Segment'!AV9+'Mid-Market Segment'!AV9+'Upper Mid-Market Segment'!AV9+'Premium Segment'!AV9+'Closures Overlay'!AV9+'Disposals Overlay'!AV9</f>
        <v>268</v>
      </c>
      <c r="BB9" s="19">
        <f>'Value Segment'!AW9+'Mid-Market Segment'!AW9+'Upper Mid-Market Segment'!AW9+'Premium Segment'!AW9+'Closures Overlay'!AW9+'Disposals Overlay'!AW9</f>
        <v>268</v>
      </c>
      <c r="BC9" s="19">
        <f>'Value Segment'!AX9+'Mid-Market Segment'!AX9+'Upper Mid-Market Segment'!AX9+'Premium Segment'!AX9+'Closures Overlay'!AX9+'Disposals Overlay'!AX9</f>
        <v>268</v>
      </c>
      <c r="BD9" s="19">
        <f>'Value Segment'!AY9+'Mid-Market Segment'!AY9+'Upper Mid-Market Segment'!AY9+'Premium Segment'!AY9+'Closures Overlay'!AY9+'Disposals Overlay'!AY9</f>
        <v>268</v>
      </c>
      <c r="BE9" s="19">
        <f>'Value Segment'!AZ9+'Mid-Market Segment'!AZ9+'Upper Mid-Market Segment'!AZ9+'Premium Segment'!AZ9+'Closures Overlay'!AZ9+'Disposals Overlay'!AZ9</f>
        <v>268</v>
      </c>
      <c r="BF9" s="19">
        <f>'Value Segment'!BA9+'Mid-Market Segment'!BA9+'Upper Mid-Market Segment'!BA9+'Premium Segment'!BA9+'Closures Overlay'!BA9+'Disposals Overlay'!BA9</f>
        <v>260</v>
      </c>
      <c r="BG9" s="19">
        <f>'Value Segment'!BB9+'Mid-Market Segment'!BB9+'Upper Mid-Market Segment'!BB9+'Premium Segment'!BB9+'Closures Overlay'!BB9+'Disposals Overlay'!BB9</f>
        <v>260</v>
      </c>
      <c r="BH9" s="19">
        <f>'Value Segment'!BC9+'Mid-Market Segment'!BC9+'Upper Mid-Market Segment'!BC9+'Premium Segment'!BC9+'Closures Overlay'!BC9+'Disposals Overlay'!BC9</f>
        <v>260</v>
      </c>
      <c r="BI9" s="19">
        <f>'Value Segment'!BD9+'Mid-Market Segment'!BD9+'Upper Mid-Market Segment'!BD9+'Premium Segment'!BD9+'Closures Overlay'!BD9+'Disposals Overlay'!BD9</f>
        <v>260</v>
      </c>
      <c r="BJ9" s="19">
        <f>'Value Segment'!BE9+'Mid-Market Segment'!BE9+'Upper Mid-Market Segment'!BE9+'Premium Segment'!BE9+'Closures Overlay'!BE9+'Disposals Overlay'!BE9</f>
        <v>260</v>
      </c>
      <c r="BK9" s="19">
        <f>'Value Segment'!BF9+'Mid-Market Segment'!BF9+'Upper Mid-Market Segment'!BF9+'Premium Segment'!BF9+'Closures Overlay'!BF9+'Disposals Overlay'!BF9</f>
        <v>260</v>
      </c>
      <c r="BL9" s="19">
        <f>'Value Segment'!BG9+'Mid-Market Segment'!BG9+'Upper Mid-Market Segment'!BG9+'Premium Segment'!BG9+'Closures Overlay'!BG9+'Disposals Overlay'!BG9</f>
        <v>252</v>
      </c>
      <c r="BM9" s="19">
        <f>'Value Segment'!BH9+'Mid-Market Segment'!BH9+'Upper Mid-Market Segment'!BH9+'Premium Segment'!BH9+'Closures Overlay'!BH9+'Disposals Overlay'!BH9</f>
        <v>252</v>
      </c>
      <c r="BN9" s="19">
        <f>'Value Segment'!BI9+'Mid-Market Segment'!BI9+'Upper Mid-Market Segment'!BI9+'Premium Segment'!BI9+'Closures Overlay'!BI9+'Disposals Overlay'!BI9</f>
        <v>252</v>
      </c>
      <c r="BO9" s="19">
        <f>'Value Segment'!BJ9+'Mid-Market Segment'!BJ9+'Upper Mid-Market Segment'!BJ9+'Premium Segment'!BJ9+'Closures Overlay'!BJ9+'Disposals Overlay'!BJ9</f>
        <v>252</v>
      </c>
      <c r="BP9" s="19">
        <f>'Value Segment'!BK9+'Mid-Market Segment'!BK9+'Upper Mid-Market Segment'!BK9+'Premium Segment'!BK9+'Closures Overlay'!BK9+'Disposals Overlay'!BK9</f>
        <v>252</v>
      </c>
      <c r="BQ9" s="19">
        <f>'Value Segment'!BL9+'Mid-Market Segment'!BL9+'Upper Mid-Market Segment'!BL9+'Premium Segment'!BL9+'Closures Overlay'!BL9+'Disposals Overlay'!BL9</f>
        <v>252</v>
      </c>
      <c r="BR9" s="19">
        <f>'Value Segment'!BM9+'Mid-Market Segment'!BM9+'Upper Mid-Market Segment'!BM9+'Premium Segment'!BM9+'Closures Overlay'!BM9+'Disposals Overlay'!BM9</f>
        <v>244</v>
      </c>
      <c r="BS9" s="19">
        <f>'Value Segment'!BN9+'Mid-Market Segment'!BN9+'Upper Mid-Market Segment'!BN9+'Premium Segment'!BN9+'Closures Overlay'!BN9+'Disposals Overlay'!BN9</f>
        <v>244</v>
      </c>
      <c r="BT9" s="19">
        <f>'Value Segment'!BO9+'Mid-Market Segment'!BO9+'Upper Mid-Market Segment'!BO9+'Premium Segment'!BO9+'Closures Overlay'!BO9+'Disposals Overlay'!BO9</f>
        <v>244</v>
      </c>
      <c r="BU9" s="19">
        <f>'Value Segment'!BP9+'Mid-Market Segment'!BP9+'Upper Mid-Market Segment'!BP9+'Premium Segment'!BP9+'Closures Overlay'!BP9+'Disposals Overlay'!BP9</f>
        <v>244</v>
      </c>
      <c r="BV9" s="19">
        <f>'Value Segment'!BQ9+'Mid-Market Segment'!BQ9+'Upper Mid-Market Segment'!BQ9+'Premium Segment'!BQ9+'Closures Overlay'!BQ9+'Disposals Overlay'!BQ9</f>
        <v>244</v>
      </c>
      <c r="BW9" s="19">
        <f>'Value Segment'!BR9+'Mid-Market Segment'!BR9+'Upper Mid-Market Segment'!BR9+'Premium Segment'!BR9+'Closures Overlay'!BR9+'Disposals Overlay'!BR9</f>
        <v>244</v>
      </c>
      <c r="BX9" s="19">
        <f>'Value Segment'!BS9+'Mid-Market Segment'!BS9+'Upper Mid-Market Segment'!BS9+'Premium Segment'!BS9+'Closures Overlay'!BS9+'Disposals Overlay'!BS9</f>
        <v>236</v>
      </c>
      <c r="BY9" s="19">
        <f>'Value Segment'!BT9+'Mid-Market Segment'!BT9+'Upper Mid-Market Segment'!BT9+'Premium Segment'!BT9+'Closures Overlay'!BT9+'Disposals Overlay'!BT9</f>
        <v>236</v>
      </c>
      <c r="BZ9" s="19">
        <f>'Value Segment'!BU9+'Mid-Market Segment'!BU9+'Upper Mid-Market Segment'!BU9+'Premium Segment'!BU9+'Closures Overlay'!BU9+'Disposals Overlay'!BU9</f>
        <v>236</v>
      </c>
      <c r="CA9" s="19">
        <f>'Value Segment'!BV9+'Mid-Market Segment'!BV9+'Upper Mid-Market Segment'!BV9+'Premium Segment'!BV9+'Closures Overlay'!BV9+'Disposals Overlay'!BV9</f>
        <v>236</v>
      </c>
      <c r="CB9" s="19">
        <f>'Value Segment'!BW9+'Mid-Market Segment'!BW9+'Upper Mid-Market Segment'!BW9+'Premium Segment'!BW9+'Closures Overlay'!BW9+'Disposals Overlay'!BW9</f>
        <v>236</v>
      </c>
      <c r="CC9" s="19">
        <f>'Value Segment'!BX9+'Mid-Market Segment'!BX9+'Upper Mid-Market Segment'!BX9+'Premium Segment'!BX9+'Closures Overlay'!BX9+'Disposals Overlay'!BX9</f>
        <v>236</v>
      </c>
      <c r="CD9" s="19">
        <f>'Value Segment'!BY9+'Mid-Market Segment'!BY9+'Upper Mid-Market Segment'!BY9+'Premium Segment'!BY9+'Closures Overlay'!BY9+'Disposals Overlay'!BY9</f>
        <v>228</v>
      </c>
    </row>
    <row r="10" spans="1:85" x14ac:dyDescent="0.3">
      <c r="A10" s="7"/>
      <c r="B10" s="1"/>
      <c r="C10" s="2"/>
      <c r="D10" s="2"/>
      <c r="E10" s="2"/>
      <c r="F10" s="2"/>
      <c r="G10" s="2"/>
      <c r="H10" s="2"/>
      <c r="I10" s="37"/>
      <c r="J10" s="37"/>
      <c r="K10" s="37"/>
      <c r="L10" s="37"/>
      <c r="M10" s="2"/>
      <c r="N10" s="37"/>
      <c r="O10" s="2"/>
      <c r="P10" s="2"/>
      <c r="Q10" s="2"/>
      <c r="R10" s="2"/>
      <c r="S10" s="2"/>
      <c r="T10" s="2"/>
      <c r="U10" s="10"/>
      <c r="W10" s="2"/>
      <c r="X10" s="2"/>
      <c r="Y10" s="2"/>
      <c r="Z10" s="2"/>
      <c r="AA10" s="2"/>
      <c r="AB10" s="2"/>
      <c r="AC10" s="2"/>
      <c r="AD10" s="2"/>
      <c r="AE10" s="2"/>
      <c r="AF10" s="2"/>
      <c r="AG10" s="2"/>
      <c r="AH10" s="2"/>
      <c r="AI10" s="2"/>
      <c r="AJ10" s="2"/>
      <c r="AK10" s="2"/>
      <c r="AL10" s="2"/>
      <c r="AM10" s="2"/>
      <c r="AN10" s="2"/>
      <c r="AO10" s="2"/>
      <c r="AP10" s="2"/>
      <c r="AQ10" s="2"/>
      <c r="AR10" s="2"/>
      <c r="AS10" s="2"/>
      <c r="AT10" s="2"/>
      <c r="AU10" s="2"/>
      <c r="AV10" s="2"/>
      <c r="AW10" s="2"/>
      <c r="AX10" s="2"/>
      <c r="AY10" s="2"/>
      <c r="AZ10" s="2"/>
      <c r="BA10" s="2"/>
      <c r="BB10" s="2"/>
      <c r="BC10" s="2"/>
      <c r="BD10" s="2"/>
      <c r="BE10" s="2"/>
      <c r="BF10" s="2"/>
      <c r="BG10" s="2"/>
      <c r="BH10" s="2"/>
      <c r="BI10" s="2"/>
      <c r="BJ10" s="2"/>
      <c r="BK10" s="2"/>
      <c r="BL10" s="2"/>
      <c r="BM10" s="2"/>
      <c r="BN10" s="2"/>
      <c r="BO10" s="2"/>
      <c r="BP10" s="2"/>
      <c r="BQ10" s="2"/>
      <c r="BR10" s="2"/>
      <c r="BS10" s="2"/>
      <c r="BT10" s="2"/>
      <c r="BU10" s="2"/>
      <c r="BV10" s="2"/>
      <c r="BW10" s="2"/>
      <c r="BX10" s="2"/>
      <c r="BY10" s="2"/>
      <c r="BZ10" s="2"/>
      <c r="CA10" s="2"/>
      <c r="CB10" s="2"/>
      <c r="CC10" s="2"/>
      <c r="CD10" s="2"/>
    </row>
    <row r="11" spans="1:85" x14ac:dyDescent="0.3">
      <c r="A11" s="7"/>
      <c r="B11" s="1"/>
      <c r="C11" s="2"/>
      <c r="D11" s="2"/>
      <c r="E11" s="2" t="s">
        <v>174</v>
      </c>
      <c r="F11" s="2"/>
      <c r="G11" s="2"/>
      <c r="H11" s="2"/>
      <c r="I11" s="497">
        <f>I9</f>
        <v>308</v>
      </c>
      <c r="J11" s="497">
        <f>J9</f>
        <v>308</v>
      </c>
      <c r="K11" s="497">
        <f>K9</f>
        <v>308</v>
      </c>
      <c r="L11" s="497">
        <f>L9</f>
        <v>308</v>
      </c>
      <c r="M11" s="2"/>
      <c r="N11" s="19">
        <f>N9</f>
        <v>308</v>
      </c>
      <c r="O11" s="497">
        <f t="shared" ref="O11:S13" si="5">INDEX($W11:$CD11,MATCH(O$4,$W$4:$CD$4,0))</f>
        <v>292</v>
      </c>
      <c r="P11" s="497">
        <f t="shared" si="5"/>
        <v>276</v>
      </c>
      <c r="Q11" s="497">
        <f t="shared" si="5"/>
        <v>260</v>
      </c>
      <c r="R11" s="497">
        <f t="shared" si="5"/>
        <v>244</v>
      </c>
      <c r="S11" s="497">
        <f t="shared" si="5"/>
        <v>228</v>
      </c>
      <c r="T11" s="2"/>
      <c r="U11" s="10"/>
      <c r="W11" s="19">
        <f>'Value Segment'!R11+'Mid-Market Segment'!R11+'Upper Mid-Market Segment'!R11+'Premium Segment'!R11+'Closures Overlay'!R11+'Disposals Overlay'!R11</f>
        <v>308</v>
      </c>
      <c r="X11" s="19">
        <f>'Value Segment'!S11+'Mid-Market Segment'!S11+'Upper Mid-Market Segment'!S11+'Premium Segment'!S11+'Closures Overlay'!S11+'Disposals Overlay'!S11</f>
        <v>308</v>
      </c>
      <c r="Y11" s="19">
        <f>'Value Segment'!T11+'Mid-Market Segment'!T11+'Upper Mid-Market Segment'!T11+'Premium Segment'!T11+'Closures Overlay'!T11+'Disposals Overlay'!T11</f>
        <v>308</v>
      </c>
      <c r="Z11" s="19">
        <f>'Value Segment'!U11+'Mid-Market Segment'!U11+'Upper Mid-Market Segment'!U11+'Premium Segment'!U11+'Closures Overlay'!U11+'Disposals Overlay'!U11</f>
        <v>308</v>
      </c>
      <c r="AA11" s="19">
        <f>'Value Segment'!V11+'Mid-Market Segment'!V11+'Upper Mid-Market Segment'!V11+'Premium Segment'!V11+'Closures Overlay'!V11+'Disposals Overlay'!V11</f>
        <v>308</v>
      </c>
      <c r="AB11" s="19">
        <f>'Value Segment'!W11+'Mid-Market Segment'!W11+'Upper Mid-Market Segment'!W11+'Premium Segment'!W11+'Closures Overlay'!W11+'Disposals Overlay'!W11</f>
        <v>300</v>
      </c>
      <c r="AC11" s="19">
        <f>'Value Segment'!X11+'Mid-Market Segment'!X11+'Upper Mid-Market Segment'!X11+'Premium Segment'!X11+'Closures Overlay'!X11+'Disposals Overlay'!X11</f>
        <v>300</v>
      </c>
      <c r="AD11" s="19">
        <f>'Value Segment'!Y11+'Mid-Market Segment'!Y11+'Upper Mid-Market Segment'!Y11+'Premium Segment'!Y11+'Closures Overlay'!Y11+'Disposals Overlay'!Y11</f>
        <v>300</v>
      </c>
      <c r="AE11" s="19">
        <f>'Value Segment'!Z11+'Mid-Market Segment'!Z11+'Upper Mid-Market Segment'!Z11+'Premium Segment'!Z11+'Closures Overlay'!Z11+'Disposals Overlay'!Z11</f>
        <v>300</v>
      </c>
      <c r="AF11" s="19">
        <f>'Value Segment'!AA11+'Mid-Market Segment'!AA11+'Upper Mid-Market Segment'!AA11+'Premium Segment'!AA11+'Closures Overlay'!AA11+'Disposals Overlay'!AA11</f>
        <v>300</v>
      </c>
      <c r="AG11" s="19">
        <f>'Value Segment'!AB11+'Mid-Market Segment'!AB11+'Upper Mid-Market Segment'!AB11+'Premium Segment'!AB11+'Closures Overlay'!AB11+'Disposals Overlay'!AB11</f>
        <v>300</v>
      </c>
      <c r="AH11" s="19">
        <f>'Value Segment'!AC11+'Mid-Market Segment'!AC11+'Upper Mid-Market Segment'!AC11+'Premium Segment'!AC11+'Closures Overlay'!AC11+'Disposals Overlay'!AC11</f>
        <v>292</v>
      </c>
      <c r="AI11" s="19">
        <f>'Value Segment'!AD11+'Mid-Market Segment'!AD11+'Upper Mid-Market Segment'!AD11+'Premium Segment'!AD11+'Closures Overlay'!AD11+'Disposals Overlay'!AD11</f>
        <v>292</v>
      </c>
      <c r="AJ11" s="19">
        <f>'Value Segment'!AE11+'Mid-Market Segment'!AE11+'Upper Mid-Market Segment'!AE11+'Premium Segment'!AE11+'Closures Overlay'!AE11+'Disposals Overlay'!AE11</f>
        <v>292</v>
      </c>
      <c r="AK11" s="19">
        <f>'Value Segment'!AF11+'Mid-Market Segment'!AF11+'Upper Mid-Market Segment'!AF11+'Premium Segment'!AF11+'Closures Overlay'!AF11+'Disposals Overlay'!AF11</f>
        <v>292</v>
      </c>
      <c r="AL11" s="19">
        <f>'Value Segment'!AG11+'Mid-Market Segment'!AG11+'Upper Mid-Market Segment'!AG11+'Premium Segment'!AG11+'Closures Overlay'!AG11+'Disposals Overlay'!AG11</f>
        <v>292</v>
      </c>
      <c r="AM11" s="19">
        <f>'Value Segment'!AH11+'Mid-Market Segment'!AH11+'Upper Mid-Market Segment'!AH11+'Premium Segment'!AH11+'Closures Overlay'!AH11+'Disposals Overlay'!AH11</f>
        <v>292</v>
      </c>
      <c r="AN11" s="19">
        <f>'Value Segment'!AI11+'Mid-Market Segment'!AI11+'Upper Mid-Market Segment'!AI11+'Premium Segment'!AI11+'Closures Overlay'!AI11+'Disposals Overlay'!AI11</f>
        <v>284</v>
      </c>
      <c r="AO11" s="19">
        <f>'Value Segment'!AJ11+'Mid-Market Segment'!AJ11+'Upper Mid-Market Segment'!AJ11+'Premium Segment'!AJ11+'Closures Overlay'!AJ11+'Disposals Overlay'!AJ11</f>
        <v>284</v>
      </c>
      <c r="AP11" s="19">
        <f>'Value Segment'!AK11+'Mid-Market Segment'!AK11+'Upper Mid-Market Segment'!AK11+'Premium Segment'!AK11+'Closures Overlay'!AK11+'Disposals Overlay'!AK11</f>
        <v>284</v>
      </c>
      <c r="AQ11" s="19">
        <f>'Value Segment'!AL11+'Mid-Market Segment'!AL11+'Upper Mid-Market Segment'!AL11+'Premium Segment'!AL11+'Closures Overlay'!AL11+'Disposals Overlay'!AL11</f>
        <v>284</v>
      </c>
      <c r="AR11" s="19">
        <f>'Value Segment'!AM11+'Mid-Market Segment'!AM11+'Upper Mid-Market Segment'!AM11+'Premium Segment'!AM11+'Closures Overlay'!AM11+'Disposals Overlay'!AM11</f>
        <v>284</v>
      </c>
      <c r="AS11" s="19">
        <f>'Value Segment'!AN11+'Mid-Market Segment'!AN11+'Upper Mid-Market Segment'!AN11+'Premium Segment'!AN11+'Closures Overlay'!AN11+'Disposals Overlay'!AN11</f>
        <v>284</v>
      </c>
      <c r="AT11" s="19">
        <f>'Value Segment'!AO11+'Mid-Market Segment'!AO11+'Upper Mid-Market Segment'!AO11+'Premium Segment'!AO11+'Closures Overlay'!AO11+'Disposals Overlay'!AO11</f>
        <v>276</v>
      </c>
      <c r="AU11" s="19">
        <f>'Value Segment'!AP11+'Mid-Market Segment'!AP11+'Upper Mid-Market Segment'!AP11+'Premium Segment'!AP11+'Closures Overlay'!AP11+'Disposals Overlay'!AP11</f>
        <v>276</v>
      </c>
      <c r="AV11" s="19">
        <f>'Value Segment'!AQ11+'Mid-Market Segment'!AQ11+'Upper Mid-Market Segment'!AQ11+'Premium Segment'!AQ11+'Closures Overlay'!AQ11+'Disposals Overlay'!AQ11</f>
        <v>276</v>
      </c>
      <c r="AW11" s="19">
        <f>'Value Segment'!AR11+'Mid-Market Segment'!AR11+'Upper Mid-Market Segment'!AR11+'Premium Segment'!AR11+'Closures Overlay'!AR11+'Disposals Overlay'!AR11</f>
        <v>276</v>
      </c>
      <c r="AX11" s="19">
        <f>'Value Segment'!AS11+'Mid-Market Segment'!AS11+'Upper Mid-Market Segment'!AS11+'Premium Segment'!AS11+'Closures Overlay'!AS11+'Disposals Overlay'!AS11</f>
        <v>276</v>
      </c>
      <c r="AY11" s="19">
        <f>'Value Segment'!AT11+'Mid-Market Segment'!AT11+'Upper Mid-Market Segment'!AT11+'Premium Segment'!AT11+'Closures Overlay'!AT11+'Disposals Overlay'!AT11</f>
        <v>276</v>
      </c>
      <c r="AZ11" s="19">
        <f>'Value Segment'!AU11+'Mid-Market Segment'!AU11+'Upper Mid-Market Segment'!AU11+'Premium Segment'!AU11+'Closures Overlay'!AU11+'Disposals Overlay'!AU11</f>
        <v>268</v>
      </c>
      <c r="BA11" s="19">
        <f>'Value Segment'!AV11+'Mid-Market Segment'!AV11+'Upper Mid-Market Segment'!AV11+'Premium Segment'!AV11+'Closures Overlay'!AV11+'Disposals Overlay'!AV11</f>
        <v>268</v>
      </c>
      <c r="BB11" s="19">
        <f>'Value Segment'!AW11+'Mid-Market Segment'!AW11+'Upper Mid-Market Segment'!AW11+'Premium Segment'!AW11+'Closures Overlay'!AW11+'Disposals Overlay'!AW11</f>
        <v>268</v>
      </c>
      <c r="BC11" s="19">
        <f>'Value Segment'!AX11+'Mid-Market Segment'!AX11+'Upper Mid-Market Segment'!AX11+'Premium Segment'!AX11+'Closures Overlay'!AX11+'Disposals Overlay'!AX11</f>
        <v>268</v>
      </c>
      <c r="BD11" s="19">
        <f>'Value Segment'!AY11+'Mid-Market Segment'!AY11+'Upper Mid-Market Segment'!AY11+'Premium Segment'!AY11+'Closures Overlay'!AY11+'Disposals Overlay'!AY11</f>
        <v>268</v>
      </c>
      <c r="BE11" s="19">
        <f>'Value Segment'!AZ11+'Mid-Market Segment'!AZ11+'Upper Mid-Market Segment'!AZ11+'Premium Segment'!AZ11+'Closures Overlay'!AZ11+'Disposals Overlay'!AZ11</f>
        <v>268</v>
      </c>
      <c r="BF11" s="19">
        <f>'Value Segment'!BA11+'Mid-Market Segment'!BA11+'Upper Mid-Market Segment'!BA11+'Premium Segment'!BA11+'Closures Overlay'!BA11+'Disposals Overlay'!BA11</f>
        <v>260</v>
      </c>
      <c r="BG11" s="19">
        <f>'Value Segment'!BB11+'Mid-Market Segment'!BB11+'Upper Mid-Market Segment'!BB11+'Premium Segment'!BB11+'Closures Overlay'!BB11+'Disposals Overlay'!BB11</f>
        <v>260</v>
      </c>
      <c r="BH11" s="19">
        <f>'Value Segment'!BC11+'Mid-Market Segment'!BC11+'Upper Mid-Market Segment'!BC11+'Premium Segment'!BC11+'Closures Overlay'!BC11+'Disposals Overlay'!BC11</f>
        <v>260</v>
      </c>
      <c r="BI11" s="19">
        <f>'Value Segment'!BD11+'Mid-Market Segment'!BD11+'Upper Mid-Market Segment'!BD11+'Premium Segment'!BD11+'Closures Overlay'!BD11+'Disposals Overlay'!BD11</f>
        <v>260</v>
      </c>
      <c r="BJ11" s="19">
        <f>'Value Segment'!BE11+'Mid-Market Segment'!BE11+'Upper Mid-Market Segment'!BE11+'Premium Segment'!BE11+'Closures Overlay'!BE11+'Disposals Overlay'!BE11</f>
        <v>260</v>
      </c>
      <c r="BK11" s="19">
        <f>'Value Segment'!BF11+'Mid-Market Segment'!BF11+'Upper Mid-Market Segment'!BF11+'Premium Segment'!BF11+'Closures Overlay'!BF11+'Disposals Overlay'!BF11</f>
        <v>260</v>
      </c>
      <c r="BL11" s="19">
        <f>'Value Segment'!BG11+'Mid-Market Segment'!BG11+'Upper Mid-Market Segment'!BG11+'Premium Segment'!BG11+'Closures Overlay'!BG11+'Disposals Overlay'!BG11</f>
        <v>252</v>
      </c>
      <c r="BM11" s="19">
        <f>'Value Segment'!BH11+'Mid-Market Segment'!BH11+'Upper Mid-Market Segment'!BH11+'Premium Segment'!BH11+'Closures Overlay'!BH11+'Disposals Overlay'!BH11</f>
        <v>252</v>
      </c>
      <c r="BN11" s="19">
        <f>'Value Segment'!BI11+'Mid-Market Segment'!BI11+'Upper Mid-Market Segment'!BI11+'Premium Segment'!BI11+'Closures Overlay'!BI11+'Disposals Overlay'!BI11</f>
        <v>252</v>
      </c>
      <c r="BO11" s="19">
        <f>'Value Segment'!BJ11+'Mid-Market Segment'!BJ11+'Upper Mid-Market Segment'!BJ11+'Premium Segment'!BJ11+'Closures Overlay'!BJ11+'Disposals Overlay'!BJ11</f>
        <v>252</v>
      </c>
      <c r="BP11" s="19">
        <f>'Value Segment'!BK11+'Mid-Market Segment'!BK11+'Upper Mid-Market Segment'!BK11+'Premium Segment'!BK11+'Closures Overlay'!BK11+'Disposals Overlay'!BK11</f>
        <v>252</v>
      </c>
      <c r="BQ11" s="19">
        <f>'Value Segment'!BL11+'Mid-Market Segment'!BL11+'Upper Mid-Market Segment'!BL11+'Premium Segment'!BL11+'Closures Overlay'!BL11+'Disposals Overlay'!BL11</f>
        <v>252</v>
      </c>
      <c r="BR11" s="19">
        <f>'Value Segment'!BM11+'Mid-Market Segment'!BM11+'Upper Mid-Market Segment'!BM11+'Premium Segment'!BM11+'Closures Overlay'!BM11+'Disposals Overlay'!BM11</f>
        <v>244</v>
      </c>
      <c r="BS11" s="19">
        <f>'Value Segment'!BN11+'Mid-Market Segment'!BN11+'Upper Mid-Market Segment'!BN11+'Premium Segment'!BN11+'Closures Overlay'!BN11+'Disposals Overlay'!BN11</f>
        <v>244</v>
      </c>
      <c r="BT11" s="19">
        <f>'Value Segment'!BO11+'Mid-Market Segment'!BO11+'Upper Mid-Market Segment'!BO11+'Premium Segment'!BO11+'Closures Overlay'!BO11+'Disposals Overlay'!BO11</f>
        <v>244</v>
      </c>
      <c r="BU11" s="19">
        <f>'Value Segment'!BP11+'Mid-Market Segment'!BP11+'Upper Mid-Market Segment'!BP11+'Premium Segment'!BP11+'Closures Overlay'!BP11+'Disposals Overlay'!BP11</f>
        <v>244</v>
      </c>
      <c r="BV11" s="19">
        <f>'Value Segment'!BQ11+'Mid-Market Segment'!BQ11+'Upper Mid-Market Segment'!BQ11+'Premium Segment'!BQ11+'Closures Overlay'!BQ11+'Disposals Overlay'!BQ11</f>
        <v>244</v>
      </c>
      <c r="BW11" s="19">
        <f>'Value Segment'!BR11+'Mid-Market Segment'!BR11+'Upper Mid-Market Segment'!BR11+'Premium Segment'!BR11+'Closures Overlay'!BR11+'Disposals Overlay'!BR11</f>
        <v>244</v>
      </c>
      <c r="BX11" s="19">
        <f>'Value Segment'!BS11+'Mid-Market Segment'!BS11+'Upper Mid-Market Segment'!BS11+'Premium Segment'!BS11+'Closures Overlay'!BS11+'Disposals Overlay'!BS11</f>
        <v>236</v>
      </c>
      <c r="BY11" s="19">
        <f>'Value Segment'!BT11+'Mid-Market Segment'!BT11+'Upper Mid-Market Segment'!BT11+'Premium Segment'!BT11+'Closures Overlay'!BT11+'Disposals Overlay'!BT11</f>
        <v>236</v>
      </c>
      <c r="BZ11" s="19">
        <f>'Value Segment'!BU11+'Mid-Market Segment'!BU11+'Upper Mid-Market Segment'!BU11+'Premium Segment'!BU11+'Closures Overlay'!BU11+'Disposals Overlay'!BU11</f>
        <v>236</v>
      </c>
      <c r="CA11" s="19">
        <f>'Value Segment'!BV11+'Mid-Market Segment'!BV11+'Upper Mid-Market Segment'!BV11+'Premium Segment'!BV11+'Closures Overlay'!BV11+'Disposals Overlay'!BV11</f>
        <v>236</v>
      </c>
      <c r="CB11" s="19">
        <f>'Value Segment'!BW11+'Mid-Market Segment'!BW11+'Upper Mid-Market Segment'!BW11+'Premium Segment'!BW11+'Closures Overlay'!BW11+'Disposals Overlay'!BW11</f>
        <v>236</v>
      </c>
      <c r="CC11" s="19">
        <f>'Value Segment'!BX11+'Mid-Market Segment'!BX11+'Upper Mid-Market Segment'!BX11+'Premium Segment'!BX11+'Closures Overlay'!BX11+'Disposals Overlay'!BX11</f>
        <v>236</v>
      </c>
      <c r="CD11" s="19">
        <f>'Value Segment'!BY11+'Mid-Market Segment'!BY11+'Upper Mid-Market Segment'!BY11+'Premium Segment'!BY11+'Closures Overlay'!BY11+'Disposals Overlay'!BY11</f>
        <v>228</v>
      </c>
    </row>
    <row r="12" spans="1:85" x14ac:dyDescent="0.3">
      <c r="A12" s="7"/>
      <c r="B12" s="1"/>
      <c r="C12" s="2"/>
      <c r="D12" s="2"/>
      <c r="E12" s="2" t="s">
        <v>131</v>
      </c>
      <c r="F12" s="2"/>
      <c r="G12" s="2"/>
      <c r="H12" s="2"/>
      <c r="I12" s="67">
        <v>0</v>
      </c>
      <c r="J12" s="67">
        <v>0</v>
      </c>
      <c r="K12" s="67">
        <v>0</v>
      </c>
      <c r="L12" s="67">
        <v>0</v>
      </c>
      <c r="M12" s="2"/>
      <c r="N12" s="19">
        <f>N11-N13</f>
        <v>298</v>
      </c>
      <c r="O12" s="497">
        <f t="shared" si="5"/>
        <v>282</v>
      </c>
      <c r="P12" s="497">
        <f t="shared" si="5"/>
        <v>266</v>
      </c>
      <c r="Q12" s="497">
        <f t="shared" si="5"/>
        <v>250</v>
      </c>
      <c r="R12" s="497">
        <f t="shared" si="5"/>
        <v>234</v>
      </c>
      <c r="S12" s="497">
        <f t="shared" si="5"/>
        <v>218</v>
      </c>
      <c r="T12" s="2"/>
      <c r="U12" s="10"/>
      <c r="W12" s="497">
        <f>W11-W13</f>
        <v>298</v>
      </c>
      <c r="X12" s="497">
        <f t="shared" ref="X12:CD12" si="6">X11-X13</f>
        <v>298</v>
      </c>
      <c r="Y12" s="497">
        <f t="shared" si="6"/>
        <v>298</v>
      </c>
      <c r="Z12" s="497">
        <f t="shared" si="6"/>
        <v>298</v>
      </c>
      <c r="AA12" s="497">
        <f t="shared" si="6"/>
        <v>298</v>
      </c>
      <c r="AB12" s="497">
        <f t="shared" si="6"/>
        <v>290</v>
      </c>
      <c r="AC12" s="497">
        <f t="shared" si="6"/>
        <v>290</v>
      </c>
      <c r="AD12" s="497">
        <f t="shared" si="6"/>
        <v>290</v>
      </c>
      <c r="AE12" s="497">
        <f t="shared" si="6"/>
        <v>290</v>
      </c>
      <c r="AF12" s="497">
        <f t="shared" si="6"/>
        <v>290</v>
      </c>
      <c r="AG12" s="497">
        <f t="shared" si="6"/>
        <v>290</v>
      </c>
      <c r="AH12" s="497">
        <f t="shared" si="6"/>
        <v>282</v>
      </c>
      <c r="AI12" s="497">
        <f t="shared" si="6"/>
        <v>282</v>
      </c>
      <c r="AJ12" s="497">
        <f t="shared" si="6"/>
        <v>282</v>
      </c>
      <c r="AK12" s="497">
        <f t="shared" si="6"/>
        <v>282</v>
      </c>
      <c r="AL12" s="497">
        <f t="shared" si="6"/>
        <v>282</v>
      </c>
      <c r="AM12" s="497">
        <f t="shared" si="6"/>
        <v>282</v>
      </c>
      <c r="AN12" s="497">
        <f t="shared" si="6"/>
        <v>274</v>
      </c>
      <c r="AO12" s="497">
        <f t="shared" si="6"/>
        <v>274</v>
      </c>
      <c r="AP12" s="497">
        <f t="shared" si="6"/>
        <v>274</v>
      </c>
      <c r="AQ12" s="497">
        <f t="shared" si="6"/>
        <v>274</v>
      </c>
      <c r="AR12" s="497">
        <f t="shared" si="6"/>
        <v>274</v>
      </c>
      <c r="AS12" s="497">
        <f t="shared" si="6"/>
        <v>274</v>
      </c>
      <c r="AT12" s="497">
        <f t="shared" si="6"/>
        <v>266</v>
      </c>
      <c r="AU12" s="497">
        <f t="shared" si="6"/>
        <v>266</v>
      </c>
      <c r="AV12" s="497">
        <f t="shared" si="6"/>
        <v>266</v>
      </c>
      <c r="AW12" s="497">
        <f t="shared" si="6"/>
        <v>266</v>
      </c>
      <c r="AX12" s="497">
        <f t="shared" si="6"/>
        <v>266</v>
      </c>
      <c r="AY12" s="497">
        <f t="shared" si="6"/>
        <v>266</v>
      </c>
      <c r="AZ12" s="497">
        <f t="shared" si="6"/>
        <v>258</v>
      </c>
      <c r="BA12" s="497">
        <f t="shared" si="6"/>
        <v>258</v>
      </c>
      <c r="BB12" s="497">
        <f t="shared" si="6"/>
        <v>258</v>
      </c>
      <c r="BC12" s="497">
        <f t="shared" si="6"/>
        <v>258</v>
      </c>
      <c r="BD12" s="497">
        <f t="shared" si="6"/>
        <v>258</v>
      </c>
      <c r="BE12" s="497">
        <f t="shared" si="6"/>
        <v>258</v>
      </c>
      <c r="BF12" s="497">
        <f t="shared" si="6"/>
        <v>250</v>
      </c>
      <c r="BG12" s="497">
        <f t="shared" si="6"/>
        <v>250</v>
      </c>
      <c r="BH12" s="497">
        <f t="shared" si="6"/>
        <v>250</v>
      </c>
      <c r="BI12" s="497">
        <f t="shared" si="6"/>
        <v>250</v>
      </c>
      <c r="BJ12" s="497">
        <f t="shared" si="6"/>
        <v>250</v>
      </c>
      <c r="BK12" s="497">
        <f t="shared" si="6"/>
        <v>250</v>
      </c>
      <c r="BL12" s="497">
        <f t="shared" si="6"/>
        <v>242</v>
      </c>
      <c r="BM12" s="497">
        <f t="shared" si="6"/>
        <v>242</v>
      </c>
      <c r="BN12" s="497">
        <f t="shared" si="6"/>
        <v>242</v>
      </c>
      <c r="BO12" s="497">
        <f t="shared" si="6"/>
        <v>242</v>
      </c>
      <c r="BP12" s="497">
        <f t="shared" si="6"/>
        <v>242</v>
      </c>
      <c r="BQ12" s="497">
        <f t="shared" si="6"/>
        <v>242</v>
      </c>
      <c r="BR12" s="497">
        <f t="shared" si="6"/>
        <v>234</v>
      </c>
      <c r="BS12" s="497">
        <f t="shared" si="6"/>
        <v>234</v>
      </c>
      <c r="BT12" s="497">
        <f t="shared" si="6"/>
        <v>234</v>
      </c>
      <c r="BU12" s="497">
        <f t="shared" si="6"/>
        <v>234</v>
      </c>
      <c r="BV12" s="497">
        <f t="shared" si="6"/>
        <v>234</v>
      </c>
      <c r="BW12" s="497">
        <f t="shared" si="6"/>
        <v>234</v>
      </c>
      <c r="BX12" s="497">
        <f t="shared" si="6"/>
        <v>226</v>
      </c>
      <c r="BY12" s="497">
        <f t="shared" si="6"/>
        <v>226</v>
      </c>
      <c r="BZ12" s="497">
        <f t="shared" si="6"/>
        <v>226</v>
      </c>
      <c r="CA12" s="497">
        <f t="shared" si="6"/>
        <v>226</v>
      </c>
      <c r="CB12" s="497">
        <f t="shared" si="6"/>
        <v>226</v>
      </c>
      <c r="CC12" s="497">
        <f t="shared" si="6"/>
        <v>226</v>
      </c>
      <c r="CD12" s="497">
        <f t="shared" si="6"/>
        <v>218</v>
      </c>
    </row>
    <row r="13" spans="1:85" x14ac:dyDescent="0.3">
      <c r="A13" s="7"/>
      <c r="B13" s="1"/>
      <c r="C13" s="2"/>
      <c r="D13" s="2"/>
      <c r="E13" s="2" t="s">
        <v>132</v>
      </c>
      <c r="F13" s="2"/>
      <c r="G13" s="2"/>
      <c r="H13" s="2"/>
      <c r="I13" s="67">
        <v>0</v>
      </c>
      <c r="J13" s="67">
        <v>0</v>
      </c>
      <c r="K13" s="67">
        <v>0</v>
      </c>
      <c r="L13" s="67">
        <v>0</v>
      </c>
      <c r="M13" s="2"/>
      <c r="N13" s="19">
        <f>'Value Segment'!I13+'Mid-Market Segment'!I13+'Upper Mid-Market Segment'!I13+'Premium Segment'!I13+'Closures Overlay'!I13+'Disposals Overlay'!I13</f>
        <v>10</v>
      </c>
      <c r="O13" s="497">
        <f t="shared" si="5"/>
        <v>10</v>
      </c>
      <c r="P13" s="497">
        <f t="shared" si="5"/>
        <v>10</v>
      </c>
      <c r="Q13" s="497">
        <f t="shared" si="5"/>
        <v>10</v>
      </c>
      <c r="R13" s="497">
        <f t="shared" si="5"/>
        <v>10</v>
      </c>
      <c r="S13" s="497">
        <f t="shared" si="5"/>
        <v>10</v>
      </c>
      <c r="T13" s="2"/>
      <c r="U13" s="10"/>
      <c r="W13" s="19">
        <f>'Value Segment'!R13+'Mid-Market Segment'!R13+'Upper Mid-Market Segment'!R13+'Premium Segment'!R13+'Closures Overlay'!R13+'Disposals Overlay'!R13</f>
        <v>10</v>
      </c>
      <c r="X13" s="19">
        <f>'Value Segment'!S13+'Mid-Market Segment'!S13+'Upper Mid-Market Segment'!S13+'Premium Segment'!S13+'Closures Overlay'!S13+'Disposals Overlay'!S13</f>
        <v>10</v>
      </c>
      <c r="Y13" s="19">
        <f>'Value Segment'!T13+'Mid-Market Segment'!T13+'Upper Mid-Market Segment'!T13+'Premium Segment'!T13+'Closures Overlay'!T13+'Disposals Overlay'!T13</f>
        <v>10</v>
      </c>
      <c r="Z13" s="19">
        <f>'Value Segment'!U13+'Mid-Market Segment'!U13+'Upper Mid-Market Segment'!U13+'Premium Segment'!U13+'Closures Overlay'!U13+'Disposals Overlay'!U13</f>
        <v>10</v>
      </c>
      <c r="AA13" s="19">
        <f>'Value Segment'!V13+'Mid-Market Segment'!V13+'Upper Mid-Market Segment'!V13+'Premium Segment'!V13+'Closures Overlay'!V13+'Disposals Overlay'!V13</f>
        <v>10</v>
      </c>
      <c r="AB13" s="19">
        <f>'Value Segment'!W13+'Mid-Market Segment'!W13+'Upper Mid-Market Segment'!W13+'Premium Segment'!W13+'Closures Overlay'!W13+'Disposals Overlay'!W13</f>
        <v>10</v>
      </c>
      <c r="AC13" s="19">
        <f>'Value Segment'!X13+'Mid-Market Segment'!X13+'Upper Mid-Market Segment'!X13+'Premium Segment'!X13+'Closures Overlay'!X13+'Disposals Overlay'!X13</f>
        <v>10</v>
      </c>
      <c r="AD13" s="19">
        <f>'Value Segment'!Y13+'Mid-Market Segment'!Y13+'Upper Mid-Market Segment'!Y13+'Premium Segment'!Y13+'Closures Overlay'!Y13+'Disposals Overlay'!Y13</f>
        <v>10</v>
      </c>
      <c r="AE13" s="19">
        <f>'Value Segment'!Z13+'Mid-Market Segment'!Z13+'Upper Mid-Market Segment'!Z13+'Premium Segment'!Z13+'Closures Overlay'!Z13+'Disposals Overlay'!Z13</f>
        <v>10</v>
      </c>
      <c r="AF13" s="19">
        <f>'Value Segment'!AA13+'Mid-Market Segment'!AA13+'Upper Mid-Market Segment'!AA13+'Premium Segment'!AA13+'Closures Overlay'!AA13+'Disposals Overlay'!AA13</f>
        <v>10</v>
      </c>
      <c r="AG13" s="19">
        <f>'Value Segment'!AB13+'Mid-Market Segment'!AB13+'Upper Mid-Market Segment'!AB13+'Premium Segment'!AB13+'Closures Overlay'!AB13+'Disposals Overlay'!AB13</f>
        <v>10</v>
      </c>
      <c r="AH13" s="19">
        <f>'Value Segment'!AC13+'Mid-Market Segment'!AC13+'Upper Mid-Market Segment'!AC13+'Premium Segment'!AC13+'Closures Overlay'!AC13+'Disposals Overlay'!AC13</f>
        <v>10</v>
      </c>
      <c r="AI13" s="19">
        <f>'Value Segment'!AD13+'Mid-Market Segment'!AD13+'Upper Mid-Market Segment'!AD13+'Premium Segment'!AD13+'Closures Overlay'!AD13+'Disposals Overlay'!AD13</f>
        <v>10</v>
      </c>
      <c r="AJ13" s="19">
        <f>'Value Segment'!AE13+'Mid-Market Segment'!AE13+'Upper Mid-Market Segment'!AE13+'Premium Segment'!AE13+'Closures Overlay'!AE13+'Disposals Overlay'!AE13</f>
        <v>10</v>
      </c>
      <c r="AK13" s="19">
        <f>'Value Segment'!AF13+'Mid-Market Segment'!AF13+'Upper Mid-Market Segment'!AF13+'Premium Segment'!AF13+'Closures Overlay'!AF13+'Disposals Overlay'!AF13</f>
        <v>10</v>
      </c>
      <c r="AL13" s="19">
        <f>'Value Segment'!AG13+'Mid-Market Segment'!AG13+'Upper Mid-Market Segment'!AG13+'Premium Segment'!AG13+'Closures Overlay'!AG13+'Disposals Overlay'!AG13</f>
        <v>10</v>
      </c>
      <c r="AM13" s="19">
        <f>'Value Segment'!AH13+'Mid-Market Segment'!AH13+'Upper Mid-Market Segment'!AH13+'Premium Segment'!AH13+'Closures Overlay'!AH13+'Disposals Overlay'!AH13</f>
        <v>10</v>
      </c>
      <c r="AN13" s="19">
        <f>'Value Segment'!AI13+'Mid-Market Segment'!AI13+'Upper Mid-Market Segment'!AI13+'Premium Segment'!AI13+'Closures Overlay'!AI13+'Disposals Overlay'!AI13</f>
        <v>10</v>
      </c>
      <c r="AO13" s="19">
        <f>'Value Segment'!AJ13+'Mid-Market Segment'!AJ13+'Upper Mid-Market Segment'!AJ13+'Premium Segment'!AJ13+'Closures Overlay'!AJ13+'Disposals Overlay'!AJ13</f>
        <v>10</v>
      </c>
      <c r="AP13" s="19">
        <f>'Value Segment'!AK13+'Mid-Market Segment'!AK13+'Upper Mid-Market Segment'!AK13+'Premium Segment'!AK13+'Closures Overlay'!AK13+'Disposals Overlay'!AK13</f>
        <v>10</v>
      </c>
      <c r="AQ13" s="19">
        <f>'Value Segment'!AL13+'Mid-Market Segment'!AL13+'Upper Mid-Market Segment'!AL13+'Premium Segment'!AL13+'Closures Overlay'!AL13+'Disposals Overlay'!AL13</f>
        <v>10</v>
      </c>
      <c r="AR13" s="19">
        <f>'Value Segment'!AM13+'Mid-Market Segment'!AM13+'Upper Mid-Market Segment'!AM13+'Premium Segment'!AM13+'Closures Overlay'!AM13+'Disposals Overlay'!AM13</f>
        <v>10</v>
      </c>
      <c r="AS13" s="19">
        <f>'Value Segment'!AN13+'Mid-Market Segment'!AN13+'Upper Mid-Market Segment'!AN13+'Premium Segment'!AN13+'Closures Overlay'!AN13+'Disposals Overlay'!AN13</f>
        <v>10</v>
      </c>
      <c r="AT13" s="19">
        <f>'Value Segment'!AO13+'Mid-Market Segment'!AO13+'Upper Mid-Market Segment'!AO13+'Premium Segment'!AO13+'Closures Overlay'!AO13+'Disposals Overlay'!AO13</f>
        <v>10</v>
      </c>
      <c r="AU13" s="19">
        <f>'Value Segment'!AP13+'Mid-Market Segment'!AP13+'Upper Mid-Market Segment'!AP13+'Premium Segment'!AP13+'Closures Overlay'!AP13+'Disposals Overlay'!AP13</f>
        <v>10</v>
      </c>
      <c r="AV13" s="19">
        <f>'Value Segment'!AQ13+'Mid-Market Segment'!AQ13+'Upper Mid-Market Segment'!AQ13+'Premium Segment'!AQ13+'Closures Overlay'!AQ13+'Disposals Overlay'!AQ13</f>
        <v>10</v>
      </c>
      <c r="AW13" s="19">
        <f>'Value Segment'!AR13+'Mid-Market Segment'!AR13+'Upper Mid-Market Segment'!AR13+'Premium Segment'!AR13+'Closures Overlay'!AR13+'Disposals Overlay'!AR13</f>
        <v>10</v>
      </c>
      <c r="AX13" s="19">
        <f>'Value Segment'!AS13+'Mid-Market Segment'!AS13+'Upper Mid-Market Segment'!AS13+'Premium Segment'!AS13+'Closures Overlay'!AS13+'Disposals Overlay'!AS13</f>
        <v>10</v>
      </c>
      <c r="AY13" s="19">
        <f>'Value Segment'!AT13+'Mid-Market Segment'!AT13+'Upper Mid-Market Segment'!AT13+'Premium Segment'!AT13+'Closures Overlay'!AT13+'Disposals Overlay'!AT13</f>
        <v>10</v>
      </c>
      <c r="AZ13" s="19">
        <f>'Value Segment'!AU13+'Mid-Market Segment'!AU13+'Upper Mid-Market Segment'!AU13+'Premium Segment'!AU13+'Closures Overlay'!AU13+'Disposals Overlay'!AU13</f>
        <v>10</v>
      </c>
      <c r="BA13" s="19">
        <f>'Value Segment'!AV13+'Mid-Market Segment'!AV13+'Upper Mid-Market Segment'!AV13+'Premium Segment'!AV13+'Closures Overlay'!AV13+'Disposals Overlay'!AV13</f>
        <v>10</v>
      </c>
      <c r="BB13" s="19">
        <f>'Value Segment'!AW13+'Mid-Market Segment'!AW13+'Upper Mid-Market Segment'!AW13+'Premium Segment'!AW13+'Closures Overlay'!AW13+'Disposals Overlay'!AW13</f>
        <v>10</v>
      </c>
      <c r="BC13" s="19">
        <f>'Value Segment'!AX13+'Mid-Market Segment'!AX13+'Upper Mid-Market Segment'!AX13+'Premium Segment'!AX13+'Closures Overlay'!AX13+'Disposals Overlay'!AX13</f>
        <v>10</v>
      </c>
      <c r="BD13" s="19">
        <f>'Value Segment'!AY13+'Mid-Market Segment'!AY13+'Upper Mid-Market Segment'!AY13+'Premium Segment'!AY13+'Closures Overlay'!AY13+'Disposals Overlay'!AY13</f>
        <v>10</v>
      </c>
      <c r="BE13" s="19">
        <f>'Value Segment'!AZ13+'Mid-Market Segment'!AZ13+'Upper Mid-Market Segment'!AZ13+'Premium Segment'!AZ13+'Closures Overlay'!AZ13+'Disposals Overlay'!AZ13</f>
        <v>10</v>
      </c>
      <c r="BF13" s="19">
        <f>'Value Segment'!BA13+'Mid-Market Segment'!BA13+'Upper Mid-Market Segment'!BA13+'Premium Segment'!BA13+'Closures Overlay'!BA13+'Disposals Overlay'!BA13</f>
        <v>10</v>
      </c>
      <c r="BG13" s="19">
        <f>'Value Segment'!BB13+'Mid-Market Segment'!BB13+'Upper Mid-Market Segment'!BB13+'Premium Segment'!BB13+'Closures Overlay'!BB13+'Disposals Overlay'!BB13</f>
        <v>10</v>
      </c>
      <c r="BH13" s="19">
        <f>'Value Segment'!BC13+'Mid-Market Segment'!BC13+'Upper Mid-Market Segment'!BC13+'Premium Segment'!BC13+'Closures Overlay'!BC13+'Disposals Overlay'!BC13</f>
        <v>10</v>
      </c>
      <c r="BI13" s="19">
        <f>'Value Segment'!BD13+'Mid-Market Segment'!BD13+'Upper Mid-Market Segment'!BD13+'Premium Segment'!BD13+'Closures Overlay'!BD13+'Disposals Overlay'!BD13</f>
        <v>10</v>
      </c>
      <c r="BJ13" s="19">
        <f>'Value Segment'!BE13+'Mid-Market Segment'!BE13+'Upper Mid-Market Segment'!BE13+'Premium Segment'!BE13+'Closures Overlay'!BE13+'Disposals Overlay'!BE13</f>
        <v>10</v>
      </c>
      <c r="BK13" s="19">
        <f>'Value Segment'!BF13+'Mid-Market Segment'!BF13+'Upper Mid-Market Segment'!BF13+'Premium Segment'!BF13+'Closures Overlay'!BF13+'Disposals Overlay'!BF13</f>
        <v>10</v>
      </c>
      <c r="BL13" s="19">
        <f>'Value Segment'!BG13+'Mid-Market Segment'!BG13+'Upper Mid-Market Segment'!BG13+'Premium Segment'!BG13+'Closures Overlay'!BG13+'Disposals Overlay'!BG13</f>
        <v>10</v>
      </c>
      <c r="BM13" s="19">
        <f>'Value Segment'!BH13+'Mid-Market Segment'!BH13+'Upper Mid-Market Segment'!BH13+'Premium Segment'!BH13+'Closures Overlay'!BH13+'Disposals Overlay'!BH13</f>
        <v>10</v>
      </c>
      <c r="BN13" s="19">
        <f>'Value Segment'!BI13+'Mid-Market Segment'!BI13+'Upper Mid-Market Segment'!BI13+'Premium Segment'!BI13+'Closures Overlay'!BI13+'Disposals Overlay'!BI13</f>
        <v>10</v>
      </c>
      <c r="BO13" s="19">
        <f>'Value Segment'!BJ13+'Mid-Market Segment'!BJ13+'Upper Mid-Market Segment'!BJ13+'Premium Segment'!BJ13+'Closures Overlay'!BJ13+'Disposals Overlay'!BJ13</f>
        <v>10</v>
      </c>
      <c r="BP13" s="19">
        <f>'Value Segment'!BK13+'Mid-Market Segment'!BK13+'Upper Mid-Market Segment'!BK13+'Premium Segment'!BK13+'Closures Overlay'!BK13+'Disposals Overlay'!BK13</f>
        <v>10</v>
      </c>
      <c r="BQ13" s="19">
        <f>'Value Segment'!BL13+'Mid-Market Segment'!BL13+'Upper Mid-Market Segment'!BL13+'Premium Segment'!BL13+'Closures Overlay'!BL13+'Disposals Overlay'!BL13</f>
        <v>10</v>
      </c>
      <c r="BR13" s="19">
        <f>'Value Segment'!BM13+'Mid-Market Segment'!BM13+'Upper Mid-Market Segment'!BM13+'Premium Segment'!BM13+'Closures Overlay'!BM13+'Disposals Overlay'!BM13</f>
        <v>10</v>
      </c>
      <c r="BS13" s="19">
        <f>'Value Segment'!BN13+'Mid-Market Segment'!BN13+'Upper Mid-Market Segment'!BN13+'Premium Segment'!BN13+'Closures Overlay'!BN13+'Disposals Overlay'!BN13</f>
        <v>10</v>
      </c>
      <c r="BT13" s="19">
        <f>'Value Segment'!BO13+'Mid-Market Segment'!BO13+'Upper Mid-Market Segment'!BO13+'Premium Segment'!BO13+'Closures Overlay'!BO13+'Disposals Overlay'!BO13</f>
        <v>10</v>
      </c>
      <c r="BU13" s="19">
        <f>'Value Segment'!BP13+'Mid-Market Segment'!BP13+'Upper Mid-Market Segment'!BP13+'Premium Segment'!BP13+'Closures Overlay'!BP13+'Disposals Overlay'!BP13</f>
        <v>10</v>
      </c>
      <c r="BV13" s="19">
        <f>'Value Segment'!BQ13+'Mid-Market Segment'!BQ13+'Upper Mid-Market Segment'!BQ13+'Premium Segment'!BQ13+'Closures Overlay'!BQ13+'Disposals Overlay'!BQ13</f>
        <v>10</v>
      </c>
      <c r="BW13" s="19">
        <f>'Value Segment'!BR13+'Mid-Market Segment'!BR13+'Upper Mid-Market Segment'!BR13+'Premium Segment'!BR13+'Closures Overlay'!BR13+'Disposals Overlay'!BR13</f>
        <v>10</v>
      </c>
      <c r="BX13" s="19">
        <f>'Value Segment'!BS13+'Mid-Market Segment'!BS13+'Upper Mid-Market Segment'!BS13+'Premium Segment'!BS13+'Closures Overlay'!BS13+'Disposals Overlay'!BS13</f>
        <v>10</v>
      </c>
      <c r="BY13" s="19">
        <f>'Value Segment'!BT13+'Mid-Market Segment'!BT13+'Upper Mid-Market Segment'!BT13+'Premium Segment'!BT13+'Closures Overlay'!BT13+'Disposals Overlay'!BT13</f>
        <v>10</v>
      </c>
      <c r="BZ13" s="19">
        <f>'Value Segment'!BU13+'Mid-Market Segment'!BU13+'Upper Mid-Market Segment'!BU13+'Premium Segment'!BU13+'Closures Overlay'!BU13+'Disposals Overlay'!BU13</f>
        <v>10</v>
      </c>
      <c r="CA13" s="19">
        <f>'Value Segment'!BV13+'Mid-Market Segment'!BV13+'Upper Mid-Market Segment'!BV13+'Premium Segment'!BV13+'Closures Overlay'!BV13+'Disposals Overlay'!BV13</f>
        <v>10</v>
      </c>
      <c r="CB13" s="19">
        <f>'Value Segment'!BW13+'Mid-Market Segment'!BW13+'Upper Mid-Market Segment'!BW13+'Premium Segment'!BW13+'Closures Overlay'!BW13+'Disposals Overlay'!BW13</f>
        <v>10</v>
      </c>
      <c r="CC13" s="19">
        <f>'Value Segment'!BX13+'Mid-Market Segment'!BX13+'Upper Mid-Market Segment'!BX13+'Premium Segment'!BX13+'Closures Overlay'!BX13+'Disposals Overlay'!BX13</f>
        <v>10</v>
      </c>
      <c r="CD13" s="19">
        <f>'Value Segment'!BY13+'Mid-Market Segment'!BY13+'Upper Mid-Market Segment'!BY13+'Premium Segment'!BY13+'Closures Overlay'!BY13+'Disposals Overlay'!BY13</f>
        <v>10</v>
      </c>
    </row>
    <row r="14" spans="1:85" x14ac:dyDescent="0.3">
      <c r="A14" s="7"/>
      <c r="B14" s="1"/>
      <c r="C14" s="2"/>
      <c r="D14" s="2"/>
      <c r="E14" s="2"/>
      <c r="F14" s="2"/>
      <c r="G14" s="2"/>
      <c r="H14" s="2"/>
      <c r="I14" s="37"/>
      <c r="J14" s="37"/>
      <c r="K14" s="37"/>
      <c r="L14" s="37"/>
      <c r="M14" s="2"/>
      <c r="N14" s="37"/>
      <c r="O14" s="2"/>
      <c r="P14" s="2"/>
      <c r="Q14" s="2"/>
      <c r="R14" s="2"/>
      <c r="S14" s="2"/>
      <c r="T14" s="2"/>
      <c r="U14" s="10"/>
      <c r="W14" s="2"/>
      <c r="X14" s="2"/>
      <c r="Y14" s="2"/>
      <c r="Z14" s="2"/>
      <c r="AA14" s="2"/>
      <c r="AB14" s="2"/>
      <c r="AC14" s="2"/>
      <c r="AD14" s="2"/>
      <c r="AE14" s="2"/>
      <c r="AF14" s="2"/>
      <c r="AG14" s="2"/>
      <c r="AH14" s="2"/>
      <c r="AI14" s="2"/>
      <c r="AJ14" s="2"/>
      <c r="AK14" s="2"/>
      <c r="AL14" s="2"/>
      <c r="AM14" s="2"/>
      <c r="AN14" s="2"/>
      <c r="AO14" s="2"/>
      <c r="AP14" s="2"/>
      <c r="AQ14" s="2"/>
      <c r="AR14" s="2"/>
      <c r="AS14" s="2"/>
      <c r="AT14" s="2"/>
      <c r="AU14" s="2"/>
      <c r="AV14" s="2"/>
      <c r="AW14" s="2"/>
      <c r="AX14" s="2"/>
      <c r="AY14" s="2"/>
      <c r="AZ14" s="2"/>
      <c r="BA14" s="2"/>
      <c r="BB14" s="2"/>
      <c r="BC14" s="2"/>
      <c r="BD14" s="2"/>
      <c r="BE14" s="2"/>
      <c r="BF14" s="2"/>
      <c r="BG14" s="2"/>
      <c r="BH14" s="2"/>
      <c r="BI14" s="2"/>
      <c r="BJ14" s="2"/>
      <c r="BK14" s="2"/>
      <c r="BL14" s="2"/>
      <c r="BM14" s="2"/>
      <c r="BN14" s="2"/>
      <c r="BO14" s="2"/>
      <c r="BP14" s="2"/>
      <c r="BQ14" s="2"/>
      <c r="BR14" s="2"/>
      <c r="BS14" s="2"/>
      <c r="BT14" s="2"/>
      <c r="BU14" s="2"/>
      <c r="BV14" s="2"/>
      <c r="BW14" s="2"/>
      <c r="BX14" s="2"/>
      <c r="BY14" s="2"/>
      <c r="BZ14" s="2"/>
      <c r="CA14" s="2"/>
      <c r="CB14" s="2"/>
      <c r="CC14" s="2"/>
      <c r="CD14" s="2"/>
    </row>
    <row r="15" spans="1:85" x14ac:dyDescent="0.3">
      <c r="A15" s="7"/>
      <c r="B15" s="1"/>
      <c r="C15" s="2"/>
      <c r="D15" s="2"/>
      <c r="E15" s="2" t="s">
        <v>174</v>
      </c>
      <c r="F15" s="2"/>
      <c r="G15" s="2"/>
      <c r="H15" s="2"/>
      <c r="I15" s="497">
        <f>I11</f>
        <v>308</v>
      </c>
      <c r="J15" s="497">
        <f>J11</f>
        <v>308</v>
      </c>
      <c r="K15" s="497">
        <f>K11</f>
        <v>308</v>
      </c>
      <c r="L15" s="497">
        <f>L11</f>
        <v>308</v>
      </c>
      <c r="M15" s="2"/>
      <c r="N15" s="19">
        <f>'Value Segment'!I15+'Mid-Market Segment'!I15+'Upper Mid-Market Segment'!I15+'Premium Segment'!I15+'Closures Overlay'!I15+'Disposals Overlay'!I15</f>
        <v>308</v>
      </c>
      <c r="O15" s="497">
        <f t="shared" ref="O15:S17" si="7">INDEX($W15:$CD15,MATCH(O$4,$W$4:$CD$4,0))</f>
        <v>292</v>
      </c>
      <c r="P15" s="497">
        <f t="shared" si="7"/>
        <v>276</v>
      </c>
      <c r="Q15" s="497">
        <f t="shared" si="7"/>
        <v>260</v>
      </c>
      <c r="R15" s="497">
        <f t="shared" si="7"/>
        <v>244</v>
      </c>
      <c r="S15" s="497">
        <f t="shared" si="7"/>
        <v>228</v>
      </c>
      <c r="T15" s="2"/>
      <c r="U15" s="10"/>
      <c r="W15" s="19">
        <f>'Value Segment'!R15+'Mid-Market Segment'!R15+'Upper Mid-Market Segment'!R15+'Premium Segment'!R15+'Closures Overlay'!R15+'Disposals Overlay'!R15</f>
        <v>308</v>
      </c>
      <c r="X15" s="19">
        <f>'Value Segment'!S15+'Mid-Market Segment'!S15+'Upper Mid-Market Segment'!S15+'Premium Segment'!S15+'Closures Overlay'!S15+'Disposals Overlay'!S15</f>
        <v>308</v>
      </c>
      <c r="Y15" s="19">
        <f>'Value Segment'!T15+'Mid-Market Segment'!T15+'Upper Mid-Market Segment'!T15+'Premium Segment'!T15+'Closures Overlay'!T15+'Disposals Overlay'!T15</f>
        <v>308</v>
      </c>
      <c r="Z15" s="19">
        <f>'Value Segment'!U15+'Mid-Market Segment'!U15+'Upper Mid-Market Segment'!U15+'Premium Segment'!U15+'Closures Overlay'!U15+'Disposals Overlay'!U15</f>
        <v>308</v>
      </c>
      <c r="AA15" s="19">
        <f>'Value Segment'!V15+'Mid-Market Segment'!V15+'Upper Mid-Market Segment'!V15+'Premium Segment'!V15+'Closures Overlay'!V15+'Disposals Overlay'!V15</f>
        <v>308</v>
      </c>
      <c r="AB15" s="19">
        <f>'Value Segment'!W15+'Mid-Market Segment'!W15+'Upper Mid-Market Segment'!W15+'Premium Segment'!W15+'Closures Overlay'!W15+'Disposals Overlay'!W15</f>
        <v>300</v>
      </c>
      <c r="AC15" s="19">
        <f>'Value Segment'!X15+'Mid-Market Segment'!X15+'Upper Mid-Market Segment'!X15+'Premium Segment'!X15+'Closures Overlay'!X15+'Disposals Overlay'!X15</f>
        <v>300</v>
      </c>
      <c r="AD15" s="19">
        <f>'Value Segment'!Y15+'Mid-Market Segment'!Y15+'Upper Mid-Market Segment'!Y15+'Premium Segment'!Y15+'Closures Overlay'!Y15+'Disposals Overlay'!Y15</f>
        <v>300</v>
      </c>
      <c r="AE15" s="19">
        <f>'Value Segment'!Z15+'Mid-Market Segment'!Z15+'Upper Mid-Market Segment'!Z15+'Premium Segment'!Z15+'Closures Overlay'!Z15+'Disposals Overlay'!Z15</f>
        <v>300</v>
      </c>
      <c r="AF15" s="19">
        <f>'Value Segment'!AA15+'Mid-Market Segment'!AA15+'Upper Mid-Market Segment'!AA15+'Premium Segment'!AA15+'Closures Overlay'!AA15+'Disposals Overlay'!AA15</f>
        <v>300</v>
      </c>
      <c r="AG15" s="19">
        <f>'Value Segment'!AB15+'Mid-Market Segment'!AB15+'Upper Mid-Market Segment'!AB15+'Premium Segment'!AB15+'Closures Overlay'!AB15+'Disposals Overlay'!AB15</f>
        <v>300</v>
      </c>
      <c r="AH15" s="19">
        <f>'Value Segment'!AC15+'Mid-Market Segment'!AC15+'Upper Mid-Market Segment'!AC15+'Premium Segment'!AC15+'Closures Overlay'!AC15+'Disposals Overlay'!AC15</f>
        <v>292</v>
      </c>
      <c r="AI15" s="19">
        <f>'Value Segment'!AD15+'Mid-Market Segment'!AD15+'Upper Mid-Market Segment'!AD15+'Premium Segment'!AD15+'Closures Overlay'!AD15+'Disposals Overlay'!AD15</f>
        <v>292</v>
      </c>
      <c r="AJ15" s="19">
        <f>'Value Segment'!AE15+'Mid-Market Segment'!AE15+'Upper Mid-Market Segment'!AE15+'Premium Segment'!AE15+'Closures Overlay'!AE15+'Disposals Overlay'!AE15</f>
        <v>292</v>
      </c>
      <c r="AK15" s="19">
        <f>'Value Segment'!AF15+'Mid-Market Segment'!AF15+'Upper Mid-Market Segment'!AF15+'Premium Segment'!AF15+'Closures Overlay'!AF15+'Disposals Overlay'!AF15</f>
        <v>292</v>
      </c>
      <c r="AL15" s="19">
        <f>'Value Segment'!AG15+'Mid-Market Segment'!AG15+'Upper Mid-Market Segment'!AG15+'Premium Segment'!AG15+'Closures Overlay'!AG15+'Disposals Overlay'!AG15</f>
        <v>292</v>
      </c>
      <c r="AM15" s="19">
        <f>'Value Segment'!AH15+'Mid-Market Segment'!AH15+'Upper Mid-Market Segment'!AH15+'Premium Segment'!AH15+'Closures Overlay'!AH15+'Disposals Overlay'!AH15</f>
        <v>292</v>
      </c>
      <c r="AN15" s="19">
        <f>'Value Segment'!AI15+'Mid-Market Segment'!AI15+'Upper Mid-Market Segment'!AI15+'Premium Segment'!AI15+'Closures Overlay'!AI15+'Disposals Overlay'!AI15</f>
        <v>284</v>
      </c>
      <c r="AO15" s="19">
        <f>'Value Segment'!AJ15+'Mid-Market Segment'!AJ15+'Upper Mid-Market Segment'!AJ15+'Premium Segment'!AJ15+'Closures Overlay'!AJ15+'Disposals Overlay'!AJ15</f>
        <v>284</v>
      </c>
      <c r="AP15" s="19">
        <f>'Value Segment'!AK15+'Mid-Market Segment'!AK15+'Upper Mid-Market Segment'!AK15+'Premium Segment'!AK15+'Closures Overlay'!AK15+'Disposals Overlay'!AK15</f>
        <v>284</v>
      </c>
      <c r="AQ15" s="19">
        <f>'Value Segment'!AL15+'Mid-Market Segment'!AL15+'Upper Mid-Market Segment'!AL15+'Premium Segment'!AL15+'Closures Overlay'!AL15+'Disposals Overlay'!AL15</f>
        <v>284</v>
      </c>
      <c r="AR15" s="19">
        <f>'Value Segment'!AM15+'Mid-Market Segment'!AM15+'Upper Mid-Market Segment'!AM15+'Premium Segment'!AM15+'Closures Overlay'!AM15+'Disposals Overlay'!AM15</f>
        <v>284</v>
      </c>
      <c r="AS15" s="19">
        <f>'Value Segment'!AN15+'Mid-Market Segment'!AN15+'Upper Mid-Market Segment'!AN15+'Premium Segment'!AN15+'Closures Overlay'!AN15+'Disposals Overlay'!AN15</f>
        <v>284</v>
      </c>
      <c r="AT15" s="19">
        <f>'Value Segment'!AO15+'Mid-Market Segment'!AO15+'Upper Mid-Market Segment'!AO15+'Premium Segment'!AO15+'Closures Overlay'!AO15+'Disposals Overlay'!AO15</f>
        <v>276</v>
      </c>
      <c r="AU15" s="19">
        <f>'Value Segment'!AP15+'Mid-Market Segment'!AP15+'Upper Mid-Market Segment'!AP15+'Premium Segment'!AP15+'Closures Overlay'!AP15+'Disposals Overlay'!AP15</f>
        <v>276</v>
      </c>
      <c r="AV15" s="19">
        <f>'Value Segment'!AQ15+'Mid-Market Segment'!AQ15+'Upper Mid-Market Segment'!AQ15+'Premium Segment'!AQ15+'Closures Overlay'!AQ15+'Disposals Overlay'!AQ15</f>
        <v>276</v>
      </c>
      <c r="AW15" s="19">
        <f>'Value Segment'!AR15+'Mid-Market Segment'!AR15+'Upper Mid-Market Segment'!AR15+'Premium Segment'!AR15+'Closures Overlay'!AR15+'Disposals Overlay'!AR15</f>
        <v>276</v>
      </c>
      <c r="AX15" s="19">
        <f>'Value Segment'!AS15+'Mid-Market Segment'!AS15+'Upper Mid-Market Segment'!AS15+'Premium Segment'!AS15+'Closures Overlay'!AS15+'Disposals Overlay'!AS15</f>
        <v>276</v>
      </c>
      <c r="AY15" s="19">
        <f>'Value Segment'!AT15+'Mid-Market Segment'!AT15+'Upper Mid-Market Segment'!AT15+'Premium Segment'!AT15+'Closures Overlay'!AT15+'Disposals Overlay'!AT15</f>
        <v>276</v>
      </c>
      <c r="AZ15" s="19">
        <f>'Value Segment'!AU15+'Mid-Market Segment'!AU15+'Upper Mid-Market Segment'!AU15+'Premium Segment'!AU15+'Closures Overlay'!AU15+'Disposals Overlay'!AU15</f>
        <v>268</v>
      </c>
      <c r="BA15" s="19">
        <f>'Value Segment'!AV15+'Mid-Market Segment'!AV15+'Upper Mid-Market Segment'!AV15+'Premium Segment'!AV15+'Closures Overlay'!AV15+'Disposals Overlay'!AV15</f>
        <v>268</v>
      </c>
      <c r="BB15" s="19">
        <f>'Value Segment'!AW15+'Mid-Market Segment'!AW15+'Upper Mid-Market Segment'!AW15+'Premium Segment'!AW15+'Closures Overlay'!AW15+'Disposals Overlay'!AW15</f>
        <v>268</v>
      </c>
      <c r="BC15" s="19">
        <f>'Value Segment'!AX15+'Mid-Market Segment'!AX15+'Upper Mid-Market Segment'!AX15+'Premium Segment'!AX15+'Closures Overlay'!AX15+'Disposals Overlay'!AX15</f>
        <v>268</v>
      </c>
      <c r="BD15" s="19">
        <f>'Value Segment'!AY15+'Mid-Market Segment'!AY15+'Upper Mid-Market Segment'!AY15+'Premium Segment'!AY15+'Closures Overlay'!AY15+'Disposals Overlay'!AY15</f>
        <v>268</v>
      </c>
      <c r="BE15" s="19">
        <f>'Value Segment'!AZ15+'Mid-Market Segment'!AZ15+'Upper Mid-Market Segment'!AZ15+'Premium Segment'!AZ15+'Closures Overlay'!AZ15+'Disposals Overlay'!AZ15</f>
        <v>268</v>
      </c>
      <c r="BF15" s="19">
        <f>'Value Segment'!BA15+'Mid-Market Segment'!BA15+'Upper Mid-Market Segment'!BA15+'Premium Segment'!BA15+'Closures Overlay'!BA15+'Disposals Overlay'!BA15</f>
        <v>260</v>
      </c>
      <c r="BG15" s="19">
        <f>'Value Segment'!BB15+'Mid-Market Segment'!BB15+'Upper Mid-Market Segment'!BB15+'Premium Segment'!BB15+'Closures Overlay'!BB15+'Disposals Overlay'!BB15</f>
        <v>260</v>
      </c>
      <c r="BH15" s="19">
        <f>'Value Segment'!BC15+'Mid-Market Segment'!BC15+'Upper Mid-Market Segment'!BC15+'Premium Segment'!BC15+'Closures Overlay'!BC15+'Disposals Overlay'!BC15</f>
        <v>260</v>
      </c>
      <c r="BI15" s="19">
        <f>'Value Segment'!BD15+'Mid-Market Segment'!BD15+'Upper Mid-Market Segment'!BD15+'Premium Segment'!BD15+'Closures Overlay'!BD15+'Disposals Overlay'!BD15</f>
        <v>260</v>
      </c>
      <c r="BJ15" s="19">
        <f>'Value Segment'!BE15+'Mid-Market Segment'!BE15+'Upper Mid-Market Segment'!BE15+'Premium Segment'!BE15+'Closures Overlay'!BE15+'Disposals Overlay'!BE15</f>
        <v>260</v>
      </c>
      <c r="BK15" s="19">
        <f>'Value Segment'!BF15+'Mid-Market Segment'!BF15+'Upper Mid-Market Segment'!BF15+'Premium Segment'!BF15+'Closures Overlay'!BF15+'Disposals Overlay'!BF15</f>
        <v>260</v>
      </c>
      <c r="BL15" s="19">
        <f>'Value Segment'!BG15+'Mid-Market Segment'!BG15+'Upper Mid-Market Segment'!BG15+'Premium Segment'!BG15+'Closures Overlay'!BG15+'Disposals Overlay'!BG15</f>
        <v>252</v>
      </c>
      <c r="BM15" s="19">
        <f>'Value Segment'!BH15+'Mid-Market Segment'!BH15+'Upper Mid-Market Segment'!BH15+'Premium Segment'!BH15+'Closures Overlay'!BH15+'Disposals Overlay'!BH15</f>
        <v>252</v>
      </c>
      <c r="BN15" s="19">
        <f>'Value Segment'!BI15+'Mid-Market Segment'!BI15+'Upper Mid-Market Segment'!BI15+'Premium Segment'!BI15+'Closures Overlay'!BI15+'Disposals Overlay'!BI15</f>
        <v>252</v>
      </c>
      <c r="BO15" s="19">
        <f>'Value Segment'!BJ15+'Mid-Market Segment'!BJ15+'Upper Mid-Market Segment'!BJ15+'Premium Segment'!BJ15+'Closures Overlay'!BJ15+'Disposals Overlay'!BJ15</f>
        <v>252</v>
      </c>
      <c r="BP15" s="19">
        <f>'Value Segment'!BK15+'Mid-Market Segment'!BK15+'Upper Mid-Market Segment'!BK15+'Premium Segment'!BK15+'Closures Overlay'!BK15+'Disposals Overlay'!BK15</f>
        <v>252</v>
      </c>
      <c r="BQ15" s="19">
        <f>'Value Segment'!BL15+'Mid-Market Segment'!BL15+'Upper Mid-Market Segment'!BL15+'Premium Segment'!BL15+'Closures Overlay'!BL15+'Disposals Overlay'!BL15</f>
        <v>252</v>
      </c>
      <c r="BR15" s="19">
        <f>'Value Segment'!BM15+'Mid-Market Segment'!BM15+'Upper Mid-Market Segment'!BM15+'Premium Segment'!BM15+'Closures Overlay'!BM15+'Disposals Overlay'!BM15</f>
        <v>244</v>
      </c>
      <c r="BS15" s="19">
        <f>'Value Segment'!BN15+'Mid-Market Segment'!BN15+'Upper Mid-Market Segment'!BN15+'Premium Segment'!BN15+'Closures Overlay'!BN15+'Disposals Overlay'!BN15</f>
        <v>244</v>
      </c>
      <c r="BT15" s="19">
        <f>'Value Segment'!BO15+'Mid-Market Segment'!BO15+'Upper Mid-Market Segment'!BO15+'Premium Segment'!BO15+'Closures Overlay'!BO15+'Disposals Overlay'!BO15</f>
        <v>244</v>
      </c>
      <c r="BU15" s="19">
        <f>'Value Segment'!BP15+'Mid-Market Segment'!BP15+'Upper Mid-Market Segment'!BP15+'Premium Segment'!BP15+'Closures Overlay'!BP15+'Disposals Overlay'!BP15</f>
        <v>244</v>
      </c>
      <c r="BV15" s="19">
        <f>'Value Segment'!BQ15+'Mid-Market Segment'!BQ15+'Upper Mid-Market Segment'!BQ15+'Premium Segment'!BQ15+'Closures Overlay'!BQ15+'Disposals Overlay'!BQ15</f>
        <v>244</v>
      </c>
      <c r="BW15" s="19">
        <f>'Value Segment'!BR15+'Mid-Market Segment'!BR15+'Upper Mid-Market Segment'!BR15+'Premium Segment'!BR15+'Closures Overlay'!BR15+'Disposals Overlay'!BR15</f>
        <v>244</v>
      </c>
      <c r="BX15" s="19">
        <f>'Value Segment'!BS15+'Mid-Market Segment'!BS15+'Upper Mid-Market Segment'!BS15+'Premium Segment'!BS15+'Closures Overlay'!BS15+'Disposals Overlay'!BS15</f>
        <v>236</v>
      </c>
      <c r="BY15" s="19">
        <f>'Value Segment'!BT15+'Mid-Market Segment'!BT15+'Upper Mid-Market Segment'!BT15+'Premium Segment'!BT15+'Closures Overlay'!BT15+'Disposals Overlay'!BT15</f>
        <v>236</v>
      </c>
      <c r="BZ15" s="19">
        <f>'Value Segment'!BU15+'Mid-Market Segment'!BU15+'Upper Mid-Market Segment'!BU15+'Premium Segment'!BU15+'Closures Overlay'!BU15+'Disposals Overlay'!BU15</f>
        <v>236</v>
      </c>
      <c r="CA15" s="19">
        <f>'Value Segment'!BV15+'Mid-Market Segment'!BV15+'Upper Mid-Market Segment'!BV15+'Premium Segment'!BV15+'Closures Overlay'!BV15+'Disposals Overlay'!BV15</f>
        <v>236</v>
      </c>
      <c r="CB15" s="19">
        <f>'Value Segment'!BW15+'Mid-Market Segment'!BW15+'Upper Mid-Market Segment'!BW15+'Premium Segment'!BW15+'Closures Overlay'!BW15+'Disposals Overlay'!BW15</f>
        <v>236</v>
      </c>
      <c r="CC15" s="19">
        <f>'Value Segment'!BX15+'Mid-Market Segment'!BX15+'Upper Mid-Market Segment'!BX15+'Premium Segment'!BX15+'Closures Overlay'!BX15+'Disposals Overlay'!BX15</f>
        <v>236</v>
      </c>
      <c r="CD15" s="19">
        <f>'Value Segment'!BY15+'Mid-Market Segment'!BY15+'Upper Mid-Market Segment'!BY15+'Premium Segment'!BY15+'Closures Overlay'!BY15+'Disposals Overlay'!BY15</f>
        <v>228</v>
      </c>
    </row>
    <row r="16" spans="1:85" x14ac:dyDescent="0.3">
      <c r="A16" s="7"/>
      <c r="B16" s="1"/>
      <c r="C16" s="2"/>
      <c r="D16" s="2"/>
      <c r="E16" s="2" t="s">
        <v>190</v>
      </c>
      <c r="F16" s="2"/>
      <c r="G16" s="2"/>
      <c r="H16" s="2"/>
      <c r="I16" s="67">
        <v>0</v>
      </c>
      <c r="J16" s="67">
        <v>0</v>
      </c>
      <c r="K16" s="67">
        <v>0</v>
      </c>
      <c r="L16" s="67">
        <v>0</v>
      </c>
      <c r="M16" s="2"/>
      <c r="N16" s="19">
        <f>'Value Segment'!I16+'Mid-Market Segment'!I16+'Upper Mid-Market Segment'!I16+'Premium Segment'!I16+'Closures Overlay'!I16+'Disposals Overlay'!I16</f>
        <v>308</v>
      </c>
      <c r="O16" s="497">
        <f t="shared" si="7"/>
        <v>292</v>
      </c>
      <c r="P16" s="497">
        <f t="shared" si="7"/>
        <v>276</v>
      </c>
      <c r="Q16" s="497">
        <f t="shared" si="7"/>
        <v>260</v>
      </c>
      <c r="R16" s="497">
        <f t="shared" si="7"/>
        <v>244</v>
      </c>
      <c r="S16" s="497">
        <f t="shared" si="7"/>
        <v>228</v>
      </c>
      <c r="T16" s="2"/>
      <c r="U16" s="10"/>
      <c r="W16" s="497">
        <f>$W$15-W17</f>
        <v>308</v>
      </c>
      <c r="X16" s="497">
        <f t="shared" ref="X16:CD16" si="8">$W$15-X17</f>
        <v>308</v>
      </c>
      <c r="Y16" s="497">
        <f t="shared" si="8"/>
        <v>308</v>
      </c>
      <c r="Z16" s="497">
        <f t="shared" si="8"/>
        <v>308</v>
      </c>
      <c r="AA16" s="497">
        <f t="shared" si="8"/>
        <v>308</v>
      </c>
      <c r="AB16" s="497">
        <f t="shared" si="8"/>
        <v>300</v>
      </c>
      <c r="AC16" s="497">
        <f t="shared" si="8"/>
        <v>300</v>
      </c>
      <c r="AD16" s="497">
        <f t="shared" si="8"/>
        <v>300</v>
      </c>
      <c r="AE16" s="497">
        <f t="shared" si="8"/>
        <v>300</v>
      </c>
      <c r="AF16" s="497">
        <f t="shared" si="8"/>
        <v>300</v>
      </c>
      <c r="AG16" s="497">
        <f t="shared" si="8"/>
        <v>300</v>
      </c>
      <c r="AH16" s="497">
        <f t="shared" si="8"/>
        <v>292</v>
      </c>
      <c r="AI16" s="497">
        <f t="shared" si="8"/>
        <v>292</v>
      </c>
      <c r="AJ16" s="497">
        <f t="shared" si="8"/>
        <v>292</v>
      </c>
      <c r="AK16" s="497">
        <f t="shared" si="8"/>
        <v>292</v>
      </c>
      <c r="AL16" s="497">
        <f t="shared" si="8"/>
        <v>292</v>
      </c>
      <c r="AM16" s="497">
        <f t="shared" si="8"/>
        <v>292</v>
      </c>
      <c r="AN16" s="497">
        <f t="shared" si="8"/>
        <v>284</v>
      </c>
      <c r="AO16" s="497">
        <f t="shared" si="8"/>
        <v>284</v>
      </c>
      <c r="AP16" s="497">
        <f t="shared" si="8"/>
        <v>284</v>
      </c>
      <c r="AQ16" s="497">
        <f t="shared" si="8"/>
        <v>284</v>
      </c>
      <c r="AR16" s="497">
        <f t="shared" si="8"/>
        <v>284</v>
      </c>
      <c r="AS16" s="497">
        <f t="shared" si="8"/>
        <v>284</v>
      </c>
      <c r="AT16" s="497">
        <f t="shared" si="8"/>
        <v>276</v>
      </c>
      <c r="AU16" s="497">
        <f t="shared" si="8"/>
        <v>276</v>
      </c>
      <c r="AV16" s="497">
        <f t="shared" si="8"/>
        <v>276</v>
      </c>
      <c r="AW16" s="497">
        <f t="shared" si="8"/>
        <v>276</v>
      </c>
      <c r="AX16" s="497">
        <f t="shared" si="8"/>
        <v>276</v>
      </c>
      <c r="AY16" s="497">
        <f t="shared" si="8"/>
        <v>276</v>
      </c>
      <c r="AZ16" s="497">
        <f t="shared" si="8"/>
        <v>268</v>
      </c>
      <c r="BA16" s="497">
        <f t="shared" si="8"/>
        <v>268</v>
      </c>
      <c r="BB16" s="497">
        <f t="shared" si="8"/>
        <v>268</v>
      </c>
      <c r="BC16" s="497">
        <f t="shared" si="8"/>
        <v>268</v>
      </c>
      <c r="BD16" s="497">
        <f t="shared" si="8"/>
        <v>268</v>
      </c>
      <c r="BE16" s="497">
        <f t="shared" si="8"/>
        <v>268</v>
      </c>
      <c r="BF16" s="497">
        <f t="shared" si="8"/>
        <v>260</v>
      </c>
      <c r="BG16" s="497">
        <f t="shared" si="8"/>
        <v>260</v>
      </c>
      <c r="BH16" s="497">
        <f t="shared" si="8"/>
        <v>260</v>
      </c>
      <c r="BI16" s="497">
        <f t="shared" si="8"/>
        <v>260</v>
      </c>
      <c r="BJ16" s="497">
        <f t="shared" si="8"/>
        <v>260</v>
      </c>
      <c r="BK16" s="497">
        <f t="shared" si="8"/>
        <v>260</v>
      </c>
      <c r="BL16" s="497">
        <f t="shared" si="8"/>
        <v>252</v>
      </c>
      <c r="BM16" s="497">
        <f t="shared" si="8"/>
        <v>252</v>
      </c>
      <c r="BN16" s="497">
        <f t="shared" si="8"/>
        <v>252</v>
      </c>
      <c r="BO16" s="497">
        <f t="shared" si="8"/>
        <v>252</v>
      </c>
      <c r="BP16" s="497">
        <f t="shared" si="8"/>
        <v>252</v>
      </c>
      <c r="BQ16" s="497">
        <f t="shared" si="8"/>
        <v>252</v>
      </c>
      <c r="BR16" s="497">
        <f t="shared" si="8"/>
        <v>244</v>
      </c>
      <c r="BS16" s="497">
        <f t="shared" si="8"/>
        <v>244</v>
      </c>
      <c r="BT16" s="497">
        <f t="shared" si="8"/>
        <v>244</v>
      </c>
      <c r="BU16" s="497">
        <f t="shared" si="8"/>
        <v>244</v>
      </c>
      <c r="BV16" s="497">
        <f t="shared" si="8"/>
        <v>244</v>
      </c>
      <c r="BW16" s="497">
        <f t="shared" si="8"/>
        <v>244</v>
      </c>
      <c r="BX16" s="497">
        <f t="shared" si="8"/>
        <v>236</v>
      </c>
      <c r="BY16" s="497">
        <f t="shared" si="8"/>
        <v>236</v>
      </c>
      <c r="BZ16" s="497">
        <f t="shared" si="8"/>
        <v>236</v>
      </c>
      <c r="CA16" s="497">
        <f t="shared" si="8"/>
        <v>236</v>
      </c>
      <c r="CB16" s="497">
        <f t="shared" si="8"/>
        <v>236</v>
      </c>
      <c r="CC16" s="497">
        <f t="shared" si="8"/>
        <v>236</v>
      </c>
      <c r="CD16" s="497">
        <f t="shared" si="8"/>
        <v>228</v>
      </c>
    </row>
    <row r="17" spans="1:85" x14ac:dyDescent="0.3">
      <c r="A17" s="7"/>
      <c r="B17" s="1"/>
      <c r="C17" s="2"/>
      <c r="D17" s="2"/>
      <c r="E17" s="2" t="s">
        <v>191</v>
      </c>
      <c r="F17" s="2"/>
      <c r="G17" s="2"/>
      <c r="H17" s="2"/>
      <c r="I17" s="67">
        <v>0</v>
      </c>
      <c r="J17" s="67">
        <v>0</v>
      </c>
      <c r="K17" s="67">
        <v>0</v>
      </c>
      <c r="L17" s="67">
        <v>0</v>
      </c>
      <c r="M17" s="2"/>
      <c r="N17" s="19">
        <f>'Value Segment'!I17+'Mid-Market Segment'!I17+'Upper Mid-Market Segment'!I17+'Premium Segment'!I17+'Closures Overlay'!I17+'Disposals Overlay'!I17</f>
        <v>0</v>
      </c>
      <c r="O17" s="497">
        <f t="shared" si="7"/>
        <v>16</v>
      </c>
      <c r="P17" s="497">
        <f t="shared" si="7"/>
        <v>32</v>
      </c>
      <c r="Q17" s="497">
        <f t="shared" si="7"/>
        <v>48</v>
      </c>
      <c r="R17" s="497">
        <f t="shared" si="7"/>
        <v>64</v>
      </c>
      <c r="S17" s="497">
        <f t="shared" si="7"/>
        <v>80</v>
      </c>
      <c r="T17" s="2"/>
      <c r="U17" s="10"/>
      <c r="W17" s="19">
        <f>-'Disposals Overlay'!R17</f>
        <v>0</v>
      </c>
      <c r="X17" s="19">
        <f>-'Disposals Overlay'!S17</f>
        <v>0</v>
      </c>
      <c r="Y17" s="19">
        <f>-'Disposals Overlay'!T17</f>
        <v>0</v>
      </c>
      <c r="Z17" s="19">
        <f>-'Disposals Overlay'!U17</f>
        <v>0</v>
      </c>
      <c r="AA17" s="19">
        <f>-'Disposals Overlay'!V17</f>
        <v>0</v>
      </c>
      <c r="AB17" s="19">
        <f>-'Disposals Overlay'!W17</f>
        <v>8</v>
      </c>
      <c r="AC17" s="19">
        <f>-'Disposals Overlay'!X17</f>
        <v>8</v>
      </c>
      <c r="AD17" s="19">
        <f>-'Disposals Overlay'!Y17</f>
        <v>8</v>
      </c>
      <c r="AE17" s="19">
        <f>-'Disposals Overlay'!Z17</f>
        <v>8</v>
      </c>
      <c r="AF17" s="19">
        <f>-'Disposals Overlay'!AA17</f>
        <v>8</v>
      </c>
      <c r="AG17" s="19">
        <f>-'Disposals Overlay'!AB17</f>
        <v>8</v>
      </c>
      <c r="AH17" s="19">
        <f>-'Disposals Overlay'!AC17</f>
        <v>16</v>
      </c>
      <c r="AI17" s="19">
        <f>-'Disposals Overlay'!AD17</f>
        <v>16</v>
      </c>
      <c r="AJ17" s="19">
        <f>-'Disposals Overlay'!AE17</f>
        <v>16</v>
      </c>
      <c r="AK17" s="19">
        <f>-'Disposals Overlay'!AF17</f>
        <v>16</v>
      </c>
      <c r="AL17" s="19">
        <f>-'Disposals Overlay'!AG17</f>
        <v>16</v>
      </c>
      <c r="AM17" s="19">
        <f>-'Disposals Overlay'!AH17</f>
        <v>16</v>
      </c>
      <c r="AN17" s="19">
        <f>-'Disposals Overlay'!AI17</f>
        <v>24</v>
      </c>
      <c r="AO17" s="19">
        <f>-'Disposals Overlay'!AJ17</f>
        <v>24</v>
      </c>
      <c r="AP17" s="19">
        <f>-'Disposals Overlay'!AK17</f>
        <v>24</v>
      </c>
      <c r="AQ17" s="19">
        <f>-'Disposals Overlay'!AL17</f>
        <v>24</v>
      </c>
      <c r="AR17" s="19">
        <f>-'Disposals Overlay'!AM17</f>
        <v>24</v>
      </c>
      <c r="AS17" s="19">
        <f>-'Disposals Overlay'!AN17</f>
        <v>24</v>
      </c>
      <c r="AT17" s="19">
        <f>-'Disposals Overlay'!AO17</f>
        <v>32</v>
      </c>
      <c r="AU17" s="19">
        <f>-'Disposals Overlay'!AP17</f>
        <v>32</v>
      </c>
      <c r="AV17" s="19">
        <f>-'Disposals Overlay'!AQ17</f>
        <v>32</v>
      </c>
      <c r="AW17" s="19">
        <f>-'Disposals Overlay'!AR17</f>
        <v>32</v>
      </c>
      <c r="AX17" s="19">
        <f>-'Disposals Overlay'!AS17</f>
        <v>32</v>
      </c>
      <c r="AY17" s="19">
        <f>-'Disposals Overlay'!AT17</f>
        <v>32</v>
      </c>
      <c r="AZ17" s="19">
        <f>-'Disposals Overlay'!AU17</f>
        <v>40</v>
      </c>
      <c r="BA17" s="19">
        <f>-'Disposals Overlay'!AV17</f>
        <v>40</v>
      </c>
      <c r="BB17" s="19">
        <f>-'Disposals Overlay'!AW17</f>
        <v>40</v>
      </c>
      <c r="BC17" s="19">
        <f>-'Disposals Overlay'!AX17</f>
        <v>40</v>
      </c>
      <c r="BD17" s="19">
        <f>-'Disposals Overlay'!AY17</f>
        <v>40</v>
      </c>
      <c r="BE17" s="19">
        <f>-'Disposals Overlay'!AZ17</f>
        <v>40</v>
      </c>
      <c r="BF17" s="19">
        <f>-'Disposals Overlay'!BA17</f>
        <v>48</v>
      </c>
      <c r="BG17" s="19">
        <f>-'Disposals Overlay'!BB17</f>
        <v>48</v>
      </c>
      <c r="BH17" s="19">
        <f>-'Disposals Overlay'!BC17</f>
        <v>48</v>
      </c>
      <c r="BI17" s="19">
        <f>-'Disposals Overlay'!BD17</f>
        <v>48</v>
      </c>
      <c r="BJ17" s="19">
        <f>-'Disposals Overlay'!BE17</f>
        <v>48</v>
      </c>
      <c r="BK17" s="19">
        <f>-'Disposals Overlay'!BF17</f>
        <v>48</v>
      </c>
      <c r="BL17" s="19">
        <f>-'Disposals Overlay'!BG17</f>
        <v>56</v>
      </c>
      <c r="BM17" s="19">
        <f>-'Disposals Overlay'!BH17</f>
        <v>56</v>
      </c>
      <c r="BN17" s="19">
        <f>-'Disposals Overlay'!BI17</f>
        <v>56</v>
      </c>
      <c r="BO17" s="19">
        <f>-'Disposals Overlay'!BJ17</f>
        <v>56</v>
      </c>
      <c r="BP17" s="19">
        <f>-'Disposals Overlay'!BK17</f>
        <v>56</v>
      </c>
      <c r="BQ17" s="19">
        <f>-'Disposals Overlay'!BL17</f>
        <v>56</v>
      </c>
      <c r="BR17" s="19">
        <f>-'Disposals Overlay'!BM17</f>
        <v>64</v>
      </c>
      <c r="BS17" s="19">
        <f>-'Disposals Overlay'!BN17</f>
        <v>64</v>
      </c>
      <c r="BT17" s="19">
        <f>-'Disposals Overlay'!BO17</f>
        <v>64</v>
      </c>
      <c r="BU17" s="19">
        <f>-'Disposals Overlay'!BP17</f>
        <v>64</v>
      </c>
      <c r="BV17" s="19">
        <f>-'Disposals Overlay'!BQ17</f>
        <v>64</v>
      </c>
      <c r="BW17" s="19">
        <f>-'Disposals Overlay'!BR17</f>
        <v>64</v>
      </c>
      <c r="BX17" s="19">
        <f>-'Disposals Overlay'!BS17</f>
        <v>72</v>
      </c>
      <c r="BY17" s="19">
        <f>-'Disposals Overlay'!BT17</f>
        <v>72</v>
      </c>
      <c r="BZ17" s="19">
        <f>-'Disposals Overlay'!BU17</f>
        <v>72</v>
      </c>
      <c r="CA17" s="19">
        <f>-'Disposals Overlay'!BV17</f>
        <v>72</v>
      </c>
      <c r="CB17" s="19">
        <f>-'Disposals Overlay'!BW17</f>
        <v>72</v>
      </c>
      <c r="CC17" s="19">
        <f>-'Disposals Overlay'!BX17</f>
        <v>72</v>
      </c>
      <c r="CD17" s="19">
        <f>-'Disposals Overlay'!BY17</f>
        <v>80</v>
      </c>
    </row>
    <row r="18" spans="1:85" x14ac:dyDescent="0.3">
      <c r="A18" s="7"/>
      <c r="B18" s="1"/>
      <c r="C18" s="2"/>
      <c r="D18" s="2"/>
      <c r="E18" s="2"/>
      <c r="F18" s="2"/>
      <c r="G18" s="2"/>
      <c r="H18" s="2"/>
      <c r="I18" s="2"/>
      <c r="J18" s="2"/>
      <c r="K18" s="2"/>
      <c r="L18" s="2"/>
      <c r="M18" s="2"/>
      <c r="N18" s="37"/>
      <c r="O18" s="2"/>
      <c r="P18" s="2"/>
      <c r="Q18" s="2"/>
      <c r="R18" s="2"/>
      <c r="S18" s="2"/>
      <c r="T18" s="2"/>
      <c r="U18" s="10"/>
      <c r="W18" s="2"/>
      <c r="X18" s="2"/>
      <c r="Y18" s="2"/>
      <c r="Z18" s="2"/>
      <c r="AA18" s="2"/>
      <c r="AB18" s="2"/>
      <c r="AC18" s="2"/>
      <c r="AD18" s="2"/>
      <c r="AE18" s="2"/>
      <c r="AF18" s="2"/>
      <c r="AG18" s="2"/>
      <c r="AH18" s="2"/>
      <c r="AI18" s="2"/>
      <c r="AJ18" s="2"/>
      <c r="AK18" s="2"/>
      <c r="AL18" s="2"/>
      <c r="AM18" s="2"/>
      <c r="AN18" s="2"/>
      <c r="AO18" s="2"/>
      <c r="AP18" s="2"/>
      <c r="AQ18" s="2"/>
      <c r="AR18" s="2"/>
      <c r="AS18" s="2"/>
      <c r="AT18" s="2"/>
      <c r="AU18" s="2"/>
      <c r="AV18" s="2"/>
      <c r="AW18" s="2"/>
      <c r="AX18" s="2"/>
      <c r="AY18" s="2"/>
      <c r="AZ18" s="2"/>
      <c r="BA18" s="2"/>
      <c r="BB18" s="2"/>
      <c r="BC18" s="2"/>
      <c r="BD18" s="2"/>
      <c r="BE18" s="2"/>
      <c r="BF18" s="2"/>
      <c r="BG18" s="2"/>
      <c r="BH18" s="2"/>
      <c r="BI18" s="2"/>
      <c r="BJ18" s="2"/>
      <c r="BK18" s="2"/>
      <c r="BL18" s="2"/>
      <c r="BM18" s="2"/>
      <c r="BN18" s="2"/>
      <c r="BO18" s="2"/>
      <c r="BP18" s="2"/>
      <c r="BQ18" s="2"/>
      <c r="BR18" s="2"/>
      <c r="BS18" s="2"/>
      <c r="BT18" s="2"/>
      <c r="BU18" s="2"/>
      <c r="BV18" s="2"/>
      <c r="BW18" s="2"/>
      <c r="BX18" s="2"/>
      <c r="BY18" s="2"/>
      <c r="BZ18" s="2"/>
      <c r="CA18" s="2"/>
      <c r="CB18" s="2"/>
      <c r="CC18" s="2"/>
      <c r="CD18" s="2"/>
    </row>
    <row r="19" spans="1:85" x14ac:dyDescent="0.3">
      <c r="A19" s="7"/>
      <c r="B19" s="1"/>
      <c r="C19" s="40"/>
      <c r="D19" s="2"/>
      <c r="E19" s="405" t="s">
        <v>373</v>
      </c>
      <c r="F19" s="54"/>
      <c r="G19" s="54"/>
      <c r="H19" s="54"/>
      <c r="I19" s="67">
        <v>48080.239999999983</v>
      </c>
      <c r="J19" s="67">
        <v>46956.913000000015</v>
      </c>
      <c r="K19" s="67">
        <v>45148.003999999979</v>
      </c>
      <c r="L19" s="67">
        <v>44564.816000000035</v>
      </c>
      <c r="M19" s="54"/>
      <c r="N19" s="19">
        <f>'Value Segment'!I19+'Mid-Market Segment'!I19+'Upper Mid-Market Segment'!I19+'Premium Segment'!I19+'Closures Overlay'!I19+'Disposals Overlay'!I19</f>
        <v>46171.619896121454</v>
      </c>
      <c r="O19" s="19">
        <f>'Value Segment'!J19+'Mid-Market Segment'!J19+'Upper Mid-Market Segment'!J19+'Premium Segment'!J19+'Closures Overlay'!J19+'Disposals Overlay'!J19</f>
        <v>45875.273438752156</v>
      </c>
      <c r="P19" s="19">
        <f>'Value Segment'!K19+'Mid-Market Segment'!K19+'Upper Mid-Market Segment'!K19+'Premium Segment'!K19+'Closures Overlay'!K19+'Disposals Overlay'!K19</f>
        <v>44232.509289320893</v>
      </c>
      <c r="Q19" s="19">
        <f>'Value Segment'!L19+'Mid-Market Segment'!L19+'Upper Mid-Market Segment'!L19+'Premium Segment'!L19+'Closures Overlay'!L19+'Disposals Overlay'!L19</f>
        <v>42482.492381980337</v>
      </c>
      <c r="R19" s="19">
        <f>'Value Segment'!M19+'Mid-Market Segment'!M19+'Upper Mid-Market Segment'!M19+'Premium Segment'!M19+'Closures Overlay'!M19+'Disposals Overlay'!M19</f>
        <v>40663.945912943469</v>
      </c>
      <c r="S19" s="19">
        <f>'Value Segment'!N19+'Mid-Market Segment'!N19+'Upper Mid-Market Segment'!N19+'Premium Segment'!N19+'Closures Overlay'!N19+'Disposals Overlay'!N19</f>
        <v>38757.829163319802</v>
      </c>
      <c r="T19" s="37"/>
      <c r="U19" s="55">
        <f>IFERROR(((S19/N19)^(1/5))-1,0)</f>
        <v>-3.4400868472398427E-2</v>
      </c>
      <c r="W19" s="19">
        <f>'Value Segment'!R19+'Mid-Market Segment'!R19+'Upper Mid-Market Segment'!R19+'Premium Segment'!R19+'Closures Overlay'!R19+'Disposals Overlay'!R19</f>
        <v>3847.6349913434537</v>
      </c>
      <c r="X19" s="19">
        <f>'Value Segment'!S19+'Mid-Market Segment'!S19+'Upper Mid-Market Segment'!S19+'Premium Segment'!S19+'Closures Overlay'!S19+'Disposals Overlay'!S19</f>
        <v>3847.6349913434537</v>
      </c>
      <c r="Y19" s="19">
        <f>'Value Segment'!T19+'Mid-Market Segment'!T19+'Upper Mid-Market Segment'!T19+'Premium Segment'!T19+'Closures Overlay'!T19+'Disposals Overlay'!T19</f>
        <v>3847.6349913434537</v>
      </c>
      <c r="Z19" s="19">
        <f>'Value Segment'!U19+'Mid-Market Segment'!U19+'Upper Mid-Market Segment'!U19+'Premium Segment'!U19+'Closures Overlay'!U19+'Disposals Overlay'!U19</f>
        <v>3847.6349913434537</v>
      </c>
      <c r="AA19" s="19">
        <f>'Value Segment'!V19+'Mid-Market Segment'!V19+'Upper Mid-Market Segment'!V19+'Premium Segment'!V19+'Closures Overlay'!V19+'Disposals Overlay'!V19</f>
        <v>3847.6349913434537</v>
      </c>
      <c r="AB19" s="19">
        <f>'Value Segment'!W19+'Mid-Market Segment'!W19+'Upper Mid-Market Segment'!W19+'Premium Segment'!W19+'Closures Overlay'!W19+'Disposals Overlay'!W19</f>
        <v>3744.3427768107435</v>
      </c>
      <c r="AC19" s="19">
        <f>'Value Segment'!X19+'Mid-Market Segment'!X19+'Upper Mid-Market Segment'!X19+'Premium Segment'!X19+'Closures Overlay'!X19+'Disposals Overlay'!X19</f>
        <v>3833.0826527222871</v>
      </c>
      <c r="AD19" s="19">
        <f>'Value Segment'!Y19+'Mid-Market Segment'!Y19+'Upper Mid-Market Segment'!Y19+'Premium Segment'!Y19+'Closures Overlay'!Y19+'Disposals Overlay'!Y19</f>
        <v>3833.0826527222871</v>
      </c>
      <c r="AE19" s="19">
        <f>'Value Segment'!Z19+'Mid-Market Segment'!Z19+'Upper Mid-Market Segment'!Z19+'Premium Segment'!Z19+'Closures Overlay'!Z19+'Disposals Overlay'!Z19</f>
        <v>3833.0826527222871</v>
      </c>
      <c r="AF19" s="19">
        <f>'Value Segment'!AA19+'Mid-Market Segment'!AA19+'Upper Mid-Market Segment'!AA19+'Premium Segment'!AA19+'Closures Overlay'!AA19+'Disposals Overlay'!AA19</f>
        <v>3833.0826527222871</v>
      </c>
      <c r="AG19" s="19">
        <f>'Value Segment'!AB19+'Mid-Market Segment'!AB19+'Upper Mid-Market Segment'!AB19+'Premium Segment'!AB19+'Closures Overlay'!AB19+'Disposals Overlay'!AB19</f>
        <v>3833.0826527222871</v>
      </c>
      <c r="AH19" s="19">
        <f>'Value Segment'!AC19+'Mid-Market Segment'!AC19+'Upper Mid-Market Segment'!AC19+'Premium Segment'!AC19+'Closures Overlay'!AC19+'Disposals Overlay'!AC19</f>
        <v>3727.3424416127068</v>
      </c>
      <c r="AI19" s="19">
        <f>'Value Segment'!AD19+'Mid-Market Segment'!AD19+'Upper Mid-Market Segment'!AD19+'Premium Segment'!AD19+'Closures Overlay'!AD19+'Disposals Overlay'!AD19</f>
        <v>3705.0941594126466</v>
      </c>
      <c r="AJ19" s="19">
        <f>'Value Segment'!AE19+'Mid-Market Segment'!AE19+'Upper Mid-Market Segment'!AE19+'Premium Segment'!AE19+'Closures Overlay'!AE19+'Disposals Overlay'!AE19</f>
        <v>3705.0941594126466</v>
      </c>
      <c r="AK19" s="19">
        <f>'Value Segment'!AF19+'Mid-Market Segment'!AF19+'Upper Mid-Market Segment'!AF19+'Premium Segment'!AF19+'Closures Overlay'!AF19+'Disposals Overlay'!AF19</f>
        <v>3705.0941594126466</v>
      </c>
      <c r="AL19" s="19">
        <f>'Value Segment'!AG19+'Mid-Market Segment'!AG19+'Upper Mid-Market Segment'!AG19+'Premium Segment'!AG19+'Closures Overlay'!AG19+'Disposals Overlay'!AG19</f>
        <v>3705.0941594126466</v>
      </c>
      <c r="AM19" s="19">
        <f>'Value Segment'!AH19+'Mid-Market Segment'!AH19+'Upper Mid-Market Segment'!AH19+'Premium Segment'!AH19+'Closures Overlay'!AH19+'Disposals Overlay'!AH19</f>
        <v>3705.0941594126466</v>
      </c>
      <c r="AN19" s="19">
        <f>'Value Segment'!AI19+'Mid-Market Segment'!AI19+'Upper Mid-Market Segment'!AI19+'Premium Segment'!AI19+'Closures Overlay'!AI19+'Disposals Overlay'!AI19</f>
        <v>3599.9851052449121</v>
      </c>
      <c r="AO19" s="19">
        <f>'Value Segment'!AJ19+'Mid-Market Segment'!AJ19+'Upper Mid-Market Segment'!AJ19+'Premium Segment'!AJ19+'Closures Overlay'!AJ19+'Disposals Overlay'!AJ19</f>
        <v>3702.5260562600802</v>
      </c>
      <c r="AP19" s="19">
        <f>'Value Segment'!AK19+'Mid-Market Segment'!AK19+'Upper Mid-Market Segment'!AK19+'Premium Segment'!AK19+'Closures Overlay'!AK19+'Disposals Overlay'!AK19</f>
        <v>3702.5260562600802</v>
      </c>
      <c r="AQ19" s="19">
        <f>'Value Segment'!AL19+'Mid-Market Segment'!AL19+'Upper Mid-Market Segment'!AL19+'Premium Segment'!AL19+'Closures Overlay'!AL19+'Disposals Overlay'!AL19</f>
        <v>3702.5260562600802</v>
      </c>
      <c r="AR19" s="19">
        <f>'Value Segment'!AM19+'Mid-Market Segment'!AM19+'Upper Mid-Market Segment'!AM19+'Premium Segment'!AM19+'Closures Overlay'!AM19+'Disposals Overlay'!AM19</f>
        <v>3702.5260562600802</v>
      </c>
      <c r="AS19" s="19">
        <f>'Value Segment'!AN19+'Mid-Market Segment'!AN19+'Upper Mid-Market Segment'!AN19+'Premium Segment'!AN19+'Closures Overlay'!AN19+'Disposals Overlay'!AN19</f>
        <v>3702.5260562600802</v>
      </c>
      <c r="AT19" s="19">
        <f>'Value Segment'!AO19+'Mid-Market Segment'!AO19+'Upper Mid-Market Segment'!AO19+'Premium Segment'!AO19+'Closures Overlay'!AO19+'Disposals Overlay'!AO19</f>
        <v>3594.4231057123407</v>
      </c>
      <c r="AU19" s="19">
        <f>'Value Segment'!AP19+'Mid-Market Segment'!AP19+'Upper Mid-Market Segment'!AP19+'Premium Segment'!AP19+'Closures Overlay'!AP19+'Disposals Overlay'!AP19</f>
        <v>3554.8223448543672</v>
      </c>
      <c r="AV19" s="19">
        <f>'Value Segment'!AQ19+'Mid-Market Segment'!AQ19+'Upper Mid-Market Segment'!AQ19+'Premium Segment'!AQ19+'Closures Overlay'!AQ19+'Disposals Overlay'!AQ19</f>
        <v>3554.8223448543672</v>
      </c>
      <c r="AW19" s="19">
        <f>'Value Segment'!AR19+'Mid-Market Segment'!AR19+'Upper Mid-Market Segment'!AR19+'Premium Segment'!AR19+'Closures Overlay'!AR19+'Disposals Overlay'!AR19</f>
        <v>3554.8223448543672</v>
      </c>
      <c r="AX19" s="19">
        <f>'Value Segment'!AS19+'Mid-Market Segment'!AS19+'Upper Mid-Market Segment'!AS19+'Premium Segment'!AS19+'Closures Overlay'!AS19+'Disposals Overlay'!AS19</f>
        <v>3554.8223448543672</v>
      </c>
      <c r="AY19" s="19">
        <f>'Value Segment'!AT19+'Mid-Market Segment'!AT19+'Upper Mid-Market Segment'!AT19+'Premium Segment'!AT19+'Closures Overlay'!AT19+'Disposals Overlay'!AT19</f>
        <v>3554.8223448543672</v>
      </c>
      <c r="AZ19" s="19">
        <f>'Value Segment'!AU19+'Mid-Market Segment'!AU19+'Upper Mid-Market Segment'!AU19+'Premium Segment'!AU19+'Closures Overlay'!AU19+'Disposals Overlay'!AU19</f>
        <v>3447.9103946331829</v>
      </c>
      <c r="BA19" s="19">
        <f>'Value Segment'!AV19+'Mid-Market Segment'!AV19+'Upper Mid-Market Segment'!AV19+'Premium Segment'!AV19+'Closures Overlay'!AV19+'Disposals Overlay'!AV19</f>
        <v>3561.8190440736562</v>
      </c>
      <c r="BB19" s="19">
        <f>'Value Segment'!AW19+'Mid-Market Segment'!AW19+'Upper Mid-Market Segment'!AW19+'Premium Segment'!AW19+'Closures Overlay'!AW19+'Disposals Overlay'!AW19</f>
        <v>3561.8190440736562</v>
      </c>
      <c r="BC19" s="19">
        <f>'Value Segment'!AX19+'Mid-Market Segment'!AX19+'Upper Mid-Market Segment'!AX19+'Premium Segment'!AX19+'Closures Overlay'!AX19+'Disposals Overlay'!AX19</f>
        <v>3561.8190440736562</v>
      </c>
      <c r="BD19" s="19">
        <f>'Value Segment'!AY19+'Mid-Market Segment'!AY19+'Upper Mid-Market Segment'!AY19+'Premium Segment'!AY19+'Closures Overlay'!AY19+'Disposals Overlay'!AY19</f>
        <v>3561.8190440736562</v>
      </c>
      <c r="BE19" s="19">
        <f>'Value Segment'!AZ19+'Mid-Market Segment'!AZ19+'Upper Mid-Market Segment'!AZ19+'Premium Segment'!AZ19+'Closures Overlay'!AZ19+'Disposals Overlay'!AZ19</f>
        <v>3561.8190440736562</v>
      </c>
      <c r="BF19" s="19">
        <f>'Value Segment'!BA19+'Mid-Market Segment'!BA19+'Upper Mid-Market Segment'!BA19+'Premium Segment'!BA19+'Closures Overlay'!BA19+'Disposals Overlay'!BA19</f>
        <v>3451.3750427070308</v>
      </c>
      <c r="BG19" s="19">
        <f>'Value Segment'!BB19+'Mid-Market Segment'!BB19+'Upper Mid-Market Segment'!BB19+'Premium Segment'!BB19+'Closures Overlay'!BB19+'Disposals Overlay'!BB19</f>
        <v>3400.0386460580294</v>
      </c>
      <c r="BH19" s="19">
        <f>'Value Segment'!BC19+'Mid-Market Segment'!BC19+'Upper Mid-Market Segment'!BC19+'Premium Segment'!BC19+'Closures Overlay'!BC19+'Disposals Overlay'!BC19</f>
        <v>3400.0386460580294</v>
      </c>
      <c r="BI19" s="19">
        <f>'Value Segment'!BD19+'Mid-Market Segment'!BD19+'Upper Mid-Market Segment'!BD19+'Premium Segment'!BD19+'Closures Overlay'!BD19+'Disposals Overlay'!BD19</f>
        <v>3400.0386460580294</v>
      </c>
      <c r="BJ19" s="19">
        <f>'Value Segment'!BE19+'Mid-Market Segment'!BE19+'Upper Mid-Market Segment'!BE19+'Premium Segment'!BE19+'Closures Overlay'!BE19+'Disposals Overlay'!BE19</f>
        <v>3400.0386460580294</v>
      </c>
      <c r="BK19" s="19">
        <f>'Value Segment'!BF19+'Mid-Market Segment'!BF19+'Upper Mid-Market Segment'!BF19+'Premium Segment'!BF19+'Closures Overlay'!BF19+'Disposals Overlay'!BF19</f>
        <v>3400.0386460580294</v>
      </c>
      <c r="BL19" s="19">
        <f>'Value Segment'!BG19+'Mid-Market Segment'!BG19+'Upper Mid-Market Segment'!BG19+'Premium Segment'!BG19+'Closures Overlay'!BG19+'Disposals Overlay'!BG19</f>
        <v>3291.2374093841727</v>
      </c>
      <c r="BM19" s="19">
        <f>'Value Segment'!BH19+'Mid-Market Segment'!BH19+'Upper Mid-Market Segment'!BH19+'Premium Segment'!BH19+'Closures Overlay'!BH19+'Disposals Overlay'!BH19</f>
        <v>3414.2303989827806</v>
      </c>
      <c r="BN19" s="19">
        <f>'Value Segment'!BI19+'Mid-Market Segment'!BI19+'Upper Mid-Market Segment'!BI19+'Premium Segment'!BI19+'Closures Overlay'!BI19+'Disposals Overlay'!BI19</f>
        <v>3414.2303989827806</v>
      </c>
      <c r="BO19" s="19">
        <f>'Value Segment'!BJ19+'Mid-Market Segment'!BJ19+'Upper Mid-Market Segment'!BJ19+'Premium Segment'!BJ19+'Closures Overlay'!BJ19+'Disposals Overlay'!BJ19</f>
        <v>3414.2303989827806</v>
      </c>
      <c r="BP19" s="19">
        <f>'Value Segment'!BK19+'Mid-Market Segment'!BK19+'Upper Mid-Market Segment'!BK19+'Premium Segment'!BK19+'Closures Overlay'!BK19+'Disposals Overlay'!BK19</f>
        <v>3414.2303989827806</v>
      </c>
      <c r="BQ19" s="19">
        <f>'Value Segment'!BL19+'Mid-Market Segment'!BL19+'Upper Mid-Market Segment'!BL19+'Premium Segment'!BL19+'Closures Overlay'!BL19+'Disposals Overlay'!BL19</f>
        <v>3414.2303989827806</v>
      </c>
      <c r="BR19" s="19">
        <f>'Value Segment'!BM19+'Mid-Market Segment'!BM19+'Upper Mid-Market Segment'!BM19+'Premium Segment'!BM19+'Closures Overlay'!BM19+'Disposals Overlay'!BM19</f>
        <v>3301.3632783552507</v>
      </c>
      <c r="BS19" s="19">
        <f>'Value Segment'!BN19+'Mid-Market Segment'!BN19+'Upper Mid-Market Segment'!BN19+'Premium Segment'!BN19+'Closures Overlay'!BN19+'Disposals Overlay'!BN19</f>
        <v>3239.2027699497644</v>
      </c>
      <c r="BT19" s="19">
        <f>'Value Segment'!BO19+'Mid-Market Segment'!BO19+'Upper Mid-Market Segment'!BO19+'Premium Segment'!BO19+'Closures Overlay'!BO19+'Disposals Overlay'!BO19</f>
        <v>3239.2027699497644</v>
      </c>
      <c r="BU19" s="19">
        <f>'Value Segment'!BP19+'Mid-Market Segment'!BP19+'Upper Mid-Market Segment'!BP19+'Premium Segment'!BP19+'Closures Overlay'!BP19+'Disposals Overlay'!BP19</f>
        <v>3239.2027699497644</v>
      </c>
      <c r="BV19" s="19">
        <f>'Value Segment'!BQ19+'Mid-Market Segment'!BQ19+'Upper Mid-Market Segment'!BQ19+'Premium Segment'!BQ19+'Closures Overlay'!BQ19+'Disposals Overlay'!BQ19</f>
        <v>3239.2027699497644</v>
      </c>
      <c r="BW19" s="19">
        <f>'Value Segment'!BR19+'Mid-Market Segment'!BR19+'Upper Mid-Market Segment'!BR19+'Premium Segment'!BR19+'Closures Overlay'!BR19+'Disposals Overlay'!BR19</f>
        <v>3239.2027699497644</v>
      </c>
      <c r="BX19" s="19">
        <f>'Value Segment'!BS19+'Mid-Market Segment'!BS19+'Upper Mid-Market Segment'!BS19+'Premium Segment'!BS19+'Closures Overlay'!BS19+'Disposals Overlay'!BS19</f>
        <v>3128.4607949087467</v>
      </c>
      <c r="BY19" s="19">
        <f>'Value Segment'!BT19+'Mid-Market Segment'!BT19+'Upper Mid-Market Segment'!BT19+'Premium Segment'!BT19+'Closures Overlay'!BT19+'Disposals Overlay'!BT19</f>
        <v>3258.1143332475272</v>
      </c>
      <c r="BZ19" s="19">
        <f>'Value Segment'!BU19+'Mid-Market Segment'!BU19+'Upper Mid-Market Segment'!BU19+'Premium Segment'!BU19+'Closures Overlay'!BU19+'Disposals Overlay'!BU19</f>
        <v>3258.1143332475272</v>
      </c>
      <c r="CA19" s="19">
        <f>'Value Segment'!BV19+'Mid-Market Segment'!BV19+'Upper Mid-Market Segment'!BV19+'Premium Segment'!BV19+'Closures Overlay'!BV19+'Disposals Overlay'!BV19</f>
        <v>3258.1143332475272</v>
      </c>
      <c r="CB19" s="19">
        <f>'Value Segment'!BW19+'Mid-Market Segment'!BW19+'Upper Mid-Market Segment'!BW19+'Premium Segment'!BW19+'Closures Overlay'!BW19+'Disposals Overlay'!BW19</f>
        <v>3258.1143332475272</v>
      </c>
      <c r="CC19" s="19">
        <f>'Value Segment'!BX19+'Mid-Market Segment'!BX19+'Upper Mid-Market Segment'!BX19+'Premium Segment'!BX19+'Closures Overlay'!BX19+'Disposals Overlay'!BX19</f>
        <v>3258.1143332475272</v>
      </c>
      <c r="CD19" s="19">
        <f>'Value Segment'!BY19+'Mid-Market Segment'!BY19+'Upper Mid-Market Segment'!BY19+'Premium Segment'!BY19+'Closures Overlay'!BY19+'Disposals Overlay'!BY19</f>
        <v>3142.7828524246061</v>
      </c>
    </row>
    <row r="20" spans="1:85" x14ac:dyDescent="0.3">
      <c r="A20" s="7"/>
      <c r="B20" s="1"/>
      <c r="C20" s="40"/>
      <c r="D20" s="2"/>
      <c r="E20" s="2"/>
      <c r="F20" s="37"/>
      <c r="G20" s="37"/>
      <c r="H20" s="37"/>
      <c r="M20" s="37"/>
      <c r="O20" s="37"/>
      <c r="P20" s="37"/>
      <c r="Q20" s="37"/>
      <c r="R20" s="37"/>
      <c r="S20" s="37"/>
      <c r="T20" s="37"/>
      <c r="U20" s="35"/>
      <c r="W20" s="37"/>
      <c r="X20" s="37"/>
      <c r="Y20" s="37"/>
      <c r="Z20" s="37"/>
      <c r="AA20" s="37"/>
      <c r="AB20" s="37"/>
      <c r="AC20" s="37"/>
      <c r="AD20" s="37"/>
      <c r="AE20" s="37"/>
      <c r="AF20" s="37"/>
      <c r="AG20" s="37"/>
      <c r="AH20" s="37"/>
      <c r="AI20" s="37"/>
      <c r="AJ20" s="37"/>
      <c r="AK20" s="37"/>
      <c r="AL20" s="37"/>
      <c r="AM20" s="37"/>
      <c r="AN20" s="37"/>
      <c r="AO20" s="37"/>
      <c r="AP20" s="37"/>
      <c r="AQ20" s="37"/>
      <c r="AR20" s="37"/>
      <c r="AS20" s="37"/>
      <c r="AT20" s="37"/>
      <c r="AU20" s="37"/>
      <c r="AV20" s="37"/>
      <c r="AW20" s="37"/>
      <c r="AX20" s="37"/>
      <c r="AY20" s="37"/>
      <c r="AZ20" s="37"/>
      <c r="BA20" s="37"/>
      <c r="BB20" s="37"/>
      <c r="BC20" s="37"/>
      <c r="BD20" s="37"/>
      <c r="BE20" s="37"/>
      <c r="BF20" s="37"/>
      <c r="BG20" s="37"/>
      <c r="BH20" s="37"/>
      <c r="BI20" s="37"/>
      <c r="BJ20" s="37"/>
      <c r="BK20" s="37"/>
      <c r="BL20" s="37"/>
      <c r="BM20" s="37"/>
      <c r="BN20" s="37"/>
      <c r="BO20" s="37"/>
      <c r="BP20" s="37"/>
      <c r="BQ20" s="37"/>
      <c r="BR20" s="37"/>
      <c r="BS20" s="37"/>
      <c r="BT20" s="37"/>
      <c r="BU20" s="37"/>
      <c r="BV20" s="37"/>
      <c r="BW20" s="37"/>
      <c r="BX20" s="37"/>
      <c r="BY20" s="37"/>
      <c r="BZ20" s="37"/>
      <c r="CA20" s="37"/>
      <c r="CB20" s="37"/>
      <c r="CC20" s="37"/>
      <c r="CD20" s="37"/>
    </row>
    <row r="21" spans="1:85" x14ac:dyDescent="0.3">
      <c r="A21" s="7"/>
      <c r="B21" s="1"/>
      <c r="C21" s="40"/>
      <c r="D21" s="2"/>
      <c r="E21" s="17" t="s">
        <v>22</v>
      </c>
      <c r="F21" s="37"/>
      <c r="G21" s="37"/>
      <c r="H21" s="37"/>
      <c r="I21" s="56"/>
      <c r="J21" s="56"/>
      <c r="K21" s="56"/>
      <c r="L21" s="56"/>
      <c r="M21" s="37"/>
      <c r="N21" s="56"/>
      <c r="O21" s="56"/>
      <c r="P21" s="56"/>
      <c r="Q21" s="56"/>
      <c r="R21" s="56"/>
      <c r="S21" s="56"/>
      <c r="T21" s="37"/>
      <c r="U21" s="35"/>
      <c r="W21" s="37"/>
      <c r="X21" s="37"/>
      <c r="Y21" s="37"/>
      <c r="Z21" s="37"/>
      <c r="AA21" s="37"/>
      <c r="AB21" s="37"/>
      <c r="AC21" s="37"/>
      <c r="AD21" s="37"/>
      <c r="AE21" s="37"/>
      <c r="AF21" s="37"/>
      <c r="AG21" s="37"/>
      <c r="AH21" s="37"/>
      <c r="AI21" s="37"/>
      <c r="AJ21" s="37"/>
      <c r="AK21" s="37"/>
      <c r="AL21" s="37"/>
      <c r="AM21" s="37"/>
      <c r="AN21" s="37"/>
      <c r="AO21" s="37"/>
      <c r="AP21" s="37"/>
      <c r="AQ21" s="37"/>
      <c r="AR21" s="37"/>
      <c r="AS21" s="37"/>
      <c r="AT21" s="37"/>
      <c r="AU21" s="37"/>
      <c r="AV21" s="37"/>
      <c r="AW21" s="37"/>
      <c r="AX21" s="37"/>
      <c r="AY21" s="37"/>
      <c r="AZ21" s="37"/>
      <c r="BA21" s="37"/>
      <c r="BB21" s="37"/>
      <c r="BC21" s="37"/>
      <c r="BD21" s="37"/>
      <c r="BE21" s="37"/>
      <c r="BF21" s="37"/>
      <c r="BG21" s="37"/>
      <c r="BH21" s="37"/>
      <c r="BI21" s="37"/>
      <c r="BJ21" s="37"/>
      <c r="BK21" s="37"/>
      <c r="BL21" s="37"/>
      <c r="BM21" s="37"/>
      <c r="BN21" s="37"/>
      <c r="BO21" s="37"/>
      <c r="BP21" s="37"/>
      <c r="BQ21" s="37"/>
      <c r="BR21" s="37"/>
      <c r="BS21" s="37"/>
      <c r="BT21" s="37"/>
      <c r="BU21" s="37"/>
      <c r="BV21" s="37"/>
      <c r="BW21" s="37"/>
      <c r="BX21" s="37"/>
      <c r="BY21" s="37"/>
      <c r="BZ21" s="37"/>
      <c r="CA21" s="37"/>
      <c r="CB21" s="37"/>
      <c r="CC21" s="37"/>
      <c r="CD21" s="37"/>
    </row>
    <row r="22" spans="1:85" x14ac:dyDescent="0.3">
      <c r="A22" s="7"/>
      <c r="B22" s="1"/>
      <c r="C22" s="40"/>
      <c r="D22" s="2"/>
      <c r="E22" s="4" t="s">
        <v>388</v>
      </c>
      <c r="F22" s="5"/>
      <c r="G22" s="5"/>
      <c r="H22" s="5"/>
      <c r="I22" s="505">
        <v>32651168.110000007</v>
      </c>
      <c r="J22" s="505">
        <v>34219749.560000002</v>
      </c>
      <c r="K22" s="505">
        <v>34242594.080000006</v>
      </c>
      <c r="L22" s="505">
        <v>34235780.469999991</v>
      </c>
      <c r="M22" s="5"/>
      <c r="N22" s="507">
        <f>'Value Segment'!I22+'Mid-Market Segment'!I22+'Upper Mid-Market Segment'!I22+'Premium Segment'!I22+'Closures Overlay'!I22+'Disposals Overlay'!I22</f>
        <v>35898881.881114922</v>
      </c>
      <c r="O22" s="507">
        <f>'Value Segment'!J22+'Mid-Market Segment'!J22+'Upper Mid-Market Segment'!J22+'Premium Segment'!J22+'Closures Overlay'!J22+'Disposals Overlay'!J22</f>
        <v>37005937.730014317</v>
      </c>
      <c r="P22" s="507">
        <f>'Value Segment'!K22+'Mid-Market Segment'!K22+'Upper Mid-Market Segment'!K22+'Premium Segment'!K22+'Closures Overlay'!K22+'Disposals Overlay'!K22</f>
        <v>36982657.291320056</v>
      </c>
      <c r="Q22" s="507">
        <f>'Value Segment'!L22+'Mid-Market Segment'!L22+'Upper Mid-Market Segment'!L22+'Premium Segment'!L22+'Closures Overlay'!L22+'Disposals Overlay'!L22</f>
        <v>36771739.530785859</v>
      </c>
      <c r="R22" s="507">
        <f>'Value Segment'!M22+'Mid-Market Segment'!M22+'Upper Mid-Market Segment'!M22+'Premium Segment'!M22+'Closures Overlay'!M22+'Disposals Overlay'!M22</f>
        <v>36390323.251249805</v>
      </c>
      <c r="S22" s="507">
        <f>'Value Segment'!N22+'Mid-Market Segment'!N22+'Upper Mid-Market Segment'!N22+'Premium Segment'!N22+'Closures Overlay'!N22+'Disposals Overlay'!N22</f>
        <v>35860443.43217355</v>
      </c>
      <c r="T22" s="57"/>
      <c r="U22" s="55">
        <f>IFERROR(((S22/N22)^(1/5))-1,0)</f>
        <v>-2.1424022464844317E-4</v>
      </c>
      <c r="W22" s="507">
        <f>'Value Segment'!R22+'Mid-Market Segment'!R22+'Upper Mid-Market Segment'!R22+'Premium Segment'!R22+'Closures Overlay'!R22+'Disposals Overlay'!R22</f>
        <v>3103739.0102725094</v>
      </c>
      <c r="X22" s="507">
        <f>'Value Segment'!S22+'Mid-Market Segment'!S22+'Upper Mid-Market Segment'!S22+'Premium Segment'!S22+'Closures Overlay'!S22+'Disposals Overlay'!S22</f>
        <v>3103739.0102725094</v>
      </c>
      <c r="Y22" s="507">
        <f>'Value Segment'!T22+'Mid-Market Segment'!T22+'Upper Mid-Market Segment'!T22+'Premium Segment'!T22+'Closures Overlay'!T22+'Disposals Overlay'!T22</f>
        <v>3103739.0102725094</v>
      </c>
      <c r="Z22" s="507">
        <f>'Value Segment'!U22+'Mid-Market Segment'!U22+'Upper Mid-Market Segment'!U22+'Premium Segment'!U22+'Closures Overlay'!U22+'Disposals Overlay'!U22</f>
        <v>3103739.0102725094</v>
      </c>
      <c r="AA22" s="507">
        <f>'Value Segment'!V22+'Mid-Market Segment'!V22+'Upper Mid-Market Segment'!V22+'Premium Segment'!V22+'Closures Overlay'!V22+'Disposals Overlay'!V22</f>
        <v>3103739.0102725094</v>
      </c>
      <c r="AB22" s="507">
        <f>'Value Segment'!W22+'Mid-Market Segment'!W22+'Upper Mid-Market Segment'!W22+'Premium Segment'!W22+'Closures Overlay'!W22+'Disposals Overlay'!W22</f>
        <v>3020417.1576477443</v>
      </c>
      <c r="AC22" s="507">
        <f>'Value Segment'!X22+'Mid-Market Segment'!X22+'Upper Mid-Market Segment'!X22+'Premium Segment'!X22+'Closures Overlay'!X22+'Disposals Overlay'!X22</f>
        <v>3092020.439429081</v>
      </c>
      <c r="AD22" s="507">
        <f>'Value Segment'!Y22+'Mid-Market Segment'!Y22+'Upper Mid-Market Segment'!Y22+'Premium Segment'!Y22+'Closures Overlay'!Y22+'Disposals Overlay'!Y22</f>
        <v>3092020.439429081</v>
      </c>
      <c r="AE22" s="507">
        <f>'Value Segment'!Z22+'Mid-Market Segment'!Z22+'Upper Mid-Market Segment'!Z22+'Premium Segment'!Z22+'Closures Overlay'!Z22+'Disposals Overlay'!Z22</f>
        <v>3092020.439429081</v>
      </c>
      <c r="AF22" s="507">
        <f>'Value Segment'!AA22+'Mid-Market Segment'!AA22+'Upper Mid-Market Segment'!AA22+'Premium Segment'!AA22+'Closures Overlay'!AA22+'Disposals Overlay'!AA22</f>
        <v>3092020.439429081</v>
      </c>
      <c r="AG22" s="507">
        <f>'Value Segment'!AB22+'Mid-Market Segment'!AB22+'Upper Mid-Market Segment'!AB22+'Premium Segment'!AB22+'Closures Overlay'!AB22+'Disposals Overlay'!AB22</f>
        <v>3092020.439429081</v>
      </c>
      <c r="AH22" s="507">
        <f>'Value Segment'!AC22+'Mid-Market Segment'!AC22+'Upper Mid-Market Segment'!AC22+'Premium Segment'!AC22+'Closures Overlay'!AC22+'Disposals Overlay'!AC22</f>
        <v>3006723.3238586234</v>
      </c>
      <c r="AI22" s="507">
        <f>'Value Segment'!AD22+'Mid-Market Segment'!AD22+'Upper Mid-Market Segment'!AD22+'Premium Segment'!AD22+'Closures Overlay'!AD22+'Disposals Overlay'!AD22</f>
        <v>3097800.9046675111</v>
      </c>
      <c r="AJ22" s="507">
        <f>'Value Segment'!AE22+'Mid-Market Segment'!AE22+'Upper Mid-Market Segment'!AE22+'Premium Segment'!AE22+'Closures Overlay'!AE22+'Disposals Overlay'!AE22</f>
        <v>3097800.9046675111</v>
      </c>
      <c r="AK22" s="507">
        <f>'Value Segment'!AF22+'Mid-Market Segment'!AF22+'Upper Mid-Market Segment'!AF22+'Premium Segment'!AF22+'Closures Overlay'!AF22+'Disposals Overlay'!AF22</f>
        <v>3097800.9046675111</v>
      </c>
      <c r="AL22" s="507">
        <f>'Value Segment'!AG22+'Mid-Market Segment'!AG22+'Upper Mid-Market Segment'!AG22+'Premium Segment'!AG22+'Closures Overlay'!AG22+'Disposals Overlay'!AG22</f>
        <v>3097800.9046675111</v>
      </c>
      <c r="AM22" s="507">
        <f>'Value Segment'!AH22+'Mid-Market Segment'!AH22+'Upper Mid-Market Segment'!AH22+'Premium Segment'!AH22+'Closures Overlay'!AH22+'Disposals Overlay'!AH22</f>
        <v>3097800.9046675111</v>
      </c>
      <c r="AN22" s="507">
        <f>'Value Segment'!AI22+'Mid-Market Segment'!AI22+'Upper Mid-Market Segment'!AI22+'Premium Segment'!AI22+'Closures Overlay'!AI22+'Disposals Overlay'!AI22</f>
        <v>3009920.027939355</v>
      </c>
      <c r="AO22" s="507">
        <f>'Value Segment'!AJ22+'Mid-Market Segment'!AJ22+'Upper Mid-Market Segment'!AJ22+'Premium Segment'!AJ22+'Closures Overlay'!AJ22+'Disposals Overlay'!AJ22</f>
        <v>3095686.2902028239</v>
      </c>
      <c r="AP22" s="507">
        <f>'Value Segment'!AK22+'Mid-Market Segment'!AK22+'Upper Mid-Market Segment'!AK22+'Premium Segment'!AK22+'Closures Overlay'!AK22+'Disposals Overlay'!AK22</f>
        <v>3095686.2902028239</v>
      </c>
      <c r="AQ22" s="507">
        <f>'Value Segment'!AL22+'Mid-Market Segment'!AL22+'Upper Mid-Market Segment'!AL22+'Premium Segment'!AL22+'Closures Overlay'!AL22+'Disposals Overlay'!AL22</f>
        <v>3095686.2902028239</v>
      </c>
      <c r="AR22" s="507">
        <f>'Value Segment'!AM22+'Mid-Market Segment'!AM22+'Upper Mid-Market Segment'!AM22+'Premium Segment'!AM22+'Closures Overlay'!AM22+'Disposals Overlay'!AM22</f>
        <v>3095686.2902028239</v>
      </c>
      <c r="AS22" s="507">
        <f>'Value Segment'!AN22+'Mid-Market Segment'!AN22+'Upper Mid-Market Segment'!AN22+'Premium Segment'!AN22+'Closures Overlay'!AN22+'Disposals Overlay'!AN22</f>
        <v>3095686.2902028239</v>
      </c>
      <c r="AT22" s="507">
        <f>'Value Segment'!AO22+'Mid-Market Segment'!AO22+'Upper Mid-Market Segment'!AO22+'Premium Segment'!AO22+'Closures Overlay'!AO22+'Disposals Overlay'!AO22</f>
        <v>3005301.289029019</v>
      </c>
      <c r="AU22" s="507">
        <f>'Value Segment'!AP22+'Mid-Market Segment'!AP22+'Upper Mid-Market Segment'!AP22+'Premium Segment'!AP22+'Closures Overlay'!AP22+'Disposals Overlay'!AP22</f>
        <v>3076939.7179242186</v>
      </c>
      <c r="AV22" s="507">
        <f>'Value Segment'!AQ22+'Mid-Market Segment'!AQ22+'Upper Mid-Market Segment'!AQ22+'Premium Segment'!AQ22+'Closures Overlay'!AQ22+'Disposals Overlay'!AQ22</f>
        <v>3076939.7179242186</v>
      </c>
      <c r="AW22" s="507">
        <f>'Value Segment'!AR22+'Mid-Market Segment'!AR22+'Upper Mid-Market Segment'!AR22+'Premium Segment'!AR22+'Closures Overlay'!AR22+'Disposals Overlay'!AR22</f>
        <v>3076939.7179242186</v>
      </c>
      <c r="AX22" s="507">
        <f>'Value Segment'!AS22+'Mid-Market Segment'!AS22+'Upper Mid-Market Segment'!AS22+'Premium Segment'!AS22+'Closures Overlay'!AS22+'Disposals Overlay'!AS22</f>
        <v>3076939.7179242186</v>
      </c>
      <c r="AY22" s="507">
        <f>'Value Segment'!AT22+'Mid-Market Segment'!AT22+'Upper Mid-Market Segment'!AT22+'Premium Segment'!AT22+'Closures Overlay'!AT22+'Disposals Overlay'!AT22</f>
        <v>3076939.7179242186</v>
      </c>
      <c r="AZ22" s="507">
        <f>'Value Segment'!AU22+'Mid-Market Segment'!AU22+'Upper Mid-Market Segment'!AU22+'Premium Segment'!AU22+'Closures Overlay'!AU22+'Disposals Overlay'!AU22</f>
        <v>2984400.1775355204</v>
      </c>
      <c r="BA22" s="507">
        <f>'Value Segment'!AV22+'Mid-Market Segment'!AV22+'Upper Mid-Market Segment'!AV22+'Premium Segment'!AV22+'Closures Overlay'!AV22+'Disposals Overlay'!AV22</f>
        <v>3083039.8162443787</v>
      </c>
      <c r="BB22" s="507">
        <f>'Value Segment'!AW22+'Mid-Market Segment'!AW22+'Upper Mid-Market Segment'!AW22+'Premium Segment'!AW22+'Closures Overlay'!AW22+'Disposals Overlay'!AW22</f>
        <v>3083039.8162443787</v>
      </c>
      <c r="BC22" s="507">
        <f>'Value Segment'!AX22+'Mid-Market Segment'!AX22+'Upper Mid-Market Segment'!AX22+'Premium Segment'!AX22+'Closures Overlay'!AX22+'Disposals Overlay'!AX22</f>
        <v>3083039.8162443787</v>
      </c>
      <c r="BD22" s="507">
        <f>'Value Segment'!AY22+'Mid-Market Segment'!AY22+'Upper Mid-Market Segment'!AY22+'Premium Segment'!AY22+'Closures Overlay'!AY22+'Disposals Overlay'!AY22</f>
        <v>3083039.8162443787</v>
      </c>
      <c r="BE22" s="507">
        <f>'Value Segment'!AZ22+'Mid-Market Segment'!AZ22+'Upper Mid-Market Segment'!AZ22+'Premium Segment'!AZ22+'Closures Overlay'!AZ22+'Disposals Overlay'!AZ22</f>
        <v>3083039.8162443787</v>
      </c>
      <c r="BF22" s="507">
        <f>'Value Segment'!BA22+'Mid-Market Segment'!BA22+'Upper Mid-Market Segment'!BA22+'Premium Segment'!BA22+'Closures Overlay'!BA22+'Disposals Overlay'!BA22</f>
        <v>2987441.6824073438</v>
      </c>
      <c r="BG22" s="507">
        <f>'Value Segment'!BB22+'Mid-Market Segment'!BB22+'Upper Mid-Market Segment'!BB22+'Premium Segment'!BB22+'Closures Overlay'!BB22+'Disposals Overlay'!BB22</f>
        <v>3042680.7248189356</v>
      </c>
      <c r="BH22" s="507">
        <f>'Value Segment'!BC22+'Mid-Market Segment'!BC22+'Upper Mid-Market Segment'!BC22+'Premium Segment'!BC22+'Closures Overlay'!BC22+'Disposals Overlay'!BC22</f>
        <v>3042680.7248189356</v>
      </c>
      <c r="BI22" s="507">
        <f>'Value Segment'!BD22+'Mid-Market Segment'!BD22+'Upper Mid-Market Segment'!BD22+'Premium Segment'!BD22+'Closures Overlay'!BD22+'Disposals Overlay'!BD22</f>
        <v>3042680.7248189356</v>
      </c>
      <c r="BJ22" s="507">
        <f>'Value Segment'!BE22+'Mid-Market Segment'!BE22+'Upper Mid-Market Segment'!BE22+'Premium Segment'!BE22+'Closures Overlay'!BE22+'Disposals Overlay'!BE22</f>
        <v>3042680.7248189356</v>
      </c>
      <c r="BK22" s="507">
        <f>'Value Segment'!BF22+'Mid-Market Segment'!BF22+'Upper Mid-Market Segment'!BF22+'Premium Segment'!BF22+'Closures Overlay'!BF22+'Disposals Overlay'!BF22</f>
        <v>3042680.7248189356</v>
      </c>
      <c r="BL22" s="507">
        <f>'Value Segment'!BG22+'Mid-Market Segment'!BG22+'Upper Mid-Market Segment'!BG22+'Premium Segment'!BG22+'Closures Overlay'!BG22+'Disposals Overlay'!BG22</f>
        <v>2945314.9416247299</v>
      </c>
      <c r="BM22" s="507">
        <f>'Value Segment'!BH22+'Mid-Market Segment'!BH22+'Upper Mid-Market Segment'!BH22+'Premium Segment'!BH22+'Closures Overlay'!BH22+'Disposals Overlay'!BH22</f>
        <v>3055435.1342786406</v>
      </c>
      <c r="BN22" s="507">
        <f>'Value Segment'!BI22+'Mid-Market Segment'!BI22+'Upper Mid-Market Segment'!BI22+'Premium Segment'!BI22+'Closures Overlay'!BI22+'Disposals Overlay'!BI22</f>
        <v>3055435.1342786406</v>
      </c>
      <c r="BO22" s="507">
        <f>'Value Segment'!BJ22+'Mid-Market Segment'!BJ22+'Upper Mid-Market Segment'!BJ22+'Premium Segment'!BJ22+'Closures Overlay'!BJ22+'Disposals Overlay'!BJ22</f>
        <v>3055435.1342786406</v>
      </c>
      <c r="BP22" s="507">
        <f>'Value Segment'!BK22+'Mid-Market Segment'!BK22+'Upper Mid-Market Segment'!BK22+'Premium Segment'!BK22+'Closures Overlay'!BK22+'Disposals Overlay'!BK22</f>
        <v>3055435.1342786406</v>
      </c>
      <c r="BQ22" s="507">
        <f>'Value Segment'!BL22+'Mid-Market Segment'!BL22+'Upper Mid-Market Segment'!BL22+'Premium Segment'!BL22+'Closures Overlay'!BL22+'Disposals Overlay'!BL22</f>
        <v>3055435.1342786406</v>
      </c>
      <c r="BR22" s="507">
        <f>'Value Segment'!BM22+'Mid-Market Segment'!BM22+'Upper Mid-Market Segment'!BM22+'Premium Segment'!BM22+'Closures Overlay'!BM22+'Disposals Overlay'!BM22</f>
        <v>2954429.0141371978</v>
      </c>
      <c r="BS22" s="507">
        <f>'Value Segment'!BN22+'Mid-Market Segment'!BN22+'Upper Mid-Market Segment'!BN22+'Premium Segment'!BN22+'Closures Overlay'!BN22+'Disposals Overlay'!BN22</f>
        <v>2997020.9745294191</v>
      </c>
      <c r="BT22" s="507">
        <f>'Value Segment'!BO22+'Mid-Market Segment'!BO22+'Upper Mid-Market Segment'!BO22+'Premium Segment'!BO22+'Closures Overlay'!BO22+'Disposals Overlay'!BO22</f>
        <v>2997020.9745294191</v>
      </c>
      <c r="BU22" s="507">
        <f>'Value Segment'!BP22+'Mid-Market Segment'!BP22+'Upper Mid-Market Segment'!BP22+'Premium Segment'!BP22+'Closures Overlay'!BP22+'Disposals Overlay'!BP22</f>
        <v>2997020.9745294191</v>
      </c>
      <c r="BV22" s="507">
        <f>'Value Segment'!BQ22+'Mid-Market Segment'!BQ22+'Upper Mid-Market Segment'!BQ22+'Premium Segment'!BQ22+'Closures Overlay'!BQ22+'Disposals Overlay'!BQ22</f>
        <v>2997020.9745294191</v>
      </c>
      <c r="BW22" s="507">
        <f>'Value Segment'!BR22+'Mid-Market Segment'!BR22+'Upper Mid-Market Segment'!BR22+'Premium Segment'!BR22+'Closures Overlay'!BR22+'Disposals Overlay'!BR22</f>
        <v>2997020.9745294191</v>
      </c>
      <c r="BX22" s="507">
        <f>'Value Segment'!BS22+'Mid-Market Segment'!BS22+'Upper Mid-Market Segment'!BS22+'Premium Segment'!BS22+'Closures Overlay'!BS22+'Disposals Overlay'!BS22</f>
        <v>2894558.718989952</v>
      </c>
      <c r="BY22" s="507">
        <f>'Value Segment'!BT22+'Mid-Market Segment'!BT22+'Upper Mid-Market Segment'!BT22+'Premium Segment'!BT22+'Closures Overlay'!BT22+'Disposals Overlay'!BT22</f>
        <v>3014581.7833540426</v>
      </c>
      <c r="BZ22" s="507">
        <f>'Value Segment'!BU22+'Mid-Market Segment'!BU22+'Upper Mid-Market Segment'!BU22+'Premium Segment'!BU22+'Closures Overlay'!BU22+'Disposals Overlay'!BU22</f>
        <v>3014581.7833540426</v>
      </c>
      <c r="CA22" s="507">
        <f>'Value Segment'!BV22+'Mid-Market Segment'!BV22+'Upper Mid-Market Segment'!BV22+'Premium Segment'!BV22+'Closures Overlay'!BV22+'Disposals Overlay'!BV22</f>
        <v>3014581.7833540426</v>
      </c>
      <c r="CB22" s="507">
        <f>'Value Segment'!BW22+'Mid-Market Segment'!BW22+'Upper Mid-Market Segment'!BW22+'Premium Segment'!BW22+'Closures Overlay'!BW22+'Disposals Overlay'!BW22</f>
        <v>3014581.7833540426</v>
      </c>
      <c r="CC22" s="507">
        <f>'Value Segment'!BX22+'Mid-Market Segment'!BX22+'Upper Mid-Market Segment'!BX22+'Premium Segment'!BX22+'Closures Overlay'!BX22+'Disposals Overlay'!BX22</f>
        <v>3014581.7833540426</v>
      </c>
      <c r="CD22" s="507">
        <f>'Value Segment'!BY22+'Mid-Market Segment'!BY22+'Upper Mid-Market Segment'!BY22+'Premium Segment'!BY22+'Closures Overlay'!BY22+'Disposals Overlay'!BY22</f>
        <v>2907870.9237662889</v>
      </c>
      <c r="CG22" s="8"/>
    </row>
    <row r="23" spans="1:85" x14ac:dyDescent="0.3">
      <c r="A23" s="7"/>
      <c r="B23" s="1"/>
      <c r="C23" s="40"/>
      <c r="D23" s="2"/>
      <c r="E23" s="2" t="s">
        <v>387</v>
      </c>
      <c r="F23" s="54"/>
      <c r="G23" s="54"/>
      <c r="H23" s="54"/>
      <c r="I23" s="67">
        <v>-11407066.179999994</v>
      </c>
      <c r="J23" s="67">
        <v>-11457425.6</v>
      </c>
      <c r="K23" s="67">
        <v>-11176689.769999996</v>
      </c>
      <c r="L23" s="67">
        <v>-11057618.129999999</v>
      </c>
      <c r="M23" s="54"/>
      <c r="N23" s="19">
        <f>'Value Segment'!I23+'Mid-Market Segment'!I23+'Upper Mid-Market Segment'!I23+'Premium Segment'!I23+'Closures Overlay'!I23+'Disposals Overlay'!I23</f>
        <v>-11435045.318992047</v>
      </c>
      <c r="O23" s="19">
        <f>'Value Segment'!J23+'Mid-Market Segment'!J23+'Upper Mid-Market Segment'!J23+'Premium Segment'!J23+'Closures Overlay'!J23+'Disposals Overlay'!J23</f>
        <v>-11474525.381955538</v>
      </c>
      <c r="P23" s="19">
        <f>'Value Segment'!K23+'Mid-Market Segment'!K23+'Upper Mid-Market Segment'!K23+'Premium Segment'!K23+'Closures Overlay'!K23+'Disposals Overlay'!K23</f>
        <v>-11174786.985889267</v>
      </c>
      <c r="Q23" s="19">
        <f>'Value Segment'!L23+'Mid-Market Segment'!L23+'Upper Mid-Market Segment'!L23+'Premium Segment'!L23+'Closures Overlay'!L23+'Disposals Overlay'!L23</f>
        <v>-10841546.609034251</v>
      </c>
      <c r="R23" s="19">
        <f>'Value Segment'!M23+'Mid-Market Segment'!M23+'Upper Mid-Market Segment'!M23+'Premium Segment'!M23+'Closures Overlay'!M23+'Disposals Overlay'!M23</f>
        <v>-10483829.247976625</v>
      </c>
      <c r="S23" s="19">
        <f>'Value Segment'!N23+'Mid-Market Segment'!N23+'Upper Mid-Market Segment'!N23+'Premium Segment'!N23+'Closures Overlay'!N23+'Disposals Overlay'!N23</f>
        <v>-10095891.235220211</v>
      </c>
      <c r="T23" s="37"/>
      <c r="U23" s="50">
        <f t="shared" ref="U23:U28" si="9">IFERROR(((S23/N23)^(1/5))-1,0)</f>
        <v>-2.4603136770997236E-2</v>
      </c>
      <c r="W23" s="19">
        <f>'Value Segment'!R23+'Mid-Market Segment'!R23+'Upper Mid-Market Segment'!R23+'Premium Segment'!R23+'Closures Overlay'!R23+'Disposals Overlay'!R23</f>
        <v>-962359.76463596534</v>
      </c>
      <c r="X23" s="19">
        <f>'Value Segment'!S23+'Mid-Market Segment'!S23+'Upper Mid-Market Segment'!S23+'Premium Segment'!S23+'Closures Overlay'!S23+'Disposals Overlay'!S23</f>
        <v>-962359.76463596534</v>
      </c>
      <c r="Y23" s="19">
        <f>'Value Segment'!T23+'Mid-Market Segment'!T23+'Upper Mid-Market Segment'!T23+'Premium Segment'!T23+'Closures Overlay'!T23+'Disposals Overlay'!T23</f>
        <v>-962359.76463596534</v>
      </c>
      <c r="Z23" s="19">
        <f>'Value Segment'!U23+'Mid-Market Segment'!U23+'Upper Mid-Market Segment'!U23+'Premium Segment'!U23+'Closures Overlay'!U23+'Disposals Overlay'!U23</f>
        <v>-962359.76463596534</v>
      </c>
      <c r="AA23" s="19">
        <f>'Value Segment'!V23+'Mid-Market Segment'!V23+'Upper Mid-Market Segment'!V23+'Premium Segment'!V23+'Closures Overlay'!V23+'Disposals Overlay'!V23</f>
        <v>-962359.76463596534</v>
      </c>
      <c r="AB23" s="19">
        <f>'Value Segment'!W23+'Mid-Market Segment'!W23+'Upper Mid-Market Segment'!W23+'Premium Segment'!W23+'Closures Overlay'!W23+'Disposals Overlay'!W23</f>
        <v>-936524.60316922807</v>
      </c>
      <c r="AC23" s="19">
        <f>'Value Segment'!X23+'Mid-Market Segment'!X23+'Upper Mid-Market Segment'!X23+'Premium Segment'!X23+'Closures Overlay'!X23+'Disposals Overlay'!X23</f>
        <v>-958775.1542297228</v>
      </c>
      <c r="AD23" s="19">
        <f>'Value Segment'!Y23+'Mid-Market Segment'!Y23+'Upper Mid-Market Segment'!Y23+'Premium Segment'!Y23+'Closures Overlay'!Y23+'Disposals Overlay'!Y23</f>
        <v>-958775.1542297228</v>
      </c>
      <c r="AE23" s="19">
        <f>'Value Segment'!Z23+'Mid-Market Segment'!Z23+'Upper Mid-Market Segment'!Z23+'Premium Segment'!Z23+'Closures Overlay'!Z23+'Disposals Overlay'!Z23</f>
        <v>-958775.1542297228</v>
      </c>
      <c r="AF23" s="19">
        <f>'Value Segment'!AA23+'Mid-Market Segment'!AA23+'Upper Mid-Market Segment'!AA23+'Premium Segment'!AA23+'Closures Overlay'!AA23+'Disposals Overlay'!AA23</f>
        <v>-958775.1542297228</v>
      </c>
      <c r="AG23" s="19">
        <f>'Value Segment'!AB23+'Mid-Market Segment'!AB23+'Upper Mid-Market Segment'!AB23+'Premium Segment'!AB23+'Closures Overlay'!AB23+'Disposals Overlay'!AB23</f>
        <v>-958775.1542297228</v>
      </c>
      <c r="AH23" s="19">
        <f>'Value Segment'!AC23+'Mid-Market Segment'!AC23+'Upper Mid-Market Segment'!AC23+'Premium Segment'!AC23+'Closures Overlay'!AC23+'Disposals Overlay'!AC23</f>
        <v>-932326.18445786845</v>
      </c>
      <c r="AI23" s="19">
        <f>'Value Segment'!AD23+'Mid-Market Segment'!AD23+'Upper Mid-Market Segment'!AD23+'Premium Segment'!AD23+'Closures Overlay'!AD23+'Disposals Overlay'!AD23</f>
        <v>-936008.86186691059</v>
      </c>
      <c r="AJ23" s="19">
        <f>'Value Segment'!AE23+'Mid-Market Segment'!AE23+'Upper Mid-Market Segment'!AE23+'Premium Segment'!AE23+'Closures Overlay'!AE23+'Disposals Overlay'!AE23</f>
        <v>-936008.86186691059</v>
      </c>
      <c r="AK23" s="19">
        <f>'Value Segment'!AF23+'Mid-Market Segment'!AF23+'Upper Mid-Market Segment'!AF23+'Premium Segment'!AF23+'Closures Overlay'!AF23+'Disposals Overlay'!AF23</f>
        <v>-936008.86186691059</v>
      </c>
      <c r="AL23" s="19">
        <f>'Value Segment'!AG23+'Mid-Market Segment'!AG23+'Upper Mid-Market Segment'!AG23+'Premium Segment'!AG23+'Closures Overlay'!AG23+'Disposals Overlay'!AG23</f>
        <v>-936008.86186691059</v>
      </c>
      <c r="AM23" s="19">
        <f>'Value Segment'!AH23+'Mid-Market Segment'!AH23+'Upper Mid-Market Segment'!AH23+'Premium Segment'!AH23+'Closures Overlay'!AH23+'Disposals Overlay'!AH23</f>
        <v>-936008.86186691059</v>
      </c>
      <c r="AN23" s="19">
        <f>'Value Segment'!AI23+'Mid-Market Segment'!AI23+'Upper Mid-Market Segment'!AI23+'Premium Segment'!AI23+'Closures Overlay'!AI23+'Disposals Overlay'!AI23</f>
        <v>-909455.4189770692</v>
      </c>
      <c r="AO23" s="19">
        <f>'Value Segment'!AJ23+'Mid-Market Segment'!AJ23+'Upper Mid-Market Segment'!AJ23+'Premium Segment'!AJ23+'Closures Overlay'!AJ23+'Disposals Overlay'!AJ23</f>
        <v>-935433.19595126866</v>
      </c>
      <c r="AP23" s="19">
        <f>'Value Segment'!AK23+'Mid-Market Segment'!AK23+'Upper Mid-Market Segment'!AK23+'Premium Segment'!AK23+'Closures Overlay'!AK23+'Disposals Overlay'!AK23</f>
        <v>-935433.19595126866</v>
      </c>
      <c r="AQ23" s="19">
        <f>'Value Segment'!AL23+'Mid-Market Segment'!AL23+'Upper Mid-Market Segment'!AL23+'Premium Segment'!AL23+'Closures Overlay'!AL23+'Disposals Overlay'!AL23</f>
        <v>-935433.19595126866</v>
      </c>
      <c r="AR23" s="19">
        <f>'Value Segment'!AM23+'Mid-Market Segment'!AM23+'Upper Mid-Market Segment'!AM23+'Premium Segment'!AM23+'Closures Overlay'!AM23+'Disposals Overlay'!AM23</f>
        <v>-935433.19595126866</v>
      </c>
      <c r="AS23" s="19">
        <f>'Value Segment'!AN23+'Mid-Market Segment'!AN23+'Upper Mid-Market Segment'!AN23+'Premium Segment'!AN23+'Closures Overlay'!AN23+'Disposals Overlay'!AN23</f>
        <v>-935433.19595126866</v>
      </c>
      <c r="AT23" s="19">
        <f>'Value Segment'!AO23+'Mid-Market Segment'!AO23+'Upper Mid-Market Segment'!AO23+'Premium Segment'!AO23+'Closures Overlay'!AO23+'Disposals Overlay'!AO23</f>
        <v>-908121.27782130451</v>
      </c>
      <c r="AU23" s="19">
        <f>'Value Segment'!AP23+'Mid-Market Segment'!AP23+'Upper Mid-Market Segment'!AP23+'Premium Segment'!AP23+'Closures Overlay'!AP23+'Disposals Overlay'!AP23</f>
        <v>-907147.60256105743</v>
      </c>
      <c r="AV23" s="19">
        <f>'Value Segment'!AQ23+'Mid-Market Segment'!AQ23+'Upper Mid-Market Segment'!AQ23+'Premium Segment'!AQ23+'Closures Overlay'!AQ23+'Disposals Overlay'!AQ23</f>
        <v>-907147.60256105743</v>
      </c>
      <c r="AW23" s="19">
        <f>'Value Segment'!AR23+'Mid-Market Segment'!AR23+'Upper Mid-Market Segment'!AR23+'Premium Segment'!AR23+'Closures Overlay'!AR23+'Disposals Overlay'!AR23</f>
        <v>-907147.60256105743</v>
      </c>
      <c r="AX23" s="19">
        <f>'Value Segment'!AS23+'Mid-Market Segment'!AS23+'Upper Mid-Market Segment'!AS23+'Premium Segment'!AS23+'Closures Overlay'!AS23+'Disposals Overlay'!AS23</f>
        <v>-907147.60256105743</v>
      </c>
      <c r="AY23" s="19">
        <f>'Value Segment'!AT23+'Mid-Market Segment'!AT23+'Upper Mid-Market Segment'!AT23+'Premium Segment'!AT23+'Closures Overlay'!AT23+'Disposals Overlay'!AT23</f>
        <v>-907147.60256105743</v>
      </c>
      <c r="AZ23" s="19">
        <f>'Value Segment'!AU23+'Mid-Market Segment'!AU23+'Upper Mid-Market Segment'!AU23+'Premium Segment'!AU23+'Closures Overlay'!AU23+'Disposals Overlay'!AU23</f>
        <v>-879864.96789756697</v>
      </c>
      <c r="BA23" s="19">
        <f>'Value Segment'!AV23+'Mid-Market Segment'!AV23+'Upper Mid-Market Segment'!AV23+'Premium Segment'!AV23+'Closures Overlay'!AV23+'Disposals Overlay'!AV23</f>
        <v>-909021.72474642866</v>
      </c>
      <c r="BB23" s="19">
        <f>'Value Segment'!AW23+'Mid-Market Segment'!AW23+'Upper Mid-Market Segment'!AW23+'Premium Segment'!AW23+'Closures Overlay'!AW23+'Disposals Overlay'!AW23</f>
        <v>-909021.72474642866</v>
      </c>
      <c r="BC23" s="19">
        <f>'Value Segment'!AX23+'Mid-Market Segment'!AX23+'Upper Mid-Market Segment'!AX23+'Premium Segment'!AX23+'Closures Overlay'!AX23+'Disposals Overlay'!AX23</f>
        <v>-909021.72474642866</v>
      </c>
      <c r="BD23" s="19">
        <f>'Value Segment'!AY23+'Mid-Market Segment'!AY23+'Upper Mid-Market Segment'!AY23+'Premium Segment'!AY23+'Closures Overlay'!AY23+'Disposals Overlay'!AY23</f>
        <v>-909021.72474642866</v>
      </c>
      <c r="BE23" s="19">
        <f>'Value Segment'!AZ23+'Mid-Market Segment'!AZ23+'Upper Mid-Market Segment'!AZ23+'Premium Segment'!AZ23+'Closures Overlay'!AZ23+'Disposals Overlay'!AZ23</f>
        <v>-909021.72474642866</v>
      </c>
      <c r="BF23" s="19">
        <f>'Value Segment'!BA23+'Mid-Market Segment'!BA23+'Upper Mid-Market Segment'!BA23+'Premium Segment'!BA23+'Closures Overlay'!BA23+'Disposals Overlay'!BA23</f>
        <v>-880835.0045992526</v>
      </c>
      <c r="BG23" s="19">
        <f>'Value Segment'!BB23+'Mid-Market Segment'!BB23+'Upper Mid-Market Segment'!BB23+'Premium Segment'!BB23+'Closures Overlay'!BB23+'Disposals Overlay'!BB23</f>
        <v>-876534.75372494396</v>
      </c>
      <c r="BH23" s="19">
        <f>'Value Segment'!BC23+'Mid-Market Segment'!BC23+'Upper Mid-Market Segment'!BC23+'Premium Segment'!BC23+'Closures Overlay'!BC23+'Disposals Overlay'!BC23</f>
        <v>-876534.75372494396</v>
      </c>
      <c r="BI23" s="19">
        <f>'Value Segment'!BD23+'Mid-Market Segment'!BD23+'Upper Mid-Market Segment'!BD23+'Premium Segment'!BD23+'Closures Overlay'!BD23+'Disposals Overlay'!BD23</f>
        <v>-876534.75372494396</v>
      </c>
      <c r="BJ23" s="19">
        <f>'Value Segment'!BE23+'Mid-Market Segment'!BE23+'Upper Mid-Market Segment'!BE23+'Premium Segment'!BE23+'Closures Overlay'!BE23+'Disposals Overlay'!BE23</f>
        <v>-876534.75372494396</v>
      </c>
      <c r="BK23" s="19">
        <f>'Value Segment'!BF23+'Mid-Market Segment'!BF23+'Upper Mid-Market Segment'!BF23+'Premium Segment'!BF23+'Closures Overlay'!BF23+'Disposals Overlay'!BF23</f>
        <v>-876534.75372494396</v>
      </c>
      <c r="BL23" s="19">
        <f>'Value Segment'!BG23+'Mid-Market Segment'!BG23+'Upper Mid-Market Segment'!BG23+'Premium Segment'!BG23+'Closures Overlay'!BG23+'Disposals Overlay'!BG23</f>
        <v>-848485.64160574577</v>
      </c>
      <c r="BM23" s="19">
        <f>'Value Segment'!BH23+'Mid-Market Segment'!BH23+'Upper Mid-Market Segment'!BH23+'Premium Segment'!BH23+'Closures Overlay'!BH23+'Disposals Overlay'!BH23</f>
        <v>-880295.08361119835</v>
      </c>
      <c r="BN23" s="19">
        <f>'Value Segment'!BI23+'Mid-Market Segment'!BI23+'Upper Mid-Market Segment'!BI23+'Premium Segment'!BI23+'Closures Overlay'!BI23+'Disposals Overlay'!BI23</f>
        <v>-880295.08361119835</v>
      </c>
      <c r="BO23" s="19">
        <f>'Value Segment'!BJ23+'Mid-Market Segment'!BJ23+'Upper Mid-Market Segment'!BJ23+'Premium Segment'!BJ23+'Closures Overlay'!BJ23+'Disposals Overlay'!BJ23</f>
        <v>-880295.08361119835</v>
      </c>
      <c r="BP23" s="19">
        <f>'Value Segment'!BK23+'Mid-Market Segment'!BK23+'Upper Mid-Market Segment'!BK23+'Premium Segment'!BK23+'Closures Overlay'!BK23+'Disposals Overlay'!BK23</f>
        <v>-880295.08361119835</v>
      </c>
      <c r="BQ23" s="19">
        <f>'Value Segment'!BL23+'Mid-Market Segment'!BL23+'Upper Mid-Market Segment'!BL23+'Premium Segment'!BL23+'Closures Overlay'!BL23+'Disposals Overlay'!BL23</f>
        <v>-880295.08361119835</v>
      </c>
      <c r="BR23" s="19">
        <f>'Value Segment'!BM23+'Mid-Market Segment'!BM23+'Upper Mid-Market Segment'!BM23+'Premium Segment'!BM23+'Closures Overlay'!BM23+'Disposals Overlay'!BM23</f>
        <v>-851194.41969016707</v>
      </c>
      <c r="BS23" s="19">
        <f>'Value Segment'!BN23+'Mid-Market Segment'!BN23+'Upper Mid-Market Segment'!BN23+'Premium Segment'!BN23+'Closures Overlay'!BN23+'Disposals Overlay'!BN23</f>
        <v>-843712.81330952898</v>
      </c>
      <c r="BT23" s="19">
        <f>'Value Segment'!BO23+'Mid-Market Segment'!BO23+'Upper Mid-Market Segment'!BO23+'Premium Segment'!BO23+'Closures Overlay'!BO23+'Disposals Overlay'!BO23</f>
        <v>-843712.81330952898</v>
      </c>
      <c r="BU23" s="19">
        <f>'Value Segment'!BP23+'Mid-Market Segment'!BP23+'Upper Mid-Market Segment'!BP23+'Premium Segment'!BP23+'Closures Overlay'!BP23+'Disposals Overlay'!BP23</f>
        <v>-843712.81330952898</v>
      </c>
      <c r="BV23" s="19">
        <f>'Value Segment'!BQ23+'Mid-Market Segment'!BQ23+'Upper Mid-Market Segment'!BQ23+'Premium Segment'!BQ23+'Closures Overlay'!BQ23+'Disposals Overlay'!BQ23</f>
        <v>-843712.81330952898</v>
      </c>
      <c r="BW23" s="19">
        <f>'Value Segment'!BR23+'Mid-Market Segment'!BR23+'Upper Mid-Market Segment'!BR23+'Premium Segment'!BR23+'Closures Overlay'!BR23+'Disposals Overlay'!BR23</f>
        <v>-843712.81330952898</v>
      </c>
      <c r="BX23" s="19">
        <f>'Value Segment'!BS23+'Mid-Market Segment'!BS23+'Upper Mid-Market Segment'!BS23+'Premium Segment'!BS23+'Closures Overlay'!BS23+'Disposals Overlay'!BS23</f>
        <v>-814867.93080322025</v>
      </c>
      <c r="BY23" s="19">
        <f>'Value Segment'!BT23+'Mid-Market Segment'!BT23+'Upper Mid-Market Segment'!BT23+'Premium Segment'!BT23+'Closures Overlay'!BT23+'Disposals Overlay'!BT23</f>
        <v>-848750.58439055795</v>
      </c>
      <c r="BZ23" s="19">
        <f>'Value Segment'!BU23+'Mid-Market Segment'!BU23+'Upper Mid-Market Segment'!BU23+'Premium Segment'!BU23+'Closures Overlay'!BU23+'Disposals Overlay'!BU23</f>
        <v>-848750.58439055795</v>
      </c>
      <c r="CA23" s="19">
        <f>'Value Segment'!BV23+'Mid-Market Segment'!BV23+'Upper Mid-Market Segment'!BV23+'Premium Segment'!BV23+'Closures Overlay'!BV23+'Disposals Overlay'!BV23</f>
        <v>-848750.58439055795</v>
      </c>
      <c r="CB23" s="19">
        <f>'Value Segment'!BW23+'Mid-Market Segment'!BW23+'Upper Mid-Market Segment'!BW23+'Premium Segment'!BW23+'Closures Overlay'!BW23+'Disposals Overlay'!BW23</f>
        <v>-848750.58439055795</v>
      </c>
      <c r="CC23" s="19">
        <f>'Value Segment'!BX23+'Mid-Market Segment'!BX23+'Upper Mid-Market Segment'!BX23+'Premium Segment'!BX23+'Closures Overlay'!BX23+'Disposals Overlay'!BX23</f>
        <v>-848750.58439055795</v>
      </c>
      <c r="CD23" s="19">
        <f>'Value Segment'!BY23+'Mid-Market Segment'!BY23+'Upper Mid-Market Segment'!BY23+'Premium Segment'!BY23+'Closures Overlay'!BY23+'Disposals Overlay'!BY23</f>
        <v>-818706.31591655593</v>
      </c>
      <c r="CG23" s="8"/>
    </row>
    <row r="24" spans="1:85" x14ac:dyDescent="0.3">
      <c r="A24" s="7"/>
      <c r="B24" s="1"/>
      <c r="C24" s="40"/>
      <c r="D24" s="2"/>
      <c r="E24" s="2" t="s">
        <v>386</v>
      </c>
      <c r="F24" s="54"/>
      <c r="G24" s="54"/>
      <c r="H24" s="54"/>
      <c r="I24" s="67">
        <v>-1899887.8100000005</v>
      </c>
      <c r="J24" s="67">
        <v>-1965046.51</v>
      </c>
      <c r="K24" s="67">
        <v>-1935673.4599999993</v>
      </c>
      <c r="L24" s="67">
        <v>-1961595.2300000004</v>
      </c>
      <c r="M24" s="54"/>
      <c r="N24" s="19">
        <f>'Value Segment'!I24+'Mid-Market Segment'!I24+'Upper Mid-Market Segment'!I24+'Premium Segment'!I24+'Closures Overlay'!I24+'Disposals Overlay'!I24</f>
        <v>-2118822.4519336345</v>
      </c>
      <c r="O24" s="19">
        <f>'Value Segment'!J24+'Mid-Market Segment'!J24+'Upper Mid-Market Segment'!J24+'Premium Segment'!J24+'Closures Overlay'!J24+'Disposals Overlay'!J24</f>
        <v>-2147501.3405703655</v>
      </c>
      <c r="P24" s="19">
        <f>'Value Segment'!K24+'Mid-Market Segment'!K24+'Upper Mid-Market Segment'!K24+'Premium Segment'!K24+'Closures Overlay'!K24+'Disposals Overlay'!K24</f>
        <v>-2112302.370093422</v>
      </c>
      <c r="Q24" s="19">
        <f>'Value Segment'!L24+'Mid-Market Segment'!L24+'Upper Mid-Market Segment'!L24+'Premium Segment'!L24+'Closures Overlay'!L24+'Disposals Overlay'!L24</f>
        <v>-2069577.1248035617</v>
      </c>
      <c r="R24" s="19">
        <f>'Value Segment'!M24+'Mid-Market Segment'!M24+'Upper Mid-Market Segment'!M24+'Premium Segment'!M24+'Closures Overlay'!M24+'Disposals Overlay'!M24</f>
        <v>-2020881.8670451981</v>
      </c>
      <c r="S24" s="19">
        <f>'Value Segment'!N24+'Mid-Market Segment'!N24+'Upper Mid-Market Segment'!N24+'Premium Segment'!N24+'Closures Overlay'!N24+'Disposals Overlay'!N24</f>
        <v>-1964958.2400335632</v>
      </c>
      <c r="T24" s="37"/>
      <c r="U24" s="50">
        <f t="shared" si="9"/>
        <v>-1.4964796438309391E-2</v>
      </c>
      <c r="W24" s="19">
        <f>'Value Segment'!R24+'Mid-Market Segment'!R24+'Upper Mid-Market Segment'!R24+'Premium Segment'!R24+'Closures Overlay'!R24+'Disposals Overlay'!R24</f>
        <v>-180099.90841435897</v>
      </c>
      <c r="X24" s="19">
        <f>'Value Segment'!S24+'Mid-Market Segment'!S24+'Upper Mid-Market Segment'!S24+'Premium Segment'!S24+'Closures Overlay'!S24+'Disposals Overlay'!S24</f>
        <v>-180099.90841435897</v>
      </c>
      <c r="Y24" s="19">
        <f>'Value Segment'!T24+'Mid-Market Segment'!T24+'Upper Mid-Market Segment'!T24+'Premium Segment'!T24+'Closures Overlay'!T24+'Disposals Overlay'!T24</f>
        <v>-180099.90841435897</v>
      </c>
      <c r="Z24" s="19">
        <f>'Value Segment'!U24+'Mid-Market Segment'!U24+'Upper Mid-Market Segment'!U24+'Premium Segment'!U24+'Closures Overlay'!U24+'Disposals Overlay'!U24</f>
        <v>-180099.90841435897</v>
      </c>
      <c r="AA24" s="19">
        <f>'Value Segment'!V24+'Mid-Market Segment'!V24+'Upper Mid-Market Segment'!V24+'Premium Segment'!V24+'Closures Overlay'!V24+'Disposals Overlay'!V24</f>
        <v>-180099.90841435897</v>
      </c>
      <c r="AB24" s="19">
        <f>'Value Segment'!W24+'Mid-Market Segment'!W24+'Upper Mid-Market Segment'!W24+'Premium Segment'!W24+'Closures Overlay'!W24+'Disposals Overlay'!W24</f>
        <v>-175265.01154417483</v>
      </c>
      <c r="AC24" s="19">
        <f>'Value Segment'!X24+'Mid-Market Segment'!X24+'Upper Mid-Market Segment'!X24+'Premium Segment'!X24+'Closures Overlay'!X24+'Disposals Overlay'!X24</f>
        <v>-179447.84539074756</v>
      </c>
      <c r="AD24" s="19">
        <f>'Value Segment'!Y24+'Mid-Market Segment'!Y24+'Upper Mid-Market Segment'!Y24+'Premium Segment'!Y24+'Closures Overlay'!Y24+'Disposals Overlay'!Y24</f>
        <v>-179447.84539074756</v>
      </c>
      <c r="AE24" s="19">
        <f>'Value Segment'!Z24+'Mid-Market Segment'!Z24+'Upper Mid-Market Segment'!Z24+'Premium Segment'!Z24+'Closures Overlay'!Z24+'Disposals Overlay'!Z24</f>
        <v>-179447.84539074756</v>
      </c>
      <c r="AF24" s="19">
        <f>'Value Segment'!AA24+'Mid-Market Segment'!AA24+'Upper Mid-Market Segment'!AA24+'Premium Segment'!AA24+'Closures Overlay'!AA24+'Disposals Overlay'!AA24</f>
        <v>-179447.84539074756</v>
      </c>
      <c r="AG24" s="19">
        <f>'Value Segment'!AB24+'Mid-Market Segment'!AB24+'Upper Mid-Market Segment'!AB24+'Premium Segment'!AB24+'Closures Overlay'!AB24+'Disposals Overlay'!AB24</f>
        <v>-179447.84539074756</v>
      </c>
      <c r="AH24" s="19">
        <f>'Value Segment'!AC24+'Mid-Market Segment'!AC24+'Upper Mid-Market Segment'!AC24+'Premium Segment'!AC24+'Closures Overlay'!AC24+'Disposals Overlay'!AC24</f>
        <v>-174497.56000065798</v>
      </c>
      <c r="AI24" s="19">
        <f>'Value Segment'!AD24+'Mid-Market Segment'!AD24+'Upper Mid-Market Segment'!AD24+'Premium Segment'!AD24+'Closures Overlay'!AD24+'Disposals Overlay'!AD24</f>
        <v>-176918.46445471109</v>
      </c>
      <c r="AJ24" s="19">
        <f>'Value Segment'!AE24+'Mid-Market Segment'!AE24+'Upper Mid-Market Segment'!AE24+'Premium Segment'!AE24+'Closures Overlay'!AE24+'Disposals Overlay'!AE24</f>
        <v>-176918.46445471109</v>
      </c>
      <c r="AK24" s="19">
        <f>'Value Segment'!AF24+'Mid-Market Segment'!AF24+'Upper Mid-Market Segment'!AF24+'Premium Segment'!AF24+'Closures Overlay'!AF24+'Disposals Overlay'!AF24</f>
        <v>-176918.46445471109</v>
      </c>
      <c r="AL24" s="19">
        <f>'Value Segment'!AG24+'Mid-Market Segment'!AG24+'Upper Mid-Market Segment'!AG24+'Premium Segment'!AG24+'Closures Overlay'!AG24+'Disposals Overlay'!AG24</f>
        <v>-176918.46445471109</v>
      </c>
      <c r="AM24" s="19">
        <f>'Value Segment'!AH24+'Mid-Market Segment'!AH24+'Upper Mid-Market Segment'!AH24+'Premium Segment'!AH24+'Closures Overlay'!AH24+'Disposals Overlay'!AH24</f>
        <v>-176918.46445471109</v>
      </c>
      <c r="AN24" s="19">
        <f>'Value Segment'!AI24+'Mid-Market Segment'!AI24+'Upper Mid-Market Segment'!AI24+'Premium Segment'!AI24+'Closures Overlay'!AI24+'Disposals Overlay'!AI24</f>
        <v>-171899.50092408099</v>
      </c>
      <c r="AO24" s="19">
        <f>'Value Segment'!AJ24+'Mid-Market Segment'!AJ24+'Upper Mid-Market Segment'!AJ24+'Premium Segment'!AJ24+'Closures Overlay'!AJ24+'Disposals Overlay'!AJ24</f>
        <v>-176828.90577594459</v>
      </c>
      <c r="AP24" s="19">
        <f>'Value Segment'!AK24+'Mid-Market Segment'!AK24+'Upper Mid-Market Segment'!AK24+'Premium Segment'!AK24+'Closures Overlay'!AK24+'Disposals Overlay'!AK24</f>
        <v>-176828.90577594459</v>
      </c>
      <c r="AQ24" s="19">
        <f>'Value Segment'!AL24+'Mid-Market Segment'!AL24+'Upper Mid-Market Segment'!AL24+'Premium Segment'!AL24+'Closures Overlay'!AL24+'Disposals Overlay'!AL24</f>
        <v>-176828.90577594459</v>
      </c>
      <c r="AR24" s="19">
        <f>'Value Segment'!AM24+'Mid-Market Segment'!AM24+'Upper Mid-Market Segment'!AM24+'Premium Segment'!AM24+'Closures Overlay'!AM24+'Disposals Overlay'!AM24</f>
        <v>-176828.90577594459</v>
      </c>
      <c r="AS24" s="19">
        <f>'Value Segment'!AN24+'Mid-Market Segment'!AN24+'Upper Mid-Market Segment'!AN24+'Premium Segment'!AN24+'Closures Overlay'!AN24+'Disposals Overlay'!AN24</f>
        <v>-176828.90577594459</v>
      </c>
      <c r="AT24" s="19">
        <f>'Value Segment'!AO24+'Mid-Market Segment'!AO24+'Upper Mid-Market Segment'!AO24+'Premium Segment'!AO24+'Closures Overlay'!AO24+'Disposals Overlay'!AO24</f>
        <v>-171666.018016063</v>
      </c>
      <c r="AU24" s="19">
        <f>'Value Segment'!AP24+'Mid-Market Segment'!AP24+'Upper Mid-Market Segment'!AP24+'Premium Segment'!AP24+'Closures Overlay'!AP24+'Disposals Overlay'!AP24</f>
        <v>-173158.6193146242</v>
      </c>
      <c r="AV24" s="19">
        <f>'Value Segment'!AQ24+'Mid-Market Segment'!AQ24+'Upper Mid-Market Segment'!AQ24+'Premium Segment'!AQ24+'Closures Overlay'!AQ24+'Disposals Overlay'!AQ24</f>
        <v>-173158.6193146242</v>
      </c>
      <c r="AW24" s="19">
        <f>'Value Segment'!AR24+'Mid-Market Segment'!AR24+'Upper Mid-Market Segment'!AR24+'Premium Segment'!AR24+'Closures Overlay'!AR24+'Disposals Overlay'!AR24</f>
        <v>-173158.6193146242</v>
      </c>
      <c r="AX24" s="19">
        <f>'Value Segment'!AS24+'Mid-Market Segment'!AS24+'Upper Mid-Market Segment'!AS24+'Premium Segment'!AS24+'Closures Overlay'!AS24+'Disposals Overlay'!AS24</f>
        <v>-173158.6193146242</v>
      </c>
      <c r="AY24" s="19">
        <f>'Value Segment'!AT24+'Mid-Market Segment'!AT24+'Upper Mid-Market Segment'!AT24+'Premium Segment'!AT24+'Closures Overlay'!AT24+'Disposals Overlay'!AT24</f>
        <v>-173158.6193146242</v>
      </c>
      <c r="AZ24" s="19">
        <f>'Value Segment'!AU24+'Mid-Market Segment'!AU24+'Upper Mid-Market Segment'!AU24+'Premium Segment'!AU24+'Closures Overlay'!AU24+'Disposals Overlay'!AU24</f>
        <v>-167950.84129012423</v>
      </c>
      <c r="BA24" s="19">
        <f>'Value Segment'!AV24+'Mid-Market Segment'!AV24+'Upper Mid-Market Segment'!AV24+'Premium Segment'!AV24+'Closures Overlay'!AV24+'Disposals Overlay'!AV24</f>
        <v>-173535.68976013089</v>
      </c>
      <c r="BB24" s="19">
        <f>'Value Segment'!AW24+'Mid-Market Segment'!AW24+'Upper Mid-Market Segment'!AW24+'Premium Segment'!AW24+'Closures Overlay'!AW24+'Disposals Overlay'!AW24</f>
        <v>-173535.68976013089</v>
      </c>
      <c r="BC24" s="19">
        <f>'Value Segment'!AX24+'Mid-Market Segment'!AX24+'Upper Mid-Market Segment'!AX24+'Premium Segment'!AX24+'Closures Overlay'!AX24+'Disposals Overlay'!AX24</f>
        <v>-173535.68976013089</v>
      </c>
      <c r="BD24" s="19">
        <f>'Value Segment'!AY24+'Mid-Market Segment'!AY24+'Upper Mid-Market Segment'!AY24+'Premium Segment'!AY24+'Closures Overlay'!AY24+'Disposals Overlay'!AY24</f>
        <v>-173535.68976013089</v>
      </c>
      <c r="BE24" s="19">
        <f>'Value Segment'!AZ24+'Mid-Market Segment'!AZ24+'Upper Mid-Market Segment'!AZ24+'Premium Segment'!AZ24+'Closures Overlay'!AZ24+'Disposals Overlay'!AZ24</f>
        <v>-173535.68976013089</v>
      </c>
      <c r="BF24" s="19">
        <f>'Value Segment'!BA24+'Mid-Market Segment'!BA24+'Upper Mid-Market Segment'!BA24+'Premium Segment'!BA24+'Closures Overlay'!BA24+'Disposals Overlay'!BA24</f>
        <v>-168154.73813966173</v>
      </c>
      <c r="BG24" s="19">
        <f>'Value Segment'!BB24+'Mid-Market Segment'!BB24+'Upper Mid-Market Segment'!BB24+'Premium Segment'!BB24+'Closures Overlay'!BB24+'Disposals Overlay'!BB24</f>
        <v>-168952.9155529128</v>
      </c>
      <c r="BH24" s="19">
        <f>'Value Segment'!BC24+'Mid-Market Segment'!BC24+'Upper Mid-Market Segment'!BC24+'Premium Segment'!BC24+'Closures Overlay'!BC24+'Disposals Overlay'!BC24</f>
        <v>-168952.9155529128</v>
      </c>
      <c r="BI24" s="19">
        <f>'Value Segment'!BD24+'Mid-Market Segment'!BD24+'Upper Mid-Market Segment'!BD24+'Premium Segment'!BD24+'Closures Overlay'!BD24+'Disposals Overlay'!BD24</f>
        <v>-168952.9155529128</v>
      </c>
      <c r="BJ24" s="19">
        <f>'Value Segment'!BE24+'Mid-Market Segment'!BE24+'Upper Mid-Market Segment'!BE24+'Premium Segment'!BE24+'Closures Overlay'!BE24+'Disposals Overlay'!BE24</f>
        <v>-168952.9155529128</v>
      </c>
      <c r="BK24" s="19">
        <f>'Value Segment'!BF24+'Mid-Market Segment'!BF24+'Upper Mid-Market Segment'!BF24+'Premium Segment'!BF24+'Closures Overlay'!BF24+'Disposals Overlay'!BF24</f>
        <v>-168952.9155529128</v>
      </c>
      <c r="BL24" s="19">
        <f>'Value Segment'!BG24+'Mid-Market Segment'!BG24+'Upper Mid-Market Segment'!BG24+'Premium Segment'!BG24+'Closures Overlay'!BG24+'Disposals Overlay'!BG24</f>
        <v>-163546.4222552196</v>
      </c>
      <c r="BM24" s="19">
        <f>'Value Segment'!BH24+'Mid-Market Segment'!BH24+'Upper Mid-Market Segment'!BH24+'Premium Segment'!BH24+'Closures Overlay'!BH24+'Disposals Overlay'!BH24</f>
        <v>-169696.7796538437</v>
      </c>
      <c r="BN24" s="19">
        <f>'Value Segment'!BI24+'Mid-Market Segment'!BI24+'Upper Mid-Market Segment'!BI24+'Premium Segment'!BI24+'Closures Overlay'!BI24+'Disposals Overlay'!BI24</f>
        <v>-169696.7796538437</v>
      </c>
      <c r="BO24" s="19">
        <f>'Value Segment'!BJ24+'Mid-Market Segment'!BJ24+'Upper Mid-Market Segment'!BJ24+'Premium Segment'!BJ24+'Closures Overlay'!BJ24+'Disposals Overlay'!BJ24</f>
        <v>-169696.7796538437</v>
      </c>
      <c r="BP24" s="19">
        <f>'Value Segment'!BK24+'Mid-Market Segment'!BK24+'Upper Mid-Market Segment'!BK24+'Premium Segment'!BK24+'Closures Overlay'!BK24+'Disposals Overlay'!BK24</f>
        <v>-169696.7796538437</v>
      </c>
      <c r="BQ24" s="19">
        <f>'Value Segment'!BL24+'Mid-Market Segment'!BL24+'Upper Mid-Market Segment'!BL24+'Premium Segment'!BL24+'Closures Overlay'!BL24+'Disposals Overlay'!BL24</f>
        <v>-169696.7796538437</v>
      </c>
      <c r="BR24" s="19">
        <f>'Value Segment'!BM24+'Mid-Market Segment'!BM24+'Upper Mid-Market Segment'!BM24+'Premium Segment'!BM24+'Closures Overlay'!BM24+'Disposals Overlay'!BM24</f>
        <v>-164086.96875619597</v>
      </c>
      <c r="BS24" s="19">
        <f>'Value Segment'!BN24+'Mid-Market Segment'!BN24+'Upper Mid-Market Segment'!BN24+'Premium Segment'!BN24+'Closures Overlay'!BN24+'Disposals Overlay'!BN24</f>
        <v>-164202.21826443684</v>
      </c>
      <c r="BT24" s="19">
        <f>'Value Segment'!BO24+'Mid-Market Segment'!BO24+'Upper Mid-Market Segment'!BO24+'Premium Segment'!BO24+'Closures Overlay'!BO24+'Disposals Overlay'!BO24</f>
        <v>-164202.21826443684</v>
      </c>
      <c r="BU24" s="19">
        <f>'Value Segment'!BP24+'Mid-Market Segment'!BP24+'Upper Mid-Market Segment'!BP24+'Premium Segment'!BP24+'Closures Overlay'!BP24+'Disposals Overlay'!BP24</f>
        <v>-164202.21826443684</v>
      </c>
      <c r="BV24" s="19">
        <f>'Value Segment'!BQ24+'Mid-Market Segment'!BQ24+'Upper Mid-Market Segment'!BQ24+'Premium Segment'!BQ24+'Closures Overlay'!BQ24+'Disposals Overlay'!BQ24</f>
        <v>-164202.21826443684</v>
      </c>
      <c r="BW24" s="19">
        <f>'Value Segment'!BR24+'Mid-Market Segment'!BR24+'Upper Mid-Market Segment'!BR24+'Premium Segment'!BR24+'Closures Overlay'!BR24+'Disposals Overlay'!BR24</f>
        <v>-164202.21826443684</v>
      </c>
      <c r="BX24" s="19">
        <f>'Value Segment'!BS24+'Mid-Market Segment'!BS24+'Upper Mid-Market Segment'!BS24+'Premium Segment'!BS24+'Closures Overlay'!BS24+'Disposals Overlay'!BS24</f>
        <v>-158588.46721266123</v>
      </c>
      <c r="BY24" s="19">
        <f>'Value Segment'!BT24+'Mid-Market Segment'!BT24+'Upper Mid-Market Segment'!BT24+'Premium Segment'!BT24+'Closures Overlay'!BT24+'Disposals Overlay'!BT24</f>
        <v>-165201.08458361303</v>
      </c>
      <c r="BZ24" s="19">
        <f>'Value Segment'!BU24+'Mid-Market Segment'!BU24+'Upper Mid-Market Segment'!BU24+'Premium Segment'!BU24+'Closures Overlay'!BU24+'Disposals Overlay'!BU24</f>
        <v>-165201.08458361303</v>
      </c>
      <c r="CA24" s="19">
        <f>'Value Segment'!BV24+'Mid-Market Segment'!BV24+'Upper Mid-Market Segment'!BV24+'Premium Segment'!BV24+'Closures Overlay'!BV24+'Disposals Overlay'!BV24</f>
        <v>-165201.08458361303</v>
      </c>
      <c r="CB24" s="19">
        <f>'Value Segment'!BW24+'Mid-Market Segment'!BW24+'Upper Mid-Market Segment'!BW24+'Premium Segment'!BW24+'Closures Overlay'!BW24+'Disposals Overlay'!BW24</f>
        <v>-165201.08458361303</v>
      </c>
      <c r="CC24" s="19">
        <f>'Value Segment'!BX24+'Mid-Market Segment'!BX24+'Upper Mid-Market Segment'!BX24+'Premium Segment'!BX24+'Closures Overlay'!BX24+'Disposals Overlay'!BX24</f>
        <v>-165201.08458361303</v>
      </c>
      <c r="CD24" s="19">
        <f>'Value Segment'!BY24+'Mid-Market Segment'!BY24+'Upper Mid-Market Segment'!BY24+'Premium Segment'!BY24+'Closures Overlay'!BY24+'Disposals Overlay'!BY24</f>
        <v>-159353.25858065326</v>
      </c>
      <c r="CG24" s="8"/>
    </row>
    <row r="25" spans="1:85" x14ac:dyDescent="0.3">
      <c r="A25" s="7"/>
      <c r="B25" s="1"/>
      <c r="C25" s="40"/>
      <c r="D25" s="2"/>
      <c r="E25" s="4" t="s">
        <v>385</v>
      </c>
      <c r="F25" s="5"/>
      <c r="G25" s="5"/>
      <c r="H25" s="5"/>
      <c r="I25" s="498">
        <f>SUM(I22:I24)</f>
        <v>19344214.120000012</v>
      </c>
      <c r="J25" s="498">
        <f>SUM(J22:J24)</f>
        <v>20797277.449999999</v>
      </c>
      <c r="K25" s="498">
        <f>SUM(K22:K24)</f>
        <v>21130230.850000009</v>
      </c>
      <c r="L25" s="498">
        <f>SUM(L22:L24)</f>
        <v>21216567.109999992</v>
      </c>
      <c r="M25" s="5"/>
      <c r="N25" s="498">
        <f t="shared" ref="N25:S25" si="10">SUM(N22:N24)</f>
        <v>22345014.11018924</v>
      </c>
      <c r="O25" s="498">
        <f t="shared" si="10"/>
        <v>23383911.007488415</v>
      </c>
      <c r="P25" s="498">
        <f t="shared" si="10"/>
        <v>23695567.935337365</v>
      </c>
      <c r="Q25" s="498">
        <f t="shared" si="10"/>
        <v>23860615.796948045</v>
      </c>
      <c r="R25" s="498">
        <f t="shared" si="10"/>
        <v>23885612.136227984</v>
      </c>
      <c r="S25" s="498">
        <f t="shared" si="10"/>
        <v>23799593.956919778</v>
      </c>
      <c r="T25" s="57"/>
      <c r="U25" s="55">
        <f t="shared" si="9"/>
        <v>1.2692941356307497E-2</v>
      </c>
      <c r="W25" s="498">
        <f>SUM(W22:W24)</f>
        <v>1961279.3372221852</v>
      </c>
      <c r="X25" s="498">
        <f t="shared" ref="X25:CD25" si="11">SUM(X22:X24)</f>
        <v>1961279.3372221852</v>
      </c>
      <c r="Y25" s="498">
        <f t="shared" si="11"/>
        <v>1961279.3372221852</v>
      </c>
      <c r="Z25" s="498">
        <f t="shared" si="11"/>
        <v>1961279.3372221852</v>
      </c>
      <c r="AA25" s="498">
        <f t="shared" si="11"/>
        <v>1961279.3372221852</v>
      </c>
      <c r="AB25" s="498">
        <f t="shared" si="11"/>
        <v>1908627.5429343416</v>
      </c>
      <c r="AC25" s="498">
        <f t="shared" si="11"/>
        <v>1953797.4398086106</v>
      </c>
      <c r="AD25" s="498">
        <f t="shared" si="11"/>
        <v>1953797.4398086106</v>
      </c>
      <c r="AE25" s="498">
        <f t="shared" si="11"/>
        <v>1953797.4398086106</v>
      </c>
      <c r="AF25" s="498">
        <f t="shared" si="11"/>
        <v>1953797.4398086106</v>
      </c>
      <c r="AG25" s="498">
        <f t="shared" si="11"/>
        <v>1953797.4398086106</v>
      </c>
      <c r="AH25" s="498">
        <f t="shared" si="11"/>
        <v>1899899.579400097</v>
      </c>
      <c r="AI25" s="498">
        <f t="shared" si="11"/>
        <v>1984873.5783458895</v>
      </c>
      <c r="AJ25" s="498">
        <f t="shared" si="11"/>
        <v>1984873.5783458895</v>
      </c>
      <c r="AK25" s="498">
        <f t="shared" si="11"/>
        <v>1984873.5783458895</v>
      </c>
      <c r="AL25" s="498">
        <f t="shared" si="11"/>
        <v>1984873.5783458895</v>
      </c>
      <c r="AM25" s="498">
        <f t="shared" si="11"/>
        <v>1984873.5783458895</v>
      </c>
      <c r="AN25" s="498">
        <f t="shared" si="11"/>
        <v>1928565.1080382047</v>
      </c>
      <c r="AO25" s="498">
        <f t="shared" si="11"/>
        <v>1983424.1884756107</v>
      </c>
      <c r="AP25" s="498">
        <f t="shared" si="11"/>
        <v>1983424.1884756107</v>
      </c>
      <c r="AQ25" s="498">
        <f t="shared" si="11"/>
        <v>1983424.1884756107</v>
      </c>
      <c r="AR25" s="498">
        <f t="shared" si="11"/>
        <v>1983424.1884756107</v>
      </c>
      <c r="AS25" s="498">
        <f t="shared" si="11"/>
        <v>1983424.1884756107</v>
      </c>
      <c r="AT25" s="498">
        <f t="shared" si="11"/>
        <v>1925513.9931916518</v>
      </c>
      <c r="AU25" s="498">
        <f t="shared" si="11"/>
        <v>1996633.4960485369</v>
      </c>
      <c r="AV25" s="498">
        <f t="shared" si="11"/>
        <v>1996633.4960485369</v>
      </c>
      <c r="AW25" s="498">
        <f t="shared" si="11"/>
        <v>1996633.4960485369</v>
      </c>
      <c r="AX25" s="498">
        <f t="shared" si="11"/>
        <v>1996633.4960485369</v>
      </c>
      <c r="AY25" s="498">
        <f t="shared" si="11"/>
        <v>1996633.4960485369</v>
      </c>
      <c r="AZ25" s="498">
        <f t="shared" si="11"/>
        <v>1936584.3683478292</v>
      </c>
      <c r="BA25" s="498">
        <f t="shared" si="11"/>
        <v>2000482.4017378194</v>
      </c>
      <c r="BB25" s="498">
        <f t="shared" si="11"/>
        <v>2000482.4017378194</v>
      </c>
      <c r="BC25" s="498">
        <f t="shared" si="11"/>
        <v>2000482.4017378194</v>
      </c>
      <c r="BD25" s="498">
        <f t="shared" si="11"/>
        <v>2000482.4017378194</v>
      </c>
      <c r="BE25" s="498">
        <f t="shared" si="11"/>
        <v>2000482.4017378194</v>
      </c>
      <c r="BF25" s="498">
        <f t="shared" si="11"/>
        <v>1938451.9396684293</v>
      </c>
      <c r="BG25" s="498">
        <f t="shared" si="11"/>
        <v>1997193.055541079</v>
      </c>
      <c r="BH25" s="498">
        <f t="shared" si="11"/>
        <v>1997193.055541079</v>
      </c>
      <c r="BI25" s="498">
        <f t="shared" si="11"/>
        <v>1997193.055541079</v>
      </c>
      <c r="BJ25" s="498">
        <f t="shared" si="11"/>
        <v>1997193.055541079</v>
      </c>
      <c r="BK25" s="498">
        <f t="shared" si="11"/>
        <v>1997193.055541079</v>
      </c>
      <c r="BL25" s="498">
        <f t="shared" si="11"/>
        <v>1933282.8777637645</v>
      </c>
      <c r="BM25" s="498">
        <f t="shared" si="11"/>
        <v>2005443.2710135987</v>
      </c>
      <c r="BN25" s="498">
        <f t="shared" si="11"/>
        <v>2005443.2710135987</v>
      </c>
      <c r="BO25" s="498">
        <f t="shared" si="11"/>
        <v>2005443.2710135987</v>
      </c>
      <c r="BP25" s="498">
        <f t="shared" si="11"/>
        <v>2005443.2710135987</v>
      </c>
      <c r="BQ25" s="498">
        <f t="shared" si="11"/>
        <v>2005443.2710135987</v>
      </c>
      <c r="BR25" s="498">
        <f t="shared" si="11"/>
        <v>1939147.6256908346</v>
      </c>
      <c r="BS25" s="498">
        <f t="shared" si="11"/>
        <v>1989105.9429554534</v>
      </c>
      <c r="BT25" s="498">
        <f t="shared" si="11"/>
        <v>1989105.9429554534</v>
      </c>
      <c r="BU25" s="498">
        <f t="shared" si="11"/>
        <v>1989105.9429554534</v>
      </c>
      <c r="BV25" s="498">
        <f t="shared" si="11"/>
        <v>1989105.9429554534</v>
      </c>
      <c r="BW25" s="498">
        <f t="shared" si="11"/>
        <v>1989105.9429554534</v>
      </c>
      <c r="BX25" s="498">
        <f t="shared" si="11"/>
        <v>1921102.3209740706</v>
      </c>
      <c r="BY25" s="498">
        <f t="shared" si="11"/>
        <v>2000630.1143798716</v>
      </c>
      <c r="BZ25" s="498">
        <f t="shared" si="11"/>
        <v>2000630.1143798716</v>
      </c>
      <c r="CA25" s="498">
        <f t="shared" si="11"/>
        <v>2000630.1143798716</v>
      </c>
      <c r="CB25" s="498">
        <f t="shared" si="11"/>
        <v>2000630.1143798716</v>
      </c>
      <c r="CC25" s="498">
        <f t="shared" si="11"/>
        <v>2000630.1143798716</v>
      </c>
      <c r="CD25" s="498">
        <f t="shared" si="11"/>
        <v>1929811.3492690797</v>
      </c>
      <c r="CG25" s="8"/>
    </row>
    <row r="26" spans="1:85" x14ac:dyDescent="0.3">
      <c r="A26" s="7"/>
      <c r="B26" s="1"/>
      <c r="C26" s="40"/>
      <c r="D26" s="2"/>
      <c r="E26" s="2" t="s">
        <v>389</v>
      </c>
      <c r="F26" s="54"/>
      <c r="G26" s="54"/>
      <c r="H26" s="54"/>
      <c r="I26" s="67">
        <v>-6232414.8999999985</v>
      </c>
      <c r="J26" s="67">
        <v>-6596134.2699999968</v>
      </c>
      <c r="K26" s="67">
        <v>-6790055.1400000006</v>
      </c>
      <c r="L26" s="67">
        <v>-6818644.259999997</v>
      </c>
      <c r="M26" s="54"/>
      <c r="N26" s="19">
        <f>'Value Segment'!I26+'Mid-Market Segment'!I26+'Upper Mid-Market Segment'!I26+'Premium Segment'!I26+'Closures Overlay'!I26+'Disposals Overlay'!I26</f>
        <v>-7260616.2235290017</v>
      </c>
      <c r="O26" s="19">
        <f>'Value Segment'!J26+'Mid-Market Segment'!J26+'Upper Mid-Market Segment'!J26+'Premium Segment'!J26+'Closures Overlay'!J26+'Disposals Overlay'!J26</f>
        <v>-7535193.7043430889</v>
      </c>
      <c r="P26" s="19">
        <f>'Value Segment'!K26+'Mid-Market Segment'!K26+'Upper Mid-Market Segment'!K26+'Premium Segment'!K26+'Closures Overlay'!K26+'Disposals Overlay'!K26</f>
        <v>-7577291.4975240799</v>
      </c>
      <c r="Q26" s="19">
        <f>'Value Segment'!L26+'Mid-Market Segment'!L26+'Upper Mid-Market Segment'!L26+'Premium Segment'!L26+'Closures Overlay'!L26+'Disposals Overlay'!L26</f>
        <v>-7577491.5231903493</v>
      </c>
      <c r="R26" s="19">
        <f>'Value Segment'!M26+'Mid-Market Segment'!M26+'Upper Mid-Market Segment'!M26+'Premium Segment'!M26+'Closures Overlay'!M26+'Disposals Overlay'!M26</f>
        <v>-7538516.1721799392</v>
      </c>
      <c r="S26" s="19">
        <f>'Value Segment'!N26+'Mid-Market Segment'!N26+'Upper Mid-Market Segment'!N26+'Premium Segment'!N26+'Closures Overlay'!N26+'Disposals Overlay'!N26</f>
        <v>-7466274.9090703316</v>
      </c>
      <c r="T26" s="37"/>
      <c r="U26" s="50">
        <f t="shared" si="9"/>
        <v>5.6019318204068025E-3</v>
      </c>
      <c r="W26" s="19">
        <f>'Value Segment'!R26+'Mid-Market Segment'!R26+'Upper Mid-Market Segment'!R26+'Premium Segment'!R26+'Closures Overlay'!R26+'Disposals Overlay'!R26</f>
        <v>-632082.89138893876</v>
      </c>
      <c r="X26" s="19">
        <f>'Value Segment'!S26+'Mid-Market Segment'!S26+'Upper Mid-Market Segment'!S26+'Premium Segment'!S26+'Closures Overlay'!S26+'Disposals Overlay'!S26</f>
        <v>-632082.89138893876</v>
      </c>
      <c r="Y26" s="19">
        <f>'Value Segment'!T26+'Mid-Market Segment'!T26+'Upper Mid-Market Segment'!T26+'Premium Segment'!T26+'Closures Overlay'!T26+'Disposals Overlay'!T26</f>
        <v>-632082.89138893876</v>
      </c>
      <c r="Z26" s="19">
        <f>'Value Segment'!U26+'Mid-Market Segment'!U26+'Upper Mid-Market Segment'!U26+'Premium Segment'!U26+'Closures Overlay'!U26+'Disposals Overlay'!U26</f>
        <v>-632082.89138893876</v>
      </c>
      <c r="AA26" s="19">
        <f>'Value Segment'!V26+'Mid-Market Segment'!V26+'Upper Mid-Market Segment'!V26+'Premium Segment'!V26+'Closures Overlay'!V26+'Disposals Overlay'!V26</f>
        <v>-632082.89138893876</v>
      </c>
      <c r="AB26" s="19">
        <f>'Value Segment'!W26+'Mid-Market Segment'!W26+'Upper Mid-Market Segment'!W26+'Premium Segment'!W26+'Closures Overlay'!W26+'Disposals Overlay'!W26</f>
        <v>-615114.22316373233</v>
      </c>
      <c r="AC26" s="19">
        <f>'Value Segment'!X26+'Mid-Market Segment'!X26+'Upper Mid-Market Segment'!X26+'Premium Segment'!X26+'Closures Overlay'!X26+'Disposals Overlay'!X26</f>
        <v>-629505.11375753593</v>
      </c>
      <c r="AD26" s="19">
        <f>'Value Segment'!Y26+'Mid-Market Segment'!Y26+'Upper Mid-Market Segment'!Y26+'Premium Segment'!Y26+'Closures Overlay'!Y26+'Disposals Overlay'!Y26</f>
        <v>-629505.11375753593</v>
      </c>
      <c r="AE26" s="19">
        <f>'Value Segment'!Z26+'Mid-Market Segment'!Z26+'Upper Mid-Market Segment'!Z26+'Premium Segment'!Z26+'Closures Overlay'!Z26+'Disposals Overlay'!Z26</f>
        <v>-629505.11375753593</v>
      </c>
      <c r="AF26" s="19">
        <f>'Value Segment'!AA26+'Mid-Market Segment'!AA26+'Upper Mid-Market Segment'!AA26+'Premium Segment'!AA26+'Closures Overlay'!AA26+'Disposals Overlay'!AA26</f>
        <v>-629505.11375753593</v>
      </c>
      <c r="AG26" s="19">
        <f>'Value Segment'!AB26+'Mid-Market Segment'!AB26+'Upper Mid-Market Segment'!AB26+'Premium Segment'!AB26+'Closures Overlay'!AB26+'Disposals Overlay'!AB26</f>
        <v>-629505.11375753593</v>
      </c>
      <c r="AH26" s="19">
        <f>'Value Segment'!AC26+'Mid-Market Segment'!AC26+'Upper Mid-Market Segment'!AC26+'Premium Segment'!AC26+'Closures Overlay'!AC26+'Disposals Overlay'!AC26</f>
        <v>-612139.45544698322</v>
      </c>
      <c r="AI26" s="19">
        <f>'Value Segment'!AD26+'Mid-Market Segment'!AD26+'Upper Mid-Market Segment'!AD26+'Premium Segment'!AD26+'Closures Overlay'!AD26+'Disposals Overlay'!AD26</f>
        <v>-634823.7168457642</v>
      </c>
      <c r="AJ26" s="19">
        <f>'Value Segment'!AE26+'Mid-Market Segment'!AE26+'Upper Mid-Market Segment'!AE26+'Premium Segment'!AE26+'Closures Overlay'!AE26+'Disposals Overlay'!AE26</f>
        <v>-634823.7168457642</v>
      </c>
      <c r="AK26" s="19">
        <f>'Value Segment'!AF26+'Mid-Market Segment'!AF26+'Upper Mid-Market Segment'!AF26+'Premium Segment'!AF26+'Closures Overlay'!AF26+'Disposals Overlay'!AF26</f>
        <v>-634823.7168457642</v>
      </c>
      <c r="AL26" s="19">
        <f>'Value Segment'!AG26+'Mid-Market Segment'!AG26+'Upper Mid-Market Segment'!AG26+'Premium Segment'!AG26+'Closures Overlay'!AG26+'Disposals Overlay'!AG26</f>
        <v>-634823.7168457642</v>
      </c>
      <c r="AM26" s="19">
        <f>'Value Segment'!AH26+'Mid-Market Segment'!AH26+'Upper Mid-Market Segment'!AH26+'Premium Segment'!AH26+'Closures Overlay'!AH26+'Disposals Overlay'!AH26</f>
        <v>-634823.7168457642</v>
      </c>
      <c r="AN26" s="19">
        <f>'Value Segment'!AI26+'Mid-Market Segment'!AI26+'Upper Mid-Market Segment'!AI26+'Premium Segment'!AI26+'Closures Overlay'!AI26+'Disposals Overlay'!AI26</f>
        <v>-616814.53338914679</v>
      </c>
      <c r="AO26" s="19">
        <f>'Value Segment'!AJ26+'Mid-Market Segment'!AJ26+'Upper Mid-Market Segment'!AJ26+'Premium Segment'!AJ26+'Closures Overlay'!AJ26+'Disposals Overlay'!AJ26</f>
        <v>-634145.59663464245</v>
      </c>
      <c r="AP26" s="19">
        <f>'Value Segment'!AK26+'Mid-Market Segment'!AK26+'Upper Mid-Market Segment'!AK26+'Premium Segment'!AK26+'Closures Overlay'!AK26+'Disposals Overlay'!AK26</f>
        <v>-634145.59663464245</v>
      </c>
      <c r="AQ26" s="19">
        <f>'Value Segment'!AL26+'Mid-Market Segment'!AL26+'Upper Mid-Market Segment'!AL26+'Premium Segment'!AL26+'Closures Overlay'!AL26+'Disposals Overlay'!AL26</f>
        <v>-634145.59663464245</v>
      </c>
      <c r="AR26" s="19">
        <f>'Value Segment'!AM26+'Mid-Market Segment'!AM26+'Upper Mid-Market Segment'!AM26+'Premium Segment'!AM26+'Closures Overlay'!AM26+'Disposals Overlay'!AM26</f>
        <v>-634145.59663464245</v>
      </c>
      <c r="AS26" s="19">
        <f>'Value Segment'!AN26+'Mid-Market Segment'!AN26+'Upper Mid-Market Segment'!AN26+'Premium Segment'!AN26+'Closures Overlay'!AN26+'Disposals Overlay'!AN26</f>
        <v>-634145.59663464245</v>
      </c>
      <c r="AT26" s="19">
        <f>'Value Segment'!AO26+'Mid-Market Segment'!AO26+'Upper Mid-Market Segment'!AO26+'Premium Segment'!AO26+'Closures Overlay'!AO26+'Disposals Overlay'!AO26</f>
        <v>-615630.39673290111</v>
      </c>
      <c r="AU26" s="19">
        <f>'Value Segment'!AP26+'Mid-Market Segment'!AP26+'Upper Mid-Market Segment'!AP26+'Premium Segment'!AP26+'Closures Overlay'!AP26+'Disposals Overlay'!AP26</f>
        <v>-634206.12370630109</v>
      </c>
      <c r="AV26" s="19">
        <f>'Value Segment'!AQ26+'Mid-Market Segment'!AQ26+'Upper Mid-Market Segment'!AQ26+'Premium Segment'!AQ26+'Closures Overlay'!AQ26+'Disposals Overlay'!AQ26</f>
        <v>-634206.12370630109</v>
      </c>
      <c r="AW26" s="19">
        <f>'Value Segment'!AR26+'Mid-Market Segment'!AR26+'Upper Mid-Market Segment'!AR26+'Premium Segment'!AR26+'Closures Overlay'!AR26+'Disposals Overlay'!AR26</f>
        <v>-634206.12370630109</v>
      </c>
      <c r="AX26" s="19">
        <f>'Value Segment'!AS26+'Mid-Market Segment'!AS26+'Upper Mid-Market Segment'!AS26+'Premium Segment'!AS26+'Closures Overlay'!AS26+'Disposals Overlay'!AS26</f>
        <v>-634206.12370630109</v>
      </c>
      <c r="AY26" s="19">
        <f>'Value Segment'!AT26+'Mid-Market Segment'!AT26+'Upper Mid-Market Segment'!AT26+'Premium Segment'!AT26+'Closures Overlay'!AT26+'Disposals Overlay'!AT26</f>
        <v>-634206.12370630109</v>
      </c>
      <c r="AZ26" s="19">
        <f>'Value Segment'!AU26+'Mid-Market Segment'!AU26+'Upper Mid-Market Segment'!AU26+'Premium Segment'!AU26+'Closures Overlay'!AU26+'Disposals Overlay'!AU26</f>
        <v>-615132.25532415672</v>
      </c>
      <c r="BA26" s="19">
        <f>'Value Segment'!AV26+'Mid-Market Segment'!AV26+'Upper Mid-Market Segment'!AV26+'Premium Segment'!AV26+'Closures Overlay'!AV26+'Disposals Overlay'!AV26</f>
        <v>-635170.64384957775</v>
      </c>
      <c r="BB26" s="19">
        <f>'Value Segment'!AW26+'Mid-Market Segment'!AW26+'Upper Mid-Market Segment'!AW26+'Premium Segment'!AW26+'Closures Overlay'!AW26+'Disposals Overlay'!AW26</f>
        <v>-635170.64384957775</v>
      </c>
      <c r="BC26" s="19">
        <f>'Value Segment'!AX26+'Mid-Market Segment'!AX26+'Upper Mid-Market Segment'!AX26+'Premium Segment'!AX26+'Closures Overlay'!AX26+'Disposals Overlay'!AX26</f>
        <v>-635170.64384957775</v>
      </c>
      <c r="BD26" s="19">
        <f>'Value Segment'!AY26+'Mid-Market Segment'!AY26+'Upper Mid-Market Segment'!AY26+'Premium Segment'!AY26+'Closures Overlay'!AY26+'Disposals Overlay'!AY26</f>
        <v>-635170.64384957775</v>
      </c>
      <c r="BE26" s="19">
        <f>'Value Segment'!AZ26+'Mid-Market Segment'!AZ26+'Upper Mid-Market Segment'!AZ26+'Premium Segment'!AZ26+'Closures Overlay'!AZ26+'Disposals Overlay'!AZ26</f>
        <v>-635170.64384957775</v>
      </c>
      <c r="BF26" s="19">
        <f>'Value Segment'!BA26+'Mid-Market Segment'!BA26+'Upper Mid-Market Segment'!BA26+'Premium Segment'!BA26+'Closures Overlay'!BA26+'Disposals Overlay'!BA26</f>
        <v>-615475.43008680013</v>
      </c>
      <c r="BG26" s="19">
        <f>'Value Segment'!BB26+'Mid-Market Segment'!BB26+'Upper Mid-Market Segment'!BB26+'Premium Segment'!BB26+'Closures Overlay'!BB26+'Disposals Overlay'!BB26</f>
        <v>-630479.92694386095</v>
      </c>
      <c r="BH26" s="19">
        <f>'Value Segment'!BC26+'Mid-Market Segment'!BC26+'Upper Mid-Market Segment'!BC26+'Premium Segment'!BC26+'Closures Overlay'!BC26+'Disposals Overlay'!BC26</f>
        <v>-630479.92694386095</v>
      </c>
      <c r="BI26" s="19">
        <f>'Value Segment'!BD26+'Mid-Market Segment'!BD26+'Upper Mid-Market Segment'!BD26+'Premium Segment'!BD26+'Closures Overlay'!BD26+'Disposals Overlay'!BD26</f>
        <v>-630479.92694386095</v>
      </c>
      <c r="BJ26" s="19">
        <f>'Value Segment'!BE26+'Mid-Market Segment'!BE26+'Upper Mid-Market Segment'!BE26+'Premium Segment'!BE26+'Closures Overlay'!BE26+'Disposals Overlay'!BE26</f>
        <v>-630479.92694386095</v>
      </c>
      <c r="BK26" s="19">
        <f>'Value Segment'!BF26+'Mid-Market Segment'!BF26+'Upper Mid-Market Segment'!BF26+'Premium Segment'!BF26+'Closures Overlay'!BF26+'Disposals Overlay'!BF26</f>
        <v>-630479.92694386095</v>
      </c>
      <c r="BL26" s="19">
        <f>'Value Segment'!BG26+'Mid-Market Segment'!BG26+'Upper Mid-Market Segment'!BG26+'Premium Segment'!BG26+'Closures Overlay'!BG26+'Disposals Overlay'!BG26</f>
        <v>-610304.56928165734</v>
      </c>
      <c r="BM26" s="19">
        <f>'Value Segment'!BH26+'Mid-Market Segment'!BH26+'Upper Mid-Market Segment'!BH26+'Premium Segment'!BH26+'Closures Overlay'!BH26+'Disposals Overlay'!BH26</f>
        <v>-632788.43234024441</v>
      </c>
      <c r="BN26" s="19">
        <f>'Value Segment'!BI26+'Mid-Market Segment'!BI26+'Upper Mid-Market Segment'!BI26+'Premium Segment'!BI26+'Closures Overlay'!BI26+'Disposals Overlay'!BI26</f>
        <v>-632788.43234024441</v>
      </c>
      <c r="BO26" s="19">
        <f>'Value Segment'!BJ26+'Mid-Market Segment'!BJ26+'Upper Mid-Market Segment'!BJ26+'Premium Segment'!BJ26+'Closures Overlay'!BJ26+'Disposals Overlay'!BJ26</f>
        <v>-632788.43234024441</v>
      </c>
      <c r="BP26" s="19">
        <f>'Value Segment'!BK26+'Mid-Market Segment'!BK26+'Upper Mid-Market Segment'!BK26+'Premium Segment'!BK26+'Closures Overlay'!BK26+'Disposals Overlay'!BK26</f>
        <v>-632788.43234024441</v>
      </c>
      <c r="BQ26" s="19">
        <f>'Value Segment'!BL26+'Mid-Market Segment'!BL26+'Upper Mid-Market Segment'!BL26+'Premium Segment'!BL26+'Closures Overlay'!BL26+'Disposals Overlay'!BL26</f>
        <v>-632788.43234024441</v>
      </c>
      <c r="BR26" s="19">
        <f>'Value Segment'!BM26+'Mid-Market Segment'!BM26+'Upper Mid-Market Segment'!BM26+'Premium Segment'!BM26+'Closures Overlay'!BM26+'Disposals Overlay'!BM26</f>
        <v>-611869.80647775705</v>
      </c>
      <c r="BS26" s="19">
        <f>'Value Segment'!BN26+'Mid-Market Segment'!BN26+'Upper Mid-Market Segment'!BN26+'Premium Segment'!BN26+'Closures Overlay'!BN26+'Disposals Overlay'!BN26</f>
        <v>-624174.3854004289</v>
      </c>
      <c r="BT26" s="19">
        <f>'Value Segment'!BO26+'Mid-Market Segment'!BO26+'Upper Mid-Market Segment'!BO26+'Premium Segment'!BO26+'Closures Overlay'!BO26+'Disposals Overlay'!BO26</f>
        <v>-624174.3854004289</v>
      </c>
      <c r="BU26" s="19">
        <f>'Value Segment'!BP26+'Mid-Market Segment'!BP26+'Upper Mid-Market Segment'!BP26+'Premium Segment'!BP26+'Closures Overlay'!BP26+'Disposals Overlay'!BP26</f>
        <v>-624174.3854004289</v>
      </c>
      <c r="BV26" s="19">
        <f>'Value Segment'!BQ26+'Mid-Market Segment'!BQ26+'Upper Mid-Market Segment'!BQ26+'Premium Segment'!BQ26+'Closures Overlay'!BQ26+'Disposals Overlay'!BQ26</f>
        <v>-624174.3854004289</v>
      </c>
      <c r="BW26" s="19">
        <f>'Value Segment'!BR26+'Mid-Market Segment'!BR26+'Upper Mid-Market Segment'!BR26+'Premium Segment'!BR26+'Closures Overlay'!BR26+'Disposals Overlay'!BR26</f>
        <v>-624174.3854004289</v>
      </c>
      <c r="BX26" s="19">
        <f>'Value Segment'!BS26+'Mid-Market Segment'!BS26+'Upper Mid-Market Segment'!BS26+'Premium Segment'!BS26+'Closures Overlay'!BS26+'Disposals Overlay'!BS26</f>
        <v>-602835.0901730638</v>
      </c>
      <c r="BY26" s="19">
        <f>'Value Segment'!BT26+'Mid-Market Segment'!BT26+'Upper Mid-Market Segment'!BT26+'Premium Segment'!BT26+'Closures Overlay'!BT26+'Disposals Overlay'!BT26</f>
        <v>-627463.16288449359</v>
      </c>
      <c r="BZ26" s="19">
        <f>'Value Segment'!BU26+'Mid-Market Segment'!BU26+'Upper Mid-Market Segment'!BU26+'Premium Segment'!BU26+'Closures Overlay'!BU26+'Disposals Overlay'!BU26</f>
        <v>-627463.16288449359</v>
      </c>
      <c r="CA26" s="19">
        <f>'Value Segment'!BV26+'Mid-Market Segment'!BV26+'Upper Mid-Market Segment'!BV26+'Premium Segment'!BV26+'Closures Overlay'!BV26+'Disposals Overlay'!BV26</f>
        <v>-627463.16288449359</v>
      </c>
      <c r="CB26" s="19">
        <f>'Value Segment'!BW26+'Mid-Market Segment'!BW26+'Upper Mid-Market Segment'!BW26+'Premium Segment'!BW26+'Closures Overlay'!BW26+'Disposals Overlay'!BW26</f>
        <v>-627463.16288449359</v>
      </c>
      <c r="CC26" s="19">
        <f>'Value Segment'!BX26+'Mid-Market Segment'!BX26+'Upper Mid-Market Segment'!BX26+'Premium Segment'!BX26+'Closures Overlay'!BX26+'Disposals Overlay'!BX26</f>
        <v>-627463.16288449359</v>
      </c>
      <c r="CD26" s="19">
        <f>'Value Segment'!BY26+'Mid-Market Segment'!BY26+'Upper Mid-Market Segment'!BY26+'Premium Segment'!BY26+'Closures Overlay'!BY26+'Disposals Overlay'!BY26</f>
        <v>-605252.07747265312</v>
      </c>
      <c r="CG26" s="8"/>
    </row>
    <row r="27" spans="1:85" x14ac:dyDescent="0.3">
      <c r="A27" s="7"/>
      <c r="B27" s="1"/>
      <c r="C27" s="40"/>
      <c r="D27" s="2"/>
      <c r="E27" s="4" t="s">
        <v>390</v>
      </c>
      <c r="F27" s="5"/>
      <c r="G27" s="5"/>
      <c r="H27" s="5"/>
      <c r="I27" s="498">
        <f>SUM(I25:I26)</f>
        <v>13111799.220000014</v>
      </c>
      <c r="J27" s="498">
        <f>SUM(J25:J26)</f>
        <v>14201143.180000003</v>
      </c>
      <c r="K27" s="498">
        <f>SUM(K25:K26)</f>
        <v>14340175.710000008</v>
      </c>
      <c r="L27" s="498">
        <f>SUM(L25:L26)</f>
        <v>14397922.849999994</v>
      </c>
      <c r="M27" s="5"/>
      <c r="N27" s="498">
        <f t="shared" ref="N27:S27" si="12">SUM(N25:N26)</f>
        <v>15084397.886660239</v>
      </c>
      <c r="O27" s="498">
        <f t="shared" si="12"/>
        <v>15848717.303145327</v>
      </c>
      <c r="P27" s="498">
        <f t="shared" si="12"/>
        <v>16118276.437813286</v>
      </c>
      <c r="Q27" s="498">
        <f t="shared" si="12"/>
        <v>16283124.273757696</v>
      </c>
      <c r="R27" s="498">
        <f t="shared" si="12"/>
        <v>16347095.964048045</v>
      </c>
      <c r="S27" s="498">
        <f t="shared" si="12"/>
        <v>16333319.047849447</v>
      </c>
      <c r="T27" s="57"/>
      <c r="U27" s="55">
        <f t="shared" si="9"/>
        <v>1.603646122256408E-2</v>
      </c>
      <c r="W27" s="498">
        <f>SUM(W25:W26)</f>
        <v>1329196.4458332465</v>
      </c>
      <c r="X27" s="498">
        <f t="shared" ref="X27:CD27" si="13">SUM(X25:X26)</f>
        <v>1329196.4458332465</v>
      </c>
      <c r="Y27" s="498">
        <f t="shared" si="13"/>
        <v>1329196.4458332465</v>
      </c>
      <c r="Z27" s="498">
        <f t="shared" si="13"/>
        <v>1329196.4458332465</v>
      </c>
      <c r="AA27" s="498">
        <f t="shared" si="13"/>
        <v>1329196.4458332465</v>
      </c>
      <c r="AB27" s="498">
        <f t="shared" si="13"/>
        <v>1293513.3197706093</v>
      </c>
      <c r="AC27" s="498">
        <f t="shared" si="13"/>
        <v>1324292.3260510745</v>
      </c>
      <c r="AD27" s="498">
        <f t="shared" si="13"/>
        <v>1324292.3260510745</v>
      </c>
      <c r="AE27" s="498">
        <f t="shared" si="13"/>
        <v>1324292.3260510745</v>
      </c>
      <c r="AF27" s="498">
        <f t="shared" si="13"/>
        <v>1324292.3260510745</v>
      </c>
      <c r="AG27" s="498">
        <f t="shared" si="13"/>
        <v>1324292.3260510745</v>
      </c>
      <c r="AH27" s="498">
        <f t="shared" si="13"/>
        <v>1287760.1239531138</v>
      </c>
      <c r="AI27" s="498">
        <f t="shared" si="13"/>
        <v>1350049.8615001254</v>
      </c>
      <c r="AJ27" s="498">
        <f t="shared" si="13"/>
        <v>1350049.8615001254</v>
      </c>
      <c r="AK27" s="498">
        <f t="shared" si="13"/>
        <v>1350049.8615001254</v>
      </c>
      <c r="AL27" s="498">
        <f t="shared" si="13"/>
        <v>1350049.8615001254</v>
      </c>
      <c r="AM27" s="498">
        <f t="shared" si="13"/>
        <v>1350049.8615001254</v>
      </c>
      <c r="AN27" s="498">
        <f t="shared" si="13"/>
        <v>1311750.5746490578</v>
      </c>
      <c r="AO27" s="498">
        <f t="shared" si="13"/>
        <v>1349278.5918409682</v>
      </c>
      <c r="AP27" s="498">
        <f t="shared" si="13"/>
        <v>1349278.5918409682</v>
      </c>
      <c r="AQ27" s="498">
        <f t="shared" si="13"/>
        <v>1349278.5918409682</v>
      </c>
      <c r="AR27" s="498">
        <f t="shared" si="13"/>
        <v>1349278.5918409682</v>
      </c>
      <c r="AS27" s="498">
        <f t="shared" si="13"/>
        <v>1349278.5918409682</v>
      </c>
      <c r="AT27" s="498">
        <f t="shared" si="13"/>
        <v>1309883.5964587508</v>
      </c>
      <c r="AU27" s="498">
        <f t="shared" si="13"/>
        <v>1362427.3723422359</v>
      </c>
      <c r="AV27" s="498">
        <f t="shared" si="13"/>
        <v>1362427.3723422359</v>
      </c>
      <c r="AW27" s="498">
        <f t="shared" si="13"/>
        <v>1362427.3723422359</v>
      </c>
      <c r="AX27" s="498">
        <f t="shared" si="13"/>
        <v>1362427.3723422359</v>
      </c>
      <c r="AY27" s="498">
        <f t="shared" si="13"/>
        <v>1362427.3723422359</v>
      </c>
      <c r="AZ27" s="498">
        <f t="shared" si="13"/>
        <v>1321452.1130236725</v>
      </c>
      <c r="BA27" s="498">
        <f t="shared" si="13"/>
        <v>1365311.7578882417</v>
      </c>
      <c r="BB27" s="498">
        <f t="shared" si="13"/>
        <v>1365311.7578882417</v>
      </c>
      <c r="BC27" s="498">
        <f t="shared" si="13"/>
        <v>1365311.7578882417</v>
      </c>
      <c r="BD27" s="498">
        <f t="shared" si="13"/>
        <v>1365311.7578882417</v>
      </c>
      <c r="BE27" s="498">
        <f t="shared" si="13"/>
        <v>1365311.7578882417</v>
      </c>
      <c r="BF27" s="498">
        <f t="shared" si="13"/>
        <v>1322976.5095816292</v>
      </c>
      <c r="BG27" s="498">
        <f t="shared" si="13"/>
        <v>1366713.1285972181</v>
      </c>
      <c r="BH27" s="498">
        <f t="shared" si="13"/>
        <v>1366713.1285972181</v>
      </c>
      <c r="BI27" s="498">
        <f t="shared" si="13"/>
        <v>1366713.1285972181</v>
      </c>
      <c r="BJ27" s="498">
        <f t="shared" si="13"/>
        <v>1366713.1285972181</v>
      </c>
      <c r="BK27" s="498">
        <f t="shared" si="13"/>
        <v>1366713.1285972181</v>
      </c>
      <c r="BL27" s="498">
        <f t="shared" si="13"/>
        <v>1322978.3084821072</v>
      </c>
      <c r="BM27" s="498">
        <f t="shared" si="13"/>
        <v>1372654.8386733541</v>
      </c>
      <c r="BN27" s="498">
        <f t="shared" si="13"/>
        <v>1372654.8386733541</v>
      </c>
      <c r="BO27" s="498">
        <f t="shared" si="13"/>
        <v>1372654.8386733541</v>
      </c>
      <c r="BP27" s="498">
        <f t="shared" si="13"/>
        <v>1372654.8386733541</v>
      </c>
      <c r="BQ27" s="498">
        <f t="shared" si="13"/>
        <v>1372654.8386733541</v>
      </c>
      <c r="BR27" s="498">
        <f t="shared" si="13"/>
        <v>1327277.8192130774</v>
      </c>
      <c r="BS27" s="498">
        <f t="shared" si="13"/>
        <v>1364931.5575550245</v>
      </c>
      <c r="BT27" s="498">
        <f t="shared" si="13"/>
        <v>1364931.5575550245</v>
      </c>
      <c r="BU27" s="498">
        <f t="shared" si="13"/>
        <v>1364931.5575550245</v>
      </c>
      <c r="BV27" s="498">
        <f t="shared" si="13"/>
        <v>1364931.5575550245</v>
      </c>
      <c r="BW27" s="498">
        <f t="shared" si="13"/>
        <v>1364931.5575550245</v>
      </c>
      <c r="BX27" s="498">
        <f t="shared" si="13"/>
        <v>1318267.2308010068</v>
      </c>
      <c r="BY27" s="498">
        <f t="shared" si="13"/>
        <v>1373166.951495378</v>
      </c>
      <c r="BZ27" s="498">
        <f t="shared" si="13"/>
        <v>1373166.951495378</v>
      </c>
      <c r="CA27" s="498">
        <f t="shared" si="13"/>
        <v>1373166.951495378</v>
      </c>
      <c r="CB27" s="498">
        <f t="shared" si="13"/>
        <v>1373166.951495378</v>
      </c>
      <c r="CC27" s="498">
        <f t="shared" si="13"/>
        <v>1373166.951495378</v>
      </c>
      <c r="CD27" s="498">
        <f t="shared" si="13"/>
        <v>1324559.2717964267</v>
      </c>
      <c r="CG27" s="8"/>
    </row>
    <row r="28" spans="1:85" x14ac:dyDescent="0.3">
      <c r="A28" s="7"/>
      <c r="B28" s="1"/>
      <c r="C28" s="40"/>
      <c r="D28" s="2"/>
      <c r="E28" s="2" t="s">
        <v>175</v>
      </c>
      <c r="F28" s="58"/>
      <c r="G28" s="58"/>
      <c r="H28" s="58"/>
      <c r="I28" s="499">
        <f>IFERROR(I27/I22,0)</f>
        <v>0.40157213291197047</v>
      </c>
      <c r="J28" s="499">
        <f>IFERROR(J27/J22,0)</f>
        <v>0.41499845447729228</v>
      </c>
      <c r="K28" s="499">
        <f>IFERROR(K27/K22,0)</f>
        <v>0.41878181531742192</v>
      </c>
      <c r="L28" s="499">
        <f>IFERROR(L27/L22,0)</f>
        <v>0.42055190950346683</v>
      </c>
      <c r="M28" s="58"/>
      <c r="N28" s="499">
        <f t="shared" ref="N28:S28" si="14">IFERROR(N27/N22,0)</f>
        <v>0.42019130112783776</v>
      </c>
      <c r="O28" s="499">
        <f t="shared" si="14"/>
        <v>0.42827498167384487</v>
      </c>
      <c r="P28" s="499">
        <f t="shared" si="14"/>
        <v>0.43583337754359514</v>
      </c>
      <c r="Q28" s="499">
        <f t="shared" si="14"/>
        <v>0.44281626274778807</v>
      </c>
      <c r="R28" s="499">
        <f t="shared" si="14"/>
        <v>0.44921546453937072</v>
      </c>
      <c r="S28" s="499">
        <f t="shared" si="14"/>
        <v>0.45546896481473492</v>
      </c>
      <c r="T28" s="23"/>
      <c r="U28" s="50">
        <f t="shared" si="9"/>
        <v>1.6254183747189899E-2</v>
      </c>
      <c r="W28" s="499">
        <f>IFERROR(W27/W22,0)</f>
        <v>0.4282565130102684</v>
      </c>
      <c r="X28" s="499">
        <f t="shared" ref="X28:CD28" si="15">IFERROR(X27/X22,0)</f>
        <v>0.4282565130102684</v>
      </c>
      <c r="Y28" s="499">
        <f t="shared" si="15"/>
        <v>0.4282565130102684</v>
      </c>
      <c r="Z28" s="499">
        <f t="shared" si="15"/>
        <v>0.4282565130102684</v>
      </c>
      <c r="AA28" s="499">
        <f t="shared" si="15"/>
        <v>0.4282565130102684</v>
      </c>
      <c r="AB28" s="499">
        <f t="shared" si="15"/>
        <v>0.42825651301026846</v>
      </c>
      <c r="AC28" s="499">
        <f t="shared" si="15"/>
        <v>0.42829352263130427</v>
      </c>
      <c r="AD28" s="499">
        <f t="shared" si="15"/>
        <v>0.42829352263130427</v>
      </c>
      <c r="AE28" s="499">
        <f t="shared" si="15"/>
        <v>0.42829352263130427</v>
      </c>
      <c r="AF28" s="499">
        <f t="shared" si="15"/>
        <v>0.42829352263130427</v>
      </c>
      <c r="AG28" s="499">
        <f t="shared" si="15"/>
        <v>0.42829352263130427</v>
      </c>
      <c r="AH28" s="499">
        <f t="shared" si="15"/>
        <v>0.42829352263130432</v>
      </c>
      <c r="AI28" s="499">
        <f t="shared" si="15"/>
        <v>0.43580911202717432</v>
      </c>
      <c r="AJ28" s="499">
        <f t="shared" si="15"/>
        <v>0.43580911202717432</v>
      </c>
      <c r="AK28" s="499">
        <f t="shared" si="15"/>
        <v>0.43580911202717432</v>
      </c>
      <c r="AL28" s="499">
        <f t="shared" si="15"/>
        <v>0.43580911202717432</v>
      </c>
      <c r="AM28" s="499">
        <f t="shared" si="15"/>
        <v>0.43580911202717432</v>
      </c>
      <c r="AN28" s="499">
        <f t="shared" si="15"/>
        <v>0.43580911202717426</v>
      </c>
      <c r="AO28" s="499">
        <f t="shared" si="15"/>
        <v>0.43585766300388462</v>
      </c>
      <c r="AP28" s="499">
        <f t="shared" si="15"/>
        <v>0.43585766300388462</v>
      </c>
      <c r="AQ28" s="499">
        <f t="shared" si="15"/>
        <v>0.43585766300388462</v>
      </c>
      <c r="AR28" s="499">
        <f t="shared" si="15"/>
        <v>0.43585766300388462</v>
      </c>
      <c r="AS28" s="499">
        <f t="shared" si="15"/>
        <v>0.43585766300388462</v>
      </c>
      <c r="AT28" s="499">
        <f t="shared" si="15"/>
        <v>0.43585766300388479</v>
      </c>
      <c r="AU28" s="499">
        <f t="shared" si="15"/>
        <v>0.44278650127775782</v>
      </c>
      <c r="AV28" s="499">
        <f t="shared" si="15"/>
        <v>0.44278650127775782</v>
      </c>
      <c r="AW28" s="499">
        <f t="shared" si="15"/>
        <v>0.44278650127775782</v>
      </c>
      <c r="AX28" s="499">
        <f t="shared" si="15"/>
        <v>0.44278650127775782</v>
      </c>
      <c r="AY28" s="499">
        <f t="shared" si="15"/>
        <v>0.44278650127775782</v>
      </c>
      <c r="AZ28" s="499">
        <f t="shared" si="15"/>
        <v>0.44278650127775787</v>
      </c>
      <c r="BA28" s="499">
        <f t="shared" si="15"/>
        <v>0.44284596997239023</v>
      </c>
      <c r="BB28" s="499">
        <f t="shared" si="15"/>
        <v>0.44284596997239023</v>
      </c>
      <c r="BC28" s="499">
        <f t="shared" si="15"/>
        <v>0.44284596997239023</v>
      </c>
      <c r="BD28" s="499">
        <f t="shared" si="15"/>
        <v>0.44284596997239023</v>
      </c>
      <c r="BE28" s="499">
        <f t="shared" si="15"/>
        <v>0.44284596997239023</v>
      </c>
      <c r="BF28" s="499">
        <f t="shared" si="15"/>
        <v>0.44284596997239012</v>
      </c>
      <c r="BG28" s="499">
        <f t="shared" si="15"/>
        <v>0.44918059178836406</v>
      </c>
      <c r="BH28" s="499">
        <f t="shared" si="15"/>
        <v>0.44918059178836406</v>
      </c>
      <c r="BI28" s="499">
        <f t="shared" si="15"/>
        <v>0.44918059178836406</v>
      </c>
      <c r="BJ28" s="499">
        <f t="shared" si="15"/>
        <v>0.44918059178836406</v>
      </c>
      <c r="BK28" s="499">
        <f t="shared" si="15"/>
        <v>0.44918059178836406</v>
      </c>
      <c r="BL28" s="499">
        <f t="shared" si="15"/>
        <v>0.44918059178836411</v>
      </c>
      <c r="BM28" s="499">
        <f t="shared" si="15"/>
        <v>0.44925019787645565</v>
      </c>
      <c r="BN28" s="499">
        <f t="shared" si="15"/>
        <v>0.44925019787645565</v>
      </c>
      <c r="BO28" s="499">
        <f t="shared" si="15"/>
        <v>0.44925019787645565</v>
      </c>
      <c r="BP28" s="499">
        <f t="shared" si="15"/>
        <v>0.44925019787645565</v>
      </c>
      <c r="BQ28" s="499">
        <f t="shared" si="15"/>
        <v>0.44925019787645565</v>
      </c>
      <c r="BR28" s="499">
        <f t="shared" si="15"/>
        <v>0.44925019787645548</v>
      </c>
      <c r="BS28" s="499">
        <f t="shared" si="15"/>
        <v>0.45542943114348439</v>
      </c>
      <c r="BT28" s="499">
        <f t="shared" si="15"/>
        <v>0.45542943114348439</v>
      </c>
      <c r="BU28" s="499">
        <f t="shared" si="15"/>
        <v>0.45542943114348439</v>
      </c>
      <c r="BV28" s="499">
        <f t="shared" si="15"/>
        <v>0.45542943114348439</v>
      </c>
      <c r="BW28" s="499">
        <f t="shared" si="15"/>
        <v>0.45542943114348439</v>
      </c>
      <c r="BX28" s="499">
        <f t="shared" si="15"/>
        <v>0.45542943114348439</v>
      </c>
      <c r="BY28" s="499">
        <f t="shared" si="15"/>
        <v>0.45550827616545336</v>
      </c>
      <c r="BZ28" s="499">
        <f t="shared" si="15"/>
        <v>0.45550827616545336</v>
      </c>
      <c r="CA28" s="499">
        <f t="shared" si="15"/>
        <v>0.45550827616545336</v>
      </c>
      <c r="CB28" s="499">
        <f t="shared" si="15"/>
        <v>0.45550827616545336</v>
      </c>
      <c r="CC28" s="499">
        <f t="shared" si="15"/>
        <v>0.45550827616545336</v>
      </c>
      <c r="CD28" s="499">
        <f t="shared" si="15"/>
        <v>0.45550827616545336</v>
      </c>
    </row>
    <row r="29" spans="1:85" x14ac:dyDescent="0.3">
      <c r="A29" s="7"/>
      <c r="B29" s="1"/>
      <c r="C29" s="40"/>
      <c r="D29" s="2"/>
      <c r="E29" s="2"/>
      <c r="F29" s="58"/>
      <c r="G29" s="58"/>
      <c r="H29" s="58"/>
      <c r="I29" s="37"/>
      <c r="J29" s="37"/>
      <c r="K29" s="37"/>
      <c r="L29" s="37"/>
      <c r="M29" s="58"/>
      <c r="N29" s="37"/>
      <c r="O29" s="37"/>
      <c r="P29" s="37"/>
      <c r="Q29" s="37"/>
      <c r="R29" s="37"/>
      <c r="S29" s="37"/>
      <c r="T29" s="37"/>
      <c r="U29" s="35"/>
      <c r="W29" s="37"/>
      <c r="X29" s="37"/>
      <c r="Y29" s="37"/>
      <c r="Z29" s="37"/>
      <c r="AA29" s="37"/>
      <c r="AB29" s="37"/>
      <c r="AC29" s="37"/>
      <c r="AD29" s="37"/>
      <c r="AE29" s="37"/>
      <c r="AF29" s="37"/>
      <c r="AG29" s="37"/>
      <c r="AH29" s="37"/>
      <c r="AI29" s="37"/>
      <c r="AJ29" s="37"/>
      <c r="AK29" s="37"/>
      <c r="AL29" s="37"/>
      <c r="AM29" s="37"/>
      <c r="AN29" s="37"/>
      <c r="AO29" s="37"/>
      <c r="AP29" s="37"/>
      <c r="AQ29" s="37"/>
      <c r="AR29" s="37"/>
      <c r="AS29" s="37"/>
      <c r="AT29" s="37"/>
      <c r="AU29" s="37"/>
      <c r="AV29" s="37"/>
      <c r="AW29" s="37"/>
      <c r="AX29" s="37"/>
      <c r="AY29" s="37"/>
      <c r="AZ29" s="37"/>
      <c r="BA29" s="37"/>
      <c r="BB29" s="37"/>
      <c r="BC29" s="37"/>
      <c r="BD29" s="37"/>
      <c r="BE29" s="37"/>
      <c r="BF29" s="37"/>
      <c r="BG29" s="37"/>
      <c r="BH29" s="37"/>
      <c r="BI29" s="37"/>
      <c r="BJ29" s="37"/>
      <c r="BK29" s="37"/>
      <c r="BL29" s="37"/>
      <c r="BM29" s="37"/>
      <c r="BN29" s="37"/>
      <c r="BO29" s="37"/>
      <c r="BP29" s="37"/>
      <c r="BQ29" s="37"/>
      <c r="BR29" s="37"/>
      <c r="BS29" s="37"/>
      <c r="BT29" s="37"/>
      <c r="BU29" s="37"/>
      <c r="BV29" s="37"/>
      <c r="BW29" s="37"/>
      <c r="BX29" s="37"/>
      <c r="BY29" s="37"/>
      <c r="BZ29" s="37"/>
      <c r="CA29" s="37"/>
      <c r="CB29" s="37"/>
      <c r="CC29" s="37"/>
      <c r="CD29" s="37"/>
    </row>
    <row r="30" spans="1:85" x14ac:dyDescent="0.3">
      <c r="A30" s="7"/>
      <c r="B30" s="1"/>
      <c r="C30" s="40"/>
      <c r="D30" s="2"/>
      <c r="E30" s="17" t="s">
        <v>23</v>
      </c>
      <c r="F30" s="37"/>
      <c r="G30" s="37"/>
      <c r="H30" s="37"/>
      <c r="I30" s="37"/>
      <c r="J30" s="37"/>
      <c r="K30" s="37"/>
      <c r="L30" s="37"/>
      <c r="M30" s="37"/>
      <c r="N30" s="37"/>
      <c r="O30" s="37"/>
      <c r="P30" s="37"/>
      <c r="Q30" s="37"/>
      <c r="R30" s="37"/>
      <c r="S30" s="37"/>
      <c r="T30" s="37"/>
      <c r="U30" s="35"/>
      <c r="W30" s="37"/>
      <c r="X30" s="37"/>
      <c r="Y30" s="37"/>
      <c r="Z30" s="37"/>
      <c r="AA30" s="37"/>
      <c r="AB30" s="37"/>
      <c r="AC30" s="37"/>
      <c r="AD30" s="37"/>
      <c r="AE30" s="37"/>
      <c r="AF30" s="37"/>
      <c r="AG30" s="37"/>
      <c r="AH30" s="37"/>
      <c r="AI30" s="37"/>
      <c r="AJ30" s="37"/>
      <c r="AK30" s="37"/>
      <c r="AL30" s="37"/>
      <c r="AM30" s="37"/>
      <c r="AN30" s="37"/>
      <c r="AO30" s="37"/>
      <c r="AP30" s="37"/>
      <c r="AQ30" s="37"/>
      <c r="AR30" s="37"/>
      <c r="AS30" s="37"/>
      <c r="AT30" s="37"/>
      <c r="AU30" s="37"/>
      <c r="AV30" s="37"/>
      <c r="AW30" s="37"/>
      <c r="AX30" s="37"/>
      <c r="AY30" s="37"/>
      <c r="AZ30" s="37"/>
      <c r="BA30" s="37"/>
      <c r="BB30" s="37"/>
      <c r="BC30" s="37"/>
      <c r="BD30" s="37"/>
      <c r="BE30" s="37"/>
      <c r="BF30" s="37"/>
      <c r="BG30" s="37"/>
      <c r="BH30" s="37"/>
      <c r="BI30" s="37"/>
      <c r="BJ30" s="37"/>
      <c r="BK30" s="37"/>
      <c r="BL30" s="37"/>
      <c r="BM30" s="37"/>
      <c r="BN30" s="37"/>
      <c r="BO30" s="37"/>
      <c r="BP30" s="37"/>
      <c r="BQ30" s="37"/>
      <c r="BR30" s="37"/>
      <c r="BS30" s="37"/>
      <c r="BT30" s="37"/>
      <c r="BU30" s="37"/>
      <c r="BV30" s="37"/>
      <c r="BW30" s="37"/>
      <c r="BX30" s="37"/>
      <c r="BY30" s="37"/>
      <c r="BZ30" s="37"/>
      <c r="CA30" s="37"/>
      <c r="CB30" s="37"/>
      <c r="CC30" s="37"/>
      <c r="CD30" s="37"/>
    </row>
    <row r="31" spans="1:85" x14ac:dyDescent="0.3">
      <c r="A31" s="7"/>
      <c r="B31" s="1"/>
      <c r="C31" s="40"/>
      <c r="D31" s="2"/>
      <c r="E31" s="4" t="s">
        <v>391</v>
      </c>
      <c r="F31" s="5"/>
      <c r="G31" s="5"/>
      <c r="H31" s="5"/>
      <c r="I31" s="505">
        <v>3596064.0499999984</v>
      </c>
      <c r="J31" s="505">
        <v>3263942.87</v>
      </c>
      <c r="K31" s="505">
        <v>2898256.42</v>
      </c>
      <c r="L31" s="505">
        <v>2790126.7499999986</v>
      </c>
      <c r="M31" s="5"/>
      <c r="N31" s="507">
        <f>'Value Segment'!I31+'Mid-Market Segment'!I31+'Upper Mid-Market Segment'!I31+'Premium Segment'!I31+'Closures Overlay'!I31+'Disposals Overlay'!I31</f>
        <v>2979936.8088672766</v>
      </c>
      <c r="O31" s="507">
        <f>'Value Segment'!J31+'Mid-Market Segment'!J31+'Upper Mid-Market Segment'!J31+'Premium Segment'!J31+'Closures Overlay'!J31+'Disposals Overlay'!J31</f>
        <v>2960751.706410924</v>
      </c>
      <c r="P31" s="507">
        <f>'Value Segment'!K31+'Mid-Market Segment'!K31+'Upper Mid-Market Segment'!K31+'Premium Segment'!K31+'Closures Overlay'!K31+'Disposals Overlay'!K31</f>
        <v>2854671.8521473808</v>
      </c>
      <c r="Q31" s="507">
        <f>'Value Segment'!L31+'Mid-Market Segment'!L31+'Upper Mid-Market Segment'!L31+'Premium Segment'!L31+'Closures Overlay'!L31+'Disposals Overlay'!L31</f>
        <v>2741685.6204437399</v>
      </c>
      <c r="R31" s="507">
        <f>'Value Segment'!M31+'Mid-Market Segment'!M31+'Upper Mid-Market Segment'!M31+'Premium Segment'!M31+'Closures Overlay'!M31+'Disposals Overlay'!M31</f>
        <v>2624261.887207028</v>
      </c>
      <c r="S31" s="507">
        <f>'Value Segment'!N31+'Mid-Market Segment'!N31+'Upper Mid-Market Segment'!N31+'Premium Segment'!N31+'Closures Overlay'!N31+'Disposals Overlay'!N31</f>
        <v>2501172.3864422473</v>
      </c>
      <c r="T31" s="57"/>
      <c r="U31" s="55">
        <f t="shared" ref="U31:U37" si="16">IFERROR(((S31/N31)^(1/5))-1,0)</f>
        <v>-3.4422106713620004E-2</v>
      </c>
      <c r="W31" s="507">
        <f>'Value Segment'!R31+'Mid-Market Segment'!R31+'Upper Mid-Market Segment'!R31+'Premium Segment'!R31+'Closures Overlay'!R31+'Disposals Overlay'!R31</f>
        <v>248328.06740560642</v>
      </c>
      <c r="X31" s="507">
        <f>'Value Segment'!S31+'Mid-Market Segment'!S31+'Upper Mid-Market Segment'!S31+'Premium Segment'!S31+'Closures Overlay'!S31+'Disposals Overlay'!S31</f>
        <v>248328.06740560642</v>
      </c>
      <c r="Y31" s="507">
        <f>'Value Segment'!T31+'Mid-Market Segment'!T31+'Upper Mid-Market Segment'!T31+'Premium Segment'!T31+'Closures Overlay'!T31+'Disposals Overlay'!T31</f>
        <v>248328.06740560642</v>
      </c>
      <c r="Z31" s="507">
        <f>'Value Segment'!U31+'Mid-Market Segment'!U31+'Upper Mid-Market Segment'!U31+'Premium Segment'!U31+'Closures Overlay'!U31+'Disposals Overlay'!U31</f>
        <v>248328.06740560642</v>
      </c>
      <c r="AA31" s="507">
        <f>'Value Segment'!V31+'Mid-Market Segment'!V31+'Upper Mid-Market Segment'!V31+'Premium Segment'!V31+'Closures Overlay'!V31+'Disposals Overlay'!V31</f>
        <v>248328.06740560642</v>
      </c>
      <c r="AB31" s="507">
        <f>'Value Segment'!W31+'Mid-Market Segment'!W31+'Upper Mid-Market Segment'!W31+'Premium Segment'!W31+'Closures Overlay'!W31+'Disposals Overlay'!W31</f>
        <v>241661.54210612705</v>
      </c>
      <c r="AC31" s="507">
        <f>'Value Segment'!X31+'Mid-Market Segment'!X31+'Upper Mid-Market Segment'!X31+'Premium Segment'!X31+'Closures Overlay'!X31+'Disposals Overlay'!X31</f>
        <v>247379.0126502667</v>
      </c>
      <c r="AD31" s="507">
        <f>'Value Segment'!Y31+'Mid-Market Segment'!Y31+'Upper Mid-Market Segment'!Y31+'Premium Segment'!Y31+'Closures Overlay'!Y31+'Disposals Overlay'!Y31</f>
        <v>247379.0126502667</v>
      </c>
      <c r="AE31" s="507">
        <f>'Value Segment'!Z31+'Mid-Market Segment'!Z31+'Upper Mid-Market Segment'!Z31+'Premium Segment'!Z31+'Closures Overlay'!Z31+'Disposals Overlay'!Z31</f>
        <v>247379.0126502667</v>
      </c>
      <c r="AF31" s="507">
        <f>'Value Segment'!AA31+'Mid-Market Segment'!AA31+'Upper Mid-Market Segment'!AA31+'Premium Segment'!AA31+'Closures Overlay'!AA31+'Disposals Overlay'!AA31</f>
        <v>247379.0126502667</v>
      </c>
      <c r="AG31" s="507">
        <f>'Value Segment'!AB31+'Mid-Market Segment'!AB31+'Upper Mid-Market Segment'!AB31+'Premium Segment'!AB31+'Closures Overlay'!AB31+'Disposals Overlay'!AB31</f>
        <v>247379.0126502667</v>
      </c>
      <c r="AH31" s="507">
        <f>'Value Segment'!AC31+'Mid-Market Segment'!AC31+'Upper Mid-Market Segment'!AC31+'Premium Segment'!AC31+'Closures Overlay'!AC31+'Disposals Overlay'!AC31</f>
        <v>240554.76402543174</v>
      </c>
      <c r="AI31" s="507">
        <f>'Value Segment'!AD31+'Mid-Market Segment'!AD31+'Upper Mid-Market Segment'!AD31+'Premium Segment'!AD31+'Closures Overlay'!AD31+'Disposals Overlay'!AD31</f>
        <v>239126.06919491</v>
      </c>
      <c r="AJ31" s="507">
        <f>'Value Segment'!AE31+'Mid-Market Segment'!AE31+'Upper Mid-Market Segment'!AE31+'Premium Segment'!AE31+'Closures Overlay'!AE31+'Disposals Overlay'!AE31</f>
        <v>239126.06919491</v>
      </c>
      <c r="AK31" s="507">
        <f>'Value Segment'!AF31+'Mid-Market Segment'!AF31+'Upper Mid-Market Segment'!AF31+'Premium Segment'!AF31+'Closures Overlay'!AF31+'Disposals Overlay'!AF31</f>
        <v>239126.06919491</v>
      </c>
      <c r="AL31" s="507">
        <f>'Value Segment'!AG31+'Mid-Market Segment'!AG31+'Upper Mid-Market Segment'!AG31+'Premium Segment'!AG31+'Closures Overlay'!AG31+'Disposals Overlay'!AG31</f>
        <v>239126.06919491</v>
      </c>
      <c r="AM31" s="507">
        <f>'Value Segment'!AH31+'Mid-Market Segment'!AH31+'Upper Mid-Market Segment'!AH31+'Premium Segment'!AH31+'Closures Overlay'!AH31+'Disposals Overlay'!AH31</f>
        <v>239126.06919491</v>
      </c>
      <c r="AN31" s="507">
        <f>'Value Segment'!AI31+'Mid-Market Segment'!AI31+'Upper Mid-Market Segment'!AI31+'Premium Segment'!AI31+'Closures Overlay'!AI31+'Disposals Overlay'!AI31</f>
        <v>232342.35091987709</v>
      </c>
      <c r="AO31" s="507">
        <f>'Value Segment'!AJ31+'Mid-Market Segment'!AJ31+'Upper Mid-Market Segment'!AJ31+'Premium Segment'!AJ31+'Closures Overlay'!AJ31+'Disposals Overlay'!AJ31</f>
        <v>238945.94653992011</v>
      </c>
      <c r="AP31" s="507">
        <f>'Value Segment'!AK31+'Mid-Market Segment'!AK31+'Upper Mid-Market Segment'!AK31+'Premium Segment'!AK31+'Closures Overlay'!AK31+'Disposals Overlay'!AK31</f>
        <v>238945.94653992011</v>
      </c>
      <c r="AQ31" s="507">
        <f>'Value Segment'!AL31+'Mid-Market Segment'!AL31+'Upper Mid-Market Segment'!AL31+'Premium Segment'!AL31+'Closures Overlay'!AL31+'Disposals Overlay'!AL31</f>
        <v>238945.94653992011</v>
      </c>
      <c r="AR31" s="507">
        <f>'Value Segment'!AM31+'Mid-Market Segment'!AM31+'Upper Mid-Market Segment'!AM31+'Premium Segment'!AM31+'Closures Overlay'!AM31+'Disposals Overlay'!AM31</f>
        <v>238945.94653992011</v>
      </c>
      <c r="AS31" s="507">
        <f>'Value Segment'!AN31+'Mid-Market Segment'!AN31+'Upper Mid-Market Segment'!AN31+'Premium Segment'!AN31+'Closures Overlay'!AN31+'Disposals Overlay'!AN31</f>
        <v>238945.94653992011</v>
      </c>
      <c r="AT31" s="507">
        <f>'Value Segment'!AO31+'Mid-Market Segment'!AO31+'Upper Mid-Market Segment'!AO31+'Premium Segment'!AO31+'Closures Overlay'!AO31+'Disposals Overlay'!AO31</f>
        <v>231969.42255335313</v>
      </c>
      <c r="AU31" s="507">
        <f>'Value Segment'!AP31+'Mid-Market Segment'!AP31+'Upper Mid-Market Segment'!AP31+'Premium Segment'!AP31+'Closures Overlay'!AP31+'Disposals Overlay'!AP31</f>
        <v>229426.01866457</v>
      </c>
      <c r="AV31" s="507">
        <f>'Value Segment'!AQ31+'Mid-Market Segment'!AQ31+'Upper Mid-Market Segment'!AQ31+'Premium Segment'!AQ31+'Closures Overlay'!AQ31+'Disposals Overlay'!AQ31</f>
        <v>229426.01866457</v>
      </c>
      <c r="AW31" s="507">
        <f>'Value Segment'!AR31+'Mid-Market Segment'!AR31+'Upper Mid-Market Segment'!AR31+'Premium Segment'!AR31+'Closures Overlay'!AR31+'Disposals Overlay'!AR31</f>
        <v>229426.01866457</v>
      </c>
      <c r="AX31" s="507">
        <f>'Value Segment'!AS31+'Mid-Market Segment'!AS31+'Upper Mid-Market Segment'!AS31+'Premium Segment'!AS31+'Closures Overlay'!AS31+'Disposals Overlay'!AS31</f>
        <v>229426.01866457</v>
      </c>
      <c r="AY31" s="507">
        <f>'Value Segment'!AT31+'Mid-Market Segment'!AT31+'Upper Mid-Market Segment'!AT31+'Premium Segment'!AT31+'Closures Overlay'!AT31+'Disposals Overlay'!AT31</f>
        <v>229426.01866457</v>
      </c>
      <c r="AZ31" s="507">
        <f>'Value Segment'!AU31+'Mid-Market Segment'!AU31+'Upper Mid-Market Segment'!AU31+'Premium Segment'!AU31+'Closures Overlay'!AU31+'Disposals Overlay'!AU31</f>
        <v>222525.98802804158</v>
      </c>
      <c r="BA31" s="507">
        <f>'Value Segment'!AV31+'Mid-Market Segment'!AV31+'Upper Mid-Market Segment'!AV31+'Premium Segment'!AV31+'Closures Overlay'!AV31+'Disposals Overlay'!AV31</f>
        <v>229859.49421165904</v>
      </c>
      <c r="BB31" s="507">
        <f>'Value Segment'!AW31+'Mid-Market Segment'!AW31+'Upper Mid-Market Segment'!AW31+'Premium Segment'!AW31+'Closures Overlay'!AW31+'Disposals Overlay'!AW31</f>
        <v>229859.49421165904</v>
      </c>
      <c r="BC31" s="507">
        <f>'Value Segment'!AX31+'Mid-Market Segment'!AX31+'Upper Mid-Market Segment'!AX31+'Premium Segment'!AX31+'Closures Overlay'!AX31+'Disposals Overlay'!AX31</f>
        <v>229859.49421165904</v>
      </c>
      <c r="BD31" s="507">
        <f>'Value Segment'!AY31+'Mid-Market Segment'!AY31+'Upper Mid-Market Segment'!AY31+'Premium Segment'!AY31+'Closures Overlay'!AY31+'Disposals Overlay'!AY31</f>
        <v>229859.49421165904</v>
      </c>
      <c r="BE31" s="507">
        <f>'Value Segment'!AZ31+'Mid-Market Segment'!AZ31+'Upper Mid-Market Segment'!AZ31+'Premium Segment'!AZ31+'Closures Overlay'!AZ31+'Disposals Overlay'!AZ31</f>
        <v>229859.49421165904</v>
      </c>
      <c r="BF31" s="507">
        <f>'Value Segment'!BA31+'Mid-Market Segment'!BA31+'Upper Mid-Market Segment'!BA31+'Premium Segment'!BA31+'Closures Overlay'!BA31+'Disposals Overlay'!BA31</f>
        <v>222732.06803455335</v>
      </c>
      <c r="BG31" s="507">
        <f>'Value Segment'!BB31+'Mid-Market Segment'!BB31+'Upper Mid-Market Segment'!BB31+'Premium Segment'!BB31+'Closures Overlay'!BB31+'Disposals Overlay'!BB31</f>
        <v>219433.14978724386</v>
      </c>
      <c r="BH31" s="507">
        <f>'Value Segment'!BC31+'Mid-Market Segment'!BC31+'Upper Mid-Market Segment'!BC31+'Premium Segment'!BC31+'Closures Overlay'!BC31+'Disposals Overlay'!BC31</f>
        <v>219433.14978724386</v>
      </c>
      <c r="BI31" s="507">
        <f>'Value Segment'!BD31+'Mid-Market Segment'!BD31+'Upper Mid-Market Segment'!BD31+'Premium Segment'!BD31+'Closures Overlay'!BD31+'Disposals Overlay'!BD31</f>
        <v>219433.14978724386</v>
      </c>
      <c r="BJ31" s="507">
        <f>'Value Segment'!BE31+'Mid-Market Segment'!BE31+'Upper Mid-Market Segment'!BE31+'Premium Segment'!BE31+'Closures Overlay'!BE31+'Disposals Overlay'!BE31</f>
        <v>219433.14978724386</v>
      </c>
      <c r="BK31" s="507">
        <f>'Value Segment'!BF31+'Mid-Market Segment'!BF31+'Upper Mid-Market Segment'!BF31+'Premium Segment'!BF31+'Closures Overlay'!BF31+'Disposals Overlay'!BF31</f>
        <v>219433.14978724386</v>
      </c>
      <c r="BL31" s="507">
        <f>'Value Segment'!BG31+'Mid-Market Segment'!BG31+'Upper Mid-Market Segment'!BG31+'Premium Segment'!BG31+'Closures Overlay'!BG31+'Disposals Overlay'!BG31</f>
        <v>212411.28899405207</v>
      </c>
      <c r="BM31" s="507">
        <f>'Value Segment'!BH31+'Mid-Market Segment'!BH31+'Upper Mid-Market Segment'!BH31+'Premium Segment'!BH31+'Closures Overlay'!BH31+'Disposals Overlay'!BH31</f>
        <v>220328.07030815451</v>
      </c>
      <c r="BN31" s="507">
        <f>'Value Segment'!BI31+'Mid-Market Segment'!BI31+'Upper Mid-Market Segment'!BI31+'Premium Segment'!BI31+'Closures Overlay'!BI31+'Disposals Overlay'!BI31</f>
        <v>220328.07030815451</v>
      </c>
      <c r="BO31" s="507">
        <f>'Value Segment'!BJ31+'Mid-Market Segment'!BJ31+'Upper Mid-Market Segment'!BJ31+'Premium Segment'!BJ31+'Closures Overlay'!BJ31+'Disposals Overlay'!BJ31</f>
        <v>220328.07030815451</v>
      </c>
      <c r="BP31" s="507">
        <f>'Value Segment'!BK31+'Mid-Market Segment'!BK31+'Upper Mid-Market Segment'!BK31+'Premium Segment'!BK31+'Closures Overlay'!BK31+'Disposals Overlay'!BK31</f>
        <v>220328.07030815451</v>
      </c>
      <c r="BQ31" s="507">
        <f>'Value Segment'!BL31+'Mid-Market Segment'!BL31+'Upper Mid-Market Segment'!BL31+'Premium Segment'!BL31+'Closures Overlay'!BL31+'Disposals Overlay'!BL31</f>
        <v>220328.07030815451</v>
      </c>
      <c r="BR31" s="507">
        <f>'Value Segment'!BM31+'Mid-Market Segment'!BM31+'Upper Mid-Market Segment'!BM31+'Premium Segment'!BM31+'Closures Overlay'!BM31+'Disposals Overlay'!BM31</f>
        <v>213044.49773598413</v>
      </c>
      <c r="BS31" s="507">
        <f>'Value Segment'!BN31+'Mid-Market Segment'!BN31+'Upper Mid-Market Segment'!BN31+'Premium Segment'!BN31+'Closures Overlay'!BN31+'Disposals Overlay'!BN31</f>
        <v>209048.08397720128</v>
      </c>
      <c r="BT31" s="507">
        <f>'Value Segment'!BO31+'Mid-Market Segment'!BO31+'Upper Mid-Market Segment'!BO31+'Premium Segment'!BO31+'Closures Overlay'!BO31+'Disposals Overlay'!BO31</f>
        <v>209048.08397720128</v>
      </c>
      <c r="BU31" s="507">
        <f>'Value Segment'!BP31+'Mid-Market Segment'!BP31+'Upper Mid-Market Segment'!BP31+'Premium Segment'!BP31+'Closures Overlay'!BP31+'Disposals Overlay'!BP31</f>
        <v>209048.08397720128</v>
      </c>
      <c r="BV31" s="507">
        <f>'Value Segment'!BQ31+'Mid-Market Segment'!BQ31+'Upper Mid-Market Segment'!BQ31+'Premium Segment'!BQ31+'Closures Overlay'!BQ31+'Disposals Overlay'!BQ31</f>
        <v>209048.08397720128</v>
      </c>
      <c r="BW31" s="507">
        <f>'Value Segment'!BR31+'Mid-Market Segment'!BR31+'Upper Mid-Market Segment'!BR31+'Premium Segment'!BR31+'Closures Overlay'!BR31+'Disposals Overlay'!BR31</f>
        <v>209048.08397720128</v>
      </c>
      <c r="BX31" s="507">
        <f>'Value Segment'!BS31+'Mid-Market Segment'!BS31+'Upper Mid-Market Segment'!BS31+'Premium Segment'!BS31+'Closures Overlay'!BS31+'Disposals Overlay'!BS31</f>
        <v>201901.14093524567</v>
      </c>
      <c r="BY31" s="507">
        <f>'Value Segment'!BT31+'Mid-Market Segment'!BT31+'Upper Mid-Market Segment'!BT31+'Premium Segment'!BT31+'Closures Overlay'!BT31+'Disposals Overlay'!BT31</f>
        <v>210245.52417681372</v>
      </c>
      <c r="BZ31" s="507">
        <f>'Value Segment'!BU31+'Mid-Market Segment'!BU31+'Upper Mid-Market Segment'!BU31+'Premium Segment'!BU31+'Closures Overlay'!BU31+'Disposals Overlay'!BU31</f>
        <v>210245.52417681372</v>
      </c>
      <c r="CA31" s="507">
        <f>'Value Segment'!BV31+'Mid-Market Segment'!BV31+'Upper Mid-Market Segment'!BV31+'Premium Segment'!BV31+'Closures Overlay'!BV31+'Disposals Overlay'!BV31</f>
        <v>210245.52417681372</v>
      </c>
      <c r="CB31" s="507">
        <f>'Value Segment'!BW31+'Mid-Market Segment'!BW31+'Upper Mid-Market Segment'!BW31+'Premium Segment'!BW31+'Closures Overlay'!BW31+'Disposals Overlay'!BW31</f>
        <v>210245.52417681372</v>
      </c>
      <c r="CC31" s="507">
        <f>'Value Segment'!BX31+'Mid-Market Segment'!BX31+'Upper Mid-Market Segment'!BX31+'Premium Segment'!BX31+'Closures Overlay'!BX31+'Disposals Overlay'!BX31</f>
        <v>210245.52417681372</v>
      </c>
      <c r="CD31" s="507">
        <f>'Value Segment'!BY31+'Mid-Market Segment'!BY31+'Upper Mid-Market Segment'!BY31+'Premium Segment'!BY31+'Closures Overlay'!BY31+'Disposals Overlay'!BY31</f>
        <v>202803.20473692651</v>
      </c>
      <c r="CG31" s="8"/>
    </row>
    <row r="32" spans="1:85" x14ac:dyDescent="0.3">
      <c r="A32" s="7"/>
      <c r="B32" s="1"/>
      <c r="C32" s="40"/>
      <c r="D32" s="2"/>
      <c r="E32" s="2" t="s">
        <v>392</v>
      </c>
      <c r="F32" s="54"/>
      <c r="G32" s="54"/>
      <c r="H32" s="54"/>
      <c r="I32" s="67">
        <v>-2121269.5200000009</v>
      </c>
      <c r="J32" s="67">
        <v>-1855087.5600000017</v>
      </c>
      <c r="K32" s="67">
        <v>-1538048.1400000006</v>
      </c>
      <c r="L32" s="67">
        <v>-1456084.5899999999</v>
      </c>
      <c r="M32" s="54"/>
      <c r="N32" s="19">
        <f>'Value Segment'!I32+'Mid-Market Segment'!I32+'Upper Mid-Market Segment'!I32+'Premium Segment'!I32+'Closures Overlay'!I32+'Disposals Overlay'!I32</f>
        <v>-1506679.3056525877</v>
      </c>
      <c r="O32" s="19">
        <f>'Value Segment'!J32+'Mid-Market Segment'!J32+'Upper Mid-Market Segment'!J32+'Premium Segment'!J32+'Closures Overlay'!J32+'Disposals Overlay'!J32</f>
        <v>-1496990.1213750599</v>
      </c>
      <c r="P32" s="19">
        <f>'Value Segment'!K32+'Mid-Market Segment'!K32+'Upper Mid-Market Segment'!K32+'Premium Segment'!K32+'Closures Overlay'!K32+'Disposals Overlay'!K32</f>
        <v>-1443370.4220899104</v>
      </c>
      <c r="Q32" s="19">
        <f>'Value Segment'!L32+'Mid-Market Segment'!L32+'Upper Mid-Market Segment'!L32+'Premium Segment'!L32+'Closures Overlay'!L32+'Disposals Overlay'!L32</f>
        <v>-1386256.8269070885</v>
      </c>
      <c r="R32" s="19">
        <f>'Value Segment'!M32+'Mid-Market Segment'!M32+'Upper Mid-Market Segment'!M32+'Premium Segment'!M32+'Closures Overlay'!M32+'Disposals Overlay'!M32</f>
        <v>-1326900.2507424671</v>
      </c>
      <c r="S32" s="19">
        <f>'Value Segment'!N32+'Mid-Market Segment'!N32+'Upper Mid-Market Segment'!N32+'Premium Segment'!N32+'Closures Overlay'!N32+'Disposals Overlay'!N32</f>
        <v>-1264679.2850803586</v>
      </c>
      <c r="T32" s="37"/>
      <c r="U32" s="50">
        <f t="shared" si="16"/>
        <v>-3.4411874373589724E-2</v>
      </c>
      <c r="W32" s="19">
        <f>'Value Segment'!R32+'Mid-Market Segment'!R32+'Upper Mid-Market Segment'!R32+'Premium Segment'!R32+'Closures Overlay'!R32+'Disposals Overlay'!R32</f>
        <v>-125556.6088043823</v>
      </c>
      <c r="X32" s="19">
        <f>'Value Segment'!S32+'Mid-Market Segment'!S32+'Upper Mid-Market Segment'!S32+'Premium Segment'!S32+'Closures Overlay'!S32+'Disposals Overlay'!S32</f>
        <v>-125556.6088043823</v>
      </c>
      <c r="Y32" s="19">
        <f>'Value Segment'!T32+'Mid-Market Segment'!T32+'Upper Mid-Market Segment'!T32+'Premium Segment'!T32+'Closures Overlay'!T32+'Disposals Overlay'!T32</f>
        <v>-125556.6088043823</v>
      </c>
      <c r="Z32" s="19">
        <f>'Value Segment'!U32+'Mid-Market Segment'!U32+'Upper Mid-Market Segment'!U32+'Premium Segment'!U32+'Closures Overlay'!U32+'Disposals Overlay'!U32</f>
        <v>-125556.6088043823</v>
      </c>
      <c r="AA32" s="19">
        <f>'Value Segment'!V32+'Mid-Market Segment'!V32+'Upper Mid-Market Segment'!V32+'Premium Segment'!V32+'Closures Overlay'!V32+'Disposals Overlay'!V32</f>
        <v>-125556.6088043823</v>
      </c>
      <c r="AB32" s="19">
        <f>'Value Segment'!W32+'Mid-Market Segment'!W32+'Upper Mid-Market Segment'!W32+'Premium Segment'!W32+'Closures Overlay'!W32+'Disposals Overlay'!W32</f>
        <v>-122185.96158815727</v>
      </c>
      <c r="AC32" s="19">
        <f>'Value Segment'!X32+'Mid-Market Segment'!X32+'Upper Mid-Market Segment'!X32+'Premium Segment'!X32+'Closures Overlay'!X32+'Disposals Overlay'!X32</f>
        <v>-125078.59328628604</v>
      </c>
      <c r="AD32" s="19">
        <f>'Value Segment'!Y32+'Mid-Market Segment'!Y32+'Upper Mid-Market Segment'!Y32+'Premium Segment'!Y32+'Closures Overlay'!Y32+'Disposals Overlay'!Y32</f>
        <v>-125078.59328628604</v>
      </c>
      <c r="AE32" s="19">
        <f>'Value Segment'!Z32+'Mid-Market Segment'!Z32+'Upper Mid-Market Segment'!Z32+'Premium Segment'!Z32+'Closures Overlay'!Z32+'Disposals Overlay'!Z32</f>
        <v>-125078.59328628604</v>
      </c>
      <c r="AF32" s="19">
        <f>'Value Segment'!AA32+'Mid-Market Segment'!AA32+'Upper Mid-Market Segment'!AA32+'Premium Segment'!AA32+'Closures Overlay'!AA32+'Disposals Overlay'!AA32</f>
        <v>-125078.59328628604</v>
      </c>
      <c r="AG32" s="19">
        <f>'Value Segment'!AB32+'Mid-Market Segment'!AB32+'Upper Mid-Market Segment'!AB32+'Premium Segment'!AB32+'Closures Overlay'!AB32+'Disposals Overlay'!AB32</f>
        <v>-125078.59328628604</v>
      </c>
      <c r="AH32" s="19">
        <f>'Value Segment'!AC32+'Mid-Market Segment'!AC32+'Upper Mid-Market Segment'!AC32+'Premium Segment'!AC32+'Closures Overlay'!AC32+'Disposals Overlay'!AC32</f>
        <v>-121628.14933356091</v>
      </c>
      <c r="AI32" s="19">
        <f>'Value Segment'!AD32+'Mid-Market Segment'!AD32+'Upper Mid-Market Segment'!AD32+'Premium Segment'!AD32+'Closures Overlay'!AD32+'Disposals Overlay'!AD32</f>
        <v>-120905.01401540362</v>
      </c>
      <c r="AJ32" s="19">
        <f>'Value Segment'!AE32+'Mid-Market Segment'!AE32+'Upper Mid-Market Segment'!AE32+'Premium Segment'!AE32+'Closures Overlay'!AE32+'Disposals Overlay'!AE32</f>
        <v>-120905.01401540362</v>
      </c>
      <c r="AK32" s="19">
        <f>'Value Segment'!AF32+'Mid-Market Segment'!AF32+'Upper Mid-Market Segment'!AF32+'Premium Segment'!AF32+'Closures Overlay'!AF32+'Disposals Overlay'!AF32</f>
        <v>-120905.01401540362</v>
      </c>
      <c r="AL32" s="19">
        <f>'Value Segment'!AG32+'Mid-Market Segment'!AG32+'Upper Mid-Market Segment'!AG32+'Premium Segment'!AG32+'Closures Overlay'!AG32+'Disposals Overlay'!AG32</f>
        <v>-120905.01401540362</v>
      </c>
      <c r="AM32" s="19">
        <f>'Value Segment'!AH32+'Mid-Market Segment'!AH32+'Upper Mid-Market Segment'!AH32+'Premium Segment'!AH32+'Closures Overlay'!AH32+'Disposals Overlay'!AH32</f>
        <v>-120905.01401540362</v>
      </c>
      <c r="AN32" s="19">
        <f>'Value Segment'!AI32+'Mid-Market Segment'!AI32+'Upper Mid-Market Segment'!AI32+'Premium Segment'!AI32+'Closures Overlay'!AI32+'Disposals Overlay'!AI32</f>
        <v>-117475.08453978933</v>
      </c>
      <c r="AO32" s="19">
        <f>'Value Segment'!AJ32+'Mid-Market Segment'!AJ32+'Upper Mid-Market Segment'!AJ32+'Premium Segment'!AJ32+'Closures Overlay'!AJ32+'Disposals Overlay'!AJ32</f>
        <v>-120816.29174060524</v>
      </c>
      <c r="AP32" s="19">
        <f>'Value Segment'!AK32+'Mid-Market Segment'!AK32+'Upper Mid-Market Segment'!AK32+'Premium Segment'!AK32+'Closures Overlay'!AK32+'Disposals Overlay'!AK32</f>
        <v>-120816.29174060524</v>
      </c>
      <c r="AQ32" s="19">
        <f>'Value Segment'!AL32+'Mid-Market Segment'!AL32+'Upper Mid-Market Segment'!AL32+'Premium Segment'!AL32+'Closures Overlay'!AL32+'Disposals Overlay'!AL32</f>
        <v>-120816.29174060524</v>
      </c>
      <c r="AR32" s="19">
        <f>'Value Segment'!AM32+'Mid-Market Segment'!AM32+'Upper Mid-Market Segment'!AM32+'Premium Segment'!AM32+'Closures Overlay'!AM32+'Disposals Overlay'!AM32</f>
        <v>-120816.29174060524</v>
      </c>
      <c r="AS32" s="19">
        <f>'Value Segment'!AN32+'Mid-Market Segment'!AN32+'Upper Mid-Market Segment'!AN32+'Premium Segment'!AN32+'Closures Overlay'!AN32+'Disposals Overlay'!AN32</f>
        <v>-120816.29174060524</v>
      </c>
      <c r="AT32" s="19">
        <f>'Value Segment'!AO32+'Mid-Market Segment'!AO32+'Upper Mid-Market Segment'!AO32+'Premium Segment'!AO32+'Closures Overlay'!AO32+'Disposals Overlay'!AO32</f>
        <v>-117288.80877007662</v>
      </c>
      <c r="AU32" s="19">
        <f>'Value Segment'!AP32+'Mid-Market Segment'!AP32+'Upper Mid-Market Segment'!AP32+'Premium Segment'!AP32+'Closures Overlay'!AP32+'Disposals Overlay'!AP32</f>
        <v>-116001.47958477814</v>
      </c>
      <c r="AV32" s="19">
        <f>'Value Segment'!AQ32+'Mid-Market Segment'!AQ32+'Upper Mid-Market Segment'!AQ32+'Premium Segment'!AQ32+'Closures Overlay'!AQ32+'Disposals Overlay'!AQ32</f>
        <v>-116001.47958477814</v>
      </c>
      <c r="AW32" s="19">
        <f>'Value Segment'!AR32+'Mid-Market Segment'!AR32+'Upper Mid-Market Segment'!AR32+'Premium Segment'!AR32+'Closures Overlay'!AR32+'Disposals Overlay'!AR32</f>
        <v>-116001.47958477814</v>
      </c>
      <c r="AX32" s="19">
        <f>'Value Segment'!AS32+'Mid-Market Segment'!AS32+'Upper Mid-Market Segment'!AS32+'Premium Segment'!AS32+'Closures Overlay'!AS32+'Disposals Overlay'!AS32</f>
        <v>-116001.47958477814</v>
      </c>
      <c r="AY32" s="19">
        <f>'Value Segment'!AT32+'Mid-Market Segment'!AT32+'Upper Mid-Market Segment'!AT32+'Premium Segment'!AT32+'Closures Overlay'!AT32+'Disposals Overlay'!AT32</f>
        <v>-116001.47958477814</v>
      </c>
      <c r="AZ32" s="19">
        <f>'Value Segment'!AU32+'Mid-Market Segment'!AU32+'Upper Mid-Market Segment'!AU32+'Premium Segment'!AU32+'Closures Overlay'!AU32+'Disposals Overlay'!AU32</f>
        <v>-112512.71328147655</v>
      </c>
      <c r="BA32" s="19">
        <f>'Value Segment'!AV32+'Mid-Market Segment'!AV32+'Upper Mid-Market Segment'!AV32+'Premium Segment'!AV32+'Closures Overlay'!AV32+'Disposals Overlay'!AV32</f>
        <v>-116223.42379937929</v>
      </c>
      <c r="BB32" s="19">
        <f>'Value Segment'!AW32+'Mid-Market Segment'!AW32+'Upper Mid-Market Segment'!AW32+'Premium Segment'!AW32+'Closures Overlay'!AW32+'Disposals Overlay'!AW32</f>
        <v>-116223.42379937929</v>
      </c>
      <c r="BC32" s="19">
        <f>'Value Segment'!AX32+'Mid-Market Segment'!AX32+'Upper Mid-Market Segment'!AX32+'Premium Segment'!AX32+'Closures Overlay'!AX32+'Disposals Overlay'!AX32</f>
        <v>-116223.42379937929</v>
      </c>
      <c r="BD32" s="19">
        <f>'Value Segment'!AY32+'Mid-Market Segment'!AY32+'Upper Mid-Market Segment'!AY32+'Premium Segment'!AY32+'Closures Overlay'!AY32+'Disposals Overlay'!AY32</f>
        <v>-116223.42379937929</v>
      </c>
      <c r="BE32" s="19">
        <f>'Value Segment'!AZ32+'Mid-Market Segment'!AZ32+'Upper Mid-Market Segment'!AZ32+'Premium Segment'!AZ32+'Closures Overlay'!AZ32+'Disposals Overlay'!AZ32</f>
        <v>-116223.42379937929</v>
      </c>
      <c r="BF32" s="19">
        <f>'Value Segment'!BA32+'Mid-Market Segment'!BA32+'Upper Mid-Market Segment'!BA32+'Premium Segment'!BA32+'Closures Overlay'!BA32+'Disposals Overlay'!BA32</f>
        <v>-112619.59670482489</v>
      </c>
      <c r="BG32" s="19">
        <f>'Value Segment'!BB32+'Mid-Market Segment'!BB32+'Upper Mid-Market Segment'!BB32+'Premium Segment'!BB32+'Closures Overlay'!BB32+'Disposals Overlay'!BB32</f>
        <v>-110949.99399544057</v>
      </c>
      <c r="BH32" s="19">
        <f>'Value Segment'!BC32+'Mid-Market Segment'!BC32+'Upper Mid-Market Segment'!BC32+'Premium Segment'!BC32+'Closures Overlay'!BC32+'Disposals Overlay'!BC32</f>
        <v>-110949.99399544057</v>
      </c>
      <c r="BI32" s="19">
        <f>'Value Segment'!BD32+'Mid-Market Segment'!BD32+'Upper Mid-Market Segment'!BD32+'Premium Segment'!BD32+'Closures Overlay'!BD32+'Disposals Overlay'!BD32</f>
        <v>-110949.99399544057</v>
      </c>
      <c r="BJ32" s="19">
        <f>'Value Segment'!BE32+'Mid-Market Segment'!BE32+'Upper Mid-Market Segment'!BE32+'Premium Segment'!BE32+'Closures Overlay'!BE32+'Disposals Overlay'!BE32</f>
        <v>-110949.99399544057</v>
      </c>
      <c r="BK32" s="19">
        <f>'Value Segment'!BF32+'Mid-Market Segment'!BF32+'Upper Mid-Market Segment'!BF32+'Premium Segment'!BF32+'Closures Overlay'!BF32+'Disposals Overlay'!BF32</f>
        <v>-110949.99399544057</v>
      </c>
      <c r="BL32" s="19">
        <f>'Value Segment'!BG32+'Mid-Market Segment'!BG32+'Upper Mid-Market Segment'!BG32+'Premium Segment'!BG32+'Closures Overlay'!BG32+'Disposals Overlay'!BG32</f>
        <v>-107399.59418758648</v>
      </c>
      <c r="BM32" s="19">
        <f>'Value Segment'!BH32+'Mid-Market Segment'!BH32+'Upper Mid-Market Segment'!BH32+'Premium Segment'!BH32+'Closures Overlay'!BH32+'Disposals Overlay'!BH32</f>
        <v>-111405.58597769945</v>
      </c>
      <c r="BN32" s="19">
        <f>'Value Segment'!BI32+'Mid-Market Segment'!BI32+'Upper Mid-Market Segment'!BI32+'Premium Segment'!BI32+'Closures Overlay'!BI32+'Disposals Overlay'!BI32</f>
        <v>-111405.58597769945</v>
      </c>
      <c r="BO32" s="19">
        <f>'Value Segment'!BJ32+'Mid-Market Segment'!BJ32+'Upper Mid-Market Segment'!BJ32+'Premium Segment'!BJ32+'Closures Overlay'!BJ32+'Disposals Overlay'!BJ32</f>
        <v>-111405.58597769945</v>
      </c>
      <c r="BP32" s="19">
        <f>'Value Segment'!BK32+'Mid-Market Segment'!BK32+'Upper Mid-Market Segment'!BK32+'Premium Segment'!BK32+'Closures Overlay'!BK32+'Disposals Overlay'!BK32</f>
        <v>-111405.58597769945</v>
      </c>
      <c r="BQ32" s="19">
        <f>'Value Segment'!BL32+'Mid-Market Segment'!BL32+'Upper Mid-Market Segment'!BL32+'Premium Segment'!BL32+'Closures Overlay'!BL32+'Disposals Overlay'!BL32</f>
        <v>-111405.58597769945</v>
      </c>
      <c r="BR32" s="19">
        <f>'Value Segment'!BM32+'Mid-Market Segment'!BM32+'Upper Mid-Market Segment'!BM32+'Premium Segment'!BM32+'Closures Overlay'!BM32+'Disposals Overlay'!BM32</f>
        <v>-107722.75668918046</v>
      </c>
      <c r="BS32" s="19">
        <f>'Value Segment'!BN32+'Mid-Market Segment'!BN32+'Upper Mid-Market Segment'!BN32+'Premium Segment'!BN32+'Closures Overlay'!BN32+'Disposals Overlay'!BN32</f>
        <v>-105700.2808283419</v>
      </c>
      <c r="BT32" s="19">
        <f>'Value Segment'!BO32+'Mid-Market Segment'!BO32+'Upper Mid-Market Segment'!BO32+'Premium Segment'!BO32+'Closures Overlay'!BO32+'Disposals Overlay'!BO32</f>
        <v>-105700.2808283419</v>
      </c>
      <c r="BU32" s="19">
        <f>'Value Segment'!BP32+'Mid-Market Segment'!BP32+'Upper Mid-Market Segment'!BP32+'Premium Segment'!BP32+'Closures Overlay'!BP32+'Disposals Overlay'!BP32</f>
        <v>-105700.2808283419</v>
      </c>
      <c r="BV32" s="19">
        <f>'Value Segment'!BQ32+'Mid-Market Segment'!BQ32+'Upper Mid-Market Segment'!BQ32+'Premium Segment'!BQ32+'Closures Overlay'!BQ32+'Disposals Overlay'!BQ32</f>
        <v>-105700.2808283419</v>
      </c>
      <c r="BW32" s="19">
        <f>'Value Segment'!BR32+'Mid-Market Segment'!BR32+'Upper Mid-Market Segment'!BR32+'Premium Segment'!BR32+'Closures Overlay'!BR32+'Disposals Overlay'!BR32</f>
        <v>-105700.2808283419</v>
      </c>
      <c r="BX32" s="19">
        <f>'Value Segment'!BS32+'Mid-Market Segment'!BS32+'Upper Mid-Market Segment'!BS32+'Premium Segment'!BS32+'Closures Overlay'!BS32+'Disposals Overlay'!BS32</f>
        <v>-102086.59601369772</v>
      </c>
      <c r="BY32" s="19">
        <f>'Value Segment'!BT32+'Mid-Market Segment'!BT32+'Upper Mid-Market Segment'!BT32+'Premium Segment'!BT32+'Closures Overlay'!BT32+'Disposals Overlay'!BT32</f>
        <v>-106309.07299186874</v>
      </c>
      <c r="BZ32" s="19">
        <f>'Value Segment'!BU32+'Mid-Market Segment'!BU32+'Upper Mid-Market Segment'!BU32+'Premium Segment'!BU32+'Closures Overlay'!BU32+'Disposals Overlay'!BU32</f>
        <v>-106309.07299186874</v>
      </c>
      <c r="CA32" s="19">
        <f>'Value Segment'!BV32+'Mid-Market Segment'!BV32+'Upper Mid-Market Segment'!BV32+'Premium Segment'!BV32+'Closures Overlay'!BV32+'Disposals Overlay'!BV32</f>
        <v>-106309.07299186874</v>
      </c>
      <c r="CB32" s="19">
        <f>'Value Segment'!BW32+'Mid-Market Segment'!BW32+'Upper Mid-Market Segment'!BW32+'Premium Segment'!BW32+'Closures Overlay'!BW32+'Disposals Overlay'!BW32</f>
        <v>-106309.07299186874</v>
      </c>
      <c r="CC32" s="19">
        <f>'Value Segment'!BX32+'Mid-Market Segment'!BX32+'Upper Mid-Market Segment'!BX32+'Premium Segment'!BX32+'Closures Overlay'!BX32+'Disposals Overlay'!BX32</f>
        <v>-106309.07299186874</v>
      </c>
      <c r="CD32" s="19">
        <f>'Value Segment'!BY32+'Mid-Market Segment'!BY32+'Upper Mid-Market Segment'!BY32+'Premium Segment'!BY32+'Closures Overlay'!BY32+'Disposals Overlay'!BY32</f>
        <v>-102545.9199656079</v>
      </c>
      <c r="CG32" s="8"/>
    </row>
    <row r="33" spans="1:85" x14ac:dyDescent="0.3">
      <c r="A33" s="7"/>
      <c r="B33" s="1"/>
      <c r="C33" s="40"/>
      <c r="D33" s="2"/>
      <c r="E33" s="2" t="s">
        <v>393</v>
      </c>
      <c r="F33" s="54"/>
      <c r="G33" s="54"/>
      <c r="H33" s="54"/>
      <c r="I33" s="67">
        <v>-340817.05999999976</v>
      </c>
      <c r="J33" s="67">
        <v>-257862.18999999994</v>
      </c>
      <c r="K33" s="67">
        <v>-195403.28999999992</v>
      </c>
      <c r="L33" s="67">
        <v>-187672.46999999997</v>
      </c>
      <c r="M33" s="54"/>
      <c r="N33" s="19">
        <f>'Value Segment'!I33+'Mid-Market Segment'!I33+'Upper Mid-Market Segment'!I33+'Premium Segment'!I33+'Closures Overlay'!I33+'Disposals Overlay'!I33</f>
        <v>-193747.61644896041</v>
      </c>
      <c r="O33" s="19">
        <f>'Value Segment'!J33+'Mid-Market Segment'!J33+'Upper Mid-Market Segment'!J33+'Premium Segment'!J33+'Closures Overlay'!J33+'Disposals Overlay'!J33</f>
        <v>-192516.6976540912</v>
      </c>
      <c r="P33" s="19">
        <f>'Value Segment'!K33+'Mid-Market Segment'!K33+'Upper Mid-Market Segment'!K33+'Premium Segment'!K33+'Closures Overlay'!K33+'Disposals Overlay'!K33</f>
        <v>-185645.39843603998</v>
      </c>
      <c r="Q33" s="19">
        <f>'Value Segment'!L33+'Mid-Market Segment'!L33+'Upper Mid-Market Segment'!L33+'Premium Segment'!L33+'Closures Overlay'!L33+'Disposals Overlay'!L33</f>
        <v>-178321.79966759833</v>
      </c>
      <c r="R33" s="19">
        <f>'Value Segment'!M33+'Mid-Market Segment'!M33+'Upper Mid-Market Segment'!M33+'Premium Segment'!M33+'Closures Overlay'!M33+'Disposals Overlay'!M33</f>
        <v>-170708.91737412923</v>
      </c>
      <c r="S33" s="19">
        <f>'Value Segment'!N33+'Mid-Market Segment'!N33+'Upper Mid-Market Segment'!N33+'Premium Segment'!N33+'Closures Overlay'!N33+'Disposals Overlay'!N33</f>
        <v>-162726.54704234219</v>
      </c>
      <c r="T33" s="37"/>
      <c r="U33" s="50">
        <f t="shared" si="16"/>
        <v>-3.4295159784048068E-2</v>
      </c>
      <c r="W33" s="19">
        <f>'Value Segment'!R33+'Mid-Market Segment'!R33+'Upper Mid-Market Segment'!R33+'Premium Segment'!R33+'Closures Overlay'!R33+'Disposals Overlay'!R33</f>
        <v>-16145.634704080034</v>
      </c>
      <c r="X33" s="19">
        <f>'Value Segment'!S33+'Mid-Market Segment'!S33+'Upper Mid-Market Segment'!S33+'Premium Segment'!S33+'Closures Overlay'!S33+'Disposals Overlay'!S33</f>
        <v>-16145.634704080034</v>
      </c>
      <c r="Y33" s="19">
        <f>'Value Segment'!T33+'Mid-Market Segment'!T33+'Upper Mid-Market Segment'!T33+'Premium Segment'!T33+'Closures Overlay'!T33+'Disposals Overlay'!T33</f>
        <v>-16145.634704080034</v>
      </c>
      <c r="Z33" s="19">
        <f>'Value Segment'!U33+'Mid-Market Segment'!U33+'Upper Mid-Market Segment'!U33+'Premium Segment'!U33+'Closures Overlay'!U33+'Disposals Overlay'!U33</f>
        <v>-16145.634704080034</v>
      </c>
      <c r="AA33" s="19">
        <f>'Value Segment'!V33+'Mid-Market Segment'!V33+'Upper Mid-Market Segment'!V33+'Premium Segment'!V33+'Closures Overlay'!V33+'Disposals Overlay'!V33</f>
        <v>-16145.634704080034</v>
      </c>
      <c r="AB33" s="19">
        <f>'Value Segment'!W33+'Mid-Market Segment'!W33+'Upper Mid-Market Segment'!W33+'Premium Segment'!W33+'Closures Overlay'!W33+'Disposals Overlay'!W33</f>
        <v>-15712.194846252381</v>
      </c>
      <c r="AC33" s="19">
        <f>'Value Segment'!X33+'Mid-Market Segment'!X33+'Upper Mid-Market Segment'!X33+'Premium Segment'!X33+'Closures Overlay'!X33+'Disposals Overlay'!X33</f>
        <v>-16086.683310252427</v>
      </c>
      <c r="AD33" s="19">
        <f>'Value Segment'!Y33+'Mid-Market Segment'!Y33+'Upper Mid-Market Segment'!Y33+'Premium Segment'!Y33+'Closures Overlay'!Y33+'Disposals Overlay'!Y33</f>
        <v>-16086.683310252427</v>
      </c>
      <c r="AE33" s="19">
        <f>'Value Segment'!Z33+'Mid-Market Segment'!Z33+'Upper Mid-Market Segment'!Z33+'Premium Segment'!Z33+'Closures Overlay'!Z33+'Disposals Overlay'!Z33</f>
        <v>-16086.683310252427</v>
      </c>
      <c r="AF33" s="19">
        <f>'Value Segment'!AA33+'Mid-Market Segment'!AA33+'Upper Mid-Market Segment'!AA33+'Premium Segment'!AA33+'Closures Overlay'!AA33+'Disposals Overlay'!AA33</f>
        <v>-16086.683310252427</v>
      </c>
      <c r="AG33" s="19">
        <f>'Value Segment'!AB33+'Mid-Market Segment'!AB33+'Upper Mid-Market Segment'!AB33+'Premium Segment'!AB33+'Closures Overlay'!AB33+'Disposals Overlay'!AB33</f>
        <v>-16086.683310252427</v>
      </c>
      <c r="AH33" s="19">
        <f>'Value Segment'!AC33+'Mid-Market Segment'!AC33+'Upper Mid-Market Segment'!AC33+'Premium Segment'!AC33+'Closures Overlay'!AC33+'Disposals Overlay'!AC33</f>
        <v>-15642.912736176497</v>
      </c>
      <c r="AI33" s="19">
        <f>'Value Segment'!AD33+'Mid-Market Segment'!AD33+'Upper Mid-Market Segment'!AD33+'Premium Segment'!AD33+'Closures Overlay'!AD33+'Disposals Overlay'!AD33</f>
        <v>-15549.311005313741</v>
      </c>
      <c r="AJ33" s="19">
        <f>'Value Segment'!AE33+'Mid-Market Segment'!AE33+'Upper Mid-Market Segment'!AE33+'Premium Segment'!AE33+'Closures Overlay'!AE33+'Disposals Overlay'!AE33</f>
        <v>-15549.311005313741</v>
      </c>
      <c r="AK33" s="19">
        <f>'Value Segment'!AF33+'Mid-Market Segment'!AF33+'Upper Mid-Market Segment'!AF33+'Premium Segment'!AF33+'Closures Overlay'!AF33+'Disposals Overlay'!AF33</f>
        <v>-15549.311005313741</v>
      </c>
      <c r="AL33" s="19">
        <f>'Value Segment'!AG33+'Mid-Market Segment'!AG33+'Upper Mid-Market Segment'!AG33+'Premium Segment'!AG33+'Closures Overlay'!AG33+'Disposals Overlay'!AG33</f>
        <v>-15549.311005313741</v>
      </c>
      <c r="AM33" s="19">
        <f>'Value Segment'!AH33+'Mid-Market Segment'!AH33+'Upper Mid-Market Segment'!AH33+'Premium Segment'!AH33+'Closures Overlay'!AH33+'Disposals Overlay'!AH33</f>
        <v>-15549.311005313741</v>
      </c>
      <c r="AN33" s="19">
        <f>'Value Segment'!AI33+'Mid-Market Segment'!AI33+'Upper Mid-Market Segment'!AI33+'Premium Segment'!AI33+'Closures Overlay'!AI33+'Disposals Overlay'!AI33</f>
        <v>-15108.195799489238</v>
      </c>
      <c r="AO33" s="19">
        <f>'Value Segment'!AJ33+'Mid-Market Segment'!AJ33+'Upper Mid-Market Segment'!AJ33+'Premium Segment'!AJ33+'Closures Overlay'!AJ33+'Disposals Overlay'!AJ33</f>
        <v>-15540.731934679143</v>
      </c>
      <c r="AP33" s="19">
        <f>'Value Segment'!AK33+'Mid-Market Segment'!AK33+'Upper Mid-Market Segment'!AK33+'Premium Segment'!AK33+'Closures Overlay'!AK33+'Disposals Overlay'!AK33</f>
        <v>-15540.731934679143</v>
      </c>
      <c r="AQ33" s="19">
        <f>'Value Segment'!AL33+'Mid-Market Segment'!AL33+'Upper Mid-Market Segment'!AL33+'Premium Segment'!AL33+'Closures Overlay'!AL33+'Disposals Overlay'!AL33</f>
        <v>-15540.731934679143</v>
      </c>
      <c r="AR33" s="19">
        <f>'Value Segment'!AM33+'Mid-Market Segment'!AM33+'Upper Mid-Market Segment'!AM33+'Premium Segment'!AM33+'Closures Overlay'!AM33+'Disposals Overlay'!AM33</f>
        <v>-15540.731934679143</v>
      </c>
      <c r="AS33" s="19">
        <f>'Value Segment'!AN33+'Mid-Market Segment'!AN33+'Upper Mid-Market Segment'!AN33+'Premium Segment'!AN33+'Closures Overlay'!AN33+'Disposals Overlay'!AN33</f>
        <v>-15540.731934679143</v>
      </c>
      <c r="AT33" s="19">
        <f>'Value Segment'!AO33+'Mid-Market Segment'!AO33+'Upper Mid-Market Segment'!AO33+'Premium Segment'!AO33+'Closures Overlay'!AO33+'Disposals Overlay'!AO33</f>
        <v>-15086.987936586322</v>
      </c>
      <c r="AU33" s="19">
        <f>'Value Segment'!AP33+'Mid-Market Segment'!AP33+'Upper Mid-Market Segment'!AP33+'Premium Segment'!AP33+'Closures Overlay'!AP33+'Disposals Overlay'!AP33</f>
        <v>-14920.37442422106</v>
      </c>
      <c r="AV33" s="19">
        <f>'Value Segment'!AQ33+'Mid-Market Segment'!AQ33+'Upper Mid-Market Segment'!AQ33+'Premium Segment'!AQ33+'Closures Overlay'!AQ33+'Disposals Overlay'!AQ33</f>
        <v>-14920.37442422106</v>
      </c>
      <c r="AW33" s="19">
        <f>'Value Segment'!AR33+'Mid-Market Segment'!AR33+'Upper Mid-Market Segment'!AR33+'Premium Segment'!AR33+'Closures Overlay'!AR33+'Disposals Overlay'!AR33</f>
        <v>-14920.37442422106</v>
      </c>
      <c r="AX33" s="19">
        <f>'Value Segment'!AS33+'Mid-Market Segment'!AS33+'Upper Mid-Market Segment'!AS33+'Premium Segment'!AS33+'Closures Overlay'!AS33+'Disposals Overlay'!AS33</f>
        <v>-14920.37442422106</v>
      </c>
      <c r="AY33" s="19">
        <f>'Value Segment'!AT33+'Mid-Market Segment'!AT33+'Upper Mid-Market Segment'!AT33+'Premium Segment'!AT33+'Closures Overlay'!AT33+'Disposals Overlay'!AT33</f>
        <v>-14920.37442422106</v>
      </c>
      <c r="AZ33" s="19">
        <f>'Value Segment'!AU33+'Mid-Market Segment'!AU33+'Upper Mid-Market Segment'!AU33+'Premium Segment'!AU33+'Closures Overlay'!AU33+'Disposals Overlay'!AU33</f>
        <v>-14471.641358830953</v>
      </c>
      <c r="BA33" s="19">
        <f>'Value Segment'!AV33+'Mid-Market Segment'!AV33+'Upper Mid-Market Segment'!AV33+'Premium Segment'!AV33+'Closures Overlay'!AV33+'Disposals Overlay'!AV33</f>
        <v>-14951.985608062865</v>
      </c>
      <c r="BB33" s="19">
        <f>'Value Segment'!AW33+'Mid-Market Segment'!AW33+'Upper Mid-Market Segment'!AW33+'Premium Segment'!AW33+'Closures Overlay'!AW33+'Disposals Overlay'!AW33</f>
        <v>-14951.985608062865</v>
      </c>
      <c r="BC33" s="19">
        <f>'Value Segment'!AX33+'Mid-Market Segment'!AX33+'Upper Mid-Market Segment'!AX33+'Premium Segment'!AX33+'Closures Overlay'!AX33+'Disposals Overlay'!AX33</f>
        <v>-14951.985608062865</v>
      </c>
      <c r="BD33" s="19">
        <f>'Value Segment'!AY33+'Mid-Market Segment'!AY33+'Upper Mid-Market Segment'!AY33+'Premium Segment'!AY33+'Closures Overlay'!AY33+'Disposals Overlay'!AY33</f>
        <v>-14951.985608062865</v>
      </c>
      <c r="BE33" s="19">
        <f>'Value Segment'!AZ33+'Mid-Market Segment'!AZ33+'Upper Mid-Market Segment'!AZ33+'Premium Segment'!AZ33+'Closures Overlay'!AZ33+'Disposals Overlay'!AZ33</f>
        <v>-14951.985608062865</v>
      </c>
      <c r="BF33" s="19">
        <f>'Value Segment'!BA33+'Mid-Market Segment'!BA33+'Upper Mid-Market Segment'!BA33+'Premium Segment'!BA33+'Closures Overlay'!BA33+'Disposals Overlay'!BA33</f>
        <v>-14488.358147347739</v>
      </c>
      <c r="BG33" s="19">
        <f>'Value Segment'!BB33+'Mid-Market Segment'!BB33+'Upper Mid-Market Segment'!BB33+'Premium Segment'!BB33+'Closures Overlay'!BB33+'Disposals Overlay'!BB33</f>
        <v>-14272.377671770912</v>
      </c>
      <c r="BH33" s="19">
        <f>'Value Segment'!BC33+'Mid-Market Segment'!BC33+'Upper Mid-Market Segment'!BC33+'Premium Segment'!BC33+'Closures Overlay'!BC33+'Disposals Overlay'!BC33</f>
        <v>-14272.377671770912</v>
      </c>
      <c r="BI33" s="19">
        <f>'Value Segment'!BD33+'Mid-Market Segment'!BD33+'Upper Mid-Market Segment'!BD33+'Premium Segment'!BD33+'Closures Overlay'!BD33+'Disposals Overlay'!BD33</f>
        <v>-14272.377671770912</v>
      </c>
      <c r="BJ33" s="19">
        <f>'Value Segment'!BE33+'Mid-Market Segment'!BE33+'Upper Mid-Market Segment'!BE33+'Premium Segment'!BE33+'Closures Overlay'!BE33+'Disposals Overlay'!BE33</f>
        <v>-14272.377671770912</v>
      </c>
      <c r="BK33" s="19">
        <f>'Value Segment'!BF33+'Mid-Market Segment'!BF33+'Upper Mid-Market Segment'!BF33+'Premium Segment'!BF33+'Closures Overlay'!BF33+'Disposals Overlay'!BF33</f>
        <v>-14272.377671770912</v>
      </c>
      <c r="BL33" s="19">
        <f>'Value Segment'!BG33+'Mid-Market Segment'!BG33+'Upper Mid-Market Segment'!BG33+'Premium Segment'!BG33+'Closures Overlay'!BG33+'Disposals Overlay'!BG33</f>
        <v>-13815.661586274242</v>
      </c>
      <c r="BM33" s="19">
        <f>'Value Segment'!BH33+'Mid-Market Segment'!BH33+'Upper Mid-Market Segment'!BH33+'Premium Segment'!BH33+'Closures Overlay'!BH33+'Disposals Overlay'!BH33</f>
        <v>-14334.20423671613</v>
      </c>
      <c r="BN33" s="19">
        <f>'Value Segment'!BI33+'Mid-Market Segment'!BI33+'Upper Mid-Market Segment'!BI33+'Premium Segment'!BI33+'Closures Overlay'!BI33+'Disposals Overlay'!BI33</f>
        <v>-14334.20423671613</v>
      </c>
      <c r="BO33" s="19">
        <f>'Value Segment'!BJ33+'Mid-Market Segment'!BJ33+'Upper Mid-Market Segment'!BJ33+'Premium Segment'!BJ33+'Closures Overlay'!BJ33+'Disposals Overlay'!BJ33</f>
        <v>-14334.20423671613</v>
      </c>
      <c r="BP33" s="19">
        <f>'Value Segment'!BK33+'Mid-Market Segment'!BK33+'Upper Mid-Market Segment'!BK33+'Premium Segment'!BK33+'Closures Overlay'!BK33+'Disposals Overlay'!BK33</f>
        <v>-14334.20423671613</v>
      </c>
      <c r="BQ33" s="19">
        <f>'Value Segment'!BL33+'Mid-Market Segment'!BL33+'Upper Mid-Market Segment'!BL33+'Premium Segment'!BL33+'Closures Overlay'!BL33+'Disposals Overlay'!BL33</f>
        <v>-14334.20423671613</v>
      </c>
      <c r="BR33" s="19">
        <f>'Value Segment'!BM33+'Mid-Market Segment'!BM33+'Upper Mid-Market Segment'!BM33+'Premium Segment'!BM33+'Closures Overlay'!BM33+'Disposals Overlay'!BM33</f>
        <v>-13860.346245419729</v>
      </c>
      <c r="BS33" s="19">
        <f>'Value Segment'!BN33+'Mid-Market Segment'!BN33+'Upper Mid-Market Segment'!BN33+'Premium Segment'!BN33+'Closures Overlay'!BN33+'Disposals Overlay'!BN33</f>
        <v>-13598.833417247275</v>
      </c>
      <c r="BT33" s="19">
        <f>'Value Segment'!BO33+'Mid-Market Segment'!BO33+'Upper Mid-Market Segment'!BO33+'Premium Segment'!BO33+'Closures Overlay'!BO33+'Disposals Overlay'!BO33</f>
        <v>-13598.833417247275</v>
      </c>
      <c r="BU33" s="19">
        <f>'Value Segment'!BP33+'Mid-Market Segment'!BP33+'Upper Mid-Market Segment'!BP33+'Premium Segment'!BP33+'Closures Overlay'!BP33+'Disposals Overlay'!BP33</f>
        <v>-13598.833417247275</v>
      </c>
      <c r="BV33" s="19">
        <f>'Value Segment'!BQ33+'Mid-Market Segment'!BQ33+'Upper Mid-Market Segment'!BQ33+'Premium Segment'!BQ33+'Closures Overlay'!BQ33+'Disposals Overlay'!BQ33</f>
        <v>-13598.833417247275</v>
      </c>
      <c r="BW33" s="19">
        <f>'Value Segment'!BR33+'Mid-Market Segment'!BR33+'Upper Mid-Market Segment'!BR33+'Premium Segment'!BR33+'Closures Overlay'!BR33+'Disposals Overlay'!BR33</f>
        <v>-13598.833417247275</v>
      </c>
      <c r="BX33" s="19">
        <f>'Value Segment'!BS33+'Mid-Market Segment'!BS33+'Upper Mid-Market Segment'!BS33+'Premium Segment'!BS33+'Closures Overlay'!BS33+'Disposals Overlay'!BS33</f>
        <v>-13133.916035461043</v>
      </c>
      <c r="BY33" s="19">
        <f>'Value Segment'!BT33+'Mid-Market Segment'!BT33+'Upper Mid-Market Segment'!BT33+'Premium Segment'!BT33+'Closures Overlay'!BT33+'Disposals Overlay'!BT33</f>
        <v>-13680.454633579906</v>
      </c>
      <c r="BZ33" s="19">
        <f>'Value Segment'!BU33+'Mid-Market Segment'!BU33+'Upper Mid-Market Segment'!BU33+'Premium Segment'!BU33+'Closures Overlay'!BU33+'Disposals Overlay'!BU33</f>
        <v>-13680.454633579906</v>
      </c>
      <c r="CA33" s="19">
        <f>'Value Segment'!BV33+'Mid-Market Segment'!BV33+'Upper Mid-Market Segment'!BV33+'Premium Segment'!BV33+'Closures Overlay'!BV33+'Disposals Overlay'!BV33</f>
        <v>-13680.454633579906</v>
      </c>
      <c r="CB33" s="19">
        <f>'Value Segment'!BW33+'Mid-Market Segment'!BW33+'Upper Mid-Market Segment'!BW33+'Premium Segment'!BW33+'Closures Overlay'!BW33+'Disposals Overlay'!BW33</f>
        <v>-13680.454633579906</v>
      </c>
      <c r="CC33" s="19">
        <f>'Value Segment'!BX33+'Mid-Market Segment'!BX33+'Upper Mid-Market Segment'!BX33+'Premium Segment'!BX33+'Closures Overlay'!BX33+'Disposals Overlay'!BX33</f>
        <v>-13680.454633579906</v>
      </c>
      <c r="CD33" s="19">
        <f>'Value Segment'!BY33+'Mid-Market Segment'!BY33+'Upper Mid-Market Segment'!BY33+'Premium Segment'!BY33+'Closures Overlay'!BY33+'Disposals Overlay'!BY33</f>
        <v>-13196.19075274522</v>
      </c>
      <c r="CG33" s="8"/>
    </row>
    <row r="34" spans="1:85" x14ac:dyDescent="0.3">
      <c r="A34" s="7"/>
      <c r="B34" s="1"/>
      <c r="C34" s="40"/>
      <c r="D34" s="2"/>
      <c r="E34" s="4" t="s">
        <v>394</v>
      </c>
      <c r="F34" s="5"/>
      <c r="G34" s="5"/>
      <c r="H34" s="5"/>
      <c r="I34" s="498">
        <f>SUM(I31:I33)</f>
        <v>1133977.4699999976</v>
      </c>
      <c r="J34" s="498">
        <f>SUM(J31:J33)</f>
        <v>1150993.1199999985</v>
      </c>
      <c r="K34" s="498">
        <f>SUM(K31:K33)</f>
        <v>1164804.9899999993</v>
      </c>
      <c r="L34" s="498">
        <f>SUM(L31:L33)</f>
        <v>1146369.6899999988</v>
      </c>
      <c r="M34" s="5"/>
      <c r="N34" s="498">
        <f t="shared" ref="N34:S34" si="17">SUM(N31:N33)</f>
        <v>1279509.8867657285</v>
      </c>
      <c r="O34" s="498">
        <f t="shared" si="17"/>
        <v>1271244.8873817727</v>
      </c>
      <c r="P34" s="498">
        <f t="shared" si="17"/>
        <v>1225656.0316214305</v>
      </c>
      <c r="Q34" s="498">
        <f t="shared" si="17"/>
        <v>1177106.9938690532</v>
      </c>
      <c r="R34" s="498">
        <f t="shared" si="17"/>
        <v>1126652.7190904317</v>
      </c>
      <c r="S34" s="498">
        <f t="shared" si="17"/>
        <v>1073766.5543195466</v>
      </c>
      <c r="T34" s="57"/>
      <c r="U34" s="55">
        <f t="shared" si="16"/>
        <v>-3.445338580585966E-2</v>
      </c>
      <c r="W34" s="498">
        <f>SUM(W31:W33)</f>
        <v>106625.82389714409</v>
      </c>
      <c r="X34" s="498">
        <f t="shared" ref="X34:CD34" si="18">SUM(X31:X33)</f>
        <v>106625.82389714409</v>
      </c>
      <c r="Y34" s="498">
        <f t="shared" si="18"/>
        <v>106625.82389714409</v>
      </c>
      <c r="Z34" s="498">
        <f t="shared" si="18"/>
        <v>106625.82389714409</v>
      </c>
      <c r="AA34" s="498">
        <f t="shared" si="18"/>
        <v>106625.82389714409</v>
      </c>
      <c r="AB34" s="498">
        <f t="shared" si="18"/>
        <v>103763.38567171739</v>
      </c>
      <c r="AC34" s="498">
        <f t="shared" si="18"/>
        <v>106213.73605372824</v>
      </c>
      <c r="AD34" s="498">
        <f t="shared" si="18"/>
        <v>106213.73605372824</v>
      </c>
      <c r="AE34" s="498">
        <f t="shared" si="18"/>
        <v>106213.73605372824</v>
      </c>
      <c r="AF34" s="498">
        <f t="shared" si="18"/>
        <v>106213.73605372824</v>
      </c>
      <c r="AG34" s="498">
        <f t="shared" si="18"/>
        <v>106213.73605372824</v>
      </c>
      <c r="AH34" s="498">
        <f t="shared" si="18"/>
        <v>103283.70195569433</v>
      </c>
      <c r="AI34" s="498">
        <f t="shared" si="18"/>
        <v>102671.74417419265</v>
      </c>
      <c r="AJ34" s="498">
        <f t="shared" si="18"/>
        <v>102671.74417419265</v>
      </c>
      <c r="AK34" s="498">
        <f t="shared" si="18"/>
        <v>102671.74417419265</v>
      </c>
      <c r="AL34" s="498">
        <f t="shared" si="18"/>
        <v>102671.74417419265</v>
      </c>
      <c r="AM34" s="498">
        <f t="shared" si="18"/>
        <v>102671.74417419265</v>
      </c>
      <c r="AN34" s="498">
        <f t="shared" si="18"/>
        <v>99759.07058059852</v>
      </c>
      <c r="AO34" s="498">
        <f t="shared" si="18"/>
        <v>102588.92286463572</v>
      </c>
      <c r="AP34" s="498">
        <f t="shared" si="18"/>
        <v>102588.92286463572</v>
      </c>
      <c r="AQ34" s="498">
        <f t="shared" si="18"/>
        <v>102588.92286463572</v>
      </c>
      <c r="AR34" s="498">
        <f t="shared" si="18"/>
        <v>102588.92286463572</v>
      </c>
      <c r="AS34" s="498">
        <f t="shared" si="18"/>
        <v>102588.92286463572</v>
      </c>
      <c r="AT34" s="498">
        <f t="shared" si="18"/>
        <v>99593.625846690193</v>
      </c>
      <c r="AU34" s="498">
        <f t="shared" si="18"/>
        <v>98504.164655570814</v>
      </c>
      <c r="AV34" s="498">
        <f t="shared" si="18"/>
        <v>98504.164655570814</v>
      </c>
      <c r="AW34" s="498">
        <f t="shared" si="18"/>
        <v>98504.164655570814</v>
      </c>
      <c r="AX34" s="498">
        <f t="shared" si="18"/>
        <v>98504.164655570814</v>
      </c>
      <c r="AY34" s="498">
        <f t="shared" si="18"/>
        <v>98504.164655570814</v>
      </c>
      <c r="AZ34" s="498">
        <f t="shared" si="18"/>
        <v>95541.63338773408</v>
      </c>
      <c r="BA34" s="498">
        <f t="shared" si="18"/>
        <v>98684.08480421688</v>
      </c>
      <c r="BB34" s="498">
        <f t="shared" si="18"/>
        <v>98684.08480421688</v>
      </c>
      <c r="BC34" s="498">
        <f t="shared" si="18"/>
        <v>98684.08480421688</v>
      </c>
      <c r="BD34" s="498">
        <f t="shared" si="18"/>
        <v>98684.08480421688</v>
      </c>
      <c r="BE34" s="498">
        <f t="shared" si="18"/>
        <v>98684.08480421688</v>
      </c>
      <c r="BF34" s="498">
        <f t="shared" si="18"/>
        <v>95624.113182380723</v>
      </c>
      <c r="BG34" s="498">
        <f t="shared" si="18"/>
        <v>94210.778120032381</v>
      </c>
      <c r="BH34" s="498">
        <f t="shared" si="18"/>
        <v>94210.778120032381</v>
      </c>
      <c r="BI34" s="498">
        <f t="shared" si="18"/>
        <v>94210.778120032381</v>
      </c>
      <c r="BJ34" s="498">
        <f t="shared" si="18"/>
        <v>94210.778120032381</v>
      </c>
      <c r="BK34" s="498">
        <f t="shared" si="18"/>
        <v>94210.778120032381</v>
      </c>
      <c r="BL34" s="498">
        <f t="shared" si="18"/>
        <v>91196.033220191341</v>
      </c>
      <c r="BM34" s="498">
        <f t="shared" si="18"/>
        <v>94588.280093738926</v>
      </c>
      <c r="BN34" s="498">
        <f t="shared" si="18"/>
        <v>94588.280093738926</v>
      </c>
      <c r="BO34" s="498">
        <f t="shared" si="18"/>
        <v>94588.280093738926</v>
      </c>
      <c r="BP34" s="498">
        <f t="shared" si="18"/>
        <v>94588.280093738926</v>
      </c>
      <c r="BQ34" s="498">
        <f t="shared" si="18"/>
        <v>94588.280093738926</v>
      </c>
      <c r="BR34" s="498">
        <f t="shared" si="18"/>
        <v>91461.39480138394</v>
      </c>
      <c r="BS34" s="498">
        <f t="shared" si="18"/>
        <v>89748.969731612102</v>
      </c>
      <c r="BT34" s="498">
        <f t="shared" si="18"/>
        <v>89748.969731612102</v>
      </c>
      <c r="BU34" s="498">
        <f t="shared" si="18"/>
        <v>89748.969731612102</v>
      </c>
      <c r="BV34" s="498">
        <f t="shared" si="18"/>
        <v>89748.969731612102</v>
      </c>
      <c r="BW34" s="498">
        <f t="shared" si="18"/>
        <v>89748.969731612102</v>
      </c>
      <c r="BX34" s="498">
        <f t="shared" si="18"/>
        <v>86680.628886086895</v>
      </c>
      <c r="BY34" s="498">
        <f t="shared" si="18"/>
        <v>90255.996551365068</v>
      </c>
      <c r="BZ34" s="498">
        <f t="shared" si="18"/>
        <v>90255.996551365068</v>
      </c>
      <c r="CA34" s="498">
        <f t="shared" si="18"/>
        <v>90255.996551365068</v>
      </c>
      <c r="CB34" s="498">
        <f t="shared" si="18"/>
        <v>90255.996551365068</v>
      </c>
      <c r="CC34" s="498">
        <f t="shared" si="18"/>
        <v>90255.996551365068</v>
      </c>
      <c r="CD34" s="498">
        <f t="shared" si="18"/>
        <v>87061.094018573378</v>
      </c>
      <c r="CG34" s="8"/>
    </row>
    <row r="35" spans="1:85" x14ac:dyDescent="0.3">
      <c r="A35" s="7"/>
      <c r="B35" s="1"/>
      <c r="C35" s="40"/>
      <c r="D35" s="2"/>
      <c r="E35" s="2" t="s">
        <v>395</v>
      </c>
      <c r="F35" s="54"/>
      <c r="G35" s="54"/>
      <c r="H35" s="54"/>
      <c r="I35" s="67">
        <v>-276130.82999999996</v>
      </c>
      <c r="J35" s="67">
        <v>-166105.27999999994</v>
      </c>
      <c r="K35" s="67">
        <v>-147070.19000000003</v>
      </c>
      <c r="L35" s="67">
        <v>-140380.91999999998</v>
      </c>
      <c r="M35" s="54"/>
      <c r="N35" s="19">
        <f>'Value Segment'!I35+'Mid-Market Segment'!I35+'Upper Mid-Market Segment'!I35+'Premium Segment'!I35+'Closures Overlay'!I35+'Disposals Overlay'!I35</f>
        <v>-143581.34386357249</v>
      </c>
      <c r="O35" s="19">
        <f>'Value Segment'!J35+'Mid-Market Segment'!J35+'Upper Mid-Market Segment'!J35+'Premium Segment'!J35+'Closures Overlay'!J35+'Disposals Overlay'!J35</f>
        <v>-142631.93945248073</v>
      </c>
      <c r="P35" s="19">
        <f>'Value Segment'!K35+'Mid-Market Segment'!K35+'Upper Mid-Market Segment'!K35+'Premium Segment'!K35+'Closures Overlay'!K35+'Disposals Overlay'!K35</f>
        <v>-137489.64202899914</v>
      </c>
      <c r="Q35" s="19">
        <f>'Value Segment'!L35+'Mid-Market Segment'!L35+'Upper Mid-Market Segment'!L35+'Premium Segment'!L35+'Closures Overlay'!L35+'Disposals Overlay'!L35</f>
        <v>-132018.2975570127</v>
      </c>
      <c r="R35" s="19">
        <f>'Value Segment'!M35+'Mid-Market Segment'!M35+'Upper Mid-Market Segment'!M35+'Premium Segment'!M35+'Closures Overlay'!M35+'Disposals Overlay'!M35</f>
        <v>-126329.46571748788</v>
      </c>
      <c r="S35" s="19">
        <f>'Value Segment'!N35+'Mid-Market Segment'!N35+'Upper Mid-Market Segment'!N35+'Premium Segment'!N35+'Closures Overlay'!N35+'Disposals Overlay'!N35</f>
        <v>-120365.32365844528</v>
      </c>
      <c r="T35" s="37"/>
      <c r="U35" s="50">
        <f t="shared" si="16"/>
        <v>-3.4659171433489178E-2</v>
      </c>
      <c r="W35" s="19">
        <f>'Value Segment'!R35+'Mid-Market Segment'!R35+'Upper Mid-Market Segment'!R35+'Premium Segment'!R35+'Closures Overlay'!R35+'Disposals Overlay'!R35</f>
        <v>-11965.111988631044</v>
      </c>
      <c r="X35" s="19">
        <f>'Value Segment'!S35+'Mid-Market Segment'!S35+'Upper Mid-Market Segment'!S35+'Premium Segment'!S35+'Closures Overlay'!S35+'Disposals Overlay'!S35</f>
        <v>-11965.111988631044</v>
      </c>
      <c r="Y35" s="19">
        <f>'Value Segment'!T35+'Mid-Market Segment'!T35+'Upper Mid-Market Segment'!T35+'Premium Segment'!T35+'Closures Overlay'!T35+'Disposals Overlay'!T35</f>
        <v>-11965.111988631044</v>
      </c>
      <c r="Z35" s="19">
        <f>'Value Segment'!U35+'Mid-Market Segment'!U35+'Upper Mid-Market Segment'!U35+'Premium Segment'!U35+'Closures Overlay'!U35+'Disposals Overlay'!U35</f>
        <v>-11965.111988631044</v>
      </c>
      <c r="AA35" s="19">
        <f>'Value Segment'!V35+'Mid-Market Segment'!V35+'Upper Mid-Market Segment'!V35+'Premium Segment'!V35+'Closures Overlay'!V35+'Disposals Overlay'!V35</f>
        <v>-11965.111988631044</v>
      </c>
      <c r="AB35" s="19">
        <f>'Value Segment'!W35+'Mid-Market Segment'!W35+'Upper Mid-Market Segment'!W35+'Premium Segment'!W35+'Closures Overlay'!W35+'Disposals Overlay'!W35</f>
        <v>-11643.900928533567</v>
      </c>
      <c r="AC35" s="19">
        <f>'Value Segment'!X35+'Mid-Market Segment'!X35+'Upper Mid-Market Segment'!X35+'Premium Segment'!X35+'Closures Overlay'!X35+'Disposals Overlay'!X35</f>
        <v>-11915.195605328903</v>
      </c>
      <c r="AD35" s="19">
        <f>'Value Segment'!Y35+'Mid-Market Segment'!Y35+'Upper Mid-Market Segment'!Y35+'Premium Segment'!Y35+'Closures Overlay'!Y35+'Disposals Overlay'!Y35</f>
        <v>-11915.195605328903</v>
      </c>
      <c r="AE35" s="19">
        <f>'Value Segment'!Z35+'Mid-Market Segment'!Z35+'Upper Mid-Market Segment'!Z35+'Premium Segment'!Z35+'Closures Overlay'!Z35+'Disposals Overlay'!Z35</f>
        <v>-11915.195605328903</v>
      </c>
      <c r="AF35" s="19">
        <f>'Value Segment'!AA35+'Mid-Market Segment'!AA35+'Upper Mid-Market Segment'!AA35+'Premium Segment'!AA35+'Closures Overlay'!AA35+'Disposals Overlay'!AA35</f>
        <v>-11915.195605328903</v>
      </c>
      <c r="AG35" s="19">
        <f>'Value Segment'!AB35+'Mid-Market Segment'!AB35+'Upper Mid-Market Segment'!AB35+'Premium Segment'!AB35+'Closures Overlay'!AB35+'Disposals Overlay'!AB35</f>
        <v>-11915.195605328903</v>
      </c>
      <c r="AH35" s="19">
        <f>'Value Segment'!AC35+'Mid-Market Segment'!AC35+'Upper Mid-Market Segment'!AC35+'Premium Segment'!AC35+'Closures Overlay'!AC35+'Disposals Overlay'!AC35</f>
        <v>-11586.500554147417</v>
      </c>
      <c r="AI35" s="19">
        <f>'Value Segment'!AD35+'Mid-Market Segment'!AD35+'Upper Mid-Market Segment'!AD35+'Premium Segment'!AD35+'Closures Overlay'!AD35+'Disposals Overlay'!AD35</f>
        <v>-11519.987872935964</v>
      </c>
      <c r="AJ35" s="19">
        <f>'Value Segment'!AE35+'Mid-Market Segment'!AE35+'Upper Mid-Market Segment'!AE35+'Premium Segment'!AE35+'Closures Overlay'!AE35+'Disposals Overlay'!AE35</f>
        <v>-11519.987872935964</v>
      </c>
      <c r="AK35" s="19">
        <f>'Value Segment'!AF35+'Mid-Market Segment'!AF35+'Upper Mid-Market Segment'!AF35+'Premium Segment'!AF35+'Closures Overlay'!AF35+'Disposals Overlay'!AF35</f>
        <v>-11519.987872935964</v>
      </c>
      <c r="AL35" s="19">
        <f>'Value Segment'!AG35+'Mid-Market Segment'!AG35+'Upper Mid-Market Segment'!AG35+'Premium Segment'!AG35+'Closures Overlay'!AG35+'Disposals Overlay'!AG35</f>
        <v>-11519.987872935964</v>
      </c>
      <c r="AM35" s="19">
        <f>'Value Segment'!AH35+'Mid-Market Segment'!AH35+'Upper Mid-Market Segment'!AH35+'Premium Segment'!AH35+'Closures Overlay'!AH35+'Disposals Overlay'!AH35</f>
        <v>-11519.987872935964</v>
      </c>
      <c r="AN35" s="19">
        <f>'Value Segment'!AI35+'Mid-Market Segment'!AI35+'Upper Mid-Market Segment'!AI35+'Premium Segment'!AI35+'Closures Overlay'!AI35+'Disposals Overlay'!AI35</f>
        <v>-11193.179706327852</v>
      </c>
      <c r="AO35" s="19">
        <f>'Value Segment'!AJ35+'Mid-Market Segment'!AJ35+'Upper Mid-Market Segment'!AJ35+'Premium Segment'!AJ35+'Closures Overlay'!AJ35+'Disposals Overlay'!AJ35</f>
        <v>-11505.407879272407</v>
      </c>
      <c r="AP35" s="19">
        <f>'Value Segment'!AK35+'Mid-Market Segment'!AK35+'Upper Mid-Market Segment'!AK35+'Premium Segment'!AK35+'Closures Overlay'!AK35+'Disposals Overlay'!AK35</f>
        <v>-11505.407879272407</v>
      </c>
      <c r="AQ35" s="19">
        <f>'Value Segment'!AL35+'Mid-Market Segment'!AL35+'Upper Mid-Market Segment'!AL35+'Premium Segment'!AL35+'Closures Overlay'!AL35+'Disposals Overlay'!AL35</f>
        <v>-11505.407879272407</v>
      </c>
      <c r="AR35" s="19">
        <f>'Value Segment'!AM35+'Mid-Market Segment'!AM35+'Upper Mid-Market Segment'!AM35+'Premium Segment'!AM35+'Closures Overlay'!AM35+'Disposals Overlay'!AM35</f>
        <v>-11505.407879272407</v>
      </c>
      <c r="AS35" s="19">
        <f>'Value Segment'!AN35+'Mid-Market Segment'!AN35+'Upper Mid-Market Segment'!AN35+'Premium Segment'!AN35+'Closures Overlay'!AN35+'Disposals Overlay'!AN35</f>
        <v>-11505.407879272407</v>
      </c>
      <c r="AT35" s="19">
        <f>'Value Segment'!AO35+'Mid-Market Segment'!AO35+'Upper Mid-Market Segment'!AO35+'Premium Segment'!AO35+'Closures Overlay'!AO35+'Disposals Overlay'!AO35</f>
        <v>-11169.483561629417</v>
      </c>
      <c r="AU35" s="19">
        <f>'Value Segment'!AP35+'Mid-Market Segment'!AP35+'Upper Mid-Market Segment'!AP35+'Premium Segment'!AP35+'Closures Overlay'!AP35+'Disposals Overlay'!AP35</f>
        <v>-11051.044175371331</v>
      </c>
      <c r="AV35" s="19">
        <f>'Value Segment'!AQ35+'Mid-Market Segment'!AQ35+'Upper Mid-Market Segment'!AQ35+'Premium Segment'!AQ35+'Closures Overlay'!AQ35+'Disposals Overlay'!AQ35</f>
        <v>-11051.044175371331</v>
      </c>
      <c r="AW35" s="19">
        <f>'Value Segment'!AR35+'Mid-Market Segment'!AR35+'Upper Mid-Market Segment'!AR35+'Premium Segment'!AR35+'Closures Overlay'!AR35+'Disposals Overlay'!AR35</f>
        <v>-11051.044175371331</v>
      </c>
      <c r="AX35" s="19">
        <f>'Value Segment'!AS35+'Mid-Market Segment'!AS35+'Upper Mid-Market Segment'!AS35+'Premium Segment'!AS35+'Closures Overlay'!AS35+'Disposals Overlay'!AS35</f>
        <v>-11051.044175371331</v>
      </c>
      <c r="AY35" s="19">
        <f>'Value Segment'!AT35+'Mid-Market Segment'!AT35+'Upper Mid-Market Segment'!AT35+'Premium Segment'!AT35+'Closures Overlay'!AT35+'Disposals Overlay'!AT35</f>
        <v>-11051.044175371331</v>
      </c>
      <c r="AZ35" s="19">
        <f>'Value Segment'!AU35+'Mid-Market Segment'!AU35+'Upper Mid-Market Segment'!AU35+'Premium Segment'!AU35+'Closures Overlay'!AU35+'Disposals Overlay'!AU35</f>
        <v>-10718.681944533095</v>
      </c>
      <c r="BA35" s="19">
        <f>'Value Segment'!AV35+'Mid-Market Segment'!AV35+'Upper Mid-Market Segment'!AV35+'Premium Segment'!AV35+'Closures Overlay'!AV35+'Disposals Overlay'!AV35</f>
        <v>-11064.58041674722</v>
      </c>
      <c r="BB35" s="19">
        <f>'Value Segment'!AW35+'Mid-Market Segment'!AW35+'Upper Mid-Market Segment'!AW35+'Premium Segment'!AW35+'Closures Overlay'!AW35+'Disposals Overlay'!AW35</f>
        <v>-11064.58041674722</v>
      </c>
      <c r="BC35" s="19">
        <f>'Value Segment'!AX35+'Mid-Market Segment'!AX35+'Upper Mid-Market Segment'!AX35+'Premium Segment'!AX35+'Closures Overlay'!AX35+'Disposals Overlay'!AX35</f>
        <v>-11064.58041674722</v>
      </c>
      <c r="BD35" s="19">
        <f>'Value Segment'!AY35+'Mid-Market Segment'!AY35+'Upper Mid-Market Segment'!AY35+'Premium Segment'!AY35+'Closures Overlay'!AY35+'Disposals Overlay'!AY35</f>
        <v>-11064.58041674722</v>
      </c>
      <c r="BE35" s="19">
        <f>'Value Segment'!AZ35+'Mid-Market Segment'!AZ35+'Upper Mid-Market Segment'!AZ35+'Premium Segment'!AZ35+'Closures Overlay'!AZ35+'Disposals Overlay'!AZ35</f>
        <v>-11064.58041674722</v>
      </c>
      <c r="BF35" s="19">
        <f>'Value Segment'!BA35+'Mid-Market Segment'!BA35+'Upper Mid-Market Segment'!BA35+'Premium Segment'!BA35+'Closures Overlay'!BA35+'Disposals Overlay'!BA35</f>
        <v>-10721.492651886841</v>
      </c>
      <c r="BG35" s="19">
        <f>'Value Segment'!BB35+'Mid-Market Segment'!BB35+'Upper Mid-Market Segment'!BB35+'Premium Segment'!BB35+'Closures Overlay'!BB35+'Disposals Overlay'!BB35</f>
        <v>-10567.548340599937</v>
      </c>
      <c r="BH35" s="19">
        <f>'Value Segment'!BC35+'Mid-Market Segment'!BC35+'Upper Mid-Market Segment'!BC35+'Premium Segment'!BC35+'Closures Overlay'!BC35+'Disposals Overlay'!BC35</f>
        <v>-10567.548340599937</v>
      </c>
      <c r="BI35" s="19">
        <f>'Value Segment'!BD35+'Mid-Market Segment'!BD35+'Upper Mid-Market Segment'!BD35+'Premium Segment'!BD35+'Closures Overlay'!BD35+'Disposals Overlay'!BD35</f>
        <v>-10567.548340599937</v>
      </c>
      <c r="BJ35" s="19">
        <f>'Value Segment'!BE35+'Mid-Market Segment'!BE35+'Upper Mid-Market Segment'!BE35+'Premium Segment'!BE35+'Closures Overlay'!BE35+'Disposals Overlay'!BE35</f>
        <v>-10567.548340599937</v>
      </c>
      <c r="BK35" s="19">
        <f>'Value Segment'!BF35+'Mid-Market Segment'!BF35+'Upper Mid-Market Segment'!BF35+'Premium Segment'!BF35+'Closures Overlay'!BF35+'Disposals Overlay'!BF35</f>
        <v>-10567.548340599937</v>
      </c>
      <c r="BL35" s="19">
        <f>'Value Segment'!BG35+'Mid-Market Segment'!BG35+'Upper Mid-Market Segment'!BG35+'Premium Segment'!BG35+'Closures Overlay'!BG35+'Disposals Overlay'!BG35</f>
        <v>-10229.386793700738</v>
      </c>
      <c r="BM35" s="19">
        <f>'Value Segment'!BH35+'Mid-Market Segment'!BH35+'Upper Mid-Market Segment'!BH35+'Premium Segment'!BH35+'Closures Overlay'!BH35+'Disposals Overlay'!BH35</f>
        <v>-10602.136847251088</v>
      </c>
      <c r="BN35" s="19">
        <f>'Value Segment'!BI35+'Mid-Market Segment'!BI35+'Upper Mid-Market Segment'!BI35+'Premium Segment'!BI35+'Closures Overlay'!BI35+'Disposals Overlay'!BI35</f>
        <v>-10602.136847251088</v>
      </c>
      <c r="BO35" s="19">
        <f>'Value Segment'!BJ35+'Mid-Market Segment'!BJ35+'Upper Mid-Market Segment'!BJ35+'Premium Segment'!BJ35+'Closures Overlay'!BJ35+'Disposals Overlay'!BJ35</f>
        <v>-10602.136847251088</v>
      </c>
      <c r="BP35" s="19">
        <f>'Value Segment'!BK35+'Mid-Market Segment'!BK35+'Upper Mid-Market Segment'!BK35+'Premium Segment'!BK35+'Closures Overlay'!BK35+'Disposals Overlay'!BK35</f>
        <v>-10602.136847251088</v>
      </c>
      <c r="BQ35" s="19">
        <f>'Value Segment'!BL35+'Mid-Market Segment'!BL35+'Upper Mid-Market Segment'!BL35+'Premium Segment'!BL35+'Closures Overlay'!BL35+'Disposals Overlay'!BL35</f>
        <v>-10602.136847251088</v>
      </c>
      <c r="BR35" s="19">
        <f>'Value Segment'!BM35+'Mid-Market Segment'!BM35+'Upper Mid-Market Segment'!BM35+'Premium Segment'!BM35+'Closures Overlay'!BM35+'Disposals Overlay'!BM35</f>
        <v>-10251.652984532042</v>
      </c>
      <c r="BS35" s="19">
        <f>'Value Segment'!BN35+'Mid-Market Segment'!BN35+'Upper Mid-Market Segment'!BN35+'Premium Segment'!BN35+'Closures Overlay'!BN35+'Disposals Overlay'!BN35</f>
        <v>-10064.818546803099</v>
      </c>
      <c r="BT35" s="19">
        <f>'Value Segment'!BO35+'Mid-Market Segment'!BO35+'Upper Mid-Market Segment'!BO35+'Premium Segment'!BO35+'Closures Overlay'!BO35+'Disposals Overlay'!BO35</f>
        <v>-10064.818546803099</v>
      </c>
      <c r="BU35" s="19">
        <f>'Value Segment'!BP35+'Mid-Market Segment'!BP35+'Upper Mid-Market Segment'!BP35+'Premium Segment'!BP35+'Closures Overlay'!BP35+'Disposals Overlay'!BP35</f>
        <v>-10064.818546803099</v>
      </c>
      <c r="BV35" s="19">
        <f>'Value Segment'!BQ35+'Mid-Market Segment'!BQ35+'Upper Mid-Market Segment'!BQ35+'Premium Segment'!BQ35+'Closures Overlay'!BQ35+'Disposals Overlay'!BQ35</f>
        <v>-10064.818546803099</v>
      </c>
      <c r="BW35" s="19">
        <f>'Value Segment'!BR35+'Mid-Market Segment'!BR35+'Upper Mid-Market Segment'!BR35+'Premium Segment'!BR35+'Closures Overlay'!BR35+'Disposals Overlay'!BR35</f>
        <v>-10064.818546803099</v>
      </c>
      <c r="BX35" s="19">
        <f>'Value Segment'!BS35+'Mid-Market Segment'!BS35+'Upper Mid-Market Segment'!BS35+'Premium Segment'!BS35+'Closures Overlay'!BS35+'Disposals Overlay'!BS35</f>
        <v>-9720.7221862286333</v>
      </c>
      <c r="BY35" s="19">
        <f>'Value Segment'!BT35+'Mid-Market Segment'!BT35+'Upper Mid-Market Segment'!BT35+'Premium Segment'!BT35+'Closures Overlay'!BT35+'Disposals Overlay'!BT35</f>
        <v>-10113.082325544117</v>
      </c>
      <c r="BZ35" s="19">
        <f>'Value Segment'!BU35+'Mid-Market Segment'!BU35+'Upper Mid-Market Segment'!BU35+'Premium Segment'!BU35+'Closures Overlay'!BU35+'Disposals Overlay'!BU35</f>
        <v>-10113.082325544117</v>
      </c>
      <c r="CA35" s="19">
        <f>'Value Segment'!BV35+'Mid-Market Segment'!BV35+'Upper Mid-Market Segment'!BV35+'Premium Segment'!BV35+'Closures Overlay'!BV35+'Disposals Overlay'!BV35</f>
        <v>-10113.082325544117</v>
      </c>
      <c r="CB35" s="19">
        <f>'Value Segment'!BW35+'Mid-Market Segment'!BW35+'Upper Mid-Market Segment'!BW35+'Premium Segment'!BW35+'Closures Overlay'!BW35+'Disposals Overlay'!BW35</f>
        <v>-10113.082325544117</v>
      </c>
      <c r="CC35" s="19">
        <f>'Value Segment'!BX35+'Mid-Market Segment'!BX35+'Upper Mid-Market Segment'!BX35+'Premium Segment'!BX35+'Closures Overlay'!BX35+'Disposals Overlay'!BX35</f>
        <v>-10113.082325544117</v>
      </c>
      <c r="CD35" s="19">
        <f>'Value Segment'!BY35+'Mid-Market Segment'!BY35+'Upper Mid-Market Segment'!BY35+'Premium Segment'!BY35+'Closures Overlay'!BY35+'Disposals Overlay'!BY35</f>
        <v>-9755.0971104806085</v>
      </c>
      <c r="CG35" s="8"/>
    </row>
    <row r="36" spans="1:85" x14ac:dyDescent="0.3">
      <c r="A36" s="7"/>
      <c r="B36" s="1"/>
      <c r="C36" s="40"/>
      <c r="D36" s="2"/>
      <c r="E36" s="4" t="s">
        <v>396</v>
      </c>
      <c r="F36" s="5"/>
      <c r="G36" s="5"/>
      <c r="H36" s="5"/>
      <c r="I36" s="498">
        <f>SUM(I34:I35)</f>
        <v>857846.63999999769</v>
      </c>
      <c r="J36" s="498">
        <f>SUM(J34:J35)</f>
        <v>984887.83999999857</v>
      </c>
      <c r="K36" s="498">
        <f>SUM(K34:K35)</f>
        <v>1017734.7999999992</v>
      </c>
      <c r="L36" s="498">
        <f>SUM(L34:L35)</f>
        <v>1005988.7699999989</v>
      </c>
      <c r="M36" s="5"/>
      <c r="N36" s="498">
        <f t="shared" ref="N36:S36" si="19">SUM(N34:N35)</f>
        <v>1135928.542902156</v>
      </c>
      <c r="O36" s="498">
        <f t="shared" si="19"/>
        <v>1128612.947929292</v>
      </c>
      <c r="P36" s="498">
        <f t="shared" si="19"/>
        <v>1088166.3895924315</v>
      </c>
      <c r="Q36" s="498">
        <f t="shared" si="19"/>
        <v>1045088.6963120406</v>
      </c>
      <c r="R36" s="498">
        <f t="shared" si="19"/>
        <v>1000323.2533729438</v>
      </c>
      <c r="S36" s="498">
        <f t="shared" si="19"/>
        <v>953401.23066110129</v>
      </c>
      <c r="T36" s="57"/>
      <c r="U36" s="55">
        <f t="shared" si="16"/>
        <v>-3.4427386992163078E-2</v>
      </c>
      <c r="W36" s="498">
        <f>SUM(W34:W35)</f>
        <v>94660.71190851304</v>
      </c>
      <c r="X36" s="498">
        <f t="shared" ref="X36:CD36" si="20">SUM(X34:X35)</f>
        <v>94660.71190851304</v>
      </c>
      <c r="Y36" s="498">
        <f t="shared" si="20"/>
        <v>94660.71190851304</v>
      </c>
      <c r="Z36" s="498">
        <f t="shared" si="20"/>
        <v>94660.71190851304</v>
      </c>
      <c r="AA36" s="498">
        <f t="shared" si="20"/>
        <v>94660.71190851304</v>
      </c>
      <c r="AB36" s="498">
        <f t="shared" si="20"/>
        <v>92119.484743183828</v>
      </c>
      <c r="AC36" s="498">
        <f t="shared" si="20"/>
        <v>94298.540448399333</v>
      </c>
      <c r="AD36" s="498">
        <f t="shared" si="20"/>
        <v>94298.540448399333</v>
      </c>
      <c r="AE36" s="498">
        <f t="shared" si="20"/>
        <v>94298.540448399333</v>
      </c>
      <c r="AF36" s="498">
        <f t="shared" si="20"/>
        <v>94298.540448399333</v>
      </c>
      <c r="AG36" s="498">
        <f t="shared" si="20"/>
        <v>94298.540448399333</v>
      </c>
      <c r="AH36" s="498">
        <f t="shared" si="20"/>
        <v>91697.201401546918</v>
      </c>
      <c r="AI36" s="498">
        <f t="shared" si="20"/>
        <v>91151.756301256682</v>
      </c>
      <c r="AJ36" s="498">
        <f t="shared" si="20"/>
        <v>91151.756301256682</v>
      </c>
      <c r="AK36" s="498">
        <f t="shared" si="20"/>
        <v>91151.756301256682</v>
      </c>
      <c r="AL36" s="498">
        <f t="shared" si="20"/>
        <v>91151.756301256682</v>
      </c>
      <c r="AM36" s="498">
        <f t="shared" si="20"/>
        <v>91151.756301256682</v>
      </c>
      <c r="AN36" s="498">
        <f t="shared" si="20"/>
        <v>88565.89087427067</v>
      </c>
      <c r="AO36" s="498">
        <f t="shared" si="20"/>
        <v>91083.514985363319</v>
      </c>
      <c r="AP36" s="498">
        <f t="shared" si="20"/>
        <v>91083.514985363319</v>
      </c>
      <c r="AQ36" s="498">
        <f t="shared" si="20"/>
        <v>91083.514985363319</v>
      </c>
      <c r="AR36" s="498">
        <f t="shared" si="20"/>
        <v>91083.514985363319</v>
      </c>
      <c r="AS36" s="498">
        <f t="shared" si="20"/>
        <v>91083.514985363319</v>
      </c>
      <c r="AT36" s="498">
        <f t="shared" si="20"/>
        <v>88424.142285060778</v>
      </c>
      <c r="AU36" s="498">
        <f t="shared" si="20"/>
        <v>87453.12048019949</v>
      </c>
      <c r="AV36" s="498">
        <f t="shared" si="20"/>
        <v>87453.12048019949</v>
      </c>
      <c r="AW36" s="498">
        <f t="shared" si="20"/>
        <v>87453.12048019949</v>
      </c>
      <c r="AX36" s="498">
        <f t="shared" si="20"/>
        <v>87453.12048019949</v>
      </c>
      <c r="AY36" s="498">
        <f t="shared" si="20"/>
        <v>87453.12048019949</v>
      </c>
      <c r="AZ36" s="498">
        <f t="shared" si="20"/>
        <v>84822.951443200989</v>
      </c>
      <c r="BA36" s="498">
        <f t="shared" si="20"/>
        <v>87619.504387469657</v>
      </c>
      <c r="BB36" s="498">
        <f t="shared" si="20"/>
        <v>87619.504387469657</v>
      </c>
      <c r="BC36" s="498">
        <f t="shared" si="20"/>
        <v>87619.504387469657</v>
      </c>
      <c r="BD36" s="498">
        <f t="shared" si="20"/>
        <v>87619.504387469657</v>
      </c>
      <c r="BE36" s="498">
        <f t="shared" si="20"/>
        <v>87619.504387469657</v>
      </c>
      <c r="BF36" s="498">
        <f t="shared" si="20"/>
        <v>84902.620530493878</v>
      </c>
      <c r="BG36" s="498">
        <f t="shared" si="20"/>
        <v>83643.22977943244</v>
      </c>
      <c r="BH36" s="498">
        <f t="shared" si="20"/>
        <v>83643.22977943244</v>
      </c>
      <c r="BI36" s="498">
        <f t="shared" si="20"/>
        <v>83643.22977943244</v>
      </c>
      <c r="BJ36" s="498">
        <f t="shared" si="20"/>
        <v>83643.22977943244</v>
      </c>
      <c r="BK36" s="498">
        <f t="shared" si="20"/>
        <v>83643.22977943244</v>
      </c>
      <c r="BL36" s="498">
        <f t="shared" si="20"/>
        <v>80966.646426490595</v>
      </c>
      <c r="BM36" s="498">
        <f t="shared" si="20"/>
        <v>83986.143246487831</v>
      </c>
      <c r="BN36" s="498">
        <f t="shared" si="20"/>
        <v>83986.143246487831</v>
      </c>
      <c r="BO36" s="498">
        <f t="shared" si="20"/>
        <v>83986.143246487831</v>
      </c>
      <c r="BP36" s="498">
        <f t="shared" si="20"/>
        <v>83986.143246487831</v>
      </c>
      <c r="BQ36" s="498">
        <f t="shared" si="20"/>
        <v>83986.143246487831</v>
      </c>
      <c r="BR36" s="498">
        <f t="shared" si="20"/>
        <v>81209.741816851893</v>
      </c>
      <c r="BS36" s="498">
        <f t="shared" si="20"/>
        <v>79684.151184809001</v>
      </c>
      <c r="BT36" s="498">
        <f t="shared" si="20"/>
        <v>79684.151184809001</v>
      </c>
      <c r="BU36" s="498">
        <f t="shared" si="20"/>
        <v>79684.151184809001</v>
      </c>
      <c r="BV36" s="498">
        <f t="shared" si="20"/>
        <v>79684.151184809001</v>
      </c>
      <c r="BW36" s="498">
        <f t="shared" si="20"/>
        <v>79684.151184809001</v>
      </c>
      <c r="BX36" s="498">
        <f t="shared" si="20"/>
        <v>76959.906699858257</v>
      </c>
      <c r="BY36" s="498">
        <f t="shared" si="20"/>
        <v>80142.914225820947</v>
      </c>
      <c r="BZ36" s="498">
        <f t="shared" si="20"/>
        <v>80142.914225820947</v>
      </c>
      <c r="CA36" s="498">
        <f t="shared" si="20"/>
        <v>80142.914225820947</v>
      </c>
      <c r="CB36" s="498">
        <f t="shared" si="20"/>
        <v>80142.914225820947</v>
      </c>
      <c r="CC36" s="498">
        <f t="shared" si="20"/>
        <v>80142.914225820947</v>
      </c>
      <c r="CD36" s="498">
        <f t="shared" si="20"/>
        <v>77305.996908092769</v>
      </c>
      <c r="CG36" s="8"/>
    </row>
    <row r="37" spans="1:85" x14ac:dyDescent="0.3">
      <c r="A37" s="7"/>
      <c r="B37" s="1"/>
      <c r="C37" s="40"/>
      <c r="D37" s="2"/>
      <c r="E37" s="2" t="s">
        <v>176</v>
      </c>
      <c r="F37" s="58"/>
      <c r="G37" s="58"/>
      <c r="H37" s="58"/>
      <c r="I37" s="499">
        <f>IFERROR(I36/I31,0)</f>
        <v>0.2385515463774896</v>
      </c>
      <c r="J37" s="499">
        <f>IFERROR(J36/J31,0)</f>
        <v>0.30174787955158006</v>
      </c>
      <c r="K37" s="499">
        <f>IFERROR(K36/K31,0)</f>
        <v>0.35115416047279879</v>
      </c>
      <c r="L37" s="499">
        <f>IFERROR(L36/L31,0)</f>
        <v>0.36055307164808886</v>
      </c>
      <c r="M37" s="58"/>
      <c r="N37" s="499">
        <f t="shared" ref="N37:S37" si="21">IFERROR(N36/N31,0)</f>
        <v>0.38119215800886103</v>
      </c>
      <c r="O37" s="499">
        <f t="shared" si="21"/>
        <v>0.38119135268435483</v>
      </c>
      <c r="P37" s="499">
        <f t="shared" si="21"/>
        <v>0.38118790738552871</v>
      </c>
      <c r="Q37" s="499">
        <f t="shared" si="21"/>
        <v>0.38118473121761265</v>
      </c>
      <c r="R37" s="499">
        <f t="shared" si="21"/>
        <v>0.381182708269096</v>
      </c>
      <c r="S37" s="499">
        <f t="shared" si="21"/>
        <v>0.3811817353450202</v>
      </c>
      <c r="T37" s="23"/>
      <c r="U37" s="50">
        <f t="shared" si="16"/>
        <v>-5.46851639804391E-6</v>
      </c>
      <c r="W37" s="499">
        <f>IFERROR(W36/W31,0)</f>
        <v>0.38119215800886114</v>
      </c>
      <c r="X37" s="499">
        <f t="shared" ref="X37:CD37" si="22">IFERROR(X36/X31,0)</f>
        <v>0.38119215800886114</v>
      </c>
      <c r="Y37" s="499">
        <f t="shared" si="22"/>
        <v>0.38119215800886114</v>
      </c>
      <c r="Z37" s="499">
        <f t="shared" si="22"/>
        <v>0.38119215800886114</v>
      </c>
      <c r="AA37" s="499">
        <f t="shared" si="22"/>
        <v>0.38119215800886114</v>
      </c>
      <c r="AB37" s="499">
        <f t="shared" si="22"/>
        <v>0.38119215800886114</v>
      </c>
      <c r="AC37" s="499">
        <f t="shared" si="22"/>
        <v>0.38119054417002773</v>
      </c>
      <c r="AD37" s="499">
        <f t="shared" si="22"/>
        <v>0.38119054417002773</v>
      </c>
      <c r="AE37" s="499">
        <f t="shared" si="22"/>
        <v>0.38119054417002773</v>
      </c>
      <c r="AF37" s="499">
        <f t="shared" si="22"/>
        <v>0.38119054417002773</v>
      </c>
      <c r="AG37" s="499">
        <f t="shared" si="22"/>
        <v>0.38119054417002773</v>
      </c>
      <c r="AH37" s="499">
        <f t="shared" si="22"/>
        <v>0.38119054417002768</v>
      </c>
      <c r="AI37" s="499">
        <f t="shared" si="22"/>
        <v>0.38118703079152577</v>
      </c>
      <c r="AJ37" s="499">
        <f t="shared" si="22"/>
        <v>0.38118703079152577</v>
      </c>
      <c r="AK37" s="499">
        <f t="shared" si="22"/>
        <v>0.38118703079152577</v>
      </c>
      <c r="AL37" s="499">
        <f t="shared" si="22"/>
        <v>0.38118703079152577</v>
      </c>
      <c r="AM37" s="499">
        <f t="shared" si="22"/>
        <v>0.38118703079152577</v>
      </c>
      <c r="AN37" s="499">
        <f t="shared" si="22"/>
        <v>0.38118703079152577</v>
      </c>
      <c r="AO37" s="499">
        <f t="shared" si="22"/>
        <v>0.38118878476202239</v>
      </c>
      <c r="AP37" s="499">
        <f t="shared" si="22"/>
        <v>0.38118878476202239</v>
      </c>
      <c r="AQ37" s="499">
        <f t="shared" si="22"/>
        <v>0.38118878476202239</v>
      </c>
      <c r="AR37" s="499">
        <f t="shared" si="22"/>
        <v>0.38118878476202239</v>
      </c>
      <c r="AS37" s="499">
        <f t="shared" si="22"/>
        <v>0.38118878476202239</v>
      </c>
      <c r="AT37" s="499">
        <f t="shared" si="22"/>
        <v>0.3811887847620225</v>
      </c>
      <c r="AU37" s="499">
        <f t="shared" si="22"/>
        <v>0.38118222592730183</v>
      </c>
      <c r="AV37" s="499">
        <f t="shared" si="22"/>
        <v>0.38118222592730183</v>
      </c>
      <c r="AW37" s="499">
        <f t="shared" si="22"/>
        <v>0.38118222592730183</v>
      </c>
      <c r="AX37" s="499">
        <f t="shared" si="22"/>
        <v>0.38118222592730183</v>
      </c>
      <c r="AY37" s="499">
        <f t="shared" si="22"/>
        <v>0.38118222592730183</v>
      </c>
      <c r="AZ37" s="499">
        <f t="shared" si="22"/>
        <v>0.38118222592730172</v>
      </c>
      <c r="BA37" s="499">
        <f t="shared" si="22"/>
        <v>0.3811872321740512</v>
      </c>
      <c r="BB37" s="499">
        <f t="shared" si="22"/>
        <v>0.3811872321740512</v>
      </c>
      <c r="BC37" s="499">
        <f t="shared" si="22"/>
        <v>0.3811872321740512</v>
      </c>
      <c r="BD37" s="499">
        <f t="shared" si="22"/>
        <v>0.3811872321740512</v>
      </c>
      <c r="BE37" s="499">
        <f t="shared" si="22"/>
        <v>0.3811872321740512</v>
      </c>
      <c r="BF37" s="499">
        <f t="shared" si="22"/>
        <v>0.38118723217405132</v>
      </c>
      <c r="BG37" s="499">
        <f t="shared" si="22"/>
        <v>0.38117864078663838</v>
      </c>
      <c r="BH37" s="499">
        <f t="shared" si="22"/>
        <v>0.38117864078663838</v>
      </c>
      <c r="BI37" s="499">
        <f t="shared" si="22"/>
        <v>0.38117864078663838</v>
      </c>
      <c r="BJ37" s="499">
        <f t="shared" si="22"/>
        <v>0.38117864078663838</v>
      </c>
      <c r="BK37" s="499">
        <f t="shared" si="22"/>
        <v>0.38117864078663838</v>
      </c>
      <c r="BL37" s="499">
        <f t="shared" si="22"/>
        <v>0.38117864078663832</v>
      </c>
      <c r="BM37" s="499">
        <f t="shared" si="22"/>
        <v>0.38118675994857765</v>
      </c>
      <c r="BN37" s="499">
        <f t="shared" si="22"/>
        <v>0.38118675994857765</v>
      </c>
      <c r="BO37" s="499">
        <f t="shared" si="22"/>
        <v>0.38118675994857765</v>
      </c>
      <c r="BP37" s="499">
        <f t="shared" si="22"/>
        <v>0.38118675994857765</v>
      </c>
      <c r="BQ37" s="499">
        <f t="shared" si="22"/>
        <v>0.38118675994857765</v>
      </c>
      <c r="BR37" s="499">
        <f t="shared" si="22"/>
        <v>0.3811867599485777</v>
      </c>
      <c r="BS37" s="499">
        <f t="shared" si="22"/>
        <v>0.38117618525266811</v>
      </c>
      <c r="BT37" s="499">
        <f t="shared" si="22"/>
        <v>0.38117618525266811</v>
      </c>
      <c r="BU37" s="499">
        <f t="shared" si="22"/>
        <v>0.38117618525266811</v>
      </c>
      <c r="BV37" s="499">
        <f t="shared" si="22"/>
        <v>0.38117618525266811</v>
      </c>
      <c r="BW37" s="499">
        <f t="shared" si="22"/>
        <v>0.38117618525266811</v>
      </c>
      <c r="BX37" s="499">
        <f t="shared" si="22"/>
        <v>0.38117618525266811</v>
      </c>
      <c r="BY37" s="499">
        <f t="shared" si="22"/>
        <v>0.38118725494684874</v>
      </c>
      <c r="BZ37" s="499">
        <f t="shared" si="22"/>
        <v>0.38118725494684874</v>
      </c>
      <c r="CA37" s="499">
        <f t="shared" si="22"/>
        <v>0.38118725494684874</v>
      </c>
      <c r="CB37" s="499">
        <f t="shared" si="22"/>
        <v>0.38118725494684874</v>
      </c>
      <c r="CC37" s="499">
        <f t="shared" si="22"/>
        <v>0.38118725494684874</v>
      </c>
      <c r="CD37" s="499">
        <f t="shared" si="22"/>
        <v>0.38118725494684874</v>
      </c>
    </row>
    <row r="38" spans="1:85" x14ac:dyDescent="0.3">
      <c r="A38" s="7"/>
      <c r="B38" s="1"/>
      <c r="C38" s="40"/>
      <c r="D38" s="2"/>
      <c r="E38" s="2"/>
      <c r="F38" s="59"/>
      <c r="G38" s="59"/>
      <c r="H38" s="59"/>
      <c r="I38" s="60"/>
      <c r="J38" s="60"/>
      <c r="K38" s="60"/>
      <c r="L38" s="60"/>
      <c r="M38" s="59"/>
      <c r="N38" s="60"/>
      <c r="O38" s="60"/>
      <c r="P38" s="60"/>
      <c r="Q38" s="60"/>
      <c r="R38" s="60"/>
      <c r="S38" s="60"/>
      <c r="T38" s="60"/>
      <c r="U38" s="61"/>
      <c r="W38" s="60"/>
      <c r="X38" s="60"/>
      <c r="Y38" s="60"/>
      <c r="Z38" s="60"/>
      <c r="AA38" s="60"/>
      <c r="AB38" s="60"/>
      <c r="AC38" s="60"/>
      <c r="AD38" s="60"/>
      <c r="AE38" s="60"/>
      <c r="AF38" s="60"/>
      <c r="AG38" s="60"/>
      <c r="AH38" s="60"/>
      <c r="AI38" s="60"/>
      <c r="AJ38" s="60"/>
      <c r="AK38" s="60"/>
      <c r="AL38" s="60"/>
      <c r="AM38" s="60"/>
      <c r="AN38" s="60"/>
      <c r="AO38" s="60"/>
      <c r="AP38" s="60"/>
      <c r="AQ38" s="60"/>
      <c r="AR38" s="60"/>
      <c r="AS38" s="60"/>
      <c r="AT38" s="60"/>
      <c r="AU38" s="60"/>
      <c r="AV38" s="60"/>
      <c r="AW38" s="60"/>
      <c r="AX38" s="60"/>
      <c r="AY38" s="60"/>
      <c r="AZ38" s="60"/>
      <c r="BA38" s="60"/>
      <c r="BB38" s="60"/>
      <c r="BC38" s="60"/>
      <c r="BD38" s="60"/>
      <c r="BE38" s="60"/>
      <c r="BF38" s="60"/>
      <c r="BG38" s="60"/>
      <c r="BH38" s="60"/>
      <c r="BI38" s="60"/>
      <c r="BJ38" s="60"/>
      <c r="BK38" s="60"/>
      <c r="BL38" s="60"/>
      <c r="BM38" s="60"/>
      <c r="BN38" s="60"/>
      <c r="BO38" s="60"/>
      <c r="BP38" s="60"/>
      <c r="BQ38" s="60"/>
      <c r="BR38" s="60"/>
      <c r="BS38" s="60"/>
      <c r="BT38" s="60"/>
      <c r="BU38" s="60"/>
      <c r="BV38" s="60"/>
      <c r="BW38" s="60"/>
      <c r="BX38" s="60"/>
      <c r="BY38" s="60"/>
      <c r="BZ38" s="60"/>
      <c r="CA38" s="60"/>
      <c r="CB38" s="60"/>
      <c r="CC38" s="60"/>
      <c r="CD38" s="60"/>
    </row>
    <row r="39" spans="1:85" x14ac:dyDescent="0.3">
      <c r="A39" s="7"/>
      <c r="B39" s="1"/>
      <c r="C39" s="40"/>
      <c r="D39" s="2"/>
      <c r="E39" s="62" t="s">
        <v>24</v>
      </c>
      <c r="F39" s="63"/>
      <c r="G39" s="63"/>
      <c r="H39" s="63"/>
      <c r="I39" s="501">
        <f>SUM(I27,I36)</f>
        <v>13969645.860000011</v>
      </c>
      <c r="J39" s="501">
        <f>SUM(J27,J36)</f>
        <v>15186031.020000001</v>
      </c>
      <c r="K39" s="501">
        <f>SUM(K27,K36)</f>
        <v>15357910.510000007</v>
      </c>
      <c r="L39" s="501">
        <f>SUM(L27,L36)</f>
        <v>15403911.619999994</v>
      </c>
      <c r="M39" s="63"/>
      <c r="N39" s="501">
        <f t="shared" ref="N39:S39" si="23">SUM(N27,N36)</f>
        <v>16220326.429562395</v>
      </c>
      <c r="O39" s="501">
        <f t="shared" si="23"/>
        <v>16977330.25107462</v>
      </c>
      <c r="P39" s="501">
        <f t="shared" si="23"/>
        <v>17206442.827405717</v>
      </c>
      <c r="Q39" s="501">
        <f t="shared" si="23"/>
        <v>17328212.970069736</v>
      </c>
      <c r="R39" s="501">
        <f t="shared" si="23"/>
        <v>17347419.217420988</v>
      </c>
      <c r="S39" s="501">
        <f t="shared" si="23"/>
        <v>17286720.278510548</v>
      </c>
      <c r="T39" s="57"/>
      <c r="U39" s="55">
        <f>IFERROR(((S39/N39)^(1/5))-1,0)</f>
        <v>1.2816115219968838E-2</v>
      </c>
      <c r="W39" s="501">
        <f>SUM(W27,W36)</f>
        <v>1423857.1577417594</v>
      </c>
      <c r="X39" s="501">
        <f t="shared" ref="X39:CD39" si="24">SUM(X27,X36)</f>
        <v>1423857.1577417594</v>
      </c>
      <c r="Y39" s="501">
        <f t="shared" si="24"/>
        <v>1423857.1577417594</v>
      </c>
      <c r="Z39" s="501">
        <f t="shared" si="24"/>
        <v>1423857.1577417594</v>
      </c>
      <c r="AA39" s="501">
        <f t="shared" si="24"/>
        <v>1423857.1577417594</v>
      </c>
      <c r="AB39" s="501">
        <f t="shared" si="24"/>
        <v>1385632.804513793</v>
      </c>
      <c r="AC39" s="501">
        <f t="shared" si="24"/>
        <v>1418590.8664994738</v>
      </c>
      <c r="AD39" s="501">
        <f t="shared" si="24"/>
        <v>1418590.8664994738</v>
      </c>
      <c r="AE39" s="501">
        <f t="shared" si="24"/>
        <v>1418590.8664994738</v>
      </c>
      <c r="AF39" s="501">
        <f t="shared" si="24"/>
        <v>1418590.8664994738</v>
      </c>
      <c r="AG39" s="501">
        <f t="shared" si="24"/>
        <v>1418590.8664994738</v>
      </c>
      <c r="AH39" s="501">
        <f t="shared" si="24"/>
        <v>1379457.3253546606</v>
      </c>
      <c r="AI39" s="501">
        <f t="shared" si="24"/>
        <v>1441201.617801382</v>
      </c>
      <c r="AJ39" s="501">
        <f t="shared" si="24"/>
        <v>1441201.617801382</v>
      </c>
      <c r="AK39" s="501">
        <f t="shared" si="24"/>
        <v>1441201.617801382</v>
      </c>
      <c r="AL39" s="501">
        <f t="shared" si="24"/>
        <v>1441201.617801382</v>
      </c>
      <c r="AM39" s="501">
        <f t="shared" si="24"/>
        <v>1441201.617801382</v>
      </c>
      <c r="AN39" s="501">
        <f t="shared" si="24"/>
        <v>1400316.4655233284</v>
      </c>
      <c r="AO39" s="501">
        <f t="shared" si="24"/>
        <v>1440362.1068263315</v>
      </c>
      <c r="AP39" s="501">
        <f t="shared" si="24"/>
        <v>1440362.1068263315</v>
      </c>
      <c r="AQ39" s="501">
        <f t="shared" si="24"/>
        <v>1440362.1068263315</v>
      </c>
      <c r="AR39" s="501">
        <f t="shared" si="24"/>
        <v>1440362.1068263315</v>
      </c>
      <c r="AS39" s="501">
        <f t="shared" si="24"/>
        <v>1440362.1068263315</v>
      </c>
      <c r="AT39" s="501">
        <f t="shared" si="24"/>
        <v>1398307.7387438116</v>
      </c>
      <c r="AU39" s="501">
        <f t="shared" si="24"/>
        <v>1449880.4928224355</v>
      </c>
      <c r="AV39" s="501">
        <f t="shared" si="24"/>
        <v>1449880.4928224355</v>
      </c>
      <c r="AW39" s="501">
        <f t="shared" si="24"/>
        <v>1449880.4928224355</v>
      </c>
      <c r="AX39" s="501">
        <f t="shared" si="24"/>
        <v>1449880.4928224355</v>
      </c>
      <c r="AY39" s="501">
        <f t="shared" si="24"/>
        <v>1449880.4928224355</v>
      </c>
      <c r="AZ39" s="501">
        <f t="shared" si="24"/>
        <v>1406275.0644668734</v>
      </c>
      <c r="BA39" s="501">
        <f t="shared" si="24"/>
        <v>1452931.2622757114</v>
      </c>
      <c r="BB39" s="501">
        <f t="shared" si="24"/>
        <v>1452931.2622757114</v>
      </c>
      <c r="BC39" s="501">
        <f t="shared" si="24"/>
        <v>1452931.2622757114</v>
      </c>
      <c r="BD39" s="501">
        <f t="shared" si="24"/>
        <v>1452931.2622757114</v>
      </c>
      <c r="BE39" s="501">
        <f t="shared" si="24"/>
        <v>1452931.2622757114</v>
      </c>
      <c r="BF39" s="501">
        <f t="shared" si="24"/>
        <v>1407879.130112123</v>
      </c>
      <c r="BG39" s="501">
        <f t="shared" si="24"/>
        <v>1450356.3583766506</v>
      </c>
      <c r="BH39" s="501">
        <f t="shared" si="24"/>
        <v>1450356.3583766506</v>
      </c>
      <c r="BI39" s="501">
        <f t="shared" si="24"/>
        <v>1450356.3583766506</v>
      </c>
      <c r="BJ39" s="501">
        <f t="shared" si="24"/>
        <v>1450356.3583766506</v>
      </c>
      <c r="BK39" s="501">
        <f t="shared" si="24"/>
        <v>1450356.3583766506</v>
      </c>
      <c r="BL39" s="501">
        <f t="shared" si="24"/>
        <v>1403944.9549085977</v>
      </c>
      <c r="BM39" s="501">
        <f t="shared" si="24"/>
        <v>1456640.9819198418</v>
      </c>
      <c r="BN39" s="501">
        <f t="shared" si="24"/>
        <v>1456640.9819198418</v>
      </c>
      <c r="BO39" s="501">
        <f t="shared" si="24"/>
        <v>1456640.9819198418</v>
      </c>
      <c r="BP39" s="501">
        <f t="shared" si="24"/>
        <v>1456640.9819198418</v>
      </c>
      <c r="BQ39" s="501">
        <f t="shared" si="24"/>
        <v>1456640.9819198418</v>
      </c>
      <c r="BR39" s="501">
        <f t="shared" si="24"/>
        <v>1408487.5610299292</v>
      </c>
      <c r="BS39" s="501">
        <f t="shared" si="24"/>
        <v>1444615.7087398334</v>
      </c>
      <c r="BT39" s="501">
        <f t="shared" si="24"/>
        <v>1444615.7087398334</v>
      </c>
      <c r="BU39" s="501">
        <f t="shared" si="24"/>
        <v>1444615.7087398334</v>
      </c>
      <c r="BV39" s="501">
        <f t="shared" si="24"/>
        <v>1444615.7087398334</v>
      </c>
      <c r="BW39" s="501">
        <f t="shared" si="24"/>
        <v>1444615.7087398334</v>
      </c>
      <c r="BX39" s="501">
        <f t="shared" si="24"/>
        <v>1395227.1375008649</v>
      </c>
      <c r="BY39" s="501">
        <f t="shared" si="24"/>
        <v>1453309.865721199</v>
      </c>
      <c r="BZ39" s="501">
        <f t="shared" si="24"/>
        <v>1453309.865721199</v>
      </c>
      <c r="CA39" s="501">
        <f t="shared" si="24"/>
        <v>1453309.865721199</v>
      </c>
      <c r="CB39" s="501">
        <f t="shared" si="24"/>
        <v>1453309.865721199</v>
      </c>
      <c r="CC39" s="501">
        <f t="shared" si="24"/>
        <v>1453309.865721199</v>
      </c>
      <c r="CD39" s="501">
        <f t="shared" si="24"/>
        <v>1401865.2687045196</v>
      </c>
      <c r="CG39" s="8"/>
    </row>
    <row r="40" spans="1:85" x14ac:dyDescent="0.3">
      <c r="A40" s="7"/>
      <c r="B40" s="1"/>
      <c r="C40" s="40"/>
      <c r="D40" s="2"/>
      <c r="E40" s="2" t="s">
        <v>177</v>
      </c>
      <c r="F40" s="37"/>
      <c r="G40" s="37"/>
      <c r="H40" s="37"/>
      <c r="I40" s="23">
        <f>IFERROR(I39/(I22+I31),0)</f>
        <v>0.38539896779804245</v>
      </c>
      <c r="J40" s="23">
        <f>IFERROR(J39/(J22+J31),0)</f>
        <v>0.40513700853670143</v>
      </c>
      <c r="K40" s="23">
        <f>IFERROR(K39/(K22+K31),0)</f>
        <v>0.41350454562153888</v>
      </c>
      <c r="L40" s="23">
        <f>IFERROR(L39/(L22+L31),0)</f>
        <v>0.41603063305034654</v>
      </c>
      <c r="M40" s="37"/>
      <c r="N40" s="499">
        <f t="shared" ref="N40:S40" si="25">IFERROR(N39/(N22+N31),0)</f>
        <v>0.41720214183724269</v>
      </c>
      <c r="O40" s="499">
        <f t="shared" si="25"/>
        <v>0.4247870036391268</v>
      </c>
      <c r="P40" s="499">
        <f t="shared" si="25"/>
        <v>0.43191758075546705</v>
      </c>
      <c r="Q40" s="499">
        <f t="shared" si="25"/>
        <v>0.43853988622220236</v>
      </c>
      <c r="R40" s="499">
        <f t="shared" si="25"/>
        <v>0.44463933567043279</v>
      </c>
      <c r="S40" s="499">
        <f t="shared" si="25"/>
        <v>0.45062544706789431</v>
      </c>
      <c r="T40" s="23"/>
      <c r="U40" s="50">
        <f>IFERROR(((S40/N40)^(1/5))-1,0)</f>
        <v>1.5532523533509535E-2</v>
      </c>
      <c r="W40" s="499">
        <f>IFERROR(W39/(W22+W31),0)</f>
        <v>0.4247698881753959</v>
      </c>
      <c r="X40" s="499">
        <f t="shared" ref="X40:CD40" si="26">IFERROR(X39/(X22+X31),0)</f>
        <v>0.4247698881753959</v>
      </c>
      <c r="Y40" s="499">
        <f t="shared" si="26"/>
        <v>0.4247698881753959</v>
      </c>
      <c r="Z40" s="499">
        <f t="shared" si="26"/>
        <v>0.4247698881753959</v>
      </c>
      <c r="AA40" s="499">
        <f t="shared" si="26"/>
        <v>0.4247698881753959</v>
      </c>
      <c r="AB40" s="499">
        <f t="shared" si="26"/>
        <v>0.42476988817539596</v>
      </c>
      <c r="AC40" s="499">
        <f t="shared" si="26"/>
        <v>0.42480418615872928</v>
      </c>
      <c r="AD40" s="499">
        <f t="shared" si="26"/>
        <v>0.42480418615872928</v>
      </c>
      <c r="AE40" s="499">
        <f t="shared" si="26"/>
        <v>0.42480418615872928</v>
      </c>
      <c r="AF40" s="499">
        <f t="shared" si="26"/>
        <v>0.42480418615872928</v>
      </c>
      <c r="AG40" s="499">
        <f t="shared" si="26"/>
        <v>0.42480418615872928</v>
      </c>
      <c r="AH40" s="499">
        <f t="shared" si="26"/>
        <v>0.42480418615872928</v>
      </c>
      <c r="AI40" s="499">
        <f t="shared" si="26"/>
        <v>0.43189486287535445</v>
      </c>
      <c r="AJ40" s="499">
        <f t="shared" si="26"/>
        <v>0.43189486287535445</v>
      </c>
      <c r="AK40" s="499">
        <f t="shared" si="26"/>
        <v>0.43189486287535445</v>
      </c>
      <c r="AL40" s="499">
        <f t="shared" si="26"/>
        <v>0.43189486287535445</v>
      </c>
      <c r="AM40" s="499">
        <f t="shared" si="26"/>
        <v>0.43189486287535445</v>
      </c>
      <c r="AN40" s="499">
        <f t="shared" si="26"/>
        <v>0.43189486287535439</v>
      </c>
      <c r="AO40" s="499">
        <f t="shared" si="26"/>
        <v>0.43194031742261074</v>
      </c>
      <c r="AP40" s="499">
        <f t="shared" si="26"/>
        <v>0.43194031742261074</v>
      </c>
      <c r="AQ40" s="499">
        <f t="shared" si="26"/>
        <v>0.43194031742261074</v>
      </c>
      <c r="AR40" s="499">
        <f t="shared" si="26"/>
        <v>0.43194031742261074</v>
      </c>
      <c r="AS40" s="499">
        <f t="shared" si="26"/>
        <v>0.43194031742261074</v>
      </c>
      <c r="AT40" s="499">
        <f t="shared" si="26"/>
        <v>0.43194031742261102</v>
      </c>
      <c r="AU40" s="499">
        <f t="shared" si="26"/>
        <v>0.4385118309138698</v>
      </c>
      <c r="AV40" s="499">
        <f t="shared" si="26"/>
        <v>0.4385118309138698</v>
      </c>
      <c r="AW40" s="499">
        <f t="shared" si="26"/>
        <v>0.4385118309138698</v>
      </c>
      <c r="AX40" s="499">
        <f t="shared" si="26"/>
        <v>0.4385118309138698</v>
      </c>
      <c r="AY40" s="499">
        <f t="shared" si="26"/>
        <v>0.4385118309138698</v>
      </c>
      <c r="AZ40" s="499">
        <f t="shared" si="26"/>
        <v>0.43851183091386975</v>
      </c>
      <c r="BA40" s="499">
        <f t="shared" si="26"/>
        <v>0.4385678905754935</v>
      </c>
      <c r="BB40" s="499">
        <f t="shared" si="26"/>
        <v>0.4385678905754935</v>
      </c>
      <c r="BC40" s="499">
        <f t="shared" si="26"/>
        <v>0.4385678905754935</v>
      </c>
      <c r="BD40" s="499">
        <f t="shared" si="26"/>
        <v>0.4385678905754935</v>
      </c>
      <c r="BE40" s="499">
        <f t="shared" si="26"/>
        <v>0.4385678905754935</v>
      </c>
      <c r="BF40" s="499">
        <f t="shared" si="26"/>
        <v>0.43856789057549334</v>
      </c>
      <c r="BG40" s="499">
        <f t="shared" si="26"/>
        <v>0.44460629338138774</v>
      </c>
      <c r="BH40" s="499">
        <f t="shared" si="26"/>
        <v>0.44460629338138774</v>
      </c>
      <c r="BI40" s="499">
        <f t="shared" si="26"/>
        <v>0.44460629338138774</v>
      </c>
      <c r="BJ40" s="499">
        <f t="shared" si="26"/>
        <v>0.44460629338138774</v>
      </c>
      <c r="BK40" s="499">
        <f t="shared" si="26"/>
        <v>0.44460629338138774</v>
      </c>
      <c r="BL40" s="499">
        <f t="shared" si="26"/>
        <v>0.44460629338138774</v>
      </c>
      <c r="BM40" s="499">
        <f t="shared" si="26"/>
        <v>0.44467224611358397</v>
      </c>
      <c r="BN40" s="499">
        <f t="shared" si="26"/>
        <v>0.44467224611358397</v>
      </c>
      <c r="BO40" s="499">
        <f t="shared" si="26"/>
        <v>0.44467224611358397</v>
      </c>
      <c r="BP40" s="499">
        <f t="shared" si="26"/>
        <v>0.44467224611358397</v>
      </c>
      <c r="BQ40" s="499">
        <f t="shared" si="26"/>
        <v>0.44467224611358397</v>
      </c>
      <c r="BR40" s="499">
        <f t="shared" si="26"/>
        <v>0.4446722461135838</v>
      </c>
      <c r="BS40" s="499">
        <f t="shared" si="26"/>
        <v>0.45058783275639486</v>
      </c>
      <c r="BT40" s="499">
        <f t="shared" si="26"/>
        <v>0.45058783275639486</v>
      </c>
      <c r="BU40" s="499">
        <f t="shared" si="26"/>
        <v>0.45058783275639486</v>
      </c>
      <c r="BV40" s="499">
        <f t="shared" si="26"/>
        <v>0.45058783275639486</v>
      </c>
      <c r="BW40" s="499">
        <f t="shared" si="26"/>
        <v>0.45058783275639486</v>
      </c>
      <c r="BX40" s="499">
        <f t="shared" si="26"/>
        <v>0.45058783275639491</v>
      </c>
      <c r="BY40" s="499">
        <f t="shared" si="26"/>
        <v>0.45066285017102214</v>
      </c>
      <c r="BZ40" s="499">
        <f t="shared" si="26"/>
        <v>0.45066285017102214</v>
      </c>
      <c r="CA40" s="499">
        <f t="shared" si="26"/>
        <v>0.45066285017102214</v>
      </c>
      <c r="CB40" s="499">
        <f t="shared" si="26"/>
        <v>0.45066285017102214</v>
      </c>
      <c r="CC40" s="499">
        <f t="shared" si="26"/>
        <v>0.45066285017102214</v>
      </c>
      <c r="CD40" s="499">
        <f t="shared" si="26"/>
        <v>0.4506628501710222</v>
      </c>
    </row>
    <row r="41" spans="1:85" x14ac:dyDescent="0.3">
      <c r="A41" s="7"/>
      <c r="B41" s="1"/>
      <c r="C41" s="40"/>
      <c r="D41" s="2"/>
      <c r="E41" s="2"/>
      <c r="F41" s="37"/>
      <c r="G41" s="37"/>
      <c r="H41" s="37"/>
      <c r="I41" s="37"/>
      <c r="J41" s="37"/>
      <c r="K41" s="37"/>
      <c r="L41" s="37"/>
      <c r="M41" s="37"/>
      <c r="N41" s="37"/>
      <c r="O41" s="37"/>
      <c r="P41" s="37"/>
      <c r="Q41" s="37"/>
      <c r="R41" s="37"/>
      <c r="S41" s="37"/>
      <c r="T41" s="37"/>
      <c r="U41" s="35"/>
      <c r="W41" s="37"/>
      <c r="X41" s="37"/>
      <c r="Y41" s="37"/>
      <c r="Z41" s="37"/>
      <c r="AA41" s="37"/>
      <c r="AB41" s="37"/>
      <c r="AC41" s="37"/>
      <c r="AD41" s="37"/>
      <c r="AE41" s="37"/>
      <c r="AF41" s="37"/>
      <c r="AG41" s="37"/>
      <c r="AH41" s="37"/>
      <c r="AI41" s="37"/>
      <c r="AJ41" s="37"/>
      <c r="AK41" s="37"/>
      <c r="AL41" s="37"/>
      <c r="AM41" s="37"/>
      <c r="AN41" s="37"/>
      <c r="AO41" s="37"/>
      <c r="AP41" s="37"/>
      <c r="AQ41" s="37"/>
      <c r="AR41" s="37"/>
      <c r="AS41" s="37"/>
      <c r="AT41" s="37"/>
      <c r="AU41" s="37"/>
      <c r="AV41" s="37"/>
      <c r="AW41" s="37"/>
      <c r="AX41" s="37"/>
      <c r="AY41" s="37"/>
      <c r="AZ41" s="37"/>
      <c r="BA41" s="37"/>
      <c r="BB41" s="37"/>
      <c r="BC41" s="37"/>
      <c r="BD41" s="37"/>
      <c r="BE41" s="37"/>
      <c r="BF41" s="37"/>
      <c r="BG41" s="37"/>
      <c r="BH41" s="37"/>
      <c r="BI41" s="37"/>
      <c r="BJ41" s="37"/>
      <c r="BK41" s="37"/>
      <c r="BL41" s="37"/>
      <c r="BM41" s="37"/>
      <c r="BN41" s="37"/>
      <c r="BO41" s="37"/>
      <c r="BP41" s="37"/>
      <c r="BQ41" s="37"/>
      <c r="BR41" s="37"/>
      <c r="BS41" s="37"/>
      <c r="BT41" s="37"/>
      <c r="BU41" s="37"/>
      <c r="BV41" s="37"/>
      <c r="BW41" s="37"/>
      <c r="BX41" s="37"/>
      <c r="BY41" s="37"/>
      <c r="BZ41" s="37"/>
      <c r="CA41" s="37"/>
      <c r="CB41" s="37"/>
      <c r="CC41" s="37"/>
      <c r="CD41" s="37"/>
    </row>
    <row r="42" spans="1:85" x14ac:dyDescent="0.3">
      <c r="A42" s="7"/>
      <c r="B42" s="1"/>
      <c r="C42" s="40"/>
      <c r="D42" s="2"/>
      <c r="E42" s="17" t="s">
        <v>25</v>
      </c>
      <c r="F42" s="37"/>
      <c r="G42" s="37"/>
      <c r="H42" s="37"/>
      <c r="I42" s="37"/>
      <c r="J42" s="37"/>
      <c r="K42" s="37"/>
      <c r="L42" s="37"/>
      <c r="M42" s="37"/>
      <c r="N42" s="37"/>
      <c r="O42" s="37"/>
      <c r="P42" s="37"/>
      <c r="Q42" s="37"/>
      <c r="R42" s="37"/>
      <c r="S42" s="37"/>
      <c r="T42" s="37"/>
      <c r="U42" s="35"/>
      <c r="W42" s="37"/>
      <c r="X42" s="37"/>
      <c r="Y42" s="37"/>
      <c r="Z42" s="37"/>
      <c r="AA42" s="37"/>
      <c r="AB42" s="37"/>
      <c r="AC42" s="37"/>
      <c r="AD42" s="37"/>
      <c r="AE42" s="37"/>
      <c r="AF42" s="37"/>
      <c r="AG42" s="37"/>
      <c r="AH42" s="37"/>
      <c r="AI42" s="37"/>
      <c r="AJ42" s="37"/>
      <c r="AK42" s="37"/>
      <c r="AL42" s="37"/>
      <c r="AM42" s="37"/>
      <c r="AN42" s="37"/>
      <c r="AO42" s="37"/>
      <c r="AP42" s="37"/>
      <c r="AQ42" s="37"/>
      <c r="AR42" s="37"/>
      <c r="AS42" s="37"/>
      <c r="AT42" s="37"/>
      <c r="AU42" s="37"/>
      <c r="AV42" s="37"/>
      <c r="AW42" s="37"/>
      <c r="AX42" s="37"/>
      <c r="AY42" s="37"/>
      <c r="AZ42" s="37"/>
      <c r="BA42" s="37"/>
      <c r="BB42" s="37"/>
      <c r="BC42" s="37"/>
      <c r="BD42" s="37"/>
      <c r="BE42" s="37"/>
      <c r="BF42" s="37"/>
      <c r="BG42" s="37"/>
      <c r="BH42" s="37"/>
      <c r="BI42" s="37"/>
      <c r="BJ42" s="37"/>
      <c r="BK42" s="37"/>
      <c r="BL42" s="37"/>
      <c r="BM42" s="37"/>
      <c r="BN42" s="37"/>
      <c r="BO42" s="37"/>
      <c r="BP42" s="37"/>
      <c r="BQ42" s="37"/>
      <c r="BR42" s="37"/>
      <c r="BS42" s="37"/>
      <c r="BT42" s="37"/>
      <c r="BU42" s="37"/>
      <c r="BV42" s="37"/>
      <c r="BW42" s="37"/>
      <c r="BX42" s="37"/>
      <c r="BY42" s="37"/>
      <c r="BZ42" s="37"/>
      <c r="CA42" s="37"/>
      <c r="CB42" s="37"/>
      <c r="CC42" s="37"/>
      <c r="CD42" s="37"/>
    </row>
    <row r="43" spans="1:85" x14ac:dyDescent="0.3">
      <c r="A43" s="7"/>
      <c r="B43" s="1"/>
      <c r="C43" s="40"/>
      <c r="D43" s="2"/>
      <c r="E43" s="2" t="s">
        <v>25</v>
      </c>
      <c r="F43" s="54"/>
      <c r="G43" s="54"/>
      <c r="H43" s="54"/>
      <c r="I43" s="67">
        <v>9810076.9900000058</v>
      </c>
      <c r="J43" s="67">
        <v>10009704.510000005</v>
      </c>
      <c r="K43" s="67">
        <v>10001614.669999992</v>
      </c>
      <c r="L43" s="67">
        <v>9989507.2599999923</v>
      </c>
      <c r="M43" s="54"/>
      <c r="N43" s="19">
        <f>'Value Segment'!I43+'Mid-Market Segment'!I43+'Upper Mid-Market Segment'!I43+'Premium Segment'!I43+'Closures Overlay'!I43+'Disposals Overlay'!I43</f>
        <v>10004063.175032504</v>
      </c>
      <c r="O43" s="19">
        <f>'Value Segment'!J43+'Mid-Market Segment'!J43+'Upper Mid-Market Segment'!J43+'Premium Segment'!J43+'Closures Overlay'!J43+'Disposals Overlay'!J43</f>
        <v>10278596.78757699</v>
      </c>
      <c r="P43" s="19">
        <f>'Value Segment'!K43+'Mid-Market Segment'!K43+'Upper Mid-Market Segment'!K43+'Premium Segment'!K43+'Closures Overlay'!K43+'Disposals Overlay'!K43</f>
        <v>10269102.774484003</v>
      </c>
      <c r="Q43" s="19">
        <f>'Value Segment'!L43+'Mid-Market Segment'!L43+'Upper Mid-Market Segment'!L43+'Premium Segment'!L43+'Closures Overlay'!L43+'Disposals Overlay'!L43</f>
        <v>10211383.414081169</v>
      </c>
      <c r="R43" s="19">
        <f>'Value Segment'!M43+'Mid-Market Segment'!M43+'Upper Mid-Market Segment'!M43+'Premium Segment'!M43+'Closures Overlay'!M43+'Disposals Overlay'!M43</f>
        <v>10092966.55945416</v>
      </c>
      <c r="S43" s="19">
        <f>'Value Segment'!N43+'Mid-Market Segment'!N43+'Upper Mid-Market Segment'!N43+'Premium Segment'!N43+'Closures Overlay'!N43+'Disposals Overlay'!N43</f>
        <v>9924582.8740406316</v>
      </c>
      <c r="T43" s="37"/>
      <c r="U43" s="50">
        <f>IFERROR(((S43/N43)^(1/5))-1,0)</f>
        <v>-1.5940341931819368E-3</v>
      </c>
      <c r="W43" s="19">
        <f>'Value Segment'!R43+'Mid-Market Segment'!R43+'Upper Mid-Market Segment'!R43+'Premium Segment'!R43+'Closures Overlay'!R43+'Disposals Overlay'!R43</f>
        <v>858493.41422128771</v>
      </c>
      <c r="X43" s="19">
        <f>'Value Segment'!S43+'Mid-Market Segment'!S43+'Upper Mid-Market Segment'!S43+'Premium Segment'!S43+'Closures Overlay'!S43+'Disposals Overlay'!S43</f>
        <v>858493.41422128771</v>
      </c>
      <c r="Y43" s="19">
        <f>'Value Segment'!T43+'Mid-Market Segment'!T43+'Upper Mid-Market Segment'!T43+'Premium Segment'!T43+'Closures Overlay'!T43+'Disposals Overlay'!T43</f>
        <v>858493.41422128771</v>
      </c>
      <c r="Z43" s="19">
        <f>'Value Segment'!U43+'Mid-Market Segment'!U43+'Upper Mid-Market Segment'!U43+'Premium Segment'!U43+'Closures Overlay'!U43+'Disposals Overlay'!U43</f>
        <v>858493.41422128771</v>
      </c>
      <c r="AA43" s="19">
        <f>'Value Segment'!V43+'Mid-Market Segment'!V43+'Upper Mid-Market Segment'!V43+'Premium Segment'!V43+'Closures Overlay'!V43+'Disposals Overlay'!V43</f>
        <v>858493.41422128771</v>
      </c>
      <c r="AB43" s="19">
        <f>'Value Segment'!W43+'Mid-Market Segment'!W43+'Upper Mid-Market Segment'!W43+'Premium Segment'!W43+'Closures Overlay'!W43+'Disposals Overlay'!W43</f>
        <v>835446.6111549444</v>
      </c>
      <c r="AC43" s="19">
        <f>'Value Segment'!X43+'Mid-Market Segment'!X43+'Upper Mid-Market Segment'!X43+'Premium Segment'!X43+'Closures Overlay'!X43+'Disposals Overlay'!X43</f>
        <v>862412.29823413736</v>
      </c>
      <c r="AD43" s="19">
        <f>'Value Segment'!Y43+'Mid-Market Segment'!Y43+'Upper Mid-Market Segment'!Y43+'Premium Segment'!Y43+'Closures Overlay'!Y43+'Disposals Overlay'!Y43</f>
        <v>862412.29823413736</v>
      </c>
      <c r="AE43" s="19">
        <f>'Value Segment'!Z43+'Mid-Market Segment'!Z43+'Upper Mid-Market Segment'!Z43+'Premium Segment'!Z43+'Closures Overlay'!Z43+'Disposals Overlay'!Z43</f>
        <v>862412.29823413736</v>
      </c>
      <c r="AF43" s="19">
        <f>'Value Segment'!AA43+'Mid-Market Segment'!AA43+'Upper Mid-Market Segment'!AA43+'Premium Segment'!AA43+'Closures Overlay'!AA43+'Disposals Overlay'!AA43</f>
        <v>862412.29823413736</v>
      </c>
      <c r="AG43" s="19">
        <f>'Value Segment'!AB43+'Mid-Market Segment'!AB43+'Upper Mid-Market Segment'!AB43+'Premium Segment'!AB43+'Closures Overlay'!AB43+'Disposals Overlay'!AB43</f>
        <v>862412.29823413736</v>
      </c>
      <c r="AH43" s="19">
        <f>'Value Segment'!AC43+'Mid-Market Segment'!AC43+'Upper Mid-Market Segment'!AC43+'Premium Segment'!AC43+'Closures Overlay'!AC43+'Disposals Overlay'!AC43</f>
        <v>838621.61414491979</v>
      </c>
      <c r="AI43" s="19">
        <f>'Value Segment'!AD43+'Mid-Market Segment'!AD43+'Upper Mid-Market Segment'!AD43+'Premium Segment'!AD43+'Closures Overlay'!AD43+'Disposals Overlay'!AD43</f>
        <v>855638.25986853731</v>
      </c>
      <c r="AJ43" s="19">
        <f>'Value Segment'!AE43+'Mid-Market Segment'!AE43+'Upper Mid-Market Segment'!AE43+'Premium Segment'!AE43+'Closures Overlay'!AE43+'Disposals Overlay'!AE43</f>
        <v>855638.25986853731</v>
      </c>
      <c r="AK43" s="19">
        <f>'Value Segment'!AF43+'Mid-Market Segment'!AF43+'Upper Mid-Market Segment'!AF43+'Premium Segment'!AF43+'Closures Overlay'!AF43+'Disposals Overlay'!AF43</f>
        <v>855638.25986853731</v>
      </c>
      <c r="AL43" s="19">
        <f>'Value Segment'!AG43+'Mid-Market Segment'!AG43+'Upper Mid-Market Segment'!AG43+'Premium Segment'!AG43+'Closures Overlay'!AG43+'Disposals Overlay'!AG43</f>
        <v>855638.25986853731</v>
      </c>
      <c r="AM43" s="19">
        <f>'Value Segment'!AH43+'Mid-Market Segment'!AH43+'Upper Mid-Market Segment'!AH43+'Premium Segment'!AH43+'Closures Overlay'!AH43+'Disposals Overlay'!AH43</f>
        <v>855638.25986853731</v>
      </c>
      <c r="AN43" s="19">
        <f>'Value Segment'!AI43+'Mid-Market Segment'!AI43+'Upper Mid-Market Segment'!AI43+'Premium Segment'!AI43+'Closures Overlay'!AI43+'Disposals Overlay'!AI43</f>
        <v>831364.83405666391</v>
      </c>
      <c r="AO43" s="19">
        <f>'Value Segment'!AJ43+'Mid-Market Segment'!AJ43+'Upper Mid-Market Segment'!AJ43+'Premium Segment'!AJ43+'Closures Overlay'!AJ43+'Disposals Overlay'!AJ43</f>
        <v>864129.4496682121</v>
      </c>
      <c r="AP43" s="19">
        <f>'Value Segment'!AK43+'Mid-Market Segment'!AK43+'Upper Mid-Market Segment'!AK43+'Premium Segment'!AK43+'Closures Overlay'!AK43+'Disposals Overlay'!AK43</f>
        <v>864129.4496682121</v>
      </c>
      <c r="AQ43" s="19">
        <f>'Value Segment'!AL43+'Mid-Market Segment'!AL43+'Upper Mid-Market Segment'!AL43+'Premium Segment'!AL43+'Closures Overlay'!AL43+'Disposals Overlay'!AL43</f>
        <v>864129.4496682121</v>
      </c>
      <c r="AR43" s="19">
        <f>'Value Segment'!AM43+'Mid-Market Segment'!AM43+'Upper Mid-Market Segment'!AM43+'Premium Segment'!AM43+'Closures Overlay'!AM43+'Disposals Overlay'!AM43</f>
        <v>864129.4496682121</v>
      </c>
      <c r="AS43" s="19">
        <f>'Value Segment'!AN43+'Mid-Market Segment'!AN43+'Upper Mid-Market Segment'!AN43+'Premium Segment'!AN43+'Closures Overlay'!AN43+'Disposals Overlay'!AN43</f>
        <v>864129.4496682121</v>
      </c>
      <c r="AT43" s="19">
        <f>'Value Segment'!AO43+'Mid-Market Segment'!AO43+'Upper Mid-Market Segment'!AO43+'Premium Segment'!AO43+'Closures Overlay'!AO43+'Disposals Overlay'!AO43</f>
        <v>838899.39274359273</v>
      </c>
      <c r="AU43" s="19">
        <f>'Value Segment'!AP43+'Mid-Market Segment'!AP43+'Upper Mid-Market Segment'!AP43+'Premium Segment'!AP43+'Closures Overlay'!AP43+'Disposals Overlay'!AP43</f>
        <v>848982.84274563391</v>
      </c>
      <c r="AV43" s="19">
        <f>'Value Segment'!AQ43+'Mid-Market Segment'!AQ43+'Upper Mid-Market Segment'!AQ43+'Premium Segment'!AQ43+'Closures Overlay'!AQ43+'Disposals Overlay'!AQ43</f>
        <v>848982.84274563391</v>
      </c>
      <c r="AW43" s="19">
        <f>'Value Segment'!AR43+'Mid-Market Segment'!AR43+'Upper Mid-Market Segment'!AR43+'Premium Segment'!AR43+'Closures Overlay'!AR43+'Disposals Overlay'!AR43</f>
        <v>848982.84274563391</v>
      </c>
      <c r="AX43" s="19">
        <f>'Value Segment'!AS43+'Mid-Market Segment'!AS43+'Upper Mid-Market Segment'!AS43+'Premium Segment'!AS43+'Closures Overlay'!AS43+'Disposals Overlay'!AS43</f>
        <v>848982.84274563391</v>
      </c>
      <c r="AY43" s="19">
        <f>'Value Segment'!AT43+'Mid-Market Segment'!AT43+'Upper Mid-Market Segment'!AT43+'Premium Segment'!AT43+'Closures Overlay'!AT43+'Disposals Overlay'!AT43</f>
        <v>848982.84274563391</v>
      </c>
      <c r="AZ43" s="19">
        <f>'Value Segment'!AU43+'Mid-Market Segment'!AU43+'Upper Mid-Market Segment'!AU43+'Premium Segment'!AU43+'Closures Overlay'!AU43+'Disposals Overlay'!AU43</f>
        <v>823449.52416681778</v>
      </c>
      <c r="BA43" s="19">
        <f>'Value Segment'!AV43+'Mid-Market Segment'!AV43+'Upper Mid-Market Segment'!AV43+'Premium Segment'!AV43+'Closures Overlay'!AV43+'Disposals Overlay'!AV43</f>
        <v>861622.7769195037</v>
      </c>
      <c r="BB43" s="19">
        <f>'Value Segment'!AW43+'Mid-Market Segment'!AW43+'Upper Mid-Market Segment'!AW43+'Premium Segment'!AW43+'Closures Overlay'!AW43+'Disposals Overlay'!AW43</f>
        <v>861622.7769195037</v>
      </c>
      <c r="BC43" s="19">
        <f>'Value Segment'!AX43+'Mid-Market Segment'!AX43+'Upper Mid-Market Segment'!AX43+'Premium Segment'!AX43+'Closures Overlay'!AX43+'Disposals Overlay'!AX43</f>
        <v>861622.7769195037</v>
      </c>
      <c r="BD43" s="19">
        <f>'Value Segment'!AY43+'Mid-Market Segment'!AY43+'Upper Mid-Market Segment'!AY43+'Premium Segment'!AY43+'Closures Overlay'!AY43+'Disposals Overlay'!AY43</f>
        <v>861622.7769195037</v>
      </c>
      <c r="BE43" s="19">
        <f>'Value Segment'!AZ43+'Mid-Market Segment'!AZ43+'Upper Mid-Market Segment'!AZ43+'Premium Segment'!AZ43+'Closures Overlay'!AZ43+'Disposals Overlay'!AZ43</f>
        <v>861622.7769195037</v>
      </c>
      <c r="BF43" s="19">
        <f>'Value Segment'!BA43+'Mid-Market Segment'!BA43+'Upper Mid-Market Segment'!BA43+'Premium Segment'!BA43+'Closures Overlay'!BA43+'Disposals Overlay'!BA43</f>
        <v>834905.79158866638</v>
      </c>
      <c r="BG43" s="19">
        <f>'Value Segment'!BB43+'Mid-Market Segment'!BB43+'Upper Mid-Market Segment'!BB43+'Premium Segment'!BB43+'Closures Overlay'!BB43+'Disposals Overlay'!BB43</f>
        <v>837508.70736457524</v>
      </c>
      <c r="BH43" s="19">
        <f>'Value Segment'!BC43+'Mid-Market Segment'!BC43+'Upper Mid-Market Segment'!BC43+'Premium Segment'!BC43+'Closures Overlay'!BC43+'Disposals Overlay'!BC43</f>
        <v>837508.70736457524</v>
      </c>
      <c r="BI43" s="19">
        <f>'Value Segment'!BD43+'Mid-Market Segment'!BD43+'Upper Mid-Market Segment'!BD43+'Premium Segment'!BD43+'Closures Overlay'!BD43+'Disposals Overlay'!BD43</f>
        <v>837508.70736457524</v>
      </c>
      <c r="BJ43" s="19">
        <f>'Value Segment'!BE43+'Mid-Market Segment'!BE43+'Upper Mid-Market Segment'!BE43+'Premium Segment'!BE43+'Closures Overlay'!BE43+'Disposals Overlay'!BE43</f>
        <v>837508.70736457524</v>
      </c>
      <c r="BK43" s="19">
        <f>'Value Segment'!BF43+'Mid-Market Segment'!BF43+'Upper Mid-Market Segment'!BF43+'Premium Segment'!BF43+'Closures Overlay'!BF43+'Disposals Overlay'!BF43</f>
        <v>837508.70736457524</v>
      </c>
      <c r="BL43" s="19">
        <f>'Value Segment'!BG43+'Mid-Market Segment'!BG43+'Upper Mid-Market Segment'!BG43+'Premium Segment'!BG43+'Closures Overlay'!BG43+'Disposals Overlay'!BG43</f>
        <v>810708.42872890877</v>
      </c>
      <c r="BM43" s="19">
        <f>'Value Segment'!BH43+'Mid-Market Segment'!BH43+'Upper Mid-Market Segment'!BH43+'Premium Segment'!BH43+'Closures Overlay'!BH43+'Disposals Overlay'!BH43</f>
        <v>853823.35991992697</v>
      </c>
      <c r="BN43" s="19">
        <f>'Value Segment'!BI43+'Mid-Market Segment'!BI43+'Upper Mid-Market Segment'!BI43+'Premium Segment'!BI43+'Closures Overlay'!BI43+'Disposals Overlay'!BI43</f>
        <v>853823.35991992697</v>
      </c>
      <c r="BO43" s="19">
        <f>'Value Segment'!BJ43+'Mid-Market Segment'!BJ43+'Upper Mid-Market Segment'!BJ43+'Premium Segment'!BJ43+'Closures Overlay'!BJ43+'Disposals Overlay'!BJ43</f>
        <v>853823.35991992697</v>
      </c>
      <c r="BP43" s="19">
        <f>'Value Segment'!BK43+'Mid-Market Segment'!BK43+'Upper Mid-Market Segment'!BK43+'Premium Segment'!BK43+'Closures Overlay'!BK43+'Disposals Overlay'!BK43</f>
        <v>853823.35991992697</v>
      </c>
      <c r="BQ43" s="19">
        <f>'Value Segment'!BL43+'Mid-Market Segment'!BL43+'Upper Mid-Market Segment'!BL43+'Premium Segment'!BL43+'Closures Overlay'!BL43+'Disposals Overlay'!BL43</f>
        <v>853823.35991992697</v>
      </c>
      <c r="BR43" s="19">
        <f>'Value Segment'!BM43+'Mid-Market Segment'!BM43+'Upper Mid-Market Segment'!BM43+'Premium Segment'!BM43+'Closures Overlay'!BM43+'Disposals Overlay'!BM43</f>
        <v>825597.7943027392</v>
      </c>
      <c r="BS43" s="19">
        <f>'Value Segment'!BN43+'Mid-Market Segment'!BN43+'Upper Mid-Market Segment'!BN43+'Premium Segment'!BN43+'Closures Overlay'!BN43+'Disposals Overlay'!BN43</f>
        <v>822166.47741440206</v>
      </c>
      <c r="BT43" s="19">
        <f>'Value Segment'!BO43+'Mid-Market Segment'!BO43+'Upper Mid-Market Segment'!BO43+'Premium Segment'!BO43+'Closures Overlay'!BO43+'Disposals Overlay'!BO43</f>
        <v>822166.47741440206</v>
      </c>
      <c r="BU43" s="19">
        <f>'Value Segment'!BP43+'Mid-Market Segment'!BP43+'Upper Mid-Market Segment'!BP43+'Premium Segment'!BP43+'Closures Overlay'!BP43+'Disposals Overlay'!BP43</f>
        <v>822166.47741440206</v>
      </c>
      <c r="BV43" s="19">
        <f>'Value Segment'!BQ43+'Mid-Market Segment'!BQ43+'Upper Mid-Market Segment'!BQ43+'Premium Segment'!BQ43+'Closures Overlay'!BQ43+'Disposals Overlay'!BQ43</f>
        <v>822166.47741440206</v>
      </c>
      <c r="BW43" s="19">
        <f>'Value Segment'!BR43+'Mid-Market Segment'!BR43+'Upper Mid-Market Segment'!BR43+'Premium Segment'!BR43+'Closures Overlay'!BR43+'Disposals Overlay'!BR43</f>
        <v>822166.47741440206</v>
      </c>
      <c r="BX43" s="19">
        <f>'Value Segment'!BS43+'Mid-Market Segment'!BS43+'Upper Mid-Market Segment'!BS43+'Premium Segment'!BS43+'Closures Overlay'!BS43+'Disposals Overlay'!BS43</f>
        <v>794058.2217763029</v>
      </c>
      <c r="BY43" s="19">
        <f>'Value Segment'!BT43+'Mid-Market Segment'!BT43+'Upper Mid-Market Segment'!BT43+'Premium Segment'!BT43+'Closures Overlay'!BT43+'Disposals Overlay'!BT43</f>
        <v>841580.45395657606</v>
      </c>
      <c r="BZ43" s="19">
        <f>'Value Segment'!BU43+'Mid-Market Segment'!BU43+'Upper Mid-Market Segment'!BU43+'Premium Segment'!BU43+'Closures Overlay'!BU43+'Disposals Overlay'!BU43</f>
        <v>841580.45395657606</v>
      </c>
      <c r="CA43" s="19">
        <f>'Value Segment'!BV43+'Mid-Market Segment'!BV43+'Upper Mid-Market Segment'!BV43+'Premium Segment'!BV43+'Closures Overlay'!BV43+'Disposals Overlay'!BV43</f>
        <v>841580.45395657606</v>
      </c>
      <c r="CB43" s="19">
        <f>'Value Segment'!BW43+'Mid-Market Segment'!BW43+'Upper Mid-Market Segment'!BW43+'Premium Segment'!BW43+'Closures Overlay'!BW43+'Disposals Overlay'!BW43</f>
        <v>841580.45395657606</v>
      </c>
      <c r="CC43" s="19">
        <f>'Value Segment'!BX43+'Mid-Market Segment'!BX43+'Upper Mid-Market Segment'!BX43+'Premium Segment'!BX43+'Closures Overlay'!BX43+'Disposals Overlay'!BX43</f>
        <v>841580.45395657606</v>
      </c>
      <c r="CD43" s="19">
        <f>'Value Segment'!BY43+'Mid-Market Segment'!BY43+'Upper Mid-Market Segment'!BY43+'Premium Segment'!BY43+'Closures Overlay'!BY43+'Disposals Overlay'!BY43</f>
        <v>811789.9954094406</v>
      </c>
      <c r="CG43" s="8"/>
    </row>
    <row r="44" spans="1:85" x14ac:dyDescent="0.3">
      <c r="A44" s="7"/>
      <c r="B44" s="1"/>
      <c r="C44" s="40"/>
      <c r="D44" s="2"/>
      <c r="E44" s="2" t="s">
        <v>14</v>
      </c>
      <c r="F44" s="54"/>
      <c r="G44" s="54"/>
      <c r="H44" s="54"/>
      <c r="I44" s="67">
        <v>830152.58</v>
      </c>
      <c r="J44" s="67">
        <v>936509.88</v>
      </c>
      <c r="K44" s="67">
        <v>1077382.8600000006</v>
      </c>
      <c r="L44" s="67">
        <v>1184090.3799999994</v>
      </c>
      <c r="M44" s="54"/>
      <c r="N44" s="19">
        <f>'Value Segment'!I44+'Mid-Market Segment'!I44+'Upper Mid-Market Segment'!I44+'Premium Segment'!I44+'Closures Overlay'!I44+'Disposals Overlay'!I44</f>
        <v>1310139.5626913544</v>
      </c>
      <c r="O44" s="19">
        <f>'Value Segment'!J44+'Mid-Market Segment'!J44+'Upper Mid-Market Segment'!J44+'Premium Segment'!J44+'Closures Overlay'!J44+'Disposals Overlay'!J44</f>
        <v>1331889.6588867037</v>
      </c>
      <c r="P44" s="19">
        <f>'Value Segment'!K44+'Mid-Market Segment'!K44+'Upper Mid-Market Segment'!K44+'Premium Segment'!K44+'Closures Overlay'!K44+'Disposals Overlay'!K44</f>
        <v>1300873.8525099216</v>
      </c>
      <c r="Q44" s="19">
        <f>'Value Segment'!L44+'Mid-Market Segment'!L44+'Upper Mid-Market Segment'!L44+'Premium Segment'!L44+'Closures Overlay'!L44+'Disposals Overlay'!L44</f>
        <v>1264678.8064860431</v>
      </c>
      <c r="R44" s="19">
        <f>'Value Segment'!M44+'Mid-Market Segment'!M44+'Upper Mid-Market Segment'!M44+'Premium Segment'!M44+'Closures Overlay'!M44+'Disposals Overlay'!M44</f>
        <v>1217641.2912340893</v>
      </c>
      <c r="S44" s="19">
        <f>'Value Segment'!N44+'Mid-Market Segment'!N44+'Upper Mid-Market Segment'!N44+'Premium Segment'!N44+'Closures Overlay'!N44+'Disposals Overlay'!N44</f>
        <v>1162620.804864252</v>
      </c>
      <c r="T44" s="37"/>
      <c r="U44" s="50">
        <f>IFERROR(((S44/N44)^(1/5))-1,0)</f>
        <v>-2.3608239684611121E-2</v>
      </c>
      <c r="W44" s="19">
        <f>'Value Segment'!R44+'Mid-Market Segment'!R44+'Upper Mid-Market Segment'!R44+'Premium Segment'!R44+'Closures Overlay'!R44+'Disposals Overlay'!R44</f>
        <v>113013.41638617245</v>
      </c>
      <c r="X44" s="19">
        <f>'Value Segment'!S44+'Mid-Market Segment'!S44+'Upper Mid-Market Segment'!S44+'Premium Segment'!S44+'Closures Overlay'!S44+'Disposals Overlay'!S44</f>
        <v>113013.41638617245</v>
      </c>
      <c r="Y44" s="19">
        <f>'Value Segment'!T44+'Mid-Market Segment'!T44+'Upper Mid-Market Segment'!T44+'Premium Segment'!T44+'Closures Overlay'!T44+'Disposals Overlay'!T44</f>
        <v>113013.41638617245</v>
      </c>
      <c r="Z44" s="19">
        <f>'Value Segment'!U44+'Mid-Market Segment'!U44+'Upper Mid-Market Segment'!U44+'Premium Segment'!U44+'Closures Overlay'!U44+'Disposals Overlay'!U44</f>
        <v>113013.41638617245</v>
      </c>
      <c r="AA44" s="19">
        <f>'Value Segment'!V44+'Mid-Market Segment'!V44+'Upper Mid-Market Segment'!V44+'Premium Segment'!V44+'Closures Overlay'!V44+'Disposals Overlay'!V44</f>
        <v>113013.41638617245</v>
      </c>
      <c r="AB44" s="19">
        <f>'Value Segment'!W44+'Mid-Market Segment'!W44+'Upper Mid-Market Segment'!W44+'Premium Segment'!W44+'Closures Overlay'!W44+'Disposals Overlay'!W44</f>
        <v>109979.49916775171</v>
      </c>
      <c r="AC44" s="19">
        <f>'Value Segment'!X44+'Mid-Market Segment'!X44+'Upper Mid-Market Segment'!X44+'Premium Segment'!X44+'Closures Overlay'!X44+'Disposals Overlay'!X44</f>
        <v>109979.49916775171</v>
      </c>
      <c r="AD44" s="19">
        <f>'Value Segment'!Y44+'Mid-Market Segment'!Y44+'Upper Mid-Market Segment'!Y44+'Premium Segment'!Y44+'Closures Overlay'!Y44+'Disposals Overlay'!Y44</f>
        <v>109979.49916775171</v>
      </c>
      <c r="AE44" s="19">
        <f>'Value Segment'!Z44+'Mid-Market Segment'!Z44+'Upper Mid-Market Segment'!Z44+'Premium Segment'!Z44+'Closures Overlay'!Z44+'Disposals Overlay'!Z44</f>
        <v>109979.49916775171</v>
      </c>
      <c r="AF44" s="19">
        <f>'Value Segment'!AA44+'Mid-Market Segment'!AA44+'Upper Mid-Market Segment'!AA44+'Premium Segment'!AA44+'Closures Overlay'!AA44+'Disposals Overlay'!AA44</f>
        <v>109979.49916775171</v>
      </c>
      <c r="AG44" s="19">
        <f>'Value Segment'!AB44+'Mid-Market Segment'!AB44+'Upper Mid-Market Segment'!AB44+'Premium Segment'!AB44+'Closures Overlay'!AB44+'Disposals Overlay'!AB44</f>
        <v>109979.49916775171</v>
      </c>
      <c r="AH44" s="19">
        <f>'Value Segment'!AC44+'Mid-Market Segment'!AC44+'Upper Mid-Market Segment'!AC44+'Premium Segment'!AC44+'Closures Overlay'!AC44+'Disposals Overlay'!AC44</f>
        <v>106945.58194933098</v>
      </c>
      <c r="AI44" s="19">
        <f>'Value Segment'!AD44+'Mid-Market Segment'!AD44+'Upper Mid-Market Segment'!AD44+'Premium Segment'!AD44+'Closures Overlay'!AD44+'Disposals Overlay'!AD44</f>
        <v>110495.91156861382</v>
      </c>
      <c r="AJ44" s="19">
        <f>'Value Segment'!AE44+'Mid-Market Segment'!AE44+'Upper Mid-Market Segment'!AE44+'Premium Segment'!AE44+'Closures Overlay'!AE44+'Disposals Overlay'!AE44</f>
        <v>110495.91156861382</v>
      </c>
      <c r="AK44" s="19">
        <f>'Value Segment'!AF44+'Mid-Market Segment'!AF44+'Upper Mid-Market Segment'!AF44+'Premium Segment'!AF44+'Closures Overlay'!AF44+'Disposals Overlay'!AF44</f>
        <v>110495.91156861382</v>
      </c>
      <c r="AL44" s="19">
        <f>'Value Segment'!AG44+'Mid-Market Segment'!AG44+'Upper Mid-Market Segment'!AG44+'Premium Segment'!AG44+'Closures Overlay'!AG44+'Disposals Overlay'!AG44</f>
        <v>110495.91156861382</v>
      </c>
      <c r="AM44" s="19">
        <f>'Value Segment'!AH44+'Mid-Market Segment'!AH44+'Upper Mid-Market Segment'!AH44+'Premium Segment'!AH44+'Closures Overlay'!AH44+'Disposals Overlay'!AH44</f>
        <v>110495.91156861382</v>
      </c>
      <c r="AN44" s="19">
        <f>'Value Segment'!AI44+'Mid-Market Segment'!AI44+'Upper Mid-Market Segment'!AI44+'Premium Segment'!AI44+'Closures Overlay'!AI44+'Disposals Overlay'!AI44</f>
        <v>107361.27577943329</v>
      </c>
      <c r="AO44" s="19">
        <f>'Value Segment'!AJ44+'Mid-Market Segment'!AJ44+'Upper Mid-Market Segment'!AJ44+'Premium Segment'!AJ44+'Closures Overlay'!AJ44+'Disposals Overlay'!AJ44</f>
        <v>107361.27577943329</v>
      </c>
      <c r="AP44" s="19">
        <f>'Value Segment'!AK44+'Mid-Market Segment'!AK44+'Upper Mid-Market Segment'!AK44+'Premium Segment'!AK44+'Closures Overlay'!AK44+'Disposals Overlay'!AK44</f>
        <v>107361.27577943329</v>
      </c>
      <c r="AQ44" s="19">
        <f>'Value Segment'!AL44+'Mid-Market Segment'!AL44+'Upper Mid-Market Segment'!AL44+'Premium Segment'!AL44+'Closures Overlay'!AL44+'Disposals Overlay'!AL44</f>
        <v>107361.27577943329</v>
      </c>
      <c r="AR44" s="19">
        <f>'Value Segment'!AM44+'Mid-Market Segment'!AM44+'Upper Mid-Market Segment'!AM44+'Premium Segment'!AM44+'Closures Overlay'!AM44+'Disposals Overlay'!AM44</f>
        <v>107361.27577943329</v>
      </c>
      <c r="AS44" s="19">
        <f>'Value Segment'!AN44+'Mid-Market Segment'!AN44+'Upper Mid-Market Segment'!AN44+'Premium Segment'!AN44+'Closures Overlay'!AN44+'Disposals Overlay'!AN44</f>
        <v>107361.27577943329</v>
      </c>
      <c r="AT44" s="19">
        <f>'Value Segment'!AO44+'Mid-Market Segment'!AO44+'Upper Mid-Market Segment'!AO44+'Premium Segment'!AO44+'Closures Overlay'!AO44+'Disposals Overlay'!AO44</f>
        <v>104226.63999025275</v>
      </c>
      <c r="AU44" s="19">
        <f>'Value Segment'!AP44+'Mid-Market Segment'!AP44+'Upper Mid-Market Segment'!AP44+'Premium Segment'!AP44+'Closures Overlay'!AP44+'Disposals Overlay'!AP44</f>
        <v>107546.21564107656</v>
      </c>
      <c r="AV44" s="19">
        <f>'Value Segment'!AQ44+'Mid-Market Segment'!AQ44+'Upper Mid-Market Segment'!AQ44+'Premium Segment'!AQ44+'Closures Overlay'!AQ44+'Disposals Overlay'!AQ44</f>
        <v>107546.21564107656</v>
      </c>
      <c r="AW44" s="19">
        <f>'Value Segment'!AR44+'Mid-Market Segment'!AR44+'Upper Mid-Market Segment'!AR44+'Premium Segment'!AR44+'Closures Overlay'!AR44+'Disposals Overlay'!AR44</f>
        <v>107546.21564107656</v>
      </c>
      <c r="AX44" s="19">
        <f>'Value Segment'!AS44+'Mid-Market Segment'!AS44+'Upper Mid-Market Segment'!AS44+'Premium Segment'!AS44+'Closures Overlay'!AS44+'Disposals Overlay'!AS44</f>
        <v>107546.21564107656</v>
      </c>
      <c r="AY44" s="19">
        <f>'Value Segment'!AT44+'Mid-Market Segment'!AT44+'Upper Mid-Market Segment'!AT44+'Premium Segment'!AT44+'Closures Overlay'!AT44+'Disposals Overlay'!AT44</f>
        <v>107546.21564107656</v>
      </c>
      <c r="AZ44" s="19">
        <f>'Value Segment'!AU44+'Mid-Market Segment'!AU44+'Upper Mid-Market Segment'!AU44+'Premium Segment'!AU44+'Closures Overlay'!AU44+'Disposals Overlay'!AU44</f>
        <v>104311.74299021711</v>
      </c>
      <c r="BA44" s="19">
        <f>'Value Segment'!AV44+'Mid-Market Segment'!AV44+'Upper Mid-Market Segment'!AV44+'Premium Segment'!AV44+'Closures Overlay'!AV44+'Disposals Overlay'!AV44</f>
        <v>104311.74299021711</v>
      </c>
      <c r="BB44" s="19">
        <f>'Value Segment'!AW44+'Mid-Market Segment'!AW44+'Upper Mid-Market Segment'!AW44+'Premium Segment'!AW44+'Closures Overlay'!AW44+'Disposals Overlay'!AW44</f>
        <v>104311.74299021711</v>
      </c>
      <c r="BC44" s="19">
        <f>'Value Segment'!AX44+'Mid-Market Segment'!AX44+'Upper Mid-Market Segment'!AX44+'Premium Segment'!AX44+'Closures Overlay'!AX44+'Disposals Overlay'!AX44</f>
        <v>104311.74299021711</v>
      </c>
      <c r="BD44" s="19">
        <f>'Value Segment'!AY44+'Mid-Market Segment'!AY44+'Upper Mid-Market Segment'!AY44+'Premium Segment'!AY44+'Closures Overlay'!AY44+'Disposals Overlay'!AY44</f>
        <v>104311.74299021711</v>
      </c>
      <c r="BE44" s="19">
        <f>'Value Segment'!AZ44+'Mid-Market Segment'!AZ44+'Upper Mid-Market Segment'!AZ44+'Premium Segment'!AZ44+'Closures Overlay'!AZ44+'Disposals Overlay'!AZ44</f>
        <v>104311.74299021711</v>
      </c>
      <c r="BF44" s="19">
        <f>'Value Segment'!BA44+'Mid-Market Segment'!BA44+'Upper Mid-Market Segment'!BA44+'Premium Segment'!BA44+'Closures Overlay'!BA44+'Disposals Overlay'!BA44</f>
        <v>101077.27033935767</v>
      </c>
      <c r="BG44" s="19">
        <f>'Value Segment'!BB44+'Mid-Market Segment'!BB44+'Upper Mid-Market Segment'!BB44+'Premium Segment'!BB44+'Closures Overlay'!BB44+'Disposals Overlay'!BB44</f>
        <v>103681.99005739865</v>
      </c>
      <c r="BH44" s="19">
        <f>'Value Segment'!BC44+'Mid-Market Segment'!BC44+'Upper Mid-Market Segment'!BC44+'Premium Segment'!BC44+'Closures Overlay'!BC44+'Disposals Overlay'!BC44</f>
        <v>103681.99005739865</v>
      </c>
      <c r="BI44" s="19">
        <f>'Value Segment'!BD44+'Mid-Market Segment'!BD44+'Upper Mid-Market Segment'!BD44+'Premium Segment'!BD44+'Closures Overlay'!BD44+'Disposals Overlay'!BD44</f>
        <v>103681.99005739865</v>
      </c>
      <c r="BJ44" s="19">
        <f>'Value Segment'!BE44+'Mid-Market Segment'!BE44+'Upper Mid-Market Segment'!BE44+'Premium Segment'!BE44+'Closures Overlay'!BE44+'Disposals Overlay'!BE44</f>
        <v>103681.99005739865</v>
      </c>
      <c r="BK44" s="19">
        <f>'Value Segment'!BF44+'Mid-Market Segment'!BF44+'Upper Mid-Market Segment'!BF44+'Premium Segment'!BF44+'Closures Overlay'!BF44+'Disposals Overlay'!BF44</f>
        <v>103681.99005739865</v>
      </c>
      <c r="BL44" s="19">
        <f>'Value Segment'!BG44+'Mid-Market Segment'!BG44+'Upper Mid-Market Segment'!BG44+'Premium Segment'!BG44+'Closures Overlay'!BG44+'Disposals Overlay'!BG44</f>
        <v>100364.16637556189</v>
      </c>
      <c r="BM44" s="19">
        <f>'Value Segment'!BH44+'Mid-Market Segment'!BH44+'Upper Mid-Market Segment'!BH44+'Premium Segment'!BH44+'Closures Overlay'!BH44+'Disposals Overlay'!BH44</f>
        <v>100364.16637556189</v>
      </c>
      <c r="BN44" s="19">
        <f>'Value Segment'!BI44+'Mid-Market Segment'!BI44+'Upper Mid-Market Segment'!BI44+'Premium Segment'!BI44+'Closures Overlay'!BI44+'Disposals Overlay'!BI44</f>
        <v>100364.16637556189</v>
      </c>
      <c r="BO44" s="19">
        <f>'Value Segment'!BJ44+'Mid-Market Segment'!BJ44+'Upper Mid-Market Segment'!BJ44+'Premium Segment'!BJ44+'Closures Overlay'!BJ44+'Disposals Overlay'!BJ44</f>
        <v>100364.16637556189</v>
      </c>
      <c r="BP44" s="19">
        <f>'Value Segment'!BK44+'Mid-Market Segment'!BK44+'Upper Mid-Market Segment'!BK44+'Premium Segment'!BK44+'Closures Overlay'!BK44+'Disposals Overlay'!BK44</f>
        <v>100364.16637556189</v>
      </c>
      <c r="BQ44" s="19">
        <f>'Value Segment'!BL44+'Mid-Market Segment'!BL44+'Upper Mid-Market Segment'!BL44+'Premium Segment'!BL44+'Closures Overlay'!BL44+'Disposals Overlay'!BL44</f>
        <v>100364.16637556189</v>
      </c>
      <c r="BR44" s="19">
        <f>'Value Segment'!BM44+'Mid-Market Segment'!BM44+'Upper Mid-Market Segment'!BM44+'Premium Segment'!BM44+'Closures Overlay'!BM44+'Disposals Overlay'!BM44</f>
        <v>97046.342693725135</v>
      </c>
      <c r="BS44" s="19">
        <f>'Value Segment'!BN44+'Mid-Market Segment'!BN44+'Upper Mid-Market Segment'!BN44+'Premium Segment'!BN44+'Closures Overlay'!BN44+'Disposals Overlay'!BN44</f>
        <v>99144.777091193493</v>
      </c>
      <c r="BT44" s="19">
        <f>'Value Segment'!BO44+'Mid-Market Segment'!BO44+'Upper Mid-Market Segment'!BO44+'Premium Segment'!BO44+'Closures Overlay'!BO44+'Disposals Overlay'!BO44</f>
        <v>99144.777091193493</v>
      </c>
      <c r="BU44" s="19">
        <f>'Value Segment'!BP44+'Mid-Market Segment'!BP44+'Upper Mid-Market Segment'!BP44+'Premium Segment'!BP44+'Closures Overlay'!BP44+'Disposals Overlay'!BP44</f>
        <v>99144.777091193493</v>
      </c>
      <c r="BV44" s="19">
        <f>'Value Segment'!BQ44+'Mid-Market Segment'!BQ44+'Upper Mid-Market Segment'!BQ44+'Premium Segment'!BQ44+'Closures Overlay'!BQ44+'Disposals Overlay'!BQ44</f>
        <v>99144.777091193493</v>
      </c>
      <c r="BW44" s="19">
        <f>'Value Segment'!BR44+'Mid-Market Segment'!BR44+'Upper Mid-Market Segment'!BR44+'Premium Segment'!BR44+'Closures Overlay'!BR44+'Disposals Overlay'!BR44</f>
        <v>99144.777091193493</v>
      </c>
      <c r="BX44" s="19">
        <f>'Value Segment'!BS44+'Mid-Market Segment'!BS44+'Upper Mid-Market Segment'!BS44+'Premium Segment'!BS44+'Closures Overlay'!BS44+'Disposals Overlay'!BS44</f>
        <v>95755.212062434744</v>
      </c>
      <c r="BY44" s="19">
        <f>'Value Segment'!BT44+'Mid-Market Segment'!BT44+'Upper Mid-Market Segment'!BT44+'Premium Segment'!BT44+'Closures Overlay'!BT44+'Disposals Overlay'!BT44</f>
        <v>95755.212062434744</v>
      </c>
      <c r="BZ44" s="19">
        <f>'Value Segment'!BU44+'Mid-Market Segment'!BU44+'Upper Mid-Market Segment'!BU44+'Premium Segment'!BU44+'Closures Overlay'!BU44+'Disposals Overlay'!BU44</f>
        <v>95755.212062434744</v>
      </c>
      <c r="CA44" s="19">
        <f>'Value Segment'!BV44+'Mid-Market Segment'!BV44+'Upper Mid-Market Segment'!BV44+'Premium Segment'!BV44+'Closures Overlay'!BV44+'Disposals Overlay'!BV44</f>
        <v>95755.212062434744</v>
      </c>
      <c r="CB44" s="19">
        <f>'Value Segment'!BW44+'Mid-Market Segment'!BW44+'Upper Mid-Market Segment'!BW44+'Premium Segment'!BW44+'Closures Overlay'!BW44+'Disposals Overlay'!BW44</f>
        <v>95755.212062434744</v>
      </c>
      <c r="CC44" s="19">
        <f>'Value Segment'!BX44+'Mid-Market Segment'!BX44+'Upper Mid-Market Segment'!BX44+'Premium Segment'!BX44+'Closures Overlay'!BX44+'Disposals Overlay'!BX44</f>
        <v>95755.212062434744</v>
      </c>
      <c r="CD44" s="19">
        <f>'Value Segment'!BY44+'Mid-Market Segment'!BY44+'Upper Mid-Market Segment'!BY44+'Premium Segment'!BY44+'Closures Overlay'!BY44+'Disposals Overlay'!BY44</f>
        <v>92365.647033675996</v>
      </c>
      <c r="CG44" s="8"/>
    </row>
    <row r="45" spans="1:85" x14ac:dyDescent="0.3">
      <c r="A45" s="7"/>
      <c r="B45" s="1"/>
      <c r="C45" s="40"/>
      <c r="D45" s="2"/>
      <c r="E45" s="4" t="s">
        <v>26</v>
      </c>
      <c r="F45" s="5"/>
      <c r="G45" s="5"/>
      <c r="H45" s="5"/>
      <c r="I45" s="500">
        <f>SUM(I43:I44)</f>
        <v>10640229.570000006</v>
      </c>
      <c r="J45" s="500">
        <f>SUM(J43:J44)</f>
        <v>10946214.390000006</v>
      </c>
      <c r="K45" s="500">
        <f>SUM(K43:K44)</f>
        <v>11078997.529999994</v>
      </c>
      <c r="L45" s="500">
        <f>SUM(L43:L44)</f>
        <v>11173597.639999991</v>
      </c>
      <c r="M45" s="5"/>
      <c r="N45" s="500">
        <f t="shared" ref="N45:S45" si="27">SUM(N43:N44)</f>
        <v>11314202.737723859</v>
      </c>
      <c r="O45" s="500">
        <f t="shared" si="27"/>
        <v>11610486.446463693</v>
      </c>
      <c r="P45" s="500">
        <f t="shared" si="27"/>
        <v>11569976.626993924</v>
      </c>
      <c r="Q45" s="500">
        <f t="shared" si="27"/>
        <v>11476062.220567212</v>
      </c>
      <c r="R45" s="500">
        <f t="shared" si="27"/>
        <v>11310607.850688249</v>
      </c>
      <c r="S45" s="500">
        <f t="shared" si="27"/>
        <v>11087203.678904884</v>
      </c>
      <c r="T45" s="57"/>
      <c r="U45" s="55">
        <f>IFERROR(((S45/N45)^(1/5))-1,0)</f>
        <v>-4.0452347779752484E-3</v>
      </c>
      <c r="W45" s="500">
        <f>SUM(W43:W44)</f>
        <v>971506.83060746011</v>
      </c>
      <c r="X45" s="500">
        <f t="shared" ref="X45:CD45" si="28">SUM(X43:X44)</f>
        <v>971506.83060746011</v>
      </c>
      <c r="Y45" s="500">
        <f t="shared" si="28"/>
        <v>971506.83060746011</v>
      </c>
      <c r="Z45" s="500">
        <f t="shared" si="28"/>
        <v>971506.83060746011</v>
      </c>
      <c r="AA45" s="500">
        <f t="shared" si="28"/>
        <v>971506.83060746011</v>
      </c>
      <c r="AB45" s="500">
        <f t="shared" si="28"/>
        <v>945426.11032269616</v>
      </c>
      <c r="AC45" s="500">
        <f t="shared" si="28"/>
        <v>972391.79740188911</v>
      </c>
      <c r="AD45" s="500">
        <f t="shared" si="28"/>
        <v>972391.79740188911</v>
      </c>
      <c r="AE45" s="500">
        <f t="shared" si="28"/>
        <v>972391.79740188911</v>
      </c>
      <c r="AF45" s="500">
        <f t="shared" si="28"/>
        <v>972391.79740188911</v>
      </c>
      <c r="AG45" s="500">
        <f t="shared" si="28"/>
        <v>972391.79740188911</v>
      </c>
      <c r="AH45" s="500">
        <f t="shared" si="28"/>
        <v>945567.19609425077</v>
      </c>
      <c r="AI45" s="500">
        <f t="shared" si="28"/>
        <v>966134.17143715115</v>
      </c>
      <c r="AJ45" s="500">
        <f t="shared" si="28"/>
        <v>966134.17143715115</v>
      </c>
      <c r="AK45" s="500">
        <f t="shared" si="28"/>
        <v>966134.17143715115</v>
      </c>
      <c r="AL45" s="500">
        <f t="shared" si="28"/>
        <v>966134.17143715115</v>
      </c>
      <c r="AM45" s="500">
        <f t="shared" si="28"/>
        <v>966134.17143715115</v>
      </c>
      <c r="AN45" s="500">
        <f t="shared" si="28"/>
        <v>938726.10983609722</v>
      </c>
      <c r="AO45" s="500">
        <f t="shared" si="28"/>
        <v>971490.72544764541</v>
      </c>
      <c r="AP45" s="500">
        <f t="shared" si="28"/>
        <v>971490.72544764541</v>
      </c>
      <c r="AQ45" s="500">
        <f t="shared" si="28"/>
        <v>971490.72544764541</v>
      </c>
      <c r="AR45" s="500">
        <f t="shared" si="28"/>
        <v>971490.72544764541</v>
      </c>
      <c r="AS45" s="500">
        <f t="shared" si="28"/>
        <v>971490.72544764541</v>
      </c>
      <c r="AT45" s="500">
        <f t="shared" si="28"/>
        <v>943126.03273384552</v>
      </c>
      <c r="AU45" s="500">
        <f t="shared" si="28"/>
        <v>956529.05838671047</v>
      </c>
      <c r="AV45" s="500">
        <f t="shared" si="28"/>
        <v>956529.05838671047</v>
      </c>
      <c r="AW45" s="500">
        <f t="shared" si="28"/>
        <v>956529.05838671047</v>
      </c>
      <c r="AX45" s="500">
        <f t="shared" si="28"/>
        <v>956529.05838671047</v>
      </c>
      <c r="AY45" s="500">
        <f t="shared" si="28"/>
        <v>956529.05838671047</v>
      </c>
      <c r="AZ45" s="500">
        <f t="shared" si="28"/>
        <v>927761.26715703495</v>
      </c>
      <c r="BA45" s="500">
        <f t="shared" si="28"/>
        <v>965934.51990972087</v>
      </c>
      <c r="BB45" s="500">
        <f t="shared" si="28"/>
        <v>965934.51990972087</v>
      </c>
      <c r="BC45" s="500">
        <f t="shared" si="28"/>
        <v>965934.51990972087</v>
      </c>
      <c r="BD45" s="500">
        <f t="shared" si="28"/>
        <v>965934.51990972087</v>
      </c>
      <c r="BE45" s="500">
        <f t="shared" si="28"/>
        <v>965934.51990972087</v>
      </c>
      <c r="BF45" s="500">
        <f t="shared" si="28"/>
        <v>935983.06192802405</v>
      </c>
      <c r="BG45" s="500">
        <f t="shared" si="28"/>
        <v>941190.69742197392</v>
      </c>
      <c r="BH45" s="500">
        <f t="shared" si="28"/>
        <v>941190.69742197392</v>
      </c>
      <c r="BI45" s="500">
        <f t="shared" si="28"/>
        <v>941190.69742197392</v>
      </c>
      <c r="BJ45" s="500">
        <f t="shared" si="28"/>
        <v>941190.69742197392</v>
      </c>
      <c r="BK45" s="500">
        <f t="shared" si="28"/>
        <v>941190.69742197392</v>
      </c>
      <c r="BL45" s="500">
        <f t="shared" si="28"/>
        <v>911072.59510447062</v>
      </c>
      <c r="BM45" s="500">
        <f t="shared" si="28"/>
        <v>954187.52629548882</v>
      </c>
      <c r="BN45" s="500">
        <f t="shared" si="28"/>
        <v>954187.52629548882</v>
      </c>
      <c r="BO45" s="500">
        <f t="shared" si="28"/>
        <v>954187.52629548882</v>
      </c>
      <c r="BP45" s="500">
        <f t="shared" si="28"/>
        <v>954187.52629548882</v>
      </c>
      <c r="BQ45" s="500">
        <f t="shared" si="28"/>
        <v>954187.52629548882</v>
      </c>
      <c r="BR45" s="500">
        <f t="shared" si="28"/>
        <v>922644.13699646434</v>
      </c>
      <c r="BS45" s="500">
        <f t="shared" si="28"/>
        <v>921311.25450559554</v>
      </c>
      <c r="BT45" s="500">
        <f t="shared" si="28"/>
        <v>921311.25450559554</v>
      </c>
      <c r="BU45" s="500">
        <f t="shared" si="28"/>
        <v>921311.25450559554</v>
      </c>
      <c r="BV45" s="500">
        <f t="shared" si="28"/>
        <v>921311.25450559554</v>
      </c>
      <c r="BW45" s="500">
        <f t="shared" si="28"/>
        <v>921311.25450559554</v>
      </c>
      <c r="BX45" s="500">
        <f t="shared" si="28"/>
        <v>889813.43383873766</v>
      </c>
      <c r="BY45" s="500">
        <f t="shared" si="28"/>
        <v>937335.66601901082</v>
      </c>
      <c r="BZ45" s="500">
        <f t="shared" si="28"/>
        <v>937335.66601901082</v>
      </c>
      <c r="CA45" s="500">
        <f t="shared" si="28"/>
        <v>937335.66601901082</v>
      </c>
      <c r="CB45" s="500">
        <f t="shared" si="28"/>
        <v>937335.66601901082</v>
      </c>
      <c r="CC45" s="500">
        <f t="shared" si="28"/>
        <v>937335.66601901082</v>
      </c>
      <c r="CD45" s="500">
        <f t="shared" si="28"/>
        <v>904155.64244311664</v>
      </c>
      <c r="CG45" s="8"/>
    </row>
    <row r="46" spans="1:85" x14ac:dyDescent="0.3">
      <c r="A46" s="7"/>
      <c r="B46" s="1"/>
      <c r="C46" s="40"/>
      <c r="D46" s="2"/>
      <c r="E46" s="2"/>
      <c r="F46" s="37"/>
      <c r="G46" s="37"/>
      <c r="H46" s="37"/>
      <c r="I46" s="37"/>
      <c r="J46" s="37"/>
      <c r="K46" s="37"/>
      <c r="L46" s="37"/>
      <c r="M46" s="37"/>
      <c r="N46" s="37"/>
      <c r="O46" s="37"/>
      <c r="P46" s="37"/>
      <c r="Q46" s="37"/>
      <c r="R46" s="37"/>
      <c r="S46" s="37"/>
      <c r="T46" s="37"/>
      <c r="U46" s="35"/>
      <c r="W46" s="37"/>
      <c r="X46" s="37"/>
      <c r="Y46" s="37"/>
      <c r="Z46" s="37"/>
      <c r="AA46" s="37"/>
      <c r="AB46" s="37"/>
      <c r="AC46" s="37"/>
      <c r="AD46" s="37"/>
      <c r="AE46" s="37"/>
      <c r="AF46" s="37"/>
      <c r="AG46" s="37"/>
      <c r="AH46" s="37"/>
      <c r="AI46" s="37"/>
      <c r="AJ46" s="37"/>
      <c r="AK46" s="37"/>
      <c r="AL46" s="37"/>
      <c r="AM46" s="37"/>
      <c r="AN46" s="37"/>
      <c r="AO46" s="37"/>
      <c r="AP46" s="37"/>
      <c r="AQ46" s="37"/>
      <c r="AR46" s="37"/>
      <c r="AS46" s="37"/>
      <c r="AT46" s="37"/>
      <c r="AU46" s="37"/>
      <c r="AV46" s="37"/>
      <c r="AW46" s="37"/>
      <c r="AX46" s="37"/>
      <c r="AY46" s="37"/>
      <c r="AZ46" s="37"/>
      <c r="BA46" s="37"/>
      <c r="BB46" s="37"/>
      <c r="BC46" s="37"/>
      <c r="BD46" s="37"/>
      <c r="BE46" s="37"/>
      <c r="BF46" s="37"/>
      <c r="BG46" s="37"/>
      <c r="BH46" s="37"/>
      <c r="BI46" s="37"/>
      <c r="BJ46" s="37"/>
      <c r="BK46" s="37"/>
      <c r="BL46" s="37"/>
      <c r="BM46" s="37"/>
      <c r="BN46" s="37"/>
      <c r="BO46" s="37"/>
      <c r="BP46" s="37"/>
      <c r="BQ46" s="37"/>
      <c r="BR46" s="37"/>
      <c r="BS46" s="37"/>
      <c r="BT46" s="37"/>
      <c r="BU46" s="37"/>
      <c r="BV46" s="37"/>
      <c r="BW46" s="37"/>
      <c r="BX46" s="37"/>
      <c r="BY46" s="37"/>
      <c r="BZ46" s="37"/>
      <c r="CA46" s="37"/>
      <c r="CB46" s="37"/>
      <c r="CC46" s="37"/>
      <c r="CD46" s="37"/>
    </row>
    <row r="47" spans="1:85" x14ac:dyDescent="0.3">
      <c r="A47" s="7"/>
      <c r="B47" s="1"/>
      <c r="C47" s="40"/>
      <c r="D47" s="2"/>
      <c r="E47" s="17" t="s">
        <v>27</v>
      </c>
      <c r="F47" s="37"/>
      <c r="G47" s="37"/>
      <c r="H47" s="37"/>
      <c r="I47" s="37"/>
      <c r="J47" s="37"/>
      <c r="K47" s="37"/>
      <c r="L47" s="37"/>
      <c r="M47" s="37"/>
      <c r="N47" s="37"/>
      <c r="O47" s="37"/>
      <c r="P47" s="37"/>
      <c r="Q47" s="37"/>
      <c r="R47" s="37"/>
      <c r="S47" s="37"/>
      <c r="T47" s="37"/>
      <c r="U47" s="35"/>
      <c r="W47" s="37"/>
      <c r="X47" s="37"/>
      <c r="Y47" s="37"/>
      <c r="Z47" s="37"/>
      <c r="AA47" s="37"/>
      <c r="AB47" s="37"/>
      <c r="AC47" s="37"/>
      <c r="AD47" s="37"/>
      <c r="AE47" s="37"/>
      <c r="AF47" s="37"/>
      <c r="AG47" s="37"/>
      <c r="AH47" s="37"/>
      <c r="AI47" s="37"/>
      <c r="AJ47" s="37"/>
      <c r="AK47" s="37"/>
      <c r="AL47" s="37"/>
      <c r="AM47" s="37"/>
      <c r="AN47" s="37"/>
      <c r="AO47" s="37"/>
      <c r="AP47" s="37"/>
      <c r="AQ47" s="37"/>
      <c r="AR47" s="37"/>
      <c r="AS47" s="37"/>
      <c r="AT47" s="37"/>
      <c r="AU47" s="37"/>
      <c r="AV47" s="37"/>
      <c r="AW47" s="37"/>
      <c r="AX47" s="37"/>
      <c r="AY47" s="37"/>
      <c r="AZ47" s="37"/>
      <c r="BA47" s="37"/>
      <c r="BB47" s="37"/>
      <c r="BC47" s="37"/>
      <c r="BD47" s="37"/>
      <c r="BE47" s="37"/>
      <c r="BF47" s="37"/>
      <c r="BG47" s="37"/>
      <c r="BH47" s="37"/>
      <c r="BI47" s="37"/>
      <c r="BJ47" s="37"/>
      <c r="BK47" s="37"/>
      <c r="BL47" s="37"/>
      <c r="BM47" s="37"/>
      <c r="BN47" s="37"/>
      <c r="BO47" s="37"/>
      <c r="BP47" s="37"/>
      <c r="BQ47" s="37"/>
      <c r="BR47" s="37"/>
      <c r="BS47" s="37"/>
      <c r="BT47" s="37"/>
      <c r="BU47" s="37"/>
      <c r="BV47" s="37"/>
      <c r="BW47" s="37"/>
      <c r="BX47" s="37"/>
      <c r="BY47" s="37"/>
      <c r="BZ47" s="37"/>
      <c r="CA47" s="37"/>
      <c r="CB47" s="37"/>
      <c r="CC47" s="37"/>
      <c r="CD47" s="37"/>
    </row>
    <row r="48" spans="1:85" x14ac:dyDescent="0.3">
      <c r="A48" s="7"/>
      <c r="B48" s="1"/>
      <c r="C48" s="40"/>
      <c r="D48" s="2"/>
      <c r="E48" s="2" t="s">
        <v>28</v>
      </c>
      <c r="F48" s="54"/>
      <c r="G48" s="54"/>
      <c r="H48" s="54"/>
      <c r="I48" s="67">
        <v>62024.119999999966</v>
      </c>
      <c r="J48" s="67">
        <v>40176.540000000015</v>
      </c>
      <c r="K48" s="67">
        <v>49017.159999999989</v>
      </c>
      <c r="L48" s="67">
        <v>72800.27</v>
      </c>
      <c r="M48" s="54"/>
      <c r="N48" s="19">
        <f>'Value Segment'!I48+'Mid-Market Segment'!I48+'Upper Mid-Market Segment'!I48+'Premium Segment'!I48+'Closures Overlay'!I48+'Disposals Overlay'!I48</f>
        <v>21546.919025974021</v>
      </c>
      <c r="O48" s="19">
        <f>'Value Segment'!J48+'Mid-Market Segment'!J48+'Upper Mid-Market Segment'!J48+'Premium Segment'!J48+'Closures Overlay'!J48+'Disposals Overlay'!J48</f>
        <v>21161.291839826838</v>
      </c>
      <c r="P48" s="19">
        <f>'Value Segment'!K48+'Mid-Market Segment'!K48+'Upper Mid-Market Segment'!K48+'Premium Segment'!K48+'Closures Overlay'!K48+'Disposals Overlay'!K48</f>
        <v>20004.410281385281</v>
      </c>
      <c r="Q48" s="19">
        <f>'Value Segment'!L48+'Mid-Market Segment'!L48+'Upper Mid-Market Segment'!L48+'Premium Segment'!L48+'Closures Overlay'!L48+'Disposals Overlay'!L48</f>
        <v>18847.528722943724</v>
      </c>
      <c r="R48" s="19">
        <f>'Value Segment'!M48+'Mid-Market Segment'!M48+'Upper Mid-Market Segment'!M48+'Premium Segment'!M48+'Closures Overlay'!M48+'Disposals Overlay'!M48</f>
        <v>17690.647164502163</v>
      </c>
      <c r="S48" s="19">
        <f>'Value Segment'!N48+'Mid-Market Segment'!N48+'Upper Mid-Market Segment'!N48+'Premium Segment'!N48+'Closures Overlay'!N48+'Disposals Overlay'!N48</f>
        <v>16533.765606060606</v>
      </c>
      <c r="T48" s="37"/>
      <c r="U48" s="50">
        <f>IFERROR(((S48/N48)^(1/5))-1,0)</f>
        <v>-5.1587390652366949E-2</v>
      </c>
      <c r="W48" s="19">
        <f>'Value Segment'!R48+'Mid-Market Segment'!R48+'Upper Mid-Market Segment'!R48+'Premium Segment'!R48+'Closures Overlay'!R48+'Disposals Overlay'!R48</f>
        <v>1795.5765854978351</v>
      </c>
      <c r="X48" s="19">
        <f>'Value Segment'!S48+'Mid-Market Segment'!S48+'Upper Mid-Market Segment'!S48+'Premium Segment'!S48+'Closures Overlay'!S48+'Disposals Overlay'!S48</f>
        <v>1795.5765854978351</v>
      </c>
      <c r="Y48" s="19">
        <f>'Value Segment'!T48+'Mid-Market Segment'!T48+'Upper Mid-Market Segment'!T48+'Premium Segment'!T48+'Closures Overlay'!T48+'Disposals Overlay'!T48</f>
        <v>1795.5765854978351</v>
      </c>
      <c r="Z48" s="19">
        <f>'Value Segment'!U48+'Mid-Market Segment'!U48+'Upper Mid-Market Segment'!U48+'Premium Segment'!U48+'Closures Overlay'!U48+'Disposals Overlay'!U48</f>
        <v>1795.5765854978351</v>
      </c>
      <c r="AA48" s="19">
        <f>'Value Segment'!V48+'Mid-Market Segment'!V48+'Upper Mid-Market Segment'!V48+'Premium Segment'!V48+'Closures Overlay'!V48+'Disposals Overlay'!V48</f>
        <v>1795.5765854978351</v>
      </c>
      <c r="AB48" s="19">
        <f>'Value Segment'!W48+'Mid-Market Segment'!W48+'Upper Mid-Market Segment'!W48+'Premium Segment'!W48+'Closures Overlay'!W48+'Disposals Overlay'!W48</f>
        <v>1747.3731872294368</v>
      </c>
      <c r="AC48" s="19">
        <f>'Value Segment'!X48+'Mid-Market Segment'!X48+'Upper Mid-Market Segment'!X48+'Premium Segment'!X48+'Closures Overlay'!X48+'Disposals Overlay'!X48</f>
        <v>1747.3731872294368</v>
      </c>
      <c r="AD48" s="19">
        <f>'Value Segment'!Y48+'Mid-Market Segment'!Y48+'Upper Mid-Market Segment'!Y48+'Premium Segment'!Y48+'Closures Overlay'!Y48+'Disposals Overlay'!Y48</f>
        <v>1747.3731872294368</v>
      </c>
      <c r="AE48" s="19">
        <f>'Value Segment'!Z48+'Mid-Market Segment'!Z48+'Upper Mid-Market Segment'!Z48+'Premium Segment'!Z48+'Closures Overlay'!Z48+'Disposals Overlay'!Z48</f>
        <v>1747.3731872294368</v>
      </c>
      <c r="AF48" s="19">
        <f>'Value Segment'!AA48+'Mid-Market Segment'!AA48+'Upper Mid-Market Segment'!AA48+'Premium Segment'!AA48+'Closures Overlay'!AA48+'Disposals Overlay'!AA48</f>
        <v>1747.3731872294368</v>
      </c>
      <c r="AG48" s="19">
        <f>'Value Segment'!AB48+'Mid-Market Segment'!AB48+'Upper Mid-Market Segment'!AB48+'Premium Segment'!AB48+'Closures Overlay'!AB48+'Disposals Overlay'!AB48</f>
        <v>1747.3731872294368</v>
      </c>
      <c r="AH48" s="19">
        <f>'Value Segment'!AC48+'Mid-Market Segment'!AC48+'Upper Mid-Market Segment'!AC48+'Premium Segment'!AC48+'Closures Overlay'!AC48+'Disposals Overlay'!AC48</f>
        <v>1699.1697889610386</v>
      </c>
      <c r="AI48" s="19">
        <f>'Value Segment'!AD48+'Mid-Market Segment'!AD48+'Upper Mid-Market Segment'!AD48+'Premium Segment'!AD48+'Closures Overlay'!AD48+'Disposals Overlay'!AD48</f>
        <v>1699.1697889610386</v>
      </c>
      <c r="AJ48" s="19">
        <f>'Value Segment'!AE48+'Mid-Market Segment'!AE48+'Upper Mid-Market Segment'!AE48+'Premium Segment'!AE48+'Closures Overlay'!AE48+'Disposals Overlay'!AE48</f>
        <v>1699.1697889610386</v>
      </c>
      <c r="AK48" s="19">
        <f>'Value Segment'!AF48+'Mid-Market Segment'!AF48+'Upper Mid-Market Segment'!AF48+'Premium Segment'!AF48+'Closures Overlay'!AF48+'Disposals Overlay'!AF48</f>
        <v>1699.1697889610386</v>
      </c>
      <c r="AL48" s="19">
        <f>'Value Segment'!AG48+'Mid-Market Segment'!AG48+'Upper Mid-Market Segment'!AG48+'Premium Segment'!AG48+'Closures Overlay'!AG48+'Disposals Overlay'!AG48</f>
        <v>1699.1697889610386</v>
      </c>
      <c r="AM48" s="19">
        <f>'Value Segment'!AH48+'Mid-Market Segment'!AH48+'Upper Mid-Market Segment'!AH48+'Premium Segment'!AH48+'Closures Overlay'!AH48+'Disposals Overlay'!AH48</f>
        <v>1699.1697889610386</v>
      </c>
      <c r="AN48" s="19">
        <f>'Value Segment'!AI48+'Mid-Market Segment'!AI48+'Upper Mid-Market Segment'!AI48+'Premium Segment'!AI48+'Closures Overlay'!AI48+'Disposals Overlay'!AI48</f>
        <v>1650.9663906926403</v>
      </c>
      <c r="AO48" s="19">
        <f>'Value Segment'!AJ48+'Mid-Market Segment'!AJ48+'Upper Mid-Market Segment'!AJ48+'Premium Segment'!AJ48+'Closures Overlay'!AJ48+'Disposals Overlay'!AJ48</f>
        <v>1650.9663906926403</v>
      </c>
      <c r="AP48" s="19">
        <f>'Value Segment'!AK48+'Mid-Market Segment'!AK48+'Upper Mid-Market Segment'!AK48+'Premium Segment'!AK48+'Closures Overlay'!AK48+'Disposals Overlay'!AK48</f>
        <v>1650.9663906926403</v>
      </c>
      <c r="AQ48" s="19">
        <f>'Value Segment'!AL48+'Mid-Market Segment'!AL48+'Upper Mid-Market Segment'!AL48+'Premium Segment'!AL48+'Closures Overlay'!AL48+'Disposals Overlay'!AL48</f>
        <v>1650.9663906926403</v>
      </c>
      <c r="AR48" s="19">
        <f>'Value Segment'!AM48+'Mid-Market Segment'!AM48+'Upper Mid-Market Segment'!AM48+'Premium Segment'!AM48+'Closures Overlay'!AM48+'Disposals Overlay'!AM48</f>
        <v>1650.9663906926403</v>
      </c>
      <c r="AS48" s="19">
        <f>'Value Segment'!AN48+'Mid-Market Segment'!AN48+'Upper Mid-Market Segment'!AN48+'Premium Segment'!AN48+'Closures Overlay'!AN48+'Disposals Overlay'!AN48</f>
        <v>1650.9663906926403</v>
      </c>
      <c r="AT48" s="19">
        <f>'Value Segment'!AO48+'Mid-Market Segment'!AO48+'Upper Mid-Market Segment'!AO48+'Premium Segment'!AO48+'Closures Overlay'!AO48+'Disposals Overlay'!AO48</f>
        <v>1602.7629924242422</v>
      </c>
      <c r="AU48" s="19">
        <f>'Value Segment'!AP48+'Mid-Market Segment'!AP48+'Upper Mid-Market Segment'!AP48+'Premium Segment'!AP48+'Closures Overlay'!AP48+'Disposals Overlay'!AP48</f>
        <v>1602.7629924242422</v>
      </c>
      <c r="AV48" s="19">
        <f>'Value Segment'!AQ48+'Mid-Market Segment'!AQ48+'Upper Mid-Market Segment'!AQ48+'Premium Segment'!AQ48+'Closures Overlay'!AQ48+'Disposals Overlay'!AQ48</f>
        <v>1602.7629924242422</v>
      </c>
      <c r="AW48" s="19">
        <f>'Value Segment'!AR48+'Mid-Market Segment'!AR48+'Upper Mid-Market Segment'!AR48+'Premium Segment'!AR48+'Closures Overlay'!AR48+'Disposals Overlay'!AR48</f>
        <v>1602.7629924242422</v>
      </c>
      <c r="AX48" s="19">
        <f>'Value Segment'!AS48+'Mid-Market Segment'!AS48+'Upper Mid-Market Segment'!AS48+'Premium Segment'!AS48+'Closures Overlay'!AS48+'Disposals Overlay'!AS48</f>
        <v>1602.7629924242422</v>
      </c>
      <c r="AY48" s="19">
        <f>'Value Segment'!AT48+'Mid-Market Segment'!AT48+'Upper Mid-Market Segment'!AT48+'Premium Segment'!AT48+'Closures Overlay'!AT48+'Disposals Overlay'!AT48</f>
        <v>1602.7629924242422</v>
      </c>
      <c r="AZ48" s="19">
        <f>'Value Segment'!AU48+'Mid-Market Segment'!AU48+'Upper Mid-Market Segment'!AU48+'Premium Segment'!AU48+'Closures Overlay'!AU48+'Disposals Overlay'!AU48</f>
        <v>1554.5595941558438</v>
      </c>
      <c r="BA48" s="19">
        <f>'Value Segment'!AV48+'Mid-Market Segment'!AV48+'Upper Mid-Market Segment'!AV48+'Premium Segment'!AV48+'Closures Overlay'!AV48+'Disposals Overlay'!AV48</f>
        <v>1554.5595941558438</v>
      </c>
      <c r="BB48" s="19">
        <f>'Value Segment'!AW48+'Mid-Market Segment'!AW48+'Upper Mid-Market Segment'!AW48+'Premium Segment'!AW48+'Closures Overlay'!AW48+'Disposals Overlay'!AW48</f>
        <v>1554.5595941558438</v>
      </c>
      <c r="BC48" s="19">
        <f>'Value Segment'!AX48+'Mid-Market Segment'!AX48+'Upper Mid-Market Segment'!AX48+'Premium Segment'!AX48+'Closures Overlay'!AX48+'Disposals Overlay'!AX48</f>
        <v>1554.5595941558438</v>
      </c>
      <c r="BD48" s="19">
        <f>'Value Segment'!AY48+'Mid-Market Segment'!AY48+'Upper Mid-Market Segment'!AY48+'Premium Segment'!AY48+'Closures Overlay'!AY48+'Disposals Overlay'!AY48</f>
        <v>1554.5595941558438</v>
      </c>
      <c r="BE48" s="19">
        <f>'Value Segment'!AZ48+'Mid-Market Segment'!AZ48+'Upper Mid-Market Segment'!AZ48+'Premium Segment'!AZ48+'Closures Overlay'!AZ48+'Disposals Overlay'!AZ48</f>
        <v>1554.5595941558438</v>
      </c>
      <c r="BF48" s="19">
        <f>'Value Segment'!BA48+'Mid-Market Segment'!BA48+'Upper Mid-Market Segment'!BA48+'Premium Segment'!BA48+'Closures Overlay'!BA48+'Disposals Overlay'!BA48</f>
        <v>1506.3561958874457</v>
      </c>
      <c r="BG48" s="19">
        <f>'Value Segment'!BB48+'Mid-Market Segment'!BB48+'Upper Mid-Market Segment'!BB48+'Premium Segment'!BB48+'Closures Overlay'!BB48+'Disposals Overlay'!BB48</f>
        <v>1506.3561958874457</v>
      </c>
      <c r="BH48" s="19">
        <f>'Value Segment'!BC48+'Mid-Market Segment'!BC48+'Upper Mid-Market Segment'!BC48+'Premium Segment'!BC48+'Closures Overlay'!BC48+'Disposals Overlay'!BC48</f>
        <v>1506.3561958874457</v>
      </c>
      <c r="BI48" s="19">
        <f>'Value Segment'!BD48+'Mid-Market Segment'!BD48+'Upper Mid-Market Segment'!BD48+'Premium Segment'!BD48+'Closures Overlay'!BD48+'Disposals Overlay'!BD48</f>
        <v>1506.3561958874457</v>
      </c>
      <c r="BJ48" s="19">
        <f>'Value Segment'!BE48+'Mid-Market Segment'!BE48+'Upper Mid-Market Segment'!BE48+'Premium Segment'!BE48+'Closures Overlay'!BE48+'Disposals Overlay'!BE48</f>
        <v>1506.3561958874457</v>
      </c>
      <c r="BK48" s="19">
        <f>'Value Segment'!BF48+'Mid-Market Segment'!BF48+'Upper Mid-Market Segment'!BF48+'Premium Segment'!BF48+'Closures Overlay'!BF48+'Disposals Overlay'!BF48</f>
        <v>1506.3561958874457</v>
      </c>
      <c r="BL48" s="19">
        <f>'Value Segment'!BG48+'Mid-Market Segment'!BG48+'Upper Mid-Market Segment'!BG48+'Premium Segment'!BG48+'Closures Overlay'!BG48+'Disposals Overlay'!BG48</f>
        <v>1458.1527976190473</v>
      </c>
      <c r="BM48" s="19">
        <f>'Value Segment'!BH48+'Mid-Market Segment'!BH48+'Upper Mid-Market Segment'!BH48+'Premium Segment'!BH48+'Closures Overlay'!BH48+'Disposals Overlay'!BH48</f>
        <v>1458.1527976190473</v>
      </c>
      <c r="BN48" s="19">
        <f>'Value Segment'!BI48+'Mid-Market Segment'!BI48+'Upper Mid-Market Segment'!BI48+'Premium Segment'!BI48+'Closures Overlay'!BI48+'Disposals Overlay'!BI48</f>
        <v>1458.1527976190473</v>
      </c>
      <c r="BO48" s="19">
        <f>'Value Segment'!BJ48+'Mid-Market Segment'!BJ48+'Upper Mid-Market Segment'!BJ48+'Premium Segment'!BJ48+'Closures Overlay'!BJ48+'Disposals Overlay'!BJ48</f>
        <v>1458.1527976190473</v>
      </c>
      <c r="BP48" s="19">
        <f>'Value Segment'!BK48+'Mid-Market Segment'!BK48+'Upper Mid-Market Segment'!BK48+'Premium Segment'!BK48+'Closures Overlay'!BK48+'Disposals Overlay'!BK48</f>
        <v>1458.1527976190473</v>
      </c>
      <c r="BQ48" s="19">
        <f>'Value Segment'!BL48+'Mid-Market Segment'!BL48+'Upper Mid-Market Segment'!BL48+'Premium Segment'!BL48+'Closures Overlay'!BL48+'Disposals Overlay'!BL48</f>
        <v>1458.1527976190473</v>
      </c>
      <c r="BR48" s="19">
        <f>'Value Segment'!BM48+'Mid-Market Segment'!BM48+'Upper Mid-Market Segment'!BM48+'Premium Segment'!BM48+'Closures Overlay'!BM48+'Disposals Overlay'!BM48</f>
        <v>1409.9493993506489</v>
      </c>
      <c r="BS48" s="19">
        <f>'Value Segment'!BN48+'Mid-Market Segment'!BN48+'Upper Mid-Market Segment'!BN48+'Premium Segment'!BN48+'Closures Overlay'!BN48+'Disposals Overlay'!BN48</f>
        <v>1409.9493993506489</v>
      </c>
      <c r="BT48" s="19">
        <f>'Value Segment'!BO48+'Mid-Market Segment'!BO48+'Upper Mid-Market Segment'!BO48+'Premium Segment'!BO48+'Closures Overlay'!BO48+'Disposals Overlay'!BO48</f>
        <v>1409.9493993506489</v>
      </c>
      <c r="BU48" s="19">
        <f>'Value Segment'!BP48+'Mid-Market Segment'!BP48+'Upper Mid-Market Segment'!BP48+'Premium Segment'!BP48+'Closures Overlay'!BP48+'Disposals Overlay'!BP48</f>
        <v>1409.9493993506489</v>
      </c>
      <c r="BV48" s="19">
        <f>'Value Segment'!BQ48+'Mid-Market Segment'!BQ48+'Upper Mid-Market Segment'!BQ48+'Premium Segment'!BQ48+'Closures Overlay'!BQ48+'Disposals Overlay'!BQ48</f>
        <v>1409.9493993506489</v>
      </c>
      <c r="BW48" s="19">
        <f>'Value Segment'!BR48+'Mid-Market Segment'!BR48+'Upper Mid-Market Segment'!BR48+'Premium Segment'!BR48+'Closures Overlay'!BR48+'Disposals Overlay'!BR48</f>
        <v>1409.9493993506489</v>
      </c>
      <c r="BX48" s="19">
        <f>'Value Segment'!BS48+'Mid-Market Segment'!BS48+'Upper Mid-Market Segment'!BS48+'Premium Segment'!BS48+'Closures Overlay'!BS48+'Disposals Overlay'!BS48</f>
        <v>1361.7460010822508</v>
      </c>
      <c r="BY48" s="19">
        <f>'Value Segment'!BT48+'Mid-Market Segment'!BT48+'Upper Mid-Market Segment'!BT48+'Premium Segment'!BT48+'Closures Overlay'!BT48+'Disposals Overlay'!BT48</f>
        <v>1361.7460010822508</v>
      </c>
      <c r="BZ48" s="19">
        <f>'Value Segment'!BU48+'Mid-Market Segment'!BU48+'Upper Mid-Market Segment'!BU48+'Premium Segment'!BU48+'Closures Overlay'!BU48+'Disposals Overlay'!BU48</f>
        <v>1361.7460010822508</v>
      </c>
      <c r="CA48" s="19">
        <f>'Value Segment'!BV48+'Mid-Market Segment'!BV48+'Upper Mid-Market Segment'!BV48+'Premium Segment'!BV48+'Closures Overlay'!BV48+'Disposals Overlay'!BV48</f>
        <v>1361.7460010822508</v>
      </c>
      <c r="CB48" s="19">
        <f>'Value Segment'!BW48+'Mid-Market Segment'!BW48+'Upper Mid-Market Segment'!BW48+'Premium Segment'!BW48+'Closures Overlay'!BW48+'Disposals Overlay'!BW48</f>
        <v>1361.7460010822508</v>
      </c>
      <c r="CC48" s="19">
        <f>'Value Segment'!BX48+'Mid-Market Segment'!BX48+'Upper Mid-Market Segment'!BX48+'Premium Segment'!BX48+'Closures Overlay'!BX48+'Disposals Overlay'!BX48</f>
        <v>1361.7460010822508</v>
      </c>
      <c r="CD48" s="19">
        <f>'Value Segment'!BY48+'Mid-Market Segment'!BY48+'Upper Mid-Market Segment'!BY48+'Premium Segment'!BY48+'Closures Overlay'!BY48+'Disposals Overlay'!BY48</f>
        <v>1313.5426028138527</v>
      </c>
      <c r="CG48" s="8"/>
    </row>
    <row r="49" spans="1:85" x14ac:dyDescent="0.3">
      <c r="A49" s="7"/>
      <c r="B49" s="1"/>
      <c r="C49" s="40"/>
      <c r="D49" s="2"/>
      <c r="E49" s="2" t="s">
        <v>29</v>
      </c>
      <c r="F49" s="54"/>
      <c r="G49" s="54"/>
      <c r="H49" s="54"/>
      <c r="I49" s="67">
        <v>654114.37999999966</v>
      </c>
      <c r="J49" s="67">
        <v>622555.27000000014</v>
      </c>
      <c r="K49" s="67">
        <v>609523.55999999982</v>
      </c>
      <c r="L49" s="67">
        <v>612611.24999999977</v>
      </c>
      <c r="M49" s="54"/>
      <c r="N49" s="19">
        <f>'Value Segment'!I49+'Mid-Market Segment'!I49+'Upper Mid-Market Segment'!I49+'Premium Segment'!I49+'Closures Overlay'!I49+'Disposals Overlay'!I49</f>
        <v>621515.62372807995</v>
      </c>
      <c r="O49" s="19">
        <f>'Value Segment'!J49+'Mid-Market Segment'!J49+'Upper Mid-Market Segment'!J49+'Premium Segment'!J49+'Closures Overlay'!J49+'Disposals Overlay'!J49</f>
        <v>610392.30160319246</v>
      </c>
      <c r="P49" s="19">
        <f>'Value Segment'!K49+'Mid-Market Segment'!K49+'Upper Mid-Market Segment'!K49+'Premium Segment'!K49+'Closures Overlay'!K49+'Disposals Overlay'!K49</f>
        <v>577022.33522853046</v>
      </c>
      <c r="Q49" s="19">
        <f>'Value Segment'!L49+'Mid-Market Segment'!L49+'Upper Mid-Market Segment'!L49+'Premium Segment'!L49+'Closures Overlay'!L49+'Disposals Overlay'!L49</f>
        <v>543652.36885386857</v>
      </c>
      <c r="R49" s="19">
        <f>'Value Segment'!M49+'Mid-Market Segment'!M49+'Upper Mid-Market Segment'!M49+'Premium Segment'!M49+'Closures Overlay'!M49+'Disposals Overlay'!M49</f>
        <v>510282.40247920644</v>
      </c>
      <c r="S49" s="19">
        <f>'Value Segment'!N49+'Mid-Market Segment'!N49+'Upper Mid-Market Segment'!N49+'Premium Segment'!N49+'Closures Overlay'!N49+'Disposals Overlay'!N49</f>
        <v>476912.4361045445</v>
      </c>
      <c r="T49" s="37"/>
      <c r="U49" s="50">
        <f>IFERROR(((S49/N49)^(1/5))-1,0)</f>
        <v>-5.158739065236706E-2</v>
      </c>
      <c r="W49" s="19">
        <f>'Value Segment'!R49+'Mid-Market Segment'!R49+'Upper Mid-Market Segment'!R49+'Premium Segment'!R49+'Closures Overlay'!R49+'Disposals Overlay'!R49</f>
        <v>51792.968644006643</v>
      </c>
      <c r="X49" s="19">
        <f>'Value Segment'!S49+'Mid-Market Segment'!S49+'Upper Mid-Market Segment'!S49+'Premium Segment'!S49+'Closures Overlay'!S49+'Disposals Overlay'!S49</f>
        <v>51792.968644006643</v>
      </c>
      <c r="Y49" s="19">
        <f>'Value Segment'!T49+'Mid-Market Segment'!T49+'Upper Mid-Market Segment'!T49+'Premium Segment'!T49+'Closures Overlay'!T49+'Disposals Overlay'!T49</f>
        <v>51792.968644006643</v>
      </c>
      <c r="Z49" s="19">
        <f>'Value Segment'!U49+'Mid-Market Segment'!U49+'Upper Mid-Market Segment'!U49+'Premium Segment'!U49+'Closures Overlay'!U49+'Disposals Overlay'!U49</f>
        <v>51792.968644006643</v>
      </c>
      <c r="AA49" s="19">
        <f>'Value Segment'!V49+'Mid-Market Segment'!V49+'Upper Mid-Market Segment'!V49+'Premium Segment'!V49+'Closures Overlay'!V49+'Disposals Overlay'!V49</f>
        <v>51792.968644006643</v>
      </c>
      <c r="AB49" s="19">
        <f>'Value Segment'!W49+'Mid-Market Segment'!W49+'Upper Mid-Market Segment'!W49+'Premium Segment'!W49+'Closures Overlay'!W49+'Disposals Overlay'!W49</f>
        <v>50402.553378395729</v>
      </c>
      <c r="AC49" s="19">
        <f>'Value Segment'!X49+'Mid-Market Segment'!X49+'Upper Mid-Market Segment'!X49+'Premium Segment'!X49+'Closures Overlay'!X49+'Disposals Overlay'!X49</f>
        <v>50402.553378395729</v>
      </c>
      <c r="AD49" s="19">
        <f>'Value Segment'!Y49+'Mid-Market Segment'!Y49+'Upper Mid-Market Segment'!Y49+'Premium Segment'!Y49+'Closures Overlay'!Y49+'Disposals Overlay'!Y49</f>
        <v>50402.553378395729</v>
      </c>
      <c r="AE49" s="19">
        <f>'Value Segment'!Z49+'Mid-Market Segment'!Z49+'Upper Mid-Market Segment'!Z49+'Premium Segment'!Z49+'Closures Overlay'!Z49+'Disposals Overlay'!Z49</f>
        <v>50402.553378395729</v>
      </c>
      <c r="AF49" s="19">
        <f>'Value Segment'!AA49+'Mid-Market Segment'!AA49+'Upper Mid-Market Segment'!AA49+'Premium Segment'!AA49+'Closures Overlay'!AA49+'Disposals Overlay'!AA49</f>
        <v>50402.553378395729</v>
      </c>
      <c r="AG49" s="19">
        <f>'Value Segment'!AB49+'Mid-Market Segment'!AB49+'Upper Mid-Market Segment'!AB49+'Premium Segment'!AB49+'Closures Overlay'!AB49+'Disposals Overlay'!AB49</f>
        <v>50402.553378395729</v>
      </c>
      <c r="AH49" s="19">
        <f>'Value Segment'!AC49+'Mid-Market Segment'!AC49+'Upper Mid-Market Segment'!AC49+'Premium Segment'!AC49+'Closures Overlay'!AC49+'Disposals Overlay'!AC49</f>
        <v>49012.138112784807</v>
      </c>
      <c r="AI49" s="19">
        <f>'Value Segment'!AD49+'Mid-Market Segment'!AD49+'Upper Mid-Market Segment'!AD49+'Premium Segment'!AD49+'Closures Overlay'!AD49+'Disposals Overlay'!AD49</f>
        <v>49012.138112784807</v>
      </c>
      <c r="AJ49" s="19">
        <f>'Value Segment'!AE49+'Mid-Market Segment'!AE49+'Upper Mid-Market Segment'!AE49+'Premium Segment'!AE49+'Closures Overlay'!AE49+'Disposals Overlay'!AE49</f>
        <v>49012.138112784807</v>
      </c>
      <c r="AK49" s="19">
        <f>'Value Segment'!AF49+'Mid-Market Segment'!AF49+'Upper Mid-Market Segment'!AF49+'Premium Segment'!AF49+'Closures Overlay'!AF49+'Disposals Overlay'!AF49</f>
        <v>49012.138112784807</v>
      </c>
      <c r="AL49" s="19">
        <f>'Value Segment'!AG49+'Mid-Market Segment'!AG49+'Upper Mid-Market Segment'!AG49+'Premium Segment'!AG49+'Closures Overlay'!AG49+'Disposals Overlay'!AG49</f>
        <v>49012.138112784807</v>
      </c>
      <c r="AM49" s="19">
        <f>'Value Segment'!AH49+'Mid-Market Segment'!AH49+'Upper Mid-Market Segment'!AH49+'Premium Segment'!AH49+'Closures Overlay'!AH49+'Disposals Overlay'!AH49</f>
        <v>49012.138112784807</v>
      </c>
      <c r="AN49" s="19">
        <f>'Value Segment'!AI49+'Mid-Market Segment'!AI49+'Upper Mid-Market Segment'!AI49+'Premium Segment'!AI49+'Closures Overlay'!AI49+'Disposals Overlay'!AI49</f>
        <v>47621.722847173893</v>
      </c>
      <c r="AO49" s="19">
        <f>'Value Segment'!AJ49+'Mid-Market Segment'!AJ49+'Upper Mid-Market Segment'!AJ49+'Premium Segment'!AJ49+'Closures Overlay'!AJ49+'Disposals Overlay'!AJ49</f>
        <v>47621.722847173893</v>
      </c>
      <c r="AP49" s="19">
        <f>'Value Segment'!AK49+'Mid-Market Segment'!AK49+'Upper Mid-Market Segment'!AK49+'Premium Segment'!AK49+'Closures Overlay'!AK49+'Disposals Overlay'!AK49</f>
        <v>47621.722847173893</v>
      </c>
      <c r="AQ49" s="19">
        <f>'Value Segment'!AL49+'Mid-Market Segment'!AL49+'Upper Mid-Market Segment'!AL49+'Premium Segment'!AL49+'Closures Overlay'!AL49+'Disposals Overlay'!AL49</f>
        <v>47621.722847173893</v>
      </c>
      <c r="AR49" s="19">
        <f>'Value Segment'!AM49+'Mid-Market Segment'!AM49+'Upper Mid-Market Segment'!AM49+'Premium Segment'!AM49+'Closures Overlay'!AM49+'Disposals Overlay'!AM49</f>
        <v>47621.722847173893</v>
      </c>
      <c r="AS49" s="19">
        <f>'Value Segment'!AN49+'Mid-Market Segment'!AN49+'Upper Mid-Market Segment'!AN49+'Premium Segment'!AN49+'Closures Overlay'!AN49+'Disposals Overlay'!AN49</f>
        <v>47621.722847173893</v>
      </c>
      <c r="AT49" s="19">
        <f>'Value Segment'!AO49+'Mid-Market Segment'!AO49+'Upper Mid-Market Segment'!AO49+'Premium Segment'!AO49+'Closures Overlay'!AO49+'Disposals Overlay'!AO49</f>
        <v>46231.307581562978</v>
      </c>
      <c r="AU49" s="19">
        <f>'Value Segment'!AP49+'Mid-Market Segment'!AP49+'Upper Mid-Market Segment'!AP49+'Premium Segment'!AP49+'Closures Overlay'!AP49+'Disposals Overlay'!AP49</f>
        <v>46231.307581562978</v>
      </c>
      <c r="AV49" s="19">
        <f>'Value Segment'!AQ49+'Mid-Market Segment'!AQ49+'Upper Mid-Market Segment'!AQ49+'Premium Segment'!AQ49+'Closures Overlay'!AQ49+'Disposals Overlay'!AQ49</f>
        <v>46231.307581562978</v>
      </c>
      <c r="AW49" s="19">
        <f>'Value Segment'!AR49+'Mid-Market Segment'!AR49+'Upper Mid-Market Segment'!AR49+'Premium Segment'!AR49+'Closures Overlay'!AR49+'Disposals Overlay'!AR49</f>
        <v>46231.307581562978</v>
      </c>
      <c r="AX49" s="19">
        <f>'Value Segment'!AS49+'Mid-Market Segment'!AS49+'Upper Mid-Market Segment'!AS49+'Premium Segment'!AS49+'Closures Overlay'!AS49+'Disposals Overlay'!AS49</f>
        <v>46231.307581562978</v>
      </c>
      <c r="AY49" s="19">
        <f>'Value Segment'!AT49+'Mid-Market Segment'!AT49+'Upper Mid-Market Segment'!AT49+'Premium Segment'!AT49+'Closures Overlay'!AT49+'Disposals Overlay'!AT49</f>
        <v>46231.307581562978</v>
      </c>
      <c r="AZ49" s="19">
        <f>'Value Segment'!AU49+'Mid-Market Segment'!AU49+'Upper Mid-Market Segment'!AU49+'Premium Segment'!AU49+'Closures Overlay'!AU49+'Disposals Overlay'!AU49</f>
        <v>44840.892315952064</v>
      </c>
      <c r="BA49" s="19">
        <f>'Value Segment'!AV49+'Mid-Market Segment'!AV49+'Upper Mid-Market Segment'!AV49+'Premium Segment'!AV49+'Closures Overlay'!AV49+'Disposals Overlay'!AV49</f>
        <v>44840.892315952064</v>
      </c>
      <c r="BB49" s="19">
        <f>'Value Segment'!AW49+'Mid-Market Segment'!AW49+'Upper Mid-Market Segment'!AW49+'Premium Segment'!AW49+'Closures Overlay'!AW49+'Disposals Overlay'!AW49</f>
        <v>44840.892315952064</v>
      </c>
      <c r="BC49" s="19">
        <f>'Value Segment'!AX49+'Mid-Market Segment'!AX49+'Upper Mid-Market Segment'!AX49+'Premium Segment'!AX49+'Closures Overlay'!AX49+'Disposals Overlay'!AX49</f>
        <v>44840.892315952064</v>
      </c>
      <c r="BD49" s="19">
        <f>'Value Segment'!AY49+'Mid-Market Segment'!AY49+'Upper Mid-Market Segment'!AY49+'Premium Segment'!AY49+'Closures Overlay'!AY49+'Disposals Overlay'!AY49</f>
        <v>44840.892315952064</v>
      </c>
      <c r="BE49" s="19">
        <f>'Value Segment'!AZ49+'Mid-Market Segment'!AZ49+'Upper Mid-Market Segment'!AZ49+'Premium Segment'!AZ49+'Closures Overlay'!AZ49+'Disposals Overlay'!AZ49</f>
        <v>44840.892315952064</v>
      </c>
      <c r="BF49" s="19">
        <f>'Value Segment'!BA49+'Mid-Market Segment'!BA49+'Upper Mid-Market Segment'!BA49+'Premium Segment'!BA49+'Closures Overlay'!BA49+'Disposals Overlay'!BA49</f>
        <v>43450.477050341142</v>
      </c>
      <c r="BG49" s="19">
        <f>'Value Segment'!BB49+'Mid-Market Segment'!BB49+'Upper Mid-Market Segment'!BB49+'Premium Segment'!BB49+'Closures Overlay'!BB49+'Disposals Overlay'!BB49</f>
        <v>43450.477050341142</v>
      </c>
      <c r="BH49" s="19">
        <f>'Value Segment'!BC49+'Mid-Market Segment'!BC49+'Upper Mid-Market Segment'!BC49+'Premium Segment'!BC49+'Closures Overlay'!BC49+'Disposals Overlay'!BC49</f>
        <v>43450.477050341142</v>
      </c>
      <c r="BI49" s="19">
        <f>'Value Segment'!BD49+'Mid-Market Segment'!BD49+'Upper Mid-Market Segment'!BD49+'Premium Segment'!BD49+'Closures Overlay'!BD49+'Disposals Overlay'!BD49</f>
        <v>43450.477050341142</v>
      </c>
      <c r="BJ49" s="19">
        <f>'Value Segment'!BE49+'Mid-Market Segment'!BE49+'Upper Mid-Market Segment'!BE49+'Premium Segment'!BE49+'Closures Overlay'!BE49+'Disposals Overlay'!BE49</f>
        <v>43450.477050341142</v>
      </c>
      <c r="BK49" s="19">
        <f>'Value Segment'!BF49+'Mid-Market Segment'!BF49+'Upper Mid-Market Segment'!BF49+'Premium Segment'!BF49+'Closures Overlay'!BF49+'Disposals Overlay'!BF49</f>
        <v>43450.477050341142</v>
      </c>
      <c r="BL49" s="19">
        <f>'Value Segment'!BG49+'Mid-Market Segment'!BG49+'Upper Mid-Market Segment'!BG49+'Premium Segment'!BG49+'Closures Overlay'!BG49+'Disposals Overlay'!BG49</f>
        <v>42060.061784730227</v>
      </c>
      <c r="BM49" s="19">
        <f>'Value Segment'!BH49+'Mid-Market Segment'!BH49+'Upper Mid-Market Segment'!BH49+'Premium Segment'!BH49+'Closures Overlay'!BH49+'Disposals Overlay'!BH49</f>
        <v>42060.061784730227</v>
      </c>
      <c r="BN49" s="19">
        <f>'Value Segment'!BI49+'Mid-Market Segment'!BI49+'Upper Mid-Market Segment'!BI49+'Premium Segment'!BI49+'Closures Overlay'!BI49+'Disposals Overlay'!BI49</f>
        <v>42060.061784730227</v>
      </c>
      <c r="BO49" s="19">
        <f>'Value Segment'!BJ49+'Mid-Market Segment'!BJ49+'Upper Mid-Market Segment'!BJ49+'Premium Segment'!BJ49+'Closures Overlay'!BJ49+'Disposals Overlay'!BJ49</f>
        <v>42060.061784730227</v>
      </c>
      <c r="BP49" s="19">
        <f>'Value Segment'!BK49+'Mid-Market Segment'!BK49+'Upper Mid-Market Segment'!BK49+'Premium Segment'!BK49+'Closures Overlay'!BK49+'Disposals Overlay'!BK49</f>
        <v>42060.061784730227</v>
      </c>
      <c r="BQ49" s="19">
        <f>'Value Segment'!BL49+'Mid-Market Segment'!BL49+'Upper Mid-Market Segment'!BL49+'Premium Segment'!BL49+'Closures Overlay'!BL49+'Disposals Overlay'!BL49</f>
        <v>42060.061784730227</v>
      </c>
      <c r="BR49" s="19">
        <f>'Value Segment'!BM49+'Mid-Market Segment'!BM49+'Upper Mid-Market Segment'!BM49+'Premium Segment'!BM49+'Closures Overlay'!BM49+'Disposals Overlay'!BM49</f>
        <v>40669.646519119313</v>
      </c>
      <c r="BS49" s="19">
        <f>'Value Segment'!BN49+'Mid-Market Segment'!BN49+'Upper Mid-Market Segment'!BN49+'Premium Segment'!BN49+'Closures Overlay'!BN49+'Disposals Overlay'!BN49</f>
        <v>40669.646519119313</v>
      </c>
      <c r="BT49" s="19">
        <f>'Value Segment'!BO49+'Mid-Market Segment'!BO49+'Upper Mid-Market Segment'!BO49+'Premium Segment'!BO49+'Closures Overlay'!BO49+'Disposals Overlay'!BO49</f>
        <v>40669.646519119313</v>
      </c>
      <c r="BU49" s="19">
        <f>'Value Segment'!BP49+'Mid-Market Segment'!BP49+'Upper Mid-Market Segment'!BP49+'Premium Segment'!BP49+'Closures Overlay'!BP49+'Disposals Overlay'!BP49</f>
        <v>40669.646519119313</v>
      </c>
      <c r="BV49" s="19">
        <f>'Value Segment'!BQ49+'Mid-Market Segment'!BQ49+'Upper Mid-Market Segment'!BQ49+'Premium Segment'!BQ49+'Closures Overlay'!BQ49+'Disposals Overlay'!BQ49</f>
        <v>40669.646519119313</v>
      </c>
      <c r="BW49" s="19">
        <f>'Value Segment'!BR49+'Mid-Market Segment'!BR49+'Upper Mid-Market Segment'!BR49+'Premium Segment'!BR49+'Closures Overlay'!BR49+'Disposals Overlay'!BR49</f>
        <v>40669.646519119313</v>
      </c>
      <c r="BX49" s="19">
        <f>'Value Segment'!BS49+'Mid-Market Segment'!BS49+'Upper Mid-Market Segment'!BS49+'Premium Segment'!BS49+'Closures Overlay'!BS49+'Disposals Overlay'!BS49</f>
        <v>39279.231253508391</v>
      </c>
      <c r="BY49" s="19">
        <f>'Value Segment'!BT49+'Mid-Market Segment'!BT49+'Upper Mid-Market Segment'!BT49+'Premium Segment'!BT49+'Closures Overlay'!BT49+'Disposals Overlay'!BT49</f>
        <v>39279.231253508391</v>
      </c>
      <c r="BZ49" s="19">
        <f>'Value Segment'!BU49+'Mid-Market Segment'!BU49+'Upper Mid-Market Segment'!BU49+'Premium Segment'!BU49+'Closures Overlay'!BU49+'Disposals Overlay'!BU49</f>
        <v>39279.231253508391</v>
      </c>
      <c r="CA49" s="19">
        <f>'Value Segment'!BV49+'Mid-Market Segment'!BV49+'Upper Mid-Market Segment'!BV49+'Premium Segment'!BV49+'Closures Overlay'!BV49+'Disposals Overlay'!BV49</f>
        <v>39279.231253508391</v>
      </c>
      <c r="CB49" s="19">
        <f>'Value Segment'!BW49+'Mid-Market Segment'!BW49+'Upper Mid-Market Segment'!BW49+'Premium Segment'!BW49+'Closures Overlay'!BW49+'Disposals Overlay'!BW49</f>
        <v>39279.231253508391</v>
      </c>
      <c r="CC49" s="19">
        <f>'Value Segment'!BX49+'Mid-Market Segment'!BX49+'Upper Mid-Market Segment'!BX49+'Premium Segment'!BX49+'Closures Overlay'!BX49+'Disposals Overlay'!BX49</f>
        <v>39279.231253508391</v>
      </c>
      <c r="CD49" s="19">
        <f>'Value Segment'!BY49+'Mid-Market Segment'!BY49+'Upper Mid-Market Segment'!BY49+'Premium Segment'!BY49+'Closures Overlay'!BY49+'Disposals Overlay'!BY49</f>
        <v>37888.815987897477</v>
      </c>
      <c r="CG49" s="8"/>
    </row>
    <row r="50" spans="1:85" x14ac:dyDescent="0.3">
      <c r="A50" s="7"/>
      <c r="B50" s="1"/>
      <c r="C50" s="40"/>
      <c r="D50" s="2"/>
      <c r="E50" s="2" t="s">
        <v>30</v>
      </c>
      <c r="F50" s="54"/>
      <c r="G50" s="54"/>
      <c r="H50" s="54"/>
      <c r="I50" s="67">
        <v>175705.15999999995</v>
      </c>
      <c r="J50" s="67">
        <v>258782.37999999998</v>
      </c>
      <c r="K50" s="67">
        <v>348999.44000000024</v>
      </c>
      <c r="L50" s="67">
        <v>389521.04000000004</v>
      </c>
      <c r="M50" s="54"/>
      <c r="N50" s="19">
        <f>'Value Segment'!I50+'Mid-Market Segment'!I50+'Upper Mid-Market Segment'!I50+'Premium Segment'!I50+'Closures Overlay'!I50+'Disposals Overlay'!I50</f>
        <v>399308.77662337659</v>
      </c>
      <c r="O50" s="19">
        <f>'Value Segment'!J50+'Mid-Market Segment'!J50+'Upper Mid-Market Segment'!J50+'Premium Segment'!J50+'Closures Overlay'!J50+'Disposals Overlay'!J50</f>
        <v>392162.3108225108</v>
      </c>
      <c r="P50" s="19">
        <f>'Value Segment'!K50+'Mid-Market Segment'!K50+'Upper Mid-Market Segment'!K50+'Premium Segment'!K50+'Closures Overlay'!K50+'Disposals Overlay'!K50</f>
        <v>370722.91341991338</v>
      </c>
      <c r="Q50" s="19">
        <f>'Value Segment'!L50+'Mid-Market Segment'!L50+'Upper Mid-Market Segment'!L50+'Premium Segment'!L50+'Closures Overlay'!L50+'Disposals Overlay'!L50</f>
        <v>349283.51601731597</v>
      </c>
      <c r="R50" s="19">
        <f>'Value Segment'!M50+'Mid-Market Segment'!M50+'Upper Mid-Market Segment'!M50+'Premium Segment'!M50+'Closures Overlay'!M50+'Disposals Overlay'!M50</f>
        <v>327844.11861471855</v>
      </c>
      <c r="S50" s="19">
        <f>'Value Segment'!N50+'Mid-Market Segment'!N50+'Upper Mid-Market Segment'!N50+'Premium Segment'!N50+'Closures Overlay'!N50+'Disposals Overlay'!N50</f>
        <v>306404.72121212119</v>
      </c>
      <c r="T50" s="37"/>
      <c r="U50" s="50">
        <f>IFERROR(((S50/N50)^(1/5))-1,0)</f>
        <v>-5.158739065236706E-2</v>
      </c>
      <c r="W50" s="19">
        <f>'Value Segment'!R50+'Mid-Market Segment'!R50+'Upper Mid-Market Segment'!R50+'Premium Segment'!R50+'Closures Overlay'!R50+'Disposals Overlay'!R50</f>
        <v>33275.73138528139</v>
      </c>
      <c r="X50" s="19">
        <f>'Value Segment'!S50+'Mid-Market Segment'!S50+'Upper Mid-Market Segment'!S50+'Premium Segment'!S50+'Closures Overlay'!S50+'Disposals Overlay'!S50</f>
        <v>33275.73138528139</v>
      </c>
      <c r="Y50" s="19">
        <f>'Value Segment'!T50+'Mid-Market Segment'!T50+'Upper Mid-Market Segment'!T50+'Premium Segment'!T50+'Closures Overlay'!T50+'Disposals Overlay'!T50</f>
        <v>33275.73138528139</v>
      </c>
      <c r="Z50" s="19">
        <f>'Value Segment'!U50+'Mid-Market Segment'!U50+'Upper Mid-Market Segment'!U50+'Premium Segment'!U50+'Closures Overlay'!U50+'Disposals Overlay'!U50</f>
        <v>33275.73138528139</v>
      </c>
      <c r="AA50" s="19">
        <f>'Value Segment'!V50+'Mid-Market Segment'!V50+'Upper Mid-Market Segment'!V50+'Premium Segment'!V50+'Closures Overlay'!V50+'Disposals Overlay'!V50</f>
        <v>33275.73138528139</v>
      </c>
      <c r="AB50" s="19">
        <f>'Value Segment'!W50+'Mid-Market Segment'!W50+'Upper Mid-Market Segment'!W50+'Premium Segment'!W50+'Closures Overlay'!W50+'Disposals Overlay'!W50</f>
        <v>32382.423160173163</v>
      </c>
      <c r="AC50" s="19">
        <f>'Value Segment'!X50+'Mid-Market Segment'!X50+'Upper Mid-Market Segment'!X50+'Premium Segment'!X50+'Closures Overlay'!X50+'Disposals Overlay'!X50</f>
        <v>32382.423160173163</v>
      </c>
      <c r="AD50" s="19">
        <f>'Value Segment'!Y50+'Mid-Market Segment'!Y50+'Upper Mid-Market Segment'!Y50+'Premium Segment'!Y50+'Closures Overlay'!Y50+'Disposals Overlay'!Y50</f>
        <v>32382.423160173163</v>
      </c>
      <c r="AE50" s="19">
        <f>'Value Segment'!Z50+'Mid-Market Segment'!Z50+'Upper Mid-Market Segment'!Z50+'Premium Segment'!Z50+'Closures Overlay'!Z50+'Disposals Overlay'!Z50</f>
        <v>32382.423160173163</v>
      </c>
      <c r="AF50" s="19">
        <f>'Value Segment'!AA50+'Mid-Market Segment'!AA50+'Upper Mid-Market Segment'!AA50+'Premium Segment'!AA50+'Closures Overlay'!AA50+'Disposals Overlay'!AA50</f>
        <v>32382.423160173163</v>
      </c>
      <c r="AG50" s="19">
        <f>'Value Segment'!AB50+'Mid-Market Segment'!AB50+'Upper Mid-Market Segment'!AB50+'Premium Segment'!AB50+'Closures Overlay'!AB50+'Disposals Overlay'!AB50</f>
        <v>32382.423160173163</v>
      </c>
      <c r="AH50" s="19">
        <f>'Value Segment'!AC50+'Mid-Market Segment'!AC50+'Upper Mid-Market Segment'!AC50+'Premium Segment'!AC50+'Closures Overlay'!AC50+'Disposals Overlay'!AC50</f>
        <v>31489.114935064939</v>
      </c>
      <c r="AI50" s="19">
        <f>'Value Segment'!AD50+'Mid-Market Segment'!AD50+'Upper Mid-Market Segment'!AD50+'Premium Segment'!AD50+'Closures Overlay'!AD50+'Disposals Overlay'!AD50</f>
        <v>31489.114935064939</v>
      </c>
      <c r="AJ50" s="19">
        <f>'Value Segment'!AE50+'Mid-Market Segment'!AE50+'Upper Mid-Market Segment'!AE50+'Premium Segment'!AE50+'Closures Overlay'!AE50+'Disposals Overlay'!AE50</f>
        <v>31489.114935064939</v>
      </c>
      <c r="AK50" s="19">
        <f>'Value Segment'!AF50+'Mid-Market Segment'!AF50+'Upper Mid-Market Segment'!AF50+'Premium Segment'!AF50+'Closures Overlay'!AF50+'Disposals Overlay'!AF50</f>
        <v>31489.114935064939</v>
      </c>
      <c r="AL50" s="19">
        <f>'Value Segment'!AG50+'Mid-Market Segment'!AG50+'Upper Mid-Market Segment'!AG50+'Premium Segment'!AG50+'Closures Overlay'!AG50+'Disposals Overlay'!AG50</f>
        <v>31489.114935064939</v>
      </c>
      <c r="AM50" s="19">
        <f>'Value Segment'!AH50+'Mid-Market Segment'!AH50+'Upper Mid-Market Segment'!AH50+'Premium Segment'!AH50+'Closures Overlay'!AH50+'Disposals Overlay'!AH50</f>
        <v>31489.114935064939</v>
      </c>
      <c r="AN50" s="19">
        <f>'Value Segment'!AI50+'Mid-Market Segment'!AI50+'Upper Mid-Market Segment'!AI50+'Premium Segment'!AI50+'Closures Overlay'!AI50+'Disposals Overlay'!AI50</f>
        <v>30595.806709956712</v>
      </c>
      <c r="AO50" s="19">
        <f>'Value Segment'!AJ50+'Mid-Market Segment'!AJ50+'Upper Mid-Market Segment'!AJ50+'Premium Segment'!AJ50+'Closures Overlay'!AJ50+'Disposals Overlay'!AJ50</f>
        <v>30595.806709956712</v>
      </c>
      <c r="AP50" s="19">
        <f>'Value Segment'!AK50+'Mid-Market Segment'!AK50+'Upper Mid-Market Segment'!AK50+'Premium Segment'!AK50+'Closures Overlay'!AK50+'Disposals Overlay'!AK50</f>
        <v>30595.806709956712</v>
      </c>
      <c r="AQ50" s="19">
        <f>'Value Segment'!AL50+'Mid-Market Segment'!AL50+'Upper Mid-Market Segment'!AL50+'Premium Segment'!AL50+'Closures Overlay'!AL50+'Disposals Overlay'!AL50</f>
        <v>30595.806709956712</v>
      </c>
      <c r="AR50" s="19">
        <f>'Value Segment'!AM50+'Mid-Market Segment'!AM50+'Upper Mid-Market Segment'!AM50+'Premium Segment'!AM50+'Closures Overlay'!AM50+'Disposals Overlay'!AM50</f>
        <v>30595.806709956712</v>
      </c>
      <c r="AS50" s="19">
        <f>'Value Segment'!AN50+'Mid-Market Segment'!AN50+'Upper Mid-Market Segment'!AN50+'Premium Segment'!AN50+'Closures Overlay'!AN50+'Disposals Overlay'!AN50</f>
        <v>30595.806709956712</v>
      </c>
      <c r="AT50" s="19">
        <f>'Value Segment'!AO50+'Mid-Market Segment'!AO50+'Upper Mid-Market Segment'!AO50+'Premium Segment'!AO50+'Closures Overlay'!AO50+'Disposals Overlay'!AO50</f>
        <v>29702.498484848489</v>
      </c>
      <c r="AU50" s="19">
        <f>'Value Segment'!AP50+'Mid-Market Segment'!AP50+'Upper Mid-Market Segment'!AP50+'Premium Segment'!AP50+'Closures Overlay'!AP50+'Disposals Overlay'!AP50</f>
        <v>29702.498484848489</v>
      </c>
      <c r="AV50" s="19">
        <f>'Value Segment'!AQ50+'Mid-Market Segment'!AQ50+'Upper Mid-Market Segment'!AQ50+'Premium Segment'!AQ50+'Closures Overlay'!AQ50+'Disposals Overlay'!AQ50</f>
        <v>29702.498484848489</v>
      </c>
      <c r="AW50" s="19">
        <f>'Value Segment'!AR50+'Mid-Market Segment'!AR50+'Upper Mid-Market Segment'!AR50+'Premium Segment'!AR50+'Closures Overlay'!AR50+'Disposals Overlay'!AR50</f>
        <v>29702.498484848489</v>
      </c>
      <c r="AX50" s="19">
        <f>'Value Segment'!AS50+'Mid-Market Segment'!AS50+'Upper Mid-Market Segment'!AS50+'Premium Segment'!AS50+'Closures Overlay'!AS50+'Disposals Overlay'!AS50</f>
        <v>29702.498484848489</v>
      </c>
      <c r="AY50" s="19">
        <f>'Value Segment'!AT50+'Mid-Market Segment'!AT50+'Upper Mid-Market Segment'!AT50+'Premium Segment'!AT50+'Closures Overlay'!AT50+'Disposals Overlay'!AT50</f>
        <v>29702.498484848489</v>
      </c>
      <c r="AZ50" s="19">
        <f>'Value Segment'!AU50+'Mid-Market Segment'!AU50+'Upper Mid-Market Segment'!AU50+'Premium Segment'!AU50+'Closures Overlay'!AU50+'Disposals Overlay'!AU50</f>
        <v>28809.190259740262</v>
      </c>
      <c r="BA50" s="19">
        <f>'Value Segment'!AV50+'Mid-Market Segment'!AV50+'Upper Mid-Market Segment'!AV50+'Premium Segment'!AV50+'Closures Overlay'!AV50+'Disposals Overlay'!AV50</f>
        <v>28809.190259740262</v>
      </c>
      <c r="BB50" s="19">
        <f>'Value Segment'!AW50+'Mid-Market Segment'!AW50+'Upper Mid-Market Segment'!AW50+'Premium Segment'!AW50+'Closures Overlay'!AW50+'Disposals Overlay'!AW50</f>
        <v>28809.190259740262</v>
      </c>
      <c r="BC50" s="19">
        <f>'Value Segment'!AX50+'Mid-Market Segment'!AX50+'Upper Mid-Market Segment'!AX50+'Premium Segment'!AX50+'Closures Overlay'!AX50+'Disposals Overlay'!AX50</f>
        <v>28809.190259740262</v>
      </c>
      <c r="BD50" s="19">
        <f>'Value Segment'!AY50+'Mid-Market Segment'!AY50+'Upper Mid-Market Segment'!AY50+'Premium Segment'!AY50+'Closures Overlay'!AY50+'Disposals Overlay'!AY50</f>
        <v>28809.190259740262</v>
      </c>
      <c r="BE50" s="19">
        <f>'Value Segment'!AZ50+'Mid-Market Segment'!AZ50+'Upper Mid-Market Segment'!AZ50+'Premium Segment'!AZ50+'Closures Overlay'!AZ50+'Disposals Overlay'!AZ50</f>
        <v>28809.190259740262</v>
      </c>
      <c r="BF50" s="19">
        <f>'Value Segment'!BA50+'Mid-Market Segment'!BA50+'Upper Mid-Market Segment'!BA50+'Premium Segment'!BA50+'Closures Overlay'!BA50+'Disposals Overlay'!BA50</f>
        <v>27915.882034632039</v>
      </c>
      <c r="BG50" s="19">
        <f>'Value Segment'!BB50+'Mid-Market Segment'!BB50+'Upper Mid-Market Segment'!BB50+'Premium Segment'!BB50+'Closures Overlay'!BB50+'Disposals Overlay'!BB50</f>
        <v>27915.882034632039</v>
      </c>
      <c r="BH50" s="19">
        <f>'Value Segment'!BC50+'Mid-Market Segment'!BC50+'Upper Mid-Market Segment'!BC50+'Premium Segment'!BC50+'Closures Overlay'!BC50+'Disposals Overlay'!BC50</f>
        <v>27915.882034632039</v>
      </c>
      <c r="BI50" s="19">
        <f>'Value Segment'!BD50+'Mid-Market Segment'!BD50+'Upper Mid-Market Segment'!BD50+'Premium Segment'!BD50+'Closures Overlay'!BD50+'Disposals Overlay'!BD50</f>
        <v>27915.882034632039</v>
      </c>
      <c r="BJ50" s="19">
        <f>'Value Segment'!BE50+'Mid-Market Segment'!BE50+'Upper Mid-Market Segment'!BE50+'Premium Segment'!BE50+'Closures Overlay'!BE50+'Disposals Overlay'!BE50</f>
        <v>27915.882034632039</v>
      </c>
      <c r="BK50" s="19">
        <f>'Value Segment'!BF50+'Mid-Market Segment'!BF50+'Upper Mid-Market Segment'!BF50+'Premium Segment'!BF50+'Closures Overlay'!BF50+'Disposals Overlay'!BF50</f>
        <v>27915.882034632039</v>
      </c>
      <c r="BL50" s="19">
        <f>'Value Segment'!BG50+'Mid-Market Segment'!BG50+'Upper Mid-Market Segment'!BG50+'Premium Segment'!BG50+'Closures Overlay'!BG50+'Disposals Overlay'!BG50</f>
        <v>27022.573809523812</v>
      </c>
      <c r="BM50" s="19">
        <f>'Value Segment'!BH50+'Mid-Market Segment'!BH50+'Upper Mid-Market Segment'!BH50+'Premium Segment'!BH50+'Closures Overlay'!BH50+'Disposals Overlay'!BH50</f>
        <v>27022.573809523812</v>
      </c>
      <c r="BN50" s="19">
        <f>'Value Segment'!BI50+'Mid-Market Segment'!BI50+'Upper Mid-Market Segment'!BI50+'Premium Segment'!BI50+'Closures Overlay'!BI50+'Disposals Overlay'!BI50</f>
        <v>27022.573809523812</v>
      </c>
      <c r="BO50" s="19">
        <f>'Value Segment'!BJ50+'Mid-Market Segment'!BJ50+'Upper Mid-Market Segment'!BJ50+'Premium Segment'!BJ50+'Closures Overlay'!BJ50+'Disposals Overlay'!BJ50</f>
        <v>27022.573809523812</v>
      </c>
      <c r="BP50" s="19">
        <f>'Value Segment'!BK50+'Mid-Market Segment'!BK50+'Upper Mid-Market Segment'!BK50+'Premium Segment'!BK50+'Closures Overlay'!BK50+'Disposals Overlay'!BK50</f>
        <v>27022.573809523812</v>
      </c>
      <c r="BQ50" s="19">
        <f>'Value Segment'!BL50+'Mid-Market Segment'!BL50+'Upper Mid-Market Segment'!BL50+'Premium Segment'!BL50+'Closures Overlay'!BL50+'Disposals Overlay'!BL50</f>
        <v>27022.573809523812</v>
      </c>
      <c r="BR50" s="19">
        <f>'Value Segment'!BM50+'Mid-Market Segment'!BM50+'Upper Mid-Market Segment'!BM50+'Premium Segment'!BM50+'Closures Overlay'!BM50+'Disposals Overlay'!BM50</f>
        <v>26129.265584415589</v>
      </c>
      <c r="BS50" s="19">
        <f>'Value Segment'!BN50+'Mid-Market Segment'!BN50+'Upper Mid-Market Segment'!BN50+'Premium Segment'!BN50+'Closures Overlay'!BN50+'Disposals Overlay'!BN50</f>
        <v>26129.265584415589</v>
      </c>
      <c r="BT50" s="19">
        <f>'Value Segment'!BO50+'Mid-Market Segment'!BO50+'Upper Mid-Market Segment'!BO50+'Premium Segment'!BO50+'Closures Overlay'!BO50+'Disposals Overlay'!BO50</f>
        <v>26129.265584415589</v>
      </c>
      <c r="BU50" s="19">
        <f>'Value Segment'!BP50+'Mid-Market Segment'!BP50+'Upper Mid-Market Segment'!BP50+'Premium Segment'!BP50+'Closures Overlay'!BP50+'Disposals Overlay'!BP50</f>
        <v>26129.265584415589</v>
      </c>
      <c r="BV50" s="19">
        <f>'Value Segment'!BQ50+'Mid-Market Segment'!BQ50+'Upper Mid-Market Segment'!BQ50+'Premium Segment'!BQ50+'Closures Overlay'!BQ50+'Disposals Overlay'!BQ50</f>
        <v>26129.265584415589</v>
      </c>
      <c r="BW50" s="19">
        <f>'Value Segment'!BR50+'Mid-Market Segment'!BR50+'Upper Mid-Market Segment'!BR50+'Premium Segment'!BR50+'Closures Overlay'!BR50+'Disposals Overlay'!BR50</f>
        <v>26129.265584415589</v>
      </c>
      <c r="BX50" s="19">
        <f>'Value Segment'!BS50+'Mid-Market Segment'!BS50+'Upper Mid-Market Segment'!BS50+'Premium Segment'!BS50+'Closures Overlay'!BS50+'Disposals Overlay'!BS50</f>
        <v>25235.957359307362</v>
      </c>
      <c r="BY50" s="19">
        <f>'Value Segment'!BT50+'Mid-Market Segment'!BT50+'Upper Mid-Market Segment'!BT50+'Premium Segment'!BT50+'Closures Overlay'!BT50+'Disposals Overlay'!BT50</f>
        <v>25235.957359307362</v>
      </c>
      <c r="BZ50" s="19">
        <f>'Value Segment'!BU50+'Mid-Market Segment'!BU50+'Upper Mid-Market Segment'!BU50+'Premium Segment'!BU50+'Closures Overlay'!BU50+'Disposals Overlay'!BU50</f>
        <v>25235.957359307362</v>
      </c>
      <c r="CA50" s="19">
        <f>'Value Segment'!BV50+'Mid-Market Segment'!BV50+'Upper Mid-Market Segment'!BV50+'Premium Segment'!BV50+'Closures Overlay'!BV50+'Disposals Overlay'!BV50</f>
        <v>25235.957359307362</v>
      </c>
      <c r="CB50" s="19">
        <f>'Value Segment'!BW50+'Mid-Market Segment'!BW50+'Upper Mid-Market Segment'!BW50+'Premium Segment'!BW50+'Closures Overlay'!BW50+'Disposals Overlay'!BW50</f>
        <v>25235.957359307362</v>
      </c>
      <c r="CC50" s="19">
        <f>'Value Segment'!BX50+'Mid-Market Segment'!BX50+'Upper Mid-Market Segment'!BX50+'Premium Segment'!BX50+'Closures Overlay'!BX50+'Disposals Overlay'!BX50</f>
        <v>25235.957359307362</v>
      </c>
      <c r="CD50" s="19">
        <f>'Value Segment'!BY50+'Mid-Market Segment'!BY50+'Upper Mid-Market Segment'!BY50+'Premium Segment'!BY50+'Closures Overlay'!BY50+'Disposals Overlay'!BY50</f>
        <v>24342.649134199135</v>
      </c>
      <c r="CG50" s="8"/>
    </row>
    <row r="51" spans="1:85" x14ac:dyDescent="0.3">
      <c r="A51" s="7"/>
      <c r="B51" s="1"/>
      <c r="C51" s="40"/>
      <c r="D51" s="2"/>
      <c r="E51" s="2" t="s">
        <v>31</v>
      </c>
      <c r="F51" s="54"/>
      <c r="G51" s="54"/>
      <c r="H51" s="54"/>
      <c r="I51" s="67">
        <v>787795.78999999946</v>
      </c>
      <c r="J51" s="67">
        <v>872430.87000000069</v>
      </c>
      <c r="K51" s="67">
        <v>915562.87000000011</v>
      </c>
      <c r="L51" s="67">
        <v>931415.25230769196</v>
      </c>
      <c r="M51" s="54"/>
      <c r="N51" s="19">
        <f>'Value Segment'!I51+'Mid-Market Segment'!I51+'Upper Mid-Market Segment'!I51+'Premium Segment'!I51+'Closures Overlay'!I51+'Disposals Overlay'!I51</f>
        <v>922330.70891375944</v>
      </c>
      <c r="O51" s="19">
        <f>'Value Segment'!J51+'Mid-Market Segment'!J51+'Upper Mid-Market Segment'!J51+'Premium Segment'!J51+'Closures Overlay'!J51+'Disposals Overlay'!J51</f>
        <v>905823.67161776358</v>
      </c>
      <c r="P51" s="19">
        <f>'Value Segment'!K51+'Mid-Market Segment'!K51+'Upper Mid-Market Segment'!K51+'Premium Segment'!K51+'Closures Overlay'!K51+'Disposals Overlay'!K51</f>
        <v>856302.55972977658</v>
      </c>
      <c r="Q51" s="19">
        <f>'Value Segment'!L51+'Mid-Market Segment'!L51+'Upper Mid-Market Segment'!L51+'Premium Segment'!L51+'Closures Overlay'!L51+'Disposals Overlay'!L51</f>
        <v>806781.44784178946</v>
      </c>
      <c r="R51" s="19">
        <f>'Value Segment'!M51+'Mid-Market Segment'!M51+'Upper Mid-Market Segment'!M51+'Premium Segment'!M51+'Closures Overlay'!M51+'Disposals Overlay'!M51</f>
        <v>757260.33595380234</v>
      </c>
      <c r="S51" s="19">
        <f>'Value Segment'!N51+'Mid-Market Segment'!N51+'Upper Mid-Market Segment'!N51+'Premium Segment'!N51+'Closures Overlay'!N51+'Disposals Overlay'!N51</f>
        <v>707739.22406581533</v>
      </c>
      <c r="T51" s="37"/>
      <c r="U51" s="50">
        <f>IFERROR(((S51/N51)^(1/5))-1,0)</f>
        <v>-5.158739065236706E-2</v>
      </c>
      <c r="W51" s="19">
        <f>'Value Segment'!R51+'Mid-Market Segment'!R51+'Upper Mid-Market Segment'!R51+'Premium Segment'!R51+'Closures Overlay'!R51+'Disposals Overlay'!R51</f>
        <v>76860.892409479959</v>
      </c>
      <c r="X51" s="19">
        <f>'Value Segment'!S51+'Mid-Market Segment'!S51+'Upper Mid-Market Segment'!S51+'Premium Segment'!S51+'Closures Overlay'!S51+'Disposals Overlay'!S51</f>
        <v>76860.892409479959</v>
      </c>
      <c r="Y51" s="19">
        <f>'Value Segment'!T51+'Mid-Market Segment'!T51+'Upper Mid-Market Segment'!T51+'Premium Segment'!T51+'Closures Overlay'!T51+'Disposals Overlay'!T51</f>
        <v>76860.892409479959</v>
      </c>
      <c r="Z51" s="19">
        <f>'Value Segment'!U51+'Mid-Market Segment'!U51+'Upper Mid-Market Segment'!U51+'Premium Segment'!U51+'Closures Overlay'!U51+'Disposals Overlay'!U51</f>
        <v>76860.892409479959</v>
      </c>
      <c r="AA51" s="19">
        <f>'Value Segment'!V51+'Mid-Market Segment'!V51+'Upper Mid-Market Segment'!V51+'Premium Segment'!V51+'Closures Overlay'!V51+'Disposals Overlay'!V51</f>
        <v>76860.892409479959</v>
      </c>
      <c r="AB51" s="19">
        <f>'Value Segment'!W51+'Mid-Market Segment'!W51+'Upper Mid-Market Segment'!W51+'Premium Segment'!W51+'Closures Overlay'!W51+'Disposals Overlay'!W51</f>
        <v>74797.51274748049</v>
      </c>
      <c r="AC51" s="19">
        <f>'Value Segment'!X51+'Mid-Market Segment'!X51+'Upper Mid-Market Segment'!X51+'Premium Segment'!X51+'Closures Overlay'!X51+'Disposals Overlay'!X51</f>
        <v>74797.51274748049</v>
      </c>
      <c r="AD51" s="19">
        <f>'Value Segment'!Y51+'Mid-Market Segment'!Y51+'Upper Mid-Market Segment'!Y51+'Premium Segment'!Y51+'Closures Overlay'!Y51+'Disposals Overlay'!Y51</f>
        <v>74797.51274748049</v>
      </c>
      <c r="AE51" s="19">
        <f>'Value Segment'!Z51+'Mid-Market Segment'!Z51+'Upper Mid-Market Segment'!Z51+'Premium Segment'!Z51+'Closures Overlay'!Z51+'Disposals Overlay'!Z51</f>
        <v>74797.51274748049</v>
      </c>
      <c r="AF51" s="19">
        <f>'Value Segment'!AA51+'Mid-Market Segment'!AA51+'Upper Mid-Market Segment'!AA51+'Premium Segment'!AA51+'Closures Overlay'!AA51+'Disposals Overlay'!AA51</f>
        <v>74797.51274748049</v>
      </c>
      <c r="AG51" s="19">
        <f>'Value Segment'!AB51+'Mid-Market Segment'!AB51+'Upper Mid-Market Segment'!AB51+'Premium Segment'!AB51+'Closures Overlay'!AB51+'Disposals Overlay'!AB51</f>
        <v>74797.51274748049</v>
      </c>
      <c r="AH51" s="19">
        <f>'Value Segment'!AC51+'Mid-Market Segment'!AC51+'Upper Mid-Market Segment'!AC51+'Premium Segment'!AC51+'Closures Overlay'!AC51+'Disposals Overlay'!AC51</f>
        <v>72734.133085481037</v>
      </c>
      <c r="AI51" s="19">
        <f>'Value Segment'!AD51+'Mid-Market Segment'!AD51+'Upper Mid-Market Segment'!AD51+'Premium Segment'!AD51+'Closures Overlay'!AD51+'Disposals Overlay'!AD51</f>
        <v>72734.133085481037</v>
      </c>
      <c r="AJ51" s="19">
        <f>'Value Segment'!AE51+'Mid-Market Segment'!AE51+'Upper Mid-Market Segment'!AE51+'Premium Segment'!AE51+'Closures Overlay'!AE51+'Disposals Overlay'!AE51</f>
        <v>72734.133085481037</v>
      </c>
      <c r="AK51" s="19">
        <f>'Value Segment'!AF51+'Mid-Market Segment'!AF51+'Upper Mid-Market Segment'!AF51+'Premium Segment'!AF51+'Closures Overlay'!AF51+'Disposals Overlay'!AF51</f>
        <v>72734.133085481037</v>
      </c>
      <c r="AL51" s="19">
        <f>'Value Segment'!AG51+'Mid-Market Segment'!AG51+'Upper Mid-Market Segment'!AG51+'Premium Segment'!AG51+'Closures Overlay'!AG51+'Disposals Overlay'!AG51</f>
        <v>72734.133085481037</v>
      </c>
      <c r="AM51" s="19">
        <f>'Value Segment'!AH51+'Mid-Market Segment'!AH51+'Upper Mid-Market Segment'!AH51+'Premium Segment'!AH51+'Closures Overlay'!AH51+'Disposals Overlay'!AH51</f>
        <v>72734.133085481037</v>
      </c>
      <c r="AN51" s="19">
        <f>'Value Segment'!AI51+'Mid-Market Segment'!AI51+'Upper Mid-Market Segment'!AI51+'Premium Segment'!AI51+'Closures Overlay'!AI51+'Disposals Overlay'!AI51</f>
        <v>70670.753423481568</v>
      </c>
      <c r="AO51" s="19">
        <f>'Value Segment'!AJ51+'Mid-Market Segment'!AJ51+'Upper Mid-Market Segment'!AJ51+'Premium Segment'!AJ51+'Closures Overlay'!AJ51+'Disposals Overlay'!AJ51</f>
        <v>70670.753423481568</v>
      </c>
      <c r="AP51" s="19">
        <f>'Value Segment'!AK51+'Mid-Market Segment'!AK51+'Upper Mid-Market Segment'!AK51+'Premium Segment'!AK51+'Closures Overlay'!AK51+'Disposals Overlay'!AK51</f>
        <v>70670.753423481568</v>
      </c>
      <c r="AQ51" s="19">
        <f>'Value Segment'!AL51+'Mid-Market Segment'!AL51+'Upper Mid-Market Segment'!AL51+'Premium Segment'!AL51+'Closures Overlay'!AL51+'Disposals Overlay'!AL51</f>
        <v>70670.753423481568</v>
      </c>
      <c r="AR51" s="19">
        <f>'Value Segment'!AM51+'Mid-Market Segment'!AM51+'Upper Mid-Market Segment'!AM51+'Premium Segment'!AM51+'Closures Overlay'!AM51+'Disposals Overlay'!AM51</f>
        <v>70670.753423481568</v>
      </c>
      <c r="AS51" s="19">
        <f>'Value Segment'!AN51+'Mid-Market Segment'!AN51+'Upper Mid-Market Segment'!AN51+'Premium Segment'!AN51+'Closures Overlay'!AN51+'Disposals Overlay'!AN51</f>
        <v>70670.753423481568</v>
      </c>
      <c r="AT51" s="19">
        <f>'Value Segment'!AO51+'Mid-Market Segment'!AO51+'Upper Mid-Market Segment'!AO51+'Premium Segment'!AO51+'Closures Overlay'!AO51+'Disposals Overlay'!AO51</f>
        <v>68607.373761482115</v>
      </c>
      <c r="AU51" s="19">
        <f>'Value Segment'!AP51+'Mid-Market Segment'!AP51+'Upper Mid-Market Segment'!AP51+'Premium Segment'!AP51+'Closures Overlay'!AP51+'Disposals Overlay'!AP51</f>
        <v>68607.373761482115</v>
      </c>
      <c r="AV51" s="19">
        <f>'Value Segment'!AQ51+'Mid-Market Segment'!AQ51+'Upper Mid-Market Segment'!AQ51+'Premium Segment'!AQ51+'Closures Overlay'!AQ51+'Disposals Overlay'!AQ51</f>
        <v>68607.373761482115</v>
      </c>
      <c r="AW51" s="19">
        <f>'Value Segment'!AR51+'Mid-Market Segment'!AR51+'Upper Mid-Market Segment'!AR51+'Premium Segment'!AR51+'Closures Overlay'!AR51+'Disposals Overlay'!AR51</f>
        <v>68607.373761482115</v>
      </c>
      <c r="AX51" s="19">
        <f>'Value Segment'!AS51+'Mid-Market Segment'!AS51+'Upper Mid-Market Segment'!AS51+'Premium Segment'!AS51+'Closures Overlay'!AS51+'Disposals Overlay'!AS51</f>
        <v>68607.373761482115</v>
      </c>
      <c r="AY51" s="19">
        <f>'Value Segment'!AT51+'Mid-Market Segment'!AT51+'Upper Mid-Market Segment'!AT51+'Premium Segment'!AT51+'Closures Overlay'!AT51+'Disposals Overlay'!AT51</f>
        <v>68607.373761482115</v>
      </c>
      <c r="AZ51" s="19">
        <f>'Value Segment'!AU51+'Mid-Market Segment'!AU51+'Upper Mid-Market Segment'!AU51+'Premium Segment'!AU51+'Closures Overlay'!AU51+'Disposals Overlay'!AU51</f>
        <v>66543.994099482647</v>
      </c>
      <c r="BA51" s="19">
        <f>'Value Segment'!AV51+'Mid-Market Segment'!AV51+'Upper Mid-Market Segment'!AV51+'Premium Segment'!AV51+'Closures Overlay'!AV51+'Disposals Overlay'!AV51</f>
        <v>66543.994099482647</v>
      </c>
      <c r="BB51" s="19">
        <f>'Value Segment'!AW51+'Mid-Market Segment'!AW51+'Upper Mid-Market Segment'!AW51+'Premium Segment'!AW51+'Closures Overlay'!AW51+'Disposals Overlay'!AW51</f>
        <v>66543.994099482647</v>
      </c>
      <c r="BC51" s="19">
        <f>'Value Segment'!AX51+'Mid-Market Segment'!AX51+'Upper Mid-Market Segment'!AX51+'Premium Segment'!AX51+'Closures Overlay'!AX51+'Disposals Overlay'!AX51</f>
        <v>66543.994099482647</v>
      </c>
      <c r="BD51" s="19">
        <f>'Value Segment'!AY51+'Mid-Market Segment'!AY51+'Upper Mid-Market Segment'!AY51+'Premium Segment'!AY51+'Closures Overlay'!AY51+'Disposals Overlay'!AY51</f>
        <v>66543.994099482647</v>
      </c>
      <c r="BE51" s="19">
        <f>'Value Segment'!AZ51+'Mid-Market Segment'!AZ51+'Upper Mid-Market Segment'!AZ51+'Premium Segment'!AZ51+'Closures Overlay'!AZ51+'Disposals Overlay'!AZ51</f>
        <v>66543.994099482647</v>
      </c>
      <c r="BF51" s="19">
        <f>'Value Segment'!BA51+'Mid-Market Segment'!BA51+'Upper Mid-Market Segment'!BA51+'Premium Segment'!BA51+'Closures Overlay'!BA51+'Disposals Overlay'!BA51</f>
        <v>64480.614437483186</v>
      </c>
      <c r="BG51" s="19">
        <f>'Value Segment'!BB51+'Mid-Market Segment'!BB51+'Upper Mid-Market Segment'!BB51+'Premium Segment'!BB51+'Closures Overlay'!BB51+'Disposals Overlay'!BB51</f>
        <v>64480.614437483186</v>
      </c>
      <c r="BH51" s="19">
        <f>'Value Segment'!BC51+'Mid-Market Segment'!BC51+'Upper Mid-Market Segment'!BC51+'Premium Segment'!BC51+'Closures Overlay'!BC51+'Disposals Overlay'!BC51</f>
        <v>64480.614437483186</v>
      </c>
      <c r="BI51" s="19">
        <f>'Value Segment'!BD51+'Mid-Market Segment'!BD51+'Upper Mid-Market Segment'!BD51+'Premium Segment'!BD51+'Closures Overlay'!BD51+'Disposals Overlay'!BD51</f>
        <v>64480.614437483186</v>
      </c>
      <c r="BJ51" s="19">
        <f>'Value Segment'!BE51+'Mid-Market Segment'!BE51+'Upper Mid-Market Segment'!BE51+'Premium Segment'!BE51+'Closures Overlay'!BE51+'Disposals Overlay'!BE51</f>
        <v>64480.614437483186</v>
      </c>
      <c r="BK51" s="19">
        <f>'Value Segment'!BF51+'Mid-Market Segment'!BF51+'Upper Mid-Market Segment'!BF51+'Premium Segment'!BF51+'Closures Overlay'!BF51+'Disposals Overlay'!BF51</f>
        <v>64480.614437483186</v>
      </c>
      <c r="BL51" s="19">
        <f>'Value Segment'!BG51+'Mid-Market Segment'!BG51+'Upper Mid-Market Segment'!BG51+'Premium Segment'!BG51+'Closures Overlay'!BG51+'Disposals Overlay'!BG51</f>
        <v>62417.234775483725</v>
      </c>
      <c r="BM51" s="19">
        <f>'Value Segment'!BH51+'Mid-Market Segment'!BH51+'Upper Mid-Market Segment'!BH51+'Premium Segment'!BH51+'Closures Overlay'!BH51+'Disposals Overlay'!BH51</f>
        <v>62417.234775483725</v>
      </c>
      <c r="BN51" s="19">
        <f>'Value Segment'!BI51+'Mid-Market Segment'!BI51+'Upper Mid-Market Segment'!BI51+'Premium Segment'!BI51+'Closures Overlay'!BI51+'Disposals Overlay'!BI51</f>
        <v>62417.234775483725</v>
      </c>
      <c r="BO51" s="19">
        <f>'Value Segment'!BJ51+'Mid-Market Segment'!BJ51+'Upper Mid-Market Segment'!BJ51+'Premium Segment'!BJ51+'Closures Overlay'!BJ51+'Disposals Overlay'!BJ51</f>
        <v>62417.234775483725</v>
      </c>
      <c r="BP51" s="19">
        <f>'Value Segment'!BK51+'Mid-Market Segment'!BK51+'Upper Mid-Market Segment'!BK51+'Premium Segment'!BK51+'Closures Overlay'!BK51+'Disposals Overlay'!BK51</f>
        <v>62417.234775483725</v>
      </c>
      <c r="BQ51" s="19">
        <f>'Value Segment'!BL51+'Mid-Market Segment'!BL51+'Upper Mid-Market Segment'!BL51+'Premium Segment'!BL51+'Closures Overlay'!BL51+'Disposals Overlay'!BL51</f>
        <v>62417.234775483725</v>
      </c>
      <c r="BR51" s="19">
        <f>'Value Segment'!BM51+'Mid-Market Segment'!BM51+'Upper Mid-Market Segment'!BM51+'Premium Segment'!BM51+'Closures Overlay'!BM51+'Disposals Overlay'!BM51</f>
        <v>60353.855113484264</v>
      </c>
      <c r="BS51" s="19">
        <f>'Value Segment'!BN51+'Mid-Market Segment'!BN51+'Upper Mid-Market Segment'!BN51+'Premium Segment'!BN51+'Closures Overlay'!BN51+'Disposals Overlay'!BN51</f>
        <v>60353.855113484264</v>
      </c>
      <c r="BT51" s="19">
        <f>'Value Segment'!BO51+'Mid-Market Segment'!BO51+'Upper Mid-Market Segment'!BO51+'Premium Segment'!BO51+'Closures Overlay'!BO51+'Disposals Overlay'!BO51</f>
        <v>60353.855113484264</v>
      </c>
      <c r="BU51" s="19">
        <f>'Value Segment'!BP51+'Mid-Market Segment'!BP51+'Upper Mid-Market Segment'!BP51+'Premium Segment'!BP51+'Closures Overlay'!BP51+'Disposals Overlay'!BP51</f>
        <v>60353.855113484264</v>
      </c>
      <c r="BV51" s="19">
        <f>'Value Segment'!BQ51+'Mid-Market Segment'!BQ51+'Upper Mid-Market Segment'!BQ51+'Premium Segment'!BQ51+'Closures Overlay'!BQ51+'Disposals Overlay'!BQ51</f>
        <v>60353.855113484264</v>
      </c>
      <c r="BW51" s="19">
        <f>'Value Segment'!BR51+'Mid-Market Segment'!BR51+'Upper Mid-Market Segment'!BR51+'Premium Segment'!BR51+'Closures Overlay'!BR51+'Disposals Overlay'!BR51</f>
        <v>60353.855113484264</v>
      </c>
      <c r="BX51" s="19">
        <f>'Value Segment'!BS51+'Mid-Market Segment'!BS51+'Upper Mid-Market Segment'!BS51+'Premium Segment'!BS51+'Closures Overlay'!BS51+'Disposals Overlay'!BS51</f>
        <v>58290.475451484803</v>
      </c>
      <c r="BY51" s="19">
        <f>'Value Segment'!BT51+'Mid-Market Segment'!BT51+'Upper Mid-Market Segment'!BT51+'Premium Segment'!BT51+'Closures Overlay'!BT51+'Disposals Overlay'!BT51</f>
        <v>58290.475451484803</v>
      </c>
      <c r="BZ51" s="19">
        <f>'Value Segment'!BU51+'Mid-Market Segment'!BU51+'Upper Mid-Market Segment'!BU51+'Premium Segment'!BU51+'Closures Overlay'!BU51+'Disposals Overlay'!BU51</f>
        <v>58290.475451484803</v>
      </c>
      <c r="CA51" s="19">
        <f>'Value Segment'!BV51+'Mid-Market Segment'!BV51+'Upper Mid-Market Segment'!BV51+'Premium Segment'!BV51+'Closures Overlay'!BV51+'Disposals Overlay'!BV51</f>
        <v>58290.475451484803</v>
      </c>
      <c r="CB51" s="19">
        <f>'Value Segment'!BW51+'Mid-Market Segment'!BW51+'Upper Mid-Market Segment'!BW51+'Premium Segment'!BW51+'Closures Overlay'!BW51+'Disposals Overlay'!BW51</f>
        <v>58290.475451484803</v>
      </c>
      <c r="CC51" s="19">
        <f>'Value Segment'!BX51+'Mid-Market Segment'!BX51+'Upper Mid-Market Segment'!BX51+'Premium Segment'!BX51+'Closures Overlay'!BX51+'Disposals Overlay'!BX51</f>
        <v>58290.475451484803</v>
      </c>
      <c r="CD51" s="19">
        <f>'Value Segment'!BY51+'Mid-Market Segment'!BY51+'Upper Mid-Market Segment'!BY51+'Premium Segment'!BY51+'Closures Overlay'!BY51+'Disposals Overlay'!BY51</f>
        <v>56227.095789485342</v>
      </c>
      <c r="CG51" s="8"/>
    </row>
    <row r="52" spans="1:85" x14ac:dyDescent="0.3">
      <c r="A52" s="7"/>
      <c r="B52" s="1"/>
      <c r="C52" s="40"/>
      <c r="D52" s="2"/>
      <c r="E52" s="4" t="s">
        <v>32</v>
      </c>
      <c r="F52" s="5"/>
      <c r="G52" s="5"/>
      <c r="H52" s="5"/>
      <c r="I52" s="500">
        <f>SUM(I48:I51)</f>
        <v>1679639.449999999</v>
      </c>
      <c r="J52" s="500">
        <f>SUM(J48:J51)</f>
        <v>1793945.060000001</v>
      </c>
      <c r="K52" s="500">
        <f>SUM(K48:K51)</f>
        <v>1923103.0300000003</v>
      </c>
      <c r="L52" s="500">
        <f>SUM(L48:L51)</f>
        <v>2006347.8123076917</v>
      </c>
      <c r="M52" s="5"/>
      <c r="N52" s="500">
        <f t="shared" ref="N52:S52" si="29">SUM(N48:N51)</f>
        <v>1964702.02829119</v>
      </c>
      <c r="O52" s="500">
        <f t="shared" si="29"/>
        <v>1929539.5758832938</v>
      </c>
      <c r="P52" s="500">
        <f t="shared" si="29"/>
        <v>1824052.2186596058</v>
      </c>
      <c r="Q52" s="500">
        <f t="shared" si="29"/>
        <v>1718564.8614359177</v>
      </c>
      <c r="R52" s="500">
        <f t="shared" si="29"/>
        <v>1613077.5042122295</v>
      </c>
      <c r="S52" s="500">
        <f t="shared" si="29"/>
        <v>1507590.1469885416</v>
      </c>
      <c r="T52" s="57"/>
      <c r="U52" s="55">
        <f>IFERROR(((S52/N52)^(1/5))-1,0)</f>
        <v>-5.158739065236706E-2</v>
      </c>
      <c r="W52" s="500">
        <f>SUM(W48:W51)</f>
        <v>163725.16902426584</v>
      </c>
      <c r="X52" s="500">
        <f t="shared" ref="X52:CD52" si="30">SUM(X48:X51)</f>
        <v>163725.16902426584</v>
      </c>
      <c r="Y52" s="500">
        <f t="shared" si="30"/>
        <v>163725.16902426584</v>
      </c>
      <c r="Z52" s="500">
        <f t="shared" si="30"/>
        <v>163725.16902426584</v>
      </c>
      <c r="AA52" s="500">
        <f t="shared" si="30"/>
        <v>163725.16902426584</v>
      </c>
      <c r="AB52" s="500">
        <f t="shared" si="30"/>
        <v>159329.86247327883</v>
      </c>
      <c r="AC52" s="500">
        <f t="shared" si="30"/>
        <v>159329.86247327883</v>
      </c>
      <c r="AD52" s="500">
        <f t="shared" si="30"/>
        <v>159329.86247327883</v>
      </c>
      <c r="AE52" s="500">
        <f t="shared" si="30"/>
        <v>159329.86247327883</v>
      </c>
      <c r="AF52" s="500">
        <f t="shared" si="30"/>
        <v>159329.86247327883</v>
      </c>
      <c r="AG52" s="500">
        <f t="shared" si="30"/>
        <v>159329.86247327883</v>
      </c>
      <c r="AH52" s="500">
        <f t="shared" si="30"/>
        <v>154934.55592229182</v>
      </c>
      <c r="AI52" s="500">
        <f t="shared" si="30"/>
        <v>154934.55592229182</v>
      </c>
      <c r="AJ52" s="500">
        <f t="shared" si="30"/>
        <v>154934.55592229182</v>
      </c>
      <c r="AK52" s="500">
        <f t="shared" si="30"/>
        <v>154934.55592229182</v>
      </c>
      <c r="AL52" s="500">
        <f t="shared" si="30"/>
        <v>154934.55592229182</v>
      </c>
      <c r="AM52" s="500">
        <f t="shared" si="30"/>
        <v>154934.55592229182</v>
      </c>
      <c r="AN52" s="500">
        <f t="shared" si="30"/>
        <v>150539.24937130482</v>
      </c>
      <c r="AO52" s="500">
        <f t="shared" si="30"/>
        <v>150539.24937130482</v>
      </c>
      <c r="AP52" s="500">
        <f t="shared" si="30"/>
        <v>150539.24937130482</v>
      </c>
      <c r="AQ52" s="500">
        <f t="shared" si="30"/>
        <v>150539.24937130482</v>
      </c>
      <c r="AR52" s="500">
        <f t="shared" si="30"/>
        <v>150539.24937130482</v>
      </c>
      <c r="AS52" s="500">
        <f t="shared" si="30"/>
        <v>150539.24937130482</v>
      </c>
      <c r="AT52" s="500">
        <f t="shared" si="30"/>
        <v>146143.94282031781</v>
      </c>
      <c r="AU52" s="500">
        <f t="shared" si="30"/>
        <v>146143.94282031781</v>
      </c>
      <c r="AV52" s="500">
        <f t="shared" si="30"/>
        <v>146143.94282031781</v>
      </c>
      <c r="AW52" s="500">
        <f t="shared" si="30"/>
        <v>146143.94282031781</v>
      </c>
      <c r="AX52" s="500">
        <f t="shared" si="30"/>
        <v>146143.94282031781</v>
      </c>
      <c r="AY52" s="500">
        <f t="shared" si="30"/>
        <v>146143.94282031781</v>
      </c>
      <c r="AZ52" s="500">
        <f t="shared" si="30"/>
        <v>141748.6362693308</v>
      </c>
      <c r="BA52" s="500">
        <f t="shared" si="30"/>
        <v>141748.6362693308</v>
      </c>
      <c r="BB52" s="500">
        <f t="shared" si="30"/>
        <v>141748.6362693308</v>
      </c>
      <c r="BC52" s="500">
        <f t="shared" si="30"/>
        <v>141748.6362693308</v>
      </c>
      <c r="BD52" s="500">
        <f t="shared" si="30"/>
        <v>141748.6362693308</v>
      </c>
      <c r="BE52" s="500">
        <f t="shared" si="30"/>
        <v>141748.6362693308</v>
      </c>
      <c r="BF52" s="500">
        <f t="shared" si="30"/>
        <v>137353.32971834383</v>
      </c>
      <c r="BG52" s="500">
        <f t="shared" si="30"/>
        <v>137353.32971834383</v>
      </c>
      <c r="BH52" s="500">
        <f t="shared" si="30"/>
        <v>137353.32971834383</v>
      </c>
      <c r="BI52" s="500">
        <f t="shared" si="30"/>
        <v>137353.32971834383</v>
      </c>
      <c r="BJ52" s="500">
        <f t="shared" si="30"/>
        <v>137353.32971834383</v>
      </c>
      <c r="BK52" s="500">
        <f t="shared" si="30"/>
        <v>137353.32971834383</v>
      </c>
      <c r="BL52" s="500">
        <f t="shared" si="30"/>
        <v>132958.02316735682</v>
      </c>
      <c r="BM52" s="500">
        <f t="shared" si="30"/>
        <v>132958.02316735682</v>
      </c>
      <c r="BN52" s="500">
        <f t="shared" si="30"/>
        <v>132958.02316735682</v>
      </c>
      <c r="BO52" s="500">
        <f t="shared" si="30"/>
        <v>132958.02316735682</v>
      </c>
      <c r="BP52" s="500">
        <f t="shared" si="30"/>
        <v>132958.02316735682</v>
      </c>
      <c r="BQ52" s="500">
        <f t="shared" si="30"/>
        <v>132958.02316735682</v>
      </c>
      <c r="BR52" s="500">
        <f t="shared" si="30"/>
        <v>128562.71661636981</v>
      </c>
      <c r="BS52" s="500">
        <f t="shared" si="30"/>
        <v>128562.71661636981</v>
      </c>
      <c r="BT52" s="500">
        <f t="shared" si="30"/>
        <v>128562.71661636981</v>
      </c>
      <c r="BU52" s="500">
        <f t="shared" si="30"/>
        <v>128562.71661636981</v>
      </c>
      <c r="BV52" s="500">
        <f t="shared" si="30"/>
        <v>128562.71661636981</v>
      </c>
      <c r="BW52" s="500">
        <f t="shared" si="30"/>
        <v>128562.71661636981</v>
      </c>
      <c r="BX52" s="500">
        <f t="shared" si="30"/>
        <v>124167.41006538281</v>
      </c>
      <c r="BY52" s="500">
        <f t="shared" si="30"/>
        <v>124167.41006538281</v>
      </c>
      <c r="BZ52" s="500">
        <f t="shared" si="30"/>
        <v>124167.41006538281</v>
      </c>
      <c r="CA52" s="500">
        <f t="shared" si="30"/>
        <v>124167.41006538281</v>
      </c>
      <c r="CB52" s="500">
        <f t="shared" si="30"/>
        <v>124167.41006538281</v>
      </c>
      <c r="CC52" s="500">
        <f t="shared" si="30"/>
        <v>124167.41006538281</v>
      </c>
      <c r="CD52" s="500">
        <f t="shared" si="30"/>
        <v>119772.1035143958</v>
      </c>
      <c r="CG52" s="8"/>
    </row>
    <row r="53" spans="1:85" x14ac:dyDescent="0.3">
      <c r="A53" s="7"/>
      <c r="B53" s="1"/>
      <c r="C53" s="40"/>
      <c r="D53" s="2"/>
      <c r="E53" s="2"/>
      <c r="F53" s="37"/>
      <c r="G53" s="37"/>
      <c r="H53" s="37"/>
      <c r="I53" s="37"/>
      <c r="J53" s="37"/>
      <c r="K53" s="37"/>
      <c r="L53" s="37"/>
      <c r="M53" s="37"/>
      <c r="N53" s="37"/>
      <c r="O53" s="37"/>
      <c r="P53" s="37"/>
      <c r="Q53" s="37"/>
      <c r="R53" s="37"/>
      <c r="S53" s="37"/>
      <c r="T53" s="37"/>
      <c r="U53" s="35"/>
      <c r="W53" s="37"/>
      <c r="X53" s="37"/>
      <c r="Y53" s="37"/>
      <c r="Z53" s="37"/>
      <c r="AA53" s="37"/>
      <c r="AB53" s="37"/>
      <c r="AC53" s="37"/>
      <c r="AD53" s="37"/>
      <c r="AE53" s="37"/>
      <c r="AF53" s="37"/>
      <c r="AG53" s="37"/>
      <c r="AH53" s="37"/>
      <c r="AI53" s="37"/>
      <c r="AJ53" s="37"/>
      <c r="AK53" s="37"/>
      <c r="AL53" s="37"/>
      <c r="AM53" s="37"/>
      <c r="AN53" s="37"/>
      <c r="AO53" s="37"/>
      <c r="AP53" s="37"/>
      <c r="AQ53" s="37"/>
      <c r="AR53" s="37"/>
      <c r="AS53" s="37"/>
      <c r="AT53" s="37"/>
      <c r="AU53" s="37"/>
      <c r="AV53" s="37"/>
      <c r="AW53" s="37"/>
      <c r="AX53" s="37"/>
      <c r="AY53" s="37"/>
      <c r="AZ53" s="37"/>
      <c r="BA53" s="37"/>
      <c r="BB53" s="37"/>
      <c r="BC53" s="37"/>
      <c r="BD53" s="37"/>
      <c r="BE53" s="37"/>
      <c r="BF53" s="37"/>
      <c r="BG53" s="37"/>
      <c r="BH53" s="37"/>
      <c r="BI53" s="37"/>
      <c r="BJ53" s="37"/>
      <c r="BK53" s="37"/>
      <c r="BL53" s="37"/>
      <c r="BM53" s="37"/>
      <c r="BN53" s="37"/>
      <c r="BO53" s="37"/>
      <c r="BP53" s="37"/>
      <c r="BQ53" s="37"/>
      <c r="BR53" s="37"/>
      <c r="BS53" s="37"/>
      <c r="BT53" s="37"/>
      <c r="BU53" s="37"/>
      <c r="BV53" s="37"/>
      <c r="BW53" s="37"/>
      <c r="BX53" s="37"/>
      <c r="BY53" s="37"/>
      <c r="BZ53" s="37"/>
      <c r="CA53" s="37"/>
      <c r="CB53" s="37"/>
      <c r="CC53" s="37"/>
      <c r="CD53" s="37"/>
    </row>
    <row r="54" spans="1:85" x14ac:dyDescent="0.3">
      <c r="A54" s="7"/>
      <c r="B54" s="1"/>
      <c r="C54" s="40"/>
      <c r="D54" s="2"/>
      <c r="E54" s="62" t="s">
        <v>33</v>
      </c>
      <c r="F54" s="63"/>
      <c r="G54" s="63"/>
      <c r="H54" s="63"/>
      <c r="I54" s="501">
        <f>SUM(I39,I45,I52)</f>
        <v>26289514.880000014</v>
      </c>
      <c r="J54" s="501">
        <f>SUM(J39,J45,J52)</f>
        <v>27926190.47000001</v>
      </c>
      <c r="K54" s="501">
        <f>SUM(K39,K45,K52)</f>
        <v>28360011.07</v>
      </c>
      <c r="L54" s="501">
        <f>SUM(L39,L45,L52)</f>
        <v>28583857.072307676</v>
      </c>
      <c r="M54" s="63"/>
      <c r="N54" s="501">
        <f t="shared" ref="N54:S54" si="31">SUM(N39,N45,N52)</f>
        <v>29499231.195577443</v>
      </c>
      <c r="O54" s="501">
        <f t="shared" si="31"/>
        <v>30517356.273421608</v>
      </c>
      <c r="P54" s="501">
        <f t="shared" si="31"/>
        <v>30600471.673059247</v>
      </c>
      <c r="Q54" s="501">
        <f t="shared" si="31"/>
        <v>30522840.052072864</v>
      </c>
      <c r="R54" s="501">
        <f t="shared" si="31"/>
        <v>30271104.572321467</v>
      </c>
      <c r="S54" s="501">
        <f t="shared" si="31"/>
        <v>29881514.104403973</v>
      </c>
      <c r="T54" s="57"/>
      <c r="U54" s="55">
        <f>IFERROR(((S54/N54)^(1/5))-1,0)</f>
        <v>2.5784845839069703E-3</v>
      </c>
      <c r="V54" s="8"/>
      <c r="W54" s="501">
        <f>SUM(W39,W45,W52)</f>
        <v>2559089.1573734856</v>
      </c>
      <c r="X54" s="501">
        <f t="shared" ref="X54:CD54" si="32">SUM(X39,X45,X52)</f>
        <v>2559089.1573734856</v>
      </c>
      <c r="Y54" s="501">
        <f t="shared" si="32"/>
        <v>2559089.1573734856</v>
      </c>
      <c r="Z54" s="501">
        <f t="shared" si="32"/>
        <v>2559089.1573734856</v>
      </c>
      <c r="AA54" s="501">
        <f t="shared" si="32"/>
        <v>2559089.1573734856</v>
      </c>
      <c r="AB54" s="501">
        <f t="shared" si="32"/>
        <v>2490388.7773097679</v>
      </c>
      <c r="AC54" s="501">
        <f t="shared" si="32"/>
        <v>2550312.5263746418</v>
      </c>
      <c r="AD54" s="501">
        <f t="shared" si="32"/>
        <v>2550312.5263746418</v>
      </c>
      <c r="AE54" s="501">
        <f t="shared" si="32"/>
        <v>2550312.5263746418</v>
      </c>
      <c r="AF54" s="501">
        <f t="shared" si="32"/>
        <v>2550312.5263746418</v>
      </c>
      <c r="AG54" s="501">
        <f t="shared" si="32"/>
        <v>2550312.5263746418</v>
      </c>
      <c r="AH54" s="501">
        <f t="shared" si="32"/>
        <v>2479959.0773712029</v>
      </c>
      <c r="AI54" s="501">
        <f t="shared" si="32"/>
        <v>2562270.3451608247</v>
      </c>
      <c r="AJ54" s="501">
        <f t="shared" si="32"/>
        <v>2562270.3451608247</v>
      </c>
      <c r="AK54" s="501">
        <f t="shared" si="32"/>
        <v>2562270.3451608247</v>
      </c>
      <c r="AL54" s="501">
        <f t="shared" si="32"/>
        <v>2562270.3451608247</v>
      </c>
      <c r="AM54" s="501">
        <f t="shared" si="32"/>
        <v>2562270.3451608247</v>
      </c>
      <c r="AN54" s="501">
        <f t="shared" si="32"/>
        <v>2489581.8247307301</v>
      </c>
      <c r="AO54" s="501">
        <f t="shared" si="32"/>
        <v>2562392.0816452815</v>
      </c>
      <c r="AP54" s="501">
        <f t="shared" si="32"/>
        <v>2562392.0816452815</v>
      </c>
      <c r="AQ54" s="501">
        <f t="shared" si="32"/>
        <v>2562392.0816452815</v>
      </c>
      <c r="AR54" s="501">
        <f t="shared" si="32"/>
        <v>2562392.0816452815</v>
      </c>
      <c r="AS54" s="501">
        <f t="shared" si="32"/>
        <v>2562392.0816452815</v>
      </c>
      <c r="AT54" s="501">
        <f t="shared" si="32"/>
        <v>2487577.7142979754</v>
      </c>
      <c r="AU54" s="501">
        <f t="shared" si="32"/>
        <v>2552553.4940294642</v>
      </c>
      <c r="AV54" s="501">
        <f t="shared" si="32"/>
        <v>2552553.4940294642</v>
      </c>
      <c r="AW54" s="501">
        <f t="shared" si="32"/>
        <v>2552553.4940294642</v>
      </c>
      <c r="AX54" s="501">
        <f t="shared" si="32"/>
        <v>2552553.4940294642</v>
      </c>
      <c r="AY54" s="501">
        <f t="shared" si="32"/>
        <v>2552553.4940294642</v>
      </c>
      <c r="AZ54" s="501">
        <f t="shared" si="32"/>
        <v>2475784.9678932391</v>
      </c>
      <c r="BA54" s="501">
        <f t="shared" si="32"/>
        <v>2560614.4184547635</v>
      </c>
      <c r="BB54" s="501">
        <f t="shared" si="32"/>
        <v>2560614.4184547635</v>
      </c>
      <c r="BC54" s="501">
        <f t="shared" si="32"/>
        <v>2560614.4184547635</v>
      </c>
      <c r="BD54" s="501">
        <f t="shared" si="32"/>
        <v>2560614.4184547635</v>
      </c>
      <c r="BE54" s="501">
        <f t="shared" si="32"/>
        <v>2560614.4184547635</v>
      </c>
      <c r="BF54" s="501">
        <f t="shared" si="32"/>
        <v>2481215.5217584912</v>
      </c>
      <c r="BG54" s="501">
        <f t="shared" si="32"/>
        <v>2528900.3855169686</v>
      </c>
      <c r="BH54" s="501">
        <f t="shared" si="32"/>
        <v>2528900.3855169686</v>
      </c>
      <c r="BI54" s="501">
        <f t="shared" si="32"/>
        <v>2528900.3855169686</v>
      </c>
      <c r="BJ54" s="501">
        <f t="shared" si="32"/>
        <v>2528900.3855169686</v>
      </c>
      <c r="BK54" s="501">
        <f t="shared" si="32"/>
        <v>2528900.3855169686</v>
      </c>
      <c r="BL54" s="501">
        <f t="shared" si="32"/>
        <v>2447975.573180425</v>
      </c>
      <c r="BM54" s="501">
        <f t="shared" si="32"/>
        <v>2543786.5313826874</v>
      </c>
      <c r="BN54" s="501">
        <f t="shared" si="32"/>
        <v>2543786.5313826874</v>
      </c>
      <c r="BO54" s="501">
        <f t="shared" si="32"/>
        <v>2543786.5313826874</v>
      </c>
      <c r="BP54" s="501">
        <f t="shared" si="32"/>
        <v>2543786.5313826874</v>
      </c>
      <c r="BQ54" s="501">
        <f t="shared" si="32"/>
        <v>2543786.5313826874</v>
      </c>
      <c r="BR54" s="501">
        <f t="shared" si="32"/>
        <v>2459694.4146427633</v>
      </c>
      <c r="BS54" s="501">
        <f t="shared" si="32"/>
        <v>2494489.6798617989</v>
      </c>
      <c r="BT54" s="501">
        <f t="shared" si="32"/>
        <v>2494489.6798617989</v>
      </c>
      <c r="BU54" s="501">
        <f t="shared" si="32"/>
        <v>2494489.6798617989</v>
      </c>
      <c r="BV54" s="501">
        <f t="shared" si="32"/>
        <v>2494489.6798617989</v>
      </c>
      <c r="BW54" s="501">
        <f t="shared" si="32"/>
        <v>2494489.6798617989</v>
      </c>
      <c r="BX54" s="501">
        <f t="shared" si="32"/>
        <v>2409207.9814049853</v>
      </c>
      <c r="BY54" s="501">
        <f t="shared" si="32"/>
        <v>2514812.9418055927</v>
      </c>
      <c r="BZ54" s="501">
        <f t="shared" si="32"/>
        <v>2514812.9418055927</v>
      </c>
      <c r="CA54" s="501">
        <f t="shared" si="32"/>
        <v>2514812.9418055927</v>
      </c>
      <c r="CB54" s="501">
        <f t="shared" si="32"/>
        <v>2514812.9418055927</v>
      </c>
      <c r="CC54" s="501">
        <f t="shared" si="32"/>
        <v>2514812.9418055927</v>
      </c>
      <c r="CD54" s="501">
        <f t="shared" si="32"/>
        <v>2425793.014662032</v>
      </c>
      <c r="CG54" s="8"/>
    </row>
    <row r="55" spans="1:85" x14ac:dyDescent="0.3">
      <c r="A55" s="7"/>
      <c r="B55" s="1"/>
      <c r="C55" s="40"/>
      <c r="D55" s="2"/>
      <c r="E55" s="2"/>
      <c r="F55" s="37"/>
      <c r="G55" s="37"/>
      <c r="H55" s="37"/>
      <c r="I55" s="37"/>
      <c r="J55" s="37"/>
      <c r="K55" s="37"/>
      <c r="L55" s="37"/>
      <c r="M55" s="37"/>
      <c r="N55" s="37"/>
      <c r="O55" s="37"/>
      <c r="P55" s="37"/>
      <c r="Q55" s="37"/>
      <c r="R55" s="37"/>
      <c r="S55" s="37"/>
      <c r="T55" s="37"/>
      <c r="U55" s="35"/>
      <c r="W55" s="37"/>
      <c r="X55" s="37"/>
      <c r="Y55" s="37"/>
      <c r="Z55" s="37"/>
      <c r="AA55" s="37"/>
      <c r="AB55" s="37"/>
      <c r="AC55" s="37"/>
      <c r="AD55" s="37"/>
      <c r="AE55" s="37"/>
      <c r="AF55" s="37"/>
      <c r="AG55" s="37"/>
      <c r="AH55" s="37"/>
      <c r="AI55" s="37"/>
      <c r="AJ55" s="37"/>
      <c r="AK55" s="37"/>
      <c r="AL55" s="37"/>
      <c r="AM55" s="37"/>
      <c r="AN55" s="37"/>
      <c r="AO55" s="37"/>
      <c r="AP55" s="37"/>
      <c r="AQ55" s="37"/>
      <c r="AR55" s="37"/>
      <c r="AS55" s="37"/>
      <c r="AT55" s="37"/>
      <c r="AU55" s="37"/>
      <c r="AV55" s="37"/>
      <c r="AW55" s="37"/>
      <c r="AX55" s="37"/>
      <c r="AY55" s="37"/>
      <c r="AZ55" s="37"/>
      <c r="BA55" s="37"/>
      <c r="BB55" s="37"/>
      <c r="BC55" s="37"/>
      <c r="BD55" s="37"/>
      <c r="BE55" s="37"/>
      <c r="BF55" s="37"/>
      <c r="BG55" s="37"/>
      <c r="BH55" s="37"/>
      <c r="BI55" s="37"/>
      <c r="BJ55" s="37"/>
      <c r="BK55" s="37"/>
      <c r="BL55" s="37"/>
      <c r="BM55" s="37"/>
      <c r="BN55" s="37"/>
      <c r="BO55" s="37"/>
      <c r="BP55" s="37"/>
      <c r="BQ55" s="37"/>
      <c r="BR55" s="37"/>
      <c r="BS55" s="37"/>
      <c r="BT55" s="37"/>
      <c r="BU55" s="37"/>
      <c r="BV55" s="37"/>
      <c r="BW55" s="37"/>
      <c r="BX55" s="37"/>
      <c r="BY55" s="37"/>
      <c r="BZ55" s="37"/>
      <c r="CA55" s="37"/>
      <c r="CB55" s="37"/>
      <c r="CC55" s="37"/>
      <c r="CD55" s="37"/>
    </row>
    <row r="56" spans="1:85" x14ac:dyDescent="0.3">
      <c r="A56" s="7"/>
      <c r="B56" s="1"/>
      <c r="C56" s="40"/>
      <c r="D56" s="2"/>
      <c r="E56" s="17" t="s">
        <v>51</v>
      </c>
      <c r="F56" s="37"/>
      <c r="G56" s="37"/>
      <c r="H56" s="37"/>
      <c r="I56" s="37"/>
      <c r="J56" s="37"/>
      <c r="K56" s="37"/>
      <c r="L56" s="37"/>
      <c r="M56" s="37"/>
      <c r="N56" s="37"/>
      <c r="O56" s="37"/>
      <c r="P56" s="37"/>
      <c r="Q56" s="37"/>
      <c r="R56" s="37"/>
      <c r="S56" s="37"/>
      <c r="T56" s="37"/>
      <c r="U56" s="35"/>
      <c r="W56" s="37"/>
      <c r="X56" s="37"/>
      <c r="Y56" s="37"/>
      <c r="Z56" s="37"/>
      <c r="AA56" s="37"/>
      <c r="AB56" s="37"/>
      <c r="AC56" s="37"/>
      <c r="AD56" s="37"/>
      <c r="AE56" s="37"/>
      <c r="AF56" s="37"/>
      <c r="AG56" s="37"/>
      <c r="AH56" s="37"/>
      <c r="AI56" s="37"/>
      <c r="AJ56" s="37"/>
      <c r="AK56" s="37"/>
      <c r="AL56" s="37"/>
      <c r="AM56" s="37"/>
      <c r="AN56" s="37"/>
      <c r="AO56" s="37"/>
      <c r="AP56" s="37"/>
      <c r="AQ56" s="37"/>
      <c r="AR56" s="37"/>
      <c r="AS56" s="37"/>
      <c r="AT56" s="37"/>
      <c r="AU56" s="37"/>
      <c r="AV56" s="37"/>
      <c r="AW56" s="37"/>
      <c r="AX56" s="37"/>
      <c r="AY56" s="37"/>
      <c r="AZ56" s="37"/>
      <c r="BA56" s="37"/>
      <c r="BB56" s="37"/>
      <c r="BC56" s="37"/>
      <c r="BD56" s="37"/>
      <c r="BE56" s="37"/>
      <c r="BF56" s="37"/>
      <c r="BG56" s="37"/>
      <c r="BH56" s="37"/>
      <c r="BI56" s="37"/>
      <c r="BJ56" s="37"/>
      <c r="BK56" s="37"/>
      <c r="BL56" s="37"/>
      <c r="BM56" s="37"/>
      <c r="BN56" s="37"/>
      <c r="BO56" s="37"/>
      <c r="BP56" s="37"/>
      <c r="BQ56" s="37"/>
      <c r="BR56" s="37"/>
      <c r="BS56" s="37"/>
      <c r="BT56" s="37"/>
      <c r="BU56" s="37"/>
      <c r="BV56" s="37"/>
      <c r="BW56" s="37"/>
      <c r="BX56" s="37"/>
      <c r="BY56" s="37"/>
      <c r="BZ56" s="37"/>
      <c r="CA56" s="37"/>
      <c r="CB56" s="37"/>
      <c r="CC56" s="37"/>
      <c r="CD56" s="37"/>
    </row>
    <row r="57" spans="1:85" x14ac:dyDescent="0.3">
      <c r="A57" s="7"/>
      <c r="B57" s="1"/>
      <c r="C57" s="40"/>
      <c r="D57" s="2"/>
      <c r="E57" s="2" t="s">
        <v>19</v>
      </c>
      <c r="F57" s="54"/>
      <c r="G57" s="54"/>
      <c r="H57" s="54"/>
      <c r="I57" s="67">
        <v>-626159.86</v>
      </c>
      <c r="J57" s="67">
        <v>-873385.43999999959</v>
      </c>
      <c r="K57" s="67">
        <v>-582458.56000000006</v>
      </c>
      <c r="L57" s="67">
        <v>-564690.03</v>
      </c>
      <c r="M57" s="54"/>
      <c r="N57" s="19">
        <f>'Value Segment'!I57+'Mid-Market Segment'!I57+'Upper Mid-Market Segment'!I57+'Premium Segment'!I57+'Closures Overlay'!I57+'Disposals Overlay'!I57</f>
        <v>-576809.09941981453</v>
      </c>
      <c r="O57" s="19">
        <f>'Value Segment'!J57+'Mid-Market Segment'!J57+'Upper Mid-Market Segment'!J57+'Premium Segment'!J57+'Closures Overlay'!J57+'Disposals Overlay'!J57</f>
        <v>-577815.61194229196</v>
      </c>
      <c r="P57" s="19">
        <f>'Value Segment'!K57+'Mid-Market Segment'!K57+'Upper Mid-Market Segment'!K57+'Premium Segment'!K57+'Closures Overlay'!K57+'Disposals Overlay'!K57</f>
        <v>-557151.13561542646</v>
      </c>
      <c r="Q57" s="19">
        <f>'Value Segment'!L57+'Mid-Market Segment'!L57+'Upper Mid-Market Segment'!L57+'Premium Segment'!L57+'Closures Overlay'!L57+'Disposals Overlay'!L57</f>
        <v>-535428.95399070939</v>
      </c>
      <c r="R57" s="19">
        <f>'Value Segment'!M57+'Mid-Market Segment'!M57+'Upper Mid-Market Segment'!M57+'Premium Segment'!M57+'Closures Overlay'!M57+'Disposals Overlay'!M57</f>
        <v>-512615.0246467574</v>
      </c>
      <c r="S57" s="19">
        <f>'Value Segment'!N57+'Mid-Market Segment'!N57+'Upper Mid-Market Segment'!N57+'Premium Segment'!N57+'Closures Overlay'!N57+'Disposals Overlay'!N57</f>
        <v>-488674.3665474513</v>
      </c>
      <c r="T57" s="37"/>
      <c r="U57" s="50">
        <f>IFERROR(((S57/N57)^(1/5))-1,0)</f>
        <v>-3.261913846541431E-2</v>
      </c>
      <c r="W57" s="19">
        <f>'Value Segment'!R57+'Mid-Market Segment'!R57+'Upper Mid-Market Segment'!R57+'Premium Segment'!R57+'Closures Overlay'!R57+'Disposals Overlay'!R57</f>
        <v>-49028.773450684239</v>
      </c>
      <c r="X57" s="19">
        <f>'Value Segment'!S57+'Mid-Market Segment'!S57+'Upper Mid-Market Segment'!S57+'Premium Segment'!S57+'Closures Overlay'!S57+'Disposals Overlay'!S57</f>
        <v>-49028.773450684239</v>
      </c>
      <c r="Y57" s="19">
        <f>'Value Segment'!T57+'Mid-Market Segment'!T57+'Upper Mid-Market Segment'!T57+'Premium Segment'!T57+'Closures Overlay'!T57+'Disposals Overlay'!T57</f>
        <v>-49028.773450684239</v>
      </c>
      <c r="Z57" s="19">
        <f>'Value Segment'!U57+'Mid-Market Segment'!U57+'Upper Mid-Market Segment'!U57+'Premium Segment'!U57+'Closures Overlay'!U57+'Disposals Overlay'!U57</f>
        <v>-49028.773450684239</v>
      </c>
      <c r="AA57" s="19">
        <f>'Value Segment'!V57+'Mid-Market Segment'!V57+'Upper Mid-Market Segment'!V57+'Premium Segment'!V57+'Closures Overlay'!V57+'Disposals Overlay'!V57</f>
        <v>-49028.773450684239</v>
      </c>
      <c r="AB57" s="19">
        <f>'Value Segment'!W57+'Mid-Market Segment'!W57+'Upper Mid-Market Segment'!W57+'Premium Segment'!W57+'Closures Overlay'!W57+'Disposals Overlay'!W57</f>
        <v>-47712.564767444397</v>
      </c>
      <c r="AC57" s="19">
        <f>'Value Segment'!X57+'Mid-Market Segment'!X57+'Upper Mid-Market Segment'!X57+'Premium Segment'!X57+'Closures Overlay'!X57+'Disposals Overlay'!X57</f>
        <v>-47712.564767444397</v>
      </c>
      <c r="AD57" s="19">
        <f>'Value Segment'!Y57+'Mid-Market Segment'!Y57+'Upper Mid-Market Segment'!Y57+'Premium Segment'!Y57+'Closures Overlay'!Y57+'Disposals Overlay'!Y57</f>
        <v>-47712.564767444397</v>
      </c>
      <c r="AE57" s="19">
        <f>'Value Segment'!Z57+'Mid-Market Segment'!Z57+'Upper Mid-Market Segment'!Z57+'Premium Segment'!Z57+'Closures Overlay'!Z57+'Disposals Overlay'!Z57</f>
        <v>-47712.564767444397</v>
      </c>
      <c r="AF57" s="19">
        <f>'Value Segment'!AA57+'Mid-Market Segment'!AA57+'Upper Mid-Market Segment'!AA57+'Premium Segment'!AA57+'Closures Overlay'!AA57+'Disposals Overlay'!AA57</f>
        <v>-47712.564767444397</v>
      </c>
      <c r="AG57" s="19">
        <f>'Value Segment'!AB57+'Mid-Market Segment'!AB57+'Upper Mid-Market Segment'!AB57+'Premium Segment'!AB57+'Closures Overlay'!AB57+'Disposals Overlay'!AB57</f>
        <v>-47712.564767444397</v>
      </c>
      <c r="AH57" s="19">
        <f>'Value Segment'!AC57+'Mid-Market Segment'!AC57+'Upper Mid-Market Segment'!AC57+'Premium Segment'!AC57+'Closures Overlay'!AC57+'Disposals Overlay'!AC57</f>
        <v>-46396.356084204548</v>
      </c>
      <c r="AI57" s="19">
        <f>'Value Segment'!AD57+'Mid-Market Segment'!AD57+'Upper Mid-Market Segment'!AD57+'Premium Segment'!AD57+'Closures Overlay'!AD57+'Disposals Overlay'!AD57</f>
        <v>-47324.283205888642</v>
      </c>
      <c r="AJ57" s="19">
        <f>'Value Segment'!AE57+'Mid-Market Segment'!AE57+'Upper Mid-Market Segment'!AE57+'Premium Segment'!AE57+'Closures Overlay'!AE57+'Disposals Overlay'!AE57</f>
        <v>-47324.283205888642</v>
      </c>
      <c r="AK57" s="19">
        <f>'Value Segment'!AF57+'Mid-Market Segment'!AF57+'Upper Mid-Market Segment'!AF57+'Premium Segment'!AF57+'Closures Overlay'!AF57+'Disposals Overlay'!AF57</f>
        <v>-47324.283205888642</v>
      </c>
      <c r="AL57" s="19">
        <f>'Value Segment'!AG57+'Mid-Market Segment'!AG57+'Upper Mid-Market Segment'!AG57+'Premium Segment'!AG57+'Closures Overlay'!AG57+'Disposals Overlay'!AG57</f>
        <v>-47324.283205888642</v>
      </c>
      <c r="AM57" s="19">
        <f>'Value Segment'!AH57+'Mid-Market Segment'!AH57+'Upper Mid-Market Segment'!AH57+'Premium Segment'!AH57+'Closures Overlay'!AH57+'Disposals Overlay'!AH57</f>
        <v>-47324.283205888642</v>
      </c>
      <c r="AN57" s="19">
        <f>'Value Segment'!AI57+'Mid-Market Segment'!AI57+'Upper Mid-Market Segment'!AI57+'Premium Segment'!AI57+'Closures Overlay'!AI57+'Disposals Overlay'!AI57</f>
        <v>-45981.750348984002</v>
      </c>
      <c r="AO57" s="19">
        <f>'Value Segment'!AJ57+'Mid-Market Segment'!AJ57+'Upper Mid-Market Segment'!AJ57+'Premium Segment'!AJ57+'Closures Overlay'!AJ57+'Disposals Overlay'!AJ57</f>
        <v>-45981.750348984002</v>
      </c>
      <c r="AP57" s="19">
        <f>'Value Segment'!AK57+'Mid-Market Segment'!AK57+'Upper Mid-Market Segment'!AK57+'Premium Segment'!AK57+'Closures Overlay'!AK57+'Disposals Overlay'!AK57</f>
        <v>-45981.750348984002</v>
      </c>
      <c r="AQ57" s="19">
        <f>'Value Segment'!AL57+'Mid-Market Segment'!AL57+'Upper Mid-Market Segment'!AL57+'Premium Segment'!AL57+'Closures Overlay'!AL57+'Disposals Overlay'!AL57</f>
        <v>-45981.750348984002</v>
      </c>
      <c r="AR57" s="19">
        <f>'Value Segment'!AM57+'Mid-Market Segment'!AM57+'Upper Mid-Market Segment'!AM57+'Premium Segment'!AM57+'Closures Overlay'!AM57+'Disposals Overlay'!AM57</f>
        <v>-45981.750348984002</v>
      </c>
      <c r="AS57" s="19">
        <f>'Value Segment'!AN57+'Mid-Market Segment'!AN57+'Upper Mid-Market Segment'!AN57+'Premium Segment'!AN57+'Closures Overlay'!AN57+'Disposals Overlay'!AN57</f>
        <v>-45981.750348984002</v>
      </c>
      <c r="AT57" s="19">
        <f>'Value Segment'!AO57+'Mid-Market Segment'!AO57+'Upper Mid-Market Segment'!AO57+'Premium Segment'!AO57+'Closures Overlay'!AO57+'Disposals Overlay'!AO57</f>
        <v>-44639.217492079362</v>
      </c>
      <c r="AU57" s="19">
        <f>'Value Segment'!AP57+'Mid-Market Segment'!AP57+'Upper Mid-Market Segment'!AP57+'Premium Segment'!AP57+'Closures Overlay'!AP57+'Disposals Overlay'!AP57</f>
        <v>-45532.001841920945</v>
      </c>
      <c r="AV57" s="19">
        <f>'Value Segment'!AQ57+'Mid-Market Segment'!AQ57+'Upper Mid-Market Segment'!AQ57+'Premium Segment'!AQ57+'Closures Overlay'!AQ57+'Disposals Overlay'!AQ57</f>
        <v>-45532.001841920945</v>
      </c>
      <c r="AW57" s="19">
        <f>'Value Segment'!AR57+'Mid-Market Segment'!AR57+'Upper Mid-Market Segment'!AR57+'Premium Segment'!AR57+'Closures Overlay'!AR57+'Disposals Overlay'!AR57</f>
        <v>-45532.001841920945</v>
      </c>
      <c r="AX57" s="19">
        <f>'Value Segment'!AS57+'Mid-Market Segment'!AS57+'Upper Mid-Market Segment'!AS57+'Premium Segment'!AS57+'Closures Overlay'!AS57+'Disposals Overlay'!AS57</f>
        <v>-45532.001841920945</v>
      </c>
      <c r="AY57" s="19">
        <f>'Value Segment'!AT57+'Mid-Market Segment'!AT57+'Upper Mid-Market Segment'!AT57+'Premium Segment'!AT57+'Closures Overlay'!AT57+'Disposals Overlay'!AT57</f>
        <v>-45532.001841920945</v>
      </c>
      <c r="AZ57" s="19">
        <f>'Value Segment'!AU57+'Mid-Market Segment'!AU57+'Upper Mid-Market Segment'!AU57+'Premium Segment'!AU57+'Closures Overlay'!AU57+'Disposals Overlay'!AU57</f>
        <v>-44162.618327878212</v>
      </c>
      <c r="BA57" s="19">
        <f>'Value Segment'!AV57+'Mid-Market Segment'!AV57+'Upper Mid-Market Segment'!AV57+'Premium Segment'!AV57+'Closures Overlay'!AV57+'Disposals Overlay'!AV57</f>
        <v>-44162.618327878212</v>
      </c>
      <c r="BB57" s="19">
        <f>'Value Segment'!AW57+'Mid-Market Segment'!AW57+'Upper Mid-Market Segment'!AW57+'Premium Segment'!AW57+'Closures Overlay'!AW57+'Disposals Overlay'!AW57</f>
        <v>-44162.618327878212</v>
      </c>
      <c r="BC57" s="19">
        <f>'Value Segment'!AX57+'Mid-Market Segment'!AX57+'Upper Mid-Market Segment'!AX57+'Premium Segment'!AX57+'Closures Overlay'!AX57+'Disposals Overlay'!AX57</f>
        <v>-44162.618327878212</v>
      </c>
      <c r="BD57" s="19">
        <f>'Value Segment'!AY57+'Mid-Market Segment'!AY57+'Upper Mid-Market Segment'!AY57+'Premium Segment'!AY57+'Closures Overlay'!AY57+'Disposals Overlay'!AY57</f>
        <v>-44162.618327878212</v>
      </c>
      <c r="BE57" s="19">
        <f>'Value Segment'!AZ57+'Mid-Market Segment'!AZ57+'Upper Mid-Market Segment'!AZ57+'Premium Segment'!AZ57+'Closures Overlay'!AZ57+'Disposals Overlay'!AZ57</f>
        <v>-44162.618327878212</v>
      </c>
      <c r="BF57" s="19">
        <f>'Value Segment'!BA57+'Mid-Market Segment'!BA57+'Upper Mid-Market Segment'!BA57+'Premium Segment'!BA57+'Closures Overlay'!BA57+'Disposals Overlay'!BA57</f>
        <v>-42793.234813835472</v>
      </c>
      <c r="BG57" s="19">
        <f>'Value Segment'!BB57+'Mid-Market Segment'!BB57+'Upper Mid-Market Segment'!BB57+'Premium Segment'!BB57+'Closures Overlay'!BB57+'Disposals Overlay'!BB57</f>
        <v>-43649.099510112181</v>
      </c>
      <c r="BH57" s="19">
        <f>'Value Segment'!BC57+'Mid-Market Segment'!BC57+'Upper Mid-Market Segment'!BC57+'Premium Segment'!BC57+'Closures Overlay'!BC57+'Disposals Overlay'!BC57</f>
        <v>-43649.099510112181</v>
      </c>
      <c r="BI57" s="19">
        <f>'Value Segment'!BD57+'Mid-Market Segment'!BD57+'Upper Mid-Market Segment'!BD57+'Premium Segment'!BD57+'Closures Overlay'!BD57+'Disposals Overlay'!BD57</f>
        <v>-43649.099510112181</v>
      </c>
      <c r="BJ57" s="19">
        <f>'Value Segment'!BE57+'Mid-Market Segment'!BE57+'Upper Mid-Market Segment'!BE57+'Premium Segment'!BE57+'Closures Overlay'!BE57+'Disposals Overlay'!BE57</f>
        <v>-43649.099510112181</v>
      </c>
      <c r="BK57" s="19">
        <f>'Value Segment'!BF57+'Mid-Market Segment'!BF57+'Upper Mid-Market Segment'!BF57+'Premium Segment'!BF57+'Closures Overlay'!BF57+'Disposals Overlay'!BF57</f>
        <v>-43649.099510112181</v>
      </c>
      <c r="BL57" s="19">
        <f>'Value Segment'!BG57+'Mid-Market Segment'!BG57+'Upper Mid-Market Segment'!BG57+'Premium Segment'!BG57+'Closures Overlay'!BG57+'Disposals Overlay'!BG57</f>
        <v>-42252.328325788592</v>
      </c>
      <c r="BM57" s="19">
        <f>'Value Segment'!BH57+'Mid-Market Segment'!BH57+'Upper Mid-Market Segment'!BH57+'Premium Segment'!BH57+'Closures Overlay'!BH57+'Disposals Overlay'!BH57</f>
        <v>-42252.328325788592</v>
      </c>
      <c r="BN57" s="19">
        <f>'Value Segment'!BI57+'Mid-Market Segment'!BI57+'Upper Mid-Market Segment'!BI57+'Premium Segment'!BI57+'Closures Overlay'!BI57+'Disposals Overlay'!BI57</f>
        <v>-42252.328325788592</v>
      </c>
      <c r="BO57" s="19">
        <f>'Value Segment'!BJ57+'Mid-Market Segment'!BJ57+'Upper Mid-Market Segment'!BJ57+'Premium Segment'!BJ57+'Closures Overlay'!BJ57+'Disposals Overlay'!BJ57</f>
        <v>-42252.328325788592</v>
      </c>
      <c r="BP57" s="19">
        <f>'Value Segment'!BK57+'Mid-Market Segment'!BK57+'Upper Mid-Market Segment'!BK57+'Premium Segment'!BK57+'Closures Overlay'!BK57+'Disposals Overlay'!BK57</f>
        <v>-42252.328325788592</v>
      </c>
      <c r="BQ57" s="19">
        <f>'Value Segment'!BL57+'Mid-Market Segment'!BL57+'Upper Mid-Market Segment'!BL57+'Premium Segment'!BL57+'Closures Overlay'!BL57+'Disposals Overlay'!BL57</f>
        <v>-42252.328325788592</v>
      </c>
      <c r="BR57" s="19">
        <f>'Value Segment'!BM57+'Mid-Market Segment'!BM57+'Upper Mid-Market Segment'!BM57+'Premium Segment'!BM57+'Closures Overlay'!BM57+'Disposals Overlay'!BM57</f>
        <v>-40855.557141465004</v>
      </c>
      <c r="BS57" s="19">
        <f>'Value Segment'!BN57+'Mid-Market Segment'!BN57+'Upper Mid-Market Segment'!BN57+'Premium Segment'!BN57+'Closures Overlay'!BN57+'Disposals Overlay'!BN57</f>
        <v>-41672.668284294312</v>
      </c>
      <c r="BT57" s="19">
        <f>'Value Segment'!BO57+'Mid-Market Segment'!BO57+'Upper Mid-Market Segment'!BO57+'Premium Segment'!BO57+'Closures Overlay'!BO57+'Disposals Overlay'!BO57</f>
        <v>-41672.668284294312</v>
      </c>
      <c r="BU57" s="19">
        <f>'Value Segment'!BP57+'Mid-Market Segment'!BP57+'Upper Mid-Market Segment'!BP57+'Premium Segment'!BP57+'Closures Overlay'!BP57+'Disposals Overlay'!BP57</f>
        <v>-41672.668284294312</v>
      </c>
      <c r="BV57" s="19">
        <f>'Value Segment'!BQ57+'Mid-Market Segment'!BQ57+'Upper Mid-Market Segment'!BQ57+'Premium Segment'!BQ57+'Closures Overlay'!BQ57+'Disposals Overlay'!BQ57</f>
        <v>-41672.668284294312</v>
      </c>
      <c r="BW57" s="19">
        <f>'Value Segment'!BR57+'Mid-Market Segment'!BR57+'Upper Mid-Market Segment'!BR57+'Premium Segment'!BR57+'Closures Overlay'!BR57+'Disposals Overlay'!BR57</f>
        <v>-41672.668284294312</v>
      </c>
      <c r="BX57" s="19">
        <f>'Value Segment'!BS57+'Mid-Market Segment'!BS57+'Upper Mid-Market Segment'!BS57+'Premium Segment'!BS57+'Closures Overlay'!BS57+'Disposals Overlay'!BS57</f>
        <v>-40247.961676284249</v>
      </c>
      <c r="BY57" s="19">
        <f>'Value Segment'!BT57+'Mid-Market Segment'!BT57+'Upper Mid-Market Segment'!BT57+'Premium Segment'!BT57+'Closures Overlay'!BT57+'Disposals Overlay'!BT57</f>
        <v>-40247.961676284249</v>
      </c>
      <c r="BZ57" s="19">
        <f>'Value Segment'!BU57+'Mid-Market Segment'!BU57+'Upper Mid-Market Segment'!BU57+'Premium Segment'!BU57+'Closures Overlay'!BU57+'Disposals Overlay'!BU57</f>
        <v>-40247.961676284249</v>
      </c>
      <c r="CA57" s="19">
        <f>'Value Segment'!BV57+'Mid-Market Segment'!BV57+'Upper Mid-Market Segment'!BV57+'Premium Segment'!BV57+'Closures Overlay'!BV57+'Disposals Overlay'!BV57</f>
        <v>-40247.961676284249</v>
      </c>
      <c r="CB57" s="19">
        <f>'Value Segment'!BW57+'Mid-Market Segment'!BW57+'Upper Mid-Market Segment'!BW57+'Premium Segment'!BW57+'Closures Overlay'!BW57+'Disposals Overlay'!BW57</f>
        <v>-40247.961676284249</v>
      </c>
      <c r="CC57" s="19">
        <f>'Value Segment'!BX57+'Mid-Market Segment'!BX57+'Upper Mid-Market Segment'!BX57+'Premium Segment'!BX57+'Closures Overlay'!BX57+'Disposals Overlay'!BX57</f>
        <v>-40247.961676284249</v>
      </c>
      <c r="CD57" s="19">
        <f>'Value Segment'!BY57+'Mid-Market Segment'!BY57+'Upper Mid-Market Segment'!BY57+'Premium Segment'!BY57+'Closures Overlay'!BY57+'Disposals Overlay'!BY57</f>
        <v>-38823.255068274186</v>
      </c>
      <c r="CG57" s="8"/>
    </row>
    <row r="58" spans="1:85" x14ac:dyDescent="0.3">
      <c r="A58" s="7"/>
      <c r="B58" s="1"/>
      <c r="C58" s="40"/>
      <c r="D58" s="2"/>
      <c r="E58" s="2" t="s">
        <v>20</v>
      </c>
      <c r="F58" s="54"/>
      <c r="G58" s="54"/>
      <c r="H58" s="54"/>
      <c r="I58" s="67">
        <v>-98240.369999999908</v>
      </c>
      <c r="J58" s="67">
        <v>-95258.109999999986</v>
      </c>
      <c r="K58" s="67">
        <v>-106686.83000000003</v>
      </c>
      <c r="L58" s="67">
        <v>-90338.019999999975</v>
      </c>
      <c r="M58" s="54"/>
      <c r="N58" s="19">
        <f>'Value Segment'!I58+'Mid-Market Segment'!I58+'Upper Mid-Market Segment'!I58+'Premium Segment'!I58+'Closures Overlay'!I58+'Disposals Overlay'!I58</f>
        <v>-87480.059626205228</v>
      </c>
      <c r="O58" s="19">
        <f>'Value Segment'!J58+'Mid-Market Segment'!J58+'Upper Mid-Market Segment'!J58+'Premium Segment'!J58+'Closures Overlay'!J58+'Disposals Overlay'!J58</f>
        <v>-87632.709394680511</v>
      </c>
      <c r="P58" s="19">
        <f>'Value Segment'!K58+'Mid-Market Segment'!K58+'Upper Mid-Market Segment'!K58+'Premium Segment'!K58+'Closures Overlay'!K58+'Disposals Overlay'!K58</f>
        <v>-84498.69222498461</v>
      </c>
      <c r="Q58" s="19">
        <f>'Value Segment'!L58+'Mid-Market Segment'!L58+'Upper Mid-Market Segment'!L58+'Premium Segment'!L58+'Closures Overlay'!L58+'Disposals Overlay'!L58</f>
        <v>-81204.261284743057</v>
      </c>
      <c r="R58" s="19">
        <f>'Value Segment'!M58+'Mid-Market Segment'!M58+'Upper Mid-Market Segment'!M58+'Premium Segment'!M58+'Closures Overlay'!M58+'Disposals Overlay'!M58</f>
        <v>-77744.253630001811</v>
      </c>
      <c r="S58" s="19">
        <f>'Value Segment'!N58+'Mid-Market Segment'!N58+'Upper Mid-Market Segment'!N58+'Premium Segment'!N58+'Closures Overlay'!N58+'Disposals Overlay'!N58</f>
        <v>-74113.363964557109</v>
      </c>
      <c r="T58" s="37"/>
      <c r="U58" s="50">
        <f>IFERROR(((S58/N58)^(1/5))-1,0)</f>
        <v>-3.2619138465414199E-2</v>
      </c>
      <c r="W58" s="19">
        <f>'Value Segment'!R58+'Mid-Market Segment'!R58+'Upper Mid-Market Segment'!R58+'Premium Segment'!R58+'Closures Overlay'!R58+'Disposals Overlay'!R58</f>
        <v>-7435.8050682274461</v>
      </c>
      <c r="X58" s="19">
        <f>'Value Segment'!S58+'Mid-Market Segment'!S58+'Upper Mid-Market Segment'!S58+'Premium Segment'!S58+'Closures Overlay'!S58+'Disposals Overlay'!S58</f>
        <v>-7435.8050682274461</v>
      </c>
      <c r="Y58" s="19">
        <f>'Value Segment'!T58+'Mid-Market Segment'!T58+'Upper Mid-Market Segment'!T58+'Premium Segment'!T58+'Closures Overlay'!T58+'Disposals Overlay'!T58</f>
        <v>-7435.8050682274461</v>
      </c>
      <c r="Z58" s="19">
        <f>'Value Segment'!U58+'Mid-Market Segment'!U58+'Upper Mid-Market Segment'!U58+'Premium Segment'!U58+'Closures Overlay'!U58+'Disposals Overlay'!U58</f>
        <v>-7435.8050682274461</v>
      </c>
      <c r="AA58" s="19">
        <f>'Value Segment'!V58+'Mid-Market Segment'!V58+'Upper Mid-Market Segment'!V58+'Premium Segment'!V58+'Closures Overlay'!V58+'Disposals Overlay'!V58</f>
        <v>-7435.8050682274461</v>
      </c>
      <c r="AB58" s="19">
        <f>'Value Segment'!W58+'Mid-Market Segment'!W58+'Upper Mid-Market Segment'!W58+'Premium Segment'!W58+'Closures Overlay'!W58+'Disposals Overlay'!W58</f>
        <v>-7236.1861402213399</v>
      </c>
      <c r="AC58" s="19">
        <f>'Value Segment'!X58+'Mid-Market Segment'!X58+'Upper Mid-Market Segment'!X58+'Premium Segment'!X58+'Closures Overlay'!X58+'Disposals Overlay'!X58</f>
        <v>-7236.1861402213399</v>
      </c>
      <c r="AD58" s="19">
        <f>'Value Segment'!Y58+'Mid-Market Segment'!Y58+'Upper Mid-Market Segment'!Y58+'Premium Segment'!Y58+'Closures Overlay'!Y58+'Disposals Overlay'!Y58</f>
        <v>-7236.1861402213399</v>
      </c>
      <c r="AE58" s="19">
        <f>'Value Segment'!Z58+'Mid-Market Segment'!Z58+'Upper Mid-Market Segment'!Z58+'Premium Segment'!Z58+'Closures Overlay'!Z58+'Disposals Overlay'!Z58</f>
        <v>-7236.1861402213399</v>
      </c>
      <c r="AF58" s="19">
        <f>'Value Segment'!AA58+'Mid-Market Segment'!AA58+'Upper Mid-Market Segment'!AA58+'Premium Segment'!AA58+'Closures Overlay'!AA58+'Disposals Overlay'!AA58</f>
        <v>-7236.1861402213399</v>
      </c>
      <c r="AG58" s="19">
        <f>'Value Segment'!AB58+'Mid-Market Segment'!AB58+'Upper Mid-Market Segment'!AB58+'Premium Segment'!AB58+'Closures Overlay'!AB58+'Disposals Overlay'!AB58</f>
        <v>-7236.1861402213399</v>
      </c>
      <c r="AH58" s="19">
        <f>'Value Segment'!AC58+'Mid-Market Segment'!AC58+'Upper Mid-Market Segment'!AC58+'Premium Segment'!AC58+'Closures Overlay'!AC58+'Disposals Overlay'!AC58</f>
        <v>-7036.5672122152346</v>
      </c>
      <c r="AI58" s="19">
        <f>'Value Segment'!AD58+'Mid-Market Segment'!AD58+'Upper Mid-Market Segment'!AD58+'Premium Segment'!AD58+'Closures Overlay'!AD58+'Disposals Overlay'!AD58</f>
        <v>-7177.2985564595383</v>
      </c>
      <c r="AJ58" s="19">
        <f>'Value Segment'!AE58+'Mid-Market Segment'!AE58+'Upper Mid-Market Segment'!AE58+'Premium Segment'!AE58+'Closures Overlay'!AE58+'Disposals Overlay'!AE58</f>
        <v>-7177.2985564595383</v>
      </c>
      <c r="AK58" s="19">
        <f>'Value Segment'!AF58+'Mid-Market Segment'!AF58+'Upper Mid-Market Segment'!AF58+'Premium Segment'!AF58+'Closures Overlay'!AF58+'Disposals Overlay'!AF58</f>
        <v>-7177.2985564595383</v>
      </c>
      <c r="AL58" s="19">
        <f>'Value Segment'!AG58+'Mid-Market Segment'!AG58+'Upper Mid-Market Segment'!AG58+'Premium Segment'!AG58+'Closures Overlay'!AG58+'Disposals Overlay'!AG58</f>
        <v>-7177.2985564595383</v>
      </c>
      <c r="AM58" s="19">
        <f>'Value Segment'!AH58+'Mid-Market Segment'!AH58+'Upper Mid-Market Segment'!AH58+'Premium Segment'!AH58+'Closures Overlay'!AH58+'Disposals Overlay'!AH58</f>
        <v>-7177.2985564595383</v>
      </c>
      <c r="AN58" s="19">
        <f>'Value Segment'!AI58+'Mid-Market Segment'!AI58+'Upper Mid-Market Segment'!AI58+'Premium Segment'!AI58+'Closures Overlay'!AI58+'Disposals Overlay'!AI58</f>
        <v>-6973.6872498933099</v>
      </c>
      <c r="AO58" s="19">
        <f>'Value Segment'!AJ58+'Mid-Market Segment'!AJ58+'Upper Mid-Market Segment'!AJ58+'Premium Segment'!AJ58+'Closures Overlay'!AJ58+'Disposals Overlay'!AJ58</f>
        <v>-6973.6872498933099</v>
      </c>
      <c r="AP58" s="19">
        <f>'Value Segment'!AK58+'Mid-Market Segment'!AK58+'Upper Mid-Market Segment'!AK58+'Premium Segment'!AK58+'Closures Overlay'!AK58+'Disposals Overlay'!AK58</f>
        <v>-6973.6872498933099</v>
      </c>
      <c r="AQ58" s="19">
        <f>'Value Segment'!AL58+'Mid-Market Segment'!AL58+'Upper Mid-Market Segment'!AL58+'Premium Segment'!AL58+'Closures Overlay'!AL58+'Disposals Overlay'!AL58</f>
        <v>-6973.6872498933099</v>
      </c>
      <c r="AR58" s="19">
        <f>'Value Segment'!AM58+'Mid-Market Segment'!AM58+'Upper Mid-Market Segment'!AM58+'Premium Segment'!AM58+'Closures Overlay'!AM58+'Disposals Overlay'!AM58</f>
        <v>-6973.6872498933099</v>
      </c>
      <c r="AS58" s="19">
        <f>'Value Segment'!AN58+'Mid-Market Segment'!AN58+'Upper Mid-Market Segment'!AN58+'Premium Segment'!AN58+'Closures Overlay'!AN58+'Disposals Overlay'!AN58</f>
        <v>-6973.6872498933099</v>
      </c>
      <c r="AT58" s="19">
        <f>'Value Segment'!AO58+'Mid-Market Segment'!AO58+'Upper Mid-Market Segment'!AO58+'Premium Segment'!AO58+'Closures Overlay'!AO58+'Disposals Overlay'!AO58</f>
        <v>-6770.0759433270823</v>
      </c>
      <c r="AU58" s="19">
        <f>'Value Segment'!AP58+'Mid-Market Segment'!AP58+'Upper Mid-Market Segment'!AP58+'Premium Segment'!AP58+'Closures Overlay'!AP58+'Disposals Overlay'!AP58</f>
        <v>-6905.477462193624</v>
      </c>
      <c r="AV58" s="19">
        <f>'Value Segment'!AQ58+'Mid-Market Segment'!AQ58+'Upper Mid-Market Segment'!AQ58+'Premium Segment'!AQ58+'Closures Overlay'!AQ58+'Disposals Overlay'!AQ58</f>
        <v>-6905.477462193624</v>
      </c>
      <c r="AW58" s="19">
        <f>'Value Segment'!AR58+'Mid-Market Segment'!AR58+'Upper Mid-Market Segment'!AR58+'Premium Segment'!AR58+'Closures Overlay'!AR58+'Disposals Overlay'!AR58</f>
        <v>-6905.477462193624</v>
      </c>
      <c r="AX58" s="19">
        <f>'Value Segment'!AS58+'Mid-Market Segment'!AS58+'Upper Mid-Market Segment'!AS58+'Premium Segment'!AS58+'Closures Overlay'!AS58+'Disposals Overlay'!AS58</f>
        <v>-6905.477462193624</v>
      </c>
      <c r="AY58" s="19">
        <f>'Value Segment'!AT58+'Mid-Market Segment'!AT58+'Upper Mid-Market Segment'!AT58+'Premium Segment'!AT58+'Closures Overlay'!AT58+'Disposals Overlay'!AT58</f>
        <v>-6905.477462193624</v>
      </c>
      <c r="AZ58" s="19">
        <f>'Value Segment'!AU58+'Mid-Market Segment'!AU58+'Upper Mid-Market Segment'!AU58+'Premium Segment'!AU58+'Closures Overlay'!AU58+'Disposals Overlay'!AU58</f>
        <v>-6697.7939294960715</v>
      </c>
      <c r="BA58" s="19">
        <f>'Value Segment'!AV58+'Mid-Market Segment'!AV58+'Upper Mid-Market Segment'!AV58+'Premium Segment'!AV58+'Closures Overlay'!AV58+'Disposals Overlay'!AV58</f>
        <v>-6697.7939294960715</v>
      </c>
      <c r="BB58" s="19">
        <f>'Value Segment'!AW58+'Mid-Market Segment'!AW58+'Upper Mid-Market Segment'!AW58+'Premium Segment'!AW58+'Closures Overlay'!AW58+'Disposals Overlay'!AW58</f>
        <v>-6697.7939294960715</v>
      </c>
      <c r="BC58" s="19">
        <f>'Value Segment'!AX58+'Mid-Market Segment'!AX58+'Upper Mid-Market Segment'!AX58+'Premium Segment'!AX58+'Closures Overlay'!AX58+'Disposals Overlay'!AX58</f>
        <v>-6697.7939294960715</v>
      </c>
      <c r="BD58" s="19">
        <f>'Value Segment'!AY58+'Mid-Market Segment'!AY58+'Upper Mid-Market Segment'!AY58+'Premium Segment'!AY58+'Closures Overlay'!AY58+'Disposals Overlay'!AY58</f>
        <v>-6697.7939294960715</v>
      </c>
      <c r="BE58" s="19">
        <f>'Value Segment'!AZ58+'Mid-Market Segment'!AZ58+'Upper Mid-Market Segment'!AZ58+'Premium Segment'!AZ58+'Closures Overlay'!AZ58+'Disposals Overlay'!AZ58</f>
        <v>-6697.7939294960715</v>
      </c>
      <c r="BF58" s="19">
        <f>'Value Segment'!BA58+'Mid-Market Segment'!BA58+'Upper Mid-Market Segment'!BA58+'Premium Segment'!BA58+'Closures Overlay'!BA58+'Disposals Overlay'!BA58</f>
        <v>-6490.1103967985191</v>
      </c>
      <c r="BG58" s="19">
        <f>'Value Segment'!BB58+'Mid-Market Segment'!BB58+'Upper Mid-Market Segment'!BB58+'Premium Segment'!BB58+'Closures Overlay'!BB58+'Disposals Overlay'!BB58</f>
        <v>-6619.912604734488</v>
      </c>
      <c r="BH58" s="19">
        <f>'Value Segment'!BC58+'Mid-Market Segment'!BC58+'Upper Mid-Market Segment'!BC58+'Premium Segment'!BC58+'Closures Overlay'!BC58+'Disposals Overlay'!BC58</f>
        <v>-6619.912604734488</v>
      </c>
      <c r="BI58" s="19">
        <f>'Value Segment'!BD58+'Mid-Market Segment'!BD58+'Upper Mid-Market Segment'!BD58+'Premium Segment'!BD58+'Closures Overlay'!BD58+'Disposals Overlay'!BD58</f>
        <v>-6619.912604734488</v>
      </c>
      <c r="BJ58" s="19">
        <f>'Value Segment'!BE58+'Mid-Market Segment'!BE58+'Upper Mid-Market Segment'!BE58+'Premium Segment'!BE58+'Closures Overlay'!BE58+'Disposals Overlay'!BE58</f>
        <v>-6619.912604734488</v>
      </c>
      <c r="BK58" s="19">
        <f>'Value Segment'!BF58+'Mid-Market Segment'!BF58+'Upper Mid-Market Segment'!BF58+'Premium Segment'!BF58+'Closures Overlay'!BF58+'Disposals Overlay'!BF58</f>
        <v>-6619.912604734488</v>
      </c>
      <c r="BL58" s="19">
        <f>'Value Segment'!BG58+'Mid-Market Segment'!BG58+'Upper Mid-Market Segment'!BG58+'Premium Segment'!BG58+'Closures Overlay'!BG58+'Disposals Overlay'!BG58</f>
        <v>-6408.0754013829846</v>
      </c>
      <c r="BM58" s="19">
        <f>'Value Segment'!BH58+'Mid-Market Segment'!BH58+'Upper Mid-Market Segment'!BH58+'Premium Segment'!BH58+'Closures Overlay'!BH58+'Disposals Overlay'!BH58</f>
        <v>-6408.0754013829846</v>
      </c>
      <c r="BN58" s="19">
        <f>'Value Segment'!BI58+'Mid-Market Segment'!BI58+'Upper Mid-Market Segment'!BI58+'Premium Segment'!BI58+'Closures Overlay'!BI58+'Disposals Overlay'!BI58</f>
        <v>-6408.0754013829846</v>
      </c>
      <c r="BO58" s="19">
        <f>'Value Segment'!BJ58+'Mid-Market Segment'!BJ58+'Upper Mid-Market Segment'!BJ58+'Premium Segment'!BJ58+'Closures Overlay'!BJ58+'Disposals Overlay'!BJ58</f>
        <v>-6408.0754013829846</v>
      </c>
      <c r="BP58" s="19">
        <f>'Value Segment'!BK58+'Mid-Market Segment'!BK58+'Upper Mid-Market Segment'!BK58+'Premium Segment'!BK58+'Closures Overlay'!BK58+'Disposals Overlay'!BK58</f>
        <v>-6408.0754013829846</v>
      </c>
      <c r="BQ58" s="19">
        <f>'Value Segment'!BL58+'Mid-Market Segment'!BL58+'Upper Mid-Market Segment'!BL58+'Premium Segment'!BL58+'Closures Overlay'!BL58+'Disposals Overlay'!BL58</f>
        <v>-6408.0754013829846</v>
      </c>
      <c r="BR58" s="19">
        <f>'Value Segment'!BM58+'Mid-Market Segment'!BM58+'Upper Mid-Market Segment'!BM58+'Premium Segment'!BM58+'Closures Overlay'!BM58+'Disposals Overlay'!BM58</f>
        <v>-6196.2381980314813</v>
      </c>
      <c r="BS58" s="19">
        <f>'Value Segment'!BN58+'Mid-Market Segment'!BN58+'Upper Mid-Market Segment'!BN58+'Premium Segment'!BN58+'Closures Overlay'!BN58+'Disposals Overlay'!BN58</f>
        <v>-6320.1629619921123</v>
      </c>
      <c r="BT58" s="19">
        <f>'Value Segment'!BO58+'Mid-Market Segment'!BO58+'Upper Mid-Market Segment'!BO58+'Premium Segment'!BO58+'Closures Overlay'!BO58+'Disposals Overlay'!BO58</f>
        <v>-6320.1629619921123</v>
      </c>
      <c r="BU58" s="19">
        <f>'Value Segment'!BP58+'Mid-Market Segment'!BP58+'Upper Mid-Market Segment'!BP58+'Premium Segment'!BP58+'Closures Overlay'!BP58+'Disposals Overlay'!BP58</f>
        <v>-6320.1629619921123</v>
      </c>
      <c r="BV58" s="19">
        <f>'Value Segment'!BQ58+'Mid-Market Segment'!BQ58+'Upper Mid-Market Segment'!BQ58+'Premium Segment'!BQ58+'Closures Overlay'!BQ58+'Disposals Overlay'!BQ58</f>
        <v>-6320.1629619921123</v>
      </c>
      <c r="BW58" s="19">
        <f>'Value Segment'!BR58+'Mid-Market Segment'!BR58+'Upper Mid-Market Segment'!BR58+'Premium Segment'!BR58+'Closures Overlay'!BR58+'Disposals Overlay'!BR58</f>
        <v>-6320.1629619921123</v>
      </c>
      <c r="BX58" s="19">
        <f>'Value Segment'!BS58+'Mid-Market Segment'!BS58+'Upper Mid-Market Segment'!BS58+'Premium Segment'!BS58+'Closures Overlay'!BS58+'Disposals Overlay'!BS58</f>
        <v>-6104.0890145735784</v>
      </c>
      <c r="BY58" s="19">
        <f>'Value Segment'!BT58+'Mid-Market Segment'!BT58+'Upper Mid-Market Segment'!BT58+'Premium Segment'!BT58+'Closures Overlay'!BT58+'Disposals Overlay'!BT58</f>
        <v>-6104.0890145735784</v>
      </c>
      <c r="BZ58" s="19">
        <f>'Value Segment'!BU58+'Mid-Market Segment'!BU58+'Upper Mid-Market Segment'!BU58+'Premium Segment'!BU58+'Closures Overlay'!BU58+'Disposals Overlay'!BU58</f>
        <v>-6104.0890145735784</v>
      </c>
      <c r="CA58" s="19">
        <f>'Value Segment'!BV58+'Mid-Market Segment'!BV58+'Upper Mid-Market Segment'!BV58+'Premium Segment'!BV58+'Closures Overlay'!BV58+'Disposals Overlay'!BV58</f>
        <v>-6104.0890145735784</v>
      </c>
      <c r="CB58" s="19">
        <f>'Value Segment'!BW58+'Mid-Market Segment'!BW58+'Upper Mid-Market Segment'!BW58+'Premium Segment'!BW58+'Closures Overlay'!BW58+'Disposals Overlay'!BW58</f>
        <v>-6104.0890145735784</v>
      </c>
      <c r="CC58" s="19">
        <f>'Value Segment'!BX58+'Mid-Market Segment'!BX58+'Upper Mid-Market Segment'!BX58+'Premium Segment'!BX58+'Closures Overlay'!BX58+'Disposals Overlay'!BX58</f>
        <v>-6104.0890145735784</v>
      </c>
      <c r="CD58" s="19">
        <f>'Value Segment'!BY58+'Mid-Market Segment'!BY58+'Upper Mid-Market Segment'!BY58+'Premium Segment'!BY58+'Closures Overlay'!BY58+'Disposals Overlay'!BY58</f>
        <v>-5888.0150671550446</v>
      </c>
      <c r="CG58" s="8"/>
    </row>
    <row r="59" spans="1:85" x14ac:dyDescent="0.3">
      <c r="A59" s="7"/>
      <c r="B59" s="1"/>
      <c r="C59" s="2"/>
      <c r="D59" s="2"/>
      <c r="E59" s="4" t="s">
        <v>35</v>
      </c>
      <c r="F59" s="5"/>
      <c r="G59" s="5"/>
      <c r="H59" s="5"/>
      <c r="I59" s="498">
        <f>SUM(I57:I58)</f>
        <v>-724400.22999999986</v>
      </c>
      <c r="J59" s="498">
        <f>SUM(J57:J58)</f>
        <v>-968643.54999999958</v>
      </c>
      <c r="K59" s="498">
        <f>SUM(K57:K58)</f>
        <v>-689145.39000000013</v>
      </c>
      <c r="L59" s="498">
        <f>SUM(L57:L58)</f>
        <v>-655028.05000000005</v>
      </c>
      <c r="M59" s="5"/>
      <c r="N59" s="498">
        <f t="shared" ref="N59:S59" si="33">SUM(N57:N58)</f>
        <v>-664289.15904601978</v>
      </c>
      <c r="O59" s="498">
        <f t="shared" si="33"/>
        <v>-665448.32133697253</v>
      </c>
      <c r="P59" s="498">
        <f t="shared" si="33"/>
        <v>-641649.8278404111</v>
      </c>
      <c r="Q59" s="498">
        <f t="shared" si="33"/>
        <v>-616633.21527545247</v>
      </c>
      <c r="R59" s="498">
        <f t="shared" si="33"/>
        <v>-590359.2782767592</v>
      </c>
      <c r="S59" s="498">
        <f t="shared" si="33"/>
        <v>-562787.73051200842</v>
      </c>
      <c r="T59" s="57"/>
      <c r="U59" s="55">
        <f>IFERROR(((S59/N59)^(1/5))-1,0)</f>
        <v>-3.261913846541431E-2</v>
      </c>
      <c r="W59" s="498">
        <f t="shared" ref="W59:BB59" si="34">SUM(W57:W58)</f>
        <v>-56464.578518911687</v>
      </c>
      <c r="X59" s="498">
        <f t="shared" si="34"/>
        <v>-56464.578518911687</v>
      </c>
      <c r="Y59" s="498">
        <f t="shared" si="34"/>
        <v>-56464.578518911687</v>
      </c>
      <c r="Z59" s="498">
        <f t="shared" si="34"/>
        <v>-56464.578518911687</v>
      </c>
      <c r="AA59" s="498">
        <f t="shared" si="34"/>
        <v>-56464.578518911687</v>
      </c>
      <c r="AB59" s="498">
        <f t="shared" si="34"/>
        <v>-54948.750907665737</v>
      </c>
      <c r="AC59" s="498">
        <f t="shared" si="34"/>
        <v>-54948.750907665737</v>
      </c>
      <c r="AD59" s="498">
        <f t="shared" si="34"/>
        <v>-54948.750907665737</v>
      </c>
      <c r="AE59" s="498">
        <f t="shared" si="34"/>
        <v>-54948.750907665737</v>
      </c>
      <c r="AF59" s="498">
        <f t="shared" si="34"/>
        <v>-54948.750907665737</v>
      </c>
      <c r="AG59" s="498">
        <f t="shared" si="34"/>
        <v>-54948.750907665737</v>
      </c>
      <c r="AH59" s="498">
        <f t="shared" si="34"/>
        <v>-53432.92329641978</v>
      </c>
      <c r="AI59" s="498">
        <f t="shared" si="34"/>
        <v>-54501.581762348178</v>
      </c>
      <c r="AJ59" s="498">
        <f t="shared" si="34"/>
        <v>-54501.581762348178</v>
      </c>
      <c r="AK59" s="498">
        <f t="shared" si="34"/>
        <v>-54501.581762348178</v>
      </c>
      <c r="AL59" s="498">
        <f t="shared" si="34"/>
        <v>-54501.581762348178</v>
      </c>
      <c r="AM59" s="498">
        <f t="shared" si="34"/>
        <v>-54501.581762348178</v>
      </c>
      <c r="AN59" s="498">
        <f t="shared" si="34"/>
        <v>-52955.43759887731</v>
      </c>
      <c r="AO59" s="498">
        <f t="shared" si="34"/>
        <v>-52955.43759887731</v>
      </c>
      <c r="AP59" s="498">
        <f t="shared" si="34"/>
        <v>-52955.43759887731</v>
      </c>
      <c r="AQ59" s="498">
        <f t="shared" si="34"/>
        <v>-52955.43759887731</v>
      </c>
      <c r="AR59" s="498">
        <f t="shared" si="34"/>
        <v>-52955.43759887731</v>
      </c>
      <c r="AS59" s="498">
        <f t="shared" si="34"/>
        <v>-52955.43759887731</v>
      </c>
      <c r="AT59" s="498">
        <f t="shared" si="34"/>
        <v>-51409.293435406442</v>
      </c>
      <c r="AU59" s="498">
        <f t="shared" si="34"/>
        <v>-52437.479304114568</v>
      </c>
      <c r="AV59" s="498">
        <f t="shared" si="34"/>
        <v>-52437.479304114568</v>
      </c>
      <c r="AW59" s="498">
        <f t="shared" si="34"/>
        <v>-52437.479304114568</v>
      </c>
      <c r="AX59" s="498">
        <f t="shared" si="34"/>
        <v>-52437.479304114568</v>
      </c>
      <c r="AY59" s="498">
        <f t="shared" si="34"/>
        <v>-52437.479304114568</v>
      </c>
      <c r="AZ59" s="498">
        <f t="shared" si="34"/>
        <v>-50860.412257374286</v>
      </c>
      <c r="BA59" s="498">
        <f t="shared" si="34"/>
        <v>-50860.412257374286</v>
      </c>
      <c r="BB59" s="498">
        <f t="shared" si="34"/>
        <v>-50860.412257374286</v>
      </c>
      <c r="BC59" s="498">
        <f t="shared" ref="BC59:CD59" si="35">SUM(BC57:BC58)</f>
        <v>-50860.412257374286</v>
      </c>
      <c r="BD59" s="498">
        <f t="shared" si="35"/>
        <v>-50860.412257374286</v>
      </c>
      <c r="BE59" s="498">
        <f t="shared" si="35"/>
        <v>-50860.412257374286</v>
      </c>
      <c r="BF59" s="498">
        <f t="shared" si="35"/>
        <v>-49283.34521063399</v>
      </c>
      <c r="BG59" s="498">
        <f t="shared" si="35"/>
        <v>-50269.012114846671</v>
      </c>
      <c r="BH59" s="498">
        <f t="shared" si="35"/>
        <v>-50269.012114846671</v>
      </c>
      <c r="BI59" s="498">
        <f t="shared" si="35"/>
        <v>-50269.012114846671</v>
      </c>
      <c r="BJ59" s="498">
        <f t="shared" si="35"/>
        <v>-50269.012114846671</v>
      </c>
      <c r="BK59" s="498">
        <f t="shared" si="35"/>
        <v>-50269.012114846671</v>
      </c>
      <c r="BL59" s="498">
        <f t="shared" si="35"/>
        <v>-48660.403727171579</v>
      </c>
      <c r="BM59" s="498">
        <f t="shared" si="35"/>
        <v>-48660.403727171579</v>
      </c>
      <c r="BN59" s="498">
        <f t="shared" si="35"/>
        <v>-48660.403727171579</v>
      </c>
      <c r="BO59" s="498">
        <f t="shared" si="35"/>
        <v>-48660.403727171579</v>
      </c>
      <c r="BP59" s="498">
        <f t="shared" si="35"/>
        <v>-48660.403727171579</v>
      </c>
      <c r="BQ59" s="498">
        <f t="shared" si="35"/>
        <v>-48660.403727171579</v>
      </c>
      <c r="BR59" s="498">
        <f t="shared" si="35"/>
        <v>-47051.795339496486</v>
      </c>
      <c r="BS59" s="498">
        <f t="shared" si="35"/>
        <v>-47992.831246286427</v>
      </c>
      <c r="BT59" s="498">
        <f t="shared" si="35"/>
        <v>-47992.831246286427</v>
      </c>
      <c r="BU59" s="498">
        <f t="shared" si="35"/>
        <v>-47992.831246286427</v>
      </c>
      <c r="BV59" s="498">
        <f t="shared" si="35"/>
        <v>-47992.831246286427</v>
      </c>
      <c r="BW59" s="498">
        <f t="shared" si="35"/>
        <v>-47992.831246286427</v>
      </c>
      <c r="BX59" s="498">
        <f t="shared" si="35"/>
        <v>-46352.050690857825</v>
      </c>
      <c r="BY59" s="498">
        <f t="shared" si="35"/>
        <v>-46352.050690857825</v>
      </c>
      <c r="BZ59" s="498">
        <f t="shared" si="35"/>
        <v>-46352.050690857825</v>
      </c>
      <c r="CA59" s="498">
        <f t="shared" si="35"/>
        <v>-46352.050690857825</v>
      </c>
      <c r="CB59" s="498">
        <f t="shared" si="35"/>
        <v>-46352.050690857825</v>
      </c>
      <c r="CC59" s="498">
        <f t="shared" si="35"/>
        <v>-46352.050690857825</v>
      </c>
      <c r="CD59" s="498">
        <f t="shared" si="35"/>
        <v>-44711.270135429229</v>
      </c>
      <c r="CG59" s="8"/>
    </row>
    <row r="60" spans="1:85" x14ac:dyDescent="0.3">
      <c r="A60" s="7"/>
      <c r="B60" s="1"/>
      <c r="C60" s="2"/>
      <c r="D60" s="2"/>
      <c r="E60" s="2"/>
      <c r="F60" s="37"/>
      <c r="G60" s="37"/>
      <c r="H60" s="37"/>
      <c r="I60" s="37"/>
      <c r="J60" s="37"/>
      <c r="K60" s="37"/>
      <c r="L60" s="37"/>
      <c r="M60" s="37"/>
      <c r="N60" s="37"/>
      <c r="O60" s="37"/>
      <c r="P60" s="37"/>
      <c r="Q60" s="37"/>
      <c r="R60" s="37"/>
      <c r="S60" s="37"/>
      <c r="T60" s="37"/>
      <c r="U60" s="35"/>
      <c r="W60" s="37"/>
      <c r="X60" s="37"/>
      <c r="Y60" s="37"/>
      <c r="Z60" s="37"/>
      <c r="AA60" s="37"/>
      <c r="AB60" s="37"/>
      <c r="AC60" s="37"/>
      <c r="AD60" s="37"/>
      <c r="AE60" s="37"/>
      <c r="AF60" s="37"/>
      <c r="AG60" s="37"/>
      <c r="AH60" s="37"/>
      <c r="AI60" s="37"/>
      <c r="AJ60" s="37"/>
      <c r="AK60" s="37"/>
      <c r="AL60" s="37"/>
      <c r="AM60" s="37"/>
      <c r="AN60" s="37"/>
      <c r="AO60" s="37"/>
      <c r="AP60" s="37"/>
      <c r="AQ60" s="37"/>
      <c r="AR60" s="37"/>
      <c r="AS60" s="37"/>
      <c r="AT60" s="37"/>
      <c r="AU60" s="37"/>
      <c r="AV60" s="37"/>
      <c r="AW60" s="37"/>
      <c r="AX60" s="37"/>
      <c r="AY60" s="37"/>
      <c r="AZ60" s="37"/>
      <c r="BA60" s="37"/>
      <c r="BB60" s="37"/>
      <c r="BC60" s="37"/>
      <c r="BD60" s="37"/>
      <c r="BE60" s="37"/>
      <c r="BF60" s="37"/>
      <c r="BG60" s="37"/>
      <c r="BH60" s="37"/>
      <c r="BI60" s="37"/>
      <c r="BJ60" s="37"/>
      <c r="BK60" s="37"/>
      <c r="BL60" s="37"/>
      <c r="BM60" s="37"/>
      <c r="BN60" s="37"/>
      <c r="BO60" s="37"/>
      <c r="BP60" s="37"/>
      <c r="BQ60" s="37"/>
      <c r="BR60" s="37"/>
      <c r="BS60" s="37"/>
      <c r="BT60" s="37"/>
      <c r="BU60" s="37"/>
      <c r="BV60" s="37"/>
      <c r="BW60" s="37"/>
      <c r="BX60" s="37"/>
      <c r="BY60" s="37"/>
      <c r="BZ60" s="37"/>
      <c r="CA60" s="37"/>
      <c r="CB60" s="37"/>
      <c r="CC60" s="37"/>
      <c r="CD60" s="37"/>
    </row>
    <row r="61" spans="1:85" x14ac:dyDescent="0.3">
      <c r="A61" s="7"/>
      <c r="B61" s="1"/>
      <c r="C61" s="2"/>
      <c r="D61" s="2"/>
      <c r="E61" s="62" t="s">
        <v>21</v>
      </c>
      <c r="F61" s="63"/>
      <c r="G61" s="63"/>
      <c r="H61" s="63"/>
      <c r="I61" s="501">
        <f>SUM(I54,I59)</f>
        <v>25565114.650000013</v>
      </c>
      <c r="J61" s="501">
        <f>SUM(J54,J59)</f>
        <v>26957546.920000009</v>
      </c>
      <c r="K61" s="501">
        <f>SUM(K54,K59)</f>
        <v>27670865.68</v>
      </c>
      <c r="L61" s="501">
        <f>SUM(L54,L59)</f>
        <v>27928829.022307675</v>
      </c>
      <c r="M61" s="63"/>
      <c r="N61" s="501">
        <f t="shared" ref="N61:S61" si="36">SUM(N54,N59)</f>
        <v>28834942.036531422</v>
      </c>
      <c r="O61" s="501">
        <f t="shared" si="36"/>
        <v>29851907.952084634</v>
      </c>
      <c r="P61" s="501">
        <f t="shared" si="36"/>
        <v>29958821.845218837</v>
      </c>
      <c r="Q61" s="501">
        <f t="shared" si="36"/>
        <v>29906206.836797412</v>
      </c>
      <c r="R61" s="501">
        <f t="shared" si="36"/>
        <v>29680745.294044707</v>
      </c>
      <c r="S61" s="501">
        <f t="shared" si="36"/>
        <v>29318726.373891965</v>
      </c>
      <c r="T61" s="57"/>
      <c r="U61" s="55">
        <f>IFERROR(((S61/N61)^(1/5))-1,0)</f>
        <v>3.3332470280003079E-3</v>
      </c>
      <c r="V61" s="8"/>
      <c r="W61" s="501">
        <f t="shared" ref="W61:BB61" si="37">SUM(W54,W59)</f>
        <v>2502624.5788545739</v>
      </c>
      <c r="X61" s="501">
        <f t="shared" si="37"/>
        <v>2502624.5788545739</v>
      </c>
      <c r="Y61" s="501">
        <f t="shared" si="37"/>
        <v>2502624.5788545739</v>
      </c>
      <c r="Z61" s="501">
        <f t="shared" si="37"/>
        <v>2502624.5788545739</v>
      </c>
      <c r="AA61" s="501">
        <f t="shared" si="37"/>
        <v>2502624.5788545739</v>
      </c>
      <c r="AB61" s="501">
        <f t="shared" si="37"/>
        <v>2435440.0264021023</v>
      </c>
      <c r="AC61" s="501">
        <f t="shared" si="37"/>
        <v>2495363.7754669762</v>
      </c>
      <c r="AD61" s="501">
        <f t="shared" si="37"/>
        <v>2495363.7754669762</v>
      </c>
      <c r="AE61" s="501">
        <f t="shared" si="37"/>
        <v>2495363.7754669762</v>
      </c>
      <c r="AF61" s="501">
        <f t="shared" si="37"/>
        <v>2495363.7754669762</v>
      </c>
      <c r="AG61" s="501">
        <f t="shared" si="37"/>
        <v>2495363.7754669762</v>
      </c>
      <c r="AH61" s="501">
        <f t="shared" si="37"/>
        <v>2426526.154074783</v>
      </c>
      <c r="AI61" s="501">
        <f t="shared" si="37"/>
        <v>2507768.7633984764</v>
      </c>
      <c r="AJ61" s="501">
        <f t="shared" si="37"/>
        <v>2507768.7633984764</v>
      </c>
      <c r="AK61" s="501">
        <f t="shared" si="37"/>
        <v>2507768.7633984764</v>
      </c>
      <c r="AL61" s="501">
        <f t="shared" si="37"/>
        <v>2507768.7633984764</v>
      </c>
      <c r="AM61" s="501">
        <f t="shared" si="37"/>
        <v>2507768.7633984764</v>
      </c>
      <c r="AN61" s="501">
        <f t="shared" si="37"/>
        <v>2436626.387131853</v>
      </c>
      <c r="AO61" s="501">
        <f t="shared" si="37"/>
        <v>2509436.6440464044</v>
      </c>
      <c r="AP61" s="501">
        <f t="shared" si="37"/>
        <v>2509436.6440464044</v>
      </c>
      <c r="AQ61" s="501">
        <f t="shared" si="37"/>
        <v>2509436.6440464044</v>
      </c>
      <c r="AR61" s="501">
        <f t="shared" si="37"/>
        <v>2509436.6440464044</v>
      </c>
      <c r="AS61" s="501">
        <f t="shared" si="37"/>
        <v>2509436.6440464044</v>
      </c>
      <c r="AT61" s="501">
        <f t="shared" si="37"/>
        <v>2436168.420862569</v>
      </c>
      <c r="AU61" s="501">
        <f t="shared" si="37"/>
        <v>2500116.0147253498</v>
      </c>
      <c r="AV61" s="501">
        <f t="shared" si="37"/>
        <v>2500116.0147253498</v>
      </c>
      <c r="AW61" s="501">
        <f t="shared" si="37"/>
        <v>2500116.0147253498</v>
      </c>
      <c r="AX61" s="501">
        <f t="shared" si="37"/>
        <v>2500116.0147253498</v>
      </c>
      <c r="AY61" s="501">
        <f t="shared" si="37"/>
        <v>2500116.0147253498</v>
      </c>
      <c r="AZ61" s="501">
        <f t="shared" si="37"/>
        <v>2424924.5556358648</v>
      </c>
      <c r="BA61" s="501">
        <f t="shared" si="37"/>
        <v>2509754.0061973892</v>
      </c>
      <c r="BB61" s="501">
        <f t="shared" si="37"/>
        <v>2509754.0061973892</v>
      </c>
      <c r="BC61" s="501">
        <f t="shared" ref="BC61:CD61" si="38">SUM(BC54,BC59)</f>
        <v>2509754.0061973892</v>
      </c>
      <c r="BD61" s="501">
        <f t="shared" si="38"/>
        <v>2509754.0061973892</v>
      </c>
      <c r="BE61" s="501">
        <f t="shared" si="38"/>
        <v>2509754.0061973892</v>
      </c>
      <c r="BF61" s="501">
        <f t="shared" si="38"/>
        <v>2431932.176547857</v>
      </c>
      <c r="BG61" s="501">
        <f t="shared" si="38"/>
        <v>2478631.3734021219</v>
      </c>
      <c r="BH61" s="501">
        <f t="shared" si="38"/>
        <v>2478631.3734021219</v>
      </c>
      <c r="BI61" s="501">
        <f t="shared" si="38"/>
        <v>2478631.3734021219</v>
      </c>
      <c r="BJ61" s="501">
        <f t="shared" si="38"/>
        <v>2478631.3734021219</v>
      </c>
      <c r="BK61" s="501">
        <f t="shared" si="38"/>
        <v>2478631.3734021219</v>
      </c>
      <c r="BL61" s="501">
        <f t="shared" si="38"/>
        <v>2399315.1694532535</v>
      </c>
      <c r="BM61" s="501">
        <f t="shared" si="38"/>
        <v>2495126.1276555159</v>
      </c>
      <c r="BN61" s="501">
        <f t="shared" si="38"/>
        <v>2495126.1276555159</v>
      </c>
      <c r="BO61" s="501">
        <f t="shared" si="38"/>
        <v>2495126.1276555159</v>
      </c>
      <c r="BP61" s="501">
        <f t="shared" si="38"/>
        <v>2495126.1276555159</v>
      </c>
      <c r="BQ61" s="501">
        <f t="shared" si="38"/>
        <v>2495126.1276555159</v>
      </c>
      <c r="BR61" s="501">
        <f t="shared" si="38"/>
        <v>2412642.619303267</v>
      </c>
      <c r="BS61" s="501">
        <f t="shared" si="38"/>
        <v>2446496.8486155123</v>
      </c>
      <c r="BT61" s="501">
        <f t="shared" si="38"/>
        <v>2446496.8486155123</v>
      </c>
      <c r="BU61" s="501">
        <f t="shared" si="38"/>
        <v>2446496.8486155123</v>
      </c>
      <c r="BV61" s="501">
        <f t="shared" si="38"/>
        <v>2446496.8486155123</v>
      </c>
      <c r="BW61" s="501">
        <f t="shared" si="38"/>
        <v>2446496.8486155123</v>
      </c>
      <c r="BX61" s="501">
        <f t="shared" si="38"/>
        <v>2362855.9307141276</v>
      </c>
      <c r="BY61" s="501">
        <f t="shared" si="38"/>
        <v>2468460.891114735</v>
      </c>
      <c r="BZ61" s="501">
        <f t="shared" si="38"/>
        <v>2468460.891114735</v>
      </c>
      <c r="CA61" s="501">
        <f t="shared" si="38"/>
        <v>2468460.891114735</v>
      </c>
      <c r="CB61" s="501">
        <f t="shared" si="38"/>
        <v>2468460.891114735</v>
      </c>
      <c r="CC61" s="501">
        <f t="shared" si="38"/>
        <v>2468460.891114735</v>
      </c>
      <c r="CD61" s="501">
        <f t="shared" si="38"/>
        <v>2381081.7445266028</v>
      </c>
      <c r="CG61" s="8"/>
    </row>
    <row r="62" spans="1:85" x14ac:dyDescent="0.3">
      <c r="A62" s="7"/>
      <c r="B62" s="1"/>
      <c r="C62" s="2"/>
      <c r="D62" s="2"/>
      <c r="E62" s="2" t="s">
        <v>227</v>
      </c>
      <c r="F62" s="2"/>
      <c r="G62" s="2"/>
      <c r="H62" s="2"/>
      <c r="I62" s="499">
        <f>IFERROR(I61/SUM(I22,I31,I45,I52),0)</f>
        <v>0.52638749336202428</v>
      </c>
      <c r="J62" s="499">
        <f>IFERROR(J61/SUM(J22,J31,J45,J52),0)</f>
        <v>0.53674789787947275</v>
      </c>
      <c r="K62" s="499">
        <f>IFERROR(K61/SUM(K22,K31,K45,K52),0)</f>
        <v>0.55183959250602588</v>
      </c>
      <c r="L62" s="499">
        <f>IFERROR(L61/SUM(L22,L31,L45,L52),0)</f>
        <v>0.5562863199356145</v>
      </c>
      <c r="M62" s="2"/>
      <c r="N62" s="499">
        <f t="shared" ref="N62:S62" si="39">IFERROR(N61/SUM(N22,N31,N45,N52),0)</f>
        <v>0.55284126924860821</v>
      </c>
      <c r="O62" s="499">
        <f t="shared" si="39"/>
        <v>0.55790955763461147</v>
      </c>
      <c r="P62" s="499">
        <f t="shared" si="39"/>
        <v>0.5628040120889195</v>
      </c>
      <c r="Q62" s="499">
        <f t="shared" si="39"/>
        <v>0.5673935114214177</v>
      </c>
      <c r="R62" s="499">
        <f t="shared" si="39"/>
        <v>0.57146194919680182</v>
      </c>
      <c r="S62" s="499">
        <f t="shared" si="39"/>
        <v>0.57536876280001392</v>
      </c>
      <c r="T62" s="23"/>
      <c r="U62" s="50">
        <f>IFERROR(((S62/N62)^(1/5))-1,0)</f>
        <v>8.0200370205905092E-3</v>
      </c>
      <c r="W62" s="499">
        <f t="shared" ref="W62:CD62" si="40">IFERROR(W61/SUM(W22,W31,W45,W52),0)</f>
        <v>0.55771289939401814</v>
      </c>
      <c r="X62" s="499">
        <f t="shared" si="40"/>
        <v>0.55771289939401814</v>
      </c>
      <c r="Y62" s="499">
        <f t="shared" si="40"/>
        <v>0.55771289939401814</v>
      </c>
      <c r="Z62" s="499">
        <f t="shared" si="40"/>
        <v>0.55771289939401814</v>
      </c>
      <c r="AA62" s="499">
        <f t="shared" si="40"/>
        <v>0.55771289939401814</v>
      </c>
      <c r="AB62" s="499">
        <f t="shared" si="40"/>
        <v>0.55771289939401802</v>
      </c>
      <c r="AC62" s="499">
        <f t="shared" si="40"/>
        <v>0.55810695192198612</v>
      </c>
      <c r="AD62" s="499">
        <f t="shared" si="40"/>
        <v>0.55810695192198612</v>
      </c>
      <c r="AE62" s="499">
        <f t="shared" si="40"/>
        <v>0.55810695192198612</v>
      </c>
      <c r="AF62" s="499">
        <f t="shared" si="40"/>
        <v>0.55810695192198612</v>
      </c>
      <c r="AG62" s="499">
        <f t="shared" si="40"/>
        <v>0.55810695192198612</v>
      </c>
      <c r="AH62" s="499">
        <f t="shared" si="40"/>
        <v>0.55810695192198601</v>
      </c>
      <c r="AI62" s="499">
        <f t="shared" si="40"/>
        <v>0.56253279084839347</v>
      </c>
      <c r="AJ62" s="499">
        <f t="shared" si="40"/>
        <v>0.56253279084839347</v>
      </c>
      <c r="AK62" s="499">
        <f t="shared" si="40"/>
        <v>0.56253279084839347</v>
      </c>
      <c r="AL62" s="499">
        <f t="shared" si="40"/>
        <v>0.56253279084839347</v>
      </c>
      <c r="AM62" s="499">
        <f t="shared" si="40"/>
        <v>0.56253279084839347</v>
      </c>
      <c r="AN62" s="499">
        <f t="shared" si="40"/>
        <v>0.56253279084839358</v>
      </c>
      <c r="AO62" s="499">
        <f t="shared" si="40"/>
        <v>0.56307535211807147</v>
      </c>
      <c r="AP62" s="499">
        <f t="shared" si="40"/>
        <v>0.56307535211807147</v>
      </c>
      <c r="AQ62" s="499">
        <f t="shared" si="40"/>
        <v>0.56307535211807147</v>
      </c>
      <c r="AR62" s="499">
        <f t="shared" si="40"/>
        <v>0.56307535211807147</v>
      </c>
      <c r="AS62" s="499">
        <f t="shared" si="40"/>
        <v>0.56307535211807147</v>
      </c>
      <c r="AT62" s="499">
        <f t="shared" si="40"/>
        <v>0.5630753521180718</v>
      </c>
      <c r="AU62" s="499">
        <f t="shared" si="40"/>
        <v>0.56704333153017772</v>
      </c>
      <c r="AV62" s="499">
        <f t="shared" si="40"/>
        <v>0.56704333153017772</v>
      </c>
      <c r="AW62" s="499">
        <f t="shared" si="40"/>
        <v>0.56704333153017772</v>
      </c>
      <c r="AX62" s="499">
        <f t="shared" si="40"/>
        <v>0.56704333153017772</v>
      </c>
      <c r="AY62" s="499">
        <f t="shared" si="40"/>
        <v>0.56704333153017772</v>
      </c>
      <c r="AZ62" s="499">
        <f t="shared" si="40"/>
        <v>0.5670433315301775</v>
      </c>
      <c r="BA62" s="499">
        <f t="shared" si="40"/>
        <v>0.56774283143456272</v>
      </c>
      <c r="BB62" s="499">
        <f t="shared" si="40"/>
        <v>0.56774283143456272</v>
      </c>
      <c r="BC62" s="499">
        <f t="shared" si="40"/>
        <v>0.56774283143456272</v>
      </c>
      <c r="BD62" s="499">
        <f t="shared" si="40"/>
        <v>0.56774283143456272</v>
      </c>
      <c r="BE62" s="499">
        <f t="shared" si="40"/>
        <v>0.56774283143456272</v>
      </c>
      <c r="BF62" s="499">
        <f t="shared" si="40"/>
        <v>0.5677428314345625</v>
      </c>
      <c r="BG62" s="499">
        <f t="shared" si="40"/>
        <v>0.57102665759603521</v>
      </c>
      <c r="BH62" s="499">
        <f t="shared" si="40"/>
        <v>0.57102665759603521</v>
      </c>
      <c r="BI62" s="499">
        <f t="shared" si="40"/>
        <v>0.57102665759603521</v>
      </c>
      <c r="BJ62" s="499">
        <f t="shared" si="40"/>
        <v>0.57102665759603521</v>
      </c>
      <c r="BK62" s="499">
        <f t="shared" si="40"/>
        <v>0.57102665759603521</v>
      </c>
      <c r="BL62" s="499">
        <f t="shared" si="40"/>
        <v>0.57102665759603521</v>
      </c>
      <c r="BM62" s="499">
        <f t="shared" si="40"/>
        <v>0.57189509758588142</v>
      </c>
      <c r="BN62" s="499">
        <f t="shared" si="40"/>
        <v>0.57189509758588142</v>
      </c>
      <c r="BO62" s="499">
        <f t="shared" si="40"/>
        <v>0.57189509758588142</v>
      </c>
      <c r="BP62" s="499">
        <f t="shared" si="40"/>
        <v>0.57189509758588142</v>
      </c>
      <c r="BQ62" s="499">
        <f t="shared" si="40"/>
        <v>0.57189509758588142</v>
      </c>
      <c r="BR62" s="499">
        <f t="shared" si="40"/>
        <v>0.57189509758588131</v>
      </c>
      <c r="BS62" s="499">
        <f t="shared" si="40"/>
        <v>0.57484248064030519</v>
      </c>
      <c r="BT62" s="499">
        <f t="shared" si="40"/>
        <v>0.57484248064030519</v>
      </c>
      <c r="BU62" s="499">
        <f t="shared" si="40"/>
        <v>0.57484248064030519</v>
      </c>
      <c r="BV62" s="499">
        <f t="shared" si="40"/>
        <v>0.57484248064030519</v>
      </c>
      <c r="BW62" s="499">
        <f t="shared" si="40"/>
        <v>0.57484248064030519</v>
      </c>
      <c r="BX62" s="499">
        <f t="shared" si="40"/>
        <v>0.5748424806403053</v>
      </c>
      <c r="BY62" s="499">
        <f t="shared" si="40"/>
        <v>0.57589141997793081</v>
      </c>
      <c r="BZ62" s="499">
        <f t="shared" si="40"/>
        <v>0.57589141997793081</v>
      </c>
      <c r="CA62" s="499">
        <f t="shared" si="40"/>
        <v>0.57589141997793081</v>
      </c>
      <c r="CB62" s="499">
        <f t="shared" si="40"/>
        <v>0.57589141997793081</v>
      </c>
      <c r="CC62" s="499">
        <f t="shared" si="40"/>
        <v>0.57589141997793081</v>
      </c>
      <c r="CD62" s="499">
        <f t="shared" si="40"/>
        <v>0.57589141997793081</v>
      </c>
    </row>
    <row r="63" spans="1:85" x14ac:dyDescent="0.3">
      <c r="A63" s="7"/>
      <c r="B63" s="1"/>
      <c r="C63" s="2"/>
      <c r="D63" s="2"/>
      <c r="E63" s="2"/>
      <c r="F63" s="2"/>
      <c r="G63" s="2"/>
      <c r="H63" s="2"/>
      <c r="I63" s="37"/>
      <c r="J63" s="37"/>
      <c r="K63" s="37"/>
      <c r="L63" s="37"/>
      <c r="M63" s="2"/>
      <c r="N63" s="37"/>
      <c r="O63" s="2"/>
      <c r="P63" s="2"/>
      <c r="Q63" s="2"/>
      <c r="R63" s="2"/>
      <c r="S63" s="2"/>
      <c r="T63" s="2"/>
      <c r="U63" s="10"/>
      <c r="W63" s="2"/>
      <c r="X63" s="2"/>
      <c r="Y63" s="2"/>
      <c r="Z63" s="2"/>
      <c r="AA63" s="2"/>
      <c r="AB63" s="2"/>
      <c r="AC63" s="2"/>
      <c r="AD63" s="2"/>
      <c r="AE63" s="2"/>
      <c r="AF63" s="2"/>
      <c r="AG63" s="2"/>
      <c r="AH63" s="2"/>
      <c r="AI63" s="2"/>
      <c r="AJ63" s="2"/>
      <c r="AK63" s="2"/>
      <c r="AL63" s="2"/>
      <c r="AM63" s="2"/>
      <c r="AN63" s="2"/>
      <c r="AO63" s="2"/>
      <c r="AP63" s="2"/>
      <c r="AQ63" s="2"/>
      <c r="AR63" s="2"/>
      <c r="AS63" s="2"/>
      <c r="AT63" s="2"/>
      <c r="AU63" s="2"/>
      <c r="AV63" s="2"/>
      <c r="AW63" s="2"/>
      <c r="AX63" s="2"/>
      <c r="AY63" s="2"/>
      <c r="AZ63" s="2"/>
      <c r="BA63" s="2"/>
      <c r="BB63" s="2"/>
      <c r="BC63" s="2"/>
      <c r="BD63" s="2"/>
      <c r="BE63" s="2"/>
      <c r="BF63" s="2"/>
      <c r="BG63" s="2"/>
      <c r="BH63" s="2"/>
      <c r="BI63" s="2"/>
      <c r="BJ63" s="2"/>
      <c r="BK63" s="2"/>
      <c r="BL63" s="2"/>
      <c r="BM63" s="2"/>
      <c r="BN63" s="2"/>
      <c r="BO63" s="2"/>
      <c r="BP63" s="2"/>
      <c r="BQ63" s="2"/>
      <c r="BR63" s="2"/>
      <c r="BS63" s="2"/>
      <c r="BT63" s="2"/>
      <c r="BU63" s="2"/>
      <c r="BV63" s="2"/>
      <c r="BW63" s="2"/>
      <c r="BX63" s="2"/>
      <c r="BY63" s="2"/>
      <c r="BZ63" s="2"/>
      <c r="CA63" s="2"/>
      <c r="CB63" s="2"/>
      <c r="CC63" s="2"/>
      <c r="CD63" s="2"/>
    </row>
    <row r="64" spans="1:85" x14ac:dyDescent="0.3">
      <c r="A64" s="7"/>
      <c r="B64" s="1"/>
      <c r="C64" s="2"/>
      <c r="D64" s="2"/>
      <c r="E64" s="2" t="s">
        <v>129</v>
      </c>
      <c r="F64" s="54"/>
      <c r="G64" s="54"/>
      <c r="H64" s="54"/>
      <c r="I64" s="67">
        <v>-2494800</v>
      </c>
      <c r="J64" s="67">
        <v>-2494800</v>
      </c>
      <c r="K64" s="67">
        <v>-2494800</v>
      </c>
      <c r="L64" s="67">
        <v>-2494800</v>
      </c>
      <c r="M64" s="54"/>
      <c r="N64" s="19">
        <f>'Value Segment'!I64+'Mid-Market Segment'!I64+'Upper Mid-Market Segment'!I64+'Premium Segment'!I64+'Closures Overlay'!I64+'Disposals Overlay'!I64</f>
        <v>-2679600</v>
      </c>
      <c r="O64" s="19">
        <f>'Value Segment'!J64+'Mid-Market Segment'!J64+'Upper Mid-Market Segment'!J64+'Premium Segment'!J64+'Closures Overlay'!J64+'Disposals Overlay'!J64</f>
        <v>-2698177.9974794523</v>
      </c>
      <c r="P64" s="19">
        <f>'Value Segment'!K64+'Mid-Market Segment'!K64+'Upper Mid-Market Segment'!K64+'Premium Segment'!K64+'Closures Overlay'!K64+'Disposals Overlay'!K64</f>
        <v>-2614763.0211445345</v>
      </c>
      <c r="Q64" s="19">
        <f>'Value Segment'!L64+'Mid-Market Segment'!L64+'Upper Mid-Market Segment'!L64+'Premium Segment'!L64+'Closures Overlay'!L64+'Disposals Overlay'!L64</f>
        <v>-2521776.6403262266</v>
      </c>
      <c r="R64" s="19">
        <f>'Value Segment'!M64+'Mid-Market Segment'!M64+'Upper Mid-Market Segment'!M64+'Premium Segment'!M64+'Closures Overlay'!M64+'Disposals Overlay'!M64</f>
        <v>-2419207.8892892697</v>
      </c>
      <c r="S64" s="19">
        <f>'Value Segment'!N64+'Mid-Market Segment'!N64+'Upper Mid-Market Segment'!N64+'Premium Segment'!N64+'Closures Overlay'!N64+'Disposals Overlay'!N64</f>
        <v>-2311200.3776949281</v>
      </c>
      <c r="T64" s="37"/>
      <c r="U64" s="50">
        <f>IFERROR(((S64/N64)^(1/5))-1,0)</f>
        <v>-2.9146890042928031E-2</v>
      </c>
      <c r="W64" s="19">
        <f>'Value Segment'!R64+'Mid-Market Segment'!R64+'Upper Mid-Market Segment'!R64+'Premium Segment'!R64+'Closures Overlay'!R64+'Disposals Overlay'!R64</f>
        <v>-228810.24868493152</v>
      </c>
      <c r="X64" s="19">
        <f>'Value Segment'!S64+'Mid-Market Segment'!S64+'Upper Mid-Market Segment'!S64+'Premium Segment'!S64+'Closures Overlay'!S64+'Disposals Overlay'!S64</f>
        <v>-228810.24868493152</v>
      </c>
      <c r="Y64" s="19">
        <f>'Value Segment'!T64+'Mid-Market Segment'!T64+'Upper Mid-Market Segment'!T64+'Premium Segment'!T64+'Closures Overlay'!T64+'Disposals Overlay'!T64</f>
        <v>-228810.24868493152</v>
      </c>
      <c r="Z64" s="19">
        <f>'Value Segment'!U64+'Mid-Market Segment'!U64+'Upper Mid-Market Segment'!U64+'Premium Segment'!U64+'Closures Overlay'!U64+'Disposals Overlay'!U64</f>
        <v>-228810.24868493152</v>
      </c>
      <c r="AA64" s="19">
        <f>'Value Segment'!V64+'Mid-Market Segment'!V64+'Upper Mid-Market Segment'!V64+'Premium Segment'!V64+'Closures Overlay'!V64+'Disposals Overlay'!V64</f>
        <v>-228810.24868493152</v>
      </c>
      <c r="AB64" s="19">
        <f>'Value Segment'!W64+'Mid-Market Segment'!W64+'Upper Mid-Market Segment'!W64+'Premium Segment'!W64+'Closures Overlay'!W64+'Disposals Overlay'!W64</f>
        <v>-222867.12534246576</v>
      </c>
      <c r="AC64" s="19">
        <f>'Value Segment'!X64+'Mid-Market Segment'!X64+'Upper Mid-Market Segment'!X64+'Premium Segment'!X64+'Closures Overlay'!X64+'Disposals Overlay'!X64</f>
        <v>-222867.12534246576</v>
      </c>
      <c r="AD64" s="19">
        <f>'Value Segment'!Y64+'Mid-Market Segment'!Y64+'Upper Mid-Market Segment'!Y64+'Premium Segment'!Y64+'Closures Overlay'!Y64+'Disposals Overlay'!Y64</f>
        <v>-222867.12534246576</v>
      </c>
      <c r="AE64" s="19">
        <f>'Value Segment'!Z64+'Mid-Market Segment'!Z64+'Upper Mid-Market Segment'!Z64+'Premium Segment'!Z64+'Closures Overlay'!Z64+'Disposals Overlay'!Z64</f>
        <v>-222867.12534246576</v>
      </c>
      <c r="AF64" s="19">
        <f>'Value Segment'!AA64+'Mid-Market Segment'!AA64+'Upper Mid-Market Segment'!AA64+'Premium Segment'!AA64+'Closures Overlay'!AA64+'Disposals Overlay'!AA64</f>
        <v>-222867.12534246576</v>
      </c>
      <c r="AG64" s="19">
        <f>'Value Segment'!AB64+'Mid-Market Segment'!AB64+'Upper Mid-Market Segment'!AB64+'Premium Segment'!AB64+'Closures Overlay'!AB64+'Disposals Overlay'!AB64</f>
        <v>-222867.12534246576</v>
      </c>
      <c r="AH64" s="19">
        <f>'Value Segment'!AC64+'Mid-Market Segment'!AC64+'Upper Mid-Market Segment'!AC64+'Premium Segment'!AC64+'Closures Overlay'!AC64+'Disposals Overlay'!AC64</f>
        <v>-216924.00200000001</v>
      </c>
      <c r="AI64" s="19">
        <f>'Value Segment'!AD64+'Mid-Market Segment'!AD64+'Upper Mid-Market Segment'!AD64+'Premium Segment'!AD64+'Closures Overlay'!AD64+'Disposals Overlay'!AD64</f>
        <v>-221950.81458552438</v>
      </c>
      <c r="AJ64" s="19">
        <f>'Value Segment'!AE64+'Mid-Market Segment'!AE64+'Upper Mid-Market Segment'!AE64+'Premium Segment'!AE64+'Closures Overlay'!AE64+'Disposals Overlay'!AE64</f>
        <v>-221950.81458552438</v>
      </c>
      <c r="AK64" s="19">
        <f>'Value Segment'!AF64+'Mid-Market Segment'!AF64+'Upper Mid-Market Segment'!AF64+'Premium Segment'!AF64+'Closures Overlay'!AF64+'Disposals Overlay'!AF64</f>
        <v>-221950.81458552438</v>
      </c>
      <c r="AL64" s="19">
        <f>'Value Segment'!AG64+'Mid-Market Segment'!AG64+'Upper Mid-Market Segment'!AG64+'Premium Segment'!AG64+'Closures Overlay'!AG64+'Disposals Overlay'!AG64</f>
        <v>-221950.81458552438</v>
      </c>
      <c r="AM64" s="19">
        <f>'Value Segment'!AH64+'Mid-Market Segment'!AH64+'Upper Mid-Market Segment'!AH64+'Premium Segment'!AH64+'Closures Overlay'!AH64+'Disposals Overlay'!AH64</f>
        <v>-221950.81458552438</v>
      </c>
      <c r="AN64" s="19">
        <f>'Value Segment'!AI64+'Mid-Market Segment'!AI64+'Upper Mid-Market Segment'!AI64+'Premium Segment'!AI64+'Closures Overlay'!AI64+'Disposals Overlay'!AI64</f>
        <v>-215869.97035030453</v>
      </c>
      <c r="AO64" s="19">
        <f>'Value Segment'!AJ64+'Mid-Market Segment'!AJ64+'Upper Mid-Market Segment'!AJ64+'Premium Segment'!AJ64+'Closures Overlay'!AJ64+'Disposals Overlay'!AJ64</f>
        <v>-215869.97035030453</v>
      </c>
      <c r="AP64" s="19">
        <f>'Value Segment'!AK64+'Mid-Market Segment'!AK64+'Upper Mid-Market Segment'!AK64+'Premium Segment'!AK64+'Closures Overlay'!AK64+'Disposals Overlay'!AK64</f>
        <v>-215869.97035030453</v>
      </c>
      <c r="AQ64" s="19">
        <f>'Value Segment'!AL64+'Mid-Market Segment'!AL64+'Upper Mid-Market Segment'!AL64+'Premium Segment'!AL64+'Closures Overlay'!AL64+'Disposals Overlay'!AL64</f>
        <v>-215869.97035030453</v>
      </c>
      <c r="AR64" s="19">
        <f>'Value Segment'!AM64+'Mid-Market Segment'!AM64+'Upper Mid-Market Segment'!AM64+'Premium Segment'!AM64+'Closures Overlay'!AM64+'Disposals Overlay'!AM64</f>
        <v>-215869.97035030453</v>
      </c>
      <c r="AS64" s="19">
        <f>'Value Segment'!AN64+'Mid-Market Segment'!AN64+'Upper Mid-Market Segment'!AN64+'Premium Segment'!AN64+'Closures Overlay'!AN64+'Disposals Overlay'!AN64</f>
        <v>-215869.97035030453</v>
      </c>
      <c r="AT64" s="19">
        <f>'Value Segment'!AO64+'Mid-Market Segment'!AO64+'Upper Mid-Market Segment'!AO64+'Premium Segment'!AO64+'Closures Overlay'!AO64+'Disposals Overlay'!AO64</f>
        <v>-209789.12611508468</v>
      </c>
      <c r="AU64" s="19">
        <f>'Value Segment'!AP64+'Mid-Market Segment'!AP64+'Upper Mid-Market Segment'!AP64+'Premium Segment'!AP64+'Closures Overlay'!AP64+'Disposals Overlay'!AP64</f>
        <v>-214288.90170259806</v>
      </c>
      <c r="AV64" s="19">
        <f>'Value Segment'!AQ64+'Mid-Market Segment'!AQ64+'Upper Mid-Market Segment'!AQ64+'Premium Segment'!AQ64+'Closures Overlay'!AQ64+'Disposals Overlay'!AQ64</f>
        <v>-214288.90170259806</v>
      </c>
      <c r="AW64" s="19">
        <f>'Value Segment'!AR64+'Mid-Market Segment'!AR64+'Upper Mid-Market Segment'!AR64+'Premium Segment'!AR64+'Closures Overlay'!AR64+'Disposals Overlay'!AR64</f>
        <v>-214288.90170259806</v>
      </c>
      <c r="AX64" s="19">
        <f>'Value Segment'!AS64+'Mid-Market Segment'!AS64+'Upper Mid-Market Segment'!AS64+'Premium Segment'!AS64+'Closures Overlay'!AS64+'Disposals Overlay'!AS64</f>
        <v>-214288.90170259806</v>
      </c>
      <c r="AY64" s="19">
        <f>'Value Segment'!AT64+'Mid-Market Segment'!AT64+'Upper Mid-Market Segment'!AT64+'Premium Segment'!AT64+'Closures Overlay'!AT64+'Disposals Overlay'!AT64</f>
        <v>-214288.90170259806</v>
      </c>
      <c r="AZ64" s="19">
        <f>'Value Segment'!AU64+'Mid-Market Segment'!AU64+'Upper Mid-Market Segment'!AU64+'Premium Segment'!AU64+'Closures Overlay'!AU64+'Disposals Overlay'!AU64</f>
        <v>-208077.62918947928</v>
      </c>
      <c r="BA64" s="19">
        <f>'Value Segment'!AV64+'Mid-Market Segment'!AV64+'Upper Mid-Market Segment'!AV64+'Premium Segment'!AV64+'Closures Overlay'!AV64+'Disposals Overlay'!AV64</f>
        <v>-208077.62918947928</v>
      </c>
      <c r="BB64" s="19">
        <f>'Value Segment'!AW64+'Mid-Market Segment'!AW64+'Upper Mid-Market Segment'!AW64+'Premium Segment'!AW64+'Closures Overlay'!AW64+'Disposals Overlay'!AW64</f>
        <v>-208077.62918947928</v>
      </c>
      <c r="BC64" s="19">
        <f>'Value Segment'!AX64+'Mid-Market Segment'!AX64+'Upper Mid-Market Segment'!AX64+'Premium Segment'!AX64+'Closures Overlay'!AX64+'Disposals Overlay'!AX64</f>
        <v>-208077.62918947928</v>
      </c>
      <c r="BD64" s="19">
        <f>'Value Segment'!AY64+'Mid-Market Segment'!AY64+'Upper Mid-Market Segment'!AY64+'Premium Segment'!AY64+'Closures Overlay'!AY64+'Disposals Overlay'!AY64</f>
        <v>-208077.62918947928</v>
      </c>
      <c r="BE64" s="19">
        <f>'Value Segment'!AZ64+'Mid-Market Segment'!AZ64+'Upper Mid-Market Segment'!AZ64+'Premium Segment'!AZ64+'Closures Overlay'!AZ64+'Disposals Overlay'!AZ64</f>
        <v>-208077.62918947928</v>
      </c>
      <c r="BF64" s="19">
        <f>'Value Segment'!BA64+'Mid-Market Segment'!BA64+'Upper Mid-Market Segment'!BA64+'Premium Segment'!BA64+'Closures Overlay'!BA64+'Disposals Overlay'!BA64</f>
        <v>-201866.35667636048</v>
      </c>
      <c r="BG64" s="19">
        <f>'Value Segment'!BB64+'Mid-Market Segment'!BB64+'Upper Mid-Market Segment'!BB64+'Premium Segment'!BB64+'Closures Overlay'!BB64+'Disposals Overlay'!BB64</f>
        <v>-205822.66073796141</v>
      </c>
      <c r="BH64" s="19">
        <f>'Value Segment'!BC64+'Mid-Market Segment'!BC64+'Upper Mid-Market Segment'!BC64+'Premium Segment'!BC64+'Closures Overlay'!BC64+'Disposals Overlay'!BC64</f>
        <v>-205822.66073796141</v>
      </c>
      <c r="BI64" s="19">
        <f>'Value Segment'!BD64+'Mid-Market Segment'!BD64+'Upper Mid-Market Segment'!BD64+'Premium Segment'!BD64+'Closures Overlay'!BD64+'Disposals Overlay'!BD64</f>
        <v>-205822.66073796141</v>
      </c>
      <c r="BJ64" s="19">
        <f>'Value Segment'!BE64+'Mid-Market Segment'!BE64+'Upper Mid-Market Segment'!BE64+'Premium Segment'!BE64+'Closures Overlay'!BE64+'Disposals Overlay'!BE64</f>
        <v>-205822.66073796141</v>
      </c>
      <c r="BK64" s="19">
        <f>'Value Segment'!BF64+'Mid-Market Segment'!BF64+'Upper Mid-Market Segment'!BF64+'Premium Segment'!BF64+'Closures Overlay'!BF64+'Disposals Overlay'!BF64</f>
        <v>-205822.66073796141</v>
      </c>
      <c r="BL64" s="19">
        <f>'Value Segment'!BG64+'Mid-Market Segment'!BG64+'Upper Mid-Market Segment'!BG64+'Premium Segment'!BG64+'Closures Overlay'!BG64+'Disposals Overlay'!BG64</f>
        <v>-199489.655792178</v>
      </c>
      <c r="BM64" s="19">
        <f>'Value Segment'!BH64+'Mid-Market Segment'!BH64+'Upper Mid-Market Segment'!BH64+'Premium Segment'!BH64+'Closures Overlay'!BH64+'Disposals Overlay'!BH64</f>
        <v>-199489.655792178</v>
      </c>
      <c r="BN64" s="19">
        <f>'Value Segment'!BI64+'Mid-Market Segment'!BI64+'Upper Mid-Market Segment'!BI64+'Premium Segment'!BI64+'Closures Overlay'!BI64+'Disposals Overlay'!BI64</f>
        <v>-199489.655792178</v>
      </c>
      <c r="BO64" s="19">
        <f>'Value Segment'!BJ64+'Mid-Market Segment'!BJ64+'Upper Mid-Market Segment'!BJ64+'Premium Segment'!BJ64+'Closures Overlay'!BJ64+'Disposals Overlay'!BJ64</f>
        <v>-199489.655792178</v>
      </c>
      <c r="BP64" s="19">
        <f>'Value Segment'!BK64+'Mid-Market Segment'!BK64+'Upper Mid-Market Segment'!BK64+'Premium Segment'!BK64+'Closures Overlay'!BK64+'Disposals Overlay'!BK64</f>
        <v>-199489.655792178</v>
      </c>
      <c r="BQ64" s="19">
        <f>'Value Segment'!BL64+'Mid-Market Segment'!BL64+'Upper Mid-Market Segment'!BL64+'Premium Segment'!BL64+'Closures Overlay'!BL64+'Disposals Overlay'!BL64</f>
        <v>-199489.655792178</v>
      </c>
      <c r="BR64" s="19">
        <f>'Value Segment'!BM64+'Mid-Market Segment'!BM64+'Upper Mid-Market Segment'!BM64+'Premium Segment'!BM64+'Closures Overlay'!BM64+'Disposals Overlay'!BM64</f>
        <v>-193156.65084639456</v>
      </c>
      <c r="BS64" s="19">
        <f>'Value Segment'!BN64+'Mid-Market Segment'!BN64+'Upper Mid-Market Segment'!BN64+'Premium Segment'!BN64+'Closures Overlay'!BN64+'Disposals Overlay'!BN64</f>
        <v>-196903.94279244501</v>
      </c>
      <c r="BT64" s="19">
        <f>'Value Segment'!BO64+'Mid-Market Segment'!BO64+'Upper Mid-Market Segment'!BO64+'Premium Segment'!BO64+'Closures Overlay'!BO64+'Disposals Overlay'!BO64</f>
        <v>-196903.94279244501</v>
      </c>
      <c r="BU64" s="19">
        <f>'Value Segment'!BP64+'Mid-Market Segment'!BP64+'Upper Mid-Market Segment'!BP64+'Premium Segment'!BP64+'Closures Overlay'!BP64+'Disposals Overlay'!BP64</f>
        <v>-196903.94279244501</v>
      </c>
      <c r="BV64" s="19">
        <f>'Value Segment'!BQ64+'Mid-Market Segment'!BQ64+'Upper Mid-Market Segment'!BQ64+'Premium Segment'!BQ64+'Closures Overlay'!BQ64+'Disposals Overlay'!BQ64</f>
        <v>-196903.94279244501</v>
      </c>
      <c r="BW64" s="19">
        <f>'Value Segment'!BR64+'Mid-Market Segment'!BR64+'Upper Mid-Market Segment'!BR64+'Premium Segment'!BR64+'Closures Overlay'!BR64+'Disposals Overlay'!BR64</f>
        <v>-196903.94279244501</v>
      </c>
      <c r="BX64" s="19">
        <f>'Value Segment'!BS64+'Mid-Market Segment'!BS64+'Upper Mid-Market Segment'!BS64+'Premium Segment'!BS64+'Closures Overlay'!BS64+'Disposals Overlay'!BS64</f>
        <v>-190448.07581564353</v>
      </c>
      <c r="BY64" s="19">
        <f>'Value Segment'!BT64+'Mid-Market Segment'!BT64+'Upper Mid-Market Segment'!BT64+'Premium Segment'!BT64+'Closures Overlay'!BT64+'Disposals Overlay'!BT64</f>
        <v>-190448.07581564353</v>
      </c>
      <c r="BZ64" s="19">
        <f>'Value Segment'!BU64+'Mid-Market Segment'!BU64+'Upper Mid-Market Segment'!BU64+'Premium Segment'!BU64+'Closures Overlay'!BU64+'Disposals Overlay'!BU64</f>
        <v>-190448.07581564353</v>
      </c>
      <c r="CA64" s="19">
        <f>'Value Segment'!BV64+'Mid-Market Segment'!BV64+'Upper Mid-Market Segment'!BV64+'Premium Segment'!BV64+'Closures Overlay'!BV64+'Disposals Overlay'!BV64</f>
        <v>-190448.07581564353</v>
      </c>
      <c r="CB64" s="19">
        <f>'Value Segment'!BW64+'Mid-Market Segment'!BW64+'Upper Mid-Market Segment'!BW64+'Premium Segment'!BW64+'Closures Overlay'!BW64+'Disposals Overlay'!BW64</f>
        <v>-190448.07581564353</v>
      </c>
      <c r="CC64" s="19">
        <f>'Value Segment'!BX64+'Mid-Market Segment'!BX64+'Upper Mid-Market Segment'!BX64+'Premium Segment'!BX64+'Closures Overlay'!BX64+'Disposals Overlay'!BX64</f>
        <v>-190448.07581564353</v>
      </c>
      <c r="CD64" s="19">
        <f>'Value Segment'!BY64+'Mid-Market Segment'!BY64+'Upper Mid-Market Segment'!BY64+'Premium Segment'!BY64+'Closures Overlay'!BY64+'Disposals Overlay'!BY64</f>
        <v>-183992.20883884205</v>
      </c>
    </row>
    <row r="65" spans="1:85" x14ac:dyDescent="0.3">
      <c r="A65" s="7"/>
      <c r="B65" s="1"/>
      <c r="C65" s="2"/>
      <c r="D65" s="2"/>
      <c r="E65" s="62" t="s">
        <v>292</v>
      </c>
      <c r="F65" s="63"/>
      <c r="G65" s="63"/>
      <c r="H65" s="63"/>
      <c r="I65" s="502">
        <f>I64+I61</f>
        <v>23070314.650000013</v>
      </c>
      <c r="J65" s="502">
        <f>J64+J61</f>
        <v>24462746.920000009</v>
      </c>
      <c r="K65" s="502">
        <f>K64+K61</f>
        <v>25176065.68</v>
      </c>
      <c r="L65" s="502">
        <f>L64+L61</f>
        <v>25434029.022307675</v>
      </c>
      <c r="M65" s="63"/>
      <c r="N65" s="502">
        <f t="shared" ref="N65:S65" si="41">N64+N61</f>
        <v>26155342.036531422</v>
      </c>
      <c r="O65" s="502">
        <f t="shared" si="41"/>
        <v>27153729.954605181</v>
      </c>
      <c r="P65" s="502">
        <f t="shared" si="41"/>
        <v>27344058.824074302</v>
      </c>
      <c r="Q65" s="502">
        <f t="shared" si="41"/>
        <v>27384430.196471184</v>
      </c>
      <c r="R65" s="502">
        <f t="shared" si="41"/>
        <v>27261537.404755436</v>
      </c>
      <c r="S65" s="502">
        <f t="shared" si="41"/>
        <v>27007525.996197037</v>
      </c>
      <c r="T65" s="57"/>
      <c r="U65" s="55">
        <f>IFERROR(((S65/N65)^(1/5))-1,0)</f>
        <v>6.4330263460166126E-3</v>
      </c>
      <c r="W65" s="502">
        <f t="shared" ref="W65:CD65" si="42">W64+W61</f>
        <v>2273814.3301696423</v>
      </c>
      <c r="X65" s="502">
        <f t="shared" si="42"/>
        <v>2273814.3301696423</v>
      </c>
      <c r="Y65" s="502">
        <f t="shared" si="42"/>
        <v>2273814.3301696423</v>
      </c>
      <c r="Z65" s="502">
        <f t="shared" si="42"/>
        <v>2273814.3301696423</v>
      </c>
      <c r="AA65" s="502">
        <f t="shared" si="42"/>
        <v>2273814.3301696423</v>
      </c>
      <c r="AB65" s="502">
        <f t="shared" si="42"/>
        <v>2212572.9010596364</v>
      </c>
      <c r="AC65" s="502">
        <f t="shared" si="42"/>
        <v>2272496.6501245103</v>
      </c>
      <c r="AD65" s="502">
        <f t="shared" si="42"/>
        <v>2272496.6501245103</v>
      </c>
      <c r="AE65" s="502">
        <f t="shared" si="42"/>
        <v>2272496.6501245103</v>
      </c>
      <c r="AF65" s="502">
        <f t="shared" si="42"/>
        <v>2272496.6501245103</v>
      </c>
      <c r="AG65" s="502">
        <f t="shared" si="42"/>
        <v>2272496.6501245103</v>
      </c>
      <c r="AH65" s="502">
        <f t="shared" si="42"/>
        <v>2209602.1520747831</v>
      </c>
      <c r="AI65" s="502">
        <f t="shared" si="42"/>
        <v>2285817.9488129523</v>
      </c>
      <c r="AJ65" s="502">
        <f t="shared" si="42"/>
        <v>2285817.9488129523</v>
      </c>
      <c r="AK65" s="502">
        <f t="shared" si="42"/>
        <v>2285817.9488129523</v>
      </c>
      <c r="AL65" s="502">
        <f t="shared" si="42"/>
        <v>2285817.9488129523</v>
      </c>
      <c r="AM65" s="502">
        <f t="shared" si="42"/>
        <v>2285817.9488129523</v>
      </c>
      <c r="AN65" s="502">
        <f t="shared" si="42"/>
        <v>2220756.4167815484</v>
      </c>
      <c r="AO65" s="502">
        <f t="shared" si="42"/>
        <v>2293566.6736960998</v>
      </c>
      <c r="AP65" s="502">
        <f t="shared" si="42"/>
        <v>2293566.6736960998</v>
      </c>
      <c r="AQ65" s="502">
        <f t="shared" si="42"/>
        <v>2293566.6736960998</v>
      </c>
      <c r="AR65" s="502">
        <f t="shared" si="42"/>
        <v>2293566.6736960998</v>
      </c>
      <c r="AS65" s="502">
        <f t="shared" si="42"/>
        <v>2293566.6736960998</v>
      </c>
      <c r="AT65" s="502">
        <f t="shared" si="42"/>
        <v>2226379.2947474844</v>
      </c>
      <c r="AU65" s="502">
        <f t="shared" si="42"/>
        <v>2285827.1130227516</v>
      </c>
      <c r="AV65" s="502">
        <f t="shared" si="42"/>
        <v>2285827.1130227516</v>
      </c>
      <c r="AW65" s="502">
        <f t="shared" si="42"/>
        <v>2285827.1130227516</v>
      </c>
      <c r="AX65" s="502">
        <f t="shared" si="42"/>
        <v>2285827.1130227516</v>
      </c>
      <c r="AY65" s="502">
        <f t="shared" si="42"/>
        <v>2285827.1130227516</v>
      </c>
      <c r="AZ65" s="502">
        <f t="shared" si="42"/>
        <v>2216846.9264463857</v>
      </c>
      <c r="BA65" s="502">
        <f t="shared" si="42"/>
        <v>2301676.3770079101</v>
      </c>
      <c r="BB65" s="502">
        <f t="shared" si="42"/>
        <v>2301676.3770079101</v>
      </c>
      <c r="BC65" s="502">
        <f t="shared" si="42"/>
        <v>2301676.3770079101</v>
      </c>
      <c r="BD65" s="502">
        <f t="shared" si="42"/>
        <v>2301676.3770079101</v>
      </c>
      <c r="BE65" s="502">
        <f t="shared" si="42"/>
        <v>2301676.3770079101</v>
      </c>
      <c r="BF65" s="502">
        <f t="shared" si="42"/>
        <v>2230065.8198714964</v>
      </c>
      <c r="BG65" s="502">
        <f t="shared" si="42"/>
        <v>2272808.7126641604</v>
      </c>
      <c r="BH65" s="502">
        <f t="shared" si="42"/>
        <v>2272808.7126641604</v>
      </c>
      <c r="BI65" s="502">
        <f t="shared" si="42"/>
        <v>2272808.7126641604</v>
      </c>
      <c r="BJ65" s="502">
        <f t="shared" si="42"/>
        <v>2272808.7126641604</v>
      </c>
      <c r="BK65" s="502">
        <f t="shared" si="42"/>
        <v>2272808.7126641604</v>
      </c>
      <c r="BL65" s="502">
        <f t="shared" si="42"/>
        <v>2199825.5136610754</v>
      </c>
      <c r="BM65" s="502">
        <f t="shared" si="42"/>
        <v>2295636.4718633378</v>
      </c>
      <c r="BN65" s="502">
        <f t="shared" si="42"/>
        <v>2295636.4718633378</v>
      </c>
      <c r="BO65" s="502">
        <f t="shared" si="42"/>
        <v>2295636.4718633378</v>
      </c>
      <c r="BP65" s="502">
        <f t="shared" si="42"/>
        <v>2295636.4718633378</v>
      </c>
      <c r="BQ65" s="502">
        <f t="shared" si="42"/>
        <v>2295636.4718633378</v>
      </c>
      <c r="BR65" s="502">
        <f t="shared" si="42"/>
        <v>2219485.9684568723</v>
      </c>
      <c r="BS65" s="502">
        <f t="shared" si="42"/>
        <v>2249592.9058230673</v>
      </c>
      <c r="BT65" s="502">
        <f t="shared" si="42"/>
        <v>2249592.9058230673</v>
      </c>
      <c r="BU65" s="502">
        <f t="shared" si="42"/>
        <v>2249592.9058230673</v>
      </c>
      <c r="BV65" s="502">
        <f t="shared" si="42"/>
        <v>2249592.9058230673</v>
      </c>
      <c r="BW65" s="502">
        <f t="shared" si="42"/>
        <v>2249592.9058230673</v>
      </c>
      <c r="BX65" s="502">
        <f t="shared" si="42"/>
        <v>2172407.854898484</v>
      </c>
      <c r="BY65" s="502">
        <f t="shared" si="42"/>
        <v>2278012.8152990914</v>
      </c>
      <c r="BZ65" s="502">
        <f t="shared" si="42"/>
        <v>2278012.8152990914</v>
      </c>
      <c r="CA65" s="502">
        <f t="shared" si="42"/>
        <v>2278012.8152990914</v>
      </c>
      <c r="CB65" s="502">
        <f t="shared" si="42"/>
        <v>2278012.8152990914</v>
      </c>
      <c r="CC65" s="502">
        <f t="shared" si="42"/>
        <v>2278012.8152990914</v>
      </c>
      <c r="CD65" s="502">
        <f t="shared" si="42"/>
        <v>2197089.5356877609</v>
      </c>
      <c r="CG65" s="8"/>
    </row>
    <row r="66" spans="1:85" x14ac:dyDescent="0.3">
      <c r="A66" s="7"/>
      <c r="B66" s="1"/>
      <c r="C66" s="2"/>
      <c r="D66" s="2"/>
      <c r="E66" s="692" t="s">
        <v>403</v>
      </c>
      <c r="F66" s="2"/>
      <c r="G66" s="2"/>
      <c r="H66" s="2"/>
      <c r="I66" s="23">
        <f>IFERROR(I65/SUM(I22,I31,I45,I52),0)</f>
        <v>0.47501938739346455</v>
      </c>
      <c r="J66" s="23">
        <f t="shared" ref="J66:S66" si="43">IFERROR(J65/SUM(J22,J31,J45,J52),0)</f>
        <v>0.48707428849640844</v>
      </c>
      <c r="K66" s="23">
        <f t="shared" si="43"/>
        <v>0.50208583954053376</v>
      </c>
      <c r="L66" s="23">
        <f t="shared" si="43"/>
        <v>0.5065949021584184</v>
      </c>
      <c r="M66" s="23">
        <f t="shared" si="43"/>
        <v>0</v>
      </c>
      <c r="N66" s="23">
        <f t="shared" si="43"/>
        <v>0.50146632758228649</v>
      </c>
      <c r="O66" s="23">
        <f t="shared" si="43"/>
        <v>0.5074826537526409</v>
      </c>
      <c r="P66" s="23">
        <f t="shared" si="43"/>
        <v>0.51368328475975911</v>
      </c>
      <c r="Q66" s="23">
        <f t="shared" si="43"/>
        <v>0.51954927257215444</v>
      </c>
      <c r="R66" s="23">
        <f t="shared" si="43"/>
        <v>0.52488342691815415</v>
      </c>
      <c r="S66" s="23">
        <f t="shared" si="43"/>
        <v>0.53001234161926902</v>
      </c>
      <c r="T66" s="23"/>
      <c r="U66" s="50">
        <f>IFERROR(((S66/N66)^(1/5))-1,0)</f>
        <v>1.1134296088709528E-2</v>
      </c>
      <c r="W66" s="23">
        <f>IFERROR(W65/SUM(W22,W31,W45,W52),0)</f>
        <v>0.50672226009343813</v>
      </c>
      <c r="X66" s="23">
        <f t="shared" ref="X66:CD66" si="44">IFERROR(X65/SUM(X22,X31,X45,X52),0)</f>
        <v>0.50672226009343813</v>
      </c>
      <c r="Y66" s="23">
        <f t="shared" si="44"/>
        <v>0.50672226009343813</v>
      </c>
      <c r="Z66" s="23">
        <f t="shared" si="44"/>
        <v>0.50672226009343813</v>
      </c>
      <c r="AA66" s="23">
        <f t="shared" si="44"/>
        <v>0.50672226009343813</v>
      </c>
      <c r="AB66" s="23">
        <f t="shared" si="44"/>
        <v>0.50667659001793375</v>
      </c>
      <c r="AC66" s="23">
        <f t="shared" si="44"/>
        <v>0.50826103637597642</v>
      </c>
      <c r="AD66" s="23">
        <f t="shared" si="44"/>
        <v>0.50826103637597642</v>
      </c>
      <c r="AE66" s="23">
        <f t="shared" si="44"/>
        <v>0.50826103637597642</v>
      </c>
      <c r="AF66" s="23">
        <f t="shared" si="44"/>
        <v>0.50826103637597642</v>
      </c>
      <c r="AG66" s="23">
        <f t="shared" si="44"/>
        <v>0.50826103637597642</v>
      </c>
      <c r="AH66" s="23">
        <f t="shared" si="44"/>
        <v>0.50821390075843875</v>
      </c>
      <c r="AI66" s="23">
        <f t="shared" si="44"/>
        <v>0.51274566015988898</v>
      </c>
      <c r="AJ66" s="23">
        <f t="shared" si="44"/>
        <v>0.51274566015988898</v>
      </c>
      <c r="AK66" s="23">
        <f t="shared" si="44"/>
        <v>0.51274566015988898</v>
      </c>
      <c r="AL66" s="23">
        <f t="shared" si="44"/>
        <v>0.51274566015988898</v>
      </c>
      <c r="AM66" s="23">
        <f t="shared" si="44"/>
        <v>0.51274566015988898</v>
      </c>
      <c r="AN66" s="23">
        <f t="shared" si="44"/>
        <v>0.51269587800741567</v>
      </c>
      <c r="AO66" s="23">
        <f t="shared" si="44"/>
        <v>0.51463776360389513</v>
      </c>
      <c r="AP66" s="23">
        <f t="shared" si="44"/>
        <v>0.51463776360389513</v>
      </c>
      <c r="AQ66" s="23">
        <f t="shared" si="44"/>
        <v>0.51463776360389513</v>
      </c>
      <c r="AR66" s="23">
        <f t="shared" si="44"/>
        <v>0.51463776360389513</v>
      </c>
      <c r="AS66" s="23">
        <f t="shared" si="44"/>
        <v>0.51463776360389513</v>
      </c>
      <c r="AT66" s="23">
        <f t="shared" si="44"/>
        <v>0.51458646890039639</v>
      </c>
      <c r="AU66" s="23">
        <f t="shared" si="44"/>
        <v>0.51844114986512702</v>
      </c>
      <c r="AV66" s="23">
        <f t="shared" si="44"/>
        <v>0.51844114986512702</v>
      </c>
      <c r="AW66" s="23">
        <f t="shared" si="44"/>
        <v>0.51844114986512702</v>
      </c>
      <c r="AX66" s="23">
        <f t="shared" si="44"/>
        <v>0.51844114986512702</v>
      </c>
      <c r="AY66" s="23">
        <f t="shared" si="44"/>
        <v>0.51844114986512702</v>
      </c>
      <c r="AZ66" s="23">
        <f t="shared" si="44"/>
        <v>0.5183865468074198</v>
      </c>
      <c r="BA66" s="23">
        <f t="shared" si="44"/>
        <v>0.52067264763865539</v>
      </c>
      <c r="BB66" s="23">
        <f t="shared" si="44"/>
        <v>0.52067264763865539</v>
      </c>
      <c r="BC66" s="23">
        <f t="shared" si="44"/>
        <v>0.52067264763865539</v>
      </c>
      <c r="BD66" s="23">
        <f t="shared" si="44"/>
        <v>0.52067264763865539</v>
      </c>
      <c r="BE66" s="23">
        <f t="shared" si="44"/>
        <v>0.52067264763865539</v>
      </c>
      <c r="BF66" s="23">
        <f t="shared" si="44"/>
        <v>0.52061644443412269</v>
      </c>
      <c r="BG66" s="23">
        <f t="shared" si="44"/>
        <v>0.52360926940353403</v>
      </c>
      <c r="BH66" s="23">
        <f t="shared" si="44"/>
        <v>0.52360926940353403</v>
      </c>
      <c r="BI66" s="23">
        <f t="shared" si="44"/>
        <v>0.52360926940353403</v>
      </c>
      <c r="BJ66" s="23">
        <f t="shared" si="44"/>
        <v>0.52360926940353403</v>
      </c>
      <c r="BK66" s="23">
        <f t="shared" si="44"/>
        <v>0.52360926940353403</v>
      </c>
      <c r="BL66" s="23">
        <f t="shared" si="44"/>
        <v>0.52354898028949393</v>
      </c>
      <c r="BM66" s="23">
        <f t="shared" si="44"/>
        <v>0.52617109393647843</v>
      </c>
      <c r="BN66" s="23">
        <f t="shared" si="44"/>
        <v>0.52617109393647843</v>
      </c>
      <c r="BO66" s="23">
        <f t="shared" si="44"/>
        <v>0.52617109393647843</v>
      </c>
      <c r="BP66" s="23">
        <f t="shared" si="44"/>
        <v>0.52617109393647843</v>
      </c>
      <c r="BQ66" s="23">
        <f t="shared" si="44"/>
        <v>0.52617109393647843</v>
      </c>
      <c r="BR66" s="23">
        <f t="shared" si="44"/>
        <v>0.52610906164282834</v>
      </c>
      <c r="BS66" s="23">
        <f t="shared" si="44"/>
        <v>0.52857683718087456</v>
      </c>
      <c r="BT66" s="23">
        <f t="shared" si="44"/>
        <v>0.52857683718087456</v>
      </c>
      <c r="BU66" s="23">
        <f t="shared" si="44"/>
        <v>0.52857683718087456</v>
      </c>
      <c r="BV66" s="23">
        <f t="shared" si="44"/>
        <v>0.52857683718087456</v>
      </c>
      <c r="BW66" s="23">
        <f t="shared" si="44"/>
        <v>0.52857683718087456</v>
      </c>
      <c r="BX66" s="23">
        <f t="shared" si="44"/>
        <v>0.52850971743118746</v>
      </c>
      <c r="BY66" s="23">
        <f t="shared" si="44"/>
        <v>0.53145992292309741</v>
      </c>
      <c r="BZ66" s="23">
        <f t="shared" si="44"/>
        <v>0.53145992292309741</v>
      </c>
      <c r="CA66" s="23">
        <f t="shared" si="44"/>
        <v>0.53145992292309741</v>
      </c>
      <c r="CB66" s="23">
        <f t="shared" si="44"/>
        <v>0.53145992292309741</v>
      </c>
      <c r="CC66" s="23">
        <f t="shared" si="44"/>
        <v>0.53145992292309741</v>
      </c>
      <c r="CD66" s="23">
        <f t="shared" si="44"/>
        <v>0.53139083336151327</v>
      </c>
    </row>
    <row r="67" spans="1:85" x14ac:dyDescent="0.3">
      <c r="A67" s="7"/>
      <c r="B67" s="1"/>
      <c r="C67" s="2"/>
      <c r="D67" s="2"/>
      <c r="E67" s="2"/>
      <c r="F67" s="2"/>
      <c r="G67" s="2"/>
      <c r="H67" s="2"/>
      <c r="I67" s="23"/>
      <c r="J67" s="23"/>
      <c r="K67" s="23"/>
      <c r="L67" s="23"/>
      <c r="M67" s="2"/>
      <c r="N67" s="23"/>
      <c r="O67" s="23"/>
      <c r="P67" s="23"/>
      <c r="Q67" s="23"/>
      <c r="R67" s="23"/>
      <c r="S67" s="23"/>
      <c r="T67" s="23"/>
      <c r="U67" s="50"/>
      <c r="W67" s="23"/>
      <c r="X67" s="23"/>
      <c r="Y67" s="23"/>
      <c r="Z67" s="23"/>
      <c r="AA67" s="23"/>
      <c r="AB67" s="23"/>
      <c r="AC67" s="23"/>
      <c r="AD67" s="23"/>
      <c r="AE67" s="23"/>
      <c r="AF67" s="23"/>
      <c r="AG67" s="23"/>
      <c r="AH67" s="23"/>
      <c r="AI67" s="23"/>
      <c r="AJ67" s="23"/>
      <c r="AK67" s="23"/>
      <c r="AL67" s="23"/>
      <c r="AM67" s="23"/>
      <c r="AN67" s="23"/>
      <c r="AO67" s="23"/>
      <c r="AP67" s="23"/>
      <c r="AQ67" s="23"/>
      <c r="AR67" s="23"/>
      <c r="AS67" s="23"/>
      <c r="AT67" s="23"/>
      <c r="AU67" s="23"/>
      <c r="AV67" s="23"/>
      <c r="AW67" s="23"/>
      <c r="AX67" s="23"/>
      <c r="AY67" s="23"/>
      <c r="AZ67" s="23"/>
      <c r="BA67" s="23"/>
      <c r="BB67" s="23"/>
      <c r="BC67" s="23"/>
      <c r="BD67" s="23"/>
      <c r="BE67" s="23"/>
      <c r="BF67" s="23"/>
      <c r="BG67" s="23"/>
      <c r="BH67" s="23"/>
      <c r="BI67" s="23"/>
      <c r="BJ67" s="23"/>
      <c r="BK67" s="23"/>
      <c r="BL67" s="23"/>
      <c r="BM67" s="23"/>
      <c r="BN67" s="23"/>
      <c r="BO67" s="23"/>
      <c r="BP67" s="23"/>
      <c r="BQ67" s="23"/>
      <c r="BR67" s="23"/>
      <c r="BS67" s="23"/>
      <c r="BT67" s="23"/>
      <c r="BU67" s="23"/>
      <c r="BV67" s="23"/>
      <c r="BW67" s="23"/>
      <c r="BX67" s="23"/>
      <c r="BY67" s="23"/>
      <c r="BZ67" s="23"/>
      <c r="CA67" s="23"/>
      <c r="CB67" s="23"/>
      <c r="CC67" s="23"/>
      <c r="CD67" s="23"/>
    </row>
    <row r="68" spans="1:85" x14ac:dyDescent="0.3">
      <c r="A68" s="7"/>
      <c r="B68" s="1"/>
      <c r="C68" s="2"/>
      <c r="D68" s="2"/>
      <c r="E68" s="2" t="s">
        <v>52</v>
      </c>
      <c r="F68" s="54"/>
      <c r="G68" s="54"/>
      <c r="H68" s="54"/>
      <c r="I68" s="67">
        <v>-2581520.8000000003</v>
      </c>
      <c r="J68" s="67">
        <v>-3593664.7700000005</v>
      </c>
      <c r="K68" s="67">
        <v>-2663578.13</v>
      </c>
      <c r="L68" s="67">
        <v>-3067823.2099999986</v>
      </c>
      <c r="M68" s="54"/>
      <c r="N68" s="19">
        <f>'Value Segment'!I68+'Mid-Market Segment'!I68+'Upper Mid-Market Segment'!I68+'Premium Segment'!I68+'Closures Overlay'!I68+'Disposals Overlay'!I68</f>
        <v>-3065576.1291033244</v>
      </c>
      <c r="O68" s="19">
        <f>'Value Segment'!J68+'Mid-Market Segment'!J68+'Upper Mid-Market Segment'!J68+'Premium Segment'!J68+'Closures Overlay'!J68+'Disposals Overlay'!J68</f>
        <v>-2388160</v>
      </c>
      <c r="P68" s="19">
        <f>'Value Segment'!K68+'Mid-Market Segment'!K68+'Upper Mid-Market Segment'!K68+'Premium Segment'!K68+'Closures Overlay'!K68+'Disposals Overlay'!K68</f>
        <v>-2302752.0000000005</v>
      </c>
      <c r="Q68" s="19">
        <f>'Value Segment'!L68+'Mid-Market Segment'!L68+'Upper Mid-Market Segment'!L68+'Premium Segment'!L68+'Closures Overlay'!L68+'Disposals Overlay'!L68</f>
        <v>-2212972.4160000002</v>
      </c>
      <c r="R68" s="19">
        <f>'Value Segment'!M68+'Mid-Market Segment'!M68+'Upper Mid-Market Segment'!M68+'Premium Segment'!M68+'Closures Overlay'!M68+'Disposals Overlay'!M68</f>
        <v>-2118680.5478399992</v>
      </c>
      <c r="S68" s="19">
        <f>'Value Segment'!N68+'Mid-Market Segment'!N68+'Upper Mid-Market Segment'!N68+'Premium Segment'!N68+'Closures Overlay'!N68+'Disposals Overlay'!N68</f>
        <v>-2019731.8159872005</v>
      </c>
      <c r="T68" s="37"/>
      <c r="U68" s="50">
        <f>IFERROR(((S68/N68)^(1/5))-1,0)</f>
        <v>-8.006674158001581E-2</v>
      </c>
      <c r="W68" s="19">
        <f>'Value Segment'!R68+'Mid-Market Segment'!R68+'Upper Mid-Market Segment'!R68+'Premium Segment'!R68+'Closures Overlay'!R68+'Disposals Overlay'!R68</f>
        <v>-202640</v>
      </c>
      <c r="X68" s="19">
        <f>'Value Segment'!S68+'Mid-Market Segment'!S68+'Upper Mid-Market Segment'!S68+'Premium Segment'!S68+'Closures Overlay'!S68+'Disposals Overlay'!S68</f>
        <v>-202640</v>
      </c>
      <c r="Y68" s="19">
        <f>'Value Segment'!T68+'Mid-Market Segment'!T68+'Upper Mid-Market Segment'!T68+'Premium Segment'!T68+'Closures Overlay'!T68+'Disposals Overlay'!T68</f>
        <v>-202640</v>
      </c>
      <c r="Z68" s="19">
        <f>'Value Segment'!U68+'Mid-Market Segment'!U68+'Upper Mid-Market Segment'!U68+'Premium Segment'!U68+'Closures Overlay'!U68+'Disposals Overlay'!U68</f>
        <v>-202640</v>
      </c>
      <c r="AA68" s="19">
        <f>'Value Segment'!V68+'Mid-Market Segment'!V68+'Upper Mid-Market Segment'!V68+'Premium Segment'!V68+'Closures Overlay'!V68+'Disposals Overlay'!V68</f>
        <v>-202640</v>
      </c>
      <c r="AB68" s="19">
        <f>'Value Segment'!W68+'Mid-Market Segment'!W68+'Upper Mid-Market Segment'!W68+'Premium Segment'!W68+'Closures Overlay'!W68+'Disposals Overlay'!W68</f>
        <v>-197200</v>
      </c>
      <c r="AC68" s="19">
        <f>'Value Segment'!X68+'Mid-Market Segment'!X68+'Upper Mid-Market Segment'!X68+'Premium Segment'!X68+'Closures Overlay'!X68+'Disposals Overlay'!X68</f>
        <v>-197200</v>
      </c>
      <c r="AD68" s="19">
        <f>'Value Segment'!Y68+'Mid-Market Segment'!Y68+'Upper Mid-Market Segment'!Y68+'Premium Segment'!Y68+'Closures Overlay'!Y68+'Disposals Overlay'!Y68</f>
        <v>-197200</v>
      </c>
      <c r="AE68" s="19">
        <f>'Value Segment'!Z68+'Mid-Market Segment'!Z68+'Upper Mid-Market Segment'!Z68+'Premium Segment'!Z68+'Closures Overlay'!Z68+'Disposals Overlay'!Z68</f>
        <v>-197200</v>
      </c>
      <c r="AF68" s="19">
        <f>'Value Segment'!AA68+'Mid-Market Segment'!AA68+'Upper Mid-Market Segment'!AA68+'Premium Segment'!AA68+'Closures Overlay'!AA68+'Disposals Overlay'!AA68</f>
        <v>-197200</v>
      </c>
      <c r="AG68" s="19">
        <f>'Value Segment'!AB68+'Mid-Market Segment'!AB68+'Upper Mid-Market Segment'!AB68+'Premium Segment'!AB68+'Closures Overlay'!AB68+'Disposals Overlay'!AB68</f>
        <v>-197200</v>
      </c>
      <c r="AH68" s="19">
        <f>'Value Segment'!AC68+'Mid-Market Segment'!AC68+'Upper Mid-Market Segment'!AC68+'Premium Segment'!AC68+'Closures Overlay'!AC68+'Disposals Overlay'!AC68</f>
        <v>-191760</v>
      </c>
      <c r="AI68" s="19">
        <f>'Value Segment'!AD68+'Mid-Market Segment'!AD68+'Upper Mid-Market Segment'!AD68+'Premium Segment'!AD68+'Closures Overlay'!AD68+'Disposals Overlay'!AD68</f>
        <v>-195595.2</v>
      </c>
      <c r="AJ68" s="19">
        <f>'Value Segment'!AE68+'Mid-Market Segment'!AE68+'Upper Mid-Market Segment'!AE68+'Premium Segment'!AE68+'Closures Overlay'!AE68+'Disposals Overlay'!AE68</f>
        <v>-195595.2</v>
      </c>
      <c r="AK68" s="19">
        <f>'Value Segment'!AF68+'Mid-Market Segment'!AF68+'Upper Mid-Market Segment'!AF68+'Premium Segment'!AF68+'Closures Overlay'!AF68+'Disposals Overlay'!AF68</f>
        <v>-195595.2</v>
      </c>
      <c r="AL68" s="19">
        <f>'Value Segment'!AG68+'Mid-Market Segment'!AG68+'Upper Mid-Market Segment'!AG68+'Premium Segment'!AG68+'Closures Overlay'!AG68+'Disposals Overlay'!AG68</f>
        <v>-195595.2</v>
      </c>
      <c r="AM68" s="19">
        <f>'Value Segment'!AH68+'Mid-Market Segment'!AH68+'Upper Mid-Market Segment'!AH68+'Premium Segment'!AH68+'Closures Overlay'!AH68+'Disposals Overlay'!AH68</f>
        <v>-195595.2</v>
      </c>
      <c r="AN68" s="19">
        <f>'Value Segment'!AI68+'Mid-Market Segment'!AI68+'Upper Mid-Market Segment'!AI68+'Premium Segment'!AI68+'Closures Overlay'!AI68+'Disposals Overlay'!AI68</f>
        <v>-190046.40000000002</v>
      </c>
      <c r="AO68" s="19">
        <f>'Value Segment'!AJ68+'Mid-Market Segment'!AJ68+'Upper Mid-Market Segment'!AJ68+'Premium Segment'!AJ68+'Closures Overlay'!AJ68+'Disposals Overlay'!AJ68</f>
        <v>-190046.40000000002</v>
      </c>
      <c r="AP68" s="19">
        <f>'Value Segment'!AK68+'Mid-Market Segment'!AK68+'Upper Mid-Market Segment'!AK68+'Premium Segment'!AK68+'Closures Overlay'!AK68+'Disposals Overlay'!AK68</f>
        <v>-190046.40000000002</v>
      </c>
      <c r="AQ68" s="19">
        <f>'Value Segment'!AL68+'Mid-Market Segment'!AL68+'Upper Mid-Market Segment'!AL68+'Premium Segment'!AL68+'Closures Overlay'!AL68+'Disposals Overlay'!AL68</f>
        <v>-190046.40000000002</v>
      </c>
      <c r="AR68" s="19">
        <f>'Value Segment'!AM68+'Mid-Market Segment'!AM68+'Upper Mid-Market Segment'!AM68+'Premium Segment'!AM68+'Closures Overlay'!AM68+'Disposals Overlay'!AM68</f>
        <v>-190046.40000000002</v>
      </c>
      <c r="AS68" s="19">
        <f>'Value Segment'!AN68+'Mid-Market Segment'!AN68+'Upper Mid-Market Segment'!AN68+'Premium Segment'!AN68+'Closures Overlay'!AN68+'Disposals Overlay'!AN68</f>
        <v>-190046.40000000002</v>
      </c>
      <c r="AT68" s="19">
        <f>'Value Segment'!AO68+'Mid-Market Segment'!AO68+'Upper Mid-Market Segment'!AO68+'Premium Segment'!AO68+'Closures Overlay'!AO68+'Disposals Overlay'!AO68</f>
        <v>-184497.6</v>
      </c>
      <c r="AU68" s="19">
        <f>'Value Segment'!AP68+'Mid-Market Segment'!AP68+'Upper Mid-Market Segment'!AP68+'Premium Segment'!AP68+'Closures Overlay'!AP68+'Disposals Overlay'!AP68</f>
        <v>-188187.55200000003</v>
      </c>
      <c r="AV68" s="19">
        <f>'Value Segment'!AQ68+'Mid-Market Segment'!AQ68+'Upper Mid-Market Segment'!AQ68+'Premium Segment'!AQ68+'Closures Overlay'!AQ68+'Disposals Overlay'!AQ68</f>
        <v>-188187.55200000003</v>
      </c>
      <c r="AW68" s="19">
        <f>'Value Segment'!AR68+'Mid-Market Segment'!AR68+'Upper Mid-Market Segment'!AR68+'Premium Segment'!AR68+'Closures Overlay'!AR68+'Disposals Overlay'!AR68</f>
        <v>-188187.55200000003</v>
      </c>
      <c r="AX68" s="19">
        <f>'Value Segment'!AS68+'Mid-Market Segment'!AS68+'Upper Mid-Market Segment'!AS68+'Premium Segment'!AS68+'Closures Overlay'!AS68+'Disposals Overlay'!AS68</f>
        <v>-188187.55200000003</v>
      </c>
      <c r="AY68" s="19">
        <f>'Value Segment'!AT68+'Mid-Market Segment'!AT68+'Upper Mid-Market Segment'!AT68+'Premium Segment'!AT68+'Closures Overlay'!AT68+'Disposals Overlay'!AT68</f>
        <v>-188187.55200000003</v>
      </c>
      <c r="AZ68" s="19">
        <f>'Value Segment'!AU68+'Mid-Market Segment'!AU68+'Upper Mid-Market Segment'!AU68+'Premium Segment'!AU68+'Closures Overlay'!AU68+'Disposals Overlay'!AU68</f>
        <v>-182527.77600000001</v>
      </c>
      <c r="BA68" s="19">
        <f>'Value Segment'!AV68+'Mid-Market Segment'!AV68+'Upper Mid-Market Segment'!AV68+'Premium Segment'!AV68+'Closures Overlay'!AV68+'Disposals Overlay'!AV68</f>
        <v>-182527.77600000001</v>
      </c>
      <c r="BB68" s="19">
        <f>'Value Segment'!AW68+'Mid-Market Segment'!AW68+'Upper Mid-Market Segment'!AW68+'Premium Segment'!AW68+'Closures Overlay'!AW68+'Disposals Overlay'!AW68</f>
        <v>-182527.77600000001</v>
      </c>
      <c r="BC68" s="19">
        <f>'Value Segment'!AX68+'Mid-Market Segment'!AX68+'Upper Mid-Market Segment'!AX68+'Premium Segment'!AX68+'Closures Overlay'!AX68+'Disposals Overlay'!AX68</f>
        <v>-182527.77600000001</v>
      </c>
      <c r="BD68" s="19">
        <f>'Value Segment'!AY68+'Mid-Market Segment'!AY68+'Upper Mid-Market Segment'!AY68+'Premium Segment'!AY68+'Closures Overlay'!AY68+'Disposals Overlay'!AY68</f>
        <v>-182527.77600000001</v>
      </c>
      <c r="BE68" s="19">
        <f>'Value Segment'!AZ68+'Mid-Market Segment'!AZ68+'Upper Mid-Market Segment'!AZ68+'Premium Segment'!AZ68+'Closures Overlay'!AZ68+'Disposals Overlay'!AZ68</f>
        <v>-182527.77600000001</v>
      </c>
      <c r="BF68" s="19">
        <f>'Value Segment'!BA68+'Mid-Market Segment'!BA68+'Upper Mid-Market Segment'!BA68+'Premium Segment'!BA68+'Closures Overlay'!BA68+'Disposals Overlay'!BA68</f>
        <v>-176868</v>
      </c>
      <c r="BG68" s="19">
        <f>'Value Segment'!BB68+'Mid-Market Segment'!BB68+'Upper Mid-Market Segment'!BB68+'Premium Segment'!BB68+'Closures Overlay'!BB68+'Disposals Overlay'!BB68</f>
        <v>-180405.36</v>
      </c>
      <c r="BH68" s="19">
        <f>'Value Segment'!BC68+'Mid-Market Segment'!BC68+'Upper Mid-Market Segment'!BC68+'Premium Segment'!BC68+'Closures Overlay'!BC68+'Disposals Overlay'!BC68</f>
        <v>-180405.36</v>
      </c>
      <c r="BI68" s="19">
        <f>'Value Segment'!BD68+'Mid-Market Segment'!BD68+'Upper Mid-Market Segment'!BD68+'Premium Segment'!BD68+'Closures Overlay'!BD68+'Disposals Overlay'!BD68</f>
        <v>-180405.36</v>
      </c>
      <c r="BJ68" s="19">
        <f>'Value Segment'!BE68+'Mid-Market Segment'!BE68+'Upper Mid-Market Segment'!BE68+'Premium Segment'!BE68+'Closures Overlay'!BE68+'Disposals Overlay'!BE68</f>
        <v>-180405.36</v>
      </c>
      <c r="BK68" s="19">
        <f>'Value Segment'!BF68+'Mid-Market Segment'!BF68+'Upper Mid-Market Segment'!BF68+'Premium Segment'!BF68+'Closures Overlay'!BF68+'Disposals Overlay'!BF68</f>
        <v>-180405.36</v>
      </c>
      <c r="BL68" s="19">
        <f>'Value Segment'!BG68+'Mid-Market Segment'!BG68+'Upper Mid-Market Segment'!BG68+'Premium Segment'!BG68+'Closures Overlay'!BG68+'Disposals Overlay'!BG68</f>
        <v>-174632.38847999999</v>
      </c>
      <c r="BM68" s="19">
        <f>'Value Segment'!BH68+'Mid-Market Segment'!BH68+'Upper Mid-Market Segment'!BH68+'Premium Segment'!BH68+'Closures Overlay'!BH68+'Disposals Overlay'!BH68</f>
        <v>-174632.38847999999</v>
      </c>
      <c r="BN68" s="19">
        <f>'Value Segment'!BI68+'Mid-Market Segment'!BI68+'Upper Mid-Market Segment'!BI68+'Premium Segment'!BI68+'Closures Overlay'!BI68+'Disposals Overlay'!BI68</f>
        <v>-174632.38847999999</v>
      </c>
      <c r="BO68" s="19">
        <f>'Value Segment'!BJ68+'Mid-Market Segment'!BJ68+'Upper Mid-Market Segment'!BJ68+'Premium Segment'!BJ68+'Closures Overlay'!BJ68+'Disposals Overlay'!BJ68</f>
        <v>-174632.38847999999</v>
      </c>
      <c r="BP68" s="19">
        <f>'Value Segment'!BK68+'Mid-Market Segment'!BK68+'Upper Mid-Market Segment'!BK68+'Premium Segment'!BK68+'Closures Overlay'!BK68+'Disposals Overlay'!BK68</f>
        <v>-174632.38847999999</v>
      </c>
      <c r="BQ68" s="19">
        <f>'Value Segment'!BL68+'Mid-Market Segment'!BL68+'Upper Mid-Market Segment'!BL68+'Premium Segment'!BL68+'Closures Overlay'!BL68+'Disposals Overlay'!BL68</f>
        <v>-174632.38847999999</v>
      </c>
      <c r="BR68" s="19">
        <f>'Value Segment'!BM68+'Mid-Market Segment'!BM68+'Upper Mid-Market Segment'!BM68+'Premium Segment'!BM68+'Closures Overlay'!BM68+'Disposals Overlay'!BM68</f>
        <v>-168859.41696</v>
      </c>
      <c r="BS68" s="19">
        <f>'Value Segment'!BN68+'Mid-Market Segment'!BN68+'Upper Mid-Market Segment'!BN68+'Premium Segment'!BN68+'Closures Overlay'!BN68+'Disposals Overlay'!BN68</f>
        <v>-172236.60529919999</v>
      </c>
      <c r="BT68" s="19">
        <f>'Value Segment'!BO68+'Mid-Market Segment'!BO68+'Upper Mid-Market Segment'!BO68+'Premium Segment'!BO68+'Closures Overlay'!BO68+'Disposals Overlay'!BO68</f>
        <v>-172236.60529919999</v>
      </c>
      <c r="BU68" s="19">
        <f>'Value Segment'!BP68+'Mid-Market Segment'!BP68+'Upper Mid-Market Segment'!BP68+'Premium Segment'!BP68+'Closures Overlay'!BP68+'Disposals Overlay'!BP68</f>
        <v>-172236.60529919999</v>
      </c>
      <c r="BV68" s="19">
        <f>'Value Segment'!BQ68+'Mid-Market Segment'!BQ68+'Upper Mid-Market Segment'!BQ68+'Premium Segment'!BQ68+'Closures Overlay'!BQ68+'Disposals Overlay'!BQ68</f>
        <v>-172236.60529919999</v>
      </c>
      <c r="BW68" s="19">
        <f>'Value Segment'!BR68+'Mid-Market Segment'!BR68+'Upper Mid-Market Segment'!BR68+'Premium Segment'!BR68+'Closures Overlay'!BR68+'Disposals Overlay'!BR68</f>
        <v>-172236.60529919999</v>
      </c>
      <c r="BX68" s="19">
        <f>'Value Segment'!BS68+'Mid-Market Segment'!BS68+'Upper Mid-Market Segment'!BS68+'Premium Segment'!BS68+'Closures Overlay'!BS68+'Disposals Overlay'!BS68</f>
        <v>-166348.17434880001</v>
      </c>
      <c r="BY68" s="19">
        <f>'Value Segment'!BT68+'Mid-Market Segment'!BT68+'Upper Mid-Market Segment'!BT68+'Premium Segment'!BT68+'Closures Overlay'!BT68+'Disposals Overlay'!BT68</f>
        <v>-166348.17434880001</v>
      </c>
      <c r="BZ68" s="19">
        <f>'Value Segment'!BU68+'Mid-Market Segment'!BU68+'Upper Mid-Market Segment'!BU68+'Premium Segment'!BU68+'Closures Overlay'!BU68+'Disposals Overlay'!BU68</f>
        <v>-166348.17434880001</v>
      </c>
      <c r="CA68" s="19">
        <f>'Value Segment'!BV68+'Mid-Market Segment'!BV68+'Upper Mid-Market Segment'!BV68+'Premium Segment'!BV68+'Closures Overlay'!BV68+'Disposals Overlay'!BV68</f>
        <v>-166348.17434880001</v>
      </c>
      <c r="CB68" s="19">
        <f>'Value Segment'!BW68+'Mid-Market Segment'!BW68+'Upper Mid-Market Segment'!BW68+'Premium Segment'!BW68+'Closures Overlay'!BW68+'Disposals Overlay'!BW68</f>
        <v>-166348.17434880001</v>
      </c>
      <c r="CC68" s="19">
        <f>'Value Segment'!BX68+'Mid-Market Segment'!BX68+'Upper Mid-Market Segment'!BX68+'Premium Segment'!BX68+'Closures Overlay'!BX68+'Disposals Overlay'!BX68</f>
        <v>-166348.17434880001</v>
      </c>
      <c r="CD68" s="19">
        <f>'Value Segment'!BY68+'Mid-Market Segment'!BY68+'Upper Mid-Market Segment'!BY68+'Premium Segment'!BY68+'Closures Overlay'!BY68+'Disposals Overlay'!BY68</f>
        <v>-160459.74339839999</v>
      </c>
    </row>
    <row r="69" spans="1:85" x14ac:dyDescent="0.3">
      <c r="A69" s="7"/>
      <c r="B69" s="1"/>
      <c r="C69" s="2"/>
      <c r="D69" s="2"/>
      <c r="E69" s="2" t="s">
        <v>69</v>
      </c>
      <c r="F69" s="54"/>
      <c r="G69" s="54"/>
      <c r="H69" s="54"/>
      <c r="I69" s="67">
        <v>-295394</v>
      </c>
      <c r="J69" s="67">
        <v>-546267.84000000008</v>
      </c>
      <c r="K69" s="67">
        <v>-547348.91999999993</v>
      </c>
      <c r="L69" s="67">
        <v>-683027.12999999989</v>
      </c>
      <c r="M69" s="54"/>
      <c r="N69" s="19">
        <f>'Value Segment'!I69+'Mid-Market Segment'!I69+'Upper Mid-Market Segment'!I69+'Premium Segment'!I69+'Closures Overlay'!I69+'Disposals Overlay'!I69</f>
        <v>-432524.13054797129</v>
      </c>
      <c r="O69" s="19">
        <f>'Value Segment'!J69+'Mid-Market Segment'!J69+'Upper Mid-Market Segment'!J69+'Premium Segment'!J69+'Closures Overlay'!J69+'Disposals Overlay'!J69</f>
        <v>-447778.61928126944</v>
      </c>
      <c r="P69" s="19">
        <f>'Value Segment'!K69+'Mid-Market Segment'!K69+'Upper Mid-Market Segment'!K69+'Premium Segment'!K69+'Closures Overlay'!K69+'Disposals Overlay'!K69</f>
        <v>-449382.32767828228</v>
      </c>
      <c r="Q69" s="19">
        <f>'Value Segment'!L69+'Mid-Market Segment'!L69+'Upper Mid-Market Segment'!L69+'Premium Segment'!L69+'Closures Overlay'!L69+'Disposals Overlay'!L69</f>
        <v>-448593.10255196108</v>
      </c>
      <c r="R69" s="19">
        <f>'Value Segment'!M69+'Mid-Market Segment'!M69+'Upper Mid-Market Segment'!M69+'Premium Segment'!M69+'Closures Overlay'!M69+'Disposals Overlay'!M69</f>
        <v>-445211.17941067065</v>
      </c>
      <c r="S69" s="19">
        <f>'Value Segment'!N69+'Mid-Market Segment'!N69+'Upper Mid-Market Segment'!N69+'Premium Segment'!N69+'Closures Overlay'!N69+'Disposals Overlay'!N69</f>
        <v>-439780.89560837945</v>
      </c>
      <c r="T69" s="37"/>
      <c r="U69" s="50">
        <f t="shared" ref="U69:U77" si="45">IFERROR(((S69/N69)^(1/5))-1,0)</f>
        <v>3.3332470280003079E-3</v>
      </c>
      <c r="W69" s="19">
        <f>'Value Segment'!R69+'Mid-Market Segment'!R69+'Upper Mid-Market Segment'!R69+'Premium Segment'!R69+'Closures Overlay'!R69+'Disposals Overlay'!R69</f>
        <v>-37539.368682818604</v>
      </c>
      <c r="X69" s="19">
        <f>'Value Segment'!S69+'Mid-Market Segment'!S69+'Upper Mid-Market Segment'!S69+'Premium Segment'!S69+'Closures Overlay'!S69+'Disposals Overlay'!S69</f>
        <v>-37539.368682818604</v>
      </c>
      <c r="Y69" s="19">
        <f>'Value Segment'!T69+'Mid-Market Segment'!T69+'Upper Mid-Market Segment'!T69+'Premium Segment'!T69+'Closures Overlay'!T69+'Disposals Overlay'!T69</f>
        <v>-37539.368682818604</v>
      </c>
      <c r="Z69" s="19">
        <f>'Value Segment'!U69+'Mid-Market Segment'!U69+'Upper Mid-Market Segment'!U69+'Premium Segment'!U69+'Closures Overlay'!U69+'Disposals Overlay'!U69</f>
        <v>-37539.368682818604</v>
      </c>
      <c r="AA69" s="19">
        <f>'Value Segment'!V69+'Mid-Market Segment'!V69+'Upper Mid-Market Segment'!V69+'Premium Segment'!V69+'Closures Overlay'!V69+'Disposals Overlay'!V69</f>
        <v>-37539.368682818604</v>
      </c>
      <c r="AB69" s="19">
        <f>'Value Segment'!W69+'Mid-Market Segment'!W69+'Upper Mid-Market Segment'!W69+'Premium Segment'!W69+'Closures Overlay'!W69+'Disposals Overlay'!W69</f>
        <v>-36531.600396031528</v>
      </c>
      <c r="AC69" s="19">
        <f>'Value Segment'!X69+'Mid-Market Segment'!X69+'Upper Mid-Market Segment'!X69+'Premium Segment'!X69+'Closures Overlay'!X69+'Disposals Overlay'!X69</f>
        <v>-37430.456632004643</v>
      </c>
      <c r="AD69" s="19">
        <f>'Value Segment'!Y69+'Mid-Market Segment'!Y69+'Upper Mid-Market Segment'!Y69+'Premium Segment'!Y69+'Closures Overlay'!Y69+'Disposals Overlay'!Y69</f>
        <v>-37430.456632004643</v>
      </c>
      <c r="AE69" s="19">
        <f>'Value Segment'!Z69+'Mid-Market Segment'!Z69+'Upper Mid-Market Segment'!Z69+'Premium Segment'!Z69+'Closures Overlay'!Z69+'Disposals Overlay'!Z69</f>
        <v>-37430.456632004643</v>
      </c>
      <c r="AF69" s="19">
        <f>'Value Segment'!AA69+'Mid-Market Segment'!AA69+'Upper Mid-Market Segment'!AA69+'Premium Segment'!AA69+'Closures Overlay'!AA69+'Disposals Overlay'!AA69</f>
        <v>-37430.456632004643</v>
      </c>
      <c r="AG69" s="19">
        <f>'Value Segment'!AB69+'Mid-Market Segment'!AB69+'Upper Mid-Market Segment'!AB69+'Premium Segment'!AB69+'Closures Overlay'!AB69+'Disposals Overlay'!AB69</f>
        <v>-37430.456632004643</v>
      </c>
      <c r="AH69" s="19">
        <f>'Value Segment'!AC69+'Mid-Market Segment'!AC69+'Upper Mid-Market Segment'!AC69+'Premium Segment'!AC69+'Closures Overlay'!AC69+'Disposals Overlay'!AC69</f>
        <v>-36397.892311121752</v>
      </c>
      <c r="AI69" s="19">
        <f>'Value Segment'!AD69+'Mid-Market Segment'!AD69+'Upper Mid-Market Segment'!AD69+'Premium Segment'!AD69+'Closures Overlay'!AD69+'Disposals Overlay'!AD69</f>
        <v>-37616.531450977134</v>
      </c>
      <c r="AJ69" s="19">
        <f>'Value Segment'!AE69+'Mid-Market Segment'!AE69+'Upper Mid-Market Segment'!AE69+'Premium Segment'!AE69+'Closures Overlay'!AE69+'Disposals Overlay'!AE69</f>
        <v>-37616.531450977134</v>
      </c>
      <c r="AK69" s="19">
        <f>'Value Segment'!AF69+'Mid-Market Segment'!AF69+'Upper Mid-Market Segment'!AF69+'Premium Segment'!AF69+'Closures Overlay'!AF69+'Disposals Overlay'!AF69</f>
        <v>-37616.531450977134</v>
      </c>
      <c r="AL69" s="19">
        <f>'Value Segment'!AG69+'Mid-Market Segment'!AG69+'Upper Mid-Market Segment'!AG69+'Premium Segment'!AG69+'Closures Overlay'!AG69+'Disposals Overlay'!AG69</f>
        <v>-37616.531450977134</v>
      </c>
      <c r="AM69" s="19">
        <f>'Value Segment'!AH69+'Mid-Market Segment'!AH69+'Upper Mid-Market Segment'!AH69+'Premium Segment'!AH69+'Closures Overlay'!AH69+'Disposals Overlay'!AH69</f>
        <v>-37616.531450977134</v>
      </c>
      <c r="AN69" s="19">
        <f>'Value Segment'!AI69+'Mid-Market Segment'!AI69+'Upper Mid-Market Segment'!AI69+'Premium Segment'!AI69+'Closures Overlay'!AI69+'Disposals Overlay'!AI69</f>
        <v>-36549.39580697778</v>
      </c>
      <c r="AO69" s="19">
        <f>'Value Segment'!AJ69+'Mid-Market Segment'!AJ69+'Upper Mid-Market Segment'!AJ69+'Premium Segment'!AJ69+'Closures Overlay'!AJ69+'Disposals Overlay'!AJ69</f>
        <v>-37641.549660696073</v>
      </c>
      <c r="AP69" s="19">
        <f>'Value Segment'!AK69+'Mid-Market Segment'!AK69+'Upper Mid-Market Segment'!AK69+'Premium Segment'!AK69+'Closures Overlay'!AK69+'Disposals Overlay'!AK69</f>
        <v>-37641.549660696073</v>
      </c>
      <c r="AQ69" s="19">
        <f>'Value Segment'!AL69+'Mid-Market Segment'!AL69+'Upper Mid-Market Segment'!AL69+'Premium Segment'!AL69+'Closures Overlay'!AL69+'Disposals Overlay'!AL69</f>
        <v>-37641.549660696073</v>
      </c>
      <c r="AR69" s="19">
        <f>'Value Segment'!AM69+'Mid-Market Segment'!AM69+'Upper Mid-Market Segment'!AM69+'Premium Segment'!AM69+'Closures Overlay'!AM69+'Disposals Overlay'!AM69</f>
        <v>-37641.549660696073</v>
      </c>
      <c r="AS69" s="19">
        <f>'Value Segment'!AN69+'Mid-Market Segment'!AN69+'Upper Mid-Market Segment'!AN69+'Premium Segment'!AN69+'Closures Overlay'!AN69+'Disposals Overlay'!AN69</f>
        <v>-37641.549660696073</v>
      </c>
      <c r="AT69" s="19">
        <f>'Value Segment'!AO69+'Mid-Market Segment'!AO69+'Upper Mid-Market Segment'!AO69+'Premium Segment'!AO69+'Closures Overlay'!AO69+'Disposals Overlay'!AO69</f>
        <v>-36542.526312938528</v>
      </c>
      <c r="AU69" s="19">
        <f>'Value Segment'!AP69+'Mid-Market Segment'!AP69+'Upper Mid-Market Segment'!AP69+'Premium Segment'!AP69+'Closures Overlay'!AP69+'Disposals Overlay'!AP69</f>
        <v>-37501.74022088023</v>
      </c>
      <c r="AV69" s="19">
        <f>'Value Segment'!AQ69+'Mid-Market Segment'!AQ69+'Upper Mid-Market Segment'!AQ69+'Premium Segment'!AQ69+'Closures Overlay'!AQ69+'Disposals Overlay'!AQ69</f>
        <v>-37501.74022088023</v>
      </c>
      <c r="AW69" s="19">
        <f>'Value Segment'!AR69+'Mid-Market Segment'!AR69+'Upper Mid-Market Segment'!AR69+'Premium Segment'!AR69+'Closures Overlay'!AR69+'Disposals Overlay'!AR69</f>
        <v>-37501.74022088023</v>
      </c>
      <c r="AX69" s="19">
        <f>'Value Segment'!AS69+'Mid-Market Segment'!AS69+'Upper Mid-Market Segment'!AS69+'Premium Segment'!AS69+'Closures Overlay'!AS69+'Disposals Overlay'!AS69</f>
        <v>-37501.74022088023</v>
      </c>
      <c r="AY69" s="19">
        <f>'Value Segment'!AT69+'Mid-Market Segment'!AT69+'Upper Mid-Market Segment'!AT69+'Premium Segment'!AT69+'Closures Overlay'!AT69+'Disposals Overlay'!AT69</f>
        <v>-37501.74022088023</v>
      </c>
      <c r="AZ69" s="19">
        <f>'Value Segment'!AU69+'Mid-Market Segment'!AU69+'Upper Mid-Market Segment'!AU69+'Premium Segment'!AU69+'Closures Overlay'!AU69+'Disposals Overlay'!AU69</f>
        <v>-36373.868334537969</v>
      </c>
      <c r="BA69" s="19">
        <f>'Value Segment'!AV69+'Mid-Market Segment'!AV69+'Upper Mid-Market Segment'!AV69+'Premium Segment'!AV69+'Closures Overlay'!AV69+'Disposals Overlay'!AV69</f>
        <v>-37646.310092960834</v>
      </c>
      <c r="BB69" s="19">
        <f>'Value Segment'!AW69+'Mid-Market Segment'!AW69+'Upper Mid-Market Segment'!AW69+'Premium Segment'!AW69+'Closures Overlay'!AW69+'Disposals Overlay'!AW69</f>
        <v>-37646.310092960834</v>
      </c>
      <c r="BC69" s="19">
        <f>'Value Segment'!AX69+'Mid-Market Segment'!AX69+'Upper Mid-Market Segment'!AX69+'Premium Segment'!AX69+'Closures Overlay'!AX69+'Disposals Overlay'!AX69</f>
        <v>-37646.310092960834</v>
      </c>
      <c r="BD69" s="19">
        <f>'Value Segment'!AY69+'Mid-Market Segment'!AY69+'Upper Mid-Market Segment'!AY69+'Premium Segment'!AY69+'Closures Overlay'!AY69+'Disposals Overlay'!AY69</f>
        <v>-37646.310092960834</v>
      </c>
      <c r="BE69" s="19">
        <f>'Value Segment'!AZ69+'Mid-Market Segment'!AZ69+'Upper Mid-Market Segment'!AZ69+'Premium Segment'!AZ69+'Closures Overlay'!AZ69+'Disposals Overlay'!AZ69</f>
        <v>-37646.310092960834</v>
      </c>
      <c r="BF69" s="19">
        <f>'Value Segment'!BA69+'Mid-Market Segment'!BA69+'Upper Mid-Market Segment'!BA69+'Premium Segment'!BA69+'Closures Overlay'!BA69+'Disposals Overlay'!BA69</f>
        <v>-36478.982648217861</v>
      </c>
      <c r="BG69" s="19">
        <f>'Value Segment'!BB69+'Mid-Market Segment'!BB69+'Upper Mid-Market Segment'!BB69+'Premium Segment'!BB69+'Closures Overlay'!BB69+'Disposals Overlay'!BB69</f>
        <v>-37179.470601031819</v>
      </c>
      <c r="BH69" s="19">
        <f>'Value Segment'!BC69+'Mid-Market Segment'!BC69+'Upper Mid-Market Segment'!BC69+'Premium Segment'!BC69+'Closures Overlay'!BC69+'Disposals Overlay'!BC69</f>
        <v>-37179.470601031819</v>
      </c>
      <c r="BI69" s="19">
        <f>'Value Segment'!BD69+'Mid-Market Segment'!BD69+'Upper Mid-Market Segment'!BD69+'Premium Segment'!BD69+'Closures Overlay'!BD69+'Disposals Overlay'!BD69</f>
        <v>-37179.470601031819</v>
      </c>
      <c r="BJ69" s="19">
        <f>'Value Segment'!BE69+'Mid-Market Segment'!BE69+'Upper Mid-Market Segment'!BE69+'Premium Segment'!BE69+'Closures Overlay'!BE69+'Disposals Overlay'!BE69</f>
        <v>-37179.470601031819</v>
      </c>
      <c r="BK69" s="19">
        <f>'Value Segment'!BF69+'Mid-Market Segment'!BF69+'Upper Mid-Market Segment'!BF69+'Premium Segment'!BF69+'Closures Overlay'!BF69+'Disposals Overlay'!BF69</f>
        <v>-37179.470601031819</v>
      </c>
      <c r="BL69" s="19">
        <f>'Value Segment'!BG69+'Mid-Market Segment'!BG69+'Upper Mid-Market Segment'!BG69+'Premium Segment'!BG69+'Closures Overlay'!BG69+'Disposals Overlay'!BG69</f>
        <v>-35989.727541798806</v>
      </c>
      <c r="BM69" s="19">
        <f>'Value Segment'!BH69+'Mid-Market Segment'!BH69+'Upper Mid-Market Segment'!BH69+'Premium Segment'!BH69+'Closures Overlay'!BH69+'Disposals Overlay'!BH69</f>
        <v>-37426.89191483274</v>
      </c>
      <c r="BN69" s="19">
        <f>'Value Segment'!BI69+'Mid-Market Segment'!BI69+'Upper Mid-Market Segment'!BI69+'Premium Segment'!BI69+'Closures Overlay'!BI69+'Disposals Overlay'!BI69</f>
        <v>-37426.89191483274</v>
      </c>
      <c r="BO69" s="19">
        <f>'Value Segment'!BJ69+'Mid-Market Segment'!BJ69+'Upper Mid-Market Segment'!BJ69+'Premium Segment'!BJ69+'Closures Overlay'!BJ69+'Disposals Overlay'!BJ69</f>
        <v>-37426.89191483274</v>
      </c>
      <c r="BP69" s="19">
        <f>'Value Segment'!BK69+'Mid-Market Segment'!BK69+'Upper Mid-Market Segment'!BK69+'Premium Segment'!BK69+'Closures Overlay'!BK69+'Disposals Overlay'!BK69</f>
        <v>-37426.89191483274</v>
      </c>
      <c r="BQ69" s="19">
        <f>'Value Segment'!BL69+'Mid-Market Segment'!BL69+'Upper Mid-Market Segment'!BL69+'Premium Segment'!BL69+'Closures Overlay'!BL69+'Disposals Overlay'!BL69</f>
        <v>-37426.89191483274</v>
      </c>
      <c r="BR69" s="19">
        <f>'Value Segment'!BM69+'Mid-Market Segment'!BM69+'Upper Mid-Market Segment'!BM69+'Premium Segment'!BM69+'Closures Overlay'!BM69+'Disposals Overlay'!BM69</f>
        <v>-36189.639289549013</v>
      </c>
      <c r="BS69" s="19">
        <f>'Value Segment'!BN69+'Mid-Market Segment'!BN69+'Upper Mid-Market Segment'!BN69+'Premium Segment'!BN69+'Closures Overlay'!BN69+'Disposals Overlay'!BN69</f>
        <v>-36697.452729232682</v>
      </c>
      <c r="BT69" s="19">
        <f>'Value Segment'!BO69+'Mid-Market Segment'!BO69+'Upper Mid-Market Segment'!BO69+'Premium Segment'!BO69+'Closures Overlay'!BO69+'Disposals Overlay'!BO69</f>
        <v>-36697.452729232682</v>
      </c>
      <c r="BU69" s="19">
        <f>'Value Segment'!BP69+'Mid-Market Segment'!BP69+'Upper Mid-Market Segment'!BP69+'Premium Segment'!BP69+'Closures Overlay'!BP69+'Disposals Overlay'!BP69</f>
        <v>-36697.452729232682</v>
      </c>
      <c r="BV69" s="19">
        <f>'Value Segment'!BQ69+'Mid-Market Segment'!BQ69+'Upper Mid-Market Segment'!BQ69+'Premium Segment'!BQ69+'Closures Overlay'!BQ69+'Disposals Overlay'!BQ69</f>
        <v>-36697.452729232682</v>
      </c>
      <c r="BW69" s="19">
        <f>'Value Segment'!BR69+'Mid-Market Segment'!BR69+'Upper Mid-Market Segment'!BR69+'Premium Segment'!BR69+'Closures Overlay'!BR69+'Disposals Overlay'!BR69</f>
        <v>-36697.452729232682</v>
      </c>
      <c r="BX69" s="19">
        <f>'Value Segment'!BS69+'Mid-Market Segment'!BS69+'Upper Mid-Market Segment'!BS69+'Premium Segment'!BS69+'Closures Overlay'!BS69+'Disposals Overlay'!BS69</f>
        <v>-35442.83896071191</v>
      </c>
      <c r="BY69" s="19">
        <f>'Value Segment'!BT69+'Mid-Market Segment'!BT69+'Upper Mid-Market Segment'!BT69+'Premium Segment'!BT69+'Closures Overlay'!BT69+'Disposals Overlay'!BT69</f>
        <v>-37026.913366721012</v>
      </c>
      <c r="BZ69" s="19">
        <f>'Value Segment'!BU69+'Mid-Market Segment'!BU69+'Upper Mid-Market Segment'!BU69+'Premium Segment'!BU69+'Closures Overlay'!BU69+'Disposals Overlay'!BU69</f>
        <v>-37026.913366721012</v>
      </c>
      <c r="CA69" s="19">
        <f>'Value Segment'!BV69+'Mid-Market Segment'!BV69+'Upper Mid-Market Segment'!BV69+'Premium Segment'!BV69+'Closures Overlay'!BV69+'Disposals Overlay'!BV69</f>
        <v>-37026.913366721012</v>
      </c>
      <c r="CB69" s="19">
        <f>'Value Segment'!BW69+'Mid-Market Segment'!BW69+'Upper Mid-Market Segment'!BW69+'Premium Segment'!BW69+'Closures Overlay'!BW69+'Disposals Overlay'!BW69</f>
        <v>-37026.913366721012</v>
      </c>
      <c r="CC69" s="19">
        <f>'Value Segment'!BX69+'Mid-Market Segment'!BX69+'Upper Mid-Market Segment'!BX69+'Premium Segment'!BX69+'Closures Overlay'!BX69+'Disposals Overlay'!BX69</f>
        <v>-37026.913366721012</v>
      </c>
      <c r="CD69" s="19">
        <f>'Value Segment'!BY69+'Mid-Market Segment'!BY69+'Upper Mid-Market Segment'!BY69+'Premium Segment'!BY69+'Closures Overlay'!BY69+'Disposals Overlay'!BY69</f>
        <v>-35716.226167899033</v>
      </c>
    </row>
    <row r="70" spans="1:85" x14ac:dyDescent="0.3">
      <c r="A70" s="7"/>
      <c r="B70" s="1"/>
      <c r="C70" s="2"/>
      <c r="D70" s="2"/>
      <c r="E70" s="2" t="s">
        <v>184</v>
      </c>
      <c r="F70" s="54"/>
      <c r="G70" s="54"/>
      <c r="H70" s="54"/>
      <c r="I70" s="67">
        <v>-38347.880000000005</v>
      </c>
      <c r="J70" s="67">
        <v>-126428.83000000002</v>
      </c>
      <c r="K70" s="67">
        <v>-109539.09999999999</v>
      </c>
      <c r="L70" s="67">
        <v>-116732.89</v>
      </c>
      <c r="M70" s="54"/>
      <c r="N70" s="19">
        <f>'Value Segment'!I70+'Mid-Market Segment'!I70+'Upper Mid-Market Segment'!I70+'Premium Segment'!I70+'Closures Overlay'!I70+'Disposals Overlay'!I70</f>
        <v>-300000</v>
      </c>
      <c r="O70" s="19">
        <f>'Value Segment'!J70+'Mid-Market Segment'!J70+'Upper Mid-Market Segment'!J70+'Premium Segment'!J70+'Closures Overlay'!J70+'Disposals Overlay'!J70</f>
        <v>-307402.9315068493</v>
      </c>
      <c r="P70" s="19">
        <f>'Value Segment'!K70+'Mid-Market Segment'!K70+'Upper Mid-Market Segment'!K70+'Premium Segment'!K70+'Closures Overlay'!K70+'Disposals Overlay'!K70</f>
        <v>-314526.42595964728</v>
      </c>
      <c r="Q70" s="19">
        <f>'Value Segment'!L70+'Mid-Market Segment'!L70+'Upper Mid-Market Segment'!L70+'Premium Segment'!L70+'Closures Overlay'!L70+'Disposals Overlay'!L70</f>
        <v>-321272.71619579918</v>
      </c>
      <c r="R70" s="19">
        <f>'Value Segment'!M70+'Mid-Market Segment'!M70+'Upper Mid-Market Segment'!M70+'Premium Segment'!M70+'Closures Overlay'!M70+'Disposals Overlay'!M70</f>
        <v>-327569.22133362567</v>
      </c>
      <c r="S70" s="19">
        <f>'Value Segment'!N70+'Mid-Market Segment'!N70+'Upper Mid-Market Segment'!N70+'Premium Segment'!N70+'Closures Overlay'!N70+'Disposals Overlay'!N70</f>
        <v>-333924.15397249005</v>
      </c>
      <c r="T70" s="37"/>
      <c r="U70" s="50">
        <f>IFERROR(((S70/N70)^(1/5))-1,0)</f>
        <v>2.1657472733383143E-2</v>
      </c>
      <c r="W70" s="19">
        <f>'Value Segment'!R70+'Mid-Market Segment'!R70+'Upper Mid-Market Segment'!R70+'Premium Segment'!R70+'Closures Overlay'!R70+'Disposals Overlay'!R70</f>
        <v>-25616.910958904111</v>
      </c>
      <c r="X70" s="19">
        <f>'Value Segment'!S70+'Mid-Market Segment'!S70+'Upper Mid-Market Segment'!S70+'Premium Segment'!S70+'Closures Overlay'!S70+'Disposals Overlay'!S70</f>
        <v>-25616.910958904111</v>
      </c>
      <c r="Y70" s="19">
        <f>'Value Segment'!T70+'Mid-Market Segment'!T70+'Upper Mid-Market Segment'!T70+'Premium Segment'!T70+'Closures Overlay'!T70+'Disposals Overlay'!T70</f>
        <v>-25616.910958904111</v>
      </c>
      <c r="Z70" s="19">
        <f>'Value Segment'!U70+'Mid-Market Segment'!U70+'Upper Mid-Market Segment'!U70+'Premium Segment'!U70+'Closures Overlay'!U70+'Disposals Overlay'!U70</f>
        <v>-25616.910958904111</v>
      </c>
      <c r="AA70" s="19">
        <f>'Value Segment'!V70+'Mid-Market Segment'!V70+'Upper Mid-Market Segment'!V70+'Premium Segment'!V70+'Closures Overlay'!V70+'Disposals Overlay'!V70</f>
        <v>-25616.910958904111</v>
      </c>
      <c r="AB70" s="19">
        <f>'Value Segment'!W70+'Mid-Market Segment'!W70+'Upper Mid-Market Segment'!W70+'Premium Segment'!W70+'Closures Overlay'!W70+'Disposals Overlay'!W70</f>
        <v>-25616.910958904111</v>
      </c>
      <c r="AC70" s="19">
        <f>'Value Segment'!X70+'Mid-Market Segment'!X70+'Upper Mid-Market Segment'!X70+'Premium Segment'!X70+'Closures Overlay'!X70+'Disposals Overlay'!X70</f>
        <v>-25616.910958904111</v>
      </c>
      <c r="AD70" s="19">
        <f>'Value Segment'!Y70+'Mid-Market Segment'!Y70+'Upper Mid-Market Segment'!Y70+'Premium Segment'!Y70+'Closures Overlay'!Y70+'Disposals Overlay'!Y70</f>
        <v>-25616.910958904111</v>
      </c>
      <c r="AE70" s="19">
        <f>'Value Segment'!Z70+'Mid-Market Segment'!Z70+'Upper Mid-Market Segment'!Z70+'Premium Segment'!Z70+'Closures Overlay'!Z70+'Disposals Overlay'!Z70</f>
        <v>-25616.910958904111</v>
      </c>
      <c r="AF70" s="19">
        <f>'Value Segment'!AA70+'Mid-Market Segment'!AA70+'Upper Mid-Market Segment'!AA70+'Premium Segment'!AA70+'Closures Overlay'!AA70+'Disposals Overlay'!AA70</f>
        <v>-25616.910958904111</v>
      </c>
      <c r="AG70" s="19">
        <f>'Value Segment'!AB70+'Mid-Market Segment'!AB70+'Upper Mid-Market Segment'!AB70+'Premium Segment'!AB70+'Closures Overlay'!AB70+'Disposals Overlay'!AB70</f>
        <v>-25616.910958904111</v>
      </c>
      <c r="AH70" s="19">
        <f>'Value Segment'!AC70+'Mid-Market Segment'!AC70+'Upper Mid-Market Segment'!AC70+'Premium Segment'!AC70+'Closures Overlay'!AC70+'Disposals Overlay'!AC70</f>
        <v>-25616.910958904111</v>
      </c>
      <c r="AI70" s="19">
        <f>'Value Segment'!AD70+'Mid-Market Segment'!AD70+'Upper Mid-Market Segment'!AD70+'Premium Segment'!AD70+'Closures Overlay'!AD70+'Disposals Overlay'!AD70</f>
        <v>-26210.535496637269</v>
      </c>
      <c r="AJ70" s="19">
        <f>'Value Segment'!AE70+'Mid-Market Segment'!AE70+'Upper Mid-Market Segment'!AE70+'Premium Segment'!AE70+'Closures Overlay'!AE70+'Disposals Overlay'!AE70</f>
        <v>-26210.535496637269</v>
      </c>
      <c r="AK70" s="19">
        <f>'Value Segment'!AF70+'Mid-Market Segment'!AF70+'Upper Mid-Market Segment'!AF70+'Premium Segment'!AF70+'Closures Overlay'!AF70+'Disposals Overlay'!AF70</f>
        <v>-26210.535496637269</v>
      </c>
      <c r="AL70" s="19">
        <f>'Value Segment'!AG70+'Mid-Market Segment'!AG70+'Upper Mid-Market Segment'!AG70+'Premium Segment'!AG70+'Closures Overlay'!AG70+'Disposals Overlay'!AG70</f>
        <v>-26210.535496637269</v>
      </c>
      <c r="AM70" s="19">
        <f>'Value Segment'!AH70+'Mid-Market Segment'!AH70+'Upper Mid-Market Segment'!AH70+'Premium Segment'!AH70+'Closures Overlay'!AH70+'Disposals Overlay'!AH70</f>
        <v>-26210.535496637269</v>
      </c>
      <c r="AN70" s="19">
        <f>'Value Segment'!AI70+'Mid-Market Segment'!AI70+'Upper Mid-Market Segment'!AI70+'Premium Segment'!AI70+'Closures Overlay'!AI70+'Disposals Overlay'!AI70</f>
        <v>-26210.535496637269</v>
      </c>
      <c r="AO70" s="19">
        <f>'Value Segment'!AJ70+'Mid-Market Segment'!AJ70+'Upper Mid-Market Segment'!AJ70+'Premium Segment'!AJ70+'Closures Overlay'!AJ70+'Disposals Overlay'!AJ70</f>
        <v>-26210.535496637269</v>
      </c>
      <c r="AP70" s="19">
        <f>'Value Segment'!AK70+'Mid-Market Segment'!AK70+'Upper Mid-Market Segment'!AK70+'Premium Segment'!AK70+'Closures Overlay'!AK70+'Disposals Overlay'!AK70</f>
        <v>-26210.535496637269</v>
      </c>
      <c r="AQ70" s="19">
        <f>'Value Segment'!AL70+'Mid-Market Segment'!AL70+'Upper Mid-Market Segment'!AL70+'Premium Segment'!AL70+'Closures Overlay'!AL70+'Disposals Overlay'!AL70</f>
        <v>-26210.535496637269</v>
      </c>
      <c r="AR70" s="19">
        <f>'Value Segment'!AM70+'Mid-Market Segment'!AM70+'Upper Mid-Market Segment'!AM70+'Premium Segment'!AM70+'Closures Overlay'!AM70+'Disposals Overlay'!AM70</f>
        <v>-26210.535496637269</v>
      </c>
      <c r="AS70" s="19">
        <f>'Value Segment'!AN70+'Mid-Market Segment'!AN70+'Upper Mid-Market Segment'!AN70+'Premium Segment'!AN70+'Closures Overlay'!AN70+'Disposals Overlay'!AN70</f>
        <v>-26210.535496637269</v>
      </c>
      <c r="AT70" s="19">
        <f>'Value Segment'!AO70+'Mid-Market Segment'!AO70+'Upper Mid-Market Segment'!AO70+'Premium Segment'!AO70+'Closures Overlay'!AO70+'Disposals Overlay'!AO70</f>
        <v>-26210.535496637269</v>
      </c>
      <c r="AU70" s="19">
        <f>'Value Segment'!AP70+'Mid-Market Segment'!AP70+'Upper Mid-Market Segment'!AP70+'Premium Segment'!AP70+'Closures Overlay'!AP70+'Disposals Overlay'!AP70</f>
        <v>-26772.726349649933</v>
      </c>
      <c r="AV70" s="19">
        <f>'Value Segment'!AQ70+'Mid-Market Segment'!AQ70+'Upper Mid-Market Segment'!AQ70+'Premium Segment'!AQ70+'Closures Overlay'!AQ70+'Disposals Overlay'!AQ70</f>
        <v>-26772.726349649933</v>
      </c>
      <c r="AW70" s="19">
        <f>'Value Segment'!AR70+'Mid-Market Segment'!AR70+'Upper Mid-Market Segment'!AR70+'Premium Segment'!AR70+'Closures Overlay'!AR70+'Disposals Overlay'!AR70</f>
        <v>-26772.726349649933</v>
      </c>
      <c r="AX70" s="19">
        <f>'Value Segment'!AS70+'Mid-Market Segment'!AS70+'Upper Mid-Market Segment'!AS70+'Premium Segment'!AS70+'Closures Overlay'!AS70+'Disposals Overlay'!AS70</f>
        <v>-26772.726349649933</v>
      </c>
      <c r="AY70" s="19">
        <f>'Value Segment'!AT70+'Mid-Market Segment'!AT70+'Upper Mid-Market Segment'!AT70+'Premium Segment'!AT70+'Closures Overlay'!AT70+'Disposals Overlay'!AT70</f>
        <v>-26772.726349649933</v>
      </c>
      <c r="AZ70" s="19">
        <f>'Value Segment'!AU70+'Mid-Market Segment'!AU70+'Upper Mid-Market Segment'!AU70+'Premium Segment'!AU70+'Closures Overlay'!AU70+'Disposals Overlay'!AU70</f>
        <v>-26772.726349649933</v>
      </c>
      <c r="BA70" s="19">
        <f>'Value Segment'!AV70+'Mid-Market Segment'!AV70+'Upper Mid-Market Segment'!AV70+'Premium Segment'!AV70+'Closures Overlay'!AV70+'Disposals Overlay'!AV70</f>
        <v>-26772.726349649933</v>
      </c>
      <c r="BB70" s="19">
        <f>'Value Segment'!AW70+'Mid-Market Segment'!AW70+'Upper Mid-Market Segment'!AW70+'Premium Segment'!AW70+'Closures Overlay'!AW70+'Disposals Overlay'!AW70</f>
        <v>-26772.726349649933</v>
      </c>
      <c r="BC70" s="19">
        <f>'Value Segment'!AX70+'Mid-Market Segment'!AX70+'Upper Mid-Market Segment'!AX70+'Premium Segment'!AX70+'Closures Overlay'!AX70+'Disposals Overlay'!AX70</f>
        <v>-26772.726349649933</v>
      </c>
      <c r="BD70" s="19">
        <f>'Value Segment'!AY70+'Mid-Market Segment'!AY70+'Upper Mid-Market Segment'!AY70+'Premium Segment'!AY70+'Closures Overlay'!AY70+'Disposals Overlay'!AY70</f>
        <v>-26772.726349649933</v>
      </c>
      <c r="BE70" s="19">
        <f>'Value Segment'!AZ70+'Mid-Market Segment'!AZ70+'Upper Mid-Market Segment'!AZ70+'Premium Segment'!AZ70+'Closures Overlay'!AZ70+'Disposals Overlay'!AZ70</f>
        <v>-26772.726349649933</v>
      </c>
      <c r="BF70" s="19">
        <f>'Value Segment'!BA70+'Mid-Market Segment'!BA70+'Upper Mid-Market Segment'!BA70+'Premium Segment'!BA70+'Closures Overlay'!BA70+'Disposals Overlay'!BA70</f>
        <v>-26772.726349649933</v>
      </c>
      <c r="BG70" s="19">
        <f>'Value Segment'!BB70+'Mid-Market Segment'!BB70+'Upper Mid-Market Segment'!BB70+'Premium Segment'!BB70+'Closures Overlay'!BB70+'Disposals Overlay'!BB70</f>
        <v>-27297.43511113547</v>
      </c>
      <c r="BH70" s="19">
        <f>'Value Segment'!BC70+'Mid-Market Segment'!BC70+'Upper Mid-Market Segment'!BC70+'Premium Segment'!BC70+'Closures Overlay'!BC70+'Disposals Overlay'!BC70</f>
        <v>-27297.43511113547</v>
      </c>
      <c r="BI70" s="19">
        <f>'Value Segment'!BD70+'Mid-Market Segment'!BD70+'Upper Mid-Market Segment'!BD70+'Premium Segment'!BD70+'Closures Overlay'!BD70+'Disposals Overlay'!BD70</f>
        <v>-27297.43511113547</v>
      </c>
      <c r="BJ70" s="19">
        <f>'Value Segment'!BE70+'Mid-Market Segment'!BE70+'Upper Mid-Market Segment'!BE70+'Premium Segment'!BE70+'Closures Overlay'!BE70+'Disposals Overlay'!BE70</f>
        <v>-27297.43511113547</v>
      </c>
      <c r="BK70" s="19">
        <f>'Value Segment'!BF70+'Mid-Market Segment'!BF70+'Upper Mid-Market Segment'!BF70+'Premium Segment'!BF70+'Closures Overlay'!BF70+'Disposals Overlay'!BF70</f>
        <v>-27297.43511113547</v>
      </c>
      <c r="BL70" s="19">
        <f>'Value Segment'!BG70+'Mid-Market Segment'!BG70+'Upper Mid-Market Segment'!BG70+'Premium Segment'!BG70+'Closures Overlay'!BG70+'Disposals Overlay'!BG70</f>
        <v>-27297.43511113547</v>
      </c>
      <c r="BM70" s="19">
        <f>'Value Segment'!BH70+'Mid-Market Segment'!BH70+'Upper Mid-Market Segment'!BH70+'Premium Segment'!BH70+'Closures Overlay'!BH70+'Disposals Overlay'!BH70</f>
        <v>-27297.43511113547</v>
      </c>
      <c r="BN70" s="19">
        <f>'Value Segment'!BI70+'Mid-Market Segment'!BI70+'Upper Mid-Market Segment'!BI70+'Premium Segment'!BI70+'Closures Overlay'!BI70+'Disposals Overlay'!BI70</f>
        <v>-27297.43511113547</v>
      </c>
      <c r="BO70" s="19">
        <f>'Value Segment'!BJ70+'Mid-Market Segment'!BJ70+'Upper Mid-Market Segment'!BJ70+'Premium Segment'!BJ70+'Closures Overlay'!BJ70+'Disposals Overlay'!BJ70</f>
        <v>-27297.43511113547</v>
      </c>
      <c r="BP70" s="19">
        <f>'Value Segment'!BK70+'Mid-Market Segment'!BK70+'Upper Mid-Market Segment'!BK70+'Premium Segment'!BK70+'Closures Overlay'!BK70+'Disposals Overlay'!BK70</f>
        <v>-27297.43511113547</v>
      </c>
      <c r="BQ70" s="19">
        <f>'Value Segment'!BL70+'Mid-Market Segment'!BL70+'Upper Mid-Market Segment'!BL70+'Premium Segment'!BL70+'Closures Overlay'!BL70+'Disposals Overlay'!BL70</f>
        <v>-27297.43511113547</v>
      </c>
      <c r="BR70" s="19">
        <f>'Value Segment'!BM70+'Mid-Market Segment'!BM70+'Upper Mid-Market Segment'!BM70+'Premium Segment'!BM70+'Closures Overlay'!BM70+'Disposals Overlay'!BM70</f>
        <v>-27297.43511113547</v>
      </c>
      <c r="BS70" s="19">
        <f>'Value Segment'!BN70+'Mid-Market Segment'!BN70+'Upper Mid-Market Segment'!BN70+'Premium Segment'!BN70+'Closures Overlay'!BN70+'Disposals Overlay'!BN70</f>
        <v>-27827.012831040844</v>
      </c>
      <c r="BT70" s="19">
        <f>'Value Segment'!BO70+'Mid-Market Segment'!BO70+'Upper Mid-Market Segment'!BO70+'Premium Segment'!BO70+'Closures Overlay'!BO70+'Disposals Overlay'!BO70</f>
        <v>-27827.012831040844</v>
      </c>
      <c r="BU70" s="19">
        <f>'Value Segment'!BP70+'Mid-Market Segment'!BP70+'Upper Mid-Market Segment'!BP70+'Premium Segment'!BP70+'Closures Overlay'!BP70+'Disposals Overlay'!BP70</f>
        <v>-27827.012831040844</v>
      </c>
      <c r="BV70" s="19">
        <f>'Value Segment'!BQ70+'Mid-Market Segment'!BQ70+'Upper Mid-Market Segment'!BQ70+'Premium Segment'!BQ70+'Closures Overlay'!BQ70+'Disposals Overlay'!BQ70</f>
        <v>-27827.012831040844</v>
      </c>
      <c r="BW70" s="19">
        <f>'Value Segment'!BR70+'Mid-Market Segment'!BR70+'Upper Mid-Market Segment'!BR70+'Premium Segment'!BR70+'Closures Overlay'!BR70+'Disposals Overlay'!BR70</f>
        <v>-27827.012831040844</v>
      </c>
      <c r="BX70" s="19">
        <f>'Value Segment'!BS70+'Mid-Market Segment'!BS70+'Upper Mid-Market Segment'!BS70+'Premium Segment'!BS70+'Closures Overlay'!BS70+'Disposals Overlay'!BS70</f>
        <v>-27827.012831040844</v>
      </c>
      <c r="BY70" s="19">
        <f>'Value Segment'!BT70+'Mid-Market Segment'!BT70+'Upper Mid-Market Segment'!BT70+'Premium Segment'!BT70+'Closures Overlay'!BT70+'Disposals Overlay'!BT70</f>
        <v>-27827.012831040844</v>
      </c>
      <c r="BZ70" s="19">
        <f>'Value Segment'!BU70+'Mid-Market Segment'!BU70+'Upper Mid-Market Segment'!BU70+'Premium Segment'!BU70+'Closures Overlay'!BU70+'Disposals Overlay'!BU70</f>
        <v>-27827.012831040844</v>
      </c>
      <c r="CA70" s="19">
        <f>'Value Segment'!BV70+'Mid-Market Segment'!BV70+'Upper Mid-Market Segment'!BV70+'Premium Segment'!BV70+'Closures Overlay'!BV70+'Disposals Overlay'!BV70</f>
        <v>-27827.012831040844</v>
      </c>
      <c r="CB70" s="19">
        <f>'Value Segment'!BW70+'Mid-Market Segment'!BW70+'Upper Mid-Market Segment'!BW70+'Premium Segment'!BW70+'Closures Overlay'!BW70+'Disposals Overlay'!BW70</f>
        <v>-27827.012831040844</v>
      </c>
      <c r="CC70" s="19">
        <f>'Value Segment'!BX70+'Mid-Market Segment'!BX70+'Upper Mid-Market Segment'!BX70+'Premium Segment'!BX70+'Closures Overlay'!BX70+'Disposals Overlay'!BX70</f>
        <v>-27827.012831040844</v>
      </c>
      <c r="CD70" s="19">
        <f>'Value Segment'!BY70+'Mid-Market Segment'!BY70+'Upper Mid-Market Segment'!BY70+'Premium Segment'!BY70+'Closures Overlay'!BY70+'Disposals Overlay'!BY70</f>
        <v>-27827.012831040844</v>
      </c>
    </row>
    <row r="71" spans="1:85" x14ac:dyDescent="0.3">
      <c r="A71" s="7"/>
      <c r="B71" s="1"/>
      <c r="C71" s="2"/>
      <c r="D71" s="2"/>
      <c r="E71" s="62" t="s">
        <v>293</v>
      </c>
      <c r="F71" s="63"/>
      <c r="G71" s="63"/>
      <c r="H71" s="63"/>
      <c r="I71" s="502">
        <f>I65+SUM(I68:I70)</f>
        <v>20155051.970000014</v>
      </c>
      <c r="J71" s="502">
        <f>J65+SUM(J68:J70)</f>
        <v>20196385.480000008</v>
      </c>
      <c r="K71" s="502">
        <f>K65+SUM(K68:K70)</f>
        <v>21855599.530000001</v>
      </c>
      <c r="L71" s="502">
        <f>L65+SUM(L68:L70)</f>
        <v>21566445.792307675</v>
      </c>
      <c r="M71" s="63"/>
      <c r="N71" s="502">
        <f t="shared" ref="N71:S71" si="46">N65+SUM(N68:N70)</f>
        <v>22357241.776880126</v>
      </c>
      <c r="O71" s="502">
        <f t="shared" si="46"/>
        <v>24010388.403817061</v>
      </c>
      <c r="P71" s="502">
        <f t="shared" si="46"/>
        <v>24277398.070436373</v>
      </c>
      <c r="Q71" s="502">
        <f t="shared" si="46"/>
        <v>24401591.961723424</v>
      </c>
      <c r="R71" s="502">
        <f t="shared" si="46"/>
        <v>24370076.45617114</v>
      </c>
      <c r="S71" s="502">
        <f t="shared" si="46"/>
        <v>24214089.130628966</v>
      </c>
      <c r="T71" s="57"/>
      <c r="U71" s="55">
        <f t="shared" si="45"/>
        <v>1.6084865556129202E-2</v>
      </c>
      <c r="W71" s="501">
        <f t="shared" ref="W71:BB71" si="47">W65+SUM(W68:W70)</f>
        <v>2008018.0505279195</v>
      </c>
      <c r="X71" s="501">
        <f t="shared" si="47"/>
        <v>2008018.0505279195</v>
      </c>
      <c r="Y71" s="501">
        <f t="shared" si="47"/>
        <v>2008018.0505279195</v>
      </c>
      <c r="Z71" s="501">
        <f t="shared" si="47"/>
        <v>2008018.0505279195</v>
      </c>
      <c r="AA71" s="501">
        <f t="shared" si="47"/>
        <v>2008018.0505279195</v>
      </c>
      <c r="AB71" s="501">
        <f t="shared" si="47"/>
        <v>1953224.3897047008</v>
      </c>
      <c r="AC71" s="501">
        <f t="shared" si="47"/>
        <v>2012249.2825336016</v>
      </c>
      <c r="AD71" s="501">
        <f t="shared" si="47"/>
        <v>2012249.2825336016</v>
      </c>
      <c r="AE71" s="501">
        <f t="shared" si="47"/>
        <v>2012249.2825336016</v>
      </c>
      <c r="AF71" s="501">
        <f t="shared" si="47"/>
        <v>2012249.2825336016</v>
      </c>
      <c r="AG71" s="501">
        <f t="shared" si="47"/>
        <v>2012249.2825336016</v>
      </c>
      <c r="AH71" s="501">
        <f t="shared" si="47"/>
        <v>1955827.3488047572</v>
      </c>
      <c r="AI71" s="501">
        <f t="shared" si="47"/>
        <v>2026395.6818653378</v>
      </c>
      <c r="AJ71" s="501">
        <f t="shared" si="47"/>
        <v>2026395.6818653378</v>
      </c>
      <c r="AK71" s="501">
        <f t="shared" si="47"/>
        <v>2026395.6818653378</v>
      </c>
      <c r="AL71" s="501">
        <f t="shared" si="47"/>
        <v>2026395.6818653378</v>
      </c>
      <c r="AM71" s="501">
        <f t="shared" si="47"/>
        <v>2026395.6818653378</v>
      </c>
      <c r="AN71" s="501">
        <f t="shared" si="47"/>
        <v>1967950.0854779333</v>
      </c>
      <c r="AO71" s="501">
        <f t="shared" si="47"/>
        <v>2039668.1885387665</v>
      </c>
      <c r="AP71" s="501">
        <f t="shared" si="47"/>
        <v>2039668.1885387665</v>
      </c>
      <c r="AQ71" s="501">
        <f t="shared" si="47"/>
        <v>2039668.1885387665</v>
      </c>
      <c r="AR71" s="501">
        <f t="shared" si="47"/>
        <v>2039668.1885387665</v>
      </c>
      <c r="AS71" s="501">
        <f t="shared" si="47"/>
        <v>2039668.1885387665</v>
      </c>
      <c r="AT71" s="501">
        <f t="shared" si="47"/>
        <v>1979128.6329379086</v>
      </c>
      <c r="AU71" s="501">
        <f t="shared" si="47"/>
        <v>2033365.0944522214</v>
      </c>
      <c r="AV71" s="501">
        <f t="shared" si="47"/>
        <v>2033365.0944522214</v>
      </c>
      <c r="AW71" s="501">
        <f t="shared" si="47"/>
        <v>2033365.0944522214</v>
      </c>
      <c r="AX71" s="501">
        <f t="shared" si="47"/>
        <v>2033365.0944522214</v>
      </c>
      <c r="AY71" s="501">
        <f t="shared" si="47"/>
        <v>2033365.0944522214</v>
      </c>
      <c r="AZ71" s="501">
        <f t="shared" si="47"/>
        <v>1971172.5557621978</v>
      </c>
      <c r="BA71" s="501">
        <f t="shared" si="47"/>
        <v>2054729.5645652993</v>
      </c>
      <c r="BB71" s="501">
        <f t="shared" si="47"/>
        <v>2054729.5645652993</v>
      </c>
      <c r="BC71" s="501">
        <f t="shared" ref="BC71:CD71" si="48">BC65+SUM(BC68:BC70)</f>
        <v>2054729.5645652993</v>
      </c>
      <c r="BD71" s="501">
        <f t="shared" si="48"/>
        <v>2054729.5645652993</v>
      </c>
      <c r="BE71" s="501">
        <f t="shared" si="48"/>
        <v>2054729.5645652993</v>
      </c>
      <c r="BF71" s="501">
        <f t="shared" si="48"/>
        <v>1989946.1108736286</v>
      </c>
      <c r="BG71" s="501">
        <f t="shared" si="48"/>
        <v>2027926.446951993</v>
      </c>
      <c r="BH71" s="501">
        <f t="shared" si="48"/>
        <v>2027926.446951993</v>
      </c>
      <c r="BI71" s="501">
        <f t="shared" si="48"/>
        <v>2027926.446951993</v>
      </c>
      <c r="BJ71" s="501">
        <f t="shared" si="48"/>
        <v>2027926.446951993</v>
      </c>
      <c r="BK71" s="501">
        <f t="shared" si="48"/>
        <v>2027926.446951993</v>
      </c>
      <c r="BL71" s="501">
        <f t="shared" si="48"/>
        <v>1961905.9625281412</v>
      </c>
      <c r="BM71" s="501">
        <f t="shared" si="48"/>
        <v>2056279.7563573695</v>
      </c>
      <c r="BN71" s="501">
        <f t="shared" si="48"/>
        <v>2056279.7563573695</v>
      </c>
      <c r="BO71" s="501">
        <f t="shared" si="48"/>
        <v>2056279.7563573695</v>
      </c>
      <c r="BP71" s="501">
        <f t="shared" si="48"/>
        <v>2056279.7563573695</v>
      </c>
      <c r="BQ71" s="501">
        <f t="shared" si="48"/>
        <v>2056279.7563573695</v>
      </c>
      <c r="BR71" s="501">
        <f t="shared" si="48"/>
        <v>1987139.4770961879</v>
      </c>
      <c r="BS71" s="501">
        <f t="shared" si="48"/>
        <v>2012831.8349635939</v>
      </c>
      <c r="BT71" s="501">
        <f t="shared" si="48"/>
        <v>2012831.8349635939</v>
      </c>
      <c r="BU71" s="501">
        <f t="shared" si="48"/>
        <v>2012831.8349635939</v>
      </c>
      <c r="BV71" s="501">
        <f t="shared" si="48"/>
        <v>2012831.8349635939</v>
      </c>
      <c r="BW71" s="501">
        <f t="shared" si="48"/>
        <v>2012831.8349635939</v>
      </c>
      <c r="BX71" s="501">
        <f t="shared" si="48"/>
        <v>1942789.8287579312</v>
      </c>
      <c r="BY71" s="501">
        <f t="shared" si="48"/>
        <v>2046810.7147525295</v>
      </c>
      <c r="BZ71" s="501">
        <f t="shared" si="48"/>
        <v>2046810.7147525295</v>
      </c>
      <c r="CA71" s="501">
        <f t="shared" si="48"/>
        <v>2046810.7147525295</v>
      </c>
      <c r="CB71" s="501">
        <f t="shared" si="48"/>
        <v>2046810.7147525295</v>
      </c>
      <c r="CC71" s="501">
        <f t="shared" si="48"/>
        <v>2046810.7147525295</v>
      </c>
      <c r="CD71" s="501">
        <f t="shared" si="48"/>
        <v>1973086.5532904211</v>
      </c>
    </row>
    <row r="72" spans="1:85" x14ac:dyDescent="0.3">
      <c r="A72" s="7"/>
      <c r="B72" s="1"/>
      <c r="C72" s="2"/>
      <c r="D72" s="2"/>
      <c r="E72" s="2" t="s">
        <v>404</v>
      </c>
      <c r="F72" s="2"/>
      <c r="G72" s="2"/>
      <c r="H72" s="2"/>
      <c r="I72" s="23">
        <f>IFERROR(I71/I61,0)</f>
        <v>0.7883810515201426</v>
      </c>
      <c r="J72" s="23">
        <f>IFERROR(J71/J61,0)</f>
        <v>0.74919225921911148</v>
      </c>
      <c r="K72" s="23">
        <f>IFERROR(K71/K61,0)</f>
        <v>0.78984155330553441</v>
      </c>
      <c r="L72" s="23">
        <f>IFERROR(L71/L61,0)</f>
        <v>0.77219298292391148</v>
      </c>
      <c r="M72" s="2"/>
      <c r="N72" s="499">
        <f t="shared" ref="N72:S72" si="49">IFERROR(N71/N61,0)</f>
        <v>0.77535240919005144</v>
      </c>
      <c r="O72" s="499">
        <f t="shared" si="49"/>
        <v>0.80431671042119623</v>
      </c>
      <c r="P72" s="499">
        <f t="shared" si="49"/>
        <v>0.81035890516204767</v>
      </c>
      <c r="Q72" s="499">
        <f t="shared" si="49"/>
        <v>0.81593737697617474</v>
      </c>
      <c r="R72" s="499">
        <f t="shared" si="49"/>
        <v>0.82107360225421544</v>
      </c>
      <c r="S72" s="499">
        <f t="shared" si="49"/>
        <v>0.82589157597894058</v>
      </c>
      <c r="T72" s="23"/>
      <c r="U72" s="50">
        <f t="shared" si="45"/>
        <v>1.2709255440204625E-2</v>
      </c>
      <c r="W72" s="499">
        <f t="shared" ref="W72:BB72" si="50">IFERROR(W71/W61,0)</f>
        <v>0.80236487226021302</v>
      </c>
      <c r="X72" s="499">
        <f t="shared" si="50"/>
        <v>0.80236487226021302</v>
      </c>
      <c r="Y72" s="499">
        <f t="shared" si="50"/>
        <v>0.80236487226021302</v>
      </c>
      <c r="Z72" s="499">
        <f t="shared" si="50"/>
        <v>0.80236487226021302</v>
      </c>
      <c r="AA72" s="499">
        <f t="shared" si="50"/>
        <v>0.80236487226021302</v>
      </c>
      <c r="AB72" s="499">
        <f t="shared" si="50"/>
        <v>0.80200061119559451</v>
      </c>
      <c r="AC72" s="499">
        <f t="shared" si="50"/>
        <v>0.80639516463167149</v>
      </c>
      <c r="AD72" s="499">
        <f t="shared" si="50"/>
        <v>0.80639516463167149</v>
      </c>
      <c r="AE72" s="499">
        <f t="shared" si="50"/>
        <v>0.80639516463167149</v>
      </c>
      <c r="AF72" s="499">
        <f t="shared" si="50"/>
        <v>0.80639516463167149</v>
      </c>
      <c r="AG72" s="499">
        <f t="shared" si="50"/>
        <v>0.80639516463167149</v>
      </c>
      <c r="AH72" s="499">
        <f t="shared" si="50"/>
        <v>0.80601947995508016</v>
      </c>
      <c r="AI72" s="499">
        <f t="shared" si="50"/>
        <v>0.80804726155022688</v>
      </c>
      <c r="AJ72" s="499">
        <f t="shared" si="50"/>
        <v>0.80804726155022688</v>
      </c>
      <c r="AK72" s="499">
        <f t="shared" si="50"/>
        <v>0.80804726155022688</v>
      </c>
      <c r="AL72" s="499">
        <f t="shared" si="50"/>
        <v>0.80804726155022688</v>
      </c>
      <c r="AM72" s="499">
        <f t="shared" si="50"/>
        <v>0.80804726155022688</v>
      </c>
      <c r="AN72" s="499">
        <f t="shared" si="50"/>
        <v>0.80765360494778293</v>
      </c>
      <c r="AO72" s="499">
        <f t="shared" si="50"/>
        <v>0.81279923658477071</v>
      </c>
      <c r="AP72" s="499">
        <f t="shared" si="50"/>
        <v>0.81279923658477071</v>
      </c>
      <c r="AQ72" s="499">
        <f t="shared" si="50"/>
        <v>0.81279923658477071</v>
      </c>
      <c r="AR72" s="499">
        <f t="shared" si="50"/>
        <v>0.81279923658477071</v>
      </c>
      <c r="AS72" s="499">
        <f t="shared" si="50"/>
        <v>0.81279923658477071</v>
      </c>
      <c r="AT72" s="499">
        <f t="shared" si="50"/>
        <v>0.81239401019620916</v>
      </c>
      <c r="AU72" s="499">
        <f t="shared" si="50"/>
        <v>0.81330829548547834</v>
      </c>
      <c r="AV72" s="499">
        <f t="shared" si="50"/>
        <v>0.81330829548547834</v>
      </c>
      <c r="AW72" s="499">
        <f t="shared" si="50"/>
        <v>0.81330829548547834</v>
      </c>
      <c r="AX72" s="499">
        <f t="shared" si="50"/>
        <v>0.81330829548547834</v>
      </c>
      <c r="AY72" s="499">
        <f t="shared" si="50"/>
        <v>0.81330829548547834</v>
      </c>
      <c r="AZ72" s="499">
        <f t="shared" si="50"/>
        <v>0.81287995174155681</v>
      </c>
      <c r="BA72" s="499">
        <f t="shared" si="50"/>
        <v>0.81869759326671521</v>
      </c>
      <c r="BB72" s="499">
        <f t="shared" si="50"/>
        <v>0.81869759326671521</v>
      </c>
      <c r="BC72" s="499">
        <f t="shared" ref="BC72:CD72" si="51">IFERROR(BC71/BC61,0)</f>
        <v>0.81869759326671521</v>
      </c>
      <c r="BD72" s="499">
        <f t="shared" si="51"/>
        <v>0.81869759326671521</v>
      </c>
      <c r="BE72" s="499">
        <f t="shared" si="51"/>
        <v>0.81869759326671521</v>
      </c>
      <c r="BF72" s="499">
        <f t="shared" si="51"/>
        <v>0.81825724009226675</v>
      </c>
      <c r="BG72" s="499">
        <f t="shared" si="51"/>
        <v>0.81816379341979362</v>
      </c>
      <c r="BH72" s="499">
        <f t="shared" si="51"/>
        <v>0.81816379341979362</v>
      </c>
      <c r="BI72" s="499">
        <f t="shared" si="51"/>
        <v>0.81816379341979362</v>
      </c>
      <c r="BJ72" s="499">
        <f t="shared" si="51"/>
        <v>0.81816379341979362</v>
      </c>
      <c r="BK72" s="499">
        <f t="shared" si="51"/>
        <v>0.81816379341979362</v>
      </c>
      <c r="BL72" s="499">
        <f t="shared" si="51"/>
        <v>0.81769414352313396</v>
      </c>
      <c r="BM72" s="499">
        <f t="shared" si="51"/>
        <v>0.82411856201013067</v>
      </c>
      <c r="BN72" s="499">
        <f t="shared" si="51"/>
        <v>0.82411856201013067</v>
      </c>
      <c r="BO72" s="499">
        <f t="shared" si="51"/>
        <v>0.82411856201013067</v>
      </c>
      <c r="BP72" s="499">
        <f t="shared" si="51"/>
        <v>0.82411856201013067</v>
      </c>
      <c r="BQ72" s="499">
        <f t="shared" si="51"/>
        <v>0.82411856201013067</v>
      </c>
      <c r="BR72" s="499">
        <f t="shared" si="51"/>
        <v>0.82363606660900412</v>
      </c>
      <c r="BS72" s="499">
        <f t="shared" si="51"/>
        <v>0.82274041599631242</v>
      </c>
      <c r="BT72" s="499">
        <f t="shared" si="51"/>
        <v>0.82274041599631242</v>
      </c>
      <c r="BU72" s="499">
        <f t="shared" si="51"/>
        <v>0.82274041599631242</v>
      </c>
      <c r="BV72" s="499">
        <f t="shared" si="51"/>
        <v>0.82274041599631242</v>
      </c>
      <c r="BW72" s="499">
        <f t="shared" si="51"/>
        <v>0.82274041599631242</v>
      </c>
      <c r="BX72" s="499">
        <f t="shared" si="51"/>
        <v>0.82222102647229978</v>
      </c>
      <c r="BY72" s="499">
        <f t="shared" si="51"/>
        <v>0.82918498815195241</v>
      </c>
      <c r="BZ72" s="499">
        <f t="shared" si="51"/>
        <v>0.82918498815195241</v>
      </c>
      <c r="CA72" s="499">
        <f t="shared" si="51"/>
        <v>0.82918498815195241</v>
      </c>
      <c r="CB72" s="499">
        <f t="shared" si="51"/>
        <v>0.82918498815195241</v>
      </c>
      <c r="CC72" s="499">
        <f t="shared" si="51"/>
        <v>0.82918498815195241</v>
      </c>
      <c r="CD72" s="499">
        <f t="shared" si="51"/>
        <v>0.82865132951691345</v>
      </c>
    </row>
    <row r="73" spans="1:85" x14ac:dyDescent="0.3">
      <c r="A73" s="7"/>
      <c r="B73" s="1"/>
      <c r="C73" s="2"/>
      <c r="D73" s="2"/>
      <c r="E73" s="2"/>
      <c r="F73" s="2"/>
      <c r="G73" s="2"/>
      <c r="H73" s="2"/>
      <c r="I73" s="23"/>
      <c r="J73" s="23"/>
      <c r="K73" s="23"/>
      <c r="L73" s="23"/>
      <c r="M73" s="2"/>
      <c r="N73" s="23"/>
      <c r="O73" s="23"/>
      <c r="P73" s="23"/>
      <c r="Q73" s="23"/>
      <c r="R73" s="23"/>
      <c r="S73" s="23"/>
      <c r="T73" s="23"/>
      <c r="U73" s="50"/>
      <c r="W73" s="23"/>
      <c r="X73" s="23"/>
      <c r="Y73" s="23"/>
      <c r="Z73" s="23"/>
      <c r="AA73" s="23"/>
      <c r="AB73" s="23"/>
      <c r="AC73" s="23"/>
      <c r="AD73" s="23"/>
      <c r="AE73" s="23"/>
      <c r="AF73" s="23"/>
      <c r="AG73" s="23"/>
      <c r="AH73" s="23"/>
      <c r="AI73" s="23"/>
      <c r="AJ73" s="23"/>
      <c r="AK73" s="23"/>
      <c r="AL73" s="23"/>
      <c r="AM73" s="23"/>
      <c r="AN73" s="23"/>
      <c r="AO73" s="23"/>
      <c r="AP73" s="23"/>
      <c r="AQ73" s="23"/>
      <c r="AR73" s="23"/>
      <c r="AS73" s="23"/>
      <c r="AT73" s="23"/>
      <c r="AU73" s="23"/>
      <c r="AV73" s="23"/>
      <c r="AW73" s="23"/>
      <c r="AX73" s="23"/>
      <c r="AY73" s="23"/>
      <c r="AZ73" s="23"/>
      <c r="BA73" s="23"/>
      <c r="BB73" s="23"/>
      <c r="BC73" s="23"/>
      <c r="BD73" s="23"/>
      <c r="BE73" s="23"/>
      <c r="BF73" s="23"/>
      <c r="BG73" s="23"/>
      <c r="BH73" s="23"/>
      <c r="BI73" s="23"/>
      <c r="BJ73" s="23"/>
      <c r="BK73" s="23"/>
      <c r="BL73" s="23"/>
      <c r="BM73" s="23"/>
      <c r="BN73" s="23"/>
      <c r="BO73" s="23"/>
      <c r="BP73" s="23"/>
      <c r="BQ73" s="23"/>
      <c r="BR73" s="23"/>
      <c r="BS73" s="23"/>
      <c r="BT73" s="23"/>
      <c r="BU73" s="23"/>
      <c r="BV73" s="23"/>
      <c r="BW73" s="23"/>
      <c r="BX73" s="23"/>
      <c r="BY73" s="23"/>
      <c r="BZ73" s="23"/>
      <c r="CA73" s="23"/>
      <c r="CB73" s="23"/>
      <c r="CC73" s="23"/>
      <c r="CD73" s="23"/>
    </row>
    <row r="74" spans="1:85" x14ac:dyDescent="0.3">
      <c r="A74" s="7"/>
      <c r="B74" s="1"/>
      <c r="C74" s="2"/>
      <c r="D74" s="2"/>
      <c r="E74" s="2" t="s">
        <v>70</v>
      </c>
      <c r="F74" s="54"/>
      <c r="G74" s="54"/>
      <c r="H74" s="54"/>
      <c r="I74" s="67">
        <v>-850365.85</v>
      </c>
      <c r="J74" s="67">
        <v>-138031.89000000001</v>
      </c>
      <c r="K74" s="67">
        <v>-421795.4</v>
      </c>
      <c r="L74" s="67">
        <v>-587858.03000000014</v>
      </c>
      <c r="M74" s="54"/>
      <c r="N74" s="19">
        <f>'Value Segment'!I74+'Mid-Market Segment'!I74+'Upper Mid-Market Segment'!I74+'Premium Segment'!I74+'Closures Overlay'!I74+'Disposals Overlay'!I74</f>
        <v>-1391870.9220779222</v>
      </c>
      <c r="O74" s="19">
        <f>'Value Segment'!J74+'Mid-Market Segment'!J74+'Upper Mid-Market Segment'!J74+'Premium Segment'!J74+'Closures Overlay'!J74+'Disposals Overlay'!J74</f>
        <v>-1597966.6417299686</v>
      </c>
      <c r="P74" s="19">
        <f>'Value Segment'!K74+'Mid-Market Segment'!K74+'Upper Mid-Market Segment'!K74+'Premium Segment'!K74+'Closures Overlay'!K74+'Disposals Overlay'!K74</f>
        <v>-1546113.4246865364</v>
      </c>
      <c r="Q74" s="19">
        <f>'Value Segment'!L74+'Mid-Market Segment'!L74+'Upper Mid-Market Segment'!L74+'Premium Segment'!L74+'Closures Overlay'!L74+'Disposals Overlay'!L74</f>
        <v>-1488519.2320715429</v>
      </c>
      <c r="R74" s="19">
        <f>'Value Segment'!M74+'Mid-Market Segment'!M74+'Upper Mid-Market Segment'!M74+'Premium Segment'!M74+'Closures Overlay'!M74+'Disposals Overlay'!M74</f>
        <v>-1425078.231778247</v>
      </c>
      <c r="S74" s="19">
        <f>'Value Segment'!N74+'Mid-Market Segment'!N74+'Upper Mid-Market Segment'!N74+'Premium Segment'!N74+'Closures Overlay'!N74+'Disposals Overlay'!N74</f>
        <v>-1356831.1811536034</v>
      </c>
      <c r="T74" s="37"/>
      <c r="U74" s="50">
        <f>IFERROR(((S74/N74)^(1/5))-1,0)</f>
        <v>-5.0863926799720183E-3</v>
      </c>
      <c r="W74" s="19">
        <f>'Value Segment'!R74+'Mid-Market Segment'!R74+'Upper Mid-Market Segment'!R74+'Premium Segment'!R74+'Closures Overlay'!R74+'Disposals Overlay'!R74</f>
        <v>0</v>
      </c>
      <c r="X74" s="19">
        <f>'Value Segment'!S74+'Mid-Market Segment'!S74+'Upper Mid-Market Segment'!S74+'Premium Segment'!S74+'Closures Overlay'!S74+'Disposals Overlay'!S74</f>
        <v>0</v>
      </c>
      <c r="Y74" s="19">
        <f>'Value Segment'!T74+'Mid-Market Segment'!T74+'Upper Mid-Market Segment'!T74+'Premium Segment'!T74+'Closures Overlay'!T74+'Disposals Overlay'!T74</f>
        <v>0</v>
      </c>
      <c r="Z74" s="19">
        <f>'Value Segment'!U74+'Mid-Market Segment'!U74+'Upper Mid-Market Segment'!U74+'Premium Segment'!U74+'Closures Overlay'!U74+'Disposals Overlay'!U74</f>
        <v>0</v>
      </c>
      <c r="AA74" s="19">
        <f>'Value Segment'!V74+'Mid-Market Segment'!V74+'Upper Mid-Market Segment'!V74+'Premium Segment'!V74+'Closures Overlay'!V74+'Disposals Overlay'!V74</f>
        <v>0</v>
      </c>
      <c r="AB74" s="19">
        <f>'Value Segment'!W74+'Mid-Market Segment'!W74+'Upper Mid-Market Segment'!W74+'Premium Segment'!W74+'Closures Overlay'!W74+'Disposals Overlay'!W74</f>
        <v>-1597966.6417299686</v>
      </c>
      <c r="AC74" s="19">
        <f>'Value Segment'!X74+'Mid-Market Segment'!X74+'Upper Mid-Market Segment'!X74+'Premium Segment'!X74+'Closures Overlay'!X74+'Disposals Overlay'!X74</f>
        <v>0</v>
      </c>
      <c r="AD74" s="19">
        <f>'Value Segment'!Y74+'Mid-Market Segment'!Y74+'Upper Mid-Market Segment'!Y74+'Premium Segment'!Y74+'Closures Overlay'!Y74+'Disposals Overlay'!Y74</f>
        <v>0</v>
      </c>
      <c r="AE74" s="19">
        <f>'Value Segment'!Z74+'Mid-Market Segment'!Z74+'Upper Mid-Market Segment'!Z74+'Premium Segment'!Z74+'Closures Overlay'!Z74+'Disposals Overlay'!Z74</f>
        <v>0</v>
      </c>
      <c r="AF74" s="19">
        <f>'Value Segment'!AA74+'Mid-Market Segment'!AA74+'Upper Mid-Market Segment'!AA74+'Premium Segment'!AA74+'Closures Overlay'!AA74+'Disposals Overlay'!AA74</f>
        <v>0</v>
      </c>
      <c r="AG74" s="19">
        <f>'Value Segment'!AB74+'Mid-Market Segment'!AB74+'Upper Mid-Market Segment'!AB74+'Premium Segment'!AB74+'Closures Overlay'!AB74+'Disposals Overlay'!AB74</f>
        <v>0</v>
      </c>
      <c r="AH74" s="19">
        <f>'Value Segment'!AC74+'Mid-Market Segment'!AC74+'Upper Mid-Market Segment'!AC74+'Premium Segment'!AC74+'Closures Overlay'!AC74+'Disposals Overlay'!AC74</f>
        <v>0</v>
      </c>
      <c r="AI74" s="19">
        <f>'Value Segment'!AD74+'Mid-Market Segment'!AD74+'Upper Mid-Market Segment'!AD74+'Premium Segment'!AD74+'Closures Overlay'!AD74+'Disposals Overlay'!AD74</f>
        <v>0</v>
      </c>
      <c r="AJ74" s="19">
        <f>'Value Segment'!AE74+'Mid-Market Segment'!AE74+'Upper Mid-Market Segment'!AE74+'Premium Segment'!AE74+'Closures Overlay'!AE74+'Disposals Overlay'!AE74</f>
        <v>0</v>
      </c>
      <c r="AK74" s="19">
        <f>'Value Segment'!AF74+'Mid-Market Segment'!AF74+'Upper Mid-Market Segment'!AF74+'Premium Segment'!AF74+'Closures Overlay'!AF74+'Disposals Overlay'!AF74</f>
        <v>0</v>
      </c>
      <c r="AL74" s="19">
        <f>'Value Segment'!AG74+'Mid-Market Segment'!AG74+'Upper Mid-Market Segment'!AG74+'Premium Segment'!AG74+'Closures Overlay'!AG74+'Disposals Overlay'!AG74</f>
        <v>0</v>
      </c>
      <c r="AM74" s="19">
        <f>'Value Segment'!AH74+'Mid-Market Segment'!AH74+'Upper Mid-Market Segment'!AH74+'Premium Segment'!AH74+'Closures Overlay'!AH74+'Disposals Overlay'!AH74</f>
        <v>0</v>
      </c>
      <c r="AN74" s="19">
        <f>'Value Segment'!AI74+'Mid-Market Segment'!AI74+'Upper Mid-Market Segment'!AI74+'Premium Segment'!AI74+'Closures Overlay'!AI74+'Disposals Overlay'!AI74</f>
        <v>-1546113.4246865364</v>
      </c>
      <c r="AO74" s="19">
        <f>'Value Segment'!AJ74+'Mid-Market Segment'!AJ74+'Upper Mid-Market Segment'!AJ74+'Premium Segment'!AJ74+'Closures Overlay'!AJ74+'Disposals Overlay'!AJ74</f>
        <v>0</v>
      </c>
      <c r="AP74" s="19">
        <f>'Value Segment'!AK74+'Mid-Market Segment'!AK74+'Upper Mid-Market Segment'!AK74+'Premium Segment'!AK74+'Closures Overlay'!AK74+'Disposals Overlay'!AK74</f>
        <v>0</v>
      </c>
      <c r="AQ74" s="19">
        <f>'Value Segment'!AL74+'Mid-Market Segment'!AL74+'Upper Mid-Market Segment'!AL74+'Premium Segment'!AL74+'Closures Overlay'!AL74+'Disposals Overlay'!AL74</f>
        <v>0</v>
      </c>
      <c r="AR74" s="19">
        <f>'Value Segment'!AM74+'Mid-Market Segment'!AM74+'Upper Mid-Market Segment'!AM74+'Premium Segment'!AM74+'Closures Overlay'!AM74+'Disposals Overlay'!AM74</f>
        <v>0</v>
      </c>
      <c r="AS74" s="19">
        <f>'Value Segment'!AN74+'Mid-Market Segment'!AN74+'Upper Mid-Market Segment'!AN74+'Premium Segment'!AN74+'Closures Overlay'!AN74+'Disposals Overlay'!AN74</f>
        <v>0</v>
      </c>
      <c r="AT74" s="19">
        <f>'Value Segment'!AO74+'Mid-Market Segment'!AO74+'Upper Mid-Market Segment'!AO74+'Premium Segment'!AO74+'Closures Overlay'!AO74+'Disposals Overlay'!AO74</f>
        <v>0</v>
      </c>
      <c r="AU74" s="19">
        <f>'Value Segment'!AP74+'Mid-Market Segment'!AP74+'Upper Mid-Market Segment'!AP74+'Premium Segment'!AP74+'Closures Overlay'!AP74+'Disposals Overlay'!AP74</f>
        <v>0</v>
      </c>
      <c r="AV74" s="19">
        <f>'Value Segment'!AQ74+'Mid-Market Segment'!AQ74+'Upper Mid-Market Segment'!AQ74+'Premium Segment'!AQ74+'Closures Overlay'!AQ74+'Disposals Overlay'!AQ74</f>
        <v>0</v>
      </c>
      <c r="AW74" s="19">
        <f>'Value Segment'!AR74+'Mid-Market Segment'!AR74+'Upper Mid-Market Segment'!AR74+'Premium Segment'!AR74+'Closures Overlay'!AR74+'Disposals Overlay'!AR74</f>
        <v>0</v>
      </c>
      <c r="AX74" s="19">
        <f>'Value Segment'!AS74+'Mid-Market Segment'!AS74+'Upper Mid-Market Segment'!AS74+'Premium Segment'!AS74+'Closures Overlay'!AS74+'Disposals Overlay'!AS74</f>
        <v>0</v>
      </c>
      <c r="AY74" s="19">
        <f>'Value Segment'!AT74+'Mid-Market Segment'!AT74+'Upper Mid-Market Segment'!AT74+'Premium Segment'!AT74+'Closures Overlay'!AT74+'Disposals Overlay'!AT74</f>
        <v>0</v>
      </c>
      <c r="AZ74" s="19">
        <f>'Value Segment'!AU74+'Mid-Market Segment'!AU74+'Upper Mid-Market Segment'!AU74+'Premium Segment'!AU74+'Closures Overlay'!AU74+'Disposals Overlay'!AU74</f>
        <v>-1488519.2320715429</v>
      </c>
      <c r="BA74" s="19">
        <f>'Value Segment'!AV74+'Mid-Market Segment'!AV74+'Upper Mid-Market Segment'!AV74+'Premium Segment'!AV74+'Closures Overlay'!AV74+'Disposals Overlay'!AV74</f>
        <v>0</v>
      </c>
      <c r="BB74" s="19">
        <f>'Value Segment'!AW74+'Mid-Market Segment'!AW74+'Upper Mid-Market Segment'!AW74+'Premium Segment'!AW74+'Closures Overlay'!AW74+'Disposals Overlay'!AW74</f>
        <v>0</v>
      </c>
      <c r="BC74" s="19">
        <f>'Value Segment'!AX74+'Mid-Market Segment'!AX74+'Upper Mid-Market Segment'!AX74+'Premium Segment'!AX74+'Closures Overlay'!AX74+'Disposals Overlay'!AX74</f>
        <v>0</v>
      </c>
      <c r="BD74" s="19">
        <f>'Value Segment'!AY74+'Mid-Market Segment'!AY74+'Upper Mid-Market Segment'!AY74+'Premium Segment'!AY74+'Closures Overlay'!AY74+'Disposals Overlay'!AY74</f>
        <v>0</v>
      </c>
      <c r="BE74" s="19">
        <f>'Value Segment'!AZ74+'Mid-Market Segment'!AZ74+'Upper Mid-Market Segment'!AZ74+'Premium Segment'!AZ74+'Closures Overlay'!AZ74+'Disposals Overlay'!AZ74</f>
        <v>0</v>
      </c>
      <c r="BF74" s="19">
        <f>'Value Segment'!BA74+'Mid-Market Segment'!BA74+'Upper Mid-Market Segment'!BA74+'Premium Segment'!BA74+'Closures Overlay'!BA74+'Disposals Overlay'!BA74</f>
        <v>0</v>
      </c>
      <c r="BG74" s="19">
        <f>'Value Segment'!BB74+'Mid-Market Segment'!BB74+'Upper Mid-Market Segment'!BB74+'Premium Segment'!BB74+'Closures Overlay'!BB74+'Disposals Overlay'!BB74</f>
        <v>0</v>
      </c>
      <c r="BH74" s="19">
        <f>'Value Segment'!BC74+'Mid-Market Segment'!BC74+'Upper Mid-Market Segment'!BC74+'Premium Segment'!BC74+'Closures Overlay'!BC74+'Disposals Overlay'!BC74</f>
        <v>0</v>
      </c>
      <c r="BI74" s="19">
        <f>'Value Segment'!BD74+'Mid-Market Segment'!BD74+'Upper Mid-Market Segment'!BD74+'Premium Segment'!BD74+'Closures Overlay'!BD74+'Disposals Overlay'!BD74</f>
        <v>0</v>
      </c>
      <c r="BJ74" s="19">
        <f>'Value Segment'!BE74+'Mid-Market Segment'!BE74+'Upper Mid-Market Segment'!BE74+'Premium Segment'!BE74+'Closures Overlay'!BE74+'Disposals Overlay'!BE74</f>
        <v>0</v>
      </c>
      <c r="BK74" s="19">
        <f>'Value Segment'!BF74+'Mid-Market Segment'!BF74+'Upper Mid-Market Segment'!BF74+'Premium Segment'!BF74+'Closures Overlay'!BF74+'Disposals Overlay'!BF74</f>
        <v>0</v>
      </c>
      <c r="BL74" s="19">
        <f>'Value Segment'!BG74+'Mid-Market Segment'!BG74+'Upper Mid-Market Segment'!BG74+'Premium Segment'!BG74+'Closures Overlay'!BG74+'Disposals Overlay'!BG74</f>
        <v>-1425078.231778247</v>
      </c>
      <c r="BM74" s="19">
        <f>'Value Segment'!BH74+'Mid-Market Segment'!BH74+'Upper Mid-Market Segment'!BH74+'Premium Segment'!BH74+'Closures Overlay'!BH74+'Disposals Overlay'!BH74</f>
        <v>0</v>
      </c>
      <c r="BN74" s="19">
        <f>'Value Segment'!BI74+'Mid-Market Segment'!BI74+'Upper Mid-Market Segment'!BI74+'Premium Segment'!BI74+'Closures Overlay'!BI74+'Disposals Overlay'!BI74</f>
        <v>0</v>
      </c>
      <c r="BO74" s="19">
        <f>'Value Segment'!BJ74+'Mid-Market Segment'!BJ74+'Upper Mid-Market Segment'!BJ74+'Premium Segment'!BJ74+'Closures Overlay'!BJ74+'Disposals Overlay'!BJ74</f>
        <v>0</v>
      </c>
      <c r="BP74" s="19">
        <f>'Value Segment'!BK74+'Mid-Market Segment'!BK74+'Upper Mid-Market Segment'!BK74+'Premium Segment'!BK74+'Closures Overlay'!BK74+'Disposals Overlay'!BK74</f>
        <v>0</v>
      </c>
      <c r="BQ74" s="19">
        <f>'Value Segment'!BL74+'Mid-Market Segment'!BL74+'Upper Mid-Market Segment'!BL74+'Premium Segment'!BL74+'Closures Overlay'!BL74+'Disposals Overlay'!BL74</f>
        <v>0</v>
      </c>
      <c r="BR74" s="19">
        <f>'Value Segment'!BM74+'Mid-Market Segment'!BM74+'Upper Mid-Market Segment'!BM74+'Premium Segment'!BM74+'Closures Overlay'!BM74+'Disposals Overlay'!BM74</f>
        <v>0</v>
      </c>
      <c r="BS74" s="19">
        <f>'Value Segment'!BN74+'Mid-Market Segment'!BN74+'Upper Mid-Market Segment'!BN74+'Premium Segment'!BN74+'Closures Overlay'!BN74+'Disposals Overlay'!BN74</f>
        <v>0</v>
      </c>
      <c r="BT74" s="19">
        <f>'Value Segment'!BO74+'Mid-Market Segment'!BO74+'Upper Mid-Market Segment'!BO74+'Premium Segment'!BO74+'Closures Overlay'!BO74+'Disposals Overlay'!BO74</f>
        <v>0</v>
      </c>
      <c r="BU74" s="19">
        <f>'Value Segment'!BP74+'Mid-Market Segment'!BP74+'Upper Mid-Market Segment'!BP74+'Premium Segment'!BP74+'Closures Overlay'!BP74+'Disposals Overlay'!BP74</f>
        <v>0</v>
      </c>
      <c r="BV74" s="19">
        <f>'Value Segment'!BQ74+'Mid-Market Segment'!BQ74+'Upper Mid-Market Segment'!BQ74+'Premium Segment'!BQ74+'Closures Overlay'!BQ74+'Disposals Overlay'!BQ74</f>
        <v>0</v>
      </c>
      <c r="BW74" s="19">
        <f>'Value Segment'!BR74+'Mid-Market Segment'!BR74+'Upper Mid-Market Segment'!BR74+'Premium Segment'!BR74+'Closures Overlay'!BR74+'Disposals Overlay'!BR74</f>
        <v>0</v>
      </c>
      <c r="BX74" s="19">
        <f>'Value Segment'!BS74+'Mid-Market Segment'!BS74+'Upper Mid-Market Segment'!BS74+'Premium Segment'!BS74+'Closures Overlay'!BS74+'Disposals Overlay'!BS74</f>
        <v>-1356831.1811536034</v>
      </c>
      <c r="BY74" s="19">
        <f>'Value Segment'!BT74+'Mid-Market Segment'!BT74+'Upper Mid-Market Segment'!BT74+'Premium Segment'!BT74+'Closures Overlay'!BT74+'Disposals Overlay'!BT74</f>
        <v>0</v>
      </c>
      <c r="BZ74" s="19">
        <f>'Value Segment'!BU74+'Mid-Market Segment'!BU74+'Upper Mid-Market Segment'!BU74+'Premium Segment'!BU74+'Closures Overlay'!BU74+'Disposals Overlay'!BU74</f>
        <v>0</v>
      </c>
      <c r="CA74" s="19">
        <f>'Value Segment'!BV74+'Mid-Market Segment'!BV74+'Upper Mid-Market Segment'!BV74+'Premium Segment'!BV74+'Closures Overlay'!BV74+'Disposals Overlay'!BV74</f>
        <v>0</v>
      </c>
      <c r="CB74" s="19">
        <f>'Value Segment'!BW74+'Mid-Market Segment'!BW74+'Upper Mid-Market Segment'!BW74+'Premium Segment'!BW74+'Closures Overlay'!BW74+'Disposals Overlay'!BW74</f>
        <v>0</v>
      </c>
      <c r="CC74" s="19">
        <f>'Value Segment'!BX74+'Mid-Market Segment'!BX74+'Upper Mid-Market Segment'!BX74+'Premium Segment'!BX74+'Closures Overlay'!BX74+'Disposals Overlay'!BX74</f>
        <v>0</v>
      </c>
      <c r="CD74" s="19">
        <f>'Value Segment'!BY74+'Mid-Market Segment'!BY74+'Upper Mid-Market Segment'!BY74+'Premium Segment'!BY74+'Closures Overlay'!BY74+'Disposals Overlay'!BY74</f>
        <v>0</v>
      </c>
    </row>
    <row r="75" spans="1:85" x14ac:dyDescent="0.3">
      <c r="A75" s="7"/>
      <c r="B75" s="1"/>
      <c r="C75" s="2"/>
      <c r="D75" s="2"/>
      <c r="E75" s="2" t="s">
        <v>185</v>
      </c>
      <c r="F75" s="54"/>
      <c r="G75" s="54"/>
      <c r="H75" s="54"/>
      <c r="I75" s="67">
        <v>0</v>
      </c>
      <c r="J75" s="67">
        <v>0</v>
      </c>
      <c r="K75" s="67">
        <v>0</v>
      </c>
      <c r="L75" s="67">
        <v>0</v>
      </c>
      <c r="M75" s="54"/>
      <c r="N75" s="19">
        <f>'Value Segment'!I75+'Mid-Market Segment'!I75+'Upper Mid-Market Segment'!I75+'Premium Segment'!I75+'Closures Overlay'!I75+'Disposals Overlay'!I75</f>
        <v>0</v>
      </c>
      <c r="O75" s="19">
        <f>'Value Segment'!J75+'Mid-Market Segment'!J75+'Upper Mid-Market Segment'!J75+'Premium Segment'!J75+'Closures Overlay'!J75+'Disposals Overlay'!J75</f>
        <v>21007264.528569944</v>
      </c>
      <c r="P75" s="19">
        <f>'Value Segment'!K75+'Mid-Market Segment'!K75+'Upper Mid-Market Segment'!K75+'Premium Segment'!K75+'Closures Overlay'!K75+'Disposals Overlay'!K75</f>
        <v>22302772.979129054</v>
      </c>
      <c r="Q75" s="19">
        <f>'Value Segment'!L75+'Mid-Market Segment'!L75+'Upper Mid-Market Segment'!L75+'Premium Segment'!L75+'Closures Overlay'!L75+'Disposals Overlay'!L75</f>
        <v>23631372.312853575</v>
      </c>
      <c r="R75" s="19">
        <f>'Value Segment'!M75+'Mid-Market Segment'!M75+'Upper Mid-Market Segment'!M75+'Premium Segment'!M75+'Closures Overlay'!M75+'Disposals Overlay'!M75</f>
        <v>24988347.567784414</v>
      </c>
      <c r="S75" s="19">
        <f>'Value Segment'!N75+'Mid-Market Segment'!N75+'Upper Mid-Market Segment'!N75+'Premium Segment'!N75+'Closures Overlay'!N75+'Disposals Overlay'!N75</f>
        <v>26412338.759761043</v>
      </c>
      <c r="T75" s="37"/>
      <c r="U75" s="50">
        <f t="shared" si="45"/>
        <v>0</v>
      </c>
      <c r="W75" s="19">
        <f>'Value Segment'!R75+'Mid-Market Segment'!R75+'Upper Mid-Market Segment'!R75+'Premium Segment'!R75+'Closures Overlay'!R75+'Disposals Overlay'!R75</f>
        <v>0</v>
      </c>
      <c r="X75" s="19">
        <f>'Value Segment'!S75+'Mid-Market Segment'!S75+'Upper Mid-Market Segment'!S75+'Premium Segment'!S75+'Closures Overlay'!S75+'Disposals Overlay'!S75</f>
        <v>0</v>
      </c>
      <c r="Y75" s="19">
        <f>'Value Segment'!T75+'Mid-Market Segment'!T75+'Upper Mid-Market Segment'!T75+'Premium Segment'!T75+'Closures Overlay'!T75+'Disposals Overlay'!T75</f>
        <v>0</v>
      </c>
      <c r="Z75" s="19">
        <f>'Value Segment'!U75+'Mid-Market Segment'!U75+'Upper Mid-Market Segment'!U75+'Premium Segment'!U75+'Closures Overlay'!U75+'Disposals Overlay'!U75</f>
        <v>0</v>
      </c>
      <c r="AA75" s="19">
        <f>'Value Segment'!V75+'Mid-Market Segment'!V75+'Upper Mid-Market Segment'!V75+'Premium Segment'!V75+'Closures Overlay'!V75+'Disposals Overlay'!V75</f>
        <v>10375982.280759742</v>
      </c>
      <c r="AB75" s="19">
        <f>'Value Segment'!W75+'Mid-Market Segment'!W75+'Upper Mid-Market Segment'!W75+'Premium Segment'!W75+'Closures Overlay'!W75+'Disposals Overlay'!W75</f>
        <v>0</v>
      </c>
      <c r="AC75" s="19">
        <f>'Value Segment'!X75+'Mid-Market Segment'!X75+'Upper Mid-Market Segment'!X75+'Premium Segment'!X75+'Closures Overlay'!X75+'Disposals Overlay'!X75</f>
        <v>0</v>
      </c>
      <c r="AD75" s="19">
        <f>'Value Segment'!Y75+'Mid-Market Segment'!Y75+'Upper Mid-Market Segment'!Y75+'Premium Segment'!Y75+'Closures Overlay'!Y75+'Disposals Overlay'!Y75</f>
        <v>0</v>
      </c>
      <c r="AE75" s="19">
        <f>'Value Segment'!Z75+'Mid-Market Segment'!Z75+'Upper Mid-Market Segment'!Z75+'Premium Segment'!Z75+'Closures Overlay'!Z75+'Disposals Overlay'!Z75</f>
        <v>0</v>
      </c>
      <c r="AF75" s="19">
        <f>'Value Segment'!AA75+'Mid-Market Segment'!AA75+'Upper Mid-Market Segment'!AA75+'Premium Segment'!AA75+'Closures Overlay'!AA75+'Disposals Overlay'!AA75</f>
        <v>0</v>
      </c>
      <c r="AG75" s="19">
        <f>'Value Segment'!AB75+'Mid-Market Segment'!AB75+'Upper Mid-Market Segment'!AB75+'Premium Segment'!AB75+'Closures Overlay'!AB75+'Disposals Overlay'!AB75</f>
        <v>10631282.247810202</v>
      </c>
      <c r="AH75" s="19">
        <f>'Value Segment'!AC75+'Mid-Market Segment'!AC75+'Upper Mid-Market Segment'!AC75+'Premium Segment'!AC75+'Closures Overlay'!AC75+'Disposals Overlay'!AC75</f>
        <v>0</v>
      </c>
      <c r="AI75" s="19">
        <f>'Value Segment'!AD75+'Mid-Market Segment'!AD75+'Upper Mid-Market Segment'!AD75+'Premium Segment'!AD75+'Closures Overlay'!AD75+'Disposals Overlay'!AD75</f>
        <v>0</v>
      </c>
      <c r="AJ75" s="19">
        <f>'Value Segment'!AE75+'Mid-Market Segment'!AE75+'Upper Mid-Market Segment'!AE75+'Premium Segment'!AE75+'Closures Overlay'!AE75+'Disposals Overlay'!AE75</f>
        <v>0</v>
      </c>
      <c r="AK75" s="19">
        <f>'Value Segment'!AF75+'Mid-Market Segment'!AF75+'Upper Mid-Market Segment'!AF75+'Premium Segment'!AF75+'Closures Overlay'!AF75+'Disposals Overlay'!AF75</f>
        <v>0</v>
      </c>
      <c r="AL75" s="19">
        <f>'Value Segment'!AG75+'Mid-Market Segment'!AG75+'Upper Mid-Market Segment'!AG75+'Premium Segment'!AG75+'Closures Overlay'!AG75+'Disposals Overlay'!AG75</f>
        <v>0</v>
      </c>
      <c r="AM75" s="19">
        <f>'Value Segment'!AH75+'Mid-Market Segment'!AH75+'Upper Mid-Market Segment'!AH75+'Premium Segment'!AH75+'Closures Overlay'!AH75+'Disposals Overlay'!AH75</f>
        <v>10987228.590617323</v>
      </c>
      <c r="AN75" s="19">
        <f>'Value Segment'!AI75+'Mid-Market Segment'!AI75+'Upper Mid-Market Segment'!AI75+'Premium Segment'!AI75+'Closures Overlay'!AI75+'Disposals Overlay'!AI75</f>
        <v>0</v>
      </c>
      <c r="AO75" s="19">
        <f>'Value Segment'!AJ75+'Mid-Market Segment'!AJ75+'Upper Mid-Market Segment'!AJ75+'Premium Segment'!AJ75+'Closures Overlay'!AJ75+'Disposals Overlay'!AJ75</f>
        <v>0</v>
      </c>
      <c r="AP75" s="19">
        <f>'Value Segment'!AK75+'Mid-Market Segment'!AK75+'Upper Mid-Market Segment'!AK75+'Premium Segment'!AK75+'Closures Overlay'!AK75+'Disposals Overlay'!AK75</f>
        <v>0</v>
      </c>
      <c r="AQ75" s="19">
        <f>'Value Segment'!AL75+'Mid-Market Segment'!AL75+'Upper Mid-Market Segment'!AL75+'Premium Segment'!AL75+'Closures Overlay'!AL75+'Disposals Overlay'!AL75</f>
        <v>0</v>
      </c>
      <c r="AR75" s="19">
        <f>'Value Segment'!AM75+'Mid-Market Segment'!AM75+'Upper Mid-Market Segment'!AM75+'Premium Segment'!AM75+'Closures Overlay'!AM75+'Disposals Overlay'!AM75</f>
        <v>0</v>
      </c>
      <c r="AS75" s="19">
        <f>'Value Segment'!AN75+'Mid-Market Segment'!AN75+'Upper Mid-Market Segment'!AN75+'Premium Segment'!AN75+'Closures Overlay'!AN75+'Disposals Overlay'!AN75</f>
        <v>11315544.388511732</v>
      </c>
      <c r="AT75" s="19">
        <f>'Value Segment'!AO75+'Mid-Market Segment'!AO75+'Upper Mid-Market Segment'!AO75+'Premium Segment'!AO75+'Closures Overlay'!AO75+'Disposals Overlay'!AO75</f>
        <v>0</v>
      </c>
      <c r="AU75" s="19">
        <f>'Value Segment'!AP75+'Mid-Market Segment'!AP75+'Upper Mid-Market Segment'!AP75+'Premium Segment'!AP75+'Closures Overlay'!AP75+'Disposals Overlay'!AP75</f>
        <v>0</v>
      </c>
      <c r="AV75" s="19">
        <f>'Value Segment'!AQ75+'Mid-Market Segment'!AQ75+'Upper Mid-Market Segment'!AQ75+'Premium Segment'!AQ75+'Closures Overlay'!AQ75+'Disposals Overlay'!AQ75</f>
        <v>0</v>
      </c>
      <c r="AW75" s="19">
        <f>'Value Segment'!AR75+'Mid-Market Segment'!AR75+'Upper Mid-Market Segment'!AR75+'Premium Segment'!AR75+'Closures Overlay'!AR75+'Disposals Overlay'!AR75</f>
        <v>0</v>
      </c>
      <c r="AX75" s="19">
        <f>'Value Segment'!AS75+'Mid-Market Segment'!AS75+'Upper Mid-Market Segment'!AS75+'Premium Segment'!AS75+'Closures Overlay'!AS75+'Disposals Overlay'!AS75</f>
        <v>0</v>
      </c>
      <c r="AY75" s="19">
        <f>'Value Segment'!AT75+'Mid-Market Segment'!AT75+'Upper Mid-Market Segment'!AT75+'Premium Segment'!AT75+'Closures Overlay'!AT75+'Disposals Overlay'!AT75</f>
        <v>11612568.941779938</v>
      </c>
      <c r="AZ75" s="19">
        <f>'Value Segment'!AU75+'Mid-Market Segment'!AU75+'Upper Mid-Market Segment'!AU75+'Premium Segment'!AU75+'Closures Overlay'!AU75+'Disposals Overlay'!AU75</f>
        <v>0</v>
      </c>
      <c r="BA75" s="19">
        <f>'Value Segment'!AV75+'Mid-Market Segment'!AV75+'Upper Mid-Market Segment'!AV75+'Premium Segment'!AV75+'Closures Overlay'!AV75+'Disposals Overlay'!AV75</f>
        <v>0</v>
      </c>
      <c r="BB75" s="19">
        <f>'Value Segment'!AW75+'Mid-Market Segment'!AW75+'Upper Mid-Market Segment'!AW75+'Premium Segment'!AW75+'Closures Overlay'!AW75+'Disposals Overlay'!AW75</f>
        <v>0</v>
      </c>
      <c r="BC75" s="19">
        <f>'Value Segment'!AX75+'Mid-Market Segment'!AX75+'Upper Mid-Market Segment'!AX75+'Premium Segment'!AX75+'Closures Overlay'!AX75+'Disposals Overlay'!AX75</f>
        <v>0</v>
      </c>
      <c r="BD75" s="19">
        <f>'Value Segment'!AY75+'Mid-Market Segment'!AY75+'Upper Mid-Market Segment'!AY75+'Premium Segment'!AY75+'Closures Overlay'!AY75+'Disposals Overlay'!AY75</f>
        <v>0</v>
      </c>
      <c r="BE75" s="19">
        <f>'Value Segment'!AZ75+'Mid-Market Segment'!AZ75+'Upper Mid-Market Segment'!AZ75+'Premium Segment'!AZ75+'Closures Overlay'!AZ75+'Disposals Overlay'!AZ75</f>
        <v>12018803.371073635</v>
      </c>
      <c r="BF75" s="19">
        <f>'Value Segment'!BA75+'Mid-Market Segment'!BA75+'Upper Mid-Market Segment'!BA75+'Premium Segment'!BA75+'Closures Overlay'!BA75+'Disposals Overlay'!BA75</f>
        <v>0</v>
      </c>
      <c r="BG75" s="19">
        <f>'Value Segment'!BB75+'Mid-Market Segment'!BB75+'Upper Mid-Market Segment'!BB75+'Premium Segment'!BB75+'Closures Overlay'!BB75+'Disposals Overlay'!BB75</f>
        <v>0</v>
      </c>
      <c r="BH75" s="19">
        <f>'Value Segment'!BC75+'Mid-Market Segment'!BC75+'Upper Mid-Market Segment'!BC75+'Premium Segment'!BC75+'Closures Overlay'!BC75+'Disposals Overlay'!BC75</f>
        <v>0</v>
      </c>
      <c r="BI75" s="19">
        <f>'Value Segment'!BD75+'Mid-Market Segment'!BD75+'Upper Mid-Market Segment'!BD75+'Premium Segment'!BD75+'Closures Overlay'!BD75+'Disposals Overlay'!BD75</f>
        <v>0</v>
      </c>
      <c r="BJ75" s="19">
        <f>'Value Segment'!BE75+'Mid-Market Segment'!BE75+'Upper Mid-Market Segment'!BE75+'Premium Segment'!BE75+'Closures Overlay'!BE75+'Disposals Overlay'!BE75</f>
        <v>0</v>
      </c>
      <c r="BK75" s="19">
        <f>'Value Segment'!BF75+'Mid-Market Segment'!BF75+'Upper Mid-Market Segment'!BF75+'Premium Segment'!BF75+'Closures Overlay'!BF75+'Disposals Overlay'!BF75</f>
        <v>12249594.537863156</v>
      </c>
      <c r="BL75" s="19">
        <f>'Value Segment'!BG75+'Mid-Market Segment'!BG75+'Upper Mid-Market Segment'!BG75+'Premium Segment'!BG75+'Closures Overlay'!BG75+'Disposals Overlay'!BG75</f>
        <v>0</v>
      </c>
      <c r="BM75" s="19">
        <f>'Value Segment'!BH75+'Mid-Market Segment'!BH75+'Upper Mid-Market Segment'!BH75+'Premium Segment'!BH75+'Closures Overlay'!BH75+'Disposals Overlay'!BH75</f>
        <v>0</v>
      </c>
      <c r="BN75" s="19">
        <f>'Value Segment'!BI75+'Mid-Market Segment'!BI75+'Upper Mid-Market Segment'!BI75+'Premium Segment'!BI75+'Closures Overlay'!BI75+'Disposals Overlay'!BI75</f>
        <v>0</v>
      </c>
      <c r="BO75" s="19">
        <f>'Value Segment'!BJ75+'Mid-Market Segment'!BJ75+'Upper Mid-Market Segment'!BJ75+'Premium Segment'!BJ75+'Closures Overlay'!BJ75+'Disposals Overlay'!BJ75</f>
        <v>0</v>
      </c>
      <c r="BP75" s="19">
        <f>'Value Segment'!BK75+'Mid-Market Segment'!BK75+'Upper Mid-Market Segment'!BK75+'Premium Segment'!BK75+'Closures Overlay'!BK75+'Disposals Overlay'!BK75</f>
        <v>0</v>
      </c>
      <c r="BQ75" s="19">
        <f>'Value Segment'!BL75+'Mid-Market Segment'!BL75+'Upper Mid-Market Segment'!BL75+'Premium Segment'!BL75+'Closures Overlay'!BL75+'Disposals Overlay'!BL75</f>
        <v>12738753.029921256</v>
      </c>
      <c r="BR75" s="19">
        <f>'Value Segment'!BM75+'Mid-Market Segment'!BM75+'Upper Mid-Market Segment'!BM75+'Premium Segment'!BM75+'Closures Overlay'!BM75+'Disposals Overlay'!BM75</f>
        <v>0</v>
      </c>
      <c r="BS75" s="19">
        <f>'Value Segment'!BN75+'Mid-Market Segment'!BN75+'Upper Mid-Market Segment'!BN75+'Premium Segment'!BN75+'Closures Overlay'!BN75+'Disposals Overlay'!BN75</f>
        <v>0</v>
      </c>
      <c r="BT75" s="19">
        <f>'Value Segment'!BO75+'Mid-Market Segment'!BO75+'Upper Mid-Market Segment'!BO75+'Premium Segment'!BO75+'Closures Overlay'!BO75+'Disposals Overlay'!BO75</f>
        <v>0</v>
      </c>
      <c r="BU75" s="19">
        <f>'Value Segment'!BP75+'Mid-Market Segment'!BP75+'Upper Mid-Market Segment'!BP75+'Premium Segment'!BP75+'Closures Overlay'!BP75+'Disposals Overlay'!BP75</f>
        <v>0</v>
      </c>
      <c r="BV75" s="19">
        <f>'Value Segment'!BQ75+'Mid-Market Segment'!BQ75+'Upper Mid-Market Segment'!BQ75+'Premium Segment'!BQ75+'Closures Overlay'!BQ75+'Disposals Overlay'!BQ75</f>
        <v>0</v>
      </c>
      <c r="BW75" s="19">
        <f>'Value Segment'!BR75+'Mid-Market Segment'!BR75+'Upper Mid-Market Segment'!BR75+'Premium Segment'!BR75+'Closures Overlay'!BR75+'Disposals Overlay'!BR75</f>
        <v>12917503.360689906</v>
      </c>
      <c r="BX75" s="19">
        <f>'Value Segment'!BS75+'Mid-Market Segment'!BS75+'Upper Mid-Market Segment'!BS75+'Premium Segment'!BS75+'Closures Overlay'!BS75+'Disposals Overlay'!BS75</f>
        <v>0</v>
      </c>
      <c r="BY75" s="19">
        <f>'Value Segment'!BT75+'Mid-Market Segment'!BT75+'Upper Mid-Market Segment'!BT75+'Premium Segment'!BT75+'Closures Overlay'!BT75+'Disposals Overlay'!BT75</f>
        <v>0</v>
      </c>
      <c r="BZ75" s="19">
        <f>'Value Segment'!BU75+'Mid-Market Segment'!BU75+'Upper Mid-Market Segment'!BU75+'Premium Segment'!BU75+'Closures Overlay'!BU75+'Disposals Overlay'!BU75</f>
        <v>0</v>
      </c>
      <c r="CA75" s="19">
        <f>'Value Segment'!BV75+'Mid-Market Segment'!BV75+'Upper Mid-Market Segment'!BV75+'Premium Segment'!BV75+'Closures Overlay'!BV75+'Disposals Overlay'!BV75</f>
        <v>0</v>
      </c>
      <c r="CB75" s="19">
        <f>'Value Segment'!BW75+'Mid-Market Segment'!BW75+'Upper Mid-Market Segment'!BW75+'Premium Segment'!BW75+'Closures Overlay'!BW75+'Disposals Overlay'!BW75</f>
        <v>0</v>
      </c>
      <c r="CC75" s="19">
        <f>'Value Segment'!BX75+'Mid-Market Segment'!BX75+'Upper Mid-Market Segment'!BX75+'Premium Segment'!BX75+'Closures Overlay'!BX75+'Disposals Overlay'!BX75</f>
        <v>13494835.399071135</v>
      </c>
      <c r="CD75" s="19">
        <f>'Value Segment'!BY75+'Mid-Market Segment'!BY75+'Upper Mid-Market Segment'!BY75+'Premium Segment'!BY75+'Closures Overlay'!BY75+'Disposals Overlay'!BY75</f>
        <v>0</v>
      </c>
    </row>
    <row r="76" spans="1:85" x14ac:dyDescent="0.3">
      <c r="A76" s="7"/>
      <c r="B76" s="1"/>
      <c r="C76" s="2"/>
      <c r="D76" s="2"/>
      <c r="E76" s="2" t="s">
        <v>370</v>
      </c>
      <c r="F76" s="54"/>
      <c r="G76" s="54"/>
      <c r="H76" s="54"/>
      <c r="I76" s="67">
        <v>0</v>
      </c>
      <c r="J76" s="67">
        <v>0</v>
      </c>
      <c r="K76" s="67">
        <v>0</v>
      </c>
      <c r="L76" s="67">
        <v>0</v>
      </c>
      <c r="M76" s="54"/>
      <c r="N76" s="497">
        <f t="shared" ref="N76:S76" si="52">SUMIF($W$2:$CD$2,N$3,$W76:$CD76)</f>
        <v>0</v>
      </c>
      <c r="O76" s="497">
        <f t="shared" si="52"/>
        <v>833333.33333333337</v>
      </c>
      <c r="P76" s="497">
        <f t="shared" si="52"/>
        <v>2500000</v>
      </c>
      <c r="Q76" s="497">
        <f t="shared" si="52"/>
        <v>4166666.666666667</v>
      </c>
      <c r="R76" s="497">
        <f t="shared" si="52"/>
        <v>5000000</v>
      </c>
      <c r="S76" s="497">
        <f t="shared" si="52"/>
        <v>5000000</v>
      </c>
      <c r="T76" s="37"/>
      <c r="U76" s="50">
        <f t="shared" si="45"/>
        <v>0</v>
      </c>
      <c r="W76" s="19">
        <f>'Surplus Land Overlay'!R17</f>
        <v>0</v>
      </c>
      <c r="X76" s="19">
        <f>'Surplus Land Overlay'!S17</f>
        <v>0</v>
      </c>
      <c r="Y76" s="19">
        <f>'Surplus Land Overlay'!T17</f>
        <v>0</v>
      </c>
      <c r="Z76" s="19">
        <f>'Surplus Land Overlay'!U17</f>
        <v>0</v>
      </c>
      <c r="AA76" s="19">
        <f>'Surplus Land Overlay'!V17</f>
        <v>0</v>
      </c>
      <c r="AB76" s="19">
        <f>'Surplus Land Overlay'!W17</f>
        <v>0</v>
      </c>
      <c r="AC76" s="19">
        <f>'Surplus Land Overlay'!X17</f>
        <v>0</v>
      </c>
      <c r="AD76" s="19">
        <f>'Surplus Land Overlay'!Y17</f>
        <v>0</v>
      </c>
      <c r="AE76" s="19">
        <f>'Surplus Land Overlay'!Z17</f>
        <v>0</v>
      </c>
      <c r="AF76" s="19">
        <f>'Surplus Land Overlay'!AA17</f>
        <v>0</v>
      </c>
      <c r="AG76" s="19">
        <f>'Surplus Land Overlay'!AB17</f>
        <v>833333.33333333337</v>
      </c>
      <c r="AH76" s="19">
        <f>'Surplus Land Overlay'!AC17</f>
        <v>0</v>
      </c>
      <c r="AI76" s="19">
        <f>'Surplus Land Overlay'!AD17</f>
        <v>0</v>
      </c>
      <c r="AJ76" s="19">
        <f>'Surplus Land Overlay'!AE17</f>
        <v>0</v>
      </c>
      <c r="AK76" s="19">
        <f>'Surplus Land Overlay'!AF17</f>
        <v>0</v>
      </c>
      <c r="AL76" s="19">
        <f>'Surplus Land Overlay'!AG17</f>
        <v>0</v>
      </c>
      <c r="AM76" s="19">
        <f>'Surplus Land Overlay'!AH17</f>
        <v>833333.33333333337</v>
      </c>
      <c r="AN76" s="19">
        <f>'Surplus Land Overlay'!AI17</f>
        <v>0</v>
      </c>
      <c r="AO76" s="19">
        <f>'Surplus Land Overlay'!AJ17</f>
        <v>0</v>
      </c>
      <c r="AP76" s="19">
        <f>'Surplus Land Overlay'!AK17</f>
        <v>0</v>
      </c>
      <c r="AQ76" s="19">
        <f>'Surplus Land Overlay'!AL17</f>
        <v>0</v>
      </c>
      <c r="AR76" s="19">
        <f>'Surplus Land Overlay'!AM17</f>
        <v>0</v>
      </c>
      <c r="AS76" s="19">
        <f>'Surplus Land Overlay'!AN17</f>
        <v>1666666.6666666667</v>
      </c>
      <c r="AT76" s="19">
        <f>'Surplus Land Overlay'!AO17</f>
        <v>0</v>
      </c>
      <c r="AU76" s="19">
        <f>'Surplus Land Overlay'!AP17</f>
        <v>0</v>
      </c>
      <c r="AV76" s="19">
        <f>'Surplus Land Overlay'!AQ17</f>
        <v>0</v>
      </c>
      <c r="AW76" s="19">
        <f>'Surplus Land Overlay'!AR17</f>
        <v>0</v>
      </c>
      <c r="AX76" s="19">
        <f>'Surplus Land Overlay'!AS17</f>
        <v>0</v>
      </c>
      <c r="AY76" s="19">
        <f>'Surplus Land Overlay'!AT17</f>
        <v>1666666.6666666667</v>
      </c>
      <c r="AZ76" s="19">
        <f>'Surplus Land Overlay'!AU17</f>
        <v>0</v>
      </c>
      <c r="BA76" s="19">
        <f>'Surplus Land Overlay'!AV17</f>
        <v>0</v>
      </c>
      <c r="BB76" s="19">
        <f>'Surplus Land Overlay'!AW17</f>
        <v>0</v>
      </c>
      <c r="BC76" s="19">
        <f>'Surplus Land Overlay'!AX17</f>
        <v>0</v>
      </c>
      <c r="BD76" s="19">
        <f>'Surplus Land Overlay'!AY17</f>
        <v>0</v>
      </c>
      <c r="BE76" s="19">
        <f>'Surplus Land Overlay'!AZ17</f>
        <v>2500000</v>
      </c>
      <c r="BF76" s="19">
        <f>'Surplus Land Overlay'!BA17</f>
        <v>0</v>
      </c>
      <c r="BG76" s="19">
        <f>'Surplus Land Overlay'!BB17</f>
        <v>0</v>
      </c>
      <c r="BH76" s="19">
        <f>'Surplus Land Overlay'!BC17</f>
        <v>0</v>
      </c>
      <c r="BI76" s="19">
        <f>'Surplus Land Overlay'!BD17</f>
        <v>0</v>
      </c>
      <c r="BJ76" s="19">
        <f>'Surplus Land Overlay'!BE17</f>
        <v>0</v>
      </c>
      <c r="BK76" s="19">
        <f>'Surplus Land Overlay'!BF17</f>
        <v>2500000</v>
      </c>
      <c r="BL76" s="19">
        <f>'Surplus Land Overlay'!BG17</f>
        <v>0</v>
      </c>
      <c r="BM76" s="19">
        <f>'Surplus Land Overlay'!BH17</f>
        <v>0</v>
      </c>
      <c r="BN76" s="19">
        <f>'Surplus Land Overlay'!BI17</f>
        <v>0</v>
      </c>
      <c r="BO76" s="19">
        <f>'Surplus Land Overlay'!BJ17</f>
        <v>0</v>
      </c>
      <c r="BP76" s="19">
        <f>'Surplus Land Overlay'!BK17</f>
        <v>0</v>
      </c>
      <c r="BQ76" s="19">
        <f>'Surplus Land Overlay'!BL17</f>
        <v>2500000</v>
      </c>
      <c r="BR76" s="19">
        <f>'Surplus Land Overlay'!BM17</f>
        <v>0</v>
      </c>
      <c r="BS76" s="19">
        <f>'Surplus Land Overlay'!BN17</f>
        <v>0</v>
      </c>
      <c r="BT76" s="19">
        <f>'Surplus Land Overlay'!BO17</f>
        <v>0</v>
      </c>
      <c r="BU76" s="19">
        <f>'Surplus Land Overlay'!BP17</f>
        <v>0</v>
      </c>
      <c r="BV76" s="19">
        <f>'Surplus Land Overlay'!BQ17</f>
        <v>0</v>
      </c>
      <c r="BW76" s="19">
        <f>'Surplus Land Overlay'!BR17</f>
        <v>2500000</v>
      </c>
      <c r="BX76" s="19">
        <f>'Surplus Land Overlay'!BS17</f>
        <v>0</v>
      </c>
      <c r="BY76" s="19">
        <f>'Surplus Land Overlay'!BT17</f>
        <v>0</v>
      </c>
      <c r="BZ76" s="19">
        <f>'Surplus Land Overlay'!BU17</f>
        <v>0</v>
      </c>
      <c r="CA76" s="19">
        <f>'Surplus Land Overlay'!BV17</f>
        <v>0</v>
      </c>
      <c r="CB76" s="19">
        <f>'Surplus Land Overlay'!BW17</f>
        <v>0</v>
      </c>
      <c r="CC76" s="19">
        <f>'Surplus Land Overlay'!BX17</f>
        <v>2500000</v>
      </c>
      <c r="CD76" s="19">
        <f>'Surplus Land Overlay'!BY17</f>
        <v>0</v>
      </c>
    </row>
    <row r="77" spans="1:85" x14ac:dyDescent="0.3">
      <c r="A77" s="7"/>
      <c r="B77" s="1"/>
      <c r="C77" s="2"/>
      <c r="D77" s="2"/>
      <c r="E77" s="62" t="s">
        <v>71</v>
      </c>
      <c r="F77" s="63"/>
      <c r="G77" s="63"/>
      <c r="H77" s="63"/>
      <c r="I77" s="502">
        <f>I71+SUM(I74:I76)</f>
        <v>19304686.120000012</v>
      </c>
      <c r="J77" s="502">
        <f>J71+SUM(J74:J76)</f>
        <v>20058353.590000007</v>
      </c>
      <c r="K77" s="502">
        <f>K71+SUM(K74:K76)</f>
        <v>21433804.130000003</v>
      </c>
      <c r="L77" s="502">
        <f>L71+SUM(L74:L76)</f>
        <v>20978587.762307674</v>
      </c>
      <c r="M77" s="63"/>
      <c r="N77" s="502">
        <f t="shared" ref="N77:S77" si="53">N71+SUM(N74:N76)</f>
        <v>20965370.854802206</v>
      </c>
      <c r="O77" s="502">
        <f t="shared" si="53"/>
        <v>44253019.623990372</v>
      </c>
      <c r="P77" s="502">
        <f t="shared" si="53"/>
        <v>47534057.624878891</v>
      </c>
      <c r="Q77" s="502">
        <f t="shared" si="53"/>
        <v>50711111.70917213</v>
      </c>
      <c r="R77" s="502">
        <f t="shared" si="53"/>
        <v>52933345.792177305</v>
      </c>
      <c r="S77" s="502">
        <f t="shared" si="53"/>
        <v>54269596.709236406</v>
      </c>
      <c r="T77" s="57"/>
      <c r="U77" s="55">
        <f t="shared" si="45"/>
        <v>0.20951374769433473</v>
      </c>
      <c r="W77" s="502">
        <f t="shared" ref="W77:BB77" si="54">W71+SUM(W74:W76)</f>
        <v>2008018.0505279195</v>
      </c>
      <c r="X77" s="502">
        <f t="shared" si="54"/>
        <v>2008018.0505279195</v>
      </c>
      <c r="Y77" s="502">
        <f t="shared" si="54"/>
        <v>2008018.0505279195</v>
      </c>
      <c r="Z77" s="502">
        <f t="shared" si="54"/>
        <v>2008018.0505279195</v>
      </c>
      <c r="AA77" s="502">
        <f t="shared" si="54"/>
        <v>12384000.331287662</v>
      </c>
      <c r="AB77" s="502">
        <f t="shared" si="54"/>
        <v>355257.74797473219</v>
      </c>
      <c r="AC77" s="502">
        <f t="shared" si="54"/>
        <v>2012249.2825336016</v>
      </c>
      <c r="AD77" s="502">
        <f t="shared" si="54"/>
        <v>2012249.2825336016</v>
      </c>
      <c r="AE77" s="502">
        <f t="shared" si="54"/>
        <v>2012249.2825336016</v>
      </c>
      <c r="AF77" s="502">
        <f t="shared" si="54"/>
        <v>2012249.2825336016</v>
      </c>
      <c r="AG77" s="502">
        <f t="shared" si="54"/>
        <v>13476864.863677137</v>
      </c>
      <c r="AH77" s="502">
        <f t="shared" si="54"/>
        <v>1955827.3488047572</v>
      </c>
      <c r="AI77" s="502">
        <f t="shared" si="54"/>
        <v>2026395.6818653378</v>
      </c>
      <c r="AJ77" s="502">
        <f t="shared" si="54"/>
        <v>2026395.6818653378</v>
      </c>
      <c r="AK77" s="502">
        <f t="shared" si="54"/>
        <v>2026395.6818653378</v>
      </c>
      <c r="AL77" s="502">
        <f t="shared" si="54"/>
        <v>2026395.6818653378</v>
      </c>
      <c r="AM77" s="502">
        <f t="shared" si="54"/>
        <v>13846957.605815995</v>
      </c>
      <c r="AN77" s="502">
        <f t="shared" si="54"/>
        <v>421836.66079139686</v>
      </c>
      <c r="AO77" s="502">
        <f t="shared" si="54"/>
        <v>2039668.1885387665</v>
      </c>
      <c r="AP77" s="502">
        <f t="shared" si="54"/>
        <v>2039668.1885387665</v>
      </c>
      <c r="AQ77" s="502">
        <f t="shared" si="54"/>
        <v>2039668.1885387665</v>
      </c>
      <c r="AR77" s="502">
        <f t="shared" si="54"/>
        <v>2039668.1885387665</v>
      </c>
      <c r="AS77" s="502">
        <f t="shared" si="54"/>
        <v>15021879.243717164</v>
      </c>
      <c r="AT77" s="502">
        <f t="shared" si="54"/>
        <v>1979128.6329379086</v>
      </c>
      <c r="AU77" s="502">
        <f t="shared" si="54"/>
        <v>2033365.0944522214</v>
      </c>
      <c r="AV77" s="502">
        <f t="shared" si="54"/>
        <v>2033365.0944522214</v>
      </c>
      <c r="AW77" s="502">
        <f t="shared" si="54"/>
        <v>2033365.0944522214</v>
      </c>
      <c r="AX77" s="502">
        <f t="shared" si="54"/>
        <v>2033365.0944522214</v>
      </c>
      <c r="AY77" s="502">
        <f t="shared" si="54"/>
        <v>15312600.702898825</v>
      </c>
      <c r="AZ77" s="502">
        <f t="shared" si="54"/>
        <v>482653.32369065494</v>
      </c>
      <c r="BA77" s="502">
        <f t="shared" si="54"/>
        <v>2054729.5645652993</v>
      </c>
      <c r="BB77" s="502">
        <f t="shared" si="54"/>
        <v>2054729.5645652993</v>
      </c>
      <c r="BC77" s="502">
        <f t="shared" ref="BC77:CD77" si="55">BC71+SUM(BC74:BC76)</f>
        <v>2054729.5645652993</v>
      </c>
      <c r="BD77" s="502">
        <f t="shared" si="55"/>
        <v>2054729.5645652993</v>
      </c>
      <c r="BE77" s="502">
        <f t="shared" si="55"/>
        <v>16573532.935638934</v>
      </c>
      <c r="BF77" s="502">
        <f t="shared" si="55"/>
        <v>1989946.1108736286</v>
      </c>
      <c r="BG77" s="502">
        <f t="shared" si="55"/>
        <v>2027926.446951993</v>
      </c>
      <c r="BH77" s="502">
        <f t="shared" si="55"/>
        <v>2027926.446951993</v>
      </c>
      <c r="BI77" s="502">
        <f t="shared" si="55"/>
        <v>2027926.446951993</v>
      </c>
      <c r="BJ77" s="502">
        <f t="shared" si="55"/>
        <v>2027926.446951993</v>
      </c>
      <c r="BK77" s="502">
        <f t="shared" si="55"/>
        <v>16777520.98481515</v>
      </c>
      <c r="BL77" s="502">
        <f t="shared" si="55"/>
        <v>536827.73074989417</v>
      </c>
      <c r="BM77" s="502">
        <f t="shared" si="55"/>
        <v>2056279.7563573695</v>
      </c>
      <c r="BN77" s="502">
        <f t="shared" si="55"/>
        <v>2056279.7563573695</v>
      </c>
      <c r="BO77" s="502">
        <f t="shared" si="55"/>
        <v>2056279.7563573695</v>
      </c>
      <c r="BP77" s="502">
        <f t="shared" si="55"/>
        <v>2056279.7563573695</v>
      </c>
      <c r="BQ77" s="502">
        <f t="shared" si="55"/>
        <v>17295032.786278624</v>
      </c>
      <c r="BR77" s="502">
        <f t="shared" si="55"/>
        <v>1987139.4770961879</v>
      </c>
      <c r="BS77" s="502">
        <f t="shared" si="55"/>
        <v>2012831.8349635939</v>
      </c>
      <c r="BT77" s="502">
        <f t="shared" si="55"/>
        <v>2012831.8349635939</v>
      </c>
      <c r="BU77" s="502">
        <f t="shared" si="55"/>
        <v>2012831.8349635939</v>
      </c>
      <c r="BV77" s="502">
        <f t="shared" si="55"/>
        <v>2012831.8349635939</v>
      </c>
      <c r="BW77" s="502">
        <f t="shared" si="55"/>
        <v>17430335.195653502</v>
      </c>
      <c r="BX77" s="502">
        <f t="shared" si="55"/>
        <v>585958.64760432788</v>
      </c>
      <c r="BY77" s="502">
        <f t="shared" si="55"/>
        <v>2046810.7147525295</v>
      </c>
      <c r="BZ77" s="502">
        <f t="shared" si="55"/>
        <v>2046810.7147525295</v>
      </c>
      <c r="CA77" s="502">
        <f t="shared" si="55"/>
        <v>2046810.7147525295</v>
      </c>
      <c r="CB77" s="502">
        <f t="shared" si="55"/>
        <v>2046810.7147525295</v>
      </c>
      <c r="CC77" s="502">
        <f t="shared" si="55"/>
        <v>18041646.113823663</v>
      </c>
      <c r="CD77" s="502">
        <f t="shared" si="55"/>
        <v>1973086.5532904211</v>
      </c>
    </row>
    <row r="78" spans="1:85" x14ac:dyDescent="0.3">
      <c r="A78" s="7"/>
      <c r="B78" s="1"/>
      <c r="C78" s="2"/>
      <c r="D78" s="2"/>
      <c r="E78" s="22"/>
      <c r="F78" s="68"/>
      <c r="G78" s="68"/>
      <c r="H78" s="68"/>
      <c r="I78" s="68"/>
      <c r="J78" s="68"/>
      <c r="K78" s="68"/>
      <c r="L78" s="68"/>
      <c r="M78" s="68"/>
      <c r="N78" s="57"/>
      <c r="O78" s="57"/>
      <c r="P78" s="57"/>
      <c r="Q78" s="57"/>
      <c r="R78" s="57"/>
      <c r="S78" s="57"/>
      <c r="T78" s="57"/>
      <c r="U78" s="69"/>
      <c r="W78" s="57"/>
      <c r="X78" s="57"/>
      <c r="Y78" s="57"/>
      <c r="Z78" s="57"/>
      <c r="AA78" s="57"/>
      <c r="AB78" s="57"/>
      <c r="AC78" s="57"/>
      <c r="AD78" s="57"/>
      <c r="AE78" s="57"/>
      <c r="AF78" s="57"/>
      <c r="AG78" s="57"/>
      <c r="AH78" s="57"/>
      <c r="AI78" s="57"/>
      <c r="AJ78" s="57"/>
      <c r="AK78" s="57"/>
      <c r="AL78" s="57"/>
      <c r="AM78" s="57"/>
      <c r="AN78" s="57"/>
      <c r="AO78" s="57"/>
      <c r="AP78" s="57"/>
      <c r="AQ78" s="57"/>
      <c r="AR78" s="57"/>
      <c r="AS78" s="57"/>
      <c r="AT78" s="57"/>
      <c r="AU78" s="57"/>
      <c r="AV78" s="57"/>
      <c r="AW78" s="57"/>
      <c r="AX78" s="57"/>
      <c r="AY78" s="57"/>
      <c r="AZ78" s="57"/>
      <c r="BA78" s="57"/>
      <c r="BB78" s="57"/>
      <c r="BC78" s="57"/>
      <c r="BD78" s="57"/>
      <c r="BE78" s="57"/>
      <c r="BF78" s="57"/>
      <c r="BG78" s="57"/>
      <c r="BH78" s="57"/>
      <c r="BI78" s="57"/>
      <c r="BJ78" s="57"/>
      <c r="BK78" s="57"/>
      <c r="BL78" s="57"/>
      <c r="BM78" s="57"/>
      <c r="BN78" s="57"/>
      <c r="BO78" s="57"/>
      <c r="BP78" s="57"/>
      <c r="BQ78" s="57"/>
      <c r="BR78" s="57"/>
      <c r="BS78" s="57"/>
      <c r="BT78" s="57"/>
      <c r="BU78" s="57"/>
      <c r="BV78" s="57"/>
      <c r="BW78" s="57"/>
      <c r="BX78" s="57"/>
      <c r="BY78" s="57"/>
      <c r="BZ78" s="57"/>
      <c r="CA78" s="57"/>
      <c r="CB78" s="57"/>
      <c r="CC78" s="57"/>
      <c r="CD78" s="57"/>
    </row>
    <row r="79" spans="1:85" ht="12.75" customHeight="1" x14ac:dyDescent="0.3">
      <c r="A79" s="7"/>
      <c r="B79" s="1"/>
      <c r="C79" s="48" t="s">
        <v>37</v>
      </c>
      <c r="D79" s="88"/>
      <c r="E79" s="49" t="s">
        <v>233</v>
      </c>
      <c r="F79" s="49"/>
      <c r="G79" s="49"/>
      <c r="H79" s="49"/>
      <c r="I79" s="49"/>
      <c r="J79" s="49"/>
      <c r="K79" s="49"/>
      <c r="L79" s="49"/>
      <c r="M79" s="49"/>
      <c r="N79" s="49"/>
      <c r="O79" s="49"/>
      <c r="P79" s="49"/>
      <c r="Q79" s="49"/>
      <c r="R79" s="49"/>
      <c r="S79" s="49"/>
      <c r="T79" s="49"/>
      <c r="U79" s="48"/>
      <c r="V79" s="49"/>
      <c r="W79" s="49"/>
      <c r="X79" s="49"/>
      <c r="Y79" s="49"/>
      <c r="Z79" s="49"/>
      <c r="AA79" s="49"/>
      <c r="AB79" s="49"/>
      <c r="AC79" s="49"/>
      <c r="AD79" s="49"/>
      <c r="AE79" s="49"/>
      <c r="AF79" s="49"/>
      <c r="AG79" s="49"/>
      <c r="AH79" s="49"/>
      <c r="AI79" s="49"/>
      <c r="AJ79" s="49"/>
      <c r="AK79" s="49"/>
      <c r="AL79" s="49"/>
      <c r="AM79" s="49"/>
      <c r="AN79" s="49"/>
      <c r="AO79" s="49"/>
      <c r="AP79" s="49"/>
      <c r="AQ79" s="49"/>
      <c r="AR79" s="49"/>
      <c r="AS79" s="49"/>
      <c r="AT79" s="49"/>
      <c r="AU79" s="49"/>
      <c r="AV79" s="49"/>
      <c r="AW79" s="49"/>
      <c r="AX79" s="49"/>
      <c r="AY79" s="49"/>
      <c r="AZ79" s="49"/>
      <c r="BA79" s="49"/>
      <c r="BB79" s="49"/>
      <c r="BC79" s="49"/>
      <c r="BD79" s="49"/>
      <c r="BE79" s="49"/>
      <c r="BF79" s="49"/>
      <c r="BG79" s="49"/>
      <c r="BH79" s="49"/>
      <c r="BI79" s="49"/>
      <c r="BJ79" s="49"/>
      <c r="BK79" s="49"/>
      <c r="BL79" s="49"/>
      <c r="BM79" s="49"/>
      <c r="BN79" s="49"/>
      <c r="BO79" s="49"/>
      <c r="BP79" s="49"/>
      <c r="BQ79" s="49"/>
      <c r="BR79" s="49"/>
      <c r="BS79" s="49"/>
      <c r="BT79" s="49"/>
      <c r="BU79" s="49"/>
      <c r="BV79" s="49"/>
      <c r="BW79" s="49"/>
      <c r="BX79" s="49"/>
      <c r="BY79" s="49"/>
      <c r="BZ79" s="49"/>
      <c r="CA79" s="49"/>
      <c r="CB79" s="49"/>
      <c r="CC79" s="49"/>
      <c r="CD79" s="49"/>
    </row>
    <row r="81" spans="1:85" x14ac:dyDescent="0.3">
      <c r="A81" s="7"/>
      <c r="B81" s="1"/>
      <c r="C81" s="2"/>
      <c r="D81" s="2"/>
      <c r="E81" s="22" t="s">
        <v>373</v>
      </c>
      <c r="F81" s="54"/>
      <c r="G81" s="54"/>
      <c r="H81" s="54"/>
      <c r="I81" s="497">
        <f>I19/I$9</f>
        <v>156.10467532467527</v>
      </c>
      <c r="J81" s="497">
        <f>J19/J$9</f>
        <v>152.45750974025978</v>
      </c>
      <c r="K81" s="497">
        <f>K19/K$9</f>
        <v>146.5844285714285</v>
      </c>
      <c r="L81" s="497">
        <f>L19/L$9</f>
        <v>144.69096103896115</v>
      </c>
      <c r="M81" s="54"/>
      <c r="N81" s="497">
        <f>IFERROR(N19/N$9,0)</f>
        <v>149.90785680558915</v>
      </c>
      <c r="O81" s="497">
        <f>SUMIF($W$2:$CD$2,O$3,$W81:$CD81)</f>
        <v>151.59233184578869</v>
      </c>
      <c r="P81" s="497">
        <f>SUMIF($W$2:$CD$2,P$3,$W81:$CD81)</f>
        <v>154.32798704638392</v>
      </c>
      <c r="Q81" s="497">
        <f>SUMIF($W$2:$CD$2,Q$3,$W81:$CD81)</f>
        <v>156.99066004835356</v>
      </c>
      <c r="R81" s="497">
        <f>SUMIF($W$2:$CD$2,R$3,$W81:$CD81)</f>
        <v>159.71866850508582</v>
      </c>
      <c r="S81" s="497">
        <f>SUMIF($W$2:$CD$2,S$3,$W81:$CD81)</f>
        <v>162.4452771115605</v>
      </c>
      <c r="T81" s="37"/>
      <c r="U81" s="55">
        <f>IFERROR(((S81/N81)^(1/5))-1,0)</f>
        <v>1.6193795213380824E-2</v>
      </c>
      <c r="V81" s="37"/>
      <c r="W81" s="497">
        <f t="shared" ref="W81:BB81" si="56">IFERROR(W19/W$9,0)</f>
        <v>12.492321400465759</v>
      </c>
      <c r="X81" s="497">
        <f t="shared" si="56"/>
        <v>12.492321400465759</v>
      </c>
      <c r="Y81" s="497">
        <f t="shared" si="56"/>
        <v>12.492321400465759</v>
      </c>
      <c r="Z81" s="497">
        <f t="shared" si="56"/>
        <v>12.492321400465759</v>
      </c>
      <c r="AA81" s="497">
        <f t="shared" si="56"/>
        <v>12.492321400465759</v>
      </c>
      <c r="AB81" s="497">
        <f t="shared" si="56"/>
        <v>12.481142589369146</v>
      </c>
      <c r="AC81" s="497">
        <f t="shared" si="56"/>
        <v>12.776942175740958</v>
      </c>
      <c r="AD81" s="497">
        <f t="shared" si="56"/>
        <v>12.776942175740958</v>
      </c>
      <c r="AE81" s="497">
        <f t="shared" si="56"/>
        <v>12.776942175740958</v>
      </c>
      <c r="AF81" s="497">
        <f t="shared" si="56"/>
        <v>12.776942175740958</v>
      </c>
      <c r="AG81" s="497">
        <f t="shared" si="56"/>
        <v>12.776942175740958</v>
      </c>
      <c r="AH81" s="497">
        <f t="shared" si="56"/>
        <v>12.764871375385983</v>
      </c>
      <c r="AI81" s="497">
        <f t="shared" si="56"/>
        <v>12.688678628125501</v>
      </c>
      <c r="AJ81" s="497">
        <f t="shared" si="56"/>
        <v>12.688678628125501</v>
      </c>
      <c r="AK81" s="497">
        <f t="shared" si="56"/>
        <v>12.688678628125501</v>
      </c>
      <c r="AL81" s="497">
        <f t="shared" si="56"/>
        <v>12.688678628125501</v>
      </c>
      <c r="AM81" s="497">
        <f t="shared" si="56"/>
        <v>12.688678628125501</v>
      </c>
      <c r="AN81" s="497">
        <f t="shared" si="56"/>
        <v>12.676003891707436</v>
      </c>
      <c r="AO81" s="497">
        <f t="shared" si="56"/>
        <v>13.037063578380565</v>
      </c>
      <c r="AP81" s="497">
        <f t="shared" si="56"/>
        <v>13.037063578380565</v>
      </c>
      <c r="AQ81" s="497">
        <f t="shared" si="56"/>
        <v>13.037063578380565</v>
      </c>
      <c r="AR81" s="497">
        <f t="shared" si="56"/>
        <v>13.037063578380565</v>
      </c>
      <c r="AS81" s="497">
        <f t="shared" si="56"/>
        <v>13.037063578380565</v>
      </c>
      <c r="AT81" s="497">
        <f t="shared" si="56"/>
        <v>13.023272122146162</v>
      </c>
      <c r="AU81" s="497">
        <f t="shared" si="56"/>
        <v>12.879791104544809</v>
      </c>
      <c r="AV81" s="497">
        <f t="shared" si="56"/>
        <v>12.879791104544809</v>
      </c>
      <c r="AW81" s="497">
        <f t="shared" si="56"/>
        <v>12.879791104544809</v>
      </c>
      <c r="AX81" s="497">
        <f t="shared" si="56"/>
        <v>12.879791104544809</v>
      </c>
      <c r="AY81" s="497">
        <f t="shared" si="56"/>
        <v>12.879791104544809</v>
      </c>
      <c r="AZ81" s="497">
        <f t="shared" si="56"/>
        <v>12.865337293407398</v>
      </c>
      <c r="BA81" s="497">
        <f t="shared" si="56"/>
        <v>13.290369567439015</v>
      </c>
      <c r="BB81" s="497">
        <f t="shared" si="56"/>
        <v>13.290369567439015</v>
      </c>
      <c r="BC81" s="497">
        <f t="shared" ref="BC81:CD81" si="57">IFERROR(BC19/BC$9,0)</f>
        <v>13.290369567439015</v>
      </c>
      <c r="BD81" s="497">
        <f t="shared" si="57"/>
        <v>13.290369567439015</v>
      </c>
      <c r="BE81" s="497">
        <f t="shared" si="57"/>
        <v>13.290369567439015</v>
      </c>
      <c r="BF81" s="497">
        <f t="shared" si="57"/>
        <v>13.274519395027042</v>
      </c>
      <c r="BG81" s="497">
        <f t="shared" si="57"/>
        <v>13.077071715607806</v>
      </c>
      <c r="BH81" s="497">
        <f t="shared" si="57"/>
        <v>13.077071715607806</v>
      </c>
      <c r="BI81" s="497">
        <f t="shared" si="57"/>
        <v>13.077071715607806</v>
      </c>
      <c r="BJ81" s="497">
        <f t="shared" si="57"/>
        <v>13.077071715607806</v>
      </c>
      <c r="BK81" s="497">
        <f t="shared" si="57"/>
        <v>13.077071715607806</v>
      </c>
      <c r="BL81" s="497">
        <f t="shared" si="57"/>
        <v>13.060465910254653</v>
      </c>
      <c r="BM81" s="497">
        <f t="shared" si="57"/>
        <v>13.548533329296749</v>
      </c>
      <c r="BN81" s="497">
        <f t="shared" si="57"/>
        <v>13.548533329296749</v>
      </c>
      <c r="BO81" s="497">
        <f t="shared" si="57"/>
        <v>13.548533329296749</v>
      </c>
      <c r="BP81" s="497">
        <f t="shared" si="57"/>
        <v>13.548533329296749</v>
      </c>
      <c r="BQ81" s="497">
        <f t="shared" si="57"/>
        <v>13.548533329296749</v>
      </c>
      <c r="BR81" s="497">
        <f t="shared" si="57"/>
        <v>13.530177370308405</v>
      </c>
      <c r="BS81" s="497">
        <f t="shared" si="57"/>
        <v>13.275421188318706</v>
      </c>
      <c r="BT81" s="497">
        <f t="shared" si="57"/>
        <v>13.275421188318706</v>
      </c>
      <c r="BU81" s="497">
        <f t="shared" si="57"/>
        <v>13.275421188318706</v>
      </c>
      <c r="BV81" s="497">
        <f t="shared" si="57"/>
        <v>13.275421188318706</v>
      </c>
      <c r="BW81" s="497">
        <f t="shared" si="57"/>
        <v>13.275421188318706</v>
      </c>
      <c r="BX81" s="497">
        <f t="shared" si="57"/>
        <v>13.256189808935368</v>
      </c>
      <c r="BY81" s="497">
        <f t="shared" si="57"/>
        <v>13.805569208675962</v>
      </c>
      <c r="BZ81" s="497">
        <f t="shared" si="57"/>
        <v>13.805569208675962</v>
      </c>
      <c r="CA81" s="497">
        <f t="shared" si="57"/>
        <v>13.805569208675962</v>
      </c>
      <c r="CB81" s="497">
        <f t="shared" si="57"/>
        <v>13.805569208675962</v>
      </c>
      <c r="CC81" s="497">
        <f t="shared" si="57"/>
        <v>13.805569208675962</v>
      </c>
      <c r="CD81" s="497">
        <f t="shared" si="57"/>
        <v>13.784135317651781</v>
      </c>
    </row>
    <row r="82" spans="1:85" x14ac:dyDescent="0.3">
      <c r="A82" s="7"/>
      <c r="B82" s="1"/>
      <c r="C82" s="2"/>
      <c r="D82" s="2"/>
      <c r="E82" s="2"/>
      <c r="F82" s="37"/>
      <c r="G82" s="37"/>
      <c r="H82" s="37"/>
      <c r="M82" s="37"/>
      <c r="O82" s="37"/>
      <c r="P82" s="37"/>
      <c r="Q82" s="37"/>
      <c r="R82" s="37"/>
      <c r="S82" s="37"/>
      <c r="T82" s="37"/>
      <c r="U82" s="35"/>
      <c r="W82" s="37"/>
      <c r="X82" s="37"/>
      <c r="Y82" s="37"/>
      <c r="Z82" s="37"/>
      <c r="AA82" s="37"/>
      <c r="AB82" s="37"/>
      <c r="AC82" s="37"/>
      <c r="AD82" s="37"/>
      <c r="AE82" s="37"/>
      <c r="AF82" s="37"/>
      <c r="AG82" s="37"/>
      <c r="AH82" s="37"/>
      <c r="AI82" s="37"/>
      <c r="AJ82" s="37"/>
      <c r="AK82" s="37"/>
      <c r="AL82" s="37"/>
      <c r="AM82" s="37"/>
      <c r="AN82" s="37"/>
      <c r="AO82" s="37"/>
      <c r="AP82" s="37"/>
      <c r="AQ82" s="37"/>
      <c r="AR82" s="37"/>
      <c r="AS82" s="37"/>
      <c r="AT82" s="37"/>
      <c r="AU82" s="37"/>
      <c r="AV82" s="37"/>
      <c r="AW82" s="37"/>
      <c r="AX82" s="37"/>
      <c r="AY82" s="37"/>
      <c r="AZ82" s="37"/>
      <c r="BA82" s="37"/>
      <c r="BB82" s="37"/>
      <c r="BC82" s="37"/>
      <c r="BD82" s="37"/>
      <c r="BE82" s="37"/>
      <c r="BF82" s="37"/>
      <c r="BG82" s="37"/>
      <c r="BH82" s="37"/>
      <c r="BI82" s="37"/>
      <c r="BJ82" s="37"/>
      <c r="BK82" s="37"/>
      <c r="BL82" s="37"/>
      <c r="BM82" s="37"/>
      <c r="BN82" s="37"/>
      <c r="BO82" s="37"/>
      <c r="BP82" s="37"/>
      <c r="BQ82" s="37"/>
      <c r="BR82" s="37"/>
      <c r="BS82" s="37"/>
      <c r="BT82" s="37"/>
      <c r="BU82" s="37"/>
      <c r="BV82" s="37"/>
      <c r="BW82" s="37"/>
      <c r="BX82" s="37"/>
      <c r="BY82" s="37"/>
      <c r="BZ82" s="37"/>
      <c r="CA82" s="37"/>
      <c r="CB82" s="37"/>
      <c r="CC82" s="37"/>
      <c r="CD82" s="37"/>
    </row>
    <row r="83" spans="1:85" x14ac:dyDescent="0.3">
      <c r="A83" s="7"/>
      <c r="B83" s="1"/>
      <c r="C83" s="2"/>
      <c r="D83" s="2"/>
      <c r="E83" s="17" t="s">
        <v>22</v>
      </c>
      <c r="F83" s="37"/>
      <c r="G83" s="37"/>
      <c r="H83" s="37"/>
      <c r="I83" s="56"/>
      <c r="J83" s="56"/>
      <c r="K83" s="56"/>
      <c r="L83" s="56"/>
      <c r="M83" s="37"/>
      <c r="N83" s="56"/>
      <c r="O83" s="56"/>
      <c r="P83" s="56"/>
      <c r="Q83" s="56"/>
      <c r="R83" s="56"/>
      <c r="S83" s="56"/>
      <c r="T83" s="37"/>
      <c r="U83" s="35"/>
      <c r="W83" s="37"/>
      <c r="X83" s="37"/>
      <c r="Y83" s="37"/>
      <c r="Z83" s="37"/>
      <c r="AA83" s="37"/>
      <c r="AB83" s="37"/>
      <c r="AC83" s="37"/>
      <c r="AD83" s="37"/>
      <c r="AE83" s="37"/>
      <c r="AF83" s="37"/>
      <c r="AG83" s="37"/>
      <c r="AH83" s="37"/>
      <c r="AI83" s="37"/>
      <c r="AJ83" s="37"/>
      <c r="AK83" s="37"/>
      <c r="AL83" s="37"/>
      <c r="AM83" s="37"/>
      <c r="AN83" s="37"/>
      <c r="AO83" s="37"/>
      <c r="AP83" s="37"/>
      <c r="AQ83" s="37"/>
      <c r="AR83" s="37"/>
      <c r="AS83" s="37"/>
      <c r="AT83" s="37"/>
      <c r="AU83" s="37"/>
      <c r="AV83" s="37"/>
      <c r="AW83" s="37"/>
      <c r="AX83" s="37"/>
      <c r="AY83" s="37"/>
      <c r="AZ83" s="37"/>
      <c r="BA83" s="37"/>
      <c r="BB83" s="37"/>
      <c r="BC83" s="37"/>
      <c r="BD83" s="37"/>
      <c r="BE83" s="37"/>
      <c r="BF83" s="37"/>
      <c r="BG83" s="37"/>
      <c r="BH83" s="37"/>
      <c r="BI83" s="37"/>
      <c r="BJ83" s="37"/>
      <c r="BK83" s="37"/>
      <c r="BL83" s="37"/>
      <c r="BM83" s="37"/>
      <c r="BN83" s="37"/>
      <c r="BO83" s="37"/>
      <c r="BP83" s="37"/>
      <c r="BQ83" s="37"/>
      <c r="BR83" s="37"/>
      <c r="BS83" s="37"/>
      <c r="BT83" s="37"/>
      <c r="BU83" s="37"/>
      <c r="BV83" s="37"/>
      <c r="BW83" s="37"/>
      <c r="BX83" s="37"/>
      <c r="BY83" s="37"/>
      <c r="BZ83" s="37"/>
      <c r="CA83" s="37"/>
      <c r="CB83" s="37"/>
      <c r="CC83" s="37"/>
      <c r="CD83" s="37"/>
    </row>
    <row r="84" spans="1:85" x14ac:dyDescent="0.3">
      <c r="A84" s="7"/>
      <c r="B84" s="1"/>
      <c r="C84" s="2"/>
      <c r="D84" s="2"/>
      <c r="E84" s="4" t="s">
        <v>388</v>
      </c>
      <c r="F84" s="5"/>
      <c r="G84" s="5"/>
      <c r="H84" s="5"/>
      <c r="I84" s="498">
        <f t="shared" ref="I84:L85" si="58">I22/I$9</f>
        <v>106010.28607142859</v>
      </c>
      <c r="J84" s="498">
        <f t="shared" si="58"/>
        <v>111103.082987013</v>
      </c>
      <c r="K84" s="498">
        <f t="shared" si="58"/>
        <v>111177.25350649352</v>
      </c>
      <c r="L84" s="498">
        <f t="shared" si="58"/>
        <v>111155.13139610387</v>
      </c>
      <c r="M84" s="5"/>
      <c r="N84" s="498">
        <f t="shared" ref="N84:N89" si="59">IFERROR(N22/N$9,0)</f>
        <v>116554.81130232118</v>
      </c>
      <c r="O84" s="498">
        <f t="shared" ref="O84:S113" si="60">SUMIF($W$2:$CD$2,O$3,$W84:$CD84)</f>
        <v>122284.10241047606</v>
      </c>
      <c r="P84" s="498">
        <f t="shared" si="60"/>
        <v>129033.13797640892</v>
      </c>
      <c r="Q84" s="498">
        <f t="shared" si="60"/>
        <v>135887.04298831592</v>
      </c>
      <c r="R84" s="498">
        <f t="shared" si="60"/>
        <v>142932.87718019154</v>
      </c>
      <c r="S84" s="498">
        <f t="shared" si="60"/>
        <v>150301.52151290217</v>
      </c>
      <c r="T84" s="57"/>
      <c r="U84" s="55">
        <f t="shared" ref="U84:U133" si="61">IFERROR(((S84/N84)^(1/5))-1,0)</f>
        <v>5.2171743056612652E-2</v>
      </c>
      <c r="V84" s="407"/>
      <c r="W84" s="498">
        <f t="shared" ref="W84:BB84" si="62">IFERROR(W22/W$9,0)</f>
        <v>10077.074708676979</v>
      </c>
      <c r="X84" s="498">
        <f t="shared" si="62"/>
        <v>10077.074708676979</v>
      </c>
      <c r="Y84" s="498">
        <f t="shared" si="62"/>
        <v>10077.074708676979</v>
      </c>
      <c r="Z84" s="498">
        <f t="shared" si="62"/>
        <v>10077.074708676979</v>
      </c>
      <c r="AA84" s="498">
        <f t="shared" si="62"/>
        <v>10077.074708676979</v>
      </c>
      <c r="AB84" s="498">
        <f t="shared" si="62"/>
        <v>10068.057192159147</v>
      </c>
      <c r="AC84" s="498">
        <f t="shared" si="62"/>
        <v>10306.734798096937</v>
      </c>
      <c r="AD84" s="498">
        <f t="shared" si="62"/>
        <v>10306.734798096937</v>
      </c>
      <c r="AE84" s="498">
        <f t="shared" si="62"/>
        <v>10306.734798096937</v>
      </c>
      <c r="AF84" s="498">
        <f t="shared" si="62"/>
        <v>10306.734798096937</v>
      </c>
      <c r="AG84" s="498">
        <f t="shared" si="62"/>
        <v>10306.734798096937</v>
      </c>
      <c r="AH84" s="498">
        <f t="shared" si="62"/>
        <v>10296.99768444734</v>
      </c>
      <c r="AI84" s="498">
        <f t="shared" si="62"/>
        <v>10608.907207765449</v>
      </c>
      <c r="AJ84" s="498">
        <f t="shared" si="62"/>
        <v>10608.907207765449</v>
      </c>
      <c r="AK84" s="498">
        <f t="shared" si="62"/>
        <v>10608.907207765449</v>
      </c>
      <c r="AL84" s="498">
        <f t="shared" si="62"/>
        <v>10608.907207765449</v>
      </c>
      <c r="AM84" s="498">
        <f t="shared" si="62"/>
        <v>10608.907207765449</v>
      </c>
      <c r="AN84" s="498">
        <f t="shared" si="62"/>
        <v>10598.30995753294</v>
      </c>
      <c r="AO84" s="498">
        <f t="shared" si="62"/>
        <v>10900.303838742338</v>
      </c>
      <c r="AP84" s="498">
        <f t="shared" si="62"/>
        <v>10900.303838742338</v>
      </c>
      <c r="AQ84" s="498">
        <f t="shared" si="62"/>
        <v>10900.303838742338</v>
      </c>
      <c r="AR84" s="498">
        <f t="shared" si="62"/>
        <v>10900.303838742338</v>
      </c>
      <c r="AS84" s="498">
        <f t="shared" si="62"/>
        <v>10900.303838742338</v>
      </c>
      <c r="AT84" s="498">
        <f t="shared" si="62"/>
        <v>10888.772786337026</v>
      </c>
      <c r="AU84" s="498">
        <f t="shared" si="62"/>
        <v>11148.332311319633</v>
      </c>
      <c r="AV84" s="498">
        <f t="shared" si="62"/>
        <v>11148.332311319633</v>
      </c>
      <c r="AW84" s="498">
        <f t="shared" si="62"/>
        <v>11148.332311319633</v>
      </c>
      <c r="AX84" s="498">
        <f t="shared" si="62"/>
        <v>11148.332311319633</v>
      </c>
      <c r="AY84" s="498">
        <f t="shared" si="62"/>
        <v>11148.332311319633</v>
      </c>
      <c r="AZ84" s="498">
        <f t="shared" si="62"/>
        <v>11135.82155796836</v>
      </c>
      <c r="BA84" s="498">
        <f t="shared" si="62"/>
        <v>11503.879911359621</v>
      </c>
      <c r="BB84" s="498">
        <f t="shared" si="62"/>
        <v>11503.879911359621</v>
      </c>
      <c r="BC84" s="498">
        <f t="shared" ref="BC84:CD84" si="63">IFERROR(BC22/BC$9,0)</f>
        <v>11503.879911359621</v>
      </c>
      <c r="BD84" s="498">
        <f t="shared" si="63"/>
        <v>11503.879911359621</v>
      </c>
      <c r="BE84" s="498">
        <f t="shared" si="63"/>
        <v>11503.879911359621</v>
      </c>
      <c r="BF84" s="498">
        <f t="shared" si="63"/>
        <v>11490.160316951322</v>
      </c>
      <c r="BG84" s="498">
        <f t="shared" si="63"/>
        <v>11702.618172380522</v>
      </c>
      <c r="BH84" s="498">
        <f t="shared" si="63"/>
        <v>11702.618172380522</v>
      </c>
      <c r="BI84" s="498">
        <f t="shared" si="63"/>
        <v>11702.618172380522</v>
      </c>
      <c r="BJ84" s="498">
        <f t="shared" si="63"/>
        <v>11702.618172380522</v>
      </c>
      <c r="BK84" s="498">
        <f t="shared" si="63"/>
        <v>11702.618172380522</v>
      </c>
      <c r="BL84" s="498">
        <f t="shared" si="63"/>
        <v>11687.75770486004</v>
      </c>
      <c r="BM84" s="498">
        <f t="shared" si="63"/>
        <v>12124.742596343813</v>
      </c>
      <c r="BN84" s="498">
        <f t="shared" si="63"/>
        <v>12124.742596343813</v>
      </c>
      <c r="BO84" s="498">
        <f t="shared" si="63"/>
        <v>12124.742596343813</v>
      </c>
      <c r="BP84" s="498">
        <f t="shared" si="63"/>
        <v>12124.742596343813</v>
      </c>
      <c r="BQ84" s="498">
        <f t="shared" si="63"/>
        <v>12124.742596343813</v>
      </c>
      <c r="BR84" s="498">
        <f t="shared" si="63"/>
        <v>12108.315631709827</v>
      </c>
      <c r="BS84" s="498">
        <f t="shared" si="63"/>
        <v>12282.872846432045</v>
      </c>
      <c r="BT84" s="498">
        <f t="shared" si="63"/>
        <v>12282.872846432045</v>
      </c>
      <c r="BU84" s="498">
        <f t="shared" si="63"/>
        <v>12282.872846432045</v>
      </c>
      <c r="BV84" s="498">
        <f t="shared" si="63"/>
        <v>12282.872846432045</v>
      </c>
      <c r="BW84" s="498">
        <f t="shared" si="63"/>
        <v>12282.872846432045</v>
      </c>
      <c r="BX84" s="498">
        <f t="shared" si="63"/>
        <v>12265.079317754034</v>
      </c>
      <c r="BY84" s="498">
        <f t="shared" si="63"/>
        <v>12773.651624381537</v>
      </c>
      <c r="BZ84" s="498">
        <f t="shared" si="63"/>
        <v>12773.651624381537</v>
      </c>
      <c r="CA84" s="498">
        <f t="shared" si="63"/>
        <v>12773.651624381537</v>
      </c>
      <c r="CB84" s="498">
        <f t="shared" si="63"/>
        <v>12773.651624381537</v>
      </c>
      <c r="CC84" s="498">
        <f t="shared" si="63"/>
        <v>12773.651624381537</v>
      </c>
      <c r="CD84" s="498">
        <f t="shared" si="63"/>
        <v>12753.819841080214</v>
      </c>
      <c r="CG84" s="8"/>
    </row>
    <row r="85" spans="1:85" x14ac:dyDescent="0.3">
      <c r="A85" s="7"/>
      <c r="B85" s="1"/>
      <c r="C85" s="2"/>
      <c r="D85" s="2"/>
      <c r="E85" s="2" t="s">
        <v>387</v>
      </c>
      <c r="F85" s="54"/>
      <c r="G85" s="54"/>
      <c r="H85" s="54"/>
      <c r="I85" s="497">
        <f t="shared" si="58"/>
        <v>-37035.92915584414</v>
      </c>
      <c r="J85" s="497">
        <f t="shared" si="58"/>
        <v>-37199.433766233764</v>
      </c>
      <c r="K85" s="497">
        <f t="shared" si="58"/>
        <v>-36287.953798701288</v>
      </c>
      <c r="L85" s="497">
        <f t="shared" si="58"/>
        <v>-35901.357564935061</v>
      </c>
      <c r="M85" s="54"/>
      <c r="N85" s="497">
        <f t="shared" si="59"/>
        <v>-37126.770516207944</v>
      </c>
      <c r="O85" s="497">
        <f t="shared" si="60"/>
        <v>-37916.955924921036</v>
      </c>
      <c r="P85" s="497">
        <f t="shared" si="60"/>
        <v>-38989.045597646429</v>
      </c>
      <c r="Q85" s="497">
        <f t="shared" si="60"/>
        <v>-40064.099095233381</v>
      </c>
      <c r="R85" s="497">
        <f t="shared" si="60"/>
        <v>-41178.118099856707</v>
      </c>
      <c r="S85" s="497">
        <f t="shared" si="60"/>
        <v>-42314.848290967835</v>
      </c>
      <c r="T85" s="37"/>
      <c r="U85" s="50">
        <f t="shared" si="61"/>
        <v>2.6505127142738338E-2</v>
      </c>
      <c r="W85" s="497">
        <f t="shared" ref="W85:BB85" si="64">IFERROR(W23/W$9,0)</f>
        <v>-3124.544690376511</v>
      </c>
      <c r="X85" s="497">
        <f t="shared" si="64"/>
        <v>-3124.544690376511</v>
      </c>
      <c r="Y85" s="497">
        <f t="shared" si="64"/>
        <v>-3124.544690376511</v>
      </c>
      <c r="Z85" s="497">
        <f t="shared" si="64"/>
        <v>-3124.544690376511</v>
      </c>
      <c r="AA85" s="497">
        <f t="shared" si="64"/>
        <v>-3124.544690376511</v>
      </c>
      <c r="AB85" s="497">
        <f t="shared" si="64"/>
        <v>-3121.7486772307602</v>
      </c>
      <c r="AC85" s="497">
        <f t="shared" si="64"/>
        <v>-3195.9171807657426</v>
      </c>
      <c r="AD85" s="497">
        <f t="shared" si="64"/>
        <v>-3195.9171807657426</v>
      </c>
      <c r="AE85" s="497">
        <f t="shared" si="64"/>
        <v>-3195.9171807657426</v>
      </c>
      <c r="AF85" s="497">
        <f t="shared" si="64"/>
        <v>-3195.9171807657426</v>
      </c>
      <c r="AG85" s="497">
        <f t="shared" si="64"/>
        <v>-3195.9171807657426</v>
      </c>
      <c r="AH85" s="497">
        <f t="shared" si="64"/>
        <v>-3192.8978919790015</v>
      </c>
      <c r="AI85" s="497">
        <f t="shared" si="64"/>
        <v>-3205.5098009140775</v>
      </c>
      <c r="AJ85" s="497">
        <f t="shared" si="64"/>
        <v>-3205.5098009140775</v>
      </c>
      <c r="AK85" s="497">
        <f t="shared" si="64"/>
        <v>-3205.5098009140775</v>
      </c>
      <c r="AL85" s="497">
        <f t="shared" si="64"/>
        <v>-3205.5098009140775</v>
      </c>
      <c r="AM85" s="497">
        <f t="shared" si="64"/>
        <v>-3205.5098009140775</v>
      </c>
      <c r="AN85" s="497">
        <f t="shared" si="64"/>
        <v>-3202.3078132995392</v>
      </c>
      <c r="AO85" s="497">
        <f t="shared" si="64"/>
        <v>-3293.7788589833403</v>
      </c>
      <c r="AP85" s="497">
        <f t="shared" si="64"/>
        <v>-3293.7788589833403</v>
      </c>
      <c r="AQ85" s="497">
        <f t="shared" si="64"/>
        <v>-3293.7788589833403</v>
      </c>
      <c r="AR85" s="497">
        <f t="shared" si="64"/>
        <v>-3293.7788589833403</v>
      </c>
      <c r="AS85" s="497">
        <f t="shared" si="64"/>
        <v>-3293.7788589833403</v>
      </c>
      <c r="AT85" s="497">
        <f t="shared" si="64"/>
        <v>-3290.294484859799</v>
      </c>
      <c r="AU85" s="497">
        <f t="shared" si="64"/>
        <v>-3286.7666759458602</v>
      </c>
      <c r="AV85" s="497">
        <f t="shared" si="64"/>
        <v>-3286.7666759458602</v>
      </c>
      <c r="AW85" s="497">
        <f t="shared" si="64"/>
        <v>-3286.7666759458602</v>
      </c>
      <c r="AX85" s="497">
        <f t="shared" si="64"/>
        <v>-3286.7666759458602</v>
      </c>
      <c r="AY85" s="497">
        <f t="shared" si="64"/>
        <v>-3286.7666759458602</v>
      </c>
      <c r="AZ85" s="497">
        <f t="shared" si="64"/>
        <v>-3283.0782384237573</v>
      </c>
      <c r="BA85" s="497">
        <f t="shared" si="64"/>
        <v>-3391.8721072627936</v>
      </c>
      <c r="BB85" s="497">
        <f t="shared" si="64"/>
        <v>-3391.8721072627936</v>
      </c>
      <c r="BC85" s="497">
        <f t="shared" ref="BC85:CD85" si="65">IFERROR(BC23/BC$9,0)</f>
        <v>-3391.8721072627936</v>
      </c>
      <c r="BD85" s="497">
        <f t="shared" si="65"/>
        <v>-3391.8721072627936</v>
      </c>
      <c r="BE85" s="497">
        <f t="shared" si="65"/>
        <v>-3391.8721072627936</v>
      </c>
      <c r="BF85" s="497">
        <f t="shared" si="65"/>
        <v>-3387.8269407663561</v>
      </c>
      <c r="BG85" s="497">
        <f t="shared" si="65"/>
        <v>-3371.2875143267074</v>
      </c>
      <c r="BH85" s="497">
        <f t="shared" si="65"/>
        <v>-3371.2875143267074</v>
      </c>
      <c r="BI85" s="497">
        <f t="shared" si="65"/>
        <v>-3371.2875143267074</v>
      </c>
      <c r="BJ85" s="497">
        <f t="shared" si="65"/>
        <v>-3371.2875143267074</v>
      </c>
      <c r="BK85" s="497">
        <f t="shared" si="65"/>
        <v>-3371.2875143267074</v>
      </c>
      <c r="BL85" s="497">
        <f t="shared" si="65"/>
        <v>-3367.0065143085149</v>
      </c>
      <c r="BM85" s="497">
        <f t="shared" si="65"/>
        <v>-3493.2344587745965</v>
      </c>
      <c r="BN85" s="497">
        <f t="shared" si="65"/>
        <v>-3493.2344587745965</v>
      </c>
      <c r="BO85" s="497">
        <f t="shared" si="65"/>
        <v>-3493.2344587745965</v>
      </c>
      <c r="BP85" s="497">
        <f t="shared" si="65"/>
        <v>-3493.2344587745965</v>
      </c>
      <c r="BQ85" s="497">
        <f t="shared" si="65"/>
        <v>-3493.2344587745965</v>
      </c>
      <c r="BR85" s="497">
        <f t="shared" si="65"/>
        <v>-3488.5017200416682</v>
      </c>
      <c r="BS85" s="497">
        <f t="shared" si="65"/>
        <v>-3457.8393988095449</v>
      </c>
      <c r="BT85" s="497">
        <f t="shared" si="65"/>
        <v>-3457.8393988095449</v>
      </c>
      <c r="BU85" s="497">
        <f t="shared" si="65"/>
        <v>-3457.8393988095449</v>
      </c>
      <c r="BV85" s="497">
        <f t="shared" si="65"/>
        <v>-3457.8393988095449</v>
      </c>
      <c r="BW85" s="497">
        <f t="shared" si="65"/>
        <v>-3457.8393988095449</v>
      </c>
      <c r="BX85" s="497">
        <f t="shared" si="65"/>
        <v>-3452.8302152678825</v>
      </c>
      <c r="BY85" s="497">
        <f t="shared" si="65"/>
        <v>-3596.4007813159237</v>
      </c>
      <c r="BZ85" s="497">
        <f t="shared" si="65"/>
        <v>-3596.4007813159237</v>
      </c>
      <c r="CA85" s="497">
        <f t="shared" si="65"/>
        <v>-3596.4007813159237</v>
      </c>
      <c r="CB85" s="497">
        <f t="shared" si="65"/>
        <v>-3596.4007813159237</v>
      </c>
      <c r="CC85" s="497">
        <f t="shared" si="65"/>
        <v>-3596.4007813159237</v>
      </c>
      <c r="CD85" s="497">
        <f t="shared" si="65"/>
        <v>-3590.8171750726137</v>
      </c>
      <c r="CG85" s="8"/>
    </row>
    <row r="86" spans="1:85" x14ac:dyDescent="0.3">
      <c r="A86" s="7"/>
      <c r="B86" s="1"/>
      <c r="C86" s="2"/>
      <c r="D86" s="2"/>
      <c r="E86" s="2" t="s">
        <v>386</v>
      </c>
      <c r="F86" s="54"/>
      <c r="G86" s="54"/>
      <c r="H86" s="54"/>
      <c r="I86" s="497">
        <f t="shared" ref="I86:L89" si="66">I24/I$9</f>
        <v>-6168.4669155844176</v>
      </c>
      <c r="J86" s="497">
        <f t="shared" si="66"/>
        <v>-6380.0211363636363</v>
      </c>
      <c r="K86" s="497">
        <f t="shared" si="66"/>
        <v>-6284.6540909090882</v>
      </c>
      <c r="L86" s="497">
        <f t="shared" si="66"/>
        <v>-6368.8156818181833</v>
      </c>
      <c r="M86" s="54"/>
      <c r="N86" s="497">
        <f t="shared" si="59"/>
        <v>-6879.2936751092029</v>
      </c>
      <c r="O86" s="497">
        <f t="shared" si="60"/>
        <v>-7096.3083238116869</v>
      </c>
      <c r="P86" s="497">
        <f t="shared" si="60"/>
        <v>-7369.8689810313299</v>
      </c>
      <c r="Q86" s="497">
        <f t="shared" si="60"/>
        <v>-7647.9688980288684</v>
      </c>
      <c r="R86" s="497">
        <f t="shared" si="60"/>
        <v>-7937.5754421478005</v>
      </c>
      <c r="S86" s="497">
        <f t="shared" si="60"/>
        <v>-8235.7253644199554</v>
      </c>
      <c r="T86" s="37"/>
      <c r="U86" s="50">
        <f t="shared" si="61"/>
        <v>3.6648685232424594E-2</v>
      </c>
      <c r="W86" s="497">
        <f t="shared" ref="W86:BB86" si="67">IFERROR(W24/W$9,0)</f>
        <v>-584.73996238428242</v>
      </c>
      <c r="X86" s="497">
        <f t="shared" si="67"/>
        <v>-584.73996238428242</v>
      </c>
      <c r="Y86" s="497">
        <f t="shared" si="67"/>
        <v>-584.73996238428242</v>
      </c>
      <c r="Z86" s="497">
        <f t="shared" si="67"/>
        <v>-584.73996238428242</v>
      </c>
      <c r="AA86" s="497">
        <f t="shared" si="67"/>
        <v>-584.73996238428242</v>
      </c>
      <c r="AB86" s="497">
        <f t="shared" si="67"/>
        <v>-584.2167051472494</v>
      </c>
      <c r="AC86" s="497">
        <f t="shared" si="67"/>
        <v>-598.15948463582527</v>
      </c>
      <c r="AD86" s="497">
        <f t="shared" si="67"/>
        <v>-598.15948463582527</v>
      </c>
      <c r="AE86" s="497">
        <f t="shared" si="67"/>
        <v>-598.15948463582527</v>
      </c>
      <c r="AF86" s="497">
        <f t="shared" si="67"/>
        <v>-598.15948463582527</v>
      </c>
      <c r="AG86" s="497">
        <f t="shared" si="67"/>
        <v>-598.15948463582527</v>
      </c>
      <c r="AH86" s="497">
        <f t="shared" si="67"/>
        <v>-597.59438356389717</v>
      </c>
      <c r="AI86" s="497">
        <f t="shared" si="67"/>
        <v>-605.88515224216133</v>
      </c>
      <c r="AJ86" s="497">
        <f t="shared" si="67"/>
        <v>-605.88515224216133</v>
      </c>
      <c r="AK86" s="497">
        <f t="shared" si="67"/>
        <v>-605.88515224216133</v>
      </c>
      <c r="AL86" s="497">
        <f t="shared" si="67"/>
        <v>-605.88515224216133</v>
      </c>
      <c r="AM86" s="497">
        <f t="shared" si="67"/>
        <v>-605.88515224216133</v>
      </c>
      <c r="AN86" s="497">
        <f t="shared" si="67"/>
        <v>-605.27993283127114</v>
      </c>
      <c r="AO86" s="497">
        <f t="shared" si="67"/>
        <v>-622.63699216881901</v>
      </c>
      <c r="AP86" s="497">
        <f t="shared" si="67"/>
        <v>-622.63699216881901</v>
      </c>
      <c r="AQ86" s="497">
        <f t="shared" si="67"/>
        <v>-622.63699216881901</v>
      </c>
      <c r="AR86" s="497">
        <f t="shared" si="67"/>
        <v>-622.63699216881901</v>
      </c>
      <c r="AS86" s="497">
        <f t="shared" si="67"/>
        <v>-622.63699216881901</v>
      </c>
      <c r="AT86" s="497">
        <f t="shared" si="67"/>
        <v>-621.97832614515573</v>
      </c>
      <c r="AU86" s="497">
        <f t="shared" si="67"/>
        <v>-627.38630186458045</v>
      </c>
      <c r="AV86" s="497">
        <f t="shared" si="67"/>
        <v>-627.38630186458045</v>
      </c>
      <c r="AW86" s="497">
        <f t="shared" si="67"/>
        <v>-627.38630186458045</v>
      </c>
      <c r="AX86" s="497">
        <f t="shared" si="67"/>
        <v>-627.38630186458045</v>
      </c>
      <c r="AY86" s="497">
        <f t="shared" si="67"/>
        <v>-627.38630186458045</v>
      </c>
      <c r="AZ86" s="497">
        <f t="shared" si="67"/>
        <v>-626.68224361986654</v>
      </c>
      <c r="BA86" s="497">
        <f t="shared" si="67"/>
        <v>-647.52123044824964</v>
      </c>
      <c r="BB86" s="497">
        <f t="shared" si="67"/>
        <v>-647.52123044824964</v>
      </c>
      <c r="BC86" s="497">
        <f t="shared" ref="BC86:CD86" si="68">IFERROR(BC24/BC$9,0)</f>
        <v>-647.52123044824964</v>
      </c>
      <c r="BD86" s="497">
        <f t="shared" si="68"/>
        <v>-647.52123044824964</v>
      </c>
      <c r="BE86" s="497">
        <f t="shared" si="68"/>
        <v>-647.52123044824964</v>
      </c>
      <c r="BF86" s="497">
        <f t="shared" si="68"/>
        <v>-646.74899284485275</v>
      </c>
      <c r="BG86" s="497">
        <f t="shared" si="68"/>
        <v>-649.8189059727415</v>
      </c>
      <c r="BH86" s="497">
        <f t="shared" si="68"/>
        <v>-649.8189059727415</v>
      </c>
      <c r="BI86" s="497">
        <f t="shared" si="68"/>
        <v>-649.8189059727415</v>
      </c>
      <c r="BJ86" s="497">
        <f t="shared" si="68"/>
        <v>-649.8189059727415</v>
      </c>
      <c r="BK86" s="497">
        <f t="shared" si="68"/>
        <v>-649.8189059727415</v>
      </c>
      <c r="BL86" s="497">
        <f t="shared" si="68"/>
        <v>-648.99373910801432</v>
      </c>
      <c r="BM86" s="497">
        <f t="shared" si="68"/>
        <v>-673.39991926128448</v>
      </c>
      <c r="BN86" s="497">
        <f t="shared" si="68"/>
        <v>-673.39991926128448</v>
      </c>
      <c r="BO86" s="497">
        <f t="shared" si="68"/>
        <v>-673.39991926128448</v>
      </c>
      <c r="BP86" s="497">
        <f t="shared" si="68"/>
        <v>-673.39991926128448</v>
      </c>
      <c r="BQ86" s="497">
        <f t="shared" si="68"/>
        <v>-673.39991926128448</v>
      </c>
      <c r="BR86" s="497">
        <f t="shared" si="68"/>
        <v>-672.48757686965564</v>
      </c>
      <c r="BS86" s="497">
        <f t="shared" si="68"/>
        <v>-672.95991091982319</v>
      </c>
      <c r="BT86" s="497">
        <f t="shared" si="68"/>
        <v>-672.95991091982319</v>
      </c>
      <c r="BU86" s="497">
        <f t="shared" si="68"/>
        <v>-672.95991091982319</v>
      </c>
      <c r="BV86" s="497">
        <f t="shared" si="68"/>
        <v>-672.95991091982319</v>
      </c>
      <c r="BW86" s="497">
        <f t="shared" si="68"/>
        <v>-672.95991091982319</v>
      </c>
      <c r="BX86" s="497">
        <f t="shared" si="68"/>
        <v>-671.98503056212382</v>
      </c>
      <c r="BY86" s="497">
        <f t="shared" si="68"/>
        <v>-700.00459569327552</v>
      </c>
      <c r="BZ86" s="497">
        <f t="shared" si="68"/>
        <v>-700.00459569327552</v>
      </c>
      <c r="CA86" s="497">
        <f t="shared" si="68"/>
        <v>-700.00459569327552</v>
      </c>
      <c r="CB86" s="497">
        <f t="shared" si="68"/>
        <v>-700.00459569327552</v>
      </c>
      <c r="CC86" s="497">
        <f t="shared" si="68"/>
        <v>-700.00459569327552</v>
      </c>
      <c r="CD86" s="497">
        <f t="shared" si="68"/>
        <v>-698.91780079233888</v>
      </c>
      <c r="CG86" s="8"/>
    </row>
    <row r="87" spans="1:85" x14ac:dyDescent="0.3">
      <c r="A87" s="7"/>
      <c r="B87" s="1"/>
      <c r="C87" s="2"/>
      <c r="D87" s="2"/>
      <c r="E87" s="4" t="s">
        <v>385</v>
      </c>
      <c r="F87" s="5"/>
      <c r="G87" s="5"/>
      <c r="H87" s="5"/>
      <c r="I87" s="498">
        <f t="shared" si="66"/>
        <v>62805.890000000043</v>
      </c>
      <c r="J87" s="498">
        <f t="shared" si="66"/>
        <v>67523.628084415584</v>
      </c>
      <c r="K87" s="498">
        <f t="shared" si="66"/>
        <v>68604.64561688315</v>
      </c>
      <c r="L87" s="498">
        <f t="shared" si="66"/>
        <v>68884.958149350627</v>
      </c>
      <c r="M87" s="5"/>
      <c r="N87" s="498">
        <f t="shared" si="59"/>
        <v>72548.747111004021</v>
      </c>
      <c r="O87" s="498">
        <f t="shared" si="60"/>
        <v>77270.838161743348</v>
      </c>
      <c r="P87" s="498">
        <f t="shared" si="60"/>
        <v>82674.223397731141</v>
      </c>
      <c r="Q87" s="498">
        <f t="shared" si="60"/>
        <v>88174.974995053708</v>
      </c>
      <c r="R87" s="498">
        <f t="shared" si="60"/>
        <v>93817.183638187038</v>
      </c>
      <c r="S87" s="498">
        <f t="shared" si="60"/>
        <v>99750.947857514388</v>
      </c>
      <c r="T87" s="57"/>
      <c r="U87" s="55">
        <f t="shared" si="61"/>
        <v>6.5755108125659101E-2</v>
      </c>
      <c r="W87" s="498">
        <f t="shared" ref="W87:BB87" si="69">IFERROR(W25/W$9,0)</f>
        <v>6367.7900559161853</v>
      </c>
      <c r="X87" s="498">
        <f t="shared" si="69"/>
        <v>6367.7900559161853</v>
      </c>
      <c r="Y87" s="498">
        <f t="shared" si="69"/>
        <v>6367.7900559161853</v>
      </c>
      <c r="Z87" s="498">
        <f t="shared" si="69"/>
        <v>6367.7900559161853</v>
      </c>
      <c r="AA87" s="498">
        <f t="shared" si="69"/>
        <v>6367.7900559161853</v>
      </c>
      <c r="AB87" s="498">
        <f t="shared" si="69"/>
        <v>6362.0918097811382</v>
      </c>
      <c r="AC87" s="498">
        <f t="shared" si="69"/>
        <v>6512.6581326953683</v>
      </c>
      <c r="AD87" s="498">
        <f t="shared" si="69"/>
        <v>6512.6581326953683</v>
      </c>
      <c r="AE87" s="498">
        <f t="shared" si="69"/>
        <v>6512.6581326953683</v>
      </c>
      <c r="AF87" s="498">
        <f t="shared" si="69"/>
        <v>6512.6581326953683</v>
      </c>
      <c r="AG87" s="498">
        <f t="shared" si="69"/>
        <v>6512.6581326953683</v>
      </c>
      <c r="AH87" s="498">
        <f t="shared" si="69"/>
        <v>6506.5054089044415</v>
      </c>
      <c r="AI87" s="498">
        <f t="shared" si="69"/>
        <v>6797.5122546092107</v>
      </c>
      <c r="AJ87" s="498">
        <f t="shared" si="69"/>
        <v>6797.5122546092107</v>
      </c>
      <c r="AK87" s="498">
        <f t="shared" si="69"/>
        <v>6797.5122546092107</v>
      </c>
      <c r="AL87" s="498">
        <f t="shared" si="69"/>
        <v>6797.5122546092107</v>
      </c>
      <c r="AM87" s="498">
        <f t="shared" si="69"/>
        <v>6797.5122546092107</v>
      </c>
      <c r="AN87" s="498">
        <f t="shared" si="69"/>
        <v>6790.7222114021297</v>
      </c>
      <c r="AO87" s="498">
        <f t="shared" si="69"/>
        <v>6983.8879875901785</v>
      </c>
      <c r="AP87" s="498">
        <f t="shared" si="69"/>
        <v>6983.8879875901785</v>
      </c>
      <c r="AQ87" s="498">
        <f t="shared" si="69"/>
        <v>6983.8879875901785</v>
      </c>
      <c r="AR87" s="498">
        <f t="shared" si="69"/>
        <v>6983.8879875901785</v>
      </c>
      <c r="AS87" s="498">
        <f t="shared" si="69"/>
        <v>6983.8879875901785</v>
      </c>
      <c r="AT87" s="498">
        <f t="shared" si="69"/>
        <v>6976.4999753320717</v>
      </c>
      <c r="AU87" s="498">
        <f t="shared" si="69"/>
        <v>7234.1793335091916</v>
      </c>
      <c r="AV87" s="498">
        <f t="shared" si="69"/>
        <v>7234.1793335091916</v>
      </c>
      <c r="AW87" s="498">
        <f t="shared" si="69"/>
        <v>7234.1793335091916</v>
      </c>
      <c r="AX87" s="498">
        <f t="shared" si="69"/>
        <v>7234.1793335091916</v>
      </c>
      <c r="AY87" s="498">
        <f t="shared" si="69"/>
        <v>7234.1793335091916</v>
      </c>
      <c r="AZ87" s="498">
        <f t="shared" si="69"/>
        <v>7226.0610759247356</v>
      </c>
      <c r="BA87" s="498">
        <f t="shared" si="69"/>
        <v>7464.4865736485799</v>
      </c>
      <c r="BB87" s="498">
        <f t="shared" si="69"/>
        <v>7464.4865736485799</v>
      </c>
      <c r="BC87" s="498">
        <f t="shared" ref="BC87:CD87" si="70">IFERROR(BC25/BC$9,0)</f>
        <v>7464.4865736485799</v>
      </c>
      <c r="BD87" s="498">
        <f t="shared" si="70"/>
        <v>7464.4865736485799</v>
      </c>
      <c r="BE87" s="498">
        <f t="shared" si="70"/>
        <v>7464.4865736485799</v>
      </c>
      <c r="BF87" s="498">
        <f t="shared" si="70"/>
        <v>7455.5843833401132</v>
      </c>
      <c r="BG87" s="498">
        <f t="shared" si="70"/>
        <v>7681.5117520810736</v>
      </c>
      <c r="BH87" s="498">
        <f t="shared" si="70"/>
        <v>7681.5117520810736</v>
      </c>
      <c r="BI87" s="498">
        <f t="shared" si="70"/>
        <v>7681.5117520810736</v>
      </c>
      <c r="BJ87" s="498">
        <f t="shared" si="70"/>
        <v>7681.5117520810736</v>
      </c>
      <c r="BK87" s="498">
        <f t="shared" si="70"/>
        <v>7681.5117520810736</v>
      </c>
      <c r="BL87" s="498">
        <f t="shared" si="70"/>
        <v>7671.75745144351</v>
      </c>
      <c r="BM87" s="498">
        <f t="shared" si="70"/>
        <v>7958.1082183079316</v>
      </c>
      <c r="BN87" s="498">
        <f t="shared" si="70"/>
        <v>7958.1082183079316</v>
      </c>
      <c r="BO87" s="498">
        <f t="shared" si="70"/>
        <v>7958.1082183079316</v>
      </c>
      <c r="BP87" s="498">
        <f t="shared" si="70"/>
        <v>7958.1082183079316</v>
      </c>
      <c r="BQ87" s="498">
        <f t="shared" si="70"/>
        <v>7958.1082183079316</v>
      </c>
      <c r="BR87" s="498">
        <f t="shared" si="70"/>
        <v>7947.3263347985021</v>
      </c>
      <c r="BS87" s="498">
        <f t="shared" si="70"/>
        <v>8152.0735367026782</v>
      </c>
      <c r="BT87" s="498">
        <f t="shared" si="70"/>
        <v>8152.0735367026782</v>
      </c>
      <c r="BU87" s="498">
        <f t="shared" si="70"/>
        <v>8152.0735367026782</v>
      </c>
      <c r="BV87" s="498">
        <f t="shared" si="70"/>
        <v>8152.0735367026782</v>
      </c>
      <c r="BW87" s="498">
        <f t="shared" si="70"/>
        <v>8152.0735367026782</v>
      </c>
      <c r="BX87" s="498">
        <f t="shared" si="70"/>
        <v>8140.264071924028</v>
      </c>
      <c r="BY87" s="498">
        <f t="shared" si="70"/>
        <v>8477.2462473723372</v>
      </c>
      <c r="BZ87" s="498">
        <f t="shared" si="70"/>
        <v>8477.2462473723372</v>
      </c>
      <c r="CA87" s="498">
        <f t="shared" si="70"/>
        <v>8477.2462473723372</v>
      </c>
      <c r="CB87" s="498">
        <f t="shared" si="70"/>
        <v>8477.2462473723372</v>
      </c>
      <c r="CC87" s="498">
        <f t="shared" si="70"/>
        <v>8477.2462473723372</v>
      </c>
      <c r="CD87" s="498">
        <f t="shared" si="70"/>
        <v>8464.0848652152617</v>
      </c>
      <c r="CG87" s="8"/>
    </row>
    <row r="88" spans="1:85" x14ac:dyDescent="0.3">
      <c r="A88" s="7"/>
      <c r="B88" s="1"/>
      <c r="C88" s="2"/>
      <c r="D88" s="2"/>
      <c r="E88" s="2" t="s">
        <v>389</v>
      </c>
      <c r="F88" s="54"/>
      <c r="G88" s="54"/>
      <c r="H88" s="54"/>
      <c r="I88" s="497">
        <f t="shared" si="66"/>
        <v>-20235.113311688307</v>
      </c>
      <c r="J88" s="497">
        <f t="shared" si="66"/>
        <v>-21416.020357142846</v>
      </c>
      <c r="K88" s="497">
        <f t="shared" si="66"/>
        <v>-22045.633571428574</v>
      </c>
      <c r="L88" s="497">
        <f t="shared" si="66"/>
        <v>-22138.455389610379</v>
      </c>
      <c r="M88" s="54"/>
      <c r="N88" s="497">
        <f t="shared" si="59"/>
        <v>-23573.429297172082</v>
      </c>
      <c r="O88" s="497">
        <f t="shared" si="60"/>
        <v>-24899.586537115232</v>
      </c>
      <c r="P88" s="497">
        <f t="shared" si="60"/>
        <v>-26437.23135160952</v>
      </c>
      <c r="Q88" s="497">
        <f t="shared" si="60"/>
        <v>-28001.922752834165</v>
      </c>
      <c r="R88" s="497">
        <f t="shared" si="60"/>
        <v>-29609.446688384298</v>
      </c>
      <c r="S88" s="497">
        <f t="shared" si="60"/>
        <v>-31293.170145472865</v>
      </c>
      <c r="T88" s="37"/>
      <c r="U88" s="50">
        <f t="shared" si="61"/>
        <v>5.8291624946616105E-2</v>
      </c>
      <c r="W88" s="497">
        <f t="shared" ref="W88:BB88" si="71">IFERROR(W26/W$9,0)</f>
        <v>-2052.2171798342169</v>
      </c>
      <c r="X88" s="497">
        <f t="shared" si="71"/>
        <v>-2052.2171798342169</v>
      </c>
      <c r="Y88" s="497">
        <f t="shared" si="71"/>
        <v>-2052.2171798342169</v>
      </c>
      <c r="Z88" s="497">
        <f t="shared" si="71"/>
        <v>-2052.2171798342169</v>
      </c>
      <c r="AA88" s="497">
        <f t="shared" si="71"/>
        <v>-2052.2171798342169</v>
      </c>
      <c r="AB88" s="497">
        <f t="shared" si="71"/>
        <v>-2050.3807438791077</v>
      </c>
      <c r="AC88" s="497">
        <f t="shared" si="71"/>
        <v>-2098.3503791917865</v>
      </c>
      <c r="AD88" s="497">
        <f t="shared" si="71"/>
        <v>-2098.3503791917865</v>
      </c>
      <c r="AE88" s="497">
        <f t="shared" si="71"/>
        <v>-2098.3503791917865</v>
      </c>
      <c r="AF88" s="497">
        <f t="shared" si="71"/>
        <v>-2098.3503791917865</v>
      </c>
      <c r="AG88" s="497">
        <f t="shared" si="71"/>
        <v>-2098.3503791917865</v>
      </c>
      <c r="AH88" s="497">
        <f t="shared" si="71"/>
        <v>-2096.3679981061068</v>
      </c>
      <c r="AI88" s="497">
        <f t="shared" si="71"/>
        <v>-2174.0538248142611</v>
      </c>
      <c r="AJ88" s="497">
        <f t="shared" si="71"/>
        <v>-2174.0538248142611</v>
      </c>
      <c r="AK88" s="497">
        <f t="shared" si="71"/>
        <v>-2174.0538248142611</v>
      </c>
      <c r="AL88" s="497">
        <f t="shared" si="71"/>
        <v>-2174.0538248142611</v>
      </c>
      <c r="AM88" s="497">
        <f t="shared" si="71"/>
        <v>-2174.0538248142611</v>
      </c>
      <c r="AN88" s="497">
        <f t="shared" si="71"/>
        <v>-2171.8821598209393</v>
      </c>
      <c r="AO88" s="497">
        <f t="shared" si="71"/>
        <v>-2232.9070304036704</v>
      </c>
      <c r="AP88" s="497">
        <f t="shared" si="71"/>
        <v>-2232.9070304036704</v>
      </c>
      <c r="AQ88" s="497">
        <f t="shared" si="71"/>
        <v>-2232.9070304036704</v>
      </c>
      <c r="AR88" s="497">
        <f t="shared" si="71"/>
        <v>-2232.9070304036704</v>
      </c>
      <c r="AS88" s="497">
        <f t="shared" si="71"/>
        <v>-2232.9070304036704</v>
      </c>
      <c r="AT88" s="497">
        <f t="shared" si="71"/>
        <v>-2230.5449156989171</v>
      </c>
      <c r="AU88" s="497">
        <f t="shared" si="71"/>
        <v>-2297.8482742981923</v>
      </c>
      <c r="AV88" s="497">
        <f t="shared" si="71"/>
        <v>-2297.8482742981923</v>
      </c>
      <c r="AW88" s="497">
        <f t="shared" si="71"/>
        <v>-2297.8482742981923</v>
      </c>
      <c r="AX88" s="497">
        <f t="shared" si="71"/>
        <v>-2297.8482742981923</v>
      </c>
      <c r="AY88" s="497">
        <f t="shared" si="71"/>
        <v>-2297.8482742981923</v>
      </c>
      <c r="AZ88" s="497">
        <f t="shared" si="71"/>
        <v>-2295.2696094184953</v>
      </c>
      <c r="BA88" s="497">
        <f t="shared" si="71"/>
        <v>-2370.0397158566334</v>
      </c>
      <c r="BB88" s="497">
        <f t="shared" si="71"/>
        <v>-2370.0397158566334</v>
      </c>
      <c r="BC88" s="497">
        <f t="shared" ref="BC88:CD88" si="72">IFERROR(BC26/BC$9,0)</f>
        <v>-2370.0397158566334</v>
      </c>
      <c r="BD88" s="497">
        <f t="shared" si="72"/>
        <v>-2370.0397158566334</v>
      </c>
      <c r="BE88" s="497">
        <f t="shared" si="72"/>
        <v>-2370.0397158566334</v>
      </c>
      <c r="BF88" s="497">
        <f t="shared" si="72"/>
        <v>-2367.2131926415391</v>
      </c>
      <c r="BG88" s="497">
        <f t="shared" si="72"/>
        <v>-2424.9227959379268</v>
      </c>
      <c r="BH88" s="497">
        <f t="shared" si="72"/>
        <v>-2424.9227959379268</v>
      </c>
      <c r="BI88" s="497">
        <f t="shared" si="72"/>
        <v>-2424.9227959379268</v>
      </c>
      <c r="BJ88" s="497">
        <f t="shared" si="72"/>
        <v>-2424.9227959379268</v>
      </c>
      <c r="BK88" s="497">
        <f t="shared" si="72"/>
        <v>-2424.9227959379268</v>
      </c>
      <c r="BL88" s="497">
        <f t="shared" si="72"/>
        <v>-2421.8435288954656</v>
      </c>
      <c r="BM88" s="497">
        <f t="shared" si="72"/>
        <v>-2511.0652076993824</v>
      </c>
      <c r="BN88" s="497">
        <f t="shared" si="72"/>
        <v>-2511.0652076993824</v>
      </c>
      <c r="BO88" s="497">
        <f t="shared" si="72"/>
        <v>-2511.0652076993824</v>
      </c>
      <c r="BP88" s="497">
        <f t="shared" si="72"/>
        <v>-2511.0652076993824</v>
      </c>
      <c r="BQ88" s="497">
        <f t="shared" si="72"/>
        <v>-2511.0652076993824</v>
      </c>
      <c r="BR88" s="497">
        <f t="shared" si="72"/>
        <v>-2507.6631413022828</v>
      </c>
      <c r="BS88" s="497">
        <f t="shared" si="72"/>
        <v>-2558.0917434443809</v>
      </c>
      <c r="BT88" s="497">
        <f t="shared" si="72"/>
        <v>-2558.0917434443809</v>
      </c>
      <c r="BU88" s="497">
        <f t="shared" si="72"/>
        <v>-2558.0917434443809</v>
      </c>
      <c r="BV88" s="497">
        <f t="shared" si="72"/>
        <v>-2558.0917434443809</v>
      </c>
      <c r="BW88" s="497">
        <f t="shared" si="72"/>
        <v>-2558.0917434443809</v>
      </c>
      <c r="BX88" s="497">
        <f t="shared" si="72"/>
        <v>-2554.3859753095926</v>
      </c>
      <c r="BY88" s="497">
        <f t="shared" si="72"/>
        <v>-2658.7422156122611</v>
      </c>
      <c r="BZ88" s="497">
        <f t="shared" si="72"/>
        <v>-2658.7422156122611</v>
      </c>
      <c r="CA88" s="497">
        <f t="shared" si="72"/>
        <v>-2658.7422156122611</v>
      </c>
      <c r="CB88" s="497">
        <f t="shared" si="72"/>
        <v>-2658.7422156122611</v>
      </c>
      <c r="CC88" s="497">
        <f t="shared" si="72"/>
        <v>-2658.7422156122611</v>
      </c>
      <c r="CD88" s="497">
        <f t="shared" si="72"/>
        <v>-2654.6143748800578</v>
      </c>
      <c r="CG88" s="8"/>
    </row>
    <row r="89" spans="1:85" x14ac:dyDescent="0.3">
      <c r="A89" s="7"/>
      <c r="B89" s="1"/>
      <c r="C89" s="2"/>
      <c r="D89" s="2"/>
      <c r="E89" s="4" t="s">
        <v>390</v>
      </c>
      <c r="F89" s="5"/>
      <c r="G89" s="5"/>
      <c r="H89" s="5"/>
      <c r="I89" s="498">
        <f t="shared" si="66"/>
        <v>42570.776688311729</v>
      </c>
      <c r="J89" s="498">
        <f t="shared" si="66"/>
        <v>46107.607727272742</v>
      </c>
      <c r="K89" s="498">
        <f t="shared" si="66"/>
        <v>46559.012045454576</v>
      </c>
      <c r="L89" s="498">
        <f t="shared" si="66"/>
        <v>46746.502759740237</v>
      </c>
      <c r="M89" s="5"/>
      <c r="N89" s="498">
        <f t="shared" si="59"/>
        <v>48975.317813831942</v>
      </c>
      <c r="O89" s="498">
        <f t="shared" si="60"/>
        <v>52371.25162462813</v>
      </c>
      <c r="P89" s="498">
        <f t="shared" si="60"/>
        <v>56236.992046121624</v>
      </c>
      <c r="Q89" s="498">
        <f t="shared" si="60"/>
        <v>60173.05224221955</v>
      </c>
      <c r="R89" s="498">
        <f t="shared" si="60"/>
        <v>64207.73694980274</v>
      </c>
      <c r="S89" s="498">
        <f t="shared" si="60"/>
        <v>68457.777712041527</v>
      </c>
      <c r="T89" s="57"/>
      <c r="U89" s="55">
        <f t="shared" si="61"/>
        <v>6.9274246099974901E-2</v>
      </c>
      <c r="W89" s="498">
        <f t="shared" ref="W89:BB89" si="73">IFERROR(W27/W$9,0)</f>
        <v>4315.5728760819693</v>
      </c>
      <c r="X89" s="498">
        <f t="shared" si="73"/>
        <v>4315.5728760819693</v>
      </c>
      <c r="Y89" s="498">
        <f t="shared" si="73"/>
        <v>4315.5728760819693</v>
      </c>
      <c r="Z89" s="498">
        <f t="shared" si="73"/>
        <v>4315.5728760819693</v>
      </c>
      <c r="AA89" s="498">
        <f t="shared" si="73"/>
        <v>4315.5728760819693</v>
      </c>
      <c r="AB89" s="498">
        <f t="shared" si="73"/>
        <v>4311.7110659020309</v>
      </c>
      <c r="AC89" s="498">
        <f t="shared" si="73"/>
        <v>4414.3077535035818</v>
      </c>
      <c r="AD89" s="498">
        <f t="shared" si="73"/>
        <v>4414.3077535035818</v>
      </c>
      <c r="AE89" s="498">
        <f t="shared" si="73"/>
        <v>4414.3077535035818</v>
      </c>
      <c r="AF89" s="498">
        <f t="shared" si="73"/>
        <v>4414.3077535035818</v>
      </c>
      <c r="AG89" s="498">
        <f t="shared" si="73"/>
        <v>4414.3077535035818</v>
      </c>
      <c r="AH89" s="498">
        <f t="shared" si="73"/>
        <v>4410.1374107983347</v>
      </c>
      <c r="AI89" s="498">
        <f t="shared" si="73"/>
        <v>4623.4584297949496</v>
      </c>
      <c r="AJ89" s="498">
        <f t="shared" si="73"/>
        <v>4623.4584297949496</v>
      </c>
      <c r="AK89" s="498">
        <f t="shared" si="73"/>
        <v>4623.4584297949496</v>
      </c>
      <c r="AL89" s="498">
        <f t="shared" si="73"/>
        <v>4623.4584297949496</v>
      </c>
      <c r="AM89" s="498">
        <f t="shared" si="73"/>
        <v>4623.4584297949496</v>
      </c>
      <c r="AN89" s="498">
        <f t="shared" si="73"/>
        <v>4618.8400515811891</v>
      </c>
      <c r="AO89" s="498">
        <f t="shared" si="73"/>
        <v>4750.980957186508</v>
      </c>
      <c r="AP89" s="498">
        <f t="shared" si="73"/>
        <v>4750.980957186508</v>
      </c>
      <c r="AQ89" s="498">
        <f t="shared" si="73"/>
        <v>4750.980957186508</v>
      </c>
      <c r="AR89" s="498">
        <f t="shared" si="73"/>
        <v>4750.980957186508</v>
      </c>
      <c r="AS89" s="498">
        <f t="shared" si="73"/>
        <v>4750.980957186508</v>
      </c>
      <c r="AT89" s="498">
        <f t="shared" si="73"/>
        <v>4745.9550596331546</v>
      </c>
      <c r="AU89" s="498">
        <f t="shared" si="73"/>
        <v>4936.3310592109992</v>
      </c>
      <c r="AV89" s="498">
        <f t="shared" si="73"/>
        <v>4936.3310592109992</v>
      </c>
      <c r="AW89" s="498">
        <f t="shared" si="73"/>
        <v>4936.3310592109992</v>
      </c>
      <c r="AX89" s="498">
        <f t="shared" si="73"/>
        <v>4936.3310592109992</v>
      </c>
      <c r="AY89" s="498">
        <f t="shared" si="73"/>
        <v>4936.3310592109992</v>
      </c>
      <c r="AZ89" s="498">
        <f t="shared" si="73"/>
        <v>4930.7914665062408</v>
      </c>
      <c r="BA89" s="498">
        <f t="shared" si="73"/>
        <v>5094.446857791947</v>
      </c>
      <c r="BB89" s="498">
        <f t="shared" si="73"/>
        <v>5094.446857791947</v>
      </c>
      <c r="BC89" s="498">
        <f t="shared" ref="BC89:CD89" si="74">IFERROR(BC27/BC$9,0)</f>
        <v>5094.446857791947</v>
      </c>
      <c r="BD89" s="498">
        <f t="shared" si="74"/>
        <v>5094.446857791947</v>
      </c>
      <c r="BE89" s="498">
        <f t="shared" si="74"/>
        <v>5094.446857791947</v>
      </c>
      <c r="BF89" s="498">
        <f t="shared" si="74"/>
        <v>5088.3711906985736</v>
      </c>
      <c r="BG89" s="498">
        <f t="shared" si="74"/>
        <v>5256.5889561431468</v>
      </c>
      <c r="BH89" s="498">
        <f t="shared" si="74"/>
        <v>5256.5889561431468</v>
      </c>
      <c r="BI89" s="498">
        <f t="shared" si="74"/>
        <v>5256.5889561431468</v>
      </c>
      <c r="BJ89" s="498">
        <f t="shared" si="74"/>
        <v>5256.5889561431468</v>
      </c>
      <c r="BK89" s="498">
        <f t="shared" si="74"/>
        <v>5256.5889561431468</v>
      </c>
      <c r="BL89" s="498">
        <f t="shared" si="74"/>
        <v>5249.9139225480449</v>
      </c>
      <c r="BM89" s="498">
        <f t="shared" si="74"/>
        <v>5447.0430106085478</v>
      </c>
      <c r="BN89" s="498">
        <f t="shared" si="74"/>
        <v>5447.0430106085478</v>
      </c>
      <c r="BO89" s="498">
        <f t="shared" si="74"/>
        <v>5447.0430106085478</v>
      </c>
      <c r="BP89" s="498">
        <f t="shared" si="74"/>
        <v>5447.0430106085478</v>
      </c>
      <c r="BQ89" s="498">
        <f t="shared" si="74"/>
        <v>5447.0430106085478</v>
      </c>
      <c r="BR89" s="498">
        <f t="shared" si="74"/>
        <v>5439.6631934962188</v>
      </c>
      <c r="BS89" s="498">
        <f t="shared" si="74"/>
        <v>5593.9817932582973</v>
      </c>
      <c r="BT89" s="498">
        <f t="shared" si="74"/>
        <v>5593.9817932582973</v>
      </c>
      <c r="BU89" s="498">
        <f t="shared" si="74"/>
        <v>5593.9817932582973</v>
      </c>
      <c r="BV89" s="498">
        <f t="shared" si="74"/>
        <v>5593.9817932582973</v>
      </c>
      <c r="BW89" s="498">
        <f t="shared" si="74"/>
        <v>5593.9817932582973</v>
      </c>
      <c r="BX89" s="498">
        <f t="shared" si="74"/>
        <v>5585.8780966144359</v>
      </c>
      <c r="BY89" s="498">
        <f t="shared" si="74"/>
        <v>5818.504031760076</v>
      </c>
      <c r="BZ89" s="498">
        <f t="shared" si="74"/>
        <v>5818.504031760076</v>
      </c>
      <c r="CA89" s="498">
        <f t="shared" si="74"/>
        <v>5818.504031760076</v>
      </c>
      <c r="CB89" s="498">
        <f t="shared" si="74"/>
        <v>5818.504031760076</v>
      </c>
      <c r="CC89" s="498">
        <f t="shared" si="74"/>
        <v>5818.504031760076</v>
      </c>
      <c r="CD89" s="498">
        <f t="shared" si="74"/>
        <v>5809.4704903352049</v>
      </c>
      <c r="CG89" s="8"/>
    </row>
    <row r="90" spans="1:85" x14ac:dyDescent="0.3">
      <c r="A90" s="7"/>
      <c r="B90" s="1"/>
      <c r="C90" s="2"/>
      <c r="D90" s="2"/>
      <c r="E90" s="2"/>
      <c r="F90" s="58"/>
      <c r="G90" s="58"/>
      <c r="H90" s="58"/>
      <c r="I90" s="37"/>
      <c r="J90" s="37"/>
      <c r="K90" s="37"/>
      <c r="L90" s="37"/>
      <c r="M90" s="58"/>
      <c r="N90" s="37"/>
      <c r="O90" s="37"/>
      <c r="P90" s="37"/>
      <c r="Q90" s="37"/>
      <c r="R90" s="37"/>
      <c r="S90" s="37"/>
      <c r="T90" s="37"/>
      <c r="U90" s="35"/>
      <c r="W90" s="37"/>
      <c r="X90" s="37"/>
      <c r="Y90" s="37"/>
      <c r="Z90" s="37"/>
      <c r="AA90" s="37"/>
      <c r="AB90" s="37"/>
      <c r="AC90" s="37"/>
      <c r="AD90" s="37"/>
      <c r="AE90" s="37"/>
      <c r="AF90" s="37"/>
      <c r="AG90" s="37"/>
      <c r="AH90" s="37"/>
      <c r="AI90" s="37"/>
      <c r="AJ90" s="37"/>
      <c r="AK90" s="37"/>
      <c r="AL90" s="37"/>
      <c r="AM90" s="37"/>
      <c r="AN90" s="37"/>
      <c r="AO90" s="37"/>
      <c r="AP90" s="37"/>
      <c r="AQ90" s="37"/>
      <c r="AR90" s="37"/>
      <c r="AS90" s="37"/>
      <c r="AT90" s="37"/>
      <c r="AU90" s="37"/>
      <c r="AV90" s="37"/>
      <c r="AW90" s="37"/>
      <c r="AX90" s="37"/>
      <c r="AY90" s="37"/>
      <c r="AZ90" s="37"/>
      <c r="BA90" s="37"/>
      <c r="BB90" s="37"/>
      <c r="BC90" s="37"/>
      <c r="BD90" s="37"/>
      <c r="BE90" s="37"/>
      <c r="BF90" s="37"/>
      <c r="BG90" s="37"/>
      <c r="BH90" s="37"/>
      <c r="BI90" s="37"/>
      <c r="BJ90" s="37"/>
      <c r="BK90" s="37"/>
      <c r="BL90" s="37"/>
      <c r="BM90" s="37"/>
      <c r="BN90" s="37"/>
      <c r="BO90" s="37"/>
      <c r="BP90" s="37"/>
      <c r="BQ90" s="37"/>
      <c r="BR90" s="37"/>
      <c r="BS90" s="37"/>
      <c r="BT90" s="37"/>
      <c r="BU90" s="37"/>
      <c r="BV90" s="37"/>
      <c r="BW90" s="37"/>
      <c r="BX90" s="37"/>
      <c r="BY90" s="37"/>
      <c r="BZ90" s="37"/>
      <c r="CA90" s="37"/>
      <c r="CB90" s="37"/>
      <c r="CC90" s="37"/>
      <c r="CD90" s="37"/>
    </row>
    <row r="91" spans="1:85" x14ac:dyDescent="0.3">
      <c r="A91" s="7"/>
      <c r="B91" s="1"/>
      <c r="C91" s="2"/>
      <c r="D91" s="2"/>
      <c r="E91" s="17" t="s">
        <v>23</v>
      </c>
      <c r="F91" s="37"/>
      <c r="G91" s="37"/>
      <c r="H91" s="37"/>
      <c r="I91" s="37"/>
      <c r="J91" s="37"/>
      <c r="K91" s="37"/>
      <c r="L91" s="37"/>
      <c r="M91" s="37"/>
      <c r="N91" s="37"/>
      <c r="O91" s="37"/>
      <c r="P91" s="37"/>
      <c r="Q91" s="37"/>
      <c r="R91" s="37"/>
      <c r="S91" s="37"/>
      <c r="T91" s="37"/>
      <c r="U91" s="35"/>
      <c r="W91" s="37"/>
      <c r="X91" s="37"/>
      <c r="Y91" s="37"/>
      <c r="Z91" s="37"/>
      <c r="AA91" s="37"/>
      <c r="AB91" s="37"/>
      <c r="AC91" s="37"/>
      <c r="AD91" s="37"/>
      <c r="AE91" s="37"/>
      <c r="AF91" s="37"/>
      <c r="AG91" s="37"/>
      <c r="AH91" s="37"/>
      <c r="AI91" s="37"/>
      <c r="AJ91" s="37"/>
      <c r="AK91" s="37"/>
      <c r="AL91" s="37"/>
      <c r="AM91" s="37"/>
      <c r="AN91" s="37"/>
      <c r="AO91" s="37"/>
      <c r="AP91" s="37"/>
      <c r="AQ91" s="37"/>
      <c r="AR91" s="37"/>
      <c r="AS91" s="37"/>
      <c r="AT91" s="37"/>
      <c r="AU91" s="37"/>
      <c r="AV91" s="37"/>
      <c r="AW91" s="37"/>
      <c r="AX91" s="37"/>
      <c r="AY91" s="37"/>
      <c r="AZ91" s="37"/>
      <c r="BA91" s="37"/>
      <c r="BB91" s="37"/>
      <c r="BC91" s="37"/>
      <c r="BD91" s="37"/>
      <c r="BE91" s="37"/>
      <c r="BF91" s="37"/>
      <c r="BG91" s="37"/>
      <c r="BH91" s="37"/>
      <c r="BI91" s="37"/>
      <c r="BJ91" s="37"/>
      <c r="BK91" s="37"/>
      <c r="BL91" s="37"/>
      <c r="BM91" s="37"/>
      <c r="BN91" s="37"/>
      <c r="BO91" s="37"/>
      <c r="BP91" s="37"/>
      <c r="BQ91" s="37"/>
      <c r="BR91" s="37"/>
      <c r="BS91" s="37"/>
      <c r="BT91" s="37"/>
      <c r="BU91" s="37"/>
      <c r="BV91" s="37"/>
      <c r="BW91" s="37"/>
      <c r="BX91" s="37"/>
      <c r="BY91" s="37"/>
      <c r="BZ91" s="37"/>
      <c r="CA91" s="37"/>
      <c r="CB91" s="37"/>
      <c r="CC91" s="37"/>
      <c r="CD91" s="37"/>
    </row>
    <row r="92" spans="1:85" x14ac:dyDescent="0.3">
      <c r="A92" s="7"/>
      <c r="B92" s="1"/>
      <c r="C92" s="2"/>
      <c r="D92" s="2"/>
      <c r="E92" s="4" t="s">
        <v>391</v>
      </c>
      <c r="F92" s="5"/>
      <c r="G92" s="5"/>
      <c r="H92" s="5"/>
      <c r="I92" s="498">
        <f>I31/I$9</f>
        <v>11675.532629870124</v>
      </c>
      <c r="J92" s="498">
        <f>J31/J$9</f>
        <v>10597.217110389611</v>
      </c>
      <c r="K92" s="498">
        <f>K31/K$9</f>
        <v>9409.9234415584415</v>
      </c>
      <c r="L92" s="498">
        <f>L31/L$9</f>
        <v>9058.8530844155794</v>
      </c>
      <c r="M92" s="5"/>
      <c r="N92" s="498">
        <f t="shared" ref="N92:N97" si="75">IFERROR(N31/N$9,0)</f>
        <v>9675.1195093093393</v>
      </c>
      <c r="O92" s="498">
        <f t="shared" si="60"/>
        <v>9783.6394984223625</v>
      </c>
      <c r="P92" s="498">
        <f t="shared" si="60"/>
        <v>9959.9950976958244</v>
      </c>
      <c r="Q92" s="498">
        <f t="shared" si="60"/>
        <v>10131.674504523344</v>
      </c>
      <c r="R92" s="498">
        <f t="shared" si="60"/>
        <v>10307.492089624817</v>
      </c>
      <c r="S92" s="498">
        <f t="shared" si="60"/>
        <v>10483.127587549408</v>
      </c>
      <c r="T92" s="57"/>
      <c r="U92" s="55">
        <f t="shared" si="61"/>
        <v>1.6171257430613872E-2</v>
      </c>
      <c r="W92" s="498">
        <f t="shared" ref="W92:BB92" si="76">IFERROR(W31/W$9,0)</f>
        <v>806.25995910911172</v>
      </c>
      <c r="X92" s="498">
        <f t="shared" si="76"/>
        <v>806.25995910911172</v>
      </c>
      <c r="Y92" s="498">
        <f t="shared" si="76"/>
        <v>806.25995910911172</v>
      </c>
      <c r="Z92" s="498">
        <f t="shared" si="76"/>
        <v>806.25995910911172</v>
      </c>
      <c r="AA92" s="498">
        <f t="shared" si="76"/>
        <v>806.25995910911172</v>
      </c>
      <c r="AB92" s="498">
        <f t="shared" si="76"/>
        <v>805.53847368709012</v>
      </c>
      <c r="AC92" s="498">
        <f t="shared" si="76"/>
        <v>824.59670883422234</v>
      </c>
      <c r="AD92" s="498">
        <f t="shared" si="76"/>
        <v>824.59670883422234</v>
      </c>
      <c r="AE92" s="498">
        <f t="shared" si="76"/>
        <v>824.59670883422234</v>
      </c>
      <c r="AF92" s="498">
        <f t="shared" si="76"/>
        <v>824.59670883422234</v>
      </c>
      <c r="AG92" s="498">
        <f t="shared" si="76"/>
        <v>824.59670883422234</v>
      </c>
      <c r="AH92" s="498">
        <f t="shared" si="76"/>
        <v>823.81768501860188</v>
      </c>
      <c r="AI92" s="498">
        <f t="shared" si="76"/>
        <v>818.92489450311643</v>
      </c>
      <c r="AJ92" s="498">
        <f t="shared" si="76"/>
        <v>818.92489450311643</v>
      </c>
      <c r="AK92" s="498">
        <f t="shared" si="76"/>
        <v>818.92489450311643</v>
      </c>
      <c r="AL92" s="498">
        <f t="shared" si="76"/>
        <v>818.92489450311643</v>
      </c>
      <c r="AM92" s="498">
        <f t="shared" si="76"/>
        <v>818.92489450311643</v>
      </c>
      <c r="AN92" s="498">
        <f t="shared" si="76"/>
        <v>818.10686943618691</v>
      </c>
      <c r="AO92" s="498">
        <f t="shared" si="76"/>
        <v>841.35896668985959</v>
      </c>
      <c r="AP92" s="498">
        <f t="shared" si="76"/>
        <v>841.35896668985959</v>
      </c>
      <c r="AQ92" s="498">
        <f t="shared" si="76"/>
        <v>841.35896668985959</v>
      </c>
      <c r="AR92" s="498">
        <f t="shared" si="76"/>
        <v>841.35896668985959</v>
      </c>
      <c r="AS92" s="498">
        <f t="shared" si="76"/>
        <v>841.35896668985959</v>
      </c>
      <c r="AT92" s="498">
        <f t="shared" si="76"/>
        <v>840.4689222947577</v>
      </c>
      <c r="AU92" s="498">
        <f t="shared" si="76"/>
        <v>831.25369081365943</v>
      </c>
      <c r="AV92" s="498">
        <f t="shared" si="76"/>
        <v>831.25369081365943</v>
      </c>
      <c r="AW92" s="498">
        <f t="shared" si="76"/>
        <v>831.25369081365943</v>
      </c>
      <c r="AX92" s="498">
        <f t="shared" si="76"/>
        <v>831.25369081365943</v>
      </c>
      <c r="AY92" s="498">
        <f t="shared" si="76"/>
        <v>831.25369081365943</v>
      </c>
      <c r="AZ92" s="498">
        <f t="shared" si="76"/>
        <v>830.32085085090148</v>
      </c>
      <c r="BA92" s="498">
        <f t="shared" si="76"/>
        <v>857.68467989425017</v>
      </c>
      <c r="BB92" s="498">
        <f t="shared" si="76"/>
        <v>857.68467989425017</v>
      </c>
      <c r="BC92" s="498">
        <f t="shared" ref="BC92:CD92" si="77">IFERROR(BC31/BC$9,0)</f>
        <v>857.68467989425017</v>
      </c>
      <c r="BD92" s="498">
        <f t="shared" si="77"/>
        <v>857.68467989425017</v>
      </c>
      <c r="BE92" s="498">
        <f t="shared" si="77"/>
        <v>857.68467989425017</v>
      </c>
      <c r="BF92" s="498">
        <f t="shared" si="77"/>
        <v>856.6618001328975</v>
      </c>
      <c r="BG92" s="498">
        <f t="shared" si="77"/>
        <v>843.97365302786102</v>
      </c>
      <c r="BH92" s="498">
        <f t="shared" si="77"/>
        <v>843.97365302786102</v>
      </c>
      <c r="BI92" s="498">
        <f t="shared" si="77"/>
        <v>843.97365302786102</v>
      </c>
      <c r="BJ92" s="498">
        <f t="shared" si="77"/>
        <v>843.97365302786102</v>
      </c>
      <c r="BK92" s="498">
        <f t="shared" si="77"/>
        <v>843.97365302786102</v>
      </c>
      <c r="BL92" s="498">
        <f t="shared" si="77"/>
        <v>842.90194045258761</v>
      </c>
      <c r="BM92" s="498">
        <f t="shared" si="77"/>
        <v>874.31773931807345</v>
      </c>
      <c r="BN92" s="498">
        <f t="shared" si="77"/>
        <v>874.31773931807345</v>
      </c>
      <c r="BO92" s="498">
        <f t="shared" si="77"/>
        <v>874.31773931807345</v>
      </c>
      <c r="BP92" s="498">
        <f t="shared" si="77"/>
        <v>874.31773931807345</v>
      </c>
      <c r="BQ92" s="498">
        <f t="shared" si="77"/>
        <v>874.31773931807345</v>
      </c>
      <c r="BR92" s="498">
        <f t="shared" si="77"/>
        <v>873.13318744255787</v>
      </c>
      <c r="BS92" s="498">
        <f t="shared" si="77"/>
        <v>856.75444252951343</v>
      </c>
      <c r="BT92" s="498">
        <f t="shared" si="77"/>
        <v>856.75444252951343</v>
      </c>
      <c r="BU92" s="498">
        <f t="shared" si="77"/>
        <v>856.75444252951343</v>
      </c>
      <c r="BV92" s="498">
        <f t="shared" si="77"/>
        <v>856.75444252951343</v>
      </c>
      <c r="BW92" s="498">
        <f t="shared" si="77"/>
        <v>856.75444252951343</v>
      </c>
      <c r="BX92" s="498">
        <f t="shared" si="77"/>
        <v>855.51330904765109</v>
      </c>
      <c r="BY92" s="498">
        <f t="shared" si="77"/>
        <v>890.87086515599037</v>
      </c>
      <c r="BZ92" s="498">
        <f t="shared" si="77"/>
        <v>890.87086515599037</v>
      </c>
      <c r="CA92" s="498">
        <f t="shared" si="77"/>
        <v>890.87086515599037</v>
      </c>
      <c r="CB92" s="498">
        <f t="shared" si="77"/>
        <v>890.87086515599037</v>
      </c>
      <c r="CC92" s="498">
        <f t="shared" si="77"/>
        <v>890.87086515599037</v>
      </c>
      <c r="CD92" s="498">
        <f t="shared" si="77"/>
        <v>889.48774007423901</v>
      </c>
      <c r="CG92" s="8"/>
    </row>
    <row r="93" spans="1:85" x14ac:dyDescent="0.3">
      <c r="A93" s="7"/>
      <c r="B93" s="1"/>
      <c r="C93" s="2"/>
      <c r="D93" s="2"/>
      <c r="E93" s="2" t="s">
        <v>392</v>
      </c>
      <c r="F93" s="54"/>
      <c r="G93" s="54"/>
      <c r="H93" s="54"/>
      <c r="I93" s="497">
        <f t="shared" ref="I93:L97" si="78">I32/I$9</f>
        <v>-6887.2387012987047</v>
      </c>
      <c r="J93" s="497">
        <f t="shared" si="78"/>
        <v>-6023.0115584415635</v>
      </c>
      <c r="K93" s="497">
        <f t="shared" si="78"/>
        <v>-4993.6627922077942</v>
      </c>
      <c r="L93" s="497">
        <f t="shared" si="78"/>
        <v>-4727.5473701298697</v>
      </c>
      <c r="M93" s="54"/>
      <c r="N93" s="497">
        <f t="shared" si="75"/>
        <v>-4891.8159274434665</v>
      </c>
      <c r="O93" s="497">
        <f t="shared" si="60"/>
        <v>-4946.7211544917163</v>
      </c>
      <c r="P93" s="497">
        <f t="shared" si="60"/>
        <v>-5035.9428416175788</v>
      </c>
      <c r="Q93" s="497">
        <f t="shared" si="60"/>
        <v>-5122.7993904170226</v>
      </c>
      <c r="R93" s="497">
        <f t="shared" si="60"/>
        <v>-5211.7575974561714</v>
      </c>
      <c r="S93" s="497">
        <f t="shared" si="60"/>
        <v>-5300.6333586669516</v>
      </c>
      <c r="T93" s="37"/>
      <c r="U93" s="50">
        <f t="shared" si="61"/>
        <v>1.6182079330628873E-2</v>
      </c>
      <c r="W93" s="497">
        <f t="shared" ref="W93:BB93" si="79">IFERROR(W32/W$9,0)</f>
        <v>-407.65132728695551</v>
      </c>
      <c r="X93" s="497">
        <f t="shared" si="79"/>
        <v>-407.65132728695551</v>
      </c>
      <c r="Y93" s="497">
        <f t="shared" si="79"/>
        <v>-407.65132728695551</v>
      </c>
      <c r="Z93" s="497">
        <f t="shared" si="79"/>
        <v>-407.65132728695551</v>
      </c>
      <c r="AA93" s="497">
        <f t="shared" si="79"/>
        <v>-407.65132728695551</v>
      </c>
      <c r="AB93" s="497">
        <f t="shared" si="79"/>
        <v>-407.28653862719091</v>
      </c>
      <c r="AC93" s="497">
        <f t="shared" si="79"/>
        <v>-416.9286442876201</v>
      </c>
      <c r="AD93" s="497">
        <f t="shared" si="79"/>
        <v>-416.9286442876201</v>
      </c>
      <c r="AE93" s="497">
        <f t="shared" si="79"/>
        <v>-416.9286442876201</v>
      </c>
      <c r="AF93" s="497">
        <f t="shared" si="79"/>
        <v>-416.9286442876201</v>
      </c>
      <c r="AG93" s="497">
        <f t="shared" si="79"/>
        <v>-416.9286442876201</v>
      </c>
      <c r="AH93" s="497">
        <f t="shared" si="79"/>
        <v>-416.53475799164698</v>
      </c>
      <c r="AI93" s="497">
        <f t="shared" si="79"/>
        <v>-414.05826717603981</v>
      </c>
      <c r="AJ93" s="497">
        <f t="shared" si="79"/>
        <v>-414.05826717603981</v>
      </c>
      <c r="AK93" s="497">
        <f t="shared" si="79"/>
        <v>-414.05826717603981</v>
      </c>
      <c r="AL93" s="497">
        <f t="shared" si="79"/>
        <v>-414.05826717603981</v>
      </c>
      <c r="AM93" s="497">
        <f t="shared" si="79"/>
        <v>-414.05826717603981</v>
      </c>
      <c r="AN93" s="497">
        <f t="shared" si="79"/>
        <v>-413.64466387249763</v>
      </c>
      <c r="AO93" s="497">
        <f t="shared" si="79"/>
        <v>-425.40947795987762</v>
      </c>
      <c r="AP93" s="497">
        <f t="shared" si="79"/>
        <v>-425.40947795987762</v>
      </c>
      <c r="AQ93" s="497">
        <f t="shared" si="79"/>
        <v>-425.40947795987762</v>
      </c>
      <c r="AR93" s="497">
        <f t="shared" si="79"/>
        <v>-425.40947795987762</v>
      </c>
      <c r="AS93" s="497">
        <f t="shared" si="79"/>
        <v>-425.40947795987762</v>
      </c>
      <c r="AT93" s="497">
        <f t="shared" si="79"/>
        <v>-424.95945206549499</v>
      </c>
      <c r="AU93" s="497">
        <f t="shared" si="79"/>
        <v>-420.29521588687732</v>
      </c>
      <c r="AV93" s="497">
        <f t="shared" si="79"/>
        <v>-420.29521588687732</v>
      </c>
      <c r="AW93" s="497">
        <f t="shared" si="79"/>
        <v>-420.29521588687732</v>
      </c>
      <c r="AX93" s="497">
        <f t="shared" si="79"/>
        <v>-420.29521588687732</v>
      </c>
      <c r="AY93" s="497">
        <f t="shared" si="79"/>
        <v>-420.29521588687732</v>
      </c>
      <c r="AZ93" s="497">
        <f t="shared" si="79"/>
        <v>-419.82355702043486</v>
      </c>
      <c r="BA93" s="497">
        <f t="shared" si="79"/>
        <v>-433.66949178872869</v>
      </c>
      <c r="BB93" s="497">
        <f t="shared" si="79"/>
        <v>-433.66949178872869</v>
      </c>
      <c r="BC93" s="497">
        <f t="shared" ref="BC93:CD93" si="80">IFERROR(BC32/BC$9,0)</f>
        <v>-433.66949178872869</v>
      </c>
      <c r="BD93" s="497">
        <f t="shared" si="80"/>
        <v>-433.66949178872869</v>
      </c>
      <c r="BE93" s="497">
        <f t="shared" si="80"/>
        <v>-433.66949178872869</v>
      </c>
      <c r="BF93" s="497">
        <f t="shared" si="80"/>
        <v>-433.15229501855725</v>
      </c>
      <c r="BG93" s="497">
        <f t="shared" si="80"/>
        <v>-426.7307461363099</v>
      </c>
      <c r="BH93" s="497">
        <f t="shared" si="80"/>
        <v>-426.7307461363099</v>
      </c>
      <c r="BI93" s="497">
        <f t="shared" si="80"/>
        <v>-426.7307461363099</v>
      </c>
      <c r="BJ93" s="497">
        <f t="shared" si="80"/>
        <v>-426.7307461363099</v>
      </c>
      <c r="BK93" s="497">
        <f t="shared" si="80"/>
        <v>-426.7307461363099</v>
      </c>
      <c r="BL93" s="497">
        <f t="shared" si="80"/>
        <v>-426.18886582375586</v>
      </c>
      <c r="BM93" s="497">
        <f t="shared" si="80"/>
        <v>-442.08565864166445</v>
      </c>
      <c r="BN93" s="497">
        <f t="shared" si="80"/>
        <v>-442.08565864166445</v>
      </c>
      <c r="BO93" s="497">
        <f t="shared" si="80"/>
        <v>-442.08565864166445</v>
      </c>
      <c r="BP93" s="497">
        <f t="shared" si="80"/>
        <v>-442.08565864166445</v>
      </c>
      <c r="BQ93" s="497">
        <f t="shared" si="80"/>
        <v>-442.08565864166445</v>
      </c>
      <c r="BR93" s="497">
        <f t="shared" si="80"/>
        <v>-441.48670774254288</v>
      </c>
      <c r="BS93" s="497">
        <f t="shared" si="80"/>
        <v>-433.19787224730288</v>
      </c>
      <c r="BT93" s="497">
        <f t="shared" si="80"/>
        <v>-433.19787224730288</v>
      </c>
      <c r="BU93" s="497">
        <f t="shared" si="80"/>
        <v>-433.19787224730288</v>
      </c>
      <c r="BV93" s="497">
        <f t="shared" si="80"/>
        <v>-433.19787224730288</v>
      </c>
      <c r="BW93" s="497">
        <f t="shared" si="80"/>
        <v>-433.19787224730288</v>
      </c>
      <c r="BX93" s="497">
        <f t="shared" si="80"/>
        <v>-432.57032209193949</v>
      </c>
      <c r="BY93" s="497">
        <f t="shared" si="80"/>
        <v>-450.46217369435908</v>
      </c>
      <c r="BZ93" s="497">
        <f t="shared" si="80"/>
        <v>-450.46217369435908</v>
      </c>
      <c r="CA93" s="497">
        <f t="shared" si="80"/>
        <v>-450.46217369435908</v>
      </c>
      <c r="CB93" s="497">
        <f t="shared" si="80"/>
        <v>-450.46217369435908</v>
      </c>
      <c r="CC93" s="497">
        <f t="shared" si="80"/>
        <v>-450.46217369435908</v>
      </c>
      <c r="CD93" s="497">
        <f t="shared" si="80"/>
        <v>-449.76280686670134</v>
      </c>
      <c r="CG93" s="8"/>
    </row>
    <row r="94" spans="1:85" x14ac:dyDescent="0.3">
      <c r="A94" s="7"/>
      <c r="B94" s="1"/>
      <c r="C94" s="2"/>
      <c r="D94" s="2"/>
      <c r="E94" s="2" t="s">
        <v>393</v>
      </c>
      <c r="F94" s="54"/>
      <c r="G94" s="54"/>
      <c r="H94" s="54"/>
      <c r="I94" s="497">
        <f t="shared" si="78"/>
        <v>-1106.5488961038952</v>
      </c>
      <c r="J94" s="497">
        <f t="shared" si="78"/>
        <v>-837.21490259740244</v>
      </c>
      <c r="K94" s="497">
        <f t="shared" si="78"/>
        <v>-634.426266233766</v>
      </c>
      <c r="L94" s="497">
        <f t="shared" si="78"/>
        <v>-609.32620129870122</v>
      </c>
      <c r="M94" s="54"/>
      <c r="N94" s="497">
        <f t="shared" si="75"/>
        <v>-629.05070275636501</v>
      </c>
      <c r="O94" s="497">
        <f t="shared" si="60"/>
        <v>-636.16144976637577</v>
      </c>
      <c r="P94" s="497">
        <f t="shared" si="60"/>
        <v>-647.7206332068107</v>
      </c>
      <c r="Q94" s="497">
        <f t="shared" si="60"/>
        <v>-658.97470969381266</v>
      </c>
      <c r="R94" s="497">
        <f t="shared" si="60"/>
        <v>-670.50636724168464</v>
      </c>
      <c r="S94" s="497">
        <f t="shared" si="60"/>
        <v>-682.03497595607428</v>
      </c>
      <c r="T94" s="37"/>
      <c r="U94" s="50">
        <f t="shared" si="61"/>
        <v>1.6305319967617082E-2</v>
      </c>
      <c r="W94" s="497">
        <f t="shared" ref="W94:BB94" si="81">IFERROR(W33/W$9,0)</f>
        <v>-52.420891896363749</v>
      </c>
      <c r="X94" s="497">
        <f t="shared" si="81"/>
        <v>-52.420891896363749</v>
      </c>
      <c r="Y94" s="497">
        <f t="shared" si="81"/>
        <v>-52.420891896363749</v>
      </c>
      <c r="Z94" s="497">
        <f t="shared" si="81"/>
        <v>-52.420891896363749</v>
      </c>
      <c r="AA94" s="497">
        <f t="shared" si="81"/>
        <v>-52.420891896363749</v>
      </c>
      <c r="AB94" s="497">
        <f t="shared" si="81"/>
        <v>-52.37398282084127</v>
      </c>
      <c r="AC94" s="497">
        <f t="shared" si="81"/>
        <v>-53.622277700841423</v>
      </c>
      <c r="AD94" s="497">
        <f t="shared" si="81"/>
        <v>-53.622277700841423</v>
      </c>
      <c r="AE94" s="497">
        <f t="shared" si="81"/>
        <v>-53.622277700841423</v>
      </c>
      <c r="AF94" s="497">
        <f t="shared" si="81"/>
        <v>-53.622277700841423</v>
      </c>
      <c r="AG94" s="497">
        <f t="shared" si="81"/>
        <v>-53.622277700841423</v>
      </c>
      <c r="AH94" s="497">
        <f t="shared" si="81"/>
        <v>-53.571618959508548</v>
      </c>
      <c r="AI94" s="497">
        <f t="shared" si="81"/>
        <v>-53.251065086690893</v>
      </c>
      <c r="AJ94" s="497">
        <f t="shared" si="81"/>
        <v>-53.251065086690893</v>
      </c>
      <c r="AK94" s="497">
        <f t="shared" si="81"/>
        <v>-53.251065086690893</v>
      </c>
      <c r="AL94" s="497">
        <f t="shared" si="81"/>
        <v>-53.251065086690893</v>
      </c>
      <c r="AM94" s="497">
        <f t="shared" si="81"/>
        <v>-53.251065086690893</v>
      </c>
      <c r="AN94" s="497">
        <f t="shared" si="81"/>
        <v>-53.197872533412813</v>
      </c>
      <c r="AO94" s="497">
        <f t="shared" si="81"/>
        <v>-54.720887093940647</v>
      </c>
      <c r="AP94" s="497">
        <f t="shared" si="81"/>
        <v>-54.720887093940647</v>
      </c>
      <c r="AQ94" s="497">
        <f t="shared" si="81"/>
        <v>-54.720887093940647</v>
      </c>
      <c r="AR94" s="497">
        <f t="shared" si="81"/>
        <v>-54.720887093940647</v>
      </c>
      <c r="AS94" s="497">
        <f t="shared" si="81"/>
        <v>-54.720887093940647</v>
      </c>
      <c r="AT94" s="497">
        <f t="shared" si="81"/>
        <v>-54.662999770240297</v>
      </c>
      <c r="AU94" s="497">
        <f t="shared" si="81"/>
        <v>-54.059327623989347</v>
      </c>
      <c r="AV94" s="497">
        <f t="shared" si="81"/>
        <v>-54.059327623989347</v>
      </c>
      <c r="AW94" s="497">
        <f t="shared" si="81"/>
        <v>-54.059327623989347</v>
      </c>
      <c r="AX94" s="497">
        <f t="shared" si="81"/>
        <v>-54.059327623989347</v>
      </c>
      <c r="AY94" s="497">
        <f t="shared" si="81"/>
        <v>-54.059327623989347</v>
      </c>
      <c r="AZ94" s="497">
        <f t="shared" si="81"/>
        <v>-53.998661786682661</v>
      </c>
      <c r="BA94" s="497">
        <f t="shared" si="81"/>
        <v>-55.790991074861438</v>
      </c>
      <c r="BB94" s="497">
        <f t="shared" si="81"/>
        <v>-55.790991074861438</v>
      </c>
      <c r="BC94" s="497">
        <f t="shared" ref="BC94:CD94" si="82">IFERROR(BC33/BC$9,0)</f>
        <v>-55.790991074861438</v>
      </c>
      <c r="BD94" s="497">
        <f t="shared" si="82"/>
        <v>-55.790991074861438</v>
      </c>
      <c r="BE94" s="497">
        <f t="shared" si="82"/>
        <v>-55.790991074861438</v>
      </c>
      <c r="BF94" s="497">
        <f t="shared" si="82"/>
        <v>-55.724454412875922</v>
      </c>
      <c r="BG94" s="497">
        <f t="shared" si="82"/>
        <v>-54.893760276041967</v>
      </c>
      <c r="BH94" s="497">
        <f t="shared" si="82"/>
        <v>-54.893760276041967</v>
      </c>
      <c r="BI94" s="497">
        <f t="shared" si="82"/>
        <v>-54.893760276041967</v>
      </c>
      <c r="BJ94" s="497">
        <f t="shared" si="82"/>
        <v>-54.893760276041967</v>
      </c>
      <c r="BK94" s="497">
        <f t="shared" si="82"/>
        <v>-54.893760276041967</v>
      </c>
      <c r="BL94" s="497">
        <f t="shared" si="82"/>
        <v>-54.824053913786678</v>
      </c>
      <c r="BM94" s="497">
        <f t="shared" si="82"/>
        <v>-56.881762844111627</v>
      </c>
      <c r="BN94" s="497">
        <f t="shared" si="82"/>
        <v>-56.881762844111627</v>
      </c>
      <c r="BO94" s="497">
        <f t="shared" si="82"/>
        <v>-56.881762844111627</v>
      </c>
      <c r="BP94" s="497">
        <f t="shared" si="82"/>
        <v>-56.881762844111627</v>
      </c>
      <c r="BQ94" s="497">
        <f t="shared" si="82"/>
        <v>-56.881762844111627</v>
      </c>
      <c r="BR94" s="497">
        <f t="shared" si="82"/>
        <v>-56.804697727130034</v>
      </c>
      <c r="BS94" s="497">
        <f t="shared" si="82"/>
        <v>-55.73292384117736</v>
      </c>
      <c r="BT94" s="497">
        <f t="shared" si="82"/>
        <v>-55.73292384117736</v>
      </c>
      <c r="BU94" s="497">
        <f t="shared" si="82"/>
        <v>-55.73292384117736</v>
      </c>
      <c r="BV94" s="497">
        <f t="shared" si="82"/>
        <v>-55.73292384117736</v>
      </c>
      <c r="BW94" s="497">
        <f t="shared" si="82"/>
        <v>-55.73292384117736</v>
      </c>
      <c r="BX94" s="497">
        <f t="shared" si="82"/>
        <v>-55.652186590936623</v>
      </c>
      <c r="BY94" s="497">
        <f t="shared" si="82"/>
        <v>-57.968028108389433</v>
      </c>
      <c r="BZ94" s="497">
        <f t="shared" si="82"/>
        <v>-57.968028108389433</v>
      </c>
      <c r="CA94" s="497">
        <f t="shared" si="82"/>
        <v>-57.968028108389433</v>
      </c>
      <c r="CB94" s="497">
        <f t="shared" si="82"/>
        <v>-57.968028108389433</v>
      </c>
      <c r="CC94" s="497">
        <f t="shared" si="82"/>
        <v>-57.968028108389433</v>
      </c>
      <c r="CD94" s="497">
        <f t="shared" si="82"/>
        <v>-57.878029617303596</v>
      </c>
      <c r="CG94" s="8"/>
    </row>
    <row r="95" spans="1:85" x14ac:dyDescent="0.3">
      <c r="A95" s="7"/>
      <c r="B95" s="1"/>
      <c r="C95" s="2"/>
      <c r="D95" s="2"/>
      <c r="E95" s="4" t="s">
        <v>394</v>
      </c>
      <c r="F95" s="5"/>
      <c r="G95" s="5"/>
      <c r="H95" s="5"/>
      <c r="I95" s="498">
        <f t="shared" si="78"/>
        <v>3681.7450324675247</v>
      </c>
      <c r="J95" s="498">
        <f t="shared" si="78"/>
        <v>3736.9906493506446</v>
      </c>
      <c r="K95" s="498">
        <f t="shared" si="78"/>
        <v>3781.8343831168809</v>
      </c>
      <c r="L95" s="498">
        <f t="shared" si="78"/>
        <v>3721.979512987009</v>
      </c>
      <c r="M95" s="5"/>
      <c r="N95" s="498">
        <f t="shared" si="75"/>
        <v>4154.2528791095083</v>
      </c>
      <c r="O95" s="498">
        <f t="shared" si="60"/>
        <v>4200.7568941642694</v>
      </c>
      <c r="P95" s="498">
        <f t="shared" si="60"/>
        <v>4276.3316228714339</v>
      </c>
      <c r="Q95" s="498">
        <f t="shared" si="60"/>
        <v>4349.9004044125122</v>
      </c>
      <c r="R95" s="498">
        <f t="shared" si="60"/>
        <v>4425.2281249269618</v>
      </c>
      <c r="S95" s="498">
        <f t="shared" si="60"/>
        <v>4500.4592529263837</v>
      </c>
      <c r="T95" s="57"/>
      <c r="U95" s="55">
        <f t="shared" si="61"/>
        <v>1.6138206195276394E-2</v>
      </c>
      <c r="W95" s="498">
        <f t="shared" ref="W95:BB95" si="83">IFERROR(W34/W$9,0)</f>
        <v>346.18773992579247</v>
      </c>
      <c r="X95" s="498">
        <f t="shared" si="83"/>
        <v>346.18773992579247</v>
      </c>
      <c r="Y95" s="498">
        <f t="shared" si="83"/>
        <v>346.18773992579247</v>
      </c>
      <c r="Z95" s="498">
        <f t="shared" si="83"/>
        <v>346.18773992579247</v>
      </c>
      <c r="AA95" s="498">
        <f t="shared" si="83"/>
        <v>346.18773992579247</v>
      </c>
      <c r="AB95" s="498">
        <f t="shared" si="83"/>
        <v>345.87795223905795</v>
      </c>
      <c r="AC95" s="498">
        <f t="shared" si="83"/>
        <v>354.0457868457608</v>
      </c>
      <c r="AD95" s="498">
        <f t="shared" si="83"/>
        <v>354.0457868457608</v>
      </c>
      <c r="AE95" s="498">
        <f t="shared" si="83"/>
        <v>354.0457868457608</v>
      </c>
      <c r="AF95" s="498">
        <f t="shared" si="83"/>
        <v>354.0457868457608</v>
      </c>
      <c r="AG95" s="498">
        <f t="shared" si="83"/>
        <v>354.0457868457608</v>
      </c>
      <c r="AH95" s="498">
        <f t="shared" si="83"/>
        <v>353.71130806744634</v>
      </c>
      <c r="AI95" s="498">
        <f t="shared" si="83"/>
        <v>351.61556224038577</v>
      </c>
      <c r="AJ95" s="498">
        <f t="shared" si="83"/>
        <v>351.61556224038577</v>
      </c>
      <c r="AK95" s="498">
        <f t="shared" si="83"/>
        <v>351.61556224038577</v>
      </c>
      <c r="AL95" s="498">
        <f t="shared" si="83"/>
        <v>351.61556224038577</v>
      </c>
      <c r="AM95" s="498">
        <f t="shared" si="83"/>
        <v>351.61556224038577</v>
      </c>
      <c r="AN95" s="498">
        <f t="shared" si="83"/>
        <v>351.26433303027648</v>
      </c>
      <c r="AO95" s="498">
        <f t="shared" si="83"/>
        <v>361.22860163604128</v>
      </c>
      <c r="AP95" s="498">
        <f t="shared" si="83"/>
        <v>361.22860163604128</v>
      </c>
      <c r="AQ95" s="498">
        <f t="shared" si="83"/>
        <v>361.22860163604128</v>
      </c>
      <c r="AR95" s="498">
        <f t="shared" si="83"/>
        <v>361.22860163604128</v>
      </c>
      <c r="AS95" s="498">
        <f t="shared" si="83"/>
        <v>361.22860163604128</v>
      </c>
      <c r="AT95" s="498">
        <f t="shared" si="83"/>
        <v>360.84647045902244</v>
      </c>
      <c r="AU95" s="498">
        <f t="shared" si="83"/>
        <v>356.89914730279281</v>
      </c>
      <c r="AV95" s="498">
        <f t="shared" si="83"/>
        <v>356.89914730279281</v>
      </c>
      <c r="AW95" s="498">
        <f t="shared" si="83"/>
        <v>356.89914730279281</v>
      </c>
      <c r="AX95" s="498">
        <f t="shared" si="83"/>
        <v>356.89914730279281</v>
      </c>
      <c r="AY95" s="498">
        <f t="shared" si="83"/>
        <v>356.89914730279281</v>
      </c>
      <c r="AZ95" s="498">
        <f t="shared" si="83"/>
        <v>356.49863204378386</v>
      </c>
      <c r="BA95" s="498">
        <f t="shared" si="83"/>
        <v>368.22419703065998</v>
      </c>
      <c r="BB95" s="498">
        <f t="shared" si="83"/>
        <v>368.22419703065998</v>
      </c>
      <c r="BC95" s="498">
        <f t="shared" ref="BC95:CD95" si="84">IFERROR(BC34/BC$9,0)</f>
        <v>368.22419703065998</v>
      </c>
      <c r="BD95" s="498">
        <f t="shared" si="84"/>
        <v>368.22419703065998</v>
      </c>
      <c r="BE95" s="498">
        <f t="shared" si="84"/>
        <v>368.22419703065998</v>
      </c>
      <c r="BF95" s="498">
        <f t="shared" si="84"/>
        <v>367.78505070146434</v>
      </c>
      <c r="BG95" s="498">
        <f t="shared" si="84"/>
        <v>362.34914661550914</v>
      </c>
      <c r="BH95" s="498">
        <f t="shared" si="84"/>
        <v>362.34914661550914</v>
      </c>
      <c r="BI95" s="498">
        <f t="shared" si="84"/>
        <v>362.34914661550914</v>
      </c>
      <c r="BJ95" s="498">
        <f t="shared" si="84"/>
        <v>362.34914661550914</v>
      </c>
      <c r="BK95" s="498">
        <f t="shared" si="84"/>
        <v>362.34914661550914</v>
      </c>
      <c r="BL95" s="498">
        <f t="shared" si="84"/>
        <v>361.88902071504498</v>
      </c>
      <c r="BM95" s="498">
        <f t="shared" si="84"/>
        <v>375.35031783229732</v>
      </c>
      <c r="BN95" s="498">
        <f t="shared" si="84"/>
        <v>375.35031783229732</v>
      </c>
      <c r="BO95" s="498">
        <f t="shared" si="84"/>
        <v>375.35031783229732</v>
      </c>
      <c r="BP95" s="498">
        <f t="shared" si="84"/>
        <v>375.35031783229732</v>
      </c>
      <c r="BQ95" s="498">
        <f t="shared" si="84"/>
        <v>375.35031783229732</v>
      </c>
      <c r="BR95" s="498">
        <f t="shared" si="84"/>
        <v>374.84178197288497</v>
      </c>
      <c r="BS95" s="498">
        <f t="shared" si="84"/>
        <v>367.82364644103319</v>
      </c>
      <c r="BT95" s="498">
        <f t="shared" si="84"/>
        <v>367.82364644103319</v>
      </c>
      <c r="BU95" s="498">
        <f t="shared" si="84"/>
        <v>367.82364644103319</v>
      </c>
      <c r="BV95" s="498">
        <f t="shared" si="84"/>
        <v>367.82364644103319</v>
      </c>
      <c r="BW95" s="498">
        <f t="shared" si="84"/>
        <v>367.82364644103319</v>
      </c>
      <c r="BX95" s="498">
        <f t="shared" si="84"/>
        <v>367.29080036477495</v>
      </c>
      <c r="BY95" s="498">
        <f t="shared" si="84"/>
        <v>382.4406633532418</v>
      </c>
      <c r="BZ95" s="498">
        <f t="shared" si="84"/>
        <v>382.4406633532418</v>
      </c>
      <c r="CA95" s="498">
        <f t="shared" si="84"/>
        <v>382.4406633532418</v>
      </c>
      <c r="CB95" s="498">
        <f t="shared" si="84"/>
        <v>382.4406633532418</v>
      </c>
      <c r="CC95" s="498">
        <f t="shared" si="84"/>
        <v>382.4406633532418</v>
      </c>
      <c r="CD95" s="498">
        <f t="shared" si="84"/>
        <v>381.84690359023409</v>
      </c>
      <c r="CG95" s="8"/>
    </row>
    <row r="96" spans="1:85" x14ac:dyDescent="0.3">
      <c r="A96" s="7"/>
      <c r="B96" s="1"/>
      <c r="C96" s="2"/>
      <c r="D96" s="2"/>
      <c r="E96" s="2" t="s">
        <v>395</v>
      </c>
      <c r="F96" s="54"/>
      <c r="G96" s="54"/>
      <c r="H96" s="54"/>
      <c r="I96" s="497">
        <f t="shared" si="78"/>
        <v>-896.52866883116872</v>
      </c>
      <c r="J96" s="497">
        <f t="shared" si="78"/>
        <v>-539.30285714285696</v>
      </c>
      <c r="K96" s="497">
        <f t="shared" si="78"/>
        <v>-477.500616883117</v>
      </c>
      <c r="L96" s="497">
        <f t="shared" si="78"/>
        <v>-455.78220779220771</v>
      </c>
      <c r="M96" s="54"/>
      <c r="N96" s="497">
        <f t="shared" si="75"/>
        <v>-466.17319436224835</v>
      </c>
      <c r="O96" s="497">
        <f t="shared" si="60"/>
        <v>-471.3182239198436</v>
      </c>
      <c r="P96" s="497">
        <f t="shared" si="60"/>
        <v>-479.70181213089387</v>
      </c>
      <c r="Q96" s="497">
        <f t="shared" si="60"/>
        <v>-487.86040684135423</v>
      </c>
      <c r="R96" s="497">
        <f t="shared" si="60"/>
        <v>-496.18971753844426</v>
      </c>
      <c r="S96" s="497">
        <f t="shared" si="60"/>
        <v>-504.48151488987588</v>
      </c>
      <c r="T96" s="37"/>
      <c r="U96" s="50">
        <f t="shared" si="61"/>
        <v>1.592019147552759E-2</v>
      </c>
      <c r="W96" s="497">
        <f t="shared" ref="W96:BB96" si="85">IFERROR(W35/W$9,0)</f>
        <v>-38.847766196854039</v>
      </c>
      <c r="X96" s="497">
        <f t="shared" si="85"/>
        <v>-38.847766196854039</v>
      </c>
      <c r="Y96" s="497">
        <f t="shared" si="85"/>
        <v>-38.847766196854039</v>
      </c>
      <c r="Z96" s="497">
        <f t="shared" si="85"/>
        <v>-38.847766196854039</v>
      </c>
      <c r="AA96" s="497">
        <f t="shared" si="85"/>
        <v>-38.847766196854039</v>
      </c>
      <c r="AB96" s="497">
        <f t="shared" si="85"/>
        <v>-38.813003095111888</v>
      </c>
      <c r="AC96" s="497">
        <f t="shared" si="85"/>
        <v>-39.717318684429678</v>
      </c>
      <c r="AD96" s="497">
        <f t="shared" si="85"/>
        <v>-39.717318684429678</v>
      </c>
      <c r="AE96" s="497">
        <f t="shared" si="85"/>
        <v>-39.717318684429678</v>
      </c>
      <c r="AF96" s="497">
        <f t="shared" si="85"/>
        <v>-39.717318684429678</v>
      </c>
      <c r="AG96" s="497">
        <f t="shared" si="85"/>
        <v>-39.717318684429678</v>
      </c>
      <c r="AH96" s="497">
        <f t="shared" si="85"/>
        <v>-39.679796418313067</v>
      </c>
      <c r="AI96" s="497">
        <f t="shared" si="85"/>
        <v>-39.45201326347933</v>
      </c>
      <c r="AJ96" s="497">
        <f t="shared" si="85"/>
        <v>-39.45201326347933</v>
      </c>
      <c r="AK96" s="497">
        <f t="shared" si="85"/>
        <v>-39.45201326347933</v>
      </c>
      <c r="AL96" s="497">
        <f t="shared" si="85"/>
        <v>-39.45201326347933</v>
      </c>
      <c r="AM96" s="497">
        <f t="shared" si="85"/>
        <v>-39.45201326347933</v>
      </c>
      <c r="AN96" s="497">
        <f t="shared" si="85"/>
        <v>-39.412604599745954</v>
      </c>
      <c r="AO96" s="497">
        <f t="shared" si="85"/>
        <v>-40.511999574902838</v>
      </c>
      <c r="AP96" s="497">
        <f t="shared" si="85"/>
        <v>-40.511999574902838</v>
      </c>
      <c r="AQ96" s="497">
        <f t="shared" si="85"/>
        <v>-40.511999574902838</v>
      </c>
      <c r="AR96" s="497">
        <f t="shared" si="85"/>
        <v>-40.511999574902838</v>
      </c>
      <c r="AS96" s="497">
        <f t="shared" si="85"/>
        <v>-40.511999574902838</v>
      </c>
      <c r="AT96" s="497">
        <f t="shared" si="85"/>
        <v>-40.469143339237014</v>
      </c>
      <c r="AU96" s="497">
        <f t="shared" si="85"/>
        <v>-40.040015128156995</v>
      </c>
      <c r="AV96" s="497">
        <f t="shared" si="85"/>
        <v>-40.040015128156995</v>
      </c>
      <c r="AW96" s="497">
        <f t="shared" si="85"/>
        <v>-40.040015128156995</v>
      </c>
      <c r="AX96" s="497">
        <f t="shared" si="85"/>
        <v>-40.040015128156995</v>
      </c>
      <c r="AY96" s="497">
        <f t="shared" si="85"/>
        <v>-40.040015128156995</v>
      </c>
      <c r="AZ96" s="497">
        <f t="shared" si="85"/>
        <v>-39.995081882586177</v>
      </c>
      <c r="BA96" s="497">
        <f t="shared" si="85"/>
        <v>-41.285747823683657</v>
      </c>
      <c r="BB96" s="497">
        <f t="shared" si="85"/>
        <v>-41.285747823683657</v>
      </c>
      <c r="BC96" s="497">
        <f t="shared" ref="BC96:CD96" si="86">IFERROR(BC35/BC$9,0)</f>
        <v>-41.285747823683657</v>
      </c>
      <c r="BD96" s="497">
        <f t="shared" si="86"/>
        <v>-41.285747823683657</v>
      </c>
      <c r="BE96" s="497">
        <f t="shared" si="86"/>
        <v>-41.285747823683657</v>
      </c>
      <c r="BF96" s="497">
        <f t="shared" si="86"/>
        <v>-41.236510199564776</v>
      </c>
      <c r="BG96" s="497">
        <f t="shared" si="86"/>
        <v>-40.644416694615138</v>
      </c>
      <c r="BH96" s="497">
        <f t="shared" si="86"/>
        <v>-40.644416694615138</v>
      </c>
      <c r="BI96" s="497">
        <f t="shared" si="86"/>
        <v>-40.644416694615138</v>
      </c>
      <c r="BJ96" s="497">
        <f t="shared" si="86"/>
        <v>-40.644416694615138</v>
      </c>
      <c r="BK96" s="497">
        <f t="shared" si="86"/>
        <v>-40.644416694615138</v>
      </c>
      <c r="BL96" s="497">
        <f t="shared" si="86"/>
        <v>-40.592804736907688</v>
      </c>
      <c r="BM96" s="497">
        <f t="shared" si="86"/>
        <v>-42.071971616075743</v>
      </c>
      <c r="BN96" s="497">
        <f t="shared" si="86"/>
        <v>-42.071971616075743</v>
      </c>
      <c r="BO96" s="497">
        <f t="shared" si="86"/>
        <v>-42.071971616075743</v>
      </c>
      <c r="BP96" s="497">
        <f t="shared" si="86"/>
        <v>-42.071971616075743</v>
      </c>
      <c r="BQ96" s="497">
        <f t="shared" si="86"/>
        <v>-42.071971616075743</v>
      </c>
      <c r="BR96" s="497">
        <f t="shared" si="86"/>
        <v>-42.014971248082141</v>
      </c>
      <c r="BS96" s="497">
        <f t="shared" si="86"/>
        <v>-41.249256339356961</v>
      </c>
      <c r="BT96" s="497">
        <f t="shared" si="86"/>
        <v>-41.249256339356961</v>
      </c>
      <c r="BU96" s="497">
        <f t="shared" si="86"/>
        <v>-41.249256339356961</v>
      </c>
      <c r="BV96" s="497">
        <f t="shared" si="86"/>
        <v>-41.249256339356961</v>
      </c>
      <c r="BW96" s="497">
        <f t="shared" si="86"/>
        <v>-41.249256339356961</v>
      </c>
      <c r="BX96" s="497">
        <f t="shared" si="86"/>
        <v>-41.189500789104379</v>
      </c>
      <c r="BY96" s="497">
        <f t="shared" si="86"/>
        <v>-42.852043752305583</v>
      </c>
      <c r="BZ96" s="497">
        <f t="shared" si="86"/>
        <v>-42.852043752305583</v>
      </c>
      <c r="CA96" s="497">
        <f t="shared" si="86"/>
        <v>-42.852043752305583</v>
      </c>
      <c r="CB96" s="497">
        <f t="shared" si="86"/>
        <v>-42.852043752305583</v>
      </c>
      <c r="CC96" s="497">
        <f t="shared" si="86"/>
        <v>-42.852043752305583</v>
      </c>
      <c r="CD96" s="497">
        <f t="shared" si="86"/>
        <v>-42.78551364245881</v>
      </c>
      <c r="CG96" s="8"/>
    </row>
    <row r="97" spans="1:85" x14ac:dyDescent="0.3">
      <c r="A97" s="7"/>
      <c r="B97" s="1"/>
      <c r="C97" s="2"/>
      <c r="D97" s="2"/>
      <c r="E97" s="4" t="s">
        <v>396</v>
      </c>
      <c r="F97" s="5"/>
      <c r="G97" s="5"/>
      <c r="H97" s="5"/>
      <c r="I97" s="498">
        <f t="shared" si="78"/>
        <v>2785.2163636363562</v>
      </c>
      <c r="J97" s="498">
        <f t="shared" si="78"/>
        <v>3197.6877922077874</v>
      </c>
      <c r="K97" s="498">
        <f t="shared" si="78"/>
        <v>3304.3337662337635</v>
      </c>
      <c r="L97" s="498">
        <f t="shared" si="78"/>
        <v>3266.1973051948016</v>
      </c>
      <c r="M97" s="5"/>
      <c r="N97" s="498">
        <f t="shared" si="75"/>
        <v>3688.0796847472598</v>
      </c>
      <c r="O97" s="498">
        <f t="shared" si="60"/>
        <v>3729.4386702444276</v>
      </c>
      <c r="P97" s="498">
        <f t="shared" si="60"/>
        <v>3796.6298107405405</v>
      </c>
      <c r="Q97" s="498">
        <f t="shared" si="60"/>
        <v>3862.0399975711571</v>
      </c>
      <c r="R97" s="498">
        <f t="shared" si="60"/>
        <v>3929.0384073885175</v>
      </c>
      <c r="S97" s="498">
        <f t="shared" si="60"/>
        <v>3995.9777380365072</v>
      </c>
      <c r="T97" s="57"/>
      <c r="U97" s="55">
        <f t="shared" si="61"/>
        <v>1.6165749935677542E-2</v>
      </c>
      <c r="W97" s="498">
        <f t="shared" ref="W97:BB97" si="87">IFERROR(W36/W$9,0)</f>
        <v>307.33997372893845</v>
      </c>
      <c r="X97" s="498">
        <f t="shared" si="87"/>
        <v>307.33997372893845</v>
      </c>
      <c r="Y97" s="498">
        <f t="shared" si="87"/>
        <v>307.33997372893845</v>
      </c>
      <c r="Z97" s="498">
        <f t="shared" si="87"/>
        <v>307.33997372893845</v>
      </c>
      <c r="AA97" s="498">
        <f t="shared" si="87"/>
        <v>307.33997372893845</v>
      </c>
      <c r="AB97" s="498">
        <f t="shared" si="87"/>
        <v>307.06494914394608</v>
      </c>
      <c r="AC97" s="498">
        <f t="shared" si="87"/>
        <v>314.3284681613311</v>
      </c>
      <c r="AD97" s="498">
        <f t="shared" si="87"/>
        <v>314.3284681613311</v>
      </c>
      <c r="AE97" s="498">
        <f t="shared" si="87"/>
        <v>314.3284681613311</v>
      </c>
      <c r="AF97" s="498">
        <f t="shared" si="87"/>
        <v>314.3284681613311</v>
      </c>
      <c r="AG97" s="498">
        <f t="shared" si="87"/>
        <v>314.3284681613311</v>
      </c>
      <c r="AH97" s="498">
        <f t="shared" si="87"/>
        <v>314.03151164913328</v>
      </c>
      <c r="AI97" s="498">
        <f t="shared" si="87"/>
        <v>312.16354897690644</v>
      </c>
      <c r="AJ97" s="498">
        <f t="shared" si="87"/>
        <v>312.16354897690644</v>
      </c>
      <c r="AK97" s="498">
        <f t="shared" si="87"/>
        <v>312.16354897690644</v>
      </c>
      <c r="AL97" s="498">
        <f t="shared" si="87"/>
        <v>312.16354897690644</v>
      </c>
      <c r="AM97" s="498">
        <f t="shared" si="87"/>
        <v>312.16354897690644</v>
      </c>
      <c r="AN97" s="498">
        <f t="shared" si="87"/>
        <v>311.8517284305305</v>
      </c>
      <c r="AO97" s="498">
        <f t="shared" si="87"/>
        <v>320.71660206113847</v>
      </c>
      <c r="AP97" s="498">
        <f t="shared" si="87"/>
        <v>320.71660206113847</v>
      </c>
      <c r="AQ97" s="498">
        <f t="shared" si="87"/>
        <v>320.71660206113847</v>
      </c>
      <c r="AR97" s="498">
        <f t="shared" si="87"/>
        <v>320.71660206113847</v>
      </c>
      <c r="AS97" s="498">
        <f t="shared" si="87"/>
        <v>320.71660206113847</v>
      </c>
      <c r="AT97" s="498">
        <f t="shared" si="87"/>
        <v>320.37732711978543</v>
      </c>
      <c r="AU97" s="498">
        <f t="shared" si="87"/>
        <v>316.85913217463582</v>
      </c>
      <c r="AV97" s="498">
        <f t="shared" si="87"/>
        <v>316.85913217463582</v>
      </c>
      <c r="AW97" s="498">
        <f t="shared" si="87"/>
        <v>316.85913217463582</v>
      </c>
      <c r="AX97" s="498">
        <f t="shared" si="87"/>
        <v>316.85913217463582</v>
      </c>
      <c r="AY97" s="498">
        <f t="shared" si="87"/>
        <v>316.85913217463582</v>
      </c>
      <c r="AZ97" s="498">
        <f t="shared" si="87"/>
        <v>316.50355016119772</v>
      </c>
      <c r="BA97" s="498">
        <f t="shared" si="87"/>
        <v>326.93844920697632</v>
      </c>
      <c r="BB97" s="498">
        <f t="shared" si="87"/>
        <v>326.93844920697632</v>
      </c>
      <c r="BC97" s="498">
        <f t="shared" ref="BC97:CD97" si="88">IFERROR(BC36/BC$9,0)</f>
        <v>326.93844920697632</v>
      </c>
      <c r="BD97" s="498">
        <f t="shared" si="88"/>
        <v>326.93844920697632</v>
      </c>
      <c r="BE97" s="498">
        <f t="shared" si="88"/>
        <v>326.93844920697632</v>
      </c>
      <c r="BF97" s="498">
        <f t="shared" si="88"/>
        <v>326.54854050189954</v>
      </c>
      <c r="BG97" s="498">
        <f t="shared" si="88"/>
        <v>321.70472992089401</v>
      </c>
      <c r="BH97" s="498">
        <f t="shared" si="88"/>
        <v>321.70472992089401</v>
      </c>
      <c r="BI97" s="498">
        <f t="shared" si="88"/>
        <v>321.70472992089401</v>
      </c>
      <c r="BJ97" s="498">
        <f t="shared" si="88"/>
        <v>321.70472992089401</v>
      </c>
      <c r="BK97" s="498">
        <f t="shared" si="88"/>
        <v>321.70472992089401</v>
      </c>
      <c r="BL97" s="498">
        <f t="shared" si="88"/>
        <v>321.2962159781373</v>
      </c>
      <c r="BM97" s="498">
        <f t="shared" si="88"/>
        <v>333.27834621622156</v>
      </c>
      <c r="BN97" s="498">
        <f t="shared" si="88"/>
        <v>333.27834621622156</v>
      </c>
      <c r="BO97" s="498">
        <f t="shared" si="88"/>
        <v>333.27834621622156</v>
      </c>
      <c r="BP97" s="498">
        <f t="shared" si="88"/>
        <v>333.27834621622156</v>
      </c>
      <c r="BQ97" s="498">
        <f t="shared" si="88"/>
        <v>333.27834621622156</v>
      </c>
      <c r="BR97" s="498">
        <f t="shared" si="88"/>
        <v>332.82681072480284</v>
      </c>
      <c r="BS97" s="498">
        <f t="shared" si="88"/>
        <v>326.57439010167622</v>
      </c>
      <c r="BT97" s="498">
        <f t="shared" si="88"/>
        <v>326.57439010167622</v>
      </c>
      <c r="BU97" s="498">
        <f t="shared" si="88"/>
        <v>326.57439010167622</v>
      </c>
      <c r="BV97" s="498">
        <f t="shared" si="88"/>
        <v>326.57439010167622</v>
      </c>
      <c r="BW97" s="498">
        <f t="shared" si="88"/>
        <v>326.57439010167622</v>
      </c>
      <c r="BX97" s="498">
        <f t="shared" si="88"/>
        <v>326.10129957567057</v>
      </c>
      <c r="BY97" s="498">
        <f t="shared" si="88"/>
        <v>339.58861960093623</v>
      </c>
      <c r="BZ97" s="498">
        <f t="shared" si="88"/>
        <v>339.58861960093623</v>
      </c>
      <c r="CA97" s="498">
        <f t="shared" si="88"/>
        <v>339.58861960093623</v>
      </c>
      <c r="CB97" s="498">
        <f t="shared" si="88"/>
        <v>339.58861960093623</v>
      </c>
      <c r="CC97" s="498">
        <f t="shared" si="88"/>
        <v>339.58861960093623</v>
      </c>
      <c r="CD97" s="498">
        <f t="shared" si="88"/>
        <v>339.0613899477753</v>
      </c>
      <c r="CG97" s="8"/>
    </row>
    <row r="98" spans="1:85" x14ac:dyDescent="0.3">
      <c r="A98" s="7"/>
      <c r="B98" s="1"/>
      <c r="C98" s="2"/>
      <c r="D98" s="2"/>
      <c r="E98" s="2"/>
      <c r="F98" s="59"/>
      <c r="G98" s="59"/>
      <c r="H98" s="59"/>
      <c r="I98" s="60"/>
      <c r="J98" s="60"/>
      <c r="K98" s="60"/>
      <c r="L98" s="60"/>
      <c r="M98" s="59"/>
      <c r="N98" s="60"/>
      <c r="O98" s="60"/>
      <c r="P98" s="60"/>
      <c r="Q98" s="60"/>
      <c r="R98" s="60"/>
      <c r="S98" s="60"/>
      <c r="T98" s="60"/>
      <c r="U98" s="61"/>
      <c r="W98" s="60"/>
      <c r="X98" s="60"/>
      <c r="Y98" s="60"/>
      <c r="Z98" s="60"/>
      <c r="AA98" s="60"/>
      <c r="AB98" s="60"/>
      <c r="AC98" s="60"/>
      <c r="AD98" s="60"/>
      <c r="AE98" s="60"/>
      <c r="AF98" s="60"/>
      <c r="AG98" s="60"/>
      <c r="AH98" s="60"/>
      <c r="AI98" s="60"/>
      <c r="AJ98" s="60"/>
      <c r="AK98" s="60"/>
      <c r="AL98" s="60"/>
      <c r="AM98" s="60"/>
      <c r="AN98" s="60"/>
      <c r="AO98" s="60"/>
      <c r="AP98" s="60"/>
      <c r="AQ98" s="60"/>
      <c r="AR98" s="60"/>
      <c r="AS98" s="60"/>
      <c r="AT98" s="60"/>
      <c r="AU98" s="60"/>
      <c r="AV98" s="60"/>
      <c r="AW98" s="60"/>
      <c r="AX98" s="60"/>
      <c r="AY98" s="60"/>
      <c r="AZ98" s="60"/>
      <c r="BA98" s="60"/>
      <c r="BB98" s="60"/>
      <c r="BC98" s="60"/>
      <c r="BD98" s="60"/>
      <c r="BE98" s="60"/>
      <c r="BF98" s="60"/>
      <c r="BG98" s="60"/>
      <c r="BH98" s="60"/>
      <c r="BI98" s="60"/>
      <c r="BJ98" s="60"/>
      <c r="BK98" s="60"/>
      <c r="BL98" s="60"/>
      <c r="BM98" s="60"/>
      <c r="BN98" s="60"/>
      <c r="BO98" s="60"/>
      <c r="BP98" s="60"/>
      <c r="BQ98" s="60"/>
      <c r="BR98" s="60"/>
      <c r="BS98" s="60"/>
      <c r="BT98" s="60"/>
      <c r="BU98" s="60"/>
      <c r="BV98" s="60"/>
      <c r="BW98" s="60"/>
      <c r="BX98" s="60"/>
      <c r="BY98" s="60"/>
      <c r="BZ98" s="60"/>
      <c r="CA98" s="60"/>
      <c r="CB98" s="60"/>
      <c r="CC98" s="60"/>
      <c r="CD98" s="60"/>
    </row>
    <row r="99" spans="1:85" x14ac:dyDescent="0.3">
      <c r="A99" s="7"/>
      <c r="B99" s="1"/>
      <c r="C99" s="2"/>
      <c r="D99" s="2"/>
      <c r="E99" s="62" t="s">
        <v>24</v>
      </c>
      <c r="F99" s="63"/>
      <c r="G99" s="63"/>
      <c r="H99" s="63"/>
      <c r="I99" s="501">
        <f>I39/I$9</f>
        <v>45355.993051948084</v>
      </c>
      <c r="J99" s="501">
        <f>J39/J$9</f>
        <v>49305.295519480525</v>
      </c>
      <c r="K99" s="501">
        <f>K39/K$9</f>
        <v>49863.345811688334</v>
      </c>
      <c r="L99" s="501">
        <f>L39/L$9</f>
        <v>50012.700064935045</v>
      </c>
      <c r="M99" s="63"/>
      <c r="N99" s="501">
        <f>IFERROR(N39/N$9,0)</f>
        <v>52663.397498579208</v>
      </c>
      <c r="O99" s="501">
        <f t="shared" si="60"/>
        <v>56100.690294872547</v>
      </c>
      <c r="P99" s="501">
        <f t="shared" si="60"/>
        <v>60033.62185686217</v>
      </c>
      <c r="Q99" s="501">
        <f t="shared" si="60"/>
        <v>64035.092239790683</v>
      </c>
      <c r="R99" s="501">
        <f t="shared" si="60"/>
        <v>68136.775357191247</v>
      </c>
      <c r="S99" s="501">
        <f t="shared" si="60"/>
        <v>72453.75545007801</v>
      </c>
      <c r="T99" s="57"/>
      <c r="U99" s="55">
        <f t="shared" si="61"/>
        <v>6.588513491255954E-2</v>
      </c>
      <c r="W99" s="501">
        <f t="shared" ref="W99:BB99" si="89">IFERROR(W39/W$9,0)</f>
        <v>4622.9128498109076</v>
      </c>
      <c r="X99" s="501">
        <f t="shared" si="89"/>
        <v>4622.9128498109076</v>
      </c>
      <c r="Y99" s="501">
        <f t="shared" si="89"/>
        <v>4622.9128498109076</v>
      </c>
      <c r="Z99" s="501">
        <f t="shared" si="89"/>
        <v>4622.9128498109076</v>
      </c>
      <c r="AA99" s="501">
        <f t="shared" si="89"/>
        <v>4622.9128498109076</v>
      </c>
      <c r="AB99" s="501">
        <f t="shared" si="89"/>
        <v>4618.7760150459762</v>
      </c>
      <c r="AC99" s="501">
        <f t="shared" si="89"/>
        <v>4728.6362216649131</v>
      </c>
      <c r="AD99" s="501">
        <f t="shared" si="89"/>
        <v>4728.6362216649131</v>
      </c>
      <c r="AE99" s="501">
        <f t="shared" si="89"/>
        <v>4728.6362216649131</v>
      </c>
      <c r="AF99" s="501">
        <f t="shared" si="89"/>
        <v>4728.6362216649131</v>
      </c>
      <c r="AG99" s="501">
        <f t="shared" si="89"/>
        <v>4728.6362216649131</v>
      </c>
      <c r="AH99" s="501">
        <f t="shared" si="89"/>
        <v>4724.1689224474676</v>
      </c>
      <c r="AI99" s="501">
        <f t="shared" si="89"/>
        <v>4935.6219787718564</v>
      </c>
      <c r="AJ99" s="501">
        <f t="shared" si="89"/>
        <v>4935.6219787718564</v>
      </c>
      <c r="AK99" s="501">
        <f t="shared" si="89"/>
        <v>4935.6219787718564</v>
      </c>
      <c r="AL99" s="501">
        <f t="shared" si="89"/>
        <v>4935.6219787718564</v>
      </c>
      <c r="AM99" s="501">
        <f t="shared" si="89"/>
        <v>4935.6219787718564</v>
      </c>
      <c r="AN99" s="501">
        <f t="shared" si="89"/>
        <v>4930.6917800117199</v>
      </c>
      <c r="AO99" s="501">
        <f t="shared" si="89"/>
        <v>5071.6975592476456</v>
      </c>
      <c r="AP99" s="501">
        <f t="shared" si="89"/>
        <v>5071.6975592476456</v>
      </c>
      <c r="AQ99" s="501">
        <f t="shared" si="89"/>
        <v>5071.6975592476456</v>
      </c>
      <c r="AR99" s="501">
        <f t="shared" si="89"/>
        <v>5071.6975592476456</v>
      </c>
      <c r="AS99" s="501">
        <f t="shared" si="89"/>
        <v>5071.6975592476456</v>
      </c>
      <c r="AT99" s="501">
        <f t="shared" si="89"/>
        <v>5066.3323867529407</v>
      </c>
      <c r="AU99" s="501">
        <f t="shared" si="89"/>
        <v>5253.1901913856354</v>
      </c>
      <c r="AV99" s="501">
        <f t="shared" si="89"/>
        <v>5253.1901913856354</v>
      </c>
      <c r="AW99" s="501">
        <f t="shared" si="89"/>
        <v>5253.1901913856354</v>
      </c>
      <c r="AX99" s="501">
        <f t="shared" si="89"/>
        <v>5253.1901913856354</v>
      </c>
      <c r="AY99" s="501">
        <f t="shared" si="89"/>
        <v>5253.1901913856354</v>
      </c>
      <c r="AZ99" s="501">
        <f t="shared" si="89"/>
        <v>5247.2950166674382</v>
      </c>
      <c r="BA99" s="501">
        <f t="shared" si="89"/>
        <v>5421.3853069989227</v>
      </c>
      <c r="BB99" s="501">
        <f t="shared" si="89"/>
        <v>5421.3853069989227</v>
      </c>
      <c r="BC99" s="501">
        <f t="shared" ref="BC99:CD99" si="90">IFERROR(BC39/BC$9,0)</f>
        <v>5421.3853069989227</v>
      </c>
      <c r="BD99" s="501">
        <f t="shared" si="90"/>
        <v>5421.3853069989227</v>
      </c>
      <c r="BE99" s="501">
        <f t="shared" si="90"/>
        <v>5421.3853069989227</v>
      </c>
      <c r="BF99" s="501">
        <f t="shared" si="90"/>
        <v>5414.9197312004726</v>
      </c>
      <c r="BG99" s="501">
        <f t="shared" si="90"/>
        <v>5578.2936860640411</v>
      </c>
      <c r="BH99" s="501">
        <f t="shared" si="90"/>
        <v>5578.2936860640411</v>
      </c>
      <c r="BI99" s="501">
        <f t="shared" si="90"/>
        <v>5578.2936860640411</v>
      </c>
      <c r="BJ99" s="501">
        <f t="shared" si="90"/>
        <v>5578.2936860640411</v>
      </c>
      <c r="BK99" s="501">
        <f t="shared" si="90"/>
        <v>5578.2936860640411</v>
      </c>
      <c r="BL99" s="501">
        <f t="shared" si="90"/>
        <v>5571.2101385261813</v>
      </c>
      <c r="BM99" s="501">
        <f t="shared" si="90"/>
        <v>5780.3213568247693</v>
      </c>
      <c r="BN99" s="501">
        <f t="shared" si="90"/>
        <v>5780.3213568247693</v>
      </c>
      <c r="BO99" s="501">
        <f t="shared" si="90"/>
        <v>5780.3213568247693</v>
      </c>
      <c r="BP99" s="501">
        <f t="shared" si="90"/>
        <v>5780.3213568247693</v>
      </c>
      <c r="BQ99" s="501">
        <f t="shared" si="90"/>
        <v>5780.3213568247693</v>
      </c>
      <c r="BR99" s="501">
        <f t="shared" si="90"/>
        <v>5772.4900042210211</v>
      </c>
      <c r="BS99" s="501">
        <f t="shared" si="90"/>
        <v>5920.5561833599731</v>
      </c>
      <c r="BT99" s="501">
        <f t="shared" si="90"/>
        <v>5920.5561833599731</v>
      </c>
      <c r="BU99" s="501">
        <f t="shared" si="90"/>
        <v>5920.5561833599731</v>
      </c>
      <c r="BV99" s="501">
        <f t="shared" si="90"/>
        <v>5920.5561833599731</v>
      </c>
      <c r="BW99" s="501">
        <f t="shared" si="90"/>
        <v>5920.5561833599731</v>
      </c>
      <c r="BX99" s="501">
        <f t="shared" si="90"/>
        <v>5911.9793961901059</v>
      </c>
      <c r="BY99" s="501">
        <f t="shared" si="90"/>
        <v>6158.0926513610129</v>
      </c>
      <c r="BZ99" s="501">
        <f t="shared" si="90"/>
        <v>6158.0926513610129</v>
      </c>
      <c r="CA99" s="501">
        <f t="shared" si="90"/>
        <v>6158.0926513610129</v>
      </c>
      <c r="CB99" s="501">
        <f t="shared" si="90"/>
        <v>6158.0926513610129</v>
      </c>
      <c r="CC99" s="501">
        <f t="shared" si="90"/>
        <v>6158.0926513610129</v>
      </c>
      <c r="CD99" s="501">
        <f t="shared" si="90"/>
        <v>6148.5318802829806</v>
      </c>
      <c r="CG99" s="8"/>
    </row>
    <row r="100" spans="1:85" x14ac:dyDescent="0.3">
      <c r="A100" s="7"/>
      <c r="B100" s="1"/>
      <c r="C100" s="2"/>
      <c r="D100" s="2"/>
      <c r="E100" s="2"/>
      <c r="F100" s="37"/>
      <c r="G100" s="37"/>
      <c r="H100" s="37"/>
      <c r="I100" s="37"/>
      <c r="J100" s="37"/>
      <c r="K100" s="37"/>
      <c r="L100" s="37"/>
      <c r="M100" s="37"/>
      <c r="N100" s="37"/>
      <c r="O100" s="37"/>
      <c r="P100" s="37"/>
      <c r="Q100" s="37"/>
      <c r="R100" s="37"/>
      <c r="S100" s="37"/>
      <c r="T100" s="37"/>
      <c r="U100" s="35"/>
      <c r="W100" s="37"/>
      <c r="X100" s="37"/>
      <c r="Y100" s="37"/>
      <c r="Z100" s="37"/>
      <c r="AA100" s="37"/>
      <c r="AB100" s="37"/>
      <c r="AC100" s="37"/>
      <c r="AD100" s="37"/>
      <c r="AE100" s="37"/>
      <c r="AF100" s="37"/>
      <c r="AG100" s="37"/>
      <c r="AH100" s="37"/>
      <c r="AI100" s="37"/>
      <c r="AJ100" s="37"/>
      <c r="AK100" s="37"/>
      <c r="AL100" s="37"/>
      <c r="AM100" s="37"/>
      <c r="AN100" s="37"/>
      <c r="AO100" s="37"/>
      <c r="AP100" s="37"/>
      <c r="AQ100" s="37"/>
      <c r="AR100" s="37"/>
      <c r="AS100" s="37"/>
      <c r="AT100" s="37"/>
      <c r="AU100" s="37"/>
      <c r="AV100" s="37"/>
      <c r="AW100" s="37"/>
      <c r="AX100" s="37"/>
      <c r="AY100" s="37"/>
      <c r="AZ100" s="37"/>
      <c r="BA100" s="37"/>
      <c r="BB100" s="37"/>
      <c r="BC100" s="37"/>
      <c r="BD100" s="37"/>
      <c r="BE100" s="37"/>
      <c r="BF100" s="37"/>
      <c r="BG100" s="37"/>
      <c r="BH100" s="37"/>
      <c r="BI100" s="37"/>
      <c r="BJ100" s="37"/>
      <c r="BK100" s="37"/>
      <c r="BL100" s="37"/>
      <c r="BM100" s="37"/>
      <c r="BN100" s="37"/>
      <c r="BO100" s="37"/>
      <c r="BP100" s="37"/>
      <c r="BQ100" s="37"/>
      <c r="BR100" s="37"/>
      <c r="BS100" s="37"/>
      <c r="BT100" s="37"/>
      <c r="BU100" s="37"/>
      <c r="BV100" s="37"/>
      <c r="BW100" s="37"/>
      <c r="BX100" s="37"/>
      <c r="BY100" s="37"/>
      <c r="BZ100" s="37"/>
      <c r="CA100" s="37"/>
      <c r="CB100" s="37"/>
      <c r="CC100" s="37"/>
      <c r="CD100" s="37"/>
    </row>
    <row r="101" spans="1:85" x14ac:dyDescent="0.3">
      <c r="A101" s="7"/>
      <c r="B101" s="1"/>
      <c r="C101" s="2"/>
      <c r="D101" s="2"/>
      <c r="E101" s="17" t="s">
        <v>25</v>
      </c>
      <c r="F101" s="37"/>
      <c r="G101" s="37"/>
      <c r="H101" s="37"/>
      <c r="I101" s="37"/>
      <c r="J101" s="37"/>
      <c r="K101" s="37"/>
      <c r="L101" s="37"/>
      <c r="M101" s="37"/>
      <c r="N101" s="37"/>
      <c r="O101" s="37"/>
      <c r="P101" s="37"/>
      <c r="Q101" s="37"/>
      <c r="R101" s="37"/>
      <c r="S101" s="37"/>
      <c r="T101" s="37"/>
      <c r="U101" s="35"/>
      <c r="W101" s="37"/>
      <c r="X101" s="37"/>
      <c r="Y101" s="37"/>
      <c r="Z101" s="37"/>
      <c r="AA101" s="37"/>
      <c r="AB101" s="37"/>
      <c r="AC101" s="37"/>
      <c r="AD101" s="37"/>
      <c r="AE101" s="37"/>
      <c r="AF101" s="37"/>
      <c r="AG101" s="37"/>
      <c r="AH101" s="37"/>
      <c r="AI101" s="37"/>
      <c r="AJ101" s="37"/>
      <c r="AK101" s="37"/>
      <c r="AL101" s="37"/>
      <c r="AM101" s="37"/>
      <c r="AN101" s="37"/>
      <c r="AO101" s="37"/>
      <c r="AP101" s="37"/>
      <c r="AQ101" s="37"/>
      <c r="AR101" s="37"/>
      <c r="AS101" s="37"/>
      <c r="AT101" s="37"/>
      <c r="AU101" s="37"/>
      <c r="AV101" s="37"/>
      <c r="AW101" s="37"/>
      <c r="AX101" s="37"/>
      <c r="AY101" s="37"/>
      <c r="AZ101" s="37"/>
      <c r="BA101" s="37"/>
      <c r="BB101" s="37"/>
      <c r="BC101" s="37"/>
      <c r="BD101" s="37"/>
      <c r="BE101" s="37"/>
      <c r="BF101" s="37"/>
      <c r="BG101" s="37"/>
      <c r="BH101" s="37"/>
      <c r="BI101" s="37"/>
      <c r="BJ101" s="37"/>
      <c r="BK101" s="37"/>
      <c r="BL101" s="37"/>
      <c r="BM101" s="37"/>
      <c r="BN101" s="37"/>
      <c r="BO101" s="37"/>
      <c r="BP101" s="37"/>
      <c r="BQ101" s="37"/>
      <c r="BR101" s="37"/>
      <c r="BS101" s="37"/>
      <c r="BT101" s="37"/>
      <c r="BU101" s="37"/>
      <c r="BV101" s="37"/>
      <c r="BW101" s="37"/>
      <c r="BX101" s="37"/>
      <c r="BY101" s="37"/>
      <c r="BZ101" s="37"/>
      <c r="CA101" s="37"/>
      <c r="CB101" s="37"/>
      <c r="CC101" s="37"/>
      <c r="CD101" s="37"/>
    </row>
    <row r="102" spans="1:85" x14ac:dyDescent="0.3">
      <c r="A102" s="7"/>
      <c r="B102" s="1"/>
      <c r="C102" s="2"/>
      <c r="D102" s="2"/>
      <c r="E102" s="2" t="s">
        <v>25</v>
      </c>
      <c r="F102" s="54"/>
      <c r="G102" s="54"/>
      <c r="H102" s="54"/>
      <c r="I102" s="497">
        <f t="shared" ref="I102:L104" si="91">I43/I$9</f>
        <v>31850.899318181837</v>
      </c>
      <c r="J102" s="497">
        <f t="shared" si="91"/>
        <v>32499.040616883136</v>
      </c>
      <c r="K102" s="497">
        <f t="shared" si="91"/>
        <v>32472.774902597379</v>
      </c>
      <c r="L102" s="497">
        <f t="shared" si="91"/>
        <v>32433.465129870106</v>
      </c>
      <c r="M102" s="54"/>
      <c r="N102" s="497">
        <f>IFERROR(N43/N$9,0)</f>
        <v>32480.724594261377</v>
      </c>
      <c r="O102" s="497">
        <f t="shared" si="60"/>
        <v>33966.933570045097</v>
      </c>
      <c r="P102" s="497">
        <f t="shared" si="60"/>
        <v>35831.718233737389</v>
      </c>
      <c r="Q102" s="497">
        <f t="shared" si="60"/>
        <v>37738.924743846517</v>
      </c>
      <c r="R102" s="497">
        <f t="shared" si="60"/>
        <v>39647.570818073531</v>
      </c>
      <c r="S102" s="497">
        <f t="shared" si="60"/>
        <v>41602.903999104325</v>
      </c>
      <c r="T102" s="37"/>
      <c r="U102" s="50">
        <f t="shared" si="61"/>
        <v>5.0750456867219018E-2</v>
      </c>
      <c r="W102" s="497">
        <f t="shared" ref="W102:BB102" si="92">IFERROR(W43/W$9,0)</f>
        <v>2787.3162799392458</v>
      </c>
      <c r="X102" s="497">
        <f t="shared" si="92"/>
        <v>2787.3162799392458</v>
      </c>
      <c r="Y102" s="497">
        <f t="shared" si="92"/>
        <v>2787.3162799392458</v>
      </c>
      <c r="Z102" s="497">
        <f t="shared" si="92"/>
        <v>2787.3162799392458</v>
      </c>
      <c r="AA102" s="497">
        <f t="shared" si="92"/>
        <v>2787.3162799392458</v>
      </c>
      <c r="AB102" s="497">
        <f t="shared" si="92"/>
        <v>2784.822037183148</v>
      </c>
      <c r="AC102" s="497">
        <f t="shared" si="92"/>
        <v>2874.7076607804579</v>
      </c>
      <c r="AD102" s="497">
        <f t="shared" si="92"/>
        <v>2874.7076607804579</v>
      </c>
      <c r="AE102" s="497">
        <f t="shared" si="92"/>
        <v>2874.7076607804579</v>
      </c>
      <c r="AF102" s="497">
        <f t="shared" si="92"/>
        <v>2874.7076607804579</v>
      </c>
      <c r="AG102" s="497">
        <f t="shared" si="92"/>
        <v>2874.7076607804579</v>
      </c>
      <c r="AH102" s="497">
        <f t="shared" si="92"/>
        <v>2871.9918292634238</v>
      </c>
      <c r="AI102" s="497">
        <f t="shared" si="92"/>
        <v>2930.2680132484156</v>
      </c>
      <c r="AJ102" s="497">
        <f t="shared" si="92"/>
        <v>2930.2680132484156</v>
      </c>
      <c r="AK102" s="497">
        <f t="shared" si="92"/>
        <v>2930.2680132484156</v>
      </c>
      <c r="AL102" s="497">
        <f t="shared" si="92"/>
        <v>2930.2680132484156</v>
      </c>
      <c r="AM102" s="497">
        <f t="shared" si="92"/>
        <v>2930.2680132484156</v>
      </c>
      <c r="AN102" s="497">
        <f t="shared" si="92"/>
        <v>2927.3409649882533</v>
      </c>
      <c r="AO102" s="497">
        <f t="shared" si="92"/>
        <v>3042.7093298176483</v>
      </c>
      <c r="AP102" s="497">
        <f t="shared" si="92"/>
        <v>3042.7093298176483</v>
      </c>
      <c r="AQ102" s="497">
        <f t="shared" si="92"/>
        <v>3042.7093298176483</v>
      </c>
      <c r="AR102" s="497">
        <f t="shared" si="92"/>
        <v>3042.7093298176483</v>
      </c>
      <c r="AS102" s="497">
        <f t="shared" si="92"/>
        <v>3042.7093298176483</v>
      </c>
      <c r="AT102" s="497">
        <f t="shared" si="92"/>
        <v>3039.4905534188142</v>
      </c>
      <c r="AU102" s="497">
        <f t="shared" si="92"/>
        <v>3076.0247925566446</v>
      </c>
      <c r="AV102" s="497">
        <f t="shared" si="92"/>
        <v>3076.0247925566446</v>
      </c>
      <c r="AW102" s="497">
        <f t="shared" si="92"/>
        <v>3076.0247925566446</v>
      </c>
      <c r="AX102" s="497">
        <f t="shared" si="92"/>
        <v>3076.0247925566446</v>
      </c>
      <c r="AY102" s="497">
        <f t="shared" si="92"/>
        <v>3076.0247925566446</v>
      </c>
      <c r="AZ102" s="497">
        <f t="shared" si="92"/>
        <v>3072.5728513687231</v>
      </c>
      <c r="BA102" s="497">
        <f t="shared" si="92"/>
        <v>3215.0103616399392</v>
      </c>
      <c r="BB102" s="497">
        <f t="shared" si="92"/>
        <v>3215.0103616399392</v>
      </c>
      <c r="BC102" s="497">
        <f t="shared" ref="BC102:CD102" si="93">IFERROR(BC43/BC$9,0)</f>
        <v>3215.0103616399392</v>
      </c>
      <c r="BD102" s="497">
        <f t="shared" si="93"/>
        <v>3215.0103616399392</v>
      </c>
      <c r="BE102" s="497">
        <f t="shared" si="93"/>
        <v>3215.0103616399392</v>
      </c>
      <c r="BF102" s="497">
        <f t="shared" si="93"/>
        <v>3211.1761214948706</v>
      </c>
      <c r="BG102" s="497">
        <f t="shared" si="93"/>
        <v>3221.1873360175969</v>
      </c>
      <c r="BH102" s="497">
        <f t="shared" si="93"/>
        <v>3221.1873360175969</v>
      </c>
      <c r="BI102" s="497">
        <f t="shared" si="93"/>
        <v>3221.1873360175969</v>
      </c>
      <c r="BJ102" s="497">
        <f t="shared" si="93"/>
        <v>3221.1873360175969</v>
      </c>
      <c r="BK102" s="497">
        <f t="shared" si="93"/>
        <v>3221.1873360175969</v>
      </c>
      <c r="BL102" s="497">
        <f t="shared" si="93"/>
        <v>3217.0969394004314</v>
      </c>
      <c r="BM102" s="497">
        <f t="shared" si="93"/>
        <v>3388.1879361901865</v>
      </c>
      <c r="BN102" s="497">
        <f t="shared" si="93"/>
        <v>3388.1879361901865</v>
      </c>
      <c r="BO102" s="497">
        <f t="shared" si="93"/>
        <v>3388.1879361901865</v>
      </c>
      <c r="BP102" s="497">
        <f t="shared" si="93"/>
        <v>3388.1879361901865</v>
      </c>
      <c r="BQ102" s="497">
        <f t="shared" si="93"/>
        <v>3388.1879361901865</v>
      </c>
      <c r="BR102" s="497">
        <f t="shared" si="93"/>
        <v>3383.5975176341772</v>
      </c>
      <c r="BS102" s="497">
        <f t="shared" si="93"/>
        <v>3369.5347435016479</v>
      </c>
      <c r="BT102" s="497">
        <f t="shared" si="93"/>
        <v>3369.5347435016479</v>
      </c>
      <c r="BU102" s="497">
        <f t="shared" si="93"/>
        <v>3369.5347435016479</v>
      </c>
      <c r="BV102" s="497">
        <f t="shared" si="93"/>
        <v>3369.5347435016479</v>
      </c>
      <c r="BW102" s="497">
        <f t="shared" si="93"/>
        <v>3369.5347435016479</v>
      </c>
      <c r="BX102" s="497">
        <f t="shared" si="93"/>
        <v>3364.6534821029786</v>
      </c>
      <c r="BY102" s="497">
        <f t="shared" si="93"/>
        <v>3566.0188726973561</v>
      </c>
      <c r="BZ102" s="497">
        <f t="shared" si="93"/>
        <v>3566.0188726973561</v>
      </c>
      <c r="CA102" s="497">
        <f t="shared" si="93"/>
        <v>3566.0188726973561</v>
      </c>
      <c r="CB102" s="497">
        <f t="shared" si="93"/>
        <v>3566.0188726973561</v>
      </c>
      <c r="CC102" s="497">
        <f t="shared" si="93"/>
        <v>3566.0188726973561</v>
      </c>
      <c r="CD102" s="497">
        <f t="shared" si="93"/>
        <v>3560.4824360063185</v>
      </c>
      <c r="CG102" s="8"/>
    </row>
    <row r="103" spans="1:85" x14ac:dyDescent="0.3">
      <c r="A103" s="7"/>
      <c r="B103" s="1"/>
      <c r="C103" s="2"/>
      <c r="D103" s="2"/>
      <c r="E103" s="2" t="s">
        <v>14</v>
      </c>
      <c r="F103" s="54"/>
      <c r="G103" s="54"/>
      <c r="H103" s="54"/>
      <c r="I103" s="497">
        <f t="shared" si="91"/>
        <v>2695.3005844155841</v>
      </c>
      <c r="J103" s="497">
        <f t="shared" si="91"/>
        <v>3040.6164935064935</v>
      </c>
      <c r="K103" s="497">
        <f t="shared" si="91"/>
        <v>3497.9962987013005</v>
      </c>
      <c r="L103" s="497">
        <f t="shared" si="91"/>
        <v>3844.4492857142836</v>
      </c>
      <c r="M103" s="54"/>
      <c r="N103" s="497">
        <f>IFERROR(N44/N$9,0)</f>
        <v>4253.6998788680339</v>
      </c>
      <c r="O103" s="497">
        <f t="shared" si="60"/>
        <v>4400.4753592246061</v>
      </c>
      <c r="P103" s="497">
        <f t="shared" si="60"/>
        <v>4537.882001043482</v>
      </c>
      <c r="Q103" s="497">
        <f t="shared" si="60"/>
        <v>4672.3972696966966</v>
      </c>
      <c r="R103" s="497">
        <f t="shared" si="60"/>
        <v>4781.2383458018949</v>
      </c>
      <c r="S103" s="497">
        <f t="shared" si="60"/>
        <v>4871.2222992121733</v>
      </c>
      <c r="T103" s="37"/>
      <c r="U103" s="50">
        <f t="shared" si="61"/>
        <v>2.7481996338390102E-2</v>
      </c>
      <c r="W103" s="497">
        <f t="shared" ref="W103:BB103" si="94">IFERROR(W44/W$9,0)</f>
        <v>366.92667657848199</v>
      </c>
      <c r="X103" s="497">
        <f t="shared" si="94"/>
        <v>366.92667657848199</v>
      </c>
      <c r="Y103" s="497">
        <f t="shared" si="94"/>
        <v>366.92667657848199</v>
      </c>
      <c r="Z103" s="497">
        <f t="shared" si="94"/>
        <v>366.92667657848199</v>
      </c>
      <c r="AA103" s="497">
        <f t="shared" si="94"/>
        <v>366.92667657848199</v>
      </c>
      <c r="AB103" s="497">
        <f t="shared" si="94"/>
        <v>366.59833055917238</v>
      </c>
      <c r="AC103" s="497">
        <f t="shared" si="94"/>
        <v>366.59833055917238</v>
      </c>
      <c r="AD103" s="497">
        <f t="shared" si="94"/>
        <v>366.59833055917238</v>
      </c>
      <c r="AE103" s="497">
        <f t="shared" si="94"/>
        <v>366.59833055917238</v>
      </c>
      <c r="AF103" s="497">
        <f t="shared" si="94"/>
        <v>366.59833055917238</v>
      </c>
      <c r="AG103" s="497">
        <f t="shared" si="94"/>
        <v>366.59833055917238</v>
      </c>
      <c r="AH103" s="497">
        <f t="shared" si="94"/>
        <v>366.25199297716091</v>
      </c>
      <c r="AI103" s="497">
        <f t="shared" si="94"/>
        <v>378.41065605689664</v>
      </c>
      <c r="AJ103" s="497">
        <f t="shared" si="94"/>
        <v>378.41065605689664</v>
      </c>
      <c r="AK103" s="497">
        <f t="shared" si="94"/>
        <v>378.41065605689664</v>
      </c>
      <c r="AL103" s="497">
        <f t="shared" si="94"/>
        <v>378.41065605689664</v>
      </c>
      <c r="AM103" s="497">
        <f t="shared" si="94"/>
        <v>378.41065605689664</v>
      </c>
      <c r="AN103" s="497">
        <f t="shared" si="94"/>
        <v>378.03266119518764</v>
      </c>
      <c r="AO103" s="497">
        <f t="shared" si="94"/>
        <v>378.03266119518764</v>
      </c>
      <c r="AP103" s="497">
        <f t="shared" si="94"/>
        <v>378.03266119518764</v>
      </c>
      <c r="AQ103" s="497">
        <f t="shared" si="94"/>
        <v>378.03266119518764</v>
      </c>
      <c r="AR103" s="497">
        <f t="shared" si="94"/>
        <v>378.03266119518764</v>
      </c>
      <c r="AS103" s="497">
        <f t="shared" si="94"/>
        <v>378.03266119518764</v>
      </c>
      <c r="AT103" s="497">
        <f t="shared" si="94"/>
        <v>377.63275358787229</v>
      </c>
      <c r="AU103" s="497">
        <f t="shared" si="94"/>
        <v>389.66020159810347</v>
      </c>
      <c r="AV103" s="497">
        <f t="shared" si="94"/>
        <v>389.66020159810347</v>
      </c>
      <c r="AW103" s="497">
        <f t="shared" si="94"/>
        <v>389.66020159810347</v>
      </c>
      <c r="AX103" s="497">
        <f t="shared" si="94"/>
        <v>389.66020159810347</v>
      </c>
      <c r="AY103" s="497">
        <f t="shared" si="94"/>
        <v>389.66020159810347</v>
      </c>
      <c r="AZ103" s="497">
        <f t="shared" si="94"/>
        <v>389.22292160528775</v>
      </c>
      <c r="BA103" s="497">
        <f t="shared" si="94"/>
        <v>389.22292160528775</v>
      </c>
      <c r="BB103" s="497">
        <f t="shared" si="94"/>
        <v>389.22292160528775</v>
      </c>
      <c r="BC103" s="497">
        <f t="shared" ref="BC103:CD103" si="95">IFERROR(BC44/BC$9,0)</f>
        <v>389.22292160528775</v>
      </c>
      <c r="BD103" s="497">
        <f t="shared" si="95"/>
        <v>389.22292160528775</v>
      </c>
      <c r="BE103" s="497">
        <f t="shared" si="95"/>
        <v>389.22292160528775</v>
      </c>
      <c r="BF103" s="497">
        <f t="shared" si="95"/>
        <v>388.75873207445255</v>
      </c>
      <c r="BG103" s="497">
        <f t="shared" si="95"/>
        <v>398.77688483614867</v>
      </c>
      <c r="BH103" s="497">
        <f t="shared" si="95"/>
        <v>398.77688483614867</v>
      </c>
      <c r="BI103" s="497">
        <f t="shared" si="95"/>
        <v>398.77688483614867</v>
      </c>
      <c r="BJ103" s="497">
        <f t="shared" si="95"/>
        <v>398.77688483614867</v>
      </c>
      <c r="BK103" s="497">
        <f t="shared" si="95"/>
        <v>398.77688483614867</v>
      </c>
      <c r="BL103" s="497">
        <f t="shared" si="95"/>
        <v>398.27050149032499</v>
      </c>
      <c r="BM103" s="497">
        <f t="shared" si="95"/>
        <v>398.27050149032499</v>
      </c>
      <c r="BN103" s="497">
        <f t="shared" si="95"/>
        <v>398.27050149032499</v>
      </c>
      <c r="BO103" s="497">
        <f t="shared" si="95"/>
        <v>398.27050149032499</v>
      </c>
      <c r="BP103" s="497">
        <f t="shared" si="95"/>
        <v>398.27050149032499</v>
      </c>
      <c r="BQ103" s="497">
        <f t="shared" si="95"/>
        <v>398.27050149032499</v>
      </c>
      <c r="BR103" s="497">
        <f t="shared" si="95"/>
        <v>397.73091267920137</v>
      </c>
      <c r="BS103" s="497">
        <f t="shared" si="95"/>
        <v>406.33105365243233</v>
      </c>
      <c r="BT103" s="497">
        <f t="shared" si="95"/>
        <v>406.33105365243233</v>
      </c>
      <c r="BU103" s="497">
        <f t="shared" si="95"/>
        <v>406.33105365243233</v>
      </c>
      <c r="BV103" s="497">
        <f t="shared" si="95"/>
        <v>406.33105365243233</v>
      </c>
      <c r="BW103" s="497">
        <f t="shared" si="95"/>
        <v>406.33105365243233</v>
      </c>
      <c r="BX103" s="497">
        <f t="shared" si="95"/>
        <v>405.74242399336754</v>
      </c>
      <c r="BY103" s="497">
        <f t="shared" si="95"/>
        <v>405.74242399336754</v>
      </c>
      <c r="BZ103" s="497">
        <f t="shared" si="95"/>
        <v>405.74242399336754</v>
      </c>
      <c r="CA103" s="497">
        <f t="shared" si="95"/>
        <v>405.74242399336754</v>
      </c>
      <c r="CB103" s="497">
        <f t="shared" si="95"/>
        <v>405.74242399336754</v>
      </c>
      <c r="CC103" s="497">
        <f t="shared" si="95"/>
        <v>405.74242399336754</v>
      </c>
      <c r="CD103" s="497">
        <f t="shared" si="95"/>
        <v>405.112486989807</v>
      </c>
      <c r="CG103" s="8"/>
    </row>
    <row r="104" spans="1:85" x14ac:dyDescent="0.3">
      <c r="A104" s="7"/>
      <c r="B104" s="1"/>
      <c r="C104" s="2"/>
      <c r="D104" s="2"/>
      <c r="E104" s="4" t="s">
        <v>26</v>
      </c>
      <c r="F104" s="5"/>
      <c r="G104" s="5"/>
      <c r="H104" s="5"/>
      <c r="I104" s="500">
        <f t="shared" si="91"/>
        <v>34546.199902597422</v>
      </c>
      <c r="J104" s="500">
        <f t="shared" si="91"/>
        <v>35539.657110389628</v>
      </c>
      <c r="K104" s="500">
        <f t="shared" si="91"/>
        <v>35970.771201298681</v>
      </c>
      <c r="L104" s="500">
        <f t="shared" si="91"/>
        <v>36277.91441558439</v>
      </c>
      <c r="M104" s="5"/>
      <c r="N104" s="500">
        <f>IFERROR(N45/N$9,0)</f>
        <v>36734.424473129409</v>
      </c>
      <c r="O104" s="500">
        <f t="shared" si="60"/>
        <v>38367.408929269703</v>
      </c>
      <c r="P104" s="500">
        <f t="shared" si="60"/>
        <v>40369.600234780875</v>
      </c>
      <c r="Q104" s="500">
        <f t="shared" si="60"/>
        <v>42411.322013543213</v>
      </c>
      <c r="R104" s="500">
        <f t="shared" si="60"/>
        <v>44428.809163875427</v>
      </c>
      <c r="S104" s="500">
        <f t="shared" si="60"/>
        <v>46474.1262983165</v>
      </c>
      <c r="T104" s="57"/>
      <c r="U104" s="55">
        <f t="shared" si="61"/>
        <v>4.8160040264696446E-2</v>
      </c>
      <c r="W104" s="500">
        <f t="shared" ref="W104:BB104" si="96">IFERROR(W45/W$9,0)</f>
        <v>3154.2429565177276</v>
      </c>
      <c r="X104" s="500">
        <f t="shared" si="96"/>
        <v>3154.2429565177276</v>
      </c>
      <c r="Y104" s="500">
        <f t="shared" si="96"/>
        <v>3154.2429565177276</v>
      </c>
      <c r="Z104" s="500">
        <f t="shared" si="96"/>
        <v>3154.2429565177276</v>
      </c>
      <c r="AA104" s="500">
        <f t="shared" si="96"/>
        <v>3154.2429565177276</v>
      </c>
      <c r="AB104" s="500">
        <f t="shared" si="96"/>
        <v>3151.4203677423206</v>
      </c>
      <c r="AC104" s="500">
        <f t="shared" si="96"/>
        <v>3241.3059913396305</v>
      </c>
      <c r="AD104" s="500">
        <f t="shared" si="96"/>
        <v>3241.3059913396305</v>
      </c>
      <c r="AE104" s="500">
        <f t="shared" si="96"/>
        <v>3241.3059913396305</v>
      </c>
      <c r="AF104" s="500">
        <f t="shared" si="96"/>
        <v>3241.3059913396305</v>
      </c>
      <c r="AG104" s="500">
        <f t="shared" si="96"/>
        <v>3241.3059913396305</v>
      </c>
      <c r="AH104" s="500">
        <f t="shared" si="96"/>
        <v>3238.2438222405849</v>
      </c>
      <c r="AI104" s="500">
        <f t="shared" si="96"/>
        <v>3308.6786693053123</v>
      </c>
      <c r="AJ104" s="500">
        <f t="shared" si="96"/>
        <v>3308.6786693053123</v>
      </c>
      <c r="AK104" s="500">
        <f t="shared" si="96"/>
        <v>3308.6786693053123</v>
      </c>
      <c r="AL104" s="500">
        <f t="shared" si="96"/>
        <v>3308.6786693053123</v>
      </c>
      <c r="AM104" s="500">
        <f t="shared" si="96"/>
        <v>3308.6786693053123</v>
      </c>
      <c r="AN104" s="500">
        <f t="shared" si="96"/>
        <v>3305.373626183441</v>
      </c>
      <c r="AO104" s="500">
        <f t="shared" si="96"/>
        <v>3420.741991012836</v>
      </c>
      <c r="AP104" s="500">
        <f t="shared" si="96"/>
        <v>3420.741991012836</v>
      </c>
      <c r="AQ104" s="500">
        <f t="shared" si="96"/>
        <v>3420.741991012836</v>
      </c>
      <c r="AR104" s="500">
        <f t="shared" si="96"/>
        <v>3420.741991012836</v>
      </c>
      <c r="AS104" s="500">
        <f t="shared" si="96"/>
        <v>3420.741991012836</v>
      </c>
      <c r="AT104" s="500">
        <f t="shared" si="96"/>
        <v>3417.1233070066869</v>
      </c>
      <c r="AU104" s="500">
        <f t="shared" si="96"/>
        <v>3465.684994154748</v>
      </c>
      <c r="AV104" s="500">
        <f t="shared" si="96"/>
        <v>3465.684994154748</v>
      </c>
      <c r="AW104" s="500">
        <f t="shared" si="96"/>
        <v>3465.684994154748</v>
      </c>
      <c r="AX104" s="500">
        <f t="shared" si="96"/>
        <v>3465.684994154748</v>
      </c>
      <c r="AY104" s="500">
        <f t="shared" si="96"/>
        <v>3465.684994154748</v>
      </c>
      <c r="AZ104" s="500">
        <f t="shared" si="96"/>
        <v>3461.795772974011</v>
      </c>
      <c r="BA104" s="500">
        <f t="shared" si="96"/>
        <v>3604.2332832452271</v>
      </c>
      <c r="BB104" s="500">
        <f t="shared" si="96"/>
        <v>3604.2332832452271</v>
      </c>
      <c r="BC104" s="500">
        <f t="shared" ref="BC104:CD104" si="97">IFERROR(BC45/BC$9,0)</f>
        <v>3604.2332832452271</v>
      </c>
      <c r="BD104" s="500">
        <f t="shared" si="97"/>
        <v>3604.2332832452271</v>
      </c>
      <c r="BE104" s="500">
        <f t="shared" si="97"/>
        <v>3604.2332832452271</v>
      </c>
      <c r="BF104" s="500">
        <f t="shared" si="97"/>
        <v>3599.9348535693234</v>
      </c>
      <c r="BG104" s="500">
        <f t="shared" si="97"/>
        <v>3619.9642208537457</v>
      </c>
      <c r="BH104" s="500">
        <f t="shared" si="97"/>
        <v>3619.9642208537457</v>
      </c>
      <c r="BI104" s="500">
        <f t="shared" si="97"/>
        <v>3619.9642208537457</v>
      </c>
      <c r="BJ104" s="500">
        <f t="shared" si="97"/>
        <v>3619.9642208537457</v>
      </c>
      <c r="BK104" s="500">
        <f t="shared" si="97"/>
        <v>3619.9642208537457</v>
      </c>
      <c r="BL104" s="500">
        <f t="shared" si="97"/>
        <v>3615.3674408907564</v>
      </c>
      <c r="BM104" s="500">
        <f t="shared" si="97"/>
        <v>3786.458437680511</v>
      </c>
      <c r="BN104" s="500">
        <f t="shared" si="97"/>
        <v>3786.458437680511</v>
      </c>
      <c r="BO104" s="500">
        <f t="shared" si="97"/>
        <v>3786.458437680511</v>
      </c>
      <c r="BP104" s="500">
        <f t="shared" si="97"/>
        <v>3786.458437680511</v>
      </c>
      <c r="BQ104" s="500">
        <f t="shared" si="97"/>
        <v>3786.458437680511</v>
      </c>
      <c r="BR104" s="500">
        <f t="shared" si="97"/>
        <v>3781.3284303133782</v>
      </c>
      <c r="BS104" s="500">
        <f t="shared" si="97"/>
        <v>3775.8657971540802</v>
      </c>
      <c r="BT104" s="500">
        <f t="shared" si="97"/>
        <v>3775.8657971540802</v>
      </c>
      <c r="BU104" s="500">
        <f t="shared" si="97"/>
        <v>3775.8657971540802</v>
      </c>
      <c r="BV104" s="500">
        <f t="shared" si="97"/>
        <v>3775.8657971540802</v>
      </c>
      <c r="BW104" s="500">
        <f t="shared" si="97"/>
        <v>3775.8657971540802</v>
      </c>
      <c r="BX104" s="500">
        <f t="shared" si="97"/>
        <v>3770.3959060963462</v>
      </c>
      <c r="BY104" s="500">
        <f t="shared" si="97"/>
        <v>3971.7612966907236</v>
      </c>
      <c r="BZ104" s="500">
        <f t="shared" si="97"/>
        <v>3971.7612966907236</v>
      </c>
      <c r="CA104" s="500">
        <f t="shared" si="97"/>
        <v>3971.7612966907236</v>
      </c>
      <c r="CB104" s="500">
        <f t="shared" si="97"/>
        <v>3971.7612966907236</v>
      </c>
      <c r="CC104" s="500">
        <f t="shared" si="97"/>
        <v>3971.7612966907236</v>
      </c>
      <c r="CD104" s="500">
        <f t="shared" si="97"/>
        <v>3965.5949229961257</v>
      </c>
      <c r="CG104" s="8"/>
    </row>
    <row r="105" spans="1:85" x14ac:dyDescent="0.3">
      <c r="A105" s="7"/>
      <c r="B105" s="1"/>
      <c r="C105" s="2"/>
      <c r="D105" s="2"/>
      <c r="E105" s="2"/>
      <c r="F105" s="37"/>
      <c r="G105" s="37"/>
      <c r="H105" s="37"/>
      <c r="I105" s="37"/>
      <c r="J105" s="37"/>
      <c r="K105" s="37"/>
      <c r="L105" s="37"/>
      <c r="M105" s="37"/>
      <c r="N105" s="37"/>
      <c r="O105" s="37"/>
      <c r="P105" s="37"/>
      <c r="Q105" s="37"/>
      <c r="R105" s="37"/>
      <c r="S105" s="37"/>
      <c r="T105" s="37"/>
      <c r="U105" s="35"/>
      <c r="W105" s="37"/>
      <c r="X105" s="37"/>
      <c r="Y105" s="37"/>
      <c r="Z105" s="37"/>
      <c r="AA105" s="37"/>
      <c r="AB105" s="37"/>
      <c r="AC105" s="37"/>
      <c r="AD105" s="37"/>
      <c r="AE105" s="37"/>
      <c r="AF105" s="37"/>
      <c r="AG105" s="37"/>
      <c r="AH105" s="37"/>
      <c r="AI105" s="37"/>
      <c r="AJ105" s="37"/>
      <c r="AK105" s="37"/>
      <c r="AL105" s="37"/>
      <c r="AM105" s="37"/>
      <c r="AN105" s="37"/>
      <c r="AO105" s="37"/>
      <c r="AP105" s="37"/>
      <c r="AQ105" s="37"/>
      <c r="AR105" s="37"/>
      <c r="AS105" s="37"/>
      <c r="AT105" s="37"/>
      <c r="AU105" s="37"/>
      <c r="AV105" s="37"/>
      <c r="AW105" s="37"/>
      <c r="AX105" s="37"/>
      <c r="AY105" s="37"/>
      <c r="AZ105" s="37"/>
      <c r="BA105" s="37"/>
      <c r="BB105" s="37"/>
      <c r="BC105" s="37"/>
      <c r="BD105" s="37"/>
      <c r="BE105" s="37"/>
      <c r="BF105" s="37"/>
      <c r="BG105" s="37"/>
      <c r="BH105" s="37"/>
      <c r="BI105" s="37"/>
      <c r="BJ105" s="37"/>
      <c r="BK105" s="37"/>
      <c r="BL105" s="37"/>
      <c r="BM105" s="37"/>
      <c r="BN105" s="37"/>
      <c r="BO105" s="37"/>
      <c r="BP105" s="37"/>
      <c r="BQ105" s="37"/>
      <c r="BR105" s="37"/>
      <c r="BS105" s="37"/>
      <c r="BT105" s="37"/>
      <c r="BU105" s="37"/>
      <c r="BV105" s="37"/>
      <c r="BW105" s="37"/>
      <c r="BX105" s="37"/>
      <c r="BY105" s="37"/>
      <c r="BZ105" s="37"/>
      <c r="CA105" s="37"/>
      <c r="CB105" s="37"/>
      <c r="CC105" s="37"/>
      <c r="CD105" s="37"/>
    </row>
    <row r="106" spans="1:85" x14ac:dyDescent="0.3">
      <c r="A106" s="7"/>
      <c r="B106" s="1"/>
      <c r="C106" s="2"/>
      <c r="D106" s="2"/>
      <c r="E106" s="17" t="s">
        <v>27</v>
      </c>
      <c r="F106" s="37"/>
      <c r="G106" s="37"/>
      <c r="H106" s="37"/>
      <c r="I106" s="37"/>
      <c r="J106" s="37"/>
      <c r="K106" s="37"/>
      <c r="L106" s="37"/>
      <c r="M106" s="37"/>
      <c r="N106" s="37"/>
      <c r="O106" s="37"/>
      <c r="P106" s="37"/>
      <c r="Q106" s="37"/>
      <c r="R106" s="37"/>
      <c r="S106" s="37"/>
      <c r="T106" s="37"/>
      <c r="U106" s="35"/>
      <c r="W106" s="37"/>
      <c r="X106" s="37"/>
      <c r="Y106" s="37"/>
      <c r="Z106" s="37"/>
      <c r="AA106" s="37"/>
      <c r="AB106" s="37"/>
      <c r="AC106" s="37"/>
      <c r="AD106" s="37"/>
      <c r="AE106" s="37"/>
      <c r="AF106" s="37"/>
      <c r="AG106" s="37"/>
      <c r="AH106" s="37"/>
      <c r="AI106" s="37"/>
      <c r="AJ106" s="37"/>
      <c r="AK106" s="37"/>
      <c r="AL106" s="37"/>
      <c r="AM106" s="37"/>
      <c r="AN106" s="37"/>
      <c r="AO106" s="37"/>
      <c r="AP106" s="37"/>
      <c r="AQ106" s="37"/>
      <c r="AR106" s="37"/>
      <c r="AS106" s="37"/>
      <c r="AT106" s="37"/>
      <c r="AU106" s="37"/>
      <c r="AV106" s="37"/>
      <c r="AW106" s="37"/>
      <c r="AX106" s="37"/>
      <c r="AY106" s="37"/>
      <c r="AZ106" s="37"/>
      <c r="BA106" s="37"/>
      <c r="BB106" s="37"/>
      <c r="BC106" s="37"/>
      <c r="BD106" s="37"/>
      <c r="BE106" s="37"/>
      <c r="BF106" s="37"/>
      <c r="BG106" s="37"/>
      <c r="BH106" s="37"/>
      <c r="BI106" s="37"/>
      <c r="BJ106" s="37"/>
      <c r="BK106" s="37"/>
      <c r="BL106" s="37"/>
      <c r="BM106" s="37"/>
      <c r="BN106" s="37"/>
      <c r="BO106" s="37"/>
      <c r="BP106" s="37"/>
      <c r="BQ106" s="37"/>
      <c r="BR106" s="37"/>
      <c r="BS106" s="37"/>
      <c r="BT106" s="37"/>
      <c r="BU106" s="37"/>
      <c r="BV106" s="37"/>
      <c r="BW106" s="37"/>
      <c r="BX106" s="37"/>
      <c r="BY106" s="37"/>
      <c r="BZ106" s="37"/>
      <c r="CA106" s="37"/>
      <c r="CB106" s="37"/>
      <c r="CC106" s="37"/>
      <c r="CD106" s="37"/>
    </row>
    <row r="107" spans="1:85" x14ac:dyDescent="0.3">
      <c r="A107" s="7"/>
      <c r="B107" s="1"/>
      <c r="C107" s="2"/>
      <c r="D107" s="2"/>
      <c r="E107" s="2" t="s">
        <v>28</v>
      </c>
      <c r="F107" s="54"/>
      <c r="G107" s="54"/>
      <c r="H107" s="54"/>
      <c r="I107" s="497">
        <f t="shared" ref="I107:L111" si="98">I48/I$9</f>
        <v>201.37701298701288</v>
      </c>
      <c r="J107" s="497">
        <f t="shared" si="98"/>
        <v>130.44331168831175</v>
      </c>
      <c r="K107" s="497">
        <f t="shared" si="98"/>
        <v>159.14662337662335</v>
      </c>
      <c r="L107" s="497">
        <f t="shared" si="98"/>
        <v>236.364512987013</v>
      </c>
      <c r="M107" s="54"/>
      <c r="N107" s="497">
        <f>IFERROR(N48/N$9,0)</f>
        <v>69.957529305110455</v>
      </c>
      <c r="O107" s="497">
        <f t="shared" si="60"/>
        <v>69.915508908114376</v>
      </c>
      <c r="P107" s="497">
        <f t="shared" si="60"/>
        <v>69.782057024391662</v>
      </c>
      <c r="Q107" s="497">
        <f t="shared" si="60"/>
        <v>69.632812136940132</v>
      </c>
      <c r="R107" s="497">
        <f t="shared" si="60"/>
        <v>69.464793280165054</v>
      </c>
      <c r="S107" s="497">
        <f t="shared" si="60"/>
        <v>69.274218535589952</v>
      </c>
      <c r="T107" s="37"/>
      <c r="U107" s="50">
        <f t="shared" si="61"/>
        <v>-1.9611790965572418E-3</v>
      </c>
      <c r="W107" s="497">
        <f t="shared" ref="W107:BB107" si="99">IFERROR(W48/W$9,0)</f>
        <v>5.8297941087592049</v>
      </c>
      <c r="X107" s="497">
        <f t="shared" si="99"/>
        <v>5.8297941087592049</v>
      </c>
      <c r="Y107" s="497">
        <f t="shared" si="99"/>
        <v>5.8297941087592049</v>
      </c>
      <c r="Z107" s="497">
        <f t="shared" si="99"/>
        <v>5.8297941087592049</v>
      </c>
      <c r="AA107" s="497">
        <f t="shared" si="99"/>
        <v>5.8297941087592049</v>
      </c>
      <c r="AB107" s="497">
        <f t="shared" si="99"/>
        <v>5.8245772907647897</v>
      </c>
      <c r="AC107" s="497">
        <f t="shared" si="99"/>
        <v>5.8245772907647897</v>
      </c>
      <c r="AD107" s="497">
        <f t="shared" si="99"/>
        <v>5.8245772907647897</v>
      </c>
      <c r="AE107" s="497">
        <f t="shared" si="99"/>
        <v>5.8245772907647897</v>
      </c>
      <c r="AF107" s="497">
        <f t="shared" si="99"/>
        <v>5.8245772907647897</v>
      </c>
      <c r="AG107" s="497">
        <f t="shared" si="99"/>
        <v>5.8245772907647897</v>
      </c>
      <c r="AH107" s="497">
        <f t="shared" si="99"/>
        <v>5.8190746197295846</v>
      </c>
      <c r="AI107" s="497">
        <f t="shared" si="99"/>
        <v>5.8190746197295846</v>
      </c>
      <c r="AJ107" s="497">
        <f t="shared" si="99"/>
        <v>5.8190746197295846</v>
      </c>
      <c r="AK107" s="497">
        <f t="shared" si="99"/>
        <v>5.8190746197295846</v>
      </c>
      <c r="AL107" s="497">
        <f t="shared" si="99"/>
        <v>5.8190746197295846</v>
      </c>
      <c r="AM107" s="497">
        <f t="shared" si="99"/>
        <v>5.8190746197295846</v>
      </c>
      <c r="AN107" s="497">
        <f t="shared" si="99"/>
        <v>5.8132619390585925</v>
      </c>
      <c r="AO107" s="497">
        <f t="shared" si="99"/>
        <v>5.8132619390585925</v>
      </c>
      <c r="AP107" s="497">
        <f t="shared" si="99"/>
        <v>5.8132619390585925</v>
      </c>
      <c r="AQ107" s="497">
        <f t="shared" si="99"/>
        <v>5.8132619390585925</v>
      </c>
      <c r="AR107" s="497">
        <f t="shared" si="99"/>
        <v>5.8132619390585925</v>
      </c>
      <c r="AS107" s="497">
        <f t="shared" si="99"/>
        <v>5.8132619390585925</v>
      </c>
      <c r="AT107" s="497">
        <f t="shared" si="99"/>
        <v>5.8071122913921815</v>
      </c>
      <c r="AU107" s="497">
        <f t="shared" si="99"/>
        <v>5.8071122913921815</v>
      </c>
      <c r="AV107" s="497">
        <f t="shared" si="99"/>
        <v>5.8071122913921815</v>
      </c>
      <c r="AW107" s="497">
        <f t="shared" si="99"/>
        <v>5.8071122913921815</v>
      </c>
      <c r="AX107" s="497">
        <f t="shared" si="99"/>
        <v>5.8071122913921815</v>
      </c>
      <c r="AY107" s="497">
        <f t="shared" si="99"/>
        <v>5.8071122913921815</v>
      </c>
      <c r="AZ107" s="497">
        <f t="shared" si="99"/>
        <v>5.8005955005815064</v>
      </c>
      <c r="BA107" s="497">
        <f t="shared" si="99"/>
        <v>5.8005955005815064</v>
      </c>
      <c r="BB107" s="497">
        <f t="shared" si="99"/>
        <v>5.8005955005815064</v>
      </c>
      <c r="BC107" s="497">
        <f t="shared" ref="BC107:CD107" si="100">IFERROR(BC48/BC$9,0)</f>
        <v>5.8005955005815064</v>
      </c>
      <c r="BD107" s="497">
        <f t="shared" si="100"/>
        <v>5.8005955005815064</v>
      </c>
      <c r="BE107" s="497">
        <f t="shared" si="100"/>
        <v>5.8005955005815064</v>
      </c>
      <c r="BF107" s="497">
        <f t="shared" si="100"/>
        <v>5.7936776764901756</v>
      </c>
      <c r="BG107" s="497">
        <f t="shared" si="100"/>
        <v>5.7936776764901756</v>
      </c>
      <c r="BH107" s="497">
        <f t="shared" si="100"/>
        <v>5.7936776764901756</v>
      </c>
      <c r="BI107" s="497">
        <f t="shared" si="100"/>
        <v>5.7936776764901756</v>
      </c>
      <c r="BJ107" s="497">
        <f t="shared" si="100"/>
        <v>5.7936776764901756</v>
      </c>
      <c r="BK107" s="497">
        <f t="shared" si="100"/>
        <v>5.7936776764901756</v>
      </c>
      <c r="BL107" s="497">
        <f t="shared" si="100"/>
        <v>5.7863206254724098</v>
      </c>
      <c r="BM107" s="497">
        <f t="shared" si="100"/>
        <v>5.7863206254724098</v>
      </c>
      <c r="BN107" s="497">
        <f t="shared" si="100"/>
        <v>5.7863206254724098</v>
      </c>
      <c r="BO107" s="497">
        <f t="shared" si="100"/>
        <v>5.7863206254724098</v>
      </c>
      <c r="BP107" s="497">
        <f t="shared" si="100"/>
        <v>5.7863206254724098</v>
      </c>
      <c r="BQ107" s="497">
        <f t="shared" si="100"/>
        <v>5.7863206254724098</v>
      </c>
      <c r="BR107" s="497">
        <f t="shared" si="100"/>
        <v>5.7784811448797084</v>
      </c>
      <c r="BS107" s="497">
        <f t="shared" si="100"/>
        <v>5.7784811448797084</v>
      </c>
      <c r="BT107" s="497">
        <f t="shared" si="100"/>
        <v>5.7784811448797084</v>
      </c>
      <c r="BU107" s="497">
        <f t="shared" si="100"/>
        <v>5.7784811448797084</v>
      </c>
      <c r="BV107" s="497">
        <f t="shared" si="100"/>
        <v>5.7784811448797084</v>
      </c>
      <c r="BW107" s="497">
        <f t="shared" si="100"/>
        <v>5.7784811448797084</v>
      </c>
      <c r="BX107" s="497">
        <f t="shared" si="100"/>
        <v>5.7701101740773337</v>
      </c>
      <c r="BY107" s="497">
        <f t="shared" si="100"/>
        <v>5.7701101740773337</v>
      </c>
      <c r="BZ107" s="497">
        <f t="shared" si="100"/>
        <v>5.7701101740773337</v>
      </c>
      <c r="CA107" s="497">
        <f t="shared" si="100"/>
        <v>5.7701101740773337</v>
      </c>
      <c r="CB107" s="497">
        <f t="shared" si="100"/>
        <v>5.7701101740773337</v>
      </c>
      <c r="CC107" s="497">
        <f t="shared" si="100"/>
        <v>5.7701101740773337</v>
      </c>
      <c r="CD107" s="497">
        <f t="shared" si="100"/>
        <v>5.7611517667274237</v>
      </c>
      <c r="CG107" s="8"/>
    </row>
    <row r="108" spans="1:85" x14ac:dyDescent="0.3">
      <c r="A108" s="7"/>
      <c r="B108" s="1"/>
      <c r="C108" s="2"/>
      <c r="D108" s="2"/>
      <c r="E108" s="2" t="s">
        <v>29</v>
      </c>
      <c r="F108" s="54"/>
      <c r="G108" s="54"/>
      <c r="H108" s="54"/>
      <c r="I108" s="497">
        <f t="shared" si="98"/>
        <v>2123.747987012986</v>
      </c>
      <c r="J108" s="497">
        <f t="shared" si="98"/>
        <v>2021.2833441558446</v>
      </c>
      <c r="K108" s="497">
        <f t="shared" si="98"/>
        <v>1978.9725974025969</v>
      </c>
      <c r="L108" s="497">
        <f t="shared" si="98"/>
        <v>1988.9975649350642</v>
      </c>
      <c r="M108" s="54"/>
      <c r="N108" s="497">
        <f>IFERROR(N49/N$9,0)</f>
        <v>2017.9078692470127</v>
      </c>
      <c r="O108" s="497">
        <f t="shared" si="60"/>
        <v>2016.6958011449856</v>
      </c>
      <c r="P108" s="497">
        <f t="shared" si="60"/>
        <v>2012.846414109669</v>
      </c>
      <c r="Q108" s="497">
        <f t="shared" si="60"/>
        <v>2008.5414817339151</v>
      </c>
      <c r="R108" s="497">
        <f t="shared" si="60"/>
        <v>2003.6950187922403</v>
      </c>
      <c r="S108" s="497">
        <f t="shared" si="60"/>
        <v>1998.1979367686522</v>
      </c>
      <c r="T108" s="37"/>
      <c r="U108" s="50">
        <f t="shared" si="61"/>
        <v>-1.9611790965572418E-3</v>
      </c>
      <c r="W108" s="497">
        <f t="shared" ref="W108:BB108" si="101">IFERROR(W49/W$9,0)</f>
        <v>168.15898910391766</v>
      </c>
      <c r="X108" s="497">
        <f t="shared" si="101"/>
        <v>168.15898910391766</v>
      </c>
      <c r="Y108" s="497">
        <f t="shared" si="101"/>
        <v>168.15898910391766</v>
      </c>
      <c r="Z108" s="497">
        <f t="shared" si="101"/>
        <v>168.15898910391766</v>
      </c>
      <c r="AA108" s="497">
        <f t="shared" si="101"/>
        <v>168.15898910391766</v>
      </c>
      <c r="AB108" s="497">
        <f t="shared" si="101"/>
        <v>168.00851126131909</v>
      </c>
      <c r="AC108" s="497">
        <f t="shared" si="101"/>
        <v>168.00851126131909</v>
      </c>
      <c r="AD108" s="497">
        <f t="shared" si="101"/>
        <v>168.00851126131909</v>
      </c>
      <c r="AE108" s="497">
        <f t="shared" si="101"/>
        <v>168.00851126131909</v>
      </c>
      <c r="AF108" s="497">
        <f t="shared" si="101"/>
        <v>168.00851126131909</v>
      </c>
      <c r="AG108" s="497">
        <f t="shared" si="101"/>
        <v>168.00851126131909</v>
      </c>
      <c r="AH108" s="497">
        <f t="shared" si="101"/>
        <v>167.84978805748221</v>
      </c>
      <c r="AI108" s="497">
        <f t="shared" si="101"/>
        <v>167.84978805748221</v>
      </c>
      <c r="AJ108" s="497">
        <f t="shared" si="101"/>
        <v>167.84978805748221</v>
      </c>
      <c r="AK108" s="497">
        <f t="shared" si="101"/>
        <v>167.84978805748221</v>
      </c>
      <c r="AL108" s="497">
        <f t="shared" si="101"/>
        <v>167.84978805748221</v>
      </c>
      <c r="AM108" s="497">
        <f t="shared" si="101"/>
        <v>167.84978805748221</v>
      </c>
      <c r="AN108" s="497">
        <f t="shared" si="101"/>
        <v>167.68212270131653</v>
      </c>
      <c r="AO108" s="497">
        <f t="shared" si="101"/>
        <v>167.68212270131653</v>
      </c>
      <c r="AP108" s="497">
        <f t="shared" si="101"/>
        <v>167.68212270131653</v>
      </c>
      <c r="AQ108" s="497">
        <f t="shared" si="101"/>
        <v>167.68212270131653</v>
      </c>
      <c r="AR108" s="497">
        <f t="shared" si="101"/>
        <v>167.68212270131653</v>
      </c>
      <c r="AS108" s="497">
        <f t="shared" si="101"/>
        <v>167.68212270131653</v>
      </c>
      <c r="AT108" s="497">
        <f t="shared" si="101"/>
        <v>167.50473761435862</v>
      </c>
      <c r="AU108" s="497">
        <f t="shared" si="101"/>
        <v>167.50473761435862</v>
      </c>
      <c r="AV108" s="497">
        <f t="shared" si="101"/>
        <v>167.50473761435862</v>
      </c>
      <c r="AW108" s="497">
        <f t="shared" si="101"/>
        <v>167.50473761435862</v>
      </c>
      <c r="AX108" s="497">
        <f t="shared" si="101"/>
        <v>167.50473761435862</v>
      </c>
      <c r="AY108" s="497">
        <f t="shared" si="101"/>
        <v>167.50473761435862</v>
      </c>
      <c r="AZ108" s="497">
        <f t="shared" si="101"/>
        <v>167.31676237295545</v>
      </c>
      <c r="BA108" s="497">
        <f t="shared" si="101"/>
        <v>167.31676237295545</v>
      </c>
      <c r="BB108" s="497">
        <f t="shared" si="101"/>
        <v>167.31676237295545</v>
      </c>
      <c r="BC108" s="497">
        <f t="shared" ref="BC108:CD108" si="102">IFERROR(BC49/BC$9,0)</f>
        <v>167.31676237295545</v>
      </c>
      <c r="BD108" s="497">
        <f t="shared" si="102"/>
        <v>167.31676237295545</v>
      </c>
      <c r="BE108" s="497">
        <f t="shared" si="102"/>
        <v>167.31676237295545</v>
      </c>
      <c r="BF108" s="497">
        <f t="shared" si="102"/>
        <v>167.11721942438902</v>
      </c>
      <c r="BG108" s="497">
        <f t="shared" si="102"/>
        <v>167.11721942438902</v>
      </c>
      <c r="BH108" s="497">
        <f t="shared" si="102"/>
        <v>167.11721942438902</v>
      </c>
      <c r="BI108" s="497">
        <f t="shared" si="102"/>
        <v>167.11721942438902</v>
      </c>
      <c r="BJ108" s="497">
        <f t="shared" si="102"/>
        <v>167.11721942438902</v>
      </c>
      <c r="BK108" s="497">
        <f t="shared" si="102"/>
        <v>167.11721942438902</v>
      </c>
      <c r="BL108" s="497">
        <f t="shared" si="102"/>
        <v>166.90500708226281</v>
      </c>
      <c r="BM108" s="497">
        <f t="shared" si="102"/>
        <v>166.90500708226281</v>
      </c>
      <c r="BN108" s="497">
        <f t="shared" si="102"/>
        <v>166.90500708226281</v>
      </c>
      <c r="BO108" s="497">
        <f t="shared" si="102"/>
        <v>166.90500708226281</v>
      </c>
      <c r="BP108" s="497">
        <f t="shared" si="102"/>
        <v>166.90500708226281</v>
      </c>
      <c r="BQ108" s="497">
        <f t="shared" si="102"/>
        <v>166.90500708226281</v>
      </c>
      <c r="BR108" s="497">
        <f t="shared" si="102"/>
        <v>166.67887917671848</v>
      </c>
      <c r="BS108" s="497">
        <f t="shared" si="102"/>
        <v>166.67887917671848</v>
      </c>
      <c r="BT108" s="497">
        <f t="shared" si="102"/>
        <v>166.67887917671848</v>
      </c>
      <c r="BU108" s="497">
        <f t="shared" si="102"/>
        <v>166.67887917671848</v>
      </c>
      <c r="BV108" s="497">
        <f t="shared" si="102"/>
        <v>166.67887917671848</v>
      </c>
      <c r="BW108" s="497">
        <f t="shared" si="102"/>
        <v>166.67887917671848</v>
      </c>
      <c r="BX108" s="497">
        <f t="shared" si="102"/>
        <v>166.43742056571352</v>
      </c>
      <c r="BY108" s="497">
        <f t="shared" si="102"/>
        <v>166.43742056571352</v>
      </c>
      <c r="BZ108" s="497">
        <f t="shared" si="102"/>
        <v>166.43742056571352</v>
      </c>
      <c r="CA108" s="497">
        <f t="shared" si="102"/>
        <v>166.43742056571352</v>
      </c>
      <c r="CB108" s="497">
        <f t="shared" si="102"/>
        <v>166.43742056571352</v>
      </c>
      <c r="CC108" s="497">
        <f t="shared" si="102"/>
        <v>166.43742056571352</v>
      </c>
      <c r="CD108" s="497">
        <f t="shared" si="102"/>
        <v>166.17901749077839</v>
      </c>
      <c r="CG108" s="8"/>
    </row>
    <row r="109" spans="1:85" x14ac:dyDescent="0.3">
      <c r="A109" s="7"/>
      <c r="B109" s="1"/>
      <c r="C109" s="2"/>
      <c r="D109" s="2"/>
      <c r="E109" s="2" t="s">
        <v>30</v>
      </c>
      <c r="F109" s="54"/>
      <c r="G109" s="54"/>
      <c r="H109" s="54"/>
      <c r="I109" s="497">
        <f t="shared" si="98"/>
        <v>570.47129870129856</v>
      </c>
      <c r="J109" s="497">
        <f t="shared" si="98"/>
        <v>840.20253246753236</v>
      </c>
      <c r="K109" s="497">
        <f t="shared" si="98"/>
        <v>1133.1150649350657</v>
      </c>
      <c r="L109" s="497">
        <f t="shared" si="98"/>
        <v>1264.6787012987015</v>
      </c>
      <c r="M109" s="54"/>
      <c r="N109" s="497">
        <f>IFERROR(N50/N$9,0)</f>
        <v>1296.4570669590148</v>
      </c>
      <c r="O109" s="497">
        <f t="shared" si="60"/>
        <v>1295.6783424788462</v>
      </c>
      <c r="P109" s="497">
        <f t="shared" si="60"/>
        <v>1293.2052042838607</v>
      </c>
      <c r="Q109" s="497">
        <f t="shared" si="60"/>
        <v>1290.4393892105447</v>
      </c>
      <c r="R109" s="497">
        <f t="shared" si="60"/>
        <v>1287.325653828347</v>
      </c>
      <c r="S109" s="497">
        <f t="shared" si="60"/>
        <v>1283.7939114005851</v>
      </c>
      <c r="T109" s="37"/>
      <c r="U109" s="50">
        <f t="shared" si="61"/>
        <v>-1.9611790965571307E-3</v>
      </c>
      <c r="W109" s="497">
        <f t="shared" ref="W109:BB109" si="103">IFERROR(W50/W$9,0)</f>
        <v>108.03808891325126</v>
      </c>
      <c r="X109" s="497">
        <f t="shared" si="103"/>
        <v>108.03808891325126</v>
      </c>
      <c r="Y109" s="497">
        <f t="shared" si="103"/>
        <v>108.03808891325126</v>
      </c>
      <c r="Z109" s="497">
        <f t="shared" si="103"/>
        <v>108.03808891325126</v>
      </c>
      <c r="AA109" s="497">
        <f t="shared" si="103"/>
        <v>108.03808891325126</v>
      </c>
      <c r="AB109" s="497">
        <f t="shared" si="103"/>
        <v>107.94141053391054</v>
      </c>
      <c r="AC109" s="497">
        <f t="shared" si="103"/>
        <v>107.94141053391054</v>
      </c>
      <c r="AD109" s="497">
        <f t="shared" si="103"/>
        <v>107.94141053391054</v>
      </c>
      <c r="AE109" s="497">
        <f t="shared" si="103"/>
        <v>107.94141053391054</v>
      </c>
      <c r="AF109" s="497">
        <f t="shared" si="103"/>
        <v>107.94141053391054</v>
      </c>
      <c r="AG109" s="497">
        <f t="shared" si="103"/>
        <v>107.94141053391054</v>
      </c>
      <c r="AH109" s="497">
        <f t="shared" si="103"/>
        <v>107.83943470912651</v>
      </c>
      <c r="AI109" s="497">
        <f t="shared" si="103"/>
        <v>107.83943470912651</v>
      </c>
      <c r="AJ109" s="497">
        <f t="shared" si="103"/>
        <v>107.83943470912651</v>
      </c>
      <c r="AK109" s="497">
        <f t="shared" si="103"/>
        <v>107.83943470912651</v>
      </c>
      <c r="AL109" s="497">
        <f t="shared" si="103"/>
        <v>107.83943470912651</v>
      </c>
      <c r="AM109" s="497">
        <f t="shared" si="103"/>
        <v>107.83943470912651</v>
      </c>
      <c r="AN109" s="497">
        <f t="shared" si="103"/>
        <v>107.73171376745321</v>
      </c>
      <c r="AO109" s="497">
        <f t="shared" si="103"/>
        <v>107.73171376745321</v>
      </c>
      <c r="AP109" s="497">
        <f t="shared" si="103"/>
        <v>107.73171376745321</v>
      </c>
      <c r="AQ109" s="497">
        <f t="shared" si="103"/>
        <v>107.73171376745321</v>
      </c>
      <c r="AR109" s="497">
        <f t="shared" si="103"/>
        <v>107.73171376745321</v>
      </c>
      <c r="AS109" s="497">
        <f t="shared" si="103"/>
        <v>107.73171376745321</v>
      </c>
      <c r="AT109" s="497">
        <f t="shared" si="103"/>
        <v>107.61774813350902</v>
      </c>
      <c r="AU109" s="497">
        <f t="shared" si="103"/>
        <v>107.61774813350902</v>
      </c>
      <c r="AV109" s="497">
        <f t="shared" si="103"/>
        <v>107.61774813350902</v>
      </c>
      <c r="AW109" s="497">
        <f t="shared" si="103"/>
        <v>107.61774813350902</v>
      </c>
      <c r="AX109" s="497">
        <f t="shared" si="103"/>
        <v>107.61774813350902</v>
      </c>
      <c r="AY109" s="497">
        <f t="shared" si="103"/>
        <v>107.61774813350902</v>
      </c>
      <c r="AZ109" s="497">
        <f t="shared" si="103"/>
        <v>107.49697858112039</v>
      </c>
      <c r="BA109" s="497">
        <f t="shared" si="103"/>
        <v>107.49697858112039</v>
      </c>
      <c r="BB109" s="497">
        <f t="shared" si="103"/>
        <v>107.49697858112039</v>
      </c>
      <c r="BC109" s="497">
        <f t="shared" ref="BC109:CD109" si="104">IFERROR(BC50/BC$9,0)</f>
        <v>107.49697858112039</v>
      </c>
      <c r="BD109" s="497">
        <f t="shared" si="104"/>
        <v>107.49697858112039</v>
      </c>
      <c r="BE109" s="497">
        <f t="shared" si="104"/>
        <v>107.49697858112039</v>
      </c>
      <c r="BF109" s="497">
        <f t="shared" si="104"/>
        <v>107.36877705627707</v>
      </c>
      <c r="BG109" s="497">
        <f t="shared" si="104"/>
        <v>107.36877705627707</v>
      </c>
      <c r="BH109" s="497">
        <f t="shared" si="104"/>
        <v>107.36877705627707</v>
      </c>
      <c r="BI109" s="497">
        <f t="shared" si="104"/>
        <v>107.36877705627707</v>
      </c>
      <c r="BJ109" s="497">
        <f t="shared" si="104"/>
        <v>107.36877705627707</v>
      </c>
      <c r="BK109" s="497">
        <f t="shared" si="104"/>
        <v>107.36877705627707</v>
      </c>
      <c r="BL109" s="497">
        <f t="shared" si="104"/>
        <v>107.23243575207862</v>
      </c>
      <c r="BM109" s="497">
        <f t="shared" si="104"/>
        <v>107.23243575207862</v>
      </c>
      <c r="BN109" s="497">
        <f t="shared" si="104"/>
        <v>107.23243575207862</v>
      </c>
      <c r="BO109" s="497">
        <f t="shared" si="104"/>
        <v>107.23243575207862</v>
      </c>
      <c r="BP109" s="497">
        <f t="shared" si="104"/>
        <v>107.23243575207862</v>
      </c>
      <c r="BQ109" s="497">
        <f t="shared" si="104"/>
        <v>107.23243575207862</v>
      </c>
      <c r="BR109" s="497">
        <f t="shared" si="104"/>
        <v>107.08715403449011</v>
      </c>
      <c r="BS109" s="497">
        <f t="shared" si="104"/>
        <v>107.08715403449011</v>
      </c>
      <c r="BT109" s="497">
        <f t="shared" si="104"/>
        <v>107.08715403449011</v>
      </c>
      <c r="BU109" s="497">
        <f t="shared" si="104"/>
        <v>107.08715403449011</v>
      </c>
      <c r="BV109" s="497">
        <f t="shared" si="104"/>
        <v>107.08715403449011</v>
      </c>
      <c r="BW109" s="497">
        <f t="shared" si="104"/>
        <v>107.08715403449011</v>
      </c>
      <c r="BX109" s="497">
        <f t="shared" si="104"/>
        <v>106.93202270892949</v>
      </c>
      <c r="BY109" s="497">
        <f t="shared" si="104"/>
        <v>106.93202270892949</v>
      </c>
      <c r="BZ109" s="497">
        <f t="shared" si="104"/>
        <v>106.93202270892949</v>
      </c>
      <c r="CA109" s="497">
        <f t="shared" si="104"/>
        <v>106.93202270892949</v>
      </c>
      <c r="CB109" s="497">
        <f t="shared" si="104"/>
        <v>106.93202270892949</v>
      </c>
      <c r="CC109" s="497">
        <f t="shared" si="104"/>
        <v>106.93202270892949</v>
      </c>
      <c r="CD109" s="497">
        <f t="shared" si="104"/>
        <v>106.7660049745576</v>
      </c>
      <c r="CG109" s="8"/>
    </row>
    <row r="110" spans="1:85" x14ac:dyDescent="0.3">
      <c r="A110" s="7"/>
      <c r="B110" s="1"/>
      <c r="C110" s="2"/>
      <c r="D110" s="2"/>
      <c r="E110" s="2" t="s">
        <v>31</v>
      </c>
      <c r="F110" s="54"/>
      <c r="G110" s="54"/>
      <c r="H110" s="54"/>
      <c r="I110" s="497">
        <f t="shared" si="98"/>
        <v>2557.7785389610372</v>
      </c>
      <c r="J110" s="497">
        <f t="shared" si="98"/>
        <v>2832.5677597402619</v>
      </c>
      <c r="K110" s="497">
        <f t="shared" si="98"/>
        <v>2972.6067207792212</v>
      </c>
      <c r="L110" s="497">
        <f t="shared" si="98"/>
        <v>3024.0754945054932</v>
      </c>
      <c r="M110" s="54"/>
      <c r="N110" s="497">
        <f>IFERROR(N51/N$9,0)</f>
        <v>2994.580223745972</v>
      </c>
      <c r="O110" s="497">
        <f t="shared" si="60"/>
        <v>2992.7815117118512</v>
      </c>
      <c r="P110" s="497">
        <f t="shared" si="60"/>
        <v>2987.0690119168007</v>
      </c>
      <c r="Q110" s="497">
        <f t="shared" si="60"/>
        <v>2980.680481720025</v>
      </c>
      <c r="R110" s="497">
        <f t="shared" si="60"/>
        <v>2973.4883188361609</v>
      </c>
      <c r="S110" s="497">
        <f t="shared" si="60"/>
        <v>2965.330635640104</v>
      </c>
      <c r="T110" s="37"/>
      <c r="U110" s="50">
        <f t="shared" si="61"/>
        <v>-1.9611790965571307E-3</v>
      </c>
      <c r="W110" s="497">
        <f t="shared" ref="W110:BB110" si="105">IFERROR(W51/W$9,0)</f>
        <v>249.54835197883102</v>
      </c>
      <c r="X110" s="497">
        <f t="shared" si="105"/>
        <v>249.54835197883102</v>
      </c>
      <c r="Y110" s="497">
        <f t="shared" si="105"/>
        <v>249.54835197883102</v>
      </c>
      <c r="Z110" s="497">
        <f t="shared" si="105"/>
        <v>249.54835197883102</v>
      </c>
      <c r="AA110" s="497">
        <f t="shared" si="105"/>
        <v>249.54835197883102</v>
      </c>
      <c r="AB110" s="497">
        <f t="shared" si="105"/>
        <v>249.32504249160164</v>
      </c>
      <c r="AC110" s="497">
        <f t="shared" si="105"/>
        <v>249.32504249160164</v>
      </c>
      <c r="AD110" s="497">
        <f t="shared" si="105"/>
        <v>249.32504249160164</v>
      </c>
      <c r="AE110" s="497">
        <f t="shared" si="105"/>
        <v>249.32504249160164</v>
      </c>
      <c r="AF110" s="497">
        <f t="shared" si="105"/>
        <v>249.32504249160164</v>
      </c>
      <c r="AG110" s="497">
        <f t="shared" si="105"/>
        <v>249.32504249160164</v>
      </c>
      <c r="AH110" s="497">
        <f t="shared" si="105"/>
        <v>249.08949686808575</v>
      </c>
      <c r="AI110" s="497">
        <f t="shared" si="105"/>
        <v>249.08949686808575</v>
      </c>
      <c r="AJ110" s="497">
        <f t="shared" si="105"/>
        <v>249.08949686808575</v>
      </c>
      <c r="AK110" s="497">
        <f t="shared" si="105"/>
        <v>249.08949686808575</v>
      </c>
      <c r="AL110" s="497">
        <f t="shared" si="105"/>
        <v>249.08949686808575</v>
      </c>
      <c r="AM110" s="497">
        <f t="shared" si="105"/>
        <v>249.08949686808575</v>
      </c>
      <c r="AN110" s="497">
        <f t="shared" si="105"/>
        <v>248.84068106859706</v>
      </c>
      <c r="AO110" s="497">
        <f t="shared" si="105"/>
        <v>248.84068106859706</v>
      </c>
      <c r="AP110" s="497">
        <f t="shared" si="105"/>
        <v>248.84068106859706</v>
      </c>
      <c r="AQ110" s="497">
        <f t="shared" si="105"/>
        <v>248.84068106859706</v>
      </c>
      <c r="AR110" s="497">
        <f t="shared" si="105"/>
        <v>248.84068106859706</v>
      </c>
      <c r="AS110" s="497">
        <f t="shared" si="105"/>
        <v>248.84068106859706</v>
      </c>
      <c r="AT110" s="497">
        <f t="shared" si="105"/>
        <v>248.57744116479026</v>
      </c>
      <c r="AU110" s="497">
        <f t="shared" si="105"/>
        <v>248.57744116479026</v>
      </c>
      <c r="AV110" s="497">
        <f t="shared" si="105"/>
        <v>248.57744116479026</v>
      </c>
      <c r="AW110" s="497">
        <f t="shared" si="105"/>
        <v>248.57744116479026</v>
      </c>
      <c r="AX110" s="497">
        <f t="shared" si="105"/>
        <v>248.57744116479026</v>
      </c>
      <c r="AY110" s="497">
        <f t="shared" si="105"/>
        <v>248.57744116479026</v>
      </c>
      <c r="AZ110" s="497">
        <f t="shared" si="105"/>
        <v>248.29848544583078</v>
      </c>
      <c r="BA110" s="497">
        <f t="shared" si="105"/>
        <v>248.29848544583078</v>
      </c>
      <c r="BB110" s="497">
        <f t="shared" si="105"/>
        <v>248.29848544583078</v>
      </c>
      <c r="BC110" s="497">
        <f t="shared" ref="BC110:CD110" si="106">IFERROR(BC51/BC$9,0)</f>
        <v>248.29848544583078</v>
      </c>
      <c r="BD110" s="497">
        <f t="shared" si="106"/>
        <v>248.29848544583078</v>
      </c>
      <c r="BE110" s="497">
        <f t="shared" si="106"/>
        <v>248.29848544583078</v>
      </c>
      <c r="BF110" s="497">
        <f t="shared" si="106"/>
        <v>248.00236322108918</v>
      </c>
      <c r="BG110" s="497">
        <f t="shared" si="106"/>
        <v>248.00236322108918</v>
      </c>
      <c r="BH110" s="497">
        <f t="shared" si="106"/>
        <v>248.00236322108918</v>
      </c>
      <c r="BI110" s="497">
        <f t="shared" si="106"/>
        <v>248.00236322108918</v>
      </c>
      <c r="BJ110" s="497">
        <f t="shared" si="106"/>
        <v>248.00236322108918</v>
      </c>
      <c r="BK110" s="497">
        <f t="shared" si="106"/>
        <v>248.00236322108918</v>
      </c>
      <c r="BL110" s="497">
        <f t="shared" si="106"/>
        <v>247.68743958525289</v>
      </c>
      <c r="BM110" s="497">
        <f t="shared" si="106"/>
        <v>247.68743958525289</v>
      </c>
      <c r="BN110" s="497">
        <f t="shared" si="106"/>
        <v>247.68743958525289</v>
      </c>
      <c r="BO110" s="497">
        <f t="shared" si="106"/>
        <v>247.68743958525289</v>
      </c>
      <c r="BP110" s="497">
        <f t="shared" si="106"/>
        <v>247.68743958525289</v>
      </c>
      <c r="BQ110" s="497">
        <f t="shared" si="106"/>
        <v>247.68743958525289</v>
      </c>
      <c r="BR110" s="497">
        <f t="shared" si="106"/>
        <v>247.3518652191978</v>
      </c>
      <c r="BS110" s="497">
        <f t="shared" si="106"/>
        <v>247.3518652191978</v>
      </c>
      <c r="BT110" s="497">
        <f t="shared" si="106"/>
        <v>247.3518652191978</v>
      </c>
      <c r="BU110" s="497">
        <f t="shared" si="106"/>
        <v>247.3518652191978</v>
      </c>
      <c r="BV110" s="497">
        <f t="shared" si="106"/>
        <v>247.3518652191978</v>
      </c>
      <c r="BW110" s="497">
        <f t="shared" si="106"/>
        <v>247.3518652191978</v>
      </c>
      <c r="BX110" s="497">
        <f t="shared" si="106"/>
        <v>246.99354004866441</v>
      </c>
      <c r="BY110" s="497">
        <f t="shared" si="106"/>
        <v>246.99354004866441</v>
      </c>
      <c r="BZ110" s="497">
        <f t="shared" si="106"/>
        <v>246.99354004866441</v>
      </c>
      <c r="CA110" s="497">
        <f t="shared" si="106"/>
        <v>246.99354004866441</v>
      </c>
      <c r="CB110" s="497">
        <f t="shared" si="106"/>
        <v>246.99354004866441</v>
      </c>
      <c r="CC110" s="497">
        <f t="shared" si="106"/>
        <v>246.99354004866441</v>
      </c>
      <c r="CD110" s="497">
        <f t="shared" si="106"/>
        <v>246.61006925212868</v>
      </c>
      <c r="CG110" s="8"/>
    </row>
    <row r="111" spans="1:85" x14ac:dyDescent="0.3">
      <c r="A111" s="7"/>
      <c r="B111" s="1"/>
      <c r="C111" s="2"/>
      <c r="D111" s="2"/>
      <c r="E111" s="4" t="s">
        <v>32</v>
      </c>
      <c r="F111" s="5"/>
      <c r="G111" s="5"/>
      <c r="H111" s="5"/>
      <c r="I111" s="500">
        <f t="shared" si="98"/>
        <v>5453.3748376623344</v>
      </c>
      <c r="J111" s="500">
        <f t="shared" si="98"/>
        <v>5824.4969480519512</v>
      </c>
      <c r="K111" s="500">
        <f t="shared" si="98"/>
        <v>6243.8410064935069</v>
      </c>
      <c r="L111" s="500">
        <f t="shared" si="98"/>
        <v>6514.1162737262721</v>
      </c>
      <c r="M111" s="5"/>
      <c r="N111" s="500">
        <f>IFERROR(N52/N$9,0)</f>
        <v>6378.902689257111</v>
      </c>
      <c r="O111" s="500">
        <f t="shared" si="60"/>
        <v>6375.0711642437964</v>
      </c>
      <c r="P111" s="500">
        <f t="shared" si="60"/>
        <v>6362.9026873347211</v>
      </c>
      <c r="Q111" s="500">
        <f t="shared" si="60"/>
        <v>6349.2941648014221</v>
      </c>
      <c r="R111" s="500">
        <f t="shared" si="60"/>
        <v>6333.9737847369142</v>
      </c>
      <c r="S111" s="500">
        <f t="shared" si="60"/>
        <v>6316.5967023449321</v>
      </c>
      <c r="T111" s="57"/>
      <c r="U111" s="55">
        <f t="shared" si="61"/>
        <v>-1.9611790965571307E-3</v>
      </c>
      <c r="W111" s="500">
        <f t="shared" ref="W111:BB111" si="107">IFERROR(W52/W$9,0)</f>
        <v>531.57522410475917</v>
      </c>
      <c r="X111" s="500">
        <f t="shared" si="107"/>
        <v>531.57522410475917</v>
      </c>
      <c r="Y111" s="500">
        <f t="shared" si="107"/>
        <v>531.57522410475917</v>
      </c>
      <c r="Z111" s="500">
        <f t="shared" si="107"/>
        <v>531.57522410475917</v>
      </c>
      <c r="AA111" s="500">
        <f t="shared" si="107"/>
        <v>531.57522410475917</v>
      </c>
      <c r="AB111" s="500">
        <f t="shared" si="107"/>
        <v>531.09954157759614</v>
      </c>
      <c r="AC111" s="500">
        <f t="shared" si="107"/>
        <v>531.09954157759614</v>
      </c>
      <c r="AD111" s="500">
        <f t="shared" si="107"/>
        <v>531.09954157759614</v>
      </c>
      <c r="AE111" s="500">
        <f t="shared" si="107"/>
        <v>531.09954157759614</v>
      </c>
      <c r="AF111" s="500">
        <f t="shared" si="107"/>
        <v>531.09954157759614</v>
      </c>
      <c r="AG111" s="500">
        <f t="shared" si="107"/>
        <v>531.09954157759614</v>
      </c>
      <c r="AH111" s="500">
        <f t="shared" si="107"/>
        <v>530.597794254424</v>
      </c>
      <c r="AI111" s="500">
        <f t="shared" si="107"/>
        <v>530.597794254424</v>
      </c>
      <c r="AJ111" s="500">
        <f t="shared" si="107"/>
        <v>530.597794254424</v>
      </c>
      <c r="AK111" s="500">
        <f t="shared" si="107"/>
        <v>530.597794254424</v>
      </c>
      <c r="AL111" s="500">
        <f t="shared" si="107"/>
        <v>530.597794254424</v>
      </c>
      <c r="AM111" s="500">
        <f t="shared" si="107"/>
        <v>530.597794254424</v>
      </c>
      <c r="AN111" s="500">
        <f t="shared" si="107"/>
        <v>530.06777947642536</v>
      </c>
      <c r="AO111" s="500">
        <f t="shared" si="107"/>
        <v>530.06777947642536</v>
      </c>
      <c r="AP111" s="500">
        <f t="shared" si="107"/>
        <v>530.06777947642536</v>
      </c>
      <c r="AQ111" s="500">
        <f t="shared" si="107"/>
        <v>530.06777947642536</v>
      </c>
      <c r="AR111" s="500">
        <f t="shared" si="107"/>
        <v>530.06777947642536</v>
      </c>
      <c r="AS111" s="500">
        <f t="shared" si="107"/>
        <v>530.06777947642536</v>
      </c>
      <c r="AT111" s="500">
        <f t="shared" si="107"/>
        <v>529.50703920404999</v>
      </c>
      <c r="AU111" s="500">
        <f t="shared" si="107"/>
        <v>529.50703920404999</v>
      </c>
      <c r="AV111" s="500">
        <f t="shared" si="107"/>
        <v>529.50703920404999</v>
      </c>
      <c r="AW111" s="500">
        <f t="shared" si="107"/>
        <v>529.50703920404999</v>
      </c>
      <c r="AX111" s="500">
        <f t="shared" si="107"/>
        <v>529.50703920404999</v>
      </c>
      <c r="AY111" s="500">
        <f t="shared" si="107"/>
        <v>529.50703920404999</v>
      </c>
      <c r="AZ111" s="500">
        <f t="shared" si="107"/>
        <v>528.9128219004881</v>
      </c>
      <c r="BA111" s="500">
        <f t="shared" si="107"/>
        <v>528.9128219004881</v>
      </c>
      <c r="BB111" s="500">
        <f t="shared" si="107"/>
        <v>528.9128219004881</v>
      </c>
      <c r="BC111" s="500">
        <f t="shared" ref="BC111:CD111" si="108">IFERROR(BC52/BC$9,0)</f>
        <v>528.9128219004881</v>
      </c>
      <c r="BD111" s="500">
        <f t="shared" si="108"/>
        <v>528.9128219004881</v>
      </c>
      <c r="BE111" s="500">
        <f t="shared" si="108"/>
        <v>528.9128219004881</v>
      </c>
      <c r="BF111" s="500">
        <f t="shared" si="108"/>
        <v>528.28203737824549</v>
      </c>
      <c r="BG111" s="500">
        <f t="shared" si="108"/>
        <v>528.28203737824549</v>
      </c>
      <c r="BH111" s="500">
        <f t="shared" si="108"/>
        <v>528.28203737824549</v>
      </c>
      <c r="BI111" s="500">
        <f t="shared" si="108"/>
        <v>528.28203737824549</v>
      </c>
      <c r="BJ111" s="500">
        <f t="shared" si="108"/>
        <v>528.28203737824549</v>
      </c>
      <c r="BK111" s="500">
        <f t="shared" si="108"/>
        <v>528.28203737824549</v>
      </c>
      <c r="BL111" s="500">
        <f t="shared" si="108"/>
        <v>527.61120304506676</v>
      </c>
      <c r="BM111" s="500">
        <f t="shared" si="108"/>
        <v>527.61120304506676</v>
      </c>
      <c r="BN111" s="500">
        <f t="shared" si="108"/>
        <v>527.61120304506676</v>
      </c>
      <c r="BO111" s="500">
        <f t="shared" si="108"/>
        <v>527.61120304506676</v>
      </c>
      <c r="BP111" s="500">
        <f t="shared" si="108"/>
        <v>527.61120304506676</v>
      </c>
      <c r="BQ111" s="500">
        <f t="shared" si="108"/>
        <v>527.61120304506676</v>
      </c>
      <c r="BR111" s="500">
        <f t="shared" si="108"/>
        <v>526.89637957528612</v>
      </c>
      <c r="BS111" s="500">
        <f t="shared" si="108"/>
        <v>526.89637957528612</v>
      </c>
      <c r="BT111" s="500">
        <f t="shared" si="108"/>
        <v>526.89637957528612</v>
      </c>
      <c r="BU111" s="500">
        <f t="shared" si="108"/>
        <v>526.89637957528612</v>
      </c>
      <c r="BV111" s="500">
        <f t="shared" si="108"/>
        <v>526.89637957528612</v>
      </c>
      <c r="BW111" s="500">
        <f t="shared" si="108"/>
        <v>526.89637957528612</v>
      </c>
      <c r="BX111" s="500">
        <f t="shared" si="108"/>
        <v>526.13309349738472</v>
      </c>
      <c r="BY111" s="500">
        <f t="shared" si="108"/>
        <v>526.13309349738472</v>
      </c>
      <c r="BZ111" s="500">
        <f t="shared" si="108"/>
        <v>526.13309349738472</v>
      </c>
      <c r="CA111" s="500">
        <f t="shared" si="108"/>
        <v>526.13309349738472</v>
      </c>
      <c r="CB111" s="500">
        <f t="shared" si="108"/>
        <v>526.13309349738472</v>
      </c>
      <c r="CC111" s="500">
        <f t="shared" si="108"/>
        <v>526.13309349738472</v>
      </c>
      <c r="CD111" s="500">
        <f t="shared" si="108"/>
        <v>525.31624348419211</v>
      </c>
      <c r="CG111" s="8"/>
    </row>
    <row r="112" spans="1:85" x14ac:dyDescent="0.3">
      <c r="A112" s="7"/>
      <c r="B112" s="1"/>
      <c r="C112" s="2"/>
      <c r="D112" s="2"/>
      <c r="E112" s="2"/>
      <c r="F112" s="37"/>
      <c r="G112" s="37"/>
      <c r="H112" s="37"/>
      <c r="I112" s="37"/>
      <c r="J112" s="37"/>
      <c r="K112" s="37"/>
      <c r="L112" s="37"/>
      <c r="M112" s="37"/>
      <c r="N112" s="37"/>
      <c r="O112" s="37"/>
      <c r="P112" s="37"/>
      <c r="Q112" s="37"/>
      <c r="R112" s="37"/>
      <c r="S112" s="37"/>
      <c r="T112" s="37"/>
      <c r="U112" s="35"/>
      <c r="W112" s="37"/>
      <c r="X112" s="37"/>
      <c r="Y112" s="37"/>
      <c r="Z112" s="37"/>
      <c r="AA112" s="37"/>
      <c r="AB112" s="37"/>
      <c r="AC112" s="37"/>
      <c r="AD112" s="37"/>
      <c r="AE112" s="37"/>
      <c r="AF112" s="37"/>
      <c r="AG112" s="37"/>
      <c r="AH112" s="37"/>
      <c r="AI112" s="37"/>
      <c r="AJ112" s="37"/>
      <c r="AK112" s="37"/>
      <c r="AL112" s="37"/>
      <c r="AM112" s="37"/>
      <c r="AN112" s="37"/>
      <c r="AO112" s="37"/>
      <c r="AP112" s="37"/>
      <c r="AQ112" s="37"/>
      <c r="AR112" s="37"/>
      <c r="AS112" s="37"/>
      <c r="AT112" s="37"/>
      <c r="AU112" s="37"/>
      <c r="AV112" s="37"/>
      <c r="AW112" s="37"/>
      <c r="AX112" s="37"/>
      <c r="AY112" s="37"/>
      <c r="AZ112" s="37"/>
      <c r="BA112" s="37"/>
      <c r="BB112" s="37"/>
      <c r="BC112" s="37"/>
      <c r="BD112" s="37"/>
      <c r="BE112" s="37"/>
      <c r="BF112" s="37"/>
      <c r="BG112" s="37"/>
      <c r="BH112" s="37"/>
      <c r="BI112" s="37"/>
      <c r="BJ112" s="37"/>
      <c r="BK112" s="37"/>
      <c r="BL112" s="37"/>
      <c r="BM112" s="37"/>
      <c r="BN112" s="37"/>
      <c r="BO112" s="37"/>
      <c r="BP112" s="37"/>
      <c r="BQ112" s="37"/>
      <c r="BR112" s="37"/>
      <c r="BS112" s="37"/>
      <c r="BT112" s="37"/>
      <c r="BU112" s="37"/>
      <c r="BV112" s="37"/>
      <c r="BW112" s="37"/>
      <c r="BX112" s="37"/>
      <c r="BY112" s="37"/>
      <c r="BZ112" s="37"/>
      <c r="CA112" s="37"/>
      <c r="CB112" s="37"/>
      <c r="CC112" s="37"/>
      <c r="CD112" s="37"/>
    </row>
    <row r="113" spans="1:85" x14ac:dyDescent="0.3">
      <c r="A113" s="7"/>
      <c r="B113" s="1"/>
      <c r="C113" s="2"/>
      <c r="D113" s="2"/>
      <c r="E113" s="62" t="s">
        <v>33</v>
      </c>
      <c r="F113" s="63"/>
      <c r="G113" s="63"/>
      <c r="H113" s="63"/>
      <c r="I113" s="501">
        <f>I54/I$9</f>
        <v>85355.567792207832</v>
      </c>
      <c r="J113" s="501">
        <f>J54/J$9</f>
        <v>90669.449577922103</v>
      </c>
      <c r="K113" s="501">
        <f>K54/K$9</f>
        <v>92077.958019480517</v>
      </c>
      <c r="L113" s="501">
        <f>L54/L$9</f>
        <v>92804.730754245698</v>
      </c>
      <c r="M113" s="63"/>
      <c r="N113" s="501">
        <f>IFERROR(N54/N$9,0)</f>
        <v>95776.724660965716</v>
      </c>
      <c r="O113" s="501">
        <f t="shared" si="60"/>
        <v>100843.17038838603</v>
      </c>
      <c r="P113" s="501">
        <f t="shared" si="60"/>
        <v>106766.12477897777</v>
      </c>
      <c r="Q113" s="501">
        <f t="shared" si="60"/>
        <v>112795.70841813536</v>
      </c>
      <c r="R113" s="501">
        <f t="shared" si="60"/>
        <v>118899.5583058036</v>
      </c>
      <c r="S113" s="501">
        <f t="shared" si="60"/>
        <v>125244.47845073941</v>
      </c>
      <c r="T113" s="57"/>
      <c r="U113" s="55">
        <f t="shared" si="61"/>
        <v>5.5114816048275284E-2</v>
      </c>
      <c r="W113" s="501">
        <f t="shared" ref="W113:BB113" si="109">IFERROR(W54/W$9,0)</f>
        <v>8308.7310304333951</v>
      </c>
      <c r="X113" s="501">
        <f t="shared" si="109"/>
        <v>8308.7310304333951</v>
      </c>
      <c r="Y113" s="501">
        <f t="shared" si="109"/>
        <v>8308.7310304333951</v>
      </c>
      <c r="Z113" s="501">
        <f t="shared" si="109"/>
        <v>8308.7310304333951</v>
      </c>
      <c r="AA113" s="501">
        <f t="shared" si="109"/>
        <v>8308.7310304333951</v>
      </c>
      <c r="AB113" s="501">
        <f t="shared" si="109"/>
        <v>8301.2959243658934</v>
      </c>
      <c r="AC113" s="501">
        <f t="shared" si="109"/>
        <v>8501.0417545821401</v>
      </c>
      <c r="AD113" s="501">
        <f t="shared" si="109"/>
        <v>8501.0417545821401</v>
      </c>
      <c r="AE113" s="501">
        <f t="shared" si="109"/>
        <v>8501.0417545821401</v>
      </c>
      <c r="AF113" s="501">
        <f t="shared" si="109"/>
        <v>8501.0417545821401</v>
      </c>
      <c r="AG113" s="501">
        <f t="shared" si="109"/>
        <v>8501.0417545821401</v>
      </c>
      <c r="AH113" s="501">
        <f t="shared" si="109"/>
        <v>8493.0105389424753</v>
      </c>
      <c r="AI113" s="501">
        <f t="shared" si="109"/>
        <v>8774.8984423315924</v>
      </c>
      <c r="AJ113" s="501">
        <f t="shared" si="109"/>
        <v>8774.8984423315924</v>
      </c>
      <c r="AK113" s="501">
        <f t="shared" si="109"/>
        <v>8774.8984423315924</v>
      </c>
      <c r="AL113" s="501">
        <f t="shared" si="109"/>
        <v>8774.8984423315924</v>
      </c>
      <c r="AM113" s="501">
        <f t="shared" si="109"/>
        <v>8774.8984423315924</v>
      </c>
      <c r="AN113" s="501">
        <f t="shared" si="109"/>
        <v>8766.1331856715842</v>
      </c>
      <c r="AO113" s="501">
        <f t="shared" si="109"/>
        <v>9022.5073297369072</v>
      </c>
      <c r="AP113" s="501">
        <f t="shared" si="109"/>
        <v>9022.5073297369072</v>
      </c>
      <c r="AQ113" s="501">
        <f t="shared" si="109"/>
        <v>9022.5073297369072</v>
      </c>
      <c r="AR113" s="501">
        <f t="shared" si="109"/>
        <v>9022.5073297369072</v>
      </c>
      <c r="AS113" s="501">
        <f t="shared" si="109"/>
        <v>9022.5073297369072</v>
      </c>
      <c r="AT113" s="501">
        <f t="shared" si="109"/>
        <v>9012.9627329636787</v>
      </c>
      <c r="AU113" s="501">
        <f t="shared" si="109"/>
        <v>9248.382224744435</v>
      </c>
      <c r="AV113" s="501">
        <f t="shared" si="109"/>
        <v>9248.382224744435</v>
      </c>
      <c r="AW113" s="501">
        <f t="shared" si="109"/>
        <v>9248.382224744435</v>
      </c>
      <c r="AX113" s="501">
        <f t="shared" si="109"/>
        <v>9248.382224744435</v>
      </c>
      <c r="AY113" s="501">
        <f t="shared" si="109"/>
        <v>9248.382224744435</v>
      </c>
      <c r="AZ113" s="501">
        <f t="shared" si="109"/>
        <v>9238.0036115419371</v>
      </c>
      <c r="BA113" s="501">
        <f t="shared" si="109"/>
        <v>9554.531412144639</v>
      </c>
      <c r="BB113" s="501">
        <f t="shared" si="109"/>
        <v>9554.531412144639</v>
      </c>
      <c r="BC113" s="501">
        <f t="shared" ref="BC113:CD113" si="110">IFERROR(BC54/BC$9,0)</f>
        <v>9554.531412144639</v>
      </c>
      <c r="BD113" s="501">
        <f t="shared" si="110"/>
        <v>9554.531412144639</v>
      </c>
      <c r="BE113" s="501">
        <f t="shared" si="110"/>
        <v>9554.531412144639</v>
      </c>
      <c r="BF113" s="501">
        <f t="shared" si="110"/>
        <v>9543.1366221480421</v>
      </c>
      <c r="BG113" s="501">
        <f t="shared" si="110"/>
        <v>9726.5399442960334</v>
      </c>
      <c r="BH113" s="501">
        <f t="shared" si="110"/>
        <v>9726.5399442960334</v>
      </c>
      <c r="BI113" s="501">
        <f t="shared" si="110"/>
        <v>9726.5399442960334</v>
      </c>
      <c r="BJ113" s="501">
        <f t="shared" si="110"/>
        <v>9726.5399442960334</v>
      </c>
      <c r="BK113" s="501">
        <f t="shared" si="110"/>
        <v>9726.5399442960334</v>
      </c>
      <c r="BL113" s="501">
        <f t="shared" si="110"/>
        <v>9714.1887824620044</v>
      </c>
      <c r="BM113" s="501">
        <f t="shared" si="110"/>
        <v>10094.390997550347</v>
      </c>
      <c r="BN113" s="501">
        <f t="shared" si="110"/>
        <v>10094.390997550347</v>
      </c>
      <c r="BO113" s="501">
        <f t="shared" si="110"/>
        <v>10094.390997550347</v>
      </c>
      <c r="BP113" s="501">
        <f t="shared" si="110"/>
        <v>10094.390997550347</v>
      </c>
      <c r="BQ113" s="501">
        <f t="shared" si="110"/>
        <v>10094.390997550347</v>
      </c>
      <c r="BR113" s="501">
        <f t="shared" si="110"/>
        <v>10080.714814109686</v>
      </c>
      <c r="BS113" s="501">
        <f t="shared" si="110"/>
        <v>10223.318360089339</v>
      </c>
      <c r="BT113" s="501">
        <f t="shared" si="110"/>
        <v>10223.318360089339</v>
      </c>
      <c r="BU113" s="501">
        <f t="shared" si="110"/>
        <v>10223.318360089339</v>
      </c>
      <c r="BV113" s="501">
        <f t="shared" si="110"/>
        <v>10223.318360089339</v>
      </c>
      <c r="BW113" s="501">
        <f t="shared" si="110"/>
        <v>10223.318360089339</v>
      </c>
      <c r="BX113" s="501">
        <f t="shared" si="110"/>
        <v>10208.508395783836</v>
      </c>
      <c r="BY113" s="501">
        <f t="shared" si="110"/>
        <v>10655.987041549122</v>
      </c>
      <c r="BZ113" s="501">
        <f t="shared" si="110"/>
        <v>10655.987041549122</v>
      </c>
      <c r="CA113" s="501">
        <f t="shared" si="110"/>
        <v>10655.987041549122</v>
      </c>
      <c r="CB113" s="501">
        <f t="shared" si="110"/>
        <v>10655.987041549122</v>
      </c>
      <c r="CC113" s="501">
        <f t="shared" si="110"/>
        <v>10655.987041549122</v>
      </c>
      <c r="CD113" s="501">
        <f t="shared" si="110"/>
        <v>10639.443046763299</v>
      </c>
      <c r="CG113" s="8"/>
    </row>
    <row r="114" spans="1:85" x14ac:dyDescent="0.3">
      <c r="A114" s="7"/>
      <c r="B114" s="1"/>
      <c r="C114" s="2"/>
      <c r="D114" s="2"/>
      <c r="E114" s="2"/>
      <c r="F114" s="37"/>
      <c r="G114" s="37"/>
      <c r="H114" s="37"/>
      <c r="I114" s="37"/>
      <c r="J114" s="37"/>
      <c r="K114" s="37"/>
      <c r="L114" s="37"/>
      <c r="M114" s="37"/>
      <c r="N114" s="37"/>
      <c r="O114" s="37"/>
      <c r="P114" s="37"/>
      <c r="Q114" s="37"/>
      <c r="R114" s="37"/>
      <c r="S114" s="37"/>
      <c r="T114" s="37"/>
      <c r="U114" s="35"/>
      <c r="W114" s="37"/>
      <c r="X114" s="37"/>
      <c r="Y114" s="37"/>
      <c r="Z114" s="37"/>
      <c r="AA114" s="37"/>
      <c r="AB114" s="37"/>
      <c r="AC114" s="37"/>
      <c r="AD114" s="37"/>
      <c r="AE114" s="37"/>
      <c r="AF114" s="37"/>
      <c r="AG114" s="37"/>
      <c r="AH114" s="37"/>
      <c r="AI114" s="37"/>
      <c r="AJ114" s="37"/>
      <c r="AK114" s="37"/>
      <c r="AL114" s="37"/>
      <c r="AM114" s="37"/>
      <c r="AN114" s="37"/>
      <c r="AO114" s="37"/>
      <c r="AP114" s="37"/>
      <c r="AQ114" s="37"/>
      <c r="AR114" s="37"/>
      <c r="AS114" s="37"/>
      <c r="AT114" s="37"/>
      <c r="AU114" s="37"/>
      <c r="AV114" s="37"/>
      <c r="AW114" s="37"/>
      <c r="AX114" s="37"/>
      <c r="AY114" s="37"/>
      <c r="AZ114" s="37"/>
      <c r="BA114" s="37"/>
      <c r="BB114" s="37"/>
      <c r="BC114" s="37"/>
      <c r="BD114" s="37"/>
      <c r="BE114" s="37"/>
      <c r="BF114" s="37"/>
      <c r="BG114" s="37"/>
      <c r="BH114" s="37"/>
      <c r="BI114" s="37"/>
      <c r="BJ114" s="37"/>
      <c r="BK114" s="37"/>
      <c r="BL114" s="37"/>
      <c r="BM114" s="37"/>
      <c r="BN114" s="37"/>
      <c r="BO114" s="37"/>
      <c r="BP114" s="37"/>
      <c r="BQ114" s="37"/>
      <c r="BR114" s="37"/>
      <c r="BS114" s="37"/>
      <c r="BT114" s="37"/>
      <c r="BU114" s="37"/>
      <c r="BV114" s="37"/>
      <c r="BW114" s="37"/>
      <c r="BX114" s="37"/>
      <c r="BY114" s="37"/>
      <c r="BZ114" s="37"/>
      <c r="CA114" s="37"/>
      <c r="CB114" s="37"/>
      <c r="CC114" s="37"/>
      <c r="CD114" s="37"/>
    </row>
    <row r="115" spans="1:85" x14ac:dyDescent="0.3">
      <c r="A115" s="7"/>
      <c r="B115" s="1"/>
      <c r="C115" s="2"/>
      <c r="D115" s="2"/>
      <c r="E115" s="17" t="s">
        <v>51</v>
      </c>
      <c r="F115" s="37"/>
      <c r="G115" s="37"/>
      <c r="H115" s="37"/>
      <c r="I115" s="37"/>
      <c r="J115" s="37"/>
      <c r="K115" s="37"/>
      <c r="L115" s="37"/>
      <c r="M115" s="37"/>
      <c r="N115" s="37"/>
      <c r="O115" s="37"/>
      <c r="P115" s="37"/>
      <c r="Q115" s="37"/>
      <c r="R115" s="37"/>
      <c r="S115" s="37"/>
      <c r="T115" s="37"/>
      <c r="U115" s="35"/>
      <c r="W115" s="37"/>
      <c r="X115" s="37"/>
      <c r="Y115" s="37"/>
      <c r="Z115" s="37"/>
      <c r="AA115" s="37"/>
      <c r="AB115" s="37"/>
      <c r="AC115" s="37"/>
      <c r="AD115" s="37"/>
      <c r="AE115" s="37"/>
      <c r="AF115" s="37"/>
      <c r="AG115" s="37"/>
      <c r="AH115" s="37"/>
      <c r="AI115" s="37"/>
      <c r="AJ115" s="37"/>
      <c r="AK115" s="37"/>
      <c r="AL115" s="37"/>
      <c r="AM115" s="37"/>
      <c r="AN115" s="37"/>
      <c r="AO115" s="37"/>
      <c r="AP115" s="37"/>
      <c r="AQ115" s="37"/>
      <c r="AR115" s="37"/>
      <c r="AS115" s="37"/>
      <c r="AT115" s="37"/>
      <c r="AU115" s="37"/>
      <c r="AV115" s="37"/>
      <c r="AW115" s="37"/>
      <c r="AX115" s="37"/>
      <c r="AY115" s="37"/>
      <c r="AZ115" s="37"/>
      <c r="BA115" s="37"/>
      <c r="BB115" s="37"/>
      <c r="BC115" s="37"/>
      <c r="BD115" s="37"/>
      <c r="BE115" s="37"/>
      <c r="BF115" s="37"/>
      <c r="BG115" s="37"/>
      <c r="BH115" s="37"/>
      <c r="BI115" s="37"/>
      <c r="BJ115" s="37"/>
      <c r="BK115" s="37"/>
      <c r="BL115" s="37"/>
      <c r="BM115" s="37"/>
      <c r="BN115" s="37"/>
      <c r="BO115" s="37"/>
      <c r="BP115" s="37"/>
      <c r="BQ115" s="37"/>
      <c r="BR115" s="37"/>
      <c r="BS115" s="37"/>
      <c r="BT115" s="37"/>
      <c r="BU115" s="37"/>
      <c r="BV115" s="37"/>
      <c r="BW115" s="37"/>
      <c r="BX115" s="37"/>
      <c r="BY115" s="37"/>
      <c r="BZ115" s="37"/>
      <c r="CA115" s="37"/>
      <c r="CB115" s="37"/>
      <c r="CC115" s="37"/>
      <c r="CD115" s="37"/>
    </row>
    <row r="116" spans="1:85" x14ac:dyDescent="0.3">
      <c r="A116" s="7"/>
      <c r="B116" s="1"/>
      <c r="C116" s="2"/>
      <c r="D116" s="2"/>
      <c r="E116" s="2" t="s">
        <v>19</v>
      </c>
      <c r="F116" s="54"/>
      <c r="G116" s="54"/>
      <c r="H116" s="54"/>
      <c r="I116" s="497">
        <f t="shared" ref="I116:L118" si="111">I57/I$9</f>
        <v>-2032.9865584415584</v>
      </c>
      <c r="J116" s="497">
        <f t="shared" si="111"/>
        <v>-2835.6670129870117</v>
      </c>
      <c r="K116" s="497">
        <f t="shared" si="111"/>
        <v>-1891.099220779221</v>
      </c>
      <c r="L116" s="497">
        <f t="shared" si="111"/>
        <v>-1833.4091883116885</v>
      </c>
      <c r="M116" s="54"/>
      <c r="N116" s="497">
        <f>IFERROR(N57/N$9,0)</f>
        <v>-1872.7568162980992</v>
      </c>
      <c r="O116" s="497">
        <f t="shared" ref="O116:S133" si="112">SUMIF($W$2:$CD$2,O$3,$W116:$CD116)</f>
        <v>-1909.0645727009382</v>
      </c>
      <c r="P116" s="497">
        <f t="shared" si="112"/>
        <v>-1943.5290403385957</v>
      </c>
      <c r="Q116" s="497">
        <f t="shared" si="112"/>
        <v>-1978.1598061992654</v>
      </c>
      <c r="R116" s="497">
        <f t="shared" si="112"/>
        <v>-2012.8543850473541</v>
      </c>
      <c r="S116" s="497">
        <f t="shared" si="112"/>
        <v>-2047.4788180461558</v>
      </c>
      <c r="T116" s="37"/>
      <c r="U116" s="50">
        <f t="shared" si="61"/>
        <v>1.7999597321511907E-2</v>
      </c>
      <c r="W116" s="497">
        <f t="shared" ref="W116:BB116" si="113">IFERROR(W57/W$9,0)</f>
        <v>-159.18432938533843</v>
      </c>
      <c r="X116" s="497">
        <f t="shared" si="113"/>
        <v>-159.18432938533843</v>
      </c>
      <c r="Y116" s="497">
        <f t="shared" si="113"/>
        <v>-159.18432938533843</v>
      </c>
      <c r="Z116" s="497">
        <f t="shared" si="113"/>
        <v>-159.18432938533843</v>
      </c>
      <c r="AA116" s="497">
        <f t="shared" si="113"/>
        <v>-159.18432938533843</v>
      </c>
      <c r="AB116" s="497">
        <f t="shared" si="113"/>
        <v>-159.04188255814799</v>
      </c>
      <c r="AC116" s="497">
        <f t="shared" si="113"/>
        <v>-159.04188255814799</v>
      </c>
      <c r="AD116" s="497">
        <f t="shared" si="113"/>
        <v>-159.04188255814799</v>
      </c>
      <c r="AE116" s="497">
        <f t="shared" si="113"/>
        <v>-159.04188255814799</v>
      </c>
      <c r="AF116" s="497">
        <f t="shared" si="113"/>
        <v>-159.04188255814799</v>
      </c>
      <c r="AG116" s="497">
        <f t="shared" si="113"/>
        <v>-159.04188255814799</v>
      </c>
      <c r="AH116" s="497">
        <f t="shared" si="113"/>
        <v>-158.89163042535804</v>
      </c>
      <c r="AI116" s="497">
        <f t="shared" si="113"/>
        <v>-162.06946303386522</v>
      </c>
      <c r="AJ116" s="497">
        <f t="shared" si="113"/>
        <v>-162.06946303386522</v>
      </c>
      <c r="AK116" s="497">
        <f t="shared" si="113"/>
        <v>-162.06946303386522</v>
      </c>
      <c r="AL116" s="497">
        <f t="shared" si="113"/>
        <v>-162.06946303386522</v>
      </c>
      <c r="AM116" s="497">
        <f t="shared" si="113"/>
        <v>-162.06946303386522</v>
      </c>
      <c r="AN116" s="497">
        <f t="shared" si="113"/>
        <v>-161.90757165135213</v>
      </c>
      <c r="AO116" s="497">
        <f t="shared" si="113"/>
        <v>-161.90757165135213</v>
      </c>
      <c r="AP116" s="497">
        <f t="shared" si="113"/>
        <v>-161.90757165135213</v>
      </c>
      <c r="AQ116" s="497">
        <f t="shared" si="113"/>
        <v>-161.90757165135213</v>
      </c>
      <c r="AR116" s="497">
        <f t="shared" si="113"/>
        <v>-161.90757165135213</v>
      </c>
      <c r="AS116" s="497">
        <f t="shared" si="113"/>
        <v>-161.90757165135213</v>
      </c>
      <c r="AT116" s="497">
        <f t="shared" si="113"/>
        <v>-161.7362952611571</v>
      </c>
      <c r="AU116" s="497">
        <f t="shared" si="113"/>
        <v>-164.97102116638024</v>
      </c>
      <c r="AV116" s="497">
        <f t="shared" si="113"/>
        <v>-164.97102116638024</v>
      </c>
      <c r="AW116" s="497">
        <f t="shared" si="113"/>
        <v>-164.97102116638024</v>
      </c>
      <c r="AX116" s="497">
        <f t="shared" si="113"/>
        <v>-164.97102116638024</v>
      </c>
      <c r="AY116" s="497">
        <f t="shared" si="113"/>
        <v>-164.97102116638024</v>
      </c>
      <c r="AZ116" s="497">
        <f t="shared" si="113"/>
        <v>-164.78588928312766</v>
      </c>
      <c r="BA116" s="497">
        <f t="shared" si="113"/>
        <v>-164.78588928312766</v>
      </c>
      <c r="BB116" s="497">
        <f t="shared" si="113"/>
        <v>-164.78588928312766</v>
      </c>
      <c r="BC116" s="497">
        <f t="shared" ref="BC116:CD116" si="114">IFERROR(BC57/BC$9,0)</f>
        <v>-164.78588928312766</v>
      </c>
      <c r="BD116" s="497">
        <f t="shared" si="114"/>
        <v>-164.78588928312766</v>
      </c>
      <c r="BE116" s="497">
        <f t="shared" si="114"/>
        <v>-164.78588928312766</v>
      </c>
      <c r="BF116" s="497">
        <f t="shared" si="114"/>
        <v>-164.58936466859797</v>
      </c>
      <c r="BG116" s="497">
        <f t="shared" si="114"/>
        <v>-167.88115196196992</v>
      </c>
      <c r="BH116" s="497">
        <f t="shared" si="114"/>
        <v>-167.88115196196992</v>
      </c>
      <c r="BI116" s="497">
        <f t="shared" si="114"/>
        <v>-167.88115196196992</v>
      </c>
      <c r="BJ116" s="497">
        <f t="shared" si="114"/>
        <v>-167.88115196196992</v>
      </c>
      <c r="BK116" s="497">
        <f t="shared" si="114"/>
        <v>-167.88115196196992</v>
      </c>
      <c r="BL116" s="497">
        <f t="shared" si="114"/>
        <v>-167.66796954678014</v>
      </c>
      <c r="BM116" s="497">
        <f t="shared" si="114"/>
        <v>-167.66796954678014</v>
      </c>
      <c r="BN116" s="497">
        <f t="shared" si="114"/>
        <v>-167.66796954678014</v>
      </c>
      <c r="BO116" s="497">
        <f t="shared" si="114"/>
        <v>-167.66796954678014</v>
      </c>
      <c r="BP116" s="497">
        <f t="shared" si="114"/>
        <v>-167.66796954678014</v>
      </c>
      <c r="BQ116" s="497">
        <f t="shared" si="114"/>
        <v>-167.66796954678014</v>
      </c>
      <c r="BR116" s="497">
        <f t="shared" si="114"/>
        <v>-167.44080795682379</v>
      </c>
      <c r="BS116" s="497">
        <f t="shared" si="114"/>
        <v>-170.78962411596029</v>
      </c>
      <c r="BT116" s="497">
        <f t="shared" si="114"/>
        <v>-170.78962411596029</v>
      </c>
      <c r="BU116" s="497">
        <f t="shared" si="114"/>
        <v>-170.78962411596029</v>
      </c>
      <c r="BV116" s="497">
        <f t="shared" si="114"/>
        <v>-170.78962411596029</v>
      </c>
      <c r="BW116" s="497">
        <f t="shared" si="114"/>
        <v>-170.78962411596029</v>
      </c>
      <c r="BX116" s="497">
        <f t="shared" si="114"/>
        <v>-170.54221049272988</v>
      </c>
      <c r="BY116" s="497">
        <f t="shared" si="114"/>
        <v>-170.54221049272988</v>
      </c>
      <c r="BZ116" s="497">
        <f t="shared" si="114"/>
        <v>-170.54221049272988</v>
      </c>
      <c r="CA116" s="497">
        <f t="shared" si="114"/>
        <v>-170.54221049272988</v>
      </c>
      <c r="CB116" s="497">
        <f t="shared" si="114"/>
        <v>-170.54221049272988</v>
      </c>
      <c r="CC116" s="497">
        <f t="shared" si="114"/>
        <v>-170.54221049272988</v>
      </c>
      <c r="CD116" s="497">
        <f t="shared" si="114"/>
        <v>-170.27743450997451</v>
      </c>
      <c r="CG116" s="8"/>
    </row>
    <row r="117" spans="1:85" x14ac:dyDescent="0.3">
      <c r="A117" s="7"/>
      <c r="B117" s="1"/>
      <c r="C117" s="2"/>
      <c r="D117" s="2"/>
      <c r="E117" s="2" t="s">
        <v>20</v>
      </c>
      <c r="F117" s="54"/>
      <c r="G117" s="54"/>
      <c r="H117" s="54"/>
      <c r="I117" s="497">
        <f t="shared" si="111"/>
        <v>-318.96224025973999</v>
      </c>
      <c r="J117" s="497">
        <f t="shared" si="111"/>
        <v>-309.27957792207786</v>
      </c>
      <c r="K117" s="497">
        <f t="shared" si="111"/>
        <v>-346.38581168831178</v>
      </c>
      <c r="L117" s="497">
        <f t="shared" si="111"/>
        <v>-293.30525974025966</v>
      </c>
      <c r="M117" s="54"/>
      <c r="N117" s="497">
        <f>IFERROR(N58/N$9,0)</f>
        <v>-284.02616761754945</v>
      </c>
      <c r="O117" s="497">
        <f t="shared" si="112"/>
        <v>-289.53267696043076</v>
      </c>
      <c r="P117" s="497">
        <f t="shared" si="112"/>
        <v>-294.75962932120353</v>
      </c>
      <c r="Q117" s="497">
        <f t="shared" si="112"/>
        <v>-300.01180281402765</v>
      </c>
      <c r="R117" s="497">
        <f t="shared" si="112"/>
        <v>-305.27365431635269</v>
      </c>
      <c r="S117" s="497">
        <f t="shared" si="112"/>
        <v>-310.52486735426311</v>
      </c>
      <c r="T117" s="37"/>
      <c r="U117" s="50">
        <f t="shared" si="61"/>
        <v>1.7999597321511684E-2</v>
      </c>
      <c r="W117" s="497">
        <f t="shared" ref="W117:BB117" si="115">IFERROR(W58/W$9,0)</f>
        <v>-24.142224247491708</v>
      </c>
      <c r="X117" s="497">
        <f t="shared" si="115"/>
        <v>-24.142224247491708</v>
      </c>
      <c r="Y117" s="497">
        <f t="shared" si="115"/>
        <v>-24.142224247491708</v>
      </c>
      <c r="Z117" s="497">
        <f t="shared" si="115"/>
        <v>-24.142224247491708</v>
      </c>
      <c r="AA117" s="497">
        <f t="shared" si="115"/>
        <v>-24.142224247491708</v>
      </c>
      <c r="AB117" s="497">
        <f t="shared" si="115"/>
        <v>-24.120620467404468</v>
      </c>
      <c r="AC117" s="497">
        <f t="shared" si="115"/>
        <v>-24.120620467404468</v>
      </c>
      <c r="AD117" s="497">
        <f t="shared" si="115"/>
        <v>-24.120620467404468</v>
      </c>
      <c r="AE117" s="497">
        <f t="shared" si="115"/>
        <v>-24.120620467404468</v>
      </c>
      <c r="AF117" s="497">
        <f t="shared" si="115"/>
        <v>-24.120620467404468</v>
      </c>
      <c r="AG117" s="497">
        <f t="shared" si="115"/>
        <v>-24.120620467404468</v>
      </c>
      <c r="AH117" s="497">
        <f t="shared" si="115"/>
        <v>-24.097832918545325</v>
      </c>
      <c r="AI117" s="497">
        <f t="shared" si="115"/>
        <v>-24.579789576916227</v>
      </c>
      <c r="AJ117" s="497">
        <f t="shared" si="115"/>
        <v>-24.579789576916227</v>
      </c>
      <c r="AK117" s="497">
        <f t="shared" si="115"/>
        <v>-24.579789576916227</v>
      </c>
      <c r="AL117" s="497">
        <f t="shared" si="115"/>
        <v>-24.579789576916227</v>
      </c>
      <c r="AM117" s="497">
        <f t="shared" si="115"/>
        <v>-24.579789576916227</v>
      </c>
      <c r="AN117" s="497">
        <f t="shared" si="115"/>
        <v>-24.555236795398979</v>
      </c>
      <c r="AO117" s="497">
        <f t="shared" si="115"/>
        <v>-24.555236795398979</v>
      </c>
      <c r="AP117" s="497">
        <f t="shared" si="115"/>
        <v>-24.555236795398979</v>
      </c>
      <c r="AQ117" s="497">
        <f t="shared" si="115"/>
        <v>-24.555236795398979</v>
      </c>
      <c r="AR117" s="497">
        <f t="shared" si="115"/>
        <v>-24.555236795398979</v>
      </c>
      <c r="AS117" s="497">
        <f t="shared" si="115"/>
        <v>-24.555236795398979</v>
      </c>
      <c r="AT117" s="497">
        <f t="shared" si="115"/>
        <v>-24.529260664228559</v>
      </c>
      <c r="AU117" s="497">
        <f t="shared" si="115"/>
        <v>-25.019845877513131</v>
      </c>
      <c r="AV117" s="497">
        <f t="shared" si="115"/>
        <v>-25.019845877513131</v>
      </c>
      <c r="AW117" s="497">
        <f t="shared" si="115"/>
        <v>-25.019845877513131</v>
      </c>
      <c r="AX117" s="497">
        <f t="shared" si="115"/>
        <v>-25.019845877513131</v>
      </c>
      <c r="AY117" s="497">
        <f t="shared" si="115"/>
        <v>-25.019845877513131</v>
      </c>
      <c r="AZ117" s="497">
        <f t="shared" si="115"/>
        <v>-24.991768393642058</v>
      </c>
      <c r="BA117" s="497">
        <f t="shared" si="115"/>
        <v>-24.991768393642058</v>
      </c>
      <c r="BB117" s="497">
        <f t="shared" si="115"/>
        <v>-24.991768393642058</v>
      </c>
      <c r="BC117" s="497">
        <f t="shared" ref="BC117:CD117" si="116">IFERROR(BC58/BC$9,0)</f>
        <v>-24.991768393642058</v>
      </c>
      <c r="BD117" s="497">
        <f t="shared" si="116"/>
        <v>-24.991768393642058</v>
      </c>
      <c r="BE117" s="497">
        <f t="shared" si="116"/>
        <v>-24.991768393642058</v>
      </c>
      <c r="BF117" s="497">
        <f t="shared" si="116"/>
        <v>-24.961963064609687</v>
      </c>
      <c r="BG117" s="497">
        <f t="shared" si="116"/>
        <v>-25.461202325901876</v>
      </c>
      <c r="BH117" s="497">
        <f t="shared" si="116"/>
        <v>-25.461202325901876</v>
      </c>
      <c r="BI117" s="497">
        <f t="shared" si="116"/>
        <v>-25.461202325901876</v>
      </c>
      <c r="BJ117" s="497">
        <f t="shared" si="116"/>
        <v>-25.461202325901876</v>
      </c>
      <c r="BK117" s="497">
        <f t="shared" si="116"/>
        <v>-25.461202325901876</v>
      </c>
      <c r="BL117" s="497">
        <f t="shared" si="116"/>
        <v>-25.428870640408668</v>
      </c>
      <c r="BM117" s="497">
        <f t="shared" si="116"/>
        <v>-25.428870640408668</v>
      </c>
      <c r="BN117" s="497">
        <f t="shared" si="116"/>
        <v>-25.428870640408668</v>
      </c>
      <c r="BO117" s="497">
        <f t="shared" si="116"/>
        <v>-25.428870640408668</v>
      </c>
      <c r="BP117" s="497">
        <f t="shared" si="116"/>
        <v>-25.428870640408668</v>
      </c>
      <c r="BQ117" s="497">
        <f t="shared" si="116"/>
        <v>-25.428870640408668</v>
      </c>
      <c r="BR117" s="497">
        <f t="shared" si="116"/>
        <v>-25.394418844391318</v>
      </c>
      <c r="BS117" s="497">
        <f t="shared" si="116"/>
        <v>-25.902307221279148</v>
      </c>
      <c r="BT117" s="497">
        <f t="shared" si="116"/>
        <v>-25.902307221279148</v>
      </c>
      <c r="BU117" s="497">
        <f t="shared" si="116"/>
        <v>-25.902307221279148</v>
      </c>
      <c r="BV117" s="497">
        <f t="shared" si="116"/>
        <v>-25.902307221279148</v>
      </c>
      <c r="BW117" s="497">
        <f t="shared" si="116"/>
        <v>-25.902307221279148</v>
      </c>
      <c r="BX117" s="497">
        <f t="shared" si="116"/>
        <v>-25.864783960057537</v>
      </c>
      <c r="BY117" s="497">
        <f t="shared" si="116"/>
        <v>-25.864783960057537</v>
      </c>
      <c r="BZ117" s="497">
        <f t="shared" si="116"/>
        <v>-25.864783960057537</v>
      </c>
      <c r="CA117" s="497">
        <f t="shared" si="116"/>
        <v>-25.864783960057537</v>
      </c>
      <c r="CB117" s="497">
        <f t="shared" si="116"/>
        <v>-25.864783960057537</v>
      </c>
      <c r="CC117" s="497">
        <f t="shared" si="116"/>
        <v>-25.864783960057537</v>
      </c>
      <c r="CD117" s="497">
        <f t="shared" si="116"/>
        <v>-25.824627487522125</v>
      </c>
      <c r="CG117" s="8"/>
    </row>
    <row r="118" spans="1:85" x14ac:dyDescent="0.3">
      <c r="A118" s="7"/>
      <c r="B118" s="1"/>
      <c r="C118" s="2"/>
      <c r="D118" s="2"/>
      <c r="E118" s="4" t="s">
        <v>35</v>
      </c>
      <c r="F118" s="5"/>
      <c r="G118" s="5"/>
      <c r="H118" s="5"/>
      <c r="I118" s="498">
        <f t="shared" si="111"/>
        <v>-2351.9487987012981</v>
      </c>
      <c r="J118" s="498">
        <f t="shared" si="111"/>
        <v>-3144.9465909090895</v>
      </c>
      <c r="K118" s="498">
        <f t="shared" si="111"/>
        <v>-2237.4850324675331</v>
      </c>
      <c r="L118" s="498">
        <f t="shared" si="111"/>
        <v>-2126.7144480519482</v>
      </c>
      <c r="M118" s="5"/>
      <c r="N118" s="498">
        <f>IFERROR(N59/N$9,0)</f>
        <v>-2156.7829839156484</v>
      </c>
      <c r="O118" s="498">
        <f t="shared" si="112"/>
        <v>-2198.597249661369</v>
      </c>
      <c r="P118" s="498">
        <f t="shared" si="112"/>
        <v>-2238.2886696597998</v>
      </c>
      <c r="Q118" s="498">
        <f t="shared" si="112"/>
        <v>-2278.1716090132923</v>
      </c>
      <c r="R118" s="498">
        <f t="shared" si="112"/>
        <v>-2318.1280393637066</v>
      </c>
      <c r="S118" s="498">
        <f t="shared" si="112"/>
        <v>-2358.0036854004179</v>
      </c>
      <c r="T118" s="57"/>
      <c r="U118" s="55">
        <f t="shared" si="61"/>
        <v>1.7999597321511684E-2</v>
      </c>
      <c r="W118" s="498">
        <f t="shared" ref="W118:BB118" si="117">IFERROR(W59/W$9,0)</f>
        <v>-183.32655363283016</v>
      </c>
      <c r="X118" s="498">
        <f t="shared" si="117"/>
        <v>-183.32655363283016</v>
      </c>
      <c r="Y118" s="498">
        <f t="shared" si="117"/>
        <v>-183.32655363283016</v>
      </c>
      <c r="Z118" s="498">
        <f t="shared" si="117"/>
        <v>-183.32655363283016</v>
      </c>
      <c r="AA118" s="498">
        <f t="shared" si="117"/>
        <v>-183.32655363283016</v>
      </c>
      <c r="AB118" s="498">
        <f t="shared" si="117"/>
        <v>-183.16250302555247</v>
      </c>
      <c r="AC118" s="498">
        <f t="shared" si="117"/>
        <v>-183.16250302555247</v>
      </c>
      <c r="AD118" s="498">
        <f t="shared" si="117"/>
        <v>-183.16250302555247</v>
      </c>
      <c r="AE118" s="498">
        <f t="shared" si="117"/>
        <v>-183.16250302555247</v>
      </c>
      <c r="AF118" s="498">
        <f t="shared" si="117"/>
        <v>-183.16250302555247</v>
      </c>
      <c r="AG118" s="498">
        <f t="shared" si="117"/>
        <v>-183.16250302555247</v>
      </c>
      <c r="AH118" s="498">
        <f t="shared" si="117"/>
        <v>-182.98946334390337</v>
      </c>
      <c r="AI118" s="498">
        <f t="shared" si="117"/>
        <v>-186.64925261078145</v>
      </c>
      <c r="AJ118" s="498">
        <f t="shared" si="117"/>
        <v>-186.64925261078145</v>
      </c>
      <c r="AK118" s="498">
        <f t="shared" si="117"/>
        <v>-186.64925261078145</v>
      </c>
      <c r="AL118" s="498">
        <f t="shared" si="117"/>
        <v>-186.64925261078145</v>
      </c>
      <c r="AM118" s="498">
        <f t="shared" si="117"/>
        <v>-186.64925261078145</v>
      </c>
      <c r="AN118" s="498">
        <f t="shared" si="117"/>
        <v>-186.4628084467511</v>
      </c>
      <c r="AO118" s="498">
        <f t="shared" si="117"/>
        <v>-186.4628084467511</v>
      </c>
      <c r="AP118" s="498">
        <f t="shared" si="117"/>
        <v>-186.4628084467511</v>
      </c>
      <c r="AQ118" s="498">
        <f t="shared" si="117"/>
        <v>-186.4628084467511</v>
      </c>
      <c r="AR118" s="498">
        <f t="shared" si="117"/>
        <v>-186.4628084467511</v>
      </c>
      <c r="AS118" s="498">
        <f t="shared" si="117"/>
        <v>-186.4628084467511</v>
      </c>
      <c r="AT118" s="498">
        <f t="shared" si="117"/>
        <v>-186.26555592538566</v>
      </c>
      <c r="AU118" s="498">
        <f t="shared" si="117"/>
        <v>-189.99086704389336</v>
      </c>
      <c r="AV118" s="498">
        <f t="shared" si="117"/>
        <v>-189.99086704389336</v>
      </c>
      <c r="AW118" s="498">
        <f t="shared" si="117"/>
        <v>-189.99086704389336</v>
      </c>
      <c r="AX118" s="498">
        <f t="shared" si="117"/>
        <v>-189.99086704389336</v>
      </c>
      <c r="AY118" s="498">
        <f t="shared" si="117"/>
        <v>-189.99086704389336</v>
      </c>
      <c r="AZ118" s="498">
        <f t="shared" si="117"/>
        <v>-189.77765767676973</v>
      </c>
      <c r="BA118" s="498">
        <f t="shared" si="117"/>
        <v>-189.77765767676973</v>
      </c>
      <c r="BB118" s="498">
        <f t="shared" si="117"/>
        <v>-189.77765767676973</v>
      </c>
      <c r="BC118" s="498">
        <f t="shared" ref="BC118:CD118" si="118">IFERROR(BC59/BC$9,0)</f>
        <v>-189.77765767676973</v>
      </c>
      <c r="BD118" s="498">
        <f t="shared" si="118"/>
        <v>-189.77765767676973</v>
      </c>
      <c r="BE118" s="498">
        <f t="shared" si="118"/>
        <v>-189.77765767676973</v>
      </c>
      <c r="BF118" s="498">
        <f t="shared" si="118"/>
        <v>-189.55132773320764</v>
      </c>
      <c r="BG118" s="498">
        <f t="shared" si="118"/>
        <v>-193.34235428787181</v>
      </c>
      <c r="BH118" s="498">
        <f t="shared" si="118"/>
        <v>-193.34235428787181</v>
      </c>
      <c r="BI118" s="498">
        <f t="shared" si="118"/>
        <v>-193.34235428787181</v>
      </c>
      <c r="BJ118" s="498">
        <f t="shared" si="118"/>
        <v>-193.34235428787181</v>
      </c>
      <c r="BK118" s="498">
        <f t="shared" si="118"/>
        <v>-193.34235428787181</v>
      </c>
      <c r="BL118" s="498">
        <f t="shared" si="118"/>
        <v>-193.0968401871888</v>
      </c>
      <c r="BM118" s="498">
        <f t="shared" si="118"/>
        <v>-193.0968401871888</v>
      </c>
      <c r="BN118" s="498">
        <f t="shared" si="118"/>
        <v>-193.0968401871888</v>
      </c>
      <c r="BO118" s="498">
        <f t="shared" si="118"/>
        <v>-193.0968401871888</v>
      </c>
      <c r="BP118" s="498">
        <f t="shared" si="118"/>
        <v>-193.0968401871888</v>
      </c>
      <c r="BQ118" s="498">
        <f t="shared" si="118"/>
        <v>-193.0968401871888</v>
      </c>
      <c r="BR118" s="498">
        <f t="shared" si="118"/>
        <v>-192.8352268012151</v>
      </c>
      <c r="BS118" s="498">
        <f t="shared" si="118"/>
        <v>-196.69193133723945</v>
      </c>
      <c r="BT118" s="498">
        <f t="shared" si="118"/>
        <v>-196.69193133723945</v>
      </c>
      <c r="BU118" s="498">
        <f t="shared" si="118"/>
        <v>-196.69193133723945</v>
      </c>
      <c r="BV118" s="498">
        <f t="shared" si="118"/>
        <v>-196.69193133723945</v>
      </c>
      <c r="BW118" s="498">
        <f t="shared" si="118"/>
        <v>-196.69193133723945</v>
      </c>
      <c r="BX118" s="498">
        <f t="shared" si="118"/>
        <v>-196.40699445278739</v>
      </c>
      <c r="BY118" s="498">
        <f t="shared" si="118"/>
        <v>-196.40699445278739</v>
      </c>
      <c r="BZ118" s="498">
        <f t="shared" si="118"/>
        <v>-196.40699445278739</v>
      </c>
      <c r="CA118" s="498">
        <f t="shared" si="118"/>
        <v>-196.40699445278739</v>
      </c>
      <c r="CB118" s="498">
        <f t="shared" si="118"/>
        <v>-196.40699445278739</v>
      </c>
      <c r="CC118" s="498">
        <f t="shared" si="118"/>
        <v>-196.40699445278739</v>
      </c>
      <c r="CD118" s="498">
        <f t="shared" si="118"/>
        <v>-196.10206199749663</v>
      </c>
      <c r="CG118" s="8"/>
    </row>
    <row r="119" spans="1:85" x14ac:dyDescent="0.3">
      <c r="A119" s="7"/>
      <c r="B119" s="1"/>
      <c r="C119" s="2"/>
      <c r="D119" s="2"/>
      <c r="E119" s="2"/>
      <c r="F119" s="37"/>
      <c r="G119" s="37"/>
      <c r="H119" s="37"/>
      <c r="I119" s="37"/>
      <c r="J119" s="37"/>
      <c r="K119" s="37"/>
      <c r="L119" s="37"/>
      <c r="M119" s="37"/>
      <c r="N119" s="37"/>
      <c r="O119" s="37"/>
      <c r="P119" s="37"/>
      <c r="Q119" s="37"/>
      <c r="R119" s="37"/>
      <c r="S119" s="37"/>
      <c r="T119" s="37"/>
      <c r="U119" s="35"/>
      <c r="W119" s="37"/>
      <c r="X119" s="37"/>
      <c r="Y119" s="37"/>
      <c r="Z119" s="37"/>
      <c r="AA119" s="37"/>
      <c r="AB119" s="37"/>
      <c r="AC119" s="37"/>
      <c r="AD119" s="37"/>
      <c r="AE119" s="37"/>
      <c r="AF119" s="37"/>
      <c r="AG119" s="37"/>
      <c r="AH119" s="37"/>
      <c r="AI119" s="37"/>
      <c r="AJ119" s="37"/>
      <c r="AK119" s="37"/>
      <c r="AL119" s="37"/>
      <c r="AM119" s="37"/>
      <c r="AN119" s="37"/>
      <c r="AO119" s="37"/>
      <c r="AP119" s="37"/>
      <c r="AQ119" s="37"/>
      <c r="AR119" s="37"/>
      <c r="AS119" s="37"/>
      <c r="AT119" s="37"/>
      <c r="AU119" s="37"/>
      <c r="AV119" s="37"/>
      <c r="AW119" s="37"/>
      <c r="AX119" s="37"/>
      <c r="AY119" s="37"/>
      <c r="AZ119" s="37"/>
      <c r="BA119" s="37"/>
      <c r="BB119" s="37"/>
      <c r="BC119" s="37"/>
      <c r="BD119" s="37"/>
      <c r="BE119" s="37"/>
      <c r="BF119" s="37"/>
      <c r="BG119" s="37"/>
      <c r="BH119" s="37"/>
      <c r="BI119" s="37"/>
      <c r="BJ119" s="37"/>
      <c r="BK119" s="37"/>
      <c r="BL119" s="37"/>
      <c r="BM119" s="37"/>
      <c r="BN119" s="37"/>
      <c r="BO119" s="37"/>
      <c r="BP119" s="37"/>
      <c r="BQ119" s="37"/>
      <c r="BR119" s="37"/>
      <c r="BS119" s="37"/>
      <c r="BT119" s="37"/>
      <c r="BU119" s="37"/>
      <c r="BV119" s="37"/>
      <c r="BW119" s="37"/>
      <c r="BX119" s="37"/>
      <c r="BY119" s="37"/>
      <c r="BZ119" s="37"/>
      <c r="CA119" s="37"/>
      <c r="CB119" s="37"/>
      <c r="CC119" s="37"/>
      <c r="CD119" s="37"/>
    </row>
    <row r="120" spans="1:85" x14ac:dyDescent="0.3">
      <c r="A120" s="7"/>
      <c r="B120" s="1"/>
      <c r="C120" s="2"/>
      <c r="D120" s="2"/>
      <c r="E120" s="62" t="s">
        <v>21</v>
      </c>
      <c r="F120" s="63"/>
      <c r="G120" s="63"/>
      <c r="H120" s="63"/>
      <c r="I120" s="501">
        <f>I61/I$9</f>
        <v>83003.618993506534</v>
      </c>
      <c r="J120" s="501">
        <f>J61/J$9</f>
        <v>87524.502987013024</v>
      </c>
      <c r="K120" s="501">
        <f>K61/K$9</f>
        <v>89840.472987012981</v>
      </c>
      <c r="L120" s="501">
        <f>L61/L$9</f>
        <v>90678.016306193749</v>
      </c>
      <c r="M120" s="63"/>
      <c r="N120" s="501">
        <f t="shared" ref="N120:S120" si="119">IFERROR(N61/N$9,0)</f>
        <v>93619.941677050068</v>
      </c>
      <c r="O120" s="501">
        <f t="shared" si="119"/>
        <v>102232.5614797419</v>
      </c>
      <c r="P120" s="501">
        <f t="shared" si="119"/>
        <v>108546.45596093782</v>
      </c>
      <c r="Q120" s="501">
        <f t="shared" si="119"/>
        <v>115023.87244922081</v>
      </c>
      <c r="R120" s="501">
        <f t="shared" si="119"/>
        <v>121642.39874608486</v>
      </c>
      <c r="S120" s="501">
        <f t="shared" si="119"/>
        <v>128590.90514864896</v>
      </c>
      <c r="T120" s="57"/>
      <c r="U120" s="55">
        <f t="shared" si="61"/>
        <v>6.5536613682469547E-2</v>
      </c>
      <c r="W120" s="501">
        <f t="shared" ref="W120:BB120" si="120">IFERROR(W61/W$9,0)</f>
        <v>8125.4044768005642</v>
      </c>
      <c r="X120" s="501">
        <f t="shared" si="120"/>
        <v>8125.4044768005642</v>
      </c>
      <c r="Y120" s="501">
        <f t="shared" si="120"/>
        <v>8125.4044768005642</v>
      </c>
      <c r="Z120" s="501">
        <f t="shared" si="120"/>
        <v>8125.4044768005642</v>
      </c>
      <c r="AA120" s="501">
        <f t="shared" si="120"/>
        <v>8125.4044768005642</v>
      </c>
      <c r="AB120" s="501">
        <f t="shared" si="120"/>
        <v>8118.1334213403406</v>
      </c>
      <c r="AC120" s="501">
        <f t="shared" si="120"/>
        <v>8317.8792515565874</v>
      </c>
      <c r="AD120" s="501">
        <f t="shared" si="120"/>
        <v>8317.8792515565874</v>
      </c>
      <c r="AE120" s="501">
        <f t="shared" si="120"/>
        <v>8317.8792515565874</v>
      </c>
      <c r="AF120" s="501">
        <f t="shared" si="120"/>
        <v>8317.8792515565874</v>
      </c>
      <c r="AG120" s="501">
        <f t="shared" si="120"/>
        <v>8317.8792515565874</v>
      </c>
      <c r="AH120" s="501">
        <f t="shared" si="120"/>
        <v>8310.0210755985718</v>
      </c>
      <c r="AI120" s="501">
        <f t="shared" si="120"/>
        <v>8588.2491897208092</v>
      </c>
      <c r="AJ120" s="501">
        <f t="shared" si="120"/>
        <v>8588.2491897208092</v>
      </c>
      <c r="AK120" s="501">
        <f t="shared" si="120"/>
        <v>8588.2491897208092</v>
      </c>
      <c r="AL120" s="501">
        <f t="shared" si="120"/>
        <v>8588.2491897208092</v>
      </c>
      <c r="AM120" s="501">
        <f t="shared" si="120"/>
        <v>8588.2491897208092</v>
      </c>
      <c r="AN120" s="501">
        <f t="shared" si="120"/>
        <v>8579.6703772248347</v>
      </c>
      <c r="AO120" s="501">
        <f t="shared" si="120"/>
        <v>8836.0445212901559</v>
      </c>
      <c r="AP120" s="501">
        <f t="shared" si="120"/>
        <v>8836.0445212901559</v>
      </c>
      <c r="AQ120" s="501">
        <f t="shared" si="120"/>
        <v>8836.0445212901559</v>
      </c>
      <c r="AR120" s="501">
        <f t="shared" si="120"/>
        <v>8836.0445212901559</v>
      </c>
      <c r="AS120" s="501">
        <f t="shared" si="120"/>
        <v>8836.0445212901559</v>
      </c>
      <c r="AT120" s="501">
        <f t="shared" si="120"/>
        <v>8826.6971770382934</v>
      </c>
      <c r="AU120" s="501">
        <f t="shared" si="120"/>
        <v>9058.3913577005424</v>
      </c>
      <c r="AV120" s="501">
        <f t="shared" si="120"/>
        <v>9058.3913577005424</v>
      </c>
      <c r="AW120" s="501">
        <f t="shared" si="120"/>
        <v>9058.3913577005424</v>
      </c>
      <c r="AX120" s="501">
        <f t="shared" si="120"/>
        <v>9058.3913577005424</v>
      </c>
      <c r="AY120" s="501">
        <f t="shared" si="120"/>
        <v>9058.3913577005424</v>
      </c>
      <c r="AZ120" s="501">
        <f t="shared" si="120"/>
        <v>9048.225953865167</v>
      </c>
      <c r="BA120" s="501">
        <f t="shared" si="120"/>
        <v>9364.7537544678707</v>
      </c>
      <c r="BB120" s="501">
        <f t="shared" si="120"/>
        <v>9364.7537544678707</v>
      </c>
      <c r="BC120" s="501">
        <f t="shared" ref="BC120:CD120" si="121">IFERROR(BC61/BC$9,0)</f>
        <v>9364.7537544678707</v>
      </c>
      <c r="BD120" s="501">
        <f t="shared" si="121"/>
        <v>9364.7537544678707</v>
      </c>
      <c r="BE120" s="501">
        <f t="shared" si="121"/>
        <v>9364.7537544678707</v>
      </c>
      <c r="BF120" s="501">
        <f t="shared" si="121"/>
        <v>9353.5852944148355</v>
      </c>
      <c r="BG120" s="501">
        <f t="shared" si="121"/>
        <v>9533.1975900081616</v>
      </c>
      <c r="BH120" s="501">
        <f t="shared" si="121"/>
        <v>9533.1975900081616</v>
      </c>
      <c r="BI120" s="501">
        <f t="shared" si="121"/>
        <v>9533.1975900081616</v>
      </c>
      <c r="BJ120" s="501">
        <f t="shared" si="121"/>
        <v>9533.1975900081616</v>
      </c>
      <c r="BK120" s="501">
        <f t="shared" si="121"/>
        <v>9533.1975900081616</v>
      </c>
      <c r="BL120" s="501">
        <f t="shared" si="121"/>
        <v>9521.0919422748157</v>
      </c>
      <c r="BM120" s="501">
        <f t="shared" si="121"/>
        <v>9901.2941573631579</v>
      </c>
      <c r="BN120" s="501">
        <f t="shared" si="121"/>
        <v>9901.2941573631579</v>
      </c>
      <c r="BO120" s="501">
        <f t="shared" si="121"/>
        <v>9901.2941573631579</v>
      </c>
      <c r="BP120" s="501">
        <f t="shared" si="121"/>
        <v>9901.2941573631579</v>
      </c>
      <c r="BQ120" s="501">
        <f t="shared" si="121"/>
        <v>9901.2941573631579</v>
      </c>
      <c r="BR120" s="501">
        <f t="shared" si="121"/>
        <v>9887.8795873084709</v>
      </c>
      <c r="BS120" s="501">
        <f t="shared" si="121"/>
        <v>10026.626428752099</v>
      </c>
      <c r="BT120" s="501">
        <f t="shared" si="121"/>
        <v>10026.626428752099</v>
      </c>
      <c r="BU120" s="501">
        <f t="shared" si="121"/>
        <v>10026.626428752099</v>
      </c>
      <c r="BV120" s="501">
        <f t="shared" si="121"/>
        <v>10026.626428752099</v>
      </c>
      <c r="BW120" s="501">
        <f t="shared" si="121"/>
        <v>10026.626428752099</v>
      </c>
      <c r="BX120" s="501">
        <f t="shared" si="121"/>
        <v>10012.101401331049</v>
      </c>
      <c r="BY120" s="501">
        <f t="shared" si="121"/>
        <v>10459.580047096335</v>
      </c>
      <c r="BZ120" s="501">
        <f t="shared" si="121"/>
        <v>10459.580047096335</v>
      </c>
      <c r="CA120" s="501">
        <f t="shared" si="121"/>
        <v>10459.580047096335</v>
      </c>
      <c r="CB120" s="501">
        <f t="shared" si="121"/>
        <v>10459.580047096335</v>
      </c>
      <c r="CC120" s="501">
        <f t="shared" si="121"/>
        <v>10459.580047096335</v>
      </c>
      <c r="CD120" s="501">
        <f t="shared" si="121"/>
        <v>10443.340984765802</v>
      </c>
      <c r="CG120" s="8"/>
    </row>
    <row r="121" spans="1:85" x14ac:dyDescent="0.3">
      <c r="A121" s="7"/>
      <c r="B121" s="1"/>
      <c r="C121" s="2"/>
      <c r="D121" s="2"/>
      <c r="E121" s="2"/>
      <c r="F121" s="2"/>
      <c r="G121" s="2"/>
      <c r="H121" s="2"/>
      <c r="I121" s="2"/>
      <c r="J121" s="2"/>
      <c r="K121" s="2"/>
      <c r="L121" s="2"/>
      <c r="M121" s="2"/>
      <c r="N121" s="23"/>
      <c r="O121" s="23"/>
      <c r="P121" s="23"/>
      <c r="Q121" s="23"/>
      <c r="R121" s="23"/>
      <c r="S121" s="23"/>
      <c r="T121" s="23"/>
      <c r="U121" s="55"/>
      <c r="W121" s="23"/>
      <c r="X121" s="23"/>
      <c r="Y121" s="23"/>
      <c r="Z121" s="23"/>
      <c r="AA121" s="23"/>
      <c r="AB121" s="23"/>
      <c r="AC121" s="23"/>
      <c r="AD121" s="23"/>
      <c r="AE121" s="23"/>
      <c r="AF121" s="23"/>
      <c r="AG121" s="23"/>
      <c r="AH121" s="23"/>
      <c r="AI121" s="23"/>
      <c r="AJ121" s="23"/>
      <c r="AK121" s="23"/>
      <c r="AL121" s="23"/>
      <c r="AM121" s="23"/>
      <c r="AN121" s="23"/>
      <c r="AO121" s="23"/>
      <c r="AP121" s="23"/>
      <c r="AQ121" s="23"/>
      <c r="AR121" s="23"/>
      <c r="AS121" s="23"/>
      <c r="AT121" s="23"/>
      <c r="AU121" s="23"/>
      <c r="AV121" s="23"/>
      <c r="AW121" s="23"/>
      <c r="AX121" s="23"/>
      <c r="AY121" s="23"/>
      <c r="AZ121" s="23"/>
      <c r="BA121" s="23"/>
      <c r="BB121" s="23"/>
      <c r="BC121" s="23"/>
      <c r="BD121" s="23"/>
      <c r="BE121" s="23"/>
      <c r="BF121" s="23"/>
      <c r="BG121" s="23"/>
      <c r="BH121" s="23"/>
      <c r="BI121" s="23"/>
      <c r="BJ121" s="23"/>
      <c r="BK121" s="23"/>
      <c r="BL121" s="23"/>
      <c r="BM121" s="23"/>
      <c r="BN121" s="23"/>
      <c r="BO121" s="23"/>
      <c r="BP121" s="23"/>
      <c r="BQ121" s="23"/>
      <c r="BR121" s="23"/>
      <c r="BS121" s="23"/>
      <c r="BT121" s="23"/>
      <c r="BU121" s="23"/>
      <c r="BV121" s="23"/>
      <c r="BW121" s="23"/>
      <c r="BX121" s="23"/>
      <c r="BY121" s="23"/>
      <c r="BZ121" s="23"/>
      <c r="CA121" s="23"/>
      <c r="CB121" s="23"/>
      <c r="CC121" s="23"/>
      <c r="CD121" s="23"/>
    </row>
    <row r="122" spans="1:85" x14ac:dyDescent="0.3">
      <c r="A122" s="7"/>
      <c r="B122" s="1"/>
      <c r="C122" s="2"/>
      <c r="D122" s="2"/>
      <c r="E122" s="2" t="s">
        <v>129</v>
      </c>
      <c r="F122" s="54"/>
      <c r="G122" s="54"/>
      <c r="H122" s="54"/>
      <c r="I122" s="497">
        <f t="shared" ref="I122:L123" si="122">I64/I$9</f>
        <v>-8100</v>
      </c>
      <c r="J122" s="497">
        <f t="shared" si="122"/>
        <v>-8100</v>
      </c>
      <c r="K122" s="497">
        <f t="shared" si="122"/>
        <v>-8100</v>
      </c>
      <c r="L122" s="497">
        <f t="shared" si="122"/>
        <v>-8100</v>
      </c>
      <c r="M122" s="54"/>
      <c r="N122" s="497">
        <f t="shared" ref="N122:S123" si="123">IFERROR(N64/N$9,0)</f>
        <v>-8700</v>
      </c>
      <c r="O122" s="497">
        <f t="shared" si="123"/>
        <v>-9240.3356078063443</v>
      </c>
      <c r="P122" s="497">
        <f t="shared" si="123"/>
        <v>-9473.7790621178792</v>
      </c>
      <c r="Q122" s="497">
        <f t="shared" si="123"/>
        <v>-9699.1409243316411</v>
      </c>
      <c r="R122" s="497">
        <f t="shared" si="123"/>
        <v>-9914.7864315134011</v>
      </c>
      <c r="S122" s="497">
        <f t="shared" si="123"/>
        <v>-10136.84376181986</v>
      </c>
      <c r="T122" s="37"/>
      <c r="U122" s="50">
        <f t="shared" si="61"/>
        <v>3.1042814768683868E-2</v>
      </c>
      <c r="W122" s="497">
        <f t="shared" ref="W122:BB122" si="124">IFERROR(W64/W$9,0)</f>
        <v>-742.89041780821924</v>
      </c>
      <c r="X122" s="497">
        <f t="shared" si="124"/>
        <v>-742.89041780821924</v>
      </c>
      <c r="Y122" s="497">
        <f t="shared" si="124"/>
        <v>-742.89041780821924</v>
      </c>
      <c r="Z122" s="497">
        <f t="shared" si="124"/>
        <v>-742.89041780821924</v>
      </c>
      <c r="AA122" s="497">
        <f t="shared" si="124"/>
        <v>-742.89041780821924</v>
      </c>
      <c r="AB122" s="497">
        <f t="shared" si="124"/>
        <v>-742.89041780821924</v>
      </c>
      <c r="AC122" s="497">
        <f t="shared" si="124"/>
        <v>-742.89041780821924</v>
      </c>
      <c r="AD122" s="497">
        <f t="shared" si="124"/>
        <v>-742.89041780821924</v>
      </c>
      <c r="AE122" s="497">
        <f t="shared" si="124"/>
        <v>-742.89041780821924</v>
      </c>
      <c r="AF122" s="497">
        <f t="shared" si="124"/>
        <v>-742.89041780821924</v>
      </c>
      <c r="AG122" s="497">
        <f t="shared" si="124"/>
        <v>-742.89041780821924</v>
      </c>
      <c r="AH122" s="497">
        <f t="shared" si="124"/>
        <v>-742.89041780821924</v>
      </c>
      <c r="AI122" s="497">
        <f t="shared" si="124"/>
        <v>-760.10552940248078</v>
      </c>
      <c r="AJ122" s="497">
        <f t="shared" si="124"/>
        <v>-760.10552940248078</v>
      </c>
      <c r="AK122" s="497">
        <f t="shared" si="124"/>
        <v>-760.10552940248078</v>
      </c>
      <c r="AL122" s="497">
        <f t="shared" si="124"/>
        <v>-760.10552940248078</v>
      </c>
      <c r="AM122" s="497">
        <f t="shared" si="124"/>
        <v>-760.10552940248078</v>
      </c>
      <c r="AN122" s="497">
        <f t="shared" si="124"/>
        <v>-760.10552940248078</v>
      </c>
      <c r="AO122" s="497">
        <f t="shared" si="124"/>
        <v>-760.10552940248078</v>
      </c>
      <c r="AP122" s="497">
        <f t="shared" si="124"/>
        <v>-760.10552940248078</v>
      </c>
      <c r="AQ122" s="497">
        <f t="shared" si="124"/>
        <v>-760.10552940248078</v>
      </c>
      <c r="AR122" s="497">
        <f t="shared" si="124"/>
        <v>-760.10552940248078</v>
      </c>
      <c r="AS122" s="497">
        <f t="shared" si="124"/>
        <v>-760.10552940248078</v>
      </c>
      <c r="AT122" s="497">
        <f t="shared" si="124"/>
        <v>-760.10552940248078</v>
      </c>
      <c r="AU122" s="497">
        <f t="shared" si="124"/>
        <v>-776.40906413984806</v>
      </c>
      <c r="AV122" s="497">
        <f t="shared" si="124"/>
        <v>-776.40906413984806</v>
      </c>
      <c r="AW122" s="497">
        <f t="shared" si="124"/>
        <v>-776.40906413984806</v>
      </c>
      <c r="AX122" s="497">
        <f t="shared" si="124"/>
        <v>-776.40906413984806</v>
      </c>
      <c r="AY122" s="497">
        <f t="shared" si="124"/>
        <v>-776.40906413984806</v>
      </c>
      <c r="AZ122" s="497">
        <f t="shared" si="124"/>
        <v>-776.40906413984806</v>
      </c>
      <c r="BA122" s="497">
        <f t="shared" si="124"/>
        <v>-776.40906413984806</v>
      </c>
      <c r="BB122" s="497">
        <f t="shared" si="124"/>
        <v>-776.40906413984806</v>
      </c>
      <c r="BC122" s="497">
        <f t="shared" ref="BC122:CD122" si="125">IFERROR(BC64/BC$9,0)</f>
        <v>-776.40906413984806</v>
      </c>
      <c r="BD122" s="497">
        <f t="shared" si="125"/>
        <v>-776.40906413984806</v>
      </c>
      <c r="BE122" s="497">
        <f t="shared" si="125"/>
        <v>-776.40906413984806</v>
      </c>
      <c r="BF122" s="497">
        <f t="shared" si="125"/>
        <v>-776.40906413984794</v>
      </c>
      <c r="BG122" s="497">
        <f t="shared" si="125"/>
        <v>-791.62561822292855</v>
      </c>
      <c r="BH122" s="497">
        <f t="shared" si="125"/>
        <v>-791.62561822292855</v>
      </c>
      <c r="BI122" s="497">
        <f t="shared" si="125"/>
        <v>-791.62561822292855</v>
      </c>
      <c r="BJ122" s="497">
        <f t="shared" si="125"/>
        <v>-791.62561822292855</v>
      </c>
      <c r="BK122" s="497">
        <f t="shared" si="125"/>
        <v>-791.62561822292855</v>
      </c>
      <c r="BL122" s="497">
        <f t="shared" si="125"/>
        <v>-791.62561822292855</v>
      </c>
      <c r="BM122" s="497">
        <f t="shared" si="125"/>
        <v>-791.62561822292855</v>
      </c>
      <c r="BN122" s="497">
        <f t="shared" si="125"/>
        <v>-791.62561822292855</v>
      </c>
      <c r="BO122" s="497">
        <f t="shared" si="125"/>
        <v>-791.62561822292855</v>
      </c>
      <c r="BP122" s="497">
        <f t="shared" si="125"/>
        <v>-791.62561822292855</v>
      </c>
      <c r="BQ122" s="497">
        <f t="shared" si="125"/>
        <v>-791.62561822292855</v>
      </c>
      <c r="BR122" s="497">
        <f t="shared" si="125"/>
        <v>-791.62561822292855</v>
      </c>
      <c r="BS122" s="497">
        <f t="shared" si="125"/>
        <v>-806.98337210018451</v>
      </c>
      <c r="BT122" s="497">
        <f t="shared" si="125"/>
        <v>-806.98337210018451</v>
      </c>
      <c r="BU122" s="497">
        <f t="shared" si="125"/>
        <v>-806.98337210018451</v>
      </c>
      <c r="BV122" s="497">
        <f t="shared" si="125"/>
        <v>-806.98337210018451</v>
      </c>
      <c r="BW122" s="497">
        <f t="shared" si="125"/>
        <v>-806.98337210018451</v>
      </c>
      <c r="BX122" s="497">
        <f t="shared" si="125"/>
        <v>-806.98337210018451</v>
      </c>
      <c r="BY122" s="497">
        <f t="shared" si="125"/>
        <v>-806.98337210018451</v>
      </c>
      <c r="BZ122" s="497">
        <f t="shared" si="125"/>
        <v>-806.98337210018451</v>
      </c>
      <c r="CA122" s="497">
        <f t="shared" si="125"/>
        <v>-806.98337210018451</v>
      </c>
      <c r="CB122" s="497">
        <f t="shared" si="125"/>
        <v>-806.98337210018451</v>
      </c>
      <c r="CC122" s="497">
        <f t="shared" si="125"/>
        <v>-806.98337210018451</v>
      </c>
      <c r="CD122" s="497">
        <f t="shared" si="125"/>
        <v>-806.9833721001844</v>
      </c>
    </row>
    <row r="123" spans="1:85" x14ac:dyDescent="0.3">
      <c r="A123" s="7"/>
      <c r="B123" s="1"/>
      <c r="C123" s="2"/>
      <c r="D123" s="2"/>
      <c r="E123" s="62" t="s">
        <v>292</v>
      </c>
      <c r="F123" s="63"/>
      <c r="G123" s="63"/>
      <c r="H123" s="63"/>
      <c r="I123" s="502">
        <f t="shared" si="122"/>
        <v>74903.618993506534</v>
      </c>
      <c r="J123" s="502">
        <f t="shared" si="122"/>
        <v>79424.502987013024</v>
      </c>
      <c r="K123" s="502">
        <f t="shared" si="122"/>
        <v>81740.472987012981</v>
      </c>
      <c r="L123" s="502">
        <f t="shared" si="122"/>
        <v>82578.016306193749</v>
      </c>
      <c r="M123" s="63"/>
      <c r="N123" s="502">
        <f t="shared" si="123"/>
        <v>84919.941677050068</v>
      </c>
      <c r="O123" s="502">
        <f t="shared" si="123"/>
        <v>92992.225871935545</v>
      </c>
      <c r="P123" s="502">
        <f t="shared" si="123"/>
        <v>99072.676898819933</v>
      </c>
      <c r="Q123" s="502">
        <f t="shared" si="123"/>
        <v>105324.73152488917</v>
      </c>
      <c r="R123" s="502">
        <f t="shared" si="123"/>
        <v>111727.61231457145</v>
      </c>
      <c r="S123" s="502">
        <f t="shared" si="123"/>
        <v>118454.06138682911</v>
      </c>
      <c r="T123" s="57"/>
      <c r="U123" s="55">
        <f t="shared" si="61"/>
        <v>6.882856913940838E-2</v>
      </c>
      <c r="W123" s="502">
        <f t="shared" ref="W123:BB123" si="126">IFERROR(W65/W$9,0)</f>
        <v>7382.5140589923449</v>
      </c>
      <c r="X123" s="502">
        <f t="shared" si="126"/>
        <v>7382.5140589923449</v>
      </c>
      <c r="Y123" s="502">
        <f t="shared" si="126"/>
        <v>7382.5140589923449</v>
      </c>
      <c r="Z123" s="502">
        <f t="shared" si="126"/>
        <v>7382.5140589923449</v>
      </c>
      <c r="AA123" s="502">
        <f t="shared" si="126"/>
        <v>7382.5140589923449</v>
      </c>
      <c r="AB123" s="502">
        <f t="shared" si="126"/>
        <v>7375.2430035321213</v>
      </c>
      <c r="AC123" s="502">
        <f t="shared" si="126"/>
        <v>7574.9888337483681</v>
      </c>
      <c r="AD123" s="502">
        <f t="shared" si="126"/>
        <v>7574.9888337483681</v>
      </c>
      <c r="AE123" s="502">
        <f t="shared" si="126"/>
        <v>7574.9888337483681</v>
      </c>
      <c r="AF123" s="502">
        <f t="shared" si="126"/>
        <v>7574.9888337483681</v>
      </c>
      <c r="AG123" s="502">
        <f t="shared" si="126"/>
        <v>7574.9888337483681</v>
      </c>
      <c r="AH123" s="502">
        <f t="shared" si="126"/>
        <v>7567.1306577903533</v>
      </c>
      <c r="AI123" s="502">
        <f t="shared" si="126"/>
        <v>7828.1436603183292</v>
      </c>
      <c r="AJ123" s="502">
        <f t="shared" si="126"/>
        <v>7828.1436603183292</v>
      </c>
      <c r="AK123" s="502">
        <f t="shared" si="126"/>
        <v>7828.1436603183292</v>
      </c>
      <c r="AL123" s="502">
        <f t="shared" si="126"/>
        <v>7828.1436603183292</v>
      </c>
      <c r="AM123" s="502">
        <f t="shared" si="126"/>
        <v>7828.1436603183292</v>
      </c>
      <c r="AN123" s="502">
        <f t="shared" si="126"/>
        <v>7819.5648478223538</v>
      </c>
      <c r="AO123" s="502">
        <f t="shared" si="126"/>
        <v>8075.938991887675</v>
      </c>
      <c r="AP123" s="502">
        <f t="shared" si="126"/>
        <v>8075.938991887675</v>
      </c>
      <c r="AQ123" s="502">
        <f t="shared" si="126"/>
        <v>8075.938991887675</v>
      </c>
      <c r="AR123" s="502">
        <f t="shared" si="126"/>
        <v>8075.938991887675</v>
      </c>
      <c r="AS123" s="502">
        <f t="shared" si="126"/>
        <v>8075.938991887675</v>
      </c>
      <c r="AT123" s="502">
        <f t="shared" si="126"/>
        <v>8066.5916476358134</v>
      </c>
      <c r="AU123" s="502">
        <f t="shared" si="126"/>
        <v>8281.9822935606935</v>
      </c>
      <c r="AV123" s="502">
        <f t="shared" si="126"/>
        <v>8281.9822935606935</v>
      </c>
      <c r="AW123" s="502">
        <f t="shared" si="126"/>
        <v>8281.9822935606935</v>
      </c>
      <c r="AX123" s="502">
        <f t="shared" si="126"/>
        <v>8281.9822935606935</v>
      </c>
      <c r="AY123" s="502">
        <f t="shared" si="126"/>
        <v>8281.9822935606935</v>
      </c>
      <c r="AZ123" s="502">
        <f t="shared" si="126"/>
        <v>8271.8168897253199</v>
      </c>
      <c r="BA123" s="502">
        <f t="shared" si="126"/>
        <v>8588.3446903280219</v>
      </c>
      <c r="BB123" s="502">
        <f t="shared" si="126"/>
        <v>8588.3446903280219</v>
      </c>
      <c r="BC123" s="502">
        <f t="shared" ref="BC123:CD123" si="127">IFERROR(BC65/BC$9,0)</f>
        <v>8588.3446903280219</v>
      </c>
      <c r="BD123" s="502">
        <f t="shared" si="127"/>
        <v>8588.3446903280219</v>
      </c>
      <c r="BE123" s="502">
        <f t="shared" si="127"/>
        <v>8588.3446903280219</v>
      </c>
      <c r="BF123" s="502">
        <f t="shared" si="127"/>
        <v>8577.1762302749867</v>
      </c>
      <c r="BG123" s="502">
        <f t="shared" si="127"/>
        <v>8741.5719717852317</v>
      </c>
      <c r="BH123" s="502">
        <f t="shared" si="127"/>
        <v>8741.5719717852317</v>
      </c>
      <c r="BI123" s="502">
        <f t="shared" si="127"/>
        <v>8741.5719717852317</v>
      </c>
      <c r="BJ123" s="502">
        <f t="shared" si="127"/>
        <v>8741.5719717852317</v>
      </c>
      <c r="BK123" s="502">
        <f t="shared" si="127"/>
        <v>8741.5719717852317</v>
      </c>
      <c r="BL123" s="502">
        <f t="shared" si="127"/>
        <v>8729.4663240518857</v>
      </c>
      <c r="BM123" s="502">
        <f t="shared" si="127"/>
        <v>9109.6685391402298</v>
      </c>
      <c r="BN123" s="502">
        <f t="shared" si="127"/>
        <v>9109.6685391402298</v>
      </c>
      <c r="BO123" s="502">
        <f t="shared" si="127"/>
        <v>9109.6685391402298</v>
      </c>
      <c r="BP123" s="502">
        <f t="shared" si="127"/>
        <v>9109.6685391402298</v>
      </c>
      <c r="BQ123" s="502">
        <f t="shared" si="127"/>
        <v>9109.6685391402298</v>
      </c>
      <c r="BR123" s="502">
        <f t="shared" si="127"/>
        <v>9096.2539690855428</v>
      </c>
      <c r="BS123" s="502">
        <f t="shared" si="127"/>
        <v>9219.6430566519157</v>
      </c>
      <c r="BT123" s="502">
        <f t="shared" si="127"/>
        <v>9219.6430566519157</v>
      </c>
      <c r="BU123" s="502">
        <f t="shared" si="127"/>
        <v>9219.6430566519157</v>
      </c>
      <c r="BV123" s="502">
        <f t="shared" si="127"/>
        <v>9219.6430566519157</v>
      </c>
      <c r="BW123" s="502">
        <f t="shared" si="127"/>
        <v>9219.6430566519157</v>
      </c>
      <c r="BX123" s="502">
        <f t="shared" si="127"/>
        <v>9205.1180292308636</v>
      </c>
      <c r="BY123" s="502">
        <f t="shared" si="127"/>
        <v>9652.5966749961499</v>
      </c>
      <c r="BZ123" s="502">
        <f t="shared" si="127"/>
        <v>9652.5966749961499</v>
      </c>
      <c r="CA123" s="502">
        <f t="shared" si="127"/>
        <v>9652.5966749961499</v>
      </c>
      <c r="CB123" s="502">
        <f t="shared" si="127"/>
        <v>9652.5966749961499</v>
      </c>
      <c r="CC123" s="502">
        <f t="shared" si="127"/>
        <v>9652.5966749961499</v>
      </c>
      <c r="CD123" s="502">
        <f t="shared" si="127"/>
        <v>9636.3576126656189</v>
      </c>
      <c r="CG123" s="8"/>
    </row>
    <row r="124" spans="1:85" x14ac:dyDescent="0.3">
      <c r="A124" s="7"/>
      <c r="B124" s="1"/>
      <c r="C124" s="2"/>
      <c r="D124" s="2"/>
      <c r="E124" s="2"/>
      <c r="F124" s="54"/>
      <c r="G124" s="54"/>
      <c r="H124" s="54"/>
      <c r="I124" s="37"/>
      <c r="J124" s="37"/>
      <c r="K124" s="37"/>
      <c r="L124" s="37"/>
      <c r="M124" s="54"/>
      <c r="N124" s="37"/>
      <c r="O124" s="37"/>
      <c r="P124" s="37"/>
      <c r="Q124" s="37"/>
      <c r="R124" s="37"/>
      <c r="S124" s="37"/>
      <c r="T124" s="37"/>
      <c r="U124" s="35"/>
      <c r="W124" s="37"/>
      <c r="X124" s="37"/>
      <c r="Y124" s="37"/>
      <c r="Z124" s="37"/>
      <c r="AA124" s="37"/>
      <c r="AB124" s="37"/>
      <c r="AC124" s="37"/>
      <c r="AD124" s="37"/>
      <c r="AE124" s="37"/>
      <c r="AF124" s="37"/>
      <c r="AG124" s="37"/>
      <c r="AH124" s="37"/>
      <c r="AI124" s="37"/>
      <c r="AJ124" s="37"/>
      <c r="AK124" s="37"/>
      <c r="AL124" s="37"/>
      <c r="AM124" s="37"/>
      <c r="AN124" s="37"/>
      <c r="AO124" s="37"/>
      <c r="AP124" s="37"/>
      <c r="AQ124" s="37"/>
      <c r="AR124" s="37"/>
      <c r="AS124" s="37"/>
      <c r="AT124" s="37"/>
      <c r="AU124" s="37"/>
      <c r="AV124" s="37"/>
      <c r="AW124" s="37"/>
      <c r="AX124" s="37"/>
      <c r="AY124" s="37"/>
      <c r="AZ124" s="37"/>
      <c r="BA124" s="37"/>
      <c r="BB124" s="37"/>
      <c r="BC124" s="37"/>
      <c r="BD124" s="37"/>
      <c r="BE124" s="37"/>
      <c r="BF124" s="37"/>
      <c r="BG124" s="37"/>
      <c r="BH124" s="37"/>
      <c r="BI124" s="37"/>
      <c r="BJ124" s="37"/>
      <c r="BK124" s="37"/>
      <c r="BL124" s="37"/>
      <c r="BM124" s="37"/>
      <c r="BN124" s="37"/>
      <c r="BO124" s="37"/>
      <c r="BP124" s="37"/>
      <c r="BQ124" s="37"/>
      <c r="BR124" s="37"/>
      <c r="BS124" s="37"/>
      <c r="BT124" s="37"/>
      <c r="BU124" s="37"/>
      <c r="BV124" s="37"/>
      <c r="BW124" s="37"/>
      <c r="BX124" s="37"/>
      <c r="BY124" s="37"/>
      <c r="BZ124" s="37"/>
      <c r="CA124" s="37"/>
      <c r="CB124" s="37"/>
      <c r="CC124" s="37"/>
      <c r="CD124" s="37"/>
    </row>
    <row r="125" spans="1:85" x14ac:dyDescent="0.3">
      <c r="A125" s="7"/>
      <c r="B125" s="1"/>
      <c r="C125" s="2"/>
      <c r="D125" s="2"/>
      <c r="E125" s="2" t="s">
        <v>52</v>
      </c>
      <c r="F125" s="54"/>
      <c r="G125" s="54"/>
      <c r="H125" s="54"/>
      <c r="I125" s="497">
        <f t="shared" ref="I125:L128" si="128">I68/I$9</f>
        <v>-8381.5610389610392</v>
      </c>
      <c r="J125" s="497">
        <f t="shared" si="128"/>
        <v>-11667.742759740262</v>
      </c>
      <c r="K125" s="497">
        <f t="shared" si="128"/>
        <v>-8647.9809415584405</v>
      </c>
      <c r="L125" s="497">
        <f t="shared" si="128"/>
        <v>-9960.4649675324636</v>
      </c>
      <c r="M125" s="54"/>
      <c r="N125" s="497">
        <f>IFERROR(N68/N$9,0)</f>
        <v>-9953.169250335468</v>
      </c>
      <c r="O125" s="497">
        <f t="shared" si="112"/>
        <v>-7890.3227183775116</v>
      </c>
      <c r="P125" s="497">
        <f t="shared" si="112"/>
        <v>-8032.7672306621143</v>
      </c>
      <c r="Q125" s="497">
        <f t="shared" si="112"/>
        <v>-8175.8990673388907</v>
      </c>
      <c r="R125" s="497">
        <f t="shared" si="112"/>
        <v>-8319.2946484020886</v>
      </c>
      <c r="S125" s="497">
        <f t="shared" si="112"/>
        <v>-8462.4003108338529</v>
      </c>
      <c r="T125" s="37"/>
      <c r="U125" s="50">
        <f t="shared" si="61"/>
        <v>-3.1930727729485131E-2</v>
      </c>
      <c r="W125" s="497">
        <f t="shared" ref="W125:BB125" si="129">IFERROR(W68/W$9,0)</f>
        <v>-657.92207792207796</v>
      </c>
      <c r="X125" s="497">
        <f t="shared" si="129"/>
        <v>-657.92207792207796</v>
      </c>
      <c r="Y125" s="497">
        <f t="shared" si="129"/>
        <v>-657.92207792207796</v>
      </c>
      <c r="Z125" s="497">
        <f t="shared" si="129"/>
        <v>-657.92207792207796</v>
      </c>
      <c r="AA125" s="497">
        <f t="shared" si="129"/>
        <v>-657.92207792207796</v>
      </c>
      <c r="AB125" s="497">
        <f t="shared" si="129"/>
        <v>-657.33333333333337</v>
      </c>
      <c r="AC125" s="497">
        <f t="shared" si="129"/>
        <v>-657.33333333333337</v>
      </c>
      <c r="AD125" s="497">
        <f t="shared" si="129"/>
        <v>-657.33333333333337</v>
      </c>
      <c r="AE125" s="497">
        <f t="shared" si="129"/>
        <v>-657.33333333333337</v>
      </c>
      <c r="AF125" s="497">
        <f t="shared" si="129"/>
        <v>-657.33333333333337</v>
      </c>
      <c r="AG125" s="497">
        <f t="shared" si="129"/>
        <v>-657.33333333333337</v>
      </c>
      <c r="AH125" s="497">
        <f t="shared" si="129"/>
        <v>-656.71232876712327</v>
      </c>
      <c r="AI125" s="497">
        <f t="shared" si="129"/>
        <v>-669.84657534246583</v>
      </c>
      <c r="AJ125" s="497">
        <f t="shared" si="129"/>
        <v>-669.84657534246583</v>
      </c>
      <c r="AK125" s="497">
        <f t="shared" si="129"/>
        <v>-669.84657534246583</v>
      </c>
      <c r="AL125" s="497">
        <f t="shared" si="129"/>
        <v>-669.84657534246583</v>
      </c>
      <c r="AM125" s="497">
        <f t="shared" si="129"/>
        <v>-669.84657534246583</v>
      </c>
      <c r="AN125" s="497">
        <f t="shared" si="129"/>
        <v>-669.17746478873244</v>
      </c>
      <c r="AO125" s="497">
        <f t="shared" si="129"/>
        <v>-669.17746478873244</v>
      </c>
      <c r="AP125" s="497">
        <f t="shared" si="129"/>
        <v>-669.17746478873244</v>
      </c>
      <c r="AQ125" s="497">
        <f t="shared" si="129"/>
        <v>-669.17746478873244</v>
      </c>
      <c r="AR125" s="497">
        <f t="shared" si="129"/>
        <v>-669.17746478873244</v>
      </c>
      <c r="AS125" s="497">
        <f t="shared" si="129"/>
        <v>-669.17746478873244</v>
      </c>
      <c r="AT125" s="497">
        <f t="shared" si="129"/>
        <v>-668.46956521739128</v>
      </c>
      <c r="AU125" s="497">
        <f t="shared" si="129"/>
        <v>-681.83895652173919</v>
      </c>
      <c r="AV125" s="497">
        <f t="shared" si="129"/>
        <v>-681.83895652173919</v>
      </c>
      <c r="AW125" s="497">
        <f t="shared" si="129"/>
        <v>-681.83895652173919</v>
      </c>
      <c r="AX125" s="497">
        <f t="shared" si="129"/>
        <v>-681.83895652173919</v>
      </c>
      <c r="AY125" s="497">
        <f t="shared" si="129"/>
        <v>-681.83895652173919</v>
      </c>
      <c r="AZ125" s="497">
        <f t="shared" si="129"/>
        <v>-681.07379104477616</v>
      </c>
      <c r="BA125" s="497">
        <f t="shared" si="129"/>
        <v>-681.07379104477616</v>
      </c>
      <c r="BB125" s="497">
        <f t="shared" si="129"/>
        <v>-681.07379104477616</v>
      </c>
      <c r="BC125" s="497">
        <f t="shared" ref="BC125:CD125" si="130">IFERROR(BC68/BC$9,0)</f>
        <v>-681.07379104477616</v>
      </c>
      <c r="BD125" s="497">
        <f t="shared" si="130"/>
        <v>-681.07379104477616</v>
      </c>
      <c r="BE125" s="497">
        <f t="shared" si="130"/>
        <v>-681.07379104477616</v>
      </c>
      <c r="BF125" s="497">
        <f t="shared" si="130"/>
        <v>-680.26153846153841</v>
      </c>
      <c r="BG125" s="497">
        <f t="shared" si="130"/>
        <v>-693.86676923076914</v>
      </c>
      <c r="BH125" s="497">
        <f t="shared" si="130"/>
        <v>-693.86676923076914</v>
      </c>
      <c r="BI125" s="497">
        <f t="shared" si="130"/>
        <v>-693.86676923076914</v>
      </c>
      <c r="BJ125" s="497">
        <f t="shared" si="130"/>
        <v>-693.86676923076914</v>
      </c>
      <c r="BK125" s="497">
        <f t="shared" si="130"/>
        <v>-693.86676923076914</v>
      </c>
      <c r="BL125" s="497">
        <f t="shared" si="130"/>
        <v>-692.9856685714285</v>
      </c>
      <c r="BM125" s="497">
        <f t="shared" si="130"/>
        <v>-692.9856685714285</v>
      </c>
      <c r="BN125" s="497">
        <f t="shared" si="130"/>
        <v>-692.9856685714285</v>
      </c>
      <c r="BO125" s="497">
        <f t="shared" si="130"/>
        <v>-692.9856685714285</v>
      </c>
      <c r="BP125" s="497">
        <f t="shared" si="130"/>
        <v>-692.9856685714285</v>
      </c>
      <c r="BQ125" s="497">
        <f t="shared" si="130"/>
        <v>-692.9856685714285</v>
      </c>
      <c r="BR125" s="497">
        <f t="shared" si="130"/>
        <v>-692.0467908196722</v>
      </c>
      <c r="BS125" s="497">
        <f t="shared" si="130"/>
        <v>-705.88772663606551</v>
      </c>
      <c r="BT125" s="497">
        <f t="shared" si="130"/>
        <v>-705.88772663606551</v>
      </c>
      <c r="BU125" s="497">
        <f t="shared" si="130"/>
        <v>-705.88772663606551</v>
      </c>
      <c r="BV125" s="497">
        <f t="shared" si="130"/>
        <v>-705.88772663606551</v>
      </c>
      <c r="BW125" s="497">
        <f t="shared" si="130"/>
        <v>-705.88772663606551</v>
      </c>
      <c r="BX125" s="497">
        <f t="shared" si="130"/>
        <v>-704.86514554576274</v>
      </c>
      <c r="BY125" s="497">
        <f t="shared" si="130"/>
        <v>-704.86514554576274</v>
      </c>
      <c r="BZ125" s="497">
        <f t="shared" si="130"/>
        <v>-704.86514554576274</v>
      </c>
      <c r="CA125" s="497">
        <f t="shared" si="130"/>
        <v>-704.86514554576274</v>
      </c>
      <c r="CB125" s="497">
        <f t="shared" si="130"/>
        <v>-704.86514554576274</v>
      </c>
      <c r="CC125" s="497">
        <f t="shared" si="130"/>
        <v>-704.86514554576274</v>
      </c>
      <c r="CD125" s="497">
        <f t="shared" si="130"/>
        <v>-703.77080437894733</v>
      </c>
    </row>
    <row r="126" spans="1:85" x14ac:dyDescent="0.3">
      <c r="A126" s="7"/>
      <c r="B126" s="1"/>
      <c r="C126" s="2"/>
      <c r="D126" s="2"/>
      <c r="E126" s="2" t="s">
        <v>69</v>
      </c>
      <c r="F126" s="54"/>
      <c r="G126" s="54"/>
      <c r="H126" s="54"/>
      <c r="I126" s="497">
        <f t="shared" si="128"/>
        <v>-959.07142857142856</v>
      </c>
      <c r="J126" s="497">
        <f t="shared" si="128"/>
        <v>-1773.5968831168834</v>
      </c>
      <c r="K126" s="497">
        <f t="shared" si="128"/>
        <v>-1777.106883116883</v>
      </c>
      <c r="L126" s="497">
        <f t="shared" si="128"/>
        <v>-2217.6205519480518</v>
      </c>
      <c r="M126" s="54"/>
      <c r="N126" s="497">
        <f>IFERROR(N69/N$9,0)</f>
        <v>-1404.299125155751</v>
      </c>
      <c r="O126" s="497">
        <f t="shared" si="112"/>
        <v>-1479.6685970808701</v>
      </c>
      <c r="P126" s="497">
        <f t="shared" si="112"/>
        <v>-1567.9175416397693</v>
      </c>
      <c r="Q126" s="497">
        <f t="shared" si="112"/>
        <v>-1657.7630521368303</v>
      </c>
      <c r="R126" s="497">
        <f t="shared" si="112"/>
        <v>-1748.721453996598</v>
      </c>
      <c r="S126" s="497">
        <f t="shared" si="112"/>
        <v>-1843.2971214800855</v>
      </c>
      <c r="T126" s="37"/>
      <c r="U126" s="50">
        <f t="shared" si="61"/>
        <v>5.5910586028851128E-2</v>
      </c>
      <c r="W126" s="497">
        <f t="shared" ref="W126:BB126" si="131">IFERROR(W69/W$9,0)</f>
        <v>-121.88106715200846</v>
      </c>
      <c r="X126" s="497">
        <f t="shared" si="131"/>
        <v>-121.88106715200846</v>
      </c>
      <c r="Y126" s="497">
        <f t="shared" si="131"/>
        <v>-121.88106715200846</v>
      </c>
      <c r="Z126" s="497">
        <f t="shared" si="131"/>
        <v>-121.88106715200846</v>
      </c>
      <c r="AA126" s="497">
        <f t="shared" si="131"/>
        <v>-121.88106715200846</v>
      </c>
      <c r="AB126" s="497">
        <f t="shared" si="131"/>
        <v>-121.77200132010509</v>
      </c>
      <c r="AC126" s="497">
        <f t="shared" si="131"/>
        <v>-124.76818877334881</v>
      </c>
      <c r="AD126" s="497">
        <f t="shared" si="131"/>
        <v>-124.76818877334881</v>
      </c>
      <c r="AE126" s="497">
        <f t="shared" si="131"/>
        <v>-124.76818877334881</v>
      </c>
      <c r="AF126" s="497">
        <f t="shared" si="131"/>
        <v>-124.76818877334881</v>
      </c>
      <c r="AG126" s="497">
        <f t="shared" si="131"/>
        <v>-124.76818877334881</v>
      </c>
      <c r="AH126" s="497">
        <f t="shared" si="131"/>
        <v>-124.65031613397861</v>
      </c>
      <c r="AI126" s="497">
        <f t="shared" si="131"/>
        <v>-128.8237378458121</v>
      </c>
      <c r="AJ126" s="497">
        <f t="shared" si="131"/>
        <v>-128.8237378458121</v>
      </c>
      <c r="AK126" s="497">
        <f t="shared" si="131"/>
        <v>-128.8237378458121</v>
      </c>
      <c r="AL126" s="497">
        <f t="shared" si="131"/>
        <v>-128.8237378458121</v>
      </c>
      <c r="AM126" s="497">
        <f t="shared" si="131"/>
        <v>-128.8237378458121</v>
      </c>
      <c r="AN126" s="497">
        <f t="shared" si="131"/>
        <v>-128.69505565837247</v>
      </c>
      <c r="AO126" s="497">
        <f t="shared" si="131"/>
        <v>-132.54066781935236</v>
      </c>
      <c r="AP126" s="497">
        <f t="shared" si="131"/>
        <v>-132.54066781935236</v>
      </c>
      <c r="AQ126" s="497">
        <f t="shared" si="131"/>
        <v>-132.54066781935236</v>
      </c>
      <c r="AR126" s="497">
        <f t="shared" si="131"/>
        <v>-132.54066781935236</v>
      </c>
      <c r="AS126" s="497">
        <f t="shared" si="131"/>
        <v>-132.54066781935236</v>
      </c>
      <c r="AT126" s="497">
        <f t="shared" si="131"/>
        <v>-132.40045765557437</v>
      </c>
      <c r="AU126" s="497">
        <f t="shared" si="131"/>
        <v>-135.87587036550809</v>
      </c>
      <c r="AV126" s="497">
        <f t="shared" si="131"/>
        <v>-135.87587036550809</v>
      </c>
      <c r="AW126" s="497">
        <f t="shared" si="131"/>
        <v>-135.87587036550809</v>
      </c>
      <c r="AX126" s="497">
        <f t="shared" si="131"/>
        <v>-135.87587036550809</v>
      </c>
      <c r="AY126" s="497">
        <f t="shared" si="131"/>
        <v>-135.87587036550809</v>
      </c>
      <c r="AZ126" s="497">
        <f t="shared" si="131"/>
        <v>-135.7233893079775</v>
      </c>
      <c r="BA126" s="497">
        <f t="shared" si="131"/>
        <v>-140.47130631701805</v>
      </c>
      <c r="BB126" s="497">
        <f t="shared" si="131"/>
        <v>-140.47130631701805</v>
      </c>
      <c r="BC126" s="497">
        <f t="shared" ref="BC126:CD126" si="132">IFERROR(BC69/BC$9,0)</f>
        <v>-140.47130631701805</v>
      </c>
      <c r="BD126" s="497">
        <f t="shared" si="132"/>
        <v>-140.47130631701805</v>
      </c>
      <c r="BE126" s="497">
        <f t="shared" si="132"/>
        <v>-140.47130631701805</v>
      </c>
      <c r="BF126" s="497">
        <f t="shared" si="132"/>
        <v>-140.30377941622254</v>
      </c>
      <c r="BG126" s="497">
        <f t="shared" si="132"/>
        <v>-142.99796385012237</v>
      </c>
      <c r="BH126" s="497">
        <f t="shared" si="132"/>
        <v>-142.99796385012237</v>
      </c>
      <c r="BI126" s="497">
        <f t="shared" si="132"/>
        <v>-142.99796385012237</v>
      </c>
      <c r="BJ126" s="497">
        <f t="shared" si="132"/>
        <v>-142.99796385012237</v>
      </c>
      <c r="BK126" s="497">
        <f t="shared" si="132"/>
        <v>-142.99796385012237</v>
      </c>
      <c r="BL126" s="497">
        <f t="shared" si="132"/>
        <v>-142.81637913412226</v>
      </c>
      <c r="BM126" s="497">
        <f t="shared" si="132"/>
        <v>-148.51941236044738</v>
      </c>
      <c r="BN126" s="497">
        <f t="shared" si="132"/>
        <v>-148.51941236044738</v>
      </c>
      <c r="BO126" s="497">
        <f t="shared" si="132"/>
        <v>-148.51941236044738</v>
      </c>
      <c r="BP126" s="497">
        <f t="shared" si="132"/>
        <v>-148.51941236044738</v>
      </c>
      <c r="BQ126" s="497">
        <f t="shared" si="132"/>
        <v>-148.51941236044738</v>
      </c>
      <c r="BR126" s="497">
        <f t="shared" si="132"/>
        <v>-148.3181938096271</v>
      </c>
      <c r="BS126" s="497">
        <f t="shared" si="132"/>
        <v>-150.39939643128147</v>
      </c>
      <c r="BT126" s="497">
        <f t="shared" si="132"/>
        <v>-150.39939643128147</v>
      </c>
      <c r="BU126" s="497">
        <f t="shared" si="132"/>
        <v>-150.39939643128147</v>
      </c>
      <c r="BV126" s="497">
        <f t="shared" si="132"/>
        <v>-150.39939643128147</v>
      </c>
      <c r="BW126" s="497">
        <f t="shared" si="132"/>
        <v>-150.39939643128147</v>
      </c>
      <c r="BX126" s="497">
        <f t="shared" si="132"/>
        <v>-150.18152101996571</v>
      </c>
      <c r="BY126" s="497">
        <f t="shared" si="132"/>
        <v>-156.89370070644497</v>
      </c>
      <c r="BZ126" s="497">
        <f t="shared" si="132"/>
        <v>-156.89370070644497</v>
      </c>
      <c r="CA126" s="497">
        <f t="shared" si="132"/>
        <v>-156.89370070644497</v>
      </c>
      <c r="CB126" s="497">
        <f t="shared" si="132"/>
        <v>-156.89370070644497</v>
      </c>
      <c r="CC126" s="497">
        <f t="shared" si="132"/>
        <v>-156.89370070644497</v>
      </c>
      <c r="CD126" s="497">
        <f t="shared" si="132"/>
        <v>-156.65011477148698</v>
      </c>
    </row>
    <row r="127" spans="1:85" x14ac:dyDescent="0.3">
      <c r="A127" s="7"/>
      <c r="B127" s="1"/>
      <c r="C127" s="2"/>
      <c r="D127" s="2"/>
      <c r="E127" s="2" t="s">
        <v>184</v>
      </c>
      <c r="F127" s="54"/>
      <c r="G127" s="54"/>
      <c r="H127" s="54"/>
      <c r="I127" s="497">
        <f t="shared" si="128"/>
        <v>-124.50610389610391</v>
      </c>
      <c r="J127" s="497">
        <f t="shared" si="128"/>
        <v>-410.48321428571433</v>
      </c>
      <c r="K127" s="497">
        <f t="shared" si="128"/>
        <v>-355.64642857142854</v>
      </c>
      <c r="L127" s="497">
        <f t="shared" si="128"/>
        <v>-379.00288961038962</v>
      </c>
      <c r="M127" s="54"/>
      <c r="N127" s="497">
        <f>IFERROR(N70/N$9,0)</f>
        <v>-974.02597402597405</v>
      </c>
      <c r="O127" s="497">
        <f t="shared" si="112"/>
        <v>-1015.9263104356705</v>
      </c>
      <c r="P127" s="497">
        <f t="shared" si="112"/>
        <v>-1097.5199553225655</v>
      </c>
      <c r="Q127" s="497">
        <f t="shared" si="112"/>
        <v>-1187.3745788175663</v>
      </c>
      <c r="R127" s="497">
        <f t="shared" si="112"/>
        <v>-1286.7643404936855</v>
      </c>
      <c r="S127" s="497">
        <f t="shared" si="112"/>
        <v>-1399.7404025655783</v>
      </c>
      <c r="T127" s="37"/>
      <c r="U127" s="50">
        <f t="shared" si="61"/>
        <v>7.5215192053756708E-2</v>
      </c>
      <c r="W127" s="497">
        <f t="shared" ref="W127:BB127" si="133">IFERROR(W70/W$9,0)</f>
        <v>-83.171788827610754</v>
      </c>
      <c r="X127" s="497">
        <f t="shared" si="133"/>
        <v>-83.171788827610754</v>
      </c>
      <c r="Y127" s="497">
        <f t="shared" si="133"/>
        <v>-83.171788827610754</v>
      </c>
      <c r="Z127" s="497">
        <f t="shared" si="133"/>
        <v>-83.171788827610754</v>
      </c>
      <c r="AA127" s="497">
        <f t="shared" si="133"/>
        <v>-83.171788827610754</v>
      </c>
      <c r="AB127" s="497">
        <f t="shared" si="133"/>
        <v>-85.389703196347043</v>
      </c>
      <c r="AC127" s="497">
        <f t="shared" si="133"/>
        <v>-85.389703196347043</v>
      </c>
      <c r="AD127" s="497">
        <f t="shared" si="133"/>
        <v>-85.389703196347043</v>
      </c>
      <c r="AE127" s="497">
        <f t="shared" si="133"/>
        <v>-85.389703196347043</v>
      </c>
      <c r="AF127" s="497">
        <f t="shared" si="133"/>
        <v>-85.389703196347043</v>
      </c>
      <c r="AG127" s="497">
        <f t="shared" si="133"/>
        <v>-85.389703196347043</v>
      </c>
      <c r="AH127" s="497">
        <f t="shared" si="133"/>
        <v>-87.72914711953463</v>
      </c>
      <c r="AI127" s="497">
        <f t="shared" si="133"/>
        <v>-89.762107865196128</v>
      </c>
      <c r="AJ127" s="497">
        <f t="shared" si="133"/>
        <v>-89.762107865196128</v>
      </c>
      <c r="AK127" s="497">
        <f t="shared" si="133"/>
        <v>-89.762107865196128</v>
      </c>
      <c r="AL127" s="497">
        <f t="shared" si="133"/>
        <v>-89.762107865196128</v>
      </c>
      <c r="AM127" s="497">
        <f t="shared" si="133"/>
        <v>-89.762107865196128</v>
      </c>
      <c r="AN127" s="497">
        <f t="shared" si="133"/>
        <v>-92.290617945905879</v>
      </c>
      <c r="AO127" s="497">
        <f t="shared" si="133"/>
        <v>-92.290617945905879</v>
      </c>
      <c r="AP127" s="497">
        <f t="shared" si="133"/>
        <v>-92.290617945905879</v>
      </c>
      <c r="AQ127" s="497">
        <f t="shared" si="133"/>
        <v>-92.290617945905879</v>
      </c>
      <c r="AR127" s="497">
        <f t="shared" si="133"/>
        <v>-92.290617945905879</v>
      </c>
      <c r="AS127" s="497">
        <f t="shared" si="133"/>
        <v>-92.290617945905879</v>
      </c>
      <c r="AT127" s="497">
        <f t="shared" si="133"/>
        <v>-94.965708321149521</v>
      </c>
      <c r="AU127" s="497">
        <f t="shared" si="133"/>
        <v>-97.002631701630193</v>
      </c>
      <c r="AV127" s="497">
        <f t="shared" si="133"/>
        <v>-97.002631701630193</v>
      </c>
      <c r="AW127" s="497">
        <f t="shared" si="133"/>
        <v>-97.002631701630193</v>
      </c>
      <c r="AX127" s="497">
        <f t="shared" si="133"/>
        <v>-97.002631701630193</v>
      </c>
      <c r="AY127" s="497">
        <f t="shared" si="133"/>
        <v>-97.002631701630193</v>
      </c>
      <c r="AZ127" s="497">
        <f t="shared" si="133"/>
        <v>-99.898232647947509</v>
      </c>
      <c r="BA127" s="497">
        <f t="shared" si="133"/>
        <v>-99.898232647947509</v>
      </c>
      <c r="BB127" s="497">
        <f t="shared" si="133"/>
        <v>-99.898232647947509</v>
      </c>
      <c r="BC127" s="497">
        <f t="shared" ref="BC127:CD127" si="134">IFERROR(BC70/BC$9,0)</f>
        <v>-99.898232647947509</v>
      </c>
      <c r="BD127" s="497">
        <f t="shared" si="134"/>
        <v>-99.898232647947509</v>
      </c>
      <c r="BE127" s="497">
        <f t="shared" si="134"/>
        <v>-99.898232647947509</v>
      </c>
      <c r="BF127" s="497">
        <f t="shared" si="134"/>
        <v>-102.97202442173051</v>
      </c>
      <c r="BG127" s="497">
        <f t="shared" si="134"/>
        <v>-104.99013504282873</v>
      </c>
      <c r="BH127" s="497">
        <f t="shared" si="134"/>
        <v>-104.99013504282873</v>
      </c>
      <c r="BI127" s="497">
        <f t="shared" si="134"/>
        <v>-104.99013504282873</v>
      </c>
      <c r="BJ127" s="497">
        <f t="shared" si="134"/>
        <v>-104.99013504282873</v>
      </c>
      <c r="BK127" s="497">
        <f t="shared" si="134"/>
        <v>-104.99013504282873</v>
      </c>
      <c r="BL127" s="497">
        <f t="shared" si="134"/>
        <v>-108.32315520291853</v>
      </c>
      <c r="BM127" s="497">
        <f t="shared" si="134"/>
        <v>-108.32315520291853</v>
      </c>
      <c r="BN127" s="497">
        <f t="shared" si="134"/>
        <v>-108.32315520291853</v>
      </c>
      <c r="BO127" s="497">
        <f t="shared" si="134"/>
        <v>-108.32315520291853</v>
      </c>
      <c r="BP127" s="497">
        <f t="shared" si="134"/>
        <v>-108.32315520291853</v>
      </c>
      <c r="BQ127" s="497">
        <f t="shared" si="134"/>
        <v>-108.32315520291853</v>
      </c>
      <c r="BR127" s="497">
        <f t="shared" si="134"/>
        <v>-111.87473406203061</v>
      </c>
      <c r="BS127" s="497">
        <f t="shared" si="134"/>
        <v>-114.04513455344608</v>
      </c>
      <c r="BT127" s="497">
        <f t="shared" si="134"/>
        <v>-114.04513455344608</v>
      </c>
      <c r="BU127" s="497">
        <f t="shared" si="134"/>
        <v>-114.04513455344608</v>
      </c>
      <c r="BV127" s="497">
        <f t="shared" si="134"/>
        <v>-114.04513455344608</v>
      </c>
      <c r="BW127" s="497">
        <f t="shared" si="134"/>
        <v>-114.04513455344608</v>
      </c>
      <c r="BX127" s="497">
        <f t="shared" si="134"/>
        <v>-117.91107131796967</v>
      </c>
      <c r="BY127" s="497">
        <f t="shared" si="134"/>
        <v>-117.91107131796967</v>
      </c>
      <c r="BZ127" s="497">
        <f t="shared" si="134"/>
        <v>-117.91107131796967</v>
      </c>
      <c r="CA127" s="497">
        <f t="shared" si="134"/>
        <v>-117.91107131796967</v>
      </c>
      <c r="CB127" s="497">
        <f t="shared" si="134"/>
        <v>-117.91107131796967</v>
      </c>
      <c r="CC127" s="497">
        <f t="shared" si="134"/>
        <v>-117.91107131796967</v>
      </c>
      <c r="CD127" s="497">
        <f t="shared" si="134"/>
        <v>-122.04830189053001</v>
      </c>
    </row>
    <row r="128" spans="1:85" x14ac:dyDescent="0.3">
      <c r="A128" s="7"/>
      <c r="B128" s="1"/>
      <c r="C128" s="2"/>
      <c r="D128" s="2"/>
      <c r="E128" s="62" t="s">
        <v>293</v>
      </c>
      <c r="F128" s="63"/>
      <c r="G128" s="63"/>
      <c r="H128" s="63"/>
      <c r="I128" s="501">
        <f t="shared" si="128"/>
        <v>65438.48042207797</v>
      </c>
      <c r="J128" s="501">
        <f t="shared" si="128"/>
        <v>65572.680129870161</v>
      </c>
      <c r="K128" s="501">
        <f t="shared" si="128"/>
        <v>70959.738733766237</v>
      </c>
      <c r="L128" s="501">
        <f t="shared" si="128"/>
        <v>70020.92789710284</v>
      </c>
      <c r="M128" s="63"/>
      <c r="N128" s="501">
        <f>IFERROR(N71/N$9,0)</f>
        <v>72588.447327532878</v>
      </c>
      <c r="O128" s="501">
        <f t="shared" si="112"/>
        <v>79343.970499131989</v>
      </c>
      <c r="P128" s="501">
        <f t="shared" si="112"/>
        <v>84708.365028863744</v>
      </c>
      <c r="Q128" s="501">
        <f t="shared" si="112"/>
        <v>90179.591341150604</v>
      </c>
      <c r="R128" s="501">
        <f t="shared" si="112"/>
        <v>95727.142404872357</v>
      </c>
      <c r="S128" s="501">
        <f t="shared" si="112"/>
        <v>101497.23646525729</v>
      </c>
      <c r="T128" s="57"/>
      <c r="U128" s="55">
        <f t="shared" si="61"/>
        <v>6.9343766450053135E-2</v>
      </c>
      <c r="W128" s="501">
        <f t="shared" ref="W128:BB128" si="135">IFERROR(W71/W$9,0)</f>
        <v>6519.5391250906478</v>
      </c>
      <c r="X128" s="501">
        <f t="shared" si="135"/>
        <v>6519.5391250906478</v>
      </c>
      <c r="Y128" s="501">
        <f t="shared" si="135"/>
        <v>6519.5391250906478</v>
      </c>
      <c r="Z128" s="501">
        <f t="shared" si="135"/>
        <v>6519.5391250906478</v>
      </c>
      <c r="AA128" s="501">
        <f t="shared" si="135"/>
        <v>6519.5391250906478</v>
      </c>
      <c r="AB128" s="501">
        <f t="shared" si="135"/>
        <v>6510.7479656823361</v>
      </c>
      <c r="AC128" s="501">
        <f t="shared" si="135"/>
        <v>6707.4976084453383</v>
      </c>
      <c r="AD128" s="501">
        <f t="shared" si="135"/>
        <v>6707.4976084453383</v>
      </c>
      <c r="AE128" s="501">
        <f t="shared" si="135"/>
        <v>6707.4976084453383</v>
      </c>
      <c r="AF128" s="501">
        <f t="shared" si="135"/>
        <v>6707.4976084453383</v>
      </c>
      <c r="AG128" s="501">
        <f t="shared" si="135"/>
        <v>6707.4976084453383</v>
      </c>
      <c r="AH128" s="501">
        <f t="shared" si="135"/>
        <v>6698.0388657697167</v>
      </c>
      <c r="AI128" s="501">
        <f t="shared" si="135"/>
        <v>6939.7112392648551</v>
      </c>
      <c r="AJ128" s="501">
        <f t="shared" si="135"/>
        <v>6939.7112392648551</v>
      </c>
      <c r="AK128" s="501">
        <f t="shared" si="135"/>
        <v>6939.7112392648551</v>
      </c>
      <c r="AL128" s="501">
        <f t="shared" si="135"/>
        <v>6939.7112392648551</v>
      </c>
      <c r="AM128" s="501">
        <f t="shared" si="135"/>
        <v>6939.7112392648551</v>
      </c>
      <c r="AN128" s="501">
        <f t="shared" si="135"/>
        <v>6929.4017094293422</v>
      </c>
      <c r="AO128" s="501">
        <f t="shared" si="135"/>
        <v>7181.9302413336845</v>
      </c>
      <c r="AP128" s="501">
        <f t="shared" si="135"/>
        <v>7181.9302413336845</v>
      </c>
      <c r="AQ128" s="501">
        <f t="shared" si="135"/>
        <v>7181.9302413336845</v>
      </c>
      <c r="AR128" s="501">
        <f t="shared" si="135"/>
        <v>7181.9302413336845</v>
      </c>
      <c r="AS128" s="501">
        <f t="shared" si="135"/>
        <v>7181.9302413336845</v>
      </c>
      <c r="AT128" s="501">
        <f t="shared" si="135"/>
        <v>7170.755916441698</v>
      </c>
      <c r="AU128" s="501">
        <f t="shared" si="135"/>
        <v>7367.2648349718165</v>
      </c>
      <c r="AV128" s="501">
        <f t="shared" si="135"/>
        <v>7367.2648349718165</v>
      </c>
      <c r="AW128" s="501">
        <f t="shared" si="135"/>
        <v>7367.2648349718165</v>
      </c>
      <c r="AX128" s="501">
        <f t="shared" si="135"/>
        <v>7367.2648349718165</v>
      </c>
      <c r="AY128" s="501">
        <f t="shared" si="135"/>
        <v>7367.2648349718165</v>
      </c>
      <c r="AZ128" s="501">
        <f t="shared" si="135"/>
        <v>7355.1214767246183</v>
      </c>
      <c r="BA128" s="501">
        <f t="shared" si="135"/>
        <v>7666.9013603182811</v>
      </c>
      <c r="BB128" s="501">
        <f t="shared" si="135"/>
        <v>7666.9013603182811</v>
      </c>
      <c r="BC128" s="501">
        <f t="shared" ref="BC128:CD128" si="136">IFERROR(BC71/BC$9,0)</f>
        <v>7666.9013603182811</v>
      </c>
      <c r="BD128" s="501">
        <f t="shared" si="136"/>
        <v>7666.9013603182811</v>
      </c>
      <c r="BE128" s="501">
        <f t="shared" si="136"/>
        <v>7666.9013603182811</v>
      </c>
      <c r="BF128" s="501">
        <f t="shared" si="136"/>
        <v>7653.638887975495</v>
      </c>
      <c r="BG128" s="501">
        <f t="shared" si="136"/>
        <v>7799.7171036615118</v>
      </c>
      <c r="BH128" s="501">
        <f t="shared" si="136"/>
        <v>7799.7171036615118</v>
      </c>
      <c r="BI128" s="501">
        <f t="shared" si="136"/>
        <v>7799.7171036615118</v>
      </c>
      <c r="BJ128" s="501">
        <f t="shared" si="136"/>
        <v>7799.7171036615118</v>
      </c>
      <c r="BK128" s="501">
        <f t="shared" si="136"/>
        <v>7799.7171036615118</v>
      </c>
      <c r="BL128" s="501">
        <f t="shared" si="136"/>
        <v>7785.3411211434177</v>
      </c>
      <c r="BM128" s="501">
        <f t="shared" si="136"/>
        <v>8159.8403030054342</v>
      </c>
      <c r="BN128" s="501">
        <f t="shared" si="136"/>
        <v>8159.8403030054342</v>
      </c>
      <c r="BO128" s="501">
        <f t="shared" si="136"/>
        <v>8159.8403030054342</v>
      </c>
      <c r="BP128" s="501">
        <f t="shared" si="136"/>
        <v>8159.8403030054342</v>
      </c>
      <c r="BQ128" s="501">
        <f t="shared" si="136"/>
        <v>8159.8403030054342</v>
      </c>
      <c r="BR128" s="501">
        <f t="shared" si="136"/>
        <v>8144.0142503942125</v>
      </c>
      <c r="BS128" s="501">
        <f t="shared" si="136"/>
        <v>8249.3107990311219</v>
      </c>
      <c r="BT128" s="501">
        <f t="shared" si="136"/>
        <v>8249.3107990311219</v>
      </c>
      <c r="BU128" s="501">
        <f t="shared" si="136"/>
        <v>8249.3107990311219</v>
      </c>
      <c r="BV128" s="501">
        <f t="shared" si="136"/>
        <v>8249.3107990311219</v>
      </c>
      <c r="BW128" s="501">
        <f t="shared" si="136"/>
        <v>8249.3107990311219</v>
      </c>
      <c r="BX128" s="501">
        <f t="shared" si="136"/>
        <v>8232.160291347167</v>
      </c>
      <c r="BY128" s="501">
        <f t="shared" si="136"/>
        <v>8672.926757425972</v>
      </c>
      <c r="BZ128" s="501">
        <f t="shared" si="136"/>
        <v>8672.926757425972</v>
      </c>
      <c r="CA128" s="501">
        <f t="shared" si="136"/>
        <v>8672.926757425972</v>
      </c>
      <c r="CB128" s="501">
        <f t="shared" si="136"/>
        <v>8672.926757425972</v>
      </c>
      <c r="CC128" s="501">
        <f t="shared" si="136"/>
        <v>8672.926757425972</v>
      </c>
      <c r="CD128" s="501">
        <f t="shared" si="136"/>
        <v>8653.8883916246541</v>
      </c>
    </row>
    <row r="129" spans="1:82" x14ac:dyDescent="0.3">
      <c r="A129" s="7"/>
      <c r="B129" s="1"/>
      <c r="C129" s="2"/>
      <c r="D129" s="2"/>
      <c r="E129" s="2"/>
      <c r="F129" s="2"/>
      <c r="G129" s="2"/>
      <c r="H129" s="2"/>
      <c r="I129" s="23"/>
      <c r="J129" s="23"/>
      <c r="K129" s="23"/>
      <c r="L129" s="23"/>
      <c r="M129" s="2"/>
      <c r="N129" s="23"/>
      <c r="O129" s="23"/>
      <c r="P129" s="23"/>
      <c r="Q129" s="23"/>
      <c r="R129" s="23"/>
      <c r="S129" s="23"/>
      <c r="T129" s="23"/>
      <c r="U129" s="50"/>
      <c r="W129" s="23"/>
      <c r="X129" s="23"/>
      <c r="Y129" s="23"/>
      <c r="Z129" s="23"/>
      <c r="AA129" s="23"/>
      <c r="AB129" s="23"/>
      <c r="AC129" s="23"/>
      <c r="AD129" s="23"/>
      <c r="AE129" s="23"/>
      <c r="AF129" s="23"/>
      <c r="AG129" s="23"/>
      <c r="AH129" s="23"/>
      <c r="AI129" s="23"/>
      <c r="AJ129" s="23"/>
      <c r="AK129" s="23"/>
      <c r="AL129" s="23"/>
      <c r="AM129" s="23"/>
      <c r="AN129" s="23"/>
      <c r="AO129" s="23"/>
      <c r="AP129" s="23"/>
      <c r="AQ129" s="23"/>
      <c r="AR129" s="23"/>
      <c r="AS129" s="23"/>
      <c r="AT129" s="23"/>
      <c r="AU129" s="23"/>
      <c r="AV129" s="23"/>
      <c r="AW129" s="23"/>
      <c r="AX129" s="23"/>
      <c r="AY129" s="23"/>
      <c r="AZ129" s="23"/>
      <c r="BA129" s="23"/>
      <c r="BB129" s="23"/>
      <c r="BC129" s="23"/>
      <c r="BD129" s="23"/>
      <c r="BE129" s="23"/>
      <c r="BF129" s="23"/>
      <c r="BG129" s="23"/>
      <c r="BH129" s="23"/>
      <c r="BI129" s="23"/>
      <c r="BJ129" s="23"/>
      <c r="BK129" s="23"/>
      <c r="BL129" s="23"/>
      <c r="BM129" s="23"/>
      <c r="BN129" s="23"/>
      <c r="BO129" s="23"/>
      <c r="BP129" s="23"/>
      <c r="BQ129" s="23"/>
      <c r="BR129" s="23"/>
      <c r="BS129" s="23"/>
      <c r="BT129" s="23"/>
      <c r="BU129" s="23"/>
      <c r="BV129" s="23"/>
      <c r="BW129" s="23"/>
      <c r="BX129" s="23"/>
      <c r="BY129" s="23"/>
      <c r="BZ129" s="23"/>
      <c r="CA129" s="23"/>
      <c r="CB129" s="23"/>
      <c r="CC129" s="23"/>
      <c r="CD129" s="23"/>
    </row>
    <row r="130" spans="1:82" x14ac:dyDescent="0.3">
      <c r="A130" s="7"/>
      <c r="B130" s="1"/>
      <c r="C130" s="2"/>
      <c r="D130" s="2"/>
      <c r="E130" s="2" t="s">
        <v>70</v>
      </c>
      <c r="F130" s="54"/>
      <c r="G130" s="54"/>
      <c r="H130" s="54"/>
      <c r="I130" s="497">
        <f t="shared" ref="I130:L133" si="137">I74/$I$9</f>
        <v>-2760.9280844155842</v>
      </c>
      <c r="J130" s="497">
        <f t="shared" si="137"/>
        <v>-448.15548701298707</v>
      </c>
      <c r="K130" s="497">
        <f t="shared" si="137"/>
        <v>-1369.4655844155845</v>
      </c>
      <c r="L130" s="497">
        <f t="shared" si="137"/>
        <v>-1908.6299675324681</v>
      </c>
      <c r="M130" s="54"/>
      <c r="N130" s="497">
        <f>IFERROR(N74/N$9,0)</f>
        <v>-4519.061435317929</v>
      </c>
      <c r="O130" s="497">
        <f t="shared" si="112"/>
        <v>-5326.5554724332287</v>
      </c>
      <c r="P130" s="497">
        <f t="shared" si="112"/>
        <v>-5444.0613545300575</v>
      </c>
      <c r="Q130" s="497">
        <f t="shared" si="112"/>
        <v>-5554.1762390729209</v>
      </c>
      <c r="R130" s="497">
        <f t="shared" si="112"/>
        <v>-5655.0723483263773</v>
      </c>
      <c r="S130" s="497">
        <f t="shared" si="112"/>
        <v>-5749.2846659050992</v>
      </c>
      <c r="T130" s="37"/>
      <c r="U130" s="50">
        <f t="shared" si="61"/>
        <v>4.9332474239546009E-2</v>
      </c>
      <c r="V130" s="8"/>
      <c r="W130" s="497">
        <f t="shared" ref="W130:BB130" si="138">IFERROR(W74/W$9,0)</f>
        <v>0</v>
      </c>
      <c r="X130" s="497">
        <f t="shared" si="138"/>
        <v>0</v>
      </c>
      <c r="Y130" s="497">
        <f t="shared" si="138"/>
        <v>0</v>
      </c>
      <c r="Z130" s="497">
        <f t="shared" si="138"/>
        <v>0</v>
      </c>
      <c r="AA130" s="497">
        <f t="shared" si="138"/>
        <v>0</v>
      </c>
      <c r="AB130" s="497">
        <f t="shared" si="138"/>
        <v>-5326.5554724332287</v>
      </c>
      <c r="AC130" s="497">
        <f t="shared" si="138"/>
        <v>0</v>
      </c>
      <c r="AD130" s="497">
        <f t="shared" si="138"/>
        <v>0</v>
      </c>
      <c r="AE130" s="497">
        <f t="shared" si="138"/>
        <v>0</v>
      </c>
      <c r="AF130" s="497">
        <f t="shared" si="138"/>
        <v>0</v>
      </c>
      <c r="AG130" s="497">
        <f t="shared" si="138"/>
        <v>0</v>
      </c>
      <c r="AH130" s="497">
        <f t="shared" si="138"/>
        <v>0</v>
      </c>
      <c r="AI130" s="497">
        <f t="shared" si="138"/>
        <v>0</v>
      </c>
      <c r="AJ130" s="497">
        <f t="shared" si="138"/>
        <v>0</v>
      </c>
      <c r="AK130" s="497">
        <f t="shared" si="138"/>
        <v>0</v>
      </c>
      <c r="AL130" s="497">
        <f t="shared" si="138"/>
        <v>0</v>
      </c>
      <c r="AM130" s="497">
        <f t="shared" si="138"/>
        <v>0</v>
      </c>
      <c r="AN130" s="497">
        <f t="shared" si="138"/>
        <v>-5444.0613545300575</v>
      </c>
      <c r="AO130" s="497">
        <f t="shared" si="138"/>
        <v>0</v>
      </c>
      <c r="AP130" s="497">
        <f t="shared" si="138"/>
        <v>0</v>
      </c>
      <c r="AQ130" s="497">
        <f t="shared" si="138"/>
        <v>0</v>
      </c>
      <c r="AR130" s="497">
        <f t="shared" si="138"/>
        <v>0</v>
      </c>
      <c r="AS130" s="497">
        <f t="shared" si="138"/>
        <v>0</v>
      </c>
      <c r="AT130" s="497">
        <f t="shared" si="138"/>
        <v>0</v>
      </c>
      <c r="AU130" s="497">
        <f t="shared" si="138"/>
        <v>0</v>
      </c>
      <c r="AV130" s="497">
        <f t="shared" si="138"/>
        <v>0</v>
      </c>
      <c r="AW130" s="497">
        <f t="shared" si="138"/>
        <v>0</v>
      </c>
      <c r="AX130" s="497">
        <f t="shared" si="138"/>
        <v>0</v>
      </c>
      <c r="AY130" s="497">
        <f t="shared" si="138"/>
        <v>0</v>
      </c>
      <c r="AZ130" s="497">
        <f t="shared" si="138"/>
        <v>-5554.1762390729209</v>
      </c>
      <c r="BA130" s="497">
        <f t="shared" si="138"/>
        <v>0</v>
      </c>
      <c r="BB130" s="497">
        <f t="shared" si="138"/>
        <v>0</v>
      </c>
      <c r="BC130" s="497">
        <f t="shared" ref="BC130:CD130" si="139">IFERROR(BC74/BC$9,0)</f>
        <v>0</v>
      </c>
      <c r="BD130" s="497">
        <f t="shared" si="139"/>
        <v>0</v>
      </c>
      <c r="BE130" s="497">
        <f t="shared" si="139"/>
        <v>0</v>
      </c>
      <c r="BF130" s="497">
        <f t="shared" si="139"/>
        <v>0</v>
      </c>
      <c r="BG130" s="497">
        <f t="shared" si="139"/>
        <v>0</v>
      </c>
      <c r="BH130" s="497">
        <f t="shared" si="139"/>
        <v>0</v>
      </c>
      <c r="BI130" s="497">
        <f t="shared" si="139"/>
        <v>0</v>
      </c>
      <c r="BJ130" s="497">
        <f t="shared" si="139"/>
        <v>0</v>
      </c>
      <c r="BK130" s="497">
        <f t="shared" si="139"/>
        <v>0</v>
      </c>
      <c r="BL130" s="497">
        <f t="shared" si="139"/>
        <v>-5655.0723483263773</v>
      </c>
      <c r="BM130" s="497">
        <f t="shared" si="139"/>
        <v>0</v>
      </c>
      <c r="BN130" s="497">
        <f t="shared" si="139"/>
        <v>0</v>
      </c>
      <c r="BO130" s="497">
        <f t="shared" si="139"/>
        <v>0</v>
      </c>
      <c r="BP130" s="497">
        <f t="shared" si="139"/>
        <v>0</v>
      </c>
      <c r="BQ130" s="497">
        <f t="shared" si="139"/>
        <v>0</v>
      </c>
      <c r="BR130" s="497">
        <f t="shared" si="139"/>
        <v>0</v>
      </c>
      <c r="BS130" s="497">
        <f t="shared" si="139"/>
        <v>0</v>
      </c>
      <c r="BT130" s="497">
        <f t="shared" si="139"/>
        <v>0</v>
      </c>
      <c r="BU130" s="497">
        <f t="shared" si="139"/>
        <v>0</v>
      </c>
      <c r="BV130" s="497">
        <f t="shared" si="139"/>
        <v>0</v>
      </c>
      <c r="BW130" s="497">
        <f t="shared" si="139"/>
        <v>0</v>
      </c>
      <c r="BX130" s="497">
        <f t="shared" si="139"/>
        <v>-5749.2846659050992</v>
      </c>
      <c r="BY130" s="497">
        <f t="shared" si="139"/>
        <v>0</v>
      </c>
      <c r="BZ130" s="497">
        <f t="shared" si="139"/>
        <v>0</v>
      </c>
      <c r="CA130" s="497">
        <f t="shared" si="139"/>
        <v>0</v>
      </c>
      <c r="CB130" s="497">
        <f t="shared" si="139"/>
        <v>0</v>
      </c>
      <c r="CC130" s="497">
        <f t="shared" si="139"/>
        <v>0</v>
      </c>
      <c r="CD130" s="497">
        <f t="shared" si="139"/>
        <v>0</v>
      </c>
    </row>
    <row r="131" spans="1:82" x14ac:dyDescent="0.3">
      <c r="A131" s="7"/>
      <c r="B131" s="1"/>
      <c r="C131" s="2"/>
      <c r="D131" s="2"/>
      <c r="E131" s="2" t="s">
        <v>185</v>
      </c>
      <c r="F131" s="54"/>
      <c r="G131" s="54"/>
      <c r="H131" s="54"/>
      <c r="I131" s="497">
        <f t="shared" si="137"/>
        <v>0</v>
      </c>
      <c r="J131" s="497">
        <f t="shared" si="137"/>
        <v>0</v>
      </c>
      <c r="K131" s="497">
        <f t="shared" si="137"/>
        <v>0</v>
      </c>
      <c r="L131" s="497">
        <f t="shared" si="137"/>
        <v>0</v>
      </c>
      <c r="M131" s="54"/>
      <c r="N131" s="497">
        <f>IFERROR(N75/N$9,0)</f>
        <v>0</v>
      </c>
      <c r="O131" s="497">
        <f t="shared" si="112"/>
        <v>69125.861651011524</v>
      </c>
      <c r="P131" s="497">
        <f t="shared" si="112"/>
        <v>77470.961330078455</v>
      </c>
      <c r="Q131" s="497">
        <f t="shared" si="112"/>
        <v>86920.806386725977</v>
      </c>
      <c r="R131" s="497">
        <f t="shared" si="112"/>
        <v>97664.432407219807</v>
      </c>
      <c r="S131" s="497">
        <f t="shared" si="112"/>
        <v>110122.09347207862</v>
      </c>
      <c r="T131" s="37"/>
      <c r="U131" s="50">
        <f t="shared" si="61"/>
        <v>0</v>
      </c>
      <c r="W131" s="497">
        <f t="shared" ref="W131:BB131" si="140">IFERROR(W75/W$9,0)</f>
        <v>0</v>
      </c>
      <c r="X131" s="497">
        <f t="shared" si="140"/>
        <v>0</v>
      </c>
      <c r="Y131" s="497">
        <f t="shared" si="140"/>
        <v>0</v>
      </c>
      <c r="Z131" s="497">
        <f t="shared" si="140"/>
        <v>0</v>
      </c>
      <c r="AA131" s="497">
        <f t="shared" si="140"/>
        <v>33688.254158310854</v>
      </c>
      <c r="AB131" s="497">
        <f t="shared" si="140"/>
        <v>0</v>
      </c>
      <c r="AC131" s="497">
        <f t="shared" si="140"/>
        <v>0</v>
      </c>
      <c r="AD131" s="497">
        <f t="shared" si="140"/>
        <v>0</v>
      </c>
      <c r="AE131" s="497">
        <f t="shared" si="140"/>
        <v>0</v>
      </c>
      <c r="AF131" s="497">
        <f t="shared" si="140"/>
        <v>0</v>
      </c>
      <c r="AG131" s="497">
        <f t="shared" si="140"/>
        <v>35437.60749270067</v>
      </c>
      <c r="AH131" s="497">
        <f t="shared" si="140"/>
        <v>0</v>
      </c>
      <c r="AI131" s="497">
        <f t="shared" si="140"/>
        <v>0</v>
      </c>
      <c r="AJ131" s="497">
        <f t="shared" si="140"/>
        <v>0</v>
      </c>
      <c r="AK131" s="497">
        <f t="shared" si="140"/>
        <v>0</v>
      </c>
      <c r="AL131" s="497">
        <f t="shared" si="140"/>
        <v>0</v>
      </c>
      <c r="AM131" s="497">
        <f t="shared" si="140"/>
        <v>37627.495173347001</v>
      </c>
      <c r="AN131" s="497">
        <f t="shared" si="140"/>
        <v>0</v>
      </c>
      <c r="AO131" s="497">
        <f t="shared" si="140"/>
        <v>0</v>
      </c>
      <c r="AP131" s="497">
        <f t="shared" si="140"/>
        <v>0</v>
      </c>
      <c r="AQ131" s="497">
        <f t="shared" si="140"/>
        <v>0</v>
      </c>
      <c r="AR131" s="497">
        <f t="shared" si="140"/>
        <v>0</v>
      </c>
      <c r="AS131" s="497">
        <f t="shared" si="140"/>
        <v>39843.466156731454</v>
      </c>
      <c r="AT131" s="497">
        <f t="shared" si="140"/>
        <v>0</v>
      </c>
      <c r="AU131" s="497">
        <f t="shared" si="140"/>
        <v>0</v>
      </c>
      <c r="AV131" s="497">
        <f t="shared" si="140"/>
        <v>0</v>
      </c>
      <c r="AW131" s="497">
        <f t="shared" si="140"/>
        <v>0</v>
      </c>
      <c r="AX131" s="497">
        <f t="shared" si="140"/>
        <v>0</v>
      </c>
      <c r="AY131" s="497">
        <f t="shared" si="140"/>
        <v>42074.525151376583</v>
      </c>
      <c r="AZ131" s="497">
        <f t="shared" si="140"/>
        <v>0</v>
      </c>
      <c r="BA131" s="497">
        <f t="shared" si="140"/>
        <v>0</v>
      </c>
      <c r="BB131" s="497">
        <f t="shared" si="140"/>
        <v>0</v>
      </c>
      <c r="BC131" s="497">
        <f t="shared" ref="BC131:CD131" si="141">IFERROR(BC75/BC$9,0)</f>
        <v>0</v>
      </c>
      <c r="BD131" s="497">
        <f t="shared" si="141"/>
        <v>0</v>
      </c>
      <c r="BE131" s="497">
        <f t="shared" si="141"/>
        <v>44846.281235349386</v>
      </c>
      <c r="BF131" s="497">
        <f t="shared" si="141"/>
        <v>0</v>
      </c>
      <c r="BG131" s="497">
        <f t="shared" si="141"/>
        <v>0</v>
      </c>
      <c r="BH131" s="497">
        <f t="shared" si="141"/>
        <v>0</v>
      </c>
      <c r="BI131" s="497">
        <f t="shared" si="141"/>
        <v>0</v>
      </c>
      <c r="BJ131" s="497">
        <f t="shared" si="141"/>
        <v>0</v>
      </c>
      <c r="BK131" s="497">
        <f t="shared" si="141"/>
        <v>47113.825145627525</v>
      </c>
      <c r="BL131" s="497">
        <f t="shared" si="141"/>
        <v>0</v>
      </c>
      <c r="BM131" s="497">
        <f t="shared" si="141"/>
        <v>0</v>
      </c>
      <c r="BN131" s="497">
        <f t="shared" si="141"/>
        <v>0</v>
      </c>
      <c r="BO131" s="497">
        <f t="shared" si="141"/>
        <v>0</v>
      </c>
      <c r="BP131" s="497">
        <f t="shared" si="141"/>
        <v>0</v>
      </c>
      <c r="BQ131" s="497">
        <f t="shared" si="141"/>
        <v>50550.607261592282</v>
      </c>
      <c r="BR131" s="497">
        <f t="shared" si="141"/>
        <v>0</v>
      </c>
      <c r="BS131" s="497">
        <f t="shared" si="141"/>
        <v>0</v>
      </c>
      <c r="BT131" s="497">
        <f t="shared" si="141"/>
        <v>0</v>
      </c>
      <c r="BU131" s="497">
        <f t="shared" si="141"/>
        <v>0</v>
      </c>
      <c r="BV131" s="497">
        <f t="shared" si="141"/>
        <v>0</v>
      </c>
      <c r="BW131" s="497">
        <f t="shared" si="141"/>
        <v>52940.587543811089</v>
      </c>
      <c r="BX131" s="497">
        <f t="shared" si="141"/>
        <v>0</v>
      </c>
      <c r="BY131" s="497">
        <f t="shared" si="141"/>
        <v>0</v>
      </c>
      <c r="BZ131" s="497">
        <f t="shared" si="141"/>
        <v>0</v>
      </c>
      <c r="CA131" s="497">
        <f t="shared" si="141"/>
        <v>0</v>
      </c>
      <c r="CB131" s="497">
        <f t="shared" si="141"/>
        <v>0</v>
      </c>
      <c r="CC131" s="497">
        <f t="shared" si="141"/>
        <v>57181.505928267521</v>
      </c>
      <c r="CD131" s="497">
        <f t="shared" si="141"/>
        <v>0</v>
      </c>
    </row>
    <row r="132" spans="1:82" x14ac:dyDescent="0.3">
      <c r="A132" s="7"/>
      <c r="B132" s="1"/>
      <c r="C132" s="2"/>
      <c r="D132" s="2"/>
      <c r="E132" s="2" t="s">
        <v>370</v>
      </c>
      <c r="F132" s="54"/>
      <c r="G132" s="54"/>
      <c r="H132" s="54"/>
      <c r="I132" s="497">
        <f t="shared" si="137"/>
        <v>0</v>
      </c>
      <c r="J132" s="497">
        <f t="shared" si="137"/>
        <v>0</v>
      </c>
      <c r="K132" s="497">
        <f t="shared" si="137"/>
        <v>0</v>
      </c>
      <c r="L132" s="497">
        <f t="shared" si="137"/>
        <v>0</v>
      </c>
      <c r="M132" s="54"/>
      <c r="N132" s="497">
        <f>IFERROR(N76/N$9,0)</f>
        <v>0</v>
      </c>
      <c r="O132" s="497">
        <f t="shared" si="112"/>
        <v>2777.7777777777778</v>
      </c>
      <c r="P132" s="497">
        <f t="shared" si="112"/>
        <v>8722.4258794777797</v>
      </c>
      <c r="Q132" s="497">
        <f t="shared" si="112"/>
        <v>15367.005551950393</v>
      </c>
      <c r="R132" s="497">
        <f t="shared" si="112"/>
        <v>19536.019536019536</v>
      </c>
      <c r="S132" s="497">
        <f t="shared" si="112"/>
        <v>20839.121978327312</v>
      </c>
      <c r="T132" s="37"/>
      <c r="U132" s="50">
        <f t="shared" si="61"/>
        <v>0</v>
      </c>
      <c r="W132" s="497">
        <f t="shared" ref="W132:BB132" si="142">IFERROR(W76/W$9,0)</f>
        <v>0</v>
      </c>
      <c r="X132" s="497">
        <f t="shared" si="142"/>
        <v>0</v>
      </c>
      <c r="Y132" s="497">
        <f t="shared" si="142"/>
        <v>0</v>
      </c>
      <c r="Z132" s="497">
        <f t="shared" si="142"/>
        <v>0</v>
      </c>
      <c r="AA132" s="497">
        <f t="shared" si="142"/>
        <v>0</v>
      </c>
      <c r="AB132" s="497">
        <f t="shared" si="142"/>
        <v>0</v>
      </c>
      <c r="AC132" s="497">
        <f t="shared" si="142"/>
        <v>0</v>
      </c>
      <c r="AD132" s="497">
        <f t="shared" si="142"/>
        <v>0</v>
      </c>
      <c r="AE132" s="497">
        <f t="shared" si="142"/>
        <v>0</v>
      </c>
      <c r="AF132" s="497">
        <f t="shared" si="142"/>
        <v>0</v>
      </c>
      <c r="AG132" s="497">
        <f t="shared" si="142"/>
        <v>2777.7777777777778</v>
      </c>
      <c r="AH132" s="497">
        <f t="shared" si="142"/>
        <v>0</v>
      </c>
      <c r="AI132" s="497">
        <f t="shared" si="142"/>
        <v>0</v>
      </c>
      <c r="AJ132" s="497">
        <f t="shared" si="142"/>
        <v>0</v>
      </c>
      <c r="AK132" s="497">
        <f t="shared" si="142"/>
        <v>0</v>
      </c>
      <c r="AL132" s="497">
        <f t="shared" si="142"/>
        <v>0</v>
      </c>
      <c r="AM132" s="497">
        <f t="shared" si="142"/>
        <v>2853.8812785388127</v>
      </c>
      <c r="AN132" s="497">
        <f t="shared" si="142"/>
        <v>0</v>
      </c>
      <c r="AO132" s="497">
        <f t="shared" si="142"/>
        <v>0</v>
      </c>
      <c r="AP132" s="497">
        <f t="shared" si="142"/>
        <v>0</v>
      </c>
      <c r="AQ132" s="497">
        <f t="shared" si="142"/>
        <v>0</v>
      </c>
      <c r="AR132" s="497">
        <f t="shared" si="142"/>
        <v>0</v>
      </c>
      <c r="AS132" s="497">
        <f t="shared" si="142"/>
        <v>5868.5446009389671</v>
      </c>
      <c r="AT132" s="497">
        <f t="shared" si="142"/>
        <v>0</v>
      </c>
      <c r="AU132" s="497">
        <f t="shared" si="142"/>
        <v>0</v>
      </c>
      <c r="AV132" s="497">
        <f t="shared" si="142"/>
        <v>0</v>
      </c>
      <c r="AW132" s="497">
        <f t="shared" si="142"/>
        <v>0</v>
      </c>
      <c r="AX132" s="497">
        <f t="shared" si="142"/>
        <v>0</v>
      </c>
      <c r="AY132" s="497">
        <f t="shared" si="142"/>
        <v>6038.6473429951693</v>
      </c>
      <c r="AZ132" s="497">
        <f t="shared" si="142"/>
        <v>0</v>
      </c>
      <c r="BA132" s="497">
        <f t="shared" si="142"/>
        <v>0</v>
      </c>
      <c r="BB132" s="497">
        <f t="shared" si="142"/>
        <v>0</v>
      </c>
      <c r="BC132" s="497">
        <f t="shared" ref="BC132:CD132" si="143">IFERROR(BC76/BC$9,0)</f>
        <v>0</v>
      </c>
      <c r="BD132" s="497">
        <f t="shared" si="143"/>
        <v>0</v>
      </c>
      <c r="BE132" s="497">
        <f t="shared" si="143"/>
        <v>9328.3582089552237</v>
      </c>
      <c r="BF132" s="497">
        <f t="shared" si="143"/>
        <v>0</v>
      </c>
      <c r="BG132" s="497">
        <f t="shared" si="143"/>
        <v>0</v>
      </c>
      <c r="BH132" s="497">
        <f t="shared" si="143"/>
        <v>0</v>
      </c>
      <c r="BI132" s="497">
        <f t="shared" si="143"/>
        <v>0</v>
      </c>
      <c r="BJ132" s="497">
        <f t="shared" si="143"/>
        <v>0</v>
      </c>
      <c r="BK132" s="497">
        <f t="shared" si="143"/>
        <v>9615.3846153846152</v>
      </c>
      <c r="BL132" s="497">
        <f t="shared" si="143"/>
        <v>0</v>
      </c>
      <c r="BM132" s="497">
        <f t="shared" si="143"/>
        <v>0</v>
      </c>
      <c r="BN132" s="497">
        <f t="shared" si="143"/>
        <v>0</v>
      </c>
      <c r="BO132" s="497">
        <f t="shared" si="143"/>
        <v>0</v>
      </c>
      <c r="BP132" s="497">
        <f t="shared" si="143"/>
        <v>0</v>
      </c>
      <c r="BQ132" s="497">
        <f t="shared" si="143"/>
        <v>9920.6349206349205</v>
      </c>
      <c r="BR132" s="497">
        <f t="shared" si="143"/>
        <v>0</v>
      </c>
      <c r="BS132" s="497">
        <f t="shared" si="143"/>
        <v>0</v>
      </c>
      <c r="BT132" s="497">
        <f t="shared" si="143"/>
        <v>0</v>
      </c>
      <c r="BU132" s="497">
        <f t="shared" si="143"/>
        <v>0</v>
      </c>
      <c r="BV132" s="497">
        <f t="shared" si="143"/>
        <v>0</v>
      </c>
      <c r="BW132" s="497">
        <f t="shared" si="143"/>
        <v>10245.901639344262</v>
      </c>
      <c r="BX132" s="497">
        <f t="shared" si="143"/>
        <v>0</v>
      </c>
      <c r="BY132" s="497">
        <f t="shared" si="143"/>
        <v>0</v>
      </c>
      <c r="BZ132" s="497">
        <f t="shared" si="143"/>
        <v>0</v>
      </c>
      <c r="CA132" s="497">
        <f t="shared" si="143"/>
        <v>0</v>
      </c>
      <c r="CB132" s="497">
        <f t="shared" si="143"/>
        <v>0</v>
      </c>
      <c r="CC132" s="497">
        <f t="shared" si="143"/>
        <v>10593.22033898305</v>
      </c>
      <c r="CD132" s="497">
        <f t="shared" si="143"/>
        <v>0</v>
      </c>
    </row>
    <row r="133" spans="1:82" x14ac:dyDescent="0.3">
      <c r="A133" s="7"/>
      <c r="B133" s="1"/>
      <c r="C133" s="2"/>
      <c r="D133" s="2"/>
      <c r="E133" s="62" t="s">
        <v>71</v>
      </c>
      <c r="F133" s="63"/>
      <c r="G133" s="63"/>
      <c r="H133" s="63"/>
      <c r="I133" s="502">
        <f t="shared" si="137"/>
        <v>62677.552337662375</v>
      </c>
      <c r="J133" s="502">
        <f t="shared" si="137"/>
        <v>65124.52464285717</v>
      </c>
      <c r="K133" s="502">
        <f t="shared" si="137"/>
        <v>69590.273149350658</v>
      </c>
      <c r="L133" s="502">
        <f t="shared" si="137"/>
        <v>68112.29792957037</v>
      </c>
      <c r="M133" s="63"/>
      <c r="N133" s="502">
        <f>IFERROR(N77/N$9,0)</f>
        <v>68069.385892214952</v>
      </c>
      <c r="O133" s="502">
        <f t="shared" si="112"/>
        <v>145921.05445548808</v>
      </c>
      <c r="P133" s="502">
        <f t="shared" si="112"/>
        <v>165457.69088388991</v>
      </c>
      <c r="Q133" s="502">
        <f t="shared" si="112"/>
        <v>186913.22704075405</v>
      </c>
      <c r="R133" s="502">
        <f t="shared" si="112"/>
        <v>207272.52199978533</v>
      </c>
      <c r="S133" s="502">
        <f t="shared" si="112"/>
        <v>226709.16724975812</v>
      </c>
      <c r="T133" s="57"/>
      <c r="U133" s="55">
        <f t="shared" si="61"/>
        <v>0.27204785460840131</v>
      </c>
      <c r="W133" s="502">
        <f t="shared" ref="W133:BB133" si="144">IFERROR(W77/W$9,0)</f>
        <v>6519.5391250906478</v>
      </c>
      <c r="X133" s="502">
        <f t="shared" si="144"/>
        <v>6519.5391250906478</v>
      </c>
      <c r="Y133" s="502">
        <f t="shared" si="144"/>
        <v>6519.5391250906478</v>
      </c>
      <c r="Z133" s="502">
        <f t="shared" si="144"/>
        <v>6519.5391250906478</v>
      </c>
      <c r="AA133" s="502">
        <f t="shared" si="144"/>
        <v>40207.793283401501</v>
      </c>
      <c r="AB133" s="502">
        <f t="shared" si="144"/>
        <v>1184.1924932491072</v>
      </c>
      <c r="AC133" s="502">
        <f t="shared" si="144"/>
        <v>6707.4976084453383</v>
      </c>
      <c r="AD133" s="502">
        <f t="shared" si="144"/>
        <v>6707.4976084453383</v>
      </c>
      <c r="AE133" s="502">
        <f t="shared" si="144"/>
        <v>6707.4976084453383</v>
      </c>
      <c r="AF133" s="502">
        <f t="shared" si="144"/>
        <v>6707.4976084453383</v>
      </c>
      <c r="AG133" s="502">
        <f t="shared" si="144"/>
        <v>44922.882878923789</v>
      </c>
      <c r="AH133" s="502">
        <f t="shared" si="144"/>
        <v>6698.0388657697167</v>
      </c>
      <c r="AI133" s="502">
        <f t="shared" si="144"/>
        <v>6939.7112392648551</v>
      </c>
      <c r="AJ133" s="502">
        <f t="shared" si="144"/>
        <v>6939.7112392648551</v>
      </c>
      <c r="AK133" s="502">
        <f t="shared" si="144"/>
        <v>6939.7112392648551</v>
      </c>
      <c r="AL133" s="502">
        <f t="shared" si="144"/>
        <v>6939.7112392648551</v>
      </c>
      <c r="AM133" s="502">
        <f t="shared" si="144"/>
        <v>47421.087691150671</v>
      </c>
      <c r="AN133" s="502">
        <f t="shared" si="144"/>
        <v>1485.3403548992846</v>
      </c>
      <c r="AO133" s="502">
        <f t="shared" si="144"/>
        <v>7181.9302413336845</v>
      </c>
      <c r="AP133" s="502">
        <f t="shared" si="144"/>
        <v>7181.9302413336845</v>
      </c>
      <c r="AQ133" s="502">
        <f t="shared" si="144"/>
        <v>7181.9302413336845</v>
      </c>
      <c r="AR133" s="502">
        <f t="shared" si="144"/>
        <v>7181.9302413336845</v>
      </c>
      <c r="AS133" s="502">
        <f t="shared" si="144"/>
        <v>52893.940999004095</v>
      </c>
      <c r="AT133" s="502">
        <f t="shared" si="144"/>
        <v>7170.755916441698</v>
      </c>
      <c r="AU133" s="502">
        <f t="shared" si="144"/>
        <v>7367.2648349718165</v>
      </c>
      <c r="AV133" s="502">
        <f t="shared" si="144"/>
        <v>7367.2648349718165</v>
      </c>
      <c r="AW133" s="502">
        <f t="shared" si="144"/>
        <v>7367.2648349718165</v>
      </c>
      <c r="AX133" s="502">
        <f t="shared" si="144"/>
        <v>7367.2648349718165</v>
      </c>
      <c r="AY133" s="502">
        <f t="shared" si="144"/>
        <v>55480.437329343564</v>
      </c>
      <c r="AZ133" s="502">
        <f t="shared" si="144"/>
        <v>1800.9452376516977</v>
      </c>
      <c r="BA133" s="502">
        <f t="shared" si="144"/>
        <v>7666.9013603182811</v>
      </c>
      <c r="BB133" s="502">
        <f t="shared" si="144"/>
        <v>7666.9013603182811</v>
      </c>
      <c r="BC133" s="502">
        <f t="shared" ref="BC133:CD133" si="145">IFERROR(BC77/BC$9,0)</f>
        <v>7666.9013603182811</v>
      </c>
      <c r="BD133" s="502">
        <f t="shared" si="145"/>
        <v>7666.9013603182811</v>
      </c>
      <c r="BE133" s="502">
        <f t="shared" si="145"/>
        <v>61841.540804622891</v>
      </c>
      <c r="BF133" s="502">
        <f t="shared" si="145"/>
        <v>7653.638887975495</v>
      </c>
      <c r="BG133" s="502">
        <f t="shared" si="145"/>
        <v>7799.7171036615118</v>
      </c>
      <c r="BH133" s="502">
        <f t="shared" si="145"/>
        <v>7799.7171036615118</v>
      </c>
      <c r="BI133" s="502">
        <f t="shared" si="145"/>
        <v>7799.7171036615118</v>
      </c>
      <c r="BJ133" s="502">
        <f t="shared" si="145"/>
        <v>7799.7171036615118</v>
      </c>
      <c r="BK133" s="502">
        <f t="shared" si="145"/>
        <v>64528.926864673653</v>
      </c>
      <c r="BL133" s="502">
        <f t="shared" si="145"/>
        <v>2130.2687728170404</v>
      </c>
      <c r="BM133" s="502">
        <f t="shared" si="145"/>
        <v>8159.8403030054342</v>
      </c>
      <c r="BN133" s="502">
        <f t="shared" si="145"/>
        <v>8159.8403030054342</v>
      </c>
      <c r="BO133" s="502">
        <f t="shared" si="145"/>
        <v>8159.8403030054342</v>
      </c>
      <c r="BP133" s="502">
        <f t="shared" si="145"/>
        <v>8159.8403030054342</v>
      </c>
      <c r="BQ133" s="502">
        <f t="shared" si="145"/>
        <v>68631.082485232633</v>
      </c>
      <c r="BR133" s="502">
        <f t="shared" si="145"/>
        <v>8144.0142503942125</v>
      </c>
      <c r="BS133" s="502">
        <f t="shared" si="145"/>
        <v>8249.3107990311219</v>
      </c>
      <c r="BT133" s="502">
        <f t="shared" si="145"/>
        <v>8249.3107990311219</v>
      </c>
      <c r="BU133" s="502">
        <f t="shared" si="145"/>
        <v>8249.3107990311219</v>
      </c>
      <c r="BV133" s="502">
        <f t="shared" si="145"/>
        <v>8249.3107990311219</v>
      </c>
      <c r="BW133" s="502">
        <f t="shared" si="145"/>
        <v>71435.79998218648</v>
      </c>
      <c r="BX133" s="502">
        <f t="shared" si="145"/>
        <v>2482.8756254420673</v>
      </c>
      <c r="BY133" s="502">
        <f t="shared" si="145"/>
        <v>8672.926757425972</v>
      </c>
      <c r="BZ133" s="502">
        <f t="shared" si="145"/>
        <v>8672.926757425972</v>
      </c>
      <c r="CA133" s="502">
        <f t="shared" si="145"/>
        <v>8672.926757425972</v>
      </c>
      <c r="CB133" s="502">
        <f t="shared" si="145"/>
        <v>8672.926757425972</v>
      </c>
      <c r="CC133" s="502">
        <f t="shared" si="145"/>
        <v>76447.653024676547</v>
      </c>
      <c r="CD133" s="502">
        <f t="shared" si="145"/>
        <v>8653.8883916246541</v>
      </c>
    </row>
  </sheetData>
  <pageMargins left="0.7" right="0.7" top="0.75" bottom="0.75" header="0.3" footer="0.3"/>
  <pageSetup scale="42"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0BAE92-FBF3-4A51-9B64-2FD277B7BBE6}">
  <sheetPr codeName="Sheet26">
    <tabColor theme="1"/>
  </sheetPr>
  <dimension ref="I535:BW535"/>
  <sheetViews>
    <sheetView showGridLines="0" workbookViewId="0"/>
  </sheetViews>
  <sheetFormatPr defaultColWidth="9.33203125" defaultRowHeight="13.5" x14ac:dyDescent="0.3"/>
  <cols>
    <col min="1" max="16384" width="9.33203125" style="3"/>
  </cols>
  <sheetData>
    <row r="535" spans="9:75" x14ac:dyDescent="0.3">
      <c r="I535" s="8"/>
      <c r="J535" s="8"/>
      <c r="K535" s="8"/>
      <c r="L535" s="8"/>
      <c r="M535" s="8"/>
      <c r="N535" s="8"/>
      <c r="P535" s="8"/>
      <c r="Q535" s="8"/>
      <c r="R535" s="8"/>
      <c r="S535" s="8"/>
      <c r="T535" s="8"/>
      <c r="U535" s="8"/>
      <c r="V535" s="8"/>
      <c r="W535" s="8"/>
      <c r="X535" s="8"/>
      <c r="Y535" s="8"/>
      <c r="Z535" s="8"/>
      <c r="AA535" s="8"/>
      <c r="AB535" s="8"/>
      <c r="AC535" s="8"/>
      <c r="AD535" s="8"/>
      <c r="AE535" s="8"/>
      <c r="AF535" s="8"/>
      <c r="AG535" s="8"/>
      <c r="AH535" s="8"/>
      <c r="AI535" s="8"/>
      <c r="AJ535" s="8"/>
      <c r="AK535" s="8"/>
      <c r="AL535" s="8"/>
      <c r="AM535" s="8"/>
      <c r="AN535" s="8"/>
      <c r="AO535" s="8"/>
      <c r="AP535" s="8"/>
      <c r="AQ535" s="8"/>
      <c r="AR535" s="8"/>
      <c r="AS535" s="8"/>
      <c r="AT535" s="8"/>
      <c r="AU535" s="8"/>
      <c r="AV535" s="8"/>
      <c r="AW535" s="8"/>
      <c r="AX535" s="8"/>
      <c r="AY535" s="8"/>
      <c r="AZ535" s="8"/>
      <c r="BA535" s="8"/>
      <c r="BB535" s="8"/>
      <c r="BC535" s="8"/>
      <c r="BD535" s="8"/>
      <c r="BE535" s="8"/>
      <c r="BF535" s="8"/>
      <c r="BG535" s="8"/>
      <c r="BH535" s="8"/>
      <c r="BI535" s="8"/>
      <c r="BJ535" s="8"/>
      <c r="BK535" s="8"/>
      <c r="BL535" s="8"/>
      <c r="BM535" s="8"/>
      <c r="BN535" s="8"/>
      <c r="BO535" s="8"/>
      <c r="BP535" s="8"/>
      <c r="BQ535" s="8"/>
      <c r="BR535" s="8"/>
      <c r="BS535" s="8"/>
      <c r="BT535" s="8"/>
      <c r="BU535" s="8"/>
      <c r="BV535" s="8"/>
      <c r="BW535" s="8"/>
    </row>
  </sheetData>
  <pageMargins left="0.7" right="0.7" top="0.75" bottom="0.75" header="0.3" footer="0.3"/>
  <pageSetup paperSize="9" orientation="portrait" verticalDpi="120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735F11-967F-43BC-B854-70858AF25562}">
  <sheetPr codeName="Sheet28"/>
  <dimension ref="A1:CM635"/>
  <sheetViews>
    <sheetView showGridLines="0" zoomScaleNormal="100" workbookViewId="0">
      <pane xSplit="5" ySplit="4" topLeftCell="F5" activePane="bottomRight" state="frozen"/>
      <selection activeCell="E86" sqref="E86:E102"/>
      <selection pane="topRight" activeCell="E86" sqref="E86:E102"/>
      <selection pane="bottomLeft" activeCell="E86" sqref="E86:E102"/>
      <selection pane="bottomRight" activeCell="F5" sqref="F5"/>
    </sheetView>
  </sheetViews>
  <sheetFormatPr defaultColWidth="0" defaultRowHeight="13.5" x14ac:dyDescent="0.3"/>
  <cols>
    <col min="1" max="1" width="1.6640625" style="7" customWidth="1"/>
    <col min="2" max="2" width="1.6640625" style="1" customWidth="1"/>
    <col min="3" max="3" width="3.33203125" style="7" customWidth="1"/>
    <col min="4" max="4" width="1.6640625" style="3" customWidth="1"/>
    <col min="5" max="5" width="67.6640625" style="3" bestFit="1" customWidth="1"/>
    <col min="6" max="8" width="1.6640625" style="3" customWidth="1"/>
    <col min="9" max="14" width="13.33203125" style="3" customWidth="1"/>
    <col min="15" max="15" width="1.6640625" style="3" customWidth="1"/>
    <col min="16" max="16" width="13.33203125" style="27" customWidth="1"/>
    <col min="17" max="17" width="13.6640625" style="3" customWidth="1"/>
    <col min="18" max="77" width="13.33203125" style="3" customWidth="1"/>
    <col min="78" max="80" width="1.6640625" style="3" customWidth="1"/>
    <col min="81" max="86" width="0" style="3" hidden="1" customWidth="1"/>
    <col min="87" max="90" width="13.33203125" style="3" hidden="1" customWidth="1"/>
    <col min="91" max="91" width="1.6640625" style="3" hidden="1" customWidth="1"/>
    <col min="92" max="114" width="0" style="3" hidden="1" customWidth="1"/>
    <col min="115" max="16384" width="0" style="3" hidden="1"/>
  </cols>
  <sheetData>
    <row r="1" spans="1:80" s="38" customFormat="1" x14ac:dyDescent="0.3">
      <c r="A1" s="27"/>
      <c r="B1" s="1"/>
      <c r="Q1" s="39"/>
      <c r="AN1" s="521"/>
      <c r="AO1" s="521"/>
      <c r="AP1" s="521"/>
      <c r="AQ1" s="521"/>
      <c r="AR1" s="521"/>
      <c r="AS1" s="521"/>
      <c r="AT1" s="521"/>
      <c r="AU1" s="521"/>
      <c r="AV1" s="521"/>
      <c r="AW1" s="521"/>
      <c r="AX1" s="521"/>
      <c r="AY1" s="521"/>
      <c r="AZ1" s="521"/>
      <c r="BA1" s="521"/>
      <c r="BB1" s="521"/>
      <c r="BC1" s="521"/>
      <c r="BD1" s="521"/>
      <c r="BE1" s="521"/>
      <c r="BF1" s="521"/>
      <c r="BG1" s="521"/>
      <c r="BH1" s="521"/>
      <c r="BI1" s="521"/>
      <c r="BJ1" s="521"/>
      <c r="BK1" s="521"/>
      <c r="BL1" s="521"/>
      <c r="BM1" s="521"/>
      <c r="BN1" s="521"/>
      <c r="BO1" s="521"/>
      <c r="BP1" s="521"/>
      <c r="BQ1" s="521"/>
      <c r="BR1" s="521"/>
      <c r="BS1" s="521"/>
      <c r="BT1" s="521"/>
      <c r="BU1" s="521"/>
      <c r="BV1" s="521"/>
      <c r="BW1" s="521"/>
      <c r="BX1" s="521"/>
      <c r="BY1" s="521"/>
      <c r="BZ1" s="39"/>
      <c r="CA1" s="39"/>
      <c r="CB1" s="39"/>
    </row>
    <row r="2" spans="1:80" x14ac:dyDescent="0.3">
      <c r="A2" s="3"/>
      <c r="B2" s="306" t="s">
        <v>397</v>
      </c>
      <c r="I2" s="40">
        <v>2</v>
      </c>
      <c r="J2" s="40">
        <v>3</v>
      </c>
      <c r="K2" s="40">
        <v>4</v>
      </c>
      <c r="L2" s="40">
        <v>5</v>
      </c>
      <c r="M2" s="40">
        <v>6</v>
      </c>
      <c r="N2" s="40">
        <v>7</v>
      </c>
      <c r="R2" s="40" t="str" cm="1">
        <f t="array" ref="R2">INDEX(Index_Tab!$G$4:$K$4,MATCH(1,(R$4&gt;=Index_Tab!$G$5:$K$5)*(R$4&lt;=Index_Tab!$G$17:$K$17),0))</f>
        <v>FY27E</v>
      </c>
      <c r="S2" s="40" t="str" cm="1">
        <f t="array" ref="S2">INDEX(Index_Tab!$G$4:$K$4,MATCH(1,(S$4&gt;=Index_Tab!$G$5:$K$5)*(S$4&lt;=Index_Tab!$G$17:$K$17),0))</f>
        <v>FY27E</v>
      </c>
      <c r="T2" s="40" t="str" cm="1">
        <f t="array" ref="T2">INDEX(Index_Tab!$G$4:$K$4,MATCH(1,(T$4&gt;=Index_Tab!$G$5:$K$5)*(T$4&lt;=Index_Tab!$G$17:$K$17),0))</f>
        <v>FY27E</v>
      </c>
      <c r="U2" s="40" t="str" cm="1">
        <f t="array" ref="U2">INDEX(Index_Tab!$G$4:$K$4,MATCH(1,(U$4&gt;=Index_Tab!$G$5:$K$5)*(U$4&lt;=Index_Tab!$G$17:$K$17),0))</f>
        <v>FY27E</v>
      </c>
      <c r="V2" s="40" t="str" cm="1">
        <f t="array" ref="V2">INDEX(Index_Tab!$G$4:$K$4,MATCH(1,(V$4&gt;=Index_Tab!$G$5:$K$5)*(V$4&lt;=Index_Tab!$G$17:$K$17),0))</f>
        <v>FY27E</v>
      </c>
      <c r="W2" s="40" t="str" cm="1">
        <f t="array" ref="W2">INDEX(Index_Tab!$G$4:$K$4,MATCH(1,(W$4&gt;=Index_Tab!$G$5:$K$5)*(W$4&lt;=Index_Tab!$G$17:$K$17),0))</f>
        <v>FY27E</v>
      </c>
      <c r="X2" s="40" t="str" cm="1">
        <f t="array" ref="X2">INDEX(Index_Tab!$G$4:$K$4,MATCH(1,(X$4&gt;=Index_Tab!$G$5:$K$5)*(X$4&lt;=Index_Tab!$G$17:$K$17),0))</f>
        <v>FY27E</v>
      </c>
      <c r="Y2" s="40" t="str" cm="1">
        <f t="array" ref="Y2">INDEX(Index_Tab!$G$4:$K$4,MATCH(1,(Y$4&gt;=Index_Tab!$G$5:$K$5)*(Y$4&lt;=Index_Tab!$G$17:$K$17),0))</f>
        <v>FY27E</v>
      </c>
      <c r="Z2" s="40" t="str" cm="1">
        <f t="array" ref="Z2">INDEX(Index_Tab!$G$4:$K$4,MATCH(1,(Z$4&gt;=Index_Tab!$G$5:$K$5)*(Z$4&lt;=Index_Tab!$G$17:$K$17),0))</f>
        <v>FY27E</v>
      </c>
      <c r="AA2" s="40" t="str" cm="1">
        <f t="array" ref="AA2">INDEX(Index_Tab!$G$4:$K$4,MATCH(1,(AA$4&gt;=Index_Tab!$G$5:$K$5)*(AA$4&lt;=Index_Tab!$G$17:$K$17),0))</f>
        <v>FY27E</v>
      </c>
      <c r="AB2" s="40" t="str" cm="1">
        <f t="array" ref="AB2">INDEX(Index_Tab!$G$4:$K$4,MATCH(1,(AB$4&gt;=Index_Tab!$G$5:$K$5)*(AB$4&lt;=Index_Tab!$G$17:$K$17),0))</f>
        <v>FY27E</v>
      </c>
      <c r="AC2" s="40" t="str" cm="1">
        <f t="array" ref="AC2">INDEX(Index_Tab!$G$4:$K$4,MATCH(1,(AC$4&gt;=Index_Tab!$G$5:$K$5)*(AC$4&lt;=Index_Tab!$G$17:$K$17),0))</f>
        <v>FY27E</v>
      </c>
      <c r="AD2" s="40" t="str" cm="1">
        <f t="array" ref="AD2">INDEX(Index_Tab!$G$4:$K$4,MATCH(1,(AD$4&gt;=Index_Tab!$G$5:$K$5)*(AD$4&lt;=Index_Tab!$G$17:$K$17),0))</f>
        <v>FY28E</v>
      </c>
      <c r="AE2" s="40" t="str" cm="1">
        <f t="array" ref="AE2">INDEX(Index_Tab!$G$4:$K$4,MATCH(1,(AE$4&gt;=Index_Tab!$G$5:$K$5)*(AE$4&lt;=Index_Tab!$G$17:$K$17),0))</f>
        <v>FY28E</v>
      </c>
      <c r="AF2" s="40" t="str" cm="1">
        <f t="array" ref="AF2">INDEX(Index_Tab!$G$4:$K$4,MATCH(1,(AF$4&gt;=Index_Tab!$G$5:$K$5)*(AF$4&lt;=Index_Tab!$G$17:$K$17),0))</f>
        <v>FY28E</v>
      </c>
      <c r="AG2" s="40" t="str" cm="1">
        <f t="array" ref="AG2">INDEX(Index_Tab!$G$4:$K$4,MATCH(1,(AG$4&gt;=Index_Tab!$G$5:$K$5)*(AG$4&lt;=Index_Tab!$G$17:$K$17),0))</f>
        <v>FY28E</v>
      </c>
      <c r="AH2" s="40" t="str" cm="1">
        <f t="array" ref="AH2">INDEX(Index_Tab!$G$4:$K$4,MATCH(1,(AH$4&gt;=Index_Tab!$G$5:$K$5)*(AH$4&lt;=Index_Tab!$G$17:$K$17),0))</f>
        <v>FY28E</v>
      </c>
      <c r="AI2" s="40" t="str" cm="1">
        <f t="array" ref="AI2">INDEX(Index_Tab!$G$4:$K$4,MATCH(1,(AI$4&gt;=Index_Tab!$G$5:$K$5)*(AI$4&lt;=Index_Tab!$G$17:$K$17),0))</f>
        <v>FY28E</v>
      </c>
      <c r="AJ2" s="40" t="str" cm="1">
        <f t="array" ref="AJ2">INDEX(Index_Tab!$G$4:$K$4,MATCH(1,(AJ$4&gt;=Index_Tab!$G$5:$K$5)*(AJ$4&lt;=Index_Tab!$G$17:$K$17),0))</f>
        <v>FY28E</v>
      </c>
      <c r="AK2" s="40" t="str" cm="1">
        <f t="array" ref="AK2">INDEX(Index_Tab!$G$4:$K$4,MATCH(1,(AK$4&gt;=Index_Tab!$G$5:$K$5)*(AK$4&lt;=Index_Tab!$G$17:$K$17),0))</f>
        <v>FY28E</v>
      </c>
      <c r="AL2" s="40" t="str" cm="1">
        <f t="array" ref="AL2">INDEX(Index_Tab!$G$4:$K$4,MATCH(1,(AL$4&gt;=Index_Tab!$G$5:$K$5)*(AL$4&lt;=Index_Tab!$G$17:$K$17),0))</f>
        <v>FY28E</v>
      </c>
      <c r="AM2" s="40" t="str" cm="1">
        <f t="array" ref="AM2">INDEX(Index_Tab!$G$4:$K$4,MATCH(1,(AM$4&gt;=Index_Tab!$G$5:$K$5)*(AM$4&lt;=Index_Tab!$G$17:$K$17),0))</f>
        <v>FY28E</v>
      </c>
      <c r="AN2" s="522" t="str" cm="1">
        <f t="array" ref="AN2">INDEX(Index_Tab!$G$4:$K$4,MATCH(1,(AN$4&gt;=Index_Tab!$G$5:$K$5)*(AN$4&lt;=Index_Tab!$G$17:$K$17),0))</f>
        <v>FY28E</v>
      </c>
      <c r="AO2" s="522" t="str" cm="1">
        <f t="array" ref="AO2">INDEX(Index_Tab!$G$4:$K$4,MATCH(1,(AO$4&gt;=Index_Tab!$G$5:$K$5)*(AO$4&lt;=Index_Tab!$G$17:$K$17),0))</f>
        <v>FY28E</v>
      </c>
      <c r="AP2" s="522" t="str" cm="1">
        <f t="array" ref="AP2">INDEX(Index_Tab!$G$4:$K$4,MATCH(1,(AP$4&gt;=Index_Tab!$G$5:$K$5)*(AP$4&lt;=Index_Tab!$G$17:$K$17),0))</f>
        <v>FY29E</v>
      </c>
      <c r="AQ2" s="522" t="str" cm="1">
        <f t="array" ref="AQ2">INDEX(Index_Tab!$G$4:$K$4,MATCH(1,(AQ$4&gt;=Index_Tab!$G$5:$K$5)*(AQ$4&lt;=Index_Tab!$G$17:$K$17),0))</f>
        <v>FY29E</v>
      </c>
      <c r="AR2" s="522" t="str" cm="1">
        <f t="array" ref="AR2">INDEX(Index_Tab!$G$4:$K$4,MATCH(1,(AR$4&gt;=Index_Tab!$G$5:$K$5)*(AR$4&lt;=Index_Tab!$G$17:$K$17),0))</f>
        <v>FY29E</v>
      </c>
      <c r="AS2" s="522" t="str" cm="1">
        <f t="array" ref="AS2">INDEX(Index_Tab!$G$4:$K$4,MATCH(1,(AS$4&gt;=Index_Tab!$G$5:$K$5)*(AS$4&lt;=Index_Tab!$G$17:$K$17),0))</f>
        <v>FY29E</v>
      </c>
      <c r="AT2" s="522" t="str" cm="1">
        <f t="array" ref="AT2">INDEX(Index_Tab!$G$4:$K$4,MATCH(1,(AT$4&gt;=Index_Tab!$G$5:$K$5)*(AT$4&lt;=Index_Tab!$G$17:$K$17),0))</f>
        <v>FY29E</v>
      </c>
      <c r="AU2" s="522" t="str" cm="1">
        <f t="array" ref="AU2">INDEX(Index_Tab!$G$4:$K$4,MATCH(1,(AU$4&gt;=Index_Tab!$G$5:$K$5)*(AU$4&lt;=Index_Tab!$G$17:$K$17),0))</f>
        <v>FY29E</v>
      </c>
      <c r="AV2" s="522" t="str" cm="1">
        <f t="array" ref="AV2">INDEX(Index_Tab!$G$4:$K$4,MATCH(1,(AV$4&gt;=Index_Tab!$G$5:$K$5)*(AV$4&lt;=Index_Tab!$G$17:$K$17),0))</f>
        <v>FY29E</v>
      </c>
      <c r="AW2" s="522" t="str" cm="1">
        <f t="array" ref="AW2">INDEX(Index_Tab!$G$4:$K$4,MATCH(1,(AW$4&gt;=Index_Tab!$G$5:$K$5)*(AW$4&lt;=Index_Tab!$G$17:$K$17),0))</f>
        <v>FY29E</v>
      </c>
      <c r="AX2" s="522" t="str" cm="1">
        <f t="array" ref="AX2">INDEX(Index_Tab!$G$4:$K$4,MATCH(1,(AX$4&gt;=Index_Tab!$G$5:$K$5)*(AX$4&lt;=Index_Tab!$G$17:$K$17),0))</f>
        <v>FY29E</v>
      </c>
      <c r="AY2" s="522" t="str" cm="1">
        <f t="array" ref="AY2">INDEX(Index_Tab!$G$4:$K$4,MATCH(1,(AY$4&gt;=Index_Tab!$G$5:$K$5)*(AY$4&lt;=Index_Tab!$G$17:$K$17),0))</f>
        <v>FY29E</v>
      </c>
      <c r="AZ2" s="522" t="str" cm="1">
        <f t="array" ref="AZ2">INDEX(Index_Tab!$G$4:$K$4,MATCH(1,(AZ$4&gt;=Index_Tab!$G$5:$K$5)*(AZ$4&lt;=Index_Tab!$G$17:$K$17),0))</f>
        <v>FY29E</v>
      </c>
      <c r="BA2" s="522" t="str" cm="1">
        <f t="array" ref="BA2">INDEX(Index_Tab!$G$4:$K$4,MATCH(1,(BA$4&gt;=Index_Tab!$G$5:$K$5)*(BA$4&lt;=Index_Tab!$G$17:$K$17),0))</f>
        <v>FY29E</v>
      </c>
      <c r="BB2" s="522" t="str" cm="1">
        <f t="array" ref="BB2">INDEX(Index_Tab!$G$4:$K$4,MATCH(1,(BB$4&gt;=Index_Tab!$G$5:$K$5)*(BB$4&lt;=Index_Tab!$G$17:$K$17),0))</f>
        <v>FY30E</v>
      </c>
      <c r="BC2" s="522" t="str" cm="1">
        <f t="array" ref="BC2">INDEX(Index_Tab!$G$4:$K$4,MATCH(1,(BC$4&gt;=Index_Tab!$G$5:$K$5)*(BC$4&lt;=Index_Tab!$G$17:$K$17),0))</f>
        <v>FY30E</v>
      </c>
      <c r="BD2" s="522" t="str" cm="1">
        <f t="array" ref="BD2">INDEX(Index_Tab!$G$4:$K$4,MATCH(1,(BD$4&gt;=Index_Tab!$G$5:$K$5)*(BD$4&lt;=Index_Tab!$G$17:$K$17),0))</f>
        <v>FY30E</v>
      </c>
      <c r="BE2" s="522" t="str" cm="1">
        <f t="array" ref="BE2">INDEX(Index_Tab!$G$4:$K$4,MATCH(1,(BE$4&gt;=Index_Tab!$G$5:$K$5)*(BE$4&lt;=Index_Tab!$G$17:$K$17),0))</f>
        <v>FY30E</v>
      </c>
      <c r="BF2" s="522" t="str" cm="1">
        <f t="array" ref="BF2">INDEX(Index_Tab!$G$4:$K$4,MATCH(1,(BF$4&gt;=Index_Tab!$G$5:$K$5)*(BF$4&lt;=Index_Tab!$G$17:$K$17),0))</f>
        <v>FY30E</v>
      </c>
      <c r="BG2" s="522" t="str" cm="1">
        <f t="array" ref="BG2">INDEX(Index_Tab!$G$4:$K$4,MATCH(1,(BG$4&gt;=Index_Tab!$G$5:$K$5)*(BG$4&lt;=Index_Tab!$G$17:$K$17),0))</f>
        <v>FY30E</v>
      </c>
      <c r="BH2" s="522" t="str" cm="1">
        <f t="array" ref="BH2">INDEX(Index_Tab!$G$4:$K$4,MATCH(1,(BH$4&gt;=Index_Tab!$G$5:$K$5)*(BH$4&lt;=Index_Tab!$G$17:$K$17),0))</f>
        <v>FY30E</v>
      </c>
      <c r="BI2" s="522" t="str" cm="1">
        <f t="array" ref="BI2">INDEX(Index_Tab!$G$4:$K$4,MATCH(1,(BI$4&gt;=Index_Tab!$G$5:$K$5)*(BI$4&lt;=Index_Tab!$G$17:$K$17),0))</f>
        <v>FY30E</v>
      </c>
      <c r="BJ2" s="522" t="str" cm="1">
        <f t="array" ref="BJ2">INDEX(Index_Tab!$G$4:$K$4,MATCH(1,(BJ$4&gt;=Index_Tab!$G$5:$K$5)*(BJ$4&lt;=Index_Tab!$G$17:$K$17),0))</f>
        <v>FY30E</v>
      </c>
      <c r="BK2" s="522" t="str" cm="1">
        <f t="array" ref="BK2">INDEX(Index_Tab!$G$4:$K$4,MATCH(1,(BK$4&gt;=Index_Tab!$G$5:$K$5)*(BK$4&lt;=Index_Tab!$G$17:$K$17),0))</f>
        <v>FY30E</v>
      </c>
      <c r="BL2" s="522" t="str" cm="1">
        <f t="array" ref="BL2">INDEX(Index_Tab!$G$4:$K$4,MATCH(1,(BL$4&gt;=Index_Tab!$G$5:$K$5)*(BL$4&lt;=Index_Tab!$G$17:$K$17),0))</f>
        <v>FY30E</v>
      </c>
      <c r="BM2" s="522" t="str" cm="1">
        <f t="array" ref="BM2">INDEX(Index_Tab!$G$4:$K$4,MATCH(1,(BM$4&gt;=Index_Tab!$G$5:$K$5)*(BM$4&lt;=Index_Tab!$G$17:$K$17),0))</f>
        <v>FY30E</v>
      </c>
      <c r="BN2" s="522" t="str" cm="1">
        <f t="array" ref="BN2">INDEX(Index_Tab!$G$4:$K$4,MATCH(1,(BN$4&gt;=Index_Tab!$G$5:$K$5)*(BN$4&lt;=Index_Tab!$G$17:$K$17),0))</f>
        <v>FY31E</v>
      </c>
      <c r="BO2" s="522" t="str" cm="1">
        <f t="array" ref="BO2">INDEX(Index_Tab!$G$4:$K$4,MATCH(1,(BO$4&gt;=Index_Tab!$G$5:$K$5)*(BO$4&lt;=Index_Tab!$G$17:$K$17),0))</f>
        <v>FY31E</v>
      </c>
      <c r="BP2" s="522" t="str" cm="1">
        <f t="array" ref="BP2">INDEX(Index_Tab!$G$4:$K$4,MATCH(1,(BP$4&gt;=Index_Tab!$G$5:$K$5)*(BP$4&lt;=Index_Tab!$G$17:$K$17),0))</f>
        <v>FY31E</v>
      </c>
      <c r="BQ2" s="522" t="str" cm="1">
        <f t="array" ref="BQ2">INDEX(Index_Tab!$G$4:$K$4,MATCH(1,(BQ$4&gt;=Index_Tab!$G$5:$K$5)*(BQ$4&lt;=Index_Tab!$G$17:$K$17),0))</f>
        <v>FY31E</v>
      </c>
      <c r="BR2" s="522" t="str" cm="1">
        <f t="array" ref="BR2">INDEX(Index_Tab!$G$4:$K$4,MATCH(1,(BR$4&gt;=Index_Tab!$G$5:$K$5)*(BR$4&lt;=Index_Tab!$G$17:$K$17),0))</f>
        <v>FY31E</v>
      </c>
      <c r="BS2" s="522" t="str" cm="1">
        <f t="array" ref="BS2">INDEX(Index_Tab!$G$4:$K$4,MATCH(1,(BS$4&gt;=Index_Tab!$G$5:$K$5)*(BS$4&lt;=Index_Tab!$G$17:$K$17),0))</f>
        <v>FY31E</v>
      </c>
      <c r="BT2" s="522" t="str" cm="1">
        <f t="array" ref="BT2">INDEX(Index_Tab!$G$4:$K$4,MATCH(1,(BT$4&gt;=Index_Tab!$G$5:$K$5)*(BT$4&lt;=Index_Tab!$G$17:$K$17),0))</f>
        <v>FY31E</v>
      </c>
      <c r="BU2" s="522" t="str" cm="1">
        <f t="array" ref="BU2">INDEX(Index_Tab!$G$4:$K$4,MATCH(1,(BU$4&gt;=Index_Tab!$G$5:$K$5)*(BU$4&lt;=Index_Tab!$G$17:$K$17),0))</f>
        <v>FY31E</v>
      </c>
      <c r="BV2" s="522" t="str" cm="1">
        <f t="array" ref="BV2">INDEX(Index_Tab!$G$4:$K$4,MATCH(1,(BV$4&gt;=Index_Tab!$G$5:$K$5)*(BV$4&lt;=Index_Tab!$G$17:$K$17),0))</f>
        <v>FY31E</v>
      </c>
      <c r="BW2" s="522" t="str" cm="1">
        <f t="array" ref="BW2">INDEX(Index_Tab!$G$4:$K$4,MATCH(1,(BW$4&gt;=Index_Tab!$G$5:$K$5)*(BW$4&lt;=Index_Tab!$G$17:$K$17),0))</f>
        <v>FY31E</v>
      </c>
      <c r="BX2" s="522" t="str" cm="1">
        <f t="array" ref="BX2">INDEX(Index_Tab!$G$4:$K$4,MATCH(1,(BX$4&gt;=Index_Tab!$G$5:$K$5)*(BX$4&lt;=Index_Tab!$G$17:$K$17),0))</f>
        <v>FY31E</v>
      </c>
      <c r="BY2" s="522" t="str" cm="1">
        <f t="array" ref="BY2">INDEX(Index_Tab!$G$4:$K$4,MATCH(1,(BY$4&gt;=Index_Tab!$G$5:$K$5)*(BY$4&lt;=Index_Tab!$G$17:$K$17),0))</f>
        <v>FY31E</v>
      </c>
    </row>
    <row r="3" spans="1:80" x14ac:dyDescent="0.3">
      <c r="A3" s="3"/>
      <c r="B3" s="309" t="str">
        <f>INDEX(Portfolio_Categorisation!$E$6:$E$10,MATCH($B$2,Portfolio_Categorisation!$C$6:$C$10,0))</f>
        <v>Portfolio</v>
      </c>
      <c r="E3" s="20"/>
      <c r="F3" s="20"/>
      <c r="G3" s="20"/>
      <c r="H3" s="41"/>
      <c r="I3" s="21" t="str">
        <f>'Detailed Assumptions'!$E$17</f>
        <v>FY26E</v>
      </c>
      <c r="J3" s="21" t="str">
        <f>'Detailed Assumptions'!$F$17</f>
        <v>FY27E</v>
      </c>
      <c r="K3" s="21" t="str">
        <f>'Detailed Assumptions'!$G$17</f>
        <v>FY28E</v>
      </c>
      <c r="L3" s="21" t="str">
        <f>'Detailed Assumptions'!$H$17</f>
        <v>FY29E</v>
      </c>
      <c r="M3" s="21" t="str">
        <f>'Detailed Assumptions'!$I$17</f>
        <v>FY30E</v>
      </c>
      <c r="N3" s="21" t="str">
        <f>'Detailed Assumptions'!$J$17</f>
        <v>FY31E</v>
      </c>
      <c r="O3" s="42"/>
      <c r="P3" s="36" t="str">
        <f>I3&amp;"-"&amp;N3</f>
        <v>FY26E-FY31E</v>
      </c>
      <c r="Q3" s="41"/>
      <c r="R3" s="43">
        <f>'Detailed Assumptions'!$E$12</f>
        <v>46296</v>
      </c>
      <c r="S3" s="43">
        <f>R4+1</f>
        <v>46327</v>
      </c>
      <c r="T3" s="43">
        <f t="shared" ref="T3:AN3" si="0">S4+1</f>
        <v>46357</v>
      </c>
      <c r="U3" s="43">
        <f t="shared" si="0"/>
        <v>46388</v>
      </c>
      <c r="V3" s="43">
        <f t="shared" si="0"/>
        <v>46419</v>
      </c>
      <c r="W3" s="43">
        <f>V4+1</f>
        <v>46447</v>
      </c>
      <c r="X3" s="43">
        <f t="shared" si="0"/>
        <v>46478</v>
      </c>
      <c r="Y3" s="43">
        <f t="shared" si="0"/>
        <v>46508</v>
      </c>
      <c r="Z3" s="43">
        <f t="shared" si="0"/>
        <v>46539</v>
      </c>
      <c r="AA3" s="43">
        <f t="shared" si="0"/>
        <v>46569</v>
      </c>
      <c r="AB3" s="43">
        <f t="shared" si="0"/>
        <v>46600</v>
      </c>
      <c r="AC3" s="43">
        <f>AB4+1</f>
        <v>46631</v>
      </c>
      <c r="AD3" s="43">
        <f>AC4+1</f>
        <v>46661</v>
      </c>
      <c r="AE3" s="43">
        <f>AD4+1</f>
        <v>46692</v>
      </c>
      <c r="AF3" s="43">
        <f t="shared" si="0"/>
        <v>46722</v>
      </c>
      <c r="AG3" s="43">
        <f t="shared" si="0"/>
        <v>46753</v>
      </c>
      <c r="AH3" s="43">
        <f t="shared" si="0"/>
        <v>46784</v>
      </c>
      <c r="AI3" s="43">
        <f>AH4+1</f>
        <v>46813</v>
      </c>
      <c r="AJ3" s="43">
        <f t="shared" si="0"/>
        <v>46844</v>
      </c>
      <c r="AK3" s="43">
        <f t="shared" si="0"/>
        <v>46874</v>
      </c>
      <c r="AL3" s="43">
        <f t="shared" si="0"/>
        <v>46905</v>
      </c>
      <c r="AM3" s="43">
        <f t="shared" si="0"/>
        <v>46935</v>
      </c>
      <c r="AN3" s="523">
        <f t="shared" si="0"/>
        <v>46966</v>
      </c>
      <c r="AO3" s="523">
        <f>AN4+1</f>
        <v>46997</v>
      </c>
      <c r="AP3" s="523">
        <f>AO4+1</f>
        <v>47027</v>
      </c>
      <c r="AQ3" s="523">
        <f>AP4+1</f>
        <v>47058</v>
      </c>
      <c r="AR3" s="523">
        <f t="shared" ref="AR3:AZ3" si="1">AQ4+1</f>
        <v>47088</v>
      </c>
      <c r="AS3" s="523">
        <f t="shared" si="1"/>
        <v>47119</v>
      </c>
      <c r="AT3" s="523">
        <f t="shared" si="1"/>
        <v>47150</v>
      </c>
      <c r="AU3" s="523">
        <f>AT4+1</f>
        <v>47178</v>
      </c>
      <c r="AV3" s="523">
        <f t="shared" si="1"/>
        <v>47209</v>
      </c>
      <c r="AW3" s="523">
        <f t="shared" si="1"/>
        <v>47239</v>
      </c>
      <c r="AX3" s="523">
        <f t="shared" si="1"/>
        <v>47270</v>
      </c>
      <c r="AY3" s="523">
        <f t="shared" si="1"/>
        <v>47300</v>
      </c>
      <c r="AZ3" s="523">
        <f t="shared" si="1"/>
        <v>47331</v>
      </c>
      <c r="BA3" s="523">
        <f>AZ4+1</f>
        <v>47362</v>
      </c>
      <c r="BB3" s="523">
        <f>BA4+1</f>
        <v>47392</v>
      </c>
      <c r="BC3" s="523">
        <f>BB4+1</f>
        <v>47423</v>
      </c>
      <c r="BD3" s="523">
        <f t="shared" ref="BD3:BL3" si="2">BC4+1</f>
        <v>47453</v>
      </c>
      <c r="BE3" s="523">
        <f t="shared" si="2"/>
        <v>47484</v>
      </c>
      <c r="BF3" s="523">
        <f t="shared" si="2"/>
        <v>47515</v>
      </c>
      <c r="BG3" s="523">
        <f>BF4+1</f>
        <v>47543</v>
      </c>
      <c r="BH3" s="523">
        <f t="shared" si="2"/>
        <v>47574</v>
      </c>
      <c r="BI3" s="523">
        <f t="shared" si="2"/>
        <v>47604</v>
      </c>
      <c r="BJ3" s="523">
        <f t="shared" si="2"/>
        <v>47635</v>
      </c>
      <c r="BK3" s="523">
        <f t="shared" si="2"/>
        <v>47665</v>
      </c>
      <c r="BL3" s="523">
        <f t="shared" si="2"/>
        <v>47696</v>
      </c>
      <c r="BM3" s="523">
        <f>BL4+1</f>
        <v>47727</v>
      </c>
      <c r="BN3" s="523">
        <f>BM4+1</f>
        <v>47757</v>
      </c>
      <c r="BO3" s="523">
        <f>BN4+1</f>
        <v>47788</v>
      </c>
      <c r="BP3" s="523">
        <f t="shared" ref="BP3:BX3" si="3">BO4+1</f>
        <v>47818</v>
      </c>
      <c r="BQ3" s="523">
        <f t="shared" si="3"/>
        <v>47849</v>
      </c>
      <c r="BR3" s="523">
        <f t="shared" si="3"/>
        <v>47880</v>
      </c>
      <c r="BS3" s="523">
        <f>BR4+1</f>
        <v>47908</v>
      </c>
      <c r="BT3" s="523">
        <f t="shared" si="3"/>
        <v>47939</v>
      </c>
      <c r="BU3" s="523">
        <f t="shared" si="3"/>
        <v>47969</v>
      </c>
      <c r="BV3" s="523">
        <f t="shared" si="3"/>
        <v>48000</v>
      </c>
      <c r="BW3" s="523">
        <f t="shared" si="3"/>
        <v>48030</v>
      </c>
      <c r="BX3" s="523">
        <f t="shared" si="3"/>
        <v>48061</v>
      </c>
      <c r="BY3" s="523">
        <f>BX4+1</f>
        <v>48092</v>
      </c>
      <c r="CB3" s="41"/>
    </row>
    <row r="4" spans="1:80" x14ac:dyDescent="0.3">
      <c r="A4" s="3"/>
      <c r="B4" s="309" t="str">
        <f>INDEX(Portfolio_Categorisation!$D$6:$D$10,MATCH($B$2,Portfolio_Categorisation!$C$6:$C$10,0))</f>
        <v>Value</v>
      </c>
      <c r="E4" s="20"/>
      <c r="F4" s="20"/>
      <c r="G4" s="20"/>
      <c r="H4" s="41"/>
      <c r="I4" s="44">
        <f>'Detailed Assumptions'!$E$12-1</f>
        <v>46295</v>
      </c>
      <c r="J4" s="44">
        <f>EOMONTH(I4,12)</f>
        <v>46660</v>
      </c>
      <c r="K4" s="44">
        <f>EOMONTH(J4,12)</f>
        <v>47026</v>
      </c>
      <c r="L4" s="44">
        <f>EOMONTH(K4,12)</f>
        <v>47391</v>
      </c>
      <c r="M4" s="44">
        <f>EOMONTH(L4,12)</f>
        <v>47756</v>
      </c>
      <c r="N4" s="44">
        <f>EOMONTH(M4,12)</f>
        <v>48121</v>
      </c>
      <c r="O4" s="45"/>
      <c r="P4" s="46" t="s">
        <v>180</v>
      </c>
      <c r="Q4" s="41"/>
      <c r="R4" s="44">
        <f>EOMONTH(R3,0)</f>
        <v>46326</v>
      </c>
      <c r="S4" s="44">
        <f>EOMONTH(S3,0)</f>
        <v>46356</v>
      </c>
      <c r="T4" s="44">
        <f t="shared" ref="T4:BY4" si="4">EOMONTH(T3,0)</f>
        <v>46387</v>
      </c>
      <c r="U4" s="44">
        <f t="shared" si="4"/>
        <v>46418</v>
      </c>
      <c r="V4" s="44">
        <f t="shared" si="4"/>
        <v>46446</v>
      </c>
      <c r="W4" s="44">
        <f>EOMONTH(W3,0)</f>
        <v>46477</v>
      </c>
      <c r="X4" s="44">
        <f t="shared" si="4"/>
        <v>46507</v>
      </c>
      <c r="Y4" s="44">
        <f t="shared" si="4"/>
        <v>46538</v>
      </c>
      <c r="Z4" s="44">
        <f t="shared" si="4"/>
        <v>46568</v>
      </c>
      <c r="AA4" s="44">
        <f t="shared" si="4"/>
        <v>46599</v>
      </c>
      <c r="AB4" s="44">
        <f t="shared" si="4"/>
        <v>46630</v>
      </c>
      <c r="AC4" s="44">
        <f t="shared" si="4"/>
        <v>46660</v>
      </c>
      <c r="AD4" s="44">
        <f t="shared" si="4"/>
        <v>46691</v>
      </c>
      <c r="AE4" s="44">
        <f t="shared" si="4"/>
        <v>46721</v>
      </c>
      <c r="AF4" s="44">
        <f t="shared" si="4"/>
        <v>46752</v>
      </c>
      <c r="AG4" s="44">
        <f t="shared" si="4"/>
        <v>46783</v>
      </c>
      <c r="AH4" s="44">
        <f t="shared" si="4"/>
        <v>46812</v>
      </c>
      <c r="AI4" s="44">
        <f t="shared" si="4"/>
        <v>46843</v>
      </c>
      <c r="AJ4" s="44">
        <f t="shared" si="4"/>
        <v>46873</v>
      </c>
      <c r="AK4" s="44">
        <f t="shared" si="4"/>
        <v>46904</v>
      </c>
      <c r="AL4" s="44">
        <f t="shared" si="4"/>
        <v>46934</v>
      </c>
      <c r="AM4" s="44">
        <f t="shared" si="4"/>
        <v>46965</v>
      </c>
      <c r="AN4" s="524">
        <f t="shared" si="4"/>
        <v>46996</v>
      </c>
      <c r="AO4" s="524">
        <f t="shared" si="4"/>
        <v>47026</v>
      </c>
      <c r="AP4" s="524">
        <f t="shared" si="4"/>
        <v>47057</v>
      </c>
      <c r="AQ4" s="524">
        <f t="shared" si="4"/>
        <v>47087</v>
      </c>
      <c r="AR4" s="524">
        <f t="shared" si="4"/>
        <v>47118</v>
      </c>
      <c r="AS4" s="524">
        <f t="shared" si="4"/>
        <v>47149</v>
      </c>
      <c r="AT4" s="524">
        <f t="shared" si="4"/>
        <v>47177</v>
      </c>
      <c r="AU4" s="524">
        <f t="shared" si="4"/>
        <v>47208</v>
      </c>
      <c r="AV4" s="524">
        <f t="shared" si="4"/>
        <v>47238</v>
      </c>
      <c r="AW4" s="524">
        <f t="shared" si="4"/>
        <v>47269</v>
      </c>
      <c r="AX4" s="524">
        <f t="shared" si="4"/>
        <v>47299</v>
      </c>
      <c r="AY4" s="524">
        <f t="shared" si="4"/>
        <v>47330</v>
      </c>
      <c r="AZ4" s="524">
        <f t="shared" si="4"/>
        <v>47361</v>
      </c>
      <c r="BA4" s="524">
        <f t="shared" si="4"/>
        <v>47391</v>
      </c>
      <c r="BB4" s="524">
        <f t="shared" si="4"/>
        <v>47422</v>
      </c>
      <c r="BC4" s="524">
        <f t="shared" si="4"/>
        <v>47452</v>
      </c>
      <c r="BD4" s="524">
        <f t="shared" si="4"/>
        <v>47483</v>
      </c>
      <c r="BE4" s="524">
        <f t="shared" si="4"/>
        <v>47514</v>
      </c>
      <c r="BF4" s="524">
        <f t="shared" si="4"/>
        <v>47542</v>
      </c>
      <c r="BG4" s="524">
        <f t="shared" si="4"/>
        <v>47573</v>
      </c>
      <c r="BH4" s="524">
        <f t="shared" si="4"/>
        <v>47603</v>
      </c>
      <c r="BI4" s="524">
        <f t="shared" si="4"/>
        <v>47634</v>
      </c>
      <c r="BJ4" s="524">
        <f t="shared" si="4"/>
        <v>47664</v>
      </c>
      <c r="BK4" s="524">
        <f t="shared" si="4"/>
        <v>47695</v>
      </c>
      <c r="BL4" s="524">
        <f t="shared" si="4"/>
        <v>47726</v>
      </c>
      <c r="BM4" s="524">
        <f t="shared" si="4"/>
        <v>47756</v>
      </c>
      <c r="BN4" s="524">
        <f t="shared" si="4"/>
        <v>47787</v>
      </c>
      <c r="BO4" s="524">
        <f t="shared" si="4"/>
        <v>47817</v>
      </c>
      <c r="BP4" s="524">
        <f t="shared" si="4"/>
        <v>47848</v>
      </c>
      <c r="BQ4" s="524">
        <f t="shared" si="4"/>
        <v>47879</v>
      </c>
      <c r="BR4" s="524">
        <f t="shared" si="4"/>
        <v>47907</v>
      </c>
      <c r="BS4" s="524">
        <f t="shared" si="4"/>
        <v>47938</v>
      </c>
      <c r="BT4" s="524">
        <f t="shared" si="4"/>
        <v>47968</v>
      </c>
      <c r="BU4" s="524">
        <f t="shared" si="4"/>
        <v>47999</v>
      </c>
      <c r="BV4" s="524">
        <f t="shared" si="4"/>
        <v>48029</v>
      </c>
      <c r="BW4" s="524">
        <f t="shared" si="4"/>
        <v>48060</v>
      </c>
      <c r="BX4" s="524">
        <f t="shared" si="4"/>
        <v>48091</v>
      </c>
      <c r="BY4" s="524">
        <f t="shared" si="4"/>
        <v>48121</v>
      </c>
      <c r="CB4" s="41"/>
    </row>
    <row r="5" spans="1:80" ht="5.0999999999999996" customHeight="1" x14ac:dyDescent="0.3">
      <c r="A5" s="3"/>
      <c r="E5" s="2"/>
      <c r="F5" s="2"/>
      <c r="G5" s="2"/>
      <c r="H5" s="41"/>
      <c r="Q5" s="41"/>
      <c r="R5" s="2"/>
      <c r="S5" s="2"/>
      <c r="T5" s="2"/>
      <c r="U5" s="2"/>
      <c r="V5" s="2"/>
      <c r="W5" s="2"/>
      <c r="X5" s="2"/>
      <c r="Y5" s="2"/>
      <c r="Z5" s="2"/>
      <c r="AA5" s="2"/>
      <c r="AB5" s="2"/>
      <c r="AC5" s="2"/>
      <c r="AD5" s="2"/>
      <c r="AE5" s="2"/>
      <c r="AF5" s="2"/>
      <c r="AG5" s="2"/>
      <c r="AH5" s="2"/>
      <c r="AI5" s="2"/>
      <c r="AJ5" s="2"/>
      <c r="AK5" s="2"/>
      <c r="AL5" s="2"/>
      <c r="AM5" s="2"/>
      <c r="AN5" s="525"/>
      <c r="AO5" s="525"/>
      <c r="AP5" s="525"/>
      <c r="AQ5" s="525"/>
      <c r="AR5" s="525"/>
      <c r="AS5" s="525"/>
      <c r="AT5" s="525"/>
      <c r="AU5" s="525"/>
      <c r="AV5" s="525"/>
      <c r="AW5" s="525"/>
      <c r="AX5" s="525"/>
      <c r="AY5" s="525"/>
      <c r="AZ5" s="525"/>
      <c r="BA5" s="525"/>
      <c r="BB5" s="525"/>
      <c r="BC5" s="525"/>
      <c r="BD5" s="525"/>
      <c r="BE5" s="525"/>
      <c r="BF5" s="525"/>
      <c r="BG5" s="525"/>
      <c r="BH5" s="525"/>
      <c r="BI5" s="525"/>
      <c r="BJ5" s="525"/>
      <c r="BK5" s="525"/>
      <c r="BL5" s="525"/>
      <c r="BM5" s="525"/>
      <c r="BN5" s="525"/>
      <c r="BO5" s="525"/>
      <c r="BP5" s="525"/>
      <c r="BQ5" s="525"/>
      <c r="BR5" s="525"/>
      <c r="BS5" s="525"/>
      <c r="BT5" s="525"/>
      <c r="BU5" s="525"/>
      <c r="BV5" s="525"/>
      <c r="BW5" s="525"/>
      <c r="BX5" s="525"/>
      <c r="BY5" s="525"/>
      <c r="CB5" s="41"/>
    </row>
    <row r="6" spans="1:80" ht="12.75" customHeight="1" x14ac:dyDescent="0.3">
      <c r="A6" s="3"/>
      <c r="C6" s="27"/>
      <c r="E6" s="2"/>
      <c r="F6" s="2"/>
      <c r="G6" s="2"/>
      <c r="H6" s="41"/>
      <c r="Q6" s="41"/>
      <c r="R6" s="2"/>
      <c r="S6" s="2"/>
      <c r="T6" s="2"/>
      <c r="U6" s="2"/>
      <c r="V6" s="2"/>
      <c r="W6" s="2"/>
      <c r="X6" s="2"/>
      <c r="Y6" s="2"/>
      <c r="Z6" s="2"/>
      <c r="AA6" s="2"/>
      <c r="AB6" s="2"/>
      <c r="AC6" s="2"/>
      <c r="AD6" s="2"/>
      <c r="AE6" s="2"/>
      <c r="AF6" s="2"/>
      <c r="AG6" s="2"/>
      <c r="AH6" s="2"/>
      <c r="AI6" s="2"/>
      <c r="AJ6" s="2"/>
      <c r="AK6" s="2"/>
      <c r="AL6" s="2"/>
      <c r="AM6" s="2"/>
      <c r="AN6" s="525"/>
      <c r="AO6" s="525"/>
      <c r="AP6" s="525"/>
      <c r="AQ6" s="525"/>
      <c r="AR6" s="525"/>
      <c r="AS6" s="525"/>
      <c r="AT6" s="525"/>
      <c r="AU6" s="525"/>
      <c r="AV6" s="525"/>
      <c r="AW6" s="525"/>
      <c r="AX6" s="525"/>
      <c r="AY6" s="525"/>
      <c r="AZ6" s="525"/>
      <c r="BA6" s="525"/>
      <c r="BB6" s="525"/>
      <c r="BC6" s="525"/>
      <c r="BD6" s="525"/>
      <c r="BE6" s="525"/>
      <c r="BF6" s="525"/>
      <c r="BG6" s="525"/>
      <c r="BH6" s="525"/>
      <c r="BI6" s="525"/>
      <c r="BJ6" s="525"/>
      <c r="BK6" s="525"/>
      <c r="BL6" s="525"/>
      <c r="BM6" s="525"/>
      <c r="BN6" s="525"/>
      <c r="BO6" s="525"/>
      <c r="BP6" s="525"/>
      <c r="BQ6" s="525"/>
      <c r="BR6" s="525"/>
      <c r="BS6" s="525"/>
      <c r="BT6" s="525"/>
      <c r="BU6" s="525"/>
      <c r="BV6" s="525"/>
      <c r="BW6" s="525"/>
      <c r="BX6" s="525"/>
      <c r="BY6" s="525"/>
      <c r="CB6" s="41"/>
    </row>
    <row r="7" spans="1:80" ht="12.75" customHeight="1" x14ac:dyDescent="0.3">
      <c r="C7" s="48" t="s">
        <v>37</v>
      </c>
      <c r="D7" s="88"/>
      <c r="E7" s="49" t="s">
        <v>120</v>
      </c>
      <c r="F7" s="49"/>
      <c r="G7" s="49"/>
      <c r="H7" s="49"/>
      <c r="I7" s="49"/>
      <c r="J7" s="49"/>
      <c r="K7" s="49"/>
      <c r="L7" s="49"/>
      <c r="M7" s="49"/>
      <c r="N7" s="49"/>
      <c r="O7" s="49"/>
      <c r="P7" s="48"/>
      <c r="Q7" s="49"/>
      <c r="R7" s="49"/>
      <c r="S7" s="49"/>
      <c r="T7" s="49"/>
      <c r="U7" s="49"/>
      <c r="V7" s="49"/>
      <c r="W7" s="49"/>
      <c r="X7" s="49"/>
      <c r="Y7" s="49"/>
      <c r="Z7" s="49"/>
      <c r="AA7" s="49"/>
      <c r="AB7" s="49"/>
      <c r="AC7" s="49"/>
      <c r="AD7" s="49"/>
      <c r="AE7" s="49"/>
      <c r="AF7" s="49"/>
      <c r="AG7" s="49"/>
      <c r="AH7" s="49"/>
      <c r="AI7" s="49"/>
      <c r="AJ7" s="49"/>
      <c r="AK7" s="49"/>
      <c r="AL7" s="49"/>
      <c r="AM7" s="49"/>
      <c r="AN7" s="526"/>
      <c r="AO7" s="526"/>
      <c r="AP7" s="526"/>
      <c r="AQ7" s="526"/>
      <c r="AR7" s="526"/>
      <c r="AS7" s="526"/>
      <c r="AT7" s="526"/>
      <c r="AU7" s="526"/>
      <c r="AV7" s="526"/>
      <c r="AW7" s="526"/>
      <c r="AX7" s="526"/>
      <c r="AY7" s="526"/>
      <c r="AZ7" s="526"/>
      <c r="BA7" s="526"/>
      <c r="BB7" s="526"/>
      <c r="BC7" s="526"/>
      <c r="BD7" s="526"/>
      <c r="BE7" s="526"/>
      <c r="BF7" s="526"/>
      <c r="BG7" s="526"/>
      <c r="BH7" s="526"/>
      <c r="BI7" s="526"/>
      <c r="BJ7" s="526"/>
      <c r="BK7" s="526"/>
      <c r="BL7" s="526"/>
      <c r="BM7" s="526"/>
      <c r="BN7" s="526"/>
      <c r="BO7" s="526"/>
      <c r="BP7" s="526"/>
      <c r="BQ7" s="526"/>
      <c r="BR7" s="526"/>
      <c r="BS7" s="526"/>
      <c r="BT7" s="526"/>
      <c r="BU7" s="526"/>
      <c r="BV7" s="526"/>
      <c r="BW7" s="526"/>
      <c r="BX7" s="526"/>
      <c r="BY7" s="526"/>
    </row>
    <row r="8" spans="1:80" x14ac:dyDescent="0.3">
      <c r="C8" s="2"/>
      <c r="D8" s="2"/>
      <c r="E8" s="2"/>
      <c r="F8" s="2"/>
      <c r="G8" s="2"/>
      <c r="H8" s="2"/>
      <c r="I8" s="2"/>
      <c r="J8" s="37"/>
      <c r="K8" s="37"/>
      <c r="L8" s="37"/>
      <c r="M8" s="37"/>
      <c r="N8" s="37"/>
      <c r="O8" s="37"/>
      <c r="P8" s="35"/>
      <c r="R8" s="37"/>
      <c r="S8" s="2"/>
      <c r="T8" s="2"/>
      <c r="U8" s="2"/>
      <c r="V8" s="2"/>
      <c r="W8" s="2"/>
      <c r="X8" s="2"/>
      <c r="Y8" s="2"/>
      <c r="Z8" s="2"/>
      <c r="AA8" s="2"/>
      <c r="AB8" s="2"/>
      <c r="AC8" s="2"/>
      <c r="AD8" s="2"/>
      <c r="AE8" s="2"/>
      <c r="AF8" s="2"/>
      <c r="AG8" s="2"/>
      <c r="AH8" s="2"/>
      <c r="AI8" s="2"/>
      <c r="AJ8" s="2"/>
      <c r="AK8" s="2"/>
      <c r="AL8" s="2"/>
      <c r="AM8" s="2"/>
      <c r="AN8" s="525"/>
      <c r="AO8" s="525"/>
      <c r="AP8" s="525"/>
      <c r="AQ8" s="525"/>
      <c r="AR8" s="525"/>
      <c r="AS8" s="525"/>
      <c r="AT8" s="525"/>
      <c r="AU8" s="525"/>
      <c r="AV8" s="525"/>
      <c r="AW8" s="525"/>
      <c r="AX8" s="525"/>
      <c r="AY8" s="525"/>
      <c r="AZ8" s="525"/>
      <c r="BA8" s="525"/>
      <c r="BB8" s="525"/>
      <c r="BC8" s="525"/>
      <c r="BD8" s="525"/>
      <c r="BE8" s="525"/>
      <c r="BF8" s="525"/>
      <c r="BG8" s="525"/>
      <c r="BH8" s="525"/>
      <c r="BI8" s="525"/>
      <c r="BJ8" s="525"/>
      <c r="BK8" s="525"/>
      <c r="BL8" s="525"/>
      <c r="BM8" s="525"/>
      <c r="BN8" s="525"/>
      <c r="BO8" s="525"/>
      <c r="BP8" s="525"/>
      <c r="BQ8" s="525"/>
      <c r="BR8" s="525"/>
      <c r="BS8" s="525"/>
      <c r="BT8" s="525"/>
      <c r="BU8" s="525"/>
      <c r="BV8" s="525"/>
      <c r="BW8" s="525"/>
      <c r="BX8" s="525"/>
      <c r="BY8" s="525"/>
    </row>
    <row r="9" spans="1:80" x14ac:dyDescent="0.3">
      <c r="C9" s="2"/>
      <c r="D9" s="2"/>
      <c r="E9" s="2" t="s">
        <v>174</v>
      </c>
      <c r="F9" s="2"/>
      <c r="G9" s="2"/>
      <c r="H9" s="2"/>
      <c r="I9" s="496">
        <f>INDEX(Portfolio_Categorisation!$E$12:$E$15,MATCH($B$2,Portfolio_Categorisation!$C$12:$C$15,0))</f>
        <v>39</v>
      </c>
      <c r="J9" s="497">
        <f>INDEX($R9:$BY9,MATCH(J$4,$R$4:$BY$4,0))</f>
        <v>39</v>
      </c>
      <c r="K9" s="497">
        <f>INDEX($R9:$BY9,MATCH(K$4,$R$4:$BY$4,0))</f>
        <v>39</v>
      </c>
      <c r="L9" s="497">
        <f>INDEX($R9:$BY9,MATCH(L$4,$R$4:$BY$4,0))</f>
        <v>39</v>
      </c>
      <c r="M9" s="497">
        <f>INDEX($R9:$BY9,MATCH(M$4,$R$4:$BY$4,0))</f>
        <v>39</v>
      </c>
      <c r="N9" s="497">
        <f>INDEX($R9:$BY9,MATCH(N$4,$R$4:$BY$4,0))</f>
        <v>39</v>
      </c>
      <c r="O9" s="37"/>
      <c r="P9" s="50"/>
      <c r="R9" s="497">
        <f>R571</f>
        <v>39</v>
      </c>
      <c r="S9" s="497">
        <f t="shared" ref="S9:AW9" si="5">S571</f>
        <v>39</v>
      </c>
      <c r="T9" s="497">
        <f t="shared" si="5"/>
        <v>39</v>
      </c>
      <c r="U9" s="497">
        <f t="shared" si="5"/>
        <v>39</v>
      </c>
      <c r="V9" s="497">
        <f t="shared" si="5"/>
        <v>39</v>
      </c>
      <c r="W9" s="497">
        <f t="shared" si="5"/>
        <v>39</v>
      </c>
      <c r="X9" s="497">
        <f t="shared" si="5"/>
        <v>39</v>
      </c>
      <c r="Y9" s="497">
        <f t="shared" si="5"/>
        <v>39</v>
      </c>
      <c r="Z9" s="497">
        <f t="shared" si="5"/>
        <v>39</v>
      </c>
      <c r="AA9" s="497">
        <f t="shared" si="5"/>
        <v>39</v>
      </c>
      <c r="AB9" s="497">
        <f t="shared" si="5"/>
        <v>39</v>
      </c>
      <c r="AC9" s="497">
        <f t="shared" si="5"/>
        <v>39</v>
      </c>
      <c r="AD9" s="497">
        <f t="shared" si="5"/>
        <v>39</v>
      </c>
      <c r="AE9" s="497">
        <f t="shared" si="5"/>
        <v>39</v>
      </c>
      <c r="AF9" s="497">
        <f t="shared" si="5"/>
        <v>39</v>
      </c>
      <c r="AG9" s="497">
        <f t="shared" si="5"/>
        <v>39</v>
      </c>
      <c r="AH9" s="497">
        <f t="shared" si="5"/>
        <v>39</v>
      </c>
      <c r="AI9" s="497">
        <f t="shared" si="5"/>
        <v>39</v>
      </c>
      <c r="AJ9" s="497">
        <f t="shared" si="5"/>
        <v>39</v>
      </c>
      <c r="AK9" s="497">
        <f t="shared" si="5"/>
        <v>39</v>
      </c>
      <c r="AL9" s="497">
        <f t="shared" si="5"/>
        <v>39</v>
      </c>
      <c r="AM9" s="497">
        <f t="shared" si="5"/>
        <v>39</v>
      </c>
      <c r="AN9" s="527">
        <f t="shared" si="5"/>
        <v>39</v>
      </c>
      <c r="AO9" s="527">
        <f t="shared" si="5"/>
        <v>39</v>
      </c>
      <c r="AP9" s="527">
        <f t="shared" si="5"/>
        <v>39</v>
      </c>
      <c r="AQ9" s="527">
        <f t="shared" si="5"/>
        <v>39</v>
      </c>
      <c r="AR9" s="527">
        <f t="shared" si="5"/>
        <v>39</v>
      </c>
      <c r="AS9" s="527">
        <f t="shared" si="5"/>
        <v>39</v>
      </c>
      <c r="AT9" s="527">
        <f t="shared" si="5"/>
        <v>39</v>
      </c>
      <c r="AU9" s="527">
        <f t="shared" si="5"/>
        <v>39</v>
      </c>
      <c r="AV9" s="527">
        <f t="shared" si="5"/>
        <v>39</v>
      </c>
      <c r="AW9" s="527">
        <f t="shared" si="5"/>
        <v>39</v>
      </c>
      <c r="AX9" s="527">
        <f t="shared" ref="AX9:BY9" si="6">AX571</f>
        <v>39</v>
      </c>
      <c r="AY9" s="527">
        <f t="shared" si="6"/>
        <v>39</v>
      </c>
      <c r="AZ9" s="527">
        <f t="shared" si="6"/>
        <v>39</v>
      </c>
      <c r="BA9" s="527">
        <f t="shared" si="6"/>
        <v>39</v>
      </c>
      <c r="BB9" s="527">
        <f t="shared" si="6"/>
        <v>39</v>
      </c>
      <c r="BC9" s="527">
        <f t="shared" si="6"/>
        <v>39</v>
      </c>
      <c r="BD9" s="527">
        <f t="shared" si="6"/>
        <v>39</v>
      </c>
      <c r="BE9" s="527">
        <f t="shared" si="6"/>
        <v>39</v>
      </c>
      <c r="BF9" s="527">
        <f t="shared" si="6"/>
        <v>39</v>
      </c>
      <c r="BG9" s="527">
        <f t="shared" si="6"/>
        <v>39</v>
      </c>
      <c r="BH9" s="527">
        <f t="shared" si="6"/>
        <v>39</v>
      </c>
      <c r="BI9" s="527">
        <f t="shared" si="6"/>
        <v>39</v>
      </c>
      <c r="BJ9" s="527">
        <f t="shared" si="6"/>
        <v>39</v>
      </c>
      <c r="BK9" s="527">
        <f t="shared" si="6"/>
        <v>39</v>
      </c>
      <c r="BL9" s="527">
        <f t="shared" si="6"/>
        <v>39</v>
      </c>
      <c r="BM9" s="527">
        <f t="shared" si="6"/>
        <v>39</v>
      </c>
      <c r="BN9" s="527">
        <f t="shared" si="6"/>
        <v>39</v>
      </c>
      <c r="BO9" s="527">
        <f t="shared" si="6"/>
        <v>39</v>
      </c>
      <c r="BP9" s="527">
        <f t="shared" si="6"/>
        <v>39</v>
      </c>
      <c r="BQ9" s="527">
        <f t="shared" si="6"/>
        <v>39</v>
      </c>
      <c r="BR9" s="527">
        <f t="shared" si="6"/>
        <v>39</v>
      </c>
      <c r="BS9" s="527">
        <f t="shared" si="6"/>
        <v>39</v>
      </c>
      <c r="BT9" s="527">
        <f t="shared" si="6"/>
        <v>39</v>
      </c>
      <c r="BU9" s="527">
        <f t="shared" si="6"/>
        <v>39</v>
      </c>
      <c r="BV9" s="527">
        <f t="shared" si="6"/>
        <v>39</v>
      </c>
      <c r="BW9" s="527">
        <f t="shared" si="6"/>
        <v>39</v>
      </c>
      <c r="BX9" s="527">
        <f t="shared" si="6"/>
        <v>39</v>
      </c>
      <c r="BY9" s="527">
        <f t="shared" si="6"/>
        <v>39</v>
      </c>
    </row>
    <row r="10" spans="1:80" x14ac:dyDescent="0.3">
      <c r="C10" s="2"/>
      <c r="D10" s="2"/>
      <c r="E10" s="2"/>
      <c r="F10" s="2"/>
      <c r="G10" s="2"/>
      <c r="H10" s="2"/>
      <c r="I10" s="37"/>
      <c r="J10" s="2"/>
      <c r="K10" s="2"/>
      <c r="L10" s="2"/>
      <c r="M10" s="2"/>
      <c r="N10" s="2"/>
      <c r="O10" s="2"/>
      <c r="P10" s="10"/>
      <c r="R10" s="2"/>
      <c r="S10" s="2"/>
      <c r="T10" s="2"/>
      <c r="U10" s="2"/>
      <c r="V10" s="2"/>
      <c r="W10" s="2"/>
      <c r="X10" s="2"/>
      <c r="Y10" s="2"/>
      <c r="Z10" s="2"/>
      <c r="AA10" s="2"/>
      <c r="AB10" s="2"/>
      <c r="AC10" s="2"/>
      <c r="AD10" s="2"/>
      <c r="AE10" s="2"/>
      <c r="AF10" s="2"/>
      <c r="AG10" s="2"/>
      <c r="AH10" s="2"/>
      <c r="AI10" s="2"/>
      <c r="AJ10" s="2"/>
      <c r="AK10" s="2"/>
      <c r="AL10" s="2"/>
      <c r="AM10" s="2"/>
      <c r="AN10" s="525"/>
      <c r="AO10" s="525"/>
      <c r="AP10" s="525"/>
      <c r="AQ10" s="525"/>
      <c r="AR10" s="525"/>
      <c r="AS10" s="525"/>
      <c r="AT10" s="525"/>
      <c r="AU10" s="525"/>
      <c r="AV10" s="525"/>
      <c r="AW10" s="525"/>
      <c r="AX10" s="525"/>
      <c r="AY10" s="525"/>
      <c r="AZ10" s="525"/>
      <c r="BA10" s="525"/>
      <c r="BB10" s="525"/>
      <c r="BC10" s="525"/>
      <c r="BD10" s="525"/>
      <c r="BE10" s="525"/>
      <c r="BF10" s="525"/>
      <c r="BG10" s="525"/>
      <c r="BH10" s="525"/>
      <c r="BI10" s="525"/>
      <c r="BJ10" s="525"/>
      <c r="BK10" s="525"/>
      <c r="BL10" s="525"/>
      <c r="BM10" s="525"/>
      <c r="BN10" s="525"/>
      <c r="BO10" s="525"/>
      <c r="BP10" s="525"/>
      <c r="BQ10" s="525"/>
      <c r="BR10" s="525"/>
      <c r="BS10" s="525"/>
      <c r="BT10" s="525"/>
      <c r="BU10" s="525"/>
      <c r="BV10" s="525"/>
      <c r="BW10" s="525"/>
      <c r="BX10" s="525"/>
      <c r="BY10" s="525"/>
    </row>
    <row r="11" spans="1:80" x14ac:dyDescent="0.3">
      <c r="C11" s="2"/>
      <c r="D11" s="2"/>
      <c r="E11" s="2" t="s">
        <v>174</v>
      </c>
      <c r="F11" s="2"/>
      <c r="G11" s="2"/>
      <c r="H11" s="2"/>
      <c r="I11" s="497">
        <f t="shared" ref="I11:N11" si="7">I9</f>
        <v>39</v>
      </c>
      <c r="J11" s="497">
        <f t="shared" si="7"/>
        <v>39</v>
      </c>
      <c r="K11" s="497">
        <f t="shared" si="7"/>
        <v>39</v>
      </c>
      <c r="L11" s="497">
        <f t="shared" si="7"/>
        <v>39</v>
      </c>
      <c r="M11" s="497">
        <f t="shared" si="7"/>
        <v>39</v>
      </c>
      <c r="N11" s="497">
        <f t="shared" si="7"/>
        <v>39</v>
      </c>
      <c r="O11" s="2"/>
      <c r="P11" s="10"/>
      <c r="R11" s="497">
        <f t="shared" ref="R11:AW11" si="8">R9</f>
        <v>39</v>
      </c>
      <c r="S11" s="497">
        <f t="shared" si="8"/>
        <v>39</v>
      </c>
      <c r="T11" s="497">
        <f t="shared" si="8"/>
        <v>39</v>
      </c>
      <c r="U11" s="497">
        <f t="shared" si="8"/>
        <v>39</v>
      </c>
      <c r="V11" s="497">
        <f t="shared" si="8"/>
        <v>39</v>
      </c>
      <c r="W11" s="497">
        <f t="shared" si="8"/>
        <v>39</v>
      </c>
      <c r="X11" s="497">
        <f t="shared" si="8"/>
        <v>39</v>
      </c>
      <c r="Y11" s="497">
        <f t="shared" si="8"/>
        <v>39</v>
      </c>
      <c r="Z11" s="497">
        <f t="shared" si="8"/>
        <v>39</v>
      </c>
      <c r="AA11" s="497">
        <f t="shared" si="8"/>
        <v>39</v>
      </c>
      <c r="AB11" s="497">
        <f t="shared" si="8"/>
        <v>39</v>
      </c>
      <c r="AC11" s="497">
        <f t="shared" si="8"/>
        <v>39</v>
      </c>
      <c r="AD11" s="497">
        <f t="shared" si="8"/>
        <v>39</v>
      </c>
      <c r="AE11" s="497">
        <f t="shared" si="8"/>
        <v>39</v>
      </c>
      <c r="AF11" s="497">
        <f t="shared" si="8"/>
        <v>39</v>
      </c>
      <c r="AG11" s="497">
        <f t="shared" si="8"/>
        <v>39</v>
      </c>
      <c r="AH11" s="497">
        <f t="shared" si="8"/>
        <v>39</v>
      </c>
      <c r="AI11" s="497">
        <f t="shared" si="8"/>
        <v>39</v>
      </c>
      <c r="AJ11" s="497">
        <f t="shared" si="8"/>
        <v>39</v>
      </c>
      <c r="AK11" s="497">
        <f t="shared" si="8"/>
        <v>39</v>
      </c>
      <c r="AL11" s="497">
        <f t="shared" si="8"/>
        <v>39</v>
      </c>
      <c r="AM11" s="497">
        <f t="shared" si="8"/>
        <v>39</v>
      </c>
      <c r="AN11" s="527">
        <f t="shared" si="8"/>
        <v>39</v>
      </c>
      <c r="AO11" s="527">
        <f t="shared" si="8"/>
        <v>39</v>
      </c>
      <c r="AP11" s="527">
        <f t="shared" si="8"/>
        <v>39</v>
      </c>
      <c r="AQ11" s="527">
        <f t="shared" si="8"/>
        <v>39</v>
      </c>
      <c r="AR11" s="527">
        <f t="shared" si="8"/>
        <v>39</v>
      </c>
      <c r="AS11" s="527">
        <f t="shared" si="8"/>
        <v>39</v>
      </c>
      <c r="AT11" s="527">
        <f t="shared" si="8"/>
        <v>39</v>
      </c>
      <c r="AU11" s="527">
        <f t="shared" si="8"/>
        <v>39</v>
      </c>
      <c r="AV11" s="527">
        <f t="shared" si="8"/>
        <v>39</v>
      </c>
      <c r="AW11" s="527">
        <f t="shared" si="8"/>
        <v>39</v>
      </c>
      <c r="AX11" s="527">
        <f t="shared" ref="AX11:BY11" si="9">AX9</f>
        <v>39</v>
      </c>
      <c r="AY11" s="527">
        <f t="shared" si="9"/>
        <v>39</v>
      </c>
      <c r="AZ11" s="527">
        <f t="shared" si="9"/>
        <v>39</v>
      </c>
      <c r="BA11" s="527">
        <f t="shared" si="9"/>
        <v>39</v>
      </c>
      <c r="BB11" s="527">
        <f t="shared" si="9"/>
        <v>39</v>
      </c>
      <c r="BC11" s="527">
        <f t="shared" si="9"/>
        <v>39</v>
      </c>
      <c r="BD11" s="527">
        <f t="shared" si="9"/>
        <v>39</v>
      </c>
      <c r="BE11" s="527">
        <f t="shared" si="9"/>
        <v>39</v>
      </c>
      <c r="BF11" s="527">
        <f t="shared" si="9"/>
        <v>39</v>
      </c>
      <c r="BG11" s="527">
        <f t="shared" si="9"/>
        <v>39</v>
      </c>
      <c r="BH11" s="527">
        <f t="shared" si="9"/>
        <v>39</v>
      </c>
      <c r="BI11" s="527">
        <f t="shared" si="9"/>
        <v>39</v>
      </c>
      <c r="BJ11" s="527">
        <f t="shared" si="9"/>
        <v>39</v>
      </c>
      <c r="BK11" s="527">
        <f t="shared" si="9"/>
        <v>39</v>
      </c>
      <c r="BL11" s="527">
        <f t="shared" si="9"/>
        <v>39</v>
      </c>
      <c r="BM11" s="527">
        <f t="shared" si="9"/>
        <v>39</v>
      </c>
      <c r="BN11" s="527">
        <f t="shared" si="9"/>
        <v>39</v>
      </c>
      <c r="BO11" s="527">
        <f t="shared" si="9"/>
        <v>39</v>
      </c>
      <c r="BP11" s="527">
        <f t="shared" si="9"/>
        <v>39</v>
      </c>
      <c r="BQ11" s="527">
        <f t="shared" si="9"/>
        <v>39</v>
      </c>
      <c r="BR11" s="527">
        <f t="shared" si="9"/>
        <v>39</v>
      </c>
      <c r="BS11" s="527">
        <f t="shared" si="9"/>
        <v>39</v>
      </c>
      <c r="BT11" s="527">
        <f t="shared" si="9"/>
        <v>39</v>
      </c>
      <c r="BU11" s="527">
        <f t="shared" si="9"/>
        <v>39</v>
      </c>
      <c r="BV11" s="527">
        <f t="shared" si="9"/>
        <v>39</v>
      </c>
      <c r="BW11" s="527">
        <f t="shared" si="9"/>
        <v>39</v>
      </c>
      <c r="BX11" s="527">
        <f t="shared" si="9"/>
        <v>39</v>
      </c>
      <c r="BY11" s="527">
        <f t="shared" si="9"/>
        <v>39</v>
      </c>
    </row>
    <row r="12" spans="1:80" x14ac:dyDescent="0.3">
      <c r="C12" s="2"/>
      <c r="D12" s="2"/>
      <c r="E12" s="2" t="s">
        <v>131</v>
      </c>
      <c r="F12" s="2"/>
      <c r="G12" s="2"/>
      <c r="H12" s="2"/>
      <c r="I12" s="497">
        <f t="shared" ref="I12:N12" si="10">I11</f>
        <v>39</v>
      </c>
      <c r="J12" s="497">
        <f t="shared" si="10"/>
        <v>39</v>
      </c>
      <c r="K12" s="497">
        <f t="shared" si="10"/>
        <v>39</v>
      </c>
      <c r="L12" s="497">
        <f t="shared" si="10"/>
        <v>39</v>
      </c>
      <c r="M12" s="497">
        <f t="shared" si="10"/>
        <v>39</v>
      </c>
      <c r="N12" s="497">
        <f t="shared" si="10"/>
        <v>39</v>
      </c>
      <c r="O12" s="2"/>
      <c r="P12" s="10"/>
      <c r="R12" s="497">
        <f t="shared" ref="R12:AW12" si="11">R11</f>
        <v>39</v>
      </c>
      <c r="S12" s="497">
        <f t="shared" si="11"/>
        <v>39</v>
      </c>
      <c r="T12" s="497">
        <f t="shared" si="11"/>
        <v>39</v>
      </c>
      <c r="U12" s="497">
        <f t="shared" si="11"/>
        <v>39</v>
      </c>
      <c r="V12" s="497">
        <f t="shared" si="11"/>
        <v>39</v>
      </c>
      <c r="W12" s="497">
        <f t="shared" si="11"/>
        <v>39</v>
      </c>
      <c r="X12" s="497">
        <f t="shared" si="11"/>
        <v>39</v>
      </c>
      <c r="Y12" s="497">
        <f t="shared" si="11"/>
        <v>39</v>
      </c>
      <c r="Z12" s="497">
        <f t="shared" si="11"/>
        <v>39</v>
      </c>
      <c r="AA12" s="497">
        <f t="shared" si="11"/>
        <v>39</v>
      </c>
      <c r="AB12" s="497">
        <f t="shared" si="11"/>
        <v>39</v>
      </c>
      <c r="AC12" s="497">
        <f t="shared" si="11"/>
        <v>39</v>
      </c>
      <c r="AD12" s="497">
        <f t="shared" si="11"/>
        <v>39</v>
      </c>
      <c r="AE12" s="497">
        <f t="shared" si="11"/>
        <v>39</v>
      </c>
      <c r="AF12" s="497">
        <f t="shared" si="11"/>
        <v>39</v>
      </c>
      <c r="AG12" s="497">
        <f t="shared" si="11"/>
        <v>39</v>
      </c>
      <c r="AH12" s="497">
        <f t="shared" si="11"/>
        <v>39</v>
      </c>
      <c r="AI12" s="497">
        <f t="shared" si="11"/>
        <v>39</v>
      </c>
      <c r="AJ12" s="497">
        <f t="shared" si="11"/>
        <v>39</v>
      </c>
      <c r="AK12" s="497">
        <f t="shared" si="11"/>
        <v>39</v>
      </c>
      <c r="AL12" s="497">
        <f t="shared" si="11"/>
        <v>39</v>
      </c>
      <c r="AM12" s="497">
        <f t="shared" si="11"/>
        <v>39</v>
      </c>
      <c r="AN12" s="527">
        <f t="shared" si="11"/>
        <v>39</v>
      </c>
      <c r="AO12" s="527">
        <f t="shared" si="11"/>
        <v>39</v>
      </c>
      <c r="AP12" s="527">
        <f t="shared" si="11"/>
        <v>39</v>
      </c>
      <c r="AQ12" s="527">
        <f t="shared" si="11"/>
        <v>39</v>
      </c>
      <c r="AR12" s="527">
        <f t="shared" si="11"/>
        <v>39</v>
      </c>
      <c r="AS12" s="527">
        <f t="shared" si="11"/>
        <v>39</v>
      </c>
      <c r="AT12" s="527">
        <f t="shared" si="11"/>
        <v>39</v>
      </c>
      <c r="AU12" s="527">
        <f t="shared" si="11"/>
        <v>39</v>
      </c>
      <c r="AV12" s="527">
        <f t="shared" si="11"/>
        <v>39</v>
      </c>
      <c r="AW12" s="527">
        <f t="shared" si="11"/>
        <v>39</v>
      </c>
      <c r="AX12" s="527">
        <f t="shared" ref="AX12:BY12" si="12">AX11</f>
        <v>39</v>
      </c>
      <c r="AY12" s="527">
        <f t="shared" si="12"/>
        <v>39</v>
      </c>
      <c r="AZ12" s="527">
        <f t="shared" si="12"/>
        <v>39</v>
      </c>
      <c r="BA12" s="527">
        <f t="shared" si="12"/>
        <v>39</v>
      </c>
      <c r="BB12" s="527">
        <f t="shared" si="12"/>
        <v>39</v>
      </c>
      <c r="BC12" s="527">
        <f t="shared" si="12"/>
        <v>39</v>
      </c>
      <c r="BD12" s="527">
        <f t="shared" si="12"/>
        <v>39</v>
      </c>
      <c r="BE12" s="527">
        <f t="shared" si="12"/>
        <v>39</v>
      </c>
      <c r="BF12" s="527">
        <f t="shared" si="12"/>
        <v>39</v>
      </c>
      <c r="BG12" s="527">
        <f t="shared" si="12"/>
        <v>39</v>
      </c>
      <c r="BH12" s="527">
        <f t="shared" si="12"/>
        <v>39</v>
      </c>
      <c r="BI12" s="527">
        <f t="shared" si="12"/>
        <v>39</v>
      </c>
      <c r="BJ12" s="527">
        <f t="shared" si="12"/>
        <v>39</v>
      </c>
      <c r="BK12" s="527">
        <f t="shared" si="12"/>
        <v>39</v>
      </c>
      <c r="BL12" s="527">
        <f t="shared" si="12"/>
        <v>39</v>
      </c>
      <c r="BM12" s="527">
        <f t="shared" si="12"/>
        <v>39</v>
      </c>
      <c r="BN12" s="527">
        <f t="shared" si="12"/>
        <v>39</v>
      </c>
      <c r="BO12" s="527">
        <f t="shared" si="12"/>
        <v>39</v>
      </c>
      <c r="BP12" s="527">
        <f t="shared" si="12"/>
        <v>39</v>
      </c>
      <c r="BQ12" s="527">
        <f t="shared" si="12"/>
        <v>39</v>
      </c>
      <c r="BR12" s="527">
        <f t="shared" si="12"/>
        <v>39</v>
      </c>
      <c r="BS12" s="527">
        <f t="shared" si="12"/>
        <v>39</v>
      </c>
      <c r="BT12" s="527">
        <f t="shared" si="12"/>
        <v>39</v>
      </c>
      <c r="BU12" s="527">
        <f t="shared" si="12"/>
        <v>39</v>
      </c>
      <c r="BV12" s="527">
        <f t="shared" si="12"/>
        <v>39</v>
      </c>
      <c r="BW12" s="527">
        <f t="shared" si="12"/>
        <v>39</v>
      </c>
      <c r="BX12" s="527">
        <f t="shared" si="12"/>
        <v>39</v>
      </c>
      <c r="BY12" s="527">
        <f t="shared" si="12"/>
        <v>39</v>
      </c>
    </row>
    <row r="13" spans="1:80" x14ac:dyDescent="0.3">
      <c r="C13" s="2"/>
      <c r="D13" s="2"/>
      <c r="E13" s="2" t="s">
        <v>132</v>
      </c>
      <c r="F13" s="2"/>
      <c r="G13" s="2"/>
      <c r="H13" s="2"/>
      <c r="I13" s="52">
        <v>0</v>
      </c>
      <c r="J13" s="52">
        <v>0</v>
      </c>
      <c r="K13" s="52">
        <v>0</v>
      </c>
      <c r="L13" s="52">
        <v>0</v>
      </c>
      <c r="M13" s="52">
        <v>0</v>
      </c>
      <c r="N13" s="52">
        <v>0</v>
      </c>
      <c r="O13" s="2"/>
      <c r="P13" s="10"/>
      <c r="R13" s="52">
        <v>0</v>
      </c>
      <c r="S13" s="52">
        <v>0</v>
      </c>
      <c r="T13" s="52">
        <v>0</v>
      </c>
      <c r="U13" s="52">
        <v>0</v>
      </c>
      <c r="V13" s="52">
        <v>0</v>
      </c>
      <c r="W13" s="52">
        <v>0</v>
      </c>
      <c r="X13" s="52">
        <v>0</v>
      </c>
      <c r="Y13" s="52">
        <v>0</v>
      </c>
      <c r="Z13" s="52">
        <v>0</v>
      </c>
      <c r="AA13" s="52">
        <v>0</v>
      </c>
      <c r="AB13" s="52">
        <v>0</v>
      </c>
      <c r="AC13" s="52">
        <v>0</v>
      </c>
      <c r="AD13" s="52">
        <v>0</v>
      </c>
      <c r="AE13" s="52">
        <v>0</v>
      </c>
      <c r="AF13" s="52">
        <v>0</v>
      </c>
      <c r="AG13" s="52">
        <v>0</v>
      </c>
      <c r="AH13" s="52">
        <v>0</v>
      </c>
      <c r="AI13" s="52">
        <v>0</v>
      </c>
      <c r="AJ13" s="52">
        <v>0</v>
      </c>
      <c r="AK13" s="52">
        <v>0</v>
      </c>
      <c r="AL13" s="52">
        <v>0</v>
      </c>
      <c r="AM13" s="52">
        <v>0</v>
      </c>
      <c r="AN13" s="528">
        <v>0</v>
      </c>
      <c r="AO13" s="528">
        <v>0</v>
      </c>
      <c r="AP13" s="528">
        <v>0</v>
      </c>
      <c r="AQ13" s="528">
        <v>0</v>
      </c>
      <c r="AR13" s="528">
        <v>0</v>
      </c>
      <c r="AS13" s="528">
        <v>0</v>
      </c>
      <c r="AT13" s="528">
        <v>0</v>
      </c>
      <c r="AU13" s="528">
        <v>0</v>
      </c>
      <c r="AV13" s="528">
        <v>0</v>
      </c>
      <c r="AW13" s="528">
        <v>0</v>
      </c>
      <c r="AX13" s="528">
        <v>0</v>
      </c>
      <c r="AY13" s="528">
        <v>0</v>
      </c>
      <c r="AZ13" s="528">
        <v>0</v>
      </c>
      <c r="BA13" s="528">
        <v>0</v>
      </c>
      <c r="BB13" s="528">
        <v>0</v>
      </c>
      <c r="BC13" s="528">
        <v>0</v>
      </c>
      <c r="BD13" s="528">
        <v>0</v>
      </c>
      <c r="BE13" s="528">
        <v>0</v>
      </c>
      <c r="BF13" s="528">
        <v>0</v>
      </c>
      <c r="BG13" s="528">
        <v>0</v>
      </c>
      <c r="BH13" s="528">
        <v>0</v>
      </c>
      <c r="BI13" s="528">
        <v>0</v>
      </c>
      <c r="BJ13" s="528">
        <v>0</v>
      </c>
      <c r="BK13" s="528">
        <v>0</v>
      </c>
      <c r="BL13" s="528">
        <v>0</v>
      </c>
      <c r="BM13" s="528">
        <v>0</v>
      </c>
      <c r="BN13" s="528">
        <v>0</v>
      </c>
      <c r="BO13" s="528">
        <v>0</v>
      </c>
      <c r="BP13" s="528">
        <v>0</v>
      </c>
      <c r="BQ13" s="528">
        <v>0</v>
      </c>
      <c r="BR13" s="528">
        <v>0</v>
      </c>
      <c r="BS13" s="528">
        <v>0</v>
      </c>
      <c r="BT13" s="528">
        <v>0</v>
      </c>
      <c r="BU13" s="528">
        <v>0</v>
      </c>
      <c r="BV13" s="528">
        <v>0</v>
      </c>
      <c r="BW13" s="528">
        <v>0</v>
      </c>
      <c r="BX13" s="528">
        <v>0</v>
      </c>
      <c r="BY13" s="528">
        <v>0</v>
      </c>
    </row>
    <row r="14" spans="1:80" x14ac:dyDescent="0.3">
      <c r="C14" s="2"/>
      <c r="D14" s="2"/>
      <c r="E14" s="2"/>
      <c r="F14" s="2"/>
      <c r="G14" s="2"/>
      <c r="H14" s="2"/>
      <c r="I14" s="37"/>
      <c r="J14" s="2"/>
      <c r="K14" s="2"/>
      <c r="L14" s="2"/>
      <c r="M14" s="2"/>
      <c r="N14" s="2"/>
      <c r="O14" s="2"/>
      <c r="P14" s="10"/>
      <c r="R14" s="2"/>
      <c r="S14" s="2"/>
      <c r="T14" s="2"/>
      <c r="U14" s="2"/>
      <c r="V14" s="2"/>
      <c r="W14" s="2"/>
      <c r="X14" s="2"/>
      <c r="Y14" s="2"/>
      <c r="Z14" s="2"/>
      <c r="AA14" s="2"/>
      <c r="AB14" s="2"/>
      <c r="AC14" s="2"/>
      <c r="AD14" s="2"/>
      <c r="AE14" s="2"/>
      <c r="AF14" s="2"/>
      <c r="AG14" s="2"/>
      <c r="AH14" s="2"/>
      <c r="AI14" s="2"/>
      <c r="AJ14" s="2"/>
      <c r="AK14" s="2"/>
      <c r="AL14" s="2"/>
      <c r="AM14" s="2"/>
      <c r="AN14" s="525"/>
      <c r="AO14" s="525"/>
      <c r="AP14" s="525"/>
      <c r="AQ14" s="525"/>
      <c r="AR14" s="525"/>
      <c r="AS14" s="525"/>
      <c r="AT14" s="525"/>
      <c r="AU14" s="525"/>
      <c r="AV14" s="525"/>
      <c r="AW14" s="525"/>
      <c r="AX14" s="525"/>
      <c r="AY14" s="525"/>
      <c r="AZ14" s="525"/>
      <c r="BA14" s="525"/>
      <c r="BB14" s="525"/>
      <c r="BC14" s="525"/>
      <c r="BD14" s="525"/>
      <c r="BE14" s="525"/>
      <c r="BF14" s="525"/>
      <c r="BG14" s="525"/>
      <c r="BH14" s="525"/>
      <c r="BI14" s="525"/>
      <c r="BJ14" s="525"/>
      <c r="BK14" s="525"/>
      <c r="BL14" s="525"/>
      <c r="BM14" s="525"/>
      <c r="BN14" s="525"/>
      <c r="BO14" s="525"/>
      <c r="BP14" s="525"/>
      <c r="BQ14" s="525"/>
      <c r="BR14" s="525"/>
      <c r="BS14" s="525"/>
      <c r="BT14" s="525"/>
      <c r="BU14" s="525"/>
      <c r="BV14" s="525"/>
      <c r="BW14" s="525"/>
      <c r="BX14" s="525"/>
      <c r="BY14" s="525"/>
    </row>
    <row r="15" spans="1:80" x14ac:dyDescent="0.3">
      <c r="C15" s="2"/>
      <c r="D15" s="2"/>
      <c r="E15" s="2" t="s">
        <v>174</v>
      </c>
      <c r="F15" s="2"/>
      <c r="G15" s="2"/>
      <c r="H15" s="2"/>
      <c r="I15" s="497">
        <f t="shared" ref="I15:N15" si="13">I9</f>
        <v>39</v>
      </c>
      <c r="J15" s="497">
        <f t="shared" si="13"/>
        <v>39</v>
      </c>
      <c r="K15" s="497">
        <f t="shared" si="13"/>
        <v>39</v>
      </c>
      <c r="L15" s="497">
        <f t="shared" si="13"/>
        <v>39</v>
      </c>
      <c r="M15" s="497">
        <f t="shared" si="13"/>
        <v>39</v>
      </c>
      <c r="N15" s="497">
        <f t="shared" si="13"/>
        <v>39</v>
      </c>
      <c r="O15" s="2"/>
      <c r="P15" s="10"/>
      <c r="R15" s="497">
        <f t="shared" ref="R15:AW15" si="14">R9</f>
        <v>39</v>
      </c>
      <c r="S15" s="497">
        <f t="shared" si="14"/>
        <v>39</v>
      </c>
      <c r="T15" s="497">
        <f t="shared" si="14"/>
        <v>39</v>
      </c>
      <c r="U15" s="497">
        <f t="shared" si="14"/>
        <v>39</v>
      </c>
      <c r="V15" s="497">
        <f t="shared" si="14"/>
        <v>39</v>
      </c>
      <c r="W15" s="497">
        <f t="shared" si="14"/>
        <v>39</v>
      </c>
      <c r="X15" s="497">
        <f t="shared" si="14"/>
        <v>39</v>
      </c>
      <c r="Y15" s="497">
        <f t="shared" si="14"/>
        <v>39</v>
      </c>
      <c r="Z15" s="497">
        <f t="shared" si="14"/>
        <v>39</v>
      </c>
      <c r="AA15" s="497">
        <f t="shared" si="14"/>
        <v>39</v>
      </c>
      <c r="AB15" s="497">
        <f t="shared" si="14"/>
        <v>39</v>
      </c>
      <c r="AC15" s="497">
        <f t="shared" si="14"/>
        <v>39</v>
      </c>
      <c r="AD15" s="497">
        <f t="shared" si="14"/>
        <v>39</v>
      </c>
      <c r="AE15" s="497">
        <f t="shared" si="14"/>
        <v>39</v>
      </c>
      <c r="AF15" s="497">
        <f t="shared" si="14"/>
        <v>39</v>
      </c>
      <c r="AG15" s="497">
        <f t="shared" si="14"/>
        <v>39</v>
      </c>
      <c r="AH15" s="497">
        <f t="shared" si="14"/>
        <v>39</v>
      </c>
      <c r="AI15" s="497">
        <f t="shared" si="14"/>
        <v>39</v>
      </c>
      <c r="AJ15" s="497">
        <f t="shared" si="14"/>
        <v>39</v>
      </c>
      <c r="AK15" s="497">
        <f t="shared" si="14"/>
        <v>39</v>
      </c>
      <c r="AL15" s="497">
        <f t="shared" si="14"/>
        <v>39</v>
      </c>
      <c r="AM15" s="497">
        <f t="shared" si="14"/>
        <v>39</v>
      </c>
      <c r="AN15" s="527">
        <f t="shared" si="14"/>
        <v>39</v>
      </c>
      <c r="AO15" s="527">
        <f t="shared" si="14"/>
        <v>39</v>
      </c>
      <c r="AP15" s="527">
        <f t="shared" si="14"/>
        <v>39</v>
      </c>
      <c r="AQ15" s="527">
        <f t="shared" si="14"/>
        <v>39</v>
      </c>
      <c r="AR15" s="527">
        <f t="shared" si="14"/>
        <v>39</v>
      </c>
      <c r="AS15" s="527">
        <f t="shared" si="14"/>
        <v>39</v>
      </c>
      <c r="AT15" s="527">
        <f t="shared" si="14"/>
        <v>39</v>
      </c>
      <c r="AU15" s="527">
        <f t="shared" si="14"/>
        <v>39</v>
      </c>
      <c r="AV15" s="527">
        <f t="shared" si="14"/>
        <v>39</v>
      </c>
      <c r="AW15" s="527">
        <f t="shared" si="14"/>
        <v>39</v>
      </c>
      <c r="AX15" s="527">
        <f t="shared" ref="AX15:BY15" si="15">AX9</f>
        <v>39</v>
      </c>
      <c r="AY15" s="527">
        <f t="shared" si="15"/>
        <v>39</v>
      </c>
      <c r="AZ15" s="527">
        <f t="shared" si="15"/>
        <v>39</v>
      </c>
      <c r="BA15" s="527">
        <f t="shared" si="15"/>
        <v>39</v>
      </c>
      <c r="BB15" s="527">
        <f t="shared" si="15"/>
        <v>39</v>
      </c>
      <c r="BC15" s="527">
        <f t="shared" si="15"/>
        <v>39</v>
      </c>
      <c r="BD15" s="527">
        <f t="shared" si="15"/>
        <v>39</v>
      </c>
      <c r="BE15" s="527">
        <f t="shared" si="15"/>
        <v>39</v>
      </c>
      <c r="BF15" s="527">
        <f t="shared" si="15"/>
        <v>39</v>
      </c>
      <c r="BG15" s="527">
        <f t="shared" si="15"/>
        <v>39</v>
      </c>
      <c r="BH15" s="527">
        <f t="shared" si="15"/>
        <v>39</v>
      </c>
      <c r="BI15" s="527">
        <f t="shared" si="15"/>
        <v>39</v>
      </c>
      <c r="BJ15" s="527">
        <f t="shared" si="15"/>
        <v>39</v>
      </c>
      <c r="BK15" s="527">
        <f t="shared" si="15"/>
        <v>39</v>
      </c>
      <c r="BL15" s="527">
        <f t="shared" si="15"/>
        <v>39</v>
      </c>
      <c r="BM15" s="527">
        <f t="shared" si="15"/>
        <v>39</v>
      </c>
      <c r="BN15" s="527">
        <f t="shared" si="15"/>
        <v>39</v>
      </c>
      <c r="BO15" s="527">
        <f t="shared" si="15"/>
        <v>39</v>
      </c>
      <c r="BP15" s="527">
        <f t="shared" si="15"/>
        <v>39</v>
      </c>
      <c r="BQ15" s="527">
        <f t="shared" si="15"/>
        <v>39</v>
      </c>
      <c r="BR15" s="527">
        <f t="shared" si="15"/>
        <v>39</v>
      </c>
      <c r="BS15" s="527">
        <f t="shared" si="15"/>
        <v>39</v>
      </c>
      <c r="BT15" s="527">
        <f t="shared" si="15"/>
        <v>39</v>
      </c>
      <c r="BU15" s="527">
        <f t="shared" si="15"/>
        <v>39</v>
      </c>
      <c r="BV15" s="527">
        <f t="shared" si="15"/>
        <v>39</v>
      </c>
      <c r="BW15" s="527">
        <f t="shared" si="15"/>
        <v>39</v>
      </c>
      <c r="BX15" s="527">
        <f t="shared" si="15"/>
        <v>39</v>
      </c>
      <c r="BY15" s="527">
        <f t="shared" si="15"/>
        <v>39</v>
      </c>
    </row>
    <row r="16" spans="1:80" x14ac:dyDescent="0.3">
      <c r="C16" s="2"/>
      <c r="D16" s="2"/>
      <c r="E16" s="2" t="s">
        <v>190</v>
      </c>
      <c r="F16" s="2"/>
      <c r="G16" s="2"/>
      <c r="H16" s="2"/>
      <c r="I16" s="497">
        <f t="shared" ref="I16:N16" si="16">I15</f>
        <v>39</v>
      </c>
      <c r="J16" s="497">
        <f t="shared" si="16"/>
        <v>39</v>
      </c>
      <c r="K16" s="497">
        <f t="shared" si="16"/>
        <v>39</v>
      </c>
      <c r="L16" s="497">
        <f t="shared" si="16"/>
        <v>39</v>
      </c>
      <c r="M16" s="497">
        <f t="shared" si="16"/>
        <v>39</v>
      </c>
      <c r="N16" s="497">
        <f t="shared" si="16"/>
        <v>39</v>
      </c>
      <c r="O16" s="2"/>
      <c r="P16" s="10"/>
      <c r="R16" s="497">
        <f t="shared" ref="R16:AW16" si="17">R15</f>
        <v>39</v>
      </c>
      <c r="S16" s="497">
        <f t="shared" si="17"/>
        <v>39</v>
      </c>
      <c r="T16" s="497">
        <f t="shared" si="17"/>
        <v>39</v>
      </c>
      <c r="U16" s="497">
        <f t="shared" si="17"/>
        <v>39</v>
      </c>
      <c r="V16" s="497">
        <f t="shared" si="17"/>
        <v>39</v>
      </c>
      <c r="W16" s="497">
        <f t="shared" si="17"/>
        <v>39</v>
      </c>
      <c r="X16" s="497">
        <f t="shared" si="17"/>
        <v>39</v>
      </c>
      <c r="Y16" s="497">
        <f t="shared" si="17"/>
        <v>39</v>
      </c>
      <c r="Z16" s="497">
        <f t="shared" si="17"/>
        <v>39</v>
      </c>
      <c r="AA16" s="497">
        <f t="shared" si="17"/>
        <v>39</v>
      </c>
      <c r="AB16" s="497">
        <f t="shared" si="17"/>
        <v>39</v>
      </c>
      <c r="AC16" s="497">
        <f t="shared" si="17"/>
        <v>39</v>
      </c>
      <c r="AD16" s="497">
        <f t="shared" si="17"/>
        <v>39</v>
      </c>
      <c r="AE16" s="497">
        <f t="shared" si="17"/>
        <v>39</v>
      </c>
      <c r="AF16" s="497">
        <f t="shared" si="17"/>
        <v>39</v>
      </c>
      <c r="AG16" s="497">
        <f t="shared" si="17"/>
        <v>39</v>
      </c>
      <c r="AH16" s="497">
        <f t="shared" si="17"/>
        <v>39</v>
      </c>
      <c r="AI16" s="497">
        <f t="shared" si="17"/>
        <v>39</v>
      </c>
      <c r="AJ16" s="497">
        <f t="shared" si="17"/>
        <v>39</v>
      </c>
      <c r="AK16" s="497">
        <f t="shared" si="17"/>
        <v>39</v>
      </c>
      <c r="AL16" s="497">
        <f t="shared" si="17"/>
        <v>39</v>
      </c>
      <c r="AM16" s="497">
        <f t="shared" si="17"/>
        <v>39</v>
      </c>
      <c r="AN16" s="527">
        <f t="shared" si="17"/>
        <v>39</v>
      </c>
      <c r="AO16" s="527">
        <f t="shared" si="17"/>
        <v>39</v>
      </c>
      <c r="AP16" s="527">
        <f t="shared" si="17"/>
        <v>39</v>
      </c>
      <c r="AQ16" s="527">
        <f t="shared" si="17"/>
        <v>39</v>
      </c>
      <c r="AR16" s="527">
        <f t="shared" si="17"/>
        <v>39</v>
      </c>
      <c r="AS16" s="527">
        <f t="shared" si="17"/>
        <v>39</v>
      </c>
      <c r="AT16" s="527">
        <f t="shared" si="17"/>
        <v>39</v>
      </c>
      <c r="AU16" s="527">
        <f t="shared" si="17"/>
        <v>39</v>
      </c>
      <c r="AV16" s="527">
        <f t="shared" si="17"/>
        <v>39</v>
      </c>
      <c r="AW16" s="527">
        <f t="shared" si="17"/>
        <v>39</v>
      </c>
      <c r="AX16" s="527">
        <f t="shared" ref="AX16:BY16" si="18">AX15</f>
        <v>39</v>
      </c>
      <c r="AY16" s="527">
        <f t="shared" si="18"/>
        <v>39</v>
      </c>
      <c r="AZ16" s="527">
        <f t="shared" si="18"/>
        <v>39</v>
      </c>
      <c r="BA16" s="527">
        <f t="shared" si="18"/>
        <v>39</v>
      </c>
      <c r="BB16" s="527">
        <f t="shared" si="18"/>
        <v>39</v>
      </c>
      <c r="BC16" s="527">
        <f t="shared" si="18"/>
        <v>39</v>
      </c>
      <c r="BD16" s="527">
        <f t="shared" si="18"/>
        <v>39</v>
      </c>
      <c r="BE16" s="527">
        <f t="shared" si="18"/>
        <v>39</v>
      </c>
      <c r="BF16" s="527">
        <f t="shared" si="18"/>
        <v>39</v>
      </c>
      <c r="BG16" s="527">
        <f t="shared" si="18"/>
        <v>39</v>
      </c>
      <c r="BH16" s="527">
        <f t="shared" si="18"/>
        <v>39</v>
      </c>
      <c r="BI16" s="527">
        <f t="shared" si="18"/>
        <v>39</v>
      </c>
      <c r="BJ16" s="527">
        <f t="shared" si="18"/>
        <v>39</v>
      </c>
      <c r="BK16" s="527">
        <f t="shared" si="18"/>
        <v>39</v>
      </c>
      <c r="BL16" s="527">
        <f t="shared" si="18"/>
        <v>39</v>
      </c>
      <c r="BM16" s="527">
        <f t="shared" si="18"/>
        <v>39</v>
      </c>
      <c r="BN16" s="527">
        <f t="shared" si="18"/>
        <v>39</v>
      </c>
      <c r="BO16" s="527">
        <f t="shared" si="18"/>
        <v>39</v>
      </c>
      <c r="BP16" s="527">
        <f t="shared" si="18"/>
        <v>39</v>
      </c>
      <c r="BQ16" s="527">
        <f t="shared" si="18"/>
        <v>39</v>
      </c>
      <c r="BR16" s="527">
        <f t="shared" si="18"/>
        <v>39</v>
      </c>
      <c r="BS16" s="527">
        <f t="shared" si="18"/>
        <v>39</v>
      </c>
      <c r="BT16" s="527">
        <f t="shared" si="18"/>
        <v>39</v>
      </c>
      <c r="BU16" s="527">
        <f t="shared" si="18"/>
        <v>39</v>
      </c>
      <c r="BV16" s="527">
        <f t="shared" si="18"/>
        <v>39</v>
      </c>
      <c r="BW16" s="527">
        <f t="shared" si="18"/>
        <v>39</v>
      </c>
      <c r="BX16" s="527">
        <f t="shared" si="18"/>
        <v>39</v>
      </c>
      <c r="BY16" s="527">
        <f t="shared" si="18"/>
        <v>39</v>
      </c>
    </row>
    <row r="17" spans="3:80" x14ac:dyDescent="0.3">
      <c r="C17" s="2"/>
      <c r="D17" s="2"/>
      <c r="E17" s="2" t="s">
        <v>266</v>
      </c>
      <c r="F17" s="2"/>
      <c r="G17" s="2"/>
      <c r="H17" s="2"/>
      <c r="I17" s="52">
        <v>0</v>
      </c>
      <c r="J17" s="52">
        <v>0</v>
      </c>
      <c r="K17" s="52">
        <v>0</v>
      </c>
      <c r="L17" s="52">
        <v>0</v>
      </c>
      <c r="M17" s="52">
        <v>0</v>
      </c>
      <c r="N17" s="52">
        <v>0</v>
      </c>
      <c r="O17" s="2"/>
      <c r="P17" s="10"/>
      <c r="R17" s="52">
        <v>0</v>
      </c>
      <c r="S17" s="52">
        <v>0</v>
      </c>
      <c r="T17" s="52">
        <v>0</v>
      </c>
      <c r="U17" s="52">
        <v>0</v>
      </c>
      <c r="V17" s="52">
        <v>0</v>
      </c>
      <c r="W17" s="52">
        <v>0</v>
      </c>
      <c r="X17" s="52">
        <v>0</v>
      </c>
      <c r="Y17" s="52">
        <v>0</v>
      </c>
      <c r="Z17" s="52">
        <v>0</v>
      </c>
      <c r="AA17" s="52">
        <v>0</v>
      </c>
      <c r="AB17" s="52">
        <v>0</v>
      </c>
      <c r="AC17" s="52">
        <v>0</v>
      </c>
      <c r="AD17" s="52">
        <v>0</v>
      </c>
      <c r="AE17" s="52">
        <v>0</v>
      </c>
      <c r="AF17" s="52">
        <v>0</v>
      </c>
      <c r="AG17" s="52">
        <v>0</v>
      </c>
      <c r="AH17" s="52">
        <v>0</v>
      </c>
      <c r="AI17" s="52">
        <v>0</v>
      </c>
      <c r="AJ17" s="52">
        <v>0</v>
      </c>
      <c r="AK17" s="52">
        <v>0</v>
      </c>
      <c r="AL17" s="52">
        <v>0</v>
      </c>
      <c r="AM17" s="52">
        <v>0</v>
      </c>
      <c r="AN17" s="528">
        <v>0</v>
      </c>
      <c r="AO17" s="528">
        <v>0</v>
      </c>
      <c r="AP17" s="528">
        <v>0</v>
      </c>
      <c r="AQ17" s="528">
        <v>0</v>
      </c>
      <c r="AR17" s="528">
        <v>0</v>
      </c>
      <c r="AS17" s="528">
        <v>0</v>
      </c>
      <c r="AT17" s="528">
        <v>0</v>
      </c>
      <c r="AU17" s="528">
        <v>0</v>
      </c>
      <c r="AV17" s="528">
        <v>0</v>
      </c>
      <c r="AW17" s="528">
        <v>0</v>
      </c>
      <c r="AX17" s="528">
        <v>0</v>
      </c>
      <c r="AY17" s="528">
        <v>0</v>
      </c>
      <c r="AZ17" s="528">
        <v>0</v>
      </c>
      <c r="BA17" s="528">
        <v>0</v>
      </c>
      <c r="BB17" s="528">
        <v>0</v>
      </c>
      <c r="BC17" s="528">
        <v>0</v>
      </c>
      <c r="BD17" s="528">
        <v>0</v>
      </c>
      <c r="BE17" s="528">
        <v>0</v>
      </c>
      <c r="BF17" s="528">
        <v>0</v>
      </c>
      <c r="BG17" s="528">
        <v>0</v>
      </c>
      <c r="BH17" s="528">
        <v>0</v>
      </c>
      <c r="BI17" s="528">
        <v>0</v>
      </c>
      <c r="BJ17" s="528">
        <v>0</v>
      </c>
      <c r="BK17" s="528">
        <v>0</v>
      </c>
      <c r="BL17" s="528">
        <v>0</v>
      </c>
      <c r="BM17" s="528">
        <v>0</v>
      </c>
      <c r="BN17" s="528">
        <v>0</v>
      </c>
      <c r="BO17" s="528">
        <v>0</v>
      </c>
      <c r="BP17" s="528">
        <v>0</v>
      </c>
      <c r="BQ17" s="528">
        <v>0</v>
      </c>
      <c r="BR17" s="528">
        <v>0</v>
      </c>
      <c r="BS17" s="528">
        <v>0</v>
      </c>
      <c r="BT17" s="528">
        <v>0</v>
      </c>
      <c r="BU17" s="528">
        <v>0</v>
      </c>
      <c r="BV17" s="528">
        <v>0</v>
      </c>
      <c r="BW17" s="528">
        <v>0</v>
      </c>
      <c r="BX17" s="528">
        <v>0</v>
      </c>
      <c r="BY17" s="528">
        <v>0</v>
      </c>
    </row>
    <row r="18" spans="3:80" x14ac:dyDescent="0.3">
      <c r="C18" s="2"/>
      <c r="D18" s="2"/>
      <c r="E18" s="2"/>
      <c r="F18" s="2"/>
      <c r="G18" s="2"/>
      <c r="H18" s="2"/>
      <c r="I18" s="37"/>
      <c r="J18" s="2"/>
      <c r="K18" s="2"/>
      <c r="L18" s="2"/>
      <c r="M18" s="2"/>
      <c r="N18" s="2"/>
      <c r="O18" s="2"/>
      <c r="P18" s="10"/>
      <c r="R18" s="2"/>
      <c r="S18" s="2"/>
      <c r="T18" s="2"/>
      <c r="U18" s="2"/>
      <c r="V18" s="2"/>
      <c r="W18" s="2"/>
      <c r="X18" s="2"/>
      <c r="Y18" s="2"/>
      <c r="Z18" s="2"/>
      <c r="AA18" s="2"/>
      <c r="AB18" s="2"/>
      <c r="AC18" s="2"/>
      <c r="AD18" s="2"/>
      <c r="AE18" s="2"/>
      <c r="AF18" s="2"/>
      <c r="AG18" s="2"/>
      <c r="AH18" s="2"/>
      <c r="AI18" s="2"/>
      <c r="AJ18" s="2"/>
      <c r="AK18" s="2"/>
      <c r="AL18" s="2"/>
      <c r="AM18" s="2"/>
      <c r="AN18" s="525"/>
      <c r="AO18" s="525"/>
      <c r="AP18" s="525"/>
      <c r="AQ18" s="525"/>
      <c r="AR18" s="525"/>
      <c r="AS18" s="525"/>
      <c r="AT18" s="525"/>
      <c r="AU18" s="525"/>
      <c r="AV18" s="525"/>
      <c r="AW18" s="525"/>
      <c r="AX18" s="525"/>
      <c r="AY18" s="525"/>
      <c r="AZ18" s="525"/>
      <c r="BA18" s="525"/>
      <c r="BB18" s="525"/>
      <c r="BC18" s="525"/>
      <c r="BD18" s="525"/>
      <c r="BE18" s="525"/>
      <c r="BF18" s="525"/>
      <c r="BG18" s="525"/>
      <c r="BH18" s="525"/>
      <c r="BI18" s="525"/>
      <c r="BJ18" s="525"/>
      <c r="BK18" s="525"/>
      <c r="BL18" s="525"/>
      <c r="BM18" s="525"/>
      <c r="BN18" s="525"/>
      <c r="BO18" s="525"/>
      <c r="BP18" s="525"/>
      <c r="BQ18" s="525"/>
      <c r="BR18" s="525"/>
      <c r="BS18" s="525"/>
      <c r="BT18" s="525"/>
      <c r="BU18" s="525"/>
      <c r="BV18" s="525"/>
      <c r="BW18" s="525"/>
      <c r="BX18" s="525"/>
      <c r="BY18" s="525"/>
    </row>
    <row r="19" spans="3:80" x14ac:dyDescent="0.3">
      <c r="C19" s="2"/>
      <c r="D19" s="2"/>
      <c r="E19" s="22" t="s">
        <v>373</v>
      </c>
      <c r="F19" s="54"/>
      <c r="G19" s="54"/>
      <c r="H19" s="54"/>
      <c r="I19" s="497">
        <f>I507</f>
        <v>6987.3222285185284</v>
      </c>
      <c r="J19" s="497">
        <f>SUMIF($R$2:$BY$2,J$3,$R19:$BY19)</f>
        <v>7067.3302693392661</v>
      </c>
      <c r="K19" s="497">
        <f>SUMIF($R$2:$BY$2,K$3,$R19:$BY19)</f>
        <v>7206.8469035213984</v>
      </c>
      <c r="L19" s="497">
        <f>SUMIF($R$2:$BY$2,L$3,$R19:$BY19)</f>
        <v>7345.3087984416616</v>
      </c>
      <c r="M19" s="497">
        <f>SUMIF($R$2:$BY$2,M$3,$R19:$BY19)</f>
        <v>7487.5490304098685</v>
      </c>
      <c r="N19" s="497">
        <f>SUMIF($R$2:$BY$2,N$3,$R19:$BY19)</f>
        <v>7630.9166383042711</v>
      </c>
      <c r="O19" s="37"/>
      <c r="P19" s="55">
        <f>IFERROR(((N19/I19)^(1/5))-1,0)</f>
        <v>1.7778301040401123E-2</v>
      </c>
      <c r="Q19" s="291"/>
      <c r="R19" s="497">
        <f t="shared" ref="R19:BY19" si="19">R469</f>
        <v>582.27685237654407</v>
      </c>
      <c r="S19" s="497">
        <f t="shared" si="19"/>
        <v>582.27685237654407</v>
      </c>
      <c r="T19" s="497">
        <f t="shared" si="19"/>
        <v>582.27685237654407</v>
      </c>
      <c r="U19" s="497">
        <f t="shared" si="19"/>
        <v>582.27685237654407</v>
      </c>
      <c r="V19" s="497">
        <f t="shared" si="19"/>
        <v>582.27685237654407</v>
      </c>
      <c r="W19" s="497">
        <f t="shared" si="19"/>
        <v>582.27685237654407</v>
      </c>
      <c r="X19" s="497">
        <f t="shared" si="19"/>
        <v>595.61152584666695</v>
      </c>
      <c r="Y19" s="497">
        <f t="shared" si="19"/>
        <v>595.61152584666695</v>
      </c>
      <c r="Z19" s="497">
        <f t="shared" si="19"/>
        <v>595.61152584666695</v>
      </c>
      <c r="AA19" s="497">
        <f t="shared" si="19"/>
        <v>595.61152584666695</v>
      </c>
      <c r="AB19" s="497">
        <f t="shared" si="19"/>
        <v>595.61152584666695</v>
      </c>
      <c r="AC19" s="497">
        <f t="shared" si="19"/>
        <v>595.61152584666695</v>
      </c>
      <c r="AD19" s="497">
        <f t="shared" si="19"/>
        <v>592.59459980776012</v>
      </c>
      <c r="AE19" s="497">
        <f t="shared" si="19"/>
        <v>592.59459980776012</v>
      </c>
      <c r="AF19" s="497">
        <f t="shared" si="19"/>
        <v>592.59459980776012</v>
      </c>
      <c r="AG19" s="497">
        <f t="shared" si="19"/>
        <v>592.59459980776012</v>
      </c>
      <c r="AH19" s="497">
        <f t="shared" si="19"/>
        <v>592.59459980776012</v>
      </c>
      <c r="AI19" s="497">
        <f t="shared" si="19"/>
        <v>592.59459980776012</v>
      </c>
      <c r="AJ19" s="497">
        <f t="shared" si="19"/>
        <v>608.54655077913992</v>
      </c>
      <c r="AK19" s="497">
        <f t="shared" si="19"/>
        <v>608.54655077913992</v>
      </c>
      <c r="AL19" s="497">
        <f t="shared" si="19"/>
        <v>608.54655077913992</v>
      </c>
      <c r="AM19" s="497">
        <f t="shared" si="19"/>
        <v>608.54655077913992</v>
      </c>
      <c r="AN19" s="527">
        <f t="shared" si="19"/>
        <v>608.54655077913992</v>
      </c>
      <c r="AO19" s="527">
        <f t="shared" si="19"/>
        <v>608.54655077913992</v>
      </c>
      <c r="AP19" s="527">
        <f t="shared" si="19"/>
        <v>602.8414174978551</v>
      </c>
      <c r="AQ19" s="527">
        <f t="shared" si="19"/>
        <v>602.8414174978551</v>
      </c>
      <c r="AR19" s="527">
        <f t="shared" si="19"/>
        <v>602.8414174978551</v>
      </c>
      <c r="AS19" s="527">
        <f t="shared" si="19"/>
        <v>602.8414174978551</v>
      </c>
      <c r="AT19" s="527">
        <f t="shared" si="19"/>
        <v>602.8414174978551</v>
      </c>
      <c r="AU19" s="527">
        <f t="shared" si="19"/>
        <v>602.8414174978551</v>
      </c>
      <c r="AV19" s="527">
        <f t="shared" si="19"/>
        <v>621.37671557575538</v>
      </c>
      <c r="AW19" s="527">
        <f t="shared" si="19"/>
        <v>621.37671557575538</v>
      </c>
      <c r="AX19" s="527">
        <f t="shared" si="19"/>
        <v>621.37671557575538</v>
      </c>
      <c r="AY19" s="527">
        <f t="shared" si="19"/>
        <v>621.37671557575538</v>
      </c>
      <c r="AZ19" s="527">
        <f t="shared" si="19"/>
        <v>621.37671557575538</v>
      </c>
      <c r="BA19" s="527">
        <f t="shared" si="19"/>
        <v>621.37671557575538</v>
      </c>
      <c r="BB19" s="527">
        <f t="shared" si="19"/>
        <v>613.41212065488003</v>
      </c>
      <c r="BC19" s="527">
        <f t="shared" si="19"/>
        <v>613.41212065488003</v>
      </c>
      <c r="BD19" s="527">
        <f t="shared" si="19"/>
        <v>613.41212065488003</v>
      </c>
      <c r="BE19" s="527">
        <f t="shared" si="19"/>
        <v>613.41212065488003</v>
      </c>
      <c r="BF19" s="527">
        <f t="shared" si="19"/>
        <v>613.41212065488003</v>
      </c>
      <c r="BG19" s="527">
        <f t="shared" si="19"/>
        <v>613.41212065488003</v>
      </c>
      <c r="BH19" s="527">
        <f t="shared" si="19"/>
        <v>634.51271774676457</v>
      </c>
      <c r="BI19" s="527">
        <f t="shared" si="19"/>
        <v>634.51271774676457</v>
      </c>
      <c r="BJ19" s="527">
        <f t="shared" si="19"/>
        <v>634.51271774676457</v>
      </c>
      <c r="BK19" s="527">
        <f t="shared" si="19"/>
        <v>634.51271774676457</v>
      </c>
      <c r="BL19" s="527">
        <f t="shared" si="19"/>
        <v>634.51271774676457</v>
      </c>
      <c r="BM19" s="527">
        <f t="shared" si="19"/>
        <v>634.51271774676457</v>
      </c>
      <c r="BN19" s="527">
        <f t="shared" si="19"/>
        <v>624.10029835757382</v>
      </c>
      <c r="BO19" s="527">
        <f t="shared" si="19"/>
        <v>624.10029835757382</v>
      </c>
      <c r="BP19" s="527">
        <f t="shared" si="19"/>
        <v>624.10029835757382</v>
      </c>
      <c r="BQ19" s="527">
        <f t="shared" si="19"/>
        <v>624.10029835757382</v>
      </c>
      <c r="BR19" s="527">
        <f t="shared" si="19"/>
        <v>624.10029835757382</v>
      </c>
      <c r="BS19" s="527">
        <f t="shared" si="19"/>
        <v>624.10029835757382</v>
      </c>
      <c r="BT19" s="527">
        <f t="shared" si="19"/>
        <v>647.71914135980489</v>
      </c>
      <c r="BU19" s="527">
        <f t="shared" si="19"/>
        <v>647.71914135980489</v>
      </c>
      <c r="BV19" s="527">
        <f t="shared" si="19"/>
        <v>647.71914135980489</v>
      </c>
      <c r="BW19" s="527">
        <f t="shared" si="19"/>
        <v>647.71914135980489</v>
      </c>
      <c r="BX19" s="527">
        <f t="shared" si="19"/>
        <v>647.71914135980489</v>
      </c>
      <c r="BY19" s="527">
        <f t="shared" si="19"/>
        <v>647.71914135980489</v>
      </c>
    </row>
    <row r="20" spans="3:80" x14ac:dyDescent="0.3">
      <c r="C20" s="2"/>
      <c r="D20" s="2"/>
      <c r="E20" s="2"/>
      <c r="F20" s="37"/>
      <c r="G20" s="37"/>
      <c r="H20" s="37"/>
      <c r="I20" s="37"/>
      <c r="J20" s="37"/>
      <c r="K20" s="37"/>
      <c r="L20" s="37"/>
      <c r="M20" s="37"/>
      <c r="N20" s="37"/>
      <c r="O20" s="37"/>
      <c r="P20" s="35"/>
      <c r="R20" s="37"/>
      <c r="S20" s="37"/>
      <c r="T20" s="37"/>
      <c r="U20" s="37"/>
      <c r="V20" s="37"/>
      <c r="W20" s="37"/>
      <c r="X20" s="37"/>
      <c r="Y20" s="37"/>
      <c r="Z20" s="37"/>
      <c r="AA20" s="37"/>
      <c r="AB20" s="37"/>
      <c r="AC20" s="37"/>
      <c r="AD20" s="37"/>
      <c r="AE20" s="37"/>
      <c r="AF20" s="37"/>
      <c r="AG20" s="37"/>
      <c r="AH20" s="37"/>
      <c r="AI20" s="37"/>
      <c r="AJ20" s="37"/>
      <c r="AK20" s="37"/>
      <c r="AL20" s="37"/>
      <c r="AM20" s="37"/>
      <c r="AN20" s="529"/>
      <c r="AO20" s="529"/>
      <c r="AP20" s="529"/>
      <c r="AQ20" s="529"/>
      <c r="AR20" s="529"/>
      <c r="AS20" s="529"/>
      <c r="AT20" s="529"/>
      <c r="AU20" s="529"/>
      <c r="AV20" s="529"/>
      <c r="AW20" s="529"/>
      <c r="AX20" s="529"/>
      <c r="AY20" s="529"/>
      <c r="AZ20" s="529"/>
      <c r="BA20" s="529"/>
      <c r="BB20" s="529"/>
      <c r="BC20" s="529"/>
      <c r="BD20" s="529"/>
      <c r="BE20" s="529"/>
      <c r="BF20" s="529"/>
      <c r="BG20" s="529"/>
      <c r="BH20" s="529"/>
      <c r="BI20" s="529"/>
      <c r="BJ20" s="529"/>
      <c r="BK20" s="529"/>
      <c r="BL20" s="529"/>
      <c r="BM20" s="529"/>
      <c r="BN20" s="529"/>
      <c r="BO20" s="529"/>
      <c r="BP20" s="529"/>
      <c r="BQ20" s="529"/>
      <c r="BR20" s="529"/>
      <c r="BS20" s="529"/>
      <c r="BT20" s="529"/>
      <c r="BU20" s="529"/>
      <c r="BV20" s="529"/>
      <c r="BW20" s="529"/>
      <c r="BX20" s="529"/>
      <c r="BY20" s="529"/>
    </row>
    <row r="21" spans="3:80" x14ac:dyDescent="0.3">
      <c r="C21" s="2"/>
      <c r="D21" s="2"/>
      <c r="E21" s="17" t="s">
        <v>22</v>
      </c>
      <c r="F21" s="37"/>
      <c r="G21" s="37"/>
      <c r="H21" s="37"/>
      <c r="I21" s="56"/>
      <c r="J21" s="56"/>
      <c r="K21" s="56"/>
      <c r="L21" s="56"/>
      <c r="M21" s="56"/>
      <c r="N21" s="56"/>
      <c r="O21" s="37"/>
      <c r="P21" s="35"/>
      <c r="R21" s="37"/>
      <c r="S21" s="37"/>
      <c r="T21" s="37"/>
      <c r="U21" s="37"/>
      <c r="V21" s="37"/>
      <c r="W21" s="37"/>
      <c r="X21" s="37"/>
      <c r="Y21" s="37"/>
      <c r="Z21" s="37"/>
      <c r="AA21" s="37"/>
      <c r="AB21" s="37"/>
      <c r="AC21" s="37"/>
      <c r="AD21" s="37"/>
      <c r="AE21" s="37"/>
      <c r="AF21" s="37"/>
      <c r="AG21" s="37"/>
      <c r="AH21" s="37"/>
      <c r="AI21" s="37"/>
      <c r="AJ21" s="37"/>
      <c r="AK21" s="37"/>
      <c r="AL21" s="37"/>
      <c r="AM21" s="37"/>
      <c r="AN21" s="529"/>
      <c r="AO21" s="529"/>
      <c r="AP21" s="529"/>
      <c r="AQ21" s="529"/>
      <c r="AR21" s="529"/>
      <c r="AS21" s="529"/>
      <c r="AT21" s="529"/>
      <c r="AU21" s="529"/>
      <c r="AV21" s="529"/>
      <c r="AW21" s="529"/>
      <c r="AX21" s="529"/>
      <c r="AY21" s="529"/>
      <c r="AZ21" s="529"/>
      <c r="BA21" s="529"/>
      <c r="BB21" s="529"/>
      <c r="BC21" s="529"/>
      <c r="BD21" s="529"/>
      <c r="BE21" s="529"/>
      <c r="BF21" s="529"/>
      <c r="BG21" s="529"/>
      <c r="BH21" s="529"/>
      <c r="BI21" s="529"/>
      <c r="BJ21" s="529"/>
      <c r="BK21" s="529"/>
      <c r="BL21" s="529"/>
      <c r="BM21" s="529"/>
      <c r="BN21" s="529"/>
      <c r="BO21" s="529"/>
      <c r="BP21" s="529"/>
      <c r="BQ21" s="529"/>
      <c r="BR21" s="529"/>
      <c r="BS21" s="529"/>
      <c r="BT21" s="529"/>
      <c r="BU21" s="529"/>
      <c r="BV21" s="529"/>
      <c r="BW21" s="529"/>
      <c r="BX21" s="529"/>
      <c r="BY21" s="529"/>
    </row>
    <row r="22" spans="3:80" x14ac:dyDescent="0.3">
      <c r="C22" s="2"/>
      <c r="D22" s="2"/>
      <c r="E22" s="4" t="s">
        <v>388</v>
      </c>
      <c r="F22" s="5"/>
      <c r="G22" s="5"/>
      <c r="H22" s="5"/>
      <c r="I22" s="498">
        <f t="shared" ref="I22:I27" si="20">I512</f>
        <v>5278694.6614004821</v>
      </c>
      <c r="J22" s="498">
        <f t="shared" ref="J22:N27" si="21">SUMIF($R$2:$BY$2,J$3,$R22:$BY22)</f>
        <v>5538203.9163223505</v>
      </c>
      <c r="K22" s="498">
        <f t="shared" si="21"/>
        <v>5852463.0150530022</v>
      </c>
      <c r="L22" s="498">
        <f t="shared" si="21"/>
        <v>6174086.2836042996</v>
      </c>
      <c r="M22" s="498">
        <f t="shared" si="21"/>
        <v>6505803.7352123354</v>
      </c>
      <c r="N22" s="498">
        <f t="shared" si="21"/>
        <v>6854029.4091304531</v>
      </c>
      <c r="O22" s="57"/>
      <c r="P22" s="55">
        <f t="shared" ref="P22:P28" si="22">IFERROR(((N22/I22)^(1/5))-1,0)</f>
        <v>5.3619705258972639E-2</v>
      </c>
      <c r="R22" s="498">
        <f>R252</f>
        <v>456292.23784911848</v>
      </c>
      <c r="S22" s="498">
        <f t="shared" ref="S22:BY22" si="23">S252</f>
        <v>456292.23784911848</v>
      </c>
      <c r="T22" s="498">
        <f t="shared" si="23"/>
        <v>456292.23784911848</v>
      </c>
      <c r="U22" s="498">
        <f t="shared" si="23"/>
        <v>456292.23784911848</v>
      </c>
      <c r="V22" s="498">
        <f t="shared" si="23"/>
        <v>456292.23784911848</v>
      </c>
      <c r="W22" s="498">
        <f t="shared" si="23"/>
        <v>456292.23784911848</v>
      </c>
      <c r="X22" s="498">
        <f t="shared" si="23"/>
        <v>466741.74820460641</v>
      </c>
      <c r="Y22" s="498">
        <f t="shared" si="23"/>
        <v>466741.74820460641</v>
      </c>
      <c r="Z22" s="498">
        <f t="shared" si="23"/>
        <v>466741.74820460641</v>
      </c>
      <c r="AA22" s="498">
        <f t="shared" si="23"/>
        <v>466741.74820460641</v>
      </c>
      <c r="AB22" s="498">
        <f t="shared" si="23"/>
        <v>466741.74820460641</v>
      </c>
      <c r="AC22" s="498">
        <f t="shared" si="23"/>
        <v>466741.74820460641</v>
      </c>
      <c r="AD22" s="498">
        <f t="shared" si="23"/>
        <v>481228.20211436087</v>
      </c>
      <c r="AE22" s="498">
        <f t="shared" si="23"/>
        <v>481228.20211436087</v>
      </c>
      <c r="AF22" s="498">
        <f t="shared" si="23"/>
        <v>481228.20211436087</v>
      </c>
      <c r="AG22" s="498">
        <f t="shared" si="23"/>
        <v>481228.20211436087</v>
      </c>
      <c r="AH22" s="498">
        <f t="shared" si="23"/>
        <v>481228.20211436087</v>
      </c>
      <c r="AI22" s="498">
        <f t="shared" si="23"/>
        <v>481228.20211436087</v>
      </c>
      <c r="AJ22" s="498">
        <f t="shared" si="23"/>
        <v>494182.30039447307</v>
      </c>
      <c r="AK22" s="498">
        <f t="shared" si="23"/>
        <v>494182.30039447307</v>
      </c>
      <c r="AL22" s="498">
        <f t="shared" si="23"/>
        <v>494182.30039447307</v>
      </c>
      <c r="AM22" s="498">
        <f t="shared" si="23"/>
        <v>494182.30039447307</v>
      </c>
      <c r="AN22" s="530">
        <f t="shared" si="23"/>
        <v>494182.30039447307</v>
      </c>
      <c r="AO22" s="530">
        <f t="shared" si="23"/>
        <v>494182.30039447307</v>
      </c>
      <c r="AP22" s="530">
        <f t="shared" si="23"/>
        <v>506717.28433687036</v>
      </c>
      <c r="AQ22" s="530">
        <f t="shared" si="23"/>
        <v>506717.28433687036</v>
      </c>
      <c r="AR22" s="530">
        <f t="shared" si="23"/>
        <v>506717.28433687036</v>
      </c>
      <c r="AS22" s="530">
        <f t="shared" si="23"/>
        <v>506717.28433687036</v>
      </c>
      <c r="AT22" s="530">
        <f t="shared" si="23"/>
        <v>506717.28433687036</v>
      </c>
      <c r="AU22" s="530">
        <f t="shared" si="23"/>
        <v>506717.28433687036</v>
      </c>
      <c r="AV22" s="530">
        <f t="shared" si="23"/>
        <v>522297.09626384609</v>
      </c>
      <c r="AW22" s="530">
        <f t="shared" si="23"/>
        <v>522297.09626384609</v>
      </c>
      <c r="AX22" s="530">
        <f t="shared" si="23"/>
        <v>522297.09626384609</v>
      </c>
      <c r="AY22" s="530">
        <f t="shared" si="23"/>
        <v>522297.09626384609</v>
      </c>
      <c r="AZ22" s="530">
        <f t="shared" si="23"/>
        <v>522297.09626384609</v>
      </c>
      <c r="BA22" s="530">
        <f t="shared" si="23"/>
        <v>522297.09626384609</v>
      </c>
      <c r="BB22" s="530">
        <f t="shared" si="23"/>
        <v>532983.33667974477</v>
      </c>
      <c r="BC22" s="530">
        <f t="shared" si="23"/>
        <v>532983.33667974477</v>
      </c>
      <c r="BD22" s="530">
        <f t="shared" si="23"/>
        <v>532983.33667974477</v>
      </c>
      <c r="BE22" s="530">
        <f t="shared" si="23"/>
        <v>532983.33667974477</v>
      </c>
      <c r="BF22" s="530">
        <f t="shared" si="23"/>
        <v>532983.33667974477</v>
      </c>
      <c r="BG22" s="530">
        <f t="shared" si="23"/>
        <v>532983.33667974477</v>
      </c>
      <c r="BH22" s="530">
        <f t="shared" si="23"/>
        <v>551317.28585564473</v>
      </c>
      <c r="BI22" s="530">
        <f t="shared" si="23"/>
        <v>551317.28585564473</v>
      </c>
      <c r="BJ22" s="530">
        <f t="shared" si="23"/>
        <v>551317.28585564473</v>
      </c>
      <c r="BK22" s="530">
        <f t="shared" si="23"/>
        <v>551317.28585564473</v>
      </c>
      <c r="BL22" s="530">
        <f t="shared" si="23"/>
        <v>551317.28585564473</v>
      </c>
      <c r="BM22" s="530">
        <f t="shared" si="23"/>
        <v>551317.28585564473</v>
      </c>
      <c r="BN22" s="530">
        <f t="shared" si="23"/>
        <v>560561.98775884707</v>
      </c>
      <c r="BO22" s="530">
        <f t="shared" si="23"/>
        <v>560561.98775884707</v>
      </c>
      <c r="BP22" s="530">
        <f t="shared" si="23"/>
        <v>560561.98775884707</v>
      </c>
      <c r="BQ22" s="530">
        <f t="shared" si="23"/>
        <v>560561.98775884707</v>
      </c>
      <c r="BR22" s="530">
        <f t="shared" si="23"/>
        <v>560561.98775884707</v>
      </c>
      <c r="BS22" s="530">
        <f t="shared" si="23"/>
        <v>560561.98775884707</v>
      </c>
      <c r="BT22" s="530">
        <f t="shared" si="23"/>
        <v>581776.24709622865</v>
      </c>
      <c r="BU22" s="530">
        <f t="shared" si="23"/>
        <v>581776.24709622865</v>
      </c>
      <c r="BV22" s="530">
        <f t="shared" si="23"/>
        <v>581776.24709622865</v>
      </c>
      <c r="BW22" s="530">
        <f t="shared" si="23"/>
        <v>581776.24709622865</v>
      </c>
      <c r="BX22" s="530">
        <f t="shared" si="23"/>
        <v>581776.24709622865</v>
      </c>
      <c r="BY22" s="530">
        <f t="shared" si="23"/>
        <v>581776.24709622865</v>
      </c>
      <c r="CB22" s="8"/>
    </row>
    <row r="23" spans="3:80" x14ac:dyDescent="0.3">
      <c r="C23" s="2"/>
      <c r="D23" s="2"/>
      <c r="E23" s="2" t="s">
        <v>387</v>
      </c>
      <c r="F23" s="54"/>
      <c r="G23" s="54"/>
      <c r="H23" s="54"/>
      <c r="I23" s="497">
        <f t="shared" si="20"/>
        <v>-1520580.2432319769</v>
      </c>
      <c r="J23" s="497">
        <f t="shared" si="21"/>
        <v>-1551083.0896847679</v>
      </c>
      <c r="K23" s="497">
        <f t="shared" si="21"/>
        <v>-1595320.0687370396</v>
      </c>
      <c r="L23" s="497">
        <f t="shared" si="21"/>
        <v>-1640126.3654248079</v>
      </c>
      <c r="M23" s="497">
        <f t="shared" si="21"/>
        <v>-1686605.9071510539</v>
      </c>
      <c r="N23" s="497">
        <f t="shared" si="21"/>
        <v>-1734200.8515465565</v>
      </c>
      <c r="O23" s="37"/>
      <c r="P23" s="50">
        <f t="shared" si="22"/>
        <v>2.6639595963647844E-2</v>
      </c>
      <c r="R23" s="497">
        <f t="shared" ref="R23:BY23" si="24">R260</f>
        <v>-127793.62854377669</v>
      </c>
      <c r="S23" s="497">
        <f t="shared" si="24"/>
        <v>-127793.62854377669</v>
      </c>
      <c r="T23" s="497">
        <f t="shared" si="24"/>
        <v>-127793.62854377669</v>
      </c>
      <c r="U23" s="497">
        <f t="shared" si="24"/>
        <v>-127793.62854377669</v>
      </c>
      <c r="V23" s="497">
        <f t="shared" si="24"/>
        <v>-127793.62854377669</v>
      </c>
      <c r="W23" s="497">
        <f t="shared" si="24"/>
        <v>-127793.62854377669</v>
      </c>
      <c r="X23" s="497">
        <f t="shared" si="24"/>
        <v>-130720.21973701792</v>
      </c>
      <c r="Y23" s="497">
        <f t="shared" si="24"/>
        <v>-130720.21973701792</v>
      </c>
      <c r="Z23" s="497">
        <f t="shared" si="24"/>
        <v>-130720.21973701792</v>
      </c>
      <c r="AA23" s="497">
        <f t="shared" si="24"/>
        <v>-130720.21973701792</v>
      </c>
      <c r="AB23" s="497">
        <f t="shared" si="24"/>
        <v>-130720.21973701792</v>
      </c>
      <c r="AC23" s="497">
        <f t="shared" si="24"/>
        <v>-130720.21973701792</v>
      </c>
      <c r="AD23" s="497">
        <f t="shared" si="24"/>
        <v>-131177.76336230832</v>
      </c>
      <c r="AE23" s="497">
        <f t="shared" si="24"/>
        <v>-131177.76336230832</v>
      </c>
      <c r="AF23" s="497">
        <f t="shared" si="24"/>
        <v>-131177.76336230832</v>
      </c>
      <c r="AG23" s="497">
        <f t="shared" si="24"/>
        <v>-131177.76336230832</v>
      </c>
      <c r="AH23" s="497">
        <f t="shared" si="24"/>
        <v>-131177.76336230832</v>
      </c>
      <c r="AI23" s="497">
        <f t="shared" si="24"/>
        <v>-131177.76336230832</v>
      </c>
      <c r="AJ23" s="497">
        <f t="shared" si="24"/>
        <v>-134708.91476053168</v>
      </c>
      <c r="AK23" s="497">
        <f t="shared" si="24"/>
        <v>-134708.91476053168</v>
      </c>
      <c r="AL23" s="497">
        <f t="shared" si="24"/>
        <v>-134708.91476053168</v>
      </c>
      <c r="AM23" s="497">
        <f t="shared" si="24"/>
        <v>-134708.91476053168</v>
      </c>
      <c r="AN23" s="527">
        <f t="shared" si="24"/>
        <v>-134708.91476053168</v>
      </c>
      <c r="AO23" s="527">
        <f t="shared" si="24"/>
        <v>-134708.91476053168</v>
      </c>
      <c r="AP23" s="527">
        <f t="shared" si="24"/>
        <v>-134607.83339946994</v>
      </c>
      <c r="AQ23" s="527">
        <f t="shared" si="24"/>
        <v>-134607.83339946994</v>
      </c>
      <c r="AR23" s="527">
        <f t="shared" si="24"/>
        <v>-134607.83339946994</v>
      </c>
      <c r="AS23" s="527">
        <f t="shared" si="24"/>
        <v>-134607.83339946994</v>
      </c>
      <c r="AT23" s="527">
        <f t="shared" si="24"/>
        <v>-134607.83339946994</v>
      </c>
      <c r="AU23" s="527">
        <f t="shared" si="24"/>
        <v>-134607.83339946994</v>
      </c>
      <c r="AV23" s="527">
        <f t="shared" si="24"/>
        <v>-138746.560837998</v>
      </c>
      <c r="AW23" s="527">
        <f t="shared" si="24"/>
        <v>-138746.560837998</v>
      </c>
      <c r="AX23" s="527">
        <f t="shared" si="24"/>
        <v>-138746.560837998</v>
      </c>
      <c r="AY23" s="527">
        <f t="shared" si="24"/>
        <v>-138746.560837998</v>
      </c>
      <c r="AZ23" s="527">
        <f t="shared" si="24"/>
        <v>-138746.560837998</v>
      </c>
      <c r="BA23" s="527">
        <f t="shared" si="24"/>
        <v>-138746.560837998</v>
      </c>
      <c r="BB23" s="527">
        <f t="shared" si="24"/>
        <v>-138173.98751082935</v>
      </c>
      <c r="BC23" s="527">
        <f t="shared" si="24"/>
        <v>-138173.98751082935</v>
      </c>
      <c r="BD23" s="527">
        <f t="shared" si="24"/>
        <v>-138173.98751082935</v>
      </c>
      <c r="BE23" s="527">
        <f t="shared" si="24"/>
        <v>-138173.98751082935</v>
      </c>
      <c r="BF23" s="527">
        <f t="shared" si="24"/>
        <v>-138173.98751082935</v>
      </c>
      <c r="BG23" s="527">
        <f t="shared" si="24"/>
        <v>-138173.98751082935</v>
      </c>
      <c r="BH23" s="527">
        <f t="shared" si="24"/>
        <v>-142926.99701434627</v>
      </c>
      <c r="BI23" s="527">
        <f t="shared" si="24"/>
        <v>-142926.99701434627</v>
      </c>
      <c r="BJ23" s="527">
        <f t="shared" si="24"/>
        <v>-142926.99701434627</v>
      </c>
      <c r="BK23" s="527">
        <f t="shared" si="24"/>
        <v>-142926.99701434627</v>
      </c>
      <c r="BL23" s="527">
        <f t="shared" si="24"/>
        <v>-142926.99701434627</v>
      </c>
      <c r="BM23" s="527">
        <f t="shared" si="24"/>
        <v>-142926.99701434627</v>
      </c>
      <c r="BN23" s="527">
        <f t="shared" si="24"/>
        <v>-141832.93045416818</v>
      </c>
      <c r="BO23" s="527">
        <f t="shared" si="24"/>
        <v>-141832.93045416818</v>
      </c>
      <c r="BP23" s="527">
        <f t="shared" si="24"/>
        <v>-141832.93045416818</v>
      </c>
      <c r="BQ23" s="527">
        <f t="shared" si="24"/>
        <v>-141832.93045416818</v>
      </c>
      <c r="BR23" s="527">
        <f t="shared" si="24"/>
        <v>-141832.93045416818</v>
      </c>
      <c r="BS23" s="527">
        <f t="shared" si="24"/>
        <v>-141832.93045416818</v>
      </c>
      <c r="BT23" s="527">
        <f t="shared" si="24"/>
        <v>-147200.54480359127</v>
      </c>
      <c r="BU23" s="527">
        <f t="shared" si="24"/>
        <v>-147200.54480359127</v>
      </c>
      <c r="BV23" s="527">
        <f t="shared" si="24"/>
        <v>-147200.54480359127</v>
      </c>
      <c r="BW23" s="527">
        <f t="shared" si="24"/>
        <v>-147200.54480359127</v>
      </c>
      <c r="BX23" s="527">
        <f t="shared" si="24"/>
        <v>-147200.54480359127</v>
      </c>
      <c r="BY23" s="527">
        <f t="shared" si="24"/>
        <v>-147200.54480359127</v>
      </c>
      <c r="CB23" s="8"/>
    </row>
    <row r="24" spans="3:80" x14ac:dyDescent="0.3">
      <c r="C24" s="2"/>
      <c r="D24" s="2"/>
      <c r="E24" s="2" t="s">
        <v>386</v>
      </c>
      <c r="F24" s="54"/>
      <c r="G24" s="54"/>
      <c r="H24" s="54"/>
      <c r="I24" s="497">
        <f t="shared" si="20"/>
        <v>-297555.69751295121</v>
      </c>
      <c r="J24" s="497">
        <f t="shared" si="21"/>
        <v>-306982.10350882541</v>
      </c>
      <c r="K24" s="497">
        <f t="shared" si="21"/>
        <v>-319303.10266400222</v>
      </c>
      <c r="L24" s="497">
        <f t="shared" si="21"/>
        <v>-331946.48355663742</v>
      </c>
      <c r="M24" s="497">
        <f t="shared" si="21"/>
        <v>-345142.04264119739</v>
      </c>
      <c r="N24" s="497">
        <f t="shared" si="21"/>
        <v>-358785.65174983052</v>
      </c>
      <c r="O24" s="37"/>
      <c r="P24" s="50">
        <f t="shared" si="22"/>
        <v>3.8133867061209026E-2</v>
      </c>
      <c r="R24" s="497">
        <f t="shared" ref="R24:BY24" si="25">R268</f>
        <v>-25292.234288600856</v>
      </c>
      <c r="S24" s="497">
        <f t="shared" si="25"/>
        <v>-25292.234288600856</v>
      </c>
      <c r="T24" s="497">
        <f t="shared" si="25"/>
        <v>-25292.234288600856</v>
      </c>
      <c r="U24" s="497">
        <f t="shared" si="25"/>
        <v>-25292.234288600856</v>
      </c>
      <c r="V24" s="497">
        <f t="shared" si="25"/>
        <v>-25292.234288600856</v>
      </c>
      <c r="W24" s="497">
        <f t="shared" si="25"/>
        <v>-25292.234288600856</v>
      </c>
      <c r="X24" s="497">
        <f t="shared" si="25"/>
        <v>-25871.449629536706</v>
      </c>
      <c r="Y24" s="497">
        <f t="shared" si="25"/>
        <v>-25871.449629536706</v>
      </c>
      <c r="Z24" s="497">
        <f t="shared" si="25"/>
        <v>-25871.449629536706</v>
      </c>
      <c r="AA24" s="497">
        <f t="shared" si="25"/>
        <v>-25871.449629536706</v>
      </c>
      <c r="AB24" s="497">
        <f t="shared" si="25"/>
        <v>-25871.449629536706</v>
      </c>
      <c r="AC24" s="497">
        <f t="shared" si="25"/>
        <v>-25871.449629536706</v>
      </c>
      <c r="AD24" s="497">
        <f t="shared" si="25"/>
        <v>-26255.212143898243</v>
      </c>
      <c r="AE24" s="497">
        <f t="shared" si="25"/>
        <v>-26255.212143898243</v>
      </c>
      <c r="AF24" s="497">
        <f t="shared" si="25"/>
        <v>-26255.212143898243</v>
      </c>
      <c r="AG24" s="497">
        <f t="shared" si="25"/>
        <v>-26255.212143898243</v>
      </c>
      <c r="AH24" s="497">
        <f t="shared" si="25"/>
        <v>-26255.212143898243</v>
      </c>
      <c r="AI24" s="497">
        <f t="shared" si="25"/>
        <v>-26255.212143898243</v>
      </c>
      <c r="AJ24" s="497">
        <f t="shared" si="25"/>
        <v>-26961.971633435449</v>
      </c>
      <c r="AK24" s="497">
        <f t="shared" si="25"/>
        <v>-26961.971633435449</v>
      </c>
      <c r="AL24" s="497">
        <f t="shared" si="25"/>
        <v>-26961.971633435449</v>
      </c>
      <c r="AM24" s="497">
        <f t="shared" si="25"/>
        <v>-26961.971633435449</v>
      </c>
      <c r="AN24" s="527">
        <f t="shared" si="25"/>
        <v>-26961.971633435449</v>
      </c>
      <c r="AO24" s="527">
        <f t="shared" si="25"/>
        <v>-26961.971633435449</v>
      </c>
      <c r="AP24" s="527">
        <f t="shared" si="25"/>
        <v>-27243.386789016426</v>
      </c>
      <c r="AQ24" s="527">
        <f t="shared" si="25"/>
        <v>-27243.386789016426</v>
      </c>
      <c r="AR24" s="527">
        <f t="shared" si="25"/>
        <v>-27243.386789016426</v>
      </c>
      <c r="AS24" s="527">
        <f t="shared" si="25"/>
        <v>-27243.386789016426</v>
      </c>
      <c r="AT24" s="527">
        <f t="shared" si="25"/>
        <v>-27243.386789016426</v>
      </c>
      <c r="AU24" s="527">
        <f t="shared" si="25"/>
        <v>-27243.386789016426</v>
      </c>
      <c r="AV24" s="527">
        <f t="shared" si="25"/>
        <v>-28081.027137089797</v>
      </c>
      <c r="AW24" s="527">
        <f t="shared" si="25"/>
        <v>-28081.027137089797</v>
      </c>
      <c r="AX24" s="527">
        <f t="shared" si="25"/>
        <v>-28081.027137089797</v>
      </c>
      <c r="AY24" s="527">
        <f t="shared" si="25"/>
        <v>-28081.027137089797</v>
      </c>
      <c r="AZ24" s="527">
        <f t="shared" si="25"/>
        <v>-28081.027137089797</v>
      </c>
      <c r="BA24" s="527">
        <f t="shared" si="25"/>
        <v>-28081.027137089797</v>
      </c>
      <c r="BB24" s="527">
        <f t="shared" si="25"/>
        <v>-28275.515985783757</v>
      </c>
      <c r="BC24" s="527">
        <f t="shared" si="25"/>
        <v>-28275.515985783757</v>
      </c>
      <c r="BD24" s="527">
        <f t="shared" si="25"/>
        <v>-28275.515985783757</v>
      </c>
      <c r="BE24" s="527">
        <f t="shared" si="25"/>
        <v>-28275.515985783757</v>
      </c>
      <c r="BF24" s="527">
        <f t="shared" si="25"/>
        <v>-28275.515985783757</v>
      </c>
      <c r="BG24" s="527">
        <f t="shared" si="25"/>
        <v>-28275.515985783757</v>
      </c>
      <c r="BH24" s="527">
        <f t="shared" si="25"/>
        <v>-29248.157787749129</v>
      </c>
      <c r="BI24" s="527">
        <f t="shared" si="25"/>
        <v>-29248.157787749129</v>
      </c>
      <c r="BJ24" s="527">
        <f t="shared" si="25"/>
        <v>-29248.157787749129</v>
      </c>
      <c r="BK24" s="527">
        <f t="shared" si="25"/>
        <v>-29248.157787749129</v>
      </c>
      <c r="BL24" s="527">
        <f t="shared" si="25"/>
        <v>-29248.157787749129</v>
      </c>
      <c r="BM24" s="527">
        <f t="shared" si="25"/>
        <v>-29248.157787749129</v>
      </c>
      <c r="BN24" s="527">
        <f t="shared" si="25"/>
        <v>-29343.556340204559</v>
      </c>
      <c r="BO24" s="527">
        <f t="shared" si="25"/>
        <v>-29343.556340204559</v>
      </c>
      <c r="BP24" s="527">
        <f t="shared" si="25"/>
        <v>-29343.556340204559</v>
      </c>
      <c r="BQ24" s="527">
        <f t="shared" si="25"/>
        <v>-29343.556340204559</v>
      </c>
      <c r="BR24" s="527">
        <f t="shared" si="25"/>
        <v>-29343.556340204559</v>
      </c>
      <c r="BS24" s="527">
        <f t="shared" si="25"/>
        <v>-29343.556340204559</v>
      </c>
      <c r="BT24" s="527">
        <f t="shared" si="25"/>
        <v>-30454.052284767189</v>
      </c>
      <c r="BU24" s="527">
        <f t="shared" si="25"/>
        <v>-30454.052284767189</v>
      </c>
      <c r="BV24" s="527">
        <f t="shared" si="25"/>
        <v>-30454.052284767189</v>
      </c>
      <c r="BW24" s="527">
        <f t="shared" si="25"/>
        <v>-30454.052284767189</v>
      </c>
      <c r="BX24" s="527">
        <f t="shared" si="25"/>
        <v>-30454.052284767189</v>
      </c>
      <c r="BY24" s="527">
        <f t="shared" si="25"/>
        <v>-30454.052284767189</v>
      </c>
      <c r="CB24" s="8"/>
    </row>
    <row r="25" spans="3:80" x14ac:dyDescent="0.3">
      <c r="C25" s="2"/>
      <c r="D25" s="2"/>
      <c r="E25" s="4" t="s">
        <v>385</v>
      </c>
      <c r="F25" s="5"/>
      <c r="G25" s="5"/>
      <c r="H25" s="5"/>
      <c r="I25" s="498">
        <f t="shared" si="20"/>
        <v>2804533.27</v>
      </c>
      <c r="J25" s="498">
        <f t="shared" si="21"/>
        <v>3680138.723128756</v>
      </c>
      <c r="K25" s="498">
        <f t="shared" si="21"/>
        <v>3937839.843651962</v>
      </c>
      <c r="L25" s="498">
        <f t="shared" si="21"/>
        <v>4202013.434622854</v>
      </c>
      <c r="M25" s="498">
        <f t="shared" si="21"/>
        <v>4474055.7854200853</v>
      </c>
      <c r="N25" s="498">
        <f t="shared" si="21"/>
        <v>4761042.9058340667</v>
      </c>
      <c r="O25" s="57"/>
      <c r="P25" s="55">
        <f t="shared" si="22"/>
        <v>0.11165058222003843</v>
      </c>
      <c r="R25" s="498">
        <f t="shared" ref="R25:BY25" si="26">SUM(R22:R24)</f>
        <v>303206.37501674093</v>
      </c>
      <c r="S25" s="498">
        <f t="shared" si="26"/>
        <v>303206.37501674093</v>
      </c>
      <c r="T25" s="498">
        <f t="shared" si="26"/>
        <v>303206.37501674093</v>
      </c>
      <c r="U25" s="498">
        <f t="shared" si="26"/>
        <v>303206.37501674093</v>
      </c>
      <c r="V25" s="498">
        <f t="shared" si="26"/>
        <v>303206.37501674093</v>
      </c>
      <c r="W25" s="498">
        <f t="shared" si="26"/>
        <v>303206.37501674093</v>
      </c>
      <c r="X25" s="498">
        <f t="shared" si="26"/>
        <v>310150.07883805176</v>
      </c>
      <c r="Y25" s="498">
        <f t="shared" si="26"/>
        <v>310150.07883805176</v>
      </c>
      <c r="Z25" s="498">
        <f t="shared" si="26"/>
        <v>310150.07883805176</v>
      </c>
      <c r="AA25" s="498">
        <f t="shared" si="26"/>
        <v>310150.07883805176</v>
      </c>
      <c r="AB25" s="498">
        <f t="shared" si="26"/>
        <v>310150.07883805176</v>
      </c>
      <c r="AC25" s="498">
        <f t="shared" si="26"/>
        <v>310150.07883805176</v>
      </c>
      <c r="AD25" s="498">
        <f t="shared" si="26"/>
        <v>323795.22660815431</v>
      </c>
      <c r="AE25" s="498">
        <f t="shared" si="26"/>
        <v>323795.22660815431</v>
      </c>
      <c r="AF25" s="498">
        <f t="shared" si="26"/>
        <v>323795.22660815431</v>
      </c>
      <c r="AG25" s="498">
        <f t="shared" si="26"/>
        <v>323795.22660815431</v>
      </c>
      <c r="AH25" s="498">
        <f t="shared" si="26"/>
        <v>323795.22660815431</v>
      </c>
      <c r="AI25" s="498">
        <f t="shared" si="26"/>
        <v>323795.22660815431</v>
      </c>
      <c r="AJ25" s="498">
        <f t="shared" si="26"/>
        <v>332511.41400050593</v>
      </c>
      <c r="AK25" s="498">
        <f t="shared" si="26"/>
        <v>332511.41400050593</v>
      </c>
      <c r="AL25" s="498">
        <f t="shared" si="26"/>
        <v>332511.41400050593</v>
      </c>
      <c r="AM25" s="498">
        <f t="shared" si="26"/>
        <v>332511.41400050593</v>
      </c>
      <c r="AN25" s="530">
        <f t="shared" si="26"/>
        <v>332511.41400050593</v>
      </c>
      <c r="AO25" s="530">
        <f t="shared" si="26"/>
        <v>332511.41400050593</v>
      </c>
      <c r="AP25" s="530">
        <f t="shared" si="26"/>
        <v>344866.06414838403</v>
      </c>
      <c r="AQ25" s="530">
        <f t="shared" si="26"/>
        <v>344866.06414838403</v>
      </c>
      <c r="AR25" s="530">
        <f t="shared" si="26"/>
        <v>344866.06414838403</v>
      </c>
      <c r="AS25" s="530">
        <f t="shared" si="26"/>
        <v>344866.06414838403</v>
      </c>
      <c r="AT25" s="530">
        <f t="shared" si="26"/>
        <v>344866.06414838403</v>
      </c>
      <c r="AU25" s="530">
        <f t="shared" si="26"/>
        <v>344866.06414838403</v>
      </c>
      <c r="AV25" s="530">
        <f t="shared" si="26"/>
        <v>355469.50828875828</v>
      </c>
      <c r="AW25" s="530">
        <f t="shared" si="26"/>
        <v>355469.50828875828</v>
      </c>
      <c r="AX25" s="530">
        <f t="shared" si="26"/>
        <v>355469.50828875828</v>
      </c>
      <c r="AY25" s="530">
        <f t="shared" si="26"/>
        <v>355469.50828875828</v>
      </c>
      <c r="AZ25" s="530">
        <f t="shared" si="26"/>
        <v>355469.50828875828</v>
      </c>
      <c r="BA25" s="530">
        <f t="shared" si="26"/>
        <v>355469.50828875828</v>
      </c>
      <c r="BB25" s="530">
        <f t="shared" si="26"/>
        <v>366533.83318313165</v>
      </c>
      <c r="BC25" s="530">
        <f t="shared" si="26"/>
        <v>366533.83318313165</v>
      </c>
      <c r="BD25" s="530">
        <f t="shared" si="26"/>
        <v>366533.83318313165</v>
      </c>
      <c r="BE25" s="530">
        <f t="shared" si="26"/>
        <v>366533.83318313165</v>
      </c>
      <c r="BF25" s="530">
        <f t="shared" si="26"/>
        <v>366533.83318313165</v>
      </c>
      <c r="BG25" s="530">
        <f t="shared" si="26"/>
        <v>366533.83318313165</v>
      </c>
      <c r="BH25" s="530">
        <f t="shared" si="26"/>
        <v>379142.1310535493</v>
      </c>
      <c r="BI25" s="530">
        <f t="shared" si="26"/>
        <v>379142.1310535493</v>
      </c>
      <c r="BJ25" s="530">
        <f t="shared" si="26"/>
        <v>379142.1310535493</v>
      </c>
      <c r="BK25" s="530">
        <f t="shared" si="26"/>
        <v>379142.1310535493</v>
      </c>
      <c r="BL25" s="530">
        <f t="shared" si="26"/>
        <v>379142.1310535493</v>
      </c>
      <c r="BM25" s="530">
        <f t="shared" si="26"/>
        <v>379142.1310535493</v>
      </c>
      <c r="BN25" s="530">
        <f t="shared" si="26"/>
        <v>389385.50096447434</v>
      </c>
      <c r="BO25" s="530">
        <f t="shared" si="26"/>
        <v>389385.50096447434</v>
      </c>
      <c r="BP25" s="530">
        <f t="shared" si="26"/>
        <v>389385.50096447434</v>
      </c>
      <c r="BQ25" s="530">
        <f t="shared" si="26"/>
        <v>389385.50096447434</v>
      </c>
      <c r="BR25" s="530">
        <f t="shared" si="26"/>
        <v>389385.50096447434</v>
      </c>
      <c r="BS25" s="530">
        <f t="shared" si="26"/>
        <v>389385.50096447434</v>
      </c>
      <c r="BT25" s="530">
        <f t="shared" si="26"/>
        <v>404121.65000787016</v>
      </c>
      <c r="BU25" s="530">
        <f t="shared" si="26"/>
        <v>404121.65000787016</v>
      </c>
      <c r="BV25" s="530">
        <f t="shared" si="26"/>
        <v>404121.65000787016</v>
      </c>
      <c r="BW25" s="530">
        <f t="shared" si="26"/>
        <v>404121.65000787016</v>
      </c>
      <c r="BX25" s="530">
        <f t="shared" si="26"/>
        <v>404121.65000787016</v>
      </c>
      <c r="BY25" s="530">
        <f t="shared" si="26"/>
        <v>404121.65000787016</v>
      </c>
      <c r="CB25" s="8"/>
    </row>
    <row r="26" spans="3:80" x14ac:dyDescent="0.3">
      <c r="C26" s="2"/>
      <c r="D26" s="2"/>
      <c r="E26" s="2" t="s">
        <v>389</v>
      </c>
      <c r="F26" s="54"/>
      <c r="G26" s="54"/>
      <c r="H26" s="54"/>
      <c r="I26" s="497">
        <f t="shared" si="20"/>
        <v>-1559432.809354709</v>
      </c>
      <c r="J26" s="497">
        <f t="shared" si="21"/>
        <v>-1647756.6855857766</v>
      </c>
      <c r="K26" s="497">
        <f t="shared" si="21"/>
        <v>-1752828.3636507394</v>
      </c>
      <c r="L26" s="497">
        <f t="shared" si="21"/>
        <v>-1860553.5686302031</v>
      </c>
      <c r="M26" s="497">
        <f t="shared" si="21"/>
        <v>-1971684.8441658528</v>
      </c>
      <c r="N26" s="497">
        <f t="shared" si="21"/>
        <v>-2088610.0099183037</v>
      </c>
      <c r="O26" s="37"/>
      <c r="P26" s="50">
        <f t="shared" si="22"/>
        <v>6.0176412601392393E-2</v>
      </c>
      <c r="R26" s="497">
        <f t="shared" ref="R26:BY26" si="27">R276</f>
        <v>-135758.5594277021</v>
      </c>
      <c r="S26" s="497">
        <f t="shared" si="27"/>
        <v>-135758.5594277021</v>
      </c>
      <c r="T26" s="497">
        <f t="shared" si="27"/>
        <v>-135758.5594277021</v>
      </c>
      <c r="U26" s="497">
        <f t="shared" si="27"/>
        <v>-135758.5594277021</v>
      </c>
      <c r="V26" s="497">
        <f t="shared" si="27"/>
        <v>-135758.5594277021</v>
      </c>
      <c r="W26" s="497">
        <f t="shared" si="27"/>
        <v>-135758.5594277021</v>
      </c>
      <c r="X26" s="497">
        <f t="shared" si="27"/>
        <v>-138867.55483659395</v>
      </c>
      <c r="Y26" s="497">
        <f t="shared" si="27"/>
        <v>-138867.55483659395</v>
      </c>
      <c r="Z26" s="497">
        <f t="shared" si="27"/>
        <v>-138867.55483659395</v>
      </c>
      <c r="AA26" s="497">
        <f t="shared" si="27"/>
        <v>-138867.55483659395</v>
      </c>
      <c r="AB26" s="497">
        <f t="shared" si="27"/>
        <v>-138867.55483659395</v>
      </c>
      <c r="AC26" s="497">
        <f t="shared" si="27"/>
        <v>-138867.55483659395</v>
      </c>
      <c r="AD26" s="497">
        <f t="shared" si="27"/>
        <v>-144129.13672160351</v>
      </c>
      <c r="AE26" s="497">
        <f t="shared" si="27"/>
        <v>-144129.13672160351</v>
      </c>
      <c r="AF26" s="497">
        <f t="shared" si="27"/>
        <v>-144129.13672160351</v>
      </c>
      <c r="AG26" s="497">
        <f t="shared" si="27"/>
        <v>-144129.13672160351</v>
      </c>
      <c r="AH26" s="497">
        <f t="shared" si="27"/>
        <v>-144129.13672160351</v>
      </c>
      <c r="AI26" s="497">
        <f t="shared" si="27"/>
        <v>-144129.13672160351</v>
      </c>
      <c r="AJ26" s="497">
        <f t="shared" si="27"/>
        <v>-148008.92388685301</v>
      </c>
      <c r="AK26" s="497">
        <f t="shared" si="27"/>
        <v>-148008.92388685301</v>
      </c>
      <c r="AL26" s="497">
        <f t="shared" si="27"/>
        <v>-148008.92388685301</v>
      </c>
      <c r="AM26" s="497">
        <f t="shared" si="27"/>
        <v>-148008.92388685301</v>
      </c>
      <c r="AN26" s="527">
        <f t="shared" si="27"/>
        <v>-148008.92388685301</v>
      </c>
      <c r="AO26" s="527">
        <f t="shared" si="27"/>
        <v>-148008.92388685301</v>
      </c>
      <c r="AP26" s="527">
        <f t="shared" si="27"/>
        <v>-152698.65180912212</v>
      </c>
      <c r="AQ26" s="527">
        <f t="shared" si="27"/>
        <v>-152698.65180912212</v>
      </c>
      <c r="AR26" s="527">
        <f t="shared" si="27"/>
        <v>-152698.65180912212</v>
      </c>
      <c r="AS26" s="527">
        <f t="shared" si="27"/>
        <v>-152698.65180912212</v>
      </c>
      <c r="AT26" s="527">
        <f t="shared" si="27"/>
        <v>-152698.65180912212</v>
      </c>
      <c r="AU26" s="527">
        <f t="shared" si="27"/>
        <v>-152698.65180912212</v>
      </c>
      <c r="AV26" s="527">
        <f t="shared" si="27"/>
        <v>-157393.60962924513</v>
      </c>
      <c r="AW26" s="527">
        <f t="shared" si="27"/>
        <v>-157393.60962924513</v>
      </c>
      <c r="AX26" s="527">
        <f t="shared" si="27"/>
        <v>-157393.60962924513</v>
      </c>
      <c r="AY26" s="527">
        <f t="shared" si="27"/>
        <v>-157393.60962924513</v>
      </c>
      <c r="AZ26" s="527">
        <f t="shared" si="27"/>
        <v>-157393.60962924513</v>
      </c>
      <c r="BA26" s="527">
        <f t="shared" si="27"/>
        <v>-157393.60962924513</v>
      </c>
      <c r="BB26" s="527">
        <f t="shared" si="27"/>
        <v>-161528.87635336886</v>
      </c>
      <c r="BC26" s="527">
        <f t="shared" si="27"/>
        <v>-161528.87635336886</v>
      </c>
      <c r="BD26" s="527">
        <f t="shared" si="27"/>
        <v>-161528.87635336886</v>
      </c>
      <c r="BE26" s="527">
        <f t="shared" si="27"/>
        <v>-161528.87635336886</v>
      </c>
      <c r="BF26" s="527">
        <f t="shared" si="27"/>
        <v>-161528.87635336886</v>
      </c>
      <c r="BG26" s="527">
        <f t="shared" si="27"/>
        <v>-161528.87635336886</v>
      </c>
      <c r="BH26" s="527">
        <f t="shared" si="27"/>
        <v>-167085.26434093993</v>
      </c>
      <c r="BI26" s="527">
        <f t="shared" si="27"/>
        <v>-167085.26434093993</v>
      </c>
      <c r="BJ26" s="527">
        <f t="shared" si="27"/>
        <v>-167085.26434093993</v>
      </c>
      <c r="BK26" s="527">
        <f t="shared" si="27"/>
        <v>-167085.26434093993</v>
      </c>
      <c r="BL26" s="527">
        <f t="shared" si="27"/>
        <v>-167085.26434093993</v>
      </c>
      <c r="BM26" s="527">
        <f t="shared" si="27"/>
        <v>-167085.26434093993</v>
      </c>
      <c r="BN26" s="527">
        <f t="shared" si="27"/>
        <v>-170818.55196786555</v>
      </c>
      <c r="BO26" s="527">
        <f t="shared" si="27"/>
        <v>-170818.55196786555</v>
      </c>
      <c r="BP26" s="527">
        <f t="shared" si="27"/>
        <v>-170818.55196786555</v>
      </c>
      <c r="BQ26" s="527">
        <f t="shared" si="27"/>
        <v>-170818.55196786555</v>
      </c>
      <c r="BR26" s="527">
        <f t="shared" si="27"/>
        <v>-170818.55196786555</v>
      </c>
      <c r="BS26" s="527">
        <f t="shared" si="27"/>
        <v>-170818.55196786555</v>
      </c>
      <c r="BT26" s="527">
        <f t="shared" si="27"/>
        <v>-177283.11635185167</v>
      </c>
      <c r="BU26" s="527">
        <f t="shared" si="27"/>
        <v>-177283.11635185167</v>
      </c>
      <c r="BV26" s="527">
        <f t="shared" si="27"/>
        <v>-177283.11635185167</v>
      </c>
      <c r="BW26" s="527">
        <f t="shared" si="27"/>
        <v>-177283.11635185167</v>
      </c>
      <c r="BX26" s="527">
        <f t="shared" si="27"/>
        <v>-177283.11635185167</v>
      </c>
      <c r="BY26" s="527">
        <f t="shared" si="27"/>
        <v>-177283.11635185167</v>
      </c>
      <c r="CB26" s="8"/>
    </row>
    <row r="27" spans="3:80" x14ac:dyDescent="0.3">
      <c r="C27" s="2"/>
      <c r="D27" s="2"/>
      <c r="E27" s="4" t="s">
        <v>390</v>
      </c>
      <c r="F27" s="5"/>
      <c r="G27" s="5"/>
      <c r="H27" s="5"/>
      <c r="I27" s="498">
        <f t="shared" si="20"/>
        <v>1901125.911300845</v>
      </c>
      <c r="J27" s="498">
        <f t="shared" si="21"/>
        <v>2032382.0375429795</v>
      </c>
      <c r="K27" s="498">
        <f t="shared" si="21"/>
        <v>2185011.4800012228</v>
      </c>
      <c r="L27" s="498">
        <f t="shared" si="21"/>
        <v>2341459.8659926504</v>
      </c>
      <c r="M27" s="498">
        <f t="shared" si="21"/>
        <v>2502370.9412542325</v>
      </c>
      <c r="N27" s="498">
        <f t="shared" si="21"/>
        <v>2672432.8959157635</v>
      </c>
      <c r="O27" s="57"/>
      <c r="P27" s="55">
        <f t="shared" si="22"/>
        <v>7.0481547672187395E-2</v>
      </c>
      <c r="R27" s="498">
        <f t="shared" ref="R27:BY27" si="28">SUM(R25:R26)</f>
        <v>167447.81558903883</v>
      </c>
      <c r="S27" s="498">
        <f t="shared" si="28"/>
        <v>167447.81558903883</v>
      </c>
      <c r="T27" s="498">
        <f t="shared" si="28"/>
        <v>167447.81558903883</v>
      </c>
      <c r="U27" s="498">
        <f t="shared" si="28"/>
        <v>167447.81558903883</v>
      </c>
      <c r="V27" s="498">
        <f t="shared" si="28"/>
        <v>167447.81558903883</v>
      </c>
      <c r="W27" s="498">
        <f t="shared" si="28"/>
        <v>167447.81558903883</v>
      </c>
      <c r="X27" s="498">
        <f t="shared" si="28"/>
        <v>171282.52400145782</v>
      </c>
      <c r="Y27" s="498">
        <f t="shared" si="28"/>
        <v>171282.52400145782</v>
      </c>
      <c r="Z27" s="498">
        <f t="shared" si="28"/>
        <v>171282.52400145782</v>
      </c>
      <c r="AA27" s="498">
        <f t="shared" si="28"/>
        <v>171282.52400145782</v>
      </c>
      <c r="AB27" s="498">
        <f t="shared" si="28"/>
        <v>171282.52400145782</v>
      </c>
      <c r="AC27" s="498">
        <f t="shared" si="28"/>
        <v>171282.52400145782</v>
      </c>
      <c r="AD27" s="498">
        <f t="shared" si="28"/>
        <v>179666.08988655079</v>
      </c>
      <c r="AE27" s="498">
        <f t="shared" si="28"/>
        <v>179666.08988655079</v>
      </c>
      <c r="AF27" s="498">
        <f t="shared" si="28"/>
        <v>179666.08988655079</v>
      </c>
      <c r="AG27" s="498">
        <f t="shared" si="28"/>
        <v>179666.08988655079</v>
      </c>
      <c r="AH27" s="498">
        <f t="shared" si="28"/>
        <v>179666.08988655079</v>
      </c>
      <c r="AI27" s="498">
        <f t="shared" si="28"/>
        <v>179666.08988655079</v>
      </c>
      <c r="AJ27" s="498">
        <f t="shared" si="28"/>
        <v>184502.49011365292</v>
      </c>
      <c r="AK27" s="498">
        <f t="shared" si="28"/>
        <v>184502.49011365292</v>
      </c>
      <c r="AL27" s="498">
        <f t="shared" si="28"/>
        <v>184502.49011365292</v>
      </c>
      <c r="AM27" s="498">
        <f t="shared" si="28"/>
        <v>184502.49011365292</v>
      </c>
      <c r="AN27" s="530">
        <f t="shared" si="28"/>
        <v>184502.49011365292</v>
      </c>
      <c r="AO27" s="530">
        <f t="shared" si="28"/>
        <v>184502.49011365292</v>
      </c>
      <c r="AP27" s="530">
        <f t="shared" si="28"/>
        <v>192167.41233926191</v>
      </c>
      <c r="AQ27" s="530">
        <f t="shared" si="28"/>
        <v>192167.41233926191</v>
      </c>
      <c r="AR27" s="530">
        <f t="shared" si="28"/>
        <v>192167.41233926191</v>
      </c>
      <c r="AS27" s="530">
        <f t="shared" si="28"/>
        <v>192167.41233926191</v>
      </c>
      <c r="AT27" s="530">
        <f t="shared" si="28"/>
        <v>192167.41233926191</v>
      </c>
      <c r="AU27" s="530">
        <f t="shared" si="28"/>
        <v>192167.41233926191</v>
      </c>
      <c r="AV27" s="530">
        <f t="shared" si="28"/>
        <v>198075.89865951316</v>
      </c>
      <c r="AW27" s="530">
        <f t="shared" si="28"/>
        <v>198075.89865951316</v>
      </c>
      <c r="AX27" s="530">
        <f t="shared" si="28"/>
        <v>198075.89865951316</v>
      </c>
      <c r="AY27" s="530">
        <f t="shared" si="28"/>
        <v>198075.89865951316</v>
      </c>
      <c r="AZ27" s="530">
        <f t="shared" si="28"/>
        <v>198075.89865951316</v>
      </c>
      <c r="BA27" s="530">
        <f t="shared" si="28"/>
        <v>198075.89865951316</v>
      </c>
      <c r="BB27" s="530">
        <f t="shared" si="28"/>
        <v>205004.95682976278</v>
      </c>
      <c r="BC27" s="530">
        <f t="shared" si="28"/>
        <v>205004.95682976278</v>
      </c>
      <c r="BD27" s="530">
        <f t="shared" si="28"/>
        <v>205004.95682976278</v>
      </c>
      <c r="BE27" s="530">
        <f t="shared" si="28"/>
        <v>205004.95682976278</v>
      </c>
      <c r="BF27" s="530">
        <f t="shared" si="28"/>
        <v>205004.95682976278</v>
      </c>
      <c r="BG27" s="530">
        <f t="shared" si="28"/>
        <v>205004.95682976278</v>
      </c>
      <c r="BH27" s="530">
        <f t="shared" si="28"/>
        <v>212056.86671260936</v>
      </c>
      <c r="BI27" s="530">
        <f t="shared" si="28"/>
        <v>212056.86671260936</v>
      </c>
      <c r="BJ27" s="530">
        <f t="shared" si="28"/>
        <v>212056.86671260936</v>
      </c>
      <c r="BK27" s="530">
        <f t="shared" si="28"/>
        <v>212056.86671260936</v>
      </c>
      <c r="BL27" s="530">
        <f t="shared" si="28"/>
        <v>212056.86671260936</v>
      </c>
      <c r="BM27" s="530">
        <f t="shared" si="28"/>
        <v>212056.86671260936</v>
      </c>
      <c r="BN27" s="530">
        <f t="shared" si="28"/>
        <v>218566.94899660879</v>
      </c>
      <c r="BO27" s="530">
        <f t="shared" si="28"/>
        <v>218566.94899660879</v>
      </c>
      <c r="BP27" s="530">
        <f t="shared" si="28"/>
        <v>218566.94899660879</v>
      </c>
      <c r="BQ27" s="530">
        <f t="shared" si="28"/>
        <v>218566.94899660879</v>
      </c>
      <c r="BR27" s="530">
        <f t="shared" si="28"/>
        <v>218566.94899660879</v>
      </c>
      <c r="BS27" s="530">
        <f t="shared" si="28"/>
        <v>218566.94899660879</v>
      </c>
      <c r="BT27" s="530">
        <f t="shared" si="28"/>
        <v>226838.5336560185</v>
      </c>
      <c r="BU27" s="530">
        <f t="shared" si="28"/>
        <v>226838.5336560185</v>
      </c>
      <c r="BV27" s="530">
        <f t="shared" si="28"/>
        <v>226838.5336560185</v>
      </c>
      <c r="BW27" s="530">
        <f t="shared" si="28"/>
        <v>226838.5336560185</v>
      </c>
      <c r="BX27" s="530">
        <f t="shared" si="28"/>
        <v>226838.5336560185</v>
      </c>
      <c r="BY27" s="530">
        <f t="shared" si="28"/>
        <v>226838.5336560185</v>
      </c>
      <c r="CB27" s="8"/>
    </row>
    <row r="28" spans="3:80" x14ac:dyDescent="0.3">
      <c r="C28" s="2"/>
      <c r="D28" s="2"/>
      <c r="E28" s="2" t="s">
        <v>175</v>
      </c>
      <c r="F28" s="58"/>
      <c r="G28" s="58"/>
      <c r="H28" s="58"/>
      <c r="I28" s="499">
        <f t="shared" ref="I28:N28" si="29">IFERROR(I27/I22,0)</f>
        <v>0.36015076325639572</v>
      </c>
      <c r="J28" s="499">
        <f t="shared" si="29"/>
        <v>0.36697493776873868</v>
      </c>
      <c r="K28" s="499">
        <f t="shared" si="29"/>
        <v>0.37334904541578456</v>
      </c>
      <c r="L28" s="499">
        <f t="shared" si="29"/>
        <v>0.37923990019552434</v>
      </c>
      <c r="M28" s="499">
        <f t="shared" si="29"/>
        <v>0.38463670948299222</v>
      </c>
      <c r="N28" s="499">
        <f t="shared" si="29"/>
        <v>0.38990683237450624</v>
      </c>
      <c r="O28" s="23"/>
      <c r="P28" s="50">
        <f t="shared" si="22"/>
        <v>1.6003727273751212E-2</v>
      </c>
      <c r="R28" s="499">
        <f t="shared" ref="R28:BY28" si="30">IFERROR(R27/R22,0)</f>
        <v>0.36697493776873885</v>
      </c>
      <c r="S28" s="499">
        <f t="shared" si="30"/>
        <v>0.36697493776873885</v>
      </c>
      <c r="T28" s="499">
        <f t="shared" si="30"/>
        <v>0.36697493776873885</v>
      </c>
      <c r="U28" s="499">
        <f t="shared" si="30"/>
        <v>0.36697493776873885</v>
      </c>
      <c r="V28" s="499">
        <f t="shared" si="30"/>
        <v>0.36697493776873885</v>
      </c>
      <c r="W28" s="499">
        <f t="shared" si="30"/>
        <v>0.36697493776873885</v>
      </c>
      <c r="X28" s="499">
        <f t="shared" si="30"/>
        <v>0.36697493776873885</v>
      </c>
      <c r="Y28" s="499">
        <f t="shared" si="30"/>
        <v>0.36697493776873885</v>
      </c>
      <c r="Z28" s="499">
        <f t="shared" si="30"/>
        <v>0.36697493776873885</v>
      </c>
      <c r="AA28" s="499">
        <f t="shared" si="30"/>
        <v>0.36697493776873885</v>
      </c>
      <c r="AB28" s="499">
        <f t="shared" si="30"/>
        <v>0.36697493776873885</v>
      </c>
      <c r="AC28" s="499">
        <f t="shared" si="30"/>
        <v>0.36697493776873885</v>
      </c>
      <c r="AD28" s="499">
        <f t="shared" si="30"/>
        <v>0.3733490454157844</v>
      </c>
      <c r="AE28" s="499">
        <f t="shared" si="30"/>
        <v>0.3733490454157844</v>
      </c>
      <c r="AF28" s="499">
        <f t="shared" si="30"/>
        <v>0.3733490454157844</v>
      </c>
      <c r="AG28" s="499">
        <f t="shared" si="30"/>
        <v>0.3733490454157844</v>
      </c>
      <c r="AH28" s="499">
        <f t="shared" si="30"/>
        <v>0.3733490454157844</v>
      </c>
      <c r="AI28" s="499">
        <f t="shared" si="30"/>
        <v>0.3733490454157844</v>
      </c>
      <c r="AJ28" s="499">
        <f t="shared" si="30"/>
        <v>0.3733490454157844</v>
      </c>
      <c r="AK28" s="499">
        <f t="shared" si="30"/>
        <v>0.3733490454157844</v>
      </c>
      <c r="AL28" s="499">
        <f t="shared" si="30"/>
        <v>0.3733490454157844</v>
      </c>
      <c r="AM28" s="499">
        <f t="shared" si="30"/>
        <v>0.3733490454157844</v>
      </c>
      <c r="AN28" s="531">
        <f t="shared" si="30"/>
        <v>0.3733490454157844</v>
      </c>
      <c r="AO28" s="531">
        <f t="shared" si="30"/>
        <v>0.3733490454157844</v>
      </c>
      <c r="AP28" s="531">
        <f t="shared" si="30"/>
        <v>0.37923990019552445</v>
      </c>
      <c r="AQ28" s="531">
        <f t="shared" si="30"/>
        <v>0.37923990019552445</v>
      </c>
      <c r="AR28" s="531">
        <f t="shared" si="30"/>
        <v>0.37923990019552445</v>
      </c>
      <c r="AS28" s="531">
        <f t="shared" si="30"/>
        <v>0.37923990019552445</v>
      </c>
      <c r="AT28" s="531">
        <f t="shared" si="30"/>
        <v>0.37923990019552445</v>
      </c>
      <c r="AU28" s="531">
        <f t="shared" si="30"/>
        <v>0.37923990019552445</v>
      </c>
      <c r="AV28" s="531">
        <f t="shared" si="30"/>
        <v>0.37923990019552434</v>
      </c>
      <c r="AW28" s="531">
        <f t="shared" si="30"/>
        <v>0.37923990019552434</v>
      </c>
      <c r="AX28" s="531">
        <f t="shared" si="30"/>
        <v>0.37923990019552434</v>
      </c>
      <c r="AY28" s="531">
        <f t="shared" si="30"/>
        <v>0.37923990019552434</v>
      </c>
      <c r="AZ28" s="531">
        <f t="shared" si="30"/>
        <v>0.37923990019552434</v>
      </c>
      <c r="BA28" s="531">
        <f t="shared" si="30"/>
        <v>0.37923990019552434</v>
      </c>
      <c r="BB28" s="531">
        <f t="shared" si="30"/>
        <v>0.38463670948299217</v>
      </c>
      <c r="BC28" s="531">
        <f t="shared" si="30"/>
        <v>0.38463670948299217</v>
      </c>
      <c r="BD28" s="531">
        <f t="shared" si="30"/>
        <v>0.38463670948299217</v>
      </c>
      <c r="BE28" s="531">
        <f t="shared" si="30"/>
        <v>0.38463670948299217</v>
      </c>
      <c r="BF28" s="531">
        <f t="shared" si="30"/>
        <v>0.38463670948299217</v>
      </c>
      <c r="BG28" s="531">
        <f t="shared" si="30"/>
        <v>0.38463670948299217</v>
      </c>
      <c r="BH28" s="531">
        <f t="shared" si="30"/>
        <v>0.38463670948299217</v>
      </c>
      <c r="BI28" s="531">
        <f t="shared" si="30"/>
        <v>0.38463670948299217</v>
      </c>
      <c r="BJ28" s="531">
        <f t="shared" si="30"/>
        <v>0.38463670948299217</v>
      </c>
      <c r="BK28" s="531">
        <f t="shared" si="30"/>
        <v>0.38463670948299217</v>
      </c>
      <c r="BL28" s="531">
        <f t="shared" si="30"/>
        <v>0.38463670948299217</v>
      </c>
      <c r="BM28" s="531">
        <f t="shared" si="30"/>
        <v>0.38463670948299217</v>
      </c>
      <c r="BN28" s="531">
        <f t="shared" si="30"/>
        <v>0.38990683237450618</v>
      </c>
      <c r="BO28" s="531">
        <f t="shared" si="30"/>
        <v>0.38990683237450618</v>
      </c>
      <c r="BP28" s="531">
        <f t="shared" si="30"/>
        <v>0.38990683237450618</v>
      </c>
      <c r="BQ28" s="531">
        <f t="shared" si="30"/>
        <v>0.38990683237450618</v>
      </c>
      <c r="BR28" s="531">
        <f t="shared" si="30"/>
        <v>0.38990683237450618</v>
      </c>
      <c r="BS28" s="531">
        <f t="shared" si="30"/>
        <v>0.38990683237450618</v>
      </c>
      <c r="BT28" s="531">
        <f t="shared" si="30"/>
        <v>0.38990683237450613</v>
      </c>
      <c r="BU28" s="531">
        <f t="shared" si="30"/>
        <v>0.38990683237450613</v>
      </c>
      <c r="BV28" s="531">
        <f t="shared" si="30"/>
        <v>0.38990683237450613</v>
      </c>
      <c r="BW28" s="531">
        <f t="shared" si="30"/>
        <v>0.38990683237450613</v>
      </c>
      <c r="BX28" s="531">
        <f t="shared" si="30"/>
        <v>0.38990683237450613</v>
      </c>
      <c r="BY28" s="531">
        <f t="shared" si="30"/>
        <v>0.38990683237450613</v>
      </c>
    </row>
    <row r="29" spans="3:80" x14ac:dyDescent="0.3">
      <c r="C29" s="2"/>
      <c r="D29" s="2"/>
      <c r="E29" s="2"/>
      <c r="F29" s="58"/>
      <c r="G29" s="58"/>
      <c r="H29" s="58"/>
      <c r="I29" s="37"/>
      <c r="J29" s="37"/>
      <c r="K29" s="37"/>
      <c r="L29" s="37"/>
      <c r="M29" s="37"/>
      <c r="N29" s="37"/>
      <c r="O29" s="37"/>
      <c r="P29" s="35"/>
      <c r="R29" s="37"/>
      <c r="S29" s="37"/>
      <c r="T29" s="37"/>
      <c r="U29" s="37"/>
      <c r="V29" s="37"/>
      <c r="W29" s="37"/>
      <c r="X29" s="37"/>
      <c r="Y29" s="37"/>
      <c r="Z29" s="37"/>
      <c r="AA29" s="37"/>
      <c r="AB29" s="37"/>
      <c r="AC29" s="37"/>
      <c r="AD29" s="37"/>
      <c r="AE29" s="37"/>
      <c r="AF29" s="37"/>
      <c r="AG29" s="37"/>
      <c r="AH29" s="37"/>
      <c r="AI29" s="37"/>
      <c r="AJ29" s="37"/>
      <c r="AK29" s="37"/>
      <c r="AL29" s="37"/>
      <c r="AM29" s="37"/>
      <c r="AN29" s="529"/>
      <c r="AO29" s="529"/>
      <c r="AP29" s="529"/>
      <c r="AQ29" s="529"/>
      <c r="AR29" s="529"/>
      <c r="AS29" s="529"/>
      <c r="AT29" s="529"/>
      <c r="AU29" s="529"/>
      <c r="AV29" s="529"/>
      <c r="AW29" s="529"/>
      <c r="AX29" s="529"/>
      <c r="AY29" s="529"/>
      <c r="AZ29" s="529"/>
      <c r="BA29" s="529"/>
      <c r="BB29" s="529"/>
      <c r="BC29" s="529"/>
      <c r="BD29" s="529"/>
      <c r="BE29" s="529"/>
      <c r="BF29" s="529"/>
      <c r="BG29" s="529"/>
      <c r="BH29" s="529"/>
      <c r="BI29" s="529"/>
      <c r="BJ29" s="529"/>
      <c r="BK29" s="529"/>
      <c r="BL29" s="529"/>
      <c r="BM29" s="529"/>
      <c r="BN29" s="529"/>
      <c r="BO29" s="529"/>
      <c r="BP29" s="529"/>
      <c r="BQ29" s="529"/>
      <c r="BR29" s="529"/>
      <c r="BS29" s="529"/>
      <c r="BT29" s="529"/>
      <c r="BU29" s="529"/>
      <c r="BV29" s="529"/>
      <c r="BW29" s="529"/>
      <c r="BX29" s="529"/>
      <c r="BY29" s="529"/>
    </row>
    <row r="30" spans="3:80" x14ac:dyDescent="0.3">
      <c r="C30" s="2"/>
      <c r="D30" s="2"/>
      <c r="E30" s="17" t="s">
        <v>23</v>
      </c>
      <c r="F30" s="37"/>
      <c r="G30" s="37"/>
      <c r="H30" s="37"/>
      <c r="I30" s="37"/>
      <c r="J30" s="37"/>
      <c r="K30" s="37"/>
      <c r="L30" s="37"/>
      <c r="M30" s="37"/>
      <c r="N30" s="37"/>
      <c r="O30" s="37"/>
      <c r="P30" s="35"/>
      <c r="R30" s="37"/>
      <c r="S30" s="37"/>
      <c r="T30" s="37"/>
      <c r="U30" s="37"/>
      <c r="V30" s="37"/>
      <c r="W30" s="37"/>
      <c r="X30" s="37"/>
      <c r="Y30" s="37"/>
      <c r="Z30" s="37"/>
      <c r="AA30" s="37"/>
      <c r="AB30" s="37"/>
      <c r="AC30" s="37"/>
      <c r="AD30" s="37"/>
      <c r="AE30" s="37"/>
      <c r="AF30" s="37"/>
      <c r="AG30" s="37"/>
      <c r="AH30" s="37"/>
      <c r="AI30" s="37"/>
      <c r="AJ30" s="37"/>
      <c r="AK30" s="37"/>
      <c r="AL30" s="37"/>
      <c r="AM30" s="37"/>
      <c r="AN30" s="529"/>
      <c r="AO30" s="529"/>
      <c r="AP30" s="529"/>
      <c r="AQ30" s="529"/>
      <c r="AR30" s="529"/>
      <c r="AS30" s="529"/>
      <c r="AT30" s="529"/>
      <c r="AU30" s="529"/>
      <c r="AV30" s="529"/>
      <c r="AW30" s="529"/>
      <c r="AX30" s="529"/>
      <c r="AY30" s="529"/>
      <c r="AZ30" s="529"/>
      <c r="BA30" s="529"/>
      <c r="BB30" s="529"/>
      <c r="BC30" s="529"/>
      <c r="BD30" s="529"/>
      <c r="BE30" s="529"/>
      <c r="BF30" s="529"/>
      <c r="BG30" s="529"/>
      <c r="BH30" s="529"/>
      <c r="BI30" s="529"/>
      <c r="BJ30" s="529"/>
      <c r="BK30" s="529"/>
      <c r="BL30" s="529"/>
      <c r="BM30" s="529"/>
      <c r="BN30" s="529"/>
      <c r="BO30" s="529"/>
      <c r="BP30" s="529"/>
      <c r="BQ30" s="529"/>
      <c r="BR30" s="529"/>
      <c r="BS30" s="529"/>
      <c r="BT30" s="529"/>
      <c r="BU30" s="529"/>
      <c r="BV30" s="529"/>
      <c r="BW30" s="529"/>
      <c r="BX30" s="529"/>
      <c r="BY30" s="529"/>
    </row>
    <row r="31" spans="3:80" x14ac:dyDescent="0.3">
      <c r="C31" s="2"/>
      <c r="D31" s="2"/>
      <c r="E31" s="4" t="s">
        <v>391</v>
      </c>
      <c r="F31" s="5"/>
      <c r="G31" s="5"/>
      <c r="H31" s="5"/>
      <c r="I31" s="498">
        <f t="shared" ref="I31:I36" si="31">I521</f>
        <v>497820.75892642431</v>
      </c>
      <c r="J31" s="498">
        <f>SUMIF($R$2:$BY$2,J$3,$R31:$BY31)</f>
        <v>503521.03469716699</v>
      </c>
      <c r="K31" s="498">
        <f t="shared" ref="J31:N36" si="32">SUMIF($R$2:$BY$2,K$3,$R31:$BY31)</f>
        <v>513461.07673901459</v>
      </c>
      <c r="L31" s="498">
        <f t="shared" si="32"/>
        <v>523325.97252559545</v>
      </c>
      <c r="M31" s="498">
        <f t="shared" si="32"/>
        <v>533460.06079467142</v>
      </c>
      <c r="N31" s="498">
        <f t="shared" si="32"/>
        <v>543674.47041158553</v>
      </c>
      <c r="O31" s="57"/>
      <c r="P31" s="55">
        <f t="shared" ref="P31:P37" si="33">IFERROR(((N31/I31)^(1/5))-1,0)</f>
        <v>1.7778301040401123E-2</v>
      </c>
      <c r="R31" s="498">
        <f t="shared" ref="R31:BY31" si="34">R296</f>
        <v>41485.063243868703</v>
      </c>
      <c r="S31" s="498">
        <f t="shared" si="34"/>
        <v>41485.063243868703</v>
      </c>
      <c r="T31" s="498">
        <f t="shared" si="34"/>
        <v>41485.063243868703</v>
      </c>
      <c r="U31" s="498">
        <f t="shared" si="34"/>
        <v>41485.063243868703</v>
      </c>
      <c r="V31" s="498">
        <f t="shared" si="34"/>
        <v>41485.063243868703</v>
      </c>
      <c r="W31" s="498">
        <f t="shared" si="34"/>
        <v>41485.063243868703</v>
      </c>
      <c r="X31" s="498">
        <f t="shared" si="34"/>
        <v>42435.109205659137</v>
      </c>
      <c r="Y31" s="498">
        <f t="shared" si="34"/>
        <v>42435.109205659137</v>
      </c>
      <c r="Z31" s="498">
        <f t="shared" si="34"/>
        <v>42435.109205659137</v>
      </c>
      <c r="AA31" s="498">
        <f t="shared" si="34"/>
        <v>42435.109205659137</v>
      </c>
      <c r="AB31" s="498">
        <f t="shared" si="34"/>
        <v>42435.109205659137</v>
      </c>
      <c r="AC31" s="498">
        <f t="shared" si="34"/>
        <v>42435.109205659137</v>
      </c>
      <c r="AD31" s="498">
        <f t="shared" si="34"/>
        <v>42220.164429792996</v>
      </c>
      <c r="AE31" s="498">
        <f t="shared" si="34"/>
        <v>42220.164429792996</v>
      </c>
      <c r="AF31" s="498">
        <f t="shared" si="34"/>
        <v>42220.164429792996</v>
      </c>
      <c r="AG31" s="498">
        <f t="shared" si="34"/>
        <v>42220.164429792996</v>
      </c>
      <c r="AH31" s="498">
        <f t="shared" si="34"/>
        <v>42220.164429792996</v>
      </c>
      <c r="AI31" s="498">
        <f t="shared" si="34"/>
        <v>42220.164429792996</v>
      </c>
      <c r="AJ31" s="498">
        <f t="shared" si="34"/>
        <v>43356.681693376115</v>
      </c>
      <c r="AK31" s="498">
        <f t="shared" si="34"/>
        <v>43356.681693376115</v>
      </c>
      <c r="AL31" s="498">
        <f t="shared" si="34"/>
        <v>43356.681693376115</v>
      </c>
      <c r="AM31" s="498">
        <f t="shared" si="34"/>
        <v>43356.681693376115</v>
      </c>
      <c r="AN31" s="530">
        <f t="shared" si="34"/>
        <v>43356.681693376115</v>
      </c>
      <c r="AO31" s="530">
        <f t="shared" si="34"/>
        <v>43356.681693376115</v>
      </c>
      <c r="AP31" s="530">
        <f t="shared" si="34"/>
        <v>42950.212135084708</v>
      </c>
      <c r="AQ31" s="530">
        <f t="shared" si="34"/>
        <v>42950.212135084708</v>
      </c>
      <c r="AR31" s="530">
        <f t="shared" si="34"/>
        <v>42950.212135084708</v>
      </c>
      <c r="AS31" s="530">
        <f t="shared" si="34"/>
        <v>42950.212135084708</v>
      </c>
      <c r="AT31" s="530">
        <f t="shared" si="34"/>
        <v>42950.212135084708</v>
      </c>
      <c r="AU31" s="530">
        <f t="shared" si="34"/>
        <v>42950.212135084708</v>
      </c>
      <c r="AV31" s="530">
        <f t="shared" si="34"/>
        <v>44270.783285847887</v>
      </c>
      <c r="AW31" s="530">
        <f t="shared" si="34"/>
        <v>44270.783285847887</v>
      </c>
      <c r="AX31" s="530">
        <f t="shared" si="34"/>
        <v>44270.783285847887</v>
      </c>
      <c r="AY31" s="530">
        <f t="shared" si="34"/>
        <v>44270.783285847887</v>
      </c>
      <c r="AZ31" s="530">
        <f t="shared" si="34"/>
        <v>44270.783285847887</v>
      </c>
      <c r="BA31" s="530">
        <f t="shared" si="34"/>
        <v>44270.783285847887</v>
      </c>
      <c r="BB31" s="530">
        <f t="shared" si="34"/>
        <v>43703.335477033666</v>
      </c>
      <c r="BC31" s="530">
        <f t="shared" si="34"/>
        <v>43703.335477033666</v>
      </c>
      <c r="BD31" s="530">
        <f t="shared" si="34"/>
        <v>43703.335477033666</v>
      </c>
      <c r="BE31" s="530">
        <f t="shared" si="34"/>
        <v>43703.335477033666</v>
      </c>
      <c r="BF31" s="530">
        <f t="shared" si="34"/>
        <v>43703.335477033666</v>
      </c>
      <c r="BG31" s="530">
        <f t="shared" si="34"/>
        <v>43703.335477033666</v>
      </c>
      <c r="BH31" s="530">
        <f t="shared" si="34"/>
        <v>45206.674655411567</v>
      </c>
      <c r="BI31" s="530">
        <f t="shared" si="34"/>
        <v>45206.674655411567</v>
      </c>
      <c r="BJ31" s="530">
        <f t="shared" si="34"/>
        <v>45206.674655411567</v>
      </c>
      <c r="BK31" s="530">
        <f t="shared" si="34"/>
        <v>45206.674655411567</v>
      </c>
      <c r="BL31" s="530">
        <f t="shared" si="34"/>
        <v>45206.674655411567</v>
      </c>
      <c r="BM31" s="530">
        <f t="shared" si="34"/>
        <v>45206.674655411567</v>
      </c>
      <c r="BN31" s="530">
        <f t="shared" si="34"/>
        <v>44464.828444078878</v>
      </c>
      <c r="BO31" s="530">
        <f t="shared" si="34"/>
        <v>44464.828444078878</v>
      </c>
      <c r="BP31" s="530">
        <f t="shared" si="34"/>
        <v>44464.828444078878</v>
      </c>
      <c r="BQ31" s="530">
        <f t="shared" si="34"/>
        <v>44464.828444078878</v>
      </c>
      <c r="BR31" s="530">
        <f t="shared" si="34"/>
        <v>44464.828444078878</v>
      </c>
      <c r="BS31" s="530">
        <f t="shared" si="34"/>
        <v>44464.828444078878</v>
      </c>
      <c r="BT31" s="530">
        <f t="shared" si="34"/>
        <v>46147.583291185401</v>
      </c>
      <c r="BU31" s="530">
        <f t="shared" si="34"/>
        <v>46147.583291185401</v>
      </c>
      <c r="BV31" s="530">
        <f t="shared" si="34"/>
        <v>46147.583291185401</v>
      </c>
      <c r="BW31" s="530">
        <f t="shared" si="34"/>
        <v>46147.583291185401</v>
      </c>
      <c r="BX31" s="530">
        <f t="shared" si="34"/>
        <v>46147.583291185401</v>
      </c>
      <c r="BY31" s="530">
        <f t="shared" si="34"/>
        <v>46147.583291185401</v>
      </c>
      <c r="CB31" s="8"/>
    </row>
    <row r="32" spans="3:80" x14ac:dyDescent="0.3">
      <c r="C32" s="2"/>
      <c r="D32" s="2"/>
      <c r="E32" s="2" t="s">
        <v>392</v>
      </c>
      <c r="F32" s="54"/>
      <c r="G32" s="54"/>
      <c r="H32" s="54"/>
      <c r="I32" s="497">
        <f t="shared" si="31"/>
        <v>-245025.65033966996</v>
      </c>
      <c r="J32" s="497">
        <f>SUMIF($R$2:$BY$2,J$3,$R32:$BY32)</f>
        <v>-247831.30629675341</v>
      </c>
      <c r="K32" s="497">
        <f t="shared" si="32"/>
        <v>-252723.76050247959</v>
      </c>
      <c r="L32" s="497">
        <f t="shared" si="32"/>
        <v>-257579.22798208558</v>
      </c>
      <c r="M32" s="497">
        <f t="shared" si="32"/>
        <v>-262567.19106760429</v>
      </c>
      <c r="N32" s="497">
        <f t="shared" si="32"/>
        <v>-267594.68804185174</v>
      </c>
      <c r="O32" s="37"/>
      <c r="P32" s="50">
        <f t="shared" si="33"/>
        <v>1.7778301040401123E-2</v>
      </c>
      <c r="R32" s="497">
        <f t="shared" ref="R32:BY32" si="35">R304</f>
        <v>-20418.804194972501</v>
      </c>
      <c r="S32" s="497">
        <f t="shared" si="35"/>
        <v>-20418.804194972501</v>
      </c>
      <c r="T32" s="497">
        <f t="shared" si="35"/>
        <v>-20418.804194972501</v>
      </c>
      <c r="U32" s="497">
        <f t="shared" si="35"/>
        <v>-20418.804194972501</v>
      </c>
      <c r="V32" s="497">
        <f t="shared" si="35"/>
        <v>-20418.804194972501</v>
      </c>
      <c r="W32" s="497">
        <f t="shared" si="35"/>
        <v>-20418.804194972501</v>
      </c>
      <c r="X32" s="497">
        <f t="shared" si="35"/>
        <v>-20886.413521153056</v>
      </c>
      <c r="Y32" s="497">
        <f t="shared" si="35"/>
        <v>-20886.413521153056</v>
      </c>
      <c r="Z32" s="497">
        <f t="shared" si="35"/>
        <v>-20886.413521153056</v>
      </c>
      <c r="AA32" s="497">
        <f t="shared" si="35"/>
        <v>-20886.413521153056</v>
      </c>
      <c r="AB32" s="497">
        <f t="shared" si="35"/>
        <v>-20886.413521153056</v>
      </c>
      <c r="AC32" s="497">
        <f t="shared" si="35"/>
        <v>-20886.413521153056</v>
      </c>
      <c r="AD32" s="497">
        <f t="shared" si="35"/>
        <v>-20780.618448229034</v>
      </c>
      <c r="AE32" s="497">
        <f t="shared" si="35"/>
        <v>-20780.618448229034</v>
      </c>
      <c r="AF32" s="497">
        <f t="shared" si="35"/>
        <v>-20780.618448229034</v>
      </c>
      <c r="AG32" s="497">
        <f t="shared" si="35"/>
        <v>-20780.618448229034</v>
      </c>
      <c r="AH32" s="497">
        <f t="shared" si="35"/>
        <v>-20780.618448229034</v>
      </c>
      <c r="AI32" s="497">
        <f t="shared" si="35"/>
        <v>-20780.618448229034</v>
      </c>
      <c r="AJ32" s="497">
        <f t="shared" si="35"/>
        <v>-21340.008302184222</v>
      </c>
      <c r="AK32" s="497">
        <f t="shared" si="35"/>
        <v>-21340.008302184222</v>
      </c>
      <c r="AL32" s="497">
        <f t="shared" si="35"/>
        <v>-21340.008302184222</v>
      </c>
      <c r="AM32" s="497">
        <f t="shared" si="35"/>
        <v>-21340.008302184222</v>
      </c>
      <c r="AN32" s="527">
        <f t="shared" si="35"/>
        <v>-21340.008302184222</v>
      </c>
      <c r="AO32" s="527">
        <f t="shared" si="35"/>
        <v>-21340.008302184222</v>
      </c>
      <c r="AP32" s="527">
        <f t="shared" si="35"/>
        <v>-21139.945395851406</v>
      </c>
      <c r="AQ32" s="527">
        <f t="shared" si="35"/>
        <v>-21139.945395851406</v>
      </c>
      <c r="AR32" s="527">
        <f t="shared" si="35"/>
        <v>-21139.945395851406</v>
      </c>
      <c r="AS32" s="527">
        <f t="shared" si="35"/>
        <v>-21139.945395851406</v>
      </c>
      <c r="AT32" s="527">
        <f t="shared" si="35"/>
        <v>-21139.945395851406</v>
      </c>
      <c r="AU32" s="527">
        <f t="shared" si="35"/>
        <v>-21139.945395851406</v>
      </c>
      <c r="AV32" s="527">
        <f t="shared" si="35"/>
        <v>-21789.92593449619</v>
      </c>
      <c r="AW32" s="527">
        <f t="shared" si="35"/>
        <v>-21789.92593449619</v>
      </c>
      <c r="AX32" s="527">
        <f t="shared" si="35"/>
        <v>-21789.92593449619</v>
      </c>
      <c r="AY32" s="527">
        <f t="shared" si="35"/>
        <v>-21789.92593449619</v>
      </c>
      <c r="AZ32" s="527">
        <f t="shared" si="35"/>
        <v>-21789.92593449619</v>
      </c>
      <c r="BA32" s="527">
        <f t="shared" si="35"/>
        <v>-21789.92593449619</v>
      </c>
      <c r="BB32" s="527">
        <f t="shared" si="35"/>
        <v>-21510.630091774867</v>
      </c>
      <c r="BC32" s="527">
        <f t="shared" si="35"/>
        <v>-21510.630091774867</v>
      </c>
      <c r="BD32" s="527">
        <f t="shared" si="35"/>
        <v>-21510.630091774867</v>
      </c>
      <c r="BE32" s="527">
        <f t="shared" si="35"/>
        <v>-21510.630091774867</v>
      </c>
      <c r="BF32" s="527">
        <f t="shared" si="35"/>
        <v>-21510.630091774867</v>
      </c>
      <c r="BG32" s="527">
        <f t="shared" si="35"/>
        <v>-21510.630091774867</v>
      </c>
      <c r="BH32" s="527">
        <f t="shared" si="35"/>
        <v>-22250.56841949252</v>
      </c>
      <c r="BI32" s="527">
        <f t="shared" si="35"/>
        <v>-22250.56841949252</v>
      </c>
      <c r="BJ32" s="527">
        <f t="shared" si="35"/>
        <v>-22250.56841949252</v>
      </c>
      <c r="BK32" s="527">
        <f t="shared" si="35"/>
        <v>-22250.56841949252</v>
      </c>
      <c r="BL32" s="527">
        <f t="shared" si="35"/>
        <v>-22250.56841949252</v>
      </c>
      <c r="BM32" s="527">
        <f t="shared" si="35"/>
        <v>-22250.56841949252</v>
      </c>
      <c r="BN32" s="527">
        <f t="shared" si="35"/>
        <v>-21885.434288132041</v>
      </c>
      <c r="BO32" s="527">
        <f t="shared" si="35"/>
        <v>-21885.434288132041</v>
      </c>
      <c r="BP32" s="527">
        <f t="shared" si="35"/>
        <v>-21885.434288132041</v>
      </c>
      <c r="BQ32" s="527">
        <f t="shared" si="35"/>
        <v>-21885.434288132041</v>
      </c>
      <c r="BR32" s="527">
        <f t="shared" si="35"/>
        <v>-21885.434288132041</v>
      </c>
      <c r="BS32" s="527">
        <f t="shared" si="35"/>
        <v>-21885.434288132041</v>
      </c>
      <c r="BT32" s="527">
        <f t="shared" si="35"/>
        <v>-22713.680385509928</v>
      </c>
      <c r="BU32" s="527">
        <f t="shared" si="35"/>
        <v>-22713.680385509928</v>
      </c>
      <c r="BV32" s="527">
        <f t="shared" si="35"/>
        <v>-22713.680385509928</v>
      </c>
      <c r="BW32" s="527">
        <f t="shared" si="35"/>
        <v>-22713.680385509928</v>
      </c>
      <c r="BX32" s="527">
        <f t="shared" si="35"/>
        <v>-22713.680385509928</v>
      </c>
      <c r="BY32" s="527">
        <f t="shared" si="35"/>
        <v>-22713.680385509928</v>
      </c>
      <c r="CB32" s="8"/>
    </row>
    <row r="33" spans="3:80" x14ac:dyDescent="0.3">
      <c r="C33" s="2"/>
      <c r="D33" s="2"/>
      <c r="E33" s="2" t="s">
        <v>393</v>
      </c>
      <c r="F33" s="54"/>
      <c r="G33" s="54"/>
      <c r="H33" s="54"/>
      <c r="I33" s="497">
        <f t="shared" si="31"/>
        <v>-29077.363677579433</v>
      </c>
      <c r="J33" s="497">
        <f>SUMIF($R$2:$BY$2,J$3,$R33:$BY33)</f>
        <v>-29410.312813742068</v>
      </c>
      <c r="K33" s="497">
        <f t="shared" si="32"/>
        <v>-29990.903743787927</v>
      </c>
      <c r="L33" s="497">
        <f t="shared" si="32"/>
        <v>-30567.105433421028</v>
      </c>
      <c r="M33" s="497">
        <f t="shared" si="32"/>
        <v>-31159.030468399647</v>
      </c>
      <c r="N33" s="497">
        <f t="shared" si="32"/>
        <v>-31755.647017342475</v>
      </c>
      <c r="O33" s="37"/>
      <c r="P33" s="50">
        <f t="shared" si="33"/>
        <v>1.7778301040401123E-2</v>
      </c>
      <c r="R33" s="497">
        <f t="shared" ref="R33:BY33" si="36">R312</f>
        <v>-2423.1136397982864</v>
      </c>
      <c r="S33" s="497">
        <f t="shared" si="36"/>
        <v>-2423.1136397982864</v>
      </c>
      <c r="T33" s="497">
        <f t="shared" si="36"/>
        <v>-2423.1136397982864</v>
      </c>
      <c r="U33" s="497">
        <f t="shared" si="36"/>
        <v>-2423.1136397982864</v>
      </c>
      <c r="V33" s="497">
        <f t="shared" si="36"/>
        <v>-2423.1136397982864</v>
      </c>
      <c r="W33" s="497">
        <f t="shared" si="36"/>
        <v>-2423.1136397982864</v>
      </c>
      <c r="X33" s="497">
        <f t="shared" si="36"/>
        <v>-2478.6051624920578</v>
      </c>
      <c r="Y33" s="497">
        <f t="shared" si="36"/>
        <v>-2478.6051624920578</v>
      </c>
      <c r="Z33" s="497">
        <f t="shared" si="36"/>
        <v>-2478.6051624920578</v>
      </c>
      <c r="AA33" s="497">
        <f t="shared" si="36"/>
        <v>-2478.6051624920578</v>
      </c>
      <c r="AB33" s="497">
        <f t="shared" si="36"/>
        <v>-2478.6051624920578</v>
      </c>
      <c r="AC33" s="497">
        <f t="shared" si="36"/>
        <v>-2478.6051624920578</v>
      </c>
      <c r="AD33" s="497">
        <f t="shared" si="36"/>
        <v>-2466.0503878942009</v>
      </c>
      <c r="AE33" s="497">
        <f t="shared" si="36"/>
        <v>-2466.0503878942009</v>
      </c>
      <c r="AF33" s="497">
        <f t="shared" si="36"/>
        <v>-2466.0503878942009</v>
      </c>
      <c r="AG33" s="497">
        <f t="shared" si="36"/>
        <v>-2466.0503878942009</v>
      </c>
      <c r="AH33" s="497">
        <f t="shared" si="36"/>
        <v>-2466.0503878942009</v>
      </c>
      <c r="AI33" s="497">
        <f t="shared" si="36"/>
        <v>-2466.0503878942009</v>
      </c>
      <c r="AJ33" s="497">
        <f t="shared" si="36"/>
        <v>-2532.4335694037886</v>
      </c>
      <c r="AK33" s="497">
        <f t="shared" si="36"/>
        <v>-2532.4335694037886</v>
      </c>
      <c r="AL33" s="497">
        <f t="shared" si="36"/>
        <v>-2532.4335694037886</v>
      </c>
      <c r="AM33" s="497">
        <f t="shared" si="36"/>
        <v>-2532.4335694037886</v>
      </c>
      <c r="AN33" s="527">
        <f t="shared" si="36"/>
        <v>-2532.4335694037886</v>
      </c>
      <c r="AO33" s="527">
        <f t="shared" si="36"/>
        <v>-2532.4335694037886</v>
      </c>
      <c r="AP33" s="527">
        <f t="shared" si="36"/>
        <v>-2508.6919657073245</v>
      </c>
      <c r="AQ33" s="527">
        <f t="shared" si="36"/>
        <v>-2508.6919657073245</v>
      </c>
      <c r="AR33" s="527">
        <f t="shared" si="36"/>
        <v>-2508.6919657073245</v>
      </c>
      <c r="AS33" s="527">
        <f t="shared" si="36"/>
        <v>-2508.6919657073245</v>
      </c>
      <c r="AT33" s="527">
        <f t="shared" si="36"/>
        <v>-2508.6919657073245</v>
      </c>
      <c r="AU33" s="527">
        <f t="shared" si="36"/>
        <v>-2508.6919657073245</v>
      </c>
      <c r="AV33" s="527">
        <f t="shared" si="36"/>
        <v>-2585.8256065295136</v>
      </c>
      <c r="AW33" s="527">
        <f t="shared" si="36"/>
        <v>-2585.8256065295136</v>
      </c>
      <c r="AX33" s="527">
        <f t="shared" si="36"/>
        <v>-2585.8256065295136</v>
      </c>
      <c r="AY33" s="527">
        <f t="shared" si="36"/>
        <v>-2585.8256065295136</v>
      </c>
      <c r="AZ33" s="527">
        <f t="shared" si="36"/>
        <v>-2585.8256065295136</v>
      </c>
      <c r="BA33" s="527">
        <f t="shared" si="36"/>
        <v>-2585.8256065295136</v>
      </c>
      <c r="BB33" s="527">
        <f t="shared" si="36"/>
        <v>-2552.6813753798933</v>
      </c>
      <c r="BC33" s="527">
        <f t="shared" si="36"/>
        <v>-2552.6813753798933</v>
      </c>
      <c r="BD33" s="527">
        <f t="shared" si="36"/>
        <v>-2552.6813753798933</v>
      </c>
      <c r="BE33" s="527">
        <f t="shared" si="36"/>
        <v>-2552.6813753798933</v>
      </c>
      <c r="BF33" s="527">
        <f t="shared" si="36"/>
        <v>-2552.6813753798933</v>
      </c>
      <c r="BG33" s="527">
        <f t="shared" si="36"/>
        <v>-2552.6813753798933</v>
      </c>
      <c r="BH33" s="527">
        <f t="shared" si="36"/>
        <v>-2640.4903693533815</v>
      </c>
      <c r="BI33" s="527">
        <f t="shared" si="36"/>
        <v>-2640.4903693533815</v>
      </c>
      <c r="BJ33" s="527">
        <f t="shared" si="36"/>
        <v>-2640.4903693533815</v>
      </c>
      <c r="BK33" s="527">
        <f t="shared" si="36"/>
        <v>-2640.4903693533815</v>
      </c>
      <c r="BL33" s="527">
        <f t="shared" si="36"/>
        <v>-2640.4903693533815</v>
      </c>
      <c r="BM33" s="527">
        <f t="shared" si="36"/>
        <v>-2640.4903693533815</v>
      </c>
      <c r="BN33" s="527">
        <f t="shared" si="36"/>
        <v>-2597.1596490228881</v>
      </c>
      <c r="BO33" s="527">
        <f t="shared" si="36"/>
        <v>-2597.1596490228881</v>
      </c>
      <c r="BP33" s="527">
        <f t="shared" si="36"/>
        <v>-2597.1596490228881</v>
      </c>
      <c r="BQ33" s="527">
        <f t="shared" si="36"/>
        <v>-2597.1596490228881</v>
      </c>
      <c r="BR33" s="527">
        <f t="shared" si="36"/>
        <v>-2597.1596490228881</v>
      </c>
      <c r="BS33" s="527">
        <f t="shared" si="36"/>
        <v>-2597.1596490228881</v>
      </c>
      <c r="BT33" s="527">
        <f t="shared" si="36"/>
        <v>-2695.4481872008578</v>
      </c>
      <c r="BU33" s="527">
        <f t="shared" si="36"/>
        <v>-2695.4481872008578</v>
      </c>
      <c r="BV33" s="527">
        <f t="shared" si="36"/>
        <v>-2695.4481872008578</v>
      </c>
      <c r="BW33" s="527">
        <f t="shared" si="36"/>
        <v>-2695.4481872008578</v>
      </c>
      <c r="BX33" s="527">
        <f t="shared" si="36"/>
        <v>-2695.4481872008578</v>
      </c>
      <c r="BY33" s="527">
        <f t="shared" si="36"/>
        <v>-2695.4481872008578</v>
      </c>
      <c r="CB33" s="8"/>
    </row>
    <row r="34" spans="3:80" x14ac:dyDescent="0.3">
      <c r="C34" s="2"/>
      <c r="D34" s="2"/>
      <c r="E34" s="4" t="s">
        <v>394</v>
      </c>
      <c r="F34" s="5"/>
      <c r="G34" s="5"/>
      <c r="H34" s="5"/>
      <c r="I34" s="500">
        <f t="shared" si="31"/>
        <v>160272.15000000002</v>
      </c>
      <c r="J34" s="500">
        <f t="shared" si="32"/>
        <v>226279.41558667162</v>
      </c>
      <c r="K34" s="498">
        <f t="shared" si="32"/>
        <v>230746.41249274719</v>
      </c>
      <c r="L34" s="500">
        <f t="shared" si="32"/>
        <v>235179.63911008902</v>
      </c>
      <c r="M34" s="500">
        <f t="shared" si="32"/>
        <v>239733.83925866746</v>
      </c>
      <c r="N34" s="500">
        <f t="shared" si="32"/>
        <v>244324.1353523914</v>
      </c>
      <c r="O34" s="57"/>
      <c r="P34" s="55">
        <f t="shared" si="33"/>
        <v>8.7981877845840106E-2</v>
      </c>
      <c r="R34" s="498">
        <f t="shared" ref="R34:BY34" si="37">SUM(R31:R33)</f>
        <v>18643.145409097917</v>
      </c>
      <c r="S34" s="500">
        <f t="shared" si="37"/>
        <v>18643.145409097917</v>
      </c>
      <c r="T34" s="498">
        <f t="shared" si="37"/>
        <v>18643.145409097917</v>
      </c>
      <c r="U34" s="500">
        <f t="shared" si="37"/>
        <v>18643.145409097917</v>
      </c>
      <c r="V34" s="500">
        <f t="shared" si="37"/>
        <v>18643.145409097917</v>
      </c>
      <c r="W34" s="500">
        <f t="shared" si="37"/>
        <v>18643.145409097917</v>
      </c>
      <c r="X34" s="500">
        <f t="shared" si="37"/>
        <v>19070.090522014023</v>
      </c>
      <c r="Y34" s="500">
        <f t="shared" si="37"/>
        <v>19070.090522014023</v>
      </c>
      <c r="Z34" s="500">
        <f t="shared" si="37"/>
        <v>19070.090522014023</v>
      </c>
      <c r="AA34" s="500">
        <f t="shared" si="37"/>
        <v>19070.090522014023</v>
      </c>
      <c r="AB34" s="500">
        <f t="shared" si="37"/>
        <v>19070.090522014023</v>
      </c>
      <c r="AC34" s="500">
        <f t="shared" si="37"/>
        <v>19070.090522014023</v>
      </c>
      <c r="AD34" s="500">
        <f t="shared" si="37"/>
        <v>18973.495593669762</v>
      </c>
      <c r="AE34" s="500">
        <f t="shared" si="37"/>
        <v>18973.495593669762</v>
      </c>
      <c r="AF34" s="500">
        <f t="shared" si="37"/>
        <v>18973.495593669762</v>
      </c>
      <c r="AG34" s="500">
        <f t="shared" si="37"/>
        <v>18973.495593669762</v>
      </c>
      <c r="AH34" s="500">
        <f t="shared" si="37"/>
        <v>18973.495593669762</v>
      </c>
      <c r="AI34" s="500">
        <f t="shared" si="37"/>
        <v>18973.495593669762</v>
      </c>
      <c r="AJ34" s="500">
        <f t="shared" si="37"/>
        <v>19484.239821788105</v>
      </c>
      <c r="AK34" s="500">
        <f t="shared" si="37"/>
        <v>19484.239821788105</v>
      </c>
      <c r="AL34" s="500">
        <f t="shared" si="37"/>
        <v>19484.239821788105</v>
      </c>
      <c r="AM34" s="500">
        <f t="shared" si="37"/>
        <v>19484.239821788105</v>
      </c>
      <c r="AN34" s="532">
        <f t="shared" si="37"/>
        <v>19484.239821788105</v>
      </c>
      <c r="AO34" s="532">
        <f t="shared" si="37"/>
        <v>19484.239821788105</v>
      </c>
      <c r="AP34" s="532">
        <f t="shared" si="37"/>
        <v>19301.574773525979</v>
      </c>
      <c r="AQ34" s="532">
        <f t="shared" si="37"/>
        <v>19301.574773525979</v>
      </c>
      <c r="AR34" s="532">
        <f t="shared" si="37"/>
        <v>19301.574773525979</v>
      </c>
      <c r="AS34" s="532">
        <f t="shared" si="37"/>
        <v>19301.574773525979</v>
      </c>
      <c r="AT34" s="532">
        <f t="shared" si="37"/>
        <v>19301.574773525979</v>
      </c>
      <c r="AU34" s="532">
        <f t="shared" si="37"/>
        <v>19301.574773525979</v>
      </c>
      <c r="AV34" s="532">
        <f t="shared" si="37"/>
        <v>19895.031744822183</v>
      </c>
      <c r="AW34" s="532">
        <f t="shared" si="37"/>
        <v>19895.031744822183</v>
      </c>
      <c r="AX34" s="532">
        <f t="shared" si="37"/>
        <v>19895.031744822183</v>
      </c>
      <c r="AY34" s="532">
        <f t="shared" si="37"/>
        <v>19895.031744822183</v>
      </c>
      <c r="AZ34" s="532">
        <f t="shared" si="37"/>
        <v>19895.031744822183</v>
      </c>
      <c r="BA34" s="532">
        <f t="shared" si="37"/>
        <v>19895.031744822183</v>
      </c>
      <c r="BB34" s="532">
        <f t="shared" si="37"/>
        <v>19640.024009878907</v>
      </c>
      <c r="BC34" s="532">
        <f t="shared" si="37"/>
        <v>19640.024009878907</v>
      </c>
      <c r="BD34" s="532">
        <f t="shared" si="37"/>
        <v>19640.024009878907</v>
      </c>
      <c r="BE34" s="532">
        <f t="shared" si="37"/>
        <v>19640.024009878907</v>
      </c>
      <c r="BF34" s="532">
        <f t="shared" si="37"/>
        <v>19640.024009878907</v>
      </c>
      <c r="BG34" s="532">
        <f t="shared" si="37"/>
        <v>19640.024009878907</v>
      </c>
      <c r="BH34" s="532">
        <f t="shared" si="37"/>
        <v>20315.615866565666</v>
      </c>
      <c r="BI34" s="532">
        <f t="shared" si="37"/>
        <v>20315.615866565666</v>
      </c>
      <c r="BJ34" s="532">
        <f t="shared" si="37"/>
        <v>20315.615866565666</v>
      </c>
      <c r="BK34" s="532">
        <f t="shared" si="37"/>
        <v>20315.615866565666</v>
      </c>
      <c r="BL34" s="532">
        <f t="shared" si="37"/>
        <v>20315.615866565666</v>
      </c>
      <c r="BM34" s="532">
        <f t="shared" si="37"/>
        <v>20315.615866565666</v>
      </c>
      <c r="BN34" s="532">
        <f t="shared" si="37"/>
        <v>19982.234506923949</v>
      </c>
      <c r="BO34" s="532">
        <f t="shared" si="37"/>
        <v>19982.234506923949</v>
      </c>
      <c r="BP34" s="532">
        <f t="shared" si="37"/>
        <v>19982.234506923949</v>
      </c>
      <c r="BQ34" s="532">
        <f t="shared" si="37"/>
        <v>19982.234506923949</v>
      </c>
      <c r="BR34" s="532">
        <f t="shared" si="37"/>
        <v>19982.234506923949</v>
      </c>
      <c r="BS34" s="532">
        <f t="shared" si="37"/>
        <v>19982.234506923949</v>
      </c>
      <c r="BT34" s="532">
        <f t="shared" si="37"/>
        <v>20738.454718474615</v>
      </c>
      <c r="BU34" s="532">
        <f t="shared" si="37"/>
        <v>20738.454718474615</v>
      </c>
      <c r="BV34" s="532">
        <f t="shared" si="37"/>
        <v>20738.454718474615</v>
      </c>
      <c r="BW34" s="532">
        <f t="shared" si="37"/>
        <v>20738.454718474615</v>
      </c>
      <c r="BX34" s="532">
        <f t="shared" si="37"/>
        <v>20738.454718474615</v>
      </c>
      <c r="BY34" s="532">
        <f t="shared" si="37"/>
        <v>20738.454718474615</v>
      </c>
      <c r="CB34" s="8"/>
    </row>
    <row r="35" spans="3:80" x14ac:dyDescent="0.3">
      <c r="C35" s="2"/>
      <c r="D35" s="2"/>
      <c r="E35" s="2" t="s">
        <v>395</v>
      </c>
      <c r="F35" s="54"/>
      <c r="G35" s="54"/>
      <c r="H35" s="54"/>
      <c r="I35" s="497">
        <f t="shared" si="31"/>
        <v>-49539.802762579428</v>
      </c>
      <c r="J35" s="497">
        <f>SUMIF($R$2:$BY$2,J$3,$R35:$BY35)</f>
        <v>-50107.056201314852</v>
      </c>
      <c r="K35" s="497">
        <f t="shared" si="32"/>
        <v>-51096.222911170087</v>
      </c>
      <c r="L35" s="497">
        <f t="shared" si="32"/>
        <v>-52077.911566730661</v>
      </c>
      <c r="M35" s="497">
        <f t="shared" si="32"/>
        <v>-53086.388463337484</v>
      </c>
      <c r="N35" s="497">
        <f t="shared" si="32"/>
        <v>-54102.858404947357</v>
      </c>
      <c r="O35" s="37"/>
      <c r="P35" s="50">
        <f t="shared" si="33"/>
        <v>1.7778301040401123E-2</v>
      </c>
      <c r="R35" s="497">
        <f t="shared" ref="R35:BY35" si="38">R320</f>
        <v>-4128.316896881619</v>
      </c>
      <c r="S35" s="497">
        <f t="shared" si="38"/>
        <v>-4128.316896881619</v>
      </c>
      <c r="T35" s="497">
        <f t="shared" si="38"/>
        <v>-4128.316896881619</v>
      </c>
      <c r="U35" s="497">
        <f t="shared" si="38"/>
        <v>-4128.316896881619</v>
      </c>
      <c r="V35" s="497">
        <f t="shared" si="38"/>
        <v>-4128.316896881619</v>
      </c>
      <c r="W35" s="497">
        <f t="shared" si="38"/>
        <v>-4128.316896881619</v>
      </c>
      <c r="X35" s="497">
        <f t="shared" si="38"/>
        <v>-4222.8591366708588</v>
      </c>
      <c r="Y35" s="497">
        <f t="shared" si="38"/>
        <v>-4222.8591366708588</v>
      </c>
      <c r="Z35" s="497">
        <f t="shared" si="38"/>
        <v>-4222.8591366708588</v>
      </c>
      <c r="AA35" s="497">
        <f t="shared" si="38"/>
        <v>-4222.8591366708588</v>
      </c>
      <c r="AB35" s="497">
        <f t="shared" si="38"/>
        <v>-4222.8591366708588</v>
      </c>
      <c r="AC35" s="497">
        <f t="shared" si="38"/>
        <v>-4222.8591366708588</v>
      </c>
      <c r="AD35" s="497">
        <f t="shared" si="38"/>
        <v>-4201.4692656975812</v>
      </c>
      <c r="AE35" s="497">
        <f t="shared" si="38"/>
        <v>-4201.4692656975812</v>
      </c>
      <c r="AF35" s="497">
        <f t="shared" si="38"/>
        <v>-4201.4692656975812</v>
      </c>
      <c r="AG35" s="497">
        <f t="shared" si="38"/>
        <v>-4201.4692656975812</v>
      </c>
      <c r="AH35" s="497">
        <f t="shared" si="38"/>
        <v>-4201.4692656975812</v>
      </c>
      <c r="AI35" s="497">
        <f t="shared" si="38"/>
        <v>-4201.4692656975812</v>
      </c>
      <c r="AJ35" s="497">
        <f t="shared" si="38"/>
        <v>-4314.5678861640999</v>
      </c>
      <c r="AK35" s="497">
        <f t="shared" si="38"/>
        <v>-4314.5678861640999</v>
      </c>
      <c r="AL35" s="497">
        <f t="shared" si="38"/>
        <v>-4314.5678861640999</v>
      </c>
      <c r="AM35" s="497">
        <f t="shared" si="38"/>
        <v>-4314.5678861640999</v>
      </c>
      <c r="AN35" s="527">
        <f t="shared" si="38"/>
        <v>-4314.5678861640999</v>
      </c>
      <c r="AO35" s="527">
        <f t="shared" si="38"/>
        <v>-4314.5678861640999</v>
      </c>
      <c r="AP35" s="527">
        <f t="shared" si="38"/>
        <v>-4274.1187458145214</v>
      </c>
      <c r="AQ35" s="527">
        <f t="shared" si="38"/>
        <v>-4274.1187458145214</v>
      </c>
      <c r="AR35" s="527">
        <f t="shared" si="38"/>
        <v>-4274.1187458145214</v>
      </c>
      <c r="AS35" s="527">
        <f t="shared" si="38"/>
        <v>-4274.1187458145214</v>
      </c>
      <c r="AT35" s="527">
        <f t="shared" si="38"/>
        <v>-4274.1187458145214</v>
      </c>
      <c r="AU35" s="527">
        <f t="shared" si="38"/>
        <v>-4274.1187458145214</v>
      </c>
      <c r="AV35" s="527">
        <f t="shared" si="38"/>
        <v>-4405.5331819739204</v>
      </c>
      <c r="AW35" s="527">
        <f t="shared" si="38"/>
        <v>-4405.5331819739204</v>
      </c>
      <c r="AX35" s="527">
        <f t="shared" si="38"/>
        <v>-4405.5331819739204</v>
      </c>
      <c r="AY35" s="527">
        <f t="shared" si="38"/>
        <v>-4405.5331819739204</v>
      </c>
      <c r="AZ35" s="527">
        <f t="shared" si="38"/>
        <v>-4405.5331819739204</v>
      </c>
      <c r="BA35" s="527">
        <f t="shared" si="38"/>
        <v>-4405.5331819739204</v>
      </c>
      <c r="BB35" s="527">
        <f t="shared" si="38"/>
        <v>-4349.0645594372909</v>
      </c>
      <c r="BC35" s="527">
        <f t="shared" si="38"/>
        <v>-4349.0645594372909</v>
      </c>
      <c r="BD35" s="527">
        <f t="shared" si="38"/>
        <v>-4349.0645594372909</v>
      </c>
      <c r="BE35" s="527">
        <f t="shared" si="38"/>
        <v>-4349.0645594372909</v>
      </c>
      <c r="BF35" s="527">
        <f t="shared" si="38"/>
        <v>-4349.0645594372909</v>
      </c>
      <c r="BG35" s="527">
        <f t="shared" si="38"/>
        <v>-4349.0645594372909</v>
      </c>
      <c r="BH35" s="527">
        <f t="shared" si="38"/>
        <v>-4498.6668511189582</v>
      </c>
      <c r="BI35" s="527">
        <f t="shared" si="38"/>
        <v>-4498.6668511189582</v>
      </c>
      <c r="BJ35" s="527">
        <f t="shared" si="38"/>
        <v>-4498.6668511189582</v>
      </c>
      <c r="BK35" s="527">
        <f t="shared" si="38"/>
        <v>-4498.6668511189582</v>
      </c>
      <c r="BL35" s="527">
        <f t="shared" si="38"/>
        <v>-4498.6668511189582</v>
      </c>
      <c r="BM35" s="527">
        <f t="shared" si="38"/>
        <v>-4498.6668511189582</v>
      </c>
      <c r="BN35" s="527">
        <f t="shared" si="38"/>
        <v>-4424.8432623460758</v>
      </c>
      <c r="BO35" s="527">
        <f t="shared" si="38"/>
        <v>-4424.8432623460758</v>
      </c>
      <c r="BP35" s="527">
        <f t="shared" si="38"/>
        <v>-4424.8432623460758</v>
      </c>
      <c r="BQ35" s="527">
        <f t="shared" si="38"/>
        <v>-4424.8432623460758</v>
      </c>
      <c r="BR35" s="527">
        <f t="shared" si="38"/>
        <v>-4424.8432623460758</v>
      </c>
      <c r="BS35" s="527">
        <f t="shared" si="38"/>
        <v>-4424.8432623460758</v>
      </c>
      <c r="BT35" s="527">
        <f t="shared" si="38"/>
        <v>-4592.2998051451523</v>
      </c>
      <c r="BU35" s="527">
        <f t="shared" si="38"/>
        <v>-4592.2998051451523</v>
      </c>
      <c r="BV35" s="527">
        <f t="shared" si="38"/>
        <v>-4592.2998051451523</v>
      </c>
      <c r="BW35" s="527">
        <f t="shared" si="38"/>
        <v>-4592.2998051451523</v>
      </c>
      <c r="BX35" s="527">
        <f t="shared" si="38"/>
        <v>-4592.2998051451523</v>
      </c>
      <c r="BY35" s="527">
        <f t="shared" si="38"/>
        <v>-4592.2998051451523</v>
      </c>
      <c r="CB35" s="8"/>
    </row>
    <row r="36" spans="3:80" x14ac:dyDescent="0.3">
      <c r="C36" s="2"/>
      <c r="D36" s="2"/>
      <c r="E36" s="4" t="s">
        <v>396</v>
      </c>
      <c r="F36" s="5"/>
      <c r="G36" s="5"/>
      <c r="H36" s="5"/>
      <c r="I36" s="498">
        <f t="shared" si="31"/>
        <v>174177.94214659548</v>
      </c>
      <c r="J36" s="498">
        <f>SUMIF($R$2:$BY$2,J$3,$R36:$BY36)</f>
        <v>176172.35938535674</v>
      </c>
      <c r="K36" s="498">
        <f t="shared" si="32"/>
        <v>179650.18958157711</v>
      </c>
      <c r="L36" s="498">
        <f t="shared" si="32"/>
        <v>183101.72754335828</v>
      </c>
      <c r="M36" s="498">
        <f t="shared" si="32"/>
        <v>186647.45079532993</v>
      </c>
      <c r="N36" s="498">
        <f t="shared" si="32"/>
        <v>190221.27694744401</v>
      </c>
      <c r="O36" s="57"/>
      <c r="P36" s="55">
        <f t="shared" si="33"/>
        <v>1.7778301040401123E-2</v>
      </c>
      <c r="R36" s="498">
        <f t="shared" ref="R36:BY36" si="39">SUM(R34:R35)</f>
        <v>14514.828512216298</v>
      </c>
      <c r="S36" s="498">
        <f t="shared" si="39"/>
        <v>14514.828512216298</v>
      </c>
      <c r="T36" s="498">
        <f t="shared" si="39"/>
        <v>14514.828512216298</v>
      </c>
      <c r="U36" s="498">
        <f t="shared" si="39"/>
        <v>14514.828512216298</v>
      </c>
      <c r="V36" s="498">
        <f t="shared" si="39"/>
        <v>14514.828512216298</v>
      </c>
      <c r="W36" s="498">
        <f t="shared" si="39"/>
        <v>14514.828512216298</v>
      </c>
      <c r="X36" s="498">
        <f t="shared" si="39"/>
        <v>14847.231385343164</v>
      </c>
      <c r="Y36" s="498">
        <f t="shared" si="39"/>
        <v>14847.231385343164</v>
      </c>
      <c r="Z36" s="498">
        <f t="shared" si="39"/>
        <v>14847.231385343164</v>
      </c>
      <c r="AA36" s="498">
        <f t="shared" si="39"/>
        <v>14847.231385343164</v>
      </c>
      <c r="AB36" s="498">
        <f t="shared" si="39"/>
        <v>14847.231385343164</v>
      </c>
      <c r="AC36" s="498">
        <f t="shared" si="39"/>
        <v>14847.231385343164</v>
      </c>
      <c r="AD36" s="498">
        <f t="shared" si="39"/>
        <v>14772.02632797218</v>
      </c>
      <c r="AE36" s="498">
        <f t="shared" si="39"/>
        <v>14772.02632797218</v>
      </c>
      <c r="AF36" s="498">
        <f t="shared" si="39"/>
        <v>14772.02632797218</v>
      </c>
      <c r="AG36" s="498">
        <f t="shared" si="39"/>
        <v>14772.02632797218</v>
      </c>
      <c r="AH36" s="498">
        <f t="shared" si="39"/>
        <v>14772.02632797218</v>
      </c>
      <c r="AI36" s="498">
        <f t="shared" si="39"/>
        <v>14772.02632797218</v>
      </c>
      <c r="AJ36" s="498">
        <f t="shared" si="39"/>
        <v>15169.671935624006</v>
      </c>
      <c r="AK36" s="498">
        <f t="shared" si="39"/>
        <v>15169.671935624006</v>
      </c>
      <c r="AL36" s="498">
        <f t="shared" si="39"/>
        <v>15169.671935624006</v>
      </c>
      <c r="AM36" s="498">
        <f t="shared" si="39"/>
        <v>15169.671935624006</v>
      </c>
      <c r="AN36" s="530">
        <f t="shared" si="39"/>
        <v>15169.671935624006</v>
      </c>
      <c r="AO36" s="530">
        <f t="shared" si="39"/>
        <v>15169.671935624006</v>
      </c>
      <c r="AP36" s="530">
        <f t="shared" si="39"/>
        <v>15027.456027711458</v>
      </c>
      <c r="AQ36" s="530">
        <f t="shared" si="39"/>
        <v>15027.456027711458</v>
      </c>
      <c r="AR36" s="530">
        <f t="shared" si="39"/>
        <v>15027.456027711458</v>
      </c>
      <c r="AS36" s="530">
        <f t="shared" si="39"/>
        <v>15027.456027711458</v>
      </c>
      <c r="AT36" s="530">
        <f t="shared" si="39"/>
        <v>15027.456027711458</v>
      </c>
      <c r="AU36" s="530">
        <f t="shared" si="39"/>
        <v>15027.456027711458</v>
      </c>
      <c r="AV36" s="530">
        <f t="shared" si="39"/>
        <v>15489.498562848263</v>
      </c>
      <c r="AW36" s="530">
        <f t="shared" si="39"/>
        <v>15489.498562848263</v>
      </c>
      <c r="AX36" s="530">
        <f t="shared" si="39"/>
        <v>15489.498562848263</v>
      </c>
      <c r="AY36" s="530">
        <f t="shared" si="39"/>
        <v>15489.498562848263</v>
      </c>
      <c r="AZ36" s="530">
        <f t="shared" si="39"/>
        <v>15489.498562848263</v>
      </c>
      <c r="BA36" s="530">
        <f t="shared" si="39"/>
        <v>15489.498562848263</v>
      </c>
      <c r="BB36" s="530">
        <f t="shared" si="39"/>
        <v>15290.959450441616</v>
      </c>
      <c r="BC36" s="530">
        <f t="shared" si="39"/>
        <v>15290.959450441616</v>
      </c>
      <c r="BD36" s="530">
        <f t="shared" si="39"/>
        <v>15290.959450441616</v>
      </c>
      <c r="BE36" s="530">
        <f t="shared" si="39"/>
        <v>15290.959450441616</v>
      </c>
      <c r="BF36" s="530">
        <f t="shared" si="39"/>
        <v>15290.959450441616</v>
      </c>
      <c r="BG36" s="530">
        <f t="shared" si="39"/>
        <v>15290.959450441616</v>
      </c>
      <c r="BH36" s="530">
        <f t="shared" si="39"/>
        <v>15816.949015446708</v>
      </c>
      <c r="BI36" s="530">
        <f t="shared" si="39"/>
        <v>15816.949015446708</v>
      </c>
      <c r="BJ36" s="530">
        <f t="shared" si="39"/>
        <v>15816.949015446708</v>
      </c>
      <c r="BK36" s="530">
        <f t="shared" si="39"/>
        <v>15816.949015446708</v>
      </c>
      <c r="BL36" s="530">
        <f t="shared" si="39"/>
        <v>15816.949015446708</v>
      </c>
      <c r="BM36" s="530">
        <f t="shared" si="39"/>
        <v>15816.949015446708</v>
      </c>
      <c r="BN36" s="530">
        <f t="shared" si="39"/>
        <v>15557.391244577873</v>
      </c>
      <c r="BO36" s="530">
        <f t="shared" si="39"/>
        <v>15557.391244577873</v>
      </c>
      <c r="BP36" s="530">
        <f t="shared" si="39"/>
        <v>15557.391244577873</v>
      </c>
      <c r="BQ36" s="530">
        <f t="shared" si="39"/>
        <v>15557.391244577873</v>
      </c>
      <c r="BR36" s="530">
        <f t="shared" si="39"/>
        <v>15557.391244577873</v>
      </c>
      <c r="BS36" s="530">
        <f t="shared" si="39"/>
        <v>15557.391244577873</v>
      </c>
      <c r="BT36" s="530">
        <f t="shared" si="39"/>
        <v>16146.154913329463</v>
      </c>
      <c r="BU36" s="530">
        <f t="shared" si="39"/>
        <v>16146.154913329463</v>
      </c>
      <c r="BV36" s="530">
        <f t="shared" si="39"/>
        <v>16146.154913329463</v>
      </c>
      <c r="BW36" s="530">
        <f t="shared" si="39"/>
        <v>16146.154913329463</v>
      </c>
      <c r="BX36" s="530">
        <f t="shared" si="39"/>
        <v>16146.154913329463</v>
      </c>
      <c r="BY36" s="530">
        <f t="shared" si="39"/>
        <v>16146.154913329463</v>
      </c>
      <c r="CB36" s="8"/>
    </row>
    <row r="37" spans="3:80" x14ac:dyDescent="0.3">
      <c r="C37" s="2"/>
      <c r="D37" s="2"/>
      <c r="E37" s="2" t="s">
        <v>176</v>
      </c>
      <c r="F37" s="58"/>
      <c r="G37" s="58"/>
      <c r="H37" s="58"/>
      <c r="I37" s="499">
        <f t="shared" ref="I37:N37" si="40">IFERROR(I36/I31,0)</f>
        <v>0.34988083366032996</v>
      </c>
      <c r="J37" s="499">
        <f>IFERROR(J36/J31,0)</f>
        <v>0.34988083366033002</v>
      </c>
      <c r="K37" s="499">
        <f t="shared" si="40"/>
        <v>0.34988083366033002</v>
      </c>
      <c r="L37" s="499">
        <f t="shared" si="40"/>
        <v>0.34988083366032996</v>
      </c>
      <c r="M37" s="499">
        <f t="shared" si="40"/>
        <v>0.34988083366032996</v>
      </c>
      <c r="N37" s="499">
        <f t="shared" si="40"/>
        <v>0.34988083366033013</v>
      </c>
      <c r="O37" s="23"/>
      <c r="P37" s="50">
        <f t="shared" si="33"/>
        <v>0</v>
      </c>
      <c r="R37" s="499">
        <f t="shared" ref="R37:BY37" si="41">IFERROR(R36/R31,0)</f>
        <v>0.34988083366033007</v>
      </c>
      <c r="S37" s="499">
        <f t="shared" si="41"/>
        <v>0.34988083366033007</v>
      </c>
      <c r="T37" s="499">
        <f t="shared" si="41"/>
        <v>0.34988083366033007</v>
      </c>
      <c r="U37" s="499">
        <f t="shared" si="41"/>
        <v>0.34988083366033007</v>
      </c>
      <c r="V37" s="499">
        <f t="shared" si="41"/>
        <v>0.34988083366033007</v>
      </c>
      <c r="W37" s="499">
        <f t="shared" si="41"/>
        <v>0.34988083366033007</v>
      </c>
      <c r="X37" s="499">
        <f t="shared" si="41"/>
        <v>0.34988083366033002</v>
      </c>
      <c r="Y37" s="499">
        <f t="shared" si="41"/>
        <v>0.34988083366033002</v>
      </c>
      <c r="Z37" s="499">
        <f t="shared" si="41"/>
        <v>0.34988083366033002</v>
      </c>
      <c r="AA37" s="499">
        <f t="shared" si="41"/>
        <v>0.34988083366033002</v>
      </c>
      <c r="AB37" s="499">
        <f t="shared" si="41"/>
        <v>0.34988083366033002</v>
      </c>
      <c r="AC37" s="499">
        <f t="shared" si="41"/>
        <v>0.34988083366033002</v>
      </c>
      <c r="AD37" s="499">
        <f t="shared" si="41"/>
        <v>0.3498808336603299</v>
      </c>
      <c r="AE37" s="499">
        <f t="shared" si="41"/>
        <v>0.3498808336603299</v>
      </c>
      <c r="AF37" s="499">
        <f t="shared" si="41"/>
        <v>0.3498808336603299</v>
      </c>
      <c r="AG37" s="499">
        <f t="shared" si="41"/>
        <v>0.3498808336603299</v>
      </c>
      <c r="AH37" s="499">
        <f t="shared" si="41"/>
        <v>0.3498808336603299</v>
      </c>
      <c r="AI37" s="499">
        <f t="shared" si="41"/>
        <v>0.3498808336603299</v>
      </c>
      <c r="AJ37" s="499">
        <f t="shared" si="41"/>
        <v>0.34988083366033007</v>
      </c>
      <c r="AK37" s="499">
        <f t="shared" si="41"/>
        <v>0.34988083366033007</v>
      </c>
      <c r="AL37" s="499">
        <f t="shared" si="41"/>
        <v>0.34988083366033007</v>
      </c>
      <c r="AM37" s="499">
        <f t="shared" si="41"/>
        <v>0.34988083366033007</v>
      </c>
      <c r="AN37" s="531">
        <f t="shared" si="41"/>
        <v>0.34988083366033007</v>
      </c>
      <c r="AO37" s="531">
        <f t="shared" si="41"/>
        <v>0.34988083366033007</v>
      </c>
      <c r="AP37" s="531">
        <f t="shared" si="41"/>
        <v>0.34988083366032996</v>
      </c>
      <c r="AQ37" s="531">
        <f t="shared" si="41"/>
        <v>0.34988083366032996</v>
      </c>
      <c r="AR37" s="531">
        <f t="shared" si="41"/>
        <v>0.34988083366032996</v>
      </c>
      <c r="AS37" s="531">
        <f t="shared" si="41"/>
        <v>0.34988083366032996</v>
      </c>
      <c r="AT37" s="531">
        <f t="shared" si="41"/>
        <v>0.34988083366032996</v>
      </c>
      <c r="AU37" s="531">
        <f t="shared" si="41"/>
        <v>0.34988083366032996</v>
      </c>
      <c r="AV37" s="531">
        <f t="shared" si="41"/>
        <v>0.34988083366033002</v>
      </c>
      <c r="AW37" s="531">
        <f t="shared" si="41"/>
        <v>0.34988083366033002</v>
      </c>
      <c r="AX37" s="531">
        <f t="shared" si="41"/>
        <v>0.34988083366033002</v>
      </c>
      <c r="AY37" s="531">
        <f t="shared" si="41"/>
        <v>0.34988083366033002</v>
      </c>
      <c r="AZ37" s="531">
        <f t="shared" si="41"/>
        <v>0.34988083366033002</v>
      </c>
      <c r="BA37" s="531">
        <f t="shared" si="41"/>
        <v>0.34988083366033002</v>
      </c>
      <c r="BB37" s="531">
        <f t="shared" si="41"/>
        <v>0.34988083366033002</v>
      </c>
      <c r="BC37" s="531">
        <f t="shared" si="41"/>
        <v>0.34988083366033002</v>
      </c>
      <c r="BD37" s="531">
        <f t="shared" si="41"/>
        <v>0.34988083366033002</v>
      </c>
      <c r="BE37" s="531">
        <f t="shared" si="41"/>
        <v>0.34988083366033002</v>
      </c>
      <c r="BF37" s="531">
        <f t="shared" si="41"/>
        <v>0.34988083366033002</v>
      </c>
      <c r="BG37" s="531">
        <f t="shared" si="41"/>
        <v>0.34988083366033002</v>
      </c>
      <c r="BH37" s="531">
        <f t="shared" si="41"/>
        <v>0.34988083366032996</v>
      </c>
      <c r="BI37" s="531">
        <f t="shared" si="41"/>
        <v>0.34988083366032996</v>
      </c>
      <c r="BJ37" s="531">
        <f t="shared" si="41"/>
        <v>0.34988083366032996</v>
      </c>
      <c r="BK37" s="531">
        <f t="shared" si="41"/>
        <v>0.34988083366032996</v>
      </c>
      <c r="BL37" s="531">
        <f t="shared" si="41"/>
        <v>0.34988083366032996</v>
      </c>
      <c r="BM37" s="531">
        <f t="shared" si="41"/>
        <v>0.34988083366032996</v>
      </c>
      <c r="BN37" s="531">
        <f t="shared" si="41"/>
        <v>0.34988083366033002</v>
      </c>
      <c r="BO37" s="531">
        <f t="shared" si="41"/>
        <v>0.34988083366033002</v>
      </c>
      <c r="BP37" s="531">
        <f t="shared" si="41"/>
        <v>0.34988083366033002</v>
      </c>
      <c r="BQ37" s="531">
        <f t="shared" si="41"/>
        <v>0.34988083366033002</v>
      </c>
      <c r="BR37" s="531">
        <f t="shared" si="41"/>
        <v>0.34988083366033002</v>
      </c>
      <c r="BS37" s="531">
        <f t="shared" si="41"/>
        <v>0.34988083366033002</v>
      </c>
      <c r="BT37" s="531">
        <f t="shared" si="41"/>
        <v>0.34988083366033002</v>
      </c>
      <c r="BU37" s="531">
        <f t="shared" si="41"/>
        <v>0.34988083366033002</v>
      </c>
      <c r="BV37" s="531">
        <f t="shared" si="41"/>
        <v>0.34988083366033002</v>
      </c>
      <c r="BW37" s="531">
        <f t="shared" si="41"/>
        <v>0.34988083366033002</v>
      </c>
      <c r="BX37" s="531">
        <f t="shared" si="41"/>
        <v>0.34988083366033002</v>
      </c>
      <c r="BY37" s="531">
        <f t="shared" si="41"/>
        <v>0.34988083366033002</v>
      </c>
    </row>
    <row r="38" spans="3:80" x14ac:dyDescent="0.3">
      <c r="C38" s="2"/>
      <c r="D38" s="2"/>
      <c r="E38" s="2"/>
      <c r="F38" s="59"/>
      <c r="G38" s="59"/>
      <c r="H38" s="59"/>
      <c r="I38" s="60"/>
      <c r="J38" s="60"/>
      <c r="K38" s="60"/>
      <c r="L38" s="60"/>
      <c r="M38" s="60"/>
      <c r="N38" s="60"/>
      <c r="O38" s="60"/>
      <c r="P38" s="61"/>
      <c r="R38" s="60"/>
      <c r="S38" s="60"/>
      <c r="T38" s="60"/>
      <c r="U38" s="60"/>
      <c r="V38" s="60"/>
      <c r="W38" s="60"/>
      <c r="X38" s="60"/>
      <c r="Y38" s="60"/>
      <c r="Z38" s="60"/>
      <c r="AA38" s="60"/>
      <c r="AB38" s="60"/>
      <c r="AC38" s="60"/>
      <c r="AD38" s="60"/>
      <c r="AE38" s="60"/>
      <c r="AF38" s="60"/>
      <c r="AG38" s="60"/>
      <c r="AH38" s="60"/>
      <c r="AI38" s="60"/>
      <c r="AJ38" s="60"/>
      <c r="AK38" s="60"/>
      <c r="AL38" s="60"/>
      <c r="AM38" s="60"/>
      <c r="AN38" s="533"/>
      <c r="AO38" s="533"/>
      <c r="AP38" s="533"/>
      <c r="AQ38" s="533"/>
      <c r="AR38" s="533"/>
      <c r="AS38" s="533"/>
      <c r="AT38" s="533"/>
      <c r="AU38" s="533"/>
      <c r="AV38" s="533"/>
      <c r="AW38" s="533"/>
      <c r="AX38" s="533"/>
      <c r="AY38" s="533"/>
      <c r="AZ38" s="533"/>
      <c r="BA38" s="533"/>
      <c r="BB38" s="533"/>
      <c r="BC38" s="533"/>
      <c r="BD38" s="533"/>
      <c r="BE38" s="533"/>
      <c r="BF38" s="533"/>
      <c r="BG38" s="533"/>
      <c r="BH38" s="533"/>
      <c r="BI38" s="533"/>
      <c r="BJ38" s="533"/>
      <c r="BK38" s="533"/>
      <c r="BL38" s="533"/>
      <c r="BM38" s="533"/>
      <c r="BN38" s="533"/>
      <c r="BO38" s="533"/>
      <c r="BP38" s="533"/>
      <c r="BQ38" s="533"/>
      <c r="BR38" s="533"/>
      <c r="BS38" s="533"/>
      <c r="BT38" s="533"/>
      <c r="BU38" s="533"/>
      <c r="BV38" s="533"/>
      <c r="BW38" s="533"/>
      <c r="BX38" s="533"/>
      <c r="BY38" s="533"/>
    </row>
    <row r="39" spans="3:80" x14ac:dyDescent="0.3">
      <c r="C39" s="2"/>
      <c r="D39" s="2"/>
      <c r="E39" s="62" t="s">
        <v>24</v>
      </c>
      <c r="F39" s="63"/>
      <c r="G39" s="63"/>
      <c r="H39" s="63"/>
      <c r="I39" s="501">
        <f>I529</f>
        <v>2075303.8534474405</v>
      </c>
      <c r="J39" s="501">
        <f>SUMIF($R$2:$BY$2,J$3,$R39:$BY39)</f>
        <v>2208554.3969283365</v>
      </c>
      <c r="K39" s="502">
        <f>SUMIF($R$2:$BY$2,K$3,$R39:$BY39)</f>
        <v>2364661.6695827995</v>
      </c>
      <c r="L39" s="502">
        <f>SUMIF($R$2:$BY$2,L$3,$R39:$BY39)</f>
        <v>2524561.5935360091</v>
      </c>
      <c r="M39" s="502">
        <f>SUMIF($R$2:$BY$2,M$3,$R39:$BY39)</f>
        <v>2689018.3920495631</v>
      </c>
      <c r="N39" s="501">
        <f>SUMIF($R$2:$BY$2,N$3,$R39:$BY39)</f>
        <v>2862654.1728632073</v>
      </c>
      <c r="O39" s="57"/>
      <c r="P39" s="55">
        <f>IFERROR(((N39/I39)^(1/5))-1,0)</f>
        <v>6.6442486046422111E-2</v>
      </c>
      <c r="R39" s="502">
        <f t="shared" ref="R39:BY39" si="42">R27+R36</f>
        <v>181962.64410125514</v>
      </c>
      <c r="S39" s="502">
        <f t="shared" si="42"/>
        <v>181962.64410125514</v>
      </c>
      <c r="T39" s="502">
        <f t="shared" si="42"/>
        <v>181962.64410125514</v>
      </c>
      <c r="U39" s="502">
        <f t="shared" si="42"/>
        <v>181962.64410125514</v>
      </c>
      <c r="V39" s="502">
        <f t="shared" si="42"/>
        <v>181962.64410125514</v>
      </c>
      <c r="W39" s="502">
        <f t="shared" si="42"/>
        <v>181962.64410125514</v>
      </c>
      <c r="X39" s="502">
        <f t="shared" si="42"/>
        <v>186129.75538680097</v>
      </c>
      <c r="Y39" s="502">
        <f t="shared" si="42"/>
        <v>186129.75538680097</v>
      </c>
      <c r="Z39" s="502">
        <f t="shared" si="42"/>
        <v>186129.75538680097</v>
      </c>
      <c r="AA39" s="502">
        <f t="shared" si="42"/>
        <v>186129.75538680097</v>
      </c>
      <c r="AB39" s="502">
        <f t="shared" si="42"/>
        <v>186129.75538680097</v>
      </c>
      <c r="AC39" s="502">
        <f t="shared" si="42"/>
        <v>186129.75538680097</v>
      </c>
      <c r="AD39" s="502">
        <f t="shared" si="42"/>
        <v>194438.11621452298</v>
      </c>
      <c r="AE39" s="502">
        <f t="shared" si="42"/>
        <v>194438.11621452298</v>
      </c>
      <c r="AF39" s="502">
        <f t="shared" si="42"/>
        <v>194438.11621452298</v>
      </c>
      <c r="AG39" s="502">
        <f t="shared" si="42"/>
        <v>194438.11621452298</v>
      </c>
      <c r="AH39" s="502">
        <f t="shared" si="42"/>
        <v>194438.11621452298</v>
      </c>
      <c r="AI39" s="502">
        <f t="shared" si="42"/>
        <v>194438.11621452298</v>
      </c>
      <c r="AJ39" s="502">
        <f t="shared" si="42"/>
        <v>199672.16204927693</v>
      </c>
      <c r="AK39" s="502">
        <f t="shared" si="42"/>
        <v>199672.16204927693</v>
      </c>
      <c r="AL39" s="502">
        <f t="shared" si="42"/>
        <v>199672.16204927693</v>
      </c>
      <c r="AM39" s="502">
        <f t="shared" si="42"/>
        <v>199672.16204927693</v>
      </c>
      <c r="AN39" s="534">
        <f t="shared" si="42"/>
        <v>199672.16204927693</v>
      </c>
      <c r="AO39" s="534">
        <f t="shared" si="42"/>
        <v>199672.16204927693</v>
      </c>
      <c r="AP39" s="534">
        <f t="shared" si="42"/>
        <v>207194.86836697336</v>
      </c>
      <c r="AQ39" s="534">
        <f t="shared" si="42"/>
        <v>207194.86836697336</v>
      </c>
      <c r="AR39" s="534">
        <f t="shared" si="42"/>
        <v>207194.86836697336</v>
      </c>
      <c r="AS39" s="534">
        <f t="shared" si="42"/>
        <v>207194.86836697336</v>
      </c>
      <c r="AT39" s="534">
        <f t="shared" si="42"/>
        <v>207194.86836697336</v>
      </c>
      <c r="AU39" s="534">
        <f t="shared" si="42"/>
        <v>207194.86836697336</v>
      </c>
      <c r="AV39" s="534">
        <f t="shared" si="42"/>
        <v>213565.39722236141</v>
      </c>
      <c r="AW39" s="534">
        <f t="shared" si="42"/>
        <v>213565.39722236141</v>
      </c>
      <c r="AX39" s="534">
        <f t="shared" si="42"/>
        <v>213565.39722236141</v>
      </c>
      <c r="AY39" s="534">
        <f t="shared" si="42"/>
        <v>213565.39722236141</v>
      </c>
      <c r="AZ39" s="534">
        <f t="shared" si="42"/>
        <v>213565.39722236141</v>
      </c>
      <c r="BA39" s="534">
        <f t="shared" si="42"/>
        <v>213565.39722236141</v>
      </c>
      <c r="BB39" s="534">
        <f t="shared" si="42"/>
        <v>220295.9162802044</v>
      </c>
      <c r="BC39" s="534">
        <f t="shared" si="42"/>
        <v>220295.9162802044</v>
      </c>
      <c r="BD39" s="534">
        <f t="shared" si="42"/>
        <v>220295.9162802044</v>
      </c>
      <c r="BE39" s="534">
        <f t="shared" si="42"/>
        <v>220295.9162802044</v>
      </c>
      <c r="BF39" s="534">
        <f t="shared" si="42"/>
        <v>220295.9162802044</v>
      </c>
      <c r="BG39" s="534">
        <f t="shared" si="42"/>
        <v>220295.9162802044</v>
      </c>
      <c r="BH39" s="534">
        <f t="shared" si="42"/>
        <v>227873.81572805607</v>
      </c>
      <c r="BI39" s="534">
        <f t="shared" si="42"/>
        <v>227873.81572805607</v>
      </c>
      <c r="BJ39" s="534">
        <f t="shared" si="42"/>
        <v>227873.81572805607</v>
      </c>
      <c r="BK39" s="534">
        <f t="shared" si="42"/>
        <v>227873.81572805607</v>
      </c>
      <c r="BL39" s="534">
        <f t="shared" si="42"/>
        <v>227873.81572805607</v>
      </c>
      <c r="BM39" s="534">
        <f t="shared" si="42"/>
        <v>227873.81572805607</v>
      </c>
      <c r="BN39" s="534">
        <f t="shared" si="42"/>
        <v>234124.34024118667</v>
      </c>
      <c r="BO39" s="534">
        <f t="shared" si="42"/>
        <v>234124.34024118667</v>
      </c>
      <c r="BP39" s="534">
        <f t="shared" si="42"/>
        <v>234124.34024118667</v>
      </c>
      <c r="BQ39" s="534">
        <f t="shared" si="42"/>
        <v>234124.34024118667</v>
      </c>
      <c r="BR39" s="534">
        <f t="shared" si="42"/>
        <v>234124.34024118667</v>
      </c>
      <c r="BS39" s="534">
        <f t="shared" si="42"/>
        <v>234124.34024118667</v>
      </c>
      <c r="BT39" s="534">
        <f t="shared" si="42"/>
        <v>242984.68856934796</v>
      </c>
      <c r="BU39" s="534">
        <f t="shared" si="42"/>
        <v>242984.68856934796</v>
      </c>
      <c r="BV39" s="534">
        <f t="shared" si="42"/>
        <v>242984.68856934796</v>
      </c>
      <c r="BW39" s="534">
        <f t="shared" si="42"/>
        <v>242984.68856934796</v>
      </c>
      <c r="BX39" s="534">
        <f t="shared" si="42"/>
        <v>242984.68856934796</v>
      </c>
      <c r="BY39" s="534">
        <f t="shared" si="42"/>
        <v>242984.68856934796</v>
      </c>
      <c r="CB39" s="8"/>
    </row>
    <row r="40" spans="3:80" x14ac:dyDescent="0.3">
      <c r="C40" s="2"/>
      <c r="D40" s="2"/>
      <c r="E40" s="2" t="s">
        <v>177</v>
      </c>
      <c r="F40" s="37"/>
      <c r="G40" s="37"/>
      <c r="H40" s="37"/>
      <c r="I40" s="499">
        <f t="shared" ref="I40:N40" si="43">IFERROR(I39/(I22+I31),0)</f>
        <v>0.35926569955040377</v>
      </c>
      <c r="J40" s="499">
        <f>IFERROR(J39/(J22+J31),0)</f>
        <v>0.36555030472806471</v>
      </c>
      <c r="K40" s="499">
        <f t="shared" si="43"/>
        <v>0.37145615239611562</v>
      </c>
      <c r="L40" s="499">
        <f t="shared" si="43"/>
        <v>0.37694582578896357</v>
      </c>
      <c r="M40" s="499">
        <f t="shared" si="43"/>
        <v>0.38200278750384348</v>
      </c>
      <c r="N40" s="499">
        <f t="shared" si="43"/>
        <v>0.38696522860015076</v>
      </c>
      <c r="O40" s="23"/>
      <c r="P40" s="50">
        <f>IFERROR(((N40/I40)^(1/5))-1,0)</f>
        <v>1.4965399856043504E-2</v>
      </c>
      <c r="R40" s="499">
        <f t="shared" ref="R40:BY40" si="44">IFERROR(R39/(R22+R31),0)</f>
        <v>0.36555030472806482</v>
      </c>
      <c r="S40" s="499">
        <f t="shared" si="44"/>
        <v>0.36555030472806482</v>
      </c>
      <c r="T40" s="499">
        <f t="shared" si="44"/>
        <v>0.36555030472806482</v>
      </c>
      <c r="U40" s="499">
        <f t="shared" si="44"/>
        <v>0.36555030472806482</v>
      </c>
      <c r="V40" s="499">
        <f t="shared" si="44"/>
        <v>0.36555030472806482</v>
      </c>
      <c r="W40" s="499">
        <f t="shared" si="44"/>
        <v>0.36555030472806482</v>
      </c>
      <c r="X40" s="499">
        <f t="shared" si="44"/>
        <v>0.36555030472806482</v>
      </c>
      <c r="Y40" s="499">
        <f t="shared" si="44"/>
        <v>0.36555030472806482</v>
      </c>
      <c r="Z40" s="499">
        <f t="shared" si="44"/>
        <v>0.36555030472806482</v>
      </c>
      <c r="AA40" s="499">
        <f t="shared" si="44"/>
        <v>0.36555030472806482</v>
      </c>
      <c r="AB40" s="499">
        <f t="shared" si="44"/>
        <v>0.36555030472806482</v>
      </c>
      <c r="AC40" s="499">
        <f t="shared" si="44"/>
        <v>0.36555030472806482</v>
      </c>
      <c r="AD40" s="499">
        <f t="shared" si="44"/>
        <v>0.37145615239611557</v>
      </c>
      <c r="AE40" s="499">
        <f t="shared" si="44"/>
        <v>0.37145615239611557</v>
      </c>
      <c r="AF40" s="499">
        <f t="shared" si="44"/>
        <v>0.37145615239611557</v>
      </c>
      <c r="AG40" s="499">
        <f t="shared" si="44"/>
        <v>0.37145615239611557</v>
      </c>
      <c r="AH40" s="499">
        <f t="shared" si="44"/>
        <v>0.37145615239611557</v>
      </c>
      <c r="AI40" s="499">
        <f t="shared" si="44"/>
        <v>0.37145615239611557</v>
      </c>
      <c r="AJ40" s="499">
        <f t="shared" si="44"/>
        <v>0.37145615239611557</v>
      </c>
      <c r="AK40" s="499">
        <f t="shared" si="44"/>
        <v>0.37145615239611557</v>
      </c>
      <c r="AL40" s="499">
        <f t="shared" si="44"/>
        <v>0.37145615239611557</v>
      </c>
      <c r="AM40" s="499">
        <f t="shared" si="44"/>
        <v>0.37145615239611557</v>
      </c>
      <c r="AN40" s="531">
        <f t="shared" si="44"/>
        <v>0.37145615239611557</v>
      </c>
      <c r="AO40" s="531">
        <f t="shared" si="44"/>
        <v>0.37145615239611557</v>
      </c>
      <c r="AP40" s="531">
        <f t="shared" si="44"/>
        <v>0.37694582578896363</v>
      </c>
      <c r="AQ40" s="531">
        <f t="shared" si="44"/>
        <v>0.37694582578896363</v>
      </c>
      <c r="AR40" s="531">
        <f t="shared" si="44"/>
        <v>0.37694582578896363</v>
      </c>
      <c r="AS40" s="531">
        <f t="shared" si="44"/>
        <v>0.37694582578896363</v>
      </c>
      <c r="AT40" s="531">
        <f t="shared" si="44"/>
        <v>0.37694582578896363</v>
      </c>
      <c r="AU40" s="531">
        <f t="shared" si="44"/>
        <v>0.37694582578896363</v>
      </c>
      <c r="AV40" s="531">
        <f t="shared" si="44"/>
        <v>0.37694582578896352</v>
      </c>
      <c r="AW40" s="531">
        <f t="shared" si="44"/>
        <v>0.37694582578896352</v>
      </c>
      <c r="AX40" s="531">
        <f t="shared" si="44"/>
        <v>0.37694582578896352</v>
      </c>
      <c r="AY40" s="531">
        <f t="shared" si="44"/>
        <v>0.37694582578896352</v>
      </c>
      <c r="AZ40" s="531">
        <f t="shared" si="44"/>
        <v>0.37694582578896352</v>
      </c>
      <c r="BA40" s="531">
        <f t="shared" si="44"/>
        <v>0.37694582578896352</v>
      </c>
      <c r="BB40" s="531">
        <f t="shared" si="44"/>
        <v>0.38200278750384337</v>
      </c>
      <c r="BC40" s="531">
        <f t="shared" si="44"/>
        <v>0.38200278750384337</v>
      </c>
      <c r="BD40" s="531">
        <f t="shared" si="44"/>
        <v>0.38200278750384337</v>
      </c>
      <c r="BE40" s="531">
        <f t="shared" si="44"/>
        <v>0.38200278750384337</v>
      </c>
      <c r="BF40" s="531">
        <f t="shared" si="44"/>
        <v>0.38200278750384337</v>
      </c>
      <c r="BG40" s="531">
        <f t="shared" si="44"/>
        <v>0.38200278750384337</v>
      </c>
      <c r="BH40" s="531">
        <f t="shared" si="44"/>
        <v>0.38200278750384337</v>
      </c>
      <c r="BI40" s="531">
        <f t="shared" si="44"/>
        <v>0.38200278750384337</v>
      </c>
      <c r="BJ40" s="531">
        <f t="shared" si="44"/>
        <v>0.38200278750384337</v>
      </c>
      <c r="BK40" s="531">
        <f t="shared" si="44"/>
        <v>0.38200278750384337</v>
      </c>
      <c r="BL40" s="531">
        <f t="shared" si="44"/>
        <v>0.38200278750384337</v>
      </c>
      <c r="BM40" s="531">
        <f t="shared" si="44"/>
        <v>0.38200278750384337</v>
      </c>
      <c r="BN40" s="531">
        <f t="shared" si="44"/>
        <v>0.38696522860015081</v>
      </c>
      <c r="BO40" s="531">
        <f t="shared" si="44"/>
        <v>0.38696522860015081</v>
      </c>
      <c r="BP40" s="531">
        <f t="shared" si="44"/>
        <v>0.38696522860015081</v>
      </c>
      <c r="BQ40" s="531">
        <f t="shared" si="44"/>
        <v>0.38696522860015081</v>
      </c>
      <c r="BR40" s="531">
        <f t="shared" si="44"/>
        <v>0.38696522860015081</v>
      </c>
      <c r="BS40" s="531">
        <f t="shared" si="44"/>
        <v>0.38696522860015081</v>
      </c>
      <c r="BT40" s="531">
        <f t="shared" si="44"/>
        <v>0.3869652286001507</v>
      </c>
      <c r="BU40" s="531">
        <f t="shared" si="44"/>
        <v>0.3869652286001507</v>
      </c>
      <c r="BV40" s="531">
        <f t="shared" si="44"/>
        <v>0.3869652286001507</v>
      </c>
      <c r="BW40" s="531">
        <f t="shared" si="44"/>
        <v>0.3869652286001507</v>
      </c>
      <c r="BX40" s="531">
        <f t="shared" si="44"/>
        <v>0.3869652286001507</v>
      </c>
      <c r="BY40" s="531">
        <f t="shared" si="44"/>
        <v>0.3869652286001507</v>
      </c>
    </row>
    <row r="41" spans="3:80" x14ac:dyDescent="0.3">
      <c r="C41" s="2"/>
      <c r="D41" s="2"/>
      <c r="E41" s="2"/>
      <c r="F41" s="37"/>
      <c r="G41" s="37"/>
      <c r="H41" s="37"/>
      <c r="I41" s="37"/>
      <c r="J41" s="37"/>
      <c r="K41" s="37"/>
      <c r="L41" s="37"/>
      <c r="M41" s="37"/>
      <c r="N41" s="37"/>
      <c r="O41" s="37"/>
      <c r="P41" s="35"/>
      <c r="R41" s="37"/>
      <c r="S41" s="37"/>
      <c r="T41" s="37"/>
      <c r="U41" s="37"/>
      <c r="V41" s="37"/>
      <c r="W41" s="37"/>
      <c r="X41" s="37"/>
      <c r="Y41" s="37"/>
      <c r="Z41" s="37"/>
      <c r="AA41" s="37"/>
      <c r="AB41" s="37"/>
      <c r="AC41" s="37"/>
      <c r="AD41" s="37"/>
      <c r="AE41" s="37"/>
      <c r="AF41" s="37"/>
      <c r="AG41" s="37"/>
      <c r="AH41" s="37"/>
      <c r="AI41" s="37"/>
      <c r="AJ41" s="37"/>
      <c r="AK41" s="37"/>
      <c r="AL41" s="37"/>
      <c r="AM41" s="37"/>
      <c r="AN41" s="529"/>
      <c r="AO41" s="529"/>
      <c r="AP41" s="529"/>
      <c r="AQ41" s="529"/>
      <c r="AR41" s="529"/>
      <c r="AS41" s="529"/>
      <c r="AT41" s="529"/>
      <c r="AU41" s="529"/>
      <c r="AV41" s="529"/>
      <c r="AW41" s="529"/>
      <c r="AX41" s="529"/>
      <c r="AY41" s="529"/>
      <c r="AZ41" s="529"/>
      <c r="BA41" s="529"/>
      <c r="BB41" s="529"/>
      <c r="BC41" s="529"/>
      <c r="BD41" s="529"/>
      <c r="BE41" s="529"/>
      <c r="BF41" s="529"/>
      <c r="BG41" s="529"/>
      <c r="BH41" s="529"/>
      <c r="BI41" s="529"/>
      <c r="BJ41" s="529"/>
      <c r="BK41" s="529"/>
      <c r="BL41" s="529"/>
      <c r="BM41" s="529"/>
      <c r="BN41" s="529"/>
      <c r="BO41" s="529"/>
      <c r="BP41" s="529"/>
      <c r="BQ41" s="529"/>
      <c r="BR41" s="529"/>
      <c r="BS41" s="529"/>
      <c r="BT41" s="529"/>
      <c r="BU41" s="529"/>
      <c r="BV41" s="529"/>
      <c r="BW41" s="529"/>
      <c r="BX41" s="529"/>
      <c r="BY41" s="529"/>
    </row>
    <row r="42" spans="3:80" x14ac:dyDescent="0.3">
      <c r="C42" s="2"/>
      <c r="D42" s="2"/>
      <c r="E42" s="17" t="s">
        <v>25</v>
      </c>
      <c r="F42" s="37"/>
      <c r="G42" s="37"/>
      <c r="H42" s="37"/>
      <c r="I42" s="37"/>
      <c r="J42" s="37"/>
      <c r="K42" s="37"/>
      <c r="L42" s="37"/>
      <c r="M42" s="37"/>
      <c r="N42" s="37"/>
      <c r="O42" s="37"/>
      <c r="P42" s="35"/>
      <c r="R42" s="37"/>
      <c r="S42" s="37"/>
      <c r="T42" s="37"/>
      <c r="U42" s="37"/>
      <c r="V42" s="37"/>
      <c r="W42" s="37"/>
      <c r="X42" s="37"/>
      <c r="Y42" s="37"/>
      <c r="Z42" s="37"/>
      <c r="AA42" s="37"/>
      <c r="AB42" s="37"/>
      <c r="AC42" s="37"/>
      <c r="AD42" s="37"/>
      <c r="AE42" s="37"/>
      <c r="AF42" s="37"/>
      <c r="AG42" s="37"/>
      <c r="AH42" s="37"/>
      <c r="AI42" s="37"/>
      <c r="AJ42" s="37"/>
      <c r="AK42" s="37"/>
      <c r="AL42" s="37"/>
      <c r="AM42" s="37"/>
      <c r="AN42" s="529"/>
      <c r="AO42" s="529"/>
      <c r="AP42" s="529"/>
      <c r="AQ42" s="529"/>
      <c r="AR42" s="529"/>
      <c r="AS42" s="529"/>
      <c r="AT42" s="529"/>
      <c r="AU42" s="529"/>
      <c r="AV42" s="529"/>
      <c r="AW42" s="529"/>
      <c r="AX42" s="529"/>
      <c r="AY42" s="529"/>
      <c r="AZ42" s="529"/>
      <c r="BA42" s="529"/>
      <c r="BB42" s="529"/>
      <c r="BC42" s="529"/>
      <c r="BD42" s="529"/>
      <c r="BE42" s="529"/>
      <c r="BF42" s="529"/>
      <c r="BG42" s="529"/>
      <c r="BH42" s="529"/>
      <c r="BI42" s="529"/>
      <c r="BJ42" s="529"/>
      <c r="BK42" s="529"/>
      <c r="BL42" s="529"/>
      <c r="BM42" s="529"/>
      <c r="BN42" s="529"/>
      <c r="BO42" s="529"/>
      <c r="BP42" s="529"/>
      <c r="BQ42" s="529"/>
      <c r="BR42" s="529"/>
      <c r="BS42" s="529"/>
      <c r="BT42" s="529"/>
      <c r="BU42" s="529"/>
      <c r="BV42" s="529"/>
      <c r="BW42" s="529"/>
      <c r="BX42" s="529"/>
      <c r="BY42" s="529"/>
    </row>
    <row r="43" spans="3:80" x14ac:dyDescent="0.3">
      <c r="C43" s="2"/>
      <c r="D43" s="2"/>
      <c r="E43" s="2" t="s">
        <v>25</v>
      </c>
      <c r="F43" s="54"/>
      <c r="G43" s="54"/>
      <c r="H43" s="54"/>
      <c r="I43" s="497">
        <f>I533</f>
        <v>821735.48075692309</v>
      </c>
      <c r="J43" s="497">
        <f t="shared" ref="J43:N45" si="45">SUMIF($R$2:$BY$2,J$3,$R43:$BY43)</f>
        <v>865552.47742424649</v>
      </c>
      <c r="K43" s="497">
        <f t="shared" si="45"/>
        <v>926653.12845078483</v>
      </c>
      <c r="L43" s="497">
        <f t="shared" si="45"/>
        <v>990240.0231060381</v>
      </c>
      <c r="M43" s="497">
        <f t="shared" si="45"/>
        <v>1055961.0413978244</v>
      </c>
      <c r="N43" s="497">
        <f t="shared" si="45"/>
        <v>1124876.085761507</v>
      </c>
      <c r="O43" s="37"/>
      <c r="P43" s="50">
        <f>IFERROR(((N43/I43)^(1/5))-1,0)</f>
        <v>6.48159036279774E-2</v>
      </c>
      <c r="R43" s="497">
        <f t="shared" ref="R43:BY43" si="46">R344</f>
        <v>70424.645774600271</v>
      </c>
      <c r="S43" s="497">
        <f t="shared" si="46"/>
        <v>70424.645774600271</v>
      </c>
      <c r="T43" s="497">
        <f t="shared" si="46"/>
        <v>70424.645774600271</v>
      </c>
      <c r="U43" s="497">
        <f t="shared" si="46"/>
        <v>70424.645774600271</v>
      </c>
      <c r="V43" s="497">
        <f t="shared" si="46"/>
        <v>70424.645774600271</v>
      </c>
      <c r="W43" s="497">
        <f t="shared" si="46"/>
        <v>70424.645774600271</v>
      </c>
      <c r="X43" s="497">
        <f t="shared" si="46"/>
        <v>73834.10046277412</v>
      </c>
      <c r="Y43" s="497">
        <f t="shared" si="46"/>
        <v>73834.10046277412</v>
      </c>
      <c r="Z43" s="497">
        <f t="shared" si="46"/>
        <v>73834.10046277412</v>
      </c>
      <c r="AA43" s="497">
        <f t="shared" si="46"/>
        <v>73834.10046277412</v>
      </c>
      <c r="AB43" s="497">
        <f t="shared" si="46"/>
        <v>73834.10046277412</v>
      </c>
      <c r="AC43" s="497">
        <f t="shared" si="46"/>
        <v>73834.10046277412</v>
      </c>
      <c r="AD43" s="497">
        <f t="shared" si="46"/>
        <v>75079.893468802431</v>
      </c>
      <c r="AE43" s="497">
        <f t="shared" si="46"/>
        <v>75079.893468802431</v>
      </c>
      <c r="AF43" s="497">
        <f t="shared" si="46"/>
        <v>75079.893468802431</v>
      </c>
      <c r="AG43" s="497">
        <f t="shared" si="46"/>
        <v>75079.893468802431</v>
      </c>
      <c r="AH43" s="497">
        <f t="shared" si="46"/>
        <v>75079.893468802431</v>
      </c>
      <c r="AI43" s="497">
        <f t="shared" si="46"/>
        <v>75079.893468802431</v>
      </c>
      <c r="AJ43" s="497">
        <f t="shared" si="46"/>
        <v>79362.294606328389</v>
      </c>
      <c r="AK43" s="497">
        <f t="shared" si="46"/>
        <v>79362.294606328389</v>
      </c>
      <c r="AL43" s="497">
        <f t="shared" si="46"/>
        <v>79362.294606328389</v>
      </c>
      <c r="AM43" s="497">
        <f t="shared" si="46"/>
        <v>79362.294606328389</v>
      </c>
      <c r="AN43" s="527">
        <f t="shared" si="46"/>
        <v>79362.294606328389</v>
      </c>
      <c r="AO43" s="527">
        <f t="shared" si="46"/>
        <v>79362.294606328389</v>
      </c>
      <c r="AP43" s="527">
        <f t="shared" si="46"/>
        <v>79913.8764846626</v>
      </c>
      <c r="AQ43" s="527">
        <f t="shared" si="46"/>
        <v>79913.8764846626</v>
      </c>
      <c r="AR43" s="527">
        <f t="shared" si="46"/>
        <v>79913.8764846626</v>
      </c>
      <c r="AS43" s="527">
        <f t="shared" si="46"/>
        <v>79913.8764846626</v>
      </c>
      <c r="AT43" s="527">
        <f t="shared" si="46"/>
        <v>79913.8764846626</v>
      </c>
      <c r="AU43" s="527">
        <f t="shared" si="46"/>
        <v>79913.8764846626</v>
      </c>
      <c r="AV43" s="527">
        <f t="shared" si="46"/>
        <v>85126.12736634379</v>
      </c>
      <c r="AW43" s="527">
        <f t="shared" si="46"/>
        <v>85126.12736634379</v>
      </c>
      <c r="AX43" s="527">
        <f t="shared" si="46"/>
        <v>85126.12736634379</v>
      </c>
      <c r="AY43" s="527">
        <f t="shared" si="46"/>
        <v>85126.12736634379</v>
      </c>
      <c r="AZ43" s="527">
        <f t="shared" si="46"/>
        <v>85126.12736634379</v>
      </c>
      <c r="BA43" s="527">
        <f t="shared" si="46"/>
        <v>85126.12736634379</v>
      </c>
      <c r="BB43" s="527">
        <f t="shared" si="46"/>
        <v>84896.703675697587</v>
      </c>
      <c r="BC43" s="527">
        <f t="shared" si="46"/>
        <v>84896.703675697587</v>
      </c>
      <c r="BD43" s="527">
        <f t="shared" si="46"/>
        <v>84896.703675697587</v>
      </c>
      <c r="BE43" s="527">
        <f t="shared" si="46"/>
        <v>84896.703675697587</v>
      </c>
      <c r="BF43" s="527">
        <f t="shared" si="46"/>
        <v>84896.703675697587</v>
      </c>
      <c r="BG43" s="527">
        <f t="shared" si="46"/>
        <v>84896.703675697587</v>
      </c>
      <c r="BH43" s="527">
        <f t="shared" si="46"/>
        <v>91096.803223939845</v>
      </c>
      <c r="BI43" s="527">
        <f t="shared" si="46"/>
        <v>91096.803223939845</v>
      </c>
      <c r="BJ43" s="527">
        <f t="shared" si="46"/>
        <v>91096.803223939845</v>
      </c>
      <c r="BK43" s="527">
        <f t="shared" si="46"/>
        <v>91096.803223939845</v>
      </c>
      <c r="BL43" s="527">
        <f t="shared" si="46"/>
        <v>91096.803223939845</v>
      </c>
      <c r="BM43" s="527">
        <f t="shared" si="46"/>
        <v>91096.803223939845</v>
      </c>
      <c r="BN43" s="527">
        <f t="shared" si="46"/>
        <v>90114.985861029316</v>
      </c>
      <c r="BO43" s="527">
        <f t="shared" si="46"/>
        <v>90114.985861029316</v>
      </c>
      <c r="BP43" s="527">
        <f t="shared" si="46"/>
        <v>90114.985861029316</v>
      </c>
      <c r="BQ43" s="527">
        <f t="shared" si="46"/>
        <v>90114.985861029316</v>
      </c>
      <c r="BR43" s="527">
        <f t="shared" si="46"/>
        <v>90114.985861029316</v>
      </c>
      <c r="BS43" s="527">
        <f t="shared" si="46"/>
        <v>90114.985861029316</v>
      </c>
      <c r="BT43" s="527">
        <f t="shared" si="46"/>
        <v>97364.361765888578</v>
      </c>
      <c r="BU43" s="527">
        <f t="shared" si="46"/>
        <v>97364.361765888578</v>
      </c>
      <c r="BV43" s="527">
        <f t="shared" si="46"/>
        <v>97364.361765888578</v>
      </c>
      <c r="BW43" s="527">
        <f t="shared" si="46"/>
        <v>97364.361765888578</v>
      </c>
      <c r="BX43" s="527">
        <f t="shared" si="46"/>
        <v>97364.361765888578</v>
      </c>
      <c r="BY43" s="527">
        <f t="shared" si="46"/>
        <v>97364.361765888578</v>
      </c>
      <c r="CB43" s="8"/>
    </row>
    <row r="44" spans="3:80" x14ac:dyDescent="0.3">
      <c r="C44" s="2"/>
      <c r="D44" s="2"/>
      <c r="E44" s="2" t="s">
        <v>14</v>
      </c>
      <c r="F44" s="54"/>
      <c r="G44" s="54"/>
      <c r="H44" s="54"/>
      <c r="I44" s="497">
        <f>I534</f>
        <v>83662.350052461552</v>
      </c>
      <c r="J44" s="497">
        <f t="shared" si="45"/>
        <v>86601.167737290685</v>
      </c>
      <c r="K44" s="497">
        <f t="shared" si="45"/>
        <v>89476.112969042806</v>
      </c>
      <c r="L44" s="497">
        <f t="shared" si="45"/>
        <v>92325.890396101458</v>
      </c>
      <c r="M44" s="497">
        <f t="shared" si="45"/>
        <v>94705.090649462247</v>
      </c>
      <c r="N44" s="497">
        <f t="shared" si="45"/>
        <v>96752.900121905594</v>
      </c>
      <c r="O44" s="37"/>
      <c r="P44" s="50">
        <f>IFERROR(((N44/I44)^(1/5))-1,0)</f>
        <v>2.9501032242708725E-2</v>
      </c>
      <c r="R44" s="497">
        <f t="shared" ref="R44:BY44" si="47">R352</f>
        <v>7216.7639781075577</v>
      </c>
      <c r="S44" s="497">
        <f t="shared" si="47"/>
        <v>7216.7639781075577</v>
      </c>
      <c r="T44" s="497">
        <f t="shared" si="47"/>
        <v>7216.7639781075577</v>
      </c>
      <c r="U44" s="497">
        <f t="shared" si="47"/>
        <v>7216.7639781075577</v>
      </c>
      <c r="V44" s="497">
        <f t="shared" si="47"/>
        <v>7216.7639781075577</v>
      </c>
      <c r="W44" s="497">
        <f t="shared" si="47"/>
        <v>7216.7639781075577</v>
      </c>
      <c r="X44" s="497">
        <f t="shared" si="47"/>
        <v>7216.7639781075577</v>
      </c>
      <c r="Y44" s="497">
        <f t="shared" si="47"/>
        <v>7216.7639781075577</v>
      </c>
      <c r="Z44" s="497">
        <f t="shared" si="47"/>
        <v>7216.7639781075577</v>
      </c>
      <c r="AA44" s="497">
        <f t="shared" si="47"/>
        <v>7216.7639781075577</v>
      </c>
      <c r="AB44" s="497">
        <f t="shared" si="47"/>
        <v>7216.7639781075577</v>
      </c>
      <c r="AC44" s="497">
        <f t="shared" si="47"/>
        <v>7216.7639781075577</v>
      </c>
      <c r="AD44" s="497">
        <f t="shared" si="47"/>
        <v>7456.3427474202344</v>
      </c>
      <c r="AE44" s="497">
        <f t="shared" si="47"/>
        <v>7456.3427474202344</v>
      </c>
      <c r="AF44" s="497">
        <f t="shared" si="47"/>
        <v>7456.3427474202344</v>
      </c>
      <c r="AG44" s="497">
        <f t="shared" si="47"/>
        <v>7456.3427474202344</v>
      </c>
      <c r="AH44" s="497">
        <f t="shared" si="47"/>
        <v>7456.3427474202344</v>
      </c>
      <c r="AI44" s="497">
        <f t="shared" si="47"/>
        <v>7456.3427474202344</v>
      </c>
      <c r="AJ44" s="497">
        <f t="shared" si="47"/>
        <v>7456.3427474202344</v>
      </c>
      <c r="AK44" s="497">
        <f t="shared" si="47"/>
        <v>7456.3427474202344</v>
      </c>
      <c r="AL44" s="497">
        <f t="shared" si="47"/>
        <v>7456.3427474202344</v>
      </c>
      <c r="AM44" s="497">
        <f t="shared" si="47"/>
        <v>7456.3427474202344</v>
      </c>
      <c r="AN44" s="527">
        <f t="shared" si="47"/>
        <v>7456.3427474202344</v>
      </c>
      <c r="AO44" s="527">
        <f t="shared" si="47"/>
        <v>7456.3427474202344</v>
      </c>
      <c r="AP44" s="527">
        <f t="shared" si="47"/>
        <v>7693.8241996751231</v>
      </c>
      <c r="AQ44" s="527">
        <f t="shared" si="47"/>
        <v>7693.8241996751231</v>
      </c>
      <c r="AR44" s="527">
        <f t="shared" si="47"/>
        <v>7693.8241996751231</v>
      </c>
      <c r="AS44" s="527">
        <f t="shared" si="47"/>
        <v>7693.8241996751231</v>
      </c>
      <c r="AT44" s="527">
        <f t="shared" si="47"/>
        <v>7693.8241996751231</v>
      </c>
      <c r="AU44" s="527">
        <f t="shared" si="47"/>
        <v>7693.8241996751231</v>
      </c>
      <c r="AV44" s="527">
        <f t="shared" si="47"/>
        <v>7693.8241996751231</v>
      </c>
      <c r="AW44" s="527">
        <f t="shared" si="47"/>
        <v>7693.8241996751231</v>
      </c>
      <c r="AX44" s="527">
        <f t="shared" si="47"/>
        <v>7693.8241996751231</v>
      </c>
      <c r="AY44" s="527">
        <f t="shared" si="47"/>
        <v>7693.8241996751231</v>
      </c>
      <c r="AZ44" s="527">
        <f t="shared" si="47"/>
        <v>7693.8241996751231</v>
      </c>
      <c r="BA44" s="527">
        <f t="shared" si="47"/>
        <v>7693.8241996751231</v>
      </c>
      <c r="BB44" s="527">
        <f t="shared" si="47"/>
        <v>7892.0908874551897</v>
      </c>
      <c r="BC44" s="527">
        <f t="shared" si="47"/>
        <v>7892.0908874551897</v>
      </c>
      <c r="BD44" s="527">
        <f t="shared" si="47"/>
        <v>7892.0908874551897</v>
      </c>
      <c r="BE44" s="527">
        <f t="shared" si="47"/>
        <v>7892.0908874551897</v>
      </c>
      <c r="BF44" s="527">
        <f t="shared" si="47"/>
        <v>7892.0908874551897</v>
      </c>
      <c r="BG44" s="527">
        <f t="shared" si="47"/>
        <v>7892.0908874551897</v>
      </c>
      <c r="BH44" s="527">
        <f t="shared" si="47"/>
        <v>7892.0908874551897</v>
      </c>
      <c r="BI44" s="527">
        <f t="shared" si="47"/>
        <v>7892.0908874551897</v>
      </c>
      <c r="BJ44" s="527">
        <f t="shared" si="47"/>
        <v>7892.0908874551897</v>
      </c>
      <c r="BK44" s="527">
        <f t="shared" si="47"/>
        <v>7892.0908874551897</v>
      </c>
      <c r="BL44" s="527">
        <f t="shared" si="47"/>
        <v>7892.0908874551897</v>
      </c>
      <c r="BM44" s="527">
        <f t="shared" si="47"/>
        <v>7892.0908874551897</v>
      </c>
      <c r="BN44" s="527">
        <f t="shared" si="47"/>
        <v>8062.741676825467</v>
      </c>
      <c r="BO44" s="527">
        <f t="shared" si="47"/>
        <v>8062.741676825467</v>
      </c>
      <c r="BP44" s="527">
        <f t="shared" si="47"/>
        <v>8062.741676825467</v>
      </c>
      <c r="BQ44" s="527">
        <f t="shared" si="47"/>
        <v>8062.741676825467</v>
      </c>
      <c r="BR44" s="527">
        <f t="shared" si="47"/>
        <v>8062.741676825467</v>
      </c>
      <c r="BS44" s="527">
        <f t="shared" si="47"/>
        <v>8062.741676825467</v>
      </c>
      <c r="BT44" s="527">
        <f t="shared" si="47"/>
        <v>8062.741676825467</v>
      </c>
      <c r="BU44" s="527">
        <f t="shared" si="47"/>
        <v>8062.741676825467</v>
      </c>
      <c r="BV44" s="527">
        <f t="shared" si="47"/>
        <v>8062.741676825467</v>
      </c>
      <c r="BW44" s="527">
        <f t="shared" si="47"/>
        <v>8062.741676825467</v>
      </c>
      <c r="BX44" s="527">
        <f t="shared" si="47"/>
        <v>8062.741676825467</v>
      </c>
      <c r="BY44" s="527">
        <f t="shared" si="47"/>
        <v>8062.741676825467</v>
      </c>
      <c r="CB44" s="8"/>
    </row>
    <row r="45" spans="3:80" x14ac:dyDescent="0.3">
      <c r="C45" s="2"/>
      <c r="D45" s="2"/>
      <c r="E45" s="4" t="s">
        <v>26</v>
      </c>
      <c r="F45" s="5"/>
      <c r="G45" s="5"/>
      <c r="H45" s="5"/>
      <c r="I45" s="500">
        <f>I535</f>
        <v>905397.83080938458</v>
      </c>
      <c r="J45" s="500">
        <f t="shared" si="45"/>
        <v>952153.64516153687</v>
      </c>
      <c r="K45" s="500">
        <f t="shared" si="45"/>
        <v>1016129.2414198279</v>
      </c>
      <c r="L45" s="500">
        <f t="shared" si="45"/>
        <v>1082565.9135021395</v>
      </c>
      <c r="M45" s="500">
        <f t="shared" si="45"/>
        <v>1150666.1320472867</v>
      </c>
      <c r="N45" s="500">
        <f t="shared" si="45"/>
        <v>1221628.9858834131</v>
      </c>
      <c r="O45" s="57"/>
      <c r="P45" s="55">
        <f>IFERROR(((N45/I45)^(1/5))-1,0)</f>
        <v>6.1744392107593526E-2</v>
      </c>
      <c r="R45" s="500">
        <f t="shared" ref="R45:BY45" si="48">SUM(R43:R44)</f>
        <v>77641.409752707827</v>
      </c>
      <c r="S45" s="498">
        <f t="shared" si="48"/>
        <v>77641.409752707827</v>
      </c>
      <c r="T45" s="500">
        <f t="shared" si="48"/>
        <v>77641.409752707827</v>
      </c>
      <c r="U45" s="500">
        <f t="shared" si="48"/>
        <v>77641.409752707827</v>
      </c>
      <c r="V45" s="500">
        <f t="shared" si="48"/>
        <v>77641.409752707827</v>
      </c>
      <c r="W45" s="500">
        <f t="shared" si="48"/>
        <v>77641.409752707827</v>
      </c>
      <c r="X45" s="500">
        <f t="shared" si="48"/>
        <v>81050.864440881676</v>
      </c>
      <c r="Y45" s="500">
        <f t="shared" si="48"/>
        <v>81050.864440881676</v>
      </c>
      <c r="Z45" s="500">
        <f t="shared" si="48"/>
        <v>81050.864440881676</v>
      </c>
      <c r="AA45" s="500">
        <f t="shared" si="48"/>
        <v>81050.864440881676</v>
      </c>
      <c r="AB45" s="500">
        <f t="shared" si="48"/>
        <v>81050.864440881676</v>
      </c>
      <c r="AC45" s="500">
        <f t="shared" si="48"/>
        <v>81050.864440881676</v>
      </c>
      <c r="AD45" s="500">
        <f t="shared" si="48"/>
        <v>82536.236216222664</v>
      </c>
      <c r="AE45" s="500">
        <f t="shared" si="48"/>
        <v>82536.236216222664</v>
      </c>
      <c r="AF45" s="500">
        <f t="shared" si="48"/>
        <v>82536.236216222664</v>
      </c>
      <c r="AG45" s="500">
        <f t="shared" si="48"/>
        <v>82536.236216222664</v>
      </c>
      <c r="AH45" s="500">
        <f t="shared" si="48"/>
        <v>82536.236216222664</v>
      </c>
      <c r="AI45" s="500">
        <f t="shared" si="48"/>
        <v>82536.236216222664</v>
      </c>
      <c r="AJ45" s="500">
        <f t="shared" si="48"/>
        <v>86818.637353748622</v>
      </c>
      <c r="AK45" s="500">
        <f t="shared" si="48"/>
        <v>86818.637353748622</v>
      </c>
      <c r="AL45" s="500">
        <f t="shared" si="48"/>
        <v>86818.637353748622</v>
      </c>
      <c r="AM45" s="500">
        <f t="shared" si="48"/>
        <v>86818.637353748622</v>
      </c>
      <c r="AN45" s="532">
        <f t="shared" si="48"/>
        <v>86818.637353748622</v>
      </c>
      <c r="AO45" s="532">
        <f t="shared" si="48"/>
        <v>86818.637353748622</v>
      </c>
      <c r="AP45" s="532">
        <f t="shared" si="48"/>
        <v>87607.700684337717</v>
      </c>
      <c r="AQ45" s="532">
        <f t="shared" si="48"/>
        <v>87607.700684337717</v>
      </c>
      <c r="AR45" s="532">
        <f t="shared" si="48"/>
        <v>87607.700684337717</v>
      </c>
      <c r="AS45" s="532">
        <f t="shared" si="48"/>
        <v>87607.700684337717</v>
      </c>
      <c r="AT45" s="532">
        <f t="shared" si="48"/>
        <v>87607.700684337717</v>
      </c>
      <c r="AU45" s="532">
        <f t="shared" si="48"/>
        <v>87607.700684337717</v>
      </c>
      <c r="AV45" s="532">
        <f t="shared" si="48"/>
        <v>92819.951566018906</v>
      </c>
      <c r="AW45" s="532">
        <f t="shared" si="48"/>
        <v>92819.951566018906</v>
      </c>
      <c r="AX45" s="532">
        <f t="shared" si="48"/>
        <v>92819.951566018906</v>
      </c>
      <c r="AY45" s="532">
        <f t="shared" si="48"/>
        <v>92819.951566018906</v>
      </c>
      <c r="AZ45" s="532">
        <f t="shared" si="48"/>
        <v>92819.951566018906</v>
      </c>
      <c r="BA45" s="532">
        <f t="shared" si="48"/>
        <v>92819.951566018906</v>
      </c>
      <c r="BB45" s="532">
        <f t="shared" si="48"/>
        <v>92788.794563152769</v>
      </c>
      <c r="BC45" s="532">
        <f t="shared" si="48"/>
        <v>92788.794563152769</v>
      </c>
      <c r="BD45" s="532">
        <f t="shared" si="48"/>
        <v>92788.794563152769</v>
      </c>
      <c r="BE45" s="532">
        <f t="shared" si="48"/>
        <v>92788.794563152769</v>
      </c>
      <c r="BF45" s="532">
        <f t="shared" si="48"/>
        <v>92788.794563152769</v>
      </c>
      <c r="BG45" s="532">
        <f t="shared" si="48"/>
        <v>92788.794563152769</v>
      </c>
      <c r="BH45" s="532">
        <f t="shared" si="48"/>
        <v>98988.894111395028</v>
      </c>
      <c r="BI45" s="532">
        <f t="shared" si="48"/>
        <v>98988.894111395028</v>
      </c>
      <c r="BJ45" s="532">
        <f t="shared" si="48"/>
        <v>98988.894111395028</v>
      </c>
      <c r="BK45" s="532">
        <f t="shared" si="48"/>
        <v>98988.894111395028</v>
      </c>
      <c r="BL45" s="532">
        <f t="shared" si="48"/>
        <v>98988.894111395028</v>
      </c>
      <c r="BM45" s="532">
        <f t="shared" si="48"/>
        <v>98988.894111395028</v>
      </c>
      <c r="BN45" s="532">
        <f t="shared" si="48"/>
        <v>98177.727537854778</v>
      </c>
      <c r="BO45" s="532">
        <f t="shared" si="48"/>
        <v>98177.727537854778</v>
      </c>
      <c r="BP45" s="532">
        <f t="shared" si="48"/>
        <v>98177.727537854778</v>
      </c>
      <c r="BQ45" s="532">
        <f t="shared" si="48"/>
        <v>98177.727537854778</v>
      </c>
      <c r="BR45" s="532">
        <f t="shared" si="48"/>
        <v>98177.727537854778</v>
      </c>
      <c r="BS45" s="532">
        <f t="shared" si="48"/>
        <v>98177.727537854778</v>
      </c>
      <c r="BT45" s="532">
        <f t="shared" si="48"/>
        <v>105427.10344271404</v>
      </c>
      <c r="BU45" s="532">
        <f t="shared" si="48"/>
        <v>105427.10344271404</v>
      </c>
      <c r="BV45" s="532">
        <f t="shared" si="48"/>
        <v>105427.10344271404</v>
      </c>
      <c r="BW45" s="532">
        <f t="shared" si="48"/>
        <v>105427.10344271404</v>
      </c>
      <c r="BX45" s="532">
        <f t="shared" si="48"/>
        <v>105427.10344271404</v>
      </c>
      <c r="BY45" s="532">
        <f t="shared" si="48"/>
        <v>105427.10344271404</v>
      </c>
      <c r="CB45" s="8"/>
    </row>
    <row r="46" spans="3:80" x14ac:dyDescent="0.3">
      <c r="C46" s="2"/>
      <c r="D46" s="2"/>
      <c r="E46" s="2"/>
      <c r="F46" s="37"/>
      <c r="G46" s="37"/>
      <c r="H46" s="37"/>
      <c r="I46" s="37"/>
      <c r="J46" s="37"/>
      <c r="K46" s="37"/>
      <c r="L46" s="37"/>
      <c r="M46" s="37"/>
      <c r="N46" s="37"/>
      <c r="O46" s="37"/>
      <c r="P46" s="35"/>
      <c r="R46" s="37"/>
      <c r="S46" s="37"/>
      <c r="T46" s="37"/>
      <c r="U46" s="37"/>
      <c r="V46" s="37"/>
      <c r="W46" s="37"/>
      <c r="X46" s="37"/>
      <c r="Y46" s="37"/>
      <c r="Z46" s="37"/>
      <c r="AA46" s="37"/>
      <c r="AB46" s="37"/>
      <c r="AC46" s="37"/>
      <c r="AD46" s="37"/>
      <c r="AE46" s="37"/>
      <c r="AF46" s="37"/>
      <c r="AG46" s="37"/>
      <c r="AH46" s="37"/>
      <c r="AI46" s="37"/>
      <c r="AJ46" s="37"/>
      <c r="AK46" s="37"/>
      <c r="AL46" s="37"/>
      <c r="AM46" s="37"/>
      <c r="AN46" s="529"/>
      <c r="AO46" s="529"/>
      <c r="AP46" s="529"/>
      <c r="AQ46" s="529"/>
      <c r="AR46" s="529"/>
      <c r="AS46" s="529"/>
      <c r="AT46" s="529"/>
      <c r="AU46" s="529"/>
      <c r="AV46" s="529"/>
      <c r="AW46" s="529"/>
      <c r="AX46" s="529"/>
      <c r="AY46" s="529"/>
      <c r="AZ46" s="529"/>
      <c r="BA46" s="529"/>
      <c r="BB46" s="529"/>
      <c r="BC46" s="529"/>
      <c r="BD46" s="529"/>
      <c r="BE46" s="529"/>
      <c r="BF46" s="529"/>
      <c r="BG46" s="529"/>
      <c r="BH46" s="529"/>
      <c r="BI46" s="529"/>
      <c r="BJ46" s="529"/>
      <c r="BK46" s="529"/>
      <c r="BL46" s="529"/>
      <c r="BM46" s="529"/>
      <c r="BN46" s="529"/>
      <c r="BO46" s="529"/>
      <c r="BP46" s="529"/>
      <c r="BQ46" s="529"/>
      <c r="BR46" s="529"/>
      <c r="BS46" s="529"/>
      <c r="BT46" s="529"/>
      <c r="BU46" s="529"/>
      <c r="BV46" s="529"/>
      <c r="BW46" s="529"/>
      <c r="BX46" s="529"/>
      <c r="BY46" s="529"/>
    </row>
    <row r="47" spans="3:80" x14ac:dyDescent="0.3">
      <c r="C47" s="2"/>
      <c r="D47" s="2"/>
      <c r="E47" s="17" t="s">
        <v>27</v>
      </c>
      <c r="F47" s="37"/>
      <c r="G47" s="37"/>
      <c r="H47" s="37"/>
      <c r="I47" s="37"/>
      <c r="J47" s="37"/>
      <c r="K47" s="37"/>
      <c r="L47" s="37"/>
      <c r="M47" s="37"/>
      <c r="N47" s="37"/>
      <c r="O47" s="37"/>
      <c r="P47" s="35"/>
      <c r="R47" s="37"/>
      <c r="S47" s="37"/>
      <c r="T47" s="37"/>
      <c r="U47" s="37"/>
      <c r="V47" s="37"/>
      <c r="W47" s="37"/>
      <c r="X47" s="37"/>
      <c r="Y47" s="37"/>
      <c r="Z47" s="37"/>
      <c r="AA47" s="37"/>
      <c r="AB47" s="37"/>
      <c r="AC47" s="37"/>
      <c r="AD47" s="37"/>
      <c r="AE47" s="37"/>
      <c r="AF47" s="37"/>
      <c r="AG47" s="37"/>
      <c r="AH47" s="37"/>
      <c r="AI47" s="37"/>
      <c r="AJ47" s="37"/>
      <c r="AK47" s="37"/>
      <c r="AL47" s="37"/>
      <c r="AM47" s="37"/>
      <c r="AN47" s="529"/>
      <c r="AO47" s="529"/>
      <c r="AP47" s="529"/>
      <c r="AQ47" s="529"/>
      <c r="AR47" s="529"/>
      <c r="AS47" s="529"/>
      <c r="AT47" s="529"/>
      <c r="AU47" s="529"/>
      <c r="AV47" s="529"/>
      <c r="AW47" s="529"/>
      <c r="AX47" s="529"/>
      <c r="AY47" s="529"/>
      <c r="AZ47" s="529"/>
      <c r="BA47" s="529"/>
      <c r="BB47" s="529"/>
      <c r="BC47" s="529"/>
      <c r="BD47" s="529"/>
      <c r="BE47" s="529"/>
      <c r="BF47" s="529"/>
      <c r="BG47" s="529"/>
      <c r="BH47" s="529"/>
      <c r="BI47" s="529"/>
      <c r="BJ47" s="529"/>
      <c r="BK47" s="529"/>
      <c r="BL47" s="529"/>
      <c r="BM47" s="529"/>
      <c r="BN47" s="529"/>
      <c r="BO47" s="529"/>
      <c r="BP47" s="529"/>
      <c r="BQ47" s="529"/>
      <c r="BR47" s="529"/>
      <c r="BS47" s="529"/>
      <c r="BT47" s="529"/>
      <c r="BU47" s="529"/>
      <c r="BV47" s="529"/>
      <c r="BW47" s="529"/>
      <c r="BX47" s="529"/>
      <c r="BY47" s="529"/>
    </row>
    <row r="48" spans="3:80" x14ac:dyDescent="0.3">
      <c r="C48" s="2"/>
      <c r="D48" s="2"/>
      <c r="E48" s="2" t="s">
        <v>28</v>
      </c>
      <c r="F48" s="54"/>
      <c r="G48" s="54"/>
      <c r="H48" s="54"/>
      <c r="I48" s="497">
        <f>I538</f>
        <v>120.28999999999998</v>
      </c>
      <c r="J48" s="497">
        <f t="shared" ref="J48:N52" si="49">SUMIF($R$2:$BY$2,J$3,$R48:$BY48)</f>
        <v>120.28999999999995</v>
      </c>
      <c r="K48" s="497">
        <f t="shared" si="49"/>
        <v>120.28999999999995</v>
      </c>
      <c r="L48" s="497">
        <f t="shared" si="49"/>
        <v>120.28999999999995</v>
      </c>
      <c r="M48" s="497">
        <f t="shared" si="49"/>
        <v>120.28999999999995</v>
      </c>
      <c r="N48" s="497">
        <f>SUMIF($R$2:$BY$2,N$3,$R48:$BY48)</f>
        <v>120.28999999999995</v>
      </c>
      <c r="O48" s="37"/>
      <c r="P48" s="50">
        <f>IFERROR(((N48/I48)^(1/5))-1,0)</f>
        <v>0</v>
      </c>
      <c r="R48" s="497">
        <f t="shared" ref="R48:BY48" si="50">R364</f>
        <v>10.024166666666664</v>
      </c>
      <c r="S48" s="497">
        <f t="shared" si="50"/>
        <v>10.024166666666664</v>
      </c>
      <c r="T48" s="497">
        <f t="shared" si="50"/>
        <v>10.024166666666664</v>
      </c>
      <c r="U48" s="497">
        <f t="shared" si="50"/>
        <v>10.024166666666664</v>
      </c>
      <c r="V48" s="497">
        <f t="shared" si="50"/>
        <v>10.024166666666664</v>
      </c>
      <c r="W48" s="497">
        <f t="shared" si="50"/>
        <v>10.024166666666664</v>
      </c>
      <c r="X48" s="497">
        <f t="shared" si="50"/>
        <v>10.024166666666664</v>
      </c>
      <c r="Y48" s="497">
        <f t="shared" si="50"/>
        <v>10.024166666666664</v>
      </c>
      <c r="Z48" s="497">
        <f t="shared" si="50"/>
        <v>10.024166666666664</v>
      </c>
      <c r="AA48" s="497">
        <f t="shared" si="50"/>
        <v>10.024166666666664</v>
      </c>
      <c r="AB48" s="497">
        <f t="shared" si="50"/>
        <v>10.024166666666664</v>
      </c>
      <c r="AC48" s="497">
        <f t="shared" si="50"/>
        <v>10.024166666666664</v>
      </c>
      <c r="AD48" s="497">
        <f t="shared" si="50"/>
        <v>10.024166666666664</v>
      </c>
      <c r="AE48" s="497">
        <f t="shared" si="50"/>
        <v>10.024166666666664</v>
      </c>
      <c r="AF48" s="497">
        <f t="shared" si="50"/>
        <v>10.024166666666664</v>
      </c>
      <c r="AG48" s="497">
        <f t="shared" si="50"/>
        <v>10.024166666666664</v>
      </c>
      <c r="AH48" s="497">
        <f t="shared" si="50"/>
        <v>10.024166666666664</v>
      </c>
      <c r="AI48" s="497">
        <f t="shared" si="50"/>
        <v>10.024166666666664</v>
      </c>
      <c r="AJ48" s="497">
        <f t="shared" si="50"/>
        <v>10.024166666666664</v>
      </c>
      <c r="AK48" s="497">
        <f t="shared" si="50"/>
        <v>10.024166666666664</v>
      </c>
      <c r="AL48" s="497">
        <f t="shared" si="50"/>
        <v>10.024166666666664</v>
      </c>
      <c r="AM48" s="497">
        <f t="shared" si="50"/>
        <v>10.024166666666664</v>
      </c>
      <c r="AN48" s="527">
        <f t="shared" si="50"/>
        <v>10.024166666666664</v>
      </c>
      <c r="AO48" s="527">
        <f t="shared" si="50"/>
        <v>10.024166666666664</v>
      </c>
      <c r="AP48" s="527">
        <f t="shared" si="50"/>
        <v>10.024166666666664</v>
      </c>
      <c r="AQ48" s="527">
        <f t="shared" si="50"/>
        <v>10.024166666666664</v>
      </c>
      <c r="AR48" s="527">
        <f t="shared" si="50"/>
        <v>10.024166666666664</v>
      </c>
      <c r="AS48" s="527">
        <f t="shared" si="50"/>
        <v>10.024166666666664</v>
      </c>
      <c r="AT48" s="527">
        <f t="shared" si="50"/>
        <v>10.024166666666664</v>
      </c>
      <c r="AU48" s="527">
        <f t="shared" si="50"/>
        <v>10.024166666666664</v>
      </c>
      <c r="AV48" s="527">
        <f t="shared" si="50"/>
        <v>10.024166666666664</v>
      </c>
      <c r="AW48" s="527">
        <f t="shared" si="50"/>
        <v>10.024166666666664</v>
      </c>
      <c r="AX48" s="527">
        <f t="shared" si="50"/>
        <v>10.024166666666664</v>
      </c>
      <c r="AY48" s="527">
        <f t="shared" si="50"/>
        <v>10.024166666666664</v>
      </c>
      <c r="AZ48" s="527">
        <f t="shared" si="50"/>
        <v>10.024166666666664</v>
      </c>
      <c r="BA48" s="527">
        <f t="shared" si="50"/>
        <v>10.024166666666664</v>
      </c>
      <c r="BB48" s="527">
        <f t="shared" si="50"/>
        <v>10.024166666666664</v>
      </c>
      <c r="BC48" s="527">
        <f t="shared" si="50"/>
        <v>10.024166666666664</v>
      </c>
      <c r="BD48" s="527">
        <f t="shared" si="50"/>
        <v>10.024166666666664</v>
      </c>
      <c r="BE48" s="527">
        <f t="shared" si="50"/>
        <v>10.024166666666664</v>
      </c>
      <c r="BF48" s="527">
        <f t="shared" si="50"/>
        <v>10.024166666666664</v>
      </c>
      <c r="BG48" s="527">
        <f t="shared" si="50"/>
        <v>10.024166666666664</v>
      </c>
      <c r="BH48" s="527">
        <f t="shared" si="50"/>
        <v>10.024166666666664</v>
      </c>
      <c r="BI48" s="527">
        <f t="shared" si="50"/>
        <v>10.024166666666664</v>
      </c>
      <c r="BJ48" s="527">
        <f t="shared" si="50"/>
        <v>10.024166666666664</v>
      </c>
      <c r="BK48" s="527">
        <f t="shared" si="50"/>
        <v>10.024166666666664</v>
      </c>
      <c r="BL48" s="527">
        <f t="shared" si="50"/>
        <v>10.024166666666664</v>
      </c>
      <c r="BM48" s="527">
        <f t="shared" si="50"/>
        <v>10.024166666666664</v>
      </c>
      <c r="BN48" s="527">
        <f t="shared" si="50"/>
        <v>10.024166666666664</v>
      </c>
      <c r="BO48" s="527">
        <f t="shared" si="50"/>
        <v>10.024166666666664</v>
      </c>
      <c r="BP48" s="527">
        <f t="shared" si="50"/>
        <v>10.024166666666664</v>
      </c>
      <c r="BQ48" s="527">
        <f t="shared" si="50"/>
        <v>10.024166666666664</v>
      </c>
      <c r="BR48" s="527">
        <f t="shared" si="50"/>
        <v>10.024166666666664</v>
      </c>
      <c r="BS48" s="527">
        <f t="shared" si="50"/>
        <v>10.024166666666664</v>
      </c>
      <c r="BT48" s="527">
        <f t="shared" si="50"/>
        <v>10.024166666666664</v>
      </c>
      <c r="BU48" s="527">
        <f t="shared" si="50"/>
        <v>10.024166666666664</v>
      </c>
      <c r="BV48" s="527">
        <f t="shared" si="50"/>
        <v>10.024166666666664</v>
      </c>
      <c r="BW48" s="527">
        <f t="shared" si="50"/>
        <v>10.024166666666664</v>
      </c>
      <c r="BX48" s="527">
        <f t="shared" si="50"/>
        <v>10.024166666666664</v>
      </c>
      <c r="BY48" s="527">
        <f t="shared" si="50"/>
        <v>10.024166666666664</v>
      </c>
      <c r="CB48" s="8"/>
    </row>
    <row r="49" spans="3:80" x14ac:dyDescent="0.3">
      <c r="C49" s="2"/>
      <c r="D49" s="2"/>
      <c r="E49" s="2" t="s">
        <v>29</v>
      </c>
      <c r="F49" s="54"/>
      <c r="G49" s="54"/>
      <c r="H49" s="54"/>
      <c r="I49" s="497">
        <f>I539</f>
        <v>219912.62307616795</v>
      </c>
      <c r="J49" s="497">
        <f t="shared" si="49"/>
        <v>219912.62307616792</v>
      </c>
      <c r="K49" s="497">
        <f t="shared" si="49"/>
        <v>219912.62307616792</v>
      </c>
      <c r="L49" s="497">
        <f t="shared" si="49"/>
        <v>219912.62307616792</v>
      </c>
      <c r="M49" s="497">
        <f t="shared" si="49"/>
        <v>219912.62307616792</v>
      </c>
      <c r="N49" s="497">
        <f t="shared" si="49"/>
        <v>219912.62307616792</v>
      </c>
      <c r="O49" s="37"/>
      <c r="P49" s="50">
        <f>IFERROR(((N49/I49)^(1/5))-1,0)</f>
        <v>0</v>
      </c>
      <c r="R49" s="497">
        <f t="shared" ref="R49:BY49" si="51">R372</f>
        <v>18326.051923013994</v>
      </c>
      <c r="S49" s="497">
        <f t="shared" si="51"/>
        <v>18326.051923013994</v>
      </c>
      <c r="T49" s="497">
        <f t="shared" si="51"/>
        <v>18326.051923013994</v>
      </c>
      <c r="U49" s="497">
        <f t="shared" si="51"/>
        <v>18326.051923013994</v>
      </c>
      <c r="V49" s="497">
        <f t="shared" si="51"/>
        <v>18326.051923013994</v>
      </c>
      <c r="W49" s="497">
        <f t="shared" si="51"/>
        <v>18326.051923013994</v>
      </c>
      <c r="X49" s="497">
        <f t="shared" si="51"/>
        <v>18326.051923013994</v>
      </c>
      <c r="Y49" s="497">
        <f t="shared" si="51"/>
        <v>18326.051923013994</v>
      </c>
      <c r="Z49" s="497">
        <f t="shared" si="51"/>
        <v>18326.051923013994</v>
      </c>
      <c r="AA49" s="497">
        <f t="shared" si="51"/>
        <v>18326.051923013994</v>
      </c>
      <c r="AB49" s="497">
        <f t="shared" si="51"/>
        <v>18326.051923013994</v>
      </c>
      <c r="AC49" s="497">
        <f t="shared" si="51"/>
        <v>18326.051923013994</v>
      </c>
      <c r="AD49" s="497">
        <f t="shared" si="51"/>
        <v>18326.051923013994</v>
      </c>
      <c r="AE49" s="497">
        <f t="shared" si="51"/>
        <v>18326.051923013994</v>
      </c>
      <c r="AF49" s="497">
        <f t="shared" si="51"/>
        <v>18326.051923013994</v>
      </c>
      <c r="AG49" s="497">
        <f t="shared" si="51"/>
        <v>18326.051923013994</v>
      </c>
      <c r="AH49" s="497">
        <f t="shared" si="51"/>
        <v>18326.051923013994</v>
      </c>
      <c r="AI49" s="497">
        <f t="shared" si="51"/>
        <v>18326.051923013994</v>
      </c>
      <c r="AJ49" s="497">
        <f t="shared" si="51"/>
        <v>18326.051923013994</v>
      </c>
      <c r="AK49" s="497">
        <f t="shared" si="51"/>
        <v>18326.051923013994</v>
      </c>
      <c r="AL49" s="497">
        <f t="shared" si="51"/>
        <v>18326.051923013994</v>
      </c>
      <c r="AM49" s="497">
        <f t="shared" si="51"/>
        <v>18326.051923013994</v>
      </c>
      <c r="AN49" s="527">
        <f t="shared" si="51"/>
        <v>18326.051923013994</v>
      </c>
      <c r="AO49" s="527">
        <f t="shared" si="51"/>
        <v>18326.051923013994</v>
      </c>
      <c r="AP49" s="527">
        <f t="shared" si="51"/>
        <v>18326.051923013994</v>
      </c>
      <c r="AQ49" s="527">
        <f t="shared" si="51"/>
        <v>18326.051923013994</v>
      </c>
      <c r="AR49" s="527">
        <f t="shared" si="51"/>
        <v>18326.051923013994</v>
      </c>
      <c r="AS49" s="527">
        <f t="shared" si="51"/>
        <v>18326.051923013994</v>
      </c>
      <c r="AT49" s="527">
        <f t="shared" si="51"/>
        <v>18326.051923013994</v>
      </c>
      <c r="AU49" s="527">
        <f t="shared" si="51"/>
        <v>18326.051923013994</v>
      </c>
      <c r="AV49" s="527">
        <f t="shared" si="51"/>
        <v>18326.051923013994</v>
      </c>
      <c r="AW49" s="527">
        <f t="shared" si="51"/>
        <v>18326.051923013994</v>
      </c>
      <c r="AX49" s="527">
        <f t="shared" si="51"/>
        <v>18326.051923013994</v>
      </c>
      <c r="AY49" s="527">
        <f t="shared" si="51"/>
        <v>18326.051923013994</v>
      </c>
      <c r="AZ49" s="527">
        <f t="shared" si="51"/>
        <v>18326.051923013994</v>
      </c>
      <c r="BA49" s="527">
        <f t="shared" si="51"/>
        <v>18326.051923013994</v>
      </c>
      <c r="BB49" s="527">
        <f t="shared" si="51"/>
        <v>18326.051923013994</v>
      </c>
      <c r="BC49" s="527">
        <f t="shared" si="51"/>
        <v>18326.051923013994</v>
      </c>
      <c r="BD49" s="527">
        <f t="shared" si="51"/>
        <v>18326.051923013994</v>
      </c>
      <c r="BE49" s="527">
        <f t="shared" si="51"/>
        <v>18326.051923013994</v>
      </c>
      <c r="BF49" s="527">
        <f t="shared" si="51"/>
        <v>18326.051923013994</v>
      </c>
      <c r="BG49" s="527">
        <f t="shared" si="51"/>
        <v>18326.051923013994</v>
      </c>
      <c r="BH49" s="527">
        <f t="shared" si="51"/>
        <v>18326.051923013994</v>
      </c>
      <c r="BI49" s="527">
        <f t="shared" si="51"/>
        <v>18326.051923013994</v>
      </c>
      <c r="BJ49" s="527">
        <f t="shared" si="51"/>
        <v>18326.051923013994</v>
      </c>
      <c r="BK49" s="527">
        <f t="shared" si="51"/>
        <v>18326.051923013994</v>
      </c>
      <c r="BL49" s="527">
        <f t="shared" si="51"/>
        <v>18326.051923013994</v>
      </c>
      <c r="BM49" s="527">
        <f t="shared" si="51"/>
        <v>18326.051923013994</v>
      </c>
      <c r="BN49" s="527">
        <f t="shared" si="51"/>
        <v>18326.051923013994</v>
      </c>
      <c r="BO49" s="527">
        <f t="shared" si="51"/>
        <v>18326.051923013994</v>
      </c>
      <c r="BP49" s="527">
        <f t="shared" si="51"/>
        <v>18326.051923013994</v>
      </c>
      <c r="BQ49" s="527">
        <f t="shared" si="51"/>
        <v>18326.051923013994</v>
      </c>
      <c r="BR49" s="527">
        <f t="shared" si="51"/>
        <v>18326.051923013994</v>
      </c>
      <c r="BS49" s="527">
        <f t="shared" si="51"/>
        <v>18326.051923013994</v>
      </c>
      <c r="BT49" s="527">
        <f t="shared" si="51"/>
        <v>18326.051923013994</v>
      </c>
      <c r="BU49" s="527">
        <f t="shared" si="51"/>
        <v>18326.051923013994</v>
      </c>
      <c r="BV49" s="527">
        <f t="shared" si="51"/>
        <v>18326.051923013994</v>
      </c>
      <c r="BW49" s="527">
        <f t="shared" si="51"/>
        <v>18326.051923013994</v>
      </c>
      <c r="BX49" s="527">
        <f t="shared" si="51"/>
        <v>18326.051923013994</v>
      </c>
      <c r="BY49" s="527">
        <f t="shared" si="51"/>
        <v>18326.051923013994</v>
      </c>
      <c r="CB49" s="8"/>
    </row>
    <row r="50" spans="3:80" x14ac:dyDescent="0.3">
      <c r="C50" s="2"/>
      <c r="D50" s="2"/>
      <c r="E50" s="2" t="s">
        <v>30</v>
      </c>
      <c r="F50" s="54"/>
      <c r="G50" s="54"/>
      <c r="H50" s="54"/>
      <c r="I50" s="497">
        <f>I540</f>
        <v>34019.959999999992</v>
      </c>
      <c r="J50" s="497">
        <f t="shared" si="49"/>
        <v>34019.959999999992</v>
      </c>
      <c r="K50" s="497">
        <f t="shared" si="49"/>
        <v>34019.959999999992</v>
      </c>
      <c r="L50" s="497">
        <f t="shared" si="49"/>
        <v>34019.959999999992</v>
      </c>
      <c r="M50" s="497">
        <f t="shared" si="49"/>
        <v>34019.959999999992</v>
      </c>
      <c r="N50" s="497">
        <f t="shared" si="49"/>
        <v>34019.959999999992</v>
      </c>
      <c r="O50" s="37"/>
      <c r="P50" s="50">
        <f>IFERROR(((N50/I50)^(1/5))-1,0)</f>
        <v>0</v>
      </c>
      <c r="R50" s="497">
        <f t="shared" ref="R50:BY50" si="52">R380</f>
        <v>2834.996666666666</v>
      </c>
      <c r="S50" s="497">
        <f t="shared" si="52"/>
        <v>2834.996666666666</v>
      </c>
      <c r="T50" s="497">
        <f t="shared" si="52"/>
        <v>2834.996666666666</v>
      </c>
      <c r="U50" s="497">
        <f t="shared" si="52"/>
        <v>2834.996666666666</v>
      </c>
      <c r="V50" s="497">
        <f t="shared" si="52"/>
        <v>2834.996666666666</v>
      </c>
      <c r="W50" s="497">
        <f t="shared" si="52"/>
        <v>2834.996666666666</v>
      </c>
      <c r="X50" s="497">
        <f t="shared" si="52"/>
        <v>2834.996666666666</v>
      </c>
      <c r="Y50" s="497">
        <f t="shared" si="52"/>
        <v>2834.996666666666</v>
      </c>
      <c r="Z50" s="497">
        <f t="shared" si="52"/>
        <v>2834.996666666666</v>
      </c>
      <c r="AA50" s="497">
        <f t="shared" si="52"/>
        <v>2834.996666666666</v>
      </c>
      <c r="AB50" s="497">
        <f t="shared" si="52"/>
        <v>2834.996666666666</v>
      </c>
      <c r="AC50" s="497">
        <f t="shared" si="52"/>
        <v>2834.996666666666</v>
      </c>
      <c r="AD50" s="497">
        <f t="shared" si="52"/>
        <v>2834.996666666666</v>
      </c>
      <c r="AE50" s="497">
        <f t="shared" si="52"/>
        <v>2834.996666666666</v>
      </c>
      <c r="AF50" s="497">
        <f t="shared" si="52"/>
        <v>2834.996666666666</v>
      </c>
      <c r="AG50" s="497">
        <f t="shared" si="52"/>
        <v>2834.996666666666</v>
      </c>
      <c r="AH50" s="497">
        <f t="shared" si="52"/>
        <v>2834.996666666666</v>
      </c>
      <c r="AI50" s="497">
        <f t="shared" si="52"/>
        <v>2834.996666666666</v>
      </c>
      <c r="AJ50" s="497">
        <f t="shared" si="52"/>
        <v>2834.996666666666</v>
      </c>
      <c r="AK50" s="497">
        <f t="shared" si="52"/>
        <v>2834.996666666666</v>
      </c>
      <c r="AL50" s="497">
        <f t="shared" si="52"/>
        <v>2834.996666666666</v>
      </c>
      <c r="AM50" s="497">
        <f t="shared" si="52"/>
        <v>2834.996666666666</v>
      </c>
      <c r="AN50" s="527">
        <f t="shared" si="52"/>
        <v>2834.996666666666</v>
      </c>
      <c r="AO50" s="527">
        <f t="shared" si="52"/>
        <v>2834.996666666666</v>
      </c>
      <c r="AP50" s="527">
        <f t="shared" si="52"/>
        <v>2834.996666666666</v>
      </c>
      <c r="AQ50" s="527">
        <f t="shared" si="52"/>
        <v>2834.996666666666</v>
      </c>
      <c r="AR50" s="527">
        <f t="shared" si="52"/>
        <v>2834.996666666666</v>
      </c>
      <c r="AS50" s="527">
        <f t="shared" si="52"/>
        <v>2834.996666666666</v>
      </c>
      <c r="AT50" s="527">
        <f t="shared" si="52"/>
        <v>2834.996666666666</v>
      </c>
      <c r="AU50" s="527">
        <f t="shared" si="52"/>
        <v>2834.996666666666</v>
      </c>
      <c r="AV50" s="527">
        <f t="shared" si="52"/>
        <v>2834.996666666666</v>
      </c>
      <c r="AW50" s="527">
        <f t="shared" si="52"/>
        <v>2834.996666666666</v>
      </c>
      <c r="AX50" s="527">
        <f t="shared" si="52"/>
        <v>2834.996666666666</v>
      </c>
      <c r="AY50" s="527">
        <f t="shared" si="52"/>
        <v>2834.996666666666</v>
      </c>
      <c r="AZ50" s="527">
        <f t="shared" si="52"/>
        <v>2834.996666666666</v>
      </c>
      <c r="BA50" s="527">
        <f t="shared" si="52"/>
        <v>2834.996666666666</v>
      </c>
      <c r="BB50" s="527">
        <f t="shared" si="52"/>
        <v>2834.996666666666</v>
      </c>
      <c r="BC50" s="527">
        <f t="shared" si="52"/>
        <v>2834.996666666666</v>
      </c>
      <c r="BD50" s="527">
        <f t="shared" si="52"/>
        <v>2834.996666666666</v>
      </c>
      <c r="BE50" s="527">
        <f t="shared" si="52"/>
        <v>2834.996666666666</v>
      </c>
      <c r="BF50" s="527">
        <f t="shared" si="52"/>
        <v>2834.996666666666</v>
      </c>
      <c r="BG50" s="527">
        <f t="shared" si="52"/>
        <v>2834.996666666666</v>
      </c>
      <c r="BH50" s="527">
        <f t="shared" si="52"/>
        <v>2834.996666666666</v>
      </c>
      <c r="BI50" s="527">
        <f t="shared" si="52"/>
        <v>2834.996666666666</v>
      </c>
      <c r="BJ50" s="527">
        <f t="shared" si="52"/>
        <v>2834.996666666666</v>
      </c>
      <c r="BK50" s="527">
        <f t="shared" si="52"/>
        <v>2834.996666666666</v>
      </c>
      <c r="BL50" s="527">
        <f t="shared" si="52"/>
        <v>2834.996666666666</v>
      </c>
      <c r="BM50" s="527">
        <f t="shared" si="52"/>
        <v>2834.996666666666</v>
      </c>
      <c r="BN50" s="527">
        <f t="shared" si="52"/>
        <v>2834.996666666666</v>
      </c>
      <c r="BO50" s="527">
        <f t="shared" si="52"/>
        <v>2834.996666666666</v>
      </c>
      <c r="BP50" s="527">
        <f t="shared" si="52"/>
        <v>2834.996666666666</v>
      </c>
      <c r="BQ50" s="527">
        <f t="shared" si="52"/>
        <v>2834.996666666666</v>
      </c>
      <c r="BR50" s="527">
        <f t="shared" si="52"/>
        <v>2834.996666666666</v>
      </c>
      <c r="BS50" s="527">
        <f t="shared" si="52"/>
        <v>2834.996666666666</v>
      </c>
      <c r="BT50" s="527">
        <f t="shared" si="52"/>
        <v>2834.996666666666</v>
      </c>
      <c r="BU50" s="527">
        <f t="shared" si="52"/>
        <v>2834.996666666666</v>
      </c>
      <c r="BV50" s="527">
        <f t="shared" si="52"/>
        <v>2834.996666666666</v>
      </c>
      <c r="BW50" s="527">
        <f t="shared" si="52"/>
        <v>2834.996666666666</v>
      </c>
      <c r="BX50" s="527">
        <f t="shared" si="52"/>
        <v>2834.996666666666</v>
      </c>
      <c r="BY50" s="527">
        <f t="shared" si="52"/>
        <v>2834.996666666666</v>
      </c>
      <c r="CB50" s="8"/>
    </row>
    <row r="51" spans="3:80" x14ac:dyDescent="0.3">
      <c r="C51" s="2"/>
      <c r="D51" s="2"/>
      <c r="E51" s="2" t="s">
        <v>31</v>
      </c>
      <c r="F51" s="54"/>
      <c r="G51" s="54"/>
      <c r="H51" s="54"/>
      <c r="I51" s="497">
        <f>I541</f>
        <v>111753.77950661541</v>
      </c>
      <c r="J51" s="497">
        <f t="shared" si="49"/>
        <v>111753.77950661538</v>
      </c>
      <c r="K51" s="497">
        <f t="shared" si="49"/>
        <v>111753.77950661538</v>
      </c>
      <c r="L51" s="497">
        <f t="shared" si="49"/>
        <v>111753.77950661538</v>
      </c>
      <c r="M51" s="497">
        <f t="shared" si="49"/>
        <v>111753.77950661538</v>
      </c>
      <c r="N51" s="497">
        <f t="shared" si="49"/>
        <v>111753.77950661538</v>
      </c>
      <c r="O51" s="37"/>
      <c r="P51" s="50">
        <f>IFERROR(((N51/I51)^(1/5))-1,0)</f>
        <v>0</v>
      </c>
      <c r="R51" s="497">
        <f t="shared" ref="R51:BY51" si="53">R388</f>
        <v>9312.8149588846172</v>
      </c>
      <c r="S51" s="497">
        <f t="shared" si="53"/>
        <v>9312.8149588846172</v>
      </c>
      <c r="T51" s="497">
        <f t="shared" si="53"/>
        <v>9312.8149588846172</v>
      </c>
      <c r="U51" s="497">
        <f t="shared" si="53"/>
        <v>9312.8149588846172</v>
      </c>
      <c r="V51" s="497">
        <f t="shared" si="53"/>
        <v>9312.8149588846172</v>
      </c>
      <c r="W51" s="497">
        <f t="shared" si="53"/>
        <v>9312.8149588846172</v>
      </c>
      <c r="X51" s="497">
        <f t="shared" si="53"/>
        <v>9312.8149588846172</v>
      </c>
      <c r="Y51" s="497">
        <f t="shared" si="53"/>
        <v>9312.8149588846172</v>
      </c>
      <c r="Z51" s="497">
        <f t="shared" si="53"/>
        <v>9312.8149588846172</v>
      </c>
      <c r="AA51" s="497">
        <f t="shared" si="53"/>
        <v>9312.8149588846172</v>
      </c>
      <c r="AB51" s="497">
        <f t="shared" si="53"/>
        <v>9312.8149588846172</v>
      </c>
      <c r="AC51" s="497">
        <f t="shared" si="53"/>
        <v>9312.8149588846172</v>
      </c>
      <c r="AD51" s="497">
        <f t="shared" si="53"/>
        <v>9312.8149588846172</v>
      </c>
      <c r="AE51" s="497">
        <f t="shared" si="53"/>
        <v>9312.8149588846172</v>
      </c>
      <c r="AF51" s="497">
        <f t="shared" si="53"/>
        <v>9312.8149588846172</v>
      </c>
      <c r="AG51" s="497">
        <f t="shared" si="53"/>
        <v>9312.8149588846172</v>
      </c>
      <c r="AH51" s="497">
        <f t="shared" si="53"/>
        <v>9312.8149588846172</v>
      </c>
      <c r="AI51" s="497">
        <f t="shared" si="53"/>
        <v>9312.8149588846172</v>
      </c>
      <c r="AJ51" s="497">
        <f t="shared" si="53"/>
        <v>9312.8149588846172</v>
      </c>
      <c r="AK51" s="497">
        <f t="shared" si="53"/>
        <v>9312.8149588846172</v>
      </c>
      <c r="AL51" s="497">
        <f t="shared" si="53"/>
        <v>9312.8149588846172</v>
      </c>
      <c r="AM51" s="497">
        <f t="shared" si="53"/>
        <v>9312.8149588846172</v>
      </c>
      <c r="AN51" s="527">
        <f t="shared" si="53"/>
        <v>9312.8149588846172</v>
      </c>
      <c r="AO51" s="527">
        <f t="shared" si="53"/>
        <v>9312.8149588846172</v>
      </c>
      <c r="AP51" s="527">
        <f t="shared" si="53"/>
        <v>9312.8149588846172</v>
      </c>
      <c r="AQ51" s="527">
        <f t="shared" si="53"/>
        <v>9312.8149588846172</v>
      </c>
      <c r="AR51" s="527">
        <f t="shared" si="53"/>
        <v>9312.8149588846172</v>
      </c>
      <c r="AS51" s="527">
        <f t="shared" si="53"/>
        <v>9312.8149588846172</v>
      </c>
      <c r="AT51" s="527">
        <f t="shared" si="53"/>
        <v>9312.8149588846172</v>
      </c>
      <c r="AU51" s="527">
        <f t="shared" si="53"/>
        <v>9312.8149588846172</v>
      </c>
      <c r="AV51" s="527">
        <f t="shared" si="53"/>
        <v>9312.8149588846172</v>
      </c>
      <c r="AW51" s="527">
        <f t="shared" si="53"/>
        <v>9312.8149588846172</v>
      </c>
      <c r="AX51" s="527">
        <f t="shared" si="53"/>
        <v>9312.8149588846172</v>
      </c>
      <c r="AY51" s="527">
        <f t="shared" si="53"/>
        <v>9312.8149588846172</v>
      </c>
      <c r="AZ51" s="527">
        <f t="shared" si="53"/>
        <v>9312.8149588846172</v>
      </c>
      <c r="BA51" s="527">
        <f t="shared" si="53"/>
        <v>9312.8149588846172</v>
      </c>
      <c r="BB51" s="527">
        <f t="shared" si="53"/>
        <v>9312.8149588846172</v>
      </c>
      <c r="BC51" s="527">
        <f t="shared" si="53"/>
        <v>9312.8149588846172</v>
      </c>
      <c r="BD51" s="527">
        <f t="shared" si="53"/>
        <v>9312.8149588846172</v>
      </c>
      <c r="BE51" s="527">
        <f t="shared" si="53"/>
        <v>9312.8149588846172</v>
      </c>
      <c r="BF51" s="527">
        <f t="shared" si="53"/>
        <v>9312.8149588846172</v>
      </c>
      <c r="BG51" s="527">
        <f t="shared" si="53"/>
        <v>9312.8149588846172</v>
      </c>
      <c r="BH51" s="527">
        <f t="shared" si="53"/>
        <v>9312.8149588846172</v>
      </c>
      <c r="BI51" s="527">
        <f t="shared" si="53"/>
        <v>9312.8149588846172</v>
      </c>
      <c r="BJ51" s="527">
        <f t="shared" si="53"/>
        <v>9312.8149588846172</v>
      </c>
      <c r="BK51" s="527">
        <f t="shared" si="53"/>
        <v>9312.8149588846172</v>
      </c>
      <c r="BL51" s="527">
        <f t="shared" si="53"/>
        <v>9312.8149588846172</v>
      </c>
      <c r="BM51" s="527">
        <f t="shared" si="53"/>
        <v>9312.8149588846172</v>
      </c>
      <c r="BN51" s="527">
        <f t="shared" si="53"/>
        <v>9312.8149588846172</v>
      </c>
      <c r="BO51" s="527">
        <f t="shared" si="53"/>
        <v>9312.8149588846172</v>
      </c>
      <c r="BP51" s="527">
        <f t="shared" si="53"/>
        <v>9312.8149588846172</v>
      </c>
      <c r="BQ51" s="527">
        <f t="shared" si="53"/>
        <v>9312.8149588846172</v>
      </c>
      <c r="BR51" s="527">
        <f t="shared" si="53"/>
        <v>9312.8149588846172</v>
      </c>
      <c r="BS51" s="527">
        <f t="shared" si="53"/>
        <v>9312.8149588846172</v>
      </c>
      <c r="BT51" s="527">
        <f t="shared" si="53"/>
        <v>9312.8149588846172</v>
      </c>
      <c r="BU51" s="527">
        <f t="shared" si="53"/>
        <v>9312.8149588846172</v>
      </c>
      <c r="BV51" s="527">
        <f t="shared" si="53"/>
        <v>9312.8149588846172</v>
      </c>
      <c r="BW51" s="527">
        <f t="shared" si="53"/>
        <v>9312.8149588846172</v>
      </c>
      <c r="BX51" s="527">
        <f t="shared" si="53"/>
        <v>9312.8149588846172</v>
      </c>
      <c r="BY51" s="527">
        <f t="shared" si="53"/>
        <v>9312.8149588846172</v>
      </c>
      <c r="CB51" s="8"/>
    </row>
    <row r="52" spans="3:80" x14ac:dyDescent="0.3">
      <c r="C52" s="2"/>
      <c r="D52" s="2"/>
      <c r="E52" s="4" t="s">
        <v>32</v>
      </c>
      <c r="F52" s="5"/>
      <c r="G52" s="5"/>
      <c r="H52" s="5"/>
      <c r="I52" s="500">
        <f>I542</f>
        <v>365806.65258278337</v>
      </c>
      <c r="J52" s="500">
        <f t="shared" si="49"/>
        <v>365806.65258278325</v>
      </c>
      <c r="K52" s="500">
        <f t="shared" si="49"/>
        <v>365806.65258278325</v>
      </c>
      <c r="L52" s="500">
        <f t="shared" si="49"/>
        <v>365806.65258278325</v>
      </c>
      <c r="M52" s="500">
        <f t="shared" si="49"/>
        <v>365806.65258278325</v>
      </c>
      <c r="N52" s="500">
        <f t="shared" si="49"/>
        <v>365806.65258278325</v>
      </c>
      <c r="O52" s="57"/>
      <c r="P52" s="55">
        <f>IFERROR(((N52/I52)^(1/5))-1,0)</f>
        <v>-1.1102230246251565E-16</v>
      </c>
      <c r="R52" s="500">
        <f t="shared" ref="R52:BY52" si="54">SUM(R48:R51)</f>
        <v>30483.887715231944</v>
      </c>
      <c r="S52" s="498">
        <f t="shared" si="54"/>
        <v>30483.887715231944</v>
      </c>
      <c r="T52" s="500">
        <f t="shared" si="54"/>
        <v>30483.887715231944</v>
      </c>
      <c r="U52" s="500">
        <f t="shared" si="54"/>
        <v>30483.887715231944</v>
      </c>
      <c r="V52" s="500">
        <f t="shared" si="54"/>
        <v>30483.887715231944</v>
      </c>
      <c r="W52" s="500">
        <f t="shared" si="54"/>
        <v>30483.887715231944</v>
      </c>
      <c r="X52" s="500">
        <f t="shared" si="54"/>
        <v>30483.887715231944</v>
      </c>
      <c r="Y52" s="500">
        <f t="shared" si="54"/>
        <v>30483.887715231944</v>
      </c>
      <c r="Z52" s="500">
        <f t="shared" si="54"/>
        <v>30483.887715231944</v>
      </c>
      <c r="AA52" s="500">
        <f t="shared" si="54"/>
        <v>30483.887715231944</v>
      </c>
      <c r="AB52" s="500">
        <f t="shared" si="54"/>
        <v>30483.887715231944</v>
      </c>
      <c r="AC52" s="500">
        <f t="shared" si="54"/>
        <v>30483.887715231944</v>
      </c>
      <c r="AD52" s="500">
        <f t="shared" si="54"/>
        <v>30483.887715231944</v>
      </c>
      <c r="AE52" s="500">
        <f t="shared" si="54"/>
        <v>30483.887715231944</v>
      </c>
      <c r="AF52" s="500">
        <f t="shared" si="54"/>
        <v>30483.887715231944</v>
      </c>
      <c r="AG52" s="500">
        <f t="shared" si="54"/>
        <v>30483.887715231944</v>
      </c>
      <c r="AH52" s="500">
        <f t="shared" si="54"/>
        <v>30483.887715231944</v>
      </c>
      <c r="AI52" s="500">
        <f t="shared" si="54"/>
        <v>30483.887715231944</v>
      </c>
      <c r="AJ52" s="500">
        <f t="shared" si="54"/>
        <v>30483.887715231944</v>
      </c>
      <c r="AK52" s="500">
        <f t="shared" si="54"/>
        <v>30483.887715231944</v>
      </c>
      <c r="AL52" s="500">
        <f t="shared" si="54"/>
        <v>30483.887715231944</v>
      </c>
      <c r="AM52" s="500">
        <f t="shared" si="54"/>
        <v>30483.887715231944</v>
      </c>
      <c r="AN52" s="532">
        <f t="shared" si="54"/>
        <v>30483.887715231944</v>
      </c>
      <c r="AO52" s="532">
        <f t="shared" si="54"/>
        <v>30483.887715231944</v>
      </c>
      <c r="AP52" s="532">
        <f t="shared" si="54"/>
        <v>30483.887715231944</v>
      </c>
      <c r="AQ52" s="532">
        <f t="shared" si="54"/>
        <v>30483.887715231944</v>
      </c>
      <c r="AR52" s="532">
        <f t="shared" si="54"/>
        <v>30483.887715231944</v>
      </c>
      <c r="AS52" s="532">
        <f t="shared" si="54"/>
        <v>30483.887715231944</v>
      </c>
      <c r="AT52" s="532">
        <f t="shared" si="54"/>
        <v>30483.887715231944</v>
      </c>
      <c r="AU52" s="532">
        <f t="shared" si="54"/>
        <v>30483.887715231944</v>
      </c>
      <c r="AV52" s="532">
        <f t="shared" si="54"/>
        <v>30483.887715231944</v>
      </c>
      <c r="AW52" s="532">
        <f t="shared" si="54"/>
        <v>30483.887715231944</v>
      </c>
      <c r="AX52" s="532">
        <f t="shared" si="54"/>
        <v>30483.887715231944</v>
      </c>
      <c r="AY52" s="532">
        <f t="shared" si="54"/>
        <v>30483.887715231944</v>
      </c>
      <c r="AZ52" s="532">
        <f t="shared" si="54"/>
        <v>30483.887715231944</v>
      </c>
      <c r="BA52" s="532">
        <f t="shared" si="54"/>
        <v>30483.887715231944</v>
      </c>
      <c r="BB52" s="532">
        <f t="shared" si="54"/>
        <v>30483.887715231944</v>
      </c>
      <c r="BC52" s="532">
        <f t="shared" si="54"/>
        <v>30483.887715231944</v>
      </c>
      <c r="BD52" s="532">
        <f t="shared" si="54"/>
        <v>30483.887715231944</v>
      </c>
      <c r="BE52" s="532">
        <f t="shared" si="54"/>
        <v>30483.887715231944</v>
      </c>
      <c r="BF52" s="532">
        <f t="shared" si="54"/>
        <v>30483.887715231944</v>
      </c>
      <c r="BG52" s="532">
        <f t="shared" si="54"/>
        <v>30483.887715231944</v>
      </c>
      <c r="BH52" s="532">
        <f t="shared" si="54"/>
        <v>30483.887715231944</v>
      </c>
      <c r="BI52" s="532">
        <f t="shared" si="54"/>
        <v>30483.887715231944</v>
      </c>
      <c r="BJ52" s="532">
        <f t="shared" si="54"/>
        <v>30483.887715231944</v>
      </c>
      <c r="BK52" s="532">
        <f t="shared" si="54"/>
        <v>30483.887715231944</v>
      </c>
      <c r="BL52" s="532">
        <f t="shared" si="54"/>
        <v>30483.887715231944</v>
      </c>
      <c r="BM52" s="532">
        <f t="shared" si="54"/>
        <v>30483.887715231944</v>
      </c>
      <c r="BN52" s="532">
        <f t="shared" si="54"/>
        <v>30483.887715231944</v>
      </c>
      <c r="BO52" s="532">
        <f t="shared" si="54"/>
        <v>30483.887715231944</v>
      </c>
      <c r="BP52" s="532">
        <f t="shared" si="54"/>
        <v>30483.887715231944</v>
      </c>
      <c r="BQ52" s="532">
        <f t="shared" si="54"/>
        <v>30483.887715231944</v>
      </c>
      <c r="BR52" s="532">
        <f t="shared" si="54"/>
        <v>30483.887715231944</v>
      </c>
      <c r="BS52" s="532">
        <f t="shared" si="54"/>
        <v>30483.887715231944</v>
      </c>
      <c r="BT52" s="532">
        <f t="shared" si="54"/>
        <v>30483.887715231944</v>
      </c>
      <c r="BU52" s="532">
        <f t="shared" si="54"/>
        <v>30483.887715231944</v>
      </c>
      <c r="BV52" s="532">
        <f t="shared" si="54"/>
        <v>30483.887715231944</v>
      </c>
      <c r="BW52" s="532">
        <f t="shared" si="54"/>
        <v>30483.887715231944</v>
      </c>
      <c r="BX52" s="532">
        <f t="shared" si="54"/>
        <v>30483.887715231944</v>
      </c>
      <c r="BY52" s="532">
        <f t="shared" si="54"/>
        <v>30483.887715231944</v>
      </c>
      <c r="CB52" s="8"/>
    </row>
    <row r="53" spans="3:80" x14ac:dyDescent="0.3">
      <c r="C53" s="2"/>
      <c r="D53" s="2"/>
      <c r="E53" s="2"/>
      <c r="F53" s="37"/>
      <c r="G53" s="37"/>
      <c r="H53" s="37"/>
      <c r="I53" s="37"/>
      <c r="J53" s="37"/>
      <c r="K53" s="37"/>
      <c r="L53" s="37"/>
      <c r="M53" s="37"/>
      <c r="N53" s="37"/>
      <c r="O53" s="37"/>
      <c r="P53" s="35"/>
      <c r="R53" s="37"/>
      <c r="S53" s="37"/>
      <c r="T53" s="37"/>
      <c r="U53" s="37"/>
      <c r="V53" s="37"/>
      <c r="W53" s="37"/>
      <c r="X53" s="37"/>
      <c r="Y53" s="37"/>
      <c r="Z53" s="37"/>
      <c r="AA53" s="37"/>
      <c r="AB53" s="37"/>
      <c r="AC53" s="37"/>
      <c r="AD53" s="37"/>
      <c r="AE53" s="37"/>
      <c r="AF53" s="37"/>
      <c r="AG53" s="37"/>
      <c r="AH53" s="37"/>
      <c r="AI53" s="37"/>
      <c r="AJ53" s="37"/>
      <c r="AK53" s="37"/>
      <c r="AL53" s="37"/>
      <c r="AM53" s="37"/>
      <c r="AN53" s="529"/>
      <c r="AO53" s="529"/>
      <c r="AP53" s="529"/>
      <c r="AQ53" s="529"/>
      <c r="AR53" s="529"/>
      <c r="AS53" s="529"/>
      <c r="AT53" s="529"/>
      <c r="AU53" s="529"/>
      <c r="AV53" s="529"/>
      <c r="AW53" s="529"/>
      <c r="AX53" s="529"/>
      <c r="AY53" s="529"/>
      <c r="AZ53" s="529"/>
      <c r="BA53" s="529"/>
      <c r="BB53" s="529"/>
      <c r="BC53" s="529"/>
      <c r="BD53" s="529"/>
      <c r="BE53" s="529"/>
      <c r="BF53" s="529"/>
      <c r="BG53" s="529"/>
      <c r="BH53" s="529"/>
      <c r="BI53" s="529"/>
      <c r="BJ53" s="529"/>
      <c r="BK53" s="529"/>
      <c r="BL53" s="529"/>
      <c r="BM53" s="529"/>
      <c r="BN53" s="529"/>
      <c r="BO53" s="529"/>
      <c r="BP53" s="529"/>
      <c r="BQ53" s="529"/>
      <c r="BR53" s="529"/>
      <c r="BS53" s="529"/>
      <c r="BT53" s="529"/>
      <c r="BU53" s="529"/>
      <c r="BV53" s="529"/>
      <c r="BW53" s="529"/>
      <c r="BX53" s="529"/>
      <c r="BY53" s="529"/>
    </row>
    <row r="54" spans="3:80" x14ac:dyDescent="0.3">
      <c r="C54" s="2"/>
      <c r="D54" s="2"/>
      <c r="E54" s="62" t="s">
        <v>33</v>
      </c>
      <c r="F54" s="63"/>
      <c r="G54" s="63"/>
      <c r="H54" s="63"/>
      <c r="I54" s="501">
        <f>I544</f>
        <v>3346508.3368396084</v>
      </c>
      <c r="J54" s="501">
        <f>SUMIF($R$2:$BY$2,J$3,$R54:$BY54)</f>
        <v>3526514.6946726572</v>
      </c>
      <c r="K54" s="502">
        <f>SUMIF($R$2:$BY$2,K$3,$R54:$BY54)</f>
        <v>3746597.5635854099</v>
      </c>
      <c r="L54" s="502">
        <f>SUMIF($R$2:$BY$2,L$3,$R54:$BY54)</f>
        <v>3972934.1596209314</v>
      </c>
      <c r="M54" s="502">
        <f>SUMIF($R$2:$BY$2,M$3,$R54:$BY54)</f>
        <v>4205491.1766796336</v>
      </c>
      <c r="N54" s="501">
        <f>SUMIF($R$2:$BY$2,N$3,$R54:$BY54)</f>
        <v>4450089.8113294039</v>
      </c>
      <c r="O54" s="57"/>
      <c r="P54" s="55">
        <f>IFERROR(((N54/I54)^(1/5))-1,0)</f>
        <v>5.8657242446249258E-2</v>
      </c>
      <c r="R54" s="501">
        <f t="shared" ref="R54:BY54" si="55">R39+R45+R52</f>
        <v>290087.9415691949</v>
      </c>
      <c r="S54" s="501">
        <f t="shared" si="55"/>
        <v>290087.9415691949</v>
      </c>
      <c r="T54" s="501">
        <f t="shared" si="55"/>
        <v>290087.9415691949</v>
      </c>
      <c r="U54" s="501">
        <f t="shared" si="55"/>
        <v>290087.9415691949</v>
      </c>
      <c r="V54" s="501">
        <f t="shared" si="55"/>
        <v>290087.9415691949</v>
      </c>
      <c r="W54" s="501">
        <f t="shared" si="55"/>
        <v>290087.9415691949</v>
      </c>
      <c r="X54" s="501">
        <f t="shared" si="55"/>
        <v>297664.50754291454</v>
      </c>
      <c r="Y54" s="501">
        <f t="shared" si="55"/>
        <v>297664.50754291454</v>
      </c>
      <c r="Z54" s="501">
        <f t="shared" si="55"/>
        <v>297664.50754291454</v>
      </c>
      <c r="AA54" s="501">
        <f t="shared" si="55"/>
        <v>297664.50754291454</v>
      </c>
      <c r="AB54" s="501">
        <f t="shared" si="55"/>
        <v>297664.50754291454</v>
      </c>
      <c r="AC54" s="501">
        <f t="shared" si="55"/>
        <v>297664.50754291454</v>
      </c>
      <c r="AD54" s="502">
        <f t="shared" si="55"/>
        <v>307458.24014597753</v>
      </c>
      <c r="AE54" s="502">
        <f t="shared" si="55"/>
        <v>307458.24014597753</v>
      </c>
      <c r="AF54" s="502">
        <f t="shared" si="55"/>
        <v>307458.24014597753</v>
      </c>
      <c r="AG54" s="502">
        <f t="shared" si="55"/>
        <v>307458.24014597753</v>
      </c>
      <c r="AH54" s="502">
        <f t="shared" si="55"/>
        <v>307458.24014597753</v>
      </c>
      <c r="AI54" s="502">
        <f t="shared" si="55"/>
        <v>307458.24014597753</v>
      </c>
      <c r="AJ54" s="502">
        <f t="shared" si="55"/>
        <v>316974.68711825745</v>
      </c>
      <c r="AK54" s="502">
        <f t="shared" si="55"/>
        <v>316974.68711825745</v>
      </c>
      <c r="AL54" s="502">
        <f t="shared" si="55"/>
        <v>316974.68711825745</v>
      </c>
      <c r="AM54" s="502">
        <f t="shared" si="55"/>
        <v>316974.68711825745</v>
      </c>
      <c r="AN54" s="534">
        <f t="shared" si="55"/>
        <v>316974.68711825745</v>
      </c>
      <c r="AO54" s="534">
        <f t="shared" si="55"/>
        <v>316974.68711825745</v>
      </c>
      <c r="AP54" s="534">
        <f t="shared" si="55"/>
        <v>325286.45676654298</v>
      </c>
      <c r="AQ54" s="534">
        <f t="shared" si="55"/>
        <v>325286.45676654298</v>
      </c>
      <c r="AR54" s="534">
        <f t="shared" si="55"/>
        <v>325286.45676654298</v>
      </c>
      <c r="AS54" s="534">
        <f t="shared" si="55"/>
        <v>325286.45676654298</v>
      </c>
      <c r="AT54" s="534">
        <f t="shared" si="55"/>
        <v>325286.45676654298</v>
      </c>
      <c r="AU54" s="534">
        <f t="shared" si="55"/>
        <v>325286.45676654298</v>
      </c>
      <c r="AV54" s="534">
        <f t="shared" si="55"/>
        <v>336869.23650361225</v>
      </c>
      <c r="AW54" s="534">
        <f t="shared" si="55"/>
        <v>336869.23650361225</v>
      </c>
      <c r="AX54" s="534">
        <f t="shared" si="55"/>
        <v>336869.23650361225</v>
      </c>
      <c r="AY54" s="534">
        <f t="shared" si="55"/>
        <v>336869.23650361225</v>
      </c>
      <c r="AZ54" s="534">
        <f t="shared" si="55"/>
        <v>336869.23650361225</v>
      </c>
      <c r="BA54" s="534">
        <f t="shared" si="55"/>
        <v>336869.23650361225</v>
      </c>
      <c r="BB54" s="534">
        <f t="shared" si="55"/>
        <v>343568.59855858906</v>
      </c>
      <c r="BC54" s="534">
        <f t="shared" si="55"/>
        <v>343568.59855858906</v>
      </c>
      <c r="BD54" s="534">
        <f t="shared" si="55"/>
        <v>343568.59855858906</v>
      </c>
      <c r="BE54" s="534">
        <f t="shared" si="55"/>
        <v>343568.59855858906</v>
      </c>
      <c r="BF54" s="534">
        <f t="shared" si="55"/>
        <v>343568.59855858906</v>
      </c>
      <c r="BG54" s="534">
        <f t="shared" si="55"/>
        <v>343568.59855858906</v>
      </c>
      <c r="BH54" s="534">
        <f t="shared" si="55"/>
        <v>357346.59755468305</v>
      </c>
      <c r="BI54" s="534">
        <f t="shared" si="55"/>
        <v>357346.59755468305</v>
      </c>
      <c r="BJ54" s="534">
        <f t="shared" si="55"/>
        <v>357346.59755468305</v>
      </c>
      <c r="BK54" s="534">
        <f t="shared" si="55"/>
        <v>357346.59755468305</v>
      </c>
      <c r="BL54" s="534">
        <f t="shared" si="55"/>
        <v>357346.59755468305</v>
      </c>
      <c r="BM54" s="534">
        <f t="shared" si="55"/>
        <v>357346.59755468305</v>
      </c>
      <c r="BN54" s="534">
        <f t="shared" si="55"/>
        <v>362785.9554942734</v>
      </c>
      <c r="BO54" s="534">
        <f t="shared" si="55"/>
        <v>362785.9554942734</v>
      </c>
      <c r="BP54" s="534">
        <f t="shared" si="55"/>
        <v>362785.9554942734</v>
      </c>
      <c r="BQ54" s="534">
        <f t="shared" si="55"/>
        <v>362785.9554942734</v>
      </c>
      <c r="BR54" s="534">
        <f t="shared" si="55"/>
        <v>362785.9554942734</v>
      </c>
      <c r="BS54" s="534">
        <f t="shared" si="55"/>
        <v>362785.9554942734</v>
      </c>
      <c r="BT54" s="534">
        <f t="shared" si="55"/>
        <v>378895.6797272939</v>
      </c>
      <c r="BU54" s="534">
        <f t="shared" si="55"/>
        <v>378895.6797272939</v>
      </c>
      <c r="BV54" s="534">
        <f t="shared" si="55"/>
        <v>378895.6797272939</v>
      </c>
      <c r="BW54" s="534">
        <f t="shared" si="55"/>
        <v>378895.6797272939</v>
      </c>
      <c r="BX54" s="534">
        <f t="shared" si="55"/>
        <v>378895.6797272939</v>
      </c>
      <c r="BY54" s="534">
        <f t="shared" si="55"/>
        <v>378895.6797272939</v>
      </c>
      <c r="CB54" s="8"/>
    </row>
    <row r="55" spans="3:80" x14ac:dyDescent="0.3">
      <c r="C55" s="2"/>
      <c r="D55" s="2"/>
      <c r="E55" s="2"/>
      <c r="F55" s="37"/>
      <c r="G55" s="37"/>
      <c r="H55" s="37"/>
      <c r="I55" s="37"/>
      <c r="J55" s="37"/>
      <c r="K55" s="37"/>
      <c r="L55" s="37"/>
      <c r="M55" s="37"/>
      <c r="N55" s="37"/>
      <c r="O55" s="37"/>
      <c r="P55" s="35"/>
      <c r="R55" s="37"/>
      <c r="S55" s="37"/>
      <c r="T55" s="37"/>
      <c r="U55" s="37"/>
      <c r="V55" s="37"/>
      <c r="W55" s="37"/>
      <c r="X55" s="37"/>
      <c r="Y55" s="37"/>
      <c r="Z55" s="37"/>
      <c r="AA55" s="37"/>
      <c r="AB55" s="37"/>
      <c r="AC55" s="37"/>
      <c r="AD55" s="37"/>
      <c r="AE55" s="37"/>
      <c r="AF55" s="37"/>
      <c r="AG55" s="37"/>
      <c r="AH55" s="37"/>
      <c r="AI55" s="37"/>
      <c r="AJ55" s="37"/>
      <c r="AK55" s="37"/>
      <c r="AL55" s="37"/>
      <c r="AM55" s="37"/>
      <c r="AN55" s="529"/>
      <c r="AO55" s="529"/>
      <c r="AP55" s="529"/>
      <c r="AQ55" s="529"/>
      <c r="AR55" s="529"/>
      <c r="AS55" s="529"/>
      <c r="AT55" s="529"/>
      <c r="AU55" s="529"/>
      <c r="AV55" s="529"/>
      <c r="AW55" s="529"/>
      <c r="AX55" s="529"/>
      <c r="AY55" s="529"/>
      <c r="AZ55" s="529"/>
      <c r="BA55" s="529"/>
      <c r="BB55" s="529"/>
      <c r="BC55" s="529"/>
      <c r="BD55" s="529"/>
      <c r="BE55" s="529"/>
      <c r="BF55" s="529"/>
      <c r="BG55" s="529"/>
      <c r="BH55" s="529"/>
      <c r="BI55" s="529"/>
      <c r="BJ55" s="529"/>
      <c r="BK55" s="529"/>
      <c r="BL55" s="529"/>
      <c r="BM55" s="529"/>
      <c r="BN55" s="529"/>
      <c r="BO55" s="529"/>
      <c r="BP55" s="529"/>
      <c r="BQ55" s="529"/>
      <c r="BR55" s="529"/>
      <c r="BS55" s="529"/>
      <c r="BT55" s="529"/>
      <c r="BU55" s="529"/>
      <c r="BV55" s="529"/>
      <c r="BW55" s="529"/>
      <c r="BX55" s="529"/>
      <c r="BY55" s="529"/>
    </row>
    <row r="56" spans="3:80" x14ac:dyDescent="0.3">
      <c r="C56" s="2"/>
      <c r="D56" s="2"/>
      <c r="E56" s="17" t="s">
        <v>51</v>
      </c>
      <c r="F56" s="37"/>
      <c r="G56" s="37"/>
      <c r="H56" s="37"/>
      <c r="I56" s="37"/>
      <c r="J56" s="37"/>
      <c r="K56" s="37"/>
      <c r="L56" s="37"/>
      <c r="M56" s="37"/>
      <c r="N56" s="37"/>
      <c r="O56" s="37"/>
      <c r="P56" s="35"/>
      <c r="R56" s="37"/>
      <c r="S56" s="37"/>
      <c r="T56" s="37"/>
      <c r="U56" s="37"/>
      <c r="V56" s="37"/>
      <c r="W56" s="37"/>
      <c r="X56" s="37"/>
      <c r="Y56" s="37"/>
      <c r="Z56" s="37"/>
      <c r="AA56" s="37"/>
      <c r="AB56" s="37"/>
      <c r="AC56" s="37"/>
      <c r="AD56" s="37"/>
      <c r="AE56" s="37"/>
      <c r="AF56" s="37"/>
      <c r="AG56" s="37"/>
      <c r="AH56" s="37"/>
      <c r="AI56" s="37"/>
      <c r="AJ56" s="37"/>
      <c r="AK56" s="37"/>
      <c r="AL56" s="37"/>
      <c r="AM56" s="37"/>
      <c r="AN56" s="529"/>
      <c r="AO56" s="529"/>
      <c r="AP56" s="529"/>
      <c r="AQ56" s="529"/>
      <c r="AR56" s="529"/>
      <c r="AS56" s="529"/>
      <c r="AT56" s="529"/>
      <c r="AU56" s="529"/>
      <c r="AV56" s="529"/>
      <c r="AW56" s="529"/>
      <c r="AX56" s="529"/>
      <c r="AY56" s="529"/>
      <c r="AZ56" s="529"/>
      <c r="BA56" s="529"/>
      <c r="BB56" s="529"/>
      <c r="BC56" s="529"/>
      <c r="BD56" s="529"/>
      <c r="BE56" s="529"/>
      <c r="BF56" s="529"/>
      <c r="BG56" s="529"/>
      <c r="BH56" s="529"/>
      <c r="BI56" s="529"/>
      <c r="BJ56" s="529"/>
      <c r="BK56" s="529"/>
      <c r="BL56" s="529"/>
      <c r="BM56" s="529"/>
      <c r="BN56" s="529"/>
      <c r="BO56" s="529"/>
      <c r="BP56" s="529"/>
      <c r="BQ56" s="529"/>
      <c r="BR56" s="529"/>
      <c r="BS56" s="529"/>
      <c r="BT56" s="529"/>
      <c r="BU56" s="529"/>
      <c r="BV56" s="529"/>
      <c r="BW56" s="529"/>
      <c r="BX56" s="529"/>
      <c r="BY56" s="529"/>
    </row>
    <row r="57" spans="3:80" x14ac:dyDescent="0.3">
      <c r="C57" s="2"/>
      <c r="D57" s="2"/>
      <c r="E57" s="2" t="s">
        <v>19</v>
      </c>
      <c r="F57" s="54"/>
      <c r="G57" s="54"/>
      <c r="H57" s="54"/>
      <c r="I57" s="497">
        <f>I547</f>
        <v>-55985.688199999997</v>
      </c>
      <c r="J57" s="497">
        <f t="shared" ref="J57:N59" si="56">SUMIF($R$2:$BY$2,J$3,$R57:$BY57)</f>
        <v>-57105.401963999982</v>
      </c>
      <c r="K57" s="497">
        <f t="shared" si="56"/>
        <v>-58247.510003279982</v>
      </c>
      <c r="L57" s="497">
        <f t="shared" si="56"/>
        <v>-59412.460203345603</v>
      </c>
      <c r="M57" s="497">
        <f t="shared" si="56"/>
        <v>-60600.709407412476</v>
      </c>
      <c r="N57" s="497">
        <f t="shared" si="56"/>
        <v>-61812.723595560783</v>
      </c>
      <c r="O57" s="37"/>
      <c r="P57" s="50">
        <f>IFERROR(((N57/I57)^(1/5))-1,0)</f>
        <v>2.0000000000000018E-2</v>
      </c>
      <c r="R57" s="497">
        <f t="shared" ref="R57:BY57" si="57">R400</f>
        <v>-4758.7834969999994</v>
      </c>
      <c r="S57" s="497">
        <f t="shared" si="57"/>
        <v>-4758.7834969999994</v>
      </c>
      <c r="T57" s="497">
        <f t="shared" si="57"/>
        <v>-4758.7834969999994</v>
      </c>
      <c r="U57" s="497">
        <f t="shared" si="57"/>
        <v>-4758.7834969999994</v>
      </c>
      <c r="V57" s="497">
        <f t="shared" si="57"/>
        <v>-4758.7834969999994</v>
      </c>
      <c r="W57" s="497">
        <f t="shared" si="57"/>
        <v>-4758.7834969999994</v>
      </c>
      <c r="X57" s="497">
        <f t="shared" si="57"/>
        <v>-4758.7834969999994</v>
      </c>
      <c r="Y57" s="497">
        <f t="shared" si="57"/>
        <v>-4758.7834969999994</v>
      </c>
      <c r="Z57" s="497">
        <f t="shared" si="57"/>
        <v>-4758.7834969999994</v>
      </c>
      <c r="AA57" s="497">
        <f t="shared" si="57"/>
        <v>-4758.7834969999994</v>
      </c>
      <c r="AB57" s="497">
        <f t="shared" si="57"/>
        <v>-4758.7834969999994</v>
      </c>
      <c r="AC57" s="497">
        <f t="shared" si="57"/>
        <v>-4758.7834969999994</v>
      </c>
      <c r="AD57" s="497">
        <f t="shared" si="57"/>
        <v>-4853.9591669399997</v>
      </c>
      <c r="AE57" s="497">
        <f t="shared" si="57"/>
        <v>-4853.9591669399997</v>
      </c>
      <c r="AF57" s="497">
        <f t="shared" si="57"/>
        <v>-4853.9591669399997</v>
      </c>
      <c r="AG57" s="497">
        <f t="shared" si="57"/>
        <v>-4853.9591669399997</v>
      </c>
      <c r="AH57" s="497">
        <f t="shared" si="57"/>
        <v>-4853.9591669399997</v>
      </c>
      <c r="AI57" s="497">
        <f t="shared" si="57"/>
        <v>-4853.9591669399997</v>
      </c>
      <c r="AJ57" s="497">
        <f t="shared" si="57"/>
        <v>-4853.9591669399997</v>
      </c>
      <c r="AK57" s="497">
        <f t="shared" si="57"/>
        <v>-4853.9591669399997</v>
      </c>
      <c r="AL57" s="497">
        <f t="shared" si="57"/>
        <v>-4853.9591669399997</v>
      </c>
      <c r="AM57" s="497">
        <f t="shared" si="57"/>
        <v>-4853.9591669399997</v>
      </c>
      <c r="AN57" s="527">
        <f t="shared" si="57"/>
        <v>-4853.9591669399997</v>
      </c>
      <c r="AO57" s="527">
        <f t="shared" si="57"/>
        <v>-4853.9591669399997</v>
      </c>
      <c r="AP57" s="527">
        <f t="shared" si="57"/>
        <v>-4951.038350278799</v>
      </c>
      <c r="AQ57" s="527">
        <f t="shared" si="57"/>
        <v>-4951.038350278799</v>
      </c>
      <c r="AR57" s="527">
        <f t="shared" si="57"/>
        <v>-4951.038350278799</v>
      </c>
      <c r="AS57" s="527">
        <f t="shared" si="57"/>
        <v>-4951.038350278799</v>
      </c>
      <c r="AT57" s="527">
        <f t="shared" si="57"/>
        <v>-4951.038350278799</v>
      </c>
      <c r="AU57" s="527">
        <f t="shared" si="57"/>
        <v>-4951.038350278799</v>
      </c>
      <c r="AV57" s="527">
        <f t="shared" si="57"/>
        <v>-4951.038350278799</v>
      </c>
      <c r="AW57" s="527">
        <f t="shared" si="57"/>
        <v>-4951.038350278799</v>
      </c>
      <c r="AX57" s="527">
        <f t="shared" si="57"/>
        <v>-4951.038350278799</v>
      </c>
      <c r="AY57" s="527">
        <f t="shared" si="57"/>
        <v>-4951.038350278799</v>
      </c>
      <c r="AZ57" s="527">
        <f t="shared" si="57"/>
        <v>-4951.038350278799</v>
      </c>
      <c r="BA57" s="527">
        <f t="shared" si="57"/>
        <v>-4951.038350278799</v>
      </c>
      <c r="BB57" s="527">
        <f t="shared" si="57"/>
        <v>-5050.0591172843742</v>
      </c>
      <c r="BC57" s="527">
        <f t="shared" si="57"/>
        <v>-5050.0591172843742</v>
      </c>
      <c r="BD57" s="527">
        <f t="shared" si="57"/>
        <v>-5050.0591172843742</v>
      </c>
      <c r="BE57" s="527">
        <f t="shared" si="57"/>
        <v>-5050.0591172843742</v>
      </c>
      <c r="BF57" s="527">
        <f t="shared" si="57"/>
        <v>-5050.0591172843742</v>
      </c>
      <c r="BG57" s="527">
        <f t="shared" si="57"/>
        <v>-5050.0591172843742</v>
      </c>
      <c r="BH57" s="527">
        <f t="shared" si="57"/>
        <v>-5050.0591172843742</v>
      </c>
      <c r="BI57" s="527">
        <f t="shared" si="57"/>
        <v>-5050.0591172843742</v>
      </c>
      <c r="BJ57" s="527">
        <f t="shared" si="57"/>
        <v>-5050.0591172843742</v>
      </c>
      <c r="BK57" s="527">
        <f t="shared" si="57"/>
        <v>-5050.0591172843742</v>
      </c>
      <c r="BL57" s="527">
        <f t="shared" si="57"/>
        <v>-5050.0591172843742</v>
      </c>
      <c r="BM57" s="527">
        <f t="shared" si="57"/>
        <v>-5050.0591172843742</v>
      </c>
      <c r="BN57" s="527">
        <f t="shared" si="57"/>
        <v>-5151.060299630064</v>
      </c>
      <c r="BO57" s="527">
        <f t="shared" si="57"/>
        <v>-5151.060299630064</v>
      </c>
      <c r="BP57" s="527">
        <f t="shared" si="57"/>
        <v>-5151.060299630064</v>
      </c>
      <c r="BQ57" s="527">
        <f t="shared" si="57"/>
        <v>-5151.060299630064</v>
      </c>
      <c r="BR57" s="527">
        <f t="shared" si="57"/>
        <v>-5151.060299630064</v>
      </c>
      <c r="BS57" s="527">
        <f t="shared" si="57"/>
        <v>-5151.060299630064</v>
      </c>
      <c r="BT57" s="527">
        <f t="shared" si="57"/>
        <v>-5151.060299630064</v>
      </c>
      <c r="BU57" s="527">
        <f t="shared" si="57"/>
        <v>-5151.060299630064</v>
      </c>
      <c r="BV57" s="527">
        <f t="shared" si="57"/>
        <v>-5151.060299630064</v>
      </c>
      <c r="BW57" s="527">
        <f t="shared" si="57"/>
        <v>-5151.060299630064</v>
      </c>
      <c r="BX57" s="527">
        <f t="shared" si="57"/>
        <v>-5151.060299630064</v>
      </c>
      <c r="BY57" s="527">
        <f t="shared" si="57"/>
        <v>-5151.060299630064</v>
      </c>
      <c r="CB57" s="8"/>
    </row>
    <row r="58" spans="3:80" x14ac:dyDescent="0.3">
      <c r="C58" s="2"/>
      <c r="D58" s="2"/>
      <c r="E58" s="2" t="s">
        <v>20</v>
      </c>
      <c r="F58" s="54"/>
      <c r="G58" s="54"/>
      <c r="H58" s="54"/>
      <c r="I58" s="497">
        <f>I548</f>
        <v>-19782.154399999996</v>
      </c>
      <c r="J58" s="497">
        <f t="shared" si="56"/>
        <v>-20177.797487999997</v>
      </c>
      <c r="K58" s="497">
        <f t="shared" si="56"/>
        <v>-20581.353437759997</v>
      </c>
      <c r="L58" s="497">
        <f t="shared" si="56"/>
        <v>-20992.980506515192</v>
      </c>
      <c r="M58" s="497">
        <f t="shared" si="56"/>
        <v>-21412.840116645501</v>
      </c>
      <c r="N58" s="497">
        <f t="shared" si="56"/>
        <v>-21841.096918978419</v>
      </c>
      <c r="O58" s="37"/>
      <c r="P58" s="50">
        <f>IFERROR(((N58/I58)^(1/5))-1,0)</f>
        <v>2.0000000000000018E-2</v>
      </c>
      <c r="R58" s="497">
        <f t="shared" ref="R58:BY58" si="58">R408</f>
        <v>-1681.4831239999999</v>
      </c>
      <c r="S58" s="497">
        <f t="shared" si="58"/>
        <v>-1681.4831239999999</v>
      </c>
      <c r="T58" s="497">
        <f t="shared" si="58"/>
        <v>-1681.4831239999999</v>
      </c>
      <c r="U58" s="497">
        <f t="shared" si="58"/>
        <v>-1681.4831239999999</v>
      </c>
      <c r="V58" s="497">
        <f t="shared" si="58"/>
        <v>-1681.4831239999999</v>
      </c>
      <c r="W58" s="497">
        <f t="shared" si="58"/>
        <v>-1681.4831239999999</v>
      </c>
      <c r="X58" s="497">
        <f t="shared" si="58"/>
        <v>-1681.4831239999999</v>
      </c>
      <c r="Y58" s="497">
        <f t="shared" si="58"/>
        <v>-1681.4831239999999</v>
      </c>
      <c r="Z58" s="497">
        <f t="shared" si="58"/>
        <v>-1681.4831239999999</v>
      </c>
      <c r="AA58" s="497">
        <f t="shared" si="58"/>
        <v>-1681.4831239999999</v>
      </c>
      <c r="AB58" s="497">
        <f t="shared" si="58"/>
        <v>-1681.4831239999999</v>
      </c>
      <c r="AC58" s="497">
        <f t="shared" si="58"/>
        <v>-1681.4831239999999</v>
      </c>
      <c r="AD58" s="497">
        <f t="shared" si="58"/>
        <v>-1715.1127864799996</v>
      </c>
      <c r="AE58" s="497">
        <f t="shared" si="58"/>
        <v>-1715.1127864799996</v>
      </c>
      <c r="AF58" s="497">
        <f t="shared" si="58"/>
        <v>-1715.1127864799996</v>
      </c>
      <c r="AG58" s="497">
        <f t="shared" si="58"/>
        <v>-1715.1127864799996</v>
      </c>
      <c r="AH58" s="497">
        <f t="shared" si="58"/>
        <v>-1715.1127864799996</v>
      </c>
      <c r="AI58" s="497">
        <f t="shared" si="58"/>
        <v>-1715.1127864799996</v>
      </c>
      <c r="AJ58" s="497">
        <f t="shared" si="58"/>
        <v>-1715.1127864799996</v>
      </c>
      <c r="AK58" s="497">
        <f t="shared" si="58"/>
        <v>-1715.1127864799996</v>
      </c>
      <c r="AL58" s="497">
        <f t="shared" si="58"/>
        <v>-1715.1127864799996</v>
      </c>
      <c r="AM58" s="497">
        <f t="shared" si="58"/>
        <v>-1715.1127864799996</v>
      </c>
      <c r="AN58" s="527">
        <f t="shared" si="58"/>
        <v>-1715.1127864799996</v>
      </c>
      <c r="AO58" s="527">
        <f t="shared" si="58"/>
        <v>-1715.1127864799996</v>
      </c>
      <c r="AP58" s="527">
        <f t="shared" si="58"/>
        <v>-1749.4150422095995</v>
      </c>
      <c r="AQ58" s="527">
        <f t="shared" si="58"/>
        <v>-1749.4150422095995</v>
      </c>
      <c r="AR58" s="527">
        <f t="shared" si="58"/>
        <v>-1749.4150422095995</v>
      </c>
      <c r="AS58" s="527">
        <f t="shared" si="58"/>
        <v>-1749.4150422095995</v>
      </c>
      <c r="AT58" s="527">
        <f t="shared" si="58"/>
        <v>-1749.4150422095995</v>
      </c>
      <c r="AU58" s="527">
        <f t="shared" si="58"/>
        <v>-1749.4150422095995</v>
      </c>
      <c r="AV58" s="527">
        <f t="shared" si="58"/>
        <v>-1749.4150422095995</v>
      </c>
      <c r="AW58" s="527">
        <f t="shared" si="58"/>
        <v>-1749.4150422095995</v>
      </c>
      <c r="AX58" s="527">
        <f t="shared" si="58"/>
        <v>-1749.4150422095995</v>
      </c>
      <c r="AY58" s="527">
        <f t="shared" si="58"/>
        <v>-1749.4150422095995</v>
      </c>
      <c r="AZ58" s="527">
        <f t="shared" si="58"/>
        <v>-1749.4150422095995</v>
      </c>
      <c r="BA58" s="527">
        <f t="shared" si="58"/>
        <v>-1749.4150422095995</v>
      </c>
      <c r="BB58" s="527">
        <f t="shared" si="58"/>
        <v>-1784.4033430537916</v>
      </c>
      <c r="BC58" s="527">
        <f t="shared" si="58"/>
        <v>-1784.4033430537916</v>
      </c>
      <c r="BD58" s="527">
        <f t="shared" si="58"/>
        <v>-1784.4033430537916</v>
      </c>
      <c r="BE58" s="527">
        <f t="shared" si="58"/>
        <v>-1784.4033430537916</v>
      </c>
      <c r="BF58" s="527">
        <f t="shared" si="58"/>
        <v>-1784.4033430537916</v>
      </c>
      <c r="BG58" s="527">
        <f t="shared" si="58"/>
        <v>-1784.4033430537916</v>
      </c>
      <c r="BH58" s="527">
        <f t="shared" si="58"/>
        <v>-1784.4033430537916</v>
      </c>
      <c r="BI58" s="527">
        <f t="shared" si="58"/>
        <v>-1784.4033430537916</v>
      </c>
      <c r="BJ58" s="527">
        <f t="shared" si="58"/>
        <v>-1784.4033430537916</v>
      </c>
      <c r="BK58" s="527">
        <f t="shared" si="58"/>
        <v>-1784.4033430537916</v>
      </c>
      <c r="BL58" s="527">
        <f t="shared" si="58"/>
        <v>-1784.4033430537916</v>
      </c>
      <c r="BM58" s="527">
        <f t="shared" si="58"/>
        <v>-1784.4033430537916</v>
      </c>
      <c r="BN58" s="527">
        <f t="shared" si="58"/>
        <v>-1820.0914099148677</v>
      </c>
      <c r="BO58" s="527">
        <f t="shared" si="58"/>
        <v>-1820.0914099148677</v>
      </c>
      <c r="BP58" s="527">
        <f t="shared" si="58"/>
        <v>-1820.0914099148677</v>
      </c>
      <c r="BQ58" s="527">
        <f t="shared" si="58"/>
        <v>-1820.0914099148677</v>
      </c>
      <c r="BR58" s="527">
        <f t="shared" si="58"/>
        <v>-1820.0914099148677</v>
      </c>
      <c r="BS58" s="527">
        <f t="shared" si="58"/>
        <v>-1820.0914099148677</v>
      </c>
      <c r="BT58" s="527">
        <f t="shared" si="58"/>
        <v>-1820.0914099148677</v>
      </c>
      <c r="BU58" s="527">
        <f t="shared" si="58"/>
        <v>-1820.0914099148677</v>
      </c>
      <c r="BV58" s="527">
        <f t="shared" si="58"/>
        <v>-1820.0914099148677</v>
      </c>
      <c r="BW58" s="527">
        <f t="shared" si="58"/>
        <v>-1820.0914099148677</v>
      </c>
      <c r="BX58" s="527">
        <f t="shared" si="58"/>
        <v>-1820.0914099148677</v>
      </c>
      <c r="BY58" s="527">
        <f t="shared" si="58"/>
        <v>-1820.0914099148677</v>
      </c>
      <c r="CB58" s="8"/>
    </row>
    <row r="59" spans="3:80" x14ac:dyDescent="0.3">
      <c r="C59" s="2"/>
      <c r="D59" s="2"/>
      <c r="E59" s="4" t="s">
        <v>35</v>
      </c>
      <c r="F59" s="5"/>
      <c r="G59" s="5"/>
      <c r="H59" s="5"/>
      <c r="I59" s="498">
        <f>I549</f>
        <v>-75767.842599999989</v>
      </c>
      <c r="J59" s="500">
        <f t="shared" si="56"/>
        <v>-77283.199452000001</v>
      </c>
      <c r="K59" s="500">
        <f t="shared" si="56"/>
        <v>-78828.863441040026</v>
      </c>
      <c r="L59" s="500">
        <f t="shared" si="56"/>
        <v>-80405.440709860806</v>
      </c>
      <c r="M59" s="500">
        <f t="shared" si="56"/>
        <v>-82013.549524057991</v>
      </c>
      <c r="N59" s="498">
        <f t="shared" si="56"/>
        <v>-83653.820514539198</v>
      </c>
      <c r="O59" s="57"/>
      <c r="P59" s="55">
        <f>IFERROR(((N59/I59)^(1/5))-1,0)</f>
        <v>2.0000000000000018E-2</v>
      </c>
      <c r="R59" s="500">
        <f t="shared" ref="R59:AW59" si="59">SUM(R57:R58)</f>
        <v>-6440.2666209999988</v>
      </c>
      <c r="S59" s="500">
        <f t="shared" si="59"/>
        <v>-6440.2666209999988</v>
      </c>
      <c r="T59" s="498">
        <f t="shared" si="59"/>
        <v>-6440.2666209999988</v>
      </c>
      <c r="U59" s="500">
        <f t="shared" si="59"/>
        <v>-6440.2666209999988</v>
      </c>
      <c r="V59" s="500">
        <f t="shared" si="59"/>
        <v>-6440.2666209999988</v>
      </c>
      <c r="W59" s="500">
        <f t="shared" si="59"/>
        <v>-6440.2666209999988</v>
      </c>
      <c r="X59" s="500">
        <f t="shared" si="59"/>
        <v>-6440.2666209999988</v>
      </c>
      <c r="Y59" s="500">
        <f t="shared" si="59"/>
        <v>-6440.2666209999988</v>
      </c>
      <c r="Z59" s="500">
        <f t="shared" si="59"/>
        <v>-6440.2666209999988</v>
      </c>
      <c r="AA59" s="500">
        <f t="shared" si="59"/>
        <v>-6440.2666209999988</v>
      </c>
      <c r="AB59" s="500">
        <f t="shared" si="59"/>
        <v>-6440.2666209999988</v>
      </c>
      <c r="AC59" s="500">
        <f t="shared" si="59"/>
        <v>-6440.2666209999988</v>
      </c>
      <c r="AD59" s="500">
        <f t="shared" si="59"/>
        <v>-6569.0719534199998</v>
      </c>
      <c r="AE59" s="500">
        <f t="shared" si="59"/>
        <v>-6569.0719534199998</v>
      </c>
      <c r="AF59" s="500">
        <f t="shared" si="59"/>
        <v>-6569.0719534199998</v>
      </c>
      <c r="AG59" s="500">
        <f t="shared" si="59"/>
        <v>-6569.0719534199998</v>
      </c>
      <c r="AH59" s="500">
        <f t="shared" si="59"/>
        <v>-6569.0719534199998</v>
      </c>
      <c r="AI59" s="500">
        <f t="shared" si="59"/>
        <v>-6569.0719534199998</v>
      </c>
      <c r="AJ59" s="500">
        <f t="shared" si="59"/>
        <v>-6569.0719534199998</v>
      </c>
      <c r="AK59" s="500">
        <f t="shared" si="59"/>
        <v>-6569.0719534199998</v>
      </c>
      <c r="AL59" s="500">
        <f t="shared" si="59"/>
        <v>-6569.0719534199998</v>
      </c>
      <c r="AM59" s="500">
        <f t="shared" si="59"/>
        <v>-6569.0719534199998</v>
      </c>
      <c r="AN59" s="532">
        <f t="shared" si="59"/>
        <v>-6569.0719534199998</v>
      </c>
      <c r="AO59" s="532">
        <f t="shared" si="59"/>
        <v>-6569.0719534199998</v>
      </c>
      <c r="AP59" s="532">
        <f t="shared" si="59"/>
        <v>-6700.4533924883981</v>
      </c>
      <c r="AQ59" s="532">
        <f t="shared" si="59"/>
        <v>-6700.4533924883981</v>
      </c>
      <c r="AR59" s="532">
        <f t="shared" si="59"/>
        <v>-6700.4533924883981</v>
      </c>
      <c r="AS59" s="532">
        <f t="shared" si="59"/>
        <v>-6700.4533924883981</v>
      </c>
      <c r="AT59" s="532">
        <f t="shared" si="59"/>
        <v>-6700.4533924883981</v>
      </c>
      <c r="AU59" s="532">
        <f t="shared" si="59"/>
        <v>-6700.4533924883981</v>
      </c>
      <c r="AV59" s="532">
        <f t="shared" si="59"/>
        <v>-6700.4533924883981</v>
      </c>
      <c r="AW59" s="532">
        <f t="shared" si="59"/>
        <v>-6700.4533924883981</v>
      </c>
      <c r="AX59" s="532">
        <f t="shared" ref="AX59:BY59" si="60">SUM(AX57:AX58)</f>
        <v>-6700.4533924883981</v>
      </c>
      <c r="AY59" s="532">
        <f t="shared" si="60"/>
        <v>-6700.4533924883981</v>
      </c>
      <c r="AZ59" s="532">
        <f t="shared" si="60"/>
        <v>-6700.4533924883981</v>
      </c>
      <c r="BA59" s="532">
        <f t="shared" si="60"/>
        <v>-6700.4533924883981</v>
      </c>
      <c r="BB59" s="532">
        <f t="shared" si="60"/>
        <v>-6834.4624603381653</v>
      </c>
      <c r="BC59" s="532">
        <f t="shared" si="60"/>
        <v>-6834.4624603381653</v>
      </c>
      <c r="BD59" s="532">
        <f t="shared" si="60"/>
        <v>-6834.4624603381653</v>
      </c>
      <c r="BE59" s="532">
        <f t="shared" si="60"/>
        <v>-6834.4624603381653</v>
      </c>
      <c r="BF59" s="532">
        <f t="shared" si="60"/>
        <v>-6834.4624603381653</v>
      </c>
      <c r="BG59" s="532">
        <f t="shared" si="60"/>
        <v>-6834.4624603381653</v>
      </c>
      <c r="BH59" s="532">
        <f t="shared" si="60"/>
        <v>-6834.4624603381653</v>
      </c>
      <c r="BI59" s="532">
        <f t="shared" si="60"/>
        <v>-6834.4624603381653</v>
      </c>
      <c r="BJ59" s="532">
        <f t="shared" si="60"/>
        <v>-6834.4624603381653</v>
      </c>
      <c r="BK59" s="532">
        <f t="shared" si="60"/>
        <v>-6834.4624603381653</v>
      </c>
      <c r="BL59" s="532">
        <f t="shared" si="60"/>
        <v>-6834.4624603381653</v>
      </c>
      <c r="BM59" s="532">
        <f t="shared" si="60"/>
        <v>-6834.4624603381653</v>
      </c>
      <c r="BN59" s="532">
        <f t="shared" si="60"/>
        <v>-6971.1517095449317</v>
      </c>
      <c r="BO59" s="532">
        <f t="shared" si="60"/>
        <v>-6971.1517095449317</v>
      </c>
      <c r="BP59" s="532">
        <f t="shared" si="60"/>
        <v>-6971.1517095449317</v>
      </c>
      <c r="BQ59" s="532">
        <f t="shared" si="60"/>
        <v>-6971.1517095449317</v>
      </c>
      <c r="BR59" s="532">
        <f t="shared" si="60"/>
        <v>-6971.1517095449317</v>
      </c>
      <c r="BS59" s="532">
        <f t="shared" si="60"/>
        <v>-6971.1517095449317</v>
      </c>
      <c r="BT59" s="532">
        <f t="shared" si="60"/>
        <v>-6971.1517095449317</v>
      </c>
      <c r="BU59" s="532">
        <f t="shared" si="60"/>
        <v>-6971.1517095449317</v>
      </c>
      <c r="BV59" s="532">
        <f t="shared" si="60"/>
        <v>-6971.1517095449317</v>
      </c>
      <c r="BW59" s="532">
        <f t="shared" si="60"/>
        <v>-6971.1517095449317</v>
      </c>
      <c r="BX59" s="532">
        <f t="shared" si="60"/>
        <v>-6971.1517095449317</v>
      </c>
      <c r="BY59" s="532">
        <f t="shared" si="60"/>
        <v>-6971.1517095449317</v>
      </c>
      <c r="CB59" s="8"/>
    </row>
    <row r="60" spans="3:80" x14ac:dyDescent="0.3">
      <c r="C60" s="2"/>
      <c r="D60" s="2"/>
      <c r="E60" s="2"/>
      <c r="F60" s="37"/>
      <c r="G60" s="37"/>
      <c r="H60" s="37"/>
      <c r="I60" s="37"/>
      <c r="J60" s="37"/>
      <c r="K60" s="37"/>
      <c r="L60" s="37"/>
      <c r="M60" s="37"/>
      <c r="N60" s="37"/>
      <c r="O60" s="37"/>
      <c r="P60" s="35"/>
      <c r="R60" s="37"/>
      <c r="S60" s="37"/>
      <c r="T60" s="37"/>
      <c r="U60" s="37"/>
      <c r="V60" s="37"/>
      <c r="W60" s="37"/>
      <c r="X60" s="37"/>
      <c r="Y60" s="37"/>
      <c r="Z60" s="37"/>
      <c r="AA60" s="37"/>
      <c r="AB60" s="37"/>
      <c r="AC60" s="37"/>
      <c r="AD60" s="37"/>
      <c r="AE60" s="37"/>
      <c r="AF60" s="37"/>
      <c r="AG60" s="37"/>
      <c r="AH60" s="37"/>
      <c r="AI60" s="37"/>
      <c r="AJ60" s="37"/>
      <c r="AK60" s="37"/>
      <c r="AL60" s="37"/>
      <c r="AM60" s="37"/>
      <c r="AN60" s="529"/>
      <c r="AO60" s="529"/>
      <c r="AP60" s="529"/>
      <c r="AQ60" s="529"/>
      <c r="AR60" s="529"/>
      <c r="AS60" s="529"/>
      <c r="AT60" s="529"/>
      <c r="AU60" s="529"/>
      <c r="AV60" s="529"/>
      <c r="AW60" s="529"/>
      <c r="AX60" s="529"/>
      <c r="AY60" s="529"/>
      <c r="AZ60" s="529"/>
      <c r="BA60" s="529"/>
      <c r="BB60" s="529"/>
      <c r="BC60" s="529"/>
      <c r="BD60" s="529"/>
      <c r="BE60" s="529"/>
      <c r="BF60" s="529"/>
      <c r="BG60" s="529"/>
      <c r="BH60" s="529"/>
      <c r="BI60" s="529"/>
      <c r="BJ60" s="529"/>
      <c r="BK60" s="529"/>
      <c r="BL60" s="529"/>
      <c r="BM60" s="529"/>
      <c r="BN60" s="529"/>
      <c r="BO60" s="529"/>
      <c r="BP60" s="529"/>
      <c r="BQ60" s="529"/>
      <c r="BR60" s="529"/>
      <c r="BS60" s="529"/>
      <c r="BT60" s="529"/>
      <c r="BU60" s="529"/>
      <c r="BV60" s="529"/>
      <c r="BW60" s="529"/>
      <c r="BX60" s="529"/>
      <c r="BY60" s="529"/>
    </row>
    <row r="61" spans="3:80" x14ac:dyDescent="0.3">
      <c r="C61" s="2"/>
      <c r="D61" s="2"/>
      <c r="E61" s="62" t="s">
        <v>21</v>
      </c>
      <c r="F61" s="63"/>
      <c r="G61" s="63"/>
      <c r="H61" s="63"/>
      <c r="I61" s="501">
        <f>I551</f>
        <v>3270740.4942396083</v>
      </c>
      <c r="J61" s="502">
        <f>SUMIF($R$2:$BY$2,J$3,$R61:$BY61)</f>
        <v>3449231.495220657</v>
      </c>
      <c r="K61" s="502">
        <f>SUMIF($R$2:$BY$2,K$3,$R61:$BY61)</f>
        <v>3667768.7001443692</v>
      </c>
      <c r="L61" s="502">
        <f>SUMIF($R$2:$BY$2,L$3,$R61:$BY61)</f>
        <v>3892528.7189110704</v>
      </c>
      <c r="M61" s="502">
        <f>SUMIF($R$2:$BY$2,M$3,$R61:$BY61)</f>
        <v>4123477.6271555759</v>
      </c>
      <c r="N61" s="501">
        <f>SUMIF($R$2:$BY$2,N$3,$R61:$BY61)</f>
        <v>4366435.9908148646</v>
      </c>
      <c r="O61" s="57"/>
      <c r="P61" s="55">
        <f>IFERROR(((N61/I61)^(1/5))-1,0)</f>
        <v>5.9488390035223881E-2</v>
      </c>
      <c r="R61" s="501">
        <f t="shared" ref="R61:AW61" si="61">R54+R59</f>
        <v>283647.67494819488</v>
      </c>
      <c r="S61" s="502">
        <f t="shared" si="61"/>
        <v>283647.67494819488</v>
      </c>
      <c r="T61" s="501">
        <f t="shared" si="61"/>
        <v>283647.67494819488</v>
      </c>
      <c r="U61" s="502">
        <f t="shared" si="61"/>
        <v>283647.67494819488</v>
      </c>
      <c r="V61" s="502">
        <f t="shared" si="61"/>
        <v>283647.67494819488</v>
      </c>
      <c r="W61" s="502">
        <f t="shared" si="61"/>
        <v>283647.67494819488</v>
      </c>
      <c r="X61" s="502">
        <f t="shared" si="61"/>
        <v>291224.24092191452</v>
      </c>
      <c r="Y61" s="502">
        <f t="shared" si="61"/>
        <v>291224.24092191452</v>
      </c>
      <c r="Z61" s="502">
        <f t="shared" si="61"/>
        <v>291224.24092191452</v>
      </c>
      <c r="AA61" s="502">
        <f t="shared" si="61"/>
        <v>291224.24092191452</v>
      </c>
      <c r="AB61" s="502">
        <f t="shared" si="61"/>
        <v>291224.24092191452</v>
      </c>
      <c r="AC61" s="502">
        <f t="shared" si="61"/>
        <v>291224.24092191452</v>
      </c>
      <c r="AD61" s="502">
        <f t="shared" si="61"/>
        <v>300889.16819255752</v>
      </c>
      <c r="AE61" s="502">
        <f t="shared" si="61"/>
        <v>300889.16819255752</v>
      </c>
      <c r="AF61" s="502">
        <f t="shared" si="61"/>
        <v>300889.16819255752</v>
      </c>
      <c r="AG61" s="502">
        <f t="shared" si="61"/>
        <v>300889.16819255752</v>
      </c>
      <c r="AH61" s="502">
        <f t="shared" si="61"/>
        <v>300889.16819255752</v>
      </c>
      <c r="AI61" s="502">
        <f t="shared" si="61"/>
        <v>300889.16819255752</v>
      </c>
      <c r="AJ61" s="502">
        <f t="shared" si="61"/>
        <v>310405.61516483745</v>
      </c>
      <c r="AK61" s="502">
        <f t="shared" si="61"/>
        <v>310405.61516483745</v>
      </c>
      <c r="AL61" s="502">
        <f t="shared" si="61"/>
        <v>310405.61516483745</v>
      </c>
      <c r="AM61" s="502">
        <f t="shared" si="61"/>
        <v>310405.61516483745</v>
      </c>
      <c r="AN61" s="534">
        <f t="shared" si="61"/>
        <v>310405.61516483745</v>
      </c>
      <c r="AO61" s="534">
        <f t="shared" si="61"/>
        <v>310405.61516483745</v>
      </c>
      <c r="AP61" s="534">
        <f t="shared" si="61"/>
        <v>318586.00337405456</v>
      </c>
      <c r="AQ61" s="534">
        <f t="shared" si="61"/>
        <v>318586.00337405456</v>
      </c>
      <c r="AR61" s="534">
        <f t="shared" si="61"/>
        <v>318586.00337405456</v>
      </c>
      <c r="AS61" s="534">
        <f t="shared" si="61"/>
        <v>318586.00337405456</v>
      </c>
      <c r="AT61" s="534">
        <f t="shared" si="61"/>
        <v>318586.00337405456</v>
      </c>
      <c r="AU61" s="534">
        <f t="shared" si="61"/>
        <v>318586.00337405456</v>
      </c>
      <c r="AV61" s="534">
        <f t="shared" si="61"/>
        <v>330168.78311112383</v>
      </c>
      <c r="AW61" s="534">
        <f t="shared" si="61"/>
        <v>330168.78311112383</v>
      </c>
      <c r="AX61" s="534">
        <f t="shared" ref="AX61:BY61" si="62">AX54+AX59</f>
        <v>330168.78311112383</v>
      </c>
      <c r="AY61" s="534">
        <f t="shared" si="62"/>
        <v>330168.78311112383</v>
      </c>
      <c r="AZ61" s="534">
        <f t="shared" si="62"/>
        <v>330168.78311112383</v>
      </c>
      <c r="BA61" s="534">
        <f t="shared" si="62"/>
        <v>330168.78311112383</v>
      </c>
      <c r="BB61" s="534">
        <f t="shared" si="62"/>
        <v>336734.13609825092</v>
      </c>
      <c r="BC61" s="534">
        <f t="shared" si="62"/>
        <v>336734.13609825092</v>
      </c>
      <c r="BD61" s="534">
        <f t="shared" si="62"/>
        <v>336734.13609825092</v>
      </c>
      <c r="BE61" s="534">
        <f t="shared" si="62"/>
        <v>336734.13609825092</v>
      </c>
      <c r="BF61" s="534">
        <f t="shared" si="62"/>
        <v>336734.13609825092</v>
      </c>
      <c r="BG61" s="534">
        <f t="shared" si="62"/>
        <v>336734.13609825092</v>
      </c>
      <c r="BH61" s="534">
        <f t="shared" si="62"/>
        <v>350512.13509434491</v>
      </c>
      <c r="BI61" s="534">
        <f t="shared" si="62"/>
        <v>350512.13509434491</v>
      </c>
      <c r="BJ61" s="534">
        <f t="shared" si="62"/>
        <v>350512.13509434491</v>
      </c>
      <c r="BK61" s="534">
        <f t="shared" si="62"/>
        <v>350512.13509434491</v>
      </c>
      <c r="BL61" s="534">
        <f t="shared" si="62"/>
        <v>350512.13509434491</v>
      </c>
      <c r="BM61" s="534">
        <f t="shared" si="62"/>
        <v>350512.13509434491</v>
      </c>
      <c r="BN61" s="534">
        <f t="shared" si="62"/>
        <v>355814.80378472846</v>
      </c>
      <c r="BO61" s="534">
        <f t="shared" si="62"/>
        <v>355814.80378472846</v>
      </c>
      <c r="BP61" s="534">
        <f t="shared" si="62"/>
        <v>355814.80378472846</v>
      </c>
      <c r="BQ61" s="534">
        <f t="shared" si="62"/>
        <v>355814.80378472846</v>
      </c>
      <c r="BR61" s="534">
        <f t="shared" si="62"/>
        <v>355814.80378472846</v>
      </c>
      <c r="BS61" s="534">
        <f t="shared" si="62"/>
        <v>355814.80378472846</v>
      </c>
      <c r="BT61" s="534">
        <f t="shared" si="62"/>
        <v>371924.52801774896</v>
      </c>
      <c r="BU61" s="534">
        <f t="shared" si="62"/>
        <v>371924.52801774896</v>
      </c>
      <c r="BV61" s="534">
        <f t="shared" si="62"/>
        <v>371924.52801774896</v>
      </c>
      <c r="BW61" s="534">
        <f t="shared" si="62"/>
        <v>371924.52801774896</v>
      </c>
      <c r="BX61" s="534">
        <f t="shared" si="62"/>
        <v>371924.52801774896</v>
      </c>
      <c r="BY61" s="534">
        <f t="shared" si="62"/>
        <v>371924.52801774896</v>
      </c>
      <c r="CB61" s="8"/>
    </row>
    <row r="62" spans="3:80" x14ac:dyDescent="0.3">
      <c r="C62" s="2"/>
      <c r="D62" s="2"/>
      <c r="E62" s="2" t="s">
        <v>405</v>
      </c>
      <c r="F62" s="2"/>
      <c r="G62" s="2"/>
      <c r="H62" s="2"/>
      <c r="I62" s="499">
        <f t="shared" ref="I62:N62" si="63">IFERROR(I61/SUM(I22,I31,I45,I52),0)</f>
        <v>0.46408491525232753</v>
      </c>
      <c r="J62" s="499">
        <f t="shared" si="63"/>
        <v>0.46866562612850926</v>
      </c>
      <c r="K62" s="499">
        <f t="shared" si="63"/>
        <v>0.4733911953583399</v>
      </c>
      <c r="L62" s="499">
        <f t="shared" si="63"/>
        <v>0.47785803380118036</v>
      </c>
      <c r="M62" s="499">
        <f t="shared" si="63"/>
        <v>0.48195471988789695</v>
      </c>
      <c r="N62" s="499">
        <f t="shared" si="63"/>
        <v>0.48596195774851875</v>
      </c>
      <c r="O62" s="23"/>
      <c r="P62" s="50">
        <f>IFERROR(((N62/I62)^(1/5))-1,0)</f>
        <v>9.255126670518532E-3</v>
      </c>
      <c r="R62" s="499">
        <f t="shared" ref="R62:AW62" si="64">IFERROR(R61/SUM(R22,R31,R45,R52),0)</f>
        <v>0.46814071374158744</v>
      </c>
      <c r="S62" s="499">
        <f t="shared" si="64"/>
        <v>0.46814071374158744</v>
      </c>
      <c r="T62" s="499">
        <f t="shared" si="64"/>
        <v>0.46814071374158744</v>
      </c>
      <c r="U62" s="499">
        <f t="shared" si="64"/>
        <v>0.46814071374158744</v>
      </c>
      <c r="V62" s="499">
        <f t="shared" si="64"/>
        <v>0.46814071374158744</v>
      </c>
      <c r="W62" s="499">
        <f t="shared" si="64"/>
        <v>0.46814071374158744</v>
      </c>
      <c r="X62" s="499">
        <f t="shared" si="64"/>
        <v>0.46917801509361146</v>
      </c>
      <c r="Y62" s="499">
        <f t="shared" si="64"/>
        <v>0.46917801509361146</v>
      </c>
      <c r="Z62" s="499">
        <f t="shared" si="64"/>
        <v>0.46917801509361146</v>
      </c>
      <c r="AA62" s="499">
        <f t="shared" si="64"/>
        <v>0.46917801509361146</v>
      </c>
      <c r="AB62" s="499">
        <f t="shared" si="64"/>
        <v>0.46917801509361146</v>
      </c>
      <c r="AC62" s="499">
        <f t="shared" si="64"/>
        <v>0.46917801509361146</v>
      </c>
      <c r="AD62" s="499">
        <f t="shared" si="64"/>
        <v>0.47274794069964815</v>
      </c>
      <c r="AE62" s="499">
        <f t="shared" si="64"/>
        <v>0.47274794069964815</v>
      </c>
      <c r="AF62" s="499">
        <f t="shared" si="64"/>
        <v>0.47274794069964815</v>
      </c>
      <c r="AG62" s="499">
        <f t="shared" si="64"/>
        <v>0.47274794069964815</v>
      </c>
      <c r="AH62" s="499">
        <f t="shared" si="64"/>
        <v>0.47274794069964815</v>
      </c>
      <c r="AI62" s="499">
        <f t="shared" si="64"/>
        <v>0.47274794069964815</v>
      </c>
      <c r="AJ62" s="499">
        <f t="shared" si="64"/>
        <v>0.4740164020948317</v>
      </c>
      <c r="AK62" s="499">
        <f t="shared" si="64"/>
        <v>0.4740164020948317</v>
      </c>
      <c r="AL62" s="499">
        <f t="shared" si="64"/>
        <v>0.4740164020948317</v>
      </c>
      <c r="AM62" s="499">
        <f t="shared" si="64"/>
        <v>0.4740164020948317</v>
      </c>
      <c r="AN62" s="531">
        <f t="shared" si="64"/>
        <v>0.4740164020948317</v>
      </c>
      <c r="AO62" s="531">
        <f t="shared" si="64"/>
        <v>0.4740164020948317</v>
      </c>
      <c r="AP62" s="531">
        <f t="shared" si="64"/>
        <v>0.47709722052729497</v>
      </c>
      <c r="AQ62" s="531">
        <f t="shared" si="64"/>
        <v>0.47709722052729497</v>
      </c>
      <c r="AR62" s="531">
        <f t="shared" si="64"/>
        <v>0.47709722052729497</v>
      </c>
      <c r="AS62" s="531">
        <f t="shared" si="64"/>
        <v>0.47709722052729497</v>
      </c>
      <c r="AT62" s="531">
        <f t="shared" si="64"/>
        <v>0.47709722052729497</v>
      </c>
      <c r="AU62" s="531">
        <f t="shared" si="64"/>
        <v>0.47709722052729497</v>
      </c>
      <c r="AV62" s="531">
        <f t="shared" si="64"/>
        <v>0.47859446053336863</v>
      </c>
      <c r="AW62" s="531">
        <f t="shared" si="64"/>
        <v>0.47859446053336863</v>
      </c>
      <c r="AX62" s="531">
        <f t="shared" ref="AX62:BY62" si="65">IFERROR(AX61/SUM(AX22,AX31,AX45,AX52),0)</f>
        <v>0.47859446053336863</v>
      </c>
      <c r="AY62" s="531">
        <f t="shared" si="65"/>
        <v>0.47859446053336863</v>
      </c>
      <c r="AZ62" s="531">
        <f t="shared" si="65"/>
        <v>0.47859446053336863</v>
      </c>
      <c r="BA62" s="531">
        <f t="shared" si="65"/>
        <v>0.47859446053336863</v>
      </c>
      <c r="BB62" s="531">
        <f t="shared" si="65"/>
        <v>0.48107669961776672</v>
      </c>
      <c r="BC62" s="531">
        <f t="shared" si="65"/>
        <v>0.48107669961776672</v>
      </c>
      <c r="BD62" s="531">
        <f t="shared" si="65"/>
        <v>0.48107669961776672</v>
      </c>
      <c r="BE62" s="531">
        <f t="shared" si="65"/>
        <v>0.48107669961776672</v>
      </c>
      <c r="BF62" s="531">
        <f t="shared" si="65"/>
        <v>0.48107669961776672</v>
      </c>
      <c r="BG62" s="531">
        <f t="shared" si="65"/>
        <v>0.48107669961776672</v>
      </c>
      <c r="BH62" s="531">
        <f t="shared" si="65"/>
        <v>0.48280125054791367</v>
      </c>
      <c r="BI62" s="531">
        <f t="shared" si="65"/>
        <v>0.48280125054791367</v>
      </c>
      <c r="BJ62" s="531">
        <f t="shared" si="65"/>
        <v>0.48280125054791367</v>
      </c>
      <c r="BK62" s="531">
        <f t="shared" si="65"/>
        <v>0.48280125054791367</v>
      </c>
      <c r="BL62" s="531">
        <f t="shared" si="65"/>
        <v>0.48280125054791367</v>
      </c>
      <c r="BM62" s="531">
        <f t="shared" si="65"/>
        <v>0.48280125054791367</v>
      </c>
      <c r="BN62" s="531">
        <f t="shared" si="65"/>
        <v>0.48496717207140649</v>
      </c>
      <c r="BO62" s="531">
        <f t="shared" si="65"/>
        <v>0.48496717207140649</v>
      </c>
      <c r="BP62" s="531">
        <f t="shared" si="65"/>
        <v>0.48496717207140649</v>
      </c>
      <c r="BQ62" s="531">
        <f t="shared" si="65"/>
        <v>0.48496717207140649</v>
      </c>
      <c r="BR62" s="531">
        <f t="shared" si="65"/>
        <v>0.48496717207140649</v>
      </c>
      <c r="BS62" s="531">
        <f t="shared" si="65"/>
        <v>0.48496717207140649</v>
      </c>
      <c r="BT62" s="531">
        <f t="shared" si="65"/>
        <v>0.486917482061483</v>
      </c>
      <c r="BU62" s="531">
        <f t="shared" si="65"/>
        <v>0.486917482061483</v>
      </c>
      <c r="BV62" s="531">
        <f t="shared" si="65"/>
        <v>0.486917482061483</v>
      </c>
      <c r="BW62" s="531">
        <f t="shared" si="65"/>
        <v>0.486917482061483</v>
      </c>
      <c r="BX62" s="531">
        <f t="shared" si="65"/>
        <v>0.486917482061483</v>
      </c>
      <c r="BY62" s="531">
        <f t="shared" si="65"/>
        <v>0.486917482061483</v>
      </c>
    </row>
    <row r="63" spans="3:80" x14ac:dyDescent="0.3">
      <c r="C63" s="2"/>
      <c r="D63" s="2"/>
      <c r="E63" s="2"/>
      <c r="F63" s="2"/>
      <c r="G63" s="2"/>
      <c r="H63" s="2"/>
      <c r="I63" s="2"/>
      <c r="J63" s="2"/>
      <c r="K63" s="2"/>
      <c r="L63" s="2"/>
      <c r="M63" s="2"/>
      <c r="N63" s="2"/>
      <c r="O63" s="2"/>
      <c r="P63" s="10"/>
      <c r="R63" s="2"/>
      <c r="S63" s="2"/>
      <c r="T63" s="2"/>
      <c r="U63" s="2"/>
      <c r="V63" s="2"/>
      <c r="W63" s="2"/>
      <c r="X63" s="2"/>
      <c r="Y63" s="2"/>
      <c r="Z63" s="2"/>
      <c r="AA63" s="2"/>
      <c r="AB63" s="2"/>
      <c r="AC63" s="2"/>
      <c r="AD63" s="2"/>
      <c r="AE63" s="2"/>
      <c r="AF63" s="2"/>
      <c r="AG63" s="2"/>
      <c r="AH63" s="2"/>
      <c r="AI63" s="2"/>
      <c r="AJ63" s="2"/>
      <c r="AK63" s="2"/>
      <c r="AL63" s="2"/>
      <c r="AM63" s="2"/>
      <c r="AN63" s="525"/>
      <c r="AO63" s="525"/>
      <c r="AP63" s="525"/>
      <c r="AQ63" s="525"/>
      <c r="AR63" s="525"/>
      <c r="AS63" s="525"/>
      <c r="AT63" s="525"/>
      <c r="AU63" s="525"/>
      <c r="AV63" s="525"/>
      <c r="AW63" s="525"/>
      <c r="AX63" s="525"/>
      <c r="AY63" s="525"/>
      <c r="AZ63" s="525"/>
      <c r="BA63" s="525"/>
      <c r="BB63" s="525"/>
      <c r="BC63" s="525"/>
      <c r="BD63" s="525"/>
      <c r="BE63" s="525"/>
      <c r="BF63" s="525"/>
      <c r="BG63" s="525"/>
      <c r="BH63" s="525"/>
      <c r="BI63" s="525"/>
      <c r="BJ63" s="525"/>
      <c r="BK63" s="525"/>
      <c r="BL63" s="525"/>
      <c r="BM63" s="525"/>
      <c r="BN63" s="525"/>
      <c r="BO63" s="525"/>
      <c r="BP63" s="525"/>
      <c r="BQ63" s="525"/>
      <c r="BR63" s="525"/>
      <c r="BS63" s="525"/>
      <c r="BT63" s="525"/>
      <c r="BU63" s="525"/>
      <c r="BV63" s="525"/>
      <c r="BW63" s="525"/>
      <c r="BX63" s="525"/>
      <c r="BY63" s="525"/>
    </row>
    <row r="64" spans="3:80" x14ac:dyDescent="0.3">
      <c r="C64" s="2"/>
      <c r="D64" s="2"/>
      <c r="E64" s="2" t="s">
        <v>129</v>
      </c>
      <c r="F64" s="54"/>
      <c r="G64" s="54"/>
      <c r="H64" s="54"/>
      <c r="I64" s="497">
        <f>I554</f>
        <v>-339300</v>
      </c>
      <c r="J64" s="497">
        <f>SUMIF($R$2:$BY$2,J$3,$R64:$BY64)</f>
        <v>-347672.71553424658</v>
      </c>
      <c r="K64" s="497">
        <f>SUMIF($R$2:$BY$2,K$3,$R64:$BY64)</f>
        <v>-355729.38776036113</v>
      </c>
      <c r="L64" s="497">
        <f>SUMIF($R$2:$BY$2,L$3,$R64:$BY64)</f>
        <v>-363359.44201744901</v>
      </c>
      <c r="M64" s="497">
        <f>SUMIF($R$2:$BY$2,M$3,$R64:$BY64)</f>
        <v>-370480.78932833066</v>
      </c>
      <c r="N64" s="497">
        <f>SUMIF($R$2:$BY$2,N$3,$R64:$BY64)</f>
        <v>-377668.21814288624</v>
      </c>
      <c r="O64" s="37"/>
      <c r="P64" s="50">
        <f>IFERROR(((N64/I64)^(1/5))-1,0)</f>
        <v>2.1657472733383143E-2</v>
      </c>
      <c r="R64" s="497">
        <f>R554</f>
        <v>-28972.726294520548</v>
      </c>
      <c r="S64" s="497">
        <f t="shared" ref="S64:BY64" si="66">S554</f>
        <v>-28972.726294520548</v>
      </c>
      <c r="T64" s="497">
        <f t="shared" si="66"/>
        <v>-28972.726294520548</v>
      </c>
      <c r="U64" s="497">
        <f t="shared" si="66"/>
        <v>-28972.726294520548</v>
      </c>
      <c r="V64" s="497">
        <f t="shared" si="66"/>
        <v>-28972.726294520548</v>
      </c>
      <c r="W64" s="497">
        <f t="shared" si="66"/>
        <v>-28972.726294520548</v>
      </c>
      <c r="X64" s="497">
        <f t="shared" si="66"/>
        <v>-28972.726294520548</v>
      </c>
      <c r="Y64" s="497">
        <f t="shared" si="66"/>
        <v>-28972.726294520548</v>
      </c>
      <c r="Z64" s="497">
        <f t="shared" si="66"/>
        <v>-28972.726294520548</v>
      </c>
      <c r="AA64" s="497">
        <f t="shared" si="66"/>
        <v>-28972.726294520548</v>
      </c>
      <c r="AB64" s="497">
        <f t="shared" si="66"/>
        <v>-28972.726294520548</v>
      </c>
      <c r="AC64" s="497">
        <f t="shared" si="66"/>
        <v>-28972.726294520548</v>
      </c>
      <c r="AD64" s="497">
        <f t="shared" si="66"/>
        <v>-29644.115646696751</v>
      </c>
      <c r="AE64" s="497">
        <f t="shared" si="66"/>
        <v>-29644.115646696751</v>
      </c>
      <c r="AF64" s="497">
        <f t="shared" si="66"/>
        <v>-29644.115646696751</v>
      </c>
      <c r="AG64" s="497">
        <f t="shared" si="66"/>
        <v>-29644.115646696751</v>
      </c>
      <c r="AH64" s="497">
        <f t="shared" si="66"/>
        <v>-29644.115646696751</v>
      </c>
      <c r="AI64" s="497">
        <f t="shared" si="66"/>
        <v>-29644.115646696751</v>
      </c>
      <c r="AJ64" s="497">
        <f t="shared" si="66"/>
        <v>-29644.115646696751</v>
      </c>
      <c r="AK64" s="497">
        <f t="shared" si="66"/>
        <v>-29644.115646696751</v>
      </c>
      <c r="AL64" s="497">
        <f t="shared" si="66"/>
        <v>-29644.115646696751</v>
      </c>
      <c r="AM64" s="497">
        <f t="shared" si="66"/>
        <v>-29644.115646696751</v>
      </c>
      <c r="AN64" s="527">
        <f t="shared" si="66"/>
        <v>-29644.115646696751</v>
      </c>
      <c r="AO64" s="527">
        <f t="shared" si="66"/>
        <v>-29644.115646696751</v>
      </c>
      <c r="AP64" s="527">
        <f t="shared" si="66"/>
        <v>-30279.953501454074</v>
      </c>
      <c r="AQ64" s="527">
        <f t="shared" si="66"/>
        <v>-30279.953501454074</v>
      </c>
      <c r="AR64" s="527">
        <f t="shared" si="66"/>
        <v>-30279.953501454074</v>
      </c>
      <c r="AS64" s="527">
        <f t="shared" si="66"/>
        <v>-30279.953501454074</v>
      </c>
      <c r="AT64" s="527">
        <f t="shared" si="66"/>
        <v>-30279.953501454074</v>
      </c>
      <c r="AU64" s="527">
        <f t="shared" si="66"/>
        <v>-30279.953501454074</v>
      </c>
      <c r="AV64" s="527">
        <f t="shared" si="66"/>
        <v>-30279.953501454074</v>
      </c>
      <c r="AW64" s="527">
        <f t="shared" si="66"/>
        <v>-30279.953501454074</v>
      </c>
      <c r="AX64" s="527">
        <f t="shared" si="66"/>
        <v>-30279.953501454074</v>
      </c>
      <c r="AY64" s="527">
        <f t="shared" si="66"/>
        <v>-30279.953501454074</v>
      </c>
      <c r="AZ64" s="527">
        <f t="shared" si="66"/>
        <v>-30279.953501454074</v>
      </c>
      <c r="BA64" s="527">
        <f t="shared" si="66"/>
        <v>-30279.953501454074</v>
      </c>
      <c r="BB64" s="527">
        <f t="shared" si="66"/>
        <v>-30873.399110694216</v>
      </c>
      <c r="BC64" s="527">
        <f t="shared" si="66"/>
        <v>-30873.399110694216</v>
      </c>
      <c r="BD64" s="527">
        <f t="shared" si="66"/>
        <v>-30873.399110694216</v>
      </c>
      <c r="BE64" s="527">
        <f t="shared" si="66"/>
        <v>-30873.399110694216</v>
      </c>
      <c r="BF64" s="527">
        <f t="shared" si="66"/>
        <v>-30873.399110694216</v>
      </c>
      <c r="BG64" s="527">
        <f t="shared" si="66"/>
        <v>-30873.399110694216</v>
      </c>
      <c r="BH64" s="527">
        <f t="shared" si="66"/>
        <v>-30873.399110694216</v>
      </c>
      <c r="BI64" s="527">
        <f t="shared" si="66"/>
        <v>-30873.399110694216</v>
      </c>
      <c r="BJ64" s="527">
        <f t="shared" si="66"/>
        <v>-30873.399110694216</v>
      </c>
      <c r="BK64" s="527">
        <f t="shared" si="66"/>
        <v>-30873.399110694216</v>
      </c>
      <c r="BL64" s="527">
        <f t="shared" si="66"/>
        <v>-30873.399110694216</v>
      </c>
      <c r="BM64" s="527">
        <f t="shared" si="66"/>
        <v>-30873.399110694216</v>
      </c>
      <c r="BN64" s="527">
        <f t="shared" si="66"/>
        <v>-31472.351511907193</v>
      </c>
      <c r="BO64" s="527">
        <f t="shared" si="66"/>
        <v>-31472.351511907193</v>
      </c>
      <c r="BP64" s="527">
        <f t="shared" si="66"/>
        <v>-31472.351511907193</v>
      </c>
      <c r="BQ64" s="527">
        <f t="shared" si="66"/>
        <v>-31472.351511907193</v>
      </c>
      <c r="BR64" s="527">
        <f t="shared" si="66"/>
        <v>-31472.351511907193</v>
      </c>
      <c r="BS64" s="527">
        <f t="shared" si="66"/>
        <v>-31472.351511907193</v>
      </c>
      <c r="BT64" s="527">
        <f t="shared" si="66"/>
        <v>-31472.351511907193</v>
      </c>
      <c r="BU64" s="527">
        <f t="shared" si="66"/>
        <v>-31472.351511907193</v>
      </c>
      <c r="BV64" s="527">
        <f t="shared" si="66"/>
        <v>-31472.351511907193</v>
      </c>
      <c r="BW64" s="527">
        <f t="shared" si="66"/>
        <v>-31472.351511907193</v>
      </c>
      <c r="BX64" s="527">
        <f t="shared" si="66"/>
        <v>-31472.351511907193</v>
      </c>
      <c r="BY64" s="527">
        <f t="shared" si="66"/>
        <v>-31472.351511907193</v>
      </c>
    </row>
    <row r="65" spans="3:80" x14ac:dyDescent="0.3">
      <c r="C65" s="2"/>
      <c r="D65" s="2"/>
      <c r="E65" s="62" t="s">
        <v>292</v>
      </c>
      <c r="F65" s="63"/>
      <c r="G65" s="63"/>
      <c r="H65" s="63"/>
      <c r="I65" s="502">
        <f t="shared" ref="I65:N65" si="67">SUM(I61,I64)</f>
        <v>2931440.4942396083</v>
      </c>
      <c r="J65" s="502">
        <f t="shared" si="67"/>
        <v>3101558.7796864104</v>
      </c>
      <c r="K65" s="502">
        <f t="shared" si="67"/>
        <v>3312039.312384008</v>
      </c>
      <c r="L65" s="502">
        <f t="shared" si="67"/>
        <v>3529169.2768936213</v>
      </c>
      <c r="M65" s="502">
        <f t="shared" si="67"/>
        <v>3752996.8378272452</v>
      </c>
      <c r="N65" s="502">
        <f t="shared" si="67"/>
        <v>3988767.7726719785</v>
      </c>
      <c r="O65" s="57"/>
      <c r="P65" s="55">
        <f>IFERROR(((N65/I65)^(1/5))-1,0)</f>
        <v>6.3534380859318951E-2</v>
      </c>
      <c r="R65" s="501">
        <f t="shared" ref="R65:AW65" si="68">SUM(R61,R64)</f>
        <v>254674.94865367434</v>
      </c>
      <c r="S65" s="501">
        <f t="shared" si="68"/>
        <v>254674.94865367434</v>
      </c>
      <c r="T65" s="501">
        <f t="shared" si="68"/>
        <v>254674.94865367434</v>
      </c>
      <c r="U65" s="501">
        <f t="shared" si="68"/>
        <v>254674.94865367434</v>
      </c>
      <c r="V65" s="501">
        <f t="shared" si="68"/>
        <v>254674.94865367434</v>
      </c>
      <c r="W65" s="501">
        <f t="shared" si="68"/>
        <v>254674.94865367434</v>
      </c>
      <c r="X65" s="501">
        <f t="shared" si="68"/>
        <v>262251.51462739398</v>
      </c>
      <c r="Y65" s="501">
        <f t="shared" si="68"/>
        <v>262251.51462739398</v>
      </c>
      <c r="Z65" s="501">
        <f t="shared" si="68"/>
        <v>262251.51462739398</v>
      </c>
      <c r="AA65" s="501">
        <f t="shared" si="68"/>
        <v>262251.51462739398</v>
      </c>
      <c r="AB65" s="501">
        <f t="shared" si="68"/>
        <v>262251.51462739398</v>
      </c>
      <c r="AC65" s="501">
        <f t="shared" si="68"/>
        <v>262251.51462739398</v>
      </c>
      <c r="AD65" s="501">
        <f t="shared" si="68"/>
        <v>271245.05254586076</v>
      </c>
      <c r="AE65" s="501">
        <f t="shared" si="68"/>
        <v>271245.05254586076</v>
      </c>
      <c r="AF65" s="501">
        <f t="shared" si="68"/>
        <v>271245.05254586076</v>
      </c>
      <c r="AG65" s="501">
        <f t="shared" si="68"/>
        <v>271245.05254586076</v>
      </c>
      <c r="AH65" s="501">
        <f t="shared" si="68"/>
        <v>271245.05254586076</v>
      </c>
      <c r="AI65" s="501">
        <f t="shared" si="68"/>
        <v>271245.05254586076</v>
      </c>
      <c r="AJ65" s="501">
        <f t="shared" si="68"/>
        <v>280761.49951814068</v>
      </c>
      <c r="AK65" s="501">
        <f t="shared" si="68"/>
        <v>280761.49951814068</v>
      </c>
      <c r="AL65" s="501">
        <f t="shared" si="68"/>
        <v>280761.49951814068</v>
      </c>
      <c r="AM65" s="501">
        <f t="shared" si="68"/>
        <v>280761.49951814068</v>
      </c>
      <c r="AN65" s="535">
        <f t="shared" si="68"/>
        <v>280761.49951814068</v>
      </c>
      <c r="AO65" s="535">
        <f t="shared" si="68"/>
        <v>280761.49951814068</v>
      </c>
      <c r="AP65" s="535">
        <f t="shared" si="68"/>
        <v>288306.04987260047</v>
      </c>
      <c r="AQ65" s="535">
        <f t="shared" si="68"/>
        <v>288306.04987260047</v>
      </c>
      <c r="AR65" s="535">
        <f t="shared" si="68"/>
        <v>288306.04987260047</v>
      </c>
      <c r="AS65" s="535">
        <f t="shared" si="68"/>
        <v>288306.04987260047</v>
      </c>
      <c r="AT65" s="535">
        <f t="shared" si="68"/>
        <v>288306.04987260047</v>
      </c>
      <c r="AU65" s="535">
        <f t="shared" si="68"/>
        <v>288306.04987260047</v>
      </c>
      <c r="AV65" s="535">
        <f t="shared" si="68"/>
        <v>299888.82960966974</v>
      </c>
      <c r="AW65" s="535">
        <f t="shared" si="68"/>
        <v>299888.82960966974</v>
      </c>
      <c r="AX65" s="535">
        <f t="shared" ref="AX65:BY65" si="69">SUM(AX61,AX64)</f>
        <v>299888.82960966974</v>
      </c>
      <c r="AY65" s="535">
        <f t="shared" si="69"/>
        <v>299888.82960966974</v>
      </c>
      <c r="AZ65" s="535">
        <f t="shared" si="69"/>
        <v>299888.82960966974</v>
      </c>
      <c r="BA65" s="535">
        <f t="shared" si="69"/>
        <v>299888.82960966974</v>
      </c>
      <c r="BB65" s="535">
        <f t="shared" si="69"/>
        <v>305860.73698755668</v>
      </c>
      <c r="BC65" s="535">
        <f t="shared" si="69"/>
        <v>305860.73698755668</v>
      </c>
      <c r="BD65" s="535">
        <f t="shared" si="69"/>
        <v>305860.73698755668</v>
      </c>
      <c r="BE65" s="535">
        <f t="shared" si="69"/>
        <v>305860.73698755668</v>
      </c>
      <c r="BF65" s="535">
        <f t="shared" si="69"/>
        <v>305860.73698755668</v>
      </c>
      <c r="BG65" s="535">
        <f t="shared" si="69"/>
        <v>305860.73698755668</v>
      </c>
      <c r="BH65" s="535">
        <f t="shared" si="69"/>
        <v>319638.73598365067</v>
      </c>
      <c r="BI65" s="535">
        <f t="shared" si="69"/>
        <v>319638.73598365067</v>
      </c>
      <c r="BJ65" s="535">
        <f t="shared" si="69"/>
        <v>319638.73598365067</v>
      </c>
      <c r="BK65" s="535">
        <f t="shared" si="69"/>
        <v>319638.73598365067</v>
      </c>
      <c r="BL65" s="535">
        <f t="shared" si="69"/>
        <v>319638.73598365067</v>
      </c>
      <c r="BM65" s="535">
        <f t="shared" si="69"/>
        <v>319638.73598365067</v>
      </c>
      <c r="BN65" s="535">
        <f t="shared" si="69"/>
        <v>324342.45227282128</v>
      </c>
      <c r="BO65" s="535">
        <f t="shared" si="69"/>
        <v>324342.45227282128</v>
      </c>
      <c r="BP65" s="535">
        <f t="shared" si="69"/>
        <v>324342.45227282128</v>
      </c>
      <c r="BQ65" s="535">
        <f t="shared" si="69"/>
        <v>324342.45227282128</v>
      </c>
      <c r="BR65" s="535">
        <f t="shared" si="69"/>
        <v>324342.45227282128</v>
      </c>
      <c r="BS65" s="535">
        <f t="shared" si="69"/>
        <v>324342.45227282128</v>
      </c>
      <c r="BT65" s="535">
        <f t="shared" si="69"/>
        <v>340452.17650584178</v>
      </c>
      <c r="BU65" s="535">
        <f t="shared" si="69"/>
        <v>340452.17650584178</v>
      </c>
      <c r="BV65" s="535">
        <f t="shared" si="69"/>
        <v>340452.17650584178</v>
      </c>
      <c r="BW65" s="535">
        <f t="shared" si="69"/>
        <v>340452.17650584178</v>
      </c>
      <c r="BX65" s="535">
        <f t="shared" si="69"/>
        <v>340452.17650584178</v>
      </c>
      <c r="BY65" s="535">
        <f t="shared" si="69"/>
        <v>340452.17650584178</v>
      </c>
      <c r="CB65" s="8"/>
    </row>
    <row r="66" spans="3:80" x14ac:dyDescent="0.3">
      <c r="C66" s="2"/>
      <c r="D66" s="2"/>
      <c r="E66" s="692" t="s">
        <v>406</v>
      </c>
      <c r="F66" s="2"/>
      <c r="G66" s="2"/>
      <c r="H66" s="2"/>
      <c r="I66" s="499">
        <f t="shared" ref="I66:N66" si="70">IFERROR(I65/SUM(I22,I31,I45,I52),0)</f>
        <v>0.41594168529494063</v>
      </c>
      <c r="J66" s="499">
        <f t="shared" si="70"/>
        <v>0.4214254652000724</v>
      </c>
      <c r="K66" s="499">
        <f t="shared" si="70"/>
        <v>0.42747795113185982</v>
      </c>
      <c r="L66" s="499">
        <f t="shared" si="70"/>
        <v>0.43325098243069593</v>
      </c>
      <c r="M66" s="499">
        <f t="shared" si="70"/>
        <v>0.43865268670389451</v>
      </c>
      <c r="N66" s="499">
        <f t="shared" si="70"/>
        <v>0.44392941975776701</v>
      </c>
      <c r="O66" s="23"/>
      <c r="P66" s="50">
        <f>IFERROR(((N66/I66)^(1/5))-1,0)</f>
        <v>1.3109285923310399E-2</v>
      </c>
      <c r="R66" s="499">
        <f t="shared" ref="R66:AW66" si="71">IFERROR(R65/SUM(R22,R31,R45,R52),0)</f>
        <v>0.42032324875078964</v>
      </c>
      <c r="S66" s="499">
        <f t="shared" si="71"/>
        <v>0.42032324875078964</v>
      </c>
      <c r="T66" s="499">
        <f t="shared" si="71"/>
        <v>0.42032324875078964</v>
      </c>
      <c r="U66" s="499">
        <f t="shared" si="71"/>
        <v>0.42032324875078964</v>
      </c>
      <c r="V66" s="499">
        <f t="shared" si="71"/>
        <v>0.42032324875078964</v>
      </c>
      <c r="W66" s="499">
        <f t="shared" si="71"/>
        <v>0.42032324875078964</v>
      </c>
      <c r="X66" s="499">
        <f t="shared" si="71"/>
        <v>0.42250138483892602</v>
      </c>
      <c r="Y66" s="499">
        <f t="shared" si="71"/>
        <v>0.42250138483892602</v>
      </c>
      <c r="Z66" s="499">
        <f t="shared" si="71"/>
        <v>0.42250138483892602</v>
      </c>
      <c r="AA66" s="499">
        <f t="shared" si="71"/>
        <v>0.42250138483892602</v>
      </c>
      <c r="AB66" s="499">
        <f t="shared" si="71"/>
        <v>0.42250138483892602</v>
      </c>
      <c r="AC66" s="499">
        <f t="shared" si="71"/>
        <v>0.42250138483892602</v>
      </c>
      <c r="AD66" s="499">
        <f t="shared" si="71"/>
        <v>0.4261720047494727</v>
      </c>
      <c r="AE66" s="499">
        <f t="shared" si="71"/>
        <v>0.4261720047494727</v>
      </c>
      <c r="AF66" s="499">
        <f t="shared" si="71"/>
        <v>0.4261720047494727</v>
      </c>
      <c r="AG66" s="499">
        <f t="shared" si="71"/>
        <v>0.4261720047494727</v>
      </c>
      <c r="AH66" s="499">
        <f t="shared" si="71"/>
        <v>0.4261720047494727</v>
      </c>
      <c r="AI66" s="499">
        <f t="shared" si="71"/>
        <v>0.4261720047494727</v>
      </c>
      <c r="AJ66" s="499">
        <f t="shared" si="71"/>
        <v>0.4287472563202997</v>
      </c>
      <c r="AK66" s="499">
        <f t="shared" si="71"/>
        <v>0.4287472563202997</v>
      </c>
      <c r="AL66" s="499">
        <f t="shared" si="71"/>
        <v>0.4287472563202997</v>
      </c>
      <c r="AM66" s="499">
        <f t="shared" si="71"/>
        <v>0.4287472563202997</v>
      </c>
      <c r="AN66" s="531">
        <f t="shared" si="71"/>
        <v>0.4287472563202997</v>
      </c>
      <c r="AO66" s="531">
        <f t="shared" si="71"/>
        <v>0.4287472563202997</v>
      </c>
      <c r="AP66" s="531">
        <f t="shared" si="71"/>
        <v>0.43175159485560549</v>
      </c>
      <c r="AQ66" s="531">
        <f t="shared" si="71"/>
        <v>0.43175159485560549</v>
      </c>
      <c r="AR66" s="531">
        <f t="shared" si="71"/>
        <v>0.43175159485560549</v>
      </c>
      <c r="AS66" s="531">
        <f t="shared" si="71"/>
        <v>0.43175159485560549</v>
      </c>
      <c r="AT66" s="531">
        <f t="shared" si="71"/>
        <v>0.43175159485560549</v>
      </c>
      <c r="AU66" s="531">
        <f t="shared" si="71"/>
        <v>0.43175159485560549</v>
      </c>
      <c r="AV66" s="531">
        <f t="shared" si="71"/>
        <v>0.43470230975384921</v>
      </c>
      <c r="AW66" s="531">
        <f t="shared" si="71"/>
        <v>0.43470230975384921</v>
      </c>
      <c r="AX66" s="531">
        <f t="shared" ref="AX66:BY66" si="72">IFERROR(AX65/SUM(AX22,AX31,AX45,AX52),0)</f>
        <v>0.43470230975384921</v>
      </c>
      <c r="AY66" s="531">
        <f t="shared" si="72"/>
        <v>0.43470230975384921</v>
      </c>
      <c r="AZ66" s="531">
        <f t="shared" si="72"/>
        <v>0.43470230975384921</v>
      </c>
      <c r="BA66" s="531">
        <f t="shared" si="72"/>
        <v>0.43470230975384921</v>
      </c>
      <c r="BB66" s="531">
        <f t="shared" si="72"/>
        <v>0.4369692826440944</v>
      </c>
      <c r="BC66" s="531">
        <f t="shared" si="72"/>
        <v>0.4369692826440944</v>
      </c>
      <c r="BD66" s="531">
        <f t="shared" si="72"/>
        <v>0.4369692826440944</v>
      </c>
      <c r="BE66" s="531">
        <f t="shared" si="72"/>
        <v>0.4369692826440944</v>
      </c>
      <c r="BF66" s="531">
        <f t="shared" si="72"/>
        <v>0.4369692826440944</v>
      </c>
      <c r="BG66" s="531">
        <f t="shared" si="72"/>
        <v>0.4369692826440944</v>
      </c>
      <c r="BH66" s="531">
        <f t="shared" si="72"/>
        <v>0.44027571660228876</v>
      </c>
      <c r="BI66" s="531">
        <f t="shared" si="72"/>
        <v>0.44027571660228876</v>
      </c>
      <c r="BJ66" s="531">
        <f t="shared" si="72"/>
        <v>0.44027571660228876</v>
      </c>
      <c r="BK66" s="531">
        <f t="shared" si="72"/>
        <v>0.44027571660228876</v>
      </c>
      <c r="BL66" s="531">
        <f t="shared" si="72"/>
        <v>0.44027571660228876</v>
      </c>
      <c r="BM66" s="531">
        <f t="shared" si="72"/>
        <v>0.44027571660228876</v>
      </c>
      <c r="BN66" s="531">
        <f t="shared" si="72"/>
        <v>0.44207110043858822</v>
      </c>
      <c r="BO66" s="531">
        <f t="shared" si="72"/>
        <v>0.44207110043858822</v>
      </c>
      <c r="BP66" s="531">
        <f t="shared" si="72"/>
        <v>0.44207110043858822</v>
      </c>
      <c r="BQ66" s="531">
        <f t="shared" si="72"/>
        <v>0.44207110043858822</v>
      </c>
      <c r="BR66" s="531">
        <f t="shared" si="72"/>
        <v>0.44207110043858822</v>
      </c>
      <c r="BS66" s="531">
        <f t="shared" si="72"/>
        <v>0.44207110043858822</v>
      </c>
      <c r="BT66" s="531">
        <f t="shared" si="72"/>
        <v>0.445714396493541</v>
      </c>
      <c r="BU66" s="531">
        <f t="shared" si="72"/>
        <v>0.445714396493541</v>
      </c>
      <c r="BV66" s="531">
        <f t="shared" si="72"/>
        <v>0.445714396493541</v>
      </c>
      <c r="BW66" s="531">
        <f t="shared" si="72"/>
        <v>0.445714396493541</v>
      </c>
      <c r="BX66" s="531">
        <f t="shared" si="72"/>
        <v>0.445714396493541</v>
      </c>
      <c r="BY66" s="531">
        <f t="shared" si="72"/>
        <v>0.445714396493541</v>
      </c>
    </row>
    <row r="67" spans="3:80" x14ac:dyDescent="0.3">
      <c r="C67" s="2"/>
      <c r="D67" s="2"/>
      <c r="E67" s="2"/>
      <c r="F67" s="54"/>
      <c r="G67" s="54"/>
      <c r="H67" s="54"/>
      <c r="I67" s="37"/>
      <c r="J67" s="37"/>
      <c r="K67" s="37"/>
      <c r="L67" s="37"/>
      <c r="M67" s="37"/>
      <c r="N67" s="37"/>
      <c r="O67" s="37"/>
      <c r="P67" s="35"/>
      <c r="R67" s="37"/>
      <c r="S67" s="37"/>
      <c r="T67" s="37"/>
      <c r="U67" s="37"/>
      <c r="V67" s="37"/>
      <c r="W67" s="37"/>
      <c r="X67" s="37"/>
      <c r="Y67" s="37"/>
      <c r="Z67" s="37"/>
      <c r="AA67" s="37"/>
      <c r="AB67" s="37"/>
      <c r="AC67" s="37"/>
      <c r="AD67" s="37"/>
      <c r="AE67" s="37"/>
      <c r="AF67" s="37"/>
      <c r="AG67" s="37"/>
      <c r="AH67" s="37"/>
      <c r="AI67" s="37"/>
      <c r="AJ67" s="37"/>
      <c r="AK67" s="37"/>
      <c r="AL67" s="37"/>
      <c r="AM67" s="37"/>
      <c r="AN67" s="529"/>
      <c r="AO67" s="529"/>
      <c r="AP67" s="529"/>
      <c r="AQ67" s="529"/>
      <c r="AR67" s="529"/>
      <c r="AS67" s="529"/>
      <c r="AT67" s="529"/>
      <c r="AU67" s="529"/>
      <c r="AV67" s="529"/>
      <c r="AW67" s="529"/>
      <c r="AX67" s="529"/>
      <c r="AY67" s="529"/>
      <c r="AZ67" s="529"/>
      <c r="BA67" s="529"/>
      <c r="BB67" s="529"/>
      <c r="BC67" s="529"/>
      <c r="BD67" s="529"/>
      <c r="BE67" s="529"/>
      <c r="BF67" s="529"/>
      <c r="BG67" s="529"/>
      <c r="BH67" s="529"/>
      <c r="BI67" s="529"/>
      <c r="BJ67" s="529"/>
      <c r="BK67" s="529"/>
      <c r="BL67" s="529"/>
      <c r="BM67" s="529"/>
      <c r="BN67" s="529"/>
      <c r="BO67" s="529"/>
      <c r="BP67" s="529"/>
      <c r="BQ67" s="529"/>
      <c r="BR67" s="529"/>
      <c r="BS67" s="529"/>
      <c r="BT67" s="529"/>
      <c r="BU67" s="529"/>
      <c r="BV67" s="529"/>
      <c r="BW67" s="529"/>
      <c r="BX67" s="529"/>
      <c r="BY67" s="529"/>
    </row>
    <row r="68" spans="3:80" x14ac:dyDescent="0.3">
      <c r="C68" s="2"/>
      <c r="D68" s="2"/>
      <c r="E68" s="2" t="s">
        <v>52</v>
      </c>
      <c r="F68" s="54"/>
      <c r="G68" s="54"/>
      <c r="H68" s="54"/>
      <c r="I68" s="497">
        <f>I558</f>
        <v>-373858.45915200002</v>
      </c>
      <c r="J68" s="497">
        <f>SUMIF($R$2:$BY$2,J$3,$R68:$BY68)</f>
        <v>-318240</v>
      </c>
      <c r="K68" s="497">
        <f>SUMIF($R$2:$BY$2,K$3,$R68:$BY68)</f>
        <v>-324604.79999999993</v>
      </c>
      <c r="L68" s="497">
        <f>SUMIF($R$2:$BY$2,L$3,$R68:$BY68)</f>
        <v>-331096.89600000001</v>
      </c>
      <c r="M68" s="497">
        <f>SUMIF($R$2:$BY$2,M$3,$R68:$BY68)</f>
        <v>-337718.83392</v>
      </c>
      <c r="N68" s="497">
        <f>SUMIF($R$2:$BY$2,N$3,$R68:$BY68)</f>
        <v>-344473.2105984001</v>
      </c>
      <c r="O68" s="37"/>
      <c r="P68" s="50">
        <f>IFERROR(((N68/I68)^(1/5))-1,0)</f>
        <v>-1.6238894142633686E-2</v>
      </c>
      <c r="R68" s="497">
        <f t="shared" ref="R68:AW68" si="73">R445</f>
        <v>-26520</v>
      </c>
      <c r="S68" s="497">
        <f t="shared" si="73"/>
        <v>-26520</v>
      </c>
      <c r="T68" s="497">
        <f t="shared" si="73"/>
        <v>-26520</v>
      </c>
      <c r="U68" s="497">
        <f t="shared" si="73"/>
        <v>-26520</v>
      </c>
      <c r="V68" s="497">
        <f t="shared" si="73"/>
        <v>-26520</v>
      </c>
      <c r="W68" s="497">
        <f t="shared" si="73"/>
        <v>-26520</v>
      </c>
      <c r="X68" s="497">
        <f t="shared" si="73"/>
        <v>-26520</v>
      </c>
      <c r="Y68" s="497">
        <f t="shared" si="73"/>
        <v>-26520</v>
      </c>
      <c r="Z68" s="497">
        <f t="shared" si="73"/>
        <v>-26520</v>
      </c>
      <c r="AA68" s="497">
        <f t="shared" si="73"/>
        <v>-26520</v>
      </c>
      <c r="AB68" s="497">
        <f t="shared" si="73"/>
        <v>-26520</v>
      </c>
      <c r="AC68" s="497">
        <f t="shared" si="73"/>
        <v>-26520</v>
      </c>
      <c r="AD68" s="497">
        <f t="shared" si="73"/>
        <v>-27050.399999999994</v>
      </c>
      <c r="AE68" s="497">
        <f t="shared" si="73"/>
        <v>-27050.399999999994</v>
      </c>
      <c r="AF68" s="497">
        <f t="shared" si="73"/>
        <v>-27050.399999999994</v>
      </c>
      <c r="AG68" s="497">
        <f t="shared" si="73"/>
        <v>-27050.399999999994</v>
      </c>
      <c r="AH68" s="497">
        <f t="shared" si="73"/>
        <v>-27050.399999999994</v>
      </c>
      <c r="AI68" s="497">
        <f t="shared" si="73"/>
        <v>-27050.399999999994</v>
      </c>
      <c r="AJ68" s="497">
        <f t="shared" si="73"/>
        <v>-27050.399999999994</v>
      </c>
      <c r="AK68" s="497">
        <f t="shared" si="73"/>
        <v>-27050.399999999994</v>
      </c>
      <c r="AL68" s="497">
        <f t="shared" si="73"/>
        <v>-27050.399999999994</v>
      </c>
      <c r="AM68" s="497">
        <f t="shared" si="73"/>
        <v>-27050.399999999994</v>
      </c>
      <c r="AN68" s="527">
        <f t="shared" si="73"/>
        <v>-27050.399999999994</v>
      </c>
      <c r="AO68" s="527">
        <f t="shared" si="73"/>
        <v>-27050.399999999994</v>
      </c>
      <c r="AP68" s="527">
        <f t="shared" si="73"/>
        <v>-27591.407999999999</v>
      </c>
      <c r="AQ68" s="527">
        <f t="shared" si="73"/>
        <v>-27591.407999999999</v>
      </c>
      <c r="AR68" s="527">
        <f t="shared" si="73"/>
        <v>-27591.407999999999</v>
      </c>
      <c r="AS68" s="527">
        <f t="shared" si="73"/>
        <v>-27591.407999999999</v>
      </c>
      <c r="AT68" s="527">
        <f t="shared" si="73"/>
        <v>-27591.407999999999</v>
      </c>
      <c r="AU68" s="527">
        <f t="shared" si="73"/>
        <v>-27591.407999999999</v>
      </c>
      <c r="AV68" s="527">
        <f t="shared" si="73"/>
        <v>-27591.407999999999</v>
      </c>
      <c r="AW68" s="527">
        <f t="shared" si="73"/>
        <v>-27591.407999999999</v>
      </c>
      <c r="AX68" s="527">
        <f t="shared" ref="AX68:BY68" si="74">AX445</f>
        <v>-27591.407999999999</v>
      </c>
      <c r="AY68" s="527">
        <f t="shared" si="74"/>
        <v>-27591.407999999999</v>
      </c>
      <c r="AZ68" s="527">
        <f t="shared" si="74"/>
        <v>-27591.407999999999</v>
      </c>
      <c r="BA68" s="527">
        <f t="shared" si="74"/>
        <v>-27591.407999999999</v>
      </c>
      <c r="BB68" s="527">
        <f t="shared" si="74"/>
        <v>-28143.23616</v>
      </c>
      <c r="BC68" s="527">
        <f t="shared" si="74"/>
        <v>-28143.23616</v>
      </c>
      <c r="BD68" s="527">
        <f t="shared" si="74"/>
        <v>-28143.23616</v>
      </c>
      <c r="BE68" s="527">
        <f t="shared" si="74"/>
        <v>-28143.23616</v>
      </c>
      <c r="BF68" s="527">
        <f t="shared" si="74"/>
        <v>-28143.23616</v>
      </c>
      <c r="BG68" s="527">
        <f t="shared" si="74"/>
        <v>-28143.23616</v>
      </c>
      <c r="BH68" s="527">
        <f t="shared" si="74"/>
        <v>-28143.23616</v>
      </c>
      <c r="BI68" s="527">
        <f t="shared" si="74"/>
        <v>-28143.23616</v>
      </c>
      <c r="BJ68" s="527">
        <f t="shared" si="74"/>
        <v>-28143.23616</v>
      </c>
      <c r="BK68" s="527">
        <f t="shared" si="74"/>
        <v>-28143.23616</v>
      </c>
      <c r="BL68" s="527">
        <f t="shared" si="74"/>
        <v>-28143.23616</v>
      </c>
      <c r="BM68" s="527">
        <f t="shared" si="74"/>
        <v>-28143.23616</v>
      </c>
      <c r="BN68" s="527">
        <f t="shared" si="74"/>
        <v>-28706.100883200008</v>
      </c>
      <c r="BO68" s="527">
        <f t="shared" si="74"/>
        <v>-28706.100883200008</v>
      </c>
      <c r="BP68" s="527">
        <f t="shared" si="74"/>
        <v>-28706.100883200008</v>
      </c>
      <c r="BQ68" s="527">
        <f t="shared" si="74"/>
        <v>-28706.100883200008</v>
      </c>
      <c r="BR68" s="527">
        <f t="shared" si="74"/>
        <v>-28706.100883200008</v>
      </c>
      <c r="BS68" s="527">
        <f t="shared" si="74"/>
        <v>-28706.100883200008</v>
      </c>
      <c r="BT68" s="527">
        <f t="shared" si="74"/>
        <v>-28706.100883200008</v>
      </c>
      <c r="BU68" s="527">
        <f t="shared" si="74"/>
        <v>-28706.100883200008</v>
      </c>
      <c r="BV68" s="527">
        <f t="shared" si="74"/>
        <v>-28706.100883200008</v>
      </c>
      <c r="BW68" s="527">
        <f t="shared" si="74"/>
        <v>-28706.100883200008</v>
      </c>
      <c r="BX68" s="527">
        <f t="shared" si="74"/>
        <v>-28706.100883200008</v>
      </c>
      <c r="BY68" s="527">
        <f t="shared" si="74"/>
        <v>-28706.100883200008</v>
      </c>
    </row>
    <row r="69" spans="3:80" x14ac:dyDescent="0.3">
      <c r="C69" s="2"/>
      <c r="D69" s="2"/>
      <c r="E69" s="2" t="s">
        <v>69</v>
      </c>
      <c r="F69" s="54"/>
      <c r="G69" s="54"/>
      <c r="H69" s="54"/>
      <c r="I69" s="497">
        <f>I559</f>
        <v>-49061.107413594123</v>
      </c>
      <c r="J69" s="497">
        <f t="shared" ref="J69:N76" si="75">SUMIF($R$2:$BY$2,J$3,$R69:$BY69)</f>
        <v>-51738.472428309848</v>
      </c>
      <c r="K69" s="497">
        <f t="shared" si="75"/>
        <v>-55016.530502165537</v>
      </c>
      <c r="L69" s="497">
        <f t="shared" si="75"/>
        <v>-58387.930783666052</v>
      </c>
      <c r="M69" s="497">
        <f t="shared" si="75"/>
        <v>-61852.164407333643</v>
      </c>
      <c r="N69" s="497">
        <f t="shared" si="75"/>
        <v>-65496.539862222955</v>
      </c>
      <c r="O69" s="37"/>
      <c r="P69" s="50">
        <f t="shared" ref="P69:P77" si="76">IFERROR(((N69/I69)^(1/5))-1,0)</f>
        <v>5.9488390035223881E-2</v>
      </c>
      <c r="R69" s="497">
        <f t="shared" ref="R69:AW69" si="77">R457</f>
        <v>-4254.7151242229229</v>
      </c>
      <c r="S69" s="497">
        <f t="shared" si="77"/>
        <v>-4254.7151242229229</v>
      </c>
      <c r="T69" s="497">
        <f t="shared" si="77"/>
        <v>-4254.7151242229229</v>
      </c>
      <c r="U69" s="497">
        <f t="shared" si="77"/>
        <v>-4254.7151242229229</v>
      </c>
      <c r="V69" s="497">
        <f t="shared" si="77"/>
        <v>-4254.7151242229229</v>
      </c>
      <c r="W69" s="497">
        <f t="shared" si="77"/>
        <v>-4254.7151242229229</v>
      </c>
      <c r="X69" s="497">
        <f t="shared" si="77"/>
        <v>-4368.3636138287184</v>
      </c>
      <c r="Y69" s="497">
        <f t="shared" si="77"/>
        <v>-4368.3636138287184</v>
      </c>
      <c r="Z69" s="497">
        <f t="shared" si="77"/>
        <v>-4368.3636138287184</v>
      </c>
      <c r="AA69" s="497">
        <f t="shared" si="77"/>
        <v>-4368.3636138287184</v>
      </c>
      <c r="AB69" s="497">
        <f t="shared" si="77"/>
        <v>-4368.3636138287184</v>
      </c>
      <c r="AC69" s="497">
        <f t="shared" si="77"/>
        <v>-4368.3636138287184</v>
      </c>
      <c r="AD69" s="497">
        <f t="shared" si="77"/>
        <v>-4513.3375228883633</v>
      </c>
      <c r="AE69" s="497">
        <f t="shared" si="77"/>
        <v>-4513.3375228883633</v>
      </c>
      <c r="AF69" s="497">
        <f t="shared" si="77"/>
        <v>-4513.3375228883633</v>
      </c>
      <c r="AG69" s="497">
        <f t="shared" si="77"/>
        <v>-4513.3375228883633</v>
      </c>
      <c r="AH69" s="497">
        <f t="shared" si="77"/>
        <v>-4513.3375228883633</v>
      </c>
      <c r="AI69" s="497">
        <f t="shared" si="77"/>
        <v>-4513.3375228883633</v>
      </c>
      <c r="AJ69" s="497">
        <f t="shared" si="77"/>
        <v>-4656.0842274725619</v>
      </c>
      <c r="AK69" s="497">
        <f t="shared" si="77"/>
        <v>-4656.0842274725619</v>
      </c>
      <c r="AL69" s="497">
        <f t="shared" si="77"/>
        <v>-4656.0842274725619</v>
      </c>
      <c r="AM69" s="497">
        <f t="shared" si="77"/>
        <v>-4656.0842274725619</v>
      </c>
      <c r="AN69" s="527">
        <f t="shared" si="77"/>
        <v>-4656.0842274725619</v>
      </c>
      <c r="AO69" s="527">
        <f t="shared" si="77"/>
        <v>-4656.0842274725619</v>
      </c>
      <c r="AP69" s="527">
        <f t="shared" si="77"/>
        <v>-4778.7900506108181</v>
      </c>
      <c r="AQ69" s="527">
        <f t="shared" si="77"/>
        <v>-4778.7900506108181</v>
      </c>
      <c r="AR69" s="527">
        <f t="shared" si="77"/>
        <v>-4778.7900506108181</v>
      </c>
      <c r="AS69" s="527">
        <f t="shared" si="77"/>
        <v>-4778.7900506108181</v>
      </c>
      <c r="AT69" s="527">
        <f t="shared" si="77"/>
        <v>-4778.7900506108181</v>
      </c>
      <c r="AU69" s="527">
        <f t="shared" si="77"/>
        <v>-4778.7900506108181</v>
      </c>
      <c r="AV69" s="527">
        <f t="shared" si="77"/>
        <v>-4952.5317466668575</v>
      </c>
      <c r="AW69" s="527">
        <f t="shared" si="77"/>
        <v>-4952.5317466668575</v>
      </c>
      <c r="AX69" s="527">
        <f t="shared" ref="AX69:BY69" si="78">AX457</f>
        <v>-4952.5317466668575</v>
      </c>
      <c r="AY69" s="527">
        <f t="shared" si="78"/>
        <v>-4952.5317466668575</v>
      </c>
      <c r="AZ69" s="527">
        <f t="shared" si="78"/>
        <v>-4952.5317466668575</v>
      </c>
      <c r="BA69" s="527">
        <f t="shared" si="78"/>
        <v>-4952.5317466668575</v>
      </c>
      <c r="BB69" s="527">
        <f t="shared" si="78"/>
        <v>-5051.0120414737648</v>
      </c>
      <c r="BC69" s="527">
        <f t="shared" si="78"/>
        <v>-5051.0120414737648</v>
      </c>
      <c r="BD69" s="527">
        <f t="shared" si="78"/>
        <v>-5051.0120414737648</v>
      </c>
      <c r="BE69" s="527">
        <f t="shared" si="78"/>
        <v>-5051.0120414737648</v>
      </c>
      <c r="BF69" s="527">
        <f t="shared" si="78"/>
        <v>-5051.0120414737648</v>
      </c>
      <c r="BG69" s="527">
        <f t="shared" si="78"/>
        <v>-5051.0120414737648</v>
      </c>
      <c r="BH69" s="527">
        <f t="shared" si="78"/>
        <v>-5257.6820264151738</v>
      </c>
      <c r="BI69" s="527">
        <f t="shared" si="78"/>
        <v>-5257.6820264151738</v>
      </c>
      <c r="BJ69" s="527">
        <f t="shared" si="78"/>
        <v>-5257.6820264151738</v>
      </c>
      <c r="BK69" s="527">
        <f t="shared" si="78"/>
        <v>-5257.6820264151738</v>
      </c>
      <c r="BL69" s="527">
        <f t="shared" si="78"/>
        <v>-5257.6820264151738</v>
      </c>
      <c r="BM69" s="527">
        <f t="shared" si="78"/>
        <v>-5257.6820264151738</v>
      </c>
      <c r="BN69" s="527">
        <f t="shared" si="78"/>
        <v>-5337.2220567709255</v>
      </c>
      <c r="BO69" s="527">
        <f t="shared" si="78"/>
        <v>-5337.2220567709255</v>
      </c>
      <c r="BP69" s="527">
        <f t="shared" si="78"/>
        <v>-5337.2220567709255</v>
      </c>
      <c r="BQ69" s="527">
        <f t="shared" si="78"/>
        <v>-5337.2220567709255</v>
      </c>
      <c r="BR69" s="527">
        <f t="shared" si="78"/>
        <v>-5337.2220567709255</v>
      </c>
      <c r="BS69" s="527">
        <f t="shared" si="78"/>
        <v>-5337.2220567709255</v>
      </c>
      <c r="BT69" s="527">
        <f t="shared" si="78"/>
        <v>-5578.8679202662352</v>
      </c>
      <c r="BU69" s="527">
        <f t="shared" si="78"/>
        <v>-5578.8679202662352</v>
      </c>
      <c r="BV69" s="527">
        <f t="shared" si="78"/>
        <v>-5578.8679202662352</v>
      </c>
      <c r="BW69" s="527">
        <f t="shared" si="78"/>
        <v>-5578.8679202662352</v>
      </c>
      <c r="BX69" s="527">
        <f t="shared" si="78"/>
        <v>-5578.8679202662352</v>
      </c>
      <c r="BY69" s="527">
        <f t="shared" si="78"/>
        <v>-5578.8679202662352</v>
      </c>
    </row>
    <row r="70" spans="3:80" x14ac:dyDescent="0.3">
      <c r="C70" s="2"/>
      <c r="D70" s="2"/>
      <c r="E70" s="2" t="s">
        <v>184</v>
      </c>
      <c r="F70" s="54"/>
      <c r="G70" s="54"/>
      <c r="H70" s="54"/>
      <c r="I70" s="52">
        <v>0</v>
      </c>
      <c r="J70" s="497">
        <f t="shared" si="75"/>
        <v>0</v>
      </c>
      <c r="K70" s="497">
        <f t="shared" si="75"/>
        <v>0</v>
      </c>
      <c r="L70" s="497">
        <f t="shared" si="75"/>
        <v>0</v>
      </c>
      <c r="M70" s="497">
        <f t="shared" si="75"/>
        <v>0</v>
      </c>
      <c r="N70" s="497">
        <f t="shared" si="75"/>
        <v>0</v>
      </c>
      <c r="O70" s="67"/>
      <c r="P70" s="50">
        <f t="shared" si="76"/>
        <v>0</v>
      </c>
      <c r="R70" s="52">
        <v>0</v>
      </c>
      <c r="S70" s="52">
        <v>0</v>
      </c>
      <c r="T70" s="52">
        <v>0</v>
      </c>
      <c r="U70" s="52">
        <v>0</v>
      </c>
      <c r="V70" s="52">
        <v>0</v>
      </c>
      <c r="W70" s="52">
        <v>0</v>
      </c>
      <c r="X70" s="52">
        <v>0</v>
      </c>
      <c r="Y70" s="52">
        <v>0</v>
      </c>
      <c r="Z70" s="52">
        <v>0</v>
      </c>
      <c r="AA70" s="52">
        <v>0</v>
      </c>
      <c r="AB70" s="52">
        <v>0</v>
      </c>
      <c r="AC70" s="52">
        <v>0</v>
      </c>
      <c r="AD70" s="52">
        <v>0</v>
      </c>
      <c r="AE70" s="52">
        <v>0</v>
      </c>
      <c r="AF70" s="52">
        <v>0</v>
      </c>
      <c r="AG70" s="52">
        <v>0</v>
      </c>
      <c r="AH70" s="52">
        <v>0</v>
      </c>
      <c r="AI70" s="52">
        <v>0</v>
      </c>
      <c r="AJ70" s="52">
        <v>0</v>
      </c>
      <c r="AK70" s="52">
        <v>0</v>
      </c>
      <c r="AL70" s="52">
        <v>0</v>
      </c>
      <c r="AM70" s="52">
        <v>0</v>
      </c>
      <c r="AN70" s="528">
        <v>0</v>
      </c>
      <c r="AO70" s="528">
        <v>0</v>
      </c>
      <c r="AP70" s="528">
        <v>0</v>
      </c>
      <c r="AQ70" s="528">
        <v>0</v>
      </c>
      <c r="AR70" s="528">
        <v>0</v>
      </c>
      <c r="AS70" s="528">
        <v>0</v>
      </c>
      <c r="AT70" s="528">
        <v>0</v>
      </c>
      <c r="AU70" s="528">
        <v>0</v>
      </c>
      <c r="AV70" s="528">
        <v>0</v>
      </c>
      <c r="AW70" s="528">
        <v>0</v>
      </c>
      <c r="AX70" s="528">
        <v>0</v>
      </c>
      <c r="AY70" s="528">
        <v>0</v>
      </c>
      <c r="AZ70" s="528">
        <v>0</v>
      </c>
      <c r="BA70" s="528">
        <v>0</v>
      </c>
      <c r="BB70" s="528">
        <v>0</v>
      </c>
      <c r="BC70" s="528">
        <v>0</v>
      </c>
      <c r="BD70" s="528">
        <v>0</v>
      </c>
      <c r="BE70" s="528">
        <v>0</v>
      </c>
      <c r="BF70" s="528">
        <v>0</v>
      </c>
      <c r="BG70" s="528">
        <v>0</v>
      </c>
      <c r="BH70" s="528">
        <v>0</v>
      </c>
      <c r="BI70" s="528">
        <v>0</v>
      </c>
      <c r="BJ70" s="528">
        <v>0</v>
      </c>
      <c r="BK70" s="528">
        <v>0</v>
      </c>
      <c r="BL70" s="528">
        <v>0</v>
      </c>
      <c r="BM70" s="528">
        <v>0</v>
      </c>
      <c r="BN70" s="528">
        <v>0</v>
      </c>
      <c r="BO70" s="528">
        <v>0</v>
      </c>
      <c r="BP70" s="528">
        <v>0</v>
      </c>
      <c r="BQ70" s="528">
        <v>0</v>
      </c>
      <c r="BR70" s="528">
        <v>0</v>
      </c>
      <c r="BS70" s="528">
        <v>0</v>
      </c>
      <c r="BT70" s="528">
        <v>0</v>
      </c>
      <c r="BU70" s="528">
        <v>0</v>
      </c>
      <c r="BV70" s="528">
        <v>0</v>
      </c>
      <c r="BW70" s="528">
        <v>0</v>
      </c>
      <c r="BX70" s="528">
        <v>0</v>
      </c>
      <c r="BY70" s="528">
        <v>0</v>
      </c>
    </row>
    <row r="71" spans="3:80" x14ac:dyDescent="0.3">
      <c r="C71" s="2"/>
      <c r="D71" s="2"/>
      <c r="E71" s="62" t="s">
        <v>293</v>
      </c>
      <c r="F71" s="63"/>
      <c r="G71" s="63"/>
      <c r="H71" s="63"/>
      <c r="I71" s="502">
        <f t="shared" ref="I71:N71" si="79">I65+SUM(I68:I70)</f>
        <v>2508520.9276740141</v>
      </c>
      <c r="J71" s="502">
        <f t="shared" si="79"/>
        <v>2731580.3072581007</v>
      </c>
      <c r="K71" s="502">
        <f t="shared" si="79"/>
        <v>2932417.9818818425</v>
      </c>
      <c r="L71" s="502">
        <f t="shared" si="79"/>
        <v>3139684.4501099554</v>
      </c>
      <c r="M71" s="502">
        <f t="shared" si="79"/>
        <v>3353425.8394999118</v>
      </c>
      <c r="N71" s="502">
        <f t="shared" si="79"/>
        <v>3578798.0222113552</v>
      </c>
      <c r="O71" s="57"/>
      <c r="P71" s="55">
        <f t="shared" si="76"/>
        <v>7.3652876587955163E-2</v>
      </c>
      <c r="R71" s="501">
        <f t="shared" ref="R71:AW71" si="80">R65+SUM(R68:R70)</f>
        <v>223900.23352945142</v>
      </c>
      <c r="S71" s="502">
        <f t="shared" si="80"/>
        <v>223900.23352945142</v>
      </c>
      <c r="T71" s="502">
        <f t="shared" si="80"/>
        <v>223900.23352945142</v>
      </c>
      <c r="U71" s="502">
        <f t="shared" si="80"/>
        <v>223900.23352945142</v>
      </c>
      <c r="V71" s="502">
        <f t="shared" si="80"/>
        <v>223900.23352945142</v>
      </c>
      <c r="W71" s="502">
        <f t="shared" si="80"/>
        <v>223900.23352945142</v>
      </c>
      <c r="X71" s="502">
        <f t="shared" si="80"/>
        <v>231363.15101356525</v>
      </c>
      <c r="Y71" s="502">
        <f t="shared" si="80"/>
        <v>231363.15101356525</v>
      </c>
      <c r="Z71" s="502">
        <f t="shared" si="80"/>
        <v>231363.15101356525</v>
      </c>
      <c r="AA71" s="502">
        <f t="shared" si="80"/>
        <v>231363.15101356525</v>
      </c>
      <c r="AB71" s="502">
        <f t="shared" si="80"/>
        <v>231363.15101356525</v>
      </c>
      <c r="AC71" s="502">
        <f t="shared" si="80"/>
        <v>231363.15101356525</v>
      </c>
      <c r="AD71" s="502">
        <f t="shared" si="80"/>
        <v>239681.31502297241</v>
      </c>
      <c r="AE71" s="502">
        <f t="shared" si="80"/>
        <v>239681.31502297241</v>
      </c>
      <c r="AF71" s="502">
        <f t="shared" si="80"/>
        <v>239681.31502297241</v>
      </c>
      <c r="AG71" s="502">
        <f t="shared" si="80"/>
        <v>239681.31502297241</v>
      </c>
      <c r="AH71" s="502">
        <f t="shared" si="80"/>
        <v>239681.31502297241</v>
      </c>
      <c r="AI71" s="502">
        <f t="shared" si="80"/>
        <v>239681.31502297241</v>
      </c>
      <c r="AJ71" s="502">
        <f t="shared" si="80"/>
        <v>249055.01529066812</v>
      </c>
      <c r="AK71" s="502">
        <f t="shared" si="80"/>
        <v>249055.01529066812</v>
      </c>
      <c r="AL71" s="502">
        <f t="shared" si="80"/>
        <v>249055.01529066812</v>
      </c>
      <c r="AM71" s="502">
        <f t="shared" si="80"/>
        <v>249055.01529066812</v>
      </c>
      <c r="AN71" s="534">
        <f t="shared" si="80"/>
        <v>249055.01529066812</v>
      </c>
      <c r="AO71" s="534">
        <f t="shared" si="80"/>
        <v>249055.01529066812</v>
      </c>
      <c r="AP71" s="534">
        <f t="shared" si="80"/>
        <v>255935.85182198967</v>
      </c>
      <c r="AQ71" s="534">
        <f t="shared" si="80"/>
        <v>255935.85182198967</v>
      </c>
      <c r="AR71" s="534">
        <f t="shared" si="80"/>
        <v>255935.85182198967</v>
      </c>
      <c r="AS71" s="534">
        <f t="shared" si="80"/>
        <v>255935.85182198967</v>
      </c>
      <c r="AT71" s="534">
        <f t="shared" si="80"/>
        <v>255935.85182198967</v>
      </c>
      <c r="AU71" s="534">
        <f t="shared" si="80"/>
        <v>255935.85182198967</v>
      </c>
      <c r="AV71" s="534">
        <f t="shared" si="80"/>
        <v>267344.88986300287</v>
      </c>
      <c r="AW71" s="534">
        <f t="shared" si="80"/>
        <v>267344.88986300287</v>
      </c>
      <c r="AX71" s="534">
        <f t="shared" ref="AX71:BY71" si="81">AX65+SUM(AX68:AX70)</f>
        <v>267344.88986300287</v>
      </c>
      <c r="AY71" s="534">
        <f t="shared" si="81"/>
        <v>267344.88986300287</v>
      </c>
      <c r="AZ71" s="534">
        <f t="shared" si="81"/>
        <v>267344.88986300287</v>
      </c>
      <c r="BA71" s="534">
        <f t="shared" si="81"/>
        <v>267344.88986300287</v>
      </c>
      <c r="BB71" s="534">
        <f t="shared" si="81"/>
        <v>272666.48878608295</v>
      </c>
      <c r="BC71" s="534">
        <f t="shared" si="81"/>
        <v>272666.48878608295</v>
      </c>
      <c r="BD71" s="534">
        <f t="shared" si="81"/>
        <v>272666.48878608295</v>
      </c>
      <c r="BE71" s="534">
        <f t="shared" si="81"/>
        <v>272666.48878608295</v>
      </c>
      <c r="BF71" s="534">
        <f t="shared" si="81"/>
        <v>272666.48878608295</v>
      </c>
      <c r="BG71" s="534">
        <f t="shared" si="81"/>
        <v>272666.48878608295</v>
      </c>
      <c r="BH71" s="534">
        <f t="shared" si="81"/>
        <v>286237.8177972355</v>
      </c>
      <c r="BI71" s="534">
        <f t="shared" si="81"/>
        <v>286237.8177972355</v>
      </c>
      <c r="BJ71" s="534">
        <f t="shared" si="81"/>
        <v>286237.8177972355</v>
      </c>
      <c r="BK71" s="534">
        <f t="shared" si="81"/>
        <v>286237.8177972355</v>
      </c>
      <c r="BL71" s="534">
        <f t="shared" si="81"/>
        <v>286237.8177972355</v>
      </c>
      <c r="BM71" s="534">
        <f t="shared" si="81"/>
        <v>286237.8177972355</v>
      </c>
      <c r="BN71" s="534">
        <f t="shared" si="81"/>
        <v>290299.12933285034</v>
      </c>
      <c r="BO71" s="534">
        <f t="shared" si="81"/>
        <v>290299.12933285034</v>
      </c>
      <c r="BP71" s="534">
        <f t="shared" si="81"/>
        <v>290299.12933285034</v>
      </c>
      <c r="BQ71" s="534">
        <f t="shared" si="81"/>
        <v>290299.12933285034</v>
      </c>
      <c r="BR71" s="534">
        <f t="shared" si="81"/>
        <v>290299.12933285034</v>
      </c>
      <c r="BS71" s="534">
        <f t="shared" si="81"/>
        <v>290299.12933285034</v>
      </c>
      <c r="BT71" s="534">
        <f t="shared" si="81"/>
        <v>306167.20770237554</v>
      </c>
      <c r="BU71" s="534">
        <f t="shared" si="81"/>
        <v>306167.20770237554</v>
      </c>
      <c r="BV71" s="534">
        <f t="shared" si="81"/>
        <v>306167.20770237554</v>
      </c>
      <c r="BW71" s="534">
        <f t="shared" si="81"/>
        <v>306167.20770237554</v>
      </c>
      <c r="BX71" s="534">
        <f t="shared" si="81"/>
        <v>306167.20770237554</v>
      </c>
      <c r="BY71" s="534">
        <f t="shared" si="81"/>
        <v>306167.20770237554</v>
      </c>
    </row>
    <row r="72" spans="3:80" x14ac:dyDescent="0.3">
      <c r="C72" s="2"/>
      <c r="D72" s="2"/>
      <c r="E72" s="2" t="s">
        <v>407</v>
      </c>
      <c r="F72" s="2"/>
      <c r="G72" s="2"/>
      <c r="H72" s="2"/>
      <c r="I72" s="499">
        <f t="shared" ref="I72:N72" si="82">IFERROR(I71/I61,0)</f>
        <v>0.76695810385813035</v>
      </c>
      <c r="J72" s="499">
        <f t="shared" si="82"/>
        <v>0.79193881623864559</v>
      </c>
      <c r="K72" s="499">
        <f t="shared" si="82"/>
        <v>0.7995100622802136</v>
      </c>
      <c r="L72" s="499">
        <f t="shared" si="82"/>
        <v>0.80659249470824146</v>
      </c>
      <c r="M72" s="499">
        <f t="shared" si="82"/>
        <v>0.81325185746506523</v>
      </c>
      <c r="N72" s="499">
        <f t="shared" si="82"/>
        <v>0.81961536359164155</v>
      </c>
      <c r="O72" s="23"/>
      <c r="P72" s="50">
        <f t="shared" si="76"/>
        <v>1.3369175807825817E-2</v>
      </c>
      <c r="Q72" s="291"/>
      <c r="R72" s="499">
        <f t="shared" ref="R72:AW72" si="83">IFERROR(R71/R61,0)</f>
        <v>0.78936036958647493</v>
      </c>
      <c r="S72" s="499">
        <f t="shared" si="83"/>
        <v>0.78936036958647493</v>
      </c>
      <c r="T72" s="499">
        <f t="shared" si="83"/>
        <v>0.78936036958647493</v>
      </c>
      <c r="U72" s="499">
        <f t="shared" si="83"/>
        <v>0.78936036958647493</v>
      </c>
      <c r="V72" s="499">
        <f t="shared" si="83"/>
        <v>0.78936036958647493</v>
      </c>
      <c r="W72" s="499">
        <f t="shared" si="83"/>
        <v>0.78936036958647493</v>
      </c>
      <c r="X72" s="499">
        <f t="shared" si="83"/>
        <v>0.79445018134874379</v>
      </c>
      <c r="Y72" s="499">
        <f t="shared" si="83"/>
        <v>0.79445018134874379</v>
      </c>
      <c r="Z72" s="499">
        <f t="shared" si="83"/>
        <v>0.79445018134874379</v>
      </c>
      <c r="AA72" s="499">
        <f t="shared" si="83"/>
        <v>0.79445018134874379</v>
      </c>
      <c r="AB72" s="499">
        <f t="shared" si="83"/>
        <v>0.79445018134874379</v>
      </c>
      <c r="AC72" s="499">
        <f t="shared" si="83"/>
        <v>0.79445018134874379</v>
      </c>
      <c r="AD72" s="499">
        <f t="shared" si="83"/>
        <v>0.79657674771989651</v>
      </c>
      <c r="AE72" s="499">
        <f t="shared" si="83"/>
        <v>0.79657674771989651</v>
      </c>
      <c r="AF72" s="499">
        <f t="shared" si="83"/>
        <v>0.79657674771989651</v>
      </c>
      <c r="AG72" s="499">
        <f t="shared" si="83"/>
        <v>0.79657674771989651</v>
      </c>
      <c r="AH72" s="499">
        <f t="shared" si="83"/>
        <v>0.79657674771989651</v>
      </c>
      <c r="AI72" s="499">
        <f t="shared" si="83"/>
        <v>0.79657674771989651</v>
      </c>
      <c r="AJ72" s="499">
        <f t="shared" si="83"/>
        <v>0.8023534469839092</v>
      </c>
      <c r="AK72" s="499">
        <f t="shared" si="83"/>
        <v>0.8023534469839092</v>
      </c>
      <c r="AL72" s="499">
        <f t="shared" si="83"/>
        <v>0.8023534469839092</v>
      </c>
      <c r="AM72" s="499">
        <f t="shared" si="83"/>
        <v>0.8023534469839092</v>
      </c>
      <c r="AN72" s="531">
        <f t="shared" si="83"/>
        <v>0.8023534469839092</v>
      </c>
      <c r="AO72" s="531">
        <f t="shared" si="83"/>
        <v>0.8023534469839092</v>
      </c>
      <c r="AP72" s="531">
        <f t="shared" si="83"/>
        <v>0.80334932831777039</v>
      </c>
      <c r="AQ72" s="531">
        <f t="shared" si="83"/>
        <v>0.80334932831777039</v>
      </c>
      <c r="AR72" s="531">
        <f t="shared" si="83"/>
        <v>0.80334932831777039</v>
      </c>
      <c r="AS72" s="531">
        <f t="shared" si="83"/>
        <v>0.80334932831777039</v>
      </c>
      <c r="AT72" s="531">
        <f t="shared" si="83"/>
        <v>0.80334932831777039</v>
      </c>
      <c r="AU72" s="531">
        <f t="shared" si="83"/>
        <v>0.80334932831777039</v>
      </c>
      <c r="AV72" s="531">
        <f t="shared" si="83"/>
        <v>0.8097218863148048</v>
      </c>
      <c r="AW72" s="531">
        <f t="shared" si="83"/>
        <v>0.8097218863148048</v>
      </c>
      <c r="AX72" s="531">
        <f t="shared" ref="AX72:BY72" si="84">IFERROR(AX71/AX61,0)</f>
        <v>0.8097218863148048</v>
      </c>
      <c r="AY72" s="531">
        <f t="shared" si="84"/>
        <v>0.8097218863148048</v>
      </c>
      <c r="AZ72" s="531">
        <f t="shared" si="84"/>
        <v>0.8097218863148048</v>
      </c>
      <c r="BA72" s="531">
        <f t="shared" si="84"/>
        <v>0.8097218863148048</v>
      </c>
      <c r="BB72" s="531">
        <f t="shared" si="84"/>
        <v>0.8097381867650193</v>
      </c>
      <c r="BC72" s="531">
        <f t="shared" si="84"/>
        <v>0.8097381867650193</v>
      </c>
      <c r="BD72" s="531">
        <f t="shared" si="84"/>
        <v>0.8097381867650193</v>
      </c>
      <c r="BE72" s="531">
        <f t="shared" si="84"/>
        <v>0.8097381867650193</v>
      </c>
      <c r="BF72" s="531">
        <f t="shared" si="84"/>
        <v>0.8097381867650193</v>
      </c>
      <c r="BG72" s="531">
        <f t="shared" si="84"/>
        <v>0.8097381867650193</v>
      </c>
      <c r="BH72" s="531">
        <f t="shared" si="84"/>
        <v>0.81662741211567713</v>
      </c>
      <c r="BI72" s="531">
        <f t="shared" si="84"/>
        <v>0.81662741211567713</v>
      </c>
      <c r="BJ72" s="531">
        <f t="shared" si="84"/>
        <v>0.81662741211567713</v>
      </c>
      <c r="BK72" s="531">
        <f t="shared" si="84"/>
        <v>0.81662741211567713</v>
      </c>
      <c r="BL72" s="531">
        <f t="shared" si="84"/>
        <v>0.81662741211567713</v>
      </c>
      <c r="BM72" s="531">
        <f t="shared" si="84"/>
        <v>0.81662741211567713</v>
      </c>
      <c r="BN72" s="531">
        <f t="shared" si="84"/>
        <v>0.81587142031472148</v>
      </c>
      <c r="BO72" s="531">
        <f t="shared" si="84"/>
        <v>0.81587142031472148</v>
      </c>
      <c r="BP72" s="531">
        <f t="shared" si="84"/>
        <v>0.81587142031472148</v>
      </c>
      <c r="BQ72" s="531">
        <f t="shared" si="84"/>
        <v>0.81587142031472148</v>
      </c>
      <c r="BR72" s="531">
        <f t="shared" si="84"/>
        <v>0.81587142031472148</v>
      </c>
      <c r="BS72" s="531">
        <f t="shared" si="84"/>
        <v>0.81587142031472148</v>
      </c>
      <c r="BT72" s="531">
        <f t="shared" si="84"/>
        <v>0.82319713984490062</v>
      </c>
      <c r="BU72" s="531">
        <f t="shared" si="84"/>
        <v>0.82319713984490062</v>
      </c>
      <c r="BV72" s="531">
        <f t="shared" si="84"/>
        <v>0.82319713984490062</v>
      </c>
      <c r="BW72" s="531">
        <f t="shared" si="84"/>
        <v>0.82319713984490062</v>
      </c>
      <c r="BX72" s="531">
        <f t="shared" si="84"/>
        <v>0.82319713984490062</v>
      </c>
      <c r="BY72" s="531">
        <f t="shared" si="84"/>
        <v>0.82319713984490062</v>
      </c>
    </row>
    <row r="73" spans="3:80" x14ac:dyDescent="0.3">
      <c r="C73" s="2"/>
      <c r="D73" s="2"/>
      <c r="E73" s="2"/>
      <c r="F73" s="54"/>
      <c r="G73" s="54"/>
      <c r="H73" s="54"/>
      <c r="I73" s="37"/>
      <c r="J73" s="37"/>
      <c r="K73" s="37"/>
      <c r="L73" s="37"/>
      <c r="M73" s="37"/>
      <c r="N73" s="37"/>
      <c r="O73" s="37"/>
      <c r="P73" s="50"/>
      <c r="R73" s="37"/>
      <c r="S73" s="37"/>
      <c r="T73" s="37"/>
      <c r="U73" s="37"/>
      <c r="V73" s="37"/>
      <c r="W73" s="37"/>
      <c r="X73" s="37"/>
      <c r="Y73" s="37"/>
      <c r="Z73" s="37"/>
      <c r="AA73" s="37"/>
      <c r="AB73" s="37"/>
      <c r="AC73" s="37"/>
      <c r="AD73" s="37"/>
      <c r="AE73" s="37"/>
      <c r="AF73" s="37"/>
      <c r="AG73" s="37"/>
      <c r="AH73" s="37"/>
      <c r="AI73" s="37"/>
      <c r="AJ73" s="37"/>
      <c r="AK73" s="37"/>
      <c r="AL73" s="37"/>
      <c r="AM73" s="37"/>
      <c r="AN73" s="529"/>
      <c r="AO73" s="529"/>
      <c r="AP73" s="529"/>
      <c r="AQ73" s="529"/>
      <c r="AR73" s="529"/>
      <c r="AS73" s="529"/>
      <c r="AT73" s="529"/>
      <c r="AU73" s="529"/>
      <c r="AV73" s="529"/>
      <c r="AW73" s="529"/>
      <c r="AX73" s="529"/>
      <c r="AY73" s="529"/>
      <c r="AZ73" s="529"/>
      <c r="BA73" s="529"/>
      <c r="BB73" s="529"/>
      <c r="BC73" s="529"/>
      <c r="BD73" s="529"/>
      <c r="BE73" s="529"/>
      <c r="BF73" s="529"/>
      <c r="BG73" s="529"/>
      <c r="BH73" s="529"/>
      <c r="BI73" s="529"/>
      <c r="BJ73" s="529"/>
      <c r="BK73" s="529"/>
      <c r="BL73" s="529"/>
      <c r="BM73" s="529"/>
      <c r="BN73" s="529"/>
      <c r="BO73" s="529"/>
      <c r="BP73" s="529"/>
      <c r="BQ73" s="529"/>
      <c r="BR73" s="529"/>
      <c r="BS73" s="529"/>
      <c r="BT73" s="529"/>
      <c r="BU73" s="529"/>
      <c r="BV73" s="529"/>
      <c r="BW73" s="529"/>
      <c r="BX73" s="529"/>
      <c r="BY73" s="529"/>
    </row>
    <row r="74" spans="3:80" x14ac:dyDescent="0.3">
      <c r="C74" s="2"/>
      <c r="D74" s="2"/>
      <c r="E74" s="2" t="s">
        <v>70</v>
      </c>
      <c r="F74" s="54"/>
      <c r="G74" s="54"/>
      <c r="H74" s="54"/>
      <c r="I74" s="497">
        <f>I564</f>
        <v>-269268</v>
      </c>
      <c r="J74" s="497">
        <f>SUMIF($R$2:$BY$2,J$3,$R74:$BY74)</f>
        <v>-202041.75929919144</v>
      </c>
      <c r="K74" s="497">
        <f>SUMIF($R$2:$BY$2,K$3,$R74:$BY74)</f>
        <v>-206900.82325488928</v>
      </c>
      <c r="L74" s="497">
        <f>SUMIF($R$2:$BY$2,L$3,$R74:$BY74)</f>
        <v>-211546.66088872054</v>
      </c>
      <c r="M74" s="497">
        <f>SUMIF($R$2:$BY$2,M$3,$R74:$BY74)</f>
        <v>-215920.9442088253</v>
      </c>
      <c r="N74" s="497">
        <f>SUMIF($R$2:$BY$2,N$3,$R74:$BY74)</f>
        <v>-220134.85239955215</v>
      </c>
      <c r="O74" s="37"/>
      <c r="P74" s="50">
        <f>IFERROR(((N74/I74)^(1/5))-1,0)</f>
        <v>-3.9492384796121494E-2</v>
      </c>
      <c r="Q74" s="8"/>
      <c r="R74" s="497">
        <f t="shared" ref="R74:AW74" si="85">R437</f>
        <v>0</v>
      </c>
      <c r="S74" s="497">
        <f t="shared" si="85"/>
        <v>0</v>
      </c>
      <c r="T74" s="497">
        <f t="shared" si="85"/>
        <v>0</v>
      </c>
      <c r="U74" s="497">
        <f t="shared" si="85"/>
        <v>0</v>
      </c>
      <c r="V74" s="497">
        <f t="shared" si="85"/>
        <v>0</v>
      </c>
      <c r="W74" s="497">
        <f t="shared" si="85"/>
        <v>-202041.75929919144</v>
      </c>
      <c r="X74" s="497">
        <f t="shared" si="85"/>
        <v>0</v>
      </c>
      <c r="Y74" s="497">
        <f t="shared" si="85"/>
        <v>0</v>
      </c>
      <c r="Z74" s="497">
        <f t="shared" si="85"/>
        <v>0</v>
      </c>
      <c r="AA74" s="497">
        <f t="shared" si="85"/>
        <v>0</v>
      </c>
      <c r="AB74" s="497">
        <f t="shared" si="85"/>
        <v>0</v>
      </c>
      <c r="AC74" s="497">
        <f t="shared" si="85"/>
        <v>0</v>
      </c>
      <c r="AD74" s="497">
        <f t="shared" si="85"/>
        <v>0</v>
      </c>
      <c r="AE74" s="497">
        <f t="shared" si="85"/>
        <v>0</v>
      </c>
      <c r="AF74" s="497">
        <f t="shared" si="85"/>
        <v>0</v>
      </c>
      <c r="AG74" s="497">
        <f t="shared" si="85"/>
        <v>0</v>
      </c>
      <c r="AH74" s="497">
        <f t="shared" si="85"/>
        <v>0</v>
      </c>
      <c r="AI74" s="497">
        <f t="shared" si="85"/>
        <v>-206900.82325488928</v>
      </c>
      <c r="AJ74" s="497">
        <f t="shared" si="85"/>
        <v>0</v>
      </c>
      <c r="AK74" s="497">
        <f t="shared" si="85"/>
        <v>0</v>
      </c>
      <c r="AL74" s="497">
        <f t="shared" si="85"/>
        <v>0</v>
      </c>
      <c r="AM74" s="497">
        <f t="shared" si="85"/>
        <v>0</v>
      </c>
      <c r="AN74" s="527">
        <f t="shared" si="85"/>
        <v>0</v>
      </c>
      <c r="AO74" s="527">
        <f t="shared" si="85"/>
        <v>0</v>
      </c>
      <c r="AP74" s="527">
        <f t="shared" si="85"/>
        <v>0</v>
      </c>
      <c r="AQ74" s="527">
        <f t="shared" si="85"/>
        <v>0</v>
      </c>
      <c r="AR74" s="527">
        <f t="shared" si="85"/>
        <v>0</v>
      </c>
      <c r="AS74" s="527">
        <f t="shared" si="85"/>
        <v>0</v>
      </c>
      <c r="AT74" s="527">
        <f t="shared" si="85"/>
        <v>0</v>
      </c>
      <c r="AU74" s="527">
        <f t="shared" si="85"/>
        <v>-211546.66088872054</v>
      </c>
      <c r="AV74" s="527">
        <f t="shared" si="85"/>
        <v>0</v>
      </c>
      <c r="AW74" s="527">
        <f t="shared" si="85"/>
        <v>0</v>
      </c>
      <c r="AX74" s="527">
        <f t="shared" ref="AX74:BY74" si="86">AX437</f>
        <v>0</v>
      </c>
      <c r="AY74" s="527">
        <f t="shared" si="86"/>
        <v>0</v>
      </c>
      <c r="AZ74" s="527">
        <f t="shared" si="86"/>
        <v>0</v>
      </c>
      <c r="BA74" s="527">
        <f t="shared" si="86"/>
        <v>0</v>
      </c>
      <c r="BB74" s="527">
        <f t="shared" si="86"/>
        <v>0</v>
      </c>
      <c r="BC74" s="527">
        <f t="shared" si="86"/>
        <v>0</v>
      </c>
      <c r="BD74" s="527">
        <f t="shared" si="86"/>
        <v>0</v>
      </c>
      <c r="BE74" s="527">
        <f t="shared" si="86"/>
        <v>0</v>
      </c>
      <c r="BF74" s="527">
        <f t="shared" si="86"/>
        <v>0</v>
      </c>
      <c r="BG74" s="527">
        <f t="shared" si="86"/>
        <v>-215920.9442088253</v>
      </c>
      <c r="BH74" s="527">
        <f t="shared" si="86"/>
        <v>0</v>
      </c>
      <c r="BI74" s="527">
        <f t="shared" si="86"/>
        <v>0</v>
      </c>
      <c r="BJ74" s="527">
        <f t="shared" si="86"/>
        <v>0</v>
      </c>
      <c r="BK74" s="527">
        <f t="shared" si="86"/>
        <v>0</v>
      </c>
      <c r="BL74" s="527">
        <f t="shared" si="86"/>
        <v>0</v>
      </c>
      <c r="BM74" s="527">
        <f t="shared" si="86"/>
        <v>0</v>
      </c>
      <c r="BN74" s="527">
        <f t="shared" si="86"/>
        <v>0</v>
      </c>
      <c r="BO74" s="527">
        <f t="shared" si="86"/>
        <v>0</v>
      </c>
      <c r="BP74" s="527">
        <f t="shared" si="86"/>
        <v>0</v>
      </c>
      <c r="BQ74" s="527">
        <f t="shared" si="86"/>
        <v>0</v>
      </c>
      <c r="BR74" s="527">
        <f t="shared" si="86"/>
        <v>0</v>
      </c>
      <c r="BS74" s="527">
        <f t="shared" si="86"/>
        <v>-220134.85239955215</v>
      </c>
      <c r="BT74" s="527">
        <f t="shared" si="86"/>
        <v>0</v>
      </c>
      <c r="BU74" s="527">
        <f t="shared" si="86"/>
        <v>0</v>
      </c>
      <c r="BV74" s="527">
        <f t="shared" si="86"/>
        <v>0</v>
      </c>
      <c r="BW74" s="527">
        <f t="shared" si="86"/>
        <v>0</v>
      </c>
      <c r="BX74" s="527">
        <f t="shared" si="86"/>
        <v>0</v>
      </c>
      <c r="BY74" s="527">
        <f t="shared" si="86"/>
        <v>0</v>
      </c>
    </row>
    <row r="75" spans="3:80" x14ac:dyDescent="0.3">
      <c r="C75" s="2"/>
      <c r="D75" s="2"/>
      <c r="E75" s="2" t="s">
        <v>185</v>
      </c>
      <c r="F75" s="54"/>
      <c r="G75" s="54"/>
      <c r="H75" s="54"/>
      <c r="I75" s="52">
        <v>0</v>
      </c>
      <c r="J75" s="497">
        <f t="shared" si="75"/>
        <v>0</v>
      </c>
      <c r="K75" s="497">
        <f t="shared" si="75"/>
        <v>0</v>
      </c>
      <c r="L75" s="497">
        <f t="shared" si="75"/>
        <v>0</v>
      </c>
      <c r="M75" s="497">
        <f t="shared" si="75"/>
        <v>0</v>
      </c>
      <c r="N75" s="497">
        <f t="shared" si="75"/>
        <v>0</v>
      </c>
      <c r="O75" s="67"/>
      <c r="P75" s="50">
        <f t="shared" si="76"/>
        <v>0</v>
      </c>
      <c r="R75" s="71">
        <v>0</v>
      </c>
      <c r="S75" s="52">
        <v>0</v>
      </c>
      <c r="T75" s="52">
        <v>0</v>
      </c>
      <c r="U75" s="52">
        <v>0</v>
      </c>
      <c r="V75" s="52">
        <v>0</v>
      </c>
      <c r="W75" s="52">
        <v>0</v>
      </c>
      <c r="X75" s="52">
        <v>0</v>
      </c>
      <c r="Y75" s="52">
        <v>0</v>
      </c>
      <c r="Z75" s="52">
        <v>0</v>
      </c>
      <c r="AA75" s="52">
        <v>0</v>
      </c>
      <c r="AB75" s="52">
        <v>0</v>
      </c>
      <c r="AC75" s="52">
        <v>0</v>
      </c>
      <c r="AD75" s="52">
        <v>0</v>
      </c>
      <c r="AE75" s="52">
        <v>0</v>
      </c>
      <c r="AF75" s="52">
        <v>0</v>
      </c>
      <c r="AG75" s="52">
        <v>0</v>
      </c>
      <c r="AH75" s="52">
        <v>0</v>
      </c>
      <c r="AI75" s="52">
        <v>0</v>
      </c>
      <c r="AJ75" s="52">
        <v>0</v>
      </c>
      <c r="AK75" s="52">
        <v>0</v>
      </c>
      <c r="AL75" s="52">
        <v>0</v>
      </c>
      <c r="AM75" s="52">
        <v>0</v>
      </c>
      <c r="AN75" s="528">
        <v>0</v>
      </c>
      <c r="AO75" s="528">
        <v>0</v>
      </c>
      <c r="AP75" s="528">
        <v>0</v>
      </c>
      <c r="AQ75" s="528">
        <v>0</v>
      </c>
      <c r="AR75" s="528">
        <v>0</v>
      </c>
      <c r="AS75" s="528">
        <v>0</v>
      </c>
      <c r="AT75" s="528">
        <v>0</v>
      </c>
      <c r="AU75" s="528">
        <v>0</v>
      </c>
      <c r="AV75" s="528">
        <v>0</v>
      </c>
      <c r="AW75" s="528">
        <v>0</v>
      </c>
      <c r="AX75" s="528">
        <v>0</v>
      </c>
      <c r="AY75" s="528">
        <v>0</v>
      </c>
      <c r="AZ75" s="528">
        <v>0</v>
      </c>
      <c r="BA75" s="528">
        <v>0</v>
      </c>
      <c r="BB75" s="528">
        <v>0</v>
      </c>
      <c r="BC75" s="528">
        <v>0</v>
      </c>
      <c r="BD75" s="528">
        <v>0</v>
      </c>
      <c r="BE75" s="528">
        <v>0</v>
      </c>
      <c r="BF75" s="528">
        <v>0</v>
      </c>
      <c r="BG75" s="528">
        <v>0</v>
      </c>
      <c r="BH75" s="528">
        <v>0</v>
      </c>
      <c r="BI75" s="528">
        <v>0</v>
      </c>
      <c r="BJ75" s="528">
        <v>0</v>
      </c>
      <c r="BK75" s="528">
        <v>0</v>
      </c>
      <c r="BL75" s="528">
        <v>0</v>
      </c>
      <c r="BM75" s="528">
        <v>0</v>
      </c>
      <c r="BN75" s="528">
        <v>0</v>
      </c>
      <c r="BO75" s="528">
        <v>0</v>
      </c>
      <c r="BP75" s="528">
        <v>0</v>
      </c>
      <c r="BQ75" s="528">
        <v>0</v>
      </c>
      <c r="BR75" s="528">
        <v>0</v>
      </c>
      <c r="BS75" s="528">
        <v>0</v>
      </c>
      <c r="BT75" s="528">
        <v>0</v>
      </c>
      <c r="BU75" s="528">
        <v>0</v>
      </c>
      <c r="BV75" s="528">
        <v>0</v>
      </c>
      <c r="BW75" s="528">
        <v>0</v>
      </c>
      <c r="BX75" s="528">
        <v>0</v>
      </c>
      <c r="BY75" s="528">
        <v>0</v>
      </c>
    </row>
    <row r="76" spans="3:80" x14ac:dyDescent="0.3">
      <c r="C76" s="2"/>
      <c r="D76" s="2"/>
      <c r="E76" s="2" t="s">
        <v>370</v>
      </c>
      <c r="F76" s="54"/>
      <c r="G76" s="54"/>
      <c r="H76" s="54"/>
      <c r="I76" s="52">
        <v>0</v>
      </c>
      <c r="J76" s="497">
        <f t="shared" si="75"/>
        <v>0</v>
      </c>
      <c r="K76" s="497">
        <f t="shared" si="75"/>
        <v>0</v>
      </c>
      <c r="L76" s="497">
        <f t="shared" si="75"/>
        <v>0</v>
      </c>
      <c r="M76" s="497">
        <f t="shared" si="75"/>
        <v>0</v>
      </c>
      <c r="N76" s="497">
        <f t="shared" si="75"/>
        <v>0</v>
      </c>
      <c r="O76" s="67"/>
      <c r="P76" s="50">
        <f t="shared" si="76"/>
        <v>0</v>
      </c>
      <c r="R76" s="52">
        <v>0</v>
      </c>
      <c r="S76" s="52">
        <v>0</v>
      </c>
      <c r="T76" s="52">
        <v>0</v>
      </c>
      <c r="U76" s="52">
        <v>0</v>
      </c>
      <c r="V76" s="52">
        <v>0</v>
      </c>
      <c r="W76" s="52">
        <v>0</v>
      </c>
      <c r="X76" s="52">
        <v>0</v>
      </c>
      <c r="Y76" s="52">
        <v>0</v>
      </c>
      <c r="Z76" s="52">
        <v>0</v>
      </c>
      <c r="AA76" s="52">
        <v>0</v>
      </c>
      <c r="AB76" s="52">
        <v>0</v>
      </c>
      <c r="AC76" s="52">
        <v>0</v>
      </c>
      <c r="AD76" s="52">
        <v>0</v>
      </c>
      <c r="AE76" s="52">
        <v>0</v>
      </c>
      <c r="AF76" s="52">
        <v>0</v>
      </c>
      <c r="AG76" s="52">
        <v>0</v>
      </c>
      <c r="AH76" s="52">
        <v>0</v>
      </c>
      <c r="AI76" s="52">
        <v>0</v>
      </c>
      <c r="AJ76" s="52">
        <v>0</v>
      </c>
      <c r="AK76" s="52">
        <v>0</v>
      </c>
      <c r="AL76" s="52">
        <v>0</v>
      </c>
      <c r="AM76" s="52">
        <v>0</v>
      </c>
      <c r="AN76" s="528">
        <v>0</v>
      </c>
      <c r="AO76" s="528">
        <v>0</v>
      </c>
      <c r="AP76" s="528">
        <v>0</v>
      </c>
      <c r="AQ76" s="528">
        <v>0</v>
      </c>
      <c r="AR76" s="528">
        <v>0</v>
      </c>
      <c r="AS76" s="528">
        <v>0</v>
      </c>
      <c r="AT76" s="528">
        <v>0</v>
      </c>
      <c r="AU76" s="528">
        <v>0</v>
      </c>
      <c r="AV76" s="528">
        <v>0</v>
      </c>
      <c r="AW76" s="528">
        <v>0</v>
      </c>
      <c r="AX76" s="528">
        <v>0</v>
      </c>
      <c r="AY76" s="528">
        <v>0</v>
      </c>
      <c r="AZ76" s="528">
        <v>0</v>
      </c>
      <c r="BA76" s="528">
        <v>0</v>
      </c>
      <c r="BB76" s="528">
        <v>0</v>
      </c>
      <c r="BC76" s="528">
        <v>0</v>
      </c>
      <c r="BD76" s="528">
        <v>0</v>
      </c>
      <c r="BE76" s="528">
        <v>0</v>
      </c>
      <c r="BF76" s="528">
        <v>0</v>
      </c>
      <c r="BG76" s="528">
        <v>0</v>
      </c>
      <c r="BH76" s="528">
        <v>0</v>
      </c>
      <c r="BI76" s="528">
        <v>0</v>
      </c>
      <c r="BJ76" s="528">
        <v>0</v>
      </c>
      <c r="BK76" s="528">
        <v>0</v>
      </c>
      <c r="BL76" s="528">
        <v>0</v>
      </c>
      <c r="BM76" s="528">
        <v>0</v>
      </c>
      <c r="BN76" s="528">
        <v>0</v>
      </c>
      <c r="BO76" s="528">
        <v>0</v>
      </c>
      <c r="BP76" s="528">
        <v>0</v>
      </c>
      <c r="BQ76" s="528">
        <v>0</v>
      </c>
      <c r="BR76" s="528">
        <v>0</v>
      </c>
      <c r="BS76" s="528">
        <v>0</v>
      </c>
      <c r="BT76" s="528">
        <v>0</v>
      </c>
      <c r="BU76" s="528">
        <v>0</v>
      </c>
      <c r="BV76" s="528">
        <v>0</v>
      </c>
      <c r="BW76" s="528">
        <v>0</v>
      </c>
      <c r="BX76" s="528">
        <v>0</v>
      </c>
      <c r="BY76" s="528">
        <v>0</v>
      </c>
    </row>
    <row r="77" spans="3:80" x14ac:dyDescent="0.3">
      <c r="C77" s="2"/>
      <c r="D77" s="2"/>
      <c r="E77" s="62" t="s">
        <v>71</v>
      </c>
      <c r="F77" s="63"/>
      <c r="G77" s="63"/>
      <c r="H77" s="63"/>
      <c r="I77" s="501">
        <f t="shared" ref="I77:N77" si="87">I71+SUM(I74:I76)</f>
        <v>2239252.9276740141</v>
      </c>
      <c r="J77" s="501">
        <f t="shared" si="87"/>
        <v>2529538.5479589091</v>
      </c>
      <c r="K77" s="501">
        <f t="shared" si="87"/>
        <v>2725517.1586269531</v>
      </c>
      <c r="L77" s="501">
        <f t="shared" si="87"/>
        <v>2928137.7892212346</v>
      </c>
      <c r="M77" s="501">
        <f t="shared" si="87"/>
        <v>3137504.8952910863</v>
      </c>
      <c r="N77" s="501">
        <f t="shared" si="87"/>
        <v>3358663.1698118029</v>
      </c>
      <c r="O77" s="57"/>
      <c r="P77" s="55">
        <f t="shared" si="76"/>
        <v>8.4457808661991152E-2</v>
      </c>
      <c r="R77" s="501">
        <f t="shared" ref="R77:AW77" si="88">R71+SUM(R74:R76)</f>
        <v>223900.23352945142</v>
      </c>
      <c r="S77" s="502">
        <f t="shared" si="88"/>
        <v>223900.23352945142</v>
      </c>
      <c r="T77" s="502">
        <f t="shared" si="88"/>
        <v>223900.23352945142</v>
      </c>
      <c r="U77" s="502">
        <f t="shared" si="88"/>
        <v>223900.23352945142</v>
      </c>
      <c r="V77" s="502">
        <f t="shared" si="88"/>
        <v>223900.23352945142</v>
      </c>
      <c r="W77" s="502">
        <f t="shared" si="88"/>
        <v>21858.474230259977</v>
      </c>
      <c r="X77" s="502">
        <f t="shared" si="88"/>
        <v>231363.15101356525</v>
      </c>
      <c r="Y77" s="502">
        <f t="shared" si="88"/>
        <v>231363.15101356525</v>
      </c>
      <c r="Z77" s="502">
        <f t="shared" si="88"/>
        <v>231363.15101356525</v>
      </c>
      <c r="AA77" s="502">
        <f t="shared" si="88"/>
        <v>231363.15101356525</v>
      </c>
      <c r="AB77" s="502">
        <f t="shared" si="88"/>
        <v>231363.15101356525</v>
      </c>
      <c r="AC77" s="502">
        <f t="shared" si="88"/>
        <v>231363.15101356525</v>
      </c>
      <c r="AD77" s="502">
        <f t="shared" si="88"/>
        <v>239681.31502297241</v>
      </c>
      <c r="AE77" s="502">
        <f t="shared" si="88"/>
        <v>239681.31502297241</v>
      </c>
      <c r="AF77" s="502">
        <f t="shared" si="88"/>
        <v>239681.31502297241</v>
      </c>
      <c r="AG77" s="502">
        <f t="shared" si="88"/>
        <v>239681.31502297241</v>
      </c>
      <c r="AH77" s="502">
        <f t="shared" si="88"/>
        <v>239681.31502297241</v>
      </c>
      <c r="AI77" s="502">
        <f t="shared" si="88"/>
        <v>32780.491768083128</v>
      </c>
      <c r="AJ77" s="502">
        <f t="shared" si="88"/>
        <v>249055.01529066812</v>
      </c>
      <c r="AK77" s="502">
        <f t="shared" si="88"/>
        <v>249055.01529066812</v>
      </c>
      <c r="AL77" s="502">
        <f t="shared" si="88"/>
        <v>249055.01529066812</v>
      </c>
      <c r="AM77" s="502">
        <f t="shared" si="88"/>
        <v>249055.01529066812</v>
      </c>
      <c r="AN77" s="534">
        <f t="shared" si="88"/>
        <v>249055.01529066812</v>
      </c>
      <c r="AO77" s="534">
        <f t="shared" si="88"/>
        <v>249055.01529066812</v>
      </c>
      <c r="AP77" s="534">
        <f t="shared" si="88"/>
        <v>255935.85182198967</v>
      </c>
      <c r="AQ77" s="534">
        <f t="shared" si="88"/>
        <v>255935.85182198967</v>
      </c>
      <c r="AR77" s="534">
        <f t="shared" si="88"/>
        <v>255935.85182198967</v>
      </c>
      <c r="AS77" s="534">
        <f t="shared" si="88"/>
        <v>255935.85182198967</v>
      </c>
      <c r="AT77" s="534">
        <f t="shared" si="88"/>
        <v>255935.85182198967</v>
      </c>
      <c r="AU77" s="534">
        <f t="shared" si="88"/>
        <v>44389.190933269128</v>
      </c>
      <c r="AV77" s="534">
        <f t="shared" si="88"/>
        <v>267344.88986300287</v>
      </c>
      <c r="AW77" s="534">
        <f t="shared" si="88"/>
        <v>267344.88986300287</v>
      </c>
      <c r="AX77" s="534">
        <f t="shared" ref="AX77:BY77" si="89">AX71+SUM(AX74:AX76)</f>
        <v>267344.88986300287</v>
      </c>
      <c r="AY77" s="534">
        <f t="shared" si="89"/>
        <v>267344.88986300287</v>
      </c>
      <c r="AZ77" s="534">
        <f t="shared" si="89"/>
        <v>267344.88986300287</v>
      </c>
      <c r="BA77" s="534">
        <f t="shared" si="89"/>
        <v>267344.88986300287</v>
      </c>
      <c r="BB77" s="534">
        <f t="shared" si="89"/>
        <v>272666.48878608295</v>
      </c>
      <c r="BC77" s="534">
        <f t="shared" si="89"/>
        <v>272666.48878608295</v>
      </c>
      <c r="BD77" s="534">
        <f t="shared" si="89"/>
        <v>272666.48878608295</v>
      </c>
      <c r="BE77" s="534">
        <f t="shared" si="89"/>
        <v>272666.48878608295</v>
      </c>
      <c r="BF77" s="534">
        <f t="shared" si="89"/>
        <v>272666.48878608295</v>
      </c>
      <c r="BG77" s="534">
        <f t="shared" si="89"/>
        <v>56745.54457725765</v>
      </c>
      <c r="BH77" s="534">
        <f t="shared" si="89"/>
        <v>286237.8177972355</v>
      </c>
      <c r="BI77" s="534">
        <f t="shared" si="89"/>
        <v>286237.8177972355</v>
      </c>
      <c r="BJ77" s="534">
        <f t="shared" si="89"/>
        <v>286237.8177972355</v>
      </c>
      <c r="BK77" s="534">
        <f t="shared" si="89"/>
        <v>286237.8177972355</v>
      </c>
      <c r="BL77" s="534">
        <f t="shared" si="89"/>
        <v>286237.8177972355</v>
      </c>
      <c r="BM77" s="534">
        <f t="shared" si="89"/>
        <v>286237.8177972355</v>
      </c>
      <c r="BN77" s="534">
        <f t="shared" si="89"/>
        <v>290299.12933285034</v>
      </c>
      <c r="BO77" s="534">
        <f t="shared" si="89"/>
        <v>290299.12933285034</v>
      </c>
      <c r="BP77" s="534">
        <f t="shared" si="89"/>
        <v>290299.12933285034</v>
      </c>
      <c r="BQ77" s="534">
        <f t="shared" si="89"/>
        <v>290299.12933285034</v>
      </c>
      <c r="BR77" s="534">
        <f t="shared" si="89"/>
        <v>290299.12933285034</v>
      </c>
      <c r="BS77" s="534">
        <f t="shared" si="89"/>
        <v>70164.276933298184</v>
      </c>
      <c r="BT77" s="534">
        <f t="shared" si="89"/>
        <v>306167.20770237554</v>
      </c>
      <c r="BU77" s="534">
        <f t="shared" si="89"/>
        <v>306167.20770237554</v>
      </c>
      <c r="BV77" s="534">
        <f t="shared" si="89"/>
        <v>306167.20770237554</v>
      </c>
      <c r="BW77" s="534">
        <f t="shared" si="89"/>
        <v>306167.20770237554</v>
      </c>
      <c r="BX77" s="534">
        <f t="shared" si="89"/>
        <v>306167.20770237554</v>
      </c>
      <c r="BY77" s="534">
        <f t="shared" si="89"/>
        <v>306167.20770237554</v>
      </c>
    </row>
    <row r="78" spans="3:80" x14ac:dyDescent="0.3">
      <c r="C78" s="2"/>
      <c r="D78" s="2"/>
      <c r="E78" s="22"/>
      <c r="F78" s="68"/>
      <c r="G78" s="68"/>
      <c r="H78" s="68"/>
      <c r="I78" s="57"/>
      <c r="J78" s="57"/>
      <c r="K78" s="57"/>
      <c r="L78" s="57"/>
      <c r="M78" s="57"/>
      <c r="N78" s="57"/>
      <c r="O78" s="57"/>
      <c r="P78" s="69"/>
      <c r="R78" s="57"/>
      <c r="S78" s="57"/>
      <c r="T78" s="57"/>
      <c r="U78" s="57"/>
      <c r="V78" s="57"/>
      <c r="W78" s="57"/>
      <c r="X78" s="57"/>
      <c r="Y78" s="57"/>
      <c r="Z78" s="57"/>
      <c r="AA78" s="57"/>
      <c r="AB78" s="57"/>
      <c r="AC78" s="57"/>
      <c r="AD78" s="57"/>
      <c r="AE78" s="57"/>
      <c r="AF78" s="57"/>
      <c r="AG78" s="57"/>
      <c r="AH78" s="57"/>
      <c r="AI78" s="57"/>
      <c r="AJ78" s="57"/>
      <c r="AK78" s="57"/>
      <c r="AL78" s="57"/>
      <c r="AM78" s="57"/>
      <c r="AN78" s="536"/>
      <c r="AO78" s="536"/>
      <c r="AP78" s="536"/>
      <c r="AQ78" s="536"/>
      <c r="AR78" s="536"/>
      <c r="AS78" s="536"/>
      <c r="AT78" s="536"/>
      <c r="AU78" s="536"/>
      <c r="AV78" s="536"/>
      <c r="AW78" s="536"/>
      <c r="AX78" s="536"/>
      <c r="AY78" s="536"/>
      <c r="AZ78" s="536"/>
      <c r="BA78" s="536"/>
      <c r="BB78" s="536"/>
      <c r="BC78" s="536"/>
      <c r="BD78" s="536"/>
      <c r="BE78" s="536"/>
      <c r="BF78" s="536"/>
      <c r="BG78" s="536"/>
      <c r="BH78" s="536"/>
      <c r="BI78" s="536"/>
      <c r="BJ78" s="536"/>
      <c r="BK78" s="536"/>
      <c r="BL78" s="536"/>
      <c r="BM78" s="536"/>
      <c r="BN78" s="536"/>
      <c r="BO78" s="536"/>
      <c r="BP78" s="536"/>
      <c r="BQ78" s="536"/>
      <c r="BR78" s="536"/>
      <c r="BS78" s="536"/>
      <c r="BT78" s="536"/>
      <c r="BU78" s="536"/>
      <c r="BV78" s="536"/>
      <c r="BW78" s="536"/>
      <c r="BX78" s="536"/>
      <c r="BY78" s="536"/>
    </row>
    <row r="79" spans="3:80" x14ac:dyDescent="0.3">
      <c r="C79" s="2"/>
      <c r="D79" s="2"/>
      <c r="E79" s="22"/>
      <c r="F79" s="68"/>
      <c r="G79" s="68"/>
      <c r="H79" s="68"/>
      <c r="I79" s="57"/>
      <c r="J79" s="57"/>
      <c r="K79" s="57"/>
      <c r="L79" s="57"/>
      <c r="M79" s="57"/>
      <c r="N79" s="57"/>
      <c r="O79" s="57"/>
      <c r="P79" s="69"/>
      <c r="R79" s="57"/>
      <c r="S79" s="57"/>
      <c r="T79" s="57"/>
      <c r="U79" s="57"/>
      <c r="V79" s="57"/>
      <c r="W79" s="57"/>
      <c r="X79" s="57"/>
      <c r="Y79" s="57"/>
      <c r="Z79" s="57"/>
      <c r="AA79" s="57"/>
      <c r="AB79" s="57"/>
      <c r="AC79" s="57"/>
      <c r="AD79" s="57"/>
      <c r="AE79" s="57"/>
      <c r="AF79" s="57"/>
      <c r="AG79" s="57"/>
      <c r="AH79" s="57"/>
      <c r="AI79" s="57"/>
      <c r="AJ79" s="57"/>
      <c r="AK79" s="57"/>
      <c r="AL79" s="57"/>
      <c r="AM79" s="57"/>
      <c r="AN79" s="536"/>
      <c r="AO79" s="536"/>
      <c r="AP79" s="536"/>
      <c r="AQ79" s="536"/>
      <c r="AR79" s="536"/>
      <c r="AS79" s="536"/>
      <c r="AT79" s="536"/>
      <c r="AU79" s="536"/>
      <c r="AV79" s="536"/>
      <c r="AW79" s="536"/>
      <c r="AX79" s="536"/>
      <c r="AY79" s="536"/>
      <c r="AZ79" s="536"/>
      <c r="BA79" s="536"/>
      <c r="BB79" s="536"/>
      <c r="BC79" s="536"/>
      <c r="BD79" s="536"/>
      <c r="BE79" s="536"/>
      <c r="BF79" s="536"/>
      <c r="BG79" s="536"/>
      <c r="BH79" s="536"/>
      <c r="BI79" s="536"/>
      <c r="BJ79" s="536"/>
      <c r="BK79" s="536"/>
      <c r="BL79" s="536"/>
      <c r="BM79" s="536"/>
      <c r="BN79" s="536"/>
      <c r="BO79" s="536"/>
      <c r="BP79" s="536"/>
      <c r="BQ79" s="536"/>
      <c r="BR79" s="536"/>
      <c r="BS79" s="536"/>
      <c r="BT79" s="536"/>
      <c r="BU79" s="536"/>
      <c r="BV79" s="536"/>
      <c r="BW79" s="536"/>
      <c r="BX79" s="536"/>
      <c r="BY79" s="536"/>
    </row>
    <row r="80" spans="3:80" x14ac:dyDescent="0.3">
      <c r="C80" s="48" t="s">
        <v>37</v>
      </c>
      <c r="D80" s="88"/>
      <c r="E80" s="49" t="s">
        <v>135</v>
      </c>
      <c r="F80" s="49"/>
      <c r="G80" s="49"/>
      <c r="H80" s="49"/>
      <c r="I80" s="49"/>
      <c r="J80" s="49"/>
      <c r="K80" s="49"/>
      <c r="L80" s="49"/>
      <c r="M80" s="49"/>
      <c r="N80" s="49"/>
      <c r="O80" s="49"/>
      <c r="P80" s="48"/>
      <c r="Q80" s="49"/>
      <c r="R80" s="49"/>
      <c r="S80" s="49"/>
      <c r="T80" s="49"/>
      <c r="U80" s="49"/>
      <c r="V80" s="49"/>
      <c r="W80" s="49"/>
      <c r="X80" s="49"/>
      <c r="Y80" s="49"/>
      <c r="Z80" s="49"/>
      <c r="AA80" s="49"/>
      <c r="AB80" s="49"/>
      <c r="AC80" s="49"/>
      <c r="AD80" s="49"/>
      <c r="AE80" s="49"/>
      <c r="AF80" s="49"/>
      <c r="AG80" s="49"/>
      <c r="AH80" s="49"/>
      <c r="AI80" s="49"/>
      <c r="AJ80" s="49"/>
      <c r="AK80" s="49"/>
      <c r="AL80" s="49"/>
      <c r="AM80" s="49"/>
      <c r="AN80" s="526"/>
      <c r="AO80" s="526"/>
      <c r="AP80" s="526"/>
      <c r="AQ80" s="526"/>
      <c r="AR80" s="526"/>
      <c r="AS80" s="526"/>
      <c r="AT80" s="526"/>
      <c r="AU80" s="526"/>
      <c r="AV80" s="526"/>
      <c r="AW80" s="526"/>
      <c r="AX80" s="526"/>
      <c r="AY80" s="526"/>
      <c r="AZ80" s="526"/>
      <c r="BA80" s="526"/>
      <c r="BB80" s="526"/>
      <c r="BC80" s="526"/>
      <c r="BD80" s="526"/>
      <c r="BE80" s="526"/>
      <c r="BF80" s="526"/>
      <c r="BG80" s="526"/>
      <c r="BH80" s="526"/>
      <c r="BI80" s="526"/>
      <c r="BJ80" s="526"/>
      <c r="BK80" s="526"/>
      <c r="BL80" s="526"/>
      <c r="BM80" s="526"/>
      <c r="BN80" s="526"/>
      <c r="BO80" s="526"/>
      <c r="BP80" s="526"/>
      <c r="BQ80" s="526"/>
      <c r="BR80" s="526"/>
      <c r="BS80" s="526"/>
      <c r="BT80" s="526"/>
      <c r="BU80" s="526"/>
      <c r="BV80" s="526"/>
      <c r="BW80" s="526"/>
      <c r="BX80" s="526"/>
      <c r="BY80" s="526"/>
    </row>
    <row r="81" spans="3:80" x14ac:dyDescent="0.3">
      <c r="C81" s="2"/>
      <c r="D81" s="2"/>
      <c r="E81" s="2"/>
      <c r="F81" s="2"/>
      <c r="G81" s="2"/>
      <c r="H81" s="2"/>
      <c r="I81" s="37"/>
      <c r="J81" s="37"/>
      <c r="K81" s="37"/>
      <c r="L81" s="37"/>
      <c r="M81" s="37"/>
      <c r="N81" s="37"/>
      <c r="O81" s="37"/>
      <c r="P81" s="35"/>
      <c r="R81" s="37"/>
      <c r="S81" s="2"/>
      <c r="T81" s="2"/>
      <c r="U81" s="2"/>
      <c r="V81" s="2"/>
      <c r="W81" s="2"/>
      <c r="X81" s="2"/>
      <c r="Y81" s="2"/>
      <c r="Z81" s="2"/>
      <c r="AA81" s="2"/>
      <c r="AB81" s="2"/>
      <c r="AC81" s="2"/>
      <c r="AD81" s="2"/>
      <c r="AE81" s="2"/>
      <c r="AF81" s="2"/>
      <c r="AG81" s="2"/>
      <c r="AH81" s="2"/>
      <c r="AI81" s="2"/>
      <c r="AJ81" s="2"/>
      <c r="AK81" s="2"/>
      <c r="AL81" s="2"/>
      <c r="AM81" s="2"/>
      <c r="AN81" s="525"/>
      <c r="AO81" s="525"/>
      <c r="AP81" s="525"/>
      <c r="AQ81" s="525"/>
      <c r="AR81" s="525"/>
      <c r="AS81" s="525"/>
      <c r="AT81" s="525"/>
      <c r="AU81" s="525"/>
      <c r="AV81" s="525"/>
      <c r="AW81" s="525"/>
      <c r="AX81" s="525"/>
      <c r="AY81" s="525"/>
      <c r="AZ81" s="525"/>
      <c r="BA81" s="525"/>
      <c r="BB81" s="525"/>
      <c r="BC81" s="525"/>
      <c r="BD81" s="525"/>
      <c r="BE81" s="525"/>
      <c r="BF81" s="525"/>
      <c r="BG81" s="525"/>
      <c r="BH81" s="525"/>
      <c r="BI81" s="525"/>
      <c r="BJ81" s="525"/>
      <c r="BK81" s="525"/>
      <c r="BL81" s="525"/>
      <c r="BM81" s="525"/>
      <c r="BN81" s="525"/>
      <c r="BO81" s="525"/>
      <c r="BP81" s="525"/>
      <c r="BQ81" s="525"/>
      <c r="BR81" s="525"/>
      <c r="BS81" s="525"/>
      <c r="BT81" s="525"/>
      <c r="BU81" s="525"/>
      <c r="BV81" s="525"/>
      <c r="BW81" s="525"/>
      <c r="BX81" s="525"/>
      <c r="BY81" s="525"/>
    </row>
    <row r="82" spans="3:80" x14ac:dyDescent="0.3">
      <c r="C82" s="2"/>
      <c r="D82" s="2"/>
      <c r="E82" s="2" t="s">
        <v>68</v>
      </c>
      <c r="F82" s="2"/>
      <c r="G82" s="2"/>
      <c r="H82" s="2"/>
      <c r="I82" s="497">
        <f t="shared" ref="I82:N82" si="90">I9</f>
        <v>39</v>
      </c>
      <c r="J82" s="497">
        <f t="shared" si="90"/>
        <v>39</v>
      </c>
      <c r="K82" s="497">
        <f t="shared" si="90"/>
        <v>39</v>
      </c>
      <c r="L82" s="497">
        <f t="shared" si="90"/>
        <v>39</v>
      </c>
      <c r="M82" s="497">
        <f t="shared" si="90"/>
        <v>39</v>
      </c>
      <c r="N82" s="497">
        <f t="shared" si="90"/>
        <v>39</v>
      </c>
      <c r="O82" s="37"/>
      <c r="P82" s="35"/>
      <c r="R82" s="497">
        <f t="shared" ref="R82:AW82" si="91">R9</f>
        <v>39</v>
      </c>
      <c r="S82" s="497">
        <f t="shared" si="91"/>
        <v>39</v>
      </c>
      <c r="T82" s="497">
        <f t="shared" si="91"/>
        <v>39</v>
      </c>
      <c r="U82" s="497">
        <f t="shared" si="91"/>
        <v>39</v>
      </c>
      <c r="V82" s="497">
        <f t="shared" si="91"/>
        <v>39</v>
      </c>
      <c r="W82" s="497">
        <f t="shared" si="91"/>
        <v>39</v>
      </c>
      <c r="X82" s="497">
        <f t="shared" si="91"/>
        <v>39</v>
      </c>
      <c r="Y82" s="497">
        <f t="shared" si="91"/>
        <v>39</v>
      </c>
      <c r="Z82" s="497">
        <f t="shared" si="91"/>
        <v>39</v>
      </c>
      <c r="AA82" s="497">
        <f t="shared" si="91"/>
        <v>39</v>
      </c>
      <c r="AB82" s="497">
        <f t="shared" si="91"/>
        <v>39</v>
      </c>
      <c r="AC82" s="497">
        <f t="shared" si="91"/>
        <v>39</v>
      </c>
      <c r="AD82" s="497">
        <f t="shared" si="91"/>
        <v>39</v>
      </c>
      <c r="AE82" s="497">
        <f t="shared" si="91"/>
        <v>39</v>
      </c>
      <c r="AF82" s="497">
        <f t="shared" si="91"/>
        <v>39</v>
      </c>
      <c r="AG82" s="497">
        <f t="shared" si="91"/>
        <v>39</v>
      </c>
      <c r="AH82" s="497">
        <f t="shared" si="91"/>
        <v>39</v>
      </c>
      <c r="AI82" s="497">
        <f t="shared" si="91"/>
        <v>39</v>
      </c>
      <c r="AJ82" s="497">
        <f t="shared" si="91"/>
        <v>39</v>
      </c>
      <c r="AK82" s="497">
        <f t="shared" si="91"/>
        <v>39</v>
      </c>
      <c r="AL82" s="497">
        <f t="shared" si="91"/>
        <v>39</v>
      </c>
      <c r="AM82" s="497">
        <f t="shared" si="91"/>
        <v>39</v>
      </c>
      <c r="AN82" s="527">
        <f t="shared" si="91"/>
        <v>39</v>
      </c>
      <c r="AO82" s="527">
        <f t="shared" si="91"/>
        <v>39</v>
      </c>
      <c r="AP82" s="527">
        <f t="shared" si="91"/>
        <v>39</v>
      </c>
      <c r="AQ82" s="527">
        <f t="shared" si="91"/>
        <v>39</v>
      </c>
      <c r="AR82" s="527">
        <f t="shared" si="91"/>
        <v>39</v>
      </c>
      <c r="AS82" s="527">
        <f t="shared" si="91"/>
        <v>39</v>
      </c>
      <c r="AT82" s="527">
        <f t="shared" si="91"/>
        <v>39</v>
      </c>
      <c r="AU82" s="527">
        <f t="shared" si="91"/>
        <v>39</v>
      </c>
      <c r="AV82" s="527">
        <f t="shared" si="91"/>
        <v>39</v>
      </c>
      <c r="AW82" s="527">
        <f t="shared" si="91"/>
        <v>39</v>
      </c>
      <c r="AX82" s="527">
        <f t="shared" ref="AX82:BY82" si="92">AX9</f>
        <v>39</v>
      </c>
      <c r="AY82" s="527">
        <f t="shared" si="92"/>
        <v>39</v>
      </c>
      <c r="AZ82" s="527">
        <f t="shared" si="92"/>
        <v>39</v>
      </c>
      <c r="BA82" s="527">
        <f t="shared" si="92"/>
        <v>39</v>
      </c>
      <c r="BB82" s="527">
        <f t="shared" si="92"/>
        <v>39</v>
      </c>
      <c r="BC82" s="527">
        <f t="shared" si="92"/>
        <v>39</v>
      </c>
      <c r="BD82" s="527">
        <f t="shared" si="92"/>
        <v>39</v>
      </c>
      <c r="BE82" s="527">
        <f t="shared" si="92"/>
        <v>39</v>
      </c>
      <c r="BF82" s="527">
        <f t="shared" si="92"/>
        <v>39</v>
      </c>
      <c r="BG82" s="527">
        <f t="shared" si="92"/>
        <v>39</v>
      </c>
      <c r="BH82" s="527">
        <f t="shared" si="92"/>
        <v>39</v>
      </c>
      <c r="BI82" s="527">
        <f t="shared" si="92"/>
        <v>39</v>
      </c>
      <c r="BJ82" s="527">
        <f t="shared" si="92"/>
        <v>39</v>
      </c>
      <c r="BK82" s="527">
        <f t="shared" si="92"/>
        <v>39</v>
      </c>
      <c r="BL82" s="527">
        <f t="shared" si="92"/>
        <v>39</v>
      </c>
      <c r="BM82" s="527">
        <f t="shared" si="92"/>
        <v>39</v>
      </c>
      <c r="BN82" s="527">
        <f t="shared" si="92"/>
        <v>39</v>
      </c>
      <c r="BO82" s="527">
        <f t="shared" si="92"/>
        <v>39</v>
      </c>
      <c r="BP82" s="527">
        <f t="shared" si="92"/>
        <v>39</v>
      </c>
      <c r="BQ82" s="527">
        <f t="shared" si="92"/>
        <v>39</v>
      </c>
      <c r="BR82" s="527">
        <f t="shared" si="92"/>
        <v>39</v>
      </c>
      <c r="BS82" s="527">
        <f t="shared" si="92"/>
        <v>39</v>
      </c>
      <c r="BT82" s="527">
        <f t="shared" si="92"/>
        <v>39</v>
      </c>
      <c r="BU82" s="527">
        <f t="shared" si="92"/>
        <v>39</v>
      </c>
      <c r="BV82" s="527">
        <f t="shared" si="92"/>
        <v>39</v>
      </c>
      <c r="BW82" s="527">
        <f t="shared" si="92"/>
        <v>39</v>
      </c>
      <c r="BX82" s="527">
        <f t="shared" si="92"/>
        <v>39</v>
      </c>
      <c r="BY82" s="527">
        <f t="shared" si="92"/>
        <v>39</v>
      </c>
    </row>
    <row r="83" spans="3:80" x14ac:dyDescent="0.3">
      <c r="C83" s="2"/>
      <c r="D83" s="2"/>
      <c r="E83" s="2"/>
      <c r="F83" s="2"/>
      <c r="G83" s="2"/>
      <c r="H83" s="2"/>
      <c r="I83" s="37"/>
      <c r="J83" s="2"/>
      <c r="K83" s="2"/>
      <c r="L83" s="2"/>
      <c r="M83" s="2"/>
      <c r="N83" s="2"/>
      <c r="O83" s="2"/>
      <c r="P83" s="10"/>
      <c r="R83" s="2"/>
      <c r="S83" s="2"/>
      <c r="T83" s="2"/>
      <c r="U83" s="2"/>
      <c r="V83" s="2"/>
      <c r="W83" s="2"/>
      <c r="X83" s="2"/>
      <c r="Y83" s="2"/>
      <c r="Z83" s="2"/>
      <c r="AA83" s="2"/>
      <c r="AB83" s="2"/>
      <c r="AC83" s="2"/>
      <c r="AD83" s="2"/>
      <c r="AE83" s="2"/>
      <c r="AF83" s="2"/>
      <c r="AG83" s="2"/>
      <c r="AH83" s="2"/>
      <c r="AI83" s="2"/>
      <c r="AJ83" s="2"/>
      <c r="AK83" s="2"/>
      <c r="AL83" s="2"/>
      <c r="AM83" s="2"/>
      <c r="AN83" s="525"/>
      <c r="AO83" s="525"/>
      <c r="AP83" s="525"/>
      <c r="AQ83" s="525"/>
      <c r="AR83" s="525"/>
      <c r="AS83" s="525"/>
      <c r="AT83" s="525"/>
      <c r="AU83" s="525"/>
      <c r="AV83" s="525"/>
      <c r="AW83" s="525"/>
      <c r="AX83" s="525"/>
      <c r="AY83" s="525"/>
      <c r="AZ83" s="525"/>
      <c r="BA83" s="525"/>
      <c r="BB83" s="525"/>
      <c r="BC83" s="525"/>
      <c r="BD83" s="525"/>
      <c r="BE83" s="525"/>
      <c r="BF83" s="525"/>
      <c r="BG83" s="525"/>
      <c r="BH83" s="525"/>
      <c r="BI83" s="525"/>
      <c r="BJ83" s="525"/>
      <c r="BK83" s="525"/>
      <c r="BL83" s="525"/>
      <c r="BM83" s="525"/>
      <c r="BN83" s="525"/>
      <c r="BO83" s="525"/>
      <c r="BP83" s="525"/>
      <c r="BQ83" s="525"/>
      <c r="BR83" s="525"/>
      <c r="BS83" s="525"/>
      <c r="BT83" s="525"/>
      <c r="BU83" s="525"/>
      <c r="BV83" s="525"/>
      <c r="BW83" s="525"/>
      <c r="BX83" s="525"/>
      <c r="BY83" s="525"/>
    </row>
    <row r="84" spans="3:80" x14ac:dyDescent="0.3">
      <c r="C84" s="2"/>
      <c r="D84" s="2"/>
      <c r="E84" s="22" t="s">
        <v>373</v>
      </c>
      <c r="F84" s="54"/>
      <c r="G84" s="54"/>
      <c r="H84" s="54"/>
      <c r="I84" s="497">
        <f t="shared" ref="I84:N84" si="93">I19/I$82</f>
        <v>179.16210842355201</v>
      </c>
      <c r="J84" s="497">
        <f t="shared" si="93"/>
        <v>181.21359664972476</v>
      </c>
      <c r="K84" s="497">
        <f t="shared" si="93"/>
        <v>184.79094624413841</v>
      </c>
      <c r="L84" s="497">
        <f t="shared" si="93"/>
        <v>188.34125124209388</v>
      </c>
      <c r="M84" s="497">
        <f t="shared" si="93"/>
        <v>191.98843667717611</v>
      </c>
      <c r="N84" s="497">
        <f t="shared" si="93"/>
        <v>195.66452918728899</v>
      </c>
      <c r="O84" s="37"/>
      <c r="P84" s="35"/>
      <c r="R84" s="497">
        <f t="shared" ref="R84:AW84" si="94">R19/R$82</f>
        <v>14.930175701962668</v>
      </c>
      <c r="S84" s="497">
        <f t="shared" si="94"/>
        <v>14.930175701962668</v>
      </c>
      <c r="T84" s="497">
        <f t="shared" si="94"/>
        <v>14.930175701962668</v>
      </c>
      <c r="U84" s="497">
        <f t="shared" si="94"/>
        <v>14.930175701962668</v>
      </c>
      <c r="V84" s="497">
        <f t="shared" si="94"/>
        <v>14.930175701962668</v>
      </c>
      <c r="W84" s="497">
        <f t="shared" si="94"/>
        <v>14.930175701962668</v>
      </c>
      <c r="X84" s="497">
        <f t="shared" si="94"/>
        <v>15.272090406324793</v>
      </c>
      <c r="Y84" s="497">
        <f t="shared" si="94"/>
        <v>15.272090406324793</v>
      </c>
      <c r="Z84" s="497">
        <f t="shared" si="94"/>
        <v>15.272090406324793</v>
      </c>
      <c r="AA84" s="497">
        <f t="shared" si="94"/>
        <v>15.272090406324793</v>
      </c>
      <c r="AB84" s="497">
        <f t="shared" si="94"/>
        <v>15.272090406324793</v>
      </c>
      <c r="AC84" s="497">
        <f t="shared" si="94"/>
        <v>15.272090406324793</v>
      </c>
      <c r="AD84" s="497">
        <f t="shared" si="94"/>
        <v>15.194733328404105</v>
      </c>
      <c r="AE84" s="497">
        <f t="shared" si="94"/>
        <v>15.194733328404105</v>
      </c>
      <c r="AF84" s="497">
        <f t="shared" si="94"/>
        <v>15.194733328404105</v>
      </c>
      <c r="AG84" s="497">
        <f t="shared" si="94"/>
        <v>15.194733328404105</v>
      </c>
      <c r="AH84" s="497">
        <f t="shared" si="94"/>
        <v>15.194733328404105</v>
      </c>
      <c r="AI84" s="497">
        <f t="shared" si="94"/>
        <v>15.194733328404105</v>
      </c>
      <c r="AJ84" s="497">
        <f t="shared" si="94"/>
        <v>15.603757712285638</v>
      </c>
      <c r="AK84" s="497">
        <f t="shared" si="94"/>
        <v>15.603757712285638</v>
      </c>
      <c r="AL84" s="497">
        <f t="shared" si="94"/>
        <v>15.603757712285638</v>
      </c>
      <c r="AM84" s="497">
        <f t="shared" si="94"/>
        <v>15.603757712285638</v>
      </c>
      <c r="AN84" s="527">
        <f t="shared" si="94"/>
        <v>15.603757712285638</v>
      </c>
      <c r="AO84" s="527">
        <f t="shared" si="94"/>
        <v>15.603757712285638</v>
      </c>
      <c r="AP84" s="527">
        <f t="shared" si="94"/>
        <v>15.457472243534747</v>
      </c>
      <c r="AQ84" s="527">
        <f t="shared" si="94"/>
        <v>15.457472243534747</v>
      </c>
      <c r="AR84" s="527">
        <f t="shared" si="94"/>
        <v>15.457472243534747</v>
      </c>
      <c r="AS84" s="527">
        <f t="shared" si="94"/>
        <v>15.457472243534747</v>
      </c>
      <c r="AT84" s="527">
        <f t="shared" si="94"/>
        <v>15.457472243534747</v>
      </c>
      <c r="AU84" s="527">
        <f t="shared" si="94"/>
        <v>15.457472243534747</v>
      </c>
      <c r="AV84" s="527">
        <f t="shared" si="94"/>
        <v>15.932736296814241</v>
      </c>
      <c r="AW84" s="527">
        <f t="shared" si="94"/>
        <v>15.932736296814241</v>
      </c>
      <c r="AX84" s="527">
        <f t="shared" ref="AX84:BY84" si="95">AX19/AX$82</f>
        <v>15.932736296814241</v>
      </c>
      <c r="AY84" s="527">
        <f t="shared" si="95"/>
        <v>15.932736296814241</v>
      </c>
      <c r="AZ84" s="527">
        <f t="shared" si="95"/>
        <v>15.932736296814241</v>
      </c>
      <c r="BA84" s="527">
        <f t="shared" si="95"/>
        <v>15.932736296814241</v>
      </c>
      <c r="BB84" s="527">
        <f t="shared" si="95"/>
        <v>15.728515914227692</v>
      </c>
      <c r="BC84" s="527">
        <f t="shared" si="95"/>
        <v>15.728515914227692</v>
      </c>
      <c r="BD84" s="527">
        <f t="shared" si="95"/>
        <v>15.728515914227692</v>
      </c>
      <c r="BE84" s="527">
        <f t="shared" si="95"/>
        <v>15.728515914227692</v>
      </c>
      <c r="BF84" s="527">
        <f t="shared" si="95"/>
        <v>15.728515914227692</v>
      </c>
      <c r="BG84" s="527">
        <f t="shared" si="95"/>
        <v>15.728515914227692</v>
      </c>
      <c r="BH84" s="527">
        <f t="shared" si="95"/>
        <v>16.269556865301656</v>
      </c>
      <c r="BI84" s="527">
        <f t="shared" si="95"/>
        <v>16.269556865301656</v>
      </c>
      <c r="BJ84" s="527">
        <f t="shared" si="95"/>
        <v>16.269556865301656</v>
      </c>
      <c r="BK84" s="527">
        <f t="shared" si="95"/>
        <v>16.269556865301656</v>
      </c>
      <c r="BL84" s="527">
        <f t="shared" si="95"/>
        <v>16.269556865301656</v>
      </c>
      <c r="BM84" s="527">
        <f t="shared" si="95"/>
        <v>16.269556865301656</v>
      </c>
      <c r="BN84" s="527">
        <f t="shared" si="95"/>
        <v>16.002571752758303</v>
      </c>
      <c r="BO84" s="527">
        <f t="shared" si="95"/>
        <v>16.002571752758303</v>
      </c>
      <c r="BP84" s="527">
        <f t="shared" si="95"/>
        <v>16.002571752758303</v>
      </c>
      <c r="BQ84" s="527">
        <f t="shared" si="95"/>
        <v>16.002571752758303</v>
      </c>
      <c r="BR84" s="527">
        <f t="shared" si="95"/>
        <v>16.002571752758303</v>
      </c>
      <c r="BS84" s="527">
        <f t="shared" si="95"/>
        <v>16.002571752758303</v>
      </c>
      <c r="BT84" s="527">
        <f t="shared" si="95"/>
        <v>16.60818311178987</v>
      </c>
      <c r="BU84" s="527">
        <f t="shared" si="95"/>
        <v>16.60818311178987</v>
      </c>
      <c r="BV84" s="527">
        <f t="shared" si="95"/>
        <v>16.60818311178987</v>
      </c>
      <c r="BW84" s="527">
        <f t="shared" si="95"/>
        <v>16.60818311178987</v>
      </c>
      <c r="BX84" s="527">
        <f t="shared" si="95"/>
        <v>16.60818311178987</v>
      </c>
      <c r="BY84" s="527">
        <f t="shared" si="95"/>
        <v>16.60818311178987</v>
      </c>
    </row>
    <row r="85" spans="3:80" x14ac:dyDescent="0.3">
      <c r="C85" s="2"/>
      <c r="D85" s="2"/>
      <c r="E85" s="2"/>
      <c r="F85" s="37"/>
      <c r="G85" s="37"/>
      <c r="H85" s="37"/>
      <c r="I85" s="37"/>
      <c r="J85" s="37"/>
      <c r="K85" s="37"/>
      <c r="L85" s="37"/>
      <c r="M85" s="37"/>
      <c r="N85" s="37"/>
      <c r="O85" s="37"/>
      <c r="P85" s="35"/>
      <c r="R85" s="37"/>
      <c r="S85" s="37"/>
      <c r="T85" s="37"/>
      <c r="U85" s="37"/>
      <c r="V85" s="37"/>
      <c r="W85" s="37"/>
      <c r="X85" s="37"/>
      <c r="Y85" s="37"/>
      <c r="Z85" s="37"/>
      <c r="AA85" s="37"/>
      <c r="AB85" s="37"/>
      <c r="AC85" s="37"/>
      <c r="AD85" s="37"/>
      <c r="AE85" s="37"/>
      <c r="AF85" s="37"/>
      <c r="AG85" s="37"/>
      <c r="AH85" s="37"/>
      <c r="AI85" s="37"/>
      <c r="AJ85" s="37"/>
      <c r="AK85" s="37"/>
      <c r="AL85" s="37"/>
      <c r="AM85" s="37"/>
      <c r="AN85" s="529"/>
      <c r="AO85" s="529"/>
      <c r="AP85" s="529"/>
      <c r="AQ85" s="529"/>
      <c r="AR85" s="529"/>
      <c r="AS85" s="529"/>
      <c r="AT85" s="529"/>
      <c r="AU85" s="529"/>
      <c r="AV85" s="529"/>
      <c r="AW85" s="529"/>
      <c r="AX85" s="529"/>
      <c r="AY85" s="529"/>
      <c r="AZ85" s="529"/>
      <c r="BA85" s="529"/>
      <c r="BB85" s="529"/>
      <c r="BC85" s="529"/>
      <c r="BD85" s="529"/>
      <c r="BE85" s="529"/>
      <c r="BF85" s="529"/>
      <c r="BG85" s="529"/>
      <c r="BH85" s="529"/>
      <c r="BI85" s="529"/>
      <c r="BJ85" s="529"/>
      <c r="BK85" s="529"/>
      <c r="BL85" s="529"/>
      <c r="BM85" s="529"/>
      <c r="BN85" s="529"/>
      <c r="BO85" s="529"/>
      <c r="BP85" s="529"/>
      <c r="BQ85" s="529"/>
      <c r="BR85" s="529"/>
      <c r="BS85" s="529"/>
      <c r="BT85" s="529"/>
      <c r="BU85" s="529"/>
      <c r="BV85" s="529"/>
      <c r="BW85" s="529"/>
      <c r="BX85" s="529"/>
      <c r="BY85" s="529"/>
    </row>
    <row r="86" spans="3:80" x14ac:dyDescent="0.3">
      <c r="C86" s="2"/>
      <c r="D86" s="2"/>
      <c r="E86" s="17" t="s">
        <v>22</v>
      </c>
      <c r="F86" s="37"/>
      <c r="G86" s="37"/>
      <c r="H86" s="37"/>
      <c r="I86" s="37"/>
      <c r="J86" s="37"/>
      <c r="K86" s="37"/>
      <c r="L86" s="37"/>
      <c r="M86" s="37"/>
      <c r="N86" s="37"/>
      <c r="O86" s="37"/>
      <c r="P86" s="35"/>
      <c r="R86" s="37"/>
      <c r="S86" s="37"/>
      <c r="T86" s="37"/>
      <c r="U86" s="37"/>
      <c r="V86" s="37"/>
      <c r="W86" s="37"/>
      <c r="X86" s="37"/>
      <c r="Y86" s="37"/>
      <c r="Z86" s="37"/>
      <c r="AA86" s="37"/>
      <c r="AB86" s="37"/>
      <c r="AC86" s="37"/>
      <c r="AD86" s="37"/>
      <c r="AE86" s="37"/>
      <c r="AF86" s="37"/>
      <c r="AG86" s="37"/>
      <c r="AH86" s="37"/>
      <c r="AI86" s="37"/>
      <c r="AJ86" s="37"/>
      <c r="AK86" s="37"/>
      <c r="AL86" s="37"/>
      <c r="AM86" s="37"/>
      <c r="AN86" s="529"/>
      <c r="AO86" s="529"/>
      <c r="AP86" s="529"/>
      <c r="AQ86" s="529"/>
      <c r="AR86" s="529"/>
      <c r="AS86" s="529"/>
      <c r="AT86" s="529"/>
      <c r="AU86" s="529"/>
      <c r="AV86" s="529"/>
      <c r="AW86" s="529"/>
      <c r="AX86" s="529"/>
      <c r="AY86" s="529"/>
      <c r="AZ86" s="529"/>
      <c r="BA86" s="529"/>
      <c r="BB86" s="529"/>
      <c r="BC86" s="529"/>
      <c r="BD86" s="529"/>
      <c r="BE86" s="529"/>
      <c r="BF86" s="529"/>
      <c r="BG86" s="529"/>
      <c r="BH86" s="529"/>
      <c r="BI86" s="529"/>
      <c r="BJ86" s="529"/>
      <c r="BK86" s="529"/>
      <c r="BL86" s="529"/>
      <c r="BM86" s="529"/>
      <c r="BN86" s="529"/>
      <c r="BO86" s="529"/>
      <c r="BP86" s="529"/>
      <c r="BQ86" s="529"/>
      <c r="BR86" s="529"/>
      <c r="BS86" s="529"/>
      <c r="BT86" s="529"/>
      <c r="BU86" s="529"/>
      <c r="BV86" s="529"/>
      <c r="BW86" s="529"/>
      <c r="BX86" s="529"/>
      <c r="BY86" s="529"/>
    </row>
    <row r="87" spans="3:80" x14ac:dyDescent="0.3">
      <c r="C87" s="2"/>
      <c r="D87" s="2"/>
      <c r="E87" s="4" t="s">
        <v>388</v>
      </c>
      <c r="F87" s="5"/>
      <c r="G87" s="5"/>
      <c r="H87" s="5"/>
      <c r="I87" s="498">
        <f t="shared" ref="I87:N92" si="96">I22/I$82</f>
        <v>135351.14516411492</v>
      </c>
      <c r="J87" s="498">
        <f t="shared" si="96"/>
        <v>142005.22862365001</v>
      </c>
      <c r="K87" s="498">
        <f t="shared" si="96"/>
        <v>150063.15423212826</v>
      </c>
      <c r="L87" s="498">
        <f t="shared" si="96"/>
        <v>158309.90470780255</v>
      </c>
      <c r="M87" s="498">
        <f t="shared" si="96"/>
        <v>166815.48039005988</v>
      </c>
      <c r="N87" s="498">
        <f t="shared" si="96"/>
        <v>175744.34382385778</v>
      </c>
      <c r="O87" s="57"/>
      <c r="P87" s="55">
        <f>IFERROR(((N87/I87)^(1/5))-1,0)</f>
        <v>5.3619705258972861E-2</v>
      </c>
      <c r="R87" s="498">
        <f t="shared" ref="R87:AW87" si="97">R22/R$82</f>
        <v>11699.800970490218</v>
      </c>
      <c r="S87" s="498">
        <f t="shared" si="97"/>
        <v>11699.800970490218</v>
      </c>
      <c r="T87" s="498">
        <f t="shared" si="97"/>
        <v>11699.800970490218</v>
      </c>
      <c r="U87" s="498">
        <f t="shared" si="97"/>
        <v>11699.800970490218</v>
      </c>
      <c r="V87" s="498">
        <f t="shared" si="97"/>
        <v>11699.800970490218</v>
      </c>
      <c r="W87" s="498">
        <f t="shared" si="97"/>
        <v>11699.800970490218</v>
      </c>
      <c r="X87" s="498">
        <f t="shared" si="97"/>
        <v>11967.737133451446</v>
      </c>
      <c r="Y87" s="498">
        <f t="shared" si="97"/>
        <v>11967.737133451446</v>
      </c>
      <c r="Z87" s="498">
        <f t="shared" si="97"/>
        <v>11967.737133451446</v>
      </c>
      <c r="AA87" s="498">
        <f t="shared" si="97"/>
        <v>11967.737133451446</v>
      </c>
      <c r="AB87" s="498">
        <f t="shared" si="97"/>
        <v>11967.737133451446</v>
      </c>
      <c r="AC87" s="498">
        <f t="shared" si="97"/>
        <v>11967.737133451446</v>
      </c>
      <c r="AD87" s="498">
        <f t="shared" si="97"/>
        <v>12339.184669598997</v>
      </c>
      <c r="AE87" s="498">
        <f t="shared" si="97"/>
        <v>12339.184669598997</v>
      </c>
      <c r="AF87" s="498">
        <f t="shared" si="97"/>
        <v>12339.184669598997</v>
      </c>
      <c r="AG87" s="498">
        <f t="shared" si="97"/>
        <v>12339.184669598997</v>
      </c>
      <c r="AH87" s="498">
        <f t="shared" si="97"/>
        <v>12339.184669598997</v>
      </c>
      <c r="AI87" s="498">
        <f t="shared" si="97"/>
        <v>12339.184669598997</v>
      </c>
      <c r="AJ87" s="498">
        <f t="shared" si="97"/>
        <v>12671.34103575572</v>
      </c>
      <c r="AK87" s="498">
        <f t="shared" si="97"/>
        <v>12671.34103575572</v>
      </c>
      <c r="AL87" s="498">
        <f t="shared" si="97"/>
        <v>12671.34103575572</v>
      </c>
      <c r="AM87" s="498">
        <f t="shared" si="97"/>
        <v>12671.34103575572</v>
      </c>
      <c r="AN87" s="530">
        <f t="shared" si="97"/>
        <v>12671.34103575572</v>
      </c>
      <c r="AO87" s="530">
        <f t="shared" si="97"/>
        <v>12671.34103575572</v>
      </c>
      <c r="AP87" s="530">
        <f t="shared" si="97"/>
        <v>12992.750880432573</v>
      </c>
      <c r="AQ87" s="530">
        <f t="shared" si="97"/>
        <v>12992.750880432573</v>
      </c>
      <c r="AR87" s="530">
        <f t="shared" si="97"/>
        <v>12992.750880432573</v>
      </c>
      <c r="AS87" s="530">
        <f t="shared" si="97"/>
        <v>12992.750880432573</v>
      </c>
      <c r="AT87" s="530">
        <f t="shared" si="97"/>
        <v>12992.750880432573</v>
      </c>
      <c r="AU87" s="530">
        <f t="shared" si="97"/>
        <v>12992.750880432573</v>
      </c>
      <c r="AV87" s="530">
        <f t="shared" si="97"/>
        <v>13392.233237534516</v>
      </c>
      <c r="AW87" s="530">
        <f t="shared" si="97"/>
        <v>13392.233237534516</v>
      </c>
      <c r="AX87" s="530">
        <f t="shared" ref="AX87:BY87" si="98">AX22/AX$82</f>
        <v>13392.233237534516</v>
      </c>
      <c r="AY87" s="530">
        <f t="shared" si="98"/>
        <v>13392.233237534516</v>
      </c>
      <c r="AZ87" s="530">
        <f t="shared" si="98"/>
        <v>13392.233237534516</v>
      </c>
      <c r="BA87" s="530">
        <f t="shared" si="98"/>
        <v>13392.233237534516</v>
      </c>
      <c r="BB87" s="530">
        <f t="shared" si="98"/>
        <v>13666.239402044737</v>
      </c>
      <c r="BC87" s="530">
        <f t="shared" si="98"/>
        <v>13666.239402044737</v>
      </c>
      <c r="BD87" s="530">
        <f t="shared" si="98"/>
        <v>13666.239402044737</v>
      </c>
      <c r="BE87" s="530">
        <f t="shared" si="98"/>
        <v>13666.239402044737</v>
      </c>
      <c r="BF87" s="530">
        <f t="shared" si="98"/>
        <v>13666.239402044737</v>
      </c>
      <c r="BG87" s="530">
        <f t="shared" si="98"/>
        <v>13666.239402044737</v>
      </c>
      <c r="BH87" s="530">
        <f t="shared" si="98"/>
        <v>14136.340662965249</v>
      </c>
      <c r="BI87" s="530">
        <f t="shared" si="98"/>
        <v>14136.340662965249</v>
      </c>
      <c r="BJ87" s="530">
        <f t="shared" si="98"/>
        <v>14136.340662965249</v>
      </c>
      <c r="BK87" s="530">
        <f t="shared" si="98"/>
        <v>14136.340662965249</v>
      </c>
      <c r="BL87" s="530">
        <f t="shared" si="98"/>
        <v>14136.340662965249</v>
      </c>
      <c r="BM87" s="530">
        <f t="shared" si="98"/>
        <v>14136.340662965249</v>
      </c>
      <c r="BN87" s="530">
        <f t="shared" si="98"/>
        <v>14373.384301508899</v>
      </c>
      <c r="BO87" s="530">
        <f t="shared" si="98"/>
        <v>14373.384301508899</v>
      </c>
      <c r="BP87" s="530">
        <f t="shared" si="98"/>
        <v>14373.384301508899</v>
      </c>
      <c r="BQ87" s="530">
        <f t="shared" si="98"/>
        <v>14373.384301508899</v>
      </c>
      <c r="BR87" s="530">
        <f t="shared" si="98"/>
        <v>14373.384301508899</v>
      </c>
      <c r="BS87" s="530">
        <f t="shared" si="98"/>
        <v>14373.384301508899</v>
      </c>
      <c r="BT87" s="530">
        <f t="shared" si="98"/>
        <v>14917.339669134068</v>
      </c>
      <c r="BU87" s="530">
        <f t="shared" si="98"/>
        <v>14917.339669134068</v>
      </c>
      <c r="BV87" s="530">
        <f t="shared" si="98"/>
        <v>14917.339669134068</v>
      </c>
      <c r="BW87" s="530">
        <f t="shared" si="98"/>
        <v>14917.339669134068</v>
      </c>
      <c r="BX87" s="530">
        <f t="shared" si="98"/>
        <v>14917.339669134068</v>
      </c>
      <c r="BY87" s="530">
        <f t="shared" si="98"/>
        <v>14917.339669134068</v>
      </c>
      <c r="CB87" s="8"/>
    </row>
    <row r="88" spans="3:80" x14ac:dyDescent="0.3">
      <c r="C88" s="2"/>
      <c r="D88" s="2"/>
      <c r="E88" s="2" t="s">
        <v>387</v>
      </c>
      <c r="F88" s="54"/>
      <c r="G88" s="54"/>
      <c r="H88" s="54"/>
      <c r="I88" s="497">
        <f t="shared" si="96"/>
        <v>-38989.237005948125</v>
      </c>
      <c r="J88" s="497">
        <f t="shared" si="96"/>
        <v>-39771.36127396841</v>
      </c>
      <c r="K88" s="497">
        <f t="shared" si="96"/>
        <v>-40905.642788129218</v>
      </c>
      <c r="L88" s="497">
        <f t="shared" si="96"/>
        <v>-42054.522190379692</v>
      </c>
      <c r="M88" s="497">
        <f t="shared" si="96"/>
        <v>-43246.305311565484</v>
      </c>
      <c r="N88" s="497">
        <f t="shared" si="96"/>
        <v>-44466.688501193756</v>
      </c>
      <c r="O88" s="37"/>
      <c r="P88" s="50">
        <f t="shared" ref="P88:P93" si="99">IFERROR(((N88/I88)^(1/5))-1,0)</f>
        <v>2.6639595963647844E-2</v>
      </c>
      <c r="R88" s="497">
        <f t="shared" ref="R88:AW88" si="100">R23/R$82</f>
        <v>-3276.7597062506843</v>
      </c>
      <c r="S88" s="497">
        <f t="shared" si="100"/>
        <v>-3276.7597062506843</v>
      </c>
      <c r="T88" s="497">
        <f t="shared" si="100"/>
        <v>-3276.7597062506843</v>
      </c>
      <c r="U88" s="497">
        <f t="shared" si="100"/>
        <v>-3276.7597062506843</v>
      </c>
      <c r="V88" s="497">
        <f t="shared" si="100"/>
        <v>-3276.7597062506843</v>
      </c>
      <c r="W88" s="497">
        <f t="shared" si="100"/>
        <v>-3276.7597062506843</v>
      </c>
      <c r="X88" s="497">
        <f t="shared" si="100"/>
        <v>-3351.8005060773826</v>
      </c>
      <c r="Y88" s="497">
        <f t="shared" si="100"/>
        <v>-3351.8005060773826</v>
      </c>
      <c r="Z88" s="497">
        <f t="shared" si="100"/>
        <v>-3351.8005060773826</v>
      </c>
      <c r="AA88" s="497">
        <f t="shared" si="100"/>
        <v>-3351.8005060773826</v>
      </c>
      <c r="AB88" s="497">
        <f t="shared" si="100"/>
        <v>-3351.8005060773826</v>
      </c>
      <c r="AC88" s="497">
        <f t="shared" si="100"/>
        <v>-3351.8005060773826</v>
      </c>
      <c r="AD88" s="497">
        <f t="shared" si="100"/>
        <v>-3363.5323939053415</v>
      </c>
      <c r="AE88" s="497">
        <f t="shared" si="100"/>
        <v>-3363.5323939053415</v>
      </c>
      <c r="AF88" s="497">
        <f t="shared" si="100"/>
        <v>-3363.5323939053415</v>
      </c>
      <c r="AG88" s="497">
        <f t="shared" si="100"/>
        <v>-3363.5323939053415</v>
      </c>
      <c r="AH88" s="497">
        <f t="shared" si="100"/>
        <v>-3363.5323939053415</v>
      </c>
      <c r="AI88" s="497">
        <f t="shared" si="100"/>
        <v>-3363.5323939053415</v>
      </c>
      <c r="AJ88" s="497">
        <f t="shared" si="100"/>
        <v>-3454.0747374495304</v>
      </c>
      <c r="AK88" s="497">
        <f t="shared" si="100"/>
        <v>-3454.0747374495304</v>
      </c>
      <c r="AL88" s="497">
        <f t="shared" si="100"/>
        <v>-3454.0747374495304</v>
      </c>
      <c r="AM88" s="497">
        <f t="shared" si="100"/>
        <v>-3454.0747374495304</v>
      </c>
      <c r="AN88" s="527">
        <f t="shared" si="100"/>
        <v>-3454.0747374495304</v>
      </c>
      <c r="AO88" s="527">
        <f t="shared" si="100"/>
        <v>-3454.0747374495304</v>
      </c>
      <c r="AP88" s="527">
        <f t="shared" si="100"/>
        <v>-3451.4829076787164</v>
      </c>
      <c r="AQ88" s="527">
        <f t="shared" si="100"/>
        <v>-3451.4829076787164</v>
      </c>
      <c r="AR88" s="527">
        <f t="shared" si="100"/>
        <v>-3451.4829076787164</v>
      </c>
      <c r="AS88" s="527">
        <f t="shared" si="100"/>
        <v>-3451.4829076787164</v>
      </c>
      <c r="AT88" s="527">
        <f t="shared" si="100"/>
        <v>-3451.4829076787164</v>
      </c>
      <c r="AU88" s="527">
        <f t="shared" si="100"/>
        <v>-3451.4829076787164</v>
      </c>
      <c r="AV88" s="527">
        <f t="shared" si="100"/>
        <v>-3557.6041240512309</v>
      </c>
      <c r="AW88" s="527">
        <f t="shared" si="100"/>
        <v>-3557.6041240512309</v>
      </c>
      <c r="AX88" s="527">
        <f t="shared" ref="AX88:BY88" si="101">AX23/AX$82</f>
        <v>-3557.6041240512309</v>
      </c>
      <c r="AY88" s="527">
        <f t="shared" si="101"/>
        <v>-3557.6041240512309</v>
      </c>
      <c r="AZ88" s="527">
        <f t="shared" si="101"/>
        <v>-3557.6041240512309</v>
      </c>
      <c r="BA88" s="527">
        <f t="shared" si="101"/>
        <v>-3557.6041240512309</v>
      </c>
      <c r="BB88" s="527">
        <f t="shared" si="101"/>
        <v>-3542.9227566879322</v>
      </c>
      <c r="BC88" s="527">
        <f t="shared" si="101"/>
        <v>-3542.9227566879322</v>
      </c>
      <c r="BD88" s="527">
        <f t="shared" si="101"/>
        <v>-3542.9227566879322</v>
      </c>
      <c r="BE88" s="527">
        <f t="shared" si="101"/>
        <v>-3542.9227566879322</v>
      </c>
      <c r="BF88" s="527">
        <f t="shared" si="101"/>
        <v>-3542.9227566879322</v>
      </c>
      <c r="BG88" s="527">
        <f t="shared" si="101"/>
        <v>-3542.9227566879322</v>
      </c>
      <c r="BH88" s="527">
        <f t="shared" si="101"/>
        <v>-3664.794795239648</v>
      </c>
      <c r="BI88" s="527">
        <f t="shared" si="101"/>
        <v>-3664.794795239648</v>
      </c>
      <c r="BJ88" s="527">
        <f t="shared" si="101"/>
        <v>-3664.794795239648</v>
      </c>
      <c r="BK88" s="527">
        <f t="shared" si="101"/>
        <v>-3664.794795239648</v>
      </c>
      <c r="BL88" s="527">
        <f t="shared" si="101"/>
        <v>-3664.794795239648</v>
      </c>
      <c r="BM88" s="527">
        <f t="shared" si="101"/>
        <v>-3664.794795239648</v>
      </c>
      <c r="BN88" s="527">
        <f t="shared" si="101"/>
        <v>-3636.7418065171328</v>
      </c>
      <c r="BO88" s="527">
        <f t="shared" si="101"/>
        <v>-3636.7418065171328</v>
      </c>
      <c r="BP88" s="527">
        <f t="shared" si="101"/>
        <v>-3636.7418065171328</v>
      </c>
      <c r="BQ88" s="527">
        <f t="shared" si="101"/>
        <v>-3636.7418065171328</v>
      </c>
      <c r="BR88" s="527">
        <f t="shared" si="101"/>
        <v>-3636.7418065171328</v>
      </c>
      <c r="BS88" s="527">
        <f t="shared" si="101"/>
        <v>-3636.7418065171328</v>
      </c>
      <c r="BT88" s="527">
        <f t="shared" si="101"/>
        <v>-3774.3729436818276</v>
      </c>
      <c r="BU88" s="527">
        <f t="shared" si="101"/>
        <v>-3774.3729436818276</v>
      </c>
      <c r="BV88" s="527">
        <f t="shared" si="101"/>
        <v>-3774.3729436818276</v>
      </c>
      <c r="BW88" s="527">
        <f t="shared" si="101"/>
        <v>-3774.3729436818276</v>
      </c>
      <c r="BX88" s="527">
        <f t="shared" si="101"/>
        <v>-3774.3729436818276</v>
      </c>
      <c r="BY88" s="527">
        <f t="shared" si="101"/>
        <v>-3774.3729436818276</v>
      </c>
      <c r="CB88" s="8"/>
    </row>
    <row r="89" spans="3:80" x14ac:dyDescent="0.3">
      <c r="C89" s="2"/>
      <c r="D89" s="2"/>
      <c r="E89" s="2" t="s">
        <v>386</v>
      </c>
      <c r="F89" s="54"/>
      <c r="G89" s="54"/>
      <c r="H89" s="54"/>
      <c r="I89" s="497">
        <f t="shared" si="96"/>
        <v>-7629.6332695628516</v>
      </c>
      <c r="J89" s="497">
        <f t="shared" si="96"/>
        <v>-7871.3359874057796</v>
      </c>
      <c r="K89" s="497">
        <f t="shared" si="96"/>
        <v>-8187.2590426667239</v>
      </c>
      <c r="L89" s="497">
        <f t="shared" si="96"/>
        <v>-8511.4482963240371</v>
      </c>
      <c r="M89" s="497">
        <f t="shared" si="96"/>
        <v>-8849.7959651589081</v>
      </c>
      <c r="N89" s="497">
        <f t="shared" si="96"/>
        <v>-9199.6320961495003</v>
      </c>
      <c r="O89" s="37"/>
      <c r="P89" s="50">
        <f t="shared" si="99"/>
        <v>3.8133867061209026E-2</v>
      </c>
      <c r="R89" s="497">
        <f t="shared" ref="R89:AW89" si="102">R24/R$82</f>
        <v>-648.51882791284243</v>
      </c>
      <c r="S89" s="497">
        <f t="shared" si="102"/>
        <v>-648.51882791284243</v>
      </c>
      <c r="T89" s="497">
        <f t="shared" si="102"/>
        <v>-648.51882791284243</v>
      </c>
      <c r="U89" s="497">
        <f t="shared" si="102"/>
        <v>-648.51882791284243</v>
      </c>
      <c r="V89" s="497">
        <f t="shared" si="102"/>
        <v>-648.51882791284243</v>
      </c>
      <c r="W89" s="497">
        <f t="shared" si="102"/>
        <v>-648.51882791284243</v>
      </c>
      <c r="X89" s="497">
        <f t="shared" si="102"/>
        <v>-663.37050332145395</v>
      </c>
      <c r="Y89" s="497">
        <f t="shared" si="102"/>
        <v>-663.37050332145395</v>
      </c>
      <c r="Z89" s="497">
        <f t="shared" si="102"/>
        <v>-663.37050332145395</v>
      </c>
      <c r="AA89" s="497">
        <f t="shared" si="102"/>
        <v>-663.37050332145395</v>
      </c>
      <c r="AB89" s="497">
        <f t="shared" si="102"/>
        <v>-663.37050332145395</v>
      </c>
      <c r="AC89" s="497">
        <f t="shared" si="102"/>
        <v>-663.37050332145395</v>
      </c>
      <c r="AD89" s="497">
        <f t="shared" si="102"/>
        <v>-673.21056779226262</v>
      </c>
      <c r="AE89" s="497">
        <f t="shared" si="102"/>
        <v>-673.21056779226262</v>
      </c>
      <c r="AF89" s="497">
        <f t="shared" si="102"/>
        <v>-673.21056779226262</v>
      </c>
      <c r="AG89" s="497">
        <f t="shared" si="102"/>
        <v>-673.21056779226262</v>
      </c>
      <c r="AH89" s="497">
        <f t="shared" si="102"/>
        <v>-673.21056779226262</v>
      </c>
      <c r="AI89" s="497">
        <f t="shared" si="102"/>
        <v>-673.21056779226262</v>
      </c>
      <c r="AJ89" s="497">
        <f t="shared" si="102"/>
        <v>-691.33260598552431</v>
      </c>
      <c r="AK89" s="497">
        <f t="shared" si="102"/>
        <v>-691.33260598552431</v>
      </c>
      <c r="AL89" s="497">
        <f t="shared" si="102"/>
        <v>-691.33260598552431</v>
      </c>
      <c r="AM89" s="497">
        <f t="shared" si="102"/>
        <v>-691.33260598552431</v>
      </c>
      <c r="AN89" s="527">
        <f t="shared" si="102"/>
        <v>-691.33260598552431</v>
      </c>
      <c r="AO89" s="527">
        <f t="shared" si="102"/>
        <v>-691.33260598552431</v>
      </c>
      <c r="AP89" s="527">
        <f t="shared" si="102"/>
        <v>-698.5483792055494</v>
      </c>
      <c r="AQ89" s="527">
        <f t="shared" si="102"/>
        <v>-698.5483792055494</v>
      </c>
      <c r="AR89" s="527">
        <f t="shared" si="102"/>
        <v>-698.5483792055494</v>
      </c>
      <c r="AS89" s="527">
        <f t="shared" si="102"/>
        <v>-698.5483792055494</v>
      </c>
      <c r="AT89" s="527">
        <f t="shared" si="102"/>
        <v>-698.5483792055494</v>
      </c>
      <c r="AU89" s="527">
        <f t="shared" si="102"/>
        <v>-698.5483792055494</v>
      </c>
      <c r="AV89" s="527">
        <f t="shared" si="102"/>
        <v>-720.02633684845637</v>
      </c>
      <c r="AW89" s="527">
        <f t="shared" si="102"/>
        <v>-720.02633684845637</v>
      </c>
      <c r="AX89" s="527">
        <f t="shared" ref="AX89:BY89" si="103">AX24/AX$82</f>
        <v>-720.02633684845637</v>
      </c>
      <c r="AY89" s="527">
        <f t="shared" si="103"/>
        <v>-720.02633684845637</v>
      </c>
      <c r="AZ89" s="527">
        <f t="shared" si="103"/>
        <v>-720.02633684845637</v>
      </c>
      <c r="BA89" s="527">
        <f t="shared" si="103"/>
        <v>-720.02633684845637</v>
      </c>
      <c r="BB89" s="527">
        <f t="shared" si="103"/>
        <v>-725.01323040471175</v>
      </c>
      <c r="BC89" s="527">
        <f t="shared" si="103"/>
        <v>-725.01323040471175</v>
      </c>
      <c r="BD89" s="527">
        <f t="shared" si="103"/>
        <v>-725.01323040471175</v>
      </c>
      <c r="BE89" s="527">
        <f t="shared" si="103"/>
        <v>-725.01323040471175</v>
      </c>
      <c r="BF89" s="527">
        <f t="shared" si="103"/>
        <v>-725.01323040471175</v>
      </c>
      <c r="BG89" s="527">
        <f t="shared" si="103"/>
        <v>-725.01323040471175</v>
      </c>
      <c r="BH89" s="527">
        <f t="shared" si="103"/>
        <v>-749.95276378843926</v>
      </c>
      <c r="BI89" s="527">
        <f t="shared" si="103"/>
        <v>-749.95276378843926</v>
      </c>
      <c r="BJ89" s="527">
        <f t="shared" si="103"/>
        <v>-749.95276378843926</v>
      </c>
      <c r="BK89" s="527">
        <f t="shared" si="103"/>
        <v>-749.95276378843926</v>
      </c>
      <c r="BL89" s="527">
        <f t="shared" si="103"/>
        <v>-749.95276378843926</v>
      </c>
      <c r="BM89" s="527">
        <f t="shared" si="103"/>
        <v>-749.95276378843926</v>
      </c>
      <c r="BN89" s="527">
        <f t="shared" si="103"/>
        <v>-752.39888051806565</v>
      </c>
      <c r="BO89" s="527">
        <f t="shared" si="103"/>
        <v>-752.39888051806565</v>
      </c>
      <c r="BP89" s="527">
        <f t="shared" si="103"/>
        <v>-752.39888051806565</v>
      </c>
      <c r="BQ89" s="527">
        <f t="shared" si="103"/>
        <v>-752.39888051806565</v>
      </c>
      <c r="BR89" s="527">
        <f t="shared" si="103"/>
        <v>-752.39888051806565</v>
      </c>
      <c r="BS89" s="527">
        <f t="shared" si="103"/>
        <v>-752.39888051806565</v>
      </c>
      <c r="BT89" s="527">
        <f t="shared" si="103"/>
        <v>-780.87313550685099</v>
      </c>
      <c r="BU89" s="527">
        <f t="shared" si="103"/>
        <v>-780.87313550685099</v>
      </c>
      <c r="BV89" s="527">
        <f t="shared" si="103"/>
        <v>-780.87313550685099</v>
      </c>
      <c r="BW89" s="527">
        <f t="shared" si="103"/>
        <v>-780.87313550685099</v>
      </c>
      <c r="BX89" s="527">
        <f t="shared" si="103"/>
        <v>-780.87313550685099</v>
      </c>
      <c r="BY89" s="527">
        <f t="shared" si="103"/>
        <v>-780.87313550685099</v>
      </c>
      <c r="CB89" s="8"/>
    </row>
    <row r="90" spans="3:80" x14ac:dyDescent="0.3">
      <c r="C90" s="2"/>
      <c r="D90" s="2"/>
      <c r="E90" s="4" t="s">
        <v>385</v>
      </c>
      <c r="F90" s="5"/>
      <c r="G90" s="5"/>
      <c r="H90" s="5"/>
      <c r="I90" s="498">
        <f t="shared" si="96"/>
        <v>71911.109487179492</v>
      </c>
      <c r="J90" s="498">
        <f t="shared" si="96"/>
        <v>94362.531362275797</v>
      </c>
      <c r="K90" s="498">
        <f t="shared" si="96"/>
        <v>100970.25240133236</v>
      </c>
      <c r="L90" s="498">
        <f t="shared" si="96"/>
        <v>107743.93422109883</v>
      </c>
      <c r="M90" s="498">
        <f t="shared" si="96"/>
        <v>114719.37911333553</v>
      </c>
      <c r="N90" s="498">
        <f t="shared" si="96"/>
        <v>122078.02322651453</v>
      </c>
      <c r="O90" s="57"/>
      <c r="P90" s="55">
        <f t="shared" si="99"/>
        <v>0.11165058222003843</v>
      </c>
      <c r="R90" s="498">
        <f t="shared" ref="R90:AW90" si="104">R25/R$82</f>
        <v>7774.5224363266907</v>
      </c>
      <c r="S90" s="498">
        <f t="shared" si="104"/>
        <v>7774.5224363266907</v>
      </c>
      <c r="T90" s="498">
        <f t="shared" si="104"/>
        <v>7774.5224363266907</v>
      </c>
      <c r="U90" s="498">
        <f t="shared" si="104"/>
        <v>7774.5224363266907</v>
      </c>
      <c r="V90" s="498">
        <f t="shared" si="104"/>
        <v>7774.5224363266907</v>
      </c>
      <c r="W90" s="498">
        <f t="shared" si="104"/>
        <v>7774.5224363266907</v>
      </c>
      <c r="X90" s="498">
        <f t="shared" si="104"/>
        <v>7952.5661240526097</v>
      </c>
      <c r="Y90" s="498">
        <f t="shared" si="104"/>
        <v>7952.5661240526097</v>
      </c>
      <c r="Z90" s="498">
        <f t="shared" si="104"/>
        <v>7952.5661240526097</v>
      </c>
      <c r="AA90" s="498">
        <f t="shared" si="104"/>
        <v>7952.5661240526097</v>
      </c>
      <c r="AB90" s="498">
        <f t="shared" si="104"/>
        <v>7952.5661240526097</v>
      </c>
      <c r="AC90" s="498">
        <f t="shared" si="104"/>
        <v>7952.5661240526097</v>
      </c>
      <c r="AD90" s="498">
        <f t="shared" si="104"/>
        <v>8302.4417079013929</v>
      </c>
      <c r="AE90" s="498">
        <f t="shared" si="104"/>
        <v>8302.4417079013929</v>
      </c>
      <c r="AF90" s="498">
        <f t="shared" si="104"/>
        <v>8302.4417079013929</v>
      </c>
      <c r="AG90" s="498">
        <f t="shared" si="104"/>
        <v>8302.4417079013929</v>
      </c>
      <c r="AH90" s="498">
        <f t="shared" si="104"/>
        <v>8302.4417079013929</v>
      </c>
      <c r="AI90" s="498">
        <f t="shared" si="104"/>
        <v>8302.4417079013929</v>
      </c>
      <c r="AJ90" s="498">
        <f t="shared" si="104"/>
        <v>8525.9336923206647</v>
      </c>
      <c r="AK90" s="498">
        <f t="shared" si="104"/>
        <v>8525.9336923206647</v>
      </c>
      <c r="AL90" s="498">
        <f t="shared" si="104"/>
        <v>8525.9336923206647</v>
      </c>
      <c r="AM90" s="498">
        <f t="shared" si="104"/>
        <v>8525.9336923206647</v>
      </c>
      <c r="AN90" s="530">
        <f t="shared" si="104"/>
        <v>8525.9336923206647</v>
      </c>
      <c r="AO90" s="530">
        <f t="shared" si="104"/>
        <v>8525.9336923206647</v>
      </c>
      <c r="AP90" s="530">
        <f t="shared" si="104"/>
        <v>8842.7195935483087</v>
      </c>
      <c r="AQ90" s="530">
        <f t="shared" si="104"/>
        <v>8842.7195935483087</v>
      </c>
      <c r="AR90" s="530">
        <f t="shared" si="104"/>
        <v>8842.7195935483087</v>
      </c>
      <c r="AS90" s="530">
        <f t="shared" si="104"/>
        <v>8842.7195935483087</v>
      </c>
      <c r="AT90" s="530">
        <f t="shared" si="104"/>
        <v>8842.7195935483087</v>
      </c>
      <c r="AU90" s="530">
        <f t="shared" si="104"/>
        <v>8842.7195935483087</v>
      </c>
      <c r="AV90" s="530">
        <f t="shared" si="104"/>
        <v>9114.602776634827</v>
      </c>
      <c r="AW90" s="530">
        <f t="shared" si="104"/>
        <v>9114.602776634827</v>
      </c>
      <c r="AX90" s="530">
        <f t="shared" ref="AX90:BY90" si="105">AX25/AX$82</f>
        <v>9114.602776634827</v>
      </c>
      <c r="AY90" s="530">
        <f t="shared" si="105"/>
        <v>9114.602776634827</v>
      </c>
      <c r="AZ90" s="530">
        <f t="shared" si="105"/>
        <v>9114.602776634827</v>
      </c>
      <c r="BA90" s="530">
        <f t="shared" si="105"/>
        <v>9114.602776634827</v>
      </c>
      <c r="BB90" s="530">
        <f t="shared" si="105"/>
        <v>9398.3034149520936</v>
      </c>
      <c r="BC90" s="530">
        <f t="shared" si="105"/>
        <v>9398.3034149520936</v>
      </c>
      <c r="BD90" s="530">
        <f t="shared" si="105"/>
        <v>9398.3034149520936</v>
      </c>
      <c r="BE90" s="530">
        <f t="shared" si="105"/>
        <v>9398.3034149520936</v>
      </c>
      <c r="BF90" s="530">
        <f t="shared" si="105"/>
        <v>9398.3034149520936</v>
      </c>
      <c r="BG90" s="530">
        <f t="shared" si="105"/>
        <v>9398.3034149520936</v>
      </c>
      <c r="BH90" s="530">
        <f t="shared" si="105"/>
        <v>9721.5931039371608</v>
      </c>
      <c r="BI90" s="530">
        <f t="shared" si="105"/>
        <v>9721.5931039371608</v>
      </c>
      <c r="BJ90" s="530">
        <f t="shared" si="105"/>
        <v>9721.5931039371608</v>
      </c>
      <c r="BK90" s="530">
        <f t="shared" si="105"/>
        <v>9721.5931039371608</v>
      </c>
      <c r="BL90" s="530">
        <f t="shared" si="105"/>
        <v>9721.5931039371608</v>
      </c>
      <c r="BM90" s="530">
        <f t="shared" si="105"/>
        <v>9721.5931039371608</v>
      </c>
      <c r="BN90" s="530">
        <f t="shared" si="105"/>
        <v>9984.2436144737003</v>
      </c>
      <c r="BO90" s="530">
        <f t="shared" si="105"/>
        <v>9984.2436144737003</v>
      </c>
      <c r="BP90" s="530">
        <f t="shared" si="105"/>
        <v>9984.2436144737003</v>
      </c>
      <c r="BQ90" s="530">
        <f t="shared" si="105"/>
        <v>9984.2436144737003</v>
      </c>
      <c r="BR90" s="530">
        <f t="shared" si="105"/>
        <v>9984.2436144737003</v>
      </c>
      <c r="BS90" s="530">
        <f t="shared" si="105"/>
        <v>9984.2436144737003</v>
      </c>
      <c r="BT90" s="530">
        <f t="shared" si="105"/>
        <v>10362.093589945389</v>
      </c>
      <c r="BU90" s="530">
        <f t="shared" si="105"/>
        <v>10362.093589945389</v>
      </c>
      <c r="BV90" s="530">
        <f t="shared" si="105"/>
        <v>10362.093589945389</v>
      </c>
      <c r="BW90" s="530">
        <f t="shared" si="105"/>
        <v>10362.093589945389</v>
      </c>
      <c r="BX90" s="530">
        <f t="shared" si="105"/>
        <v>10362.093589945389</v>
      </c>
      <c r="BY90" s="530">
        <f t="shared" si="105"/>
        <v>10362.093589945389</v>
      </c>
      <c r="CB90" s="8"/>
    </row>
    <row r="91" spans="3:80" x14ac:dyDescent="0.3">
      <c r="C91" s="2"/>
      <c r="D91" s="2"/>
      <c r="E91" s="2" t="s">
        <v>389</v>
      </c>
      <c r="F91" s="54"/>
      <c r="G91" s="54"/>
      <c r="H91" s="54"/>
      <c r="I91" s="497">
        <f t="shared" si="96"/>
        <v>-39985.456650120745</v>
      </c>
      <c r="J91" s="497">
        <f t="shared" si="96"/>
        <v>-42250.171425276319</v>
      </c>
      <c r="K91" s="497">
        <f t="shared" si="96"/>
        <v>-44944.317016685629</v>
      </c>
      <c r="L91" s="497">
        <f t="shared" si="96"/>
        <v>-47706.501759748797</v>
      </c>
      <c r="M91" s="497">
        <f t="shared" si="96"/>
        <v>-50556.021645278277</v>
      </c>
      <c r="N91" s="497">
        <f t="shared" si="96"/>
        <v>-53554.102818418047</v>
      </c>
      <c r="O91" s="37"/>
      <c r="P91" s="50">
        <f t="shared" si="99"/>
        <v>6.0176412601392393E-2</v>
      </c>
      <c r="R91" s="497">
        <f t="shared" ref="R91:AW91" si="106">R26/R$82</f>
        <v>-3480.9887032744127</v>
      </c>
      <c r="S91" s="497">
        <f t="shared" si="106"/>
        <v>-3480.9887032744127</v>
      </c>
      <c r="T91" s="497">
        <f t="shared" si="106"/>
        <v>-3480.9887032744127</v>
      </c>
      <c r="U91" s="497">
        <f t="shared" si="106"/>
        <v>-3480.9887032744127</v>
      </c>
      <c r="V91" s="497">
        <f t="shared" si="106"/>
        <v>-3480.9887032744127</v>
      </c>
      <c r="W91" s="497">
        <f t="shared" si="106"/>
        <v>-3480.9887032744127</v>
      </c>
      <c r="X91" s="497">
        <f t="shared" si="106"/>
        <v>-3560.7065342716396</v>
      </c>
      <c r="Y91" s="497">
        <f t="shared" si="106"/>
        <v>-3560.7065342716396</v>
      </c>
      <c r="Z91" s="497">
        <f t="shared" si="106"/>
        <v>-3560.7065342716396</v>
      </c>
      <c r="AA91" s="497">
        <f t="shared" si="106"/>
        <v>-3560.7065342716396</v>
      </c>
      <c r="AB91" s="497">
        <f t="shared" si="106"/>
        <v>-3560.7065342716396</v>
      </c>
      <c r="AC91" s="497">
        <f t="shared" si="106"/>
        <v>-3560.7065342716396</v>
      </c>
      <c r="AD91" s="497">
        <f t="shared" si="106"/>
        <v>-3695.6188902975259</v>
      </c>
      <c r="AE91" s="497">
        <f t="shared" si="106"/>
        <v>-3695.6188902975259</v>
      </c>
      <c r="AF91" s="497">
        <f t="shared" si="106"/>
        <v>-3695.6188902975259</v>
      </c>
      <c r="AG91" s="497">
        <f t="shared" si="106"/>
        <v>-3695.6188902975259</v>
      </c>
      <c r="AH91" s="497">
        <f t="shared" si="106"/>
        <v>-3695.6188902975259</v>
      </c>
      <c r="AI91" s="497">
        <f t="shared" si="106"/>
        <v>-3695.6188902975259</v>
      </c>
      <c r="AJ91" s="497">
        <f t="shared" si="106"/>
        <v>-3795.1006124834103</v>
      </c>
      <c r="AK91" s="497">
        <f t="shared" si="106"/>
        <v>-3795.1006124834103</v>
      </c>
      <c r="AL91" s="497">
        <f t="shared" si="106"/>
        <v>-3795.1006124834103</v>
      </c>
      <c r="AM91" s="497">
        <f t="shared" si="106"/>
        <v>-3795.1006124834103</v>
      </c>
      <c r="AN91" s="527">
        <f t="shared" si="106"/>
        <v>-3795.1006124834103</v>
      </c>
      <c r="AO91" s="527">
        <f t="shared" si="106"/>
        <v>-3795.1006124834103</v>
      </c>
      <c r="AP91" s="527">
        <f t="shared" si="106"/>
        <v>-3915.3500463877467</v>
      </c>
      <c r="AQ91" s="527">
        <f t="shared" si="106"/>
        <v>-3915.3500463877467</v>
      </c>
      <c r="AR91" s="527">
        <f t="shared" si="106"/>
        <v>-3915.3500463877467</v>
      </c>
      <c r="AS91" s="527">
        <f t="shared" si="106"/>
        <v>-3915.3500463877467</v>
      </c>
      <c r="AT91" s="527">
        <f t="shared" si="106"/>
        <v>-3915.3500463877467</v>
      </c>
      <c r="AU91" s="527">
        <f t="shared" si="106"/>
        <v>-3915.3500463877467</v>
      </c>
      <c r="AV91" s="527">
        <f t="shared" si="106"/>
        <v>-4035.7335802370544</v>
      </c>
      <c r="AW91" s="527">
        <f t="shared" si="106"/>
        <v>-4035.7335802370544</v>
      </c>
      <c r="AX91" s="527">
        <f t="shared" ref="AX91:BY91" si="107">AX26/AX$82</f>
        <v>-4035.7335802370544</v>
      </c>
      <c r="AY91" s="527">
        <f t="shared" si="107"/>
        <v>-4035.7335802370544</v>
      </c>
      <c r="AZ91" s="527">
        <f t="shared" si="107"/>
        <v>-4035.7335802370544</v>
      </c>
      <c r="BA91" s="527">
        <f t="shared" si="107"/>
        <v>-4035.7335802370544</v>
      </c>
      <c r="BB91" s="527">
        <f t="shared" si="107"/>
        <v>-4141.7660603427912</v>
      </c>
      <c r="BC91" s="527">
        <f t="shared" si="107"/>
        <v>-4141.7660603427912</v>
      </c>
      <c r="BD91" s="527">
        <f t="shared" si="107"/>
        <v>-4141.7660603427912</v>
      </c>
      <c r="BE91" s="527">
        <f t="shared" si="107"/>
        <v>-4141.7660603427912</v>
      </c>
      <c r="BF91" s="527">
        <f t="shared" si="107"/>
        <v>-4141.7660603427912</v>
      </c>
      <c r="BG91" s="527">
        <f t="shared" si="107"/>
        <v>-4141.7660603427912</v>
      </c>
      <c r="BH91" s="527">
        <f t="shared" si="107"/>
        <v>-4284.2375472035883</v>
      </c>
      <c r="BI91" s="527">
        <f t="shared" si="107"/>
        <v>-4284.2375472035883</v>
      </c>
      <c r="BJ91" s="527">
        <f t="shared" si="107"/>
        <v>-4284.2375472035883</v>
      </c>
      <c r="BK91" s="527">
        <f t="shared" si="107"/>
        <v>-4284.2375472035883</v>
      </c>
      <c r="BL91" s="527">
        <f t="shared" si="107"/>
        <v>-4284.2375472035883</v>
      </c>
      <c r="BM91" s="527">
        <f t="shared" si="107"/>
        <v>-4284.2375472035883</v>
      </c>
      <c r="BN91" s="527">
        <f t="shared" si="107"/>
        <v>-4379.9628709709114</v>
      </c>
      <c r="BO91" s="527">
        <f t="shared" si="107"/>
        <v>-4379.9628709709114</v>
      </c>
      <c r="BP91" s="527">
        <f t="shared" si="107"/>
        <v>-4379.9628709709114</v>
      </c>
      <c r="BQ91" s="527">
        <f t="shared" si="107"/>
        <v>-4379.9628709709114</v>
      </c>
      <c r="BR91" s="527">
        <f t="shared" si="107"/>
        <v>-4379.9628709709114</v>
      </c>
      <c r="BS91" s="527">
        <f t="shared" si="107"/>
        <v>-4379.9628709709114</v>
      </c>
      <c r="BT91" s="527">
        <f t="shared" si="107"/>
        <v>-4545.7209320987604</v>
      </c>
      <c r="BU91" s="527">
        <f t="shared" si="107"/>
        <v>-4545.7209320987604</v>
      </c>
      <c r="BV91" s="527">
        <f t="shared" si="107"/>
        <v>-4545.7209320987604</v>
      </c>
      <c r="BW91" s="527">
        <f t="shared" si="107"/>
        <v>-4545.7209320987604</v>
      </c>
      <c r="BX91" s="527">
        <f t="shared" si="107"/>
        <v>-4545.7209320987604</v>
      </c>
      <c r="BY91" s="527">
        <f t="shared" si="107"/>
        <v>-4545.7209320987604</v>
      </c>
      <c r="CB91" s="8"/>
    </row>
    <row r="92" spans="3:80" x14ac:dyDescent="0.3">
      <c r="C92" s="2"/>
      <c r="D92" s="2"/>
      <c r="E92" s="4" t="s">
        <v>390</v>
      </c>
      <c r="F92" s="5"/>
      <c r="G92" s="5"/>
      <c r="H92" s="5"/>
      <c r="I92" s="498">
        <f t="shared" si="96"/>
        <v>48746.818238483203</v>
      </c>
      <c r="J92" s="498">
        <f t="shared" si="96"/>
        <v>52112.35993699947</v>
      </c>
      <c r="K92" s="498">
        <f t="shared" si="96"/>
        <v>56025.935384646742</v>
      </c>
      <c r="L92" s="498">
        <f t="shared" si="96"/>
        <v>60037.432461350007</v>
      </c>
      <c r="M92" s="498">
        <f t="shared" si="96"/>
        <v>64163.357468057242</v>
      </c>
      <c r="N92" s="498">
        <f t="shared" si="96"/>
        <v>68523.920408096499</v>
      </c>
      <c r="O92" s="57"/>
      <c r="P92" s="55">
        <f t="shared" si="99"/>
        <v>7.0481547672187395E-2</v>
      </c>
      <c r="R92" s="498">
        <f t="shared" ref="R92:AW92" si="108">R27/R$82</f>
        <v>4293.533733052278</v>
      </c>
      <c r="S92" s="498">
        <f t="shared" si="108"/>
        <v>4293.533733052278</v>
      </c>
      <c r="T92" s="498">
        <f t="shared" si="108"/>
        <v>4293.533733052278</v>
      </c>
      <c r="U92" s="498">
        <f t="shared" si="108"/>
        <v>4293.533733052278</v>
      </c>
      <c r="V92" s="498">
        <f t="shared" si="108"/>
        <v>4293.533733052278</v>
      </c>
      <c r="W92" s="498">
        <f t="shared" si="108"/>
        <v>4293.533733052278</v>
      </c>
      <c r="X92" s="498">
        <f t="shared" si="108"/>
        <v>4391.8595897809701</v>
      </c>
      <c r="Y92" s="498">
        <f t="shared" si="108"/>
        <v>4391.8595897809701</v>
      </c>
      <c r="Z92" s="498">
        <f t="shared" si="108"/>
        <v>4391.8595897809701</v>
      </c>
      <c r="AA92" s="498">
        <f t="shared" si="108"/>
        <v>4391.8595897809701</v>
      </c>
      <c r="AB92" s="498">
        <f t="shared" si="108"/>
        <v>4391.8595897809701</v>
      </c>
      <c r="AC92" s="498">
        <f t="shared" si="108"/>
        <v>4391.8595897809701</v>
      </c>
      <c r="AD92" s="498">
        <f t="shared" si="108"/>
        <v>4606.8228176038665</v>
      </c>
      <c r="AE92" s="498">
        <f t="shared" si="108"/>
        <v>4606.8228176038665</v>
      </c>
      <c r="AF92" s="498">
        <f t="shared" si="108"/>
        <v>4606.8228176038665</v>
      </c>
      <c r="AG92" s="498">
        <f t="shared" si="108"/>
        <v>4606.8228176038665</v>
      </c>
      <c r="AH92" s="498">
        <f t="shared" si="108"/>
        <v>4606.8228176038665</v>
      </c>
      <c r="AI92" s="498">
        <f t="shared" si="108"/>
        <v>4606.8228176038665</v>
      </c>
      <c r="AJ92" s="498">
        <f t="shared" si="108"/>
        <v>4730.8330798372544</v>
      </c>
      <c r="AK92" s="498">
        <f t="shared" si="108"/>
        <v>4730.8330798372544</v>
      </c>
      <c r="AL92" s="498">
        <f t="shared" si="108"/>
        <v>4730.8330798372544</v>
      </c>
      <c r="AM92" s="498">
        <f t="shared" si="108"/>
        <v>4730.8330798372544</v>
      </c>
      <c r="AN92" s="530">
        <f t="shared" si="108"/>
        <v>4730.8330798372544</v>
      </c>
      <c r="AO92" s="530">
        <f t="shared" si="108"/>
        <v>4730.8330798372544</v>
      </c>
      <c r="AP92" s="530">
        <f t="shared" si="108"/>
        <v>4927.3695471605615</v>
      </c>
      <c r="AQ92" s="530">
        <f t="shared" si="108"/>
        <v>4927.3695471605615</v>
      </c>
      <c r="AR92" s="530">
        <f t="shared" si="108"/>
        <v>4927.3695471605615</v>
      </c>
      <c r="AS92" s="530">
        <f t="shared" si="108"/>
        <v>4927.3695471605615</v>
      </c>
      <c r="AT92" s="530">
        <f t="shared" si="108"/>
        <v>4927.3695471605615</v>
      </c>
      <c r="AU92" s="530">
        <f t="shared" si="108"/>
        <v>4927.3695471605615</v>
      </c>
      <c r="AV92" s="530">
        <f t="shared" si="108"/>
        <v>5078.8691963977735</v>
      </c>
      <c r="AW92" s="530">
        <f t="shared" si="108"/>
        <v>5078.8691963977735</v>
      </c>
      <c r="AX92" s="530">
        <f t="shared" ref="AX92:BY92" si="109">AX27/AX$82</f>
        <v>5078.8691963977735</v>
      </c>
      <c r="AY92" s="530">
        <f t="shared" si="109"/>
        <v>5078.8691963977735</v>
      </c>
      <c r="AZ92" s="530">
        <f t="shared" si="109"/>
        <v>5078.8691963977735</v>
      </c>
      <c r="BA92" s="530">
        <f t="shared" si="109"/>
        <v>5078.8691963977735</v>
      </c>
      <c r="BB92" s="530">
        <f t="shared" si="109"/>
        <v>5256.5373546093024</v>
      </c>
      <c r="BC92" s="530">
        <f t="shared" si="109"/>
        <v>5256.5373546093024</v>
      </c>
      <c r="BD92" s="530">
        <f t="shared" si="109"/>
        <v>5256.5373546093024</v>
      </c>
      <c r="BE92" s="530">
        <f t="shared" si="109"/>
        <v>5256.5373546093024</v>
      </c>
      <c r="BF92" s="530">
        <f t="shared" si="109"/>
        <v>5256.5373546093024</v>
      </c>
      <c r="BG92" s="530">
        <f t="shared" si="109"/>
        <v>5256.5373546093024</v>
      </c>
      <c r="BH92" s="530">
        <f t="shared" si="109"/>
        <v>5437.3555567335734</v>
      </c>
      <c r="BI92" s="530">
        <f t="shared" si="109"/>
        <v>5437.3555567335734</v>
      </c>
      <c r="BJ92" s="530">
        <f t="shared" si="109"/>
        <v>5437.3555567335734</v>
      </c>
      <c r="BK92" s="530">
        <f t="shared" si="109"/>
        <v>5437.3555567335734</v>
      </c>
      <c r="BL92" s="530">
        <f t="shared" si="109"/>
        <v>5437.3555567335734</v>
      </c>
      <c r="BM92" s="530">
        <f t="shared" si="109"/>
        <v>5437.3555567335734</v>
      </c>
      <c r="BN92" s="530">
        <f t="shared" si="109"/>
        <v>5604.2807435027889</v>
      </c>
      <c r="BO92" s="530">
        <f t="shared" si="109"/>
        <v>5604.2807435027889</v>
      </c>
      <c r="BP92" s="530">
        <f t="shared" si="109"/>
        <v>5604.2807435027889</v>
      </c>
      <c r="BQ92" s="530">
        <f t="shared" si="109"/>
        <v>5604.2807435027889</v>
      </c>
      <c r="BR92" s="530">
        <f t="shared" si="109"/>
        <v>5604.2807435027889</v>
      </c>
      <c r="BS92" s="530">
        <f t="shared" si="109"/>
        <v>5604.2807435027889</v>
      </c>
      <c r="BT92" s="530">
        <f t="shared" si="109"/>
        <v>5816.3726578466285</v>
      </c>
      <c r="BU92" s="530">
        <f t="shared" si="109"/>
        <v>5816.3726578466285</v>
      </c>
      <c r="BV92" s="530">
        <f t="shared" si="109"/>
        <v>5816.3726578466285</v>
      </c>
      <c r="BW92" s="530">
        <f t="shared" si="109"/>
        <v>5816.3726578466285</v>
      </c>
      <c r="BX92" s="530">
        <f t="shared" si="109"/>
        <v>5816.3726578466285</v>
      </c>
      <c r="BY92" s="530">
        <f t="shared" si="109"/>
        <v>5816.3726578466285</v>
      </c>
      <c r="CB92" s="8"/>
    </row>
    <row r="93" spans="3:80" x14ac:dyDescent="0.3">
      <c r="C93" s="2"/>
      <c r="D93" s="2"/>
      <c r="E93" s="2" t="s">
        <v>175</v>
      </c>
      <c r="F93" s="58"/>
      <c r="G93" s="58"/>
      <c r="H93" s="58"/>
      <c r="I93" s="499">
        <f t="shared" ref="I93:N93" si="110">IFERROR(I92/I87,0)</f>
        <v>0.36015076325639572</v>
      </c>
      <c r="J93" s="499">
        <f t="shared" si="110"/>
        <v>0.36697493776873868</v>
      </c>
      <c r="K93" s="499">
        <f t="shared" si="110"/>
        <v>0.37334904541578462</v>
      </c>
      <c r="L93" s="499">
        <f t="shared" si="110"/>
        <v>0.37923990019552434</v>
      </c>
      <c r="M93" s="499">
        <f t="shared" si="110"/>
        <v>0.38463670948299217</v>
      </c>
      <c r="N93" s="499">
        <f t="shared" si="110"/>
        <v>0.38990683237450618</v>
      </c>
      <c r="O93" s="23"/>
      <c r="P93" s="50">
        <f t="shared" si="99"/>
        <v>1.6003727273751212E-2</v>
      </c>
      <c r="R93" s="499">
        <f t="shared" ref="R93:BY93" si="111">IFERROR(R92/R87,0)</f>
        <v>0.36697493776873885</v>
      </c>
      <c r="S93" s="499">
        <f t="shared" si="111"/>
        <v>0.36697493776873885</v>
      </c>
      <c r="T93" s="499">
        <f t="shared" si="111"/>
        <v>0.36697493776873885</v>
      </c>
      <c r="U93" s="499">
        <f t="shared" si="111"/>
        <v>0.36697493776873885</v>
      </c>
      <c r="V93" s="499">
        <f t="shared" si="111"/>
        <v>0.36697493776873885</v>
      </c>
      <c r="W93" s="499">
        <f t="shared" si="111"/>
        <v>0.36697493776873885</v>
      </c>
      <c r="X93" s="499">
        <f t="shared" si="111"/>
        <v>0.36697493776873891</v>
      </c>
      <c r="Y93" s="499">
        <f t="shared" si="111"/>
        <v>0.36697493776873891</v>
      </c>
      <c r="Z93" s="499">
        <f t="shared" si="111"/>
        <v>0.36697493776873891</v>
      </c>
      <c r="AA93" s="499">
        <f t="shared" si="111"/>
        <v>0.36697493776873891</v>
      </c>
      <c r="AB93" s="499">
        <f t="shared" si="111"/>
        <v>0.36697493776873891</v>
      </c>
      <c r="AC93" s="499">
        <f t="shared" si="111"/>
        <v>0.36697493776873891</v>
      </c>
      <c r="AD93" s="499">
        <f t="shared" si="111"/>
        <v>0.3733490454157844</v>
      </c>
      <c r="AE93" s="499">
        <f t="shared" si="111"/>
        <v>0.3733490454157844</v>
      </c>
      <c r="AF93" s="499">
        <f t="shared" si="111"/>
        <v>0.3733490454157844</v>
      </c>
      <c r="AG93" s="499">
        <f t="shared" si="111"/>
        <v>0.3733490454157844</v>
      </c>
      <c r="AH93" s="499">
        <f t="shared" si="111"/>
        <v>0.3733490454157844</v>
      </c>
      <c r="AI93" s="499">
        <f t="shared" si="111"/>
        <v>0.3733490454157844</v>
      </c>
      <c r="AJ93" s="499">
        <f t="shared" si="111"/>
        <v>0.37334904541578434</v>
      </c>
      <c r="AK93" s="499">
        <f t="shared" si="111"/>
        <v>0.37334904541578434</v>
      </c>
      <c r="AL93" s="499">
        <f t="shared" si="111"/>
        <v>0.37334904541578434</v>
      </c>
      <c r="AM93" s="499">
        <f t="shared" si="111"/>
        <v>0.37334904541578434</v>
      </c>
      <c r="AN93" s="531">
        <f t="shared" si="111"/>
        <v>0.37334904541578434</v>
      </c>
      <c r="AO93" s="531">
        <f t="shared" si="111"/>
        <v>0.37334904541578434</v>
      </c>
      <c r="AP93" s="531">
        <f t="shared" si="111"/>
        <v>0.37923990019552445</v>
      </c>
      <c r="AQ93" s="531">
        <f t="shared" si="111"/>
        <v>0.37923990019552445</v>
      </c>
      <c r="AR93" s="531">
        <f t="shared" si="111"/>
        <v>0.37923990019552445</v>
      </c>
      <c r="AS93" s="531">
        <f t="shared" si="111"/>
        <v>0.37923990019552445</v>
      </c>
      <c r="AT93" s="531">
        <f t="shared" si="111"/>
        <v>0.37923990019552445</v>
      </c>
      <c r="AU93" s="531">
        <f t="shared" si="111"/>
        <v>0.37923990019552445</v>
      </c>
      <c r="AV93" s="531">
        <f t="shared" si="111"/>
        <v>0.37923990019552434</v>
      </c>
      <c r="AW93" s="531">
        <f t="shared" si="111"/>
        <v>0.37923990019552434</v>
      </c>
      <c r="AX93" s="531">
        <f t="shared" si="111"/>
        <v>0.37923990019552434</v>
      </c>
      <c r="AY93" s="531">
        <f t="shared" si="111"/>
        <v>0.37923990019552434</v>
      </c>
      <c r="AZ93" s="531">
        <f t="shared" si="111"/>
        <v>0.37923990019552434</v>
      </c>
      <c r="BA93" s="531">
        <f t="shared" si="111"/>
        <v>0.37923990019552434</v>
      </c>
      <c r="BB93" s="531">
        <f t="shared" si="111"/>
        <v>0.38463670948299217</v>
      </c>
      <c r="BC93" s="531">
        <f t="shared" si="111"/>
        <v>0.38463670948299217</v>
      </c>
      <c r="BD93" s="531">
        <f t="shared" si="111"/>
        <v>0.38463670948299217</v>
      </c>
      <c r="BE93" s="531">
        <f t="shared" si="111"/>
        <v>0.38463670948299217</v>
      </c>
      <c r="BF93" s="531">
        <f t="shared" si="111"/>
        <v>0.38463670948299217</v>
      </c>
      <c r="BG93" s="531">
        <f t="shared" si="111"/>
        <v>0.38463670948299217</v>
      </c>
      <c r="BH93" s="531">
        <f t="shared" si="111"/>
        <v>0.38463670948299217</v>
      </c>
      <c r="BI93" s="531">
        <f t="shared" si="111"/>
        <v>0.38463670948299217</v>
      </c>
      <c r="BJ93" s="531">
        <f t="shared" si="111"/>
        <v>0.38463670948299217</v>
      </c>
      <c r="BK93" s="531">
        <f t="shared" si="111"/>
        <v>0.38463670948299217</v>
      </c>
      <c r="BL93" s="531">
        <f t="shared" si="111"/>
        <v>0.38463670948299217</v>
      </c>
      <c r="BM93" s="531">
        <f t="shared" si="111"/>
        <v>0.38463670948299217</v>
      </c>
      <c r="BN93" s="531">
        <f t="shared" si="111"/>
        <v>0.38990683237450618</v>
      </c>
      <c r="BO93" s="531">
        <f t="shared" si="111"/>
        <v>0.38990683237450618</v>
      </c>
      <c r="BP93" s="531">
        <f t="shared" si="111"/>
        <v>0.38990683237450618</v>
      </c>
      <c r="BQ93" s="531">
        <f t="shared" si="111"/>
        <v>0.38990683237450618</v>
      </c>
      <c r="BR93" s="531">
        <f t="shared" si="111"/>
        <v>0.38990683237450618</v>
      </c>
      <c r="BS93" s="531">
        <f t="shared" si="111"/>
        <v>0.38990683237450618</v>
      </c>
      <c r="BT93" s="531">
        <f t="shared" si="111"/>
        <v>0.38990683237450618</v>
      </c>
      <c r="BU93" s="531">
        <f t="shared" si="111"/>
        <v>0.38990683237450618</v>
      </c>
      <c r="BV93" s="531">
        <f t="shared" si="111"/>
        <v>0.38990683237450618</v>
      </c>
      <c r="BW93" s="531">
        <f t="shared" si="111"/>
        <v>0.38990683237450618</v>
      </c>
      <c r="BX93" s="531">
        <f t="shared" si="111"/>
        <v>0.38990683237450618</v>
      </c>
      <c r="BY93" s="531">
        <f t="shared" si="111"/>
        <v>0.38990683237450618</v>
      </c>
    </row>
    <row r="94" spans="3:80" x14ac:dyDescent="0.3">
      <c r="C94" s="2"/>
      <c r="D94" s="2"/>
      <c r="E94" s="2"/>
      <c r="F94" s="58"/>
      <c r="G94" s="58"/>
      <c r="H94" s="58"/>
      <c r="I94" s="37"/>
      <c r="J94" s="37"/>
      <c r="K94" s="37"/>
      <c r="L94" s="37"/>
      <c r="M94" s="37"/>
      <c r="N94" s="37"/>
      <c r="O94" s="37"/>
      <c r="P94" s="35"/>
      <c r="R94" s="37"/>
      <c r="S94" s="37"/>
      <c r="T94" s="37"/>
      <c r="U94" s="37"/>
      <c r="V94" s="37"/>
      <c r="W94" s="37"/>
      <c r="X94" s="37"/>
      <c r="Y94" s="37"/>
      <c r="Z94" s="37"/>
      <c r="AA94" s="37"/>
      <c r="AB94" s="37"/>
      <c r="AC94" s="37"/>
      <c r="AD94" s="37"/>
      <c r="AE94" s="37"/>
      <c r="AF94" s="37"/>
      <c r="AG94" s="37"/>
      <c r="AH94" s="37"/>
      <c r="AI94" s="37"/>
      <c r="AJ94" s="37"/>
      <c r="AK94" s="37"/>
      <c r="AL94" s="37"/>
      <c r="AM94" s="37"/>
      <c r="AN94" s="529"/>
      <c r="AO94" s="529"/>
      <c r="AP94" s="529"/>
      <c r="AQ94" s="529"/>
      <c r="AR94" s="529"/>
      <c r="AS94" s="529"/>
      <c r="AT94" s="529"/>
      <c r="AU94" s="529"/>
      <c r="AV94" s="529"/>
      <c r="AW94" s="529"/>
      <c r="AX94" s="529"/>
      <c r="AY94" s="529"/>
      <c r="AZ94" s="529"/>
      <c r="BA94" s="529"/>
      <c r="BB94" s="529"/>
      <c r="BC94" s="529"/>
      <c r="BD94" s="529"/>
      <c r="BE94" s="529"/>
      <c r="BF94" s="529"/>
      <c r="BG94" s="529"/>
      <c r="BH94" s="529"/>
      <c r="BI94" s="529"/>
      <c r="BJ94" s="529"/>
      <c r="BK94" s="529"/>
      <c r="BL94" s="529"/>
      <c r="BM94" s="529"/>
      <c r="BN94" s="529"/>
      <c r="BO94" s="529"/>
      <c r="BP94" s="529"/>
      <c r="BQ94" s="529"/>
      <c r="BR94" s="529"/>
      <c r="BS94" s="529"/>
      <c r="BT94" s="529"/>
      <c r="BU94" s="529"/>
      <c r="BV94" s="529"/>
      <c r="BW94" s="529"/>
      <c r="BX94" s="529"/>
      <c r="BY94" s="529"/>
    </row>
    <row r="95" spans="3:80" x14ac:dyDescent="0.3">
      <c r="C95" s="2"/>
      <c r="D95" s="2"/>
      <c r="E95" s="17" t="s">
        <v>23</v>
      </c>
      <c r="F95" s="37"/>
      <c r="G95" s="37"/>
      <c r="H95" s="37"/>
      <c r="I95" s="37"/>
      <c r="J95" s="37"/>
      <c r="K95" s="37"/>
      <c r="L95" s="37"/>
      <c r="M95" s="37"/>
      <c r="N95" s="37"/>
      <c r="O95" s="37"/>
      <c r="P95" s="35"/>
      <c r="R95" s="37"/>
      <c r="S95" s="37"/>
      <c r="T95" s="37"/>
      <c r="U95" s="37"/>
      <c r="V95" s="37"/>
      <c r="W95" s="37"/>
      <c r="X95" s="37"/>
      <c r="Y95" s="37"/>
      <c r="Z95" s="37"/>
      <c r="AA95" s="37"/>
      <c r="AB95" s="37"/>
      <c r="AC95" s="37"/>
      <c r="AD95" s="37"/>
      <c r="AE95" s="37"/>
      <c r="AF95" s="37"/>
      <c r="AG95" s="37"/>
      <c r="AH95" s="37"/>
      <c r="AI95" s="37"/>
      <c r="AJ95" s="37"/>
      <c r="AK95" s="37"/>
      <c r="AL95" s="37"/>
      <c r="AM95" s="37"/>
      <c r="AN95" s="529"/>
      <c r="AO95" s="529"/>
      <c r="AP95" s="529"/>
      <c r="AQ95" s="529"/>
      <c r="AR95" s="529"/>
      <c r="AS95" s="529"/>
      <c r="AT95" s="529"/>
      <c r="AU95" s="529"/>
      <c r="AV95" s="529"/>
      <c r="AW95" s="529"/>
      <c r="AX95" s="529"/>
      <c r="AY95" s="529"/>
      <c r="AZ95" s="529"/>
      <c r="BA95" s="529"/>
      <c r="BB95" s="529"/>
      <c r="BC95" s="529"/>
      <c r="BD95" s="529"/>
      <c r="BE95" s="529"/>
      <c r="BF95" s="529"/>
      <c r="BG95" s="529"/>
      <c r="BH95" s="529"/>
      <c r="BI95" s="529"/>
      <c r="BJ95" s="529"/>
      <c r="BK95" s="529"/>
      <c r="BL95" s="529"/>
      <c r="BM95" s="529"/>
      <c r="BN95" s="529"/>
      <c r="BO95" s="529"/>
      <c r="BP95" s="529"/>
      <c r="BQ95" s="529"/>
      <c r="BR95" s="529"/>
      <c r="BS95" s="529"/>
      <c r="BT95" s="529"/>
      <c r="BU95" s="529"/>
      <c r="BV95" s="529"/>
      <c r="BW95" s="529"/>
      <c r="BX95" s="529"/>
      <c r="BY95" s="529"/>
    </row>
    <row r="96" spans="3:80" x14ac:dyDescent="0.3">
      <c r="C96" s="2"/>
      <c r="D96" s="2"/>
      <c r="E96" s="4" t="s">
        <v>391</v>
      </c>
      <c r="F96" s="5"/>
      <c r="G96" s="5"/>
      <c r="H96" s="5"/>
      <c r="I96" s="498">
        <f t="shared" ref="I96:N101" si="112">I31/I$82</f>
        <v>12764.63484426729</v>
      </c>
      <c r="J96" s="498">
        <f t="shared" si="112"/>
        <v>12910.795761465821</v>
      </c>
      <c r="K96" s="498">
        <f t="shared" si="112"/>
        <v>13165.668634333708</v>
      </c>
      <c r="L96" s="498">
        <f t="shared" si="112"/>
        <v>13418.614680143473</v>
      </c>
      <c r="M96" s="498">
        <f t="shared" si="112"/>
        <v>13678.463097299267</v>
      </c>
      <c r="N96" s="498">
        <f t="shared" si="112"/>
        <v>13940.371036194501</v>
      </c>
      <c r="O96" s="57"/>
      <c r="P96" s="55">
        <f t="shared" ref="P96:P102" si="113">IFERROR(((N96/I96)^(1/5))-1,0)</f>
        <v>1.7778301040401123E-2</v>
      </c>
      <c r="R96" s="498">
        <f t="shared" ref="R96:AW96" si="114">R31/R$82</f>
        <v>1063.7195703556079</v>
      </c>
      <c r="S96" s="498">
        <f t="shared" si="114"/>
        <v>1063.7195703556079</v>
      </c>
      <c r="T96" s="498">
        <f t="shared" si="114"/>
        <v>1063.7195703556079</v>
      </c>
      <c r="U96" s="498">
        <f t="shared" si="114"/>
        <v>1063.7195703556079</v>
      </c>
      <c r="V96" s="498">
        <f t="shared" si="114"/>
        <v>1063.7195703556079</v>
      </c>
      <c r="W96" s="498">
        <f t="shared" si="114"/>
        <v>1063.7195703556079</v>
      </c>
      <c r="X96" s="498">
        <f t="shared" si="114"/>
        <v>1088.0797232220291</v>
      </c>
      <c r="Y96" s="498">
        <f t="shared" si="114"/>
        <v>1088.0797232220291</v>
      </c>
      <c r="Z96" s="498">
        <f t="shared" si="114"/>
        <v>1088.0797232220291</v>
      </c>
      <c r="AA96" s="498">
        <f t="shared" si="114"/>
        <v>1088.0797232220291</v>
      </c>
      <c r="AB96" s="498">
        <f t="shared" si="114"/>
        <v>1088.0797232220291</v>
      </c>
      <c r="AC96" s="498">
        <f t="shared" si="114"/>
        <v>1088.0797232220291</v>
      </c>
      <c r="AD96" s="498">
        <f t="shared" si="114"/>
        <v>1082.568318712641</v>
      </c>
      <c r="AE96" s="498">
        <f t="shared" si="114"/>
        <v>1082.568318712641</v>
      </c>
      <c r="AF96" s="498">
        <f t="shared" si="114"/>
        <v>1082.568318712641</v>
      </c>
      <c r="AG96" s="498">
        <f t="shared" si="114"/>
        <v>1082.568318712641</v>
      </c>
      <c r="AH96" s="498">
        <f t="shared" si="114"/>
        <v>1082.568318712641</v>
      </c>
      <c r="AI96" s="498">
        <f t="shared" si="114"/>
        <v>1082.568318712641</v>
      </c>
      <c r="AJ96" s="498">
        <f t="shared" si="114"/>
        <v>1111.7097870096441</v>
      </c>
      <c r="AK96" s="498">
        <f t="shared" si="114"/>
        <v>1111.7097870096441</v>
      </c>
      <c r="AL96" s="498">
        <f t="shared" si="114"/>
        <v>1111.7097870096441</v>
      </c>
      <c r="AM96" s="498">
        <f t="shared" si="114"/>
        <v>1111.7097870096441</v>
      </c>
      <c r="AN96" s="530">
        <f t="shared" si="114"/>
        <v>1111.7097870096441</v>
      </c>
      <c r="AO96" s="530">
        <f t="shared" si="114"/>
        <v>1111.7097870096441</v>
      </c>
      <c r="AP96" s="530">
        <f t="shared" si="114"/>
        <v>1101.2874906431975</v>
      </c>
      <c r="AQ96" s="530">
        <f t="shared" si="114"/>
        <v>1101.2874906431975</v>
      </c>
      <c r="AR96" s="530">
        <f t="shared" si="114"/>
        <v>1101.2874906431975</v>
      </c>
      <c r="AS96" s="530">
        <f t="shared" si="114"/>
        <v>1101.2874906431975</v>
      </c>
      <c r="AT96" s="530">
        <f t="shared" si="114"/>
        <v>1101.2874906431975</v>
      </c>
      <c r="AU96" s="530">
        <f t="shared" si="114"/>
        <v>1101.2874906431975</v>
      </c>
      <c r="AV96" s="530">
        <f t="shared" si="114"/>
        <v>1135.1482893807151</v>
      </c>
      <c r="AW96" s="530">
        <f t="shared" si="114"/>
        <v>1135.1482893807151</v>
      </c>
      <c r="AX96" s="530">
        <f t="shared" ref="AX96:BY96" si="115">AX31/AX$82</f>
        <v>1135.1482893807151</v>
      </c>
      <c r="AY96" s="530">
        <f t="shared" si="115"/>
        <v>1135.1482893807151</v>
      </c>
      <c r="AZ96" s="530">
        <f t="shared" si="115"/>
        <v>1135.1482893807151</v>
      </c>
      <c r="BA96" s="530">
        <f t="shared" si="115"/>
        <v>1135.1482893807151</v>
      </c>
      <c r="BB96" s="530">
        <f t="shared" si="115"/>
        <v>1120.5983455649657</v>
      </c>
      <c r="BC96" s="530">
        <f t="shared" si="115"/>
        <v>1120.5983455649657</v>
      </c>
      <c r="BD96" s="530">
        <f t="shared" si="115"/>
        <v>1120.5983455649657</v>
      </c>
      <c r="BE96" s="530">
        <f t="shared" si="115"/>
        <v>1120.5983455649657</v>
      </c>
      <c r="BF96" s="530">
        <f t="shared" si="115"/>
        <v>1120.5983455649657</v>
      </c>
      <c r="BG96" s="530">
        <f t="shared" si="115"/>
        <v>1120.5983455649657</v>
      </c>
      <c r="BH96" s="530">
        <f t="shared" si="115"/>
        <v>1159.145503984912</v>
      </c>
      <c r="BI96" s="530">
        <f t="shared" si="115"/>
        <v>1159.145503984912</v>
      </c>
      <c r="BJ96" s="530">
        <f t="shared" si="115"/>
        <v>1159.145503984912</v>
      </c>
      <c r="BK96" s="530">
        <f t="shared" si="115"/>
        <v>1159.145503984912</v>
      </c>
      <c r="BL96" s="530">
        <f t="shared" si="115"/>
        <v>1159.145503984912</v>
      </c>
      <c r="BM96" s="530">
        <f t="shared" si="115"/>
        <v>1159.145503984912</v>
      </c>
      <c r="BN96" s="530">
        <f t="shared" si="115"/>
        <v>1140.1238062584328</v>
      </c>
      <c r="BO96" s="530">
        <f t="shared" si="115"/>
        <v>1140.1238062584328</v>
      </c>
      <c r="BP96" s="530">
        <f t="shared" si="115"/>
        <v>1140.1238062584328</v>
      </c>
      <c r="BQ96" s="530">
        <f t="shared" si="115"/>
        <v>1140.1238062584328</v>
      </c>
      <c r="BR96" s="530">
        <f t="shared" si="115"/>
        <v>1140.1238062584328</v>
      </c>
      <c r="BS96" s="530">
        <f t="shared" si="115"/>
        <v>1140.1238062584328</v>
      </c>
      <c r="BT96" s="530">
        <f t="shared" si="115"/>
        <v>1183.2713664406513</v>
      </c>
      <c r="BU96" s="530">
        <f t="shared" si="115"/>
        <v>1183.2713664406513</v>
      </c>
      <c r="BV96" s="530">
        <f t="shared" si="115"/>
        <v>1183.2713664406513</v>
      </c>
      <c r="BW96" s="530">
        <f t="shared" si="115"/>
        <v>1183.2713664406513</v>
      </c>
      <c r="BX96" s="530">
        <f t="shared" si="115"/>
        <v>1183.2713664406513</v>
      </c>
      <c r="BY96" s="530">
        <f t="shared" si="115"/>
        <v>1183.2713664406513</v>
      </c>
      <c r="CB96" s="8"/>
    </row>
    <row r="97" spans="3:80" x14ac:dyDescent="0.3">
      <c r="C97" s="2"/>
      <c r="D97" s="2"/>
      <c r="E97" s="2" t="s">
        <v>392</v>
      </c>
      <c r="F97" s="54"/>
      <c r="G97" s="54"/>
      <c r="H97" s="54"/>
      <c r="I97" s="497">
        <f t="shared" si="112"/>
        <v>-6282.7089830684608</v>
      </c>
      <c r="J97" s="497">
        <f t="shared" si="112"/>
        <v>-6354.6488794039333</v>
      </c>
      <c r="K97" s="497">
        <f t="shared" si="112"/>
        <v>-6480.0964231405023</v>
      </c>
      <c r="L97" s="497">
        <f t="shared" si="112"/>
        <v>-6604.5955892842458</v>
      </c>
      <c r="M97" s="497">
        <f t="shared" si="112"/>
        <v>-6732.4920786565199</v>
      </c>
      <c r="N97" s="497">
        <f t="shared" si="112"/>
        <v>-6861.402257483378</v>
      </c>
      <c r="O97" s="37"/>
      <c r="P97" s="50">
        <f t="shared" si="113"/>
        <v>1.7778301040401123E-2</v>
      </c>
      <c r="R97" s="497">
        <f t="shared" ref="R97:AW97" si="116">R32/R$82</f>
        <v>-523.55908192237177</v>
      </c>
      <c r="S97" s="497">
        <f t="shared" si="116"/>
        <v>-523.55908192237177</v>
      </c>
      <c r="T97" s="497">
        <f t="shared" si="116"/>
        <v>-523.55908192237177</v>
      </c>
      <c r="U97" s="497">
        <f t="shared" si="116"/>
        <v>-523.55908192237177</v>
      </c>
      <c r="V97" s="497">
        <f t="shared" si="116"/>
        <v>-523.55908192237177</v>
      </c>
      <c r="W97" s="497">
        <f t="shared" si="116"/>
        <v>-523.55908192237177</v>
      </c>
      <c r="X97" s="497">
        <f t="shared" si="116"/>
        <v>-535.54906464495014</v>
      </c>
      <c r="Y97" s="497">
        <f t="shared" si="116"/>
        <v>-535.54906464495014</v>
      </c>
      <c r="Z97" s="497">
        <f t="shared" si="116"/>
        <v>-535.54906464495014</v>
      </c>
      <c r="AA97" s="497">
        <f t="shared" si="116"/>
        <v>-535.54906464495014</v>
      </c>
      <c r="AB97" s="497">
        <f t="shared" si="116"/>
        <v>-535.54906464495014</v>
      </c>
      <c r="AC97" s="497">
        <f t="shared" si="116"/>
        <v>-535.54906464495014</v>
      </c>
      <c r="AD97" s="497">
        <f t="shared" si="116"/>
        <v>-532.83637046741114</v>
      </c>
      <c r="AE97" s="497">
        <f t="shared" si="116"/>
        <v>-532.83637046741114</v>
      </c>
      <c r="AF97" s="497">
        <f t="shared" si="116"/>
        <v>-532.83637046741114</v>
      </c>
      <c r="AG97" s="497">
        <f t="shared" si="116"/>
        <v>-532.83637046741114</v>
      </c>
      <c r="AH97" s="497">
        <f t="shared" si="116"/>
        <v>-532.83637046741114</v>
      </c>
      <c r="AI97" s="497">
        <f t="shared" si="116"/>
        <v>-532.83637046741114</v>
      </c>
      <c r="AJ97" s="497">
        <f t="shared" si="116"/>
        <v>-547.17970005600569</v>
      </c>
      <c r="AK97" s="497">
        <f t="shared" si="116"/>
        <v>-547.17970005600569</v>
      </c>
      <c r="AL97" s="497">
        <f t="shared" si="116"/>
        <v>-547.17970005600569</v>
      </c>
      <c r="AM97" s="497">
        <f t="shared" si="116"/>
        <v>-547.17970005600569</v>
      </c>
      <c r="AN97" s="527">
        <f t="shared" si="116"/>
        <v>-547.17970005600569</v>
      </c>
      <c r="AO97" s="527">
        <f t="shared" si="116"/>
        <v>-547.17970005600569</v>
      </c>
      <c r="AP97" s="527">
        <f t="shared" si="116"/>
        <v>-542.04988194490784</v>
      </c>
      <c r="AQ97" s="527">
        <f t="shared" si="116"/>
        <v>-542.04988194490784</v>
      </c>
      <c r="AR97" s="527">
        <f t="shared" si="116"/>
        <v>-542.04988194490784</v>
      </c>
      <c r="AS97" s="527">
        <f t="shared" si="116"/>
        <v>-542.04988194490784</v>
      </c>
      <c r="AT97" s="527">
        <f t="shared" si="116"/>
        <v>-542.04988194490784</v>
      </c>
      <c r="AU97" s="527">
        <f t="shared" si="116"/>
        <v>-542.04988194490784</v>
      </c>
      <c r="AV97" s="527">
        <f t="shared" si="116"/>
        <v>-558.71604960246646</v>
      </c>
      <c r="AW97" s="527">
        <f t="shared" si="116"/>
        <v>-558.71604960246646</v>
      </c>
      <c r="AX97" s="527">
        <f t="shared" ref="AX97:BY97" si="117">AX32/AX$82</f>
        <v>-558.71604960246646</v>
      </c>
      <c r="AY97" s="527">
        <f t="shared" si="117"/>
        <v>-558.71604960246646</v>
      </c>
      <c r="AZ97" s="527">
        <f t="shared" si="117"/>
        <v>-558.71604960246646</v>
      </c>
      <c r="BA97" s="527">
        <f t="shared" si="117"/>
        <v>-558.71604960246646</v>
      </c>
      <c r="BB97" s="527">
        <f t="shared" si="117"/>
        <v>-551.55461773781713</v>
      </c>
      <c r="BC97" s="527">
        <f t="shared" si="117"/>
        <v>-551.55461773781713</v>
      </c>
      <c r="BD97" s="527">
        <f t="shared" si="117"/>
        <v>-551.55461773781713</v>
      </c>
      <c r="BE97" s="527">
        <f t="shared" si="117"/>
        <v>-551.55461773781713</v>
      </c>
      <c r="BF97" s="527">
        <f t="shared" si="117"/>
        <v>-551.55461773781713</v>
      </c>
      <c r="BG97" s="527">
        <f t="shared" si="117"/>
        <v>-551.55461773781713</v>
      </c>
      <c r="BH97" s="527">
        <f t="shared" si="117"/>
        <v>-570.52739537160312</v>
      </c>
      <c r="BI97" s="527">
        <f t="shared" si="117"/>
        <v>-570.52739537160312</v>
      </c>
      <c r="BJ97" s="527">
        <f t="shared" si="117"/>
        <v>-570.52739537160312</v>
      </c>
      <c r="BK97" s="527">
        <f t="shared" si="117"/>
        <v>-570.52739537160312</v>
      </c>
      <c r="BL97" s="527">
        <f t="shared" si="117"/>
        <v>-570.52739537160312</v>
      </c>
      <c r="BM97" s="527">
        <f t="shared" si="117"/>
        <v>-570.52739537160312</v>
      </c>
      <c r="BN97" s="527">
        <f t="shared" si="117"/>
        <v>-561.1649817469754</v>
      </c>
      <c r="BO97" s="527">
        <f t="shared" si="117"/>
        <v>-561.1649817469754</v>
      </c>
      <c r="BP97" s="527">
        <f t="shared" si="117"/>
        <v>-561.1649817469754</v>
      </c>
      <c r="BQ97" s="527">
        <f t="shared" si="117"/>
        <v>-561.1649817469754</v>
      </c>
      <c r="BR97" s="527">
        <f t="shared" si="117"/>
        <v>-561.1649817469754</v>
      </c>
      <c r="BS97" s="527">
        <f t="shared" si="117"/>
        <v>-561.1649817469754</v>
      </c>
      <c r="BT97" s="527">
        <f t="shared" si="117"/>
        <v>-582.40206116692127</v>
      </c>
      <c r="BU97" s="527">
        <f t="shared" si="117"/>
        <v>-582.40206116692127</v>
      </c>
      <c r="BV97" s="527">
        <f t="shared" si="117"/>
        <v>-582.40206116692127</v>
      </c>
      <c r="BW97" s="527">
        <f t="shared" si="117"/>
        <v>-582.40206116692127</v>
      </c>
      <c r="BX97" s="527">
        <f t="shared" si="117"/>
        <v>-582.40206116692127</v>
      </c>
      <c r="BY97" s="527">
        <f t="shared" si="117"/>
        <v>-582.40206116692127</v>
      </c>
      <c r="CB97" s="8"/>
    </row>
    <row r="98" spans="3:80" x14ac:dyDescent="0.3">
      <c r="C98" s="2"/>
      <c r="D98" s="2"/>
      <c r="E98" s="2" t="s">
        <v>393</v>
      </c>
      <c r="F98" s="54"/>
      <c r="G98" s="54"/>
      <c r="H98" s="54"/>
      <c r="I98" s="497">
        <f t="shared" si="112"/>
        <v>-745.57342763024189</v>
      </c>
      <c r="J98" s="497">
        <f t="shared" si="112"/>
        <v>-754.11058496774535</v>
      </c>
      <c r="K98" s="497">
        <f t="shared" si="112"/>
        <v>-768.99753189199816</v>
      </c>
      <c r="L98" s="497">
        <f t="shared" si="112"/>
        <v>-783.77193419028276</v>
      </c>
      <c r="M98" s="497">
        <f t="shared" si="112"/>
        <v>-798.94949918973452</v>
      </c>
      <c r="N98" s="497">
        <f t="shared" si="112"/>
        <v>-814.24735941903782</v>
      </c>
      <c r="O98" s="37"/>
      <c r="P98" s="50">
        <f t="shared" si="113"/>
        <v>1.7778301040401123E-2</v>
      </c>
      <c r="R98" s="497">
        <f t="shared" ref="R98:AW98" si="118">R33/R$82</f>
        <v>-62.131118969186829</v>
      </c>
      <c r="S98" s="497">
        <f t="shared" si="118"/>
        <v>-62.131118969186829</v>
      </c>
      <c r="T98" s="497">
        <f t="shared" si="118"/>
        <v>-62.131118969186829</v>
      </c>
      <c r="U98" s="497">
        <f t="shared" si="118"/>
        <v>-62.131118969186829</v>
      </c>
      <c r="V98" s="497">
        <f t="shared" si="118"/>
        <v>-62.131118969186829</v>
      </c>
      <c r="W98" s="497">
        <f t="shared" si="118"/>
        <v>-62.131118969186829</v>
      </c>
      <c r="X98" s="497">
        <f t="shared" si="118"/>
        <v>-63.55397852543738</v>
      </c>
      <c r="Y98" s="497">
        <f t="shared" si="118"/>
        <v>-63.55397852543738</v>
      </c>
      <c r="Z98" s="497">
        <f t="shared" si="118"/>
        <v>-63.55397852543738</v>
      </c>
      <c r="AA98" s="497">
        <f t="shared" si="118"/>
        <v>-63.55397852543738</v>
      </c>
      <c r="AB98" s="497">
        <f t="shared" si="118"/>
        <v>-63.55397852543738</v>
      </c>
      <c r="AC98" s="497">
        <f t="shared" si="118"/>
        <v>-63.55397852543738</v>
      </c>
      <c r="AD98" s="497">
        <f t="shared" si="118"/>
        <v>-63.23206122805643</v>
      </c>
      <c r="AE98" s="497">
        <f t="shared" si="118"/>
        <v>-63.23206122805643</v>
      </c>
      <c r="AF98" s="497">
        <f t="shared" si="118"/>
        <v>-63.23206122805643</v>
      </c>
      <c r="AG98" s="497">
        <f t="shared" si="118"/>
        <v>-63.23206122805643</v>
      </c>
      <c r="AH98" s="497">
        <f t="shared" si="118"/>
        <v>-63.23206122805643</v>
      </c>
      <c r="AI98" s="497">
        <f t="shared" si="118"/>
        <v>-63.23206122805643</v>
      </c>
      <c r="AJ98" s="497">
        <f t="shared" si="118"/>
        <v>-64.934194087276637</v>
      </c>
      <c r="AK98" s="497">
        <f t="shared" si="118"/>
        <v>-64.934194087276637</v>
      </c>
      <c r="AL98" s="497">
        <f t="shared" si="118"/>
        <v>-64.934194087276637</v>
      </c>
      <c r="AM98" s="497">
        <f t="shared" si="118"/>
        <v>-64.934194087276637</v>
      </c>
      <c r="AN98" s="527">
        <f t="shared" si="118"/>
        <v>-64.934194087276637</v>
      </c>
      <c r="AO98" s="527">
        <f t="shared" si="118"/>
        <v>-64.934194087276637</v>
      </c>
      <c r="AP98" s="527">
        <f t="shared" si="118"/>
        <v>-64.325435018136531</v>
      </c>
      <c r="AQ98" s="527">
        <f t="shared" si="118"/>
        <v>-64.325435018136531</v>
      </c>
      <c r="AR98" s="527">
        <f t="shared" si="118"/>
        <v>-64.325435018136531</v>
      </c>
      <c r="AS98" s="527">
        <f t="shared" si="118"/>
        <v>-64.325435018136531</v>
      </c>
      <c r="AT98" s="527">
        <f t="shared" si="118"/>
        <v>-64.325435018136531</v>
      </c>
      <c r="AU98" s="527">
        <f t="shared" si="118"/>
        <v>-64.325435018136531</v>
      </c>
      <c r="AV98" s="527">
        <f t="shared" si="118"/>
        <v>-66.303220680243939</v>
      </c>
      <c r="AW98" s="527">
        <f t="shared" si="118"/>
        <v>-66.303220680243939</v>
      </c>
      <c r="AX98" s="527">
        <f t="shared" ref="AX98:BY98" si="119">AX33/AX$82</f>
        <v>-66.303220680243939</v>
      </c>
      <c r="AY98" s="527">
        <f t="shared" si="119"/>
        <v>-66.303220680243939</v>
      </c>
      <c r="AZ98" s="527">
        <f t="shared" si="119"/>
        <v>-66.303220680243939</v>
      </c>
      <c r="BA98" s="527">
        <f t="shared" si="119"/>
        <v>-66.303220680243939</v>
      </c>
      <c r="BB98" s="527">
        <f t="shared" si="119"/>
        <v>-65.453368599484449</v>
      </c>
      <c r="BC98" s="527">
        <f t="shared" si="119"/>
        <v>-65.453368599484449</v>
      </c>
      <c r="BD98" s="527">
        <f t="shared" si="119"/>
        <v>-65.453368599484449</v>
      </c>
      <c r="BE98" s="527">
        <f t="shared" si="119"/>
        <v>-65.453368599484449</v>
      </c>
      <c r="BF98" s="527">
        <f t="shared" si="119"/>
        <v>-65.453368599484449</v>
      </c>
      <c r="BG98" s="527">
        <f t="shared" si="119"/>
        <v>-65.453368599484449</v>
      </c>
      <c r="BH98" s="527">
        <f t="shared" si="119"/>
        <v>-67.704881265471315</v>
      </c>
      <c r="BI98" s="527">
        <f t="shared" si="119"/>
        <v>-67.704881265471315</v>
      </c>
      <c r="BJ98" s="527">
        <f t="shared" si="119"/>
        <v>-67.704881265471315</v>
      </c>
      <c r="BK98" s="527">
        <f t="shared" si="119"/>
        <v>-67.704881265471315</v>
      </c>
      <c r="BL98" s="527">
        <f t="shared" si="119"/>
        <v>-67.704881265471315</v>
      </c>
      <c r="BM98" s="527">
        <f t="shared" si="119"/>
        <v>-67.704881265471315</v>
      </c>
      <c r="BN98" s="527">
        <f t="shared" si="119"/>
        <v>-66.593837154433032</v>
      </c>
      <c r="BO98" s="527">
        <f t="shared" si="119"/>
        <v>-66.593837154433032</v>
      </c>
      <c r="BP98" s="527">
        <f t="shared" si="119"/>
        <v>-66.593837154433032</v>
      </c>
      <c r="BQ98" s="527">
        <f t="shared" si="119"/>
        <v>-66.593837154433032</v>
      </c>
      <c r="BR98" s="527">
        <f t="shared" si="119"/>
        <v>-66.593837154433032</v>
      </c>
      <c r="BS98" s="527">
        <f t="shared" si="119"/>
        <v>-66.593837154433032</v>
      </c>
      <c r="BT98" s="527">
        <f t="shared" si="119"/>
        <v>-69.114056082073276</v>
      </c>
      <c r="BU98" s="527">
        <f t="shared" si="119"/>
        <v>-69.114056082073276</v>
      </c>
      <c r="BV98" s="527">
        <f t="shared" si="119"/>
        <v>-69.114056082073276</v>
      </c>
      <c r="BW98" s="527">
        <f t="shared" si="119"/>
        <v>-69.114056082073276</v>
      </c>
      <c r="BX98" s="527">
        <f t="shared" si="119"/>
        <v>-69.114056082073276</v>
      </c>
      <c r="BY98" s="527">
        <f t="shared" si="119"/>
        <v>-69.114056082073276</v>
      </c>
      <c r="CB98" s="8"/>
    </row>
    <row r="99" spans="3:80" x14ac:dyDescent="0.3">
      <c r="C99" s="2"/>
      <c r="D99" s="2"/>
      <c r="E99" s="4" t="s">
        <v>394</v>
      </c>
      <c r="F99" s="5"/>
      <c r="G99" s="5"/>
      <c r="H99" s="5"/>
      <c r="I99" s="500">
        <f t="shared" si="112"/>
        <v>4109.542307692308</v>
      </c>
      <c r="J99" s="500">
        <f t="shared" si="112"/>
        <v>5802.0362970941442</v>
      </c>
      <c r="K99" s="498">
        <f t="shared" si="112"/>
        <v>5916.5746793012095</v>
      </c>
      <c r="L99" s="500">
        <f t="shared" si="112"/>
        <v>6030.2471566689492</v>
      </c>
      <c r="M99" s="500">
        <f t="shared" si="112"/>
        <v>6147.0215194530119</v>
      </c>
      <c r="N99" s="500">
        <f t="shared" si="112"/>
        <v>6264.7214192920874</v>
      </c>
      <c r="O99" s="57"/>
      <c r="P99" s="55">
        <f t="shared" si="113"/>
        <v>8.7981877845840106E-2</v>
      </c>
      <c r="R99" s="498">
        <f t="shared" ref="R99:AW99" si="120">R34/R$82</f>
        <v>478.02936946404913</v>
      </c>
      <c r="S99" s="500">
        <f t="shared" si="120"/>
        <v>478.02936946404913</v>
      </c>
      <c r="T99" s="498">
        <f t="shared" si="120"/>
        <v>478.02936946404913</v>
      </c>
      <c r="U99" s="500">
        <f t="shared" si="120"/>
        <v>478.02936946404913</v>
      </c>
      <c r="V99" s="500">
        <f t="shared" si="120"/>
        <v>478.02936946404913</v>
      </c>
      <c r="W99" s="500">
        <f t="shared" si="120"/>
        <v>478.02936946404913</v>
      </c>
      <c r="X99" s="500">
        <f t="shared" si="120"/>
        <v>488.97668005164161</v>
      </c>
      <c r="Y99" s="500">
        <f t="shared" si="120"/>
        <v>488.97668005164161</v>
      </c>
      <c r="Z99" s="500">
        <f t="shared" si="120"/>
        <v>488.97668005164161</v>
      </c>
      <c r="AA99" s="500">
        <f t="shared" si="120"/>
        <v>488.97668005164161</v>
      </c>
      <c r="AB99" s="500">
        <f t="shared" si="120"/>
        <v>488.97668005164161</v>
      </c>
      <c r="AC99" s="500">
        <f t="shared" si="120"/>
        <v>488.97668005164161</v>
      </c>
      <c r="AD99" s="500">
        <f t="shared" si="120"/>
        <v>486.49988701717342</v>
      </c>
      <c r="AE99" s="500">
        <f t="shared" si="120"/>
        <v>486.49988701717342</v>
      </c>
      <c r="AF99" s="500">
        <f t="shared" si="120"/>
        <v>486.49988701717342</v>
      </c>
      <c r="AG99" s="500">
        <f t="shared" si="120"/>
        <v>486.49988701717342</v>
      </c>
      <c r="AH99" s="500">
        <f t="shared" si="120"/>
        <v>486.49988701717342</v>
      </c>
      <c r="AI99" s="500">
        <f t="shared" si="120"/>
        <v>486.49988701717342</v>
      </c>
      <c r="AJ99" s="500">
        <f t="shared" si="120"/>
        <v>499.59589286636168</v>
      </c>
      <c r="AK99" s="500">
        <f t="shared" si="120"/>
        <v>499.59589286636168</v>
      </c>
      <c r="AL99" s="500">
        <f t="shared" si="120"/>
        <v>499.59589286636168</v>
      </c>
      <c r="AM99" s="500">
        <f t="shared" si="120"/>
        <v>499.59589286636168</v>
      </c>
      <c r="AN99" s="532">
        <f t="shared" si="120"/>
        <v>499.59589286636168</v>
      </c>
      <c r="AO99" s="532">
        <f t="shared" si="120"/>
        <v>499.59589286636168</v>
      </c>
      <c r="AP99" s="532">
        <f t="shared" si="120"/>
        <v>494.91217368015333</v>
      </c>
      <c r="AQ99" s="532">
        <f t="shared" si="120"/>
        <v>494.91217368015333</v>
      </c>
      <c r="AR99" s="532">
        <f t="shared" si="120"/>
        <v>494.91217368015333</v>
      </c>
      <c r="AS99" s="532">
        <f t="shared" si="120"/>
        <v>494.91217368015333</v>
      </c>
      <c r="AT99" s="532">
        <f t="shared" si="120"/>
        <v>494.91217368015333</v>
      </c>
      <c r="AU99" s="532">
        <f t="shared" si="120"/>
        <v>494.91217368015333</v>
      </c>
      <c r="AV99" s="532">
        <f t="shared" si="120"/>
        <v>510.12901909800468</v>
      </c>
      <c r="AW99" s="532">
        <f t="shared" si="120"/>
        <v>510.12901909800468</v>
      </c>
      <c r="AX99" s="532">
        <f t="shared" ref="AX99:BY99" si="121">AX34/AX$82</f>
        <v>510.12901909800468</v>
      </c>
      <c r="AY99" s="532">
        <f t="shared" si="121"/>
        <v>510.12901909800468</v>
      </c>
      <c r="AZ99" s="532">
        <f t="shared" si="121"/>
        <v>510.12901909800468</v>
      </c>
      <c r="BA99" s="532">
        <f t="shared" si="121"/>
        <v>510.12901909800468</v>
      </c>
      <c r="BB99" s="532">
        <f t="shared" si="121"/>
        <v>503.59035922766429</v>
      </c>
      <c r="BC99" s="532">
        <f t="shared" si="121"/>
        <v>503.59035922766429</v>
      </c>
      <c r="BD99" s="532">
        <f t="shared" si="121"/>
        <v>503.59035922766429</v>
      </c>
      <c r="BE99" s="532">
        <f t="shared" si="121"/>
        <v>503.59035922766429</v>
      </c>
      <c r="BF99" s="532">
        <f t="shared" si="121"/>
        <v>503.59035922766429</v>
      </c>
      <c r="BG99" s="532">
        <f t="shared" si="121"/>
        <v>503.59035922766429</v>
      </c>
      <c r="BH99" s="532">
        <f t="shared" si="121"/>
        <v>520.91322734783762</v>
      </c>
      <c r="BI99" s="532">
        <f t="shared" si="121"/>
        <v>520.91322734783762</v>
      </c>
      <c r="BJ99" s="532">
        <f t="shared" si="121"/>
        <v>520.91322734783762</v>
      </c>
      <c r="BK99" s="532">
        <f t="shared" si="121"/>
        <v>520.91322734783762</v>
      </c>
      <c r="BL99" s="532">
        <f t="shared" si="121"/>
        <v>520.91322734783762</v>
      </c>
      <c r="BM99" s="532">
        <f t="shared" si="121"/>
        <v>520.91322734783762</v>
      </c>
      <c r="BN99" s="532">
        <f t="shared" si="121"/>
        <v>512.36498735702435</v>
      </c>
      <c r="BO99" s="532">
        <f t="shared" si="121"/>
        <v>512.36498735702435</v>
      </c>
      <c r="BP99" s="532">
        <f t="shared" si="121"/>
        <v>512.36498735702435</v>
      </c>
      <c r="BQ99" s="532">
        <f t="shared" si="121"/>
        <v>512.36498735702435</v>
      </c>
      <c r="BR99" s="532">
        <f t="shared" si="121"/>
        <v>512.36498735702435</v>
      </c>
      <c r="BS99" s="532">
        <f t="shared" si="121"/>
        <v>512.36498735702435</v>
      </c>
      <c r="BT99" s="532">
        <f t="shared" si="121"/>
        <v>531.75524919165684</v>
      </c>
      <c r="BU99" s="532">
        <f t="shared" si="121"/>
        <v>531.75524919165684</v>
      </c>
      <c r="BV99" s="532">
        <f t="shared" si="121"/>
        <v>531.75524919165684</v>
      </c>
      <c r="BW99" s="532">
        <f t="shared" si="121"/>
        <v>531.75524919165684</v>
      </c>
      <c r="BX99" s="532">
        <f t="shared" si="121"/>
        <v>531.75524919165684</v>
      </c>
      <c r="BY99" s="532">
        <f t="shared" si="121"/>
        <v>531.75524919165684</v>
      </c>
      <c r="CB99" s="8"/>
    </row>
    <row r="100" spans="3:80" x14ac:dyDescent="0.3">
      <c r="C100" s="2"/>
      <c r="D100" s="2"/>
      <c r="E100" s="2" t="s">
        <v>395</v>
      </c>
      <c r="F100" s="54"/>
      <c r="G100" s="54"/>
      <c r="H100" s="54"/>
      <c r="I100" s="497">
        <f t="shared" si="112"/>
        <v>-1270.2513528866521</v>
      </c>
      <c r="J100" s="497">
        <f t="shared" si="112"/>
        <v>-1284.7963128542269</v>
      </c>
      <c r="K100" s="497">
        <f t="shared" si="112"/>
        <v>-1310.1595618248741</v>
      </c>
      <c r="L100" s="497">
        <f t="shared" si="112"/>
        <v>-1335.3310658136068</v>
      </c>
      <c r="M100" s="497">
        <f t="shared" si="112"/>
        <v>-1361.1894477778842</v>
      </c>
      <c r="N100" s="497">
        <f t="shared" si="112"/>
        <v>-1387.2527796140348</v>
      </c>
      <c r="O100" s="37"/>
      <c r="P100" s="50">
        <f t="shared" si="113"/>
        <v>1.7778301040401123E-2</v>
      </c>
      <c r="R100" s="497">
        <f t="shared" ref="R100:AW100" si="122">R35/R$82</f>
        <v>-105.854279407221</v>
      </c>
      <c r="S100" s="497">
        <f t="shared" si="122"/>
        <v>-105.854279407221</v>
      </c>
      <c r="T100" s="497">
        <f t="shared" si="122"/>
        <v>-105.854279407221</v>
      </c>
      <c r="U100" s="497">
        <f t="shared" si="122"/>
        <v>-105.854279407221</v>
      </c>
      <c r="V100" s="497">
        <f t="shared" si="122"/>
        <v>-105.854279407221</v>
      </c>
      <c r="W100" s="497">
        <f t="shared" si="122"/>
        <v>-105.854279407221</v>
      </c>
      <c r="X100" s="497">
        <f t="shared" si="122"/>
        <v>-108.2784394018169</v>
      </c>
      <c r="Y100" s="497">
        <f t="shared" si="122"/>
        <v>-108.2784394018169</v>
      </c>
      <c r="Z100" s="497">
        <f t="shared" si="122"/>
        <v>-108.2784394018169</v>
      </c>
      <c r="AA100" s="497">
        <f t="shared" si="122"/>
        <v>-108.2784394018169</v>
      </c>
      <c r="AB100" s="497">
        <f t="shared" si="122"/>
        <v>-108.2784394018169</v>
      </c>
      <c r="AC100" s="497">
        <f t="shared" si="122"/>
        <v>-108.2784394018169</v>
      </c>
      <c r="AD100" s="497">
        <f t="shared" si="122"/>
        <v>-107.72998117173286</v>
      </c>
      <c r="AE100" s="497">
        <f t="shared" si="122"/>
        <v>-107.72998117173286</v>
      </c>
      <c r="AF100" s="497">
        <f t="shared" si="122"/>
        <v>-107.72998117173286</v>
      </c>
      <c r="AG100" s="497">
        <f t="shared" si="122"/>
        <v>-107.72998117173286</v>
      </c>
      <c r="AH100" s="497">
        <f t="shared" si="122"/>
        <v>-107.72998117173286</v>
      </c>
      <c r="AI100" s="497">
        <f t="shared" si="122"/>
        <v>-107.72998117173286</v>
      </c>
      <c r="AJ100" s="497">
        <f t="shared" si="122"/>
        <v>-110.62994579907948</v>
      </c>
      <c r="AK100" s="497">
        <f t="shared" si="122"/>
        <v>-110.62994579907948</v>
      </c>
      <c r="AL100" s="497">
        <f t="shared" si="122"/>
        <v>-110.62994579907948</v>
      </c>
      <c r="AM100" s="497">
        <f t="shared" si="122"/>
        <v>-110.62994579907948</v>
      </c>
      <c r="AN100" s="527">
        <f t="shared" si="122"/>
        <v>-110.62994579907948</v>
      </c>
      <c r="AO100" s="527">
        <f t="shared" si="122"/>
        <v>-110.62994579907948</v>
      </c>
      <c r="AP100" s="527">
        <f t="shared" si="122"/>
        <v>-109.5927883542185</v>
      </c>
      <c r="AQ100" s="527">
        <f t="shared" si="122"/>
        <v>-109.5927883542185</v>
      </c>
      <c r="AR100" s="527">
        <f t="shared" si="122"/>
        <v>-109.5927883542185</v>
      </c>
      <c r="AS100" s="527">
        <f t="shared" si="122"/>
        <v>-109.5927883542185</v>
      </c>
      <c r="AT100" s="527">
        <f t="shared" si="122"/>
        <v>-109.5927883542185</v>
      </c>
      <c r="AU100" s="527">
        <f t="shared" si="122"/>
        <v>-109.5927883542185</v>
      </c>
      <c r="AV100" s="527">
        <f t="shared" si="122"/>
        <v>-112.96238928138257</v>
      </c>
      <c r="AW100" s="527">
        <f t="shared" si="122"/>
        <v>-112.96238928138257</v>
      </c>
      <c r="AX100" s="527">
        <f t="shared" ref="AX100:BY100" si="123">AX35/AX$82</f>
        <v>-112.96238928138257</v>
      </c>
      <c r="AY100" s="527">
        <f t="shared" si="123"/>
        <v>-112.96238928138257</v>
      </c>
      <c r="AZ100" s="527">
        <f t="shared" si="123"/>
        <v>-112.96238928138257</v>
      </c>
      <c r="BA100" s="527">
        <f t="shared" si="123"/>
        <v>-112.96238928138257</v>
      </c>
      <c r="BB100" s="527">
        <f t="shared" si="123"/>
        <v>-111.51447588300746</v>
      </c>
      <c r="BC100" s="527">
        <f t="shared" si="123"/>
        <v>-111.51447588300746</v>
      </c>
      <c r="BD100" s="527">
        <f t="shared" si="123"/>
        <v>-111.51447588300746</v>
      </c>
      <c r="BE100" s="527">
        <f t="shared" si="123"/>
        <v>-111.51447588300746</v>
      </c>
      <c r="BF100" s="527">
        <f t="shared" si="123"/>
        <v>-111.51447588300746</v>
      </c>
      <c r="BG100" s="527">
        <f t="shared" si="123"/>
        <v>-111.51447588300746</v>
      </c>
      <c r="BH100" s="527">
        <f t="shared" si="123"/>
        <v>-115.35043207997329</v>
      </c>
      <c r="BI100" s="527">
        <f t="shared" si="123"/>
        <v>-115.35043207997329</v>
      </c>
      <c r="BJ100" s="527">
        <f t="shared" si="123"/>
        <v>-115.35043207997329</v>
      </c>
      <c r="BK100" s="527">
        <f t="shared" si="123"/>
        <v>-115.35043207997329</v>
      </c>
      <c r="BL100" s="527">
        <f t="shared" si="123"/>
        <v>-115.35043207997329</v>
      </c>
      <c r="BM100" s="527">
        <f t="shared" si="123"/>
        <v>-115.35043207997329</v>
      </c>
      <c r="BN100" s="527">
        <f t="shared" si="123"/>
        <v>-113.45751954733528</v>
      </c>
      <c r="BO100" s="527">
        <f t="shared" si="123"/>
        <v>-113.45751954733528</v>
      </c>
      <c r="BP100" s="527">
        <f t="shared" si="123"/>
        <v>-113.45751954733528</v>
      </c>
      <c r="BQ100" s="527">
        <f t="shared" si="123"/>
        <v>-113.45751954733528</v>
      </c>
      <c r="BR100" s="527">
        <f t="shared" si="123"/>
        <v>-113.45751954733528</v>
      </c>
      <c r="BS100" s="527">
        <f t="shared" si="123"/>
        <v>-113.45751954733528</v>
      </c>
      <c r="BT100" s="527">
        <f t="shared" si="123"/>
        <v>-117.75127705500391</v>
      </c>
      <c r="BU100" s="527">
        <f t="shared" si="123"/>
        <v>-117.75127705500391</v>
      </c>
      <c r="BV100" s="527">
        <f t="shared" si="123"/>
        <v>-117.75127705500391</v>
      </c>
      <c r="BW100" s="527">
        <f t="shared" si="123"/>
        <v>-117.75127705500391</v>
      </c>
      <c r="BX100" s="527">
        <f t="shared" si="123"/>
        <v>-117.75127705500391</v>
      </c>
      <c r="BY100" s="527">
        <f t="shared" si="123"/>
        <v>-117.75127705500391</v>
      </c>
      <c r="CB100" s="8"/>
    </row>
    <row r="101" spans="3:80" x14ac:dyDescent="0.3">
      <c r="C101" s="2"/>
      <c r="D101" s="2"/>
      <c r="E101" s="4" t="s">
        <v>396</v>
      </c>
      <c r="F101" s="5"/>
      <c r="G101" s="5"/>
      <c r="H101" s="5"/>
      <c r="I101" s="498">
        <f t="shared" si="112"/>
        <v>4466.1010806819349</v>
      </c>
      <c r="J101" s="498">
        <f t="shared" si="112"/>
        <v>4517.2399842399163</v>
      </c>
      <c r="K101" s="498">
        <f t="shared" si="112"/>
        <v>4606.4151174763365</v>
      </c>
      <c r="L101" s="498">
        <f t="shared" si="112"/>
        <v>4694.9160908553404</v>
      </c>
      <c r="M101" s="498">
        <f t="shared" si="112"/>
        <v>4785.8320716751268</v>
      </c>
      <c r="N101" s="498">
        <f t="shared" si="112"/>
        <v>4877.4686396780517</v>
      </c>
      <c r="O101" s="57"/>
      <c r="P101" s="55">
        <f t="shared" si="113"/>
        <v>1.7778301040401123E-2</v>
      </c>
      <c r="R101" s="498">
        <f t="shared" ref="R101:AW101" si="124">R36/R$82</f>
        <v>372.17509005682814</v>
      </c>
      <c r="S101" s="498">
        <f t="shared" si="124"/>
        <v>372.17509005682814</v>
      </c>
      <c r="T101" s="498">
        <f t="shared" si="124"/>
        <v>372.17509005682814</v>
      </c>
      <c r="U101" s="498">
        <f t="shared" si="124"/>
        <v>372.17509005682814</v>
      </c>
      <c r="V101" s="498">
        <f t="shared" si="124"/>
        <v>372.17509005682814</v>
      </c>
      <c r="W101" s="498">
        <f t="shared" si="124"/>
        <v>372.17509005682814</v>
      </c>
      <c r="X101" s="498">
        <f t="shared" si="124"/>
        <v>380.6982406498247</v>
      </c>
      <c r="Y101" s="498">
        <f t="shared" si="124"/>
        <v>380.6982406498247</v>
      </c>
      <c r="Z101" s="498">
        <f t="shared" si="124"/>
        <v>380.6982406498247</v>
      </c>
      <c r="AA101" s="498">
        <f t="shared" si="124"/>
        <v>380.6982406498247</v>
      </c>
      <c r="AB101" s="498">
        <f t="shared" si="124"/>
        <v>380.6982406498247</v>
      </c>
      <c r="AC101" s="498">
        <f t="shared" si="124"/>
        <v>380.6982406498247</v>
      </c>
      <c r="AD101" s="498">
        <f t="shared" si="124"/>
        <v>378.76990584544052</v>
      </c>
      <c r="AE101" s="498">
        <f t="shared" si="124"/>
        <v>378.76990584544052</v>
      </c>
      <c r="AF101" s="498">
        <f t="shared" si="124"/>
        <v>378.76990584544052</v>
      </c>
      <c r="AG101" s="498">
        <f t="shared" si="124"/>
        <v>378.76990584544052</v>
      </c>
      <c r="AH101" s="498">
        <f t="shared" si="124"/>
        <v>378.76990584544052</v>
      </c>
      <c r="AI101" s="498">
        <f t="shared" si="124"/>
        <v>378.76990584544052</v>
      </c>
      <c r="AJ101" s="498">
        <f t="shared" si="124"/>
        <v>388.96594706728223</v>
      </c>
      <c r="AK101" s="498">
        <f t="shared" si="124"/>
        <v>388.96594706728223</v>
      </c>
      <c r="AL101" s="498">
        <f t="shared" si="124"/>
        <v>388.96594706728223</v>
      </c>
      <c r="AM101" s="498">
        <f t="shared" si="124"/>
        <v>388.96594706728223</v>
      </c>
      <c r="AN101" s="530">
        <f t="shared" si="124"/>
        <v>388.96594706728223</v>
      </c>
      <c r="AO101" s="530">
        <f t="shared" si="124"/>
        <v>388.96594706728223</v>
      </c>
      <c r="AP101" s="530">
        <f t="shared" si="124"/>
        <v>385.31938532593483</v>
      </c>
      <c r="AQ101" s="530">
        <f t="shared" si="124"/>
        <v>385.31938532593483</v>
      </c>
      <c r="AR101" s="530">
        <f t="shared" si="124"/>
        <v>385.31938532593483</v>
      </c>
      <c r="AS101" s="530">
        <f t="shared" si="124"/>
        <v>385.31938532593483</v>
      </c>
      <c r="AT101" s="530">
        <f t="shared" si="124"/>
        <v>385.31938532593483</v>
      </c>
      <c r="AU101" s="530">
        <f t="shared" si="124"/>
        <v>385.31938532593483</v>
      </c>
      <c r="AV101" s="530">
        <f t="shared" si="124"/>
        <v>397.16662981662211</v>
      </c>
      <c r="AW101" s="530">
        <f t="shared" si="124"/>
        <v>397.16662981662211</v>
      </c>
      <c r="AX101" s="530">
        <f t="shared" ref="AX101:BY101" si="125">AX36/AX$82</f>
        <v>397.16662981662211</v>
      </c>
      <c r="AY101" s="530">
        <f t="shared" si="125"/>
        <v>397.16662981662211</v>
      </c>
      <c r="AZ101" s="530">
        <f t="shared" si="125"/>
        <v>397.16662981662211</v>
      </c>
      <c r="BA101" s="530">
        <f t="shared" si="125"/>
        <v>397.16662981662211</v>
      </c>
      <c r="BB101" s="530">
        <f t="shared" si="125"/>
        <v>392.0758833446568</v>
      </c>
      <c r="BC101" s="530">
        <f t="shared" si="125"/>
        <v>392.0758833446568</v>
      </c>
      <c r="BD101" s="530">
        <f t="shared" si="125"/>
        <v>392.0758833446568</v>
      </c>
      <c r="BE101" s="530">
        <f t="shared" si="125"/>
        <v>392.0758833446568</v>
      </c>
      <c r="BF101" s="530">
        <f t="shared" si="125"/>
        <v>392.0758833446568</v>
      </c>
      <c r="BG101" s="530">
        <f t="shared" si="125"/>
        <v>392.0758833446568</v>
      </c>
      <c r="BH101" s="530">
        <f t="shared" si="125"/>
        <v>405.56279526786432</v>
      </c>
      <c r="BI101" s="530">
        <f t="shared" si="125"/>
        <v>405.56279526786432</v>
      </c>
      <c r="BJ101" s="530">
        <f t="shared" si="125"/>
        <v>405.56279526786432</v>
      </c>
      <c r="BK101" s="530">
        <f t="shared" si="125"/>
        <v>405.56279526786432</v>
      </c>
      <c r="BL101" s="530">
        <f t="shared" si="125"/>
        <v>405.56279526786432</v>
      </c>
      <c r="BM101" s="530">
        <f t="shared" si="125"/>
        <v>405.56279526786432</v>
      </c>
      <c r="BN101" s="530">
        <f t="shared" si="125"/>
        <v>398.90746780968908</v>
      </c>
      <c r="BO101" s="530">
        <f t="shared" si="125"/>
        <v>398.90746780968908</v>
      </c>
      <c r="BP101" s="530">
        <f t="shared" si="125"/>
        <v>398.90746780968908</v>
      </c>
      <c r="BQ101" s="530">
        <f t="shared" si="125"/>
        <v>398.90746780968908</v>
      </c>
      <c r="BR101" s="530">
        <f t="shared" si="125"/>
        <v>398.90746780968908</v>
      </c>
      <c r="BS101" s="530">
        <f t="shared" si="125"/>
        <v>398.90746780968908</v>
      </c>
      <c r="BT101" s="530">
        <f t="shared" si="125"/>
        <v>414.00397213665292</v>
      </c>
      <c r="BU101" s="530">
        <f t="shared" si="125"/>
        <v>414.00397213665292</v>
      </c>
      <c r="BV101" s="530">
        <f t="shared" si="125"/>
        <v>414.00397213665292</v>
      </c>
      <c r="BW101" s="530">
        <f t="shared" si="125"/>
        <v>414.00397213665292</v>
      </c>
      <c r="BX101" s="530">
        <f t="shared" si="125"/>
        <v>414.00397213665292</v>
      </c>
      <c r="BY101" s="530">
        <f t="shared" si="125"/>
        <v>414.00397213665292</v>
      </c>
      <c r="CB101" s="8"/>
    </row>
    <row r="102" spans="3:80" x14ac:dyDescent="0.3">
      <c r="C102" s="2"/>
      <c r="D102" s="2"/>
      <c r="E102" s="2" t="s">
        <v>176</v>
      </c>
      <c r="F102" s="58"/>
      <c r="G102" s="58"/>
      <c r="H102" s="58"/>
      <c r="I102" s="499">
        <f t="shared" ref="I102:N102" si="126">IFERROR(I101/I96,0)</f>
        <v>0.3498808336603299</v>
      </c>
      <c r="J102" s="499">
        <f t="shared" si="126"/>
        <v>0.34988083366033002</v>
      </c>
      <c r="K102" s="499">
        <f t="shared" si="126"/>
        <v>0.34988083366033002</v>
      </c>
      <c r="L102" s="499">
        <f t="shared" si="126"/>
        <v>0.34988083366032996</v>
      </c>
      <c r="M102" s="499">
        <f t="shared" si="126"/>
        <v>0.34988083366032996</v>
      </c>
      <c r="N102" s="499">
        <f t="shared" si="126"/>
        <v>0.34988083366033007</v>
      </c>
      <c r="O102" s="23"/>
      <c r="P102" s="50">
        <f t="shared" si="113"/>
        <v>0</v>
      </c>
      <c r="R102" s="499">
        <f t="shared" ref="R102:BY102" si="127">IFERROR(R101/R96,0)</f>
        <v>0.34988083366033002</v>
      </c>
      <c r="S102" s="499">
        <f t="shared" si="127"/>
        <v>0.34988083366033002</v>
      </c>
      <c r="T102" s="499">
        <f t="shared" si="127"/>
        <v>0.34988083366033002</v>
      </c>
      <c r="U102" s="499">
        <f t="shared" si="127"/>
        <v>0.34988083366033002</v>
      </c>
      <c r="V102" s="499">
        <f t="shared" si="127"/>
        <v>0.34988083366033002</v>
      </c>
      <c r="W102" s="499">
        <f t="shared" si="127"/>
        <v>0.34988083366033002</v>
      </c>
      <c r="X102" s="499">
        <f t="shared" si="127"/>
        <v>0.34988083366033002</v>
      </c>
      <c r="Y102" s="499">
        <f t="shared" si="127"/>
        <v>0.34988083366033002</v>
      </c>
      <c r="Z102" s="499">
        <f t="shared" si="127"/>
        <v>0.34988083366033002</v>
      </c>
      <c r="AA102" s="499">
        <f t="shared" si="127"/>
        <v>0.34988083366033002</v>
      </c>
      <c r="AB102" s="499">
        <f t="shared" si="127"/>
        <v>0.34988083366033002</v>
      </c>
      <c r="AC102" s="499">
        <f t="shared" si="127"/>
        <v>0.34988083366033002</v>
      </c>
      <c r="AD102" s="499">
        <f t="shared" si="127"/>
        <v>0.34988083366032985</v>
      </c>
      <c r="AE102" s="499">
        <f t="shared" si="127"/>
        <v>0.34988083366032985</v>
      </c>
      <c r="AF102" s="499">
        <f t="shared" si="127"/>
        <v>0.34988083366032985</v>
      </c>
      <c r="AG102" s="499">
        <f t="shared" si="127"/>
        <v>0.34988083366032985</v>
      </c>
      <c r="AH102" s="499">
        <f t="shared" si="127"/>
        <v>0.34988083366032985</v>
      </c>
      <c r="AI102" s="499">
        <f t="shared" si="127"/>
        <v>0.34988083366032985</v>
      </c>
      <c r="AJ102" s="499">
        <f t="shared" si="127"/>
        <v>0.34988083366033007</v>
      </c>
      <c r="AK102" s="499">
        <f t="shared" si="127"/>
        <v>0.34988083366033007</v>
      </c>
      <c r="AL102" s="499">
        <f t="shared" si="127"/>
        <v>0.34988083366033007</v>
      </c>
      <c r="AM102" s="499">
        <f t="shared" si="127"/>
        <v>0.34988083366033007</v>
      </c>
      <c r="AN102" s="531">
        <f t="shared" si="127"/>
        <v>0.34988083366033007</v>
      </c>
      <c r="AO102" s="531">
        <f t="shared" si="127"/>
        <v>0.34988083366033007</v>
      </c>
      <c r="AP102" s="531">
        <f t="shared" si="127"/>
        <v>0.34988083366033002</v>
      </c>
      <c r="AQ102" s="531">
        <f t="shared" si="127"/>
        <v>0.34988083366033002</v>
      </c>
      <c r="AR102" s="531">
        <f t="shared" si="127"/>
        <v>0.34988083366033002</v>
      </c>
      <c r="AS102" s="531">
        <f t="shared" si="127"/>
        <v>0.34988083366033002</v>
      </c>
      <c r="AT102" s="531">
        <f t="shared" si="127"/>
        <v>0.34988083366033002</v>
      </c>
      <c r="AU102" s="531">
        <f t="shared" si="127"/>
        <v>0.34988083366033002</v>
      </c>
      <c r="AV102" s="531">
        <f t="shared" si="127"/>
        <v>0.34988083366032996</v>
      </c>
      <c r="AW102" s="531">
        <f t="shared" si="127"/>
        <v>0.34988083366032996</v>
      </c>
      <c r="AX102" s="531">
        <f t="shared" si="127"/>
        <v>0.34988083366032996</v>
      </c>
      <c r="AY102" s="531">
        <f t="shared" si="127"/>
        <v>0.34988083366032996</v>
      </c>
      <c r="AZ102" s="531">
        <f t="shared" si="127"/>
        <v>0.34988083366032996</v>
      </c>
      <c r="BA102" s="531">
        <f t="shared" si="127"/>
        <v>0.34988083366032996</v>
      </c>
      <c r="BB102" s="531">
        <f t="shared" si="127"/>
        <v>0.34988083366033002</v>
      </c>
      <c r="BC102" s="531">
        <f t="shared" si="127"/>
        <v>0.34988083366033002</v>
      </c>
      <c r="BD102" s="531">
        <f t="shared" si="127"/>
        <v>0.34988083366033002</v>
      </c>
      <c r="BE102" s="531">
        <f t="shared" si="127"/>
        <v>0.34988083366033002</v>
      </c>
      <c r="BF102" s="531">
        <f t="shared" si="127"/>
        <v>0.34988083366033002</v>
      </c>
      <c r="BG102" s="531">
        <f t="shared" si="127"/>
        <v>0.34988083366033002</v>
      </c>
      <c r="BH102" s="531">
        <f t="shared" si="127"/>
        <v>0.34988083366032996</v>
      </c>
      <c r="BI102" s="531">
        <f t="shared" si="127"/>
        <v>0.34988083366032996</v>
      </c>
      <c r="BJ102" s="531">
        <f t="shared" si="127"/>
        <v>0.34988083366032996</v>
      </c>
      <c r="BK102" s="531">
        <f t="shared" si="127"/>
        <v>0.34988083366032996</v>
      </c>
      <c r="BL102" s="531">
        <f t="shared" si="127"/>
        <v>0.34988083366032996</v>
      </c>
      <c r="BM102" s="531">
        <f t="shared" si="127"/>
        <v>0.34988083366032996</v>
      </c>
      <c r="BN102" s="531">
        <f t="shared" si="127"/>
        <v>0.34988083366033007</v>
      </c>
      <c r="BO102" s="531">
        <f t="shared" si="127"/>
        <v>0.34988083366033007</v>
      </c>
      <c r="BP102" s="531">
        <f t="shared" si="127"/>
        <v>0.34988083366033007</v>
      </c>
      <c r="BQ102" s="531">
        <f t="shared" si="127"/>
        <v>0.34988083366033007</v>
      </c>
      <c r="BR102" s="531">
        <f t="shared" si="127"/>
        <v>0.34988083366033007</v>
      </c>
      <c r="BS102" s="531">
        <f t="shared" si="127"/>
        <v>0.34988083366033007</v>
      </c>
      <c r="BT102" s="531">
        <f t="shared" si="127"/>
        <v>0.34988083366033002</v>
      </c>
      <c r="BU102" s="531">
        <f t="shared" si="127"/>
        <v>0.34988083366033002</v>
      </c>
      <c r="BV102" s="531">
        <f t="shared" si="127"/>
        <v>0.34988083366033002</v>
      </c>
      <c r="BW102" s="531">
        <f t="shared" si="127"/>
        <v>0.34988083366033002</v>
      </c>
      <c r="BX102" s="531">
        <f t="shared" si="127"/>
        <v>0.34988083366033002</v>
      </c>
      <c r="BY102" s="531">
        <f t="shared" si="127"/>
        <v>0.34988083366033002</v>
      </c>
    </row>
    <row r="103" spans="3:80" x14ac:dyDescent="0.3">
      <c r="C103" s="2"/>
      <c r="D103" s="2"/>
      <c r="E103" s="2"/>
      <c r="F103" s="59"/>
      <c r="G103" s="59"/>
      <c r="H103" s="59"/>
      <c r="I103" s="60"/>
      <c r="J103" s="60"/>
      <c r="K103" s="60"/>
      <c r="L103" s="60"/>
      <c r="M103" s="60"/>
      <c r="N103" s="60"/>
      <c r="O103" s="60"/>
      <c r="P103" s="61"/>
      <c r="R103" s="60"/>
      <c r="S103" s="60"/>
      <c r="T103" s="60"/>
      <c r="U103" s="60"/>
      <c r="V103" s="60"/>
      <c r="W103" s="60"/>
      <c r="X103" s="60"/>
      <c r="Y103" s="60"/>
      <c r="Z103" s="60"/>
      <c r="AA103" s="60"/>
      <c r="AB103" s="60"/>
      <c r="AC103" s="60"/>
      <c r="AD103" s="60"/>
      <c r="AE103" s="60"/>
      <c r="AF103" s="60"/>
      <c r="AG103" s="60"/>
      <c r="AH103" s="60"/>
      <c r="AI103" s="60"/>
      <c r="AJ103" s="60"/>
      <c r="AK103" s="60"/>
      <c r="AL103" s="60"/>
      <c r="AM103" s="60"/>
      <c r="AN103" s="533"/>
      <c r="AO103" s="533"/>
      <c r="AP103" s="533"/>
      <c r="AQ103" s="533"/>
      <c r="AR103" s="533"/>
      <c r="AS103" s="533"/>
      <c r="AT103" s="533"/>
      <c r="AU103" s="533"/>
      <c r="AV103" s="533"/>
      <c r="AW103" s="533"/>
      <c r="AX103" s="533"/>
      <c r="AY103" s="533"/>
      <c r="AZ103" s="533"/>
      <c r="BA103" s="533"/>
      <c r="BB103" s="533"/>
      <c r="BC103" s="533"/>
      <c r="BD103" s="533"/>
      <c r="BE103" s="533"/>
      <c r="BF103" s="533"/>
      <c r="BG103" s="533"/>
      <c r="BH103" s="533"/>
      <c r="BI103" s="533"/>
      <c r="BJ103" s="533"/>
      <c r="BK103" s="533"/>
      <c r="BL103" s="533"/>
      <c r="BM103" s="533"/>
      <c r="BN103" s="533"/>
      <c r="BO103" s="533"/>
      <c r="BP103" s="533"/>
      <c r="BQ103" s="533"/>
      <c r="BR103" s="533"/>
      <c r="BS103" s="533"/>
      <c r="BT103" s="533"/>
      <c r="BU103" s="533"/>
      <c r="BV103" s="533"/>
      <c r="BW103" s="533"/>
      <c r="BX103" s="533"/>
      <c r="BY103" s="533"/>
    </row>
    <row r="104" spans="3:80" x14ac:dyDescent="0.3">
      <c r="C104" s="2"/>
      <c r="D104" s="2"/>
      <c r="E104" s="62" t="s">
        <v>24</v>
      </c>
      <c r="F104" s="63"/>
      <c r="G104" s="63"/>
      <c r="H104" s="63"/>
      <c r="I104" s="501">
        <f t="shared" ref="I104:N104" si="128">I39/I$82</f>
        <v>53212.919319165143</v>
      </c>
      <c r="J104" s="501">
        <f t="shared" si="128"/>
        <v>56629.599921239394</v>
      </c>
      <c r="K104" s="502">
        <f t="shared" si="128"/>
        <v>60632.350502123067</v>
      </c>
      <c r="L104" s="502">
        <f t="shared" si="128"/>
        <v>64732.34855220536</v>
      </c>
      <c r="M104" s="502">
        <f t="shared" si="128"/>
        <v>68949.189539732382</v>
      </c>
      <c r="N104" s="501">
        <f t="shared" si="128"/>
        <v>73401.389047774544</v>
      </c>
      <c r="O104" s="57"/>
      <c r="P104" s="55">
        <f>IFERROR(((N104/I104)^(1/5))-1,0)</f>
        <v>6.6442486046422111E-2</v>
      </c>
      <c r="R104" s="502">
        <f t="shared" ref="R104:AW104" si="129">R39/R$82</f>
        <v>4665.7088231091057</v>
      </c>
      <c r="S104" s="502">
        <f t="shared" si="129"/>
        <v>4665.7088231091057</v>
      </c>
      <c r="T104" s="502">
        <f t="shared" si="129"/>
        <v>4665.7088231091057</v>
      </c>
      <c r="U104" s="502">
        <f t="shared" si="129"/>
        <v>4665.7088231091057</v>
      </c>
      <c r="V104" s="502">
        <f t="shared" si="129"/>
        <v>4665.7088231091057</v>
      </c>
      <c r="W104" s="502">
        <f t="shared" si="129"/>
        <v>4665.7088231091057</v>
      </c>
      <c r="X104" s="502">
        <f t="shared" si="129"/>
        <v>4772.5578304307937</v>
      </c>
      <c r="Y104" s="502">
        <f t="shared" si="129"/>
        <v>4772.5578304307937</v>
      </c>
      <c r="Z104" s="502">
        <f t="shared" si="129"/>
        <v>4772.5578304307937</v>
      </c>
      <c r="AA104" s="502">
        <f t="shared" si="129"/>
        <v>4772.5578304307937</v>
      </c>
      <c r="AB104" s="502">
        <f t="shared" si="129"/>
        <v>4772.5578304307937</v>
      </c>
      <c r="AC104" s="502">
        <f t="shared" si="129"/>
        <v>4772.5578304307937</v>
      </c>
      <c r="AD104" s="502">
        <f t="shared" si="129"/>
        <v>4985.5927234493074</v>
      </c>
      <c r="AE104" s="502">
        <f t="shared" si="129"/>
        <v>4985.5927234493074</v>
      </c>
      <c r="AF104" s="502">
        <f t="shared" si="129"/>
        <v>4985.5927234493074</v>
      </c>
      <c r="AG104" s="502">
        <f t="shared" si="129"/>
        <v>4985.5927234493074</v>
      </c>
      <c r="AH104" s="502">
        <f t="shared" si="129"/>
        <v>4985.5927234493074</v>
      </c>
      <c r="AI104" s="502">
        <f t="shared" si="129"/>
        <v>4985.5927234493074</v>
      </c>
      <c r="AJ104" s="502">
        <f t="shared" si="129"/>
        <v>5119.7990269045367</v>
      </c>
      <c r="AK104" s="502">
        <f t="shared" si="129"/>
        <v>5119.7990269045367</v>
      </c>
      <c r="AL104" s="502">
        <f t="shared" si="129"/>
        <v>5119.7990269045367</v>
      </c>
      <c r="AM104" s="502">
        <f t="shared" si="129"/>
        <v>5119.7990269045367</v>
      </c>
      <c r="AN104" s="534">
        <f t="shared" si="129"/>
        <v>5119.7990269045367</v>
      </c>
      <c r="AO104" s="534">
        <f t="shared" si="129"/>
        <v>5119.7990269045367</v>
      </c>
      <c r="AP104" s="534">
        <f t="shared" si="129"/>
        <v>5312.688932486496</v>
      </c>
      <c r="AQ104" s="534">
        <f t="shared" si="129"/>
        <v>5312.688932486496</v>
      </c>
      <c r="AR104" s="534">
        <f t="shared" si="129"/>
        <v>5312.688932486496</v>
      </c>
      <c r="AS104" s="534">
        <f t="shared" si="129"/>
        <v>5312.688932486496</v>
      </c>
      <c r="AT104" s="534">
        <f t="shared" si="129"/>
        <v>5312.688932486496</v>
      </c>
      <c r="AU104" s="534">
        <f t="shared" si="129"/>
        <v>5312.688932486496</v>
      </c>
      <c r="AV104" s="534">
        <f t="shared" si="129"/>
        <v>5476.0358262143955</v>
      </c>
      <c r="AW104" s="534">
        <f t="shared" si="129"/>
        <v>5476.0358262143955</v>
      </c>
      <c r="AX104" s="534">
        <f t="shared" ref="AX104:BY104" si="130">AX39/AX$82</f>
        <v>5476.0358262143955</v>
      </c>
      <c r="AY104" s="534">
        <f t="shared" si="130"/>
        <v>5476.0358262143955</v>
      </c>
      <c r="AZ104" s="534">
        <f t="shared" si="130"/>
        <v>5476.0358262143955</v>
      </c>
      <c r="BA104" s="534">
        <f t="shared" si="130"/>
        <v>5476.0358262143955</v>
      </c>
      <c r="BB104" s="534">
        <f t="shared" si="130"/>
        <v>5648.6132379539586</v>
      </c>
      <c r="BC104" s="534">
        <f t="shared" si="130"/>
        <v>5648.6132379539586</v>
      </c>
      <c r="BD104" s="534">
        <f t="shared" si="130"/>
        <v>5648.6132379539586</v>
      </c>
      <c r="BE104" s="534">
        <f t="shared" si="130"/>
        <v>5648.6132379539586</v>
      </c>
      <c r="BF104" s="534">
        <f t="shared" si="130"/>
        <v>5648.6132379539586</v>
      </c>
      <c r="BG104" s="534">
        <f t="shared" si="130"/>
        <v>5648.6132379539586</v>
      </c>
      <c r="BH104" s="534">
        <f t="shared" si="130"/>
        <v>5842.9183520014376</v>
      </c>
      <c r="BI104" s="534">
        <f t="shared" si="130"/>
        <v>5842.9183520014376</v>
      </c>
      <c r="BJ104" s="534">
        <f t="shared" si="130"/>
        <v>5842.9183520014376</v>
      </c>
      <c r="BK104" s="534">
        <f t="shared" si="130"/>
        <v>5842.9183520014376</v>
      </c>
      <c r="BL104" s="534">
        <f t="shared" si="130"/>
        <v>5842.9183520014376</v>
      </c>
      <c r="BM104" s="534">
        <f t="shared" si="130"/>
        <v>5842.9183520014376</v>
      </c>
      <c r="BN104" s="534">
        <f t="shared" si="130"/>
        <v>6003.1882113124784</v>
      </c>
      <c r="BO104" s="534">
        <f t="shared" si="130"/>
        <v>6003.1882113124784</v>
      </c>
      <c r="BP104" s="534">
        <f t="shared" si="130"/>
        <v>6003.1882113124784</v>
      </c>
      <c r="BQ104" s="534">
        <f t="shared" si="130"/>
        <v>6003.1882113124784</v>
      </c>
      <c r="BR104" s="534">
        <f t="shared" si="130"/>
        <v>6003.1882113124784</v>
      </c>
      <c r="BS104" s="534">
        <f t="shared" si="130"/>
        <v>6003.1882113124784</v>
      </c>
      <c r="BT104" s="534">
        <f t="shared" si="130"/>
        <v>6230.3766299832805</v>
      </c>
      <c r="BU104" s="534">
        <f t="shared" si="130"/>
        <v>6230.3766299832805</v>
      </c>
      <c r="BV104" s="534">
        <f t="shared" si="130"/>
        <v>6230.3766299832805</v>
      </c>
      <c r="BW104" s="534">
        <f t="shared" si="130"/>
        <v>6230.3766299832805</v>
      </c>
      <c r="BX104" s="534">
        <f t="shared" si="130"/>
        <v>6230.3766299832805</v>
      </c>
      <c r="BY104" s="534">
        <f t="shared" si="130"/>
        <v>6230.3766299832805</v>
      </c>
      <c r="CB104" s="8"/>
    </row>
    <row r="105" spans="3:80" x14ac:dyDescent="0.3">
      <c r="C105" s="2"/>
      <c r="D105" s="2"/>
      <c r="E105" s="2" t="s">
        <v>177</v>
      </c>
      <c r="F105" s="37"/>
      <c r="G105" s="37"/>
      <c r="H105" s="37"/>
      <c r="I105" s="499">
        <f t="shared" ref="I105:N105" si="131">IFERROR(I104/(I87+I96),0)</f>
        <v>0.35926569955040372</v>
      </c>
      <c r="J105" s="499">
        <f t="shared" si="131"/>
        <v>0.36555030472806471</v>
      </c>
      <c r="K105" s="499">
        <f t="shared" si="131"/>
        <v>0.37145615239611568</v>
      </c>
      <c r="L105" s="499">
        <f t="shared" si="131"/>
        <v>0.37694582578896357</v>
      </c>
      <c r="M105" s="499">
        <f t="shared" si="131"/>
        <v>0.38200278750384342</v>
      </c>
      <c r="N105" s="499">
        <f t="shared" si="131"/>
        <v>0.38696522860015076</v>
      </c>
      <c r="O105" s="23"/>
      <c r="P105" s="50">
        <f>IFERROR(((N105/I105)^(1/5))-1,0)</f>
        <v>1.4965399856043504E-2</v>
      </c>
      <c r="R105" s="499">
        <f t="shared" ref="R105:BY105" si="132">IFERROR(R104/(R87+R96),0)</f>
        <v>0.36555030472806477</v>
      </c>
      <c r="S105" s="499">
        <f t="shared" si="132"/>
        <v>0.36555030472806477</v>
      </c>
      <c r="T105" s="499">
        <f t="shared" si="132"/>
        <v>0.36555030472806477</v>
      </c>
      <c r="U105" s="499">
        <f t="shared" si="132"/>
        <v>0.36555030472806477</v>
      </c>
      <c r="V105" s="499">
        <f t="shared" si="132"/>
        <v>0.36555030472806477</v>
      </c>
      <c r="W105" s="499">
        <f t="shared" si="132"/>
        <v>0.36555030472806477</v>
      </c>
      <c r="X105" s="499">
        <f t="shared" si="132"/>
        <v>0.36555030472806477</v>
      </c>
      <c r="Y105" s="499">
        <f t="shared" si="132"/>
        <v>0.36555030472806477</v>
      </c>
      <c r="Z105" s="499">
        <f t="shared" si="132"/>
        <v>0.36555030472806477</v>
      </c>
      <c r="AA105" s="499">
        <f t="shared" si="132"/>
        <v>0.36555030472806477</v>
      </c>
      <c r="AB105" s="499">
        <f t="shared" si="132"/>
        <v>0.36555030472806477</v>
      </c>
      <c r="AC105" s="499">
        <f t="shared" si="132"/>
        <v>0.36555030472806477</v>
      </c>
      <c r="AD105" s="499">
        <f t="shared" si="132"/>
        <v>0.37145615239611557</v>
      </c>
      <c r="AE105" s="499">
        <f t="shared" si="132"/>
        <v>0.37145615239611557</v>
      </c>
      <c r="AF105" s="499">
        <f t="shared" si="132"/>
        <v>0.37145615239611557</v>
      </c>
      <c r="AG105" s="499">
        <f t="shared" si="132"/>
        <v>0.37145615239611557</v>
      </c>
      <c r="AH105" s="499">
        <f t="shared" si="132"/>
        <v>0.37145615239611557</v>
      </c>
      <c r="AI105" s="499">
        <f t="shared" si="132"/>
        <v>0.37145615239611557</v>
      </c>
      <c r="AJ105" s="499">
        <f t="shared" si="132"/>
        <v>0.37145615239611551</v>
      </c>
      <c r="AK105" s="499">
        <f t="shared" si="132"/>
        <v>0.37145615239611551</v>
      </c>
      <c r="AL105" s="499">
        <f t="shared" si="132"/>
        <v>0.37145615239611551</v>
      </c>
      <c r="AM105" s="499">
        <f t="shared" si="132"/>
        <v>0.37145615239611551</v>
      </c>
      <c r="AN105" s="531">
        <f t="shared" si="132"/>
        <v>0.37145615239611551</v>
      </c>
      <c r="AO105" s="531">
        <f t="shared" si="132"/>
        <v>0.37145615239611551</v>
      </c>
      <c r="AP105" s="531">
        <f t="shared" si="132"/>
        <v>0.37694582578896363</v>
      </c>
      <c r="AQ105" s="531">
        <f t="shared" si="132"/>
        <v>0.37694582578896363</v>
      </c>
      <c r="AR105" s="531">
        <f t="shared" si="132"/>
        <v>0.37694582578896363</v>
      </c>
      <c r="AS105" s="531">
        <f t="shared" si="132"/>
        <v>0.37694582578896363</v>
      </c>
      <c r="AT105" s="531">
        <f t="shared" si="132"/>
        <v>0.37694582578896363</v>
      </c>
      <c r="AU105" s="531">
        <f t="shared" si="132"/>
        <v>0.37694582578896363</v>
      </c>
      <c r="AV105" s="531">
        <f t="shared" si="132"/>
        <v>0.37694582578896352</v>
      </c>
      <c r="AW105" s="531">
        <f t="shared" si="132"/>
        <v>0.37694582578896352</v>
      </c>
      <c r="AX105" s="531">
        <f t="shared" si="132"/>
        <v>0.37694582578896352</v>
      </c>
      <c r="AY105" s="531">
        <f t="shared" si="132"/>
        <v>0.37694582578896352</v>
      </c>
      <c r="AZ105" s="531">
        <f t="shared" si="132"/>
        <v>0.37694582578896352</v>
      </c>
      <c r="BA105" s="531">
        <f t="shared" si="132"/>
        <v>0.37694582578896352</v>
      </c>
      <c r="BB105" s="531">
        <f t="shared" si="132"/>
        <v>0.38200278750384331</v>
      </c>
      <c r="BC105" s="531">
        <f t="shared" si="132"/>
        <v>0.38200278750384331</v>
      </c>
      <c r="BD105" s="531">
        <f t="shared" si="132"/>
        <v>0.38200278750384331</v>
      </c>
      <c r="BE105" s="531">
        <f t="shared" si="132"/>
        <v>0.38200278750384331</v>
      </c>
      <c r="BF105" s="531">
        <f t="shared" si="132"/>
        <v>0.38200278750384331</v>
      </c>
      <c r="BG105" s="531">
        <f t="shared" si="132"/>
        <v>0.38200278750384331</v>
      </c>
      <c r="BH105" s="531">
        <f t="shared" si="132"/>
        <v>0.38200278750384337</v>
      </c>
      <c r="BI105" s="531">
        <f t="shared" si="132"/>
        <v>0.38200278750384337</v>
      </c>
      <c r="BJ105" s="531">
        <f t="shared" si="132"/>
        <v>0.38200278750384337</v>
      </c>
      <c r="BK105" s="531">
        <f t="shared" si="132"/>
        <v>0.38200278750384337</v>
      </c>
      <c r="BL105" s="531">
        <f t="shared" si="132"/>
        <v>0.38200278750384337</v>
      </c>
      <c r="BM105" s="531">
        <f t="shared" si="132"/>
        <v>0.38200278750384337</v>
      </c>
      <c r="BN105" s="531">
        <f t="shared" si="132"/>
        <v>0.38696522860015081</v>
      </c>
      <c r="BO105" s="531">
        <f t="shared" si="132"/>
        <v>0.38696522860015081</v>
      </c>
      <c r="BP105" s="531">
        <f t="shared" si="132"/>
        <v>0.38696522860015081</v>
      </c>
      <c r="BQ105" s="531">
        <f t="shared" si="132"/>
        <v>0.38696522860015081</v>
      </c>
      <c r="BR105" s="531">
        <f t="shared" si="132"/>
        <v>0.38696522860015081</v>
      </c>
      <c r="BS105" s="531">
        <f t="shared" si="132"/>
        <v>0.38696522860015081</v>
      </c>
      <c r="BT105" s="531">
        <f t="shared" si="132"/>
        <v>0.3869652286001507</v>
      </c>
      <c r="BU105" s="531">
        <f t="shared" si="132"/>
        <v>0.3869652286001507</v>
      </c>
      <c r="BV105" s="531">
        <f t="shared" si="132"/>
        <v>0.3869652286001507</v>
      </c>
      <c r="BW105" s="531">
        <f t="shared" si="132"/>
        <v>0.3869652286001507</v>
      </c>
      <c r="BX105" s="531">
        <f t="shared" si="132"/>
        <v>0.3869652286001507</v>
      </c>
      <c r="BY105" s="531">
        <f t="shared" si="132"/>
        <v>0.3869652286001507</v>
      </c>
    </row>
    <row r="106" spans="3:80" x14ac:dyDescent="0.3">
      <c r="C106" s="2"/>
      <c r="D106" s="2"/>
      <c r="E106" s="2"/>
      <c r="F106" s="37"/>
      <c r="G106" s="37"/>
      <c r="H106" s="37"/>
      <c r="I106" s="37"/>
      <c r="J106" s="37"/>
      <c r="K106" s="37"/>
      <c r="L106" s="37"/>
      <c r="M106" s="37"/>
      <c r="N106" s="37"/>
      <c r="O106" s="37"/>
      <c r="P106" s="35"/>
      <c r="R106" s="37"/>
      <c r="S106" s="37"/>
      <c r="T106" s="37"/>
      <c r="U106" s="37"/>
      <c r="V106" s="37"/>
      <c r="W106" s="37"/>
      <c r="X106" s="37"/>
      <c r="Y106" s="37"/>
      <c r="Z106" s="37"/>
      <c r="AA106" s="37"/>
      <c r="AB106" s="37"/>
      <c r="AC106" s="37"/>
      <c r="AD106" s="37"/>
      <c r="AE106" s="37"/>
      <c r="AF106" s="37"/>
      <c r="AG106" s="37"/>
      <c r="AH106" s="37"/>
      <c r="AI106" s="37"/>
      <c r="AJ106" s="37"/>
      <c r="AK106" s="37"/>
      <c r="AL106" s="37"/>
      <c r="AM106" s="37"/>
      <c r="AN106" s="529"/>
      <c r="AO106" s="529"/>
      <c r="AP106" s="529"/>
      <c r="AQ106" s="529"/>
      <c r="AR106" s="529"/>
      <c r="AS106" s="529"/>
      <c r="AT106" s="529"/>
      <c r="AU106" s="529"/>
      <c r="AV106" s="529"/>
      <c r="AW106" s="529"/>
      <c r="AX106" s="529"/>
      <c r="AY106" s="529"/>
      <c r="AZ106" s="529"/>
      <c r="BA106" s="529"/>
      <c r="BB106" s="529"/>
      <c r="BC106" s="529"/>
      <c r="BD106" s="529"/>
      <c r="BE106" s="529"/>
      <c r="BF106" s="529"/>
      <c r="BG106" s="529"/>
      <c r="BH106" s="529"/>
      <c r="BI106" s="529"/>
      <c r="BJ106" s="529"/>
      <c r="BK106" s="529"/>
      <c r="BL106" s="529"/>
      <c r="BM106" s="529"/>
      <c r="BN106" s="529"/>
      <c r="BO106" s="529"/>
      <c r="BP106" s="529"/>
      <c r="BQ106" s="529"/>
      <c r="BR106" s="529"/>
      <c r="BS106" s="529"/>
      <c r="BT106" s="529"/>
      <c r="BU106" s="529"/>
      <c r="BV106" s="529"/>
      <c r="BW106" s="529"/>
      <c r="BX106" s="529"/>
      <c r="BY106" s="529"/>
    </row>
    <row r="107" spans="3:80" x14ac:dyDescent="0.3">
      <c r="C107" s="2"/>
      <c r="D107" s="2"/>
      <c r="E107" s="17" t="s">
        <v>25</v>
      </c>
      <c r="F107" s="37"/>
      <c r="G107" s="37"/>
      <c r="H107" s="37"/>
      <c r="I107" s="37"/>
      <c r="J107" s="37"/>
      <c r="K107" s="37"/>
      <c r="L107" s="37"/>
      <c r="M107" s="37"/>
      <c r="N107" s="37"/>
      <c r="O107" s="37"/>
      <c r="P107" s="35"/>
      <c r="R107" s="37"/>
      <c r="S107" s="37"/>
      <c r="T107" s="37"/>
      <c r="U107" s="37"/>
      <c r="V107" s="37"/>
      <c r="W107" s="37"/>
      <c r="X107" s="37"/>
      <c r="Y107" s="37"/>
      <c r="Z107" s="37"/>
      <c r="AA107" s="37"/>
      <c r="AB107" s="37"/>
      <c r="AC107" s="37"/>
      <c r="AD107" s="37"/>
      <c r="AE107" s="37"/>
      <c r="AF107" s="37"/>
      <c r="AG107" s="37"/>
      <c r="AH107" s="37"/>
      <c r="AI107" s="37"/>
      <c r="AJ107" s="37"/>
      <c r="AK107" s="37"/>
      <c r="AL107" s="37"/>
      <c r="AM107" s="37"/>
      <c r="AN107" s="529"/>
      <c r="AO107" s="529"/>
      <c r="AP107" s="529"/>
      <c r="AQ107" s="529"/>
      <c r="AR107" s="529"/>
      <c r="AS107" s="529"/>
      <c r="AT107" s="529"/>
      <c r="AU107" s="529"/>
      <c r="AV107" s="529"/>
      <c r="AW107" s="529"/>
      <c r="AX107" s="529"/>
      <c r="AY107" s="529"/>
      <c r="AZ107" s="529"/>
      <c r="BA107" s="529"/>
      <c r="BB107" s="529"/>
      <c r="BC107" s="529"/>
      <c r="BD107" s="529"/>
      <c r="BE107" s="529"/>
      <c r="BF107" s="529"/>
      <c r="BG107" s="529"/>
      <c r="BH107" s="529"/>
      <c r="BI107" s="529"/>
      <c r="BJ107" s="529"/>
      <c r="BK107" s="529"/>
      <c r="BL107" s="529"/>
      <c r="BM107" s="529"/>
      <c r="BN107" s="529"/>
      <c r="BO107" s="529"/>
      <c r="BP107" s="529"/>
      <c r="BQ107" s="529"/>
      <c r="BR107" s="529"/>
      <c r="BS107" s="529"/>
      <c r="BT107" s="529"/>
      <c r="BU107" s="529"/>
      <c r="BV107" s="529"/>
      <c r="BW107" s="529"/>
      <c r="BX107" s="529"/>
      <c r="BY107" s="529"/>
    </row>
    <row r="108" spans="3:80" x14ac:dyDescent="0.3">
      <c r="C108" s="2"/>
      <c r="D108" s="2"/>
      <c r="E108" s="2" t="s">
        <v>25</v>
      </c>
      <c r="F108" s="54"/>
      <c r="G108" s="54"/>
      <c r="H108" s="54"/>
      <c r="I108" s="497">
        <f t="shared" ref="I108:N110" si="133">I43/I$82</f>
        <v>21070.140532228797</v>
      </c>
      <c r="J108" s="497">
        <f t="shared" si="133"/>
        <v>22193.653267288373</v>
      </c>
      <c r="K108" s="497">
        <f t="shared" si="133"/>
        <v>23760.336626943201</v>
      </c>
      <c r="L108" s="497">
        <f t="shared" si="133"/>
        <v>25390.769823231745</v>
      </c>
      <c r="M108" s="497">
        <f t="shared" si="133"/>
        <v>27075.924138405753</v>
      </c>
      <c r="N108" s="497">
        <f t="shared" si="133"/>
        <v>28842.97655798736</v>
      </c>
      <c r="O108" s="37"/>
      <c r="P108" s="50">
        <f>IFERROR(((N108/I108)^(1/5))-1,0)</f>
        <v>6.48159036279774E-2</v>
      </c>
      <c r="R108" s="497">
        <f t="shared" ref="R108:AW108" si="134">R43/R$82</f>
        <v>1805.7601480666735</v>
      </c>
      <c r="S108" s="497">
        <f t="shared" si="134"/>
        <v>1805.7601480666735</v>
      </c>
      <c r="T108" s="497">
        <f t="shared" si="134"/>
        <v>1805.7601480666735</v>
      </c>
      <c r="U108" s="497">
        <f t="shared" si="134"/>
        <v>1805.7601480666735</v>
      </c>
      <c r="V108" s="497">
        <f t="shared" si="134"/>
        <v>1805.7601480666735</v>
      </c>
      <c r="W108" s="497">
        <f t="shared" si="134"/>
        <v>1805.7601480666735</v>
      </c>
      <c r="X108" s="497">
        <f t="shared" si="134"/>
        <v>1893.1820631480543</v>
      </c>
      <c r="Y108" s="497">
        <f t="shared" si="134"/>
        <v>1893.1820631480543</v>
      </c>
      <c r="Z108" s="497">
        <f t="shared" si="134"/>
        <v>1893.1820631480543</v>
      </c>
      <c r="AA108" s="497">
        <f t="shared" si="134"/>
        <v>1893.1820631480543</v>
      </c>
      <c r="AB108" s="497">
        <f t="shared" si="134"/>
        <v>1893.1820631480543</v>
      </c>
      <c r="AC108" s="497">
        <f t="shared" si="134"/>
        <v>1893.1820631480543</v>
      </c>
      <c r="AD108" s="497">
        <f t="shared" si="134"/>
        <v>1925.1254735590367</v>
      </c>
      <c r="AE108" s="497">
        <f t="shared" si="134"/>
        <v>1925.1254735590367</v>
      </c>
      <c r="AF108" s="497">
        <f t="shared" si="134"/>
        <v>1925.1254735590367</v>
      </c>
      <c r="AG108" s="497">
        <f t="shared" si="134"/>
        <v>1925.1254735590367</v>
      </c>
      <c r="AH108" s="497">
        <f t="shared" si="134"/>
        <v>1925.1254735590367</v>
      </c>
      <c r="AI108" s="497">
        <f t="shared" si="134"/>
        <v>1925.1254735590367</v>
      </c>
      <c r="AJ108" s="497">
        <f t="shared" si="134"/>
        <v>2034.9306309314973</v>
      </c>
      <c r="AK108" s="497">
        <f t="shared" si="134"/>
        <v>2034.9306309314973</v>
      </c>
      <c r="AL108" s="497">
        <f t="shared" si="134"/>
        <v>2034.9306309314973</v>
      </c>
      <c r="AM108" s="497">
        <f t="shared" si="134"/>
        <v>2034.9306309314973</v>
      </c>
      <c r="AN108" s="527">
        <f t="shared" si="134"/>
        <v>2034.9306309314973</v>
      </c>
      <c r="AO108" s="527">
        <f t="shared" si="134"/>
        <v>2034.9306309314973</v>
      </c>
      <c r="AP108" s="527">
        <f t="shared" si="134"/>
        <v>2049.0737560169896</v>
      </c>
      <c r="AQ108" s="527">
        <f t="shared" si="134"/>
        <v>2049.0737560169896</v>
      </c>
      <c r="AR108" s="527">
        <f t="shared" si="134"/>
        <v>2049.0737560169896</v>
      </c>
      <c r="AS108" s="527">
        <f t="shared" si="134"/>
        <v>2049.0737560169896</v>
      </c>
      <c r="AT108" s="527">
        <f t="shared" si="134"/>
        <v>2049.0737560169896</v>
      </c>
      <c r="AU108" s="527">
        <f t="shared" si="134"/>
        <v>2049.0737560169896</v>
      </c>
      <c r="AV108" s="527">
        <f t="shared" si="134"/>
        <v>2182.7212145216358</v>
      </c>
      <c r="AW108" s="527">
        <f t="shared" si="134"/>
        <v>2182.7212145216358</v>
      </c>
      <c r="AX108" s="527">
        <f t="shared" ref="AX108:BY108" si="135">AX43/AX$82</f>
        <v>2182.7212145216358</v>
      </c>
      <c r="AY108" s="527">
        <f t="shared" si="135"/>
        <v>2182.7212145216358</v>
      </c>
      <c r="AZ108" s="527">
        <f t="shared" si="135"/>
        <v>2182.7212145216358</v>
      </c>
      <c r="BA108" s="527">
        <f t="shared" si="135"/>
        <v>2182.7212145216358</v>
      </c>
      <c r="BB108" s="527">
        <f t="shared" si="135"/>
        <v>2176.8385557871175</v>
      </c>
      <c r="BC108" s="527">
        <f t="shared" si="135"/>
        <v>2176.8385557871175</v>
      </c>
      <c r="BD108" s="527">
        <f t="shared" si="135"/>
        <v>2176.8385557871175</v>
      </c>
      <c r="BE108" s="527">
        <f t="shared" si="135"/>
        <v>2176.8385557871175</v>
      </c>
      <c r="BF108" s="527">
        <f t="shared" si="135"/>
        <v>2176.8385557871175</v>
      </c>
      <c r="BG108" s="527">
        <f t="shared" si="135"/>
        <v>2176.8385557871175</v>
      </c>
      <c r="BH108" s="527">
        <f t="shared" si="135"/>
        <v>2335.815467280509</v>
      </c>
      <c r="BI108" s="527">
        <f t="shared" si="135"/>
        <v>2335.815467280509</v>
      </c>
      <c r="BJ108" s="527">
        <f t="shared" si="135"/>
        <v>2335.815467280509</v>
      </c>
      <c r="BK108" s="527">
        <f t="shared" si="135"/>
        <v>2335.815467280509</v>
      </c>
      <c r="BL108" s="527">
        <f t="shared" si="135"/>
        <v>2335.815467280509</v>
      </c>
      <c r="BM108" s="527">
        <f t="shared" si="135"/>
        <v>2335.815467280509</v>
      </c>
      <c r="BN108" s="527">
        <f t="shared" si="135"/>
        <v>2310.640663103316</v>
      </c>
      <c r="BO108" s="527">
        <f t="shared" si="135"/>
        <v>2310.640663103316</v>
      </c>
      <c r="BP108" s="527">
        <f t="shared" si="135"/>
        <v>2310.640663103316</v>
      </c>
      <c r="BQ108" s="527">
        <f t="shared" si="135"/>
        <v>2310.640663103316</v>
      </c>
      <c r="BR108" s="527">
        <f t="shared" si="135"/>
        <v>2310.640663103316</v>
      </c>
      <c r="BS108" s="527">
        <f t="shared" si="135"/>
        <v>2310.640663103316</v>
      </c>
      <c r="BT108" s="527">
        <f t="shared" si="135"/>
        <v>2496.5220965612457</v>
      </c>
      <c r="BU108" s="527">
        <f t="shared" si="135"/>
        <v>2496.5220965612457</v>
      </c>
      <c r="BV108" s="527">
        <f t="shared" si="135"/>
        <v>2496.5220965612457</v>
      </c>
      <c r="BW108" s="527">
        <f t="shared" si="135"/>
        <v>2496.5220965612457</v>
      </c>
      <c r="BX108" s="527">
        <f t="shared" si="135"/>
        <v>2496.5220965612457</v>
      </c>
      <c r="BY108" s="527">
        <f t="shared" si="135"/>
        <v>2496.5220965612457</v>
      </c>
      <c r="CB108" s="8"/>
    </row>
    <row r="109" spans="3:80" x14ac:dyDescent="0.3">
      <c r="C109" s="2"/>
      <c r="D109" s="2"/>
      <c r="E109" s="2" t="s">
        <v>14</v>
      </c>
      <c r="F109" s="54"/>
      <c r="G109" s="54"/>
      <c r="H109" s="54"/>
      <c r="I109" s="497">
        <f t="shared" si="133"/>
        <v>2145.1884628836297</v>
      </c>
      <c r="J109" s="497">
        <f t="shared" si="133"/>
        <v>2220.5427624946328</v>
      </c>
      <c r="K109" s="497">
        <f t="shared" si="133"/>
        <v>2294.2593068985334</v>
      </c>
      <c r="L109" s="497">
        <f t="shared" si="133"/>
        <v>2367.3305229769603</v>
      </c>
      <c r="M109" s="497">
        <f t="shared" si="133"/>
        <v>2428.3356576785191</v>
      </c>
      <c r="N109" s="497">
        <f t="shared" si="133"/>
        <v>2480.8435928693743</v>
      </c>
      <c r="O109" s="37"/>
      <c r="P109" s="50">
        <f>IFERROR(((N109/I109)^(1/5))-1,0)</f>
        <v>2.9501032242708725E-2</v>
      </c>
      <c r="R109" s="497">
        <f t="shared" ref="R109:AW109" si="136">R44/R$82</f>
        <v>185.04523020788611</v>
      </c>
      <c r="S109" s="497">
        <f t="shared" si="136"/>
        <v>185.04523020788611</v>
      </c>
      <c r="T109" s="497">
        <f t="shared" si="136"/>
        <v>185.04523020788611</v>
      </c>
      <c r="U109" s="497">
        <f t="shared" si="136"/>
        <v>185.04523020788611</v>
      </c>
      <c r="V109" s="497">
        <f t="shared" si="136"/>
        <v>185.04523020788611</v>
      </c>
      <c r="W109" s="497">
        <f t="shared" si="136"/>
        <v>185.04523020788611</v>
      </c>
      <c r="X109" s="497">
        <f t="shared" si="136"/>
        <v>185.04523020788611</v>
      </c>
      <c r="Y109" s="497">
        <f t="shared" si="136"/>
        <v>185.04523020788611</v>
      </c>
      <c r="Z109" s="497">
        <f t="shared" si="136"/>
        <v>185.04523020788611</v>
      </c>
      <c r="AA109" s="497">
        <f t="shared" si="136"/>
        <v>185.04523020788611</v>
      </c>
      <c r="AB109" s="497">
        <f t="shared" si="136"/>
        <v>185.04523020788611</v>
      </c>
      <c r="AC109" s="497">
        <f t="shared" si="136"/>
        <v>185.04523020788611</v>
      </c>
      <c r="AD109" s="497">
        <f t="shared" si="136"/>
        <v>191.18827557487779</v>
      </c>
      <c r="AE109" s="497">
        <f t="shared" si="136"/>
        <v>191.18827557487779</v>
      </c>
      <c r="AF109" s="497">
        <f t="shared" si="136"/>
        <v>191.18827557487779</v>
      </c>
      <c r="AG109" s="497">
        <f t="shared" si="136"/>
        <v>191.18827557487779</v>
      </c>
      <c r="AH109" s="497">
        <f t="shared" si="136"/>
        <v>191.18827557487779</v>
      </c>
      <c r="AI109" s="497">
        <f t="shared" si="136"/>
        <v>191.18827557487779</v>
      </c>
      <c r="AJ109" s="497">
        <f t="shared" si="136"/>
        <v>191.18827557487779</v>
      </c>
      <c r="AK109" s="497">
        <f t="shared" si="136"/>
        <v>191.18827557487779</v>
      </c>
      <c r="AL109" s="497">
        <f t="shared" si="136"/>
        <v>191.18827557487779</v>
      </c>
      <c r="AM109" s="497">
        <f t="shared" si="136"/>
        <v>191.18827557487779</v>
      </c>
      <c r="AN109" s="527">
        <f t="shared" si="136"/>
        <v>191.18827557487779</v>
      </c>
      <c r="AO109" s="527">
        <f t="shared" si="136"/>
        <v>191.18827557487779</v>
      </c>
      <c r="AP109" s="527">
        <f t="shared" si="136"/>
        <v>197.27754358141343</v>
      </c>
      <c r="AQ109" s="527">
        <f t="shared" si="136"/>
        <v>197.27754358141343</v>
      </c>
      <c r="AR109" s="527">
        <f t="shared" si="136"/>
        <v>197.27754358141343</v>
      </c>
      <c r="AS109" s="527">
        <f t="shared" si="136"/>
        <v>197.27754358141343</v>
      </c>
      <c r="AT109" s="527">
        <f t="shared" si="136"/>
        <v>197.27754358141343</v>
      </c>
      <c r="AU109" s="527">
        <f t="shared" si="136"/>
        <v>197.27754358141343</v>
      </c>
      <c r="AV109" s="527">
        <f t="shared" si="136"/>
        <v>197.27754358141343</v>
      </c>
      <c r="AW109" s="527">
        <f t="shared" si="136"/>
        <v>197.27754358141343</v>
      </c>
      <c r="AX109" s="527">
        <f t="shared" ref="AX109:BY109" si="137">AX44/AX$82</f>
        <v>197.27754358141343</v>
      </c>
      <c r="AY109" s="527">
        <f t="shared" si="137"/>
        <v>197.27754358141343</v>
      </c>
      <c r="AZ109" s="527">
        <f t="shared" si="137"/>
        <v>197.27754358141343</v>
      </c>
      <c r="BA109" s="527">
        <f t="shared" si="137"/>
        <v>197.27754358141343</v>
      </c>
      <c r="BB109" s="527">
        <f t="shared" si="137"/>
        <v>202.36130480654333</v>
      </c>
      <c r="BC109" s="527">
        <f t="shared" si="137"/>
        <v>202.36130480654333</v>
      </c>
      <c r="BD109" s="527">
        <f t="shared" si="137"/>
        <v>202.36130480654333</v>
      </c>
      <c r="BE109" s="527">
        <f t="shared" si="137"/>
        <v>202.36130480654333</v>
      </c>
      <c r="BF109" s="527">
        <f t="shared" si="137"/>
        <v>202.36130480654333</v>
      </c>
      <c r="BG109" s="527">
        <f t="shared" si="137"/>
        <v>202.36130480654333</v>
      </c>
      <c r="BH109" s="527">
        <f t="shared" si="137"/>
        <v>202.36130480654333</v>
      </c>
      <c r="BI109" s="527">
        <f t="shared" si="137"/>
        <v>202.36130480654333</v>
      </c>
      <c r="BJ109" s="527">
        <f t="shared" si="137"/>
        <v>202.36130480654333</v>
      </c>
      <c r="BK109" s="527">
        <f t="shared" si="137"/>
        <v>202.36130480654333</v>
      </c>
      <c r="BL109" s="527">
        <f t="shared" si="137"/>
        <v>202.36130480654333</v>
      </c>
      <c r="BM109" s="527">
        <f t="shared" si="137"/>
        <v>202.36130480654333</v>
      </c>
      <c r="BN109" s="527">
        <f t="shared" si="137"/>
        <v>206.73696607244787</v>
      </c>
      <c r="BO109" s="527">
        <f t="shared" si="137"/>
        <v>206.73696607244787</v>
      </c>
      <c r="BP109" s="527">
        <f t="shared" si="137"/>
        <v>206.73696607244787</v>
      </c>
      <c r="BQ109" s="527">
        <f t="shared" si="137"/>
        <v>206.73696607244787</v>
      </c>
      <c r="BR109" s="527">
        <f t="shared" si="137"/>
        <v>206.73696607244787</v>
      </c>
      <c r="BS109" s="527">
        <f t="shared" si="137"/>
        <v>206.73696607244787</v>
      </c>
      <c r="BT109" s="527">
        <f t="shared" si="137"/>
        <v>206.73696607244787</v>
      </c>
      <c r="BU109" s="527">
        <f t="shared" si="137"/>
        <v>206.73696607244787</v>
      </c>
      <c r="BV109" s="527">
        <f t="shared" si="137"/>
        <v>206.73696607244787</v>
      </c>
      <c r="BW109" s="527">
        <f t="shared" si="137"/>
        <v>206.73696607244787</v>
      </c>
      <c r="BX109" s="527">
        <f t="shared" si="137"/>
        <v>206.73696607244787</v>
      </c>
      <c r="BY109" s="527">
        <f t="shared" si="137"/>
        <v>206.73696607244787</v>
      </c>
      <c r="CB109" s="8"/>
    </row>
    <row r="110" spans="3:80" x14ac:dyDescent="0.3">
      <c r="C110" s="2"/>
      <c r="D110" s="2"/>
      <c r="E110" s="4" t="s">
        <v>26</v>
      </c>
      <c r="F110" s="5"/>
      <c r="G110" s="5"/>
      <c r="H110" s="5"/>
      <c r="I110" s="500">
        <f t="shared" si="133"/>
        <v>23215.328995112424</v>
      </c>
      <c r="J110" s="500">
        <f t="shared" si="133"/>
        <v>24414.196029782997</v>
      </c>
      <c r="K110" s="500">
        <f t="shared" si="133"/>
        <v>26054.595933841741</v>
      </c>
      <c r="L110" s="500">
        <f t="shared" si="133"/>
        <v>27758.100346208706</v>
      </c>
      <c r="M110" s="500">
        <f t="shared" si="133"/>
        <v>29504.259796084276</v>
      </c>
      <c r="N110" s="500">
        <f t="shared" si="133"/>
        <v>31323.820150856747</v>
      </c>
      <c r="O110" s="57"/>
      <c r="P110" s="55">
        <f>IFERROR(((N110/I110)^(1/5))-1,0)</f>
        <v>6.1744392107593526E-2</v>
      </c>
      <c r="R110" s="500">
        <f t="shared" ref="R110:AW110" si="138">R45/R$82</f>
        <v>1990.8053782745596</v>
      </c>
      <c r="S110" s="498">
        <f t="shared" si="138"/>
        <v>1990.8053782745596</v>
      </c>
      <c r="T110" s="500">
        <f t="shared" si="138"/>
        <v>1990.8053782745596</v>
      </c>
      <c r="U110" s="500">
        <f t="shared" si="138"/>
        <v>1990.8053782745596</v>
      </c>
      <c r="V110" s="500">
        <f t="shared" si="138"/>
        <v>1990.8053782745596</v>
      </c>
      <c r="W110" s="500">
        <f t="shared" si="138"/>
        <v>1990.8053782745596</v>
      </c>
      <c r="X110" s="500">
        <f t="shared" si="138"/>
        <v>2078.2272933559402</v>
      </c>
      <c r="Y110" s="500">
        <f t="shared" si="138"/>
        <v>2078.2272933559402</v>
      </c>
      <c r="Z110" s="500">
        <f t="shared" si="138"/>
        <v>2078.2272933559402</v>
      </c>
      <c r="AA110" s="500">
        <f t="shared" si="138"/>
        <v>2078.2272933559402</v>
      </c>
      <c r="AB110" s="500">
        <f t="shared" si="138"/>
        <v>2078.2272933559402</v>
      </c>
      <c r="AC110" s="500">
        <f t="shared" si="138"/>
        <v>2078.2272933559402</v>
      </c>
      <c r="AD110" s="500">
        <f t="shared" si="138"/>
        <v>2116.3137491339144</v>
      </c>
      <c r="AE110" s="500">
        <f t="shared" si="138"/>
        <v>2116.3137491339144</v>
      </c>
      <c r="AF110" s="500">
        <f t="shared" si="138"/>
        <v>2116.3137491339144</v>
      </c>
      <c r="AG110" s="500">
        <f t="shared" si="138"/>
        <v>2116.3137491339144</v>
      </c>
      <c r="AH110" s="500">
        <f t="shared" si="138"/>
        <v>2116.3137491339144</v>
      </c>
      <c r="AI110" s="500">
        <f t="shared" si="138"/>
        <v>2116.3137491339144</v>
      </c>
      <c r="AJ110" s="500">
        <f t="shared" si="138"/>
        <v>2226.118906506375</v>
      </c>
      <c r="AK110" s="500">
        <f t="shared" si="138"/>
        <v>2226.118906506375</v>
      </c>
      <c r="AL110" s="500">
        <f t="shared" si="138"/>
        <v>2226.118906506375</v>
      </c>
      <c r="AM110" s="500">
        <f t="shared" si="138"/>
        <v>2226.118906506375</v>
      </c>
      <c r="AN110" s="532">
        <f t="shared" si="138"/>
        <v>2226.118906506375</v>
      </c>
      <c r="AO110" s="532">
        <f t="shared" si="138"/>
        <v>2226.118906506375</v>
      </c>
      <c r="AP110" s="532">
        <f t="shared" si="138"/>
        <v>2246.3512995984029</v>
      </c>
      <c r="AQ110" s="532">
        <f t="shared" si="138"/>
        <v>2246.3512995984029</v>
      </c>
      <c r="AR110" s="532">
        <f t="shared" si="138"/>
        <v>2246.3512995984029</v>
      </c>
      <c r="AS110" s="532">
        <f t="shared" si="138"/>
        <v>2246.3512995984029</v>
      </c>
      <c r="AT110" s="532">
        <f t="shared" si="138"/>
        <v>2246.3512995984029</v>
      </c>
      <c r="AU110" s="532">
        <f t="shared" si="138"/>
        <v>2246.3512995984029</v>
      </c>
      <c r="AV110" s="532">
        <f t="shared" si="138"/>
        <v>2379.9987581030487</v>
      </c>
      <c r="AW110" s="532">
        <f t="shared" si="138"/>
        <v>2379.9987581030487</v>
      </c>
      <c r="AX110" s="532">
        <f t="shared" ref="AX110:BY110" si="139">AX45/AX$82</f>
        <v>2379.9987581030487</v>
      </c>
      <c r="AY110" s="532">
        <f t="shared" si="139"/>
        <v>2379.9987581030487</v>
      </c>
      <c r="AZ110" s="532">
        <f t="shared" si="139"/>
        <v>2379.9987581030487</v>
      </c>
      <c r="BA110" s="532">
        <f t="shared" si="139"/>
        <v>2379.9987581030487</v>
      </c>
      <c r="BB110" s="532">
        <f t="shared" si="139"/>
        <v>2379.1998605936606</v>
      </c>
      <c r="BC110" s="532">
        <f t="shared" si="139"/>
        <v>2379.1998605936606</v>
      </c>
      <c r="BD110" s="532">
        <f t="shared" si="139"/>
        <v>2379.1998605936606</v>
      </c>
      <c r="BE110" s="532">
        <f t="shared" si="139"/>
        <v>2379.1998605936606</v>
      </c>
      <c r="BF110" s="532">
        <f t="shared" si="139"/>
        <v>2379.1998605936606</v>
      </c>
      <c r="BG110" s="532">
        <f t="shared" si="139"/>
        <v>2379.1998605936606</v>
      </c>
      <c r="BH110" s="532">
        <f t="shared" si="139"/>
        <v>2538.1767720870521</v>
      </c>
      <c r="BI110" s="532">
        <f t="shared" si="139"/>
        <v>2538.1767720870521</v>
      </c>
      <c r="BJ110" s="532">
        <f t="shared" si="139"/>
        <v>2538.1767720870521</v>
      </c>
      <c r="BK110" s="532">
        <f t="shared" si="139"/>
        <v>2538.1767720870521</v>
      </c>
      <c r="BL110" s="532">
        <f t="shared" si="139"/>
        <v>2538.1767720870521</v>
      </c>
      <c r="BM110" s="532">
        <f t="shared" si="139"/>
        <v>2538.1767720870521</v>
      </c>
      <c r="BN110" s="532">
        <f t="shared" si="139"/>
        <v>2517.3776291757636</v>
      </c>
      <c r="BO110" s="532">
        <f t="shared" si="139"/>
        <v>2517.3776291757636</v>
      </c>
      <c r="BP110" s="532">
        <f t="shared" si="139"/>
        <v>2517.3776291757636</v>
      </c>
      <c r="BQ110" s="532">
        <f t="shared" si="139"/>
        <v>2517.3776291757636</v>
      </c>
      <c r="BR110" s="532">
        <f t="shared" si="139"/>
        <v>2517.3776291757636</v>
      </c>
      <c r="BS110" s="532">
        <f t="shared" si="139"/>
        <v>2517.3776291757636</v>
      </c>
      <c r="BT110" s="532">
        <f t="shared" si="139"/>
        <v>2703.2590626336932</v>
      </c>
      <c r="BU110" s="532">
        <f t="shared" si="139"/>
        <v>2703.2590626336932</v>
      </c>
      <c r="BV110" s="532">
        <f t="shared" si="139"/>
        <v>2703.2590626336932</v>
      </c>
      <c r="BW110" s="532">
        <f t="shared" si="139"/>
        <v>2703.2590626336932</v>
      </c>
      <c r="BX110" s="532">
        <f t="shared" si="139"/>
        <v>2703.2590626336932</v>
      </c>
      <c r="BY110" s="532">
        <f t="shared" si="139"/>
        <v>2703.2590626336932</v>
      </c>
      <c r="CB110" s="8"/>
    </row>
    <row r="111" spans="3:80" x14ac:dyDescent="0.3">
      <c r="C111" s="2"/>
      <c r="D111" s="2"/>
      <c r="E111" s="2"/>
      <c r="F111" s="37"/>
      <c r="G111" s="37"/>
      <c r="H111" s="37"/>
      <c r="I111" s="37"/>
      <c r="J111" s="37"/>
      <c r="K111" s="37"/>
      <c r="L111" s="37"/>
      <c r="M111" s="37"/>
      <c r="N111" s="37"/>
      <c r="O111" s="37"/>
      <c r="P111" s="35"/>
      <c r="R111" s="37"/>
      <c r="S111" s="37"/>
      <c r="T111" s="37"/>
      <c r="U111" s="37"/>
      <c r="V111" s="37"/>
      <c r="W111" s="37"/>
      <c r="X111" s="37"/>
      <c r="Y111" s="37"/>
      <c r="Z111" s="37"/>
      <c r="AA111" s="37"/>
      <c r="AB111" s="37"/>
      <c r="AC111" s="37"/>
      <c r="AD111" s="37"/>
      <c r="AE111" s="37"/>
      <c r="AF111" s="37"/>
      <c r="AG111" s="37"/>
      <c r="AH111" s="37"/>
      <c r="AI111" s="37"/>
      <c r="AJ111" s="37"/>
      <c r="AK111" s="37"/>
      <c r="AL111" s="37"/>
      <c r="AM111" s="37"/>
      <c r="AN111" s="529"/>
      <c r="AO111" s="529"/>
      <c r="AP111" s="529"/>
      <c r="AQ111" s="529"/>
      <c r="AR111" s="529"/>
      <c r="AS111" s="529"/>
      <c r="AT111" s="529"/>
      <c r="AU111" s="529"/>
      <c r="AV111" s="529"/>
      <c r="AW111" s="529"/>
      <c r="AX111" s="529"/>
      <c r="AY111" s="529"/>
      <c r="AZ111" s="529"/>
      <c r="BA111" s="529"/>
      <c r="BB111" s="529"/>
      <c r="BC111" s="529"/>
      <c r="BD111" s="529"/>
      <c r="BE111" s="529"/>
      <c r="BF111" s="529"/>
      <c r="BG111" s="529"/>
      <c r="BH111" s="529"/>
      <c r="BI111" s="529"/>
      <c r="BJ111" s="529"/>
      <c r="BK111" s="529"/>
      <c r="BL111" s="529"/>
      <c r="BM111" s="529"/>
      <c r="BN111" s="529"/>
      <c r="BO111" s="529"/>
      <c r="BP111" s="529"/>
      <c r="BQ111" s="529"/>
      <c r="BR111" s="529"/>
      <c r="BS111" s="529"/>
      <c r="BT111" s="529"/>
      <c r="BU111" s="529"/>
      <c r="BV111" s="529"/>
      <c r="BW111" s="529"/>
      <c r="BX111" s="529"/>
      <c r="BY111" s="529"/>
    </row>
    <row r="112" spans="3:80" x14ac:dyDescent="0.3">
      <c r="C112" s="2"/>
      <c r="D112" s="2"/>
      <c r="E112" s="17" t="s">
        <v>27</v>
      </c>
      <c r="F112" s="37"/>
      <c r="G112" s="37"/>
      <c r="H112" s="37"/>
      <c r="I112" s="37"/>
      <c r="J112" s="37"/>
      <c r="K112" s="37"/>
      <c r="L112" s="37"/>
      <c r="M112" s="37"/>
      <c r="N112" s="37"/>
      <c r="O112" s="37"/>
      <c r="P112" s="35"/>
      <c r="R112" s="37"/>
      <c r="S112" s="37"/>
      <c r="T112" s="37"/>
      <c r="U112" s="37"/>
      <c r="V112" s="37"/>
      <c r="W112" s="37"/>
      <c r="X112" s="37"/>
      <c r="Y112" s="37"/>
      <c r="Z112" s="37"/>
      <c r="AA112" s="37"/>
      <c r="AB112" s="37"/>
      <c r="AC112" s="37"/>
      <c r="AD112" s="37"/>
      <c r="AE112" s="37"/>
      <c r="AF112" s="37"/>
      <c r="AG112" s="37"/>
      <c r="AH112" s="37"/>
      <c r="AI112" s="37"/>
      <c r="AJ112" s="37"/>
      <c r="AK112" s="37"/>
      <c r="AL112" s="37"/>
      <c r="AM112" s="37"/>
      <c r="AN112" s="529"/>
      <c r="AO112" s="529"/>
      <c r="AP112" s="529"/>
      <c r="AQ112" s="529"/>
      <c r="AR112" s="529"/>
      <c r="AS112" s="529"/>
      <c r="AT112" s="529"/>
      <c r="AU112" s="529"/>
      <c r="AV112" s="529"/>
      <c r="AW112" s="529"/>
      <c r="AX112" s="529"/>
      <c r="AY112" s="529"/>
      <c r="AZ112" s="529"/>
      <c r="BA112" s="529"/>
      <c r="BB112" s="529"/>
      <c r="BC112" s="529"/>
      <c r="BD112" s="529"/>
      <c r="BE112" s="529"/>
      <c r="BF112" s="529"/>
      <c r="BG112" s="529"/>
      <c r="BH112" s="529"/>
      <c r="BI112" s="529"/>
      <c r="BJ112" s="529"/>
      <c r="BK112" s="529"/>
      <c r="BL112" s="529"/>
      <c r="BM112" s="529"/>
      <c r="BN112" s="529"/>
      <c r="BO112" s="529"/>
      <c r="BP112" s="529"/>
      <c r="BQ112" s="529"/>
      <c r="BR112" s="529"/>
      <c r="BS112" s="529"/>
      <c r="BT112" s="529"/>
      <c r="BU112" s="529"/>
      <c r="BV112" s="529"/>
      <c r="BW112" s="529"/>
      <c r="BX112" s="529"/>
      <c r="BY112" s="529"/>
    </row>
    <row r="113" spans="3:80" x14ac:dyDescent="0.3">
      <c r="C113" s="2"/>
      <c r="D113" s="2"/>
      <c r="E113" s="2" t="s">
        <v>28</v>
      </c>
      <c r="F113" s="54"/>
      <c r="G113" s="54"/>
      <c r="H113" s="54"/>
      <c r="I113" s="497">
        <f t="shared" ref="I113:N117" si="140">I48/I$82</f>
        <v>3.0843589743589739</v>
      </c>
      <c r="J113" s="497">
        <f t="shared" si="140"/>
        <v>3.084358974358973</v>
      </c>
      <c r="K113" s="497">
        <f t="shared" si="140"/>
        <v>3.084358974358973</v>
      </c>
      <c r="L113" s="497">
        <f t="shared" si="140"/>
        <v>3.084358974358973</v>
      </c>
      <c r="M113" s="497">
        <f t="shared" si="140"/>
        <v>3.084358974358973</v>
      </c>
      <c r="N113" s="497">
        <f t="shared" si="140"/>
        <v>3.084358974358973</v>
      </c>
      <c r="O113" s="37"/>
      <c r="P113" s="50">
        <f>IFERROR(((N113/I113)^(1/5))-1,0)</f>
        <v>-1.1102230246251565E-16</v>
      </c>
      <c r="R113" s="497">
        <f t="shared" ref="R113:AW113" si="141">R48/R$82</f>
        <v>0.25702991452991447</v>
      </c>
      <c r="S113" s="497">
        <f t="shared" si="141"/>
        <v>0.25702991452991447</v>
      </c>
      <c r="T113" s="497">
        <f t="shared" si="141"/>
        <v>0.25702991452991447</v>
      </c>
      <c r="U113" s="497">
        <f t="shared" si="141"/>
        <v>0.25702991452991447</v>
      </c>
      <c r="V113" s="497">
        <f t="shared" si="141"/>
        <v>0.25702991452991447</v>
      </c>
      <c r="W113" s="497">
        <f t="shared" si="141"/>
        <v>0.25702991452991447</v>
      </c>
      <c r="X113" s="497">
        <f t="shared" si="141"/>
        <v>0.25702991452991447</v>
      </c>
      <c r="Y113" s="497">
        <f t="shared" si="141"/>
        <v>0.25702991452991447</v>
      </c>
      <c r="Z113" s="497">
        <f t="shared" si="141"/>
        <v>0.25702991452991447</v>
      </c>
      <c r="AA113" s="497">
        <f t="shared" si="141"/>
        <v>0.25702991452991447</v>
      </c>
      <c r="AB113" s="497">
        <f t="shared" si="141"/>
        <v>0.25702991452991447</v>
      </c>
      <c r="AC113" s="497">
        <f t="shared" si="141"/>
        <v>0.25702991452991447</v>
      </c>
      <c r="AD113" s="497">
        <f t="shared" si="141"/>
        <v>0.25702991452991447</v>
      </c>
      <c r="AE113" s="497">
        <f t="shared" si="141"/>
        <v>0.25702991452991447</v>
      </c>
      <c r="AF113" s="497">
        <f t="shared" si="141"/>
        <v>0.25702991452991447</v>
      </c>
      <c r="AG113" s="497">
        <f t="shared" si="141"/>
        <v>0.25702991452991447</v>
      </c>
      <c r="AH113" s="497">
        <f t="shared" si="141"/>
        <v>0.25702991452991447</v>
      </c>
      <c r="AI113" s="497">
        <f t="shared" si="141"/>
        <v>0.25702991452991447</v>
      </c>
      <c r="AJ113" s="497">
        <f t="shared" si="141"/>
        <v>0.25702991452991447</v>
      </c>
      <c r="AK113" s="497">
        <f t="shared" si="141"/>
        <v>0.25702991452991447</v>
      </c>
      <c r="AL113" s="497">
        <f t="shared" si="141"/>
        <v>0.25702991452991447</v>
      </c>
      <c r="AM113" s="497">
        <f t="shared" si="141"/>
        <v>0.25702991452991447</v>
      </c>
      <c r="AN113" s="527">
        <f t="shared" si="141"/>
        <v>0.25702991452991447</v>
      </c>
      <c r="AO113" s="527">
        <f t="shared" si="141"/>
        <v>0.25702991452991447</v>
      </c>
      <c r="AP113" s="527">
        <f t="shared" si="141"/>
        <v>0.25702991452991447</v>
      </c>
      <c r="AQ113" s="527">
        <f t="shared" si="141"/>
        <v>0.25702991452991447</v>
      </c>
      <c r="AR113" s="527">
        <f t="shared" si="141"/>
        <v>0.25702991452991447</v>
      </c>
      <c r="AS113" s="527">
        <f t="shared" si="141"/>
        <v>0.25702991452991447</v>
      </c>
      <c r="AT113" s="527">
        <f t="shared" si="141"/>
        <v>0.25702991452991447</v>
      </c>
      <c r="AU113" s="527">
        <f t="shared" si="141"/>
        <v>0.25702991452991447</v>
      </c>
      <c r="AV113" s="527">
        <f t="shared" si="141"/>
        <v>0.25702991452991447</v>
      </c>
      <c r="AW113" s="527">
        <f t="shared" si="141"/>
        <v>0.25702991452991447</v>
      </c>
      <c r="AX113" s="527">
        <f t="shared" ref="AX113:BY113" si="142">AX48/AX$82</f>
        <v>0.25702991452991447</v>
      </c>
      <c r="AY113" s="527">
        <f t="shared" si="142"/>
        <v>0.25702991452991447</v>
      </c>
      <c r="AZ113" s="527">
        <f t="shared" si="142"/>
        <v>0.25702991452991447</v>
      </c>
      <c r="BA113" s="527">
        <f t="shared" si="142"/>
        <v>0.25702991452991447</v>
      </c>
      <c r="BB113" s="527">
        <f t="shared" si="142"/>
        <v>0.25702991452991447</v>
      </c>
      <c r="BC113" s="527">
        <f t="shared" si="142"/>
        <v>0.25702991452991447</v>
      </c>
      <c r="BD113" s="527">
        <f t="shared" si="142"/>
        <v>0.25702991452991447</v>
      </c>
      <c r="BE113" s="527">
        <f t="shared" si="142"/>
        <v>0.25702991452991447</v>
      </c>
      <c r="BF113" s="527">
        <f t="shared" si="142"/>
        <v>0.25702991452991447</v>
      </c>
      <c r="BG113" s="527">
        <f t="shared" si="142"/>
        <v>0.25702991452991447</v>
      </c>
      <c r="BH113" s="527">
        <f t="shared" si="142"/>
        <v>0.25702991452991447</v>
      </c>
      <c r="BI113" s="527">
        <f t="shared" si="142"/>
        <v>0.25702991452991447</v>
      </c>
      <c r="BJ113" s="527">
        <f t="shared" si="142"/>
        <v>0.25702991452991447</v>
      </c>
      <c r="BK113" s="527">
        <f t="shared" si="142"/>
        <v>0.25702991452991447</v>
      </c>
      <c r="BL113" s="527">
        <f t="shared" si="142"/>
        <v>0.25702991452991447</v>
      </c>
      <c r="BM113" s="527">
        <f t="shared" si="142"/>
        <v>0.25702991452991447</v>
      </c>
      <c r="BN113" s="527">
        <f t="shared" si="142"/>
        <v>0.25702991452991447</v>
      </c>
      <c r="BO113" s="527">
        <f t="shared" si="142"/>
        <v>0.25702991452991447</v>
      </c>
      <c r="BP113" s="527">
        <f t="shared" si="142"/>
        <v>0.25702991452991447</v>
      </c>
      <c r="BQ113" s="527">
        <f t="shared" si="142"/>
        <v>0.25702991452991447</v>
      </c>
      <c r="BR113" s="527">
        <f t="shared" si="142"/>
        <v>0.25702991452991447</v>
      </c>
      <c r="BS113" s="527">
        <f t="shared" si="142"/>
        <v>0.25702991452991447</v>
      </c>
      <c r="BT113" s="527">
        <f t="shared" si="142"/>
        <v>0.25702991452991447</v>
      </c>
      <c r="BU113" s="527">
        <f t="shared" si="142"/>
        <v>0.25702991452991447</v>
      </c>
      <c r="BV113" s="527">
        <f t="shared" si="142"/>
        <v>0.25702991452991447</v>
      </c>
      <c r="BW113" s="527">
        <f t="shared" si="142"/>
        <v>0.25702991452991447</v>
      </c>
      <c r="BX113" s="527">
        <f t="shared" si="142"/>
        <v>0.25702991452991447</v>
      </c>
      <c r="BY113" s="527">
        <f t="shared" si="142"/>
        <v>0.25702991452991447</v>
      </c>
      <c r="CB113" s="8"/>
    </row>
    <row r="114" spans="3:80" x14ac:dyDescent="0.3">
      <c r="C114" s="2"/>
      <c r="D114" s="2"/>
      <c r="E114" s="2" t="s">
        <v>29</v>
      </c>
      <c r="F114" s="54"/>
      <c r="G114" s="54"/>
      <c r="H114" s="54"/>
      <c r="I114" s="497">
        <f t="shared" si="140"/>
        <v>5638.7852070812296</v>
      </c>
      <c r="J114" s="497">
        <f t="shared" si="140"/>
        <v>5638.7852070812287</v>
      </c>
      <c r="K114" s="497">
        <f t="shared" si="140"/>
        <v>5638.7852070812287</v>
      </c>
      <c r="L114" s="497">
        <f t="shared" si="140"/>
        <v>5638.7852070812287</v>
      </c>
      <c r="M114" s="497">
        <f t="shared" si="140"/>
        <v>5638.7852070812287</v>
      </c>
      <c r="N114" s="497">
        <f t="shared" si="140"/>
        <v>5638.7852070812287</v>
      </c>
      <c r="O114" s="37"/>
      <c r="P114" s="50">
        <f>IFERROR(((N114/I114)^(1/5))-1,0)</f>
        <v>0</v>
      </c>
      <c r="R114" s="497">
        <f t="shared" ref="R114:AW114" si="143">R49/R$82</f>
        <v>469.89876725676908</v>
      </c>
      <c r="S114" s="497">
        <f t="shared" si="143"/>
        <v>469.89876725676908</v>
      </c>
      <c r="T114" s="497">
        <f t="shared" si="143"/>
        <v>469.89876725676908</v>
      </c>
      <c r="U114" s="497">
        <f t="shared" si="143"/>
        <v>469.89876725676908</v>
      </c>
      <c r="V114" s="497">
        <f t="shared" si="143"/>
        <v>469.89876725676908</v>
      </c>
      <c r="W114" s="497">
        <f t="shared" si="143"/>
        <v>469.89876725676908</v>
      </c>
      <c r="X114" s="497">
        <f t="shared" si="143"/>
        <v>469.89876725676908</v>
      </c>
      <c r="Y114" s="497">
        <f t="shared" si="143"/>
        <v>469.89876725676908</v>
      </c>
      <c r="Z114" s="497">
        <f t="shared" si="143"/>
        <v>469.89876725676908</v>
      </c>
      <c r="AA114" s="497">
        <f t="shared" si="143"/>
        <v>469.89876725676908</v>
      </c>
      <c r="AB114" s="497">
        <f t="shared" si="143"/>
        <v>469.89876725676908</v>
      </c>
      <c r="AC114" s="497">
        <f t="shared" si="143"/>
        <v>469.89876725676908</v>
      </c>
      <c r="AD114" s="497">
        <f t="shared" si="143"/>
        <v>469.89876725676908</v>
      </c>
      <c r="AE114" s="497">
        <f t="shared" si="143"/>
        <v>469.89876725676908</v>
      </c>
      <c r="AF114" s="497">
        <f t="shared" si="143"/>
        <v>469.89876725676908</v>
      </c>
      <c r="AG114" s="497">
        <f t="shared" si="143"/>
        <v>469.89876725676908</v>
      </c>
      <c r="AH114" s="497">
        <f t="shared" si="143"/>
        <v>469.89876725676908</v>
      </c>
      <c r="AI114" s="497">
        <f t="shared" si="143"/>
        <v>469.89876725676908</v>
      </c>
      <c r="AJ114" s="497">
        <f t="shared" si="143"/>
        <v>469.89876725676908</v>
      </c>
      <c r="AK114" s="497">
        <f t="shared" si="143"/>
        <v>469.89876725676908</v>
      </c>
      <c r="AL114" s="497">
        <f t="shared" si="143"/>
        <v>469.89876725676908</v>
      </c>
      <c r="AM114" s="497">
        <f t="shared" si="143"/>
        <v>469.89876725676908</v>
      </c>
      <c r="AN114" s="527">
        <f t="shared" si="143"/>
        <v>469.89876725676908</v>
      </c>
      <c r="AO114" s="527">
        <f t="shared" si="143"/>
        <v>469.89876725676908</v>
      </c>
      <c r="AP114" s="527">
        <f t="shared" si="143"/>
        <v>469.89876725676908</v>
      </c>
      <c r="AQ114" s="527">
        <f t="shared" si="143"/>
        <v>469.89876725676908</v>
      </c>
      <c r="AR114" s="527">
        <f t="shared" si="143"/>
        <v>469.89876725676908</v>
      </c>
      <c r="AS114" s="527">
        <f t="shared" si="143"/>
        <v>469.89876725676908</v>
      </c>
      <c r="AT114" s="527">
        <f t="shared" si="143"/>
        <v>469.89876725676908</v>
      </c>
      <c r="AU114" s="527">
        <f t="shared" si="143"/>
        <v>469.89876725676908</v>
      </c>
      <c r="AV114" s="527">
        <f t="shared" si="143"/>
        <v>469.89876725676908</v>
      </c>
      <c r="AW114" s="527">
        <f t="shared" si="143"/>
        <v>469.89876725676908</v>
      </c>
      <c r="AX114" s="527">
        <f t="shared" ref="AX114:BY114" si="144">AX49/AX$82</f>
        <v>469.89876725676908</v>
      </c>
      <c r="AY114" s="527">
        <f t="shared" si="144"/>
        <v>469.89876725676908</v>
      </c>
      <c r="AZ114" s="527">
        <f t="shared" si="144"/>
        <v>469.89876725676908</v>
      </c>
      <c r="BA114" s="527">
        <f t="shared" si="144"/>
        <v>469.89876725676908</v>
      </c>
      <c r="BB114" s="527">
        <f t="shared" si="144"/>
        <v>469.89876725676908</v>
      </c>
      <c r="BC114" s="527">
        <f t="shared" si="144"/>
        <v>469.89876725676908</v>
      </c>
      <c r="BD114" s="527">
        <f t="shared" si="144"/>
        <v>469.89876725676908</v>
      </c>
      <c r="BE114" s="527">
        <f t="shared" si="144"/>
        <v>469.89876725676908</v>
      </c>
      <c r="BF114" s="527">
        <f t="shared" si="144"/>
        <v>469.89876725676908</v>
      </c>
      <c r="BG114" s="527">
        <f t="shared" si="144"/>
        <v>469.89876725676908</v>
      </c>
      <c r="BH114" s="527">
        <f t="shared" si="144"/>
        <v>469.89876725676908</v>
      </c>
      <c r="BI114" s="527">
        <f t="shared" si="144"/>
        <v>469.89876725676908</v>
      </c>
      <c r="BJ114" s="527">
        <f t="shared" si="144"/>
        <v>469.89876725676908</v>
      </c>
      <c r="BK114" s="527">
        <f t="shared" si="144"/>
        <v>469.89876725676908</v>
      </c>
      <c r="BL114" s="527">
        <f t="shared" si="144"/>
        <v>469.89876725676908</v>
      </c>
      <c r="BM114" s="527">
        <f t="shared" si="144"/>
        <v>469.89876725676908</v>
      </c>
      <c r="BN114" s="527">
        <f t="shared" si="144"/>
        <v>469.89876725676908</v>
      </c>
      <c r="BO114" s="527">
        <f t="shared" si="144"/>
        <v>469.89876725676908</v>
      </c>
      <c r="BP114" s="527">
        <f t="shared" si="144"/>
        <v>469.89876725676908</v>
      </c>
      <c r="BQ114" s="527">
        <f t="shared" si="144"/>
        <v>469.89876725676908</v>
      </c>
      <c r="BR114" s="527">
        <f t="shared" si="144"/>
        <v>469.89876725676908</v>
      </c>
      <c r="BS114" s="527">
        <f t="shared" si="144"/>
        <v>469.89876725676908</v>
      </c>
      <c r="BT114" s="527">
        <f t="shared" si="144"/>
        <v>469.89876725676908</v>
      </c>
      <c r="BU114" s="527">
        <f t="shared" si="144"/>
        <v>469.89876725676908</v>
      </c>
      <c r="BV114" s="527">
        <f t="shared" si="144"/>
        <v>469.89876725676908</v>
      </c>
      <c r="BW114" s="527">
        <f t="shared" si="144"/>
        <v>469.89876725676908</v>
      </c>
      <c r="BX114" s="527">
        <f t="shared" si="144"/>
        <v>469.89876725676908</v>
      </c>
      <c r="BY114" s="527">
        <f t="shared" si="144"/>
        <v>469.89876725676908</v>
      </c>
      <c r="CB114" s="8"/>
    </row>
    <row r="115" spans="3:80" x14ac:dyDescent="0.3">
      <c r="C115" s="2"/>
      <c r="D115" s="2"/>
      <c r="E115" s="2" t="s">
        <v>30</v>
      </c>
      <c r="F115" s="54"/>
      <c r="G115" s="54"/>
      <c r="H115" s="54"/>
      <c r="I115" s="497">
        <f t="shared" si="140"/>
        <v>872.3066666666665</v>
      </c>
      <c r="J115" s="497">
        <f t="shared" si="140"/>
        <v>872.3066666666665</v>
      </c>
      <c r="K115" s="497">
        <f t="shared" si="140"/>
        <v>872.3066666666665</v>
      </c>
      <c r="L115" s="497">
        <f t="shared" si="140"/>
        <v>872.3066666666665</v>
      </c>
      <c r="M115" s="497">
        <f t="shared" si="140"/>
        <v>872.3066666666665</v>
      </c>
      <c r="N115" s="497">
        <f t="shared" si="140"/>
        <v>872.3066666666665</v>
      </c>
      <c r="O115" s="37"/>
      <c r="P115" s="50">
        <f>IFERROR(((N115/I115)^(1/5))-1,0)</f>
        <v>0</v>
      </c>
      <c r="R115" s="497">
        <f t="shared" ref="R115:AW115" si="145">R50/R$82</f>
        <v>72.692222222222199</v>
      </c>
      <c r="S115" s="497">
        <f t="shared" si="145"/>
        <v>72.692222222222199</v>
      </c>
      <c r="T115" s="497">
        <f t="shared" si="145"/>
        <v>72.692222222222199</v>
      </c>
      <c r="U115" s="497">
        <f t="shared" si="145"/>
        <v>72.692222222222199</v>
      </c>
      <c r="V115" s="497">
        <f t="shared" si="145"/>
        <v>72.692222222222199</v>
      </c>
      <c r="W115" s="497">
        <f t="shared" si="145"/>
        <v>72.692222222222199</v>
      </c>
      <c r="X115" s="497">
        <f t="shared" si="145"/>
        <v>72.692222222222199</v>
      </c>
      <c r="Y115" s="497">
        <f t="shared" si="145"/>
        <v>72.692222222222199</v>
      </c>
      <c r="Z115" s="497">
        <f t="shared" si="145"/>
        <v>72.692222222222199</v>
      </c>
      <c r="AA115" s="497">
        <f t="shared" si="145"/>
        <v>72.692222222222199</v>
      </c>
      <c r="AB115" s="497">
        <f t="shared" si="145"/>
        <v>72.692222222222199</v>
      </c>
      <c r="AC115" s="497">
        <f t="shared" si="145"/>
        <v>72.692222222222199</v>
      </c>
      <c r="AD115" s="497">
        <f t="shared" si="145"/>
        <v>72.692222222222199</v>
      </c>
      <c r="AE115" s="497">
        <f t="shared" si="145"/>
        <v>72.692222222222199</v>
      </c>
      <c r="AF115" s="497">
        <f t="shared" si="145"/>
        <v>72.692222222222199</v>
      </c>
      <c r="AG115" s="497">
        <f t="shared" si="145"/>
        <v>72.692222222222199</v>
      </c>
      <c r="AH115" s="497">
        <f t="shared" si="145"/>
        <v>72.692222222222199</v>
      </c>
      <c r="AI115" s="497">
        <f t="shared" si="145"/>
        <v>72.692222222222199</v>
      </c>
      <c r="AJ115" s="497">
        <f t="shared" si="145"/>
        <v>72.692222222222199</v>
      </c>
      <c r="AK115" s="497">
        <f t="shared" si="145"/>
        <v>72.692222222222199</v>
      </c>
      <c r="AL115" s="497">
        <f t="shared" si="145"/>
        <v>72.692222222222199</v>
      </c>
      <c r="AM115" s="497">
        <f t="shared" si="145"/>
        <v>72.692222222222199</v>
      </c>
      <c r="AN115" s="527">
        <f t="shared" si="145"/>
        <v>72.692222222222199</v>
      </c>
      <c r="AO115" s="527">
        <f t="shared" si="145"/>
        <v>72.692222222222199</v>
      </c>
      <c r="AP115" s="527">
        <f t="shared" si="145"/>
        <v>72.692222222222199</v>
      </c>
      <c r="AQ115" s="527">
        <f t="shared" si="145"/>
        <v>72.692222222222199</v>
      </c>
      <c r="AR115" s="527">
        <f t="shared" si="145"/>
        <v>72.692222222222199</v>
      </c>
      <c r="AS115" s="527">
        <f t="shared" si="145"/>
        <v>72.692222222222199</v>
      </c>
      <c r="AT115" s="527">
        <f t="shared" si="145"/>
        <v>72.692222222222199</v>
      </c>
      <c r="AU115" s="527">
        <f t="shared" si="145"/>
        <v>72.692222222222199</v>
      </c>
      <c r="AV115" s="527">
        <f t="shared" si="145"/>
        <v>72.692222222222199</v>
      </c>
      <c r="AW115" s="527">
        <f t="shared" si="145"/>
        <v>72.692222222222199</v>
      </c>
      <c r="AX115" s="527">
        <f t="shared" ref="AX115:BY115" si="146">AX50/AX$82</f>
        <v>72.692222222222199</v>
      </c>
      <c r="AY115" s="527">
        <f t="shared" si="146"/>
        <v>72.692222222222199</v>
      </c>
      <c r="AZ115" s="527">
        <f t="shared" si="146"/>
        <v>72.692222222222199</v>
      </c>
      <c r="BA115" s="527">
        <f t="shared" si="146"/>
        <v>72.692222222222199</v>
      </c>
      <c r="BB115" s="527">
        <f t="shared" si="146"/>
        <v>72.692222222222199</v>
      </c>
      <c r="BC115" s="527">
        <f t="shared" si="146"/>
        <v>72.692222222222199</v>
      </c>
      <c r="BD115" s="527">
        <f t="shared" si="146"/>
        <v>72.692222222222199</v>
      </c>
      <c r="BE115" s="527">
        <f t="shared" si="146"/>
        <v>72.692222222222199</v>
      </c>
      <c r="BF115" s="527">
        <f t="shared" si="146"/>
        <v>72.692222222222199</v>
      </c>
      <c r="BG115" s="527">
        <f t="shared" si="146"/>
        <v>72.692222222222199</v>
      </c>
      <c r="BH115" s="527">
        <f t="shared" si="146"/>
        <v>72.692222222222199</v>
      </c>
      <c r="BI115" s="527">
        <f t="shared" si="146"/>
        <v>72.692222222222199</v>
      </c>
      <c r="BJ115" s="527">
        <f t="shared" si="146"/>
        <v>72.692222222222199</v>
      </c>
      <c r="BK115" s="527">
        <f t="shared" si="146"/>
        <v>72.692222222222199</v>
      </c>
      <c r="BL115" s="527">
        <f t="shared" si="146"/>
        <v>72.692222222222199</v>
      </c>
      <c r="BM115" s="527">
        <f t="shared" si="146"/>
        <v>72.692222222222199</v>
      </c>
      <c r="BN115" s="527">
        <f t="shared" si="146"/>
        <v>72.692222222222199</v>
      </c>
      <c r="BO115" s="527">
        <f t="shared" si="146"/>
        <v>72.692222222222199</v>
      </c>
      <c r="BP115" s="527">
        <f t="shared" si="146"/>
        <v>72.692222222222199</v>
      </c>
      <c r="BQ115" s="527">
        <f t="shared" si="146"/>
        <v>72.692222222222199</v>
      </c>
      <c r="BR115" s="527">
        <f t="shared" si="146"/>
        <v>72.692222222222199</v>
      </c>
      <c r="BS115" s="527">
        <f t="shared" si="146"/>
        <v>72.692222222222199</v>
      </c>
      <c r="BT115" s="527">
        <f t="shared" si="146"/>
        <v>72.692222222222199</v>
      </c>
      <c r="BU115" s="527">
        <f t="shared" si="146"/>
        <v>72.692222222222199</v>
      </c>
      <c r="BV115" s="527">
        <f t="shared" si="146"/>
        <v>72.692222222222199</v>
      </c>
      <c r="BW115" s="527">
        <f t="shared" si="146"/>
        <v>72.692222222222199</v>
      </c>
      <c r="BX115" s="527">
        <f t="shared" si="146"/>
        <v>72.692222222222199</v>
      </c>
      <c r="BY115" s="527">
        <f t="shared" si="146"/>
        <v>72.692222222222199</v>
      </c>
      <c r="CB115" s="8"/>
    </row>
    <row r="116" spans="3:80" x14ac:dyDescent="0.3">
      <c r="C116" s="2"/>
      <c r="D116" s="2"/>
      <c r="E116" s="2" t="s">
        <v>31</v>
      </c>
      <c r="F116" s="54"/>
      <c r="G116" s="54"/>
      <c r="H116" s="54"/>
      <c r="I116" s="497">
        <f t="shared" si="140"/>
        <v>2865.4815258106514</v>
      </c>
      <c r="J116" s="497">
        <f t="shared" si="140"/>
        <v>2865.4815258106505</v>
      </c>
      <c r="K116" s="497">
        <f t="shared" si="140"/>
        <v>2865.4815258106505</v>
      </c>
      <c r="L116" s="497">
        <f t="shared" si="140"/>
        <v>2865.4815258106505</v>
      </c>
      <c r="M116" s="497">
        <f t="shared" si="140"/>
        <v>2865.4815258106505</v>
      </c>
      <c r="N116" s="497">
        <f t="shared" si="140"/>
        <v>2865.4815258106505</v>
      </c>
      <c r="O116" s="37"/>
      <c r="P116" s="50">
        <f>IFERROR(((N116/I116)^(1/5))-1,0)</f>
        <v>-1.1102230246251565E-16</v>
      </c>
      <c r="R116" s="497">
        <f t="shared" ref="R116:AW116" si="147">R51/R$82</f>
        <v>238.79012715088763</v>
      </c>
      <c r="S116" s="497">
        <f t="shared" si="147"/>
        <v>238.79012715088763</v>
      </c>
      <c r="T116" s="497">
        <f t="shared" si="147"/>
        <v>238.79012715088763</v>
      </c>
      <c r="U116" s="497">
        <f t="shared" si="147"/>
        <v>238.79012715088763</v>
      </c>
      <c r="V116" s="497">
        <f t="shared" si="147"/>
        <v>238.79012715088763</v>
      </c>
      <c r="W116" s="497">
        <f t="shared" si="147"/>
        <v>238.79012715088763</v>
      </c>
      <c r="X116" s="497">
        <f t="shared" si="147"/>
        <v>238.79012715088763</v>
      </c>
      <c r="Y116" s="497">
        <f t="shared" si="147"/>
        <v>238.79012715088763</v>
      </c>
      <c r="Z116" s="497">
        <f t="shared" si="147"/>
        <v>238.79012715088763</v>
      </c>
      <c r="AA116" s="497">
        <f t="shared" si="147"/>
        <v>238.79012715088763</v>
      </c>
      <c r="AB116" s="497">
        <f t="shared" si="147"/>
        <v>238.79012715088763</v>
      </c>
      <c r="AC116" s="497">
        <f t="shared" si="147"/>
        <v>238.79012715088763</v>
      </c>
      <c r="AD116" s="497">
        <f t="shared" si="147"/>
        <v>238.79012715088763</v>
      </c>
      <c r="AE116" s="497">
        <f t="shared" si="147"/>
        <v>238.79012715088763</v>
      </c>
      <c r="AF116" s="497">
        <f t="shared" si="147"/>
        <v>238.79012715088763</v>
      </c>
      <c r="AG116" s="497">
        <f t="shared" si="147"/>
        <v>238.79012715088763</v>
      </c>
      <c r="AH116" s="497">
        <f t="shared" si="147"/>
        <v>238.79012715088763</v>
      </c>
      <c r="AI116" s="497">
        <f t="shared" si="147"/>
        <v>238.79012715088763</v>
      </c>
      <c r="AJ116" s="497">
        <f t="shared" si="147"/>
        <v>238.79012715088763</v>
      </c>
      <c r="AK116" s="497">
        <f t="shared" si="147"/>
        <v>238.79012715088763</v>
      </c>
      <c r="AL116" s="497">
        <f t="shared" si="147"/>
        <v>238.79012715088763</v>
      </c>
      <c r="AM116" s="497">
        <f t="shared" si="147"/>
        <v>238.79012715088763</v>
      </c>
      <c r="AN116" s="527">
        <f t="shared" si="147"/>
        <v>238.79012715088763</v>
      </c>
      <c r="AO116" s="527">
        <f t="shared" si="147"/>
        <v>238.79012715088763</v>
      </c>
      <c r="AP116" s="527">
        <f t="shared" si="147"/>
        <v>238.79012715088763</v>
      </c>
      <c r="AQ116" s="527">
        <f t="shared" si="147"/>
        <v>238.79012715088763</v>
      </c>
      <c r="AR116" s="527">
        <f t="shared" si="147"/>
        <v>238.79012715088763</v>
      </c>
      <c r="AS116" s="527">
        <f t="shared" si="147"/>
        <v>238.79012715088763</v>
      </c>
      <c r="AT116" s="527">
        <f t="shared" si="147"/>
        <v>238.79012715088763</v>
      </c>
      <c r="AU116" s="527">
        <f t="shared" si="147"/>
        <v>238.79012715088763</v>
      </c>
      <c r="AV116" s="527">
        <f t="shared" si="147"/>
        <v>238.79012715088763</v>
      </c>
      <c r="AW116" s="527">
        <f t="shared" si="147"/>
        <v>238.79012715088763</v>
      </c>
      <c r="AX116" s="527">
        <f t="shared" ref="AX116:BY116" si="148">AX51/AX$82</f>
        <v>238.79012715088763</v>
      </c>
      <c r="AY116" s="527">
        <f t="shared" si="148"/>
        <v>238.79012715088763</v>
      </c>
      <c r="AZ116" s="527">
        <f t="shared" si="148"/>
        <v>238.79012715088763</v>
      </c>
      <c r="BA116" s="527">
        <f t="shared" si="148"/>
        <v>238.79012715088763</v>
      </c>
      <c r="BB116" s="527">
        <f t="shared" si="148"/>
        <v>238.79012715088763</v>
      </c>
      <c r="BC116" s="527">
        <f t="shared" si="148"/>
        <v>238.79012715088763</v>
      </c>
      <c r="BD116" s="527">
        <f t="shared" si="148"/>
        <v>238.79012715088763</v>
      </c>
      <c r="BE116" s="527">
        <f t="shared" si="148"/>
        <v>238.79012715088763</v>
      </c>
      <c r="BF116" s="527">
        <f t="shared" si="148"/>
        <v>238.79012715088763</v>
      </c>
      <c r="BG116" s="527">
        <f t="shared" si="148"/>
        <v>238.79012715088763</v>
      </c>
      <c r="BH116" s="527">
        <f t="shared" si="148"/>
        <v>238.79012715088763</v>
      </c>
      <c r="BI116" s="527">
        <f t="shared" si="148"/>
        <v>238.79012715088763</v>
      </c>
      <c r="BJ116" s="527">
        <f t="shared" si="148"/>
        <v>238.79012715088763</v>
      </c>
      <c r="BK116" s="527">
        <f t="shared" si="148"/>
        <v>238.79012715088763</v>
      </c>
      <c r="BL116" s="527">
        <f t="shared" si="148"/>
        <v>238.79012715088763</v>
      </c>
      <c r="BM116" s="527">
        <f t="shared" si="148"/>
        <v>238.79012715088763</v>
      </c>
      <c r="BN116" s="527">
        <f t="shared" si="148"/>
        <v>238.79012715088763</v>
      </c>
      <c r="BO116" s="527">
        <f t="shared" si="148"/>
        <v>238.79012715088763</v>
      </c>
      <c r="BP116" s="527">
        <f t="shared" si="148"/>
        <v>238.79012715088763</v>
      </c>
      <c r="BQ116" s="527">
        <f t="shared" si="148"/>
        <v>238.79012715088763</v>
      </c>
      <c r="BR116" s="527">
        <f t="shared" si="148"/>
        <v>238.79012715088763</v>
      </c>
      <c r="BS116" s="527">
        <f t="shared" si="148"/>
        <v>238.79012715088763</v>
      </c>
      <c r="BT116" s="527">
        <f t="shared" si="148"/>
        <v>238.79012715088763</v>
      </c>
      <c r="BU116" s="527">
        <f t="shared" si="148"/>
        <v>238.79012715088763</v>
      </c>
      <c r="BV116" s="527">
        <f t="shared" si="148"/>
        <v>238.79012715088763</v>
      </c>
      <c r="BW116" s="527">
        <f t="shared" si="148"/>
        <v>238.79012715088763</v>
      </c>
      <c r="BX116" s="527">
        <f t="shared" si="148"/>
        <v>238.79012715088763</v>
      </c>
      <c r="BY116" s="527">
        <f t="shared" si="148"/>
        <v>238.79012715088763</v>
      </c>
      <c r="CB116" s="8"/>
    </row>
    <row r="117" spans="3:80" x14ac:dyDescent="0.3">
      <c r="C117" s="2"/>
      <c r="D117" s="2"/>
      <c r="E117" s="4" t="s">
        <v>32</v>
      </c>
      <c r="F117" s="5"/>
      <c r="G117" s="5"/>
      <c r="H117" s="5"/>
      <c r="I117" s="500">
        <f t="shared" si="140"/>
        <v>9379.6577585329069</v>
      </c>
      <c r="J117" s="500">
        <f t="shared" si="140"/>
        <v>9379.6577585329032</v>
      </c>
      <c r="K117" s="500">
        <f t="shared" si="140"/>
        <v>9379.6577585329032</v>
      </c>
      <c r="L117" s="500">
        <f t="shared" si="140"/>
        <v>9379.6577585329032</v>
      </c>
      <c r="M117" s="500">
        <f t="shared" si="140"/>
        <v>9379.6577585329032</v>
      </c>
      <c r="N117" s="500">
        <f t="shared" si="140"/>
        <v>9379.6577585329032</v>
      </c>
      <c r="O117" s="57"/>
      <c r="P117" s="55">
        <f>IFERROR(((N117/I117)^(1/5))-1,0)</f>
        <v>-1.1102230246251565E-16</v>
      </c>
      <c r="R117" s="500">
        <f t="shared" ref="R117:AW117" si="149">R52/R$82</f>
        <v>781.63814654440887</v>
      </c>
      <c r="S117" s="498">
        <f t="shared" si="149"/>
        <v>781.63814654440887</v>
      </c>
      <c r="T117" s="500">
        <f t="shared" si="149"/>
        <v>781.63814654440887</v>
      </c>
      <c r="U117" s="500">
        <f t="shared" si="149"/>
        <v>781.63814654440887</v>
      </c>
      <c r="V117" s="500">
        <f t="shared" si="149"/>
        <v>781.63814654440887</v>
      </c>
      <c r="W117" s="500">
        <f t="shared" si="149"/>
        <v>781.63814654440887</v>
      </c>
      <c r="X117" s="500">
        <f t="shared" si="149"/>
        <v>781.63814654440887</v>
      </c>
      <c r="Y117" s="500">
        <f t="shared" si="149"/>
        <v>781.63814654440887</v>
      </c>
      <c r="Z117" s="500">
        <f t="shared" si="149"/>
        <v>781.63814654440887</v>
      </c>
      <c r="AA117" s="500">
        <f t="shared" si="149"/>
        <v>781.63814654440887</v>
      </c>
      <c r="AB117" s="500">
        <f t="shared" si="149"/>
        <v>781.63814654440887</v>
      </c>
      <c r="AC117" s="500">
        <f t="shared" si="149"/>
        <v>781.63814654440887</v>
      </c>
      <c r="AD117" s="500">
        <f t="shared" si="149"/>
        <v>781.63814654440887</v>
      </c>
      <c r="AE117" s="500">
        <f t="shared" si="149"/>
        <v>781.63814654440887</v>
      </c>
      <c r="AF117" s="500">
        <f t="shared" si="149"/>
        <v>781.63814654440887</v>
      </c>
      <c r="AG117" s="500">
        <f t="shared" si="149"/>
        <v>781.63814654440887</v>
      </c>
      <c r="AH117" s="500">
        <f t="shared" si="149"/>
        <v>781.63814654440887</v>
      </c>
      <c r="AI117" s="500">
        <f t="shared" si="149"/>
        <v>781.63814654440887</v>
      </c>
      <c r="AJ117" s="500">
        <f t="shared" si="149"/>
        <v>781.63814654440887</v>
      </c>
      <c r="AK117" s="500">
        <f t="shared" si="149"/>
        <v>781.63814654440887</v>
      </c>
      <c r="AL117" s="500">
        <f t="shared" si="149"/>
        <v>781.63814654440887</v>
      </c>
      <c r="AM117" s="500">
        <f t="shared" si="149"/>
        <v>781.63814654440887</v>
      </c>
      <c r="AN117" s="532">
        <f t="shared" si="149"/>
        <v>781.63814654440887</v>
      </c>
      <c r="AO117" s="532">
        <f t="shared" si="149"/>
        <v>781.63814654440887</v>
      </c>
      <c r="AP117" s="532">
        <f t="shared" si="149"/>
        <v>781.63814654440887</v>
      </c>
      <c r="AQ117" s="532">
        <f t="shared" si="149"/>
        <v>781.63814654440887</v>
      </c>
      <c r="AR117" s="532">
        <f t="shared" si="149"/>
        <v>781.63814654440887</v>
      </c>
      <c r="AS117" s="532">
        <f t="shared" si="149"/>
        <v>781.63814654440887</v>
      </c>
      <c r="AT117" s="532">
        <f t="shared" si="149"/>
        <v>781.63814654440887</v>
      </c>
      <c r="AU117" s="532">
        <f t="shared" si="149"/>
        <v>781.63814654440887</v>
      </c>
      <c r="AV117" s="532">
        <f t="shared" si="149"/>
        <v>781.63814654440887</v>
      </c>
      <c r="AW117" s="532">
        <f t="shared" si="149"/>
        <v>781.63814654440887</v>
      </c>
      <c r="AX117" s="532">
        <f t="shared" ref="AX117:BY117" si="150">AX52/AX$82</f>
        <v>781.63814654440887</v>
      </c>
      <c r="AY117" s="532">
        <f t="shared" si="150"/>
        <v>781.63814654440887</v>
      </c>
      <c r="AZ117" s="532">
        <f t="shared" si="150"/>
        <v>781.63814654440887</v>
      </c>
      <c r="BA117" s="532">
        <f t="shared" si="150"/>
        <v>781.63814654440887</v>
      </c>
      <c r="BB117" s="532">
        <f t="shared" si="150"/>
        <v>781.63814654440887</v>
      </c>
      <c r="BC117" s="532">
        <f t="shared" si="150"/>
        <v>781.63814654440887</v>
      </c>
      <c r="BD117" s="532">
        <f t="shared" si="150"/>
        <v>781.63814654440887</v>
      </c>
      <c r="BE117" s="532">
        <f t="shared" si="150"/>
        <v>781.63814654440887</v>
      </c>
      <c r="BF117" s="532">
        <f t="shared" si="150"/>
        <v>781.63814654440887</v>
      </c>
      <c r="BG117" s="532">
        <f t="shared" si="150"/>
        <v>781.63814654440887</v>
      </c>
      <c r="BH117" s="532">
        <f t="shared" si="150"/>
        <v>781.63814654440887</v>
      </c>
      <c r="BI117" s="532">
        <f t="shared" si="150"/>
        <v>781.63814654440887</v>
      </c>
      <c r="BJ117" s="532">
        <f t="shared" si="150"/>
        <v>781.63814654440887</v>
      </c>
      <c r="BK117" s="532">
        <f t="shared" si="150"/>
        <v>781.63814654440887</v>
      </c>
      <c r="BL117" s="532">
        <f t="shared" si="150"/>
        <v>781.63814654440887</v>
      </c>
      <c r="BM117" s="532">
        <f t="shared" si="150"/>
        <v>781.63814654440887</v>
      </c>
      <c r="BN117" s="532">
        <f t="shared" si="150"/>
        <v>781.63814654440887</v>
      </c>
      <c r="BO117" s="532">
        <f t="shared" si="150"/>
        <v>781.63814654440887</v>
      </c>
      <c r="BP117" s="532">
        <f t="shared" si="150"/>
        <v>781.63814654440887</v>
      </c>
      <c r="BQ117" s="532">
        <f t="shared" si="150"/>
        <v>781.63814654440887</v>
      </c>
      <c r="BR117" s="532">
        <f t="shared" si="150"/>
        <v>781.63814654440887</v>
      </c>
      <c r="BS117" s="532">
        <f t="shared" si="150"/>
        <v>781.63814654440887</v>
      </c>
      <c r="BT117" s="532">
        <f t="shared" si="150"/>
        <v>781.63814654440887</v>
      </c>
      <c r="BU117" s="532">
        <f t="shared" si="150"/>
        <v>781.63814654440887</v>
      </c>
      <c r="BV117" s="532">
        <f t="shared" si="150"/>
        <v>781.63814654440887</v>
      </c>
      <c r="BW117" s="532">
        <f t="shared" si="150"/>
        <v>781.63814654440887</v>
      </c>
      <c r="BX117" s="532">
        <f t="shared" si="150"/>
        <v>781.63814654440887</v>
      </c>
      <c r="BY117" s="532">
        <f t="shared" si="150"/>
        <v>781.63814654440887</v>
      </c>
      <c r="CB117" s="8"/>
    </row>
    <row r="118" spans="3:80" x14ac:dyDescent="0.3">
      <c r="C118" s="2"/>
      <c r="D118" s="2"/>
      <c r="E118" s="2"/>
      <c r="F118" s="37"/>
      <c r="G118" s="37"/>
      <c r="H118" s="37"/>
      <c r="I118" s="37"/>
      <c r="J118" s="37"/>
      <c r="K118" s="37"/>
      <c r="L118" s="37"/>
      <c r="M118" s="37"/>
      <c r="N118" s="37"/>
      <c r="O118" s="37"/>
      <c r="P118" s="35"/>
      <c r="R118" s="37"/>
      <c r="S118" s="37"/>
      <c r="T118" s="37"/>
      <c r="U118" s="37"/>
      <c r="V118" s="37"/>
      <c r="W118" s="37"/>
      <c r="X118" s="37"/>
      <c r="Y118" s="37"/>
      <c r="Z118" s="37"/>
      <c r="AA118" s="37"/>
      <c r="AB118" s="37"/>
      <c r="AC118" s="37"/>
      <c r="AD118" s="37"/>
      <c r="AE118" s="37"/>
      <c r="AF118" s="37"/>
      <c r="AG118" s="37"/>
      <c r="AH118" s="37"/>
      <c r="AI118" s="37"/>
      <c r="AJ118" s="37"/>
      <c r="AK118" s="37"/>
      <c r="AL118" s="37"/>
      <c r="AM118" s="37"/>
      <c r="AN118" s="529"/>
      <c r="AO118" s="529"/>
      <c r="AP118" s="529"/>
      <c r="AQ118" s="529"/>
      <c r="AR118" s="529"/>
      <c r="AS118" s="529"/>
      <c r="AT118" s="529"/>
      <c r="AU118" s="529"/>
      <c r="AV118" s="529"/>
      <c r="AW118" s="529"/>
      <c r="AX118" s="529"/>
      <c r="AY118" s="529"/>
      <c r="AZ118" s="529"/>
      <c r="BA118" s="529"/>
      <c r="BB118" s="529"/>
      <c r="BC118" s="529"/>
      <c r="BD118" s="529"/>
      <c r="BE118" s="529"/>
      <c r="BF118" s="529"/>
      <c r="BG118" s="529"/>
      <c r="BH118" s="529"/>
      <c r="BI118" s="529"/>
      <c r="BJ118" s="529"/>
      <c r="BK118" s="529"/>
      <c r="BL118" s="529"/>
      <c r="BM118" s="529"/>
      <c r="BN118" s="529"/>
      <c r="BO118" s="529"/>
      <c r="BP118" s="529"/>
      <c r="BQ118" s="529"/>
      <c r="BR118" s="529"/>
      <c r="BS118" s="529"/>
      <c r="BT118" s="529"/>
      <c r="BU118" s="529"/>
      <c r="BV118" s="529"/>
      <c r="BW118" s="529"/>
      <c r="BX118" s="529"/>
      <c r="BY118" s="529"/>
    </row>
    <row r="119" spans="3:80" x14ac:dyDescent="0.3">
      <c r="C119" s="2"/>
      <c r="D119" s="2"/>
      <c r="E119" s="62" t="s">
        <v>33</v>
      </c>
      <c r="F119" s="63"/>
      <c r="G119" s="63"/>
      <c r="H119" s="63"/>
      <c r="I119" s="502">
        <f t="shared" ref="I119:N119" si="151">I54/I$82</f>
        <v>85807.906072810467</v>
      </c>
      <c r="J119" s="502">
        <f t="shared" si="151"/>
        <v>90423.45370955531</v>
      </c>
      <c r="K119" s="502">
        <f t="shared" si="151"/>
        <v>96066.60419449769</v>
      </c>
      <c r="L119" s="502">
        <f t="shared" si="151"/>
        <v>101870.10665694695</v>
      </c>
      <c r="M119" s="502">
        <f t="shared" si="151"/>
        <v>107833.10709434957</v>
      </c>
      <c r="N119" s="501">
        <f t="shared" si="151"/>
        <v>114104.86695716421</v>
      </c>
      <c r="O119" s="57"/>
      <c r="P119" s="55">
        <f>IFERROR(((N119/I119)^(1/5))-1,0)</f>
        <v>5.865724244624948E-2</v>
      </c>
      <c r="R119" s="501">
        <f t="shared" ref="R119:AW119" si="152">R54/R$82</f>
        <v>7438.1523479280741</v>
      </c>
      <c r="S119" s="501">
        <f t="shared" si="152"/>
        <v>7438.1523479280741</v>
      </c>
      <c r="T119" s="502">
        <f t="shared" si="152"/>
        <v>7438.1523479280741</v>
      </c>
      <c r="U119" s="502">
        <f t="shared" si="152"/>
        <v>7438.1523479280741</v>
      </c>
      <c r="V119" s="502">
        <f t="shared" si="152"/>
        <v>7438.1523479280741</v>
      </c>
      <c r="W119" s="502">
        <f t="shared" si="152"/>
        <v>7438.1523479280741</v>
      </c>
      <c r="X119" s="502">
        <f t="shared" si="152"/>
        <v>7632.4232703311418</v>
      </c>
      <c r="Y119" s="502">
        <f t="shared" si="152"/>
        <v>7632.4232703311418</v>
      </c>
      <c r="Z119" s="502">
        <f t="shared" si="152"/>
        <v>7632.4232703311418</v>
      </c>
      <c r="AA119" s="502">
        <f t="shared" si="152"/>
        <v>7632.4232703311418</v>
      </c>
      <c r="AB119" s="502">
        <f t="shared" si="152"/>
        <v>7632.4232703311418</v>
      </c>
      <c r="AC119" s="502">
        <f t="shared" si="152"/>
        <v>7632.4232703311418</v>
      </c>
      <c r="AD119" s="502">
        <f t="shared" si="152"/>
        <v>7883.5446191276287</v>
      </c>
      <c r="AE119" s="502">
        <f t="shared" si="152"/>
        <v>7883.5446191276287</v>
      </c>
      <c r="AF119" s="502">
        <f t="shared" si="152"/>
        <v>7883.5446191276287</v>
      </c>
      <c r="AG119" s="502">
        <f t="shared" si="152"/>
        <v>7883.5446191276287</v>
      </c>
      <c r="AH119" s="502">
        <f t="shared" si="152"/>
        <v>7883.5446191276287</v>
      </c>
      <c r="AI119" s="502">
        <f t="shared" si="152"/>
        <v>7883.5446191276287</v>
      </c>
      <c r="AJ119" s="502">
        <f t="shared" si="152"/>
        <v>8127.5560799553195</v>
      </c>
      <c r="AK119" s="502">
        <f t="shared" si="152"/>
        <v>8127.5560799553195</v>
      </c>
      <c r="AL119" s="502">
        <f t="shared" si="152"/>
        <v>8127.5560799553195</v>
      </c>
      <c r="AM119" s="502">
        <f t="shared" si="152"/>
        <v>8127.5560799553195</v>
      </c>
      <c r="AN119" s="534">
        <f t="shared" si="152"/>
        <v>8127.5560799553195</v>
      </c>
      <c r="AO119" s="534">
        <f t="shared" si="152"/>
        <v>8127.5560799553195</v>
      </c>
      <c r="AP119" s="534">
        <f t="shared" si="152"/>
        <v>8340.6783786293072</v>
      </c>
      <c r="AQ119" s="534">
        <f t="shared" si="152"/>
        <v>8340.6783786293072</v>
      </c>
      <c r="AR119" s="534">
        <f t="shared" si="152"/>
        <v>8340.6783786293072</v>
      </c>
      <c r="AS119" s="534">
        <f t="shared" si="152"/>
        <v>8340.6783786293072</v>
      </c>
      <c r="AT119" s="534">
        <f t="shared" si="152"/>
        <v>8340.6783786293072</v>
      </c>
      <c r="AU119" s="534">
        <f t="shared" si="152"/>
        <v>8340.6783786293072</v>
      </c>
      <c r="AV119" s="534">
        <f t="shared" si="152"/>
        <v>8637.672730861852</v>
      </c>
      <c r="AW119" s="534">
        <f t="shared" si="152"/>
        <v>8637.672730861852</v>
      </c>
      <c r="AX119" s="534">
        <f t="shared" ref="AX119:BY119" si="153">AX54/AX$82</f>
        <v>8637.672730861852</v>
      </c>
      <c r="AY119" s="534">
        <f t="shared" si="153"/>
        <v>8637.672730861852</v>
      </c>
      <c r="AZ119" s="534">
        <f t="shared" si="153"/>
        <v>8637.672730861852</v>
      </c>
      <c r="BA119" s="534">
        <f t="shared" si="153"/>
        <v>8637.672730861852</v>
      </c>
      <c r="BB119" s="534">
        <f t="shared" si="153"/>
        <v>8809.4512450920265</v>
      </c>
      <c r="BC119" s="534">
        <f t="shared" si="153"/>
        <v>8809.4512450920265</v>
      </c>
      <c r="BD119" s="534">
        <f t="shared" si="153"/>
        <v>8809.4512450920265</v>
      </c>
      <c r="BE119" s="534">
        <f t="shared" si="153"/>
        <v>8809.4512450920265</v>
      </c>
      <c r="BF119" s="534">
        <f t="shared" si="153"/>
        <v>8809.4512450920265</v>
      </c>
      <c r="BG119" s="534">
        <f t="shared" si="153"/>
        <v>8809.4512450920265</v>
      </c>
      <c r="BH119" s="534">
        <f t="shared" si="153"/>
        <v>9162.733270632898</v>
      </c>
      <c r="BI119" s="534">
        <f t="shared" si="153"/>
        <v>9162.733270632898</v>
      </c>
      <c r="BJ119" s="534">
        <f t="shared" si="153"/>
        <v>9162.733270632898</v>
      </c>
      <c r="BK119" s="534">
        <f t="shared" si="153"/>
        <v>9162.733270632898</v>
      </c>
      <c r="BL119" s="534">
        <f t="shared" si="153"/>
        <v>9162.733270632898</v>
      </c>
      <c r="BM119" s="534">
        <f t="shared" si="153"/>
        <v>9162.733270632898</v>
      </c>
      <c r="BN119" s="534">
        <f t="shared" si="153"/>
        <v>9302.2039870326516</v>
      </c>
      <c r="BO119" s="534">
        <f t="shared" si="153"/>
        <v>9302.2039870326516</v>
      </c>
      <c r="BP119" s="534">
        <f t="shared" si="153"/>
        <v>9302.2039870326516</v>
      </c>
      <c r="BQ119" s="534">
        <f t="shared" si="153"/>
        <v>9302.2039870326516</v>
      </c>
      <c r="BR119" s="534">
        <f t="shared" si="153"/>
        <v>9302.2039870326516</v>
      </c>
      <c r="BS119" s="534">
        <f t="shared" si="153"/>
        <v>9302.2039870326516</v>
      </c>
      <c r="BT119" s="534">
        <f t="shared" si="153"/>
        <v>9715.2738391613821</v>
      </c>
      <c r="BU119" s="534">
        <f t="shared" si="153"/>
        <v>9715.2738391613821</v>
      </c>
      <c r="BV119" s="534">
        <f t="shared" si="153"/>
        <v>9715.2738391613821</v>
      </c>
      <c r="BW119" s="534">
        <f t="shared" si="153"/>
        <v>9715.2738391613821</v>
      </c>
      <c r="BX119" s="534">
        <f t="shared" si="153"/>
        <v>9715.2738391613821</v>
      </c>
      <c r="BY119" s="534">
        <f t="shared" si="153"/>
        <v>9715.2738391613821</v>
      </c>
      <c r="CB119" s="8"/>
    </row>
    <row r="120" spans="3:80" x14ac:dyDescent="0.3">
      <c r="C120" s="2"/>
      <c r="D120" s="2"/>
      <c r="E120" s="2"/>
      <c r="F120" s="37"/>
      <c r="G120" s="37"/>
      <c r="H120" s="37"/>
      <c r="I120" s="37"/>
      <c r="J120" s="37"/>
      <c r="K120" s="37"/>
      <c r="L120" s="37"/>
      <c r="M120" s="37"/>
      <c r="N120" s="37"/>
      <c r="O120" s="37"/>
      <c r="P120" s="35"/>
      <c r="R120" s="37"/>
      <c r="S120" s="37"/>
      <c r="T120" s="37"/>
      <c r="U120" s="37"/>
      <c r="V120" s="37"/>
      <c r="W120" s="37"/>
      <c r="X120" s="37"/>
      <c r="Y120" s="37"/>
      <c r="Z120" s="37"/>
      <c r="AA120" s="37"/>
      <c r="AB120" s="37"/>
      <c r="AC120" s="37"/>
      <c r="AD120" s="37"/>
      <c r="AE120" s="37"/>
      <c r="AF120" s="37"/>
      <c r="AG120" s="37"/>
      <c r="AH120" s="37"/>
      <c r="AI120" s="37"/>
      <c r="AJ120" s="37"/>
      <c r="AK120" s="37"/>
      <c r="AL120" s="37"/>
      <c r="AM120" s="37"/>
      <c r="AN120" s="529"/>
      <c r="AO120" s="529"/>
      <c r="AP120" s="529"/>
      <c r="AQ120" s="529"/>
      <c r="AR120" s="529"/>
      <c r="AS120" s="529"/>
      <c r="AT120" s="529"/>
      <c r="AU120" s="529"/>
      <c r="AV120" s="529"/>
      <c r="AW120" s="529"/>
      <c r="AX120" s="529"/>
      <c r="AY120" s="529"/>
      <c r="AZ120" s="529"/>
      <c r="BA120" s="529"/>
      <c r="BB120" s="529"/>
      <c r="BC120" s="529"/>
      <c r="BD120" s="529"/>
      <c r="BE120" s="529"/>
      <c r="BF120" s="529"/>
      <c r="BG120" s="529"/>
      <c r="BH120" s="529"/>
      <c r="BI120" s="529"/>
      <c r="BJ120" s="529"/>
      <c r="BK120" s="529"/>
      <c r="BL120" s="529"/>
      <c r="BM120" s="529"/>
      <c r="BN120" s="529"/>
      <c r="BO120" s="529"/>
      <c r="BP120" s="529"/>
      <c r="BQ120" s="529"/>
      <c r="BR120" s="529"/>
      <c r="BS120" s="529"/>
      <c r="BT120" s="529"/>
      <c r="BU120" s="529"/>
      <c r="BV120" s="529"/>
      <c r="BW120" s="529"/>
      <c r="BX120" s="529"/>
      <c r="BY120" s="529"/>
    </row>
    <row r="121" spans="3:80" x14ac:dyDescent="0.3">
      <c r="C121" s="2"/>
      <c r="D121" s="2"/>
      <c r="E121" s="17" t="s">
        <v>51</v>
      </c>
      <c r="F121" s="37"/>
      <c r="G121" s="37"/>
      <c r="H121" s="37"/>
      <c r="I121" s="37"/>
      <c r="J121" s="37"/>
      <c r="K121" s="37"/>
      <c r="L121" s="37"/>
      <c r="M121" s="37"/>
      <c r="N121" s="37"/>
      <c r="O121" s="37"/>
      <c r="P121" s="35"/>
      <c r="R121" s="37"/>
      <c r="S121" s="37"/>
      <c r="T121" s="37"/>
      <c r="U121" s="37"/>
      <c r="V121" s="37"/>
      <c r="W121" s="37"/>
      <c r="X121" s="37"/>
      <c r="Y121" s="37"/>
      <c r="Z121" s="37"/>
      <c r="AA121" s="37"/>
      <c r="AB121" s="37"/>
      <c r="AC121" s="37"/>
      <c r="AD121" s="37"/>
      <c r="AE121" s="37"/>
      <c r="AF121" s="37"/>
      <c r="AG121" s="37"/>
      <c r="AH121" s="37"/>
      <c r="AI121" s="37"/>
      <c r="AJ121" s="37"/>
      <c r="AK121" s="37"/>
      <c r="AL121" s="37"/>
      <c r="AM121" s="37"/>
      <c r="AN121" s="529"/>
      <c r="AO121" s="529"/>
      <c r="AP121" s="529"/>
      <c r="AQ121" s="529"/>
      <c r="AR121" s="529"/>
      <c r="AS121" s="529"/>
      <c r="AT121" s="529"/>
      <c r="AU121" s="529"/>
      <c r="AV121" s="529"/>
      <c r="AW121" s="529"/>
      <c r="AX121" s="529"/>
      <c r="AY121" s="529"/>
      <c r="AZ121" s="529"/>
      <c r="BA121" s="529"/>
      <c r="BB121" s="529"/>
      <c r="BC121" s="529"/>
      <c r="BD121" s="529"/>
      <c r="BE121" s="529"/>
      <c r="BF121" s="529"/>
      <c r="BG121" s="529"/>
      <c r="BH121" s="529"/>
      <c r="BI121" s="529"/>
      <c r="BJ121" s="529"/>
      <c r="BK121" s="529"/>
      <c r="BL121" s="529"/>
      <c r="BM121" s="529"/>
      <c r="BN121" s="529"/>
      <c r="BO121" s="529"/>
      <c r="BP121" s="529"/>
      <c r="BQ121" s="529"/>
      <c r="BR121" s="529"/>
      <c r="BS121" s="529"/>
      <c r="BT121" s="529"/>
      <c r="BU121" s="529"/>
      <c r="BV121" s="529"/>
      <c r="BW121" s="529"/>
      <c r="BX121" s="529"/>
      <c r="BY121" s="529"/>
    </row>
    <row r="122" spans="3:80" x14ac:dyDescent="0.3">
      <c r="C122" s="2"/>
      <c r="D122" s="2"/>
      <c r="E122" s="2" t="s">
        <v>19</v>
      </c>
      <c r="F122" s="54"/>
      <c r="G122" s="54"/>
      <c r="H122" s="54"/>
      <c r="I122" s="497">
        <f t="shared" ref="I122:N124" si="154">I57/I$82</f>
        <v>-1435.5304666666666</v>
      </c>
      <c r="J122" s="497">
        <f t="shared" si="154"/>
        <v>-1464.2410759999996</v>
      </c>
      <c r="K122" s="497">
        <f t="shared" si="154"/>
        <v>-1493.5258975199995</v>
      </c>
      <c r="L122" s="497">
        <f t="shared" si="154"/>
        <v>-1523.3964154704001</v>
      </c>
      <c r="M122" s="497">
        <f t="shared" si="154"/>
        <v>-1553.8643437798071</v>
      </c>
      <c r="N122" s="497">
        <f t="shared" si="154"/>
        <v>-1584.9416306554047</v>
      </c>
      <c r="O122" s="37"/>
      <c r="P122" s="50">
        <f>IFERROR(((N122/I122)^(1/5))-1,0)</f>
        <v>2.0000000000000018E-2</v>
      </c>
      <c r="R122" s="497">
        <f t="shared" ref="R122:AW122" si="155">R57/R$82</f>
        <v>-122.02008966666665</v>
      </c>
      <c r="S122" s="497">
        <f t="shared" si="155"/>
        <v>-122.02008966666665</v>
      </c>
      <c r="T122" s="497">
        <f t="shared" si="155"/>
        <v>-122.02008966666665</v>
      </c>
      <c r="U122" s="497">
        <f t="shared" si="155"/>
        <v>-122.02008966666665</v>
      </c>
      <c r="V122" s="497">
        <f t="shared" si="155"/>
        <v>-122.02008966666665</v>
      </c>
      <c r="W122" s="497">
        <f t="shared" si="155"/>
        <v>-122.02008966666665</v>
      </c>
      <c r="X122" s="497">
        <f t="shared" si="155"/>
        <v>-122.02008966666665</v>
      </c>
      <c r="Y122" s="497">
        <f t="shared" si="155"/>
        <v>-122.02008966666665</v>
      </c>
      <c r="Z122" s="497">
        <f t="shared" si="155"/>
        <v>-122.02008966666665</v>
      </c>
      <c r="AA122" s="497">
        <f t="shared" si="155"/>
        <v>-122.02008966666665</v>
      </c>
      <c r="AB122" s="497">
        <f t="shared" si="155"/>
        <v>-122.02008966666665</v>
      </c>
      <c r="AC122" s="497">
        <f t="shared" si="155"/>
        <v>-122.02008966666665</v>
      </c>
      <c r="AD122" s="497">
        <f t="shared" si="155"/>
        <v>-124.46049145999999</v>
      </c>
      <c r="AE122" s="497">
        <f t="shared" si="155"/>
        <v>-124.46049145999999</v>
      </c>
      <c r="AF122" s="497">
        <f t="shared" si="155"/>
        <v>-124.46049145999999</v>
      </c>
      <c r="AG122" s="497">
        <f t="shared" si="155"/>
        <v>-124.46049145999999</v>
      </c>
      <c r="AH122" s="497">
        <f t="shared" si="155"/>
        <v>-124.46049145999999</v>
      </c>
      <c r="AI122" s="497">
        <f t="shared" si="155"/>
        <v>-124.46049145999999</v>
      </c>
      <c r="AJ122" s="497">
        <f t="shared" si="155"/>
        <v>-124.46049145999999</v>
      </c>
      <c r="AK122" s="497">
        <f t="shared" si="155"/>
        <v>-124.46049145999999</v>
      </c>
      <c r="AL122" s="497">
        <f t="shared" si="155"/>
        <v>-124.46049145999999</v>
      </c>
      <c r="AM122" s="497">
        <f t="shared" si="155"/>
        <v>-124.46049145999999</v>
      </c>
      <c r="AN122" s="527">
        <f t="shared" si="155"/>
        <v>-124.46049145999999</v>
      </c>
      <c r="AO122" s="527">
        <f t="shared" si="155"/>
        <v>-124.46049145999999</v>
      </c>
      <c r="AP122" s="527">
        <f t="shared" si="155"/>
        <v>-126.94970128919998</v>
      </c>
      <c r="AQ122" s="527">
        <f t="shared" si="155"/>
        <v>-126.94970128919998</v>
      </c>
      <c r="AR122" s="527">
        <f t="shared" si="155"/>
        <v>-126.94970128919998</v>
      </c>
      <c r="AS122" s="527">
        <f t="shared" si="155"/>
        <v>-126.94970128919998</v>
      </c>
      <c r="AT122" s="527">
        <f t="shared" si="155"/>
        <v>-126.94970128919998</v>
      </c>
      <c r="AU122" s="527">
        <f t="shared" si="155"/>
        <v>-126.94970128919998</v>
      </c>
      <c r="AV122" s="527">
        <f t="shared" si="155"/>
        <v>-126.94970128919998</v>
      </c>
      <c r="AW122" s="527">
        <f t="shared" si="155"/>
        <v>-126.94970128919998</v>
      </c>
      <c r="AX122" s="527">
        <f t="shared" ref="AX122:BY122" si="156">AX57/AX$82</f>
        <v>-126.94970128919998</v>
      </c>
      <c r="AY122" s="527">
        <f t="shared" si="156"/>
        <v>-126.94970128919998</v>
      </c>
      <c r="AZ122" s="527">
        <f t="shared" si="156"/>
        <v>-126.94970128919998</v>
      </c>
      <c r="BA122" s="527">
        <f t="shared" si="156"/>
        <v>-126.94970128919998</v>
      </c>
      <c r="BB122" s="527">
        <f t="shared" si="156"/>
        <v>-129.48869531498394</v>
      </c>
      <c r="BC122" s="527">
        <f t="shared" si="156"/>
        <v>-129.48869531498394</v>
      </c>
      <c r="BD122" s="527">
        <f t="shared" si="156"/>
        <v>-129.48869531498394</v>
      </c>
      <c r="BE122" s="527">
        <f t="shared" si="156"/>
        <v>-129.48869531498394</v>
      </c>
      <c r="BF122" s="527">
        <f t="shared" si="156"/>
        <v>-129.48869531498394</v>
      </c>
      <c r="BG122" s="527">
        <f t="shared" si="156"/>
        <v>-129.48869531498394</v>
      </c>
      <c r="BH122" s="527">
        <f t="shared" si="156"/>
        <v>-129.48869531498394</v>
      </c>
      <c r="BI122" s="527">
        <f t="shared" si="156"/>
        <v>-129.48869531498394</v>
      </c>
      <c r="BJ122" s="527">
        <f t="shared" si="156"/>
        <v>-129.48869531498394</v>
      </c>
      <c r="BK122" s="527">
        <f t="shared" si="156"/>
        <v>-129.48869531498394</v>
      </c>
      <c r="BL122" s="527">
        <f t="shared" si="156"/>
        <v>-129.48869531498394</v>
      </c>
      <c r="BM122" s="527">
        <f t="shared" si="156"/>
        <v>-129.48869531498394</v>
      </c>
      <c r="BN122" s="527">
        <f t="shared" si="156"/>
        <v>-132.07846922128368</v>
      </c>
      <c r="BO122" s="527">
        <f t="shared" si="156"/>
        <v>-132.07846922128368</v>
      </c>
      <c r="BP122" s="527">
        <f t="shared" si="156"/>
        <v>-132.07846922128368</v>
      </c>
      <c r="BQ122" s="527">
        <f t="shared" si="156"/>
        <v>-132.07846922128368</v>
      </c>
      <c r="BR122" s="527">
        <f t="shared" si="156"/>
        <v>-132.07846922128368</v>
      </c>
      <c r="BS122" s="527">
        <f t="shared" si="156"/>
        <v>-132.07846922128368</v>
      </c>
      <c r="BT122" s="527">
        <f t="shared" si="156"/>
        <v>-132.07846922128368</v>
      </c>
      <c r="BU122" s="527">
        <f t="shared" si="156"/>
        <v>-132.07846922128368</v>
      </c>
      <c r="BV122" s="527">
        <f t="shared" si="156"/>
        <v>-132.07846922128368</v>
      </c>
      <c r="BW122" s="527">
        <f t="shared" si="156"/>
        <v>-132.07846922128368</v>
      </c>
      <c r="BX122" s="527">
        <f t="shared" si="156"/>
        <v>-132.07846922128368</v>
      </c>
      <c r="BY122" s="527">
        <f t="shared" si="156"/>
        <v>-132.07846922128368</v>
      </c>
      <c r="CB122" s="8"/>
    </row>
    <row r="123" spans="3:80" x14ac:dyDescent="0.3">
      <c r="C123" s="2"/>
      <c r="D123" s="2"/>
      <c r="E123" s="2" t="s">
        <v>20</v>
      </c>
      <c r="F123" s="54"/>
      <c r="G123" s="54"/>
      <c r="H123" s="54"/>
      <c r="I123" s="497">
        <f t="shared" si="154"/>
        <v>-507.23472820512808</v>
      </c>
      <c r="J123" s="497">
        <f t="shared" si="154"/>
        <v>-517.3794227692307</v>
      </c>
      <c r="K123" s="497">
        <f t="shared" si="154"/>
        <v>-527.72701122461535</v>
      </c>
      <c r="L123" s="497">
        <f t="shared" si="154"/>
        <v>-538.2815514491075</v>
      </c>
      <c r="M123" s="497">
        <f t="shared" si="154"/>
        <v>-549.04718247808978</v>
      </c>
      <c r="N123" s="497">
        <f t="shared" si="154"/>
        <v>-560.02812612765172</v>
      </c>
      <c r="O123" s="37"/>
      <c r="P123" s="50">
        <f>IFERROR(((N123/I123)^(1/5))-1,0)</f>
        <v>2.0000000000000018E-2</v>
      </c>
      <c r="R123" s="497">
        <f t="shared" ref="R123:AW123" si="157">R58/R$82</f>
        <v>-43.114951897435894</v>
      </c>
      <c r="S123" s="497">
        <f t="shared" si="157"/>
        <v>-43.114951897435894</v>
      </c>
      <c r="T123" s="497">
        <f t="shared" si="157"/>
        <v>-43.114951897435894</v>
      </c>
      <c r="U123" s="497">
        <f t="shared" si="157"/>
        <v>-43.114951897435894</v>
      </c>
      <c r="V123" s="497">
        <f t="shared" si="157"/>
        <v>-43.114951897435894</v>
      </c>
      <c r="W123" s="497">
        <f t="shared" si="157"/>
        <v>-43.114951897435894</v>
      </c>
      <c r="X123" s="497">
        <f t="shared" si="157"/>
        <v>-43.114951897435894</v>
      </c>
      <c r="Y123" s="497">
        <f t="shared" si="157"/>
        <v>-43.114951897435894</v>
      </c>
      <c r="Z123" s="497">
        <f t="shared" si="157"/>
        <v>-43.114951897435894</v>
      </c>
      <c r="AA123" s="497">
        <f t="shared" si="157"/>
        <v>-43.114951897435894</v>
      </c>
      <c r="AB123" s="497">
        <f t="shared" si="157"/>
        <v>-43.114951897435894</v>
      </c>
      <c r="AC123" s="497">
        <f t="shared" si="157"/>
        <v>-43.114951897435894</v>
      </c>
      <c r="AD123" s="497">
        <f t="shared" si="157"/>
        <v>-43.977250935384603</v>
      </c>
      <c r="AE123" s="497">
        <f t="shared" si="157"/>
        <v>-43.977250935384603</v>
      </c>
      <c r="AF123" s="497">
        <f t="shared" si="157"/>
        <v>-43.977250935384603</v>
      </c>
      <c r="AG123" s="497">
        <f t="shared" si="157"/>
        <v>-43.977250935384603</v>
      </c>
      <c r="AH123" s="497">
        <f t="shared" si="157"/>
        <v>-43.977250935384603</v>
      </c>
      <c r="AI123" s="497">
        <f t="shared" si="157"/>
        <v>-43.977250935384603</v>
      </c>
      <c r="AJ123" s="497">
        <f t="shared" si="157"/>
        <v>-43.977250935384603</v>
      </c>
      <c r="AK123" s="497">
        <f t="shared" si="157"/>
        <v>-43.977250935384603</v>
      </c>
      <c r="AL123" s="497">
        <f t="shared" si="157"/>
        <v>-43.977250935384603</v>
      </c>
      <c r="AM123" s="497">
        <f t="shared" si="157"/>
        <v>-43.977250935384603</v>
      </c>
      <c r="AN123" s="527">
        <f t="shared" si="157"/>
        <v>-43.977250935384603</v>
      </c>
      <c r="AO123" s="527">
        <f t="shared" si="157"/>
        <v>-43.977250935384603</v>
      </c>
      <c r="AP123" s="527">
        <f t="shared" si="157"/>
        <v>-44.856795954092298</v>
      </c>
      <c r="AQ123" s="527">
        <f t="shared" si="157"/>
        <v>-44.856795954092298</v>
      </c>
      <c r="AR123" s="527">
        <f t="shared" si="157"/>
        <v>-44.856795954092298</v>
      </c>
      <c r="AS123" s="527">
        <f t="shared" si="157"/>
        <v>-44.856795954092298</v>
      </c>
      <c r="AT123" s="527">
        <f t="shared" si="157"/>
        <v>-44.856795954092298</v>
      </c>
      <c r="AU123" s="527">
        <f t="shared" si="157"/>
        <v>-44.856795954092298</v>
      </c>
      <c r="AV123" s="527">
        <f t="shared" si="157"/>
        <v>-44.856795954092298</v>
      </c>
      <c r="AW123" s="527">
        <f t="shared" si="157"/>
        <v>-44.856795954092298</v>
      </c>
      <c r="AX123" s="527">
        <f t="shared" ref="AX123:BY123" si="158">AX58/AX$82</f>
        <v>-44.856795954092298</v>
      </c>
      <c r="AY123" s="527">
        <f t="shared" si="158"/>
        <v>-44.856795954092298</v>
      </c>
      <c r="AZ123" s="527">
        <f t="shared" si="158"/>
        <v>-44.856795954092298</v>
      </c>
      <c r="BA123" s="527">
        <f t="shared" si="158"/>
        <v>-44.856795954092298</v>
      </c>
      <c r="BB123" s="527">
        <f t="shared" si="158"/>
        <v>-45.753931873174146</v>
      </c>
      <c r="BC123" s="527">
        <f t="shared" si="158"/>
        <v>-45.753931873174146</v>
      </c>
      <c r="BD123" s="527">
        <f t="shared" si="158"/>
        <v>-45.753931873174146</v>
      </c>
      <c r="BE123" s="527">
        <f t="shared" si="158"/>
        <v>-45.753931873174146</v>
      </c>
      <c r="BF123" s="527">
        <f t="shared" si="158"/>
        <v>-45.753931873174146</v>
      </c>
      <c r="BG123" s="527">
        <f t="shared" si="158"/>
        <v>-45.753931873174146</v>
      </c>
      <c r="BH123" s="527">
        <f t="shared" si="158"/>
        <v>-45.753931873174146</v>
      </c>
      <c r="BI123" s="527">
        <f t="shared" si="158"/>
        <v>-45.753931873174146</v>
      </c>
      <c r="BJ123" s="527">
        <f t="shared" si="158"/>
        <v>-45.753931873174146</v>
      </c>
      <c r="BK123" s="527">
        <f t="shared" si="158"/>
        <v>-45.753931873174146</v>
      </c>
      <c r="BL123" s="527">
        <f t="shared" si="158"/>
        <v>-45.753931873174146</v>
      </c>
      <c r="BM123" s="527">
        <f t="shared" si="158"/>
        <v>-45.753931873174146</v>
      </c>
      <c r="BN123" s="527">
        <f t="shared" si="158"/>
        <v>-46.669010510637634</v>
      </c>
      <c r="BO123" s="527">
        <f t="shared" si="158"/>
        <v>-46.669010510637634</v>
      </c>
      <c r="BP123" s="527">
        <f t="shared" si="158"/>
        <v>-46.669010510637634</v>
      </c>
      <c r="BQ123" s="527">
        <f t="shared" si="158"/>
        <v>-46.669010510637634</v>
      </c>
      <c r="BR123" s="527">
        <f t="shared" si="158"/>
        <v>-46.669010510637634</v>
      </c>
      <c r="BS123" s="527">
        <f t="shared" si="158"/>
        <v>-46.669010510637634</v>
      </c>
      <c r="BT123" s="527">
        <f t="shared" si="158"/>
        <v>-46.669010510637634</v>
      </c>
      <c r="BU123" s="527">
        <f t="shared" si="158"/>
        <v>-46.669010510637634</v>
      </c>
      <c r="BV123" s="527">
        <f t="shared" si="158"/>
        <v>-46.669010510637634</v>
      </c>
      <c r="BW123" s="527">
        <f t="shared" si="158"/>
        <v>-46.669010510637634</v>
      </c>
      <c r="BX123" s="527">
        <f t="shared" si="158"/>
        <v>-46.669010510637634</v>
      </c>
      <c r="BY123" s="527">
        <f t="shared" si="158"/>
        <v>-46.669010510637634</v>
      </c>
      <c r="CB123" s="8"/>
    </row>
    <row r="124" spans="3:80" x14ac:dyDescent="0.3">
      <c r="C124" s="2"/>
      <c r="D124" s="2"/>
      <c r="E124" s="4" t="s">
        <v>35</v>
      </c>
      <c r="F124" s="5"/>
      <c r="G124" s="5"/>
      <c r="H124" s="5"/>
      <c r="I124" s="498">
        <f t="shared" si="154"/>
        <v>-1942.7651948717946</v>
      </c>
      <c r="J124" s="500">
        <f t="shared" si="154"/>
        <v>-1981.6204987692308</v>
      </c>
      <c r="K124" s="500">
        <f t="shared" si="154"/>
        <v>-2021.252908744616</v>
      </c>
      <c r="L124" s="500">
        <f t="shared" si="154"/>
        <v>-2061.677966919508</v>
      </c>
      <c r="M124" s="500">
        <f t="shared" si="154"/>
        <v>-2102.9115262578971</v>
      </c>
      <c r="N124" s="498">
        <f t="shared" si="154"/>
        <v>-2144.9697567830563</v>
      </c>
      <c r="O124" s="57"/>
      <c r="P124" s="55">
        <f>IFERROR(((N124/I124)^(1/5))-1,0)</f>
        <v>2.0000000000000018E-2</v>
      </c>
      <c r="R124" s="500">
        <f t="shared" ref="R124:AW124" si="159">R59/R$82</f>
        <v>-165.13504156410252</v>
      </c>
      <c r="S124" s="500">
        <f t="shared" si="159"/>
        <v>-165.13504156410252</v>
      </c>
      <c r="T124" s="498">
        <f t="shared" si="159"/>
        <v>-165.13504156410252</v>
      </c>
      <c r="U124" s="500">
        <f t="shared" si="159"/>
        <v>-165.13504156410252</v>
      </c>
      <c r="V124" s="500">
        <f t="shared" si="159"/>
        <v>-165.13504156410252</v>
      </c>
      <c r="W124" s="500">
        <f t="shared" si="159"/>
        <v>-165.13504156410252</v>
      </c>
      <c r="X124" s="500">
        <f t="shared" si="159"/>
        <v>-165.13504156410252</v>
      </c>
      <c r="Y124" s="500">
        <f t="shared" si="159"/>
        <v>-165.13504156410252</v>
      </c>
      <c r="Z124" s="500">
        <f t="shared" si="159"/>
        <v>-165.13504156410252</v>
      </c>
      <c r="AA124" s="500">
        <f t="shared" si="159"/>
        <v>-165.13504156410252</v>
      </c>
      <c r="AB124" s="500">
        <f t="shared" si="159"/>
        <v>-165.13504156410252</v>
      </c>
      <c r="AC124" s="500">
        <f t="shared" si="159"/>
        <v>-165.13504156410252</v>
      </c>
      <c r="AD124" s="500">
        <f t="shared" si="159"/>
        <v>-168.43774239538462</v>
      </c>
      <c r="AE124" s="500">
        <f t="shared" si="159"/>
        <v>-168.43774239538462</v>
      </c>
      <c r="AF124" s="500">
        <f t="shared" si="159"/>
        <v>-168.43774239538462</v>
      </c>
      <c r="AG124" s="500">
        <f t="shared" si="159"/>
        <v>-168.43774239538462</v>
      </c>
      <c r="AH124" s="500">
        <f t="shared" si="159"/>
        <v>-168.43774239538462</v>
      </c>
      <c r="AI124" s="500">
        <f t="shared" si="159"/>
        <v>-168.43774239538462</v>
      </c>
      <c r="AJ124" s="500">
        <f t="shared" si="159"/>
        <v>-168.43774239538462</v>
      </c>
      <c r="AK124" s="500">
        <f t="shared" si="159"/>
        <v>-168.43774239538462</v>
      </c>
      <c r="AL124" s="500">
        <f t="shared" si="159"/>
        <v>-168.43774239538462</v>
      </c>
      <c r="AM124" s="500">
        <f t="shared" si="159"/>
        <v>-168.43774239538462</v>
      </c>
      <c r="AN124" s="532">
        <f t="shared" si="159"/>
        <v>-168.43774239538462</v>
      </c>
      <c r="AO124" s="532">
        <f t="shared" si="159"/>
        <v>-168.43774239538462</v>
      </c>
      <c r="AP124" s="532">
        <f t="shared" si="159"/>
        <v>-171.80649724329226</v>
      </c>
      <c r="AQ124" s="532">
        <f t="shared" si="159"/>
        <v>-171.80649724329226</v>
      </c>
      <c r="AR124" s="532">
        <f t="shared" si="159"/>
        <v>-171.80649724329226</v>
      </c>
      <c r="AS124" s="532">
        <f t="shared" si="159"/>
        <v>-171.80649724329226</v>
      </c>
      <c r="AT124" s="532">
        <f t="shared" si="159"/>
        <v>-171.80649724329226</v>
      </c>
      <c r="AU124" s="532">
        <f t="shared" si="159"/>
        <v>-171.80649724329226</v>
      </c>
      <c r="AV124" s="532">
        <f t="shared" si="159"/>
        <v>-171.80649724329226</v>
      </c>
      <c r="AW124" s="532">
        <f t="shared" si="159"/>
        <v>-171.80649724329226</v>
      </c>
      <c r="AX124" s="532">
        <f t="shared" ref="AX124:BY124" si="160">AX59/AX$82</f>
        <v>-171.80649724329226</v>
      </c>
      <c r="AY124" s="532">
        <f t="shared" si="160"/>
        <v>-171.80649724329226</v>
      </c>
      <c r="AZ124" s="532">
        <f t="shared" si="160"/>
        <v>-171.80649724329226</v>
      </c>
      <c r="BA124" s="532">
        <f t="shared" si="160"/>
        <v>-171.80649724329226</v>
      </c>
      <c r="BB124" s="532">
        <f t="shared" si="160"/>
        <v>-175.24262718815808</v>
      </c>
      <c r="BC124" s="532">
        <f t="shared" si="160"/>
        <v>-175.24262718815808</v>
      </c>
      <c r="BD124" s="532">
        <f t="shared" si="160"/>
        <v>-175.24262718815808</v>
      </c>
      <c r="BE124" s="532">
        <f t="shared" si="160"/>
        <v>-175.24262718815808</v>
      </c>
      <c r="BF124" s="532">
        <f t="shared" si="160"/>
        <v>-175.24262718815808</v>
      </c>
      <c r="BG124" s="532">
        <f t="shared" si="160"/>
        <v>-175.24262718815808</v>
      </c>
      <c r="BH124" s="532">
        <f t="shared" si="160"/>
        <v>-175.24262718815808</v>
      </c>
      <c r="BI124" s="532">
        <f t="shared" si="160"/>
        <v>-175.24262718815808</v>
      </c>
      <c r="BJ124" s="532">
        <f t="shared" si="160"/>
        <v>-175.24262718815808</v>
      </c>
      <c r="BK124" s="532">
        <f t="shared" si="160"/>
        <v>-175.24262718815808</v>
      </c>
      <c r="BL124" s="532">
        <f t="shared" si="160"/>
        <v>-175.24262718815808</v>
      </c>
      <c r="BM124" s="532">
        <f t="shared" si="160"/>
        <v>-175.24262718815808</v>
      </c>
      <c r="BN124" s="532">
        <f t="shared" si="160"/>
        <v>-178.74747973192132</v>
      </c>
      <c r="BO124" s="532">
        <f t="shared" si="160"/>
        <v>-178.74747973192132</v>
      </c>
      <c r="BP124" s="532">
        <f t="shared" si="160"/>
        <v>-178.74747973192132</v>
      </c>
      <c r="BQ124" s="532">
        <f t="shared" si="160"/>
        <v>-178.74747973192132</v>
      </c>
      <c r="BR124" s="532">
        <f t="shared" si="160"/>
        <v>-178.74747973192132</v>
      </c>
      <c r="BS124" s="532">
        <f t="shared" si="160"/>
        <v>-178.74747973192132</v>
      </c>
      <c r="BT124" s="532">
        <f t="shared" si="160"/>
        <v>-178.74747973192132</v>
      </c>
      <c r="BU124" s="532">
        <f t="shared" si="160"/>
        <v>-178.74747973192132</v>
      </c>
      <c r="BV124" s="532">
        <f t="shared" si="160"/>
        <v>-178.74747973192132</v>
      </c>
      <c r="BW124" s="532">
        <f t="shared" si="160"/>
        <v>-178.74747973192132</v>
      </c>
      <c r="BX124" s="532">
        <f t="shared" si="160"/>
        <v>-178.74747973192132</v>
      </c>
      <c r="BY124" s="532">
        <f t="shared" si="160"/>
        <v>-178.74747973192132</v>
      </c>
      <c r="CB124" s="8"/>
    </row>
    <row r="125" spans="3:80" x14ac:dyDescent="0.3">
      <c r="C125" s="2"/>
      <c r="D125" s="2"/>
      <c r="E125" s="2"/>
      <c r="F125" s="37"/>
      <c r="G125" s="37"/>
      <c r="H125" s="37"/>
      <c r="I125" s="37"/>
      <c r="J125" s="37"/>
      <c r="K125" s="37"/>
      <c r="L125" s="37"/>
      <c r="M125" s="37"/>
      <c r="N125" s="37"/>
      <c r="O125" s="37"/>
      <c r="P125" s="35"/>
      <c r="R125" s="37"/>
      <c r="S125" s="37"/>
      <c r="T125" s="37"/>
      <c r="U125" s="37"/>
      <c r="V125" s="37"/>
      <c r="W125" s="37"/>
      <c r="X125" s="37"/>
      <c r="Y125" s="37"/>
      <c r="Z125" s="37"/>
      <c r="AA125" s="37"/>
      <c r="AB125" s="37"/>
      <c r="AC125" s="37"/>
      <c r="AD125" s="37"/>
      <c r="AE125" s="37"/>
      <c r="AF125" s="37"/>
      <c r="AG125" s="37"/>
      <c r="AH125" s="37"/>
      <c r="AI125" s="37"/>
      <c r="AJ125" s="37"/>
      <c r="AK125" s="37"/>
      <c r="AL125" s="37"/>
      <c r="AM125" s="37"/>
      <c r="AN125" s="529"/>
      <c r="AO125" s="529"/>
      <c r="AP125" s="529"/>
      <c r="AQ125" s="529"/>
      <c r="AR125" s="529"/>
      <c r="AS125" s="529"/>
      <c r="AT125" s="529"/>
      <c r="AU125" s="529"/>
      <c r="AV125" s="529"/>
      <c r="AW125" s="529"/>
      <c r="AX125" s="529"/>
      <c r="AY125" s="529"/>
      <c r="AZ125" s="529"/>
      <c r="BA125" s="529"/>
      <c r="BB125" s="529"/>
      <c r="BC125" s="529"/>
      <c r="BD125" s="529"/>
      <c r="BE125" s="529"/>
      <c r="BF125" s="529"/>
      <c r="BG125" s="529"/>
      <c r="BH125" s="529"/>
      <c r="BI125" s="529"/>
      <c r="BJ125" s="529"/>
      <c r="BK125" s="529"/>
      <c r="BL125" s="529"/>
      <c r="BM125" s="529"/>
      <c r="BN125" s="529"/>
      <c r="BO125" s="529"/>
      <c r="BP125" s="529"/>
      <c r="BQ125" s="529"/>
      <c r="BR125" s="529"/>
      <c r="BS125" s="529"/>
      <c r="BT125" s="529"/>
      <c r="BU125" s="529"/>
      <c r="BV125" s="529"/>
      <c r="BW125" s="529"/>
      <c r="BX125" s="529"/>
      <c r="BY125" s="529"/>
    </row>
    <row r="126" spans="3:80" x14ac:dyDescent="0.3">
      <c r="C126" s="2"/>
      <c r="D126" s="2"/>
      <c r="E126" s="62" t="s">
        <v>21</v>
      </c>
      <c r="F126" s="63"/>
      <c r="G126" s="63"/>
      <c r="H126" s="63"/>
      <c r="I126" s="501">
        <f t="shared" ref="I126:N126" si="161">I61/I$82</f>
        <v>83865.140877938669</v>
      </c>
      <c r="J126" s="501">
        <f t="shared" si="161"/>
        <v>88441.833210786077</v>
      </c>
      <c r="K126" s="502">
        <f t="shared" si="161"/>
        <v>94045.351285753059</v>
      </c>
      <c r="L126" s="502">
        <f t="shared" si="161"/>
        <v>99808.428690027446</v>
      </c>
      <c r="M126" s="502">
        <f t="shared" si="161"/>
        <v>105730.19556809169</v>
      </c>
      <c r="N126" s="501">
        <f t="shared" si="161"/>
        <v>111959.89720038115</v>
      </c>
      <c r="O126" s="57"/>
      <c r="P126" s="55">
        <f>IFERROR(((N126/I126)^(1/5))-1,0)</f>
        <v>5.9488390035223881E-2</v>
      </c>
      <c r="R126" s="501">
        <f t="shared" ref="R126:AW126" si="162">R61/R$82</f>
        <v>7273.0173063639713</v>
      </c>
      <c r="S126" s="502">
        <f t="shared" si="162"/>
        <v>7273.0173063639713</v>
      </c>
      <c r="T126" s="501">
        <f t="shared" si="162"/>
        <v>7273.0173063639713</v>
      </c>
      <c r="U126" s="502">
        <f t="shared" si="162"/>
        <v>7273.0173063639713</v>
      </c>
      <c r="V126" s="502">
        <f t="shared" si="162"/>
        <v>7273.0173063639713</v>
      </c>
      <c r="W126" s="502">
        <f t="shared" si="162"/>
        <v>7273.0173063639713</v>
      </c>
      <c r="X126" s="502">
        <f t="shared" si="162"/>
        <v>7467.2882287670391</v>
      </c>
      <c r="Y126" s="502">
        <f t="shared" si="162"/>
        <v>7467.2882287670391</v>
      </c>
      <c r="Z126" s="502">
        <f t="shared" si="162"/>
        <v>7467.2882287670391</v>
      </c>
      <c r="AA126" s="502">
        <f t="shared" si="162"/>
        <v>7467.2882287670391</v>
      </c>
      <c r="AB126" s="502">
        <f t="shared" si="162"/>
        <v>7467.2882287670391</v>
      </c>
      <c r="AC126" s="502">
        <f t="shared" si="162"/>
        <v>7467.2882287670391</v>
      </c>
      <c r="AD126" s="502">
        <f t="shared" si="162"/>
        <v>7715.106876732244</v>
      </c>
      <c r="AE126" s="502">
        <f t="shared" si="162"/>
        <v>7715.106876732244</v>
      </c>
      <c r="AF126" s="502">
        <f t="shared" si="162"/>
        <v>7715.106876732244</v>
      </c>
      <c r="AG126" s="502">
        <f t="shared" si="162"/>
        <v>7715.106876732244</v>
      </c>
      <c r="AH126" s="502">
        <f t="shared" si="162"/>
        <v>7715.106876732244</v>
      </c>
      <c r="AI126" s="502">
        <f t="shared" si="162"/>
        <v>7715.106876732244</v>
      </c>
      <c r="AJ126" s="502">
        <f t="shared" si="162"/>
        <v>7959.1183375599348</v>
      </c>
      <c r="AK126" s="502">
        <f t="shared" si="162"/>
        <v>7959.1183375599348</v>
      </c>
      <c r="AL126" s="502">
        <f t="shared" si="162"/>
        <v>7959.1183375599348</v>
      </c>
      <c r="AM126" s="502">
        <f t="shared" si="162"/>
        <v>7959.1183375599348</v>
      </c>
      <c r="AN126" s="534">
        <f t="shared" si="162"/>
        <v>7959.1183375599348</v>
      </c>
      <c r="AO126" s="534">
        <f t="shared" si="162"/>
        <v>7959.1183375599348</v>
      </c>
      <c r="AP126" s="534">
        <f t="shared" si="162"/>
        <v>8168.8718813860141</v>
      </c>
      <c r="AQ126" s="534">
        <f t="shared" si="162"/>
        <v>8168.8718813860141</v>
      </c>
      <c r="AR126" s="534">
        <f t="shared" si="162"/>
        <v>8168.8718813860141</v>
      </c>
      <c r="AS126" s="534">
        <f t="shared" si="162"/>
        <v>8168.8718813860141</v>
      </c>
      <c r="AT126" s="534">
        <f t="shared" si="162"/>
        <v>8168.8718813860141</v>
      </c>
      <c r="AU126" s="534">
        <f t="shared" si="162"/>
        <v>8168.8718813860141</v>
      </c>
      <c r="AV126" s="534">
        <f t="shared" si="162"/>
        <v>8465.8662336185607</v>
      </c>
      <c r="AW126" s="534">
        <f t="shared" si="162"/>
        <v>8465.8662336185607</v>
      </c>
      <c r="AX126" s="534">
        <f t="shared" ref="AX126:BY126" si="163">AX61/AX$82</f>
        <v>8465.8662336185607</v>
      </c>
      <c r="AY126" s="534">
        <f t="shared" si="163"/>
        <v>8465.8662336185607</v>
      </c>
      <c r="AZ126" s="534">
        <f t="shared" si="163"/>
        <v>8465.8662336185607</v>
      </c>
      <c r="BA126" s="534">
        <f t="shared" si="163"/>
        <v>8465.8662336185607</v>
      </c>
      <c r="BB126" s="534">
        <f t="shared" si="163"/>
        <v>8634.2086179038706</v>
      </c>
      <c r="BC126" s="534">
        <f t="shared" si="163"/>
        <v>8634.2086179038706</v>
      </c>
      <c r="BD126" s="534">
        <f t="shared" si="163"/>
        <v>8634.2086179038706</v>
      </c>
      <c r="BE126" s="534">
        <f t="shared" si="163"/>
        <v>8634.2086179038706</v>
      </c>
      <c r="BF126" s="534">
        <f t="shared" si="163"/>
        <v>8634.2086179038706</v>
      </c>
      <c r="BG126" s="534">
        <f t="shared" si="163"/>
        <v>8634.2086179038706</v>
      </c>
      <c r="BH126" s="534">
        <f t="shared" si="163"/>
        <v>8987.4906434447421</v>
      </c>
      <c r="BI126" s="534">
        <f t="shared" si="163"/>
        <v>8987.4906434447421</v>
      </c>
      <c r="BJ126" s="534">
        <f t="shared" si="163"/>
        <v>8987.4906434447421</v>
      </c>
      <c r="BK126" s="534">
        <f t="shared" si="163"/>
        <v>8987.4906434447421</v>
      </c>
      <c r="BL126" s="534">
        <f t="shared" si="163"/>
        <v>8987.4906434447421</v>
      </c>
      <c r="BM126" s="534">
        <f t="shared" si="163"/>
        <v>8987.4906434447421</v>
      </c>
      <c r="BN126" s="534">
        <f t="shared" si="163"/>
        <v>9123.4565073007288</v>
      </c>
      <c r="BO126" s="534">
        <f t="shared" si="163"/>
        <v>9123.4565073007288</v>
      </c>
      <c r="BP126" s="534">
        <f t="shared" si="163"/>
        <v>9123.4565073007288</v>
      </c>
      <c r="BQ126" s="534">
        <f t="shared" si="163"/>
        <v>9123.4565073007288</v>
      </c>
      <c r="BR126" s="534">
        <f t="shared" si="163"/>
        <v>9123.4565073007288</v>
      </c>
      <c r="BS126" s="534">
        <f t="shared" si="163"/>
        <v>9123.4565073007288</v>
      </c>
      <c r="BT126" s="534">
        <f t="shared" si="163"/>
        <v>9536.5263594294611</v>
      </c>
      <c r="BU126" s="534">
        <f t="shared" si="163"/>
        <v>9536.5263594294611</v>
      </c>
      <c r="BV126" s="534">
        <f t="shared" si="163"/>
        <v>9536.5263594294611</v>
      </c>
      <c r="BW126" s="534">
        <f t="shared" si="163"/>
        <v>9536.5263594294611</v>
      </c>
      <c r="BX126" s="534">
        <f t="shared" si="163"/>
        <v>9536.5263594294611</v>
      </c>
      <c r="BY126" s="534">
        <f t="shared" si="163"/>
        <v>9536.5263594294611</v>
      </c>
      <c r="CB126" s="8"/>
    </row>
    <row r="127" spans="3:80" x14ac:dyDescent="0.3">
      <c r="C127" s="2"/>
      <c r="D127" s="2"/>
      <c r="E127" s="2" t="s">
        <v>405</v>
      </c>
      <c r="F127" s="2"/>
      <c r="G127" s="2"/>
      <c r="H127" s="2"/>
      <c r="I127" s="499">
        <f t="shared" ref="I127:N127" si="164">IFERROR(I126/SUM(I87,I96,I110,I117),0)</f>
        <v>0.46408491525232748</v>
      </c>
      <c r="J127" s="499">
        <f t="shared" si="164"/>
        <v>0.46866562612850921</v>
      </c>
      <c r="K127" s="499">
        <f t="shared" si="164"/>
        <v>0.4733911953583399</v>
      </c>
      <c r="L127" s="499">
        <f t="shared" si="164"/>
        <v>0.47785803380118036</v>
      </c>
      <c r="M127" s="499">
        <f t="shared" si="164"/>
        <v>0.48195471988789695</v>
      </c>
      <c r="N127" s="499">
        <f t="shared" si="164"/>
        <v>0.48596195774851886</v>
      </c>
      <c r="O127" s="23"/>
      <c r="P127" s="50">
        <f>IFERROR(((N127/I127)^(1/5))-1,0)</f>
        <v>9.255126670518754E-3</v>
      </c>
      <c r="R127" s="499">
        <f t="shared" ref="R127:AW127" si="165">IFERROR(R126/SUM(R87,R96,R110,R117),0)</f>
        <v>0.46814071374158744</v>
      </c>
      <c r="S127" s="499">
        <f t="shared" si="165"/>
        <v>0.46814071374158744</v>
      </c>
      <c r="T127" s="499">
        <f t="shared" si="165"/>
        <v>0.46814071374158744</v>
      </c>
      <c r="U127" s="499">
        <f t="shared" si="165"/>
        <v>0.46814071374158744</v>
      </c>
      <c r="V127" s="499">
        <f t="shared" si="165"/>
        <v>0.46814071374158744</v>
      </c>
      <c r="W127" s="499">
        <f t="shared" si="165"/>
        <v>0.46814071374158744</v>
      </c>
      <c r="X127" s="499">
        <f t="shared" si="165"/>
        <v>0.46917801509361157</v>
      </c>
      <c r="Y127" s="499">
        <f t="shared" si="165"/>
        <v>0.46917801509361157</v>
      </c>
      <c r="Z127" s="499">
        <f t="shared" si="165"/>
        <v>0.46917801509361157</v>
      </c>
      <c r="AA127" s="499">
        <f t="shared" si="165"/>
        <v>0.46917801509361157</v>
      </c>
      <c r="AB127" s="499">
        <f t="shared" si="165"/>
        <v>0.46917801509361157</v>
      </c>
      <c r="AC127" s="499">
        <f t="shared" si="165"/>
        <v>0.46917801509361157</v>
      </c>
      <c r="AD127" s="499">
        <f t="shared" si="165"/>
        <v>0.47274794069964809</v>
      </c>
      <c r="AE127" s="499">
        <f t="shared" si="165"/>
        <v>0.47274794069964809</v>
      </c>
      <c r="AF127" s="499">
        <f t="shared" si="165"/>
        <v>0.47274794069964809</v>
      </c>
      <c r="AG127" s="499">
        <f t="shared" si="165"/>
        <v>0.47274794069964809</v>
      </c>
      <c r="AH127" s="499">
        <f t="shared" si="165"/>
        <v>0.47274794069964809</v>
      </c>
      <c r="AI127" s="499">
        <f t="shared" si="165"/>
        <v>0.47274794069964809</v>
      </c>
      <c r="AJ127" s="499">
        <f t="shared" si="165"/>
        <v>0.4740164020948317</v>
      </c>
      <c r="AK127" s="499">
        <f t="shared" si="165"/>
        <v>0.4740164020948317</v>
      </c>
      <c r="AL127" s="499">
        <f t="shared" si="165"/>
        <v>0.4740164020948317</v>
      </c>
      <c r="AM127" s="499">
        <f t="shared" si="165"/>
        <v>0.4740164020948317</v>
      </c>
      <c r="AN127" s="531">
        <f t="shared" si="165"/>
        <v>0.4740164020948317</v>
      </c>
      <c r="AO127" s="531">
        <f t="shared" si="165"/>
        <v>0.4740164020948317</v>
      </c>
      <c r="AP127" s="531">
        <f t="shared" si="165"/>
        <v>0.47709722052729503</v>
      </c>
      <c r="AQ127" s="531">
        <f t="shared" si="165"/>
        <v>0.47709722052729503</v>
      </c>
      <c r="AR127" s="531">
        <f t="shared" si="165"/>
        <v>0.47709722052729503</v>
      </c>
      <c r="AS127" s="531">
        <f t="shared" si="165"/>
        <v>0.47709722052729503</v>
      </c>
      <c r="AT127" s="531">
        <f t="shared" si="165"/>
        <v>0.47709722052729503</v>
      </c>
      <c r="AU127" s="531">
        <f t="shared" si="165"/>
        <v>0.47709722052729503</v>
      </c>
      <c r="AV127" s="531">
        <f t="shared" si="165"/>
        <v>0.47859446053336868</v>
      </c>
      <c r="AW127" s="531">
        <f t="shared" si="165"/>
        <v>0.47859446053336868</v>
      </c>
      <c r="AX127" s="531">
        <f t="shared" ref="AX127:BY127" si="166">IFERROR(AX126/SUM(AX87,AX96,AX110,AX117),0)</f>
        <v>0.47859446053336868</v>
      </c>
      <c r="AY127" s="531">
        <f t="shared" si="166"/>
        <v>0.47859446053336868</v>
      </c>
      <c r="AZ127" s="531">
        <f t="shared" si="166"/>
        <v>0.47859446053336868</v>
      </c>
      <c r="BA127" s="531">
        <f t="shared" si="166"/>
        <v>0.47859446053336868</v>
      </c>
      <c r="BB127" s="531">
        <f t="shared" si="166"/>
        <v>0.48107669961776683</v>
      </c>
      <c r="BC127" s="531">
        <f t="shared" si="166"/>
        <v>0.48107669961776683</v>
      </c>
      <c r="BD127" s="531">
        <f t="shared" si="166"/>
        <v>0.48107669961776683</v>
      </c>
      <c r="BE127" s="531">
        <f t="shared" si="166"/>
        <v>0.48107669961776683</v>
      </c>
      <c r="BF127" s="531">
        <f t="shared" si="166"/>
        <v>0.48107669961776683</v>
      </c>
      <c r="BG127" s="531">
        <f t="shared" si="166"/>
        <v>0.48107669961776683</v>
      </c>
      <c r="BH127" s="531">
        <f t="shared" si="166"/>
        <v>0.48280125054791367</v>
      </c>
      <c r="BI127" s="531">
        <f t="shared" si="166"/>
        <v>0.48280125054791367</v>
      </c>
      <c r="BJ127" s="531">
        <f t="shared" si="166"/>
        <v>0.48280125054791367</v>
      </c>
      <c r="BK127" s="531">
        <f t="shared" si="166"/>
        <v>0.48280125054791367</v>
      </c>
      <c r="BL127" s="531">
        <f t="shared" si="166"/>
        <v>0.48280125054791367</v>
      </c>
      <c r="BM127" s="531">
        <f t="shared" si="166"/>
        <v>0.48280125054791367</v>
      </c>
      <c r="BN127" s="531">
        <f t="shared" si="166"/>
        <v>0.48496717207140649</v>
      </c>
      <c r="BO127" s="531">
        <f t="shared" si="166"/>
        <v>0.48496717207140649</v>
      </c>
      <c r="BP127" s="531">
        <f t="shared" si="166"/>
        <v>0.48496717207140649</v>
      </c>
      <c r="BQ127" s="531">
        <f t="shared" si="166"/>
        <v>0.48496717207140649</v>
      </c>
      <c r="BR127" s="531">
        <f t="shared" si="166"/>
        <v>0.48496717207140649</v>
      </c>
      <c r="BS127" s="531">
        <f t="shared" si="166"/>
        <v>0.48496717207140649</v>
      </c>
      <c r="BT127" s="531">
        <f t="shared" si="166"/>
        <v>0.48691748206148305</v>
      </c>
      <c r="BU127" s="531">
        <f t="shared" si="166"/>
        <v>0.48691748206148305</v>
      </c>
      <c r="BV127" s="531">
        <f t="shared" si="166"/>
        <v>0.48691748206148305</v>
      </c>
      <c r="BW127" s="531">
        <f t="shared" si="166"/>
        <v>0.48691748206148305</v>
      </c>
      <c r="BX127" s="531">
        <f t="shared" si="166"/>
        <v>0.48691748206148305</v>
      </c>
      <c r="BY127" s="531">
        <f t="shared" si="166"/>
        <v>0.48691748206148305</v>
      </c>
    </row>
    <row r="128" spans="3:80" x14ac:dyDescent="0.3">
      <c r="C128" s="2"/>
      <c r="D128" s="2"/>
      <c r="E128" s="2"/>
      <c r="F128" s="2"/>
      <c r="G128" s="2"/>
      <c r="H128" s="2"/>
      <c r="I128" s="2"/>
      <c r="J128" s="2"/>
      <c r="K128" s="2"/>
      <c r="L128" s="2"/>
      <c r="M128" s="2"/>
      <c r="N128" s="2"/>
      <c r="O128" s="2"/>
      <c r="P128" s="10"/>
      <c r="R128" s="2"/>
      <c r="S128" s="2"/>
      <c r="T128" s="2"/>
      <c r="U128" s="2"/>
      <c r="V128" s="2"/>
      <c r="W128" s="2"/>
      <c r="X128" s="2"/>
      <c r="Y128" s="2"/>
      <c r="Z128" s="2"/>
      <c r="AA128" s="2"/>
      <c r="AB128" s="2"/>
      <c r="AC128" s="2"/>
      <c r="AD128" s="2"/>
      <c r="AE128" s="2"/>
      <c r="AF128" s="2"/>
      <c r="AG128" s="2"/>
      <c r="AH128" s="2"/>
      <c r="AI128" s="2"/>
      <c r="AJ128" s="2"/>
      <c r="AK128" s="2"/>
      <c r="AL128" s="2"/>
      <c r="AM128" s="2"/>
      <c r="AN128" s="525"/>
      <c r="AO128" s="525"/>
      <c r="AP128" s="525"/>
      <c r="AQ128" s="525"/>
      <c r="AR128" s="525"/>
      <c r="AS128" s="525"/>
      <c r="AT128" s="525"/>
      <c r="AU128" s="525"/>
      <c r="AV128" s="525"/>
      <c r="AW128" s="525"/>
      <c r="AX128" s="525"/>
      <c r="AY128" s="525"/>
      <c r="AZ128" s="525"/>
      <c r="BA128" s="525"/>
      <c r="BB128" s="525"/>
      <c r="BC128" s="525"/>
      <c r="BD128" s="525"/>
      <c r="BE128" s="525"/>
      <c r="BF128" s="525"/>
      <c r="BG128" s="525"/>
      <c r="BH128" s="525"/>
      <c r="BI128" s="525"/>
      <c r="BJ128" s="525"/>
      <c r="BK128" s="525"/>
      <c r="BL128" s="525"/>
      <c r="BM128" s="525"/>
      <c r="BN128" s="525"/>
      <c r="BO128" s="525"/>
      <c r="BP128" s="525"/>
      <c r="BQ128" s="525"/>
      <c r="BR128" s="525"/>
      <c r="BS128" s="525"/>
      <c r="BT128" s="525"/>
      <c r="BU128" s="525"/>
      <c r="BV128" s="525"/>
      <c r="BW128" s="525"/>
      <c r="BX128" s="525"/>
      <c r="BY128" s="525"/>
    </row>
    <row r="129" spans="3:80" x14ac:dyDescent="0.3">
      <c r="C129" s="2"/>
      <c r="D129" s="2"/>
      <c r="E129" s="2" t="s">
        <v>129</v>
      </c>
      <c r="F129" s="2"/>
      <c r="G129" s="2"/>
      <c r="H129" s="2"/>
      <c r="I129" s="497">
        <f t="shared" ref="I129:N130" si="167">I64/I$82</f>
        <v>-8700</v>
      </c>
      <c r="J129" s="497">
        <f t="shared" si="167"/>
        <v>-8914.6850136986304</v>
      </c>
      <c r="K129" s="497">
        <f t="shared" si="167"/>
        <v>-9121.2663528297726</v>
      </c>
      <c r="L129" s="497">
        <f t="shared" si="167"/>
        <v>-9316.9087696781789</v>
      </c>
      <c r="M129" s="497">
        <f t="shared" si="167"/>
        <v>-9499.5074186751444</v>
      </c>
      <c r="N129" s="497">
        <f t="shared" si="167"/>
        <v>-9683.8004652022119</v>
      </c>
      <c r="O129" s="2"/>
      <c r="P129" s="50">
        <f>IFERROR(((N129/I129)^(1/5))-1,0)</f>
        <v>2.1657472733383143E-2</v>
      </c>
      <c r="R129" s="497">
        <f t="shared" ref="R129:AW129" si="168">R64/R$82</f>
        <v>-742.89041780821913</v>
      </c>
      <c r="S129" s="497">
        <f t="shared" si="168"/>
        <v>-742.89041780821913</v>
      </c>
      <c r="T129" s="497">
        <f t="shared" si="168"/>
        <v>-742.89041780821913</v>
      </c>
      <c r="U129" s="497">
        <f t="shared" si="168"/>
        <v>-742.89041780821913</v>
      </c>
      <c r="V129" s="497">
        <f t="shared" si="168"/>
        <v>-742.89041780821913</v>
      </c>
      <c r="W129" s="497">
        <f t="shared" si="168"/>
        <v>-742.89041780821913</v>
      </c>
      <c r="X129" s="497">
        <f t="shared" si="168"/>
        <v>-742.89041780821913</v>
      </c>
      <c r="Y129" s="497">
        <f t="shared" si="168"/>
        <v>-742.89041780821913</v>
      </c>
      <c r="Z129" s="497">
        <f t="shared" si="168"/>
        <v>-742.89041780821913</v>
      </c>
      <c r="AA129" s="497">
        <f t="shared" si="168"/>
        <v>-742.89041780821913</v>
      </c>
      <c r="AB129" s="497">
        <f t="shared" si="168"/>
        <v>-742.89041780821913</v>
      </c>
      <c r="AC129" s="497">
        <f t="shared" si="168"/>
        <v>-742.89041780821913</v>
      </c>
      <c r="AD129" s="497">
        <f t="shared" si="168"/>
        <v>-760.10552940248078</v>
      </c>
      <c r="AE129" s="497">
        <f t="shared" si="168"/>
        <v>-760.10552940248078</v>
      </c>
      <c r="AF129" s="497">
        <f t="shared" si="168"/>
        <v>-760.10552940248078</v>
      </c>
      <c r="AG129" s="497">
        <f t="shared" si="168"/>
        <v>-760.10552940248078</v>
      </c>
      <c r="AH129" s="497">
        <f t="shared" si="168"/>
        <v>-760.10552940248078</v>
      </c>
      <c r="AI129" s="497">
        <f t="shared" si="168"/>
        <v>-760.10552940248078</v>
      </c>
      <c r="AJ129" s="497">
        <f t="shared" si="168"/>
        <v>-760.10552940248078</v>
      </c>
      <c r="AK129" s="497">
        <f t="shared" si="168"/>
        <v>-760.10552940248078</v>
      </c>
      <c r="AL129" s="497">
        <f t="shared" si="168"/>
        <v>-760.10552940248078</v>
      </c>
      <c r="AM129" s="497">
        <f t="shared" si="168"/>
        <v>-760.10552940248078</v>
      </c>
      <c r="AN129" s="527">
        <f t="shared" si="168"/>
        <v>-760.10552940248078</v>
      </c>
      <c r="AO129" s="527">
        <f t="shared" si="168"/>
        <v>-760.10552940248078</v>
      </c>
      <c r="AP129" s="527">
        <f t="shared" si="168"/>
        <v>-776.40906413984806</v>
      </c>
      <c r="AQ129" s="527">
        <f t="shared" si="168"/>
        <v>-776.40906413984806</v>
      </c>
      <c r="AR129" s="527">
        <f t="shared" si="168"/>
        <v>-776.40906413984806</v>
      </c>
      <c r="AS129" s="527">
        <f t="shared" si="168"/>
        <v>-776.40906413984806</v>
      </c>
      <c r="AT129" s="527">
        <f t="shared" si="168"/>
        <v>-776.40906413984806</v>
      </c>
      <c r="AU129" s="527">
        <f t="shared" si="168"/>
        <v>-776.40906413984806</v>
      </c>
      <c r="AV129" s="527">
        <f t="shared" si="168"/>
        <v>-776.40906413984806</v>
      </c>
      <c r="AW129" s="527">
        <f t="shared" si="168"/>
        <v>-776.40906413984806</v>
      </c>
      <c r="AX129" s="527">
        <f t="shared" ref="AX129:BY129" si="169">AX64/AX$82</f>
        <v>-776.40906413984806</v>
      </c>
      <c r="AY129" s="527">
        <f t="shared" si="169"/>
        <v>-776.40906413984806</v>
      </c>
      <c r="AZ129" s="527">
        <f t="shared" si="169"/>
        <v>-776.40906413984806</v>
      </c>
      <c r="BA129" s="527">
        <f t="shared" si="169"/>
        <v>-776.40906413984806</v>
      </c>
      <c r="BB129" s="527">
        <f t="shared" si="169"/>
        <v>-791.62561822292867</v>
      </c>
      <c r="BC129" s="527">
        <f t="shared" si="169"/>
        <v>-791.62561822292867</v>
      </c>
      <c r="BD129" s="527">
        <f t="shared" si="169"/>
        <v>-791.62561822292867</v>
      </c>
      <c r="BE129" s="527">
        <f t="shared" si="169"/>
        <v>-791.62561822292867</v>
      </c>
      <c r="BF129" s="527">
        <f t="shared" si="169"/>
        <v>-791.62561822292867</v>
      </c>
      <c r="BG129" s="527">
        <f t="shared" si="169"/>
        <v>-791.62561822292867</v>
      </c>
      <c r="BH129" s="527">
        <f t="shared" si="169"/>
        <v>-791.62561822292867</v>
      </c>
      <c r="BI129" s="527">
        <f t="shared" si="169"/>
        <v>-791.62561822292867</v>
      </c>
      <c r="BJ129" s="527">
        <f t="shared" si="169"/>
        <v>-791.62561822292867</v>
      </c>
      <c r="BK129" s="527">
        <f t="shared" si="169"/>
        <v>-791.62561822292867</v>
      </c>
      <c r="BL129" s="527">
        <f t="shared" si="169"/>
        <v>-791.62561822292867</v>
      </c>
      <c r="BM129" s="527">
        <f t="shared" si="169"/>
        <v>-791.62561822292867</v>
      </c>
      <c r="BN129" s="527">
        <f t="shared" si="169"/>
        <v>-806.9833721001844</v>
      </c>
      <c r="BO129" s="527">
        <f t="shared" si="169"/>
        <v>-806.9833721001844</v>
      </c>
      <c r="BP129" s="527">
        <f t="shared" si="169"/>
        <v>-806.9833721001844</v>
      </c>
      <c r="BQ129" s="527">
        <f t="shared" si="169"/>
        <v>-806.9833721001844</v>
      </c>
      <c r="BR129" s="527">
        <f t="shared" si="169"/>
        <v>-806.9833721001844</v>
      </c>
      <c r="BS129" s="527">
        <f t="shared" si="169"/>
        <v>-806.9833721001844</v>
      </c>
      <c r="BT129" s="527">
        <f t="shared" si="169"/>
        <v>-806.9833721001844</v>
      </c>
      <c r="BU129" s="527">
        <f t="shared" si="169"/>
        <v>-806.9833721001844</v>
      </c>
      <c r="BV129" s="527">
        <f t="shared" si="169"/>
        <v>-806.9833721001844</v>
      </c>
      <c r="BW129" s="527">
        <f t="shared" si="169"/>
        <v>-806.9833721001844</v>
      </c>
      <c r="BX129" s="527">
        <f t="shared" si="169"/>
        <v>-806.9833721001844</v>
      </c>
      <c r="BY129" s="527">
        <f t="shared" si="169"/>
        <v>-806.9833721001844</v>
      </c>
    </row>
    <row r="130" spans="3:80" x14ac:dyDescent="0.3">
      <c r="C130" s="2"/>
      <c r="D130" s="2"/>
      <c r="E130" s="62" t="s">
        <v>292</v>
      </c>
      <c r="F130" s="63"/>
      <c r="G130" s="63"/>
      <c r="H130" s="63"/>
      <c r="I130" s="501">
        <f t="shared" si="167"/>
        <v>75165.140877938669</v>
      </c>
      <c r="J130" s="502">
        <f t="shared" si="167"/>
        <v>79527.148197087445</v>
      </c>
      <c r="K130" s="502">
        <f t="shared" si="167"/>
        <v>84924.084932923288</v>
      </c>
      <c r="L130" s="502">
        <f t="shared" si="167"/>
        <v>90491.519920349267</v>
      </c>
      <c r="M130" s="502">
        <f t="shared" si="167"/>
        <v>96230.688149416543</v>
      </c>
      <c r="N130" s="502">
        <f t="shared" si="167"/>
        <v>102276.09673517893</v>
      </c>
      <c r="O130" s="57"/>
      <c r="P130" s="55">
        <f>IFERROR(((N130/I130)^(1/5))-1,0)</f>
        <v>6.3534380859318951E-2</v>
      </c>
      <c r="R130" s="501">
        <f t="shared" ref="R130:AW130" si="170">R65/R$82</f>
        <v>6530.126888555752</v>
      </c>
      <c r="S130" s="502">
        <f t="shared" si="170"/>
        <v>6530.126888555752</v>
      </c>
      <c r="T130" s="502">
        <f t="shared" si="170"/>
        <v>6530.126888555752</v>
      </c>
      <c r="U130" s="502">
        <f t="shared" si="170"/>
        <v>6530.126888555752</v>
      </c>
      <c r="V130" s="502">
        <f t="shared" si="170"/>
        <v>6530.126888555752</v>
      </c>
      <c r="W130" s="502">
        <f t="shared" si="170"/>
        <v>6530.126888555752</v>
      </c>
      <c r="X130" s="502">
        <f t="shared" si="170"/>
        <v>6724.3978109588197</v>
      </c>
      <c r="Y130" s="502">
        <f t="shared" si="170"/>
        <v>6724.3978109588197</v>
      </c>
      <c r="Z130" s="502">
        <f t="shared" si="170"/>
        <v>6724.3978109588197</v>
      </c>
      <c r="AA130" s="502">
        <f t="shared" si="170"/>
        <v>6724.3978109588197</v>
      </c>
      <c r="AB130" s="502">
        <f t="shared" si="170"/>
        <v>6724.3978109588197</v>
      </c>
      <c r="AC130" s="502">
        <f t="shared" si="170"/>
        <v>6724.3978109588197</v>
      </c>
      <c r="AD130" s="502">
        <f t="shared" si="170"/>
        <v>6955.0013473297631</v>
      </c>
      <c r="AE130" s="502">
        <f t="shared" si="170"/>
        <v>6955.0013473297631</v>
      </c>
      <c r="AF130" s="502">
        <f t="shared" si="170"/>
        <v>6955.0013473297631</v>
      </c>
      <c r="AG130" s="502">
        <f t="shared" si="170"/>
        <v>6955.0013473297631</v>
      </c>
      <c r="AH130" s="502">
        <f t="shared" si="170"/>
        <v>6955.0013473297631</v>
      </c>
      <c r="AI130" s="502">
        <f t="shared" si="170"/>
        <v>6955.0013473297631</v>
      </c>
      <c r="AJ130" s="502">
        <f t="shared" si="170"/>
        <v>7199.012808157453</v>
      </c>
      <c r="AK130" s="502">
        <f t="shared" si="170"/>
        <v>7199.012808157453</v>
      </c>
      <c r="AL130" s="502">
        <f t="shared" si="170"/>
        <v>7199.012808157453</v>
      </c>
      <c r="AM130" s="502">
        <f t="shared" si="170"/>
        <v>7199.012808157453</v>
      </c>
      <c r="AN130" s="534">
        <f t="shared" si="170"/>
        <v>7199.012808157453</v>
      </c>
      <c r="AO130" s="534">
        <f t="shared" si="170"/>
        <v>7199.012808157453</v>
      </c>
      <c r="AP130" s="534">
        <f t="shared" si="170"/>
        <v>7392.4628172461662</v>
      </c>
      <c r="AQ130" s="534">
        <f t="shared" si="170"/>
        <v>7392.4628172461662</v>
      </c>
      <c r="AR130" s="534">
        <f t="shared" si="170"/>
        <v>7392.4628172461662</v>
      </c>
      <c r="AS130" s="534">
        <f t="shared" si="170"/>
        <v>7392.4628172461662</v>
      </c>
      <c r="AT130" s="534">
        <f t="shared" si="170"/>
        <v>7392.4628172461662</v>
      </c>
      <c r="AU130" s="534">
        <f t="shared" si="170"/>
        <v>7392.4628172461662</v>
      </c>
      <c r="AV130" s="534">
        <f t="shared" si="170"/>
        <v>7689.457169478711</v>
      </c>
      <c r="AW130" s="534">
        <f t="shared" si="170"/>
        <v>7689.457169478711</v>
      </c>
      <c r="AX130" s="534">
        <f t="shared" ref="AX130:BY130" si="171">AX65/AX$82</f>
        <v>7689.457169478711</v>
      </c>
      <c r="AY130" s="534">
        <f t="shared" si="171"/>
        <v>7689.457169478711</v>
      </c>
      <c r="AZ130" s="534">
        <f t="shared" si="171"/>
        <v>7689.457169478711</v>
      </c>
      <c r="BA130" s="534">
        <f t="shared" si="171"/>
        <v>7689.457169478711</v>
      </c>
      <c r="BB130" s="534">
        <f t="shared" si="171"/>
        <v>7842.5829996809407</v>
      </c>
      <c r="BC130" s="534">
        <f t="shared" si="171"/>
        <v>7842.5829996809407</v>
      </c>
      <c r="BD130" s="534">
        <f t="shared" si="171"/>
        <v>7842.5829996809407</v>
      </c>
      <c r="BE130" s="534">
        <f t="shared" si="171"/>
        <v>7842.5829996809407</v>
      </c>
      <c r="BF130" s="534">
        <f t="shared" si="171"/>
        <v>7842.5829996809407</v>
      </c>
      <c r="BG130" s="534">
        <f t="shared" si="171"/>
        <v>7842.5829996809407</v>
      </c>
      <c r="BH130" s="534">
        <f t="shared" si="171"/>
        <v>8195.8650252218122</v>
      </c>
      <c r="BI130" s="534">
        <f t="shared" si="171"/>
        <v>8195.8650252218122</v>
      </c>
      <c r="BJ130" s="534">
        <f t="shared" si="171"/>
        <v>8195.8650252218122</v>
      </c>
      <c r="BK130" s="534">
        <f t="shared" si="171"/>
        <v>8195.8650252218122</v>
      </c>
      <c r="BL130" s="534">
        <f t="shared" si="171"/>
        <v>8195.8650252218122</v>
      </c>
      <c r="BM130" s="534">
        <f t="shared" si="171"/>
        <v>8195.8650252218122</v>
      </c>
      <c r="BN130" s="534">
        <f t="shared" si="171"/>
        <v>8316.4731352005456</v>
      </c>
      <c r="BO130" s="534">
        <f t="shared" si="171"/>
        <v>8316.4731352005456</v>
      </c>
      <c r="BP130" s="534">
        <f t="shared" si="171"/>
        <v>8316.4731352005456</v>
      </c>
      <c r="BQ130" s="534">
        <f t="shared" si="171"/>
        <v>8316.4731352005456</v>
      </c>
      <c r="BR130" s="534">
        <f t="shared" si="171"/>
        <v>8316.4731352005456</v>
      </c>
      <c r="BS130" s="534">
        <f t="shared" si="171"/>
        <v>8316.4731352005456</v>
      </c>
      <c r="BT130" s="534">
        <f t="shared" si="171"/>
        <v>8729.542987329276</v>
      </c>
      <c r="BU130" s="534">
        <f t="shared" si="171"/>
        <v>8729.542987329276</v>
      </c>
      <c r="BV130" s="534">
        <f t="shared" si="171"/>
        <v>8729.542987329276</v>
      </c>
      <c r="BW130" s="534">
        <f t="shared" si="171"/>
        <v>8729.542987329276</v>
      </c>
      <c r="BX130" s="534">
        <f t="shared" si="171"/>
        <v>8729.542987329276</v>
      </c>
      <c r="BY130" s="534">
        <f t="shared" si="171"/>
        <v>8729.542987329276</v>
      </c>
      <c r="CB130" s="8"/>
    </row>
    <row r="131" spans="3:80" x14ac:dyDescent="0.3">
      <c r="C131" s="2"/>
      <c r="D131" s="2"/>
      <c r="E131" s="692" t="s">
        <v>406</v>
      </c>
      <c r="F131" s="2"/>
      <c r="G131" s="2"/>
      <c r="H131" s="2"/>
      <c r="I131" s="499">
        <f t="shared" ref="I131:N131" si="172">IFERROR(I130/I126,0)</f>
        <v>0.89626202366174523</v>
      </c>
      <c r="J131" s="499">
        <f t="shared" si="172"/>
        <v>0.89920284677442186</v>
      </c>
      <c r="K131" s="499">
        <f t="shared" si="172"/>
        <v>0.90301204442189631</v>
      </c>
      <c r="L131" s="499">
        <f t="shared" si="172"/>
        <v>0.90665208447862178</v>
      </c>
      <c r="M131" s="499">
        <f t="shared" si="172"/>
        <v>0.91015331648982589</v>
      </c>
      <c r="N131" s="499">
        <f t="shared" si="172"/>
        <v>0.91350652593159709</v>
      </c>
      <c r="O131" s="23"/>
      <c r="P131" s="50">
        <f>IFERROR(((N131/I131)^(1/5))-1,0)</f>
        <v>3.8188156304010956E-3</v>
      </c>
      <c r="R131" s="499">
        <f t="shared" ref="R131:AW131" si="173">IFERROR(R130/R126,0)</f>
        <v>0.89785664099022811</v>
      </c>
      <c r="S131" s="499">
        <f t="shared" si="173"/>
        <v>0.89785664099022811</v>
      </c>
      <c r="T131" s="499">
        <f t="shared" si="173"/>
        <v>0.89785664099022811</v>
      </c>
      <c r="U131" s="499">
        <f t="shared" si="173"/>
        <v>0.89785664099022811</v>
      </c>
      <c r="V131" s="499">
        <f t="shared" si="173"/>
        <v>0.89785664099022811</v>
      </c>
      <c r="W131" s="499">
        <f t="shared" si="173"/>
        <v>0.89785664099022811</v>
      </c>
      <c r="X131" s="499">
        <f t="shared" si="173"/>
        <v>0.90051402931705482</v>
      </c>
      <c r="Y131" s="499">
        <f t="shared" si="173"/>
        <v>0.90051402931705482</v>
      </c>
      <c r="Z131" s="499">
        <f t="shared" si="173"/>
        <v>0.90051402931705482</v>
      </c>
      <c r="AA131" s="499">
        <f t="shared" si="173"/>
        <v>0.90051402931705482</v>
      </c>
      <c r="AB131" s="499">
        <f t="shared" si="173"/>
        <v>0.90051402931705482</v>
      </c>
      <c r="AC131" s="499">
        <f t="shared" si="173"/>
        <v>0.90051402931705482</v>
      </c>
      <c r="AD131" s="499">
        <f t="shared" si="173"/>
        <v>0.90147828908308969</v>
      </c>
      <c r="AE131" s="499">
        <f t="shared" si="173"/>
        <v>0.90147828908308969</v>
      </c>
      <c r="AF131" s="499">
        <f t="shared" si="173"/>
        <v>0.90147828908308969</v>
      </c>
      <c r="AG131" s="499">
        <f t="shared" si="173"/>
        <v>0.90147828908308969</v>
      </c>
      <c r="AH131" s="499">
        <f t="shared" si="173"/>
        <v>0.90147828908308969</v>
      </c>
      <c r="AI131" s="499">
        <f t="shared" si="173"/>
        <v>0.90147828908308969</v>
      </c>
      <c r="AJ131" s="499">
        <f t="shared" si="173"/>
        <v>0.90449877773327458</v>
      </c>
      <c r="AK131" s="499">
        <f t="shared" si="173"/>
        <v>0.90449877773327458</v>
      </c>
      <c r="AL131" s="499">
        <f t="shared" si="173"/>
        <v>0.90449877773327458</v>
      </c>
      <c r="AM131" s="499">
        <f t="shared" si="173"/>
        <v>0.90449877773327458</v>
      </c>
      <c r="AN131" s="531">
        <f t="shared" si="173"/>
        <v>0.90449877773327458</v>
      </c>
      <c r="AO131" s="531">
        <f t="shared" si="173"/>
        <v>0.90449877773327458</v>
      </c>
      <c r="AP131" s="531">
        <f t="shared" si="173"/>
        <v>0.90495516695407952</v>
      </c>
      <c r="AQ131" s="531">
        <f t="shared" si="173"/>
        <v>0.90495516695407952</v>
      </c>
      <c r="AR131" s="531">
        <f t="shared" si="173"/>
        <v>0.90495516695407952</v>
      </c>
      <c r="AS131" s="531">
        <f t="shared" si="173"/>
        <v>0.90495516695407952</v>
      </c>
      <c r="AT131" s="531">
        <f t="shared" si="173"/>
        <v>0.90495516695407952</v>
      </c>
      <c r="AU131" s="531">
        <f t="shared" si="173"/>
        <v>0.90495516695407952</v>
      </c>
      <c r="AV131" s="531">
        <f t="shared" si="173"/>
        <v>0.90828947177824826</v>
      </c>
      <c r="AW131" s="531">
        <f t="shared" si="173"/>
        <v>0.90828947177824826</v>
      </c>
      <c r="AX131" s="531">
        <f t="shared" ref="AX131:BY131" si="174">IFERROR(AX130/AX126,0)</f>
        <v>0.90828947177824826</v>
      </c>
      <c r="AY131" s="531">
        <f t="shared" si="174"/>
        <v>0.90828947177824826</v>
      </c>
      <c r="AZ131" s="531">
        <f t="shared" si="174"/>
        <v>0.90828947177824826</v>
      </c>
      <c r="BA131" s="531">
        <f t="shared" si="174"/>
        <v>0.90828947177824826</v>
      </c>
      <c r="BB131" s="531">
        <f t="shared" si="174"/>
        <v>0.9083152083467827</v>
      </c>
      <c r="BC131" s="531">
        <f t="shared" si="174"/>
        <v>0.9083152083467827</v>
      </c>
      <c r="BD131" s="531">
        <f t="shared" si="174"/>
        <v>0.9083152083467827</v>
      </c>
      <c r="BE131" s="531">
        <f t="shared" si="174"/>
        <v>0.9083152083467827</v>
      </c>
      <c r="BF131" s="531">
        <f t="shared" si="174"/>
        <v>0.9083152083467827</v>
      </c>
      <c r="BG131" s="531">
        <f t="shared" si="174"/>
        <v>0.9083152083467827</v>
      </c>
      <c r="BH131" s="531">
        <f t="shared" si="174"/>
        <v>0.91191917192143923</v>
      </c>
      <c r="BI131" s="531">
        <f t="shared" si="174"/>
        <v>0.91191917192143923</v>
      </c>
      <c r="BJ131" s="531">
        <f t="shared" si="174"/>
        <v>0.91191917192143923</v>
      </c>
      <c r="BK131" s="531">
        <f t="shared" si="174"/>
        <v>0.91191917192143923</v>
      </c>
      <c r="BL131" s="531">
        <f t="shared" si="174"/>
        <v>0.91191917192143923</v>
      </c>
      <c r="BM131" s="531">
        <f t="shared" si="174"/>
        <v>0.91191917192143923</v>
      </c>
      <c r="BN131" s="531">
        <f t="shared" si="174"/>
        <v>0.91154850451093583</v>
      </c>
      <c r="BO131" s="531">
        <f t="shared" si="174"/>
        <v>0.91154850451093583</v>
      </c>
      <c r="BP131" s="531">
        <f t="shared" si="174"/>
        <v>0.91154850451093583</v>
      </c>
      <c r="BQ131" s="531">
        <f t="shared" si="174"/>
        <v>0.91154850451093583</v>
      </c>
      <c r="BR131" s="531">
        <f t="shared" si="174"/>
        <v>0.91154850451093583</v>
      </c>
      <c r="BS131" s="531">
        <f t="shared" si="174"/>
        <v>0.91154850451093583</v>
      </c>
      <c r="BT131" s="531">
        <f t="shared" si="174"/>
        <v>0.91537973663730698</v>
      </c>
      <c r="BU131" s="531">
        <f t="shared" si="174"/>
        <v>0.91537973663730698</v>
      </c>
      <c r="BV131" s="531">
        <f t="shared" si="174"/>
        <v>0.91537973663730698</v>
      </c>
      <c r="BW131" s="531">
        <f t="shared" si="174"/>
        <v>0.91537973663730698</v>
      </c>
      <c r="BX131" s="531">
        <f t="shared" si="174"/>
        <v>0.91537973663730698</v>
      </c>
      <c r="BY131" s="531">
        <f t="shared" si="174"/>
        <v>0.91537973663730698</v>
      </c>
    </row>
    <row r="132" spans="3:80" x14ac:dyDescent="0.3">
      <c r="C132" s="2"/>
      <c r="D132" s="2"/>
      <c r="E132" s="2"/>
      <c r="F132" s="2"/>
      <c r="G132" s="2"/>
      <c r="H132" s="2"/>
      <c r="I132" s="2"/>
      <c r="J132" s="2"/>
      <c r="K132" s="2"/>
      <c r="L132" s="2"/>
      <c r="M132" s="2"/>
      <c r="N132" s="2"/>
      <c r="O132" s="2"/>
      <c r="P132" s="35"/>
      <c r="R132" s="2"/>
      <c r="S132" s="2"/>
      <c r="T132" s="2"/>
      <c r="U132" s="2"/>
      <c r="V132" s="2"/>
      <c r="W132" s="2"/>
      <c r="X132" s="2"/>
      <c r="Y132" s="2"/>
      <c r="Z132" s="2"/>
      <c r="AA132" s="2"/>
      <c r="AB132" s="2"/>
      <c r="AC132" s="2"/>
      <c r="AD132" s="2"/>
      <c r="AE132" s="2"/>
      <c r="AF132" s="2"/>
      <c r="AG132" s="2"/>
      <c r="AH132" s="2"/>
      <c r="AI132" s="2"/>
      <c r="AJ132" s="2"/>
      <c r="AK132" s="2"/>
      <c r="AL132" s="2"/>
      <c r="AM132" s="2"/>
      <c r="AN132" s="525"/>
      <c r="AO132" s="525"/>
      <c r="AP132" s="525"/>
      <c r="AQ132" s="525"/>
      <c r="AR132" s="525"/>
      <c r="AS132" s="525"/>
      <c r="AT132" s="525"/>
      <c r="AU132" s="525"/>
      <c r="AV132" s="525"/>
      <c r="AW132" s="525"/>
      <c r="AX132" s="525"/>
      <c r="AY132" s="525"/>
      <c r="AZ132" s="525"/>
      <c r="BA132" s="525"/>
      <c r="BB132" s="525"/>
      <c r="BC132" s="525"/>
      <c r="BD132" s="525"/>
      <c r="BE132" s="525"/>
      <c r="BF132" s="525"/>
      <c r="BG132" s="525"/>
      <c r="BH132" s="525"/>
      <c r="BI132" s="525"/>
      <c r="BJ132" s="525"/>
      <c r="BK132" s="525"/>
      <c r="BL132" s="525"/>
      <c r="BM132" s="525"/>
      <c r="BN132" s="525"/>
      <c r="BO132" s="525"/>
      <c r="BP132" s="525"/>
      <c r="BQ132" s="525"/>
      <c r="BR132" s="525"/>
      <c r="BS132" s="525"/>
      <c r="BT132" s="525"/>
      <c r="BU132" s="525"/>
      <c r="BV132" s="525"/>
      <c r="BW132" s="525"/>
      <c r="BX132" s="525"/>
      <c r="BY132" s="525"/>
    </row>
    <row r="133" spans="3:80" x14ac:dyDescent="0.3">
      <c r="C133" s="2"/>
      <c r="D133" s="2"/>
      <c r="E133" s="2" t="s">
        <v>52</v>
      </c>
      <c r="F133" s="54"/>
      <c r="G133" s="54"/>
      <c r="H133" s="54"/>
      <c r="I133" s="497">
        <f t="shared" ref="I133:N134" si="175">I68/I$82</f>
        <v>-9586.1143372307706</v>
      </c>
      <c r="J133" s="497">
        <f t="shared" si="175"/>
        <v>-8160</v>
      </c>
      <c r="K133" s="497">
        <f t="shared" si="175"/>
        <v>-8323.1999999999989</v>
      </c>
      <c r="L133" s="497">
        <f t="shared" si="175"/>
        <v>-8489.6640000000007</v>
      </c>
      <c r="M133" s="497">
        <f t="shared" si="175"/>
        <v>-8659.4572800000005</v>
      </c>
      <c r="N133" s="497">
        <f t="shared" si="175"/>
        <v>-8832.6464256000017</v>
      </c>
      <c r="O133" s="37"/>
      <c r="P133" s="50">
        <f>IFERROR(((N133/I133)^(1/5))-1,0)</f>
        <v>-1.6238894142633686E-2</v>
      </c>
      <c r="R133" s="497">
        <f>R68/R$82</f>
        <v>-680</v>
      </c>
      <c r="S133" s="497">
        <f t="shared" ref="S133:AX133" si="176">S68/S$82</f>
        <v>-680</v>
      </c>
      <c r="T133" s="497">
        <f t="shared" si="176"/>
        <v>-680</v>
      </c>
      <c r="U133" s="497">
        <f t="shared" si="176"/>
        <v>-680</v>
      </c>
      <c r="V133" s="497">
        <f t="shared" si="176"/>
        <v>-680</v>
      </c>
      <c r="W133" s="497">
        <f t="shared" si="176"/>
        <v>-680</v>
      </c>
      <c r="X133" s="497">
        <f t="shared" si="176"/>
        <v>-680</v>
      </c>
      <c r="Y133" s="497">
        <f t="shared" si="176"/>
        <v>-680</v>
      </c>
      <c r="Z133" s="497">
        <f t="shared" si="176"/>
        <v>-680</v>
      </c>
      <c r="AA133" s="497">
        <f t="shared" si="176"/>
        <v>-680</v>
      </c>
      <c r="AB133" s="497">
        <f t="shared" si="176"/>
        <v>-680</v>
      </c>
      <c r="AC133" s="497">
        <f t="shared" si="176"/>
        <v>-680</v>
      </c>
      <c r="AD133" s="497">
        <f t="shared" si="176"/>
        <v>-693.5999999999998</v>
      </c>
      <c r="AE133" s="497">
        <f t="shared" si="176"/>
        <v>-693.5999999999998</v>
      </c>
      <c r="AF133" s="497">
        <f t="shared" si="176"/>
        <v>-693.5999999999998</v>
      </c>
      <c r="AG133" s="497">
        <f t="shared" si="176"/>
        <v>-693.5999999999998</v>
      </c>
      <c r="AH133" s="497">
        <f t="shared" si="176"/>
        <v>-693.5999999999998</v>
      </c>
      <c r="AI133" s="497">
        <f t="shared" si="176"/>
        <v>-693.5999999999998</v>
      </c>
      <c r="AJ133" s="497">
        <f t="shared" si="176"/>
        <v>-693.5999999999998</v>
      </c>
      <c r="AK133" s="497">
        <f t="shared" si="176"/>
        <v>-693.5999999999998</v>
      </c>
      <c r="AL133" s="497">
        <f t="shared" si="176"/>
        <v>-693.5999999999998</v>
      </c>
      <c r="AM133" s="497">
        <f t="shared" si="176"/>
        <v>-693.5999999999998</v>
      </c>
      <c r="AN133" s="527">
        <f t="shared" si="176"/>
        <v>-693.5999999999998</v>
      </c>
      <c r="AO133" s="527">
        <f t="shared" si="176"/>
        <v>-693.5999999999998</v>
      </c>
      <c r="AP133" s="527">
        <f t="shared" si="176"/>
        <v>-707.47199999999998</v>
      </c>
      <c r="AQ133" s="527">
        <f t="shared" si="176"/>
        <v>-707.47199999999998</v>
      </c>
      <c r="AR133" s="527">
        <f t="shared" si="176"/>
        <v>-707.47199999999998</v>
      </c>
      <c r="AS133" s="527">
        <f t="shared" si="176"/>
        <v>-707.47199999999998</v>
      </c>
      <c r="AT133" s="527">
        <f t="shared" si="176"/>
        <v>-707.47199999999998</v>
      </c>
      <c r="AU133" s="527">
        <f t="shared" si="176"/>
        <v>-707.47199999999998</v>
      </c>
      <c r="AV133" s="527">
        <f t="shared" si="176"/>
        <v>-707.47199999999998</v>
      </c>
      <c r="AW133" s="527">
        <f t="shared" si="176"/>
        <v>-707.47199999999998</v>
      </c>
      <c r="AX133" s="527">
        <f t="shared" si="176"/>
        <v>-707.47199999999998</v>
      </c>
      <c r="AY133" s="527">
        <f t="shared" ref="AY133:BY133" si="177">AY68/AY$82</f>
        <v>-707.47199999999998</v>
      </c>
      <c r="AZ133" s="527">
        <f t="shared" si="177"/>
        <v>-707.47199999999998</v>
      </c>
      <c r="BA133" s="527">
        <f t="shared" si="177"/>
        <v>-707.47199999999998</v>
      </c>
      <c r="BB133" s="527">
        <f t="shared" si="177"/>
        <v>-721.62144000000001</v>
      </c>
      <c r="BC133" s="527">
        <f t="shared" si="177"/>
        <v>-721.62144000000001</v>
      </c>
      <c r="BD133" s="527">
        <f t="shared" si="177"/>
        <v>-721.62144000000001</v>
      </c>
      <c r="BE133" s="527">
        <f t="shared" si="177"/>
        <v>-721.62144000000001</v>
      </c>
      <c r="BF133" s="527">
        <f t="shared" si="177"/>
        <v>-721.62144000000001</v>
      </c>
      <c r="BG133" s="527">
        <f t="shared" si="177"/>
        <v>-721.62144000000001</v>
      </c>
      <c r="BH133" s="527">
        <f t="shared" si="177"/>
        <v>-721.62144000000001</v>
      </c>
      <c r="BI133" s="527">
        <f t="shared" si="177"/>
        <v>-721.62144000000001</v>
      </c>
      <c r="BJ133" s="527">
        <f t="shared" si="177"/>
        <v>-721.62144000000001</v>
      </c>
      <c r="BK133" s="527">
        <f t="shared" si="177"/>
        <v>-721.62144000000001</v>
      </c>
      <c r="BL133" s="527">
        <f t="shared" si="177"/>
        <v>-721.62144000000001</v>
      </c>
      <c r="BM133" s="527">
        <f t="shared" si="177"/>
        <v>-721.62144000000001</v>
      </c>
      <c r="BN133" s="527">
        <f t="shared" si="177"/>
        <v>-736.05386880000026</v>
      </c>
      <c r="BO133" s="527">
        <f t="shared" si="177"/>
        <v>-736.05386880000026</v>
      </c>
      <c r="BP133" s="527">
        <f t="shared" si="177"/>
        <v>-736.05386880000026</v>
      </c>
      <c r="BQ133" s="527">
        <f t="shared" si="177"/>
        <v>-736.05386880000026</v>
      </c>
      <c r="BR133" s="527">
        <f t="shared" si="177"/>
        <v>-736.05386880000026</v>
      </c>
      <c r="BS133" s="527">
        <f t="shared" si="177"/>
        <v>-736.05386880000026</v>
      </c>
      <c r="BT133" s="527">
        <f t="shared" si="177"/>
        <v>-736.05386880000026</v>
      </c>
      <c r="BU133" s="527">
        <f t="shared" si="177"/>
        <v>-736.05386880000026</v>
      </c>
      <c r="BV133" s="527">
        <f t="shared" si="177"/>
        <v>-736.05386880000026</v>
      </c>
      <c r="BW133" s="527">
        <f t="shared" si="177"/>
        <v>-736.05386880000026</v>
      </c>
      <c r="BX133" s="527">
        <f t="shared" si="177"/>
        <v>-736.05386880000026</v>
      </c>
      <c r="BY133" s="527">
        <f t="shared" si="177"/>
        <v>-736.05386880000026</v>
      </c>
    </row>
    <row r="134" spans="3:80" x14ac:dyDescent="0.3">
      <c r="C134" s="2"/>
      <c r="D134" s="2"/>
      <c r="E134" s="2" t="s">
        <v>69</v>
      </c>
      <c r="F134" s="54"/>
      <c r="G134" s="54"/>
      <c r="H134" s="54"/>
      <c r="I134" s="497">
        <f t="shared" si="175"/>
        <v>-1257.97711316908</v>
      </c>
      <c r="J134" s="497">
        <f t="shared" si="175"/>
        <v>-1326.627498161791</v>
      </c>
      <c r="K134" s="497">
        <f t="shared" si="175"/>
        <v>-1410.6802692862959</v>
      </c>
      <c r="L134" s="497">
        <f t="shared" si="175"/>
        <v>-1497.1264303504115</v>
      </c>
      <c r="M134" s="497">
        <f t="shared" si="175"/>
        <v>-1585.9529335213754</v>
      </c>
      <c r="N134" s="497">
        <f t="shared" si="175"/>
        <v>-1679.3984580057167</v>
      </c>
      <c r="O134" s="37"/>
      <c r="P134" s="50">
        <f>IFERROR(((N134/I134)^(1/5))-1,0)</f>
        <v>5.9488390035223881E-2</v>
      </c>
      <c r="R134" s="497">
        <f>R69/R$82</f>
        <v>-109.09525959545957</v>
      </c>
      <c r="S134" s="497">
        <f t="shared" ref="S134:AX134" si="178">S69/S$82</f>
        <v>-109.09525959545957</v>
      </c>
      <c r="T134" s="497">
        <f t="shared" si="178"/>
        <v>-109.09525959545957</v>
      </c>
      <c r="U134" s="497">
        <f t="shared" si="178"/>
        <v>-109.09525959545957</v>
      </c>
      <c r="V134" s="497">
        <f t="shared" si="178"/>
        <v>-109.09525959545957</v>
      </c>
      <c r="W134" s="497">
        <f t="shared" si="178"/>
        <v>-109.09525959545957</v>
      </c>
      <c r="X134" s="497">
        <f t="shared" si="178"/>
        <v>-112.00932343150559</v>
      </c>
      <c r="Y134" s="497">
        <f t="shared" si="178"/>
        <v>-112.00932343150559</v>
      </c>
      <c r="Z134" s="497">
        <f t="shared" si="178"/>
        <v>-112.00932343150559</v>
      </c>
      <c r="AA134" s="497">
        <f t="shared" si="178"/>
        <v>-112.00932343150559</v>
      </c>
      <c r="AB134" s="497">
        <f t="shared" si="178"/>
        <v>-112.00932343150559</v>
      </c>
      <c r="AC134" s="497">
        <f t="shared" si="178"/>
        <v>-112.00932343150559</v>
      </c>
      <c r="AD134" s="497">
        <f t="shared" si="178"/>
        <v>-115.72660315098368</v>
      </c>
      <c r="AE134" s="497">
        <f t="shared" si="178"/>
        <v>-115.72660315098368</v>
      </c>
      <c r="AF134" s="497">
        <f t="shared" si="178"/>
        <v>-115.72660315098368</v>
      </c>
      <c r="AG134" s="497">
        <f t="shared" si="178"/>
        <v>-115.72660315098368</v>
      </c>
      <c r="AH134" s="497">
        <f t="shared" si="178"/>
        <v>-115.72660315098368</v>
      </c>
      <c r="AI134" s="497">
        <f t="shared" si="178"/>
        <v>-115.72660315098368</v>
      </c>
      <c r="AJ134" s="497">
        <f t="shared" si="178"/>
        <v>-119.38677506339903</v>
      </c>
      <c r="AK134" s="497">
        <f t="shared" si="178"/>
        <v>-119.38677506339903</v>
      </c>
      <c r="AL134" s="497">
        <f t="shared" si="178"/>
        <v>-119.38677506339903</v>
      </c>
      <c r="AM134" s="497">
        <f t="shared" si="178"/>
        <v>-119.38677506339903</v>
      </c>
      <c r="AN134" s="527">
        <f t="shared" si="178"/>
        <v>-119.38677506339903</v>
      </c>
      <c r="AO134" s="527">
        <f t="shared" si="178"/>
        <v>-119.38677506339903</v>
      </c>
      <c r="AP134" s="527">
        <f t="shared" si="178"/>
        <v>-122.5330782207902</v>
      </c>
      <c r="AQ134" s="527">
        <f t="shared" si="178"/>
        <v>-122.5330782207902</v>
      </c>
      <c r="AR134" s="527">
        <f t="shared" si="178"/>
        <v>-122.5330782207902</v>
      </c>
      <c r="AS134" s="527">
        <f t="shared" si="178"/>
        <v>-122.5330782207902</v>
      </c>
      <c r="AT134" s="527">
        <f t="shared" si="178"/>
        <v>-122.5330782207902</v>
      </c>
      <c r="AU134" s="527">
        <f t="shared" si="178"/>
        <v>-122.5330782207902</v>
      </c>
      <c r="AV134" s="527">
        <f t="shared" si="178"/>
        <v>-126.98799350427839</v>
      </c>
      <c r="AW134" s="527">
        <f t="shared" si="178"/>
        <v>-126.98799350427839</v>
      </c>
      <c r="AX134" s="527">
        <f t="shared" si="178"/>
        <v>-126.98799350427839</v>
      </c>
      <c r="AY134" s="527">
        <f t="shared" ref="AY134:BY134" si="179">AY69/AY$82</f>
        <v>-126.98799350427839</v>
      </c>
      <c r="AZ134" s="527">
        <f t="shared" si="179"/>
        <v>-126.98799350427839</v>
      </c>
      <c r="BA134" s="527">
        <f t="shared" si="179"/>
        <v>-126.98799350427839</v>
      </c>
      <c r="BB134" s="527">
        <f t="shared" si="179"/>
        <v>-129.51312926855806</v>
      </c>
      <c r="BC134" s="527">
        <f t="shared" si="179"/>
        <v>-129.51312926855806</v>
      </c>
      <c r="BD134" s="527">
        <f t="shared" si="179"/>
        <v>-129.51312926855806</v>
      </c>
      <c r="BE134" s="527">
        <f t="shared" si="179"/>
        <v>-129.51312926855806</v>
      </c>
      <c r="BF134" s="527">
        <f t="shared" si="179"/>
        <v>-129.51312926855806</v>
      </c>
      <c r="BG134" s="527">
        <f t="shared" si="179"/>
        <v>-129.51312926855806</v>
      </c>
      <c r="BH134" s="527">
        <f t="shared" si="179"/>
        <v>-134.81235965167113</v>
      </c>
      <c r="BI134" s="527">
        <f t="shared" si="179"/>
        <v>-134.81235965167113</v>
      </c>
      <c r="BJ134" s="527">
        <f t="shared" si="179"/>
        <v>-134.81235965167113</v>
      </c>
      <c r="BK134" s="527">
        <f t="shared" si="179"/>
        <v>-134.81235965167113</v>
      </c>
      <c r="BL134" s="527">
        <f t="shared" si="179"/>
        <v>-134.81235965167113</v>
      </c>
      <c r="BM134" s="527">
        <f t="shared" si="179"/>
        <v>-134.81235965167113</v>
      </c>
      <c r="BN134" s="527">
        <f t="shared" si="179"/>
        <v>-136.85184760951091</v>
      </c>
      <c r="BO134" s="527">
        <f t="shared" si="179"/>
        <v>-136.85184760951091</v>
      </c>
      <c r="BP134" s="527">
        <f t="shared" si="179"/>
        <v>-136.85184760951091</v>
      </c>
      <c r="BQ134" s="527">
        <f t="shared" si="179"/>
        <v>-136.85184760951091</v>
      </c>
      <c r="BR134" s="527">
        <f t="shared" si="179"/>
        <v>-136.85184760951091</v>
      </c>
      <c r="BS134" s="527">
        <f t="shared" si="179"/>
        <v>-136.85184760951091</v>
      </c>
      <c r="BT134" s="527">
        <f t="shared" si="179"/>
        <v>-143.04789539144193</v>
      </c>
      <c r="BU134" s="527">
        <f t="shared" si="179"/>
        <v>-143.04789539144193</v>
      </c>
      <c r="BV134" s="527">
        <f t="shared" si="179"/>
        <v>-143.04789539144193</v>
      </c>
      <c r="BW134" s="527">
        <f t="shared" si="179"/>
        <v>-143.04789539144193</v>
      </c>
      <c r="BX134" s="527">
        <f t="shared" si="179"/>
        <v>-143.04789539144193</v>
      </c>
      <c r="BY134" s="527">
        <f t="shared" si="179"/>
        <v>-143.04789539144193</v>
      </c>
    </row>
    <row r="135" spans="3:80" x14ac:dyDescent="0.3">
      <c r="C135" s="2"/>
      <c r="D135" s="2"/>
      <c r="E135" s="2" t="s">
        <v>184</v>
      </c>
      <c r="F135" s="54"/>
      <c r="G135" s="54"/>
      <c r="H135" s="54"/>
      <c r="I135" s="497">
        <f t="shared" ref="I135:N136" si="180">I70/I$82</f>
        <v>0</v>
      </c>
      <c r="J135" s="497">
        <f t="shared" si="180"/>
        <v>0</v>
      </c>
      <c r="K135" s="497">
        <f t="shared" si="180"/>
        <v>0</v>
      </c>
      <c r="L135" s="497">
        <f t="shared" si="180"/>
        <v>0</v>
      </c>
      <c r="M135" s="497">
        <f t="shared" si="180"/>
        <v>0</v>
      </c>
      <c r="N135" s="497">
        <f t="shared" si="180"/>
        <v>0</v>
      </c>
      <c r="O135" s="37"/>
      <c r="P135" s="50">
        <f>IFERROR(((N135/I135)^(1/5))-1,0)</f>
        <v>0</v>
      </c>
      <c r="R135" s="497">
        <f>R70/R$82</f>
        <v>0</v>
      </c>
      <c r="S135" s="497">
        <f t="shared" ref="S135:AX135" si="181">S70/S$82</f>
        <v>0</v>
      </c>
      <c r="T135" s="497">
        <f t="shared" si="181"/>
        <v>0</v>
      </c>
      <c r="U135" s="497">
        <f t="shared" si="181"/>
        <v>0</v>
      </c>
      <c r="V135" s="497">
        <f t="shared" si="181"/>
        <v>0</v>
      </c>
      <c r="W135" s="497">
        <f t="shared" si="181"/>
        <v>0</v>
      </c>
      <c r="X135" s="497">
        <f t="shared" si="181"/>
        <v>0</v>
      </c>
      <c r="Y135" s="497">
        <f t="shared" si="181"/>
        <v>0</v>
      </c>
      <c r="Z135" s="497">
        <f t="shared" si="181"/>
        <v>0</v>
      </c>
      <c r="AA135" s="497">
        <f t="shared" si="181"/>
        <v>0</v>
      </c>
      <c r="AB135" s="497">
        <f t="shared" si="181"/>
        <v>0</v>
      </c>
      <c r="AC135" s="497">
        <f t="shared" si="181"/>
        <v>0</v>
      </c>
      <c r="AD135" s="497">
        <f t="shared" si="181"/>
        <v>0</v>
      </c>
      <c r="AE135" s="497">
        <f t="shared" si="181"/>
        <v>0</v>
      </c>
      <c r="AF135" s="497">
        <f t="shared" si="181"/>
        <v>0</v>
      </c>
      <c r="AG135" s="497">
        <f t="shared" si="181"/>
        <v>0</v>
      </c>
      <c r="AH135" s="497">
        <f t="shared" si="181"/>
        <v>0</v>
      </c>
      <c r="AI135" s="497">
        <f t="shared" si="181"/>
        <v>0</v>
      </c>
      <c r="AJ135" s="497">
        <f t="shared" si="181"/>
        <v>0</v>
      </c>
      <c r="AK135" s="497">
        <f t="shared" si="181"/>
        <v>0</v>
      </c>
      <c r="AL135" s="497">
        <f t="shared" si="181"/>
        <v>0</v>
      </c>
      <c r="AM135" s="497">
        <f t="shared" si="181"/>
        <v>0</v>
      </c>
      <c r="AN135" s="527">
        <f t="shared" si="181"/>
        <v>0</v>
      </c>
      <c r="AO135" s="527">
        <f t="shared" si="181"/>
        <v>0</v>
      </c>
      <c r="AP135" s="527">
        <f t="shared" si="181"/>
        <v>0</v>
      </c>
      <c r="AQ135" s="527">
        <f t="shared" si="181"/>
        <v>0</v>
      </c>
      <c r="AR135" s="527">
        <f t="shared" si="181"/>
        <v>0</v>
      </c>
      <c r="AS135" s="527">
        <f t="shared" si="181"/>
        <v>0</v>
      </c>
      <c r="AT135" s="527">
        <f t="shared" si="181"/>
        <v>0</v>
      </c>
      <c r="AU135" s="527">
        <f t="shared" si="181"/>
        <v>0</v>
      </c>
      <c r="AV135" s="527">
        <f t="shared" si="181"/>
        <v>0</v>
      </c>
      <c r="AW135" s="527">
        <f t="shared" si="181"/>
        <v>0</v>
      </c>
      <c r="AX135" s="527">
        <f t="shared" si="181"/>
        <v>0</v>
      </c>
      <c r="AY135" s="527">
        <f t="shared" ref="AY135:BY135" si="182">AY70/AY$82</f>
        <v>0</v>
      </c>
      <c r="AZ135" s="527">
        <f t="shared" si="182"/>
        <v>0</v>
      </c>
      <c r="BA135" s="527">
        <f t="shared" si="182"/>
        <v>0</v>
      </c>
      <c r="BB135" s="527">
        <f t="shared" si="182"/>
        <v>0</v>
      </c>
      <c r="BC135" s="527">
        <f t="shared" si="182"/>
        <v>0</v>
      </c>
      <c r="BD135" s="527">
        <f t="shared" si="182"/>
        <v>0</v>
      </c>
      <c r="BE135" s="527">
        <f t="shared" si="182"/>
        <v>0</v>
      </c>
      <c r="BF135" s="527">
        <f t="shared" si="182"/>
        <v>0</v>
      </c>
      <c r="BG135" s="527">
        <f t="shared" si="182"/>
        <v>0</v>
      </c>
      <c r="BH135" s="527">
        <f t="shared" si="182"/>
        <v>0</v>
      </c>
      <c r="BI135" s="527">
        <f t="shared" si="182"/>
        <v>0</v>
      </c>
      <c r="BJ135" s="527">
        <f t="shared" si="182"/>
        <v>0</v>
      </c>
      <c r="BK135" s="527">
        <f t="shared" si="182"/>
        <v>0</v>
      </c>
      <c r="BL135" s="527">
        <f t="shared" si="182"/>
        <v>0</v>
      </c>
      <c r="BM135" s="527">
        <f t="shared" si="182"/>
        <v>0</v>
      </c>
      <c r="BN135" s="527">
        <f t="shared" si="182"/>
        <v>0</v>
      </c>
      <c r="BO135" s="527">
        <f t="shared" si="182"/>
        <v>0</v>
      </c>
      <c r="BP135" s="527">
        <f t="shared" si="182"/>
        <v>0</v>
      </c>
      <c r="BQ135" s="527">
        <f t="shared" si="182"/>
        <v>0</v>
      </c>
      <c r="BR135" s="527">
        <f t="shared" si="182"/>
        <v>0</v>
      </c>
      <c r="BS135" s="527">
        <f t="shared" si="182"/>
        <v>0</v>
      </c>
      <c r="BT135" s="527">
        <f t="shared" si="182"/>
        <v>0</v>
      </c>
      <c r="BU135" s="527">
        <f t="shared" si="182"/>
        <v>0</v>
      </c>
      <c r="BV135" s="527">
        <f t="shared" si="182"/>
        <v>0</v>
      </c>
      <c r="BW135" s="527">
        <f t="shared" si="182"/>
        <v>0</v>
      </c>
      <c r="BX135" s="527">
        <f t="shared" si="182"/>
        <v>0</v>
      </c>
      <c r="BY135" s="527">
        <f t="shared" si="182"/>
        <v>0</v>
      </c>
    </row>
    <row r="136" spans="3:80" x14ac:dyDescent="0.3">
      <c r="C136" s="2"/>
      <c r="D136" s="2"/>
      <c r="E136" s="62" t="s">
        <v>293</v>
      </c>
      <c r="F136" s="63"/>
      <c r="G136" s="63"/>
      <c r="H136" s="63"/>
      <c r="I136" s="502">
        <f t="shared" si="180"/>
        <v>64321.049427538826</v>
      </c>
      <c r="J136" s="502">
        <f t="shared" si="180"/>
        <v>70040.520698925655</v>
      </c>
      <c r="K136" s="502">
        <f t="shared" si="180"/>
        <v>75190.204663636992</v>
      </c>
      <c r="L136" s="502">
        <f t="shared" si="180"/>
        <v>80504.729489998863</v>
      </c>
      <c r="M136" s="502">
        <f t="shared" si="180"/>
        <v>85985.277935895167</v>
      </c>
      <c r="N136" s="502">
        <f t="shared" si="180"/>
        <v>91764.051851573211</v>
      </c>
      <c r="O136" s="57"/>
      <c r="P136" s="55">
        <f>IFERROR(((N136/I136)^(1/5))-1,0)</f>
        <v>7.3652876587955163E-2</v>
      </c>
      <c r="R136" s="501">
        <f>R71/R$82</f>
        <v>5741.0316289602924</v>
      </c>
      <c r="S136" s="501">
        <f t="shared" ref="S136:AX136" si="183">S71/S$82</f>
        <v>5741.0316289602924</v>
      </c>
      <c r="T136" s="501">
        <f t="shared" si="183"/>
        <v>5741.0316289602924</v>
      </c>
      <c r="U136" s="501">
        <f t="shared" si="183"/>
        <v>5741.0316289602924</v>
      </c>
      <c r="V136" s="501">
        <f t="shared" si="183"/>
        <v>5741.0316289602924</v>
      </c>
      <c r="W136" s="501">
        <f t="shared" si="183"/>
        <v>5741.0316289602924</v>
      </c>
      <c r="X136" s="501">
        <f t="shared" si="183"/>
        <v>5932.3884875273143</v>
      </c>
      <c r="Y136" s="501">
        <f t="shared" si="183"/>
        <v>5932.3884875273143</v>
      </c>
      <c r="Z136" s="501">
        <f t="shared" si="183"/>
        <v>5932.3884875273143</v>
      </c>
      <c r="AA136" s="501">
        <f t="shared" si="183"/>
        <v>5932.3884875273143</v>
      </c>
      <c r="AB136" s="501">
        <f t="shared" si="183"/>
        <v>5932.3884875273143</v>
      </c>
      <c r="AC136" s="501">
        <f t="shared" si="183"/>
        <v>5932.3884875273143</v>
      </c>
      <c r="AD136" s="501">
        <f t="shared" si="183"/>
        <v>6145.6747441787802</v>
      </c>
      <c r="AE136" s="501">
        <f t="shared" si="183"/>
        <v>6145.6747441787802</v>
      </c>
      <c r="AF136" s="501">
        <f t="shared" si="183"/>
        <v>6145.6747441787802</v>
      </c>
      <c r="AG136" s="501">
        <f t="shared" si="183"/>
        <v>6145.6747441787802</v>
      </c>
      <c r="AH136" s="501">
        <f t="shared" si="183"/>
        <v>6145.6747441787802</v>
      </c>
      <c r="AI136" s="501">
        <f t="shared" si="183"/>
        <v>6145.6747441787802</v>
      </c>
      <c r="AJ136" s="501">
        <f t="shared" si="183"/>
        <v>6386.0260330940546</v>
      </c>
      <c r="AK136" s="501">
        <f t="shared" si="183"/>
        <v>6386.0260330940546</v>
      </c>
      <c r="AL136" s="501">
        <f t="shared" si="183"/>
        <v>6386.0260330940546</v>
      </c>
      <c r="AM136" s="501">
        <f t="shared" si="183"/>
        <v>6386.0260330940546</v>
      </c>
      <c r="AN136" s="535">
        <f t="shared" si="183"/>
        <v>6386.0260330940546</v>
      </c>
      <c r="AO136" s="535">
        <f t="shared" si="183"/>
        <v>6386.0260330940546</v>
      </c>
      <c r="AP136" s="535">
        <f t="shared" si="183"/>
        <v>6562.4577390253762</v>
      </c>
      <c r="AQ136" s="535">
        <f t="shared" si="183"/>
        <v>6562.4577390253762</v>
      </c>
      <c r="AR136" s="535">
        <f t="shared" si="183"/>
        <v>6562.4577390253762</v>
      </c>
      <c r="AS136" s="535">
        <f t="shared" si="183"/>
        <v>6562.4577390253762</v>
      </c>
      <c r="AT136" s="535">
        <f t="shared" si="183"/>
        <v>6562.4577390253762</v>
      </c>
      <c r="AU136" s="535">
        <f t="shared" si="183"/>
        <v>6562.4577390253762</v>
      </c>
      <c r="AV136" s="535">
        <f t="shared" si="183"/>
        <v>6854.9971759744321</v>
      </c>
      <c r="AW136" s="535">
        <f t="shared" si="183"/>
        <v>6854.9971759744321</v>
      </c>
      <c r="AX136" s="535">
        <f t="shared" si="183"/>
        <v>6854.9971759744321</v>
      </c>
      <c r="AY136" s="535">
        <f t="shared" ref="AY136:BY136" si="184">AY71/AY$82</f>
        <v>6854.9971759744321</v>
      </c>
      <c r="AZ136" s="535">
        <f t="shared" si="184"/>
        <v>6854.9971759744321</v>
      </c>
      <c r="BA136" s="535">
        <f t="shared" si="184"/>
        <v>6854.9971759744321</v>
      </c>
      <c r="BB136" s="535">
        <f t="shared" si="184"/>
        <v>6991.4484304123835</v>
      </c>
      <c r="BC136" s="535">
        <f t="shared" si="184"/>
        <v>6991.4484304123835</v>
      </c>
      <c r="BD136" s="535">
        <f t="shared" si="184"/>
        <v>6991.4484304123835</v>
      </c>
      <c r="BE136" s="535">
        <f t="shared" si="184"/>
        <v>6991.4484304123835</v>
      </c>
      <c r="BF136" s="535">
        <f t="shared" si="184"/>
        <v>6991.4484304123835</v>
      </c>
      <c r="BG136" s="535">
        <f t="shared" si="184"/>
        <v>6991.4484304123835</v>
      </c>
      <c r="BH136" s="535">
        <f t="shared" si="184"/>
        <v>7339.4312255701416</v>
      </c>
      <c r="BI136" s="535">
        <f t="shared" si="184"/>
        <v>7339.4312255701416</v>
      </c>
      <c r="BJ136" s="535">
        <f t="shared" si="184"/>
        <v>7339.4312255701416</v>
      </c>
      <c r="BK136" s="535">
        <f t="shared" si="184"/>
        <v>7339.4312255701416</v>
      </c>
      <c r="BL136" s="535">
        <f t="shared" si="184"/>
        <v>7339.4312255701416</v>
      </c>
      <c r="BM136" s="535">
        <f t="shared" si="184"/>
        <v>7339.4312255701416</v>
      </c>
      <c r="BN136" s="535">
        <f t="shared" si="184"/>
        <v>7443.5674187910345</v>
      </c>
      <c r="BO136" s="535">
        <f t="shared" si="184"/>
        <v>7443.5674187910345</v>
      </c>
      <c r="BP136" s="535">
        <f t="shared" si="184"/>
        <v>7443.5674187910345</v>
      </c>
      <c r="BQ136" s="535">
        <f t="shared" si="184"/>
        <v>7443.5674187910345</v>
      </c>
      <c r="BR136" s="535">
        <f t="shared" si="184"/>
        <v>7443.5674187910345</v>
      </c>
      <c r="BS136" s="535">
        <f t="shared" si="184"/>
        <v>7443.5674187910345</v>
      </c>
      <c r="BT136" s="535">
        <f t="shared" si="184"/>
        <v>7850.4412231378346</v>
      </c>
      <c r="BU136" s="535">
        <f t="shared" si="184"/>
        <v>7850.4412231378346</v>
      </c>
      <c r="BV136" s="535">
        <f t="shared" si="184"/>
        <v>7850.4412231378346</v>
      </c>
      <c r="BW136" s="535">
        <f t="shared" si="184"/>
        <v>7850.4412231378346</v>
      </c>
      <c r="BX136" s="535">
        <f t="shared" si="184"/>
        <v>7850.4412231378346</v>
      </c>
      <c r="BY136" s="535">
        <f t="shared" si="184"/>
        <v>7850.4412231378346</v>
      </c>
    </row>
    <row r="137" spans="3:80" x14ac:dyDescent="0.3">
      <c r="C137" s="2"/>
      <c r="D137" s="2"/>
      <c r="E137" s="2" t="s">
        <v>407</v>
      </c>
      <c r="F137" s="2"/>
      <c r="G137" s="2"/>
      <c r="H137" s="2"/>
      <c r="I137" s="499">
        <f t="shared" ref="I137:N137" si="185">IFERROR(I136/I130,0)</f>
        <v>0.85572977947304507</v>
      </c>
      <c r="J137" s="499">
        <f t="shared" si="185"/>
        <v>0.8807120874666392</v>
      </c>
      <c r="K137" s="499">
        <f t="shared" si="185"/>
        <v>0.8853813935472542</v>
      </c>
      <c r="L137" s="499">
        <f t="shared" si="185"/>
        <v>0.88963838336298484</v>
      </c>
      <c r="M137" s="499">
        <f t="shared" si="185"/>
        <v>0.89353281774714721</v>
      </c>
      <c r="N137" s="499">
        <f t="shared" si="185"/>
        <v>0.89721894734774332</v>
      </c>
      <c r="O137" s="23"/>
      <c r="P137" s="50">
        <f>IFERROR(((N137/I137)^(1/5))-1,0)</f>
        <v>9.514027859128138E-3</v>
      </c>
      <c r="R137" s="499">
        <f t="shared" ref="R137:AW137" si="186">IFERROR(R136/R130,0)</f>
        <v>0.87916080758271742</v>
      </c>
      <c r="S137" s="499">
        <f t="shared" si="186"/>
        <v>0.87916080758271742</v>
      </c>
      <c r="T137" s="499">
        <f t="shared" si="186"/>
        <v>0.87916080758271742</v>
      </c>
      <c r="U137" s="499">
        <f t="shared" si="186"/>
        <v>0.87916080758271742</v>
      </c>
      <c r="V137" s="499">
        <f t="shared" si="186"/>
        <v>0.87916080758271742</v>
      </c>
      <c r="W137" s="499">
        <f t="shared" si="186"/>
        <v>0.87916080758271742</v>
      </c>
      <c r="X137" s="499">
        <f t="shared" si="186"/>
        <v>0.88221855016656514</v>
      </c>
      <c r="Y137" s="499">
        <f t="shared" si="186"/>
        <v>0.88221855016656514</v>
      </c>
      <c r="Z137" s="499">
        <f t="shared" si="186"/>
        <v>0.88221855016656514</v>
      </c>
      <c r="AA137" s="499">
        <f t="shared" si="186"/>
        <v>0.88221855016656514</v>
      </c>
      <c r="AB137" s="499">
        <f t="shared" si="186"/>
        <v>0.88221855016656514</v>
      </c>
      <c r="AC137" s="499">
        <f t="shared" si="186"/>
        <v>0.88221855016656514</v>
      </c>
      <c r="AD137" s="499">
        <f t="shared" si="186"/>
        <v>0.8836338682433601</v>
      </c>
      <c r="AE137" s="499">
        <f t="shared" si="186"/>
        <v>0.8836338682433601</v>
      </c>
      <c r="AF137" s="499">
        <f t="shared" si="186"/>
        <v>0.8836338682433601</v>
      </c>
      <c r="AG137" s="499">
        <f t="shared" si="186"/>
        <v>0.8836338682433601</v>
      </c>
      <c r="AH137" s="499">
        <f t="shared" si="186"/>
        <v>0.8836338682433601</v>
      </c>
      <c r="AI137" s="499">
        <f t="shared" si="186"/>
        <v>0.8836338682433601</v>
      </c>
      <c r="AJ137" s="499">
        <f t="shared" si="186"/>
        <v>0.88706968625723592</v>
      </c>
      <c r="AK137" s="499">
        <f t="shared" si="186"/>
        <v>0.88706968625723592</v>
      </c>
      <c r="AL137" s="499">
        <f t="shared" si="186"/>
        <v>0.88706968625723592</v>
      </c>
      <c r="AM137" s="499">
        <f t="shared" si="186"/>
        <v>0.88706968625723592</v>
      </c>
      <c r="AN137" s="531">
        <f t="shared" si="186"/>
        <v>0.88706968625723592</v>
      </c>
      <c r="AO137" s="531">
        <f t="shared" si="186"/>
        <v>0.88706968625723592</v>
      </c>
      <c r="AP137" s="531">
        <f t="shared" si="186"/>
        <v>0.88772279296631174</v>
      </c>
      <c r="AQ137" s="531">
        <f t="shared" si="186"/>
        <v>0.88772279296631174</v>
      </c>
      <c r="AR137" s="531">
        <f t="shared" si="186"/>
        <v>0.88772279296631174</v>
      </c>
      <c r="AS137" s="531">
        <f t="shared" si="186"/>
        <v>0.88772279296631174</v>
      </c>
      <c r="AT137" s="531">
        <f t="shared" si="186"/>
        <v>0.88772279296631174</v>
      </c>
      <c r="AU137" s="531">
        <f t="shared" si="186"/>
        <v>0.88772279296631174</v>
      </c>
      <c r="AV137" s="531">
        <f t="shared" si="186"/>
        <v>0.89147998680369145</v>
      </c>
      <c r="AW137" s="531">
        <f t="shared" si="186"/>
        <v>0.89147998680369145</v>
      </c>
      <c r="AX137" s="531">
        <f t="shared" ref="AX137:BY137" si="187">IFERROR(AX136/AX130,0)</f>
        <v>0.89147998680369145</v>
      </c>
      <c r="AY137" s="531">
        <f t="shared" si="187"/>
        <v>0.89147998680369145</v>
      </c>
      <c r="AZ137" s="531">
        <f t="shared" si="187"/>
        <v>0.89147998680369145</v>
      </c>
      <c r="BA137" s="531">
        <f t="shared" si="187"/>
        <v>0.89147998680369145</v>
      </c>
      <c r="BB137" s="531">
        <f t="shared" si="187"/>
        <v>0.89147267305896749</v>
      </c>
      <c r="BC137" s="531">
        <f t="shared" si="187"/>
        <v>0.89147267305896749</v>
      </c>
      <c r="BD137" s="531">
        <f t="shared" si="187"/>
        <v>0.89147267305896749</v>
      </c>
      <c r="BE137" s="531">
        <f t="shared" si="187"/>
        <v>0.89147267305896749</v>
      </c>
      <c r="BF137" s="531">
        <f t="shared" si="187"/>
        <v>0.89147267305896749</v>
      </c>
      <c r="BG137" s="531">
        <f t="shared" si="187"/>
        <v>0.89147267305896749</v>
      </c>
      <c r="BH137" s="531">
        <f t="shared" si="187"/>
        <v>0.8955041600836402</v>
      </c>
      <c r="BI137" s="531">
        <f t="shared" si="187"/>
        <v>0.8955041600836402</v>
      </c>
      <c r="BJ137" s="531">
        <f t="shared" si="187"/>
        <v>0.8955041600836402</v>
      </c>
      <c r="BK137" s="531">
        <f t="shared" si="187"/>
        <v>0.8955041600836402</v>
      </c>
      <c r="BL137" s="531">
        <f t="shared" si="187"/>
        <v>0.8955041600836402</v>
      </c>
      <c r="BM137" s="531">
        <f t="shared" si="187"/>
        <v>0.8955041600836402</v>
      </c>
      <c r="BN137" s="531">
        <f t="shared" si="187"/>
        <v>0.89503895434774805</v>
      </c>
      <c r="BO137" s="531">
        <f t="shared" si="187"/>
        <v>0.89503895434774805</v>
      </c>
      <c r="BP137" s="531">
        <f t="shared" si="187"/>
        <v>0.89503895434774805</v>
      </c>
      <c r="BQ137" s="531">
        <f t="shared" si="187"/>
        <v>0.89503895434774805</v>
      </c>
      <c r="BR137" s="531">
        <f t="shared" si="187"/>
        <v>0.89503895434774805</v>
      </c>
      <c r="BS137" s="531">
        <f t="shared" si="187"/>
        <v>0.89503895434774805</v>
      </c>
      <c r="BT137" s="531">
        <f t="shared" si="187"/>
        <v>0.89929578610616423</v>
      </c>
      <c r="BU137" s="531">
        <f t="shared" si="187"/>
        <v>0.89929578610616423</v>
      </c>
      <c r="BV137" s="531">
        <f t="shared" si="187"/>
        <v>0.89929578610616423</v>
      </c>
      <c r="BW137" s="531">
        <f t="shared" si="187"/>
        <v>0.89929578610616423</v>
      </c>
      <c r="BX137" s="531">
        <f t="shared" si="187"/>
        <v>0.89929578610616423</v>
      </c>
      <c r="BY137" s="531">
        <f t="shared" si="187"/>
        <v>0.89929578610616423</v>
      </c>
    </row>
    <row r="138" spans="3:80" x14ac:dyDescent="0.3">
      <c r="C138" s="2"/>
      <c r="D138" s="2"/>
      <c r="E138" s="2"/>
      <c r="F138" s="54"/>
      <c r="G138" s="54"/>
      <c r="H138" s="54"/>
      <c r="I138" s="37"/>
      <c r="J138" s="37"/>
      <c r="K138" s="37"/>
      <c r="L138" s="37"/>
      <c r="M138" s="37"/>
      <c r="N138" s="37"/>
      <c r="O138" s="37"/>
      <c r="P138" s="50"/>
      <c r="R138" s="37"/>
      <c r="S138" s="37"/>
      <c r="T138" s="37"/>
      <c r="U138" s="37"/>
      <c r="V138" s="37"/>
      <c r="W138" s="37"/>
      <c r="X138" s="37"/>
      <c r="Y138" s="37"/>
      <c r="Z138" s="37"/>
      <c r="AA138" s="37"/>
      <c r="AB138" s="37"/>
      <c r="AC138" s="37"/>
      <c r="AD138" s="37"/>
      <c r="AE138" s="37"/>
      <c r="AF138" s="37"/>
      <c r="AG138" s="37"/>
      <c r="AH138" s="37"/>
      <c r="AI138" s="37"/>
      <c r="AJ138" s="37"/>
      <c r="AK138" s="37"/>
      <c r="AL138" s="37"/>
      <c r="AM138" s="37"/>
      <c r="AN138" s="529"/>
      <c r="AO138" s="529"/>
      <c r="AP138" s="529"/>
      <c r="AQ138" s="529"/>
      <c r="AR138" s="529"/>
      <c r="AS138" s="529"/>
      <c r="AT138" s="529"/>
      <c r="AU138" s="529"/>
      <c r="AV138" s="529"/>
      <c r="AW138" s="529"/>
      <c r="AX138" s="529"/>
      <c r="AY138" s="529"/>
      <c r="AZ138" s="529"/>
      <c r="BA138" s="529"/>
      <c r="BB138" s="529"/>
      <c r="BC138" s="529"/>
      <c r="BD138" s="529"/>
      <c r="BE138" s="529"/>
      <c r="BF138" s="529"/>
      <c r="BG138" s="529"/>
      <c r="BH138" s="529"/>
      <c r="BI138" s="529"/>
      <c r="BJ138" s="529"/>
      <c r="BK138" s="529"/>
      <c r="BL138" s="529"/>
      <c r="BM138" s="529"/>
      <c r="BN138" s="529"/>
      <c r="BO138" s="529"/>
      <c r="BP138" s="529"/>
      <c r="BQ138" s="529"/>
      <c r="BR138" s="529"/>
      <c r="BS138" s="529"/>
      <c r="BT138" s="529"/>
      <c r="BU138" s="529"/>
      <c r="BV138" s="529"/>
      <c r="BW138" s="529"/>
      <c r="BX138" s="529"/>
      <c r="BY138" s="529"/>
    </row>
    <row r="139" spans="3:80" x14ac:dyDescent="0.3">
      <c r="C139" s="2"/>
      <c r="D139" s="2"/>
      <c r="E139" s="2" t="s">
        <v>70</v>
      </c>
      <c r="F139" s="54"/>
      <c r="G139" s="54"/>
      <c r="H139" s="54"/>
      <c r="I139" s="497">
        <f t="shared" ref="I139:N139" si="188">I74/I$82</f>
        <v>-6904.3076923076924</v>
      </c>
      <c r="J139" s="497">
        <f t="shared" si="188"/>
        <v>-5180.5579307484986</v>
      </c>
      <c r="K139" s="497">
        <f t="shared" si="188"/>
        <v>-5305.1493142279305</v>
      </c>
      <c r="L139" s="497">
        <f t="shared" si="188"/>
        <v>-5424.2733561210398</v>
      </c>
      <c r="M139" s="497">
        <f t="shared" si="188"/>
        <v>-5536.4344668929562</v>
      </c>
      <c r="N139" s="497">
        <f t="shared" si="188"/>
        <v>-5644.4833948603118</v>
      </c>
      <c r="O139" s="37"/>
      <c r="P139" s="50">
        <f>IFERROR(((N139/I139)^(1/5))-1,0)</f>
        <v>-3.9492384796121494E-2</v>
      </c>
      <c r="R139" s="497">
        <f t="shared" ref="R139:AW139" si="189">R74/R$82</f>
        <v>0</v>
      </c>
      <c r="S139" s="497">
        <f t="shared" si="189"/>
        <v>0</v>
      </c>
      <c r="T139" s="497">
        <f t="shared" si="189"/>
        <v>0</v>
      </c>
      <c r="U139" s="497">
        <f t="shared" si="189"/>
        <v>0</v>
      </c>
      <c r="V139" s="497">
        <f t="shared" si="189"/>
        <v>0</v>
      </c>
      <c r="W139" s="497">
        <f t="shared" si="189"/>
        <v>-5180.5579307484986</v>
      </c>
      <c r="X139" s="497">
        <f t="shared" si="189"/>
        <v>0</v>
      </c>
      <c r="Y139" s="497">
        <f t="shared" si="189"/>
        <v>0</v>
      </c>
      <c r="Z139" s="497">
        <f t="shared" si="189"/>
        <v>0</v>
      </c>
      <c r="AA139" s="497">
        <f t="shared" si="189"/>
        <v>0</v>
      </c>
      <c r="AB139" s="497">
        <f t="shared" si="189"/>
        <v>0</v>
      </c>
      <c r="AC139" s="497">
        <f t="shared" si="189"/>
        <v>0</v>
      </c>
      <c r="AD139" s="497">
        <f t="shared" si="189"/>
        <v>0</v>
      </c>
      <c r="AE139" s="497">
        <f t="shared" si="189"/>
        <v>0</v>
      </c>
      <c r="AF139" s="497">
        <f t="shared" si="189"/>
        <v>0</v>
      </c>
      <c r="AG139" s="497">
        <f t="shared" si="189"/>
        <v>0</v>
      </c>
      <c r="AH139" s="497">
        <f t="shared" si="189"/>
        <v>0</v>
      </c>
      <c r="AI139" s="497">
        <f t="shared" si="189"/>
        <v>-5305.1493142279305</v>
      </c>
      <c r="AJ139" s="497">
        <f t="shared" si="189"/>
        <v>0</v>
      </c>
      <c r="AK139" s="497">
        <f t="shared" si="189"/>
        <v>0</v>
      </c>
      <c r="AL139" s="497">
        <f t="shared" si="189"/>
        <v>0</v>
      </c>
      <c r="AM139" s="497">
        <f t="shared" si="189"/>
        <v>0</v>
      </c>
      <c r="AN139" s="527">
        <f t="shared" si="189"/>
        <v>0</v>
      </c>
      <c r="AO139" s="527">
        <f t="shared" si="189"/>
        <v>0</v>
      </c>
      <c r="AP139" s="527">
        <f t="shared" si="189"/>
        <v>0</v>
      </c>
      <c r="AQ139" s="527">
        <f t="shared" si="189"/>
        <v>0</v>
      </c>
      <c r="AR139" s="527">
        <f t="shared" si="189"/>
        <v>0</v>
      </c>
      <c r="AS139" s="527">
        <f t="shared" si="189"/>
        <v>0</v>
      </c>
      <c r="AT139" s="527">
        <f t="shared" si="189"/>
        <v>0</v>
      </c>
      <c r="AU139" s="527">
        <f t="shared" si="189"/>
        <v>-5424.2733561210398</v>
      </c>
      <c r="AV139" s="527">
        <f t="shared" si="189"/>
        <v>0</v>
      </c>
      <c r="AW139" s="527">
        <f t="shared" si="189"/>
        <v>0</v>
      </c>
      <c r="AX139" s="527">
        <f t="shared" ref="AX139:BY139" si="190">AX74/AX$82</f>
        <v>0</v>
      </c>
      <c r="AY139" s="527">
        <f t="shared" si="190"/>
        <v>0</v>
      </c>
      <c r="AZ139" s="527">
        <f t="shared" si="190"/>
        <v>0</v>
      </c>
      <c r="BA139" s="527">
        <f t="shared" si="190"/>
        <v>0</v>
      </c>
      <c r="BB139" s="527">
        <f t="shared" si="190"/>
        <v>0</v>
      </c>
      <c r="BC139" s="527">
        <f t="shared" si="190"/>
        <v>0</v>
      </c>
      <c r="BD139" s="527">
        <f t="shared" si="190"/>
        <v>0</v>
      </c>
      <c r="BE139" s="527">
        <f t="shared" si="190"/>
        <v>0</v>
      </c>
      <c r="BF139" s="527">
        <f t="shared" si="190"/>
        <v>0</v>
      </c>
      <c r="BG139" s="527">
        <f t="shared" si="190"/>
        <v>-5536.4344668929562</v>
      </c>
      <c r="BH139" s="527">
        <f t="shared" si="190"/>
        <v>0</v>
      </c>
      <c r="BI139" s="527">
        <f t="shared" si="190"/>
        <v>0</v>
      </c>
      <c r="BJ139" s="527">
        <f t="shared" si="190"/>
        <v>0</v>
      </c>
      <c r="BK139" s="527">
        <f t="shared" si="190"/>
        <v>0</v>
      </c>
      <c r="BL139" s="527">
        <f t="shared" si="190"/>
        <v>0</v>
      </c>
      <c r="BM139" s="527">
        <f t="shared" si="190"/>
        <v>0</v>
      </c>
      <c r="BN139" s="527">
        <f t="shared" si="190"/>
        <v>0</v>
      </c>
      <c r="BO139" s="527">
        <f t="shared" si="190"/>
        <v>0</v>
      </c>
      <c r="BP139" s="527">
        <f t="shared" si="190"/>
        <v>0</v>
      </c>
      <c r="BQ139" s="527">
        <f t="shared" si="190"/>
        <v>0</v>
      </c>
      <c r="BR139" s="527">
        <f t="shared" si="190"/>
        <v>0</v>
      </c>
      <c r="BS139" s="527">
        <f t="shared" si="190"/>
        <v>-5644.4833948603118</v>
      </c>
      <c r="BT139" s="527">
        <f t="shared" si="190"/>
        <v>0</v>
      </c>
      <c r="BU139" s="527">
        <f t="shared" si="190"/>
        <v>0</v>
      </c>
      <c r="BV139" s="527">
        <f t="shared" si="190"/>
        <v>0</v>
      </c>
      <c r="BW139" s="527">
        <f t="shared" si="190"/>
        <v>0</v>
      </c>
      <c r="BX139" s="527">
        <f t="shared" si="190"/>
        <v>0</v>
      </c>
      <c r="BY139" s="527">
        <f t="shared" si="190"/>
        <v>0</v>
      </c>
    </row>
    <row r="140" spans="3:80" x14ac:dyDescent="0.3">
      <c r="C140" s="2"/>
      <c r="D140" s="2"/>
      <c r="E140" s="2" t="s">
        <v>185</v>
      </c>
      <c r="F140" s="54"/>
      <c r="G140" s="54"/>
      <c r="H140" s="54"/>
      <c r="I140" s="497">
        <f t="shared" ref="I140:J142" si="191">I75/I$82</f>
        <v>0</v>
      </c>
      <c r="J140" s="497">
        <f t="shared" si="191"/>
        <v>0</v>
      </c>
      <c r="K140" s="497">
        <f t="shared" ref="K140:N142" si="192">K75/K$82</f>
        <v>0</v>
      </c>
      <c r="L140" s="497">
        <f t="shared" si="192"/>
        <v>0</v>
      </c>
      <c r="M140" s="497">
        <f t="shared" si="192"/>
        <v>0</v>
      </c>
      <c r="N140" s="497">
        <f t="shared" si="192"/>
        <v>0</v>
      </c>
      <c r="O140" s="37"/>
      <c r="P140" s="50">
        <f>IFERROR(((N140/I140)^(1/5))-1,0)</f>
        <v>0</v>
      </c>
      <c r="R140" s="497">
        <f t="shared" ref="R140:AW140" si="193">R75/R$82</f>
        <v>0</v>
      </c>
      <c r="S140" s="497">
        <f t="shared" si="193"/>
        <v>0</v>
      </c>
      <c r="T140" s="497">
        <f t="shared" si="193"/>
        <v>0</v>
      </c>
      <c r="U140" s="497">
        <f t="shared" si="193"/>
        <v>0</v>
      </c>
      <c r="V140" s="497">
        <f t="shared" si="193"/>
        <v>0</v>
      </c>
      <c r="W140" s="497">
        <f t="shared" si="193"/>
        <v>0</v>
      </c>
      <c r="X140" s="497">
        <f t="shared" si="193"/>
        <v>0</v>
      </c>
      <c r="Y140" s="497">
        <f t="shared" si="193"/>
        <v>0</v>
      </c>
      <c r="Z140" s="497">
        <f t="shared" si="193"/>
        <v>0</v>
      </c>
      <c r="AA140" s="497">
        <f t="shared" si="193"/>
        <v>0</v>
      </c>
      <c r="AB140" s="497">
        <f t="shared" si="193"/>
        <v>0</v>
      </c>
      <c r="AC140" s="497">
        <f t="shared" si="193"/>
        <v>0</v>
      </c>
      <c r="AD140" s="497">
        <f t="shared" si="193"/>
        <v>0</v>
      </c>
      <c r="AE140" s="497">
        <f t="shared" si="193"/>
        <v>0</v>
      </c>
      <c r="AF140" s="497">
        <f t="shared" si="193"/>
        <v>0</v>
      </c>
      <c r="AG140" s="497">
        <f t="shared" si="193"/>
        <v>0</v>
      </c>
      <c r="AH140" s="497">
        <f t="shared" si="193"/>
        <v>0</v>
      </c>
      <c r="AI140" s="497">
        <f t="shared" si="193"/>
        <v>0</v>
      </c>
      <c r="AJ140" s="497">
        <f t="shared" si="193"/>
        <v>0</v>
      </c>
      <c r="AK140" s="497">
        <f t="shared" si="193"/>
        <v>0</v>
      </c>
      <c r="AL140" s="497">
        <f t="shared" si="193"/>
        <v>0</v>
      </c>
      <c r="AM140" s="497">
        <f t="shared" si="193"/>
        <v>0</v>
      </c>
      <c r="AN140" s="527">
        <f t="shared" si="193"/>
        <v>0</v>
      </c>
      <c r="AO140" s="527">
        <f t="shared" si="193"/>
        <v>0</v>
      </c>
      <c r="AP140" s="527">
        <f t="shared" si="193"/>
        <v>0</v>
      </c>
      <c r="AQ140" s="527">
        <f t="shared" si="193"/>
        <v>0</v>
      </c>
      <c r="AR140" s="527">
        <f t="shared" si="193"/>
        <v>0</v>
      </c>
      <c r="AS140" s="527">
        <f t="shared" si="193"/>
        <v>0</v>
      </c>
      <c r="AT140" s="527">
        <f t="shared" si="193"/>
        <v>0</v>
      </c>
      <c r="AU140" s="527">
        <f t="shared" si="193"/>
        <v>0</v>
      </c>
      <c r="AV140" s="527">
        <f t="shared" si="193"/>
        <v>0</v>
      </c>
      <c r="AW140" s="527">
        <f t="shared" si="193"/>
        <v>0</v>
      </c>
      <c r="AX140" s="527">
        <f t="shared" ref="AX140:BY140" si="194">AX75/AX$82</f>
        <v>0</v>
      </c>
      <c r="AY140" s="527">
        <f t="shared" si="194"/>
        <v>0</v>
      </c>
      <c r="AZ140" s="527">
        <f t="shared" si="194"/>
        <v>0</v>
      </c>
      <c r="BA140" s="527">
        <f t="shared" si="194"/>
        <v>0</v>
      </c>
      <c r="BB140" s="527">
        <f t="shared" si="194"/>
        <v>0</v>
      </c>
      <c r="BC140" s="527">
        <f t="shared" si="194"/>
        <v>0</v>
      </c>
      <c r="BD140" s="527">
        <f t="shared" si="194"/>
        <v>0</v>
      </c>
      <c r="BE140" s="527">
        <f t="shared" si="194"/>
        <v>0</v>
      </c>
      <c r="BF140" s="527">
        <f t="shared" si="194"/>
        <v>0</v>
      </c>
      <c r="BG140" s="527">
        <f t="shared" si="194"/>
        <v>0</v>
      </c>
      <c r="BH140" s="527">
        <f t="shared" si="194"/>
        <v>0</v>
      </c>
      <c r="BI140" s="527">
        <f t="shared" si="194"/>
        <v>0</v>
      </c>
      <c r="BJ140" s="527">
        <f t="shared" si="194"/>
        <v>0</v>
      </c>
      <c r="BK140" s="527">
        <f t="shared" si="194"/>
        <v>0</v>
      </c>
      <c r="BL140" s="527">
        <f t="shared" si="194"/>
        <v>0</v>
      </c>
      <c r="BM140" s="527">
        <f t="shared" si="194"/>
        <v>0</v>
      </c>
      <c r="BN140" s="527">
        <f t="shared" si="194"/>
        <v>0</v>
      </c>
      <c r="BO140" s="527">
        <f t="shared" si="194"/>
        <v>0</v>
      </c>
      <c r="BP140" s="527">
        <f t="shared" si="194"/>
        <v>0</v>
      </c>
      <c r="BQ140" s="527">
        <f t="shared" si="194"/>
        <v>0</v>
      </c>
      <c r="BR140" s="527">
        <f t="shared" si="194"/>
        <v>0</v>
      </c>
      <c r="BS140" s="527">
        <f t="shared" si="194"/>
        <v>0</v>
      </c>
      <c r="BT140" s="527">
        <f t="shared" si="194"/>
        <v>0</v>
      </c>
      <c r="BU140" s="527">
        <f t="shared" si="194"/>
        <v>0</v>
      </c>
      <c r="BV140" s="527">
        <f t="shared" si="194"/>
        <v>0</v>
      </c>
      <c r="BW140" s="527">
        <f t="shared" si="194"/>
        <v>0</v>
      </c>
      <c r="BX140" s="527">
        <f t="shared" si="194"/>
        <v>0</v>
      </c>
      <c r="BY140" s="527">
        <f t="shared" si="194"/>
        <v>0</v>
      </c>
    </row>
    <row r="141" spans="3:80" x14ac:dyDescent="0.3">
      <c r="C141" s="2"/>
      <c r="D141" s="2"/>
      <c r="E141" s="2" t="s">
        <v>370</v>
      </c>
      <c r="F141" s="54"/>
      <c r="G141" s="54"/>
      <c r="H141" s="54"/>
      <c r="I141" s="497">
        <f t="shared" si="191"/>
        <v>0</v>
      </c>
      <c r="J141" s="497">
        <f t="shared" si="191"/>
        <v>0</v>
      </c>
      <c r="K141" s="497">
        <f t="shared" si="192"/>
        <v>0</v>
      </c>
      <c r="L141" s="497">
        <f t="shared" si="192"/>
        <v>0</v>
      </c>
      <c r="M141" s="497">
        <f t="shared" si="192"/>
        <v>0</v>
      </c>
      <c r="N141" s="497">
        <f t="shared" si="192"/>
        <v>0</v>
      </c>
      <c r="O141" s="37"/>
      <c r="P141" s="50">
        <f>IFERROR(((N141/I141)^(1/5))-1,0)</f>
        <v>0</v>
      </c>
      <c r="R141" s="497">
        <f t="shared" ref="R141:AW141" si="195">R76/R$82</f>
        <v>0</v>
      </c>
      <c r="S141" s="497">
        <f t="shared" si="195"/>
        <v>0</v>
      </c>
      <c r="T141" s="497">
        <f t="shared" si="195"/>
        <v>0</v>
      </c>
      <c r="U141" s="497">
        <f t="shared" si="195"/>
        <v>0</v>
      </c>
      <c r="V141" s="497">
        <f t="shared" si="195"/>
        <v>0</v>
      </c>
      <c r="W141" s="497">
        <f t="shared" si="195"/>
        <v>0</v>
      </c>
      <c r="X141" s="497">
        <f t="shared" si="195"/>
        <v>0</v>
      </c>
      <c r="Y141" s="497">
        <f t="shared" si="195"/>
        <v>0</v>
      </c>
      <c r="Z141" s="497">
        <f t="shared" si="195"/>
        <v>0</v>
      </c>
      <c r="AA141" s="497">
        <f t="shared" si="195"/>
        <v>0</v>
      </c>
      <c r="AB141" s="497">
        <f t="shared" si="195"/>
        <v>0</v>
      </c>
      <c r="AC141" s="497">
        <f t="shared" si="195"/>
        <v>0</v>
      </c>
      <c r="AD141" s="497">
        <f t="shared" si="195"/>
        <v>0</v>
      </c>
      <c r="AE141" s="497">
        <f t="shared" si="195"/>
        <v>0</v>
      </c>
      <c r="AF141" s="497">
        <f t="shared" si="195"/>
        <v>0</v>
      </c>
      <c r="AG141" s="497">
        <f t="shared" si="195"/>
        <v>0</v>
      </c>
      <c r="AH141" s="497">
        <f t="shared" si="195"/>
        <v>0</v>
      </c>
      <c r="AI141" s="497">
        <f t="shared" si="195"/>
        <v>0</v>
      </c>
      <c r="AJ141" s="497">
        <f t="shared" si="195"/>
        <v>0</v>
      </c>
      <c r="AK141" s="497">
        <f t="shared" si="195"/>
        <v>0</v>
      </c>
      <c r="AL141" s="497">
        <f t="shared" si="195"/>
        <v>0</v>
      </c>
      <c r="AM141" s="497">
        <f t="shared" si="195"/>
        <v>0</v>
      </c>
      <c r="AN141" s="527">
        <f t="shared" si="195"/>
        <v>0</v>
      </c>
      <c r="AO141" s="527">
        <f t="shared" si="195"/>
        <v>0</v>
      </c>
      <c r="AP141" s="527">
        <f t="shared" si="195"/>
        <v>0</v>
      </c>
      <c r="AQ141" s="527">
        <f t="shared" si="195"/>
        <v>0</v>
      </c>
      <c r="AR141" s="527">
        <f t="shared" si="195"/>
        <v>0</v>
      </c>
      <c r="AS141" s="527">
        <f t="shared" si="195"/>
        <v>0</v>
      </c>
      <c r="AT141" s="527">
        <f t="shared" si="195"/>
        <v>0</v>
      </c>
      <c r="AU141" s="527">
        <f t="shared" si="195"/>
        <v>0</v>
      </c>
      <c r="AV141" s="527">
        <f t="shared" si="195"/>
        <v>0</v>
      </c>
      <c r="AW141" s="527">
        <f t="shared" si="195"/>
        <v>0</v>
      </c>
      <c r="AX141" s="527">
        <f t="shared" ref="AX141:BY141" si="196">AX76/AX$82</f>
        <v>0</v>
      </c>
      <c r="AY141" s="527">
        <f t="shared" si="196"/>
        <v>0</v>
      </c>
      <c r="AZ141" s="527">
        <f t="shared" si="196"/>
        <v>0</v>
      </c>
      <c r="BA141" s="527">
        <f t="shared" si="196"/>
        <v>0</v>
      </c>
      <c r="BB141" s="527">
        <f t="shared" si="196"/>
        <v>0</v>
      </c>
      <c r="BC141" s="527">
        <f t="shared" si="196"/>
        <v>0</v>
      </c>
      <c r="BD141" s="527">
        <f t="shared" si="196"/>
        <v>0</v>
      </c>
      <c r="BE141" s="527">
        <f t="shared" si="196"/>
        <v>0</v>
      </c>
      <c r="BF141" s="527">
        <f t="shared" si="196"/>
        <v>0</v>
      </c>
      <c r="BG141" s="527">
        <f t="shared" si="196"/>
        <v>0</v>
      </c>
      <c r="BH141" s="527">
        <f t="shared" si="196"/>
        <v>0</v>
      </c>
      <c r="BI141" s="527">
        <f t="shared" si="196"/>
        <v>0</v>
      </c>
      <c r="BJ141" s="527">
        <f t="shared" si="196"/>
        <v>0</v>
      </c>
      <c r="BK141" s="527">
        <f t="shared" si="196"/>
        <v>0</v>
      </c>
      <c r="BL141" s="527">
        <f t="shared" si="196"/>
        <v>0</v>
      </c>
      <c r="BM141" s="527">
        <f t="shared" si="196"/>
        <v>0</v>
      </c>
      <c r="BN141" s="527">
        <f t="shared" si="196"/>
        <v>0</v>
      </c>
      <c r="BO141" s="527">
        <f t="shared" si="196"/>
        <v>0</v>
      </c>
      <c r="BP141" s="527">
        <f t="shared" si="196"/>
        <v>0</v>
      </c>
      <c r="BQ141" s="527">
        <f t="shared" si="196"/>
        <v>0</v>
      </c>
      <c r="BR141" s="527">
        <f t="shared" si="196"/>
        <v>0</v>
      </c>
      <c r="BS141" s="527">
        <f t="shared" si="196"/>
        <v>0</v>
      </c>
      <c r="BT141" s="527">
        <f t="shared" si="196"/>
        <v>0</v>
      </c>
      <c r="BU141" s="527">
        <f t="shared" si="196"/>
        <v>0</v>
      </c>
      <c r="BV141" s="527">
        <f t="shared" si="196"/>
        <v>0</v>
      </c>
      <c r="BW141" s="527">
        <f t="shared" si="196"/>
        <v>0</v>
      </c>
      <c r="BX141" s="527">
        <f t="shared" si="196"/>
        <v>0</v>
      </c>
      <c r="BY141" s="527">
        <f t="shared" si="196"/>
        <v>0</v>
      </c>
    </row>
    <row r="142" spans="3:80" x14ac:dyDescent="0.3">
      <c r="C142" s="2"/>
      <c r="D142" s="2"/>
      <c r="E142" s="62" t="s">
        <v>71</v>
      </c>
      <c r="F142" s="63"/>
      <c r="G142" s="63"/>
      <c r="H142" s="63"/>
      <c r="I142" s="502">
        <f t="shared" si="191"/>
        <v>57416.741735231131</v>
      </c>
      <c r="J142" s="502">
        <f t="shared" si="191"/>
        <v>64859.962768177153</v>
      </c>
      <c r="K142" s="502">
        <f t="shared" si="192"/>
        <v>69885.055349409056</v>
      </c>
      <c r="L142" s="502">
        <f t="shared" si="192"/>
        <v>75080.456133877815</v>
      </c>
      <c r="M142" s="502">
        <f t="shared" si="192"/>
        <v>80448.843469002211</v>
      </c>
      <c r="N142" s="501">
        <f t="shared" si="192"/>
        <v>86119.568456712892</v>
      </c>
      <c r="O142" s="57"/>
      <c r="P142" s="55">
        <f>IFERROR(((N142/I142)^(1/5))-1,0)</f>
        <v>8.4457808661991152E-2</v>
      </c>
      <c r="R142" s="501">
        <f t="shared" ref="R142:AW142" si="197">R77/R$82</f>
        <v>5741.0316289602924</v>
      </c>
      <c r="S142" s="502">
        <f t="shared" si="197"/>
        <v>5741.0316289602924</v>
      </c>
      <c r="T142" s="502">
        <f t="shared" si="197"/>
        <v>5741.0316289602924</v>
      </c>
      <c r="U142" s="502">
        <f t="shared" si="197"/>
        <v>5741.0316289602924</v>
      </c>
      <c r="V142" s="502">
        <f t="shared" si="197"/>
        <v>5741.0316289602924</v>
      </c>
      <c r="W142" s="502">
        <f t="shared" si="197"/>
        <v>560.47369821179427</v>
      </c>
      <c r="X142" s="502">
        <f t="shared" si="197"/>
        <v>5932.3884875273143</v>
      </c>
      <c r="Y142" s="502">
        <f t="shared" si="197"/>
        <v>5932.3884875273143</v>
      </c>
      <c r="Z142" s="502">
        <f t="shared" si="197"/>
        <v>5932.3884875273143</v>
      </c>
      <c r="AA142" s="502">
        <f t="shared" si="197"/>
        <v>5932.3884875273143</v>
      </c>
      <c r="AB142" s="502">
        <f t="shared" si="197"/>
        <v>5932.3884875273143</v>
      </c>
      <c r="AC142" s="502">
        <f t="shared" si="197"/>
        <v>5932.3884875273143</v>
      </c>
      <c r="AD142" s="502">
        <f t="shared" si="197"/>
        <v>6145.6747441787802</v>
      </c>
      <c r="AE142" s="502">
        <f t="shared" si="197"/>
        <v>6145.6747441787802</v>
      </c>
      <c r="AF142" s="502">
        <f t="shared" si="197"/>
        <v>6145.6747441787802</v>
      </c>
      <c r="AG142" s="502">
        <f t="shared" si="197"/>
        <v>6145.6747441787802</v>
      </c>
      <c r="AH142" s="502">
        <f t="shared" si="197"/>
        <v>6145.6747441787802</v>
      </c>
      <c r="AI142" s="502">
        <f t="shared" si="197"/>
        <v>840.52542995084946</v>
      </c>
      <c r="AJ142" s="502">
        <f t="shared" si="197"/>
        <v>6386.0260330940546</v>
      </c>
      <c r="AK142" s="502">
        <f t="shared" si="197"/>
        <v>6386.0260330940546</v>
      </c>
      <c r="AL142" s="502">
        <f t="shared" si="197"/>
        <v>6386.0260330940546</v>
      </c>
      <c r="AM142" s="502">
        <f t="shared" si="197"/>
        <v>6386.0260330940546</v>
      </c>
      <c r="AN142" s="534">
        <f t="shared" si="197"/>
        <v>6386.0260330940546</v>
      </c>
      <c r="AO142" s="534">
        <f t="shared" si="197"/>
        <v>6386.0260330940546</v>
      </c>
      <c r="AP142" s="534">
        <f t="shared" si="197"/>
        <v>6562.4577390253762</v>
      </c>
      <c r="AQ142" s="534">
        <f t="shared" si="197"/>
        <v>6562.4577390253762</v>
      </c>
      <c r="AR142" s="534">
        <f t="shared" si="197"/>
        <v>6562.4577390253762</v>
      </c>
      <c r="AS142" s="534">
        <f t="shared" si="197"/>
        <v>6562.4577390253762</v>
      </c>
      <c r="AT142" s="534">
        <f t="shared" si="197"/>
        <v>6562.4577390253762</v>
      </c>
      <c r="AU142" s="534">
        <f t="shared" si="197"/>
        <v>1138.1843829043366</v>
      </c>
      <c r="AV142" s="534">
        <f t="shared" si="197"/>
        <v>6854.9971759744321</v>
      </c>
      <c r="AW142" s="534">
        <f t="shared" si="197"/>
        <v>6854.9971759744321</v>
      </c>
      <c r="AX142" s="534">
        <f t="shared" ref="AX142:BY142" si="198">AX77/AX$82</f>
        <v>6854.9971759744321</v>
      </c>
      <c r="AY142" s="534">
        <f t="shared" si="198"/>
        <v>6854.9971759744321</v>
      </c>
      <c r="AZ142" s="534">
        <f t="shared" si="198"/>
        <v>6854.9971759744321</v>
      </c>
      <c r="BA142" s="534">
        <f t="shared" si="198"/>
        <v>6854.9971759744321</v>
      </c>
      <c r="BB142" s="534">
        <f t="shared" si="198"/>
        <v>6991.4484304123835</v>
      </c>
      <c r="BC142" s="534">
        <f t="shared" si="198"/>
        <v>6991.4484304123835</v>
      </c>
      <c r="BD142" s="534">
        <f t="shared" si="198"/>
        <v>6991.4484304123835</v>
      </c>
      <c r="BE142" s="534">
        <f t="shared" si="198"/>
        <v>6991.4484304123835</v>
      </c>
      <c r="BF142" s="534">
        <f t="shared" si="198"/>
        <v>6991.4484304123835</v>
      </c>
      <c r="BG142" s="534">
        <f t="shared" si="198"/>
        <v>1455.0139635194269</v>
      </c>
      <c r="BH142" s="534">
        <f t="shared" si="198"/>
        <v>7339.4312255701416</v>
      </c>
      <c r="BI142" s="534">
        <f t="shared" si="198"/>
        <v>7339.4312255701416</v>
      </c>
      <c r="BJ142" s="534">
        <f t="shared" si="198"/>
        <v>7339.4312255701416</v>
      </c>
      <c r="BK142" s="534">
        <f t="shared" si="198"/>
        <v>7339.4312255701416</v>
      </c>
      <c r="BL142" s="534">
        <f t="shared" si="198"/>
        <v>7339.4312255701416</v>
      </c>
      <c r="BM142" s="534">
        <f t="shared" si="198"/>
        <v>7339.4312255701416</v>
      </c>
      <c r="BN142" s="534">
        <f t="shared" si="198"/>
        <v>7443.5674187910345</v>
      </c>
      <c r="BO142" s="534">
        <f t="shared" si="198"/>
        <v>7443.5674187910345</v>
      </c>
      <c r="BP142" s="534">
        <f t="shared" si="198"/>
        <v>7443.5674187910345</v>
      </c>
      <c r="BQ142" s="534">
        <f t="shared" si="198"/>
        <v>7443.5674187910345</v>
      </c>
      <c r="BR142" s="534">
        <f t="shared" si="198"/>
        <v>7443.5674187910345</v>
      </c>
      <c r="BS142" s="534">
        <f t="shared" si="198"/>
        <v>1799.0840239307227</v>
      </c>
      <c r="BT142" s="534">
        <f t="shared" si="198"/>
        <v>7850.4412231378346</v>
      </c>
      <c r="BU142" s="534">
        <f t="shared" si="198"/>
        <v>7850.4412231378346</v>
      </c>
      <c r="BV142" s="534">
        <f t="shared" si="198"/>
        <v>7850.4412231378346</v>
      </c>
      <c r="BW142" s="534">
        <f t="shared" si="198"/>
        <v>7850.4412231378346</v>
      </c>
      <c r="BX142" s="534">
        <f t="shared" si="198"/>
        <v>7850.4412231378346</v>
      </c>
      <c r="BY142" s="534">
        <f t="shared" si="198"/>
        <v>7850.4412231378346</v>
      </c>
    </row>
    <row r="143" spans="3:80" x14ac:dyDescent="0.3">
      <c r="AN143" s="537"/>
      <c r="AO143" s="537"/>
      <c r="AP143" s="537"/>
      <c r="AQ143" s="537"/>
      <c r="AR143" s="537"/>
      <c r="AS143" s="537"/>
      <c r="AT143" s="537"/>
      <c r="AU143" s="537"/>
      <c r="AV143" s="537"/>
      <c r="AW143" s="537"/>
      <c r="AX143" s="537"/>
      <c r="AY143" s="537"/>
      <c r="AZ143" s="537"/>
      <c r="BA143" s="537"/>
      <c r="BB143" s="537"/>
      <c r="BC143" s="537"/>
      <c r="BD143" s="537"/>
      <c r="BE143" s="537"/>
      <c r="BF143" s="537"/>
      <c r="BG143" s="537"/>
      <c r="BH143" s="537"/>
      <c r="BI143" s="537"/>
      <c r="BJ143" s="537"/>
      <c r="BK143" s="537"/>
      <c r="BL143" s="537"/>
      <c r="BM143" s="537"/>
      <c r="BN143" s="537"/>
      <c r="BO143" s="537"/>
      <c r="BP143" s="537"/>
      <c r="BQ143" s="537"/>
      <c r="BR143" s="537"/>
      <c r="BS143" s="537"/>
      <c r="BT143" s="537"/>
      <c r="BU143" s="537"/>
      <c r="BV143" s="537"/>
      <c r="BW143" s="537"/>
      <c r="BX143" s="537"/>
      <c r="BY143" s="537"/>
    </row>
    <row r="144" spans="3:80" x14ac:dyDescent="0.3">
      <c r="C144" s="48" t="s">
        <v>37</v>
      </c>
      <c r="D144" s="88"/>
      <c r="E144" s="49" t="s">
        <v>178</v>
      </c>
      <c r="F144" s="49"/>
      <c r="G144" s="49"/>
      <c r="H144" s="49"/>
      <c r="I144" s="49"/>
      <c r="J144" s="49"/>
      <c r="K144" s="49"/>
      <c r="L144" s="49"/>
      <c r="M144" s="49"/>
      <c r="N144" s="49"/>
      <c r="O144" s="49"/>
      <c r="P144" s="48"/>
      <c r="Q144" s="49"/>
      <c r="R144" s="49"/>
      <c r="S144" s="49"/>
      <c r="T144" s="49"/>
      <c r="U144" s="49"/>
      <c r="V144" s="49"/>
      <c r="W144" s="49"/>
      <c r="X144" s="49"/>
      <c r="Y144" s="49"/>
      <c r="Z144" s="49"/>
      <c r="AA144" s="49"/>
      <c r="AB144" s="49"/>
      <c r="AC144" s="49"/>
      <c r="AD144" s="49"/>
      <c r="AE144" s="49"/>
      <c r="AF144" s="49"/>
      <c r="AG144" s="49"/>
      <c r="AH144" s="49"/>
      <c r="AI144" s="49"/>
      <c r="AJ144" s="49"/>
      <c r="AK144" s="49"/>
      <c r="AL144" s="49"/>
      <c r="AM144" s="49"/>
      <c r="AN144" s="526"/>
      <c r="AO144" s="526"/>
      <c r="AP144" s="526"/>
      <c r="AQ144" s="526"/>
      <c r="AR144" s="526"/>
      <c r="AS144" s="526"/>
      <c r="AT144" s="526"/>
      <c r="AU144" s="526"/>
      <c r="AV144" s="526"/>
      <c r="AW144" s="526"/>
      <c r="AX144" s="526"/>
      <c r="AY144" s="526"/>
      <c r="AZ144" s="526"/>
      <c r="BA144" s="526"/>
      <c r="BB144" s="526"/>
      <c r="BC144" s="526"/>
      <c r="BD144" s="526"/>
      <c r="BE144" s="526"/>
      <c r="BF144" s="526"/>
      <c r="BG144" s="526"/>
      <c r="BH144" s="526"/>
      <c r="BI144" s="526"/>
      <c r="BJ144" s="526"/>
      <c r="BK144" s="526"/>
      <c r="BL144" s="526"/>
      <c r="BM144" s="526"/>
      <c r="BN144" s="526"/>
      <c r="BO144" s="526"/>
      <c r="BP144" s="526"/>
      <c r="BQ144" s="526"/>
      <c r="BR144" s="526"/>
      <c r="BS144" s="526"/>
      <c r="BT144" s="526"/>
      <c r="BU144" s="526"/>
      <c r="BV144" s="526"/>
      <c r="BW144" s="526"/>
      <c r="BX144" s="526"/>
      <c r="BY144" s="526"/>
    </row>
    <row r="145" spans="3:77" x14ac:dyDescent="0.3">
      <c r="C145" s="2"/>
      <c r="D145" s="2"/>
      <c r="E145" s="2" t="s">
        <v>133</v>
      </c>
      <c r="F145" s="54"/>
      <c r="G145" s="54"/>
      <c r="H145" s="54"/>
      <c r="I145" s="497">
        <f t="shared" ref="I145:N147" si="199">IFERROR(I22/I$19,0)</f>
        <v>755.46747219638178</v>
      </c>
      <c r="J145" s="497">
        <f t="shared" si="199"/>
        <v>783.63451335353034</v>
      </c>
      <c r="K145" s="497">
        <f t="shared" si="199"/>
        <v>812.06984044483875</v>
      </c>
      <c r="L145" s="497">
        <f t="shared" si="199"/>
        <v>840.54822649718392</v>
      </c>
      <c r="M145" s="497">
        <f t="shared" si="199"/>
        <v>868.88295606342194</v>
      </c>
      <c r="N145" s="497">
        <f t="shared" si="199"/>
        <v>898.19214833587057</v>
      </c>
      <c r="O145" s="37"/>
      <c r="P145" s="35"/>
      <c r="R145" s="497">
        <f t="shared" ref="R145:AW145" si="200">IFERROR(R22/R$19,0)</f>
        <v>783.63451335353022</v>
      </c>
      <c r="S145" s="497">
        <f t="shared" si="200"/>
        <v>783.63451335353022</v>
      </c>
      <c r="T145" s="497">
        <f t="shared" si="200"/>
        <v>783.63451335353022</v>
      </c>
      <c r="U145" s="497">
        <f t="shared" si="200"/>
        <v>783.63451335353022</v>
      </c>
      <c r="V145" s="497">
        <f t="shared" si="200"/>
        <v>783.63451335353022</v>
      </c>
      <c r="W145" s="497">
        <f t="shared" si="200"/>
        <v>783.63451335353022</v>
      </c>
      <c r="X145" s="497">
        <f t="shared" si="200"/>
        <v>783.63451335353022</v>
      </c>
      <c r="Y145" s="497">
        <f t="shared" si="200"/>
        <v>783.63451335353022</v>
      </c>
      <c r="Z145" s="497">
        <f t="shared" si="200"/>
        <v>783.63451335353022</v>
      </c>
      <c r="AA145" s="497">
        <f t="shared" si="200"/>
        <v>783.63451335353022</v>
      </c>
      <c r="AB145" s="497">
        <f t="shared" si="200"/>
        <v>783.63451335353022</v>
      </c>
      <c r="AC145" s="497">
        <f t="shared" si="200"/>
        <v>783.63451335353022</v>
      </c>
      <c r="AD145" s="497">
        <f t="shared" si="200"/>
        <v>812.06984044483886</v>
      </c>
      <c r="AE145" s="497">
        <f t="shared" si="200"/>
        <v>812.06984044483886</v>
      </c>
      <c r="AF145" s="497">
        <f t="shared" si="200"/>
        <v>812.06984044483886</v>
      </c>
      <c r="AG145" s="497">
        <f t="shared" si="200"/>
        <v>812.06984044483886</v>
      </c>
      <c r="AH145" s="497">
        <f t="shared" si="200"/>
        <v>812.06984044483886</v>
      </c>
      <c r="AI145" s="497">
        <f t="shared" si="200"/>
        <v>812.06984044483886</v>
      </c>
      <c r="AJ145" s="497">
        <f t="shared" si="200"/>
        <v>812.06984044483863</v>
      </c>
      <c r="AK145" s="497">
        <f t="shared" si="200"/>
        <v>812.06984044483863</v>
      </c>
      <c r="AL145" s="497">
        <f t="shared" si="200"/>
        <v>812.06984044483863</v>
      </c>
      <c r="AM145" s="497">
        <f t="shared" si="200"/>
        <v>812.06984044483863</v>
      </c>
      <c r="AN145" s="527">
        <f t="shared" si="200"/>
        <v>812.06984044483863</v>
      </c>
      <c r="AO145" s="527">
        <f t="shared" si="200"/>
        <v>812.06984044483863</v>
      </c>
      <c r="AP145" s="527">
        <f t="shared" si="200"/>
        <v>840.54822649718369</v>
      </c>
      <c r="AQ145" s="527">
        <f t="shared" si="200"/>
        <v>840.54822649718369</v>
      </c>
      <c r="AR145" s="527">
        <f t="shared" si="200"/>
        <v>840.54822649718369</v>
      </c>
      <c r="AS145" s="527">
        <f t="shared" si="200"/>
        <v>840.54822649718369</v>
      </c>
      <c r="AT145" s="527">
        <f t="shared" si="200"/>
        <v>840.54822649718369</v>
      </c>
      <c r="AU145" s="527">
        <f t="shared" si="200"/>
        <v>840.54822649718369</v>
      </c>
      <c r="AV145" s="527">
        <f t="shared" si="200"/>
        <v>840.54822649718369</v>
      </c>
      <c r="AW145" s="527">
        <f t="shared" si="200"/>
        <v>840.54822649718369</v>
      </c>
      <c r="AX145" s="527">
        <f t="shared" ref="AX145:BY145" si="201">IFERROR(AX22/AX$19,0)</f>
        <v>840.54822649718369</v>
      </c>
      <c r="AY145" s="527">
        <f t="shared" si="201"/>
        <v>840.54822649718369</v>
      </c>
      <c r="AZ145" s="527">
        <f t="shared" si="201"/>
        <v>840.54822649718369</v>
      </c>
      <c r="BA145" s="527">
        <f t="shared" si="201"/>
        <v>840.54822649718369</v>
      </c>
      <c r="BB145" s="527">
        <f t="shared" si="201"/>
        <v>868.88295606342217</v>
      </c>
      <c r="BC145" s="527">
        <f t="shared" si="201"/>
        <v>868.88295606342217</v>
      </c>
      <c r="BD145" s="527">
        <f t="shared" si="201"/>
        <v>868.88295606342217</v>
      </c>
      <c r="BE145" s="527">
        <f t="shared" si="201"/>
        <v>868.88295606342217</v>
      </c>
      <c r="BF145" s="527">
        <f t="shared" si="201"/>
        <v>868.88295606342217</v>
      </c>
      <c r="BG145" s="527">
        <f t="shared" si="201"/>
        <v>868.88295606342217</v>
      </c>
      <c r="BH145" s="527">
        <f t="shared" si="201"/>
        <v>868.88295606342228</v>
      </c>
      <c r="BI145" s="527">
        <f t="shared" si="201"/>
        <v>868.88295606342228</v>
      </c>
      <c r="BJ145" s="527">
        <f t="shared" si="201"/>
        <v>868.88295606342228</v>
      </c>
      <c r="BK145" s="527">
        <f t="shared" si="201"/>
        <v>868.88295606342228</v>
      </c>
      <c r="BL145" s="527">
        <f t="shared" si="201"/>
        <v>868.88295606342228</v>
      </c>
      <c r="BM145" s="527">
        <f t="shared" si="201"/>
        <v>868.88295606342228</v>
      </c>
      <c r="BN145" s="527">
        <f t="shared" si="201"/>
        <v>898.19214833587068</v>
      </c>
      <c r="BO145" s="527">
        <f t="shared" si="201"/>
        <v>898.19214833587068</v>
      </c>
      <c r="BP145" s="527">
        <f t="shared" si="201"/>
        <v>898.19214833587068</v>
      </c>
      <c r="BQ145" s="527">
        <f t="shared" si="201"/>
        <v>898.19214833587068</v>
      </c>
      <c r="BR145" s="527">
        <f t="shared" si="201"/>
        <v>898.19214833587068</v>
      </c>
      <c r="BS145" s="527">
        <f t="shared" si="201"/>
        <v>898.19214833587068</v>
      </c>
      <c r="BT145" s="527">
        <f t="shared" si="201"/>
        <v>898.19214833587068</v>
      </c>
      <c r="BU145" s="527">
        <f t="shared" si="201"/>
        <v>898.19214833587068</v>
      </c>
      <c r="BV145" s="527">
        <f t="shared" si="201"/>
        <v>898.19214833587068</v>
      </c>
      <c r="BW145" s="527">
        <f t="shared" si="201"/>
        <v>898.19214833587068</v>
      </c>
      <c r="BX145" s="527">
        <f t="shared" si="201"/>
        <v>898.19214833587068</v>
      </c>
      <c r="BY145" s="527">
        <f t="shared" si="201"/>
        <v>898.19214833587068</v>
      </c>
    </row>
    <row r="146" spans="3:77" x14ac:dyDescent="0.3">
      <c r="C146" s="2"/>
      <c r="D146" s="2"/>
      <c r="E146" s="2" t="s">
        <v>134</v>
      </c>
      <c r="F146" s="54"/>
      <c r="G146" s="54"/>
      <c r="H146" s="54"/>
      <c r="I146" s="497">
        <f t="shared" si="199"/>
        <v>-217.619882624817</v>
      </c>
      <c r="J146" s="497">
        <f t="shared" si="199"/>
        <v>-219.47228027731336</v>
      </c>
      <c r="K146" s="497">
        <f t="shared" si="199"/>
        <v>-221.36172588285964</v>
      </c>
      <c r="L146" s="497">
        <f t="shared" si="199"/>
        <v>-223.2889604005168</v>
      </c>
      <c r="M146" s="497">
        <f t="shared" si="199"/>
        <v>-225.25473960852702</v>
      </c>
      <c r="N146" s="497">
        <f t="shared" si="199"/>
        <v>-227.25983440069757</v>
      </c>
      <c r="O146" s="37"/>
      <c r="P146" s="35"/>
      <c r="R146" s="497">
        <f t="shared" ref="R146:AW146" si="202">IFERROR(R23/R$19,0)</f>
        <v>-219.47228027731336</v>
      </c>
      <c r="S146" s="497">
        <f t="shared" si="202"/>
        <v>-219.47228027731336</v>
      </c>
      <c r="T146" s="497">
        <f t="shared" si="202"/>
        <v>-219.47228027731336</v>
      </c>
      <c r="U146" s="497">
        <f t="shared" si="202"/>
        <v>-219.47228027731336</v>
      </c>
      <c r="V146" s="497">
        <f t="shared" si="202"/>
        <v>-219.47228027731336</v>
      </c>
      <c r="W146" s="497">
        <f t="shared" si="202"/>
        <v>-219.47228027731336</v>
      </c>
      <c r="X146" s="497">
        <f t="shared" si="202"/>
        <v>-219.4722802773133</v>
      </c>
      <c r="Y146" s="497">
        <f t="shared" si="202"/>
        <v>-219.4722802773133</v>
      </c>
      <c r="Z146" s="497">
        <f t="shared" si="202"/>
        <v>-219.4722802773133</v>
      </c>
      <c r="AA146" s="497">
        <f t="shared" si="202"/>
        <v>-219.4722802773133</v>
      </c>
      <c r="AB146" s="497">
        <f t="shared" si="202"/>
        <v>-219.4722802773133</v>
      </c>
      <c r="AC146" s="497">
        <f t="shared" si="202"/>
        <v>-219.4722802773133</v>
      </c>
      <c r="AD146" s="497">
        <f t="shared" si="202"/>
        <v>-221.36172588285967</v>
      </c>
      <c r="AE146" s="497">
        <f t="shared" si="202"/>
        <v>-221.36172588285967</v>
      </c>
      <c r="AF146" s="497">
        <f t="shared" si="202"/>
        <v>-221.36172588285967</v>
      </c>
      <c r="AG146" s="497">
        <f t="shared" si="202"/>
        <v>-221.36172588285967</v>
      </c>
      <c r="AH146" s="497">
        <f t="shared" si="202"/>
        <v>-221.36172588285967</v>
      </c>
      <c r="AI146" s="497">
        <f t="shared" si="202"/>
        <v>-221.36172588285967</v>
      </c>
      <c r="AJ146" s="497">
        <f t="shared" si="202"/>
        <v>-221.36172588285962</v>
      </c>
      <c r="AK146" s="497">
        <f t="shared" si="202"/>
        <v>-221.36172588285962</v>
      </c>
      <c r="AL146" s="497">
        <f t="shared" si="202"/>
        <v>-221.36172588285962</v>
      </c>
      <c r="AM146" s="497">
        <f t="shared" si="202"/>
        <v>-221.36172588285962</v>
      </c>
      <c r="AN146" s="527">
        <f t="shared" si="202"/>
        <v>-221.36172588285962</v>
      </c>
      <c r="AO146" s="527">
        <f t="shared" si="202"/>
        <v>-221.36172588285962</v>
      </c>
      <c r="AP146" s="527">
        <f t="shared" si="202"/>
        <v>-223.28896040051671</v>
      </c>
      <c r="AQ146" s="527">
        <f t="shared" si="202"/>
        <v>-223.28896040051671</v>
      </c>
      <c r="AR146" s="527">
        <f t="shared" si="202"/>
        <v>-223.28896040051671</v>
      </c>
      <c r="AS146" s="527">
        <f t="shared" si="202"/>
        <v>-223.28896040051671</v>
      </c>
      <c r="AT146" s="527">
        <f t="shared" si="202"/>
        <v>-223.28896040051671</v>
      </c>
      <c r="AU146" s="527">
        <f t="shared" si="202"/>
        <v>-223.28896040051671</v>
      </c>
      <c r="AV146" s="527">
        <f t="shared" si="202"/>
        <v>-223.28896040051674</v>
      </c>
      <c r="AW146" s="527">
        <f t="shared" si="202"/>
        <v>-223.28896040051674</v>
      </c>
      <c r="AX146" s="527">
        <f t="shared" ref="AX146:BY146" si="203">IFERROR(AX23/AX$19,0)</f>
        <v>-223.28896040051674</v>
      </c>
      <c r="AY146" s="527">
        <f t="shared" si="203"/>
        <v>-223.28896040051674</v>
      </c>
      <c r="AZ146" s="527">
        <f t="shared" si="203"/>
        <v>-223.28896040051674</v>
      </c>
      <c r="BA146" s="527">
        <f t="shared" si="203"/>
        <v>-223.28896040051674</v>
      </c>
      <c r="BB146" s="527">
        <f t="shared" si="203"/>
        <v>-225.25473960852699</v>
      </c>
      <c r="BC146" s="527">
        <f t="shared" si="203"/>
        <v>-225.25473960852699</v>
      </c>
      <c r="BD146" s="527">
        <f t="shared" si="203"/>
        <v>-225.25473960852699</v>
      </c>
      <c r="BE146" s="527">
        <f t="shared" si="203"/>
        <v>-225.25473960852699</v>
      </c>
      <c r="BF146" s="527">
        <f t="shared" si="203"/>
        <v>-225.25473960852699</v>
      </c>
      <c r="BG146" s="527">
        <f t="shared" si="203"/>
        <v>-225.25473960852699</v>
      </c>
      <c r="BH146" s="527">
        <f t="shared" si="203"/>
        <v>-225.25473960852705</v>
      </c>
      <c r="BI146" s="527">
        <f t="shared" si="203"/>
        <v>-225.25473960852705</v>
      </c>
      <c r="BJ146" s="527">
        <f t="shared" si="203"/>
        <v>-225.25473960852705</v>
      </c>
      <c r="BK146" s="527">
        <f t="shared" si="203"/>
        <v>-225.25473960852705</v>
      </c>
      <c r="BL146" s="527">
        <f t="shared" si="203"/>
        <v>-225.25473960852705</v>
      </c>
      <c r="BM146" s="527">
        <f t="shared" si="203"/>
        <v>-225.25473960852705</v>
      </c>
      <c r="BN146" s="527">
        <f t="shared" si="203"/>
        <v>-227.25983440069757</v>
      </c>
      <c r="BO146" s="527">
        <f t="shared" si="203"/>
        <v>-227.25983440069757</v>
      </c>
      <c r="BP146" s="527">
        <f t="shared" si="203"/>
        <v>-227.25983440069757</v>
      </c>
      <c r="BQ146" s="527">
        <f t="shared" si="203"/>
        <v>-227.25983440069757</v>
      </c>
      <c r="BR146" s="527">
        <f t="shared" si="203"/>
        <v>-227.25983440069757</v>
      </c>
      <c r="BS146" s="527">
        <f t="shared" si="203"/>
        <v>-227.25983440069757</v>
      </c>
      <c r="BT146" s="527">
        <f t="shared" si="203"/>
        <v>-227.25983440069754</v>
      </c>
      <c r="BU146" s="527">
        <f t="shared" si="203"/>
        <v>-227.25983440069754</v>
      </c>
      <c r="BV146" s="527">
        <f t="shared" si="203"/>
        <v>-227.25983440069754</v>
      </c>
      <c r="BW146" s="527">
        <f t="shared" si="203"/>
        <v>-227.25983440069754</v>
      </c>
      <c r="BX146" s="527">
        <f t="shared" si="203"/>
        <v>-227.25983440069754</v>
      </c>
      <c r="BY146" s="527">
        <f t="shared" si="203"/>
        <v>-227.25983440069754</v>
      </c>
    </row>
    <row r="147" spans="3:77" x14ac:dyDescent="0.3">
      <c r="C147" s="2"/>
      <c r="D147" s="2"/>
      <c r="E147" s="2" t="s">
        <v>55</v>
      </c>
      <c r="F147" s="54"/>
      <c r="G147" s="54"/>
      <c r="H147" s="54"/>
      <c r="I147" s="497">
        <f t="shared" si="199"/>
        <v>-42.58508306636945</v>
      </c>
      <c r="J147" s="497">
        <f t="shared" si="199"/>
        <v>-43.436784727696839</v>
      </c>
      <c r="K147" s="497">
        <f t="shared" si="199"/>
        <v>-44.305520422250794</v>
      </c>
      <c r="L147" s="497">
        <f t="shared" si="199"/>
        <v>-45.191630830695814</v>
      </c>
      <c r="M147" s="497">
        <f t="shared" si="199"/>
        <v>-46.095463447309712</v>
      </c>
      <c r="N147" s="497">
        <f t="shared" si="199"/>
        <v>-47.017372716255913</v>
      </c>
      <c r="O147" s="37"/>
      <c r="P147" s="35"/>
      <c r="R147" s="497">
        <f t="shared" ref="R147:AW147" si="204">IFERROR(R24/R$19,0)</f>
        <v>-43.436784727696839</v>
      </c>
      <c r="S147" s="497">
        <f t="shared" si="204"/>
        <v>-43.436784727696839</v>
      </c>
      <c r="T147" s="497">
        <f t="shared" si="204"/>
        <v>-43.436784727696839</v>
      </c>
      <c r="U147" s="497">
        <f t="shared" si="204"/>
        <v>-43.436784727696839</v>
      </c>
      <c r="V147" s="497">
        <f t="shared" si="204"/>
        <v>-43.436784727696839</v>
      </c>
      <c r="W147" s="497">
        <f t="shared" si="204"/>
        <v>-43.436784727696839</v>
      </c>
      <c r="X147" s="497">
        <f t="shared" si="204"/>
        <v>-43.436784727696825</v>
      </c>
      <c r="Y147" s="497">
        <f t="shared" si="204"/>
        <v>-43.436784727696825</v>
      </c>
      <c r="Z147" s="497">
        <f t="shared" si="204"/>
        <v>-43.436784727696825</v>
      </c>
      <c r="AA147" s="497">
        <f t="shared" si="204"/>
        <v>-43.436784727696825</v>
      </c>
      <c r="AB147" s="497">
        <f t="shared" si="204"/>
        <v>-43.436784727696825</v>
      </c>
      <c r="AC147" s="497">
        <f t="shared" si="204"/>
        <v>-43.436784727696825</v>
      </c>
      <c r="AD147" s="497">
        <f t="shared" si="204"/>
        <v>-44.30552042225078</v>
      </c>
      <c r="AE147" s="497">
        <f t="shared" si="204"/>
        <v>-44.30552042225078</v>
      </c>
      <c r="AF147" s="497">
        <f t="shared" si="204"/>
        <v>-44.30552042225078</v>
      </c>
      <c r="AG147" s="497">
        <f t="shared" si="204"/>
        <v>-44.30552042225078</v>
      </c>
      <c r="AH147" s="497">
        <f t="shared" si="204"/>
        <v>-44.30552042225078</v>
      </c>
      <c r="AI147" s="497">
        <f t="shared" si="204"/>
        <v>-44.30552042225078</v>
      </c>
      <c r="AJ147" s="497">
        <f t="shared" si="204"/>
        <v>-44.305520422250773</v>
      </c>
      <c r="AK147" s="497">
        <f t="shared" si="204"/>
        <v>-44.305520422250773</v>
      </c>
      <c r="AL147" s="497">
        <f t="shared" si="204"/>
        <v>-44.305520422250773</v>
      </c>
      <c r="AM147" s="497">
        <f t="shared" si="204"/>
        <v>-44.305520422250773</v>
      </c>
      <c r="AN147" s="527">
        <f t="shared" si="204"/>
        <v>-44.305520422250773</v>
      </c>
      <c r="AO147" s="527">
        <f t="shared" si="204"/>
        <v>-44.305520422250773</v>
      </c>
      <c r="AP147" s="527">
        <f t="shared" si="204"/>
        <v>-45.1916308306958</v>
      </c>
      <c r="AQ147" s="527">
        <f t="shared" si="204"/>
        <v>-45.1916308306958</v>
      </c>
      <c r="AR147" s="527">
        <f t="shared" si="204"/>
        <v>-45.1916308306958</v>
      </c>
      <c r="AS147" s="527">
        <f t="shared" si="204"/>
        <v>-45.1916308306958</v>
      </c>
      <c r="AT147" s="527">
        <f t="shared" si="204"/>
        <v>-45.1916308306958</v>
      </c>
      <c r="AU147" s="527">
        <f t="shared" si="204"/>
        <v>-45.1916308306958</v>
      </c>
      <c r="AV147" s="527">
        <f t="shared" si="204"/>
        <v>-45.191630830695793</v>
      </c>
      <c r="AW147" s="527">
        <f t="shared" si="204"/>
        <v>-45.191630830695793</v>
      </c>
      <c r="AX147" s="527">
        <f t="shared" ref="AX147:BY147" si="205">IFERROR(AX24/AX$19,0)</f>
        <v>-45.191630830695793</v>
      </c>
      <c r="AY147" s="527">
        <f t="shared" si="205"/>
        <v>-45.191630830695793</v>
      </c>
      <c r="AZ147" s="527">
        <f t="shared" si="205"/>
        <v>-45.191630830695793</v>
      </c>
      <c r="BA147" s="527">
        <f t="shared" si="205"/>
        <v>-45.191630830695793</v>
      </c>
      <c r="BB147" s="527">
        <f t="shared" si="205"/>
        <v>-46.095463447309712</v>
      </c>
      <c r="BC147" s="527">
        <f t="shared" si="205"/>
        <v>-46.095463447309712</v>
      </c>
      <c r="BD147" s="527">
        <f t="shared" si="205"/>
        <v>-46.095463447309712</v>
      </c>
      <c r="BE147" s="527">
        <f t="shared" si="205"/>
        <v>-46.095463447309712</v>
      </c>
      <c r="BF147" s="527">
        <f t="shared" si="205"/>
        <v>-46.095463447309712</v>
      </c>
      <c r="BG147" s="527">
        <f t="shared" si="205"/>
        <v>-46.095463447309712</v>
      </c>
      <c r="BH147" s="527">
        <f t="shared" si="205"/>
        <v>-46.095463447309712</v>
      </c>
      <c r="BI147" s="527">
        <f t="shared" si="205"/>
        <v>-46.095463447309712</v>
      </c>
      <c r="BJ147" s="527">
        <f t="shared" si="205"/>
        <v>-46.095463447309712</v>
      </c>
      <c r="BK147" s="527">
        <f t="shared" si="205"/>
        <v>-46.095463447309712</v>
      </c>
      <c r="BL147" s="527">
        <f t="shared" si="205"/>
        <v>-46.095463447309712</v>
      </c>
      <c r="BM147" s="527">
        <f t="shared" si="205"/>
        <v>-46.095463447309712</v>
      </c>
      <c r="BN147" s="527">
        <f t="shared" si="205"/>
        <v>-47.017372716255899</v>
      </c>
      <c r="BO147" s="527">
        <f t="shared" si="205"/>
        <v>-47.017372716255899</v>
      </c>
      <c r="BP147" s="527">
        <f t="shared" si="205"/>
        <v>-47.017372716255899</v>
      </c>
      <c r="BQ147" s="527">
        <f t="shared" si="205"/>
        <v>-47.017372716255899</v>
      </c>
      <c r="BR147" s="527">
        <f t="shared" si="205"/>
        <v>-47.017372716255899</v>
      </c>
      <c r="BS147" s="527">
        <f t="shared" si="205"/>
        <v>-47.017372716255899</v>
      </c>
      <c r="BT147" s="527">
        <f t="shared" si="205"/>
        <v>-47.017372716255899</v>
      </c>
      <c r="BU147" s="527">
        <f t="shared" si="205"/>
        <v>-47.017372716255899</v>
      </c>
      <c r="BV147" s="527">
        <f t="shared" si="205"/>
        <v>-47.017372716255899</v>
      </c>
      <c r="BW147" s="527">
        <f t="shared" si="205"/>
        <v>-47.017372716255899</v>
      </c>
      <c r="BX147" s="527">
        <f t="shared" si="205"/>
        <v>-47.017372716255899</v>
      </c>
      <c r="BY147" s="527">
        <f t="shared" si="205"/>
        <v>-47.017372716255899</v>
      </c>
    </row>
    <row r="148" spans="3:77" x14ac:dyDescent="0.3">
      <c r="C148" s="2"/>
      <c r="D148" s="2"/>
      <c r="E148" s="2" t="s">
        <v>56</v>
      </c>
      <c r="F148" s="54"/>
      <c r="G148" s="54"/>
      <c r="H148" s="54"/>
      <c r="I148" s="497">
        <f t="shared" ref="I148:N148" si="206">IFERROR(I26/I$19,0)</f>
        <v>-223.18031977828855</v>
      </c>
      <c r="J148" s="497">
        <f t="shared" si="206"/>
        <v>-233.15122157717238</v>
      </c>
      <c r="K148" s="497">
        <f t="shared" si="206"/>
        <v>-243.21709439869954</v>
      </c>
      <c r="L148" s="497">
        <f t="shared" si="206"/>
        <v>-253.29820973965417</v>
      </c>
      <c r="M148" s="497">
        <f t="shared" si="206"/>
        <v>-263.32847186149547</v>
      </c>
      <c r="N148" s="497">
        <f t="shared" si="206"/>
        <v>-273.70368579762533</v>
      </c>
      <c r="O148" s="37"/>
      <c r="P148" s="35"/>
      <c r="R148" s="497">
        <f t="shared" ref="R148:AW148" si="207">IFERROR(R26/R$19,0)</f>
        <v>-233.15122157717235</v>
      </c>
      <c r="S148" s="497">
        <f t="shared" si="207"/>
        <v>-233.15122157717235</v>
      </c>
      <c r="T148" s="497">
        <f t="shared" si="207"/>
        <v>-233.15122157717235</v>
      </c>
      <c r="U148" s="497">
        <f t="shared" si="207"/>
        <v>-233.15122157717235</v>
      </c>
      <c r="V148" s="497">
        <f t="shared" si="207"/>
        <v>-233.15122157717235</v>
      </c>
      <c r="W148" s="497">
        <f t="shared" si="207"/>
        <v>-233.15122157717235</v>
      </c>
      <c r="X148" s="497">
        <f t="shared" si="207"/>
        <v>-233.15122157717232</v>
      </c>
      <c r="Y148" s="497">
        <f t="shared" si="207"/>
        <v>-233.15122157717232</v>
      </c>
      <c r="Z148" s="497">
        <f t="shared" si="207"/>
        <v>-233.15122157717232</v>
      </c>
      <c r="AA148" s="497">
        <f t="shared" si="207"/>
        <v>-233.15122157717232</v>
      </c>
      <c r="AB148" s="497">
        <f t="shared" si="207"/>
        <v>-233.15122157717232</v>
      </c>
      <c r="AC148" s="497">
        <f t="shared" si="207"/>
        <v>-233.15122157717232</v>
      </c>
      <c r="AD148" s="497">
        <f t="shared" si="207"/>
        <v>-243.21709439869946</v>
      </c>
      <c r="AE148" s="497">
        <f t="shared" si="207"/>
        <v>-243.21709439869946</v>
      </c>
      <c r="AF148" s="497">
        <f t="shared" si="207"/>
        <v>-243.21709439869946</v>
      </c>
      <c r="AG148" s="497">
        <f t="shared" si="207"/>
        <v>-243.21709439869946</v>
      </c>
      <c r="AH148" s="497">
        <f t="shared" si="207"/>
        <v>-243.21709439869946</v>
      </c>
      <c r="AI148" s="497">
        <f t="shared" si="207"/>
        <v>-243.21709439869946</v>
      </c>
      <c r="AJ148" s="497">
        <f t="shared" si="207"/>
        <v>-243.21709439869943</v>
      </c>
      <c r="AK148" s="497">
        <f t="shared" si="207"/>
        <v>-243.21709439869943</v>
      </c>
      <c r="AL148" s="497">
        <f t="shared" si="207"/>
        <v>-243.21709439869943</v>
      </c>
      <c r="AM148" s="497">
        <f t="shared" si="207"/>
        <v>-243.21709439869943</v>
      </c>
      <c r="AN148" s="527">
        <f t="shared" si="207"/>
        <v>-243.21709439869943</v>
      </c>
      <c r="AO148" s="527">
        <f t="shared" si="207"/>
        <v>-243.21709439869943</v>
      </c>
      <c r="AP148" s="527">
        <f t="shared" si="207"/>
        <v>-253.29820973965417</v>
      </c>
      <c r="AQ148" s="527">
        <f t="shared" si="207"/>
        <v>-253.29820973965417</v>
      </c>
      <c r="AR148" s="527">
        <f t="shared" si="207"/>
        <v>-253.29820973965417</v>
      </c>
      <c r="AS148" s="527">
        <f t="shared" si="207"/>
        <v>-253.29820973965417</v>
      </c>
      <c r="AT148" s="527">
        <f t="shared" si="207"/>
        <v>-253.29820973965417</v>
      </c>
      <c r="AU148" s="527">
        <f t="shared" si="207"/>
        <v>-253.29820973965417</v>
      </c>
      <c r="AV148" s="527">
        <f t="shared" si="207"/>
        <v>-253.29820973965417</v>
      </c>
      <c r="AW148" s="527">
        <f t="shared" si="207"/>
        <v>-253.29820973965417</v>
      </c>
      <c r="AX148" s="527">
        <f t="shared" ref="AX148:BY148" si="208">IFERROR(AX26/AX$19,0)</f>
        <v>-253.29820973965417</v>
      </c>
      <c r="AY148" s="527">
        <f t="shared" si="208"/>
        <v>-253.29820973965417</v>
      </c>
      <c r="AZ148" s="527">
        <f t="shared" si="208"/>
        <v>-253.29820973965417</v>
      </c>
      <c r="BA148" s="527">
        <f t="shared" si="208"/>
        <v>-253.29820973965417</v>
      </c>
      <c r="BB148" s="527">
        <f t="shared" si="208"/>
        <v>-263.32847186149553</v>
      </c>
      <c r="BC148" s="527">
        <f t="shared" si="208"/>
        <v>-263.32847186149553</v>
      </c>
      <c r="BD148" s="527">
        <f t="shared" si="208"/>
        <v>-263.32847186149553</v>
      </c>
      <c r="BE148" s="527">
        <f t="shared" si="208"/>
        <v>-263.32847186149553</v>
      </c>
      <c r="BF148" s="527">
        <f t="shared" si="208"/>
        <v>-263.32847186149553</v>
      </c>
      <c r="BG148" s="527">
        <f t="shared" si="208"/>
        <v>-263.32847186149553</v>
      </c>
      <c r="BH148" s="527">
        <f t="shared" si="208"/>
        <v>-263.32847186149553</v>
      </c>
      <c r="BI148" s="527">
        <f t="shared" si="208"/>
        <v>-263.32847186149553</v>
      </c>
      <c r="BJ148" s="527">
        <f t="shared" si="208"/>
        <v>-263.32847186149553</v>
      </c>
      <c r="BK148" s="527">
        <f t="shared" si="208"/>
        <v>-263.32847186149553</v>
      </c>
      <c r="BL148" s="527">
        <f t="shared" si="208"/>
        <v>-263.32847186149553</v>
      </c>
      <c r="BM148" s="527">
        <f t="shared" si="208"/>
        <v>-263.32847186149553</v>
      </c>
      <c r="BN148" s="527">
        <f t="shared" si="208"/>
        <v>-273.70368579762527</v>
      </c>
      <c r="BO148" s="527">
        <f t="shared" si="208"/>
        <v>-273.70368579762527</v>
      </c>
      <c r="BP148" s="527">
        <f t="shared" si="208"/>
        <v>-273.70368579762527</v>
      </c>
      <c r="BQ148" s="527">
        <f t="shared" si="208"/>
        <v>-273.70368579762527</v>
      </c>
      <c r="BR148" s="527">
        <f t="shared" si="208"/>
        <v>-273.70368579762527</v>
      </c>
      <c r="BS148" s="527">
        <f t="shared" si="208"/>
        <v>-273.70368579762527</v>
      </c>
      <c r="BT148" s="527">
        <f t="shared" si="208"/>
        <v>-273.70368579762527</v>
      </c>
      <c r="BU148" s="527">
        <f t="shared" si="208"/>
        <v>-273.70368579762527</v>
      </c>
      <c r="BV148" s="527">
        <f t="shared" si="208"/>
        <v>-273.70368579762527</v>
      </c>
      <c r="BW148" s="527">
        <f t="shared" si="208"/>
        <v>-273.70368579762527</v>
      </c>
      <c r="BX148" s="527">
        <f t="shared" si="208"/>
        <v>-273.70368579762527</v>
      </c>
      <c r="BY148" s="527">
        <f t="shared" si="208"/>
        <v>-273.70368579762527</v>
      </c>
    </row>
    <row r="149" spans="3:77" x14ac:dyDescent="0.3">
      <c r="C149" s="2"/>
      <c r="D149" s="2"/>
      <c r="E149" s="22"/>
      <c r="F149" s="68"/>
      <c r="G149" s="68"/>
      <c r="H149" s="68"/>
      <c r="I149" s="57"/>
      <c r="J149" s="57"/>
      <c r="K149" s="57"/>
      <c r="L149" s="57"/>
      <c r="M149" s="57"/>
      <c r="N149" s="57"/>
      <c r="O149" s="57"/>
      <c r="P149" s="69"/>
      <c r="R149" s="57"/>
      <c r="S149" s="57"/>
      <c r="T149" s="57"/>
      <c r="U149" s="57"/>
      <c r="V149" s="57"/>
      <c r="W149" s="57"/>
      <c r="X149" s="57"/>
      <c r="Y149" s="57"/>
      <c r="Z149" s="57"/>
      <c r="AA149" s="57"/>
      <c r="AB149" s="57"/>
      <c r="AC149" s="57"/>
      <c r="AD149" s="57"/>
      <c r="AE149" s="57"/>
      <c r="AF149" s="57"/>
      <c r="AG149" s="57"/>
      <c r="AH149" s="57"/>
      <c r="AI149" s="57"/>
      <c r="AJ149" s="57"/>
      <c r="AK149" s="57"/>
      <c r="AL149" s="57"/>
      <c r="AM149" s="57"/>
      <c r="AN149" s="536"/>
      <c r="AO149" s="536"/>
      <c r="AP149" s="536"/>
      <c r="AQ149" s="536"/>
      <c r="AR149" s="536"/>
      <c r="AS149" s="536"/>
      <c r="AT149" s="536"/>
      <c r="AU149" s="536"/>
      <c r="AV149" s="536"/>
      <c r="AW149" s="536"/>
      <c r="AX149" s="536"/>
      <c r="AY149" s="536"/>
      <c r="AZ149" s="536"/>
      <c r="BA149" s="536"/>
      <c r="BB149" s="536"/>
      <c r="BC149" s="536"/>
      <c r="BD149" s="536"/>
      <c r="BE149" s="536"/>
      <c r="BF149" s="536"/>
      <c r="BG149" s="536"/>
      <c r="BH149" s="536"/>
      <c r="BI149" s="536"/>
      <c r="BJ149" s="536"/>
      <c r="BK149" s="536"/>
      <c r="BL149" s="536"/>
      <c r="BM149" s="536"/>
      <c r="BN149" s="536"/>
      <c r="BO149" s="536"/>
      <c r="BP149" s="536"/>
      <c r="BQ149" s="536"/>
      <c r="BR149" s="536"/>
      <c r="BS149" s="536"/>
      <c r="BT149" s="536"/>
      <c r="BU149" s="536"/>
      <c r="BV149" s="536"/>
      <c r="BW149" s="536"/>
      <c r="BX149" s="536"/>
      <c r="BY149" s="536"/>
    </row>
    <row r="150" spans="3:77" x14ac:dyDescent="0.3">
      <c r="C150" s="2"/>
      <c r="D150" s="2"/>
      <c r="E150" s="22"/>
      <c r="F150" s="68"/>
      <c r="G150" s="68"/>
      <c r="H150" s="68"/>
      <c r="I150" s="57"/>
      <c r="J150" s="57"/>
      <c r="K150" s="57"/>
      <c r="L150" s="57"/>
      <c r="M150" s="57"/>
      <c r="N150" s="57"/>
      <c r="O150" s="57"/>
      <c r="P150" s="69"/>
      <c r="R150" s="57"/>
      <c r="S150" s="57"/>
      <c r="T150" s="57"/>
      <c r="U150" s="57"/>
      <c r="V150" s="57"/>
      <c r="W150" s="57"/>
      <c r="X150" s="57"/>
      <c r="Y150" s="57"/>
      <c r="Z150" s="57"/>
      <c r="AA150" s="57"/>
      <c r="AB150" s="57"/>
      <c r="AC150" s="57"/>
      <c r="AD150" s="57"/>
      <c r="AE150" s="57"/>
      <c r="AF150" s="57"/>
      <c r="AG150" s="57"/>
      <c r="AH150" s="57"/>
      <c r="AI150" s="57"/>
      <c r="AJ150" s="57"/>
      <c r="AK150" s="57"/>
      <c r="AL150" s="57"/>
      <c r="AM150" s="57"/>
      <c r="AN150" s="536"/>
      <c r="AO150" s="536"/>
      <c r="AP150" s="536"/>
      <c r="AQ150" s="536"/>
      <c r="AR150" s="536"/>
      <c r="AS150" s="536"/>
      <c r="AT150" s="536"/>
      <c r="AU150" s="536"/>
      <c r="AV150" s="536"/>
      <c r="AW150" s="536"/>
      <c r="AX150" s="536"/>
      <c r="AY150" s="536"/>
      <c r="AZ150" s="536"/>
      <c r="BA150" s="536"/>
      <c r="BB150" s="536"/>
      <c r="BC150" s="536"/>
      <c r="BD150" s="536"/>
      <c r="BE150" s="536"/>
      <c r="BF150" s="536"/>
      <c r="BG150" s="536"/>
      <c r="BH150" s="536"/>
      <c r="BI150" s="536"/>
      <c r="BJ150" s="536"/>
      <c r="BK150" s="536"/>
      <c r="BL150" s="536"/>
      <c r="BM150" s="536"/>
      <c r="BN150" s="536"/>
      <c r="BO150" s="536"/>
      <c r="BP150" s="536"/>
      <c r="BQ150" s="536"/>
      <c r="BR150" s="536"/>
      <c r="BS150" s="536"/>
      <c r="BT150" s="536"/>
      <c r="BU150" s="536"/>
      <c r="BV150" s="536"/>
      <c r="BW150" s="536"/>
      <c r="BX150" s="536"/>
      <c r="BY150" s="536"/>
    </row>
    <row r="151" spans="3:77" x14ac:dyDescent="0.3">
      <c r="C151" s="48" t="s">
        <v>37</v>
      </c>
      <c r="D151" s="88"/>
      <c r="E151" s="49" t="s">
        <v>72</v>
      </c>
      <c r="F151" s="49"/>
      <c r="G151" s="49"/>
      <c r="H151" s="49"/>
      <c r="I151" s="49"/>
      <c r="J151" s="49"/>
      <c r="K151" s="49"/>
      <c r="L151" s="49"/>
      <c r="M151" s="49"/>
      <c r="N151" s="49"/>
      <c r="O151" s="49"/>
      <c r="P151" s="48"/>
      <c r="Q151" s="49"/>
      <c r="R151" s="49"/>
      <c r="S151" s="49"/>
      <c r="T151" s="49"/>
      <c r="U151" s="49"/>
      <c r="V151" s="49"/>
      <c r="W151" s="49"/>
      <c r="X151" s="49"/>
      <c r="Y151" s="49"/>
      <c r="Z151" s="49"/>
      <c r="AA151" s="49"/>
      <c r="AB151" s="49"/>
      <c r="AC151" s="49"/>
      <c r="AD151" s="49"/>
      <c r="AE151" s="49"/>
      <c r="AF151" s="49"/>
      <c r="AG151" s="49"/>
      <c r="AH151" s="49"/>
      <c r="AI151" s="49"/>
      <c r="AJ151" s="49"/>
      <c r="AK151" s="49"/>
      <c r="AL151" s="49"/>
      <c r="AM151" s="49"/>
      <c r="AN151" s="526"/>
      <c r="AO151" s="526"/>
      <c r="AP151" s="526"/>
      <c r="AQ151" s="526"/>
      <c r="AR151" s="526"/>
      <c r="AS151" s="526"/>
      <c r="AT151" s="526"/>
      <c r="AU151" s="526"/>
      <c r="AV151" s="526"/>
      <c r="AW151" s="526"/>
      <c r="AX151" s="526"/>
      <c r="AY151" s="526"/>
      <c r="AZ151" s="526"/>
      <c r="BA151" s="526"/>
      <c r="BB151" s="526"/>
      <c r="BC151" s="526"/>
      <c r="BD151" s="526"/>
      <c r="BE151" s="526"/>
      <c r="BF151" s="526"/>
      <c r="BG151" s="526"/>
      <c r="BH151" s="526"/>
      <c r="BI151" s="526"/>
      <c r="BJ151" s="526"/>
      <c r="BK151" s="526"/>
      <c r="BL151" s="526"/>
      <c r="BM151" s="526"/>
      <c r="BN151" s="526"/>
      <c r="BO151" s="526"/>
      <c r="BP151" s="526"/>
      <c r="BQ151" s="526"/>
      <c r="BR151" s="526"/>
      <c r="BS151" s="526"/>
      <c r="BT151" s="526"/>
      <c r="BU151" s="526"/>
      <c r="BV151" s="526"/>
      <c r="BW151" s="526"/>
      <c r="BX151" s="526"/>
      <c r="BY151" s="526"/>
    </row>
    <row r="152" spans="3:77" x14ac:dyDescent="0.3">
      <c r="C152" s="2"/>
      <c r="D152" s="2"/>
      <c r="E152" s="2"/>
      <c r="F152" s="2"/>
      <c r="G152" s="2"/>
      <c r="H152" s="2"/>
      <c r="I152" s="2"/>
      <c r="J152" s="2"/>
      <c r="K152" s="2"/>
      <c r="L152" s="2"/>
      <c r="M152" s="2"/>
      <c r="N152" s="2"/>
      <c r="O152" s="2"/>
      <c r="P152" s="10"/>
      <c r="Q152" s="2"/>
      <c r="R152" s="2"/>
      <c r="S152" s="2"/>
      <c r="T152" s="2"/>
      <c r="U152" s="2"/>
      <c r="V152" s="2"/>
      <c r="W152" s="2"/>
      <c r="X152" s="2"/>
      <c r="Y152" s="2"/>
      <c r="Z152" s="2"/>
      <c r="AA152" s="2"/>
      <c r="AB152" s="2"/>
      <c r="AC152" s="2"/>
      <c r="AD152" s="2"/>
      <c r="AE152" s="2"/>
      <c r="AF152" s="2"/>
      <c r="AG152" s="2"/>
      <c r="AH152" s="2"/>
      <c r="AI152" s="2"/>
      <c r="AJ152" s="2"/>
      <c r="AK152" s="2"/>
      <c r="AL152" s="2"/>
      <c r="AM152" s="2"/>
      <c r="AN152" s="525"/>
      <c r="AO152" s="525"/>
      <c r="AP152" s="525"/>
      <c r="AQ152" s="525"/>
      <c r="AR152" s="525"/>
      <c r="AS152" s="525"/>
      <c r="AT152" s="525"/>
      <c r="AU152" s="525"/>
      <c r="AV152" s="525"/>
      <c r="AW152" s="525"/>
      <c r="AX152" s="525"/>
      <c r="AY152" s="525"/>
      <c r="AZ152" s="525"/>
      <c r="BA152" s="525"/>
      <c r="BB152" s="525"/>
      <c r="BC152" s="525"/>
      <c r="BD152" s="525"/>
      <c r="BE152" s="525"/>
      <c r="BF152" s="525"/>
      <c r="BG152" s="525"/>
      <c r="BH152" s="525"/>
      <c r="BI152" s="525"/>
      <c r="BJ152" s="525"/>
      <c r="BK152" s="525"/>
      <c r="BL152" s="525"/>
      <c r="BM152" s="525"/>
      <c r="BN152" s="525"/>
      <c r="BO152" s="525"/>
      <c r="BP152" s="525"/>
      <c r="BQ152" s="525"/>
      <c r="BR152" s="525"/>
      <c r="BS152" s="525"/>
      <c r="BT152" s="525"/>
      <c r="BU152" s="525"/>
      <c r="BV152" s="525"/>
      <c r="BW152" s="525"/>
      <c r="BX152" s="525"/>
      <c r="BY152" s="525"/>
    </row>
    <row r="153" spans="3:77" x14ac:dyDescent="0.3">
      <c r="C153" s="2"/>
      <c r="D153" s="2"/>
      <c r="E153" s="2"/>
      <c r="F153" s="2"/>
      <c r="G153" s="2"/>
      <c r="H153" s="2"/>
      <c r="I153" s="2"/>
      <c r="J153" s="2"/>
      <c r="K153" s="2"/>
      <c r="L153" s="2"/>
      <c r="M153" s="2"/>
      <c r="N153" s="2"/>
      <c r="O153" s="2"/>
      <c r="P153" s="10"/>
      <c r="Q153" s="2"/>
      <c r="R153" s="72" t="s">
        <v>74</v>
      </c>
      <c r="S153" s="72"/>
      <c r="T153" s="72"/>
      <c r="U153" s="72"/>
      <c r="V153" s="72"/>
      <c r="W153" s="72"/>
      <c r="X153" s="2"/>
      <c r="Y153" s="72" t="s">
        <v>75</v>
      </c>
      <c r="Z153" s="72"/>
      <c r="AA153" s="72"/>
      <c r="AB153" s="72"/>
      <c r="AC153" s="72"/>
      <c r="AD153" s="2"/>
      <c r="AE153" s="72" t="s">
        <v>76</v>
      </c>
      <c r="AF153" s="72"/>
      <c r="AG153" s="2"/>
      <c r="AH153" s="2"/>
      <c r="AI153" s="2"/>
      <c r="AJ153" s="2"/>
      <c r="AK153" s="2"/>
      <c r="AL153" s="2"/>
      <c r="AM153" s="2"/>
      <c r="AN153" s="525"/>
      <c r="AO153" s="525"/>
      <c r="AP153" s="525"/>
      <c r="AQ153" s="525"/>
      <c r="AR153" s="525"/>
      <c r="AS153" s="525"/>
      <c r="AT153" s="525"/>
      <c r="AU153" s="525"/>
      <c r="AV153" s="525"/>
      <c r="AW153" s="525"/>
      <c r="AX153" s="525"/>
      <c r="AY153" s="525"/>
      <c r="AZ153" s="525"/>
      <c r="BA153" s="525"/>
      <c r="BB153" s="525"/>
      <c r="BC153" s="525"/>
      <c r="BD153" s="525"/>
      <c r="BE153" s="525"/>
      <c r="BF153" s="525"/>
      <c r="BG153" s="525"/>
      <c r="BH153" s="525"/>
      <c r="BI153" s="525"/>
      <c r="BJ153" s="525"/>
      <c r="BK153" s="525"/>
      <c r="BL153" s="525"/>
      <c r="BM153" s="525"/>
      <c r="BN153" s="525"/>
      <c r="BO153" s="525"/>
      <c r="BP153" s="525"/>
      <c r="BQ153" s="525"/>
      <c r="BR153" s="525"/>
      <c r="BS153" s="525"/>
      <c r="BT153" s="525"/>
      <c r="BU153" s="525"/>
      <c r="BV153" s="525"/>
      <c r="BW153" s="525"/>
      <c r="BX153" s="525"/>
      <c r="BY153" s="525"/>
    </row>
    <row r="154" spans="3:77" x14ac:dyDescent="0.3">
      <c r="C154" s="2"/>
      <c r="D154" s="2"/>
      <c r="E154" s="14"/>
      <c r="F154" s="14"/>
      <c r="G154" s="14"/>
      <c r="H154" s="14"/>
      <c r="I154" s="14"/>
      <c r="J154" s="14"/>
      <c r="K154" s="14"/>
      <c r="L154" s="14"/>
      <c r="M154" s="14"/>
      <c r="N154" s="14"/>
      <c r="O154" s="14"/>
      <c r="P154" s="24" t="s">
        <v>275</v>
      </c>
      <c r="Q154" s="24" t="str">
        <f>"Share of "&amp;B3</f>
        <v>Share of Portfolio</v>
      </c>
      <c r="R154" s="15" t="s">
        <v>77</v>
      </c>
      <c r="S154" s="15" t="s">
        <v>78</v>
      </c>
      <c r="T154" s="15" t="s">
        <v>79</v>
      </c>
      <c r="U154" s="15" t="s">
        <v>80</v>
      </c>
      <c r="V154" s="15" t="s">
        <v>81</v>
      </c>
      <c r="W154" s="15" t="s">
        <v>82</v>
      </c>
      <c r="X154" s="2"/>
      <c r="Y154" s="73">
        <v>1</v>
      </c>
      <c r="Z154" s="73">
        <v>2</v>
      </c>
      <c r="AA154" s="73">
        <v>3</v>
      </c>
      <c r="AB154" s="73">
        <v>4</v>
      </c>
      <c r="AC154" s="73">
        <v>5</v>
      </c>
      <c r="AD154" s="2"/>
      <c r="AE154" s="15" t="s">
        <v>83</v>
      </c>
      <c r="AF154" s="15" t="s">
        <v>84</v>
      </c>
      <c r="AG154" s="2"/>
      <c r="AH154" s="74" t="s">
        <v>85</v>
      </c>
      <c r="AI154" s="74" t="s">
        <v>86</v>
      </c>
      <c r="AJ154" s="74" t="s">
        <v>87</v>
      </c>
      <c r="AK154" s="74" t="s">
        <v>88</v>
      </c>
      <c r="AL154" s="74" t="s">
        <v>89</v>
      </c>
      <c r="AN154" s="537"/>
      <c r="AO154" s="537"/>
      <c r="AP154" s="537"/>
      <c r="AQ154" s="537"/>
      <c r="AR154" s="537"/>
      <c r="AS154" s="537"/>
      <c r="AT154" s="537"/>
      <c r="AU154" s="537"/>
      <c r="AV154" s="537"/>
      <c r="AW154" s="537"/>
      <c r="AX154" s="537"/>
      <c r="AY154" s="537"/>
      <c r="AZ154" s="537"/>
      <c r="BA154" s="537"/>
      <c r="BB154" s="537"/>
      <c r="BC154" s="537"/>
      <c r="BD154" s="537"/>
      <c r="BE154" s="537"/>
      <c r="BF154" s="537"/>
      <c r="BG154" s="537"/>
      <c r="BH154" s="537"/>
      <c r="BI154" s="537"/>
      <c r="BJ154" s="537"/>
      <c r="BK154" s="537"/>
      <c r="BL154" s="537"/>
      <c r="BM154" s="537"/>
      <c r="BN154" s="537"/>
      <c r="BO154" s="537"/>
      <c r="BP154" s="537"/>
      <c r="BQ154" s="537"/>
      <c r="BR154" s="537"/>
      <c r="BS154" s="537"/>
      <c r="BT154" s="537"/>
      <c r="BU154" s="537"/>
      <c r="BV154" s="537"/>
      <c r="BW154" s="537"/>
      <c r="BX154" s="537"/>
      <c r="BY154" s="537"/>
    </row>
    <row r="155" spans="3:77" x14ac:dyDescent="0.3">
      <c r="C155" s="2"/>
      <c r="D155" s="2"/>
      <c r="E155" s="34" t="str">
        <f>"FY"&amp;VALUE(MID(P155,3,2))&amp;" Tranche"</f>
        <v>FY27 Tranche</v>
      </c>
      <c r="F155" s="2"/>
      <c r="G155" s="2"/>
      <c r="H155" s="2"/>
      <c r="I155" s="2"/>
      <c r="J155" s="2"/>
      <c r="K155" s="2"/>
      <c r="L155" s="2"/>
      <c r="M155" s="2"/>
      <c r="N155" s="2"/>
      <c r="O155" s="2"/>
      <c r="P155" s="368" t="str">
        <f t="shared" ref="P155:P160" si="209">IFERROR(INDEX($R$2:$BY$2,MATCH($T155,$R$4:$BY$4,0)),0)</f>
        <v>FY27E</v>
      </c>
      <c r="Q155" s="169">
        <f>$I$9/INDEX(Portfolio_Categorisation!$E$19:$E$19,MATCH($B$3,Portfolio_Categorisation!$C$19:$C$19,0))</f>
        <v>0.12662337662337661</v>
      </c>
      <c r="R155" s="508">
        <f>IFERROR(ROUND(INDEX('Detailed Assumptions'!$F$94:$J$94,MATCH($B$3,'Detailed Assumptions'!$D$94:$D$94,0),MATCH(P155,'Detailed Assumptions'!$F$93:$J$93,0))*Q155,0),0)</f>
        <v>5</v>
      </c>
      <c r="S155" s="19">
        <f>IFERROR('Detailed Assumptions'!$E$88*INDEX(Inflation_Curves!$R$6:$BY$6,MATCH($T155,Inflation_Curves!$R$4:$BY$4,0)),0)</f>
        <v>40408.351859838287</v>
      </c>
      <c r="T155" s="99">
        <f>'Detailed Assumptions'!$E$87</f>
        <v>46446</v>
      </c>
      <c r="U155" s="509">
        <f>'Detailed Assumptions'!E86</f>
        <v>1</v>
      </c>
      <c r="V155" s="41">
        <f t="shared" ref="V155:V160" si="210">EOMONTH(T155,U155)</f>
        <v>46477</v>
      </c>
      <c r="W155" s="497">
        <f t="shared" ref="W155:W160" si="211">S155/U155</f>
        <v>40408.351859838287</v>
      </c>
      <c r="X155" s="2"/>
      <c r="Y155" s="101">
        <f>IFERROR(('Detailed Assumptions'!$E$85*R155*S155)/R170,0)</f>
        <v>0.20834725546686378</v>
      </c>
      <c r="Z155" s="101" cm="1">
        <f t="array" ref="Z155">'Detailed Assumptions'!$E$6*INDEX('Detailed Assumptions'!$E$91:$J$91,0,MATCH(Z$154,'Detailed Assumptions'!$E$90:$J$90,0))</f>
        <v>0.04</v>
      </c>
      <c r="AA155" s="101" cm="1">
        <f t="array" ref="AA155">'Detailed Assumptions'!$E$6*INDEX('Detailed Assumptions'!$E$91:$J$91,0,MATCH(AA$154,'Detailed Assumptions'!$E$90:$J$90,0))</f>
        <v>0.04</v>
      </c>
      <c r="AB155" s="101" cm="1">
        <f t="array" ref="AB155">'Detailed Assumptions'!$E$6*INDEX('Detailed Assumptions'!$E$91:$J$91,0,MATCH(AB$154,'Detailed Assumptions'!$E$90:$J$90,0))</f>
        <v>0.04</v>
      </c>
      <c r="AC155" s="101" cm="1">
        <f t="array" ref="AC155">'Detailed Assumptions'!$E$6*INDEX('Detailed Assumptions'!$E$91:$J$91,0,MATCH(AC$154,'Detailed Assumptions'!$E$90:$J$90,0))</f>
        <v>0.04</v>
      </c>
      <c r="AD155" s="2"/>
      <c r="AE155" s="101">
        <f>'Detailed Assumptions'!$E$101</f>
        <v>0.55000000000000004</v>
      </c>
      <c r="AF155" s="510">
        <f t="shared" ref="AF155:AF160" si="212">1-AE155</f>
        <v>0.44999999999999996</v>
      </c>
      <c r="AG155" s="2"/>
      <c r="AH155" s="102">
        <f t="shared" ref="AH155:AH160" si="213">EOMONTH(V155,12)</f>
        <v>46843</v>
      </c>
      <c r="AI155" s="102">
        <f t="shared" ref="AI155:AL160" si="214">EOMONTH(AH155,12)</f>
        <v>47208</v>
      </c>
      <c r="AJ155" s="102">
        <f t="shared" si="214"/>
        <v>47573</v>
      </c>
      <c r="AK155" s="102">
        <f t="shared" si="214"/>
        <v>47938</v>
      </c>
      <c r="AL155" s="102">
        <f t="shared" si="214"/>
        <v>48304</v>
      </c>
      <c r="AN155" s="537"/>
      <c r="AO155" s="537"/>
      <c r="AP155" s="537"/>
      <c r="AQ155" s="537"/>
      <c r="AR155" s="537"/>
      <c r="AS155" s="537"/>
      <c r="AT155" s="537"/>
      <c r="AU155" s="537"/>
      <c r="AV155" s="537"/>
      <c r="AW155" s="537"/>
      <c r="AX155" s="537"/>
      <c r="AY155" s="537"/>
      <c r="AZ155" s="537"/>
      <c r="BA155" s="537"/>
      <c r="BB155" s="537"/>
      <c r="BC155" s="537"/>
      <c r="BD155" s="537"/>
      <c r="BE155" s="537"/>
      <c r="BF155" s="537"/>
      <c r="BG155" s="537"/>
      <c r="BH155" s="537"/>
      <c r="BI155" s="537"/>
      <c r="BJ155" s="537"/>
      <c r="BK155" s="537"/>
      <c r="BL155" s="537"/>
      <c r="BM155" s="537"/>
      <c r="BN155" s="537"/>
      <c r="BO155" s="537"/>
      <c r="BP155" s="537"/>
      <c r="BQ155" s="537"/>
      <c r="BR155" s="537"/>
      <c r="BS155" s="537"/>
      <c r="BT155" s="537"/>
      <c r="BU155" s="537"/>
      <c r="BV155" s="537"/>
      <c r="BW155" s="537"/>
      <c r="BX155" s="537"/>
      <c r="BY155" s="537"/>
    </row>
    <row r="156" spans="3:77" x14ac:dyDescent="0.3">
      <c r="C156" s="2"/>
      <c r="D156" s="2"/>
      <c r="E156" s="34" t="str">
        <f>"FY"&amp;VALUE(MID(P156,3,2))&amp;" Tranche"</f>
        <v>FY28 Tranche</v>
      </c>
      <c r="F156" s="2"/>
      <c r="G156" s="2"/>
      <c r="H156" s="2"/>
      <c r="I156" s="2"/>
      <c r="J156" s="2"/>
      <c r="K156" s="2"/>
      <c r="L156" s="2"/>
      <c r="M156" s="2"/>
      <c r="N156" s="2"/>
      <c r="O156" s="2"/>
      <c r="P156" s="368" t="str">
        <f t="shared" si="209"/>
        <v>FY28E</v>
      </c>
      <c r="Q156" s="169">
        <f>$I$9/INDEX(Portfolio_Categorisation!$E$19:$E$19,MATCH($B$3,Portfolio_Categorisation!$C$19:$C$19,0))</f>
        <v>0.12662337662337661</v>
      </c>
      <c r="R156" s="508">
        <f>IFERROR(ROUND(INDEX('Detailed Assumptions'!$F$94:$J$94,MATCH($B$3,'Detailed Assumptions'!$D$94:$D$94,0),MATCH(P156,'Detailed Assumptions'!$F$93:$J$93,0))*Q156,0),0)</f>
        <v>5</v>
      </c>
      <c r="S156" s="19">
        <f>IFERROR('Detailed Assumptions'!$E$88*INDEX(Inflation_Curves!$R$6:$BY$6,MATCH($T156,Inflation_Curves!$R$4:$BY$4,0)),0)</f>
        <v>41380.164650977858</v>
      </c>
      <c r="T156" s="207">
        <f>EOMONTH(T155,12)</f>
        <v>46812</v>
      </c>
      <c r="U156" s="511">
        <f>U$155</f>
        <v>1</v>
      </c>
      <c r="V156" s="41">
        <f t="shared" si="210"/>
        <v>46843</v>
      </c>
      <c r="W156" s="497">
        <f t="shared" si="211"/>
        <v>41380.164650977858</v>
      </c>
      <c r="X156" s="2"/>
      <c r="Y156" s="101">
        <f>IFERROR(('Detailed Assumptions'!$E$85*R156*S156)/R171,0)</f>
        <v>0.20533263296564494</v>
      </c>
      <c r="Z156" s="510">
        <f t="shared" ref="Z156:AC160" si="215">Z$155</f>
        <v>0.04</v>
      </c>
      <c r="AA156" s="510">
        <f t="shared" si="215"/>
        <v>0.04</v>
      </c>
      <c r="AB156" s="510">
        <f t="shared" si="215"/>
        <v>0.04</v>
      </c>
      <c r="AC156" s="510">
        <f t="shared" si="215"/>
        <v>0.04</v>
      </c>
      <c r="AD156" s="2"/>
      <c r="AE156" s="510">
        <f>AE$155</f>
        <v>0.55000000000000004</v>
      </c>
      <c r="AF156" s="510">
        <f t="shared" si="212"/>
        <v>0.44999999999999996</v>
      </c>
      <c r="AG156" s="2"/>
      <c r="AH156" s="102">
        <f t="shared" si="213"/>
        <v>47208</v>
      </c>
      <c r="AI156" s="102">
        <f t="shared" si="214"/>
        <v>47573</v>
      </c>
      <c r="AJ156" s="102">
        <f t="shared" si="214"/>
        <v>47938</v>
      </c>
      <c r="AK156" s="102">
        <f t="shared" si="214"/>
        <v>48304</v>
      </c>
      <c r="AL156" s="102">
        <f t="shared" si="214"/>
        <v>48669</v>
      </c>
      <c r="AN156" s="537"/>
      <c r="AO156" s="537"/>
      <c r="AP156" s="537"/>
      <c r="AQ156" s="537"/>
      <c r="AR156" s="537"/>
      <c r="AS156" s="537"/>
      <c r="AT156" s="537"/>
      <c r="AU156" s="537"/>
      <c r="AV156" s="537"/>
      <c r="AW156" s="537"/>
      <c r="AX156" s="537"/>
      <c r="AY156" s="537"/>
      <c r="AZ156" s="537"/>
      <c r="BA156" s="537"/>
      <c r="BB156" s="537"/>
      <c r="BC156" s="537"/>
      <c r="BD156" s="537"/>
      <c r="BE156" s="537"/>
      <c r="BF156" s="537"/>
      <c r="BG156" s="537"/>
      <c r="BH156" s="537"/>
      <c r="BI156" s="537"/>
      <c r="BJ156" s="537"/>
      <c r="BK156" s="537"/>
      <c r="BL156" s="537"/>
      <c r="BM156" s="537"/>
      <c r="BN156" s="537"/>
      <c r="BO156" s="537"/>
      <c r="BP156" s="537"/>
      <c r="BQ156" s="537"/>
      <c r="BR156" s="537"/>
      <c r="BS156" s="537"/>
      <c r="BT156" s="537"/>
      <c r="BU156" s="537"/>
      <c r="BV156" s="537"/>
      <c r="BW156" s="537"/>
      <c r="BX156" s="537"/>
      <c r="BY156" s="537"/>
    </row>
    <row r="157" spans="3:77" x14ac:dyDescent="0.3">
      <c r="C157" s="2"/>
      <c r="D157" s="2"/>
      <c r="E157" s="34" t="str">
        <f>"FY"&amp;VALUE(MID(P157,3,2))&amp;" Tranche"</f>
        <v>FY29 Tranche</v>
      </c>
      <c r="F157" s="2"/>
      <c r="G157" s="2"/>
      <c r="H157" s="2"/>
      <c r="I157" s="2"/>
      <c r="J157" s="2"/>
      <c r="K157" s="2"/>
      <c r="L157" s="2"/>
      <c r="M157" s="2"/>
      <c r="N157" s="2"/>
      <c r="O157" s="2"/>
      <c r="P157" s="368" t="str">
        <f t="shared" si="209"/>
        <v>FY29E</v>
      </c>
      <c r="Q157" s="169">
        <f>$I$9/INDEX(Portfolio_Categorisation!$E$19:$E$19,MATCH($B$3,Portfolio_Categorisation!$C$19:$C$19,0))</f>
        <v>0.12662337662337661</v>
      </c>
      <c r="R157" s="508">
        <f>IFERROR(ROUND(INDEX('Detailed Assumptions'!$F$94:$J$94,MATCH($B$3,'Detailed Assumptions'!$D$94:$D$94,0),MATCH(P157,'Detailed Assumptions'!$F$93:$J$93,0))*Q157,0),0)</f>
        <v>5</v>
      </c>
      <c r="S157" s="19">
        <f>IFERROR('Detailed Assumptions'!$E$88*INDEX(Inflation_Curves!$R$6:$BY$6,MATCH($T157,Inflation_Curves!$R$4:$BY$4,0)),0)</f>
        <v>42309.332177744109</v>
      </c>
      <c r="T157" s="207">
        <f>EOMONTH(T156,12)</f>
        <v>47177</v>
      </c>
      <c r="U157" s="511">
        <f>U$155</f>
        <v>1</v>
      </c>
      <c r="V157" s="41">
        <f t="shared" si="210"/>
        <v>47208</v>
      </c>
      <c r="W157" s="497">
        <f t="shared" si="211"/>
        <v>42309.332177744109</v>
      </c>
      <c r="X157" s="2"/>
      <c r="Y157" s="101">
        <f>IFERROR(('Detailed Assumptions'!$E$85*R157*S157)/R172,0)</f>
        <v>0.20238890755262168</v>
      </c>
      <c r="Z157" s="510">
        <f t="shared" si="215"/>
        <v>0.04</v>
      </c>
      <c r="AA157" s="510">
        <f t="shared" si="215"/>
        <v>0.04</v>
      </c>
      <c r="AB157" s="510">
        <f t="shared" si="215"/>
        <v>0.04</v>
      </c>
      <c r="AC157" s="510">
        <f t="shared" si="215"/>
        <v>0.04</v>
      </c>
      <c r="AD157" s="2"/>
      <c r="AE157" s="510">
        <f>AE$155</f>
        <v>0.55000000000000004</v>
      </c>
      <c r="AF157" s="510">
        <f t="shared" si="212"/>
        <v>0.44999999999999996</v>
      </c>
      <c r="AG157" s="2"/>
      <c r="AH157" s="102">
        <f t="shared" si="213"/>
        <v>47573</v>
      </c>
      <c r="AI157" s="102">
        <f t="shared" si="214"/>
        <v>47938</v>
      </c>
      <c r="AJ157" s="102">
        <f t="shared" si="214"/>
        <v>48304</v>
      </c>
      <c r="AK157" s="102">
        <f t="shared" si="214"/>
        <v>48669</v>
      </c>
      <c r="AL157" s="102">
        <f t="shared" si="214"/>
        <v>49034</v>
      </c>
      <c r="AN157" s="537"/>
      <c r="AO157" s="537"/>
      <c r="AP157" s="537"/>
      <c r="AQ157" s="537"/>
      <c r="AR157" s="537"/>
      <c r="AS157" s="537"/>
      <c r="AT157" s="537"/>
      <c r="AU157" s="537"/>
      <c r="AV157" s="537"/>
      <c r="AW157" s="537"/>
      <c r="AX157" s="537"/>
      <c r="AY157" s="537"/>
      <c r="AZ157" s="537"/>
      <c r="BA157" s="537"/>
      <c r="BB157" s="537"/>
      <c r="BC157" s="537"/>
      <c r="BD157" s="537"/>
      <c r="BE157" s="537"/>
      <c r="BF157" s="537"/>
      <c r="BG157" s="537"/>
      <c r="BH157" s="537"/>
      <c r="BI157" s="537"/>
      <c r="BJ157" s="537"/>
      <c r="BK157" s="537"/>
      <c r="BL157" s="537"/>
      <c r="BM157" s="537"/>
      <c r="BN157" s="537"/>
      <c r="BO157" s="537"/>
      <c r="BP157" s="537"/>
      <c r="BQ157" s="537"/>
      <c r="BR157" s="537"/>
      <c r="BS157" s="537"/>
      <c r="BT157" s="537"/>
      <c r="BU157" s="537"/>
      <c r="BV157" s="537"/>
      <c r="BW157" s="537"/>
      <c r="BX157" s="537"/>
      <c r="BY157" s="537"/>
    </row>
    <row r="158" spans="3:77" x14ac:dyDescent="0.3">
      <c r="C158" s="2"/>
      <c r="D158" s="2"/>
      <c r="E158" s="34" t="str">
        <f>"FY"&amp;VALUE(MID(P158,3,2))&amp;" Tranche"</f>
        <v>FY30 Tranche</v>
      </c>
      <c r="F158" s="2"/>
      <c r="G158" s="2"/>
      <c r="H158" s="2"/>
      <c r="I158" s="2"/>
      <c r="J158" s="2"/>
      <c r="K158" s="2"/>
      <c r="L158" s="2"/>
      <c r="M158" s="2"/>
      <c r="N158" s="2"/>
      <c r="O158" s="2"/>
      <c r="P158" s="368" t="str">
        <f t="shared" si="209"/>
        <v>FY30E</v>
      </c>
      <c r="Q158" s="169">
        <f>$I$9/INDEX(Portfolio_Categorisation!$E$19:$E$19,MATCH($B$3,Portfolio_Categorisation!$C$19:$C$19,0))</f>
        <v>0.12662337662337661</v>
      </c>
      <c r="R158" s="508">
        <f>IFERROR(ROUND(INDEX('Detailed Assumptions'!$F$94:$J$94,MATCH($B$3,'Detailed Assumptions'!$D$94:$D$94,0),MATCH(P158,'Detailed Assumptions'!$F$93:$J$93,0))*Q158,0),0)</f>
        <v>5</v>
      </c>
      <c r="S158" s="19">
        <f>IFERROR('Detailed Assumptions'!$E$88*INDEX(Inflation_Curves!$R$6:$BY$6,MATCH($T158,Inflation_Curves!$R$4:$BY$4,0)),0)</f>
        <v>43184.188841765063</v>
      </c>
      <c r="T158" s="207">
        <f>EOMONTH(T157,12)</f>
        <v>47542</v>
      </c>
      <c r="U158" s="511">
        <f>U$155</f>
        <v>1</v>
      </c>
      <c r="V158" s="41">
        <f t="shared" si="210"/>
        <v>47573</v>
      </c>
      <c r="W158" s="497">
        <f t="shared" si="211"/>
        <v>43184.188841765063</v>
      </c>
      <c r="X158" s="2"/>
      <c r="Y158" s="101">
        <f>IFERROR(('Detailed Assumptions'!$E$85*R158*S158)/R173,0)</f>
        <v>0.19960844690780175</v>
      </c>
      <c r="Z158" s="510">
        <f t="shared" si="215"/>
        <v>0.04</v>
      </c>
      <c r="AA158" s="510">
        <f t="shared" si="215"/>
        <v>0.04</v>
      </c>
      <c r="AB158" s="510">
        <f t="shared" si="215"/>
        <v>0.04</v>
      </c>
      <c r="AC158" s="510">
        <f t="shared" si="215"/>
        <v>0.04</v>
      </c>
      <c r="AD158" s="2"/>
      <c r="AE158" s="510">
        <f>AE$155</f>
        <v>0.55000000000000004</v>
      </c>
      <c r="AF158" s="510">
        <f t="shared" si="212"/>
        <v>0.44999999999999996</v>
      </c>
      <c r="AG158" s="2"/>
      <c r="AH158" s="102">
        <f t="shared" si="213"/>
        <v>47938</v>
      </c>
      <c r="AI158" s="102">
        <f t="shared" si="214"/>
        <v>48304</v>
      </c>
      <c r="AJ158" s="102">
        <f t="shared" si="214"/>
        <v>48669</v>
      </c>
      <c r="AK158" s="102">
        <f t="shared" si="214"/>
        <v>49034</v>
      </c>
      <c r="AL158" s="102">
        <f t="shared" si="214"/>
        <v>49399</v>
      </c>
      <c r="AN158" s="537"/>
      <c r="AO158" s="537"/>
      <c r="AP158" s="537"/>
      <c r="AQ158" s="537"/>
      <c r="AR158" s="537"/>
      <c r="AS158" s="537"/>
      <c r="AT158" s="537"/>
      <c r="AU158" s="537"/>
      <c r="AV158" s="537"/>
      <c r="AW158" s="537"/>
      <c r="AX158" s="537"/>
      <c r="AY158" s="537"/>
      <c r="AZ158" s="537"/>
      <c r="BA158" s="537"/>
      <c r="BB158" s="537"/>
      <c r="BC158" s="537"/>
      <c r="BD158" s="537"/>
      <c r="BE158" s="537"/>
      <c r="BF158" s="537"/>
      <c r="BG158" s="537"/>
      <c r="BH158" s="537"/>
      <c r="BI158" s="537"/>
      <c r="BJ158" s="537"/>
      <c r="BK158" s="537"/>
      <c r="BL158" s="537"/>
      <c r="BM158" s="537"/>
      <c r="BN158" s="537"/>
      <c r="BO158" s="537"/>
      <c r="BP158" s="537"/>
      <c r="BQ158" s="537"/>
      <c r="BR158" s="537"/>
      <c r="BS158" s="537"/>
      <c r="BT158" s="537"/>
      <c r="BU158" s="537"/>
      <c r="BV158" s="537"/>
      <c r="BW158" s="537"/>
      <c r="BX158" s="537"/>
      <c r="BY158" s="537"/>
    </row>
    <row r="159" spans="3:77" x14ac:dyDescent="0.3">
      <c r="C159" s="2"/>
      <c r="D159" s="2"/>
      <c r="E159" s="34" t="str">
        <f>"FY"&amp;VALUE(MID(P159,3,2))&amp;" Tranche"</f>
        <v>FY31 Tranche</v>
      </c>
      <c r="F159" s="2"/>
      <c r="G159" s="2"/>
      <c r="H159" s="2"/>
      <c r="I159" s="2"/>
      <c r="J159" s="2"/>
      <c r="K159" s="2"/>
      <c r="L159" s="2"/>
      <c r="M159" s="2"/>
      <c r="N159" s="2"/>
      <c r="O159" s="2"/>
      <c r="P159" s="368" t="str">
        <f t="shared" si="209"/>
        <v>FY31E</v>
      </c>
      <c r="Q159" s="169">
        <f>$I$9/INDEX(Portfolio_Categorisation!$E$19:$E$19,MATCH($B$3,Portfolio_Categorisation!$C$19:$C$19,0))</f>
        <v>0.12662337662337661</v>
      </c>
      <c r="R159" s="508">
        <f>IFERROR(ROUND(INDEX('Detailed Assumptions'!$F$94:$J$94,MATCH($B$3,'Detailed Assumptions'!$D$94:$D$94,0),MATCH(P159,'Detailed Assumptions'!$F$93:$J$93,0))*Q159,0),0)</f>
        <v>5</v>
      </c>
      <c r="S159" s="19">
        <f>IFERROR('Detailed Assumptions'!$E$88*INDEX(Inflation_Curves!$R$6:$BY$6,MATCH($T159,Inflation_Curves!$R$4:$BY$4,0)),0)</f>
        <v>44026.970479910429</v>
      </c>
      <c r="T159" s="207">
        <f>EOMONTH(T158,12)</f>
        <v>47907</v>
      </c>
      <c r="U159" s="511">
        <f>U$155</f>
        <v>1</v>
      </c>
      <c r="V159" s="41">
        <f t="shared" si="210"/>
        <v>47938</v>
      </c>
      <c r="W159" s="497">
        <f t="shared" si="211"/>
        <v>44026.970479910429</v>
      </c>
      <c r="X159" s="2"/>
      <c r="Y159" s="101">
        <f>IFERROR(('Detailed Assumptions'!$E$85*R159*S159)/R174,0)</f>
        <v>0.19673619266867781</v>
      </c>
      <c r="Z159" s="510">
        <f t="shared" si="215"/>
        <v>0.04</v>
      </c>
      <c r="AA159" s="510">
        <f t="shared" si="215"/>
        <v>0.04</v>
      </c>
      <c r="AB159" s="510">
        <f t="shared" si="215"/>
        <v>0.04</v>
      </c>
      <c r="AC159" s="510">
        <f t="shared" si="215"/>
        <v>0.04</v>
      </c>
      <c r="AD159" s="2"/>
      <c r="AE159" s="510">
        <f>AE$155</f>
        <v>0.55000000000000004</v>
      </c>
      <c r="AF159" s="510">
        <f t="shared" si="212"/>
        <v>0.44999999999999996</v>
      </c>
      <c r="AG159" s="2"/>
      <c r="AH159" s="102">
        <f t="shared" si="213"/>
        <v>48304</v>
      </c>
      <c r="AI159" s="102">
        <f t="shared" si="214"/>
        <v>48669</v>
      </c>
      <c r="AJ159" s="102">
        <f t="shared" si="214"/>
        <v>49034</v>
      </c>
      <c r="AK159" s="102">
        <f t="shared" si="214"/>
        <v>49399</v>
      </c>
      <c r="AL159" s="102">
        <f t="shared" si="214"/>
        <v>49765</v>
      </c>
      <c r="AN159" s="537"/>
      <c r="AO159" s="537"/>
      <c r="AP159" s="537"/>
      <c r="AQ159" s="537"/>
      <c r="AR159" s="537"/>
      <c r="AS159" s="537"/>
      <c r="AT159" s="537"/>
      <c r="AU159" s="537"/>
      <c r="AV159" s="537"/>
      <c r="AW159" s="537"/>
      <c r="AX159" s="537"/>
      <c r="AY159" s="537"/>
      <c r="AZ159" s="537"/>
      <c r="BA159" s="537"/>
      <c r="BB159" s="537"/>
      <c r="BC159" s="537"/>
      <c r="BD159" s="537"/>
      <c r="BE159" s="537"/>
      <c r="BF159" s="537"/>
      <c r="BG159" s="537"/>
      <c r="BH159" s="537"/>
      <c r="BI159" s="537"/>
      <c r="BJ159" s="537"/>
      <c r="BK159" s="537"/>
      <c r="BL159" s="537"/>
      <c r="BM159" s="537"/>
      <c r="BN159" s="537"/>
      <c r="BO159" s="537"/>
      <c r="BP159" s="537"/>
      <c r="BQ159" s="537"/>
      <c r="BR159" s="537"/>
      <c r="BS159" s="537"/>
      <c r="BT159" s="537"/>
      <c r="BU159" s="537"/>
      <c r="BV159" s="537"/>
      <c r="BW159" s="537"/>
      <c r="BX159" s="537"/>
      <c r="BY159" s="537"/>
    </row>
    <row r="160" spans="3:77" x14ac:dyDescent="0.3">
      <c r="C160" s="2"/>
      <c r="D160" s="2"/>
      <c r="E160" s="34" t="s">
        <v>364</v>
      </c>
      <c r="F160" s="2"/>
      <c r="G160" s="2"/>
      <c r="H160" s="2"/>
      <c r="I160" s="2"/>
      <c r="J160" s="2"/>
      <c r="K160" s="2"/>
      <c r="L160" s="2"/>
      <c r="M160" s="2"/>
      <c r="N160" s="2"/>
      <c r="O160" s="40" t="s">
        <v>286</v>
      </c>
      <c r="P160" s="371">
        <f t="shared" si="209"/>
        <v>0</v>
      </c>
      <c r="Q160" s="372">
        <f>$I$9/INDEX(Portfolio_Categorisation!$E$19:$E$19,MATCH($B$3,Portfolio_Categorisation!$C$19:$C$19,0))</f>
        <v>0.12662337662337661</v>
      </c>
      <c r="R160" s="512">
        <f>$I$9-SUM(R155:R159)</f>
        <v>14</v>
      </c>
      <c r="S160" s="19">
        <f>IFERROR('Detailed Assumptions'!$E$88*INDEX(Inflation_Curves!$R$6:$BY$6,MATCH($T160,Inflation_Curves!$R$4:$BY$4,0)),0)</f>
        <v>0</v>
      </c>
      <c r="T160" s="207">
        <f>EOMONTH(T159,12)</f>
        <v>48273</v>
      </c>
      <c r="U160" s="511">
        <f>U$155</f>
        <v>1</v>
      </c>
      <c r="V160" s="373">
        <f t="shared" si="210"/>
        <v>48304</v>
      </c>
      <c r="W160" s="497">
        <f t="shared" si="211"/>
        <v>0</v>
      </c>
      <c r="X160" s="2"/>
      <c r="Y160" s="101">
        <f>IFERROR(('Detailed Assumptions'!$E$85*R160*S160)/R175,0)</f>
        <v>0</v>
      </c>
      <c r="Z160" s="510">
        <f t="shared" si="215"/>
        <v>0.04</v>
      </c>
      <c r="AA160" s="510">
        <f t="shared" si="215"/>
        <v>0.04</v>
      </c>
      <c r="AB160" s="510">
        <f t="shared" si="215"/>
        <v>0.04</v>
      </c>
      <c r="AC160" s="510">
        <f t="shared" si="215"/>
        <v>0.04</v>
      </c>
      <c r="AD160" s="2"/>
      <c r="AE160" s="510">
        <f>AE$155</f>
        <v>0.55000000000000004</v>
      </c>
      <c r="AF160" s="510">
        <f t="shared" si="212"/>
        <v>0.44999999999999996</v>
      </c>
      <c r="AG160" s="2"/>
      <c r="AH160" s="102">
        <f t="shared" si="213"/>
        <v>48669</v>
      </c>
      <c r="AI160" s="102">
        <f t="shared" si="214"/>
        <v>49034</v>
      </c>
      <c r="AJ160" s="102">
        <f t="shared" si="214"/>
        <v>49399</v>
      </c>
      <c r="AK160" s="102">
        <f t="shared" si="214"/>
        <v>49765</v>
      </c>
      <c r="AL160" s="102">
        <f t="shared" si="214"/>
        <v>50130</v>
      </c>
      <c r="AN160" s="537"/>
      <c r="AO160" s="537"/>
      <c r="AP160" s="537"/>
      <c r="AQ160" s="537"/>
      <c r="AR160" s="537"/>
      <c r="AS160" s="537"/>
      <c r="AT160" s="537"/>
      <c r="AU160" s="537"/>
      <c r="AV160" s="537"/>
      <c r="AW160" s="537"/>
      <c r="AX160" s="537"/>
      <c r="AY160" s="537"/>
      <c r="AZ160" s="537"/>
      <c r="BA160" s="537"/>
      <c r="BB160" s="537"/>
      <c r="BC160" s="537"/>
      <c r="BD160" s="537"/>
      <c r="BE160" s="537"/>
      <c r="BF160" s="537"/>
      <c r="BG160" s="537"/>
      <c r="BH160" s="537"/>
      <c r="BI160" s="537"/>
      <c r="BJ160" s="537"/>
      <c r="BK160" s="537"/>
      <c r="BL160" s="537"/>
      <c r="BM160" s="537"/>
      <c r="BN160" s="537"/>
      <c r="BO160" s="537"/>
      <c r="BP160" s="537"/>
      <c r="BQ160" s="537"/>
      <c r="BR160" s="537"/>
      <c r="BS160" s="537"/>
      <c r="BT160" s="537"/>
      <c r="BU160" s="537"/>
      <c r="BV160" s="537"/>
      <c r="BW160" s="537"/>
      <c r="BX160" s="537"/>
      <c r="BY160" s="537"/>
    </row>
    <row r="161" spans="3:77" x14ac:dyDescent="0.3">
      <c r="C161" s="2"/>
      <c r="D161" s="2"/>
      <c r="E161" s="2"/>
      <c r="F161" s="2"/>
      <c r="G161" s="2"/>
      <c r="H161" s="2"/>
      <c r="I161" s="2"/>
      <c r="J161" s="2"/>
      <c r="K161" s="2"/>
      <c r="L161" s="2"/>
      <c r="M161" s="2"/>
      <c r="N161" s="2"/>
      <c r="O161" s="2"/>
      <c r="P161" s="10"/>
      <c r="Q161" s="2"/>
      <c r="R161" s="513" t="b">
        <f>SUM(R155:R160)=$R$9</f>
        <v>1</v>
      </c>
      <c r="S161" s="2"/>
      <c r="T161" s="2"/>
      <c r="U161" s="2"/>
      <c r="V161" s="2"/>
      <c r="W161" s="2"/>
      <c r="X161" s="2"/>
      <c r="Y161" s="2"/>
      <c r="Z161" s="2"/>
      <c r="AA161" s="2"/>
      <c r="AB161" s="2"/>
      <c r="AC161" s="2"/>
      <c r="AD161" s="2"/>
      <c r="AE161" s="2"/>
      <c r="AF161" s="2"/>
      <c r="AG161" s="2"/>
      <c r="AH161" s="2"/>
      <c r="AI161" s="2"/>
      <c r="AJ161" s="2"/>
      <c r="AK161" s="2"/>
      <c r="AL161" s="2"/>
      <c r="AM161" s="2"/>
      <c r="AN161" s="525"/>
      <c r="AO161" s="525"/>
      <c r="AP161" s="525"/>
      <c r="AQ161" s="525"/>
      <c r="AR161" s="525"/>
      <c r="AS161" s="525"/>
      <c r="AT161" s="525"/>
      <c r="AU161" s="525"/>
      <c r="AV161" s="525"/>
      <c r="AW161" s="525"/>
      <c r="AX161" s="525"/>
      <c r="AY161" s="525"/>
      <c r="AZ161" s="525"/>
      <c r="BA161" s="525"/>
      <c r="BB161" s="525"/>
      <c r="BC161" s="525"/>
      <c r="BD161" s="525"/>
      <c r="BE161" s="525"/>
      <c r="BF161" s="525"/>
      <c r="BG161" s="525"/>
      <c r="BH161" s="525"/>
      <c r="BI161" s="525"/>
      <c r="BJ161" s="525"/>
      <c r="BK161" s="525"/>
      <c r="BL161" s="525"/>
      <c r="BM161" s="525"/>
      <c r="BN161" s="525"/>
      <c r="BO161" s="525"/>
      <c r="BP161" s="525"/>
      <c r="BQ161" s="525"/>
      <c r="BR161" s="525"/>
      <c r="BS161" s="525"/>
      <c r="BT161" s="525"/>
      <c r="BU161" s="525"/>
      <c r="BV161" s="525"/>
      <c r="BW161" s="525"/>
      <c r="BX161" s="525"/>
      <c r="BY161" s="525"/>
    </row>
    <row r="162" spans="3:77" x14ac:dyDescent="0.3">
      <c r="C162" s="2"/>
      <c r="D162" s="2"/>
      <c r="E162" s="2"/>
      <c r="F162" s="2"/>
      <c r="G162" s="2"/>
      <c r="H162" s="2"/>
      <c r="I162" s="2"/>
      <c r="J162" s="2"/>
      <c r="K162" s="2"/>
      <c r="L162" s="2"/>
      <c r="M162" s="2"/>
      <c r="N162" s="2"/>
      <c r="O162" s="2"/>
      <c r="P162" s="10"/>
      <c r="Q162" s="2"/>
      <c r="R162" s="2"/>
      <c r="S162" s="2"/>
      <c r="T162" s="2"/>
      <c r="U162" s="2"/>
      <c r="V162" s="2"/>
      <c r="W162" s="2"/>
      <c r="X162" s="2"/>
      <c r="Y162" s="2"/>
      <c r="Z162" s="2"/>
      <c r="AA162" s="2"/>
      <c r="AB162" s="2"/>
      <c r="AC162" s="2"/>
      <c r="AD162" s="2"/>
      <c r="AE162" s="2"/>
      <c r="AF162" s="2"/>
      <c r="AG162" s="2"/>
      <c r="AH162" s="2"/>
      <c r="AI162" s="2"/>
      <c r="AJ162" s="2"/>
      <c r="AK162" s="2"/>
      <c r="AL162" s="2"/>
      <c r="AM162" s="2"/>
      <c r="AN162" s="525"/>
      <c r="AO162" s="525"/>
      <c r="AP162" s="525"/>
      <c r="AQ162" s="525"/>
      <c r="AR162" s="525"/>
      <c r="AS162" s="525"/>
      <c r="AT162" s="525"/>
      <c r="AU162" s="525"/>
      <c r="AV162" s="525"/>
      <c r="AW162" s="525"/>
      <c r="AX162" s="525"/>
      <c r="AY162" s="525"/>
      <c r="AZ162" s="525"/>
      <c r="BA162" s="525"/>
      <c r="BB162" s="525"/>
      <c r="BC162" s="525"/>
      <c r="BD162" s="525"/>
      <c r="BE162" s="525"/>
      <c r="BF162" s="525"/>
      <c r="BG162" s="525"/>
      <c r="BH162" s="525"/>
      <c r="BI162" s="525"/>
      <c r="BJ162" s="525"/>
      <c r="BK162" s="525"/>
      <c r="BL162" s="525"/>
      <c r="BM162" s="525"/>
      <c r="BN162" s="525"/>
      <c r="BO162" s="525"/>
      <c r="BP162" s="525"/>
      <c r="BQ162" s="525"/>
      <c r="BR162" s="525"/>
      <c r="BS162" s="525"/>
      <c r="BT162" s="525"/>
      <c r="BU162" s="525"/>
      <c r="BV162" s="525"/>
      <c r="BW162" s="525"/>
      <c r="BX162" s="525"/>
      <c r="BY162" s="525"/>
    </row>
    <row r="163" spans="3:77" x14ac:dyDescent="0.3">
      <c r="C163" s="48" t="s">
        <v>37</v>
      </c>
      <c r="D163" s="88"/>
      <c r="E163" s="49" t="s">
        <v>90</v>
      </c>
      <c r="F163" s="49"/>
      <c r="G163" s="49"/>
      <c r="H163" s="49"/>
      <c r="I163" s="49"/>
      <c r="J163" s="49"/>
      <c r="K163" s="49"/>
      <c r="L163" s="49"/>
      <c r="M163" s="49"/>
      <c r="N163" s="49"/>
      <c r="O163" s="49"/>
      <c r="P163" s="48"/>
      <c r="Q163" s="49"/>
      <c r="R163" s="49"/>
      <c r="S163" s="49"/>
      <c r="T163" s="49"/>
      <c r="U163" s="49"/>
      <c r="V163" s="49"/>
      <c r="W163" s="49"/>
      <c r="X163" s="49"/>
      <c r="Y163" s="49"/>
      <c r="Z163" s="49"/>
      <c r="AA163" s="49"/>
      <c r="AB163" s="49"/>
      <c r="AC163" s="49"/>
      <c r="AD163" s="49"/>
      <c r="AE163" s="49"/>
      <c r="AF163" s="49"/>
      <c r="AG163" s="49"/>
      <c r="AH163" s="49"/>
      <c r="AI163" s="49"/>
      <c r="AJ163" s="49"/>
      <c r="AK163" s="49"/>
      <c r="AL163" s="49"/>
      <c r="AM163" s="49"/>
      <c r="AN163" s="526"/>
      <c r="AO163" s="526"/>
      <c r="AP163" s="526"/>
      <c r="AQ163" s="526"/>
      <c r="AR163" s="526"/>
      <c r="AS163" s="526"/>
      <c r="AT163" s="526"/>
      <c r="AU163" s="526"/>
      <c r="AV163" s="526"/>
      <c r="AW163" s="526"/>
      <c r="AX163" s="526"/>
      <c r="AY163" s="526"/>
      <c r="AZ163" s="526"/>
      <c r="BA163" s="526"/>
      <c r="BB163" s="526"/>
      <c r="BC163" s="526"/>
      <c r="BD163" s="526"/>
      <c r="BE163" s="526"/>
      <c r="BF163" s="526"/>
      <c r="BG163" s="526"/>
      <c r="BH163" s="526"/>
      <c r="BI163" s="526"/>
      <c r="BJ163" s="526"/>
      <c r="BK163" s="526"/>
      <c r="BL163" s="526"/>
      <c r="BM163" s="526"/>
      <c r="BN163" s="526"/>
      <c r="BO163" s="526"/>
      <c r="BP163" s="526"/>
      <c r="BQ163" s="526"/>
      <c r="BR163" s="526"/>
      <c r="BS163" s="526"/>
      <c r="BT163" s="526"/>
      <c r="BU163" s="526"/>
      <c r="BV163" s="526"/>
      <c r="BW163" s="526"/>
      <c r="BX163" s="526"/>
      <c r="BY163" s="526"/>
    </row>
    <row r="164" spans="3:77" x14ac:dyDescent="0.3">
      <c r="C164" s="2"/>
      <c r="D164" s="2"/>
      <c r="E164" s="2"/>
      <c r="F164" s="2"/>
      <c r="G164" s="2"/>
      <c r="H164" s="2"/>
      <c r="I164" s="2"/>
      <c r="J164" s="2"/>
      <c r="K164" s="2"/>
      <c r="L164" s="2"/>
      <c r="M164" s="2"/>
      <c r="N164" s="2"/>
      <c r="O164" s="2"/>
      <c r="P164" s="10"/>
      <c r="Q164" s="2"/>
      <c r="R164" s="2"/>
      <c r="S164" s="2"/>
      <c r="T164" s="2"/>
      <c r="U164" s="2"/>
      <c r="V164" s="2"/>
      <c r="W164" s="2"/>
      <c r="X164" s="2"/>
      <c r="Y164" s="2"/>
      <c r="Z164" s="2"/>
      <c r="AA164" s="2"/>
      <c r="AB164" s="2"/>
      <c r="AC164" s="2"/>
      <c r="AD164" s="2"/>
      <c r="AE164" s="2"/>
      <c r="AF164" s="2"/>
      <c r="AG164" s="2"/>
      <c r="AH164" s="2"/>
      <c r="AI164" s="2"/>
      <c r="AJ164" s="2"/>
      <c r="AK164" s="2"/>
      <c r="AL164" s="2"/>
      <c r="AM164" s="2"/>
      <c r="AN164" s="525"/>
      <c r="AO164" s="525"/>
      <c r="AP164" s="525"/>
      <c r="AQ164" s="525"/>
      <c r="AR164" s="525"/>
      <c r="AS164" s="525"/>
      <c r="AT164" s="525"/>
      <c r="AU164" s="525"/>
      <c r="AV164" s="525"/>
      <c r="AW164" s="525"/>
      <c r="AX164" s="525"/>
      <c r="AY164" s="525"/>
      <c r="AZ164" s="525"/>
      <c r="BA164" s="525"/>
      <c r="BB164" s="525"/>
      <c r="BC164" s="525"/>
      <c r="BD164" s="525"/>
      <c r="BE164" s="525"/>
      <c r="BF164" s="525"/>
      <c r="BG164" s="525"/>
      <c r="BH164" s="525"/>
      <c r="BI164" s="525"/>
      <c r="BJ164" s="525"/>
      <c r="BK164" s="525"/>
      <c r="BL164" s="525"/>
      <c r="BM164" s="525"/>
      <c r="BN164" s="525"/>
      <c r="BO164" s="525"/>
      <c r="BP164" s="525"/>
      <c r="BQ164" s="525"/>
      <c r="BR164" s="525"/>
      <c r="BS164" s="525"/>
      <c r="BT164" s="525"/>
      <c r="BU164" s="525"/>
      <c r="BV164" s="525"/>
      <c r="BW164" s="525"/>
      <c r="BX164" s="525"/>
      <c r="BY164" s="525"/>
    </row>
    <row r="165" spans="3:77" x14ac:dyDescent="0.3">
      <c r="C165" s="24" t="s">
        <v>37</v>
      </c>
      <c r="D165" s="2"/>
      <c r="E165" s="14" t="s">
        <v>91</v>
      </c>
      <c r="F165" s="14"/>
      <c r="G165" s="14"/>
      <c r="H165" s="14"/>
      <c r="I165" s="14"/>
      <c r="J165" s="14"/>
      <c r="K165" s="14"/>
      <c r="L165" s="14"/>
      <c r="M165" s="14"/>
      <c r="N165" s="14"/>
      <c r="O165" s="14"/>
      <c r="P165" s="24"/>
      <c r="Q165" s="14"/>
      <c r="R165" s="14"/>
      <c r="S165" s="14"/>
      <c r="T165" s="14"/>
      <c r="U165" s="14"/>
      <c r="V165" s="14"/>
      <c r="W165" s="14"/>
      <c r="X165" s="14"/>
      <c r="Y165" s="14"/>
      <c r="Z165" s="14"/>
      <c r="AA165" s="14"/>
      <c r="AB165" s="14"/>
      <c r="AC165" s="14"/>
      <c r="AD165" s="14"/>
      <c r="AE165" s="14"/>
      <c r="AF165" s="14"/>
      <c r="AG165" s="14"/>
      <c r="AH165" s="14"/>
      <c r="AI165" s="14"/>
      <c r="AJ165" s="14"/>
      <c r="AK165" s="14"/>
      <c r="AL165" s="14"/>
      <c r="AM165" s="14"/>
      <c r="AN165" s="538"/>
      <c r="AO165" s="538"/>
      <c r="AP165" s="538"/>
      <c r="AQ165" s="538"/>
      <c r="AR165" s="538"/>
      <c r="AS165" s="538"/>
      <c r="AT165" s="538"/>
      <c r="AU165" s="538"/>
      <c r="AV165" s="538"/>
      <c r="AW165" s="538"/>
      <c r="AX165" s="538"/>
      <c r="AY165" s="538"/>
      <c r="AZ165" s="538"/>
      <c r="BA165" s="538"/>
      <c r="BB165" s="538"/>
      <c r="BC165" s="538"/>
      <c r="BD165" s="538"/>
      <c r="BE165" s="538"/>
      <c r="BF165" s="538"/>
      <c r="BG165" s="538"/>
      <c r="BH165" s="538"/>
      <c r="BI165" s="538"/>
      <c r="BJ165" s="538"/>
      <c r="BK165" s="538"/>
      <c r="BL165" s="538"/>
      <c r="BM165" s="538"/>
      <c r="BN165" s="538"/>
      <c r="BO165" s="538"/>
      <c r="BP165" s="538"/>
      <c r="BQ165" s="538"/>
      <c r="BR165" s="538"/>
      <c r="BS165" s="538"/>
      <c r="BT165" s="538"/>
      <c r="BU165" s="538"/>
      <c r="BV165" s="538"/>
      <c r="BW165" s="538"/>
      <c r="BX165" s="538"/>
      <c r="BY165" s="538"/>
    </row>
    <row r="166" spans="3:77" x14ac:dyDescent="0.3">
      <c r="C166" s="2"/>
      <c r="D166" s="2"/>
      <c r="E166" s="2"/>
      <c r="F166" s="2"/>
      <c r="G166" s="2"/>
      <c r="H166" s="2"/>
      <c r="I166" s="2"/>
      <c r="J166" s="2"/>
      <c r="K166" s="2"/>
      <c r="L166" s="2"/>
      <c r="M166" s="2"/>
      <c r="N166" s="2"/>
      <c r="O166" s="2"/>
      <c r="P166" s="10"/>
      <c r="Q166" s="2"/>
      <c r="R166" s="2"/>
      <c r="S166" s="169"/>
      <c r="T166" s="2"/>
      <c r="U166" s="2"/>
      <c r="V166" s="2"/>
      <c r="W166" s="2"/>
      <c r="X166" s="2"/>
      <c r="Y166" s="2"/>
      <c r="Z166" s="2"/>
      <c r="AA166" s="2"/>
      <c r="AB166" s="2"/>
      <c r="AC166" s="2"/>
      <c r="AD166" s="2"/>
      <c r="AE166" s="2"/>
      <c r="AF166" s="2"/>
      <c r="AG166" s="2"/>
      <c r="AH166" s="2"/>
      <c r="AI166" s="2"/>
      <c r="AJ166" s="2"/>
      <c r="AK166" s="2"/>
      <c r="AL166" s="2"/>
      <c r="AM166" s="2"/>
      <c r="AN166" s="525"/>
      <c r="AO166" s="525"/>
      <c r="AP166" s="525"/>
      <c r="AQ166" s="525"/>
      <c r="AR166" s="525"/>
      <c r="AS166" s="525"/>
      <c r="AT166" s="525"/>
      <c r="AU166" s="525"/>
      <c r="AV166" s="525"/>
      <c r="AW166" s="525"/>
      <c r="AX166" s="525"/>
      <c r="AY166" s="525"/>
      <c r="AZ166" s="525"/>
      <c r="BA166" s="525"/>
      <c r="BB166" s="525"/>
      <c r="BC166" s="525"/>
      <c r="BD166" s="525"/>
      <c r="BE166" s="525"/>
      <c r="BF166" s="525"/>
      <c r="BG166" s="525"/>
      <c r="BH166" s="525"/>
      <c r="BI166" s="525"/>
      <c r="BJ166" s="525"/>
      <c r="BK166" s="525"/>
      <c r="BL166" s="525"/>
      <c r="BM166" s="525"/>
      <c r="BN166" s="525"/>
      <c r="BO166" s="525"/>
      <c r="BP166" s="525"/>
      <c r="BQ166" s="525"/>
      <c r="BR166" s="525"/>
      <c r="BS166" s="525"/>
      <c r="BT166" s="525"/>
      <c r="BU166" s="525"/>
      <c r="BV166" s="525"/>
      <c r="BW166" s="525"/>
      <c r="BX166" s="525"/>
      <c r="BY166" s="525"/>
    </row>
    <row r="167" spans="3:77" x14ac:dyDescent="0.3">
      <c r="C167" s="2"/>
      <c r="D167" s="2"/>
      <c r="E167" s="2"/>
      <c r="F167" s="2"/>
      <c r="G167" s="2"/>
      <c r="H167" s="2"/>
      <c r="I167" s="2"/>
      <c r="J167" s="2"/>
      <c r="K167" s="2"/>
      <c r="L167" s="2"/>
      <c r="M167" s="2"/>
      <c r="N167" s="2"/>
      <c r="O167" s="2"/>
      <c r="P167" s="10"/>
      <c r="Q167" s="2"/>
      <c r="R167" s="83"/>
      <c r="S167" s="514">
        <v>1</v>
      </c>
      <c r="T167" s="514">
        <v>2</v>
      </c>
      <c r="U167" s="514">
        <v>3</v>
      </c>
      <c r="V167" s="514">
        <v>4</v>
      </c>
      <c r="W167" s="514">
        <v>5</v>
      </c>
      <c r="X167" s="2"/>
      <c r="Y167" s="2"/>
      <c r="Z167" s="2"/>
      <c r="AA167" s="2"/>
      <c r="AB167" s="2"/>
      <c r="AC167" s="2"/>
      <c r="AD167" s="2"/>
      <c r="AE167" s="2"/>
      <c r="AF167" s="2"/>
      <c r="AG167" s="2"/>
      <c r="AH167" s="2"/>
      <c r="AI167" s="2"/>
      <c r="AJ167" s="2"/>
      <c r="AK167" s="2"/>
      <c r="AL167" s="2"/>
      <c r="AM167" s="2"/>
      <c r="AN167" s="525"/>
      <c r="AO167" s="525"/>
      <c r="AP167" s="525"/>
      <c r="AQ167" s="525"/>
      <c r="AR167" s="525"/>
      <c r="AS167" s="525"/>
      <c r="AT167" s="525"/>
      <c r="AU167" s="525"/>
      <c r="AV167" s="525"/>
      <c r="AW167" s="525"/>
      <c r="AX167" s="525"/>
      <c r="AY167" s="525"/>
      <c r="AZ167" s="525"/>
      <c r="BA167" s="525"/>
      <c r="BB167" s="525"/>
      <c r="BC167" s="525"/>
      <c r="BD167" s="525"/>
      <c r="BE167" s="525"/>
      <c r="BF167" s="525"/>
      <c r="BG167" s="525"/>
      <c r="BH167" s="525"/>
      <c r="BI167" s="525"/>
      <c r="BJ167" s="525"/>
      <c r="BK167" s="525"/>
      <c r="BL167" s="525"/>
      <c r="BM167" s="525"/>
      <c r="BN167" s="525"/>
      <c r="BO167" s="525"/>
      <c r="BP167" s="525"/>
      <c r="BQ167" s="525"/>
      <c r="BR167" s="525"/>
      <c r="BS167" s="525"/>
      <c r="BT167" s="525"/>
      <c r="BU167" s="525"/>
      <c r="BV167" s="525"/>
      <c r="BW167" s="525"/>
      <c r="BX167" s="525"/>
      <c r="BY167" s="525"/>
    </row>
    <row r="168" spans="3:77" x14ac:dyDescent="0.3">
      <c r="C168" s="2"/>
      <c r="D168" s="2"/>
      <c r="E168" s="2"/>
      <c r="F168" s="2"/>
      <c r="G168" s="2"/>
      <c r="H168" s="2"/>
      <c r="I168" s="2"/>
      <c r="J168" s="2"/>
      <c r="K168" s="2"/>
      <c r="L168" s="2"/>
      <c r="M168" s="2"/>
      <c r="N168" s="2"/>
      <c r="O168" s="2"/>
      <c r="P168" s="10"/>
      <c r="Q168" s="2"/>
      <c r="R168" s="72" t="s">
        <v>92</v>
      </c>
      <c r="S168" s="72"/>
      <c r="T168" s="72"/>
      <c r="U168" s="72"/>
      <c r="V168" s="72"/>
      <c r="W168" s="72"/>
      <c r="X168" s="2"/>
      <c r="Y168" s="2"/>
      <c r="Z168" s="2"/>
      <c r="AA168" s="2"/>
      <c r="AB168" s="2"/>
      <c r="AC168" s="2"/>
      <c r="AD168" s="2"/>
      <c r="AE168" s="2"/>
      <c r="AF168" s="2"/>
      <c r="AG168" s="2"/>
      <c r="AH168" s="2"/>
      <c r="AI168" s="2"/>
      <c r="AJ168" s="2"/>
      <c r="AK168" s="2"/>
      <c r="AL168" s="2"/>
      <c r="AM168" s="2"/>
      <c r="AN168" s="525"/>
      <c r="AO168" s="525"/>
      <c r="AP168" s="525"/>
      <c r="AQ168" s="525"/>
      <c r="AR168" s="525"/>
      <c r="AS168" s="525"/>
      <c r="AT168" s="525"/>
      <c r="AU168" s="525"/>
      <c r="AV168" s="525"/>
      <c r="AW168" s="525"/>
      <c r="AX168" s="525"/>
      <c r="AY168" s="525"/>
      <c r="AZ168" s="525"/>
      <c r="BA168" s="525"/>
      <c r="BB168" s="525"/>
      <c r="BC168" s="525"/>
      <c r="BD168" s="525"/>
      <c r="BE168" s="525"/>
      <c r="BF168" s="525"/>
      <c r="BG168" s="525"/>
      <c r="BH168" s="525"/>
      <c r="BI168" s="525"/>
      <c r="BJ168" s="525"/>
      <c r="BK168" s="525"/>
      <c r="BL168" s="525"/>
      <c r="BM168" s="525"/>
      <c r="BN168" s="525"/>
      <c r="BO168" s="525"/>
      <c r="BP168" s="525"/>
      <c r="BQ168" s="525"/>
      <c r="BR168" s="525"/>
      <c r="BS168" s="525"/>
      <c r="BT168" s="525"/>
      <c r="BU168" s="525"/>
      <c r="BV168" s="525"/>
      <c r="BW168" s="525"/>
      <c r="BX168" s="525"/>
      <c r="BY168" s="525"/>
    </row>
    <row r="169" spans="3:77" x14ac:dyDescent="0.3">
      <c r="C169" s="2"/>
      <c r="D169" s="2"/>
      <c r="E169" s="103" t="s">
        <v>93</v>
      </c>
      <c r="F169" s="103"/>
      <c r="G169" s="103"/>
      <c r="H169" s="103"/>
      <c r="I169" s="103"/>
      <c r="J169" s="103"/>
      <c r="K169" s="103"/>
      <c r="L169" s="103"/>
      <c r="M169" s="103"/>
      <c r="N169" s="103"/>
      <c r="O169" s="103"/>
      <c r="P169" s="104"/>
      <c r="Q169" s="103"/>
      <c r="R169" s="77" t="s">
        <v>94</v>
      </c>
      <c r="S169" s="515">
        <v>1</v>
      </c>
      <c r="T169" s="515">
        <v>2</v>
      </c>
      <c r="U169" s="515">
        <v>3</v>
      </c>
      <c r="V169" s="515">
        <v>4</v>
      </c>
      <c r="W169" s="515">
        <v>5</v>
      </c>
      <c r="X169" s="2"/>
      <c r="Y169" s="2"/>
      <c r="Z169" s="2"/>
      <c r="AA169" s="2"/>
      <c r="AB169" s="2"/>
      <c r="AC169" s="2"/>
      <c r="AD169" s="2"/>
      <c r="AE169" s="2"/>
      <c r="AF169" s="2"/>
      <c r="AG169" s="2"/>
      <c r="AH169" s="2"/>
      <c r="AI169" s="2"/>
      <c r="AJ169" s="2"/>
      <c r="AK169" s="2"/>
      <c r="AL169" s="2"/>
      <c r="AM169" s="2"/>
      <c r="AN169" s="525"/>
      <c r="AO169" s="525"/>
      <c r="AP169" s="525"/>
      <c r="AQ169" s="525"/>
      <c r="AR169" s="525"/>
      <c r="AS169" s="525"/>
      <c r="AT169" s="525"/>
      <c r="AU169" s="525"/>
      <c r="AV169" s="525"/>
      <c r="AW169" s="525"/>
      <c r="AX169" s="525"/>
      <c r="AY169" s="525"/>
      <c r="AZ169" s="525"/>
      <c r="BA169" s="525"/>
      <c r="BB169" s="525"/>
      <c r="BC169" s="525"/>
      <c r="BD169" s="525"/>
      <c r="BE169" s="525"/>
      <c r="BF169" s="525"/>
      <c r="BG169" s="525"/>
      <c r="BH169" s="525"/>
      <c r="BI169" s="525"/>
      <c r="BJ169" s="525"/>
      <c r="BK169" s="525"/>
      <c r="BL169" s="525"/>
      <c r="BM169" s="525"/>
      <c r="BN169" s="525"/>
      <c r="BO169" s="525"/>
      <c r="BP169" s="525"/>
      <c r="BQ169" s="525"/>
      <c r="BR169" s="525"/>
      <c r="BS169" s="525"/>
      <c r="BT169" s="525"/>
      <c r="BU169" s="525"/>
      <c r="BV169" s="525"/>
      <c r="BW169" s="525"/>
      <c r="BX169" s="525"/>
      <c r="BY169" s="525"/>
    </row>
    <row r="170" spans="3:77" x14ac:dyDescent="0.3">
      <c r="C170" s="2"/>
      <c r="D170" s="2"/>
      <c r="E170" s="105" t="str">
        <f>"Post-capex - outlet EBITDA: "&amp;E$155</f>
        <v>Post-capex - outlet EBITDA: FY27 Tranche</v>
      </c>
      <c r="F170" s="2"/>
      <c r="G170" s="2"/>
      <c r="H170" s="2"/>
      <c r="I170" s="2"/>
      <c r="J170" s="2"/>
      <c r="K170" s="2"/>
      <c r="L170" s="2"/>
      <c r="M170" s="2"/>
      <c r="N170" s="2"/>
      <c r="P170" s="10"/>
      <c r="Q170" s="2"/>
      <c r="R170" s="497">
        <f t="shared" ref="R170:R175" si="216">IFERROR(INDEX($R$615:$BY$615,MATCH($T155,$R$4:$BY$4,0))*12*$R155,0)</f>
        <v>436381.0383818383</v>
      </c>
      <c r="S170" s="497">
        <f t="shared" ref="S170:W175" si="217">R170*(1+Y155)</f>
        <v>527299.83006647439</v>
      </c>
      <c r="T170" s="497">
        <f t="shared" si="217"/>
        <v>548391.82326913334</v>
      </c>
      <c r="U170" s="497">
        <f t="shared" si="217"/>
        <v>570327.49619989865</v>
      </c>
      <c r="V170" s="497">
        <f t="shared" si="217"/>
        <v>593140.59604789456</v>
      </c>
      <c r="W170" s="497">
        <f t="shared" si="217"/>
        <v>616866.21988981043</v>
      </c>
      <c r="X170" s="2"/>
      <c r="Y170" s="2"/>
      <c r="Z170" s="2"/>
      <c r="AA170" s="2"/>
      <c r="AB170" s="2"/>
      <c r="AC170" s="2"/>
      <c r="AD170" s="2"/>
      <c r="AE170" s="2"/>
      <c r="AF170" s="2"/>
      <c r="AG170" s="2"/>
      <c r="AH170" s="2"/>
      <c r="AI170" s="2"/>
      <c r="AJ170" s="2"/>
      <c r="AK170" s="2"/>
      <c r="AL170" s="2"/>
      <c r="AM170" s="2"/>
      <c r="AN170" s="525"/>
      <c r="AO170" s="525"/>
      <c r="AP170" s="525"/>
      <c r="AQ170" s="525"/>
      <c r="AR170" s="525"/>
      <c r="AS170" s="525"/>
      <c r="AT170" s="525"/>
      <c r="AU170" s="525"/>
      <c r="AV170" s="525"/>
      <c r="AW170" s="525"/>
      <c r="AX170" s="525"/>
      <c r="AY170" s="525"/>
      <c r="AZ170" s="525"/>
      <c r="BA170" s="525"/>
      <c r="BB170" s="525"/>
      <c r="BC170" s="525"/>
      <c r="BD170" s="525"/>
      <c r="BE170" s="525"/>
      <c r="BF170" s="525"/>
      <c r="BG170" s="525"/>
      <c r="BH170" s="525"/>
      <c r="BI170" s="525"/>
      <c r="BJ170" s="525"/>
      <c r="BK170" s="525"/>
      <c r="BL170" s="525"/>
      <c r="BM170" s="525"/>
      <c r="BN170" s="525"/>
      <c r="BO170" s="525"/>
      <c r="BP170" s="525"/>
      <c r="BQ170" s="525"/>
      <c r="BR170" s="525"/>
      <c r="BS170" s="525"/>
      <c r="BT170" s="525"/>
      <c r="BU170" s="525"/>
      <c r="BV170" s="525"/>
      <c r="BW170" s="525"/>
      <c r="BX170" s="525"/>
      <c r="BY170" s="525"/>
    </row>
    <row r="171" spans="3:77" x14ac:dyDescent="0.3">
      <c r="C171" s="2"/>
      <c r="D171" s="2"/>
      <c r="E171" s="105" t="str">
        <f>"Post-capex - outlet EBITDA: "&amp;E$156</f>
        <v>Post-capex - outlet EBITDA: FY28 Tranche</v>
      </c>
      <c r="F171" s="2"/>
      <c r="G171" s="2"/>
      <c r="H171" s="2"/>
      <c r="I171" s="2"/>
      <c r="J171" s="114"/>
      <c r="K171" s="2"/>
      <c r="L171" s="2"/>
      <c r="M171" s="2"/>
      <c r="N171" s="2"/>
      <c r="O171" s="2"/>
      <c r="P171" s="10"/>
      <c r="Q171" s="2"/>
      <c r="R171" s="497">
        <f t="shared" si="216"/>
        <v>453436.79238885536</v>
      </c>
      <c r="S171" s="497">
        <f t="shared" si="217"/>
        <v>546542.16285355552</v>
      </c>
      <c r="T171" s="497">
        <f t="shared" si="217"/>
        <v>568403.84936769772</v>
      </c>
      <c r="U171" s="497">
        <f t="shared" si="217"/>
        <v>591140.00334240566</v>
      </c>
      <c r="V171" s="497">
        <f t="shared" si="217"/>
        <v>614785.60347610188</v>
      </c>
      <c r="W171" s="497">
        <f t="shared" si="217"/>
        <v>639377.02761514601</v>
      </c>
      <c r="X171" s="2"/>
      <c r="Y171" s="2"/>
      <c r="Z171" s="2"/>
      <c r="AA171" s="2"/>
      <c r="AB171" s="2"/>
      <c r="AC171" s="2"/>
      <c r="AD171" s="2"/>
      <c r="AE171" s="2"/>
      <c r="AF171" s="2"/>
      <c r="AG171" s="2"/>
      <c r="AH171" s="2"/>
      <c r="AI171" s="2"/>
      <c r="AJ171" s="2"/>
      <c r="AK171" s="2"/>
      <c r="AL171" s="2"/>
      <c r="AM171" s="2"/>
      <c r="AN171" s="525"/>
      <c r="AO171" s="525"/>
      <c r="AP171" s="525"/>
      <c r="AQ171" s="525"/>
      <c r="AR171" s="525"/>
      <c r="AS171" s="525"/>
      <c r="AT171" s="525"/>
      <c r="AU171" s="525"/>
      <c r="AV171" s="525"/>
      <c r="AW171" s="525"/>
      <c r="AX171" s="525"/>
      <c r="AY171" s="525"/>
      <c r="AZ171" s="525"/>
      <c r="BA171" s="525"/>
      <c r="BB171" s="525"/>
      <c r="BC171" s="525"/>
      <c r="BD171" s="525"/>
      <c r="BE171" s="525"/>
      <c r="BF171" s="525"/>
      <c r="BG171" s="525"/>
      <c r="BH171" s="525"/>
      <c r="BI171" s="525"/>
      <c r="BJ171" s="525"/>
      <c r="BK171" s="525"/>
      <c r="BL171" s="525"/>
      <c r="BM171" s="525"/>
      <c r="BN171" s="525"/>
      <c r="BO171" s="525"/>
      <c r="BP171" s="525"/>
      <c r="BQ171" s="525"/>
      <c r="BR171" s="525"/>
      <c r="BS171" s="525"/>
      <c r="BT171" s="525"/>
      <c r="BU171" s="525"/>
      <c r="BV171" s="525"/>
      <c r="BW171" s="525"/>
      <c r="BX171" s="525"/>
      <c r="BY171" s="525"/>
    </row>
    <row r="172" spans="3:77" x14ac:dyDescent="0.3">
      <c r="C172" s="2"/>
      <c r="D172" s="2"/>
      <c r="E172" s="105" t="str">
        <f>"Post-capex - outlet EBITDA: "&amp;E$157</f>
        <v>Post-capex - outlet EBITDA: FY29 Tranche</v>
      </c>
      <c r="F172" s="2"/>
      <c r="G172" s="2"/>
      <c r="H172" s="2"/>
      <c r="I172" s="2"/>
      <c r="J172" s="2"/>
      <c r="K172" s="2"/>
      <c r="L172" s="2"/>
      <c r="M172" s="2"/>
      <c r="N172" s="2"/>
      <c r="O172" s="2"/>
      <c r="P172" s="10"/>
      <c r="Q172" s="2"/>
      <c r="R172" s="497">
        <f t="shared" si="216"/>
        <v>470361.73351137352</v>
      </c>
      <c r="S172" s="497">
        <f t="shared" si="217"/>
        <v>565557.73091129784</v>
      </c>
      <c r="T172" s="497">
        <f t="shared" si="217"/>
        <v>588180.04014774982</v>
      </c>
      <c r="U172" s="497">
        <f t="shared" si="217"/>
        <v>611707.24175365979</v>
      </c>
      <c r="V172" s="497">
        <f t="shared" si="217"/>
        <v>636175.53142380621</v>
      </c>
      <c r="W172" s="497">
        <f t="shared" si="217"/>
        <v>661622.55268075853</v>
      </c>
      <c r="X172" s="2"/>
      <c r="Y172" s="2"/>
      <c r="Z172" s="2"/>
      <c r="AA172" s="2"/>
      <c r="AB172" s="2"/>
      <c r="AC172" s="2"/>
      <c r="AD172" s="2"/>
      <c r="AE172" s="2"/>
      <c r="AF172" s="2"/>
      <c r="AG172" s="2"/>
      <c r="AH172" s="2"/>
      <c r="AI172" s="2"/>
      <c r="AJ172" s="2"/>
      <c r="AK172" s="2"/>
      <c r="AL172" s="2"/>
      <c r="AM172" s="2"/>
      <c r="AN172" s="525"/>
      <c r="AO172" s="525"/>
      <c r="AP172" s="525"/>
      <c r="AQ172" s="525"/>
      <c r="AR172" s="525"/>
      <c r="AS172" s="525"/>
      <c r="AT172" s="525"/>
      <c r="AU172" s="525"/>
      <c r="AV172" s="525"/>
      <c r="AW172" s="525"/>
      <c r="AX172" s="525"/>
      <c r="AY172" s="525"/>
      <c r="AZ172" s="525"/>
      <c r="BA172" s="525"/>
      <c r="BB172" s="525"/>
      <c r="BC172" s="525"/>
      <c r="BD172" s="525"/>
      <c r="BE172" s="525"/>
      <c r="BF172" s="525"/>
      <c r="BG172" s="525"/>
      <c r="BH172" s="525"/>
      <c r="BI172" s="525"/>
      <c r="BJ172" s="525"/>
      <c r="BK172" s="525"/>
      <c r="BL172" s="525"/>
      <c r="BM172" s="525"/>
      <c r="BN172" s="525"/>
      <c r="BO172" s="525"/>
      <c r="BP172" s="525"/>
      <c r="BQ172" s="525"/>
      <c r="BR172" s="525"/>
      <c r="BS172" s="525"/>
      <c r="BT172" s="525"/>
      <c r="BU172" s="525"/>
      <c r="BV172" s="525"/>
      <c r="BW172" s="525"/>
      <c r="BX172" s="525"/>
      <c r="BY172" s="525"/>
    </row>
    <row r="173" spans="3:77" x14ac:dyDescent="0.3">
      <c r="C173" s="2"/>
      <c r="D173" s="2"/>
      <c r="E173" s="105" t="str">
        <f>"Post-capex - outlet EBITDA: "&amp;E$158</f>
        <v>Post-capex - outlet EBITDA: FY30 Tranche</v>
      </c>
      <c r="F173" s="2"/>
      <c r="G173" s="2"/>
      <c r="H173" s="2"/>
      <c r="I173" s="2"/>
      <c r="J173" s="2"/>
      <c r="K173" s="2"/>
      <c r="L173" s="2"/>
      <c r="M173" s="2"/>
      <c r="N173" s="2"/>
      <c r="O173" s="2"/>
      <c r="P173" s="10"/>
      <c r="Q173" s="2"/>
      <c r="R173" s="497">
        <f t="shared" si="216"/>
        <v>486775.11597919103</v>
      </c>
      <c r="S173" s="497">
        <f t="shared" si="217"/>
        <v>583939.54087316233</v>
      </c>
      <c r="T173" s="497">
        <f t="shared" si="217"/>
        <v>607297.12250808883</v>
      </c>
      <c r="U173" s="497">
        <f t="shared" si="217"/>
        <v>631589.00740841241</v>
      </c>
      <c r="V173" s="497">
        <f t="shared" si="217"/>
        <v>656852.56770474894</v>
      </c>
      <c r="W173" s="497">
        <f t="shared" si="217"/>
        <v>683126.67041293893</v>
      </c>
      <c r="X173" s="2"/>
      <c r="Y173" s="2"/>
      <c r="Z173" s="2"/>
      <c r="AA173" s="2"/>
      <c r="AB173" s="2"/>
      <c r="AC173" s="2"/>
      <c r="AD173" s="2"/>
      <c r="AE173" s="2"/>
      <c r="AF173" s="2"/>
      <c r="AG173" s="2"/>
      <c r="AH173" s="2"/>
      <c r="AI173" s="2"/>
      <c r="AJ173" s="2"/>
      <c r="AK173" s="2"/>
      <c r="AL173" s="2"/>
      <c r="AM173" s="2"/>
      <c r="AN173" s="525"/>
      <c r="AO173" s="525"/>
      <c r="AP173" s="525"/>
      <c r="AQ173" s="525"/>
      <c r="AR173" s="525"/>
      <c r="AS173" s="525"/>
      <c r="AT173" s="525"/>
      <c r="AU173" s="525"/>
      <c r="AV173" s="525"/>
      <c r="AW173" s="525"/>
      <c r="AX173" s="525"/>
      <c r="AY173" s="525"/>
      <c r="AZ173" s="525"/>
      <c r="BA173" s="525"/>
      <c r="BB173" s="525"/>
      <c r="BC173" s="525"/>
      <c r="BD173" s="525"/>
      <c r="BE173" s="525"/>
      <c r="BF173" s="525"/>
      <c r="BG173" s="525"/>
      <c r="BH173" s="525"/>
      <c r="BI173" s="525"/>
      <c r="BJ173" s="525"/>
      <c r="BK173" s="525"/>
      <c r="BL173" s="525"/>
      <c r="BM173" s="525"/>
      <c r="BN173" s="525"/>
      <c r="BO173" s="525"/>
      <c r="BP173" s="525"/>
      <c r="BQ173" s="525"/>
      <c r="BR173" s="525"/>
      <c r="BS173" s="525"/>
      <c r="BT173" s="525"/>
      <c r="BU173" s="525"/>
      <c r="BV173" s="525"/>
      <c r="BW173" s="525"/>
      <c r="BX173" s="525"/>
      <c r="BY173" s="525"/>
    </row>
    <row r="174" spans="3:77" x14ac:dyDescent="0.3">
      <c r="C174" s="2"/>
      <c r="D174" s="2"/>
      <c r="E174" s="105" t="str">
        <f>"Post-capex - outlet EBITDA: "&amp;E$159</f>
        <v>Post-capex - outlet EBITDA: FY31 Tranche</v>
      </c>
      <c r="F174" s="2"/>
      <c r="G174" s="2"/>
      <c r="H174" s="2"/>
      <c r="I174" s="2"/>
      <c r="J174" s="2"/>
      <c r="K174" s="2"/>
      <c r="L174" s="2"/>
      <c r="M174" s="2"/>
      <c r="N174" s="2"/>
      <c r="O174" s="2"/>
      <c r="P174" s="10"/>
      <c r="Q174" s="2"/>
      <c r="R174" s="497">
        <f t="shared" si="216"/>
        <v>503520.38552777091</v>
      </c>
      <c r="S174" s="497">
        <f t="shared" si="217"/>
        <v>602581.0691075694</v>
      </c>
      <c r="T174" s="497">
        <f t="shared" si="217"/>
        <v>626684.31187187217</v>
      </c>
      <c r="U174" s="497">
        <f t="shared" si="217"/>
        <v>651751.68434674712</v>
      </c>
      <c r="V174" s="497">
        <f t="shared" si="217"/>
        <v>677821.75172061706</v>
      </c>
      <c r="W174" s="497">
        <f t="shared" si="217"/>
        <v>704934.62178944179</v>
      </c>
      <c r="X174" s="2"/>
      <c r="Y174" s="2"/>
      <c r="Z174" s="2"/>
      <c r="AA174" s="2"/>
      <c r="AB174" s="2"/>
      <c r="AC174" s="2"/>
      <c r="AD174" s="2"/>
      <c r="AE174" s="2"/>
      <c r="AF174" s="2"/>
      <c r="AG174" s="2"/>
      <c r="AH174" s="2"/>
      <c r="AI174" s="2"/>
      <c r="AJ174" s="2"/>
      <c r="AK174" s="2"/>
      <c r="AL174" s="2"/>
      <c r="AM174" s="2"/>
      <c r="AN174" s="525"/>
      <c r="AO174" s="525"/>
      <c r="AP174" s="525"/>
      <c r="AQ174" s="525"/>
      <c r="AR174" s="525"/>
      <c r="AS174" s="525"/>
      <c r="AT174" s="525"/>
      <c r="AU174" s="525"/>
      <c r="AV174" s="525"/>
      <c r="AW174" s="525"/>
      <c r="AX174" s="525"/>
      <c r="AY174" s="525"/>
      <c r="AZ174" s="525"/>
      <c r="BA174" s="525"/>
      <c r="BB174" s="525"/>
      <c r="BC174" s="525"/>
      <c r="BD174" s="525"/>
      <c r="BE174" s="525"/>
      <c r="BF174" s="525"/>
      <c r="BG174" s="525"/>
      <c r="BH174" s="525"/>
      <c r="BI174" s="525"/>
      <c r="BJ174" s="525"/>
      <c r="BK174" s="525"/>
      <c r="BL174" s="525"/>
      <c r="BM174" s="525"/>
      <c r="BN174" s="525"/>
      <c r="BO174" s="525"/>
      <c r="BP174" s="525"/>
      <c r="BQ174" s="525"/>
      <c r="BR174" s="525"/>
      <c r="BS174" s="525"/>
      <c r="BT174" s="525"/>
      <c r="BU174" s="525"/>
      <c r="BV174" s="525"/>
      <c r="BW174" s="525"/>
      <c r="BX174" s="525"/>
      <c r="BY174" s="525"/>
    </row>
    <row r="175" spans="3:77" x14ac:dyDescent="0.3">
      <c r="C175" s="2"/>
      <c r="D175" s="2"/>
      <c r="E175" s="105" t="str">
        <f>"Post-capex - outlet EBITDA: "&amp;E$160</f>
        <v>Post-capex - outlet EBITDA: Uninvested Tranche</v>
      </c>
      <c r="F175" s="2"/>
      <c r="G175" s="2"/>
      <c r="H175" s="2"/>
      <c r="I175" s="2"/>
      <c r="J175" s="2"/>
      <c r="K175" s="2"/>
      <c r="L175" s="2"/>
      <c r="M175" s="2"/>
      <c r="N175" s="2"/>
      <c r="O175" s="2"/>
      <c r="P175" s="10"/>
      <c r="Q175" s="2"/>
      <c r="R175" s="497">
        <f t="shared" si="216"/>
        <v>0</v>
      </c>
      <c r="S175" s="497">
        <f t="shared" si="217"/>
        <v>0</v>
      </c>
      <c r="T175" s="497">
        <f t="shared" si="217"/>
        <v>0</v>
      </c>
      <c r="U175" s="497">
        <f t="shared" si="217"/>
        <v>0</v>
      </c>
      <c r="V175" s="497">
        <f t="shared" si="217"/>
        <v>0</v>
      </c>
      <c r="W175" s="497">
        <f t="shared" si="217"/>
        <v>0</v>
      </c>
      <c r="X175" s="2"/>
      <c r="Y175" s="2"/>
      <c r="Z175" s="169"/>
      <c r="AA175" s="2"/>
      <c r="AB175" s="2"/>
      <c r="AC175" s="2"/>
      <c r="AD175" s="2"/>
      <c r="AE175" s="2"/>
      <c r="AF175" s="2"/>
      <c r="AG175" s="2"/>
      <c r="AH175" s="2"/>
      <c r="AI175" s="2"/>
      <c r="AJ175" s="2"/>
      <c r="AK175" s="2"/>
      <c r="AL175" s="2"/>
      <c r="AM175" s="2"/>
      <c r="AN175" s="525"/>
      <c r="AO175" s="525"/>
      <c r="AP175" s="525"/>
      <c r="AQ175" s="525"/>
      <c r="AR175" s="525"/>
      <c r="AS175" s="525"/>
      <c r="AT175" s="525"/>
      <c r="AU175" s="525"/>
      <c r="AV175" s="525"/>
      <c r="AW175" s="525"/>
      <c r="AX175" s="525"/>
      <c r="AY175" s="525"/>
      <c r="AZ175" s="525"/>
      <c r="BA175" s="525"/>
      <c r="BB175" s="525"/>
      <c r="BC175" s="525"/>
      <c r="BD175" s="525"/>
      <c r="BE175" s="525"/>
      <c r="BF175" s="525"/>
      <c r="BG175" s="525"/>
      <c r="BH175" s="525"/>
      <c r="BI175" s="525"/>
      <c r="BJ175" s="525"/>
      <c r="BK175" s="525"/>
      <c r="BL175" s="525"/>
      <c r="BM175" s="525"/>
      <c r="BN175" s="525"/>
      <c r="BO175" s="525"/>
      <c r="BP175" s="525"/>
      <c r="BQ175" s="525"/>
      <c r="BR175" s="525"/>
      <c r="BS175" s="525"/>
      <c r="BT175" s="525"/>
      <c r="BU175" s="525"/>
      <c r="BV175" s="525"/>
      <c r="BW175" s="525"/>
      <c r="BX175" s="525"/>
      <c r="BY175" s="525"/>
    </row>
    <row r="176" spans="3:77" x14ac:dyDescent="0.3">
      <c r="C176" s="2"/>
      <c r="D176" s="2"/>
      <c r="E176" s="2"/>
      <c r="F176" s="2"/>
      <c r="G176" s="2"/>
      <c r="H176" s="2"/>
      <c r="I176" s="2"/>
      <c r="J176" s="2"/>
      <c r="K176" s="2"/>
      <c r="L176" s="2"/>
      <c r="M176" s="2"/>
      <c r="N176" s="169"/>
      <c r="P176" s="35"/>
      <c r="Q176" s="37"/>
      <c r="R176" s="2"/>
      <c r="S176" s="2"/>
      <c r="T176" s="2"/>
      <c r="U176" s="2"/>
      <c r="V176" s="2"/>
      <c r="W176" s="2"/>
      <c r="X176" s="2"/>
      <c r="Y176" s="37"/>
      <c r="Z176" s="2"/>
      <c r="AA176" s="2"/>
      <c r="AB176" s="2"/>
      <c r="AC176" s="2"/>
      <c r="AD176" s="2"/>
      <c r="AE176" s="2"/>
      <c r="AF176" s="2"/>
      <c r="AG176" s="2"/>
      <c r="AH176" s="2"/>
      <c r="AI176" s="2"/>
      <c r="AJ176" s="2"/>
      <c r="AK176" s="2"/>
      <c r="AL176" s="2"/>
      <c r="AM176" s="2"/>
      <c r="AN176" s="525"/>
      <c r="AO176" s="525"/>
      <c r="AP176" s="525"/>
      <c r="AQ176" s="525"/>
      <c r="AR176" s="525"/>
      <c r="AS176" s="525"/>
      <c r="AT176" s="525"/>
      <c r="AU176" s="525"/>
      <c r="AV176" s="525"/>
      <c r="AW176" s="525"/>
      <c r="AX176" s="525"/>
      <c r="AY176" s="525"/>
      <c r="AZ176" s="525"/>
      <c r="BA176" s="525"/>
      <c r="BB176" s="525"/>
      <c r="BC176" s="525"/>
      <c r="BD176" s="525"/>
      <c r="BE176" s="525"/>
      <c r="BF176" s="525"/>
      <c r="BG176" s="525"/>
      <c r="BH176" s="525"/>
      <c r="BI176" s="525"/>
      <c r="BJ176" s="525"/>
      <c r="BK176" s="525"/>
      <c r="BL176" s="525"/>
      <c r="BM176" s="525"/>
      <c r="BN176" s="525"/>
      <c r="BO176" s="525"/>
      <c r="BP176" s="525"/>
      <c r="BQ176" s="525"/>
      <c r="BR176" s="525"/>
      <c r="BS176" s="525"/>
      <c r="BT176" s="525"/>
      <c r="BU176" s="525"/>
      <c r="BV176" s="525"/>
      <c r="BW176" s="525"/>
      <c r="BX176" s="525"/>
      <c r="BY176" s="525"/>
    </row>
    <row r="177" spans="3:77" x14ac:dyDescent="0.3">
      <c r="C177" s="2"/>
      <c r="D177" s="2"/>
      <c r="E177" s="79" t="str">
        <f>"Outlet EBITDA: "&amp;E$155</f>
        <v>Outlet EBITDA: FY27 Tranche</v>
      </c>
      <c r="F177" s="2"/>
      <c r="G177" s="2"/>
      <c r="H177" s="2"/>
      <c r="I177" s="2"/>
      <c r="J177" s="2"/>
      <c r="K177" s="2"/>
      <c r="L177" s="2"/>
      <c r="M177" s="2"/>
      <c r="N177" s="2"/>
      <c r="O177" s="2"/>
      <c r="P177" s="35"/>
      <c r="Q177" s="37"/>
      <c r="R177" s="497">
        <f t="shared" ref="R177:AW177" si="218">(R490*R$615*$R155)+IF(R498=0,0,INDEX($S170:$W170,MATCH(R498,$S$169:$W$169,0))/12)</f>
        <v>36365.086531819856</v>
      </c>
      <c r="S177" s="497">
        <f t="shared" si="218"/>
        <v>36365.086531819856</v>
      </c>
      <c r="T177" s="497">
        <f t="shared" si="218"/>
        <v>36365.086531819856</v>
      </c>
      <c r="U177" s="497">
        <f t="shared" si="218"/>
        <v>36365.086531819856</v>
      </c>
      <c r="V177" s="497">
        <f t="shared" si="218"/>
        <v>36365.086531819856</v>
      </c>
      <c r="W177" s="497">
        <f t="shared" si="218"/>
        <v>36365.086531819856</v>
      </c>
      <c r="X177" s="497">
        <f t="shared" si="218"/>
        <v>43941.652505539532</v>
      </c>
      <c r="Y177" s="497">
        <f t="shared" si="218"/>
        <v>43941.652505539532</v>
      </c>
      <c r="Z177" s="497">
        <f t="shared" si="218"/>
        <v>43941.652505539532</v>
      </c>
      <c r="AA177" s="497">
        <f t="shared" si="218"/>
        <v>43941.652505539532</v>
      </c>
      <c r="AB177" s="497">
        <f t="shared" si="218"/>
        <v>43941.652505539532</v>
      </c>
      <c r="AC177" s="497">
        <f t="shared" si="218"/>
        <v>43941.652505539532</v>
      </c>
      <c r="AD177" s="497">
        <f t="shared" si="218"/>
        <v>43941.652505539532</v>
      </c>
      <c r="AE177" s="497">
        <f t="shared" si="218"/>
        <v>43941.652505539532</v>
      </c>
      <c r="AF177" s="497">
        <f t="shared" si="218"/>
        <v>43941.652505539532</v>
      </c>
      <c r="AG177" s="497">
        <f t="shared" si="218"/>
        <v>43941.652505539532</v>
      </c>
      <c r="AH177" s="497">
        <f t="shared" si="218"/>
        <v>43941.652505539532</v>
      </c>
      <c r="AI177" s="497">
        <f t="shared" si="218"/>
        <v>43941.652505539532</v>
      </c>
      <c r="AJ177" s="497">
        <f t="shared" si="218"/>
        <v>45699.318605761109</v>
      </c>
      <c r="AK177" s="497">
        <f t="shared" si="218"/>
        <v>45699.318605761109</v>
      </c>
      <c r="AL177" s="497">
        <f t="shared" si="218"/>
        <v>45699.318605761109</v>
      </c>
      <c r="AM177" s="497">
        <f t="shared" si="218"/>
        <v>45699.318605761109</v>
      </c>
      <c r="AN177" s="527">
        <f t="shared" si="218"/>
        <v>45699.318605761109</v>
      </c>
      <c r="AO177" s="527">
        <f t="shared" si="218"/>
        <v>45699.318605761109</v>
      </c>
      <c r="AP177" s="527">
        <f t="shared" si="218"/>
        <v>45699.318605761109</v>
      </c>
      <c r="AQ177" s="527">
        <f t="shared" si="218"/>
        <v>45699.318605761109</v>
      </c>
      <c r="AR177" s="527">
        <f t="shared" si="218"/>
        <v>45699.318605761109</v>
      </c>
      <c r="AS177" s="527">
        <f t="shared" si="218"/>
        <v>45699.318605761109</v>
      </c>
      <c r="AT177" s="527">
        <f t="shared" si="218"/>
        <v>45699.318605761109</v>
      </c>
      <c r="AU177" s="527">
        <f t="shared" si="218"/>
        <v>45699.318605761109</v>
      </c>
      <c r="AV177" s="527">
        <f t="shared" si="218"/>
        <v>47527.291349991552</v>
      </c>
      <c r="AW177" s="527">
        <f t="shared" si="218"/>
        <v>47527.291349991552</v>
      </c>
      <c r="AX177" s="527">
        <f t="shared" ref="AX177:BY177" si="219">(AX490*AX$615*$R155)+IF(AX498=0,0,INDEX($S170:$W170,MATCH(AX498,$S$169:$W$169,0))/12)</f>
        <v>47527.291349991552</v>
      </c>
      <c r="AY177" s="527">
        <f t="shared" si="219"/>
        <v>47527.291349991552</v>
      </c>
      <c r="AZ177" s="527">
        <f t="shared" si="219"/>
        <v>47527.291349991552</v>
      </c>
      <c r="BA177" s="527">
        <f t="shared" si="219"/>
        <v>47527.291349991552</v>
      </c>
      <c r="BB177" s="527">
        <f t="shared" si="219"/>
        <v>47527.291349991552</v>
      </c>
      <c r="BC177" s="527">
        <f t="shared" si="219"/>
        <v>47527.291349991552</v>
      </c>
      <c r="BD177" s="527">
        <f t="shared" si="219"/>
        <v>47527.291349991552</v>
      </c>
      <c r="BE177" s="527">
        <f t="shared" si="219"/>
        <v>47527.291349991552</v>
      </c>
      <c r="BF177" s="527">
        <f t="shared" si="219"/>
        <v>47527.291349991552</v>
      </c>
      <c r="BG177" s="527">
        <f t="shared" si="219"/>
        <v>47527.291349991552</v>
      </c>
      <c r="BH177" s="527">
        <f t="shared" si="219"/>
        <v>49428.383003991214</v>
      </c>
      <c r="BI177" s="527">
        <f t="shared" si="219"/>
        <v>49428.383003991214</v>
      </c>
      <c r="BJ177" s="527">
        <f t="shared" si="219"/>
        <v>49428.383003991214</v>
      </c>
      <c r="BK177" s="527">
        <f t="shared" si="219"/>
        <v>49428.383003991214</v>
      </c>
      <c r="BL177" s="527">
        <f t="shared" si="219"/>
        <v>49428.383003991214</v>
      </c>
      <c r="BM177" s="527">
        <f t="shared" si="219"/>
        <v>49428.383003991214</v>
      </c>
      <c r="BN177" s="527">
        <f t="shared" si="219"/>
        <v>49428.383003991214</v>
      </c>
      <c r="BO177" s="527">
        <f t="shared" si="219"/>
        <v>49428.383003991214</v>
      </c>
      <c r="BP177" s="527">
        <f t="shared" si="219"/>
        <v>49428.383003991214</v>
      </c>
      <c r="BQ177" s="527">
        <f t="shared" si="219"/>
        <v>49428.383003991214</v>
      </c>
      <c r="BR177" s="527">
        <f t="shared" si="219"/>
        <v>49428.383003991214</v>
      </c>
      <c r="BS177" s="527">
        <f t="shared" si="219"/>
        <v>49428.383003991214</v>
      </c>
      <c r="BT177" s="527">
        <f t="shared" si="219"/>
        <v>51405.518324150871</v>
      </c>
      <c r="BU177" s="527">
        <f t="shared" si="219"/>
        <v>51405.518324150871</v>
      </c>
      <c r="BV177" s="527">
        <f t="shared" si="219"/>
        <v>51405.518324150871</v>
      </c>
      <c r="BW177" s="527">
        <f t="shared" si="219"/>
        <v>51405.518324150871</v>
      </c>
      <c r="BX177" s="527">
        <f t="shared" si="219"/>
        <v>51405.518324150871</v>
      </c>
      <c r="BY177" s="527">
        <f t="shared" si="219"/>
        <v>51405.518324150871</v>
      </c>
    </row>
    <row r="178" spans="3:77" x14ac:dyDescent="0.3">
      <c r="C178" s="2"/>
      <c r="D178" s="2"/>
      <c r="E178" s="79" t="str">
        <f>"Outlet EBITDA: "&amp;E$156</f>
        <v>Outlet EBITDA: FY28 Tranche</v>
      </c>
      <c r="F178" s="2"/>
      <c r="G178" s="2"/>
      <c r="H178" s="2"/>
      <c r="I178" s="2"/>
      <c r="J178" s="2"/>
      <c r="K178" s="2"/>
      <c r="L178" s="2"/>
      <c r="M178" s="2"/>
      <c r="N178" s="2"/>
      <c r="O178" s="2"/>
      <c r="P178" s="10"/>
      <c r="Q178" s="2"/>
      <c r="R178" s="497">
        <f t="shared" ref="R178:AW178" si="220">(R491*R$615*$R156)+IF(R499=0,0,INDEX($S171:$W171,MATCH(R499,$S$169:$W$169,0))/12)</f>
        <v>36365.086531819856</v>
      </c>
      <c r="S178" s="497">
        <f t="shared" si="220"/>
        <v>36365.086531819856</v>
      </c>
      <c r="T178" s="497">
        <f t="shared" si="220"/>
        <v>36365.086531819856</v>
      </c>
      <c r="U178" s="497">
        <f t="shared" si="220"/>
        <v>36365.086531819856</v>
      </c>
      <c r="V178" s="497">
        <f t="shared" si="220"/>
        <v>36365.086531819856</v>
      </c>
      <c r="W178" s="497">
        <f t="shared" si="220"/>
        <v>36365.086531819856</v>
      </c>
      <c r="X178" s="497">
        <f t="shared" si="220"/>
        <v>36365.086531819856</v>
      </c>
      <c r="Y178" s="497">
        <f t="shared" si="220"/>
        <v>36365.086531819856</v>
      </c>
      <c r="Z178" s="497">
        <f t="shared" si="220"/>
        <v>36365.086531819856</v>
      </c>
      <c r="AA178" s="497">
        <f t="shared" si="220"/>
        <v>36365.086531819856</v>
      </c>
      <c r="AB178" s="497">
        <f t="shared" si="220"/>
        <v>36365.086531819856</v>
      </c>
      <c r="AC178" s="497">
        <f t="shared" si="220"/>
        <v>36365.086531819856</v>
      </c>
      <c r="AD178" s="497">
        <f t="shared" si="220"/>
        <v>37786.399365737954</v>
      </c>
      <c r="AE178" s="497">
        <f t="shared" si="220"/>
        <v>37786.399365737954</v>
      </c>
      <c r="AF178" s="497">
        <f t="shared" si="220"/>
        <v>37786.399365737954</v>
      </c>
      <c r="AG178" s="497">
        <f t="shared" si="220"/>
        <v>37786.399365737954</v>
      </c>
      <c r="AH178" s="497">
        <f t="shared" si="220"/>
        <v>37786.399365737954</v>
      </c>
      <c r="AI178" s="497">
        <f t="shared" si="220"/>
        <v>37786.399365737954</v>
      </c>
      <c r="AJ178" s="497">
        <f t="shared" si="220"/>
        <v>45545.180237796296</v>
      </c>
      <c r="AK178" s="497">
        <f t="shared" si="220"/>
        <v>45545.180237796296</v>
      </c>
      <c r="AL178" s="497">
        <f t="shared" si="220"/>
        <v>45545.180237796296</v>
      </c>
      <c r="AM178" s="497">
        <f t="shared" si="220"/>
        <v>45545.180237796296</v>
      </c>
      <c r="AN178" s="527">
        <f t="shared" si="220"/>
        <v>45545.180237796296</v>
      </c>
      <c r="AO178" s="527">
        <f t="shared" si="220"/>
        <v>45545.180237796296</v>
      </c>
      <c r="AP178" s="527">
        <f t="shared" si="220"/>
        <v>45545.180237796296</v>
      </c>
      <c r="AQ178" s="527">
        <f t="shared" si="220"/>
        <v>45545.180237796296</v>
      </c>
      <c r="AR178" s="527">
        <f t="shared" si="220"/>
        <v>45545.180237796296</v>
      </c>
      <c r="AS178" s="527">
        <f t="shared" si="220"/>
        <v>45545.180237796296</v>
      </c>
      <c r="AT178" s="527">
        <f t="shared" si="220"/>
        <v>45545.180237796296</v>
      </c>
      <c r="AU178" s="527">
        <f t="shared" si="220"/>
        <v>45545.180237796296</v>
      </c>
      <c r="AV178" s="527">
        <f t="shared" si="220"/>
        <v>47366.987447308144</v>
      </c>
      <c r="AW178" s="527">
        <f t="shared" si="220"/>
        <v>47366.987447308144</v>
      </c>
      <c r="AX178" s="527">
        <f t="shared" ref="AX178:BY178" si="221">(AX491*AX$615*$R156)+IF(AX499=0,0,INDEX($S171:$W171,MATCH(AX499,$S$169:$W$169,0))/12)</f>
        <v>47366.987447308144</v>
      </c>
      <c r="AY178" s="527">
        <f t="shared" si="221"/>
        <v>47366.987447308144</v>
      </c>
      <c r="AZ178" s="527">
        <f t="shared" si="221"/>
        <v>47366.987447308144</v>
      </c>
      <c r="BA178" s="527">
        <f t="shared" si="221"/>
        <v>47366.987447308144</v>
      </c>
      <c r="BB178" s="527">
        <f t="shared" si="221"/>
        <v>47366.987447308144</v>
      </c>
      <c r="BC178" s="527">
        <f t="shared" si="221"/>
        <v>47366.987447308144</v>
      </c>
      <c r="BD178" s="527">
        <f t="shared" si="221"/>
        <v>47366.987447308144</v>
      </c>
      <c r="BE178" s="527">
        <f t="shared" si="221"/>
        <v>47366.987447308144</v>
      </c>
      <c r="BF178" s="527">
        <f t="shared" si="221"/>
        <v>47366.987447308144</v>
      </c>
      <c r="BG178" s="527">
        <f t="shared" si="221"/>
        <v>47366.987447308144</v>
      </c>
      <c r="BH178" s="527">
        <f t="shared" si="221"/>
        <v>49261.666945200472</v>
      </c>
      <c r="BI178" s="527">
        <f t="shared" si="221"/>
        <v>49261.666945200472</v>
      </c>
      <c r="BJ178" s="527">
        <f t="shared" si="221"/>
        <v>49261.666945200472</v>
      </c>
      <c r="BK178" s="527">
        <f t="shared" si="221"/>
        <v>49261.666945200472</v>
      </c>
      <c r="BL178" s="527">
        <f t="shared" si="221"/>
        <v>49261.666945200472</v>
      </c>
      <c r="BM178" s="527">
        <f t="shared" si="221"/>
        <v>49261.666945200472</v>
      </c>
      <c r="BN178" s="527">
        <f t="shared" si="221"/>
        <v>49261.666945200472</v>
      </c>
      <c r="BO178" s="527">
        <f t="shared" si="221"/>
        <v>49261.666945200472</v>
      </c>
      <c r="BP178" s="527">
        <f t="shared" si="221"/>
        <v>49261.666945200472</v>
      </c>
      <c r="BQ178" s="527">
        <f t="shared" si="221"/>
        <v>49261.666945200472</v>
      </c>
      <c r="BR178" s="527">
        <f t="shared" si="221"/>
        <v>49261.666945200472</v>
      </c>
      <c r="BS178" s="527">
        <f t="shared" si="221"/>
        <v>49261.666945200472</v>
      </c>
      <c r="BT178" s="527">
        <f t="shared" si="221"/>
        <v>51232.133623008493</v>
      </c>
      <c r="BU178" s="527">
        <f t="shared" si="221"/>
        <v>51232.133623008493</v>
      </c>
      <c r="BV178" s="527">
        <f t="shared" si="221"/>
        <v>51232.133623008493</v>
      </c>
      <c r="BW178" s="527">
        <f t="shared" si="221"/>
        <v>51232.133623008493</v>
      </c>
      <c r="BX178" s="527">
        <f t="shared" si="221"/>
        <v>51232.133623008493</v>
      </c>
      <c r="BY178" s="527">
        <f t="shared" si="221"/>
        <v>51232.133623008493</v>
      </c>
    </row>
    <row r="179" spans="3:77" x14ac:dyDescent="0.3">
      <c r="C179" s="2"/>
      <c r="D179" s="2"/>
      <c r="E179" s="79" t="str">
        <f>"Outlet EBITDA: "&amp;E$157</f>
        <v>Outlet EBITDA: FY29 Tranche</v>
      </c>
      <c r="F179" s="2"/>
      <c r="G179" s="2"/>
      <c r="H179" s="2"/>
      <c r="I179" s="2"/>
      <c r="J179" s="2"/>
      <c r="K179" s="2"/>
      <c r="L179" s="2"/>
      <c r="M179" s="2"/>
      <c r="N179" s="2"/>
      <c r="O179" s="2"/>
      <c r="P179" s="10"/>
      <c r="Q179" s="2"/>
      <c r="R179" s="497">
        <f t="shared" ref="R179:AW179" si="222">(R492*R$615*$R157)+IF(R500=0,0,INDEX($S172:$W172,MATCH(R500,$S$169:$W$169,0))/12)</f>
        <v>36365.086531819856</v>
      </c>
      <c r="S179" s="497">
        <f t="shared" si="222"/>
        <v>36365.086531819856</v>
      </c>
      <c r="T179" s="497">
        <f t="shared" si="222"/>
        <v>36365.086531819856</v>
      </c>
      <c r="U179" s="497">
        <f t="shared" si="222"/>
        <v>36365.086531819856</v>
      </c>
      <c r="V179" s="497">
        <f t="shared" si="222"/>
        <v>36365.086531819856</v>
      </c>
      <c r="W179" s="497">
        <f t="shared" si="222"/>
        <v>36365.086531819856</v>
      </c>
      <c r="X179" s="497">
        <f t="shared" si="222"/>
        <v>36365.086531819856</v>
      </c>
      <c r="Y179" s="497">
        <f t="shared" si="222"/>
        <v>36365.086531819856</v>
      </c>
      <c r="Z179" s="497">
        <f t="shared" si="222"/>
        <v>36365.086531819856</v>
      </c>
      <c r="AA179" s="497">
        <f t="shared" si="222"/>
        <v>36365.086531819856</v>
      </c>
      <c r="AB179" s="497">
        <f t="shared" si="222"/>
        <v>36365.086531819856</v>
      </c>
      <c r="AC179" s="497">
        <f t="shared" si="222"/>
        <v>36365.086531819856</v>
      </c>
      <c r="AD179" s="497">
        <f t="shared" si="222"/>
        <v>37786.399365737954</v>
      </c>
      <c r="AE179" s="497">
        <f t="shared" si="222"/>
        <v>37786.399365737954</v>
      </c>
      <c r="AF179" s="497">
        <f t="shared" si="222"/>
        <v>37786.399365737954</v>
      </c>
      <c r="AG179" s="497">
        <f t="shared" si="222"/>
        <v>37786.399365737954</v>
      </c>
      <c r="AH179" s="497">
        <f t="shared" si="222"/>
        <v>37786.399365737954</v>
      </c>
      <c r="AI179" s="497">
        <f t="shared" si="222"/>
        <v>37786.399365737954</v>
      </c>
      <c r="AJ179" s="497">
        <f t="shared" si="222"/>
        <v>37786.399365737954</v>
      </c>
      <c r="AK179" s="497">
        <f t="shared" si="222"/>
        <v>37786.399365737954</v>
      </c>
      <c r="AL179" s="497">
        <f t="shared" si="222"/>
        <v>37786.399365737954</v>
      </c>
      <c r="AM179" s="497">
        <f t="shared" si="222"/>
        <v>37786.399365737954</v>
      </c>
      <c r="AN179" s="527">
        <f t="shared" si="222"/>
        <v>37786.399365737954</v>
      </c>
      <c r="AO179" s="527">
        <f t="shared" si="222"/>
        <v>37786.399365737954</v>
      </c>
      <c r="AP179" s="527">
        <f t="shared" si="222"/>
        <v>39196.811125947796</v>
      </c>
      <c r="AQ179" s="527">
        <f t="shared" si="222"/>
        <v>39196.811125947796</v>
      </c>
      <c r="AR179" s="527">
        <f t="shared" si="222"/>
        <v>39196.811125947796</v>
      </c>
      <c r="AS179" s="527">
        <f t="shared" si="222"/>
        <v>39196.811125947796</v>
      </c>
      <c r="AT179" s="527">
        <f t="shared" si="222"/>
        <v>39196.811125947796</v>
      </c>
      <c r="AU179" s="527">
        <f t="shared" si="222"/>
        <v>39196.811125947796</v>
      </c>
      <c r="AV179" s="527">
        <f t="shared" si="222"/>
        <v>47129.81090927482</v>
      </c>
      <c r="AW179" s="527">
        <f t="shared" si="222"/>
        <v>47129.81090927482</v>
      </c>
      <c r="AX179" s="527">
        <f t="shared" ref="AX179:BY179" si="223">(AX492*AX$615*$R157)+IF(AX500=0,0,INDEX($S172:$W172,MATCH(AX500,$S$169:$W$169,0))/12)</f>
        <v>47129.81090927482</v>
      </c>
      <c r="AY179" s="527">
        <f t="shared" si="223"/>
        <v>47129.81090927482</v>
      </c>
      <c r="AZ179" s="527">
        <f t="shared" si="223"/>
        <v>47129.81090927482</v>
      </c>
      <c r="BA179" s="527">
        <f t="shared" si="223"/>
        <v>47129.81090927482</v>
      </c>
      <c r="BB179" s="527">
        <f t="shared" si="223"/>
        <v>47129.81090927482</v>
      </c>
      <c r="BC179" s="527">
        <f t="shared" si="223"/>
        <v>47129.81090927482</v>
      </c>
      <c r="BD179" s="527">
        <f t="shared" si="223"/>
        <v>47129.81090927482</v>
      </c>
      <c r="BE179" s="527">
        <f t="shared" si="223"/>
        <v>47129.81090927482</v>
      </c>
      <c r="BF179" s="527">
        <f t="shared" si="223"/>
        <v>47129.81090927482</v>
      </c>
      <c r="BG179" s="527">
        <f t="shared" si="223"/>
        <v>47129.81090927482</v>
      </c>
      <c r="BH179" s="527">
        <f t="shared" si="223"/>
        <v>49015.003345645819</v>
      </c>
      <c r="BI179" s="527">
        <f t="shared" si="223"/>
        <v>49015.003345645819</v>
      </c>
      <c r="BJ179" s="527">
        <f t="shared" si="223"/>
        <v>49015.003345645819</v>
      </c>
      <c r="BK179" s="527">
        <f t="shared" si="223"/>
        <v>49015.003345645819</v>
      </c>
      <c r="BL179" s="527">
        <f t="shared" si="223"/>
        <v>49015.003345645819</v>
      </c>
      <c r="BM179" s="527">
        <f t="shared" si="223"/>
        <v>49015.003345645819</v>
      </c>
      <c r="BN179" s="527">
        <f t="shared" si="223"/>
        <v>49015.003345645819</v>
      </c>
      <c r="BO179" s="527">
        <f t="shared" si="223"/>
        <v>49015.003345645819</v>
      </c>
      <c r="BP179" s="527">
        <f t="shared" si="223"/>
        <v>49015.003345645819</v>
      </c>
      <c r="BQ179" s="527">
        <f t="shared" si="223"/>
        <v>49015.003345645819</v>
      </c>
      <c r="BR179" s="527">
        <f t="shared" si="223"/>
        <v>49015.003345645819</v>
      </c>
      <c r="BS179" s="527">
        <f t="shared" si="223"/>
        <v>49015.003345645819</v>
      </c>
      <c r="BT179" s="527">
        <f t="shared" si="223"/>
        <v>50975.603479471647</v>
      </c>
      <c r="BU179" s="527">
        <f t="shared" si="223"/>
        <v>50975.603479471647</v>
      </c>
      <c r="BV179" s="527">
        <f t="shared" si="223"/>
        <v>50975.603479471647</v>
      </c>
      <c r="BW179" s="527">
        <f t="shared" si="223"/>
        <v>50975.603479471647</v>
      </c>
      <c r="BX179" s="527">
        <f t="shared" si="223"/>
        <v>50975.603479471647</v>
      </c>
      <c r="BY179" s="527">
        <f t="shared" si="223"/>
        <v>50975.603479471647</v>
      </c>
    </row>
    <row r="180" spans="3:77" x14ac:dyDescent="0.3">
      <c r="C180" s="2"/>
      <c r="D180" s="2"/>
      <c r="E180" s="79" t="str">
        <f>"Outlet EBITDA: "&amp;E$158</f>
        <v>Outlet EBITDA: FY30 Tranche</v>
      </c>
      <c r="F180" s="2"/>
      <c r="G180" s="2"/>
      <c r="H180" s="2"/>
      <c r="I180" s="2"/>
      <c r="J180" s="2"/>
      <c r="K180" s="2"/>
      <c r="L180" s="2"/>
      <c r="M180" s="2"/>
      <c r="N180" s="2"/>
      <c r="O180" s="2"/>
      <c r="P180" s="10"/>
      <c r="Q180" s="2"/>
      <c r="R180" s="497">
        <f t="shared" ref="R180:AW180" si="224">(R493*R$615*$R158)+IF(R501=0,0,INDEX($S173:$W173,MATCH(R501,$S$169:$W$169,0))/12)</f>
        <v>36365.086531819856</v>
      </c>
      <c r="S180" s="497">
        <f t="shared" si="224"/>
        <v>36365.086531819856</v>
      </c>
      <c r="T180" s="497">
        <f t="shared" si="224"/>
        <v>36365.086531819856</v>
      </c>
      <c r="U180" s="497">
        <f t="shared" si="224"/>
        <v>36365.086531819856</v>
      </c>
      <c r="V180" s="497">
        <f t="shared" si="224"/>
        <v>36365.086531819856</v>
      </c>
      <c r="W180" s="497">
        <f t="shared" si="224"/>
        <v>36365.086531819856</v>
      </c>
      <c r="X180" s="497">
        <f t="shared" si="224"/>
        <v>36365.086531819856</v>
      </c>
      <c r="Y180" s="497">
        <f t="shared" si="224"/>
        <v>36365.086531819856</v>
      </c>
      <c r="Z180" s="497">
        <f t="shared" si="224"/>
        <v>36365.086531819856</v>
      </c>
      <c r="AA180" s="497">
        <f t="shared" si="224"/>
        <v>36365.086531819856</v>
      </c>
      <c r="AB180" s="497">
        <f t="shared" si="224"/>
        <v>36365.086531819856</v>
      </c>
      <c r="AC180" s="497">
        <f t="shared" si="224"/>
        <v>36365.086531819856</v>
      </c>
      <c r="AD180" s="497">
        <f t="shared" si="224"/>
        <v>37786.399365737954</v>
      </c>
      <c r="AE180" s="497">
        <f t="shared" si="224"/>
        <v>37786.399365737954</v>
      </c>
      <c r="AF180" s="497">
        <f t="shared" si="224"/>
        <v>37786.399365737954</v>
      </c>
      <c r="AG180" s="497">
        <f t="shared" si="224"/>
        <v>37786.399365737954</v>
      </c>
      <c r="AH180" s="497">
        <f t="shared" si="224"/>
        <v>37786.399365737954</v>
      </c>
      <c r="AI180" s="497">
        <f t="shared" si="224"/>
        <v>37786.399365737954</v>
      </c>
      <c r="AJ180" s="497">
        <f t="shared" si="224"/>
        <v>37786.399365737954</v>
      </c>
      <c r="AK180" s="497">
        <f t="shared" si="224"/>
        <v>37786.399365737954</v>
      </c>
      <c r="AL180" s="497">
        <f t="shared" si="224"/>
        <v>37786.399365737954</v>
      </c>
      <c r="AM180" s="497">
        <f t="shared" si="224"/>
        <v>37786.399365737954</v>
      </c>
      <c r="AN180" s="527">
        <f t="shared" si="224"/>
        <v>37786.399365737954</v>
      </c>
      <c r="AO180" s="527">
        <f t="shared" si="224"/>
        <v>37786.399365737954</v>
      </c>
      <c r="AP180" s="527">
        <f t="shared" si="224"/>
        <v>39196.811125947796</v>
      </c>
      <c r="AQ180" s="527">
        <f t="shared" si="224"/>
        <v>39196.811125947796</v>
      </c>
      <c r="AR180" s="527">
        <f t="shared" si="224"/>
        <v>39196.811125947796</v>
      </c>
      <c r="AS180" s="527">
        <f t="shared" si="224"/>
        <v>39196.811125947796</v>
      </c>
      <c r="AT180" s="527">
        <f t="shared" si="224"/>
        <v>39196.811125947796</v>
      </c>
      <c r="AU180" s="527">
        <f t="shared" si="224"/>
        <v>39196.811125947796</v>
      </c>
      <c r="AV180" s="527">
        <f t="shared" si="224"/>
        <v>39196.811125947796</v>
      </c>
      <c r="AW180" s="527">
        <f t="shared" si="224"/>
        <v>39196.811125947796</v>
      </c>
      <c r="AX180" s="527">
        <f t="shared" ref="AX180:BY180" si="225">(AX493*AX$615*$R158)+IF(AX501=0,0,INDEX($S173:$W173,MATCH(AX501,$S$169:$W$169,0))/12)</f>
        <v>39196.811125947796</v>
      </c>
      <c r="AY180" s="527">
        <f t="shared" si="225"/>
        <v>39196.811125947796</v>
      </c>
      <c r="AZ180" s="527">
        <f t="shared" si="225"/>
        <v>39196.811125947796</v>
      </c>
      <c r="BA180" s="527">
        <f t="shared" si="225"/>
        <v>39196.811125947796</v>
      </c>
      <c r="BB180" s="527">
        <f t="shared" si="225"/>
        <v>40564.592998265915</v>
      </c>
      <c r="BC180" s="527">
        <f t="shared" si="225"/>
        <v>40564.592998265915</v>
      </c>
      <c r="BD180" s="527">
        <f t="shared" si="225"/>
        <v>40564.592998265915</v>
      </c>
      <c r="BE180" s="527">
        <f t="shared" si="225"/>
        <v>40564.592998265915</v>
      </c>
      <c r="BF180" s="527">
        <f t="shared" si="225"/>
        <v>40564.592998265915</v>
      </c>
      <c r="BG180" s="527">
        <f t="shared" si="225"/>
        <v>40564.592998265915</v>
      </c>
      <c r="BH180" s="527">
        <f t="shared" si="225"/>
        <v>48661.628406096861</v>
      </c>
      <c r="BI180" s="527">
        <f t="shared" si="225"/>
        <v>48661.628406096861</v>
      </c>
      <c r="BJ180" s="527">
        <f t="shared" si="225"/>
        <v>48661.628406096861</v>
      </c>
      <c r="BK180" s="527">
        <f t="shared" si="225"/>
        <v>48661.628406096861</v>
      </c>
      <c r="BL180" s="527">
        <f t="shared" si="225"/>
        <v>48661.628406096861</v>
      </c>
      <c r="BM180" s="527">
        <f t="shared" si="225"/>
        <v>48661.628406096861</v>
      </c>
      <c r="BN180" s="527">
        <f t="shared" si="225"/>
        <v>48661.628406096861</v>
      </c>
      <c r="BO180" s="527">
        <f t="shared" si="225"/>
        <v>48661.628406096861</v>
      </c>
      <c r="BP180" s="527">
        <f t="shared" si="225"/>
        <v>48661.628406096861</v>
      </c>
      <c r="BQ180" s="527">
        <f t="shared" si="225"/>
        <v>48661.628406096861</v>
      </c>
      <c r="BR180" s="527">
        <f t="shared" si="225"/>
        <v>48661.628406096861</v>
      </c>
      <c r="BS180" s="527">
        <f t="shared" si="225"/>
        <v>48661.628406096861</v>
      </c>
      <c r="BT180" s="527">
        <f t="shared" si="225"/>
        <v>50608.093542340735</v>
      </c>
      <c r="BU180" s="527">
        <f t="shared" si="225"/>
        <v>50608.093542340735</v>
      </c>
      <c r="BV180" s="527">
        <f t="shared" si="225"/>
        <v>50608.093542340735</v>
      </c>
      <c r="BW180" s="527">
        <f t="shared" si="225"/>
        <v>50608.093542340735</v>
      </c>
      <c r="BX180" s="527">
        <f t="shared" si="225"/>
        <v>50608.093542340735</v>
      </c>
      <c r="BY180" s="527">
        <f t="shared" si="225"/>
        <v>50608.093542340735</v>
      </c>
    </row>
    <row r="181" spans="3:77" x14ac:dyDescent="0.3">
      <c r="C181" s="2"/>
      <c r="D181" s="2"/>
      <c r="E181" s="79" t="str">
        <f>"Outlet EBITDA: "&amp;E$159</f>
        <v>Outlet EBITDA: FY31 Tranche</v>
      </c>
      <c r="F181" s="2"/>
      <c r="G181" s="2"/>
      <c r="H181" s="2"/>
      <c r="I181" s="2"/>
      <c r="J181" s="2"/>
      <c r="K181" s="2"/>
      <c r="L181" s="2"/>
      <c r="M181" s="2"/>
      <c r="N181" s="2"/>
      <c r="O181" s="2"/>
      <c r="P181" s="10"/>
      <c r="Q181" s="2"/>
      <c r="R181" s="497">
        <f t="shared" ref="R181:AW181" si="226">(R494*R$615*$R159)+IF(R502=0,0,INDEX($S174:$W174,MATCH(R502,$S$169:$W$169,0))/12)</f>
        <v>36365.086531819856</v>
      </c>
      <c r="S181" s="497">
        <f t="shared" si="226"/>
        <v>36365.086531819856</v>
      </c>
      <c r="T181" s="497">
        <f t="shared" si="226"/>
        <v>36365.086531819856</v>
      </c>
      <c r="U181" s="497">
        <f t="shared" si="226"/>
        <v>36365.086531819856</v>
      </c>
      <c r="V181" s="497">
        <f t="shared" si="226"/>
        <v>36365.086531819856</v>
      </c>
      <c r="W181" s="497">
        <f t="shared" si="226"/>
        <v>36365.086531819856</v>
      </c>
      <c r="X181" s="497">
        <f t="shared" si="226"/>
        <v>36365.086531819856</v>
      </c>
      <c r="Y181" s="497">
        <f t="shared" si="226"/>
        <v>36365.086531819856</v>
      </c>
      <c r="Z181" s="497">
        <f t="shared" si="226"/>
        <v>36365.086531819856</v>
      </c>
      <c r="AA181" s="497">
        <f t="shared" si="226"/>
        <v>36365.086531819856</v>
      </c>
      <c r="AB181" s="497">
        <f t="shared" si="226"/>
        <v>36365.086531819856</v>
      </c>
      <c r="AC181" s="497">
        <f t="shared" si="226"/>
        <v>36365.086531819856</v>
      </c>
      <c r="AD181" s="497">
        <f t="shared" si="226"/>
        <v>37786.399365737954</v>
      </c>
      <c r="AE181" s="497">
        <f t="shared" si="226"/>
        <v>37786.399365737954</v>
      </c>
      <c r="AF181" s="497">
        <f t="shared" si="226"/>
        <v>37786.399365737954</v>
      </c>
      <c r="AG181" s="497">
        <f t="shared" si="226"/>
        <v>37786.399365737954</v>
      </c>
      <c r="AH181" s="497">
        <f t="shared" si="226"/>
        <v>37786.399365737954</v>
      </c>
      <c r="AI181" s="497">
        <f t="shared" si="226"/>
        <v>37786.399365737954</v>
      </c>
      <c r="AJ181" s="497">
        <f t="shared" si="226"/>
        <v>37786.399365737954</v>
      </c>
      <c r="AK181" s="497">
        <f t="shared" si="226"/>
        <v>37786.399365737954</v>
      </c>
      <c r="AL181" s="497">
        <f t="shared" si="226"/>
        <v>37786.399365737954</v>
      </c>
      <c r="AM181" s="497">
        <f t="shared" si="226"/>
        <v>37786.399365737954</v>
      </c>
      <c r="AN181" s="527">
        <f t="shared" si="226"/>
        <v>37786.399365737954</v>
      </c>
      <c r="AO181" s="527">
        <f t="shared" si="226"/>
        <v>37786.399365737954</v>
      </c>
      <c r="AP181" s="527">
        <f t="shared" si="226"/>
        <v>39196.811125947796</v>
      </c>
      <c r="AQ181" s="527">
        <f t="shared" si="226"/>
        <v>39196.811125947796</v>
      </c>
      <c r="AR181" s="527">
        <f t="shared" si="226"/>
        <v>39196.811125947796</v>
      </c>
      <c r="AS181" s="527">
        <f t="shared" si="226"/>
        <v>39196.811125947796</v>
      </c>
      <c r="AT181" s="527">
        <f t="shared" si="226"/>
        <v>39196.811125947796</v>
      </c>
      <c r="AU181" s="527">
        <f t="shared" si="226"/>
        <v>39196.811125947796</v>
      </c>
      <c r="AV181" s="527">
        <f t="shared" si="226"/>
        <v>39196.811125947796</v>
      </c>
      <c r="AW181" s="527">
        <f t="shared" si="226"/>
        <v>39196.811125947796</v>
      </c>
      <c r="AX181" s="527">
        <f t="shared" ref="AX181:BY181" si="227">(AX494*AX$615*$R159)+IF(AX502=0,0,INDEX($S174:$W174,MATCH(AX502,$S$169:$W$169,0))/12)</f>
        <v>39196.811125947796</v>
      </c>
      <c r="AY181" s="527">
        <f t="shared" si="227"/>
        <v>39196.811125947796</v>
      </c>
      <c r="AZ181" s="527">
        <f t="shared" si="227"/>
        <v>39196.811125947796</v>
      </c>
      <c r="BA181" s="527">
        <f t="shared" si="227"/>
        <v>39196.811125947796</v>
      </c>
      <c r="BB181" s="527">
        <f t="shared" si="227"/>
        <v>40564.592998265915</v>
      </c>
      <c r="BC181" s="527">
        <f t="shared" si="227"/>
        <v>40564.592998265915</v>
      </c>
      <c r="BD181" s="527">
        <f t="shared" si="227"/>
        <v>40564.592998265915</v>
      </c>
      <c r="BE181" s="527">
        <f t="shared" si="227"/>
        <v>40564.592998265915</v>
      </c>
      <c r="BF181" s="527">
        <f t="shared" si="227"/>
        <v>40564.592998265915</v>
      </c>
      <c r="BG181" s="527">
        <f t="shared" si="227"/>
        <v>40564.592998265915</v>
      </c>
      <c r="BH181" s="527">
        <f t="shared" si="227"/>
        <v>40564.592998265915</v>
      </c>
      <c r="BI181" s="527">
        <f t="shared" si="227"/>
        <v>40564.592998265915</v>
      </c>
      <c r="BJ181" s="527">
        <f t="shared" si="227"/>
        <v>40564.592998265915</v>
      </c>
      <c r="BK181" s="527">
        <f t="shared" si="227"/>
        <v>40564.592998265915</v>
      </c>
      <c r="BL181" s="527">
        <f t="shared" si="227"/>
        <v>40564.592998265915</v>
      </c>
      <c r="BM181" s="527">
        <f t="shared" si="227"/>
        <v>40564.592998265915</v>
      </c>
      <c r="BN181" s="527">
        <f t="shared" si="227"/>
        <v>41960.032127314247</v>
      </c>
      <c r="BO181" s="527">
        <f t="shared" si="227"/>
        <v>41960.032127314247</v>
      </c>
      <c r="BP181" s="527">
        <f t="shared" si="227"/>
        <v>41960.032127314247</v>
      </c>
      <c r="BQ181" s="527">
        <f t="shared" si="227"/>
        <v>41960.032127314247</v>
      </c>
      <c r="BR181" s="527">
        <f t="shared" si="227"/>
        <v>41960.032127314247</v>
      </c>
      <c r="BS181" s="527">
        <f t="shared" si="227"/>
        <v>41960.032127314247</v>
      </c>
      <c r="BT181" s="527">
        <f t="shared" si="227"/>
        <v>50215.08909229745</v>
      </c>
      <c r="BU181" s="527">
        <f t="shared" si="227"/>
        <v>50215.08909229745</v>
      </c>
      <c r="BV181" s="527">
        <f t="shared" si="227"/>
        <v>50215.08909229745</v>
      </c>
      <c r="BW181" s="527">
        <f t="shared" si="227"/>
        <v>50215.08909229745</v>
      </c>
      <c r="BX181" s="527">
        <f t="shared" si="227"/>
        <v>50215.08909229745</v>
      </c>
      <c r="BY181" s="527">
        <f t="shared" si="227"/>
        <v>50215.08909229745</v>
      </c>
    </row>
    <row r="182" spans="3:77" x14ac:dyDescent="0.3">
      <c r="C182" s="2"/>
      <c r="D182" s="2"/>
      <c r="E182" s="79" t="str">
        <f>"Outlet EBITDA: "&amp;E$160</f>
        <v>Outlet EBITDA: Uninvested Tranche</v>
      </c>
      <c r="F182" s="2"/>
      <c r="G182" s="2"/>
      <c r="H182" s="2"/>
      <c r="I182" s="2"/>
      <c r="J182" s="2"/>
      <c r="K182" s="2"/>
      <c r="L182" s="2"/>
      <c r="M182" s="2"/>
      <c r="N182" s="2"/>
      <c r="O182" s="2"/>
      <c r="P182" s="10"/>
      <c r="Q182" s="2"/>
      <c r="R182" s="497">
        <f t="shared" ref="R182:AW182" si="228">(R495*R$615*$R160)+IF(R503=0,0,INDEX($S175:$W175,MATCH(R503,$S$169:$W$169,0))/12)</f>
        <v>101822.24228909559</v>
      </c>
      <c r="S182" s="497">
        <f t="shared" si="228"/>
        <v>101822.24228909559</v>
      </c>
      <c r="T182" s="497">
        <f t="shared" si="228"/>
        <v>101822.24228909559</v>
      </c>
      <c r="U182" s="497">
        <f t="shared" si="228"/>
        <v>101822.24228909559</v>
      </c>
      <c r="V182" s="497">
        <f t="shared" si="228"/>
        <v>101822.24228909559</v>
      </c>
      <c r="W182" s="497">
        <f t="shared" si="228"/>
        <v>101822.24228909559</v>
      </c>
      <c r="X182" s="497">
        <f t="shared" si="228"/>
        <v>101822.24228909559</v>
      </c>
      <c r="Y182" s="497">
        <f t="shared" si="228"/>
        <v>101822.24228909559</v>
      </c>
      <c r="Z182" s="497">
        <f t="shared" si="228"/>
        <v>101822.24228909559</v>
      </c>
      <c r="AA182" s="497">
        <f t="shared" si="228"/>
        <v>101822.24228909559</v>
      </c>
      <c r="AB182" s="497">
        <f t="shared" si="228"/>
        <v>101822.24228909559</v>
      </c>
      <c r="AC182" s="497">
        <f t="shared" si="228"/>
        <v>101822.24228909559</v>
      </c>
      <c r="AD182" s="497">
        <f t="shared" si="228"/>
        <v>105801.91822406626</v>
      </c>
      <c r="AE182" s="497">
        <f t="shared" si="228"/>
        <v>105801.91822406626</v>
      </c>
      <c r="AF182" s="497">
        <f t="shared" si="228"/>
        <v>105801.91822406626</v>
      </c>
      <c r="AG182" s="497">
        <f t="shared" si="228"/>
        <v>105801.91822406626</v>
      </c>
      <c r="AH182" s="497">
        <f t="shared" si="228"/>
        <v>105801.91822406626</v>
      </c>
      <c r="AI182" s="497">
        <f t="shared" si="228"/>
        <v>105801.91822406626</v>
      </c>
      <c r="AJ182" s="497">
        <f t="shared" si="228"/>
        <v>105801.91822406626</v>
      </c>
      <c r="AK182" s="497">
        <f t="shared" si="228"/>
        <v>105801.91822406626</v>
      </c>
      <c r="AL182" s="497">
        <f t="shared" si="228"/>
        <v>105801.91822406626</v>
      </c>
      <c r="AM182" s="497">
        <f t="shared" si="228"/>
        <v>105801.91822406626</v>
      </c>
      <c r="AN182" s="527">
        <f t="shared" si="228"/>
        <v>105801.91822406626</v>
      </c>
      <c r="AO182" s="527">
        <f t="shared" si="228"/>
        <v>105801.91822406626</v>
      </c>
      <c r="AP182" s="527">
        <f t="shared" si="228"/>
        <v>109751.07115265382</v>
      </c>
      <c r="AQ182" s="527">
        <f t="shared" si="228"/>
        <v>109751.07115265382</v>
      </c>
      <c r="AR182" s="527">
        <f t="shared" si="228"/>
        <v>109751.07115265382</v>
      </c>
      <c r="AS182" s="527">
        <f t="shared" si="228"/>
        <v>109751.07115265382</v>
      </c>
      <c r="AT182" s="527">
        <f t="shared" si="228"/>
        <v>109751.07115265382</v>
      </c>
      <c r="AU182" s="527">
        <f t="shared" si="228"/>
        <v>109751.07115265382</v>
      </c>
      <c r="AV182" s="527">
        <f t="shared" si="228"/>
        <v>109751.07115265382</v>
      </c>
      <c r="AW182" s="527">
        <f t="shared" si="228"/>
        <v>109751.07115265382</v>
      </c>
      <c r="AX182" s="527">
        <f t="shared" ref="AX182:BY182" si="229">(AX495*AX$615*$R160)+IF(AX503=0,0,INDEX($S175:$W175,MATCH(AX503,$S$169:$W$169,0))/12)</f>
        <v>109751.07115265382</v>
      </c>
      <c r="AY182" s="527">
        <f t="shared" si="229"/>
        <v>109751.07115265382</v>
      </c>
      <c r="AZ182" s="527">
        <f t="shared" si="229"/>
        <v>109751.07115265382</v>
      </c>
      <c r="BA182" s="527">
        <f t="shared" si="229"/>
        <v>109751.07115265382</v>
      </c>
      <c r="BB182" s="527">
        <f t="shared" si="229"/>
        <v>113580.86039514457</v>
      </c>
      <c r="BC182" s="527">
        <f t="shared" si="229"/>
        <v>113580.86039514457</v>
      </c>
      <c r="BD182" s="527">
        <f t="shared" si="229"/>
        <v>113580.86039514457</v>
      </c>
      <c r="BE182" s="527">
        <f t="shared" si="229"/>
        <v>113580.86039514457</v>
      </c>
      <c r="BF182" s="527">
        <f t="shared" si="229"/>
        <v>113580.86039514457</v>
      </c>
      <c r="BG182" s="527">
        <f t="shared" si="229"/>
        <v>113580.86039514457</v>
      </c>
      <c r="BH182" s="527">
        <f t="shared" si="229"/>
        <v>113580.86039514457</v>
      </c>
      <c r="BI182" s="527">
        <f t="shared" si="229"/>
        <v>113580.86039514457</v>
      </c>
      <c r="BJ182" s="527">
        <f t="shared" si="229"/>
        <v>113580.86039514457</v>
      </c>
      <c r="BK182" s="527">
        <f t="shared" si="229"/>
        <v>113580.86039514457</v>
      </c>
      <c r="BL182" s="527">
        <f t="shared" si="229"/>
        <v>113580.86039514457</v>
      </c>
      <c r="BM182" s="527">
        <f t="shared" si="229"/>
        <v>113580.86039514457</v>
      </c>
      <c r="BN182" s="527">
        <f t="shared" si="229"/>
        <v>117488.08995647987</v>
      </c>
      <c r="BO182" s="527">
        <f t="shared" si="229"/>
        <v>117488.08995647987</v>
      </c>
      <c r="BP182" s="527">
        <f t="shared" si="229"/>
        <v>117488.08995647987</v>
      </c>
      <c r="BQ182" s="527">
        <f t="shared" si="229"/>
        <v>117488.08995647987</v>
      </c>
      <c r="BR182" s="527">
        <f t="shared" si="229"/>
        <v>117488.08995647987</v>
      </c>
      <c r="BS182" s="527">
        <f t="shared" si="229"/>
        <v>117488.08995647987</v>
      </c>
      <c r="BT182" s="527">
        <f t="shared" si="229"/>
        <v>117488.08995647987</v>
      </c>
      <c r="BU182" s="527">
        <f t="shared" si="229"/>
        <v>117488.08995647987</v>
      </c>
      <c r="BV182" s="527">
        <f t="shared" si="229"/>
        <v>117488.08995647987</v>
      </c>
      <c r="BW182" s="527">
        <f t="shared" si="229"/>
        <v>117488.08995647987</v>
      </c>
      <c r="BX182" s="527">
        <f t="shared" si="229"/>
        <v>117488.08995647987</v>
      </c>
      <c r="BY182" s="527">
        <f t="shared" si="229"/>
        <v>117488.08995647987</v>
      </c>
    </row>
    <row r="183" spans="3:77" x14ac:dyDescent="0.3">
      <c r="C183" s="2"/>
      <c r="D183" s="2"/>
      <c r="E183" s="4" t="s">
        <v>36</v>
      </c>
      <c r="F183" s="4"/>
      <c r="G183" s="4"/>
      <c r="H183" s="4"/>
      <c r="I183" s="4"/>
      <c r="J183" s="4"/>
      <c r="K183" s="4"/>
      <c r="L183" s="4"/>
      <c r="M183" s="4"/>
      <c r="N183" s="4"/>
      <c r="O183" s="4"/>
      <c r="P183" s="106"/>
      <c r="Q183" s="4"/>
      <c r="R183" s="500">
        <f t="shared" ref="R183:AW183" si="230">SUM(R177:R182)</f>
        <v>283647.67494819488</v>
      </c>
      <c r="S183" s="500">
        <f t="shared" si="230"/>
        <v>283647.67494819488</v>
      </c>
      <c r="T183" s="500">
        <f t="shared" si="230"/>
        <v>283647.67494819488</v>
      </c>
      <c r="U183" s="500">
        <f t="shared" si="230"/>
        <v>283647.67494819488</v>
      </c>
      <c r="V183" s="500">
        <f t="shared" si="230"/>
        <v>283647.67494819488</v>
      </c>
      <c r="W183" s="500">
        <f t="shared" si="230"/>
        <v>283647.67494819488</v>
      </c>
      <c r="X183" s="500">
        <f t="shared" si="230"/>
        <v>291224.24092191458</v>
      </c>
      <c r="Y183" s="500">
        <f t="shared" si="230"/>
        <v>291224.24092191458</v>
      </c>
      <c r="Z183" s="500">
        <f t="shared" si="230"/>
        <v>291224.24092191458</v>
      </c>
      <c r="AA183" s="500">
        <f t="shared" si="230"/>
        <v>291224.24092191458</v>
      </c>
      <c r="AB183" s="500">
        <f t="shared" si="230"/>
        <v>291224.24092191458</v>
      </c>
      <c r="AC183" s="500">
        <f t="shared" si="230"/>
        <v>291224.24092191458</v>
      </c>
      <c r="AD183" s="500">
        <f t="shared" si="230"/>
        <v>300889.16819255758</v>
      </c>
      <c r="AE183" s="500">
        <f t="shared" si="230"/>
        <v>300889.16819255758</v>
      </c>
      <c r="AF183" s="500">
        <f t="shared" si="230"/>
        <v>300889.16819255758</v>
      </c>
      <c r="AG183" s="500">
        <f t="shared" si="230"/>
        <v>300889.16819255758</v>
      </c>
      <c r="AH183" s="500">
        <f t="shared" si="230"/>
        <v>300889.16819255758</v>
      </c>
      <c r="AI183" s="500">
        <f t="shared" si="230"/>
        <v>300889.16819255758</v>
      </c>
      <c r="AJ183" s="500">
        <f t="shared" si="230"/>
        <v>310405.61516483751</v>
      </c>
      <c r="AK183" s="500">
        <f t="shared" si="230"/>
        <v>310405.61516483751</v>
      </c>
      <c r="AL183" s="500">
        <f t="shared" si="230"/>
        <v>310405.61516483751</v>
      </c>
      <c r="AM183" s="500">
        <f t="shared" si="230"/>
        <v>310405.61516483751</v>
      </c>
      <c r="AN183" s="532">
        <f t="shared" si="230"/>
        <v>310405.61516483751</v>
      </c>
      <c r="AO183" s="532">
        <f t="shared" si="230"/>
        <v>310405.61516483751</v>
      </c>
      <c r="AP183" s="532">
        <f t="shared" si="230"/>
        <v>318586.00337405462</v>
      </c>
      <c r="AQ183" s="532">
        <f t="shared" si="230"/>
        <v>318586.00337405462</v>
      </c>
      <c r="AR183" s="532">
        <f t="shared" si="230"/>
        <v>318586.00337405462</v>
      </c>
      <c r="AS183" s="532">
        <f t="shared" si="230"/>
        <v>318586.00337405462</v>
      </c>
      <c r="AT183" s="532">
        <f t="shared" si="230"/>
        <v>318586.00337405462</v>
      </c>
      <c r="AU183" s="532">
        <f t="shared" si="230"/>
        <v>318586.00337405462</v>
      </c>
      <c r="AV183" s="532">
        <f t="shared" si="230"/>
        <v>330168.78311112395</v>
      </c>
      <c r="AW183" s="532">
        <f t="shared" si="230"/>
        <v>330168.78311112395</v>
      </c>
      <c r="AX183" s="532">
        <f t="shared" ref="AX183:BY183" si="231">SUM(AX177:AX182)</f>
        <v>330168.78311112395</v>
      </c>
      <c r="AY183" s="532">
        <f t="shared" si="231"/>
        <v>330168.78311112395</v>
      </c>
      <c r="AZ183" s="532">
        <f t="shared" si="231"/>
        <v>330168.78311112395</v>
      </c>
      <c r="BA183" s="532">
        <f t="shared" si="231"/>
        <v>330168.78311112395</v>
      </c>
      <c r="BB183" s="532">
        <f t="shared" si="231"/>
        <v>336734.13609825092</v>
      </c>
      <c r="BC183" s="532">
        <f t="shared" si="231"/>
        <v>336734.13609825092</v>
      </c>
      <c r="BD183" s="532">
        <f t="shared" si="231"/>
        <v>336734.13609825092</v>
      </c>
      <c r="BE183" s="532">
        <f t="shared" si="231"/>
        <v>336734.13609825092</v>
      </c>
      <c r="BF183" s="532">
        <f t="shared" si="231"/>
        <v>336734.13609825092</v>
      </c>
      <c r="BG183" s="532">
        <f t="shared" si="231"/>
        <v>336734.13609825092</v>
      </c>
      <c r="BH183" s="532">
        <f t="shared" si="231"/>
        <v>350512.13509434485</v>
      </c>
      <c r="BI183" s="532">
        <f t="shared" si="231"/>
        <v>350512.13509434485</v>
      </c>
      <c r="BJ183" s="532">
        <f t="shared" si="231"/>
        <v>350512.13509434485</v>
      </c>
      <c r="BK183" s="532">
        <f t="shared" si="231"/>
        <v>350512.13509434485</v>
      </c>
      <c r="BL183" s="532">
        <f t="shared" si="231"/>
        <v>350512.13509434485</v>
      </c>
      <c r="BM183" s="532">
        <f t="shared" si="231"/>
        <v>350512.13509434485</v>
      </c>
      <c r="BN183" s="532">
        <f t="shared" si="231"/>
        <v>355814.80378472852</v>
      </c>
      <c r="BO183" s="532">
        <f t="shared" si="231"/>
        <v>355814.80378472852</v>
      </c>
      <c r="BP183" s="532">
        <f t="shared" si="231"/>
        <v>355814.80378472852</v>
      </c>
      <c r="BQ183" s="532">
        <f t="shared" si="231"/>
        <v>355814.80378472852</v>
      </c>
      <c r="BR183" s="532">
        <f t="shared" si="231"/>
        <v>355814.80378472852</v>
      </c>
      <c r="BS183" s="532">
        <f t="shared" si="231"/>
        <v>355814.80378472852</v>
      </c>
      <c r="BT183" s="532">
        <f t="shared" si="231"/>
        <v>371924.52801774908</v>
      </c>
      <c r="BU183" s="532">
        <f t="shared" si="231"/>
        <v>371924.52801774908</v>
      </c>
      <c r="BV183" s="532">
        <f t="shared" si="231"/>
        <v>371924.52801774908</v>
      </c>
      <c r="BW183" s="532">
        <f t="shared" si="231"/>
        <v>371924.52801774908</v>
      </c>
      <c r="BX183" s="532">
        <f t="shared" si="231"/>
        <v>371924.52801774908</v>
      </c>
      <c r="BY183" s="532">
        <f t="shared" si="231"/>
        <v>371924.52801774908</v>
      </c>
    </row>
    <row r="184" spans="3:77" x14ac:dyDescent="0.3">
      <c r="C184" s="2"/>
      <c r="D184" s="2"/>
      <c r="E184" s="2"/>
      <c r="F184" s="2"/>
      <c r="G184" s="2"/>
      <c r="H184" s="2"/>
      <c r="I184" s="2"/>
      <c r="J184" s="2"/>
      <c r="K184" s="2"/>
      <c r="L184" s="2"/>
      <c r="M184" s="2"/>
      <c r="N184" s="2"/>
      <c r="O184" s="2"/>
      <c r="P184" s="10"/>
      <c r="Q184" s="2"/>
      <c r="R184" s="2"/>
      <c r="S184" s="2"/>
      <c r="T184" s="2"/>
      <c r="U184" s="2"/>
      <c r="V184" s="2"/>
      <c r="W184" s="2"/>
      <c r="X184" s="2"/>
      <c r="Y184" s="2"/>
      <c r="Z184" s="2"/>
      <c r="AA184" s="2"/>
      <c r="AB184" s="2"/>
      <c r="AC184" s="2"/>
      <c r="AD184" s="2"/>
      <c r="AE184" s="2"/>
      <c r="AF184" s="2"/>
      <c r="AG184" s="2"/>
      <c r="AH184" s="2"/>
      <c r="AI184" s="37"/>
      <c r="AJ184" s="2"/>
      <c r="AK184" s="2"/>
      <c r="AL184" s="2"/>
      <c r="AM184" s="2"/>
      <c r="AN184" s="525"/>
      <c r="AO184" s="525"/>
      <c r="AP184" s="525"/>
      <c r="AQ184" s="525"/>
      <c r="AR184" s="525"/>
      <c r="AS184" s="525"/>
      <c r="AT184" s="525"/>
      <c r="AU184" s="525"/>
      <c r="AV184" s="525"/>
      <c r="AW184" s="525"/>
      <c r="AX184" s="525"/>
      <c r="AY184" s="525"/>
      <c r="AZ184" s="525"/>
      <c r="BA184" s="525"/>
      <c r="BB184" s="525"/>
      <c r="BC184" s="525"/>
      <c r="BD184" s="525"/>
      <c r="BE184" s="525"/>
      <c r="BF184" s="525"/>
      <c r="BG184" s="525"/>
      <c r="BH184" s="525"/>
      <c r="BI184" s="525"/>
      <c r="BJ184" s="525"/>
      <c r="BK184" s="525"/>
      <c r="BL184" s="525"/>
      <c r="BM184" s="525"/>
      <c r="BN184" s="525"/>
      <c r="BO184" s="525"/>
      <c r="BP184" s="525"/>
      <c r="BQ184" s="525"/>
      <c r="BR184" s="525"/>
      <c r="BS184" s="525"/>
      <c r="BT184" s="525"/>
      <c r="BU184" s="525"/>
      <c r="BV184" s="525"/>
      <c r="BW184" s="525"/>
      <c r="BX184" s="525"/>
      <c r="BY184" s="525"/>
    </row>
    <row r="185" spans="3:77" x14ac:dyDescent="0.3">
      <c r="C185" s="2"/>
      <c r="D185" s="2"/>
      <c r="E185" s="107" t="str">
        <f>"EBITDA uplift due to capex: "&amp;E$155</f>
        <v>EBITDA uplift due to capex: FY27 Tranche</v>
      </c>
      <c r="F185" s="2"/>
      <c r="G185" s="2"/>
      <c r="H185" s="2"/>
      <c r="I185" s="2"/>
      <c r="J185" s="2"/>
      <c r="K185" s="2"/>
      <c r="L185" s="2"/>
      <c r="M185" s="2"/>
      <c r="N185" s="2"/>
      <c r="O185" s="2"/>
      <c r="P185" s="10"/>
      <c r="Q185" s="2"/>
      <c r="R185" s="497">
        <f t="shared" ref="R185:AW185" si="232">(R177*R482)-(R$615*$R155*R482)</f>
        <v>0</v>
      </c>
      <c r="S185" s="497">
        <f t="shared" si="232"/>
        <v>0</v>
      </c>
      <c r="T185" s="497">
        <f t="shared" si="232"/>
        <v>0</v>
      </c>
      <c r="U185" s="497">
        <f t="shared" si="232"/>
        <v>0</v>
      </c>
      <c r="V185" s="497">
        <f t="shared" si="232"/>
        <v>0</v>
      </c>
      <c r="W185" s="497">
        <f t="shared" si="232"/>
        <v>0</v>
      </c>
      <c r="X185" s="497">
        <f t="shared" si="232"/>
        <v>7576.5659737196765</v>
      </c>
      <c r="Y185" s="497">
        <f t="shared" si="232"/>
        <v>7576.5659737196765</v>
      </c>
      <c r="Z185" s="497">
        <f t="shared" si="232"/>
        <v>7576.5659737196765</v>
      </c>
      <c r="AA185" s="497">
        <f t="shared" si="232"/>
        <v>7576.5659737196765</v>
      </c>
      <c r="AB185" s="497">
        <f t="shared" si="232"/>
        <v>7576.5659737196765</v>
      </c>
      <c r="AC185" s="497">
        <f t="shared" si="232"/>
        <v>7576.5659737196765</v>
      </c>
      <c r="AD185" s="497">
        <f t="shared" si="232"/>
        <v>6155.2531398015781</v>
      </c>
      <c r="AE185" s="497">
        <f t="shared" si="232"/>
        <v>6155.2531398015781</v>
      </c>
      <c r="AF185" s="497">
        <f t="shared" si="232"/>
        <v>6155.2531398015781</v>
      </c>
      <c r="AG185" s="497">
        <f t="shared" si="232"/>
        <v>6155.2531398015781</v>
      </c>
      <c r="AH185" s="497">
        <f t="shared" si="232"/>
        <v>6155.2531398015781</v>
      </c>
      <c r="AI185" s="497">
        <f t="shared" si="232"/>
        <v>6155.2531398015781</v>
      </c>
      <c r="AJ185" s="497">
        <f t="shared" si="232"/>
        <v>7912.919240023155</v>
      </c>
      <c r="AK185" s="497">
        <f t="shared" si="232"/>
        <v>7912.919240023155</v>
      </c>
      <c r="AL185" s="497">
        <f t="shared" si="232"/>
        <v>7912.919240023155</v>
      </c>
      <c r="AM185" s="497">
        <f t="shared" si="232"/>
        <v>7912.919240023155</v>
      </c>
      <c r="AN185" s="527">
        <f t="shared" si="232"/>
        <v>7912.919240023155</v>
      </c>
      <c r="AO185" s="527">
        <f t="shared" si="232"/>
        <v>7912.919240023155</v>
      </c>
      <c r="AP185" s="527">
        <f t="shared" si="232"/>
        <v>6502.5074798133137</v>
      </c>
      <c r="AQ185" s="527">
        <f t="shared" si="232"/>
        <v>6502.5074798133137</v>
      </c>
      <c r="AR185" s="527">
        <f t="shared" si="232"/>
        <v>6502.5074798133137</v>
      </c>
      <c r="AS185" s="527">
        <f t="shared" si="232"/>
        <v>6502.5074798133137</v>
      </c>
      <c r="AT185" s="527">
        <f t="shared" si="232"/>
        <v>6502.5074798133137</v>
      </c>
      <c r="AU185" s="527">
        <f t="shared" si="232"/>
        <v>6502.5074798133137</v>
      </c>
      <c r="AV185" s="527">
        <f t="shared" si="232"/>
        <v>8330.4802240437566</v>
      </c>
      <c r="AW185" s="527">
        <f t="shared" si="232"/>
        <v>8330.4802240437566</v>
      </c>
      <c r="AX185" s="527">
        <f t="shared" ref="AX185:BY185" si="233">(AX177*AX482)-(AX$615*$R155*AX482)</f>
        <v>8330.4802240437566</v>
      </c>
      <c r="AY185" s="527">
        <f t="shared" si="233"/>
        <v>8330.4802240437566</v>
      </c>
      <c r="AZ185" s="527">
        <f t="shared" si="233"/>
        <v>8330.4802240437566</v>
      </c>
      <c r="BA185" s="527">
        <f t="shared" si="233"/>
        <v>8330.4802240437566</v>
      </c>
      <c r="BB185" s="527">
        <f t="shared" si="233"/>
        <v>6962.6983517256376</v>
      </c>
      <c r="BC185" s="527">
        <f t="shared" si="233"/>
        <v>6962.6983517256376</v>
      </c>
      <c r="BD185" s="527">
        <f t="shared" si="233"/>
        <v>6962.6983517256376</v>
      </c>
      <c r="BE185" s="527">
        <f t="shared" si="233"/>
        <v>6962.6983517256376</v>
      </c>
      <c r="BF185" s="527">
        <f t="shared" si="233"/>
        <v>6962.6983517256376</v>
      </c>
      <c r="BG185" s="527">
        <f t="shared" si="233"/>
        <v>6962.6983517256376</v>
      </c>
      <c r="BH185" s="527">
        <f t="shared" si="233"/>
        <v>8863.7900057252991</v>
      </c>
      <c r="BI185" s="527">
        <f t="shared" si="233"/>
        <v>8863.7900057252991</v>
      </c>
      <c r="BJ185" s="527">
        <f t="shared" si="233"/>
        <v>8863.7900057252991</v>
      </c>
      <c r="BK185" s="527">
        <f t="shared" si="233"/>
        <v>8863.7900057252991</v>
      </c>
      <c r="BL185" s="527">
        <f t="shared" si="233"/>
        <v>8863.7900057252991</v>
      </c>
      <c r="BM185" s="527">
        <f t="shared" si="233"/>
        <v>8863.7900057252991</v>
      </c>
      <c r="BN185" s="527">
        <f t="shared" si="233"/>
        <v>7468.3508766769664</v>
      </c>
      <c r="BO185" s="527">
        <f t="shared" si="233"/>
        <v>7468.3508766769664</v>
      </c>
      <c r="BP185" s="527">
        <f t="shared" si="233"/>
        <v>7468.3508766769664</v>
      </c>
      <c r="BQ185" s="527">
        <f t="shared" si="233"/>
        <v>7468.3508766769664</v>
      </c>
      <c r="BR185" s="527">
        <f t="shared" si="233"/>
        <v>7468.3508766769664</v>
      </c>
      <c r="BS185" s="527">
        <f t="shared" si="233"/>
        <v>7468.3508766769664</v>
      </c>
      <c r="BT185" s="527">
        <f t="shared" si="233"/>
        <v>9445.486196836624</v>
      </c>
      <c r="BU185" s="527">
        <f t="shared" si="233"/>
        <v>9445.486196836624</v>
      </c>
      <c r="BV185" s="527">
        <f t="shared" si="233"/>
        <v>9445.486196836624</v>
      </c>
      <c r="BW185" s="527">
        <f t="shared" si="233"/>
        <v>9445.486196836624</v>
      </c>
      <c r="BX185" s="527">
        <f t="shared" si="233"/>
        <v>9445.486196836624</v>
      </c>
      <c r="BY185" s="527">
        <f t="shared" si="233"/>
        <v>9445.486196836624</v>
      </c>
    </row>
    <row r="186" spans="3:77" x14ac:dyDescent="0.3">
      <c r="C186" s="2"/>
      <c r="D186" s="2"/>
      <c r="E186" s="107" t="str">
        <f>"EBITDA uplift due to capex: "&amp;E$156</f>
        <v>EBITDA uplift due to capex: FY28 Tranche</v>
      </c>
      <c r="F186" s="2"/>
      <c r="G186" s="2"/>
      <c r="H186" s="2"/>
      <c r="I186" s="2"/>
      <c r="J186" s="2"/>
      <c r="K186" s="2"/>
      <c r="L186" s="2"/>
      <c r="M186" s="2"/>
      <c r="N186" s="2"/>
      <c r="O186" s="2"/>
      <c r="P186" s="10"/>
      <c r="Q186" s="2"/>
      <c r="R186" s="497">
        <f t="shared" ref="R186:AW186" si="234">(R178*R483)-(R$615*$R156*R483)</f>
        <v>0</v>
      </c>
      <c r="S186" s="497">
        <f t="shared" si="234"/>
        <v>0</v>
      </c>
      <c r="T186" s="497">
        <f t="shared" si="234"/>
        <v>0</v>
      </c>
      <c r="U186" s="497">
        <f t="shared" si="234"/>
        <v>0</v>
      </c>
      <c r="V186" s="497">
        <f t="shared" si="234"/>
        <v>0</v>
      </c>
      <c r="W186" s="497">
        <f t="shared" si="234"/>
        <v>0</v>
      </c>
      <c r="X186" s="497">
        <f t="shared" si="234"/>
        <v>0</v>
      </c>
      <c r="Y186" s="497">
        <f t="shared" si="234"/>
        <v>0</v>
      </c>
      <c r="Z186" s="497">
        <f t="shared" si="234"/>
        <v>0</v>
      </c>
      <c r="AA186" s="497">
        <f t="shared" si="234"/>
        <v>0</v>
      </c>
      <c r="AB186" s="497">
        <f t="shared" si="234"/>
        <v>0</v>
      </c>
      <c r="AC186" s="497">
        <f t="shared" si="234"/>
        <v>0</v>
      </c>
      <c r="AD186" s="497">
        <f t="shared" si="234"/>
        <v>0</v>
      </c>
      <c r="AE186" s="497">
        <f t="shared" si="234"/>
        <v>0</v>
      </c>
      <c r="AF186" s="497">
        <f t="shared" si="234"/>
        <v>0</v>
      </c>
      <c r="AG186" s="497">
        <f t="shared" si="234"/>
        <v>0</v>
      </c>
      <c r="AH186" s="497">
        <f t="shared" si="234"/>
        <v>0</v>
      </c>
      <c r="AI186" s="497">
        <f t="shared" si="234"/>
        <v>0</v>
      </c>
      <c r="AJ186" s="497">
        <f t="shared" si="234"/>
        <v>7758.7808720583416</v>
      </c>
      <c r="AK186" s="497">
        <f t="shared" si="234"/>
        <v>7758.7808720583416</v>
      </c>
      <c r="AL186" s="497">
        <f t="shared" si="234"/>
        <v>7758.7808720583416</v>
      </c>
      <c r="AM186" s="497">
        <f t="shared" si="234"/>
        <v>7758.7808720583416</v>
      </c>
      <c r="AN186" s="527">
        <f t="shared" si="234"/>
        <v>7758.7808720583416</v>
      </c>
      <c r="AO186" s="527">
        <f t="shared" si="234"/>
        <v>7758.7808720583416</v>
      </c>
      <c r="AP186" s="527">
        <f t="shared" si="234"/>
        <v>6348.3691118485003</v>
      </c>
      <c r="AQ186" s="527">
        <f t="shared" si="234"/>
        <v>6348.3691118485003</v>
      </c>
      <c r="AR186" s="527">
        <f t="shared" si="234"/>
        <v>6348.3691118485003</v>
      </c>
      <c r="AS186" s="527">
        <f t="shared" si="234"/>
        <v>6348.3691118485003</v>
      </c>
      <c r="AT186" s="527">
        <f t="shared" si="234"/>
        <v>6348.3691118485003</v>
      </c>
      <c r="AU186" s="527">
        <f t="shared" si="234"/>
        <v>6348.3691118485003</v>
      </c>
      <c r="AV186" s="527">
        <f t="shared" si="234"/>
        <v>8170.1763213603481</v>
      </c>
      <c r="AW186" s="527">
        <f t="shared" si="234"/>
        <v>8170.1763213603481</v>
      </c>
      <c r="AX186" s="527">
        <f t="shared" ref="AX186:BY186" si="235">(AX178*AX483)-(AX$615*$R156*AX483)</f>
        <v>8170.1763213603481</v>
      </c>
      <c r="AY186" s="527">
        <f t="shared" si="235"/>
        <v>8170.1763213603481</v>
      </c>
      <c r="AZ186" s="527">
        <f t="shared" si="235"/>
        <v>8170.1763213603481</v>
      </c>
      <c r="BA186" s="527">
        <f t="shared" si="235"/>
        <v>8170.1763213603481</v>
      </c>
      <c r="BB186" s="527">
        <f t="shared" si="235"/>
        <v>6802.3944490422291</v>
      </c>
      <c r="BC186" s="527">
        <f t="shared" si="235"/>
        <v>6802.3944490422291</v>
      </c>
      <c r="BD186" s="527">
        <f t="shared" si="235"/>
        <v>6802.3944490422291</v>
      </c>
      <c r="BE186" s="527">
        <f t="shared" si="235"/>
        <v>6802.3944490422291</v>
      </c>
      <c r="BF186" s="527">
        <f t="shared" si="235"/>
        <v>6802.3944490422291</v>
      </c>
      <c r="BG186" s="527">
        <f t="shared" si="235"/>
        <v>6802.3944490422291</v>
      </c>
      <c r="BH186" s="527">
        <f t="shared" si="235"/>
        <v>8697.0739469345572</v>
      </c>
      <c r="BI186" s="527">
        <f t="shared" si="235"/>
        <v>8697.0739469345572</v>
      </c>
      <c r="BJ186" s="527">
        <f t="shared" si="235"/>
        <v>8697.0739469345572</v>
      </c>
      <c r="BK186" s="527">
        <f t="shared" si="235"/>
        <v>8697.0739469345572</v>
      </c>
      <c r="BL186" s="527">
        <f t="shared" si="235"/>
        <v>8697.0739469345572</v>
      </c>
      <c r="BM186" s="527">
        <f t="shared" si="235"/>
        <v>8697.0739469345572</v>
      </c>
      <c r="BN186" s="527">
        <f t="shared" si="235"/>
        <v>7301.6348178862245</v>
      </c>
      <c r="BO186" s="527">
        <f t="shared" si="235"/>
        <v>7301.6348178862245</v>
      </c>
      <c r="BP186" s="527">
        <f t="shared" si="235"/>
        <v>7301.6348178862245</v>
      </c>
      <c r="BQ186" s="527">
        <f t="shared" si="235"/>
        <v>7301.6348178862245</v>
      </c>
      <c r="BR186" s="527">
        <f t="shared" si="235"/>
        <v>7301.6348178862245</v>
      </c>
      <c r="BS186" s="527">
        <f t="shared" si="235"/>
        <v>7301.6348178862245</v>
      </c>
      <c r="BT186" s="527">
        <f t="shared" si="235"/>
        <v>9272.1014956942454</v>
      </c>
      <c r="BU186" s="527">
        <f t="shared" si="235"/>
        <v>9272.1014956942454</v>
      </c>
      <c r="BV186" s="527">
        <f t="shared" si="235"/>
        <v>9272.1014956942454</v>
      </c>
      <c r="BW186" s="527">
        <f t="shared" si="235"/>
        <v>9272.1014956942454</v>
      </c>
      <c r="BX186" s="527">
        <f t="shared" si="235"/>
        <v>9272.1014956942454</v>
      </c>
      <c r="BY186" s="527">
        <f t="shared" si="235"/>
        <v>9272.1014956942454</v>
      </c>
    </row>
    <row r="187" spans="3:77" x14ac:dyDescent="0.3">
      <c r="C187" s="2"/>
      <c r="D187" s="2"/>
      <c r="E187" s="107" t="str">
        <f>"EBITDA uplift due to capex: "&amp;E$157</f>
        <v>EBITDA uplift due to capex: FY29 Tranche</v>
      </c>
      <c r="F187" s="2"/>
      <c r="G187" s="2"/>
      <c r="H187" s="2"/>
      <c r="I187" s="2"/>
      <c r="J187" s="2"/>
      <c r="K187" s="2"/>
      <c r="L187" s="2"/>
      <c r="M187" s="2"/>
      <c r="N187" s="2"/>
      <c r="O187" s="2"/>
      <c r="P187" s="10"/>
      <c r="Q187" s="2"/>
      <c r="R187" s="497">
        <f t="shared" ref="R187:AW187" si="236">(R179*R484)-(R$615*$R157*R484)</f>
        <v>0</v>
      </c>
      <c r="S187" s="497">
        <f t="shared" si="236"/>
        <v>0</v>
      </c>
      <c r="T187" s="497">
        <f t="shared" si="236"/>
        <v>0</v>
      </c>
      <c r="U187" s="497">
        <f t="shared" si="236"/>
        <v>0</v>
      </c>
      <c r="V187" s="497">
        <f t="shared" si="236"/>
        <v>0</v>
      </c>
      <c r="W187" s="497">
        <f t="shared" si="236"/>
        <v>0</v>
      </c>
      <c r="X187" s="497">
        <f t="shared" si="236"/>
        <v>0</v>
      </c>
      <c r="Y187" s="497">
        <f t="shared" si="236"/>
        <v>0</v>
      </c>
      <c r="Z187" s="497">
        <f t="shared" si="236"/>
        <v>0</v>
      </c>
      <c r="AA187" s="497">
        <f t="shared" si="236"/>
        <v>0</v>
      </c>
      <c r="AB187" s="497">
        <f t="shared" si="236"/>
        <v>0</v>
      </c>
      <c r="AC187" s="497">
        <f t="shared" si="236"/>
        <v>0</v>
      </c>
      <c r="AD187" s="497">
        <f t="shared" si="236"/>
        <v>0</v>
      </c>
      <c r="AE187" s="497">
        <f t="shared" si="236"/>
        <v>0</v>
      </c>
      <c r="AF187" s="497">
        <f t="shared" si="236"/>
        <v>0</v>
      </c>
      <c r="AG187" s="497">
        <f t="shared" si="236"/>
        <v>0</v>
      </c>
      <c r="AH187" s="497">
        <f t="shared" si="236"/>
        <v>0</v>
      </c>
      <c r="AI187" s="497">
        <f t="shared" si="236"/>
        <v>0</v>
      </c>
      <c r="AJ187" s="497">
        <f t="shared" si="236"/>
        <v>0</v>
      </c>
      <c r="AK187" s="497">
        <f t="shared" si="236"/>
        <v>0</v>
      </c>
      <c r="AL187" s="497">
        <f t="shared" si="236"/>
        <v>0</v>
      </c>
      <c r="AM187" s="497">
        <f t="shared" si="236"/>
        <v>0</v>
      </c>
      <c r="AN187" s="527">
        <f t="shared" si="236"/>
        <v>0</v>
      </c>
      <c r="AO187" s="527">
        <f t="shared" si="236"/>
        <v>0</v>
      </c>
      <c r="AP187" s="527">
        <f t="shared" si="236"/>
        <v>0</v>
      </c>
      <c r="AQ187" s="527">
        <f t="shared" si="236"/>
        <v>0</v>
      </c>
      <c r="AR187" s="527">
        <f t="shared" si="236"/>
        <v>0</v>
      </c>
      <c r="AS187" s="527">
        <f t="shared" si="236"/>
        <v>0</v>
      </c>
      <c r="AT187" s="527">
        <f t="shared" si="236"/>
        <v>0</v>
      </c>
      <c r="AU187" s="527">
        <f t="shared" si="236"/>
        <v>0</v>
      </c>
      <c r="AV187" s="527">
        <f t="shared" si="236"/>
        <v>7932.9997833270245</v>
      </c>
      <c r="AW187" s="527">
        <f t="shared" si="236"/>
        <v>7932.9997833270245</v>
      </c>
      <c r="AX187" s="527">
        <f t="shared" ref="AX187:BY187" si="237">(AX179*AX484)-(AX$615*$R157*AX484)</f>
        <v>7932.9997833270245</v>
      </c>
      <c r="AY187" s="527">
        <f t="shared" si="237"/>
        <v>7932.9997833270245</v>
      </c>
      <c r="AZ187" s="527">
        <f t="shared" si="237"/>
        <v>7932.9997833270245</v>
      </c>
      <c r="BA187" s="527">
        <f t="shared" si="237"/>
        <v>7932.9997833270245</v>
      </c>
      <c r="BB187" s="527">
        <f t="shared" si="237"/>
        <v>6565.2179110089055</v>
      </c>
      <c r="BC187" s="527">
        <f t="shared" si="237"/>
        <v>6565.2179110089055</v>
      </c>
      <c r="BD187" s="527">
        <f t="shared" si="237"/>
        <v>6565.2179110089055</v>
      </c>
      <c r="BE187" s="527">
        <f t="shared" si="237"/>
        <v>6565.2179110089055</v>
      </c>
      <c r="BF187" s="527">
        <f t="shared" si="237"/>
        <v>6565.2179110089055</v>
      </c>
      <c r="BG187" s="527">
        <f t="shared" si="237"/>
        <v>6565.2179110089055</v>
      </c>
      <c r="BH187" s="527">
        <f t="shared" si="237"/>
        <v>8450.4103473799041</v>
      </c>
      <c r="BI187" s="527">
        <f t="shared" si="237"/>
        <v>8450.4103473799041</v>
      </c>
      <c r="BJ187" s="527">
        <f t="shared" si="237"/>
        <v>8450.4103473799041</v>
      </c>
      <c r="BK187" s="527">
        <f t="shared" si="237"/>
        <v>8450.4103473799041</v>
      </c>
      <c r="BL187" s="527">
        <f t="shared" si="237"/>
        <v>8450.4103473799041</v>
      </c>
      <c r="BM187" s="527">
        <f t="shared" si="237"/>
        <v>8450.4103473799041</v>
      </c>
      <c r="BN187" s="527">
        <f t="shared" si="237"/>
        <v>7054.9712183315714</v>
      </c>
      <c r="BO187" s="527">
        <f t="shared" si="237"/>
        <v>7054.9712183315714</v>
      </c>
      <c r="BP187" s="527">
        <f t="shared" si="237"/>
        <v>7054.9712183315714</v>
      </c>
      <c r="BQ187" s="527">
        <f t="shared" si="237"/>
        <v>7054.9712183315714</v>
      </c>
      <c r="BR187" s="527">
        <f t="shared" si="237"/>
        <v>7054.9712183315714</v>
      </c>
      <c r="BS187" s="527">
        <f t="shared" si="237"/>
        <v>7054.9712183315714</v>
      </c>
      <c r="BT187" s="527">
        <f t="shared" si="237"/>
        <v>9015.5713521573998</v>
      </c>
      <c r="BU187" s="527">
        <f t="shared" si="237"/>
        <v>9015.5713521573998</v>
      </c>
      <c r="BV187" s="527">
        <f t="shared" si="237"/>
        <v>9015.5713521573998</v>
      </c>
      <c r="BW187" s="527">
        <f t="shared" si="237"/>
        <v>9015.5713521573998</v>
      </c>
      <c r="BX187" s="527">
        <f t="shared" si="237"/>
        <v>9015.5713521573998</v>
      </c>
      <c r="BY187" s="527">
        <f t="shared" si="237"/>
        <v>9015.5713521573998</v>
      </c>
    </row>
    <row r="188" spans="3:77" x14ac:dyDescent="0.3">
      <c r="C188" s="2"/>
      <c r="D188" s="2"/>
      <c r="E188" s="107" t="str">
        <f>"EBITDA uplift due to capex: "&amp;E$158</f>
        <v>EBITDA uplift due to capex: FY30 Tranche</v>
      </c>
      <c r="F188" s="2"/>
      <c r="G188" s="2"/>
      <c r="H188" s="2"/>
      <c r="I188" s="2"/>
      <c r="J188" s="2"/>
      <c r="K188" s="2"/>
      <c r="L188" s="2"/>
      <c r="M188" s="2"/>
      <c r="N188" s="2"/>
      <c r="O188" s="2"/>
      <c r="P188" s="10"/>
      <c r="Q188" s="2"/>
      <c r="R188" s="497">
        <f t="shared" ref="R188:AW188" si="238">(R180*R485)-(R$615*$R158*R485)</f>
        <v>0</v>
      </c>
      <c r="S188" s="497">
        <f t="shared" si="238"/>
        <v>0</v>
      </c>
      <c r="T188" s="497">
        <f t="shared" si="238"/>
        <v>0</v>
      </c>
      <c r="U188" s="497">
        <f t="shared" si="238"/>
        <v>0</v>
      </c>
      <c r="V188" s="497">
        <f t="shared" si="238"/>
        <v>0</v>
      </c>
      <c r="W188" s="497">
        <f t="shared" si="238"/>
        <v>0</v>
      </c>
      <c r="X188" s="497">
        <f t="shared" si="238"/>
        <v>0</v>
      </c>
      <c r="Y188" s="497">
        <f t="shared" si="238"/>
        <v>0</v>
      </c>
      <c r="Z188" s="497">
        <f t="shared" si="238"/>
        <v>0</v>
      </c>
      <c r="AA188" s="497">
        <f t="shared" si="238"/>
        <v>0</v>
      </c>
      <c r="AB188" s="497">
        <f t="shared" si="238"/>
        <v>0</v>
      </c>
      <c r="AC188" s="497">
        <f t="shared" si="238"/>
        <v>0</v>
      </c>
      <c r="AD188" s="497">
        <f t="shared" si="238"/>
        <v>0</v>
      </c>
      <c r="AE188" s="497">
        <f t="shared" si="238"/>
        <v>0</v>
      </c>
      <c r="AF188" s="497">
        <f t="shared" si="238"/>
        <v>0</v>
      </c>
      <c r="AG188" s="497">
        <f t="shared" si="238"/>
        <v>0</v>
      </c>
      <c r="AH188" s="497">
        <f t="shared" si="238"/>
        <v>0</v>
      </c>
      <c r="AI188" s="497">
        <f t="shared" si="238"/>
        <v>0</v>
      </c>
      <c r="AJ188" s="497">
        <f t="shared" si="238"/>
        <v>0</v>
      </c>
      <c r="AK188" s="497">
        <f t="shared" si="238"/>
        <v>0</v>
      </c>
      <c r="AL188" s="497">
        <f t="shared" si="238"/>
        <v>0</v>
      </c>
      <c r="AM188" s="497">
        <f t="shared" si="238"/>
        <v>0</v>
      </c>
      <c r="AN188" s="527">
        <f t="shared" si="238"/>
        <v>0</v>
      </c>
      <c r="AO188" s="527">
        <f t="shared" si="238"/>
        <v>0</v>
      </c>
      <c r="AP188" s="527">
        <f t="shared" si="238"/>
        <v>0</v>
      </c>
      <c r="AQ188" s="527">
        <f t="shared" si="238"/>
        <v>0</v>
      </c>
      <c r="AR188" s="527">
        <f t="shared" si="238"/>
        <v>0</v>
      </c>
      <c r="AS188" s="527">
        <f t="shared" si="238"/>
        <v>0</v>
      </c>
      <c r="AT188" s="527">
        <f t="shared" si="238"/>
        <v>0</v>
      </c>
      <c r="AU188" s="527">
        <f t="shared" si="238"/>
        <v>0</v>
      </c>
      <c r="AV188" s="527">
        <f t="shared" si="238"/>
        <v>0</v>
      </c>
      <c r="AW188" s="527">
        <f t="shared" si="238"/>
        <v>0</v>
      </c>
      <c r="AX188" s="527">
        <f t="shared" ref="AX188:BY188" si="239">(AX180*AX485)-(AX$615*$R158*AX485)</f>
        <v>0</v>
      </c>
      <c r="AY188" s="527">
        <f t="shared" si="239"/>
        <v>0</v>
      </c>
      <c r="AZ188" s="527">
        <f t="shared" si="239"/>
        <v>0</v>
      </c>
      <c r="BA188" s="527">
        <f t="shared" si="239"/>
        <v>0</v>
      </c>
      <c r="BB188" s="527">
        <f t="shared" si="239"/>
        <v>0</v>
      </c>
      <c r="BC188" s="527">
        <f t="shared" si="239"/>
        <v>0</v>
      </c>
      <c r="BD188" s="527">
        <f t="shared" si="239"/>
        <v>0</v>
      </c>
      <c r="BE188" s="527">
        <f t="shared" si="239"/>
        <v>0</v>
      </c>
      <c r="BF188" s="527">
        <f t="shared" si="239"/>
        <v>0</v>
      </c>
      <c r="BG188" s="527">
        <f t="shared" si="239"/>
        <v>0</v>
      </c>
      <c r="BH188" s="527">
        <f t="shared" si="239"/>
        <v>8097.0354078309465</v>
      </c>
      <c r="BI188" s="527">
        <f t="shared" si="239"/>
        <v>8097.0354078309465</v>
      </c>
      <c r="BJ188" s="527">
        <f t="shared" si="239"/>
        <v>8097.0354078309465</v>
      </c>
      <c r="BK188" s="527">
        <f t="shared" si="239"/>
        <v>8097.0354078309465</v>
      </c>
      <c r="BL188" s="527">
        <f t="shared" si="239"/>
        <v>8097.0354078309465</v>
      </c>
      <c r="BM188" s="527">
        <f t="shared" si="239"/>
        <v>8097.0354078309465</v>
      </c>
      <c r="BN188" s="527">
        <f t="shared" si="239"/>
        <v>6701.5962787826138</v>
      </c>
      <c r="BO188" s="527">
        <f t="shared" si="239"/>
        <v>6701.5962787826138</v>
      </c>
      <c r="BP188" s="527">
        <f t="shared" si="239"/>
        <v>6701.5962787826138</v>
      </c>
      <c r="BQ188" s="527">
        <f t="shared" si="239"/>
        <v>6701.5962787826138</v>
      </c>
      <c r="BR188" s="527">
        <f t="shared" si="239"/>
        <v>6701.5962787826138</v>
      </c>
      <c r="BS188" s="527">
        <f t="shared" si="239"/>
        <v>6701.5962787826138</v>
      </c>
      <c r="BT188" s="527">
        <f t="shared" si="239"/>
        <v>8648.0614150264882</v>
      </c>
      <c r="BU188" s="527">
        <f t="shared" si="239"/>
        <v>8648.0614150264882</v>
      </c>
      <c r="BV188" s="527">
        <f t="shared" si="239"/>
        <v>8648.0614150264882</v>
      </c>
      <c r="BW188" s="527">
        <f t="shared" si="239"/>
        <v>8648.0614150264882</v>
      </c>
      <c r="BX188" s="527">
        <f t="shared" si="239"/>
        <v>8648.0614150264882</v>
      </c>
      <c r="BY188" s="527">
        <f t="shared" si="239"/>
        <v>8648.0614150264882</v>
      </c>
    </row>
    <row r="189" spans="3:77" x14ac:dyDescent="0.3">
      <c r="C189" s="2"/>
      <c r="D189" s="2"/>
      <c r="E189" s="107" t="str">
        <f>"EBITDA uplift due to capex: "&amp;E$159</f>
        <v>EBITDA uplift due to capex: FY31 Tranche</v>
      </c>
      <c r="F189" s="2"/>
      <c r="G189" s="2"/>
      <c r="H189" s="2"/>
      <c r="I189" s="2"/>
      <c r="J189" s="2"/>
      <c r="K189" s="2"/>
      <c r="L189" s="2"/>
      <c r="M189" s="2"/>
      <c r="N189" s="2"/>
      <c r="O189" s="2"/>
      <c r="P189" s="10"/>
      <c r="Q189" s="2"/>
      <c r="R189" s="497">
        <f t="shared" ref="R189:AW189" si="240">(R181*R486)-(R$615*$R159*R486)</f>
        <v>0</v>
      </c>
      <c r="S189" s="497">
        <f t="shared" si="240"/>
        <v>0</v>
      </c>
      <c r="T189" s="497">
        <f t="shared" si="240"/>
        <v>0</v>
      </c>
      <c r="U189" s="497">
        <f t="shared" si="240"/>
        <v>0</v>
      </c>
      <c r="V189" s="497">
        <f t="shared" si="240"/>
        <v>0</v>
      </c>
      <c r="W189" s="497">
        <f t="shared" si="240"/>
        <v>0</v>
      </c>
      <c r="X189" s="497">
        <f t="shared" si="240"/>
        <v>0</v>
      </c>
      <c r="Y189" s="497">
        <f t="shared" si="240"/>
        <v>0</v>
      </c>
      <c r="Z189" s="497">
        <f t="shared" si="240"/>
        <v>0</v>
      </c>
      <c r="AA189" s="497">
        <f t="shared" si="240"/>
        <v>0</v>
      </c>
      <c r="AB189" s="497">
        <f t="shared" si="240"/>
        <v>0</v>
      </c>
      <c r="AC189" s="497">
        <f t="shared" si="240"/>
        <v>0</v>
      </c>
      <c r="AD189" s="497">
        <f t="shared" si="240"/>
        <v>0</v>
      </c>
      <c r="AE189" s="497">
        <f t="shared" si="240"/>
        <v>0</v>
      </c>
      <c r="AF189" s="497">
        <f t="shared" si="240"/>
        <v>0</v>
      </c>
      <c r="AG189" s="497">
        <f t="shared" si="240"/>
        <v>0</v>
      </c>
      <c r="AH189" s="497">
        <f t="shared" si="240"/>
        <v>0</v>
      </c>
      <c r="AI189" s="497">
        <f t="shared" si="240"/>
        <v>0</v>
      </c>
      <c r="AJ189" s="497">
        <f t="shared" si="240"/>
        <v>0</v>
      </c>
      <c r="AK189" s="497">
        <f t="shared" si="240"/>
        <v>0</v>
      </c>
      <c r="AL189" s="497">
        <f t="shared" si="240"/>
        <v>0</v>
      </c>
      <c r="AM189" s="497">
        <f t="shared" si="240"/>
        <v>0</v>
      </c>
      <c r="AN189" s="527">
        <f t="shared" si="240"/>
        <v>0</v>
      </c>
      <c r="AO189" s="527">
        <f t="shared" si="240"/>
        <v>0</v>
      </c>
      <c r="AP189" s="527">
        <f t="shared" si="240"/>
        <v>0</v>
      </c>
      <c r="AQ189" s="527">
        <f t="shared" si="240"/>
        <v>0</v>
      </c>
      <c r="AR189" s="527">
        <f t="shared" si="240"/>
        <v>0</v>
      </c>
      <c r="AS189" s="527">
        <f t="shared" si="240"/>
        <v>0</v>
      </c>
      <c r="AT189" s="527">
        <f t="shared" si="240"/>
        <v>0</v>
      </c>
      <c r="AU189" s="527">
        <f t="shared" si="240"/>
        <v>0</v>
      </c>
      <c r="AV189" s="527">
        <f t="shared" si="240"/>
        <v>0</v>
      </c>
      <c r="AW189" s="527">
        <f t="shared" si="240"/>
        <v>0</v>
      </c>
      <c r="AX189" s="527">
        <f t="shared" ref="AX189:BY189" si="241">(AX181*AX486)-(AX$615*$R159*AX486)</f>
        <v>0</v>
      </c>
      <c r="AY189" s="527">
        <f t="shared" si="241"/>
        <v>0</v>
      </c>
      <c r="AZ189" s="527">
        <f t="shared" si="241"/>
        <v>0</v>
      </c>
      <c r="BA189" s="527">
        <f t="shared" si="241"/>
        <v>0</v>
      </c>
      <c r="BB189" s="527">
        <f t="shared" si="241"/>
        <v>0</v>
      </c>
      <c r="BC189" s="527">
        <f t="shared" si="241"/>
        <v>0</v>
      </c>
      <c r="BD189" s="527">
        <f t="shared" si="241"/>
        <v>0</v>
      </c>
      <c r="BE189" s="527">
        <f t="shared" si="241"/>
        <v>0</v>
      </c>
      <c r="BF189" s="527">
        <f t="shared" si="241"/>
        <v>0</v>
      </c>
      <c r="BG189" s="527">
        <f t="shared" si="241"/>
        <v>0</v>
      </c>
      <c r="BH189" s="527">
        <f t="shared" si="241"/>
        <v>0</v>
      </c>
      <c r="BI189" s="527">
        <f t="shared" si="241"/>
        <v>0</v>
      </c>
      <c r="BJ189" s="527">
        <f t="shared" si="241"/>
        <v>0</v>
      </c>
      <c r="BK189" s="527">
        <f t="shared" si="241"/>
        <v>0</v>
      </c>
      <c r="BL189" s="527">
        <f t="shared" si="241"/>
        <v>0</v>
      </c>
      <c r="BM189" s="527">
        <f t="shared" si="241"/>
        <v>0</v>
      </c>
      <c r="BN189" s="527">
        <f t="shared" si="241"/>
        <v>0</v>
      </c>
      <c r="BO189" s="527">
        <f t="shared" si="241"/>
        <v>0</v>
      </c>
      <c r="BP189" s="527">
        <f t="shared" si="241"/>
        <v>0</v>
      </c>
      <c r="BQ189" s="527">
        <f t="shared" si="241"/>
        <v>0</v>
      </c>
      <c r="BR189" s="527">
        <f t="shared" si="241"/>
        <v>0</v>
      </c>
      <c r="BS189" s="527">
        <f t="shared" si="241"/>
        <v>0</v>
      </c>
      <c r="BT189" s="527">
        <f t="shared" si="241"/>
        <v>8255.0569649832032</v>
      </c>
      <c r="BU189" s="527">
        <f t="shared" si="241"/>
        <v>8255.0569649832032</v>
      </c>
      <c r="BV189" s="527">
        <f t="shared" si="241"/>
        <v>8255.0569649832032</v>
      </c>
      <c r="BW189" s="527">
        <f t="shared" si="241"/>
        <v>8255.0569649832032</v>
      </c>
      <c r="BX189" s="527">
        <f t="shared" si="241"/>
        <v>8255.0569649832032</v>
      </c>
      <c r="BY189" s="527">
        <f t="shared" si="241"/>
        <v>8255.0569649832032</v>
      </c>
    </row>
    <row r="190" spans="3:77" x14ac:dyDescent="0.3">
      <c r="C190" s="2"/>
      <c r="D190" s="2"/>
      <c r="E190" s="107" t="str">
        <f>"EBITDA uplift due to capex: "&amp;E$160</f>
        <v>EBITDA uplift due to capex: Uninvested Tranche</v>
      </c>
      <c r="F190" s="2"/>
      <c r="G190" s="2"/>
      <c r="H190" s="2"/>
      <c r="I190" s="2"/>
      <c r="J190" s="2"/>
      <c r="K190" s="2"/>
      <c r="L190" s="2"/>
      <c r="M190" s="2"/>
      <c r="N190" s="2"/>
      <c r="O190" s="2"/>
      <c r="P190" s="10"/>
      <c r="Q190" s="2"/>
      <c r="R190" s="497">
        <f t="shared" ref="R190:AW190" si="242">(R182*R487)-(R$615*$R160*R487)</f>
        <v>0</v>
      </c>
      <c r="S190" s="497">
        <f t="shared" si="242"/>
        <v>0</v>
      </c>
      <c r="T190" s="497">
        <f t="shared" si="242"/>
        <v>0</v>
      </c>
      <c r="U190" s="497">
        <f t="shared" si="242"/>
        <v>0</v>
      </c>
      <c r="V190" s="497">
        <f t="shared" si="242"/>
        <v>0</v>
      </c>
      <c r="W190" s="497">
        <f t="shared" si="242"/>
        <v>0</v>
      </c>
      <c r="X190" s="497">
        <f t="shared" si="242"/>
        <v>0</v>
      </c>
      <c r="Y190" s="497">
        <f t="shared" si="242"/>
        <v>0</v>
      </c>
      <c r="Z190" s="497">
        <f t="shared" si="242"/>
        <v>0</v>
      </c>
      <c r="AA190" s="497">
        <f t="shared" si="242"/>
        <v>0</v>
      </c>
      <c r="AB190" s="497">
        <f t="shared" si="242"/>
        <v>0</v>
      </c>
      <c r="AC190" s="497">
        <f t="shared" si="242"/>
        <v>0</v>
      </c>
      <c r="AD190" s="497">
        <f t="shared" si="242"/>
        <v>0</v>
      </c>
      <c r="AE190" s="497">
        <f t="shared" si="242"/>
        <v>0</v>
      </c>
      <c r="AF190" s="497">
        <f t="shared" si="242"/>
        <v>0</v>
      </c>
      <c r="AG190" s="497">
        <f t="shared" si="242"/>
        <v>0</v>
      </c>
      <c r="AH190" s="497">
        <f t="shared" si="242"/>
        <v>0</v>
      </c>
      <c r="AI190" s="497">
        <f t="shared" si="242"/>
        <v>0</v>
      </c>
      <c r="AJ190" s="497">
        <f t="shared" si="242"/>
        <v>0</v>
      </c>
      <c r="AK190" s="497">
        <f t="shared" si="242"/>
        <v>0</v>
      </c>
      <c r="AL190" s="497">
        <f t="shared" si="242"/>
        <v>0</v>
      </c>
      <c r="AM190" s="497">
        <f t="shared" si="242"/>
        <v>0</v>
      </c>
      <c r="AN190" s="527">
        <f t="shared" si="242"/>
        <v>0</v>
      </c>
      <c r="AO190" s="527">
        <f t="shared" si="242"/>
        <v>0</v>
      </c>
      <c r="AP190" s="527">
        <f t="shared" si="242"/>
        <v>0</v>
      </c>
      <c r="AQ190" s="527">
        <f t="shared" si="242"/>
        <v>0</v>
      </c>
      <c r="AR190" s="527">
        <f t="shared" si="242"/>
        <v>0</v>
      </c>
      <c r="AS190" s="527">
        <f t="shared" si="242"/>
        <v>0</v>
      </c>
      <c r="AT190" s="527">
        <f t="shared" si="242"/>
        <v>0</v>
      </c>
      <c r="AU190" s="527">
        <f t="shared" si="242"/>
        <v>0</v>
      </c>
      <c r="AV190" s="527">
        <f t="shared" si="242"/>
        <v>0</v>
      </c>
      <c r="AW190" s="527">
        <f t="shared" si="242"/>
        <v>0</v>
      </c>
      <c r="AX190" s="527">
        <f t="shared" ref="AX190:BY190" si="243">(AX182*AX487)-(AX$615*$R160*AX487)</f>
        <v>0</v>
      </c>
      <c r="AY190" s="527">
        <f t="shared" si="243"/>
        <v>0</v>
      </c>
      <c r="AZ190" s="527">
        <f t="shared" si="243"/>
        <v>0</v>
      </c>
      <c r="BA190" s="527">
        <f t="shared" si="243"/>
        <v>0</v>
      </c>
      <c r="BB190" s="527">
        <f t="shared" si="243"/>
        <v>0</v>
      </c>
      <c r="BC190" s="527">
        <f t="shared" si="243"/>
        <v>0</v>
      </c>
      <c r="BD190" s="527">
        <f t="shared" si="243"/>
        <v>0</v>
      </c>
      <c r="BE190" s="527">
        <f t="shared" si="243"/>
        <v>0</v>
      </c>
      <c r="BF190" s="527">
        <f t="shared" si="243"/>
        <v>0</v>
      </c>
      <c r="BG190" s="527">
        <f t="shared" si="243"/>
        <v>0</v>
      </c>
      <c r="BH190" s="527">
        <f t="shared" si="243"/>
        <v>0</v>
      </c>
      <c r="BI190" s="527">
        <f t="shared" si="243"/>
        <v>0</v>
      </c>
      <c r="BJ190" s="527">
        <f t="shared" si="243"/>
        <v>0</v>
      </c>
      <c r="BK190" s="527">
        <f t="shared" si="243"/>
        <v>0</v>
      </c>
      <c r="BL190" s="527">
        <f t="shared" si="243"/>
        <v>0</v>
      </c>
      <c r="BM190" s="527">
        <f t="shared" si="243"/>
        <v>0</v>
      </c>
      <c r="BN190" s="527">
        <f t="shared" si="243"/>
        <v>0</v>
      </c>
      <c r="BO190" s="527">
        <f t="shared" si="243"/>
        <v>0</v>
      </c>
      <c r="BP190" s="527">
        <f t="shared" si="243"/>
        <v>0</v>
      </c>
      <c r="BQ190" s="527">
        <f t="shared" si="243"/>
        <v>0</v>
      </c>
      <c r="BR190" s="527">
        <f t="shared" si="243"/>
        <v>0</v>
      </c>
      <c r="BS190" s="527">
        <f t="shared" si="243"/>
        <v>0</v>
      </c>
      <c r="BT190" s="527">
        <f t="shared" si="243"/>
        <v>0</v>
      </c>
      <c r="BU190" s="527">
        <f t="shared" si="243"/>
        <v>0</v>
      </c>
      <c r="BV190" s="527">
        <f t="shared" si="243"/>
        <v>0</v>
      </c>
      <c r="BW190" s="527">
        <f t="shared" si="243"/>
        <v>0</v>
      </c>
      <c r="BX190" s="527">
        <f t="shared" si="243"/>
        <v>0</v>
      </c>
      <c r="BY190" s="527">
        <f t="shared" si="243"/>
        <v>0</v>
      </c>
    </row>
    <row r="191" spans="3:77" x14ac:dyDescent="0.3">
      <c r="C191" s="2"/>
      <c r="D191" s="2"/>
      <c r="E191" s="4" t="s">
        <v>36</v>
      </c>
      <c r="F191" s="4"/>
      <c r="G191" s="4"/>
      <c r="H191" s="4"/>
      <c r="I191" s="4"/>
      <c r="J191" s="4"/>
      <c r="K191" s="4"/>
      <c r="L191" s="4"/>
      <c r="M191" s="4"/>
      <c r="N191" s="4"/>
      <c r="O191" s="4"/>
      <c r="P191" s="106"/>
      <c r="Q191" s="4"/>
      <c r="R191" s="500">
        <f t="shared" ref="R191:AW191" si="244">SUM(R185:R190)</f>
        <v>0</v>
      </c>
      <c r="S191" s="500">
        <f t="shared" si="244"/>
        <v>0</v>
      </c>
      <c r="T191" s="500">
        <f t="shared" si="244"/>
        <v>0</v>
      </c>
      <c r="U191" s="500">
        <f t="shared" si="244"/>
        <v>0</v>
      </c>
      <c r="V191" s="500">
        <f t="shared" si="244"/>
        <v>0</v>
      </c>
      <c r="W191" s="500">
        <f t="shared" si="244"/>
        <v>0</v>
      </c>
      <c r="X191" s="500">
        <f t="shared" si="244"/>
        <v>7576.5659737196765</v>
      </c>
      <c r="Y191" s="500">
        <f t="shared" si="244"/>
        <v>7576.5659737196765</v>
      </c>
      <c r="Z191" s="500">
        <f t="shared" si="244"/>
        <v>7576.5659737196765</v>
      </c>
      <c r="AA191" s="500">
        <f t="shared" si="244"/>
        <v>7576.5659737196765</v>
      </c>
      <c r="AB191" s="500">
        <f t="shared" si="244"/>
        <v>7576.5659737196765</v>
      </c>
      <c r="AC191" s="500">
        <f t="shared" si="244"/>
        <v>7576.5659737196765</v>
      </c>
      <c r="AD191" s="500">
        <f t="shared" si="244"/>
        <v>6155.2531398015781</v>
      </c>
      <c r="AE191" s="500">
        <f t="shared" si="244"/>
        <v>6155.2531398015781</v>
      </c>
      <c r="AF191" s="500">
        <f t="shared" si="244"/>
        <v>6155.2531398015781</v>
      </c>
      <c r="AG191" s="500">
        <f t="shared" si="244"/>
        <v>6155.2531398015781</v>
      </c>
      <c r="AH191" s="500">
        <f t="shared" si="244"/>
        <v>6155.2531398015781</v>
      </c>
      <c r="AI191" s="500">
        <f t="shared" si="244"/>
        <v>6155.2531398015781</v>
      </c>
      <c r="AJ191" s="500">
        <f t="shared" si="244"/>
        <v>15671.700112081497</v>
      </c>
      <c r="AK191" s="500">
        <f t="shared" si="244"/>
        <v>15671.700112081497</v>
      </c>
      <c r="AL191" s="500">
        <f t="shared" si="244"/>
        <v>15671.700112081497</v>
      </c>
      <c r="AM191" s="500">
        <f t="shared" si="244"/>
        <v>15671.700112081497</v>
      </c>
      <c r="AN191" s="532">
        <f t="shared" si="244"/>
        <v>15671.700112081497</v>
      </c>
      <c r="AO191" s="532">
        <f t="shared" si="244"/>
        <v>15671.700112081497</v>
      </c>
      <c r="AP191" s="532">
        <f t="shared" si="244"/>
        <v>12850.876591661814</v>
      </c>
      <c r="AQ191" s="532">
        <f t="shared" si="244"/>
        <v>12850.876591661814</v>
      </c>
      <c r="AR191" s="532">
        <f t="shared" si="244"/>
        <v>12850.876591661814</v>
      </c>
      <c r="AS191" s="532">
        <f t="shared" si="244"/>
        <v>12850.876591661814</v>
      </c>
      <c r="AT191" s="532">
        <f t="shared" si="244"/>
        <v>12850.876591661814</v>
      </c>
      <c r="AU191" s="532">
        <f t="shared" si="244"/>
        <v>12850.876591661814</v>
      </c>
      <c r="AV191" s="532">
        <f t="shared" si="244"/>
        <v>24433.656328731129</v>
      </c>
      <c r="AW191" s="532">
        <f t="shared" si="244"/>
        <v>24433.656328731129</v>
      </c>
      <c r="AX191" s="532">
        <f t="shared" ref="AX191:BY191" si="245">SUM(AX185:AX190)</f>
        <v>24433.656328731129</v>
      </c>
      <c r="AY191" s="532">
        <f t="shared" si="245"/>
        <v>24433.656328731129</v>
      </c>
      <c r="AZ191" s="532">
        <f t="shared" si="245"/>
        <v>24433.656328731129</v>
      </c>
      <c r="BA191" s="532">
        <f t="shared" si="245"/>
        <v>24433.656328731129</v>
      </c>
      <c r="BB191" s="532">
        <f t="shared" si="245"/>
        <v>20330.310711776772</v>
      </c>
      <c r="BC191" s="532">
        <f t="shared" si="245"/>
        <v>20330.310711776772</v>
      </c>
      <c r="BD191" s="532">
        <f t="shared" si="245"/>
        <v>20330.310711776772</v>
      </c>
      <c r="BE191" s="532">
        <f t="shared" si="245"/>
        <v>20330.310711776772</v>
      </c>
      <c r="BF191" s="532">
        <f t="shared" si="245"/>
        <v>20330.310711776772</v>
      </c>
      <c r="BG191" s="532">
        <f t="shared" si="245"/>
        <v>20330.310711776772</v>
      </c>
      <c r="BH191" s="532">
        <f t="shared" si="245"/>
        <v>34108.309707870707</v>
      </c>
      <c r="BI191" s="532">
        <f t="shared" si="245"/>
        <v>34108.309707870707</v>
      </c>
      <c r="BJ191" s="532">
        <f t="shared" si="245"/>
        <v>34108.309707870707</v>
      </c>
      <c r="BK191" s="532">
        <f t="shared" si="245"/>
        <v>34108.309707870707</v>
      </c>
      <c r="BL191" s="532">
        <f t="shared" si="245"/>
        <v>34108.309707870707</v>
      </c>
      <c r="BM191" s="532">
        <f t="shared" si="245"/>
        <v>34108.309707870707</v>
      </c>
      <c r="BN191" s="532">
        <f t="shared" si="245"/>
        <v>28526.553191677376</v>
      </c>
      <c r="BO191" s="532">
        <f t="shared" si="245"/>
        <v>28526.553191677376</v>
      </c>
      <c r="BP191" s="532">
        <f t="shared" si="245"/>
        <v>28526.553191677376</v>
      </c>
      <c r="BQ191" s="532">
        <f t="shared" si="245"/>
        <v>28526.553191677376</v>
      </c>
      <c r="BR191" s="532">
        <f t="shared" si="245"/>
        <v>28526.553191677376</v>
      </c>
      <c r="BS191" s="532">
        <f t="shared" si="245"/>
        <v>28526.553191677376</v>
      </c>
      <c r="BT191" s="532">
        <f t="shared" si="245"/>
        <v>44636.277424697961</v>
      </c>
      <c r="BU191" s="532">
        <f t="shared" si="245"/>
        <v>44636.277424697961</v>
      </c>
      <c r="BV191" s="532">
        <f t="shared" si="245"/>
        <v>44636.277424697961</v>
      </c>
      <c r="BW191" s="532">
        <f t="shared" si="245"/>
        <v>44636.277424697961</v>
      </c>
      <c r="BX191" s="532">
        <f t="shared" si="245"/>
        <v>44636.277424697961</v>
      </c>
      <c r="BY191" s="532">
        <f t="shared" si="245"/>
        <v>44636.277424697961</v>
      </c>
    </row>
    <row r="192" spans="3:77" x14ac:dyDescent="0.3">
      <c r="C192" s="2"/>
      <c r="D192" s="2"/>
      <c r="E192" s="2"/>
      <c r="F192" s="2"/>
      <c r="G192" s="2"/>
      <c r="H192" s="2"/>
      <c r="I192" s="2"/>
      <c r="J192" s="2"/>
      <c r="K192" s="2"/>
      <c r="L192" s="2"/>
      <c r="M192" s="2"/>
      <c r="N192" s="2"/>
      <c r="O192" s="2"/>
      <c r="P192" s="10"/>
      <c r="Q192" s="2"/>
      <c r="R192" s="2"/>
      <c r="S192" s="2"/>
      <c r="T192" s="2"/>
      <c r="U192" s="2"/>
      <c r="V192" s="2"/>
      <c r="W192" s="2"/>
      <c r="X192" s="2"/>
      <c r="Y192" s="2"/>
      <c r="Z192" s="2"/>
      <c r="AA192" s="2"/>
      <c r="AB192" s="2"/>
      <c r="AC192" s="2"/>
      <c r="AD192" s="2"/>
      <c r="AE192" s="2"/>
      <c r="AF192" s="2"/>
      <c r="AG192" s="2"/>
      <c r="AH192" s="2"/>
      <c r="AI192" s="2"/>
      <c r="AJ192" s="2"/>
      <c r="AK192" s="2"/>
      <c r="AL192" s="2"/>
      <c r="AM192" s="2"/>
      <c r="AN192" s="525"/>
      <c r="AO192" s="525"/>
      <c r="AP192" s="525"/>
      <c r="AQ192" s="525"/>
      <c r="AR192" s="525"/>
      <c r="AS192" s="525"/>
      <c r="AT192" s="525"/>
      <c r="AU192" s="525"/>
      <c r="AV192" s="525"/>
      <c r="AW192" s="525"/>
      <c r="AX192" s="525"/>
      <c r="AY192" s="525"/>
      <c r="AZ192" s="525"/>
      <c r="BA192" s="525"/>
      <c r="BB192" s="525"/>
      <c r="BC192" s="525"/>
      <c r="BD192" s="525"/>
      <c r="BE192" s="525"/>
      <c r="BF192" s="525"/>
      <c r="BG192" s="525"/>
      <c r="BH192" s="525"/>
      <c r="BI192" s="525"/>
      <c r="BJ192" s="525"/>
      <c r="BK192" s="525"/>
      <c r="BL192" s="525"/>
      <c r="BM192" s="525"/>
      <c r="BN192" s="525"/>
      <c r="BO192" s="525"/>
      <c r="BP192" s="525"/>
      <c r="BQ192" s="525"/>
      <c r="BR192" s="525"/>
      <c r="BS192" s="525"/>
      <c r="BT192" s="525"/>
      <c r="BU192" s="525"/>
      <c r="BV192" s="525"/>
      <c r="BW192" s="525"/>
      <c r="BX192" s="525"/>
      <c r="BY192" s="525"/>
    </row>
    <row r="193" spans="3:77" x14ac:dyDescent="0.3">
      <c r="C193" s="24" t="s">
        <v>37</v>
      </c>
      <c r="D193" s="2"/>
      <c r="E193" s="14" t="s">
        <v>95</v>
      </c>
      <c r="F193" s="14"/>
      <c r="G193" s="14"/>
      <c r="H193" s="14"/>
      <c r="I193" s="14"/>
      <c r="J193" s="14"/>
      <c r="K193" s="14"/>
      <c r="L193" s="14"/>
      <c r="M193" s="14"/>
      <c r="N193" s="14"/>
      <c r="O193" s="14"/>
      <c r="P193" s="24"/>
      <c r="Q193" s="14"/>
      <c r="R193" s="14"/>
      <c r="S193" s="14"/>
      <c r="T193" s="14"/>
      <c r="U193" s="14"/>
      <c r="V193" s="14"/>
      <c r="W193" s="14"/>
      <c r="X193" s="14"/>
      <c r="Y193" s="14"/>
      <c r="Z193" s="14"/>
      <c r="AA193" s="14"/>
      <c r="AB193" s="14"/>
      <c r="AC193" s="14"/>
      <c r="AD193" s="14"/>
      <c r="AE193" s="14"/>
      <c r="AF193" s="14"/>
      <c r="AG193" s="14"/>
      <c r="AH193" s="14"/>
      <c r="AI193" s="14"/>
      <c r="AJ193" s="14"/>
      <c r="AK193" s="14"/>
      <c r="AL193" s="14"/>
      <c r="AM193" s="14"/>
      <c r="AN193" s="538"/>
      <c r="AO193" s="538"/>
      <c r="AP193" s="538"/>
      <c r="AQ193" s="538"/>
      <c r="AR193" s="538"/>
      <c r="AS193" s="538"/>
      <c r="AT193" s="538"/>
      <c r="AU193" s="538"/>
      <c r="AV193" s="538"/>
      <c r="AW193" s="538"/>
      <c r="AX193" s="538"/>
      <c r="AY193" s="538"/>
      <c r="AZ193" s="538"/>
      <c r="BA193" s="538"/>
      <c r="BB193" s="538"/>
      <c r="BC193" s="538"/>
      <c r="BD193" s="538"/>
      <c r="BE193" s="538"/>
      <c r="BF193" s="538"/>
      <c r="BG193" s="538"/>
      <c r="BH193" s="538"/>
      <c r="BI193" s="538"/>
      <c r="BJ193" s="538"/>
      <c r="BK193" s="538"/>
      <c r="BL193" s="538"/>
      <c r="BM193" s="538"/>
      <c r="BN193" s="538"/>
      <c r="BO193" s="538"/>
      <c r="BP193" s="538"/>
      <c r="BQ193" s="538"/>
      <c r="BR193" s="538"/>
      <c r="BS193" s="538"/>
      <c r="BT193" s="538"/>
      <c r="BU193" s="538"/>
      <c r="BV193" s="538"/>
      <c r="BW193" s="538"/>
      <c r="BX193" s="538"/>
      <c r="BY193" s="538"/>
    </row>
    <row r="194" spans="3:77" x14ac:dyDescent="0.3">
      <c r="C194" s="2"/>
      <c r="D194" s="2"/>
      <c r="E194" s="2"/>
      <c r="F194" s="2"/>
      <c r="G194" s="2"/>
      <c r="H194" s="2"/>
      <c r="I194" s="2"/>
      <c r="J194" s="2"/>
      <c r="K194" s="2"/>
      <c r="L194" s="2"/>
      <c r="M194" s="2"/>
      <c r="N194" s="2"/>
      <c r="O194" s="2"/>
      <c r="P194" s="10"/>
      <c r="Q194" s="2"/>
      <c r="R194" s="2"/>
      <c r="S194" s="2"/>
      <c r="T194" s="2"/>
      <c r="U194" s="2"/>
      <c r="V194" s="2"/>
      <c r="W194" s="2"/>
      <c r="X194" s="2"/>
      <c r="Y194" s="2"/>
      <c r="Z194" s="2"/>
      <c r="AA194" s="2"/>
      <c r="AB194" s="2"/>
      <c r="AC194" s="2"/>
      <c r="AD194" s="2"/>
      <c r="AE194" s="2"/>
      <c r="AF194" s="2"/>
      <c r="AG194" s="2"/>
      <c r="AH194" s="2"/>
      <c r="AI194" s="2"/>
      <c r="AJ194" s="2"/>
      <c r="AK194" s="2"/>
      <c r="AL194" s="2"/>
      <c r="AM194" s="2"/>
      <c r="AN194" s="525"/>
      <c r="AO194" s="525"/>
      <c r="AP194" s="525"/>
      <c r="AQ194" s="525"/>
      <c r="AR194" s="525"/>
      <c r="AS194" s="525"/>
      <c r="AT194" s="525"/>
      <c r="AU194" s="525"/>
      <c r="AV194" s="525"/>
      <c r="AW194" s="525"/>
      <c r="AX194" s="525"/>
      <c r="AY194" s="525"/>
      <c r="AZ194" s="525"/>
      <c r="BA194" s="525"/>
      <c r="BB194" s="525"/>
      <c r="BC194" s="525"/>
      <c r="BD194" s="525"/>
      <c r="BE194" s="525"/>
      <c r="BF194" s="525"/>
      <c r="BG194" s="525"/>
      <c r="BH194" s="525"/>
      <c r="BI194" s="525"/>
      <c r="BJ194" s="525"/>
      <c r="BK194" s="525"/>
      <c r="BL194" s="525"/>
      <c r="BM194" s="525"/>
      <c r="BN194" s="525"/>
      <c r="BO194" s="525"/>
      <c r="BP194" s="525"/>
      <c r="BQ194" s="525"/>
      <c r="BR194" s="525"/>
      <c r="BS194" s="525"/>
      <c r="BT194" s="525"/>
      <c r="BU194" s="525"/>
      <c r="BV194" s="525"/>
      <c r="BW194" s="525"/>
      <c r="BX194" s="525"/>
      <c r="BY194" s="525"/>
    </row>
    <row r="195" spans="3:77" x14ac:dyDescent="0.3">
      <c r="C195" s="2"/>
      <c r="D195" s="2"/>
      <c r="E195" s="108" t="s">
        <v>96</v>
      </c>
      <c r="F195" s="109"/>
      <c r="G195" s="109"/>
      <c r="H195" s="109"/>
      <c r="I195" s="109"/>
      <c r="J195" s="109"/>
      <c r="K195" s="109"/>
      <c r="L195" s="109"/>
      <c r="M195" s="109"/>
      <c r="N195" s="109"/>
      <c r="O195" s="109"/>
      <c r="P195" s="110"/>
      <c r="Q195" s="109"/>
      <c r="R195" s="109"/>
      <c r="S195" s="109"/>
      <c r="T195" s="109"/>
      <c r="U195" s="109"/>
      <c r="V195" s="109"/>
      <c r="W195" s="109"/>
      <c r="X195" s="109"/>
      <c r="Y195" s="109"/>
      <c r="Z195" s="109"/>
      <c r="AA195" s="109"/>
      <c r="AB195" s="109"/>
      <c r="AC195" s="109"/>
      <c r="AD195" s="109"/>
      <c r="AE195" s="109"/>
      <c r="AF195" s="109"/>
      <c r="AG195" s="109"/>
      <c r="AH195" s="109"/>
      <c r="AI195" s="109"/>
      <c r="AJ195" s="109"/>
      <c r="AK195" s="109"/>
      <c r="AL195" s="109"/>
      <c r="AM195" s="109"/>
      <c r="AN195" s="539"/>
      <c r="AO195" s="539"/>
      <c r="AP195" s="539"/>
      <c r="AQ195" s="539"/>
      <c r="AR195" s="539"/>
      <c r="AS195" s="539"/>
      <c r="AT195" s="539"/>
      <c r="AU195" s="539"/>
      <c r="AV195" s="539"/>
      <c r="AW195" s="539"/>
      <c r="AX195" s="539"/>
      <c r="AY195" s="539"/>
      <c r="AZ195" s="539"/>
      <c r="BA195" s="539"/>
      <c r="BB195" s="539"/>
      <c r="BC195" s="539"/>
      <c r="BD195" s="539"/>
      <c r="BE195" s="539"/>
      <c r="BF195" s="539"/>
      <c r="BG195" s="539"/>
      <c r="BH195" s="539"/>
      <c r="BI195" s="539"/>
      <c r="BJ195" s="539"/>
      <c r="BK195" s="539"/>
      <c r="BL195" s="539"/>
      <c r="BM195" s="539"/>
      <c r="BN195" s="539"/>
      <c r="BO195" s="539"/>
      <c r="BP195" s="539"/>
      <c r="BQ195" s="539"/>
      <c r="BR195" s="539"/>
      <c r="BS195" s="539"/>
      <c r="BT195" s="539"/>
      <c r="BU195" s="539"/>
      <c r="BV195" s="539"/>
      <c r="BW195" s="539"/>
      <c r="BX195" s="539"/>
      <c r="BY195" s="539"/>
    </row>
    <row r="196" spans="3:77" x14ac:dyDescent="0.3">
      <c r="C196" s="2"/>
      <c r="D196" s="2"/>
      <c r="E196" s="2"/>
      <c r="F196" s="2"/>
      <c r="G196" s="2"/>
      <c r="H196" s="2"/>
      <c r="I196" s="2"/>
      <c r="J196" s="2"/>
      <c r="K196" s="2"/>
      <c r="L196" s="2"/>
      <c r="M196" s="2"/>
      <c r="N196" s="2"/>
      <c r="O196" s="2"/>
      <c r="P196" s="10"/>
      <c r="Q196" s="2"/>
      <c r="R196" s="2"/>
      <c r="S196" s="2"/>
      <c r="T196" s="2"/>
      <c r="U196" s="2"/>
      <c r="V196" s="2"/>
      <c r="W196" s="2"/>
      <c r="X196" s="2"/>
      <c r="Y196" s="2"/>
      <c r="Z196" s="2"/>
      <c r="AA196" s="2"/>
      <c r="AB196" s="2"/>
      <c r="AC196" s="2"/>
      <c r="AD196" s="2"/>
      <c r="AE196" s="2"/>
      <c r="AF196" s="2"/>
      <c r="AG196" s="2"/>
      <c r="AH196" s="2"/>
      <c r="AI196" s="2"/>
      <c r="AJ196" s="2"/>
      <c r="AK196" s="2"/>
      <c r="AL196" s="2"/>
      <c r="AM196" s="2"/>
      <c r="AN196" s="525"/>
      <c r="AO196" s="525"/>
      <c r="AP196" s="525"/>
      <c r="AQ196" s="525"/>
      <c r="AR196" s="525"/>
      <c r="AS196" s="525"/>
      <c r="AT196" s="525"/>
      <c r="AU196" s="525"/>
      <c r="AV196" s="525"/>
      <c r="AW196" s="525"/>
      <c r="AX196" s="525"/>
      <c r="AY196" s="525"/>
      <c r="AZ196" s="525"/>
      <c r="BA196" s="525"/>
      <c r="BB196" s="525"/>
      <c r="BC196" s="525"/>
      <c r="BD196" s="525"/>
      <c r="BE196" s="525"/>
      <c r="BF196" s="525"/>
      <c r="BG196" s="525"/>
      <c r="BH196" s="525"/>
      <c r="BI196" s="525"/>
      <c r="BJ196" s="525"/>
      <c r="BK196" s="525"/>
      <c r="BL196" s="525"/>
      <c r="BM196" s="525"/>
      <c r="BN196" s="525"/>
      <c r="BO196" s="525"/>
      <c r="BP196" s="525"/>
      <c r="BQ196" s="525"/>
      <c r="BR196" s="525"/>
      <c r="BS196" s="525"/>
      <c r="BT196" s="525"/>
      <c r="BU196" s="525"/>
      <c r="BV196" s="525"/>
      <c r="BW196" s="525"/>
      <c r="BX196" s="525"/>
      <c r="BY196" s="525"/>
    </row>
    <row r="197" spans="3:77" x14ac:dyDescent="0.3">
      <c r="C197" s="2"/>
      <c r="D197" s="2"/>
      <c r="E197" s="111" t="str">
        <f>"Drinks net comm. uplift due to capex: "&amp;E$155</f>
        <v>Drinks net comm. uplift due to capex: FY27 Tranche</v>
      </c>
      <c r="F197" s="2"/>
      <c r="G197" s="2"/>
      <c r="H197" s="2"/>
      <c r="I197" s="2"/>
      <c r="J197" s="2"/>
      <c r="K197" s="2"/>
      <c r="L197" s="2"/>
      <c r="M197" s="2"/>
      <c r="N197" s="2"/>
      <c r="O197" s="2"/>
      <c r="P197" s="10"/>
      <c r="Q197" s="2"/>
      <c r="R197" s="497">
        <f t="shared" ref="R197:AW197" si="246">R185*$AE155</f>
        <v>0</v>
      </c>
      <c r="S197" s="497">
        <f t="shared" si="246"/>
        <v>0</v>
      </c>
      <c r="T197" s="497">
        <f t="shared" si="246"/>
        <v>0</v>
      </c>
      <c r="U197" s="497">
        <f t="shared" si="246"/>
        <v>0</v>
      </c>
      <c r="V197" s="497">
        <f t="shared" si="246"/>
        <v>0</v>
      </c>
      <c r="W197" s="497">
        <f t="shared" si="246"/>
        <v>0</v>
      </c>
      <c r="X197" s="497">
        <f t="shared" si="246"/>
        <v>4167.1112855458223</v>
      </c>
      <c r="Y197" s="497">
        <f t="shared" si="246"/>
        <v>4167.1112855458223</v>
      </c>
      <c r="Z197" s="497">
        <f t="shared" si="246"/>
        <v>4167.1112855458223</v>
      </c>
      <c r="AA197" s="497">
        <f t="shared" si="246"/>
        <v>4167.1112855458223</v>
      </c>
      <c r="AB197" s="497">
        <f t="shared" si="246"/>
        <v>4167.1112855458223</v>
      </c>
      <c r="AC197" s="497">
        <f t="shared" si="246"/>
        <v>4167.1112855458223</v>
      </c>
      <c r="AD197" s="497">
        <f t="shared" si="246"/>
        <v>3385.389226890868</v>
      </c>
      <c r="AE197" s="497">
        <f t="shared" si="246"/>
        <v>3385.389226890868</v>
      </c>
      <c r="AF197" s="497">
        <f t="shared" si="246"/>
        <v>3385.389226890868</v>
      </c>
      <c r="AG197" s="497">
        <f t="shared" si="246"/>
        <v>3385.389226890868</v>
      </c>
      <c r="AH197" s="497">
        <f t="shared" si="246"/>
        <v>3385.389226890868</v>
      </c>
      <c r="AI197" s="497">
        <f t="shared" si="246"/>
        <v>3385.389226890868</v>
      </c>
      <c r="AJ197" s="497">
        <f t="shared" si="246"/>
        <v>4352.1055820127358</v>
      </c>
      <c r="AK197" s="497">
        <f t="shared" si="246"/>
        <v>4352.1055820127358</v>
      </c>
      <c r="AL197" s="497">
        <f t="shared" si="246"/>
        <v>4352.1055820127358</v>
      </c>
      <c r="AM197" s="497">
        <f t="shared" si="246"/>
        <v>4352.1055820127358</v>
      </c>
      <c r="AN197" s="527">
        <f t="shared" si="246"/>
        <v>4352.1055820127358</v>
      </c>
      <c r="AO197" s="527">
        <f t="shared" si="246"/>
        <v>4352.1055820127358</v>
      </c>
      <c r="AP197" s="527">
        <f t="shared" si="246"/>
        <v>3576.3791138973229</v>
      </c>
      <c r="AQ197" s="527">
        <f t="shared" si="246"/>
        <v>3576.3791138973229</v>
      </c>
      <c r="AR197" s="527">
        <f t="shared" si="246"/>
        <v>3576.3791138973229</v>
      </c>
      <c r="AS197" s="527">
        <f t="shared" si="246"/>
        <v>3576.3791138973229</v>
      </c>
      <c r="AT197" s="527">
        <f t="shared" si="246"/>
        <v>3576.3791138973229</v>
      </c>
      <c r="AU197" s="527">
        <f t="shared" si="246"/>
        <v>3576.3791138973229</v>
      </c>
      <c r="AV197" s="527">
        <f t="shared" si="246"/>
        <v>4581.7641232240667</v>
      </c>
      <c r="AW197" s="527">
        <f t="shared" si="246"/>
        <v>4581.7641232240667</v>
      </c>
      <c r="AX197" s="527">
        <f t="shared" ref="AX197:BY197" si="247">AX185*$AE155</f>
        <v>4581.7641232240667</v>
      </c>
      <c r="AY197" s="527">
        <f t="shared" si="247"/>
        <v>4581.7641232240667</v>
      </c>
      <c r="AZ197" s="527">
        <f t="shared" si="247"/>
        <v>4581.7641232240667</v>
      </c>
      <c r="BA197" s="527">
        <f t="shared" si="247"/>
        <v>4581.7641232240667</v>
      </c>
      <c r="BB197" s="527">
        <f t="shared" si="247"/>
        <v>3829.4840934491008</v>
      </c>
      <c r="BC197" s="527">
        <f t="shared" si="247"/>
        <v>3829.4840934491008</v>
      </c>
      <c r="BD197" s="527">
        <f t="shared" si="247"/>
        <v>3829.4840934491008</v>
      </c>
      <c r="BE197" s="527">
        <f t="shared" si="247"/>
        <v>3829.4840934491008</v>
      </c>
      <c r="BF197" s="527">
        <f t="shared" si="247"/>
        <v>3829.4840934491008</v>
      </c>
      <c r="BG197" s="527">
        <f t="shared" si="247"/>
        <v>3829.4840934491008</v>
      </c>
      <c r="BH197" s="527">
        <f t="shared" si="247"/>
        <v>4875.0845031489152</v>
      </c>
      <c r="BI197" s="527">
        <f t="shared" si="247"/>
        <v>4875.0845031489152</v>
      </c>
      <c r="BJ197" s="527">
        <f t="shared" si="247"/>
        <v>4875.0845031489152</v>
      </c>
      <c r="BK197" s="527">
        <f t="shared" si="247"/>
        <v>4875.0845031489152</v>
      </c>
      <c r="BL197" s="527">
        <f t="shared" si="247"/>
        <v>4875.0845031489152</v>
      </c>
      <c r="BM197" s="527">
        <f t="shared" si="247"/>
        <v>4875.0845031489152</v>
      </c>
      <c r="BN197" s="527">
        <f t="shared" si="247"/>
        <v>4107.5929821723321</v>
      </c>
      <c r="BO197" s="527">
        <f t="shared" si="247"/>
        <v>4107.5929821723321</v>
      </c>
      <c r="BP197" s="527">
        <f t="shared" si="247"/>
        <v>4107.5929821723321</v>
      </c>
      <c r="BQ197" s="527">
        <f t="shared" si="247"/>
        <v>4107.5929821723321</v>
      </c>
      <c r="BR197" s="527">
        <f t="shared" si="247"/>
        <v>4107.5929821723321</v>
      </c>
      <c r="BS197" s="527">
        <f t="shared" si="247"/>
        <v>4107.5929821723321</v>
      </c>
      <c r="BT197" s="527">
        <f t="shared" si="247"/>
        <v>5195.0174082601434</v>
      </c>
      <c r="BU197" s="527">
        <f t="shared" si="247"/>
        <v>5195.0174082601434</v>
      </c>
      <c r="BV197" s="527">
        <f t="shared" si="247"/>
        <v>5195.0174082601434</v>
      </c>
      <c r="BW197" s="527">
        <f t="shared" si="247"/>
        <v>5195.0174082601434</v>
      </c>
      <c r="BX197" s="527">
        <f t="shared" si="247"/>
        <v>5195.0174082601434</v>
      </c>
      <c r="BY197" s="527">
        <f t="shared" si="247"/>
        <v>5195.0174082601434</v>
      </c>
    </row>
    <row r="198" spans="3:77" x14ac:dyDescent="0.3">
      <c r="C198" s="2"/>
      <c r="D198" s="2"/>
      <c r="E198" s="111" t="str">
        <f>"Drinks net comm. uplift due to capex: "&amp;E$156</f>
        <v>Drinks net comm. uplift due to capex: FY28 Tranche</v>
      </c>
      <c r="F198" s="2"/>
      <c r="G198" s="2"/>
      <c r="H198" s="2"/>
      <c r="I198" s="2"/>
      <c r="J198" s="2"/>
      <c r="K198" s="2"/>
      <c r="L198" s="2"/>
      <c r="M198" s="2"/>
      <c r="N198" s="2"/>
      <c r="O198" s="2"/>
      <c r="P198" s="10"/>
      <c r="Q198" s="2"/>
      <c r="R198" s="497">
        <f t="shared" ref="R198:AW198" si="248">R186*$AE156</f>
        <v>0</v>
      </c>
      <c r="S198" s="497">
        <f t="shared" si="248"/>
        <v>0</v>
      </c>
      <c r="T198" s="497">
        <f t="shared" si="248"/>
        <v>0</v>
      </c>
      <c r="U198" s="497">
        <f t="shared" si="248"/>
        <v>0</v>
      </c>
      <c r="V198" s="497">
        <f t="shared" si="248"/>
        <v>0</v>
      </c>
      <c r="W198" s="497">
        <f t="shared" si="248"/>
        <v>0</v>
      </c>
      <c r="X198" s="497">
        <f t="shared" si="248"/>
        <v>0</v>
      </c>
      <c r="Y198" s="497">
        <f t="shared" si="248"/>
        <v>0</v>
      </c>
      <c r="Z198" s="497">
        <f t="shared" si="248"/>
        <v>0</v>
      </c>
      <c r="AA198" s="497">
        <f t="shared" si="248"/>
        <v>0</v>
      </c>
      <c r="AB198" s="497">
        <f t="shared" si="248"/>
        <v>0</v>
      </c>
      <c r="AC198" s="497">
        <f t="shared" si="248"/>
        <v>0</v>
      </c>
      <c r="AD198" s="497">
        <f t="shared" si="248"/>
        <v>0</v>
      </c>
      <c r="AE198" s="497">
        <f t="shared" si="248"/>
        <v>0</v>
      </c>
      <c r="AF198" s="497">
        <f t="shared" si="248"/>
        <v>0</v>
      </c>
      <c r="AG198" s="497">
        <f t="shared" si="248"/>
        <v>0</v>
      </c>
      <c r="AH198" s="497">
        <f t="shared" si="248"/>
        <v>0</v>
      </c>
      <c r="AI198" s="497">
        <f t="shared" si="248"/>
        <v>0</v>
      </c>
      <c r="AJ198" s="497">
        <f t="shared" si="248"/>
        <v>4267.3294796320879</v>
      </c>
      <c r="AK198" s="497">
        <f t="shared" si="248"/>
        <v>4267.3294796320879</v>
      </c>
      <c r="AL198" s="497">
        <f t="shared" si="248"/>
        <v>4267.3294796320879</v>
      </c>
      <c r="AM198" s="497">
        <f t="shared" si="248"/>
        <v>4267.3294796320879</v>
      </c>
      <c r="AN198" s="527">
        <f t="shared" si="248"/>
        <v>4267.3294796320879</v>
      </c>
      <c r="AO198" s="527">
        <f t="shared" si="248"/>
        <v>4267.3294796320879</v>
      </c>
      <c r="AP198" s="527">
        <f t="shared" si="248"/>
        <v>3491.6030115166755</v>
      </c>
      <c r="AQ198" s="527">
        <f t="shared" si="248"/>
        <v>3491.6030115166755</v>
      </c>
      <c r="AR198" s="527">
        <f t="shared" si="248"/>
        <v>3491.6030115166755</v>
      </c>
      <c r="AS198" s="527">
        <f t="shared" si="248"/>
        <v>3491.6030115166755</v>
      </c>
      <c r="AT198" s="527">
        <f t="shared" si="248"/>
        <v>3491.6030115166755</v>
      </c>
      <c r="AU198" s="527">
        <f t="shared" si="248"/>
        <v>3491.6030115166755</v>
      </c>
      <c r="AV198" s="527">
        <f t="shared" si="248"/>
        <v>4493.596976748192</v>
      </c>
      <c r="AW198" s="527">
        <f t="shared" si="248"/>
        <v>4493.596976748192</v>
      </c>
      <c r="AX198" s="527">
        <f t="shared" ref="AX198:BY198" si="249">AX186*$AE156</f>
        <v>4493.596976748192</v>
      </c>
      <c r="AY198" s="527">
        <f t="shared" si="249"/>
        <v>4493.596976748192</v>
      </c>
      <c r="AZ198" s="527">
        <f t="shared" si="249"/>
        <v>4493.596976748192</v>
      </c>
      <c r="BA198" s="527">
        <f t="shared" si="249"/>
        <v>4493.596976748192</v>
      </c>
      <c r="BB198" s="527">
        <f t="shared" si="249"/>
        <v>3741.3169469732261</v>
      </c>
      <c r="BC198" s="527">
        <f t="shared" si="249"/>
        <v>3741.3169469732261</v>
      </c>
      <c r="BD198" s="527">
        <f t="shared" si="249"/>
        <v>3741.3169469732261</v>
      </c>
      <c r="BE198" s="527">
        <f t="shared" si="249"/>
        <v>3741.3169469732261</v>
      </c>
      <c r="BF198" s="527">
        <f t="shared" si="249"/>
        <v>3741.3169469732261</v>
      </c>
      <c r="BG198" s="527">
        <f t="shared" si="249"/>
        <v>3741.3169469732261</v>
      </c>
      <c r="BH198" s="527">
        <f t="shared" si="249"/>
        <v>4783.3906708140066</v>
      </c>
      <c r="BI198" s="527">
        <f t="shared" si="249"/>
        <v>4783.3906708140066</v>
      </c>
      <c r="BJ198" s="527">
        <f t="shared" si="249"/>
        <v>4783.3906708140066</v>
      </c>
      <c r="BK198" s="527">
        <f t="shared" si="249"/>
        <v>4783.3906708140066</v>
      </c>
      <c r="BL198" s="527">
        <f t="shared" si="249"/>
        <v>4783.3906708140066</v>
      </c>
      <c r="BM198" s="527">
        <f t="shared" si="249"/>
        <v>4783.3906708140066</v>
      </c>
      <c r="BN198" s="527">
        <f t="shared" si="249"/>
        <v>4015.8991498374239</v>
      </c>
      <c r="BO198" s="527">
        <f t="shared" si="249"/>
        <v>4015.8991498374239</v>
      </c>
      <c r="BP198" s="527">
        <f t="shared" si="249"/>
        <v>4015.8991498374239</v>
      </c>
      <c r="BQ198" s="527">
        <f t="shared" si="249"/>
        <v>4015.8991498374239</v>
      </c>
      <c r="BR198" s="527">
        <f t="shared" si="249"/>
        <v>4015.8991498374239</v>
      </c>
      <c r="BS198" s="527">
        <f t="shared" si="249"/>
        <v>4015.8991498374239</v>
      </c>
      <c r="BT198" s="527">
        <f t="shared" si="249"/>
        <v>5099.6558226318357</v>
      </c>
      <c r="BU198" s="527">
        <f t="shared" si="249"/>
        <v>5099.6558226318357</v>
      </c>
      <c r="BV198" s="527">
        <f t="shared" si="249"/>
        <v>5099.6558226318357</v>
      </c>
      <c r="BW198" s="527">
        <f t="shared" si="249"/>
        <v>5099.6558226318357</v>
      </c>
      <c r="BX198" s="527">
        <f t="shared" si="249"/>
        <v>5099.6558226318357</v>
      </c>
      <c r="BY198" s="527">
        <f t="shared" si="249"/>
        <v>5099.6558226318357</v>
      </c>
    </row>
    <row r="199" spans="3:77" x14ac:dyDescent="0.3">
      <c r="C199" s="2"/>
      <c r="D199" s="2"/>
      <c r="E199" s="111" t="str">
        <f>"Drinks net comm. uplift due to capex: "&amp;E$157</f>
        <v>Drinks net comm. uplift due to capex: FY29 Tranche</v>
      </c>
      <c r="F199" s="2"/>
      <c r="G199" s="2"/>
      <c r="H199" s="2"/>
      <c r="I199" s="2"/>
      <c r="J199" s="2"/>
      <c r="K199" s="2"/>
      <c r="L199" s="2"/>
      <c r="M199" s="2"/>
      <c r="N199" s="2"/>
      <c r="O199" s="2"/>
      <c r="P199" s="10"/>
      <c r="Q199" s="2"/>
      <c r="R199" s="497">
        <f t="shared" ref="R199:AW199" si="250">R187*$AE157</f>
        <v>0</v>
      </c>
      <c r="S199" s="497">
        <f t="shared" si="250"/>
        <v>0</v>
      </c>
      <c r="T199" s="497">
        <f t="shared" si="250"/>
        <v>0</v>
      </c>
      <c r="U199" s="497">
        <f t="shared" si="250"/>
        <v>0</v>
      </c>
      <c r="V199" s="497">
        <f t="shared" si="250"/>
        <v>0</v>
      </c>
      <c r="W199" s="497">
        <f t="shared" si="250"/>
        <v>0</v>
      </c>
      <c r="X199" s="497">
        <f t="shared" si="250"/>
        <v>0</v>
      </c>
      <c r="Y199" s="497">
        <f t="shared" si="250"/>
        <v>0</v>
      </c>
      <c r="Z199" s="497">
        <f t="shared" si="250"/>
        <v>0</v>
      </c>
      <c r="AA199" s="497">
        <f t="shared" si="250"/>
        <v>0</v>
      </c>
      <c r="AB199" s="497">
        <f t="shared" si="250"/>
        <v>0</v>
      </c>
      <c r="AC199" s="497">
        <f t="shared" si="250"/>
        <v>0</v>
      </c>
      <c r="AD199" s="497">
        <f t="shared" si="250"/>
        <v>0</v>
      </c>
      <c r="AE199" s="497">
        <f t="shared" si="250"/>
        <v>0</v>
      </c>
      <c r="AF199" s="497">
        <f t="shared" si="250"/>
        <v>0</v>
      </c>
      <c r="AG199" s="497">
        <f t="shared" si="250"/>
        <v>0</v>
      </c>
      <c r="AH199" s="497">
        <f t="shared" si="250"/>
        <v>0</v>
      </c>
      <c r="AI199" s="497">
        <f t="shared" si="250"/>
        <v>0</v>
      </c>
      <c r="AJ199" s="497">
        <f t="shared" si="250"/>
        <v>0</v>
      </c>
      <c r="AK199" s="497">
        <f t="shared" si="250"/>
        <v>0</v>
      </c>
      <c r="AL199" s="497">
        <f t="shared" si="250"/>
        <v>0</v>
      </c>
      <c r="AM199" s="497">
        <f t="shared" si="250"/>
        <v>0</v>
      </c>
      <c r="AN199" s="527">
        <f t="shared" si="250"/>
        <v>0</v>
      </c>
      <c r="AO199" s="527">
        <f t="shared" si="250"/>
        <v>0</v>
      </c>
      <c r="AP199" s="527">
        <f t="shared" si="250"/>
        <v>0</v>
      </c>
      <c r="AQ199" s="527">
        <f t="shared" si="250"/>
        <v>0</v>
      </c>
      <c r="AR199" s="527">
        <f t="shared" si="250"/>
        <v>0</v>
      </c>
      <c r="AS199" s="527">
        <f t="shared" si="250"/>
        <v>0</v>
      </c>
      <c r="AT199" s="527">
        <f t="shared" si="250"/>
        <v>0</v>
      </c>
      <c r="AU199" s="527">
        <f t="shared" si="250"/>
        <v>0</v>
      </c>
      <c r="AV199" s="527">
        <f t="shared" si="250"/>
        <v>4363.1498808298638</v>
      </c>
      <c r="AW199" s="527">
        <f t="shared" si="250"/>
        <v>4363.1498808298638</v>
      </c>
      <c r="AX199" s="527">
        <f t="shared" ref="AX199:BY199" si="251">AX187*$AE157</f>
        <v>4363.1498808298638</v>
      </c>
      <c r="AY199" s="527">
        <f t="shared" si="251"/>
        <v>4363.1498808298638</v>
      </c>
      <c r="AZ199" s="527">
        <f t="shared" si="251"/>
        <v>4363.1498808298638</v>
      </c>
      <c r="BA199" s="527">
        <f t="shared" si="251"/>
        <v>4363.1498808298638</v>
      </c>
      <c r="BB199" s="527">
        <f t="shared" si="251"/>
        <v>3610.8698510548984</v>
      </c>
      <c r="BC199" s="527">
        <f t="shared" si="251"/>
        <v>3610.8698510548984</v>
      </c>
      <c r="BD199" s="527">
        <f t="shared" si="251"/>
        <v>3610.8698510548984</v>
      </c>
      <c r="BE199" s="527">
        <f t="shared" si="251"/>
        <v>3610.8698510548984</v>
      </c>
      <c r="BF199" s="527">
        <f t="shared" si="251"/>
        <v>3610.8698510548984</v>
      </c>
      <c r="BG199" s="527">
        <f t="shared" si="251"/>
        <v>3610.8698510548984</v>
      </c>
      <c r="BH199" s="527">
        <f t="shared" si="251"/>
        <v>4647.7256910589476</v>
      </c>
      <c r="BI199" s="527">
        <f t="shared" si="251"/>
        <v>4647.7256910589476</v>
      </c>
      <c r="BJ199" s="527">
        <f t="shared" si="251"/>
        <v>4647.7256910589476</v>
      </c>
      <c r="BK199" s="527">
        <f t="shared" si="251"/>
        <v>4647.7256910589476</v>
      </c>
      <c r="BL199" s="527">
        <f t="shared" si="251"/>
        <v>4647.7256910589476</v>
      </c>
      <c r="BM199" s="527">
        <f t="shared" si="251"/>
        <v>4647.7256910589476</v>
      </c>
      <c r="BN199" s="527">
        <f t="shared" si="251"/>
        <v>3880.2341700823645</v>
      </c>
      <c r="BO199" s="527">
        <f t="shared" si="251"/>
        <v>3880.2341700823645</v>
      </c>
      <c r="BP199" s="527">
        <f t="shared" si="251"/>
        <v>3880.2341700823645</v>
      </c>
      <c r="BQ199" s="527">
        <f t="shared" si="251"/>
        <v>3880.2341700823645</v>
      </c>
      <c r="BR199" s="527">
        <f t="shared" si="251"/>
        <v>3880.2341700823645</v>
      </c>
      <c r="BS199" s="527">
        <f t="shared" si="251"/>
        <v>3880.2341700823645</v>
      </c>
      <c r="BT199" s="527">
        <f t="shared" si="251"/>
        <v>4958.5642436865701</v>
      </c>
      <c r="BU199" s="527">
        <f t="shared" si="251"/>
        <v>4958.5642436865701</v>
      </c>
      <c r="BV199" s="527">
        <f t="shared" si="251"/>
        <v>4958.5642436865701</v>
      </c>
      <c r="BW199" s="527">
        <f t="shared" si="251"/>
        <v>4958.5642436865701</v>
      </c>
      <c r="BX199" s="527">
        <f t="shared" si="251"/>
        <v>4958.5642436865701</v>
      </c>
      <c r="BY199" s="527">
        <f t="shared" si="251"/>
        <v>4958.5642436865701</v>
      </c>
    </row>
    <row r="200" spans="3:77" x14ac:dyDescent="0.3">
      <c r="C200" s="2"/>
      <c r="D200" s="2"/>
      <c r="E200" s="111" t="str">
        <f>"Drinks net comm. uplift due to capex: "&amp;E$158</f>
        <v>Drinks net comm. uplift due to capex: FY30 Tranche</v>
      </c>
      <c r="F200" s="2"/>
      <c r="G200" s="2"/>
      <c r="H200" s="2"/>
      <c r="I200" s="2"/>
      <c r="J200" s="2"/>
      <c r="K200" s="2"/>
      <c r="L200" s="2"/>
      <c r="M200" s="2"/>
      <c r="N200" s="2"/>
      <c r="O200" s="2"/>
      <c r="P200" s="10"/>
      <c r="Q200" s="2"/>
      <c r="R200" s="497">
        <f t="shared" ref="R200:AW200" si="252">R188*$AE158</f>
        <v>0</v>
      </c>
      <c r="S200" s="497">
        <f t="shared" si="252"/>
        <v>0</v>
      </c>
      <c r="T200" s="497">
        <f t="shared" si="252"/>
        <v>0</v>
      </c>
      <c r="U200" s="497">
        <f t="shared" si="252"/>
        <v>0</v>
      </c>
      <c r="V200" s="497">
        <f t="shared" si="252"/>
        <v>0</v>
      </c>
      <c r="W200" s="497">
        <f t="shared" si="252"/>
        <v>0</v>
      </c>
      <c r="X200" s="497">
        <f t="shared" si="252"/>
        <v>0</v>
      </c>
      <c r="Y200" s="497">
        <f t="shared" si="252"/>
        <v>0</v>
      </c>
      <c r="Z200" s="497">
        <f t="shared" si="252"/>
        <v>0</v>
      </c>
      <c r="AA200" s="497">
        <f t="shared" si="252"/>
        <v>0</v>
      </c>
      <c r="AB200" s="497">
        <f t="shared" si="252"/>
        <v>0</v>
      </c>
      <c r="AC200" s="497">
        <f t="shared" si="252"/>
        <v>0</v>
      </c>
      <c r="AD200" s="497">
        <f t="shared" si="252"/>
        <v>0</v>
      </c>
      <c r="AE200" s="497">
        <f t="shared" si="252"/>
        <v>0</v>
      </c>
      <c r="AF200" s="497">
        <f t="shared" si="252"/>
        <v>0</v>
      </c>
      <c r="AG200" s="497">
        <f t="shared" si="252"/>
        <v>0</v>
      </c>
      <c r="AH200" s="497">
        <f t="shared" si="252"/>
        <v>0</v>
      </c>
      <c r="AI200" s="497">
        <f t="shared" si="252"/>
        <v>0</v>
      </c>
      <c r="AJ200" s="497">
        <f t="shared" si="252"/>
        <v>0</v>
      </c>
      <c r="AK200" s="497">
        <f t="shared" si="252"/>
        <v>0</v>
      </c>
      <c r="AL200" s="497">
        <f t="shared" si="252"/>
        <v>0</v>
      </c>
      <c r="AM200" s="497">
        <f t="shared" si="252"/>
        <v>0</v>
      </c>
      <c r="AN200" s="527">
        <f t="shared" si="252"/>
        <v>0</v>
      </c>
      <c r="AO200" s="527">
        <f t="shared" si="252"/>
        <v>0</v>
      </c>
      <c r="AP200" s="527">
        <f t="shared" si="252"/>
        <v>0</v>
      </c>
      <c r="AQ200" s="527">
        <f t="shared" si="252"/>
        <v>0</v>
      </c>
      <c r="AR200" s="527">
        <f t="shared" si="252"/>
        <v>0</v>
      </c>
      <c r="AS200" s="527">
        <f t="shared" si="252"/>
        <v>0</v>
      </c>
      <c r="AT200" s="527">
        <f t="shared" si="252"/>
        <v>0</v>
      </c>
      <c r="AU200" s="527">
        <f t="shared" si="252"/>
        <v>0</v>
      </c>
      <c r="AV200" s="527">
        <f t="shared" si="252"/>
        <v>0</v>
      </c>
      <c r="AW200" s="527">
        <f t="shared" si="252"/>
        <v>0</v>
      </c>
      <c r="AX200" s="527">
        <f t="shared" ref="AX200:BY200" si="253">AX188*$AE158</f>
        <v>0</v>
      </c>
      <c r="AY200" s="527">
        <f t="shared" si="253"/>
        <v>0</v>
      </c>
      <c r="AZ200" s="527">
        <f t="shared" si="253"/>
        <v>0</v>
      </c>
      <c r="BA200" s="527">
        <f t="shared" si="253"/>
        <v>0</v>
      </c>
      <c r="BB200" s="527">
        <f t="shared" si="253"/>
        <v>0</v>
      </c>
      <c r="BC200" s="527">
        <f t="shared" si="253"/>
        <v>0</v>
      </c>
      <c r="BD200" s="527">
        <f t="shared" si="253"/>
        <v>0</v>
      </c>
      <c r="BE200" s="527">
        <f t="shared" si="253"/>
        <v>0</v>
      </c>
      <c r="BF200" s="527">
        <f t="shared" si="253"/>
        <v>0</v>
      </c>
      <c r="BG200" s="527">
        <f t="shared" si="253"/>
        <v>0</v>
      </c>
      <c r="BH200" s="527">
        <f t="shared" si="253"/>
        <v>4453.3694743070209</v>
      </c>
      <c r="BI200" s="527">
        <f t="shared" si="253"/>
        <v>4453.3694743070209</v>
      </c>
      <c r="BJ200" s="527">
        <f t="shared" si="253"/>
        <v>4453.3694743070209</v>
      </c>
      <c r="BK200" s="527">
        <f t="shared" si="253"/>
        <v>4453.3694743070209</v>
      </c>
      <c r="BL200" s="527">
        <f t="shared" si="253"/>
        <v>4453.3694743070209</v>
      </c>
      <c r="BM200" s="527">
        <f t="shared" si="253"/>
        <v>4453.3694743070209</v>
      </c>
      <c r="BN200" s="527">
        <f t="shared" si="253"/>
        <v>3685.8779533304378</v>
      </c>
      <c r="BO200" s="527">
        <f t="shared" si="253"/>
        <v>3685.8779533304378</v>
      </c>
      <c r="BP200" s="527">
        <f t="shared" si="253"/>
        <v>3685.8779533304378</v>
      </c>
      <c r="BQ200" s="527">
        <f t="shared" si="253"/>
        <v>3685.8779533304378</v>
      </c>
      <c r="BR200" s="527">
        <f t="shared" si="253"/>
        <v>3685.8779533304378</v>
      </c>
      <c r="BS200" s="527">
        <f t="shared" si="253"/>
        <v>3685.8779533304378</v>
      </c>
      <c r="BT200" s="527">
        <f t="shared" si="253"/>
        <v>4756.4337782645689</v>
      </c>
      <c r="BU200" s="527">
        <f t="shared" si="253"/>
        <v>4756.4337782645689</v>
      </c>
      <c r="BV200" s="527">
        <f t="shared" si="253"/>
        <v>4756.4337782645689</v>
      </c>
      <c r="BW200" s="527">
        <f t="shared" si="253"/>
        <v>4756.4337782645689</v>
      </c>
      <c r="BX200" s="527">
        <f t="shared" si="253"/>
        <v>4756.4337782645689</v>
      </c>
      <c r="BY200" s="527">
        <f t="shared" si="253"/>
        <v>4756.4337782645689</v>
      </c>
    </row>
    <row r="201" spans="3:77" x14ac:dyDescent="0.3">
      <c r="C201" s="2"/>
      <c r="D201" s="2"/>
      <c r="E201" s="111" t="str">
        <f>"Drinks net comm. uplift due to capex: "&amp;E$159</f>
        <v>Drinks net comm. uplift due to capex: FY31 Tranche</v>
      </c>
      <c r="F201" s="2"/>
      <c r="G201" s="2"/>
      <c r="H201" s="2"/>
      <c r="I201" s="2"/>
      <c r="J201" s="2"/>
      <c r="K201" s="2"/>
      <c r="L201" s="2"/>
      <c r="M201" s="2"/>
      <c r="N201" s="2"/>
      <c r="O201" s="2"/>
      <c r="P201" s="10"/>
      <c r="Q201" s="2"/>
      <c r="R201" s="497">
        <f t="shared" ref="R201:AW201" si="254">R189*$AE159</f>
        <v>0</v>
      </c>
      <c r="S201" s="497">
        <f t="shared" si="254"/>
        <v>0</v>
      </c>
      <c r="T201" s="497">
        <f t="shared" si="254"/>
        <v>0</v>
      </c>
      <c r="U201" s="497">
        <f t="shared" si="254"/>
        <v>0</v>
      </c>
      <c r="V201" s="497">
        <f t="shared" si="254"/>
        <v>0</v>
      </c>
      <c r="W201" s="497">
        <f t="shared" si="254"/>
        <v>0</v>
      </c>
      <c r="X201" s="497">
        <f t="shared" si="254"/>
        <v>0</v>
      </c>
      <c r="Y201" s="497">
        <f t="shared" si="254"/>
        <v>0</v>
      </c>
      <c r="Z201" s="497">
        <f t="shared" si="254"/>
        <v>0</v>
      </c>
      <c r="AA201" s="497">
        <f t="shared" si="254"/>
        <v>0</v>
      </c>
      <c r="AB201" s="497">
        <f t="shared" si="254"/>
        <v>0</v>
      </c>
      <c r="AC201" s="497">
        <f t="shared" si="254"/>
        <v>0</v>
      </c>
      <c r="AD201" s="497">
        <f t="shared" si="254"/>
        <v>0</v>
      </c>
      <c r="AE201" s="497">
        <f t="shared" si="254"/>
        <v>0</v>
      </c>
      <c r="AF201" s="497">
        <f t="shared" si="254"/>
        <v>0</v>
      </c>
      <c r="AG201" s="497">
        <f t="shared" si="254"/>
        <v>0</v>
      </c>
      <c r="AH201" s="497">
        <f t="shared" si="254"/>
        <v>0</v>
      </c>
      <c r="AI201" s="497">
        <f t="shared" si="254"/>
        <v>0</v>
      </c>
      <c r="AJ201" s="497">
        <f t="shared" si="254"/>
        <v>0</v>
      </c>
      <c r="AK201" s="497">
        <f t="shared" si="254"/>
        <v>0</v>
      </c>
      <c r="AL201" s="497">
        <f t="shared" si="254"/>
        <v>0</v>
      </c>
      <c r="AM201" s="497">
        <f t="shared" si="254"/>
        <v>0</v>
      </c>
      <c r="AN201" s="527">
        <f t="shared" si="254"/>
        <v>0</v>
      </c>
      <c r="AO201" s="527">
        <f t="shared" si="254"/>
        <v>0</v>
      </c>
      <c r="AP201" s="527">
        <f t="shared" si="254"/>
        <v>0</v>
      </c>
      <c r="AQ201" s="527">
        <f t="shared" si="254"/>
        <v>0</v>
      </c>
      <c r="AR201" s="527">
        <f t="shared" si="254"/>
        <v>0</v>
      </c>
      <c r="AS201" s="527">
        <f t="shared" si="254"/>
        <v>0</v>
      </c>
      <c r="AT201" s="527">
        <f t="shared" si="254"/>
        <v>0</v>
      </c>
      <c r="AU201" s="527">
        <f t="shared" si="254"/>
        <v>0</v>
      </c>
      <c r="AV201" s="527">
        <f t="shared" si="254"/>
        <v>0</v>
      </c>
      <c r="AW201" s="527">
        <f t="shared" si="254"/>
        <v>0</v>
      </c>
      <c r="AX201" s="527">
        <f t="shared" ref="AX201:BY201" si="255">AX189*$AE159</f>
        <v>0</v>
      </c>
      <c r="AY201" s="527">
        <f t="shared" si="255"/>
        <v>0</v>
      </c>
      <c r="AZ201" s="527">
        <f t="shared" si="255"/>
        <v>0</v>
      </c>
      <c r="BA201" s="527">
        <f t="shared" si="255"/>
        <v>0</v>
      </c>
      <c r="BB201" s="527">
        <f t="shared" si="255"/>
        <v>0</v>
      </c>
      <c r="BC201" s="527">
        <f t="shared" si="255"/>
        <v>0</v>
      </c>
      <c r="BD201" s="527">
        <f t="shared" si="255"/>
        <v>0</v>
      </c>
      <c r="BE201" s="527">
        <f t="shared" si="255"/>
        <v>0</v>
      </c>
      <c r="BF201" s="527">
        <f t="shared" si="255"/>
        <v>0</v>
      </c>
      <c r="BG201" s="527">
        <f t="shared" si="255"/>
        <v>0</v>
      </c>
      <c r="BH201" s="527">
        <f t="shared" si="255"/>
        <v>0</v>
      </c>
      <c r="BI201" s="527">
        <f t="shared" si="255"/>
        <v>0</v>
      </c>
      <c r="BJ201" s="527">
        <f t="shared" si="255"/>
        <v>0</v>
      </c>
      <c r="BK201" s="527">
        <f t="shared" si="255"/>
        <v>0</v>
      </c>
      <c r="BL201" s="527">
        <f t="shared" si="255"/>
        <v>0</v>
      </c>
      <c r="BM201" s="527">
        <f t="shared" si="255"/>
        <v>0</v>
      </c>
      <c r="BN201" s="527">
        <f t="shared" si="255"/>
        <v>0</v>
      </c>
      <c r="BO201" s="527">
        <f t="shared" si="255"/>
        <v>0</v>
      </c>
      <c r="BP201" s="527">
        <f t="shared" si="255"/>
        <v>0</v>
      </c>
      <c r="BQ201" s="527">
        <f t="shared" si="255"/>
        <v>0</v>
      </c>
      <c r="BR201" s="527">
        <f t="shared" si="255"/>
        <v>0</v>
      </c>
      <c r="BS201" s="527">
        <f t="shared" si="255"/>
        <v>0</v>
      </c>
      <c r="BT201" s="527">
        <f t="shared" si="255"/>
        <v>4540.2813307407623</v>
      </c>
      <c r="BU201" s="527">
        <f t="shared" si="255"/>
        <v>4540.2813307407623</v>
      </c>
      <c r="BV201" s="527">
        <f t="shared" si="255"/>
        <v>4540.2813307407623</v>
      </c>
      <c r="BW201" s="527">
        <f t="shared" si="255"/>
        <v>4540.2813307407623</v>
      </c>
      <c r="BX201" s="527">
        <f t="shared" si="255"/>
        <v>4540.2813307407623</v>
      </c>
      <c r="BY201" s="527">
        <f t="shared" si="255"/>
        <v>4540.2813307407623</v>
      </c>
    </row>
    <row r="202" spans="3:77" x14ac:dyDescent="0.3">
      <c r="C202" s="2"/>
      <c r="D202" s="2"/>
      <c r="E202" s="111" t="str">
        <f>"Drinks net comm. uplift due to capex: "&amp;E$160</f>
        <v>Drinks net comm. uplift due to capex: Uninvested Tranche</v>
      </c>
      <c r="F202" s="2"/>
      <c r="G202" s="2"/>
      <c r="H202" s="2"/>
      <c r="I202" s="2"/>
      <c r="J202" s="2"/>
      <c r="K202" s="2"/>
      <c r="L202" s="2"/>
      <c r="M202" s="2"/>
      <c r="N202" s="2"/>
      <c r="O202" s="2"/>
      <c r="P202" s="10"/>
      <c r="Q202" s="2"/>
      <c r="R202" s="497">
        <f t="shared" ref="R202:AW202" si="256">R190*$AE160</f>
        <v>0</v>
      </c>
      <c r="S202" s="497">
        <f t="shared" si="256"/>
        <v>0</v>
      </c>
      <c r="T202" s="497">
        <f t="shared" si="256"/>
        <v>0</v>
      </c>
      <c r="U202" s="497">
        <f t="shared" si="256"/>
        <v>0</v>
      </c>
      <c r="V202" s="497">
        <f t="shared" si="256"/>
        <v>0</v>
      </c>
      <c r="W202" s="497">
        <f t="shared" si="256"/>
        <v>0</v>
      </c>
      <c r="X202" s="497">
        <f t="shared" si="256"/>
        <v>0</v>
      </c>
      <c r="Y202" s="497">
        <f t="shared" si="256"/>
        <v>0</v>
      </c>
      <c r="Z202" s="497">
        <f t="shared" si="256"/>
        <v>0</v>
      </c>
      <c r="AA202" s="497">
        <f t="shared" si="256"/>
        <v>0</v>
      </c>
      <c r="AB202" s="497">
        <f t="shared" si="256"/>
        <v>0</v>
      </c>
      <c r="AC202" s="497">
        <f t="shared" si="256"/>
        <v>0</v>
      </c>
      <c r="AD202" s="497">
        <f t="shared" si="256"/>
        <v>0</v>
      </c>
      <c r="AE202" s="497">
        <f t="shared" si="256"/>
        <v>0</v>
      </c>
      <c r="AF202" s="497">
        <f t="shared" si="256"/>
        <v>0</v>
      </c>
      <c r="AG202" s="497">
        <f t="shared" si="256"/>
        <v>0</v>
      </c>
      <c r="AH202" s="497">
        <f t="shared" si="256"/>
        <v>0</v>
      </c>
      <c r="AI202" s="497">
        <f t="shared" si="256"/>
        <v>0</v>
      </c>
      <c r="AJ202" s="497">
        <f t="shared" si="256"/>
        <v>0</v>
      </c>
      <c r="AK202" s="497">
        <f t="shared" si="256"/>
        <v>0</v>
      </c>
      <c r="AL202" s="497">
        <f t="shared" si="256"/>
        <v>0</v>
      </c>
      <c r="AM202" s="497">
        <f t="shared" si="256"/>
        <v>0</v>
      </c>
      <c r="AN202" s="527">
        <f t="shared" si="256"/>
        <v>0</v>
      </c>
      <c r="AO202" s="527">
        <f t="shared" si="256"/>
        <v>0</v>
      </c>
      <c r="AP202" s="527">
        <f t="shared" si="256"/>
        <v>0</v>
      </c>
      <c r="AQ202" s="527">
        <f t="shared" si="256"/>
        <v>0</v>
      </c>
      <c r="AR202" s="527">
        <f t="shared" si="256"/>
        <v>0</v>
      </c>
      <c r="AS202" s="527">
        <f t="shared" si="256"/>
        <v>0</v>
      </c>
      <c r="AT202" s="527">
        <f t="shared" si="256"/>
        <v>0</v>
      </c>
      <c r="AU202" s="527">
        <f t="shared" si="256"/>
        <v>0</v>
      </c>
      <c r="AV202" s="527">
        <f t="shared" si="256"/>
        <v>0</v>
      </c>
      <c r="AW202" s="527">
        <f t="shared" si="256"/>
        <v>0</v>
      </c>
      <c r="AX202" s="527">
        <f t="shared" ref="AX202:BY202" si="257">AX190*$AE160</f>
        <v>0</v>
      </c>
      <c r="AY202" s="527">
        <f t="shared" si="257"/>
        <v>0</v>
      </c>
      <c r="AZ202" s="527">
        <f t="shared" si="257"/>
        <v>0</v>
      </c>
      <c r="BA202" s="527">
        <f t="shared" si="257"/>
        <v>0</v>
      </c>
      <c r="BB202" s="527">
        <f t="shared" si="257"/>
        <v>0</v>
      </c>
      <c r="BC202" s="527">
        <f t="shared" si="257"/>
        <v>0</v>
      </c>
      <c r="BD202" s="527">
        <f t="shared" si="257"/>
        <v>0</v>
      </c>
      <c r="BE202" s="527">
        <f t="shared" si="257"/>
        <v>0</v>
      </c>
      <c r="BF202" s="527">
        <f t="shared" si="257"/>
        <v>0</v>
      </c>
      <c r="BG202" s="527">
        <f t="shared" si="257"/>
        <v>0</v>
      </c>
      <c r="BH202" s="527">
        <f t="shared" si="257"/>
        <v>0</v>
      </c>
      <c r="BI202" s="527">
        <f t="shared" si="257"/>
        <v>0</v>
      </c>
      <c r="BJ202" s="527">
        <f t="shared" si="257"/>
        <v>0</v>
      </c>
      <c r="BK202" s="527">
        <f t="shared" si="257"/>
        <v>0</v>
      </c>
      <c r="BL202" s="527">
        <f t="shared" si="257"/>
        <v>0</v>
      </c>
      <c r="BM202" s="527">
        <f t="shared" si="257"/>
        <v>0</v>
      </c>
      <c r="BN202" s="527">
        <f t="shared" si="257"/>
        <v>0</v>
      </c>
      <c r="BO202" s="527">
        <f t="shared" si="257"/>
        <v>0</v>
      </c>
      <c r="BP202" s="527">
        <f t="shared" si="257"/>
        <v>0</v>
      </c>
      <c r="BQ202" s="527">
        <f t="shared" si="257"/>
        <v>0</v>
      </c>
      <c r="BR202" s="527">
        <f t="shared" si="257"/>
        <v>0</v>
      </c>
      <c r="BS202" s="527">
        <f t="shared" si="257"/>
        <v>0</v>
      </c>
      <c r="BT202" s="527">
        <f t="shared" si="257"/>
        <v>0</v>
      </c>
      <c r="BU202" s="527">
        <f t="shared" si="257"/>
        <v>0</v>
      </c>
      <c r="BV202" s="527">
        <f t="shared" si="257"/>
        <v>0</v>
      </c>
      <c r="BW202" s="527">
        <f t="shared" si="257"/>
        <v>0</v>
      </c>
      <c r="BX202" s="527">
        <f t="shared" si="257"/>
        <v>0</v>
      </c>
      <c r="BY202" s="527">
        <f t="shared" si="257"/>
        <v>0</v>
      </c>
    </row>
    <row r="203" spans="3:77" x14ac:dyDescent="0.3">
      <c r="C203" s="2"/>
      <c r="D203" s="2"/>
      <c r="E203" s="4" t="s">
        <v>36</v>
      </c>
      <c r="F203" s="4"/>
      <c r="G203" s="4"/>
      <c r="H203" s="4"/>
      <c r="I203" s="4"/>
      <c r="J203" s="4"/>
      <c r="K203" s="4"/>
      <c r="L203" s="4"/>
      <c r="M203" s="4"/>
      <c r="N203" s="4"/>
      <c r="O203" s="4"/>
      <c r="P203" s="106"/>
      <c r="Q203" s="4"/>
      <c r="R203" s="500">
        <f t="shared" ref="R203:AW203" si="258">SUM(R197:R202)</f>
        <v>0</v>
      </c>
      <c r="S203" s="500">
        <f t="shared" si="258"/>
        <v>0</v>
      </c>
      <c r="T203" s="500">
        <f t="shared" si="258"/>
        <v>0</v>
      </c>
      <c r="U203" s="500">
        <f t="shared" si="258"/>
        <v>0</v>
      </c>
      <c r="V203" s="500">
        <f t="shared" si="258"/>
        <v>0</v>
      </c>
      <c r="W203" s="500">
        <f t="shared" si="258"/>
        <v>0</v>
      </c>
      <c r="X203" s="500">
        <f t="shared" si="258"/>
        <v>4167.1112855458223</v>
      </c>
      <c r="Y203" s="500">
        <f t="shared" si="258"/>
        <v>4167.1112855458223</v>
      </c>
      <c r="Z203" s="500">
        <f t="shared" si="258"/>
        <v>4167.1112855458223</v>
      </c>
      <c r="AA203" s="500">
        <f t="shared" si="258"/>
        <v>4167.1112855458223</v>
      </c>
      <c r="AB203" s="500">
        <f t="shared" si="258"/>
        <v>4167.1112855458223</v>
      </c>
      <c r="AC203" s="500">
        <f t="shared" si="258"/>
        <v>4167.1112855458223</v>
      </c>
      <c r="AD203" s="500">
        <f t="shared" si="258"/>
        <v>3385.389226890868</v>
      </c>
      <c r="AE203" s="500">
        <f t="shared" si="258"/>
        <v>3385.389226890868</v>
      </c>
      <c r="AF203" s="500">
        <f t="shared" si="258"/>
        <v>3385.389226890868</v>
      </c>
      <c r="AG203" s="500">
        <f t="shared" si="258"/>
        <v>3385.389226890868</v>
      </c>
      <c r="AH203" s="500">
        <f t="shared" si="258"/>
        <v>3385.389226890868</v>
      </c>
      <c r="AI203" s="500">
        <f t="shared" si="258"/>
        <v>3385.389226890868</v>
      </c>
      <c r="AJ203" s="500">
        <f t="shared" si="258"/>
        <v>8619.4350616448246</v>
      </c>
      <c r="AK203" s="500">
        <f t="shared" si="258"/>
        <v>8619.4350616448246</v>
      </c>
      <c r="AL203" s="500">
        <f t="shared" si="258"/>
        <v>8619.4350616448246</v>
      </c>
      <c r="AM203" s="500">
        <f t="shared" si="258"/>
        <v>8619.4350616448246</v>
      </c>
      <c r="AN203" s="532">
        <f t="shared" si="258"/>
        <v>8619.4350616448246</v>
      </c>
      <c r="AO203" s="532">
        <f t="shared" si="258"/>
        <v>8619.4350616448246</v>
      </c>
      <c r="AP203" s="532">
        <f t="shared" si="258"/>
        <v>7067.9821254139988</v>
      </c>
      <c r="AQ203" s="532">
        <f t="shared" si="258"/>
        <v>7067.9821254139988</v>
      </c>
      <c r="AR203" s="532">
        <f t="shared" si="258"/>
        <v>7067.9821254139988</v>
      </c>
      <c r="AS203" s="532">
        <f t="shared" si="258"/>
        <v>7067.9821254139988</v>
      </c>
      <c r="AT203" s="532">
        <f t="shared" si="258"/>
        <v>7067.9821254139988</v>
      </c>
      <c r="AU203" s="532">
        <f t="shared" si="258"/>
        <v>7067.9821254139988</v>
      </c>
      <c r="AV203" s="532">
        <f t="shared" si="258"/>
        <v>13438.510980802123</v>
      </c>
      <c r="AW203" s="532">
        <f t="shared" si="258"/>
        <v>13438.510980802123</v>
      </c>
      <c r="AX203" s="532">
        <f t="shared" ref="AX203:BY203" si="259">SUM(AX197:AX202)</f>
        <v>13438.510980802123</v>
      </c>
      <c r="AY203" s="532">
        <f t="shared" si="259"/>
        <v>13438.510980802123</v>
      </c>
      <c r="AZ203" s="532">
        <f t="shared" si="259"/>
        <v>13438.510980802123</v>
      </c>
      <c r="BA203" s="532">
        <f t="shared" si="259"/>
        <v>13438.510980802123</v>
      </c>
      <c r="BB203" s="532">
        <f t="shared" si="259"/>
        <v>11181.670891477224</v>
      </c>
      <c r="BC203" s="532">
        <f t="shared" si="259"/>
        <v>11181.670891477224</v>
      </c>
      <c r="BD203" s="532">
        <f t="shared" si="259"/>
        <v>11181.670891477224</v>
      </c>
      <c r="BE203" s="532">
        <f t="shared" si="259"/>
        <v>11181.670891477224</v>
      </c>
      <c r="BF203" s="532">
        <f t="shared" si="259"/>
        <v>11181.670891477224</v>
      </c>
      <c r="BG203" s="532">
        <f t="shared" si="259"/>
        <v>11181.670891477224</v>
      </c>
      <c r="BH203" s="532">
        <f t="shared" si="259"/>
        <v>18759.57033932889</v>
      </c>
      <c r="BI203" s="532">
        <f t="shared" si="259"/>
        <v>18759.57033932889</v>
      </c>
      <c r="BJ203" s="532">
        <f t="shared" si="259"/>
        <v>18759.57033932889</v>
      </c>
      <c r="BK203" s="532">
        <f t="shared" si="259"/>
        <v>18759.57033932889</v>
      </c>
      <c r="BL203" s="532">
        <f t="shared" si="259"/>
        <v>18759.57033932889</v>
      </c>
      <c r="BM203" s="532">
        <f t="shared" si="259"/>
        <v>18759.57033932889</v>
      </c>
      <c r="BN203" s="532">
        <f t="shared" si="259"/>
        <v>15689.604255422557</v>
      </c>
      <c r="BO203" s="532">
        <f t="shared" si="259"/>
        <v>15689.604255422557</v>
      </c>
      <c r="BP203" s="532">
        <f t="shared" si="259"/>
        <v>15689.604255422557</v>
      </c>
      <c r="BQ203" s="532">
        <f t="shared" si="259"/>
        <v>15689.604255422557</v>
      </c>
      <c r="BR203" s="532">
        <f t="shared" si="259"/>
        <v>15689.604255422557</v>
      </c>
      <c r="BS203" s="532">
        <f t="shared" si="259"/>
        <v>15689.604255422557</v>
      </c>
      <c r="BT203" s="532">
        <f t="shared" si="259"/>
        <v>24549.952583583879</v>
      </c>
      <c r="BU203" s="532">
        <f t="shared" si="259"/>
        <v>24549.952583583879</v>
      </c>
      <c r="BV203" s="532">
        <f t="shared" si="259"/>
        <v>24549.952583583879</v>
      </c>
      <c r="BW203" s="532">
        <f t="shared" si="259"/>
        <v>24549.952583583879</v>
      </c>
      <c r="BX203" s="532">
        <f t="shared" si="259"/>
        <v>24549.952583583879</v>
      </c>
      <c r="BY203" s="532">
        <f t="shared" si="259"/>
        <v>24549.952583583879</v>
      </c>
    </row>
    <row r="204" spans="3:77" x14ac:dyDescent="0.3">
      <c r="C204" s="2"/>
      <c r="D204" s="2"/>
      <c r="E204" s="2"/>
      <c r="F204" s="2"/>
      <c r="G204" s="2"/>
      <c r="H204" s="2"/>
      <c r="I204" s="2"/>
      <c r="J204" s="2"/>
      <c r="K204" s="2"/>
      <c r="L204" s="2"/>
      <c r="M204" s="2"/>
      <c r="N204" s="2"/>
      <c r="O204" s="2"/>
      <c r="P204" s="10"/>
      <c r="Q204" s="2"/>
      <c r="R204" s="2"/>
      <c r="S204" s="2"/>
      <c r="T204" s="2"/>
      <c r="U204" s="2"/>
      <c r="V204" s="2"/>
      <c r="W204" s="2"/>
      <c r="X204" s="2"/>
      <c r="Y204" s="2"/>
      <c r="Z204" s="2"/>
      <c r="AA204" s="2"/>
      <c r="AB204" s="2"/>
      <c r="AC204" s="2"/>
      <c r="AD204" s="2"/>
      <c r="AE204" s="2"/>
      <c r="AF204" s="2"/>
      <c r="AG204" s="2"/>
      <c r="AH204" s="2"/>
      <c r="AI204" s="2"/>
      <c r="AJ204" s="2"/>
      <c r="AK204" s="2"/>
      <c r="AL204" s="2"/>
      <c r="AM204" s="2"/>
      <c r="AN204" s="525"/>
      <c r="AO204" s="525"/>
      <c r="AP204" s="525"/>
      <c r="AQ204" s="525"/>
      <c r="AR204" s="525"/>
      <c r="AS204" s="525"/>
      <c r="AT204" s="525"/>
      <c r="AU204" s="525"/>
      <c r="AV204" s="525"/>
      <c r="AW204" s="525"/>
      <c r="AX204" s="525"/>
      <c r="AY204" s="525"/>
      <c r="AZ204" s="525"/>
      <c r="BA204" s="525"/>
      <c r="BB204" s="525"/>
      <c r="BC204" s="525"/>
      <c r="BD204" s="525"/>
      <c r="BE204" s="525"/>
      <c r="BF204" s="525"/>
      <c r="BG204" s="525"/>
      <c r="BH204" s="525"/>
      <c r="BI204" s="525"/>
      <c r="BJ204" s="525"/>
      <c r="BK204" s="525"/>
      <c r="BL204" s="525"/>
      <c r="BM204" s="525"/>
      <c r="BN204" s="525"/>
      <c r="BO204" s="525"/>
      <c r="BP204" s="525"/>
      <c r="BQ204" s="525"/>
      <c r="BR204" s="525"/>
      <c r="BS204" s="525"/>
      <c r="BT204" s="525"/>
      <c r="BU204" s="525"/>
      <c r="BV204" s="525"/>
      <c r="BW204" s="525"/>
      <c r="BX204" s="525"/>
      <c r="BY204" s="525"/>
    </row>
    <row r="205" spans="3:77" x14ac:dyDescent="0.3">
      <c r="C205" s="2"/>
      <c r="D205" s="2"/>
      <c r="E205" s="112" t="str">
        <f>"BCF net comm. uplift due to capex: "&amp;E$155</f>
        <v>BCF net comm. uplift due to capex: FY27 Tranche</v>
      </c>
      <c r="F205" s="2"/>
      <c r="G205" s="2"/>
      <c r="H205" s="2"/>
      <c r="I205" s="2"/>
      <c r="J205" s="2"/>
      <c r="K205" s="2"/>
      <c r="L205" s="2"/>
      <c r="M205" s="2"/>
      <c r="N205" s="2"/>
      <c r="O205" s="2"/>
      <c r="P205" s="10"/>
      <c r="Q205" s="2"/>
      <c r="R205" s="497">
        <f t="shared" ref="R205:AW205" si="260">IFERROR(R197*(R$581/SUM(R$581,R$590)),0)</f>
        <v>0</v>
      </c>
      <c r="S205" s="497">
        <f t="shared" si="260"/>
        <v>0</v>
      </c>
      <c r="T205" s="497">
        <f t="shared" si="260"/>
        <v>0</v>
      </c>
      <c r="U205" s="497">
        <f t="shared" si="260"/>
        <v>0</v>
      </c>
      <c r="V205" s="497">
        <f t="shared" si="260"/>
        <v>0</v>
      </c>
      <c r="W205" s="497">
        <f t="shared" si="260"/>
        <v>0</v>
      </c>
      <c r="X205" s="497">
        <f t="shared" si="260"/>
        <v>3834.7084124189555</v>
      </c>
      <c r="Y205" s="497">
        <f t="shared" si="260"/>
        <v>3834.7084124189555</v>
      </c>
      <c r="Z205" s="497">
        <f t="shared" si="260"/>
        <v>3834.7084124189555</v>
      </c>
      <c r="AA205" s="497">
        <f t="shared" si="260"/>
        <v>3834.7084124189555</v>
      </c>
      <c r="AB205" s="497">
        <f t="shared" si="260"/>
        <v>3834.7084124189555</v>
      </c>
      <c r="AC205" s="497">
        <f t="shared" si="260"/>
        <v>3834.7084124189555</v>
      </c>
      <c r="AD205" s="497">
        <f t="shared" si="260"/>
        <v>3128.1914111349779</v>
      </c>
      <c r="AE205" s="497">
        <f t="shared" si="260"/>
        <v>3128.1914111349779</v>
      </c>
      <c r="AF205" s="497">
        <f t="shared" si="260"/>
        <v>3128.1914111349779</v>
      </c>
      <c r="AG205" s="497">
        <f t="shared" si="260"/>
        <v>3128.1914111349779</v>
      </c>
      <c r="AH205" s="497">
        <f t="shared" si="260"/>
        <v>3128.1914111349779</v>
      </c>
      <c r="AI205" s="497">
        <f t="shared" si="260"/>
        <v>3128.1914111349779</v>
      </c>
      <c r="AJ205" s="497">
        <f t="shared" si="260"/>
        <v>4021.4635274030497</v>
      </c>
      <c r="AK205" s="497">
        <f t="shared" si="260"/>
        <v>4021.4635274030497</v>
      </c>
      <c r="AL205" s="497">
        <f t="shared" si="260"/>
        <v>4021.4635274030497</v>
      </c>
      <c r="AM205" s="497">
        <f t="shared" si="260"/>
        <v>4021.4635274030497</v>
      </c>
      <c r="AN205" s="527">
        <f t="shared" si="260"/>
        <v>4021.4635274030497</v>
      </c>
      <c r="AO205" s="527">
        <f t="shared" si="260"/>
        <v>4021.4635274030497</v>
      </c>
      <c r="AP205" s="527">
        <f t="shared" si="260"/>
        <v>3316.9910301281384</v>
      </c>
      <c r="AQ205" s="527">
        <f t="shared" si="260"/>
        <v>3316.9910301281384</v>
      </c>
      <c r="AR205" s="527">
        <f t="shared" si="260"/>
        <v>3316.9910301281384</v>
      </c>
      <c r="AS205" s="527">
        <f t="shared" si="260"/>
        <v>3316.9910301281384</v>
      </c>
      <c r="AT205" s="527">
        <f t="shared" si="260"/>
        <v>3316.9910301281384</v>
      </c>
      <c r="AU205" s="527">
        <f t="shared" si="260"/>
        <v>3316.9910301281384</v>
      </c>
      <c r="AV205" s="527">
        <f t="shared" si="260"/>
        <v>4249.4573463537636</v>
      </c>
      <c r="AW205" s="527">
        <f t="shared" si="260"/>
        <v>4249.4573463537636</v>
      </c>
      <c r="AX205" s="527">
        <f t="shared" ref="AX205:BY205" si="261">IFERROR(AX197*(AX$581/SUM(AX$581,AX$590)),0)</f>
        <v>4249.4573463537636</v>
      </c>
      <c r="AY205" s="527">
        <f t="shared" si="261"/>
        <v>4249.4573463537636</v>
      </c>
      <c r="AZ205" s="527">
        <f t="shared" si="261"/>
        <v>4249.4573463537636</v>
      </c>
      <c r="BA205" s="527">
        <f t="shared" si="261"/>
        <v>4249.4573463537636</v>
      </c>
      <c r="BB205" s="527">
        <f t="shared" si="261"/>
        <v>3563.6757798961585</v>
      </c>
      <c r="BC205" s="527">
        <f t="shared" si="261"/>
        <v>3563.6757798961585</v>
      </c>
      <c r="BD205" s="527">
        <f t="shared" si="261"/>
        <v>3563.6757798961585</v>
      </c>
      <c r="BE205" s="527">
        <f t="shared" si="261"/>
        <v>3563.6757798961585</v>
      </c>
      <c r="BF205" s="527">
        <f t="shared" si="261"/>
        <v>3563.6757798961585</v>
      </c>
      <c r="BG205" s="527">
        <f t="shared" si="261"/>
        <v>3563.6757798961585</v>
      </c>
      <c r="BH205" s="527">
        <f t="shared" si="261"/>
        <v>4536.7000214306545</v>
      </c>
      <c r="BI205" s="527">
        <f t="shared" si="261"/>
        <v>4536.7000214306545</v>
      </c>
      <c r="BJ205" s="527">
        <f t="shared" si="261"/>
        <v>4536.7000214306545</v>
      </c>
      <c r="BK205" s="527">
        <f t="shared" si="261"/>
        <v>4536.7000214306545</v>
      </c>
      <c r="BL205" s="527">
        <f t="shared" si="261"/>
        <v>4536.7000214306545</v>
      </c>
      <c r="BM205" s="527">
        <f t="shared" si="261"/>
        <v>4536.7000214306545</v>
      </c>
      <c r="BN205" s="527">
        <f t="shared" si="261"/>
        <v>3834.6464315005555</v>
      </c>
      <c r="BO205" s="527">
        <f t="shared" si="261"/>
        <v>3834.6464315005555</v>
      </c>
      <c r="BP205" s="527">
        <f t="shared" si="261"/>
        <v>3834.6464315005555</v>
      </c>
      <c r="BQ205" s="527">
        <f t="shared" si="261"/>
        <v>3834.6464315005555</v>
      </c>
      <c r="BR205" s="527">
        <f t="shared" si="261"/>
        <v>3834.6464315005555</v>
      </c>
      <c r="BS205" s="527">
        <f t="shared" si="261"/>
        <v>3834.6464315005555</v>
      </c>
      <c r="BT205" s="527">
        <f t="shared" si="261"/>
        <v>4849.8122994729192</v>
      </c>
      <c r="BU205" s="527">
        <f t="shared" si="261"/>
        <v>4849.8122994729192</v>
      </c>
      <c r="BV205" s="527">
        <f t="shared" si="261"/>
        <v>4849.8122994729192</v>
      </c>
      <c r="BW205" s="527">
        <f t="shared" si="261"/>
        <v>4849.8122994729192</v>
      </c>
      <c r="BX205" s="527">
        <f t="shared" si="261"/>
        <v>4849.8122994729192</v>
      </c>
      <c r="BY205" s="527">
        <f t="shared" si="261"/>
        <v>4849.8122994729192</v>
      </c>
    </row>
    <row r="206" spans="3:77" x14ac:dyDescent="0.3">
      <c r="C206" s="2"/>
      <c r="D206" s="2"/>
      <c r="E206" s="112" t="str">
        <f>"BCF net comm. uplift due to capex: "&amp;E$156</f>
        <v>BCF net comm. uplift due to capex: FY28 Tranche</v>
      </c>
      <c r="F206" s="2"/>
      <c r="G206" s="2"/>
      <c r="H206" s="2"/>
      <c r="I206" s="2"/>
      <c r="J206" s="2"/>
      <c r="K206" s="2"/>
      <c r="L206" s="2"/>
      <c r="M206" s="2"/>
      <c r="N206" s="2"/>
      <c r="O206" s="2"/>
      <c r="P206" s="10"/>
      <c r="Q206" s="2"/>
      <c r="R206" s="497">
        <f t="shared" ref="R206:AW206" si="262">IFERROR(R198*(R$581/SUM(R$581,R$590)),0)</f>
        <v>0</v>
      </c>
      <c r="S206" s="497">
        <f t="shared" si="262"/>
        <v>0</v>
      </c>
      <c r="T206" s="497">
        <f t="shared" si="262"/>
        <v>0</v>
      </c>
      <c r="U206" s="497">
        <f t="shared" si="262"/>
        <v>0</v>
      </c>
      <c r="V206" s="497">
        <f t="shared" si="262"/>
        <v>0</v>
      </c>
      <c r="W206" s="497">
        <f t="shared" si="262"/>
        <v>0</v>
      </c>
      <c r="X206" s="497">
        <f t="shared" si="262"/>
        <v>0</v>
      </c>
      <c r="Y206" s="497">
        <f t="shared" si="262"/>
        <v>0</v>
      </c>
      <c r="Z206" s="497">
        <f t="shared" si="262"/>
        <v>0</v>
      </c>
      <c r="AA206" s="497">
        <f t="shared" si="262"/>
        <v>0</v>
      </c>
      <c r="AB206" s="497">
        <f t="shared" si="262"/>
        <v>0</v>
      </c>
      <c r="AC206" s="497">
        <f t="shared" si="262"/>
        <v>0</v>
      </c>
      <c r="AD206" s="497">
        <f t="shared" si="262"/>
        <v>0</v>
      </c>
      <c r="AE206" s="497">
        <f t="shared" si="262"/>
        <v>0</v>
      </c>
      <c r="AF206" s="497">
        <f t="shared" si="262"/>
        <v>0</v>
      </c>
      <c r="AG206" s="497">
        <f t="shared" si="262"/>
        <v>0</v>
      </c>
      <c r="AH206" s="497">
        <f t="shared" si="262"/>
        <v>0</v>
      </c>
      <c r="AI206" s="497">
        <f t="shared" si="262"/>
        <v>0</v>
      </c>
      <c r="AJ206" s="497">
        <f t="shared" si="262"/>
        <v>3943.1281108340672</v>
      </c>
      <c r="AK206" s="497">
        <f t="shared" si="262"/>
        <v>3943.1281108340672</v>
      </c>
      <c r="AL206" s="497">
        <f t="shared" si="262"/>
        <v>3943.1281108340672</v>
      </c>
      <c r="AM206" s="497">
        <f t="shared" si="262"/>
        <v>3943.1281108340672</v>
      </c>
      <c r="AN206" s="527">
        <f t="shared" si="262"/>
        <v>3943.1281108340672</v>
      </c>
      <c r="AO206" s="527">
        <f t="shared" si="262"/>
        <v>3943.1281108340672</v>
      </c>
      <c r="AP206" s="527">
        <f t="shared" si="262"/>
        <v>3238.363579790695</v>
      </c>
      <c r="AQ206" s="527">
        <f t="shared" si="262"/>
        <v>3238.363579790695</v>
      </c>
      <c r="AR206" s="527">
        <f t="shared" si="262"/>
        <v>3238.363579790695</v>
      </c>
      <c r="AS206" s="527">
        <f t="shared" si="262"/>
        <v>3238.363579790695</v>
      </c>
      <c r="AT206" s="527">
        <f t="shared" si="262"/>
        <v>3238.363579790695</v>
      </c>
      <c r="AU206" s="527">
        <f t="shared" si="262"/>
        <v>3238.363579790695</v>
      </c>
      <c r="AV206" s="527">
        <f t="shared" si="262"/>
        <v>4167.6847980028215</v>
      </c>
      <c r="AW206" s="527">
        <f t="shared" si="262"/>
        <v>4167.6847980028215</v>
      </c>
      <c r="AX206" s="527">
        <f t="shared" ref="AX206:BY206" si="263">IFERROR(AX198*(AX$581/SUM(AX$581,AX$590)),0)</f>
        <v>4167.6847980028215</v>
      </c>
      <c r="AY206" s="527">
        <f t="shared" si="263"/>
        <v>4167.6847980028215</v>
      </c>
      <c r="AZ206" s="527">
        <f t="shared" si="263"/>
        <v>4167.6847980028215</v>
      </c>
      <c r="BA206" s="527">
        <f t="shared" si="263"/>
        <v>4167.6847980028215</v>
      </c>
      <c r="BB206" s="527">
        <f t="shared" si="263"/>
        <v>3481.6284030664397</v>
      </c>
      <c r="BC206" s="527">
        <f t="shared" si="263"/>
        <v>3481.6284030664397</v>
      </c>
      <c r="BD206" s="527">
        <f t="shared" si="263"/>
        <v>3481.6284030664397</v>
      </c>
      <c r="BE206" s="527">
        <f t="shared" si="263"/>
        <v>3481.6284030664397</v>
      </c>
      <c r="BF206" s="527">
        <f t="shared" si="263"/>
        <v>3481.6284030664397</v>
      </c>
      <c r="BG206" s="527">
        <f t="shared" si="263"/>
        <v>3481.6284030664397</v>
      </c>
      <c r="BH206" s="527">
        <f t="shared" si="263"/>
        <v>4451.3707495277486</v>
      </c>
      <c r="BI206" s="527">
        <f t="shared" si="263"/>
        <v>4451.3707495277486</v>
      </c>
      <c r="BJ206" s="527">
        <f t="shared" si="263"/>
        <v>4451.3707495277486</v>
      </c>
      <c r="BK206" s="527">
        <f t="shared" si="263"/>
        <v>4451.3707495277486</v>
      </c>
      <c r="BL206" s="527">
        <f t="shared" si="263"/>
        <v>4451.3707495277486</v>
      </c>
      <c r="BM206" s="527">
        <f t="shared" si="263"/>
        <v>4451.3707495277486</v>
      </c>
      <c r="BN206" s="527">
        <f t="shared" si="263"/>
        <v>3749.0455872884518</v>
      </c>
      <c r="BO206" s="527">
        <f t="shared" si="263"/>
        <v>3749.0455872884518</v>
      </c>
      <c r="BP206" s="527">
        <f t="shared" si="263"/>
        <v>3749.0455872884518</v>
      </c>
      <c r="BQ206" s="527">
        <f t="shared" si="263"/>
        <v>3749.0455872884518</v>
      </c>
      <c r="BR206" s="527">
        <f t="shared" si="263"/>
        <v>3749.0455872884518</v>
      </c>
      <c r="BS206" s="527">
        <f t="shared" si="263"/>
        <v>3749.0455872884518</v>
      </c>
      <c r="BT206" s="527">
        <f t="shared" si="263"/>
        <v>4760.7874214923286</v>
      </c>
      <c r="BU206" s="527">
        <f t="shared" si="263"/>
        <v>4760.7874214923286</v>
      </c>
      <c r="BV206" s="527">
        <f t="shared" si="263"/>
        <v>4760.7874214923286</v>
      </c>
      <c r="BW206" s="527">
        <f t="shared" si="263"/>
        <v>4760.7874214923286</v>
      </c>
      <c r="BX206" s="527">
        <f t="shared" si="263"/>
        <v>4760.7874214923286</v>
      </c>
      <c r="BY206" s="527">
        <f t="shared" si="263"/>
        <v>4760.7874214923286</v>
      </c>
    </row>
    <row r="207" spans="3:77" x14ac:dyDescent="0.3">
      <c r="C207" s="2"/>
      <c r="D207" s="2"/>
      <c r="E207" s="112" t="str">
        <f>"BCF net comm. uplift due to capex: "&amp;E$157</f>
        <v>BCF net comm. uplift due to capex: FY29 Tranche</v>
      </c>
      <c r="F207" s="2"/>
      <c r="G207" s="2"/>
      <c r="H207" s="2"/>
      <c r="I207" s="2"/>
      <c r="J207" s="2"/>
      <c r="K207" s="2"/>
      <c r="L207" s="2"/>
      <c r="M207" s="2"/>
      <c r="N207" s="2"/>
      <c r="O207" s="2"/>
      <c r="P207" s="10"/>
      <c r="Q207" s="2"/>
      <c r="R207" s="497">
        <f t="shared" ref="R207:AW207" si="264">IFERROR(R199*(R$581/SUM(R$581,R$590)),0)</f>
        <v>0</v>
      </c>
      <c r="S207" s="497">
        <f t="shared" si="264"/>
        <v>0</v>
      </c>
      <c r="T207" s="497">
        <f t="shared" si="264"/>
        <v>0</v>
      </c>
      <c r="U207" s="497">
        <f t="shared" si="264"/>
        <v>0</v>
      </c>
      <c r="V207" s="497">
        <f t="shared" si="264"/>
        <v>0</v>
      </c>
      <c r="W207" s="497">
        <f t="shared" si="264"/>
        <v>0</v>
      </c>
      <c r="X207" s="497">
        <f t="shared" si="264"/>
        <v>0</v>
      </c>
      <c r="Y207" s="497">
        <f t="shared" si="264"/>
        <v>0</v>
      </c>
      <c r="Z207" s="497">
        <f t="shared" si="264"/>
        <v>0</v>
      </c>
      <c r="AA207" s="497">
        <f t="shared" si="264"/>
        <v>0</v>
      </c>
      <c r="AB207" s="497">
        <f t="shared" si="264"/>
        <v>0</v>
      </c>
      <c r="AC207" s="497">
        <f t="shared" si="264"/>
        <v>0</v>
      </c>
      <c r="AD207" s="497">
        <f t="shared" si="264"/>
        <v>0</v>
      </c>
      <c r="AE207" s="497">
        <f t="shared" si="264"/>
        <v>0</v>
      </c>
      <c r="AF207" s="497">
        <f t="shared" si="264"/>
        <v>0</v>
      </c>
      <c r="AG207" s="497">
        <f t="shared" si="264"/>
        <v>0</v>
      </c>
      <c r="AH207" s="497">
        <f t="shared" si="264"/>
        <v>0</v>
      </c>
      <c r="AI207" s="497">
        <f t="shared" si="264"/>
        <v>0</v>
      </c>
      <c r="AJ207" s="497">
        <f t="shared" si="264"/>
        <v>0</v>
      </c>
      <c r="AK207" s="497">
        <f t="shared" si="264"/>
        <v>0</v>
      </c>
      <c r="AL207" s="497">
        <f t="shared" si="264"/>
        <v>0</v>
      </c>
      <c r="AM207" s="497">
        <f t="shared" si="264"/>
        <v>0</v>
      </c>
      <c r="AN207" s="527">
        <f t="shared" si="264"/>
        <v>0</v>
      </c>
      <c r="AO207" s="527">
        <f t="shared" si="264"/>
        <v>0</v>
      </c>
      <c r="AP207" s="527">
        <f t="shared" si="264"/>
        <v>0</v>
      </c>
      <c r="AQ207" s="527">
        <f t="shared" si="264"/>
        <v>0</v>
      </c>
      <c r="AR207" s="527">
        <f t="shared" si="264"/>
        <v>0</v>
      </c>
      <c r="AS207" s="527">
        <f t="shared" si="264"/>
        <v>0</v>
      </c>
      <c r="AT207" s="527">
        <f t="shared" si="264"/>
        <v>0</v>
      </c>
      <c r="AU207" s="527">
        <f t="shared" si="264"/>
        <v>0</v>
      </c>
      <c r="AV207" s="527">
        <f t="shared" si="264"/>
        <v>4046.6987858135717</v>
      </c>
      <c r="AW207" s="527">
        <f t="shared" si="264"/>
        <v>4046.6987858135717</v>
      </c>
      <c r="AX207" s="527">
        <f t="shared" ref="AX207:BY207" si="265">IFERROR(AX199*(AX$581/SUM(AX$581,AX$590)),0)</f>
        <v>4046.6987858135717</v>
      </c>
      <c r="AY207" s="527">
        <f t="shared" si="265"/>
        <v>4046.6987858135717</v>
      </c>
      <c r="AZ207" s="527">
        <f t="shared" si="265"/>
        <v>4046.6987858135717</v>
      </c>
      <c r="BA207" s="527">
        <f t="shared" si="265"/>
        <v>4046.6987858135717</v>
      </c>
      <c r="BB207" s="527">
        <f t="shared" si="265"/>
        <v>3360.2357702893078</v>
      </c>
      <c r="BC207" s="527">
        <f t="shared" si="265"/>
        <v>3360.2357702893078</v>
      </c>
      <c r="BD207" s="527">
        <f t="shared" si="265"/>
        <v>3360.2357702893078</v>
      </c>
      <c r="BE207" s="527">
        <f t="shared" si="265"/>
        <v>3360.2357702893078</v>
      </c>
      <c r="BF207" s="527">
        <f t="shared" si="265"/>
        <v>3360.2357702893078</v>
      </c>
      <c r="BG207" s="527">
        <f t="shared" si="265"/>
        <v>3360.2357702893078</v>
      </c>
      <c r="BH207" s="527">
        <f t="shared" si="265"/>
        <v>4325.1224114395327</v>
      </c>
      <c r="BI207" s="527">
        <f t="shared" si="265"/>
        <v>4325.1224114395327</v>
      </c>
      <c r="BJ207" s="527">
        <f t="shared" si="265"/>
        <v>4325.1224114395327</v>
      </c>
      <c r="BK207" s="527">
        <f t="shared" si="265"/>
        <v>4325.1224114395327</v>
      </c>
      <c r="BL207" s="527">
        <f t="shared" si="265"/>
        <v>4325.1224114395327</v>
      </c>
      <c r="BM207" s="527">
        <f t="shared" si="265"/>
        <v>4325.1224114395327</v>
      </c>
      <c r="BN207" s="527">
        <f t="shared" si="265"/>
        <v>3622.3954462556835</v>
      </c>
      <c r="BO207" s="527">
        <f t="shared" si="265"/>
        <v>3622.3954462556835</v>
      </c>
      <c r="BP207" s="527">
        <f t="shared" si="265"/>
        <v>3622.3954462556835</v>
      </c>
      <c r="BQ207" s="527">
        <f t="shared" si="265"/>
        <v>3622.3954462556835</v>
      </c>
      <c r="BR207" s="527">
        <f t="shared" si="265"/>
        <v>3622.3954462556835</v>
      </c>
      <c r="BS207" s="527">
        <f t="shared" si="265"/>
        <v>3622.3954462556835</v>
      </c>
      <c r="BT207" s="527">
        <f t="shared" si="265"/>
        <v>4629.0712748182459</v>
      </c>
      <c r="BU207" s="527">
        <f t="shared" si="265"/>
        <v>4629.0712748182459</v>
      </c>
      <c r="BV207" s="527">
        <f t="shared" si="265"/>
        <v>4629.0712748182459</v>
      </c>
      <c r="BW207" s="527">
        <f t="shared" si="265"/>
        <v>4629.0712748182459</v>
      </c>
      <c r="BX207" s="527">
        <f t="shared" si="265"/>
        <v>4629.0712748182459</v>
      </c>
      <c r="BY207" s="527">
        <f t="shared" si="265"/>
        <v>4629.0712748182459</v>
      </c>
    </row>
    <row r="208" spans="3:77" x14ac:dyDescent="0.3">
      <c r="C208" s="2"/>
      <c r="D208" s="2"/>
      <c r="E208" s="112" t="str">
        <f>"BCF net comm. uplift due to capex: "&amp;E$158</f>
        <v>BCF net comm. uplift due to capex: FY30 Tranche</v>
      </c>
      <c r="F208" s="2"/>
      <c r="G208" s="2"/>
      <c r="H208" s="2"/>
      <c r="I208" s="2"/>
      <c r="J208" s="2"/>
      <c r="K208" s="2"/>
      <c r="L208" s="2"/>
      <c r="M208" s="2"/>
      <c r="N208" s="2"/>
      <c r="O208" s="2"/>
      <c r="P208" s="10"/>
      <c r="Q208" s="2"/>
      <c r="R208" s="497">
        <f t="shared" ref="R208:AW208" si="266">IFERROR(R200*(R$581/SUM(R$581,R$590)),0)</f>
        <v>0</v>
      </c>
      <c r="S208" s="497">
        <f t="shared" si="266"/>
        <v>0</v>
      </c>
      <c r="T208" s="497">
        <f t="shared" si="266"/>
        <v>0</v>
      </c>
      <c r="U208" s="497">
        <f t="shared" si="266"/>
        <v>0</v>
      </c>
      <c r="V208" s="497">
        <f t="shared" si="266"/>
        <v>0</v>
      </c>
      <c r="W208" s="497">
        <f t="shared" si="266"/>
        <v>0</v>
      </c>
      <c r="X208" s="497">
        <f t="shared" si="266"/>
        <v>0</v>
      </c>
      <c r="Y208" s="497">
        <f t="shared" si="266"/>
        <v>0</v>
      </c>
      <c r="Z208" s="497">
        <f t="shared" si="266"/>
        <v>0</v>
      </c>
      <c r="AA208" s="497">
        <f t="shared" si="266"/>
        <v>0</v>
      </c>
      <c r="AB208" s="497">
        <f t="shared" si="266"/>
        <v>0</v>
      </c>
      <c r="AC208" s="497">
        <f t="shared" si="266"/>
        <v>0</v>
      </c>
      <c r="AD208" s="497">
        <f t="shared" si="266"/>
        <v>0</v>
      </c>
      <c r="AE208" s="497">
        <f t="shared" si="266"/>
        <v>0</v>
      </c>
      <c r="AF208" s="497">
        <f t="shared" si="266"/>
        <v>0</v>
      </c>
      <c r="AG208" s="497">
        <f t="shared" si="266"/>
        <v>0</v>
      </c>
      <c r="AH208" s="497">
        <f t="shared" si="266"/>
        <v>0</v>
      </c>
      <c r="AI208" s="497">
        <f t="shared" si="266"/>
        <v>0</v>
      </c>
      <c r="AJ208" s="497">
        <f t="shared" si="266"/>
        <v>0</v>
      </c>
      <c r="AK208" s="497">
        <f t="shared" si="266"/>
        <v>0</v>
      </c>
      <c r="AL208" s="497">
        <f t="shared" si="266"/>
        <v>0</v>
      </c>
      <c r="AM208" s="497">
        <f t="shared" si="266"/>
        <v>0</v>
      </c>
      <c r="AN208" s="527">
        <f t="shared" si="266"/>
        <v>0</v>
      </c>
      <c r="AO208" s="527">
        <f t="shared" si="266"/>
        <v>0</v>
      </c>
      <c r="AP208" s="527">
        <f t="shared" si="266"/>
        <v>0</v>
      </c>
      <c r="AQ208" s="527">
        <f t="shared" si="266"/>
        <v>0</v>
      </c>
      <c r="AR208" s="527">
        <f t="shared" si="266"/>
        <v>0</v>
      </c>
      <c r="AS208" s="527">
        <f t="shared" si="266"/>
        <v>0</v>
      </c>
      <c r="AT208" s="527">
        <f t="shared" si="266"/>
        <v>0</v>
      </c>
      <c r="AU208" s="527">
        <f t="shared" si="266"/>
        <v>0</v>
      </c>
      <c r="AV208" s="527">
        <f t="shared" si="266"/>
        <v>0</v>
      </c>
      <c r="AW208" s="527">
        <f t="shared" si="266"/>
        <v>0</v>
      </c>
      <c r="AX208" s="527">
        <f t="shared" ref="AX208:BY208" si="267">IFERROR(AX200*(AX$581/SUM(AX$581,AX$590)),0)</f>
        <v>0</v>
      </c>
      <c r="AY208" s="527">
        <f t="shared" si="267"/>
        <v>0</v>
      </c>
      <c r="AZ208" s="527">
        <f t="shared" si="267"/>
        <v>0</v>
      </c>
      <c r="BA208" s="527">
        <f t="shared" si="267"/>
        <v>0</v>
      </c>
      <c r="BB208" s="527">
        <f t="shared" si="267"/>
        <v>0</v>
      </c>
      <c r="BC208" s="527">
        <f t="shared" si="267"/>
        <v>0</v>
      </c>
      <c r="BD208" s="527">
        <f t="shared" si="267"/>
        <v>0</v>
      </c>
      <c r="BE208" s="527">
        <f t="shared" si="267"/>
        <v>0</v>
      </c>
      <c r="BF208" s="527">
        <f t="shared" si="267"/>
        <v>0</v>
      </c>
      <c r="BG208" s="527">
        <f t="shared" si="267"/>
        <v>0</v>
      </c>
      <c r="BH208" s="527">
        <f t="shared" si="267"/>
        <v>4144.2566537005405</v>
      </c>
      <c r="BI208" s="527">
        <f t="shared" si="267"/>
        <v>4144.2566537005405</v>
      </c>
      <c r="BJ208" s="527">
        <f t="shared" si="267"/>
        <v>4144.2566537005405</v>
      </c>
      <c r="BK208" s="527">
        <f t="shared" si="267"/>
        <v>4144.2566537005405</v>
      </c>
      <c r="BL208" s="527">
        <f t="shared" si="267"/>
        <v>4144.2566537005405</v>
      </c>
      <c r="BM208" s="527">
        <f t="shared" si="267"/>
        <v>4144.2566537005405</v>
      </c>
      <c r="BN208" s="527">
        <f t="shared" si="267"/>
        <v>3440.9540580162934</v>
      </c>
      <c r="BO208" s="527">
        <f t="shared" si="267"/>
        <v>3440.9540580162934</v>
      </c>
      <c r="BP208" s="527">
        <f t="shared" si="267"/>
        <v>3440.9540580162934</v>
      </c>
      <c r="BQ208" s="527">
        <f t="shared" si="267"/>
        <v>3440.9540580162934</v>
      </c>
      <c r="BR208" s="527">
        <f t="shared" si="267"/>
        <v>3440.9540580162934</v>
      </c>
      <c r="BS208" s="527">
        <f t="shared" si="267"/>
        <v>3440.9540580162934</v>
      </c>
      <c r="BT208" s="527">
        <f t="shared" si="267"/>
        <v>4440.3722310492831</v>
      </c>
      <c r="BU208" s="527">
        <f t="shared" si="267"/>
        <v>4440.3722310492831</v>
      </c>
      <c r="BV208" s="527">
        <f t="shared" si="267"/>
        <v>4440.3722310492831</v>
      </c>
      <c r="BW208" s="527">
        <f t="shared" si="267"/>
        <v>4440.3722310492831</v>
      </c>
      <c r="BX208" s="527">
        <f t="shared" si="267"/>
        <v>4440.3722310492831</v>
      </c>
      <c r="BY208" s="527">
        <f t="shared" si="267"/>
        <v>4440.3722310492831</v>
      </c>
    </row>
    <row r="209" spans="1:77" x14ac:dyDescent="0.3">
      <c r="C209" s="2"/>
      <c r="D209" s="2"/>
      <c r="E209" s="112" t="str">
        <f>"BCF net comm. uplift due to capex: "&amp;E$159</f>
        <v>BCF net comm. uplift due to capex: FY31 Tranche</v>
      </c>
      <c r="F209" s="2"/>
      <c r="G209" s="2"/>
      <c r="H209" s="2"/>
      <c r="I209" s="2"/>
      <c r="J209" s="2"/>
      <c r="K209" s="2"/>
      <c r="L209" s="2"/>
      <c r="M209" s="2"/>
      <c r="N209" s="2"/>
      <c r="O209" s="2"/>
      <c r="P209" s="10"/>
      <c r="Q209" s="2"/>
      <c r="R209" s="497">
        <f t="shared" ref="R209:AW209" si="268">IFERROR(R201*(R$581/SUM(R$581,R$590)),0)</f>
        <v>0</v>
      </c>
      <c r="S209" s="497">
        <f t="shared" si="268"/>
        <v>0</v>
      </c>
      <c r="T209" s="497">
        <f t="shared" si="268"/>
        <v>0</v>
      </c>
      <c r="U209" s="497">
        <f t="shared" si="268"/>
        <v>0</v>
      </c>
      <c r="V209" s="497">
        <f t="shared" si="268"/>
        <v>0</v>
      </c>
      <c r="W209" s="497">
        <f t="shared" si="268"/>
        <v>0</v>
      </c>
      <c r="X209" s="497">
        <f t="shared" si="268"/>
        <v>0</v>
      </c>
      <c r="Y209" s="497">
        <f t="shared" si="268"/>
        <v>0</v>
      </c>
      <c r="Z209" s="497">
        <f t="shared" si="268"/>
        <v>0</v>
      </c>
      <c r="AA209" s="497">
        <f t="shared" si="268"/>
        <v>0</v>
      </c>
      <c r="AB209" s="497">
        <f t="shared" si="268"/>
        <v>0</v>
      </c>
      <c r="AC209" s="497">
        <f t="shared" si="268"/>
        <v>0</v>
      </c>
      <c r="AD209" s="497">
        <f t="shared" si="268"/>
        <v>0</v>
      </c>
      <c r="AE209" s="497">
        <f t="shared" si="268"/>
        <v>0</v>
      </c>
      <c r="AF209" s="497">
        <f t="shared" si="268"/>
        <v>0</v>
      </c>
      <c r="AG209" s="497">
        <f t="shared" si="268"/>
        <v>0</v>
      </c>
      <c r="AH209" s="497">
        <f t="shared" si="268"/>
        <v>0</v>
      </c>
      <c r="AI209" s="497">
        <f t="shared" si="268"/>
        <v>0</v>
      </c>
      <c r="AJ209" s="497">
        <f t="shared" si="268"/>
        <v>0</v>
      </c>
      <c r="AK209" s="497">
        <f t="shared" si="268"/>
        <v>0</v>
      </c>
      <c r="AL209" s="497">
        <f t="shared" si="268"/>
        <v>0</v>
      </c>
      <c r="AM209" s="497">
        <f t="shared" si="268"/>
        <v>0</v>
      </c>
      <c r="AN209" s="527">
        <f t="shared" si="268"/>
        <v>0</v>
      </c>
      <c r="AO209" s="527">
        <f t="shared" si="268"/>
        <v>0</v>
      </c>
      <c r="AP209" s="527">
        <f t="shared" si="268"/>
        <v>0</v>
      </c>
      <c r="AQ209" s="527">
        <f t="shared" si="268"/>
        <v>0</v>
      </c>
      <c r="AR209" s="527">
        <f t="shared" si="268"/>
        <v>0</v>
      </c>
      <c r="AS209" s="527">
        <f t="shared" si="268"/>
        <v>0</v>
      </c>
      <c r="AT209" s="527">
        <f t="shared" si="268"/>
        <v>0</v>
      </c>
      <c r="AU209" s="527">
        <f t="shared" si="268"/>
        <v>0</v>
      </c>
      <c r="AV209" s="527">
        <f t="shared" si="268"/>
        <v>0</v>
      </c>
      <c r="AW209" s="527">
        <f t="shared" si="268"/>
        <v>0</v>
      </c>
      <c r="AX209" s="527">
        <f t="shared" ref="AX209:BY209" si="269">IFERROR(AX201*(AX$581/SUM(AX$581,AX$590)),0)</f>
        <v>0</v>
      </c>
      <c r="AY209" s="527">
        <f t="shared" si="269"/>
        <v>0</v>
      </c>
      <c r="AZ209" s="527">
        <f t="shared" si="269"/>
        <v>0</v>
      </c>
      <c r="BA209" s="527">
        <f t="shared" si="269"/>
        <v>0</v>
      </c>
      <c r="BB209" s="527">
        <f t="shared" si="269"/>
        <v>0</v>
      </c>
      <c r="BC209" s="527">
        <f t="shared" si="269"/>
        <v>0</v>
      </c>
      <c r="BD209" s="527">
        <f t="shared" si="269"/>
        <v>0</v>
      </c>
      <c r="BE209" s="527">
        <f t="shared" si="269"/>
        <v>0</v>
      </c>
      <c r="BF209" s="527">
        <f t="shared" si="269"/>
        <v>0</v>
      </c>
      <c r="BG209" s="527">
        <f t="shared" si="269"/>
        <v>0</v>
      </c>
      <c r="BH209" s="527">
        <f t="shared" si="269"/>
        <v>0</v>
      </c>
      <c r="BI209" s="527">
        <f t="shared" si="269"/>
        <v>0</v>
      </c>
      <c r="BJ209" s="527">
        <f t="shared" si="269"/>
        <v>0</v>
      </c>
      <c r="BK209" s="527">
        <f t="shared" si="269"/>
        <v>0</v>
      </c>
      <c r="BL209" s="527">
        <f t="shared" si="269"/>
        <v>0</v>
      </c>
      <c r="BM209" s="527">
        <f t="shared" si="269"/>
        <v>0</v>
      </c>
      <c r="BN209" s="527">
        <f t="shared" si="269"/>
        <v>0</v>
      </c>
      <c r="BO209" s="527">
        <f t="shared" si="269"/>
        <v>0</v>
      </c>
      <c r="BP209" s="527">
        <f t="shared" si="269"/>
        <v>0</v>
      </c>
      <c r="BQ209" s="527">
        <f t="shared" si="269"/>
        <v>0</v>
      </c>
      <c r="BR209" s="527">
        <f t="shared" si="269"/>
        <v>0</v>
      </c>
      <c r="BS209" s="527">
        <f t="shared" si="269"/>
        <v>0</v>
      </c>
      <c r="BT209" s="527">
        <f t="shared" si="269"/>
        <v>4238.5829556379385</v>
      </c>
      <c r="BU209" s="527">
        <f t="shared" si="269"/>
        <v>4238.5829556379385</v>
      </c>
      <c r="BV209" s="527">
        <f t="shared" si="269"/>
        <v>4238.5829556379385</v>
      </c>
      <c r="BW209" s="527">
        <f t="shared" si="269"/>
        <v>4238.5829556379385</v>
      </c>
      <c r="BX209" s="527">
        <f t="shared" si="269"/>
        <v>4238.5829556379385</v>
      </c>
      <c r="BY209" s="527">
        <f t="shared" si="269"/>
        <v>4238.5829556379385</v>
      </c>
    </row>
    <row r="210" spans="1:77" x14ac:dyDescent="0.3">
      <c r="C210" s="2"/>
      <c r="D210" s="2"/>
      <c r="E210" s="112" t="str">
        <f>"BCF net comm. uplift due to capex: "&amp;E$160</f>
        <v>BCF net comm. uplift due to capex: Uninvested Tranche</v>
      </c>
      <c r="F210" s="2"/>
      <c r="G210" s="2"/>
      <c r="H210" s="2"/>
      <c r="I210" s="2"/>
      <c r="J210" s="2"/>
      <c r="K210" s="2"/>
      <c r="L210" s="2"/>
      <c r="M210" s="2"/>
      <c r="N210" s="2"/>
      <c r="O210" s="2"/>
      <c r="P210" s="10"/>
      <c r="Q210" s="2"/>
      <c r="R210" s="497">
        <f t="shared" ref="R210:AW210" si="270">IFERROR(R202*(R$581/SUM(R$581,R$590)),0)</f>
        <v>0</v>
      </c>
      <c r="S210" s="497">
        <f t="shared" si="270"/>
        <v>0</v>
      </c>
      <c r="T210" s="497">
        <f t="shared" si="270"/>
        <v>0</v>
      </c>
      <c r="U210" s="497">
        <f t="shared" si="270"/>
        <v>0</v>
      </c>
      <c r="V210" s="497">
        <f t="shared" si="270"/>
        <v>0</v>
      </c>
      <c r="W210" s="497">
        <f t="shared" si="270"/>
        <v>0</v>
      </c>
      <c r="X210" s="497">
        <f t="shared" si="270"/>
        <v>0</v>
      </c>
      <c r="Y210" s="497">
        <f t="shared" si="270"/>
        <v>0</v>
      </c>
      <c r="Z210" s="497">
        <f t="shared" si="270"/>
        <v>0</v>
      </c>
      <c r="AA210" s="497">
        <f t="shared" si="270"/>
        <v>0</v>
      </c>
      <c r="AB210" s="497">
        <f t="shared" si="270"/>
        <v>0</v>
      </c>
      <c r="AC210" s="497">
        <f t="shared" si="270"/>
        <v>0</v>
      </c>
      <c r="AD210" s="497">
        <f t="shared" si="270"/>
        <v>0</v>
      </c>
      <c r="AE210" s="497">
        <f t="shared" si="270"/>
        <v>0</v>
      </c>
      <c r="AF210" s="497">
        <f t="shared" si="270"/>
        <v>0</v>
      </c>
      <c r="AG210" s="497">
        <f t="shared" si="270"/>
        <v>0</v>
      </c>
      <c r="AH210" s="497">
        <f t="shared" si="270"/>
        <v>0</v>
      </c>
      <c r="AI210" s="497">
        <f t="shared" si="270"/>
        <v>0</v>
      </c>
      <c r="AJ210" s="497">
        <f t="shared" si="270"/>
        <v>0</v>
      </c>
      <c r="AK210" s="497">
        <f t="shared" si="270"/>
        <v>0</v>
      </c>
      <c r="AL210" s="497">
        <f t="shared" si="270"/>
        <v>0</v>
      </c>
      <c r="AM210" s="497">
        <f t="shared" si="270"/>
        <v>0</v>
      </c>
      <c r="AN210" s="527">
        <f t="shared" si="270"/>
        <v>0</v>
      </c>
      <c r="AO210" s="527">
        <f t="shared" si="270"/>
        <v>0</v>
      </c>
      <c r="AP210" s="527">
        <f t="shared" si="270"/>
        <v>0</v>
      </c>
      <c r="AQ210" s="527">
        <f t="shared" si="270"/>
        <v>0</v>
      </c>
      <c r="AR210" s="527">
        <f t="shared" si="270"/>
        <v>0</v>
      </c>
      <c r="AS210" s="527">
        <f t="shared" si="270"/>
        <v>0</v>
      </c>
      <c r="AT210" s="527">
        <f t="shared" si="270"/>
        <v>0</v>
      </c>
      <c r="AU210" s="527">
        <f t="shared" si="270"/>
        <v>0</v>
      </c>
      <c r="AV210" s="527">
        <f t="shared" si="270"/>
        <v>0</v>
      </c>
      <c r="AW210" s="527">
        <f t="shared" si="270"/>
        <v>0</v>
      </c>
      <c r="AX210" s="527">
        <f t="shared" ref="AX210:BY210" si="271">IFERROR(AX202*(AX$581/SUM(AX$581,AX$590)),0)</f>
        <v>0</v>
      </c>
      <c r="AY210" s="527">
        <f t="shared" si="271"/>
        <v>0</v>
      </c>
      <c r="AZ210" s="527">
        <f t="shared" si="271"/>
        <v>0</v>
      </c>
      <c r="BA210" s="527">
        <f t="shared" si="271"/>
        <v>0</v>
      </c>
      <c r="BB210" s="527">
        <f t="shared" si="271"/>
        <v>0</v>
      </c>
      <c r="BC210" s="527">
        <f t="shared" si="271"/>
        <v>0</v>
      </c>
      <c r="BD210" s="527">
        <f t="shared" si="271"/>
        <v>0</v>
      </c>
      <c r="BE210" s="527">
        <f t="shared" si="271"/>
        <v>0</v>
      </c>
      <c r="BF210" s="527">
        <f t="shared" si="271"/>
        <v>0</v>
      </c>
      <c r="BG210" s="527">
        <f t="shared" si="271"/>
        <v>0</v>
      </c>
      <c r="BH210" s="527">
        <f t="shared" si="271"/>
        <v>0</v>
      </c>
      <c r="BI210" s="527">
        <f t="shared" si="271"/>
        <v>0</v>
      </c>
      <c r="BJ210" s="527">
        <f t="shared" si="271"/>
        <v>0</v>
      </c>
      <c r="BK210" s="527">
        <f t="shared" si="271"/>
        <v>0</v>
      </c>
      <c r="BL210" s="527">
        <f t="shared" si="271"/>
        <v>0</v>
      </c>
      <c r="BM210" s="527">
        <f t="shared" si="271"/>
        <v>0</v>
      </c>
      <c r="BN210" s="527">
        <f t="shared" si="271"/>
        <v>0</v>
      </c>
      <c r="BO210" s="527">
        <f t="shared" si="271"/>
        <v>0</v>
      </c>
      <c r="BP210" s="527">
        <f t="shared" si="271"/>
        <v>0</v>
      </c>
      <c r="BQ210" s="527">
        <f t="shared" si="271"/>
        <v>0</v>
      </c>
      <c r="BR210" s="527">
        <f t="shared" si="271"/>
        <v>0</v>
      </c>
      <c r="BS210" s="527">
        <f t="shared" si="271"/>
        <v>0</v>
      </c>
      <c r="BT210" s="527">
        <f t="shared" si="271"/>
        <v>0</v>
      </c>
      <c r="BU210" s="527">
        <f t="shared" si="271"/>
        <v>0</v>
      </c>
      <c r="BV210" s="527">
        <f t="shared" si="271"/>
        <v>0</v>
      </c>
      <c r="BW210" s="527">
        <f t="shared" si="271"/>
        <v>0</v>
      </c>
      <c r="BX210" s="527">
        <f t="shared" si="271"/>
        <v>0</v>
      </c>
      <c r="BY210" s="527">
        <f t="shared" si="271"/>
        <v>0</v>
      </c>
    </row>
    <row r="211" spans="1:77" x14ac:dyDescent="0.3">
      <c r="C211" s="2"/>
      <c r="D211" s="2"/>
      <c r="E211" s="4" t="s">
        <v>36</v>
      </c>
      <c r="F211" s="4"/>
      <c r="G211" s="4"/>
      <c r="H211" s="4"/>
      <c r="I211" s="4"/>
      <c r="J211" s="4"/>
      <c r="K211" s="4"/>
      <c r="L211" s="4"/>
      <c r="M211" s="4"/>
      <c r="N211" s="4"/>
      <c r="O211" s="4"/>
      <c r="P211" s="106"/>
      <c r="Q211" s="4"/>
      <c r="R211" s="500">
        <f t="shared" ref="R211:AW211" si="272">SUM(R205:R210)</f>
        <v>0</v>
      </c>
      <c r="S211" s="500">
        <f t="shared" si="272"/>
        <v>0</v>
      </c>
      <c r="T211" s="500">
        <f t="shared" si="272"/>
        <v>0</v>
      </c>
      <c r="U211" s="500">
        <f t="shared" si="272"/>
        <v>0</v>
      </c>
      <c r="V211" s="500">
        <f t="shared" si="272"/>
        <v>0</v>
      </c>
      <c r="W211" s="500">
        <f t="shared" si="272"/>
        <v>0</v>
      </c>
      <c r="X211" s="500">
        <f t="shared" si="272"/>
        <v>3834.7084124189555</v>
      </c>
      <c r="Y211" s="500">
        <f t="shared" si="272"/>
        <v>3834.7084124189555</v>
      </c>
      <c r="Z211" s="500">
        <f t="shared" si="272"/>
        <v>3834.7084124189555</v>
      </c>
      <c r="AA211" s="500">
        <f t="shared" si="272"/>
        <v>3834.7084124189555</v>
      </c>
      <c r="AB211" s="500">
        <f t="shared" si="272"/>
        <v>3834.7084124189555</v>
      </c>
      <c r="AC211" s="500">
        <f t="shared" si="272"/>
        <v>3834.7084124189555</v>
      </c>
      <c r="AD211" s="500">
        <f t="shared" si="272"/>
        <v>3128.1914111349779</v>
      </c>
      <c r="AE211" s="500">
        <f t="shared" si="272"/>
        <v>3128.1914111349779</v>
      </c>
      <c r="AF211" s="500">
        <f t="shared" si="272"/>
        <v>3128.1914111349779</v>
      </c>
      <c r="AG211" s="500">
        <f t="shared" si="272"/>
        <v>3128.1914111349779</v>
      </c>
      <c r="AH211" s="500">
        <f t="shared" si="272"/>
        <v>3128.1914111349779</v>
      </c>
      <c r="AI211" s="500">
        <f t="shared" si="272"/>
        <v>3128.1914111349779</v>
      </c>
      <c r="AJ211" s="500">
        <f t="shared" si="272"/>
        <v>7964.591638237117</v>
      </c>
      <c r="AK211" s="500">
        <f t="shared" si="272"/>
        <v>7964.591638237117</v>
      </c>
      <c r="AL211" s="500">
        <f t="shared" si="272"/>
        <v>7964.591638237117</v>
      </c>
      <c r="AM211" s="500">
        <f t="shared" si="272"/>
        <v>7964.591638237117</v>
      </c>
      <c r="AN211" s="532">
        <f t="shared" si="272"/>
        <v>7964.591638237117</v>
      </c>
      <c r="AO211" s="532">
        <f t="shared" si="272"/>
        <v>7964.591638237117</v>
      </c>
      <c r="AP211" s="532">
        <f t="shared" si="272"/>
        <v>6555.3546099188334</v>
      </c>
      <c r="AQ211" s="532">
        <f t="shared" si="272"/>
        <v>6555.3546099188334</v>
      </c>
      <c r="AR211" s="532">
        <f t="shared" si="272"/>
        <v>6555.3546099188334</v>
      </c>
      <c r="AS211" s="532">
        <f t="shared" si="272"/>
        <v>6555.3546099188334</v>
      </c>
      <c r="AT211" s="532">
        <f t="shared" si="272"/>
        <v>6555.3546099188334</v>
      </c>
      <c r="AU211" s="532">
        <f t="shared" si="272"/>
        <v>6555.3546099188334</v>
      </c>
      <c r="AV211" s="532">
        <f t="shared" si="272"/>
        <v>12463.840930170158</v>
      </c>
      <c r="AW211" s="532">
        <f t="shared" si="272"/>
        <v>12463.840930170158</v>
      </c>
      <c r="AX211" s="532">
        <f t="shared" ref="AX211:BY211" si="273">SUM(AX205:AX210)</f>
        <v>12463.840930170158</v>
      </c>
      <c r="AY211" s="532">
        <f t="shared" si="273"/>
        <v>12463.840930170158</v>
      </c>
      <c r="AZ211" s="532">
        <f t="shared" si="273"/>
        <v>12463.840930170158</v>
      </c>
      <c r="BA211" s="532">
        <f t="shared" si="273"/>
        <v>12463.840930170158</v>
      </c>
      <c r="BB211" s="532">
        <f t="shared" si="273"/>
        <v>10405.539953251906</v>
      </c>
      <c r="BC211" s="532">
        <f t="shared" si="273"/>
        <v>10405.539953251906</v>
      </c>
      <c r="BD211" s="532">
        <f t="shared" si="273"/>
        <v>10405.539953251906</v>
      </c>
      <c r="BE211" s="532">
        <f t="shared" si="273"/>
        <v>10405.539953251906</v>
      </c>
      <c r="BF211" s="532">
        <f t="shared" si="273"/>
        <v>10405.539953251906</v>
      </c>
      <c r="BG211" s="532">
        <f t="shared" si="273"/>
        <v>10405.539953251906</v>
      </c>
      <c r="BH211" s="532">
        <f t="shared" si="273"/>
        <v>17457.449836098476</v>
      </c>
      <c r="BI211" s="532">
        <f t="shared" si="273"/>
        <v>17457.449836098476</v>
      </c>
      <c r="BJ211" s="532">
        <f t="shared" si="273"/>
        <v>17457.449836098476</v>
      </c>
      <c r="BK211" s="532">
        <f t="shared" si="273"/>
        <v>17457.449836098476</v>
      </c>
      <c r="BL211" s="532">
        <f t="shared" si="273"/>
        <v>17457.449836098476</v>
      </c>
      <c r="BM211" s="532">
        <f t="shared" si="273"/>
        <v>17457.449836098476</v>
      </c>
      <c r="BN211" s="532">
        <f t="shared" si="273"/>
        <v>14647.041523060985</v>
      </c>
      <c r="BO211" s="532">
        <f t="shared" si="273"/>
        <v>14647.041523060985</v>
      </c>
      <c r="BP211" s="532">
        <f t="shared" si="273"/>
        <v>14647.041523060985</v>
      </c>
      <c r="BQ211" s="532">
        <f t="shared" si="273"/>
        <v>14647.041523060985</v>
      </c>
      <c r="BR211" s="532">
        <f t="shared" si="273"/>
        <v>14647.041523060985</v>
      </c>
      <c r="BS211" s="532">
        <f t="shared" si="273"/>
        <v>14647.041523060985</v>
      </c>
      <c r="BT211" s="532">
        <f t="shared" si="273"/>
        <v>22918.626182470718</v>
      </c>
      <c r="BU211" s="532">
        <f t="shared" si="273"/>
        <v>22918.626182470718</v>
      </c>
      <c r="BV211" s="532">
        <f t="shared" si="273"/>
        <v>22918.626182470718</v>
      </c>
      <c r="BW211" s="532">
        <f t="shared" si="273"/>
        <v>22918.626182470718</v>
      </c>
      <c r="BX211" s="532">
        <f t="shared" si="273"/>
        <v>22918.626182470718</v>
      </c>
      <c r="BY211" s="532">
        <f t="shared" si="273"/>
        <v>22918.626182470718</v>
      </c>
    </row>
    <row r="212" spans="1:77" x14ac:dyDescent="0.3">
      <c r="C212" s="2"/>
      <c r="D212" s="2"/>
      <c r="E212" s="2"/>
      <c r="F212" s="2"/>
      <c r="G212" s="2"/>
      <c r="H212" s="2"/>
      <c r="I212" s="2"/>
      <c r="J212" s="2"/>
      <c r="K212" s="2"/>
      <c r="L212" s="2"/>
      <c r="M212" s="2"/>
      <c r="N212" s="2"/>
      <c r="O212" s="2"/>
      <c r="P212" s="10"/>
      <c r="Q212" s="2"/>
      <c r="R212" s="2"/>
      <c r="S212" s="2"/>
      <c r="T212" s="2"/>
      <c r="U212" s="2"/>
      <c r="V212" s="2"/>
      <c r="W212" s="2"/>
      <c r="X212" s="2"/>
      <c r="Y212" s="2"/>
      <c r="Z212" s="2"/>
      <c r="AA212" s="2"/>
      <c r="AB212" s="2"/>
      <c r="AC212" s="2"/>
      <c r="AD212" s="2"/>
      <c r="AE212" s="2"/>
      <c r="AF212" s="2"/>
      <c r="AG212" s="2"/>
      <c r="AH212" s="2"/>
      <c r="AI212" s="2"/>
      <c r="AJ212" s="2"/>
      <c r="AK212" s="2"/>
      <c r="AL212" s="2"/>
      <c r="AM212" s="2"/>
      <c r="AN212" s="525"/>
      <c r="AO212" s="525"/>
      <c r="AP212" s="525"/>
      <c r="AQ212" s="525"/>
      <c r="AR212" s="525"/>
      <c r="AS212" s="525"/>
      <c r="AT212" s="525"/>
      <c r="AU212" s="525"/>
      <c r="AV212" s="525"/>
      <c r="AW212" s="525"/>
      <c r="AX212" s="525"/>
      <c r="AY212" s="525"/>
      <c r="AZ212" s="525"/>
      <c r="BA212" s="525"/>
      <c r="BB212" s="525"/>
      <c r="BC212" s="525"/>
      <c r="BD212" s="525"/>
      <c r="BE212" s="525"/>
      <c r="BF212" s="525"/>
      <c r="BG212" s="525"/>
      <c r="BH212" s="525"/>
      <c r="BI212" s="525"/>
      <c r="BJ212" s="525"/>
      <c r="BK212" s="525"/>
      <c r="BL212" s="525"/>
      <c r="BM212" s="525"/>
      <c r="BN212" s="525"/>
      <c r="BO212" s="525"/>
      <c r="BP212" s="525"/>
      <c r="BQ212" s="525"/>
      <c r="BR212" s="525"/>
      <c r="BS212" s="525"/>
      <c r="BT212" s="525"/>
      <c r="BU212" s="525"/>
      <c r="BV212" s="525"/>
      <c r="BW212" s="525"/>
      <c r="BX212" s="525"/>
      <c r="BY212" s="525"/>
    </row>
    <row r="213" spans="1:77" x14ac:dyDescent="0.3">
      <c r="C213" s="2"/>
      <c r="D213" s="2"/>
      <c r="E213" s="113" t="str">
        <f>"WSM net comm. uplift due to capex: "&amp;E$155</f>
        <v>WSM net comm. uplift due to capex: FY27 Tranche</v>
      </c>
      <c r="F213" s="2"/>
      <c r="G213" s="2"/>
      <c r="H213" s="2"/>
      <c r="I213" s="2"/>
      <c r="J213" s="2"/>
      <c r="K213" s="2"/>
      <c r="L213" s="2"/>
      <c r="M213" s="2"/>
      <c r="N213" s="2"/>
      <c r="O213" s="2"/>
      <c r="P213" s="10"/>
      <c r="Q213" s="2"/>
      <c r="R213" s="497">
        <f t="shared" ref="R213:AW213" si="274">IFERROR(R197*(R$590/SUM(R$581,R$590)),0)</f>
        <v>0</v>
      </c>
      <c r="S213" s="497">
        <f t="shared" si="274"/>
        <v>0</v>
      </c>
      <c r="T213" s="497">
        <f t="shared" si="274"/>
        <v>0</v>
      </c>
      <c r="U213" s="497">
        <f t="shared" si="274"/>
        <v>0</v>
      </c>
      <c r="V213" s="497">
        <f t="shared" si="274"/>
        <v>0</v>
      </c>
      <c r="W213" s="497">
        <f t="shared" si="274"/>
        <v>0</v>
      </c>
      <c r="X213" s="497">
        <f t="shared" si="274"/>
        <v>332.40287312686712</v>
      </c>
      <c r="Y213" s="497">
        <f t="shared" si="274"/>
        <v>332.40287312686712</v>
      </c>
      <c r="Z213" s="497">
        <f t="shared" si="274"/>
        <v>332.40287312686712</v>
      </c>
      <c r="AA213" s="497">
        <f t="shared" si="274"/>
        <v>332.40287312686712</v>
      </c>
      <c r="AB213" s="497">
        <f t="shared" si="274"/>
        <v>332.40287312686712</v>
      </c>
      <c r="AC213" s="497">
        <f t="shared" si="274"/>
        <v>332.40287312686712</v>
      </c>
      <c r="AD213" s="497">
        <f t="shared" si="274"/>
        <v>257.19781575589053</v>
      </c>
      <c r="AE213" s="497">
        <f t="shared" si="274"/>
        <v>257.19781575589053</v>
      </c>
      <c r="AF213" s="497">
        <f t="shared" si="274"/>
        <v>257.19781575589053</v>
      </c>
      <c r="AG213" s="497">
        <f t="shared" si="274"/>
        <v>257.19781575589053</v>
      </c>
      <c r="AH213" s="497">
        <f t="shared" si="274"/>
        <v>257.19781575589053</v>
      </c>
      <c r="AI213" s="497">
        <f t="shared" si="274"/>
        <v>257.19781575589053</v>
      </c>
      <c r="AJ213" s="497">
        <f t="shared" si="274"/>
        <v>330.64205460968634</v>
      </c>
      <c r="AK213" s="497">
        <f t="shared" si="274"/>
        <v>330.64205460968634</v>
      </c>
      <c r="AL213" s="497">
        <f t="shared" si="274"/>
        <v>330.64205460968634</v>
      </c>
      <c r="AM213" s="497">
        <f t="shared" si="274"/>
        <v>330.64205460968634</v>
      </c>
      <c r="AN213" s="527">
        <f t="shared" si="274"/>
        <v>330.64205460968634</v>
      </c>
      <c r="AO213" s="527">
        <f t="shared" si="274"/>
        <v>330.64205460968634</v>
      </c>
      <c r="AP213" s="527">
        <f t="shared" si="274"/>
        <v>259.38808376918485</v>
      </c>
      <c r="AQ213" s="527">
        <f t="shared" si="274"/>
        <v>259.38808376918485</v>
      </c>
      <c r="AR213" s="527">
        <f t="shared" si="274"/>
        <v>259.38808376918485</v>
      </c>
      <c r="AS213" s="527">
        <f t="shared" si="274"/>
        <v>259.38808376918485</v>
      </c>
      <c r="AT213" s="527">
        <f t="shared" si="274"/>
        <v>259.38808376918485</v>
      </c>
      <c r="AU213" s="527">
        <f t="shared" si="274"/>
        <v>259.38808376918485</v>
      </c>
      <c r="AV213" s="527">
        <f t="shared" si="274"/>
        <v>332.30677687030305</v>
      </c>
      <c r="AW213" s="527">
        <f t="shared" si="274"/>
        <v>332.30677687030305</v>
      </c>
      <c r="AX213" s="527">
        <f t="shared" ref="AX213:BY213" si="275">IFERROR(AX197*(AX$590/SUM(AX$581,AX$590)),0)</f>
        <v>332.30677687030305</v>
      </c>
      <c r="AY213" s="527">
        <f t="shared" si="275"/>
        <v>332.30677687030305</v>
      </c>
      <c r="AZ213" s="527">
        <f t="shared" si="275"/>
        <v>332.30677687030305</v>
      </c>
      <c r="BA213" s="527">
        <f t="shared" si="275"/>
        <v>332.30677687030305</v>
      </c>
      <c r="BB213" s="527">
        <f t="shared" si="275"/>
        <v>265.80831355294271</v>
      </c>
      <c r="BC213" s="527">
        <f t="shared" si="275"/>
        <v>265.80831355294271</v>
      </c>
      <c r="BD213" s="527">
        <f t="shared" si="275"/>
        <v>265.80831355294271</v>
      </c>
      <c r="BE213" s="527">
        <f t="shared" si="275"/>
        <v>265.80831355294271</v>
      </c>
      <c r="BF213" s="527">
        <f t="shared" si="275"/>
        <v>265.80831355294271</v>
      </c>
      <c r="BG213" s="527">
        <f t="shared" si="275"/>
        <v>265.80831355294271</v>
      </c>
      <c r="BH213" s="527">
        <f t="shared" si="275"/>
        <v>338.38448171826104</v>
      </c>
      <c r="BI213" s="527">
        <f t="shared" si="275"/>
        <v>338.38448171826104</v>
      </c>
      <c r="BJ213" s="527">
        <f t="shared" si="275"/>
        <v>338.38448171826104</v>
      </c>
      <c r="BK213" s="527">
        <f t="shared" si="275"/>
        <v>338.38448171826104</v>
      </c>
      <c r="BL213" s="527">
        <f t="shared" si="275"/>
        <v>338.38448171826104</v>
      </c>
      <c r="BM213" s="527">
        <f t="shared" si="275"/>
        <v>338.38448171826104</v>
      </c>
      <c r="BN213" s="527">
        <f t="shared" si="275"/>
        <v>272.94655067177678</v>
      </c>
      <c r="BO213" s="527">
        <f t="shared" si="275"/>
        <v>272.94655067177678</v>
      </c>
      <c r="BP213" s="527">
        <f t="shared" si="275"/>
        <v>272.94655067177678</v>
      </c>
      <c r="BQ213" s="527">
        <f t="shared" si="275"/>
        <v>272.94655067177678</v>
      </c>
      <c r="BR213" s="527">
        <f t="shared" si="275"/>
        <v>272.94655067177678</v>
      </c>
      <c r="BS213" s="527">
        <f t="shared" si="275"/>
        <v>272.94655067177678</v>
      </c>
      <c r="BT213" s="527">
        <f t="shared" si="275"/>
        <v>345.20510878722445</v>
      </c>
      <c r="BU213" s="527">
        <f t="shared" si="275"/>
        <v>345.20510878722445</v>
      </c>
      <c r="BV213" s="527">
        <f t="shared" si="275"/>
        <v>345.20510878722445</v>
      </c>
      <c r="BW213" s="527">
        <f t="shared" si="275"/>
        <v>345.20510878722445</v>
      </c>
      <c r="BX213" s="527">
        <f t="shared" si="275"/>
        <v>345.20510878722445</v>
      </c>
      <c r="BY213" s="527">
        <f t="shared" si="275"/>
        <v>345.20510878722445</v>
      </c>
    </row>
    <row r="214" spans="1:77" x14ac:dyDescent="0.3">
      <c r="C214" s="2"/>
      <c r="D214" s="2"/>
      <c r="E214" s="113" t="str">
        <f>"WSM net comm. uplift due to capex: "&amp;E$156</f>
        <v>WSM net comm. uplift due to capex: FY28 Tranche</v>
      </c>
      <c r="F214" s="2"/>
      <c r="G214" s="2"/>
      <c r="H214" s="2"/>
      <c r="I214" s="2"/>
      <c r="J214" s="2"/>
      <c r="K214" s="2"/>
      <c r="L214" s="2"/>
      <c r="M214" s="2"/>
      <c r="N214" s="2"/>
      <c r="O214" s="2"/>
      <c r="P214" s="10"/>
      <c r="Q214" s="2"/>
      <c r="R214" s="497">
        <f t="shared" ref="R214:AW214" si="276">IFERROR(R198*(R$590/SUM(R$581,R$590)),0)</f>
        <v>0</v>
      </c>
      <c r="S214" s="497">
        <f t="shared" si="276"/>
        <v>0</v>
      </c>
      <c r="T214" s="497">
        <f t="shared" si="276"/>
        <v>0</v>
      </c>
      <c r="U214" s="497">
        <f t="shared" si="276"/>
        <v>0</v>
      </c>
      <c r="V214" s="497">
        <f t="shared" si="276"/>
        <v>0</v>
      </c>
      <c r="W214" s="497">
        <f t="shared" si="276"/>
        <v>0</v>
      </c>
      <c r="X214" s="497">
        <f t="shared" si="276"/>
        <v>0</v>
      </c>
      <c r="Y214" s="497">
        <f t="shared" si="276"/>
        <v>0</v>
      </c>
      <c r="Z214" s="497">
        <f t="shared" si="276"/>
        <v>0</v>
      </c>
      <c r="AA214" s="497">
        <f t="shared" si="276"/>
        <v>0</v>
      </c>
      <c r="AB214" s="497">
        <f t="shared" si="276"/>
        <v>0</v>
      </c>
      <c r="AC214" s="497">
        <f t="shared" si="276"/>
        <v>0</v>
      </c>
      <c r="AD214" s="497">
        <f t="shared" si="276"/>
        <v>0</v>
      </c>
      <c r="AE214" s="497">
        <f t="shared" si="276"/>
        <v>0</v>
      </c>
      <c r="AF214" s="497">
        <f t="shared" si="276"/>
        <v>0</v>
      </c>
      <c r="AG214" s="497">
        <f t="shared" si="276"/>
        <v>0</v>
      </c>
      <c r="AH214" s="497">
        <f t="shared" si="276"/>
        <v>0</v>
      </c>
      <c r="AI214" s="497">
        <f t="shared" si="276"/>
        <v>0</v>
      </c>
      <c r="AJ214" s="497">
        <f t="shared" si="276"/>
        <v>324.20136879802112</v>
      </c>
      <c r="AK214" s="497">
        <f t="shared" si="276"/>
        <v>324.20136879802112</v>
      </c>
      <c r="AL214" s="497">
        <f t="shared" si="276"/>
        <v>324.20136879802112</v>
      </c>
      <c r="AM214" s="497">
        <f t="shared" si="276"/>
        <v>324.20136879802112</v>
      </c>
      <c r="AN214" s="527">
        <f t="shared" si="276"/>
        <v>324.20136879802112</v>
      </c>
      <c r="AO214" s="527">
        <f t="shared" si="276"/>
        <v>324.20136879802112</v>
      </c>
      <c r="AP214" s="527">
        <f t="shared" si="276"/>
        <v>253.23943172598098</v>
      </c>
      <c r="AQ214" s="527">
        <f t="shared" si="276"/>
        <v>253.23943172598098</v>
      </c>
      <c r="AR214" s="527">
        <f t="shared" si="276"/>
        <v>253.23943172598098</v>
      </c>
      <c r="AS214" s="527">
        <f t="shared" si="276"/>
        <v>253.23943172598098</v>
      </c>
      <c r="AT214" s="527">
        <f t="shared" si="276"/>
        <v>253.23943172598098</v>
      </c>
      <c r="AU214" s="527">
        <f t="shared" si="276"/>
        <v>253.23943172598098</v>
      </c>
      <c r="AV214" s="527">
        <f t="shared" si="276"/>
        <v>325.91217874537097</v>
      </c>
      <c r="AW214" s="527">
        <f t="shared" si="276"/>
        <v>325.91217874537097</v>
      </c>
      <c r="AX214" s="527">
        <f t="shared" ref="AX214:BY214" si="277">IFERROR(AX198*(AX$590/SUM(AX$581,AX$590)),0)</f>
        <v>325.91217874537097</v>
      </c>
      <c r="AY214" s="527">
        <f t="shared" si="277"/>
        <v>325.91217874537097</v>
      </c>
      <c r="AZ214" s="527">
        <f t="shared" si="277"/>
        <v>325.91217874537097</v>
      </c>
      <c r="BA214" s="527">
        <f t="shared" si="277"/>
        <v>325.91217874537097</v>
      </c>
      <c r="BB214" s="527">
        <f t="shared" si="277"/>
        <v>259.68854390678661</v>
      </c>
      <c r="BC214" s="527">
        <f t="shared" si="277"/>
        <v>259.68854390678661</v>
      </c>
      <c r="BD214" s="527">
        <f t="shared" si="277"/>
        <v>259.68854390678661</v>
      </c>
      <c r="BE214" s="527">
        <f t="shared" si="277"/>
        <v>259.68854390678661</v>
      </c>
      <c r="BF214" s="527">
        <f t="shared" si="277"/>
        <v>259.68854390678661</v>
      </c>
      <c r="BG214" s="527">
        <f t="shared" si="277"/>
        <v>259.68854390678661</v>
      </c>
      <c r="BH214" s="527">
        <f t="shared" si="277"/>
        <v>332.01992128625875</v>
      </c>
      <c r="BI214" s="527">
        <f t="shared" si="277"/>
        <v>332.01992128625875</v>
      </c>
      <c r="BJ214" s="527">
        <f t="shared" si="277"/>
        <v>332.01992128625875</v>
      </c>
      <c r="BK214" s="527">
        <f t="shared" si="277"/>
        <v>332.01992128625875</v>
      </c>
      <c r="BL214" s="527">
        <f t="shared" si="277"/>
        <v>332.01992128625875</v>
      </c>
      <c r="BM214" s="527">
        <f t="shared" si="277"/>
        <v>332.01992128625875</v>
      </c>
      <c r="BN214" s="527">
        <f t="shared" si="277"/>
        <v>266.85356254897272</v>
      </c>
      <c r="BO214" s="527">
        <f t="shared" si="277"/>
        <v>266.85356254897272</v>
      </c>
      <c r="BP214" s="527">
        <f t="shared" si="277"/>
        <v>266.85356254897272</v>
      </c>
      <c r="BQ214" s="527">
        <f t="shared" si="277"/>
        <v>266.85356254897272</v>
      </c>
      <c r="BR214" s="527">
        <f t="shared" si="277"/>
        <v>266.85356254897272</v>
      </c>
      <c r="BS214" s="527">
        <f t="shared" si="277"/>
        <v>266.85356254897272</v>
      </c>
      <c r="BT214" s="527">
        <f t="shared" si="277"/>
        <v>338.86840113950802</v>
      </c>
      <c r="BU214" s="527">
        <f t="shared" si="277"/>
        <v>338.86840113950802</v>
      </c>
      <c r="BV214" s="527">
        <f t="shared" si="277"/>
        <v>338.86840113950802</v>
      </c>
      <c r="BW214" s="527">
        <f t="shared" si="277"/>
        <v>338.86840113950802</v>
      </c>
      <c r="BX214" s="527">
        <f t="shared" si="277"/>
        <v>338.86840113950802</v>
      </c>
      <c r="BY214" s="527">
        <f t="shared" si="277"/>
        <v>338.86840113950802</v>
      </c>
    </row>
    <row r="215" spans="1:77" x14ac:dyDescent="0.3">
      <c r="C215" s="2"/>
      <c r="D215" s="2"/>
      <c r="E215" s="113" t="str">
        <f>"WSM net comm. uplift due to capex: "&amp;E$157</f>
        <v>WSM net comm. uplift due to capex: FY29 Tranche</v>
      </c>
      <c r="F215" s="2"/>
      <c r="G215" s="2"/>
      <c r="H215" s="2"/>
      <c r="I215" s="2"/>
      <c r="J215" s="2"/>
      <c r="K215" s="2"/>
      <c r="L215" s="2"/>
      <c r="M215" s="2"/>
      <c r="N215" s="2"/>
      <c r="O215" s="2"/>
      <c r="P215" s="10"/>
      <c r="Q215" s="2"/>
      <c r="R215" s="497">
        <f t="shared" ref="R215:AW215" si="278">IFERROR(R199*(R$590/SUM(R$581,R$590)),0)</f>
        <v>0</v>
      </c>
      <c r="S215" s="497">
        <f t="shared" si="278"/>
        <v>0</v>
      </c>
      <c r="T215" s="497">
        <f t="shared" si="278"/>
        <v>0</v>
      </c>
      <c r="U215" s="497">
        <f t="shared" si="278"/>
        <v>0</v>
      </c>
      <c r="V215" s="497">
        <f t="shared" si="278"/>
        <v>0</v>
      </c>
      <c r="W215" s="497">
        <f t="shared" si="278"/>
        <v>0</v>
      </c>
      <c r="X215" s="497">
        <f t="shared" si="278"/>
        <v>0</v>
      </c>
      <c r="Y215" s="497">
        <f t="shared" si="278"/>
        <v>0</v>
      </c>
      <c r="Z215" s="497">
        <f t="shared" si="278"/>
        <v>0</v>
      </c>
      <c r="AA215" s="497">
        <f t="shared" si="278"/>
        <v>0</v>
      </c>
      <c r="AB215" s="497">
        <f t="shared" si="278"/>
        <v>0</v>
      </c>
      <c r="AC215" s="497">
        <f t="shared" si="278"/>
        <v>0</v>
      </c>
      <c r="AD215" s="497">
        <f t="shared" si="278"/>
        <v>0</v>
      </c>
      <c r="AE215" s="497">
        <f t="shared" si="278"/>
        <v>0</v>
      </c>
      <c r="AF215" s="497">
        <f t="shared" si="278"/>
        <v>0</v>
      </c>
      <c r="AG215" s="497">
        <f t="shared" si="278"/>
        <v>0</v>
      </c>
      <c r="AH215" s="497">
        <f t="shared" si="278"/>
        <v>0</v>
      </c>
      <c r="AI215" s="497">
        <f t="shared" si="278"/>
        <v>0</v>
      </c>
      <c r="AJ215" s="497">
        <f t="shared" si="278"/>
        <v>0</v>
      </c>
      <c r="AK215" s="497">
        <f t="shared" si="278"/>
        <v>0</v>
      </c>
      <c r="AL215" s="497">
        <f t="shared" si="278"/>
        <v>0</v>
      </c>
      <c r="AM215" s="497">
        <f t="shared" si="278"/>
        <v>0</v>
      </c>
      <c r="AN215" s="527">
        <f t="shared" si="278"/>
        <v>0</v>
      </c>
      <c r="AO215" s="527">
        <f t="shared" si="278"/>
        <v>0</v>
      </c>
      <c r="AP215" s="527">
        <f t="shared" si="278"/>
        <v>0</v>
      </c>
      <c r="AQ215" s="527">
        <f t="shared" si="278"/>
        <v>0</v>
      </c>
      <c r="AR215" s="527">
        <f t="shared" si="278"/>
        <v>0</v>
      </c>
      <c r="AS215" s="527">
        <f t="shared" si="278"/>
        <v>0</v>
      </c>
      <c r="AT215" s="527">
        <f t="shared" si="278"/>
        <v>0</v>
      </c>
      <c r="AU215" s="527">
        <f t="shared" si="278"/>
        <v>0</v>
      </c>
      <c r="AV215" s="527">
        <f t="shared" si="278"/>
        <v>316.45109501629241</v>
      </c>
      <c r="AW215" s="527">
        <f t="shared" si="278"/>
        <v>316.45109501629241</v>
      </c>
      <c r="AX215" s="527">
        <f t="shared" ref="AX215:BY215" si="279">IFERROR(AX199*(AX$590/SUM(AX$581,AX$590)),0)</f>
        <v>316.45109501629241</v>
      </c>
      <c r="AY215" s="527">
        <f t="shared" si="279"/>
        <v>316.45109501629241</v>
      </c>
      <c r="AZ215" s="527">
        <f t="shared" si="279"/>
        <v>316.45109501629241</v>
      </c>
      <c r="BA215" s="527">
        <f t="shared" si="279"/>
        <v>316.45109501629241</v>
      </c>
      <c r="BB215" s="527">
        <f t="shared" si="279"/>
        <v>250.63408076559099</v>
      </c>
      <c r="BC215" s="527">
        <f t="shared" si="279"/>
        <v>250.63408076559099</v>
      </c>
      <c r="BD215" s="527">
        <f t="shared" si="279"/>
        <v>250.63408076559099</v>
      </c>
      <c r="BE215" s="527">
        <f t="shared" si="279"/>
        <v>250.63408076559099</v>
      </c>
      <c r="BF215" s="527">
        <f t="shared" si="279"/>
        <v>250.63408076559099</v>
      </c>
      <c r="BG215" s="527">
        <f t="shared" si="279"/>
        <v>250.63408076559099</v>
      </c>
      <c r="BH215" s="527">
        <f t="shared" si="279"/>
        <v>322.6032796194155</v>
      </c>
      <c r="BI215" s="527">
        <f t="shared" si="279"/>
        <v>322.6032796194155</v>
      </c>
      <c r="BJ215" s="527">
        <f t="shared" si="279"/>
        <v>322.6032796194155</v>
      </c>
      <c r="BK215" s="527">
        <f t="shared" si="279"/>
        <v>322.6032796194155</v>
      </c>
      <c r="BL215" s="527">
        <f t="shared" si="279"/>
        <v>322.6032796194155</v>
      </c>
      <c r="BM215" s="527">
        <f t="shared" si="279"/>
        <v>322.6032796194155</v>
      </c>
      <c r="BN215" s="527">
        <f t="shared" si="279"/>
        <v>257.83872382668119</v>
      </c>
      <c r="BO215" s="527">
        <f t="shared" si="279"/>
        <v>257.83872382668119</v>
      </c>
      <c r="BP215" s="527">
        <f t="shared" si="279"/>
        <v>257.83872382668119</v>
      </c>
      <c r="BQ215" s="527">
        <f t="shared" si="279"/>
        <v>257.83872382668119</v>
      </c>
      <c r="BR215" s="527">
        <f t="shared" si="279"/>
        <v>257.83872382668119</v>
      </c>
      <c r="BS215" s="527">
        <f t="shared" si="279"/>
        <v>257.83872382668119</v>
      </c>
      <c r="BT215" s="527">
        <f t="shared" si="279"/>
        <v>329.49296886832462</v>
      </c>
      <c r="BU215" s="527">
        <f t="shared" si="279"/>
        <v>329.49296886832462</v>
      </c>
      <c r="BV215" s="527">
        <f t="shared" si="279"/>
        <v>329.49296886832462</v>
      </c>
      <c r="BW215" s="527">
        <f t="shared" si="279"/>
        <v>329.49296886832462</v>
      </c>
      <c r="BX215" s="527">
        <f t="shared" si="279"/>
        <v>329.49296886832462</v>
      </c>
      <c r="BY215" s="527">
        <f t="shared" si="279"/>
        <v>329.49296886832462</v>
      </c>
    </row>
    <row r="216" spans="1:77" x14ac:dyDescent="0.3">
      <c r="C216" s="2"/>
      <c r="D216" s="2"/>
      <c r="E216" s="113" t="str">
        <f>"WSM net comm. uplift due to capex: "&amp;E$158</f>
        <v>WSM net comm. uplift due to capex: FY30 Tranche</v>
      </c>
      <c r="F216" s="2"/>
      <c r="G216" s="2"/>
      <c r="H216" s="2"/>
      <c r="I216" s="2"/>
      <c r="J216" s="2"/>
      <c r="K216" s="2"/>
      <c r="L216" s="2"/>
      <c r="M216" s="2"/>
      <c r="N216" s="2"/>
      <c r="O216" s="2"/>
      <c r="P216" s="10"/>
      <c r="Q216" s="2"/>
      <c r="R216" s="497">
        <f t="shared" ref="R216:AW216" si="280">IFERROR(R200*(R$590/SUM(R$581,R$590)),0)</f>
        <v>0</v>
      </c>
      <c r="S216" s="497">
        <f t="shared" si="280"/>
        <v>0</v>
      </c>
      <c r="T216" s="497">
        <f t="shared" si="280"/>
        <v>0</v>
      </c>
      <c r="U216" s="497">
        <f t="shared" si="280"/>
        <v>0</v>
      </c>
      <c r="V216" s="497">
        <f t="shared" si="280"/>
        <v>0</v>
      </c>
      <c r="W216" s="497">
        <f t="shared" si="280"/>
        <v>0</v>
      </c>
      <c r="X216" s="497">
        <f t="shared" si="280"/>
        <v>0</v>
      </c>
      <c r="Y216" s="497">
        <f t="shared" si="280"/>
        <v>0</v>
      </c>
      <c r="Z216" s="497">
        <f t="shared" si="280"/>
        <v>0</v>
      </c>
      <c r="AA216" s="497">
        <f t="shared" si="280"/>
        <v>0</v>
      </c>
      <c r="AB216" s="497">
        <f t="shared" si="280"/>
        <v>0</v>
      </c>
      <c r="AC216" s="497">
        <f t="shared" si="280"/>
        <v>0</v>
      </c>
      <c r="AD216" s="497">
        <f t="shared" si="280"/>
        <v>0</v>
      </c>
      <c r="AE216" s="497">
        <f t="shared" si="280"/>
        <v>0</v>
      </c>
      <c r="AF216" s="497">
        <f t="shared" si="280"/>
        <v>0</v>
      </c>
      <c r="AG216" s="497">
        <f t="shared" si="280"/>
        <v>0</v>
      </c>
      <c r="AH216" s="497">
        <f t="shared" si="280"/>
        <v>0</v>
      </c>
      <c r="AI216" s="497">
        <f t="shared" si="280"/>
        <v>0</v>
      </c>
      <c r="AJ216" s="497">
        <f t="shared" si="280"/>
        <v>0</v>
      </c>
      <c r="AK216" s="497">
        <f t="shared" si="280"/>
        <v>0</v>
      </c>
      <c r="AL216" s="497">
        <f t="shared" si="280"/>
        <v>0</v>
      </c>
      <c r="AM216" s="497">
        <f t="shared" si="280"/>
        <v>0</v>
      </c>
      <c r="AN216" s="527">
        <f t="shared" si="280"/>
        <v>0</v>
      </c>
      <c r="AO216" s="527">
        <f t="shared" si="280"/>
        <v>0</v>
      </c>
      <c r="AP216" s="527">
        <f t="shared" si="280"/>
        <v>0</v>
      </c>
      <c r="AQ216" s="527">
        <f t="shared" si="280"/>
        <v>0</v>
      </c>
      <c r="AR216" s="527">
        <f t="shared" si="280"/>
        <v>0</v>
      </c>
      <c r="AS216" s="527">
        <f t="shared" si="280"/>
        <v>0</v>
      </c>
      <c r="AT216" s="527">
        <f t="shared" si="280"/>
        <v>0</v>
      </c>
      <c r="AU216" s="527">
        <f t="shared" si="280"/>
        <v>0</v>
      </c>
      <c r="AV216" s="527">
        <f t="shared" si="280"/>
        <v>0</v>
      </c>
      <c r="AW216" s="527">
        <f t="shared" si="280"/>
        <v>0</v>
      </c>
      <c r="AX216" s="527">
        <f t="shared" ref="AX216:BY216" si="281">IFERROR(AX200*(AX$590/SUM(AX$581,AX$590)),0)</f>
        <v>0</v>
      </c>
      <c r="AY216" s="527">
        <f t="shared" si="281"/>
        <v>0</v>
      </c>
      <c r="AZ216" s="527">
        <f t="shared" si="281"/>
        <v>0</v>
      </c>
      <c r="BA216" s="527">
        <f t="shared" si="281"/>
        <v>0</v>
      </c>
      <c r="BB216" s="527">
        <f t="shared" si="281"/>
        <v>0</v>
      </c>
      <c r="BC216" s="527">
        <f t="shared" si="281"/>
        <v>0</v>
      </c>
      <c r="BD216" s="527">
        <f t="shared" si="281"/>
        <v>0</v>
      </c>
      <c r="BE216" s="527">
        <f t="shared" si="281"/>
        <v>0</v>
      </c>
      <c r="BF216" s="527">
        <f t="shared" si="281"/>
        <v>0</v>
      </c>
      <c r="BG216" s="527">
        <f t="shared" si="281"/>
        <v>0</v>
      </c>
      <c r="BH216" s="527">
        <f t="shared" si="281"/>
        <v>309.11282060648097</v>
      </c>
      <c r="BI216" s="527">
        <f t="shared" si="281"/>
        <v>309.11282060648097</v>
      </c>
      <c r="BJ216" s="527">
        <f t="shared" si="281"/>
        <v>309.11282060648097</v>
      </c>
      <c r="BK216" s="527">
        <f t="shared" si="281"/>
        <v>309.11282060648097</v>
      </c>
      <c r="BL216" s="527">
        <f t="shared" si="281"/>
        <v>309.11282060648097</v>
      </c>
      <c r="BM216" s="527">
        <f t="shared" si="281"/>
        <v>309.11282060648097</v>
      </c>
      <c r="BN216" s="527">
        <f t="shared" si="281"/>
        <v>244.92389531414457</v>
      </c>
      <c r="BO216" s="527">
        <f t="shared" si="281"/>
        <v>244.92389531414457</v>
      </c>
      <c r="BP216" s="527">
        <f t="shared" si="281"/>
        <v>244.92389531414457</v>
      </c>
      <c r="BQ216" s="527">
        <f t="shared" si="281"/>
        <v>244.92389531414457</v>
      </c>
      <c r="BR216" s="527">
        <f t="shared" si="281"/>
        <v>244.92389531414457</v>
      </c>
      <c r="BS216" s="527">
        <f t="shared" si="281"/>
        <v>244.92389531414457</v>
      </c>
      <c r="BT216" s="527">
        <f t="shared" si="281"/>
        <v>316.06154721528668</v>
      </c>
      <c r="BU216" s="527">
        <f t="shared" si="281"/>
        <v>316.06154721528668</v>
      </c>
      <c r="BV216" s="527">
        <f t="shared" si="281"/>
        <v>316.06154721528668</v>
      </c>
      <c r="BW216" s="527">
        <f t="shared" si="281"/>
        <v>316.06154721528668</v>
      </c>
      <c r="BX216" s="527">
        <f t="shared" si="281"/>
        <v>316.06154721528668</v>
      </c>
      <c r="BY216" s="527">
        <f t="shared" si="281"/>
        <v>316.06154721528668</v>
      </c>
    </row>
    <row r="217" spans="1:77" x14ac:dyDescent="0.3">
      <c r="C217" s="2"/>
      <c r="D217" s="2"/>
      <c r="E217" s="113" t="str">
        <f>"WSM net comm. uplift due to capex: "&amp;E$159</f>
        <v>WSM net comm. uplift due to capex: FY31 Tranche</v>
      </c>
      <c r="F217" s="2"/>
      <c r="G217" s="2"/>
      <c r="H217" s="2"/>
      <c r="I217" s="2"/>
      <c r="J217" s="2"/>
      <c r="K217" s="2"/>
      <c r="L217" s="2"/>
      <c r="M217" s="2"/>
      <c r="N217" s="2"/>
      <c r="O217" s="2"/>
      <c r="P217" s="10"/>
      <c r="Q217" s="2"/>
      <c r="R217" s="497">
        <f t="shared" ref="R217:AW217" si="282">IFERROR(R201*(R$590/SUM(R$581,R$590)),0)</f>
        <v>0</v>
      </c>
      <c r="S217" s="497">
        <f t="shared" si="282"/>
        <v>0</v>
      </c>
      <c r="T217" s="497">
        <f t="shared" si="282"/>
        <v>0</v>
      </c>
      <c r="U217" s="497">
        <f t="shared" si="282"/>
        <v>0</v>
      </c>
      <c r="V217" s="497">
        <f t="shared" si="282"/>
        <v>0</v>
      </c>
      <c r="W217" s="497">
        <f t="shared" si="282"/>
        <v>0</v>
      </c>
      <c r="X217" s="497">
        <f t="shared" si="282"/>
        <v>0</v>
      </c>
      <c r="Y217" s="497">
        <f t="shared" si="282"/>
        <v>0</v>
      </c>
      <c r="Z217" s="497">
        <f t="shared" si="282"/>
        <v>0</v>
      </c>
      <c r="AA217" s="497">
        <f t="shared" si="282"/>
        <v>0</v>
      </c>
      <c r="AB217" s="497">
        <f t="shared" si="282"/>
        <v>0</v>
      </c>
      <c r="AC217" s="497">
        <f t="shared" si="282"/>
        <v>0</v>
      </c>
      <c r="AD217" s="497">
        <f t="shared" si="282"/>
        <v>0</v>
      </c>
      <c r="AE217" s="497">
        <f t="shared" si="282"/>
        <v>0</v>
      </c>
      <c r="AF217" s="497">
        <f t="shared" si="282"/>
        <v>0</v>
      </c>
      <c r="AG217" s="497">
        <f t="shared" si="282"/>
        <v>0</v>
      </c>
      <c r="AH217" s="497">
        <f t="shared" si="282"/>
        <v>0</v>
      </c>
      <c r="AI217" s="497">
        <f t="shared" si="282"/>
        <v>0</v>
      </c>
      <c r="AJ217" s="497">
        <f t="shared" si="282"/>
        <v>0</v>
      </c>
      <c r="AK217" s="497">
        <f t="shared" si="282"/>
        <v>0</v>
      </c>
      <c r="AL217" s="497">
        <f t="shared" si="282"/>
        <v>0</v>
      </c>
      <c r="AM217" s="497">
        <f t="shared" si="282"/>
        <v>0</v>
      </c>
      <c r="AN217" s="527">
        <f t="shared" si="282"/>
        <v>0</v>
      </c>
      <c r="AO217" s="527">
        <f t="shared" si="282"/>
        <v>0</v>
      </c>
      <c r="AP217" s="527">
        <f t="shared" si="282"/>
        <v>0</v>
      </c>
      <c r="AQ217" s="527">
        <f t="shared" si="282"/>
        <v>0</v>
      </c>
      <c r="AR217" s="527">
        <f t="shared" si="282"/>
        <v>0</v>
      </c>
      <c r="AS217" s="527">
        <f t="shared" si="282"/>
        <v>0</v>
      </c>
      <c r="AT217" s="527">
        <f t="shared" si="282"/>
        <v>0</v>
      </c>
      <c r="AU217" s="527">
        <f t="shared" si="282"/>
        <v>0</v>
      </c>
      <c r="AV217" s="527">
        <f t="shared" si="282"/>
        <v>0</v>
      </c>
      <c r="AW217" s="527">
        <f t="shared" si="282"/>
        <v>0</v>
      </c>
      <c r="AX217" s="527">
        <f t="shared" ref="AX217:BY217" si="283">IFERROR(AX201*(AX$590/SUM(AX$581,AX$590)),0)</f>
        <v>0</v>
      </c>
      <c r="AY217" s="527">
        <f t="shared" si="283"/>
        <v>0</v>
      </c>
      <c r="AZ217" s="527">
        <f t="shared" si="283"/>
        <v>0</v>
      </c>
      <c r="BA217" s="527">
        <f t="shared" si="283"/>
        <v>0</v>
      </c>
      <c r="BB217" s="527">
        <f t="shared" si="283"/>
        <v>0</v>
      </c>
      <c r="BC217" s="527">
        <f t="shared" si="283"/>
        <v>0</v>
      </c>
      <c r="BD217" s="527">
        <f t="shared" si="283"/>
        <v>0</v>
      </c>
      <c r="BE217" s="527">
        <f t="shared" si="283"/>
        <v>0</v>
      </c>
      <c r="BF217" s="527">
        <f t="shared" si="283"/>
        <v>0</v>
      </c>
      <c r="BG217" s="527">
        <f t="shared" si="283"/>
        <v>0</v>
      </c>
      <c r="BH217" s="527">
        <f t="shared" si="283"/>
        <v>0</v>
      </c>
      <c r="BI217" s="527">
        <f t="shared" si="283"/>
        <v>0</v>
      </c>
      <c r="BJ217" s="527">
        <f t="shared" si="283"/>
        <v>0</v>
      </c>
      <c r="BK217" s="527">
        <f t="shared" si="283"/>
        <v>0</v>
      </c>
      <c r="BL217" s="527">
        <f t="shared" si="283"/>
        <v>0</v>
      </c>
      <c r="BM217" s="527">
        <f t="shared" si="283"/>
        <v>0</v>
      </c>
      <c r="BN217" s="527">
        <f t="shared" si="283"/>
        <v>0</v>
      </c>
      <c r="BO217" s="527">
        <f t="shared" si="283"/>
        <v>0</v>
      </c>
      <c r="BP217" s="527">
        <f t="shared" si="283"/>
        <v>0</v>
      </c>
      <c r="BQ217" s="527">
        <f t="shared" si="283"/>
        <v>0</v>
      </c>
      <c r="BR217" s="527">
        <f t="shared" si="283"/>
        <v>0</v>
      </c>
      <c r="BS217" s="527">
        <f t="shared" si="283"/>
        <v>0</v>
      </c>
      <c r="BT217" s="527">
        <f t="shared" si="283"/>
        <v>301.69837510282395</v>
      </c>
      <c r="BU217" s="527">
        <f t="shared" si="283"/>
        <v>301.69837510282395</v>
      </c>
      <c r="BV217" s="527">
        <f t="shared" si="283"/>
        <v>301.69837510282395</v>
      </c>
      <c r="BW217" s="527">
        <f t="shared" si="283"/>
        <v>301.69837510282395</v>
      </c>
      <c r="BX217" s="527">
        <f t="shared" si="283"/>
        <v>301.69837510282395</v>
      </c>
      <c r="BY217" s="527">
        <f t="shared" si="283"/>
        <v>301.69837510282395</v>
      </c>
    </row>
    <row r="218" spans="1:77" x14ac:dyDescent="0.3">
      <c r="C218" s="2"/>
      <c r="D218" s="2"/>
      <c r="E218" s="113" t="str">
        <f>"WSM net comm. uplift due to capex: "&amp;E$160</f>
        <v>WSM net comm. uplift due to capex: Uninvested Tranche</v>
      </c>
      <c r="F218" s="2"/>
      <c r="G218" s="2"/>
      <c r="H218" s="2"/>
      <c r="I218" s="2"/>
      <c r="J218" s="2"/>
      <c r="K218" s="2"/>
      <c r="L218" s="2"/>
      <c r="M218" s="2"/>
      <c r="N218" s="2"/>
      <c r="O218" s="2"/>
      <c r="P218" s="10"/>
      <c r="Q218" s="2"/>
      <c r="R218" s="497">
        <f t="shared" ref="R218:AW218" si="284">IFERROR(R202*(R$590/SUM(R$581,R$590)),0)</f>
        <v>0</v>
      </c>
      <c r="S218" s="497">
        <f t="shared" si="284"/>
        <v>0</v>
      </c>
      <c r="T218" s="497">
        <f t="shared" si="284"/>
        <v>0</v>
      </c>
      <c r="U218" s="497">
        <f t="shared" si="284"/>
        <v>0</v>
      </c>
      <c r="V218" s="497">
        <f t="shared" si="284"/>
        <v>0</v>
      </c>
      <c r="W218" s="497">
        <f t="shared" si="284"/>
        <v>0</v>
      </c>
      <c r="X218" s="497">
        <f t="shared" si="284"/>
        <v>0</v>
      </c>
      <c r="Y218" s="497">
        <f t="shared" si="284"/>
        <v>0</v>
      </c>
      <c r="Z218" s="497">
        <f t="shared" si="284"/>
        <v>0</v>
      </c>
      <c r="AA218" s="497">
        <f t="shared" si="284"/>
        <v>0</v>
      </c>
      <c r="AB218" s="497">
        <f t="shared" si="284"/>
        <v>0</v>
      </c>
      <c r="AC218" s="497">
        <f t="shared" si="284"/>
        <v>0</v>
      </c>
      <c r="AD218" s="497">
        <f t="shared" si="284"/>
        <v>0</v>
      </c>
      <c r="AE218" s="497">
        <f t="shared" si="284"/>
        <v>0</v>
      </c>
      <c r="AF218" s="497">
        <f t="shared" si="284"/>
        <v>0</v>
      </c>
      <c r="AG218" s="497">
        <f t="shared" si="284"/>
        <v>0</v>
      </c>
      <c r="AH218" s="497">
        <f t="shared" si="284"/>
        <v>0</v>
      </c>
      <c r="AI218" s="497">
        <f t="shared" si="284"/>
        <v>0</v>
      </c>
      <c r="AJ218" s="497">
        <f t="shared" si="284"/>
        <v>0</v>
      </c>
      <c r="AK218" s="497">
        <f t="shared" si="284"/>
        <v>0</v>
      </c>
      <c r="AL218" s="497">
        <f t="shared" si="284"/>
        <v>0</v>
      </c>
      <c r="AM218" s="497">
        <f t="shared" si="284"/>
        <v>0</v>
      </c>
      <c r="AN218" s="527">
        <f t="shared" si="284"/>
        <v>0</v>
      </c>
      <c r="AO218" s="527">
        <f t="shared" si="284"/>
        <v>0</v>
      </c>
      <c r="AP218" s="527">
        <f t="shared" si="284"/>
        <v>0</v>
      </c>
      <c r="AQ218" s="527">
        <f t="shared" si="284"/>
        <v>0</v>
      </c>
      <c r="AR218" s="527">
        <f t="shared" si="284"/>
        <v>0</v>
      </c>
      <c r="AS218" s="527">
        <f t="shared" si="284"/>
        <v>0</v>
      </c>
      <c r="AT218" s="527">
        <f t="shared" si="284"/>
        <v>0</v>
      </c>
      <c r="AU218" s="527">
        <f t="shared" si="284"/>
        <v>0</v>
      </c>
      <c r="AV218" s="527">
        <f t="shared" si="284"/>
        <v>0</v>
      </c>
      <c r="AW218" s="527">
        <f t="shared" si="284"/>
        <v>0</v>
      </c>
      <c r="AX218" s="527">
        <f t="shared" ref="AX218:BY218" si="285">IFERROR(AX202*(AX$590/SUM(AX$581,AX$590)),0)</f>
        <v>0</v>
      </c>
      <c r="AY218" s="527">
        <f t="shared" si="285"/>
        <v>0</v>
      </c>
      <c r="AZ218" s="527">
        <f t="shared" si="285"/>
        <v>0</v>
      </c>
      <c r="BA218" s="527">
        <f t="shared" si="285"/>
        <v>0</v>
      </c>
      <c r="BB218" s="527">
        <f t="shared" si="285"/>
        <v>0</v>
      </c>
      <c r="BC218" s="527">
        <f t="shared" si="285"/>
        <v>0</v>
      </c>
      <c r="BD218" s="527">
        <f t="shared" si="285"/>
        <v>0</v>
      </c>
      <c r="BE218" s="527">
        <f t="shared" si="285"/>
        <v>0</v>
      </c>
      <c r="BF218" s="527">
        <f t="shared" si="285"/>
        <v>0</v>
      </c>
      <c r="BG218" s="527">
        <f t="shared" si="285"/>
        <v>0</v>
      </c>
      <c r="BH218" s="527">
        <f t="shared" si="285"/>
        <v>0</v>
      </c>
      <c r="BI218" s="527">
        <f t="shared" si="285"/>
        <v>0</v>
      </c>
      <c r="BJ218" s="527">
        <f t="shared" si="285"/>
        <v>0</v>
      </c>
      <c r="BK218" s="527">
        <f t="shared" si="285"/>
        <v>0</v>
      </c>
      <c r="BL218" s="527">
        <f t="shared" si="285"/>
        <v>0</v>
      </c>
      <c r="BM218" s="527">
        <f t="shared" si="285"/>
        <v>0</v>
      </c>
      <c r="BN218" s="527">
        <f t="shared" si="285"/>
        <v>0</v>
      </c>
      <c r="BO218" s="527">
        <f t="shared" si="285"/>
        <v>0</v>
      </c>
      <c r="BP218" s="527">
        <f t="shared" si="285"/>
        <v>0</v>
      </c>
      <c r="BQ218" s="527">
        <f t="shared" si="285"/>
        <v>0</v>
      </c>
      <c r="BR218" s="527">
        <f t="shared" si="285"/>
        <v>0</v>
      </c>
      <c r="BS218" s="527">
        <f t="shared" si="285"/>
        <v>0</v>
      </c>
      <c r="BT218" s="527">
        <f t="shared" si="285"/>
        <v>0</v>
      </c>
      <c r="BU218" s="527">
        <f t="shared" si="285"/>
        <v>0</v>
      </c>
      <c r="BV218" s="527">
        <f t="shared" si="285"/>
        <v>0</v>
      </c>
      <c r="BW218" s="527">
        <f t="shared" si="285"/>
        <v>0</v>
      </c>
      <c r="BX218" s="527">
        <f t="shared" si="285"/>
        <v>0</v>
      </c>
      <c r="BY218" s="527">
        <f t="shared" si="285"/>
        <v>0</v>
      </c>
    </row>
    <row r="219" spans="1:77" x14ac:dyDescent="0.3">
      <c r="C219" s="2"/>
      <c r="D219" s="2"/>
      <c r="E219" s="4" t="s">
        <v>36</v>
      </c>
      <c r="F219" s="4"/>
      <c r="G219" s="4"/>
      <c r="H219" s="4"/>
      <c r="I219" s="4"/>
      <c r="J219" s="4"/>
      <c r="K219" s="4"/>
      <c r="L219" s="4"/>
      <c r="M219" s="4"/>
      <c r="N219" s="4"/>
      <c r="O219" s="4"/>
      <c r="P219" s="106"/>
      <c r="Q219" s="4"/>
      <c r="R219" s="500">
        <f t="shared" ref="R219:AW219" si="286">SUM(R213:R218)</f>
        <v>0</v>
      </c>
      <c r="S219" s="500">
        <f t="shared" si="286"/>
        <v>0</v>
      </c>
      <c r="T219" s="500">
        <f t="shared" si="286"/>
        <v>0</v>
      </c>
      <c r="U219" s="500">
        <f t="shared" si="286"/>
        <v>0</v>
      </c>
      <c r="V219" s="500">
        <f t="shared" si="286"/>
        <v>0</v>
      </c>
      <c r="W219" s="500">
        <f t="shared" si="286"/>
        <v>0</v>
      </c>
      <c r="X219" s="500">
        <f t="shared" si="286"/>
        <v>332.40287312686712</v>
      </c>
      <c r="Y219" s="500">
        <f t="shared" si="286"/>
        <v>332.40287312686712</v>
      </c>
      <c r="Z219" s="500">
        <f t="shared" si="286"/>
        <v>332.40287312686712</v>
      </c>
      <c r="AA219" s="500">
        <f t="shared" si="286"/>
        <v>332.40287312686712</v>
      </c>
      <c r="AB219" s="500">
        <f t="shared" si="286"/>
        <v>332.40287312686712</v>
      </c>
      <c r="AC219" s="500">
        <f t="shared" si="286"/>
        <v>332.40287312686712</v>
      </c>
      <c r="AD219" s="500">
        <f t="shared" si="286"/>
        <v>257.19781575589053</v>
      </c>
      <c r="AE219" s="500">
        <f t="shared" si="286"/>
        <v>257.19781575589053</v>
      </c>
      <c r="AF219" s="500">
        <f t="shared" si="286"/>
        <v>257.19781575589053</v>
      </c>
      <c r="AG219" s="500">
        <f t="shared" si="286"/>
        <v>257.19781575589053</v>
      </c>
      <c r="AH219" s="500">
        <f t="shared" si="286"/>
        <v>257.19781575589053</v>
      </c>
      <c r="AI219" s="500">
        <f t="shared" si="286"/>
        <v>257.19781575589053</v>
      </c>
      <c r="AJ219" s="500">
        <f t="shared" si="286"/>
        <v>654.84342340770741</v>
      </c>
      <c r="AK219" s="500">
        <f t="shared" si="286"/>
        <v>654.84342340770741</v>
      </c>
      <c r="AL219" s="500">
        <f t="shared" si="286"/>
        <v>654.84342340770741</v>
      </c>
      <c r="AM219" s="500">
        <f t="shared" si="286"/>
        <v>654.84342340770741</v>
      </c>
      <c r="AN219" s="532">
        <f t="shared" si="286"/>
        <v>654.84342340770741</v>
      </c>
      <c r="AO219" s="532">
        <f t="shared" si="286"/>
        <v>654.84342340770741</v>
      </c>
      <c r="AP219" s="532">
        <f t="shared" si="286"/>
        <v>512.62751549516588</v>
      </c>
      <c r="AQ219" s="532">
        <f t="shared" si="286"/>
        <v>512.62751549516588</v>
      </c>
      <c r="AR219" s="532">
        <f t="shared" si="286"/>
        <v>512.62751549516588</v>
      </c>
      <c r="AS219" s="532">
        <f t="shared" si="286"/>
        <v>512.62751549516588</v>
      </c>
      <c r="AT219" s="532">
        <f t="shared" si="286"/>
        <v>512.62751549516588</v>
      </c>
      <c r="AU219" s="532">
        <f t="shared" si="286"/>
        <v>512.62751549516588</v>
      </c>
      <c r="AV219" s="532">
        <f t="shared" si="286"/>
        <v>974.67005063196643</v>
      </c>
      <c r="AW219" s="532">
        <f t="shared" si="286"/>
        <v>974.67005063196643</v>
      </c>
      <c r="AX219" s="532">
        <f t="shared" ref="AX219:BY219" si="287">SUM(AX213:AX218)</f>
        <v>974.67005063196643</v>
      </c>
      <c r="AY219" s="532">
        <f t="shared" si="287"/>
        <v>974.67005063196643</v>
      </c>
      <c r="AZ219" s="532">
        <f t="shared" si="287"/>
        <v>974.67005063196643</v>
      </c>
      <c r="BA219" s="532">
        <f t="shared" si="287"/>
        <v>974.67005063196643</v>
      </c>
      <c r="BB219" s="532">
        <f t="shared" si="287"/>
        <v>776.13093822532028</v>
      </c>
      <c r="BC219" s="532">
        <f t="shared" si="287"/>
        <v>776.13093822532028</v>
      </c>
      <c r="BD219" s="532">
        <f t="shared" si="287"/>
        <v>776.13093822532028</v>
      </c>
      <c r="BE219" s="532">
        <f t="shared" si="287"/>
        <v>776.13093822532028</v>
      </c>
      <c r="BF219" s="532">
        <f t="shared" si="287"/>
        <v>776.13093822532028</v>
      </c>
      <c r="BG219" s="532">
        <f t="shared" si="287"/>
        <v>776.13093822532028</v>
      </c>
      <c r="BH219" s="532">
        <f t="shared" si="287"/>
        <v>1302.1205032304163</v>
      </c>
      <c r="BI219" s="532">
        <f t="shared" si="287"/>
        <v>1302.1205032304163</v>
      </c>
      <c r="BJ219" s="532">
        <f t="shared" si="287"/>
        <v>1302.1205032304163</v>
      </c>
      <c r="BK219" s="532">
        <f t="shared" si="287"/>
        <v>1302.1205032304163</v>
      </c>
      <c r="BL219" s="532">
        <f t="shared" si="287"/>
        <v>1302.1205032304163</v>
      </c>
      <c r="BM219" s="532">
        <f t="shared" si="287"/>
        <v>1302.1205032304163</v>
      </c>
      <c r="BN219" s="532">
        <f t="shared" si="287"/>
        <v>1042.5627323615752</v>
      </c>
      <c r="BO219" s="532">
        <f t="shared" si="287"/>
        <v>1042.5627323615752</v>
      </c>
      <c r="BP219" s="532">
        <f t="shared" si="287"/>
        <v>1042.5627323615752</v>
      </c>
      <c r="BQ219" s="532">
        <f t="shared" si="287"/>
        <v>1042.5627323615752</v>
      </c>
      <c r="BR219" s="532">
        <f t="shared" si="287"/>
        <v>1042.5627323615752</v>
      </c>
      <c r="BS219" s="532">
        <f t="shared" si="287"/>
        <v>1042.5627323615752</v>
      </c>
      <c r="BT219" s="532">
        <f t="shared" si="287"/>
        <v>1631.3264011131678</v>
      </c>
      <c r="BU219" s="532">
        <f t="shared" si="287"/>
        <v>1631.3264011131678</v>
      </c>
      <c r="BV219" s="532">
        <f t="shared" si="287"/>
        <v>1631.3264011131678</v>
      </c>
      <c r="BW219" s="532">
        <f t="shared" si="287"/>
        <v>1631.3264011131678</v>
      </c>
      <c r="BX219" s="532">
        <f t="shared" si="287"/>
        <v>1631.3264011131678</v>
      </c>
      <c r="BY219" s="532">
        <f t="shared" si="287"/>
        <v>1631.3264011131678</v>
      </c>
    </row>
    <row r="220" spans="1:77" x14ac:dyDescent="0.3">
      <c r="C220" s="2"/>
      <c r="D220" s="2"/>
      <c r="E220" s="2"/>
      <c r="F220" s="2"/>
      <c r="G220" s="2"/>
      <c r="H220" s="2"/>
      <c r="I220" s="2"/>
      <c r="J220" s="2"/>
      <c r="K220" s="2"/>
      <c r="L220" s="2"/>
      <c r="M220" s="2"/>
      <c r="N220" s="2"/>
      <c r="O220" s="2"/>
      <c r="P220" s="10"/>
      <c r="Q220" s="2"/>
      <c r="R220" s="37"/>
      <c r="S220" s="37"/>
      <c r="T220" s="37"/>
      <c r="U220" s="37"/>
      <c r="V220" s="37"/>
      <c r="W220" s="37"/>
      <c r="X220" s="37"/>
      <c r="Y220" s="37"/>
      <c r="Z220" s="37"/>
      <c r="AA220" s="37"/>
      <c r="AB220" s="37"/>
      <c r="AC220" s="37"/>
      <c r="AD220" s="37"/>
      <c r="AE220" s="37"/>
      <c r="AF220" s="37"/>
      <c r="AG220" s="37"/>
      <c r="AH220" s="37"/>
      <c r="AI220" s="37"/>
      <c r="AJ220" s="37"/>
      <c r="AK220" s="37"/>
      <c r="AL220" s="37"/>
      <c r="AM220" s="37"/>
      <c r="AN220" s="529"/>
      <c r="AO220" s="529"/>
      <c r="AP220" s="529"/>
      <c r="AQ220" s="529"/>
      <c r="AR220" s="529"/>
      <c r="AS220" s="529"/>
      <c r="AT220" s="529"/>
      <c r="AU220" s="529"/>
      <c r="AV220" s="529"/>
      <c r="AW220" s="529"/>
      <c r="AX220" s="529"/>
      <c r="AY220" s="529"/>
      <c r="AZ220" s="529"/>
      <c r="BA220" s="529"/>
      <c r="BB220" s="529"/>
      <c r="BC220" s="529"/>
      <c r="BD220" s="529"/>
      <c r="BE220" s="529"/>
      <c r="BF220" s="529"/>
      <c r="BG220" s="529"/>
      <c r="BH220" s="529"/>
      <c r="BI220" s="529"/>
      <c r="BJ220" s="529"/>
      <c r="BK220" s="529"/>
      <c r="BL220" s="529"/>
      <c r="BM220" s="529"/>
      <c r="BN220" s="529"/>
      <c r="BO220" s="529"/>
      <c r="BP220" s="529"/>
      <c r="BQ220" s="529"/>
      <c r="BR220" s="529"/>
      <c r="BS220" s="529"/>
      <c r="BT220" s="529"/>
      <c r="BU220" s="529"/>
      <c r="BV220" s="529"/>
      <c r="BW220" s="529"/>
      <c r="BX220" s="529"/>
      <c r="BY220" s="529"/>
    </row>
    <row r="221" spans="1:77" x14ac:dyDescent="0.3">
      <c r="C221" s="2"/>
      <c r="D221" s="2"/>
      <c r="E221" s="108" t="s">
        <v>97</v>
      </c>
      <c r="F221" s="109"/>
      <c r="G221" s="109"/>
      <c r="H221" s="109"/>
      <c r="I221" s="109"/>
      <c r="J221" s="109"/>
      <c r="K221" s="109"/>
      <c r="L221" s="109"/>
      <c r="M221" s="109"/>
      <c r="N221" s="109"/>
      <c r="O221" s="109"/>
      <c r="P221" s="110"/>
      <c r="Q221" s="109"/>
      <c r="R221" s="109"/>
      <c r="S221" s="109"/>
      <c r="T221" s="109"/>
      <c r="U221" s="109"/>
      <c r="V221" s="109"/>
      <c r="W221" s="109"/>
      <c r="X221" s="109"/>
      <c r="Y221" s="109"/>
      <c r="Z221" s="109"/>
      <c r="AA221" s="109"/>
      <c r="AB221" s="109"/>
      <c r="AC221" s="109"/>
      <c r="AD221" s="109"/>
      <c r="AE221" s="109"/>
      <c r="AF221" s="109"/>
      <c r="AG221" s="109"/>
      <c r="AH221" s="109"/>
      <c r="AI221" s="109"/>
      <c r="AJ221" s="109"/>
      <c r="AK221" s="109"/>
      <c r="AL221" s="109"/>
      <c r="AM221" s="109"/>
      <c r="AN221" s="539"/>
      <c r="AO221" s="539"/>
      <c r="AP221" s="539"/>
      <c r="AQ221" s="539"/>
      <c r="AR221" s="539"/>
      <c r="AS221" s="539"/>
      <c r="AT221" s="539"/>
      <c r="AU221" s="539"/>
      <c r="AV221" s="539"/>
      <c r="AW221" s="539"/>
      <c r="AX221" s="539"/>
      <c r="AY221" s="539"/>
      <c r="AZ221" s="539"/>
      <c r="BA221" s="539"/>
      <c r="BB221" s="539"/>
      <c r="BC221" s="539"/>
      <c r="BD221" s="539"/>
      <c r="BE221" s="539"/>
      <c r="BF221" s="539"/>
      <c r="BG221" s="539"/>
      <c r="BH221" s="539"/>
      <c r="BI221" s="539"/>
      <c r="BJ221" s="539"/>
      <c r="BK221" s="539"/>
      <c r="BL221" s="539"/>
      <c r="BM221" s="539"/>
      <c r="BN221" s="539"/>
      <c r="BO221" s="539"/>
      <c r="BP221" s="539"/>
      <c r="BQ221" s="539"/>
      <c r="BR221" s="539"/>
      <c r="BS221" s="539"/>
      <c r="BT221" s="539"/>
      <c r="BU221" s="539"/>
      <c r="BV221" s="539"/>
      <c r="BW221" s="539"/>
      <c r="BX221" s="539"/>
      <c r="BY221" s="539"/>
    </row>
    <row r="222" spans="1:77" x14ac:dyDescent="0.3">
      <c r="C222" s="2"/>
      <c r="D222" s="2"/>
      <c r="E222" s="2"/>
      <c r="F222" s="2"/>
      <c r="G222" s="2"/>
      <c r="H222" s="2"/>
      <c r="I222" s="2"/>
      <c r="J222" s="2"/>
      <c r="K222" s="2"/>
      <c r="L222" s="2"/>
      <c r="M222" s="2"/>
      <c r="N222" s="2"/>
      <c r="O222" s="2"/>
      <c r="P222" s="10"/>
      <c r="Q222" s="2"/>
      <c r="R222" s="2"/>
      <c r="S222" s="2"/>
      <c r="T222" s="2"/>
      <c r="U222" s="2"/>
      <c r="V222" s="2"/>
      <c r="W222" s="2"/>
      <c r="X222" s="2"/>
      <c r="Y222" s="2"/>
      <c r="Z222" s="2"/>
      <c r="AA222" s="2"/>
      <c r="AB222" s="2"/>
      <c r="AC222" s="2"/>
      <c r="AD222" s="2"/>
      <c r="AE222" s="2"/>
      <c r="AF222" s="2"/>
      <c r="AG222" s="2"/>
      <c r="AH222" s="2"/>
      <c r="AI222" s="2"/>
      <c r="AJ222" s="2"/>
      <c r="AK222" s="2"/>
      <c r="AL222" s="2"/>
      <c r="AM222" s="2"/>
      <c r="AN222" s="525"/>
      <c r="AO222" s="525"/>
      <c r="AP222" s="525"/>
      <c r="AQ222" s="525"/>
      <c r="AR222" s="525"/>
      <c r="AS222" s="525"/>
      <c r="AT222" s="525"/>
      <c r="AU222" s="525"/>
      <c r="AV222" s="525"/>
      <c r="AW222" s="525"/>
      <c r="AX222" s="525"/>
      <c r="AY222" s="525"/>
      <c r="AZ222" s="525"/>
      <c r="BA222" s="525"/>
      <c r="BB222" s="525"/>
      <c r="BC222" s="525"/>
      <c r="BD222" s="525"/>
      <c r="BE222" s="525"/>
      <c r="BF222" s="525"/>
      <c r="BG222" s="525"/>
      <c r="BH222" s="525"/>
      <c r="BI222" s="525"/>
      <c r="BJ222" s="525"/>
      <c r="BK222" s="525"/>
      <c r="BL222" s="525"/>
      <c r="BM222" s="525"/>
      <c r="BN222" s="525"/>
      <c r="BO222" s="525"/>
      <c r="BP222" s="525"/>
      <c r="BQ222" s="525"/>
      <c r="BR222" s="525"/>
      <c r="BS222" s="525"/>
      <c r="BT222" s="525"/>
      <c r="BU222" s="525"/>
      <c r="BV222" s="525"/>
      <c r="BW222" s="525"/>
      <c r="BX222" s="525"/>
      <c r="BY222" s="525"/>
    </row>
    <row r="223" spans="1:77" x14ac:dyDescent="0.3">
      <c r="A223" s="3"/>
      <c r="B223" s="2"/>
      <c r="C223" s="2"/>
      <c r="D223" s="2"/>
      <c r="E223" s="2" t="s">
        <v>98</v>
      </c>
      <c r="F223" s="2"/>
      <c r="G223" s="2"/>
      <c r="H223" s="2"/>
      <c r="I223" s="2"/>
      <c r="J223" s="2"/>
      <c r="K223" s="2"/>
      <c r="L223" s="2"/>
      <c r="M223" s="2"/>
      <c r="N223" s="2"/>
      <c r="O223" s="2"/>
      <c r="P223" s="10"/>
      <c r="Q223" s="2"/>
      <c r="R223" s="516">
        <f t="shared" ref="R223:AW223" si="288">IFERROR(R581/R576,0)</f>
        <v>0.36697493776873891</v>
      </c>
      <c r="S223" s="516">
        <f t="shared" si="288"/>
        <v>0.36697493776873891</v>
      </c>
      <c r="T223" s="516">
        <f t="shared" si="288"/>
        <v>0.36697493776873891</v>
      </c>
      <c r="U223" s="516">
        <f t="shared" si="288"/>
        <v>0.36697493776873891</v>
      </c>
      <c r="V223" s="516">
        <f t="shared" si="288"/>
        <v>0.36697493776873891</v>
      </c>
      <c r="W223" s="516">
        <f t="shared" si="288"/>
        <v>0.36697493776873891</v>
      </c>
      <c r="X223" s="516">
        <f t="shared" si="288"/>
        <v>0.36697493776873891</v>
      </c>
      <c r="Y223" s="516">
        <f t="shared" si="288"/>
        <v>0.36697493776873891</v>
      </c>
      <c r="Z223" s="516">
        <f t="shared" si="288"/>
        <v>0.36697493776873891</v>
      </c>
      <c r="AA223" s="516">
        <f t="shared" si="288"/>
        <v>0.36697493776873891</v>
      </c>
      <c r="AB223" s="516">
        <f t="shared" si="288"/>
        <v>0.36697493776873891</v>
      </c>
      <c r="AC223" s="516">
        <f t="shared" si="288"/>
        <v>0.36697493776873891</v>
      </c>
      <c r="AD223" s="516">
        <f t="shared" si="288"/>
        <v>0.3733490454157844</v>
      </c>
      <c r="AE223" s="516">
        <f t="shared" si="288"/>
        <v>0.3733490454157844</v>
      </c>
      <c r="AF223" s="516">
        <f t="shared" si="288"/>
        <v>0.3733490454157844</v>
      </c>
      <c r="AG223" s="516">
        <f t="shared" si="288"/>
        <v>0.3733490454157844</v>
      </c>
      <c r="AH223" s="516">
        <f t="shared" si="288"/>
        <v>0.3733490454157844</v>
      </c>
      <c r="AI223" s="516">
        <f t="shared" si="288"/>
        <v>0.3733490454157844</v>
      </c>
      <c r="AJ223" s="516">
        <f t="shared" si="288"/>
        <v>0.3733490454157844</v>
      </c>
      <c r="AK223" s="516">
        <f t="shared" si="288"/>
        <v>0.3733490454157844</v>
      </c>
      <c r="AL223" s="516">
        <f t="shared" si="288"/>
        <v>0.3733490454157844</v>
      </c>
      <c r="AM223" s="516">
        <f t="shared" si="288"/>
        <v>0.3733490454157844</v>
      </c>
      <c r="AN223" s="540">
        <f t="shared" si="288"/>
        <v>0.3733490454157844</v>
      </c>
      <c r="AO223" s="540">
        <f t="shared" si="288"/>
        <v>0.3733490454157844</v>
      </c>
      <c r="AP223" s="540">
        <f t="shared" si="288"/>
        <v>0.37923990019552439</v>
      </c>
      <c r="AQ223" s="540">
        <f t="shared" si="288"/>
        <v>0.37923990019552439</v>
      </c>
      <c r="AR223" s="540">
        <f t="shared" si="288"/>
        <v>0.37923990019552439</v>
      </c>
      <c r="AS223" s="540">
        <f t="shared" si="288"/>
        <v>0.37923990019552439</v>
      </c>
      <c r="AT223" s="540">
        <f t="shared" si="288"/>
        <v>0.37923990019552439</v>
      </c>
      <c r="AU223" s="540">
        <f t="shared" si="288"/>
        <v>0.37923990019552439</v>
      </c>
      <c r="AV223" s="540">
        <f t="shared" si="288"/>
        <v>0.37923990019552439</v>
      </c>
      <c r="AW223" s="540">
        <f t="shared" si="288"/>
        <v>0.37923990019552439</v>
      </c>
      <c r="AX223" s="540">
        <f t="shared" ref="AX223:BY223" si="289">IFERROR(AX581/AX576,0)</f>
        <v>0.37923990019552439</v>
      </c>
      <c r="AY223" s="540">
        <f t="shared" si="289"/>
        <v>0.37923990019552439</v>
      </c>
      <c r="AZ223" s="540">
        <f t="shared" si="289"/>
        <v>0.37923990019552439</v>
      </c>
      <c r="BA223" s="540">
        <f t="shared" si="289"/>
        <v>0.37923990019552439</v>
      </c>
      <c r="BB223" s="540">
        <f t="shared" si="289"/>
        <v>0.38463670948299211</v>
      </c>
      <c r="BC223" s="540">
        <f t="shared" si="289"/>
        <v>0.38463670948299211</v>
      </c>
      <c r="BD223" s="540">
        <f t="shared" si="289"/>
        <v>0.38463670948299211</v>
      </c>
      <c r="BE223" s="540">
        <f t="shared" si="289"/>
        <v>0.38463670948299211</v>
      </c>
      <c r="BF223" s="540">
        <f t="shared" si="289"/>
        <v>0.38463670948299211</v>
      </c>
      <c r="BG223" s="540">
        <f t="shared" si="289"/>
        <v>0.38463670948299211</v>
      </c>
      <c r="BH223" s="540">
        <f t="shared" si="289"/>
        <v>0.38463670948299211</v>
      </c>
      <c r="BI223" s="540">
        <f t="shared" si="289"/>
        <v>0.38463670948299211</v>
      </c>
      <c r="BJ223" s="540">
        <f t="shared" si="289"/>
        <v>0.38463670948299211</v>
      </c>
      <c r="BK223" s="540">
        <f t="shared" si="289"/>
        <v>0.38463670948299211</v>
      </c>
      <c r="BL223" s="540">
        <f t="shared" si="289"/>
        <v>0.38463670948299211</v>
      </c>
      <c r="BM223" s="540">
        <f t="shared" si="289"/>
        <v>0.38463670948299211</v>
      </c>
      <c r="BN223" s="540">
        <f t="shared" si="289"/>
        <v>0.38990683237450618</v>
      </c>
      <c r="BO223" s="540">
        <f t="shared" si="289"/>
        <v>0.38990683237450618</v>
      </c>
      <c r="BP223" s="540">
        <f t="shared" si="289"/>
        <v>0.38990683237450618</v>
      </c>
      <c r="BQ223" s="540">
        <f t="shared" si="289"/>
        <v>0.38990683237450618</v>
      </c>
      <c r="BR223" s="540">
        <f t="shared" si="289"/>
        <v>0.38990683237450618</v>
      </c>
      <c r="BS223" s="540">
        <f t="shared" si="289"/>
        <v>0.38990683237450618</v>
      </c>
      <c r="BT223" s="540">
        <f t="shared" si="289"/>
        <v>0.38990683237450618</v>
      </c>
      <c r="BU223" s="540">
        <f t="shared" si="289"/>
        <v>0.38990683237450618</v>
      </c>
      <c r="BV223" s="540">
        <f t="shared" si="289"/>
        <v>0.38990683237450618</v>
      </c>
      <c r="BW223" s="540">
        <f t="shared" si="289"/>
        <v>0.38990683237450618</v>
      </c>
      <c r="BX223" s="540">
        <f t="shared" si="289"/>
        <v>0.38990683237450618</v>
      </c>
      <c r="BY223" s="540">
        <f t="shared" si="289"/>
        <v>0.38990683237450618</v>
      </c>
    </row>
    <row r="224" spans="1:77" x14ac:dyDescent="0.3">
      <c r="A224" s="3"/>
      <c r="B224" s="2"/>
      <c r="C224" s="2"/>
      <c r="D224" s="2"/>
      <c r="E224" s="2" t="s">
        <v>99</v>
      </c>
      <c r="F224" s="2"/>
      <c r="G224" s="2"/>
      <c r="H224" s="2"/>
      <c r="I224" s="2"/>
      <c r="J224" s="2"/>
      <c r="K224" s="2"/>
      <c r="L224" s="2"/>
      <c r="M224" s="2"/>
      <c r="N224" s="2"/>
      <c r="O224" s="2"/>
      <c r="P224" s="10"/>
      <c r="Q224" s="2"/>
      <c r="R224" s="516">
        <f t="shared" ref="R224:AW224" si="290">IFERROR(R590/R585,0)</f>
        <v>0.34988083366033002</v>
      </c>
      <c r="S224" s="516">
        <f t="shared" si="290"/>
        <v>0.34988083366033002</v>
      </c>
      <c r="T224" s="516">
        <f t="shared" si="290"/>
        <v>0.34988083366033002</v>
      </c>
      <c r="U224" s="516">
        <f t="shared" si="290"/>
        <v>0.34988083366033002</v>
      </c>
      <c r="V224" s="516">
        <f t="shared" si="290"/>
        <v>0.34988083366033002</v>
      </c>
      <c r="W224" s="516">
        <f t="shared" si="290"/>
        <v>0.34988083366033002</v>
      </c>
      <c r="X224" s="516">
        <f t="shared" si="290"/>
        <v>0.34988083366033002</v>
      </c>
      <c r="Y224" s="516">
        <f t="shared" si="290"/>
        <v>0.34988083366033002</v>
      </c>
      <c r="Z224" s="516">
        <f t="shared" si="290"/>
        <v>0.34988083366033002</v>
      </c>
      <c r="AA224" s="516">
        <f t="shared" si="290"/>
        <v>0.34988083366033002</v>
      </c>
      <c r="AB224" s="516">
        <f t="shared" si="290"/>
        <v>0.34988083366033002</v>
      </c>
      <c r="AC224" s="516">
        <f t="shared" si="290"/>
        <v>0.34988083366033002</v>
      </c>
      <c r="AD224" s="516">
        <f t="shared" si="290"/>
        <v>0.34988083366033002</v>
      </c>
      <c r="AE224" s="516">
        <f t="shared" si="290"/>
        <v>0.34988083366033002</v>
      </c>
      <c r="AF224" s="516">
        <f t="shared" si="290"/>
        <v>0.34988083366033002</v>
      </c>
      <c r="AG224" s="516">
        <f t="shared" si="290"/>
        <v>0.34988083366033002</v>
      </c>
      <c r="AH224" s="516">
        <f t="shared" si="290"/>
        <v>0.34988083366033002</v>
      </c>
      <c r="AI224" s="516">
        <f t="shared" si="290"/>
        <v>0.34988083366033002</v>
      </c>
      <c r="AJ224" s="516">
        <f t="shared" si="290"/>
        <v>0.34988083366033002</v>
      </c>
      <c r="AK224" s="516">
        <f t="shared" si="290"/>
        <v>0.34988083366033002</v>
      </c>
      <c r="AL224" s="516">
        <f t="shared" si="290"/>
        <v>0.34988083366033002</v>
      </c>
      <c r="AM224" s="516">
        <f t="shared" si="290"/>
        <v>0.34988083366033002</v>
      </c>
      <c r="AN224" s="540">
        <f t="shared" si="290"/>
        <v>0.34988083366033002</v>
      </c>
      <c r="AO224" s="540">
        <f t="shared" si="290"/>
        <v>0.34988083366033002</v>
      </c>
      <c r="AP224" s="540">
        <f t="shared" si="290"/>
        <v>0.34988083366033002</v>
      </c>
      <c r="AQ224" s="540">
        <f t="shared" si="290"/>
        <v>0.34988083366033002</v>
      </c>
      <c r="AR224" s="540">
        <f t="shared" si="290"/>
        <v>0.34988083366033002</v>
      </c>
      <c r="AS224" s="540">
        <f t="shared" si="290"/>
        <v>0.34988083366033002</v>
      </c>
      <c r="AT224" s="540">
        <f t="shared" si="290"/>
        <v>0.34988083366033002</v>
      </c>
      <c r="AU224" s="540">
        <f t="shared" si="290"/>
        <v>0.34988083366033002</v>
      </c>
      <c r="AV224" s="540">
        <f t="shared" si="290"/>
        <v>0.34988083366033002</v>
      </c>
      <c r="AW224" s="540">
        <f t="shared" si="290"/>
        <v>0.34988083366033002</v>
      </c>
      <c r="AX224" s="540">
        <f t="shared" ref="AX224:BY224" si="291">IFERROR(AX590/AX585,0)</f>
        <v>0.34988083366033002</v>
      </c>
      <c r="AY224" s="540">
        <f t="shared" si="291"/>
        <v>0.34988083366033002</v>
      </c>
      <c r="AZ224" s="540">
        <f t="shared" si="291"/>
        <v>0.34988083366033002</v>
      </c>
      <c r="BA224" s="540">
        <f t="shared" si="291"/>
        <v>0.34988083366033002</v>
      </c>
      <c r="BB224" s="540">
        <f t="shared" si="291"/>
        <v>0.34988083366033002</v>
      </c>
      <c r="BC224" s="540">
        <f t="shared" si="291"/>
        <v>0.34988083366033002</v>
      </c>
      <c r="BD224" s="540">
        <f t="shared" si="291"/>
        <v>0.34988083366033002</v>
      </c>
      <c r="BE224" s="540">
        <f t="shared" si="291"/>
        <v>0.34988083366033002</v>
      </c>
      <c r="BF224" s="540">
        <f t="shared" si="291"/>
        <v>0.34988083366033002</v>
      </c>
      <c r="BG224" s="540">
        <f t="shared" si="291"/>
        <v>0.34988083366033002</v>
      </c>
      <c r="BH224" s="540">
        <f t="shared" si="291"/>
        <v>0.34988083366033002</v>
      </c>
      <c r="BI224" s="540">
        <f t="shared" si="291"/>
        <v>0.34988083366033002</v>
      </c>
      <c r="BJ224" s="540">
        <f t="shared" si="291"/>
        <v>0.34988083366033002</v>
      </c>
      <c r="BK224" s="540">
        <f t="shared" si="291"/>
        <v>0.34988083366033002</v>
      </c>
      <c r="BL224" s="540">
        <f t="shared" si="291"/>
        <v>0.34988083366033002</v>
      </c>
      <c r="BM224" s="540">
        <f t="shared" si="291"/>
        <v>0.34988083366033002</v>
      </c>
      <c r="BN224" s="540">
        <f t="shared" si="291"/>
        <v>0.34988083366033002</v>
      </c>
      <c r="BO224" s="540">
        <f t="shared" si="291"/>
        <v>0.34988083366033002</v>
      </c>
      <c r="BP224" s="540">
        <f t="shared" si="291"/>
        <v>0.34988083366033002</v>
      </c>
      <c r="BQ224" s="540">
        <f t="shared" si="291"/>
        <v>0.34988083366033002</v>
      </c>
      <c r="BR224" s="540">
        <f t="shared" si="291"/>
        <v>0.34988083366033002</v>
      </c>
      <c r="BS224" s="540">
        <f t="shared" si="291"/>
        <v>0.34988083366033002</v>
      </c>
      <c r="BT224" s="540">
        <f t="shared" si="291"/>
        <v>0.34988083366033002</v>
      </c>
      <c r="BU224" s="540">
        <f t="shared" si="291"/>
        <v>0.34988083366033002</v>
      </c>
      <c r="BV224" s="540">
        <f t="shared" si="291"/>
        <v>0.34988083366033002</v>
      </c>
      <c r="BW224" s="540">
        <f t="shared" si="291"/>
        <v>0.34988083366033002</v>
      </c>
      <c r="BX224" s="540">
        <f t="shared" si="291"/>
        <v>0.34988083366033002</v>
      </c>
      <c r="BY224" s="540">
        <f t="shared" si="291"/>
        <v>0.34988083366033002</v>
      </c>
    </row>
    <row r="225" spans="1:77" x14ac:dyDescent="0.3">
      <c r="C225" s="2"/>
      <c r="D225" s="2"/>
      <c r="E225" s="2"/>
      <c r="F225" s="2"/>
      <c r="G225" s="2"/>
      <c r="H225" s="2"/>
      <c r="I225" s="2"/>
      <c r="J225" s="2"/>
      <c r="K225" s="2"/>
      <c r="L225" s="2"/>
      <c r="M225" s="2"/>
      <c r="N225" s="2"/>
      <c r="O225" s="2"/>
      <c r="P225" s="10"/>
      <c r="Q225" s="2"/>
      <c r="R225" s="2"/>
      <c r="S225" s="2"/>
      <c r="T225" s="2"/>
      <c r="U225" s="2"/>
      <c r="V225" s="2"/>
      <c r="W225" s="2"/>
      <c r="X225" s="2"/>
      <c r="Y225" s="2"/>
      <c r="Z225" s="2"/>
      <c r="AA225" s="2"/>
      <c r="AB225" s="2"/>
      <c r="AC225" s="2"/>
      <c r="AD225" s="2"/>
      <c r="AE225" s="2"/>
      <c r="AF225" s="2"/>
      <c r="AG225" s="2"/>
      <c r="AH225" s="2"/>
      <c r="AI225" s="2"/>
      <c r="AJ225" s="2"/>
      <c r="AK225" s="2"/>
      <c r="AL225" s="2"/>
      <c r="AM225" s="2"/>
      <c r="AN225" s="525"/>
      <c r="AO225" s="525"/>
      <c r="AP225" s="525"/>
      <c r="AQ225" s="525"/>
      <c r="AR225" s="525"/>
      <c r="AS225" s="525"/>
      <c r="AT225" s="525"/>
      <c r="AU225" s="525"/>
      <c r="AV225" s="525"/>
      <c r="AW225" s="525"/>
      <c r="AX225" s="525"/>
      <c r="AY225" s="525"/>
      <c r="AZ225" s="525"/>
      <c r="BA225" s="525"/>
      <c r="BB225" s="525"/>
      <c r="BC225" s="525"/>
      <c r="BD225" s="525"/>
      <c r="BE225" s="525"/>
      <c r="BF225" s="525"/>
      <c r="BG225" s="525"/>
      <c r="BH225" s="525"/>
      <c r="BI225" s="525"/>
      <c r="BJ225" s="525"/>
      <c r="BK225" s="525"/>
      <c r="BL225" s="525"/>
      <c r="BM225" s="525"/>
      <c r="BN225" s="525"/>
      <c r="BO225" s="525"/>
      <c r="BP225" s="525"/>
      <c r="BQ225" s="525"/>
      <c r="BR225" s="525"/>
      <c r="BS225" s="525"/>
      <c r="BT225" s="525"/>
      <c r="BU225" s="525"/>
      <c r="BV225" s="525"/>
      <c r="BW225" s="525"/>
      <c r="BX225" s="525"/>
      <c r="BY225" s="525"/>
    </row>
    <row r="226" spans="1:77" x14ac:dyDescent="0.3">
      <c r="C226" s="2"/>
      <c r="D226" s="2"/>
      <c r="E226" s="108" t="s">
        <v>100</v>
      </c>
      <c r="F226" s="109"/>
      <c r="G226" s="109"/>
      <c r="H226" s="109"/>
      <c r="I226" s="109"/>
      <c r="J226" s="109"/>
      <c r="K226" s="109"/>
      <c r="L226" s="109"/>
      <c r="M226" s="109"/>
      <c r="N226" s="109"/>
      <c r="O226" s="109"/>
      <c r="P226" s="110"/>
      <c r="Q226" s="109"/>
      <c r="R226" s="109"/>
      <c r="S226" s="109"/>
      <c r="T226" s="109"/>
      <c r="U226" s="109"/>
      <c r="V226" s="109"/>
      <c r="W226" s="109"/>
      <c r="X226" s="109"/>
      <c r="Y226" s="109"/>
      <c r="Z226" s="109"/>
      <c r="AA226" s="109"/>
      <c r="AB226" s="109"/>
      <c r="AC226" s="109"/>
      <c r="AD226" s="109"/>
      <c r="AE226" s="109"/>
      <c r="AF226" s="109"/>
      <c r="AG226" s="109"/>
      <c r="AH226" s="109"/>
      <c r="AI226" s="109"/>
      <c r="AJ226" s="109"/>
      <c r="AK226" s="109"/>
      <c r="AL226" s="109"/>
      <c r="AM226" s="109"/>
      <c r="AN226" s="539"/>
      <c r="AO226" s="539"/>
      <c r="AP226" s="539"/>
      <c r="AQ226" s="539"/>
      <c r="AR226" s="539"/>
      <c r="AS226" s="539"/>
      <c r="AT226" s="539"/>
      <c r="AU226" s="539"/>
      <c r="AV226" s="539"/>
      <c r="AW226" s="539"/>
      <c r="AX226" s="539"/>
      <c r="AY226" s="539"/>
      <c r="AZ226" s="539"/>
      <c r="BA226" s="539"/>
      <c r="BB226" s="539"/>
      <c r="BC226" s="539"/>
      <c r="BD226" s="539"/>
      <c r="BE226" s="539"/>
      <c r="BF226" s="539"/>
      <c r="BG226" s="539"/>
      <c r="BH226" s="539"/>
      <c r="BI226" s="539"/>
      <c r="BJ226" s="539"/>
      <c r="BK226" s="539"/>
      <c r="BL226" s="539"/>
      <c r="BM226" s="539"/>
      <c r="BN226" s="539"/>
      <c r="BO226" s="539"/>
      <c r="BP226" s="539"/>
      <c r="BQ226" s="539"/>
      <c r="BR226" s="539"/>
      <c r="BS226" s="539"/>
      <c r="BT226" s="539"/>
      <c r="BU226" s="539"/>
      <c r="BV226" s="539"/>
      <c r="BW226" s="539"/>
      <c r="BX226" s="539"/>
      <c r="BY226" s="539"/>
    </row>
    <row r="227" spans="1:77" x14ac:dyDescent="0.3">
      <c r="C227" s="2"/>
      <c r="D227" s="2"/>
      <c r="E227" s="2"/>
      <c r="F227" s="2"/>
      <c r="G227" s="2"/>
      <c r="H227" s="2"/>
      <c r="I227" s="2"/>
      <c r="J227" s="2"/>
      <c r="K227" s="2"/>
      <c r="L227" s="2"/>
      <c r="M227" s="2"/>
      <c r="N227" s="2"/>
      <c r="O227" s="2"/>
      <c r="P227" s="10"/>
      <c r="Q227" s="2"/>
      <c r="R227" s="2"/>
      <c r="S227" s="2"/>
      <c r="T227" s="2"/>
      <c r="U227" s="2"/>
      <c r="V227" s="2"/>
      <c r="W227" s="2"/>
      <c r="X227" s="2"/>
      <c r="Y227" s="2"/>
      <c r="Z227" s="2"/>
      <c r="AA227" s="2"/>
      <c r="AB227" s="2"/>
      <c r="AC227" s="2"/>
      <c r="AD227" s="2"/>
      <c r="AE227" s="2"/>
      <c r="AF227" s="2"/>
      <c r="AG227" s="2"/>
      <c r="AH227" s="2"/>
      <c r="AI227" s="2"/>
      <c r="AJ227" s="2"/>
      <c r="AK227" s="2"/>
      <c r="AL227" s="2"/>
      <c r="AM227" s="2"/>
      <c r="AN227" s="525"/>
      <c r="AO227" s="525"/>
      <c r="AP227" s="525"/>
      <c r="AQ227" s="525"/>
      <c r="AR227" s="525"/>
      <c r="AS227" s="525"/>
      <c r="AT227" s="525"/>
      <c r="AU227" s="525"/>
      <c r="AV227" s="525"/>
      <c r="AW227" s="525"/>
      <c r="AX227" s="525"/>
      <c r="AY227" s="525"/>
      <c r="AZ227" s="525"/>
      <c r="BA227" s="525"/>
      <c r="BB227" s="525"/>
      <c r="BC227" s="525"/>
      <c r="BD227" s="525"/>
      <c r="BE227" s="525"/>
      <c r="BF227" s="525"/>
      <c r="BG227" s="525"/>
      <c r="BH227" s="525"/>
      <c r="BI227" s="525"/>
      <c r="BJ227" s="525"/>
      <c r="BK227" s="525"/>
      <c r="BL227" s="525"/>
      <c r="BM227" s="525"/>
      <c r="BN227" s="525"/>
      <c r="BO227" s="525"/>
      <c r="BP227" s="525"/>
      <c r="BQ227" s="525"/>
      <c r="BR227" s="525"/>
      <c r="BS227" s="525"/>
      <c r="BT227" s="525"/>
      <c r="BU227" s="525"/>
      <c r="BV227" s="525"/>
      <c r="BW227" s="525"/>
      <c r="BX227" s="525"/>
      <c r="BY227" s="525"/>
    </row>
    <row r="228" spans="1:77" x14ac:dyDescent="0.3">
      <c r="A228" s="3"/>
      <c r="B228" s="2"/>
      <c r="C228" s="2"/>
      <c r="D228" s="2"/>
      <c r="E228" s="2" t="s">
        <v>101</v>
      </c>
      <c r="F228" s="2"/>
      <c r="G228" s="2"/>
      <c r="H228" s="2"/>
      <c r="I228" s="2"/>
      <c r="J228" s="2"/>
      <c r="K228" s="2"/>
      <c r="L228" s="2"/>
      <c r="M228" s="2"/>
      <c r="N228" s="2"/>
      <c r="O228" s="2"/>
      <c r="P228" s="10"/>
      <c r="Q228" s="2"/>
      <c r="R228" s="516">
        <f t="shared" ref="R228:AW228" si="292">IFERROR(R577/SUM(R577,R578,R580),0)</f>
        <v>0.44243066057446484</v>
      </c>
      <c r="S228" s="517">
        <f t="shared" si="292"/>
        <v>0.44243066057446484</v>
      </c>
      <c r="T228" s="517">
        <f t="shared" si="292"/>
        <v>0.44243066057446484</v>
      </c>
      <c r="U228" s="517">
        <f t="shared" si="292"/>
        <v>0.44243066057446484</v>
      </c>
      <c r="V228" s="516">
        <f t="shared" si="292"/>
        <v>0.44243066057446484</v>
      </c>
      <c r="W228" s="517">
        <f t="shared" si="292"/>
        <v>0.44243066057446484</v>
      </c>
      <c r="X228" s="517">
        <f t="shared" si="292"/>
        <v>0.44243066057446484</v>
      </c>
      <c r="Y228" s="517">
        <f t="shared" si="292"/>
        <v>0.44243066057446484</v>
      </c>
      <c r="Z228" s="517">
        <f t="shared" si="292"/>
        <v>0.44243066057446484</v>
      </c>
      <c r="AA228" s="517">
        <f t="shared" si="292"/>
        <v>0.44243066057446484</v>
      </c>
      <c r="AB228" s="517">
        <f t="shared" si="292"/>
        <v>0.44243066057446484</v>
      </c>
      <c r="AC228" s="517">
        <f t="shared" si="292"/>
        <v>0.44243066057446484</v>
      </c>
      <c r="AD228" s="517">
        <f t="shared" si="292"/>
        <v>0.43499417878865448</v>
      </c>
      <c r="AE228" s="517">
        <f t="shared" si="292"/>
        <v>0.43499417878865448</v>
      </c>
      <c r="AF228" s="517">
        <f t="shared" si="292"/>
        <v>0.43499417878865448</v>
      </c>
      <c r="AG228" s="517">
        <f t="shared" si="292"/>
        <v>0.43499417878865448</v>
      </c>
      <c r="AH228" s="517">
        <f t="shared" si="292"/>
        <v>0.43499417878865448</v>
      </c>
      <c r="AI228" s="517">
        <f t="shared" si="292"/>
        <v>0.43499417878865448</v>
      </c>
      <c r="AJ228" s="517">
        <f t="shared" si="292"/>
        <v>0.43499417878865448</v>
      </c>
      <c r="AK228" s="517">
        <f t="shared" si="292"/>
        <v>0.43499417878865448</v>
      </c>
      <c r="AL228" s="517">
        <f t="shared" si="292"/>
        <v>0.43499417878865448</v>
      </c>
      <c r="AM228" s="517">
        <f t="shared" si="292"/>
        <v>0.43499417878865448</v>
      </c>
      <c r="AN228" s="540">
        <f t="shared" si="292"/>
        <v>0.43499417878865448</v>
      </c>
      <c r="AO228" s="540">
        <f t="shared" si="292"/>
        <v>0.43499417878865448</v>
      </c>
      <c r="AP228" s="540">
        <f t="shared" si="292"/>
        <v>0.42793796908775522</v>
      </c>
      <c r="AQ228" s="540">
        <f t="shared" si="292"/>
        <v>0.42793796908775522</v>
      </c>
      <c r="AR228" s="540">
        <f t="shared" si="292"/>
        <v>0.42793796908775522</v>
      </c>
      <c r="AS228" s="540">
        <f t="shared" si="292"/>
        <v>0.42793796908775522</v>
      </c>
      <c r="AT228" s="540">
        <f t="shared" si="292"/>
        <v>0.42793796908775522</v>
      </c>
      <c r="AU228" s="540">
        <f t="shared" si="292"/>
        <v>0.42793796908775522</v>
      </c>
      <c r="AV228" s="540">
        <f t="shared" si="292"/>
        <v>0.42793796908775522</v>
      </c>
      <c r="AW228" s="540">
        <f t="shared" si="292"/>
        <v>0.42793796908775522</v>
      </c>
      <c r="AX228" s="540">
        <f t="shared" ref="AX228:BY228" si="293">IFERROR(AX577/SUM(AX577,AX578,AX580),0)</f>
        <v>0.42793796908775522</v>
      </c>
      <c r="AY228" s="540">
        <f t="shared" si="293"/>
        <v>0.42793796908775522</v>
      </c>
      <c r="AZ228" s="540">
        <f t="shared" si="293"/>
        <v>0.42793796908775522</v>
      </c>
      <c r="BA228" s="540">
        <f t="shared" si="293"/>
        <v>0.42793796908775522</v>
      </c>
      <c r="BB228" s="540">
        <f t="shared" si="293"/>
        <v>0.42128992640926649</v>
      </c>
      <c r="BC228" s="540">
        <f t="shared" si="293"/>
        <v>0.42128992640926649</v>
      </c>
      <c r="BD228" s="540">
        <f t="shared" si="293"/>
        <v>0.42128992640926649</v>
      </c>
      <c r="BE228" s="540">
        <f t="shared" si="293"/>
        <v>0.42128992640926649</v>
      </c>
      <c r="BF228" s="540">
        <f t="shared" si="293"/>
        <v>0.42128992640926649</v>
      </c>
      <c r="BG228" s="540">
        <f t="shared" si="293"/>
        <v>0.42128992640926649</v>
      </c>
      <c r="BH228" s="540">
        <f t="shared" si="293"/>
        <v>0.42128992640926649</v>
      </c>
      <c r="BI228" s="540">
        <f t="shared" si="293"/>
        <v>0.42128992640926649</v>
      </c>
      <c r="BJ228" s="540">
        <f t="shared" si="293"/>
        <v>0.42128992640926649</v>
      </c>
      <c r="BK228" s="540">
        <f t="shared" si="293"/>
        <v>0.42128992640926649</v>
      </c>
      <c r="BL228" s="540">
        <f t="shared" si="293"/>
        <v>0.42128992640926649</v>
      </c>
      <c r="BM228" s="540">
        <f t="shared" si="293"/>
        <v>0.42128992640926649</v>
      </c>
      <c r="BN228" s="540">
        <f t="shared" si="293"/>
        <v>0.41472218710392822</v>
      </c>
      <c r="BO228" s="540">
        <f t="shared" si="293"/>
        <v>0.41472218710392822</v>
      </c>
      <c r="BP228" s="540">
        <f t="shared" si="293"/>
        <v>0.41472218710392822</v>
      </c>
      <c r="BQ228" s="540">
        <f t="shared" si="293"/>
        <v>0.41472218710392822</v>
      </c>
      <c r="BR228" s="540">
        <f t="shared" si="293"/>
        <v>0.41472218710392822</v>
      </c>
      <c r="BS228" s="540">
        <f t="shared" si="293"/>
        <v>0.41472218710392822</v>
      </c>
      <c r="BT228" s="540">
        <f t="shared" si="293"/>
        <v>0.41472218710392822</v>
      </c>
      <c r="BU228" s="540">
        <f t="shared" si="293"/>
        <v>0.41472218710392822</v>
      </c>
      <c r="BV228" s="540">
        <f t="shared" si="293"/>
        <v>0.41472218710392822</v>
      </c>
      <c r="BW228" s="540">
        <f t="shared" si="293"/>
        <v>0.41472218710392822</v>
      </c>
      <c r="BX228" s="540">
        <f t="shared" si="293"/>
        <v>0.41472218710392822</v>
      </c>
      <c r="BY228" s="540">
        <f t="shared" si="293"/>
        <v>0.41472218710392822</v>
      </c>
    </row>
    <row r="229" spans="1:77" x14ac:dyDescent="0.3">
      <c r="A229" s="3"/>
      <c r="B229" s="2"/>
      <c r="C229" s="2"/>
      <c r="D229" s="2"/>
      <c r="E229" s="2" t="s">
        <v>102</v>
      </c>
      <c r="F229" s="2"/>
      <c r="G229" s="2"/>
      <c r="H229" s="2"/>
      <c r="I229" s="2"/>
      <c r="J229" s="2"/>
      <c r="K229" s="2"/>
      <c r="L229" s="2"/>
      <c r="M229" s="2"/>
      <c r="N229" s="2"/>
      <c r="O229" s="2"/>
      <c r="P229" s="10"/>
      <c r="Q229" s="2"/>
      <c r="R229" s="517">
        <f t="shared" ref="R229:AW229" si="294">IFERROR(R578/SUM(R577,R578,R580),0)</f>
        <v>8.75635198031533E-2</v>
      </c>
      <c r="S229" s="517">
        <f t="shared" si="294"/>
        <v>8.75635198031533E-2</v>
      </c>
      <c r="T229" s="517">
        <f t="shared" si="294"/>
        <v>8.75635198031533E-2</v>
      </c>
      <c r="U229" s="517">
        <f t="shared" si="294"/>
        <v>8.75635198031533E-2</v>
      </c>
      <c r="V229" s="516">
        <f t="shared" si="294"/>
        <v>8.75635198031533E-2</v>
      </c>
      <c r="W229" s="517">
        <f t="shared" si="294"/>
        <v>8.75635198031533E-2</v>
      </c>
      <c r="X229" s="517">
        <f t="shared" si="294"/>
        <v>8.75635198031533E-2</v>
      </c>
      <c r="Y229" s="517">
        <f t="shared" si="294"/>
        <v>8.75635198031533E-2</v>
      </c>
      <c r="Z229" s="517">
        <f t="shared" si="294"/>
        <v>8.75635198031533E-2</v>
      </c>
      <c r="AA229" s="517">
        <f t="shared" si="294"/>
        <v>8.75635198031533E-2</v>
      </c>
      <c r="AB229" s="517">
        <f t="shared" si="294"/>
        <v>8.75635198031533E-2</v>
      </c>
      <c r="AC229" s="517">
        <f t="shared" si="294"/>
        <v>8.75635198031533E-2</v>
      </c>
      <c r="AD229" s="517">
        <f t="shared" si="294"/>
        <v>8.7064027871194175E-2</v>
      </c>
      <c r="AE229" s="517">
        <f t="shared" si="294"/>
        <v>8.7064027871194175E-2</v>
      </c>
      <c r="AF229" s="517">
        <f t="shared" si="294"/>
        <v>8.7064027871194175E-2</v>
      </c>
      <c r="AG229" s="517">
        <f t="shared" si="294"/>
        <v>8.7064027871194175E-2</v>
      </c>
      <c r="AH229" s="517">
        <f t="shared" si="294"/>
        <v>8.7064027871194175E-2</v>
      </c>
      <c r="AI229" s="517">
        <f t="shared" si="294"/>
        <v>8.7064027871194175E-2</v>
      </c>
      <c r="AJ229" s="517">
        <f t="shared" si="294"/>
        <v>8.7064027871194175E-2</v>
      </c>
      <c r="AK229" s="517">
        <f t="shared" si="294"/>
        <v>8.7064027871194175E-2</v>
      </c>
      <c r="AL229" s="517">
        <f t="shared" si="294"/>
        <v>8.7064027871194175E-2</v>
      </c>
      <c r="AM229" s="517">
        <f t="shared" si="294"/>
        <v>8.7064027871194175E-2</v>
      </c>
      <c r="AN229" s="540">
        <f t="shared" si="294"/>
        <v>8.7064027871194175E-2</v>
      </c>
      <c r="AO229" s="540">
        <f t="shared" si="294"/>
        <v>8.7064027871194175E-2</v>
      </c>
      <c r="AP229" s="540">
        <f t="shared" si="294"/>
        <v>8.6610706963579864E-2</v>
      </c>
      <c r="AQ229" s="540">
        <f t="shared" si="294"/>
        <v>8.6610706963579864E-2</v>
      </c>
      <c r="AR229" s="540">
        <f t="shared" si="294"/>
        <v>8.6610706963579864E-2</v>
      </c>
      <c r="AS229" s="540">
        <f t="shared" si="294"/>
        <v>8.6610706963579864E-2</v>
      </c>
      <c r="AT229" s="540">
        <f t="shared" si="294"/>
        <v>8.6610706963579864E-2</v>
      </c>
      <c r="AU229" s="540">
        <f t="shared" si="294"/>
        <v>8.6610706963579864E-2</v>
      </c>
      <c r="AV229" s="540">
        <f t="shared" si="294"/>
        <v>8.6610706963579864E-2</v>
      </c>
      <c r="AW229" s="540">
        <f t="shared" si="294"/>
        <v>8.6610706963579864E-2</v>
      </c>
      <c r="AX229" s="540">
        <f t="shared" ref="AX229:BY229" si="295">IFERROR(AX578/SUM(AX577,AX578,AX580),0)</f>
        <v>8.6610706963579864E-2</v>
      </c>
      <c r="AY229" s="540">
        <f t="shared" si="295"/>
        <v>8.6610706963579864E-2</v>
      </c>
      <c r="AZ229" s="540">
        <f t="shared" si="295"/>
        <v>8.6610706963579864E-2</v>
      </c>
      <c r="BA229" s="540">
        <f t="shared" si="295"/>
        <v>8.6610706963579864E-2</v>
      </c>
      <c r="BB229" s="540">
        <f t="shared" si="295"/>
        <v>8.621152406057081E-2</v>
      </c>
      <c r="BC229" s="540">
        <f t="shared" si="295"/>
        <v>8.621152406057081E-2</v>
      </c>
      <c r="BD229" s="540">
        <f t="shared" si="295"/>
        <v>8.621152406057081E-2</v>
      </c>
      <c r="BE229" s="540">
        <f t="shared" si="295"/>
        <v>8.621152406057081E-2</v>
      </c>
      <c r="BF229" s="540">
        <f t="shared" si="295"/>
        <v>8.621152406057081E-2</v>
      </c>
      <c r="BG229" s="540">
        <f t="shared" si="295"/>
        <v>8.621152406057081E-2</v>
      </c>
      <c r="BH229" s="540">
        <f t="shared" si="295"/>
        <v>8.621152406057081E-2</v>
      </c>
      <c r="BI229" s="540">
        <f t="shared" si="295"/>
        <v>8.621152406057081E-2</v>
      </c>
      <c r="BJ229" s="540">
        <f t="shared" si="295"/>
        <v>8.621152406057081E-2</v>
      </c>
      <c r="BK229" s="540">
        <f t="shared" si="295"/>
        <v>8.621152406057081E-2</v>
      </c>
      <c r="BL229" s="540">
        <f t="shared" si="295"/>
        <v>8.621152406057081E-2</v>
      </c>
      <c r="BM229" s="540">
        <f t="shared" si="295"/>
        <v>8.621152406057081E-2</v>
      </c>
      <c r="BN229" s="540">
        <f t="shared" si="295"/>
        <v>8.5801117017386852E-2</v>
      </c>
      <c r="BO229" s="540">
        <f t="shared" si="295"/>
        <v>8.5801117017386852E-2</v>
      </c>
      <c r="BP229" s="540">
        <f t="shared" si="295"/>
        <v>8.5801117017386852E-2</v>
      </c>
      <c r="BQ229" s="540">
        <f t="shared" si="295"/>
        <v>8.5801117017386852E-2</v>
      </c>
      <c r="BR229" s="540">
        <f t="shared" si="295"/>
        <v>8.5801117017386852E-2</v>
      </c>
      <c r="BS229" s="540">
        <f t="shared" si="295"/>
        <v>8.5801117017386852E-2</v>
      </c>
      <c r="BT229" s="540">
        <f t="shared" si="295"/>
        <v>8.5801117017386852E-2</v>
      </c>
      <c r="BU229" s="540">
        <f t="shared" si="295"/>
        <v>8.5801117017386852E-2</v>
      </c>
      <c r="BV229" s="540">
        <f t="shared" si="295"/>
        <v>8.5801117017386852E-2</v>
      </c>
      <c r="BW229" s="540">
        <f t="shared" si="295"/>
        <v>8.5801117017386852E-2</v>
      </c>
      <c r="BX229" s="540">
        <f t="shared" si="295"/>
        <v>8.5801117017386852E-2</v>
      </c>
      <c r="BY229" s="540">
        <f t="shared" si="295"/>
        <v>8.5801117017386852E-2</v>
      </c>
    </row>
    <row r="230" spans="1:77" x14ac:dyDescent="0.3">
      <c r="A230" s="3"/>
      <c r="B230" s="2"/>
      <c r="C230" s="2"/>
      <c r="D230" s="2"/>
      <c r="E230" s="2" t="s">
        <v>103</v>
      </c>
      <c r="F230" s="2"/>
      <c r="G230" s="2"/>
      <c r="H230" s="2"/>
      <c r="I230" s="2"/>
      <c r="J230" s="2"/>
      <c r="K230" s="2"/>
      <c r="L230" s="2"/>
      <c r="M230" s="2"/>
      <c r="N230" s="2"/>
      <c r="O230" s="2"/>
      <c r="P230" s="10"/>
      <c r="Q230" s="2"/>
      <c r="R230" s="517">
        <f t="shared" ref="R230:AW230" si="296">IFERROR(R580/SUM(R577,R578,R580),0)</f>
        <v>0.47000581962238192</v>
      </c>
      <c r="S230" s="517">
        <f t="shared" si="296"/>
        <v>0.47000581962238192</v>
      </c>
      <c r="T230" s="517">
        <f t="shared" si="296"/>
        <v>0.47000581962238192</v>
      </c>
      <c r="U230" s="517">
        <f t="shared" si="296"/>
        <v>0.47000581962238192</v>
      </c>
      <c r="V230" s="516">
        <f t="shared" si="296"/>
        <v>0.47000581962238192</v>
      </c>
      <c r="W230" s="517">
        <f t="shared" si="296"/>
        <v>0.47000581962238192</v>
      </c>
      <c r="X230" s="517">
        <f t="shared" si="296"/>
        <v>0.47000581962238192</v>
      </c>
      <c r="Y230" s="517">
        <f t="shared" si="296"/>
        <v>0.47000581962238192</v>
      </c>
      <c r="Z230" s="517">
        <f t="shared" si="296"/>
        <v>0.47000581962238192</v>
      </c>
      <c r="AA230" s="517">
        <f t="shared" si="296"/>
        <v>0.47000581962238192</v>
      </c>
      <c r="AB230" s="517">
        <f t="shared" si="296"/>
        <v>0.47000581962238192</v>
      </c>
      <c r="AC230" s="517">
        <f t="shared" si="296"/>
        <v>0.47000581962238192</v>
      </c>
      <c r="AD230" s="517">
        <f t="shared" si="296"/>
        <v>0.47794179334015136</v>
      </c>
      <c r="AE230" s="517">
        <f t="shared" si="296"/>
        <v>0.47794179334015136</v>
      </c>
      <c r="AF230" s="517">
        <f t="shared" si="296"/>
        <v>0.47794179334015136</v>
      </c>
      <c r="AG230" s="517">
        <f t="shared" si="296"/>
        <v>0.47794179334015136</v>
      </c>
      <c r="AH230" s="517">
        <f t="shared" si="296"/>
        <v>0.47794179334015136</v>
      </c>
      <c r="AI230" s="517">
        <f t="shared" si="296"/>
        <v>0.47794179334015136</v>
      </c>
      <c r="AJ230" s="517">
        <f t="shared" si="296"/>
        <v>0.47794179334015136</v>
      </c>
      <c r="AK230" s="517">
        <f t="shared" si="296"/>
        <v>0.47794179334015136</v>
      </c>
      <c r="AL230" s="517">
        <f t="shared" si="296"/>
        <v>0.47794179334015136</v>
      </c>
      <c r="AM230" s="517">
        <f t="shared" si="296"/>
        <v>0.47794179334015136</v>
      </c>
      <c r="AN230" s="540">
        <f t="shared" si="296"/>
        <v>0.47794179334015136</v>
      </c>
      <c r="AO230" s="540">
        <f t="shared" si="296"/>
        <v>0.47794179334015136</v>
      </c>
      <c r="AP230" s="540">
        <f t="shared" si="296"/>
        <v>0.48545132394866497</v>
      </c>
      <c r="AQ230" s="540">
        <f t="shared" si="296"/>
        <v>0.48545132394866497</v>
      </c>
      <c r="AR230" s="540">
        <f t="shared" si="296"/>
        <v>0.48545132394866497</v>
      </c>
      <c r="AS230" s="540">
        <f t="shared" si="296"/>
        <v>0.48545132394866497</v>
      </c>
      <c r="AT230" s="540">
        <f t="shared" si="296"/>
        <v>0.48545132394866497</v>
      </c>
      <c r="AU230" s="540">
        <f t="shared" si="296"/>
        <v>0.48545132394866497</v>
      </c>
      <c r="AV230" s="540">
        <f t="shared" si="296"/>
        <v>0.48545132394866497</v>
      </c>
      <c r="AW230" s="540">
        <f t="shared" si="296"/>
        <v>0.48545132394866497</v>
      </c>
      <c r="AX230" s="540">
        <f t="shared" ref="AX230:BY230" si="297">IFERROR(AX580/SUM(AX577,AX578,AX580),0)</f>
        <v>0.48545132394866497</v>
      </c>
      <c r="AY230" s="540">
        <f t="shared" si="297"/>
        <v>0.48545132394866497</v>
      </c>
      <c r="AZ230" s="540">
        <f t="shared" si="297"/>
        <v>0.48545132394866497</v>
      </c>
      <c r="BA230" s="540">
        <f t="shared" si="297"/>
        <v>0.48545132394866497</v>
      </c>
      <c r="BB230" s="540">
        <f t="shared" si="297"/>
        <v>0.49249854953016264</v>
      </c>
      <c r="BC230" s="540">
        <f t="shared" si="297"/>
        <v>0.49249854953016264</v>
      </c>
      <c r="BD230" s="540">
        <f t="shared" si="297"/>
        <v>0.49249854953016264</v>
      </c>
      <c r="BE230" s="540">
        <f t="shared" si="297"/>
        <v>0.49249854953016264</v>
      </c>
      <c r="BF230" s="540">
        <f t="shared" si="297"/>
        <v>0.49249854953016264</v>
      </c>
      <c r="BG230" s="540">
        <f t="shared" si="297"/>
        <v>0.49249854953016264</v>
      </c>
      <c r="BH230" s="540">
        <f t="shared" si="297"/>
        <v>0.49249854953016264</v>
      </c>
      <c r="BI230" s="540">
        <f t="shared" si="297"/>
        <v>0.49249854953016264</v>
      </c>
      <c r="BJ230" s="540">
        <f t="shared" si="297"/>
        <v>0.49249854953016264</v>
      </c>
      <c r="BK230" s="540">
        <f t="shared" si="297"/>
        <v>0.49249854953016264</v>
      </c>
      <c r="BL230" s="540">
        <f t="shared" si="297"/>
        <v>0.49249854953016264</v>
      </c>
      <c r="BM230" s="540">
        <f t="shared" si="297"/>
        <v>0.49249854953016264</v>
      </c>
      <c r="BN230" s="540">
        <f t="shared" si="297"/>
        <v>0.49947669587868493</v>
      </c>
      <c r="BO230" s="540">
        <f t="shared" si="297"/>
        <v>0.49947669587868493</v>
      </c>
      <c r="BP230" s="540">
        <f t="shared" si="297"/>
        <v>0.49947669587868493</v>
      </c>
      <c r="BQ230" s="540">
        <f t="shared" si="297"/>
        <v>0.49947669587868493</v>
      </c>
      <c r="BR230" s="540">
        <f t="shared" si="297"/>
        <v>0.49947669587868493</v>
      </c>
      <c r="BS230" s="540">
        <f t="shared" si="297"/>
        <v>0.49947669587868493</v>
      </c>
      <c r="BT230" s="540">
        <f t="shared" si="297"/>
        <v>0.49947669587868493</v>
      </c>
      <c r="BU230" s="540">
        <f t="shared" si="297"/>
        <v>0.49947669587868493</v>
      </c>
      <c r="BV230" s="540">
        <f t="shared" si="297"/>
        <v>0.49947669587868493</v>
      </c>
      <c r="BW230" s="540">
        <f t="shared" si="297"/>
        <v>0.49947669587868493</v>
      </c>
      <c r="BX230" s="540">
        <f t="shared" si="297"/>
        <v>0.49947669587868493</v>
      </c>
      <c r="BY230" s="540">
        <f t="shared" si="297"/>
        <v>0.49947669587868493</v>
      </c>
    </row>
    <row r="231" spans="1:77" x14ac:dyDescent="0.3">
      <c r="A231" s="3"/>
      <c r="B231" s="2"/>
      <c r="C231" s="2"/>
      <c r="D231" s="2"/>
      <c r="E231" s="2"/>
      <c r="F231" s="2"/>
      <c r="G231" s="2"/>
      <c r="H231" s="2"/>
      <c r="I231" s="2"/>
      <c r="J231" s="2"/>
      <c r="K231" s="2"/>
      <c r="L231" s="2"/>
      <c r="M231" s="2"/>
      <c r="N231" s="2"/>
      <c r="O231" s="2"/>
      <c r="P231" s="10"/>
      <c r="Q231" s="2"/>
      <c r="R231" s="2"/>
      <c r="S231" s="2"/>
      <c r="T231" s="2"/>
      <c r="U231" s="2"/>
      <c r="V231" s="2"/>
      <c r="W231" s="2"/>
      <c r="X231" s="2"/>
      <c r="Y231" s="2"/>
      <c r="Z231" s="2"/>
      <c r="AA231" s="2"/>
      <c r="AB231" s="2"/>
      <c r="AC231" s="2"/>
      <c r="AD231" s="2"/>
      <c r="AE231" s="2"/>
      <c r="AF231" s="2"/>
      <c r="AG231" s="2"/>
      <c r="AH231" s="2"/>
      <c r="AI231" s="2"/>
      <c r="AJ231" s="2"/>
      <c r="AK231" s="2"/>
      <c r="AL231" s="2"/>
      <c r="AM231" s="2"/>
      <c r="AN231" s="525"/>
      <c r="AO231" s="525"/>
      <c r="AP231" s="525"/>
      <c r="AQ231" s="525"/>
      <c r="AR231" s="525"/>
      <c r="AS231" s="525"/>
      <c r="AT231" s="525"/>
      <c r="AU231" s="525"/>
      <c r="AV231" s="525"/>
      <c r="AW231" s="525"/>
      <c r="AX231" s="525"/>
      <c r="AY231" s="525"/>
      <c r="AZ231" s="525"/>
      <c r="BA231" s="525"/>
      <c r="BB231" s="525"/>
      <c r="BC231" s="525"/>
      <c r="BD231" s="525"/>
      <c r="BE231" s="525"/>
      <c r="BF231" s="525"/>
      <c r="BG231" s="525"/>
      <c r="BH231" s="525"/>
      <c r="BI231" s="525"/>
      <c r="BJ231" s="525"/>
      <c r="BK231" s="525"/>
      <c r="BL231" s="525"/>
      <c r="BM231" s="525"/>
      <c r="BN231" s="525"/>
      <c r="BO231" s="525"/>
      <c r="BP231" s="525"/>
      <c r="BQ231" s="525"/>
      <c r="BR231" s="525"/>
      <c r="BS231" s="525"/>
      <c r="BT231" s="525"/>
      <c r="BU231" s="525"/>
      <c r="BV231" s="525"/>
      <c r="BW231" s="525"/>
      <c r="BX231" s="525"/>
      <c r="BY231" s="525"/>
    </row>
    <row r="232" spans="1:77" x14ac:dyDescent="0.3">
      <c r="A232" s="3"/>
      <c r="B232" s="2"/>
      <c r="C232" s="2"/>
      <c r="D232" s="2"/>
      <c r="E232" s="2" t="s">
        <v>104</v>
      </c>
      <c r="F232" s="2"/>
      <c r="G232" s="2"/>
      <c r="H232" s="2"/>
      <c r="I232" s="2"/>
      <c r="J232" s="2"/>
      <c r="K232" s="2"/>
      <c r="L232" s="2"/>
      <c r="M232" s="2"/>
      <c r="N232" s="2"/>
      <c r="O232" s="2"/>
      <c r="P232" s="10"/>
      <c r="Q232" s="2"/>
      <c r="R232" s="516">
        <f t="shared" ref="R232:AW232" si="298">IFERROR(R586/SUM(R586,R587,R589),0)</f>
        <v>0.7570866326576271</v>
      </c>
      <c r="S232" s="516">
        <f t="shared" si="298"/>
        <v>0.7570866326576271</v>
      </c>
      <c r="T232" s="516">
        <f t="shared" si="298"/>
        <v>0.7570866326576271</v>
      </c>
      <c r="U232" s="516">
        <f t="shared" si="298"/>
        <v>0.7570866326576271</v>
      </c>
      <c r="V232" s="516">
        <f t="shared" si="298"/>
        <v>0.7570866326576271</v>
      </c>
      <c r="W232" s="516">
        <f t="shared" si="298"/>
        <v>0.7570866326576271</v>
      </c>
      <c r="X232" s="516">
        <f t="shared" si="298"/>
        <v>0.7570866326576271</v>
      </c>
      <c r="Y232" s="516">
        <f t="shared" si="298"/>
        <v>0.7570866326576271</v>
      </c>
      <c r="Z232" s="516">
        <f t="shared" si="298"/>
        <v>0.7570866326576271</v>
      </c>
      <c r="AA232" s="516">
        <f t="shared" si="298"/>
        <v>0.7570866326576271</v>
      </c>
      <c r="AB232" s="516">
        <f t="shared" si="298"/>
        <v>0.7570866326576271</v>
      </c>
      <c r="AC232" s="516">
        <f t="shared" si="298"/>
        <v>0.7570866326576271</v>
      </c>
      <c r="AD232" s="516">
        <f t="shared" si="298"/>
        <v>0.7570866326576271</v>
      </c>
      <c r="AE232" s="516">
        <f t="shared" si="298"/>
        <v>0.7570866326576271</v>
      </c>
      <c r="AF232" s="516">
        <f t="shared" si="298"/>
        <v>0.7570866326576271</v>
      </c>
      <c r="AG232" s="516">
        <f t="shared" si="298"/>
        <v>0.7570866326576271</v>
      </c>
      <c r="AH232" s="516">
        <f t="shared" si="298"/>
        <v>0.7570866326576271</v>
      </c>
      <c r="AI232" s="516">
        <f t="shared" si="298"/>
        <v>0.7570866326576271</v>
      </c>
      <c r="AJ232" s="516">
        <f t="shared" si="298"/>
        <v>0.7570866326576271</v>
      </c>
      <c r="AK232" s="516">
        <f t="shared" si="298"/>
        <v>0.7570866326576271</v>
      </c>
      <c r="AL232" s="516">
        <f t="shared" si="298"/>
        <v>0.7570866326576271</v>
      </c>
      <c r="AM232" s="516">
        <f t="shared" si="298"/>
        <v>0.7570866326576271</v>
      </c>
      <c r="AN232" s="540">
        <f t="shared" si="298"/>
        <v>0.7570866326576271</v>
      </c>
      <c r="AO232" s="540">
        <f t="shared" si="298"/>
        <v>0.7570866326576271</v>
      </c>
      <c r="AP232" s="540">
        <f t="shared" si="298"/>
        <v>0.7570866326576271</v>
      </c>
      <c r="AQ232" s="540">
        <f t="shared" si="298"/>
        <v>0.7570866326576271</v>
      </c>
      <c r="AR232" s="540">
        <f t="shared" si="298"/>
        <v>0.7570866326576271</v>
      </c>
      <c r="AS232" s="540">
        <f t="shared" si="298"/>
        <v>0.7570866326576271</v>
      </c>
      <c r="AT232" s="540">
        <f t="shared" si="298"/>
        <v>0.7570866326576271</v>
      </c>
      <c r="AU232" s="540">
        <f t="shared" si="298"/>
        <v>0.7570866326576271</v>
      </c>
      <c r="AV232" s="540">
        <f t="shared" si="298"/>
        <v>0.7570866326576271</v>
      </c>
      <c r="AW232" s="540">
        <f t="shared" si="298"/>
        <v>0.7570866326576271</v>
      </c>
      <c r="AX232" s="540">
        <f t="shared" ref="AX232:BY232" si="299">IFERROR(AX586/SUM(AX586,AX587,AX589),0)</f>
        <v>0.7570866326576271</v>
      </c>
      <c r="AY232" s="540">
        <f t="shared" si="299"/>
        <v>0.7570866326576271</v>
      </c>
      <c r="AZ232" s="540">
        <f t="shared" si="299"/>
        <v>0.7570866326576271</v>
      </c>
      <c r="BA232" s="540">
        <f t="shared" si="299"/>
        <v>0.7570866326576271</v>
      </c>
      <c r="BB232" s="540">
        <f t="shared" si="299"/>
        <v>0.7570866326576271</v>
      </c>
      <c r="BC232" s="540">
        <f t="shared" si="299"/>
        <v>0.7570866326576271</v>
      </c>
      <c r="BD232" s="540">
        <f t="shared" si="299"/>
        <v>0.7570866326576271</v>
      </c>
      <c r="BE232" s="540">
        <f t="shared" si="299"/>
        <v>0.7570866326576271</v>
      </c>
      <c r="BF232" s="540">
        <f t="shared" si="299"/>
        <v>0.7570866326576271</v>
      </c>
      <c r="BG232" s="540">
        <f t="shared" si="299"/>
        <v>0.7570866326576271</v>
      </c>
      <c r="BH232" s="540">
        <f t="shared" si="299"/>
        <v>0.7570866326576271</v>
      </c>
      <c r="BI232" s="540">
        <f t="shared" si="299"/>
        <v>0.7570866326576271</v>
      </c>
      <c r="BJ232" s="540">
        <f t="shared" si="299"/>
        <v>0.7570866326576271</v>
      </c>
      <c r="BK232" s="540">
        <f t="shared" si="299"/>
        <v>0.7570866326576271</v>
      </c>
      <c r="BL232" s="540">
        <f t="shared" si="299"/>
        <v>0.7570866326576271</v>
      </c>
      <c r="BM232" s="540">
        <f t="shared" si="299"/>
        <v>0.7570866326576271</v>
      </c>
      <c r="BN232" s="540">
        <f t="shared" si="299"/>
        <v>0.7570866326576271</v>
      </c>
      <c r="BO232" s="540">
        <f t="shared" si="299"/>
        <v>0.7570866326576271</v>
      </c>
      <c r="BP232" s="540">
        <f t="shared" si="299"/>
        <v>0.7570866326576271</v>
      </c>
      <c r="BQ232" s="540">
        <f t="shared" si="299"/>
        <v>0.7570866326576271</v>
      </c>
      <c r="BR232" s="540">
        <f t="shared" si="299"/>
        <v>0.7570866326576271</v>
      </c>
      <c r="BS232" s="540">
        <f t="shared" si="299"/>
        <v>0.7570866326576271</v>
      </c>
      <c r="BT232" s="540">
        <f t="shared" si="299"/>
        <v>0.7570866326576271</v>
      </c>
      <c r="BU232" s="540">
        <f t="shared" si="299"/>
        <v>0.7570866326576271</v>
      </c>
      <c r="BV232" s="540">
        <f t="shared" si="299"/>
        <v>0.7570866326576271</v>
      </c>
      <c r="BW232" s="540">
        <f t="shared" si="299"/>
        <v>0.7570866326576271</v>
      </c>
      <c r="BX232" s="540">
        <f t="shared" si="299"/>
        <v>0.7570866326576271</v>
      </c>
      <c r="BY232" s="540">
        <f t="shared" si="299"/>
        <v>0.7570866326576271</v>
      </c>
    </row>
    <row r="233" spans="1:77" x14ac:dyDescent="0.3">
      <c r="A233" s="3"/>
      <c r="B233" s="2"/>
      <c r="C233" s="2"/>
      <c r="D233" s="2"/>
      <c r="E233" s="2" t="s">
        <v>105</v>
      </c>
      <c r="F233" s="2"/>
      <c r="G233" s="2"/>
      <c r="H233" s="2"/>
      <c r="I233" s="2"/>
      <c r="J233" s="2"/>
      <c r="K233" s="2"/>
      <c r="L233" s="2"/>
      <c r="M233" s="2"/>
      <c r="N233" s="2"/>
      <c r="O233" s="2"/>
      <c r="P233" s="10"/>
      <c r="Q233" s="2"/>
      <c r="R233" s="516">
        <f t="shared" ref="R233:AW233" si="300">IFERROR(R587/SUM(R586,R587,R589),0)</f>
        <v>8.9843995200920804E-2</v>
      </c>
      <c r="S233" s="516">
        <f t="shared" si="300"/>
        <v>8.9843995200920804E-2</v>
      </c>
      <c r="T233" s="516">
        <f t="shared" si="300"/>
        <v>8.9843995200920804E-2</v>
      </c>
      <c r="U233" s="516">
        <f t="shared" si="300"/>
        <v>8.9843995200920804E-2</v>
      </c>
      <c r="V233" s="516">
        <f t="shared" si="300"/>
        <v>8.9843995200920804E-2</v>
      </c>
      <c r="W233" s="516">
        <f t="shared" si="300"/>
        <v>8.9843995200920804E-2</v>
      </c>
      <c r="X233" s="516">
        <f t="shared" si="300"/>
        <v>8.9843995200920804E-2</v>
      </c>
      <c r="Y233" s="516">
        <f t="shared" si="300"/>
        <v>8.9843995200920804E-2</v>
      </c>
      <c r="Z233" s="516">
        <f t="shared" si="300"/>
        <v>8.9843995200920804E-2</v>
      </c>
      <c r="AA233" s="516">
        <f t="shared" si="300"/>
        <v>8.9843995200920804E-2</v>
      </c>
      <c r="AB233" s="516">
        <f t="shared" si="300"/>
        <v>8.9843995200920804E-2</v>
      </c>
      <c r="AC233" s="516">
        <f t="shared" si="300"/>
        <v>8.9843995200920804E-2</v>
      </c>
      <c r="AD233" s="516">
        <f t="shared" si="300"/>
        <v>8.9843995200920804E-2</v>
      </c>
      <c r="AE233" s="516">
        <f t="shared" si="300"/>
        <v>8.9843995200920804E-2</v>
      </c>
      <c r="AF233" s="516">
        <f t="shared" si="300"/>
        <v>8.9843995200920804E-2</v>
      </c>
      <c r="AG233" s="516">
        <f t="shared" si="300"/>
        <v>8.9843995200920804E-2</v>
      </c>
      <c r="AH233" s="516">
        <f t="shared" si="300"/>
        <v>8.9843995200920804E-2</v>
      </c>
      <c r="AI233" s="516">
        <f t="shared" si="300"/>
        <v>8.9843995200920804E-2</v>
      </c>
      <c r="AJ233" s="516">
        <f t="shared" si="300"/>
        <v>8.9843995200920804E-2</v>
      </c>
      <c r="AK233" s="516">
        <f t="shared" si="300"/>
        <v>8.9843995200920804E-2</v>
      </c>
      <c r="AL233" s="516">
        <f t="shared" si="300"/>
        <v>8.9843995200920804E-2</v>
      </c>
      <c r="AM233" s="516">
        <f t="shared" si="300"/>
        <v>8.9843995200920804E-2</v>
      </c>
      <c r="AN233" s="540">
        <f t="shared" si="300"/>
        <v>8.9843995200920804E-2</v>
      </c>
      <c r="AO233" s="540">
        <f t="shared" si="300"/>
        <v>8.9843995200920804E-2</v>
      </c>
      <c r="AP233" s="540">
        <f t="shared" si="300"/>
        <v>8.9843995200920804E-2</v>
      </c>
      <c r="AQ233" s="540">
        <f t="shared" si="300"/>
        <v>8.9843995200920804E-2</v>
      </c>
      <c r="AR233" s="540">
        <f t="shared" si="300"/>
        <v>8.9843995200920804E-2</v>
      </c>
      <c r="AS233" s="540">
        <f t="shared" si="300"/>
        <v>8.9843995200920804E-2</v>
      </c>
      <c r="AT233" s="540">
        <f t="shared" si="300"/>
        <v>8.9843995200920804E-2</v>
      </c>
      <c r="AU233" s="540">
        <f t="shared" si="300"/>
        <v>8.9843995200920804E-2</v>
      </c>
      <c r="AV233" s="540">
        <f t="shared" si="300"/>
        <v>8.9843995200920804E-2</v>
      </c>
      <c r="AW233" s="540">
        <f t="shared" si="300"/>
        <v>8.9843995200920804E-2</v>
      </c>
      <c r="AX233" s="540">
        <f t="shared" ref="AX233:BY233" si="301">IFERROR(AX587/SUM(AX586,AX587,AX589),0)</f>
        <v>8.9843995200920804E-2</v>
      </c>
      <c r="AY233" s="540">
        <f t="shared" si="301"/>
        <v>8.9843995200920804E-2</v>
      </c>
      <c r="AZ233" s="540">
        <f t="shared" si="301"/>
        <v>8.9843995200920804E-2</v>
      </c>
      <c r="BA233" s="540">
        <f t="shared" si="301"/>
        <v>8.9843995200920804E-2</v>
      </c>
      <c r="BB233" s="540">
        <f t="shared" si="301"/>
        <v>8.9843995200920804E-2</v>
      </c>
      <c r="BC233" s="540">
        <f t="shared" si="301"/>
        <v>8.9843995200920804E-2</v>
      </c>
      <c r="BD233" s="540">
        <f t="shared" si="301"/>
        <v>8.9843995200920804E-2</v>
      </c>
      <c r="BE233" s="540">
        <f t="shared" si="301"/>
        <v>8.9843995200920804E-2</v>
      </c>
      <c r="BF233" s="540">
        <f t="shared" si="301"/>
        <v>8.9843995200920804E-2</v>
      </c>
      <c r="BG233" s="540">
        <f t="shared" si="301"/>
        <v>8.9843995200920804E-2</v>
      </c>
      <c r="BH233" s="540">
        <f t="shared" si="301"/>
        <v>8.9843995200920804E-2</v>
      </c>
      <c r="BI233" s="540">
        <f t="shared" si="301"/>
        <v>8.9843995200920804E-2</v>
      </c>
      <c r="BJ233" s="540">
        <f t="shared" si="301"/>
        <v>8.9843995200920804E-2</v>
      </c>
      <c r="BK233" s="540">
        <f t="shared" si="301"/>
        <v>8.9843995200920804E-2</v>
      </c>
      <c r="BL233" s="540">
        <f t="shared" si="301"/>
        <v>8.9843995200920804E-2</v>
      </c>
      <c r="BM233" s="540">
        <f t="shared" si="301"/>
        <v>8.9843995200920804E-2</v>
      </c>
      <c r="BN233" s="540">
        <f t="shared" si="301"/>
        <v>8.9843995200920804E-2</v>
      </c>
      <c r="BO233" s="540">
        <f t="shared" si="301"/>
        <v>8.9843995200920804E-2</v>
      </c>
      <c r="BP233" s="540">
        <f t="shared" si="301"/>
        <v>8.9843995200920804E-2</v>
      </c>
      <c r="BQ233" s="540">
        <f t="shared" si="301"/>
        <v>8.9843995200920804E-2</v>
      </c>
      <c r="BR233" s="540">
        <f t="shared" si="301"/>
        <v>8.9843995200920804E-2</v>
      </c>
      <c r="BS233" s="540">
        <f t="shared" si="301"/>
        <v>8.9843995200920804E-2</v>
      </c>
      <c r="BT233" s="540">
        <f t="shared" si="301"/>
        <v>8.9843995200920804E-2</v>
      </c>
      <c r="BU233" s="540">
        <f t="shared" si="301"/>
        <v>8.9843995200920804E-2</v>
      </c>
      <c r="BV233" s="540">
        <f t="shared" si="301"/>
        <v>8.9843995200920804E-2</v>
      </c>
      <c r="BW233" s="540">
        <f t="shared" si="301"/>
        <v>8.9843995200920804E-2</v>
      </c>
      <c r="BX233" s="540">
        <f t="shared" si="301"/>
        <v>8.9843995200920804E-2</v>
      </c>
      <c r="BY233" s="540">
        <f t="shared" si="301"/>
        <v>8.9843995200920804E-2</v>
      </c>
    </row>
    <row r="234" spans="1:77" x14ac:dyDescent="0.3">
      <c r="A234" s="3"/>
      <c r="B234" s="2"/>
      <c r="C234" s="2"/>
      <c r="D234" s="2"/>
      <c r="E234" s="2" t="s">
        <v>106</v>
      </c>
      <c r="F234" s="2"/>
      <c r="G234" s="2"/>
      <c r="H234" s="2"/>
      <c r="I234" s="2"/>
      <c r="J234" s="2"/>
      <c r="K234" s="2"/>
      <c r="L234" s="2"/>
      <c r="M234" s="2"/>
      <c r="N234" s="2"/>
      <c r="O234" s="2"/>
      <c r="P234" s="10"/>
      <c r="Q234" s="2"/>
      <c r="R234" s="516">
        <f t="shared" ref="R234:AW234" si="302">IFERROR(R589/SUM(R586,R587,R589),0)</f>
        <v>0.15306937214145211</v>
      </c>
      <c r="S234" s="516">
        <f t="shared" si="302"/>
        <v>0.15306937214145211</v>
      </c>
      <c r="T234" s="516">
        <f t="shared" si="302"/>
        <v>0.15306937214145211</v>
      </c>
      <c r="U234" s="516">
        <f t="shared" si="302"/>
        <v>0.15306937214145211</v>
      </c>
      <c r="V234" s="516">
        <f t="shared" si="302"/>
        <v>0.15306937214145211</v>
      </c>
      <c r="W234" s="516">
        <f t="shared" si="302"/>
        <v>0.15306937214145211</v>
      </c>
      <c r="X234" s="516">
        <f t="shared" si="302"/>
        <v>0.15306937214145211</v>
      </c>
      <c r="Y234" s="516">
        <f t="shared" si="302"/>
        <v>0.15306937214145211</v>
      </c>
      <c r="Z234" s="516">
        <f t="shared" si="302"/>
        <v>0.15306937214145211</v>
      </c>
      <c r="AA234" s="516">
        <f t="shared" si="302"/>
        <v>0.15306937214145211</v>
      </c>
      <c r="AB234" s="516">
        <f t="shared" si="302"/>
        <v>0.15306937214145211</v>
      </c>
      <c r="AC234" s="516">
        <f t="shared" si="302"/>
        <v>0.15306937214145211</v>
      </c>
      <c r="AD234" s="516">
        <f t="shared" si="302"/>
        <v>0.15306937214145211</v>
      </c>
      <c r="AE234" s="516">
        <f t="shared" si="302"/>
        <v>0.15306937214145211</v>
      </c>
      <c r="AF234" s="516">
        <f t="shared" si="302"/>
        <v>0.15306937214145211</v>
      </c>
      <c r="AG234" s="516">
        <f t="shared" si="302"/>
        <v>0.15306937214145211</v>
      </c>
      <c r="AH234" s="516">
        <f t="shared" si="302"/>
        <v>0.15306937214145211</v>
      </c>
      <c r="AI234" s="516">
        <f t="shared" si="302"/>
        <v>0.15306937214145211</v>
      </c>
      <c r="AJ234" s="516">
        <f t="shared" si="302"/>
        <v>0.15306937214145211</v>
      </c>
      <c r="AK234" s="516">
        <f t="shared" si="302"/>
        <v>0.15306937214145211</v>
      </c>
      <c r="AL234" s="516">
        <f t="shared" si="302"/>
        <v>0.15306937214145211</v>
      </c>
      <c r="AM234" s="516">
        <f t="shared" si="302"/>
        <v>0.15306937214145211</v>
      </c>
      <c r="AN234" s="540">
        <f t="shared" si="302"/>
        <v>0.15306937214145211</v>
      </c>
      <c r="AO234" s="540">
        <f t="shared" si="302"/>
        <v>0.15306937214145211</v>
      </c>
      <c r="AP234" s="540">
        <f t="shared" si="302"/>
        <v>0.15306937214145211</v>
      </c>
      <c r="AQ234" s="540">
        <f t="shared" si="302"/>
        <v>0.15306937214145211</v>
      </c>
      <c r="AR234" s="540">
        <f t="shared" si="302"/>
        <v>0.15306937214145211</v>
      </c>
      <c r="AS234" s="540">
        <f t="shared" si="302"/>
        <v>0.15306937214145211</v>
      </c>
      <c r="AT234" s="540">
        <f t="shared" si="302"/>
        <v>0.15306937214145211</v>
      </c>
      <c r="AU234" s="540">
        <f t="shared" si="302"/>
        <v>0.15306937214145211</v>
      </c>
      <c r="AV234" s="540">
        <f t="shared" si="302"/>
        <v>0.15306937214145211</v>
      </c>
      <c r="AW234" s="540">
        <f t="shared" si="302"/>
        <v>0.15306937214145211</v>
      </c>
      <c r="AX234" s="540">
        <f t="shared" ref="AX234:BY234" si="303">IFERROR(AX589/SUM(AX586,AX587,AX589),0)</f>
        <v>0.15306937214145211</v>
      </c>
      <c r="AY234" s="540">
        <f t="shared" si="303"/>
        <v>0.15306937214145211</v>
      </c>
      <c r="AZ234" s="540">
        <f t="shared" si="303"/>
        <v>0.15306937214145211</v>
      </c>
      <c r="BA234" s="540">
        <f t="shared" si="303"/>
        <v>0.15306937214145211</v>
      </c>
      <c r="BB234" s="540">
        <f t="shared" si="303"/>
        <v>0.15306937214145211</v>
      </c>
      <c r="BC234" s="540">
        <f t="shared" si="303"/>
        <v>0.15306937214145211</v>
      </c>
      <c r="BD234" s="540">
        <f t="shared" si="303"/>
        <v>0.15306937214145211</v>
      </c>
      <c r="BE234" s="540">
        <f t="shared" si="303"/>
        <v>0.15306937214145211</v>
      </c>
      <c r="BF234" s="540">
        <f t="shared" si="303"/>
        <v>0.15306937214145211</v>
      </c>
      <c r="BG234" s="540">
        <f t="shared" si="303"/>
        <v>0.15306937214145211</v>
      </c>
      <c r="BH234" s="540">
        <f t="shared" si="303"/>
        <v>0.15306937214145211</v>
      </c>
      <c r="BI234" s="540">
        <f t="shared" si="303"/>
        <v>0.15306937214145211</v>
      </c>
      <c r="BJ234" s="540">
        <f t="shared" si="303"/>
        <v>0.15306937214145211</v>
      </c>
      <c r="BK234" s="540">
        <f t="shared" si="303"/>
        <v>0.15306937214145211</v>
      </c>
      <c r="BL234" s="540">
        <f t="shared" si="303"/>
        <v>0.15306937214145211</v>
      </c>
      <c r="BM234" s="540">
        <f t="shared" si="303"/>
        <v>0.15306937214145211</v>
      </c>
      <c r="BN234" s="540">
        <f t="shared" si="303"/>
        <v>0.15306937214145211</v>
      </c>
      <c r="BO234" s="540">
        <f t="shared" si="303"/>
        <v>0.15306937214145211</v>
      </c>
      <c r="BP234" s="540">
        <f t="shared" si="303"/>
        <v>0.15306937214145211</v>
      </c>
      <c r="BQ234" s="540">
        <f t="shared" si="303"/>
        <v>0.15306937214145211</v>
      </c>
      <c r="BR234" s="540">
        <f t="shared" si="303"/>
        <v>0.15306937214145211</v>
      </c>
      <c r="BS234" s="540">
        <f t="shared" si="303"/>
        <v>0.15306937214145211</v>
      </c>
      <c r="BT234" s="540">
        <f t="shared" si="303"/>
        <v>0.15306937214145211</v>
      </c>
      <c r="BU234" s="540">
        <f t="shared" si="303"/>
        <v>0.15306937214145211</v>
      </c>
      <c r="BV234" s="540">
        <f t="shared" si="303"/>
        <v>0.15306937214145211</v>
      </c>
      <c r="BW234" s="540">
        <f t="shared" si="303"/>
        <v>0.15306937214145211</v>
      </c>
      <c r="BX234" s="540">
        <f t="shared" si="303"/>
        <v>0.15306937214145211</v>
      </c>
      <c r="BY234" s="540">
        <f t="shared" si="303"/>
        <v>0.15306937214145211</v>
      </c>
    </row>
    <row r="235" spans="1:77" x14ac:dyDescent="0.3">
      <c r="C235" s="2"/>
      <c r="D235" s="2"/>
      <c r="E235" s="2"/>
      <c r="F235" s="2"/>
      <c r="G235" s="2"/>
      <c r="H235" s="2"/>
      <c r="I235" s="2"/>
      <c r="J235" s="2"/>
      <c r="K235" s="2"/>
      <c r="L235" s="2"/>
      <c r="M235" s="2"/>
      <c r="N235" s="2"/>
      <c r="O235" s="2"/>
      <c r="P235" s="10"/>
      <c r="Q235" s="2"/>
      <c r="R235" s="2"/>
      <c r="S235" s="2"/>
      <c r="T235" s="2"/>
      <c r="U235" s="2"/>
      <c r="V235" s="2"/>
      <c r="W235" s="2"/>
      <c r="X235" s="2"/>
      <c r="Y235" s="2"/>
      <c r="Z235" s="2"/>
      <c r="AA235" s="2"/>
      <c r="AB235" s="2"/>
      <c r="AC235" s="2"/>
      <c r="AD235" s="2"/>
      <c r="AE235" s="2"/>
      <c r="AF235" s="2"/>
      <c r="AG235" s="2"/>
      <c r="AH235" s="2"/>
      <c r="AI235" s="2"/>
      <c r="AJ235" s="2"/>
      <c r="AK235" s="2"/>
      <c r="AL235" s="2"/>
      <c r="AM235" s="2"/>
      <c r="AN235" s="525"/>
      <c r="AO235" s="525"/>
      <c r="AP235" s="525"/>
      <c r="AQ235" s="525"/>
      <c r="AR235" s="525"/>
      <c r="AS235" s="525"/>
      <c r="AT235" s="525"/>
      <c r="AU235" s="525"/>
      <c r="AV235" s="525"/>
      <c r="AW235" s="525"/>
      <c r="AX235" s="525"/>
      <c r="AY235" s="525"/>
      <c r="AZ235" s="525"/>
      <c r="BA235" s="525"/>
      <c r="BB235" s="525"/>
      <c r="BC235" s="525"/>
      <c r="BD235" s="525"/>
      <c r="BE235" s="525"/>
      <c r="BF235" s="525"/>
      <c r="BG235" s="525"/>
      <c r="BH235" s="525"/>
      <c r="BI235" s="525"/>
      <c r="BJ235" s="525"/>
      <c r="BK235" s="525"/>
      <c r="BL235" s="525"/>
      <c r="BM235" s="525"/>
      <c r="BN235" s="525"/>
      <c r="BO235" s="525"/>
      <c r="BP235" s="525"/>
      <c r="BQ235" s="525"/>
      <c r="BR235" s="525"/>
      <c r="BS235" s="525"/>
      <c r="BT235" s="525"/>
      <c r="BU235" s="525"/>
      <c r="BV235" s="525"/>
      <c r="BW235" s="525"/>
      <c r="BX235" s="525"/>
      <c r="BY235" s="525"/>
    </row>
    <row r="236" spans="1:77" x14ac:dyDescent="0.3">
      <c r="C236" s="2"/>
      <c r="D236" s="2"/>
      <c r="E236" s="108" t="s">
        <v>107</v>
      </c>
      <c r="F236" s="109"/>
      <c r="G236" s="109"/>
      <c r="H236" s="109"/>
      <c r="I236" s="109"/>
      <c r="J236" s="109"/>
      <c r="K236" s="109"/>
      <c r="L236" s="109"/>
      <c r="M236" s="109"/>
      <c r="N236" s="109"/>
      <c r="O236" s="109"/>
      <c r="P236" s="110"/>
      <c r="Q236" s="109"/>
      <c r="R236" s="109"/>
      <c r="S236" s="109"/>
      <c r="T236" s="109"/>
      <c r="U236" s="109"/>
      <c r="V236" s="109"/>
      <c r="W236" s="109"/>
      <c r="X236" s="109"/>
      <c r="Y236" s="109"/>
      <c r="Z236" s="109"/>
      <c r="AA236" s="109"/>
      <c r="AB236" s="109"/>
      <c r="AC236" s="109"/>
      <c r="AD236" s="109"/>
      <c r="AE236" s="109"/>
      <c r="AF236" s="109"/>
      <c r="AG236" s="109"/>
      <c r="AH236" s="109"/>
      <c r="AI236" s="109"/>
      <c r="AJ236" s="109"/>
      <c r="AK236" s="109"/>
      <c r="AL236" s="109"/>
      <c r="AM236" s="109"/>
      <c r="AN236" s="539"/>
      <c r="AO236" s="539"/>
      <c r="AP236" s="539"/>
      <c r="AQ236" s="539"/>
      <c r="AR236" s="539"/>
      <c r="AS236" s="539"/>
      <c r="AT236" s="539"/>
      <c r="AU236" s="539"/>
      <c r="AV236" s="539"/>
      <c r="AW236" s="539"/>
      <c r="AX236" s="539"/>
      <c r="AY236" s="539"/>
      <c r="AZ236" s="539"/>
      <c r="BA236" s="539"/>
      <c r="BB236" s="539"/>
      <c r="BC236" s="539"/>
      <c r="BD236" s="539"/>
      <c r="BE236" s="539"/>
      <c r="BF236" s="539"/>
      <c r="BG236" s="539"/>
      <c r="BH236" s="539"/>
      <c r="BI236" s="539"/>
      <c r="BJ236" s="539"/>
      <c r="BK236" s="539"/>
      <c r="BL236" s="539"/>
      <c r="BM236" s="539"/>
      <c r="BN236" s="539"/>
      <c r="BO236" s="539"/>
      <c r="BP236" s="539"/>
      <c r="BQ236" s="539"/>
      <c r="BR236" s="539"/>
      <c r="BS236" s="539"/>
      <c r="BT236" s="539"/>
      <c r="BU236" s="539"/>
      <c r="BV236" s="539"/>
      <c r="BW236" s="539"/>
      <c r="BX236" s="539"/>
      <c r="BY236" s="539"/>
    </row>
    <row r="237" spans="1:77" x14ac:dyDescent="0.3">
      <c r="C237" s="2"/>
      <c r="D237" s="2"/>
      <c r="E237" s="2"/>
      <c r="F237" s="2"/>
      <c r="G237" s="2"/>
      <c r="H237" s="2"/>
      <c r="I237" s="2"/>
      <c r="J237" s="2"/>
      <c r="K237" s="2"/>
      <c r="L237" s="2"/>
      <c r="M237" s="2"/>
      <c r="N237" s="2"/>
      <c r="O237" s="2"/>
      <c r="P237" s="10"/>
      <c r="Q237" s="2"/>
      <c r="R237" s="2"/>
      <c r="S237" s="2"/>
      <c r="T237" s="2"/>
      <c r="U237" s="2"/>
      <c r="V237" s="2"/>
      <c r="W237" s="2"/>
      <c r="X237" s="2"/>
      <c r="Y237" s="2"/>
      <c r="Z237" s="2"/>
      <c r="AA237" s="2"/>
      <c r="AB237" s="2"/>
      <c r="AC237" s="2"/>
      <c r="AD237" s="2"/>
      <c r="AE237" s="2"/>
      <c r="AF237" s="2"/>
      <c r="AG237" s="2"/>
      <c r="AH237" s="2"/>
      <c r="AI237" s="2"/>
      <c r="AJ237" s="2"/>
      <c r="AK237" s="2"/>
      <c r="AL237" s="2"/>
      <c r="AM237" s="2"/>
      <c r="AN237" s="525"/>
      <c r="AO237" s="525"/>
      <c r="AP237" s="525"/>
      <c r="AQ237" s="525"/>
      <c r="AR237" s="525"/>
      <c r="AS237" s="525"/>
      <c r="AT237" s="525"/>
      <c r="AU237" s="525"/>
      <c r="AV237" s="525"/>
      <c r="AW237" s="525"/>
      <c r="AX237" s="525"/>
      <c r="AY237" s="525"/>
      <c r="AZ237" s="525"/>
      <c r="BA237" s="525"/>
      <c r="BB237" s="525"/>
      <c r="BC237" s="525"/>
      <c r="BD237" s="525"/>
      <c r="BE237" s="525"/>
      <c r="BF237" s="525"/>
      <c r="BG237" s="525"/>
      <c r="BH237" s="525"/>
      <c r="BI237" s="525"/>
      <c r="BJ237" s="525"/>
      <c r="BK237" s="525"/>
      <c r="BL237" s="525"/>
      <c r="BM237" s="525"/>
      <c r="BN237" s="525"/>
      <c r="BO237" s="525"/>
      <c r="BP237" s="525"/>
      <c r="BQ237" s="525"/>
      <c r="BR237" s="525"/>
      <c r="BS237" s="525"/>
      <c r="BT237" s="525"/>
      <c r="BU237" s="525"/>
      <c r="BV237" s="525"/>
      <c r="BW237" s="525"/>
      <c r="BX237" s="525"/>
      <c r="BY237" s="525"/>
    </row>
    <row r="238" spans="1:77" x14ac:dyDescent="0.3">
      <c r="C238" s="2"/>
      <c r="D238" s="2"/>
      <c r="E238" s="115" t="str">
        <f>"BCF net comm.: "&amp;E$155</f>
        <v>BCF net comm.: FY27 Tranche</v>
      </c>
      <c r="F238" s="2"/>
      <c r="G238" s="2"/>
      <c r="H238" s="2"/>
      <c r="I238" s="2"/>
      <c r="J238" s="2"/>
      <c r="K238" s="2"/>
      <c r="L238" s="2"/>
      <c r="M238" s="2"/>
      <c r="N238" s="2"/>
      <c r="O238" s="2"/>
      <c r="P238" s="10"/>
      <c r="Q238" s="2"/>
      <c r="R238" s="497">
        <f t="shared" ref="R238:AW238" si="304">($R155*R$581*R490)+((($R155*R$581)+R205)*R482)</f>
        <v>21467.668665261393</v>
      </c>
      <c r="S238" s="497">
        <f t="shared" si="304"/>
        <v>21467.668665261393</v>
      </c>
      <c r="T238" s="497">
        <f t="shared" si="304"/>
        <v>21467.668665261393</v>
      </c>
      <c r="U238" s="497">
        <f t="shared" si="304"/>
        <v>21467.668665261393</v>
      </c>
      <c r="V238" s="497">
        <f t="shared" si="304"/>
        <v>21467.668665261393</v>
      </c>
      <c r="W238" s="497">
        <f t="shared" si="304"/>
        <v>21467.668665261393</v>
      </c>
      <c r="X238" s="497">
        <f t="shared" si="304"/>
        <v>25302.37707768035</v>
      </c>
      <c r="Y238" s="497">
        <f t="shared" si="304"/>
        <v>25302.37707768035</v>
      </c>
      <c r="Z238" s="497">
        <f t="shared" si="304"/>
        <v>25302.37707768035</v>
      </c>
      <c r="AA238" s="497">
        <f t="shared" si="304"/>
        <v>25302.37707768035</v>
      </c>
      <c r="AB238" s="497">
        <f t="shared" si="304"/>
        <v>25302.37707768035</v>
      </c>
      <c r="AC238" s="497">
        <f t="shared" si="304"/>
        <v>25302.37707768035</v>
      </c>
      <c r="AD238" s="497">
        <f t="shared" si="304"/>
        <v>25761.255318239571</v>
      </c>
      <c r="AE238" s="497">
        <f t="shared" si="304"/>
        <v>25761.255318239571</v>
      </c>
      <c r="AF238" s="497">
        <f t="shared" si="304"/>
        <v>25761.255318239571</v>
      </c>
      <c r="AG238" s="497">
        <f t="shared" si="304"/>
        <v>25761.255318239571</v>
      </c>
      <c r="AH238" s="497">
        <f t="shared" si="304"/>
        <v>25761.255318239571</v>
      </c>
      <c r="AI238" s="497">
        <f t="shared" si="304"/>
        <v>25761.255318239571</v>
      </c>
      <c r="AJ238" s="497">
        <f t="shared" si="304"/>
        <v>26654.52743450764</v>
      </c>
      <c r="AK238" s="497">
        <f t="shared" si="304"/>
        <v>26654.52743450764</v>
      </c>
      <c r="AL238" s="497">
        <f t="shared" si="304"/>
        <v>26654.52743450764</v>
      </c>
      <c r="AM238" s="497">
        <f t="shared" si="304"/>
        <v>26654.52743450764</v>
      </c>
      <c r="AN238" s="527">
        <f t="shared" si="304"/>
        <v>26654.52743450764</v>
      </c>
      <c r="AO238" s="527">
        <f t="shared" si="304"/>
        <v>26654.52743450764</v>
      </c>
      <c r="AP238" s="527">
        <f t="shared" si="304"/>
        <v>27113.408687736217</v>
      </c>
      <c r="AQ238" s="527">
        <f t="shared" si="304"/>
        <v>27113.408687736217</v>
      </c>
      <c r="AR238" s="527">
        <f t="shared" si="304"/>
        <v>27113.408687736217</v>
      </c>
      <c r="AS238" s="527">
        <f t="shared" si="304"/>
        <v>27113.408687736217</v>
      </c>
      <c r="AT238" s="527">
        <f t="shared" si="304"/>
        <v>27113.408687736217</v>
      </c>
      <c r="AU238" s="527">
        <f t="shared" si="304"/>
        <v>27113.408687736217</v>
      </c>
      <c r="AV238" s="527">
        <f t="shared" si="304"/>
        <v>28045.875003961843</v>
      </c>
      <c r="AW238" s="527">
        <f t="shared" si="304"/>
        <v>28045.875003961843</v>
      </c>
      <c r="AX238" s="527">
        <f t="shared" ref="AX238:BY238" si="305">($R155*AX$581*AX490)+((($R155*AX$581)+AX205)*AX482)</f>
        <v>28045.875003961843</v>
      </c>
      <c r="AY238" s="527">
        <f t="shared" si="305"/>
        <v>28045.875003961843</v>
      </c>
      <c r="AZ238" s="527">
        <f t="shared" si="305"/>
        <v>28045.875003961843</v>
      </c>
      <c r="BA238" s="527">
        <f t="shared" si="305"/>
        <v>28045.875003961843</v>
      </c>
      <c r="BB238" s="527">
        <f t="shared" si="305"/>
        <v>28512.318969192424</v>
      </c>
      <c r="BC238" s="527">
        <f t="shared" si="305"/>
        <v>28512.318969192424</v>
      </c>
      <c r="BD238" s="527">
        <f t="shared" si="305"/>
        <v>28512.318969192424</v>
      </c>
      <c r="BE238" s="527">
        <f t="shared" si="305"/>
        <v>28512.318969192424</v>
      </c>
      <c r="BF238" s="527">
        <f t="shared" si="305"/>
        <v>28512.318969192424</v>
      </c>
      <c r="BG238" s="527">
        <f t="shared" si="305"/>
        <v>28512.318969192424</v>
      </c>
      <c r="BH238" s="527">
        <f t="shared" si="305"/>
        <v>29485.343210726918</v>
      </c>
      <c r="BI238" s="527">
        <f t="shared" si="305"/>
        <v>29485.343210726918</v>
      </c>
      <c r="BJ238" s="527">
        <f t="shared" si="305"/>
        <v>29485.343210726918</v>
      </c>
      <c r="BK238" s="527">
        <f t="shared" si="305"/>
        <v>29485.343210726918</v>
      </c>
      <c r="BL238" s="527">
        <f t="shared" si="305"/>
        <v>29485.343210726918</v>
      </c>
      <c r="BM238" s="527">
        <f t="shared" si="305"/>
        <v>29485.343210726918</v>
      </c>
      <c r="BN238" s="527">
        <f t="shared" si="305"/>
        <v>29978.224312724629</v>
      </c>
      <c r="BO238" s="527">
        <f t="shared" si="305"/>
        <v>29978.224312724629</v>
      </c>
      <c r="BP238" s="527">
        <f t="shared" si="305"/>
        <v>29978.224312724629</v>
      </c>
      <c r="BQ238" s="527">
        <f t="shared" si="305"/>
        <v>29978.224312724629</v>
      </c>
      <c r="BR238" s="527">
        <f t="shared" si="305"/>
        <v>29978.224312724629</v>
      </c>
      <c r="BS238" s="527">
        <f t="shared" si="305"/>
        <v>29978.224312724629</v>
      </c>
      <c r="BT238" s="527">
        <f t="shared" si="305"/>
        <v>30993.390180696995</v>
      </c>
      <c r="BU238" s="527">
        <f t="shared" si="305"/>
        <v>30993.390180696995</v>
      </c>
      <c r="BV238" s="527">
        <f t="shared" si="305"/>
        <v>30993.390180696995</v>
      </c>
      <c r="BW238" s="527">
        <f t="shared" si="305"/>
        <v>30993.390180696995</v>
      </c>
      <c r="BX238" s="527">
        <f t="shared" si="305"/>
        <v>30993.390180696995</v>
      </c>
      <c r="BY238" s="527">
        <f t="shared" si="305"/>
        <v>30993.390180696995</v>
      </c>
    </row>
    <row r="239" spans="1:77" x14ac:dyDescent="0.3">
      <c r="C239" s="2"/>
      <c r="D239" s="2"/>
      <c r="E239" s="115" t="str">
        <f>"BCF net comm.: "&amp;E$156</f>
        <v>BCF net comm.: FY28 Tranche</v>
      </c>
      <c r="F239" s="2"/>
      <c r="G239" s="2"/>
      <c r="H239" s="2"/>
      <c r="I239" s="2"/>
      <c r="J239" s="2"/>
      <c r="K239" s="2"/>
      <c r="L239" s="2"/>
      <c r="M239" s="2"/>
      <c r="N239" s="2"/>
      <c r="O239" s="2"/>
      <c r="P239" s="10"/>
      <c r="Q239" s="2"/>
      <c r="R239" s="497">
        <f t="shared" ref="R239:AW239" si="306">($R156*R$581*R491)+((($R156*R$581)+R206)*R483)</f>
        <v>21467.668665261393</v>
      </c>
      <c r="S239" s="497">
        <f t="shared" si="306"/>
        <v>21467.668665261393</v>
      </c>
      <c r="T239" s="497">
        <f t="shared" si="306"/>
        <v>21467.668665261393</v>
      </c>
      <c r="U239" s="497">
        <f t="shared" si="306"/>
        <v>21467.668665261393</v>
      </c>
      <c r="V239" s="497">
        <f t="shared" si="306"/>
        <v>21467.668665261393</v>
      </c>
      <c r="W239" s="497">
        <f t="shared" si="306"/>
        <v>21467.668665261393</v>
      </c>
      <c r="X239" s="497">
        <f t="shared" si="306"/>
        <v>21467.668665261393</v>
      </c>
      <c r="Y239" s="497">
        <f t="shared" si="306"/>
        <v>21467.668665261393</v>
      </c>
      <c r="Z239" s="497">
        <f t="shared" si="306"/>
        <v>21467.668665261393</v>
      </c>
      <c r="AA239" s="497">
        <f t="shared" si="306"/>
        <v>21467.668665261393</v>
      </c>
      <c r="AB239" s="497">
        <f t="shared" si="306"/>
        <v>21467.668665261393</v>
      </c>
      <c r="AC239" s="497">
        <f t="shared" si="306"/>
        <v>21467.668665261393</v>
      </c>
      <c r="AD239" s="497">
        <f t="shared" si="306"/>
        <v>22633.063907104592</v>
      </c>
      <c r="AE239" s="497">
        <f t="shared" si="306"/>
        <v>22633.063907104592</v>
      </c>
      <c r="AF239" s="497">
        <f t="shared" si="306"/>
        <v>22633.063907104592</v>
      </c>
      <c r="AG239" s="497">
        <f t="shared" si="306"/>
        <v>22633.063907104592</v>
      </c>
      <c r="AH239" s="497">
        <f t="shared" si="306"/>
        <v>22633.063907104592</v>
      </c>
      <c r="AI239" s="497">
        <f t="shared" si="306"/>
        <v>22633.063907104592</v>
      </c>
      <c r="AJ239" s="497">
        <f t="shared" si="306"/>
        <v>26576.192017938658</v>
      </c>
      <c r="AK239" s="497">
        <f t="shared" si="306"/>
        <v>26576.192017938658</v>
      </c>
      <c r="AL239" s="497">
        <f t="shared" si="306"/>
        <v>26576.192017938658</v>
      </c>
      <c r="AM239" s="497">
        <f t="shared" si="306"/>
        <v>26576.192017938658</v>
      </c>
      <c r="AN239" s="527">
        <f t="shared" si="306"/>
        <v>26576.192017938658</v>
      </c>
      <c r="AO239" s="527">
        <f t="shared" si="306"/>
        <v>26576.192017938658</v>
      </c>
      <c r="AP239" s="527">
        <f t="shared" si="306"/>
        <v>27034.781237398773</v>
      </c>
      <c r="AQ239" s="527">
        <f t="shared" si="306"/>
        <v>27034.781237398773</v>
      </c>
      <c r="AR239" s="527">
        <f t="shared" si="306"/>
        <v>27034.781237398773</v>
      </c>
      <c r="AS239" s="527">
        <f t="shared" si="306"/>
        <v>27034.781237398773</v>
      </c>
      <c r="AT239" s="527">
        <f t="shared" si="306"/>
        <v>27034.781237398773</v>
      </c>
      <c r="AU239" s="527">
        <f t="shared" si="306"/>
        <v>27034.781237398773</v>
      </c>
      <c r="AV239" s="527">
        <f t="shared" si="306"/>
        <v>27964.102455610901</v>
      </c>
      <c r="AW239" s="527">
        <f t="shared" si="306"/>
        <v>27964.102455610901</v>
      </c>
      <c r="AX239" s="527">
        <f t="shared" ref="AX239:BY239" si="307">($R156*AX$581*AX491)+((($R156*AX$581)+AX206)*AX483)</f>
        <v>27964.102455610901</v>
      </c>
      <c r="AY239" s="527">
        <f t="shared" si="307"/>
        <v>27964.102455610901</v>
      </c>
      <c r="AZ239" s="527">
        <f t="shared" si="307"/>
        <v>27964.102455610901</v>
      </c>
      <c r="BA239" s="527">
        <f t="shared" si="307"/>
        <v>27964.102455610901</v>
      </c>
      <c r="BB239" s="527">
        <f t="shared" si="307"/>
        <v>28430.271592362704</v>
      </c>
      <c r="BC239" s="527">
        <f t="shared" si="307"/>
        <v>28430.271592362704</v>
      </c>
      <c r="BD239" s="527">
        <f t="shared" si="307"/>
        <v>28430.271592362704</v>
      </c>
      <c r="BE239" s="527">
        <f t="shared" si="307"/>
        <v>28430.271592362704</v>
      </c>
      <c r="BF239" s="527">
        <f t="shared" si="307"/>
        <v>28430.271592362704</v>
      </c>
      <c r="BG239" s="527">
        <f t="shared" si="307"/>
        <v>28430.271592362704</v>
      </c>
      <c r="BH239" s="527">
        <f t="shared" si="307"/>
        <v>29400.013938824013</v>
      </c>
      <c r="BI239" s="527">
        <f t="shared" si="307"/>
        <v>29400.013938824013</v>
      </c>
      <c r="BJ239" s="527">
        <f t="shared" si="307"/>
        <v>29400.013938824013</v>
      </c>
      <c r="BK239" s="527">
        <f t="shared" si="307"/>
        <v>29400.013938824013</v>
      </c>
      <c r="BL239" s="527">
        <f t="shared" si="307"/>
        <v>29400.013938824013</v>
      </c>
      <c r="BM239" s="527">
        <f t="shared" si="307"/>
        <v>29400.013938824013</v>
      </c>
      <c r="BN239" s="527">
        <f t="shared" si="307"/>
        <v>29892.623468512527</v>
      </c>
      <c r="BO239" s="527">
        <f t="shared" si="307"/>
        <v>29892.623468512527</v>
      </c>
      <c r="BP239" s="527">
        <f t="shared" si="307"/>
        <v>29892.623468512527</v>
      </c>
      <c r="BQ239" s="527">
        <f t="shared" si="307"/>
        <v>29892.623468512527</v>
      </c>
      <c r="BR239" s="527">
        <f t="shared" si="307"/>
        <v>29892.623468512527</v>
      </c>
      <c r="BS239" s="527">
        <f t="shared" si="307"/>
        <v>29892.623468512527</v>
      </c>
      <c r="BT239" s="527">
        <f t="shared" si="307"/>
        <v>30904.365302716404</v>
      </c>
      <c r="BU239" s="527">
        <f t="shared" si="307"/>
        <v>30904.365302716404</v>
      </c>
      <c r="BV239" s="527">
        <f t="shared" si="307"/>
        <v>30904.365302716404</v>
      </c>
      <c r="BW239" s="527">
        <f t="shared" si="307"/>
        <v>30904.365302716404</v>
      </c>
      <c r="BX239" s="527">
        <f t="shared" si="307"/>
        <v>30904.365302716404</v>
      </c>
      <c r="BY239" s="527">
        <f t="shared" si="307"/>
        <v>30904.365302716404</v>
      </c>
    </row>
    <row r="240" spans="1:77" x14ac:dyDescent="0.3">
      <c r="C240" s="2"/>
      <c r="D240" s="2"/>
      <c r="E240" s="115" t="str">
        <f>"BCF net comm.: "&amp;E$157</f>
        <v>BCF net comm.: FY29 Tranche</v>
      </c>
      <c r="F240" s="2"/>
      <c r="G240" s="2"/>
      <c r="H240" s="2"/>
      <c r="I240" s="2"/>
      <c r="J240" s="2"/>
      <c r="K240" s="2"/>
      <c r="L240" s="2"/>
      <c r="M240" s="2"/>
      <c r="N240" s="2"/>
      <c r="O240" s="2"/>
      <c r="P240" s="10"/>
      <c r="Q240" s="2"/>
      <c r="R240" s="497">
        <f t="shared" ref="R240:AW240" si="308">($R157*R$581*R492)+((($R157*R$581)+R207)*R484)</f>
        <v>21467.668665261393</v>
      </c>
      <c r="S240" s="497">
        <f t="shared" si="308"/>
        <v>21467.668665261393</v>
      </c>
      <c r="T240" s="497">
        <f t="shared" si="308"/>
        <v>21467.668665261393</v>
      </c>
      <c r="U240" s="497">
        <f t="shared" si="308"/>
        <v>21467.668665261393</v>
      </c>
      <c r="V240" s="497">
        <f t="shared" si="308"/>
        <v>21467.668665261393</v>
      </c>
      <c r="W240" s="497">
        <f t="shared" si="308"/>
        <v>21467.668665261393</v>
      </c>
      <c r="X240" s="497">
        <f t="shared" si="308"/>
        <v>21467.668665261393</v>
      </c>
      <c r="Y240" s="497">
        <f t="shared" si="308"/>
        <v>21467.668665261393</v>
      </c>
      <c r="Z240" s="497">
        <f t="shared" si="308"/>
        <v>21467.668665261393</v>
      </c>
      <c r="AA240" s="497">
        <f t="shared" si="308"/>
        <v>21467.668665261393</v>
      </c>
      <c r="AB240" s="497">
        <f t="shared" si="308"/>
        <v>21467.668665261393</v>
      </c>
      <c r="AC240" s="497">
        <f t="shared" si="308"/>
        <v>21467.668665261393</v>
      </c>
      <c r="AD240" s="497">
        <f t="shared" si="308"/>
        <v>22633.063907104592</v>
      </c>
      <c r="AE240" s="497">
        <f t="shared" si="308"/>
        <v>22633.063907104592</v>
      </c>
      <c r="AF240" s="497">
        <f t="shared" si="308"/>
        <v>22633.063907104592</v>
      </c>
      <c r="AG240" s="497">
        <f t="shared" si="308"/>
        <v>22633.063907104592</v>
      </c>
      <c r="AH240" s="497">
        <f t="shared" si="308"/>
        <v>22633.063907104592</v>
      </c>
      <c r="AI240" s="497">
        <f t="shared" si="308"/>
        <v>22633.063907104592</v>
      </c>
      <c r="AJ240" s="497">
        <f t="shared" si="308"/>
        <v>22633.063907104592</v>
      </c>
      <c r="AK240" s="497">
        <f t="shared" si="308"/>
        <v>22633.063907104592</v>
      </c>
      <c r="AL240" s="497">
        <f t="shared" si="308"/>
        <v>22633.063907104592</v>
      </c>
      <c r="AM240" s="497">
        <f t="shared" si="308"/>
        <v>22633.063907104592</v>
      </c>
      <c r="AN240" s="527">
        <f t="shared" si="308"/>
        <v>22633.063907104592</v>
      </c>
      <c r="AO240" s="527">
        <f t="shared" si="308"/>
        <v>22633.063907104592</v>
      </c>
      <c r="AP240" s="527">
        <f t="shared" si="308"/>
        <v>23796.417657608079</v>
      </c>
      <c r="AQ240" s="527">
        <f t="shared" si="308"/>
        <v>23796.417657608079</v>
      </c>
      <c r="AR240" s="527">
        <f t="shared" si="308"/>
        <v>23796.417657608079</v>
      </c>
      <c r="AS240" s="527">
        <f t="shared" si="308"/>
        <v>23796.417657608079</v>
      </c>
      <c r="AT240" s="527">
        <f t="shared" si="308"/>
        <v>23796.417657608079</v>
      </c>
      <c r="AU240" s="527">
        <f t="shared" si="308"/>
        <v>23796.417657608079</v>
      </c>
      <c r="AV240" s="527">
        <f t="shared" si="308"/>
        <v>27843.116443421652</v>
      </c>
      <c r="AW240" s="527">
        <f t="shared" si="308"/>
        <v>27843.116443421652</v>
      </c>
      <c r="AX240" s="527">
        <f t="shared" ref="AX240:BY240" si="309">($R157*AX$581*AX492)+((($R157*AX$581)+AX207)*AX484)</f>
        <v>27843.116443421652</v>
      </c>
      <c r="AY240" s="527">
        <f t="shared" si="309"/>
        <v>27843.116443421652</v>
      </c>
      <c r="AZ240" s="527">
        <f t="shared" si="309"/>
        <v>27843.116443421652</v>
      </c>
      <c r="BA240" s="527">
        <f t="shared" si="309"/>
        <v>27843.116443421652</v>
      </c>
      <c r="BB240" s="527">
        <f t="shared" si="309"/>
        <v>28308.878959585571</v>
      </c>
      <c r="BC240" s="527">
        <f t="shared" si="309"/>
        <v>28308.878959585571</v>
      </c>
      <c r="BD240" s="527">
        <f t="shared" si="309"/>
        <v>28308.878959585571</v>
      </c>
      <c r="BE240" s="527">
        <f t="shared" si="309"/>
        <v>28308.878959585571</v>
      </c>
      <c r="BF240" s="527">
        <f t="shared" si="309"/>
        <v>28308.878959585571</v>
      </c>
      <c r="BG240" s="527">
        <f t="shared" si="309"/>
        <v>28308.878959585571</v>
      </c>
      <c r="BH240" s="527">
        <f t="shared" si="309"/>
        <v>29273.765600735798</v>
      </c>
      <c r="BI240" s="527">
        <f t="shared" si="309"/>
        <v>29273.765600735798</v>
      </c>
      <c r="BJ240" s="527">
        <f t="shared" si="309"/>
        <v>29273.765600735798</v>
      </c>
      <c r="BK240" s="527">
        <f t="shared" si="309"/>
        <v>29273.765600735798</v>
      </c>
      <c r="BL240" s="527">
        <f t="shared" si="309"/>
        <v>29273.765600735798</v>
      </c>
      <c r="BM240" s="527">
        <f t="shared" si="309"/>
        <v>29273.765600735798</v>
      </c>
      <c r="BN240" s="527">
        <f t="shared" si="309"/>
        <v>29765.973327479758</v>
      </c>
      <c r="BO240" s="527">
        <f t="shared" si="309"/>
        <v>29765.973327479758</v>
      </c>
      <c r="BP240" s="527">
        <f t="shared" si="309"/>
        <v>29765.973327479758</v>
      </c>
      <c r="BQ240" s="527">
        <f t="shared" si="309"/>
        <v>29765.973327479758</v>
      </c>
      <c r="BR240" s="527">
        <f t="shared" si="309"/>
        <v>29765.973327479758</v>
      </c>
      <c r="BS240" s="527">
        <f t="shared" si="309"/>
        <v>29765.973327479758</v>
      </c>
      <c r="BT240" s="527">
        <f t="shared" si="309"/>
        <v>30772.64915604232</v>
      </c>
      <c r="BU240" s="527">
        <f t="shared" si="309"/>
        <v>30772.64915604232</v>
      </c>
      <c r="BV240" s="527">
        <f t="shared" si="309"/>
        <v>30772.64915604232</v>
      </c>
      <c r="BW240" s="527">
        <f t="shared" si="309"/>
        <v>30772.64915604232</v>
      </c>
      <c r="BX240" s="527">
        <f t="shared" si="309"/>
        <v>30772.64915604232</v>
      </c>
      <c r="BY240" s="527">
        <f t="shared" si="309"/>
        <v>30772.64915604232</v>
      </c>
    </row>
    <row r="241" spans="3:77" x14ac:dyDescent="0.3">
      <c r="C241" s="2"/>
      <c r="D241" s="2"/>
      <c r="E241" s="115" t="str">
        <f>"BCF net comm.: "&amp;E$158</f>
        <v>BCF net comm.: FY30 Tranche</v>
      </c>
      <c r="F241" s="2"/>
      <c r="G241" s="2"/>
      <c r="H241" s="2"/>
      <c r="I241" s="2"/>
      <c r="J241" s="2"/>
      <c r="K241" s="2"/>
      <c r="L241" s="2"/>
      <c r="M241" s="2"/>
      <c r="N241" s="2"/>
      <c r="O241" s="2"/>
      <c r="P241" s="10"/>
      <c r="Q241" s="2"/>
      <c r="R241" s="497">
        <f t="shared" ref="R241:AW241" si="310">($R158*R$581*R493)+((($R158*R$581)+R208)*R485)</f>
        <v>21467.668665261393</v>
      </c>
      <c r="S241" s="497">
        <f t="shared" si="310"/>
        <v>21467.668665261393</v>
      </c>
      <c r="T241" s="497">
        <f t="shared" si="310"/>
        <v>21467.668665261393</v>
      </c>
      <c r="U241" s="497">
        <f t="shared" si="310"/>
        <v>21467.668665261393</v>
      </c>
      <c r="V241" s="497">
        <f t="shared" si="310"/>
        <v>21467.668665261393</v>
      </c>
      <c r="W241" s="497">
        <f t="shared" si="310"/>
        <v>21467.668665261393</v>
      </c>
      <c r="X241" s="497">
        <f t="shared" si="310"/>
        <v>21467.668665261393</v>
      </c>
      <c r="Y241" s="497">
        <f t="shared" si="310"/>
        <v>21467.668665261393</v>
      </c>
      <c r="Z241" s="497">
        <f t="shared" si="310"/>
        <v>21467.668665261393</v>
      </c>
      <c r="AA241" s="497">
        <f t="shared" si="310"/>
        <v>21467.668665261393</v>
      </c>
      <c r="AB241" s="497">
        <f t="shared" si="310"/>
        <v>21467.668665261393</v>
      </c>
      <c r="AC241" s="497">
        <f t="shared" si="310"/>
        <v>21467.668665261393</v>
      </c>
      <c r="AD241" s="497">
        <f t="shared" si="310"/>
        <v>22633.063907104592</v>
      </c>
      <c r="AE241" s="497">
        <f t="shared" si="310"/>
        <v>22633.063907104592</v>
      </c>
      <c r="AF241" s="497">
        <f t="shared" si="310"/>
        <v>22633.063907104592</v>
      </c>
      <c r="AG241" s="497">
        <f t="shared" si="310"/>
        <v>22633.063907104592</v>
      </c>
      <c r="AH241" s="497">
        <f t="shared" si="310"/>
        <v>22633.063907104592</v>
      </c>
      <c r="AI241" s="497">
        <f t="shared" si="310"/>
        <v>22633.063907104592</v>
      </c>
      <c r="AJ241" s="497">
        <f t="shared" si="310"/>
        <v>22633.063907104592</v>
      </c>
      <c r="AK241" s="497">
        <f t="shared" si="310"/>
        <v>22633.063907104592</v>
      </c>
      <c r="AL241" s="497">
        <f t="shared" si="310"/>
        <v>22633.063907104592</v>
      </c>
      <c r="AM241" s="497">
        <f t="shared" si="310"/>
        <v>22633.063907104592</v>
      </c>
      <c r="AN241" s="527">
        <f t="shared" si="310"/>
        <v>22633.063907104592</v>
      </c>
      <c r="AO241" s="527">
        <f t="shared" si="310"/>
        <v>22633.063907104592</v>
      </c>
      <c r="AP241" s="527">
        <f t="shared" si="310"/>
        <v>23796.417657608079</v>
      </c>
      <c r="AQ241" s="527">
        <f t="shared" si="310"/>
        <v>23796.417657608079</v>
      </c>
      <c r="AR241" s="527">
        <f t="shared" si="310"/>
        <v>23796.417657608079</v>
      </c>
      <c r="AS241" s="527">
        <f t="shared" si="310"/>
        <v>23796.417657608079</v>
      </c>
      <c r="AT241" s="527">
        <f t="shared" si="310"/>
        <v>23796.417657608079</v>
      </c>
      <c r="AU241" s="527">
        <f t="shared" si="310"/>
        <v>23796.417657608079</v>
      </c>
      <c r="AV241" s="527">
        <f t="shared" si="310"/>
        <v>23796.417657608079</v>
      </c>
      <c r="AW241" s="527">
        <f t="shared" si="310"/>
        <v>23796.417657608079</v>
      </c>
      <c r="AX241" s="527">
        <f t="shared" ref="AX241:BY241" si="311">($R158*AX$581*AX493)+((($R158*AX$581)+AX208)*AX485)</f>
        <v>23796.417657608079</v>
      </c>
      <c r="AY241" s="527">
        <f t="shared" si="311"/>
        <v>23796.417657608079</v>
      </c>
      <c r="AZ241" s="527">
        <f t="shared" si="311"/>
        <v>23796.417657608079</v>
      </c>
      <c r="BA241" s="527">
        <f t="shared" si="311"/>
        <v>23796.417657608079</v>
      </c>
      <c r="BB241" s="527">
        <f t="shared" si="311"/>
        <v>24948.643189296265</v>
      </c>
      <c r="BC241" s="527">
        <f t="shared" si="311"/>
        <v>24948.643189296265</v>
      </c>
      <c r="BD241" s="527">
        <f t="shared" si="311"/>
        <v>24948.643189296265</v>
      </c>
      <c r="BE241" s="527">
        <f t="shared" si="311"/>
        <v>24948.643189296265</v>
      </c>
      <c r="BF241" s="527">
        <f t="shared" si="311"/>
        <v>24948.643189296265</v>
      </c>
      <c r="BG241" s="527">
        <f t="shared" si="311"/>
        <v>24948.643189296265</v>
      </c>
      <c r="BH241" s="527">
        <f t="shared" si="311"/>
        <v>29092.899842996805</v>
      </c>
      <c r="BI241" s="527">
        <f t="shared" si="311"/>
        <v>29092.899842996805</v>
      </c>
      <c r="BJ241" s="527">
        <f t="shared" si="311"/>
        <v>29092.899842996805</v>
      </c>
      <c r="BK241" s="527">
        <f t="shared" si="311"/>
        <v>29092.899842996805</v>
      </c>
      <c r="BL241" s="527">
        <f t="shared" si="311"/>
        <v>29092.899842996805</v>
      </c>
      <c r="BM241" s="527">
        <f t="shared" si="311"/>
        <v>29092.899842996805</v>
      </c>
      <c r="BN241" s="527">
        <f t="shared" si="311"/>
        <v>29584.531939240369</v>
      </c>
      <c r="BO241" s="527">
        <f t="shared" si="311"/>
        <v>29584.531939240369</v>
      </c>
      <c r="BP241" s="527">
        <f t="shared" si="311"/>
        <v>29584.531939240369</v>
      </c>
      <c r="BQ241" s="527">
        <f t="shared" si="311"/>
        <v>29584.531939240369</v>
      </c>
      <c r="BR241" s="527">
        <f t="shared" si="311"/>
        <v>29584.531939240369</v>
      </c>
      <c r="BS241" s="527">
        <f t="shared" si="311"/>
        <v>29584.531939240369</v>
      </c>
      <c r="BT241" s="527">
        <f t="shared" si="311"/>
        <v>30583.950112273356</v>
      </c>
      <c r="BU241" s="527">
        <f t="shared" si="311"/>
        <v>30583.950112273356</v>
      </c>
      <c r="BV241" s="527">
        <f t="shared" si="311"/>
        <v>30583.950112273356</v>
      </c>
      <c r="BW241" s="527">
        <f t="shared" si="311"/>
        <v>30583.950112273356</v>
      </c>
      <c r="BX241" s="527">
        <f t="shared" si="311"/>
        <v>30583.950112273356</v>
      </c>
      <c r="BY241" s="527">
        <f t="shared" si="311"/>
        <v>30583.950112273356</v>
      </c>
    </row>
    <row r="242" spans="3:77" x14ac:dyDescent="0.3">
      <c r="C242" s="2"/>
      <c r="D242" s="2"/>
      <c r="E242" s="115" t="str">
        <f>"BCF net comm.: "&amp;E$159</f>
        <v>BCF net comm.: FY31 Tranche</v>
      </c>
      <c r="F242" s="2"/>
      <c r="G242" s="2"/>
      <c r="H242" s="2"/>
      <c r="I242" s="2"/>
      <c r="J242" s="2"/>
      <c r="K242" s="2"/>
      <c r="L242" s="2"/>
      <c r="M242" s="2"/>
      <c r="N242" s="2"/>
      <c r="O242" s="2"/>
      <c r="P242" s="10"/>
      <c r="Q242" s="2"/>
      <c r="R242" s="497">
        <f t="shared" ref="R242:AW242" si="312">($R159*R$581*R494)+((($R159*R$581)+R209)*R486)</f>
        <v>21467.668665261393</v>
      </c>
      <c r="S242" s="497">
        <f t="shared" si="312"/>
        <v>21467.668665261393</v>
      </c>
      <c r="T242" s="497">
        <f t="shared" si="312"/>
        <v>21467.668665261393</v>
      </c>
      <c r="U242" s="497">
        <f t="shared" si="312"/>
        <v>21467.668665261393</v>
      </c>
      <c r="V242" s="497">
        <f t="shared" si="312"/>
        <v>21467.668665261393</v>
      </c>
      <c r="W242" s="497">
        <f t="shared" si="312"/>
        <v>21467.668665261393</v>
      </c>
      <c r="X242" s="497">
        <f t="shared" si="312"/>
        <v>21467.668665261393</v>
      </c>
      <c r="Y242" s="497">
        <f t="shared" si="312"/>
        <v>21467.668665261393</v>
      </c>
      <c r="Z242" s="497">
        <f t="shared" si="312"/>
        <v>21467.668665261393</v>
      </c>
      <c r="AA242" s="497">
        <f t="shared" si="312"/>
        <v>21467.668665261393</v>
      </c>
      <c r="AB242" s="497">
        <f t="shared" si="312"/>
        <v>21467.668665261393</v>
      </c>
      <c r="AC242" s="497">
        <f t="shared" si="312"/>
        <v>21467.668665261393</v>
      </c>
      <c r="AD242" s="497">
        <f t="shared" si="312"/>
        <v>22633.063907104592</v>
      </c>
      <c r="AE242" s="497">
        <f t="shared" si="312"/>
        <v>22633.063907104592</v>
      </c>
      <c r="AF242" s="497">
        <f t="shared" si="312"/>
        <v>22633.063907104592</v>
      </c>
      <c r="AG242" s="497">
        <f t="shared" si="312"/>
        <v>22633.063907104592</v>
      </c>
      <c r="AH242" s="497">
        <f t="shared" si="312"/>
        <v>22633.063907104592</v>
      </c>
      <c r="AI242" s="497">
        <f t="shared" si="312"/>
        <v>22633.063907104592</v>
      </c>
      <c r="AJ242" s="497">
        <f t="shared" si="312"/>
        <v>22633.063907104592</v>
      </c>
      <c r="AK242" s="497">
        <f t="shared" si="312"/>
        <v>22633.063907104592</v>
      </c>
      <c r="AL242" s="497">
        <f t="shared" si="312"/>
        <v>22633.063907104592</v>
      </c>
      <c r="AM242" s="497">
        <f t="shared" si="312"/>
        <v>22633.063907104592</v>
      </c>
      <c r="AN242" s="527">
        <f t="shared" si="312"/>
        <v>22633.063907104592</v>
      </c>
      <c r="AO242" s="527">
        <f t="shared" si="312"/>
        <v>22633.063907104592</v>
      </c>
      <c r="AP242" s="527">
        <f t="shared" si="312"/>
        <v>23796.417657608079</v>
      </c>
      <c r="AQ242" s="527">
        <f t="shared" si="312"/>
        <v>23796.417657608079</v>
      </c>
      <c r="AR242" s="527">
        <f t="shared" si="312"/>
        <v>23796.417657608079</v>
      </c>
      <c r="AS242" s="527">
        <f t="shared" si="312"/>
        <v>23796.417657608079</v>
      </c>
      <c r="AT242" s="527">
        <f t="shared" si="312"/>
        <v>23796.417657608079</v>
      </c>
      <c r="AU242" s="527">
        <f t="shared" si="312"/>
        <v>23796.417657608079</v>
      </c>
      <c r="AV242" s="527">
        <f t="shared" si="312"/>
        <v>23796.417657608079</v>
      </c>
      <c r="AW242" s="527">
        <f t="shared" si="312"/>
        <v>23796.417657608079</v>
      </c>
      <c r="AX242" s="527">
        <f t="shared" ref="AX242:BY242" si="313">($R159*AX$581*AX494)+((($R159*AX$581)+AX209)*AX486)</f>
        <v>23796.417657608079</v>
      </c>
      <c r="AY242" s="527">
        <f t="shared" si="313"/>
        <v>23796.417657608079</v>
      </c>
      <c r="AZ242" s="527">
        <f t="shared" si="313"/>
        <v>23796.417657608079</v>
      </c>
      <c r="BA242" s="527">
        <f t="shared" si="313"/>
        <v>23796.417657608079</v>
      </c>
      <c r="BB242" s="527">
        <f t="shared" si="313"/>
        <v>24948.643189296265</v>
      </c>
      <c r="BC242" s="527">
        <f t="shared" si="313"/>
        <v>24948.643189296265</v>
      </c>
      <c r="BD242" s="527">
        <f t="shared" si="313"/>
        <v>24948.643189296265</v>
      </c>
      <c r="BE242" s="527">
        <f t="shared" si="313"/>
        <v>24948.643189296265</v>
      </c>
      <c r="BF242" s="527">
        <f t="shared" si="313"/>
        <v>24948.643189296265</v>
      </c>
      <c r="BG242" s="527">
        <f t="shared" si="313"/>
        <v>24948.643189296265</v>
      </c>
      <c r="BH242" s="527">
        <f t="shared" si="313"/>
        <v>24948.643189296265</v>
      </c>
      <c r="BI242" s="527">
        <f t="shared" si="313"/>
        <v>24948.643189296265</v>
      </c>
      <c r="BJ242" s="527">
        <f t="shared" si="313"/>
        <v>24948.643189296265</v>
      </c>
      <c r="BK242" s="527">
        <f t="shared" si="313"/>
        <v>24948.643189296265</v>
      </c>
      <c r="BL242" s="527">
        <f t="shared" si="313"/>
        <v>24948.643189296265</v>
      </c>
      <c r="BM242" s="527">
        <f t="shared" si="313"/>
        <v>24948.643189296265</v>
      </c>
      <c r="BN242" s="527">
        <f t="shared" si="313"/>
        <v>26143.577881224075</v>
      </c>
      <c r="BO242" s="527">
        <f t="shared" si="313"/>
        <v>26143.577881224075</v>
      </c>
      <c r="BP242" s="527">
        <f t="shared" si="313"/>
        <v>26143.577881224075</v>
      </c>
      <c r="BQ242" s="527">
        <f t="shared" si="313"/>
        <v>26143.577881224075</v>
      </c>
      <c r="BR242" s="527">
        <f t="shared" si="313"/>
        <v>26143.577881224075</v>
      </c>
      <c r="BS242" s="527">
        <f t="shared" si="313"/>
        <v>26143.577881224075</v>
      </c>
      <c r="BT242" s="527">
        <f t="shared" si="313"/>
        <v>30382.160836862015</v>
      </c>
      <c r="BU242" s="527">
        <f t="shared" si="313"/>
        <v>30382.160836862015</v>
      </c>
      <c r="BV242" s="527">
        <f t="shared" si="313"/>
        <v>30382.160836862015</v>
      </c>
      <c r="BW242" s="527">
        <f t="shared" si="313"/>
        <v>30382.160836862015</v>
      </c>
      <c r="BX242" s="527">
        <f t="shared" si="313"/>
        <v>30382.160836862015</v>
      </c>
      <c r="BY242" s="527">
        <f t="shared" si="313"/>
        <v>30382.160836862015</v>
      </c>
    </row>
    <row r="243" spans="3:77" x14ac:dyDescent="0.3">
      <c r="C243" s="2"/>
      <c r="D243" s="2"/>
      <c r="E243" s="115" t="str">
        <f>"BCF net comm.: "&amp;E$160</f>
        <v>BCF net comm.: Uninvested Tranche</v>
      </c>
      <c r="F243" s="2"/>
      <c r="G243" s="2"/>
      <c r="H243" s="2"/>
      <c r="I243" s="2"/>
      <c r="J243" s="2"/>
      <c r="K243" s="2"/>
      <c r="L243" s="2"/>
      <c r="M243" s="2"/>
      <c r="N243" s="2"/>
      <c r="O243" s="2"/>
      <c r="P243" s="10"/>
      <c r="Q243" s="2"/>
      <c r="R243" s="497">
        <f t="shared" ref="R243:AW243" si="314">($R160*R$581*R495)+((($R160*R$581)+R210)*R487)</f>
        <v>60109.472262731906</v>
      </c>
      <c r="S243" s="497">
        <f t="shared" si="314"/>
        <v>60109.472262731906</v>
      </c>
      <c r="T243" s="497">
        <f t="shared" si="314"/>
        <v>60109.472262731906</v>
      </c>
      <c r="U243" s="497">
        <f t="shared" si="314"/>
        <v>60109.472262731906</v>
      </c>
      <c r="V243" s="497">
        <f t="shared" si="314"/>
        <v>60109.472262731906</v>
      </c>
      <c r="W243" s="497">
        <f t="shared" si="314"/>
        <v>60109.472262731906</v>
      </c>
      <c r="X243" s="497">
        <f t="shared" si="314"/>
        <v>60109.472262731906</v>
      </c>
      <c r="Y243" s="497">
        <f t="shared" si="314"/>
        <v>60109.472262731906</v>
      </c>
      <c r="Z243" s="497">
        <f t="shared" si="314"/>
        <v>60109.472262731906</v>
      </c>
      <c r="AA243" s="497">
        <f t="shared" si="314"/>
        <v>60109.472262731906</v>
      </c>
      <c r="AB243" s="497">
        <f t="shared" si="314"/>
        <v>60109.472262731906</v>
      </c>
      <c r="AC243" s="497">
        <f t="shared" si="314"/>
        <v>60109.472262731906</v>
      </c>
      <c r="AD243" s="497">
        <f t="shared" si="314"/>
        <v>63372.578939892861</v>
      </c>
      <c r="AE243" s="497">
        <f t="shared" si="314"/>
        <v>63372.578939892861</v>
      </c>
      <c r="AF243" s="497">
        <f t="shared" si="314"/>
        <v>63372.578939892861</v>
      </c>
      <c r="AG243" s="497">
        <f t="shared" si="314"/>
        <v>63372.578939892861</v>
      </c>
      <c r="AH243" s="497">
        <f t="shared" si="314"/>
        <v>63372.578939892861</v>
      </c>
      <c r="AI243" s="497">
        <f t="shared" si="314"/>
        <v>63372.578939892861</v>
      </c>
      <c r="AJ243" s="497">
        <f t="shared" si="314"/>
        <v>63372.578939892861</v>
      </c>
      <c r="AK243" s="497">
        <f t="shared" si="314"/>
        <v>63372.578939892861</v>
      </c>
      <c r="AL243" s="497">
        <f t="shared" si="314"/>
        <v>63372.578939892861</v>
      </c>
      <c r="AM243" s="497">
        <f t="shared" si="314"/>
        <v>63372.578939892861</v>
      </c>
      <c r="AN243" s="527">
        <f t="shared" si="314"/>
        <v>63372.578939892861</v>
      </c>
      <c r="AO243" s="527">
        <f t="shared" si="314"/>
        <v>63372.578939892861</v>
      </c>
      <c r="AP243" s="527">
        <f t="shared" si="314"/>
        <v>66629.96944130263</v>
      </c>
      <c r="AQ243" s="527">
        <f t="shared" si="314"/>
        <v>66629.96944130263</v>
      </c>
      <c r="AR243" s="527">
        <f t="shared" si="314"/>
        <v>66629.96944130263</v>
      </c>
      <c r="AS243" s="527">
        <f t="shared" si="314"/>
        <v>66629.96944130263</v>
      </c>
      <c r="AT243" s="527">
        <f t="shared" si="314"/>
        <v>66629.96944130263</v>
      </c>
      <c r="AU243" s="527">
        <f t="shared" si="314"/>
        <v>66629.96944130263</v>
      </c>
      <c r="AV243" s="527">
        <f t="shared" si="314"/>
        <v>66629.96944130263</v>
      </c>
      <c r="AW243" s="527">
        <f t="shared" si="314"/>
        <v>66629.96944130263</v>
      </c>
      <c r="AX243" s="527">
        <f t="shared" ref="AX243:BY243" si="315">($R160*AX$581*AX495)+((($R160*AX$581)+AX210)*AX487)</f>
        <v>66629.96944130263</v>
      </c>
      <c r="AY243" s="527">
        <f t="shared" si="315"/>
        <v>66629.96944130263</v>
      </c>
      <c r="AZ243" s="527">
        <f t="shared" si="315"/>
        <v>66629.96944130263</v>
      </c>
      <c r="BA243" s="527">
        <f t="shared" si="315"/>
        <v>66629.96944130263</v>
      </c>
      <c r="BB243" s="527">
        <f t="shared" si="315"/>
        <v>69856.200930029532</v>
      </c>
      <c r="BC243" s="527">
        <f t="shared" si="315"/>
        <v>69856.200930029532</v>
      </c>
      <c r="BD243" s="527">
        <f t="shared" si="315"/>
        <v>69856.200930029532</v>
      </c>
      <c r="BE243" s="527">
        <f t="shared" si="315"/>
        <v>69856.200930029532</v>
      </c>
      <c r="BF243" s="527">
        <f t="shared" si="315"/>
        <v>69856.200930029532</v>
      </c>
      <c r="BG243" s="527">
        <f t="shared" si="315"/>
        <v>69856.200930029532</v>
      </c>
      <c r="BH243" s="527">
        <f t="shared" si="315"/>
        <v>69856.200930029532</v>
      </c>
      <c r="BI243" s="527">
        <f t="shared" si="315"/>
        <v>69856.200930029532</v>
      </c>
      <c r="BJ243" s="527">
        <f t="shared" si="315"/>
        <v>69856.200930029532</v>
      </c>
      <c r="BK243" s="527">
        <f t="shared" si="315"/>
        <v>69856.200930029532</v>
      </c>
      <c r="BL243" s="527">
        <f t="shared" si="315"/>
        <v>69856.200930029532</v>
      </c>
      <c r="BM243" s="527">
        <f t="shared" si="315"/>
        <v>69856.200930029532</v>
      </c>
      <c r="BN243" s="527">
        <f t="shared" si="315"/>
        <v>73202.018067427402</v>
      </c>
      <c r="BO243" s="527">
        <f t="shared" si="315"/>
        <v>73202.018067427402</v>
      </c>
      <c r="BP243" s="527">
        <f t="shared" si="315"/>
        <v>73202.018067427402</v>
      </c>
      <c r="BQ243" s="527">
        <f t="shared" si="315"/>
        <v>73202.018067427402</v>
      </c>
      <c r="BR243" s="527">
        <f t="shared" si="315"/>
        <v>73202.018067427402</v>
      </c>
      <c r="BS243" s="527">
        <f t="shared" si="315"/>
        <v>73202.018067427402</v>
      </c>
      <c r="BT243" s="527">
        <f t="shared" si="315"/>
        <v>73202.018067427402</v>
      </c>
      <c r="BU243" s="527">
        <f t="shared" si="315"/>
        <v>73202.018067427402</v>
      </c>
      <c r="BV243" s="527">
        <f t="shared" si="315"/>
        <v>73202.018067427402</v>
      </c>
      <c r="BW243" s="527">
        <f t="shared" si="315"/>
        <v>73202.018067427402</v>
      </c>
      <c r="BX243" s="527">
        <f t="shared" si="315"/>
        <v>73202.018067427402</v>
      </c>
      <c r="BY243" s="527">
        <f t="shared" si="315"/>
        <v>73202.018067427402</v>
      </c>
    </row>
    <row r="244" spans="3:77" x14ac:dyDescent="0.3">
      <c r="C244" s="2"/>
      <c r="D244" s="2"/>
      <c r="E244" s="4" t="s">
        <v>36</v>
      </c>
      <c r="F244" s="4"/>
      <c r="G244" s="4"/>
      <c r="H244" s="4"/>
      <c r="I244" s="4"/>
      <c r="J244" s="4"/>
      <c r="K244" s="4"/>
      <c r="L244" s="4"/>
      <c r="M244" s="4"/>
      <c r="N244" s="4"/>
      <c r="O244" s="4"/>
      <c r="P244" s="106"/>
      <c r="Q244" s="4"/>
      <c r="R244" s="498">
        <f t="shared" ref="R244:AW244" si="316">SUM(R238:R243)</f>
        <v>167447.81558903886</v>
      </c>
      <c r="S244" s="498">
        <f t="shared" si="316"/>
        <v>167447.81558903886</v>
      </c>
      <c r="T244" s="498">
        <f t="shared" si="316"/>
        <v>167447.81558903886</v>
      </c>
      <c r="U244" s="498">
        <f t="shared" si="316"/>
        <v>167447.81558903886</v>
      </c>
      <c r="V244" s="498">
        <f t="shared" si="316"/>
        <v>167447.81558903886</v>
      </c>
      <c r="W244" s="498">
        <f t="shared" si="316"/>
        <v>167447.81558903886</v>
      </c>
      <c r="X244" s="498">
        <f t="shared" si="316"/>
        <v>171282.52400145782</v>
      </c>
      <c r="Y244" s="498">
        <f t="shared" si="316"/>
        <v>171282.52400145782</v>
      </c>
      <c r="Z244" s="498">
        <f t="shared" si="316"/>
        <v>171282.52400145782</v>
      </c>
      <c r="AA244" s="498">
        <f t="shared" si="316"/>
        <v>171282.52400145782</v>
      </c>
      <c r="AB244" s="498">
        <f t="shared" si="316"/>
        <v>171282.52400145782</v>
      </c>
      <c r="AC244" s="498">
        <f t="shared" si="316"/>
        <v>171282.52400145782</v>
      </c>
      <c r="AD244" s="498">
        <f t="shared" si="316"/>
        <v>179666.08988655079</v>
      </c>
      <c r="AE244" s="498">
        <f t="shared" si="316"/>
        <v>179666.08988655079</v>
      </c>
      <c r="AF244" s="498">
        <f t="shared" si="316"/>
        <v>179666.08988655079</v>
      </c>
      <c r="AG244" s="498">
        <f t="shared" si="316"/>
        <v>179666.08988655079</v>
      </c>
      <c r="AH244" s="498">
        <f t="shared" si="316"/>
        <v>179666.08988655079</v>
      </c>
      <c r="AI244" s="498">
        <f t="shared" si="316"/>
        <v>179666.08988655079</v>
      </c>
      <c r="AJ244" s="498">
        <f t="shared" si="316"/>
        <v>184502.49011365292</v>
      </c>
      <c r="AK244" s="498">
        <f t="shared" si="316"/>
        <v>184502.49011365292</v>
      </c>
      <c r="AL244" s="498">
        <f t="shared" si="316"/>
        <v>184502.49011365292</v>
      </c>
      <c r="AM244" s="498">
        <f t="shared" si="316"/>
        <v>184502.49011365292</v>
      </c>
      <c r="AN244" s="530">
        <f t="shared" si="316"/>
        <v>184502.49011365292</v>
      </c>
      <c r="AO244" s="530">
        <f t="shared" si="316"/>
        <v>184502.49011365292</v>
      </c>
      <c r="AP244" s="530">
        <f t="shared" si="316"/>
        <v>192167.41233926185</v>
      </c>
      <c r="AQ244" s="530">
        <f t="shared" si="316"/>
        <v>192167.41233926185</v>
      </c>
      <c r="AR244" s="530">
        <f t="shared" si="316"/>
        <v>192167.41233926185</v>
      </c>
      <c r="AS244" s="530">
        <f t="shared" si="316"/>
        <v>192167.41233926185</v>
      </c>
      <c r="AT244" s="530">
        <f t="shared" si="316"/>
        <v>192167.41233926185</v>
      </c>
      <c r="AU244" s="530">
        <f t="shared" si="316"/>
        <v>192167.41233926185</v>
      </c>
      <c r="AV244" s="530">
        <f t="shared" si="316"/>
        <v>198075.89865951322</v>
      </c>
      <c r="AW244" s="530">
        <f t="shared" si="316"/>
        <v>198075.89865951322</v>
      </c>
      <c r="AX244" s="530">
        <f t="shared" ref="AX244:BY244" si="317">SUM(AX238:AX243)</f>
        <v>198075.89865951322</v>
      </c>
      <c r="AY244" s="530">
        <f t="shared" si="317"/>
        <v>198075.89865951322</v>
      </c>
      <c r="AZ244" s="530">
        <f t="shared" si="317"/>
        <v>198075.89865951322</v>
      </c>
      <c r="BA244" s="530">
        <f t="shared" si="317"/>
        <v>198075.89865951322</v>
      </c>
      <c r="BB244" s="530">
        <f t="shared" si="317"/>
        <v>205004.95682976278</v>
      </c>
      <c r="BC244" s="530">
        <f t="shared" si="317"/>
        <v>205004.95682976278</v>
      </c>
      <c r="BD244" s="530">
        <f t="shared" si="317"/>
        <v>205004.95682976278</v>
      </c>
      <c r="BE244" s="530">
        <f t="shared" si="317"/>
        <v>205004.95682976278</v>
      </c>
      <c r="BF244" s="530">
        <f t="shared" si="317"/>
        <v>205004.95682976278</v>
      </c>
      <c r="BG244" s="530">
        <f t="shared" si="317"/>
        <v>205004.95682976278</v>
      </c>
      <c r="BH244" s="530">
        <f t="shared" si="317"/>
        <v>212056.86671260934</v>
      </c>
      <c r="BI244" s="530">
        <f t="shared" si="317"/>
        <v>212056.86671260934</v>
      </c>
      <c r="BJ244" s="530">
        <f t="shared" si="317"/>
        <v>212056.86671260934</v>
      </c>
      <c r="BK244" s="530">
        <f t="shared" si="317"/>
        <v>212056.86671260934</v>
      </c>
      <c r="BL244" s="530">
        <f t="shared" si="317"/>
        <v>212056.86671260934</v>
      </c>
      <c r="BM244" s="530">
        <f t="shared" si="317"/>
        <v>212056.86671260934</v>
      </c>
      <c r="BN244" s="530">
        <f t="shared" si="317"/>
        <v>218566.94899660879</v>
      </c>
      <c r="BO244" s="530">
        <f t="shared" si="317"/>
        <v>218566.94899660879</v>
      </c>
      <c r="BP244" s="530">
        <f t="shared" si="317"/>
        <v>218566.94899660879</v>
      </c>
      <c r="BQ244" s="530">
        <f t="shared" si="317"/>
        <v>218566.94899660879</v>
      </c>
      <c r="BR244" s="530">
        <f t="shared" si="317"/>
        <v>218566.94899660879</v>
      </c>
      <c r="BS244" s="530">
        <f t="shared" si="317"/>
        <v>218566.94899660879</v>
      </c>
      <c r="BT244" s="530">
        <f t="shared" si="317"/>
        <v>226838.5336560185</v>
      </c>
      <c r="BU244" s="530">
        <f t="shared" si="317"/>
        <v>226838.5336560185</v>
      </c>
      <c r="BV244" s="530">
        <f t="shared" si="317"/>
        <v>226838.5336560185</v>
      </c>
      <c r="BW244" s="530">
        <f t="shared" si="317"/>
        <v>226838.5336560185</v>
      </c>
      <c r="BX244" s="530">
        <f t="shared" si="317"/>
        <v>226838.5336560185</v>
      </c>
      <c r="BY244" s="530">
        <f t="shared" si="317"/>
        <v>226838.5336560185</v>
      </c>
    </row>
    <row r="245" spans="3:77" x14ac:dyDescent="0.3">
      <c r="C245" s="2"/>
      <c r="D245" s="2"/>
      <c r="E245" s="2"/>
      <c r="F245" s="2"/>
      <c r="G245" s="2"/>
      <c r="H245" s="2"/>
      <c r="I245" s="2"/>
      <c r="J245" s="2"/>
      <c r="K245" s="2"/>
      <c r="L245" s="2"/>
      <c r="M245" s="2"/>
      <c r="N245" s="2"/>
      <c r="O245" s="2"/>
      <c r="P245" s="10"/>
      <c r="Q245" s="2"/>
      <c r="R245" s="2"/>
      <c r="S245" s="2"/>
      <c r="T245" s="2"/>
      <c r="U245" s="2"/>
      <c r="V245" s="2"/>
      <c r="W245" s="2"/>
      <c r="X245" s="2"/>
      <c r="Y245" s="2"/>
      <c r="Z245" s="2"/>
      <c r="AA245" s="2"/>
      <c r="AB245" s="2"/>
      <c r="AC245" s="2"/>
      <c r="AD245" s="2"/>
      <c r="AE245" s="2"/>
      <c r="AF245" s="2"/>
      <c r="AG245" s="2"/>
      <c r="AH245" s="2"/>
      <c r="AI245" s="2"/>
      <c r="AJ245" s="2"/>
      <c r="AK245" s="2"/>
      <c r="AL245" s="2"/>
      <c r="AM245" s="2"/>
      <c r="AN245" s="525"/>
      <c r="AO245" s="525"/>
      <c r="AP245" s="525"/>
      <c r="AQ245" s="525"/>
      <c r="AR245" s="525"/>
      <c r="AS245" s="525"/>
      <c r="AT245" s="525"/>
      <c r="AU245" s="525"/>
      <c r="AV245" s="525"/>
      <c r="AW245" s="525"/>
      <c r="AX245" s="525"/>
      <c r="AY245" s="525"/>
      <c r="AZ245" s="525"/>
      <c r="BA245" s="525"/>
      <c r="BB245" s="525"/>
      <c r="BC245" s="525"/>
      <c r="BD245" s="525"/>
      <c r="BE245" s="525"/>
      <c r="BF245" s="525"/>
      <c r="BG245" s="525"/>
      <c r="BH245" s="525"/>
      <c r="BI245" s="525"/>
      <c r="BJ245" s="525"/>
      <c r="BK245" s="525"/>
      <c r="BL245" s="525"/>
      <c r="BM245" s="525"/>
      <c r="BN245" s="525"/>
      <c r="BO245" s="525"/>
      <c r="BP245" s="525"/>
      <c r="BQ245" s="525"/>
      <c r="BR245" s="525"/>
      <c r="BS245" s="525"/>
      <c r="BT245" s="525"/>
      <c r="BU245" s="525"/>
      <c r="BV245" s="525"/>
      <c r="BW245" s="525"/>
      <c r="BX245" s="525"/>
      <c r="BY245" s="525"/>
    </row>
    <row r="246" spans="3:77" x14ac:dyDescent="0.3">
      <c r="C246" s="2"/>
      <c r="D246" s="2"/>
      <c r="E246" s="116" t="str">
        <f>"BCF gross sales: "&amp;E$155</f>
        <v>BCF gross sales: FY27 Tranche</v>
      </c>
      <c r="F246" s="2"/>
      <c r="G246" s="2"/>
      <c r="H246" s="2"/>
      <c r="I246" s="2"/>
      <c r="J246" s="2"/>
      <c r="K246" s="2"/>
      <c r="L246" s="2"/>
      <c r="M246" s="2"/>
      <c r="N246" s="2"/>
      <c r="O246" s="2"/>
      <c r="P246" s="10"/>
      <c r="Q246" s="2"/>
      <c r="R246" s="497">
        <f t="shared" ref="R246:AW246" si="318">IFERROR(R238/R$223,0)</f>
        <v>58499.004852451086</v>
      </c>
      <c r="S246" s="497">
        <f t="shared" si="318"/>
        <v>58499.004852451086</v>
      </c>
      <c r="T246" s="497">
        <f t="shared" si="318"/>
        <v>58499.004852451086</v>
      </c>
      <c r="U246" s="497">
        <f t="shared" si="318"/>
        <v>58499.004852451086</v>
      </c>
      <c r="V246" s="497">
        <f t="shared" si="318"/>
        <v>58499.004852451086</v>
      </c>
      <c r="W246" s="497">
        <f t="shared" si="318"/>
        <v>58499.004852451086</v>
      </c>
      <c r="X246" s="497">
        <f t="shared" si="318"/>
        <v>68948.515207938966</v>
      </c>
      <c r="Y246" s="497">
        <f t="shared" si="318"/>
        <v>68948.515207938966</v>
      </c>
      <c r="Z246" s="497">
        <f t="shared" si="318"/>
        <v>68948.515207938966</v>
      </c>
      <c r="AA246" s="497">
        <f t="shared" si="318"/>
        <v>68948.515207938966</v>
      </c>
      <c r="AB246" s="497">
        <f t="shared" si="318"/>
        <v>68948.515207938966</v>
      </c>
      <c r="AC246" s="497">
        <f t="shared" si="318"/>
        <v>68948.515207938966</v>
      </c>
      <c r="AD246" s="497">
        <f t="shared" si="318"/>
        <v>69000.458510748984</v>
      </c>
      <c r="AE246" s="497">
        <f t="shared" si="318"/>
        <v>69000.458510748984</v>
      </c>
      <c r="AF246" s="497">
        <f t="shared" si="318"/>
        <v>69000.458510748984</v>
      </c>
      <c r="AG246" s="497">
        <f t="shared" si="318"/>
        <v>69000.458510748984</v>
      </c>
      <c r="AH246" s="497">
        <f t="shared" si="318"/>
        <v>69000.458510748984</v>
      </c>
      <c r="AI246" s="497">
        <f t="shared" si="318"/>
        <v>69000.458510748984</v>
      </c>
      <c r="AJ246" s="497">
        <f t="shared" si="318"/>
        <v>71393.050984832502</v>
      </c>
      <c r="AK246" s="497">
        <f t="shared" si="318"/>
        <v>71393.050984832502</v>
      </c>
      <c r="AL246" s="497">
        <f t="shared" si="318"/>
        <v>71393.050984832502</v>
      </c>
      <c r="AM246" s="497">
        <f t="shared" si="318"/>
        <v>71393.050984832502</v>
      </c>
      <c r="AN246" s="527">
        <f t="shared" si="318"/>
        <v>71393.050984832502</v>
      </c>
      <c r="AO246" s="527">
        <f t="shared" si="318"/>
        <v>71393.050984832502</v>
      </c>
      <c r="AP246" s="527">
        <f t="shared" si="318"/>
        <v>71494.082436361205</v>
      </c>
      <c r="AQ246" s="527">
        <f t="shared" si="318"/>
        <v>71494.082436361205</v>
      </c>
      <c r="AR246" s="527">
        <f t="shared" si="318"/>
        <v>71494.082436361205</v>
      </c>
      <c r="AS246" s="527">
        <f t="shared" si="318"/>
        <v>71494.082436361205</v>
      </c>
      <c r="AT246" s="527">
        <f t="shared" si="318"/>
        <v>71494.082436361205</v>
      </c>
      <c r="AU246" s="527">
        <f t="shared" si="318"/>
        <v>71494.082436361205</v>
      </c>
      <c r="AV246" s="527">
        <f t="shared" si="318"/>
        <v>73952.859362905263</v>
      </c>
      <c r="AW246" s="527">
        <f t="shared" si="318"/>
        <v>73952.859362905263</v>
      </c>
      <c r="AX246" s="527">
        <f t="shared" ref="AX246:BY246" si="319">IFERROR(AX238/AX$223,0)</f>
        <v>73952.859362905263</v>
      </c>
      <c r="AY246" s="527">
        <f t="shared" si="319"/>
        <v>73952.859362905263</v>
      </c>
      <c r="AZ246" s="527">
        <f t="shared" si="319"/>
        <v>73952.859362905263</v>
      </c>
      <c r="BA246" s="527">
        <f t="shared" si="319"/>
        <v>73952.859362905263</v>
      </c>
      <c r="BB246" s="527">
        <f t="shared" si="319"/>
        <v>74127.919322929796</v>
      </c>
      <c r="BC246" s="527">
        <f t="shared" si="319"/>
        <v>74127.919322929796</v>
      </c>
      <c r="BD246" s="527">
        <f t="shared" si="319"/>
        <v>74127.919322929796</v>
      </c>
      <c r="BE246" s="527">
        <f t="shared" si="319"/>
        <v>74127.919322929796</v>
      </c>
      <c r="BF246" s="527">
        <f t="shared" si="319"/>
        <v>74127.919322929796</v>
      </c>
      <c r="BG246" s="527">
        <f t="shared" si="319"/>
        <v>74127.919322929796</v>
      </c>
      <c r="BH246" s="527">
        <f t="shared" si="319"/>
        <v>76657.642091311369</v>
      </c>
      <c r="BI246" s="527">
        <f t="shared" si="319"/>
        <v>76657.642091311369</v>
      </c>
      <c r="BJ246" s="527">
        <f t="shared" si="319"/>
        <v>76657.642091311369</v>
      </c>
      <c r="BK246" s="527">
        <f t="shared" si="319"/>
        <v>76657.642091311369</v>
      </c>
      <c r="BL246" s="527">
        <f t="shared" si="319"/>
        <v>76657.642091311369</v>
      </c>
      <c r="BM246" s="527">
        <f t="shared" si="319"/>
        <v>76657.642091311369</v>
      </c>
      <c r="BN246" s="527">
        <f t="shared" si="319"/>
        <v>76885.60913426234</v>
      </c>
      <c r="BO246" s="527">
        <f t="shared" si="319"/>
        <v>76885.60913426234</v>
      </c>
      <c r="BP246" s="527">
        <f t="shared" si="319"/>
        <v>76885.60913426234</v>
      </c>
      <c r="BQ246" s="527">
        <f t="shared" si="319"/>
        <v>76885.60913426234</v>
      </c>
      <c r="BR246" s="527">
        <f t="shared" si="319"/>
        <v>76885.60913426234</v>
      </c>
      <c r="BS246" s="527">
        <f t="shared" si="319"/>
        <v>76885.60913426234</v>
      </c>
      <c r="BT246" s="527">
        <f t="shared" si="319"/>
        <v>79489.220519551687</v>
      </c>
      <c r="BU246" s="527">
        <f t="shared" si="319"/>
        <v>79489.220519551687</v>
      </c>
      <c r="BV246" s="527">
        <f t="shared" si="319"/>
        <v>79489.220519551687</v>
      </c>
      <c r="BW246" s="527">
        <f t="shared" si="319"/>
        <v>79489.220519551687</v>
      </c>
      <c r="BX246" s="527">
        <f t="shared" si="319"/>
        <v>79489.220519551687</v>
      </c>
      <c r="BY246" s="527">
        <f t="shared" si="319"/>
        <v>79489.220519551687</v>
      </c>
    </row>
    <row r="247" spans="3:77" x14ac:dyDescent="0.3">
      <c r="C247" s="2"/>
      <c r="D247" s="2"/>
      <c r="E247" s="116" t="str">
        <f>"BCF gross sales: "&amp;E$156</f>
        <v>BCF gross sales: FY28 Tranche</v>
      </c>
      <c r="F247" s="2"/>
      <c r="G247" s="2"/>
      <c r="H247" s="2"/>
      <c r="I247" s="2"/>
      <c r="J247" s="2"/>
      <c r="K247" s="2"/>
      <c r="L247" s="2"/>
      <c r="M247" s="2"/>
      <c r="N247" s="2"/>
      <c r="O247" s="2"/>
      <c r="P247" s="10"/>
      <c r="Q247" s="2"/>
      <c r="R247" s="497">
        <f t="shared" ref="R247:AW247" si="320">IFERROR(R239/R$223,0)</f>
        <v>58499.004852451086</v>
      </c>
      <c r="S247" s="497">
        <f t="shared" si="320"/>
        <v>58499.004852451086</v>
      </c>
      <c r="T247" s="497">
        <f t="shared" si="320"/>
        <v>58499.004852451086</v>
      </c>
      <c r="U247" s="497">
        <f t="shared" si="320"/>
        <v>58499.004852451086</v>
      </c>
      <c r="V247" s="497">
        <f t="shared" si="320"/>
        <v>58499.004852451086</v>
      </c>
      <c r="W247" s="497">
        <f t="shared" si="320"/>
        <v>58499.004852451086</v>
      </c>
      <c r="X247" s="497">
        <f t="shared" si="320"/>
        <v>58499.004852451086</v>
      </c>
      <c r="Y247" s="497">
        <f t="shared" si="320"/>
        <v>58499.004852451086</v>
      </c>
      <c r="Z247" s="497">
        <f t="shared" si="320"/>
        <v>58499.004852451086</v>
      </c>
      <c r="AA247" s="497">
        <f t="shared" si="320"/>
        <v>58499.004852451086</v>
      </c>
      <c r="AB247" s="497">
        <f t="shared" si="320"/>
        <v>58499.004852451086</v>
      </c>
      <c r="AC247" s="497">
        <f t="shared" si="320"/>
        <v>58499.004852451086</v>
      </c>
      <c r="AD247" s="497">
        <f t="shared" si="320"/>
        <v>60621.727000531158</v>
      </c>
      <c r="AE247" s="497">
        <f t="shared" si="320"/>
        <v>60621.727000531158</v>
      </c>
      <c r="AF247" s="497">
        <f t="shared" si="320"/>
        <v>60621.727000531158</v>
      </c>
      <c r="AG247" s="497">
        <f t="shared" si="320"/>
        <v>60621.727000531158</v>
      </c>
      <c r="AH247" s="497">
        <f t="shared" si="320"/>
        <v>60621.727000531158</v>
      </c>
      <c r="AI247" s="497">
        <f t="shared" si="320"/>
        <v>60621.727000531158</v>
      </c>
      <c r="AJ247" s="497">
        <f t="shared" si="320"/>
        <v>71183.232806559827</v>
      </c>
      <c r="AK247" s="497">
        <f t="shared" si="320"/>
        <v>71183.232806559827</v>
      </c>
      <c r="AL247" s="497">
        <f t="shared" si="320"/>
        <v>71183.232806559827</v>
      </c>
      <c r="AM247" s="497">
        <f t="shared" si="320"/>
        <v>71183.232806559827</v>
      </c>
      <c r="AN247" s="527">
        <f t="shared" si="320"/>
        <v>71183.232806559827</v>
      </c>
      <c r="AO247" s="527">
        <f t="shared" si="320"/>
        <v>71183.232806559827</v>
      </c>
      <c r="AP247" s="527">
        <f t="shared" si="320"/>
        <v>71286.753380803217</v>
      </c>
      <c r="AQ247" s="527">
        <f t="shared" si="320"/>
        <v>71286.753380803217</v>
      </c>
      <c r="AR247" s="527">
        <f t="shared" si="320"/>
        <v>71286.753380803217</v>
      </c>
      <c r="AS247" s="527">
        <f t="shared" si="320"/>
        <v>71286.753380803217</v>
      </c>
      <c r="AT247" s="527">
        <f t="shared" si="320"/>
        <v>71286.753380803217</v>
      </c>
      <c r="AU247" s="527">
        <f t="shared" si="320"/>
        <v>71286.753380803217</v>
      </c>
      <c r="AV247" s="527">
        <f t="shared" si="320"/>
        <v>73737.237145124949</v>
      </c>
      <c r="AW247" s="527">
        <f t="shared" si="320"/>
        <v>73737.237145124949</v>
      </c>
      <c r="AX247" s="527">
        <f t="shared" ref="AX247:BY247" si="321">IFERROR(AX239/AX$223,0)</f>
        <v>73737.237145124949</v>
      </c>
      <c r="AY247" s="527">
        <f t="shared" si="321"/>
        <v>73737.237145124949</v>
      </c>
      <c r="AZ247" s="527">
        <f t="shared" si="321"/>
        <v>73737.237145124949</v>
      </c>
      <c r="BA247" s="527">
        <f t="shared" si="321"/>
        <v>73737.237145124949</v>
      </c>
      <c r="BB247" s="527">
        <f t="shared" si="321"/>
        <v>73914.607970147044</v>
      </c>
      <c r="BC247" s="527">
        <f t="shared" si="321"/>
        <v>73914.607970147044</v>
      </c>
      <c r="BD247" s="527">
        <f t="shared" si="321"/>
        <v>73914.607970147044</v>
      </c>
      <c r="BE247" s="527">
        <f t="shared" si="321"/>
        <v>73914.607970147044</v>
      </c>
      <c r="BF247" s="527">
        <f t="shared" si="321"/>
        <v>73914.607970147044</v>
      </c>
      <c r="BG247" s="527">
        <f t="shared" si="321"/>
        <v>73914.607970147044</v>
      </c>
      <c r="BH247" s="527">
        <f t="shared" si="321"/>
        <v>76435.798284417324</v>
      </c>
      <c r="BI247" s="527">
        <f t="shared" si="321"/>
        <v>76435.798284417324</v>
      </c>
      <c r="BJ247" s="527">
        <f t="shared" si="321"/>
        <v>76435.798284417324</v>
      </c>
      <c r="BK247" s="527">
        <f t="shared" si="321"/>
        <v>76435.798284417324</v>
      </c>
      <c r="BL247" s="527">
        <f t="shared" si="321"/>
        <v>76435.798284417324</v>
      </c>
      <c r="BM247" s="527">
        <f t="shared" si="321"/>
        <v>76435.798284417324</v>
      </c>
      <c r="BN247" s="527">
        <f t="shared" si="321"/>
        <v>76666.067343494535</v>
      </c>
      <c r="BO247" s="527">
        <f t="shared" si="321"/>
        <v>76666.067343494535</v>
      </c>
      <c r="BP247" s="527">
        <f t="shared" si="321"/>
        <v>76666.067343494535</v>
      </c>
      <c r="BQ247" s="527">
        <f t="shared" si="321"/>
        <v>76666.067343494535</v>
      </c>
      <c r="BR247" s="527">
        <f t="shared" si="321"/>
        <v>76666.067343494535</v>
      </c>
      <c r="BS247" s="527">
        <f t="shared" si="321"/>
        <v>76666.067343494535</v>
      </c>
      <c r="BT247" s="527">
        <f t="shared" si="321"/>
        <v>79260.897057153154</v>
      </c>
      <c r="BU247" s="527">
        <f t="shared" si="321"/>
        <v>79260.897057153154</v>
      </c>
      <c r="BV247" s="527">
        <f t="shared" si="321"/>
        <v>79260.897057153154</v>
      </c>
      <c r="BW247" s="527">
        <f t="shared" si="321"/>
        <v>79260.897057153154</v>
      </c>
      <c r="BX247" s="527">
        <f t="shared" si="321"/>
        <v>79260.897057153154</v>
      </c>
      <c r="BY247" s="527">
        <f t="shared" si="321"/>
        <v>79260.897057153154</v>
      </c>
    </row>
    <row r="248" spans="3:77" x14ac:dyDescent="0.3">
      <c r="C248" s="2"/>
      <c r="D248" s="2"/>
      <c r="E248" s="116" t="str">
        <f>"BCF gross sales: "&amp;E$157</f>
        <v>BCF gross sales: FY29 Tranche</v>
      </c>
      <c r="F248" s="2"/>
      <c r="G248" s="2"/>
      <c r="H248" s="2"/>
      <c r="I248" s="2"/>
      <c r="J248" s="2"/>
      <c r="K248" s="2"/>
      <c r="L248" s="2"/>
      <c r="M248" s="2"/>
      <c r="N248" s="2"/>
      <c r="O248" s="2"/>
      <c r="P248" s="10"/>
      <c r="Q248" s="2"/>
      <c r="R248" s="497">
        <f t="shared" ref="R248:AW248" si="322">IFERROR(R240/R$223,0)</f>
        <v>58499.004852451086</v>
      </c>
      <c r="S248" s="497">
        <f t="shared" si="322"/>
        <v>58499.004852451086</v>
      </c>
      <c r="T248" s="497">
        <f t="shared" si="322"/>
        <v>58499.004852451086</v>
      </c>
      <c r="U248" s="497">
        <f t="shared" si="322"/>
        <v>58499.004852451086</v>
      </c>
      <c r="V248" s="497">
        <f t="shared" si="322"/>
        <v>58499.004852451086</v>
      </c>
      <c r="W248" s="497">
        <f t="shared" si="322"/>
        <v>58499.004852451086</v>
      </c>
      <c r="X248" s="497">
        <f t="shared" si="322"/>
        <v>58499.004852451086</v>
      </c>
      <c r="Y248" s="497">
        <f t="shared" si="322"/>
        <v>58499.004852451086</v>
      </c>
      <c r="Z248" s="497">
        <f t="shared" si="322"/>
        <v>58499.004852451086</v>
      </c>
      <c r="AA248" s="497">
        <f t="shared" si="322"/>
        <v>58499.004852451086</v>
      </c>
      <c r="AB248" s="497">
        <f t="shared" si="322"/>
        <v>58499.004852451086</v>
      </c>
      <c r="AC248" s="497">
        <f t="shared" si="322"/>
        <v>58499.004852451086</v>
      </c>
      <c r="AD248" s="497">
        <f t="shared" si="322"/>
        <v>60621.727000531158</v>
      </c>
      <c r="AE248" s="497">
        <f t="shared" si="322"/>
        <v>60621.727000531158</v>
      </c>
      <c r="AF248" s="497">
        <f t="shared" si="322"/>
        <v>60621.727000531158</v>
      </c>
      <c r="AG248" s="497">
        <f t="shared" si="322"/>
        <v>60621.727000531158</v>
      </c>
      <c r="AH248" s="497">
        <f t="shared" si="322"/>
        <v>60621.727000531158</v>
      </c>
      <c r="AI248" s="497">
        <f t="shared" si="322"/>
        <v>60621.727000531158</v>
      </c>
      <c r="AJ248" s="497">
        <f t="shared" si="322"/>
        <v>60621.727000531158</v>
      </c>
      <c r="AK248" s="497">
        <f t="shared" si="322"/>
        <v>60621.727000531158</v>
      </c>
      <c r="AL248" s="497">
        <f t="shared" si="322"/>
        <v>60621.727000531158</v>
      </c>
      <c r="AM248" s="497">
        <f t="shared" si="322"/>
        <v>60621.727000531158</v>
      </c>
      <c r="AN248" s="527">
        <f t="shared" si="322"/>
        <v>60621.727000531158</v>
      </c>
      <c r="AO248" s="527">
        <f t="shared" si="322"/>
        <v>60621.727000531158</v>
      </c>
      <c r="AP248" s="527">
        <f t="shared" si="322"/>
        <v>62747.663537880326</v>
      </c>
      <c r="AQ248" s="527">
        <f t="shared" si="322"/>
        <v>62747.663537880326</v>
      </c>
      <c r="AR248" s="527">
        <f t="shared" si="322"/>
        <v>62747.663537880326</v>
      </c>
      <c r="AS248" s="527">
        <f t="shared" si="322"/>
        <v>62747.663537880326</v>
      </c>
      <c r="AT248" s="527">
        <f t="shared" si="322"/>
        <v>62747.663537880326</v>
      </c>
      <c r="AU248" s="527">
        <f t="shared" si="322"/>
        <v>62747.663537880326</v>
      </c>
      <c r="AV248" s="527">
        <f t="shared" si="322"/>
        <v>73418.214773990287</v>
      </c>
      <c r="AW248" s="527">
        <f t="shared" si="322"/>
        <v>73418.214773990287</v>
      </c>
      <c r="AX248" s="527">
        <f t="shared" ref="AX248:BY248" si="323">IFERROR(AX240/AX$223,0)</f>
        <v>73418.214773990287</v>
      </c>
      <c r="AY248" s="527">
        <f t="shared" si="323"/>
        <v>73418.214773990287</v>
      </c>
      <c r="AZ248" s="527">
        <f t="shared" si="323"/>
        <v>73418.214773990287</v>
      </c>
      <c r="BA248" s="527">
        <f t="shared" si="323"/>
        <v>73418.214773990287</v>
      </c>
      <c r="BB248" s="527">
        <f t="shared" si="323"/>
        <v>73599.00462344542</v>
      </c>
      <c r="BC248" s="527">
        <f t="shared" si="323"/>
        <v>73599.00462344542</v>
      </c>
      <c r="BD248" s="527">
        <f t="shared" si="323"/>
        <v>73599.00462344542</v>
      </c>
      <c r="BE248" s="527">
        <f t="shared" si="323"/>
        <v>73599.00462344542</v>
      </c>
      <c r="BF248" s="527">
        <f t="shared" si="323"/>
        <v>73599.00462344542</v>
      </c>
      <c r="BG248" s="527">
        <f t="shared" si="323"/>
        <v>73599.00462344542</v>
      </c>
      <c r="BH248" s="527">
        <f t="shared" si="323"/>
        <v>76107.570803847644</v>
      </c>
      <c r="BI248" s="527">
        <f t="shared" si="323"/>
        <v>76107.570803847644</v>
      </c>
      <c r="BJ248" s="527">
        <f t="shared" si="323"/>
        <v>76107.570803847644</v>
      </c>
      <c r="BK248" s="527">
        <f t="shared" si="323"/>
        <v>76107.570803847644</v>
      </c>
      <c r="BL248" s="527">
        <f t="shared" si="323"/>
        <v>76107.570803847644</v>
      </c>
      <c r="BM248" s="527">
        <f t="shared" si="323"/>
        <v>76107.570803847644</v>
      </c>
      <c r="BN248" s="527">
        <f t="shared" si="323"/>
        <v>76341.245795071096</v>
      </c>
      <c r="BO248" s="527">
        <f t="shared" si="323"/>
        <v>76341.245795071096</v>
      </c>
      <c r="BP248" s="527">
        <f t="shared" si="323"/>
        <v>76341.245795071096</v>
      </c>
      <c r="BQ248" s="527">
        <f t="shared" si="323"/>
        <v>76341.245795071096</v>
      </c>
      <c r="BR248" s="527">
        <f t="shared" si="323"/>
        <v>76341.245795071096</v>
      </c>
      <c r="BS248" s="527">
        <f t="shared" si="323"/>
        <v>76341.245795071096</v>
      </c>
      <c r="BT248" s="527">
        <f t="shared" si="323"/>
        <v>78923.082646792755</v>
      </c>
      <c r="BU248" s="527">
        <f t="shared" si="323"/>
        <v>78923.082646792755</v>
      </c>
      <c r="BV248" s="527">
        <f t="shared" si="323"/>
        <v>78923.082646792755</v>
      </c>
      <c r="BW248" s="527">
        <f t="shared" si="323"/>
        <v>78923.082646792755</v>
      </c>
      <c r="BX248" s="527">
        <f t="shared" si="323"/>
        <v>78923.082646792755</v>
      </c>
      <c r="BY248" s="527">
        <f t="shared" si="323"/>
        <v>78923.082646792755</v>
      </c>
    </row>
    <row r="249" spans="3:77" x14ac:dyDescent="0.3">
      <c r="C249" s="2"/>
      <c r="D249" s="2"/>
      <c r="E249" s="116" t="str">
        <f>"BCF gross sales: "&amp;E$158</f>
        <v>BCF gross sales: FY30 Tranche</v>
      </c>
      <c r="F249" s="2"/>
      <c r="G249" s="2"/>
      <c r="H249" s="2"/>
      <c r="I249" s="2"/>
      <c r="J249" s="2"/>
      <c r="K249" s="2"/>
      <c r="L249" s="2"/>
      <c r="M249" s="2"/>
      <c r="N249" s="2"/>
      <c r="O249" s="2"/>
      <c r="P249" s="10"/>
      <c r="Q249" s="2"/>
      <c r="R249" s="497">
        <f t="shared" ref="R249:AW249" si="324">IFERROR(R241/R$223,0)</f>
        <v>58499.004852451086</v>
      </c>
      <c r="S249" s="497">
        <f t="shared" si="324"/>
        <v>58499.004852451086</v>
      </c>
      <c r="T249" s="497">
        <f t="shared" si="324"/>
        <v>58499.004852451086</v>
      </c>
      <c r="U249" s="497">
        <f t="shared" si="324"/>
        <v>58499.004852451086</v>
      </c>
      <c r="V249" s="497">
        <f t="shared" si="324"/>
        <v>58499.004852451086</v>
      </c>
      <c r="W249" s="497">
        <f t="shared" si="324"/>
        <v>58499.004852451086</v>
      </c>
      <c r="X249" s="497">
        <f t="shared" si="324"/>
        <v>58499.004852451086</v>
      </c>
      <c r="Y249" s="497">
        <f t="shared" si="324"/>
        <v>58499.004852451086</v>
      </c>
      <c r="Z249" s="497">
        <f t="shared" si="324"/>
        <v>58499.004852451086</v>
      </c>
      <c r="AA249" s="497">
        <f t="shared" si="324"/>
        <v>58499.004852451086</v>
      </c>
      <c r="AB249" s="497">
        <f t="shared" si="324"/>
        <v>58499.004852451086</v>
      </c>
      <c r="AC249" s="497">
        <f t="shared" si="324"/>
        <v>58499.004852451086</v>
      </c>
      <c r="AD249" s="497">
        <f t="shared" si="324"/>
        <v>60621.727000531158</v>
      </c>
      <c r="AE249" s="497">
        <f t="shared" si="324"/>
        <v>60621.727000531158</v>
      </c>
      <c r="AF249" s="497">
        <f t="shared" si="324"/>
        <v>60621.727000531158</v>
      </c>
      <c r="AG249" s="497">
        <f t="shared" si="324"/>
        <v>60621.727000531158</v>
      </c>
      <c r="AH249" s="497">
        <f t="shared" si="324"/>
        <v>60621.727000531158</v>
      </c>
      <c r="AI249" s="497">
        <f t="shared" si="324"/>
        <v>60621.727000531158</v>
      </c>
      <c r="AJ249" s="497">
        <f t="shared" si="324"/>
        <v>60621.727000531158</v>
      </c>
      <c r="AK249" s="497">
        <f t="shared" si="324"/>
        <v>60621.727000531158</v>
      </c>
      <c r="AL249" s="497">
        <f t="shared" si="324"/>
        <v>60621.727000531158</v>
      </c>
      <c r="AM249" s="497">
        <f t="shared" si="324"/>
        <v>60621.727000531158</v>
      </c>
      <c r="AN249" s="527">
        <f t="shared" si="324"/>
        <v>60621.727000531158</v>
      </c>
      <c r="AO249" s="527">
        <f t="shared" si="324"/>
        <v>60621.727000531158</v>
      </c>
      <c r="AP249" s="527">
        <f t="shared" si="324"/>
        <v>62747.663537880326</v>
      </c>
      <c r="AQ249" s="527">
        <f t="shared" si="324"/>
        <v>62747.663537880326</v>
      </c>
      <c r="AR249" s="527">
        <f t="shared" si="324"/>
        <v>62747.663537880326</v>
      </c>
      <c r="AS249" s="527">
        <f t="shared" si="324"/>
        <v>62747.663537880326</v>
      </c>
      <c r="AT249" s="527">
        <f t="shared" si="324"/>
        <v>62747.663537880326</v>
      </c>
      <c r="AU249" s="527">
        <f t="shared" si="324"/>
        <v>62747.663537880326</v>
      </c>
      <c r="AV249" s="527">
        <f t="shared" si="324"/>
        <v>62747.663537880326</v>
      </c>
      <c r="AW249" s="527">
        <f t="shared" si="324"/>
        <v>62747.663537880326</v>
      </c>
      <c r="AX249" s="527">
        <f t="shared" ref="AX249:BY249" si="325">IFERROR(AX241/AX$223,0)</f>
        <v>62747.663537880326</v>
      </c>
      <c r="AY249" s="527">
        <f t="shared" si="325"/>
        <v>62747.663537880326</v>
      </c>
      <c r="AZ249" s="527">
        <f t="shared" si="325"/>
        <v>62747.663537880326</v>
      </c>
      <c r="BA249" s="527">
        <f t="shared" si="325"/>
        <v>62747.663537880326</v>
      </c>
      <c r="BB249" s="527">
        <f t="shared" si="325"/>
        <v>64862.875992338028</v>
      </c>
      <c r="BC249" s="527">
        <f t="shared" si="325"/>
        <v>64862.875992338028</v>
      </c>
      <c r="BD249" s="527">
        <f t="shared" si="325"/>
        <v>64862.875992338028</v>
      </c>
      <c r="BE249" s="527">
        <f t="shared" si="325"/>
        <v>64862.875992338028</v>
      </c>
      <c r="BF249" s="527">
        <f t="shared" si="325"/>
        <v>64862.875992338028</v>
      </c>
      <c r="BG249" s="527">
        <f t="shared" si="325"/>
        <v>64862.875992338028</v>
      </c>
      <c r="BH249" s="527">
        <f t="shared" si="325"/>
        <v>75637.345905183902</v>
      </c>
      <c r="BI249" s="527">
        <f t="shared" si="325"/>
        <v>75637.345905183902</v>
      </c>
      <c r="BJ249" s="527">
        <f t="shared" si="325"/>
        <v>75637.345905183902</v>
      </c>
      <c r="BK249" s="527">
        <f t="shared" si="325"/>
        <v>75637.345905183902</v>
      </c>
      <c r="BL249" s="527">
        <f t="shared" si="325"/>
        <v>75637.345905183902</v>
      </c>
      <c r="BM249" s="527">
        <f t="shared" si="325"/>
        <v>75637.345905183902</v>
      </c>
      <c r="BN249" s="527">
        <f t="shared" si="325"/>
        <v>75875.900299239627</v>
      </c>
      <c r="BO249" s="527">
        <f t="shared" si="325"/>
        <v>75875.900299239627</v>
      </c>
      <c r="BP249" s="527">
        <f t="shared" si="325"/>
        <v>75875.900299239627</v>
      </c>
      <c r="BQ249" s="527">
        <f t="shared" si="325"/>
        <v>75875.900299239627</v>
      </c>
      <c r="BR249" s="527">
        <f t="shared" si="325"/>
        <v>75875.900299239627</v>
      </c>
      <c r="BS249" s="527">
        <f t="shared" si="325"/>
        <v>75875.900299239627</v>
      </c>
      <c r="BT249" s="527">
        <f t="shared" si="325"/>
        <v>78439.123331128038</v>
      </c>
      <c r="BU249" s="527">
        <f t="shared" si="325"/>
        <v>78439.123331128038</v>
      </c>
      <c r="BV249" s="527">
        <f t="shared" si="325"/>
        <v>78439.123331128038</v>
      </c>
      <c r="BW249" s="527">
        <f t="shared" si="325"/>
        <v>78439.123331128038</v>
      </c>
      <c r="BX249" s="527">
        <f t="shared" si="325"/>
        <v>78439.123331128038</v>
      </c>
      <c r="BY249" s="527">
        <f t="shared" si="325"/>
        <v>78439.123331128038</v>
      </c>
    </row>
    <row r="250" spans="3:77" x14ac:dyDescent="0.3">
      <c r="C250" s="2"/>
      <c r="D250" s="2"/>
      <c r="E250" s="116" t="str">
        <f>"BCF gross sales: "&amp;E$159</f>
        <v>BCF gross sales: FY31 Tranche</v>
      </c>
      <c r="F250" s="2"/>
      <c r="G250" s="2"/>
      <c r="H250" s="2"/>
      <c r="I250" s="2"/>
      <c r="J250" s="2"/>
      <c r="K250" s="2"/>
      <c r="L250" s="2"/>
      <c r="M250" s="2"/>
      <c r="N250" s="2"/>
      <c r="O250" s="2"/>
      <c r="P250" s="10"/>
      <c r="Q250" s="2"/>
      <c r="R250" s="497">
        <f t="shared" ref="R250:AW250" si="326">IFERROR(R242/R$223,0)</f>
        <v>58499.004852451086</v>
      </c>
      <c r="S250" s="497">
        <f t="shared" si="326"/>
        <v>58499.004852451086</v>
      </c>
      <c r="T250" s="497">
        <f t="shared" si="326"/>
        <v>58499.004852451086</v>
      </c>
      <c r="U250" s="497">
        <f t="shared" si="326"/>
        <v>58499.004852451086</v>
      </c>
      <c r="V250" s="497">
        <f t="shared" si="326"/>
        <v>58499.004852451086</v>
      </c>
      <c r="W250" s="497">
        <f t="shared" si="326"/>
        <v>58499.004852451086</v>
      </c>
      <c r="X250" s="497">
        <f t="shared" si="326"/>
        <v>58499.004852451086</v>
      </c>
      <c r="Y250" s="497">
        <f t="shared" si="326"/>
        <v>58499.004852451086</v>
      </c>
      <c r="Z250" s="497">
        <f t="shared" si="326"/>
        <v>58499.004852451086</v>
      </c>
      <c r="AA250" s="497">
        <f t="shared" si="326"/>
        <v>58499.004852451086</v>
      </c>
      <c r="AB250" s="497">
        <f t="shared" si="326"/>
        <v>58499.004852451086</v>
      </c>
      <c r="AC250" s="497">
        <f t="shared" si="326"/>
        <v>58499.004852451086</v>
      </c>
      <c r="AD250" s="497">
        <f t="shared" si="326"/>
        <v>60621.727000531158</v>
      </c>
      <c r="AE250" s="497">
        <f t="shared" si="326"/>
        <v>60621.727000531158</v>
      </c>
      <c r="AF250" s="497">
        <f t="shared" si="326"/>
        <v>60621.727000531158</v>
      </c>
      <c r="AG250" s="497">
        <f t="shared" si="326"/>
        <v>60621.727000531158</v>
      </c>
      <c r="AH250" s="497">
        <f t="shared" si="326"/>
        <v>60621.727000531158</v>
      </c>
      <c r="AI250" s="497">
        <f t="shared" si="326"/>
        <v>60621.727000531158</v>
      </c>
      <c r="AJ250" s="497">
        <f t="shared" si="326"/>
        <v>60621.727000531158</v>
      </c>
      <c r="AK250" s="497">
        <f t="shared" si="326"/>
        <v>60621.727000531158</v>
      </c>
      <c r="AL250" s="497">
        <f t="shared" si="326"/>
        <v>60621.727000531158</v>
      </c>
      <c r="AM250" s="497">
        <f t="shared" si="326"/>
        <v>60621.727000531158</v>
      </c>
      <c r="AN250" s="527">
        <f t="shared" si="326"/>
        <v>60621.727000531158</v>
      </c>
      <c r="AO250" s="527">
        <f t="shared" si="326"/>
        <v>60621.727000531158</v>
      </c>
      <c r="AP250" s="527">
        <f t="shared" si="326"/>
        <v>62747.663537880326</v>
      </c>
      <c r="AQ250" s="527">
        <f t="shared" si="326"/>
        <v>62747.663537880326</v>
      </c>
      <c r="AR250" s="527">
        <f t="shared" si="326"/>
        <v>62747.663537880326</v>
      </c>
      <c r="AS250" s="527">
        <f t="shared" si="326"/>
        <v>62747.663537880326</v>
      </c>
      <c r="AT250" s="527">
        <f t="shared" si="326"/>
        <v>62747.663537880326</v>
      </c>
      <c r="AU250" s="527">
        <f t="shared" si="326"/>
        <v>62747.663537880326</v>
      </c>
      <c r="AV250" s="527">
        <f t="shared" si="326"/>
        <v>62747.663537880326</v>
      </c>
      <c r="AW250" s="527">
        <f t="shared" si="326"/>
        <v>62747.663537880326</v>
      </c>
      <c r="AX250" s="527">
        <f t="shared" ref="AX250:BY250" si="327">IFERROR(AX242/AX$223,0)</f>
        <v>62747.663537880326</v>
      </c>
      <c r="AY250" s="527">
        <f t="shared" si="327"/>
        <v>62747.663537880326</v>
      </c>
      <c r="AZ250" s="527">
        <f t="shared" si="327"/>
        <v>62747.663537880326</v>
      </c>
      <c r="BA250" s="527">
        <f t="shared" si="327"/>
        <v>62747.663537880326</v>
      </c>
      <c r="BB250" s="527">
        <f t="shared" si="327"/>
        <v>64862.875992338028</v>
      </c>
      <c r="BC250" s="527">
        <f t="shared" si="327"/>
        <v>64862.875992338028</v>
      </c>
      <c r="BD250" s="527">
        <f t="shared" si="327"/>
        <v>64862.875992338028</v>
      </c>
      <c r="BE250" s="527">
        <f t="shared" si="327"/>
        <v>64862.875992338028</v>
      </c>
      <c r="BF250" s="527">
        <f t="shared" si="327"/>
        <v>64862.875992338028</v>
      </c>
      <c r="BG250" s="527">
        <f t="shared" si="327"/>
        <v>64862.875992338028</v>
      </c>
      <c r="BH250" s="527">
        <f t="shared" si="327"/>
        <v>64862.875992338028</v>
      </c>
      <c r="BI250" s="527">
        <f t="shared" si="327"/>
        <v>64862.875992338028</v>
      </c>
      <c r="BJ250" s="527">
        <f t="shared" si="327"/>
        <v>64862.875992338028</v>
      </c>
      <c r="BK250" s="527">
        <f t="shared" si="327"/>
        <v>64862.875992338028</v>
      </c>
      <c r="BL250" s="527">
        <f t="shared" si="327"/>
        <v>64862.875992338028</v>
      </c>
      <c r="BM250" s="527">
        <f t="shared" si="327"/>
        <v>64862.875992338028</v>
      </c>
      <c r="BN250" s="527">
        <f t="shared" si="327"/>
        <v>67050.832943889327</v>
      </c>
      <c r="BO250" s="527">
        <f t="shared" si="327"/>
        <v>67050.832943889327</v>
      </c>
      <c r="BP250" s="527">
        <f t="shared" si="327"/>
        <v>67050.832943889327</v>
      </c>
      <c r="BQ250" s="527">
        <f t="shared" si="327"/>
        <v>67050.832943889327</v>
      </c>
      <c r="BR250" s="527">
        <f t="shared" si="327"/>
        <v>67050.832943889327</v>
      </c>
      <c r="BS250" s="527">
        <f t="shared" si="327"/>
        <v>67050.832943889327</v>
      </c>
      <c r="BT250" s="527">
        <f t="shared" si="327"/>
        <v>77921.591298712854</v>
      </c>
      <c r="BU250" s="527">
        <f t="shared" si="327"/>
        <v>77921.591298712854</v>
      </c>
      <c r="BV250" s="527">
        <f t="shared" si="327"/>
        <v>77921.591298712854</v>
      </c>
      <c r="BW250" s="527">
        <f t="shared" si="327"/>
        <v>77921.591298712854</v>
      </c>
      <c r="BX250" s="527">
        <f t="shared" si="327"/>
        <v>77921.591298712854</v>
      </c>
      <c r="BY250" s="527">
        <f t="shared" si="327"/>
        <v>77921.591298712854</v>
      </c>
    </row>
    <row r="251" spans="3:77" x14ac:dyDescent="0.3">
      <c r="C251" s="2"/>
      <c r="D251" s="2"/>
      <c r="E251" s="116" t="str">
        <f>"BCF gross sales: "&amp;E$160</f>
        <v>BCF gross sales: Uninvested Tranche</v>
      </c>
      <c r="F251" s="2"/>
      <c r="G251" s="2"/>
      <c r="H251" s="2"/>
      <c r="I251" s="2"/>
      <c r="J251" s="2"/>
      <c r="K251" s="2"/>
      <c r="L251" s="2"/>
      <c r="M251" s="2"/>
      <c r="N251" s="2"/>
      <c r="O251" s="2"/>
      <c r="P251" s="10"/>
      <c r="Q251" s="2"/>
      <c r="R251" s="497">
        <f t="shared" ref="R251:AW251" si="328">IFERROR(R243/R$223,0)</f>
        <v>163797.21358686307</v>
      </c>
      <c r="S251" s="497">
        <f t="shared" si="328"/>
        <v>163797.21358686307</v>
      </c>
      <c r="T251" s="497">
        <f t="shared" si="328"/>
        <v>163797.21358686307</v>
      </c>
      <c r="U251" s="497">
        <f t="shared" si="328"/>
        <v>163797.21358686307</v>
      </c>
      <c r="V251" s="497">
        <f t="shared" si="328"/>
        <v>163797.21358686307</v>
      </c>
      <c r="W251" s="497">
        <f t="shared" si="328"/>
        <v>163797.21358686307</v>
      </c>
      <c r="X251" s="497">
        <f t="shared" si="328"/>
        <v>163797.21358686307</v>
      </c>
      <c r="Y251" s="497">
        <f t="shared" si="328"/>
        <v>163797.21358686307</v>
      </c>
      <c r="Z251" s="497">
        <f t="shared" si="328"/>
        <v>163797.21358686307</v>
      </c>
      <c r="AA251" s="497">
        <f t="shared" si="328"/>
        <v>163797.21358686307</v>
      </c>
      <c r="AB251" s="497">
        <f t="shared" si="328"/>
        <v>163797.21358686307</v>
      </c>
      <c r="AC251" s="497">
        <f t="shared" si="328"/>
        <v>163797.21358686307</v>
      </c>
      <c r="AD251" s="497">
        <f t="shared" si="328"/>
        <v>169740.83560148726</v>
      </c>
      <c r="AE251" s="497">
        <f t="shared" si="328"/>
        <v>169740.83560148726</v>
      </c>
      <c r="AF251" s="497">
        <f t="shared" si="328"/>
        <v>169740.83560148726</v>
      </c>
      <c r="AG251" s="497">
        <f t="shared" si="328"/>
        <v>169740.83560148726</v>
      </c>
      <c r="AH251" s="497">
        <f t="shared" si="328"/>
        <v>169740.83560148726</v>
      </c>
      <c r="AI251" s="497">
        <f t="shared" si="328"/>
        <v>169740.83560148726</v>
      </c>
      <c r="AJ251" s="497">
        <f t="shared" si="328"/>
        <v>169740.83560148726</v>
      </c>
      <c r="AK251" s="497">
        <f t="shared" si="328"/>
        <v>169740.83560148726</v>
      </c>
      <c r="AL251" s="497">
        <f t="shared" si="328"/>
        <v>169740.83560148726</v>
      </c>
      <c r="AM251" s="497">
        <f t="shared" si="328"/>
        <v>169740.83560148726</v>
      </c>
      <c r="AN251" s="527">
        <f t="shared" si="328"/>
        <v>169740.83560148726</v>
      </c>
      <c r="AO251" s="527">
        <f t="shared" si="328"/>
        <v>169740.83560148726</v>
      </c>
      <c r="AP251" s="527">
        <f t="shared" si="328"/>
        <v>175693.45790606493</v>
      </c>
      <c r="AQ251" s="527">
        <f t="shared" si="328"/>
        <v>175693.45790606493</v>
      </c>
      <c r="AR251" s="527">
        <f t="shared" si="328"/>
        <v>175693.45790606493</v>
      </c>
      <c r="AS251" s="527">
        <f t="shared" si="328"/>
        <v>175693.45790606493</v>
      </c>
      <c r="AT251" s="527">
        <f t="shared" si="328"/>
        <v>175693.45790606493</v>
      </c>
      <c r="AU251" s="527">
        <f t="shared" si="328"/>
        <v>175693.45790606493</v>
      </c>
      <c r="AV251" s="527">
        <f t="shared" si="328"/>
        <v>175693.45790606493</v>
      </c>
      <c r="AW251" s="527">
        <f t="shared" si="328"/>
        <v>175693.45790606493</v>
      </c>
      <c r="AX251" s="527">
        <f t="shared" ref="AX251:BY251" si="329">IFERROR(AX243/AX$223,0)</f>
        <v>175693.45790606493</v>
      </c>
      <c r="AY251" s="527">
        <f t="shared" si="329"/>
        <v>175693.45790606493</v>
      </c>
      <c r="AZ251" s="527">
        <f t="shared" si="329"/>
        <v>175693.45790606493</v>
      </c>
      <c r="BA251" s="527">
        <f t="shared" si="329"/>
        <v>175693.45790606493</v>
      </c>
      <c r="BB251" s="527">
        <f t="shared" si="329"/>
        <v>181616.05277854644</v>
      </c>
      <c r="BC251" s="527">
        <f t="shared" si="329"/>
        <v>181616.05277854644</v>
      </c>
      <c r="BD251" s="527">
        <f t="shared" si="329"/>
        <v>181616.05277854644</v>
      </c>
      <c r="BE251" s="527">
        <f t="shared" si="329"/>
        <v>181616.05277854644</v>
      </c>
      <c r="BF251" s="527">
        <f t="shared" si="329"/>
        <v>181616.05277854644</v>
      </c>
      <c r="BG251" s="527">
        <f t="shared" si="329"/>
        <v>181616.05277854644</v>
      </c>
      <c r="BH251" s="527">
        <f t="shared" si="329"/>
        <v>181616.05277854644</v>
      </c>
      <c r="BI251" s="527">
        <f t="shared" si="329"/>
        <v>181616.05277854644</v>
      </c>
      <c r="BJ251" s="527">
        <f t="shared" si="329"/>
        <v>181616.05277854644</v>
      </c>
      <c r="BK251" s="527">
        <f t="shared" si="329"/>
        <v>181616.05277854644</v>
      </c>
      <c r="BL251" s="527">
        <f t="shared" si="329"/>
        <v>181616.05277854644</v>
      </c>
      <c r="BM251" s="527">
        <f t="shared" si="329"/>
        <v>181616.05277854644</v>
      </c>
      <c r="BN251" s="527">
        <f t="shared" si="329"/>
        <v>187742.33224289012</v>
      </c>
      <c r="BO251" s="527">
        <f t="shared" si="329"/>
        <v>187742.33224289012</v>
      </c>
      <c r="BP251" s="527">
        <f t="shared" si="329"/>
        <v>187742.33224289012</v>
      </c>
      <c r="BQ251" s="527">
        <f t="shared" si="329"/>
        <v>187742.33224289012</v>
      </c>
      <c r="BR251" s="527">
        <f t="shared" si="329"/>
        <v>187742.33224289012</v>
      </c>
      <c r="BS251" s="527">
        <f t="shared" si="329"/>
        <v>187742.33224289012</v>
      </c>
      <c r="BT251" s="527">
        <f t="shared" si="329"/>
        <v>187742.33224289012</v>
      </c>
      <c r="BU251" s="527">
        <f t="shared" si="329"/>
        <v>187742.33224289012</v>
      </c>
      <c r="BV251" s="527">
        <f t="shared" si="329"/>
        <v>187742.33224289012</v>
      </c>
      <c r="BW251" s="527">
        <f t="shared" si="329"/>
        <v>187742.33224289012</v>
      </c>
      <c r="BX251" s="527">
        <f t="shared" si="329"/>
        <v>187742.33224289012</v>
      </c>
      <c r="BY251" s="527">
        <f t="shared" si="329"/>
        <v>187742.33224289012</v>
      </c>
    </row>
    <row r="252" spans="3:77" x14ac:dyDescent="0.3">
      <c r="C252" s="2"/>
      <c r="D252" s="2"/>
      <c r="E252" s="4" t="s">
        <v>36</v>
      </c>
      <c r="F252" s="4"/>
      <c r="G252" s="4"/>
      <c r="H252" s="4"/>
      <c r="I252" s="4"/>
      <c r="J252" s="4"/>
      <c r="K252" s="4"/>
      <c r="L252" s="4"/>
      <c r="M252" s="4"/>
      <c r="N252" s="4"/>
      <c r="O252" s="4"/>
      <c r="P252" s="106"/>
      <c r="Q252" s="4"/>
      <c r="R252" s="498">
        <f t="shared" ref="R252:AW252" si="330">SUM(R246:R251)</f>
        <v>456292.23784911848</v>
      </c>
      <c r="S252" s="498">
        <f t="shared" si="330"/>
        <v>456292.23784911848</v>
      </c>
      <c r="T252" s="498">
        <f t="shared" si="330"/>
        <v>456292.23784911848</v>
      </c>
      <c r="U252" s="498">
        <f t="shared" si="330"/>
        <v>456292.23784911848</v>
      </c>
      <c r="V252" s="498">
        <f t="shared" si="330"/>
        <v>456292.23784911848</v>
      </c>
      <c r="W252" s="498">
        <f t="shared" si="330"/>
        <v>456292.23784911848</v>
      </c>
      <c r="X252" s="498">
        <f t="shared" si="330"/>
        <v>466741.74820460641</v>
      </c>
      <c r="Y252" s="498">
        <f t="shared" si="330"/>
        <v>466741.74820460641</v>
      </c>
      <c r="Z252" s="498">
        <f t="shared" si="330"/>
        <v>466741.74820460641</v>
      </c>
      <c r="AA252" s="498">
        <f t="shared" si="330"/>
        <v>466741.74820460641</v>
      </c>
      <c r="AB252" s="498">
        <f t="shared" si="330"/>
        <v>466741.74820460641</v>
      </c>
      <c r="AC252" s="498">
        <f t="shared" si="330"/>
        <v>466741.74820460641</v>
      </c>
      <c r="AD252" s="498">
        <f t="shared" si="330"/>
        <v>481228.20211436087</v>
      </c>
      <c r="AE252" s="498">
        <f t="shared" si="330"/>
        <v>481228.20211436087</v>
      </c>
      <c r="AF252" s="498">
        <f t="shared" si="330"/>
        <v>481228.20211436087</v>
      </c>
      <c r="AG252" s="498">
        <f t="shared" si="330"/>
        <v>481228.20211436087</v>
      </c>
      <c r="AH252" s="498">
        <f t="shared" si="330"/>
        <v>481228.20211436087</v>
      </c>
      <c r="AI252" s="498">
        <f t="shared" si="330"/>
        <v>481228.20211436087</v>
      </c>
      <c r="AJ252" s="498">
        <f t="shared" si="330"/>
        <v>494182.30039447307</v>
      </c>
      <c r="AK252" s="498">
        <f t="shared" si="330"/>
        <v>494182.30039447307</v>
      </c>
      <c r="AL252" s="498">
        <f t="shared" si="330"/>
        <v>494182.30039447307</v>
      </c>
      <c r="AM252" s="498">
        <f t="shared" si="330"/>
        <v>494182.30039447307</v>
      </c>
      <c r="AN252" s="530">
        <f t="shared" si="330"/>
        <v>494182.30039447307</v>
      </c>
      <c r="AO252" s="530">
        <f t="shared" si="330"/>
        <v>494182.30039447307</v>
      </c>
      <c r="AP252" s="530">
        <f t="shared" si="330"/>
        <v>506717.28433687036</v>
      </c>
      <c r="AQ252" s="530">
        <f t="shared" si="330"/>
        <v>506717.28433687036</v>
      </c>
      <c r="AR252" s="530">
        <f t="shared" si="330"/>
        <v>506717.28433687036</v>
      </c>
      <c r="AS252" s="530">
        <f t="shared" si="330"/>
        <v>506717.28433687036</v>
      </c>
      <c r="AT252" s="530">
        <f t="shared" si="330"/>
        <v>506717.28433687036</v>
      </c>
      <c r="AU252" s="530">
        <f t="shared" si="330"/>
        <v>506717.28433687036</v>
      </c>
      <c r="AV252" s="530">
        <f t="shared" si="330"/>
        <v>522297.09626384609</v>
      </c>
      <c r="AW252" s="530">
        <f t="shared" si="330"/>
        <v>522297.09626384609</v>
      </c>
      <c r="AX252" s="530">
        <f t="shared" ref="AX252:BY252" si="331">SUM(AX246:AX251)</f>
        <v>522297.09626384609</v>
      </c>
      <c r="AY252" s="530">
        <f t="shared" si="331"/>
        <v>522297.09626384609</v>
      </c>
      <c r="AZ252" s="530">
        <f t="shared" si="331"/>
        <v>522297.09626384609</v>
      </c>
      <c r="BA252" s="530">
        <f t="shared" si="331"/>
        <v>522297.09626384609</v>
      </c>
      <c r="BB252" s="530">
        <f t="shared" si="331"/>
        <v>532983.33667974477</v>
      </c>
      <c r="BC252" s="530">
        <f t="shared" si="331"/>
        <v>532983.33667974477</v>
      </c>
      <c r="BD252" s="530">
        <f t="shared" si="331"/>
        <v>532983.33667974477</v>
      </c>
      <c r="BE252" s="530">
        <f t="shared" si="331"/>
        <v>532983.33667974477</v>
      </c>
      <c r="BF252" s="530">
        <f t="shared" si="331"/>
        <v>532983.33667974477</v>
      </c>
      <c r="BG252" s="530">
        <f t="shared" si="331"/>
        <v>532983.33667974477</v>
      </c>
      <c r="BH252" s="530">
        <f t="shared" si="331"/>
        <v>551317.28585564473</v>
      </c>
      <c r="BI252" s="530">
        <f t="shared" si="331"/>
        <v>551317.28585564473</v>
      </c>
      <c r="BJ252" s="530">
        <f t="shared" si="331"/>
        <v>551317.28585564473</v>
      </c>
      <c r="BK252" s="530">
        <f t="shared" si="331"/>
        <v>551317.28585564473</v>
      </c>
      <c r="BL252" s="530">
        <f t="shared" si="331"/>
        <v>551317.28585564473</v>
      </c>
      <c r="BM252" s="530">
        <f t="shared" si="331"/>
        <v>551317.28585564473</v>
      </c>
      <c r="BN252" s="530">
        <f t="shared" si="331"/>
        <v>560561.98775884707</v>
      </c>
      <c r="BO252" s="530">
        <f t="shared" si="331"/>
        <v>560561.98775884707</v>
      </c>
      <c r="BP252" s="530">
        <f t="shared" si="331"/>
        <v>560561.98775884707</v>
      </c>
      <c r="BQ252" s="530">
        <f t="shared" si="331"/>
        <v>560561.98775884707</v>
      </c>
      <c r="BR252" s="530">
        <f t="shared" si="331"/>
        <v>560561.98775884707</v>
      </c>
      <c r="BS252" s="530">
        <f t="shared" si="331"/>
        <v>560561.98775884707</v>
      </c>
      <c r="BT252" s="530">
        <f t="shared" si="331"/>
        <v>581776.24709622865</v>
      </c>
      <c r="BU252" s="530">
        <f t="shared" si="331"/>
        <v>581776.24709622865</v>
      </c>
      <c r="BV252" s="530">
        <f t="shared" si="331"/>
        <v>581776.24709622865</v>
      </c>
      <c r="BW252" s="530">
        <f t="shared" si="331"/>
        <v>581776.24709622865</v>
      </c>
      <c r="BX252" s="530">
        <f t="shared" si="331"/>
        <v>581776.24709622865</v>
      </c>
      <c r="BY252" s="530">
        <f t="shared" si="331"/>
        <v>581776.24709622865</v>
      </c>
    </row>
    <row r="253" spans="3:77" x14ac:dyDescent="0.3">
      <c r="C253" s="2"/>
      <c r="D253" s="2"/>
      <c r="E253" s="2"/>
      <c r="F253" s="2"/>
      <c r="G253" s="2"/>
      <c r="H253" s="2"/>
      <c r="I253" s="2"/>
      <c r="J253" s="2"/>
      <c r="K253" s="2"/>
      <c r="L253" s="2"/>
      <c r="M253" s="2"/>
      <c r="N253" s="2"/>
      <c r="O253" s="2"/>
      <c r="P253" s="10"/>
      <c r="Q253" s="2"/>
      <c r="R253" s="2"/>
      <c r="S253" s="2"/>
      <c r="T253" s="2"/>
      <c r="U253" s="2"/>
      <c r="V253" s="2"/>
      <c r="W253" s="2"/>
      <c r="X253" s="2"/>
      <c r="Y253" s="2"/>
      <c r="Z253" s="2"/>
      <c r="AA253" s="2"/>
      <c r="AB253" s="2"/>
      <c r="AC253" s="2"/>
      <c r="AD253" s="2"/>
      <c r="AE253" s="2"/>
      <c r="AF253" s="2"/>
      <c r="AG253" s="2"/>
      <c r="AH253" s="2"/>
      <c r="AI253" s="2"/>
      <c r="AJ253" s="2"/>
      <c r="AK253" s="2"/>
      <c r="AL253" s="2"/>
      <c r="AM253" s="2"/>
      <c r="AN253" s="525"/>
      <c r="AO253" s="525"/>
      <c r="AP253" s="525"/>
      <c r="AQ253" s="525"/>
      <c r="AR253" s="525"/>
      <c r="AS253" s="525"/>
      <c r="AT253" s="525"/>
      <c r="AU253" s="525"/>
      <c r="AV253" s="525"/>
      <c r="AW253" s="525"/>
      <c r="AX253" s="525"/>
      <c r="AY253" s="525"/>
      <c r="AZ253" s="525"/>
      <c r="BA253" s="525"/>
      <c r="BB253" s="525"/>
      <c r="BC253" s="525"/>
      <c r="BD253" s="525"/>
      <c r="BE253" s="525"/>
      <c r="BF253" s="525"/>
      <c r="BG253" s="525"/>
      <c r="BH253" s="525"/>
      <c r="BI253" s="525"/>
      <c r="BJ253" s="525"/>
      <c r="BK253" s="525"/>
      <c r="BL253" s="525"/>
      <c r="BM253" s="525"/>
      <c r="BN253" s="525"/>
      <c r="BO253" s="525"/>
      <c r="BP253" s="525"/>
      <c r="BQ253" s="525"/>
      <c r="BR253" s="525"/>
      <c r="BS253" s="525"/>
      <c r="BT253" s="525"/>
      <c r="BU253" s="525"/>
      <c r="BV253" s="525"/>
      <c r="BW253" s="525"/>
      <c r="BX253" s="525"/>
      <c r="BY253" s="525"/>
    </row>
    <row r="254" spans="3:77" x14ac:dyDescent="0.3">
      <c r="C254" s="2"/>
      <c r="D254" s="2"/>
      <c r="E254" s="117" t="str">
        <f>"BCF cost of sales: "&amp;E$155</f>
        <v>BCF cost of sales: FY27 Tranche</v>
      </c>
      <c r="F254" s="2"/>
      <c r="G254" s="2"/>
      <c r="H254" s="2"/>
      <c r="I254" s="2"/>
      <c r="J254" s="2"/>
      <c r="K254" s="2"/>
      <c r="L254" s="2"/>
      <c r="M254" s="2"/>
      <c r="N254" s="2"/>
      <c r="O254" s="2"/>
      <c r="P254" s="10"/>
      <c r="Q254" s="2"/>
      <c r="R254" s="497">
        <f t="shared" ref="R254:AW254" si="332">(R238-R246)*R$228</f>
        <v>-16383.79853125342</v>
      </c>
      <c r="S254" s="497">
        <f t="shared" si="332"/>
        <v>-16383.79853125342</v>
      </c>
      <c r="T254" s="497">
        <f t="shared" si="332"/>
        <v>-16383.79853125342</v>
      </c>
      <c r="U254" s="497">
        <f t="shared" si="332"/>
        <v>-16383.79853125342</v>
      </c>
      <c r="V254" s="497">
        <f t="shared" si="332"/>
        <v>-16383.79853125342</v>
      </c>
      <c r="W254" s="497">
        <f t="shared" si="332"/>
        <v>-16383.79853125342</v>
      </c>
      <c r="X254" s="497">
        <f t="shared" si="332"/>
        <v>-19310.389724494657</v>
      </c>
      <c r="Y254" s="497">
        <f t="shared" si="332"/>
        <v>-19310.389724494657</v>
      </c>
      <c r="Z254" s="497">
        <f t="shared" si="332"/>
        <v>-19310.389724494657</v>
      </c>
      <c r="AA254" s="497">
        <f t="shared" si="332"/>
        <v>-19310.389724494657</v>
      </c>
      <c r="AB254" s="497">
        <f t="shared" si="332"/>
        <v>-19310.389724494657</v>
      </c>
      <c r="AC254" s="497">
        <f t="shared" si="332"/>
        <v>-19310.389724494657</v>
      </c>
      <c r="AD254" s="497">
        <f t="shared" si="332"/>
        <v>-18808.8016842014</v>
      </c>
      <c r="AE254" s="497">
        <f t="shared" si="332"/>
        <v>-18808.8016842014</v>
      </c>
      <c r="AF254" s="497">
        <f t="shared" si="332"/>
        <v>-18808.8016842014</v>
      </c>
      <c r="AG254" s="497">
        <f t="shared" si="332"/>
        <v>-18808.8016842014</v>
      </c>
      <c r="AH254" s="497">
        <f t="shared" si="332"/>
        <v>-18808.8016842014</v>
      </c>
      <c r="AI254" s="497">
        <f t="shared" si="332"/>
        <v>-18808.8016842014</v>
      </c>
      <c r="AJ254" s="497">
        <f t="shared" si="332"/>
        <v>-19460.997311990443</v>
      </c>
      <c r="AK254" s="497">
        <f t="shared" si="332"/>
        <v>-19460.997311990443</v>
      </c>
      <c r="AL254" s="497">
        <f t="shared" si="332"/>
        <v>-19460.997311990443</v>
      </c>
      <c r="AM254" s="497">
        <f t="shared" si="332"/>
        <v>-19460.997311990443</v>
      </c>
      <c r="AN254" s="527">
        <f t="shared" si="332"/>
        <v>-19460.997311990443</v>
      </c>
      <c r="AO254" s="527">
        <f t="shared" si="332"/>
        <v>-19460.997311990443</v>
      </c>
      <c r="AP254" s="527">
        <f t="shared" si="332"/>
        <v>-18992.175390732831</v>
      </c>
      <c r="AQ254" s="527">
        <f t="shared" si="332"/>
        <v>-18992.175390732831</v>
      </c>
      <c r="AR254" s="527">
        <f t="shared" si="332"/>
        <v>-18992.175390732831</v>
      </c>
      <c r="AS254" s="527">
        <f t="shared" si="332"/>
        <v>-18992.175390732831</v>
      </c>
      <c r="AT254" s="527">
        <f t="shared" si="332"/>
        <v>-18992.175390732831</v>
      </c>
      <c r="AU254" s="527">
        <f t="shared" si="332"/>
        <v>-18992.175390732831</v>
      </c>
      <c r="AV254" s="527">
        <f t="shared" si="332"/>
        <v>-19645.341653509589</v>
      </c>
      <c r="AW254" s="527">
        <f t="shared" si="332"/>
        <v>-19645.341653509589</v>
      </c>
      <c r="AX254" s="527">
        <f t="shared" ref="AX254:BY254" si="333">(AX238-AX246)*AX$228</f>
        <v>-19645.341653509589</v>
      </c>
      <c r="AY254" s="527">
        <f t="shared" si="333"/>
        <v>-19645.341653509589</v>
      </c>
      <c r="AZ254" s="527">
        <f t="shared" si="333"/>
        <v>-19645.341653509589</v>
      </c>
      <c r="BA254" s="527">
        <f t="shared" si="333"/>
        <v>-19645.341653509589</v>
      </c>
      <c r="BB254" s="527">
        <f t="shared" si="333"/>
        <v>-19217.392916140529</v>
      </c>
      <c r="BC254" s="527">
        <f t="shared" si="333"/>
        <v>-19217.392916140529</v>
      </c>
      <c r="BD254" s="527">
        <f t="shared" si="333"/>
        <v>-19217.392916140529</v>
      </c>
      <c r="BE254" s="527">
        <f t="shared" si="333"/>
        <v>-19217.392916140529</v>
      </c>
      <c r="BF254" s="527">
        <f t="shared" si="333"/>
        <v>-19217.392916140529</v>
      </c>
      <c r="BG254" s="527">
        <f t="shared" si="333"/>
        <v>-19217.392916140529</v>
      </c>
      <c r="BH254" s="527">
        <f t="shared" si="333"/>
        <v>-19873.214323957349</v>
      </c>
      <c r="BI254" s="527">
        <f t="shared" si="333"/>
        <v>-19873.214323957349</v>
      </c>
      <c r="BJ254" s="527">
        <f t="shared" si="333"/>
        <v>-19873.214323957349</v>
      </c>
      <c r="BK254" s="527">
        <f t="shared" si="333"/>
        <v>-19873.214323957349</v>
      </c>
      <c r="BL254" s="527">
        <f t="shared" si="333"/>
        <v>-19873.214323957349</v>
      </c>
      <c r="BM254" s="527">
        <f t="shared" si="333"/>
        <v>-19873.214323957349</v>
      </c>
      <c r="BN254" s="527">
        <f t="shared" si="333"/>
        <v>-19453.533224513725</v>
      </c>
      <c r="BO254" s="527">
        <f t="shared" si="333"/>
        <v>-19453.533224513725</v>
      </c>
      <c r="BP254" s="527">
        <f t="shared" si="333"/>
        <v>-19453.533224513725</v>
      </c>
      <c r="BQ254" s="527">
        <f t="shared" si="333"/>
        <v>-19453.533224513725</v>
      </c>
      <c r="BR254" s="527">
        <f t="shared" si="333"/>
        <v>-19453.533224513725</v>
      </c>
      <c r="BS254" s="527">
        <f t="shared" si="333"/>
        <v>-19453.533224513725</v>
      </c>
      <c r="BT254" s="527">
        <f t="shared" si="333"/>
        <v>-20112.296823550852</v>
      </c>
      <c r="BU254" s="527">
        <f t="shared" si="333"/>
        <v>-20112.296823550852</v>
      </c>
      <c r="BV254" s="527">
        <f t="shared" si="333"/>
        <v>-20112.296823550852</v>
      </c>
      <c r="BW254" s="527">
        <f t="shared" si="333"/>
        <v>-20112.296823550852</v>
      </c>
      <c r="BX254" s="527">
        <f t="shared" si="333"/>
        <v>-20112.296823550852</v>
      </c>
      <c r="BY254" s="527">
        <f t="shared" si="333"/>
        <v>-20112.296823550852</v>
      </c>
    </row>
    <row r="255" spans="3:77" x14ac:dyDescent="0.3">
      <c r="C255" s="2"/>
      <c r="D255" s="2"/>
      <c r="E255" s="117" t="str">
        <f>"BCF cost of sales: "&amp;E$156</f>
        <v>BCF cost of sales: FY28 Tranche</v>
      </c>
      <c r="F255" s="2"/>
      <c r="G255" s="2"/>
      <c r="H255" s="2"/>
      <c r="I255" s="2"/>
      <c r="J255" s="2"/>
      <c r="K255" s="2"/>
      <c r="L255" s="2"/>
      <c r="M255" s="2"/>
      <c r="N255" s="2"/>
      <c r="O255" s="2"/>
      <c r="P255" s="10"/>
      <c r="Q255" s="2"/>
      <c r="R255" s="497">
        <f t="shared" ref="R255:AW255" si="334">(R239-R247)*R$228</f>
        <v>-16383.79853125342</v>
      </c>
      <c r="S255" s="497">
        <f t="shared" si="334"/>
        <v>-16383.79853125342</v>
      </c>
      <c r="T255" s="497">
        <f t="shared" si="334"/>
        <v>-16383.79853125342</v>
      </c>
      <c r="U255" s="497">
        <f t="shared" si="334"/>
        <v>-16383.79853125342</v>
      </c>
      <c r="V255" s="497">
        <f t="shared" si="334"/>
        <v>-16383.79853125342</v>
      </c>
      <c r="W255" s="497">
        <f t="shared" si="334"/>
        <v>-16383.79853125342</v>
      </c>
      <c r="X255" s="497">
        <f t="shared" si="334"/>
        <v>-16383.79853125342</v>
      </c>
      <c r="Y255" s="497">
        <f t="shared" si="334"/>
        <v>-16383.79853125342</v>
      </c>
      <c r="Z255" s="497">
        <f t="shared" si="334"/>
        <v>-16383.79853125342</v>
      </c>
      <c r="AA255" s="497">
        <f t="shared" si="334"/>
        <v>-16383.79853125342</v>
      </c>
      <c r="AB255" s="497">
        <f t="shared" si="334"/>
        <v>-16383.79853125342</v>
      </c>
      <c r="AC255" s="497">
        <f t="shared" si="334"/>
        <v>-16383.79853125342</v>
      </c>
      <c r="AD255" s="497">
        <f t="shared" si="334"/>
        <v>-16524.847305603958</v>
      </c>
      <c r="AE255" s="497">
        <f t="shared" si="334"/>
        <v>-16524.847305603958</v>
      </c>
      <c r="AF255" s="497">
        <f t="shared" si="334"/>
        <v>-16524.847305603958</v>
      </c>
      <c r="AG255" s="497">
        <f t="shared" si="334"/>
        <v>-16524.847305603958</v>
      </c>
      <c r="AH255" s="497">
        <f t="shared" si="334"/>
        <v>-16524.847305603958</v>
      </c>
      <c r="AI255" s="497">
        <f t="shared" si="334"/>
        <v>-16524.847305603958</v>
      </c>
      <c r="AJ255" s="497">
        <f t="shared" si="334"/>
        <v>-19403.803076038279</v>
      </c>
      <c r="AK255" s="497">
        <f t="shared" si="334"/>
        <v>-19403.803076038279</v>
      </c>
      <c r="AL255" s="497">
        <f t="shared" si="334"/>
        <v>-19403.803076038279</v>
      </c>
      <c r="AM255" s="497">
        <f t="shared" si="334"/>
        <v>-19403.803076038279</v>
      </c>
      <c r="AN255" s="527">
        <f t="shared" si="334"/>
        <v>-19403.803076038279</v>
      </c>
      <c r="AO255" s="527">
        <f t="shared" si="334"/>
        <v>-19403.803076038279</v>
      </c>
      <c r="AP255" s="527">
        <f t="shared" si="334"/>
        <v>-18937.099087176419</v>
      </c>
      <c r="AQ255" s="527">
        <f t="shared" si="334"/>
        <v>-18937.099087176419</v>
      </c>
      <c r="AR255" s="527">
        <f t="shared" si="334"/>
        <v>-18937.099087176419</v>
      </c>
      <c r="AS255" s="527">
        <f t="shared" si="334"/>
        <v>-18937.099087176419</v>
      </c>
      <c r="AT255" s="527">
        <f t="shared" si="334"/>
        <v>-18937.099087176419</v>
      </c>
      <c r="AU255" s="527">
        <f t="shared" si="334"/>
        <v>-18937.099087176419</v>
      </c>
      <c r="AV255" s="527">
        <f t="shared" si="334"/>
        <v>-19588.062297810917</v>
      </c>
      <c r="AW255" s="527">
        <f t="shared" si="334"/>
        <v>-19588.062297810917</v>
      </c>
      <c r="AX255" s="527">
        <f t="shared" ref="AX255:BY255" si="335">(AX239-AX247)*AX$228</f>
        <v>-19588.062297810917</v>
      </c>
      <c r="AY255" s="527">
        <f t="shared" si="335"/>
        <v>-19588.062297810917</v>
      </c>
      <c r="AZ255" s="527">
        <f t="shared" si="335"/>
        <v>-19588.062297810917</v>
      </c>
      <c r="BA255" s="527">
        <f t="shared" si="335"/>
        <v>-19588.062297810917</v>
      </c>
      <c r="BB255" s="527">
        <f t="shared" si="335"/>
        <v>-19162.092725371087</v>
      </c>
      <c r="BC255" s="527">
        <f t="shared" si="335"/>
        <v>-19162.092725371087</v>
      </c>
      <c r="BD255" s="527">
        <f t="shared" si="335"/>
        <v>-19162.092725371087</v>
      </c>
      <c r="BE255" s="527">
        <f t="shared" si="335"/>
        <v>-19162.092725371087</v>
      </c>
      <c r="BF255" s="527">
        <f t="shared" si="335"/>
        <v>-19162.092725371087</v>
      </c>
      <c r="BG255" s="527">
        <f t="shared" si="335"/>
        <v>-19162.092725371087</v>
      </c>
      <c r="BH255" s="527">
        <f t="shared" si="335"/>
        <v>-19815.702125557134</v>
      </c>
      <c r="BI255" s="527">
        <f t="shared" si="335"/>
        <v>-19815.702125557134</v>
      </c>
      <c r="BJ255" s="527">
        <f t="shared" si="335"/>
        <v>-19815.702125557134</v>
      </c>
      <c r="BK255" s="527">
        <f t="shared" si="335"/>
        <v>-19815.702125557134</v>
      </c>
      <c r="BL255" s="527">
        <f t="shared" si="335"/>
        <v>-19815.702125557134</v>
      </c>
      <c r="BM255" s="527">
        <f t="shared" si="335"/>
        <v>-19815.702125557134</v>
      </c>
      <c r="BN255" s="527">
        <f t="shared" si="335"/>
        <v>-19397.984942215375</v>
      </c>
      <c r="BO255" s="527">
        <f t="shared" si="335"/>
        <v>-19397.984942215375</v>
      </c>
      <c r="BP255" s="527">
        <f t="shared" si="335"/>
        <v>-19397.984942215375</v>
      </c>
      <c r="BQ255" s="527">
        <f t="shared" si="335"/>
        <v>-19397.984942215375</v>
      </c>
      <c r="BR255" s="527">
        <f t="shared" si="335"/>
        <v>-19397.984942215375</v>
      </c>
      <c r="BS255" s="527">
        <f t="shared" si="335"/>
        <v>-19397.984942215375</v>
      </c>
      <c r="BT255" s="527">
        <f t="shared" si="335"/>
        <v>-20054.526609960565</v>
      </c>
      <c r="BU255" s="527">
        <f t="shared" si="335"/>
        <v>-20054.526609960565</v>
      </c>
      <c r="BV255" s="527">
        <f t="shared" si="335"/>
        <v>-20054.526609960565</v>
      </c>
      <c r="BW255" s="527">
        <f t="shared" si="335"/>
        <v>-20054.526609960565</v>
      </c>
      <c r="BX255" s="527">
        <f t="shared" si="335"/>
        <v>-20054.526609960565</v>
      </c>
      <c r="BY255" s="527">
        <f t="shared" si="335"/>
        <v>-20054.526609960565</v>
      </c>
    </row>
    <row r="256" spans="3:77" x14ac:dyDescent="0.3">
      <c r="C256" s="2"/>
      <c r="D256" s="2"/>
      <c r="E256" s="117" t="str">
        <f>"BCF cost of sales: "&amp;E$157</f>
        <v>BCF cost of sales: FY29 Tranche</v>
      </c>
      <c r="F256" s="2"/>
      <c r="G256" s="2"/>
      <c r="H256" s="2"/>
      <c r="I256" s="2"/>
      <c r="J256" s="2"/>
      <c r="K256" s="2"/>
      <c r="L256" s="2"/>
      <c r="M256" s="2"/>
      <c r="N256" s="2"/>
      <c r="O256" s="2"/>
      <c r="P256" s="10"/>
      <c r="Q256" s="2"/>
      <c r="R256" s="497">
        <f t="shared" ref="R256:AW256" si="336">(R240-R248)*R$228</f>
        <v>-16383.79853125342</v>
      </c>
      <c r="S256" s="497">
        <f t="shared" si="336"/>
        <v>-16383.79853125342</v>
      </c>
      <c r="T256" s="497">
        <f t="shared" si="336"/>
        <v>-16383.79853125342</v>
      </c>
      <c r="U256" s="497">
        <f t="shared" si="336"/>
        <v>-16383.79853125342</v>
      </c>
      <c r="V256" s="497">
        <f t="shared" si="336"/>
        <v>-16383.79853125342</v>
      </c>
      <c r="W256" s="497">
        <f t="shared" si="336"/>
        <v>-16383.79853125342</v>
      </c>
      <c r="X256" s="497">
        <f t="shared" si="336"/>
        <v>-16383.79853125342</v>
      </c>
      <c r="Y256" s="497">
        <f t="shared" si="336"/>
        <v>-16383.79853125342</v>
      </c>
      <c r="Z256" s="497">
        <f t="shared" si="336"/>
        <v>-16383.79853125342</v>
      </c>
      <c r="AA256" s="497">
        <f t="shared" si="336"/>
        <v>-16383.79853125342</v>
      </c>
      <c r="AB256" s="497">
        <f t="shared" si="336"/>
        <v>-16383.79853125342</v>
      </c>
      <c r="AC256" s="497">
        <f t="shared" si="336"/>
        <v>-16383.79853125342</v>
      </c>
      <c r="AD256" s="497">
        <f t="shared" si="336"/>
        <v>-16524.847305603958</v>
      </c>
      <c r="AE256" s="497">
        <f t="shared" si="336"/>
        <v>-16524.847305603958</v>
      </c>
      <c r="AF256" s="497">
        <f t="shared" si="336"/>
        <v>-16524.847305603958</v>
      </c>
      <c r="AG256" s="497">
        <f t="shared" si="336"/>
        <v>-16524.847305603958</v>
      </c>
      <c r="AH256" s="497">
        <f t="shared" si="336"/>
        <v>-16524.847305603958</v>
      </c>
      <c r="AI256" s="497">
        <f t="shared" si="336"/>
        <v>-16524.847305603958</v>
      </c>
      <c r="AJ256" s="497">
        <f t="shared" si="336"/>
        <v>-16524.847305603958</v>
      </c>
      <c r="AK256" s="497">
        <f t="shared" si="336"/>
        <v>-16524.847305603958</v>
      </c>
      <c r="AL256" s="497">
        <f t="shared" si="336"/>
        <v>-16524.847305603958</v>
      </c>
      <c r="AM256" s="497">
        <f t="shared" si="336"/>
        <v>-16524.847305603958</v>
      </c>
      <c r="AN256" s="527">
        <f t="shared" si="336"/>
        <v>-16524.847305603958</v>
      </c>
      <c r="AO256" s="527">
        <f t="shared" si="336"/>
        <v>-16524.847305603958</v>
      </c>
      <c r="AP256" s="527">
        <f t="shared" si="336"/>
        <v>-16668.717055441499</v>
      </c>
      <c r="AQ256" s="527">
        <f t="shared" si="336"/>
        <v>-16668.717055441499</v>
      </c>
      <c r="AR256" s="527">
        <f t="shared" si="336"/>
        <v>-16668.717055441499</v>
      </c>
      <c r="AS256" s="527">
        <f t="shared" si="336"/>
        <v>-16668.717055441499</v>
      </c>
      <c r="AT256" s="527">
        <f t="shared" si="336"/>
        <v>-16668.717055441499</v>
      </c>
      <c r="AU256" s="527">
        <f t="shared" si="336"/>
        <v>-16668.717055441499</v>
      </c>
      <c r="AV256" s="527">
        <f t="shared" si="336"/>
        <v>-19503.315020558286</v>
      </c>
      <c r="AW256" s="527">
        <f t="shared" si="336"/>
        <v>-19503.315020558286</v>
      </c>
      <c r="AX256" s="527">
        <f t="shared" ref="AX256:BY256" si="337">(AX240-AX248)*AX$228</f>
        <v>-19503.315020558286</v>
      </c>
      <c r="AY256" s="527">
        <f t="shared" si="337"/>
        <v>-19503.315020558286</v>
      </c>
      <c r="AZ256" s="527">
        <f t="shared" si="337"/>
        <v>-19503.315020558286</v>
      </c>
      <c r="BA256" s="527">
        <f t="shared" si="337"/>
        <v>-19503.315020558286</v>
      </c>
      <c r="BB256" s="527">
        <f t="shared" si="337"/>
        <v>-19080.273707993947</v>
      </c>
      <c r="BC256" s="527">
        <f t="shared" si="337"/>
        <v>-19080.273707993947</v>
      </c>
      <c r="BD256" s="527">
        <f t="shared" si="337"/>
        <v>-19080.273707993947</v>
      </c>
      <c r="BE256" s="527">
        <f t="shared" si="337"/>
        <v>-19080.273707993947</v>
      </c>
      <c r="BF256" s="527">
        <f t="shared" si="337"/>
        <v>-19080.273707993947</v>
      </c>
      <c r="BG256" s="527">
        <f t="shared" si="337"/>
        <v>-19080.273707993947</v>
      </c>
      <c r="BH256" s="527">
        <f t="shared" si="337"/>
        <v>-19730.610347484911</v>
      </c>
      <c r="BI256" s="527">
        <f t="shared" si="337"/>
        <v>-19730.610347484911</v>
      </c>
      <c r="BJ256" s="527">
        <f t="shared" si="337"/>
        <v>-19730.610347484911</v>
      </c>
      <c r="BK256" s="527">
        <f t="shared" si="337"/>
        <v>-19730.610347484911</v>
      </c>
      <c r="BL256" s="527">
        <f t="shared" si="337"/>
        <v>-19730.610347484911</v>
      </c>
      <c r="BM256" s="527">
        <f t="shared" si="337"/>
        <v>-19730.610347484911</v>
      </c>
      <c r="BN256" s="527">
        <f t="shared" si="337"/>
        <v>-19315.798862720851</v>
      </c>
      <c r="BO256" s="527">
        <f t="shared" si="337"/>
        <v>-19315.798862720851</v>
      </c>
      <c r="BP256" s="527">
        <f t="shared" si="337"/>
        <v>-19315.798862720851</v>
      </c>
      <c r="BQ256" s="527">
        <f t="shared" si="337"/>
        <v>-19315.798862720851</v>
      </c>
      <c r="BR256" s="527">
        <f t="shared" si="337"/>
        <v>-19315.798862720851</v>
      </c>
      <c r="BS256" s="527">
        <f t="shared" si="337"/>
        <v>-19315.798862720851</v>
      </c>
      <c r="BT256" s="527">
        <f t="shared" si="337"/>
        <v>-19969.053087286255</v>
      </c>
      <c r="BU256" s="527">
        <f t="shared" si="337"/>
        <v>-19969.053087286255</v>
      </c>
      <c r="BV256" s="527">
        <f t="shared" si="337"/>
        <v>-19969.053087286255</v>
      </c>
      <c r="BW256" s="527">
        <f t="shared" si="337"/>
        <v>-19969.053087286255</v>
      </c>
      <c r="BX256" s="527">
        <f t="shared" si="337"/>
        <v>-19969.053087286255</v>
      </c>
      <c r="BY256" s="527">
        <f t="shared" si="337"/>
        <v>-19969.053087286255</v>
      </c>
    </row>
    <row r="257" spans="3:77" x14ac:dyDescent="0.3">
      <c r="C257" s="2"/>
      <c r="D257" s="2"/>
      <c r="E257" s="117" t="str">
        <f>"BCF cost of sales: "&amp;E$158</f>
        <v>BCF cost of sales: FY30 Tranche</v>
      </c>
      <c r="F257" s="2"/>
      <c r="G257" s="2"/>
      <c r="H257" s="2"/>
      <c r="I257" s="2"/>
      <c r="J257" s="2"/>
      <c r="K257" s="2"/>
      <c r="L257" s="2"/>
      <c r="M257" s="2"/>
      <c r="N257" s="2"/>
      <c r="O257" s="2"/>
      <c r="P257" s="10"/>
      <c r="Q257" s="2"/>
      <c r="R257" s="497">
        <f t="shared" ref="R257:AW257" si="338">(R241-R249)*R$228</f>
        <v>-16383.79853125342</v>
      </c>
      <c r="S257" s="497">
        <f t="shared" si="338"/>
        <v>-16383.79853125342</v>
      </c>
      <c r="T257" s="497">
        <f t="shared" si="338"/>
        <v>-16383.79853125342</v>
      </c>
      <c r="U257" s="497">
        <f t="shared" si="338"/>
        <v>-16383.79853125342</v>
      </c>
      <c r="V257" s="497">
        <f t="shared" si="338"/>
        <v>-16383.79853125342</v>
      </c>
      <c r="W257" s="497">
        <f t="shared" si="338"/>
        <v>-16383.79853125342</v>
      </c>
      <c r="X257" s="497">
        <f t="shared" si="338"/>
        <v>-16383.79853125342</v>
      </c>
      <c r="Y257" s="497">
        <f t="shared" si="338"/>
        <v>-16383.79853125342</v>
      </c>
      <c r="Z257" s="497">
        <f t="shared" si="338"/>
        <v>-16383.79853125342</v>
      </c>
      <c r="AA257" s="497">
        <f t="shared" si="338"/>
        <v>-16383.79853125342</v>
      </c>
      <c r="AB257" s="497">
        <f t="shared" si="338"/>
        <v>-16383.79853125342</v>
      </c>
      <c r="AC257" s="497">
        <f t="shared" si="338"/>
        <v>-16383.79853125342</v>
      </c>
      <c r="AD257" s="497">
        <f t="shared" si="338"/>
        <v>-16524.847305603958</v>
      </c>
      <c r="AE257" s="497">
        <f t="shared" si="338"/>
        <v>-16524.847305603958</v>
      </c>
      <c r="AF257" s="497">
        <f t="shared" si="338"/>
        <v>-16524.847305603958</v>
      </c>
      <c r="AG257" s="497">
        <f t="shared" si="338"/>
        <v>-16524.847305603958</v>
      </c>
      <c r="AH257" s="497">
        <f t="shared" si="338"/>
        <v>-16524.847305603958</v>
      </c>
      <c r="AI257" s="497">
        <f t="shared" si="338"/>
        <v>-16524.847305603958</v>
      </c>
      <c r="AJ257" s="497">
        <f t="shared" si="338"/>
        <v>-16524.847305603958</v>
      </c>
      <c r="AK257" s="497">
        <f t="shared" si="338"/>
        <v>-16524.847305603958</v>
      </c>
      <c r="AL257" s="497">
        <f t="shared" si="338"/>
        <v>-16524.847305603958</v>
      </c>
      <c r="AM257" s="497">
        <f t="shared" si="338"/>
        <v>-16524.847305603958</v>
      </c>
      <c r="AN257" s="527">
        <f t="shared" si="338"/>
        <v>-16524.847305603958</v>
      </c>
      <c r="AO257" s="527">
        <f t="shared" si="338"/>
        <v>-16524.847305603958</v>
      </c>
      <c r="AP257" s="527">
        <f t="shared" si="338"/>
        <v>-16668.717055441499</v>
      </c>
      <c r="AQ257" s="527">
        <f t="shared" si="338"/>
        <v>-16668.717055441499</v>
      </c>
      <c r="AR257" s="527">
        <f t="shared" si="338"/>
        <v>-16668.717055441499</v>
      </c>
      <c r="AS257" s="527">
        <f t="shared" si="338"/>
        <v>-16668.717055441499</v>
      </c>
      <c r="AT257" s="527">
        <f t="shared" si="338"/>
        <v>-16668.717055441499</v>
      </c>
      <c r="AU257" s="527">
        <f t="shared" si="338"/>
        <v>-16668.717055441499</v>
      </c>
      <c r="AV257" s="527">
        <f t="shared" si="338"/>
        <v>-16668.717055441499</v>
      </c>
      <c r="AW257" s="527">
        <f t="shared" si="338"/>
        <v>-16668.717055441499</v>
      </c>
      <c r="AX257" s="527">
        <f t="shared" ref="AX257:BY257" si="339">(AX241-AX249)*AX$228</f>
        <v>-16668.717055441499</v>
      </c>
      <c r="AY257" s="527">
        <f t="shared" si="339"/>
        <v>-16668.717055441499</v>
      </c>
      <c r="AZ257" s="527">
        <f t="shared" si="339"/>
        <v>-16668.717055441499</v>
      </c>
      <c r="BA257" s="527">
        <f t="shared" si="339"/>
        <v>-16668.717055441499</v>
      </c>
      <c r="BB257" s="527">
        <f t="shared" si="339"/>
        <v>-16815.464200275794</v>
      </c>
      <c r="BC257" s="527">
        <f t="shared" si="339"/>
        <v>-16815.464200275794</v>
      </c>
      <c r="BD257" s="527">
        <f t="shared" si="339"/>
        <v>-16815.464200275794</v>
      </c>
      <c r="BE257" s="527">
        <f t="shared" si="339"/>
        <v>-16815.464200275794</v>
      </c>
      <c r="BF257" s="527">
        <f t="shared" si="339"/>
        <v>-16815.464200275794</v>
      </c>
      <c r="BG257" s="527">
        <f t="shared" si="339"/>
        <v>-16815.464200275794</v>
      </c>
      <c r="BH257" s="527">
        <f t="shared" si="339"/>
        <v>-19608.706256298876</v>
      </c>
      <c r="BI257" s="527">
        <f t="shared" si="339"/>
        <v>-19608.706256298876</v>
      </c>
      <c r="BJ257" s="527">
        <f t="shared" si="339"/>
        <v>-19608.706256298876</v>
      </c>
      <c r="BK257" s="527">
        <f t="shared" si="339"/>
        <v>-19608.706256298876</v>
      </c>
      <c r="BL257" s="527">
        <f t="shared" si="339"/>
        <v>-19608.706256298876</v>
      </c>
      <c r="BM257" s="527">
        <f t="shared" si="339"/>
        <v>-19608.706256298876</v>
      </c>
      <c r="BN257" s="527">
        <f t="shared" si="339"/>
        <v>-19198.057530292474</v>
      </c>
      <c r="BO257" s="527">
        <f t="shared" si="339"/>
        <v>-19198.057530292474</v>
      </c>
      <c r="BP257" s="527">
        <f t="shared" si="339"/>
        <v>-19198.057530292474</v>
      </c>
      <c r="BQ257" s="527">
        <f t="shared" si="339"/>
        <v>-19198.057530292474</v>
      </c>
      <c r="BR257" s="527">
        <f t="shared" si="339"/>
        <v>-19198.057530292474</v>
      </c>
      <c r="BS257" s="527">
        <f t="shared" si="339"/>
        <v>-19198.057530292474</v>
      </c>
      <c r="BT257" s="527">
        <f t="shared" si="339"/>
        <v>-19846.602101560748</v>
      </c>
      <c r="BU257" s="527">
        <f t="shared" si="339"/>
        <v>-19846.602101560748</v>
      </c>
      <c r="BV257" s="527">
        <f t="shared" si="339"/>
        <v>-19846.602101560748</v>
      </c>
      <c r="BW257" s="527">
        <f t="shared" si="339"/>
        <v>-19846.602101560748</v>
      </c>
      <c r="BX257" s="527">
        <f t="shared" si="339"/>
        <v>-19846.602101560748</v>
      </c>
      <c r="BY257" s="527">
        <f t="shared" si="339"/>
        <v>-19846.602101560748</v>
      </c>
    </row>
    <row r="258" spans="3:77" x14ac:dyDescent="0.3">
      <c r="C258" s="2"/>
      <c r="D258" s="2"/>
      <c r="E258" s="117" t="str">
        <f>"BCF cost of sales: "&amp;E$159</f>
        <v>BCF cost of sales: FY31 Tranche</v>
      </c>
      <c r="F258" s="2"/>
      <c r="G258" s="2"/>
      <c r="H258" s="2"/>
      <c r="I258" s="2"/>
      <c r="J258" s="2"/>
      <c r="K258" s="2"/>
      <c r="L258" s="2"/>
      <c r="M258" s="2"/>
      <c r="N258" s="2"/>
      <c r="O258" s="2"/>
      <c r="P258" s="10"/>
      <c r="Q258" s="2"/>
      <c r="R258" s="497">
        <f t="shared" ref="R258:AW258" si="340">(R242-R250)*R$228</f>
        <v>-16383.79853125342</v>
      </c>
      <c r="S258" s="497">
        <f t="shared" si="340"/>
        <v>-16383.79853125342</v>
      </c>
      <c r="T258" s="497">
        <f t="shared" si="340"/>
        <v>-16383.79853125342</v>
      </c>
      <c r="U258" s="497">
        <f t="shared" si="340"/>
        <v>-16383.79853125342</v>
      </c>
      <c r="V258" s="497">
        <f t="shared" si="340"/>
        <v>-16383.79853125342</v>
      </c>
      <c r="W258" s="497">
        <f t="shared" si="340"/>
        <v>-16383.79853125342</v>
      </c>
      <c r="X258" s="497">
        <f t="shared" si="340"/>
        <v>-16383.79853125342</v>
      </c>
      <c r="Y258" s="497">
        <f t="shared" si="340"/>
        <v>-16383.79853125342</v>
      </c>
      <c r="Z258" s="497">
        <f t="shared" si="340"/>
        <v>-16383.79853125342</v>
      </c>
      <c r="AA258" s="497">
        <f t="shared" si="340"/>
        <v>-16383.79853125342</v>
      </c>
      <c r="AB258" s="497">
        <f t="shared" si="340"/>
        <v>-16383.79853125342</v>
      </c>
      <c r="AC258" s="497">
        <f t="shared" si="340"/>
        <v>-16383.79853125342</v>
      </c>
      <c r="AD258" s="497">
        <f t="shared" si="340"/>
        <v>-16524.847305603958</v>
      </c>
      <c r="AE258" s="497">
        <f t="shared" si="340"/>
        <v>-16524.847305603958</v>
      </c>
      <c r="AF258" s="497">
        <f t="shared" si="340"/>
        <v>-16524.847305603958</v>
      </c>
      <c r="AG258" s="497">
        <f t="shared" si="340"/>
        <v>-16524.847305603958</v>
      </c>
      <c r="AH258" s="497">
        <f t="shared" si="340"/>
        <v>-16524.847305603958</v>
      </c>
      <c r="AI258" s="497">
        <f t="shared" si="340"/>
        <v>-16524.847305603958</v>
      </c>
      <c r="AJ258" s="497">
        <f t="shared" si="340"/>
        <v>-16524.847305603958</v>
      </c>
      <c r="AK258" s="497">
        <f t="shared" si="340"/>
        <v>-16524.847305603958</v>
      </c>
      <c r="AL258" s="497">
        <f t="shared" si="340"/>
        <v>-16524.847305603958</v>
      </c>
      <c r="AM258" s="497">
        <f t="shared" si="340"/>
        <v>-16524.847305603958</v>
      </c>
      <c r="AN258" s="527">
        <f t="shared" si="340"/>
        <v>-16524.847305603958</v>
      </c>
      <c r="AO258" s="527">
        <f t="shared" si="340"/>
        <v>-16524.847305603958</v>
      </c>
      <c r="AP258" s="527">
        <f t="shared" si="340"/>
        <v>-16668.717055441499</v>
      </c>
      <c r="AQ258" s="527">
        <f t="shared" si="340"/>
        <v>-16668.717055441499</v>
      </c>
      <c r="AR258" s="527">
        <f t="shared" si="340"/>
        <v>-16668.717055441499</v>
      </c>
      <c r="AS258" s="527">
        <f t="shared" si="340"/>
        <v>-16668.717055441499</v>
      </c>
      <c r="AT258" s="527">
        <f t="shared" si="340"/>
        <v>-16668.717055441499</v>
      </c>
      <c r="AU258" s="527">
        <f t="shared" si="340"/>
        <v>-16668.717055441499</v>
      </c>
      <c r="AV258" s="527">
        <f t="shared" si="340"/>
        <v>-16668.717055441499</v>
      </c>
      <c r="AW258" s="527">
        <f t="shared" si="340"/>
        <v>-16668.717055441499</v>
      </c>
      <c r="AX258" s="527">
        <f t="shared" ref="AX258:BY258" si="341">(AX242-AX250)*AX$228</f>
        <v>-16668.717055441499</v>
      </c>
      <c r="AY258" s="527">
        <f t="shared" si="341"/>
        <v>-16668.717055441499</v>
      </c>
      <c r="AZ258" s="527">
        <f t="shared" si="341"/>
        <v>-16668.717055441499</v>
      </c>
      <c r="BA258" s="527">
        <f t="shared" si="341"/>
        <v>-16668.717055441499</v>
      </c>
      <c r="BB258" s="527">
        <f t="shared" si="341"/>
        <v>-16815.464200275794</v>
      </c>
      <c r="BC258" s="527">
        <f t="shared" si="341"/>
        <v>-16815.464200275794</v>
      </c>
      <c r="BD258" s="527">
        <f t="shared" si="341"/>
        <v>-16815.464200275794</v>
      </c>
      <c r="BE258" s="527">
        <f t="shared" si="341"/>
        <v>-16815.464200275794</v>
      </c>
      <c r="BF258" s="527">
        <f t="shared" si="341"/>
        <v>-16815.464200275794</v>
      </c>
      <c r="BG258" s="527">
        <f t="shared" si="341"/>
        <v>-16815.464200275794</v>
      </c>
      <c r="BH258" s="527">
        <f t="shared" si="341"/>
        <v>-16815.464200275794</v>
      </c>
      <c r="BI258" s="527">
        <f t="shared" si="341"/>
        <v>-16815.464200275794</v>
      </c>
      <c r="BJ258" s="527">
        <f t="shared" si="341"/>
        <v>-16815.464200275794</v>
      </c>
      <c r="BK258" s="527">
        <f t="shared" si="341"/>
        <v>-16815.464200275794</v>
      </c>
      <c r="BL258" s="527">
        <f t="shared" si="341"/>
        <v>-16815.464200275794</v>
      </c>
      <c r="BM258" s="527">
        <f t="shared" si="341"/>
        <v>-16815.464200275794</v>
      </c>
      <c r="BN258" s="527">
        <f t="shared" si="341"/>
        <v>-16965.146288006774</v>
      </c>
      <c r="BO258" s="527">
        <f t="shared" si="341"/>
        <v>-16965.146288006774</v>
      </c>
      <c r="BP258" s="527">
        <f t="shared" si="341"/>
        <v>-16965.146288006774</v>
      </c>
      <c r="BQ258" s="527">
        <f t="shared" si="341"/>
        <v>-16965.146288006774</v>
      </c>
      <c r="BR258" s="527">
        <f t="shared" si="341"/>
        <v>-16965.146288006774</v>
      </c>
      <c r="BS258" s="527">
        <f t="shared" si="341"/>
        <v>-16965.146288006774</v>
      </c>
      <c r="BT258" s="527">
        <f t="shared" si="341"/>
        <v>-19715.656574813889</v>
      </c>
      <c r="BU258" s="527">
        <f t="shared" si="341"/>
        <v>-19715.656574813889</v>
      </c>
      <c r="BV258" s="527">
        <f t="shared" si="341"/>
        <v>-19715.656574813889</v>
      </c>
      <c r="BW258" s="527">
        <f t="shared" si="341"/>
        <v>-19715.656574813889</v>
      </c>
      <c r="BX258" s="527">
        <f t="shared" si="341"/>
        <v>-19715.656574813889</v>
      </c>
      <c r="BY258" s="527">
        <f t="shared" si="341"/>
        <v>-19715.656574813889</v>
      </c>
    </row>
    <row r="259" spans="3:77" x14ac:dyDescent="0.3">
      <c r="C259" s="2"/>
      <c r="D259" s="2"/>
      <c r="E259" s="117" t="str">
        <f>"BCF cost of sales: "&amp;E$160</f>
        <v>BCF cost of sales: Uninvested Tranche</v>
      </c>
      <c r="F259" s="2"/>
      <c r="G259" s="2"/>
      <c r="H259" s="2"/>
      <c r="I259" s="2"/>
      <c r="J259" s="2"/>
      <c r="K259" s="2"/>
      <c r="L259" s="2"/>
      <c r="M259" s="2"/>
      <c r="N259" s="2"/>
      <c r="O259" s="2"/>
      <c r="P259" s="10"/>
      <c r="Q259" s="2"/>
      <c r="R259" s="497">
        <f t="shared" ref="R259:AW259" si="342">(R243-R251)*R$228</f>
        <v>-45874.63588750959</v>
      </c>
      <c r="S259" s="497">
        <f t="shared" si="342"/>
        <v>-45874.63588750959</v>
      </c>
      <c r="T259" s="497">
        <f t="shared" si="342"/>
        <v>-45874.63588750959</v>
      </c>
      <c r="U259" s="497">
        <f t="shared" si="342"/>
        <v>-45874.63588750959</v>
      </c>
      <c r="V259" s="497">
        <f t="shared" si="342"/>
        <v>-45874.63588750959</v>
      </c>
      <c r="W259" s="497">
        <f t="shared" si="342"/>
        <v>-45874.63588750959</v>
      </c>
      <c r="X259" s="497">
        <f t="shared" si="342"/>
        <v>-45874.63588750959</v>
      </c>
      <c r="Y259" s="497">
        <f t="shared" si="342"/>
        <v>-45874.63588750959</v>
      </c>
      <c r="Z259" s="497">
        <f t="shared" si="342"/>
        <v>-45874.63588750959</v>
      </c>
      <c r="AA259" s="497">
        <f t="shared" si="342"/>
        <v>-45874.63588750959</v>
      </c>
      <c r="AB259" s="497">
        <f t="shared" si="342"/>
        <v>-45874.63588750959</v>
      </c>
      <c r="AC259" s="497">
        <f t="shared" si="342"/>
        <v>-45874.63588750959</v>
      </c>
      <c r="AD259" s="497">
        <f t="shared" si="342"/>
        <v>-46269.572455691079</v>
      </c>
      <c r="AE259" s="497">
        <f t="shared" si="342"/>
        <v>-46269.572455691079</v>
      </c>
      <c r="AF259" s="497">
        <f t="shared" si="342"/>
        <v>-46269.572455691079</v>
      </c>
      <c r="AG259" s="497">
        <f t="shared" si="342"/>
        <v>-46269.572455691079</v>
      </c>
      <c r="AH259" s="497">
        <f t="shared" si="342"/>
        <v>-46269.572455691079</v>
      </c>
      <c r="AI259" s="497">
        <f t="shared" si="342"/>
        <v>-46269.572455691079</v>
      </c>
      <c r="AJ259" s="497">
        <f t="shared" si="342"/>
        <v>-46269.572455691079</v>
      </c>
      <c r="AK259" s="497">
        <f t="shared" si="342"/>
        <v>-46269.572455691079</v>
      </c>
      <c r="AL259" s="497">
        <f t="shared" si="342"/>
        <v>-46269.572455691079</v>
      </c>
      <c r="AM259" s="497">
        <f t="shared" si="342"/>
        <v>-46269.572455691079</v>
      </c>
      <c r="AN259" s="527">
        <f t="shared" si="342"/>
        <v>-46269.572455691079</v>
      </c>
      <c r="AO259" s="527">
        <f t="shared" si="342"/>
        <v>-46269.572455691079</v>
      </c>
      <c r="AP259" s="527">
        <f t="shared" si="342"/>
        <v>-46672.407755236192</v>
      </c>
      <c r="AQ259" s="527">
        <f t="shared" si="342"/>
        <v>-46672.407755236192</v>
      </c>
      <c r="AR259" s="527">
        <f t="shared" si="342"/>
        <v>-46672.407755236192</v>
      </c>
      <c r="AS259" s="527">
        <f t="shared" si="342"/>
        <v>-46672.407755236192</v>
      </c>
      <c r="AT259" s="527">
        <f t="shared" si="342"/>
        <v>-46672.407755236192</v>
      </c>
      <c r="AU259" s="527">
        <f t="shared" si="342"/>
        <v>-46672.407755236192</v>
      </c>
      <c r="AV259" s="527">
        <f t="shared" si="342"/>
        <v>-46672.407755236192</v>
      </c>
      <c r="AW259" s="527">
        <f t="shared" si="342"/>
        <v>-46672.407755236192</v>
      </c>
      <c r="AX259" s="527">
        <f t="shared" ref="AX259:BY259" si="343">(AX243-AX251)*AX$228</f>
        <v>-46672.407755236192</v>
      </c>
      <c r="AY259" s="527">
        <f t="shared" si="343"/>
        <v>-46672.407755236192</v>
      </c>
      <c r="AZ259" s="527">
        <f t="shared" si="343"/>
        <v>-46672.407755236192</v>
      </c>
      <c r="BA259" s="527">
        <f t="shared" si="343"/>
        <v>-46672.407755236192</v>
      </c>
      <c r="BB259" s="527">
        <f t="shared" si="343"/>
        <v>-47083.299760772214</v>
      </c>
      <c r="BC259" s="527">
        <f t="shared" si="343"/>
        <v>-47083.299760772214</v>
      </c>
      <c r="BD259" s="527">
        <f t="shared" si="343"/>
        <v>-47083.299760772214</v>
      </c>
      <c r="BE259" s="527">
        <f t="shared" si="343"/>
        <v>-47083.299760772214</v>
      </c>
      <c r="BF259" s="527">
        <f t="shared" si="343"/>
        <v>-47083.299760772214</v>
      </c>
      <c r="BG259" s="527">
        <f t="shared" si="343"/>
        <v>-47083.299760772214</v>
      </c>
      <c r="BH259" s="527">
        <f t="shared" si="343"/>
        <v>-47083.299760772214</v>
      </c>
      <c r="BI259" s="527">
        <f t="shared" si="343"/>
        <v>-47083.299760772214</v>
      </c>
      <c r="BJ259" s="527">
        <f t="shared" si="343"/>
        <v>-47083.299760772214</v>
      </c>
      <c r="BK259" s="527">
        <f t="shared" si="343"/>
        <v>-47083.299760772214</v>
      </c>
      <c r="BL259" s="527">
        <f t="shared" si="343"/>
        <v>-47083.299760772214</v>
      </c>
      <c r="BM259" s="527">
        <f t="shared" si="343"/>
        <v>-47083.299760772214</v>
      </c>
      <c r="BN259" s="527">
        <f t="shared" si="343"/>
        <v>-47502.409606418973</v>
      </c>
      <c r="BO259" s="527">
        <f t="shared" si="343"/>
        <v>-47502.409606418973</v>
      </c>
      <c r="BP259" s="527">
        <f t="shared" si="343"/>
        <v>-47502.409606418973</v>
      </c>
      <c r="BQ259" s="527">
        <f t="shared" si="343"/>
        <v>-47502.409606418973</v>
      </c>
      <c r="BR259" s="527">
        <f t="shared" si="343"/>
        <v>-47502.409606418973</v>
      </c>
      <c r="BS259" s="527">
        <f t="shared" si="343"/>
        <v>-47502.409606418973</v>
      </c>
      <c r="BT259" s="527">
        <f t="shared" si="343"/>
        <v>-47502.409606418973</v>
      </c>
      <c r="BU259" s="527">
        <f t="shared" si="343"/>
        <v>-47502.409606418973</v>
      </c>
      <c r="BV259" s="527">
        <f t="shared" si="343"/>
        <v>-47502.409606418973</v>
      </c>
      <c r="BW259" s="527">
        <f t="shared" si="343"/>
        <v>-47502.409606418973</v>
      </c>
      <c r="BX259" s="527">
        <f t="shared" si="343"/>
        <v>-47502.409606418973</v>
      </c>
      <c r="BY259" s="527">
        <f t="shared" si="343"/>
        <v>-47502.409606418973</v>
      </c>
    </row>
    <row r="260" spans="3:77" x14ac:dyDescent="0.3">
      <c r="C260" s="2"/>
      <c r="D260" s="2"/>
      <c r="E260" s="4" t="s">
        <v>36</v>
      </c>
      <c r="F260" s="4"/>
      <c r="G260" s="4"/>
      <c r="H260" s="4"/>
      <c r="I260" s="4"/>
      <c r="J260" s="4"/>
      <c r="K260" s="4"/>
      <c r="L260" s="4"/>
      <c r="M260" s="4"/>
      <c r="N260" s="4"/>
      <c r="O260" s="4"/>
      <c r="P260" s="106"/>
      <c r="Q260" s="4"/>
      <c r="R260" s="498">
        <f t="shared" ref="R260:AW260" si="344">SUM(R254:R259)</f>
        <v>-127793.62854377669</v>
      </c>
      <c r="S260" s="498">
        <f t="shared" si="344"/>
        <v>-127793.62854377669</v>
      </c>
      <c r="T260" s="498">
        <f t="shared" si="344"/>
        <v>-127793.62854377669</v>
      </c>
      <c r="U260" s="498">
        <f t="shared" si="344"/>
        <v>-127793.62854377669</v>
      </c>
      <c r="V260" s="498">
        <f t="shared" si="344"/>
        <v>-127793.62854377669</v>
      </c>
      <c r="W260" s="498">
        <f t="shared" si="344"/>
        <v>-127793.62854377669</v>
      </c>
      <c r="X260" s="498">
        <f t="shared" si="344"/>
        <v>-130720.21973701792</v>
      </c>
      <c r="Y260" s="498">
        <f t="shared" si="344"/>
        <v>-130720.21973701792</v>
      </c>
      <c r="Z260" s="498">
        <f t="shared" si="344"/>
        <v>-130720.21973701792</v>
      </c>
      <c r="AA260" s="498">
        <f t="shared" si="344"/>
        <v>-130720.21973701792</v>
      </c>
      <c r="AB260" s="498">
        <f t="shared" si="344"/>
        <v>-130720.21973701792</v>
      </c>
      <c r="AC260" s="498">
        <f t="shared" si="344"/>
        <v>-130720.21973701792</v>
      </c>
      <c r="AD260" s="498">
        <f t="shared" si="344"/>
        <v>-131177.76336230832</v>
      </c>
      <c r="AE260" s="498">
        <f t="shared" si="344"/>
        <v>-131177.76336230832</v>
      </c>
      <c r="AF260" s="498">
        <f t="shared" si="344"/>
        <v>-131177.76336230832</v>
      </c>
      <c r="AG260" s="498">
        <f t="shared" si="344"/>
        <v>-131177.76336230832</v>
      </c>
      <c r="AH260" s="498">
        <f t="shared" si="344"/>
        <v>-131177.76336230832</v>
      </c>
      <c r="AI260" s="498">
        <f t="shared" si="344"/>
        <v>-131177.76336230832</v>
      </c>
      <c r="AJ260" s="498">
        <f t="shared" si="344"/>
        <v>-134708.91476053168</v>
      </c>
      <c r="AK260" s="498">
        <f t="shared" si="344"/>
        <v>-134708.91476053168</v>
      </c>
      <c r="AL260" s="498">
        <f t="shared" si="344"/>
        <v>-134708.91476053168</v>
      </c>
      <c r="AM260" s="498">
        <f t="shared" si="344"/>
        <v>-134708.91476053168</v>
      </c>
      <c r="AN260" s="530">
        <f t="shared" si="344"/>
        <v>-134708.91476053168</v>
      </c>
      <c r="AO260" s="530">
        <f t="shared" si="344"/>
        <v>-134708.91476053168</v>
      </c>
      <c r="AP260" s="530">
        <f t="shared" si="344"/>
        <v>-134607.83339946994</v>
      </c>
      <c r="AQ260" s="530">
        <f t="shared" si="344"/>
        <v>-134607.83339946994</v>
      </c>
      <c r="AR260" s="530">
        <f t="shared" si="344"/>
        <v>-134607.83339946994</v>
      </c>
      <c r="AS260" s="530">
        <f t="shared" si="344"/>
        <v>-134607.83339946994</v>
      </c>
      <c r="AT260" s="530">
        <f t="shared" si="344"/>
        <v>-134607.83339946994</v>
      </c>
      <c r="AU260" s="530">
        <f t="shared" si="344"/>
        <v>-134607.83339946994</v>
      </c>
      <c r="AV260" s="530">
        <f t="shared" si="344"/>
        <v>-138746.560837998</v>
      </c>
      <c r="AW260" s="530">
        <f t="shared" si="344"/>
        <v>-138746.560837998</v>
      </c>
      <c r="AX260" s="530">
        <f t="shared" ref="AX260:BY260" si="345">SUM(AX254:AX259)</f>
        <v>-138746.560837998</v>
      </c>
      <c r="AY260" s="530">
        <f t="shared" si="345"/>
        <v>-138746.560837998</v>
      </c>
      <c r="AZ260" s="530">
        <f t="shared" si="345"/>
        <v>-138746.560837998</v>
      </c>
      <c r="BA260" s="530">
        <f t="shared" si="345"/>
        <v>-138746.560837998</v>
      </c>
      <c r="BB260" s="530">
        <f t="shared" si="345"/>
        <v>-138173.98751082935</v>
      </c>
      <c r="BC260" s="530">
        <f t="shared" si="345"/>
        <v>-138173.98751082935</v>
      </c>
      <c r="BD260" s="530">
        <f t="shared" si="345"/>
        <v>-138173.98751082935</v>
      </c>
      <c r="BE260" s="530">
        <f t="shared" si="345"/>
        <v>-138173.98751082935</v>
      </c>
      <c r="BF260" s="530">
        <f t="shared" si="345"/>
        <v>-138173.98751082935</v>
      </c>
      <c r="BG260" s="530">
        <f t="shared" si="345"/>
        <v>-138173.98751082935</v>
      </c>
      <c r="BH260" s="530">
        <f t="shared" si="345"/>
        <v>-142926.99701434627</v>
      </c>
      <c r="BI260" s="530">
        <f t="shared" si="345"/>
        <v>-142926.99701434627</v>
      </c>
      <c r="BJ260" s="530">
        <f t="shared" si="345"/>
        <v>-142926.99701434627</v>
      </c>
      <c r="BK260" s="530">
        <f t="shared" si="345"/>
        <v>-142926.99701434627</v>
      </c>
      <c r="BL260" s="530">
        <f t="shared" si="345"/>
        <v>-142926.99701434627</v>
      </c>
      <c r="BM260" s="530">
        <f t="shared" si="345"/>
        <v>-142926.99701434627</v>
      </c>
      <c r="BN260" s="530">
        <f t="shared" si="345"/>
        <v>-141832.93045416818</v>
      </c>
      <c r="BO260" s="530">
        <f t="shared" si="345"/>
        <v>-141832.93045416818</v>
      </c>
      <c r="BP260" s="530">
        <f t="shared" si="345"/>
        <v>-141832.93045416818</v>
      </c>
      <c r="BQ260" s="530">
        <f t="shared" si="345"/>
        <v>-141832.93045416818</v>
      </c>
      <c r="BR260" s="530">
        <f t="shared" si="345"/>
        <v>-141832.93045416818</v>
      </c>
      <c r="BS260" s="530">
        <f t="shared" si="345"/>
        <v>-141832.93045416818</v>
      </c>
      <c r="BT260" s="530">
        <f t="shared" si="345"/>
        <v>-147200.54480359127</v>
      </c>
      <c r="BU260" s="530">
        <f t="shared" si="345"/>
        <v>-147200.54480359127</v>
      </c>
      <c r="BV260" s="530">
        <f t="shared" si="345"/>
        <v>-147200.54480359127</v>
      </c>
      <c r="BW260" s="530">
        <f t="shared" si="345"/>
        <v>-147200.54480359127</v>
      </c>
      <c r="BX260" s="530">
        <f t="shared" si="345"/>
        <v>-147200.54480359127</v>
      </c>
      <c r="BY260" s="530">
        <f t="shared" si="345"/>
        <v>-147200.54480359127</v>
      </c>
    </row>
    <row r="261" spans="3:77" x14ac:dyDescent="0.3">
      <c r="C261" s="2"/>
      <c r="D261" s="2"/>
      <c r="E261" s="2"/>
      <c r="F261" s="2"/>
      <c r="G261" s="2"/>
      <c r="H261" s="2"/>
      <c r="I261" s="2"/>
      <c r="J261" s="2"/>
      <c r="K261" s="2"/>
      <c r="L261" s="2"/>
      <c r="M261" s="2"/>
      <c r="N261" s="2"/>
      <c r="O261" s="2"/>
      <c r="P261" s="10"/>
      <c r="Q261" s="2"/>
      <c r="R261" s="2"/>
      <c r="S261" s="2"/>
      <c r="T261" s="2"/>
      <c r="U261" s="2"/>
      <c r="V261" s="2"/>
      <c r="W261" s="2"/>
      <c r="X261" s="2"/>
      <c r="Y261" s="2"/>
      <c r="Z261" s="2"/>
      <c r="AA261" s="2"/>
      <c r="AB261" s="2"/>
      <c r="AC261" s="2"/>
      <c r="AD261" s="2"/>
      <c r="AE261" s="2"/>
      <c r="AF261" s="2"/>
      <c r="AG261" s="2"/>
      <c r="AH261" s="2"/>
      <c r="AI261" s="2"/>
      <c r="AJ261" s="2"/>
      <c r="AK261" s="2"/>
      <c r="AL261" s="2"/>
      <c r="AM261" s="2"/>
      <c r="AN261" s="525"/>
      <c r="AO261" s="525"/>
      <c r="AP261" s="525"/>
      <c r="AQ261" s="525"/>
      <c r="AR261" s="525"/>
      <c r="AS261" s="525"/>
      <c r="AT261" s="525"/>
      <c r="AU261" s="525"/>
      <c r="AV261" s="525"/>
      <c r="AW261" s="525"/>
      <c r="AX261" s="525"/>
      <c r="AY261" s="525"/>
      <c r="AZ261" s="525"/>
      <c r="BA261" s="525"/>
      <c r="BB261" s="525"/>
      <c r="BC261" s="525"/>
      <c r="BD261" s="525"/>
      <c r="BE261" s="525"/>
      <c r="BF261" s="525"/>
      <c r="BG261" s="525"/>
      <c r="BH261" s="525"/>
      <c r="BI261" s="525"/>
      <c r="BJ261" s="525"/>
      <c r="BK261" s="525"/>
      <c r="BL261" s="525"/>
      <c r="BM261" s="525"/>
      <c r="BN261" s="525"/>
      <c r="BO261" s="525"/>
      <c r="BP261" s="525"/>
      <c r="BQ261" s="525"/>
      <c r="BR261" s="525"/>
      <c r="BS261" s="525"/>
      <c r="BT261" s="525"/>
      <c r="BU261" s="525"/>
      <c r="BV261" s="525"/>
      <c r="BW261" s="525"/>
      <c r="BX261" s="525"/>
      <c r="BY261" s="525"/>
    </row>
    <row r="262" spans="3:77" x14ac:dyDescent="0.3">
      <c r="C262" s="2"/>
      <c r="D262" s="2"/>
      <c r="E262" s="118" t="str">
        <f>"BCF dist &amp; disp: "&amp;E$155</f>
        <v>BCF dist &amp; disp: FY27 Tranche</v>
      </c>
      <c r="F262" s="2"/>
      <c r="G262" s="2"/>
      <c r="H262" s="2"/>
      <c r="I262" s="2"/>
      <c r="J262" s="2"/>
      <c r="K262" s="2"/>
      <c r="L262" s="2"/>
      <c r="M262" s="2"/>
      <c r="N262" s="2"/>
      <c r="O262" s="2"/>
      <c r="P262" s="10"/>
      <c r="Q262" s="2"/>
      <c r="R262" s="497">
        <f t="shared" ref="R262:AW262" si="346">(R238-R246)*R$229</f>
        <v>-3242.5941395642121</v>
      </c>
      <c r="S262" s="497">
        <f t="shared" si="346"/>
        <v>-3242.5941395642121</v>
      </c>
      <c r="T262" s="497">
        <f t="shared" si="346"/>
        <v>-3242.5941395642121</v>
      </c>
      <c r="U262" s="497">
        <f t="shared" si="346"/>
        <v>-3242.5941395642121</v>
      </c>
      <c r="V262" s="497">
        <f t="shared" si="346"/>
        <v>-3242.5941395642121</v>
      </c>
      <c r="W262" s="497">
        <f t="shared" si="346"/>
        <v>-3242.5941395642121</v>
      </c>
      <c r="X262" s="497">
        <f t="shared" si="346"/>
        <v>-3821.8094805000646</v>
      </c>
      <c r="Y262" s="497">
        <f t="shared" si="346"/>
        <v>-3821.8094805000646</v>
      </c>
      <c r="Z262" s="497">
        <f t="shared" si="346"/>
        <v>-3821.8094805000646</v>
      </c>
      <c r="AA262" s="497">
        <f t="shared" si="346"/>
        <v>-3821.8094805000646</v>
      </c>
      <c r="AB262" s="497">
        <f t="shared" si="346"/>
        <v>-3821.8094805000646</v>
      </c>
      <c r="AC262" s="497">
        <f t="shared" si="346"/>
        <v>-3821.8094805000646</v>
      </c>
      <c r="AD262" s="497">
        <f t="shared" si="346"/>
        <v>-3764.5791918808677</v>
      </c>
      <c r="AE262" s="497">
        <f t="shared" si="346"/>
        <v>-3764.5791918808677</v>
      </c>
      <c r="AF262" s="497">
        <f t="shared" si="346"/>
        <v>-3764.5791918808677</v>
      </c>
      <c r="AG262" s="497">
        <f t="shared" si="346"/>
        <v>-3764.5791918808677</v>
      </c>
      <c r="AH262" s="497">
        <f t="shared" si="346"/>
        <v>-3764.5791918808677</v>
      </c>
      <c r="AI262" s="497">
        <f t="shared" si="346"/>
        <v>-3764.5791918808677</v>
      </c>
      <c r="AJ262" s="497">
        <f t="shared" si="346"/>
        <v>-3895.1160613015609</v>
      </c>
      <c r="AK262" s="497">
        <f t="shared" si="346"/>
        <v>-3895.1160613015609</v>
      </c>
      <c r="AL262" s="497">
        <f t="shared" si="346"/>
        <v>-3895.1160613015609</v>
      </c>
      <c r="AM262" s="497">
        <f t="shared" si="346"/>
        <v>-3895.1160613015609</v>
      </c>
      <c r="AN262" s="527">
        <f t="shared" si="346"/>
        <v>-3895.1160613015609</v>
      </c>
      <c r="AO262" s="527">
        <f t="shared" si="346"/>
        <v>-3895.1160613015609</v>
      </c>
      <c r="AP262" s="527">
        <f t="shared" si="346"/>
        <v>-3843.8415288884007</v>
      </c>
      <c r="AQ262" s="527">
        <f t="shared" si="346"/>
        <v>-3843.8415288884007</v>
      </c>
      <c r="AR262" s="527">
        <f t="shared" si="346"/>
        <v>-3843.8415288884007</v>
      </c>
      <c r="AS262" s="527">
        <f t="shared" si="346"/>
        <v>-3843.8415288884007</v>
      </c>
      <c r="AT262" s="527">
        <f t="shared" si="346"/>
        <v>-3843.8415288884007</v>
      </c>
      <c r="AU262" s="527">
        <f t="shared" si="346"/>
        <v>-3843.8415288884007</v>
      </c>
      <c r="AV262" s="527">
        <f t="shared" si="346"/>
        <v>-3976.0363698940923</v>
      </c>
      <c r="AW262" s="527">
        <f t="shared" si="346"/>
        <v>-3976.0363698940923</v>
      </c>
      <c r="AX262" s="527">
        <f t="shared" ref="AX262:BY262" si="347">(AX238-AX246)*AX$229</f>
        <v>-3976.0363698940923</v>
      </c>
      <c r="AY262" s="527">
        <f t="shared" si="347"/>
        <v>-3976.0363698940923</v>
      </c>
      <c r="AZ262" s="527">
        <f t="shared" si="347"/>
        <v>-3976.0363698940923</v>
      </c>
      <c r="BA262" s="527">
        <f t="shared" si="347"/>
        <v>-3976.0363698940923</v>
      </c>
      <c r="BB262" s="527">
        <f t="shared" si="347"/>
        <v>-3932.5904274336121</v>
      </c>
      <c r="BC262" s="527">
        <f t="shared" si="347"/>
        <v>-3932.5904274336121</v>
      </c>
      <c r="BD262" s="527">
        <f t="shared" si="347"/>
        <v>-3932.5904274336121</v>
      </c>
      <c r="BE262" s="527">
        <f t="shared" si="347"/>
        <v>-3932.5904274336121</v>
      </c>
      <c r="BF262" s="527">
        <f t="shared" si="347"/>
        <v>-3932.5904274336121</v>
      </c>
      <c r="BG262" s="527">
        <f t="shared" si="347"/>
        <v>-3932.5904274336121</v>
      </c>
      <c r="BH262" s="527">
        <f t="shared" si="347"/>
        <v>-4066.7957799359438</v>
      </c>
      <c r="BI262" s="527">
        <f t="shared" si="347"/>
        <v>-4066.7957799359438</v>
      </c>
      <c r="BJ262" s="527">
        <f t="shared" si="347"/>
        <v>-4066.7957799359438</v>
      </c>
      <c r="BK262" s="527">
        <f t="shared" si="347"/>
        <v>-4066.7957799359438</v>
      </c>
      <c r="BL262" s="527">
        <f t="shared" si="347"/>
        <v>-4066.7957799359438</v>
      </c>
      <c r="BM262" s="527">
        <f t="shared" si="347"/>
        <v>-4066.7957799359438</v>
      </c>
      <c r="BN262" s="527">
        <f t="shared" si="347"/>
        <v>-4024.7060140523527</v>
      </c>
      <c r="BO262" s="527">
        <f t="shared" si="347"/>
        <v>-4024.7060140523527</v>
      </c>
      <c r="BP262" s="527">
        <f t="shared" si="347"/>
        <v>-4024.7060140523527</v>
      </c>
      <c r="BQ262" s="527">
        <f t="shared" si="347"/>
        <v>-4024.7060140523527</v>
      </c>
      <c r="BR262" s="527">
        <f t="shared" si="347"/>
        <v>-4024.7060140523527</v>
      </c>
      <c r="BS262" s="527">
        <f t="shared" si="347"/>
        <v>-4024.7060140523527</v>
      </c>
      <c r="BT262" s="527">
        <f t="shared" si="347"/>
        <v>-4160.9964137594106</v>
      </c>
      <c r="BU262" s="527">
        <f t="shared" si="347"/>
        <v>-4160.9964137594106</v>
      </c>
      <c r="BV262" s="527">
        <f t="shared" si="347"/>
        <v>-4160.9964137594106</v>
      </c>
      <c r="BW262" s="527">
        <f t="shared" si="347"/>
        <v>-4160.9964137594106</v>
      </c>
      <c r="BX262" s="527">
        <f t="shared" si="347"/>
        <v>-4160.9964137594106</v>
      </c>
      <c r="BY262" s="527">
        <f t="shared" si="347"/>
        <v>-4160.9964137594106</v>
      </c>
    </row>
    <row r="263" spans="3:77" x14ac:dyDescent="0.3">
      <c r="C263" s="2"/>
      <c r="D263" s="2"/>
      <c r="E263" s="118" t="str">
        <f>"BCF dist &amp; disp: "&amp;E$156</f>
        <v>BCF dist &amp; disp: FY28 Tranche</v>
      </c>
      <c r="F263" s="2"/>
      <c r="G263" s="2"/>
      <c r="H263" s="2"/>
      <c r="I263" s="2"/>
      <c r="J263" s="2"/>
      <c r="K263" s="2"/>
      <c r="L263" s="2"/>
      <c r="M263" s="2"/>
      <c r="N263" s="2"/>
      <c r="O263" s="2"/>
      <c r="P263" s="10"/>
      <c r="Q263" s="2"/>
      <c r="R263" s="497">
        <f t="shared" ref="R263:AW263" si="348">(R239-R247)*R$229</f>
        <v>-3242.5941395642121</v>
      </c>
      <c r="S263" s="497">
        <f t="shared" si="348"/>
        <v>-3242.5941395642121</v>
      </c>
      <c r="T263" s="497">
        <f t="shared" si="348"/>
        <v>-3242.5941395642121</v>
      </c>
      <c r="U263" s="497">
        <f t="shared" si="348"/>
        <v>-3242.5941395642121</v>
      </c>
      <c r="V263" s="497">
        <f t="shared" si="348"/>
        <v>-3242.5941395642121</v>
      </c>
      <c r="W263" s="497">
        <f t="shared" si="348"/>
        <v>-3242.5941395642121</v>
      </c>
      <c r="X263" s="497">
        <f t="shared" si="348"/>
        <v>-3242.5941395642121</v>
      </c>
      <c r="Y263" s="497">
        <f t="shared" si="348"/>
        <v>-3242.5941395642121</v>
      </c>
      <c r="Z263" s="497">
        <f t="shared" si="348"/>
        <v>-3242.5941395642121</v>
      </c>
      <c r="AA263" s="497">
        <f t="shared" si="348"/>
        <v>-3242.5941395642121</v>
      </c>
      <c r="AB263" s="497">
        <f t="shared" si="348"/>
        <v>-3242.5941395642121</v>
      </c>
      <c r="AC263" s="497">
        <f t="shared" si="348"/>
        <v>-3242.5941395642121</v>
      </c>
      <c r="AD263" s="497">
        <f t="shared" si="348"/>
        <v>-3307.4460223554966</v>
      </c>
      <c r="AE263" s="497">
        <f t="shared" si="348"/>
        <v>-3307.4460223554966</v>
      </c>
      <c r="AF263" s="497">
        <f t="shared" si="348"/>
        <v>-3307.4460223554966</v>
      </c>
      <c r="AG263" s="497">
        <f t="shared" si="348"/>
        <v>-3307.4460223554966</v>
      </c>
      <c r="AH263" s="497">
        <f t="shared" si="348"/>
        <v>-3307.4460223554966</v>
      </c>
      <c r="AI263" s="497">
        <f t="shared" si="348"/>
        <v>-3307.4460223554966</v>
      </c>
      <c r="AJ263" s="497">
        <f t="shared" si="348"/>
        <v>-3883.6686424720087</v>
      </c>
      <c r="AK263" s="497">
        <f t="shared" si="348"/>
        <v>-3883.6686424720087</v>
      </c>
      <c r="AL263" s="497">
        <f t="shared" si="348"/>
        <v>-3883.6686424720087</v>
      </c>
      <c r="AM263" s="497">
        <f t="shared" si="348"/>
        <v>-3883.6686424720087</v>
      </c>
      <c r="AN263" s="527">
        <f t="shared" si="348"/>
        <v>-3883.6686424720087</v>
      </c>
      <c r="AO263" s="527">
        <f t="shared" si="348"/>
        <v>-3883.6686424720087</v>
      </c>
      <c r="AP263" s="527">
        <f t="shared" si="348"/>
        <v>-3832.6945918729016</v>
      </c>
      <c r="AQ263" s="527">
        <f t="shared" si="348"/>
        <v>-3832.6945918729016</v>
      </c>
      <c r="AR263" s="527">
        <f t="shared" si="348"/>
        <v>-3832.6945918729016</v>
      </c>
      <c r="AS263" s="527">
        <f t="shared" si="348"/>
        <v>-3832.6945918729016</v>
      </c>
      <c r="AT263" s="527">
        <f t="shared" si="348"/>
        <v>-3832.6945918729016</v>
      </c>
      <c r="AU263" s="527">
        <f t="shared" si="348"/>
        <v>-3832.6945918729016</v>
      </c>
      <c r="AV263" s="527">
        <f t="shared" si="348"/>
        <v>-3964.4435553979733</v>
      </c>
      <c r="AW263" s="527">
        <f t="shared" si="348"/>
        <v>-3964.4435553979733</v>
      </c>
      <c r="AX263" s="527">
        <f t="shared" ref="AX263:BY263" si="349">(AX239-AX247)*AX$229</f>
        <v>-3964.4435553979733</v>
      </c>
      <c r="AY263" s="527">
        <f t="shared" si="349"/>
        <v>-3964.4435553979733</v>
      </c>
      <c r="AZ263" s="527">
        <f t="shared" si="349"/>
        <v>-3964.4435553979733</v>
      </c>
      <c r="BA263" s="527">
        <f t="shared" si="349"/>
        <v>-3964.4435553979733</v>
      </c>
      <c r="BB263" s="527">
        <f t="shared" si="349"/>
        <v>-3921.273960012451</v>
      </c>
      <c r="BC263" s="527">
        <f t="shared" si="349"/>
        <v>-3921.273960012451</v>
      </c>
      <c r="BD263" s="527">
        <f t="shared" si="349"/>
        <v>-3921.273960012451</v>
      </c>
      <c r="BE263" s="527">
        <f t="shared" si="349"/>
        <v>-3921.273960012451</v>
      </c>
      <c r="BF263" s="527">
        <f t="shared" si="349"/>
        <v>-3921.273960012451</v>
      </c>
      <c r="BG263" s="527">
        <f t="shared" si="349"/>
        <v>-3921.273960012451</v>
      </c>
      <c r="BH263" s="527">
        <f t="shared" si="349"/>
        <v>-4055.0266538179376</v>
      </c>
      <c r="BI263" s="527">
        <f t="shared" si="349"/>
        <v>-4055.0266538179376</v>
      </c>
      <c r="BJ263" s="527">
        <f t="shared" si="349"/>
        <v>-4055.0266538179376</v>
      </c>
      <c r="BK263" s="527">
        <f t="shared" si="349"/>
        <v>-4055.0266538179376</v>
      </c>
      <c r="BL263" s="527">
        <f t="shared" si="349"/>
        <v>-4055.0266538179376</v>
      </c>
      <c r="BM263" s="527">
        <f t="shared" si="349"/>
        <v>-4055.0266538179376</v>
      </c>
      <c r="BN263" s="527">
        <f t="shared" si="349"/>
        <v>-4013.2137312235077</v>
      </c>
      <c r="BO263" s="527">
        <f t="shared" si="349"/>
        <v>-4013.2137312235077</v>
      </c>
      <c r="BP263" s="527">
        <f t="shared" si="349"/>
        <v>-4013.2137312235077</v>
      </c>
      <c r="BQ263" s="527">
        <f t="shared" si="349"/>
        <v>-4013.2137312235077</v>
      </c>
      <c r="BR263" s="527">
        <f t="shared" si="349"/>
        <v>-4013.2137312235077</v>
      </c>
      <c r="BS263" s="527">
        <f t="shared" si="349"/>
        <v>-4013.2137312235077</v>
      </c>
      <c r="BT263" s="527">
        <f t="shared" si="349"/>
        <v>-4149.0444396174107</v>
      </c>
      <c r="BU263" s="527">
        <f t="shared" si="349"/>
        <v>-4149.0444396174107</v>
      </c>
      <c r="BV263" s="527">
        <f t="shared" si="349"/>
        <v>-4149.0444396174107</v>
      </c>
      <c r="BW263" s="527">
        <f t="shared" si="349"/>
        <v>-4149.0444396174107</v>
      </c>
      <c r="BX263" s="527">
        <f t="shared" si="349"/>
        <v>-4149.0444396174107</v>
      </c>
      <c r="BY263" s="527">
        <f t="shared" si="349"/>
        <v>-4149.0444396174107</v>
      </c>
    </row>
    <row r="264" spans="3:77" x14ac:dyDescent="0.3">
      <c r="C264" s="2"/>
      <c r="D264" s="2"/>
      <c r="E264" s="118" t="str">
        <f>"BCF dist &amp; disp: "&amp;E$157</f>
        <v>BCF dist &amp; disp: FY29 Tranche</v>
      </c>
      <c r="F264" s="2"/>
      <c r="G264" s="2"/>
      <c r="H264" s="2"/>
      <c r="I264" s="2"/>
      <c r="J264" s="2"/>
      <c r="K264" s="2"/>
      <c r="L264" s="2"/>
      <c r="M264" s="2"/>
      <c r="N264" s="2"/>
      <c r="O264" s="2"/>
      <c r="P264" s="10"/>
      <c r="Q264" s="2"/>
      <c r="R264" s="497">
        <f t="shared" ref="R264:AW264" si="350">(R240-R248)*R$229</f>
        <v>-3242.5941395642121</v>
      </c>
      <c r="S264" s="497">
        <f t="shared" si="350"/>
        <v>-3242.5941395642121</v>
      </c>
      <c r="T264" s="497">
        <f t="shared" si="350"/>
        <v>-3242.5941395642121</v>
      </c>
      <c r="U264" s="497">
        <f t="shared" si="350"/>
        <v>-3242.5941395642121</v>
      </c>
      <c r="V264" s="497">
        <f t="shared" si="350"/>
        <v>-3242.5941395642121</v>
      </c>
      <c r="W264" s="497">
        <f t="shared" si="350"/>
        <v>-3242.5941395642121</v>
      </c>
      <c r="X264" s="497">
        <f t="shared" si="350"/>
        <v>-3242.5941395642121</v>
      </c>
      <c r="Y264" s="497">
        <f t="shared" si="350"/>
        <v>-3242.5941395642121</v>
      </c>
      <c r="Z264" s="497">
        <f t="shared" si="350"/>
        <v>-3242.5941395642121</v>
      </c>
      <c r="AA264" s="497">
        <f t="shared" si="350"/>
        <v>-3242.5941395642121</v>
      </c>
      <c r="AB264" s="497">
        <f t="shared" si="350"/>
        <v>-3242.5941395642121</v>
      </c>
      <c r="AC264" s="497">
        <f t="shared" si="350"/>
        <v>-3242.5941395642121</v>
      </c>
      <c r="AD264" s="497">
        <f t="shared" si="350"/>
        <v>-3307.4460223554966</v>
      </c>
      <c r="AE264" s="497">
        <f t="shared" si="350"/>
        <v>-3307.4460223554966</v>
      </c>
      <c r="AF264" s="497">
        <f t="shared" si="350"/>
        <v>-3307.4460223554966</v>
      </c>
      <c r="AG264" s="497">
        <f t="shared" si="350"/>
        <v>-3307.4460223554966</v>
      </c>
      <c r="AH264" s="497">
        <f t="shared" si="350"/>
        <v>-3307.4460223554966</v>
      </c>
      <c r="AI264" s="497">
        <f t="shared" si="350"/>
        <v>-3307.4460223554966</v>
      </c>
      <c r="AJ264" s="497">
        <f t="shared" si="350"/>
        <v>-3307.4460223554966</v>
      </c>
      <c r="AK264" s="497">
        <f t="shared" si="350"/>
        <v>-3307.4460223554966</v>
      </c>
      <c r="AL264" s="497">
        <f t="shared" si="350"/>
        <v>-3307.4460223554966</v>
      </c>
      <c r="AM264" s="497">
        <f t="shared" si="350"/>
        <v>-3307.4460223554966</v>
      </c>
      <c r="AN264" s="527">
        <f t="shared" si="350"/>
        <v>-3307.4460223554966</v>
      </c>
      <c r="AO264" s="527">
        <f t="shared" si="350"/>
        <v>-3307.4460223554966</v>
      </c>
      <c r="AP264" s="527">
        <f t="shared" si="350"/>
        <v>-3373.594942802607</v>
      </c>
      <c r="AQ264" s="527">
        <f t="shared" si="350"/>
        <v>-3373.594942802607</v>
      </c>
      <c r="AR264" s="527">
        <f t="shared" si="350"/>
        <v>-3373.594942802607</v>
      </c>
      <c r="AS264" s="527">
        <f t="shared" si="350"/>
        <v>-3373.594942802607</v>
      </c>
      <c r="AT264" s="527">
        <f t="shared" si="350"/>
        <v>-3373.594942802607</v>
      </c>
      <c r="AU264" s="527">
        <f t="shared" si="350"/>
        <v>-3373.594942802607</v>
      </c>
      <c r="AV264" s="527">
        <f t="shared" si="350"/>
        <v>-3947.2914863452183</v>
      </c>
      <c r="AW264" s="527">
        <f t="shared" si="350"/>
        <v>-3947.2914863452183</v>
      </c>
      <c r="AX264" s="527">
        <f t="shared" ref="AX264:BY264" si="351">(AX240-AX248)*AX$229</f>
        <v>-3947.2914863452183</v>
      </c>
      <c r="AY264" s="527">
        <f t="shared" si="351"/>
        <v>-3947.2914863452183</v>
      </c>
      <c r="AZ264" s="527">
        <f t="shared" si="351"/>
        <v>-3947.2914863452183</v>
      </c>
      <c r="BA264" s="527">
        <f t="shared" si="351"/>
        <v>-3947.2914863452183</v>
      </c>
      <c r="BB264" s="527">
        <f t="shared" si="351"/>
        <v>-3904.5307583761291</v>
      </c>
      <c r="BC264" s="527">
        <f t="shared" si="351"/>
        <v>-3904.5307583761291</v>
      </c>
      <c r="BD264" s="527">
        <f t="shared" si="351"/>
        <v>-3904.5307583761291</v>
      </c>
      <c r="BE264" s="527">
        <f t="shared" si="351"/>
        <v>-3904.5307583761291</v>
      </c>
      <c r="BF264" s="527">
        <f t="shared" si="351"/>
        <v>-3904.5307583761291</v>
      </c>
      <c r="BG264" s="527">
        <f t="shared" si="351"/>
        <v>-3904.5307583761291</v>
      </c>
      <c r="BH264" s="527">
        <f t="shared" si="351"/>
        <v>-4037.6137241161628</v>
      </c>
      <c r="BI264" s="527">
        <f t="shared" si="351"/>
        <v>-4037.6137241161628</v>
      </c>
      <c r="BJ264" s="527">
        <f t="shared" si="351"/>
        <v>-4037.6137241161628</v>
      </c>
      <c r="BK264" s="527">
        <f t="shared" si="351"/>
        <v>-4037.6137241161628</v>
      </c>
      <c r="BL264" s="527">
        <f t="shared" si="351"/>
        <v>-4037.6137241161628</v>
      </c>
      <c r="BM264" s="527">
        <f t="shared" si="351"/>
        <v>-4037.6137241161628</v>
      </c>
      <c r="BN264" s="527">
        <f t="shared" si="351"/>
        <v>-3996.21040310848</v>
      </c>
      <c r="BO264" s="527">
        <f t="shared" si="351"/>
        <v>-3996.21040310848</v>
      </c>
      <c r="BP264" s="527">
        <f t="shared" si="351"/>
        <v>-3996.21040310848</v>
      </c>
      <c r="BQ264" s="527">
        <f t="shared" si="351"/>
        <v>-3996.21040310848</v>
      </c>
      <c r="BR264" s="527">
        <f t="shared" si="351"/>
        <v>-3996.21040310848</v>
      </c>
      <c r="BS264" s="527">
        <f t="shared" si="351"/>
        <v>-3996.21040310848</v>
      </c>
      <c r="BT264" s="527">
        <f t="shared" si="351"/>
        <v>-4131.3609783777811</v>
      </c>
      <c r="BU264" s="527">
        <f t="shared" si="351"/>
        <v>-4131.3609783777811</v>
      </c>
      <c r="BV264" s="527">
        <f t="shared" si="351"/>
        <v>-4131.3609783777811</v>
      </c>
      <c r="BW264" s="527">
        <f t="shared" si="351"/>
        <v>-4131.3609783777811</v>
      </c>
      <c r="BX264" s="527">
        <f t="shared" si="351"/>
        <v>-4131.3609783777811</v>
      </c>
      <c r="BY264" s="527">
        <f t="shared" si="351"/>
        <v>-4131.3609783777811</v>
      </c>
    </row>
    <row r="265" spans="3:77" x14ac:dyDescent="0.3">
      <c r="C265" s="2"/>
      <c r="D265" s="2"/>
      <c r="E265" s="118" t="str">
        <f>"BCF dist &amp; disp: "&amp;E$158</f>
        <v>BCF dist &amp; disp: FY30 Tranche</v>
      </c>
      <c r="F265" s="2"/>
      <c r="G265" s="2"/>
      <c r="H265" s="2"/>
      <c r="I265" s="2"/>
      <c r="J265" s="2"/>
      <c r="K265" s="2"/>
      <c r="L265" s="2"/>
      <c r="M265" s="2"/>
      <c r="N265" s="2"/>
      <c r="O265" s="2"/>
      <c r="P265" s="10"/>
      <c r="Q265" s="2"/>
      <c r="R265" s="497">
        <f t="shared" ref="R265:AW265" si="352">(R241-R249)*R$229</f>
        <v>-3242.5941395642121</v>
      </c>
      <c r="S265" s="497">
        <f t="shared" si="352"/>
        <v>-3242.5941395642121</v>
      </c>
      <c r="T265" s="497">
        <f t="shared" si="352"/>
        <v>-3242.5941395642121</v>
      </c>
      <c r="U265" s="497">
        <f t="shared" si="352"/>
        <v>-3242.5941395642121</v>
      </c>
      <c r="V265" s="497">
        <f t="shared" si="352"/>
        <v>-3242.5941395642121</v>
      </c>
      <c r="W265" s="497">
        <f t="shared" si="352"/>
        <v>-3242.5941395642121</v>
      </c>
      <c r="X265" s="497">
        <f t="shared" si="352"/>
        <v>-3242.5941395642121</v>
      </c>
      <c r="Y265" s="497">
        <f t="shared" si="352"/>
        <v>-3242.5941395642121</v>
      </c>
      <c r="Z265" s="497">
        <f t="shared" si="352"/>
        <v>-3242.5941395642121</v>
      </c>
      <c r="AA265" s="497">
        <f t="shared" si="352"/>
        <v>-3242.5941395642121</v>
      </c>
      <c r="AB265" s="497">
        <f t="shared" si="352"/>
        <v>-3242.5941395642121</v>
      </c>
      <c r="AC265" s="497">
        <f t="shared" si="352"/>
        <v>-3242.5941395642121</v>
      </c>
      <c r="AD265" s="497">
        <f t="shared" si="352"/>
        <v>-3307.4460223554966</v>
      </c>
      <c r="AE265" s="497">
        <f t="shared" si="352"/>
        <v>-3307.4460223554966</v>
      </c>
      <c r="AF265" s="497">
        <f t="shared" si="352"/>
        <v>-3307.4460223554966</v>
      </c>
      <c r="AG265" s="497">
        <f t="shared" si="352"/>
        <v>-3307.4460223554966</v>
      </c>
      <c r="AH265" s="497">
        <f t="shared" si="352"/>
        <v>-3307.4460223554966</v>
      </c>
      <c r="AI265" s="497">
        <f t="shared" si="352"/>
        <v>-3307.4460223554966</v>
      </c>
      <c r="AJ265" s="497">
        <f t="shared" si="352"/>
        <v>-3307.4460223554966</v>
      </c>
      <c r="AK265" s="497">
        <f t="shared" si="352"/>
        <v>-3307.4460223554966</v>
      </c>
      <c r="AL265" s="497">
        <f t="shared" si="352"/>
        <v>-3307.4460223554966</v>
      </c>
      <c r="AM265" s="497">
        <f t="shared" si="352"/>
        <v>-3307.4460223554966</v>
      </c>
      <c r="AN265" s="527">
        <f t="shared" si="352"/>
        <v>-3307.4460223554966</v>
      </c>
      <c r="AO265" s="527">
        <f t="shared" si="352"/>
        <v>-3307.4460223554966</v>
      </c>
      <c r="AP265" s="527">
        <f t="shared" si="352"/>
        <v>-3373.594942802607</v>
      </c>
      <c r="AQ265" s="527">
        <f t="shared" si="352"/>
        <v>-3373.594942802607</v>
      </c>
      <c r="AR265" s="527">
        <f t="shared" si="352"/>
        <v>-3373.594942802607</v>
      </c>
      <c r="AS265" s="527">
        <f t="shared" si="352"/>
        <v>-3373.594942802607</v>
      </c>
      <c r="AT265" s="527">
        <f t="shared" si="352"/>
        <v>-3373.594942802607</v>
      </c>
      <c r="AU265" s="527">
        <f t="shared" si="352"/>
        <v>-3373.594942802607</v>
      </c>
      <c r="AV265" s="527">
        <f t="shared" si="352"/>
        <v>-3373.594942802607</v>
      </c>
      <c r="AW265" s="527">
        <f t="shared" si="352"/>
        <v>-3373.594942802607</v>
      </c>
      <c r="AX265" s="527">
        <f t="shared" ref="AX265:BY265" si="353">(AX241-AX249)*AX$229</f>
        <v>-3373.594942802607</v>
      </c>
      <c r="AY265" s="527">
        <f t="shared" si="353"/>
        <v>-3373.594942802607</v>
      </c>
      <c r="AZ265" s="527">
        <f t="shared" si="353"/>
        <v>-3373.594942802607</v>
      </c>
      <c r="BA265" s="527">
        <f t="shared" si="353"/>
        <v>-3373.594942802607</v>
      </c>
      <c r="BB265" s="527">
        <f t="shared" si="353"/>
        <v>-3441.0668416586595</v>
      </c>
      <c r="BC265" s="527">
        <f t="shared" si="353"/>
        <v>-3441.0668416586595</v>
      </c>
      <c r="BD265" s="527">
        <f t="shared" si="353"/>
        <v>-3441.0668416586595</v>
      </c>
      <c r="BE265" s="527">
        <f t="shared" si="353"/>
        <v>-3441.0668416586595</v>
      </c>
      <c r="BF265" s="527">
        <f t="shared" si="353"/>
        <v>-3441.0668416586595</v>
      </c>
      <c r="BG265" s="527">
        <f t="shared" si="353"/>
        <v>-3441.0668416586595</v>
      </c>
      <c r="BH265" s="527">
        <f t="shared" si="353"/>
        <v>-4012.6676315761833</v>
      </c>
      <c r="BI265" s="527">
        <f t="shared" si="353"/>
        <v>-4012.6676315761833</v>
      </c>
      <c r="BJ265" s="527">
        <f t="shared" si="353"/>
        <v>-4012.6676315761833</v>
      </c>
      <c r="BK265" s="527">
        <f t="shared" si="353"/>
        <v>-4012.6676315761833</v>
      </c>
      <c r="BL265" s="527">
        <f t="shared" si="353"/>
        <v>-4012.6676315761833</v>
      </c>
      <c r="BM265" s="527">
        <f t="shared" si="353"/>
        <v>-4012.6676315761833</v>
      </c>
      <c r="BN265" s="527">
        <f t="shared" si="353"/>
        <v>-3971.8511135512558</v>
      </c>
      <c r="BO265" s="527">
        <f t="shared" si="353"/>
        <v>-3971.8511135512558</v>
      </c>
      <c r="BP265" s="527">
        <f t="shared" si="353"/>
        <v>-3971.8511135512558</v>
      </c>
      <c r="BQ265" s="527">
        <f t="shared" si="353"/>
        <v>-3971.8511135512558</v>
      </c>
      <c r="BR265" s="527">
        <f t="shared" si="353"/>
        <v>-3971.8511135512558</v>
      </c>
      <c r="BS265" s="527">
        <f t="shared" si="353"/>
        <v>-3971.8511135512558</v>
      </c>
      <c r="BT265" s="527">
        <f t="shared" si="353"/>
        <v>-4106.0273172382676</v>
      </c>
      <c r="BU265" s="527">
        <f t="shared" si="353"/>
        <v>-4106.0273172382676</v>
      </c>
      <c r="BV265" s="527">
        <f t="shared" si="353"/>
        <v>-4106.0273172382676</v>
      </c>
      <c r="BW265" s="527">
        <f t="shared" si="353"/>
        <v>-4106.0273172382676</v>
      </c>
      <c r="BX265" s="527">
        <f t="shared" si="353"/>
        <v>-4106.0273172382676</v>
      </c>
      <c r="BY265" s="527">
        <f t="shared" si="353"/>
        <v>-4106.0273172382676</v>
      </c>
    </row>
    <row r="266" spans="3:77" x14ac:dyDescent="0.3">
      <c r="C266" s="2"/>
      <c r="D266" s="2"/>
      <c r="E266" s="118" t="str">
        <f>"BCF dist &amp; disp: "&amp;E$159</f>
        <v>BCF dist &amp; disp: FY31 Tranche</v>
      </c>
      <c r="F266" s="2"/>
      <c r="G266" s="2"/>
      <c r="H266" s="2"/>
      <c r="I266" s="2"/>
      <c r="J266" s="2"/>
      <c r="K266" s="2"/>
      <c r="L266" s="2"/>
      <c r="M266" s="2"/>
      <c r="N266" s="2"/>
      <c r="O266" s="2"/>
      <c r="P266" s="10"/>
      <c r="Q266" s="2"/>
      <c r="R266" s="497">
        <f t="shared" ref="R266:AW266" si="354">(R242-R250)*R$229</f>
        <v>-3242.5941395642121</v>
      </c>
      <c r="S266" s="497">
        <f t="shared" si="354"/>
        <v>-3242.5941395642121</v>
      </c>
      <c r="T266" s="497">
        <f t="shared" si="354"/>
        <v>-3242.5941395642121</v>
      </c>
      <c r="U266" s="497">
        <f t="shared" si="354"/>
        <v>-3242.5941395642121</v>
      </c>
      <c r="V266" s="497">
        <f t="shared" si="354"/>
        <v>-3242.5941395642121</v>
      </c>
      <c r="W266" s="497">
        <f t="shared" si="354"/>
        <v>-3242.5941395642121</v>
      </c>
      <c r="X266" s="497">
        <f t="shared" si="354"/>
        <v>-3242.5941395642121</v>
      </c>
      <c r="Y266" s="497">
        <f t="shared" si="354"/>
        <v>-3242.5941395642121</v>
      </c>
      <c r="Z266" s="497">
        <f t="shared" si="354"/>
        <v>-3242.5941395642121</v>
      </c>
      <c r="AA266" s="497">
        <f t="shared" si="354"/>
        <v>-3242.5941395642121</v>
      </c>
      <c r="AB266" s="497">
        <f t="shared" si="354"/>
        <v>-3242.5941395642121</v>
      </c>
      <c r="AC266" s="497">
        <f t="shared" si="354"/>
        <v>-3242.5941395642121</v>
      </c>
      <c r="AD266" s="497">
        <f t="shared" si="354"/>
        <v>-3307.4460223554966</v>
      </c>
      <c r="AE266" s="497">
        <f t="shared" si="354"/>
        <v>-3307.4460223554966</v>
      </c>
      <c r="AF266" s="497">
        <f t="shared" si="354"/>
        <v>-3307.4460223554966</v>
      </c>
      <c r="AG266" s="497">
        <f t="shared" si="354"/>
        <v>-3307.4460223554966</v>
      </c>
      <c r="AH266" s="497">
        <f t="shared" si="354"/>
        <v>-3307.4460223554966</v>
      </c>
      <c r="AI266" s="497">
        <f t="shared" si="354"/>
        <v>-3307.4460223554966</v>
      </c>
      <c r="AJ266" s="497">
        <f t="shared" si="354"/>
        <v>-3307.4460223554966</v>
      </c>
      <c r="AK266" s="497">
        <f t="shared" si="354"/>
        <v>-3307.4460223554966</v>
      </c>
      <c r="AL266" s="497">
        <f t="shared" si="354"/>
        <v>-3307.4460223554966</v>
      </c>
      <c r="AM266" s="497">
        <f t="shared" si="354"/>
        <v>-3307.4460223554966</v>
      </c>
      <c r="AN266" s="527">
        <f t="shared" si="354"/>
        <v>-3307.4460223554966</v>
      </c>
      <c r="AO266" s="527">
        <f t="shared" si="354"/>
        <v>-3307.4460223554966</v>
      </c>
      <c r="AP266" s="527">
        <f t="shared" si="354"/>
        <v>-3373.594942802607</v>
      </c>
      <c r="AQ266" s="527">
        <f t="shared" si="354"/>
        <v>-3373.594942802607</v>
      </c>
      <c r="AR266" s="527">
        <f t="shared" si="354"/>
        <v>-3373.594942802607</v>
      </c>
      <c r="AS266" s="527">
        <f t="shared" si="354"/>
        <v>-3373.594942802607</v>
      </c>
      <c r="AT266" s="527">
        <f t="shared" si="354"/>
        <v>-3373.594942802607</v>
      </c>
      <c r="AU266" s="527">
        <f t="shared" si="354"/>
        <v>-3373.594942802607</v>
      </c>
      <c r="AV266" s="527">
        <f t="shared" si="354"/>
        <v>-3373.594942802607</v>
      </c>
      <c r="AW266" s="527">
        <f t="shared" si="354"/>
        <v>-3373.594942802607</v>
      </c>
      <c r="AX266" s="527">
        <f t="shared" ref="AX266:BY266" si="355">(AX242-AX250)*AX$229</f>
        <v>-3373.594942802607</v>
      </c>
      <c r="AY266" s="527">
        <f t="shared" si="355"/>
        <v>-3373.594942802607</v>
      </c>
      <c r="AZ266" s="527">
        <f t="shared" si="355"/>
        <v>-3373.594942802607</v>
      </c>
      <c r="BA266" s="527">
        <f t="shared" si="355"/>
        <v>-3373.594942802607</v>
      </c>
      <c r="BB266" s="527">
        <f t="shared" si="355"/>
        <v>-3441.0668416586595</v>
      </c>
      <c r="BC266" s="527">
        <f t="shared" si="355"/>
        <v>-3441.0668416586595</v>
      </c>
      <c r="BD266" s="527">
        <f t="shared" si="355"/>
        <v>-3441.0668416586595</v>
      </c>
      <c r="BE266" s="527">
        <f t="shared" si="355"/>
        <v>-3441.0668416586595</v>
      </c>
      <c r="BF266" s="527">
        <f t="shared" si="355"/>
        <v>-3441.0668416586595</v>
      </c>
      <c r="BG266" s="527">
        <f t="shared" si="355"/>
        <v>-3441.0668416586595</v>
      </c>
      <c r="BH266" s="527">
        <f t="shared" si="355"/>
        <v>-3441.0668416586595</v>
      </c>
      <c r="BI266" s="527">
        <f t="shared" si="355"/>
        <v>-3441.0668416586595</v>
      </c>
      <c r="BJ266" s="527">
        <f t="shared" si="355"/>
        <v>-3441.0668416586595</v>
      </c>
      <c r="BK266" s="527">
        <f t="shared" si="355"/>
        <v>-3441.0668416586595</v>
      </c>
      <c r="BL266" s="527">
        <f t="shared" si="355"/>
        <v>-3441.0668416586595</v>
      </c>
      <c r="BM266" s="527">
        <f t="shared" si="355"/>
        <v>-3441.0668416586595</v>
      </c>
      <c r="BN266" s="527">
        <f t="shared" si="355"/>
        <v>-3509.8881784918322</v>
      </c>
      <c r="BO266" s="527">
        <f t="shared" si="355"/>
        <v>-3509.8881784918322</v>
      </c>
      <c r="BP266" s="527">
        <f t="shared" si="355"/>
        <v>-3509.8881784918322</v>
      </c>
      <c r="BQ266" s="527">
        <f t="shared" si="355"/>
        <v>-3509.8881784918322</v>
      </c>
      <c r="BR266" s="527">
        <f t="shared" si="355"/>
        <v>-3509.8881784918322</v>
      </c>
      <c r="BS266" s="527">
        <f t="shared" si="355"/>
        <v>-3509.8881784918322</v>
      </c>
      <c r="BT266" s="527">
        <f t="shared" si="355"/>
        <v>-4078.9362359971888</v>
      </c>
      <c r="BU266" s="527">
        <f t="shared" si="355"/>
        <v>-4078.9362359971888</v>
      </c>
      <c r="BV266" s="527">
        <f t="shared" si="355"/>
        <v>-4078.9362359971888</v>
      </c>
      <c r="BW266" s="527">
        <f t="shared" si="355"/>
        <v>-4078.9362359971888</v>
      </c>
      <c r="BX266" s="527">
        <f t="shared" si="355"/>
        <v>-4078.9362359971888</v>
      </c>
      <c r="BY266" s="527">
        <f t="shared" si="355"/>
        <v>-4078.9362359971888</v>
      </c>
    </row>
    <row r="267" spans="3:77" x14ac:dyDescent="0.3">
      <c r="C267" s="2"/>
      <c r="D267" s="2"/>
      <c r="E267" s="118" t="str">
        <f>"BCF dist &amp; disp: "&amp;E$160</f>
        <v>BCF dist &amp; disp: Uninvested Tranche</v>
      </c>
      <c r="F267" s="2"/>
      <c r="G267" s="2"/>
      <c r="H267" s="2"/>
      <c r="I267" s="2"/>
      <c r="J267" s="2"/>
      <c r="K267" s="2"/>
      <c r="L267" s="2"/>
      <c r="M267" s="2"/>
      <c r="N267" s="2"/>
      <c r="O267" s="2"/>
      <c r="P267" s="10"/>
      <c r="Q267" s="2"/>
      <c r="R267" s="497">
        <f t="shared" ref="R267:AW267" si="356">(R243-R251)*R$229</f>
        <v>-9079.2635907797976</v>
      </c>
      <c r="S267" s="497">
        <f t="shared" si="356"/>
        <v>-9079.2635907797976</v>
      </c>
      <c r="T267" s="497">
        <f t="shared" si="356"/>
        <v>-9079.2635907797976</v>
      </c>
      <c r="U267" s="497">
        <f t="shared" si="356"/>
        <v>-9079.2635907797976</v>
      </c>
      <c r="V267" s="497">
        <f t="shared" si="356"/>
        <v>-9079.2635907797976</v>
      </c>
      <c r="W267" s="497">
        <f t="shared" si="356"/>
        <v>-9079.2635907797976</v>
      </c>
      <c r="X267" s="497">
        <f t="shared" si="356"/>
        <v>-9079.2635907797976</v>
      </c>
      <c r="Y267" s="497">
        <f t="shared" si="356"/>
        <v>-9079.2635907797976</v>
      </c>
      <c r="Z267" s="497">
        <f t="shared" si="356"/>
        <v>-9079.2635907797976</v>
      </c>
      <c r="AA267" s="497">
        <f t="shared" si="356"/>
        <v>-9079.2635907797976</v>
      </c>
      <c r="AB267" s="497">
        <f t="shared" si="356"/>
        <v>-9079.2635907797976</v>
      </c>
      <c r="AC267" s="497">
        <f t="shared" si="356"/>
        <v>-9079.2635907797976</v>
      </c>
      <c r="AD267" s="497">
        <f t="shared" si="356"/>
        <v>-9260.8488625953905</v>
      </c>
      <c r="AE267" s="497">
        <f t="shared" si="356"/>
        <v>-9260.8488625953905</v>
      </c>
      <c r="AF267" s="497">
        <f t="shared" si="356"/>
        <v>-9260.8488625953905</v>
      </c>
      <c r="AG267" s="497">
        <f t="shared" si="356"/>
        <v>-9260.8488625953905</v>
      </c>
      <c r="AH267" s="497">
        <f t="shared" si="356"/>
        <v>-9260.8488625953905</v>
      </c>
      <c r="AI267" s="497">
        <f t="shared" si="356"/>
        <v>-9260.8488625953905</v>
      </c>
      <c r="AJ267" s="497">
        <f t="shared" si="356"/>
        <v>-9260.8488625953905</v>
      </c>
      <c r="AK267" s="497">
        <f t="shared" si="356"/>
        <v>-9260.8488625953905</v>
      </c>
      <c r="AL267" s="497">
        <f t="shared" si="356"/>
        <v>-9260.8488625953905</v>
      </c>
      <c r="AM267" s="497">
        <f t="shared" si="356"/>
        <v>-9260.8488625953905</v>
      </c>
      <c r="AN267" s="527">
        <f t="shared" si="356"/>
        <v>-9260.8488625953905</v>
      </c>
      <c r="AO267" s="527">
        <f t="shared" si="356"/>
        <v>-9260.8488625953905</v>
      </c>
      <c r="AP267" s="527">
        <f t="shared" si="356"/>
        <v>-9446.0658398473006</v>
      </c>
      <c r="AQ267" s="527">
        <f t="shared" si="356"/>
        <v>-9446.0658398473006</v>
      </c>
      <c r="AR267" s="527">
        <f t="shared" si="356"/>
        <v>-9446.0658398473006</v>
      </c>
      <c r="AS267" s="527">
        <f t="shared" si="356"/>
        <v>-9446.0658398473006</v>
      </c>
      <c r="AT267" s="527">
        <f t="shared" si="356"/>
        <v>-9446.0658398473006</v>
      </c>
      <c r="AU267" s="527">
        <f t="shared" si="356"/>
        <v>-9446.0658398473006</v>
      </c>
      <c r="AV267" s="527">
        <f t="shared" si="356"/>
        <v>-9446.0658398473006</v>
      </c>
      <c r="AW267" s="527">
        <f t="shared" si="356"/>
        <v>-9446.0658398473006</v>
      </c>
      <c r="AX267" s="527">
        <f t="shared" ref="AX267:BY267" si="357">(AX243-AX251)*AX$229</f>
        <v>-9446.0658398473006</v>
      </c>
      <c r="AY267" s="527">
        <f t="shared" si="357"/>
        <v>-9446.0658398473006</v>
      </c>
      <c r="AZ267" s="527">
        <f t="shared" si="357"/>
        <v>-9446.0658398473006</v>
      </c>
      <c r="BA267" s="527">
        <f t="shared" si="357"/>
        <v>-9446.0658398473006</v>
      </c>
      <c r="BB267" s="527">
        <f t="shared" si="357"/>
        <v>-9634.9871566442434</v>
      </c>
      <c r="BC267" s="527">
        <f t="shared" si="357"/>
        <v>-9634.9871566442434</v>
      </c>
      <c r="BD267" s="527">
        <f t="shared" si="357"/>
        <v>-9634.9871566442434</v>
      </c>
      <c r="BE267" s="527">
        <f t="shared" si="357"/>
        <v>-9634.9871566442434</v>
      </c>
      <c r="BF267" s="527">
        <f t="shared" si="357"/>
        <v>-9634.9871566442434</v>
      </c>
      <c r="BG267" s="527">
        <f t="shared" si="357"/>
        <v>-9634.9871566442434</v>
      </c>
      <c r="BH267" s="527">
        <f t="shared" si="357"/>
        <v>-9634.9871566442434</v>
      </c>
      <c r="BI267" s="527">
        <f t="shared" si="357"/>
        <v>-9634.9871566442434</v>
      </c>
      <c r="BJ267" s="527">
        <f t="shared" si="357"/>
        <v>-9634.9871566442434</v>
      </c>
      <c r="BK267" s="527">
        <f t="shared" si="357"/>
        <v>-9634.9871566442434</v>
      </c>
      <c r="BL267" s="527">
        <f t="shared" si="357"/>
        <v>-9634.9871566442434</v>
      </c>
      <c r="BM267" s="527">
        <f t="shared" si="357"/>
        <v>-9634.9871566442434</v>
      </c>
      <c r="BN267" s="527">
        <f t="shared" si="357"/>
        <v>-9827.6868997771307</v>
      </c>
      <c r="BO267" s="527">
        <f t="shared" si="357"/>
        <v>-9827.6868997771307</v>
      </c>
      <c r="BP267" s="527">
        <f t="shared" si="357"/>
        <v>-9827.6868997771307</v>
      </c>
      <c r="BQ267" s="527">
        <f t="shared" si="357"/>
        <v>-9827.6868997771307</v>
      </c>
      <c r="BR267" s="527">
        <f t="shared" si="357"/>
        <v>-9827.6868997771307</v>
      </c>
      <c r="BS267" s="527">
        <f t="shared" si="357"/>
        <v>-9827.6868997771307</v>
      </c>
      <c r="BT267" s="527">
        <f t="shared" si="357"/>
        <v>-9827.6868997771307</v>
      </c>
      <c r="BU267" s="527">
        <f t="shared" si="357"/>
        <v>-9827.6868997771307</v>
      </c>
      <c r="BV267" s="527">
        <f t="shared" si="357"/>
        <v>-9827.6868997771307</v>
      </c>
      <c r="BW267" s="527">
        <f t="shared" si="357"/>
        <v>-9827.6868997771307</v>
      </c>
      <c r="BX267" s="527">
        <f t="shared" si="357"/>
        <v>-9827.6868997771307</v>
      </c>
      <c r="BY267" s="527">
        <f t="shared" si="357"/>
        <v>-9827.6868997771307</v>
      </c>
    </row>
    <row r="268" spans="3:77" x14ac:dyDescent="0.3">
      <c r="C268" s="2"/>
      <c r="D268" s="2"/>
      <c r="E268" s="4" t="s">
        <v>36</v>
      </c>
      <c r="F268" s="4"/>
      <c r="G268" s="4"/>
      <c r="H268" s="4"/>
      <c r="I268" s="4"/>
      <c r="J268" s="4"/>
      <c r="K268" s="4"/>
      <c r="L268" s="4"/>
      <c r="M268" s="4"/>
      <c r="N268" s="4"/>
      <c r="O268" s="4"/>
      <c r="P268" s="106"/>
      <c r="Q268" s="4"/>
      <c r="R268" s="498">
        <f t="shared" ref="R268:AW268" si="358">SUM(R262:R267)</f>
        <v>-25292.234288600856</v>
      </c>
      <c r="S268" s="498">
        <f t="shared" si="358"/>
        <v>-25292.234288600856</v>
      </c>
      <c r="T268" s="498">
        <f t="shared" si="358"/>
        <v>-25292.234288600856</v>
      </c>
      <c r="U268" s="498">
        <f t="shared" si="358"/>
        <v>-25292.234288600856</v>
      </c>
      <c r="V268" s="498">
        <f t="shared" si="358"/>
        <v>-25292.234288600856</v>
      </c>
      <c r="W268" s="498">
        <f t="shared" si="358"/>
        <v>-25292.234288600856</v>
      </c>
      <c r="X268" s="498">
        <f t="shared" si="358"/>
        <v>-25871.449629536706</v>
      </c>
      <c r="Y268" s="498">
        <f t="shared" si="358"/>
        <v>-25871.449629536706</v>
      </c>
      <c r="Z268" s="498">
        <f t="shared" si="358"/>
        <v>-25871.449629536706</v>
      </c>
      <c r="AA268" s="498">
        <f t="shared" si="358"/>
        <v>-25871.449629536706</v>
      </c>
      <c r="AB268" s="498">
        <f t="shared" si="358"/>
        <v>-25871.449629536706</v>
      </c>
      <c r="AC268" s="498">
        <f t="shared" si="358"/>
        <v>-25871.449629536706</v>
      </c>
      <c r="AD268" s="498">
        <f t="shared" si="358"/>
        <v>-26255.212143898243</v>
      </c>
      <c r="AE268" s="498">
        <f t="shared" si="358"/>
        <v>-26255.212143898243</v>
      </c>
      <c r="AF268" s="498">
        <f t="shared" si="358"/>
        <v>-26255.212143898243</v>
      </c>
      <c r="AG268" s="498">
        <f t="shared" si="358"/>
        <v>-26255.212143898243</v>
      </c>
      <c r="AH268" s="498">
        <f t="shared" si="358"/>
        <v>-26255.212143898243</v>
      </c>
      <c r="AI268" s="498">
        <f t="shared" si="358"/>
        <v>-26255.212143898243</v>
      </c>
      <c r="AJ268" s="498">
        <f t="shared" si="358"/>
        <v>-26961.971633435449</v>
      </c>
      <c r="AK268" s="498">
        <f t="shared" si="358"/>
        <v>-26961.971633435449</v>
      </c>
      <c r="AL268" s="498">
        <f t="shared" si="358"/>
        <v>-26961.971633435449</v>
      </c>
      <c r="AM268" s="498">
        <f t="shared" si="358"/>
        <v>-26961.971633435449</v>
      </c>
      <c r="AN268" s="530">
        <f t="shared" si="358"/>
        <v>-26961.971633435449</v>
      </c>
      <c r="AO268" s="530">
        <f t="shared" si="358"/>
        <v>-26961.971633435449</v>
      </c>
      <c r="AP268" s="530">
        <f t="shared" si="358"/>
        <v>-27243.386789016426</v>
      </c>
      <c r="AQ268" s="530">
        <f t="shared" si="358"/>
        <v>-27243.386789016426</v>
      </c>
      <c r="AR268" s="530">
        <f t="shared" si="358"/>
        <v>-27243.386789016426</v>
      </c>
      <c r="AS268" s="530">
        <f t="shared" si="358"/>
        <v>-27243.386789016426</v>
      </c>
      <c r="AT268" s="530">
        <f t="shared" si="358"/>
        <v>-27243.386789016426</v>
      </c>
      <c r="AU268" s="530">
        <f t="shared" si="358"/>
        <v>-27243.386789016426</v>
      </c>
      <c r="AV268" s="530">
        <f t="shared" si="358"/>
        <v>-28081.027137089797</v>
      </c>
      <c r="AW268" s="530">
        <f t="shared" si="358"/>
        <v>-28081.027137089797</v>
      </c>
      <c r="AX268" s="530">
        <f t="shared" ref="AX268:BY268" si="359">SUM(AX262:AX267)</f>
        <v>-28081.027137089797</v>
      </c>
      <c r="AY268" s="530">
        <f t="shared" si="359"/>
        <v>-28081.027137089797</v>
      </c>
      <c r="AZ268" s="530">
        <f t="shared" si="359"/>
        <v>-28081.027137089797</v>
      </c>
      <c r="BA268" s="530">
        <f t="shared" si="359"/>
        <v>-28081.027137089797</v>
      </c>
      <c r="BB268" s="530">
        <f t="shared" si="359"/>
        <v>-28275.515985783757</v>
      </c>
      <c r="BC268" s="530">
        <f t="shared" si="359"/>
        <v>-28275.515985783757</v>
      </c>
      <c r="BD268" s="530">
        <f t="shared" si="359"/>
        <v>-28275.515985783757</v>
      </c>
      <c r="BE268" s="530">
        <f t="shared" si="359"/>
        <v>-28275.515985783757</v>
      </c>
      <c r="BF268" s="530">
        <f t="shared" si="359"/>
        <v>-28275.515985783757</v>
      </c>
      <c r="BG268" s="530">
        <f t="shared" si="359"/>
        <v>-28275.515985783757</v>
      </c>
      <c r="BH268" s="530">
        <f t="shared" si="359"/>
        <v>-29248.157787749129</v>
      </c>
      <c r="BI268" s="530">
        <f t="shared" si="359"/>
        <v>-29248.157787749129</v>
      </c>
      <c r="BJ268" s="530">
        <f t="shared" si="359"/>
        <v>-29248.157787749129</v>
      </c>
      <c r="BK268" s="530">
        <f t="shared" si="359"/>
        <v>-29248.157787749129</v>
      </c>
      <c r="BL268" s="530">
        <f t="shared" si="359"/>
        <v>-29248.157787749129</v>
      </c>
      <c r="BM268" s="530">
        <f t="shared" si="359"/>
        <v>-29248.157787749129</v>
      </c>
      <c r="BN268" s="530">
        <f t="shared" si="359"/>
        <v>-29343.556340204559</v>
      </c>
      <c r="BO268" s="530">
        <f t="shared" si="359"/>
        <v>-29343.556340204559</v>
      </c>
      <c r="BP268" s="530">
        <f t="shared" si="359"/>
        <v>-29343.556340204559</v>
      </c>
      <c r="BQ268" s="530">
        <f t="shared" si="359"/>
        <v>-29343.556340204559</v>
      </c>
      <c r="BR268" s="530">
        <f t="shared" si="359"/>
        <v>-29343.556340204559</v>
      </c>
      <c r="BS268" s="530">
        <f t="shared" si="359"/>
        <v>-29343.556340204559</v>
      </c>
      <c r="BT268" s="530">
        <f t="shared" si="359"/>
        <v>-30454.052284767189</v>
      </c>
      <c r="BU268" s="530">
        <f t="shared" si="359"/>
        <v>-30454.052284767189</v>
      </c>
      <c r="BV268" s="530">
        <f t="shared" si="359"/>
        <v>-30454.052284767189</v>
      </c>
      <c r="BW268" s="530">
        <f t="shared" si="359"/>
        <v>-30454.052284767189</v>
      </c>
      <c r="BX268" s="530">
        <f t="shared" si="359"/>
        <v>-30454.052284767189</v>
      </c>
      <c r="BY268" s="530">
        <f t="shared" si="359"/>
        <v>-30454.052284767189</v>
      </c>
    </row>
    <row r="269" spans="3:77" x14ac:dyDescent="0.3">
      <c r="C269" s="2"/>
      <c r="D269" s="2"/>
      <c r="E269" s="2"/>
      <c r="F269" s="2"/>
      <c r="G269" s="2"/>
      <c r="H269" s="2"/>
      <c r="I269" s="2"/>
      <c r="J269" s="2"/>
      <c r="K269" s="2"/>
      <c r="L269" s="2"/>
      <c r="M269" s="2"/>
      <c r="N269" s="2"/>
      <c r="O269" s="2"/>
      <c r="P269" s="10"/>
      <c r="Q269" s="2"/>
      <c r="R269" s="2"/>
      <c r="S269" s="2"/>
      <c r="T269" s="2"/>
      <c r="U269" s="2"/>
      <c r="V269" s="2"/>
      <c r="W269" s="2"/>
      <c r="X269" s="2"/>
      <c r="Y269" s="2"/>
      <c r="Z269" s="2"/>
      <c r="AA269" s="2"/>
      <c r="AB269" s="2"/>
      <c r="AC269" s="2"/>
      <c r="AD269" s="2"/>
      <c r="AE269" s="2"/>
      <c r="AF269" s="2"/>
      <c r="AG269" s="2"/>
      <c r="AH269" s="2"/>
      <c r="AI269" s="2"/>
      <c r="AJ269" s="2"/>
      <c r="AK269" s="2"/>
      <c r="AL269" s="2"/>
      <c r="AM269" s="2"/>
      <c r="AN269" s="525"/>
      <c r="AO269" s="525"/>
      <c r="AP269" s="525"/>
      <c r="AQ269" s="525"/>
      <c r="AR269" s="525"/>
      <c r="AS269" s="525"/>
      <c r="AT269" s="525"/>
      <c r="AU269" s="525"/>
      <c r="AV269" s="525"/>
      <c r="AW269" s="525"/>
      <c r="AX269" s="525"/>
      <c r="AY269" s="525"/>
      <c r="AZ269" s="525"/>
      <c r="BA269" s="525"/>
      <c r="BB269" s="525"/>
      <c r="BC269" s="525"/>
      <c r="BD269" s="525"/>
      <c r="BE269" s="525"/>
      <c r="BF269" s="525"/>
      <c r="BG269" s="525"/>
      <c r="BH269" s="525"/>
      <c r="BI269" s="525"/>
      <c r="BJ269" s="525"/>
      <c r="BK269" s="525"/>
      <c r="BL269" s="525"/>
      <c r="BM269" s="525"/>
      <c r="BN269" s="525"/>
      <c r="BO269" s="525"/>
      <c r="BP269" s="525"/>
      <c r="BQ269" s="525"/>
      <c r="BR269" s="525"/>
      <c r="BS269" s="525"/>
      <c r="BT269" s="525"/>
      <c r="BU269" s="525"/>
      <c r="BV269" s="525"/>
      <c r="BW269" s="525"/>
      <c r="BX269" s="525"/>
      <c r="BY269" s="525"/>
    </row>
    <row r="270" spans="3:77" x14ac:dyDescent="0.3">
      <c r="C270" s="2"/>
      <c r="D270" s="2"/>
      <c r="E270" s="119" t="str">
        <f>"BCF discounts: "&amp;E$155</f>
        <v>BCF discounts: FY27 Tranche</v>
      </c>
      <c r="F270" s="2"/>
      <c r="G270" s="2"/>
      <c r="H270" s="2"/>
      <c r="I270" s="2"/>
      <c r="J270" s="2"/>
      <c r="K270" s="2"/>
      <c r="L270" s="2"/>
      <c r="M270" s="2"/>
      <c r="N270" s="2"/>
      <c r="O270" s="2"/>
      <c r="P270" s="10"/>
      <c r="Q270" s="2"/>
      <c r="R270" s="497">
        <f t="shared" ref="R270:AW270" si="360">(R238-R246)*R$230</f>
        <v>-17404.943516372063</v>
      </c>
      <c r="S270" s="497">
        <f t="shared" si="360"/>
        <v>-17404.943516372063</v>
      </c>
      <c r="T270" s="497">
        <f t="shared" si="360"/>
        <v>-17404.943516372063</v>
      </c>
      <c r="U270" s="497">
        <f t="shared" si="360"/>
        <v>-17404.943516372063</v>
      </c>
      <c r="V270" s="497">
        <f t="shared" si="360"/>
        <v>-17404.943516372063</v>
      </c>
      <c r="W270" s="497">
        <f t="shared" si="360"/>
        <v>-17404.943516372063</v>
      </c>
      <c r="X270" s="497">
        <f t="shared" si="360"/>
        <v>-20513.938925263898</v>
      </c>
      <c r="Y270" s="497">
        <f t="shared" si="360"/>
        <v>-20513.938925263898</v>
      </c>
      <c r="Z270" s="497">
        <f t="shared" si="360"/>
        <v>-20513.938925263898</v>
      </c>
      <c r="AA270" s="497">
        <f t="shared" si="360"/>
        <v>-20513.938925263898</v>
      </c>
      <c r="AB270" s="497">
        <f t="shared" si="360"/>
        <v>-20513.938925263898</v>
      </c>
      <c r="AC270" s="497">
        <f t="shared" si="360"/>
        <v>-20513.938925263898</v>
      </c>
      <c r="AD270" s="497">
        <f t="shared" si="360"/>
        <v>-20665.822316427148</v>
      </c>
      <c r="AE270" s="497">
        <f t="shared" si="360"/>
        <v>-20665.822316427148</v>
      </c>
      <c r="AF270" s="497">
        <f t="shared" si="360"/>
        <v>-20665.822316427148</v>
      </c>
      <c r="AG270" s="497">
        <f t="shared" si="360"/>
        <v>-20665.822316427148</v>
      </c>
      <c r="AH270" s="497">
        <f t="shared" si="360"/>
        <v>-20665.822316427148</v>
      </c>
      <c r="AI270" s="497">
        <f t="shared" si="360"/>
        <v>-20665.822316427148</v>
      </c>
      <c r="AJ270" s="497">
        <f t="shared" si="360"/>
        <v>-21382.41017703286</v>
      </c>
      <c r="AK270" s="497">
        <f t="shared" si="360"/>
        <v>-21382.41017703286</v>
      </c>
      <c r="AL270" s="497">
        <f t="shared" si="360"/>
        <v>-21382.41017703286</v>
      </c>
      <c r="AM270" s="497">
        <f t="shared" si="360"/>
        <v>-21382.41017703286</v>
      </c>
      <c r="AN270" s="527">
        <f t="shared" si="360"/>
        <v>-21382.41017703286</v>
      </c>
      <c r="AO270" s="527">
        <f t="shared" si="360"/>
        <v>-21382.41017703286</v>
      </c>
      <c r="AP270" s="527">
        <f t="shared" si="360"/>
        <v>-21544.656829003761</v>
      </c>
      <c r="AQ270" s="527">
        <f t="shared" si="360"/>
        <v>-21544.656829003761</v>
      </c>
      <c r="AR270" s="527">
        <f t="shared" si="360"/>
        <v>-21544.656829003761</v>
      </c>
      <c r="AS270" s="527">
        <f t="shared" si="360"/>
        <v>-21544.656829003761</v>
      </c>
      <c r="AT270" s="527">
        <f t="shared" si="360"/>
        <v>-21544.656829003761</v>
      </c>
      <c r="AU270" s="527">
        <f t="shared" si="360"/>
        <v>-21544.656829003761</v>
      </c>
      <c r="AV270" s="527">
        <f t="shared" si="360"/>
        <v>-22285.606335539738</v>
      </c>
      <c r="AW270" s="527">
        <f t="shared" si="360"/>
        <v>-22285.606335539738</v>
      </c>
      <c r="AX270" s="527">
        <f t="shared" ref="AX270:BY270" si="361">(AX238-AX246)*AX$230</f>
        <v>-22285.606335539738</v>
      </c>
      <c r="AY270" s="527">
        <f t="shared" si="361"/>
        <v>-22285.606335539738</v>
      </c>
      <c r="AZ270" s="527">
        <f t="shared" si="361"/>
        <v>-22285.606335539738</v>
      </c>
      <c r="BA270" s="527">
        <f t="shared" si="361"/>
        <v>-22285.606335539738</v>
      </c>
      <c r="BB270" s="527">
        <f t="shared" si="361"/>
        <v>-22465.617010163231</v>
      </c>
      <c r="BC270" s="527">
        <f t="shared" si="361"/>
        <v>-22465.617010163231</v>
      </c>
      <c r="BD270" s="527">
        <f t="shared" si="361"/>
        <v>-22465.617010163231</v>
      </c>
      <c r="BE270" s="527">
        <f t="shared" si="361"/>
        <v>-22465.617010163231</v>
      </c>
      <c r="BF270" s="527">
        <f t="shared" si="361"/>
        <v>-22465.617010163231</v>
      </c>
      <c r="BG270" s="527">
        <f t="shared" si="361"/>
        <v>-22465.617010163231</v>
      </c>
      <c r="BH270" s="527">
        <f t="shared" si="361"/>
        <v>-23232.288776691155</v>
      </c>
      <c r="BI270" s="527">
        <f t="shared" si="361"/>
        <v>-23232.288776691155</v>
      </c>
      <c r="BJ270" s="527">
        <f t="shared" si="361"/>
        <v>-23232.288776691155</v>
      </c>
      <c r="BK270" s="527">
        <f t="shared" si="361"/>
        <v>-23232.288776691155</v>
      </c>
      <c r="BL270" s="527">
        <f t="shared" si="361"/>
        <v>-23232.288776691155</v>
      </c>
      <c r="BM270" s="527">
        <f t="shared" si="361"/>
        <v>-23232.288776691155</v>
      </c>
      <c r="BN270" s="527">
        <f t="shared" si="361"/>
        <v>-23429.145582971632</v>
      </c>
      <c r="BO270" s="527">
        <f t="shared" si="361"/>
        <v>-23429.145582971632</v>
      </c>
      <c r="BP270" s="527">
        <f t="shared" si="361"/>
        <v>-23429.145582971632</v>
      </c>
      <c r="BQ270" s="527">
        <f t="shared" si="361"/>
        <v>-23429.145582971632</v>
      </c>
      <c r="BR270" s="527">
        <f t="shared" si="361"/>
        <v>-23429.145582971632</v>
      </c>
      <c r="BS270" s="527">
        <f t="shared" si="361"/>
        <v>-23429.145582971632</v>
      </c>
      <c r="BT270" s="527">
        <f t="shared" si="361"/>
        <v>-24222.537101544425</v>
      </c>
      <c r="BU270" s="527">
        <f t="shared" si="361"/>
        <v>-24222.537101544425</v>
      </c>
      <c r="BV270" s="527">
        <f t="shared" si="361"/>
        <v>-24222.537101544425</v>
      </c>
      <c r="BW270" s="527">
        <f t="shared" si="361"/>
        <v>-24222.537101544425</v>
      </c>
      <c r="BX270" s="527">
        <f t="shared" si="361"/>
        <v>-24222.537101544425</v>
      </c>
      <c r="BY270" s="527">
        <f t="shared" si="361"/>
        <v>-24222.537101544425</v>
      </c>
    </row>
    <row r="271" spans="3:77" x14ac:dyDescent="0.3">
      <c r="C271" s="2"/>
      <c r="D271" s="2"/>
      <c r="E271" s="119" t="str">
        <f>"BCF discounts: "&amp;E$156</f>
        <v>BCF discounts: FY28 Tranche</v>
      </c>
      <c r="F271" s="2"/>
      <c r="G271" s="2"/>
      <c r="H271" s="2"/>
      <c r="I271" s="2"/>
      <c r="J271" s="2"/>
      <c r="K271" s="2"/>
      <c r="L271" s="2"/>
      <c r="M271" s="2"/>
      <c r="N271" s="2"/>
      <c r="O271" s="2"/>
      <c r="P271" s="10"/>
      <c r="Q271" s="2"/>
      <c r="R271" s="497">
        <f t="shared" ref="R271:AW271" si="362">(R239-R247)*R$230</f>
        <v>-17404.943516372063</v>
      </c>
      <c r="S271" s="497">
        <f t="shared" si="362"/>
        <v>-17404.943516372063</v>
      </c>
      <c r="T271" s="497">
        <f t="shared" si="362"/>
        <v>-17404.943516372063</v>
      </c>
      <c r="U271" s="497">
        <f t="shared" si="362"/>
        <v>-17404.943516372063</v>
      </c>
      <c r="V271" s="497">
        <f t="shared" si="362"/>
        <v>-17404.943516372063</v>
      </c>
      <c r="W271" s="497">
        <f t="shared" si="362"/>
        <v>-17404.943516372063</v>
      </c>
      <c r="X271" s="497">
        <f t="shared" si="362"/>
        <v>-17404.943516372063</v>
      </c>
      <c r="Y271" s="497">
        <f t="shared" si="362"/>
        <v>-17404.943516372063</v>
      </c>
      <c r="Z271" s="497">
        <f t="shared" si="362"/>
        <v>-17404.943516372063</v>
      </c>
      <c r="AA271" s="497">
        <f t="shared" si="362"/>
        <v>-17404.943516372063</v>
      </c>
      <c r="AB271" s="497">
        <f t="shared" si="362"/>
        <v>-17404.943516372063</v>
      </c>
      <c r="AC271" s="497">
        <f t="shared" si="362"/>
        <v>-17404.943516372063</v>
      </c>
      <c r="AD271" s="497">
        <f t="shared" si="362"/>
        <v>-18156.369765467116</v>
      </c>
      <c r="AE271" s="497">
        <f t="shared" si="362"/>
        <v>-18156.369765467116</v>
      </c>
      <c r="AF271" s="497">
        <f t="shared" si="362"/>
        <v>-18156.369765467116</v>
      </c>
      <c r="AG271" s="497">
        <f t="shared" si="362"/>
        <v>-18156.369765467116</v>
      </c>
      <c r="AH271" s="497">
        <f t="shared" si="362"/>
        <v>-18156.369765467116</v>
      </c>
      <c r="AI271" s="497">
        <f t="shared" si="362"/>
        <v>-18156.369765467116</v>
      </c>
      <c r="AJ271" s="497">
        <f t="shared" si="362"/>
        <v>-21319.56907011088</v>
      </c>
      <c r="AK271" s="497">
        <f t="shared" si="362"/>
        <v>-21319.56907011088</v>
      </c>
      <c r="AL271" s="497">
        <f t="shared" si="362"/>
        <v>-21319.56907011088</v>
      </c>
      <c r="AM271" s="497">
        <f t="shared" si="362"/>
        <v>-21319.56907011088</v>
      </c>
      <c r="AN271" s="527">
        <f t="shared" si="362"/>
        <v>-21319.56907011088</v>
      </c>
      <c r="AO271" s="527">
        <f t="shared" si="362"/>
        <v>-21319.56907011088</v>
      </c>
      <c r="AP271" s="527">
        <f t="shared" si="362"/>
        <v>-21482.178464355129</v>
      </c>
      <c r="AQ271" s="527">
        <f t="shared" si="362"/>
        <v>-21482.178464355129</v>
      </c>
      <c r="AR271" s="527">
        <f t="shared" si="362"/>
        <v>-21482.178464355129</v>
      </c>
      <c r="AS271" s="527">
        <f t="shared" si="362"/>
        <v>-21482.178464355129</v>
      </c>
      <c r="AT271" s="527">
        <f t="shared" si="362"/>
        <v>-21482.178464355129</v>
      </c>
      <c r="AU271" s="527">
        <f t="shared" si="362"/>
        <v>-21482.178464355129</v>
      </c>
      <c r="AV271" s="527">
        <f t="shared" si="362"/>
        <v>-22220.628836305157</v>
      </c>
      <c r="AW271" s="527">
        <f t="shared" si="362"/>
        <v>-22220.628836305157</v>
      </c>
      <c r="AX271" s="527">
        <f t="shared" ref="AX271:BY271" si="363">(AX239-AX247)*AX$230</f>
        <v>-22220.628836305157</v>
      </c>
      <c r="AY271" s="527">
        <f t="shared" si="363"/>
        <v>-22220.628836305157</v>
      </c>
      <c r="AZ271" s="527">
        <f t="shared" si="363"/>
        <v>-22220.628836305157</v>
      </c>
      <c r="BA271" s="527">
        <f t="shared" si="363"/>
        <v>-22220.628836305157</v>
      </c>
      <c r="BB271" s="527">
        <f t="shared" si="363"/>
        <v>-22400.969692400799</v>
      </c>
      <c r="BC271" s="527">
        <f t="shared" si="363"/>
        <v>-22400.969692400799</v>
      </c>
      <c r="BD271" s="527">
        <f t="shared" si="363"/>
        <v>-22400.969692400799</v>
      </c>
      <c r="BE271" s="527">
        <f t="shared" si="363"/>
        <v>-22400.969692400799</v>
      </c>
      <c r="BF271" s="527">
        <f t="shared" si="363"/>
        <v>-22400.969692400799</v>
      </c>
      <c r="BG271" s="527">
        <f t="shared" si="363"/>
        <v>-22400.969692400799</v>
      </c>
      <c r="BH271" s="527">
        <f t="shared" si="363"/>
        <v>-23165.055566218234</v>
      </c>
      <c r="BI271" s="527">
        <f t="shared" si="363"/>
        <v>-23165.055566218234</v>
      </c>
      <c r="BJ271" s="527">
        <f t="shared" si="363"/>
        <v>-23165.055566218234</v>
      </c>
      <c r="BK271" s="527">
        <f t="shared" si="363"/>
        <v>-23165.055566218234</v>
      </c>
      <c r="BL271" s="527">
        <f t="shared" si="363"/>
        <v>-23165.055566218234</v>
      </c>
      <c r="BM271" s="527">
        <f t="shared" si="363"/>
        <v>-23165.055566218234</v>
      </c>
      <c r="BN271" s="527">
        <f t="shared" si="363"/>
        <v>-23362.24520154313</v>
      </c>
      <c r="BO271" s="527">
        <f t="shared" si="363"/>
        <v>-23362.24520154313</v>
      </c>
      <c r="BP271" s="527">
        <f t="shared" si="363"/>
        <v>-23362.24520154313</v>
      </c>
      <c r="BQ271" s="527">
        <f t="shared" si="363"/>
        <v>-23362.24520154313</v>
      </c>
      <c r="BR271" s="527">
        <f t="shared" si="363"/>
        <v>-23362.24520154313</v>
      </c>
      <c r="BS271" s="527">
        <f t="shared" si="363"/>
        <v>-23362.24520154313</v>
      </c>
      <c r="BT271" s="527">
        <f t="shared" si="363"/>
        <v>-24152.960704858775</v>
      </c>
      <c r="BU271" s="527">
        <f t="shared" si="363"/>
        <v>-24152.960704858775</v>
      </c>
      <c r="BV271" s="527">
        <f t="shared" si="363"/>
        <v>-24152.960704858775</v>
      </c>
      <c r="BW271" s="527">
        <f t="shared" si="363"/>
        <v>-24152.960704858775</v>
      </c>
      <c r="BX271" s="527">
        <f t="shared" si="363"/>
        <v>-24152.960704858775</v>
      </c>
      <c r="BY271" s="527">
        <f t="shared" si="363"/>
        <v>-24152.960704858775</v>
      </c>
    </row>
    <row r="272" spans="3:77" x14ac:dyDescent="0.3">
      <c r="C272" s="2"/>
      <c r="D272" s="2"/>
      <c r="E272" s="119" t="str">
        <f>"BCF discounts: "&amp;E$157</f>
        <v>BCF discounts: FY29 Tranche</v>
      </c>
      <c r="F272" s="2"/>
      <c r="G272" s="2"/>
      <c r="H272" s="2"/>
      <c r="I272" s="2"/>
      <c r="J272" s="2"/>
      <c r="K272" s="2"/>
      <c r="L272" s="2"/>
      <c r="M272" s="2"/>
      <c r="N272" s="2"/>
      <c r="O272" s="2"/>
      <c r="P272" s="10"/>
      <c r="Q272" s="2"/>
      <c r="R272" s="497">
        <f t="shared" ref="R272:AW272" si="364">(R240-R248)*R$230</f>
        <v>-17404.943516372063</v>
      </c>
      <c r="S272" s="497">
        <f t="shared" si="364"/>
        <v>-17404.943516372063</v>
      </c>
      <c r="T272" s="497">
        <f t="shared" si="364"/>
        <v>-17404.943516372063</v>
      </c>
      <c r="U272" s="497">
        <f t="shared" si="364"/>
        <v>-17404.943516372063</v>
      </c>
      <c r="V272" s="497">
        <f t="shared" si="364"/>
        <v>-17404.943516372063</v>
      </c>
      <c r="W272" s="497">
        <f t="shared" si="364"/>
        <v>-17404.943516372063</v>
      </c>
      <c r="X272" s="497">
        <f t="shared" si="364"/>
        <v>-17404.943516372063</v>
      </c>
      <c r="Y272" s="497">
        <f t="shared" si="364"/>
        <v>-17404.943516372063</v>
      </c>
      <c r="Z272" s="497">
        <f t="shared" si="364"/>
        <v>-17404.943516372063</v>
      </c>
      <c r="AA272" s="497">
        <f t="shared" si="364"/>
        <v>-17404.943516372063</v>
      </c>
      <c r="AB272" s="497">
        <f t="shared" si="364"/>
        <v>-17404.943516372063</v>
      </c>
      <c r="AC272" s="497">
        <f t="shared" si="364"/>
        <v>-17404.943516372063</v>
      </c>
      <c r="AD272" s="497">
        <f t="shared" si="364"/>
        <v>-18156.369765467116</v>
      </c>
      <c r="AE272" s="497">
        <f t="shared" si="364"/>
        <v>-18156.369765467116</v>
      </c>
      <c r="AF272" s="497">
        <f t="shared" si="364"/>
        <v>-18156.369765467116</v>
      </c>
      <c r="AG272" s="497">
        <f t="shared" si="364"/>
        <v>-18156.369765467116</v>
      </c>
      <c r="AH272" s="497">
        <f t="shared" si="364"/>
        <v>-18156.369765467116</v>
      </c>
      <c r="AI272" s="497">
        <f t="shared" si="364"/>
        <v>-18156.369765467116</v>
      </c>
      <c r="AJ272" s="497">
        <f t="shared" si="364"/>
        <v>-18156.369765467116</v>
      </c>
      <c r="AK272" s="497">
        <f t="shared" si="364"/>
        <v>-18156.369765467116</v>
      </c>
      <c r="AL272" s="497">
        <f t="shared" si="364"/>
        <v>-18156.369765467116</v>
      </c>
      <c r="AM272" s="497">
        <f t="shared" si="364"/>
        <v>-18156.369765467116</v>
      </c>
      <c r="AN272" s="527">
        <f t="shared" si="364"/>
        <v>-18156.369765467116</v>
      </c>
      <c r="AO272" s="527">
        <f t="shared" si="364"/>
        <v>-18156.369765467116</v>
      </c>
      <c r="AP272" s="527">
        <f t="shared" si="364"/>
        <v>-18908.933882028145</v>
      </c>
      <c r="AQ272" s="527">
        <f t="shared" si="364"/>
        <v>-18908.933882028145</v>
      </c>
      <c r="AR272" s="527">
        <f t="shared" si="364"/>
        <v>-18908.933882028145</v>
      </c>
      <c r="AS272" s="527">
        <f t="shared" si="364"/>
        <v>-18908.933882028145</v>
      </c>
      <c r="AT272" s="527">
        <f t="shared" si="364"/>
        <v>-18908.933882028145</v>
      </c>
      <c r="AU272" s="527">
        <f t="shared" si="364"/>
        <v>-18908.933882028145</v>
      </c>
      <c r="AV272" s="527">
        <f t="shared" si="364"/>
        <v>-22124.491823665136</v>
      </c>
      <c r="AW272" s="527">
        <f t="shared" si="364"/>
        <v>-22124.491823665136</v>
      </c>
      <c r="AX272" s="527">
        <f t="shared" ref="AX272:BY272" si="365">(AX240-AX248)*AX$230</f>
        <v>-22124.491823665136</v>
      </c>
      <c r="AY272" s="527">
        <f t="shared" si="365"/>
        <v>-22124.491823665136</v>
      </c>
      <c r="AZ272" s="527">
        <f t="shared" si="365"/>
        <v>-22124.491823665136</v>
      </c>
      <c r="BA272" s="527">
        <f t="shared" si="365"/>
        <v>-22124.491823665136</v>
      </c>
      <c r="BB272" s="527">
        <f t="shared" si="365"/>
        <v>-22305.321197489771</v>
      </c>
      <c r="BC272" s="527">
        <f t="shared" si="365"/>
        <v>-22305.321197489771</v>
      </c>
      <c r="BD272" s="527">
        <f t="shared" si="365"/>
        <v>-22305.321197489771</v>
      </c>
      <c r="BE272" s="527">
        <f t="shared" si="365"/>
        <v>-22305.321197489771</v>
      </c>
      <c r="BF272" s="527">
        <f t="shared" si="365"/>
        <v>-22305.321197489771</v>
      </c>
      <c r="BG272" s="527">
        <f t="shared" si="365"/>
        <v>-22305.321197489771</v>
      </c>
      <c r="BH272" s="527">
        <f t="shared" si="365"/>
        <v>-23065.581131510768</v>
      </c>
      <c r="BI272" s="527">
        <f t="shared" si="365"/>
        <v>-23065.581131510768</v>
      </c>
      <c r="BJ272" s="527">
        <f t="shared" si="365"/>
        <v>-23065.581131510768</v>
      </c>
      <c r="BK272" s="527">
        <f t="shared" si="365"/>
        <v>-23065.581131510768</v>
      </c>
      <c r="BL272" s="527">
        <f t="shared" si="365"/>
        <v>-23065.581131510768</v>
      </c>
      <c r="BM272" s="527">
        <f t="shared" si="365"/>
        <v>-23065.581131510768</v>
      </c>
      <c r="BN272" s="527">
        <f t="shared" si="365"/>
        <v>-23263.263201762005</v>
      </c>
      <c r="BO272" s="527">
        <f t="shared" si="365"/>
        <v>-23263.263201762005</v>
      </c>
      <c r="BP272" s="527">
        <f t="shared" si="365"/>
        <v>-23263.263201762005</v>
      </c>
      <c r="BQ272" s="527">
        <f t="shared" si="365"/>
        <v>-23263.263201762005</v>
      </c>
      <c r="BR272" s="527">
        <f t="shared" si="365"/>
        <v>-23263.263201762005</v>
      </c>
      <c r="BS272" s="527">
        <f t="shared" si="365"/>
        <v>-23263.263201762005</v>
      </c>
      <c r="BT272" s="527">
        <f t="shared" si="365"/>
        <v>-24050.019425086401</v>
      </c>
      <c r="BU272" s="527">
        <f t="shared" si="365"/>
        <v>-24050.019425086401</v>
      </c>
      <c r="BV272" s="527">
        <f t="shared" si="365"/>
        <v>-24050.019425086401</v>
      </c>
      <c r="BW272" s="527">
        <f t="shared" si="365"/>
        <v>-24050.019425086401</v>
      </c>
      <c r="BX272" s="527">
        <f t="shared" si="365"/>
        <v>-24050.019425086401</v>
      </c>
      <c r="BY272" s="527">
        <f t="shared" si="365"/>
        <v>-24050.019425086401</v>
      </c>
    </row>
    <row r="273" spans="3:77" x14ac:dyDescent="0.3">
      <c r="C273" s="2"/>
      <c r="D273" s="2"/>
      <c r="E273" s="119" t="str">
        <f>"BCF discounts: "&amp;E$158</f>
        <v>BCF discounts: FY30 Tranche</v>
      </c>
      <c r="F273" s="2"/>
      <c r="G273" s="2"/>
      <c r="H273" s="2"/>
      <c r="I273" s="2"/>
      <c r="J273" s="2"/>
      <c r="K273" s="2"/>
      <c r="L273" s="2"/>
      <c r="M273" s="2"/>
      <c r="N273" s="2"/>
      <c r="O273" s="2"/>
      <c r="P273" s="10"/>
      <c r="Q273" s="2"/>
      <c r="R273" s="497">
        <f t="shared" ref="R273:AW273" si="366">(R241-R249)*R$230</f>
        <v>-17404.943516372063</v>
      </c>
      <c r="S273" s="497">
        <f t="shared" si="366"/>
        <v>-17404.943516372063</v>
      </c>
      <c r="T273" s="497">
        <f t="shared" si="366"/>
        <v>-17404.943516372063</v>
      </c>
      <c r="U273" s="497">
        <f t="shared" si="366"/>
        <v>-17404.943516372063</v>
      </c>
      <c r="V273" s="497">
        <f t="shared" si="366"/>
        <v>-17404.943516372063</v>
      </c>
      <c r="W273" s="497">
        <f t="shared" si="366"/>
        <v>-17404.943516372063</v>
      </c>
      <c r="X273" s="497">
        <f t="shared" si="366"/>
        <v>-17404.943516372063</v>
      </c>
      <c r="Y273" s="497">
        <f t="shared" si="366"/>
        <v>-17404.943516372063</v>
      </c>
      <c r="Z273" s="497">
        <f t="shared" si="366"/>
        <v>-17404.943516372063</v>
      </c>
      <c r="AA273" s="497">
        <f t="shared" si="366"/>
        <v>-17404.943516372063</v>
      </c>
      <c r="AB273" s="497">
        <f t="shared" si="366"/>
        <v>-17404.943516372063</v>
      </c>
      <c r="AC273" s="497">
        <f t="shared" si="366"/>
        <v>-17404.943516372063</v>
      </c>
      <c r="AD273" s="497">
        <f t="shared" si="366"/>
        <v>-18156.369765467116</v>
      </c>
      <c r="AE273" s="497">
        <f t="shared" si="366"/>
        <v>-18156.369765467116</v>
      </c>
      <c r="AF273" s="497">
        <f t="shared" si="366"/>
        <v>-18156.369765467116</v>
      </c>
      <c r="AG273" s="497">
        <f t="shared" si="366"/>
        <v>-18156.369765467116</v>
      </c>
      <c r="AH273" s="497">
        <f t="shared" si="366"/>
        <v>-18156.369765467116</v>
      </c>
      <c r="AI273" s="497">
        <f t="shared" si="366"/>
        <v>-18156.369765467116</v>
      </c>
      <c r="AJ273" s="497">
        <f t="shared" si="366"/>
        <v>-18156.369765467116</v>
      </c>
      <c r="AK273" s="497">
        <f t="shared" si="366"/>
        <v>-18156.369765467116</v>
      </c>
      <c r="AL273" s="497">
        <f t="shared" si="366"/>
        <v>-18156.369765467116</v>
      </c>
      <c r="AM273" s="497">
        <f t="shared" si="366"/>
        <v>-18156.369765467116</v>
      </c>
      <c r="AN273" s="527">
        <f t="shared" si="366"/>
        <v>-18156.369765467116</v>
      </c>
      <c r="AO273" s="527">
        <f t="shared" si="366"/>
        <v>-18156.369765467116</v>
      </c>
      <c r="AP273" s="527">
        <f t="shared" si="366"/>
        <v>-18908.933882028145</v>
      </c>
      <c r="AQ273" s="527">
        <f t="shared" si="366"/>
        <v>-18908.933882028145</v>
      </c>
      <c r="AR273" s="527">
        <f t="shared" si="366"/>
        <v>-18908.933882028145</v>
      </c>
      <c r="AS273" s="527">
        <f t="shared" si="366"/>
        <v>-18908.933882028145</v>
      </c>
      <c r="AT273" s="527">
        <f t="shared" si="366"/>
        <v>-18908.933882028145</v>
      </c>
      <c r="AU273" s="527">
        <f t="shared" si="366"/>
        <v>-18908.933882028145</v>
      </c>
      <c r="AV273" s="527">
        <f t="shared" si="366"/>
        <v>-18908.933882028145</v>
      </c>
      <c r="AW273" s="527">
        <f t="shared" si="366"/>
        <v>-18908.933882028145</v>
      </c>
      <c r="AX273" s="527">
        <f t="shared" ref="AX273:BY273" si="367">(AX241-AX249)*AX$230</f>
        <v>-18908.933882028145</v>
      </c>
      <c r="AY273" s="527">
        <f t="shared" si="367"/>
        <v>-18908.933882028145</v>
      </c>
      <c r="AZ273" s="527">
        <f t="shared" si="367"/>
        <v>-18908.933882028145</v>
      </c>
      <c r="BA273" s="527">
        <f t="shared" si="367"/>
        <v>-18908.933882028145</v>
      </c>
      <c r="BB273" s="527">
        <f t="shared" si="367"/>
        <v>-19657.701761107306</v>
      </c>
      <c r="BC273" s="527">
        <f t="shared" si="367"/>
        <v>-19657.701761107306</v>
      </c>
      <c r="BD273" s="527">
        <f t="shared" si="367"/>
        <v>-19657.701761107306</v>
      </c>
      <c r="BE273" s="527">
        <f t="shared" si="367"/>
        <v>-19657.701761107306</v>
      </c>
      <c r="BF273" s="527">
        <f t="shared" si="367"/>
        <v>-19657.701761107306</v>
      </c>
      <c r="BG273" s="527">
        <f t="shared" si="367"/>
        <v>-19657.701761107306</v>
      </c>
      <c r="BH273" s="527">
        <f t="shared" si="367"/>
        <v>-22923.072174312034</v>
      </c>
      <c r="BI273" s="527">
        <f t="shared" si="367"/>
        <v>-22923.072174312034</v>
      </c>
      <c r="BJ273" s="527">
        <f t="shared" si="367"/>
        <v>-22923.072174312034</v>
      </c>
      <c r="BK273" s="527">
        <f t="shared" si="367"/>
        <v>-22923.072174312034</v>
      </c>
      <c r="BL273" s="527">
        <f t="shared" si="367"/>
        <v>-22923.072174312034</v>
      </c>
      <c r="BM273" s="527">
        <f t="shared" si="367"/>
        <v>-22923.072174312034</v>
      </c>
      <c r="BN273" s="527">
        <f t="shared" si="367"/>
        <v>-23121.459716155528</v>
      </c>
      <c r="BO273" s="527">
        <f t="shared" si="367"/>
        <v>-23121.459716155528</v>
      </c>
      <c r="BP273" s="527">
        <f t="shared" si="367"/>
        <v>-23121.459716155528</v>
      </c>
      <c r="BQ273" s="527">
        <f t="shared" si="367"/>
        <v>-23121.459716155528</v>
      </c>
      <c r="BR273" s="527">
        <f t="shared" si="367"/>
        <v>-23121.459716155528</v>
      </c>
      <c r="BS273" s="527">
        <f t="shared" si="367"/>
        <v>-23121.459716155528</v>
      </c>
      <c r="BT273" s="527">
        <f t="shared" si="367"/>
        <v>-23902.543800055668</v>
      </c>
      <c r="BU273" s="527">
        <f t="shared" si="367"/>
        <v>-23902.543800055668</v>
      </c>
      <c r="BV273" s="527">
        <f t="shared" si="367"/>
        <v>-23902.543800055668</v>
      </c>
      <c r="BW273" s="527">
        <f t="shared" si="367"/>
        <v>-23902.543800055668</v>
      </c>
      <c r="BX273" s="527">
        <f t="shared" si="367"/>
        <v>-23902.543800055668</v>
      </c>
      <c r="BY273" s="527">
        <f t="shared" si="367"/>
        <v>-23902.543800055668</v>
      </c>
    </row>
    <row r="274" spans="3:77" x14ac:dyDescent="0.3">
      <c r="C274" s="2"/>
      <c r="D274" s="2"/>
      <c r="E274" s="119" t="str">
        <f>"BCF discounts: "&amp;E$159</f>
        <v>BCF discounts: FY31 Tranche</v>
      </c>
      <c r="F274" s="2"/>
      <c r="G274" s="2"/>
      <c r="H274" s="2"/>
      <c r="I274" s="2"/>
      <c r="J274" s="2"/>
      <c r="K274" s="2"/>
      <c r="L274" s="2"/>
      <c r="M274" s="2"/>
      <c r="N274" s="2"/>
      <c r="O274" s="2"/>
      <c r="P274" s="10"/>
      <c r="Q274" s="2"/>
      <c r="R274" s="497">
        <f t="shared" ref="R274:AW274" si="368">(R242-R250)*R$230</f>
        <v>-17404.943516372063</v>
      </c>
      <c r="S274" s="497">
        <f t="shared" si="368"/>
        <v>-17404.943516372063</v>
      </c>
      <c r="T274" s="497">
        <f t="shared" si="368"/>
        <v>-17404.943516372063</v>
      </c>
      <c r="U274" s="497">
        <f t="shared" si="368"/>
        <v>-17404.943516372063</v>
      </c>
      <c r="V274" s="497">
        <f t="shared" si="368"/>
        <v>-17404.943516372063</v>
      </c>
      <c r="W274" s="497">
        <f t="shared" si="368"/>
        <v>-17404.943516372063</v>
      </c>
      <c r="X274" s="497">
        <f t="shared" si="368"/>
        <v>-17404.943516372063</v>
      </c>
      <c r="Y274" s="497">
        <f t="shared" si="368"/>
        <v>-17404.943516372063</v>
      </c>
      <c r="Z274" s="497">
        <f t="shared" si="368"/>
        <v>-17404.943516372063</v>
      </c>
      <c r="AA274" s="497">
        <f t="shared" si="368"/>
        <v>-17404.943516372063</v>
      </c>
      <c r="AB274" s="497">
        <f t="shared" si="368"/>
        <v>-17404.943516372063</v>
      </c>
      <c r="AC274" s="497">
        <f t="shared" si="368"/>
        <v>-17404.943516372063</v>
      </c>
      <c r="AD274" s="497">
        <f t="shared" si="368"/>
        <v>-18156.369765467116</v>
      </c>
      <c r="AE274" s="497">
        <f t="shared" si="368"/>
        <v>-18156.369765467116</v>
      </c>
      <c r="AF274" s="497">
        <f t="shared" si="368"/>
        <v>-18156.369765467116</v>
      </c>
      <c r="AG274" s="497">
        <f t="shared" si="368"/>
        <v>-18156.369765467116</v>
      </c>
      <c r="AH274" s="497">
        <f t="shared" si="368"/>
        <v>-18156.369765467116</v>
      </c>
      <c r="AI274" s="497">
        <f t="shared" si="368"/>
        <v>-18156.369765467116</v>
      </c>
      <c r="AJ274" s="497">
        <f t="shared" si="368"/>
        <v>-18156.369765467116</v>
      </c>
      <c r="AK274" s="497">
        <f t="shared" si="368"/>
        <v>-18156.369765467116</v>
      </c>
      <c r="AL274" s="497">
        <f t="shared" si="368"/>
        <v>-18156.369765467116</v>
      </c>
      <c r="AM274" s="497">
        <f t="shared" si="368"/>
        <v>-18156.369765467116</v>
      </c>
      <c r="AN274" s="527">
        <f t="shared" si="368"/>
        <v>-18156.369765467116</v>
      </c>
      <c r="AO274" s="527">
        <f t="shared" si="368"/>
        <v>-18156.369765467116</v>
      </c>
      <c r="AP274" s="527">
        <f t="shared" si="368"/>
        <v>-18908.933882028145</v>
      </c>
      <c r="AQ274" s="527">
        <f t="shared" si="368"/>
        <v>-18908.933882028145</v>
      </c>
      <c r="AR274" s="527">
        <f t="shared" si="368"/>
        <v>-18908.933882028145</v>
      </c>
      <c r="AS274" s="527">
        <f t="shared" si="368"/>
        <v>-18908.933882028145</v>
      </c>
      <c r="AT274" s="527">
        <f t="shared" si="368"/>
        <v>-18908.933882028145</v>
      </c>
      <c r="AU274" s="527">
        <f t="shared" si="368"/>
        <v>-18908.933882028145</v>
      </c>
      <c r="AV274" s="527">
        <f t="shared" si="368"/>
        <v>-18908.933882028145</v>
      </c>
      <c r="AW274" s="527">
        <f t="shared" si="368"/>
        <v>-18908.933882028145</v>
      </c>
      <c r="AX274" s="527">
        <f t="shared" ref="AX274:BY274" si="369">(AX242-AX250)*AX$230</f>
        <v>-18908.933882028145</v>
      </c>
      <c r="AY274" s="527">
        <f t="shared" si="369"/>
        <v>-18908.933882028145</v>
      </c>
      <c r="AZ274" s="527">
        <f t="shared" si="369"/>
        <v>-18908.933882028145</v>
      </c>
      <c r="BA274" s="527">
        <f t="shared" si="369"/>
        <v>-18908.933882028145</v>
      </c>
      <c r="BB274" s="527">
        <f t="shared" si="369"/>
        <v>-19657.701761107306</v>
      </c>
      <c r="BC274" s="527">
        <f t="shared" si="369"/>
        <v>-19657.701761107306</v>
      </c>
      <c r="BD274" s="527">
        <f t="shared" si="369"/>
        <v>-19657.701761107306</v>
      </c>
      <c r="BE274" s="527">
        <f t="shared" si="369"/>
        <v>-19657.701761107306</v>
      </c>
      <c r="BF274" s="527">
        <f t="shared" si="369"/>
        <v>-19657.701761107306</v>
      </c>
      <c r="BG274" s="527">
        <f t="shared" si="369"/>
        <v>-19657.701761107306</v>
      </c>
      <c r="BH274" s="527">
        <f t="shared" si="369"/>
        <v>-19657.701761107306</v>
      </c>
      <c r="BI274" s="527">
        <f t="shared" si="369"/>
        <v>-19657.701761107306</v>
      </c>
      <c r="BJ274" s="527">
        <f t="shared" si="369"/>
        <v>-19657.701761107306</v>
      </c>
      <c r="BK274" s="527">
        <f t="shared" si="369"/>
        <v>-19657.701761107306</v>
      </c>
      <c r="BL274" s="527">
        <f t="shared" si="369"/>
        <v>-19657.701761107306</v>
      </c>
      <c r="BM274" s="527">
        <f t="shared" si="369"/>
        <v>-19657.701761107306</v>
      </c>
      <c r="BN274" s="527">
        <f t="shared" si="369"/>
        <v>-20432.220596166648</v>
      </c>
      <c r="BO274" s="527">
        <f t="shared" si="369"/>
        <v>-20432.220596166648</v>
      </c>
      <c r="BP274" s="527">
        <f t="shared" si="369"/>
        <v>-20432.220596166648</v>
      </c>
      <c r="BQ274" s="527">
        <f t="shared" si="369"/>
        <v>-20432.220596166648</v>
      </c>
      <c r="BR274" s="527">
        <f t="shared" si="369"/>
        <v>-20432.220596166648</v>
      </c>
      <c r="BS274" s="527">
        <f t="shared" si="369"/>
        <v>-20432.220596166648</v>
      </c>
      <c r="BT274" s="527">
        <f t="shared" si="369"/>
        <v>-23744.837651039761</v>
      </c>
      <c r="BU274" s="527">
        <f t="shared" si="369"/>
        <v>-23744.837651039761</v>
      </c>
      <c r="BV274" s="527">
        <f t="shared" si="369"/>
        <v>-23744.837651039761</v>
      </c>
      <c r="BW274" s="527">
        <f t="shared" si="369"/>
        <v>-23744.837651039761</v>
      </c>
      <c r="BX274" s="527">
        <f t="shared" si="369"/>
        <v>-23744.837651039761</v>
      </c>
      <c r="BY274" s="527">
        <f t="shared" si="369"/>
        <v>-23744.837651039761</v>
      </c>
    </row>
    <row r="275" spans="3:77" x14ac:dyDescent="0.3">
      <c r="C275" s="2"/>
      <c r="D275" s="2"/>
      <c r="E275" s="119" t="str">
        <f>"BCF discounts: "&amp;E$160</f>
        <v>BCF discounts: Uninvested Tranche</v>
      </c>
      <c r="F275" s="2"/>
      <c r="G275" s="2"/>
      <c r="H275" s="2"/>
      <c r="I275" s="2"/>
      <c r="J275" s="2"/>
      <c r="K275" s="2"/>
      <c r="L275" s="2"/>
      <c r="M275" s="2"/>
      <c r="N275" s="2"/>
      <c r="O275" s="2"/>
      <c r="P275" s="10"/>
      <c r="Q275" s="2"/>
      <c r="R275" s="497">
        <f t="shared" ref="R275:AW275" si="370">(R243-R251)*R$230</f>
        <v>-48733.841845841795</v>
      </c>
      <c r="S275" s="497">
        <f t="shared" si="370"/>
        <v>-48733.841845841795</v>
      </c>
      <c r="T275" s="497">
        <f t="shared" si="370"/>
        <v>-48733.841845841795</v>
      </c>
      <c r="U275" s="497">
        <f t="shared" si="370"/>
        <v>-48733.841845841795</v>
      </c>
      <c r="V275" s="497">
        <f t="shared" si="370"/>
        <v>-48733.841845841795</v>
      </c>
      <c r="W275" s="497">
        <f t="shared" si="370"/>
        <v>-48733.841845841795</v>
      </c>
      <c r="X275" s="497">
        <f t="shared" si="370"/>
        <v>-48733.841845841795</v>
      </c>
      <c r="Y275" s="497">
        <f t="shared" si="370"/>
        <v>-48733.841845841795</v>
      </c>
      <c r="Z275" s="497">
        <f t="shared" si="370"/>
        <v>-48733.841845841795</v>
      </c>
      <c r="AA275" s="497">
        <f t="shared" si="370"/>
        <v>-48733.841845841795</v>
      </c>
      <c r="AB275" s="497">
        <f t="shared" si="370"/>
        <v>-48733.841845841795</v>
      </c>
      <c r="AC275" s="497">
        <f t="shared" si="370"/>
        <v>-48733.841845841795</v>
      </c>
      <c r="AD275" s="497">
        <f t="shared" si="370"/>
        <v>-50837.835343307925</v>
      </c>
      <c r="AE275" s="497">
        <f t="shared" si="370"/>
        <v>-50837.835343307925</v>
      </c>
      <c r="AF275" s="497">
        <f t="shared" si="370"/>
        <v>-50837.835343307925</v>
      </c>
      <c r="AG275" s="497">
        <f t="shared" si="370"/>
        <v>-50837.835343307925</v>
      </c>
      <c r="AH275" s="497">
        <f t="shared" si="370"/>
        <v>-50837.835343307925</v>
      </c>
      <c r="AI275" s="497">
        <f t="shared" si="370"/>
        <v>-50837.835343307925</v>
      </c>
      <c r="AJ275" s="497">
        <f t="shared" si="370"/>
        <v>-50837.835343307925</v>
      </c>
      <c r="AK275" s="497">
        <f t="shared" si="370"/>
        <v>-50837.835343307925</v>
      </c>
      <c r="AL275" s="497">
        <f t="shared" si="370"/>
        <v>-50837.835343307925</v>
      </c>
      <c r="AM275" s="497">
        <f t="shared" si="370"/>
        <v>-50837.835343307925</v>
      </c>
      <c r="AN275" s="527">
        <f t="shared" si="370"/>
        <v>-50837.835343307925</v>
      </c>
      <c r="AO275" s="527">
        <f t="shared" si="370"/>
        <v>-50837.835343307925</v>
      </c>
      <c r="AP275" s="527">
        <f t="shared" si="370"/>
        <v>-52945.014869678809</v>
      </c>
      <c r="AQ275" s="527">
        <f t="shared" si="370"/>
        <v>-52945.014869678809</v>
      </c>
      <c r="AR275" s="527">
        <f t="shared" si="370"/>
        <v>-52945.014869678809</v>
      </c>
      <c r="AS275" s="527">
        <f t="shared" si="370"/>
        <v>-52945.014869678809</v>
      </c>
      <c r="AT275" s="527">
        <f t="shared" si="370"/>
        <v>-52945.014869678809</v>
      </c>
      <c r="AU275" s="527">
        <f t="shared" si="370"/>
        <v>-52945.014869678809</v>
      </c>
      <c r="AV275" s="527">
        <f t="shared" si="370"/>
        <v>-52945.014869678809</v>
      </c>
      <c r="AW275" s="527">
        <f t="shared" si="370"/>
        <v>-52945.014869678809</v>
      </c>
      <c r="AX275" s="527">
        <f t="shared" ref="AX275:BY275" si="371">(AX243-AX251)*AX$230</f>
        <v>-52945.014869678809</v>
      </c>
      <c r="AY275" s="527">
        <f t="shared" si="371"/>
        <v>-52945.014869678809</v>
      </c>
      <c r="AZ275" s="527">
        <f t="shared" si="371"/>
        <v>-52945.014869678809</v>
      </c>
      <c r="BA275" s="527">
        <f t="shared" si="371"/>
        <v>-52945.014869678809</v>
      </c>
      <c r="BB275" s="527">
        <f t="shared" si="371"/>
        <v>-55041.564931100438</v>
      </c>
      <c r="BC275" s="527">
        <f t="shared" si="371"/>
        <v>-55041.564931100438</v>
      </c>
      <c r="BD275" s="527">
        <f t="shared" si="371"/>
        <v>-55041.564931100438</v>
      </c>
      <c r="BE275" s="527">
        <f t="shared" si="371"/>
        <v>-55041.564931100438</v>
      </c>
      <c r="BF275" s="527">
        <f t="shared" si="371"/>
        <v>-55041.564931100438</v>
      </c>
      <c r="BG275" s="527">
        <f t="shared" si="371"/>
        <v>-55041.564931100438</v>
      </c>
      <c r="BH275" s="527">
        <f t="shared" si="371"/>
        <v>-55041.564931100438</v>
      </c>
      <c r="BI275" s="527">
        <f t="shared" si="371"/>
        <v>-55041.564931100438</v>
      </c>
      <c r="BJ275" s="527">
        <f t="shared" si="371"/>
        <v>-55041.564931100438</v>
      </c>
      <c r="BK275" s="527">
        <f t="shared" si="371"/>
        <v>-55041.564931100438</v>
      </c>
      <c r="BL275" s="527">
        <f t="shared" si="371"/>
        <v>-55041.564931100438</v>
      </c>
      <c r="BM275" s="527">
        <f t="shared" si="371"/>
        <v>-55041.564931100438</v>
      </c>
      <c r="BN275" s="527">
        <f t="shared" si="371"/>
        <v>-57210.217669266611</v>
      </c>
      <c r="BO275" s="527">
        <f t="shared" si="371"/>
        <v>-57210.217669266611</v>
      </c>
      <c r="BP275" s="527">
        <f t="shared" si="371"/>
        <v>-57210.217669266611</v>
      </c>
      <c r="BQ275" s="527">
        <f t="shared" si="371"/>
        <v>-57210.217669266611</v>
      </c>
      <c r="BR275" s="527">
        <f t="shared" si="371"/>
        <v>-57210.217669266611</v>
      </c>
      <c r="BS275" s="527">
        <f t="shared" si="371"/>
        <v>-57210.217669266611</v>
      </c>
      <c r="BT275" s="527">
        <f t="shared" si="371"/>
        <v>-57210.217669266611</v>
      </c>
      <c r="BU275" s="527">
        <f t="shared" si="371"/>
        <v>-57210.217669266611</v>
      </c>
      <c r="BV275" s="527">
        <f t="shared" si="371"/>
        <v>-57210.217669266611</v>
      </c>
      <c r="BW275" s="527">
        <f t="shared" si="371"/>
        <v>-57210.217669266611</v>
      </c>
      <c r="BX275" s="527">
        <f t="shared" si="371"/>
        <v>-57210.217669266611</v>
      </c>
      <c r="BY275" s="527">
        <f t="shared" si="371"/>
        <v>-57210.217669266611</v>
      </c>
    </row>
    <row r="276" spans="3:77" x14ac:dyDescent="0.3">
      <c r="C276" s="2"/>
      <c r="D276" s="2"/>
      <c r="E276" s="4" t="s">
        <v>36</v>
      </c>
      <c r="F276" s="4"/>
      <c r="G276" s="4"/>
      <c r="H276" s="4"/>
      <c r="I276" s="4"/>
      <c r="J276" s="4"/>
      <c r="K276" s="4"/>
      <c r="L276" s="4"/>
      <c r="M276" s="4"/>
      <c r="N276" s="4"/>
      <c r="O276" s="4"/>
      <c r="P276" s="106"/>
      <c r="Q276" s="4"/>
      <c r="R276" s="498">
        <f t="shared" ref="R276:AW276" si="372">SUM(R270:R275)</f>
        <v>-135758.5594277021</v>
      </c>
      <c r="S276" s="498">
        <f t="shared" si="372"/>
        <v>-135758.5594277021</v>
      </c>
      <c r="T276" s="498">
        <f t="shared" si="372"/>
        <v>-135758.5594277021</v>
      </c>
      <c r="U276" s="498">
        <f t="shared" si="372"/>
        <v>-135758.5594277021</v>
      </c>
      <c r="V276" s="498">
        <f t="shared" si="372"/>
        <v>-135758.5594277021</v>
      </c>
      <c r="W276" s="498">
        <f t="shared" si="372"/>
        <v>-135758.5594277021</v>
      </c>
      <c r="X276" s="498">
        <f t="shared" si="372"/>
        <v>-138867.55483659395</v>
      </c>
      <c r="Y276" s="498">
        <f t="shared" si="372"/>
        <v>-138867.55483659395</v>
      </c>
      <c r="Z276" s="498">
        <f t="shared" si="372"/>
        <v>-138867.55483659395</v>
      </c>
      <c r="AA276" s="498">
        <f t="shared" si="372"/>
        <v>-138867.55483659395</v>
      </c>
      <c r="AB276" s="498">
        <f t="shared" si="372"/>
        <v>-138867.55483659395</v>
      </c>
      <c r="AC276" s="498">
        <f t="shared" si="372"/>
        <v>-138867.55483659395</v>
      </c>
      <c r="AD276" s="498">
        <f t="shared" si="372"/>
        <v>-144129.13672160351</v>
      </c>
      <c r="AE276" s="498">
        <f t="shared" si="372"/>
        <v>-144129.13672160351</v>
      </c>
      <c r="AF276" s="498">
        <f t="shared" si="372"/>
        <v>-144129.13672160351</v>
      </c>
      <c r="AG276" s="498">
        <f t="shared" si="372"/>
        <v>-144129.13672160351</v>
      </c>
      <c r="AH276" s="498">
        <f t="shared" si="372"/>
        <v>-144129.13672160351</v>
      </c>
      <c r="AI276" s="498">
        <f t="shared" si="372"/>
        <v>-144129.13672160351</v>
      </c>
      <c r="AJ276" s="498">
        <f t="shared" si="372"/>
        <v>-148008.92388685301</v>
      </c>
      <c r="AK276" s="498">
        <f t="shared" si="372"/>
        <v>-148008.92388685301</v>
      </c>
      <c r="AL276" s="498">
        <f t="shared" si="372"/>
        <v>-148008.92388685301</v>
      </c>
      <c r="AM276" s="498">
        <f t="shared" si="372"/>
        <v>-148008.92388685301</v>
      </c>
      <c r="AN276" s="530">
        <f t="shared" si="372"/>
        <v>-148008.92388685301</v>
      </c>
      <c r="AO276" s="530">
        <f t="shared" si="372"/>
        <v>-148008.92388685301</v>
      </c>
      <c r="AP276" s="530">
        <f t="shared" si="372"/>
        <v>-152698.65180912212</v>
      </c>
      <c r="AQ276" s="530">
        <f t="shared" si="372"/>
        <v>-152698.65180912212</v>
      </c>
      <c r="AR276" s="530">
        <f t="shared" si="372"/>
        <v>-152698.65180912212</v>
      </c>
      <c r="AS276" s="530">
        <f t="shared" si="372"/>
        <v>-152698.65180912212</v>
      </c>
      <c r="AT276" s="530">
        <f t="shared" si="372"/>
        <v>-152698.65180912212</v>
      </c>
      <c r="AU276" s="530">
        <f t="shared" si="372"/>
        <v>-152698.65180912212</v>
      </c>
      <c r="AV276" s="530">
        <f t="shared" si="372"/>
        <v>-157393.60962924513</v>
      </c>
      <c r="AW276" s="530">
        <f t="shared" si="372"/>
        <v>-157393.60962924513</v>
      </c>
      <c r="AX276" s="530">
        <f t="shared" ref="AX276:BY276" si="373">SUM(AX270:AX275)</f>
        <v>-157393.60962924513</v>
      </c>
      <c r="AY276" s="530">
        <f t="shared" si="373"/>
        <v>-157393.60962924513</v>
      </c>
      <c r="AZ276" s="530">
        <f t="shared" si="373"/>
        <v>-157393.60962924513</v>
      </c>
      <c r="BA276" s="530">
        <f t="shared" si="373"/>
        <v>-157393.60962924513</v>
      </c>
      <c r="BB276" s="530">
        <f t="shared" si="373"/>
        <v>-161528.87635336886</v>
      </c>
      <c r="BC276" s="530">
        <f t="shared" si="373"/>
        <v>-161528.87635336886</v>
      </c>
      <c r="BD276" s="530">
        <f t="shared" si="373"/>
        <v>-161528.87635336886</v>
      </c>
      <c r="BE276" s="530">
        <f t="shared" si="373"/>
        <v>-161528.87635336886</v>
      </c>
      <c r="BF276" s="530">
        <f t="shared" si="373"/>
        <v>-161528.87635336886</v>
      </c>
      <c r="BG276" s="530">
        <f t="shared" si="373"/>
        <v>-161528.87635336886</v>
      </c>
      <c r="BH276" s="530">
        <f t="shared" si="373"/>
        <v>-167085.26434093993</v>
      </c>
      <c r="BI276" s="530">
        <f t="shared" si="373"/>
        <v>-167085.26434093993</v>
      </c>
      <c r="BJ276" s="530">
        <f t="shared" si="373"/>
        <v>-167085.26434093993</v>
      </c>
      <c r="BK276" s="530">
        <f t="shared" si="373"/>
        <v>-167085.26434093993</v>
      </c>
      <c r="BL276" s="530">
        <f t="shared" si="373"/>
        <v>-167085.26434093993</v>
      </c>
      <c r="BM276" s="530">
        <f t="shared" si="373"/>
        <v>-167085.26434093993</v>
      </c>
      <c r="BN276" s="530">
        <f t="shared" si="373"/>
        <v>-170818.55196786555</v>
      </c>
      <c r="BO276" s="530">
        <f t="shared" si="373"/>
        <v>-170818.55196786555</v>
      </c>
      <c r="BP276" s="530">
        <f t="shared" si="373"/>
        <v>-170818.55196786555</v>
      </c>
      <c r="BQ276" s="530">
        <f t="shared" si="373"/>
        <v>-170818.55196786555</v>
      </c>
      <c r="BR276" s="530">
        <f t="shared" si="373"/>
        <v>-170818.55196786555</v>
      </c>
      <c r="BS276" s="530">
        <f t="shared" si="373"/>
        <v>-170818.55196786555</v>
      </c>
      <c r="BT276" s="530">
        <f t="shared" si="373"/>
        <v>-177283.11635185167</v>
      </c>
      <c r="BU276" s="530">
        <f t="shared" si="373"/>
        <v>-177283.11635185167</v>
      </c>
      <c r="BV276" s="530">
        <f t="shared" si="373"/>
        <v>-177283.11635185167</v>
      </c>
      <c r="BW276" s="530">
        <f t="shared" si="373"/>
        <v>-177283.11635185167</v>
      </c>
      <c r="BX276" s="530">
        <f t="shared" si="373"/>
        <v>-177283.11635185167</v>
      </c>
      <c r="BY276" s="530">
        <f t="shared" si="373"/>
        <v>-177283.11635185167</v>
      </c>
    </row>
    <row r="277" spans="3:77" x14ac:dyDescent="0.3">
      <c r="C277" s="2"/>
      <c r="D277" s="2"/>
      <c r="E277" s="2"/>
      <c r="F277" s="2"/>
      <c r="G277" s="2"/>
      <c r="H277" s="2"/>
      <c r="I277" s="2"/>
      <c r="J277" s="2"/>
      <c r="K277" s="2"/>
      <c r="L277" s="2"/>
      <c r="M277" s="2"/>
      <c r="N277" s="2"/>
      <c r="O277" s="2"/>
      <c r="P277" s="10"/>
      <c r="Q277" s="2"/>
      <c r="R277" s="2"/>
      <c r="S277" s="2"/>
      <c r="T277" s="2"/>
      <c r="U277" s="2"/>
      <c r="V277" s="2"/>
      <c r="W277" s="2"/>
      <c r="X277" s="2"/>
      <c r="Y277" s="2"/>
      <c r="Z277" s="2"/>
      <c r="AA277" s="2"/>
      <c r="AB277" s="2"/>
      <c r="AC277" s="2"/>
      <c r="AD277" s="2"/>
      <c r="AE277" s="2"/>
      <c r="AF277" s="2"/>
      <c r="AG277" s="2"/>
      <c r="AH277" s="2"/>
      <c r="AI277" s="2"/>
      <c r="AJ277" s="2"/>
      <c r="AK277" s="2"/>
      <c r="AL277" s="2"/>
      <c r="AM277" s="2"/>
      <c r="AN277" s="525"/>
      <c r="AO277" s="525"/>
      <c r="AP277" s="525"/>
      <c r="AQ277" s="525"/>
      <c r="AR277" s="525"/>
      <c r="AS277" s="525"/>
      <c r="AT277" s="525"/>
      <c r="AU277" s="525"/>
      <c r="AV277" s="525"/>
      <c r="AW277" s="525"/>
      <c r="AX277" s="525"/>
      <c r="AY277" s="525"/>
      <c r="AZ277" s="525"/>
      <c r="BA277" s="525"/>
      <c r="BB277" s="525"/>
      <c r="BC277" s="525"/>
      <c r="BD277" s="525"/>
      <c r="BE277" s="525"/>
      <c r="BF277" s="525"/>
      <c r="BG277" s="525"/>
      <c r="BH277" s="525"/>
      <c r="BI277" s="525"/>
      <c r="BJ277" s="525"/>
      <c r="BK277" s="525"/>
      <c r="BL277" s="525"/>
      <c r="BM277" s="525"/>
      <c r="BN277" s="525"/>
      <c r="BO277" s="525"/>
      <c r="BP277" s="525"/>
      <c r="BQ277" s="525"/>
      <c r="BR277" s="525"/>
      <c r="BS277" s="525"/>
      <c r="BT277" s="525"/>
      <c r="BU277" s="525"/>
      <c r="BV277" s="525"/>
      <c r="BW277" s="525"/>
      <c r="BX277" s="525"/>
      <c r="BY277" s="525"/>
    </row>
    <row r="278" spans="3:77" x14ac:dyDescent="0.3">
      <c r="C278" s="2"/>
      <c r="D278" s="2"/>
      <c r="E278" s="120" t="s">
        <v>108</v>
      </c>
      <c r="F278" s="120"/>
      <c r="G278" s="120"/>
      <c r="H278" s="120"/>
      <c r="I278" s="120"/>
      <c r="J278" s="120"/>
      <c r="K278" s="120"/>
      <c r="L278" s="120"/>
      <c r="M278" s="120"/>
      <c r="N278" s="120"/>
      <c r="O278" s="120"/>
      <c r="P278" s="121"/>
      <c r="Q278" s="120"/>
      <c r="R278" s="518">
        <f t="shared" ref="R278:AW278" si="374">R252+R260+R268+R276-R244</f>
        <v>0</v>
      </c>
      <c r="S278" s="518">
        <f t="shared" si="374"/>
        <v>0</v>
      </c>
      <c r="T278" s="518">
        <f t="shared" si="374"/>
        <v>0</v>
      </c>
      <c r="U278" s="518">
        <f t="shared" si="374"/>
        <v>0</v>
      </c>
      <c r="V278" s="518">
        <f t="shared" si="374"/>
        <v>0</v>
      </c>
      <c r="W278" s="518">
        <f t="shared" si="374"/>
        <v>0</v>
      </c>
      <c r="X278" s="518">
        <f t="shared" si="374"/>
        <v>0</v>
      </c>
      <c r="Y278" s="518">
        <f t="shared" si="374"/>
        <v>0</v>
      </c>
      <c r="Z278" s="518">
        <f t="shared" si="374"/>
        <v>0</v>
      </c>
      <c r="AA278" s="518">
        <f t="shared" si="374"/>
        <v>0</v>
      </c>
      <c r="AB278" s="518">
        <f t="shared" si="374"/>
        <v>0</v>
      </c>
      <c r="AC278" s="518">
        <f t="shared" si="374"/>
        <v>0</v>
      </c>
      <c r="AD278" s="518">
        <f t="shared" si="374"/>
        <v>0</v>
      </c>
      <c r="AE278" s="518">
        <f t="shared" si="374"/>
        <v>0</v>
      </c>
      <c r="AF278" s="518">
        <f t="shared" si="374"/>
        <v>0</v>
      </c>
      <c r="AG278" s="518">
        <f t="shared" si="374"/>
        <v>0</v>
      </c>
      <c r="AH278" s="518">
        <f t="shared" si="374"/>
        <v>0</v>
      </c>
      <c r="AI278" s="518">
        <f t="shared" si="374"/>
        <v>0</v>
      </c>
      <c r="AJ278" s="518">
        <f t="shared" si="374"/>
        <v>0</v>
      </c>
      <c r="AK278" s="518">
        <f t="shared" si="374"/>
        <v>0</v>
      </c>
      <c r="AL278" s="518">
        <f t="shared" si="374"/>
        <v>0</v>
      </c>
      <c r="AM278" s="518">
        <f t="shared" si="374"/>
        <v>0</v>
      </c>
      <c r="AN278" s="541">
        <f t="shared" si="374"/>
        <v>0</v>
      </c>
      <c r="AO278" s="541">
        <f t="shared" si="374"/>
        <v>0</v>
      </c>
      <c r="AP278" s="541">
        <f t="shared" si="374"/>
        <v>0</v>
      </c>
      <c r="AQ278" s="541">
        <f t="shared" si="374"/>
        <v>0</v>
      </c>
      <c r="AR278" s="541">
        <f t="shared" si="374"/>
        <v>0</v>
      </c>
      <c r="AS278" s="541">
        <f t="shared" si="374"/>
        <v>0</v>
      </c>
      <c r="AT278" s="541">
        <f t="shared" si="374"/>
        <v>0</v>
      </c>
      <c r="AU278" s="541">
        <f t="shared" si="374"/>
        <v>0</v>
      </c>
      <c r="AV278" s="541">
        <f t="shared" si="374"/>
        <v>0</v>
      </c>
      <c r="AW278" s="541">
        <f t="shared" si="374"/>
        <v>0</v>
      </c>
      <c r="AX278" s="541">
        <f t="shared" ref="AX278:BY278" si="375">AX252+AX260+AX268+AX276-AX244</f>
        <v>0</v>
      </c>
      <c r="AY278" s="541">
        <f t="shared" si="375"/>
        <v>0</v>
      </c>
      <c r="AZ278" s="541">
        <f t="shared" si="375"/>
        <v>0</v>
      </c>
      <c r="BA278" s="541">
        <f t="shared" si="375"/>
        <v>0</v>
      </c>
      <c r="BB278" s="541">
        <f t="shared" si="375"/>
        <v>0</v>
      </c>
      <c r="BC278" s="541">
        <f t="shared" si="375"/>
        <v>0</v>
      </c>
      <c r="BD278" s="541">
        <f t="shared" si="375"/>
        <v>0</v>
      </c>
      <c r="BE278" s="541">
        <f t="shared" si="375"/>
        <v>0</v>
      </c>
      <c r="BF278" s="541">
        <f t="shared" si="375"/>
        <v>0</v>
      </c>
      <c r="BG278" s="541">
        <f t="shared" si="375"/>
        <v>0</v>
      </c>
      <c r="BH278" s="541">
        <f t="shared" si="375"/>
        <v>0</v>
      </c>
      <c r="BI278" s="541">
        <f t="shared" si="375"/>
        <v>0</v>
      </c>
      <c r="BJ278" s="541">
        <f t="shared" si="375"/>
        <v>0</v>
      </c>
      <c r="BK278" s="541">
        <f t="shared" si="375"/>
        <v>0</v>
      </c>
      <c r="BL278" s="541">
        <f t="shared" si="375"/>
        <v>0</v>
      </c>
      <c r="BM278" s="541">
        <f t="shared" si="375"/>
        <v>0</v>
      </c>
      <c r="BN278" s="541">
        <f t="shared" si="375"/>
        <v>0</v>
      </c>
      <c r="BO278" s="541">
        <f t="shared" si="375"/>
        <v>0</v>
      </c>
      <c r="BP278" s="541">
        <f t="shared" si="375"/>
        <v>0</v>
      </c>
      <c r="BQ278" s="541">
        <f t="shared" si="375"/>
        <v>0</v>
      </c>
      <c r="BR278" s="541">
        <f t="shared" si="375"/>
        <v>0</v>
      </c>
      <c r="BS278" s="541">
        <f t="shared" si="375"/>
        <v>0</v>
      </c>
      <c r="BT278" s="541">
        <f t="shared" si="375"/>
        <v>0</v>
      </c>
      <c r="BU278" s="541">
        <f t="shared" si="375"/>
        <v>0</v>
      </c>
      <c r="BV278" s="541">
        <f t="shared" si="375"/>
        <v>0</v>
      </c>
      <c r="BW278" s="541">
        <f t="shared" si="375"/>
        <v>0</v>
      </c>
      <c r="BX278" s="541">
        <f t="shared" si="375"/>
        <v>0</v>
      </c>
      <c r="BY278" s="541">
        <f t="shared" si="375"/>
        <v>0</v>
      </c>
    </row>
    <row r="279" spans="3:77" x14ac:dyDescent="0.3">
      <c r="C279" s="2"/>
      <c r="D279" s="2"/>
      <c r="E279" s="2"/>
      <c r="F279" s="2"/>
      <c r="G279" s="2"/>
      <c r="H279" s="2"/>
      <c r="I279" s="2"/>
      <c r="J279" s="2"/>
      <c r="K279" s="2"/>
      <c r="L279" s="2"/>
      <c r="M279" s="2"/>
      <c r="N279" s="2"/>
      <c r="O279" s="2"/>
      <c r="P279" s="10"/>
      <c r="Q279" s="2"/>
      <c r="R279" s="2"/>
      <c r="S279" s="2"/>
      <c r="T279" s="2"/>
      <c r="U279" s="2"/>
      <c r="V279" s="2"/>
      <c r="W279" s="2"/>
      <c r="X279" s="2"/>
      <c r="Y279" s="2"/>
      <c r="Z279" s="2"/>
      <c r="AA279" s="2"/>
      <c r="AB279" s="2"/>
      <c r="AC279" s="2"/>
      <c r="AD279" s="2"/>
      <c r="AE279" s="2"/>
      <c r="AF279" s="2"/>
      <c r="AG279" s="2"/>
      <c r="AH279" s="2"/>
      <c r="AI279" s="2"/>
      <c r="AJ279" s="2"/>
      <c r="AK279" s="2"/>
      <c r="AL279" s="2"/>
      <c r="AM279" s="2"/>
      <c r="AN279" s="525"/>
      <c r="AO279" s="525"/>
      <c r="AP279" s="525"/>
      <c r="AQ279" s="525"/>
      <c r="AR279" s="525"/>
      <c r="AS279" s="525"/>
      <c r="AT279" s="525"/>
      <c r="AU279" s="525"/>
      <c r="AV279" s="525"/>
      <c r="AW279" s="525"/>
      <c r="AX279" s="525"/>
      <c r="AY279" s="525"/>
      <c r="AZ279" s="525"/>
      <c r="BA279" s="525"/>
      <c r="BB279" s="525"/>
      <c r="BC279" s="525"/>
      <c r="BD279" s="525"/>
      <c r="BE279" s="525"/>
      <c r="BF279" s="525"/>
      <c r="BG279" s="525"/>
      <c r="BH279" s="525"/>
      <c r="BI279" s="525"/>
      <c r="BJ279" s="525"/>
      <c r="BK279" s="525"/>
      <c r="BL279" s="525"/>
      <c r="BM279" s="525"/>
      <c r="BN279" s="525"/>
      <c r="BO279" s="525"/>
      <c r="BP279" s="525"/>
      <c r="BQ279" s="525"/>
      <c r="BR279" s="525"/>
      <c r="BS279" s="525"/>
      <c r="BT279" s="525"/>
      <c r="BU279" s="525"/>
      <c r="BV279" s="525"/>
      <c r="BW279" s="525"/>
      <c r="BX279" s="525"/>
      <c r="BY279" s="525"/>
    </row>
    <row r="280" spans="3:77" x14ac:dyDescent="0.3">
      <c r="C280" s="2"/>
      <c r="D280" s="2"/>
      <c r="E280" s="108" t="s">
        <v>109</v>
      </c>
      <c r="F280" s="109"/>
      <c r="G280" s="109"/>
      <c r="H280" s="109"/>
      <c r="I280" s="109"/>
      <c r="J280" s="109"/>
      <c r="K280" s="109"/>
      <c r="L280" s="109"/>
      <c r="M280" s="109"/>
      <c r="N280" s="109"/>
      <c r="O280" s="109"/>
      <c r="P280" s="110"/>
      <c r="Q280" s="109"/>
      <c r="R280" s="109"/>
      <c r="S280" s="109"/>
      <c r="T280" s="109"/>
      <c r="U280" s="109"/>
      <c r="V280" s="109"/>
      <c r="W280" s="109"/>
      <c r="X280" s="109"/>
      <c r="Y280" s="109"/>
      <c r="Z280" s="109"/>
      <c r="AA280" s="109"/>
      <c r="AB280" s="109"/>
      <c r="AC280" s="109"/>
      <c r="AD280" s="109"/>
      <c r="AE280" s="109"/>
      <c r="AF280" s="109"/>
      <c r="AG280" s="109"/>
      <c r="AH280" s="109"/>
      <c r="AI280" s="109"/>
      <c r="AJ280" s="109"/>
      <c r="AK280" s="109"/>
      <c r="AL280" s="109"/>
      <c r="AM280" s="109"/>
      <c r="AN280" s="539"/>
      <c r="AO280" s="539"/>
      <c r="AP280" s="539"/>
      <c r="AQ280" s="539"/>
      <c r="AR280" s="539"/>
      <c r="AS280" s="539"/>
      <c r="AT280" s="539"/>
      <c r="AU280" s="539"/>
      <c r="AV280" s="539"/>
      <c r="AW280" s="539"/>
      <c r="AX280" s="539"/>
      <c r="AY280" s="539"/>
      <c r="AZ280" s="539"/>
      <c r="BA280" s="539"/>
      <c r="BB280" s="539"/>
      <c r="BC280" s="539"/>
      <c r="BD280" s="539"/>
      <c r="BE280" s="539"/>
      <c r="BF280" s="539"/>
      <c r="BG280" s="539"/>
      <c r="BH280" s="539"/>
      <c r="BI280" s="539"/>
      <c r="BJ280" s="539"/>
      <c r="BK280" s="539"/>
      <c r="BL280" s="539"/>
      <c r="BM280" s="539"/>
      <c r="BN280" s="539"/>
      <c r="BO280" s="539"/>
      <c r="BP280" s="539"/>
      <c r="BQ280" s="539"/>
      <c r="BR280" s="539"/>
      <c r="BS280" s="539"/>
      <c r="BT280" s="539"/>
      <c r="BU280" s="539"/>
      <c r="BV280" s="539"/>
      <c r="BW280" s="539"/>
      <c r="BX280" s="539"/>
      <c r="BY280" s="539"/>
    </row>
    <row r="281" spans="3:77" x14ac:dyDescent="0.3">
      <c r="C281" s="2"/>
      <c r="D281" s="2"/>
      <c r="E281" s="2"/>
      <c r="F281" s="2"/>
      <c r="G281" s="2"/>
      <c r="H281" s="2"/>
      <c r="I281" s="2"/>
      <c r="J281" s="2"/>
      <c r="K281" s="2"/>
      <c r="L281" s="2"/>
      <c r="M281" s="2"/>
      <c r="N281" s="2"/>
      <c r="O281" s="2"/>
      <c r="P281" s="10"/>
      <c r="Q281" s="2"/>
      <c r="R281" s="2"/>
      <c r="S281" s="2"/>
      <c r="T281" s="2"/>
      <c r="U281" s="2"/>
      <c r="V281" s="2"/>
      <c r="W281" s="2"/>
      <c r="X281" s="2"/>
      <c r="Y281" s="2"/>
      <c r="Z281" s="2"/>
      <c r="AA281" s="2"/>
      <c r="AB281" s="2"/>
      <c r="AC281" s="2"/>
      <c r="AD281" s="2"/>
      <c r="AE281" s="2"/>
      <c r="AF281" s="2"/>
      <c r="AG281" s="2"/>
      <c r="AH281" s="2"/>
      <c r="AI281" s="2"/>
      <c r="AJ281" s="2"/>
      <c r="AK281" s="2"/>
      <c r="AL281" s="2"/>
      <c r="AM281" s="2"/>
      <c r="AN281" s="525"/>
      <c r="AO281" s="525"/>
      <c r="AP281" s="525"/>
      <c r="AQ281" s="525"/>
      <c r="AR281" s="525"/>
      <c r="AS281" s="525"/>
      <c r="AT281" s="525"/>
      <c r="AU281" s="525"/>
      <c r="AV281" s="525"/>
      <c r="AW281" s="525"/>
      <c r="AX281" s="525"/>
      <c r="AY281" s="525"/>
      <c r="AZ281" s="525"/>
      <c r="BA281" s="525"/>
      <c r="BB281" s="525"/>
      <c r="BC281" s="525"/>
      <c r="BD281" s="525"/>
      <c r="BE281" s="525"/>
      <c r="BF281" s="525"/>
      <c r="BG281" s="525"/>
      <c r="BH281" s="525"/>
      <c r="BI281" s="525"/>
      <c r="BJ281" s="525"/>
      <c r="BK281" s="525"/>
      <c r="BL281" s="525"/>
      <c r="BM281" s="525"/>
      <c r="BN281" s="525"/>
      <c r="BO281" s="525"/>
      <c r="BP281" s="525"/>
      <c r="BQ281" s="525"/>
      <c r="BR281" s="525"/>
      <c r="BS281" s="525"/>
      <c r="BT281" s="525"/>
      <c r="BU281" s="525"/>
      <c r="BV281" s="525"/>
      <c r="BW281" s="525"/>
      <c r="BX281" s="525"/>
      <c r="BY281" s="525"/>
    </row>
    <row r="282" spans="3:77" x14ac:dyDescent="0.3">
      <c r="C282" s="2"/>
      <c r="D282" s="2"/>
      <c r="E282" s="122" t="str">
        <f>"WSM net comm.: "&amp;E$155</f>
        <v>WSM net comm.: FY27 Tranche</v>
      </c>
      <c r="F282" s="2"/>
      <c r="G282" s="2"/>
      <c r="H282" s="2"/>
      <c r="I282" s="2"/>
      <c r="J282" s="2"/>
      <c r="K282" s="2"/>
      <c r="L282" s="2"/>
      <c r="M282" s="2"/>
      <c r="N282" s="2"/>
      <c r="O282" s="2"/>
      <c r="P282" s="10"/>
      <c r="Q282" s="2"/>
      <c r="R282" s="497">
        <f t="shared" ref="R282:AW282" si="376">($R155*R$590*R490)+((($R155*R$590)+R213)*R482)</f>
        <v>1860.8754502841405</v>
      </c>
      <c r="S282" s="497">
        <f t="shared" si="376"/>
        <v>1860.8754502841405</v>
      </c>
      <c r="T282" s="497">
        <f t="shared" si="376"/>
        <v>1860.8754502841405</v>
      </c>
      <c r="U282" s="497">
        <f t="shared" si="376"/>
        <v>1860.8754502841405</v>
      </c>
      <c r="V282" s="497">
        <f t="shared" si="376"/>
        <v>1860.8754502841405</v>
      </c>
      <c r="W282" s="497">
        <f t="shared" si="376"/>
        <v>1860.8754502841405</v>
      </c>
      <c r="X282" s="497">
        <f t="shared" si="376"/>
        <v>2193.2783234110075</v>
      </c>
      <c r="Y282" s="497">
        <f t="shared" si="376"/>
        <v>2193.2783234110075</v>
      </c>
      <c r="Z282" s="497">
        <f t="shared" si="376"/>
        <v>2193.2783234110075</v>
      </c>
      <c r="AA282" s="497">
        <f t="shared" si="376"/>
        <v>2193.2783234110075</v>
      </c>
      <c r="AB282" s="497">
        <f t="shared" si="376"/>
        <v>2193.2783234110075</v>
      </c>
      <c r="AC282" s="497">
        <f t="shared" si="376"/>
        <v>2193.2783234110075</v>
      </c>
      <c r="AD282" s="497">
        <f t="shared" si="376"/>
        <v>2118.0732660400308</v>
      </c>
      <c r="AE282" s="497">
        <f t="shared" si="376"/>
        <v>2118.0732660400308</v>
      </c>
      <c r="AF282" s="497">
        <f t="shared" si="376"/>
        <v>2118.0732660400308</v>
      </c>
      <c r="AG282" s="497">
        <f t="shared" si="376"/>
        <v>2118.0732660400308</v>
      </c>
      <c r="AH282" s="497">
        <f t="shared" si="376"/>
        <v>2118.0732660400308</v>
      </c>
      <c r="AI282" s="497">
        <f t="shared" si="376"/>
        <v>2118.0732660400308</v>
      </c>
      <c r="AJ282" s="497">
        <f t="shared" si="376"/>
        <v>2191.5175048938268</v>
      </c>
      <c r="AK282" s="497">
        <f t="shared" si="376"/>
        <v>2191.5175048938268</v>
      </c>
      <c r="AL282" s="497">
        <f t="shared" si="376"/>
        <v>2191.5175048938268</v>
      </c>
      <c r="AM282" s="497">
        <f t="shared" si="376"/>
        <v>2191.5175048938268</v>
      </c>
      <c r="AN282" s="527">
        <f t="shared" si="376"/>
        <v>2191.5175048938268</v>
      </c>
      <c r="AO282" s="527">
        <f t="shared" si="376"/>
        <v>2191.5175048938268</v>
      </c>
      <c r="AP282" s="527">
        <f t="shared" si="376"/>
        <v>2120.2635340533252</v>
      </c>
      <c r="AQ282" s="527">
        <f t="shared" si="376"/>
        <v>2120.2635340533252</v>
      </c>
      <c r="AR282" s="527">
        <f t="shared" si="376"/>
        <v>2120.2635340533252</v>
      </c>
      <c r="AS282" s="527">
        <f t="shared" si="376"/>
        <v>2120.2635340533252</v>
      </c>
      <c r="AT282" s="527">
        <f t="shared" si="376"/>
        <v>2120.2635340533252</v>
      </c>
      <c r="AU282" s="527">
        <f t="shared" si="376"/>
        <v>2120.2635340533252</v>
      </c>
      <c r="AV282" s="527">
        <f t="shared" si="376"/>
        <v>2193.1822271544434</v>
      </c>
      <c r="AW282" s="527">
        <f t="shared" si="376"/>
        <v>2193.1822271544434</v>
      </c>
      <c r="AX282" s="527">
        <f t="shared" ref="AX282:BY282" si="377">($R155*AX$590*AX490)+((($R155*AX$590)+AX213)*AX482)</f>
        <v>2193.1822271544434</v>
      </c>
      <c r="AY282" s="527">
        <f t="shared" si="377"/>
        <v>2193.1822271544434</v>
      </c>
      <c r="AZ282" s="527">
        <f t="shared" si="377"/>
        <v>2193.1822271544434</v>
      </c>
      <c r="BA282" s="527">
        <f t="shared" si="377"/>
        <v>2193.1822271544434</v>
      </c>
      <c r="BB282" s="527">
        <f t="shared" si="377"/>
        <v>2126.683763837083</v>
      </c>
      <c r="BC282" s="527">
        <f t="shared" si="377"/>
        <v>2126.683763837083</v>
      </c>
      <c r="BD282" s="527">
        <f t="shared" si="377"/>
        <v>2126.683763837083</v>
      </c>
      <c r="BE282" s="527">
        <f t="shared" si="377"/>
        <v>2126.683763837083</v>
      </c>
      <c r="BF282" s="527">
        <f t="shared" si="377"/>
        <v>2126.683763837083</v>
      </c>
      <c r="BG282" s="527">
        <f t="shared" si="377"/>
        <v>2126.683763837083</v>
      </c>
      <c r="BH282" s="527">
        <f t="shared" si="377"/>
        <v>2199.2599320024015</v>
      </c>
      <c r="BI282" s="527">
        <f t="shared" si="377"/>
        <v>2199.2599320024015</v>
      </c>
      <c r="BJ282" s="527">
        <f t="shared" si="377"/>
        <v>2199.2599320024015</v>
      </c>
      <c r="BK282" s="527">
        <f t="shared" si="377"/>
        <v>2199.2599320024015</v>
      </c>
      <c r="BL282" s="527">
        <f t="shared" si="377"/>
        <v>2199.2599320024015</v>
      </c>
      <c r="BM282" s="527">
        <f t="shared" si="377"/>
        <v>2199.2599320024015</v>
      </c>
      <c r="BN282" s="527">
        <f t="shared" si="377"/>
        <v>2133.8220009559172</v>
      </c>
      <c r="BO282" s="527">
        <f t="shared" si="377"/>
        <v>2133.8220009559172</v>
      </c>
      <c r="BP282" s="527">
        <f t="shared" si="377"/>
        <v>2133.8220009559172</v>
      </c>
      <c r="BQ282" s="527">
        <f t="shared" si="377"/>
        <v>2133.8220009559172</v>
      </c>
      <c r="BR282" s="527">
        <f t="shared" si="377"/>
        <v>2133.8220009559172</v>
      </c>
      <c r="BS282" s="527">
        <f t="shared" si="377"/>
        <v>2133.8220009559172</v>
      </c>
      <c r="BT282" s="527">
        <f t="shared" si="377"/>
        <v>2206.0805590713649</v>
      </c>
      <c r="BU282" s="527">
        <f t="shared" si="377"/>
        <v>2206.0805590713649</v>
      </c>
      <c r="BV282" s="527">
        <f t="shared" si="377"/>
        <v>2206.0805590713649</v>
      </c>
      <c r="BW282" s="527">
        <f t="shared" si="377"/>
        <v>2206.0805590713649</v>
      </c>
      <c r="BX282" s="527">
        <f t="shared" si="377"/>
        <v>2206.0805590713649</v>
      </c>
      <c r="BY282" s="527">
        <f t="shared" si="377"/>
        <v>2206.0805590713649</v>
      </c>
    </row>
    <row r="283" spans="3:77" x14ac:dyDescent="0.3">
      <c r="C283" s="2"/>
      <c r="D283" s="2"/>
      <c r="E283" s="122" t="str">
        <f>"WSM net comm.: "&amp;E$156</f>
        <v>WSM net comm.: FY28 Tranche</v>
      </c>
      <c r="F283" s="2"/>
      <c r="G283" s="2"/>
      <c r="H283" s="2"/>
      <c r="I283" s="2"/>
      <c r="J283" s="2"/>
      <c r="K283" s="2"/>
      <c r="L283" s="2"/>
      <c r="M283" s="2"/>
      <c r="N283" s="2"/>
      <c r="O283" s="2"/>
      <c r="P283" s="10"/>
      <c r="Q283" s="2"/>
      <c r="R283" s="497">
        <f t="shared" ref="R283:AW283" si="378">($R156*R$590*R491)+((($R156*R$590)+R214)*R483)</f>
        <v>1860.8754502841405</v>
      </c>
      <c r="S283" s="497">
        <f t="shared" si="378"/>
        <v>1860.8754502841405</v>
      </c>
      <c r="T283" s="497">
        <f t="shared" si="378"/>
        <v>1860.8754502841405</v>
      </c>
      <c r="U283" s="497">
        <f t="shared" si="378"/>
        <v>1860.8754502841405</v>
      </c>
      <c r="V283" s="497">
        <f t="shared" si="378"/>
        <v>1860.8754502841405</v>
      </c>
      <c r="W283" s="497">
        <f t="shared" si="378"/>
        <v>1860.8754502841405</v>
      </c>
      <c r="X283" s="497">
        <f t="shared" si="378"/>
        <v>1860.8754502841405</v>
      </c>
      <c r="Y283" s="497">
        <f t="shared" si="378"/>
        <v>1860.8754502841405</v>
      </c>
      <c r="Z283" s="497">
        <f t="shared" si="378"/>
        <v>1860.8754502841405</v>
      </c>
      <c r="AA283" s="497">
        <f t="shared" si="378"/>
        <v>1860.8754502841405</v>
      </c>
      <c r="AB283" s="497">
        <f t="shared" si="378"/>
        <v>1860.8754502841405</v>
      </c>
      <c r="AC283" s="497">
        <f t="shared" si="378"/>
        <v>1860.8754502841405</v>
      </c>
      <c r="AD283" s="497">
        <f t="shared" si="378"/>
        <v>1860.8754502841405</v>
      </c>
      <c r="AE283" s="497">
        <f t="shared" si="378"/>
        <v>1860.8754502841405</v>
      </c>
      <c r="AF283" s="497">
        <f t="shared" si="378"/>
        <v>1860.8754502841405</v>
      </c>
      <c r="AG283" s="497">
        <f t="shared" si="378"/>
        <v>1860.8754502841405</v>
      </c>
      <c r="AH283" s="497">
        <f t="shared" si="378"/>
        <v>1860.8754502841405</v>
      </c>
      <c r="AI283" s="497">
        <f t="shared" si="378"/>
        <v>1860.8754502841405</v>
      </c>
      <c r="AJ283" s="497">
        <f t="shared" si="378"/>
        <v>2185.0768190821618</v>
      </c>
      <c r="AK283" s="497">
        <f t="shared" si="378"/>
        <v>2185.0768190821618</v>
      </c>
      <c r="AL283" s="497">
        <f t="shared" si="378"/>
        <v>2185.0768190821618</v>
      </c>
      <c r="AM283" s="497">
        <f t="shared" si="378"/>
        <v>2185.0768190821618</v>
      </c>
      <c r="AN283" s="527">
        <f t="shared" si="378"/>
        <v>2185.0768190821618</v>
      </c>
      <c r="AO283" s="527">
        <f t="shared" si="378"/>
        <v>2185.0768190821618</v>
      </c>
      <c r="AP283" s="527">
        <f t="shared" si="378"/>
        <v>2114.1148820101216</v>
      </c>
      <c r="AQ283" s="527">
        <f t="shared" si="378"/>
        <v>2114.1148820101216</v>
      </c>
      <c r="AR283" s="527">
        <f t="shared" si="378"/>
        <v>2114.1148820101216</v>
      </c>
      <c r="AS283" s="527">
        <f t="shared" si="378"/>
        <v>2114.1148820101216</v>
      </c>
      <c r="AT283" s="527">
        <f t="shared" si="378"/>
        <v>2114.1148820101216</v>
      </c>
      <c r="AU283" s="527">
        <f t="shared" si="378"/>
        <v>2114.1148820101216</v>
      </c>
      <c r="AV283" s="527">
        <f t="shared" si="378"/>
        <v>2186.7876290295117</v>
      </c>
      <c r="AW283" s="527">
        <f t="shared" si="378"/>
        <v>2186.7876290295117</v>
      </c>
      <c r="AX283" s="527">
        <f t="shared" ref="AX283:BY283" si="379">($R156*AX$590*AX491)+((($R156*AX$590)+AX214)*AX483)</f>
        <v>2186.7876290295117</v>
      </c>
      <c r="AY283" s="527">
        <f t="shared" si="379"/>
        <v>2186.7876290295117</v>
      </c>
      <c r="AZ283" s="527">
        <f t="shared" si="379"/>
        <v>2186.7876290295117</v>
      </c>
      <c r="BA283" s="527">
        <f t="shared" si="379"/>
        <v>2186.7876290295117</v>
      </c>
      <c r="BB283" s="527">
        <f t="shared" si="379"/>
        <v>2120.5639941909271</v>
      </c>
      <c r="BC283" s="527">
        <f t="shared" si="379"/>
        <v>2120.5639941909271</v>
      </c>
      <c r="BD283" s="527">
        <f t="shared" si="379"/>
        <v>2120.5639941909271</v>
      </c>
      <c r="BE283" s="527">
        <f t="shared" si="379"/>
        <v>2120.5639941909271</v>
      </c>
      <c r="BF283" s="527">
        <f t="shared" si="379"/>
        <v>2120.5639941909271</v>
      </c>
      <c r="BG283" s="527">
        <f t="shared" si="379"/>
        <v>2120.5639941909271</v>
      </c>
      <c r="BH283" s="527">
        <f t="shared" si="379"/>
        <v>2192.8953715703992</v>
      </c>
      <c r="BI283" s="527">
        <f t="shared" si="379"/>
        <v>2192.8953715703992</v>
      </c>
      <c r="BJ283" s="527">
        <f t="shared" si="379"/>
        <v>2192.8953715703992</v>
      </c>
      <c r="BK283" s="527">
        <f t="shared" si="379"/>
        <v>2192.8953715703992</v>
      </c>
      <c r="BL283" s="527">
        <f t="shared" si="379"/>
        <v>2192.8953715703992</v>
      </c>
      <c r="BM283" s="527">
        <f t="shared" si="379"/>
        <v>2192.8953715703992</v>
      </c>
      <c r="BN283" s="527">
        <f t="shared" si="379"/>
        <v>2127.7290128331133</v>
      </c>
      <c r="BO283" s="527">
        <f t="shared" si="379"/>
        <v>2127.7290128331133</v>
      </c>
      <c r="BP283" s="527">
        <f t="shared" si="379"/>
        <v>2127.7290128331133</v>
      </c>
      <c r="BQ283" s="527">
        <f t="shared" si="379"/>
        <v>2127.7290128331133</v>
      </c>
      <c r="BR283" s="527">
        <f t="shared" si="379"/>
        <v>2127.7290128331133</v>
      </c>
      <c r="BS283" s="527">
        <f t="shared" si="379"/>
        <v>2127.7290128331133</v>
      </c>
      <c r="BT283" s="527">
        <f t="shared" si="379"/>
        <v>2199.7438514236483</v>
      </c>
      <c r="BU283" s="527">
        <f t="shared" si="379"/>
        <v>2199.7438514236483</v>
      </c>
      <c r="BV283" s="527">
        <f t="shared" si="379"/>
        <v>2199.7438514236483</v>
      </c>
      <c r="BW283" s="527">
        <f t="shared" si="379"/>
        <v>2199.7438514236483</v>
      </c>
      <c r="BX283" s="527">
        <f t="shared" si="379"/>
        <v>2199.7438514236483</v>
      </c>
      <c r="BY283" s="527">
        <f t="shared" si="379"/>
        <v>2199.7438514236483</v>
      </c>
    </row>
    <row r="284" spans="3:77" x14ac:dyDescent="0.3">
      <c r="C284" s="2"/>
      <c r="D284" s="2"/>
      <c r="E284" s="122" t="str">
        <f>"WSM net comm.: "&amp;E$157</f>
        <v>WSM net comm.: FY29 Tranche</v>
      </c>
      <c r="F284" s="2"/>
      <c r="G284" s="2"/>
      <c r="H284" s="2"/>
      <c r="I284" s="2"/>
      <c r="J284" s="2"/>
      <c r="K284" s="2"/>
      <c r="L284" s="2"/>
      <c r="M284" s="2"/>
      <c r="N284" s="2"/>
      <c r="O284" s="2"/>
      <c r="P284" s="10"/>
      <c r="Q284" s="2"/>
      <c r="R284" s="497">
        <f t="shared" ref="R284:AW284" si="380">($R157*R$590*R492)+((($R157*R$590)+R215)*R484)</f>
        <v>1860.8754502841405</v>
      </c>
      <c r="S284" s="497">
        <f t="shared" si="380"/>
        <v>1860.8754502841405</v>
      </c>
      <c r="T284" s="497">
        <f t="shared" si="380"/>
        <v>1860.8754502841405</v>
      </c>
      <c r="U284" s="497">
        <f t="shared" si="380"/>
        <v>1860.8754502841405</v>
      </c>
      <c r="V284" s="497">
        <f t="shared" si="380"/>
        <v>1860.8754502841405</v>
      </c>
      <c r="W284" s="497">
        <f t="shared" si="380"/>
        <v>1860.8754502841405</v>
      </c>
      <c r="X284" s="497">
        <f t="shared" si="380"/>
        <v>1860.8754502841405</v>
      </c>
      <c r="Y284" s="497">
        <f t="shared" si="380"/>
        <v>1860.8754502841405</v>
      </c>
      <c r="Z284" s="497">
        <f t="shared" si="380"/>
        <v>1860.8754502841405</v>
      </c>
      <c r="AA284" s="497">
        <f t="shared" si="380"/>
        <v>1860.8754502841405</v>
      </c>
      <c r="AB284" s="497">
        <f t="shared" si="380"/>
        <v>1860.8754502841405</v>
      </c>
      <c r="AC284" s="497">
        <f t="shared" si="380"/>
        <v>1860.8754502841405</v>
      </c>
      <c r="AD284" s="497">
        <f t="shared" si="380"/>
        <v>1860.8754502841405</v>
      </c>
      <c r="AE284" s="497">
        <f t="shared" si="380"/>
        <v>1860.8754502841405</v>
      </c>
      <c r="AF284" s="497">
        <f t="shared" si="380"/>
        <v>1860.8754502841405</v>
      </c>
      <c r="AG284" s="497">
        <f t="shared" si="380"/>
        <v>1860.8754502841405</v>
      </c>
      <c r="AH284" s="497">
        <f t="shared" si="380"/>
        <v>1860.8754502841405</v>
      </c>
      <c r="AI284" s="497">
        <f t="shared" si="380"/>
        <v>1860.8754502841405</v>
      </c>
      <c r="AJ284" s="497">
        <f t="shared" si="380"/>
        <v>1860.8754502841405</v>
      </c>
      <c r="AK284" s="497">
        <f t="shared" si="380"/>
        <v>1860.8754502841405</v>
      </c>
      <c r="AL284" s="497">
        <f t="shared" si="380"/>
        <v>1860.8754502841405</v>
      </c>
      <c r="AM284" s="497">
        <f t="shared" si="380"/>
        <v>1860.8754502841405</v>
      </c>
      <c r="AN284" s="527">
        <f t="shared" si="380"/>
        <v>1860.8754502841405</v>
      </c>
      <c r="AO284" s="527">
        <f t="shared" si="380"/>
        <v>1860.8754502841405</v>
      </c>
      <c r="AP284" s="527">
        <f t="shared" si="380"/>
        <v>1860.8754502841405</v>
      </c>
      <c r="AQ284" s="527">
        <f t="shared" si="380"/>
        <v>1860.8754502841405</v>
      </c>
      <c r="AR284" s="527">
        <f t="shared" si="380"/>
        <v>1860.8754502841405</v>
      </c>
      <c r="AS284" s="527">
        <f t="shared" si="380"/>
        <v>1860.8754502841405</v>
      </c>
      <c r="AT284" s="527">
        <f t="shared" si="380"/>
        <v>1860.8754502841405</v>
      </c>
      <c r="AU284" s="527">
        <f t="shared" si="380"/>
        <v>1860.8754502841405</v>
      </c>
      <c r="AV284" s="527">
        <f t="shared" si="380"/>
        <v>2177.3265453004328</v>
      </c>
      <c r="AW284" s="527">
        <f t="shared" si="380"/>
        <v>2177.3265453004328</v>
      </c>
      <c r="AX284" s="527">
        <f t="shared" ref="AX284:BY284" si="381">($R157*AX$590*AX492)+((($R157*AX$590)+AX215)*AX484)</f>
        <v>2177.3265453004328</v>
      </c>
      <c r="AY284" s="527">
        <f t="shared" si="381"/>
        <v>2177.3265453004328</v>
      </c>
      <c r="AZ284" s="527">
        <f t="shared" si="381"/>
        <v>2177.3265453004328</v>
      </c>
      <c r="BA284" s="527">
        <f t="shared" si="381"/>
        <v>2177.3265453004328</v>
      </c>
      <c r="BB284" s="527">
        <f t="shared" si="381"/>
        <v>2111.5095310497313</v>
      </c>
      <c r="BC284" s="527">
        <f t="shared" si="381"/>
        <v>2111.5095310497313</v>
      </c>
      <c r="BD284" s="527">
        <f t="shared" si="381"/>
        <v>2111.5095310497313</v>
      </c>
      <c r="BE284" s="527">
        <f t="shared" si="381"/>
        <v>2111.5095310497313</v>
      </c>
      <c r="BF284" s="527">
        <f t="shared" si="381"/>
        <v>2111.5095310497313</v>
      </c>
      <c r="BG284" s="527">
        <f t="shared" si="381"/>
        <v>2111.5095310497313</v>
      </c>
      <c r="BH284" s="527">
        <f t="shared" si="381"/>
        <v>2183.4787299035561</v>
      </c>
      <c r="BI284" s="527">
        <f t="shared" si="381"/>
        <v>2183.4787299035561</v>
      </c>
      <c r="BJ284" s="527">
        <f t="shared" si="381"/>
        <v>2183.4787299035561</v>
      </c>
      <c r="BK284" s="527">
        <f t="shared" si="381"/>
        <v>2183.4787299035561</v>
      </c>
      <c r="BL284" s="527">
        <f t="shared" si="381"/>
        <v>2183.4787299035561</v>
      </c>
      <c r="BM284" s="527">
        <f t="shared" si="381"/>
        <v>2183.4787299035561</v>
      </c>
      <c r="BN284" s="527">
        <f t="shared" si="381"/>
        <v>2118.7141741108217</v>
      </c>
      <c r="BO284" s="527">
        <f t="shared" si="381"/>
        <v>2118.7141741108217</v>
      </c>
      <c r="BP284" s="527">
        <f t="shared" si="381"/>
        <v>2118.7141741108217</v>
      </c>
      <c r="BQ284" s="527">
        <f t="shared" si="381"/>
        <v>2118.7141741108217</v>
      </c>
      <c r="BR284" s="527">
        <f t="shared" si="381"/>
        <v>2118.7141741108217</v>
      </c>
      <c r="BS284" s="527">
        <f t="shared" si="381"/>
        <v>2118.7141741108217</v>
      </c>
      <c r="BT284" s="527">
        <f t="shared" si="381"/>
        <v>2190.3684191524653</v>
      </c>
      <c r="BU284" s="527">
        <f t="shared" si="381"/>
        <v>2190.3684191524653</v>
      </c>
      <c r="BV284" s="527">
        <f t="shared" si="381"/>
        <v>2190.3684191524653</v>
      </c>
      <c r="BW284" s="527">
        <f t="shared" si="381"/>
        <v>2190.3684191524653</v>
      </c>
      <c r="BX284" s="527">
        <f t="shared" si="381"/>
        <v>2190.3684191524653</v>
      </c>
      <c r="BY284" s="527">
        <f t="shared" si="381"/>
        <v>2190.3684191524653</v>
      </c>
    </row>
    <row r="285" spans="3:77" x14ac:dyDescent="0.3">
      <c r="C285" s="2"/>
      <c r="D285" s="2"/>
      <c r="E285" s="122" t="str">
        <f>"WSM net comm.: "&amp;E$158</f>
        <v>WSM net comm.: FY30 Tranche</v>
      </c>
      <c r="F285" s="2"/>
      <c r="G285" s="2"/>
      <c r="H285" s="2"/>
      <c r="I285" s="2"/>
      <c r="J285" s="2"/>
      <c r="K285" s="2"/>
      <c r="L285" s="2"/>
      <c r="M285" s="2"/>
      <c r="N285" s="2"/>
      <c r="O285" s="2"/>
      <c r="P285" s="10"/>
      <c r="Q285" s="2"/>
      <c r="R285" s="497">
        <f t="shared" ref="R285:AW285" si="382">($R158*R$590*R493)+((($R158*R$590)+R216)*R485)</f>
        <v>1860.8754502841405</v>
      </c>
      <c r="S285" s="497">
        <f t="shared" si="382"/>
        <v>1860.8754502841405</v>
      </c>
      <c r="T285" s="497">
        <f t="shared" si="382"/>
        <v>1860.8754502841405</v>
      </c>
      <c r="U285" s="497">
        <f t="shared" si="382"/>
        <v>1860.8754502841405</v>
      </c>
      <c r="V285" s="497">
        <f t="shared" si="382"/>
        <v>1860.8754502841405</v>
      </c>
      <c r="W285" s="497">
        <f t="shared" si="382"/>
        <v>1860.8754502841405</v>
      </c>
      <c r="X285" s="497">
        <f t="shared" si="382"/>
        <v>1860.8754502841405</v>
      </c>
      <c r="Y285" s="497">
        <f t="shared" si="382"/>
        <v>1860.8754502841405</v>
      </c>
      <c r="Z285" s="497">
        <f t="shared" si="382"/>
        <v>1860.8754502841405</v>
      </c>
      <c r="AA285" s="497">
        <f t="shared" si="382"/>
        <v>1860.8754502841405</v>
      </c>
      <c r="AB285" s="497">
        <f t="shared" si="382"/>
        <v>1860.8754502841405</v>
      </c>
      <c r="AC285" s="497">
        <f t="shared" si="382"/>
        <v>1860.8754502841405</v>
      </c>
      <c r="AD285" s="497">
        <f t="shared" si="382"/>
        <v>1860.8754502841405</v>
      </c>
      <c r="AE285" s="497">
        <f t="shared" si="382"/>
        <v>1860.8754502841405</v>
      </c>
      <c r="AF285" s="497">
        <f t="shared" si="382"/>
        <v>1860.8754502841405</v>
      </c>
      <c r="AG285" s="497">
        <f t="shared" si="382"/>
        <v>1860.8754502841405</v>
      </c>
      <c r="AH285" s="497">
        <f t="shared" si="382"/>
        <v>1860.8754502841405</v>
      </c>
      <c r="AI285" s="497">
        <f t="shared" si="382"/>
        <v>1860.8754502841405</v>
      </c>
      <c r="AJ285" s="497">
        <f t="shared" si="382"/>
        <v>1860.8754502841405</v>
      </c>
      <c r="AK285" s="497">
        <f t="shared" si="382"/>
        <v>1860.8754502841405</v>
      </c>
      <c r="AL285" s="497">
        <f t="shared" si="382"/>
        <v>1860.8754502841405</v>
      </c>
      <c r="AM285" s="497">
        <f t="shared" si="382"/>
        <v>1860.8754502841405</v>
      </c>
      <c r="AN285" s="527">
        <f t="shared" si="382"/>
        <v>1860.8754502841405</v>
      </c>
      <c r="AO285" s="527">
        <f t="shared" si="382"/>
        <v>1860.8754502841405</v>
      </c>
      <c r="AP285" s="527">
        <f t="shared" si="382"/>
        <v>1860.8754502841405</v>
      </c>
      <c r="AQ285" s="527">
        <f t="shared" si="382"/>
        <v>1860.8754502841405</v>
      </c>
      <c r="AR285" s="527">
        <f t="shared" si="382"/>
        <v>1860.8754502841405</v>
      </c>
      <c r="AS285" s="527">
        <f t="shared" si="382"/>
        <v>1860.8754502841405</v>
      </c>
      <c r="AT285" s="527">
        <f t="shared" si="382"/>
        <v>1860.8754502841405</v>
      </c>
      <c r="AU285" s="527">
        <f t="shared" si="382"/>
        <v>1860.8754502841405</v>
      </c>
      <c r="AV285" s="527">
        <f t="shared" si="382"/>
        <v>1860.8754502841405</v>
      </c>
      <c r="AW285" s="527">
        <f t="shared" si="382"/>
        <v>1860.8754502841405</v>
      </c>
      <c r="AX285" s="527">
        <f t="shared" ref="AX285:BY285" si="383">($R158*AX$590*AX493)+((($R158*AX$590)+AX216)*AX485)</f>
        <v>1860.8754502841405</v>
      </c>
      <c r="AY285" s="527">
        <f t="shared" si="383"/>
        <v>1860.8754502841405</v>
      </c>
      <c r="AZ285" s="527">
        <f t="shared" si="383"/>
        <v>1860.8754502841405</v>
      </c>
      <c r="BA285" s="527">
        <f t="shared" si="383"/>
        <v>1860.8754502841405</v>
      </c>
      <c r="BB285" s="527">
        <f t="shared" si="383"/>
        <v>1860.8754502841405</v>
      </c>
      <c r="BC285" s="527">
        <f t="shared" si="383"/>
        <v>1860.8754502841405</v>
      </c>
      <c r="BD285" s="527">
        <f t="shared" si="383"/>
        <v>1860.8754502841405</v>
      </c>
      <c r="BE285" s="527">
        <f t="shared" si="383"/>
        <v>1860.8754502841405</v>
      </c>
      <c r="BF285" s="527">
        <f t="shared" si="383"/>
        <v>1860.8754502841405</v>
      </c>
      <c r="BG285" s="527">
        <f t="shared" si="383"/>
        <v>1860.8754502841405</v>
      </c>
      <c r="BH285" s="527">
        <f t="shared" si="383"/>
        <v>2169.9882708906216</v>
      </c>
      <c r="BI285" s="527">
        <f t="shared" si="383"/>
        <v>2169.9882708906216</v>
      </c>
      <c r="BJ285" s="527">
        <f t="shared" si="383"/>
        <v>2169.9882708906216</v>
      </c>
      <c r="BK285" s="527">
        <f t="shared" si="383"/>
        <v>2169.9882708906216</v>
      </c>
      <c r="BL285" s="527">
        <f t="shared" si="383"/>
        <v>2169.9882708906216</v>
      </c>
      <c r="BM285" s="527">
        <f t="shared" si="383"/>
        <v>2169.9882708906216</v>
      </c>
      <c r="BN285" s="527">
        <f t="shared" si="383"/>
        <v>2105.7993455982851</v>
      </c>
      <c r="BO285" s="527">
        <f t="shared" si="383"/>
        <v>2105.7993455982851</v>
      </c>
      <c r="BP285" s="527">
        <f t="shared" si="383"/>
        <v>2105.7993455982851</v>
      </c>
      <c r="BQ285" s="527">
        <f t="shared" si="383"/>
        <v>2105.7993455982851</v>
      </c>
      <c r="BR285" s="527">
        <f t="shared" si="383"/>
        <v>2105.7993455982851</v>
      </c>
      <c r="BS285" s="527">
        <f t="shared" si="383"/>
        <v>2105.7993455982851</v>
      </c>
      <c r="BT285" s="527">
        <f t="shared" si="383"/>
        <v>2176.936997499427</v>
      </c>
      <c r="BU285" s="527">
        <f t="shared" si="383"/>
        <v>2176.936997499427</v>
      </c>
      <c r="BV285" s="527">
        <f t="shared" si="383"/>
        <v>2176.936997499427</v>
      </c>
      <c r="BW285" s="527">
        <f t="shared" si="383"/>
        <v>2176.936997499427</v>
      </c>
      <c r="BX285" s="527">
        <f t="shared" si="383"/>
        <v>2176.936997499427</v>
      </c>
      <c r="BY285" s="527">
        <f t="shared" si="383"/>
        <v>2176.936997499427</v>
      </c>
    </row>
    <row r="286" spans="3:77" x14ac:dyDescent="0.3">
      <c r="C286" s="2"/>
      <c r="D286" s="2"/>
      <c r="E286" s="122" t="str">
        <f>"WSM net comm.: "&amp;E$159</f>
        <v>WSM net comm.: FY31 Tranche</v>
      </c>
      <c r="F286" s="2"/>
      <c r="G286" s="2"/>
      <c r="H286" s="2"/>
      <c r="I286" s="2"/>
      <c r="J286" s="2"/>
      <c r="K286" s="2"/>
      <c r="L286" s="2"/>
      <c r="M286" s="2"/>
      <c r="N286" s="2"/>
      <c r="O286" s="2"/>
      <c r="P286" s="10"/>
      <c r="Q286" s="2"/>
      <c r="R286" s="497">
        <f t="shared" ref="R286:AW286" si="384">($R159*R$590*R494)+((($R159*R$590)+R217)*R486)</f>
        <v>1860.8754502841405</v>
      </c>
      <c r="S286" s="497">
        <f t="shared" si="384"/>
        <v>1860.8754502841405</v>
      </c>
      <c r="T286" s="497">
        <f t="shared" si="384"/>
        <v>1860.8754502841405</v>
      </c>
      <c r="U286" s="497">
        <f t="shared" si="384"/>
        <v>1860.8754502841405</v>
      </c>
      <c r="V286" s="497">
        <f t="shared" si="384"/>
        <v>1860.8754502841405</v>
      </c>
      <c r="W286" s="497">
        <f t="shared" si="384"/>
        <v>1860.8754502841405</v>
      </c>
      <c r="X286" s="497">
        <f t="shared" si="384"/>
        <v>1860.8754502841405</v>
      </c>
      <c r="Y286" s="497">
        <f t="shared" si="384"/>
        <v>1860.8754502841405</v>
      </c>
      <c r="Z286" s="497">
        <f t="shared" si="384"/>
        <v>1860.8754502841405</v>
      </c>
      <c r="AA286" s="497">
        <f t="shared" si="384"/>
        <v>1860.8754502841405</v>
      </c>
      <c r="AB286" s="497">
        <f t="shared" si="384"/>
        <v>1860.8754502841405</v>
      </c>
      <c r="AC286" s="497">
        <f t="shared" si="384"/>
        <v>1860.8754502841405</v>
      </c>
      <c r="AD286" s="497">
        <f t="shared" si="384"/>
        <v>1860.8754502841405</v>
      </c>
      <c r="AE286" s="497">
        <f t="shared" si="384"/>
        <v>1860.8754502841405</v>
      </c>
      <c r="AF286" s="497">
        <f t="shared" si="384"/>
        <v>1860.8754502841405</v>
      </c>
      <c r="AG286" s="497">
        <f t="shared" si="384"/>
        <v>1860.8754502841405</v>
      </c>
      <c r="AH286" s="497">
        <f t="shared" si="384"/>
        <v>1860.8754502841405</v>
      </c>
      <c r="AI286" s="497">
        <f t="shared" si="384"/>
        <v>1860.8754502841405</v>
      </c>
      <c r="AJ286" s="497">
        <f t="shared" si="384"/>
        <v>1860.8754502841405</v>
      </c>
      <c r="AK286" s="497">
        <f t="shared" si="384"/>
        <v>1860.8754502841405</v>
      </c>
      <c r="AL286" s="497">
        <f t="shared" si="384"/>
        <v>1860.8754502841405</v>
      </c>
      <c r="AM286" s="497">
        <f t="shared" si="384"/>
        <v>1860.8754502841405</v>
      </c>
      <c r="AN286" s="527">
        <f t="shared" si="384"/>
        <v>1860.8754502841405</v>
      </c>
      <c r="AO286" s="527">
        <f t="shared" si="384"/>
        <v>1860.8754502841405</v>
      </c>
      <c r="AP286" s="527">
        <f t="shared" si="384"/>
        <v>1860.8754502841405</v>
      </c>
      <c r="AQ286" s="527">
        <f t="shared" si="384"/>
        <v>1860.8754502841405</v>
      </c>
      <c r="AR286" s="527">
        <f t="shared" si="384"/>
        <v>1860.8754502841405</v>
      </c>
      <c r="AS286" s="527">
        <f t="shared" si="384"/>
        <v>1860.8754502841405</v>
      </c>
      <c r="AT286" s="527">
        <f t="shared" si="384"/>
        <v>1860.8754502841405</v>
      </c>
      <c r="AU286" s="527">
        <f t="shared" si="384"/>
        <v>1860.8754502841405</v>
      </c>
      <c r="AV286" s="527">
        <f t="shared" si="384"/>
        <v>1860.8754502841405</v>
      </c>
      <c r="AW286" s="527">
        <f t="shared" si="384"/>
        <v>1860.8754502841405</v>
      </c>
      <c r="AX286" s="527">
        <f t="shared" ref="AX286:BY286" si="385">($R159*AX$590*AX494)+((($R159*AX$590)+AX217)*AX486)</f>
        <v>1860.8754502841405</v>
      </c>
      <c r="AY286" s="527">
        <f t="shared" si="385"/>
        <v>1860.8754502841405</v>
      </c>
      <c r="AZ286" s="527">
        <f t="shared" si="385"/>
        <v>1860.8754502841405</v>
      </c>
      <c r="BA286" s="527">
        <f t="shared" si="385"/>
        <v>1860.8754502841405</v>
      </c>
      <c r="BB286" s="527">
        <f t="shared" si="385"/>
        <v>1860.8754502841405</v>
      </c>
      <c r="BC286" s="527">
        <f t="shared" si="385"/>
        <v>1860.8754502841405</v>
      </c>
      <c r="BD286" s="527">
        <f t="shared" si="385"/>
        <v>1860.8754502841405</v>
      </c>
      <c r="BE286" s="527">
        <f t="shared" si="385"/>
        <v>1860.8754502841405</v>
      </c>
      <c r="BF286" s="527">
        <f t="shared" si="385"/>
        <v>1860.8754502841405</v>
      </c>
      <c r="BG286" s="527">
        <f t="shared" si="385"/>
        <v>1860.8754502841405</v>
      </c>
      <c r="BH286" s="527">
        <f t="shared" si="385"/>
        <v>1860.8754502841405</v>
      </c>
      <c r="BI286" s="527">
        <f t="shared" si="385"/>
        <v>1860.8754502841405</v>
      </c>
      <c r="BJ286" s="527">
        <f t="shared" si="385"/>
        <v>1860.8754502841405</v>
      </c>
      <c r="BK286" s="527">
        <f t="shared" si="385"/>
        <v>1860.8754502841405</v>
      </c>
      <c r="BL286" s="527">
        <f t="shared" si="385"/>
        <v>1860.8754502841405</v>
      </c>
      <c r="BM286" s="527">
        <f t="shared" si="385"/>
        <v>1860.8754502841405</v>
      </c>
      <c r="BN286" s="527">
        <f t="shared" si="385"/>
        <v>1860.8754502841405</v>
      </c>
      <c r="BO286" s="527">
        <f t="shared" si="385"/>
        <v>1860.8754502841405</v>
      </c>
      <c r="BP286" s="527">
        <f t="shared" si="385"/>
        <v>1860.8754502841405</v>
      </c>
      <c r="BQ286" s="527">
        <f t="shared" si="385"/>
        <v>1860.8754502841405</v>
      </c>
      <c r="BR286" s="527">
        <f t="shared" si="385"/>
        <v>1860.8754502841405</v>
      </c>
      <c r="BS286" s="527">
        <f t="shared" si="385"/>
        <v>1860.8754502841405</v>
      </c>
      <c r="BT286" s="527">
        <f t="shared" si="385"/>
        <v>2162.5738253869645</v>
      </c>
      <c r="BU286" s="527">
        <f t="shared" si="385"/>
        <v>2162.5738253869645</v>
      </c>
      <c r="BV286" s="527">
        <f t="shared" si="385"/>
        <v>2162.5738253869645</v>
      </c>
      <c r="BW286" s="527">
        <f t="shared" si="385"/>
        <v>2162.5738253869645</v>
      </c>
      <c r="BX286" s="527">
        <f t="shared" si="385"/>
        <v>2162.5738253869645</v>
      </c>
      <c r="BY286" s="527">
        <f t="shared" si="385"/>
        <v>2162.5738253869645</v>
      </c>
    </row>
    <row r="287" spans="3:77" x14ac:dyDescent="0.3">
      <c r="C287" s="2"/>
      <c r="D287" s="2"/>
      <c r="E287" s="122" t="str">
        <f>"WSM net comm.: "&amp;E$160</f>
        <v>WSM net comm.: Uninvested Tranche</v>
      </c>
      <c r="F287" s="2"/>
      <c r="G287" s="2"/>
      <c r="H287" s="2"/>
      <c r="I287" s="2"/>
      <c r="J287" s="2"/>
      <c r="K287" s="2"/>
      <c r="L287" s="2"/>
      <c r="M287" s="2"/>
      <c r="N287" s="2"/>
      <c r="O287" s="2"/>
      <c r="P287" s="10"/>
      <c r="Q287" s="2"/>
      <c r="R287" s="497">
        <f t="shared" ref="R287:AW287" si="386">($R160*R$590*R495)+((($R160*R$590)+R218)*R487)</f>
        <v>5210.451260795593</v>
      </c>
      <c r="S287" s="497">
        <f t="shared" si="386"/>
        <v>5210.451260795593</v>
      </c>
      <c r="T287" s="497">
        <f t="shared" si="386"/>
        <v>5210.451260795593</v>
      </c>
      <c r="U287" s="497">
        <f t="shared" si="386"/>
        <v>5210.451260795593</v>
      </c>
      <c r="V287" s="497">
        <f t="shared" si="386"/>
        <v>5210.451260795593</v>
      </c>
      <c r="W287" s="497">
        <f t="shared" si="386"/>
        <v>5210.451260795593</v>
      </c>
      <c r="X287" s="497">
        <f t="shared" si="386"/>
        <v>5210.451260795593</v>
      </c>
      <c r="Y287" s="497">
        <f t="shared" si="386"/>
        <v>5210.451260795593</v>
      </c>
      <c r="Z287" s="497">
        <f t="shared" si="386"/>
        <v>5210.451260795593</v>
      </c>
      <c r="AA287" s="497">
        <f t="shared" si="386"/>
        <v>5210.451260795593</v>
      </c>
      <c r="AB287" s="497">
        <f t="shared" si="386"/>
        <v>5210.451260795593</v>
      </c>
      <c r="AC287" s="497">
        <f t="shared" si="386"/>
        <v>5210.451260795593</v>
      </c>
      <c r="AD287" s="497">
        <f t="shared" si="386"/>
        <v>5210.451260795593</v>
      </c>
      <c r="AE287" s="497">
        <f t="shared" si="386"/>
        <v>5210.451260795593</v>
      </c>
      <c r="AF287" s="497">
        <f t="shared" si="386"/>
        <v>5210.451260795593</v>
      </c>
      <c r="AG287" s="497">
        <f t="shared" si="386"/>
        <v>5210.451260795593</v>
      </c>
      <c r="AH287" s="497">
        <f t="shared" si="386"/>
        <v>5210.451260795593</v>
      </c>
      <c r="AI287" s="497">
        <f t="shared" si="386"/>
        <v>5210.451260795593</v>
      </c>
      <c r="AJ287" s="497">
        <f t="shared" si="386"/>
        <v>5210.451260795593</v>
      </c>
      <c r="AK287" s="497">
        <f t="shared" si="386"/>
        <v>5210.451260795593</v>
      </c>
      <c r="AL287" s="497">
        <f t="shared" si="386"/>
        <v>5210.451260795593</v>
      </c>
      <c r="AM287" s="497">
        <f t="shared" si="386"/>
        <v>5210.451260795593</v>
      </c>
      <c r="AN287" s="527">
        <f t="shared" si="386"/>
        <v>5210.451260795593</v>
      </c>
      <c r="AO287" s="527">
        <f t="shared" si="386"/>
        <v>5210.451260795593</v>
      </c>
      <c r="AP287" s="527">
        <f t="shared" si="386"/>
        <v>5210.451260795593</v>
      </c>
      <c r="AQ287" s="527">
        <f t="shared" si="386"/>
        <v>5210.451260795593</v>
      </c>
      <c r="AR287" s="527">
        <f t="shared" si="386"/>
        <v>5210.451260795593</v>
      </c>
      <c r="AS287" s="527">
        <f t="shared" si="386"/>
        <v>5210.451260795593</v>
      </c>
      <c r="AT287" s="527">
        <f t="shared" si="386"/>
        <v>5210.451260795593</v>
      </c>
      <c r="AU287" s="527">
        <f t="shared" si="386"/>
        <v>5210.451260795593</v>
      </c>
      <c r="AV287" s="527">
        <f t="shared" si="386"/>
        <v>5210.451260795593</v>
      </c>
      <c r="AW287" s="527">
        <f t="shared" si="386"/>
        <v>5210.451260795593</v>
      </c>
      <c r="AX287" s="527">
        <f t="shared" ref="AX287:BY287" si="387">($R160*AX$590*AX495)+((($R160*AX$590)+AX218)*AX487)</f>
        <v>5210.451260795593</v>
      </c>
      <c r="AY287" s="527">
        <f t="shared" si="387"/>
        <v>5210.451260795593</v>
      </c>
      <c r="AZ287" s="527">
        <f t="shared" si="387"/>
        <v>5210.451260795593</v>
      </c>
      <c r="BA287" s="527">
        <f t="shared" si="387"/>
        <v>5210.451260795593</v>
      </c>
      <c r="BB287" s="527">
        <f t="shared" si="387"/>
        <v>5210.451260795593</v>
      </c>
      <c r="BC287" s="527">
        <f t="shared" si="387"/>
        <v>5210.451260795593</v>
      </c>
      <c r="BD287" s="527">
        <f t="shared" si="387"/>
        <v>5210.451260795593</v>
      </c>
      <c r="BE287" s="527">
        <f t="shared" si="387"/>
        <v>5210.451260795593</v>
      </c>
      <c r="BF287" s="527">
        <f t="shared" si="387"/>
        <v>5210.451260795593</v>
      </c>
      <c r="BG287" s="527">
        <f t="shared" si="387"/>
        <v>5210.451260795593</v>
      </c>
      <c r="BH287" s="527">
        <f t="shared" si="387"/>
        <v>5210.451260795593</v>
      </c>
      <c r="BI287" s="527">
        <f t="shared" si="387"/>
        <v>5210.451260795593</v>
      </c>
      <c r="BJ287" s="527">
        <f t="shared" si="387"/>
        <v>5210.451260795593</v>
      </c>
      <c r="BK287" s="527">
        <f t="shared" si="387"/>
        <v>5210.451260795593</v>
      </c>
      <c r="BL287" s="527">
        <f t="shared" si="387"/>
        <v>5210.451260795593</v>
      </c>
      <c r="BM287" s="527">
        <f t="shared" si="387"/>
        <v>5210.451260795593</v>
      </c>
      <c r="BN287" s="527">
        <f t="shared" si="387"/>
        <v>5210.451260795593</v>
      </c>
      <c r="BO287" s="527">
        <f t="shared" si="387"/>
        <v>5210.451260795593</v>
      </c>
      <c r="BP287" s="527">
        <f t="shared" si="387"/>
        <v>5210.451260795593</v>
      </c>
      <c r="BQ287" s="527">
        <f t="shared" si="387"/>
        <v>5210.451260795593</v>
      </c>
      <c r="BR287" s="527">
        <f t="shared" si="387"/>
        <v>5210.451260795593</v>
      </c>
      <c r="BS287" s="527">
        <f t="shared" si="387"/>
        <v>5210.451260795593</v>
      </c>
      <c r="BT287" s="527">
        <f t="shared" si="387"/>
        <v>5210.451260795593</v>
      </c>
      <c r="BU287" s="527">
        <f t="shared" si="387"/>
        <v>5210.451260795593</v>
      </c>
      <c r="BV287" s="527">
        <f t="shared" si="387"/>
        <v>5210.451260795593</v>
      </c>
      <c r="BW287" s="527">
        <f t="shared" si="387"/>
        <v>5210.451260795593</v>
      </c>
      <c r="BX287" s="527">
        <f t="shared" si="387"/>
        <v>5210.451260795593</v>
      </c>
      <c r="BY287" s="527">
        <f t="shared" si="387"/>
        <v>5210.451260795593</v>
      </c>
    </row>
    <row r="288" spans="3:77" x14ac:dyDescent="0.3">
      <c r="C288" s="2"/>
      <c r="D288" s="2"/>
      <c r="E288" s="4" t="s">
        <v>36</v>
      </c>
      <c r="F288" s="4"/>
      <c r="G288" s="4"/>
      <c r="H288" s="4"/>
      <c r="I288" s="4"/>
      <c r="J288" s="4"/>
      <c r="K288" s="4"/>
      <c r="L288" s="4"/>
      <c r="M288" s="4"/>
      <c r="N288" s="4"/>
      <c r="O288" s="4"/>
      <c r="P288" s="106"/>
      <c r="Q288" s="4"/>
      <c r="R288" s="498">
        <f t="shared" ref="R288:AW288" si="388">SUM(R282:R287)</f>
        <v>14514.828512216296</v>
      </c>
      <c r="S288" s="498">
        <f t="shared" si="388"/>
        <v>14514.828512216296</v>
      </c>
      <c r="T288" s="498">
        <f t="shared" si="388"/>
        <v>14514.828512216296</v>
      </c>
      <c r="U288" s="498">
        <f t="shared" si="388"/>
        <v>14514.828512216296</v>
      </c>
      <c r="V288" s="498">
        <f t="shared" si="388"/>
        <v>14514.828512216296</v>
      </c>
      <c r="W288" s="498">
        <f t="shared" si="388"/>
        <v>14514.828512216296</v>
      </c>
      <c r="X288" s="498">
        <f t="shared" si="388"/>
        <v>14847.231385343162</v>
      </c>
      <c r="Y288" s="498">
        <f t="shared" si="388"/>
        <v>14847.231385343162</v>
      </c>
      <c r="Z288" s="498">
        <f t="shared" si="388"/>
        <v>14847.231385343162</v>
      </c>
      <c r="AA288" s="498">
        <f t="shared" si="388"/>
        <v>14847.231385343162</v>
      </c>
      <c r="AB288" s="498">
        <f t="shared" si="388"/>
        <v>14847.231385343162</v>
      </c>
      <c r="AC288" s="498">
        <f t="shared" si="388"/>
        <v>14847.231385343162</v>
      </c>
      <c r="AD288" s="498">
        <f t="shared" si="388"/>
        <v>14772.026327972186</v>
      </c>
      <c r="AE288" s="498">
        <f t="shared" si="388"/>
        <v>14772.026327972186</v>
      </c>
      <c r="AF288" s="498">
        <f t="shared" si="388"/>
        <v>14772.026327972186</v>
      </c>
      <c r="AG288" s="498">
        <f t="shared" si="388"/>
        <v>14772.026327972186</v>
      </c>
      <c r="AH288" s="498">
        <f t="shared" si="388"/>
        <v>14772.026327972186</v>
      </c>
      <c r="AI288" s="498">
        <f t="shared" si="388"/>
        <v>14772.026327972186</v>
      </c>
      <c r="AJ288" s="498">
        <f t="shared" si="388"/>
        <v>15169.671935624003</v>
      </c>
      <c r="AK288" s="498">
        <f t="shared" si="388"/>
        <v>15169.671935624003</v>
      </c>
      <c r="AL288" s="498">
        <f t="shared" si="388"/>
        <v>15169.671935624003</v>
      </c>
      <c r="AM288" s="498">
        <f t="shared" si="388"/>
        <v>15169.671935624003</v>
      </c>
      <c r="AN288" s="530">
        <f t="shared" si="388"/>
        <v>15169.671935624003</v>
      </c>
      <c r="AO288" s="530">
        <f t="shared" si="388"/>
        <v>15169.671935624003</v>
      </c>
      <c r="AP288" s="530">
        <f t="shared" si="388"/>
        <v>15027.456027711462</v>
      </c>
      <c r="AQ288" s="530">
        <f t="shared" si="388"/>
        <v>15027.456027711462</v>
      </c>
      <c r="AR288" s="530">
        <f t="shared" si="388"/>
        <v>15027.456027711462</v>
      </c>
      <c r="AS288" s="530">
        <f t="shared" si="388"/>
        <v>15027.456027711462</v>
      </c>
      <c r="AT288" s="530">
        <f t="shared" si="388"/>
        <v>15027.456027711462</v>
      </c>
      <c r="AU288" s="530">
        <f t="shared" si="388"/>
        <v>15027.456027711462</v>
      </c>
      <c r="AV288" s="530">
        <f t="shared" si="388"/>
        <v>15489.498562848261</v>
      </c>
      <c r="AW288" s="530">
        <f t="shared" si="388"/>
        <v>15489.498562848261</v>
      </c>
      <c r="AX288" s="530">
        <f t="shared" ref="AX288:BY288" si="389">SUM(AX282:AX287)</f>
        <v>15489.498562848261</v>
      </c>
      <c r="AY288" s="530">
        <f t="shared" si="389"/>
        <v>15489.498562848261</v>
      </c>
      <c r="AZ288" s="530">
        <f t="shared" si="389"/>
        <v>15489.498562848261</v>
      </c>
      <c r="BA288" s="530">
        <f t="shared" si="389"/>
        <v>15489.498562848261</v>
      </c>
      <c r="BB288" s="530">
        <f t="shared" si="389"/>
        <v>15290.959450441615</v>
      </c>
      <c r="BC288" s="530">
        <f t="shared" si="389"/>
        <v>15290.959450441615</v>
      </c>
      <c r="BD288" s="530">
        <f t="shared" si="389"/>
        <v>15290.959450441615</v>
      </c>
      <c r="BE288" s="530">
        <f t="shared" si="389"/>
        <v>15290.959450441615</v>
      </c>
      <c r="BF288" s="530">
        <f t="shared" si="389"/>
        <v>15290.959450441615</v>
      </c>
      <c r="BG288" s="530">
        <f t="shared" si="389"/>
        <v>15290.959450441615</v>
      </c>
      <c r="BH288" s="530">
        <f t="shared" si="389"/>
        <v>15816.949015446711</v>
      </c>
      <c r="BI288" s="530">
        <f t="shared" si="389"/>
        <v>15816.949015446711</v>
      </c>
      <c r="BJ288" s="530">
        <f t="shared" si="389"/>
        <v>15816.949015446711</v>
      </c>
      <c r="BK288" s="530">
        <f t="shared" si="389"/>
        <v>15816.949015446711</v>
      </c>
      <c r="BL288" s="530">
        <f t="shared" si="389"/>
        <v>15816.949015446711</v>
      </c>
      <c r="BM288" s="530">
        <f t="shared" si="389"/>
        <v>15816.949015446711</v>
      </c>
      <c r="BN288" s="530">
        <f t="shared" si="389"/>
        <v>15557.391244577871</v>
      </c>
      <c r="BO288" s="530">
        <f t="shared" si="389"/>
        <v>15557.391244577871</v>
      </c>
      <c r="BP288" s="530">
        <f t="shared" si="389"/>
        <v>15557.391244577871</v>
      </c>
      <c r="BQ288" s="530">
        <f t="shared" si="389"/>
        <v>15557.391244577871</v>
      </c>
      <c r="BR288" s="530">
        <f t="shared" si="389"/>
        <v>15557.391244577871</v>
      </c>
      <c r="BS288" s="530">
        <f t="shared" si="389"/>
        <v>15557.391244577871</v>
      </c>
      <c r="BT288" s="530">
        <f t="shared" si="389"/>
        <v>16146.154913329463</v>
      </c>
      <c r="BU288" s="530">
        <f t="shared" si="389"/>
        <v>16146.154913329463</v>
      </c>
      <c r="BV288" s="530">
        <f t="shared" si="389"/>
        <v>16146.154913329463</v>
      </c>
      <c r="BW288" s="530">
        <f t="shared" si="389"/>
        <v>16146.154913329463</v>
      </c>
      <c r="BX288" s="530">
        <f t="shared" si="389"/>
        <v>16146.154913329463</v>
      </c>
      <c r="BY288" s="530">
        <f t="shared" si="389"/>
        <v>16146.154913329463</v>
      </c>
    </row>
    <row r="289" spans="3:77" x14ac:dyDescent="0.3">
      <c r="C289" s="2"/>
      <c r="D289" s="2"/>
      <c r="E289" s="2"/>
      <c r="F289" s="2"/>
      <c r="G289" s="2"/>
      <c r="H289" s="2"/>
      <c r="I289" s="2"/>
      <c r="J289" s="2"/>
      <c r="K289" s="2"/>
      <c r="L289" s="2"/>
      <c r="M289" s="2"/>
      <c r="N289" s="2"/>
      <c r="O289" s="2"/>
      <c r="P289" s="10"/>
      <c r="Q289" s="2"/>
      <c r="R289" s="2"/>
      <c r="S289" s="2"/>
      <c r="T289" s="2"/>
      <c r="U289" s="2"/>
      <c r="V289" s="2"/>
      <c r="W289" s="2"/>
      <c r="X289" s="2"/>
      <c r="Y289" s="2"/>
      <c r="Z289" s="2"/>
      <c r="AA289" s="2"/>
      <c r="AB289" s="2"/>
      <c r="AC289" s="2"/>
      <c r="AD289" s="2"/>
      <c r="AE289" s="2"/>
      <c r="AF289" s="2"/>
      <c r="AG289" s="2"/>
      <c r="AH289" s="2"/>
      <c r="AI289" s="2"/>
      <c r="AJ289" s="2"/>
      <c r="AK289" s="2"/>
      <c r="AL289" s="2"/>
      <c r="AM289" s="2"/>
      <c r="AN289" s="525"/>
      <c r="AO289" s="525"/>
      <c r="AP289" s="525"/>
      <c r="AQ289" s="525"/>
      <c r="AR289" s="525"/>
      <c r="AS289" s="525"/>
      <c r="AT289" s="525"/>
      <c r="AU289" s="525"/>
      <c r="AV289" s="525"/>
      <c r="AW289" s="525"/>
      <c r="AX289" s="525"/>
      <c r="AY289" s="525"/>
      <c r="AZ289" s="525"/>
      <c r="BA289" s="525"/>
      <c r="BB289" s="525"/>
      <c r="BC289" s="525"/>
      <c r="BD289" s="525"/>
      <c r="BE289" s="525"/>
      <c r="BF289" s="525"/>
      <c r="BG289" s="525"/>
      <c r="BH289" s="525"/>
      <c r="BI289" s="525"/>
      <c r="BJ289" s="525"/>
      <c r="BK289" s="525"/>
      <c r="BL289" s="525"/>
      <c r="BM289" s="525"/>
      <c r="BN289" s="525"/>
      <c r="BO289" s="525"/>
      <c r="BP289" s="525"/>
      <c r="BQ289" s="525"/>
      <c r="BR289" s="525"/>
      <c r="BS289" s="525"/>
      <c r="BT289" s="525"/>
      <c r="BU289" s="525"/>
      <c r="BV289" s="525"/>
      <c r="BW289" s="525"/>
      <c r="BX289" s="525"/>
      <c r="BY289" s="525"/>
    </row>
    <row r="290" spans="3:77" x14ac:dyDescent="0.3">
      <c r="C290" s="2"/>
      <c r="D290" s="2"/>
      <c r="E290" s="123" t="str">
        <f>"WSM gross sales: "&amp;E$155</f>
        <v>WSM gross sales: FY27 Tranche</v>
      </c>
      <c r="F290" s="2"/>
      <c r="G290" s="2"/>
      <c r="H290" s="2"/>
      <c r="I290" s="2"/>
      <c r="J290" s="2"/>
      <c r="K290" s="2"/>
      <c r="L290" s="2"/>
      <c r="M290" s="2"/>
      <c r="N290" s="2"/>
      <c r="O290" s="2"/>
      <c r="P290" s="10"/>
      <c r="Q290" s="2"/>
      <c r="R290" s="497">
        <f t="shared" ref="R290:AW290" si="390">IFERROR(R282/R$224,0)</f>
        <v>5318.5978517780386</v>
      </c>
      <c r="S290" s="497">
        <f t="shared" si="390"/>
        <v>5318.5978517780386</v>
      </c>
      <c r="T290" s="497">
        <f t="shared" si="390"/>
        <v>5318.5978517780386</v>
      </c>
      <c r="U290" s="497">
        <f t="shared" si="390"/>
        <v>5318.5978517780386</v>
      </c>
      <c r="V290" s="497">
        <f t="shared" si="390"/>
        <v>5318.5978517780386</v>
      </c>
      <c r="W290" s="497">
        <f t="shared" si="390"/>
        <v>5318.5978517780386</v>
      </c>
      <c r="X290" s="497">
        <f t="shared" si="390"/>
        <v>6268.6438135684721</v>
      </c>
      <c r="Y290" s="497">
        <f t="shared" si="390"/>
        <v>6268.6438135684721</v>
      </c>
      <c r="Z290" s="497">
        <f t="shared" si="390"/>
        <v>6268.6438135684721</v>
      </c>
      <c r="AA290" s="497">
        <f t="shared" si="390"/>
        <v>6268.6438135684721</v>
      </c>
      <c r="AB290" s="497">
        <f t="shared" si="390"/>
        <v>6268.6438135684721</v>
      </c>
      <c r="AC290" s="497">
        <f t="shared" si="390"/>
        <v>6268.6438135684721</v>
      </c>
      <c r="AD290" s="497">
        <f t="shared" si="390"/>
        <v>6053.6990377023358</v>
      </c>
      <c r="AE290" s="497">
        <f t="shared" si="390"/>
        <v>6053.6990377023358</v>
      </c>
      <c r="AF290" s="497">
        <f t="shared" si="390"/>
        <v>6053.6990377023358</v>
      </c>
      <c r="AG290" s="497">
        <f t="shared" si="390"/>
        <v>6053.6990377023358</v>
      </c>
      <c r="AH290" s="497">
        <f t="shared" si="390"/>
        <v>6053.6990377023358</v>
      </c>
      <c r="AI290" s="497">
        <f t="shared" si="390"/>
        <v>6053.6990377023358</v>
      </c>
      <c r="AJ290" s="497">
        <f t="shared" si="390"/>
        <v>6263.6111900355982</v>
      </c>
      <c r="AK290" s="497">
        <f t="shared" si="390"/>
        <v>6263.6111900355982</v>
      </c>
      <c r="AL290" s="497">
        <f t="shared" si="390"/>
        <v>6263.6111900355982</v>
      </c>
      <c r="AM290" s="497">
        <f t="shared" si="390"/>
        <v>6263.6111900355982</v>
      </c>
      <c r="AN290" s="527">
        <f t="shared" si="390"/>
        <v>6263.6111900355982</v>
      </c>
      <c r="AO290" s="527">
        <f t="shared" si="390"/>
        <v>6263.6111900355982</v>
      </c>
      <c r="AP290" s="527">
        <f t="shared" si="390"/>
        <v>6059.9590777004705</v>
      </c>
      <c r="AQ290" s="527">
        <f t="shared" si="390"/>
        <v>6059.9590777004705</v>
      </c>
      <c r="AR290" s="527">
        <f t="shared" si="390"/>
        <v>6059.9590777004705</v>
      </c>
      <c r="AS290" s="527">
        <f t="shared" si="390"/>
        <v>6059.9590777004705</v>
      </c>
      <c r="AT290" s="527">
        <f t="shared" si="390"/>
        <v>6059.9590777004705</v>
      </c>
      <c r="AU290" s="527">
        <f t="shared" si="390"/>
        <v>6059.9590777004705</v>
      </c>
      <c r="AV290" s="527">
        <f t="shared" si="390"/>
        <v>6268.3691593224576</v>
      </c>
      <c r="AW290" s="527">
        <f t="shared" si="390"/>
        <v>6268.3691593224576</v>
      </c>
      <c r="AX290" s="527">
        <f t="shared" ref="AX290:BY290" si="391">IFERROR(AX282/AX$224,0)</f>
        <v>6268.3691593224576</v>
      </c>
      <c r="AY290" s="527">
        <f t="shared" si="391"/>
        <v>6268.3691593224576</v>
      </c>
      <c r="AZ290" s="527">
        <f t="shared" si="391"/>
        <v>6268.3691593224576</v>
      </c>
      <c r="BA290" s="527">
        <f t="shared" si="391"/>
        <v>6268.3691593224576</v>
      </c>
      <c r="BB290" s="527">
        <f t="shared" si="391"/>
        <v>6078.308839008032</v>
      </c>
      <c r="BC290" s="527">
        <f t="shared" si="391"/>
        <v>6078.308839008032</v>
      </c>
      <c r="BD290" s="527">
        <f t="shared" si="391"/>
        <v>6078.308839008032</v>
      </c>
      <c r="BE290" s="527">
        <f t="shared" si="391"/>
        <v>6078.308839008032</v>
      </c>
      <c r="BF290" s="527">
        <f t="shared" si="391"/>
        <v>6078.308839008032</v>
      </c>
      <c r="BG290" s="527">
        <f t="shared" si="391"/>
        <v>6078.308839008032</v>
      </c>
      <c r="BH290" s="527">
        <f t="shared" si="391"/>
        <v>6285.7399446392046</v>
      </c>
      <c r="BI290" s="527">
        <f t="shared" si="391"/>
        <v>6285.7399446392046</v>
      </c>
      <c r="BJ290" s="527">
        <f t="shared" si="391"/>
        <v>6285.7399446392046</v>
      </c>
      <c r="BK290" s="527">
        <f t="shared" si="391"/>
        <v>6285.7399446392046</v>
      </c>
      <c r="BL290" s="527">
        <f t="shared" si="391"/>
        <v>6285.7399446392046</v>
      </c>
      <c r="BM290" s="527">
        <f t="shared" si="391"/>
        <v>6285.7399446392046</v>
      </c>
      <c r="BN290" s="527">
        <f t="shared" si="391"/>
        <v>6098.7107485500801</v>
      </c>
      <c r="BO290" s="527">
        <f t="shared" si="391"/>
        <v>6098.7107485500801</v>
      </c>
      <c r="BP290" s="527">
        <f t="shared" si="391"/>
        <v>6098.7107485500801</v>
      </c>
      <c r="BQ290" s="527">
        <f t="shared" si="391"/>
        <v>6098.7107485500801</v>
      </c>
      <c r="BR290" s="527">
        <f t="shared" si="391"/>
        <v>6098.7107485500801</v>
      </c>
      <c r="BS290" s="527">
        <f t="shared" si="391"/>
        <v>6098.7107485500801</v>
      </c>
      <c r="BT290" s="527">
        <f t="shared" si="391"/>
        <v>6305.2340878239238</v>
      </c>
      <c r="BU290" s="527">
        <f t="shared" si="391"/>
        <v>6305.2340878239238</v>
      </c>
      <c r="BV290" s="527">
        <f t="shared" si="391"/>
        <v>6305.2340878239238</v>
      </c>
      <c r="BW290" s="527">
        <f t="shared" si="391"/>
        <v>6305.2340878239238</v>
      </c>
      <c r="BX290" s="527">
        <f t="shared" si="391"/>
        <v>6305.2340878239238</v>
      </c>
      <c r="BY290" s="527">
        <f t="shared" si="391"/>
        <v>6305.2340878239238</v>
      </c>
    </row>
    <row r="291" spans="3:77" x14ac:dyDescent="0.3">
      <c r="C291" s="2"/>
      <c r="D291" s="2"/>
      <c r="E291" s="123" t="str">
        <f>"WSM gross sales: "&amp;E$156</f>
        <v>WSM gross sales: FY28 Tranche</v>
      </c>
      <c r="F291" s="2"/>
      <c r="G291" s="2"/>
      <c r="H291" s="2"/>
      <c r="I291" s="2"/>
      <c r="J291" s="2"/>
      <c r="K291" s="2"/>
      <c r="L291" s="2"/>
      <c r="M291" s="2"/>
      <c r="N291" s="2"/>
      <c r="O291" s="2"/>
      <c r="P291" s="10"/>
      <c r="Q291" s="2"/>
      <c r="R291" s="497">
        <f t="shared" ref="R291:AW291" si="392">IFERROR(R283/R$224,0)</f>
        <v>5318.5978517780386</v>
      </c>
      <c r="S291" s="497">
        <f t="shared" si="392"/>
        <v>5318.5978517780386</v>
      </c>
      <c r="T291" s="497">
        <f t="shared" si="392"/>
        <v>5318.5978517780386</v>
      </c>
      <c r="U291" s="497">
        <f t="shared" si="392"/>
        <v>5318.5978517780386</v>
      </c>
      <c r="V291" s="497">
        <f t="shared" si="392"/>
        <v>5318.5978517780386</v>
      </c>
      <c r="W291" s="497">
        <f t="shared" si="392"/>
        <v>5318.5978517780386</v>
      </c>
      <c r="X291" s="497">
        <f t="shared" si="392"/>
        <v>5318.5978517780386</v>
      </c>
      <c r="Y291" s="497">
        <f t="shared" si="392"/>
        <v>5318.5978517780386</v>
      </c>
      <c r="Z291" s="497">
        <f t="shared" si="392"/>
        <v>5318.5978517780386</v>
      </c>
      <c r="AA291" s="497">
        <f t="shared" si="392"/>
        <v>5318.5978517780386</v>
      </c>
      <c r="AB291" s="497">
        <f t="shared" si="392"/>
        <v>5318.5978517780386</v>
      </c>
      <c r="AC291" s="497">
        <f t="shared" si="392"/>
        <v>5318.5978517780386</v>
      </c>
      <c r="AD291" s="497">
        <f t="shared" si="392"/>
        <v>5318.5978517780386</v>
      </c>
      <c r="AE291" s="497">
        <f t="shared" si="392"/>
        <v>5318.5978517780386</v>
      </c>
      <c r="AF291" s="497">
        <f t="shared" si="392"/>
        <v>5318.5978517780386</v>
      </c>
      <c r="AG291" s="497">
        <f t="shared" si="392"/>
        <v>5318.5978517780386</v>
      </c>
      <c r="AH291" s="497">
        <f t="shared" si="392"/>
        <v>5318.5978517780386</v>
      </c>
      <c r="AI291" s="497">
        <f t="shared" si="392"/>
        <v>5318.5978517780386</v>
      </c>
      <c r="AJ291" s="497">
        <f t="shared" si="392"/>
        <v>6245.2029630278912</v>
      </c>
      <c r="AK291" s="497">
        <f t="shared" si="392"/>
        <v>6245.2029630278912</v>
      </c>
      <c r="AL291" s="497">
        <f t="shared" si="392"/>
        <v>6245.2029630278912</v>
      </c>
      <c r="AM291" s="497">
        <f t="shared" si="392"/>
        <v>6245.2029630278912</v>
      </c>
      <c r="AN291" s="527">
        <f t="shared" si="392"/>
        <v>6245.2029630278912</v>
      </c>
      <c r="AO291" s="527">
        <f t="shared" si="392"/>
        <v>6245.2029630278912</v>
      </c>
      <c r="AP291" s="527">
        <f t="shared" si="392"/>
        <v>6042.385517071617</v>
      </c>
      <c r="AQ291" s="527">
        <f t="shared" si="392"/>
        <v>6042.385517071617</v>
      </c>
      <c r="AR291" s="527">
        <f t="shared" si="392"/>
        <v>6042.385517071617</v>
      </c>
      <c r="AS291" s="527">
        <f t="shared" si="392"/>
        <v>6042.385517071617</v>
      </c>
      <c r="AT291" s="527">
        <f t="shared" si="392"/>
        <v>6042.385517071617</v>
      </c>
      <c r="AU291" s="527">
        <f t="shared" si="392"/>
        <v>6042.385517071617</v>
      </c>
      <c r="AV291" s="527">
        <f t="shared" si="392"/>
        <v>6250.0926562684499</v>
      </c>
      <c r="AW291" s="527">
        <f t="shared" si="392"/>
        <v>6250.0926562684499</v>
      </c>
      <c r="AX291" s="527">
        <f t="shared" ref="AX291:BY291" si="393">IFERROR(AX283/AX$224,0)</f>
        <v>6250.0926562684499</v>
      </c>
      <c r="AY291" s="527">
        <f t="shared" si="393"/>
        <v>6250.0926562684499</v>
      </c>
      <c r="AZ291" s="527">
        <f t="shared" si="393"/>
        <v>6250.0926562684499</v>
      </c>
      <c r="BA291" s="527">
        <f t="shared" si="393"/>
        <v>6250.0926562684499</v>
      </c>
      <c r="BB291" s="527">
        <f t="shared" si="393"/>
        <v>6060.8178276195749</v>
      </c>
      <c r="BC291" s="527">
        <f t="shared" si="393"/>
        <v>6060.8178276195749</v>
      </c>
      <c r="BD291" s="527">
        <f t="shared" si="393"/>
        <v>6060.8178276195749</v>
      </c>
      <c r="BE291" s="527">
        <f t="shared" si="393"/>
        <v>6060.8178276195749</v>
      </c>
      <c r="BF291" s="527">
        <f t="shared" si="393"/>
        <v>6060.8178276195749</v>
      </c>
      <c r="BG291" s="527">
        <f t="shared" si="393"/>
        <v>6060.8178276195749</v>
      </c>
      <c r="BH291" s="527">
        <f t="shared" si="393"/>
        <v>6267.5492927952082</v>
      </c>
      <c r="BI291" s="527">
        <f t="shared" si="393"/>
        <v>6267.5492927952082</v>
      </c>
      <c r="BJ291" s="527">
        <f t="shared" si="393"/>
        <v>6267.5492927952082</v>
      </c>
      <c r="BK291" s="527">
        <f t="shared" si="393"/>
        <v>6267.5492927952082</v>
      </c>
      <c r="BL291" s="527">
        <f t="shared" si="393"/>
        <v>6267.5492927952082</v>
      </c>
      <c r="BM291" s="527">
        <f t="shared" si="393"/>
        <v>6267.5492927952082</v>
      </c>
      <c r="BN291" s="527">
        <f t="shared" si="393"/>
        <v>6081.2962818613469</v>
      </c>
      <c r="BO291" s="527">
        <f t="shared" si="393"/>
        <v>6081.2962818613469</v>
      </c>
      <c r="BP291" s="527">
        <f t="shared" si="393"/>
        <v>6081.2962818613469</v>
      </c>
      <c r="BQ291" s="527">
        <f t="shared" si="393"/>
        <v>6081.2962818613469</v>
      </c>
      <c r="BR291" s="527">
        <f t="shared" si="393"/>
        <v>6081.2962818613469</v>
      </c>
      <c r="BS291" s="527">
        <f t="shared" si="393"/>
        <v>6081.2962818613469</v>
      </c>
      <c r="BT291" s="527">
        <f t="shared" si="393"/>
        <v>6287.1230424676396</v>
      </c>
      <c r="BU291" s="527">
        <f t="shared" si="393"/>
        <v>6287.1230424676396</v>
      </c>
      <c r="BV291" s="527">
        <f t="shared" si="393"/>
        <v>6287.1230424676396</v>
      </c>
      <c r="BW291" s="527">
        <f t="shared" si="393"/>
        <v>6287.1230424676396</v>
      </c>
      <c r="BX291" s="527">
        <f t="shared" si="393"/>
        <v>6287.1230424676396</v>
      </c>
      <c r="BY291" s="527">
        <f t="shared" si="393"/>
        <v>6287.1230424676396</v>
      </c>
    </row>
    <row r="292" spans="3:77" x14ac:dyDescent="0.3">
      <c r="C292" s="2"/>
      <c r="D292" s="2"/>
      <c r="E292" s="123" t="str">
        <f>"WSM gross sales: "&amp;E$157</f>
        <v>WSM gross sales: FY29 Tranche</v>
      </c>
      <c r="F292" s="2"/>
      <c r="G292" s="2"/>
      <c r="H292" s="2"/>
      <c r="I292" s="2"/>
      <c r="J292" s="2"/>
      <c r="K292" s="2"/>
      <c r="L292" s="2"/>
      <c r="M292" s="2"/>
      <c r="N292" s="2"/>
      <c r="O292" s="2"/>
      <c r="P292" s="10"/>
      <c r="Q292" s="2"/>
      <c r="R292" s="497">
        <f t="shared" ref="R292:AW292" si="394">IFERROR(R284/R$224,0)</f>
        <v>5318.5978517780386</v>
      </c>
      <c r="S292" s="497">
        <f t="shared" si="394"/>
        <v>5318.5978517780386</v>
      </c>
      <c r="T292" s="497">
        <f t="shared" si="394"/>
        <v>5318.5978517780386</v>
      </c>
      <c r="U292" s="497">
        <f t="shared" si="394"/>
        <v>5318.5978517780386</v>
      </c>
      <c r="V292" s="497">
        <f t="shared" si="394"/>
        <v>5318.5978517780386</v>
      </c>
      <c r="W292" s="497">
        <f t="shared" si="394"/>
        <v>5318.5978517780386</v>
      </c>
      <c r="X292" s="497">
        <f t="shared" si="394"/>
        <v>5318.5978517780386</v>
      </c>
      <c r="Y292" s="497">
        <f t="shared" si="394"/>
        <v>5318.5978517780386</v>
      </c>
      <c r="Z292" s="497">
        <f t="shared" si="394"/>
        <v>5318.5978517780386</v>
      </c>
      <c r="AA292" s="497">
        <f t="shared" si="394"/>
        <v>5318.5978517780386</v>
      </c>
      <c r="AB292" s="497">
        <f t="shared" si="394"/>
        <v>5318.5978517780386</v>
      </c>
      <c r="AC292" s="497">
        <f t="shared" si="394"/>
        <v>5318.5978517780386</v>
      </c>
      <c r="AD292" s="497">
        <f t="shared" si="394"/>
        <v>5318.5978517780386</v>
      </c>
      <c r="AE292" s="497">
        <f t="shared" si="394"/>
        <v>5318.5978517780386</v>
      </c>
      <c r="AF292" s="497">
        <f t="shared" si="394"/>
        <v>5318.5978517780386</v>
      </c>
      <c r="AG292" s="497">
        <f t="shared" si="394"/>
        <v>5318.5978517780386</v>
      </c>
      <c r="AH292" s="497">
        <f t="shared" si="394"/>
        <v>5318.5978517780386</v>
      </c>
      <c r="AI292" s="497">
        <f t="shared" si="394"/>
        <v>5318.5978517780386</v>
      </c>
      <c r="AJ292" s="497">
        <f t="shared" si="394"/>
        <v>5318.5978517780386</v>
      </c>
      <c r="AK292" s="497">
        <f t="shared" si="394"/>
        <v>5318.5978517780386</v>
      </c>
      <c r="AL292" s="497">
        <f t="shared" si="394"/>
        <v>5318.5978517780386</v>
      </c>
      <c r="AM292" s="497">
        <f t="shared" si="394"/>
        <v>5318.5978517780386</v>
      </c>
      <c r="AN292" s="527">
        <f t="shared" si="394"/>
        <v>5318.5978517780386</v>
      </c>
      <c r="AO292" s="527">
        <f t="shared" si="394"/>
        <v>5318.5978517780386</v>
      </c>
      <c r="AP292" s="527">
        <f t="shared" si="394"/>
        <v>5318.5978517780386</v>
      </c>
      <c r="AQ292" s="527">
        <f t="shared" si="394"/>
        <v>5318.5978517780386</v>
      </c>
      <c r="AR292" s="527">
        <f t="shared" si="394"/>
        <v>5318.5978517780386</v>
      </c>
      <c r="AS292" s="527">
        <f t="shared" si="394"/>
        <v>5318.5978517780386</v>
      </c>
      <c r="AT292" s="527">
        <f t="shared" si="394"/>
        <v>5318.5978517780386</v>
      </c>
      <c r="AU292" s="527">
        <f t="shared" si="394"/>
        <v>5318.5978517780386</v>
      </c>
      <c r="AV292" s="527">
        <f t="shared" si="394"/>
        <v>6223.0517817223927</v>
      </c>
      <c r="AW292" s="527">
        <f t="shared" si="394"/>
        <v>6223.0517817223927</v>
      </c>
      <c r="AX292" s="527">
        <f t="shared" ref="AX292:BY292" si="395">IFERROR(AX284/AX$224,0)</f>
        <v>6223.0517817223927</v>
      </c>
      <c r="AY292" s="527">
        <f t="shared" si="395"/>
        <v>6223.0517817223927</v>
      </c>
      <c r="AZ292" s="527">
        <f t="shared" si="395"/>
        <v>6223.0517817223927</v>
      </c>
      <c r="BA292" s="527">
        <f t="shared" si="395"/>
        <v>6223.0517817223927</v>
      </c>
      <c r="BB292" s="527">
        <f t="shared" si="395"/>
        <v>6034.9391218714745</v>
      </c>
      <c r="BC292" s="527">
        <f t="shared" si="395"/>
        <v>6034.9391218714745</v>
      </c>
      <c r="BD292" s="527">
        <f t="shared" si="395"/>
        <v>6034.9391218714745</v>
      </c>
      <c r="BE292" s="527">
        <f t="shared" si="395"/>
        <v>6034.9391218714745</v>
      </c>
      <c r="BF292" s="527">
        <f t="shared" si="395"/>
        <v>6034.9391218714745</v>
      </c>
      <c r="BG292" s="527">
        <f t="shared" si="395"/>
        <v>6034.9391218714745</v>
      </c>
      <c r="BH292" s="527">
        <f t="shared" si="395"/>
        <v>6240.6354388171849</v>
      </c>
      <c r="BI292" s="527">
        <f t="shared" si="395"/>
        <v>6240.6354388171849</v>
      </c>
      <c r="BJ292" s="527">
        <f t="shared" si="395"/>
        <v>6240.6354388171849</v>
      </c>
      <c r="BK292" s="527">
        <f t="shared" si="395"/>
        <v>6240.6354388171849</v>
      </c>
      <c r="BL292" s="527">
        <f t="shared" si="395"/>
        <v>6240.6354388171849</v>
      </c>
      <c r="BM292" s="527">
        <f t="shared" si="395"/>
        <v>6240.6354388171849</v>
      </c>
      <c r="BN292" s="527">
        <f t="shared" si="395"/>
        <v>6055.5308272979128</v>
      </c>
      <c r="BO292" s="527">
        <f t="shared" si="395"/>
        <v>6055.5308272979128</v>
      </c>
      <c r="BP292" s="527">
        <f t="shared" si="395"/>
        <v>6055.5308272979128</v>
      </c>
      <c r="BQ292" s="527">
        <f t="shared" si="395"/>
        <v>6055.5308272979128</v>
      </c>
      <c r="BR292" s="527">
        <f t="shared" si="395"/>
        <v>6055.5308272979128</v>
      </c>
      <c r="BS292" s="527">
        <f t="shared" si="395"/>
        <v>6055.5308272979128</v>
      </c>
      <c r="BT292" s="527">
        <f t="shared" si="395"/>
        <v>6260.3269697216692</v>
      </c>
      <c r="BU292" s="527">
        <f t="shared" si="395"/>
        <v>6260.3269697216692</v>
      </c>
      <c r="BV292" s="527">
        <f t="shared" si="395"/>
        <v>6260.3269697216692</v>
      </c>
      <c r="BW292" s="527">
        <f t="shared" si="395"/>
        <v>6260.3269697216692</v>
      </c>
      <c r="BX292" s="527">
        <f t="shared" si="395"/>
        <v>6260.3269697216692</v>
      </c>
      <c r="BY292" s="527">
        <f t="shared" si="395"/>
        <v>6260.3269697216692</v>
      </c>
    </row>
    <row r="293" spans="3:77" x14ac:dyDescent="0.3">
      <c r="C293" s="2"/>
      <c r="D293" s="2"/>
      <c r="E293" s="123" t="str">
        <f>"WSM gross sales: "&amp;E$158</f>
        <v>WSM gross sales: FY30 Tranche</v>
      </c>
      <c r="F293" s="2"/>
      <c r="G293" s="2"/>
      <c r="H293" s="2"/>
      <c r="I293" s="2"/>
      <c r="J293" s="2"/>
      <c r="K293" s="2"/>
      <c r="L293" s="2"/>
      <c r="M293" s="2"/>
      <c r="N293" s="2"/>
      <c r="O293" s="2"/>
      <c r="P293" s="10"/>
      <c r="Q293" s="2"/>
      <c r="R293" s="497">
        <f t="shared" ref="R293:AW293" si="396">IFERROR(R285/R$224,0)</f>
        <v>5318.5978517780386</v>
      </c>
      <c r="S293" s="497">
        <f t="shared" si="396"/>
        <v>5318.5978517780386</v>
      </c>
      <c r="T293" s="497">
        <f t="shared" si="396"/>
        <v>5318.5978517780386</v>
      </c>
      <c r="U293" s="497">
        <f t="shared" si="396"/>
        <v>5318.5978517780386</v>
      </c>
      <c r="V293" s="497">
        <f t="shared" si="396"/>
        <v>5318.5978517780386</v>
      </c>
      <c r="W293" s="497">
        <f t="shared" si="396"/>
        <v>5318.5978517780386</v>
      </c>
      <c r="X293" s="497">
        <f t="shared" si="396"/>
        <v>5318.5978517780386</v>
      </c>
      <c r="Y293" s="497">
        <f t="shared" si="396"/>
        <v>5318.5978517780386</v>
      </c>
      <c r="Z293" s="497">
        <f t="shared" si="396"/>
        <v>5318.5978517780386</v>
      </c>
      <c r="AA293" s="497">
        <f t="shared" si="396"/>
        <v>5318.5978517780386</v>
      </c>
      <c r="AB293" s="497">
        <f t="shared" si="396"/>
        <v>5318.5978517780386</v>
      </c>
      <c r="AC293" s="497">
        <f t="shared" si="396"/>
        <v>5318.5978517780386</v>
      </c>
      <c r="AD293" s="497">
        <f t="shared" si="396"/>
        <v>5318.5978517780386</v>
      </c>
      <c r="AE293" s="497">
        <f t="shared" si="396"/>
        <v>5318.5978517780386</v>
      </c>
      <c r="AF293" s="497">
        <f t="shared" si="396"/>
        <v>5318.5978517780386</v>
      </c>
      <c r="AG293" s="497">
        <f t="shared" si="396"/>
        <v>5318.5978517780386</v>
      </c>
      <c r="AH293" s="497">
        <f t="shared" si="396"/>
        <v>5318.5978517780386</v>
      </c>
      <c r="AI293" s="497">
        <f t="shared" si="396"/>
        <v>5318.5978517780386</v>
      </c>
      <c r="AJ293" s="497">
        <f t="shared" si="396"/>
        <v>5318.5978517780386</v>
      </c>
      <c r="AK293" s="497">
        <f t="shared" si="396"/>
        <v>5318.5978517780386</v>
      </c>
      <c r="AL293" s="497">
        <f t="shared" si="396"/>
        <v>5318.5978517780386</v>
      </c>
      <c r="AM293" s="497">
        <f t="shared" si="396"/>
        <v>5318.5978517780386</v>
      </c>
      <c r="AN293" s="527">
        <f t="shared" si="396"/>
        <v>5318.5978517780386</v>
      </c>
      <c r="AO293" s="527">
        <f t="shared" si="396"/>
        <v>5318.5978517780386</v>
      </c>
      <c r="AP293" s="527">
        <f t="shared" si="396"/>
        <v>5318.5978517780386</v>
      </c>
      <c r="AQ293" s="527">
        <f t="shared" si="396"/>
        <v>5318.5978517780386</v>
      </c>
      <c r="AR293" s="527">
        <f t="shared" si="396"/>
        <v>5318.5978517780386</v>
      </c>
      <c r="AS293" s="527">
        <f t="shared" si="396"/>
        <v>5318.5978517780386</v>
      </c>
      <c r="AT293" s="527">
        <f t="shared" si="396"/>
        <v>5318.5978517780386</v>
      </c>
      <c r="AU293" s="527">
        <f t="shared" si="396"/>
        <v>5318.5978517780386</v>
      </c>
      <c r="AV293" s="527">
        <f t="shared" si="396"/>
        <v>5318.5978517780386</v>
      </c>
      <c r="AW293" s="527">
        <f t="shared" si="396"/>
        <v>5318.5978517780386</v>
      </c>
      <c r="AX293" s="527">
        <f t="shared" ref="AX293:BY293" si="397">IFERROR(AX285/AX$224,0)</f>
        <v>5318.5978517780386</v>
      </c>
      <c r="AY293" s="527">
        <f t="shared" si="397"/>
        <v>5318.5978517780386</v>
      </c>
      <c r="AZ293" s="527">
        <f t="shared" si="397"/>
        <v>5318.5978517780386</v>
      </c>
      <c r="BA293" s="527">
        <f t="shared" si="397"/>
        <v>5318.5978517780386</v>
      </c>
      <c r="BB293" s="527">
        <f t="shared" si="397"/>
        <v>5318.5978517780386</v>
      </c>
      <c r="BC293" s="527">
        <f t="shared" si="397"/>
        <v>5318.5978517780386</v>
      </c>
      <c r="BD293" s="527">
        <f t="shared" si="397"/>
        <v>5318.5978517780386</v>
      </c>
      <c r="BE293" s="527">
        <f t="shared" si="397"/>
        <v>5318.5978517780386</v>
      </c>
      <c r="BF293" s="527">
        <f t="shared" si="397"/>
        <v>5318.5978517780386</v>
      </c>
      <c r="BG293" s="527">
        <f t="shared" si="397"/>
        <v>5318.5978517780386</v>
      </c>
      <c r="BH293" s="527">
        <f t="shared" si="397"/>
        <v>6202.0781424034258</v>
      </c>
      <c r="BI293" s="527">
        <f t="shared" si="397"/>
        <v>6202.0781424034258</v>
      </c>
      <c r="BJ293" s="527">
        <f t="shared" si="397"/>
        <v>6202.0781424034258</v>
      </c>
      <c r="BK293" s="527">
        <f t="shared" si="397"/>
        <v>6202.0781424034258</v>
      </c>
      <c r="BL293" s="527">
        <f t="shared" si="397"/>
        <v>6202.0781424034258</v>
      </c>
      <c r="BM293" s="527">
        <f t="shared" si="397"/>
        <v>6202.0781424034258</v>
      </c>
      <c r="BN293" s="527">
        <f t="shared" si="397"/>
        <v>6018.6187496129878</v>
      </c>
      <c r="BO293" s="527">
        <f t="shared" si="397"/>
        <v>6018.6187496129878</v>
      </c>
      <c r="BP293" s="527">
        <f t="shared" si="397"/>
        <v>6018.6187496129878</v>
      </c>
      <c r="BQ293" s="527">
        <f t="shared" si="397"/>
        <v>6018.6187496129878</v>
      </c>
      <c r="BR293" s="527">
        <f t="shared" si="397"/>
        <v>6018.6187496129878</v>
      </c>
      <c r="BS293" s="527">
        <f t="shared" si="397"/>
        <v>6018.6187496129878</v>
      </c>
      <c r="BT293" s="527">
        <f t="shared" si="397"/>
        <v>6221.9384089293462</v>
      </c>
      <c r="BU293" s="527">
        <f t="shared" si="397"/>
        <v>6221.9384089293462</v>
      </c>
      <c r="BV293" s="527">
        <f t="shared" si="397"/>
        <v>6221.9384089293462</v>
      </c>
      <c r="BW293" s="527">
        <f t="shared" si="397"/>
        <v>6221.9384089293462</v>
      </c>
      <c r="BX293" s="527">
        <f t="shared" si="397"/>
        <v>6221.9384089293462</v>
      </c>
      <c r="BY293" s="527">
        <f t="shared" si="397"/>
        <v>6221.9384089293462</v>
      </c>
    </row>
    <row r="294" spans="3:77" x14ac:dyDescent="0.3">
      <c r="C294" s="2"/>
      <c r="D294" s="2"/>
      <c r="E294" s="123" t="str">
        <f>"WSM gross sales: "&amp;E$159</f>
        <v>WSM gross sales: FY31 Tranche</v>
      </c>
      <c r="F294" s="2"/>
      <c r="G294" s="2"/>
      <c r="H294" s="2"/>
      <c r="I294" s="2"/>
      <c r="J294" s="2"/>
      <c r="K294" s="2"/>
      <c r="L294" s="2"/>
      <c r="M294" s="2"/>
      <c r="N294" s="2"/>
      <c r="O294" s="2"/>
      <c r="P294" s="10"/>
      <c r="Q294" s="2"/>
      <c r="R294" s="497">
        <f t="shared" ref="R294:AW294" si="398">IFERROR(R286/R$224,0)</f>
        <v>5318.5978517780386</v>
      </c>
      <c r="S294" s="497">
        <f t="shared" si="398"/>
        <v>5318.5978517780386</v>
      </c>
      <c r="T294" s="497">
        <f t="shared" si="398"/>
        <v>5318.5978517780386</v>
      </c>
      <c r="U294" s="497">
        <f t="shared" si="398"/>
        <v>5318.5978517780386</v>
      </c>
      <c r="V294" s="497">
        <f t="shared" si="398"/>
        <v>5318.5978517780386</v>
      </c>
      <c r="W294" s="497">
        <f t="shared" si="398"/>
        <v>5318.5978517780386</v>
      </c>
      <c r="X294" s="497">
        <f t="shared" si="398"/>
        <v>5318.5978517780386</v>
      </c>
      <c r="Y294" s="497">
        <f t="shared" si="398"/>
        <v>5318.5978517780386</v>
      </c>
      <c r="Z294" s="497">
        <f t="shared" si="398"/>
        <v>5318.5978517780386</v>
      </c>
      <c r="AA294" s="497">
        <f t="shared" si="398"/>
        <v>5318.5978517780386</v>
      </c>
      <c r="AB294" s="497">
        <f t="shared" si="398"/>
        <v>5318.5978517780386</v>
      </c>
      <c r="AC294" s="497">
        <f t="shared" si="398"/>
        <v>5318.5978517780386</v>
      </c>
      <c r="AD294" s="497">
        <f t="shared" si="398"/>
        <v>5318.5978517780386</v>
      </c>
      <c r="AE294" s="497">
        <f t="shared" si="398"/>
        <v>5318.5978517780386</v>
      </c>
      <c r="AF294" s="497">
        <f t="shared" si="398"/>
        <v>5318.5978517780386</v>
      </c>
      <c r="AG294" s="497">
        <f t="shared" si="398"/>
        <v>5318.5978517780386</v>
      </c>
      <c r="AH294" s="497">
        <f t="shared" si="398"/>
        <v>5318.5978517780386</v>
      </c>
      <c r="AI294" s="497">
        <f t="shared" si="398"/>
        <v>5318.5978517780386</v>
      </c>
      <c r="AJ294" s="497">
        <f t="shared" si="398"/>
        <v>5318.5978517780386</v>
      </c>
      <c r="AK294" s="497">
        <f t="shared" si="398"/>
        <v>5318.5978517780386</v>
      </c>
      <c r="AL294" s="497">
        <f t="shared" si="398"/>
        <v>5318.5978517780386</v>
      </c>
      <c r="AM294" s="497">
        <f t="shared" si="398"/>
        <v>5318.5978517780386</v>
      </c>
      <c r="AN294" s="527">
        <f t="shared" si="398"/>
        <v>5318.5978517780386</v>
      </c>
      <c r="AO294" s="527">
        <f t="shared" si="398"/>
        <v>5318.5978517780386</v>
      </c>
      <c r="AP294" s="527">
        <f t="shared" si="398"/>
        <v>5318.5978517780386</v>
      </c>
      <c r="AQ294" s="527">
        <f t="shared" si="398"/>
        <v>5318.5978517780386</v>
      </c>
      <c r="AR294" s="527">
        <f t="shared" si="398"/>
        <v>5318.5978517780386</v>
      </c>
      <c r="AS294" s="527">
        <f t="shared" si="398"/>
        <v>5318.5978517780386</v>
      </c>
      <c r="AT294" s="527">
        <f t="shared" si="398"/>
        <v>5318.5978517780386</v>
      </c>
      <c r="AU294" s="527">
        <f t="shared" si="398"/>
        <v>5318.5978517780386</v>
      </c>
      <c r="AV294" s="527">
        <f t="shared" si="398"/>
        <v>5318.5978517780386</v>
      </c>
      <c r="AW294" s="527">
        <f t="shared" si="398"/>
        <v>5318.5978517780386</v>
      </c>
      <c r="AX294" s="527">
        <f t="shared" ref="AX294:BY294" si="399">IFERROR(AX286/AX$224,0)</f>
        <v>5318.5978517780386</v>
      </c>
      <c r="AY294" s="527">
        <f t="shared" si="399"/>
        <v>5318.5978517780386</v>
      </c>
      <c r="AZ294" s="527">
        <f t="shared" si="399"/>
        <v>5318.5978517780386</v>
      </c>
      <c r="BA294" s="527">
        <f t="shared" si="399"/>
        <v>5318.5978517780386</v>
      </c>
      <c r="BB294" s="527">
        <f t="shared" si="399"/>
        <v>5318.5978517780386</v>
      </c>
      <c r="BC294" s="527">
        <f t="shared" si="399"/>
        <v>5318.5978517780386</v>
      </c>
      <c r="BD294" s="527">
        <f t="shared" si="399"/>
        <v>5318.5978517780386</v>
      </c>
      <c r="BE294" s="527">
        <f t="shared" si="399"/>
        <v>5318.5978517780386</v>
      </c>
      <c r="BF294" s="527">
        <f t="shared" si="399"/>
        <v>5318.5978517780386</v>
      </c>
      <c r="BG294" s="527">
        <f t="shared" si="399"/>
        <v>5318.5978517780386</v>
      </c>
      <c r="BH294" s="527">
        <f t="shared" si="399"/>
        <v>5318.5978517780386</v>
      </c>
      <c r="BI294" s="527">
        <f t="shared" si="399"/>
        <v>5318.5978517780386</v>
      </c>
      <c r="BJ294" s="527">
        <f t="shared" si="399"/>
        <v>5318.5978517780386</v>
      </c>
      <c r="BK294" s="527">
        <f t="shared" si="399"/>
        <v>5318.5978517780386</v>
      </c>
      <c r="BL294" s="527">
        <f t="shared" si="399"/>
        <v>5318.5978517780386</v>
      </c>
      <c r="BM294" s="527">
        <f t="shared" si="399"/>
        <v>5318.5978517780386</v>
      </c>
      <c r="BN294" s="527">
        <f t="shared" si="399"/>
        <v>5318.5978517780386</v>
      </c>
      <c r="BO294" s="527">
        <f t="shared" si="399"/>
        <v>5318.5978517780386</v>
      </c>
      <c r="BP294" s="527">
        <f t="shared" si="399"/>
        <v>5318.5978517780386</v>
      </c>
      <c r="BQ294" s="527">
        <f t="shared" si="399"/>
        <v>5318.5978517780386</v>
      </c>
      <c r="BR294" s="527">
        <f t="shared" si="399"/>
        <v>5318.5978517780386</v>
      </c>
      <c r="BS294" s="527">
        <f t="shared" si="399"/>
        <v>5318.5978517780386</v>
      </c>
      <c r="BT294" s="527">
        <f t="shared" si="399"/>
        <v>6180.8867972643111</v>
      </c>
      <c r="BU294" s="527">
        <f t="shared" si="399"/>
        <v>6180.8867972643111</v>
      </c>
      <c r="BV294" s="527">
        <f t="shared" si="399"/>
        <v>6180.8867972643111</v>
      </c>
      <c r="BW294" s="527">
        <f t="shared" si="399"/>
        <v>6180.8867972643111</v>
      </c>
      <c r="BX294" s="527">
        <f t="shared" si="399"/>
        <v>6180.8867972643111</v>
      </c>
      <c r="BY294" s="527">
        <f t="shared" si="399"/>
        <v>6180.8867972643111</v>
      </c>
    </row>
    <row r="295" spans="3:77" x14ac:dyDescent="0.3">
      <c r="C295" s="2"/>
      <c r="D295" s="2"/>
      <c r="E295" s="123" t="str">
        <f>"WSM gross sales: "&amp;E$160</f>
        <v>WSM gross sales: Uninvested Tranche</v>
      </c>
      <c r="F295" s="2"/>
      <c r="G295" s="2"/>
      <c r="H295" s="2"/>
      <c r="I295" s="2"/>
      <c r="J295" s="2"/>
      <c r="K295" s="2"/>
      <c r="L295" s="2"/>
      <c r="M295" s="2"/>
      <c r="N295" s="2"/>
      <c r="O295" s="2"/>
      <c r="P295" s="10"/>
      <c r="Q295" s="2"/>
      <c r="R295" s="497">
        <f t="shared" ref="R295:AW295" si="400">IFERROR(R287/R$224,0)</f>
        <v>14892.073984978508</v>
      </c>
      <c r="S295" s="497">
        <f t="shared" si="400"/>
        <v>14892.073984978508</v>
      </c>
      <c r="T295" s="497">
        <f t="shared" si="400"/>
        <v>14892.073984978508</v>
      </c>
      <c r="U295" s="497">
        <f t="shared" si="400"/>
        <v>14892.073984978508</v>
      </c>
      <c r="V295" s="497">
        <f t="shared" si="400"/>
        <v>14892.073984978508</v>
      </c>
      <c r="W295" s="497">
        <f t="shared" si="400"/>
        <v>14892.073984978508</v>
      </c>
      <c r="X295" s="497">
        <f t="shared" si="400"/>
        <v>14892.073984978508</v>
      </c>
      <c r="Y295" s="497">
        <f t="shared" si="400"/>
        <v>14892.073984978508</v>
      </c>
      <c r="Z295" s="497">
        <f t="shared" si="400"/>
        <v>14892.073984978508</v>
      </c>
      <c r="AA295" s="497">
        <f t="shared" si="400"/>
        <v>14892.073984978508</v>
      </c>
      <c r="AB295" s="497">
        <f t="shared" si="400"/>
        <v>14892.073984978508</v>
      </c>
      <c r="AC295" s="497">
        <f t="shared" si="400"/>
        <v>14892.073984978508</v>
      </c>
      <c r="AD295" s="497">
        <f t="shared" si="400"/>
        <v>14892.073984978508</v>
      </c>
      <c r="AE295" s="497">
        <f t="shared" si="400"/>
        <v>14892.073984978508</v>
      </c>
      <c r="AF295" s="497">
        <f t="shared" si="400"/>
        <v>14892.073984978508</v>
      </c>
      <c r="AG295" s="497">
        <f t="shared" si="400"/>
        <v>14892.073984978508</v>
      </c>
      <c r="AH295" s="497">
        <f t="shared" si="400"/>
        <v>14892.073984978508</v>
      </c>
      <c r="AI295" s="497">
        <f t="shared" si="400"/>
        <v>14892.073984978508</v>
      </c>
      <c r="AJ295" s="497">
        <f t="shared" si="400"/>
        <v>14892.073984978508</v>
      </c>
      <c r="AK295" s="497">
        <f t="shared" si="400"/>
        <v>14892.073984978508</v>
      </c>
      <c r="AL295" s="497">
        <f t="shared" si="400"/>
        <v>14892.073984978508</v>
      </c>
      <c r="AM295" s="497">
        <f t="shared" si="400"/>
        <v>14892.073984978508</v>
      </c>
      <c r="AN295" s="527">
        <f t="shared" si="400"/>
        <v>14892.073984978508</v>
      </c>
      <c r="AO295" s="527">
        <f t="shared" si="400"/>
        <v>14892.073984978508</v>
      </c>
      <c r="AP295" s="527">
        <f t="shared" si="400"/>
        <v>14892.073984978508</v>
      </c>
      <c r="AQ295" s="527">
        <f t="shared" si="400"/>
        <v>14892.073984978508</v>
      </c>
      <c r="AR295" s="527">
        <f t="shared" si="400"/>
        <v>14892.073984978508</v>
      </c>
      <c r="AS295" s="527">
        <f t="shared" si="400"/>
        <v>14892.073984978508</v>
      </c>
      <c r="AT295" s="527">
        <f t="shared" si="400"/>
        <v>14892.073984978508</v>
      </c>
      <c r="AU295" s="527">
        <f t="shared" si="400"/>
        <v>14892.073984978508</v>
      </c>
      <c r="AV295" s="527">
        <f t="shared" si="400"/>
        <v>14892.073984978508</v>
      </c>
      <c r="AW295" s="527">
        <f t="shared" si="400"/>
        <v>14892.073984978508</v>
      </c>
      <c r="AX295" s="527">
        <f t="shared" ref="AX295:BY295" si="401">IFERROR(AX287/AX$224,0)</f>
        <v>14892.073984978508</v>
      </c>
      <c r="AY295" s="527">
        <f t="shared" si="401"/>
        <v>14892.073984978508</v>
      </c>
      <c r="AZ295" s="527">
        <f t="shared" si="401"/>
        <v>14892.073984978508</v>
      </c>
      <c r="BA295" s="527">
        <f t="shared" si="401"/>
        <v>14892.073984978508</v>
      </c>
      <c r="BB295" s="527">
        <f t="shared" si="401"/>
        <v>14892.073984978508</v>
      </c>
      <c r="BC295" s="527">
        <f t="shared" si="401"/>
        <v>14892.073984978508</v>
      </c>
      <c r="BD295" s="527">
        <f t="shared" si="401"/>
        <v>14892.073984978508</v>
      </c>
      <c r="BE295" s="527">
        <f t="shared" si="401"/>
        <v>14892.073984978508</v>
      </c>
      <c r="BF295" s="527">
        <f t="shared" si="401"/>
        <v>14892.073984978508</v>
      </c>
      <c r="BG295" s="527">
        <f t="shared" si="401"/>
        <v>14892.073984978508</v>
      </c>
      <c r="BH295" s="527">
        <f t="shared" si="401"/>
        <v>14892.073984978508</v>
      </c>
      <c r="BI295" s="527">
        <f t="shared" si="401"/>
        <v>14892.073984978508</v>
      </c>
      <c r="BJ295" s="527">
        <f t="shared" si="401"/>
        <v>14892.073984978508</v>
      </c>
      <c r="BK295" s="527">
        <f t="shared" si="401"/>
        <v>14892.073984978508</v>
      </c>
      <c r="BL295" s="527">
        <f t="shared" si="401"/>
        <v>14892.073984978508</v>
      </c>
      <c r="BM295" s="527">
        <f t="shared" si="401"/>
        <v>14892.073984978508</v>
      </c>
      <c r="BN295" s="527">
        <f t="shared" si="401"/>
        <v>14892.073984978508</v>
      </c>
      <c r="BO295" s="527">
        <f t="shared" si="401"/>
        <v>14892.073984978508</v>
      </c>
      <c r="BP295" s="527">
        <f t="shared" si="401"/>
        <v>14892.073984978508</v>
      </c>
      <c r="BQ295" s="527">
        <f t="shared" si="401"/>
        <v>14892.073984978508</v>
      </c>
      <c r="BR295" s="527">
        <f t="shared" si="401"/>
        <v>14892.073984978508</v>
      </c>
      <c r="BS295" s="527">
        <f t="shared" si="401"/>
        <v>14892.073984978508</v>
      </c>
      <c r="BT295" s="527">
        <f t="shared" si="401"/>
        <v>14892.073984978508</v>
      </c>
      <c r="BU295" s="527">
        <f t="shared" si="401"/>
        <v>14892.073984978508</v>
      </c>
      <c r="BV295" s="527">
        <f t="shared" si="401"/>
        <v>14892.073984978508</v>
      </c>
      <c r="BW295" s="527">
        <f t="shared" si="401"/>
        <v>14892.073984978508</v>
      </c>
      <c r="BX295" s="527">
        <f t="shared" si="401"/>
        <v>14892.073984978508</v>
      </c>
      <c r="BY295" s="527">
        <f t="shared" si="401"/>
        <v>14892.073984978508</v>
      </c>
    </row>
    <row r="296" spans="3:77" x14ac:dyDescent="0.3">
      <c r="C296" s="2"/>
      <c r="D296" s="2"/>
      <c r="E296" s="4" t="s">
        <v>36</v>
      </c>
      <c r="F296" s="4"/>
      <c r="G296" s="4"/>
      <c r="H296" s="4"/>
      <c r="I296" s="4"/>
      <c r="J296" s="4"/>
      <c r="K296" s="4"/>
      <c r="L296" s="4"/>
      <c r="M296" s="4"/>
      <c r="N296" s="4"/>
      <c r="O296" s="4"/>
      <c r="P296" s="106"/>
      <c r="Q296" s="4"/>
      <c r="R296" s="498">
        <f t="shared" ref="R296:AW296" si="402">SUM(R290:R295)</f>
        <v>41485.063243868703</v>
      </c>
      <c r="S296" s="498">
        <f t="shared" si="402"/>
        <v>41485.063243868703</v>
      </c>
      <c r="T296" s="498">
        <f t="shared" si="402"/>
        <v>41485.063243868703</v>
      </c>
      <c r="U296" s="498">
        <f t="shared" si="402"/>
        <v>41485.063243868703</v>
      </c>
      <c r="V296" s="498">
        <f t="shared" si="402"/>
        <v>41485.063243868703</v>
      </c>
      <c r="W296" s="498">
        <f t="shared" si="402"/>
        <v>41485.063243868703</v>
      </c>
      <c r="X296" s="498">
        <f t="shared" si="402"/>
        <v>42435.109205659137</v>
      </c>
      <c r="Y296" s="498">
        <f t="shared" si="402"/>
        <v>42435.109205659137</v>
      </c>
      <c r="Z296" s="498">
        <f t="shared" si="402"/>
        <v>42435.109205659137</v>
      </c>
      <c r="AA296" s="498">
        <f t="shared" si="402"/>
        <v>42435.109205659137</v>
      </c>
      <c r="AB296" s="498">
        <f t="shared" si="402"/>
        <v>42435.109205659137</v>
      </c>
      <c r="AC296" s="498">
        <f t="shared" si="402"/>
        <v>42435.109205659137</v>
      </c>
      <c r="AD296" s="498">
        <f t="shared" si="402"/>
        <v>42220.164429792996</v>
      </c>
      <c r="AE296" s="498">
        <f t="shared" si="402"/>
        <v>42220.164429792996</v>
      </c>
      <c r="AF296" s="498">
        <f t="shared" si="402"/>
        <v>42220.164429792996</v>
      </c>
      <c r="AG296" s="498">
        <f t="shared" si="402"/>
        <v>42220.164429792996</v>
      </c>
      <c r="AH296" s="498">
        <f t="shared" si="402"/>
        <v>42220.164429792996</v>
      </c>
      <c r="AI296" s="498">
        <f t="shared" si="402"/>
        <v>42220.164429792996</v>
      </c>
      <c r="AJ296" s="498">
        <f t="shared" si="402"/>
        <v>43356.681693376115</v>
      </c>
      <c r="AK296" s="498">
        <f t="shared" si="402"/>
        <v>43356.681693376115</v>
      </c>
      <c r="AL296" s="498">
        <f t="shared" si="402"/>
        <v>43356.681693376115</v>
      </c>
      <c r="AM296" s="498">
        <f t="shared" si="402"/>
        <v>43356.681693376115</v>
      </c>
      <c r="AN296" s="530">
        <f t="shared" si="402"/>
        <v>43356.681693376115</v>
      </c>
      <c r="AO296" s="530">
        <f t="shared" si="402"/>
        <v>43356.681693376115</v>
      </c>
      <c r="AP296" s="530">
        <f t="shared" si="402"/>
        <v>42950.212135084708</v>
      </c>
      <c r="AQ296" s="530">
        <f t="shared" si="402"/>
        <v>42950.212135084708</v>
      </c>
      <c r="AR296" s="530">
        <f t="shared" si="402"/>
        <v>42950.212135084708</v>
      </c>
      <c r="AS296" s="530">
        <f t="shared" si="402"/>
        <v>42950.212135084708</v>
      </c>
      <c r="AT296" s="530">
        <f t="shared" si="402"/>
        <v>42950.212135084708</v>
      </c>
      <c r="AU296" s="530">
        <f t="shared" si="402"/>
        <v>42950.212135084708</v>
      </c>
      <c r="AV296" s="530">
        <f t="shared" si="402"/>
        <v>44270.783285847887</v>
      </c>
      <c r="AW296" s="530">
        <f t="shared" si="402"/>
        <v>44270.783285847887</v>
      </c>
      <c r="AX296" s="530">
        <f t="shared" ref="AX296:BY296" si="403">SUM(AX290:AX295)</f>
        <v>44270.783285847887</v>
      </c>
      <c r="AY296" s="530">
        <f t="shared" si="403"/>
        <v>44270.783285847887</v>
      </c>
      <c r="AZ296" s="530">
        <f t="shared" si="403"/>
        <v>44270.783285847887</v>
      </c>
      <c r="BA296" s="530">
        <f t="shared" si="403"/>
        <v>44270.783285847887</v>
      </c>
      <c r="BB296" s="530">
        <f t="shared" si="403"/>
        <v>43703.335477033666</v>
      </c>
      <c r="BC296" s="530">
        <f t="shared" si="403"/>
        <v>43703.335477033666</v>
      </c>
      <c r="BD296" s="530">
        <f t="shared" si="403"/>
        <v>43703.335477033666</v>
      </c>
      <c r="BE296" s="530">
        <f t="shared" si="403"/>
        <v>43703.335477033666</v>
      </c>
      <c r="BF296" s="530">
        <f t="shared" si="403"/>
        <v>43703.335477033666</v>
      </c>
      <c r="BG296" s="530">
        <f t="shared" si="403"/>
        <v>43703.335477033666</v>
      </c>
      <c r="BH296" s="530">
        <f t="shared" si="403"/>
        <v>45206.674655411567</v>
      </c>
      <c r="BI296" s="530">
        <f t="shared" si="403"/>
        <v>45206.674655411567</v>
      </c>
      <c r="BJ296" s="530">
        <f t="shared" si="403"/>
        <v>45206.674655411567</v>
      </c>
      <c r="BK296" s="530">
        <f t="shared" si="403"/>
        <v>45206.674655411567</v>
      </c>
      <c r="BL296" s="530">
        <f t="shared" si="403"/>
        <v>45206.674655411567</v>
      </c>
      <c r="BM296" s="530">
        <f t="shared" si="403"/>
        <v>45206.674655411567</v>
      </c>
      <c r="BN296" s="530">
        <f t="shared" si="403"/>
        <v>44464.828444078878</v>
      </c>
      <c r="BO296" s="530">
        <f t="shared" si="403"/>
        <v>44464.828444078878</v>
      </c>
      <c r="BP296" s="530">
        <f t="shared" si="403"/>
        <v>44464.828444078878</v>
      </c>
      <c r="BQ296" s="530">
        <f t="shared" si="403"/>
        <v>44464.828444078878</v>
      </c>
      <c r="BR296" s="530">
        <f t="shared" si="403"/>
        <v>44464.828444078878</v>
      </c>
      <c r="BS296" s="530">
        <f t="shared" si="403"/>
        <v>44464.828444078878</v>
      </c>
      <c r="BT296" s="530">
        <f t="shared" si="403"/>
        <v>46147.583291185401</v>
      </c>
      <c r="BU296" s="530">
        <f t="shared" si="403"/>
        <v>46147.583291185401</v>
      </c>
      <c r="BV296" s="530">
        <f t="shared" si="403"/>
        <v>46147.583291185401</v>
      </c>
      <c r="BW296" s="530">
        <f t="shared" si="403"/>
        <v>46147.583291185401</v>
      </c>
      <c r="BX296" s="530">
        <f t="shared" si="403"/>
        <v>46147.583291185401</v>
      </c>
      <c r="BY296" s="530">
        <f t="shared" si="403"/>
        <v>46147.583291185401</v>
      </c>
    </row>
    <row r="297" spans="3:77" x14ac:dyDescent="0.3">
      <c r="C297" s="2"/>
      <c r="D297" s="2"/>
      <c r="E297" s="2"/>
      <c r="F297" s="2"/>
      <c r="G297" s="2"/>
      <c r="H297" s="2"/>
      <c r="I297" s="2"/>
      <c r="J297" s="2"/>
      <c r="K297" s="2"/>
      <c r="L297" s="2"/>
      <c r="M297" s="2"/>
      <c r="N297" s="2"/>
      <c r="O297" s="2"/>
      <c r="P297" s="10"/>
      <c r="Q297" s="2"/>
      <c r="R297" s="2"/>
      <c r="S297" s="2"/>
      <c r="T297" s="2"/>
      <c r="U297" s="2"/>
      <c r="V297" s="2"/>
      <c r="W297" s="2"/>
      <c r="X297" s="2"/>
      <c r="Y297" s="2"/>
      <c r="Z297" s="2"/>
      <c r="AA297" s="2"/>
      <c r="AB297" s="2"/>
      <c r="AC297" s="2"/>
      <c r="AD297" s="2"/>
      <c r="AE297" s="2"/>
      <c r="AF297" s="2"/>
      <c r="AG297" s="2"/>
      <c r="AH297" s="2"/>
      <c r="AI297" s="2"/>
      <c r="AJ297" s="2"/>
      <c r="AK297" s="2"/>
      <c r="AL297" s="2"/>
      <c r="AM297" s="2"/>
      <c r="AN297" s="525"/>
      <c r="AO297" s="525"/>
      <c r="AP297" s="525"/>
      <c r="AQ297" s="525"/>
      <c r="AR297" s="525"/>
      <c r="AS297" s="525"/>
      <c r="AT297" s="525"/>
      <c r="AU297" s="525"/>
      <c r="AV297" s="525"/>
      <c r="AW297" s="525"/>
      <c r="AX297" s="525"/>
      <c r="AY297" s="525"/>
      <c r="AZ297" s="525"/>
      <c r="BA297" s="525"/>
      <c r="BB297" s="525"/>
      <c r="BC297" s="525"/>
      <c r="BD297" s="525"/>
      <c r="BE297" s="525"/>
      <c r="BF297" s="525"/>
      <c r="BG297" s="525"/>
      <c r="BH297" s="525"/>
      <c r="BI297" s="525"/>
      <c r="BJ297" s="525"/>
      <c r="BK297" s="525"/>
      <c r="BL297" s="525"/>
      <c r="BM297" s="525"/>
      <c r="BN297" s="525"/>
      <c r="BO297" s="525"/>
      <c r="BP297" s="525"/>
      <c r="BQ297" s="525"/>
      <c r="BR297" s="525"/>
      <c r="BS297" s="525"/>
      <c r="BT297" s="525"/>
      <c r="BU297" s="525"/>
      <c r="BV297" s="525"/>
      <c r="BW297" s="525"/>
      <c r="BX297" s="525"/>
      <c r="BY297" s="525"/>
    </row>
    <row r="298" spans="3:77" x14ac:dyDescent="0.3">
      <c r="C298" s="2"/>
      <c r="D298" s="2"/>
      <c r="E298" s="124" t="str">
        <f>"WSM cost of sales: "&amp;E$155</f>
        <v>WSM cost of sales: FY27 Tranche</v>
      </c>
      <c r="F298" s="2"/>
      <c r="G298" s="2"/>
      <c r="H298" s="2"/>
      <c r="I298" s="2"/>
      <c r="J298" s="2"/>
      <c r="K298" s="2"/>
      <c r="L298" s="2"/>
      <c r="M298" s="2"/>
      <c r="N298" s="2"/>
      <c r="O298" s="2"/>
      <c r="P298" s="10"/>
      <c r="Q298" s="2"/>
      <c r="R298" s="497">
        <f t="shared" ref="R298:AW298" si="404">(R282-R290)*R$232</f>
        <v>-2617.7954096118592</v>
      </c>
      <c r="S298" s="497">
        <f t="shared" si="404"/>
        <v>-2617.7954096118592</v>
      </c>
      <c r="T298" s="497">
        <f t="shared" si="404"/>
        <v>-2617.7954096118592</v>
      </c>
      <c r="U298" s="497">
        <f t="shared" si="404"/>
        <v>-2617.7954096118592</v>
      </c>
      <c r="V298" s="497">
        <f t="shared" si="404"/>
        <v>-2617.7954096118592</v>
      </c>
      <c r="W298" s="497">
        <f t="shared" si="404"/>
        <v>-2617.7954096118592</v>
      </c>
      <c r="X298" s="497">
        <f t="shared" si="404"/>
        <v>-3085.4047357924146</v>
      </c>
      <c r="Y298" s="497">
        <f t="shared" si="404"/>
        <v>-3085.4047357924146</v>
      </c>
      <c r="Z298" s="497">
        <f t="shared" si="404"/>
        <v>-3085.4047357924146</v>
      </c>
      <c r="AA298" s="497">
        <f t="shared" si="404"/>
        <v>-3085.4047357924146</v>
      </c>
      <c r="AB298" s="497">
        <f t="shared" si="404"/>
        <v>-3085.4047357924146</v>
      </c>
      <c r="AC298" s="497">
        <f t="shared" si="404"/>
        <v>-3085.4047357924146</v>
      </c>
      <c r="AD298" s="497">
        <f t="shared" si="404"/>
        <v>-2979.6096628683895</v>
      </c>
      <c r="AE298" s="497">
        <f t="shared" si="404"/>
        <v>-2979.6096628683895</v>
      </c>
      <c r="AF298" s="497">
        <f t="shared" si="404"/>
        <v>-2979.6096628683895</v>
      </c>
      <c r="AG298" s="497">
        <f t="shared" si="404"/>
        <v>-2979.6096628683895</v>
      </c>
      <c r="AH298" s="497">
        <f t="shared" si="404"/>
        <v>-2979.6096628683895</v>
      </c>
      <c r="AI298" s="497">
        <f t="shared" si="404"/>
        <v>-2979.6096628683895</v>
      </c>
      <c r="AJ298" s="497">
        <f t="shared" si="404"/>
        <v>-3082.9276959503713</v>
      </c>
      <c r="AK298" s="497">
        <f t="shared" si="404"/>
        <v>-3082.9276959503713</v>
      </c>
      <c r="AL298" s="497">
        <f t="shared" si="404"/>
        <v>-3082.9276959503713</v>
      </c>
      <c r="AM298" s="497">
        <f t="shared" si="404"/>
        <v>-3082.9276959503713</v>
      </c>
      <c r="AN298" s="527">
        <f t="shared" si="404"/>
        <v>-3082.9276959503713</v>
      </c>
      <c r="AO298" s="527">
        <f t="shared" si="404"/>
        <v>-3082.9276959503713</v>
      </c>
      <c r="AP298" s="527">
        <f t="shared" si="404"/>
        <v>-2982.6908328360769</v>
      </c>
      <c r="AQ298" s="527">
        <f t="shared" si="404"/>
        <v>-2982.6908328360769</v>
      </c>
      <c r="AR298" s="527">
        <f t="shared" si="404"/>
        <v>-2982.6908328360769</v>
      </c>
      <c r="AS298" s="527">
        <f t="shared" si="404"/>
        <v>-2982.6908328360769</v>
      </c>
      <c r="AT298" s="527">
        <f t="shared" si="404"/>
        <v>-2982.6908328360769</v>
      </c>
      <c r="AU298" s="527">
        <f t="shared" si="404"/>
        <v>-2982.6908328360769</v>
      </c>
      <c r="AV298" s="527">
        <f t="shared" si="404"/>
        <v>-3085.2695519254476</v>
      </c>
      <c r="AW298" s="527">
        <f t="shared" si="404"/>
        <v>-3085.2695519254476</v>
      </c>
      <c r="AX298" s="527">
        <f t="shared" ref="AX298:BY298" si="405">(AX282-AX290)*AX$232</f>
        <v>-3085.2695519254476</v>
      </c>
      <c r="AY298" s="527">
        <f t="shared" si="405"/>
        <v>-3085.2695519254476</v>
      </c>
      <c r="AZ298" s="527">
        <f t="shared" si="405"/>
        <v>-3085.2695519254476</v>
      </c>
      <c r="BA298" s="527">
        <f t="shared" si="405"/>
        <v>-3085.2695519254476</v>
      </c>
      <c r="BB298" s="527">
        <f t="shared" si="405"/>
        <v>-2991.7225216866163</v>
      </c>
      <c r="BC298" s="527">
        <f t="shared" si="405"/>
        <v>-2991.7225216866163</v>
      </c>
      <c r="BD298" s="527">
        <f t="shared" si="405"/>
        <v>-2991.7225216866163</v>
      </c>
      <c r="BE298" s="527">
        <f t="shared" si="405"/>
        <v>-2991.7225216866163</v>
      </c>
      <c r="BF298" s="527">
        <f t="shared" si="405"/>
        <v>-2991.7225216866163</v>
      </c>
      <c r="BG298" s="527">
        <f t="shared" si="405"/>
        <v>-2991.7225216866163</v>
      </c>
      <c r="BH298" s="527">
        <f t="shared" si="405"/>
        <v>-3093.8193921898946</v>
      </c>
      <c r="BI298" s="527">
        <f t="shared" si="405"/>
        <v>-3093.8193921898946</v>
      </c>
      <c r="BJ298" s="527">
        <f t="shared" si="405"/>
        <v>-3093.8193921898946</v>
      </c>
      <c r="BK298" s="527">
        <f t="shared" si="405"/>
        <v>-3093.8193921898946</v>
      </c>
      <c r="BL298" s="527">
        <f t="shared" si="405"/>
        <v>-3093.8193921898946</v>
      </c>
      <c r="BM298" s="527">
        <f t="shared" si="405"/>
        <v>-3093.8193921898946</v>
      </c>
      <c r="BN298" s="527">
        <f t="shared" si="405"/>
        <v>-3001.7642707781811</v>
      </c>
      <c r="BO298" s="527">
        <f t="shared" si="405"/>
        <v>-3001.7642707781811</v>
      </c>
      <c r="BP298" s="527">
        <f t="shared" si="405"/>
        <v>-3001.7642707781811</v>
      </c>
      <c r="BQ298" s="527">
        <f t="shared" si="405"/>
        <v>-3001.7642707781811</v>
      </c>
      <c r="BR298" s="527">
        <f t="shared" si="405"/>
        <v>-3001.7642707781811</v>
      </c>
      <c r="BS298" s="527">
        <f t="shared" si="405"/>
        <v>-3001.7642707781811</v>
      </c>
      <c r="BT298" s="527">
        <f t="shared" si="405"/>
        <v>-3103.4143418299041</v>
      </c>
      <c r="BU298" s="527">
        <f t="shared" si="405"/>
        <v>-3103.4143418299041</v>
      </c>
      <c r="BV298" s="527">
        <f t="shared" si="405"/>
        <v>-3103.4143418299041</v>
      </c>
      <c r="BW298" s="527">
        <f t="shared" si="405"/>
        <v>-3103.4143418299041</v>
      </c>
      <c r="BX298" s="527">
        <f t="shared" si="405"/>
        <v>-3103.4143418299041</v>
      </c>
      <c r="BY298" s="527">
        <f t="shared" si="405"/>
        <v>-3103.4143418299041</v>
      </c>
    </row>
    <row r="299" spans="3:77" x14ac:dyDescent="0.3">
      <c r="C299" s="2"/>
      <c r="D299" s="2"/>
      <c r="E299" s="124" t="str">
        <f>"WSM cost of sales: "&amp;E$156</f>
        <v>WSM cost of sales: FY28 Tranche</v>
      </c>
      <c r="F299" s="2"/>
      <c r="G299" s="2"/>
      <c r="H299" s="2"/>
      <c r="I299" s="2"/>
      <c r="J299" s="2"/>
      <c r="K299" s="2"/>
      <c r="L299" s="2"/>
      <c r="M299" s="2"/>
      <c r="N299" s="2"/>
      <c r="O299" s="2"/>
      <c r="P299" s="10"/>
      <c r="Q299" s="2"/>
      <c r="R299" s="497">
        <f t="shared" ref="R299:AW299" si="406">(R283-R291)*R$232</f>
        <v>-2617.7954096118592</v>
      </c>
      <c r="S299" s="497">
        <f t="shared" si="406"/>
        <v>-2617.7954096118592</v>
      </c>
      <c r="T299" s="497">
        <f t="shared" si="406"/>
        <v>-2617.7954096118592</v>
      </c>
      <c r="U299" s="497">
        <f t="shared" si="406"/>
        <v>-2617.7954096118592</v>
      </c>
      <c r="V299" s="497">
        <f t="shared" si="406"/>
        <v>-2617.7954096118592</v>
      </c>
      <c r="W299" s="497">
        <f t="shared" si="406"/>
        <v>-2617.7954096118592</v>
      </c>
      <c r="X299" s="497">
        <f t="shared" si="406"/>
        <v>-2617.7954096118592</v>
      </c>
      <c r="Y299" s="497">
        <f t="shared" si="406"/>
        <v>-2617.7954096118592</v>
      </c>
      <c r="Z299" s="497">
        <f t="shared" si="406"/>
        <v>-2617.7954096118592</v>
      </c>
      <c r="AA299" s="497">
        <f t="shared" si="406"/>
        <v>-2617.7954096118592</v>
      </c>
      <c r="AB299" s="497">
        <f t="shared" si="406"/>
        <v>-2617.7954096118592</v>
      </c>
      <c r="AC299" s="497">
        <f t="shared" si="406"/>
        <v>-2617.7954096118592</v>
      </c>
      <c r="AD299" s="497">
        <f t="shared" si="406"/>
        <v>-2617.7954096118592</v>
      </c>
      <c r="AE299" s="497">
        <f t="shared" si="406"/>
        <v>-2617.7954096118592</v>
      </c>
      <c r="AF299" s="497">
        <f t="shared" si="406"/>
        <v>-2617.7954096118592</v>
      </c>
      <c r="AG299" s="497">
        <f t="shared" si="406"/>
        <v>-2617.7954096118592</v>
      </c>
      <c r="AH299" s="497">
        <f t="shared" si="406"/>
        <v>-2617.7954096118592</v>
      </c>
      <c r="AI299" s="497">
        <f t="shared" si="406"/>
        <v>-2617.7954096118592</v>
      </c>
      <c r="AJ299" s="497">
        <f t="shared" si="406"/>
        <v>-3073.8672304850684</v>
      </c>
      <c r="AK299" s="497">
        <f t="shared" si="406"/>
        <v>-3073.8672304850684</v>
      </c>
      <c r="AL299" s="497">
        <f t="shared" si="406"/>
        <v>-3073.8672304850684</v>
      </c>
      <c r="AM299" s="497">
        <f t="shared" si="406"/>
        <v>-3073.8672304850684</v>
      </c>
      <c r="AN299" s="527">
        <f t="shared" si="406"/>
        <v>-3073.8672304850684</v>
      </c>
      <c r="AO299" s="527">
        <f t="shared" si="406"/>
        <v>-3073.8672304850684</v>
      </c>
      <c r="AP299" s="527">
        <f t="shared" si="406"/>
        <v>-2974.0411872665459</v>
      </c>
      <c r="AQ299" s="527">
        <f t="shared" si="406"/>
        <v>-2974.0411872665459</v>
      </c>
      <c r="AR299" s="527">
        <f t="shared" si="406"/>
        <v>-2974.0411872665459</v>
      </c>
      <c r="AS299" s="527">
        <f t="shared" si="406"/>
        <v>-2974.0411872665459</v>
      </c>
      <c r="AT299" s="527">
        <f t="shared" si="406"/>
        <v>-2974.0411872665459</v>
      </c>
      <c r="AU299" s="527">
        <f t="shared" si="406"/>
        <v>-2974.0411872665459</v>
      </c>
      <c r="AV299" s="527">
        <f t="shared" si="406"/>
        <v>-3076.2739205331354</v>
      </c>
      <c r="AW299" s="527">
        <f t="shared" si="406"/>
        <v>-3076.2739205331354</v>
      </c>
      <c r="AX299" s="527">
        <f t="shared" ref="AX299:BY299" si="407">(AX283-AX291)*AX$232</f>
        <v>-3076.2739205331354</v>
      </c>
      <c r="AY299" s="527">
        <f t="shared" si="407"/>
        <v>-3076.2739205331354</v>
      </c>
      <c r="AZ299" s="527">
        <f t="shared" si="407"/>
        <v>-3076.2739205331354</v>
      </c>
      <c r="BA299" s="527">
        <f t="shared" si="407"/>
        <v>-3076.2739205331354</v>
      </c>
      <c r="BB299" s="527">
        <f t="shared" si="407"/>
        <v>-2983.1135065668018</v>
      </c>
      <c r="BC299" s="527">
        <f t="shared" si="407"/>
        <v>-2983.1135065668018</v>
      </c>
      <c r="BD299" s="527">
        <f t="shared" si="407"/>
        <v>-2983.1135065668018</v>
      </c>
      <c r="BE299" s="527">
        <f t="shared" si="407"/>
        <v>-2983.1135065668018</v>
      </c>
      <c r="BF299" s="527">
        <f t="shared" si="407"/>
        <v>-2983.1135065668018</v>
      </c>
      <c r="BG299" s="527">
        <f t="shared" si="407"/>
        <v>-2983.1135065668018</v>
      </c>
      <c r="BH299" s="527">
        <f t="shared" si="407"/>
        <v>-3084.866016465287</v>
      </c>
      <c r="BI299" s="527">
        <f t="shared" si="407"/>
        <v>-3084.866016465287</v>
      </c>
      <c r="BJ299" s="527">
        <f t="shared" si="407"/>
        <v>-3084.866016465287</v>
      </c>
      <c r="BK299" s="527">
        <f t="shared" si="407"/>
        <v>-3084.866016465287</v>
      </c>
      <c r="BL299" s="527">
        <f t="shared" si="407"/>
        <v>-3084.866016465287</v>
      </c>
      <c r="BM299" s="527">
        <f t="shared" si="407"/>
        <v>-3084.866016465287</v>
      </c>
      <c r="BN299" s="527">
        <f t="shared" si="407"/>
        <v>-2993.1929306939965</v>
      </c>
      <c r="BO299" s="527">
        <f t="shared" si="407"/>
        <v>-2993.1929306939965</v>
      </c>
      <c r="BP299" s="527">
        <f t="shared" si="407"/>
        <v>-2993.1929306939965</v>
      </c>
      <c r="BQ299" s="527">
        <f t="shared" si="407"/>
        <v>-2993.1929306939965</v>
      </c>
      <c r="BR299" s="527">
        <f t="shared" si="407"/>
        <v>-2993.1929306939965</v>
      </c>
      <c r="BS299" s="527">
        <f t="shared" si="407"/>
        <v>-2993.1929306939965</v>
      </c>
      <c r="BT299" s="527">
        <f t="shared" si="407"/>
        <v>-3094.5001481423515</v>
      </c>
      <c r="BU299" s="527">
        <f t="shared" si="407"/>
        <v>-3094.5001481423515</v>
      </c>
      <c r="BV299" s="527">
        <f t="shared" si="407"/>
        <v>-3094.5001481423515</v>
      </c>
      <c r="BW299" s="527">
        <f t="shared" si="407"/>
        <v>-3094.5001481423515</v>
      </c>
      <c r="BX299" s="527">
        <f t="shared" si="407"/>
        <v>-3094.5001481423515</v>
      </c>
      <c r="BY299" s="527">
        <f t="shared" si="407"/>
        <v>-3094.5001481423515</v>
      </c>
    </row>
    <row r="300" spans="3:77" x14ac:dyDescent="0.3">
      <c r="C300" s="2"/>
      <c r="D300" s="2"/>
      <c r="E300" s="124" t="str">
        <f>"WSM cost of sales: "&amp;E$157</f>
        <v>WSM cost of sales: FY29 Tranche</v>
      </c>
      <c r="F300" s="2"/>
      <c r="G300" s="2"/>
      <c r="H300" s="2"/>
      <c r="I300" s="2"/>
      <c r="J300" s="2"/>
      <c r="K300" s="2"/>
      <c r="L300" s="2"/>
      <c r="M300" s="2"/>
      <c r="N300" s="2"/>
      <c r="O300" s="2"/>
      <c r="P300" s="10"/>
      <c r="Q300" s="2"/>
      <c r="R300" s="497">
        <f t="shared" ref="R300:AW300" si="408">(R284-R292)*R$232</f>
        <v>-2617.7954096118592</v>
      </c>
      <c r="S300" s="497">
        <f t="shared" si="408"/>
        <v>-2617.7954096118592</v>
      </c>
      <c r="T300" s="497">
        <f t="shared" si="408"/>
        <v>-2617.7954096118592</v>
      </c>
      <c r="U300" s="497">
        <f t="shared" si="408"/>
        <v>-2617.7954096118592</v>
      </c>
      <c r="V300" s="497">
        <f t="shared" si="408"/>
        <v>-2617.7954096118592</v>
      </c>
      <c r="W300" s="497">
        <f t="shared" si="408"/>
        <v>-2617.7954096118592</v>
      </c>
      <c r="X300" s="497">
        <f t="shared" si="408"/>
        <v>-2617.7954096118592</v>
      </c>
      <c r="Y300" s="497">
        <f t="shared" si="408"/>
        <v>-2617.7954096118592</v>
      </c>
      <c r="Z300" s="497">
        <f t="shared" si="408"/>
        <v>-2617.7954096118592</v>
      </c>
      <c r="AA300" s="497">
        <f t="shared" si="408"/>
        <v>-2617.7954096118592</v>
      </c>
      <c r="AB300" s="497">
        <f t="shared" si="408"/>
        <v>-2617.7954096118592</v>
      </c>
      <c r="AC300" s="497">
        <f t="shared" si="408"/>
        <v>-2617.7954096118592</v>
      </c>
      <c r="AD300" s="497">
        <f t="shared" si="408"/>
        <v>-2617.7954096118592</v>
      </c>
      <c r="AE300" s="497">
        <f t="shared" si="408"/>
        <v>-2617.7954096118592</v>
      </c>
      <c r="AF300" s="497">
        <f t="shared" si="408"/>
        <v>-2617.7954096118592</v>
      </c>
      <c r="AG300" s="497">
        <f t="shared" si="408"/>
        <v>-2617.7954096118592</v>
      </c>
      <c r="AH300" s="497">
        <f t="shared" si="408"/>
        <v>-2617.7954096118592</v>
      </c>
      <c r="AI300" s="497">
        <f t="shared" si="408"/>
        <v>-2617.7954096118592</v>
      </c>
      <c r="AJ300" s="497">
        <f t="shared" si="408"/>
        <v>-2617.7954096118592</v>
      </c>
      <c r="AK300" s="497">
        <f t="shared" si="408"/>
        <v>-2617.7954096118592</v>
      </c>
      <c r="AL300" s="497">
        <f t="shared" si="408"/>
        <v>-2617.7954096118592</v>
      </c>
      <c r="AM300" s="497">
        <f t="shared" si="408"/>
        <v>-2617.7954096118592</v>
      </c>
      <c r="AN300" s="527">
        <f t="shared" si="408"/>
        <v>-2617.7954096118592</v>
      </c>
      <c r="AO300" s="527">
        <f t="shared" si="408"/>
        <v>-2617.7954096118592</v>
      </c>
      <c r="AP300" s="527">
        <f t="shared" si="408"/>
        <v>-2617.7954096118592</v>
      </c>
      <c r="AQ300" s="527">
        <f t="shared" si="408"/>
        <v>-2617.7954096118592</v>
      </c>
      <c r="AR300" s="527">
        <f t="shared" si="408"/>
        <v>-2617.7954096118592</v>
      </c>
      <c r="AS300" s="527">
        <f t="shared" si="408"/>
        <v>-2617.7954096118592</v>
      </c>
      <c r="AT300" s="527">
        <f t="shared" si="408"/>
        <v>-2617.7954096118592</v>
      </c>
      <c r="AU300" s="527">
        <f t="shared" si="408"/>
        <v>-2617.7954096118592</v>
      </c>
      <c r="AV300" s="527">
        <f t="shared" si="408"/>
        <v>-3062.9644959006837</v>
      </c>
      <c r="AW300" s="527">
        <f t="shared" si="408"/>
        <v>-3062.9644959006837</v>
      </c>
      <c r="AX300" s="527">
        <f t="shared" ref="AX300:BY300" si="409">(AX284-AX292)*AX$232</f>
        <v>-3062.9644959006837</v>
      </c>
      <c r="AY300" s="527">
        <f t="shared" si="409"/>
        <v>-3062.9644959006837</v>
      </c>
      <c r="AZ300" s="527">
        <f t="shared" si="409"/>
        <v>-3062.9644959006837</v>
      </c>
      <c r="BA300" s="527">
        <f t="shared" si="409"/>
        <v>-3062.9644959006837</v>
      </c>
      <c r="BB300" s="527">
        <f t="shared" si="409"/>
        <v>-2970.3760973845251</v>
      </c>
      <c r="BC300" s="527">
        <f t="shared" si="409"/>
        <v>-2970.3760973845251</v>
      </c>
      <c r="BD300" s="527">
        <f t="shared" si="409"/>
        <v>-2970.3760973845251</v>
      </c>
      <c r="BE300" s="527">
        <f t="shared" si="409"/>
        <v>-2970.3760973845251</v>
      </c>
      <c r="BF300" s="527">
        <f t="shared" si="409"/>
        <v>-2970.3760973845251</v>
      </c>
      <c r="BG300" s="527">
        <f t="shared" si="409"/>
        <v>-2970.3760973845251</v>
      </c>
      <c r="BH300" s="527">
        <f t="shared" si="409"/>
        <v>-3071.6191109157198</v>
      </c>
      <c r="BI300" s="527">
        <f t="shared" si="409"/>
        <v>-3071.6191109157198</v>
      </c>
      <c r="BJ300" s="527">
        <f t="shared" si="409"/>
        <v>-3071.6191109157198</v>
      </c>
      <c r="BK300" s="527">
        <f t="shared" si="409"/>
        <v>-3071.6191109157198</v>
      </c>
      <c r="BL300" s="527">
        <f t="shared" si="409"/>
        <v>-3071.6191109157198</v>
      </c>
      <c r="BM300" s="527">
        <f t="shared" si="409"/>
        <v>-3071.6191109157198</v>
      </c>
      <c r="BN300" s="527">
        <f t="shared" si="409"/>
        <v>-2980.5112633518843</v>
      </c>
      <c r="BO300" s="527">
        <f t="shared" si="409"/>
        <v>-2980.5112633518843</v>
      </c>
      <c r="BP300" s="527">
        <f t="shared" si="409"/>
        <v>-2980.5112633518843</v>
      </c>
      <c r="BQ300" s="527">
        <f t="shared" si="409"/>
        <v>-2980.5112633518843</v>
      </c>
      <c r="BR300" s="527">
        <f t="shared" si="409"/>
        <v>-2980.5112633518843</v>
      </c>
      <c r="BS300" s="527">
        <f t="shared" si="409"/>
        <v>-2980.5112633518843</v>
      </c>
      <c r="BT300" s="527">
        <f t="shared" si="409"/>
        <v>-3081.3112141065553</v>
      </c>
      <c r="BU300" s="527">
        <f t="shared" si="409"/>
        <v>-3081.3112141065553</v>
      </c>
      <c r="BV300" s="527">
        <f t="shared" si="409"/>
        <v>-3081.3112141065553</v>
      </c>
      <c r="BW300" s="527">
        <f t="shared" si="409"/>
        <v>-3081.3112141065553</v>
      </c>
      <c r="BX300" s="527">
        <f t="shared" si="409"/>
        <v>-3081.3112141065553</v>
      </c>
      <c r="BY300" s="527">
        <f t="shared" si="409"/>
        <v>-3081.3112141065553</v>
      </c>
    </row>
    <row r="301" spans="3:77" x14ac:dyDescent="0.3">
      <c r="C301" s="2"/>
      <c r="D301" s="2"/>
      <c r="E301" s="124" t="str">
        <f>"WSM cost of sales: "&amp;E$158</f>
        <v>WSM cost of sales: FY30 Tranche</v>
      </c>
      <c r="F301" s="2"/>
      <c r="G301" s="2"/>
      <c r="H301" s="2"/>
      <c r="I301" s="2"/>
      <c r="J301" s="2"/>
      <c r="K301" s="2"/>
      <c r="L301" s="2"/>
      <c r="M301" s="2"/>
      <c r="N301" s="2"/>
      <c r="O301" s="2"/>
      <c r="P301" s="10"/>
      <c r="Q301" s="2"/>
      <c r="R301" s="497">
        <f t="shared" ref="R301:AW301" si="410">(R285-R293)*R$232</f>
        <v>-2617.7954096118592</v>
      </c>
      <c r="S301" s="497">
        <f t="shared" si="410"/>
        <v>-2617.7954096118592</v>
      </c>
      <c r="T301" s="497">
        <f t="shared" si="410"/>
        <v>-2617.7954096118592</v>
      </c>
      <c r="U301" s="497">
        <f t="shared" si="410"/>
        <v>-2617.7954096118592</v>
      </c>
      <c r="V301" s="497">
        <f t="shared" si="410"/>
        <v>-2617.7954096118592</v>
      </c>
      <c r="W301" s="497">
        <f t="shared" si="410"/>
        <v>-2617.7954096118592</v>
      </c>
      <c r="X301" s="497">
        <f t="shared" si="410"/>
        <v>-2617.7954096118592</v>
      </c>
      <c r="Y301" s="497">
        <f t="shared" si="410"/>
        <v>-2617.7954096118592</v>
      </c>
      <c r="Z301" s="497">
        <f t="shared" si="410"/>
        <v>-2617.7954096118592</v>
      </c>
      <c r="AA301" s="497">
        <f t="shared" si="410"/>
        <v>-2617.7954096118592</v>
      </c>
      <c r="AB301" s="497">
        <f t="shared" si="410"/>
        <v>-2617.7954096118592</v>
      </c>
      <c r="AC301" s="497">
        <f t="shared" si="410"/>
        <v>-2617.7954096118592</v>
      </c>
      <c r="AD301" s="497">
        <f t="shared" si="410"/>
        <v>-2617.7954096118592</v>
      </c>
      <c r="AE301" s="497">
        <f t="shared" si="410"/>
        <v>-2617.7954096118592</v>
      </c>
      <c r="AF301" s="497">
        <f t="shared" si="410"/>
        <v>-2617.7954096118592</v>
      </c>
      <c r="AG301" s="497">
        <f t="shared" si="410"/>
        <v>-2617.7954096118592</v>
      </c>
      <c r="AH301" s="497">
        <f t="shared" si="410"/>
        <v>-2617.7954096118592</v>
      </c>
      <c r="AI301" s="497">
        <f t="shared" si="410"/>
        <v>-2617.7954096118592</v>
      </c>
      <c r="AJ301" s="497">
        <f t="shared" si="410"/>
        <v>-2617.7954096118592</v>
      </c>
      <c r="AK301" s="497">
        <f t="shared" si="410"/>
        <v>-2617.7954096118592</v>
      </c>
      <c r="AL301" s="497">
        <f t="shared" si="410"/>
        <v>-2617.7954096118592</v>
      </c>
      <c r="AM301" s="497">
        <f t="shared" si="410"/>
        <v>-2617.7954096118592</v>
      </c>
      <c r="AN301" s="527">
        <f t="shared" si="410"/>
        <v>-2617.7954096118592</v>
      </c>
      <c r="AO301" s="527">
        <f t="shared" si="410"/>
        <v>-2617.7954096118592</v>
      </c>
      <c r="AP301" s="527">
        <f t="shared" si="410"/>
        <v>-2617.7954096118592</v>
      </c>
      <c r="AQ301" s="527">
        <f t="shared" si="410"/>
        <v>-2617.7954096118592</v>
      </c>
      <c r="AR301" s="527">
        <f t="shared" si="410"/>
        <v>-2617.7954096118592</v>
      </c>
      <c r="AS301" s="527">
        <f t="shared" si="410"/>
        <v>-2617.7954096118592</v>
      </c>
      <c r="AT301" s="527">
        <f t="shared" si="410"/>
        <v>-2617.7954096118592</v>
      </c>
      <c r="AU301" s="527">
        <f t="shared" si="410"/>
        <v>-2617.7954096118592</v>
      </c>
      <c r="AV301" s="527">
        <f t="shared" si="410"/>
        <v>-2617.7954096118592</v>
      </c>
      <c r="AW301" s="527">
        <f t="shared" si="410"/>
        <v>-2617.7954096118592</v>
      </c>
      <c r="AX301" s="527">
        <f t="shared" ref="AX301:BY301" si="411">(AX285-AX293)*AX$232</f>
        <v>-2617.7954096118592</v>
      </c>
      <c r="AY301" s="527">
        <f t="shared" si="411"/>
        <v>-2617.7954096118592</v>
      </c>
      <c r="AZ301" s="527">
        <f t="shared" si="411"/>
        <v>-2617.7954096118592</v>
      </c>
      <c r="BA301" s="527">
        <f t="shared" si="411"/>
        <v>-2617.7954096118592</v>
      </c>
      <c r="BB301" s="527">
        <f t="shared" si="411"/>
        <v>-2617.7954096118592</v>
      </c>
      <c r="BC301" s="527">
        <f t="shared" si="411"/>
        <v>-2617.7954096118592</v>
      </c>
      <c r="BD301" s="527">
        <f t="shared" si="411"/>
        <v>-2617.7954096118592</v>
      </c>
      <c r="BE301" s="527">
        <f t="shared" si="411"/>
        <v>-2617.7954096118592</v>
      </c>
      <c r="BF301" s="527">
        <f t="shared" si="411"/>
        <v>-2617.7954096118592</v>
      </c>
      <c r="BG301" s="527">
        <f t="shared" si="411"/>
        <v>-2617.7954096118592</v>
      </c>
      <c r="BH301" s="527">
        <f t="shared" si="411"/>
        <v>-3052.6413433965531</v>
      </c>
      <c r="BI301" s="527">
        <f t="shared" si="411"/>
        <v>-3052.6413433965531</v>
      </c>
      <c r="BJ301" s="527">
        <f t="shared" si="411"/>
        <v>-3052.6413433965531</v>
      </c>
      <c r="BK301" s="527">
        <f t="shared" si="411"/>
        <v>-3052.6413433965531</v>
      </c>
      <c r="BL301" s="527">
        <f t="shared" si="411"/>
        <v>-3052.6413433965531</v>
      </c>
      <c r="BM301" s="527">
        <f t="shared" si="411"/>
        <v>-3052.6413433965531</v>
      </c>
      <c r="BN301" s="527">
        <f t="shared" si="411"/>
        <v>-2962.3432667829147</v>
      </c>
      <c r="BO301" s="527">
        <f t="shared" si="411"/>
        <v>-2962.3432667829147</v>
      </c>
      <c r="BP301" s="527">
        <f t="shared" si="411"/>
        <v>-2962.3432667829147</v>
      </c>
      <c r="BQ301" s="527">
        <f t="shared" si="411"/>
        <v>-2962.3432667829147</v>
      </c>
      <c r="BR301" s="527">
        <f t="shared" si="411"/>
        <v>-2962.3432667829147</v>
      </c>
      <c r="BS301" s="527">
        <f t="shared" si="411"/>
        <v>-2962.3432667829147</v>
      </c>
      <c r="BT301" s="527">
        <f t="shared" si="411"/>
        <v>-3062.4164976748266</v>
      </c>
      <c r="BU301" s="527">
        <f t="shared" si="411"/>
        <v>-3062.4164976748266</v>
      </c>
      <c r="BV301" s="527">
        <f t="shared" si="411"/>
        <v>-3062.4164976748266</v>
      </c>
      <c r="BW301" s="527">
        <f t="shared" si="411"/>
        <v>-3062.4164976748266</v>
      </c>
      <c r="BX301" s="527">
        <f t="shared" si="411"/>
        <v>-3062.4164976748266</v>
      </c>
      <c r="BY301" s="527">
        <f t="shared" si="411"/>
        <v>-3062.4164976748266</v>
      </c>
    </row>
    <row r="302" spans="3:77" x14ac:dyDescent="0.3">
      <c r="C302" s="2"/>
      <c r="D302" s="2"/>
      <c r="E302" s="124" t="str">
        <f>"WSM cost of sales: "&amp;E$159</f>
        <v>WSM cost of sales: FY31 Tranche</v>
      </c>
      <c r="F302" s="2"/>
      <c r="G302" s="2"/>
      <c r="H302" s="2"/>
      <c r="I302" s="2"/>
      <c r="J302" s="2"/>
      <c r="K302" s="2"/>
      <c r="L302" s="2"/>
      <c r="M302" s="2"/>
      <c r="N302" s="2"/>
      <c r="O302" s="2"/>
      <c r="P302" s="10"/>
      <c r="Q302" s="2"/>
      <c r="R302" s="497">
        <f t="shared" ref="R302:AW302" si="412">(R286-R294)*R$232</f>
        <v>-2617.7954096118592</v>
      </c>
      <c r="S302" s="497">
        <f t="shared" si="412"/>
        <v>-2617.7954096118592</v>
      </c>
      <c r="T302" s="497">
        <f t="shared" si="412"/>
        <v>-2617.7954096118592</v>
      </c>
      <c r="U302" s="497">
        <f t="shared" si="412"/>
        <v>-2617.7954096118592</v>
      </c>
      <c r="V302" s="497">
        <f t="shared" si="412"/>
        <v>-2617.7954096118592</v>
      </c>
      <c r="W302" s="497">
        <f t="shared" si="412"/>
        <v>-2617.7954096118592</v>
      </c>
      <c r="X302" s="497">
        <f t="shared" si="412"/>
        <v>-2617.7954096118592</v>
      </c>
      <c r="Y302" s="497">
        <f t="shared" si="412"/>
        <v>-2617.7954096118592</v>
      </c>
      <c r="Z302" s="497">
        <f t="shared" si="412"/>
        <v>-2617.7954096118592</v>
      </c>
      <c r="AA302" s="497">
        <f t="shared" si="412"/>
        <v>-2617.7954096118592</v>
      </c>
      <c r="AB302" s="497">
        <f t="shared" si="412"/>
        <v>-2617.7954096118592</v>
      </c>
      <c r="AC302" s="497">
        <f t="shared" si="412"/>
        <v>-2617.7954096118592</v>
      </c>
      <c r="AD302" s="497">
        <f t="shared" si="412"/>
        <v>-2617.7954096118592</v>
      </c>
      <c r="AE302" s="497">
        <f t="shared" si="412"/>
        <v>-2617.7954096118592</v>
      </c>
      <c r="AF302" s="497">
        <f t="shared" si="412"/>
        <v>-2617.7954096118592</v>
      </c>
      <c r="AG302" s="497">
        <f t="shared" si="412"/>
        <v>-2617.7954096118592</v>
      </c>
      <c r="AH302" s="497">
        <f t="shared" si="412"/>
        <v>-2617.7954096118592</v>
      </c>
      <c r="AI302" s="497">
        <f t="shared" si="412"/>
        <v>-2617.7954096118592</v>
      </c>
      <c r="AJ302" s="497">
        <f t="shared" si="412"/>
        <v>-2617.7954096118592</v>
      </c>
      <c r="AK302" s="497">
        <f t="shared" si="412"/>
        <v>-2617.7954096118592</v>
      </c>
      <c r="AL302" s="497">
        <f t="shared" si="412"/>
        <v>-2617.7954096118592</v>
      </c>
      <c r="AM302" s="497">
        <f t="shared" si="412"/>
        <v>-2617.7954096118592</v>
      </c>
      <c r="AN302" s="527">
        <f t="shared" si="412"/>
        <v>-2617.7954096118592</v>
      </c>
      <c r="AO302" s="527">
        <f t="shared" si="412"/>
        <v>-2617.7954096118592</v>
      </c>
      <c r="AP302" s="527">
        <f t="shared" si="412"/>
        <v>-2617.7954096118592</v>
      </c>
      <c r="AQ302" s="527">
        <f t="shared" si="412"/>
        <v>-2617.7954096118592</v>
      </c>
      <c r="AR302" s="527">
        <f t="shared" si="412"/>
        <v>-2617.7954096118592</v>
      </c>
      <c r="AS302" s="527">
        <f t="shared" si="412"/>
        <v>-2617.7954096118592</v>
      </c>
      <c r="AT302" s="527">
        <f t="shared" si="412"/>
        <v>-2617.7954096118592</v>
      </c>
      <c r="AU302" s="527">
        <f t="shared" si="412"/>
        <v>-2617.7954096118592</v>
      </c>
      <c r="AV302" s="527">
        <f t="shared" si="412"/>
        <v>-2617.7954096118592</v>
      </c>
      <c r="AW302" s="527">
        <f t="shared" si="412"/>
        <v>-2617.7954096118592</v>
      </c>
      <c r="AX302" s="527">
        <f t="shared" ref="AX302:BY302" si="413">(AX286-AX294)*AX$232</f>
        <v>-2617.7954096118592</v>
      </c>
      <c r="AY302" s="527">
        <f t="shared" si="413"/>
        <v>-2617.7954096118592</v>
      </c>
      <c r="AZ302" s="527">
        <f t="shared" si="413"/>
        <v>-2617.7954096118592</v>
      </c>
      <c r="BA302" s="527">
        <f t="shared" si="413"/>
        <v>-2617.7954096118592</v>
      </c>
      <c r="BB302" s="527">
        <f t="shared" si="413"/>
        <v>-2617.7954096118592</v>
      </c>
      <c r="BC302" s="527">
        <f t="shared" si="413"/>
        <v>-2617.7954096118592</v>
      </c>
      <c r="BD302" s="527">
        <f t="shared" si="413"/>
        <v>-2617.7954096118592</v>
      </c>
      <c r="BE302" s="527">
        <f t="shared" si="413"/>
        <v>-2617.7954096118592</v>
      </c>
      <c r="BF302" s="527">
        <f t="shared" si="413"/>
        <v>-2617.7954096118592</v>
      </c>
      <c r="BG302" s="527">
        <f t="shared" si="413"/>
        <v>-2617.7954096118592</v>
      </c>
      <c r="BH302" s="527">
        <f t="shared" si="413"/>
        <v>-2617.7954096118592</v>
      </c>
      <c r="BI302" s="527">
        <f t="shared" si="413"/>
        <v>-2617.7954096118592</v>
      </c>
      <c r="BJ302" s="527">
        <f t="shared" si="413"/>
        <v>-2617.7954096118592</v>
      </c>
      <c r="BK302" s="527">
        <f t="shared" si="413"/>
        <v>-2617.7954096118592</v>
      </c>
      <c r="BL302" s="527">
        <f t="shared" si="413"/>
        <v>-2617.7954096118592</v>
      </c>
      <c r="BM302" s="527">
        <f t="shared" si="413"/>
        <v>-2617.7954096118592</v>
      </c>
      <c r="BN302" s="527">
        <f t="shared" si="413"/>
        <v>-2617.7954096118592</v>
      </c>
      <c r="BO302" s="527">
        <f t="shared" si="413"/>
        <v>-2617.7954096118592</v>
      </c>
      <c r="BP302" s="527">
        <f t="shared" si="413"/>
        <v>-2617.7954096118592</v>
      </c>
      <c r="BQ302" s="527">
        <f t="shared" si="413"/>
        <v>-2617.7954096118592</v>
      </c>
      <c r="BR302" s="527">
        <f t="shared" si="413"/>
        <v>-2617.7954096118592</v>
      </c>
      <c r="BS302" s="527">
        <f t="shared" si="413"/>
        <v>-2617.7954096118592</v>
      </c>
      <c r="BT302" s="527">
        <f t="shared" si="413"/>
        <v>-3042.2110368430826</v>
      </c>
      <c r="BU302" s="527">
        <f t="shared" si="413"/>
        <v>-3042.2110368430826</v>
      </c>
      <c r="BV302" s="527">
        <f t="shared" si="413"/>
        <v>-3042.2110368430826</v>
      </c>
      <c r="BW302" s="527">
        <f t="shared" si="413"/>
        <v>-3042.2110368430826</v>
      </c>
      <c r="BX302" s="527">
        <f t="shared" si="413"/>
        <v>-3042.2110368430826</v>
      </c>
      <c r="BY302" s="527">
        <f t="shared" si="413"/>
        <v>-3042.2110368430826</v>
      </c>
    </row>
    <row r="303" spans="3:77" x14ac:dyDescent="0.3">
      <c r="C303" s="2"/>
      <c r="D303" s="2"/>
      <c r="E303" s="124" t="str">
        <f>"WSM cost of sales: "&amp;E$160</f>
        <v>WSM cost of sales: Uninvested Tranche</v>
      </c>
      <c r="F303" s="2"/>
      <c r="G303" s="2"/>
      <c r="H303" s="2"/>
      <c r="I303" s="2"/>
      <c r="J303" s="2"/>
      <c r="K303" s="2"/>
      <c r="L303" s="2"/>
      <c r="M303" s="2"/>
      <c r="N303" s="2"/>
      <c r="O303" s="2"/>
      <c r="P303" s="10"/>
      <c r="Q303" s="2"/>
      <c r="R303" s="497">
        <f t="shared" ref="R303:AW303" si="414">(R287-R295)*R$232</f>
        <v>-7329.8271469132051</v>
      </c>
      <c r="S303" s="497">
        <f t="shared" si="414"/>
        <v>-7329.8271469132051</v>
      </c>
      <c r="T303" s="497">
        <f t="shared" si="414"/>
        <v>-7329.8271469132051</v>
      </c>
      <c r="U303" s="497">
        <f t="shared" si="414"/>
        <v>-7329.8271469132051</v>
      </c>
      <c r="V303" s="497">
        <f t="shared" si="414"/>
        <v>-7329.8271469132051</v>
      </c>
      <c r="W303" s="497">
        <f t="shared" si="414"/>
        <v>-7329.8271469132051</v>
      </c>
      <c r="X303" s="497">
        <f t="shared" si="414"/>
        <v>-7329.8271469132051</v>
      </c>
      <c r="Y303" s="497">
        <f t="shared" si="414"/>
        <v>-7329.8271469132051</v>
      </c>
      <c r="Z303" s="497">
        <f t="shared" si="414"/>
        <v>-7329.8271469132051</v>
      </c>
      <c r="AA303" s="497">
        <f t="shared" si="414"/>
        <v>-7329.8271469132051</v>
      </c>
      <c r="AB303" s="497">
        <f t="shared" si="414"/>
        <v>-7329.8271469132051</v>
      </c>
      <c r="AC303" s="497">
        <f t="shared" si="414"/>
        <v>-7329.8271469132051</v>
      </c>
      <c r="AD303" s="497">
        <f t="shared" si="414"/>
        <v>-7329.8271469132051</v>
      </c>
      <c r="AE303" s="497">
        <f t="shared" si="414"/>
        <v>-7329.8271469132051</v>
      </c>
      <c r="AF303" s="497">
        <f t="shared" si="414"/>
        <v>-7329.8271469132051</v>
      </c>
      <c r="AG303" s="497">
        <f t="shared" si="414"/>
        <v>-7329.8271469132051</v>
      </c>
      <c r="AH303" s="497">
        <f t="shared" si="414"/>
        <v>-7329.8271469132051</v>
      </c>
      <c r="AI303" s="497">
        <f t="shared" si="414"/>
        <v>-7329.8271469132051</v>
      </c>
      <c r="AJ303" s="497">
        <f t="shared" si="414"/>
        <v>-7329.8271469132051</v>
      </c>
      <c r="AK303" s="497">
        <f t="shared" si="414"/>
        <v>-7329.8271469132051</v>
      </c>
      <c r="AL303" s="497">
        <f t="shared" si="414"/>
        <v>-7329.8271469132051</v>
      </c>
      <c r="AM303" s="497">
        <f t="shared" si="414"/>
        <v>-7329.8271469132051</v>
      </c>
      <c r="AN303" s="527">
        <f t="shared" si="414"/>
        <v>-7329.8271469132051</v>
      </c>
      <c r="AO303" s="527">
        <f t="shared" si="414"/>
        <v>-7329.8271469132051</v>
      </c>
      <c r="AP303" s="527">
        <f t="shared" si="414"/>
        <v>-7329.8271469132051</v>
      </c>
      <c r="AQ303" s="527">
        <f t="shared" si="414"/>
        <v>-7329.8271469132051</v>
      </c>
      <c r="AR303" s="527">
        <f t="shared" si="414"/>
        <v>-7329.8271469132051</v>
      </c>
      <c r="AS303" s="527">
        <f t="shared" si="414"/>
        <v>-7329.8271469132051</v>
      </c>
      <c r="AT303" s="527">
        <f t="shared" si="414"/>
        <v>-7329.8271469132051</v>
      </c>
      <c r="AU303" s="527">
        <f t="shared" si="414"/>
        <v>-7329.8271469132051</v>
      </c>
      <c r="AV303" s="527">
        <f t="shared" si="414"/>
        <v>-7329.8271469132051</v>
      </c>
      <c r="AW303" s="527">
        <f t="shared" si="414"/>
        <v>-7329.8271469132051</v>
      </c>
      <c r="AX303" s="527">
        <f t="shared" ref="AX303:BY303" si="415">(AX287-AX295)*AX$232</f>
        <v>-7329.8271469132051</v>
      </c>
      <c r="AY303" s="527">
        <f t="shared" si="415"/>
        <v>-7329.8271469132051</v>
      </c>
      <c r="AZ303" s="527">
        <f t="shared" si="415"/>
        <v>-7329.8271469132051</v>
      </c>
      <c r="BA303" s="527">
        <f t="shared" si="415"/>
        <v>-7329.8271469132051</v>
      </c>
      <c r="BB303" s="527">
        <f t="shared" si="415"/>
        <v>-7329.8271469132051</v>
      </c>
      <c r="BC303" s="527">
        <f t="shared" si="415"/>
        <v>-7329.8271469132051</v>
      </c>
      <c r="BD303" s="527">
        <f t="shared" si="415"/>
        <v>-7329.8271469132051</v>
      </c>
      <c r="BE303" s="527">
        <f t="shared" si="415"/>
        <v>-7329.8271469132051</v>
      </c>
      <c r="BF303" s="527">
        <f t="shared" si="415"/>
        <v>-7329.8271469132051</v>
      </c>
      <c r="BG303" s="527">
        <f t="shared" si="415"/>
        <v>-7329.8271469132051</v>
      </c>
      <c r="BH303" s="527">
        <f t="shared" si="415"/>
        <v>-7329.8271469132051</v>
      </c>
      <c r="BI303" s="527">
        <f t="shared" si="415"/>
        <v>-7329.8271469132051</v>
      </c>
      <c r="BJ303" s="527">
        <f t="shared" si="415"/>
        <v>-7329.8271469132051</v>
      </c>
      <c r="BK303" s="527">
        <f t="shared" si="415"/>
        <v>-7329.8271469132051</v>
      </c>
      <c r="BL303" s="527">
        <f t="shared" si="415"/>
        <v>-7329.8271469132051</v>
      </c>
      <c r="BM303" s="527">
        <f t="shared" si="415"/>
        <v>-7329.8271469132051</v>
      </c>
      <c r="BN303" s="527">
        <f t="shared" si="415"/>
        <v>-7329.8271469132051</v>
      </c>
      <c r="BO303" s="527">
        <f t="shared" si="415"/>
        <v>-7329.8271469132051</v>
      </c>
      <c r="BP303" s="527">
        <f t="shared" si="415"/>
        <v>-7329.8271469132051</v>
      </c>
      <c r="BQ303" s="527">
        <f t="shared" si="415"/>
        <v>-7329.8271469132051</v>
      </c>
      <c r="BR303" s="527">
        <f t="shared" si="415"/>
        <v>-7329.8271469132051</v>
      </c>
      <c r="BS303" s="527">
        <f t="shared" si="415"/>
        <v>-7329.8271469132051</v>
      </c>
      <c r="BT303" s="527">
        <f t="shared" si="415"/>
        <v>-7329.8271469132051</v>
      </c>
      <c r="BU303" s="527">
        <f t="shared" si="415"/>
        <v>-7329.8271469132051</v>
      </c>
      <c r="BV303" s="527">
        <f t="shared" si="415"/>
        <v>-7329.8271469132051</v>
      </c>
      <c r="BW303" s="527">
        <f t="shared" si="415"/>
        <v>-7329.8271469132051</v>
      </c>
      <c r="BX303" s="527">
        <f t="shared" si="415"/>
        <v>-7329.8271469132051</v>
      </c>
      <c r="BY303" s="527">
        <f t="shared" si="415"/>
        <v>-7329.8271469132051</v>
      </c>
    </row>
    <row r="304" spans="3:77" x14ac:dyDescent="0.3">
      <c r="C304" s="2"/>
      <c r="D304" s="2"/>
      <c r="E304" s="4" t="s">
        <v>36</v>
      </c>
      <c r="F304" s="4"/>
      <c r="G304" s="4"/>
      <c r="H304" s="4"/>
      <c r="I304" s="4"/>
      <c r="J304" s="4"/>
      <c r="K304" s="4"/>
      <c r="L304" s="4"/>
      <c r="M304" s="4"/>
      <c r="N304" s="4"/>
      <c r="O304" s="4"/>
      <c r="P304" s="106"/>
      <c r="Q304" s="4"/>
      <c r="R304" s="498">
        <f t="shared" ref="R304:AW304" si="416">SUM(R298:R303)</f>
        <v>-20418.804194972501</v>
      </c>
      <c r="S304" s="498">
        <f t="shared" si="416"/>
        <v>-20418.804194972501</v>
      </c>
      <c r="T304" s="498">
        <f t="shared" si="416"/>
        <v>-20418.804194972501</v>
      </c>
      <c r="U304" s="498">
        <f t="shared" si="416"/>
        <v>-20418.804194972501</v>
      </c>
      <c r="V304" s="498">
        <f t="shared" si="416"/>
        <v>-20418.804194972501</v>
      </c>
      <c r="W304" s="498">
        <f t="shared" si="416"/>
        <v>-20418.804194972501</v>
      </c>
      <c r="X304" s="498">
        <f t="shared" si="416"/>
        <v>-20886.413521153056</v>
      </c>
      <c r="Y304" s="498">
        <f t="shared" si="416"/>
        <v>-20886.413521153056</v>
      </c>
      <c r="Z304" s="498">
        <f t="shared" si="416"/>
        <v>-20886.413521153056</v>
      </c>
      <c r="AA304" s="498">
        <f t="shared" si="416"/>
        <v>-20886.413521153056</v>
      </c>
      <c r="AB304" s="498">
        <f t="shared" si="416"/>
        <v>-20886.413521153056</v>
      </c>
      <c r="AC304" s="498">
        <f t="shared" si="416"/>
        <v>-20886.413521153056</v>
      </c>
      <c r="AD304" s="498">
        <f t="shared" si="416"/>
        <v>-20780.618448229034</v>
      </c>
      <c r="AE304" s="498">
        <f t="shared" si="416"/>
        <v>-20780.618448229034</v>
      </c>
      <c r="AF304" s="498">
        <f t="shared" si="416"/>
        <v>-20780.618448229034</v>
      </c>
      <c r="AG304" s="498">
        <f t="shared" si="416"/>
        <v>-20780.618448229034</v>
      </c>
      <c r="AH304" s="498">
        <f t="shared" si="416"/>
        <v>-20780.618448229034</v>
      </c>
      <c r="AI304" s="498">
        <f t="shared" si="416"/>
        <v>-20780.618448229034</v>
      </c>
      <c r="AJ304" s="498">
        <f t="shared" si="416"/>
        <v>-21340.008302184222</v>
      </c>
      <c r="AK304" s="498">
        <f t="shared" si="416"/>
        <v>-21340.008302184222</v>
      </c>
      <c r="AL304" s="498">
        <f t="shared" si="416"/>
        <v>-21340.008302184222</v>
      </c>
      <c r="AM304" s="498">
        <f t="shared" si="416"/>
        <v>-21340.008302184222</v>
      </c>
      <c r="AN304" s="530">
        <f t="shared" si="416"/>
        <v>-21340.008302184222</v>
      </c>
      <c r="AO304" s="530">
        <f t="shared" si="416"/>
        <v>-21340.008302184222</v>
      </c>
      <c r="AP304" s="530">
        <f t="shared" si="416"/>
        <v>-21139.945395851406</v>
      </c>
      <c r="AQ304" s="530">
        <f t="shared" si="416"/>
        <v>-21139.945395851406</v>
      </c>
      <c r="AR304" s="530">
        <f t="shared" si="416"/>
        <v>-21139.945395851406</v>
      </c>
      <c r="AS304" s="530">
        <f t="shared" si="416"/>
        <v>-21139.945395851406</v>
      </c>
      <c r="AT304" s="530">
        <f t="shared" si="416"/>
        <v>-21139.945395851406</v>
      </c>
      <c r="AU304" s="530">
        <f t="shared" si="416"/>
        <v>-21139.945395851406</v>
      </c>
      <c r="AV304" s="530">
        <f t="shared" si="416"/>
        <v>-21789.92593449619</v>
      </c>
      <c r="AW304" s="530">
        <f t="shared" si="416"/>
        <v>-21789.92593449619</v>
      </c>
      <c r="AX304" s="530">
        <f t="shared" ref="AX304:BY304" si="417">SUM(AX298:AX303)</f>
        <v>-21789.92593449619</v>
      </c>
      <c r="AY304" s="530">
        <f t="shared" si="417"/>
        <v>-21789.92593449619</v>
      </c>
      <c r="AZ304" s="530">
        <f t="shared" si="417"/>
        <v>-21789.92593449619</v>
      </c>
      <c r="BA304" s="530">
        <f t="shared" si="417"/>
        <v>-21789.92593449619</v>
      </c>
      <c r="BB304" s="530">
        <f t="shared" si="417"/>
        <v>-21510.630091774867</v>
      </c>
      <c r="BC304" s="530">
        <f t="shared" si="417"/>
        <v>-21510.630091774867</v>
      </c>
      <c r="BD304" s="530">
        <f t="shared" si="417"/>
        <v>-21510.630091774867</v>
      </c>
      <c r="BE304" s="530">
        <f t="shared" si="417"/>
        <v>-21510.630091774867</v>
      </c>
      <c r="BF304" s="530">
        <f t="shared" si="417"/>
        <v>-21510.630091774867</v>
      </c>
      <c r="BG304" s="530">
        <f t="shared" si="417"/>
        <v>-21510.630091774867</v>
      </c>
      <c r="BH304" s="530">
        <f t="shared" si="417"/>
        <v>-22250.56841949252</v>
      </c>
      <c r="BI304" s="530">
        <f t="shared" si="417"/>
        <v>-22250.56841949252</v>
      </c>
      <c r="BJ304" s="530">
        <f t="shared" si="417"/>
        <v>-22250.56841949252</v>
      </c>
      <c r="BK304" s="530">
        <f t="shared" si="417"/>
        <v>-22250.56841949252</v>
      </c>
      <c r="BL304" s="530">
        <f t="shared" si="417"/>
        <v>-22250.56841949252</v>
      </c>
      <c r="BM304" s="530">
        <f t="shared" si="417"/>
        <v>-22250.56841949252</v>
      </c>
      <c r="BN304" s="530">
        <f t="shared" si="417"/>
        <v>-21885.434288132041</v>
      </c>
      <c r="BO304" s="530">
        <f t="shared" si="417"/>
        <v>-21885.434288132041</v>
      </c>
      <c r="BP304" s="530">
        <f t="shared" si="417"/>
        <v>-21885.434288132041</v>
      </c>
      <c r="BQ304" s="530">
        <f t="shared" si="417"/>
        <v>-21885.434288132041</v>
      </c>
      <c r="BR304" s="530">
        <f t="shared" si="417"/>
        <v>-21885.434288132041</v>
      </c>
      <c r="BS304" s="530">
        <f t="shared" si="417"/>
        <v>-21885.434288132041</v>
      </c>
      <c r="BT304" s="530">
        <f t="shared" si="417"/>
        <v>-22713.680385509928</v>
      </c>
      <c r="BU304" s="530">
        <f t="shared" si="417"/>
        <v>-22713.680385509928</v>
      </c>
      <c r="BV304" s="530">
        <f t="shared" si="417"/>
        <v>-22713.680385509928</v>
      </c>
      <c r="BW304" s="530">
        <f t="shared" si="417"/>
        <v>-22713.680385509928</v>
      </c>
      <c r="BX304" s="530">
        <f t="shared" si="417"/>
        <v>-22713.680385509928</v>
      </c>
      <c r="BY304" s="530">
        <f t="shared" si="417"/>
        <v>-22713.680385509928</v>
      </c>
    </row>
    <row r="305" spans="3:77" x14ac:dyDescent="0.3">
      <c r="C305" s="2"/>
      <c r="D305" s="2"/>
      <c r="E305" s="2"/>
      <c r="F305" s="2"/>
      <c r="G305" s="2"/>
      <c r="H305" s="2"/>
      <c r="I305" s="2"/>
      <c r="J305" s="2"/>
      <c r="K305" s="2"/>
      <c r="L305" s="2"/>
      <c r="M305" s="2"/>
      <c r="N305" s="2"/>
      <c r="O305" s="2"/>
      <c r="P305" s="10"/>
      <c r="Q305" s="2"/>
      <c r="R305" s="2"/>
      <c r="S305" s="2"/>
      <c r="T305" s="2"/>
      <c r="U305" s="2"/>
      <c r="V305" s="2"/>
      <c r="W305" s="2"/>
      <c r="X305" s="2"/>
      <c r="Y305" s="2"/>
      <c r="Z305" s="2"/>
      <c r="AA305" s="2"/>
      <c r="AB305" s="2"/>
      <c r="AC305" s="2"/>
      <c r="AD305" s="2"/>
      <c r="AE305" s="2"/>
      <c r="AF305" s="2"/>
      <c r="AG305" s="2"/>
      <c r="AH305" s="2"/>
      <c r="AI305" s="2"/>
      <c r="AJ305" s="2"/>
      <c r="AK305" s="2"/>
      <c r="AL305" s="2"/>
      <c r="AM305" s="2"/>
      <c r="AN305" s="525"/>
      <c r="AO305" s="525"/>
      <c r="AP305" s="525"/>
      <c r="AQ305" s="525"/>
      <c r="AR305" s="525"/>
      <c r="AS305" s="525"/>
      <c r="AT305" s="525"/>
      <c r="AU305" s="525"/>
      <c r="AV305" s="525"/>
      <c r="AW305" s="525"/>
      <c r="AX305" s="525"/>
      <c r="AY305" s="525"/>
      <c r="AZ305" s="525"/>
      <c r="BA305" s="525"/>
      <c r="BB305" s="525"/>
      <c r="BC305" s="525"/>
      <c r="BD305" s="525"/>
      <c r="BE305" s="525"/>
      <c r="BF305" s="525"/>
      <c r="BG305" s="525"/>
      <c r="BH305" s="525"/>
      <c r="BI305" s="525"/>
      <c r="BJ305" s="525"/>
      <c r="BK305" s="525"/>
      <c r="BL305" s="525"/>
      <c r="BM305" s="525"/>
      <c r="BN305" s="525"/>
      <c r="BO305" s="525"/>
      <c r="BP305" s="525"/>
      <c r="BQ305" s="525"/>
      <c r="BR305" s="525"/>
      <c r="BS305" s="525"/>
      <c r="BT305" s="525"/>
      <c r="BU305" s="525"/>
      <c r="BV305" s="525"/>
      <c r="BW305" s="525"/>
      <c r="BX305" s="525"/>
      <c r="BY305" s="525"/>
    </row>
    <row r="306" spans="3:77" x14ac:dyDescent="0.3">
      <c r="C306" s="2"/>
      <c r="D306" s="2"/>
      <c r="E306" s="125" t="str">
        <f>"WSM dist &amp; disp: "&amp;E$155</f>
        <v>WSM dist &amp; disp: FY27 Tranche</v>
      </c>
      <c r="F306" s="2"/>
      <c r="G306" s="2"/>
      <c r="H306" s="2"/>
      <c r="I306" s="2"/>
      <c r="J306" s="2"/>
      <c r="K306" s="2"/>
      <c r="L306" s="2"/>
      <c r="M306" s="2"/>
      <c r="N306" s="2"/>
      <c r="O306" s="2"/>
      <c r="P306" s="10"/>
      <c r="Q306" s="2"/>
      <c r="R306" s="497">
        <f t="shared" ref="R306:AW306" si="418">(R282-R290)*R$233</f>
        <v>-310.65559484593416</v>
      </c>
      <c r="S306" s="497">
        <f t="shared" si="418"/>
        <v>-310.65559484593416</v>
      </c>
      <c r="T306" s="497">
        <f t="shared" si="418"/>
        <v>-310.65559484593416</v>
      </c>
      <c r="U306" s="497">
        <f t="shared" si="418"/>
        <v>-310.65559484593416</v>
      </c>
      <c r="V306" s="497">
        <f t="shared" si="418"/>
        <v>-310.65559484593416</v>
      </c>
      <c r="W306" s="497">
        <f t="shared" si="418"/>
        <v>-310.65559484593416</v>
      </c>
      <c r="X306" s="497">
        <f t="shared" si="418"/>
        <v>-366.1471175397055</v>
      </c>
      <c r="Y306" s="497">
        <f t="shared" si="418"/>
        <v>-366.1471175397055</v>
      </c>
      <c r="Z306" s="497">
        <f t="shared" si="418"/>
        <v>-366.1471175397055</v>
      </c>
      <c r="AA306" s="497">
        <f t="shared" si="418"/>
        <v>-366.1471175397055</v>
      </c>
      <c r="AB306" s="497">
        <f t="shared" si="418"/>
        <v>-366.1471175397055</v>
      </c>
      <c r="AC306" s="497">
        <f t="shared" si="418"/>
        <v>-366.1471175397055</v>
      </c>
      <c r="AD306" s="497">
        <f t="shared" si="418"/>
        <v>-353.59234294184836</v>
      </c>
      <c r="AE306" s="497">
        <f t="shared" si="418"/>
        <v>-353.59234294184836</v>
      </c>
      <c r="AF306" s="497">
        <f t="shared" si="418"/>
        <v>-353.59234294184836</v>
      </c>
      <c r="AG306" s="497">
        <f t="shared" si="418"/>
        <v>-353.59234294184836</v>
      </c>
      <c r="AH306" s="497">
        <f t="shared" si="418"/>
        <v>-353.59234294184836</v>
      </c>
      <c r="AI306" s="497">
        <f t="shared" si="418"/>
        <v>-353.59234294184836</v>
      </c>
      <c r="AJ306" s="497">
        <f t="shared" si="418"/>
        <v>-365.85316550557724</v>
      </c>
      <c r="AK306" s="497">
        <f t="shared" si="418"/>
        <v>-365.85316550557724</v>
      </c>
      <c r="AL306" s="497">
        <f t="shared" si="418"/>
        <v>-365.85316550557724</v>
      </c>
      <c r="AM306" s="497">
        <f t="shared" si="418"/>
        <v>-365.85316550557724</v>
      </c>
      <c r="AN306" s="527">
        <f t="shared" si="418"/>
        <v>-365.85316550557724</v>
      </c>
      <c r="AO306" s="527">
        <f t="shared" si="418"/>
        <v>-365.85316550557724</v>
      </c>
      <c r="AP306" s="527">
        <f t="shared" si="418"/>
        <v>-353.95798751652319</v>
      </c>
      <c r="AQ306" s="527">
        <f t="shared" si="418"/>
        <v>-353.95798751652319</v>
      </c>
      <c r="AR306" s="527">
        <f t="shared" si="418"/>
        <v>-353.95798751652319</v>
      </c>
      <c r="AS306" s="527">
        <f t="shared" si="418"/>
        <v>-353.95798751652319</v>
      </c>
      <c r="AT306" s="527">
        <f t="shared" si="418"/>
        <v>-353.95798751652319</v>
      </c>
      <c r="AU306" s="527">
        <f t="shared" si="418"/>
        <v>-353.95798751652319</v>
      </c>
      <c r="AV306" s="527">
        <f t="shared" si="418"/>
        <v>-366.13107517655823</v>
      </c>
      <c r="AW306" s="527">
        <f t="shared" si="418"/>
        <v>-366.13107517655823</v>
      </c>
      <c r="AX306" s="527">
        <f t="shared" ref="AX306:BY306" si="419">(AX282-AX290)*AX$233</f>
        <v>-366.13107517655823</v>
      </c>
      <c r="AY306" s="527">
        <f t="shared" si="419"/>
        <v>-366.13107517655823</v>
      </c>
      <c r="AZ306" s="527">
        <f t="shared" si="419"/>
        <v>-366.13107517655823</v>
      </c>
      <c r="BA306" s="527">
        <f t="shared" si="419"/>
        <v>-366.13107517655823</v>
      </c>
      <c r="BB306" s="527">
        <f t="shared" si="419"/>
        <v>-355.02978428949706</v>
      </c>
      <c r="BC306" s="527">
        <f t="shared" si="419"/>
        <v>-355.02978428949706</v>
      </c>
      <c r="BD306" s="527">
        <f t="shared" si="419"/>
        <v>-355.02978428949706</v>
      </c>
      <c r="BE306" s="527">
        <f t="shared" si="419"/>
        <v>-355.02978428949706</v>
      </c>
      <c r="BF306" s="527">
        <f t="shared" si="419"/>
        <v>-355.02978428949706</v>
      </c>
      <c r="BG306" s="527">
        <f t="shared" si="419"/>
        <v>-355.02978428949706</v>
      </c>
      <c r="BH306" s="527">
        <f t="shared" si="419"/>
        <v>-367.14569064399973</v>
      </c>
      <c r="BI306" s="527">
        <f t="shared" si="419"/>
        <v>-367.14569064399973</v>
      </c>
      <c r="BJ306" s="527">
        <f t="shared" si="419"/>
        <v>-367.14569064399973</v>
      </c>
      <c r="BK306" s="527">
        <f t="shared" si="419"/>
        <v>-367.14569064399973</v>
      </c>
      <c r="BL306" s="527">
        <f t="shared" si="419"/>
        <v>-367.14569064399973</v>
      </c>
      <c r="BM306" s="527">
        <f t="shared" si="419"/>
        <v>-367.14569064399973</v>
      </c>
      <c r="BN306" s="527">
        <f t="shared" si="419"/>
        <v>-356.22144561103488</v>
      </c>
      <c r="BO306" s="527">
        <f t="shared" si="419"/>
        <v>-356.22144561103488</v>
      </c>
      <c r="BP306" s="527">
        <f t="shared" si="419"/>
        <v>-356.22144561103488</v>
      </c>
      <c r="BQ306" s="527">
        <f t="shared" si="419"/>
        <v>-356.22144561103488</v>
      </c>
      <c r="BR306" s="527">
        <f t="shared" si="419"/>
        <v>-356.22144561103488</v>
      </c>
      <c r="BS306" s="527">
        <f t="shared" si="419"/>
        <v>-356.22144561103488</v>
      </c>
      <c r="BT306" s="527">
        <f t="shared" si="419"/>
        <v>-368.28432996508246</v>
      </c>
      <c r="BU306" s="527">
        <f t="shared" si="419"/>
        <v>-368.28432996508246</v>
      </c>
      <c r="BV306" s="527">
        <f t="shared" si="419"/>
        <v>-368.28432996508246</v>
      </c>
      <c r="BW306" s="527">
        <f t="shared" si="419"/>
        <v>-368.28432996508246</v>
      </c>
      <c r="BX306" s="527">
        <f t="shared" si="419"/>
        <v>-368.28432996508246</v>
      </c>
      <c r="BY306" s="527">
        <f t="shared" si="419"/>
        <v>-368.28432996508246</v>
      </c>
    </row>
    <row r="307" spans="3:77" x14ac:dyDescent="0.3">
      <c r="C307" s="2"/>
      <c r="D307" s="2"/>
      <c r="E307" s="125" t="str">
        <f>"WSM dist &amp; disp: "&amp;E$156</f>
        <v>WSM dist &amp; disp: FY28 Tranche</v>
      </c>
      <c r="F307" s="2"/>
      <c r="G307" s="2"/>
      <c r="H307" s="2"/>
      <c r="I307" s="2"/>
      <c r="J307" s="2"/>
      <c r="K307" s="2"/>
      <c r="L307" s="2"/>
      <c r="M307" s="2"/>
      <c r="N307" s="2"/>
      <c r="O307" s="2"/>
      <c r="P307" s="10"/>
      <c r="Q307" s="2"/>
      <c r="R307" s="497">
        <f t="shared" ref="R307:AW307" si="420">(R283-R291)*R$233</f>
        <v>-310.65559484593416</v>
      </c>
      <c r="S307" s="497">
        <f t="shared" si="420"/>
        <v>-310.65559484593416</v>
      </c>
      <c r="T307" s="497">
        <f t="shared" si="420"/>
        <v>-310.65559484593416</v>
      </c>
      <c r="U307" s="497">
        <f t="shared" si="420"/>
        <v>-310.65559484593416</v>
      </c>
      <c r="V307" s="497">
        <f t="shared" si="420"/>
        <v>-310.65559484593416</v>
      </c>
      <c r="W307" s="497">
        <f t="shared" si="420"/>
        <v>-310.65559484593416</v>
      </c>
      <c r="X307" s="497">
        <f t="shared" si="420"/>
        <v>-310.65559484593416</v>
      </c>
      <c r="Y307" s="497">
        <f t="shared" si="420"/>
        <v>-310.65559484593416</v>
      </c>
      <c r="Z307" s="497">
        <f t="shared" si="420"/>
        <v>-310.65559484593416</v>
      </c>
      <c r="AA307" s="497">
        <f t="shared" si="420"/>
        <v>-310.65559484593416</v>
      </c>
      <c r="AB307" s="497">
        <f t="shared" si="420"/>
        <v>-310.65559484593416</v>
      </c>
      <c r="AC307" s="497">
        <f t="shared" si="420"/>
        <v>-310.65559484593416</v>
      </c>
      <c r="AD307" s="497">
        <f t="shared" si="420"/>
        <v>-310.65559484593416</v>
      </c>
      <c r="AE307" s="497">
        <f t="shared" si="420"/>
        <v>-310.65559484593416</v>
      </c>
      <c r="AF307" s="497">
        <f t="shared" si="420"/>
        <v>-310.65559484593416</v>
      </c>
      <c r="AG307" s="497">
        <f t="shared" si="420"/>
        <v>-310.65559484593416</v>
      </c>
      <c r="AH307" s="497">
        <f t="shared" si="420"/>
        <v>-310.65559484593416</v>
      </c>
      <c r="AI307" s="497">
        <f t="shared" si="420"/>
        <v>-310.65559484593416</v>
      </c>
      <c r="AJ307" s="497">
        <f t="shared" si="420"/>
        <v>-364.77795379179321</v>
      </c>
      <c r="AK307" s="497">
        <f t="shared" si="420"/>
        <v>-364.77795379179321</v>
      </c>
      <c r="AL307" s="497">
        <f t="shared" si="420"/>
        <v>-364.77795379179321</v>
      </c>
      <c r="AM307" s="497">
        <f t="shared" si="420"/>
        <v>-364.77795379179321</v>
      </c>
      <c r="AN307" s="527">
        <f t="shared" si="420"/>
        <v>-364.77795379179321</v>
      </c>
      <c r="AO307" s="527">
        <f t="shared" si="420"/>
        <v>-364.77795379179321</v>
      </c>
      <c r="AP307" s="527">
        <f t="shared" si="420"/>
        <v>-352.9315280843831</v>
      </c>
      <c r="AQ307" s="527">
        <f t="shared" si="420"/>
        <v>-352.9315280843831</v>
      </c>
      <c r="AR307" s="527">
        <f t="shared" si="420"/>
        <v>-352.9315280843831</v>
      </c>
      <c r="AS307" s="527">
        <f t="shared" si="420"/>
        <v>-352.9315280843831</v>
      </c>
      <c r="AT307" s="527">
        <f t="shared" si="420"/>
        <v>-352.9315280843831</v>
      </c>
      <c r="AU307" s="527">
        <f t="shared" si="420"/>
        <v>-352.9315280843831</v>
      </c>
      <c r="AV307" s="527">
        <f t="shared" si="420"/>
        <v>-365.06355736713255</v>
      </c>
      <c r="AW307" s="527">
        <f t="shared" si="420"/>
        <v>-365.06355736713255</v>
      </c>
      <c r="AX307" s="527">
        <f t="shared" ref="AX307:BY307" si="421">(AX283-AX291)*AX$233</f>
        <v>-365.06355736713255</v>
      </c>
      <c r="AY307" s="527">
        <f t="shared" si="421"/>
        <v>-365.06355736713255</v>
      </c>
      <c r="AZ307" s="527">
        <f t="shared" si="421"/>
        <v>-365.06355736713255</v>
      </c>
      <c r="BA307" s="527">
        <f t="shared" si="421"/>
        <v>-365.06355736713255</v>
      </c>
      <c r="BB307" s="527">
        <f t="shared" si="421"/>
        <v>-354.00814650097323</v>
      </c>
      <c r="BC307" s="527">
        <f t="shared" si="421"/>
        <v>-354.00814650097323</v>
      </c>
      <c r="BD307" s="527">
        <f t="shared" si="421"/>
        <v>-354.00814650097323</v>
      </c>
      <c r="BE307" s="527">
        <f t="shared" si="421"/>
        <v>-354.00814650097323</v>
      </c>
      <c r="BF307" s="527">
        <f t="shared" si="421"/>
        <v>-354.00814650097323</v>
      </c>
      <c r="BG307" s="527">
        <f t="shared" si="421"/>
        <v>-354.00814650097323</v>
      </c>
      <c r="BH307" s="527">
        <f t="shared" si="421"/>
        <v>-366.08318734393487</v>
      </c>
      <c r="BI307" s="527">
        <f t="shared" si="421"/>
        <v>-366.08318734393487</v>
      </c>
      <c r="BJ307" s="527">
        <f t="shared" si="421"/>
        <v>-366.08318734393487</v>
      </c>
      <c r="BK307" s="527">
        <f t="shared" si="421"/>
        <v>-366.08318734393487</v>
      </c>
      <c r="BL307" s="527">
        <f t="shared" si="421"/>
        <v>-366.08318734393487</v>
      </c>
      <c r="BM307" s="527">
        <f t="shared" si="421"/>
        <v>-366.08318734393487</v>
      </c>
      <c r="BN307" s="527">
        <f t="shared" si="421"/>
        <v>-355.20427874509016</v>
      </c>
      <c r="BO307" s="527">
        <f t="shared" si="421"/>
        <v>-355.20427874509016</v>
      </c>
      <c r="BP307" s="527">
        <f t="shared" si="421"/>
        <v>-355.20427874509016</v>
      </c>
      <c r="BQ307" s="527">
        <f t="shared" si="421"/>
        <v>-355.20427874509016</v>
      </c>
      <c r="BR307" s="527">
        <f t="shared" si="421"/>
        <v>-355.20427874509016</v>
      </c>
      <c r="BS307" s="527">
        <f t="shared" si="421"/>
        <v>-355.20427874509016</v>
      </c>
      <c r="BT307" s="527">
        <f t="shared" si="421"/>
        <v>-367.22647642449994</v>
      </c>
      <c r="BU307" s="527">
        <f t="shared" si="421"/>
        <v>-367.22647642449994</v>
      </c>
      <c r="BV307" s="527">
        <f t="shared" si="421"/>
        <v>-367.22647642449994</v>
      </c>
      <c r="BW307" s="527">
        <f t="shared" si="421"/>
        <v>-367.22647642449994</v>
      </c>
      <c r="BX307" s="527">
        <f t="shared" si="421"/>
        <v>-367.22647642449994</v>
      </c>
      <c r="BY307" s="527">
        <f t="shared" si="421"/>
        <v>-367.22647642449994</v>
      </c>
    </row>
    <row r="308" spans="3:77" x14ac:dyDescent="0.3">
      <c r="C308" s="2"/>
      <c r="D308" s="2"/>
      <c r="E308" s="125" t="str">
        <f>"WSM dist &amp; disp: "&amp;E$157</f>
        <v>WSM dist &amp; disp: FY29 Tranche</v>
      </c>
      <c r="F308" s="2"/>
      <c r="G308" s="2"/>
      <c r="H308" s="2"/>
      <c r="I308" s="2"/>
      <c r="J308" s="2"/>
      <c r="K308" s="2"/>
      <c r="L308" s="2"/>
      <c r="M308" s="2"/>
      <c r="N308" s="2"/>
      <c r="O308" s="2"/>
      <c r="P308" s="10"/>
      <c r="Q308" s="2"/>
      <c r="R308" s="497">
        <f t="shared" ref="R308:AW308" si="422">(R284-R292)*R$233</f>
        <v>-310.65559484593416</v>
      </c>
      <c r="S308" s="497">
        <f t="shared" si="422"/>
        <v>-310.65559484593416</v>
      </c>
      <c r="T308" s="497">
        <f t="shared" si="422"/>
        <v>-310.65559484593416</v>
      </c>
      <c r="U308" s="497">
        <f t="shared" si="422"/>
        <v>-310.65559484593416</v>
      </c>
      <c r="V308" s="497">
        <f t="shared" si="422"/>
        <v>-310.65559484593416</v>
      </c>
      <c r="W308" s="497">
        <f t="shared" si="422"/>
        <v>-310.65559484593416</v>
      </c>
      <c r="X308" s="497">
        <f t="shared" si="422"/>
        <v>-310.65559484593416</v>
      </c>
      <c r="Y308" s="497">
        <f t="shared" si="422"/>
        <v>-310.65559484593416</v>
      </c>
      <c r="Z308" s="497">
        <f t="shared" si="422"/>
        <v>-310.65559484593416</v>
      </c>
      <c r="AA308" s="497">
        <f t="shared" si="422"/>
        <v>-310.65559484593416</v>
      </c>
      <c r="AB308" s="497">
        <f t="shared" si="422"/>
        <v>-310.65559484593416</v>
      </c>
      <c r="AC308" s="497">
        <f t="shared" si="422"/>
        <v>-310.65559484593416</v>
      </c>
      <c r="AD308" s="497">
        <f t="shared" si="422"/>
        <v>-310.65559484593416</v>
      </c>
      <c r="AE308" s="497">
        <f t="shared" si="422"/>
        <v>-310.65559484593416</v>
      </c>
      <c r="AF308" s="497">
        <f t="shared" si="422"/>
        <v>-310.65559484593416</v>
      </c>
      <c r="AG308" s="497">
        <f t="shared" si="422"/>
        <v>-310.65559484593416</v>
      </c>
      <c r="AH308" s="497">
        <f t="shared" si="422"/>
        <v>-310.65559484593416</v>
      </c>
      <c r="AI308" s="497">
        <f t="shared" si="422"/>
        <v>-310.65559484593416</v>
      </c>
      <c r="AJ308" s="497">
        <f t="shared" si="422"/>
        <v>-310.65559484593416</v>
      </c>
      <c r="AK308" s="497">
        <f t="shared" si="422"/>
        <v>-310.65559484593416</v>
      </c>
      <c r="AL308" s="497">
        <f t="shared" si="422"/>
        <v>-310.65559484593416</v>
      </c>
      <c r="AM308" s="497">
        <f t="shared" si="422"/>
        <v>-310.65559484593416</v>
      </c>
      <c r="AN308" s="527">
        <f t="shared" si="422"/>
        <v>-310.65559484593416</v>
      </c>
      <c r="AO308" s="527">
        <f t="shared" si="422"/>
        <v>-310.65559484593416</v>
      </c>
      <c r="AP308" s="527">
        <f t="shared" si="422"/>
        <v>-310.65559484593416</v>
      </c>
      <c r="AQ308" s="527">
        <f t="shared" si="422"/>
        <v>-310.65559484593416</v>
      </c>
      <c r="AR308" s="527">
        <f t="shared" si="422"/>
        <v>-310.65559484593416</v>
      </c>
      <c r="AS308" s="527">
        <f t="shared" si="422"/>
        <v>-310.65559484593416</v>
      </c>
      <c r="AT308" s="527">
        <f t="shared" si="422"/>
        <v>-310.65559484593416</v>
      </c>
      <c r="AU308" s="527">
        <f t="shared" si="422"/>
        <v>-310.65559484593416</v>
      </c>
      <c r="AV308" s="527">
        <f t="shared" si="422"/>
        <v>-363.48411872533876</v>
      </c>
      <c r="AW308" s="527">
        <f t="shared" si="422"/>
        <v>-363.48411872533876</v>
      </c>
      <c r="AX308" s="527">
        <f t="shared" ref="AX308:BY308" si="423">(AX284-AX292)*AX$233</f>
        <v>-363.48411872533876</v>
      </c>
      <c r="AY308" s="527">
        <f t="shared" si="423"/>
        <v>-363.48411872533876</v>
      </c>
      <c r="AZ308" s="527">
        <f t="shared" si="423"/>
        <v>-363.48411872533876</v>
      </c>
      <c r="BA308" s="527">
        <f t="shared" si="423"/>
        <v>-363.48411872533876</v>
      </c>
      <c r="BB308" s="527">
        <f t="shared" si="423"/>
        <v>-352.49658932893936</v>
      </c>
      <c r="BC308" s="527">
        <f t="shared" si="423"/>
        <v>-352.49658932893936</v>
      </c>
      <c r="BD308" s="527">
        <f t="shared" si="423"/>
        <v>-352.49658932893936</v>
      </c>
      <c r="BE308" s="527">
        <f t="shared" si="423"/>
        <v>-352.49658932893936</v>
      </c>
      <c r="BF308" s="527">
        <f t="shared" si="423"/>
        <v>-352.49658932893936</v>
      </c>
      <c r="BG308" s="527">
        <f t="shared" si="423"/>
        <v>-352.49658932893936</v>
      </c>
      <c r="BH308" s="527">
        <f t="shared" si="423"/>
        <v>-364.51116788501969</v>
      </c>
      <c r="BI308" s="527">
        <f t="shared" si="423"/>
        <v>-364.51116788501969</v>
      </c>
      <c r="BJ308" s="527">
        <f t="shared" si="423"/>
        <v>-364.51116788501969</v>
      </c>
      <c r="BK308" s="527">
        <f t="shared" si="423"/>
        <v>-364.51116788501969</v>
      </c>
      <c r="BL308" s="527">
        <f t="shared" si="423"/>
        <v>-364.51116788501969</v>
      </c>
      <c r="BM308" s="527">
        <f t="shared" si="423"/>
        <v>-364.51116788501969</v>
      </c>
      <c r="BN308" s="527">
        <f t="shared" si="423"/>
        <v>-353.69933649584613</v>
      </c>
      <c r="BO308" s="527">
        <f t="shared" si="423"/>
        <v>-353.69933649584613</v>
      </c>
      <c r="BP308" s="527">
        <f t="shared" si="423"/>
        <v>-353.69933649584613</v>
      </c>
      <c r="BQ308" s="527">
        <f t="shared" si="423"/>
        <v>-353.69933649584613</v>
      </c>
      <c r="BR308" s="527">
        <f t="shared" si="423"/>
        <v>-353.69933649584613</v>
      </c>
      <c r="BS308" s="527">
        <f t="shared" si="423"/>
        <v>-353.69933649584613</v>
      </c>
      <c r="BT308" s="527">
        <f t="shared" si="423"/>
        <v>-365.66133648528614</v>
      </c>
      <c r="BU308" s="527">
        <f t="shared" si="423"/>
        <v>-365.66133648528614</v>
      </c>
      <c r="BV308" s="527">
        <f t="shared" si="423"/>
        <v>-365.66133648528614</v>
      </c>
      <c r="BW308" s="527">
        <f t="shared" si="423"/>
        <v>-365.66133648528614</v>
      </c>
      <c r="BX308" s="527">
        <f t="shared" si="423"/>
        <v>-365.66133648528614</v>
      </c>
      <c r="BY308" s="527">
        <f t="shared" si="423"/>
        <v>-365.66133648528614</v>
      </c>
    </row>
    <row r="309" spans="3:77" x14ac:dyDescent="0.3">
      <c r="C309" s="2"/>
      <c r="D309" s="2"/>
      <c r="E309" s="125" t="str">
        <f>"WSM dist &amp; disp: "&amp;E$158</f>
        <v>WSM dist &amp; disp: FY30 Tranche</v>
      </c>
      <c r="F309" s="2"/>
      <c r="G309" s="2"/>
      <c r="H309" s="2"/>
      <c r="I309" s="2"/>
      <c r="J309" s="2"/>
      <c r="K309" s="2"/>
      <c r="L309" s="2"/>
      <c r="M309" s="2"/>
      <c r="N309" s="2"/>
      <c r="O309" s="2"/>
      <c r="P309" s="10"/>
      <c r="Q309" s="2"/>
      <c r="R309" s="497">
        <f t="shared" ref="R309:AW309" si="424">(R285-R293)*R$233</f>
        <v>-310.65559484593416</v>
      </c>
      <c r="S309" s="497">
        <f t="shared" si="424"/>
        <v>-310.65559484593416</v>
      </c>
      <c r="T309" s="497">
        <f t="shared" si="424"/>
        <v>-310.65559484593416</v>
      </c>
      <c r="U309" s="497">
        <f t="shared" si="424"/>
        <v>-310.65559484593416</v>
      </c>
      <c r="V309" s="497">
        <f t="shared" si="424"/>
        <v>-310.65559484593416</v>
      </c>
      <c r="W309" s="497">
        <f t="shared" si="424"/>
        <v>-310.65559484593416</v>
      </c>
      <c r="X309" s="497">
        <f t="shared" si="424"/>
        <v>-310.65559484593416</v>
      </c>
      <c r="Y309" s="497">
        <f t="shared" si="424"/>
        <v>-310.65559484593416</v>
      </c>
      <c r="Z309" s="497">
        <f t="shared" si="424"/>
        <v>-310.65559484593416</v>
      </c>
      <c r="AA309" s="497">
        <f t="shared" si="424"/>
        <v>-310.65559484593416</v>
      </c>
      <c r="AB309" s="497">
        <f t="shared" si="424"/>
        <v>-310.65559484593416</v>
      </c>
      <c r="AC309" s="497">
        <f t="shared" si="424"/>
        <v>-310.65559484593416</v>
      </c>
      <c r="AD309" s="497">
        <f t="shared" si="424"/>
        <v>-310.65559484593416</v>
      </c>
      <c r="AE309" s="497">
        <f t="shared" si="424"/>
        <v>-310.65559484593416</v>
      </c>
      <c r="AF309" s="497">
        <f t="shared" si="424"/>
        <v>-310.65559484593416</v>
      </c>
      <c r="AG309" s="497">
        <f t="shared" si="424"/>
        <v>-310.65559484593416</v>
      </c>
      <c r="AH309" s="497">
        <f t="shared" si="424"/>
        <v>-310.65559484593416</v>
      </c>
      <c r="AI309" s="497">
        <f t="shared" si="424"/>
        <v>-310.65559484593416</v>
      </c>
      <c r="AJ309" s="497">
        <f t="shared" si="424"/>
        <v>-310.65559484593416</v>
      </c>
      <c r="AK309" s="497">
        <f t="shared" si="424"/>
        <v>-310.65559484593416</v>
      </c>
      <c r="AL309" s="497">
        <f t="shared" si="424"/>
        <v>-310.65559484593416</v>
      </c>
      <c r="AM309" s="497">
        <f t="shared" si="424"/>
        <v>-310.65559484593416</v>
      </c>
      <c r="AN309" s="527">
        <f t="shared" si="424"/>
        <v>-310.65559484593416</v>
      </c>
      <c r="AO309" s="527">
        <f t="shared" si="424"/>
        <v>-310.65559484593416</v>
      </c>
      <c r="AP309" s="527">
        <f t="shared" si="424"/>
        <v>-310.65559484593416</v>
      </c>
      <c r="AQ309" s="527">
        <f t="shared" si="424"/>
        <v>-310.65559484593416</v>
      </c>
      <c r="AR309" s="527">
        <f t="shared" si="424"/>
        <v>-310.65559484593416</v>
      </c>
      <c r="AS309" s="527">
        <f t="shared" si="424"/>
        <v>-310.65559484593416</v>
      </c>
      <c r="AT309" s="527">
        <f t="shared" si="424"/>
        <v>-310.65559484593416</v>
      </c>
      <c r="AU309" s="527">
        <f t="shared" si="424"/>
        <v>-310.65559484593416</v>
      </c>
      <c r="AV309" s="527">
        <f t="shared" si="424"/>
        <v>-310.65559484593416</v>
      </c>
      <c r="AW309" s="527">
        <f t="shared" si="424"/>
        <v>-310.65559484593416</v>
      </c>
      <c r="AX309" s="527">
        <f t="shared" ref="AX309:BY309" si="425">(AX285-AX293)*AX$233</f>
        <v>-310.65559484593416</v>
      </c>
      <c r="AY309" s="527">
        <f t="shared" si="425"/>
        <v>-310.65559484593416</v>
      </c>
      <c r="AZ309" s="527">
        <f t="shared" si="425"/>
        <v>-310.65559484593416</v>
      </c>
      <c r="BA309" s="527">
        <f t="shared" si="425"/>
        <v>-310.65559484593416</v>
      </c>
      <c r="BB309" s="527">
        <f t="shared" si="425"/>
        <v>-310.65559484593416</v>
      </c>
      <c r="BC309" s="527">
        <f t="shared" si="425"/>
        <v>-310.65559484593416</v>
      </c>
      <c r="BD309" s="527">
        <f t="shared" si="425"/>
        <v>-310.65559484593416</v>
      </c>
      <c r="BE309" s="527">
        <f t="shared" si="425"/>
        <v>-310.65559484593416</v>
      </c>
      <c r="BF309" s="527">
        <f t="shared" si="425"/>
        <v>-310.65559484593416</v>
      </c>
      <c r="BG309" s="527">
        <f t="shared" si="425"/>
        <v>-310.65559484593416</v>
      </c>
      <c r="BH309" s="527">
        <f t="shared" si="425"/>
        <v>-362.25906306587774</v>
      </c>
      <c r="BI309" s="527">
        <f t="shared" si="425"/>
        <v>-362.25906306587774</v>
      </c>
      <c r="BJ309" s="527">
        <f t="shared" si="425"/>
        <v>-362.25906306587774</v>
      </c>
      <c r="BK309" s="527">
        <f t="shared" si="425"/>
        <v>-362.25906306587774</v>
      </c>
      <c r="BL309" s="527">
        <f t="shared" si="425"/>
        <v>-362.25906306587774</v>
      </c>
      <c r="BM309" s="527">
        <f t="shared" si="425"/>
        <v>-362.25906306587774</v>
      </c>
      <c r="BN309" s="527">
        <f t="shared" si="425"/>
        <v>-351.54332775636675</v>
      </c>
      <c r="BO309" s="527">
        <f t="shared" si="425"/>
        <v>-351.54332775636675</v>
      </c>
      <c r="BP309" s="527">
        <f t="shared" si="425"/>
        <v>-351.54332775636675</v>
      </c>
      <c r="BQ309" s="527">
        <f t="shared" si="425"/>
        <v>-351.54332775636675</v>
      </c>
      <c r="BR309" s="527">
        <f t="shared" si="425"/>
        <v>-351.54332775636675</v>
      </c>
      <c r="BS309" s="527">
        <f t="shared" si="425"/>
        <v>-351.54332775636675</v>
      </c>
      <c r="BT309" s="527">
        <f t="shared" si="425"/>
        <v>-363.41908739622755</v>
      </c>
      <c r="BU309" s="527">
        <f t="shared" si="425"/>
        <v>-363.41908739622755</v>
      </c>
      <c r="BV309" s="527">
        <f t="shared" si="425"/>
        <v>-363.41908739622755</v>
      </c>
      <c r="BW309" s="527">
        <f t="shared" si="425"/>
        <v>-363.41908739622755</v>
      </c>
      <c r="BX309" s="527">
        <f t="shared" si="425"/>
        <v>-363.41908739622755</v>
      </c>
      <c r="BY309" s="527">
        <f t="shared" si="425"/>
        <v>-363.41908739622755</v>
      </c>
    </row>
    <row r="310" spans="3:77" x14ac:dyDescent="0.3">
      <c r="C310" s="2"/>
      <c r="D310" s="2"/>
      <c r="E310" s="125" t="str">
        <f>"WSM dist &amp; disp: "&amp;E$159</f>
        <v>WSM dist &amp; disp: FY31 Tranche</v>
      </c>
      <c r="F310" s="2"/>
      <c r="G310" s="2"/>
      <c r="H310" s="2"/>
      <c r="I310" s="2"/>
      <c r="J310" s="2"/>
      <c r="K310" s="2"/>
      <c r="L310" s="2"/>
      <c r="M310" s="2"/>
      <c r="N310" s="2"/>
      <c r="O310" s="2"/>
      <c r="P310" s="10"/>
      <c r="Q310" s="2"/>
      <c r="R310" s="497">
        <f t="shared" ref="R310:AW310" si="426">(R286-R294)*R$233</f>
        <v>-310.65559484593416</v>
      </c>
      <c r="S310" s="497">
        <f t="shared" si="426"/>
        <v>-310.65559484593416</v>
      </c>
      <c r="T310" s="497">
        <f t="shared" si="426"/>
        <v>-310.65559484593416</v>
      </c>
      <c r="U310" s="497">
        <f t="shared" si="426"/>
        <v>-310.65559484593416</v>
      </c>
      <c r="V310" s="497">
        <f t="shared" si="426"/>
        <v>-310.65559484593416</v>
      </c>
      <c r="W310" s="497">
        <f t="shared" si="426"/>
        <v>-310.65559484593416</v>
      </c>
      <c r="X310" s="497">
        <f t="shared" si="426"/>
        <v>-310.65559484593416</v>
      </c>
      <c r="Y310" s="497">
        <f t="shared" si="426"/>
        <v>-310.65559484593416</v>
      </c>
      <c r="Z310" s="497">
        <f t="shared" si="426"/>
        <v>-310.65559484593416</v>
      </c>
      <c r="AA310" s="497">
        <f t="shared" si="426"/>
        <v>-310.65559484593416</v>
      </c>
      <c r="AB310" s="497">
        <f t="shared" si="426"/>
        <v>-310.65559484593416</v>
      </c>
      <c r="AC310" s="497">
        <f t="shared" si="426"/>
        <v>-310.65559484593416</v>
      </c>
      <c r="AD310" s="497">
        <f t="shared" si="426"/>
        <v>-310.65559484593416</v>
      </c>
      <c r="AE310" s="497">
        <f t="shared" si="426"/>
        <v>-310.65559484593416</v>
      </c>
      <c r="AF310" s="497">
        <f t="shared" si="426"/>
        <v>-310.65559484593416</v>
      </c>
      <c r="AG310" s="497">
        <f t="shared" si="426"/>
        <v>-310.65559484593416</v>
      </c>
      <c r="AH310" s="497">
        <f t="shared" si="426"/>
        <v>-310.65559484593416</v>
      </c>
      <c r="AI310" s="497">
        <f t="shared" si="426"/>
        <v>-310.65559484593416</v>
      </c>
      <c r="AJ310" s="497">
        <f t="shared" si="426"/>
        <v>-310.65559484593416</v>
      </c>
      <c r="AK310" s="497">
        <f t="shared" si="426"/>
        <v>-310.65559484593416</v>
      </c>
      <c r="AL310" s="497">
        <f t="shared" si="426"/>
        <v>-310.65559484593416</v>
      </c>
      <c r="AM310" s="497">
        <f t="shared" si="426"/>
        <v>-310.65559484593416</v>
      </c>
      <c r="AN310" s="527">
        <f t="shared" si="426"/>
        <v>-310.65559484593416</v>
      </c>
      <c r="AO310" s="527">
        <f t="shared" si="426"/>
        <v>-310.65559484593416</v>
      </c>
      <c r="AP310" s="527">
        <f t="shared" si="426"/>
        <v>-310.65559484593416</v>
      </c>
      <c r="AQ310" s="527">
        <f t="shared" si="426"/>
        <v>-310.65559484593416</v>
      </c>
      <c r="AR310" s="527">
        <f t="shared" si="426"/>
        <v>-310.65559484593416</v>
      </c>
      <c r="AS310" s="527">
        <f t="shared" si="426"/>
        <v>-310.65559484593416</v>
      </c>
      <c r="AT310" s="527">
        <f t="shared" si="426"/>
        <v>-310.65559484593416</v>
      </c>
      <c r="AU310" s="527">
        <f t="shared" si="426"/>
        <v>-310.65559484593416</v>
      </c>
      <c r="AV310" s="527">
        <f t="shared" si="426"/>
        <v>-310.65559484593416</v>
      </c>
      <c r="AW310" s="527">
        <f t="shared" si="426"/>
        <v>-310.65559484593416</v>
      </c>
      <c r="AX310" s="527">
        <f t="shared" ref="AX310:BY310" si="427">(AX286-AX294)*AX$233</f>
        <v>-310.65559484593416</v>
      </c>
      <c r="AY310" s="527">
        <f t="shared" si="427"/>
        <v>-310.65559484593416</v>
      </c>
      <c r="AZ310" s="527">
        <f t="shared" si="427"/>
        <v>-310.65559484593416</v>
      </c>
      <c r="BA310" s="527">
        <f t="shared" si="427"/>
        <v>-310.65559484593416</v>
      </c>
      <c r="BB310" s="527">
        <f t="shared" si="427"/>
        <v>-310.65559484593416</v>
      </c>
      <c r="BC310" s="527">
        <f t="shared" si="427"/>
        <v>-310.65559484593416</v>
      </c>
      <c r="BD310" s="527">
        <f t="shared" si="427"/>
        <v>-310.65559484593416</v>
      </c>
      <c r="BE310" s="527">
        <f t="shared" si="427"/>
        <v>-310.65559484593416</v>
      </c>
      <c r="BF310" s="527">
        <f t="shared" si="427"/>
        <v>-310.65559484593416</v>
      </c>
      <c r="BG310" s="527">
        <f t="shared" si="427"/>
        <v>-310.65559484593416</v>
      </c>
      <c r="BH310" s="527">
        <f t="shared" si="427"/>
        <v>-310.65559484593416</v>
      </c>
      <c r="BI310" s="527">
        <f t="shared" si="427"/>
        <v>-310.65559484593416</v>
      </c>
      <c r="BJ310" s="527">
        <f t="shared" si="427"/>
        <v>-310.65559484593416</v>
      </c>
      <c r="BK310" s="527">
        <f t="shared" si="427"/>
        <v>-310.65559484593416</v>
      </c>
      <c r="BL310" s="527">
        <f t="shared" si="427"/>
        <v>-310.65559484593416</v>
      </c>
      <c r="BM310" s="527">
        <f t="shared" si="427"/>
        <v>-310.65559484593416</v>
      </c>
      <c r="BN310" s="527">
        <f t="shared" si="427"/>
        <v>-310.65559484593416</v>
      </c>
      <c r="BO310" s="527">
        <f t="shared" si="427"/>
        <v>-310.65559484593416</v>
      </c>
      <c r="BP310" s="527">
        <f t="shared" si="427"/>
        <v>-310.65559484593416</v>
      </c>
      <c r="BQ310" s="527">
        <f t="shared" si="427"/>
        <v>-310.65559484593416</v>
      </c>
      <c r="BR310" s="527">
        <f t="shared" si="427"/>
        <v>-310.65559484593416</v>
      </c>
      <c r="BS310" s="527">
        <f t="shared" si="427"/>
        <v>-310.65559484593416</v>
      </c>
      <c r="BT310" s="527">
        <f t="shared" si="427"/>
        <v>-361.02129136114615</v>
      </c>
      <c r="BU310" s="527">
        <f t="shared" si="427"/>
        <v>-361.02129136114615</v>
      </c>
      <c r="BV310" s="527">
        <f t="shared" si="427"/>
        <v>-361.02129136114615</v>
      </c>
      <c r="BW310" s="527">
        <f t="shared" si="427"/>
        <v>-361.02129136114615</v>
      </c>
      <c r="BX310" s="527">
        <f t="shared" si="427"/>
        <v>-361.02129136114615</v>
      </c>
      <c r="BY310" s="527">
        <f t="shared" si="427"/>
        <v>-361.02129136114615</v>
      </c>
    </row>
    <row r="311" spans="3:77" x14ac:dyDescent="0.3">
      <c r="C311" s="2"/>
      <c r="D311" s="2"/>
      <c r="E311" s="125" t="str">
        <f>"WSM dist &amp; disp: "&amp;E$160</f>
        <v>WSM dist &amp; disp: Uninvested Tranche</v>
      </c>
      <c r="F311" s="2"/>
      <c r="G311" s="2"/>
      <c r="H311" s="2"/>
      <c r="I311" s="2"/>
      <c r="J311" s="2"/>
      <c r="K311" s="2"/>
      <c r="L311" s="2"/>
      <c r="M311" s="2"/>
      <c r="N311" s="2"/>
      <c r="O311" s="2"/>
      <c r="P311" s="10"/>
      <c r="Q311" s="2"/>
      <c r="R311" s="497">
        <f t="shared" ref="R311:AW311" si="428">(R287-R295)*R$233</f>
        <v>-869.83566556861558</v>
      </c>
      <c r="S311" s="497">
        <f t="shared" si="428"/>
        <v>-869.83566556861558</v>
      </c>
      <c r="T311" s="497">
        <f t="shared" si="428"/>
        <v>-869.83566556861558</v>
      </c>
      <c r="U311" s="497">
        <f t="shared" si="428"/>
        <v>-869.83566556861558</v>
      </c>
      <c r="V311" s="497">
        <f t="shared" si="428"/>
        <v>-869.83566556861558</v>
      </c>
      <c r="W311" s="497">
        <f t="shared" si="428"/>
        <v>-869.83566556861558</v>
      </c>
      <c r="X311" s="497">
        <f t="shared" si="428"/>
        <v>-869.83566556861558</v>
      </c>
      <c r="Y311" s="497">
        <f t="shared" si="428"/>
        <v>-869.83566556861558</v>
      </c>
      <c r="Z311" s="497">
        <f t="shared" si="428"/>
        <v>-869.83566556861558</v>
      </c>
      <c r="AA311" s="497">
        <f t="shared" si="428"/>
        <v>-869.83566556861558</v>
      </c>
      <c r="AB311" s="497">
        <f t="shared" si="428"/>
        <v>-869.83566556861558</v>
      </c>
      <c r="AC311" s="497">
        <f t="shared" si="428"/>
        <v>-869.83566556861558</v>
      </c>
      <c r="AD311" s="497">
        <f t="shared" si="428"/>
        <v>-869.83566556861558</v>
      </c>
      <c r="AE311" s="497">
        <f t="shared" si="428"/>
        <v>-869.83566556861558</v>
      </c>
      <c r="AF311" s="497">
        <f t="shared" si="428"/>
        <v>-869.83566556861558</v>
      </c>
      <c r="AG311" s="497">
        <f t="shared" si="428"/>
        <v>-869.83566556861558</v>
      </c>
      <c r="AH311" s="497">
        <f t="shared" si="428"/>
        <v>-869.83566556861558</v>
      </c>
      <c r="AI311" s="497">
        <f t="shared" si="428"/>
        <v>-869.83566556861558</v>
      </c>
      <c r="AJ311" s="497">
        <f t="shared" si="428"/>
        <v>-869.83566556861558</v>
      </c>
      <c r="AK311" s="497">
        <f t="shared" si="428"/>
        <v>-869.83566556861558</v>
      </c>
      <c r="AL311" s="497">
        <f t="shared" si="428"/>
        <v>-869.83566556861558</v>
      </c>
      <c r="AM311" s="497">
        <f t="shared" si="428"/>
        <v>-869.83566556861558</v>
      </c>
      <c r="AN311" s="527">
        <f t="shared" si="428"/>
        <v>-869.83566556861558</v>
      </c>
      <c r="AO311" s="527">
        <f t="shared" si="428"/>
        <v>-869.83566556861558</v>
      </c>
      <c r="AP311" s="527">
        <f t="shared" si="428"/>
        <v>-869.83566556861558</v>
      </c>
      <c r="AQ311" s="527">
        <f t="shared" si="428"/>
        <v>-869.83566556861558</v>
      </c>
      <c r="AR311" s="527">
        <f t="shared" si="428"/>
        <v>-869.83566556861558</v>
      </c>
      <c r="AS311" s="527">
        <f t="shared" si="428"/>
        <v>-869.83566556861558</v>
      </c>
      <c r="AT311" s="527">
        <f t="shared" si="428"/>
        <v>-869.83566556861558</v>
      </c>
      <c r="AU311" s="527">
        <f t="shared" si="428"/>
        <v>-869.83566556861558</v>
      </c>
      <c r="AV311" s="527">
        <f t="shared" si="428"/>
        <v>-869.83566556861558</v>
      </c>
      <c r="AW311" s="527">
        <f t="shared" si="428"/>
        <v>-869.83566556861558</v>
      </c>
      <c r="AX311" s="527">
        <f t="shared" ref="AX311:BY311" si="429">(AX287-AX295)*AX$233</f>
        <v>-869.83566556861558</v>
      </c>
      <c r="AY311" s="527">
        <f t="shared" si="429"/>
        <v>-869.83566556861558</v>
      </c>
      <c r="AZ311" s="527">
        <f t="shared" si="429"/>
        <v>-869.83566556861558</v>
      </c>
      <c r="BA311" s="527">
        <f t="shared" si="429"/>
        <v>-869.83566556861558</v>
      </c>
      <c r="BB311" s="527">
        <f t="shared" si="429"/>
        <v>-869.83566556861558</v>
      </c>
      <c r="BC311" s="527">
        <f t="shared" si="429"/>
        <v>-869.83566556861558</v>
      </c>
      <c r="BD311" s="527">
        <f t="shared" si="429"/>
        <v>-869.83566556861558</v>
      </c>
      <c r="BE311" s="527">
        <f t="shared" si="429"/>
        <v>-869.83566556861558</v>
      </c>
      <c r="BF311" s="527">
        <f t="shared" si="429"/>
        <v>-869.83566556861558</v>
      </c>
      <c r="BG311" s="527">
        <f t="shared" si="429"/>
        <v>-869.83566556861558</v>
      </c>
      <c r="BH311" s="527">
        <f t="shared" si="429"/>
        <v>-869.83566556861558</v>
      </c>
      <c r="BI311" s="527">
        <f t="shared" si="429"/>
        <v>-869.83566556861558</v>
      </c>
      <c r="BJ311" s="527">
        <f t="shared" si="429"/>
        <v>-869.83566556861558</v>
      </c>
      <c r="BK311" s="527">
        <f t="shared" si="429"/>
        <v>-869.83566556861558</v>
      </c>
      <c r="BL311" s="527">
        <f t="shared" si="429"/>
        <v>-869.83566556861558</v>
      </c>
      <c r="BM311" s="527">
        <f t="shared" si="429"/>
        <v>-869.83566556861558</v>
      </c>
      <c r="BN311" s="527">
        <f t="shared" si="429"/>
        <v>-869.83566556861558</v>
      </c>
      <c r="BO311" s="527">
        <f t="shared" si="429"/>
        <v>-869.83566556861558</v>
      </c>
      <c r="BP311" s="527">
        <f t="shared" si="429"/>
        <v>-869.83566556861558</v>
      </c>
      <c r="BQ311" s="527">
        <f t="shared" si="429"/>
        <v>-869.83566556861558</v>
      </c>
      <c r="BR311" s="527">
        <f t="shared" si="429"/>
        <v>-869.83566556861558</v>
      </c>
      <c r="BS311" s="527">
        <f t="shared" si="429"/>
        <v>-869.83566556861558</v>
      </c>
      <c r="BT311" s="527">
        <f t="shared" si="429"/>
        <v>-869.83566556861558</v>
      </c>
      <c r="BU311" s="527">
        <f t="shared" si="429"/>
        <v>-869.83566556861558</v>
      </c>
      <c r="BV311" s="527">
        <f t="shared" si="429"/>
        <v>-869.83566556861558</v>
      </c>
      <c r="BW311" s="527">
        <f t="shared" si="429"/>
        <v>-869.83566556861558</v>
      </c>
      <c r="BX311" s="527">
        <f t="shared" si="429"/>
        <v>-869.83566556861558</v>
      </c>
      <c r="BY311" s="527">
        <f t="shared" si="429"/>
        <v>-869.83566556861558</v>
      </c>
    </row>
    <row r="312" spans="3:77" x14ac:dyDescent="0.3">
      <c r="C312" s="2"/>
      <c r="D312" s="2"/>
      <c r="E312" s="4" t="s">
        <v>36</v>
      </c>
      <c r="F312" s="4"/>
      <c r="G312" s="4"/>
      <c r="H312" s="4"/>
      <c r="I312" s="4"/>
      <c r="J312" s="4"/>
      <c r="K312" s="4"/>
      <c r="L312" s="4"/>
      <c r="M312" s="4"/>
      <c r="N312" s="4"/>
      <c r="O312" s="4"/>
      <c r="P312" s="106"/>
      <c r="Q312" s="4"/>
      <c r="R312" s="498">
        <f t="shared" ref="R312:AW312" si="430">SUM(R306:R311)</f>
        <v>-2423.1136397982864</v>
      </c>
      <c r="S312" s="498">
        <f t="shared" si="430"/>
        <v>-2423.1136397982864</v>
      </c>
      <c r="T312" s="498">
        <f t="shared" si="430"/>
        <v>-2423.1136397982864</v>
      </c>
      <c r="U312" s="498">
        <f t="shared" si="430"/>
        <v>-2423.1136397982864</v>
      </c>
      <c r="V312" s="498">
        <f t="shared" si="430"/>
        <v>-2423.1136397982864</v>
      </c>
      <c r="W312" s="498">
        <f t="shared" si="430"/>
        <v>-2423.1136397982864</v>
      </c>
      <c r="X312" s="498">
        <f t="shared" si="430"/>
        <v>-2478.6051624920578</v>
      </c>
      <c r="Y312" s="498">
        <f t="shared" si="430"/>
        <v>-2478.6051624920578</v>
      </c>
      <c r="Z312" s="498">
        <f t="shared" si="430"/>
        <v>-2478.6051624920578</v>
      </c>
      <c r="AA312" s="498">
        <f t="shared" si="430"/>
        <v>-2478.6051624920578</v>
      </c>
      <c r="AB312" s="498">
        <f t="shared" si="430"/>
        <v>-2478.6051624920578</v>
      </c>
      <c r="AC312" s="498">
        <f t="shared" si="430"/>
        <v>-2478.6051624920578</v>
      </c>
      <c r="AD312" s="498">
        <f t="shared" si="430"/>
        <v>-2466.0503878942009</v>
      </c>
      <c r="AE312" s="498">
        <f t="shared" si="430"/>
        <v>-2466.0503878942009</v>
      </c>
      <c r="AF312" s="498">
        <f t="shared" si="430"/>
        <v>-2466.0503878942009</v>
      </c>
      <c r="AG312" s="498">
        <f t="shared" si="430"/>
        <v>-2466.0503878942009</v>
      </c>
      <c r="AH312" s="498">
        <f t="shared" si="430"/>
        <v>-2466.0503878942009</v>
      </c>
      <c r="AI312" s="498">
        <f t="shared" si="430"/>
        <v>-2466.0503878942009</v>
      </c>
      <c r="AJ312" s="498">
        <f t="shared" si="430"/>
        <v>-2532.4335694037886</v>
      </c>
      <c r="AK312" s="498">
        <f t="shared" si="430"/>
        <v>-2532.4335694037886</v>
      </c>
      <c r="AL312" s="498">
        <f t="shared" si="430"/>
        <v>-2532.4335694037886</v>
      </c>
      <c r="AM312" s="498">
        <f t="shared" si="430"/>
        <v>-2532.4335694037886</v>
      </c>
      <c r="AN312" s="530">
        <f t="shared" si="430"/>
        <v>-2532.4335694037886</v>
      </c>
      <c r="AO312" s="530">
        <f t="shared" si="430"/>
        <v>-2532.4335694037886</v>
      </c>
      <c r="AP312" s="530">
        <f t="shared" si="430"/>
        <v>-2508.6919657073245</v>
      </c>
      <c r="AQ312" s="530">
        <f t="shared" si="430"/>
        <v>-2508.6919657073245</v>
      </c>
      <c r="AR312" s="530">
        <f t="shared" si="430"/>
        <v>-2508.6919657073245</v>
      </c>
      <c r="AS312" s="530">
        <f t="shared" si="430"/>
        <v>-2508.6919657073245</v>
      </c>
      <c r="AT312" s="530">
        <f t="shared" si="430"/>
        <v>-2508.6919657073245</v>
      </c>
      <c r="AU312" s="530">
        <f t="shared" si="430"/>
        <v>-2508.6919657073245</v>
      </c>
      <c r="AV312" s="530">
        <f t="shared" si="430"/>
        <v>-2585.8256065295136</v>
      </c>
      <c r="AW312" s="530">
        <f t="shared" si="430"/>
        <v>-2585.8256065295136</v>
      </c>
      <c r="AX312" s="530">
        <f t="shared" ref="AX312:BY312" si="431">SUM(AX306:AX311)</f>
        <v>-2585.8256065295136</v>
      </c>
      <c r="AY312" s="530">
        <f t="shared" si="431"/>
        <v>-2585.8256065295136</v>
      </c>
      <c r="AZ312" s="530">
        <f t="shared" si="431"/>
        <v>-2585.8256065295136</v>
      </c>
      <c r="BA312" s="530">
        <f t="shared" si="431"/>
        <v>-2585.8256065295136</v>
      </c>
      <c r="BB312" s="530">
        <f t="shared" si="431"/>
        <v>-2552.6813753798933</v>
      </c>
      <c r="BC312" s="530">
        <f t="shared" si="431"/>
        <v>-2552.6813753798933</v>
      </c>
      <c r="BD312" s="530">
        <f t="shared" si="431"/>
        <v>-2552.6813753798933</v>
      </c>
      <c r="BE312" s="530">
        <f t="shared" si="431"/>
        <v>-2552.6813753798933</v>
      </c>
      <c r="BF312" s="530">
        <f t="shared" si="431"/>
        <v>-2552.6813753798933</v>
      </c>
      <c r="BG312" s="530">
        <f t="shared" si="431"/>
        <v>-2552.6813753798933</v>
      </c>
      <c r="BH312" s="530">
        <f t="shared" si="431"/>
        <v>-2640.4903693533815</v>
      </c>
      <c r="BI312" s="530">
        <f t="shared" si="431"/>
        <v>-2640.4903693533815</v>
      </c>
      <c r="BJ312" s="530">
        <f t="shared" si="431"/>
        <v>-2640.4903693533815</v>
      </c>
      <c r="BK312" s="530">
        <f t="shared" si="431"/>
        <v>-2640.4903693533815</v>
      </c>
      <c r="BL312" s="530">
        <f t="shared" si="431"/>
        <v>-2640.4903693533815</v>
      </c>
      <c r="BM312" s="530">
        <f t="shared" si="431"/>
        <v>-2640.4903693533815</v>
      </c>
      <c r="BN312" s="530">
        <f t="shared" si="431"/>
        <v>-2597.1596490228881</v>
      </c>
      <c r="BO312" s="530">
        <f t="shared" si="431"/>
        <v>-2597.1596490228881</v>
      </c>
      <c r="BP312" s="530">
        <f t="shared" si="431"/>
        <v>-2597.1596490228881</v>
      </c>
      <c r="BQ312" s="530">
        <f t="shared" si="431"/>
        <v>-2597.1596490228881</v>
      </c>
      <c r="BR312" s="530">
        <f t="shared" si="431"/>
        <v>-2597.1596490228881</v>
      </c>
      <c r="BS312" s="530">
        <f t="shared" si="431"/>
        <v>-2597.1596490228881</v>
      </c>
      <c r="BT312" s="530">
        <f t="shared" si="431"/>
        <v>-2695.4481872008578</v>
      </c>
      <c r="BU312" s="530">
        <f t="shared" si="431"/>
        <v>-2695.4481872008578</v>
      </c>
      <c r="BV312" s="530">
        <f t="shared" si="431"/>
        <v>-2695.4481872008578</v>
      </c>
      <c r="BW312" s="530">
        <f t="shared" si="431"/>
        <v>-2695.4481872008578</v>
      </c>
      <c r="BX312" s="530">
        <f t="shared" si="431"/>
        <v>-2695.4481872008578</v>
      </c>
      <c r="BY312" s="530">
        <f t="shared" si="431"/>
        <v>-2695.4481872008578</v>
      </c>
    </row>
    <row r="313" spans="3:77" x14ac:dyDescent="0.3">
      <c r="C313" s="2"/>
      <c r="D313" s="2"/>
      <c r="E313" s="2"/>
      <c r="F313" s="2"/>
      <c r="G313" s="2"/>
      <c r="H313" s="2"/>
      <c r="I313" s="2"/>
      <c r="J313" s="2"/>
      <c r="K313" s="2"/>
      <c r="L313" s="2"/>
      <c r="M313" s="2"/>
      <c r="N313" s="2"/>
      <c r="O313" s="2"/>
      <c r="P313" s="10"/>
      <c r="Q313" s="2"/>
      <c r="R313" s="2"/>
      <c r="S313" s="2"/>
      <c r="T313" s="2"/>
      <c r="U313" s="2"/>
      <c r="V313" s="2"/>
      <c r="W313" s="2"/>
      <c r="X313" s="2"/>
      <c r="Y313" s="2"/>
      <c r="Z313" s="2"/>
      <c r="AA313" s="2"/>
      <c r="AB313" s="2"/>
      <c r="AC313" s="2"/>
      <c r="AD313" s="2"/>
      <c r="AE313" s="2"/>
      <c r="AF313" s="2"/>
      <c r="AG313" s="2"/>
      <c r="AH313" s="2"/>
      <c r="AI313" s="2"/>
      <c r="AJ313" s="2"/>
      <c r="AK313" s="2"/>
      <c r="AL313" s="2"/>
      <c r="AM313" s="2"/>
      <c r="AN313" s="525"/>
      <c r="AO313" s="525"/>
      <c r="AP313" s="525"/>
      <c r="AQ313" s="525"/>
      <c r="AR313" s="525"/>
      <c r="AS313" s="525"/>
      <c r="AT313" s="525"/>
      <c r="AU313" s="525"/>
      <c r="AV313" s="525"/>
      <c r="AW313" s="525"/>
      <c r="AX313" s="525"/>
      <c r="AY313" s="525"/>
      <c r="AZ313" s="525"/>
      <c r="BA313" s="525"/>
      <c r="BB313" s="525"/>
      <c r="BC313" s="525"/>
      <c r="BD313" s="525"/>
      <c r="BE313" s="525"/>
      <c r="BF313" s="525"/>
      <c r="BG313" s="525"/>
      <c r="BH313" s="525"/>
      <c r="BI313" s="525"/>
      <c r="BJ313" s="525"/>
      <c r="BK313" s="525"/>
      <c r="BL313" s="525"/>
      <c r="BM313" s="525"/>
      <c r="BN313" s="525"/>
      <c r="BO313" s="525"/>
      <c r="BP313" s="525"/>
      <c r="BQ313" s="525"/>
      <c r="BR313" s="525"/>
      <c r="BS313" s="525"/>
      <c r="BT313" s="525"/>
      <c r="BU313" s="525"/>
      <c r="BV313" s="525"/>
      <c r="BW313" s="525"/>
      <c r="BX313" s="525"/>
      <c r="BY313" s="525"/>
    </row>
    <row r="314" spans="3:77" x14ac:dyDescent="0.3">
      <c r="C314" s="2"/>
      <c r="D314" s="2"/>
      <c r="E314" s="126" t="str">
        <f>"WSM discounts: "&amp;E$155</f>
        <v>WSM discounts: FY27 Tranche</v>
      </c>
      <c r="F314" s="2"/>
      <c r="G314" s="2"/>
      <c r="H314" s="2"/>
      <c r="I314" s="2"/>
      <c r="J314" s="2"/>
      <c r="K314" s="2"/>
      <c r="L314" s="2"/>
      <c r="M314" s="2"/>
      <c r="N314" s="2"/>
      <c r="O314" s="2"/>
      <c r="P314" s="10"/>
      <c r="Q314" s="2"/>
      <c r="R314" s="497">
        <f t="shared" ref="R314:AW314" si="432">(R282-R290)*R$234</f>
        <v>-529.27139703610499</v>
      </c>
      <c r="S314" s="497">
        <f t="shared" si="432"/>
        <v>-529.27139703610499</v>
      </c>
      <c r="T314" s="497">
        <f t="shared" si="432"/>
        <v>-529.27139703610499</v>
      </c>
      <c r="U314" s="497">
        <f t="shared" si="432"/>
        <v>-529.27139703610499</v>
      </c>
      <c r="V314" s="497">
        <f t="shared" si="432"/>
        <v>-529.27139703610499</v>
      </c>
      <c r="W314" s="497">
        <f t="shared" si="432"/>
        <v>-529.27139703610499</v>
      </c>
      <c r="X314" s="497">
        <f t="shared" si="432"/>
        <v>-623.81363682534436</v>
      </c>
      <c r="Y314" s="497">
        <f t="shared" si="432"/>
        <v>-623.81363682534436</v>
      </c>
      <c r="Z314" s="497">
        <f t="shared" si="432"/>
        <v>-623.81363682534436</v>
      </c>
      <c r="AA314" s="497">
        <f t="shared" si="432"/>
        <v>-623.81363682534436</v>
      </c>
      <c r="AB314" s="497">
        <f t="shared" si="432"/>
        <v>-623.81363682534436</v>
      </c>
      <c r="AC314" s="497">
        <f t="shared" si="432"/>
        <v>-623.81363682534436</v>
      </c>
      <c r="AD314" s="497">
        <f t="shared" si="432"/>
        <v>-602.42376585206694</v>
      </c>
      <c r="AE314" s="497">
        <f t="shared" si="432"/>
        <v>-602.42376585206694</v>
      </c>
      <c r="AF314" s="497">
        <f t="shared" si="432"/>
        <v>-602.42376585206694</v>
      </c>
      <c r="AG314" s="497">
        <f t="shared" si="432"/>
        <v>-602.42376585206694</v>
      </c>
      <c r="AH314" s="497">
        <f t="shared" si="432"/>
        <v>-602.42376585206694</v>
      </c>
      <c r="AI314" s="497">
        <f t="shared" si="432"/>
        <v>-602.42376585206694</v>
      </c>
      <c r="AJ314" s="497">
        <f t="shared" si="432"/>
        <v>-623.31282368582288</v>
      </c>
      <c r="AK314" s="497">
        <f t="shared" si="432"/>
        <v>-623.31282368582288</v>
      </c>
      <c r="AL314" s="497">
        <f t="shared" si="432"/>
        <v>-623.31282368582288</v>
      </c>
      <c r="AM314" s="497">
        <f t="shared" si="432"/>
        <v>-623.31282368582288</v>
      </c>
      <c r="AN314" s="527">
        <f t="shared" si="432"/>
        <v>-623.31282368582288</v>
      </c>
      <c r="AO314" s="527">
        <f t="shared" si="432"/>
        <v>-623.31282368582288</v>
      </c>
      <c r="AP314" s="527">
        <f t="shared" si="432"/>
        <v>-603.04672329454536</v>
      </c>
      <c r="AQ314" s="527">
        <f t="shared" si="432"/>
        <v>-603.04672329454536</v>
      </c>
      <c r="AR314" s="527">
        <f t="shared" si="432"/>
        <v>-603.04672329454536</v>
      </c>
      <c r="AS314" s="527">
        <f t="shared" si="432"/>
        <v>-603.04672329454536</v>
      </c>
      <c r="AT314" s="527">
        <f t="shared" si="432"/>
        <v>-603.04672329454536</v>
      </c>
      <c r="AU314" s="527">
        <f t="shared" si="432"/>
        <v>-603.04672329454536</v>
      </c>
      <c r="AV314" s="527">
        <f t="shared" si="432"/>
        <v>-623.78630506600837</v>
      </c>
      <c r="AW314" s="527">
        <f t="shared" si="432"/>
        <v>-623.78630506600837</v>
      </c>
      <c r="AX314" s="527">
        <f t="shared" ref="AX314:BY314" si="433">(AX282-AX290)*AX$234</f>
        <v>-623.78630506600837</v>
      </c>
      <c r="AY314" s="527">
        <f t="shared" si="433"/>
        <v>-623.78630506600837</v>
      </c>
      <c r="AZ314" s="527">
        <f t="shared" si="433"/>
        <v>-623.78630506600837</v>
      </c>
      <c r="BA314" s="527">
        <f t="shared" si="433"/>
        <v>-623.78630506600837</v>
      </c>
      <c r="BB314" s="527">
        <f t="shared" si="433"/>
        <v>-604.87276919483566</v>
      </c>
      <c r="BC314" s="527">
        <f t="shared" si="433"/>
        <v>-604.87276919483566</v>
      </c>
      <c r="BD314" s="527">
        <f t="shared" si="433"/>
        <v>-604.87276919483566</v>
      </c>
      <c r="BE314" s="527">
        <f t="shared" si="433"/>
        <v>-604.87276919483566</v>
      </c>
      <c r="BF314" s="527">
        <f t="shared" si="433"/>
        <v>-604.87276919483566</v>
      </c>
      <c r="BG314" s="527">
        <f t="shared" si="433"/>
        <v>-604.87276919483566</v>
      </c>
      <c r="BH314" s="527">
        <f t="shared" si="433"/>
        <v>-625.5149298029088</v>
      </c>
      <c r="BI314" s="527">
        <f t="shared" si="433"/>
        <v>-625.5149298029088</v>
      </c>
      <c r="BJ314" s="527">
        <f t="shared" si="433"/>
        <v>-625.5149298029088</v>
      </c>
      <c r="BK314" s="527">
        <f t="shared" si="433"/>
        <v>-625.5149298029088</v>
      </c>
      <c r="BL314" s="527">
        <f t="shared" si="433"/>
        <v>-625.5149298029088</v>
      </c>
      <c r="BM314" s="527">
        <f t="shared" si="433"/>
        <v>-625.5149298029088</v>
      </c>
      <c r="BN314" s="527">
        <f t="shared" si="433"/>
        <v>-606.90303120494684</v>
      </c>
      <c r="BO314" s="527">
        <f t="shared" si="433"/>
        <v>-606.90303120494684</v>
      </c>
      <c r="BP314" s="527">
        <f t="shared" si="433"/>
        <v>-606.90303120494684</v>
      </c>
      <c r="BQ314" s="527">
        <f t="shared" si="433"/>
        <v>-606.90303120494684</v>
      </c>
      <c r="BR314" s="527">
        <f t="shared" si="433"/>
        <v>-606.90303120494684</v>
      </c>
      <c r="BS314" s="527">
        <f t="shared" si="433"/>
        <v>-606.90303120494684</v>
      </c>
      <c r="BT314" s="527">
        <f t="shared" si="433"/>
        <v>-627.45485695757202</v>
      </c>
      <c r="BU314" s="527">
        <f t="shared" si="433"/>
        <v>-627.45485695757202</v>
      </c>
      <c r="BV314" s="527">
        <f t="shared" si="433"/>
        <v>-627.45485695757202</v>
      </c>
      <c r="BW314" s="527">
        <f t="shared" si="433"/>
        <v>-627.45485695757202</v>
      </c>
      <c r="BX314" s="527">
        <f t="shared" si="433"/>
        <v>-627.45485695757202</v>
      </c>
      <c r="BY314" s="527">
        <f t="shared" si="433"/>
        <v>-627.45485695757202</v>
      </c>
    </row>
    <row r="315" spans="3:77" x14ac:dyDescent="0.3">
      <c r="C315" s="2"/>
      <c r="D315" s="2"/>
      <c r="E315" s="126" t="str">
        <f>"WSM discounts: "&amp;E$156</f>
        <v>WSM discounts: FY28 Tranche</v>
      </c>
      <c r="F315" s="2"/>
      <c r="G315" s="2"/>
      <c r="H315" s="2"/>
      <c r="I315" s="2"/>
      <c r="J315" s="2"/>
      <c r="K315" s="2"/>
      <c r="L315" s="2"/>
      <c r="M315" s="2"/>
      <c r="N315" s="2"/>
      <c r="O315" s="2"/>
      <c r="P315" s="10"/>
      <c r="Q315" s="2"/>
      <c r="R315" s="497">
        <f t="shared" ref="R315:AW315" si="434">(R283-R291)*R$234</f>
        <v>-529.27139703610499</v>
      </c>
      <c r="S315" s="497">
        <f t="shared" si="434"/>
        <v>-529.27139703610499</v>
      </c>
      <c r="T315" s="497">
        <f t="shared" si="434"/>
        <v>-529.27139703610499</v>
      </c>
      <c r="U315" s="497">
        <f t="shared" si="434"/>
        <v>-529.27139703610499</v>
      </c>
      <c r="V315" s="497">
        <f t="shared" si="434"/>
        <v>-529.27139703610499</v>
      </c>
      <c r="W315" s="497">
        <f t="shared" si="434"/>
        <v>-529.27139703610499</v>
      </c>
      <c r="X315" s="497">
        <f t="shared" si="434"/>
        <v>-529.27139703610499</v>
      </c>
      <c r="Y315" s="497">
        <f t="shared" si="434"/>
        <v>-529.27139703610499</v>
      </c>
      <c r="Z315" s="497">
        <f t="shared" si="434"/>
        <v>-529.27139703610499</v>
      </c>
      <c r="AA315" s="497">
        <f t="shared" si="434"/>
        <v>-529.27139703610499</v>
      </c>
      <c r="AB315" s="497">
        <f t="shared" si="434"/>
        <v>-529.27139703610499</v>
      </c>
      <c r="AC315" s="497">
        <f t="shared" si="434"/>
        <v>-529.27139703610499</v>
      </c>
      <c r="AD315" s="497">
        <f t="shared" si="434"/>
        <v>-529.27139703610499</v>
      </c>
      <c r="AE315" s="497">
        <f t="shared" si="434"/>
        <v>-529.27139703610499</v>
      </c>
      <c r="AF315" s="497">
        <f t="shared" si="434"/>
        <v>-529.27139703610499</v>
      </c>
      <c r="AG315" s="497">
        <f t="shared" si="434"/>
        <v>-529.27139703610499</v>
      </c>
      <c r="AH315" s="497">
        <f t="shared" si="434"/>
        <v>-529.27139703610499</v>
      </c>
      <c r="AI315" s="497">
        <f t="shared" si="434"/>
        <v>-529.27139703610499</v>
      </c>
      <c r="AJ315" s="497">
        <f t="shared" si="434"/>
        <v>-621.48095966886785</v>
      </c>
      <c r="AK315" s="497">
        <f t="shared" si="434"/>
        <v>-621.48095966886785</v>
      </c>
      <c r="AL315" s="497">
        <f t="shared" si="434"/>
        <v>-621.48095966886785</v>
      </c>
      <c r="AM315" s="497">
        <f t="shared" si="434"/>
        <v>-621.48095966886785</v>
      </c>
      <c r="AN315" s="527">
        <f t="shared" si="434"/>
        <v>-621.48095966886785</v>
      </c>
      <c r="AO315" s="527">
        <f t="shared" si="434"/>
        <v>-621.48095966886785</v>
      </c>
      <c r="AP315" s="527">
        <f t="shared" si="434"/>
        <v>-601.29791971056648</v>
      </c>
      <c r="AQ315" s="527">
        <f t="shared" si="434"/>
        <v>-601.29791971056648</v>
      </c>
      <c r="AR315" s="527">
        <f t="shared" si="434"/>
        <v>-601.29791971056648</v>
      </c>
      <c r="AS315" s="527">
        <f t="shared" si="434"/>
        <v>-601.29791971056648</v>
      </c>
      <c r="AT315" s="527">
        <f t="shared" si="434"/>
        <v>-601.29791971056648</v>
      </c>
      <c r="AU315" s="527">
        <f t="shared" si="434"/>
        <v>-601.29791971056648</v>
      </c>
      <c r="AV315" s="527">
        <f t="shared" si="434"/>
        <v>-621.96754933867021</v>
      </c>
      <c r="AW315" s="527">
        <f t="shared" si="434"/>
        <v>-621.96754933867021</v>
      </c>
      <c r="AX315" s="527">
        <f t="shared" ref="AX315:BY315" si="435">(AX283-AX291)*AX$234</f>
        <v>-621.96754933867021</v>
      </c>
      <c r="AY315" s="527">
        <f t="shared" si="435"/>
        <v>-621.96754933867021</v>
      </c>
      <c r="AZ315" s="527">
        <f t="shared" si="435"/>
        <v>-621.96754933867021</v>
      </c>
      <c r="BA315" s="527">
        <f t="shared" si="435"/>
        <v>-621.96754933867021</v>
      </c>
      <c r="BB315" s="527">
        <f t="shared" si="435"/>
        <v>-603.13218036087289</v>
      </c>
      <c r="BC315" s="527">
        <f t="shared" si="435"/>
        <v>-603.13218036087289</v>
      </c>
      <c r="BD315" s="527">
        <f t="shared" si="435"/>
        <v>-603.13218036087289</v>
      </c>
      <c r="BE315" s="527">
        <f t="shared" si="435"/>
        <v>-603.13218036087289</v>
      </c>
      <c r="BF315" s="527">
        <f t="shared" si="435"/>
        <v>-603.13218036087289</v>
      </c>
      <c r="BG315" s="527">
        <f t="shared" si="435"/>
        <v>-603.13218036087289</v>
      </c>
      <c r="BH315" s="527">
        <f t="shared" si="435"/>
        <v>-623.70471741558742</v>
      </c>
      <c r="BI315" s="527">
        <f t="shared" si="435"/>
        <v>-623.70471741558742</v>
      </c>
      <c r="BJ315" s="527">
        <f t="shared" si="435"/>
        <v>-623.70471741558742</v>
      </c>
      <c r="BK315" s="527">
        <f t="shared" si="435"/>
        <v>-623.70471741558742</v>
      </c>
      <c r="BL315" s="527">
        <f t="shared" si="435"/>
        <v>-623.70471741558742</v>
      </c>
      <c r="BM315" s="527">
        <f t="shared" si="435"/>
        <v>-623.70471741558742</v>
      </c>
      <c r="BN315" s="527">
        <f t="shared" si="435"/>
        <v>-605.17005958914717</v>
      </c>
      <c r="BO315" s="527">
        <f t="shared" si="435"/>
        <v>-605.17005958914717</v>
      </c>
      <c r="BP315" s="527">
        <f t="shared" si="435"/>
        <v>-605.17005958914717</v>
      </c>
      <c r="BQ315" s="527">
        <f t="shared" si="435"/>
        <v>-605.17005958914717</v>
      </c>
      <c r="BR315" s="527">
        <f t="shared" si="435"/>
        <v>-605.17005958914717</v>
      </c>
      <c r="BS315" s="527">
        <f t="shared" si="435"/>
        <v>-605.17005958914717</v>
      </c>
      <c r="BT315" s="527">
        <f t="shared" si="435"/>
        <v>-625.65256647714023</v>
      </c>
      <c r="BU315" s="527">
        <f t="shared" si="435"/>
        <v>-625.65256647714023</v>
      </c>
      <c r="BV315" s="527">
        <f t="shared" si="435"/>
        <v>-625.65256647714023</v>
      </c>
      <c r="BW315" s="527">
        <f t="shared" si="435"/>
        <v>-625.65256647714023</v>
      </c>
      <c r="BX315" s="527">
        <f t="shared" si="435"/>
        <v>-625.65256647714023</v>
      </c>
      <c r="BY315" s="527">
        <f t="shared" si="435"/>
        <v>-625.65256647714023</v>
      </c>
    </row>
    <row r="316" spans="3:77" x14ac:dyDescent="0.3">
      <c r="C316" s="2"/>
      <c r="D316" s="2"/>
      <c r="E316" s="126" t="str">
        <f>"WSM discounts: "&amp;E$157</f>
        <v>WSM discounts: FY29 Tranche</v>
      </c>
      <c r="F316" s="2"/>
      <c r="G316" s="2"/>
      <c r="H316" s="2"/>
      <c r="I316" s="2"/>
      <c r="J316" s="2"/>
      <c r="K316" s="2"/>
      <c r="L316" s="2"/>
      <c r="M316" s="2"/>
      <c r="N316" s="2"/>
      <c r="O316" s="2"/>
      <c r="P316" s="10"/>
      <c r="Q316" s="2"/>
      <c r="R316" s="497">
        <f t="shared" ref="R316:AW316" si="436">(R284-R292)*R$234</f>
        <v>-529.27139703610499</v>
      </c>
      <c r="S316" s="497">
        <f t="shared" si="436"/>
        <v>-529.27139703610499</v>
      </c>
      <c r="T316" s="497">
        <f t="shared" si="436"/>
        <v>-529.27139703610499</v>
      </c>
      <c r="U316" s="497">
        <f t="shared" si="436"/>
        <v>-529.27139703610499</v>
      </c>
      <c r="V316" s="497">
        <f t="shared" si="436"/>
        <v>-529.27139703610499</v>
      </c>
      <c r="W316" s="497">
        <f t="shared" si="436"/>
        <v>-529.27139703610499</v>
      </c>
      <c r="X316" s="497">
        <f t="shared" si="436"/>
        <v>-529.27139703610499</v>
      </c>
      <c r="Y316" s="497">
        <f t="shared" si="436"/>
        <v>-529.27139703610499</v>
      </c>
      <c r="Z316" s="497">
        <f t="shared" si="436"/>
        <v>-529.27139703610499</v>
      </c>
      <c r="AA316" s="497">
        <f t="shared" si="436"/>
        <v>-529.27139703610499</v>
      </c>
      <c r="AB316" s="497">
        <f t="shared" si="436"/>
        <v>-529.27139703610499</v>
      </c>
      <c r="AC316" s="497">
        <f t="shared" si="436"/>
        <v>-529.27139703610499</v>
      </c>
      <c r="AD316" s="497">
        <f t="shared" si="436"/>
        <v>-529.27139703610499</v>
      </c>
      <c r="AE316" s="497">
        <f t="shared" si="436"/>
        <v>-529.27139703610499</v>
      </c>
      <c r="AF316" s="497">
        <f t="shared" si="436"/>
        <v>-529.27139703610499</v>
      </c>
      <c r="AG316" s="497">
        <f t="shared" si="436"/>
        <v>-529.27139703610499</v>
      </c>
      <c r="AH316" s="497">
        <f t="shared" si="436"/>
        <v>-529.27139703610499</v>
      </c>
      <c r="AI316" s="497">
        <f t="shared" si="436"/>
        <v>-529.27139703610499</v>
      </c>
      <c r="AJ316" s="497">
        <f t="shared" si="436"/>
        <v>-529.27139703610499</v>
      </c>
      <c r="AK316" s="497">
        <f t="shared" si="436"/>
        <v>-529.27139703610499</v>
      </c>
      <c r="AL316" s="497">
        <f t="shared" si="436"/>
        <v>-529.27139703610499</v>
      </c>
      <c r="AM316" s="497">
        <f t="shared" si="436"/>
        <v>-529.27139703610499</v>
      </c>
      <c r="AN316" s="527">
        <f t="shared" si="436"/>
        <v>-529.27139703610499</v>
      </c>
      <c r="AO316" s="527">
        <f t="shared" si="436"/>
        <v>-529.27139703610499</v>
      </c>
      <c r="AP316" s="527">
        <f t="shared" si="436"/>
        <v>-529.27139703610499</v>
      </c>
      <c r="AQ316" s="527">
        <f t="shared" si="436"/>
        <v>-529.27139703610499</v>
      </c>
      <c r="AR316" s="527">
        <f t="shared" si="436"/>
        <v>-529.27139703610499</v>
      </c>
      <c r="AS316" s="527">
        <f t="shared" si="436"/>
        <v>-529.27139703610499</v>
      </c>
      <c r="AT316" s="527">
        <f t="shared" si="436"/>
        <v>-529.27139703610499</v>
      </c>
      <c r="AU316" s="527">
        <f t="shared" si="436"/>
        <v>-529.27139703610499</v>
      </c>
      <c r="AV316" s="527">
        <f t="shared" si="436"/>
        <v>-619.27662179593733</v>
      </c>
      <c r="AW316" s="527">
        <f t="shared" si="436"/>
        <v>-619.27662179593733</v>
      </c>
      <c r="AX316" s="527">
        <f t="shared" ref="AX316:BY316" si="437">(AX284-AX292)*AX$234</f>
        <v>-619.27662179593733</v>
      </c>
      <c r="AY316" s="527">
        <f t="shared" si="437"/>
        <v>-619.27662179593733</v>
      </c>
      <c r="AZ316" s="527">
        <f t="shared" si="437"/>
        <v>-619.27662179593733</v>
      </c>
      <c r="BA316" s="527">
        <f t="shared" si="437"/>
        <v>-619.27662179593733</v>
      </c>
      <c r="BB316" s="527">
        <f t="shared" si="437"/>
        <v>-600.55690410827856</v>
      </c>
      <c r="BC316" s="527">
        <f t="shared" si="437"/>
        <v>-600.55690410827856</v>
      </c>
      <c r="BD316" s="527">
        <f t="shared" si="437"/>
        <v>-600.55690410827856</v>
      </c>
      <c r="BE316" s="527">
        <f t="shared" si="437"/>
        <v>-600.55690410827856</v>
      </c>
      <c r="BF316" s="527">
        <f t="shared" si="437"/>
        <v>-600.55690410827856</v>
      </c>
      <c r="BG316" s="527">
        <f t="shared" si="437"/>
        <v>-600.55690410827856</v>
      </c>
      <c r="BH316" s="527">
        <f t="shared" si="437"/>
        <v>-621.02643011288933</v>
      </c>
      <c r="BI316" s="527">
        <f t="shared" si="437"/>
        <v>-621.02643011288933</v>
      </c>
      <c r="BJ316" s="527">
        <f t="shared" si="437"/>
        <v>-621.02643011288933</v>
      </c>
      <c r="BK316" s="527">
        <f t="shared" si="437"/>
        <v>-621.02643011288933</v>
      </c>
      <c r="BL316" s="527">
        <f t="shared" si="437"/>
        <v>-621.02643011288933</v>
      </c>
      <c r="BM316" s="527">
        <f t="shared" si="437"/>
        <v>-621.02643011288933</v>
      </c>
      <c r="BN316" s="527">
        <f t="shared" si="437"/>
        <v>-602.60605333936087</v>
      </c>
      <c r="BO316" s="527">
        <f t="shared" si="437"/>
        <v>-602.60605333936087</v>
      </c>
      <c r="BP316" s="527">
        <f t="shared" si="437"/>
        <v>-602.60605333936087</v>
      </c>
      <c r="BQ316" s="527">
        <f t="shared" si="437"/>
        <v>-602.60605333936087</v>
      </c>
      <c r="BR316" s="527">
        <f t="shared" si="437"/>
        <v>-602.60605333936087</v>
      </c>
      <c r="BS316" s="527">
        <f t="shared" si="437"/>
        <v>-602.60605333936087</v>
      </c>
      <c r="BT316" s="527">
        <f t="shared" si="437"/>
        <v>-622.98599997736255</v>
      </c>
      <c r="BU316" s="527">
        <f t="shared" si="437"/>
        <v>-622.98599997736255</v>
      </c>
      <c r="BV316" s="527">
        <f t="shared" si="437"/>
        <v>-622.98599997736255</v>
      </c>
      <c r="BW316" s="527">
        <f t="shared" si="437"/>
        <v>-622.98599997736255</v>
      </c>
      <c r="BX316" s="527">
        <f t="shared" si="437"/>
        <v>-622.98599997736255</v>
      </c>
      <c r="BY316" s="527">
        <f t="shared" si="437"/>
        <v>-622.98599997736255</v>
      </c>
    </row>
    <row r="317" spans="3:77" x14ac:dyDescent="0.3">
      <c r="C317" s="2"/>
      <c r="D317" s="2"/>
      <c r="E317" s="126" t="str">
        <f>"WSM discounts: "&amp;E$158</f>
        <v>WSM discounts: FY30 Tranche</v>
      </c>
      <c r="F317" s="2"/>
      <c r="G317" s="2"/>
      <c r="H317" s="2"/>
      <c r="I317" s="2"/>
      <c r="J317" s="2"/>
      <c r="K317" s="2"/>
      <c r="L317" s="2"/>
      <c r="M317" s="2"/>
      <c r="N317" s="2"/>
      <c r="O317" s="2"/>
      <c r="P317" s="10"/>
      <c r="Q317" s="2"/>
      <c r="R317" s="497">
        <f t="shared" ref="R317:AW317" si="438">(R285-R293)*R$234</f>
        <v>-529.27139703610499</v>
      </c>
      <c r="S317" s="497">
        <f t="shared" si="438"/>
        <v>-529.27139703610499</v>
      </c>
      <c r="T317" s="497">
        <f t="shared" si="438"/>
        <v>-529.27139703610499</v>
      </c>
      <c r="U317" s="497">
        <f t="shared" si="438"/>
        <v>-529.27139703610499</v>
      </c>
      <c r="V317" s="497">
        <f t="shared" si="438"/>
        <v>-529.27139703610499</v>
      </c>
      <c r="W317" s="497">
        <f t="shared" si="438"/>
        <v>-529.27139703610499</v>
      </c>
      <c r="X317" s="497">
        <f t="shared" si="438"/>
        <v>-529.27139703610499</v>
      </c>
      <c r="Y317" s="497">
        <f t="shared" si="438"/>
        <v>-529.27139703610499</v>
      </c>
      <c r="Z317" s="497">
        <f t="shared" si="438"/>
        <v>-529.27139703610499</v>
      </c>
      <c r="AA317" s="497">
        <f t="shared" si="438"/>
        <v>-529.27139703610499</v>
      </c>
      <c r="AB317" s="497">
        <f t="shared" si="438"/>
        <v>-529.27139703610499</v>
      </c>
      <c r="AC317" s="497">
        <f t="shared" si="438"/>
        <v>-529.27139703610499</v>
      </c>
      <c r="AD317" s="497">
        <f t="shared" si="438"/>
        <v>-529.27139703610499</v>
      </c>
      <c r="AE317" s="497">
        <f t="shared" si="438"/>
        <v>-529.27139703610499</v>
      </c>
      <c r="AF317" s="497">
        <f t="shared" si="438"/>
        <v>-529.27139703610499</v>
      </c>
      <c r="AG317" s="497">
        <f t="shared" si="438"/>
        <v>-529.27139703610499</v>
      </c>
      <c r="AH317" s="497">
        <f t="shared" si="438"/>
        <v>-529.27139703610499</v>
      </c>
      <c r="AI317" s="497">
        <f t="shared" si="438"/>
        <v>-529.27139703610499</v>
      </c>
      <c r="AJ317" s="497">
        <f t="shared" si="438"/>
        <v>-529.27139703610499</v>
      </c>
      <c r="AK317" s="497">
        <f t="shared" si="438"/>
        <v>-529.27139703610499</v>
      </c>
      <c r="AL317" s="497">
        <f t="shared" si="438"/>
        <v>-529.27139703610499</v>
      </c>
      <c r="AM317" s="497">
        <f t="shared" si="438"/>
        <v>-529.27139703610499</v>
      </c>
      <c r="AN317" s="527">
        <f t="shared" si="438"/>
        <v>-529.27139703610499</v>
      </c>
      <c r="AO317" s="527">
        <f t="shared" si="438"/>
        <v>-529.27139703610499</v>
      </c>
      <c r="AP317" s="527">
        <f t="shared" si="438"/>
        <v>-529.27139703610499</v>
      </c>
      <c r="AQ317" s="527">
        <f t="shared" si="438"/>
        <v>-529.27139703610499</v>
      </c>
      <c r="AR317" s="527">
        <f t="shared" si="438"/>
        <v>-529.27139703610499</v>
      </c>
      <c r="AS317" s="527">
        <f t="shared" si="438"/>
        <v>-529.27139703610499</v>
      </c>
      <c r="AT317" s="527">
        <f t="shared" si="438"/>
        <v>-529.27139703610499</v>
      </c>
      <c r="AU317" s="527">
        <f t="shared" si="438"/>
        <v>-529.27139703610499</v>
      </c>
      <c r="AV317" s="527">
        <f t="shared" si="438"/>
        <v>-529.27139703610499</v>
      </c>
      <c r="AW317" s="527">
        <f t="shared" si="438"/>
        <v>-529.27139703610499</v>
      </c>
      <c r="AX317" s="527">
        <f t="shared" ref="AX317:BY317" si="439">(AX285-AX293)*AX$234</f>
        <v>-529.27139703610499</v>
      </c>
      <c r="AY317" s="527">
        <f t="shared" si="439"/>
        <v>-529.27139703610499</v>
      </c>
      <c r="AZ317" s="527">
        <f t="shared" si="439"/>
        <v>-529.27139703610499</v>
      </c>
      <c r="BA317" s="527">
        <f t="shared" si="439"/>
        <v>-529.27139703610499</v>
      </c>
      <c r="BB317" s="527">
        <f t="shared" si="439"/>
        <v>-529.27139703610499</v>
      </c>
      <c r="BC317" s="527">
        <f t="shared" si="439"/>
        <v>-529.27139703610499</v>
      </c>
      <c r="BD317" s="527">
        <f t="shared" si="439"/>
        <v>-529.27139703610499</v>
      </c>
      <c r="BE317" s="527">
        <f t="shared" si="439"/>
        <v>-529.27139703610499</v>
      </c>
      <c r="BF317" s="527">
        <f t="shared" si="439"/>
        <v>-529.27139703610499</v>
      </c>
      <c r="BG317" s="527">
        <f t="shared" si="439"/>
        <v>-529.27139703610499</v>
      </c>
      <c r="BH317" s="527">
        <f t="shared" si="439"/>
        <v>-617.1894650503732</v>
      </c>
      <c r="BI317" s="527">
        <f t="shared" si="439"/>
        <v>-617.1894650503732</v>
      </c>
      <c r="BJ317" s="527">
        <f t="shared" si="439"/>
        <v>-617.1894650503732</v>
      </c>
      <c r="BK317" s="527">
        <f t="shared" si="439"/>
        <v>-617.1894650503732</v>
      </c>
      <c r="BL317" s="527">
        <f t="shared" si="439"/>
        <v>-617.1894650503732</v>
      </c>
      <c r="BM317" s="527">
        <f t="shared" si="439"/>
        <v>-617.1894650503732</v>
      </c>
      <c r="BN317" s="527">
        <f t="shared" si="439"/>
        <v>-598.93280947542144</v>
      </c>
      <c r="BO317" s="527">
        <f t="shared" si="439"/>
        <v>-598.93280947542144</v>
      </c>
      <c r="BP317" s="527">
        <f t="shared" si="439"/>
        <v>-598.93280947542144</v>
      </c>
      <c r="BQ317" s="527">
        <f t="shared" si="439"/>
        <v>-598.93280947542144</v>
      </c>
      <c r="BR317" s="527">
        <f t="shared" si="439"/>
        <v>-598.93280947542144</v>
      </c>
      <c r="BS317" s="527">
        <f t="shared" si="439"/>
        <v>-598.93280947542144</v>
      </c>
      <c r="BT317" s="527">
        <f t="shared" si="439"/>
        <v>-619.16582635886539</v>
      </c>
      <c r="BU317" s="527">
        <f t="shared" si="439"/>
        <v>-619.16582635886539</v>
      </c>
      <c r="BV317" s="527">
        <f t="shared" si="439"/>
        <v>-619.16582635886539</v>
      </c>
      <c r="BW317" s="527">
        <f t="shared" si="439"/>
        <v>-619.16582635886539</v>
      </c>
      <c r="BX317" s="527">
        <f t="shared" si="439"/>
        <v>-619.16582635886539</v>
      </c>
      <c r="BY317" s="527">
        <f t="shared" si="439"/>
        <v>-619.16582635886539</v>
      </c>
    </row>
    <row r="318" spans="3:77" x14ac:dyDescent="0.3">
      <c r="C318" s="2"/>
      <c r="D318" s="2"/>
      <c r="E318" s="126" t="str">
        <f>"WSM discounts: "&amp;E$159</f>
        <v>WSM discounts: FY31 Tranche</v>
      </c>
      <c r="F318" s="2"/>
      <c r="G318" s="2"/>
      <c r="H318" s="2"/>
      <c r="I318" s="2"/>
      <c r="J318" s="2"/>
      <c r="K318" s="2"/>
      <c r="L318" s="2"/>
      <c r="M318" s="2"/>
      <c r="N318" s="2"/>
      <c r="O318" s="2"/>
      <c r="P318" s="10"/>
      <c r="Q318" s="2"/>
      <c r="R318" s="497">
        <f t="shared" ref="R318:AW318" si="440">(R286-R294)*R$234</f>
        <v>-529.27139703610499</v>
      </c>
      <c r="S318" s="497">
        <f t="shared" si="440"/>
        <v>-529.27139703610499</v>
      </c>
      <c r="T318" s="497">
        <f t="shared" si="440"/>
        <v>-529.27139703610499</v>
      </c>
      <c r="U318" s="497">
        <f t="shared" si="440"/>
        <v>-529.27139703610499</v>
      </c>
      <c r="V318" s="497">
        <f t="shared" si="440"/>
        <v>-529.27139703610499</v>
      </c>
      <c r="W318" s="497">
        <f t="shared" si="440"/>
        <v>-529.27139703610499</v>
      </c>
      <c r="X318" s="497">
        <f t="shared" si="440"/>
        <v>-529.27139703610499</v>
      </c>
      <c r="Y318" s="497">
        <f t="shared" si="440"/>
        <v>-529.27139703610499</v>
      </c>
      <c r="Z318" s="497">
        <f t="shared" si="440"/>
        <v>-529.27139703610499</v>
      </c>
      <c r="AA318" s="497">
        <f t="shared" si="440"/>
        <v>-529.27139703610499</v>
      </c>
      <c r="AB318" s="497">
        <f t="shared" si="440"/>
        <v>-529.27139703610499</v>
      </c>
      <c r="AC318" s="497">
        <f t="shared" si="440"/>
        <v>-529.27139703610499</v>
      </c>
      <c r="AD318" s="497">
        <f t="shared" si="440"/>
        <v>-529.27139703610499</v>
      </c>
      <c r="AE318" s="497">
        <f t="shared" si="440"/>
        <v>-529.27139703610499</v>
      </c>
      <c r="AF318" s="497">
        <f t="shared" si="440"/>
        <v>-529.27139703610499</v>
      </c>
      <c r="AG318" s="497">
        <f t="shared" si="440"/>
        <v>-529.27139703610499</v>
      </c>
      <c r="AH318" s="497">
        <f t="shared" si="440"/>
        <v>-529.27139703610499</v>
      </c>
      <c r="AI318" s="497">
        <f t="shared" si="440"/>
        <v>-529.27139703610499</v>
      </c>
      <c r="AJ318" s="497">
        <f t="shared" si="440"/>
        <v>-529.27139703610499</v>
      </c>
      <c r="AK318" s="497">
        <f t="shared" si="440"/>
        <v>-529.27139703610499</v>
      </c>
      <c r="AL318" s="497">
        <f t="shared" si="440"/>
        <v>-529.27139703610499</v>
      </c>
      <c r="AM318" s="497">
        <f t="shared" si="440"/>
        <v>-529.27139703610499</v>
      </c>
      <c r="AN318" s="527">
        <f t="shared" si="440"/>
        <v>-529.27139703610499</v>
      </c>
      <c r="AO318" s="527">
        <f t="shared" si="440"/>
        <v>-529.27139703610499</v>
      </c>
      <c r="AP318" s="527">
        <f t="shared" si="440"/>
        <v>-529.27139703610499</v>
      </c>
      <c r="AQ318" s="527">
        <f t="shared" si="440"/>
        <v>-529.27139703610499</v>
      </c>
      <c r="AR318" s="527">
        <f t="shared" si="440"/>
        <v>-529.27139703610499</v>
      </c>
      <c r="AS318" s="527">
        <f t="shared" si="440"/>
        <v>-529.27139703610499</v>
      </c>
      <c r="AT318" s="527">
        <f t="shared" si="440"/>
        <v>-529.27139703610499</v>
      </c>
      <c r="AU318" s="527">
        <f t="shared" si="440"/>
        <v>-529.27139703610499</v>
      </c>
      <c r="AV318" s="527">
        <f t="shared" si="440"/>
        <v>-529.27139703610499</v>
      </c>
      <c r="AW318" s="527">
        <f t="shared" si="440"/>
        <v>-529.27139703610499</v>
      </c>
      <c r="AX318" s="527">
        <f t="shared" ref="AX318:BY318" si="441">(AX286-AX294)*AX$234</f>
        <v>-529.27139703610499</v>
      </c>
      <c r="AY318" s="527">
        <f t="shared" si="441"/>
        <v>-529.27139703610499</v>
      </c>
      <c r="AZ318" s="527">
        <f t="shared" si="441"/>
        <v>-529.27139703610499</v>
      </c>
      <c r="BA318" s="527">
        <f t="shared" si="441"/>
        <v>-529.27139703610499</v>
      </c>
      <c r="BB318" s="527">
        <f t="shared" si="441"/>
        <v>-529.27139703610499</v>
      </c>
      <c r="BC318" s="527">
        <f t="shared" si="441"/>
        <v>-529.27139703610499</v>
      </c>
      <c r="BD318" s="527">
        <f t="shared" si="441"/>
        <v>-529.27139703610499</v>
      </c>
      <c r="BE318" s="527">
        <f t="shared" si="441"/>
        <v>-529.27139703610499</v>
      </c>
      <c r="BF318" s="527">
        <f t="shared" si="441"/>
        <v>-529.27139703610499</v>
      </c>
      <c r="BG318" s="527">
        <f t="shared" si="441"/>
        <v>-529.27139703610499</v>
      </c>
      <c r="BH318" s="527">
        <f t="shared" si="441"/>
        <v>-529.27139703610499</v>
      </c>
      <c r="BI318" s="527">
        <f t="shared" si="441"/>
        <v>-529.27139703610499</v>
      </c>
      <c r="BJ318" s="527">
        <f t="shared" si="441"/>
        <v>-529.27139703610499</v>
      </c>
      <c r="BK318" s="527">
        <f t="shared" si="441"/>
        <v>-529.27139703610499</v>
      </c>
      <c r="BL318" s="527">
        <f t="shared" si="441"/>
        <v>-529.27139703610499</v>
      </c>
      <c r="BM318" s="527">
        <f t="shared" si="441"/>
        <v>-529.27139703610499</v>
      </c>
      <c r="BN318" s="527">
        <f t="shared" si="441"/>
        <v>-529.27139703610499</v>
      </c>
      <c r="BO318" s="527">
        <f t="shared" si="441"/>
        <v>-529.27139703610499</v>
      </c>
      <c r="BP318" s="527">
        <f t="shared" si="441"/>
        <v>-529.27139703610499</v>
      </c>
      <c r="BQ318" s="527">
        <f t="shared" si="441"/>
        <v>-529.27139703610499</v>
      </c>
      <c r="BR318" s="527">
        <f t="shared" si="441"/>
        <v>-529.27139703610499</v>
      </c>
      <c r="BS318" s="527">
        <f t="shared" si="441"/>
        <v>-529.27139703610499</v>
      </c>
      <c r="BT318" s="527">
        <f t="shared" si="441"/>
        <v>-615.08064367311795</v>
      </c>
      <c r="BU318" s="527">
        <f t="shared" si="441"/>
        <v>-615.08064367311795</v>
      </c>
      <c r="BV318" s="527">
        <f t="shared" si="441"/>
        <v>-615.08064367311795</v>
      </c>
      <c r="BW318" s="527">
        <f t="shared" si="441"/>
        <v>-615.08064367311795</v>
      </c>
      <c r="BX318" s="527">
        <f t="shared" si="441"/>
        <v>-615.08064367311795</v>
      </c>
      <c r="BY318" s="527">
        <f t="shared" si="441"/>
        <v>-615.08064367311795</v>
      </c>
    </row>
    <row r="319" spans="3:77" x14ac:dyDescent="0.3">
      <c r="C319" s="2"/>
      <c r="D319" s="2"/>
      <c r="E319" s="126" t="str">
        <f>"WSM discounts: "&amp;E$160</f>
        <v>WSM discounts: Uninvested Tranche</v>
      </c>
      <c r="F319" s="2"/>
      <c r="G319" s="2"/>
      <c r="H319" s="2"/>
      <c r="I319" s="2"/>
      <c r="J319" s="2"/>
      <c r="K319" s="2"/>
      <c r="L319" s="2"/>
      <c r="M319" s="2"/>
      <c r="N319" s="2"/>
      <c r="O319" s="2"/>
      <c r="P319" s="10"/>
      <c r="Q319" s="2"/>
      <c r="R319" s="497">
        <f t="shared" ref="R319:AW319" si="442">(R287-R295)*R$234</f>
        <v>-1481.9599117010939</v>
      </c>
      <c r="S319" s="497">
        <f t="shared" si="442"/>
        <v>-1481.9599117010939</v>
      </c>
      <c r="T319" s="497">
        <f t="shared" si="442"/>
        <v>-1481.9599117010939</v>
      </c>
      <c r="U319" s="497">
        <f t="shared" si="442"/>
        <v>-1481.9599117010939</v>
      </c>
      <c r="V319" s="497">
        <f t="shared" si="442"/>
        <v>-1481.9599117010939</v>
      </c>
      <c r="W319" s="497">
        <f t="shared" si="442"/>
        <v>-1481.9599117010939</v>
      </c>
      <c r="X319" s="497">
        <f t="shared" si="442"/>
        <v>-1481.9599117010939</v>
      </c>
      <c r="Y319" s="497">
        <f t="shared" si="442"/>
        <v>-1481.9599117010939</v>
      </c>
      <c r="Z319" s="497">
        <f t="shared" si="442"/>
        <v>-1481.9599117010939</v>
      </c>
      <c r="AA319" s="497">
        <f t="shared" si="442"/>
        <v>-1481.9599117010939</v>
      </c>
      <c r="AB319" s="497">
        <f t="shared" si="442"/>
        <v>-1481.9599117010939</v>
      </c>
      <c r="AC319" s="497">
        <f t="shared" si="442"/>
        <v>-1481.9599117010939</v>
      </c>
      <c r="AD319" s="497">
        <f t="shared" si="442"/>
        <v>-1481.9599117010939</v>
      </c>
      <c r="AE319" s="497">
        <f t="shared" si="442"/>
        <v>-1481.9599117010939</v>
      </c>
      <c r="AF319" s="497">
        <f t="shared" si="442"/>
        <v>-1481.9599117010939</v>
      </c>
      <c r="AG319" s="497">
        <f t="shared" si="442"/>
        <v>-1481.9599117010939</v>
      </c>
      <c r="AH319" s="497">
        <f t="shared" si="442"/>
        <v>-1481.9599117010939</v>
      </c>
      <c r="AI319" s="497">
        <f t="shared" si="442"/>
        <v>-1481.9599117010939</v>
      </c>
      <c r="AJ319" s="497">
        <f t="shared" si="442"/>
        <v>-1481.9599117010939</v>
      </c>
      <c r="AK319" s="497">
        <f t="shared" si="442"/>
        <v>-1481.9599117010939</v>
      </c>
      <c r="AL319" s="497">
        <f t="shared" si="442"/>
        <v>-1481.9599117010939</v>
      </c>
      <c r="AM319" s="497">
        <f t="shared" si="442"/>
        <v>-1481.9599117010939</v>
      </c>
      <c r="AN319" s="527">
        <f t="shared" si="442"/>
        <v>-1481.9599117010939</v>
      </c>
      <c r="AO319" s="527">
        <f t="shared" si="442"/>
        <v>-1481.9599117010939</v>
      </c>
      <c r="AP319" s="527">
        <f t="shared" si="442"/>
        <v>-1481.9599117010939</v>
      </c>
      <c r="AQ319" s="527">
        <f t="shared" si="442"/>
        <v>-1481.9599117010939</v>
      </c>
      <c r="AR319" s="527">
        <f t="shared" si="442"/>
        <v>-1481.9599117010939</v>
      </c>
      <c r="AS319" s="527">
        <f t="shared" si="442"/>
        <v>-1481.9599117010939</v>
      </c>
      <c r="AT319" s="527">
        <f t="shared" si="442"/>
        <v>-1481.9599117010939</v>
      </c>
      <c r="AU319" s="527">
        <f t="shared" si="442"/>
        <v>-1481.9599117010939</v>
      </c>
      <c r="AV319" s="527">
        <f t="shared" si="442"/>
        <v>-1481.9599117010939</v>
      </c>
      <c r="AW319" s="527">
        <f t="shared" si="442"/>
        <v>-1481.9599117010939</v>
      </c>
      <c r="AX319" s="527">
        <f t="shared" ref="AX319:BY319" si="443">(AX287-AX295)*AX$234</f>
        <v>-1481.9599117010939</v>
      </c>
      <c r="AY319" s="527">
        <f t="shared" si="443"/>
        <v>-1481.9599117010939</v>
      </c>
      <c r="AZ319" s="527">
        <f t="shared" si="443"/>
        <v>-1481.9599117010939</v>
      </c>
      <c r="BA319" s="527">
        <f t="shared" si="443"/>
        <v>-1481.9599117010939</v>
      </c>
      <c r="BB319" s="527">
        <f t="shared" si="443"/>
        <v>-1481.9599117010939</v>
      </c>
      <c r="BC319" s="527">
        <f t="shared" si="443"/>
        <v>-1481.9599117010939</v>
      </c>
      <c r="BD319" s="527">
        <f t="shared" si="443"/>
        <v>-1481.9599117010939</v>
      </c>
      <c r="BE319" s="527">
        <f t="shared" si="443"/>
        <v>-1481.9599117010939</v>
      </c>
      <c r="BF319" s="527">
        <f t="shared" si="443"/>
        <v>-1481.9599117010939</v>
      </c>
      <c r="BG319" s="527">
        <f t="shared" si="443"/>
        <v>-1481.9599117010939</v>
      </c>
      <c r="BH319" s="527">
        <f t="shared" si="443"/>
        <v>-1481.9599117010939</v>
      </c>
      <c r="BI319" s="527">
        <f t="shared" si="443"/>
        <v>-1481.9599117010939</v>
      </c>
      <c r="BJ319" s="527">
        <f t="shared" si="443"/>
        <v>-1481.9599117010939</v>
      </c>
      <c r="BK319" s="527">
        <f t="shared" si="443"/>
        <v>-1481.9599117010939</v>
      </c>
      <c r="BL319" s="527">
        <f t="shared" si="443"/>
        <v>-1481.9599117010939</v>
      </c>
      <c r="BM319" s="527">
        <f t="shared" si="443"/>
        <v>-1481.9599117010939</v>
      </c>
      <c r="BN319" s="527">
        <f t="shared" si="443"/>
        <v>-1481.9599117010939</v>
      </c>
      <c r="BO319" s="527">
        <f t="shared" si="443"/>
        <v>-1481.9599117010939</v>
      </c>
      <c r="BP319" s="527">
        <f t="shared" si="443"/>
        <v>-1481.9599117010939</v>
      </c>
      <c r="BQ319" s="527">
        <f t="shared" si="443"/>
        <v>-1481.9599117010939</v>
      </c>
      <c r="BR319" s="527">
        <f t="shared" si="443"/>
        <v>-1481.9599117010939</v>
      </c>
      <c r="BS319" s="527">
        <f t="shared" si="443"/>
        <v>-1481.9599117010939</v>
      </c>
      <c r="BT319" s="527">
        <f t="shared" si="443"/>
        <v>-1481.9599117010939</v>
      </c>
      <c r="BU319" s="527">
        <f t="shared" si="443"/>
        <v>-1481.9599117010939</v>
      </c>
      <c r="BV319" s="527">
        <f t="shared" si="443"/>
        <v>-1481.9599117010939</v>
      </c>
      <c r="BW319" s="527">
        <f t="shared" si="443"/>
        <v>-1481.9599117010939</v>
      </c>
      <c r="BX319" s="527">
        <f t="shared" si="443"/>
        <v>-1481.9599117010939</v>
      </c>
      <c r="BY319" s="527">
        <f t="shared" si="443"/>
        <v>-1481.9599117010939</v>
      </c>
    </row>
    <row r="320" spans="3:77" x14ac:dyDescent="0.3">
      <c r="C320" s="2"/>
      <c r="D320" s="2"/>
      <c r="E320" s="4" t="s">
        <v>36</v>
      </c>
      <c r="F320" s="4"/>
      <c r="G320" s="4"/>
      <c r="H320" s="4"/>
      <c r="I320" s="4"/>
      <c r="J320" s="4"/>
      <c r="K320" s="4"/>
      <c r="L320" s="4"/>
      <c r="M320" s="4"/>
      <c r="N320" s="4"/>
      <c r="O320" s="4"/>
      <c r="P320" s="106"/>
      <c r="Q320" s="4"/>
      <c r="R320" s="498">
        <f t="shared" ref="R320:AW320" si="444">SUM(R314:R319)</f>
        <v>-4128.316896881619</v>
      </c>
      <c r="S320" s="498">
        <f t="shared" si="444"/>
        <v>-4128.316896881619</v>
      </c>
      <c r="T320" s="498">
        <f t="shared" si="444"/>
        <v>-4128.316896881619</v>
      </c>
      <c r="U320" s="498">
        <f t="shared" si="444"/>
        <v>-4128.316896881619</v>
      </c>
      <c r="V320" s="498">
        <f t="shared" si="444"/>
        <v>-4128.316896881619</v>
      </c>
      <c r="W320" s="498">
        <f t="shared" si="444"/>
        <v>-4128.316896881619</v>
      </c>
      <c r="X320" s="498">
        <f t="shared" si="444"/>
        <v>-4222.8591366708588</v>
      </c>
      <c r="Y320" s="498">
        <f t="shared" si="444"/>
        <v>-4222.8591366708588</v>
      </c>
      <c r="Z320" s="498">
        <f t="shared" si="444"/>
        <v>-4222.8591366708588</v>
      </c>
      <c r="AA320" s="498">
        <f t="shared" si="444"/>
        <v>-4222.8591366708588</v>
      </c>
      <c r="AB320" s="498">
        <f t="shared" si="444"/>
        <v>-4222.8591366708588</v>
      </c>
      <c r="AC320" s="498">
        <f t="shared" si="444"/>
        <v>-4222.8591366708588</v>
      </c>
      <c r="AD320" s="498">
        <f t="shared" si="444"/>
        <v>-4201.4692656975812</v>
      </c>
      <c r="AE320" s="498">
        <f t="shared" si="444"/>
        <v>-4201.4692656975812</v>
      </c>
      <c r="AF320" s="498">
        <f t="shared" si="444"/>
        <v>-4201.4692656975812</v>
      </c>
      <c r="AG320" s="498">
        <f t="shared" si="444"/>
        <v>-4201.4692656975812</v>
      </c>
      <c r="AH320" s="498">
        <f t="shared" si="444"/>
        <v>-4201.4692656975812</v>
      </c>
      <c r="AI320" s="498">
        <f t="shared" si="444"/>
        <v>-4201.4692656975812</v>
      </c>
      <c r="AJ320" s="498">
        <f t="shared" si="444"/>
        <v>-4314.5678861640999</v>
      </c>
      <c r="AK320" s="498">
        <f t="shared" si="444"/>
        <v>-4314.5678861640999</v>
      </c>
      <c r="AL320" s="498">
        <f t="shared" si="444"/>
        <v>-4314.5678861640999</v>
      </c>
      <c r="AM320" s="498">
        <f t="shared" si="444"/>
        <v>-4314.5678861640999</v>
      </c>
      <c r="AN320" s="530">
        <f t="shared" si="444"/>
        <v>-4314.5678861640999</v>
      </c>
      <c r="AO320" s="530">
        <f t="shared" si="444"/>
        <v>-4314.5678861640999</v>
      </c>
      <c r="AP320" s="530">
        <f t="shared" si="444"/>
        <v>-4274.1187458145214</v>
      </c>
      <c r="AQ320" s="530">
        <f t="shared" si="444"/>
        <v>-4274.1187458145214</v>
      </c>
      <c r="AR320" s="530">
        <f t="shared" si="444"/>
        <v>-4274.1187458145214</v>
      </c>
      <c r="AS320" s="530">
        <f t="shared" si="444"/>
        <v>-4274.1187458145214</v>
      </c>
      <c r="AT320" s="530">
        <f t="shared" si="444"/>
        <v>-4274.1187458145214</v>
      </c>
      <c r="AU320" s="530">
        <f t="shared" si="444"/>
        <v>-4274.1187458145214</v>
      </c>
      <c r="AV320" s="530">
        <f t="shared" si="444"/>
        <v>-4405.5331819739204</v>
      </c>
      <c r="AW320" s="530">
        <f t="shared" si="444"/>
        <v>-4405.5331819739204</v>
      </c>
      <c r="AX320" s="530">
        <f t="shared" ref="AX320:BY320" si="445">SUM(AX314:AX319)</f>
        <v>-4405.5331819739204</v>
      </c>
      <c r="AY320" s="530">
        <f t="shared" si="445"/>
        <v>-4405.5331819739204</v>
      </c>
      <c r="AZ320" s="530">
        <f t="shared" si="445"/>
        <v>-4405.5331819739204</v>
      </c>
      <c r="BA320" s="530">
        <f t="shared" si="445"/>
        <v>-4405.5331819739204</v>
      </c>
      <c r="BB320" s="530">
        <f t="shared" si="445"/>
        <v>-4349.0645594372909</v>
      </c>
      <c r="BC320" s="530">
        <f t="shared" si="445"/>
        <v>-4349.0645594372909</v>
      </c>
      <c r="BD320" s="530">
        <f t="shared" si="445"/>
        <v>-4349.0645594372909</v>
      </c>
      <c r="BE320" s="530">
        <f t="shared" si="445"/>
        <v>-4349.0645594372909</v>
      </c>
      <c r="BF320" s="530">
        <f t="shared" si="445"/>
        <v>-4349.0645594372909</v>
      </c>
      <c r="BG320" s="530">
        <f t="shared" si="445"/>
        <v>-4349.0645594372909</v>
      </c>
      <c r="BH320" s="530">
        <f t="shared" si="445"/>
        <v>-4498.6668511189582</v>
      </c>
      <c r="BI320" s="530">
        <f t="shared" si="445"/>
        <v>-4498.6668511189582</v>
      </c>
      <c r="BJ320" s="530">
        <f t="shared" si="445"/>
        <v>-4498.6668511189582</v>
      </c>
      <c r="BK320" s="530">
        <f t="shared" si="445"/>
        <v>-4498.6668511189582</v>
      </c>
      <c r="BL320" s="530">
        <f t="shared" si="445"/>
        <v>-4498.6668511189582</v>
      </c>
      <c r="BM320" s="530">
        <f t="shared" si="445"/>
        <v>-4498.6668511189582</v>
      </c>
      <c r="BN320" s="530">
        <f t="shared" si="445"/>
        <v>-4424.8432623460758</v>
      </c>
      <c r="BO320" s="530">
        <f t="shared" si="445"/>
        <v>-4424.8432623460758</v>
      </c>
      <c r="BP320" s="530">
        <f t="shared" si="445"/>
        <v>-4424.8432623460758</v>
      </c>
      <c r="BQ320" s="530">
        <f t="shared" si="445"/>
        <v>-4424.8432623460758</v>
      </c>
      <c r="BR320" s="530">
        <f t="shared" si="445"/>
        <v>-4424.8432623460758</v>
      </c>
      <c r="BS320" s="530">
        <f t="shared" si="445"/>
        <v>-4424.8432623460758</v>
      </c>
      <c r="BT320" s="530">
        <f t="shared" si="445"/>
        <v>-4592.2998051451523</v>
      </c>
      <c r="BU320" s="530">
        <f t="shared" si="445"/>
        <v>-4592.2998051451523</v>
      </c>
      <c r="BV320" s="530">
        <f t="shared" si="445"/>
        <v>-4592.2998051451523</v>
      </c>
      <c r="BW320" s="530">
        <f t="shared" si="445"/>
        <v>-4592.2998051451523</v>
      </c>
      <c r="BX320" s="530">
        <f t="shared" si="445"/>
        <v>-4592.2998051451523</v>
      </c>
      <c r="BY320" s="530">
        <f t="shared" si="445"/>
        <v>-4592.2998051451523</v>
      </c>
    </row>
    <row r="321" spans="3:77" x14ac:dyDescent="0.3">
      <c r="C321" s="2"/>
      <c r="D321" s="2"/>
      <c r="E321" s="2"/>
      <c r="F321" s="2"/>
      <c r="G321" s="2"/>
      <c r="H321" s="2"/>
      <c r="I321" s="2"/>
      <c r="J321" s="2"/>
      <c r="K321" s="2"/>
      <c r="L321" s="2"/>
      <c r="M321" s="2"/>
      <c r="N321" s="2"/>
      <c r="O321" s="2"/>
      <c r="P321" s="10"/>
      <c r="Q321" s="2"/>
      <c r="R321" s="2"/>
      <c r="S321" s="2"/>
      <c r="T321" s="2"/>
      <c r="U321" s="2"/>
      <c r="V321" s="2"/>
      <c r="W321" s="2"/>
      <c r="X321" s="2"/>
      <c r="Y321" s="2"/>
      <c r="Z321" s="2"/>
      <c r="AA321" s="2"/>
      <c r="AB321" s="2"/>
      <c r="AC321" s="2"/>
      <c r="AD321" s="2"/>
      <c r="AE321" s="2"/>
      <c r="AF321" s="2"/>
      <c r="AG321" s="2"/>
      <c r="AH321" s="2"/>
      <c r="AI321" s="2"/>
      <c r="AJ321" s="2"/>
      <c r="AK321" s="2"/>
      <c r="AL321" s="2"/>
      <c r="AM321" s="2"/>
      <c r="AN321" s="525"/>
      <c r="AO321" s="525"/>
      <c r="AP321" s="525"/>
      <c r="AQ321" s="525"/>
      <c r="AR321" s="525"/>
      <c r="AS321" s="525"/>
      <c r="AT321" s="525"/>
      <c r="AU321" s="525"/>
      <c r="AV321" s="525"/>
      <c r="AW321" s="525"/>
      <c r="AX321" s="525"/>
      <c r="AY321" s="525"/>
      <c r="AZ321" s="525"/>
      <c r="BA321" s="525"/>
      <c r="BB321" s="525"/>
      <c r="BC321" s="525"/>
      <c r="BD321" s="525"/>
      <c r="BE321" s="525"/>
      <c r="BF321" s="525"/>
      <c r="BG321" s="525"/>
      <c r="BH321" s="525"/>
      <c r="BI321" s="525"/>
      <c r="BJ321" s="525"/>
      <c r="BK321" s="525"/>
      <c r="BL321" s="525"/>
      <c r="BM321" s="525"/>
      <c r="BN321" s="525"/>
      <c r="BO321" s="525"/>
      <c r="BP321" s="525"/>
      <c r="BQ321" s="525"/>
      <c r="BR321" s="525"/>
      <c r="BS321" s="525"/>
      <c r="BT321" s="525"/>
      <c r="BU321" s="525"/>
      <c r="BV321" s="525"/>
      <c r="BW321" s="525"/>
      <c r="BX321" s="525"/>
      <c r="BY321" s="525"/>
    </row>
    <row r="322" spans="3:77" x14ac:dyDescent="0.3">
      <c r="C322" s="2"/>
      <c r="D322" s="2"/>
      <c r="E322" s="120" t="s">
        <v>108</v>
      </c>
      <c r="F322" s="120"/>
      <c r="G322" s="120"/>
      <c r="H322" s="120"/>
      <c r="I322" s="120"/>
      <c r="J322" s="120"/>
      <c r="K322" s="120"/>
      <c r="L322" s="120"/>
      <c r="M322" s="120"/>
      <c r="N322" s="120"/>
      <c r="O322" s="120"/>
      <c r="P322" s="121"/>
      <c r="Q322" s="120"/>
      <c r="R322" s="518">
        <f t="shared" ref="R322:AW322" si="446">R296+R304+R312+R320-R288</f>
        <v>0</v>
      </c>
      <c r="S322" s="518">
        <f t="shared" si="446"/>
        <v>0</v>
      </c>
      <c r="T322" s="518">
        <f t="shared" si="446"/>
        <v>0</v>
      </c>
      <c r="U322" s="518">
        <f t="shared" si="446"/>
        <v>0</v>
      </c>
      <c r="V322" s="518">
        <f t="shared" si="446"/>
        <v>0</v>
      </c>
      <c r="W322" s="518">
        <f t="shared" si="446"/>
        <v>0</v>
      </c>
      <c r="X322" s="518">
        <f t="shared" si="446"/>
        <v>0</v>
      </c>
      <c r="Y322" s="518">
        <f t="shared" si="446"/>
        <v>0</v>
      </c>
      <c r="Z322" s="518">
        <f t="shared" si="446"/>
        <v>0</v>
      </c>
      <c r="AA322" s="518">
        <f t="shared" si="446"/>
        <v>0</v>
      </c>
      <c r="AB322" s="518">
        <f t="shared" si="446"/>
        <v>0</v>
      </c>
      <c r="AC322" s="518">
        <f t="shared" si="446"/>
        <v>0</v>
      </c>
      <c r="AD322" s="518">
        <f t="shared" si="446"/>
        <v>0</v>
      </c>
      <c r="AE322" s="518">
        <f t="shared" si="446"/>
        <v>0</v>
      </c>
      <c r="AF322" s="518">
        <f t="shared" si="446"/>
        <v>0</v>
      </c>
      <c r="AG322" s="518">
        <f t="shared" si="446"/>
        <v>0</v>
      </c>
      <c r="AH322" s="518">
        <f t="shared" si="446"/>
        <v>0</v>
      </c>
      <c r="AI322" s="518">
        <f t="shared" si="446"/>
        <v>0</v>
      </c>
      <c r="AJ322" s="518">
        <f t="shared" si="446"/>
        <v>0</v>
      </c>
      <c r="AK322" s="518">
        <f t="shared" si="446"/>
        <v>0</v>
      </c>
      <c r="AL322" s="518">
        <f t="shared" si="446"/>
        <v>0</v>
      </c>
      <c r="AM322" s="518">
        <f t="shared" si="446"/>
        <v>0</v>
      </c>
      <c r="AN322" s="541">
        <f t="shared" si="446"/>
        <v>0</v>
      </c>
      <c r="AO322" s="541">
        <f t="shared" si="446"/>
        <v>0</v>
      </c>
      <c r="AP322" s="541">
        <f t="shared" si="446"/>
        <v>0</v>
      </c>
      <c r="AQ322" s="541">
        <f t="shared" si="446"/>
        <v>0</v>
      </c>
      <c r="AR322" s="541">
        <f t="shared" si="446"/>
        <v>0</v>
      </c>
      <c r="AS322" s="541">
        <f t="shared" si="446"/>
        <v>0</v>
      </c>
      <c r="AT322" s="541">
        <f t="shared" si="446"/>
        <v>0</v>
      </c>
      <c r="AU322" s="541">
        <f t="shared" si="446"/>
        <v>0</v>
      </c>
      <c r="AV322" s="541">
        <f t="shared" si="446"/>
        <v>0</v>
      </c>
      <c r="AW322" s="541">
        <f t="shared" si="446"/>
        <v>0</v>
      </c>
      <c r="AX322" s="541">
        <f t="shared" ref="AX322:BY322" si="447">AX296+AX304+AX312+AX320-AX288</f>
        <v>0</v>
      </c>
      <c r="AY322" s="541">
        <f t="shared" si="447"/>
        <v>0</v>
      </c>
      <c r="AZ322" s="541">
        <f t="shared" si="447"/>
        <v>0</v>
      </c>
      <c r="BA322" s="541">
        <f t="shared" si="447"/>
        <v>0</v>
      </c>
      <c r="BB322" s="541">
        <f t="shared" si="447"/>
        <v>0</v>
      </c>
      <c r="BC322" s="541">
        <f t="shared" si="447"/>
        <v>0</v>
      </c>
      <c r="BD322" s="541">
        <f t="shared" si="447"/>
        <v>0</v>
      </c>
      <c r="BE322" s="541">
        <f t="shared" si="447"/>
        <v>0</v>
      </c>
      <c r="BF322" s="541">
        <f t="shared" si="447"/>
        <v>0</v>
      </c>
      <c r="BG322" s="541">
        <f t="shared" si="447"/>
        <v>0</v>
      </c>
      <c r="BH322" s="541">
        <f t="shared" si="447"/>
        <v>0</v>
      </c>
      <c r="BI322" s="541">
        <f t="shared" si="447"/>
        <v>0</v>
      </c>
      <c r="BJ322" s="541">
        <f t="shared" si="447"/>
        <v>0</v>
      </c>
      <c r="BK322" s="541">
        <f t="shared" si="447"/>
        <v>0</v>
      </c>
      <c r="BL322" s="541">
        <f t="shared" si="447"/>
        <v>0</v>
      </c>
      <c r="BM322" s="541">
        <f t="shared" si="447"/>
        <v>0</v>
      </c>
      <c r="BN322" s="541">
        <f t="shared" si="447"/>
        <v>0</v>
      </c>
      <c r="BO322" s="541">
        <f t="shared" si="447"/>
        <v>0</v>
      </c>
      <c r="BP322" s="541">
        <f t="shared" si="447"/>
        <v>0</v>
      </c>
      <c r="BQ322" s="541">
        <f t="shared" si="447"/>
        <v>0</v>
      </c>
      <c r="BR322" s="541">
        <f t="shared" si="447"/>
        <v>0</v>
      </c>
      <c r="BS322" s="541">
        <f t="shared" si="447"/>
        <v>0</v>
      </c>
      <c r="BT322" s="541">
        <f t="shared" si="447"/>
        <v>0</v>
      </c>
      <c r="BU322" s="541">
        <f t="shared" si="447"/>
        <v>0</v>
      </c>
      <c r="BV322" s="541">
        <f t="shared" si="447"/>
        <v>0</v>
      </c>
      <c r="BW322" s="541">
        <f t="shared" si="447"/>
        <v>0</v>
      </c>
      <c r="BX322" s="541">
        <f t="shared" si="447"/>
        <v>0</v>
      </c>
      <c r="BY322" s="541">
        <f t="shared" si="447"/>
        <v>0</v>
      </c>
    </row>
    <row r="323" spans="3:77" x14ac:dyDescent="0.3">
      <c r="C323" s="2"/>
      <c r="D323" s="2"/>
      <c r="E323" s="2"/>
      <c r="F323" s="2"/>
      <c r="G323" s="2"/>
      <c r="H323" s="2"/>
      <c r="I323" s="2"/>
      <c r="J323" s="2"/>
      <c r="K323" s="2"/>
      <c r="L323" s="2"/>
      <c r="M323" s="2"/>
      <c r="N323" s="2"/>
      <c r="O323" s="2"/>
      <c r="P323" s="10"/>
      <c r="Q323" s="2"/>
      <c r="R323" s="2"/>
      <c r="S323" s="2"/>
      <c r="T323" s="2"/>
      <c r="U323" s="2"/>
      <c r="V323" s="2"/>
      <c r="W323" s="2"/>
      <c r="X323" s="2"/>
      <c r="Y323" s="2"/>
      <c r="Z323" s="2"/>
      <c r="AA323" s="2"/>
      <c r="AB323" s="2"/>
      <c r="AC323" s="2"/>
      <c r="AD323" s="2"/>
      <c r="AE323" s="2"/>
      <c r="AF323" s="2"/>
      <c r="AG323" s="2"/>
      <c r="AH323" s="2"/>
      <c r="AI323" s="2"/>
      <c r="AJ323" s="2"/>
      <c r="AK323" s="2"/>
      <c r="AL323" s="2"/>
      <c r="AM323" s="2"/>
      <c r="AN323" s="525"/>
      <c r="AO323" s="525"/>
      <c r="AP323" s="525"/>
      <c r="AQ323" s="525"/>
      <c r="AR323" s="525"/>
      <c r="AS323" s="525"/>
      <c r="AT323" s="525"/>
      <c r="AU323" s="525"/>
      <c r="AV323" s="525"/>
      <c r="AW323" s="525"/>
      <c r="AX323" s="525"/>
      <c r="AY323" s="525"/>
      <c r="AZ323" s="525"/>
      <c r="BA323" s="525"/>
      <c r="BB323" s="525"/>
      <c r="BC323" s="525"/>
      <c r="BD323" s="525"/>
      <c r="BE323" s="525"/>
      <c r="BF323" s="525"/>
      <c r="BG323" s="525"/>
      <c r="BH323" s="525"/>
      <c r="BI323" s="525"/>
      <c r="BJ323" s="525"/>
      <c r="BK323" s="525"/>
      <c r="BL323" s="525"/>
      <c r="BM323" s="525"/>
      <c r="BN323" s="525"/>
      <c r="BO323" s="525"/>
      <c r="BP323" s="525"/>
      <c r="BQ323" s="525"/>
      <c r="BR323" s="525"/>
      <c r="BS323" s="525"/>
      <c r="BT323" s="525"/>
      <c r="BU323" s="525"/>
      <c r="BV323" s="525"/>
      <c r="BW323" s="525"/>
      <c r="BX323" s="525"/>
      <c r="BY323" s="525"/>
    </row>
    <row r="324" spans="3:77" x14ac:dyDescent="0.3">
      <c r="C324" s="24" t="s">
        <v>37</v>
      </c>
      <c r="D324" s="2"/>
      <c r="E324" s="14" t="s">
        <v>25</v>
      </c>
      <c r="F324" s="14"/>
      <c r="G324" s="14"/>
      <c r="H324" s="14"/>
      <c r="I324" s="14"/>
      <c r="J324" s="14"/>
      <c r="K324" s="14"/>
      <c r="L324" s="14"/>
      <c r="M324" s="14"/>
      <c r="N324" s="14"/>
      <c r="O324" s="14"/>
      <c r="P324" s="24"/>
      <c r="Q324" s="14"/>
      <c r="R324" s="14"/>
      <c r="S324" s="14"/>
      <c r="T324" s="14"/>
      <c r="U324" s="14"/>
      <c r="V324" s="14"/>
      <c r="W324" s="14"/>
      <c r="X324" s="14"/>
      <c r="Y324" s="14"/>
      <c r="Z324" s="14"/>
      <c r="AA324" s="14"/>
      <c r="AB324" s="14"/>
      <c r="AC324" s="14"/>
      <c r="AD324" s="14"/>
      <c r="AE324" s="14"/>
      <c r="AF324" s="14"/>
      <c r="AG324" s="14"/>
      <c r="AH324" s="14"/>
      <c r="AI324" s="14"/>
      <c r="AJ324" s="14"/>
      <c r="AK324" s="14"/>
      <c r="AL324" s="14"/>
      <c r="AM324" s="14"/>
      <c r="AN324" s="538"/>
      <c r="AO324" s="538"/>
      <c r="AP324" s="538"/>
      <c r="AQ324" s="538"/>
      <c r="AR324" s="538"/>
      <c r="AS324" s="538"/>
      <c r="AT324" s="538"/>
      <c r="AU324" s="538"/>
      <c r="AV324" s="538"/>
      <c r="AW324" s="538"/>
      <c r="AX324" s="538"/>
      <c r="AY324" s="538"/>
      <c r="AZ324" s="538"/>
      <c r="BA324" s="538"/>
      <c r="BB324" s="538"/>
      <c r="BC324" s="538"/>
      <c r="BD324" s="538"/>
      <c r="BE324" s="538"/>
      <c r="BF324" s="538"/>
      <c r="BG324" s="538"/>
      <c r="BH324" s="538"/>
      <c r="BI324" s="538"/>
      <c r="BJ324" s="538"/>
      <c r="BK324" s="538"/>
      <c r="BL324" s="538"/>
      <c r="BM324" s="538"/>
      <c r="BN324" s="538"/>
      <c r="BO324" s="538"/>
      <c r="BP324" s="538"/>
      <c r="BQ324" s="538"/>
      <c r="BR324" s="538"/>
      <c r="BS324" s="538"/>
      <c r="BT324" s="538"/>
      <c r="BU324" s="538"/>
      <c r="BV324" s="538"/>
      <c r="BW324" s="538"/>
      <c r="BX324" s="538"/>
      <c r="BY324" s="538"/>
    </row>
    <row r="325" spans="3:77" x14ac:dyDescent="0.3">
      <c r="C325" s="2"/>
      <c r="D325" s="2"/>
      <c r="E325" s="2"/>
      <c r="F325" s="2"/>
      <c r="G325" s="2"/>
      <c r="H325" s="2"/>
      <c r="I325" s="2"/>
      <c r="J325" s="2"/>
      <c r="K325" s="2"/>
      <c r="L325" s="2"/>
      <c r="M325" s="2"/>
      <c r="N325" s="2"/>
      <c r="O325" s="2"/>
      <c r="P325" s="10"/>
      <c r="Q325" s="2"/>
      <c r="R325" s="2"/>
      <c r="S325" s="2"/>
      <c r="T325" s="2"/>
      <c r="U325" s="2"/>
      <c r="V325" s="2"/>
      <c r="W325" s="2"/>
      <c r="X325" s="2"/>
      <c r="Y325" s="2"/>
      <c r="Z325" s="2"/>
      <c r="AA325" s="2"/>
      <c r="AB325" s="2"/>
      <c r="AC325" s="2"/>
      <c r="AD325" s="2"/>
      <c r="AE325" s="2"/>
      <c r="AF325" s="2"/>
      <c r="AG325" s="2"/>
      <c r="AH325" s="2"/>
      <c r="AI325" s="2"/>
      <c r="AJ325" s="2"/>
      <c r="AK325" s="2"/>
      <c r="AL325" s="2"/>
      <c r="AM325" s="2"/>
      <c r="AN325" s="525"/>
      <c r="AO325" s="525"/>
      <c r="AP325" s="525"/>
      <c r="AQ325" s="525"/>
      <c r="AR325" s="525"/>
      <c r="AS325" s="525"/>
      <c r="AT325" s="525"/>
      <c r="AU325" s="525"/>
      <c r="AV325" s="525"/>
      <c r="AW325" s="525"/>
      <c r="AX325" s="525"/>
      <c r="AY325" s="525"/>
      <c r="AZ325" s="525"/>
      <c r="BA325" s="525"/>
      <c r="BB325" s="525"/>
      <c r="BC325" s="525"/>
      <c r="BD325" s="525"/>
      <c r="BE325" s="525"/>
      <c r="BF325" s="525"/>
      <c r="BG325" s="525"/>
      <c r="BH325" s="525"/>
      <c r="BI325" s="525"/>
      <c r="BJ325" s="525"/>
      <c r="BK325" s="525"/>
      <c r="BL325" s="525"/>
      <c r="BM325" s="525"/>
      <c r="BN325" s="525"/>
      <c r="BO325" s="525"/>
      <c r="BP325" s="525"/>
      <c r="BQ325" s="525"/>
      <c r="BR325" s="525"/>
      <c r="BS325" s="525"/>
      <c r="BT325" s="525"/>
      <c r="BU325" s="525"/>
      <c r="BV325" s="525"/>
      <c r="BW325" s="525"/>
      <c r="BX325" s="525"/>
      <c r="BY325" s="525"/>
    </row>
    <row r="326" spans="3:77" x14ac:dyDescent="0.3">
      <c r="C326" s="2"/>
      <c r="D326" s="2"/>
      <c r="E326" s="108" t="s">
        <v>96</v>
      </c>
      <c r="F326" s="109"/>
      <c r="G326" s="109"/>
      <c r="H326" s="109"/>
      <c r="I326" s="109"/>
      <c r="J326" s="109"/>
      <c r="K326" s="109"/>
      <c r="L326" s="109"/>
      <c r="M326" s="109"/>
      <c r="N326" s="109"/>
      <c r="O326" s="109"/>
      <c r="P326" s="110"/>
      <c r="Q326" s="109"/>
      <c r="R326" s="109"/>
      <c r="S326" s="109"/>
      <c r="T326" s="109"/>
      <c r="U326" s="109"/>
      <c r="V326" s="109"/>
      <c r="W326" s="109"/>
      <c r="X326" s="109"/>
      <c r="Y326" s="109"/>
      <c r="Z326" s="109"/>
      <c r="AA326" s="109"/>
      <c r="AB326" s="109"/>
      <c r="AC326" s="109"/>
      <c r="AD326" s="109"/>
      <c r="AE326" s="109"/>
      <c r="AF326" s="109"/>
      <c r="AG326" s="109"/>
      <c r="AH326" s="109"/>
      <c r="AI326" s="109"/>
      <c r="AJ326" s="109"/>
      <c r="AK326" s="109"/>
      <c r="AL326" s="109"/>
      <c r="AM326" s="109"/>
      <c r="AN326" s="539"/>
      <c r="AO326" s="539"/>
      <c r="AP326" s="539"/>
      <c r="AQ326" s="539"/>
      <c r="AR326" s="539"/>
      <c r="AS326" s="539"/>
      <c r="AT326" s="539"/>
      <c r="AU326" s="539"/>
      <c r="AV326" s="539"/>
      <c r="AW326" s="539"/>
      <c r="AX326" s="539"/>
      <c r="AY326" s="539"/>
      <c r="AZ326" s="539"/>
      <c r="BA326" s="539"/>
      <c r="BB326" s="539"/>
      <c r="BC326" s="539"/>
      <c r="BD326" s="539"/>
      <c r="BE326" s="539"/>
      <c r="BF326" s="539"/>
      <c r="BG326" s="539"/>
      <c r="BH326" s="539"/>
      <c r="BI326" s="539"/>
      <c r="BJ326" s="539"/>
      <c r="BK326" s="539"/>
      <c r="BL326" s="539"/>
      <c r="BM326" s="539"/>
      <c r="BN326" s="539"/>
      <c r="BO326" s="539"/>
      <c r="BP326" s="539"/>
      <c r="BQ326" s="539"/>
      <c r="BR326" s="539"/>
      <c r="BS326" s="539"/>
      <c r="BT326" s="539"/>
      <c r="BU326" s="539"/>
      <c r="BV326" s="539"/>
      <c r="BW326" s="539"/>
      <c r="BX326" s="539"/>
      <c r="BY326" s="539"/>
    </row>
    <row r="327" spans="3:77" x14ac:dyDescent="0.3">
      <c r="C327" s="2"/>
      <c r="D327" s="2"/>
      <c r="E327" s="2"/>
      <c r="F327" s="2"/>
      <c r="G327" s="2"/>
      <c r="H327" s="2"/>
      <c r="I327" s="2"/>
      <c r="J327" s="2"/>
      <c r="K327" s="2"/>
      <c r="L327" s="2"/>
      <c r="M327" s="2"/>
      <c r="N327" s="2"/>
      <c r="O327" s="2"/>
      <c r="P327" s="10"/>
      <c r="Q327" s="2"/>
      <c r="R327" s="2"/>
      <c r="S327" s="2"/>
      <c r="T327" s="2"/>
      <c r="U327" s="2"/>
      <c r="V327" s="2"/>
      <c r="W327" s="2"/>
      <c r="X327" s="2"/>
      <c r="Y327" s="2"/>
      <c r="Z327" s="2"/>
      <c r="AA327" s="2"/>
      <c r="AB327" s="2"/>
      <c r="AC327" s="2"/>
      <c r="AD327" s="2"/>
      <c r="AE327" s="2"/>
      <c r="AF327" s="2"/>
      <c r="AG327" s="2"/>
      <c r="AH327" s="2"/>
      <c r="AI327" s="2"/>
      <c r="AJ327" s="2"/>
      <c r="AK327" s="2"/>
      <c r="AL327" s="2"/>
      <c r="AM327" s="2"/>
      <c r="AN327" s="525"/>
      <c r="AO327" s="525"/>
      <c r="AP327" s="525"/>
      <c r="AQ327" s="525"/>
      <c r="AR327" s="525"/>
      <c r="AS327" s="525"/>
      <c r="AT327" s="525"/>
      <c r="AU327" s="525"/>
      <c r="AV327" s="525"/>
      <c r="AW327" s="525"/>
      <c r="AX327" s="525"/>
      <c r="AY327" s="525"/>
      <c r="AZ327" s="525"/>
      <c r="BA327" s="525"/>
      <c r="BB327" s="525"/>
      <c r="BC327" s="525"/>
      <c r="BD327" s="525"/>
      <c r="BE327" s="525"/>
      <c r="BF327" s="525"/>
      <c r="BG327" s="525"/>
      <c r="BH327" s="525"/>
      <c r="BI327" s="525"/>
      <c r="BJ327" s="525"/>
      <c r="BK327" s="525"/>
      <c r="BL327" s="525"/>
      <c r="BM327" s="525"/>
      <c r="BN327" s="525"/>
      <c r="BO327" s="525"/>
      <c r="BP327" s="525"/>
      <c r="BQ327" s="525"/>
      <c r="BR327" s="525"/>
      <c r="BS327" s="525"/>
      <c r="BT327" s="525"/>
      <c r="BU327" s="525"/>
      <c r="BV327" s="525"/>
      <c r="BW327" s="525"/>
      <c r="BX327" s="525"/>
      <c r="BY327" s="525"/>
    </row>
    <row r="328" spans="3:77" x14ac:dyDescent="0.3">
      <c r="C328" s="2"/>
      <c r="D328" s="2"/>
      <c r="E328" s="127" t="str">
        <f>"Rental income uplift due to capex: "&amp;E$155</f>
        <v>Rental income uplift due to capex: FY27 Tranche</v>
      </c>
      <c r="F328" s="2"/>
      <c r="G328" s="2"/>
      <c r="H328" s="2"/>
      <c r="I328" s="2"/>
      <c r="J328" s="2"/>
      <c r="K328" s="2"/>
      <c r="L328" s="2"/>
      <c r="M328" s="2"/>
      <c r="N328" s="2"/>
      <c r="O328" s="2"/>
      <c r="P328" s="10"/>
      <c r="Q328" s="2"/>
      <c r="R328" s="497">
        <f t="shared" ref="R328:AW328" si="448">R185*$AF155</f>
        <v>0</v>
      </c>
      <c r="S328" s="497">
        <f t="shared" si="448"/>
        <v>0</v>
      </c>
      <c r="T328" s="497">
        <f t="shared" si="448"/>
        <v>0</v>
      </c>
      <c r="U328" s="497">
        <f t="shared" si="448"/>
        <v>0</v>
      </c>
      <c r="V328" s="497">
        <f t="shared" si="448"/>
        <v>0</v>
      </c>
      <c r="W328" s="497">
        <f t="shared" si="448"/>
        <v>0</v>
      </c>
      <c r="X328" s="497">
        <f t="shared" si="448"/>
        <v>3409.4546881738543</v>
      </c>
      <c r="Y328" s="497">
        <f t="shared" si="448"/>
        <v>3409.4546881738543</v>
      </c>
      <c r="Z328" s="497">
        <f t="shared" si="448"/>
        <v>3409.4546881738543</v>
      </c>
      <c r="AA328" s="497">
        <f t="shared" si="448"/>
        <v>3409.4546881738543</v>
      </c>
      <c r="AB328" s="497">
        <f t="shared" si="448"/>
        <v>3409.4546881738543</v>
      </c>
      <c r="AC328" s="497">
        <f t="shared" si="448"/>
        <v>3409.4546881738543</v>
      </c>
      <c r="AD328" s="497">
        <f t="shared" si="448"/>
        <v>2769.86391291071</v>
      </c>
      <c r="AE328" s="497">
        <f t="shared" si="448"/>
        <v>2769.86391291071</v>
      </c>
      <c r="AF328" s="497">
        <f t="shared" si="448"/>
        <v>2769.86391291071</v>
      </c>
      <c r="AG328" s="497">
        <f t="shared" si="448"/>
        <v>2769.86391291071</v>
      </c>
      <c r="AH328" s="497">
        <f t="shared" si="448"/>
        <v>2769.86391291071</v>
      </c>
      <c r="AI328" s="497">
        <f t="shared" si="448"/>
        <v>2769.86391291071</v>
      </c>
      <c r="AJ328" s="497">
        <f t="shared" si="448"/>
        <v>3560.8136580104192</v>
      </c>
      <c r="AK328" s="497">
        <f t="shared" si="448"/>
        <v>3560.8136580104192</v>
      </c>
      <c r="AL328" s="497">
        <f t="shared" si="448"/>
        <v>3560.8136580104192</v>
      </c>
      <c r="AM328" s="497">
        <f t="shared" si="448"/>
        <v>3560.8136580104192</v>
      </c>
      <c r="AN328" s="527">
        <f t="shared" si="448"/>
        <v>3560.8136580104192</v>
      </c>
      <c r="AO328" s="527">
        <f t="shared" si="448"/>
        <v>3560.8136580104192</v>
      </c>
      <c r="AP328" s="527">
        <f t="shared" si="448"/>
        <v>2926.1283659159908</v>
      </c>
      <c r="AQ328" s="527">
        <f t="shared" si="448"/>
        <v>2926.1283659159908</v>
      </c>
      <c r="AR328" s="527">
        <f t="shared" si="448"/>
        <v>2926.1283659159908</v>
      </c>
      <c r="AS328" s="527">
        <f t="shared" si="448"/>
        <v>2926.1283659159908</v>
      </c>
      <c r="AT328" s="527">
        <f t="shared" si="448"/>
        <v>2926.1283659159908</v>
      </c>
      <c r="AU328" s="527">
        <f t="shared" si="448"/>
        <v>2926.1283659159908</v>
      </c>
      <c r="AV328" s="527">
        <f t="shared" si="448"/>
        <v>3748.7161008196899</v>
      </c>
      <c r="AW328" s="527">
        <f t="shared" si="448"/>
        <v>3748.7161008196899</v>
      </c>
      <c r="AX328" s="527">
        <f t="shared" ref="AX328:BY328" si="449">AX185*$AF155</f>
        <v>3748.7161008196899</v>
      </c>
      <c r="AY328" s="527">
        <f t="shared" si="449"/>
        <v>3748.7161008196899</v>
      </c>
      <c r="AZ328" s="527">
        <f t="shared" si="449"/>
        <v>3748.7161008196899</v>
      </c>
      <c r="BA328" s="527">
        <f t="shared" si="449"/>
        <v>3748.7161008196899</v>
      </c>
      <c r="BB328" s="527">
        <f t="shared" si="449"/>
        <v>3133.2142582765368</v>
      </c>
      <c r="BC328" s="527">
        <f t="shared" si="449"/>
        <v>3133.2142582765368</v>
      </c>
      <c r="BD328" s="527">
        <f t="shared" si="449"/>
        <v>3133.2142582765368</v>
      </c>
      <c r="BE328" s="527">
        <f t="shared" si="449"/>
        <v>3133.2142582765368</v>
      </c>
      <c r="BF328" s="527">
        <f t="shared" si="449"/>
        <v>3133.2142582765368</v>
      </c>
      <c r="BG328" s="527">
        <f t="shared" si="449"/>
        <v>3133.2142582765368</v>
      </c>
      <c r="BH328" s="527">
        <f t="shared" si="449"/>
        <v>3988.7055025763843</v>
      </c>
      <c r="BI328" s="527">
        <f t="shared" si="449"/>
        <v>3988.7055025763843</v>
      </c>
      <c r="BJ328" s="527">
        <f t="shared" si="449"/>
        <v>3988.7055025763843</v>
      </c>
      <c r="BK328" s="527">
        <f t="shared" si="449"/>
        <v>3988.7055025763843</v>
      </c>
      <c r="BL328" s="527">
        <f t="shared" si="449"/>
        <v>3988.7055025763843</v>
      </c>
      <c r="BM328" s="527">
        <f t="shared" si="449"/>
        <v>3988.7055025763843</v>
      </c>
      <c r="BN328" s="527">
        <f t="shared" si="449"/>
        <v>3360.7578945046344</v>
      </c>
      <c r="BO328" s="527">
        <f t="shared" si="449"/>
        <v>3360.7578945046344</v>
      </c>
      <c r="BP328" s="527">
        <f t="shared" si="449"/>
        <v>3360.7578945046344</v>
      </c>
      <c r="BQ328" s="527">
        <f t="shared" si="449"/>
        <v>3360.7578945046344</v>
      </c>
      <c r="BR328" s="527">
        <f t="shared" si="449"/>
        <v>3360.7578945046344</v>
      </c>
      <c r="BS328" s="527">
        <f t="shared" si="449"/>
        <v>3360.7578945046344</v>
      </c>
      <c r="BT328" s="527">
        <f t="shared" si="449"/>
        <v>4250.4687885764806</v>
      </c>
      <c r="BU328" s="527">
        <f t="shared" si="449"/>
        <v>4250.4687885764806</v>
      </c>
      <c r="BV328" s="527">
        <f t="shared" si="449"/>
        <v>4250.4687885764806</v>
      </c>
      <c r="BW328" s="527">
        <f t="shared" si="449"/>
        <v>4250.4687885764806</v>
      </c>
      <c r="BX328" s="527">
        <f t="shared" si="449"/>
        <v>4250.4687885764806</v>
      </c>
      <c r="BY328" s="527">
        <f t="shared" si="449"/>
        <v>4250.4687885764806</v>
      </c>
    </row>
    <row r="329" spans="3:77" x14ac:dyDescent="0.3">
      <c r="C329" s="2"/>
      <c r="D329" s="2"/>
      <c r="E329" s="127" t="str">
        <f>"Rental income uplift due to capex: "&amp;E$156</f>
        <v>Rental income uplift due to capex: FY28 Tranche</v>
      </c>
      <c r="F329" s="2"/>
      <c r="G329" s="2"/>
      <c r="H329" s="2"/>
      <c r="I329" s="2"/>
      <c r="J329" s="2"/>
      <c r="K329" s="2"/>
      <c r="L329" s="2"/>
      <c r="M329" s="2"/>
      <c r="N329" s="2"/>
      <c r="O329" s="2"/>
      <c r="P329" s="10"/>
      <c r="Q329" s="2"/>
      <c r="R329" s="497">
        <f t="shared" ref="R329:AW329" si="450">R186*$AF156</f>
        <v>0</v>
      </c>
      <c r="S329" s="497">
        <f t="shared" si="450"/>
        <v>0</v>
      </c>
      <c r="T329" s="497">
        <f t="shared" si="450"/>
        <v>0</v>
      </c>
      <c r="U329" s="497">
        <f t="shared" si="450"/>
        <v>0</v>
      </c>
      <c r="V329" s="497">
        <f t="shared" si="450"/>
        <v>0</v>
      </c>
      <c r="W329" s="497">
        <f t="shared" si="450"/>
        <v>0</v>
      </c>
      <c r="X329" s="497">
        <f t="shared" si="450"/>
        <v>0</v>
      </c>
      <c r="Y329" s="497">
        <f t="shared" si="450"/>
        <v>0</v>
      </c>
      <c r="Z329" s="497">
        <f t="shared" si="450"/>
        <v>0</v>
      </c>
      <c r="AA329" s="497">
        <f t="shared" si="450"/>
        <v>0</v>
      </c>
      <c r="AB329" s="497">
        <f t="shared" si="450"/>
        <v>0</v>
      </c>
      <c r="AC329" s="497">
        <f t="shared" si="450"/>
        <v>0</v>
      </c>
      <c r="AD329" s="497">
        <f t="shared" si="450"/>
        <v>0</v>
      </c>
      <c r="AE329" s="497">
        <f t="shared" si="450"/>
        <v>0</v>
      </c>
      <c r="AF329" s="497">
        <f t="shared" si="450"/>
        <v>0</v>
      </c>
      <c r="AG329" s="497">
        <f t="shared" si="450"/>
        <v>0</v>
      </c>
      <c r="AH329" s="497">
        <f t="shared" si="450"/>
        <v>0</v>
      </c>
      <c r="AI329" s="497">
        <f t="shared" si="450"/>
        <v>0</v>
      </c>
      <c r="AJ329" s="497">
        <f t="shared" si="450"/>
        <v>3491.4513924262533</v>
      </c>
      <c r="AK329" s="497">
        <f t="shared" si="450"/>
        <v>3491.4513924262533</v>
      </c>
      <c r="AL329" s="497">
        <f t="shared" si="450"/>
        <v>3491.4513924262533</v>
      </c>
      <c r="AM329" s="497">
        <f t="shared" si="450"/>
        <v>3491.4513924262533</v>
      </c>
      <c r="AN329" s="527">
        <f t="shared" si="450"/>
        <v>3491.4513924262533</v>
      </c>
      <c r="AO329" s="527">
        <f t="shared" si="450"/>
        <v>3491.4513924262533</v>
      </c>
      <c r="AP329" s="527">
        <f t="shared" si="450"/>
        <v>2856.7661003318249</v>
      </c>
      <c r="AQ329" s="527">
        <f t="shared" si="450"/>
        <v>2856.7661003318249</v>
      </c>
      <c r="AR329" s="527">
        <f t="shared" si="450"/>
        <v>2856.7661003318249</v>
      </c>
      <c r="AS329" s="527">
        <f t="shared" si="450"/>
        <v>2856.7661003318249</v>
      </c>
      <c r="AT329" s="527">
        <f t="shared" si="450"/>
        <v>2856.7661003318249</v>
      </c>
      <c r="AU329" s="527">
        <f t="shared" si="450"/>
        <v>2856.7661003318249</v>
      </c>
      <c r="AV329" s="527">
        <f t="shared" si="450"/>
        <v>3676.5793446121561</v>
      </c>
      <c r="AW329" s="527">
        <f t="shared" si="450"/>
        <v>3676.5793446121561</v>
      </c>
      <c r="AX329" s="527">
        <f t="shared" ref="AX329:BY329" si="451">AX186*$AF156</f>
        <v>3676.5793446121561</v>
      </c>
      <c r="AY329" s="527">
        <f t="shared" si="451"/>
        <v>3676.5793446121561</v>
      </c>
      <c r="AZ329" s="527">
        <f t="shared" si="451"/>
        <v>3676.5793446121561</v>
      </c>
      <c r="BA329" s="527">
        <f t="shared" si="451"/>
        <v>3676.5793446121561</v>
      </c>
      <c r="BB329" s="527">
        <f t="shared" si="451"/>
        <v>3061.077502069003</v>
      </c>
      <c r="BC329" s="527">
        <f t="shared" si="451"/>
        <v>3061.077502069003</v>
      </c>
      <c r="BD329" s="527">
        <f t="shared" si="451"/>
        <v>3061.077502069003</v>
      </c>
      <c r="BE329" s="527">
        <f t="shared" si="451"/>
        <v>3061.077502069003</v>
      </c>
      <c r="BF329" s="527">
        <f t="shared" si="451"/>
        <v>3061.077502069003</v>
      </c>
      <c r="BG329" s="527">
        <f t="shared" si="451"/>
        <v>3061.077502069003</v>
      </c>
      <c r="BH329" s="527">
        <f t="shared" si="451"/>
        <v>3913.6832761205505</v>
      </c>
      <c r="BI329" s="527">
        <f t="shared" si="451"/>
        <v>3913.6832761205505</v>
      </c>
      <c r="BJ329" s="527">
        <f t="shared" si="451"/>
        <v>3913.6832761205505</v>
      </c>
      <c r="BK329" s="527">
        <f t="shared" si="451"/>
        <v>3913.6832761205505</v>
      </c>
      <c r="BL329" s="527">
        <f t="shared" si="451"/>
        <v>3913.6832761205505</v>
      </c>
      <c r="BM329" s="527">
        <f t="shared" si="451"/>
        <v>3913.6832761205505</v>
      </c>
      <c r="BN329" s="527">
        <f t="shared" si="451"/>
        <v>3285.7356680488006</v>
      </c>
      <c r="BO329" s="527">
        <f t="shared" si="451"/>
        <v>3285.7356680488006</v>
      </c>
      <c r="BP329" s="527">
        <f t="shared" si="451"/>
        <v>3285.7356680488006</v>
      </c>
      <c r="BQ329" s="527">
        <f t="shared" si="451"/>
        <v>3285.7356680488006</v>
      </c>
      <c r="BR329" s="527">
        <f t="shared" si="451"/>
        <v>3285.7356680488006</v>
      </c>
      <c r="BS329" s="527">
        <f t="shared" si="451"/>
        <v>3285.7356680488006</v>
      </c>
      <c r="BT329" s="527">
        <f t="shared" si="451"/>
        <v>4172.4456730624097</v>
      </c>
      <c r="BU329" s="527">
        <f t="shared" si="451"/>
        <v>4172.4456730624097</v>
      </c>
      <c r="BV329" s="527">
        <f t="shared" si="451"/>
        <v>4172.4456730624097</v>
      </c>
      <c r="BW329" s="527">
        <f t="shared" si="451"/>
        <v>4172.4456730624097</v>
      </c>
      <c r="BX329" s="527">
        <f t="shared" si="451"/>
        <v>4172.4456730624097</v>
      </c>
      <c r="BY329" s="527">
        <f t="shared" si="451"/>
        <v>4172.4456730624097</v>
      </c>
    </row>
    <row r="330" spans="3:77" x14ac:dyDescent="0.3">
      <c r="C330" s="2"/>
      <c r="D330" s="2"/>
      <c r="E330" s="127" t="str">
        <f>"Rental income uplift due to capex: "&amp;E$157</f>
        <v>Rental income uplift due to capex: FY29 Tranche</v>
      </c>
      <c r="F330" s="2"/>
      <c r="G330" s="2"/>
      <c r="H330" s="2"/>
      <c r="I330" s="2"/>
      <c r="J330" s="2"/>
      <c r="K330" s="2"/>
      <c r="L330" s="2"/>
      <c r="M330" s="2"/>
      <c r="N330" s="2"/>
      <c r="O330" s="2"/>
      <c r="P330" s="10"/>
      <c r="Q330" s="2"/>
      <c r="R330" s="497">
        <f t="shared" ref="R330:AW330" si="452">R187*$AF157</f>
        <v>0</v>
      </c>
      <c r="S330" s="497">
        <f t="shared" si="452"/>
        <v>0</v>
      </c>
      <c r="T330" s="497">
        <f t="shared" si="452"/>
        <v>0</v>
      </c>
      <c r="U330" s="497">
        <f t="shared" si="452"/>
        <v>0</v>
      </c>
      <c r="V330" s="497">
        <f t="shared" si="452"/>
        <v>0</v>
      </c>
      <c r="W330" s="497">
        <f t="shared" si="452"/>
        <v>0</v>
      </c>
      <c r="X330" s="497">
        <f t="shared" si="452"/>
        <v>0</v>
      </c>
      <c r="Y330" s="497">
        <f t="shared" si="452"/>
        <v>0</v>
      </c>
      <c r="Z330" s="497">
        <f t="shared" si="452"/>
        <v>0</v>
      </c>
      <c r="AA330" s="497">
        <f t="shared" si="452"/>
        <v>0</v>
      </c>
      <c r="AB330" s="497">
        <f t="shared" si="452"/>
        <v>0</v>
      </c>
      <c r="AC330" s="497">
        <f t="shared" si="452"/>
        <v>0</v>
      </c>
      <c r="AD330" s="497">
        <f t="shared" si="452"/>
        <v>0</v>
      </c>
      <c r="AE330" s="497">
        <f t="shared" si="452"/>
        <v>0</v>
      </c>
      <c r="AF330" s="497">
        <f t="shared" si="452"/>
        <v>0</v>
      </c>
      <c r="AG330" s="497">
        <f t="shared" si="452"/>
        <v>0</v>
      </c>
      <c r="AH330" s="497">
        <f t="shared" si="452"/>
        <v>0</v>
      </c>
      <c r="AI330" s="497">
        <f t="shared" si="452"/>
        <v>0</v>
      </c>
      <c r="AJ330" s="497">
        <f t="shared" si="452"/>
        <v>0</v>
      </c>
      <c r="AK330" s="497">
        <f t="shared" si="452"/>
        <v>0</v>
      </c>
      <c r="AL330" s="497">
        <f t="shared" si="452"/>
        <v>0</v>
      </c>
      <c r="AM330" s="497">
        <f t="shared" si="452"/>
        <v>0</v>
      </c>
      <c r="AN330" s="527">
        <f t="shared" si="452"/>
        <v>0</v>
      </c>
      <c r="AO330" s="527">
        <f t="shared" si="452"/>
        <v>0</v>
      </c>
      <c r="AP330" s="527">
        <f t="shared" si="452"/>
        <v>0</v>
      </c>
      <c r="AQ330" s="527">
        <f t="shared" si="452"/>
        <v>0</v>
      </c>
      <c r="AR330" s="527">
        <f t="shared" si="452"/>
        <v>0</v>
      </c>
      <c r="AS330" s="527">
        <f t="shared" si="452"/>
        <v>0</v>
      </c>
      <c r="AT330" s="527">
        <f t="shared" si="452"/>
        <v>0</v>
      </c>
      <c r="AU330" s="527">
        <f t="shared" si="452"/>
        <v>0</v>
      </c>
      <c r="AV330" s="527">
        <f t="shared" si="452"/>
        <v>3569.8499024971607</v>
      </c>
      <c r="AW330" s="527">
        <f t="shared" si="452"/>
        <v>3569.8499024971607</v>
      </c>
      <c r="AX330" s="527">
        <f t="shared" ref="AX330:BY330" si="453">AX187*$AF157</f>
        <v>3569.8499024971607</v>
      </c>
      <c r="AY330" s="527">
        <f t="shared" si="453"/>
        <v>3569.8499024971607</v>
      </c>
      <c r="AZ330" s="527">
        <f t="shared" si="453"/>
        <v>3569.8499024971607</v>
      </c>
      <c r="BA330" s="527">
        <f t="shared" si="453"/>
        <v>3569.8499024971607</v>
      </c>
      <c r="BB330" s="527">
        <f t="shared" si="453"/>
        <v>2954.3480599540071</v>
      </c>
      <c r="BC330" s="527">
        <f t="shared" si="453"/>
        <v>2954.3480599540071</v>
      </c>
      <c r="BD330" s="527">
        <f t="shared" si="453"/>
        <v>2954.3480599540071</v>
      </c>
      <c r="BE330" s="527">
        <f t="shared" si="453"/>
        <v>2954.3480599540071</v>
      </c>
      <c r="BF330" s="527">
        <f t="shared" si="453"/>
        <v>2954.3480599540071</v>
      </c>
      <c r="BG330" s="527">
        <f t="shared" si="453"/>
        <v>2954.3480599540071</v>
      </c>
      <c r="BH330" s="527">
        <f t="shared" si="453"/>
        <v>3802.6846563209565</v>
      </c>
      <c r="BI330" s="527">
        <f t="shared" si="453"/>
        <v>3802.6846563209565</v>
      </c>
      <c r="BJ330" s="527">
        <f t="shared" si="453"/>
        <v>3802.6846563209565</v>
      </c>
      <c r="BK330" s="527">
        <f t="shared" si="453"/>
        <v>3802.6846563209565</v>
      </c>
      <c r="BL330" s="527">
        <f t="shared" si="453"/>
        <v>3802.6846563209565</v>
      </c>
      <c r="BM330" s="527">
        <f t="shared" si="453"/>
        <v>3802.6846563209565</v>
      </c>
      <c r="BN330" s="527">
        <f t="shared" si="453"/>
        <v>3174.737048249207</v>
      </c>
      <c r="BO330" s="527">
        <f t="shared" si="453"/>
        <v>3174.737048249207</v>
      </c>
      <c r="BP330" s="527">
        <f t="shared" si="453"/>
        <v>3174.737048249207</v>
      </c>
      <c r="BQ330" s="527">
        <f t="shared" si="453"/>
        <v>3174.737048249207</v>
      </c>
      <c r="BR330" s="527">
        <f t="shared" si="453"/>
        <v>3174.737048249207</v>
      </c>
      <c r="BS330" s="527">
        <f t="shared" si="453"/>
        <v>3174.737048249207</v>
      </c>
      <c r="BT330" s="527">
        <f t="shared" si="453"/>
        <v>4057.0071084708297</v>
      </c>
      <c r="BU330" s="527">
        <f t="shared" si="453"/>
        <v>4057.0071084708297</v>
      </c>
      <c r="BV330" s="527">
        <f t="shared" si="453"/>
        <v>4057.0071084708297</v>
      </c>
      <c r="BW330" s="527">
        <f t="shared" si="453"/>
        <v>4057.0071084708297</v>
      </c>
      <c r="BX330" s="527">
        <f t="shared" si="453"/>
        <v>4057.0071084708297</v>
      </c>
      <c r="BY330" s="527">
        <f t="shared" si="453"/>
        <v>4057.0071084708297</v>
      </c>
    </row>
    <row r="331" spans="3:77" x14ac:dyDescent="0.3">
      <c r="C331" s="2"/>
      <c r="D331" s="2"/>
      <c r="E331" s="127" t="str">
        <f>"Rental income uplift due to capex: "&amp;E$158</f>
        <v>Rental income uplift due to capex: FY30 Tranche</v>
      </c>
      <c r="F331" s="2"/>
      <c r="G331" s="2"/>
      <c r="H331" s="2"/>
      <c r="I331" s="2"/>
      <c r="J331" s="2"/>
      <c r="K331" s="2"/>
      <c r="L331" s="2"/>
      <c r="M331" s="2"/>
      <c r="N331" s="2"/>
      <c r="O331" s="2"/>
      <c r="P331" s="10"/>
      <c r="Q331" s="2"/>
      <c r="R331" s="497">
        <f t="shared" ref="R331:AW331" si="454">R188*$AF158</f>
        <v>0</v>
      </c>
      <c r="S331" s="497">
        <f t="shared" si="454"/>
        <v>0</v>
      </c>
      <c r="T331" s="497">
        <f t="shared" si="454"/>
        <v>0</v>
      </c>
      <c r="U331" s="497">
        <f t="shared" si="454"/>
        <v>0</v>
      </c>
      <c r="V331" s="497">
        <f t="shared" si="454"/>
        <v>0</v>
      </c>
      <c r="W331" s="497">
        <f t="shared" si="454"/>
        <v>0</v>
      </c>
      <c r="X331" s="497">
        <f t="shared" si="454"/>
        <v>0</v>
      </c>
      <c r="Y331" s="497">
        <f t="shared" si="454"/>
        <v>0</v>
      </c>
      <c r="Z331" s="497">
        <f t="shared" si="454"/>
        <v>0</v>
      </c>
      <c r="AA331" s="497">
        <f t="shared" si="454"/>
        <v>0</v>
      </c>
      <c r="AB331" s="497">
        <f t="shared" si="454"/>
        <v>0</v>
      </c>
      <c r="AC331" s="497">
        <f t="shared" si="454"/>
        <v>0</v>
      </c>
      <c r="AD331" s="497">
        <f t="shared" si="454"/>
        <v>0</v>
      </c>
      <c r="AE331" s="497">
        <f t="shared" si="454"/>
        <v>0</v>
      </c>
      <c r="AF331" s="497">
        <f t="shared" si="454"/>
        <v>0</v>
      </c>
      <c r="AG331" s="497">
        <f t="shared" si="454"/>
        <v>0</v>
      </c>
      <c r="AH331" s="497">
        <f t="shared" si="454"/>
        <v>0</v>
      </c>
      <c r="AI331" s="497">
        <f t="shared" si="454"/>
        <v>0</v>
      </c>
      <c r="AJ331" s="497">
        <f t="shared" si="454"/>
        <v>0</v>
      </c>
      <c r="AK331" s="497">
        <f t="shared" si="454"/>
        <v>0</v>
      </c>
      <c r="AL331" s="497">
        <f t="shared" si="454"/>
        <v>0</v>
      </c>
      <c r="AM331" s="497">
        <f t="shared" si="454"/>
        <v>0</v>
      </c>
      <c r="AN331" s="527">
        <f t="shared" si="454"/>
        <v>0</v>
      </c>
      <c r="AO331" s="527">
        <f t="shared" si="454"/>
        <v>0</v>
      </c>
      <c r="AP331" s="527">
        <f t="shared" si="454"/>
        <v>0</v>
      </c>
      <c r="AQ331" s="527">
        <f t="shared" si="454"/>
        <v>0</v>
      </c>
      <c r="AR331" s="527">
        <f t="shared" si="454"/>
        <v>0</v>
      </c>
      <c r="AS331" s="527">
        <f t="shared" si="454"/>
        <v>0</v>
      </c>
      <c r="AT331" s="527">
        <f t="shared" si="454"/>
        <v>0</v>
      </c>
      <c r="AU331" s="527">
        <f t="shared" si="454"/>
        <v>0</v>
      </c>
      <c r="AV331" s="527">
        <f t="shared" si="454"/>
        <v>0</v>
      </c>
      <c r="AW331" s="527">
        <f t="shared" si="454"/>
        <v>0</v>
      </c>
      <c r="AX331" s="527">
        <f t="shared" ref="AX331:BY331" si="455">AX188*$AF158</f>
        <v>0</v>
      </c>
      <c r="AY331" s="527">
        <f t="shared" si="455"/>
        <v>0</v>
      </c>
      <c r="AZ331" s="527">
        <f t="shared" si="455"/>
        <v>0</v>
      </c>
      <c r="BA331" s="527">
        <f t="shared" si="455"/>
        <v>0</v>
      </c>
      <c r="BB331" s="527">
        <f t="shared" si="455"/>
        <v>0</v>
      </c>
      <c r="BC331" s="527">
        <f t="shared" si="455"/>
        <v>0</v>
      </c>
      <c r="BD331" s="527">
        <f t="shared" si="455"/>
        <v>0</v>
      </c>
      <c r="BE331" s="527">
        <f t="shared" si="455"/>
        <v>0</v>
      </c>
      <c r="BF331" s="527">
        <f t="shared" si="455"/>
        <v>0</v>
      </c>
      <c r="BG331" s="527">
        <f t="shared" si="455"/>
        <v>0</v>
      </c>
      <c r="BH331" s="527">
        <f t="shared" si="455"/>
        <v>3643.6659335239256</v>
      </c>
      <c r="BI331" s="527">
        <f t="shared" si="455"/>
        <v>3643.6659335239256</v>
      </c>
      <c r="BJ331" s="527">
        <f t="shared" si="455"/>
        <v>3643.6659335239256</v>
      </c>
      <c r="BK331" s="527">
        <f t="shared" si="455"/>
        <v>3643.6659335239256</v>
      </c>
      <c r="BL331" s="527">
        <f t="shared" si="455"/>
        <v>3643.6659335239256</v>
      </c>
      <c r="BM331" s="527">
        <f t="shared" si="455"/>
        <v>3643.6659335239256</v>
      </c>
      <c r="BN331" s="527">
        <f t="shared" si="455"/>
        <v>3015.718325452176</v>
      </c>
      <c r="BO331" s="527">
        <f t="shared" si="455"/>
        <v>3015.718325452176</v>
      </c>
      <c r="BP331" s="527">
        <f t="shared" si="455"/>
        <v>3015.718325452176</v>
      </c>
      <c r="BQ331" s="527">
        <f t="shared" si="455"/>
        <v>3015.718325452176</v>
      </c>
      <c r="BR331" s="527">
        <f t="shared" si="455"/>
        <v>3015.718325452176</v>
      </c>
      <c r="BS331" s="527">
        <f t="shared" si="455"/>
        <v>3015.718325452176</v>
      </c>
      <c r="BT331" s="527">
        <f t="shared" si="455"/>
        <v>3891.6276367619193</v>
      </c>
      <c r="BU331" s="527">
        <f t="shared" si="455"/>
        <v>3891.6276367619193</v>
      </c>
      <c r="BV331" s="527">
        <f t="shared" si="455"/>
        <v>3891.6276367619193</v>
      </c>
      <c r="BW331" s="527">
        <f t="shared" si="455"/>
        <v>3891.6276367619193</v>
      </c>
      <c r="BX331" s="527">
        <f t="shared" si="455"/>
        <v>3891.6276367619193</v>
      </c>
      <c r="BY331" s="527">
        <f t="shared" si="455"/>
        <v>3891.6276367619193</v>
      </c>
    </row>
    <row r="332" spans="3:77" x14ac:dyDescent="0.3">
      <c r="C332" s="2"/>
      <c r="D332" s="2"/>
      <c r="E332" s="127" t="str">
        <f>"Rental income uplift due to capex: "&amp;E$159</f>
        <v>Rental income uplift due to capex: FY31 Tranche</v>
      </c>
      <c r="F332" s="2"/>
      <c r="G332" s="2"/>
      <c r="H332" s="2"/>
      <c r="I332" s="2"/>
      <c r="J332" s="2"/>
      <c r="K332" s="2"/>
      <c r="L332" s="2"/>
      <c r="M332" s="2"/>
      <c r="N332" s="2"/>
      <c r="O332" s="2"/>
      <c r="P332" s="10"/>
      <c r="Q332" s="2"/>
      <c r="R332" s="497">
        <f t="shared" ref="R332:AW332" si="456">R189*$AF159</f>
        <v>0</v>
      </c>
      <c r="S332" s="497">
        <f t="shared" si="456"/>
        <v>0</v>
      </c>
      <c r="T332" s="497">
        <f t="shared" si="456"/>
        <v>0</v>
      </c>
      <c r="U332" s="497">
        <f t="shared" si="456"/>
        <v>0</v>
      </c>
      <c r="V332" s="497">
        <f t="shared" si="456"/>
        <v>0</v>
      </c>
      <c r="W332" s="497">
        <f t="shared" si="456"/>
        <v>0</v>
      </c>
      <c r="X332" s="497">
        <f t="shared" si="456"/>
        <v>0</v>
      </c>
      <c r="Y332" s="497">
        <f t="shared" si="456"/>
        <v>0</v>
      </c>
      <c r="Z332" s="497">
        <f t="shared" si="456"/>
        <v>0</v>
      </c>
      <c r="AA332" s="497">
        <f t="shared" si="456"/>
        <v>0</v>
      </c>
      <c r="AB332" s="497">
        <f t="shared" si="456"/>
        <v>0</v>
      </c>
      <c r="AC332" s="497">
        <f t="shared" si="456"/>
        <v>0</v>
      </c>
      <c r="AD332" s="497">
        <f t="shared" si="456"/>
        <v>0</v>
      </c>
      <c r="AE332" s="497">
        <f t="shared" si="456"/>
        <v>0</v>
      </c>
      <c r="AF332" s="497">
        <f t="shared" si="456"/>
        <v>0</v>
      </c>
      <c r="AG332" s="497">
        <f t="shared" si="456"/>
        <v>0</v>
      </c>
      <c r="AH332" s="497">
        <f t="shared" si="456"/>
        <v>0</v>
      </c>
      <c r="AI332" s="497">
        <f t="shared" si="456"/>
        <v>0</v>
      </c>
      <c r="AJ332" s="497">
        <f t="shared" si="456"/>
        <v>0</v>
      </c>
      <c r="AK332" s="497">
        <f t="shared" si="456"/>
        <v>0</v>
      </c>
      <c r="AL332" s="497">
        <f t="shared" si="456"/>
        <v>0</v>
      </c>
      <c r="AM332" s="497">
        <f t="shared" si="456"/>
        <v>0</v>
      </c>
      <c r="AN332" s="527">
        <f t="shared" si="456"/>
        <v>0</v>
      </c>
      <c r="AO332" s="527">
        <f t="shared" si="456"/>
        <v>0</v>
      </c>
      <c r="AP332" s="527">
        <f t="shared" si="456"/>
        <v>0</v>
      </c>
      <c r="AQ332" s="527">
        <f t="shared" si="456"/>
        <v>0</v>
      </c>
      <c r="AR332" s="527">
        <f t="shared" si="456"/>
        <v>0</v>
      </c>
      <c r="AS332" s="527">
        <f t="shared" si="456"/>
        <v>0</v>
      </c>
      <c r="AT332" s="527">
        <f t="shared" si="456"/>
        <v>0</v>
      </c>
      <c r="AU332" s="527">
        <f t="shared" si="456"/>
        <v>0</v>
      </c>
      <c r="AV332" s="527">
        <f t="shared" si="456"/>
        <v>0</v>
      </c>
      <c r="AW332" s="527">
        <f t="shared" si="456"/>
        <v>0</v>
      </c>
      <c r="AX332" s="527">
        <f t="shared" ref="AX332:BY332" si="457">AX189*$AF159</f>
        <v>0</v>
      </c>
      <c r="AY332" s="527">
        <f t="shared" si="457"/>
        <v>0</v>
      </c>
      <c r="AZ332" s="527">
        <f t="shared" si="457"/>
        <v>0</v>
      </c>
      <c r="BA332" s="527">
        <f t="shared" si="457"/>
        <v>0</v>
      </c>
      <c r="BB332" s="527">
        <f t="shared" si="457"/>
        <v>0</v>
      </c>
      <c r="BC332" s="527">
        <f t="shared" si="457"/>
        <v>0</v>
      </c>
      <c r="BD332" s="527">
        <f t="shared" si="457"/>
        <v>0</v>
      </c>
      <c r="BE332" s="527">
        <f t="shared" si="457"/>
        <v>0</v>
      </c>
      <c r="BF332" s="527">
        <f t="shared" si="457"/>
        <v>0</v>
      </c>
      <c r="BG332" s="527">
        <f t="shared" si="457"/>
        <v>0</v>
      </c>
      <c r="BH332" s="527">
        <f t="shared" si="457"/>
        <v>0</v>
      </c>
      <c r="BI332" s="527">
        <f t="shared" si="457"/>
        <v>0</v>
      </c>
      <c r="BJ332" s="527">
        <f t="shared" si="457"/>
        <v>0</v>
      </c>
      <c r="BK332" s="527">
        <f t="shared" si="457"/>
        <v>0</v>
      </c>
      <c r="BL332" s="527">
        <f t="shared" si="457"/>
        <v>0</v>
      </c>
      <c r="BM332" s="527">
        <f t="shared" si="457"/>
        <v>0</v>
      </c>
      <c r="BN332" s="527">
        <f t="shared" si="457"/>
        <v>0</v>
      </c>
      <c r="BO332" s="527">
        <f t="shared" si="457"/>
        <v>0</v>
      </c>
      <c r="BP332" s="527">
        <f t="shared" si="457"/>
        <v>0</v>
      </c>
      <c r="BQ332" s="527">
        <f t="shared" si="457"/>
        <v>0</v>
      </c>
      <c r="BR332" s="527">
        <f t="shared" si="457"/>
        <v>0</v>
      </c>
      <c r="BS332" s="527">
        <f t="shared" si="457"/>
        <v>0</v>
      </c>
      <c r="BT332" s="527">
        <f t="shared" si="457"/>
        <v>3714.7756342424409</v>
      </c>
      <c r="BU332" s="527">
        <f t="shared" si="457"/>
        <v>3714.7756342424409</v>
      </c>
      <c r="BV332" s="527">
        <f t="shared" si="457"/>
        <v>3714.7756342424409</v>
      </c>
      <c r="BW332" s="527">
        <f t="shared" si="457"/>
        <v>3714.7756342424409</v>
      </c>
      <c r="BX332" s="527">
        <f t="shared" si="457"/>
        <v>3714.7756342424409</v>
      </c>
      <c r="BY332" s="527">
        <f t="shared" si="457"/>
        <v>3714.7756342424409</v>
      </c>
    </row>
    <row r="333" spans="3:77" x14ac:dyDescent="0.3">
      <c r="C333" s="2"/>
      <c r="D333" s="2"/>
      <c r="E333" s="127" t="str">
        <f>"Rental income uplift due to capex: "&amp;E$160</f>
        <v>Rental income uplift due to capex: Uninvested Tranche</v>
      </c>
      <c r="F333" s="2"/>
      <c r="G333" s="2"/>
      <c r="H333" s="2"/>
      <c r="I333" s="2"/>
      <c r="J333" s="2"/>
      <c r="K333" s="2"/>
      <c r="L333" s="2"/>
      <c r="M333" s="2"/>
      <c r="N333" s="2"/>
      <c r="O333" s="2"/>
      <c r="P333" s="10"/>
      <c r="Q333" s="2"/>
      <c r="R333" s="497">
        <f t="shared" ref="R333:AW333" si="458">R190*$AF160</f>
        <v>0</v>
      </c>
      <c r="S333" s="497">
        <f t="shared" si="458"/>
        <v>0</v>
      </c>
      <c r="T333" s="497">
        <f t="shared" si="458"/>
        <v>0</v>
      </c>
      <c r="U333" s="497">
        <f t="shared" si="458"/>
        <v>0</v>
      </c>
      <c r="V333" s="497">
        <f t="shared" si="458"/>
        <v>0</v>
      </c>
      <c r="W333" s="497">
        <f t="shared" si="458"/>
        <v>0</v>
      </c>
      <c r="X333" s="497">
        <f t="shared" si="458"/>
        <v>0</v>
      </c>
      <c r="Y333" s="497">
        <f t="shared" si="458"/>
        <v>0</v>
      </c>
      <c r="Z333" s="497">
        <f t="shared" si="458"/>
        <v>0</v>
      </c>
      <c r="AA333" s="497">
        <f t="shared" si="458"/>
        <v>0</v>
      </c>
      <c r="AB333" s="497">
        <f t="shared" si="458"/>
        <v>0</v>
      </c>
      <c r="AC333" s="497">
        <f t="shared" si="458"/>
        <v>0</v>
      </c>
      <c r="AD333" s="497">
        <f t="shared" si="458"/>
        <v>0</v>
      </c>
      <c r="AE333" s="497">
        <f t="shared" si="458"/>
        <v>0</v>
      </c>
      <c r="AF333" s="497">
        <f t="shared" si="458"/>
        <v>0</v>
      </c>
      <c r="AG333" s="497">
        <f t="shared" si="458"/>
        <v>0</v>
      </c>
      <c r="AH333" s="497">
        <f t="shared" si="458"/>
        <v>0</v>
      </c>
      <c r="AI333" s="497">
        <f t="shared" si="458"/>
        <v>0</v>
      </c>
      <c r="AJ333" s="497">
        <f t="shared" si="458"/>
        <v>0</v>
      </c>
      <c r="AK333" s="497">
        <f t="shared" si="458"/>
        <v>0</v>
      </c>
      <c r="AL333" s="497">
        <f t="shared" si="458"/>
        <v>0</v>
      </c>
      <c r="AM333" s="497">
        <f t="shared" si="458"/>
        <v>0</v>
      </c>
      <c r="AN333" s="527">
        <f t="shared" si="458"/>
        <v>0</v>
      </c>
      <c r="AO333" s="527">
        <f t="shared" si="458"/>
        <v>0</v>
      </c>
      <c r="AP333" s="527">
        <f t="shared" si="458"/>
        <v>0</v>
      </c>
      <c r="AQ333" s="527">
        <f t="shared" si="458"/>
        <v>0</v>
      </c>
      <c r="AR333" s="527">
        <f t="shared" si="458"/>
        <v>0</v>
      </c>
      <c r="AS333" s="527">
        <f t="shared" si="458"/>
        <v>0</v>
      </c>
      <c r="AT333" s="527">
        <f t="shared" si="458"/>
        <v>0</v>
      </c>
      <c r="AU333" s="527">
        <f t="shared" si="458"/>
        <v>0</v>
      </c>
      <c r="AV333" s="527">
        <f t="shared" si="458"/>
        <v>0</v>
      </c>
      <c r="AW333" s="527">
        <f t="shared" si="458"/>
        <v>0</v>
      </c>
      <c r="AX333" s="527">
        <f t="shared" ref="AX333:BY333" si="459">AX190*$AF160</f>
        <v>0</v>
      </c>
      <c r="AY333" s="527">
        <f t="shared" si="459"/>
        <v>0</v>
      </c>
      <c r="AZ333" s="527">
        <f t="shared" si="459"/>
        <v>0</v>
      </c>
      <c r="BA333" s="527">
        <f t="shared" si="459"/>
        <v>0</v>
      </c>
      <c r="BB333" s="527">
        <f t="shared" si="459"/>
        <v>0</v>
      </c>
      <c r="BC333" s="527">
        <f t="shared" si="459"/>
        <v>0</v>
      </c>
      <c r="BD333" s="527">
        <f t="shared" si="459"/>
        <v>0</v>
      </c>
      <c r="BE333" s="527">
        <f t="shared" si="459"/>
        <v>0</v>
      </c>
      <c r="BF333" s="527">
        <f t="shared" si="459"/>
        <v>0</v>
      </c>
      <c r="BG333" s="527">
        <f t="shared" si="459"/>
        <v>0</v>
      </c>
      <c r="BH333" s="527">
        <f t="shared" si="459"/>
        <v>0</v>
      </c>
      <c r="BI333" s="527">
        <f t="shared" si="459"/>
        <v>0</v>
      </c>
      <c r="BJ333" s="527">
        <f t="shared" si="459"/>
        <v>0</v>
      </c>
      <c r="BK333" s="527">
        <f t="shared" si="459"/>
        <v>0</v>
      </c>
      <c r="BL333" s="527">
        <f t="shared" si="459"/>
        <v>0</v>
      </c>
      <c r="BM333" s="527">
        <f t="shared" si="459"/>
        <v>0</v>
      </c>
      <c r="BN333" s="527">
        <f t="shared" si="459"/>
        <v>0</v>
      </c>
      <c r="BO333" s="527">
        <f t="shared" si="459"/>
        <v>0</v>
      </c>
      <c r="BP333" s="527">
        <f t="shared" si="459"/>
        <v>0</v>
      </c>
      <c r="BQ333" s="527">
        <f t="shared" si="459"/>
        <v>0</v>
      </c>
      <c r="BR333" s="527">
        <f t="shared" si="459"/>
        <v>0</v>
      </c>
      <c r="BS333" s="527">
        <f t="shared" si="459"/>
        <v>0</v>
      </c>
      <c r="BT333" s="527">
        <f t="shared" si="459"/>
        <v>0</v>
      </c>
      <c r="BU333" s="527">
        <f t="shared" si="459"/>
        <v>0</v>
      </c>
      <c r="BV333" s="527">
        <f t="shared" si="459"/>
        <v>0</v>
      </c>
      <c r="BW333" s="527">
        <f t="shared" si="459"/>
        <v>0</v>
      </c>
      <c r="BX333" s="527">
        <f t="shared" si="459"/>
        <v>0</v>
      </c>
      <c r="BY333" s="527">
        <f t="shared" si="459"/>
        <v>0</v>
      </c>
    </row>
    <row r="334" spans="3:77" x14ac:dyDescent="0.3">
      <c r="C334" s="2"/>
      <c r="D334" s="2"/>
      <c r="E334" s="4" t="s">
        <v>36</v>
      </c>
      <c r="F334" s="4"/>
      <c r="G334" s="4"/>
      <c r="H334" s="4"/>
      <c r="I334" s="4"/>
      <c r="J334" s="4"/>
      <c r="K334" s="4"/>
      <c r="L334" s="4"/>
      <c r="M334" s="4"/>
      <c r="N334" s="4"/>
      <c r="O334" s="4"/>
      <c r="P334" s="106"/>
      <c r="Q334" s="4"/>
      <c r="R334" s="500">
        <f t="shared" ref="R334:AW334" si="460">SUM(R328:R333)</f>
        <v>0</v>
      </c>
      <c r="S334" s="500">
        <f t="shared" si="460"/>
        <v>0</v>
      </c>
      <c r="T334" s="500">
        <f t="shared" si="460"/>
        <v>0</v>
      </c>
      <c r="U334" s="500">
        <f t="shared" si="460"/>
        <v>0</v>
      </c>
      <c r="V334" s="500">
        <f t="shared" si="460"/>
        <v>0</v>
      </c>
      <c r="W334" s="500">
        <f t="shared" si="460"/>
        <v>0</v>
      </c>
      <c r="X334" s="500">
        <f t="shared" si="460"/>
        <v>3409.4546881738543</v>
      </c>
      <c r="Y334" s="500">
        <f t="shared" si="460"/>
        <v>3409.4546881738543</v>
      </c>
      <c r="Z334" s="500">
        <f t="shared" si="460"/>
        <v>3409.4546881738543</v>
      </c>
      <c r="AA334" s="500">
        <f t="shared" si="460"/>
        <v>3409.4546881738543</v>
      </c>
      <c r="AB334" s="500">
        <f t="shared" si="460"/>
        <v>3409.4546881738543</v>
      </c>
      <c r="AC334" s="500">
        <f t="shared" si="460"/>
        <v>3409.4546881738543</v>
      </c>
      <c r="AD334" s="500">
        <f t="shared" si="460"/>
        <v>2769.86391291071</v>
      </c>
      <c r="AE334" s="500">
        <f t="shared" si="460"/>
        <v>2769.86391291071</v>
      </c>
      <c r="AF334" s="500">
        <f t="shared" si="460"/>
        <v>2769.86391291071</v>
      </c>
      <c r="AG334" s="500">
        <f t="shared" si="460"/>
        <v>2769.86391291071</v>
      </c>
      <c r="AH334" s="500">
        <f t="shared" si="460"/>
        <v>2769.86391291071</v>
      </c>
      <c r="AI334" s="500">
        <f t="shared" si="460"/>
        <v>2769.86391291071</v>
      </c>
      <c r="AJ334" s="500">
        <f t="shared" si="460"/>
        <v>7052.265050436672</v>
      </c>
      <c r="AK334" s="500">
        <f t="shared" si="460"/>
        <v>7052.265050436672</v>
      </c>
      <c r="AL334" s="500">
        <f t="shared" si="460"/>
        <v>7052.265050436672</v>
      </c>
      <c r="AM334" s="500">
        <f t="shared" si="460"/>
        <v>7052.265050436672</v>
      </c>
      <c r="AN334" s="532">
        <f t="shared" si="460"/>
        <v>7052.265050436672</v>
      </c>
      <c r="AO334" s="532">
        <f t="shared" si="460"/>
        <v>7052.265050436672</v>
      </c>
      <c r="AP334" s="532">
        <f t="shared" si="460"/>
        <v>5782.8944662478152</v>
      </c>
      <c r="AQ334" s="532">
        <f t="shared" si="460"/>
        <v>5782.8944662478152</v>
      </c>
      <c r="AR334" s="532">
        <f t="shared" si="460"/>
        <v>5782.8944662478152</v>
      </c>
      <c r="AS334" s="532">
        <f t="shared" si="460"/>
        <v>5782.8944662478152</v>
      </c>
      <c r="AT334" s="532">
        <f t="shared" si="460"/>
        <v>5782.8944662478152</v>
      </c>
      <c r="AU334" s="532">
        <f t="shared" si="460"/>
        <v>5782.8944662478152</v>
      </c>
      <c r="AV334" s="532">
        <f t="shared" si="460"/>
        <v>10995.145347929007</v>
      </c>
      <c r="AW334" s="532">
        <f t="shared" si="460"/>
        <v>10995.145347929007</v>
      </c>
      <c r="AX334" s="532">
        <f t="shared" ref="AX334:BY334" si="461">SUM(AX328:AX333)</f>
        <v>10995.145347929007</v>
      </c>
      <c r="AY334" s="532">
        <f t="shared" si="461"/>
        <v>10995.145347929007</v>
      </c>
      <c r="AZ334" s="532">
        <f t="shared" si="461"/>
        <v>10995.145347929007</v>
      </c>
      <c r="BA334" s="532">
        <f t="shared" si="461"/>
        <v>10995.145347929007</v>
      </c>
      <c r="BB334" s="532">
        <f t="shared" si="461"/>
        <v>9148.6398202995479</v>
      </c>
      <c r="BC334" s="532">
        <f t="shared" si="461"/>
        <v>9148.6398202995479</v>
      </c>
      <c r="BD334" s="532">
        <f t="shared" si="461"/>
        <v>9148.6398202995479</v>
      </c>
      <c r="BE334" s="532">
        <f t="shared" si="461"/>
        <v>9148.6398202995479</v>
      </c>
      <c r="BF334" s="532">
        <f t="shared" si="461"/>
        <v>9148.6398202995479</v>
      </c>
      <c r="BG334" s="532">
        <f t="shared" si="461"/>
        <v>9148.6398202995479</v>
      </c>
      <c r="BH334" s="532">
        <f t="shared" si="461"/>
        <v>15348.739368541817</v>
      </c>
      <c r="BI334" s="532">
        <f t="shared" si="461"/>
        <v>15348.739368541817</v>
      </c>
      <c r="BJ334" s="532">
        <f t="shared" si="461"/>
        <v>15348.739368541817</v>
      </c>
      <c r="BK334" s="532">
        <f t="shared" si="461"/>
        <v>15348.739368541817</v>
      </c>
      <c r="BL334" s="532">
        <f t="shared" si="461"/>
        <v>15348.739368541817</v>
      </c>
      <c r="BM334" s="532">
        <f t="shared" si="461"/>
        <v>15348.739368541817</v>
      </c>
      <c r="BN334" s="532">
        <f t="shared" si="461"/>
        <v>12836.948936254819</v>
      </c>
      <c r="BO334" s="532">
        <f t="shared" si="461"/>
        <v>12836.948936254819</v>
      </c>
      <c r="BP334" s="532">
        <f t="shared" si="461"/>
        <v>12836.948936254819</v>
      </c>
      <c r="BQ334" s="532">
        <f t="shared" si="461"/>
        <v>12836.948936254819</v>
      </c>
      <c r="BR334" s="532">
        <f t="shared" si="461"/>
        <v>12836.948936254819</v>
      </c>
      <c r="BS334" s="532">
        <f t="shared" si="461"/>
        <v>12836.948936254819</v>
      </c>
      <c r="BT334" s="532">
        <f t="shared" si="461"/>
        <v>20086.324841114081</v>
      </c>
      <c r="BU334" s="532">
        <f t="shared" si="461"/>
        <v>20086.324841114081</v>
      </c>
      <c r="BV334" s="532">
        <f t="shared" si="461"/>
        <v>20086.324841114081</v>
      </c>
      <c r="BW334" s="532">
        <f t="shared" si="461"/>
        <v>20086.324841114081</v>
      </c>
      <c r="BX334" s="532">
        <f t="shared" si="461"/>
        <v>20086.324841114081</v>
      </c>
      <c r="BY334" s="532">
        <f t="shared" si="461"/>
        <v>20086.324841114081</v>
      </c>
    </row>
    <row r="335" spans="3:77" x14ac:dyDescent="0.3">
      <c r="C335" s="2"/>
      <c r="D335" s="2"/>
      <c r="E335" s="2"/>
      <c r="F335" s="2"/>
      <c r="G335" s="2"/>
      <c r="H335" s="2"/>
      <c r="I335" s="2"/>
      <c r="J335" s="2"/>
      <c r="K335" s="2"/>
      <c r="L335" s="2"/>
      <c r="M335" s="2"/>
      <c r="N335" s="2"/>
      <c r="O335" s="2"/>
      <c r="P335" s="10"/>
      <c r="Q335" s="2"/>
      <c r="R335" s="2"/>
      <c r="S335" s="2"/>
      <c r="T335" s="2"/>
      <c r="U335" s="2"/>
      <c r="V335" s="2"/>
      <c r="W335" s="2"/>
      <c r="X335" s="2"/>
      <c r="Y335" s="2"/>
      <c r="Z335" s="2"/>
      <c r="AA335" s="2"/>
      <c r="AB335" s="2"/>
      <c r="AC335" s="2"/>
      <c r="AD335" s="2"/>
      <c r="AE335" s="2"/>
      <c r="AF335" s="2"/>
      <c r="AG335" s="2"/>
      <c r="AH335" s="2"/>
      <c r="AI335" s="2"/>
      <c r="AJ335" s="2"/>
      <c r="AK335" s="2"/>
      <c r="AL335" s="2"/>
      <c r="AM335" s="2"/>
      <c r="AN335" s="525"/>
      <c r="AO335" s="525"/>
      <c r="AP335" s="525"/>
      <c r="AQ335" s="525"/>
      <c r="AR335" s="525"/>
      <c r="AS335" s="525"/>
      <c r="AT335" s="525"/>
      <c r="AU335" s="525"/>
      <c r="AV335" s="525"/>
      <c r="AW335" s="525"/>
      <c r="AX335" s="525"/>
      <c r="AY335" s="525"/>
      <c r="AZ335" s="525"/>
      <c r="BA335" s="525"/>
      <c r="BB335" s="525"/>
      <c r="BC335" s="525"/>
      <c r="BD335" s="525"/>
      <c r="BE335" s="525"/>
      <c r="BF335" s="525"/>
      <c r="BG335" s="525"/>
      <c r="BH335" s="525"/>
      <c r="BI335" s="525"/>
      <c r="BJ335" s="525"/>
      <c r="BK335" s="525"/>
      <c r="BL335" s="525"/>
      <c r="BM335" s="525"/>
      <c r="BN335" s="525"/>
      <c r="BO335" s="525"/>
      <c r="BP335" s="525"/>
      <c r="BQ335" s="525"/>
      <c r="BR335" s="525"/>
      <c r="BS335" s="525"/>
      <c r="BT335" s="525"/>
      <c r="BU335" s="525"/>
      <c r="BV335" s="525"/>
      <c r="BW335" s="525"/>
      <c r="BX335" s="525"/>
      <c r="BY335" s="525"/>
    </row>
    <row r="336" spans="3:77" x14ac:dyDescent="0.3">
      <c r="C336" s="2"/>
      <c r="D336" s="2"/>
      <c r="E336" s="108" t="s">
        <v>110</v>
      </c>
      <c r="F336" s="109"/>
      <c r="G336" s="109"/>
      <c r="H336" s="109"/>
      <c r="I336" s="109"/>
      <c r="J336" s="109"/>
      <c r="K336" s="109"/>
      <c r="L336" s="109"/>
      <c r="M336" s="109"/>
      <c r="N336" s="109"/>
      <c r="O336" s="109"/>
      <c r="P336" s="110"/>
      <c r="Q336" s="109"/>
      <c r="R336" s="109"/>
      <c r="S336" s="109"/>
      <c r="T336" s="109"/>
      <c r="U336" s="109"/>
      <c r="V336" s="109"/>
      <c r="W336" s="109"/>
      <c r="X336" s="109"/>
      <c r="Y336" s="109"/>
      <c r="Z336" s="109"/>
      <c r="AA336" s="109"/>
      <c r="AB336" s="109"/>
      <c r="AC336" s="109"/>
      <c r="AD336" s="109"/>
      <c r="AE336" s="109"/>
      <c r="AF336" s="109"/>
      <c r="AG336" s="109"/>
      <c r="AH336" s="109"/>
      <c r="AI336" s="109"/>
      <c r="AJ336" s="109"/>
      <c r="AK336" s="109"/>
      <c r="AL336" s="109"/>
      <c r="AM336" s="109"/>
      <c r="AN336" s="539"/>
      <c r="AO336" s="539"/>
      <c r="AP336" s="539"/>
      <c r="AQ336" s="539"/>
      <c r="AR336" s="539"/>
      <c r="AS336" s="539"/>
      <c r="AT336" s="539"/>
      <c r="AU336" s="539"/>
      <c r="AV336" s="539"/>
      <c r="AW336" s="539"/>
      <c r="AX336" s="539"/>
      <c r="AY336" s="539"/>
      <c r="AZ336" s="539"/>
      <c r="BA336" s="539"/>
      <c r="BB336" s="539"/>
      <c r="BC336" s="539"/>
      <c r="BD336" s="539"/>
      <c r="BE336" s="539"/>
      <c r="BF336" s="539"/>
      <c r="BG336" s="539"/>
      <c r="BH336" s="539"/>
      <c r="BI336" s="539"/>
      <c r="BJ336" s="539"/>
      <c r="BK336" s="539"/>
      <c r="BL336" s="539"/>
      <c r="BM336" s="539"/>
      <c r="BN336" s="539"/>
      <c r="BO336" s="539"/>
      <c r="BP336" s="539"/>
      <c r="BQ336" s="539"/>
      <c r="BR336" s="539"/>
      <c r="BS336" s="539"/>
      <c r="BT336" s="539"/>
      <c r="BU336" s="539"/>
      <c r="BV336" s="539"/>
      <c r="BW336" s="539"/>
      <c r="BX336" s="539"/>
      <c r="BY336" s="539"/>
    </row>
    <row r="337" spans="3:77" x14ac:dyDescent="0.3">
      <c r="C337" s="2"/>
      <c r="D337" s="2"/>
      <c r="E337" s="2"/>
      <c r="F337" s="2"/>
      <c r="G337" s="2"/>
      <c r="H337" s="2"/>
      <c r="I337" s="2"/>
      <c r="J337" s="2"/>
      <c r="K337" s="2"/>
      <c r="L337" s="2"/>
      <c r="M337" s="2"/>
      <c r="N337" s="2"/>
      <c r="O337" s="2"/>
      <c r="P337" s="10"/>
      <c r="Q337" s="2"/>
      <c r="R337" s="2"/>
      <c r="S337" s="2"/>
      <c r="T337" s="2"/>
      <c r="U337" s="2"/>
      <c r="V337" s="2"/>
      <c r="W337" s="2"/>
      <c r="X337" s="2"/>
      <c r="Y337" s="2"/>
      <c r="Z337" s="2"/>
      <c r="AA337" s="2"/>
      <c r="AB337" s="2"/>
      <c r="AC337" s="2"/>
      <c r="AD337" s="2"/>
      <c r="AE337" s="2"/>
      <c r="AF337" s="2"/>
      <c r="AG337" s="2"/>
      <c r="AH337" s="2"/>
      <c r="AI337" s="2"/>
      <c r="AJ337" s="2"/>
      <c r="AK337" s="2"/>
      <c r="AL337" s="2"/>
      <c r="AM337" s="2"/>
      <c r="AN337" s="525"/>
      <c r="AO337" s="525"/>
      <c r="AP337" s="525"/>
      <c r="AQ337" s="525"/>
      <c r="AR337" s="525"/>
      <c r="AS337" s="525"/>
      <c r="AT337" s="525"/>
      <c r="AU337" s="525"/>
      <c r="AV337" s="525"/>
      <c r="AW337" s="525"/>
      <c r="AX337" s="525"/>
      <c r="AY337" s="525"/>
      <c r="AZ337" s="525"/>
      <c r="BA337" s="525"/>
      <c r="BB337" s="525"/>
      <c r="BC337" s="525"/>
      <c r="BD337" s="525"/>
      <c r="BE337" s="525"/>
      <c r="BF337" s="525"/>
      <c r="BG337" s="525"/>
      <c r="BH337" s="525"/>
      <c r="BI337" s="525"/>
      <c r="BJ337" s="525"/>
      <c r="BK337" s="525"/>
      <c r="BL337" s="525"/>
      <c r="BM337" s="525"/>
      <c r="BN337" s="525"/>
      <c r="BO337" s="525"/>
      <c r="BP337" s="525"/>
      <c r="BQ337" s="525"/>
      <c r="BR337" s="525"/>
      <c r="BS337" s="525"/>
      <c r="BT337" s="525"/>
      <c r="BU337" s="525"/>
      <c r="BV337" s="525"/>
      <c r="BW337" s="525"/>
      <c r="BX337" s="525"/>
      <c r="BY337" s="525"/>
    </row>
    <row r="338" spans="3:77" x14ac:dyDescent="0.3">
      <c r="C338" s="2"/>
      <c r="D338" s="2"/>
      <c r="E338" s="128" t="str">
        <f>"Rental income: "&amp;E$155</f>
        <v>Rental income: FY27 Tranche</v>
      </c>
      <c r="F338" s="2"/>
      <c r="G338" s="2"/>
      <c r="H338" s="2"/>
      <c r="I338" s="2"/>
      <c r="J338" s="2"/>
      <c r="K338" s="2"/>
      <c r="L338" s="2"/>
      <c r="M338" s="2"/>
      <c r="N338" s="2"/>
      <c r="O338" s="2"/>
      <c r="P338" s="10"/>
      <c r="Q338" s="2"/>
      <c r="R338" s="497">
        <f t="shared" ref="R338:AW338" si="462">($R155*R$597*R490)+((($R155*R$597)+R328)*R482)</f>
        <v>9028.8007403333668</v>
      </c>
      <c r="S338" s="497">
        <f t="shared" si="462"/>
        <v>9028.8007403333668</v>
      </c>
      <c r="T338" s="497">
        <f t="shared" si="462"/>
        <v>9028.8007403333668</v>
      </c>
      <c r="U338" s="497">
        <f t="shared" si="462"/>
        <v>9028.8007403333668</v>
      </c>
      <c r="V338" s="497">
        <f t="shared" si="462"/>
        <v>9028.8007403333668</v>
      </c>
      <c r="W338" s="497">
        <f t="shared" si="462"/>
        <v>9028.8007403333668</v>
      </c>
      <c r="X338" s="497">
        <f t="shared" si="462"/>
        <v>12438.255428507222</v>
      </c>
      <c r="Y338" s="497">
        <f t="shared" si="462"/>
        <v>12438.255428507222</v>
      </c>
      <c r="Z338" s="497">
        <f t="shared" si="462"/>
        <v>12438.255428507222</v>
      </c>
      <c r="AA338" s="497">
        <f t="shared" si="462"/>
        <v>12438.255428507222</v>
      </c>
      <c r="AB338" s="497">
        <f t="shared" si="462"/>
        <v>12438.255428507222</v>
      </c>
      <c r="AC338" s="497">
        <f t="shared" si="462"/>
        <v>12438.255428507222</v>
      </c>
      <c r="AD338" s="497">
        <f t="shared" si="462"/>
        <v>12040.380522640418</v>
      </c>
      <c r="AE338" s="497">
        <f t="shared" si="462"/>
        <v>12040.380522640418</v>
      </c>
      <c r="AF338" s="497">
        <f t="shared" si="462"/>
        <v>12040.380522640418</v>
      </c>
      <c r="AG338" s="497">
        <f t="shared" si="462"/>
        <v>12040.380522640418</v>
      </c>
      <c r="AH338" s="497">
        <f t="shared" si="462"/>
        <v>12040.380522640418</v>
      </c>
      <c r="AI338" s="497">
        <f t="shared" si="462"/>
        <v>12040.380522640418</v>
      </c>
      <c r="AJ338" s="497">
        <f t="shared" si="462"/>
        <v>12831.330267740126</v>
      </c>
      <c r="AK338" s="497">
        <f t="shared" si="462"/>
        <v>12831.330267740126</v>
      </c>
      <c r="AL338" s="497">
        <f t="shared" si="462"/>
        <v>12831.330267740126</v>
      </c>
      <c r="AM338" s="497">
        <f t="shared" si="462"/>
        <v>12831.330267740126</v>
      </c>
      <c r="AN338" s="527">
        <f t="shared" si="462"/>
        <v>12831.330267740126</v>
      </c>
      <c r="AO338" s="527">
        <f t="shared" si="462"/>
        <v>12831.330267740126</v>
      </c>
      <c r="AP338" s="527">
        <f t="shared" si="462"/>
        <v>12430.100419558912</v>
      </c>
      <c r="AQ338" s="527">
        <f t="shared" si="462"/>
        <v>12430.100419558912</v>
      </c>
      <c r="AR338" s="527">
        <f t="shared" si="462"/>
        <v>12430.100419558912</v>
      </c>
      <c r="AS338" s="527">
        <f t="shared" si="462"/>
        <v>12430.100419558912</v>
      </c>
      <c r="AT338" s="527">
        <f t="shared" si="462"/>
        <v>12430.100419558912</v>
      </c>
      <c r="AU338" s="527">
        <f t="shared" si="462"/>
        <v>12430.100419558912</v>
      </c>
      <c r="AV338" s="527">
        <f t="shared" si="462"/>
        <v>13252.688154462612</v>
      </c>
      <c r="AW338" s="527">
        <f t="shared" si="462"/>
        <v>13252.688154462612</v>
      </c>
      <c r="AX338" s="527">
        <f t="shared" ref="AX338:BY338" si="463">($R155*AX$597*AX490)+((($R155*AX$597)+AX328)*AX482)</f>
        <v>13252.688154462612</v>
      </c>
      <c r="AY338" s="527">
        <f t="shared" si="463"/>
        <v>13252.688154462612</v>
      </c>
      <c r="AZ338" s="527">
        <f t="shared" si="463"/>
        <v>13252.688154462612</v>
      </c>
      <c r="BA338" s="527">
        <f t="shared" si="463"/>
        <v>13252.688154462612</v>
      </c>
      <c r="BB338" s="527">
        <f t="shared" si="463"/>
        <v>12844.50449614808</v>
      </c>
      <c r="BC338" s="527">
        <f t="shared" si="463"/>
        <v>12844.50449614808</v>
      </c>
      <c r="BD338" s="527">
        <f t="shared" si="463"/>
        <v>12844.50449614808</v>
      </c>
      <c r="BE338" s="527">
        <f t="shared" si="463"/>
        <v>12844.50449614808</v>
      </c>
      <c r="BF338" s="527">
        <f t="shared" si="463"/>
        <v>12844.50449614808</v>
      </c>
      <c r="BG338" s="527">
        <f t="shared" si="463"/>
        <v>12844.50449614808</v>
      </c>
      <c r="BH338" s="527">
        <f t="shared" si="463"/>
        <v>13699.995740447926</v>
      </c>
      <c r="BI338" s="527">
        <f t="shared" si="463"/>
        <v>13699.995740447926</v>
      </c>
      <c r="BJ338" s="527">
        <f t="shared" si="463"/>
        <v>13699.995740447926</v>
      </c>
      <c r="BK338" s="527">
        <f t="shared" si="463"/>
        <v>13699.995740447926</v>
      </c>
      <c r="BL338" s="527">
        <f t="shared" si="463"/>
        <v>13699.995740447926</v>
      </c>
      <c r="BM338" s="527">
        <f t="shared" si="463"/>
        <v>13699.995740447926</v>
      </c>
      <c r="BN338" s="527">
        <f t="shared" si="463"/>
        <v>13268.198525885982</v>
      </c>
      <c r="BO338" s="527">
        <f t="shared" si="463"/>
        <v>13268.198525885982</v>
      </c>
      <c r="BP338" s="527">
        <f t="shared" si="463"/>
        <v>13268.198525885982</v>
      </c>
      <c r="BQ338" s="527">
        <f t="shared" si="463"/>
        <v>13268.198525885982</v>
      </c>
      <c r="BR338" s="527">
        <f t="shared" si="463"/>
        <v>13268.198525885982</v>
      </c>
      <c r="BS338" s="527">
        <f t="shared" si="463"/>
        <v>13268.198525885982</v>
      </c>
      <c r="BT338" s="527">
        <f t="shared" si="463"/>
        <v>14157.909419957829</v>
      </c>
      <c r="BU338" s="527">
        <f t="shared" si="463"/>
        <v>14157.909419957829</v>
      </c>
      <c r="BV338" s="527">
        <f t="shared" si="463"/>
        <v>14157.909419957829</v>
      </c>
      <c r="BW338" s="527">
        <f t="shared" si="463"/>
        <v>14157.909419957829</v>
      </c>
      <c r="BX338" s="527">
        <f t="shared" si="463"/>
        <v>14157.909419957829</v>
      </c>
      <c r="BY338" s="527">
        <f t="shared" si="463"/>
        <v>14157.909419957829</v>
      </c>
    </row>
    <row r="339" spans="3:77" x14ac:dyDescent="0.3">
      <c r="C339" s="2"/>
      <c r="D339" s="2"/>
      <c r="E339" s="128" t="str">
        <f>"Rental income: "&amp;E$156</f>
        <v>Rental income: FY28 Tranche</v>
      </c>
      <c r="F339" s="2"/>
      <c r="G339" s="2"/>
      <c r="H339" s="2"/>
      <c r="I339" s="2"/>
      <c r="J339" s="2"/>
      <c r="K339" s="2"/>
      <c r="L339" s="2"/>
      <c r="M339" s="2"/>
      <c r="N339" s="2"/>
      <c r="O339" s="2"/>
      <c r="P339" s="10"/>
      <c r="Q339" s="2"/>
      <c r="R339" s="497">
        <f t="shared" ref="R339:AW339" si="464">($R156*R$597*R491)+((($R156*R$597)+R329)*R483)</f>
        <v>9028.8007403333668</v>
      </c>
      <c r="S339" s="497">
        <f t="shared" si="464"/>
        <v>9028.8007403333668</v>
      </c>
      <c r="T339" s="497">
        <f t="shared" si="464"/>
        <v>9028.8007403333668</v>
      </c>
      <c r="U339" s="497">
        <f t="shared" si="464"/>
        <v>9028.8007403333668</v>
      </c>
      <c r="V339" s="497">
        <f t="shared" si="464"/>
        <v>9028.8007403333668</v>
      </c>
      <c r="W339" s="497">
        <f t="shared" si="464"/>
        <v>9028.8007403333668</v>
      </c>
      <c r="X339" s="497">
        <f t="shared" si="464"/>
        <v>9028.8007403333668</v>
      </c>
      <c r="Y339" s="497">
        <f t="shared" si="464"/>
        <v>9028.8007403333668</v>
      </c>
      <c r="Z339" s="497">
        <f t="shared" si="464"/>
        <v>9028.8007403333668</v>
      </c>
      <c r="AA339" s="497">
        <f t="shared" si="464"/>
        <v>9028.8007403333668</v>
      </c>
      <c r="AB339" s="497">
        <f t="shared" si="464"/>
        <v>9028.8007403333668</v>
      </c>
      <c r="AC339" s="497">
        <f t="shared" si="464"/>
        <v>9028.8007403333668</v>
      </c>
      <c r="AD339" s="497">
        <f t="shared" si="464"/>
        <v>9270.5166097297079</v>
      </c>
      <c r="AE339" s="497">
        <f t="shared" si="464"/>
        <v>9270.5166097297079</v>
      </c>
      <c r="AF339" s="497">
        <f t="shared" si="464"/>
        <v>9270.5166097297079</v>
      </c>
      <c r="AG339" s="497">
        <f t="shared" si="464"/>
        <v>9270.5166097297079</v>
      </c>
      <c r="AH339" s="497">
        <f t="shared" si="464"/>
        <v>9270.5166097297079</v>
      </c>
      <c r="AI339" s="497">
        <f t="shared" si="464"/>
        <v>9270.5166097297079</v>
      </c>
      <c r="AJ339" s="497">
        <f t="shared" si="464"/>
        <v>12761.968002155962</v>
      </c>
      <c r="AK339" s="497">
        <f t="shared" si="464"/>
        <v>12761.968002155962</v>
      </c>
      <c r="AL339" s="497">
        <f t="shared" si="464"/>
        <v>12761.968002155962</v>
      </c>
      <c r="AM339" s="497">
        <f t="shared" si="464"/>
        <v>12761.968002155962</v>
      </c>
      <c r="AN339" s="527">
        <f t="shared" si="464"/>
        <v>12761.968002155962</v>
      </c>
      <c r="AO339" s="527">
        <f t="shared" si="464"/>
        <v>12761.968002155962</v>
      </c>
      <c r="AP339" s="527">
        <f t="shared" si="464"/>
        <v>12360.738153974746</v>
      </c>
      <c r="AQ339" s="527">
        <f t="shared" si="464"/>
        <v>12360.738153974746</v>
      </c>
      <c r="AR339" s="527">
        <f t="shared" si="464"/>
        <v>12360.738153974746</v>
      </c>
      <c r="AS339" s="527">
        <f t="shared" si="464"/>
        <v>12360.738153974746</v>
      </c>
      <c r="AT339" s="527">
        <f t="shared" si="464"/>
        <v>12360.738153974746</v>
      </c>
      <c r="AU339" s="527">
        <f t="shared" si="464"/>
        <v>12360.738153974746</v>
      </c>
      <c r="AV339" s="527">
        <f t="shared" si="464"/>
        <v>13180.551398255076</v>
      </c>
      <c r="AW339" s="527">
        <f t="shared" si="464"/>
        <v>13180.551398255076</v>
      </c>
      <c r="AX339" s="527">
        <f t="shared" ref="AX339:BY339" si="465">($R156*AX$597*AX491)+((($R156*AX$597)+AX329)*AX483)</f>
        <v>13180.551398255076</v>
      </c>
      <c r="AY339" s="527">
        <f t="shared" si="465"/>
        <v>13180.551398255076</v>
      </c>
      <c r="AZ339" s="527">
        <f t="shared" si="465"/>
        <v>13180.551398255076</v>
      </c>
      <c r="BA339" s="527">
        <f t="shared" si="465"/>
        <v>13180.551398255076</v>
      </c>
      <c r="BB339" s="527">
        <f t="shared" si="465"/>
        <v>12772.367739940546</v>
      </c>
      <c r="BC339" s="527">
        <f t="shared" si="465"/>
        <v>12772.367739940546</v>
      </c>
      <c r="BD339" s="527">
        <f t="shared" si="465"/>
        <v>12772.367739940546</v>
      </c>
      <c r="BE339" s="527">
        <f t="shared" si="465"/>
        <v>12772.367739940546</v>
      </c>
      <c r="BF339" s="527">
        <f t="shared" si="465"/>
        <v>12772.367739940546</v>
      </c>
      <c r="BG339" s="527">
        <f t="shared" si="465"/>
        <v>12772.367739940546</v>
      </c>
      <c r="BH339" s="527">
        <f t="shared" si="465"/>
        <v>13624.973513992092</v>
      </c>
      <c r="BI339" s="527">
        <f t="shared" si="465"/>
        <v>13624.973513992092</v>
      </c>
      <c r="BJ339" s="527">
        <f t="shared" si="465"/>
        <v>13624.973513992092</v>
      </c>
      <c r="BK339" s="527">
        <f t="shared" si="465"/>
        <v>13624.973513992092</v>
      </c>
      <c r="BL339" s="527">
        <f t="shared" si="465"/>
        <v>13624.973513992092</v>
      </c>
      <c r="BM339" s="527">
        <f t="shared" si="465"/>
        <v>13624.973513992092</v>
      </c>
      <c r="BN339" s="527">
        <f t="shared" si="465"/>
        <v>13193.176299430148</v>
      </c>
      <c r="BO339" s="527">
        <f t="shared" si="465"/>
        <v>13193.176299430148</v>
      </c>
      <c r="BP339" s="527">
        <f t="shared" si="465"/>
        <v>13193.176299430148</v>
      </c>
      <c r="BQ339" s="527">
        <f t="shared" si="465"/>
        <v>13193.176299430148</v>
      </c>
      <c r="BR339" s="527">
        <f t="shared" si="465"/>
        <v>13193.176299430148</v>
      </c>
      <c r="BS339" s="527">
        <f t="shared" si="465"/>
        <v>13193.176299430148</v>
      </c>
      <c r="BT339" s="527">
        <f t="shared" si="465"/>
        <v>14079.886304443757</v>
      </c>
      <c r="BU339" s="527">
        <f t="shared" si="465"/>
        <v>14079.886304443757</v>
      </c>
      <c r="BV339" s="527">
        <f t="shared" si="465"/>
        <v>14079.886304443757</v>
      </c>
      <c r="BW339" s="527">
        <f t="shared" si="465"/>
        <v>14079.886304443757</v>
      </c>
      <c r="BX339" s="527">
        <f t="shared" si="465"/>
        <v>14079.886304443757</v>
      </c>
      <c r="BY339" s="527">
        <f t="shared" si="465"/>
        <v>14079.886304443757</v>
      </c>
    </row>
    <row r="340" spans="3:77" x14ac:dyDescent="0.3">
      <c r="C340" s="2"/>
      <c r="D340" s="2"/>
      <c r="E340" s="128" t="str">
        <f>"Rental income: "&amp;E$157</f>
        <v>Rental income: FY29 Tranche</v>
      </c>
      <c r="F340" s="2"/>
      <c r="G340" s="2"/>
      <c r="H340" s="2"/>
      <c r="I340" s="2"/>
      <c r="J340" s="2"/>
      <c r="K340" s="2"/>
      <c r="L340" s="2"/>
      <c r="M340" s="2"/>
      <c r="N340" s="2"/>
      <c r="O340" s="2"/>
      <c r="P340" s="10"/>
      <c r="Q340" s="2"/>
      <c r="R340" s="497">
        <f t="shared" ref="R340:AW340" si="466">($R157*R$597*R492)+((($R157*R$597)+R330)*R484)</f>
        <v>9028.8007403333668</v>
      </c>
      <c r="S340" s="497">
        <f t="shared" si="466"/>
        <v>9028.8007403333668</v>
      </c>
      <c r="T340" s="497">
        <f t="shared" si="466"/>
        <v>9028.8007403333668</v>
      </c>
      <c r="U340" s="497">
        <f t="shared" si="466"/>
        <v>9028.8007403333668</v>
      </c>
      <c r="V340" s="497">
        <f t="shared" si="466"/>
        <v>9028.8007403333668</v>
      </c>
      <c r="W340" s="497">
        <f t="shared" si="466"/>
        <v>9028.8007403333668</v>
      </c>
      <c r="X340" s="497">
        <f t="shared" si="466"/>
        <v>9028.8007403333668</v>
      </c>
      <c r="Y340" s="497">
        <f t="shared" si="466"/>
        <v>9028.8007403333668</v>
      </c>
      <c r="Z340" s="497">
        <f t="shared" si="466"/>
        <v>9028.8007403333668</v>
      </c>
      <c r="AA340" s="497">
        <f t="shared" si="466"/>
        <v>9028.8007403333668</v>
      </c>
      <c r="AB340" s="497">
        <f t="shared" si="466"/>
        <v>9028.8007403333668</v>
      </c>
      <c r="AC340" s="497">
        <f t="shared" si="466"/>
        <v>9028.8007403333668</v>
      </c>
      <c r="AD340" s="497">
        <f t="shared" si="466"/>
        <v>9270.5166097297079</v>
      </c>
      <c r="AE340" s="497">
        <f t="shared" si="466"/>
        <v>9270.5166097297079</v>
      </c>
      <c r="AF340" s="497">
        <f t="shared" si="466"/>
        <v>9270.5166097297079</v>
      </c>
      <c r="AG340" s="497">
        <f t="shared" si="466"/>
        <v>9270.5166097297079</v>
      </c>
      <c r="AH340" s="497">
        <f t="shared" si="466"/>
        <v>9270.5166097297079</v>
      </c>
      <c r="AI340" s="497">
        <f t="shared" si="466"/>
        <v>9270.5166097297079</v>
      </c>
      <c r="AJ340" s="497">
        <f t="shared" si="466"/>
        <v>9270.5166097297079</v>
      </c>
      <c r="AK340" s="497">
        <f t="shared" si="466"/>
        <v>9270.5166097297079</v>
      </c>
      <c r="AL340" s="497">
        <f t="shared" si="466"/>
        <v>9270.5166097297079</v>
      </c>
      <c r="AM340" s="497">
        <f t="shared" si="466"/>
        <v>9270.5166097297079</v>
      </c>
      <c r="AN340" s="527">
        <f t="shared" si="466"/>
        <v>9270.5166097297079</v>
      </c>
      <c r="AO340" s="527">
        <f t="shared" si="466"/>
        <v>9270.5166097297079</v>
      </c>
      <c r="AP340" s="527">
        <f t="shared" si="466"/>
        <v>9503.9720536429213</v>
      </c>
      <c r="AQ340" s="527">
        <f t="shared" si="466"/>
        <v>9503.9720536429213</v>
      </c>
      <c r="AR340" s="527">
        <f t="shared" si="466"/>
        <v>9503.9720536429213</v>
      </c>
      <c r="AS340" s="527">
        <f t="shared" si="466"/>
        <v>9503.9720536429213</v>
      </c>
      <c r="AT340" s="527">
        <f t="shared" si="466"/>
        <v>9503.9720536429213</v>
      </c>
      <c r="AU340" s="527">
        <f t="shared" si="466"/>
        <v>9503.9720536429213</v>
      </c>
      <c r="AV340" s="527">
        <f t="shared" si="466"/>
        <v>13073.821956140082</v>
      </c>
      <c r="AW340" s="527">
        <f t="shared" si="466"/>
        <v>13073.821956140082</v>
      </c>
      <c r="AX340" s="527">
        <f t="shared" ref="AX340:BY340" si="467">($R157*AX$597*AX492)+((($R157*AX$597)+AX330)*AX484)</f>
        <v>13073.821956140082</v>
      </c>
      <c r="AY340" s="527">
        <f t="shared" si="467"/>
        <v>13073.821956140082</v>
      </c>
      <c r="AZ340" s="527">
        <f t="shared" si="467"/>
        <v>13073.821956140082</v>
      </c>
      <c r="BA340" s="527">
        <f t="shared" si="467"/>
        <v>13073.821956140082</v>
      </c>
      <c r="BB340" s="527">
        <f t="shared" si="467"/>
        <v>12665.63829782555</v>
      </c>
      <c r="BC340" s="527">
        <f t="shared" si="467"/>
        <v>12665.63829782555</v>
      </c>
      <c r="BD340" s="527">
        <f t="shared" si="467"/>
        <v>12665.63829782555</v>
      </c>
      <c r="BE340" s="527">
        <f t="shared" si="467"/>
        <v>12665.63829782555</v>
      </c>
      <c r="BF340" s="527">
        <f t="shared" si="467"/>
        <v>12665.63829782555</v>
      </c>
      <c r="BG340" s="527">
        <f t="shared" si="467"/>
        <v>12665.63829782555</v>
      </c>
      <c r="BH340" s="527">
        <f t="shared" si="467"/>
        <v>13513.974894192499</v>
      </c>
      <c r="BI340" s="527">
        <f t="shared" si="467"/>
        <v>13513.974894192499</v>
      </c>
      <c r="BJ340" s="527">
        <f t="shared" si="467"/>
        <v>13513.974894192499</v>
      </c>
      <c r="BK340" s="527">
        <f t="shared" si="467"/>
        <v>13513.974894192499</v>
      </c>
      <c r="BL340" s="527">
        <f t="shared" si="467"/>
        <v>13513.974894192499</v>
      </c>
      <c r="BM340" s="527">
        <f t="shared" si="467"/>
        <v>13513.974894192499</v>
      </c>
      <c r="BN340" s="527">
        <f t="shared" si="467"/>
        <v>13082.177679630553</v>
      </c>
      <c r="BO340" s="527">
        <f t="shared" si="467"/>
        <v>13082.177679630553</v>
      </c>
      <c r="BP340" s="527">
        <f t="shared" si="467"/>
        <v>13082.177679630553</v>
      </c>
      <c r="BQ340" s="527">
        <f t="shared" si="467"/>
        <v>13082.177679630553</v>
      </c>
      <c r="BR340" s="527">
        <f t="shared" si="467"/>
        <v>13082.177679630553</v>
      </c>
      <c r="BS340" s="527">
        <f t="shared" si="467"/>
        <v>13082.177679630553</v>
      </c>
      <c r="BT340" s="527">
        <f t="shared" si="467"/>
        <v>13964.447739852178</v>
      </c>
      <c r="BU340" s="527">
        <f t="shared" si="467"/>
        <v>13964.447739852178</v>
      </c>
      <c r="BV340" s="527">
        <f t="shared" si="467"/>
        <v>13964.447739852178</v>
      </c>
      <c r="BW340" s="527">
        <f t="shared" si="467"/>
        <v>13964.447739852178</v>
      </c>
      <c r="BX340" s="527">
        <f t="shared" si="467"/>
        <v>13964.447739852178</v>
      </c>
      <c r="BY340" s="527">
        <f t="shared" si="467"/>
        <v>13964.447739852178</v>
      </c>
    </row>
    <row r="341" spans="3:77" x14ac:dyDescent="0.3">
      <c r="C341" s="2"/>
      <c r="D341" s="2"/>
      <c r="E341" s="128" t="str">
        <f>"Rental income: "&amp;E$158</f>
        <v>Rental income: FY30 Tranche</v>
      </c>
      <c r="F341" s="2"/>
      <c r="G341" s="2"/>
      <c r="H341" s="2"/>
      <c r="I341" s="2"/>
      <c r="J341" s="2"/>
      <c r="K341" s="2"/>
      <c r="L341" s="2"/>
      <c r="M341" s="2"/>
      <c r="N341" s="2"/>
      <c r="O341" s="2"/>
      <c r="P341" s="10"/>
      <c r="Q341" s="2"/>
      <c r="R341" s="497">
        <f t="shared" ref="R341:AW341" si="468">($R158*R$597*R493)+((($R158*R$597)+R331)*R485)</f>
        <v>9028.8007403333668</v>
      </c>
      <c r="S341" s="497">
        <f t="shared" si="468"/>
        <v>9028.8007403333668</v>
      </c>
      <c r="T341" s="497">
        <f t="shared" si="468"/>
        <v>9028.8007403333668</v>
      </c>
      <c r="U341" s="497">
        <f t="shared" si="468"/>
        <v>9028.8007403333668</v>
      </c>
      <c r="V341" s="497">
        <f t="shared" si="468"/>
        <v>9028.8007403333668</v>
      </c>
      <c r="W341" s="497">
        <f t="shared" si="468"/>
        <v>9028.8007403333668</v>
      </c>
      <c r="X341" s="497">
        <f t="shared" si="468"/>
        <v>9028.8007403333668</v>
      </c>
      <c r="Y341" s="497">
        <f t="shared" si="468"/>
        <v>9028.8007403333668</v>
      </c>
      <c r="Z341" s="497">
        <f t="shared" si="468"/>
        <v>9028.8007403333668</v>
      </c>
      <c r="AA341" s="497">
        <f t="shared" si="468"/>
        <v>9028.8007403333668</v>
      </c>
      <c r="AB341" s="497">
        <f t="shared" si="468"/>
        <v>9028.8007403333668</v>
      </c>
      <c r="AC341" s="497">
        <f t="shared" si="468"/>
        <v>9028.8007403333668</v>
      </c>
      <c r="AD341" s="497">
        <f t="shared" si="468"/>
        <v>9270.5166097297079</v>
      </c>
      <c r="AE341" s="497">
        <f t="shared" si="468"/>
        <v>9270.5166097297079</v>
      </c>
      <c r="AF341" s="497">
        <f t="shared" si="468"/>
        <v>9270.5166097297079</v>
      </c>
      <c r="AG341" s="497">
        <f t="shared" si="468"/>
        <v>9270.5166097297079</v>
      </c>
      <c r="AH341" s="497">
        <f t="shared" si="468"/>
        <v>9270.5166097297079</v>
      </c>
      <c r="AI341" s="497">
        <f t="shared" si="468"/>
        <v>9270.5166097297079</v>
      </c>
      <c r="AJ341" s="497">
        <f t="shared" si="468"/>
        <v>9270.5166097297079</v>
      </c>
      <c r="AK341" s="497">
        <f t="shared" si="468"/>
        <v>9270.5166097297079</v>
      </c>
      <c r="AL341" s="497">
        <f t="shared" si="468"/>
        <v>9270.5166097297079</v>
      </c>
      <c r="AM341" s="497">
        <f t="shared" si="468"/>
        <v>9270.5166097297079</v>
      </c>
      <c r="AN341" s="527">
        <f t="shared" si="468"/>
        <v>9270.5166097297079</v>
      </c>
      <c r="AO341" s="527">
        <f t="shared" si="468"/>
        <v>9270.5166097297079</v>
      </c>
      <c r="AP341" s="527">
        <f t="shared" si="468"/>
        <v>9503.9720536429213</v>
      </c>
      <c r="AQ341" s="527">
        <f t="shared" si="468"/>
        <v>9503.9720536429213</v>
      </c>
      <c r="AR341" s="527">
        <f t="shared" si="468"/>
        <v>9503.9720536429213</v>
      </c>
      <c r="AS341" s="527">
        <f t="shared" si="468"/>
        <v>9503.9720536429213</v>
      </c>
      <c r="AT341" s="527">
        <f t="shared" si="468"/>
        <v>9503.9720536429213</v>
      </c>
      <c r="AU341" s="527">
        <f t="shared" si="468"/>
        <v>9503.9720536429213</v>
      </c>
      <c r="AV341" s="527">
        <f t="shared" si="468"/>
        <v>9503.9720536429213</v>
      </c>
      <c r="AW341" s="527">
        <f t="shared" si="468"/>
        <v>9503.9720536429213</v>
      </c>
      <c r="AX341" s="527">
        <f t="shared" ref="AX341:BY341" si="469">($R158*AX$597*AX493)+((($R158*AX$597)+AX331)*AX485)</f>
        <v>9503.9720536429213</v>
      </c>
      <c r="AY341" s="527">
        <f t="shared" si="469"/>
        <v>9503.9720536429213</v>
      </c>
      <c r="AZ341" s="527">
        <f t="shared" si="469"/>
        <v>9503.9720536429213</v>
      </c>
      <c r="BA341" s="527">
        <f t="shared" si="469"/>
        <v>9503.9720536429213</v>
      </c>
      <c r="BB341" s="527">
        <f t="shared" si="469"/>
        <v>9711.2902378715426</v>
      </c>
      <c r="BC341" s="527">
        <f t="shared" si="469"/>
        <v>9711.2902378715426</v>
      </c>
      <c r="BD341" s="527">
        <f t="shared" si="469"/>
        <v>9711.2902378715426</v>
      </c>
      <c r="BE341" s="527">
        <f t="shared" si="469"/>
        <v>9711.2902378715426</v>
      </c>
      <c r="BF341" s="527">
        <f t="shared" si="469"/>
        <v>9711.2902378715426</v>
      </c>
      <c r="BG341" s="527">
        <f t="shared" si="469"/>
        <v>9711.2902378715426</v>
      </c>
      <c r="BH341" s="527">
        <f t="shared" si="469"/>
        <v>13354.956171395468</v>
      </c>
      <c r="BI341" s="527">
        <f t="shared" si="469"/>
        <v>13354.956171395468</v>
      </c>
      <c r="BJ341" s="527">
        <f t="shared" si="469"/>
        <v>13354.956171395468</v>
      </c>
      <c r="BK341" s="527">
        <f t="shared" si="469"/>
        <v>13354.956171395468</v>
      </c>
      <c r="BL341" s="527">
        <f t="shared" si="469"/>
        <v>13354.956171395468</v>
      </c>
      <c r="BM341" s="527">
        <f t="shared" si="469"/>
        <v>13354.956171395468</v>
      </c>
      <c r="BN341" s="527">
        <f t="shared" si="469"/>
        <v>12923.158956833522</v>
      </c>
      <c r="BO341" s="527">
        <f t="shared" si="469"/>
        <v>12923.158956833522</v>
      </c>
      <c r="BP341" s="527">
        <f t="shared" si="469"/>
        <v>12923.158956833522</v>
      </c>
      <c r="BQ341" s="527">
        <f t="shared" si="469"/>
        <v>12923.158956833522</v>
      </c>
      <c r="BR341" s="527">
        <f t="shared" si="469"/>
        <v>12923.158956833522</v>
      </c>
      <c r="BS341" s="527">
        <f t="shared" si="469"/>
        <v>12923.158956833522</v>
      </c>
      <c r="BT341" s="527">
        <f t="shared" si="469"/>
        <v>13799.068268143266</v>
      </c>
      <c r="BU341" s="527">
        <f t="shared" si="469"/>
        <v>13799.068268143266</v>
      </c>
      <c r="BV341" s="527">
        <f t="shared" si="469"/>
        <v>13799.068268143266</v>
      </c>
      <c r="BW341" s="527">
        <f t="shared" si="469"/>
        <v>13799.068268143266</v>
      </c>
      <c r="BX341" s="527">
        <f t="shared" si="469"/>
        <v>13799.068268143266</v>
      </c>
      <c r="BY341" s="527">
        <f t="shared" si="469"/>
        <v>13799.068268143266</v>
      </c>
    </row>
    <row r="342" spans="3:77" x14ac:dyDescent="0.3">
      <c r="C342" s="2"/>
      <c r="D342" s="2"/>
      <c r="E342" s="128" t="str">
        <f>"Rental income: "&amp;E$159</f>
        <v>Rental income: FY31 Tranche</v>
      </c>
      <c r="F342" s="2"/>
      <c r="G342" s="2"/>
      <c r="H342" s="2"/>
      <c r="I342" s="2"/>
      <c r="J342" s="2"/>
      <c r="K342" s="2"/>
      <c r="L342" s="2"/>
      <c r="M342" s="2"/>
      <c r="N342" s="2"/>
      <c r="O342" s="2"/>
      <c r="P342" s="10"/>
      <c r="Q342" s="2"/>
      <c r="R342" s="497">
        <f t="shared" ref="R342:AW342" si="470">($R159*R$597*R494)+((($R159*R$597)+R332)*R486)</f>
        <v>9028.8007403333668</v>
      </c>
      <c r="S342" s="497">
        <f t="shared" si="470"/>
        <v>9028.8007403333668</v>
      </c>
      <c r="T342" s="497">
        <f t="shared" si="470"/>
        <v>9028.8007403333668</v>
      </c>
      <c r="U342" s="497">
        <f t="shared" si="470"/>
        <v>9028.8007403333668</v>
      </c>
      <c r="V342" s="497">
        <f t="shared" si="470"/>
        <v>9028.8007403333668</v>
      </c>
      <c r="W342" s="497">
        <f t="shared" si="470"/>
        <v>9028.8007403333668</v>
      </c>
      <c r="X342" s="497">
        <f t="shared" si="470"/>
        <v>9028.8007403333668</v>
      </c>
      <c r="Y342" s="497">
        <f t="shared" si="470"/>
        <v>9028.8007403333668</v>
      </c>
      <c r="Z342" s="497">
        <f t="shared" si="470"/>
        <v>9028.8007403333668</v>
      </c>
      <c r="AA342" s="497">
        <f t="shared" si="470"/>
        <v>9028.8007403333668</v>
      </c>
      <c r="AB342" s="497">
        <f t="shared" si="470"/>
        <v>9028.8007403333668</v>
      </c>
      <c r="AC342" s="497">
        <f t="shared" si="470"/>
        <v>9028.8007403333668</v>
      </c>
      <c r="AD342" s="497">
        <f t="shared" si="470"/>
        <v>9270.5166097297079</v>
      </c>
      <c r="AE342" s="497">
        <f t="shared" si="470"/>
        <v>9270.5166097297079</v>
      </c>
      <c r="AF342" s="497">
        <f t="shared" si="470"/>
        <v>9270.5166097297079</v>
      </c>
      <c r="AG342" s="497">
        <f t="shared" si="470"/>
        <v>9270.5166097297079</v>
      </c>
      <c r="AH342" s="497">
        <f t="shared" si="470"/>
        <v>9270.5166097297079</v>
      </c>
      <c r="AI342" s="497">
        <f t="shared" si="470"/>
        <v>9270.5166097297079</v>
      </c>
      <c r="AJ342" s="497">
        <f t="shared" si="470"/>
        <v>9270.5166097297079</v>
      </c>
      <c r="AK342" s="497">
        <f t="shared" si="470"/>
        <v>9270.5166097297079</v>
      </c>
      <c r="AL342" s="497">
        <f t="shared" si="470"/>
        <v>9270.5166097297079</v>
      </c>
      <c r="AM342" s="497">
        <f t="shared" si="470"/>
        <v>9270.5166097297079</v>
      </c>
      <c r="AN342" s="527">
        <f t="shared" si="470"/>
        <v>9270.5166097297079</v>
      </c>
      <c r="AO342" s="527">
        <f t="shared" si="470"/>
        <v>9270.5166097297079</v>
      </c>
      <c r="AP342" s="527">
        <f t="shared" si="470"/>
        <v>9503.9720536429213</v>
      </c>
      <c r="AQ342" s="527">
        <f t="shared" si="470"/>
        <v>9503.9720536429213</v>
      </c>
      <c r="AR342" s="527">
        <f t="shared" si="470"/>
        <v>9503.9720536429213</v>
      </c>
      <c r="AS342" s="527">
        <f t="shared" si="470"/>
        <v>9503.9720536429213</v>
      </c>
      <c r="AT342" s="527">
        <f t="shared" si="470"/>
        <v>9503.9720536429213</v>
      </c>
      <c r="AU342" s="527">
        <f t="shared" si="470"/>
        <v>9503.9720536429213</v>
      </c>
      <c r="AV342" s="527">
        <f t="shared" si="470"/>
        <v>9503.9720536429213</v>
      </c>
      <c r="AW342" s="527">
        <f t="shared" si="470"/>
        <v>9503.9720536429213</v>
      </c>
      <c r="AX342" s="527">
        <f t="shared" ref="AX342:BY342" si="471">($R159*AX$597*AX494)+((($R159*AX$597)+AX332)*AX486)</f>
        <v>9503.9720536429213</v>
      </c>
      <c r="AY342" s="527">
        <f t="shared" si="471"/>
        <v>9503.9720536429213</v>
      </c>
      <c r="AZ342" s="527">
        <f t="shared" si="471"/>
        <v>9503.9720536429213</v>
      </c>
      <c r="BA342" s="527">
        <f t="shared" si="471"/>
        <v>9503.9720536429213</v>
      </c>
      <c r="BB342" s="527">
        <f t="shared" si="471"/>
        <v>9711.2902378715426</v>
      </c>
      <c r="BC342" s="527">
        <f t="shared" si="471"/>
        <v>9711.2902378715426</v>
      </c>
      <c r="BD342" s="527">
        <f t="shared" si="471"/>
        <v>9711.2902378715426</v>
      </c>
      <c r="BE342" s="527">
        <f t="shared" si="471"/>
        <v>9711.2902378715426</v>
      </c>
      <c r="BF342" s="527">
        <f t="shared" si="471"/>
        <v>9711.2902378715426</v>
      </c>
      <c r="BG342" s="527">
        <f t="shared" si="471"/>
        <v>9711.2902378715426</v>
      </c>
      <c r="BH342" s="527">
        <f t="shared" si="471"/>
        <v>9711.2902378715426</v>
      </c>
      <c r="BI342" s="527">
        <f t="shared" si="471"/>
        <v>9711.2902378715426</v>
      </c>
      <c r="BJ342" s="527">
        <f t="shared" si="471"/>
        <v>9711.2902378715426</v>
      </c>
      <c r="BK342" s="527">
        <f t="shared" si="471"/>
        <v>9711.2902378715426</v>
      </c>
      <c r="BL342" s="527">
        <f t="shared" si="471"/>
        <v>9711.2902378715426</v>
      </c>
      <c r="BM342" s="527">
        <f t="shared" si="471"/>
        <v>9711.2902378715426</v>
      </c>
      <c r="BN342" s="527">
        <f t="shared" si="471"/>
        <v>9907.440631381347</v>
      </c>
      <c r="BO342" s="527">
        <f t="shared" si="471"/>
        <v>9907.440631381347</v>
      </c>
      <c r="BP342" s="527">
        <f t="shared" si="471"/>
        <v>9907.440631381347</v>
      </c>
      <c r="BQ342" s="527">
        <f t="shared" si="471"/>
        <v>9907.440631381347</v>
      </c>
      <c r="BR342" s="527">
        <f t="shared" si="471"/>
        <v>9907.440631381347</v>
      </c>
      <c r="BS342" s="527">
        <f t="shared" si="471"/>
        <v>9907.440631381347</v>
      </c>
      <c r="BT342" s="527">
        <f t="shared" si="471"/>
        <v>13622.216265623789</v>
      </c>
      <c r="BU342" s="527">
        <f t="shared" si="471"/>
        <v>13622.216265623789</v>
      </c>
      <c r="BV342" s="527">
        <f t="shared" si="471"/>
        <v>13622.216265623789</v>
      </c>
      <c r="BW342" s="527">
        <f t="shared" si="471"/>
        <v>13622.216265623789</v>
      </c>
      <c r="BX342" s="527">
        <f t="shared" si="471"/>
        <v>13622.216265623789</v>
      </c>
      <c r="BY342" s="527">
        <f t="shared" si="471"/>
        <v>13622.216265623789</v>
      </c>
    </row>
    <row r="343" spans="3:77" x14ac:dyDescent="0.3">
      <c r="C343" s="2"/>
      <c r="D343" s="2"/>
      <c r="E343" s="128" t="str">
        <f>"Rental income: "&amp;E$160</f>
        <v>Rental income: Uninvested Tranche</v>
      </c>
      <c r="F343" s="2"/>
      <c r="G343" s="2"/>
      <c r="H343" s="2"/>
      <c r="I343" s="2"/>
      <c r="J343" s="2"/>
      <c r="K343" s="2"/>
      <c r="L343" s="2"/>
      <c r="M343" s="2"/>
      <c r="N343" s="2"/>
      <c r="O343" s="2"/>
      <c r="P343" s="10"/>
      <c r="Q343" s="2"/>
      <c r="R343" s="497">
        <f t="shared" ref="R343:AW343" si="472">($R160*R$597*R495)+((($R160*R$597)+R333)*R487)</f>
        <v>25280.642072933428</v>
      </c>
      <c r="S343" s="497">
        <f t="shared" si="472"/>
        <v>25280.642072933428</v>
      </c>
      <c r="T343" s="497">
        <f t="shared" si="472"/>
        <v>25280.642072933428</v>
      </c>
      <c r="U343" s="497">
        <f t="shared" si="472"/>
        <v>25280.642072933428</v>
      </c>
      <c r="V343" s="497">
        <f t="shared" si="472"/>
        <v>25280.642072933428</v>
      </c>
      <c r="W343" s="497">
        <f t="shared" si="472"/>
        <v>25280.642072933428</v>
      </c>
      <c r="X343" s="497">
        <f t="shared" si="472"/>
        <v>25280.642072933428</v>
      </c>
      <c r="Y343" s="497">
        <f t="shared" si="472"/>
        <v>25280.642072933428</v>
      </c>
      <c r="Z343" s="497">
        <f t="shared" si="472"/>
        <v>25280.642072933428</v>
      </c>
      <c r="AA343" s="497">
        <f t="shared" si="472"/>
        <v>25280.642072933428</v>
      </c>
      <c r="AB343" s="497">
        <f t="shared" si="472"/>
        <v>25280.642072933428</v>
      </c>
      <c r="AC343" s="497">
        <f t="shared" si="472"/>
        <v>25280.642072933428</v>
      </c>
      <c r="AD343" s="497">
        <f t="shared" si="472"/>
        <v>25957.446507243178</v>
      </c>
      <c r="AE343" s="497">
        <f t="shared" si="472"/>
        <v>25957.446507243178</v>
      </c>
      <c r="AF343" s="497">
        <f t="shared" si="472"/>
        <v>25957.446507243178</v>
      </c>
      <c r="AG343" s="497">
        <f t="shared" si="472"/>
        <v>25957.446507243178</v>
      </c>
      <c r="AH343" s="497">
        <f t="shared" si="472"/>
        <v>25957.446507243178</v>
      </c>
      <c r="AI343" s="497">
        <f t="shared" si="472"/>
        <v>25957.446507243178</v>
      </c>
      <c r="AJ343" s="497">
        <f t="shared" si="472"/>
        <v>25957.446507243178</v>
      </c>
      <c r="AK343" s="497">
        <f t="shared" si="472"/>
        <v>25957.446507243178</v>
      </c>
      <c r="AL343" s="497">
        <f t="shared" si="472"/>
        <v>25957.446507243178</v>
      </c>
      <c r="AM343" s="497">
        <f t="shared" si="472"/>
        <v>25957.446507243178</v>
      </c>
      <c r="AN343" s="527">
        <f t="shared" si="472"/>
        <v>25957.446507243178</v>
      </c>
      <c r="AO343" s="527">
        <f t="shared" si="472"/>
        <v>25957.446507243178</v>
      </c>
      <c r="AP343" s="527">
        <f t="shared" si="472"/>
        <v>26611.121750200178</v>
      </c>
      <c r="AQ343" s="527">
        <f t="shared" si="472"/>
        <v>26611.121750200178</v>
      </c>
      <c r="AR343" s="527">
        <f t="shared" si="472"/>
        <v>26611.121750200178</v>
      </c>
      <c r="AS343" s="527">
        <f t="shared" si="472"/>
        <v>26611.121750200178</v>
      </c>
      <c r="AT343" s="527">
        <f t="shared" si="472"/>
        <v>26611.121750200178</v>
      </c>
      <c r="AU343" s="527">
        <f t="shared" si="472"/>
        <v>26611.121750200178</v>
      </c>
      <c r="AV343" s="527">
        <f t="shared" si="472"/>
        <v>26611.121750200178</v>
      </c>
      <c r="AW343" s="527">
        <f t="shared" si="472"/>
        <v>26611.121750200178</v>
      </c>
      <c r="AX343" s="527">
        <f t="shared" ref="AX343:BY343" si="473">($R160*AX$597*AX495)+((($R160*AX$597)+AX333)*AX487)</f>
        <v>26611.121750200178</v>
      </c>
      <c r="AY343" s="527">
        <f t="shared" si="473"/>
        <v>26611.121750200178</v>
      </c>
      <c r="AZ343" s="527">
        <f t="shared" si="473"/>
        <v>26611.121750200178</v>
      </c>
      <c r="BA343" s="527">
        <f t="shared" si="473"/>
        <v>26611.121750200178</v>
      </c>
      <c r="BB343" s="527">
        <f t="shared" si="473"/>
        <v>27191.612666040317</v>
      </c>
      <c r="BC343" s="527">
        <f t="shared" si="473"/>
        <v>27191.612666040317</v>
      </c>
      <c r="BD343" s="527">
        <f t="shared" si="473"/>
        <v>27191.612666040317</v>
      </c>
      <c r="BE343" s="527">
        <f t="shared" si="473"/>
        <v>27191.612666040317</v>
      </c>
      <c r="BF343" s="527">
        <f t="shared" si="473"/>
        <v>27191.612666040317</v>
      </c>
      <c r="BG343" s="527">
        <f t="shared" si="473"/>
        <v>27191.612666040317</v>
      </c>
      <c r="BH343" s="527">
        <f t="shared" si="473"/>
        <v>27191.612666040317</v>
      </c>
      <c r="BI343" s="527">
        <f t="shared" si="473"/>
        <v>27191.612666040317</v>
      </c>
      <c r="BJ343" s="527">
        <f t="shared" si="473"/>
        <v>27191.612666040317</v>
      </c>
      <c r="BK343" s="527">
        <f t="shared" si="473"/>
        <v>27191.612666040317</v>
      </c>
      <c r="BL343" s="527">
        <f t="shared" si="473"/>
        <v>27191.612666040317</v>
      </c>
      <c r="BM343" s="527">
        <f t="shared" si="473"/>
        <v>27191.612666040317</v>
      </c>
      <c r="BN343" s="527">
        <f t="shared" si="473"/>
        <v>27740.833767867771</v>
      </c>
      <c r="BO343" s="527">
        <f t="shared" si="473"/>
        <v>27740.833767867771</v>
      </c>
      <c r="BP343" s="527">
        <f t="shared" si="473"/>
        <v>27740.833767867771</v>
      </c>
      <c r="BQ343" s="527">
        <f t="shared" si="473"/>
        <v>27740.833767867771</v>
      </c>
      <c r="BR343" s="527">
        <f t="shared" si="473"/>
        <v>27740.833767867771</v>
      </c>
      <c r="BS343" s="527">
        <f t="shared" si="473"/>
        <v>27740.833767867771</v>
      </c>
      <c r="BT343" s="527">
        <f t="shared" si="473"/>
        <v>27740.833767867771</v>
      </c>
      <c r="BU343" s="527">
        <f t="shared" si="473"/>
        <v>27740.833767867771</v>
      </c>
      <c r="BV343" s="527">
        <f t="shared" si="473"/>
        <v>27740.833767867771</v>
      </c>
      <c r="BW343" s="527">
        <f t="shared" si="473"/>
        <v>27740.833767867771</v>
      </c>
      <c r="BX343" s="527">
        <f t="shared" si="473"/>
        <v>27740.833767867771</v>
      </c>
      <c r="BY343" s="527">
        <f t="shared" si="473"/>
        <v>27740.833767867771</v>
      </c>
    </row>
    <row r="344" spans="3:77" x14ac:dyDescent="0.3">
      <c r="C344" s="2"/>
      <c r="D344" s="2"/>
      <c r="E344" s="4" t="s">
        <v>36</v>
      </c>
      <c r="F344" s="4"/>
      <c r="G344" s="4"/>
      <c r="H344" s="4"/>
      <c r="I344" s="4"/>
      <c r="J344" s="4"/>
      <c r="K344" s="4"/>
      <c r="L344" s="4"/>
      <c r="M344" s="4"/>
      <c r="N344" s="4"/>
      <c r="O344" s="4"/>
      <c r="P344" s="106"/>
      <c r="Q344" s="4"/>
      <c r="R344" s="498">
        <f t="shared" ref="R344:AW344" si="474">SUM(R338:R343)</f>
        <v>70424.645774600271</v>
      </c>
      <c r="S344" s="498">
        <f t="shared" si="474"/>
        <v>70424.645774600271</v>
      </c>
      <c r="T344" s="498">
        <f t="shared" si="474"/>
        <v>70424.645774600271</v>
      </c>
      <c r="U344" s="498">
        <f t="shared" si="474"/>
        <v>70424.645774600271</v>
      </c>
      <c r="V344" s="498">
        <f t="shared" si="474"/>
        <v>70424.645774600271</v>
      </c>
      <c r="W344" s="498">
        <f t="shared" si="474"/>
        <v>70424.645774600271</v>
      </c>
      <c r="X344" s="498">
        <f t="shared" si="474"/>
        <v>73834.10046277412</v>
      </c>
      <c r="Y344" s="498">
        <f t="shared" si="474"/>
        <v>73834.10046277412</v>
      </c>
      <c r="Z344" s="498">
        <f t="shared" si="474"/>
        <v>73834.10046277412</v>
      </c>
      <c r="AA344" s="498">
        <f t="shared" si="474"/>
        <v>73834.10046277412</v>
      </c>
      <c r="AB344" s="498">
        <f t="shared" si="474"/>
        <v>73834.10046277412</v>
      </c>
      <c r="AC344" s="498">
        <f t="shared" si="474"/>
        <v>73834.10046277412</v>
      </c>
      <c r="AD344" s="498">
        <f t="shared" si="474"/>
        <v>75079.893468802431</v>
      </c>
      <c r="AE344" s="498">
        <f t="shared" si="474"/>
        <v>75079.893468802431</v>
      </c>
      <c r="AF344" s="498">
        <f t="shared" si="474"/>
        <v>75079.893468802431</v>
      </c>
      <c r="AG344" s="498">
        <f t="shared" si="474"/>
        <v>75079.893468802431</v>
      </c>
      <c r="AH344" s="498">
        <f t="shared" si="474"/>
        <v>75079.893468802431</v>
      </c>
      <c r="AI344" s="498">
        <f t="shared" si="474"/>
        <v>75079.893468802431</v>
      </c>
      <c r="AJ344" s="498">
        <f t="shared" si="474"/>
        <v>79362.294606328389</v>
      </c>
      <c r="AK344" s="498">
        <f t="shared" si="474"/>
        <v>79362.294606328389</v>
      </c>
      <c r="AL344" s="498">
        <f t="shared" si="474"/>
        <v>79362.294606328389</v>
      </c>
      <c r="AM344" s="498">
        <f t="shared" si="474"/>
        <v>79362.294606328389</v>
      </c>
      <c r="AN344" s="530">
        <f t="shared" si="474"/>
        <v>79362.294606328389</v>
      </c>
      <c r="AO344" s="530">
        <f t="shared" si="474"/>
        <v>79362.294606328389</v>
      </c>
      <c r="AP344" s="530">
        <f t="shared" si="474"/>
        <v>79913.8764846626</v>
      </c>
      <c r="AQ344" s="530">
        <f t="shared" si="474"/>
        <v>79913.8764846626</v>
      </c>
      <c r="AR344" s="530">
        <f t="shared" si="474"/>
        <v>79913.8764846626</v>
      </c>
      <c r="AS344" s="530">
        <f t="shared" si="474"/>
        <v>79913.8764846626</v>
      </c>
      <c r="AT344" s="530">
        <f t="shared" si="474"/>
        <v>79913.8764846626</v>
      </c>
      <c r="AU344" s="530">
        <f t="shared" si="474"/>
        <v>79913.8764846626</v>
      </c>
      <c r="AV344" s="530">
        <f t="shared" si="474"/>
        <v>85126.12736634379</v>
      </c>
      <c r="AW344" s="530">
        <f t="shared" si="474"/>
        <v>85126.12736634379</v>
      </c>
      <c r="AX344" s="530">
        <f t="shared" ref="AX344:BY344" si="475">SUM(AX338:AX343)</f>
        <v>85126.12736634379</v>
      </c>
      <c r="AY344" s="530">
        <f t="shared" si="475"/>
        <v>85126.12736634379</v>
      </c>
      <c r="AZ344" s="530">
        <f t="shared" si="475"/>
        <v>85126.12736634379</v>
      </c>
      <c r="BA344" s="530">
        <f t="shared" si="475"/>
        <v>85126.12736634379</v>
      </c>
      <c r="BB344" s="530">
        <f t="shared" si="475"/>
        <v>84896.703675697587</v>
      </c>
      <c r="BC344" s="530">
        <f t="shared" si="475"/>
        <v>84896.703675697587</v>
      </c>
      <c r="BD344" s="530">
        <f t="shared" si="475"/>
        <v>84896.703675697587</v>
      </c>
      <c r="BE344" s="530">
        <f t="shared" si="475"/>
        <v>84896.703675697587</v>
      </c>
      <c r="BF344" s="530">
        <f t="shared" si="475"/>
        <v>84896.703675697587</v>
      </c>
      <c r="BG344" s="530">
        <f t="shared" si="475"/>
        <v>84896.703675697587</v>
      </c>
      <c r="BH344" s="530">
        <f t="shared" si="475"/>
        <v>91096.803223939845</v>
      </c>
      <c r="BI344" s="530">
        <f t="shared" si="475"/>
        <v>91096.803223939845</v>
      </c>
      <c r="BJ344" s="530">
        <f t="shared" si="475"/>
        <v>91096.803223939845</v>
      </c>
      <c r="BK344" s="530">
        <f t="shared" si="475"/>
        <v>91096.803223939845</v>
      </c>
      <c r="BL344" s="530">
        <f t="shared" si="475"/>
        <v>91096.803223939845</v>
      </c>
      <c r="BM344" s="530">
        <f t="shared" si="475"/>
        <v>91096.803223939845</v>
      </c>
      <c r="BN344" s="530">
        <f t="shared" si="475"/>
        <v>90114.985861029316</v>
      </c>
      <c r="BO344" s="530">
        <f t="shared" si="475"/>
        <v>90114.985861029316</v>
      </c>
      <c r="BP344" s="530">
        <f t="shared" si="475"/>
        <v>90114.985861029316</v>
      </c>
      <c r="BQ344" s="530">
        <f t="shared" si="475"/>
        <v>90114.985861029316</v>
      </c>
      <c r="BR344" s="530">
        <f t="shared" si="475"/>
        <v>90114.985861029316</v>
      </c>
      <c r="BS344" s="530">
        <f t="shared" si="475"/>
        <v>90114.985861029316</v>
      </c>
      <c r="BT344" s="530">
        <f t="shared" si="475"/>
        <v>97364.361765888578</v>
      </c>
      <c r="BU344" s="530">
        <f t="shared" si="475"/>
        <v>97364.361765888578</v>
      </c>
      <c r="BV344" s="530">
        <f t="shared" si="475"/>
        <v>97364.361765888578</v>
      </c>
      <c r="BW344" s="530">
        <f t="shared" si="475"/>
        <v>97364.361765888578</v>
      </c>
      <c r="BX344" s="530">
        <f t="shared" si="475"/>
        <v>97364.361765888578</v>
      </c>
      <c r="BY344" s="530">
        <f t="shared" si="475"/>
        <v>97364.361765888578</v>
      </c>
    </row>
    <row r="345" spans="3:77" x14ac:dyDescent="0.3">
      <c r="C345" s="2"/>
      <c r="D345" s="2"/>
      <c r="E345" s="2"/>
      <c r="F345" s="2"/>
      <c r="G345" s="2"/>
      <c r="H345" s="2"/>
      <c r="I345" s="2"/>
      <c r="J345" s="2"/>
      <c r="K345" s="2"/>
      <c r="L345" s="2"/>
      <c r="M345" s="2"/>
      <c r="N345" s="2"/>
      <c r="O345" s="2"/>
      <c r="P345" s="10"/>
      <c r="Q345" s="2"/>
      <c r="R345" s="2"/>
      <c r="S345" s="2"/>
      <c r="T345" s="2"/>
      <c r="U345" s="2"/>
      <c r="V345" s="2"/>
      <c r="W345" s="2"/>
      <c r="X345" s="2"/>
      <c r="Y345" s="2"/>
      <c r="Z345" s="2"/>
      <c r="AA345" s="2"/>
      <c r="AB345" s="2"/>
      <c r="AC345" s="2"/>
      <c r="AD345" s="2"/>
      <c r="AE345" s="2"/>
      <c r="AF345" s="2"/>
      <c r="AG345" s="2"/>
      <c r="AH345" s="2"/>
      <c r="AI345" s="2"/>
      <c r="AJ345" s="2"/>
      <c r="AK345" s="2"/>
      <c r="AL345" s="2"/>
      <c r="AM345" s="2"/>
      <c r="AN345" s="525"/>
      <c r="AO345" s="525"/>
      <c r="AP345" s="525"/>
      <c r="AQ345" s="525"/>
      <c r="AR345" s="525"/>
      <c r="AS345" s="525"/>
      <c r="AT345" s="525"/>
      <c r="AU345" s="525"/>
      <c r="AV345" s="525"/>
      <c r="AW345" s="525"/>
      <c r="AX345" s="525"/>
      <c r="AY345" s="525"/>
      <c r="AZ345" s="525"/>
      <c r="BA345" s="525"/>
      <c r="BB345" s="525"/>
      <c r="BC345" s="525"/>
      <c r="BD345" s="525"/>
      <c r="BE345" s="525"/>
      <c r="BF345" s="525"/>
      <c r="BG345" s="525"/>
      <c r="BH345" s="525"/>
      <c r="BI345" s="525"/>
      <c r="BJ345" s="525"/>
      <c r="BK345" s="525"/>
      <c r="BL345" s="525"/>
      <c r="BM345" s="525"/>
      <c r="BN345" s="525"/>
      <c r="BO345" s="525"/>
      <c r="BP345" s="525"/>
      <c r="BQ345" s="525"/>
      <c r="BR345" s="525"/>
      <c r="BS345" s="525"/>
      <c r="BT345" s="525"/>
      <c r="BU345" s="525"/>
      <c r="BV345" s="525"/>
      <c r="BW345" s="525"/>
      <c r="BX345" s="525"/>
      <c r="BY345" s="525"/>
    </row>
    <row r="346" spans="3:77" x14ac:dyDescent="0.3">
      <c r="C346" s="2"/>
      <c r="D346" s="2"/>
      <c r="E346" s="129" t="str">
        <f>"Tie release fees: "&amp;E$155</f>
        <v>Tie release fees: FY27 Tranche</v>
      </c>
      <c r="F346" s="2"/>
      <c r="G346" s="2"/>
      <c r="H346" s="2"/>
      <c r="I346" s="2"/>
      <c r="J346" s="2"/>
      <c r="K346" s="2"/>
      <c r="L346" s="2"/>
      <c r="M346" s="2"/>
      <c r="N346" s="2"/>
      <c r="O346" s="2"/>
      <c r="P346" s="10"/>
      <c r="Q346" s="2"/>
      <c r="R346" s="497">
        <f t="shared" ref="R346:AW346" si="476">R$598*$R155</f>
        <v>925.22615103943042</v>
      </c>
      <c r="S346" s="497">
        <f t="shared" si="476"/>
        <v>925.22615103943042</v>
      </c>
      <c r="T346" s="497">
        <f t="shared" si="476"/>
        <v>925.22615103943042</v>
      </c>
      <c r="U346" s="497">
        <f t="shared" si="476"/>
        <v>925.22615103943042</v>
      </c>
      <c r="V346" s="497">
        <f t="shared" si="476"/>
        <v>925.22615103943042</v>
      </c>
      <c r="W346" s="497">
        <f t="shared" si="476"/>
        <v>925.22615103943042</v>
      </c>
      <c r="X346" s="497">
        <f t="shared" si="476"/>
        <v>925.22615103943042</v>
      </c>
      <c r="Y346" s="497">
        <f t="shared" si="476"/>
        <v>925.22615103943042</v>
      </c>
      <c r="Z346" s="497">
        <f t="shared" si="476"/>
        <v>925.22615103943042</v>
      </c>
      <c r="AA346" s="497">
        <f t="shared" si="476"/>
        <v>925.22615103943042</v>
      </c>
      <c r="AB346" s="497">
        <f t="shared" si="476"/>
        <v>925.22615103943042</v>
      </c>
      <c r="AC346" s="497">
        <f t="shared" si="476"/>
        <v>925.22615103943042</v>
      </c>
      <c r="AD346" s="497">
        <f t="shared" si="476"/>
        <v>955.94137787438899</v>
      </c>
      <c r="AE346" s="497">
        <f t="shared" si="476"/>
        <v>955.94137787438899</v>
      </c>
      <c r="AF346" s="497">
        <f t="shared" si="476"/>
        <v>955.94137787438899</v>
      </c>
      <c r="AG346" s="497">
        <f t="shared" si="476"/>
        <v>955.94137787438899</v>
      </c>
      <c r="AH346" s="497">
        <f t="shared" si="476"/>
        <v>955.94137787438899</v>
      </c>
      <c r="AI346" s="497">
        <f t="shared" si="476"/>
        <v>955.94137787438899</v>
      </c>
      <c r="AJ346" s="497">
        <f t="shared" si="476"/>
        <v>955.94137787438899</v>
      </c>
      <c r="AK346" s="497">
        <f t="shared" si="476"/>
        <v>955.94137787438899</v>
      </c>
      <c r="AL346" s="497">
        <f t="shared" si="476"/>
        <v>955.94137787438899</v>
      </c>
      <c r="AM346" s="497">
        <f t="shared" si="476"/>
        <v>955.94137787438899</v>
      </c>
      <c r="AN346" s="527">
        <f t="shared" si="476"/>
        <v>955.94137787438899</v>
      </c>
      <c r="AO346" s="527">
        <f t="shared" si="476"/>
        <v>955.94137787438899</v>
      </c>
      <c r="AP346" s="527">
        <f t="shared" si="476"/>
        <v>986.3877179070671</v>
      </c>
      <c r="AQ346" s="527">
        <f t="shared" si="476"/>
        <v>986.3877179070671</v>
      </c>
      <c r="AR346" s="527">
        <f t="shared" si="476"/>
        <v>986.3877179070671</v>
      </c>
      <c r="AS346" s="527">
        <f t="shared" si="476"/>
        <v>986.3877179070671</v>
      </c>
      <c r="AT346" s="527">
        <f t="shared" si="476"/>
        <v>986.3877179070671</v>
      </c>
      <c r="AU346" s="527">
        <f t="shared" si="476"/>
        <v>986.3877179070671</v>
      </c>
      <c r="AV346" s="527">
        <f t="shared" si="476"/>
        <v>986.3877179070671</v>
      </c>
      <c r="AW346" s="527">
        <f t="shared" si="476"/>
        <v>986.3877179070671</v>
      </c>
      <c r="AX346" s="527">
        <f t="shared" ref="AX346:BY346" si="477">AX$598*$R155</f>
        <v>986.3877179070671</v>
      </c>
      <c r="AY346" s="527">
        <f t="shared" si="477"/>
        <v>986.3877179070671</v>
      </c>
      <c r="AZ346" s="527">
        <f t="shared" si="477"/>
        <v>986.3877179070671</v>
      </c>
      <c r="BA346" s="527">
        <f t="shared" si="477"/>
        <v>986.3877179070671</v>
      </c>
      <c r="BB346" s="527">
        <f t="shared" si="477"/>
        <v>1011.8065240327167</v>
      </c>
      <c r="BC346" s="527">
        <f t="shared" si="477"/>
        <v>1011.8065240327167</v>
      </c>
      <c r="BD346" s="527">
        <f t="shared" si="477"/>
        <v>1011.8065240327167</v>
      </c>
      <c r="BE346" s="527">
        <f t="shared" si="477"/>
        <v>1011.8065240327167</v>
      </c>
      <c r="BF346" s="527">
        <f t="shared" si="477"/>
        <v>1011.8065240327167</v>
      </c>
      <c r="BG346" s="527">
        <f t="shared" si="477"/>
        <v>1011.8065240327167</v>
      </c>
      <c r="BH346" s="527">
        <f t="shared" si="477"/>
        <v>1011.8065240327167</v>
      </c>
      <c r="BI346" s="527">
        <f t="shared" si="477"/>
        <v>1011.8065240327167</v>
      </c>
      <c r="BJ346" s="527">
        <f t="shared" si="477"/>
        <v>1011.8065240327167</v>
      </c>
      <c r="BK346" s="527">
        <f t="shared" si="477"/>
        <v>1011.8065240327167</v>
      </c>
      <c r="BL346" s="527">
        <f t="shared" si="477"/>
        <v>1011.8065240327167</v>
      </c>
      <c r="BM346" s="527">
        <f t="shared" si="477"/>
        <v>1011.8065240327167</v>
      </c>
      <c r="BN346" s="527">
        <f t="shared" si="477"/>
        <v>1033.6848303622394</v>
      </c>
      <c r="BO346" s="527">
        <f t="shared" si="477"/>
        <v>1033.6848303622394</v>
      </c>
      <c r="BP346" s="527">
        <f t="shared" si="477"/>
        <v>1033.6848303622394</v>
      </c>
      <c r="BQ346" s="527">
        <f t="shared" si="477"/>
        <v>1033.6848303622394</v>
      </c>
      <c r="BR346" s="527">
        <f t="shared" si="477"/>
        <v>1033.6848303622394</v>
      </c>
      <c r="BS346" s="527">
        <f t="shared" si="477"/>
        <v>1033.6848303622394</v>
      </c>
      <c r="BT346" s="527">
        <f t="shared" si="477"/>
        <v>1033.6848303622394</v>
      </c>
      <c r="BU346" s="527">
        <f t="shared" si="477"/>
        <v>1033.6848303622394</v>
      </c>
      <c r="BV346" s="527">
        <f t="shared" si="477"/>
        <v>1033.6848303622394</v>
      </c>
      <c r="BW346" s="527">
        <f t="shared" si="477"/>
        <v>1033.6848303622394</v>
      </c>
      <c r="BX346" s="527">
        <f t="shared" si="477"/>
        <v>1033.6848303622394</v>
      </c>
      <c r="BY346" s="527">
        <f t="shared" si="477"/>
        <v>1033.6848303622394</v>
      </c>
    </row>
    <row r="347" spans="3:77" x14ac:dyDescent="0.3">
      <c r="C347" s="2"/>
      <c r="D347" s="2"/>
      <c r="E347" s="129" t="str">
        <f>"Tie release fees: "&amp;E$156</f>
        <v>Tie release fees: FY28 Tranche</v>
      </c>
      <c r="F347" s="2"/>
      <c r="G347" s="2"/>
      <c r="H347" s="2"/>
      <c r="I347" s="2"/>
      <c r="J347" s="2"/>
      <c r="K347" s="2"/>
      <c r="L347" s="2"/>
      <c r="M347" s="2"/>
      <c r="N347" s="2"/>
      <c r="O347" s="2"/>
      <c r="P347" s="10"/>
      <c r="Q347" s="2"/>
      <c r="R347" s="497">
        <f t="shared" ref="R347:AW347" si="478">R$598*$R156</f>
        <v>925.22615103943042</v>
      </c>
      <c r="S347" s="497">
        <f t="shared" si="478"/>
        <v>925.22615103943042</v>
      </c>
      <c r="T347" s="497">
        <f t="shared" si="478"/>
        <v>925.22615103943042</v>
      </c>
      <c r="U347" s="497">
        <f t="shared" si="478"/>
        <v>925.22615103943042</v>
      </c>
      <c r="V347" s="497">
        <f t="shared" si="478"/>
        <v>925.22615103943042</v>
      </c>
      <c r="W347" s="497">
        <f t="shared" si="478"/>
        <v>925.22615103943042</v>
      </c>
      <c r="X347" s="497">
        <f t="shared" si="478"/>
        <v>925.22615103943042</v>
      </c>
      <c r="Y347" s="497">
        <f t="shared" si="478"/>
        <v>925.22615103943042</v>
      </c>
      <c r="Z347" s="497">
        <f t="shared" si="478"/>
        <v>925.22615103943042</v>
      </c>
      <c r="AA347" s="497">
        <f t="shared" si="478"/>
        <v>925.22615103943042</v>
      </c>
      <c r="AB347" s="497">
        <f t="shared" si="478"/>
        <v>925.22615103943042</v>
      </c>
      <c r="AC347" s="497">
        <f t="shared" si="478"/>
        <v>925.22615103943042</v>
      </c>
      <c r="AD347" s="497">
        <f t="shared" si="478"/>
        <v>955.94137787438899</v>
      </c>
      <c r="AE347" s="497">
        <f t="shared" si="478"/>
        <v>955.94137787438899</v>
      </c>
      <c r="AF347" s="497">
        <f t="shared" si="478"/>
        <v>955.94137787438899</v>
      </c>
      <c r="AG347" s="497">
        <f t="shared" si="478"/>
        <v>955.94137787438899</v>
      </c>
      <c r="AH347" s="497">
        <f t="shared" si="478"/>
        <v>955.94137787438899</v>
      </c>
      <c r="AI347" s="497">
        <f t="shared" si="478"/>
        <v>955.94137787438899</v>
      </c>
      <c r="AJ347" s="497">
        <f t="shared" si="478"/>
        <v>955.94137787438899</v>
      </c>
      <c r="AK347" s="497">
        <f t="shared" si="478"/>
        <v>955.94137787438899</v>
      </c>
      <c r="AL347" s="497">
        <f t="shared" si="478"/>
        <v>955.94137787438899</v>
      </c>
      <c r="AM347" s="497">
        <f t="shared" si="478"/>
        <v>955.94137787438899</v>
      </c>
      <c r="AN347" s="527">
        <f t="shared" si="478"/>
        <v>955.94137787438899</v>
      </c>
      <c r="AO347" s="527">
        <f t="shared" si="478"/>
        <v>955.94137787438899</v>
      </c>
      <c r="AP347" s="527">
        <f t="shared" si="478"/>
        <v>986.3877179070671</v>
      </c>
      <c r="AQ347" s="527">
        <f t="shared" si="478"/>
        <v>986.3877179070671</v>
      </c>
      <c r="AR347" s="527">
        <f t="shared" si="478"/>
        <v>986.3877179070671</v>
      </c>
      <c r="AS347" s="527">
        <f t="shared" si="478"/>
        <v>986.3877179070671</v>
      </c>
      <c r="AT347" s="527">
        <f t="shared" si="478"/>
        <v>986.3877179070671</v>
      </c>
      <c r="AU347" s="527">
        <f t="shared" si="478"/>
        <v>986.3877179070671</v>
      </c>
      <c r="AV347" s="527">
        <f t="shared" si="478"/>
        <v>986.3877179070671</v>
      </c>
      <c r="AW347" s="527">
        <f t="shared" si="478"/>
        <v>986.3877179070671</v>
      </c>
      <c r="AX347" s="527">
        <f t="shared" ref="AX347:BY347" si="479">AX$598*$R156</f>
        <v>986.3877179070671</v>
      </c>
      <c r="AY347" s="527">
        <f t="shared" si="479"/>
        <v>986.3877179070671</v>
      </c>
      <c r="AZ347" s="527">
        <f t="shared" si="479"/>
        <v>986.3877179070671</v>
      </c>
      <c r="BA347" s="527">
        <f t="shared" si="479"/>
        <v>986.3877179070671</v>
      </c>
      <c r="BB347" s="527">
        <f t="shared" si="479"/>
        <v>1011.8065240327167</v>
      </c>
      <c r="BC347" s="527">
        <f t="shared" si="479"/>
        <v>1011.8065240327167</v>
      </c>
      <c r="BD347" s="527">
        <f t="shared" si="479"/>
        <v>1011.8065240327167</v>
      </c>
      <c r="BE347" s="527">
        <f t="shared" si="479"/>
        <v>1011.8065240327167</v>
      </c>
      <c r="BF347" s="527">
        <f t="shared" si="479"/>
        <v>1011.8065240327167</v>
      </c>
      <c r="BG347" s="527">
        <f t="shared" si="479"/>
        <v>1011.8065240327167</v>
      </c>
      <c r="BH347" s="527">
        <f t="shared" si="479"/>
        <v>1011.8065240327167</v>
      </c>
      <c r="BI347" s="527">
        <f t="shared" si="479"/>
        <v>1011.8065240327167</v>
      </c>
      <c r="BJ347" s="527">
        <f t="shared" si="479"/>
        <v>1011.8065240327167</v>
      </c>
      <c r="BK347" s="527">
        <f t="shared" si="479"/>
        <v>1011.8065240327167</v>
      </c>
      <c r="BL347" s="527">
        <f t="shared" si="479"/>
        <v>1011.8065240327167</v>
      </c>
      <c r="BM347" s="527">
        <f t="shared" si="479"/>
        <v>1011.8065240327167</v>
      </c>
      <c r="BN347" s="527">
        <f t="shared" si="479"/>
        <v>1033.6848303622394</v>
      </c>
      <c r="BO347" s="527">
        <f t="shared" si="479"/>
        <v>1033.6848303622394</v>
      </c>
      <c r="BP347" s="527">
        <f t="shared" si="479"/>
        <v>1033.6848303622394</v>
      </c>
      <c r="BQ347" s="527">
        <f t="shared" si="479"/>
        <v>1033.6848303622394</v>
      </c>
      <c r="BR347" s="527">
        <f t="shared" si="479"/>
        <v>1033.6848303622394</v>
      </c>
      <c r="BS347" s="527">
        <f t="shared" si="479"/>
        <v>1033.6848303622394</v>
      </c>
      <c r="BT347" s="527">
        <f t="shared" si="479"/>
        <v>1033.6848303622394</v>
      </c>
      <c r="BU347" s="527">
        <f t="shared" si="479"/>
        <v>1033.6848303622394</v>
      </c>
      <c r="BV347" s="527">
        <f t="shared" si="479"/>
        <v>1033.6848303622394</v>
      </c>
      <c r="BW347" s="527">
        <f t="shared" si="479"/>
        <v>1033.6848303622394</v>
      </c>
      <c r="BX347" s="527">
        <f t="shared" si="479"/>
        <v>1033.6848303622394</v>
      </c>
      <c r="BY347" s="527">
        <f t="shared" si="479"/>
        <v>1033.6848303622394</v>
      </c>
    </row>
    <row r="348" spans="3:77" x14ac:dyDescent="0.3">
      <c r="C348" s="2"/>
      <c r="D348" s="2"/>
      <c r="E348" s="129" t="str">
        <f>"Tie release fees: "&amp;E$157</f>
        <v>Tie release fees: FY29 Tranche</v>
      </c>
      <c r="F348" s="2"/>
      <c r="G348" s="2"/>
      <c r="H348" s="2"/>
      <c r="I348" s="2"/>
      <c r="J348" s="2"/>
      <c r="K348" s="2"/>
      <c r="L348" s="2"/>
      <c r="M348" s="2"/>
      <c r="N348" s="2"/>
      <c r="O348" s="2"/>
      <c r="P348" s="10"/>
      <c r="Q348" s="2"/>
      <c r="R348" s="497">
        <f t="shared" ref="R348:AW348" si="480">R$598*$R157</f>
        <v>925.22615103943042</v>
      </c>
      <c r="S348" s="497">
        <f t="shared" si="480"/>
        <v>925.22615103943042</v>
      </c>
      <c r="T348" s="497">
        <f t="shared" si="480"/>
        <v>925.22615103943042</v>
      </c>
      <c r="U348" s="497">
        <f t="shared" si="480"/>
        <v>925.22615103943042</v>
      </c>
      <c r="V348" s="497">
        <f t="shared" si="480"/>
        <v>925.22615103943042</v>
      </c>
      <c r="W348" s="497">
        <f t="shared" si="480"/>
        <v>925.22615103943042</v>
      </c>
      <c r="X348" s="497">
        <f t="shared" si="480"/>
        <v>925.22615103943042</v>
      </c>
      <c r="Y348" s="497">
        <f t="shared" si="480"/>
        <v>925.22615103943042</v>
      </c>
      <c r="Z348" s="497">
        <f t="shared" si="480"/>
        <v>925.22615103943042</v>
      </c>
      <c r="AA348" s="497">
        <f t="shared" si="480"/>
        <v>925.22615103943042</v>
      </c>
      <c r="AB348" s="497">
        <f t="shared" si="480"/>
        <v>925.22615103943042</v>
      </c>
      <c r="AC348" s="497">
        <f t="shared" si="480"/>
        <v>925.22615103943042</v>
      </c>
      <c r="AD348" s="497">
        <f t="shared" si="480"/>
        <v>955.94137787438899</v>
      </c>
      <c r="AE348" s="497">
        <f t="shared" si="480"/>
        <v>955.94137787438899</v>
      </c>
      <c r="AF348" s="497">
        <f t="shared" si="480"/>
        <v>955.94137787438899</v>
      </c>
      <c r="AG348" s="497">
        <f t="shared" si="480"/>
        <v>955.94137787438899</v>
      </c>
      <c r="AH348" s="497">
        <f t="shared" si="480"/>
        <v>955.94137787438899</v>
      </c>
      <c r="AI348" s="497">
        <f t="shared" si="480"/>
        <v>955.94137787438899</v>
      </c>
      <c r="AJ348" s="497">
        <f t="shared" si="480"/>
        <v>955.94137787438899</v>
      </c>
      <c r="AK348" s="497">
        <f t="shared" si="480"/>
        <v>955.94137787438899</v>
      </c>
      <c r="AL348" s="497">
        <f t="shared" si="480"/>
        <v>955.94137787438899</v>
      </c>
      <c r="AM348" s="497">
        <f t="shared" si="480"/>
        <v>955.94137787438899</v>
      </c>
      <c r="AN348" s="527">
        <f t="shared" si="480"/>
        <v>955.94137787438899</v>
      </c>
      <c r="AO348" s="527">
        <f t="shared" si="480"/>
        <v>955.94137787438899</v>
      </c>
      <c r="AP348" s="527">
        <f t="shared" si="480"/>
        <v>986.3877179070671</v>
      </c>
      <c r="AQ348" s="527">
        <f t="shared" si="480"/>
        <v>986.3877179070671</v>
      </c>
      <c r="AR348" s="527">
        <f t="shared" si="480"/>
        <v>986.3877179070671</v>
      </c>
      <c r="AS348" s="527">
        <f t="shared" si="480"/>
        <v>986.3877179070671</v>
      </c>
      <c r="AT348" s="527">
        <f t="shared" si="480"/>
        <v>986.3877179070671</v>
      </c>
      <c r="AU348" s="527">
        <f t="shared" si="480"/>
        <v>986.3877179070671</v>
      </c>
      <c r="AV348" s="527">
        <f t="shared" si="480"/>
        <v>986.3877179070671</v>
      </c>
      <c r="AW348" s="527">
        <f t="shared" si="480"/>
        <v>986.3877179070671</v>
      </c>
      <c r="AX348" s="527">
        <f t="shared" ref="AX348:BY348" si="481">AX$598*$R157</f>
        <v>986.3877179070671</v>
      </c>
      <c r="AY348" s="527">
        <f t="shared" si="481"/>
        <v>986.3877179070671</v>
      </c>
      <c r="AZ348" s="527">
        <f t="shared" si="481"/>
        <v>986.3877179070671</v>
      </c>
      <c r="BA348" s="527">
        <f t="shared" si="481"/>
        <v>986.3877179070671</v>
      </c>
      <c r="BB348" s="527">
        <f t="shared" si="481"/>
        <v>1011.8065240327167</v>
      </c>
      <c r="BC348" s="527">
        <f t="shared" si="481"/>
        <v>1011.8065240327167</v>
      </c>
      <c r="BD348" s="527">
        <f t="shared" si="481"/>
        <v>1011.8065240327167</v>
      </c>
      <c r="BE348" s="527">
        <f t="shared" si="481"/>
        <v>1011.8065240327167</v>
      </c>
      <c r="BF348" s="527">
        <f t="shared" si="481"/>
        <v>1011.8065240327167</v>
      </c>
      <c r="BG348" s="527">
        <f t="shared" si="481"/>
        <v>1011.8065240327167</v>
      </c>
      <c r="BH348" s="527">
        <f t="shared" si="481"/>
        <v>1011.8065240327167</v>
      </c>
      <c r="BI348" s="527">
        <f t="shared" si="481"/>
        <v>1011.8065240327167</v>
      </c>
      <c r="BJ348" s="527">
        <f t="shared" si="481"/>
        <v>1011.8065240327167</v>
      </c>
      <c r="BK348" s="527">
        <f t="shared" si="481"/>
        <v>1011.8065240327167</v>
      </c>
      <c r="BL348" s="527">
        <f t="shared" si="481"/>
        <v>1011.8065240327167</v>
      </c>
      <c r="BM348" s="527">
        <f t="shared" si="481"/>
        <v>1011.8065240327167</v>
      </c>
      <c r="BN348" s="527">
        <f t="shared" si="481"/>
        <v>1033.6848303622394</v>
      </c>
      <c r="BO348" s="527">
        <f t="shared" si="481"/>
        <v>1033.6848303622394</v>
      </c>
      <c r="BP348" s="527">
        <f t="shared" si="481"/>
        <v>1033.6848303622394</v>
      </c>
      <c r="BQ348" s="527">
        <f t="shared" si="481"/>
        <v>1033.6848303622394</v>
      </c>
      <c r="BR348" s="527">
        <f t="shared" si="481"/>
        <v>1033.6848303622394</v>
      </c>
      <c r="BS348" s="527">
        <f t="shared" si="481"/>
        <v>1033.6848303622394</v>
      </c>
      <c r="BT348" s="527">
        <f t="shared" si="481"/>
        <v>1033.6848303622394</v>
      </c>
      <c r="BU348" s="527">
        <f t="shared" si="481"/>
        <v>1033.6848303622394</v>
      </c>
      <c r="BV348" s="527">
        <f t="shared" si="481"/>
        <v>1033.6848303622394</v>
      </c>
      <c r="BW348" s="527">
        <f t="shared" si="481"/>
        <v>1033.6848303622394</v>
      </c>
      <c r="BX348" s="527">
        <f t="shared" si="481"/>
        <v>1033.6848303622394</v>
      </c>
      <c r="BY348" s="527">
        <f t="shared" si="481"/>
        <v>1033.6848303622394</v>
      </c>
    </row>
    <row r="349" spans="3:77" x14ac:dyDescent="0.3">
      <c r="C349" s="2"/>
      <c r="D349" s="2"/>
      <c r="E349" s="129" t="str">
        <f>"Tie release fees: "&amp;E$158</f>
        <v>Tie release fees: FY30 Tranche</v>
      </c>
      <c r="F349" s="2"/>
      <c r="G349" s="2"/>
      <c r="H349" s="2"/>
      <c r="I349" s="2"/>
      <c r="J349" s="2"/>
      <c r="K349" s="2"/>
      <c r="L349" s="2"/>
      <c r="M349" s="2"/>
      <c r="N349" s="2"/>
      <c r="O349" s="2"/>
      <c r="P349" s="10"/>
      <c r="Q349" s="2"/>
      <c r="R349" s="497">
        <f t="shared" ref="R349:AW349" si="482">R$598*$R158</f>
        <v>925.22615103943042</v>
      </c>
      <c r="S349" s="497">
        <f t="shared" si="482"/>
        <v>925.22615103943042</v>
      </c>
      <c r="T349" s="497">
        <f t="shared" si="482"/>
        <v>925.22615103943042</v>
      </c>
      <c r="U349" s="497">
        <f t="shared" si="482"/>
        <v>925.22615103943042</v>
      </c>
      <c r="V349" s="497">
        <f t="shared" si="482"/>
        <v>925.22615103943042</v>
      </c>
      <c r="W349" s="497">
        <f t="shared" si="482"/>
        <v>925.22615103943042</v>
      </c>
      <c r="X349" s="497">
        <f t="shared" si="482"/>
        <v>925.22615103943042</v>
      </c>
      <c r="Y349" s="497">
        <f t="shared" si="482"/>
        <v>925.22615103943042</v>
      </c>
      <c r="Z349" s="497">
        <f t="shared" si="482"/>
        <v>925.22615103943042</v>
      </c>
      <c r="AA349" s="497">
        <f t="shared" si="482"/>
        <v>925.22615103943042</v>
      </c>
      <c r="AB349" s="497">
        <f t="shared" si="482"/>
        <v>925.22615103943042</v>
      </c>
      <c r="AC349" s="497">
        <f t="shared" si="482"/>
        <v>925.22615103943042</v>
      </c>
      <c r="AD349" s="497">
        <f t="shared" si="482"/>
        <v>955.94137787438899</v>
      </c>
      <c r="AE349" s="497">
        <f t="shared" si="482"/>
        <v>955.94137787438899</v>
      </c>
      <c r="AF349" s="497">
        <f t="shared" si="482"/>
        <v>955.94137787438899</v>
      </c>
      <c r="AG349" s="497">
        <f t="shared" si="482"/>
        <v>955.94137787438899</v>
      </c>
      <c r="AH349" s="497">
        <f t="shared" si="482"/>
        <v>955.94137787438899</v>
      </c>
      <c r="AI349" s="497">
        <f t="shared" si="482"/>
        <v>955.94137787438899</v>
      </c>
      <c r="AJ349" s="497">
        <f t="shared" si="482"/>
        <v>955.94137787438899</v>
      </c>
      <c r="AK349" s="497">
        <f t="shared" si="482"/>
        <v>955.94137787438899</v>
      </c>
      <c r="AL349" s="497">
        <f t="shared" si="482"/>
        <v>955.94137787438899</v>
      </c>
      <c r="AM349" s="497">
        <f t="shared" si="482"/>
        <v>955.94137787438899</v>
      </c>
      <c r="AN349" s="527">
        <f t="shared" si="482"/>
        <v>955.94137787438899</v>
      </c>
      <c r="AO349" s="527">
        <f t="shared" si="482"/>
        <v>955.94137787438899</v>
      </c>
      <c r="AP349" s="527">
        <f t="shared" si="482"/>
        <v>986.3877179070671</v>
      </c>
      <c r="AQ349" s="527">
        <f t="shared" si="482"/>
        <v>986.3877179070671</v>
      </c>
      <c r="AR349" s="527">
        <f t="shared" si="482"/>
        <v>986.3877179070671</v>
      </c>
      <c r="AS349" s="527">
        <f t="shared" si="482"/>
        <v>986.3877179070671</v>
      </c>
      <c r="AT349" s="527">
        <f t="shared" si="482"/>
        <v>986.3877179070671</v>
      </c>
      <c r="AU349" s="527">
        <f t="shared" si="482"/>
        <v>986.3877179070671</v>
      </c>
      <c r="AV349" s="527">
        <f t="shared" si="482"/>
        <v>986.3877179070671</v>
      </c>
      <c r="AW349" s="527">
        <f t="shared" si="482"/>
        <v>986.3877179070671</v>
      </c>
      <c r="AX349" s="527">
        <f t="shared" ref="AX349:BY349" si="483">AX$598*$R158</f>
        <v>986.3877179070671</v>
      </c>
      <c r="AY349" s="527">
        <f t="shared" si="483"/>
        <v>986.3877179070671</v>
      </c>
      <c r="AZ349" s="527">
        <f t="shared" si="483"/>
        <v>986.3877179070671</v>
      </c>
      <c r="BA349" s="527">
        <f t="shared" si="483"/>
        <v>986.3877179070671</v>
      </c>
      <c r="BB349" s="527">
        <f t="shared" si="483"/>
        <v>1011.8065240327167</v>
      </c>
      <c r="BC349" s="527">
        <f t="shared" si="483"/>
        <v>1011.8065240327167</v>
      </c>
      <c r="BD349" s="527">
        <f t="shared" si="483"/>
        <v>1011.8065240327167</v>
      </c>
      <c r="BE349" s="527">
        <f t="shared" si="483"/>
        <v>1011.8065240327167</v>
      </c>
      <c r="BF349" s="527">
        <f t="shared" si="483"/>
        <v>1011.8065240327167</v>
      </c>
      <c r="BG349" s="527">
        <f t="shared" si="483"/>
        <v>1011.8065240327167</v>
      </c>
      <c r="BH349" s="527">
        <f t="shared" si="483"/>
        <v>1011.8065240327167</v>
      </c>
      <c r="BI349" s="527">
        <f t="shared" si="483"/>
        <v>1011.8065240327167</v>
      </c>
      <c r="BJ349" s="527">
        <f t="shared" si="483"/>
        <v>1011.8065240327167</v>
      </c>
      <c r="BK349" s="527">
        <f t="shared" si="483"/>
        <v>1011.8065240327167</v>
      </c>
      <c r="BL349" s="527">
        <f t="shared" si="483"/>
        <v>1011.8065240327167</v>
      </c>
      <c r="BM349" s="527">
        <f t="shared" si="483"/>
        <v>1011.8065240327167</v>
      </c>
      <c r="BN349" s="527">
        <f t="shared" si="483"/>
        <v>1033.6848303622394</v>
      </c>
      <c r="BO349" s="527">
        <f t="shared" si="483"/>
        <v>1033.6848303622394</v>
      </c>
      <c r="BP349" s="527">
        <f t="shared" si="483"/>
        <v>1033.6848303622394</v>
      </c>
      <c r="BQ349" s="527">
        <f t="shared" si="483"/>
        <v>1033.6848303622394</v>
      </c>
      <c r="BR349" s="527">
        <f t="shared" si="483"/>
        <v>1033.6848303622394</v>
      </c>
      <c r="BS349" s="527">
        <f t="shared" si="483"/>
        <v>1033.6848303622394</v>
      </c>
      <c r="BT349" s="527">
        <f t="shared" si="483"/>
        <v>1033.6848303622394</v>
      </c>
      <c r="BU349" s="527">
        <f t="shared" si="483"/>
        <v>1033.6848303622394</v>
      </c>
      <c r="BV349" s="527">
        <f t="shared" si="483"/>
        <v>1033.6848303622394</v>
      </c>
      <c r="BW349" s="527">
        <f t="shared" si="483"/>
        <v>1033.6848303622394</v>
      </c>
      <c r="BX349" s="527">
        <f t="shared" si="483"/>
        <v>1033.6848303622394</v>
      </c>
      <c r="BY349" s="527">
        <f t="shared" si="483"/>
        <v>1033.6848303622394</v>
      </c>
    </row>
    <row r="350" spans="3:77" x14ac:dyDescent="0.3">
      <c r="C350" s="2"/>
      <c r="D350" s="2"/>
      <c r="E350" s="129" t="str">
        <f>"Tie release fees: "&amp;E$159</f>
        <v>Tie release fees: FY31 Tranche</v>
      </c>
      <c r="F350" s="2"/>
      <c r="G350" s="2"/>
      <c r="H350" s="2"/>
      <c r="I350" s="2"/>
      <c r="J350" s="2"/>
      <c r="K350" s="2"/>
      <c r="L350" s="2"/>
      <c r="M350" s="2"/>
      <c r="N350" s="2"/>
      <c r="O350" s="2"/>
      <c r="P350" s="10"/>
      <c r="Q350" s="2"/>
      <c r="R350" s="497">
        <f t="shared" ref="R350:AW350" si="484">R$598*$R159</f>
        <v>925.22615103943042</v>
      </c>
      <c r="S350" s="497">
        <f t="shared" si="484"/>
        <v>925.22615103943042</v>
      </c>
      <c r="T350" s="497">
        <f t="shared" si="484"/>
        <v>925.22615103943042</v>
      </c>
      <c r="U350" s="497">
        <f t="shared" si="484"/>
        <v>925.22615103943042</v>
      </c>
      <c r="V350" s="497">
        <f t="shared" si="484"/>
        <v>925.22615103943042</v>
      </c>
      <c r="W350" s="497">
        <f t="shared" si="484"/>
        <v>925.22615103943042</v>
      </c>
      <c r="X350" s="497">
        <f t="shared" si="484"/>
        <v>925.22615103943042</v>
      </c>
      <c r="Y350" s="497">
        <f t="shared" si="484"/>
        <v>925.22615103943042</v>
      </c>
      <c r="Z350" s="497">
        <f t="shared" si="484"/>
        <v>925.22615103943042</v>
      </c>
      <c r="AA350" s="497">
        <f t="shared" si="484"/>
        <v>925.22615103943042</v>
      </c>
      <c r="AB350" s="497">
        <f t="shared" si="484"/>
        <v>925.22615103943042</v>
      </c>
      <c r="AC350" s="497">
        <f t="shared" si="484"/>
        <v>925.22615103943042</v>
      </c>
      <c r="AD350" s="497">
        <f t="shared" si="484"/>
        <v>955.94137787438899</v>
      </c>
      <c r="AE350" s="497">
        <f t="shared" si="484"/>
        <v>955.94137787438899</v>
      </c>
      <c r="AF350" s="497">
        <f t="shared" si="484"/>
        <v>955.94137787438899</v>
      </c>
      <c r="AG350" s="497">
        <f t="shared" si="484"/>
        <v>955.94137787438899</v>
      </c>
      <c r="AH350" s="497">
        <f t="shared" si="484"/>
        <v>955.94137787438899</v>
      </c>
      <c r="AI350" s="497">
        <f t="shared" si="484"/>
        <v>955.94137787438899</v>
      </c>
      <c r="AJ350" s="497">
        <f t="shared" si="484"/>
        <v>955.94137787438899</v>
      </c>
      <c r="AK350" s="497">
        <f t="shared" si="484"/>
        <v>955.94137787438899</v>
      </c>
      <c r="AL350" s="497">
        <f t="shared" si="484"/>
        <v>955.94137787438899</v>
      </c>
      <c r="AM350" s="497">
        <f t="shared" si="484"/>
        <v>955.94137787438899</v>
      </c>
      <c r="AN350" s="527">
        <f t="shared" si="484"/>
        <v>955.94137787438899</v>
      </c>
      <c r="AO350" s="527">
        <f t="shared" si="484"/>
        <v>955.94137787438899</v>
      </c>
      <c r="AP350" s="527">
        <f t="shared" si="484"/>
        <v>986.3877179070671</v>
      </c>
      <c r="AQ350" s="527">
        <f t="shared" si="484"/>
        <v>986.3877179070671</v>
      </c>
      <c r="AR350" s="527">
        <f t="shared" si="484"/>
        <v>986.3877179070671</v>
      </c>
      <c r="AS350" s="527">
        <f t="shared" si="484"/>
        <v>986.3877179070671</v>
      </c>
      <c r="AT350" s="527">
        <f t="shared" si="484"/>
        <v>986.3877179070671</v>
      </c>
      <c r="AU350" s="527">
        <f t="shared" si="484"/>
        <v>986.3877179070671</v>
      </c>
      <c r="AV350" s="527">
        <f t="shared" si="484"/>
        <v>986.3877179070671</v>
      </c>
      <c r="AW350" s="527">
        <f t="shared" si="484"/>
        <v>986.3877179070671</v>
      </c>
      <c r="AX350" s="527">
        <f t="shared" ref="AX350:BY350" si="485">AX$598*$R159</f>
        <v>986.3877179070671</v>
      </c>
      <c r="AY350" s="527">
        <f t="shared" si="485"/>
        <v>986.3877179070671</v>
      </c>
      <c r="AZ350" s="527">
        <f t="shared" si="485"/>
        <v>986.3877179070671</v>
      </c>
      <c r="BA350" s="527">
        <f t="shared" si="485"/>
        <v>986.3877179070671</v>
      </c>
      <c r="BB350" s="527">
        <f t="shared" si="485"/>
        <v>1011.8065240327167</v>
      </c>
      <c r="BC350" s="527">
        <f t="shared" si="485"/>
        <v>1011.8065240327167</v>
      </c>
      <c r="BD350" s="527">
        <f t="shared" si="485"/>
        <v>1011.8065240327167</v>
      </c>
      <c r="BE350" s="527">
        <f t="shared" si="485"/>
        <v>1011.8065240327167</v>
      </c>
      <c r="BF350" s="527">
        <f t="shared" si="485"/>
        <v>1011.8065240327167</v>
      </c>
      <c r="BG350" s="527">
        <f t="shared" si="485"/>
        <v>1011.8065240327167</v>
      </c>
      <c r="BH350" s="527">
        <f t="shared" si="485"/>
        <v>1011.8065240327167</v>
      </c>
      <c r="BI350" s="527">
        <f t="shared" si="485"/>
        <v>1011.8065240327167</v>
      </c>
      <c r="BJ350" s="527">
        <f t="shared" si="485"/>
        <v>1011.8065240327167</v>
      </c>
      <c r="BK350" s="527">
        <f t="shared" si="485"/>
        <v>1011.8065240327167</v>
      </c>
      <c r="BL350" s="527">
        <f t="shared" si="485"/>
        <v>1011.8065240327167</v>
      </c>
      <c r="BM350" s="527">
        <f t="shared" si="485"/>
        <v>1011.8065240327167</v>
      </c>
      <c r="BN350" s="527">
        <f t="shared" si="485"/>
        <v>1033.6848303622394</v>
      </c>
      <c r="BO350" s="527">
        <f t="shared" si="485"/>
        <v>1033.6848303622394</v>
      </c>
      <c r="BP350" s="527">
        <f t="shared" si="485"/>
        <v>1033.6848303622394</v>
      </c>
      <c r="BQ350" s="527">
        <f t="shared" si="485"/>
        <v>1033.6848303622394</v>
      </c>
      <c r="BR350" s="527">
        <f t="shared" si="485"/>
        <v>1033.6848303622394</v>
      </c>
      <c r="BS350" s="527">
        <f t="shared" si="485"/>
        <v>1033.6848303622394</v>
      </c>
      <c r="BT350" s="527">
        <f t="shared" si="485"/>
        <v>1033.6848303622394</v>
      </c>
      <c r="BU350" s="527">
        <f t="shared" si="485"/>
        <v>1033.6848303622394</v>
      </c>
      <c r="BV350" s="527">
        <f t="shared" si="485"/>
        <v>1033.6848303622394</v>
      </c>
      <c r="BW350" s="527">
        <f t="shared" si="485"/>
        <v>1033.6848303622394</v>
      </c>
      <c r="BX350" s="527">
        <f t="shared" si="485"/>
        <v>1033.6848303622394</v>
      </c>
      <c r="BY350" s="527">
        <f t="shared" si="485"/>
        <v>1033.6848303622394</v>
      </c>
    </row>
    <row r="351" spans="3:77" x14ac:dyDescent="0.3">
      <c r="C351" s="2"/>
      <c r="D351" s="2"/>
      <c r="E351" s="129" t="str">
        <f>"Tie release fees: "&amp;E$160</f>
        <v>Tie release fees: Uninvested Tranche</v>
      </c>
      <c r="F351" s="2"/>
      <c r="G351" s="2"/>
      <c r="H351" s="2"/>
      <c r="I351" s="2"/>
      <c r="J351" s="2"/>
      <c r="K351" s="2"/>
      <c r="L351" s="2"/>
      <c r="M351" s="2"/>
      <c r="N351" s="2"/>
      <c r="O351" s="2"/>
      <c r="P351" s="10"/>
      <c r="Q351" s="2"/>
      <c r="R351" s="497">
        <f t="shared" ref="R351:AW351" si="486">R$598*$R160</f>
        <v>2590.633222910405</v>
      </c>
      <c r="S351" s="497">
        <f t="shared" si="486"/>
        <v>2590.633222910405</v>
      </c>
      <c r="T351" s="497">
        <f t="shared" si="486"/>
        <v>2590.633222910405</v>
      </c>
      <c r="U351" s="497">
        <f t="shared" si="486"/>
        <v>2590.633222910405</v>
      </c>
      <c r="V351" s="497">
        <f t="shared" si="486"/>
        <v>2590.633222910405</v>
      </c>
      <c r="W351" s="497">
        <f t="shared" si="486"/>
        <v>2590.633222910405</v>
      </c>
      <c r="X351" s="497">
        <f t="shared" si="486"/>
        <v>2590.633222910405</v>
      </c>
      <c r="Y351" s="497">
        <f t="shared" si="486"/>
        <v>2590.633222910405</v>
      </c>
      <c r="Z351" s="497">
        <f t="shared" si="486"/>
        <v>2590.633222910405</v>
      </c>
      <c r="AA351" s="497">
        <f t="shared" si="486"/>
        <v>2590.633222910405</v>
      </c>
      <c r="AB351" s="497">
        <f t="shared" si="486"/>
        <v>2590.633222910405</v>
      </c>
      <c r="AC351" s="497">
        <f t="shared" si="486"/>
        <v>2590.633222910405</v>
      </c>
      <c r="AD351" s="497">
        <f t="shared" si="486"/>
        <v>2676.6358580482893</v>
      </c>
      <c r="AE351" s="497">
        <f t="shared" si="486"/>
        <v>2676.6358580482893</v>
      </c>
      <c r="AF351" s="497">
        <f t="shared" si="486"/>
        <v>2676.6358580482893</v>
      </c>
      <c r="AG351" s="497">
        <f t="shared" si="486"/>
        <v>2676.6358580482893</v>
      </c>
      <c r="AH351" s="497">
        <f t="shared" si="486"/>
        <v>2676.6358580482893</v>
      </c>
      <c r="AI351" s="497">
        <f t="shared" si="486"/>
        <v>2676.6358580482893</v>
      </c>
      <c r="AJ351" s="497">
        <f t="shared" si="486"/>
        <v>2676.6358580482893</v>
      </c>
      <c r="AK351" s="497">
        <f t="shared" si="486"/>
        <v>2676.6358580482893</v>
      </c>
      <c r="AL351" s="497">
        <f t="shared" si="486"/>
        <v>2676.6358580482893</v>
      </c>
      <c r="AM351" s="497">
        <f t="shared" si="486"/>
        <v>2676.6358580482893</v>
      </c>
      <c r="AN351" s="527">
        <f t="shared" si="486"/>
        <v>2676.6358580482893</v>
      </c>
      <c r="AO351" s="527">
        <f t="shared" si="486"/>
        <v>2676.6358580482893</v>
      </c>
      <c r="AP351" s="527">
        <f t="shared" si="486"/>
        <v>2761.8856101397878</v>
      </c>
      <c r="AQ351" s="527">
        <f t="shared" si="486"/>
        <v>2761.8856101397878</v>
      </c>
      <c r="AR351" s="527">
        <f t="shared" si="486"/>
        <v>2761.8856101397878</v>
      </c>
      <c r="AS351" s="527">
        <f t="shared" si="486"/>
        <v>2761.8856101397878</v>
      </c>
      <c r="AT351" s="527">
        <f t="shared" si="486"/>
        <v>2761.8856101397878</v>
      </c>
      <c r="AU351" s="527">
        <f t="shared" si="486"/>
        <v>2761.8856101397878</v>
      </c>
      <c r="AV351" s="527">
        <f t="shared" si="486"/>
        <v>2761.8856101397878</v>
      </c>
      <c r="AW351" s="527">
        <f t="shared" si="486"/>
        <v>2761.8856101397878</v>
      </c>
      <c r="AX351" s="527">
        <f t="shared" ref="AX351:BY351" si="487">AX$598*$R160</f>
        <v>2761.8856101397878</v>
      </c>
      <c r="AY351" s="527">
        <f t="shared" si="487"/>
        <v>2761.8856101397878</v>
      </c>
      <c r="AZ351" s="527">
        <f t="shared" si="487"/>
        <v>2761.8856101397878</v>
      </c>
      <c r="BA351" s="527">
        <f t="shared" si="487"/>
        <v>2761.8856101397878</v>
      </c>
      <c r="BB351" s="527">
        <f t="shared" si="487"/>
        <v>2833.0582672916066</v>
      </c>
      <c r="BC351" s="527">
        <f t="shared" si="487"/>
        <v>2833.0582672916066</v>
      </c>
      <c r="BD351" s="527">
        <f t="shared" si="487"/>
        <v>2833.0582672916066</v>
      </c>
      <c r="BE351" s="527">
        <f t="shared" si="487"/>
        <v>2833.0582672916066</v>
      </c>
      <c r="BF351" s="527">
        <f t="shared" si="487"/>
        <v>2833.0582672916066</v>
      </c>
      <c r="BG351" s="527">
        <f t="shared" si="487"/>
        <v>2833.0582672916066</v>
      </c>
      <c r="BH351" s="527">
        <f t="shared" si="487"/>
        <v>2833.0582672916066</v>
      </c>
      <c r="BI351" s="527">
        <f t="shared" si="487"/>
        <v>2833.0582672916066</v>
      </c>
      <c r="BJ351" s="527">
        <f t="shared" si="487"/>
        <v>2833.0582672916066</v>
      </c>
      <c r="BK351" s="527">
        <f t="shared" si="487"/>
        <v>2833.0582672916066</v>
      </c>
      <c r="BL351" s="527">
        <f t="shared" si="487"/>
        <v>2833.0582672916066</v>
      </c>
      <c r="BM351" s="527">
        <f t="shared" si="487"/>
        <v>2833.0582672916066</v>
      </c>
      <c r="BN351" s="527">
        <f t="shared" si="487"/>
        <v>2894.3175250142704</v>
      </c>
      <c r="BO351" s="527">
        <f t="shared" si="487"/>
        <v>2894.3175250142704</v>
      </c>
      <c r="BP351" s="527">
        <f t="shared" si="487"/>
        <v>2894.3175250142704</v>
      </c>
      <c r="BQ351" s="527">
        <f t="shared" si="487"/>
        <v>2894.3175250142704</v>
      </c>
      <c r="BR351" s="527">
        <f t="shared" si="487"/>
        <v>2894.3175250142704</v>
      </c>
      <c r="BS351" s="527">
        <f t="shared" si="487"/>
        <v>2894.3175250142704</v>
      </c>
      <c r="BT351" s="527">
        <f t="shared" si="487"/>
        <v>2894.3175250142704</v>
      </c>
      <c r="BU351" s="527">
        <f t="shared" si="487"/>
        <v>2894.3175250142704</v>
      </c>
      <c r="BV351" s="527">
        <f t="shared" si="487"/>
        <v>2894.3175250142704</v>
      </c>
      <c r="BW351" s="527">
        <f t="shared" si="487"/>
        <v>2894.3175250142704</v>
      </c>
      <c r="BX351" s="527">
        <f t="shared" si="487"/>
        <v>2894.3175250142704</v>
      </c>
      <c r="BY351" s="527">
        <f t="shared" si="487"/>
        <v>2894.3175250142704</v>
      </c>
    </row>
    <row r="352" spans="3:77" x14ac:dyDescent="0.3">
      <c r="C352" s="2"/>
      <c r="D352" s="2"/>
      <c r="E352" s="4" t="s">
        <v>36</v>
      </c>
      <c r="F352" s="4"/>
      <c r="G352" s="4"/>
      <c r="H352" s="4"/>
      <c r="I352" s="4"/>
      <c r="J352" s="4"/>
      <c r="K352" s="4"/>
      <c r="L352" s="4"/>
      <c r="M352" s="4"/>
      <c r="N352" s="4"/>
      <c r="O352" s="4"/>
      <c r="P352" s="106"/>
      <c r="Q352" s="4"/>
      <c r="R352" s="498">
        <f t="shared" ref="R352:AW352" si="488">SUM(R346:R351)</f>
        <v>7216.7639781075577</v>
      </c>
      <c r="S352" s="498">
        <f t="shared" si="488"/>
        <v>7216.7639781075577</v>
      </c>
      <c r="T352" s="498">
        <f t="shared" si="488"/>
        <v>7216.7639781075577</v>
      </c>
      <c r="U352" s="498">
        <f t="shared" si="488"/>
        <v>7216.7639781075577</v>
      </c>
      <c r="V352" s="498">
        <f t="shared" si="488"/>
        <v>7216.7639781075577</v>
      </c>
      <c r="W352" s="498">
        <f t="shared" si="488"/>
        <v>7216.7639781075577</v>
      </c>
      <c r="X352" s="498">
        <f t="shared" si="488"/>
        <v>7216.7639781075577</v>
      </c>
      <c r="Y352" s="498">
        <f t="shared" si="488"/>
        <v>7216.7639781075577</v>
      </c>
      <c r="Z352" s="498">
        <f t="shared" si="488"/>
        <v>7216.7639781075577</v>
      </c>
      <c r="AA352" s="498">
        <f t="shared" si="488"/>
        <v>7216.7639781075577</v>
      </c>
      <c r="AB352" s="498">
        <f t="shared" si="488"/>
        <v>7216.7639781075577</v>
      </c>
      <c r="AC352" s="498">
        <f t="shared" si="488"/>
        <v>7216.7639781075577</v>
      </c>
      <c r="AD352" s="498">
        <f t="shared" si="488"/>
        <v>7456.3427474202344</v>
      </c>
      <c r="AE352" s="498">
        <f t="shared" si="488"/>
        <v>7456.3427474202344</v>
      </c>
      <c r="AF352" s="498">
        <f t="shared" si="488"/>
        <v>7456.3427474202344</v>
      </c>
      <c r="AG352" s="498">
        <f t="shared" si="488"/>
        <v>7456.3427474202344</v>
      </c>
      <c r="AH352" s="498">
        <f t="shared" si="488"/>
        <v>7456.3427474202344</v>
      </c>
      <c r="AI352" s="498">
        <f t="shared" si="488"/>
        <v>7456.3427474202344</v>
      </c>
      <c r="AJ352" s="498">
        <f t="shared" si="488"/>
        <v>7456.3427474202344</v>
      </c>
      <c r="AK352" s="498">
        <f t="shared" si="488"/>
        <v>7456.3427474202344</v>
      </c>
      <c r="AL352" s="498">
        <f t="shared" si="488"/>
        <v>7456.3427474202344</v>
      </c>
      <c r="AM352" s="498">
        <f t="shared" si="488"/>
        <v>7456.3427474202344</v>
      </c>
      <c r="AN352" s="530">
        <f t="shared" si="488"/>
        <v>7456.3427474202344</v>
      </c>
      <c r="AO352" s="530">
        <f t="shared" si="488"/>
        <v>7456.3427474202344</v>
      </c>
      <c r="AP352" s="530">
        <f t="shared" si="488"/>
        <v>7693.8241996751231</v>
      </c>
      <c r="AQ352" s="530">
        <f t="shared" si="488"/>
        <v>7693.8241996751231</v>
      </c>
      <c r="AR352" s="530">
        <f t="shared" si="488"/>
        <v>7693.8241996751231</v>
      </c>
      <c r="AS352" s="530">
        <f t="shared" si="488"/>
        <v>7693.8241996751231</v>
      </c>
      <c r="AT352" s="530">
        <f t="shared" si="488"/>
        <v>7693.8241996751231</v>
      </c>
      <c r="AU352" s="530">
        <f t="shared" si="488"/>
        <v>7693.8241996751231</v>
      </c>
      <c r="AV352" s="530">
        <f t="shared" si="488"/>
        <v>7693.8241996751231</v>
      </c>
      <c r="AW352" s="530">
        <f t="shared" si="488"/>
        <v>7693.8241996751231</v>
      </c>
      <c r="AX352" s="530">
        <f t="shared" ref="AX352:BY352" si="489">SUM(AX346:AX351)</f>
        <v>7693.8241996751231</v>
      </c>
      <c r="AY352" s="530">
        <f t="shared" si="489"/>
        <v>7693.8241996751231</v>
      </c>
      <c r="AZ352" s="530">
        <f t="shared" si="489"/>
        <v>7693.8241996751231</v>
      </c>
      <c r="BA352" s="530">
        <f t="shared" si="489"/>
        <v>7693.8241996751231</v>
      </c>
      <c r="BB352" s="530">
        <f t="shared" si="489"/>
        <v>7892.0908874551897</v>
      </c>
      <c r="BC352" s="530">
        <f t="shared" si="489"/>
        <v>7892.0908874551897</v>
      </c>
      <c r="BD352" s="530">
        <f t="shared" si="489"/>
        <v>7892.0908874551897</v>
      </c>
      <c r="BE352" s="530">
        <f t="shared" si="489"/>
        <v>7892.0908874551897</v>
      </c>
      <c r="BF352" s="530">
        <f t="shared" si="489"/>
        <v>7892.0908874551897</v>
      </c>
      <c r="BG352" s="530">
        <f t="shared" si="489"/>
        <v>7892.0908874551897</v>
      </c>
      <c r="BH352" s="530">
        <f t="shared" si="489"/>
        <v>7892.0908874551897</v>
      </c>
      <c r="BI352" s="530">
        <f t="shared" si="489"/>
        <v>7892.0908874551897</v>
      </c>
      <c r="BJ352" s="530">
        <f t="shared" si="489"/>
        <v>7892.0908874551897</v>
      </c>
      <c r="BK352" s="530">
        <f t="shared" si="489"/>
        <v>7892.0908874551897</v>
      </c>
      <c r="BL352" s="530">
        <f t="shared" si="489"/>
        <v>7892.0908874551897</v>
      </c>
      <c r="BM352" s="530">
        <f t="shared" si="489"/>
        <v>7892.0908874551897</v>
      </c>
      <c r="BN352" s="530">
        <f t="shared" si="489"/>
        <v>8062.741676825467</v>
      </c>
      <c r="BO352" s="530">
        <f t="shared" si="489"/>
        <v>8062.741676825467</v>
      </c>
      <c r="BP352" s="530">
        <f t="shared" si="489"/>
        <v>8062.741676825467</v>
      </c>
      <c r="BQ352" s="530">
        <f t="shared" si="489"/>
        <v>8062.741676825467</v>
      </c>
      <c r="BR352" s="530">
        <f t="shared" si="489"/>
        <v>8062.741676825467</v>
      </c>
      <c r="BS352" s="530">
        <f t="shared" si="489"/>
        <v>8062.741676825467</v>
      </c>
      <c r="BT352" s="530">
        <f t="shared" si="489"/>
        <v>8062.741676825467</v>
      </c>
      <c r="BU352" s="530">
        <f t="shared" si="489"/>
        <v>8062.741676825467</v>
      </c>
      <c r="BV352" s="530">
        <f t="shared" si="489"/>
        <v>8062.741676825467</v>
      </c>
      <c r="BW352" s="530">
        <f t="shared" si="489"/>
        <v>8062.741676825467</v>
      </c>
      <c r="BX352" s="530">
        <f t="shared" si="489"/>
        <v>8062.741676825467</v>
      </c>
      <c r="BY352" s="530">
        <f t="shared" si="489"/>
        <v>8062.741676825467</v>
      </c>
    </row>
    <row r="353" spans="3:77" x14ac:dyDescent="0.3">
      <c r="C353" s="2"/>
      <c r="D353" s="2"/>
      <c r="E353" s="2"/>
      <c r="F353" s="2"/>
      <c r="G353" s="2"/>
      <c r="H353" s="2"/>
      <c r="I353" s="2"/>
      <c r="J353" s="2"/>
      <c r="K353" s="2"/>
      <c r="L353" s="2"/>
      <c r="M353" s="2"/>
      <c r="N353" s="2"/>
      <c r="O353" s="2"/>
      <c r="P353" s="10"/>
      <c r="Q353" s="2"/>
      <c r="R353" s="130"/>
      <c r="S353" s="2"/>
      <c r="T353" s="2"/>
      <c r="U353" s="2"/>
      <c r="V353" s="2"/>
      <c r="W353" s="2"/>
      <c r="X353" s="2"/>
      <c r="Y353" s="2"/>
      <c r="Z353" s="2"/>
      <c r="AA353" s="2"/>
      <c r="AB353" s="2"/>
      <c r="AC353" s="2"/>
      <c r="AD353" s="2"/>
      <c r="AE353" s="2"/>
      <c r="AF353" s="2"/>
      <c r="AG353" s="2"/>
      <c r="AH353" s="2"/>
      <c r="AI353" s="2"/>
      <c r="AJ353" s="2"/>
      <c r="AK353" s="2"/>
      <c r="AL353" s="2"/>
      <c r="AM353" s="2"/>
      <c r="AN353" s="525"/>
      <c r="AO353" s="525"/>
      <c r="AP353" s="525"/>
      <c r="AQ353" s="525"/>
      <c r="AR353" s="525"/>
      <c r="AS353" s="525"/>
      <c r="AT353" s="525"/>
      <c r="AU353" s="525"/>
      <c r="AV353" s="525"/>
      <c r="AW353" s="525"/>
      <c r="AX353" s="525"/>
      <c r="AY353" s="525"/>
      <c r="AZ353" s="525"/>
      <c r="BA353" s="525"/>
      <c r="BB353" s="525"/>
      <c r="BC353" s="525"/>
      <c r="BD353" s="525"/>
      <c r="BE353" s="525"/>
      <c r="BF353" s="525"/>
      <c r="BG353" s="525"/>
      <c r="BH353" s="525"/>
      <c r="BI353" s="525"/>
      <c r="BJ353" s="525"/>
      <c r="BK353" s="525"/>
      <c r="BL353" s="525"/>
      <c r="BM353" s="525"/>
      <c r="BN353" s="525"/>
      <c r="BO353" s="525"/>
      <c r="BP353" s="525"/>
      <c r="BQ353" s="525"/>
      <c r="BR353" s="525"/>
      <c r="BS353" s="525"/>
      <c r="BT353" s="525"/>
      <c r="BU353" s="525"/>
      <c r="BV353" s="525"/>
      <c r="BW353" s="525"/>
      <c r="BX353" s="525"/>
      <c r="BY353" s="525"/>
    </row>
    <row r="354" spans="3:77" x14ac:dyDescent="0.3">
      <c r="C354" s="24" t="s">
        <v>37</v>
      </c>
      <c r="D354" s="2"/>
      <c r="E354" s="14" t="s">
        <v>27</v>
      </c>
      <c r="F354" s="14"/>
      <c r="G354" s="14"/>
      <c r="H354" s="14"/>
      <c r="I354" s="14"/>
      <c r="J354" s="14"/>
      <c r="K354" s="14"/>
      <c r="L354" s="14"/>
      <c r="M354" s="14"/>
      <c r="N354" s="14"/>
      <c r="O354" s="14"/>
      <c r="P354" s="24"/>
      <c r="Q354" s="14"/>
      <c r="R354" s="14"/>
      <c r="S354" s="14"/>
      <c r="T354" s="14"/>
      <c r="U354" s="14"/>
      <c r="V354" s="14"/>
      <c r="W354" s="14"/>
      <c r="X354" s="14"/>
      <c r="Y354" s="14"/>
      <c r="Z354" s="14"/>
      <c r="AA354" s="14"/>
      <c r="AB354" s="14"/>
      <c r="AC354" s="14"/>
      <c r="AD354" s="14"/>
      <c r="AE354" s="14"/>
      <c r="AF354" s="14"/>
      <c r="AG354" s="14"/>
      <c r="AH354" s="14"/>
      <c r="AI354" s="14"/>
      <c r="AJ354" s="14"/>
      <c r="AK354" s="14"/>
      <c r="AL354" s="14"/>
      <c r="AM354" s="14"/>
      <c r="AN354" s="538"/>
      <c r="AO354" s="538"/>
      <c r="AP354" s="538"/>
      <c r="AQ354" s="538"/>
      <c r="AR354" s="538"/>
      <c r="AS354" s="538"/>
      <c r="AT354" s="538"/>
      <c r="AU354" s="538"/>
      <c r="AV354" s="538"/>
      <c r="AW354" s="538"/>
      <c r="AX354" s="538"/>
      <c r="AY354" s="538"/>
      <c r="AZ354" s="538"/>
      <c r="BA354" s="538"/>
      <c r="BB354" s="538"/>
      <c r="BC354" s="538"/>
      <c r="BD354" s="538"/>
      <c r="BE354" s="538"/>
      <c r="BF354" s="538"/>
      <c r="BG354" s="538"/>
      <c r="BH354" s="538"/>
      <c r="BI354" s="538"/>
      <c r="BJ354" s="538"/>
      <c r="BK354" s="538"/>
      <c r="BL354" s="538"/>
      <c r="BM354" s="538"/>
      <c r="BN354" s="538"/>
      <c r="BO354" s="538"/>
      <c r="BP354" s="538"/>
      <c r="BQ354" s="538"/>
      <c r="BR354" s="538"/>
      <c r="BS354" s="538"/>
      <c r="BT354" s="538"/>
      <c r="BU354" s="538"/>
      <c r="BV354" s="538"/>
      <c r="BW354" s="538"/>
      <c r="BX354" s="538"/>
      <c r="BY354" s="538"/>
    </row>
    <row r="355" spans="3:77" x14ac:dyDescent="0.3">
      <c r="C355" s="2"/>
      <c r="D355" s="2"/>
      <c r="E355" s="2"/>
      <c r="F355" s="2"/>
      <c r="G355" s="2"/>
      <c r="H355" s="2"/>
      <c r="I355" s="2"/>
      <c r="J355" s="2"/>
      <c r="K355" s="2"/>
      <c r="L355" s="2"/>
      <c r="M355" s="2"/>
      <c r="N355" s="2"/>
      <c r="O355" s="2"/>
      <c r="P355" s="10"/>
      <c r="Q355" s="2"/>
      <c r="R355" s="2"/>
      <c r="S355" s="2"/>
      <c r="T355" s="2"/>
      <c r="U355" s="2"/>
      <c r="V355" s="2"/>
      <c r="W355" s="2"/>
      <c r="X355" s="2"/>
      <c r="Y355" s="2"/>
      <c r="Z355" s="2"/>
      <c r="AA355" s="2"/>
      <c r="AB355" s="2"/>
      <c r="AC355" s="2"/>
      <c r="AD355" s="2"/>
      <c r="AE355" s="2"/>
      <c r="AF355" s="2"/>
      <c r="AG355" s="2"/>
      <c r="AH355" s="2"/>
      <c r="AI355" s="2"/>
      <c r="AJ355" s="2"/>
      <c r="AK355" s="2"/>
      <c r="AL355" s="2"/>
      <c r="AM355" s="2"/>
      <c r="AN355" s="525"/>
      <c r="AO355" s="525"/>
      <c r="AP355" s="525"/>
      <c r="AQ355" s="525"/>
      <c r="AR355" s="525"/>
      <c r="AS355" s="525"/>
      <c r="AT355" s="525"/>
      <c r="AU355" s="525"/>
      <c r="AV355" s="525"/>
      <c r="AW355" s="525"/>
      <c r="AX355" s="525"/>
      <c r="AY355" s="525"/>
      <c r="AZ355" s="525"/>
      <c r="BA355" s="525"/>
      <c r="BB355" s="525"/>
      <c r="BC355" s="525"/>
      <c r="BD355" s="525"/>
      <c r="BE355" s="525"/>
      <c r="BF355" s="525"/>
      <c r="BG355" s="525"/>
      <c r="BH355" s="525"/>
      <c r="BI355" s="525"/>
      <c r="BJ355" s="525"/>
      <c r="BK355" s="525"/>
      <c r="BL355" s="525"/>
      <c r="BM355" s="525"/>
      <c r="BN355" s="525"/>
      <c r="BO355" s="525"/>
      <c r="BP355" s="525"/>
      <c r="BQ355" s="525"/>
      <c r="BR355" s="525"/>
      <c r="BS355" s="525"/>
      <c r="BT355" s="525"/>
      <c r="BU355" s="525"/>
      <c r="BV355" s="525"/>
      <c r="BW355" s="525"/>
      <c r="BX355" s="525"/>
      <c r="BY355" s="525"/>
    </row>
    <row r="356" spans="3:77" x14ac:dyDescent="0.3">
      <c r="C356" s="2"/>
      <c r="D356" s="2"/>
      <c r="E356" s="108" t="s">
        <v>110</v>
      </c>
      <c r="F356" s="109"/>
      <c r="G356" s="109"/>
      <c r="H356" s="109"/>
      <c r="I356" s="109"/>
      <c r="J356" s="109"/>
      <c r="K356" s="109"/>
      <c r="L356" s="109"/>
      <c r="M356" s="109"/>
      <c r="N356" s="109"/>
      <c r="O356" s="109"/>
      <c r="P356" s="110"/>
      <c r="Q356" s="109"/>
      <c r="R356" s="109"/>
      <c r="S356" s="109"/>
      <c r="T356" s="109"/>
      <c r="U356" s="109"/>
      <c r="V356" s="109"/>
      <c r="W356" s="109"/>
      <c r="X356" s="109"/>
      <c r="Y356" s="109"/>
      <c r="Z356" s="109"/>
      <c r="AA356" s="109"/>
      <c r="AB356" s="109"/>
      <c r="AC356" s="109"/>
      <c r="AD356" s="109"/>
      <c r="AE356" s="109"/>
      <c r="AF356" s="109"/>
      <c r="AG356" s="109"/>
      <c r="AH356" s="109"/>
      <c r="AI356" s="109"/>
      <c r="AJ356" s="109"/>
      <c r="AK356" s="109"/>
      <c r="AL356" s="109"/>
      <c r="AM356" s="109"/>
      <c r="AN356" s="539"/>
      <c r="AO356" s="539"/>
      <c r="AP356" s="539"/>
      <c r="AQ356" s="539"/>
      <c r="AR356" s="539"/>
      <c r="AS356" s="539"/>
      <c r="AT356" s="539"/>
      <c r="AU356" s="539"/>
      <c r="AV356" s="539"/>
      <c r="AW356" s="539"/>
      <c r="AX356" s="539"/>
      <c r="AY356" s="539"/>
      <c r="AZ356" s="539"/>
      <c r="BA356" s="539"/>
      <c r="BB356" s="539"/>
      <c r="BC356" s="539"/>
      <c r="BD356" s="539"/>
      <c r="BE356" s="539"/>
      <c r="BF356" s="539"/>
      <c r="BG356" s="539"/>
      <c r="BH356" s="539"/>
      <c r="BI356" s="539"/>
      <c r="BJ356" s="539"/>
      <c r="BK356" s="539"/>
      <c r="BL356" s="539"/>
      <c r="BM356" s="539"/>
      <c r="BN356" s="539"/>
      <c r="BO356" s="539"/>
      <c r="BP356" s="539"/>
      <c r="BQ356" s="539"/>
      <c r="BR356" s="539"/>
      <c r="BS356" s="539"/>
      <c r="BT356" s="539"/>
      <c r="BU356" s="539"/>
      <c r="BV356" s="539"/>
      <c r="BW356" s="539"/>
      <c r="BX356" s="539"/>
      <c r="BY356" s="539"/>
    </row>
    <row r="357" spans="3:77" x14ac:dyDescent="0.3">
      <c r="C357" s="2"/>
      <c r="D357" s="2"/>
      <c r="E357" s="2"/>
      <c r="F357" s="2"/>
      <c r="G357" s="2"/>
      <c r="H357" s="2"/>
      <c r="I357" s="2"/>
      <c r="J357" s="2"/>
      <c r="K357" s="2"/>
      <c r="L357" s="2"/>
      <c r="M357" s="2"/>
      <c r="N357" s="2"/>
      <c r="O357" s="2"/>
      <c r="P357" s="10"/>
      <c r="Q357" s="2"/>
      <c r="R357" s="2"/>
      <c r="S357" s="2"/>
      <c r="T357" s="2"/>
      <c r="U357" s="2"/>
      <c r="V357" s="2"/>
      <c r="W357" s="2"/>
      <c r="X357" s="2"/>
      <c r="Y357" s="2"/>
      <c r="Z357" s="2"/>
      <c r="AA357" s="2"/>
      <c r="AB357" s="2"/>
      <c r="AC357" s="2"/>
      <c r="AD357" s="2"/>
      <c r="AE357" s="2"/>
      <c r="AF357" s="2"/>
      <c r="AG357" s="2"/>
      <c r="AH357" s="2"/>
      <c r="AI357" s="2"/>
      <c r="AJ357" s="2"/>
      <c r="AK357" s="2"/>
      <c r="AL357" s="2"/>
      <c r="AM357" s="2"/>
      <c r="AN357" s="525"/>
      <c r="AO357" s="525"/>
      <c r="AP357" s="525"/>
      <c r="AQ357" s="525"/>
      <c r="AR357" s="525"/>
      <c r="AS357" s="525"/>
      <c r="AT357" s="525"/>
      <c r="AU357" s="525"/>
      <c r="AV357" s="525"/>
      <c r="AW357" s="525"/>
      <c r="AX357" s="525"/>
      <c r="AY357" s="525"/>
      <c r="AZ357" s="525"/>
      <c r="BA357" s="525"/>
      <c r="BB357" s="525"/>
      <c r="BC357" s="525"/>
      <c r="BD357" s="525"/>
      <c r="BE357" s="525"/>
      <c r="BF357" s="525"/>
      <c r="BG357" s="525"/>
      <c r="BH357" s="525"/>
      <c r="BI357" s="525"/>
      <c r="BJ357" s="525"/>
      <c r="BK357" s="525"/>
      <c r="BL357" s="525"/>
      <c r="BM357" s="525"/>
      <c r="BN357" s="525"/>
      <c r="BO357" s="525"/>
      <c r="BP357" s="525"/>
      <c r="BQ357" s="525"/>
      <c r="BR357" s="525"/>
      <c r="BS357" s="525"/>
      <c r="BT357" s="525"/>
      <c r="BU357" s="525"/>
      <c r="BV357" s="525"/>
      <c r="BW357" s="525"/>
      <c r="BX357" s="525"/>
      <c r="BY357" s="525"/>
    </row>
    <row r="358" spans="3:77" x14ac:dyDescent="0.3">
      <c r="C358" s="2"/>
      <c r="D358" s="2"/>
      <c r="E358" s="131" t="str">
        <f>"Other income: "&amp;E$155</f>
        <v>Other income: FY27 Tranche</v>
      </c>
      <c r="F358" s="2"/>
      <c r="G358" s="2"/>
      <c r="H358" s="2"/>
      <c r="I358" s="2"/>
      <c r="J358" s="2"/>
      <c r="K358" s="2"/>
      <c r="L358" s="2"/>
      <c r="M358" s="2"/>
      <c r="N358" s="2"/>
      <c r="O358" s="2"/>
      <c r="P358" s="10"/>
      <c r="Q358" s="2"/>
      <c r="R358" s="497">
        <f t="shared" ref="R358:AW358" si="490">R$602*$R155</f>
        <v>1.2851495726495723</v>
      </c>
      <c r="S358" s="497">
        <f t="shared" si="490"/>
        <v>1.2851495726495723</v>
      </c>
      <c r="T358" s="497">
        <f t="shared" si="490"/>
        <v>1.2851495726495723</v>
      </c>
      <c r="U358" s="497">
        <f t="shared" si="490"/>
        <v>1.2851495726495723</v>
      </c>
      <c r="V358" s="497">
        <f t="shared" si="490"/>
        <v>1.2851495726495723</v>
      </c>
      <c r="W358" s="497">
        <f t="shared" si="490"/>
        <v>1.2851495726495723</v>
      </c>
      <c r="X358" s="497">
        <f t="shared" si="490"/>
        <v>1.2851495726495723</v>
      </c>
      <c r="Y358" s="497">
        <f t="shared" si="490"/>
        <v>1.2851495726495723</v>
      </c>
      <c r="Z358" s="497">
        <f t="shared" si="490"/>
        <v>1.2851495726495723</v>
      </c>
      <c r="AA358" s="497">
        <f t="shared" si="490"/>
        <v>1.2851495726495723</v>
      </c>
      <c r="AB358" s="497">
        <f t="shared" si="490"/>
        <v>1.2851495726495723</v>
      </c>
      <c r="AC358" s="497">
        <f t="shared" si="490"/>
        <v>1.2851495726495723</v>
      </c>
      <c r="AD358" s="497">
        <f t="shared" si="490"/>
        <v>1.2851495726495723</v>
      </c>
      <c r="AE358" s="497">
        <f t="shared" si="490"/>
        <v>1.2851495726495723</v>
      </c>
      <c r="AF358" s="497">
        <f t="shared" si="490"/>
        <v>1.2851495726495723</v>
      </c>
      <c r="AG358" s="497">
        <f t="shared" si="490"/>
        <v>1.2851495726495723</v>
      </c>
      <c r="AH358" s="497">
        <f t="shared" si="490"/>
        <v>1.2851495726495723</v>
      </c>
      <c r="AI358" s="497">
        <f t="shared" si="490"/>
        <v>1.2851495726495723</v>
      </c>
      <c r="AJ358" s="497">
        <f t="shared" si="490"/>
        <v>1.2851495726495723</v>
      </c>
      <c r="AK358" s="497">
        <f t="shared" si="490"/>
        <v>1.2851495726495723</v>
      </c>
      <c r="AL358" s="497">
        <f t="shared" si="490"/>
        <v>1.2851495726495723</v>
      </c>
      <c r="AM358" s="497">
        <f t="shared" si="490"/>
        <v>1.2851495726495723</v>
      </c>
      <c r="AN358" s="527">
        <f t="shared" si="490"/>
        <v>1.2851495726495723</v>
      </c>
      <c r="AO358" s="527">
        <f t="shared" si="490"/>
        <v>1.2851495726495723</v>
      </c>
      <c r="AP358" s="527">
        <f t="shared" si="490"/>
        <v>1.2851495726495723</v>
      </c>
      <c r="AQ358" s="527">
        <f t="shared" si="490"/>
        <v>1.2851495726495723</v>
      </c>
      <c r="AR358" s="527">
        <f t="shared" si="490"/>
        <v>1.2851495726495723</v>
      </c>
      <c r="AS358" s="527">
        <f t="shared" si="490"/>
        <v>1.2851495726495723</v>
      </c>
      <c r="AT358" s="527">
        <f t="shared" si="490"/>
        <v>1.2851495726495723</v>
      </c>
      <c r="AU358" s="527">
        <f t="shared" si="490"/>
        <v>1.2851495726495723</v>
      </c>
      <c r="AV358" s="527">
        <f t="shared" si="490"/>
        <v>1.2851495726495723</v>
      </c>
      <c r="AW358" s="527">
        <f t="shared" si="490"/>
        <v>1.2851495726495723</v>
      </c>
      <c r="AX358" s="527">
        <f t="shared" ref="AX358:BY358" si="491">AX$602*$R155</f>
        <v>1.2851495726495723</v>
      </c>
      <c r="AY358" s="527">
        <f t="shared" si="491"/>
        <v>1.2851495726495723</v>
      </c>
      <c r="AZ358" s="527">
        <f t="shared" si="491"/>
        <v>1.2851495726495723</v>
      </c>
      <c r="BA358" s="527">
        <f t="shared" si="491"/>
        <v>1.2851495726495723</v>
      </c>
      <c r="BB358" s="527">
        <f t="shared" si="491"/>
        <v>1.2851495726495723</v>
      </c>
      <c r="BC358" s="527">
        <f t="shared" si="491"/>
        <v>1.2851495726495723</v>
      </c>
      <c r="BD358" s="527">
        <f t="shared" si="491"/>
        <v>1.2851495726495723</v>
      </c>
      <c r="BE358" s="527">
        <f t="shared" si="491"/>
        <v>1.2851495726495723</v>
      </c>
      <c r="BF358" s="527">
        <f t="shared" si="491"/>
        <v>1.2851495726495723</v>
      </c>
      <c r="BG358" s="527">
        <f t="shared" si="491"/>
        <v>1.2851495726495723</v>
      </c>
      <c r="BH358" s="527">
        <f t="shared" si="491"/>
        <v>1.2851495726495723</v>
      </c>
      <c r="BI358" s="527">
        <f t="shared" si="491"/>
        <v>1.2851495726495723</v>
      </c>
      <c r="BJ358" s="527">
        <f t="shared" si="491"/>
        <v>1.2851495726495723</v>
      </c>
      <c r="BK358" s="527">
        <f t="shared" si="491"/>
        <v>1.2851495726495723</v>
      </c>
      <c r="BL358" s="527">
        <f t="shared" si="491"/>
        <v>1.2851495726495723</v>
      </c>
      <c r="BM358" s="527">
        <f t="shared" si="491"/>
        <v>1.2851495726495723</v>
      </c>
      <c r="BN358" s="527">
        <f t="shared" si="491"/>
        <v>1.2851495726495723</v>
      </c>
      <c r="BO358" s="527">
        <f t="shared" si="491"/>
        <v>1.2851495726495723</v>
      </c>
      <c r="BP358" s="527">
        <f t="shared" si="491"/>
        <v>1.2851495726495723</v>
      </c>
      <c r="BQ358" s="527">
        <f t="shared" si="491"/>
        <v>1.2851495726495723</v>
      </c>
      <c r="BR358" s="527">
        <f t="shared" si="491"/>
        <v>1.2851495726495723</v>
      </c>
      <c r="BS358" s="527">
        <f t="shared" si="491"/>
        <v>1.2851495726495723</v>
      </c>
      <c r="BT358" s="527">
        <f t="shared" si="491"/>
        <v>1.2851495726495723</v>
      </c>
      <c r="BU358" s="527">
        <f t="shared" si="491"/>
        <v>1.2851495726495723</v>
      </c>
      <c r="BV358" s="527">
        <f t="shared" si="491"/>
        <v>1.2851495726495723</v>
      </c>
      <c r="BW358" s="527">
        <f t="shared" si="491"/>
        <v>1.2851495726495723</v>
      </c>
      <c r="BX358" s="527">
        <f t="shared" si="491"/>
        <v>1.2851495726495723</v>
      </c>
      <c r="BY358" s="527">
        <f t="shared" si="491"/>
        <v>1.2851495726495723</v>
      </c>
    </row>
    <row r="359" spans="3:77" x14ac:dyDescent="0.3">
      <c r="C359" s="2"/>
      <c r="D359" s="2"/>
      <c r="E359" s="131" t="str">
        <f>"Other income: "&amp;E$156</f>
        <v>Other income: FY28 Tranche</v>
      </c>
      <c r="F359" s="2"/>
      <c r="G359" s="2"/>
      <c r="H359" s="2"/>
      <c r="I359" s="2"/>
      <c r="J359" s="2"/>
      <c r="K359" s="2"/>
      <c r="L359" s="2"/>
      <c r="M359" s="2"/>
      <c r="N359" s="2"/>
      <c r="O359" s="2"/>
      <c r="P359" s="10"/>
      <c r="Q359" s="2"/>
      <c r="R359" s="497">
        <f t="shared" ref="R359:AW359" si="492">R$602*$R156</f>
        <v>1.2851495726495723</v>
      </c>
      <c r="S359" s="497">
        <f t="shared" si="492"/>
        <v>1.2851495726495723</v>
      </c>
      <c r="T359" s="497">
        <f t="shared" si="492"/>
        <v>1.2851495726495723</v>
      </c>
      <c r="U359" s="497">
        <f t="shared" si="492"/>
        <v>1.2851495726495723</v>
      </c>
      <c r="V359" s="497">
        <f t="shared" si="492"/>
        <v>1.2851495726495723</v>
      </c>
      <c r="W359" s="497">
        <f t="shared" si="492"/>
        <v>1.2851495726495723</v>
      </c>
      <c r="X359" s="497">
        <f t="shared" si="492"/>
        <v>1.2851495726495723</v>
      </c>
      <c r="Y359" s="497">
        <f t="shared" si="492"/>
        <v>1.2851495726495723</v>
      </c>
      <c r="Z359" s="497">
        <f t="shared" si="492"/>
        <v>1.2851495726495723</v>
      </c>
      <c r="AA359" s="497">
        <f t="shared" si="492"/>
        <v>1.2851495726495723</v>
      </c>
      <c r="AB359" s="497">
        <f t="shared" si="492"/>
        <v>1.2851495726495723</v>
      </c>
      <c r="AC359" s="497">
        <f t="shared" si="492"/>
        <v>1.2851495726495723</v>
      </c>
      <c r="AD359" s="497">
        <f t="shared" si="492"/>
        <v>1.2851495726495723</v>
      </c>
      <c r="AE359" s="497">
        <f t="shared" si="492"/>
        <v>1.2851495726495723</v>
      </c>
      <c r="AF359" s="497">
        <f t="shared" si="492"/>
        <v>1.2851495726495723</v>
      </c>
      <c r="AG359" s="497">
        <f t="shared" si="492"/>
        <v>1.2851495726495723</v>
      </c>
      <c r="AH359" s="497">
        <f t="shared" si="492"/>
        <v>1.2851495726495723</v>
      </c>
      <c r="AI359" s="497">
        <f t="shared" si="492"/>
        <v>1.2851495726495723</v>
      </c>
      <c r="AJ359" s="497">
        <f t="shared" si="492"/>
        <v>1.2851495726495723</v>
      </c>
      <c r="AK359" s="497">
        <f t="shared" si="492"/>
        <v>1.2851495726495723</v>
      </c>
      <c r="AL359" s="497">
        <f t="shared" si="492"/>
        <v>1.2851495726495723</v>
      </c>
      <c r="AM359" s="497">
        <f t="shared" si="492"/>
        <v>1.2851495726495723</v>
      </c>
      <c r="AN359" s="527">
        <f t="shared" si="492"/>
        <v>1.2851495726495723</v>
      </c>
      <c r="AO359" s="527">
        <f t="shared" si="492"/>
        <v>1.2851495726495723</v>
      </c>
      <c r="AP359" s="527">
        <f t="shared" si="492"/>
        <v>1.2851495726495723</v>
      </c>
      <c r="AQ359" s="527">
        <f t="shared" si="492"/>
        <v>1.2851495726495723</v>
      </c>
      <c r="AR359" s="527">
        <f t="shared" si="492"/>
        <v>1.2851495726495723</v>
      </c>
      <c r="AS359" s="527">
        <f t="shared" si="492"/>
        <v>1.2851495726495723</v>
      </c>
      <c r="AT359" s="527">
        <f t="shared" si="492"/>
        <v>1.2851495726495723</v>
      </c>
      <c r="AU359" s="527">
        <f t="shared" si="492"/>
        <v>1.2851495726495723</v>
      </c>
      <c r="AV359" s="527">
        <f t="shared" si="492"/>
        <v>1.2851495726495723</v>
      </c>
      <c r="AW359" s="527">
        <f t="shared" si="492"/>
        <v>1.2851495726495723</v>
      </c>
      <c r="AX359" s="527">
        <f t="shared" ref="AX359:BY359" si="493">AX$602*$R156</f>
        <v>1.2851495726495723</v>
      </c>
      <c r="AY359" s="527">
        <f t="shared" si="493"/>
        <v>1.2851495726495723</v>
      </c>
      <c r="AZ359" s="527">
        <f t="shared" si="493"/>
        <v>1.2851495726495723</v>
      </c>
      <c r="BA359" s="527">
        <f t="shared" si="493"/>
        <v>1.2851495726495723</v>
      </c>
      <c r="BB359" s="527">
        <f t="shared" si="493"/>
        <v>1.2851495726495723</v>
      </c>
      <c r="BC359" s="527">
        <f t="shared" si="493"/>
        <v>1.2851495726495723</v>
      </c>
      <c r="BD359" s="527">
        <f t="shared" si="493"/>
        <v>1.2851495726495723</v>
      </c>
      <c r="BE359" s="527">
        <f t="shared" si="493"/>
        <v>1.2851495726495723</v>
      </c>
      <c r="BF359" s="527">
        <f t="shared" si="493"/>
        <v>1.2851495726495723</v>
      </c>
      <c r="BG359" s="527">
        <f t="shared" si="493"/>
        <v>1.2851495726495723</v>
      </c>
      <c r="BH359" s="527">
        <f t="shared" si="493"/>
        <v>1.2851495726495723</v>
      </c>
      <c r="BI359" s="527">
        <f t="shared" si="493"/>
        <v>1.2851495726495723</v>
      </c>
      <c r="BJ359" s="527">
        <f t="shared" si="493"/>
        <v>1.2851495726495723</v>
      </c>
      <c r="BK359" s="527">
        <f t="shared" si="493"/>
        <v>1.2851495726495723</v>
      </c>
      <c r="BL359" s="527">
        <f t="shared" si="493"/>
        <v>1.2851495726495723</v>
      </c>
      <c r="BM359" s="527">
        <f t="shared" si="493"/>
        <v>1.2851495726495723</v>
      </c>
      <c r="BN359" s="527">
        <f t="shared" si="493"/>
        <v>1.2851495726495723</v>
      </c>
      <c r="BO359" s="527">
        <f t="shared" si="493"/>
        <v>1.2851495726495723</v>
      </c>
      <c r="BP359" s="527">
        <f t="shared" si="493"/>
        <v>1.2851495726495723</v>
      </c>
      <c r="BQ359" s="527">
        <f t="shared" si="493"/>
        <v>1.2851495726495723</v>
      </c>
      <c r="BR359" s="527">
        <f t="shared" si="493"/>
        <v>1.2851495726495723</v>
      </c>
      <c r="BS359" s="527">
        <f t="shared" si="493"/>
        <v>1.2851495726495723</v>
      </c>
      <c r="BT359" s="527">
        <f t="shared" si="493"/>
        <v>1.2851495726495723</v>
      </c>
      <c r="BU359" s="527">
        <f t="shared" si="493"/>
        <v>1.2851495726495723</v>
      </c>
      <c r="BV359" s="527">
        <f t="shared" si="493"/>
        <v>1.2851495726495723</v>
      </c>
      <c r="BW359" s="527">
        <f t="shared" si="493"/>
        <v>1.2851495726495723</v>
      </c>
      <c r="BX359" s="527">
        <f t="shared" si="493"/>
        <v>1.2851495726495723</v>
      </c>
      <c r="BY359" s="527">
        <f t="shared" si="493"/>
        <v>1.2851495726495723</v>
      </c>
    </row>
    <row r="360" spans="3:77" x14ac:dyDescent="0.3">
      <c r="C360" s="2"/>
      <c r="D360" s="2"/>
      <c r="E360" s="131" t="str">
        <f>"Other income: "&amp;E$157</f>
        <v>Other income: FY29 Tranche</v>
      </c>
      <c r="F360" s="2"/>
      <c r="G360" s="2"/>
      <c r="H360" s="2"/>
      <c r="I360" s="2"/>
      <c r="J360" s="2"/>
      <c r="K360" s="2"/>
      <c r="L360" s="2"/>
      <c r="M360" s="2"/>
      <c r="N360" s="2"/>
      <c r="O360" s="2"/>
      <c r="P360" s="10"/>
      <c r="Q360" s="2"/>
      <c r="R360" s="497">
        <f t="shared" ref="R360:AW360" si="494">R$602*$R157</f>
        <v>1.2851495726495723</v>
      </c>
      <c r="S360" s="497">
        <f t="shared" si="494"/>
        <v>1.2851495726495723</v>
      </c>
      <c r="T360" s="497">
        <f t="shared" si="494"/>
        <v>1.2851495726495723</v>
      </c>
      <c r="U360" s="497">
        <f t="shared" si="494"/>
        <v>1.2851495726495723</v>
      </c>
      <c r="V360" s="497">
        <f t="shared" si="494"/>
        <v>1.2851495726495723</v>
      </c>
      <c r="W360" s="497">
        <f t="shared" si="494"/>
        <v>1.2851495726495723</v>
      </c>
      <c r="X360" s="497">
        <f t="shared" si="494"/>
        <v>1.2851495726495723</v>
      </c>
      <c r="Y360" s="497">
        <f t="shared" si="494"/>
        <v>1.2851495726495723</v>
      </c>
      <c r="Z360" s="497">
        <f t="shared" si="494"/>
        <v>1.2851495726495723</v>
      </c>
      <c r="AA360" s="497">
        <f t="shared" si="494"/>
        <v>1.2851495726495723</v>
      </c>
      <c r="AB360" s="497">
        <f t="shared" si="494"/>
        <v>1.2851495726495723</v>
      </c>
      <c r="AC360" s="497">
        <f t="shared" si="494"/>
        <v>1.2851495726495723</v>
      </c>
      <c r="AD360" s="497">
        <f t="shared" si="494"/>
        <v>1.2851495726495723</v>
      </c>
      <c r="AE360" s="497">
        <f t="shared" si="494"/>
        <v>1.2851495726495723</v>
      </c>
      <c r="AF360" s="497">
        <f t="shared" si="494"/>
        <v>1.2851495726495723</v>
      </c>
      <c r="AG360" s="497">
        <f t="shared" si="494"/>
        <v>1.2851495726495723</v>
      </c>
      <c r="AH360" s="497">
        <f t="shared" si="494"/>
        <v>1.2851495726495723</v>
      </c>
      <c r="AI360" s="497">
        <f t="shared" si="494"/>
        <v>1.2851495726495723</v>
      </c>
      <c r="AJ360" s="497">
        <f t="shared" si="494"/>
        <v>1.2851495726495723</v>
      </c>
      <c r="AK360" s="497">
        <f t="shared" si="494"/>
        <v>1.2851495726495723</v>
      </c>
      <c r="AL360" s="497">
        <f t="shared" si="494"/>
        <v>1.2851495726495723</v>
      </c>
      <c r="AM360" s="497">
        <f t="shared" si="494"/>
        <v>1.2851495726495723</v>
      </c>
      <c r="AN360" s="527">
        <f t="shared" si="494"/>
        <v>1.2851495726495723</v>
      </c>
      <c r="AO360" s="527">
        <f t="shared" si="494"/>
        <v>1.2851495726495723</v>
      </c>
      <c r="AP360" s="527">
        <f t="shared" si="494"/>
        <v>1.2851495726495723</v>
      </c>
      <c r="AQ360" s="527">
        <f t="shared" si="494"/>
        <v>1.2851495726495723</v>
      </c>
      <c r="AR360" s="527">
        <f t="shared" si="494"/>
        <v>1.2851495726495723</v>
      </c>
      <c r="AS360" s="527">
        <f t="shared" si="494"/>
        <v>1.2851495726495723</v>
      </c>
      <c r="AT360" s="527">
        <f t="shared" si="494"/>
        <v>1.2851495726495723</v>
      </c>
      <c r="AU360" s="527">
        <f t="shared" si="494"/>
        <v>1.2851495726495723</v>
      </c>
      <c r="AV360" s="527">
        <f t="shared" si="494"/>
        <v>1.2851495726495723</v>
      </c>
      <c r="AW360" s="527">
        <f t="shared" si="494"/>
        <v>1.2851495726495723</v>
      </c>
      <c r="AX360" s="527">
        <f t="shared" ref="AX360:BY360" si="495">AX$602*$R157</f>
        <v>1.2851495726495723</v>
      </c>
      <c r="AY360" s="527">
        <f t="shared" si="495"/>
        <v>1.2851495726495723</v>
      </c>
      <c r="AZ360" s="527">
        <f t="shared" si="495"/>
        <v>1.2851495726495723</v>
      </c>
      <c r="BA360" s="527">
        <f t="shared" si="495"/>
        <v>1.2851495726495723</v>
      </c>
      <c r="BB360" s="527">
        <f t="shared" si="495"/>
        <v>1.2851495726495723</v>
      </c>
      <c r="BC360" s="527">
        <f t="shared" si="495"/>
        <v>1.2851495726495723</v>
      </c>
      <c r="BD360" s="527">
        <f t="shared" si="495"/>
        <v>1.2851495726495723</v>
      </c>
      <c r="BE360" s="527">
        <f t="shared" si="495"/>
        <v>1.2851495726495723</v>
      </c>
      <c r="BF360" s="527">
        <f t="shared" si="495"/>
        <v>1.2851495726495723</v>
      </c>
      <c r="BG360" s="527">
        <f t="shared" si="495"/>
        <v>1.2851495726495723</v>
      </c>
      <c r="BH360" s="527">
        <f t="shared" si="495"/>
        <v>1.2851495726495723</v>
      </c>
      <c r="BI360" s="527">
        <f t="shared" si="495"/>
        <v>1.2851495726495723</v>
      </c>
      <c r="BJ360" s="527">
        <f t="shared" si="495"/>
        <v>1.2851495726495723</v>
      </c>
      <c r="BK360" s="527">
        <f t="shared" si="495"/>
        <v>1.2851495726495723</v>
      </c>
      <c r="BL360" s="527">
        <f t="shared" si="495"/>
        <v>1.2851495726495723</v>
      </c>
      <c r="BM360" s="527">
        <f t="shared" si="495"/>
        <v>1.2851495726495723</v>
      </c>
      <c r="BN360" s="527">
        <f t="shared" si="495"/>
        <v>1.2851495726495723</v>
      </c>
      <c r="BO360" s="527">
        <f t="shared" si="495"/>
        <v>1.2851495726495723</v>
      </c>
      <c r="BP360" s="527">
        <f t="shared" si="495"/>
        <v>1.2851495726495723</v>
      </c>
      <c r="BQ360" s="527">
        <f t="shared" si="495"/>
        <v>1.2851495726495723</v>
      </c>
      <c r="BR360" s="527">
        <f t="shared" si="495"/>
        <v>1.2851495726495723</v>
      </c>
      <c r="BS360" s="527">
        <f t="shared" si="495"/>
        <v>1.2851495726495723</v>
      </c>
      <c r="BT360" s="527">
        <f t="shared" si="495"/>
        <v>1.2851495726495723</v>
      </c>
      <c r="BU360" s="527">
        <f t="shared" si="495"/>
        <v>1.2851495726495723</v>
      </c>
      <c r="BV360" s="527">
        <f t="shared" si="495"/>
        <v>1.2851495726495723</v>
      </c>
      <c r="BW360" s="527">
        <f t="shared" si="495"/>
        <v>1.2851495726495723</v>
      </c>
      <c r="BX360" s="527">
        <f t="shared" si="495"/>
        <v>1.2851495726495723</v>
      </c>
      <c r="BY360" s="527">
        <f t="shared" si="495"/>
        <v>1.2851495726495723</v>
      </c>
    </row>
    <row r="361" spans="3:77" x14ac:dyDescent="0.3">
      <c r="C361" s="2"/>
      <c r="D361" s="2"/>
      <c r="E361" s="131" t="str">
        <f>"Other income: "&amp;E$158</f>
        <v>Other income: FY30 Tranche</v>
      </c>
      <c r="F361" s="2"/>
      <c r="G361" s="2"/>
      <c r="H361" s="2"/>
      <c r="I361" s="2"/>
      <c r="J361" s="2"/>
      <c r="K361" s="2"/>
      <c r="L361" s="2"/>
      <c r="M361" s="2"/>
      <c r="N361" s="2"/>
      <c r="O361" s="2"/>
      <c r="P361" s="10"/>
      <c r="Q361" s="2"/>
      <c r="R361" s="497">
        <f t="shared" ref="R361:AW361" si="496">R$602*$R158</f>
        <v>1.2851495726495723</v>
      </c>
      <c r="S361" s="497">
        <f t="shared" si="496"/>
        <v>1.2851495726495723</v>
      </c>
      <c r="T361" s="497">
        <f t="shared" si="496"/>
        <v>1.2851495726495723</v>
      </c>
      <c r="U361" s="497">
        <f t="shared" si="496"/>
        <v>1.2851495726495723</v>
      </c>
      <c r="V361" s="497">
        <f t="shared" si="496"/>
        <v>1.2851495726495723</v>
      </c>
      <c r="W361" s="497">
        <f t="shared" si="496"/>
        <v>1.2851495726495723</v>
      </c>
      <c r="X361" s="497">
        <f t="shared" si="496"/>
        <v>1.2851495726495723</v>
      </c>
      <c r="Y361" s="497">
        <f t="shared" si="496"/>
        <v>1.2851495726495723</v>
      </c>
      <c r="Z361" s="497">
        <f t="shared" si="496"/>
        <v>1.2851495726495723</v>
      </c>
      <c r="AA361" s="497">
        <f t="shared" si="496"/>
        <v>1.2851495726495723</v>
      </c>
      <c r="AB361" s="497">
        <f t="shared" si="496"/>
        <v>1.2851495726495723</v>
      </c>
      <c r="AC361" s="497">
        <f t="shared" si="496"/>
        <v>1.2851495726495723</v>
      </c>
      <c r="AD361" s="497">
        <f t="shared" si="496"/>
        <v>1.2851495726495723</v>
      </c>
      <c r="AE361" s="497">
        <f t="shared" si="496"/>
        <v>1.2851495726495723</v>
      </c>
      <c r="AF361" s="497">
        <f t="shared" si="496"/>
        <v>1.2851495726495723</v>
      </c>
      <c r="AG361" s="497">
        <f t="shared" si="496"/>
        <v>1.2851495726495723</v>
      </c>
      <c r="AH361" s="497">
        <f t="shared" si="496"/>
        <v>1.2851495726495723</v>
      </c>
      <c r="AI361" s="497">
        <f t="shared" si="496"/>
        <v>1.2851495726495723</v>
      </c>
      <c r="AJ361" s="497">
        <f t="shared" si="496"/>
        <v>1.2851495726495723</v>
      </c>
      <c r="AK361" s="497">
        <f t="shared" si="496"/>
        <v>1.2851495726495723</v>
      </c>
      <c r="AL361" s="497">
        <f t="shared" si="496"/>
        <v>1.2851495726495723</v>
      </c>
      <c r="AM361" s="497">
        <f t="shared" si="496"/>
        <v>1.2851495726495723</v>
      </c>
      <c r="AN361" s="527">
        <f t="shared" si="496"/>
        <v>1.2851495726495723</v>
      </c>
      <c r="AO361" s="527">
        <f t="shared" si="496"/>
        <v>1.2851495726495723</v>
      </c>
      <c r="AP361" s="527">
        <f t="shared" si="496"/>
        <v>1.2851495726495723</v>
      </c>
      <c r="AQ361" s="527">
        <f t="shared" si="496"/>
        <v>1.2851495726495723</v>
      </c>
      <c r="AR361" s="527">
        <f t="shared" si="496"/>
        <v>1.2851495726495723</v>
      </c>
      <c r="AS361" s="527">
        <f t="shared" si="496"/>
        <v>1.2851495726495723</v>
      </c>
      <c r="AT361" s="527">
        <f t="shared" si="496"/>
        <v>1.2851495726495723</v>
      </c>
      <c r="AU361" s="527">
        <f t="shared" si="496"/>
        <v>1.2851495726495723</v>
      </c>
      <c r="AV361" s="527">
        <f t="shared" si="496"/>
        <v>1.2851495726495723</v>
      </c>
      <c r="AW361" s="527">
        <f t="shared" si="496"/>
        <v>1.2851495726495723</v>
      </c>
      <c r="AX361" s="527">
        <f t="shared" ref="AX361:BY361" si="497">AX$602*$R158</f>
        <v>1.2851495726495723</v>
      </c>
      <c r="AY361" s="527">
        <f t="shared" si="497"/>
        <v>1.2851495726495723</v>
      </c>
      <c r="AZ361" s="527">
        <f t="shared" si="497"/>
        <v>1.2851495726495723</v>
      </c>
      <c r="BA361" s="527">
        <f t="shared" si="497"/>
        <v>1.2851495726495723</v>
      </c>
      <c r="BB361" s="527">
        <f t="shared" si="497"/>
        <v>1.2851495726495723</v>
      </c>
      <c r="BC361" s="527">
        <f t="shared" si="497"/>
        <v>1.2851495726495723</v>
      </c>
      <c r="BD361" s="527">
        <f t="shared" si="497"/>
        <v>1.2851495726495723</v>
      </c>
      <c r="BE361" s="527">
        <f t="shared" si="497"/>
        <v>1.2851495726495723</v>
      </c>
      <c r="BF361" s="527">
        <f t="shared" si="497"/>
        <v>1.2851495726495723</v>
      </c>
      <c r="BG361" s="527">
        <f t="shared" si="497"/>
        <v>1.2851495726495723</v>
      </c>
      <c r="BH361" s="527">
        <f t="shared" si="497"/>
        <v>1.2851495726495723</v>
      </c>
      <c r="BI361" s="527">
        <f t="shared" si="497"/>
        <v>1.2851495726495723</v>
      </c>
      <c r="BJ361" s="527">
        <f t="shared" si="497"/>
        <v>1.2851495726495723</v>
      </c>
      <c r="BK361" s="527">
        <f t="shared" si="497"/>
        <v>1.2851495726495723</v>
      </c>
      <c r="BL361" s="527">
        <f t="shared" si="497"/>
        <v>1.2851495726495723</v>
      </c>
      <c r="BM361" s="527">
        <f t="shared" si="497"/>
        <v>1.2851495726495723</v>
      </c>
      <c r="BN361" s="527">
        <f t="shared" si="497"/>
        <v>1.2851495726495723</v>
      </c>
      <c r="BO361" s="527">
        <f t="shared" si="497"/>
        <v>1.2851495726495723</v>
      </c>
      <c r="BP361" s="527">
        <f t="shared" si="497"/>
        <v>1.2851495726495723</v>
      </c>
      <c r="BQ361" s="527">
        <f t="shared" si="497"/>
        <v>1.2851495726495723</v>
      </c>
      <c r="BR361" s="527">
        <f t="shared" si="497"/>
        <v>1.2851495726495723</v>
      </c>
      <c r="BS361" s="527">
        <f t="shared" si="497"/>
        <v>1.2851495726495723</v>
      </c>
      <c r="BT361" s="527">
        <f t="shared" si="497"/>
        <v>1.2851495726495723</v>
      </c>
      <c r="BU361" s="527">
        <f t="shared" si="497"/>
        <v>1.2851495726495723</v>
      </c>
      <c r="BV361" s="527">
        <f t="shared" si="497"/>
        <v>1.2851495726495723</v>
      </c>
      <c r="BW361" s="527">
        <f t="shared" si="497"/>
        <v>1.2851495726495723</v>
      </c>
      <c r="BX361" s="527">
        <f t="shared" si="497"/>
        <v>1.2851495726495723</v>
      </c>
      <c r="BY361" s="527">
        <f t="shared" si="497"/>
        <v>1.2851495726495723</v>
      </c>
    </row>
    <row r="362" spans="3:77" x14ac:dyDescent="0.3">
      <c r="C362" s="2"/>
      <c r="D362" s="2"/>
      <c r="E362" s="131" t="str">
        <f>"Other income: "&amp;E$159</f>
        <v>Other income: FY31 Tranche</v>
      </c>
      <c r="F362" s="2"/>
      <c r="G362" s="2"/>
      <c r="H362" s="2"/>
      <c r="I362" s="2"/>
      <c r="J362" s="2"/>
      <c r="K362" s="2"/>
      <c r="L362" s="2"/>
      <c r="M362" s="2"/>
      <c r="N362" s="2"/>
      <c r="O362" s="2"/>
      <c r="P362" s="10"/>
      <c r="Q362" s="2"/>
      <c r="R362" s="497">
        <f t="shared" ref="R362:AW362" si="498">R$602*$R159</f>
        <v>1.2851495726495723</v>
      </c>
      <c r="S362" s="497">
        <f t="shared" si="498"/>
        <v>1.2851495726495723</v>
      </c>
      <c r="T362" s="497">
        <f t="shared" si="498"/>
        <v>1.2851495726495723</v>
      </c>
      <c r="U362" s="497">
        <f t="shared" si="498"/>
        <v>1.2851495726495723</v>
      </c>
      <c r="V362" s="497">
        <f t="shared" si="498"/>
        <v>1.2851495726495723</v>
      </c>
      <c r="W362" s="497">
        <f t="shared" si="498"/>
        <v>1.2851495726495723</v>
      </c>
      <c r="X362" s="497">
        <f t="shared" si="498"/>
        <v>1.2851495726495723</v>
      </c>
      <c r="Y362" s="497">
        <f t="shared" si="498"/>
        <v>1.2851495726495723</v>
      </c>
      <c r="Z362" s="497">
        <f t="shared" si="498"/>
        <v>1.2851495726495723</v>
      </c>
      <c r="AA362" s="497">
        <f t="shared" si="498"/>
        <v>1.2851495726495723</v>
      </c>
      <c r="AB362" s="497">
        <f t="shared" si="498"/>
        <v>1.2851495726495723</v>
      </c>
      <c r="AC362" s="497">
        <f t="shared" si="498"/>
        <v>1.2851495726495723</v>
      </c>
      <c r="AD362" s="497">
        <f t="shared" si="498"/>
        <v>1.2851495726495723</v>
      </c>
      <c r="AE362" s="497">
        <f t="shared" si="498"/>
        <v>1.2851495726495723</v>
      </c>
      <c r="AF362" s="497">
        <f t="shared" si="498"/>
        <v>1.2851495726495723</v>
      </c>
      <c r="AG362" s="497">
        <f t="shared" si="498"/>
        <v>1.2851495726495723</v>
      </c>
      <c r="AH362" s="497">
        <f t="shared" si="498"/>
        <v>1.2851495726495723</v>
      </c>
      <c r="AI362" s="497">
        <f t="shared" si="498"/>
        <v>1.2851495726495723</v>
      </c>
      <c r="AJ362" s="497">
        <f t="shared" si="498"/>
        <v>1.2851495726495723</v>
      </c>
      <c r="AK362" s="497">
        <f t="shared" si="498"/>
        <v>1.2851495726495723</v>
      </c>
      <c r="AL362" s="497">
        <f t="shared" si="498"/>
        <v>1.2851495726495723</v>
      </c>
      <c r="AM362" s="497">
        <f t="shared" si="498"/>
        <v>1.2851495726495723</v>
      </c>
      <c r="AN362" s="527">
        <f t="shared" si="498"/>
        <v>1.2851495726495723</v>
      </c>
      <c r="AO362" s="527">
        <f t="shared" si="498"/>
        <v>1.2851495726495723</v>
      </c>
      <c r="AP362" s="527">
        <f t="shared" si="498"/>
        <v>1.2851495726495723</v>
      </c>
      <c r="AQ362" s="527">
        <f t="shared" si="498"/>
        <v>1.2851495726495723</v>
      </c>
      <c r="AR362" s="527">
        <f t="shared" si="498"/>
        <v>1.2851495726495723</v>
      </c>
      <c r="AS362" s="527">
        <f t="shared" si="498"/>
        <v>1.2851495726495723</v>
      </c>
      <c r="AT362" s="527">
        <f t="shared" si="498"/>
        <v>1.2851495726495723</v>
      </c>
      <c r="AU362" s="527">
        <f t="shared" si="498"/>
        <v>1.2851495726495723</v>
      </c>
      <c r="AV362" s="527">
        <f t="shared" si="498"/>
        <v>1.2851495726495723</v>
      </c>
      <c r="AW362" s="527">
        <f t="shared" si="498"/>
        <v>1.2851495726495723</v>
      </c>
      <c r="AX362" s="527">
        <f t="shared" ref="AX362:BY362" si="499">AX$602*$R159</f>
        <v>1.2851495726495723</v>
      </c>
      <c r="AY362" s="527">
        <f t="shared" si="499"/>
        <v>1.2851495726495723</v>
      </c>
      <c r="AZ362" s="527">
        <f t="shared" si="499"/>
        <v>1.2851495726495723</v>
      </c>
      <c r="BA362" s="527">
        <f t="shared" si="499"/>
        <v>1.2851495726495723</v>
      </c>
      <c r="BB362" s="527">
        <f t="shared" si="499"/>
        <v>1.2851495726495723</v>
      </c>
      <c r="BC362" s="527">
        <f t="shared" si="499"/>
        <v>1.2851495726495723</v>
      </c>
      <c r="BD362" s="527">
        <f t="shared" si="499"/>
        <v>1.2851495726495723</v>
      </c>
      <c r="BE362" s="527">
        <f t="shared" si="499"/>
        <v>1.2851495726495723</v>
      </c>
      <c r="BF362" s="527">
        <f t="shared" si="499"/>
        <v>1.2851495726495723</v>
      </c>
      <c r="BG362" s="527">
        <f t="shared" si="499"/>
        <v>1.2851495726495723</v>
      </c>
      <c r="BH362" s="527">
        <f t="shared" si="499"/>
        <v>1.2851495726495723</v>
      </c>
      <c r="BI362" s="527">
        <f t="shared" si="499"/>
        <v>1.2851495726495723</v>
      </c>
      <c r="BJ362" s="527">
        <f t="shared" si="499"/>
        <v>1.2851495726495723</v>
      </c>
      <c r="BK362" s="527">
        <f t="shared" si="499"/>
        <v>1.2851495726495723</v>
      </c>
      <c r="BL362" s="527">
        <f t="shared" si="499"/>
        <v>1.2851495726495723</v>
      </c>
      <c r="BM362" s="527">
        <f t="shared" si="499"/>
        <v>1.2851495726495723</v>
      </c>
      <c r="BN362" s="527">
        <f t="shared" si="499"/>
        <v>1.2851495726495723</v>
      </c>
      <c r="BO362" s="527">
        <f t="shared" si="499"/>
        <v>1.2851495726495723</v>
      </c>
      <c r="BP362" s="527">
        <f t="shared" si="499"/>
        <v>1.2851495726495723</v>
      </c>
      <c r="BQ362" s="527">
        <f t="shared" si="499"/>
        <v>1.2851495726495723</v>
      </c>
      <c r="BR362" s="527">
        <f t="shared" si="499"/>
        <v>1.2851495726495723</v>
      </c>
      <c r="BS362" s="527">
        <f t="shared" si="499"/>
        <v>1.2851495726495723</v>
      </c>
      <c r="BT362" s="527">
        <f t="shared" si="499"/>
        <v>1.2851495726495723</v>
      </c>
      <c r="BU362" s="527">
        <f t="shared" si="499"/>
        <v>1.2851495726495723</v>
      </c>
      <c r="BV362" s="527">
        <f t="shared" si="499"/>
        <v>1.2851495726495723</v>
      </c>
      <c r="BW362" s="527">
        <f t="shared" si="499"/>
        <v>1.2851495726495723</v>
      </c>
      <c r="BX362" s="527">
        <f t="shared" si="499"/>
        <v>1.2851495726495723</v>
      </c>
      <c r="BY362" s="527">
        <f t="shared" si="499"/>
        <v>1.2851495726495723</v>
      </c>
    </row>
    <row r="363" spans="3:77" x14ac:dyDescent="0.3">
      <c r="C363" s="2"/>
      <c r="D363" s="2"/>
      <c r="E363" s="131" t="str">
        <f>"Other income: "&amp;E$160</f>
        <v>Other income: Uninvested Tranche</v>
      </c>
      <c r="F363" s="2"/>
      <c r="G363" s="2"/>
      <c r="H363" s="2"/>
      <c r="I363" s="2"/>
      <c r="J363" s="2"/>
      <c r="K363" s="2"/>
      <c r="L363" s="2"/>
      <c r="M363" s="2"/>
      <c r="N363" s="2"/>
      <c r="O363" s="2"/>
      <c r="P363" s="10"/>
      <c r="Q363" s="2"/>
      <c r="R363" s="497">
        <f t="shared" ref="R363:AW363" si="500">R$602*$R160</f>
        <v>3.5984188034188027</v>
      </c>
      <c r="S363" s="497">
        <f t="shared" si="500"/>
        <v>3.5984188034188027</v>
      </c>
      <c r="T363" s="497">
        <f t="shared" si="500"/>
        <v>3.5984188034188027</v>
      </c>
      <c r="U363" s="497">
        <f t="shared" si="500"/>
        <v>3.5984188034188027</v>
      </c>
      <c r="V363" s="497">
        <f t="shared" si="500"/>
        <v>3.5984188034188027</v>
      </c>
      <c r="W363" s="497">
        <f t="shared" si="500"/>
        <v>3.5984188034188027</v>
      </c>
      <c r="X363" s="497">
        <f t="shared" si="500"/>
        <v>3.5984188034188027</v>
      </c>
      <c r="Y363" s="497">
        <f t="shared" si="500"/>
        <v>3.5984188034188027</v>
      </c>
      <c r="Z363" s="497">
        <f t="shared" si="500"/>
        <v>3.5984188034188027</v>
      </c>
      <c r="AA363" s="497">
        <f t="shared" si="500"/>
        <v>3.5984188034188027</v>
      </c>
      <c r="AB363" s="497">
        <f t="shared" si="500"/>
        <v>3.5984188034188027</v>
      </c>
      <c r="AC363" s="497">
        <f t="shared" si="500"/>
        <v>3.5984188034188027</v>
      </c>
      <c r="AD363" s="497">
        <f t="shared" si="500"/>
        <v>3.5984188034188027</v>
      </c>
      <c r="AE363" s="497">
        <f t="shared" si="500"/>
        <v>3.5984188034188027</v>
      </c>
      <c r="AF363" s="497">
        <f t="shared" si="500"/>
        <v>3.5984188034188027</v>
      </c>
      <c r="AG363" s="497">
        <f t="shared" si="500"/>
        <v>3.5984188034188027</v>
      </c>
      <c r="AH363" s="497">
        <f t="shared" si="500"/>
        <v>3.5984188034188027</v>
      </c>
      <c r="AI363" s="497">
        <f t="shared" si="500"/>
        <v>3.5984188034188027</v>
      </c>
      <c r="AJ363" s="497">
        <f t="shared" si="500"/>
        <v>3.5984188034188027</v>
      </c>
      <c r="AK363" s="497">
        <f t="shared" si="500"/>
        <v>3.5984188034188027</v>
      </c>
      <c r="AL363" s="497">
        <f t="shared" si="500"/>
        <v>3.5984188034188027</v>
      </c>
      <c r="AM363" s="497">
        <f t="shared" si="500"/>
        <v>3.5984188034188027</v>
      </c>
      <c r="AN363" s="527">
        <f t="shared" si="500"/>
        <v>3.5984188034188027</v>
      </c>
      <c r="AO363" s="527">
        <f t="shared" si="500"/>
        <v>3.5984188034188027</v>
      </c>
      <c r="AP363" s="527">
        <f t="shared" si="500"/>
        <v>3.5984188034188027</v>
      </c>
      <c r="AQ363" s="527">
        <f t="shared" si="500"/>
        <v>3.5984188034188027</v>
      </c>
      <c r="AR363" s="527">
        <f t="shared" si="500"/>
        <v>3.5984188034188027</v>
      </c>
      <c r="AS363" s="527">
        <f t="shared" si="500"/>
        <v>3.5984188034188027</v>
      </c>
      <c r="AT363" s="527">
        <f t="shared" si="500"/>
        <v>3.5984188034188027</v>
      </c>
      <c r="AU363" s="527">
        <f t="shared" si="500"/>
        <v>3.5984188034188027</v>
      </c>
      <c r="AV363" s="527">
        <f t="shared" si="500"/>
        <v>3.5984188034188027</v>
      </c>
      <c r="AW363" s="527">
        <f t="shared" si="500"/>
        <v>3.5984188034188027</v>
      </c>
      <c r="AX363" s="527">
        <f t="shared" ref="AX363:BY363" si="501">AX$602*$R160</f>
        <v>3.5984188034188027</v>
      </c>
      <c r="AY363" s="527">
        <f t="shared" si="501"/>
        <v>3.5984188034188027</v>
      </c>
      <c r="AZ363" s="527">
        <f t="shared" si="501"/>
        <v>3.5984188034188027</v>
      </c>
      <c r="BA363" s="527">
        <f t="shared" si="501"/>
        <v>3.5984188034188027</v>
      </c>
      <c r="BB363" s="527">
        <f t="shared" si="501"/>
        <v>3.5984188034188027</v>
      </c>
      <c r="BC363" s="527">
        <f t="shared" si="501"/>
        <v>3.5984188034188027</v>
      </c>
      <c r="BD363" s="527">
        <f t="shared" si="501"/>
        <v>3.5984188034188027</v>
      </c>
      <c r="BE363" s="527">
        <f t="shared" si="501"/>
        <v>3.5984188034188027</v>
      </c>
      <c r="BF363" s="527">
        <f t="shared" si="501"/>
        <v>3.5984188034188027</v>
      </c>
      <c r="BG363" s="527">
        <f t="shared" si="501"/>
        <v>3.5984188034188027</v>
      </c>
      <c r="BH363" s="527">
        <f t="shared" si="501"/>
        <v>3.5984188034188027</v>
      </c>
      <c r="BI363" s="527">
        <f t="shared" si="501"/>
        <v>3.5984188034188027</v>
      </c>
      <c r="BJ363" s="527">
        <f t="shared" si="501"/>
        <v>3.5984188034188027</v>
      </c>
      <c r="BK363" s="527">
        <f t="shared" si="501"/>
        <v>3.5984188034188027</v>
      </c>
      <c r="BL363" s="527">
        <f t="shared" si="501"/>
        <v>3.5984188034188027</v>
      </c>
      <c r="BM363" s="527">
        <f t="shared" si="501"/>
        <v>3.5984188034188027</v>
      </c>
      <c r="BN363" s="527">
        <f t="shared" si="501"/>
        <v>3.5984188034188027</v>
      </c>
      <c r="BO363" s="527">
        <f t="shared" si="501"/>
        <v>3.5984188034188027</v>
      </c>
      <c r="BP363" s="527">
        <f t="shared" si="501"/>
        <v>3.5984188034188027</v>
      </c>
      <c r="BQ363" s="527">
        <f t="shared" si="501"/>
        <v>3.5984188034188027</v>
      </c>
      <c r="BR363" s="527">
        <f t="shared" si="501"/>
        <v>3.5984188034188027</v>
      </c>
      <c r="BS363" s="527">
        <f t="shared" si="501"/>
        <v>3.5984188034188027</v>
      </c>
      <c r="BT363" s="527">
        <f t="shared" si="501"/>
        <v>3.5984188034188027</v>
      </c>
      <c r="BU363" s="527">
        <f t="shared" si="501"/>
        <v>3.5984188034188027</v>
      </c>
      <c r="BV363" s="527">
        <f t="shared" si="501"/>
        <v>3.5984188034188027</v>
      </c>
      <c r="BW363" s="527">
        <f t="shared" si="501"/>
        <v>3.5984188034188027</v>
      </c>
      <c r="BX363" s="527">
        <f t="shared" si="501"/>
        <v>3.5984188034188027</v>
      </c>
      <c r="BY363" s="527">
        <f t="shared" si="501"/>
        <v>3.5984188034188027</v>
      </c>
    </row>
    <row r="364" spans="3:77" x14ac:dyDescent="0.3">
      <c r="C364" s="2"/>
      <c r="D364" s="2"/>
      <c r="E364" s="4" t="s">
        <v>36</v>
      </c>
      <c r="F364" s="4"/>
      <c r="G364" s="4"/>
      <c r="H364" s="4"/>
      <c r="I364" s="4"/>
      <c r="J364" s="4"/>
      <c r="K364" s="4"/>
      <c r="L364" s="4"/>
      <c r="M364" s="4"/>
      <c r="N364" s="4"/>
      <c r="O364" s="4"/>
      <c r="P364" s="106"/>
      <c r="Q364" s="4"/>
      <c r="R364" s="498">
        <f t="shared" ref="R364:AW364" si="502">SUM(R358:R363)</f>
        <v>10.024166666666664</v>
      </c>
      <c r="S364" s="498">
        <f t="shared" si="502"/>
        <v>10.024166666666664</v>
      </c>
      <c r="T364" s="498">
        <f t="shared" si="502"/>
        <v>10.024166666666664</v>
      </c>
      <c r="U364" s="498">
        <f t="shared" si="502"/>
        <v>10.024166666666664</v>
      </c>
      <c r="V364" s="498">
        <f t="shared" si="502"/>
        <v>10.024166666666664</v>
      </c>
      <c r="W364" s="498">
        <f t="shared" si="502"/>
        <v>10.024166666666664</v>
      </c>
      <c r="X364" s="498">
        <f t="shared" si="502"/>
        <v>10.024166666666664</v>
      </c>
      <c r="Y364" s="498">
        <f t="shared" si="502"/>
        <v>10.024166666666664</v>
      </c>
      <c r="Z364" s="498">
        <f t="shared" si="502"/>
        <v>10.024166666666664</v>
      </c>
      <c r="AA364" s="498">
        <f t="shared" si="502"/>
        <v>10.024166666666664</v>
      </c>
      <c r="AB364" s="498">
        <f t="shared" si="502"/>
        <v>10.024166666666664</v>
      </c>
      <c r="AC364" s="498">
        <f t="shared" si="502"/>
        <v>10.024166666666664</v>
      </c>
      <c r="AD364" s="498">
        <f t="shared" si="502"/>
        <v>10.024166666666664</v>
      </c>
      <c r="AE364" s="498">
        <f t="shared" si="502"/>
        <v>10.024166666666664</v>
      </c>
      <c r="AF364" s="498">
        <f t="shared" si="502"/>
        <v>10.024166666666664</v>
      </c>
      <c r="AG364" s="498">
        <f t="shared" si="502"/>
        <v>10.024166666666664</v>
      </c>
      <c r="AH364" s="498">
        <f t="shared" si="502"/>
        <v>10.024166666666664</v>
      </c>
      <c r="AI364" s="498">
        <f t="shared" si="502"/>
        <v>10.024166666666664</v>
      </c>
      <c r="AJ364" s="498">
        <f t="shared" si="502"/>
        <v>10.024166666666664</v>
      </c>
      <c r="AK364" s="498">
        <f t="shared" si="502"/>
        <v>10.024166666666664</v>
      </c>
      <c r="AL364" s="498">
        <f t="shared" si="502"/>
        <v>10.024166666666664</v>
      </c>
      <c r="AM364" s="498">
        <f t="shared" si="502"/>
        <v>10.024166666666664</v>
      </c>
      <c r="AN364" s="530">
        <f t="shared" si="502"/>
        <v>10.024166666666664</v>
      </c>
      <c r="AO364" s="530">
        <f t="shared" si="502"/>
        <v>10.024166666666664</v>
      </c>
      <c r="AP364" s="530">
        <f t="shared" si="502"/>
        <v>10.024166666666664</v>
      </c>
      <c r="AQ364" s="530">
        <f t="shared" si="502"/>
        <v>10.024166666666664</v>
      </c>
      <c r="AR364" s="530">
        <f t="shared" si="502"/>
        <v>10.024166666666664</v>
      </c>
      <c r="AS364" s="530">
        <f t="shared" si="502"/>
        <v>10.024166666666664</v>
      </c>
      <c r="AT364" s="530">
        <f t="shared" si="502"/>
        <v>10.024166666666664</v>
      </c>
      <c r="AU364" s="530">
        <f t="shared" si="502"/>
        <v>10.024166666666664</v>
      </c>
      <c r="AV364" s="530">
        <f t="shared" si="502"/>
        <v>10.024166666666664</v>
      </c>
      <c r="AW364" s="530">
        <f t="shared" si="502"/>
        <v>10.024166666666664</v>
      </c>
      <c r="AX364" s="530">
        <f t="shared" ref="AX364:BY364" si="503">SUM(AX358:AX363)</f>
        <v>10.024166666666664</v>
      </c>
      <c r="AY364" s="530">
        <f t="shared" si="503"/>
        <v>10.024166666666664</v>
      </c>
      <c r="AZ364" s="530">
        <f t="shared" si="503"/>
        <v>10.024166666666664</v>
      </c>
      <c r="BA364" s="530">
        <f t="shared" si="503"/>
        <v>10.024166666666664</v>
      </c>
      <c r="BB364" s="530">
        <f t="shared" si="503"/>
        <v>10.024166666666664</v>
      </c>
      <c r="BC364" s="530">
        <f t="shared" si="503"/>
        <v>10.024166666666664</v>
      </c>
      <c r="BD364" s="530">
        <f t="shared" si="503"/>
        <v>10.024166666666664</v>
      </c>
      <c r="BE364" s="530">
        <f t="shared" si="503"/>
        <v>10.024166666666664</v>
      </c>
      <c r="BF364" s="530">
        <f t="shared" si="503"/>
        <v>10.024166666666664</v>
      </c>
      <c r="BG364" s="530">
        <f t="shared" si="503"/>
        <v>10.024166666666664</v>
      </c>
      <c r="BH364" s="530">
        <f t="shared" si="503"/>
        <v>10.024166666666664</v>
      </c>
      <c r="BI364" s="530">
        <f t="shared" si="503"/>
        <v>10.024166666666664</v>
      </c>
      <c r="BJ364" s="530">
        <f t="shared" si="503"/>
        <v>10.024166666666664</v>
      </c>
      <c r="BK364" s="530">
        <f t="shared" si="503"/>
        <v>10.024166666666664</v>
      </c>
      <c r="BL364" s="530">
        <f t="shared" si="503"/>
        <v>10.024166666666664</v>
      </c>
      <c r="BM364" s="530">
        <f t="shared" si="503"/>
        <v>10.024166666666664</v>
      </c>
      <c r="BN364" s="530">
        <f t="shared" si="503"/>
        <v>10.024166666666664</v>
      </c>
      <c r="BO364" s="530">
        <f t="shared" si="503"/>
        <v>10.024166666666664</v>
      </c>
      <c r="BP364" s="530">
        <f t="shared" si="503"/>
        <v>10.024166666666664</v>
      </c>
      <c r="BQ364" s="530">
        <f t="shared" si="503"/>
        <v>10.024166666666664</v>
      </c>
      <c r="BR364" s="530">
        <f t="shared" si="503"/>
        <v>10.024166666666664</v>
      </c>
      <c r="BS364" s="530">
        <f t="shared" si="503"/>
        <v>10.024166666666664</v>
      </c>
      <c r="BT364" s="530">
        <f t="shared" si="503"/>
        <v>10.024166666666664</v>
      </c>
      <c r="BU364" s="530">
        <f t="shared" si="503"/>
        <v>10.024166666666664</v>
      </c>
      <c r="BV364" s="530">
        <f t="shared" si="503"/>
        <v>10.024166666666664</v>
      </c>
      <c r="BW364" s="530">
        <f t="shared" si="503"/>
        <v>10.024166666666664</v>
      </c>
      <c r="BX364" s="530">
        <f t="shared" si="503"/>
        <v>10.024166666666664</v>
      </c>
      <c r="BY364" s="530">
        <f t="shared" si="503"/>
        <v>10.024166666666664</v>
      </c>
    </row>
    <row r="365" spans="3:77" x14ac:dyDescent="0.3">
      <c r="C365" s="2"/>
      <c r="D365" s="2"/>
      <c r="E365" s="2"/>
      <c r="F365" s="2"/>
      <c r="G365" s="2"/>
      <c r="H365" s="2"/>
      <c r="I365" s="2"/>
      <c r="J365" s="2"/>
      <c r="K365" s="2"/>
      <c r="L365" s="2"/>
      <c r="M365" s="2"/>
      <c r="N365" s="2"/>
      <c r="O365" s="2"/>
      <c r="P365" s="10"/>
      <c r="Q365" s="2"/>
      <c r="R365" s="2"/>
      <c r="S365" s="2"/>
      <c r="T365" s="2"/>
      <c r="U365" s="2"/>
      <c r="V365" s="2"/>
      <c r="W365" s="2"/>
      <c r="X365" s="2"/>
      <c r="Y365" s="2"/>
      <c r="Z365" s="2"/>
      <c r="AA365" s="2"/>
      <c r="AB365" s="2"/>
      <c r="AC365" s="2"/>
      <c r="AD365" s="2"/>
      <c r="AE365" s="2"/>
      <c r="AF365" s="2"/>
      <c r="AG365" s="2"/>
      <c r="AH365" s="2"/>
      <c r="AI365" s="2"/>
      <c r="AJ365" s="2"/>
      <c r="AK365" s="2"/>
      <c r="AL365" s="2"/>
      <c r="AM365" s="2"/>
      <c r="AN365" s="525"/>
      <c r="AO365" s="525"/>
      <c r="AP365" s="525"/>
      <c r="AQ365" s="525"/>
      <c r="AR365" s="525"/>
      <c r="AS365" s="525"/>
      <c r="AT365" s="525"/>
      <c r="AU365" s="525"/>
      <c r="AV365" s="525"/>
      <c r="AW365" s="525"/>
      <c r="AX365" s="525"/>
      <c r="AY365" s="525"/>
      <c r="AZ365" s="525"/>
      <c r="BA365" s="525"/>
      <c r="BB365" s="525"/>
      <c r="BC365" s="525"/>
      <c r="BD365" s="525"/>
      <c r="BE365" s="525"/>
      <c r="BF365" s="525"/>
      <c r="BG365" s="525"/>
      <c r="BH365" s="525"/>
      <c r="BI365" s="525"/>
      <c r="BJ365" s="525"/>
      <c r="BK365" s="525"/>
      <c r="BL365" s="525"/>
      <c r="BM365" s="525"/>
      <c r="BN365" s="525"/>
      <c r="BO365" s="525"/>
      <c r="BP365" s="525"/>
      <c r="BQ365" s="525"/>
      <c r="BR365" s="525"/>
      <c r="BS365" s="525"/>
      <c r="BT365" s="525"/>
      <c r="BU365" s="525"/>
      <c r="BV365" s="525"/>
      <c r="BW365" s="525"/>
      <c r="BX365" s="525"/>
      <c r="BY365" s="525"/>
    </row>
    <row r="366" spans="3:77" x14ac:dyDescent="0.3">
      <c r="C366" s="2"/>
      <c r="D366" s="2"/>
      <c r="E366" s="132" t="str">
        <f>"Machines income: "&amp;E$155</f>
        <v>Machines income: FY27 Tranche</v>
      </c>
      <c r="F366" s="2"/>
      <c r="G366" s="2"/>
      <c r="H366" s="2"/>
      <c r="I366" s="2"/>
      <c r="J366" s="2"/>
      <c r="K366" s="2"/>
      <c r="L366" s="2"/>
      <c r="M366" s="2"/>
      <c r="N366" s="2"/>
      <c r="O366" s="2"/>
      <c r="P366" s="10"/>
      <c r="Q366" s="2"/>
      <c r="R366" s="497">
        <f t="shared" ref="R366:AW366" si="504">R$603*$R155</f>
        <v>2349.4938362838452</v>
      </c>
      <c r="S366" s="497">
        <f t="shared" si="504"/>
        <v>2349.4938362838452</v>
      </c>
      <c r="T366" s="497">
        <f t="shared" si="504"/>
        <v>2349.4938362838452</v>
      </c>
      <c r="U366" s="497">
        <f t="shared" si="504"/>
        <v>2349.4938362838452</v>
      </c>
      <c r="V366" s="497">
        <f t="shared" si="504"/>
        <v>2349.4938362838452</v>
      </c>
      <c r="W366" s="497">
        <f t="shared" si="504"/>
        <v>2349.4938362838452</v>
      </c>
      <c r="X366" s="497">
        <f t="shared" si="504"/>
        <v>2349.4938362838452</v>
      </c>
      <c r="Y366" s="497">
        <f t="shared" si="504"/>
        <v>2349.4938362838452</v>
      </c>
      <c r="Z366" s="497">
        <f t="shared" si="504"/>
        <v>2349.4938362838452</v>
      </c>
      <c r="AA366" s="497">
        <f t="shared" si="504"/>
        <v>2349.4938362838452</v>
      </c>
      <c r="AB366" s="497">
        <f t="shared" si="504"/>
        <v>2349.4938362838452</v>
      </c>
      <c r="AC366" s="497">
        <f t="shared" si="504"/>
        <v>2349.4938362838452</v>
      </c>
      <c r="AD366" s="497">
        <f t="shared" si="504"/>
        <v>2349.4938362838452</v>
      </c>
      <c r="AE366" s="497">
        <f t="shared" si="504"/>
        <v>2349.4938362838452</v>
      </c>
      <c r="AF366" s="497">
        <f t="shared" si="504"/>
        <v>2349.4938362838452</v>
      </c>
      <c r="AG366" s="497">
        <f t="shared" si="504"/>
        <v>2349.4938362838452</v>
      </c>
      <c r="AH366" s="497">
        <f t="shared" si="504"/>
        <v>2349.4938362838452</v>
      </c>
      <c r="AI366" s="497">
        <f t="shared" si="504"/>
        <v>2349.4938362838452</v>
      </c>
      <c r="AJ366" s="497">
        <f t="shared" si="504"/>
        <v>2349.4938362838452</v>
      </c>
      <c r="AK366" s="497">
        <f t="shared" si="504"/>
        <v>2349.4938362838452</v>
      </c>
      <c r="AL366" s="497">
        <f t="shared" si="504"/>
        <v>2349.4938362838452</v>
      </c>
      <c r="AM366" s="497">
        <f t="shared" si="504"/>
        <v>2349.4938362838452</v>
      </c>
      <c r="AN366" s="527">
        <f t="shared" si="504"/>
        <v>2349.4938362838452</v>
      </c>
      <c r="AO366" s="527">
        <f t="shared" si="504"/>
        <v>2349.4938362838452</v>
      </c>
      <c r="AP366" s="527">
        <f t="shared" si="504"/>
        <v>2349.4938362838452</v>
      </c>
      <c r="AQ366" s="527">
        <f t="shared" si="504"/>
        <v>2349.4938362838452</v>
      </c>
      <c r="AR366" s="527">
        <f t="shared" si="504"/>
        <v>2349.4938362838452</v>
      </c>
      <c r="AS366" s="527">
        <f t="shared" si="504"/>
        <v>2349.4938362838452</v>
      </c>
      <c r="AT366" s="527">
        <f t="shared" si="504"/>
        <v>2349.4938362838452</v>
      </c>
      <c r="AU366" s="527">
        <f t="shared" si="504"/>
        <v>2349.4938362838452</v>
      </c>
      <c r="AV366" s="527">
        <f t="shared" si="504"/>
        <v>2349.4938362838452</v>
      </c>
      <c r="AW366" s="527">
        <f t="shared" si="504"/>
        <v>2349.4938362838452</v>
      </c>
      <c r="AX366" s="527">
        <f t="shared" ref="AX366:BY366" si="505">AX$603*$R155</f>
        <v>2349.4938362838452</v>
      </c>
      <c r="AY366" s="527">
        <f t="shared" si="505"/>
        <v>2349.4938362838452</v>
      </c>
      <c r="AZ366" s="527">
        <f t="shared" si="505"/>
        <v>2349.4938362838452</v>
      </c>
      <c r="BA366" s="527">
        <f t="shared" si="505"/>
        <v>2349.4938362838452</v>
      </c>
      <c r="BB366" s="527">
        <f t="shared" si="505"/>
        <v>2349.4938362838452</v>
      </c>
      <c r="BC366" s="527">
        <f t="shared" si="505"/>
        <v>2349.4938362838452</v>
      </c>
      <c r="BD366" s="527">
        <f t="shared" si="505"/>
        <v>2349.4938362838452</v>
      </c>
      <c r="BE366" s="527">
        <f t="shared" si="505"/>
        <v>2349.4938362838452</v>
      </c>
      <c r="BF366" s="527">
        <f t="shared" si="505"/>
        <v>2349.4938362838452</v>
      </c>
      <c r="BG366" s="527">
        <f t="shared" si="505"/>
        <v>2349.4938362838452</v>
      </c>
      <c r="BH366" s="527">
        <f t="shared" si="505"/>
        <v>2349.4938362838452</v>
      </c>
      <c r="BI366" s="527">
        <f t="shared" si="505"/>
        <v>2349.4938362838452</v>
      </c>
      <c r="BJ366" s="527">
        <f t="shared" si="505"/>
        <v>2349.4938362838452</v>
      </c>
      <c r="BK366" s="527">
        <f t="shared" si="505"/>
        <v>2349.4938362838452</v>
      </c>
      <c r="BL366" s="527">
        <f t="shared" si="505"/>
        <v>2349.4938362838452</v>
      </c>
      <c r="BM366" s="527">
        <f t="shared" si="505"/>
        <v>2349.4938362838452</v>
      </c>
      <c r="BN366" s="527">
        <f t="shared" si="505"/>
        <v>2349.4938362838452</v>
      </c>
      <c r="BO366" s="527">
        <f t="shared" si="505"/>
        <v>2349.4938362838452</v>
      </c>
      <c r="BP366" s="527">
        <f t="shared" si="505"/>
        <v>2349.4938362838452</v>
      </c>
      <c r="BQ366" s="527">
        <f t="shared" si="505"/>
        <v>2349.4938362838452</v>
      </c>
      <c r="BR366" s="527">
        <f t="shared" si="505"/>
        <v>2349.4938362838452</v>
      </c>
      <c r="BS366" s="527">
        <f t="shared" si="505"/>
        <v>2349.4938362838452</v>
      </c>
      <c r="BT366" s="527">
        <f t="shared" si="505"/>
        <v>2349.4938362838452</v>
      </c>
      <c r="BU366" s="527">
        <f t="shared" si="505"/>
        <v>2349.4938362838452</v>
      </c>
      <c r="BV366" s="527">
        <f t="shared" si="505"/>
        <v>2349.4938362838452</v>
      </c>
      <c r="BW366" s="527">
        <f t="shared" si="505"/>
        <v>2349.4938362838452</v>
      </c>
      <c r="BX366" s="527">
        <f t="shared" si="505"/>
        <v>2349.4938362838452</v>
      </c>
      <c r="BY366" s="527">
        <f t="shared" si="505"/>
        <v>2349.4938362838452</v>
      </c>
    </row>
    <row r="367" spans="3:77" x14ac:dyDescent="0.3">
      <c r="C367" s="2"/>
      <c r="D367" s="2"/>
      <c r="E367" s="132" t="str">
        <f>"Machines income: "&amp;E$156</f>
        <v>Machines income: FY28 Tranche</v>
      </c>
      <c r="F367" s="2"/>
      <c r="G367" s="2"/>
      <c r="H367" s="2"/>
      <c r="I367" s="2"/>
      <c r="J367" s="2"/>
      <c r="K367" s="2"/>
      <c r="L367" s="2"/>
      <c r="M367" s="2"/>
      <c r="N367" s="2"/>
      <c r="O367" s="2"/>
      <c r="P367" s="10"/>
      <c r="Q367" s="2"/>
      <c r="R367" s="497">
        <f t="shared" ref="R367:AW367" si="506">R$603*$R156</f>
        <v>2349.4938362838452</v>
      </c>
      <c r="S367" s="497">
        <f t="shared" si="506"/>
        <v>2349.4938362838452</v>
      </c>
      <c r="T367" s="497">
        <f t="shared" si="506"/>
        <v>2349.4938362838452</v>
      </c>
      <c r="U367" s="497">
        <f t="shared" si="506"/>
        <v>2349.4938362838452</v>
      </c>
      <c r="V367" s="497">
        <f t="shared" si="506"/>
        <v>2349.4938362838452</v>
      </c>
      <c r="W367" s="497">
        <f t="shared" si="506"/>
        <v>2349.4938362838452</v>
      </c>
      <c r="X367" s="497">
        <f t="shared" si="506"/>
        <v>2349.4938362838452</v>
      </c>
      <c r="Y367" s="497">
        <f t="shared" si="506"/>
        <v>2349.4938362838452</v>
      </c>
      <c r="Z367" s="497">
        <f t="shared" si="506"/>
        <v>2349.4938362838452</v>
      </c>
      <c r="AA367" s="497">
        <f t="shared" si="506"/>
        <v>2349.4938362838452</v>
      </c>
      <c r="AB367" s="497">
        <f t="shared" si="506"/>
        <v>2349.4938362838452</v>
      </c>
      <c r="AC367" s="497">
        <f t="shared" si="506"/>
        <v>2349.4938362838452</v>
      </c>
      <c r="AD367" s="497">
        <f t="shared" si="506"/>
        <v>2349.4938362838452</v>
      </c>
      <c r="AE367" s="497">
        <f t="shared" si="506"/>
        <v>2349.4938362838452</v>
      </c>
      <c r="AF367" s="497">
        <f t="shared" si="506"/>
        <v>2349.4938362838452</v>
      </c>
      <c r="AG367" s="497">
        <f t="shared" si="506"/>
        <v>2349.4938362838452</v>
      </c>
      <c r="AH367" s="497">
        <f t="shared" si="506"/>
        <v>2349.4938362838452</v>
      </c>
      <c r="AI367" s="497">
        <f t="shared" si="506"/>
        <v>2349.4938362838452</v>
      </c>
      <c r="AJ367" s="497">
        <f t="shared" si="506"/>
        <v>2349.4938362838452</v>
      </c>
      <c r="AK367" s="497">
        <f t="shared" si="506"/>
        <v>2349.4938362838452</v>
      </c>
      <c r="AL367" s="497">
        <f t="shared" si="506"/>
        <v>2349.4938362838452</v>
      </c>
      <c r="AM367" s="497">
        <f t="shared" si="506"/>
        <v>2349.4938362838452</v>
      </c>
      <c r="AN367" s="527">
        <f t="shared" si="506"/>
        <v>2349.4938362838452</v>
      </c>
      <c r="AO367" s="527">
        <f t="shared" si="506"/>
        <v>2349.4938362838452</v>
      </c>
      <c r="AP367" s="527">
        <f t="shared" si="506"/>
        <v>2349.4938362838452</v>
      </c>
      <c r="AQ367" s="527">
        <f t="shared" si="506"/>
        <v>2349.4938362838452</v>
      </c>
      <c r="AR367" s="527">
        <f t="shared" si="506"/>
        <v>2349.4938362838452</v>
      </c>
      <c r="AS367" s="527">
        <f t="shared" si="506"/>
        <v>2349.4938362838452</v>
      </c>
      <c r="AT367" s="527">
        <f t="shared" si="506"/>
        <v>2349.4938362838452</v>
      </c>
      <c r="AU367" s="527">
        <f t="shared" si="506"/>
        <v>2349.4938362838452</v>
      </c>
      <c r="AV367" s="527">
        <f t="shared" si="506"/>
        <v>2349.4938362838452</v>
      </c>
      <c r="AW367" s="527">
        <f t="shared" si="506"/>
        <v>2349.4938362838452</v>
      </c>
      <c r="AX367" s="527">
        <f t="shared" ref="AX367:BY367" si="507">AX$603*$R156</f>
        <v>2349.4938362838452</v>
      </c>
      <c r="AY367" s="527">
        <f t="shared" si="507"/>
        <v>2349.4938362838452</v>
      </c>
      <c r="AZ367" s="527">
        <f t="shared" si="507"/>
        <v>2349.4938362838452</v>
      </c>
      <c r="BA367" s="527">
        <f t="shared" si="507"/>
        <v>2349.4938362838452</v>
      </c>
      <c r="BB367" s="527">
        <f t="shared" si="507"/>
        <v>2349.4938362838452</v>
      </c>
      <c r="BC367" s="527">
        <f t="shared" si="507"/>
        <v>2349.4938362838452</v>
      </c>
      <c r="BD367" s="527">
        <f t="shared" si="507"/>
        <v>2349.4938362838452</v>
      </c>
      <c r="BE367" s="527">
        <f t="shared" si="507"/>
        <v>2349.4938362838452</v>
      </c>
      <c r="BF367" s="527">
        <f t="shared" si="507"/>
        <v>2349.4938362838452</v>
      </c>
      <c r="BG367" s="527">
        <f t="shared" si="507"/>
        <v>2349.4938362838452</v>
      </c>
      <c r="BH367" s="527">
        <f t="shared" si="507"/>
        <v>2349.4938362838452</v>
      </c>
      <c r="BI367" s="527">
        <f t="shared" si="507"/>
        <v>2349.4938362838452</v>
      </c>
      <c r="BJ367" s="527">
        <f t="shared" si="507"/>
        <v>2349.4938362838452</v>
      </c>
      <c r="BK367" s="527">
        <f t="shared" si="507"/>
        <v>2349.4938362838452</v>
      </c>
      <c r="BL367" s="527">
        <f t="shared" si="507"/>
        <v>2349.4938362838452</v>
      </c>
      <c r="BM367" s="527">
        <f t="shared" si="507"/>
        <v>2349.4938362838452</v>
      </c>
      <c r="BN367" s="527">
        <f t="shared" si="507"/>
        <v>2349.4938362838452</v>
      </c>
      <c r="BO367" s="527">
        <f t="shared" si="507"/>
        <v>2349.4938362838452</v>
      </c>
      <c r="BP367" s="527">
        <f t="shared" si="507"/>
        <v>2349.4938362838452</v>
      </c>
      <c r="BQ367" s="527">
        <f t="shared" si="507"/>
        <v>2349.4938362838452</v>
      </c>
      <c r="BR367" s="527">
        <f t="shared" si="507"/>
        <v>2349.4938362838452</v>
      </c>
      <c r="BS367" s="527">
        <f t="shared" si="507"/>
        <v>2349.4938362838452</v>
      </c>
      <c r="BT367" s="527">
        <f t="shared" si="507"/>
        <v>2349.4938362838452</v>
      </c>
      <c r="BU367" s="527">
        <f t="shared" si="507"/>
        <v>2349.4938362838452</v>
      </c>
      <c r="BV367" s="527">
        <f t="shared" si="507"/>
        <v>2349.4938362838452</v>
      </c>
      <c r="BW367" s="527">
        <f t="shared" si="507"/>
        <v>2349.4938362838452</v>
      </c>
      <c r="BX367" s="527">
        <f t="shared" si="507"/>
        <v>2349.4938362838452</v>
      </c>
      <c r="BY367" s="527">
        <f t="shared" si="507"/>
        <v>2349.4938362838452</v>
      </c>
    </row>
    <row r="368" spans="3:77" x14ac:dyDescent="0.3">
      <c r="C368" s="2"/>
      <c r="D368" s="2"/>
      <c r="E368" s="132" t="str">
        <f>"Machines income: "&amp;E$157</f>
        <v>Machines income: FY29 Tranche</v>
      </c>
      <c r="F368" s="2"/>
      <c r="G368" s="2"/>
      <c r="H368" s="2"/>
      <c r="I368" s="2"/>
      <c r="J368" s="2"/>
      <c r="K368" s="2"/>
      <c r="L368" s="2"/>
      <c r="M368" s="2"/>
      <c r="N368" s="2"/>
      <c r="O368" s="2"/>
      <c r="P368" s="10"/>
      <c r="Q368" s="2"/>
      <c r="R368" s="497">
        <f t="shared" ref="R368:AW368" si="508">R$603*$R157</f>
        <v>2349.4938362838452</v>
      </c>
      <c r="S368" s="497">
        <f t="shared" si="508"/>
        <v>2349.4938362838452</v>
      </c>
      <c r="T368" s="497">
        <f t="shared" si="508"/>
        <v>2349.4938362838452</v>
      </c>
      <c r="U368" s="497">
        <f t="shared" si="508"/>
        <v>2349.4938362838452</v>
      </c>
      <c r="V368" s="497">
        <f t="shared" si="508"/>
        <v>2349.4938362838452</v>
      </c>
      <c r="W368" s="497">
        <f t="shared" si="508"/>
        <v>2349.4938362838452</v>
      </c>
      <c r="X368" s="497">
        <f t="shared" si="508"/>
        <v>2349.4938362838452</v>
      </c>
      <c r="Y368" s="497">
        <f t="shared" si="508"/>
        <v>2349.4938362838452</v>
      </c>
      <c r="Z368" s="497">
        <f t="shared" si="508"/>
        <v>2349.4938362838452</v>
      </c>
      <c r="AA368" s="497">
        <f t="shared" si="508"/>
        <v>2349.4938362838452</v>
      </c>
      <c r="AB368" s="497">
        <f t="shared" si="508"/>
        <v>2349.4938362838452</v>
      </c>
      <c r="AC368" s="497">
        <f t="shared" si="508"/>
        <v>2349.4938362838452</v>
      </c>
      <c r="AD368" s="497">
        <f t="shared" si="508"/>
        <v>2349.4938362838452</v>
      </c>
      <c r="AE368" s="497">
        <f t="shared" si="508"/>
        <v>2349.4938362838452</v>
      </c>
      <c r="AF368" s="497">
        <f t="shared" si="508"/>
        <v>2349.4938362838452</v>
      </c>
      <c r="AG368" s="497">
        <f t="shared" si="508"/>
        <v>2349.4938362838452</v>
      </c>
      <c r="AH368" s="497">
        <f t="shared" si="508"/>
        <v>2349.4938362838452</v>
      </c>
      <c r="AI368" s="497">
        <f t="shared" si="508"/>
        <v>2349.4938362838452</v>
      </c>
      <c r="AJ368" s="497">
        <f t="shared" si="508"/>
        <v>2349.4938362838452</v>
      </c>
      <c r="AK368" s="497">
        <f t="shared" si="508"/>
        <v>2349.4938362838452</v>
      </c>
      <c r="AL368" s="497">
        <f t="shared" si="508"/>
        <v>2349.4938362838452</v>
      </c>
      <c r="AM368" s="497">
        <f t="shared" si="508"/>
        <v>2349.4938362838452</v>
      </c>
      <c r="AN368" s="527">
        <f t="shared" si="508"/>
        <v>2349.4938362838452</v>
      </c>
      <c r="AO368" s="527">
        <f t="shared" si="508"/>
        <v>2349.4938362838452</v>
      </c>
      <c r="AP368" s="527">
        <f t="shared" si="508"/>
        <v>2349.4938362838452</v>
      </c>
      <c r="AQ368" s="527">
        <f t="shared" si="508"/>
        <v>2349.4938362838452</v>
      </c>
      <c r="AR368" s="527">
        <f t="shared" si="508"/>
        <v>2349.4938362838452</v>
      </c>
      <c r="AS368" s="527">
        <f t="shared" si="508"/>
        <v>2349.4938362838452</v>
      </c>
      <c r="AT368" s="527">
        <f t="shared" si="508"/>
        <v>2349.4938362838452</v>
      </c>
      <c r="AU368" s="527">
        <f t="shared" si="508"/>
        <v>2349.4938362838452</v>
      </c>
      <c r="AV368" s="527">
        <f t="shared" si="508"/>
        <v>2349.4938362838452</v>
      </c>
      <c r="AW368" s="527">
        <f t="shared" si="508"/>
        <v>2349.4938362838452</v>
      </c>
      <c r="AX368" s="527">
        <f t="shared" ref="AX368:BY368" si="509">AX$603*$R157</f>
        <v>2349.4938362838452</v>
      </c>
      <c r="AY368" s="527">
        <f t="shared" si="509"/>
        <v>2349.4938362838452</v>
      </c>
      <c r="AZ368" s="527">
        <f t="shared" si="509"/>
        <v>2349.4938362838452</v>
      </c>
      <c r="BA368" s="527">
        <f t="shared" si="509"/>
        <v>2349.4938362838452</v>
      </c>
      <c r="BB368" s="527">
        <f t="shared" si="509"/>
        <v>2349.4938362838452</v>
      </c>
      <c r="BC368" s="527">
        <f t="shared" si="509"/>
        <v>2349.4938362838452</v>
      </c>
      <c r="BD368" s="527">
        <f t="shared" si="509"/>
        <v>2349.4938362838452</v>
      </c>
      <c r="BE368" s="527">
        <f t="shared" si="509"/>
        <v>2349.4938362838452</v>
      </c>
      <c r="BF368" s="527">
        <f t="shared" si="509"/>
        <v>2349.4938362838452</v>
      </c>
      <c r="BG368" s="527">
        <f t="shared" si="509"/>
        <v>2349.4938362838452</v>
      </c>
      <c r="BH368" s="527">
        <f t="shared" si="509"/>
        <v>2349.4938362838452</v>
      </c>
      <c r="BI368" s="527">
        <f t="shared" si="509"/>
        <v>2349.4938362838452</v>
      </c>
      <c r="BJ368" s="527">
        <f t="shared" si="509"/>
        <v>2349.4938362838452</v>
      </c>
      <c r="BK368" s="527">
        <f t="shared" si="509"/>
        <v>2349.4938362838452</v>
      </c>
      <c r="BL368" s="527">
        <f t="shared" si="509"/>
        <v>2349.4938362838452</v>
      </c>
      <c r="BM368" s="527">
        <f t="shared" si="509"/>
        <v>2349.4938362838452</v>
      </c>
      <c r="BN368" s="527">
        <f t="shared" si="509"/>
        <v>2349.4938362838452</v>
      </c>
      <c r="BO368" s="527">
        <f t="shared" si="509"/>
        <v>2349.4938362838452</v>
      </c>
      <c r="BP368" s="527">
        <f t="shared" si="509"/>
        <v>2349.4938362838452</v>
      </c>
      <c r="BQ368" s="527">
        <f t="shared" si="509"/>
        <v>2349.4938362838452</v>
      </c>
      <c r="BR368" s="527">
        <f t="shared" si="509"/>
        <v>2349.4938362838452</v>
      </c>
      <c r="BS368" s="527">
        <f t="shared" si="509"/>
        <v>2349.4938362838452</v>
      </c>
      <c r="BT368" s="527">
        <f t="shared" si="509"/>
        <v>2349.4938362838452</v>
      </c>
      <c r="BU368" s="527">
        <f t="shared" si="509"/>
        <v>2349.4938362838452</v>
      </c>
      <c r="BV368" s="527">
        <f t="shared" si="509"/>
        <v>2349.4938362838452</v>
      </c>
      <c r="BW368" s="527">
        <f t="shared" si="509"/>
        <v>2349.4938362838452</v>
      </c>
      <c r="BX368" s="527">
        <f t="shared" si="509"/>
        <v>2349.4938362838452</v>
      </c>
      <c r="BY368" s="527">
        <f t="shared" si="509"/>
        <v>2349.4938362838452</v>
      </c>
    </row>
    <row r="369" spans="3:77" x14ac:dyDescent="0.3">
      <c r="C369" s="2"/>
      <c r="D369" s="2"/>
      <c r="E369" s="132" t="str">
        <f>"Machines income: "&amp;E$158</f>
        <v>Machines income: FY30 Tranche</v>
      </c>
      <c r="F369" s="2"/>
      <c r="G369" s="2"/>
      <c r="H369" s="2"/>
      <c r="I369" s="2"/>
      <c r="J369" s="2"/>
      <c r="K369" s="2"/>
      <c r="L369" s="2"/>
      <c r="M369" s="2"/>
      <c r="N369" s="2"/>
      <c r="O369" s="2"/>
      <c r="P369" s="10"/>
      <c r="Q369" s="2"/>
      <c r="R369" s="497">
        <f t="shared" ref="R369:AW369" si="510">R$603*$R158</f>
        <v>2349.4938362838452</v>
      </c>
      <c r="S369" s="497">
        <f t="shared" si="510"/>
        <v>2349.4938362838452</v>
      </c>
      <c r="T369" s="497">
        <f t="shared" si="510"/>
        <v>2349.4938362838452</v>
      </c>
      <c r="U369" s="497">
        <f t="shared" si="510"/>
        <v>2349.4938362838452</v>
      </c>
      <c r="V369" s="497">
        <f t="shared" si="510"/>
        <v>2349.4938362838452</v>
      </c>
      <c r="W369" s="497">
        <f t="shared" si="510"/>
        <v>2349.4938362838452</v>
      </c>
      <c r="X369" s="497">
        <f t="shared" si="510"/>
        <v>2349.4938362838452</v>
      </c>
      <c r="Y369" s="497">
        <f t="shared" si="510"/>
        <v>2349.4938362838452</v>
      </c>
      <c r="Z369" s="497">
        <f t="shared" si="510"/>
        <v>2349.4938362838452</v>
      </c>
      <c r="AA369" s="497">
        <f t="shared" si="510"/>
        <v>2349.4938362838452</v>
      </c>
      <c r="AB369" s="497">
        <f t="shared" si="510"/>
        <v>2349.4938362838452</v>
      </c>
      <c r="AC369" s="497">
        <f t="shared" si="510"/>
        <v>2349.4938362838452</v>
      </c>
      <c r="AD369" s="497">
        <f t="shared" si="510"/>
        <v>2349.4938362838452</v>
      </c>
      <c r="AE369" s="497">
        <f t="shared" si="510"/>
        <v>2349.4938362838452</v>
      </c>
      <c r="AF369" s="497">
        <f t="shared" si="510"/>
        <v>2349.4938362838452</v>
      </c>
      <c r="AG369" s="497">
        <f t="shared" si="510"/>
        <v>2349.4938362838452</v>
      </c>
      <c r="AH369" s="497">
        <f t="shared" si="510"/>
        <v>2349.4938362838452</v>
      </c>
      <c r="AI369" s="497">
        <f t="shared" si="510"/>
        <v>2349.4938362838452</v>
      </c>
      <c r="AJ369" s="497">
        <f t="shared" si="510"/>
        <v>2349.4938362838452</v>
      </c>
      <c r="AK369" s="497">
        <f t="shared" si="510"/>
        <v>2349.4938362838452</v>
      </c>
      <c r="AL369" s="497">
        <f t="shared" si="510"/>
        <v>2349.4938362838452</v>
      </c>
      <c r="AM369" s="497">
        <f t="shared" si="510"/>
        <v>2349.4938362838452</v>
      </c>
      <c r="AN369" s="527">
        <f t="shared" si="510"/>
        <v>2349.4938362838452</v>
      </c>
      <c r="AO369" s="527">
        <f t="shared" si="510"/>
        <v>2349.4938362838452</v>
      </c>
      <c r="AP369" s="527">
        <f t="shared" si="510"/>
        <v>2349.4938362838452</v>
      </c>
      <c r="AQ369" s="527">
        <f t="shared" si="510"/>
        <v>2349.4938362838452</v>
      </c>
      <c r="AR369" s="527">
        <f t="shared" si="510"/>
        <v>2349.4938362838452</v>
      </c>
      <c r="AS369" s="527">
        <f t="shared" si="510"/>
        <v>2349.4938362838452</v>
      </c>
      <c r="AT369" s="527">
        <f t="shared" si="510"/>
        <v>2349.4938362838452</v>
      </c>
      <c r="AU369" s="527">
        <f t="shared" si="510"/>
        <v>2349.4938362838452</v>
      </c>
      <c r="AV369" s="527">
        <f t="shared" si="510"/>
        <v>2349.4938362838452</v>
      </c>
      <c r="AW369" s="527">
        <f t="shared" si="510"/>
        <v>2349.4938362838452</v>
      </c>
      <c r="AX369" s="527">
        <f t="shared" ref="AX369:BY369" si="511">AX$603*$R158</f>
        <v>2349.4938362838452</v>
      </c>
      <c r="AY369" s="527">
        <f t="shared" si="511"/>
        <v>2349.4938362838452</v>
      </c>
      <c r="AZ369" s="527">
        <f t="shared" si="511"/>
        <v>2349.4938362838452</v>
      </c>
      <c r="BA369" s="527">
        <f t="shared" si="511"/>
        <v>2349.4938362838452</v>
      </c>
      <c r="BB369" s="527">
        <f t="shared" si="511"/>
        <v>2349.4938362838452</v>
      </c>
      <c r="BC369" s="527">
        <f t="shared" si="511"/>
        <v>2349.4938362838452</v>
      </c>
      <c r="BD369" s="527">
        <f t="shared" si="511"/>
        <v>2349.4938362838452</v>
      </c>
      <c r="BE369" s="527">
        <f t="shared" si="511"/>
        <v>2349.4938362838452</v>
      </c>
      <c r="BF369" s="527">
        <f t="shared" si="511"/>
        <v>2349.4938362838452</v>
      </c>
      <c r="BG369" s="527">
        <f t="shared" si="511"/>
        <v>2349.4938362838452</v>
      </c>
      <c r="BH369" s="527">
        <f t="shared" si="511"/>
        <v>2349.4938362838452</v>
      </c>
      <c r="BI369" s="527">
        <f t="shared" si="511"/>
        <v>2349.4938362838452</v>
      </c>
      <c r="BJ369" s="527">
        <f t="shared" si="511"/>
        <v>2349.4938362838452</v>
      </c>
      <c r="BK369" s="527">
        <f t="shared" si="511"/>
        <v>2349.4938362838452</v>
      </c>
      <c r="BL369" s="527">
        <f t="shared" si="511"/>
        <v>2349.4938362838452</v>
      </c>
      <c r="BM369" s="527">
        <f t="shared" si="511"/>
        <v>2349.4938362838452</v>
      </c>
      <c r="BN369" s="527">
        <f t="shared" si="511"/>
        <v>2349.4938362838452</v>
      </c>
      <c r="BO369" s="527">
        <f t="shared" si="511"/>
        <v>2349.4938362838452</v>
      </c>
      <c r="BP369" s="527">
        <f t="shared" si="511"/>
        <v>2349.4938362838452</v>
      </c>
      <c r="BQ369" s="527">
        <f t="shared" si="511"/>
        <v>2349.4938362838452</v>
      </c>
      <c r="BR369" s="527">
        <f t="shared" si="511"/>
        <v>2349.4938362838452</v>
      </c>
      <c r="BS369" s="527">
        <f t="shared" si="511"/>
        <v>2349.4938362838452</v>
      </c>
      <c r="BT369" s="527">
        <f t="shared" si="511"/>
        <v>2349.4938362838452</v>
      </c>
      <c r="BU369" s="527">
        <f t="shared" si="511"/>
        <v>2349.4938362838452</v>
      </c>
      <c r="BV369" s="527">
        <f t="shared" si="511"/>
        <v>2349.4938362838452</v>
      </c>
      <c r="BW369" s="527">
        <f t="shared" si="511"/>
        <v>2349.4938362838452</v>
      </c>
      <c r="BX369" s="527">
        <f t="shared" si="511"/>
        <v>2349.4938362838452</v>
      </c>
      <c r="BY369" s="527">
        <f t="shared" si="511"/>
        <v>2349.4938362838452</v>
      </c>
    </row>
    <row r="370" spans="3:77" x14ac:dyDescent="0.3">
      <c r="C370" s="2"/>
      <c r="D370" s="2"/>
      <c r="E370" s="132" t="str">
        <f>"Machines income: "&amp;E$159</f>
        <v>Machines income: FY31 Tranche</v>
      </c>
      <c r="F370" s="2"/>
      <c r="G370" s="2"/>
      <c r="H370" s="2"/>
      <c r="I370" s="2"/>
      <c r="J370" s="2"/>
      <c r="K370" s="2"/>
      <c r="L370" s="2"/>
      <c r="M370" s="2"/>
      <c r="N370" s="2"/>
      <c r="O370" s="2"/>
      <c r="P370" s="10"/>
      <c r="Q370" s="2"/>
      <c r="R370" s="497">
        <f t="shared" ref="R370:AW370" si="512">R$603*$R159</f>
        <v>2349.4938362838452</v>
      </c>
      <c r="S370" s="497">
        <f t="shared" si="512"/>
        <v>2349.4938362838452</v>
      </c>
      <c r="T370" s="497">
        <f t="shared" si="512"/>
        <v>2349.4938362838452</v>
      </c>
      <c r="U370" s="497">
        <f t="shared" si="512"/>
        <v>2349.4938362838452</v>
      </c>
      <c r="V370" s="497">
        <f t="shared" si="512"/>
        <v>2349.4938362838452</v>
      </c>
      <c r="W370" s="497">
        <f t="shared" si="512"/>
        <v>2349.4938362838452</v>
      </c>
      <c r="X370" s="497">
        <f t="shared" si="512"/>
        <v>2349.4938362838452</v>
      </c>
      <c r="Y370" s="497">
        <f t="shared" si="512"/>
        <v>2349.4938362838452</v>
      </c>
      <c r="Z370" s="497">
        <f t="shared" si="512"/>
        <v>2349.4938362838452</v>
      </c>
      <c r="AA370" s="497">
        <f t="shared" si="512"/>
        <v>2349.4938362838452</v>
      </c>
      <c r="AB370" s="497">
        <f t="shared" si="512"/>
        <v>2349.4938362838452</v>
      </c>
      <c r="AC370" s="497">
        <f t="shared" si="512"/>
        <v>2349.4938362838452</v>
      </c>
      <c r="AD370" s="497">
        <f t="shared" si="512"/>
        <v>2349.4938362838452</v>
      </c>
      <c r="AE370" s="497">
        <f t="shared" si="512"/>
        <v>2349.4938362838452</v>
      </c>
      <c r="AF370" s="497">
        <f t="shared" si="512"/>
        <v>2349.4938362838452</v>
      </c>
      <c r="AG370" s="497">
        <f t="shared" si="512"/>
        <v>2349.4938362838452</v>
      </c>
      <c r="AH370" s="497">
        <f t="shared" si="512"/>
        <v>2349.4938362838452</v>
      </c>
      <c r="AI370" s="497">
        <f t="shared" si="512"/>
        <v>2349.4938362838452</v>
      </c>
      <c r="AJ370" s="497">
        <f t="shared" si="512"/>
        <v>2349.4938362838452</v>
      </c>
      <c r="AK370" s="497">
        <f t="shared" si="512"/>
        <v>2349.4938362838452</v>
      </c>
      <c r="AL370" s="497">
        <f t="shared" si="512"/>
        <v>2349.4938362838452</v>
      </c>
      <c r="AM370" s="497">
        <f t="shared" si="512"/>
        <v>2349.4938362838452</v>
      </c>
      <c r="AN370" s="527">
        <f t="shared" si="512"/>
        <v>2349.4938362838452</v>
      </c>
      <c r="AO370" s="527">
        <f t="shared" si="512"/>
        <v>2349.4938362838452</v>
      </c>
      <c r="AP370" s="527">
        <f t="shared" si="512"/>
        <v>2349.4938362838452</v>
      </c>
      <c r="AQ370" s="527">
        <f t="shared" si="512"/>
        <v>2349.4938362838452</v>
      </c>
      <c r="AR370" s="527">
        <f t="shared" si="512"/>
        <v>2349.4938362838452</v>
      </c>
      <c r="AS370" s="527">
        <f t="shared" si="512"/>
        <v>2349.4938362838452</v>
      </c>
      <c r="AT370" s="527">
        <f t="shared" si="512"/>
        <v>2349.4938362838452</v>
      </c>
      <c r="AU370" s="527">
        <f t="shared" si="512"/>
        <v>2349.4938362838452</v>
      </c>
      <c r="AV370" s="527">
        <f t="shared" si="512"/>
        <v>2349.4938362838452</v>
      </c>
      <c r="AW370" s="527">
        <f t="shared" si="512"/>
        <v>2349.4938362838452</v>
      </c>
      <c r="AX370" s="527">
        <f t="shared" ref="AX370:BY370" si="513">AX$603*$R159</f>
        <v>2349.4938362838452</v>
      </c>
      <c r="AY370" s="527">
        <f t="shared" si="513"/>
        <v>2349.4938362838452</v>
      </c>
      <c r="AZ370" s="527">
        <f t="shared" si="513"/>
        <v>2349.4938362838452</v>
      </c>
      <c r="BA370" s="527">
        <f t="shared" si="513"/>
        <v>2349.4938362838452</v>
      </c>
      <c r="BB370" s="527">
        <f t="shared" si="513"/>
        <v>2349.4938362838452</v>
      </c>
      <c r="BC370" s="527">
        <f t="shared" si="513"/>
        <v>2349.4938362838452</v>
      </c>
      <c r="BD370" s="527">
        <f t="shared" si="513"/>
        <v>2349.4938362838452</v>
      </c>
      <c r="BE370" s="527">
        <f t="shared" si="513"/>
        <v>2349.4938362838452</v>
      </c>
      <c r="BF370" s="527">
        <f t="shared" si="513"/>
        <v>2349.4938362838452</v>
      </c>
      <c r="BG370" s="527">
        <f t="shared" si="513"/>
        <v>2349.4938362838452</v>
      </c>
      <c r="BH370" s="527">
        <f t="shared" si="513"/>
        <v>2349.4938362838452</v>
      </c>
      <c r="BI370" s="527">
        <f t="shared" si="513"/>
        <v>2349.4938362838452</v>
      </c>
      <c r="BJ370" s="527">
        <f t="shared" si="513"/>
        <v>2349.4938362838452</v>
      </c>
      <c r="BK370" s="527">
        <f t="shared" si="513"/>
        <v>2349.4938362838452</v>
      </c>
      <c r="BL370" s="527">
        <f t="shared" si="513"/>
        <v>2349.4938362838452</v>
      </c>
      <c r="BM370" s="527">
        <f t="shared" si="513"/>
        <v>2349.4938362838452</v>
      </c>
      <c r="BN370" s="527">
        <f t="shared" si="513"/>
        <v>2349.4938362838452</v>
      </c>
      <c r="BO370" s="527">
        <f t="shared" si="513"/>
        <v>2349.4938362838452</v>
      </c>
      <c r="BP370" s="527">
        <f t="shared" si="513"/>
        <v>2349.4938362838452</v>
      </c>
      <c r="BQ370" s="527">
        <f t="shared" si="513"/>
        <v>2349.4938362838452</v>
      </c>
      <c r="BR370" s="527">
        <f t="shared" si="513"/>
        <v>2349.4938362838452</v>
      </c>
      <c r="BS370" s="527">
        <f t="shared" si="513"/>
        <v>2349.4938362838452</v>
      </c>
      <c r="BT370" s="527">
        <f t="shared" si="513"/>
        <v>2349.4938362838452</v>
      </c>
      <c r="BU370" s="527">
        <f t="shared" si="513"/>
        <v>2349.4938362838452</v>
      </c>
      <c r="BV370" s="527">
        <f t="shared" si="513"/>
        <v>2349.4938362838452</v>
      </c>
      <c r="BW370" s="527">
        <f t="shared" si="513"/>
        <v>2349.4938362838452</v>
      </c>
      <c r="BX370" s="527">
        <f t="shared" si="513"/>
        <v>2349.4938362838452</v>
      </c>
      <c r="BY370" s="527">
        <f t="shared" si="513"/>
        <v>2349.4938362838452</v>
      </c>
    </row>
    <row r="371" spans="3:77" x14ac:dyDescent="0.3">
      <c r="C371" s="2"/>
      <c r="D371" s="2"/>
      <c r="E371" s="132" t="str">
        <f>"Machines income: "&amp;E$160</f>
        <v>Machines income: Uninvested Tranche</v>
      </c>
      <c r="F371" s="2"/>
      <c r="G371" s="2"/>
      <c r="H371" s="2"/>
      <c r="I371" s="2"/>
      <c r="J371" s="2"/>
      <c r="K371" s="2"/>
      <c r="L371" s="2"/>
      <c r="M371" s="2"/>
      <c r="N371" s="2"/>
      <c r="O371" s="2"/>
      <c r="P371" s="10"/>
      <c r="Q371" s="2"/>
      <c r="R371" s="497">
        <f t="shared" ref="R371:AW371" si="514">R$603*$R160</f>
        <v>6578.582741594767</v>
      </c>
      <c r="S371" s="497">
        <f t="shared" si="514"/>
        <v>6578.582741594767</v>
      </c>
      <c r="T371" s="497">
        <f t="shared" si="514"/>
        <v>6578.582741594767</v>
      </c>
      <c r="U371" s="497">
        <f t="shared" si="514"/>
        <v>6578.582741594767</v>
      </c>
      <c r="V371" s="497">
        <f t="shared" si="514"/>
        <v>6578.582741594767</v>
      </c>
      <c r="W371" s="497">
        <f t="shared" si="514"/>
        <v>6578.582741594767</v>
      </c>
      <c r="X371" s="497">
        <f t="shared" si="514"/>
        <v>6578.582741594767</v>
      </c>
      <c r="Y371" s="497">
        <f t="shared" si="514"/>
        <v>6578.582741594767</v>
      </c>
      <c r="Z371" s="497">
        <f t="shared" si="514"/>
        <v>6578.582741594767</v>
      </c>
      <c r="AA371" s="497">
        <f t="shared" si="514"/>
        <v>6578.582741594767</v>
      </c>
      <c r="AB371" s="497">
        <f t="shared" si="514"/>
        <v>6578.582741594767</v>
      </c>
      <c r="AC371" s="497">
        <f t="shared" si="514"/>
        <v>6578.582741594767</v>
      </c>
      <c r="AD371" s="497">
        <f t="shared" si="514"/>
        <v>6578.582741594767</v>
      </c>
      <c r="AE371" s="497">
        <f t="shared" si="514"/>
        <v>6578.582741594767</v>
      </c>
      <c r="AF371" s="497">
        <f t="shared" si="514"/>
        <v>6578.582741594767</v>
      </c>
      <c r="AG371" s="497">
        <f t="shared" si="514"/>
        <v>6578.582741594767</v>
      </c>
      <c r="AH371" s="497">
        <f t="shared" si="514"/>
        <v>6578.582741594767</v>
      </c>
      <c r="AI371" s="497">
        <f t="shared" si="514"/>
        <v>6578.582741594767</v>
      </c>
      <c r="AJ371" s="497">
        <f t="shared" si="514"/>
        <v>6578.582741594767</v>
      </c>
      <c r="AK371" s="497">
        <f t="shared" si="514"/>
        <v>6578.582741594767</v>
      </c>
      <c r="AL371" s="497">
        <f t="shared" si="514"/>
        <v>6578.582741594767</v>
      </c>
      <c r="AM371" s="497">
        <f t="shared" si="514"/>
        <v>6578.582741594767</v>
      </c>
      <c r="AN371" s="527">
        <f t="shared" si="514"/>
        <v>6578.582741594767</v>
      </c>
      <c r="AO371" s="527">
        <f t="shared" si="514"/>
        <v>6578.582741594767</v>
      </c>
      <c r="AP371" s="527">
        <f t="shared" si="514"/>
        <v>6578.582741594767</v>
      </c>
      <c r="AQ371" s="527">
        <f t="shared" si="514"/>
        <v>6578.582741594767</v>
      </c>
      <c r="AR371" s="527">
        <f t="shared" si="514"/>
        <v>6578.582741594767</v>
      </c>
      <c r="AS371" s="527">
        <f t="shared" si="514"/>
        <v>6578.582741594767</v>
      </c>
      <c r="AT371" s="527">
        <f t="shared" si="514"/>
        <v>6578.582741594767</v>
      </c>
      <c r="AU371" s="527">
        <f t="shared" si="514"/>
        <v>6578.582741594767</v>
      </c>
      <c r="AV371" s="527">
        <f t="shared" si="514"/>
        <v>6578.582741594767</v>
      </c>
      <c r="AW371" s="527">
        <f t="shared" si="514"/>
        <v>6578.582741594767</v>
      </c>
      <c r="AX371" s="527">
        <f t="shared" ref="AX371:BY371" si="515">AX$603*$R160</f>
        <v>6578.582741594767</v>
      </c>
      <c r="AY371" s="527">
        <f t="shared" si="515"/>
        <v>6578.582741594767</v>
      </c>
      <c r="AZ371" s="527">
        <f t="shared" si="515"/>
        <v>6578.582741594767</v>
      </c>
      <c r="BA371" s="527">
        <f t="shared" si="515"/>
        <v>6578.582741594767</v>
      </c>
      <c r="BB371" s="527">
        <f t="shared" si="515"/>
        <v>6578.582741594767</v>
      </c>
      <c r="BC371" s="527">
        <f t="shared" si="515"/>
        <v>6578.582741594767</v>
      </c>
      <c r="BD371" s="527">
        <f t="shared" si="515"/>
        <v>6578.582741594767</v>
      </c>
      <c r="BE371" s="527">
        <f t="shared" si="515"/>
        <v>6578.582741594767</v>
      </c>
      <c r="BF371" s="527">
        <f t="shared" si="515"/>
        <v>6578.582741594767</v>
      </c>
      <c r="BG371" s="527">
        <f t="shared" si="515"/>
        <v>6578.582741594767</v>
      </c>
      <c r="BH371" s="527">
        <f t="shared" si="515"/>
        <v>6578.582741594767</v>
      </c>
      <c r="BI371" s="527">
        <f t="shared" si="515"/>
        <v>6578.582741594767</v>
      </c>
      <c r="BJ371" s="527">
        <f t="shared" si="515"/>
        <v>6578.582741594767</v>
      </c>
      <c r="BK371" s="527">
        <f t="shared" si="515"/>
        <v>6578.582741594767</v>
      </c>
      <c r="BL371" s="527">
        <f t="shared" si="515"/>
        <v>6578.582741594767</v>
      </c>
      <c r="BM371" s="527">
        <f t="shared" si="515"/>
        <v>6578.582741594767</v>
      </c>
      <c r="BN371" s="527">
        <f t="shared" si="515"/>
        <v>6578.582741594767</v>
      </c>
      <c r="BO371" s="527">
        <f t="shared" si="515"/>
        <v>6578.582741594767</v>
      </c>
      <c r="BP371" s="527">
        <f t="shared" si="515"/>
        <v>6578.582741594767</v>
      </c>
      <c r="BQ371" s="527">
        <f t="shared" si="515"/>
        <v>6578.582741594767</v>
      </c>
      <c r="BR371" s="527">
        <f t="shared" si="515"/>
        <v>6578.582741594767</v>
      </c>
      <c r="BS371" s="527">
        <f t="shared" si="515"/>
        <v>6578.582741594767</v>
      </c>
      <c r="BT371" s="527">
        <f t="shared" si="515"/>
        <v>6578.582741594767</v>
      </c>
      <c r="BU371" s="527">
        <f t="shared" si="515"/>
        <v>6578.582741594767</v>
      </c>
      <c r="BV371" s="527">
        <f t="shared" si="515"/>
        <v>6578.582741594767</v>
      </c>
      <c r="BW371" s="527">
        <f t="shared" si="515"/>
        <v>6578.582741594767</v>
      </c>
      <c r="BX371" s="527">
        <f t="shared" si="515"/>
        <v>6578.582741594767</v>
      </c>
      <c r="BY371" s="527">
        <f t="shared" si="515"/>
        <v>6578.582741594767</v>
      </c>
    </row>
    <row r="372" spans="3:77" x14ac:dyDescent="0.3">
      <c r="C372" s="2"/>
      <c r="D372" s="2"/>
      <c r="E372" s="4" t="s">
        <v>36</v>
      </c>
      <c r="F372" s="4"/>
      <c r="G372" s="4"/>
      <c r="H372" s="4"/>
      <c r="I372" s="4"/>
      <c r="J372" s="4"/>
      <c r="K372" s="4"/>
      <c r="L372" s="4"/>
      <c r="M372" s="4"/>
      <c r="N372" s="4"/>
      <c r="O372" s="4"/>
      <c r="P372" s="106"/>
      <c r="Q372" s="4"/>
      <c r="R372" s="498">
        <f t="shared" ref="R372:AW372" si="516">SUM(R366:R371)</f>
        <v>18326.051923013994</v>
      </c>
      <c r="S372" s="498">
        <f t="shared" si="516"/>
        <v>18326.051923013994</v>
      </c>
      <c r="T372" s="498">
        <f t="shared" si="516"/>
        <v>18326.051923013994</v>
      </c>
      <c r="U372" s="498">
        <f t="shared" si="516"/>
        <v>18326.051923013994</v>
      </c>
      <c r="V372" s="498">
        <f t="shared" si="516"/>
        <v>18326.051923013994</v>
      </c>
      <c r="W372" s="498">
        <f t="shared" si="516"/>
        <v>18326.051923013994</v>
      </c>
      <c r="X372" s="498">
        <f t="shared" si="516"/>
        <v>18326.051923013994</v>
      </c>
      <c r="Y372" s="498">
        <f t="shared" si="516"/>
        <v>18326.051923013994</v>
      </c>
      <c r="Z372" s="498">
        <f t="shared" si="516"/>
        <v>18326.051923013994</v>
      </c>
      <c r="AA372" s="498">
        <f t="shared" si="516"/>
        <v>18326.051923013994</v>
      </c>
      <c r="AB372" s="498">
        <f t="shared" si="516"/>
        <v>18326.051923013994</v>
      </c>
      <c r="AC372" s="498">
        <f t="shared" si="516"/>
        <v>18326.051923013994</v>
      </c>
      <c r="AD372" s="498">
        <f t="shared" si="516"/>
        <v>18326.051923013994</v>
      </c>
      <c r="AE372" s="498">
        <f t="shared" si="516"/>
        <v>18326.051923013994</v>
      </c>
      <c r="AF372" s="498">
        <f t="shared" si="516"/>
        <v>18326.051923013994</v>
      </c>
      <c r="AG372" s="498">
        <f t="shared" si="516"/>
        <v>18326.051923013994</v>
      </c>
      <c r="AH372" s="498">
        <f t="shared" si="516"/>
        <v>18326.051923013994</v>
      </c>
      <c r="AI372" s="498">
        <f t="shared" si="516"/>
        <v>18326.051923013994</v>
      </c>
      <c r="AJ372" s="498">
        <f t="shared" si="516"/>
        <v>18326.051923013994</v>
      </c>
      <c r="AK372" s="498">
        <f t="shared" si="516"/>
        <v>18326.051923013994</v>
      </c>
      <c r="AL372" s="498">
        <f t="shared" si="516"/>
        <v>18326.051923013994</v>
      </c>
      <c r="AM372" s="498">
        <f t="shared" si="516"/>
        <v>18326.051923013994</v>
      </c>
      <c r="AN372" s="530">
        <f t="shared" si="516"/>
        <v>18326.051923013994</v>
      </c>
      <c r="AO372" s="530">
        <f t="shared" si="516"/>
        <v>18326.051923013994</v>
      </c>
      <c r="AP372" s="530">
        <f t="shared" si="516"/>
        <v>18326.051923013994</v>
      </c>
      <c r="AQ372" s="530">
        <f t="shared" si="516"/>
        <v>18326.051923013994</v>
      </c>
      <c r="AR372" s="530">
        <f t="shared" si="516"/>
        <v>18326.051923013994</v>
      </c>
      <c r="AS372" s="530">
        <f t="shared" si="516"/>
        <v>18326.051923013994</v>
      </c>
      <c r="AT372" s="530">
        <f t="shared" si="516"/>
        <v>18326.051923013994</v>
      </c>
      <c r="AU372" s="530">
        <f t="shared" si="516"/>
        <v>18326.051923013994</v>
      </c>
      <c r="AV372" s="530">
        <f t="shared" si="516"/>
        <v>18326.051923013994</v>
      </c>
      <c r="AW372" s="530">
        <f t="shared" si="516"/>
        <v>18326.051923013994</v>
      </c>
      <c r="AX372" s="530">
        <f t="shared" ref="AX372:BY372" si="517">SUM(AX366:AX371)</f>
        <v>18326.051923013994</v>
      </c>
      <c r="AY372" s="530">
        <f t="shared" si="517"/>
        <v>18326.051923013994</v>
      </c>
      <c r="AZ372" s="530">
        <f t="shared" si="517"/>
        <v>18326.051923013994</v>
      </c>
      <c r="BA372" s="530">
        <f t="shared" si="517"/>
        <v>18326.051923013994</v>
      </c>
      <c r="BB372" s="530">
        <f t="shared" si="517"/>
        <v>18326.051923013994</v>
      </c>
      <c r="BC372" s="530">
        <f t="shared" si="517"/>
        <v>18326.051923013994</v>
      </c>
      <c r="BD372" s="530">
        <f t="shared" si="517"/>
        <v>18326.051923013994</v>
      </c>
      <c r="BE372" s="530">
        <f t="shared" si="517"/>
        <v>18326.051923013994</v>
      </c>
      <c r="BF372" s="530">
        <f t="shared" si="517"/>
        <v>18326.051923013994</v>
      </c>
      <c r="BG372" s="530">
        <f t="shared" si="517"/>
        <v>18326.051923013994</v>
      </c>
      <c r="BH372" s="530">
        <f t="shared" si="517"/>
        <v>18326.051923013994</v>
      </c>
      <c r="BI372" s="530">
        <f t="shared" si="517"/>
        <v>18326.051923013994</v>
      </c>
      <c r="BJ372" s="530">
        <f t="shared" si="517"/>
        <v>18326.051923013994</v>
      </c>
      <c r="BK372" s="530">
        <f t="shared" si="517"/>
        <v>18326.051923013994</v>
      </c>
      <c r="BL372" s="530">
        <f t="shared" si="517"/>
        <v>18326.051923013994</v>
      </c>
      <c r="BM372" s="530">
        <f t="shared" si="517"/>
        <v>18326.051923013994</v>
      </c>
      <c r="BN372" s="530">
        <f t="shared" si="517"/>
        <v>18326.051923013994</v>
      </c>
      <c r="BO372" s="530">
        <f t="shared" si="517"/>
        <v>18326.051923013994</v>
      </c>
      <c r="BP372" s="530">
        <f t="shared" si="517"/>
        <v>18326.051923013994</v>
      </c>
      <c r="BQ372" s="530">
        <f t="shared" si="517"/>
        <v>18326.051923013994</v>
      </c>
      <c r="BR372" s="530">
        <f t="shared" si="517"/>
        <v>18326.051923013994</v>
      </c>
      <c r="BS372" s="530">
        <f t="shared" si="517"/>
        <v>18326.051923013994</v>
      </c>
      <c r="BT372" s="530">
        <f t="shared" si="517"/>
        <v>18326.051923013994</v>
      </c>
      <c r="BU372" s="530">
        <f t="shared" si="517"/>
        <v>18326.051923013994</v>
      </c>
      <c r="BV372" s="530">
        <f t="shared" si="517"/>
        <v>18326.051923013994</v>
      </c>
      <c r="BW372" s="530">
        <f t="shared" si="517"/>
        <v>18326.051923013994</v>
      </c>
      <c r="BX372" s="530">
        <f t="shared" si="517"/>
        <v>18326.051923013994</v>
      </c>
      <c r="BY372" s="530">
        <f t="shared" si="517"/>
        <v>18326.051923013994</v>
      </c>
    </row>
    <row r="373" spans="3:77" x14ac:dyDescent="0.3">
      <c r="C373" s="2"/>
      <c r="D373" s="2"/>
      <c r="E373" s="2"/>
      <c r="F373" s="2"/>
      <c r="G373" s="2"/>
      <c r="H373" s="2"/>
      <c r="I373" s="2"/>
      <c r="J373" s="2"/>
      <c r="K373" s="2"/>
      <c r="L373" s="2"/>
      <c r="M373" s="2"/>
      <c r="N373" s="2"/>
      <c r="O373" s="2"/>
      <c r="P373" s="10"/>
      <c r="Q373" s="2"/>
      <c r="R373" s="2"/>
      <c r="S373" s="2"/>
      <c r="T373" s="2"/>
      <c r="U373" s="2"/>
      <c r="V373" s="2"/>
      <c r="W373" s="2"/>
      <c r="X373" s="2"/>
      <c r="Y373" s="2"/>
      <c r="Z373" s="2"/>
      <c r="AA373" s="2"/>
      <c r="AB373" s="2"/>
      <c r="AC373" s="2"/>
      <c r="AD373" s="2"/>
      <c r="AE373" s="2"/>
      <c r="AF373" s="2"/>
      <c r="AG373" s="2"/>
      <c r="AH373" s="2"/>
      <c r="AI373" s="2"/>
      <c r="AJ373" s="2"/>
      <c r="AK373" s="2"/>
      <c r="AL373" s="2"/>
      <c r="AM373" s="2"/>
      <c r="AN373" s="525"/>
      <c r="AO373" s="525"/>
      <c r="AP373" s="525"/>
      <c r="AQ373" s="525"/>
      <c r="AR373" s="525"/>
      <c r="AS373" s="525"/>
      <c r="AT373" s="525"/>
      <c r="AU373" s="525"/>
      <c r="AV373" s="525"/>
      <c r="AW373" s="525"/>
      <c r="AX373" s="525"/>
      <c r="AY373" s="525"/>
      <c r="AZ373" s="525"/>
      <c r="BA373" s="525"/>
      <c r="BB373" s="525"/>
      <c r="BC373" s="525"/>
      <c r="BD373" s="525"/>
      <c r="BE373" s="525"/>
      <c r="BF373" s="525"/>
      <c r="BG373" s="525"/>
      <c r="BH373" s="525"/>
      <c r="BI373" s="525"/>
      <c r="BJ373" s="525"/>
      <c r="BK373" s="525"/>
      <c r="BL373" s="525"/>
      <c r="BM373" s="525"/>
      <c r="BN373" s="525"/>
      <c r="BO373" s="525"/>
      <c r="BP373" s="525"/>
      <c r="BQ373" s="525"/>
      <c r="BR373" s="525"/>
      <c r="BS373" s="525"/>
      <c r="BT373" s="525"/>
      <c r="BU373" s="525"/>
      <c r="BV373" s="525"/>
      <c r="BW373" s="525"/>
      <c r="BX373" s="525"/>
      <c r="BY373" s="525"/>
    </row>
    <row r="374" spans="3:77" x14ac:dyDescent="0.3">
      <c r="C374" s="2"/>
      <c r="D374" s="2"/>
      <c r="E374" s="133" t="str">
        <f>"F&amp;F income: "&amp;E$155</f>
        <v>F&amp;F income: FY27 Tranche</v>
      </c>
      <c r="F374" s="2"/>
      <c r="G374" s="2"/>
      <c r="H374" s="2"/>
      <c r="I374" s="2"/>
      <c r="J374" s="2"/>
      <c r="K374" s="2"/>
      <c r="L374" s="2"/>
      <c r="M374" s="2"/>
      <c r="N374" s="2"/>
      <c r="O374" s="2"/>
      <c r="P374" s="10"/>
      <c r="Q374" s="2"/>
      <c r="R374" s="497">
        <f t="shared" ref="R374:AW374" si="518">R$604*$R155</f>
        <v>363.46111111111099</v>
      </c>
      <c r="S374" s="497">
        <f t="shared" si="518"/>
        <v>363.46111111111099</v>
      </c>
      <c r="T374" s="497">
        <f t="shared" si="518"/>
        <v>363.46111111111099</v>
      </c>
      <c r="U374" s="497">
        <f t="shared" si="518"/>
        <v>363.46111111111099</v>
      </c>
      <c r="V374" s="497">
        <f t="shared" si="518"/>
        <v>363.46111111111099</v>
      </c>
      <c r="W374" s="497">
        <f t="shared" si="518"/>
        <v>363.46111111111099</v>
      </c>
      <c r="X374" s="497">
        <f t="shared" si="518"/>
        <v>363.46111111111099</v>
      </c>
      <c r="Y374" s="497">
        <f t="shared" si="518"/>
        <v>363.46111111111099</v>
      </c>
      <c r="Z374" s="497">
        <f t="shared" si="518"/>
        <v>363.46111111111099</v>
      </c>
      <c r="AA374" s="497">
        <f t="shared" si="518"/>
        <v>363.46111111111099</v>
      </c>
      <c r="AB374" s="497">
        <f t="shared" si="518"/>
        <v>363.46111111111099</v>
      </c>
      <c r="AC374" s="497">
        <f t="shared" si="518"/>
        <v>363.46111111111099</v>
      </c>
      <c r="AD374" s="497">
        <f t="shared" si="518"/>
        <v>363.46111111111099</v>
      </c>
      <c r="AE374" s="497">
        <f t="shared" si="518"/>
        <v>363.46111111111099</v>
      </c>
      <c r="AF374" s="497">
        <f t="shared" si="518"/>
        <v>363.46111111111099</v>
      </c>
      <c r="AG374" s="497">
        <f t="shared" si="518"/>
        <v>363.46111111111099</v>
      </c>
      <c r="AH374" s="497">
        <f t="shared" si="518"/>
        <v>363.46111111111099</v>
      </c>
      <c r="AI374" s="497">
        <f t="shared" si="518"/>
        <v>363.46111111111099</v>
      </c>
      <c r="AJ374" s="497">
        <f t="shared" si="518"/>
        <v>363.46111111111099</v>
      </c>
      <c r="AK374" s="497">
        <f t="shared" si="518"/>
        <v>363.46111111111099</v>
      </c>
      <c r="AL374" s="497">
        <f t="shared" si="518"/>
        <v>363.46111111111099</v>
      </c>
      <c r="AM374" s="497">
        <f t="shared" si="518"/>
        <v>363.46111111111099</v>
      </c>
      <c r="AN374" s="527">
        <f t="shared" si="518"/>
        <v>363.46111111111099</v>
      </c>
      <c r="AO374" s="527">
        <f t="shared" si="518"/>
        <v>363.46111111111099</v>
      </c>
      <c r="AP374" s="527">
        <f t="shared" si="518"/>
        <v>363.46111111111099</v>
      </c>
      <c r="AQ374" s="527">
        <f t="shared" si="518"/>
        <v>363.46111111111099</v>
      </c>
      <c r="AR374" s="527">
        <f t="shared" si="518"/>
        <v>363.46111111111099</v>
      </c>
      <c r="AS374" s="527">
        <f t="shared" si="518"/>
        <v>363.46111111111099</v>
      </c>
      <c r="AT374" s="527">
        <f t="shared" si="518"/>
        <v>363.46111111111099</v>
      </c>
      <c r="AU374" s="527">
        <f t="shared" si="518"/>
        <v>363.46111111111099</v>
      </c>
      <c r="AV374" s="527">
        <f t="shared" si="518"/>
        <v>363.46111111111099</v>
      </c>
      <c r="AW374" s="527">
        <f t="shared" si="518"/>
        <v>363.46111111111099</v>
      </c>
      <c r="AX374" s="527">
        <f t="shared" ref="AX374:BY374" si="519">AX$604*$R155</f>
        <v>363.46111111111099</v>
      </c>
      <c r="AY374" s="527">
        <f t="shared" si="519"/>
        <v>363.46111111111099</v>
      </c>
      <c r="AZ374" s="527">
        <f t="shared" si="519"/>
        <v>363.46111111111099</v>
      </c>
      <c r="BA374" s="527">
        <f t="shared" si="519"/>
        <v>363.46111111111099</v>
      </c>
      <c r="BB374" s="527">
        <f t="shared" si="519"/>
        <v>363.46111111111099</v>
      </c>
      <c r="BC374" s="527">
        <f t="shared" si="519"/>
        <v>363.46111111111099</v>
      </c>
      <c r="BD374" s="527">
        <f t="shared" si="519"/>
        <v>363.46111111111099</v>
      </c>
      <c r="BE374" s="527">
        <f t="shared" si="519"/>
        <v>363.46111111111099</v>
      </c>
      <c r="BF374" s="527">
        <f t="shared" si="519"/>
        <v>363.46111111111099</v>
      </c>
      <c r="BG374" s="527">
        <f t="shared" si="519"/>
        <v>363.46111111111099</v>
      </c>
      <c r="BH374" s="527">
        <f t="shared" si="519"/>
        <v>363.46111111111099</v>
      </c>
      <c r="BI374" s="527">
        <f t="shared" si="519"/>
        <v>363.46111111111099</v>
      </c>
      <c r="BJ374" s="527">
        <f t="shared" si="519"/>
        <v>363.46111111111099</v>
      </c>
      <c r="BK374" s="527">
        <f t="shared" si="519"/>
        <v>363.46111111111099</v>
      </c>
      <c r="BL374" s="527">
        <f t="shared" si="519"/>
        <v>363.46111111111099</v>
      </c>
      <c r="BM374" s="527">
        <f t="shared" si="519"/>
        <v>363.46111111111099</v>
      </c>
      <c r="BN374" s="527">
        <f t="shared" si="519"/>
        <v>363.46111111111099</v>
      </c>
      <c r="BO374" s="527">
        <f t="shared" si="519"/>
        <v>363.46111111111099</v>
      </c>
      <c r="BP374" s="527">
        <f t="shared" si="519"/>
        <v>363.46111111111099</v>
      </c>
      <c r="BQ374" s="527">
        <f t="shared" si="519"/>
        <v>363.46111111111099</v>
      </c>
      <c r="BR374" s="527">
        <f t="shared" si="519"/>
        <v>363.46111111111099</v>
      </c>
      <c r="BS374" s="527">
        <f t="shared" si="519"/>
        <v>363.46111111111099</v>
      </c>
      <c r="BT374" s="527">
        <f t="shared" si="519"/>
        <v>363.46111111111099</v>
      </c>
      <c r="BU374" s="527">
        <f t="shared" si="519"/>
        <v>363.46111111111099</v>
      </c>
      <c r="BV374" s="527">
        <f t="shared" si="519"/>
        <v>363.46111111111099</v>
      </c>
      <c r="BW374" s="527">
        <f t="shared" si="519"/>
        <v>363.46111111111099</v>
      </c>
      <c r="BX374" s="527">
        <f t="shared" si="519"/>
        <v>363.46111111111099</v>
      </c>
      <c r="BY374" s="527">
        <f t="shared" si="519"/>
        <v>363.46111111111099</v>
      </c>
    </row>
    <row r="375" spans="3:77" x14ac:dyDescent="0.3">
      <c r="C375" s="2"/>
      <c r="D375" s="2"/>
      <c r="E375" s="133" t="str">
        <f>"F&amp;F income: "&amp;E$156</f>
        <v>F&amp;F income: FY28 Tranche</v>
      </c>
      <c r="F375" s="2"/>
      <c r="G375" s="2"/>
      <c r="H375" s="2"/>
      <c r="I375" s="2"/>
      <c r="J375" s="2"/>
      <c r="K375" s="2"/>
      <c r="L375" s="2"/>
      <c r="M375" s="2"/>
      <c r="N375" s="2"/>
      <c r="O375" s="2"/>
      <c r="P375" s="10"/>
      <c r="Q375" s="2"/>
      <c r="R375" s="497">
        <f t="shared" ref="R375:AW375" si="520">R$604*$R156</f>
        <v>363.46111111111099</v>
      </c>
      <c r="S375" s="497">
        <f t="shared" si="520"/>
        <v>363.46111111111099</v>
      </c>
      <c r="T375" s="497">
        <f t="shared" si="520"/>
        <v>363.46111111111099</v>
      </c>
      <c r="U375" s="497">
        <f t="shared" si="520"/>
        <v>363.46111111111099</v>
      </c>
      <c r="V375" s="497">
        <f t="shared" si="520"/>
        <v>363.46111111111099</v>
      </c>
      <c r="W375" s="497">
        <f t="shared" si="520"/>
        <v>363.46111111111099</v>
      </c>
      <c r="X375" s="497">
        <f t="shared" si="520"/>
        <v>363.46111111111099</v>
      </c>
      <c r="Y375" s="497">
        <f t="shared" si="520"/>
        <v>363.46111111111099</v>
      </c>
      <c r="Z375" s="497">
        <f t="shared" si="520"/>
        <v>363.46111111111099</v>
      </c>
      <c r="AA375" s="497">
        <f t="shared" si="520"/>
        <v>363.46111111111099</v>
      </c>
      <c r="AB375" s="497">
        <f t="shared" si="520"/>
        <v>363.46111111111099</v>
      </c>
      <c r="AC375" s="497">
        <f t="shared" si="520"/>
        <v>363.46111111111099</v>
      </c>
      <c r="AD375" s="497">
        <f t="shared" si="520"/>
        <v>363.46111111111099</v>
      </c>
      <c r="AE375" s="497">
        <f t="shared" si="520"/>
        <v>363.46111111111099</v>
      </c>
      <c r="AF375" s="497">
        <f t="shared" si="520"/>
        <v>363.46111111111099</v>
      </c>
      <c r="AG375" s="497">
        <f t="shared" si="520"/>
        <v>363.46111111111099</v>
      </c>
      <c r="AH375" s="497">
        <f t="shared" si="520"/>
        <v>363.46111111111099</v>
      </c>
      <c r="AI375" s="497">
        <f t="shared" si="520"/>
        <v>363.46111111111099</v>
      </c>
      <c r="AJ375" s="497">
        <f t="shared" si="520"/>
        <v>363.46111111111099</v>
      </c>
      <c r="AK375" s="497">
        <f t="shared" si="520"/>
        <v>363.46111111111099</v>
      </c>
      <c r="AL375" s="497">
        <f t="shared" si="520"/>
        <v>363.46111111111099</v>
      </c>
      <c r="AM375" s="497">
        <f t="shared" si="520"/>
        <v>363.46111111111099</v>
      </c>
      <c r="AN375" s="527">
        <f t="shared" si="520"/>
        <v>363.46111111111099</v>
      </c>
      <c r="AO375" s="527">
        <f t="shared" si="520"/>
        <v>363.46111111111099</v>
      </c>
      <c r="AP375" s="527">
        <f t="shared" si="520"/>
        <v>363.46111111111099</v>
      </c>
      <c r="AQ375" s="527">
        <f t="shared" si="520"/>
        <v>363.46111111111099</v>
      </c>
      <c r="AR375" s="527">
        <f t="shared" si="520"/>
        <v>363.46111111111099</v>
      </c>
      <c r="AS375" s="527">
        <f t="shared" si="520"/>
        <v>363.46111111111099</v>
      </c>
      <c r="AT375" s="527">
        <f t="shared" si="520"/>
        <v>363.46111111111099</v>
      </c>
      <c r="AU375" s="527">
        <f t="shared" si="520"/>
        <v>363.46111111111099</v>
      </c>
      <c r="AV375" s="527">
        <f t="shared" si="520"/>
        <v>363.46111111111099</v>
      </c>
      <c r="AW375" s="527">
        <f t="shared" si="520"/>
        <v>363.46111111111099</v>
      </c>
      <c r="AX375" s="527">
        <f t="shared" ref="AX375:BY375" si="521">AX$604*$R156</f>
        <v>363.46111111111099</v>
      </c>
      <c r="AY375" s="527">
        <f t="shared" si="521"/>
        <v>363.46111111111099</v>
      </c>
      <c r="AZ375" s="527">
        <f t="shared" si="521"/>
        <v>363.46111111111099</v>
      </c>
      <c r="BA375" s="527">
        <f t="shared" si="521"/>
        <v>363.46111111111099</v>
      </c>
      <c r="BB375" s="527">
        <f t="shared" si="521"/>
        <v>363.46111111111099</v>
      </c>
      <c r="BC375" s="527">
        <f t="shared" si="521"/>
        <v>363.46111111111099</v>
      </c>
      <c r="BD375" s="527">
        <f t="shared" si="521"/>
        <v>363.46111111111099</v>
      </c>
      <c r="BE375" s="527">
        <f t="shared" si="521"/>
        <v>363.46111111111099</v>
      </c>
      <c r="BF375" s="527">
        <f t="shared" si="521"/>
        <v>363.46111111111099</v>
      </c>
      <c r="BG375" s="527">
        <f t="shared" si="521"/>
        <v>363.46111111111099</v>
      </c>
      <c r="BH375" s="527">
        <f t="shared" si="521"/>
        <v>363.46111111111099</v>
      </c>
      <c r="BI375" s="527">
        <f t="shared" si="521"/>
        <v>363.46111111111099</v>
      </c>
      <c r="BJ375" s="527">
        <f t="shared" si="521"/>
        <v>363.46111111111099</v>
      </c>
      <c r="BK375" s="527">
        <f t="shared" si="521"/>
        <v>363.46111111111099</v>
      </c>
      <c r="BL375" s="527">
        <f t="shared" si="521"/>
        <v>363.46111111111099</v>
      </c>
      <c r="BM375" s="527">
        <f t="shared" si="521"/>
        <v>363.46111111111099</v>
      </c>
      <c r="BN375" s="527">
        <f t="shared" si="521"/>
        <v>363.46111111111099</v>
      </c>
      <c r="BO375" s="527">
        <f t="shared" si="521"/>
        <v>363.46111111111099</v>
      </c>
      <c r="BP375" s="527">
        <f t="shared" si="521"/>
        <v>363.46111111111099</v>
      </c>
      <c r="BQ375" s="527">
        <f t="shared" si="521"/>
        <v>363.46111111111099</v>
      </c>
      <c r="BR375" s="527">
        <f t="shared" si="521"/>
        <v>363.46111111111099</v>
      </c>
      <c r="BS375" s="527">
        <f t="shared" si="521"/>
        <v>363.46111111111099</v>
      </c>
      <c r="BT375" s="527">
        <f t="shared" si="521"/>
        <v>363.46111111111099</v>
      </c>
      <c r="BU375" s="527">
        <f t="shared" si="521"/>
        <v>363.46111111111099</v>
      </c>
      <c r="BV375" s="527">
        <f t="shared" si="521"/>
        <v>363.46111111111099</v>
      </c>
      <c r="BW375" s="527">
        <f t="shared" si="521"/>
        <v>363.46111111111099</v>
      </c>
      <c r="BX375" s="527">
        <f t="shared" si="521"/>
        <v>363.46111111111099</v>
      </c>
      <c r="BY375" s="527">
        <f t="shared" si="521"/>
        <v>363.46111111111099</v>
      </c>
    </row>
    <row r="376" spans="3:77" x14ac:dyDescent="0.3">
      <c r="C376" s="2"/>
      <c r="D376" s="2"/>
      <c r="E376" s="133" t="str">
        <f>"F&amp;F income: "&amp;E$157</f>
        <v>F&amp;F income: FY29 Tranche</v>
      </c>
      <c r="F376" s="2"/>
      <c r="G376" s="2"/>
      <c r="H376" s="2"/>
      <c r="I376" s="2"/>
      <c r="J376" s="2"/>
      <c r="K376" s="2"/>
      <c r="L376" s="2"/>
      <c r="M376" s="2"/>
      <c r="N376" s="2"/>
      <c r="O376" s="2"/>
      <c r="P376" s="10"/>
      <c r="Q376" s="2"/>
      <c r="R376" s="497">
        <f t="shared" ref="R376:AW376" si="522">R$604*$R157</f>
        <v>363.46111111111099</v>
      </c>
      <c r="S376" s="497">
        <f t="shared" si="522"/>
        <v>363.46111111111099</v>
      </c>
      <c r="T376" s="497">
        <f t="shared" si="522"/>
        <v>363.46111111111099</v>
      </c>
      <c r="U376" s="497">
        <f t="shared" si="522"/>
        <v>363.46111111111099</v>
      </c>
      <c r="V376" s="497">
        <f t="shared" si="522"/>
        <v>363.46111111111099</v>
      </c>
      <c r="W376" s="497">
        <f t="shared" si="522"/>
        <v>363.46111111111099</v>
      </c>
      <c r="X376" s="497">
        <f t="shared" si="522"/>
        <v>363.46111111111099</v>
      </c>
      <c r="Y376" s="497">
        <f t="shared" si="522"/>
        <v>363.46111111111099</v>
      </c>
      <c r="Z376" s="497">
        <f t="shared" si="522"/>
        <v>363.46111111111099</v>
      </c>
      <c r="AA376" s="497">
        <f t="shared" si="522"/>
        <v>363.46111111111099</v>
      </c>
      <c r="AB376" s="497">
        <f t="shared" si="522"/>
        <v>363.46111111111099</v>
      </c>
      <c r="AC376" s="497">
        <f t="shared" si="522"/>
        <v>363.46111111111099</v>
      </c>
      <c r="AD376" s="497">
        <f t="shared" si="522"/>
        <v>363.46111111111099</v>
      </c>
      <c r="AE376" s="497">
        <f t="shared" si="522"/>
        <v>363.46111111111099</v>
      </c>
      <c r="AF376" s="497">
        <f t="shared" si="522"/>
        <v>363.46111111111099</v>
      </c>
      <c r="AG376" s="497">
        <f t="shared" si="522"/>
        <v>363.46111111111099</v>
      </c>
      <c r="AH376" s="497">
        <f t="shared" si="522"/>
        <v>363.46111111111099</v>
      </c>
      <c r="AI376" s="497">
        <f t="shared" si="522"/>
        <v>363.46111111111099</v>
      </c>
      <c r="AJ376" s="497">
        <f t="shared" si="522"/>
        <v>363.46111111111099</v>
      </c>
      <c r="AK376" s="497">
        <f t="shared" si="522"/>
        <v>363.46111111111099</v>
      </c>
      <c r="AL376" s="497">
        <f t="shared" si="522"/>
        <v>363.46111111111099</v>
      </c>
      <c r="AM376" s="497">
        <f t="shared" si="522"/>
        <v>363.46111111111099</v>
      </c>
      <c r="AN376" s="527">
        <f t="shared" si="522"/>
        <v>363.46111111111099</v>
      </c>
      <c r="AO376" s="527">
        <f t="shared" si="522"/>
        <v>363.46111111111099</v>
      </c>
      <c r="AP376" s="527">
        <f t="shared" si="522"/>
        <v>363.46111111111099</v>
      </c>
      <c r="AQ376" s="527">
        <f t="shared" si="522"/>
        <v>363.46111111111099</v>
      </c>
      <c r="AR376" s="527">
        <f t="shared" si="522"/>
        <v>363.46111111111099</v>
      </c>
      <c r="AS376" s="527">
        <f t="shared" si="522"/>
        <v>363.46111111111099</v>
      </c>
      <c r="AT376" s="527">
        <f t="shared" si="522"/>
        <v>363.46111111111099</v>
      </c>
      <c r="AU376" s="527">
        <f t="shared" si="522"/>
        <v>363.46111111111099</v>
      </c>
      <c r="AV376" s="527">
        <f t="shared" si="522"/>
        <v>363.46111111111099</v>
      </c>
      <c r="AW376" s="527">
        <f t="shared" si="522"/>
        <v>363.46111111111099</v>
      </c>
      <c r="AX376" s="527">
        <f t="shared" ref="AX376:BY376" si="523">AX$604*$R157</f>
        <v>363.46111111111099</v>
      </c>
      <c r="AY376" s="527">
        <f t="shared" si="523"/>
        <v>363.46111111111099</v>
      </c>
      <c r="AZ376" s="527">
        <f t="shared" si="523"/>
        <v>363.46111111111099</v>
      </c>
      <c r="BA376" s="527">
        <f t="shared" si="523"/>
        <v>363.46111111111099</v>
      </c>
      <c r="BB376" s="527">
        <f t="shared" si="523"/>
        <v>363.46111111111099</v>
      </c>
      <c r="BC376" s="527">
        <f t="shared" si="523"/>
        <v>363.46111111111099</v>
      </c>
      <c r="BD376" s="527">
        <f t="shared" si="523"/>
        <v>363.46111111111099</v>
      </c>
      <c r="BE376" s="527">
        <f t="shared" si="523"/>
        <v>363.46111111111099</v>
      </c>
      <c r="BF376" s="527">
        <f t="shared" si="523"/>
        <v>363.46111111111099</v>
      </c>
      <c r="BG376" s="527">
        <f t="shared" si="523"/>
        <v>363.46111111111099</v>
      </c>
      <c r="BH376" s="527">
        <f t="shared" si="523"/>
        <v>363.46111111111099</v>
      </c>
      <c r="BI376" s="527">
        <f t="shared" si="523"/>
        <v>363.46111111111099</v>
      </c>
      <c r="BJ376" s="527">
        <f t="shared" si="523"/>
        <v>363.46111111111099</v>
      </c>
      <c r="BK376" s="527">
        <f t="shared" si="523"/>
        <v>363.46111111111099</v>
      </c>
      <c r="BL376" s="527">
        <f t="shared" si="523"/>
        <v>363.46111111111099</v>
      </c>
      <c r="BM376" s="527">
        <f t="shared" si="523"/>
        <v>363.46111111111099</v>
      </c>
      <c r="BN376" s="527">
        <f t="shared" si="523"/>
        <v>363.46111111111099</v>
      </c>
      <c r="BO376" s="527">
        <f t="shared" si="523"/>
        <v>363.46111111111099</v>
      </c>
      <c r="BP376" s="527">
        <f t="shared" si="523"/>
        <v>363.46111111111099</v>
      </c>
      <c r="BQ376" s="527">
        <f t="shared" si="523"/>
        <v>363.46111111111099</v>
      </c>
      <c r="BR376" s="527">
        <f t="shared" si="523"/>
        <v>363.46111111111099</v>
      </c>
      <c r="BS376" s="527">
        <f t="shared" si="523"/>
        <v>363.46111111111099</v>
      </c>
      <c r="BT376" s="527">
        <f t="shared" si="523"/>
        <v>363.46111111111099</v>
      </c>
      <c r="BU376" s="527">
        <f t="shared" si="523"/>
        <v>363.46111111111099</v>
      </c>
      <c r="BV376" s="527">
        <f t="shared" si="523"/>
        <v>363.46111111111099</v>
      </c>
      <c r="BW376" s="527">
        <f t="shared" si="523"/>
        <v>363.46111111111099</v>
      </c>
      <c r="BX376" s="527">
        <f t="shared" si="523"/>
        <v>363.46111111111099</v>
      </c>
      <c r="BY376" s="527">
        <f t="shared" si="523"/>
        <v>363.46111111111099</v>
      </c>
    </row>
    <row r="377" spans="3:77" x14ac:dyDescent="0.3">
      <c r="C377" s="2"/>
      <c r="D377" s="2"/>
      <c r="E377" s="133" t="str">
        <f>"F&amp;F income: "&amp;E$158</f>
        <v>F&amp;F income: FY30 Tranche</v>
      </c>
      <c r="F377" s="2"/>
      <c r="G377" s="2"/>
      <c r="H377" s="2"/>
      <c r="I377" s="2"/>
      <c r="J377" s="2"/>
      <c r="K377" s="2"/>
      <c r="L377" s="2"/>
      <c r="M377" s="2"/>
      <c r="N377" s="2"/>
      <c r="O377" s="2"/>
      <c r="P377" s="10"/>
      <c r="Q377" s="2"/>
      <c r="R377" s="497">
        <f t="shared" ref="R377:AW377" si="524">R$604*$R158</f>
        <v>363.46111111111099</v>
      </c>
      <c r="S377" s="497">
        <f t="shared" si="524"/>
        <v>363.46111111111099</v>
      </c>
      <c r="T377" s="497">
        <f t="shared" si="524"/>
        <v>363.46111111111099</v>
      </c>
      <c r="U377" s="497">
        <f t="shared" si="524"/>
        <v>363.46111111111099</v>
      </c>
      <c r="V377" s="497">
        <f t="shared" si="524"/>
        <v>363.46111111111099</v>
      </c>
      <c r="W377" s="497">
        <f t="shared" si="524"/>
        <v>363.46111111111099</v>
      </c>
      <c r="X377" s="497">
        <f t="shared" si="524"/>
        <v>363.46111111111099</v>
      </c>
      <c r="Y377" s="497">
        <f t="shared" si="524"/>
        <v>363.46111111111099</v>
      </c>
      <c r="Z377" s="497">
        <f t="shared" si="524"/>
        <v>363.46111111111099</v>
      </c>
      <c r="AA377" s="497">
        <f t="shared" si="524"/>
        <v>363.46111111111099</v>
      </c>
      <c r="AB377" s="497">
        <f t="shared" si="524"/>
        <v>363.46111111111099</v>
      </c>
      <c r="AC377" s="497">
        <f t="shared" si="524"/>
        <v>363.46111111111099</v>
      </c>
      <c r="AD377" s="497">
        <f t="shared" si="524"/>
        <v>363.46111111111099</v>
      </c>
      <c r="AE377" s="497">
        <f t="shared" si="524"/>
        <v>363.46111111111099</v>
      </c>
      <c r="AF377" s="497">
        <f t="shared" si="524"/>
        <v>363.46111111111099</v>
      </c>
      <c r="AG377" s="497">
        <f t="shared" si="524"/>
        <v>363.46111111111099</v>
      </c>
      <c r="AH377" s="497">
        <f t="shared" si="524"/>
        <v>363.46111111111099</v>
      </c>
      <c r="AI377" s="497">
        <f t="shared" si="524"/>
        <v>363.46111111111099</v>
      </c>
      <c r="AJ377" s="497">
        <f t="shared" si="524"/>
        <v>363.46111111111099</v>
      </c>
      <c r="AK377" s="497">
        <f t="shared" si="524"/>
        <v>363.46111111111099</v>
      </c>
      <c r="AL377" s="497">
        <f t="shared" si="524"/>
        <v>363.46111111111099</v>
      </c>
      <c r="AM377" s="497">
        <f t="shared" si="524"/>
        <v>363.46111111111099</v>
      </c>
      <c r="AN377" s="527">
        <f t="shared" si="524"/>
        <v>363.46111111111099</v>
      </c>
      <c r="AO377" s="527">
        <f t="shared" si="524"/>
        <v>363.46111111111099</v>
      </c>
      <c r="AP377" s="527">
        <f t="shared" si="524"/>
        <v>363.46111111111099</v>
      </c>
      <c r="AQ377" s="527">
        <f t="shared" si="524"/>
        <v>363.46111111111099</v>
      </c>
      <c r="AR377" s="527">
        <f t="shared" si="524"/>
        <v>363.46111111111099</v>
      </c>
      <c r="AS377" s="527">
        <f t="shared" si="524"/>
        <v>363.46111111111099</v>
      </c>
      <c r="AT377" s="527">
        <f t="shared" si="524"/>
        <v>363.46111111111099</v>
      </c>
      <c r="AU377" s="527">
        <f t="shared" si="524"/>
        <v>363.46111111111099</v>
      </c>
      <c r="AV377" s="527">
        <f t="shared" si="524"/>
        <v>363.46111111111099</v>
      </c>
      <c r="AW377" s="527">
        <f t="shared" si="524"/>
        <v>363.46111111111099</v>
      </c>
      <c r="AX377" s="527">
        <f t="shared" ref="AX377:BY377" si="525">AX$604*$R158</f>
        <v>363.46111111111099</v>
      </c>
      <c r="AY377" s="527">
        <f t="shared" si="525"/>
        <v>363.46111111111099</v>
      </c>
      <c r="AZ377" s="527">
        <f t="shared" si="525"/>
        <v>363.46111111111099</v>
      </c>
      <c r="BA377" s="527">
        <f t="shared" si="525"/>
        <v>363.46111111111099</v>
      </c>
      <c r="BB377" s="527">
        <f t="shared" si="525"/>
        <v>363.46111111111099</v>
      </c>
      <c r="BC377" s="527">
        <f t="shared" si="525"/>
        <v>363.46111111111099</v>
      </c>
      <c r="BD377" s="527">
        <f t="shared" si="525"/>
        <v>363.46111111111099</v>
      </c>
      <c r="BE377" s="527">
        <f t="shared" si="525"/>
        <v>363.46111111111099</v>
      </c>
      <c r="BF377" s="527">
        <f t="shared" si="525"/>
        <v>363.46111111111099</v>
      </c>
      <c r="BG377" s="527">
        <f t="shared" si="525"/>
        <v>363.46111111111099</v>
      </c>
      <c r="BH377" s="527">
        <f t="shared" si="525"/>
        <v>363.46111111111099</v>
      </c>
      <c r="BI377" s="527">
        <f t="shared" si="525"/>
        <v>363.46111111111099</v>
      </c>
      <c r="BJ377" s="527">
        <f t="shared" si="525"/>
        <v>363.46111111111099</v>
      </c>
      <c r="BK377" s="527">
        <f t="shared" si="525"/>
        <v>363.46111111111099</v>
      </c>
      <c r="BL377" s="527">
        <f t="shared" si="525"/>
        <v>363.46111111111099</v>
      </c>
      <c r="BM377" s="527">
        <f t="shared" si="525"/>
        <v>363.46111111111099</v>
      </c>
      <c r="BN377" s="527">
        <f t="shared" si="525"/>
        <v>363.46111111111099</v>
      </c>
      <c r="BO377" s="527">
        <f t="shared" si="525"/>
        <v>363.46111111111099</v>
      </c>
      <c r="BP377" s="527">
        <f t="shared" si="525"/>
        <v>363.46111111111099</v>
      </c>
      <c r="BQ377" s="527">
        <f t="shared" si="525"/>
        <v>363.46111111111099</v>
      </c>
      <c r="BR377" s="527">
        <f t="shared" si="525"/>
        <v>363.46111111111099</v>
      </c>
      <c r="BS377" s="527">
        <f t="shared" si="525"/>
        <v>363.46111111111099</v>
      </c>
      <c r="BT377" s="527">
        <f t="shared" si="525"/>
        <v>363.46111111111099</v>
      </c>
      <c r="BU377" s="527">
        <f t="shared" si="525"/>
        <v>363.46111111111099</v>
      </c>
      <c r="BV377" s="527">
        <f t="shared" si="525"/>
        <v>363.46111111111099</v>
      </c>
      <c r="BW377" s="527">
        <f t="shared" si="525"/>
        <v>363.46111111111099</v>
      </c>
      <c r="BX377" s="527">
        <f t="shared" si="525"/>
        <v>363.46111111111099</v>
      </c>
      <c r="BY377" s="527">
        <f t="shared" si="525"/>
        <v>363.46111111111099</v>
      </c>
    </row>
    <row r="378" spans="3:77" x14ac:dyDescent="0.3">
      <c r="C378" s="2"/>
      <c r="D378" s="2"/>
      <c r="E378" s="133" t="str">
        <f>"F&amp;F income: "&amp;E$159</f>
        <v>F&amp;F income: FY31 Tranche</v>
      </c>
      <c r="F378" s="2"/>
      <c r="G378" s="2"/>
      <c r="H378" s="2"/>
      <c r="I378" s="2"/>
      <c r="J378" s="2"/>
      <c r="K378" s="2"/>
      <c r="L378" s="2"/>
      <c r="M378" s="2"/>
      <c r="N378" s="2"/>
      <c r="O378" s="2"/>
      <c r="P378" s="10"/>
      <c r="Q378" s="2"/>
      <c r="R378" s="497">
        <f t="shared" ref="R378:AW378" si="526">R$604*$R159</f>
        <v>363.46111111111099</v>
      </c>
      <c r="S378" s="497">
        <f t="shared" si="526"/>
        <v>363.46111111111099</v>
      </c>
      <c r="T378" s="497">
        <f t="shared" si="526"/>
        <v>363.46111111111099</v>
      </c>
      <c r="U378" s="497">
        <f t="shared" si="526"/>
        <v>363.46111111111099</v>
      </c>
      <c r="V378" s="497">
        <f t="shared" si="526"/>
        <v>363.46111111111099</v>
      </c>
      <c r="W378" s="497">
        <f t="shared" si="526"/>
        <v>363.46111111111099</v>
      </c>
      <c r="X378" s="497">
        <f t="shared" si="526"/>
        <v>363.46111111111099</v>
      </c>
      <c r="Y378" s="497">
        <f t="shared" si="526"/>
        <v>363.46111111111099</v>
      </c>
      <c r="Z378" s="497">
        <f t="shared" si="526"/>
        <v>363.46111111111099</v>
      </c>
      <c r="AA378" s="497">
        <f t="shared" si="526"/>
        <v>363.46111111111099</v>
      </c>
      <c r="AB378" s="497">
        <f t="shared" si="526"/>
        <v>363.46111111111099</v>
      </c>
      <c r="AC378" s="497">
        <f t="shared" si="526"/>
        <v>363.46111111111099</v>
      </c>
      <c r="AD378" s="497">
        <f t="shared" si="526"/>
        <v>363.46111111111099</v>
      </c>
      <c r="AE378" s="497">
        <f t="shared" si="526"/>
        <v>363.46111111111099</v>
      </c>
      <c r="AF378" s="497">
        <f t="shared" si="526"/>
        <v>363.46111111111099</v>
      </c>
      <c r="AG378" s="497">
        <f t="shared" si="526"/>
        <v>363.46111111111099</v>
      </c>
      <c r="AH378" s="497">
        <f t="shared" si="526"/>
        <v>363.46111111111099</v>
      </c>
      <c r="AI378" s="497">
        <f t="shared" si="526"/>
        <v>363.46111111111099</v>
      </c>
      <c r="AJ378" s="497">
        <f t="shared" si="526"/>
        <v>363.46111111111099</v>
      </c>
      <c r="AK378" s="497">
        <f t="shared" si="526"/>
        <v>363.46111111111099</v>
      </c>
      <c r="AL378" s="497">
        <f t="shared" si="526"/>
        <v>363.46111111111099</v>
      </c>
      <c r="AM378" s="497">
        <f t="shared" si="526"/>
        <v>363.46111111111099</v>
      </c>
      <c r="AN378" s="527">
        <f t="shared" si="526"/>
        <v>363.46111111111099</v>
      </c>
      <c r="AO378" s="527">
        <f t="shared" si="526"/>
        <v>363.46111111111099</v>
      </c>
      <c r="AP378" s="527">
        <f t="shared" si="526"/>
        <v>363.46111111111099</v>
      </c>
      <c r="AQ378" s="527">
        <f t="shared" si="526"/>
        <v>363.46111111111099</v>
      </c>
      <c r="AR378" s="527">
        <f t="shared" si="526"/>
        <v>363.46111111111099</v>
      </c>
      <c r="AS378" s="527">
        <f t="shared" si="526"/>
        <v>363.46111111111099</v>
      </c>
      <c r="AT378" s="527">
        <f t="shared" si="526"/>
        <v>363.46111111111099</v>
      </c>
      <c r="AU378" s="527">
        <f t="shared" si="526"/>
        <v>363.46111111111099</v>
      </c>
      <c r="AV378" s="527">
        <f t="shared" si="526"/>
        <v>363.46111111111099</v>
      </c>
      <c r="AW378" s="527">
        <f t="shared" si="526"/>
        <v>363.46111111111099</v>
      </c>
      <c r="AX378" s="527">
        <f t="shared" ref="AX378:BY378" si="527">AX$604*$R159</f>
        <v>363.46111111111099</v>
      </c>
      <c r="AY378" s="527">
        <f t="shared" si="527"/>
        <v>363.46111111111099</v>
      </c>
      <c r="AZ378" s="527">
        <f t="shared" si="527"/>
        <v>363.46111111111099</v>
      </c>
      <c r="BA378" s="527">
        <f t="shared" si="527"/>
        <v>363.46111111111099</v>
      </c>
      <c r="BB378" s="527">
        <f t="shared" si="527"/>
        <v>363.46111111111099</v>
      </c>
      <c r="BC378" s="527">
        <f t="shared" si="527"/>
        <v>363.46111111111099</v>
      </c>
      <c r="BD378" s="527">
        <f t="shared" si="527"/>
        <v>363.46111111111099</v>
      </c>
      <c r="BE378" s="527">
        <f t="shared" si="527"/>
        <v>363.46111111111099</v>
      </c>
      <c r="BF378" s="527">
        <f t="shared" si="527"/>
        <v>363.46111111111099</v>
      </c>
      <c r="BG378" s="527">
        <f t="shared" si="527"/>
        <v>363.46111111111099</v>
      </c>
      <c r="BH378" s="527">
        <f t="shared" si="527"/>
        <v>363.46111111111099</v>
      </c>
      <c r="BI378" s="527">
        <f t="shared" si="527"/>
        <v>363.46111111111099</v>
      </c>
      <c r="BJ378" s="527">
        <f t="shared" si="527"/>
        <v>363.46111111111099</v>
      </c>
      <c r="BK378" s="527">
        <f t="shared" si="527"/>
        <v>363.46111111111099</v>
      </c>
      <c r="BL378" s="527">
        <f t="shared" si="527"/>
        <v>363.46111111111099</v>
      </c>
      <c r="BM378" s="527">
        <f t="shared" si="527"/>
        <v>363.46111111111099</v>
      </c>
      <c r="BN378" s="527">
        <f t="shared" si="527"/>
        <v>363.46111111111099</v>
      </c>
      <c r="BO378" s="527">
        <f t="shared" si="527"/>
        <v>363.46111111111099</v>
      </c>
      <c r="BP378" s="527">
        <f t="shared" si="527"/>
        <v>363.46111111111099</v>
      </c>
      <c r="BQ378" s="527">
        <f t="shared" si="527"/>
        <v>363.46111111111099</v>
      </c>
      <c r="BR378" s="527">
        <f t="shared" si="527"/>
        <v>363.46111111111099</v>
      </c>
      <c r="BS378" s="527">
        <f t="shared" si="527"/>
        <v>363.46111111111099</v>
      </c>
      <c r="BT378" s="527">
        <f t="shared" si="527"/>
        <v>363.46111111111099</v>
      </c>
      <c r="BU378" s="527">
        <f t="shared" si="527"/>
        <v>363.46111111111099</v>
      </c>
      <c r="BV378" s="527">
        <f t="shared" si="527"/>
        <v>363.46111111111099</v>
      </c>
      <c r="BW378" s="527">
        <f t="shared" si="527"/>
        <v>363.46111111111099</v>
      </c>
      <c r="BX378" s="527">
        <f t="shared" si="527"/>
        <v>363.46111111111099</v>
      </c>
      <c r="BY378" s="527">
        <f t="shared" si="527"/>
        <v>363.46111111111099</v>
      </c>
    </row>
    <row r="379" spans="3:77" x14ac:dyDescent="0.3">
      <c r="C379" s="2"/>
      <c r="D379" s="2"/>
      <c r="E379" s="133" t="str">
        <f>"F&amp;F income: "&amp;E$160</f>
        <v>F&amp;F income: Uninvested Tranche</v>
      </c>
      <c r="F379" s="2"/>
      <c r="G379" s="2"/>
      <c r="H379" s="2"/>
      <c r="I379" s="2"/>
      <c r="J379" s="2"/>
      <c r="K379" s="2"/>
      <c r="L379" s="2"/>
      <c r="M379" s="2"/>
      <c r="N379" s="2"/>
      <c r="O379" s="2"/>
      <c r="P379" s="10"/>
      <c r="Q379" s="2"/>
      <c r="R379" s="497">
        <f t="shared" ref="R379:AW379" si="528">R$604*$R160</f>
        <v>1017.6911111111108</v>
      </c>
      <c r="S379" s="497">
        <f t="shared" si="528"/>
        <v>1017.6911111111108</v>
      </c>
      <c r="T379" s="497">
        <f t="shared" si="528"/>
        <v>1017.6911111111108</v>
      </c>
      <c r="U379" s="497">
        <f t="shared" si="528"/>
        <v>1017.6911111111108</v>
      </c>
      <c r="V379" s="497">
        <f t="shared" si="528"/>
        <v>1017.6911111111108</v>
      </c>
      <c r="W379" s="497">
        <f t="shared" si="528"/>
        <v>1017.6911111111108</v>
      </c>
      <c r="X379" s="497">
        <f t="shared" si="528"/>
        <v>1017.6911111111108</v>
      </c>
      <c r="Y379" s="497">
        <f t="shared" si="528"/>
        <v>1017.6911111111108</v>
      </c>
      <c r="Z379" s="497">
        <f t="shared" si="528"/>
        <v>1017.6911111111108</v>
      </c>
      <c r="AA379" s="497">
        <f t="shared" si="528"/>
        <v>1017.6911111111108</v>
      </c>
      <c r="AB379" s="497">
        <f t="shared" si="528"/>
        <v>1017.6911111111108</v>
      </c>
      <c r="AC379" s="497">
        <f t="shared" si="528"/>
        <v>1017.6911111111108</v>
      </c>
      <c r="AD379" s="497">
        <f t="shared" si="528"/>
        <v>1017.6911111111108</v>
      </c>
      <c r="AE379" s="497">
        <f t="shared" si="528"/>
        <v>1017.6911111111108</v>
      </c>
      <c r="AF379" s="497">
        <f t="shared" si="528"/>
        <v>1017.6911111111108</v>
      </c>
      <c r="AG379" s="497">
        <f t="shared" si="528"/>
        <v>1017.6911111111108</v>
      </c>
      <c r="AH379" s="497">
        <f t="shared" si="528"/>
        <v>1017.6911111111108</v>
      </c>
      <c r="AI379" s="497">
        <f t="shared" si="528"/>
        <v>1017.6911111111108</v>
      </c>
      <c r="AJ379" s="497">
        <f t="shared" si="528"/>
        <v>1017.6911111111108</v>
      </c>
      <c r="AK379" s="497">
        <f t="shared" si="528"/>
        <v>1017.6911111111108</v>
      </c>
      <c r="AL379" s="497">
        <f t="shared" si="528"/>
        <v>1017.6911111111108</v>
      </c>
      <c r="AM379" s="497">
        <f t="shared" si="528"/>
        <v>1017.6911111111108</v>
      </c>
      <c r="AN379" s="527">
        <f t="shared" si="528"/>
        <v>1017.6911111111108</v>
      </c>
      <c r="AO379" s="527">
        <f t="shared" si="528"/>
        <v>1017.6911111111108</v>
      </c>
      <c r="AP379" s="527">
        <f t="shared" si="528"/>
        <v>1017.6911111111108</v>
      </c>
      <c r="AQ379" s="527">
        <f t="shared" si="528"/>
        <v>1017.6911111111108</v>
      </c>
      <c r="AR379" s="527">
        <f t="shared" si="528"/>
        <v>1017.6911111111108</v>
      </c>
      <c r="AS379" s="527">
        <f t="shared" si="528"/>
        <v>1017.6911111111108</v>
      </c>
      <c r="AT379" s="527">
        <f t="shared" si="528"/>
        <v>1017.6911111111108</v>
      </c>
      <c r="AU379" s="527">
        <f t="shared" si="528"/>
        <v>1017.6911111111108</v>
      </c>
      <c r="AV379" s="527">
        <f t="shared" si="528"/>
        <v>1017.6911111111108</v>
      </c>
      <c r="AW379" s="527">
        <f t="shared" si="528"/>
        <v>1017.6911111111108</v>
      </c>
      <c r="AX379" s="527">
        <f t="shared" ref="AX379:BY379" si="529">AX$604*$R160</f>
        <v>1017.6911111111108</v>
      </c>
      <c r="AY379" s="527">
        <f t="shared" si="529"/>
        <v>1017.6911111111108</v>
      </c>
      <c r="AZ379" s="527">
        <f t="shared" si="529"/>
        <v>1017.6911111111108</v>
      </c>
      <c r="BA379" s="527">
        <f t="shared" si="529"/>
        <v>1017.6911111111108</v>
      </c>
      <c r="BB379" s="527">
        <f t="shared" si="529"/>
        <v>1017.6911111111108</v>
      </c>
      <c r="BC379" s="527">
        <f t="shared" si="529"/>
        <v>1017.6911111111108</v>
      </c>
      <c r="BD379" s="527">
        <f t="shared" si="529"/>
        <v>1017.6911111111108</v>
      </c>
      <c r="BE379" s="527">
        <f t="shared" si="529"/>
        <v>1017.6911111111108</v>
      </c>
      <c r="BF379" s="527">
        <f t="shared" si="529"/>
        <v>1017.6911111111108</v>
      </c>
      <c r="BG379" s="527">
        <f t="shared" si="529"/>
        <v>1017.6911111111108</v>
      </c>
      <c r="BH379" s="527">
        <f t="shared" si="529"/>
        <v>1017.6911111111108</v>
      </c>
      <c r="BI379" s="527">
        <f t="shared" si="529"/>
        <v>1017.6911111111108</v>
      </c>
      <c r="BJ379" s="527">
        <f t="shared" si="529"/>
        <v>1017.6911111111108</v>
      </c>
      <c r="BK379" s="527">
        <f t="shared" si="529"/>
        <v>1017.6911111111108</v>
      </c>
      <c r="BL379" s="527">
        <f t="shared" si="529"/>
        <v>1017.6911111111108</v>
      </c>
      <c r="BM379" s="527">
        <f t="shared" si="529"/>
        <v>1017.6911111111108</v>
      </c>
      <c r="BN379" s="527">
        <f t="shared" si="529"/>
        <v>1017.6911111111108</v>
      </c>
      <c r="BO379" s="527">
        <f t="shared" si="529"/>
        <v>1017.6911111111108</v>
      </c>
      <c r="BP379" s="527">
        <f t="shared" si="529"/>
        <v>1017.6911111111108</v>
      </c>
      <c r="BQ379" s="527">
        <f t="shared" si="529"/>
        <v>1017.6911111111108</v>
      </c>
      <c r="BR379" s="527">
        <f t="shared" si="529"/>
        <v>1017.6911111111108</v>
      </c>
      <c r="BS379" s="527">
        <f t="shared" si="529"/>
        <v>1017.6911111111108</v>
      </c>
      <c r="BT379" s="527">
        <f t="shared" si="529"/>
        <v>1017.6911111111108</v>
      </c>
      <c r="BU379" s="527">
        <f t="shared" si="529"/>
        <v>1017.6911111111108</v>
      </c>
      <c r="BV379" s="527">
        <f t="shared" si="529"/>
        <v>1017.6911111111108</v>
      </c>
      <c r="BW379" s="527">
        <f t="shared" si="529"/>
        <v>1017.6911111111108</v>
      </c>
      <c r="BX379" s="527">
        <f t="shared" si="529"/>
        <v>1017.6911111111108</v>
      </c>
      <c r="BY379" s="527">
        <f t="shared" si="529"/>
        <v>1017.6911111111108</v>
      </c>
    </row>
    <row r="380" spans="3:77" x14ac:dyDescent="0.3">
      <c r="C380" s="2"/>
      <c r="D380" s="2"/>
      <c r="E380" s="4" t="s">
        <v>36</v>
      </c>
      <c r="F380" s="4"/>
      <c r="G380" s="4"/>
      <c r="H380" s="4"/>
      <c r="I380" s="4"/>
      <c r="J380" s="4"/>
      <c r="K380" s="4"/>
      <c r="L380" s="4"/>
      <c r="M380" s="4"/>
      <c r="N380" s="4"/>
      <c r="O380" s="4"/>
      <c r="P380" s="106"/>
      <c r="Q380" s="4"/>
      <c r="R380" s="498">
        <f t="shared" ref="R380:AW380" si="530">SUM(R374:R379)</f>
        <v>2834.996666666666</v>
      </c>
      <c r="S380" s="498">
        <f t="shared" si="530"/>
        <v>2834.996666666666</v>
      </c>
      <c r="T380" s="498">
        <f t="shared" si="530"/>
        <v>2834.996666666666</v>
      </c>
      <c r="U380" s="498">
        <f t="shared" si="530"/>
        <v>2834.996666666666</v>
      </c>
      <c r="V380" s="498">
        <f t="shared" si="530"/>
        <v>2834.996666666666</v>
      </c>
      <c r="W380" s="498">
        <f t="shared" si="530"/>
        <v>2834.996666666666</v>
      </c>
      <c r="X380" s="498">
        <f t="shared" si="530"/>
        <v>2834.996666666666</v>
      </c>
      <c r="Y380" s="498">
        <f t="shared" si="530"/>
        <v>2834.996666666666</v>
      </c>
      <c r="Z380" s="498">
        <f t="shared" si="530"/>
        <v>2834.996666666666</v>
      </c>
      <c r="AA380" s="498">
        <f t="shared" si="530"/>
        <v>2834.996666666666</v>
      </c>
      <c r="AB380" s="498">
        <f t="shared" si="530"/>
        <v>2834.996666666666</v>
      </c>
      <c r="AC380" s="498">
        <f t="shared" si="530"/>
        <v>2834.996666666666</v>
      </c>
      <c r="AD380" s="498">
        <f t="shared" si="530"/>
        <v>2834.996666666666</v>
      </c>
      <c r="AE380" s="498">
        <f t="shared" si="530"/>
        <v>2834.996666666666</v>
      </c>
      <c r="AF380" s="498">
        <f t="shared" si="530"/>
        <v>2834.996666666666</v>
      </c>
      <c r="AG380" s="498">
        <f t="shared" si="530"/>
        <v>2834.996666666666</v>
      </c>
      <c r="AH380" s="498">
        <f t="shared" si="530"/>
        <v>2834.996666666666</v>
      </c>
      <c r="AI380" s="498">
        <f t="shared" si="530"/>
        <v>2834.996666666666</v>
      </c>
      <c r="AJ380" s="498">
        <f t="shared" si="530"/>
        <v>2834.996666666666</v>
      </c>
      <c r="AK380" s="498">
        <f t="shared" si="530"/>
        <v>2834.996666666666</v>
      </c>
      <c r="AL380" s="498">
        <f t="shared" si="530"/>
        <v>2834.996666666666</v>
      </c>
      <c r="AM380" s="498">
        <f t="shared" si="530"/>
        <v>2834.996666666666</v>
      </c>
      <c r="AN380" s="530">
        <f t="shared" si="530"/>
        <v>2834.996666666666</v>
      </c>
      <c r="AO380" s="530">
        <f t="shared" si="530"/>
        <v>2834.996666666666</v>
      </c>
      <c r="AP380" s="530">
        <f t="shared" si="530"/>
        <v>2834.996666666666</v>
      </c>
      <c r="AQ380" s="530">
        <f t="shared" si="530"/>
        <v>2834.996666666666</v>
      </c>
      <c r="AR380" s="530">
        <f t="shared" si="530"/>
        <v>2834.996666666666</v>
      </c>
      <c r="AS380" s="530">
        <f t="shared" si="530"/>
        <v>2834.996666666666</v>
      </c>
      <c r="AT380" s="530">
        <f t="shared" si="530"/>
        <v>2834.996666666666</v>
      </c>
      <c r="AU380" s="530">
        <f t="shared" si="530"/>
        <v>2834.996666666666</v>
      </c>
      <c r="AV380" s="530">
        <f t="shared" si="530"/>
        <v>2834.996666666666</v>
      </c>
      <c r="AW380" s="530">
        <f t="shared" si="530"/>
        <v>2834.996666666666</v>
      </c>
      <c r="AX380" s="530">
        <f t="shared" ref="AX380:BY380" si="531">SUM(AX374:AX379)</f>
        <v>2834.996666666666</v>
      </c>
      <c r="AY380" s="530">
        <f t="shared" si="531"/>
        <v>2834.996666666666</v>
      </c>
      <c r="AZ380" s="530">
        <f t="shared" si="531"/>
        <v>2834.996666666666</v>
      </c>
      <c r="BA380" s="530">
        <f t="shared" si="531"/>
        <v>2834.996666666666</v>
      </c>
      <c r="BB380" s="530">
        <f t="shared" si="531"/>
        <v>2834.996666666666</v>
      </c>
      <c r="BC380" s="530">
        <f t="shared" si="531"/>
        <v>2834.996666666666</v>
      </c>
      <c r="BD380" s="530">
        <f t="shared" si="531"/>
        <v>2834.996666666666</v>
      </c>
      <c r="BE380" s="530">
        <f t="shared" si="531"/>
        <v>2834.996666666666</v>
      </c>
      <c r="BF380" s="530">
        <f t="shared" si="531"/>
        <v>2834.996666666666</v>
      </c>
      <c r="BG380" s="530">
        <f t="shared" si="531"/>
        <v>2834.996666666666</v>
      </c>
      <c r="BH380" s="530">
        <f t="shared" si="531"/>
        <v>2834.996666666666</v>
      </c>
      <c r="BI380" s="530">
        <f t="shared" si="531"/>
        <v>2834.996666666666</v>
      </c>
      <c r="BJ380" s="530">
        <f t="shared" si="531"/>
        <v>2834.996666666666</v>
      </c>
      <c r="BK380" s="530">
        <f t="shared" si="531"/>
        <v>2834.996666666666</v>
      </c>
      <c r="BL380" s="530">
        <f t="shared" si="531"/>
        <v>2834.996666666666</v>
      </c>
      <c r="BM380" s="530">
        <f t="shared" si="531"/>
        <v>2834.996666666666</v>
      </c>
      <c r="BN380" s="530">
        <f t="shared" si="531"/>
        <v>2834.996666666666</v>
      </c>
      <c r="BO380" s="530">
        <f t="shared" si="531"/>
        <v>2834.996666666666</v>
      </c>
      <c r="BP380" s="530">
        <f t="shared" si="531"/>
        <v>2834.996666666666</v>
      </c>
      <c r="BQ380" s="530">
        <f t="shared" si="531"/>
        <v>2834.996666666666</v>
      </c>
      <c r="BR380" s="530">
        <f t="shared" si="531"/>
        <v>2834.996666666666</v>
      </c>
      <c r="BS380" s="530">
        <f t="shared" si="531"/>
        <v>2834.996666666666</v>
      </c>
      <c r="BT380" s="530">
        <f t="shared" si="531"/>
        <v>2834.996666666666</v>
      </c>
      <c r="BU380" s="530">
        <f t="shared" si="531"/>
        <v>2834.996666666666</v>
      </c>
      <c r="BV380" s="530">
        <f t="shared" si="531"/>
        <v>2834.996666666666</v>
      </c>
      <c r="BW380" s="530">
        <f t="shared" si="531"/>
        <v>2834.996666666666</v>
      </c>
      <c r="BX380" s="530">
        <f t="shared" si="531"/>
        <v>2834.996666666666</v>
      </c>
      <c r="BY380" s="530">
        <f t="shared" si="531"/>
        <v>2834.996666666666</v>
      </c>
    </row>
    <row r="381" spans="3:77" x14ac:dyDescent="0.3">
      <c r="C381" s="2"/>
      <c r="D381" s="2"/>
      <c r="E381" s="2"/>
      <c r="F381" s="2"/>
      <c r="G381" s="2"/>
      <c r="H381" s="2"/>
      <c r="I381" s="2"/>
      <c r="J381" s="2"/>
      <c r="K381" s="2"/>
      <c r="L381" s="2"/>
      <c r="M381" s="2"/>
      <c r="N381" s="2"/>
      <c r="O381" s="2"/>
      <c r="P381" s="10"/>
      <c r="Q381" s="2"/>
      <c r="R381" s="2"/>
      <c r="S381" s="2"/>
      <c r="T381" s="2"/>
      <c r="U381" s="2"/>
      <c r="V381" s="2"/>
      <c r="W381" s="2"/>
      <c r="X381" s="2"/>
      <c r="Y381" s="2"/>
      <c r="Z381" s="2"/>
      <c r="AA381" s="2"/>
      <c r="AB381" s="2"/>
      <c r="AC381" s="2"/>
      <c r="AD381" s="2"/>
      <c r="AE381" s="2"/>
      <c r="AF381" s="2"/>
      <c r="AG381" s="2"/>
      <c r="AH381" s="2"/>
      <c r="AI381" s="2"/>
      <c r="AJ381" s="2"/>
      <c r="AK381" s="2"/>
      <c r="AL381" s="2"/>
      <c r="AM381" s="2"/>
      <c r="AN381" s="525"/>
      <c r="AO381" s="525"/>
      <c r="AP381" s="525"/>
      <c r="AQ381" s="525"/>
      <c r="AR381" s="525"/>
      <c r="AS381" s="525"/>
      <c r="AT381" s="525"/>
      <c r="AU381" s="525"/>
      <c r="AV381" s="525"/>
      <c r="AW381" s="525"/>
      <c r="AX381" s="525"/>
      <c r="AY381" s="525"/>
      <c r="AZ381" s="525"/>
      <c r="BA381" s="525"/>
      <c r="BB381" s="525"/>
      <c r="BC381" s="525"/>
      <c r="BD381" s="525"/>
      <c r="BE381" s="525"/>
      <c r="BF381" s="525"/>
      <c r="BG381" s="525"/>
      <c r="BH381" s="525"/>
      <c r="BI381" s="525"/>
      <c r="BJ381" s="525"/>
      <c r="BK381" s="525"/>
      <c r="BL381" s="525"/>
      <c r="BM381" s="525"/>
      <c r="BN381" s="525"/>
      <c r="BO381" s="525"/>
      <c r="BP381" s="525"/>
      <c r="BQ381" s="525"/>
      <c r="BR381" s="525"/>
      <c r="BS381" s="525"/>
      <c r="BT381" s="525"/>
      <c r="BU381" s="525"/>
      <c r="BV381" s="525"/>
      <c r="BW381" s="525"/>
      <c r="BX381" s="525"/>
      <c r="BY381" s="525"/>
    </row>
    <row r="382" spans="3:77" x14ac:dyDescent="0.3">
      <c r="C382" s="2"/>
      <c r="D382" s="2"/>
      <c r="E382" s="134" t="str">
        <f>"Insurance income: "&amp;E$155</f>
        <v>Insurance income: FY27 Tranche</v>
      </c>
      <c r="F382" s="2"/>
      <c r="G382" s="2"/>
      <c r="H382" s="2"/>
      <c r="I382" s="2"/>
      <c r="J382" s="2"/>
      <c r="K382" s="2"/>
      <c r="L382" s="2"/>
      <c r="M382" s="2"/>
      <c r="N382" s="2"/>
      <c r="O382" s="2"/>
      <c r="P382" s="10"/>
      <c r="Q382" s="2"/>
      <c r="R382" s="497">
        <f t="shared" ref="R382:AW382" si="532">R$605*$R155</f>
        <v>1193.9506357544381</v>
      </c>
      <c r="S382" s="497">
        <f t="shared" si="532"/>
        <v>1193.9506357544381</v>
      </c>
      <c r="T382" s="497">
        <f t="shared" si="532"/>
        <v>1193.9506357544381</v>
      </c>
      <c r="U382" s="497">
        <f t="shared" si="532"/>
        <v>1193.9506357544381</v>
      </c>
      <c r="V382" s="497">
        <f t="shared" si="532"/>
        <v>1193.9506357544381</v>
      </c>
      <c r="W382" s="497">
        <f t="shared" si="532"/>
        <v>1193.9506357544381</v>
      </c>
      <c r="X382" s="497">
        <f t="shared" si="532"/>
        <v>1193.9506357544381</v>
      </c>
      <c r="Y382" s="497">
        <f t="shared" si="532"/>
        <v>1193.9506357544381</v>
      </c>
      <c r="Z382" s="497">
        <f t="shared" si="532"/>
        <v>1193.9506357544381</v>
      </c>
      <c r="AA382" s="497">
        <f t="shared" si="532"/>
        <v>1193.9506357544381</v>
      </c>
      <c r="AB382" s="497">
        <f t="shared" si="532"/>
        <v>1193.9506357544381</v>
      </c>
      <c r="AC382" s="497">
        <f t="shared" si="532"/>
        <v>1193.9506357544381</v>
      </c>
      <c r="AD382" s="497">
        <f t="shared" si="532"/>
        <v>1193.9506357544381</v>
      </c>
      <c r="AE382" s="497">
        <f t="shared" si="532"/>
        <v>1193.9506357544381</v>
      </c>
      <c r="AF382" s="497">
        <f t="shared" si="532"/>
        <v>1193.9506357544381</v>
      </c>
      <c r="AG382" s="497">
        <f t="shared" si="532"/>
        <v>1193.9506357544381</v>
      </c>
      <c r="AH382" s="497">
        <f t="shared" si="532"/>
        <v>1193.9506357544381</v>
      </c>
      <c r="AI382" s="497">
        <f t="shared" si="532"/>
        <v>1193.9506357544381</v>
      </c>
      <c r="AJ382" s="497">
        <f t="shared" si="532"/>
        <v>1193.9506357544381</v>
      </c>
      <c r="AK382" s="497">
        <f t="shared" si="532"/>
        <v>1193.9506357544381</v>
      </c>
      <c r="AL382" s="497">
        <f t="shared" si="532"/>
        <v>1193.9506357544381</v>
      </c>
      <c r="AM382" s="497">
        <f t="shared" si="532"/>
        <v>1193.9506357544381</v>
      </c>
      <c r="AN382" s="527">
        <f t="shared" si="532"/>
        <v>1193.9506357544381</v>
      </c>
      <c r="AO382" s="527">
        <f t="shared" si="532"/>
        <v>1193.9506357544381</v>
      </c>
      <c r="AP382" s="527">
        <f t="shared" si="532"/>
        <v>1193.9506357544381</v>
      </c>
      <c r="AQ382" s="527">
        <f t="shared" si="532"/>
        <v>1193.9506357544381</v>
      </c>
      <c r="AR382" s="527">
        <f t="shared" si="532"/>
        <v>1193.9506357544381</v>
      </c>
      <c r="AS382" s="527">
        <f t="shared" si="532"/>
        <v>1193.9506357544381</v>
      </c>
      <c r="AT382" s="527">
        <f t="shared" si="532"/>
        <v>1193.9506357544381</v>
      </c>
      <c r="AU382" s="527">
        <f t="shared" si="532"/>
        <v>1193.9506357544381</v>
      </c>
      <c r="AV382" s="527">
        <f t="shared" si="532"/>
        <v>1193.9506357544381</v>
      </c>
      <c r="AW382" s="527">
        <f t="shared" si="532"/>
        <v>1193.9506357544381</v>
      </c>
      <c r="AX382" s="527">
        <f t="shared" ref="AX382:BY382" si="533">AX$605*$R155</f>
        <v>1193.9506357544381</v>
      </c>
      <c r="AY382" s="527">
        <f t="shared" si="533"/>
        <v>1193.9506357544381</v>
      </c>
      <c r="AZ382" s="527">
        <f t="shared" si="533"/>
        <v>1193.9506357544381</v>
      </c>
      <c r="BA382" s="527">
        <f t="shared" si="533"/>
        <v>1193.9506357544381</v>
      </c>
      <c r="BB382" s="527">
        <f t="shared" si="533"/>
        <v>1193.9506357544381</v>
      </c>
      <c r="BC382" s="527">
        <f t="shared" si="533"/>
        <v>1193.9506357544381</v>
      </c>
      <c r="BD382" s="527">
        <f t="shared" si="533"/>
        <v>1193.9506357544381</v>
      </c>
      <c r="BE382" s="527">
        <f t="shared" si="533"/>
        <v>1193.9506357544381</v>
      </c>
      <c r="BF382" s="527">
        <f t="shared" si="533"/>
        <v>1193.9506357544381</v>
      </c>
      <c r="BG382" s="527">
        <f t="shared" si="533"/>
        <v>1193.9506357544381</v>
      </c>
      <c r="BH382" s="527">
        <f t="shared" si="533"/>
        <v>1193.9506357544381</v>
      </c>
      <c r="BI382" s="527">
        <f t="shared" si="533"/>
        <v>1193.9506357544381</v>
      </c>
      <c r="BJ382" s="527">
        <f t="shared" si="533"/>
        <v>1193.9506357544381</v>
      </c>
      <c r="BK382" s="527">
        <f t="shared" si="533"/>
        <v>1193.9506357544381</v>
      </c>
      <c r="BL382" s="527">
        <f t="shared" si="533"/>
        <v>1193.9506357544381</v>
      </c>
      <c r="BM382" s="527">
        <f t="shared" si="533"/>
        <v>1193.9506357544381</v>
      </c>
      <c r="BN382" s="527">
        <f t="shared" si="533"/>
        <v>1193.9506357544381</v>
      </c>
      <c r="BO382" s="527">
        <f t="shared" si="533"/>
        <v>1193.9506357544381</v>
      </c>
      <c r="BP382" s="527">
        <f t="shared" si="533"/>
        <v>1193.9506357544381</v>
      </c>
      <c r="BQ382" s="527">
        <f t="shared" si="533"/>
        <v>1193.9506357544381</v>
      </c>
      <c r="BR382" s="527">
        <f t="shared" si="533"/>
        <v>1193.9506357544381</v>
      </c>
      <c r="BS382" s="527">
        <f t="shared" si="533"/>
        <v>1193.9506357544381</v>
      </c>
      <c r="BT382" s="527">
        <f t="shared" si="533"/>
        <v>1193.9506357544381</v>
      </c>
      <c r="BU382" s="527">
        <f t="shared" si="533"/>
        <v>1193.9506357544381</v>
      </c>
      <c r="BV382" s="527">
        <f t="shared" si="533"/>
        <v>1193.9506357544381</v>
      </c>
      <c r="BW382" s="527">
        <f t="shared" si="533"/>
        <v>1193.9506357544381</v>
      </c>
      <c r="BX382" s="527">
        <f t="shared" si="533"/>
        <v>1193.9506357544381</v>
      </c>
      <c r="BY382" s="527">
        <f t="shared" si="533"/>
        <v>1193.9506357544381</v>
      </c>
    </row>
    <row r="383" spans="3:77" x14ac:dyDescent="0.3">
      <c r="C383" s="2"/>
      <c r="D383" s="2"/>
      <c r="E383" s="134" t="str">
        <f>"Insurance income: "&amp;E$156</f>
        <v>Insurance income: FY28 Tranche</v>
      </c>
      <c r="F383" s="2"/>
      <c r="G383" s="2"/>
      <c r="H383" s="2"/>
      <c r="I383" s="2"/>
      <c r="J383" s="2"/>
      <c r="K383" s="2"/>
      <c r="L383" s="2"/>
      <c r="M383" s="2"/>
      <c r="N383" s="2"/>
      <c r="O383" s="2"/>
      <c r="P383" s="10"/>
      <c r="Q383" s="2"/>
      <c r="R383" s="497">
        <f t="shared" ref="R383:AW383" si="534">R$605*$R156</f>
        <v>1193.9506357544381</v>
      </c>
      <c r="S383" s="497">
        <f t="shared" si="534"/>
        <v>1193.9506357544381</v>
      </c>
      <c r="T383" s="497">
        <f t="shared" si="534"/>
        <v>1193.9506357544381</v>
      </c>
      <c r="U383" s="497">
        <f t="shared" si="534"/>
        <v>1193.9506357544381</v>
      </c>
      <c r="V383" s="497">
        <f t="shared" si="534"/>
        <v>1193.9506357544381</v>
      </c>
      <c r="W383" s="497">
        <f t="shared" si="534"/>
        <v>1193.9506357544381</v>
      </c>
      <c r="X383" s="497">
        <f t="shared" si="534"/>
        <v>1193.9506357544381</v>
      </c>
      <c r="Y383" s="497">
        <f t="shared" si="534"/>
        <v>1193.9506357544381</v>
      </c>
      <c r="Z383" s="497">
        <f t="shared" si="534"/>
        <v>1193.9506357544381</v>
      </c>
      <c r="AA383" s="497">
        <f t="shared" si="534"/>
        <v>1193.9506357544381</v>
      </c>
      <c r="AB383" s="497">
        <f t="shared" si="534"/>
        <v>1193.9506357544381</v>
      </c>
      <c r="AC383" s="497">
        <f t="shared" si="534"/>
        <v>1193.9506357544381</v>
      </c>
      <c r="AD383" s="497">
        <f t="shared" si="534"/>
        <v>1193.9506357544381</v>
      </c>
      <c r="AE383" s="497">
        <f t="shared" si="534"/>
        <v>1193.9506357544381</v>
      </c>
      <c r="AF383" s="497">
        <f t="shared" si="534"/>
        <v>1193.9506357544381</v>
      </c>
      <c r="AG383" s="497">
        <f t="shared" si="534"/>
        <v>1193.9506357544381</v>
      </c>
      <c r="AH383" s="497">
        <f t="shared" si="534"/>
        <v>1193.9506357544381</v>
      </c>
      <c r="AI383" s="497">
        <f t="shared" si="534"/>
        <v>1193.9506357544381</v>
      </c>
      <c r="AJ383" s="497">
        <f t="shared" si="534"/>
        <v>1193.9506357544381</v>
      </c>
      <c r="AK383" s="497">
        <f t="shared" si="534"/>
        <v>1193.9506357544381</v>
      </c>
      <c r="AL383" s="497">
        <f t="shared" si="534"/>
        <v>1193.9506357544381</v>
      </c>
      <c r="AM383" s="497">
        <f t="shared" si="534"/>
        <v>1193.9506357544381</v>
      </c>
      <c r="AN383" s="527">
        <f t="shared" si="534"/>
        <v>1193.9506357544381</v>
      </c>
      <c r="AO383" s="527">
        <f t="shared" si="534"/>
        <v>1193.9506357544381</v>
      </c>
      <c r="AP383" s="527">
        <f t="shared" si="534"/>
        <v>1193.9506357544381</v>
      </c>
      <c r="AQ383" s="527">
        <f t="shared" si="534"/>
        <v>1193.9506357544381</v>
      </c>
      <c r="AR383" s="527">
        <f t="shared" si="534"/>
        <v>1193.9506357544381</v>
      </c>
      <c r="AS383" s="527">
        <f t="shared" si="534"/>
        <v>1193.9506357544381</v>
      </c>
      <c r="AT383" s="527">
        <f t="shared" si="534"/>
        <v>1193.9506357544381</v>
      </c>
      <c r="AU383" s="527">
        <f t="shared" si="534"/>
        <v>1193.9506357544381</v>
      </c>
      <c r="AV383" s="527">
        <f t="shared" si="534"/>
        <v>1193.9506357544381</v>
      </c>
      <c r="AW383" s="527">
        <f t="shared" si="534"/>
        <v>1193.9506357544381</v>
      </c>
      <c r="AX383" s="527">
        <f t="shared" ref="AX383:BY383" si="535">AX$605*$R156</f>
        <v>1193.9506357544381</v>
      </c>
      <c r="AY383" s="527">
        <f t="shared" si="535"/>
        <v>1193.9506357544381</v>
      </c>
      <c r="AZ383" s="527">
        <f t="shared" si="535"/>
        <v>1193.9506357544381</v>
      </c>
      <c r="BA383" s="527">
        <f t="shared" si="535"/>
        <v>1193.9506357544381</v>
      </c>
      <c r="BB383" s="527">
        <f t="shared" si="535"/>
        <v>1193.9506357544381</v>
      </c>
      <c r="BC383" s="527">
        <f t="shared" si="535"/>
        <v>1193.9506357544381</v>
      </c>
      <c r="BD383" s="527">
        <f t="shared" si="535"/>
        <v>1193.9506357544381</v>
      </c>
      <c r="BE383" s="527">
        <f t="shared" si="535"/>
        <v>1193.9506357544381</v>
      </c>
      <c r="BF383" s="527">
        <f t="shared" si="535"/>
        <v>1193.9506357544381</v>
      </c>
      <c r="BG383" s="527">
        <f t="shared" si="535"/>
        <v>1193.9506357544381</v>
      </c>
      <c r="BH383" s="527">
        <f t="shared" si="535"/>
        <v>1193.9506357544381</v>
      </c>
      <c r="BI383" s="527">
        <f t="shared" si="535"/>
        <v>1193.9506357544381</v>
      </c>
      <c r="BJ383" s="527">
        <f t="shared" si="535"/>
        <v>1193.9506357544381</v>
      </c>
      <c r="BK383" s="527">
        <f t="shared" si="535"/>
        <v>1193.9506357544381</v>
      </c>
      <c r="BL383" s="527">
        <f t="shared" si="535"/>
        <v>1193.9506357544381</v>
      </c>
      <c r="BM383" s="527">
        <f t="shared" si="535"/>
        <v>1193.9506357544381</v>
      </c>
      <c r="BN383" s="527">
        <f t="shared" si="535"/>
        <v>1193.9506357544381</v>
      </c>
      <c r="BO383" s="527">
        <f t="shared" si="535"/>
        <v>1193.9506357544381</v>
      </c>
      <c r="BP383" s="527">
        <f t="shared" si="535"/>
        <v>1193.9506357544381</v>
      </c>
      <c r="BQ383" s="527">
        <f t="shared" si="535"/>
        <v>1193.9506357544381</v>
      </c>
      <c r="BR383" s="527">
        <f t="shared" si="535"/>
        <v>1193.9506357544381</v>
      </c>
      <c r="BS383" s="527">
        <f t="shared" si="535"/>
        <v>1193.9506357544381</v>
      </c>
      <c r="BT383" s="527">
        <f t="shared" si="535"/>
        <v>1193.9506357544381</v>
      </c>
      <c r="BU383" s="527">
        <f t="shared" si="535"/>
        <v>1193.9506357544381</v>
      </c>
      <c r="BV383" s="527">
        <f t="shared" si="535"/>
        <v>1193.9506357544381</v>
      </c>
      <c r="BW383" s="527">
        <f t="shared" si="535"/>
        <v>1193.9506357544381</v>
      </c>
      <c r="BX383" s="527">
        <f t="shared" si="535"/>
        <v>1193.9506357544381</v>
      </c>
      <c r="BY383" s="527">
        <f t="shared" si="535"/>
        <v>1193.9506357544381</v>
      </c>
    </row>
    <row r="384" spans="3:77" x14ac:dyDescent="0.3">
      <c r="C384" s="2"/>
      <c r="D384" s="2"/>
      <c r="E384" s="134" t="str">
        <f>"Insurance income: "&amp;E$157</f>
        <v>Insurance income: FY29 Tranche</v>
      </c>
      <c r="F384" s="2"/>
      <c r="G384" s="2"/>
      <c r="H384" s="2"/>
      <c r="I384" s="2"/>
      <c r="J384" s="2"/>
      <c r="K384" s="2"/>
      <c r="L384" s="2"/>
      <c r="M384" s="2"/>
      <c r="N384" s="2"/>
      <c r="O384" s="2"/>
      <c r="P384" s="10"/>
      <c r="Q384" s="2"/>
      <c r="R384" s="497">
        <f t="shared" ref="R384:AW384" si="536">R$605*$R157</f>
        <v>1193.9506357544381</v>
      </c>
      <c r="S384" s="497">
        <f t="shared" si="536"/>
        <v>1193.9506357544381</v>
      </c>
      <c r="T384" s="497">
        <f t="shared" si="536"/>
        <v>1193.9506357544381</v>
      </c>
      <c r="U384" s="497">
        <f t="shared" si="536"/>
        <v>1193.9506357544381</v>
      </c>
      <c r="V384" s="497">
        <f t="shared" si="536"/>
        <v>1193.9506357544381</v>
      </c>
      <c r="W384" s="497">
        <f t="shared" si="536"/>
        <v>1193.9506357544381</v>
      </c>
      <c r="X384" s="497">
        <f t="shared" si="536"/>
        <v>1193.9506357544381</v>
      </c>
      <c r="Y384" s="497">
        <f t="shared" si="536"/>
        <v>1193.9506357544381</v>
      </c>
      <c r="Z384" s="497">
        <f t="shared" si="536"/>
        <v>1193.9506357544381</v>
      </c>
      <c r="AA384" s="497">
        <f t="shared" si="536"/>
        <v>1193.9506357544381</v>
      </c>
      <c r="AB384" s="497">
        <f t="shared" si="536"/>
        <v>1193.9506357544381</v>
      </c>
      <c r="AC384" s="497">
        <f t="shared" si="536"/>
        <v>1193.9506357544381</v>
      </c>
      <c r="AD384" s="497">
        <f t="shared" si="536"/>
        <v>1193.9506357544381</v>
      </c>
      <c r="AE384" s="497">
        <f t="shared" si="536"/>
        <v>1193.9506357544381</v>
      </c>
      <c r="AF384" s="497">
        <f t="shared" si="536"/>
        <v>1193.9506357544381</v>
      </c>
      <c r="AG384" s="497">
        <f t="shared" si="536"/>
        <v>1193.9506357544381</v>
      </c>
      <c r="AH384" s="497">
        <f t="shared" si="536"/>
        <v>1193.9506357544381</v>
      </c>
      <c r="AI384" s="497">
        <f t="shared" si="536"/>
        <v>1193.9506357544381</v>
      </c>
      <c r="AJ384" s="497">
        <f t="shared" si="536"/>
        <v>1193.9506357544381</v>
      </c>
      <c r="AK384" s="497">
        <f t="shared" si="536"/>
        <v>1193.9506357544381</v>
      </c>
      <c r="AL384" s="497">
        <f t="shared" si="536"/>
        <v>1193.9506357544381</v>
      </c>
      <c r="AM384" s="497">
        <f t="shared" si="536"/>
        <v>1193.9506357544381</v>
      </c>
      <c r="AN384" s="527">
        <f t="shared" si="536"/>
        <v>1193.9506357544381</v>
      </c>
      <c r="AO384" s="527">
        <f t="shared" si="536"/>
        <v>1193.9506357544381</v>
      </c>
      <c r="AP384" s="527">
        <f t="shared" si="536"/>
        <v>1193.9506357544381</v>
      </c>
      <c r="AQ384" s="527">
        <f t="shared" si="536"/>
        <v>1193.9506357544381</v>
      </c>
      <c r="AR384" s="527">
        <f t="shared" si="536"/>
        <v>1193.9506357544381</v>
      </c>
      <c r="AS384" s="527">
        <f t="shared" si="536"/>
        <v>1193.9506357544381</v>
      </c>
      <c r="AT384" s="527">
        <f t="shared" si="536"/>
        <v>1193.9506357544381</v>
      </c>
      <c r="AU384" s="527">
        <f t="shared" si="536"/>
        <v>1193.9506357544381</v>
      </c>
      <c r="AV384" s="527">
        <f t="shared" si="536"/>
        <v>1193.9506357544381</v>
      </c>
      <c r="AW384" s="527">
        <f t="shared" si="536"/>
        <v>1193.9506357544381</v>
      </c>
      <c r="AX384" s="527">
        <f t="shared" ref="AX384:BY384" si="537">AX$605*$R157</f>
        <v>1193.9506357544381</v>
      </c>
      <c r="AY384" s="527">
        <f t="shared" si="537"/>
        <v>1193.9506357544381</v>
      </c>
      <c r="AZ384" s="527">
        <f t="shared" si="537"/>
        <v>1193.9506357544381</v>
      </c>
      <c r="BA384" s="527">
        <f t="shared" si="537"/>
        <v>1193.9506357544381</v>
      </c>
      <c r="BB384" s="527">
        <f t="shared" si="537"/>
        <v>1193.9506357544381</v>
      </c>
      <c r="BC384" s="527">
        <f t="shared" si="537"/>
        <v>1193.9506357544381</v>
      </c>
      <c r="BD384" s="527">
        <f t="shared" si="537"/>
        <v>1193.9506357544381</v>
      </c>
      <c r="BE384" s="527">
        <f t="shared" si="537"/>
        <v>1193.9506357544381</v>
      </c>
      <c r="BF384" s="527">
        <f t="shared" si="537"/>
        <v>1193.9506357544381</v>
      </c>
      <c r="BG384" s="527">
        <f t="shared" si="537"/>
        <v>1193.9506357544381</v>
      </c>
      <c r="BH384" s="527">
        <f t="shared" si="537"/>
        <v>1193.9506357544381</v>
      </c>
      <c r="BI384" s="527">
        <f t="shared" si="537"/>
        <v>1193.9506357544381</v>
      </c>
      <c r="BJ384" s="527">
        <f t="shared" si="537"/>
        <v>1193.9506357544381</v>
      </c>
      <c r="BK384" s="527">
        <f t="shared" si="537"/>
        <v>1193.9506357544381</v>
      </c>
      <c r="BL384" s="527">
        <f t="shared" si="537"/>
        <v>1193.9506357544381</v>
      </c>
      <c r="BM384" s="527">
        <f t="shared" si="537"/>
        <v>1193.9506357544381</v>
      </c>
      <c r="BN384" s="527">
        <f t="shared" si="537"/>
        <v>1193.9506357544381</v>
      </c>
      <c r="BO384" s="527">
        <f t="shared" si="537"/>
        <v>1193.9506357544381</v>
      </c>
      <c r="BP384" s="527">
        <f t="shared" si="537"/>
        <v>1193.9506357544381</v>
      </c>
      <c r="BQ384" s="527">
        <f t="shared" si="537"/>
        <v>1193.9506357544381</v>
      </c>
      <c r="BR384" s="527">
        <f t="shared" si="537"/>
        <v>1193.9506357544381</v>
      </c>
      <c r="BS384" s="527">
        <f t="shared" si="537"/>
        <v>1193.9506357544381</v>
      </c>
      <c r="BT384" s="527">
        <f t="shared" si="537"/>
        <v>1193.9506357544381</v>
      </c>
      <c r="BU384" s="527">
        <f t="shared" si="537"/>
        <v>1193.9506357544381</v>
      </c>
      <c r="BV384" s="527">
        <f t="shared" si="537"/>
        <v>1193.9506357544381</v>
      </c>
      <c r="BW384" s="527">
        <f t="shared" si="537"/>
        <v>1193.9506357544381</v>
      </c>
      <c r="BX384" s="527">
        <f t="shared" si="537"/>
        <v>1193.9506357544381</v>
      </c>
      <c r="BY384" s="527">
        <f t="shared" si="537"/>
        <v>1193.9506357544381</v>
      </c>
    </row>
    <row r="385" spans="3:77" x14ac:dyDescent="0.3">
      <c r="C385" s="2"/>
      <c r="D385" s="2"/>
      <c r="E385" s="134" t="str">
        <f>"Insurance income: "&amp;E$158</f>
        <v>Insurance income: FY30 Tranche</v>
      </c>
      <c r="F385" s="2"/>
      <c r="G385" s="2"/>
      <c r="H385" s="2"/>
      <c r="I385" s="2"/>
      <c r="J385" s="2"/>
      <c r="K385" s="2"/>
      <c r="L385" s="2"/>
      <c r="M385" s="2"/>
      <c r="N385" s="2"/>
      <c r="O385" s="2"/>
      <c r="P385" s="10"/>
      <c r="Q385" s="2"/>
      <c r="R385" s="497">
        <f t="shared" ref="R385:AW385" si="538">R$605*$R158</f>
        <v>1193.9506357544381</v>
      </c>
      <c r="S385" s="497">
        <f t="shared" si="538"/>
        <v>1193.9506357544381</v>
      </c>
      <c r="T385" s="497">
        <f t="shared" si="538"/>
        <v>1193.9506357544381</v>
      </c>
      <c r="U385" s="497">
        <f t="shared" si="538"/>
        <v>1193.9506357544381</v>
      </c>
      <c r="V385" s="497">
        <f t="shared" si="538"/>
        <v>1193.9506357544381</v>
      </c>
      <c r="W385" s="497">
        <f t="shared" si="538"/>
        <v>1193.9506357544381</v>
      </c>
      <c r="X385" s="497">
        <f t="shared" si="538"/>
        <v>1193.9506357544381</v>
      </c>
      <c r="Y385" s="497">
        <f t="shared" si="538"/>
        <v>1193.9506357544381</v>
      </c>
      <c r="Z385" s="497">
        <f t="shared" si="538"/>
        <v>1193.9506357544381</v>
      </c>
      <c r="AA385" s="497">
        <f t="shared" si="538"/>
        <v>1193.9506357544381</v>
      </c>
      <c r="AB385" s="497">
        <f t="shared" si="538"/>
        <v>1193.9506357544381</v>
      </c>
      <c r="AC385" s="497">
        <f t="shared" si="538"/>
        <v>1193.9506357544381</v>
      </c>
      <c r="AD385" s="497">
        <f t="shared" si="538"/>
        <v>1193.9506357544381</v>
      </c>
      <c r="AE385" s="497">
        <f t="shared" si="538"/>
        <v>1193.9506357544381</v>
      </c>
      <c r="AF385" s="497">
        <f t="shared" si="538"/>
        <v>1193.9506357544381</v>
      </c>
      <c r="AG385" s="497">
        <f t="shared" si="538"/>
        <v>1193.9506357544381</v>
      </c>
      <c r="AH385" s="497">
        <f t="shared" si="538"/>
        <v>1193.9506357544381</v>
      </c>
      <c r="AI385" s="497">
        <f t="shared" si="538"/>
        <v>1193.9506357544381</v>
      </c>
      <c r="AJ385" s="497">
        <f t="shared" si="538"/>
        <v>1193.9506357544381</v>
      </c>
      <c r="AK385" s="497">
        <f t="shared" si="538"/>
        <v>1193.9506357544381</v>
      </c>
      <c r="AL385" s="497">
        <f t="shared" si="538"/>
        <v>1193.9506357544381</v>
      </c>
      <c r="AM385" s="497">
        <f t="shared" si="538"/>
        <v>1193.9506357544381</v>
      </c>
      <c r="AN385" s="527">
        <f t="shared" si="538"/>
        <v>1193.9506357544381</v>
      </c>
      <c r="AO385" s="527">
        <f t="shared" si="538"/>
        <v>1193.9506357544381</v>
      </c>
      <c r="AP385" s="527">
        <f t="shared" si="538"/>
        <v>1193.9506357544381</v>
      </c>
      <c r="AQ385" s="527">
        <f t="shared" si="538"/>
        <v>1193.9506357544381</v>
      </c>
      <c r="AR385" s="527">
        <f t="shared" si="538"/>
        <v>1193.9506357544381</v>
      </c>
      <c r="AS385" s="527">
        <f t="shared" si="538"/>
        <v>1193.9506357544381</v>
      </c>
      <c r="AT385" s="527">
        <f t="shared" si="538"/>
        <v>1193.9506357544381</v>
      </c>
      <c r="AU385" s="527">
        <f t="shared" si="538"/>
        <v>1193.9506357544381</v>
      </c>
      <c r="AV385" s="527">
        <f t="shared" si="538"/>
        <v>1193.9506357544381</v>
      </c>
      <c r="AW385" s="527">
        <f t="shared" si="538"/>
        <v>1193.9506357544381</v>
      </c>
      <c r="AX385" s="527">
        <f t="shared" ref="AX385:BY385" si="539">AX$605*$R158</f>
        <v>1193.9506357544381</v>
      </c>
      <c r="AY385" s="527">
        <f t="shared" si="539"/>
        <v>1193.9506357544381</v>
      </c>
      <c r="AZ385" s="527">
        <f t="shared" si="539"/>
        <v>1193.9506357544381</v>
      </c>
      <c r="BA385" s="527">
        <f t="shared" si="539"/>
        <v>1193.9506357544381</v>
      </c>
      <c r="BB385" s="527">
        <f t="shared" si="539"/>
        <v>1193.9506357544381</v>
      </c>
      <c r="BC385" s="527">
        <f t="shared" si="539"/>
        <v>1193.9506357544381</v>
      </c>
      <c r="BD385" s="527">
        <f t="shared" si="539"/>
        <v>1193.9506357544381</v>
      </c>
      <c r="BE385" s="527">
        <f t="shared" si="539"/>
        <v>1193.9506357544381</v>
      </c>
      <c r="BF385" s="527">
        <f t="shared" si="539"/>
        <v>1193.9506357544381</v>
      </c>
      <c r="BG385" s="527">
        <f t="shared" si="539"/>
        <v>1193.9506357544381</v>
      </c>
      <c r="BH385" s="527">
        <f t="shared" si="539"/>
        <v>1193.9506357544381</v>
      </c>
      <c r="BI385" s="527">
        <f t="shared" si="539"/>
        <v>1193.9506357544381</v>
      </c>
      <c r="BJ385" s="527">
        <f t="shared" si="539"/>
        <v>1193.9506357544381</v>
      </c>
      <c r="BK385" s="527">
        <f t="shared" si="539"/>
        <v>1193.9506357544381</v>
      </c>
      <c r="BL385" s="527">
        <f t="shared" si="539"/>
        <v>1193.9506357544381</v>
      </c>
      <c r="BM385" s="527">
        <f t="shared" si="539"/>
        <v>1193.9506357544381</v>
      </c>
      <c r="BN385" s="527">
        <f t="shared" si="539"/>
        <v>1193.9506357544381</v>
      </c>
      <c r="BO385" s="527">
        <f t="shared" si="539"/>
        <v>1193.9506357544381</v>
      </c>
      <c r="BP385" s="527">
        <f t="shared" si="539"/>
        <v>1193.9506357544381</v>
      </c>
      <c r="BQ385" s="527">
        <f t="shared" si="539"/>
        <v>1193.9506357544381</v>
      </c>
      <c r="BR385" s="527">
        <f t="shared" si="539"/>
        <v>1193.9506357544381</v>
      </c>
      <c r="BS385" s="527">
        <f t="shared" si="539"/>
        <v>1193.9506357544381</v>
      </c>
      <c r="BT385" s="527">
        <f t="shared" si="539"/>
        <v>1193.9506357544381</v>
      </c>
      <c r="BU385" s="527">
        <f t="shared" si="539"/>
        <v>1193.9506357544381</v>
      </c>
      <c r="BV385" s="527">
        <f t="shared" si="539"/>
        <v>1193.9506357544381</v>
      </c>
      <c r="BW385" s="527">
        <f t="shared" si="539"/>
        <v>1193.9506357544381</v>
      </c>
      <c r="BX385" s="527">
        <f t="shared" si="539"/>
        <v>1193.9506357544381</v>
      </c>
      <c r="BY385" s="527">
        <f t="shared" si="539"/>
        <v>1193.9506357544381</v>
      </c>
    </row>
    <row r="386" spans="3:77" x14ac:dyDescent="0.3">
      <c r="C386" s="2"/>
      <c r="D386" s="2"/>
      <c r="E386" s="134" t="str">
        <f>"Insurance income: "&amp;E$159</f>
        <v>Insurance income: FY31 Tranche</v>
      </c>
      <c r="F386" s="2"/>
      <c r="G386" s="2"/>
      <c r="H386" s="2"/>
      <c r="I386" s="2"/>
      <c r="J386" s="2"/>
      <c r="K386" s="2"/>
      <c r="L386" s="2"/>
      <c r="M386" s="2"/>
      <c r="N386" s="2"/>
      <c r="O386" s="2"/>
      <c r="P386" s="10"/>
      <c r="Q386" s="2"/>
      <c r="R386" s="497">
        <f t="shared" ref="R386:AW386" si="540">R$605*$R159</f>
        <v>1193.9506357544381</v>
      </c>
      <c r="S386" s="497">
        <f t="shared" si="540"/>
        <v>1193.9506357544381</v>
      </c>
      <c r="T386" s="497">
        <f t="shared" si="540"/>
        <v>1193.9506357544381</v>
      </c>
      <c r="U386" s="497">
        <f t="shared" si="540"/>
        <v>1193.9506357544381</v>
      </c>
      <c r="V386" s="497">
        <f t="shared" si="540"/>
        <v>1193.9506357544381</v>
      </c>
      <c r="W386" s="497">
        <f t="shared" si="540"/>
        <v>1193.9506357544381</v>
      </c>
      <c r="X386" s="497">
        <f t="shared" si="540"/>
        <v>1193.9506357544381</v>
      </c>
      <c r="Y386" s="497">
        <f t="shared" si="540"/>
        <v>1193.9506357544381</v>
      </c>
      <c r="Z386" s="497">
        <f t="shared" si="540"/>
        <v>1193.9506357544381</v>
      </c>
      <c r="AA386" s="497">
        <f t="shared" si="540"/>
        <v>1193.9506357544381</v>
      </c>
      <c r="AB386" s="497">
        <f t="shared" si="540"/>
        <v>1193.9506357544381</v>
      </c>
      <c r="AC386" s="497">
        <f t="shared" si="540"/>
        <v>1193.9506357544381</v>
      </c>
      <c r="AD386" s="497">
        <f t="shared" si="540"/>
        <v>1193.9506357544381</v>
      </c>
      <c r="AE386" s="497">
        <f t="shared" si="540"/>
        <v>1193.9506357544381</v>
      </c>
      <c r="AF386" s="497">
        <f t="shared" si="540"/>
        <v>1193.9506357544381</v>
      </c>
      <c r="AG386" s="497">
        <f t="shared" si="540"/>
        <v>1193.9506357544381</v>
      </c>
      <c r="AH386" s="497">
        <f t="shared" si="540"/>
        <v>1193.9506357544381</v>
      </c>
      <c r="AI386" s="497">
        <f t="shared" si="540"/>
        <v>1193.9506357544381</v>
      </c>
      <c r="AJ386" s="497">
        <f t="shared" si="540"/>
        <v>1193.9506357544381</v>
      </c>
      <c r="AK386" s="497">
        <f t="shared" si="540"/>
        <v>1193.9506357544381</v>
      </c>
      <c r="AL386" s="497">
        <f t="shared" si="540"/>
        <v>1193.9506357544381</v>
      </c>
      <c r="AM386" s="497">
        <f t="shared" si="540"/>
        <v>1193.9506357544381</v>
      </c>
      <c r="AN386" s="527">
        <f t="shared" si="540"/>
        <v>1193.9506357544381</v>
      </c>
      <c r="AO386" s="527">
        <f t="shared" si="540"/>
        <v>1193.9506357544381</v>
      </c>
      <c r="AP386" s="527">
        <f t="shared" si="540"/>
        <v>1193.9506357544381</v>
      </c>
      <c r="AQ386" s="527">
        <f t="shared" si="540"/>
        <v>1193.9506357544381</v>
      </c>
      <c r="AR386" s="527">
        <f t="shared" si="540"/>
        <v>1193.9506357544381</v>
      </c>
      <c r="AS386" s="527">
        <f t="shared" si="540"/>
        <v>1193.9506357544381</v>
      </c>
      <c r="AT386" s="527">
        <f t="shared" si="540"/>
        <v>1193.9506357544381</v>
      </c>
      <c r="AU386" s="527">
        <f t="shared" si="540"/>
        <v>1193.9506357544381</v>
      </c>
      <c r="AV386" s="527">
        <f t="shared" si="540"/>
        <v>1193.9506357544381</v>
      </c>
      <c r="AW386" s="527">
        <f t="shared" si="540"/>
        <v>1193.9506357544381</v>
      </c>
      <c r="AX386" s="527">
        <f t="shared" ref="AX386:BY386" si="541">AX$605*$R159</f>
        <v>1193.9506357544381</v>
      </c>
      <c r="AY386" s="527">
        <f t="shared" si="541"/>
        <v>1193.9506357544381</v>
      </c>
      <c r="AZ386" s="527">
        <f t="shared" si="541"/>
        <v>1193.9506357544381</v>
      </c>
      <c r="BA386" s="527">
        <f t="shared" si="541"/>
        <v>1193.9506357544381</v>
      </c>
      <c r="BB386" s="527">
        <f t="shared" si="541"/>
        <v>1193.9506357544381</v>
      </c>
      <c r="BC386" s="527">
        <f t="shared" si="541"/>
        <v>1193.9506357544381</v>
      </c>
      <c r="BD386" s="527">
        <f t="shared" si="541"/>
        <v>1193.9506357544381</v>
      </c>
      <c r="BE386" s="527">
        <f t="shared" si="541"/>
        <v>1193.9506357544381</v>
      </c>
      <c r="BF386" s="527">
        <f t="shared" si="541"/>
        <v>1193.9506357544381</v>
      </c>
      <c r="BG386" s="527">
        <f t="shared" si="541"/>
        <v>1193.9506357544381</v>
      </c>
      <c r="BH386" s="527">
        <f t="shared" si="541"/>
        <v>1193.9506357544381</v>
      </c>
      <c r="BI386" s="527">
        <f t="shared" si="541"/>
        <v>1193.9506357544381</v>
      </c>
      <c r="BJ386" s="527">
        <f t="shared" si="541"/>
        <v>1193.9506357544381</v>
      </c>
      <c r="BK386" s="527">
        <f t="shared" si="541"/>
        <v>1193.9506357544381</v>
      </c>
      <c r="BL386" s="527">
        <f t="shared" si="541"/>
        <v>1193.9506357544381</v>
      </c>
      <c r="BM386" s="527">
        <f t="shared" si="541"/>
        <v>1193.9506357544381</v>
      </c>
      <c r="BN386" s="527">
        <f t="shared" si="541"/>
        <v>1193.9506357544381</v>
      </c>
      <c r="BO386" s="527">
        <f t="shared" si="541"/>
        <v>1193.9506357544381</v>
      </c>
      <c r="BP386" s="527">
        <f t="shared" si="541"/>
        <v>1193.9506357544381</v>
      </c>
      <c r="BQ386" s="527">
        <f t="shared" si="541"/>
        <v>1193.9506357544381</v>
      </c>
      <c r="BR386" s="527">
        <f t="shared" si="541"/>
        <v>1193.9506357544381</v>
      </c>
      <c r="BS386" s="527">
        <f t="shared" si="541"/>
        <v>1193.9506357544381</v>
      </c>
      <c r="BT386" s="527">
        <f t="shared" si="541"/>
        <v>1193.9506357544381</v>
      </c>
      <c r="BU386" s="527">
        <f t="shared" si="541"/>
        <v>1193.9506357544381</v>
      </c>
      <c r="BV386" s="527">
        <f t="shared" si="541"/>
        <v>1193.9506357544381</v>
      </c>
      <c r="BW386" s="527">
        <f t="shared" si="541"/>
        <v>1193.9506357544381</v>
      </c>
      <c r="BX386" s="527">
        <f t="shared" si="541"/>
        <v>1193.9506357544381</v>
      </c>
      <c r="BY386" s="527">
        <f t="shared" si="541"/>
        <v>1193.9506357544381</v>
      </c>
    </row>
    <row r="387" spans="3:77" x14ac:dyDescent="0.3">
      <c r="C387" s="2"/>
      <c r="D387" s="2"/>
      <c r="E387" s="134" t="str">
        <f>"Insurance income: "&amp;E$160</f>
        <v>Insurance income: Uninvested Tranche</v>
      </c>
      <c r="F387" s="2"/>
      <c r="G387" s="2"/>
      <c r="H387" s="2"/>
      <c r="I387" s="2"/>
      <c r="J387" s="2"/>
      <c r="K387" s="2"/>
      <c r="L387" s="2"/>
      <c r="M387" s="2"/>
      <c r="N387" s="2"/>
      <c r="O387" s="2"/>
      <c r="P387" s="10"/>
      <c r="Q387" s="2"/>
      <c r="R387" s="497">
        <f t="shared" ref="R387:AW387" si="542">R$605*$R160</f>
        <v>3343.0617801124267</v>
      </c>
      <c r="S387" s="497">
        <f t="shared" si="542"/>
        <v>3343.0617801124267</v>
      </c>
      <c r="T387" s="497">
        <f t="shared" si="542"/>
        <v>3343.0617801124267</v>
      </c>
      <c r="U387" s="497">
        <f t="shared" si="542"/>
        <v>3343.0617801124267</v>
      </c>
      <c r="V387" s="497">
        <f t="shared" si="542"/>
        <v>3343.0617801124267</v>
      </c>
      <c r="W387" s="497">
        <f t="shared" si="542"/>
        <v>3343.0617801124267</v>
      </c>
      <c r="X387" s="497">
        <f t="shared" si="542"/>
        <v>3343.0617801124267</v>
      </c>
      <c r="Y387" s="497">
        <f t="shared" si="542"/>
        <v>3343.0617801124267</v>
      </c>
      <c r="Z387" s="497">
        <f t="shared" si="542"/>
        <v>3343.0617801124267</v>
      </c>
      <c r="AA387" s="497">
        <f t="shared" si="542"/>
        <v>3343.0617801124267</v>
      </c>
      <c r="AB387" s="497">
        <f t="shared" si="542"/>
        <v>3343.0617801124267</v>
      </c>
      <c r="AC387" s="497">
        <f t="shared" si="542"/>
        <v>3343.0617801124267</v>
      </c>
      <c r="AD387" s="497">
        <f t="shared" si="542"/>
        <v>3343.0617801124267</v>
      </c>
      <c r="AE387" s="497">
        <f t="shared" si="542"/>
        <v>3343.0617801124267</v>
      </c>
      <c r="AF387" s="497">
        <f t="shared" si="542"/>
        <v>3343.0617801124267</v>
      </c>
      <c r="AG387" s="497">
        <f t="shared" si="542"/>
        <v>3343.0617801124267</v>
      </c>
      <c r="AH387" s="497">
        <f t="shared" si="542"/>
        <v>3343.0617801124267</v>
      </c>
      <c r="AI387" s="497">
        <f t="shared" si="542"/>
        <v>3343.0617801124267</v>
      </c>
      <c r="AJ387" s="497">
        <f t="shared" si="542"/>
        <v>3343.0617801124267</v>
      </c>
      <c r="AK387" s="497">
        <f t="shared" si="542"/>
        <v>3343.0617801124267</v>
      </c>
      <c r="AL387" s="497">
        <f t="shared" si="542"/>
        <v>3343.0617801124267</v>
      </c>
      <c r="AM387" s="497">
        <f t="shared" si="542"/>
        <v>3343.0617801124267</v>
      </c>
      <c r="AN387" s="527">
        <f t="shared" si="542"/>
        <v>3343.0617801124267</v>
      </c>
      <c r="AO387" s="527">
        <f t="shared" si="542"/>
        <v>3343.0617801124267</v>
      </c>
      <c r="AP387" s="527">
        <f t="shared" si="542"/>
        <v>3343.0617801124267</v>
      </c>
      <c r="AQ387" s="527">
        <f t="shared" si="542"/>
        <v>3343.0617801124267</v>
      </c>
      <c r="AR387" s="527">
        <f t="shared" si="542"/>
        <v>3343.0617801124267</v>
      </c>
      <c r="AS387" s="527">
        <f t="shared" si="542"/>
        <v>3343.0617801124267</v>
      </c>
      <c r="AT387" s="527">
        <f t="shared" si="542"/>
        <v>3343.0617801124267</v>
      </c>
      <c r="AU387" s="527">
        <f t="shared" si="542"/>
        <v>3343.0617801124267</v>
      </c>
      <c r="AV387" s="527">
        <f t="shared" si="542"/>
        <v>3343.0617801124267</v>
      </c>
      <c r="AW387" s="527">
        <f t="shared" si="542"/>
        <v>3343.0617801124267</v>
      </c>
      <c r="AX387" s="527">
        <f t="shared" ref="AX387:BY387" si="543">AX$605*$R160</f>
        <v>3343.0617801124267</v>
      </c>
      <c r="AY387" s="527">
        <f t="shared" si="543"/>
        <v>3343.0617801124267</v>
      </c>
      <c r="AZ387" s="527">
        <f t="shared" si="543"/>
        <v>3343.0617801124267</v>
      </c>
      <c r="BA387" s="527">
        <f t="shared" si="543"/>
        <v>3343.0617801124267</v>
      </c>
      <c r="BB387" s="527">
        <f t="shared" si="543"/>
        <v>3343.0617801124267</v>
      </c>
      <c r="BC387" s="527">
        <f t="shared" si="543"/>
        <v>3343.0617801124267</v>
      </c>
      <c r="BD387" s="527">
        <f t="shared" si="543"/>
        <v>3343.0617801124267</v>
      </c>
      <c r="BE387" s="527">
        <f t="shared" si="543"/>
        <v>3343.0617801124267</v>
      </c>
      <c r="BF387" s="527">
        <f t="shared" si="543"/>
        <v>3343.0617801124267</v>
      </c>
      <c r="BG387" s="527">
        <f t="shared" si="543"/>
        <v>3343.0617801124267</v>
      </c>
      <c r="BH387" s="527">
        <f t="shared" si="543"/>
        <v>3343.0617801124267</v>
      </c>
      <c r="BI387" s="527">
        <f t="shared" si="543"/>
        <v>3343.0617801124267</v>
      </c>
      <c r="BJ387" s="527">
        <f t="shared" si="543"/>
        <v>3343.0617801124267</v>
      </c>
      <c r="BK387" s="527">
        <f t="shared" si="543"/>
        <v>3343.0617801124267</v>
      </c>
      <c r="BL387" s="527">
        <f t="shared" si="543"/>
        <v>3343.0617801124267</v>
      </c>
      <c r="BM387" s="527">
        <f t="shared" si="543"/>
        <v>3343.0617801124267</v>
      </c>
      <c r="BN387" s="527">
        <f t="shared" si="543"/>
        <v>3343.0617801124267</v>
      </c>
      <c r="BO387" s="527">
        <f t="shared" si="543"/>
        <v>3343.0617801124267</v>
      </c>
      <c r="BP387" s="527">
        <f t="shared" si="543"/>
        <v>3343.0617801124267</v>
      </c>
      <c r="BQ387" s="527">
        <f t="shared" si="543"/>
        <v>3343.0617801124267</v>
      </c>
      <c r="BR387" s="527">
        <f t="shared" si="543"/>
        <v>3343.0617801124267</v>
      </c>
      <c r="BS387" s="527">
        <f t="shared" si="543"/>
        <v>3343.0617801124267</v>
      </c>
      <c r="BT387" s="527">
        <f t="shared" si="543"/>
        <v>3343.0617801124267</v>
      </c>
      <c r="BU387" s="527">
        <f t="shared" si="543"/>
        <v>3343.0617801124267</v>
      </c>
      <c r="BV387" s="527">
        <f t="shared" si="543"/>
        <v>3343.0617801124267</v>
      </c>
      <c r="BW387" s="527">
        <f t="shared" si="543"/>
        <v>3343.0617801124267</v>
      </c>
      <c r="BX387" s="527">
        <f t="shared" si="543"/>
        <v>3343.0617801124267</v>
      </c>
      <c r="BY387" s="527">
        <f t="shared" si="543"/>
        <v>3343.0617801124267</v>
      </c>
    </row>
    <row r="388" spans="3:77" x14ac:dyDescent="0.3">
      <c r="C388" s="2"/>
      <c r="D388" s="2"/>
      <c r="E388" s="4" t="s">
        <v>36</v>
      </c>
      <c r="F388" s="4"/>
      <c r="G388" s="4"/>
      <c r="H388" s="4"/>
      <c r="I388" s="4"/>
      <c r="J388" s="4"/>
      <c r="K388" s="4"/>
      <c r="L388" s="4"/>
      <c r="M388" s="4"/>
      <c r="N388" s="4"/>
      <c r="O388" s="4"/>
      <c r="P388" s="106"/>
      <c r="Q388" s="4"/>
      <c r="R388" s="498">
        <f t="shared" ref="R388:AW388" si="544">SUM(R382:R387)</f>
        <v>9312.8149588846172</v>
      </c>
      <c r="S388" s="498">
        <f t="shared" si="544"/>
        <v>9312.8149588846172</v>
      </c>
      <c r="T388" s="498">
        <f t="shared" si="544"/>
        <v>9312.8149588846172</v>
      </c>
      <c r="U388" s="498">
        <f t="shared" si="544"/>
        <v>9312.8149588846172</v>
      </c>
      <c r="V388" s="498">
        <f t="shared" si="544"/>
        <v>9312.8149588846172</v>
      </c>
      <c r="W388" s="498">
        <f t="shared" si="544"/>
        <v>9312.8149588846172</v>
      </c>
      <c r="X388" s="498">
        <f t="shared" si="544"/>
        <v>9312.8149588846172</v>
      </c>
      <c r="Y388" s="498">
        <f t="shared" si="544"/>
        <v>9312.8149588846172</v>
      </c>
      <c r="Z388" s="498">
        <f t="shared" si="544"/>
        <v>9312.8149588846172</v>
      </c>
      <c r="AA388" s="498">
        <f t="shared" si="544"/>
        <v>9312.8149588846172</v>
      </c>
      <c r="AB388" s="498">
        <f t="shared" si="544"/>
        <v>9312.8149588846172</v>
      </c>
      <c r="AC388" s="498">
        <f t="shared" si="544"/>
        <v>9312.8149588846172</v>
      </c>
      <c r="AD388" s="498">
        <f t="shared" si="544"/>
        <v>9312.8149588846172</v>
      </c>
      <c r="AE388" s="498">
        <f t="shared" si="544"/>
        <v>9312.8149588846172</v>
      </c>
      <c r="AF388" s="498">
        <f t="shared" si="544"/>
        <v>9312.8149588846172</v>
      </c>
      <c r="AG388" s="498">
        <f t="shared" si="544"/>
        <v>9312.8149588846172</v>
      </c>
      <c r="AH388" s="498">
        <f t="shared" si="544"/>
        <v>9312.8149588846172</v>
      </c>
      <c r="AI388" s="498">
        <f t="shared" si="544"/>
        <v>9312.8149588846172</v>
      </c>
      <c r="AJ388" s="498">
        <f t="shared" si="544"/>
        <v>9312.8149588846172</v>
      </c>
      <c r="AK388" s="498">
        <f t="shared" si="544"/>
        <v>9312.8149588846172</v>
      </c>
      <c r="AL388" s="498">
        <f t="shared" si="544"/>
        <v>9312.8149588846172</v>
      </c>
      <c r="AM388" s="498">
        <f t="shared" si="544"/>
        <v>9312.8149588846172</v>
      </c>
      <c r="AN388" s="530">
        <f t="shared" si="544"/>
        <v>9312.8149588846172</v>
      </c>
      <c r="AO388" s="530">
        <f t="shared" si="544"/>
        <v>9312.8149588846172</v>
      </c>
      <c r="AP388" s="530">
        <f t="shared" si="544"/>
        <v>9312.8149588846172</v>
      </c>
      <c r="AQ388" s="530">
        <f t="shared" si="544"/>
        <v>9312.8149588846172</v>
      </c>
      <c r="AR388" s="530">
        <f t="shared" si="544"/>
        <v>9312.8149588846172</v>
      </c>
      <c r="AS388" s="530">
        <f t="shared" si="544"/>
        <v>9312.8149588846172</v>
      </c>
      <c r="AT388" s="530">
        <f t="shared" si="544"/>
        <v>9312.8149588846172</v>
      </c>
      <c r="AU388" s="530">
        <f t="shared" si="544"/>
        <v>9312.8149588846172</v>
      </c>
      <c r="AV388" s="530">
        <f t="shared" si="544"/>
        <v>9312.8149588846172</v>
      </c>
      <c r="AW388" s="530">
        <f t="shared" si="544"/>
        <v>9312.8149588846172</v>
      </c>
      <c r="AX388" s="530">
        <f t="shared" ref="AX388:BY388" si="545">SUM(AX382:AX387)</f>
        <v>9312.8149588846172</v>
      </c>
      <c r="AY388" s="530">
        <f t="shared" si="545"/>
        <v>9312.8149588846172</v>
      </c>
      <c r="AZ388" s="530">
        <f t="shared" si="545"/>
        <v>9312.8149588846172</v>
      </c>
      <c r="BA388" s="530">
        <f t="shared" si="545"/>
        <v>9312.8149588846172</v>
      </c>
      <c r="BB388" s="530">
        <f t="shared" si="545"/>
        <v>9312.8149588846172</v>
      </c>
      <c r="BC388" s="530">
        <f t="shared" si="545"/>
        <v>9312.8149588846172</v>
      </c>
      <c r="BD388" s="530">
        <f t="shared" si="545"/>
        <v>9312.8149588846172</v>
      </c>
      <c r="BE388" s="530">
        <f t="shared" si="545"/>
        <v>9312.8149588846172</v>
      </c>
      <c r="BF388" s="530">
        <f t="shared" si="545"/>
        <v>9312.8149588846172</v>
      </c>
      <c r="BG388" s="530">
        <f t="shared" si="545"/>
        <v>9312.8149588846172</v>
      </c>
      <c r="BH388" s="530">
        <f t="shared" si="545"/>
        <v>9312.8149588846172</v>
      </c>
      <c r="BI388" s="530">
        <f t="shared" si="545"/>
        <v>9312.8149588846172</v>
      </c>
      <c r="BJ388" s="530">
        <f t="shared" si="545"/>
        <v>9312.8149588846172</v>
      </c>
      <c r="BK388" s="530">
        <f t="shared" si="545"/>
        <v>9312.8149588846172</v>
      </c>
      <c r="BL388" s="530">
        <f t="shared" si="545"/>
        <v>9312.8149588846172</v>
      </c>
      <c r="BM388" s="530">
        <f t="shared" si="545"/>
        <v>9312.8149588846172</v>
      </c>
      <c r="BN388" s="530">
        <f t="shared" si="545"/>
        <v>9312.8149588846172</v>
      </c>
      <c r="BO388" s="530">
        <f t="shared" si="545"/>
        <v>9312.8149588846172</v>
      </c>
      <c r="BP388" s="530">
        <f t="shared" si="545"/>
        <v>9312.8149588846172</v>
      </c>
      <c r="BQ388" s="530">
        <f t="shared" si="545"/>
        <v>9312.8149588846172</v>
      </c>
      <c r="BR388" s="530">
        <f t="shared" si="545"/>
        <v>9312.8149588846172</v>
      </c>
      <c r="BS388" s="530">
        <f t="shared" si="545"/>
        <v>9312.8149588846172</v>
      </c>
      <c r="BT388" s="530">
        <f t="shared" si="545"/>
        <v>9312.8149588846172</v>
      </c>
      <c r="BU388" s="530">
        <f t="shared" si="545"/>
        <v>9312.8149588846172</v>
      </c>
      <c r="BV388" s="530">
        <f t="shared" si="545"/>
        <v>9312.8149588846172</v>
      </c>
      <c r="BW388" s="530">
        <f t="shared" si="545"/>
        <v>9312.8149588846172</v>
      </c>
      <c r="BX388" s="530">
        <f t="shared" si="545"/>
        <v>9312.8149588846172</v>
      </c>
      <c r="BY388" s="530">
        <f t="shared" si="545"/>
        <v>9312.8149588846172</v>
      </c>
    </row>
    <row r="389" spans="3:77" x14ac:dyDescent="0.3">
      <c r="C389" s="2"/>
      <c r="D389" s="2"/>
      <c r="E389" s="2"/>
      <c r="F389" s="2"/>
      <c r="G389" s="2"/>
      <c r="H389" s="2"/>
      <c r="I389" s="2"/>
      <c r="J389" s="2"/>
      <c r="K389" s="2"/>
      <c r="L389" s="2"/>
      <c r="M389" s="2"/>
      <c r="N389" s="2"/>
      <c r="O389" s="2"/>
      <c r="P389" s="10"/>
      <c r="Q389" s="2"/>
      <c r="R389" s="2"/>
      <c r="S389" s="2"/>
      <c r="T389" s="2"/>
      <c r="U389" s="2"/>
      <c r="V389" s="2"/>
      <c r="W389" s="2"/>
      <c r="X389" s="2"/>
      <c r="Y389" s="2"/>
      <c r="Z389" s="2"/>
      <c r="AA389" s="2"/>
      <c r="AB389" s="2"/>
      <c r="AC389" s="2"/>
      <c r="AD389" s="2"/>
      <c r="AE389" s="2"/>
      <c r="AF389" s="2"/>
      <c r="AG389" s="2"/>
      <c r="AH389" s="2"/>
      <c r="AI389" s="2"/>
      <c r="AJ389" s="2"/>
      <c r="AK389" s="2"/>
      <c r="AL389" s="2"/>
      <c r="AM389" s="2"/>
      <c r="AN389" s="525"/>
      <c r="AO389" s="525"/>
      <c r="AP389" s="525"/>
      <c r="AQ389" s="525"/>
      <c r="AR389" s="525"/>
      <c r="AS389" s="525"/>
      <c r="AT389" s="525"/>
      <c r="AU389" s="525"/>
      <c r="AV389" s="525"/>
      <c r="AW389" s="525"/>
      <c r="AX389" s="525"/>
      <c r="AY389" s="525"/>
      <c r="AZ389" s="525"/>
      <c r="BA389" s="525"/>
      <c r="BB389" s="525"/>
      <c r="BC389" s="525"/>
      <c r="BD389" s="525"/>
      <c r="BE389" s="525"/>
      <c r="BF389" s="525"/>
      <c r="BG389" s="525"/>
      <c r="BH389" s="525"/>
      <c r="BI389" s="525"/>
      <c r="BJ389" s="525"/>
      <c r="BK389" s="525"/>
      <c r="BL389" s="525"/>
      <c r="BM389" s="525"/>
      <c r="BN389" s="525"/>
      <c r="BO389" s="525"/>
      <c r="BP389" s="525"/>
      <c r="BQ389" s="525"/>
      <c r="BR389" s="525"/>
      <c r="BS389" s="525"/>
      <c r="BT389" s="525"/>
      <c r="BU389" s="525"/>
      <c r="BV389" s="525"/>
      <c r="BW389" s="525"/>
      <c r="BX389" s="525"/>
      <c r="BY389" s="525"/>
    </row>
    <row r="390" spans="3:77" x14ac:dyDescent="0.3">
      <c r="C390" s="24" t="s">
        <v>37</v>
      </c>
      <c r="D390" s="2"/>
      <c r="E390" s="14" t="s">
        <v>51</v>
      </c>
      <c r="F390" s="14"/>
      <c r="G390" s="14"/>
      <c r="H390" s="14"/>
      <c r="I390" s="14"/>
      <c r="J390" s="14"/>
      <c r="K390" s="14"/>
      <c r="L390" s="14"/>
      <c r="M390" s="14"/>
      <c r="N390" s="14"/>
      <c r="O390" s="14"/>
      <c r="P390" s="24"/>
      <c r="Q390" s="14"/>
      <c r="R390" s="14"/>
      <c r="S390" s="14"/>
      <c r="T390" s="14"/>
      <c r="U390" s="14"/>
      <c r="V390" s="14"/>
      <c r="W390" s="14"/>
      <c r="X390" s="14"/>
      <c r="Y390" s="14"/>
      <c r="Z390" s="14"/>
      <c r="AA390" s="14"/>
      <c r="AB390" s="14"/>
      <c r="AC390" s="14"/>
      <c r="AD390" s="14"/>
      <c r="AE390" s="14"/>
      <c r="AF390" s="14"/>
      <c r="AG390" s="14"/>
      <c r="AH390" s="14"/>
      <c r="AI390" s="14"/>
      <c r="AJ390" s="14"/>
      <c r="AK390" s="14"/>
      <c r="AL390" s="14"/>
      <c r="AM390" s="14"/>
      <c r="AN390" s="538"/>
      <c r="AO390" s="538"/>
      <c r="AP390" s="538"/>
      <c r="AQ390" s="538"/>
      <c r="AR390" s="538"/>
      <c r="AS390" s="538"/>
      <c r="AT390" s="538"/>
      <c r="AU390" s="538"/>
      <c r="AV390" s="538"/>
      <c r="AW390" s="538"/>
      <c r="AX390" s="538"/>
      <c r="AY390" s="538"/>
      <c r="AZ390" s="538"/>
      <c r="BA390" s="538"/>
      <c r="BB390" s="538"/>
      <c r="BC390" s="538"/>
      <c r="BD390" s="538"/>
      <c r="BE390" s="538"/>
      <c r="BF390" s="538"/>
      <c r="BG390" s="538"/>
      <c r="BH390" s="538"/>
      <c r="BI390" s="538"/>
      <c r="BJ390" s="538"/>
      <c r="BK390" s="538"/>
      <c r="BL390" s="538"/>
      <c r="BM390" s="538"/>
      <c r="BN390" s="538"/>
      <c r="BO390" s="538"/>
      <c r="BP390" s="538"/>
      <c r="BQ390" s="538"/>
      <c r="BR390" s="538"/>
      <c r="BS390" s="538"/>
      <c r="BT390" s="538"/>
      <c r="BU390" s="538"/>
      <c r="BV390" s="538"/>
      <c r="BW390" s="538"/>
      <c r="BX390" s="538"/>
      <c r="BY390" s="538"/>
    </row>
    <row r="391" spans="3:77" x14ac:dyDescent="0.3">
      <c r="C391" s="2"/>
      <c r="D391" s="2"/>
      <c r="E391" s="2"/>
      <c r="F391" s="2"/>
      <c r="G391" s="2"/>
      <c r="H391" s="2"/>
      <c r="I391" s="2"/>
      <c r="J391" s="2"/>
      <c r="K391" s="2"/>
      <c r="L391" s="2"/>
      <c r="M391" s="2"/>
      <c r="N391" s="2"/>
      <c r="O391" s="2"/>
      <c r="P391" s="10"/>
      <c r="Q391" s="2"/>
      <c r="R391" s="2"/>
      <c r="S391" s="2"/>
      <c r="T391" s="2"/>
      <c r="U391" s="2"/>
      <c r="V391" s="2"/>
      <c r="W391" s="2"/>
      <c r="X391" s="2"/>
      <c r="Y391" s="2"/>
      <c r="Z391" s="2"/>
      <c r="AA391" s="2"/>
      <c r="AB391" s="2"/>
      <c r="AC391" s="2"/>
      <c r="AD391" s="2"/>
      <c r="AE391" s="2"/>
      <c r="AF391" s="2"/>
      <c r="AG391" s="2"/>
      <c r="AH391" s="2"/>
      <c r="AI391" s="2"/>
      <c r="AJ391" s="2"/>
      <c r="AK391" s="2"/>
      <c r="AL391" s="2"/>
      <c r="AM391" s="2"/>
      <c r="AN391" s="525"/>
      <c r="AO391" s="525"/>
      <c r="AP391" s="525"/>
      <c r="AQ391" s="525"/>
      <c r="AR391" s="525"/>
      <c r="AS391" s="525"/>
      <c r="AT391" s="525"/>
      <c r="AU391" s="525"/>
      <c r="AV391" s="525"/>
      <c r="AW391" s="525"/>
      <c r="AX391" s="525"/>
      <c r="AY391" s="525"/>
      <c r="AZ391" s="525"/>
      <c r="BA391" s="525"/>
      <c r="BB391" s="525"/>
      <c r="BC391" s="525"/>
      <c r="BD391" s="525"/>
      <c r="BE391" s="525"/>
      <c r="BF391" s="525"/>
      <c r="BG391" s="525"/>
      <c r="BH391" s="525"/>
      <c r="BI391" s="525"/>
      <c r="BJ391" s="525"/>
      <c r="BK391" s="525"/>
      <c r="BL391" s="525"/>
      <c r="BM391" s="525"/>
      <c r="BN391" s="525"/>
      <c r="BO391" s="525"/>
      <c r="BP391" s="525"/>
      <c r="BQ391" s="525"/>
      <c r="BR391" s="525"/>
      <c r="BS391" s="525"/>
      <c r="BT391" s="525"/>
      <c r="BU391" s="525"/>
      <c r="BV391" s="525"/>
      <c r="BW391" s="525"/>
      <c r="BX391" s="525"/>
      <c r="BY391" s="525"/>
    </row>
    <row r="392" spans="3:77" x14ac:dyDescent="0.3">
      <c r="C392" s="2"/>
      <c r="D392" s="2"/>
      <c r="E392" s="108" t="s">
        <v>110</v>
      </c>
      <c r="F392" s="109"/>
      <c r="G392" s="109"/>
      <c r="H392" s="109"/>
      <c r="I392" s="109"/>
      <c r="J392" s="109"/>
      <c r="K392" s="109"/>
      <c r="L392" s="109"/>
      <c r="M392" s="109"/>
      <c r="N392" s="109"/>
      <c r="O392" s="109"/>
      <c r="P392" s="110"/>
      <c r="Q392" s="109"/>
      <c r="R392" s="109"/>
      <c r="S392" s="109"/>
      <c r="T392" s="109"/>
      <c r="U392" s="109"/>
      <c r="V392" s="109"/>
      <c r="W392" s="109"/>
      <c r="X392" s="109"/>
      <c r="Y392" s="109"/>
      <c r="Z392" s="109"/>
      <c r="AA392" s="109"/>
      <c r="AB392" s="109"/>
      <c r="AC392" s="109"/>
      <c r="AD392" s="109"/>
      <c r="AE392" s="109"/>
      <c r="AF392" s="109"/>
      <c r="AG392" s="109"/>
      <c r="AH392" s="109"/>
      <c r="AI392" s="109"/>
      <c r="AJ392" s="109"/>
      <c r="AK392" s="109"/>
      <c r="AL392" s="109"/>
      <c r="AM392" s="109"/>
      <c r="AN392" s="539"/>
      <c r="AO392" s="539"/>
      <c r="AP392" s="539"/>
      <c r="AQ392" s="539"/>
      <c r="AR392" s="539"/>
      <c r="AS392" s="539"/>
      <c r="AT392" s="539"/>
      <c r="AU392" s="539"/>
      <c r="AV392" s="539"/>
      <c r="AW392" s="539"/>
      <c r="AX392" s="539"/>
      <c r="AY392" s="539"/>
      <c r="AZ392" s="539"/>
      <c r="BA392" s="539"/>
      <c r="BB392" s="539"/>
      <c r="BC392" s="539"/>
      <c r="BD392" s="539"/>
      <c r="BE392" s="539"/>
      <c r="BF392" s="539"/>
      <c r="BG392" s="539"/>
      <c r="BH392" s="539"/>
      <c r="BI392" s="539"/>
      <c r="BJ392" s="539"/>
      <c r="BK392" s="539"/>
      <c r="BL392" s="539"/>
      <c r="BM392" s="539"/>
      <c r="BN392" s="539"/>
      <c r="BO392" s="539"/>
      <c r="BP392" s="539"/>
      <c r="BQ392" s="539"/>
      <c r="BR392" s="539"/>
      <c r="BS392" s="539"/>
      <c r="BT392" s="539"/>
      <c r="BU392" s="539"/>
      <c r="BV392" s="539"/>
      <c r="BW392" s="539"/>
      <c r="BX392" s="539"/>
      <c r="BY392" s="539"/>
    </row>
    <row r="393" spans="3:77" x14ac:dyDescent="0.3">
      <c r="C393" s="2"/>
      <c r="D393" s="2"/>
      <c r="E393" s="2"/>
      <c r="F393" s="2"/>
      <c r="G393" s="2"/>
      <c r="H393" s="2"/>
      <c r="I393" s="2"/>
      <c r="J393" s="2"/>
      <c r="K393" s="2"/>
      <c r="L393" s="2"/>
      <c r="M393" s="2"/>
      <c r="N393" s="2"/>
      <c r="O393" s="2"/>
      <c r="P393" s="10"/>
      <c r="Q393" s="2"/>
      <c r="R393" s="2"/>
      <c r="S393" s="2"/>
      <c r="T393" s="2"/>
      <c r="U393" s="2"/>
      <c r="V393" s="2"/>
      <c r="W393" s="2"/>
      <c r="X393" s="2"/>
      <c r="Y393" s="2"/>
      <c r="Z393" s="2"/>
      <c r="AA393" s="2"/>
      <c r="AB393" s="2"/>
      <c r="AC393" s="2"/>
      <c r="AD393" s="2"/>
      <c r="AE393" s="2"/>
      <c r="AF393" s="2"/>
      <c r="AG393" s="2"/>
      <c r="AH393" s="2"/>
      <c r="AI393" s="2"/>
      <c r="AJ393" s="2"/>
      <c r="AK393" s="2"/>
      <c r="AL393" s="2"/>
      <c r="AM393" s="2"/>
      <c r="AN393" s="525"/>
      <c r="AO393" s="525"/>
      <c r="AP393" s="525"/>
      <c r="AQ393" s="525"/>
      <c r="AR393" s="525"/>
      <c r="AS393" s="525"/>
      <c r="AT393" s="525"/>
      <c r="AU393" s="525"/>
      <c r="AV393" s="525"/>
      <c r="AW393" s="525"/>
      <c r="AX393" s="525"/>
      <c r="AY393" s="525"/>
      <c r="AZ393" s="525"/>
      <c r="BA393" s="525"/>
      <c r="BB393" s="525"/>
      <c r="BC393" s="525"/>
      <c r="BD393" s="525"/>
      <c r="BE393" s="525"/>
      <c r="BF393" s="525"/>
      <c r="BG393" s="525"/>
      <c r="BH393" s="525"/>
      <c r="BI393" s="525"/>
      <c r="BJ393" s="525"/>
      <c r="BK393" s="525"/>
      <c r="BL393" s="525"/>
      <c r="BM393" s="525"/>
      <c r="BN393" s="525"/>
      <c r="BO393" s="525"/>
      <c r="BP393" s="525"/>
      <c r="BQ393" s="525"/>
      <c r="BR393" s="525"/>
      <c r="BS393" s="525"/>
      <c r="BT393" s="525"/>
      <c r="BU393" s="525"/>
      <c r="BV393" s="525"/>
      <c r="BW393" s="525"/>
      <c r="BX393" s="525"/>
      <c r="BY393" s="525"/>
    </row>
    <row r="394" spans="3:77" x14ac:dyDescent="0.3">
      <c r="C394" s="2"/>
      <c r="D394" s="2"/>
      <c r="E394" s="135" t="str">
        <f>"R&amp;M: "&amp;E$155</f>
        <v>R&amp;M: FY27 Tranche</v>
      </c>
      <c r="F394" s="2"/>
      <c r="G394" s="2"/>
      <c r="H394" s="2"/>
      <c r="I394" s="2"/>
      <c r="J394" s="2"/>
      <c r="K394" s="2"/>
      <c r="L394" s="2"/>
      <c r="M394" s="2"/>
      <c r="N394" s="2"/>
      <c r="O394" s="2"/>
      <c r="P394" s="10"/>
      <c r="Q394" s="2"/>
      <c r="R394" s="497">
        <f t="shared" ref="R394:AW394" si="546">R$611*$R155</f>
        <v>-610.10044833333325</v>
      </c>
      <c r="S394" s="497">
        <f t="shared" si="546"/>
        <v>-610.10044833333325</v>
      </c>
      <c r="T394" s="497">
        <f t="shared" si="546"/>
        <v>-610.10044833333325</v>
      </c>
      <c r="U394" s="497">
        <f t="shared" si="546"/>
        <v>-610.10044833333325</v>
      </c>
      <c r="V394" s="497">
        <f t="shared" si="546"/>
        <v>-610.10044833333325</v>
      </c>
      <c r="W394" s="497">
        <f t="shared" si="546"/>
        <v>-610.10044833333325</v>
      </c>
      <c r="X394" s="497">
        <f t="shared" si="546"/>
        <v>-610.10044833333325</v>
      </c>
      <c r="Y394" s="497">
        <f t="shared" si="546"/>
        <v>-610.10044833333325</v>
      </c>
      <c r="Z394" s="497">
        <f t="shared" si="546"/>
        <v>-610.10044833333325</v>
      </c>
      <c r="AA394" s="497">
        <f t="shared" si="546"/>
        <v>-610.10044833333325</v>
      </c>
      <c r="AB394" s="497">
        <f t="shared" si="546"/>
        <v>-610.10044833333325</v>
      </c>
      <c r="AC394" s="497">
        <f t="shared" si="546"/>
        <v>-610.10044833333325</v>
      </c>
      <c r="AD394" s="497">
        <f t="shared" si="546"/>
        <v>-622.3024572999999</v>
      </c>
      <c r="AE394" s="497">
        <f t="shared" si="546"/>
        <v>-622.3024572999999</v>
      </c>
      <c r="AF394" s="497">
        <f t="shared" si="546"/>
        <v>-622.3024572999999</v>
      </c>
      <c r="AG394" s="497">
        <f t="shared" si="546"/>
        <v>-622.3024572999999</v>
      </c>
      <c r="AH394" s="497">
        <f t="shared" si="546"/>
        <v>-622.3024572999999</v>
      </c>
      <c r="AI394" s="497">
        <f t="shared" si="546"/>
        <v>-622.3024572999999</v>
      </c>
      <c r="AJ394" s="497">
        <f t="shared" si="546"/>
        <v>-622.3024572999999</v>
      </c>
      <c r="AK394" s="497">
        <f t="shared" si="546"/>
        <v>-622.3024572999999</v>
      </c>
      <c r="AL394" s="497">
        <f t="shared" si="546"/>
        <v>-622.3024572999999</v>
      </c>
      <c r="AM394" s="497">
        <f t="shared" si="546"/>
        <v>-622.3024572999999</v>
      </c>
      <c r="AN394" s="527">
        <f t="shared" si="546"/>
        <v>-622.3024572999999</v>
      </c>
      <c r="AO394" s="527">
        <f t="shared" si="546"/>
        <v>-622.3024572999999</v>
      </c>
      <c r="AP394" s="527">
        <f t="shared" si="546"/>
        <v>-634.74850644599996</v>
      </c>
      <c r="AQ394" s="527">
        <f t="shared" si="546"/>
        <v>-634.74850644599996</v>
      </c>
      <c r="AR394" s="527">
        <f t="shared" si="546"/>
        <v>-634.74850644599996</v>
      </c>
      <c r="AS394" s="527">
        <f t="shared" si="546"/>
        <v>-634.74850644599996</v>
      </c>
      <c r="AT394" s="527">
        <f t="shared" si="546"/>
        <v>-634.74850644599996</v>
      </c>
      <c r="AU394" s="527">
        <f t="shared" si="546"/>
        <v>-634.74850644599996</v>
      </c>
      <c r="AV394" s="527">
        <f t="shared" si="546"/>
        <v>-634.74850644599996</v>
      </c>
      <c r="AW394" s="527">
        <f t="shared" si="546"/>
        <v>-634.74850644599996</v>
      </c>
      <c r="AX394" s="527">
        <f t="shared" ref="AX394:BY394" si="547">AX$611*$R155</f>
        <v>-634.74850644599996</v>
      </c>
      <c r="AY394" s="527">
        <f t="shared" si="547"/>
        <v>-634.74850644599996</v>
      </c>
      <c r="AZ394" s="527">
        <f t="shared" si="547"/>
        <v>-634.74850644599996</v>
      </c>
      <c r="BA394" s="527">
        <f t="shared" si="547"/>
        <v>-634.74850644599996</v>
      </c>
      <c r="BB394" s="527">
        <f t="shared" si="547"/>
        <v>-647.44347657491983</v>
      </c>
      <c r="BC394" s="527">
        <f t="shared" si="547"/>
        <v>-647.44347657491983</v>
      </c>
      <c r="BD394" s="527">
        <f t="shared" si="547"/>
        <v>-647.44347657491983</v>
      </c>
      <c r="BE394" s="527">
        <f t="shared" si="547"/>
        <v>-647.44347657491983</v>
      </c>
      <c r="BF394" s="527">
        <f t="shared" si="547"/>
        <v>-647.44347657491983</v>
      </c>
      <c r="BG394" s="527">
        <f t="shared" si="547"/>
        <v>-647.44347657491983</v>
      </c>
      <c r="BH394" s="527">
        <f t="shared" si="547"/>
        <v>-647.44347657491983</v>
      </c>
      <c r="BI394" s="527">
        <f t="shared" si="547"/>
        <v>-647.44347657491983</v>
      </c>
      <c r="BJ394" s="527">
        <f t="shared" si="547"/>
        <v>-647.44347657491983</v>
      </c>
      <c r="BK394" s="527">
        <f t="shared" si="547"/>
        <v>-647.44347657491983</v>
      </c>
      <c r="BL394" s="527">
        <f t="shared" si="547"/>
        <v>-647.44347657491983</v>
      </c>
      <c r="BM394" s="527">
        <f t="shared" si="547"/>
        <v>-647.44347657491983</v>
      </c>
      <c r="BN394" s="527">
        <f t="shared" si="547"/>
        <v>-660.39234610641847</v>
      </c>
      <c r="BO394" s="527">
        <f t="shared" si="547"/>
        <v>-660.39234610641847</v>
      </c>
      <c r="BP394" s="527">
        <f t="shared" si="547"/>
        <v>-660.39234610641847</v>
      </c>
      <c r="BQ394" s="527">
        <f t="shared" si="547"/>
        <v>-660.39234610641847</v>
      </c>
      <c r="BR394" s="527">
        <f t="shared" si="547"/>
        <v>-660.39234610641847</v>
      </c>
      <c r="BS394" s="527">
        <f t="shared" si="547"/>
        <v>-660.39234610641847</v>
      </c>
      <c r="BT394" s="527">
        <f t="shared" si="547"/>
        <v>-660.39234610641847</v>
      </c>
      <c r="BU394" s="527">
        <f t="shared" si="547"/>
        <v>-660.39234610641847</v>
      </c>
      <c r="BV394" s="527">
        <f t="shared" si="547"/>
        <v>-660.39234610641847</v>
      </c>
      <c r="BW394" s="527">
        <f t="shared" si="547"/>
        <v>-660.39234610641847</v>
      </c>
      <c r="BX394" s="527">
        <f t="shared" si="547"/>
        <v>-660.39234610641847</v>
      </c>
      <c r="BY394" s="527">
        <f t="shared" si="547"/>
        <v>-660.39234610641847</v>
      </c>
    </row>
    <row r="395" spans="3:77" x14ac:dyDescent="0.3">
      <c r="C395" s="2"/>
      <c r="D395" s="2"/>
      <c r="E395" s="135" t="str">
        <f>"R&amp;M: "&amp;E$156</f>
        <v>R&amp;M: FY28 Tranche</v>
      </c>
      <c r="F395" s="2"/>
      <c r="G395" s="2"/>
      <c r="H395" s="2"/>
      <c r="I395" s="2"/>
      <c r="J395" s="2"/>
      <c r="K395" s="2"/>
      <c r="L395" s="2"/>
      <c r="M395" s="2"/>
      <c r="N395" s="2"/>
      <c r="O395" s="2"/>
      <c r="P395" s="10"/>
      <c r="Q395" s="2"/>
      <c r="R395" s="497">
        <f t="shared" ref="R395:AW395" si="548">R$611*$R156</f>
        <v>-610.10044833333325</v>
      </c>
      <c r="S395" s="497">
        <f t="shared" si="548"/>
        <v>-610.10044833333325</v>
      </c>
      <c r="T395" s="497">
        <f t="shared" si="548"/>
        <v>-610.10044833333325</v>
      </c>
      <c r="U395" s="497">
        <f t="shared" si="548"/>
        <v>-610.10044833333325</v>
      </c>
      <c r="V395" s="497">
        <f t="shared" si="548"/>
        <v>-610.10044833333325</v>
      </c>
      <c r="W395" s="497">
        <f t="shared" si="548"/>
        <v>-610.10044833333325</v>
      </c>
      <c r="X395" s="497">
        <f t="shared" si="548"/>
        <v>-610.10044833333325</v>
      </c>
      <c r="Y395" s="497">
        <f t="shared" si="548"/>
        <v>-610.10044833333325</v>
      </c>
      <c r="Z395" s="497">
        <f t="shared" si="548"/>
        <v>-610.10044833333325</v>
      </c>
      <c r="AA395" s="497">
        <f t="shared" si="548"/>
        <v>-610.10044833333325</v>
      </c>
      <c r="AB395" s="497">
        <f t="shared" si="548"/>
        <v>-610.10044833333325</v>
      </c>
      <c r="AC395" s="497">
        <f t="shared" si="548"/>
        <v>-610.10044833333325</v>
      </c>
      <c r="AD395" s="497">
        <f t="shared" si="548"/>
        <v>-622.3024572999999</v>
      </c>
      <c r="AE395" s="497">
        <f t="shared" si="548"/>
        <v>-622.3024572999999</v>
      </c>
      <c r="AF395" s="497">
        <f t="shared" si="548"/>
        <v>-622.3024572999999</v>
      </c>
      <c r="AG395" s="497">
        <f t="shared" si="548"/>
        <v>-622.3024572999999</v>
      </c>
      <c r="AH395" s="497">
        <f t="shared" si="548"/>
        <v>-622.3024572999999</v>
      </c>
      <c r="AI395" s="497">
        <f t="shared" si="548"/>
        <v>-622.3024572999999</v>
      </c>
      <c r="AJ395" s="497">
        <f t="shared" si="548"/>
        <v>-622.3024572999999</v>
      </c>
      <c r="AK395" s="497">
        <f t="shared" si="548"/>
        <v>-622.3024572999999</v>
      </c>
      <c r="AL395" s="497">
        <f t="shared" si="548"/>
        <v>-622.3024572999999</v>
      </c>
      <c r="AM395" s="497">
        <f t="shared" si="548"/>
        <v>-622.3024572999999</v>
      </c>
      <c r="AN395" s="527">
        <f t="shared" si="548"/>
        <v>-622.3024572999999</v>
      </c>
      <c r="AO395" s="527">
        <f t="shared" si="548"/>
        <v>-622.3024572999999</v>
      </c>
      <c r="AP395" s="527">
        <f t="shared" si="548"/>
        <v>-634.74850644599996</v>
      </c>
      <c r="AQ395" s="527">
        <f t="shared" si="548"/>
        <v>-634.74850644599996</v>
      </c>
      <c r="AR395" s="527">
        <f t="shared" si="548"/>
        <v>-634.74850644599996</v>
      </c>
      <c r="AS395" s="527">
        <f t="shared" si="548"/>
        <v>-634.74850644599996</v>
      </c>
      <c r="AT395" s="527">
        <f t="shared" si="548"/>
        <v>-634.74850644599996</v>
      </c>
      <c r="AU395" s="527">
        <f t="shared" si="548"/>
        <v>-634.74850644599996</v>
      </c>
      <c r="AV395" s="527">
        <f t="shared" si="548"/>
        <v>-634.74850644599996</v>
      </c>
      <c r="AW395" s="527">
        <f t="shared" si="548"/>
        <v>-634.74850644599996</v>
      </c>
      <c r="AX395" s="527">
        <f t="shared" ref="AX395:BY395" si="549">AX$611*$R156</f>
        <v>-634.74850644599996</v>
      </c>
      <c r="AY395" s="527">
        <f t="shared" si="549"/>
        <v>-634.74850644599996</v>
      </c>
      <c r="AZ395" s="527">
        <f t="shared" si="549"/>
        <v>-634.74850644599996</v>
      </c>
      <c r="BA395" s="527">
        <f t="shared" si="549"/>
        <v>-634.74850644599996</v>
      </c>
      <c r="BB395" s="527">
        <f t="shared" si="549"/>
        <v>-647.44347657491983</v>
      </c>
      <c r="BC395" s="527">
        <f t="shared" si="549"/>
        <v>-647.44347657491983</v>
      </c>
      <c r="BD395" s="527">
        <f t="shared" si="549"/>
        <v>-647.44347657491983</v>
      </c>
      <c r="BE395" s="527">
        <f t="shared" si="549"/>
        <v>-647.44347657491983</v>
      </c>
      <c r="BF395" s="527">
        <f t="shared" si="549"/>
        <v>-647.44347657491983</v>
      </c>
      <c r="BG395" s="527">
        <f t="shared" si="549"/>
        <v>-647.44347657491983</v>
      </c>
      <c r="BH395" s="527">
        <f t="shared" si="549"/>
        <v>-647.44347657491983</v>
      </c>
      <c r="BI395" s="527">
        <f t="shared" si="549"/>
        <v>-647.44347657491983</v>
      </c>
      <c r="BJ395" s="527">
        <f t="shared" si="549"/>
        <v>-647.44347657491983</v>
      </c>
      <c r="BK395" s="527">
        <f t="shared" si="549"/>
        <v>-647.44347657491983</v>
      </c>
      <c r="BL395" s="527">
        <f t="shared" si="549"/>
        <v>-647.44347657491983</v>
      </c>
      <c r="BM395" s="527">
        <f t="shared" si="549"/>
        <v>-647.44347657491983</v>
      </c>
      <c r="BN395" s="527">
        <f t="shared" si="549"/>
        <v>-660.39234610641847</v>
      </c>
      <c r="BO395" s="527">
        <f t="shared" si="549"/>
        <v>-660.39234610641847</v>
      </c>
      <c r="BP395" s="527">
        <f t="shared" si="549"/>
        <v>-660.39234610641847</v>
      </c>
      <c r="BQ395" s="527">
        <f t="shared" si="549"/>
        <v>-660.39234610641847</v>
      </c>
      <c r="BR395" s="527">
        <f t="shared" si="549"/>
        <v>-660.39234610641847</v>
      </c>
      <c r="BS395" s="527">
        <f t="shared" si="549"/>
        <v>-660.39234610641847</v>
      </c>
      <c r="BT395" s="527">
        <f t="shared" si="549"/>
        <v>-660.39234610641847</v>
      </c>
      <c r="BU395" s="527">
        <f t="shared" si="549"/>
        <v>-660.39234610641847</v>
      </c>
      <c r="BV395" s="527">
        <f t="shared" si="549"/>
        <v>-660.39234610641847</v>
      </c>
      <c r="BW395" s="527">
        <f t="shared" si="549"/>
        <v>-660.39234610641847</v>
      </c>
      <c r="BX395" s="527">
        <f t="shared" si="549"/>
        <v>-660.39234610641847</v>
      </c>
      <c r="BY395" s="527">
        <f t="shared" si="549"/>
        <v>-660.39234610641847</v>
      </c>
    </row>
    <row r="396" spans="3:77" x14ac:dyDescent="0.3">
      <c r="C396" s="2"/>
      <c r="D396" s="2"/>
      <c r="E396" s="135" t="str">
        <f>"R&amp;M: "&amp;E$157</f>
        <v>R&amp;M: FY29 Tranche</v>
      </c>
      <c r="F396" s="2"/>
      <c r="G396" s="2"/>
      <c r="H396" s="2"/>
      <c r="I396" s="2"/>
      <c r="J396" s="2"/>
      <c r="K396" s="2"/>
      <c r="L396" s="2"/>
      <c r="M396" s="2"/>
      <c r="N396" s="2"/>
      <c r="O396" s="2"/>
      <c r="P396" s="10"/>
      <c r="Q396" s="2"/>
      <c r="R396" s="497">
        <f t="shared" ref="R396:AW396" si="550">R$611*$R157</f>
        <v>-610.10044833333325</v>
      </c>
      <c r="S396" s="497">
        <f t="shared" si="550"/>
        <v>-610.10044833333325</v>
      </c>
      <c r="T396" s="497">
        <f t="shared" si="550"/>
        <v>-610.10044833333325</v>
      </c>
      <c r="U396" s="497">
        <f t="shared" si="550"/>
        <v>-610.10044833333325</v>
      </c>
      <c r="V396" s="497">
        <f t="shared" si="550"/>
        <v>-610.10044833333325</v>
      </c>
      <c r="W396" s="497">
        <f t="shared" si="550"/>
        <v>-610.10044833333325</v>
      </c>
      <c r="X396" s="497">
        <f t="shared" si="550"/>
        <v>-610.10044833333325</v>
      </c>
      <c r="Y396" s="497">
        <f t="shared" si="550"/>
        <v>-610.10044833333325</v>
      </c>
      <c r="Z396" s="497">
        <f t="shared" si="550"/>
        <v>-610.10044833333325</v>
      </c>
      <c r="AA396" s="497">
        <f t="shared" si="550"/>
        <v>-610.10044833333325</v>
      </c>
      <c r="AB396" s="497">
        <f t="shared" si="550"/>
        <v>-610.10044833333325</v>
      </c>
      <c r="AC396" s="497">
        <f t="shared" si="550"/>
        <v>-610.10044833333325</v>
      </c>
      <c r="AD396" s="497">
        <f t="shared" si="550"/>
        <v>-622.3024572999999</v>
      </c>
      <c r="AE396" s="497">
        <f t="shared" si="550"/>
        <v>-622.3024572999999</v>
      </c>
      <c r="AF396" s="497">
        <f t="shared" si="550"/>
        <v>-622.3024572999999</v>
      </c>
      <c r="AG396" s="497">
        <f t="shared" si="550"/>
        <v>-622.3024572999999</v>
      </c>
      <c r="AH396" s="497">
        <f t="shared" si="550"/>
        <v>-622.3024572999999</v>
      </c>
      <c r="AI396" s="497">
        <f t="shared" si="550"/>
        <v>-622.3024572999999</v>
      </c>
      <c r="AJ396" s="497">
        <f t="shared" si="550"/>
        <v>-622.3024572999999</v>
      </c>
      <c r="AK396" s="497">
        <f t="shared" si="550"/>
        <v>-622.3024572999999</v>
      </c>
      <c r="AL396" s="497">
        <f t="shared" si="550"/>
        <v>-622.3024572999999</v>
      </c>
      <c r="AM396" s="497">
        <f t="shared" si="550"/>
        <v>-622.3024572999999</v>
      </c>
      <c r="AN396" s="527">
        <f t="shared" si="550"/>
        <v>-622.3024572999999</v>
      </c>
      <c r="AO396" s="527">
        <f t="shared" si="550"/>
        <v>-622.3024572999999</v>
      </c>
      <c r="AP396" s="527">
        <f t="shared" si="550"/>
        <v>-634.74850644599996</v>
      </c>
      <c r="AQ396" s="527">
        <f t="shared" si="550"/>
        <v>-634.74850644599996</v>
      </c>
      <c r="AR396" s="527">
        <f t="shared" si="550"/>
        <v>-634.74850644599996</v>
      </c>
      <c r="AS396" s="527">
        <f t="shared" si="550"/>
        <v>-634.74850644599996</v>
      </c>
      <c r="AT396" s="527">
        <f t="shared" si="550"/>
        <v>-634.74850644599996</v>
      </c>
      <c r="AU396" s="527">
        <f t="shared" si="550"/>
        <v>-634.74850644599996</v>
      </c>
      <c r="AV396" s="527">
        <f t="shared" si="550"/>
        <v>-634.74850644599996</v>
      </c>
      <c r="AW396" s="527">
        <f t="shared" si="550"/>
        <v>-634.74850644599996</v>
      </c>
      <c r="AX396" s="527">
        <f t="shared" ref="AX396:BY396" si="551">AX$611*$R157</f>
        <v>-634.74850644599996</v>
      </c>
      <c r="AY396" s="527">
        <f t="shared" si="551"/>
        <v>-634.74850644599996</v>
      </c>
      <c r="AZ396" s="527">
        <f t="shared" si="551"/>
        <v>-634.74850644599996</v>
      </c>
      <c r="BA396" s="527">
        <f t="shared" si="551"/>
        <v>-634.74850644599996</v>
      </c>
      <c r="BB396" s="527">
        <f t="shared" si="551"/>
        <v>-647.44347657491983</v>
      </c>
      <c r="BC396" s="527">
        <f t="shared" si="551"/>
        <v>-647.44347657491983</v>
      </c>
      <c r="BD396" s="527">
        <f t="shared" si="551"/>
        <v>-647.44347657491983</v>
      </c>
      <c r="BE396" s="527">
        <f t="shared" si="551"/>
        <v>-647.44347657491983</v>
      </c>
      <c r="BF396" s="527">
        <f t="shared" si="551"/>
        <v>-647.44347657491983</v>
      </c>
      <c r="BG396" s="527">
        <f t="shared" si="551"/>
        <v>-647.44347657491983</v>
      </c>
      <c r="BH396" s="527">
        <f t="shared" si="551"/>
        <v>-647.44347657491983</v>
      </c>
      <c r="BI396" s="527">
        <f t="shared" si="551"/>
        <v>-647.44347657491983</v>
      </c>
      <c r="BJ396" s="527">
        <f t="shared" si="551"/>
        <v>-647.44347657491983</v>
      </c>
      <c r="BK396" s="527">
        <f t="shared" si="551"/>
        <v>-647.44347657491983</v>
      </c>
      <c r="BL396" s="527">
        <f t="shared" si="551"/>
        <v>-647.44347657491983</v>
      </c>
      <c r="BM396" s="527">
        <f t="shared" si="551"/>
        <v>-647.44347657491983</v>
      </c>
      <c r="BN396" s="527">
        <f t="shared" si="551"/>
        <v>-660.39234610641847</v>
      </c>
      <c r="BO396" s="527">
        <f t="shared" si="551"/>
        <v>-660.39234610641847</v>
      </c>
      <c r="BP396" s="527">
        <f t="shared" si="551"/>
        <v>-660.39234610641847</v>
      </c>
      <c r="BQ396" s="527">
        <f t="shared" si="551"/>
        <v>-660.39234610641847</v>
      </c>
      <c r="BR396" s="527">
        <f t="shared" si="551"/>
        <v>-660.39234610641847</v>
      </c>
      <c r="BS396" s="527">
        <f t="shared" si="551"/>
        <v>-660.39234610641847</v>
      </c>
      <c r="BT396" s="527">
        <f t="shared" si="551"/>
        <v>-660.39234610641847</v>
      </c>
      <c r="BU396" s="527">
        <f t="shared" si="551"/>
        <v>-660.39234610641847</v>
      </c>
      <c r="BV396" s="527">
        <f t="shared" si="551"/>
        <v>-660.39234610641847</v>
      </c>
      <c r="BW396" s="527">
        <f t="shared" si="551"/>
        <v>-660.39234610641847</v>
      </c>
      <c r="BX396" s="527">
        <f t="shared" si="551"/>
        <v>-660.39234610641847</v>
      </c>
      <c r="BY396" s="527">
        <f t="shared" si="551"/>
        <v>-660.39234610641847</v>
      </c>
    </row>
    <row r="397" spans="3:77" x14ac:dyDescent="0.3">
      <c r="C397" s="2"/>
      <c r="D397" s="2"/>
      <c r="E397" s="135" t="str">
        <f>"R&amp;M: "&amp;E$158</f>
        <v>R&amp;M: FY30 Tranche</v>
      </c>
      <c r="F397" s="2"/>
      <c r="G397" s="2"/>
      <c r="H397" s="2"/>
      <c r="I397" s="2"/>
      <c r="J397" s="2"/>
      <c r="K397" s="2"/>
      <c r="L397" s="2"/>
      <c r="M397" s="2"/>
      <c r="N397" s="2"/>
      <c r="O397" s="2"/>
      <c r="P397" s="10"/>
      <c r="Q397" s="2"/>
      <c r="R397" s="497">
        <f t="shared" ref="R397:AW397" si="552">R$611*$R158</f>
        <v>-610.10044833333325</v>
      </c>
      <c r="S397" s="497">
        <f t="shared" si="552"/>
        <v>-610.10044833333325</v>
      </c>
      <c r="T397" s="497">
        <f t="shared" si="552"/>
        <v>-610.10044833333325</v>
      </c>
      <c r="U397" s="497">
        <f t="shared" si="552"/>
        <v>-610.10044833333325</v>
      </c>
      <c r="V397" s="497">
        <f t="shared" si="552"/>
        <v>-610.10044833333325</v>
      </c>
      <c r="W397" s="497">
        <f t="shared" si="552"/>
        <v>-610.10044833333325</v>
      </c>
      <c r="X397" s="497">
        <f t="shared" si="552"/>
        <v>-610.10044833333325</v>
      </c>
      <c r="Y397" s="497">
        <f t="shared" si="552"/>
        <v>-610.10044833333325</v>
      </c>
      <c r="Z397" s="497">
        <f t="shared" si="552"/>
        <v>-610.10044833333325</v>
      </c>
      <c r="AA397" s="497">
        <f t="shared" si="552"/>
        <v>-610.10044833333325</v>
      </c>
      <c r="AB397" s="497">
        <f t="shared" si="552"/>
        <v>-610.10044833333325</v>
      </c>
      <c r="AC397" s="497">
        <f t="shared" si="552"/>
        <v>-610.10044833333325</v>
      </c>
      <c r="AD397" s="497">
        <f t="shared" si="552"/>
        <v>-622.3024572999999</v>
      </c>
      <c r="AE397" s="497">
        <f t="shared" si="552"/>
        <v>-622.3024572999999</v>
      </c>
      <c r="AF397" s="497">
        <f t="shared" si="552"/>
        <v>-622.3024572999999</v>
      </c>
      <c r="AG397" s="497">
        <f t="shared" si="552"/>
        <v>-622.3024572999999</v>
      </c>
      <c r="AH397" s="497">
        <f t="shared" si="552"/>
        <v>-622.3024572999999</v>
      </c>
      <c r="AI397" s="497">
        <f t="shared" si="552"/>
        <v>-622.3024572999999</v>
      </c>
      <c r="AJ397" s="497">
        <f t="shared" si="552"/>
        <v>-622.3024572999999</v>
      </c>
      <c r="AK397" s="497">
        <f t="shared" si="552"/>
        <v>-622.3024572999999</v>
      </c>
      <c r="AL397" s="497">
        <f t="shared" si="552"/>
        <v>-622.3024572999999</v>
      </c>
      <c r="AM397" s="497">
        <f t="shared" si="552"/>
        <v>-622.3024572999999</v>
      </c>
      <c r="AN397" s="527">
        <f t="shared" si="552"/>
        <v>-622.3024572999999</v>
      </c>
      <c r="AO397" s="527">
        <f t="shared" si="552"/>
        <v>-622.3024572999999</v>
      </c>
      <c r="AP397" s="527">
        <f t="shared" si="552"/>
        <v>-634.74850644599996</v>
      </c>
      <c r="AQ397" s="527">
        <f t="shared" si="552"/>
        <v>-634.74850644599996</v>
      </c>
      <c r="AR397" s="527">
        <f t="shared" si="552"/>
        <v>-634.74850644599996</v>
      </c>
      <c r="AS397" s="527">
        <f t="shared" si="552"/>
        <v>-634.74850644599996</v>
      </c>
      <c r="AT397" s="527">
        <f t="shared" si="552"/>
        <v>-634.74850644599996</v>
      </c>
      <c r="AU397" s="527">
        <f t="shared" si="552"/>
        <v>-634.74850644599996</v>
      </c>
      <c r="AV397" s="527">
        <f t="shared" si="552"/>
        <v>-634.74850644599996</v>
      </c>
      <c r="AW397" s="527">
        <f t="shared" si="552"/>
        <v>-634.74850644599996</v>
      </c>
      <c r="AX397" s="527">
        <f t="shared" ref="AX397:BY397" si="553">AX$611*$R158</f>
        <v>-634.74850644599996</v>
      </c>
      <c r="AY397" s="527">
        <f t="shared" si="553"/>
        <v>-634.74850644599996</v>
      </c>
      <c r="AZ397" s="527">
        <f t="shared" si="553"/>
        <v>-634.74850644599996</v>
      </c>
      <c r="BA397" s="527">
        <f t="shared" si="553"/>
        <v>-634.74850644599996</v>
      </c>
      <c r="BB397" s="527">
        <f t="shared" si="553"/>
        <v>-647.44347657491983</v>
      </c>
      <c r="BC397" s="527">
        <f t="shared" si="553"/>
        <v>-647.44347657491983</v>
      </c>
      <c r="BD397" s="527">
        <f t="shared" si="553"/>
        <v>-647.44347657491983</v>
      </c>
      <c r="BE397" s="527">
        <f t="shared" si="553"/>
        <v>-647.44347657491983</v>
      </c>
      <c r="BF397" s="527">
        <f t="shared" si="553"/>
        <v>-647.44347657491983</v>
      </c>
      <c r="BG397" s="527">
        <f t="shared" si="553"/>
        <v>-647.44347657491983</v>
      </c>
      <c r="BH397" s="527">
        <f t="shared" si="553"/>
        <v>-647.44347657491983</v>
      </c>
      <c r="BI397" s="527">
        <f t="shared" si="553"/>
        <v>-647.44347657491983</v>
      </c>
      <c r="BJ397" s="527">
        <f t="shared" si="553"/>
        <v>-647.44347657491983</v>
      </c>
      <c r="BK397" s="527">
        <f t="shared" si="553"/>
        <v>-647.44347657491983</v>
      </c>
      <c r="BL397" s="527">
        <f t="shared" si="553"/>
        <v>-647.44347657491983</v>
      </c>
      <c r="BM397" s="527">
        <f t="shared" si="553"/>
        <v>-647.44347657491983</v>
      </c>
      <c r="BN397" s="527">
        <f t="shared" si="553"/>
        <v>-660.39234610641847</v>
      </c>
      <c r="BO397" s="527">
        <f t="shared" si="553"/>
        <v>-660.39234610641847</v>
      </c>
      <c r="BP397" s="527">
        <f t="shared" si="553"/>
        <v>-660.39234610641847</v>
      </c>
      <c r="BQ397" s="527">
        <f t="shared" si="553"/>
        <v>-660.39234610641847</v>
      </c>
      <c r="BR397" s="527">
        <f t="shared" si="553"/>
        <v>-660.39234610641847</v>
      </c>
      <c r="BS397" s="527">
        <f t="shared" si="553"/>
        <v>-660.39234610641847</v>
      </c>
      <c r="BT397" s="527">
        <f t="shared" si="553"/>
        <v>-660.39234610641847</v>
      </c>
      <c r="BU397" s="527">
        <f t="shared" si="553"/>
        <v>-660.39234610641847</v>
      </c>
      <c r="BV397" s="527">
        <f t="shared" si="553"/>
        <v>-660.39234610641847</v>
      </c>
      <c r="BW397" s="527">
        <f t="shared" si="553"/>
        <v>-660.39234610641847</v>
      </c>
      <c r="BX397" s="527">
        <f t="shared" si="553"/>
        <v>-660.39234610641847</v>
      </c>
      <c r="BY397" s="527">
        <f t="shared" si="553"/>
        <v>-660.39234610641847</v>
      </c>
    </row>
    <row r="398" spans="3:77" x14ac:dyDescent="0.3">
      <c r="C398" s="2"/>
      <c r="D398" s="2"/>
      <c r="E398" s="135" t="str">
        <f>"R&amp;M: "&amp;E$159</f>
        <v>R&amp;M: FY31 Tranche</v>
      </c>
      <c r="F398" s="2"/>
      <c r="G398" s="2"/>
      <c r="H398" s="2"/>
      <c r="I398" s="2"/>
      <c r="J398" s="2"/>
      <c r="K398" s="2"/>
      <c r="L398" s="2"/>
      <c r="M398" s="2"/>
      <c r="N398" s="2"/>
      <c r="O398" s="2"/>
      <c r="P398" s="10"/>
      <c r="Q398" s="2"/>
      <c r="R398" s="497">
        <f t="shared" ref="R398:AW398" si="554">R$611*$R159</f>
        <v>-610.10044833333325</v>
      </c>
      <c r="S398" s="497">
        <f t="shared" si="554"/>
        <v>-610.10044833333325</v>
      </c>
      <c r="T398" s="497">
        <f t="shared" si="554"/>
        <v>-610.10044833333325</v>
      </c>
      <c r="U398" s="497">
        <f t="shared" si="554"/>
        <v>-610.10044833333325</v>
      </c>
      <c r="V398" s="497">
        <f t="shared" si="554"/>
        <v>-610.10044833333325</v>
      </c>
      <c r="W398" s="497">
        <f t="shared" si="554"/>
        <v>-610.10044833333325</v>
      </c>
      <c r="X398" s="497">
        <f t="shared" si="554"/>
        <v>-610.10044833333325</v>
      </c>
      <c r="Y398" s="497">
        <f t="shared" si="554"/>
        <v>-610.10044833333325</v>
      </c>
      <c r="Z398" s="497">
        <f t="shared" si="554"/>
        <v>-610.10044833333325</v>
      </c>
      <c r="AA398" s="497">
        <f t="shared" si="554"/>
        <v>-610.10044833333325</v>
      </c>
      <c r="AB398" s="497">
        <f t="shared" si="554"/>
        <v>-610.10044833333325</v>
      </c>
      <c r="AC398" s="497">
        <f t="shared" si="554"/>
        <v>-610.10044833333325</v>
      </c>
      <c r="AD398" s="497">
        <f t="shared" si="554"/>
        <v>-622.3024572999999</v>
      </c>
      <c r="AE398" s="497">
        <f t="shared" si="554"/>
        <v>-622.3024572999999</v>
      </c>
      <c r="AF398" s="497">
        <f t="shared" si="554"/>
        <v>-622.3024572999999</v>
      </c>
      <c r="AG398" s="497">
        <f t="shared" si="554"/>
        <v>-622.3024572999999</v>
      </c>
      <c r="AH398" s="497">
        <f t="shared" si="554"/>
        <v>-622.3024572999999</v>
      </c>
      <c r="AI398" s="497">
        <f t="shared" si="554"/>
        <v>-622.3024572999999</v>
      </c>
      <c r="AJ398" s="497">
        <f t="shared" si="554"/>
        <v>-622.3024572999999</v>
      </c>
      <c r="AK398" s="497">
        <f t="shared" si="554"/>
        <v>-622.3024572999999</v>
      </c>
      <c r="AL398" s="497">
        <f t="shared" si="554"/>
        <v>-622.3024572999999</v>
      </c>
      <c r="AM398" s="497">
        <f t="shared" si="554"/>
        <v>-622.3024572999999</v>
      </c>
      <c r="AN398" s="527">
        <f t="shared" si="554"/>
        <v>-622.3024572999999</v>
      </c>
      <c r="AO398" s="527">
        <f t="shared" si="554"/>
        <v>-622.3024572999999</v>
      </c>
      <c r="AP398" s="527">
        <f t="shared" si="554"/>
        <v>-634.74850644599996</v>
      </c>
      <c r="AQ398" s="527">
        <f t="shared" si="554"/>
        <v>-634.74850644599996</v>
      </c>
      <c r="AR398" s="527">
        <f t="shared" si="554"/>
        <v>-634.74850644599996</v>
      </c>
      <c r="AS398" s="527">
        <f t="shared" si="554"/>
        <v>-634.74850644599996</v>
      </c>
      <c r="AT398" s="527">
        <f t="shared" si="554"/>
        <v>-634.74850644599996</v>
      </c>
      <c r="AU398" s="527">
        <f t="shared" si="554"/>
        <v>-634.74850644599996</v>
      </c>
      <c r="AV398" s="527">
        <f t="shared" si="554"/>
        <v>-634.74850644599996</v>
      </c>
      <c r="AW398" s="527">
        <f t="shared" si="554"/>
        <v>-634.74850644599996</v>
      </c>
      <c r="AX398" s="527">
        <f t="shared" ref="AX398:BY398" si="555">AX$611*$R159</f>
        <v>-634.74850644599996</v>
      </c>
      <c r="AY398" s="527">
        <f t="shared" si="555"/>
        <v>-634.74850644599996</v>
      </c>
      <c r="AZ398" s="527">
        <f t="shared" si="555"/>
        <v>-634.74850644599996</v>
      </c>
      <c r="BA398" s="527">
        <f t="shared" si="555"/>
        <v>-634.74850644599996</v>
      </c>
      <c r="BB398" s="527">
        <f t="shared" si="555"/>
        <v>-647.44347657491983</v>
      </c>
      <c r="BC398" s="527">
        <f t="shared" si="555"/>
        <v>-647.44347657491983</v>
      </c>
      <c r="BD398" s="527">
        <f t="shared" si="555"/>
        <v>-647.44347657491983</v>
      </c>
      <c r="BE398" s="527">
        <f t="shared" si="555"/>
        <v>-647.44347657491983</v>
      </c>
      <c r="BF398" s="527">
        <f t="shared" si="555"/>
        <v>-647.44347657491983</v>
      </c>
      <c r="BG398" s="527">
        <f t="shared" si="555"/>
        <v>-647.44347657491983</v>
      </c>
      <c r="BH398" s="527">
        <f t="shared" si="555"/>
        <v>-647.44347657491983</v>
      </c>
      <c r="BI398" s="527">
        <f t="shared" si="555"/>
        <v>-647.44347657491983</v>
      </c>
      <c r="BJ398" s="527">
        <f t="shared" si="555"/>
        <v>-647.44347657491983</v>
      </c>
      <c r="BK398" s="527">
        <f t="shared" si="555"/>
        <v>-647.44347657491983</v>
      </c>
      <c r="BL398" s="527">
        <f t="shared" si="555"/>
        <v>-647.44347657491983</v>
      </c>
      <c r="BM398" s="527">
        <f t="shared" si="555"/>
        <v>-647.44347657491983</v>
      </c>
      <c r="BN398" s="527">
        <f t="shared" si="555"/>
        <v>-660.39234610641847</v>
      </c>
      <c r="BO398" s="527">
        <f t="shared" si="555"/>
        <v>-660.39234610641847</v>
      </c>
      <c r="BP398" s="527">
        <f t="shared" si="555"/>
        <v>-660.39234610641847</v>
      </c>
      <c r="BQ398" s="527">
        <f t="shared" si="555"/>
        <v>-660.39234610641847</v>
      </c>
      <c r="BR398" s="527">
        <f t="shared" si="555"/>
        <v>-660.39234610641847</v>
      </c>
      <c r="BS398" s="527">
        <f t="shared" si="555"/>
        <v>-660.39234610641847</v>
      </c>
      <c r="BT398" s="527">
        <f t="shared" si="555"/>
        <v>-660.39234610641847</v>
      </c>
      <c r="BU398" s="527">
        <f t="shared" si="555"/>
        <v>-660.39234610641847</v>
      </c>
      <c r="BV398" s="527">
        <f t="shared" si="555"/>
        <v>-660.39234610641847</v>
      </c>
      <c r="BW398" s="527">
        <f t="shared" si="555"/>
        <v>-660.39234610641847</v>
      </c>
      <c r="BX398" s="527">
        <f t="shared" si="555"/>
        <v>-660.39234610641847</v>
      </c>
      <c r="BY398" s="527">
        <f t="shared" si="555"/>
        <v>-660.39234610641847</v>
      </c>
    </row>
    <row r="399" spans="3:77" x14ac:dyDescent="0.3">
      <c r="C399" s="2"/>
      <c r="D399" s="2"/>
      <c r="E399" s="135" t="str">
        <f>"R&amp;M: "&amp;E$160</f>
        <v>R&amp;M: Uninvested Tranche</v>
      </c>
      <c r="F399" s="2"/>
      <c r="G399" s="2"/>
      <c r="H399" s="2"/>
      <c r="I399" s="2"/>
      <c r="J399" s="2"/>
      <c r="K399" s="2"/>
      <c r="L399" s="2"/>
      <c r="M399" s="2"/>
      <c r="N399" s="2"/>
      <c r="O399" s="2"/>
      <c r="P399" s="10"/>
      <c r="Q399" s="2"/>
      <c r="R399" s="497">
        <f t="shared" ref="R399:AW399" si="556">R$611*$R160</f>
        <v>-1708.2812553333331</v>
      </c>
      <c r="S399" s="497">
        <f t="shared" si="556"/>
        <v>-1708.2812553333331</v>
      </c>
      <c r="T399" s="497">
        <f t="shared" si="556"/>
        <v>-1708.2812553333331</v>
      </c>
      <c r="U399" s="497">
        <f t="shared" si="556"/>
        <v>-1708.2812553333331</v>
      </c>
      <c r="V399" s="497">
        <f t="shared" si="556"/>
        <v>-1708.2812553333331</v>
      </c>
      <c r="W399" s="497">
        <f t="shared" si="556"/>
        <v>-1708.2812553333331</v>
      </c>
      <c r="X399" s="497">
        <f t="shared" si="556"/>
        <v>-1708.2812553333331</v>
      </c>
      <c r="Y399" s="497">
        <f t="shared" si="556"/>
        <v>-1708.2812553333331</v>
      </c>
      <c r="Z399" s="497">
        <f t="shared" si="556"/>
        <v>-1708.2812553333331</v>
      </c>
      <c r="AA399" s="497">
        <f t="shared" si="556"/>
        <v>-1708.2812553333331</v>
      </c>
      <c r="AB399" s="497">
        <f t="shared" si="556"/>
        <v>-1708.2812553333331</v>
      </c>
      <c r="AC399" s="497">
        <f t="shared" si="556"/>
        <v>-1708.2812553333331</v>
      </c>
      <c r="AD399" s="497">
        <f t="shared" si="556"/>
        <v>-1742.4468804399999</v>
      </c>
      <c r="AE399" s="497">
        <f t="shared" si="556"/>
        <v>-1742.4468804399999</v>
      </c>
      <c r="AF399" s="497">
        <f t="shared" si="556"/>
        <v>-1742.4468804399999</v>
      </c>
      <c r="AG399" s="497">
        <f t="shared" si="556"/>
        <v>-1742.4468804399999</v>
      </c>
      <c r="AH399" s="497">
        <f t="shared" si="556"/>
        <v>-1742.4468804399999</v>
      </c>
      <c r="AI399" s="497">
        <f t="shared" si="556"/>
        <v>-1742.4468804399999</v>
      </c>
      <c r="AJ399" s="497">
        <f t="shared" si="556"/>
        <v>-1742.4468804399999</v>
      </c>
      <c r="AK399" s="497">
        <f t="shared" si="556"/>
        <v>-1742.4468804399999</v>
      </c>
      <c r="AL399" s="497">
        <f t="shared" si="556"/>
        <v>-1742.4468804399999</v>
      </c>
      <c r="AM399" s="497">
        <f t="shared" si="556"/>
        <v>-1742.4468804399999</v>
      </c>
      <c r="AN399" s="527">
        <f t="shared" si="556"/>
        <v>-1742.4468804399999</v>
      </c>
      <c r="AO399" s="527">
        <f t="shared" si="556"/>
        <v>-1742.4468804399999</v>
      </c>
      <c r="AP399" s="527">
        <f t="shared" si="556"/>
        <v>-1777.2958180487999</v>
      </c>
      <c r="AQ399" s="527">
        <f t="shared" si="556"/>
        <v>-1777.2958180487999</v>
      </c>
      <c r="AR399" s="527">
        <f t="shared" si="556"/>
        <v>-1777.2958180487999</v>
      </c>
      <c r="AS399" s="527">
        <f t="shared" si="556"/>
        <v>-1777.2958180487999</v>
      </c>
      <c r="AT399" s="527">
        <f t="shared" si="556"/>
        <v>-1777.2958180487999</v>
      </c>
      <c r="AU399" s="527">
        <f t="shared" si="556"/>
        <v>-1777.2958180487999</v>
      </c>
      <c r="AV399" s="527">
        <f t="shared" si="556"/>
        <v>-1777.2958180487999</v>
      </c>
      <c r="AW399" s="527">
        <f t="shared" si="556"/>
        <v>-1777.2958180487999</v>
      </c>
      <c r="AX399" s="527">
        <f t="shared" ref="AX399:BY399" si="557">AX$611*$R160</f>
        <v>-1777.2958180487999</v>
      </c>
      <c r="AY399" s="527">
        <f t="shared" si="557"/>
        <v>-1777.2958180487999</v>
      </c>
      <c r="AZ399" s="527">
        <f t="shared" si="557"/>
        <v>-1777.2958180487999</v>
      </c>
      <c r="BA399" s="527">
        <f t="shared" si="557"/>
        <v>-1777.2958180487999</v>
      </c>
      <c r="BB399" s="527">
        <f t="shared" si="557"/>
        <v>-1812.8417344097757</v>
      </c>
      <c r="BC399" s="527">
        <f t="shared" si="557"/>
        <v>-1812.8417344097757</v>
      </c>
      <c r="BD399" s="527">
        <f t="shared" si="557"/>
        <v>-1812.8417344097757</v>
      </c>
      <c r="BE399" s="527">
        <f t="shared" si="557"/>
        <v>-1812.8417344097757</v>
      </c>
      <c r="BF399" s="527">
        <f t="shared" si="557"/>
        <v>-1812.8417344097757</v>
      </c>
      <c r="BG399" s="527">
        <f t="shared" si="557"/>
        <v>-1812.8417344097757</v>
      </c>
      <c r="BH399" s="527">
        <f t="shared" si="557"/>
        <v>-1812.8417344097757</v>
      </c>
      <c r="BI399" s="527">
        <f t="shared" si="557"/>
        <v>-1812.8417344097757</v>
      </c>
      <c r="BJ399" s="527">
        <f t="shared" si="557"/>
        <v>-1812.8417344097757</v>
      </c>
      <c r="BK399" s="527">
        <f t="shared" si="557"/>
        <v>-1812.8417344097757</v>
      </c>
      <c r="BL399" s="527">
        <f t="shared" si="557"/>
        <v>-1812.8417344097757</v>
      </c>
      <c r="BM399" s="527">
        <f t="shared" si="557"/>
        <v>-1812.8417344097757</v>
      </c>
      <c r="BN399" s="527">
        <f t="shared" si="557"/>
        <v>-1849.0985690979714</v>
      </c>
      <c r="BO399" s="527">
        <f t="shared" si="557"/>
        <v>-1849.0985690979714</v>
      </c>
      <c r="BP399" s="527">
        <f t="shared" si="557"/>
        <v>-1849.0985690979714</v>
      </c>
      <c r="BQ399" s="527">
        <f t="shared" si="557"/>
        <v>-1849.0985690979714</v>
      </c>
      <c r="BR399" s="527">
        <f t="shared" si="557"/>
        <v>-1849.0985690979714</v>
      </c>
      <c r="BS399" s="527">
        <f t="shared" si="557"/>
        <v>-1849.0985690979714</v>
      </c>
      <c r="BT399" s="527">
        <f t="shared" si="557"/>
        <v>-1849.0985690979714</v>
      </c>
      <c r="BU399" s="527">
        <f t="shared" si="557"/>
        <v>-1849.0985690979714</v>
      </c>
      <c r="BV399" s="527">
        <f t="shared" si="557"/>
        <v>-1849.0985690979714</v>
      </c>
      <c r="BW399" s="527">
        <f t="shared" si="557"/>
        <v>-1849.0985690979714</v>
      </c>
      <c r="BX399" s="527">
        <f t="shared" si="557"/>
        <v>-1849.0985690979714</v>
      </c>
      <c r="BY399" s="527">
        <f t="shared" si="557"/>
        <v>-1849.0985690979714</v>
      </c>
    </row>
    <row r="400" spans="3:77" x14ac:dyDescent="0.3">
      <c r="C400" s="2"/>
      <c r="D400" s="2"/>
      <c r="E400" s="4" t="s">
        <v>36</v>
      </c>
      <c r="F400" s="4"/>
      <c r="G400" s="4"/>
      <c r="H400" s="4"/>
      <c r="I400" s="4"/>
      <c r="J400" s="4"/>
      <c r="K400" s="4"/>
      <c r="L400" s="4"/>
      <c r="M400" s="4"/>
      <c r="N400" s="4"/>
      <c r="O400" s="4"/>
      <c r="P400" s="106"/>
      <c r="Q400" s="4"/>
      <c r="R400" s="498">
        <f t="shared" ref="R400:AW400" si="558">SUM(R394:R399)</f>
        <v>-4758.7834969999994</v>
      </c>
      <c r="S400" s="498">
        <f t="shared" si="558"/>
        <v>-4758.7834969999994</v>
      </c>
      <c r="T400" s="498">
        <f t="shared" si="558"/>
        <v>-4758.7834969999994</v>
      </c>
      <c r="U400" s="498">
        <f t="shared" si="558"/>
        <v>-4758.7834969999994</v>
      </c>
      <c r="V400" s="498">
        <f t="shared" si="558"/>
        <v>-4758.7834969999994</v>
      </c>
      <c r="W400" s="498">
        <f t="shared" si="558"/>
        <v>-4758.7834969999994</v>
      </c>
      <c r="X400" s="498">
        <f t="shared" si="558"/>
        <v>-4758.7834969999994</v>
      </c>
      <c r="Y400" s="498">
        <f t="shared" si="558"/>
        <v>-4758.7834969999994</v>
      </c>
      <c r="Z400" s="498">
        <f t="shared" si="558"/>
        <v>-4758.7834969999994</v>
      </c>
      <c r="AA400" s="498">
        <f t="shared" si="558"/>
        <v>-4758.7834969999994</v>
      </c>
      <c r="AB400" s="498">
        <f t="shared" si="558"/>
        <v>-4758.7834969999994</v>
      </c>
      <c r="AC400" s="498">
        <f t="shared" si="558"/>
        <v>-4758.7834969999994</v>
      </c>
      <c r="AD400" s="498">
        <f t="shared" si="558"/>
        <v>-4853.9591669399997</v>
      </c>
      <c r="AE400" s="498">
        <f t="shared" si="558"/>
        <v>-4853.9591669399997</v>
      </c>
      <c r="AF400" s="498">
        <f t="shared" si="558"/>
        <v>-4853.9591669399997</v>
      </c>
      <c r="AG400" s="498">
        <f t="shared" si="558"/>
        <v>-4853.9591669399997</v>
      </c>
      <c r="AH400" s="498">
        <f t="shared" si="558"/>
        <v>-4853.9591669399997</v>
      </c>
      <c r="AI400" s="498">
        <f t="shared" si="558"/>
        <v>-4853.9591669399997</v>
      </c>
      <c r="AJ400" s="498">
        <f t="shared" si="558"/>
        <v>-4853.9591669399997</v>
      </c>
      <c r="AK400" s="498">
        <f t="shared" si="558"/>
        <v>-4853.9591669399997</v>
      </c>
      <c r="AL400" s="498">
        <f t="shared" si="558"/>
        <v>-4853.9591669399997</v>
      </c>
      <c r="AM400" s="498">
        <f t="shared" si="558"/>
        <v>-4853.9591669399997</v>
      </c>
      <c r="AN400" s="530">
        <f t="shared" si="558"/>
        <v>-4853.9591669399997</v>
      </c>
      <c r="AO400" s="530">
        <f t="shared" si="558"/>
        <v>-4853.9591669399997</v>
      </c>
      <c r="AP400" s="530">
        <f t="shared" si="558"/>
        <v>-4951.038350278799</v>
      </c>
      <c r="AQ400" s="530">
        <f t="shared" si="558"/>
        <v>-4951.038350278799</v>
      </c>
      <c r="AR400" s="530">
        <f t="shared" si="558"/>
        <v>-4951.038350278799</v>
      </c>
      <c r="AS400" s="530">
        <f t="shared" si="558"/>
        <v>-4951.038350278799</v>
      </c>
      <c r="AT400" s="530">
        <f t="shared" si="558"/>
        <v>-4951.038350278799</v>
      </c>
      <c r="AU400" s="530">
        <f t="shared" si="558"/>
        <v>-4951.038350278799</v>
      </c>
      <c r="AV400" s="530">
        <f t="shared" si="558"/>
        <v>-4951.038350278799</v>
      </c>
      <c r="AW400" s="530">
        <f t="shared" si="558"/>
        <v>-4951.038350278799</v>
      </c>
      <c r="AX400" s="530">
        <f t="shared" ref="AX400:BY400" si="559">SUM(AX394:AX399)</f>
        <v>-4951.038350278799</v>
      </c>
      <c r="AY400" s="530">
        <f t="shared" si="559"/>
        <v>-4951.038350278799</v>
      </c>
      <c r="AZ400" s="530">
        <f t="shared" si="559"/>
        <v>-4951.038350278799</v>
      </c>
      <c r="BA400" s="530">
        <f t="shared" si="559"/>
        <v>-4951.038350278799</v>
      </c>
      <c r="BB400" s="530">
        <f t="shared" si="559"/>
        <v>-5050.0591172843742</v>
      </c>
      <c r="BC400" s="530">
        <f t="shared" si="559"/>
        <v>-5050.0591172843742</v>
      </c>
      <c r="BD400" s="530">
        <f t="shared" si="559"/>
        <v>-5050.0591172843742</v>
      </c>
      <c r="BE400" s="530">
        <f t="shared" si="559"/>
        <v>-5050.0591172843742</v>
      </c>
      <c r="BF400" s="530">
        <f t="shared" si="559"/>
        <v>-5050.0591172843742</v>
      </c>
      <c r="BG400" s="530">
        <f t="shared" si="559"/>
        <v>-5050.0591172843742</v>
      </c>
      <c r="BH400" s="530">
        <f t="shared" si="559"/>
        <v>-5050.0591172843742</v>
      </c>
      <c r="BI400" s="530">
        <f t="shared" si="559"/>
        <v>-5050.0591172843742</v>
      </c>
      <c r="BJ400" s="530">
        <f t="shared" si="559"/>
        <v>-5050.0591172843742</v>
      </c>
      <c r="BK400" s="530">
        <f t="shared" si="559"/>
        <v>-5050.0591172843742</v>
      </c>
      <c r="BL400" s="530">
        <f t="shared" si="559"/>
        <v>-5050.0591172843742</v>
      </c>
      <c r="BM400" s="530">
        <f t="shared" si="559"/>
        <v>-5050.0591172843742</v>
      </c>
      <c r="BN400" s="530">
        <f t="shared" si="559"/>
        <v>-5151.060299630064</v>
      </c>
      <c r="BO400" s="530">
        <f t="shared" si="559"/>
        <v>-5151.060299630064</v>
      </c>
      <c r="BP400" s="530">
        <f t="shared" si="559"/>
        <v>-5151.060299630064</v>
      </c>
      <c r="BQ400" s="530">
        <f t="shared" si="559"/>
        <v>-5151.060299630064</v>
      </c>
      <c r="BR400" s="530">
        <f t="shared" si="559"/>
        <v>-5151.060299630064</v>
      </c>
      <c r="BS400" s="530">
        <f t="shared" si="559"/>
        <v>-5151.060299630064</v>
      </c>
      <c r="BT400" s="530">
        <f t="shared" si="559"/>
        <v>-5151.060299630064</v>
      </c>
      <c r="BU400" s="530">
        <f t="shared" si="559"/>
        <v>-5151.060299630064</v>
      </c>
      <c r="BV400" s="530">
        <f t="shared" si="559"/>
        <v>-5151.060299630064</v>
      </c>
      <c r="BW400" s="530">
        <f t="shared" si="559"/>
        <v>-5151.060299630064</v>
      </c>
      <c r="BX400" s="530">
        <f t="shared" si="559"/>
        <v>-5151.060299630064</v>
      </c>
      <c r="BY400" s="530">
        <f t="shared" si="559"/>
        <v>-5151.060299630064</v>
      </c>
    </row>
    <row r="401" spans="3:77" x14ac:dyDescent="0.3">
      <c r="C401" s="2"/>
      <c r="D401" s="2"/>
      <c r="E401" s="2"/>
      <c r="F401" s="2"/>
      <c r="G401" s="2"/>
      <c r="H401" s="2"/>
      <c r="I401" s="2"/>
      <c r="J401" s="2"/>
      <c r="K401" s="2"/>
      <c r="L401" s="2"/>
      <c r="M401" s="2"/>
      <c r="N401" s="2"/>
      <c r="O401" s="2"/>
      <c r="P401" s="10"/>
      <c r="Q401" s="2"/>
      <c r="R401" s="2"/>
      <c r="S401" s="2"/>
      <c r="T401" s="2"/>
      <c r="U401" s="2"/>
      <c r="V401" s="2"/>
      <c r="W401" s="2"/>
      <c r="X401" s="2"/>
      <c r="Y401" s="2"/>
      <c r="Z401" s="2"/>
      <c r="AA401" s="2"/>
      <c r="AB401" s="2"/>
      <c r="AC401" s="2"/>
      <c r="AD401" s="2"/>
      <c r="AE401" s="2"/>
      <c r="AF401" s="2"/>
      <c r="AG401" s="2"/>
      <c r="AH401" s="2"/>
      <c r="AI401" s="2"/>
      <c r="AJ401" s="2"/>
      <c r="AK401" s="2"/>
      <c r="AL401" s="2"/>
      <c r="AM401" s="2"/>
      <c r="AN401" s="525"/>
      <c r="AO401" s="525"/>
      <c r="AP401" s="525"/>
      <c r="AQ401" s="525"/>
      <c r="AR401" s="525"/>
      <c r="AS401" s="525"/>
      <c r="AT401" s="525"/>
      <c r="AU401" s="525"/>
      <c r="AV401" s="525"/>
      <c r="AW401" s="525"/>
      <c r="AX401" s="525"/>
      <c r="AY401" s="525"/>
      <c r="AZ401" s="525"/>
      <c r="BA401" s="525"/>
      <c r="BB401" s="525"/>
      <c r="BC401" s="525"/>
      <c r="BD401" s="525"/>
      <c r="BE401" s="525"/>
      <c r="BF401" s="525"/>
      <c r="BG401" s="525"/>
      <c r="BH401" s="525"/>
      <c r="BI401" s="525"/>
      <c r="BJ401" s="525"/>
      <c r="BK401" s="525"/>
      <c r="BL401" s="525"/>
      <c r="BM401" s="525"/>
      <c r="BN401" s="525"/>
      <c r="BO401" s="525"/>
      <c r="BP401" s="525"/>
      <c r="BQ401" s="525"/>
      <c r="BR401" s="525"/>
      <c r="BS401" s="525"/>
      <c r="BT401" s="525"/>
      <c r="BU401" s="525"/>
      <c r="BV401" s="525"/>
      <c r="BW401" s="525"/>
      <c r="BX401" s="525"/>
      <c r="BY401" s="525"/>
    </row>
    <row r="402" spans="3:77" x14ac:dyDescent="0.3">
      <c r="C402" s="2"/>
      <c r="D402" s="2"/>
      <c r="E402" s="136" t="str">
        <f>"Marketing support: "&amp;E$155</f>
        <v>Marketing support: FY27 Tranche</v>
      </c>
      <c r="F402" s="2"/>
      <c r="G402" s="2"/>
      <c r="H402" s="2"/>
      <c r="I402" s="2"/>
      <c r="J402" s="2"/>
      <c r="K402" s="2"/>
      <c r="L402" s="2"/>
      <c r="M402" s="2"/>
      <c r="N402" s="2"/>
      <c r="O402" s="2"/>
      <c r="P402" s="10"/>
      <c r="Q402" s="2"/>
      <c r="R402" s="497">
        <f t="shared" ref="R402:AW402" si="560">R$612*$R155</f>
        <v>-215.57475948717945</v>
      </c>
      <c r="S402" s="497">
        <f t="shared" si="560"/>
        <v>-215.57475948717945</v>
      </c>
      <c r="T402" s="497">
        <f t="shared" si="560"/>
        <v>-215.57475948717945</v>
      </c>
      <c r="U402" s="497">
        <f t="shared" si="560"/>
        <v>-215.57475948717945</v>
      </c>
      <c r="V402" s="497">
        <f t="shared" si="560"/>
        <v>-215.57475948717945</v>
      </c>
      <c r="W402" s="497">
        <f t="shared" si="560"/>
        <v>-215.57475948717945</v>
      </c>
      <c r="X402" s="497">
        <f t="shared" si="560"/>
        <v>-215.57475948717945</v>
      </c>
      <c r="Y402" s="497">
        <f t="shared" si="560"/>
        <v>-215.57475948717945</v>
      </c>
      <c r="Z402" s="497">
        <f t="shared" si="560"/>
        <v>-215.57475948717945</v>
      </c>
      <c r="AA402" s="497">
        <f t="shared" si="560"/>
        <v>-215.57475948717945</v>
      </c>
      <c r="AB402" s="497">
        <f t="shared" si="560"/>
        <v>-215.57475948717945</v>
      </c>
      <c r="AC402" s="497">
        <f t="shared" si="560"/>
        <v>-215.57475948717945</v>
      </c>
      <c r="AD402" s="497">
        <f t="shared" si="560"/>
        <v>-219.88625467692304</v>
      </c>
      <c r="AE402" s="497">
        <f t="shared" si="560"/>
        <v>-219.88625467692304</v>
      </c>
      <c r="AF402" s="497">
        <f t="shared" si="560"/>
        <v>-219.88625467692304</v>
      </c>
      <c r="AG402" s="497">
        <f t="shared" si="560"/>
        <v>-219.88625467692304</v>
      </c>
      <c r="AH402" s="497">
        <f t="shared" si="560"/>
        <v>-219.88625467692304</v>
      </c>
      <c r="AI402" s="497">
        <f t="shared" si="560"/>
        <v>-219.88625467692304</v>
      </c>
      <c r="AJ402" s="497">
        <f t="shared" si="560"/>
        <v>-219.88625467692304</v>
      </c>
      <c r="AK402" s="497">
        <f t="shared" si="560"/>
        <v>-219.88625467692304</v>
      </c>
      <c r="AL402" s="497">
        <f t="shared" si="560"/>
        <v>-219.88625467692304</v>
      </c>
      <c r="AM402" s="497">
        <f t="shared" si="560"/>
        <v>-219.88625467692304</v>
      </c>
      <c r="AN402" s="527">
        <f t="shared" si="560"/>
        <v>-219.88625467692304</v>
      </c>
      <c r="AO402" s="527">
        <f t="shared" si="560"/>
        <v>-219.88625467692304</v>
      </c>
      <c r="AP402" s="527">
        <f t="shared" si="560"/>
        <v>-224.28397977046149</v>
      </c>
      <c r="AQ402" s="527">
        <f t="shared" si="560"/>
        <v>-224.28397977046149</v>
      </c>
      <c r="AR402" s="527">
        <f t="shared" si="560"/>
        <v>-224.28397977046149</v>
      </c>
      <c r="AS402" s="527">
        <f t="shared" si="560"/>
        <v>-224.28397977046149</v>
      </c>
      <c r="AT402" s="527">
        <f t="shared" si="560"/>
        <v>-224.28397977046149</v>
      </c>
      <c r="AU402" s="527">
        <f t="shared" si="560"/>
        <v>-224.28397977046149</v>
      </c>
      <c r="AV402" s="527">
        <f t="shared" si="560"/>
        <v>-224.28397977046149</v>
      </c>
      <c r="AW402" s="527">
        <f t="shared" si="560"/>
        <v>-224.28397977046149</v>
      </c>
      <c r="AX402" s="527">
        <f t="shared" ref="AX402:BY402" si="561">AX$612*$R155</f>
        <v>-224.28397977046149</v>
      </c>
      <c r="AY402" s="527">
        <f t="shared" si="561"/>
        <v>-224.28397977046149</v>
      </c>
      <c r="AZ402" s="527">
        <f t="shared" si="561"/>
        <v>-224.28397977046149</v>
      </c>
      <c r="BA402" s="527">
        <f t="shared" si="561"/>
        <v>-224.28397977046149</v>
      </c>
      <c r="BB402" s="527">
        <f t="shared" si="561"/>
        <v>-228.76965936587072</v>
      </c>
      <c r="BC402" s="527">
        <f t="shared" si="561"/>
        <v>-228.76965936587072</v>
      </c>
      <c r="BD402" s="527">
        <f t="shared" si="561"/>
        <v>-228.76965936587072</v>
      </c>
      <c r="BE402" s="527">
        <f t="shared" si="561"/>
        <v>-228.76965936587072</v>
      </c>
      <c r="BF402" s="527">
        <f t="shared" si="561"/>
        <v>-228.76965936587072</v>
      </c>
      <c r="BG402" s="527">
        <f t="shared" si="561"/>
        <v>-228.76965936587072</v>
      </c>
      <c r="BH402" s="527">
        <f t="shared" si="561"/>
        <v>-228.76965936587072</v>
      </c>
      <c r="BI402" s="527">
        <f t="shared" si="561"/>
        <v>-228.76965936587072</v>
      </c>
      <c r="BJ402" s="527">
        <f t="shared" si="561"/>
        <v>-228.76965936587072</v>
      </c>
      <c r="BK402" s="527">
        <f t="shared" si="561"/>
        <v>-228.76965936587072</v>
      </c>
      <c r="BL402" s="527">
        <f t="shared" si="561"/>
        <v>-228.76965936587072</v>
      </c>
      <c r="BM402" s="527">
        <f t="shared" si="561"/>
        <v>-228.76965936587072</v>
      </c>
      <c r="BN402" s="527">
        <f t="shared" si="561"/>
        <v>-233.34505255318817</v>
      </c>
      <c r="BO402" s="527">
        <f t="shared" si="561"/>
        <v>-233.34505255318817</v>
      </c>
      <c r="BP402" s="527">
        <f t="shared" si="561"/>
        <v>-233.34505255318817</v>
      </c>
      <c r="BQ402" s="527">
        <f t="shared" si="561"/>
        <v>-233.34505255318817</v>
      </c>
      <c r="BR402" s="527">
        <f t="shared" si="561"/>
        <v>-233.34505255318817</v>
      </c>
      <c r="BS402" s="527">
        <f t="shared" si="561"/>
        <v>-233.34505255318817</v>
      </c>
      <c r="BT402" s="527">
        <f t="shared" si="561"/>
        <v>-233.34505255318817</v>
      </c>
      <c r="BU402" s="527">
        <f t="shared" si="561"/>
        <v>-233.34505255318817</v>
      </c>
      <c r="BV402" s="527">
        <f t="shared" si="561"/>
        <v>-233.34505255318817</v>
      </c>
      <c r="BW402" s="527">
        <f t="shared" si="561"/>
        <v>-233.34505255318817</v>
      </c>
      <c r="BX402" s="527">
        <f t="shared" si="561"/>
        <v>-233.34505255318817</v>
      </c>
      <c r="BY402" s="527">
        <f t="shared" si="561"/>
        <v>-233.34505255318817</v>
      </c>
    </row>
    <row r="403" spans="3:77" x14ac:dyDescent="0.3">
      <c r="C403" s="2"/>
      <c r="D403" s="2"/>
      <c r="E403" s="136" t="str">
        <f>"Marketing support: "&amp;E$156</f>
        <v>Marketing support: FY28 Tranche</v>
      </c>
      <c r="F403" s="2"/>
      <c r="G403" s="2"/>
      <c r="H403" s="2"/>
      <c r="I403" s="2"/>
      <c r="J403" s="2"/>
      <c r="K403" s="2"/>
      <c r="L403" s="2"/>
      <c r="M403" s="2"/>
      <c r="N403" s="2"/>
      <c r="O403" s="2"/>
      <c r="P403" s="10"/>
      <c r="Q403" s="2"/>
      <c r="R403" s="497">
        <f t="shared" ref="R403:AW403" si="562">R$612*$R156</f>
        <v>-215.57475948717945</v>
      </c>
      <c r="S403" s="497">
        <f t="shared" si="562"/>
        <v>-215.57475948717945</v>
      </c>
      <c r="T403" s="497">
        <f t="shared" si="562"/>
        <v>-215.57475948717945</v>
      </c>
      <c r="U403" s="497">
        <f t="shared" si="562"/>
        <v>-215.57475948717945</v>
      </c>
      <c r="V403" s="497">
        <f t="shared" si="562"/>
        <v>-215.57475948717945</v>
      </c>
      <c r="W403" s="497">
        <f t="shared" si="562"/>
        <v>-215.57475948717945</v>
      </c>
      <c r="X403" s="497">
        <f t="shared" si="562"/>
        <v>-215.57475948717945</v>
      </c>
      <c r="Y403" s="497">
        <f t="shared" si="562"/>
        <v>-215.57475948717945</v>
      </c>
      <c r="Z403" s="497">
        <f t="shared" si="562"/>
        <v>-215.57475948717945</v>
      </c>
      <c r="AA403" s="497">
        <f t="shared" si="562"/>
        <v>-215.57475948717945</v>
      </c>
      <c r="AB403" s="497">
        <f t="shared" si="562"/>
        <v>-215.57475948717945</v>
      </c>
      <c r="AC403" s="497">
        <f t="shared" si="562"/>
        <v>-215.57475948717945</v>
      </c>
      <c r="AD403" s="497">
        <f t="shared" si="562"/>
        <v>-219.88625467692304</v>
      </c>
      <c r="AE403" s="497">
        <f t="shared" si="562"/>
        <v>-219.88625467692304</v>
      </c>
      <c r="AF403" s="497">
        <f t="shared" si="562"/>
        <v>-219.88625467692304</v>
      </c>
      <c r="AG403" s="497">
        <f t="shared" si="562"/>
        <v>-219.88625467692304</v>
      </c>
      <c r="AH403" s="497">
        <f t="shared" si="562"/>
        <v>-219.88625467692304</v>
      </c>
      <c r="AI403" s="497">
        <f t="shared" si="562"/>
        <v>-219.88625467692304</v>
      </c>
      <c r="AJ403" s="497">
        <f t="shared" si="562"/>
        <v>-219.88625467692304</v>
      </c>
      <c r="AK403" s="497">
        <f t="shared" si="562"/>
        <v>-219.88625467692304</v>
      </c>
      <c r="AL403" s="497">
        <f t="shared" si="562"/>
        <v>-219.88625467692304</v>
      </c>
      <c r="AM403" s="497">
        <f t="shared" si="562"/>
        <v>-219.88625467692304</v>
      </c>
      <c r="AN403" s="527">
        <f t="shared" si="562"/>
        <v>-219.88625467692304</v>
      </c>
      <c r="AO403" s="527">
        <f t="shared" si="562"/>
        <v>-219.88625467692304</v>
      </c>
      <c r="AP403" s="527">
        <f t="shared" si="562"/>
        <v>-224.28397977046149</v>
      </c>
      <c r="AQ403" s="527">
        <f t="shared" si="562"/>
        <v>-224.28397977046149</v>
      </c>
      <c r="AR403" s="527">
        <f t="shared" si="562"/>
        <v>-224.28397977046149</v>
      </c>
      <c r="AS403" s="527">
        <f t="shared" si="562"/>
        <v>-224.28397977046149</v>
      </c>
      <c r="AT403" s="527">
        <f t="shared" si="562"/>
        <v>-224.28397977046149</v>
      </c>
      <c r="AU403" s="527">
        <f t="shared" si="562"/>
        <v>-224.28397977046149</v>
      </c>
      <c r="AV403" s="527">
        <f t="shared" si="562"/>
        <v>-224.28397977046149</v>
      </c>
      <c r="AW403" s="527">
        <f t="shared" si="562"/>
        <v>-224.28397977046149</v>
      </c>
      <c r="AX403" s="527">
        <f t="shared" ref="AX403:BY403" si="563">AX$612*$R156</f>
        <v>-224.28397977046149</v>
      </c>
      <c r="AY403" s="527">
        <f t="shared" si="563"/>
        <v>-224.28397977046149</v>
      </c>
      <c r="AZ403" s="527">
        <f t="shared" si="563"/>
        <v>-224.28397977046149</v>
      </c>
      <c r="BA403" s="527">
        <f t="shared" si="563"/>
        <v>-224.28397977046149</v>
      </c>
      <c r="BB403" s="527">
        <f t="shared" si="563"/>
        <v>-228.76965936587072</v>
      </c>
      <c r="BC403" s="527">
        <f t="shared" si="563"/>
        <v>-228.76965936587072</v>
      </c>
      <c r="BD403" s="527">
        <f t="shared" si="563"/>
        <v>-228.76965936587072</v>
      </c>
      <c r="BE403" s="527">
        <f t="shared" si="563"/>
        <v>-228.76965936587072</v>
      </c>
      <c r="BF403" s="527">
        <f t="shared" si="563"/>
        <v>-228.76965936587072</v>
      </c>
      <c r="BG403" s="527">
        <f t="shared" si="563"/>
        <v>-228.76965936587072</v>
      </c>
      <c r="BH403" s="527">
        <f t="shared" si="563"/>
        <v>-228.76965936587072</v>
      </c>
      <c r="BI403" s="527">
        <f t="shared" si="563"/>
        <v>-228.76965936587072</v>
      </c>
      <c r="BJ403" s="527">
        <f t="shared" si="563"/>
        <v>-228.76965936587072</v>
      </c>
      <c r="BK403" s="527">
        <f t="shared" si="563"/>
        <v>-228.76965936587072</v>
      </c>
      <c r="BL403" s="527">
        <f t="shared" si="563"/>
        <v>-228.76965936587072</v>
      </c>
      <c r="BM403" s="527">
        <f t="shared" si="563"/>
        <v>-228.76965936587072</v>
      </c>
      <c r="BN403" s="527">
        <f t="shared" si="563"/>
        <v>-233.34505255318817</v>
      </c>
      <c r="BO403" s="527">
        <f t="shared" si="563"/>
        <v>-233.34505255318817</v>
      </c>
      <c r="BP403" s="527">
        <f t="shared" si="563"/>
        <v>-233.34505255318817</v>
      </c>
      <c r="BQ403" s="527">
        <f t="shared" si="563"/>
        <v>-233.34505255318817</v>
      </c>
      <c r="BR403" s="527">
        <f t="shared" si="563"/>
        <v>-233.34505255318817</v>
      </c>
      <c r="BS403" s="527">
        <f t="shared" si="563"/>
        <v>-233.34505255318817</v>
      </c>
      <c r="BT403" s="527">
        <f t="shared" si="563"/>
        <v>-233.34505255318817</v>
      </c>
      <c r="BU403" s="527">
        <f t="shared" si="563"/>
        <v>-233.34505255318817</v>
      </c>
      <c r="BV403" s="527">
        <f t="shared" si="563"/>
        <v>-233.34505255318817</v>
      </c>
      <c r="BW403" s="527">
        <f t="shared" si="563"/>
        <v>-233.34505255318817</v>
      </c>
      <c r="BX403" s="527">
        <f t="shared" si="563"/>
        <v>-233.34505255318817</v>
      </c>
      <c r="BY403" s="527">
        <f t="shared" si="563"/>
        <v>-233.34505255318817</v>
      </c>
    </row>
    <row r="404" spans="3:77" x14ac:dyDescent="0.3">
      <c r="C404" s="2"/>
      <c r="D404" s="2"/>
      <c r="E404" s="136" t="str">
        <f>"Marketing support: "&amp;E$157</f>
        <v>Marketing support: FY29 Tranche</v>
      </c>
      <c r="F404" s="2"/>
      <c r="G404" s="2"/>
      <c r="H404" s="2"/>
      <c r="I404" s="2"/>
      <c r="J404" s="2"/>
      <c r="K404" s="2"/>
      <c r="L404" s="2"/>
      <c r="M404" s="2"/>
      <c r="N404" s="2"/>
      <c r="O404" s="2"/>
      <c r="P404" s="10"/>
      <c r="Q404" s="2"/>
      <c r="R404" s="497">
        <f t="shared" ref="R404:AW404" si="564">R$612*$R157</f>
        <v>-215.57475948717945</v>
      </c>
      <c r="S404" s="497">
        <f t="shared" si="564"/>
        <v>-215.57475948717945</v>
      </c>
      <c r="T404" s="497">
        <f t="shared" si="564"/>
        <v>-215.57475948717945</v>
      </c>
      <c r="U404" s="497">
        <f t="shared" si="564"/>
        <v>-215.57475948717945</v>
      </c>
      <c r="V404" s="497">
        <f t="shared" si="564"/>
        <v>-215.57475948717945</v>
      </c>
      <c r="W404" s="497">
        <f t="shared" si="564"/>
        <v>-215.57475948717945</v>
      </c>
      <c r="X404" s="497">
        <f t="shared" si="564"/>
        <v>-215.57475948717945</v>
      </c>
      <c r="Y404" s="497">
        <f t="shared" si="564"/>
        <v>-215.57475948717945</v>
      </c>
      <c r="Z404" s="497">
        <f t="shared" si="564"/>
        <v>-215.57475948717945</v>
      </c>
      <c r="AA404" s="497">
        <f t="shared" si="564"/>
        <v>-215.57475948717945</v>
      </c>
      <c r="AB404" s="497">
        <f t="shared" si="564"/>
        <v>-215.57475948717945</v>
      </c>
      <c r="AC404" s="497">
        <f t="shared" si="564"/>
        <v>-215.57475948717945</v>
      </c>
      <c r="AD404" s="497">
        <f t="shared" si="564"/>
        <v>-219.88625467692304</v>
      </c>
      <c r="AE404" s="497">
        <f t="shared" si="564"/>
        <v>-219.88625467692304</v>
      </c>
      <c r="AF404" s="497">
        <f t="shared" si="564"/>
        <v>-219.88625467692304</v>
      </c>
      <c r="AG404" s="497">
        <f t="shared" si="564"/>
        <v>-219.88625467692304</v>
      </c>
      <c r="AH404" s="497">
        <f t="shared" si="564"/>
        <v>-219.88625467692304</v>
      </c>
      <c r="AI404" s="497">
        <f t="shared" si="564"/>
        <v>-219.88625467692304</v>
      </c>
      <c r="AJ404" s="497">
        <f t="shared" si="564"/>
        <v>-219.88625467692304</v>
      </c>
      <c r="AK404" s="497">
        <f t="shared" si="564"/>
        <v>-219.88625467692304</v>
      </c>
      <c r="AL404" s="497">
        <f t="shared" si="564"/>
        <v>-219.88625467692304</v>
      </c>
      <c r="AM404" s="497">
        <f t="shared" si="564"/>
        <v>-219.88625467692304</v>
      </c>
      <c r="AN404" s="527">
        <f t="shared" si="564"/>
        <v>-219.88625467692304</v>
      </c>
      <c r="AO404" s="527">
        <f t="shared" si="564"/>
        <v>-219.88625467692304</v>
      </c>
      <c r="AP404" s="527">
        <f t="shared" si="564"/>
        <v>-224.28397977046149</v>
      </c>
      <c r="AQ404" s="527">
        <f t="shared" si="564"/>
        <v>-224.28397977046149</v>
      </c>
      <c r="AR404" s="527">
        <f t="shared" si="564"/>
        <v>-224.28397977046149</v>
      </c>
      <c r="AS404" s="527">
        <f t="shared" si="564"/>
        <v>-224.28397977046149</v>
      </c>
      <c r="AT404" s="527">
        <f t="shared" si="564"/>
        <v>-224.28397977046149</v>
      </c>
      <c r="AU404" s="527">
        <f t="shared" si="564"/>
        <v>-224.28397977046149</v>
      </c>
      <c r="AV404" s="527">
        <f t="shared" si="564"/>
        <v>-224.28397977046149</v>
      </c>
      <c r="AW404" s="527">
        <f t="shared" si="564"/>
        <v>-224.28397977046149</v>
      </c>
      <c r="AX404" s="527">
        <f t="shared" ref="AX404:BY404" si="565">AX$612*$R157</f>
        <v>-224.28397977046149</v>
      </c>
      <c r="AY404" s="527">
        <f t="shared" si="565"/>
        <v>-224.28397977046149</v>
      </c>
      <c r="AZ404" s="527">
        <f t="shared" si="565"/>
        <v>-224.28397977046149</v>
      </c>
      <c r="BA404" s="527">
        <f t="shared" si="565"/>
        <v>-224.28397977046149</v>
      </c>
      <c r="BB404" s="527">
        <f t="shared" si="565"/>
        <v>-228.76965936587072</v>
      </c>
      <c r="BC404" s="527">
        <f t="shared" si="565"/>
        <v>-228.76965936587072</v>
      </c>
      <c r="BD404" s="527">
        <f t="shared" si="565"/>
        <v>-228.76965936587072</v>
      </c>
      <c r="BE404" s="527">
        <f t="shared" si="565"/>
        <v>-228.76965936587072</v>
      </c>
      <c r="BF404" s="527">
        <f t="shared" si="565"/>
        <v>-228.76965936587072</v>
      </c>
      <c r="BG404" s="527">
        <f t="shared" si="565"/>
        <v>-228.76965936587072</v>
      </c>
      <c r="BH404" s="527">
        <f t="shared" si="565"/>
        <v>-228.76965936587072</v>
      </c>
      <c r="BI404" s="527">
        <f t="shared" si="565"/>
        <v>-228.76965936587072</v>
      </c>
      <c r="BJ404" s="527">
        <f t="shared" si="565"/>
        <v>-228.76965936587072</v>
      </c>
      <c r="BK404" s="527">
        <f t="shared" si="565"/>
        <v>-228.76965936587072</v>
      </c>
      <c r="BL404" s="527">
        <f t="shared" si="565"/>
        <v>-228.76965936587072</v>
      </c>
      <c r="BM404" s="527">
        <f t="shared" si="565"/>
        <v>-228.76965936587072</v>
      </c>
      <c r="BN404" s="527">
        <f t="shared" si="565"/>
        <v>-233.34505255318817</v>
      </c>
      <c r="BO404" s="527">
        <f t="shared" si="565"/>
        <v>-233.34505255318817</v>
      </c>
      <c r="BP404" s="527">
        <f t="shared" si="565"/>
        <v>-233.34505255318817</v>
      </c>
      <c r="BQ404" s="527">
        <f t="shared" si="565"/>
        <v>-233.34505255318817</v>
      </c>
      <c r="BR404" s="527">
        <f t="shared" si="565"/>
        <v>-233.34505255318817</v>
      </c>
      <c r="BS404" s="527">
        <f t="shared" si="565"/>
        <v>-233.34505255318817</v>
      </c>
      <c r="BT404" s="527">
        <f t="shared" si="565"/>
        <v>-233.34505255318817</v>
      </c>
      <c r="BU404" s="527">
        <f t="shared" si="565"/>
        <v>-233.34505255318817</v>
      </c>
      <c r="BV404" s="527">
        <f t="shared" si="565"/>
        <v>-233.34505255318817</v>
      </c>
      <c r="BW404" s="527">
        <f t="shared" si="565"/>
        <v>-233.34505255318817</v>
      </c>
      <c r="BX404" s="527">
        <f t="shared" si="565"/>
        <v>-233.34505255318817</v>
      </c>
      <c r="BY404" s="527">
        <f t="shared" si="565"/>
        <v>-233.34505255318817</v>
      </c>
    </row>
    <row r="405" spans="3:77" x14ac:dyDescent="0.3">
      <c r="C405" s="2"/>
      <c r="D405" s="2"/>
      <c r="E405" s="136" t="str">
        <f>"Marketing support: "&amp;E$158</f>
        <v>Marketing support: FY30 Tranche</v>
      </c>
      <c r="F405" s="2"/>
      <c r="G405" s="2"/>
      <c r="H405" s="2"/>
      <c r="I405" s="2"/>
      <c r="J405" s="2"/>
      <c r="K405" s="2"/>
      <c r="L405" s="2"/>
      <c r="M405" s="2"/>
      <c r="N405" s="2"/>
      <c r="O405" s="2"/>
      <c r="P405" s="10"/>
      <c r="Q405" s="2"/>
      <c r="R405" s="497">
        <f t="shared" ref="R405:AW405" si="566">R$612*$R158</f>
        <v>-215.57475948717945</v>
      </c>
      <c r="S405" s="497">
        <f t="shared" si="566"/>
        <v>-215.57475948717945</v>
      </c>
      <c r="T405" s="497">
        <f t="shared" si="566"/>
        <v>-215.57475948717945</v>
      </c>
      <c r="U405" s="497">
        <f t="shared" si="566"/>
        <v>-215.57475948717945</v>
      </c>
      <c r="V405" s="497">
        <f t="shared" si="566"/>
        <v>-215.57475948717945</v>
      </c>
      <c r="W405" s="497">
        <f t="shared" si="566"/>
        <v>-215.57475948717945</v>
      </c>
      <c r="X405" s="497">
        <f t="shared" si="566"/>
        <v>-215.57475948717945</v>
      </c>
      <c r="Y405" s="497">
        <f t="shared" si="566"/>
        <v>-215.57475948717945</v>
      </c>
      <c r="Z405" s="497">
        <f t="shared" si="566"/>
        <v>-215.57475948717945</v>
      </c>
      <c r="AA405" s="497">
        <f t="shared" si="566"/>
        <v>-215.57475948717945</v>
      </c>
      <c r="AB405" s="497">
        <f t="shared" si="566"/>
        <v>-215.57475948717945</v>
      </c>
      <c r="AC405" s="497">
        <f t="shared" si="566"/>
        <v>-215.57475948717945</v>
      </c>
      <c r="AD405" s="497">
        <f t="shared" si="566"/>
        <v>-219.88625467692304</v>
      </c>
      <c r="AE405" s="497">
        <f t="shared" si="566"/>
        <v>-219.88625467692304</v>
      </c>
      <c r="AF405" s="497">
        <f t="shared" si="566"/>
        <v>-219.88625467692304</v>
      </c>
      <c r="AG405" s="497">
        <f t="shared" si="566"/>
        <v>-219.88625467692304</v>
      </c>
      <c r="AH405" s="497">
        <f t="shared" si="566"/>
        <v>-219.88625467692304</v>
      </c>
      <c r="AI405" s="497">
        <f t="shared" si="566"/>
        <v>-219.88625467692304</v>
      </c>
      <c r="AJ405" s="497">
        <f t="shared" si="566"/>
        <v>-219.88625467692304</v>
      </c>
      <c r="AK405" s="497">
        <f t="shared" si="566"/>
        <v>-219.88625467692304</v>
      </c>
      <c r="AL405" s="497">
        <f t="shared" si="566"/>
        <v>-219.88625467692304</v>
      </c>
      <c r="AM405" s="497">
        <f t="shared" si="566"/>
        <v>-219.88625467692304</v>
      </c>
      <c r="AN405" s="527">
        <f t="shared" si="566"/>
        <v>-219.88625467692304</v>
      </c>
      <c r="AO405" s="527">
        <f t="shared" si="566"/>
        <v>-219.88625467692304</v>
      </c>
      <c r="AP405" s="527">
        <f t="shared" si="566"/>
        <v>-224.28397977046149</v>
      </c>
      <c r="AQ405" s="527">
        <f t="shared" si="566"/>
        <v>-224.28397977046149</v>
      </c>
      <c r="AR405" s="527">
        <f t="shared" si="566"/>
        <v>-224.28397977046149</v>
      </c>
      <c r="AS405" s="527">
        <f t="shared" si="566"/>
        <v>-224.28397977046149</v>
      </c>
      <c r="AT405" s="527">
        <f t="shared" si="566"/>
        <v>-224.28397977046149</v>
      </c>
      <c r="AU405" s="527">
        <f t="shared" si="566"/>
        <v>-224.28397977046149</v>
      </c>
      <c r="AV405" s="527">
        <f t="shared" si="566"/>
        <v>-224.28397977046149</v>
      </c>
      <c r="AW405" s="527">
        <f t="shared" si="566"/>
        <v>-224.28397977046149</v>
      </c>
      <c r="AX405" s="527">
        <f t="shared" ref="AX405:BY405" si="567">AX$612*$R158</f>
        <v>-224.28397977046149</v>
      </c>
      <c r="AY405" s="527">
        <f t="shared" si="567"/>
        <v>-224.28397977046149</v>
      </c>
      <c r="AZ405" s="527">
        <f t="shared" si="567"/>
        <v>-224.28397977046149</v>
      </c>
      <c r="BA405" s="527">
        <f t="shared" si="567"/>
        <v>-224.28397977046149</v>
      </c>
      <c r="BB405" s="527">
        <f t="shared" si="567"/>
        <v>-228.76965936587072</v>
      </c>
      <c r="BC405" s="527">
        <f t="shared" si="567"/>
        <v>-228.76965936587072</v>
      </c>
      <c r="BD405" s="527">
        <f t="shared" si="567"/>
        <v>-228.76965936587072</v>
      </c>
      <c r="BE405" s="527">
        <f t="shared" si="567"/>
        <v>-228.76965936587072</v>
      </c>
      <c r="BF405" s="527">
        <f t="shared" si="567"/>
        <v>-228.76965936587072</v>
      </c>
      <c r="BG405" s="527">
        <f t="shared" si="567"/>
        <v>-228.76965936587072</v>
      </c>
      <c r="BH405" s="527">
        <f t="shared" si="567"/>
        <v>-228.76965936587072</v>
      </c>
      <c r="BI405" s="527">
        <f t="shared" si="567"/>
        <v>-228.76965936587072</v>
      </c>
      <c r="BJ405" s="527">
        <f t="shared" si="567"/>
        <v>-228.76965936587072</v>
      </c>
      <c r="BK405" s="527">
        <f t="shared" si="567"/>
        <v>-228.76965936587072</v>
      </c>
      <c r="BL405" s="527">
        <f t="shared" si="567"/>
        <v>-228.76965936587072</v>
      </c>
      <c r="BM405" s="527">
        <f t="shared" si="567"/>
        <v>-228.76965936587072</v>
      </c>
      <c r="BN405" s="527">
        <f t="shared" si="567"/>
        <v>-233.34505255318817</v>
      </c>
      <c r="BO405" s="527">
        <f t="shared" si="567"/>
        <v>-233.34505255318817</v>
      </c>
      <c r="BP405" s="527">
        <f t="shared" si="567"/>
        <v>-233.34505255318817</v>
      </c>
      <c r="BQ405" s="527">
        <f t="shared" si="567"/>
        <v>-233.34505255318817</v>
      </c>
      <c r="BR405" s="527">
        <f t="shared" si="567"/>
        <v>-233.34505255318817</v>
      </c>
      <c r="BS405" s="527">
        <f t="shared" si="567"/>
        <v>-233.34505255318817</v>
      </c>
      <c r="BT405" s="527">
        <f t="shared" si="567"/>
        <v>-233.34505255318817</v>
      </c>
      <c r="BU405" s="527">
        <f t="shared" si="567"/>
        <v>-233.34505255318817</v>
      </c>
      <c r="BV405" s="527">
        <f t="shared" si="567"/>
        <v>-233.34505255318817</v>
      </c>
      <c r="BW405" s="527">
        <f t="shared" si="567"/>
        <v>-233.34505255318817</v>
      </c>
      <c r="BX405" s="527">
        <f t="shared" si="567"/>
        <v>-233.34505255318817</v>
      </c>
      <c r="BY405" s="527">
        <f t="shared" si="567"/>
        <v>-233.34505255318817</v>
      </c>
    </row>
    <row r="406" spans="3:77" x14ac:dyDescent="0.3">
      <c r="C406" s="2"/>
      <c r="D406" s="2"/>
      <c r="E406" s="136" t="str">
        <f>"Marketing support: "&amp;E$159</f>
        <v>Marketing support: FY31 Tranche</v>
      </c>
      <c r="F406" s="2"/>
      <c r="G406" s="2"/>
      <c r="H406" s="2"/>
      <c r="I406" s="2"/>
      <c r="J406" s="2"/>
      <c r="K406" s="2"/>
      <c r="L406" s="2"/>
      <c r="M406" s="2"/>
      <c r="N406" s="2"/>
      <c r="O406" s="2"/>
      <c r="P406" s="10"/>
      <c r="Q406" s="2"/>
      <c r="R406" s="497">
        <f t="shared" ref="R406:AW406" si="568">R$612*$R159</f>
        <v>-215.57475948717945</v>
      </c>
      <c r="S406" s="497">
        <f t="shared" si="568"/>
        <v>-215.57475948717945</v>
      </c>
      <c r="T406" s="497">
        <f t="shared" si="568"/>
        <v>-215.57475948717945</v>
      </c>
      <c r="U406" s="497">
        <f t="shared" si="568"/>
        <v>-215.57475948717945</v>
      </c>
      <c r="V406" s="497">
        <f t="shared" si="568"/>
        <v>-215.57475948717945</v>
      </c>
      <c r="W406" s="497">
        <f t="shared" si="568"/>
        <v>-215.57475948717945</v>
      </c>
      <c r="X406" s="497">
        <f t="shared" si="568"/>
        <v>-215.57475948717945</v>
      </c>
      <c r="Y406" s="497">
        <f t="shared" si="568"/>
        <v>-215.57475948717945</v>
      </c>
      <c r="Z406" s="497">
        <f t="shared" si="568"/>
        <v>-215.57475948717945</v>
      </c>
      <c r="AA406" s="497">
        <f t="shared" si="568"/>
        <v>-215.57475948717945</v>
      </c>
      <c r="AB406" s="497">
        <f t="shared" si="568"/>
        <v>-215.57475948717945</v>
      </c>
      <c r="AC406" s="497">
        <f t="shared" si="568"/>
        <v>-215.57475948717945</v>
      </c>
      <c r="AD406" s="497">
        <f t="shared" si="568"/>
        <v>-219.88625467692304</v>
      </c>
      <c r="AE406" s="497">
        <f t="shared" si="568"/>
        <v>-219.88625467692304</v>
      </c>
      <c r="AF406" s="497">
        <f t="shared" si="568"/>
        <v>-219.88625467692304</v>
      </c>
      <c r="AG406" s="497">
        <f t="shared" si="568"/>
        <v>-219.88625467692304</v>
      </c>
      <c r="AH406" s="497">
        <f t="shared" si="568"/>
        <v>-219.88625467692304</v>
      </c>
      <c r="AI406" s="497">
        <f t="shared" si="568"/>
        <v>-219.88625467692304</v>
      </c>
      <c r="AJ406" s="497">
        <f t="shared" si="568"/>
        <v>-219.88625467692304</v>
      </c>
      <c r="AK406" s="497">
        <f t="shared" si="568"/>
        <v>-219.88625467692304</v>
      </c>
      <c r="AL406" s="497">
        <f t="shared" si="568"/>
        <v>-219.88625467692304</v>
      </c>
      <c r="AM406" s="497">
        <f t="shared" si="568"/>
        <v>-219.88625467692304</v>
      </c>
      <c r="AN406" s="527">
        <f t="shared" si="568"/>
        <v>-219.88625467692304</v>
      </c>
      <c r="AO406" s="527">
        <f t="shared" si="568"/>
        <v>-219.88625467692304</v>
      </c>
      <c r="AP406" s="527">
        <f t="shared" si="568"/>
        <v>-224.28397977046149</v>
      </c>
      <c r="AQ406" s="527">
        <f t="shared" si="568"/>
        <v>-224.28397977046149</v>
      </c>
      <c r="AR406" s="527">
        <f t="shared" si="568"/>
        <v>-224.28397977046149</v>
      </c>
      <c r="AS406" s="527">
        <f t="shared" si="568"/>
        <v>-224.28397977046149</v>
      </c>
      <c r="AT406" s="527">
        <f t="shared" si="568"/>
        <v>-224.28397977046149</v>
      </c>
      <c r="AU406" s="527">
        <f t="shared" si="568"/>
        <v>-224.28397977046149</v>
      </c>
      <c r="AV406" s="527">
        <f t="shared" si="568"/>
        <v>-224.28397977046149</v>
      </c>
      <c r="AW406" s="527">
        <f t="shared" si="568"/>
        <v>-224.28397977046149</v>
      </c>
      <c r="AX406" s="527">
        <f t="shared" ref="AX406:BY406" si="569">AX$612*$R159</f>
        <v>-224.28397977046149</v>
      </c>
      <c r="AY406" s="527">
        <f t="shared" si="569"/>
        <v>-224.28397977046149</v>
      </c>
      <c r="AZ406" s="527">
        <f t="shared" si="569"/>
        <v>-224.28397977046149</v>
      </c>
      <c r="BA406" s="527">
        <f t="shared" si="569"/>
        <v>-224.28397977046149</v>
      </c>
      <c r="BB406" s="527">
        <f t="shared" si="569"/>
        <v>-228.76965936587072</v>
      </c>
      <c r="BC406" s="527">
        <f t="shared" si="569"/>
        <v>-228.76965936587072</v>
      </c>
      <c r="BD406" s="527">
        <f t="shared" si="569"/>
        <v>-228.76965936587072</v>
      </c>
      <c r="BE406" s="527">
        <f t="shared" si="569"/>
        <v>-228.76965936587072</v>
      </c>
      <c r="BF406" s="527">
        <f t="shared" si="569"/>
        <v>-228.76965936587072</v>
      </c>
      <c r="BG406" s="527">
        <f t="shared" si="569"/>
        <v>-228.76965936587072</v>
      </c>
      <c r="BH406" s="527">
        <f t="shared" si="569"/>
        <v>-228.76965936587072</v>
      </c>
      <c r="BI406" s="527">
        <f t="shared" si="569"/>
        <v>-228.76965936587072</v>
      </c>
      <c r="BJ406" s="527">
        <f t="shared" si="569"/>
        <v>-228.76965936587072</v>
      </c>
      <c r="BK406" s="527">
        <f t="shared" si="569"/>
        <v>-228.76965936587072</v>
      </c>
      <c r="BL406" s="527">
        <f t="shared" si="569"/>
        <v>-228.76965936587072</v>
      </c>
      <c r="BM406" s="527">
        <f t="shared" si="569"/>
        <v>-228.76965936587072</v>
      </c>
      <c r="BN406" s="527">
        <f t="shared" si="569"/>
        <v>-233.34505255318817</v>
      </c>
      <c r="BO406" s="527">
        <f t="shared" si="569"/>
        <v>-233.34505255318817</v>
      </c>
      <c r="BP406" s="527">
        <f t="shared" si="569"/>
        <v>-233.34505255318817</v>
      </c>
      <c r="BQ406" s="527">
        <f t="shared" si="569"/>
        <v>-233.34505255318817</v>
      </c>
      <c r="BR406" s="527">
        <f t="shared" si="569"/>
        <v>-233.34505255318817</v>
      </c>
      <c r="BS406" s="527">
        <f t="shared" si="569"/>
        <v>-233.34505255318817</v>
      </c>
      <c r="BT406" s="527">
        <f t="shared" si="569"/>
        <v>-233.34505255318817</v>
      </c>
      <c r="BU406" s="527">
        <f t="shared" si="569"/>
        <v>-233.34505255318817</v>
      </c>
      <c r="BV406" s="527">
        <f t="shared" si="569"/>
        <v>-233.34505255318817</v>
      </c>
      <c r="BW406" s="527">
        <f t="shared" si="569"/>
        <v>-233.34505255318817</v>
      </c>
      <c r="BX406" s="527">
        <f t="shared" si="569"/>
        <v>-233.34505255318817</v>
      </c>
      <c r="BY406" s="527">
        <f t="shared" si="569"/>
        <v>-233.34505255318817</v>
      </c>
    </row>
    <row r="407" spans="3:77" x14ac:dyDescent="0.3">
      <c r="C407" s="2"/>
      <c r="D407" s="2"/>
      <c r="E407" s="136" t="str">
        <f>"Marketing support: "&amp;E$160</f>
        <v>Marketing support: Uninvested Tranche</v>
      </c>
      <c r="F407" s="2"/>
      <c r="G407" s="2"/>
      <c r="H407" s="2"/>
      <c r="I407" s="2"/>
      <c r="J407" s="2"/>
      <c r="K407" s="2"/>
      <c r="L407" s="2"/>
      <c r="M407" s="2"/>
      <c r="N407" s="2"/>
      <c r="O407" s="2"/>
      <c r="P407" s="10"/>
      <c r="Q407" s="2"/>
      <c r="R407" s="497">
        <f t="shared" ref="R407:AW407" si="570">R$612*$R160</f>
        <v>-603.60932656410239</v>
      </c>
      <c r="S407" s="497">
        <f t="shared" si="570"/>
        <v>-603.60932656410239</v>
      </c>
      <c r="T407" s="497">
        <f t="shared" si="570"/>
        <v>-603.60932656410239</v>
      </c>
      <c r="U407" s="497">
        <f t="shared" si="570"/>
        <v>-603.60932656410239</v>
      </c>
      <c r="V407" s="497">
        <f t="shared" si="570"/>
        <v>-603.60932656410239</v>
      </c>
      <c r="W407" s="497">
        <f t="shared" si="570"/>
        <v>-603.60932656410239</v>
      </c>
      <c r="X407" s="497">
        <f t="shared" si="570"/>
        <v>-603.60932656410239</v>
      </c>
      <c r="Y407" s="497">
        <f t="shared" si="570"/>
        <v>-603.60932656410239</v>
      </c>
      <c r="Z407" s="497">
        <f t="shared" si="570"/>
        <v>-603.60932656410239</v>
      </c>
      <c r="AA407" s="497">
        <f t="shared" si="570"/>
        <v>-603.60932656410239</v>
      </c>
      <c r="AB407" s="497">
        <f t="shared" si="570"/>
        <v>-603.60932656410239</v>
      </c>
      <c r="AC407" s="497">
        <f t="shared" si="570"/>
        <v>-603.60932656410239</v>
      </c>
      <c r="AD407" s="497">
        <f t="shared" si="570"/>
        <v>-615.6815130953845</v>
      </c>
      <c r="AE407" s="497">
        <f t="shared" si="570"/>
        <v>-615.6815130953845</v>
      </c>
      <c r="AF407" s="497">
        <f t="shared" si="570"/>
        <v>-615.6815130953845</v>
      </c>
      <c r="AG407" s="497">
        <f t="shared" si="570"/>
        <v>-615.6815130953845</v>
      </c>
      <c r="AH407" s="497">
        <f t="shared" si="570"/>
        <v>-615.6815130953845</v>
      </c>
      <c r="AI407" s="497">
        <f t="shared" si="570"/>
        <v>-615.6815130953845</v>
      </c>
      <c r="AJ407" s="497">
        <f t="shared" si="570"/>
        <v>-615.6815130953845</v>
      </c>
      <c r="AK407" s="497">
        <f t="shared" si="570"/>
        <v>-615.6815130953845</v>
      </c>
      <c r="AL407" s="497">
        <f t="shared" si="570"/>
        <v>-615.6815130953845</v>
      </c>
      <c r="AM407" s="497">
        <f t="shared" si="570"/>
        <v>-615.6815130953845</v>
      </c>
      <c r="AN407" s="527">
        <f t="shared" si="570"/>
        <v>-615.6815130953845</v>
      </c>
      <c r="AO407" s="527">
        <f t="shared" si="570"/>
        <v>-615.6815130953845</v>
      </c>
      <c r="AP407" s="527">
        <f t="shared" si="570"/>
        <v>-627.99514335729214</v>
      </c>
      <c r="AQ407" s="527">
        <f t="shared" si="570"/>
        <v>-627.99514335729214</v>
      </c>
      <c r="AR407" s="527">
        <f t="shared" si="570"/>
        <v>-627.99514335729214</v>
      </c>
      <c r="AS407" s="527">
        <f t="shared" si="570"/>
        <v>-627.99514335729214</v>
      </c>
      <c r="AT407" s="527">
        <f t="shared" si="570"/>
        <v>-627.99514335729214</v>
      </c>
      <c r="AU407" s="527">
        <f t="shared" si="570"/>
        <v>-627.99514335729214</v>
      </c>
      <c r="AV407" s="527">
        <f t="shared" si="570"/>
        <v>-627.99514335729214</v>
      </c>
      <c r="AW407" s="527">
        <f t="shared" si="570"/>
        <v>-627.99514335729214</v>
      </c>
      <c r="AX407" s="527">
        <f t="shared" ref="AX407:BY407" si="571">AX$612*$R160</f>
        <v>-627.99514335729214</v>
      </c>
      <c r="AY407" s="527">
        <f t="shared" si="571"/>
        <v>-627.99514335729214</v>
      </c>
      <c r="AZ407" s="527">
        <f t="shared" si="571"/>
        <v>-627.99514335729214</v>
      </c>
      <c r="BA407" s="527">
        <f t="shared" si="571"/>
        <v>-627.99514335729214</v>
      </c>
      <c r="BB407" s="527">
        <f t="shared" si="571"/>
        <v>-640.555046224438</v>
      </c>
      <c r="BC407" s="527">
        <f t="shared" si="571"/>
        <v>-640.555046224438</v>
      </c>
      <c r="BD407" s="527">
        <f t="shared" si="571"/>
        <v>-640.555046224438</v>
      </c>
      <c r="BE407" s="527">
        <f t="shared" si="571"/>
        <v>-640.555046224438</v>
      </c>
      <c r="BF407" s="527">
        <f t="shared" si="571"/>
        <v>-640.555046224438</v>
      </c>
      <c r="BG407" s="527">
        <f t="shared" si="571"/>
        <v>-640.555046224438</v>
      </c>
      <c r="BH407" s="527">
        <f t="shared" si="571"/>
        <v>-640.555046224438</v>
      </c>
      <c r="BI407" s="527">
        <f t="shared" si="571"/>
        <v>-640.555046224438</v>
      </c>
      <c r="BJ407" s="527">
        <f t="shared" si="571"/>
        <v>-640.555046224438</v>
      </c>
      <c r="BK407" s="527">
        <f t="shared" si="571"/>
        <v>-640.555046224438</v>
      </c>
      <c r="BL407" s="527">
        <f t="shared" si="571"/>
        <v>-640.555046224438</v>
      </c>
      <c r="BM407" s="527">
        <f t="shared" si="571"/>
        <v>-640.555046224438</v>
      </c>
      <c r="BN407" s="527">
        <f t="shared" si="571"/>
        <v>-653.36614714892687</v>
      </c>
      <c r="BO407" s="527">
        <f t="shared" si="571"/>
        <v>-653.36614714892687</v>
      </c>
      <c r="BP407" s="527">
        <f t="shared" si="571"/>
        <v>-653.36614714892687</v>
      </c>
      <c r="BQ407" s="527">
        <f t="shared" si="571"/>
        <v>-653.36614714892687</v>
      </c>
      <c r="BR407" s="527">
        <f t="shared" si="571"/>
        <v>-653.36614714892687</v>
      </c>
      <c r="BS407" s="527">
        <f t="shared" si="571"/>
        <v>-653.36614714892687</v>
      </c>
      <c r="BT407" s="527">
        <f t="shared" si="571"/>
        <v>-653.36614714892687</v>
      </c>
      <c r="BU407" s="527">
        <f t="shared" si="571"/>
        <v>-653.36614714892687</v>
      </c>
      <c r="BV407" s="527">
        <f t="shared" si="571"/>
        <v>-653.36614714892687</v>
      </c>
      <c r="BW407" s="527">
        <f t="shared" si="571"/>
        <v>-653.36614714892687</v>
      </c>
      <c r="BX407" s="527">
        <f t="shared" si="571"/>
        <v>-653.36614714892687</v>
      </c>
      <c r="BY407" s="527">
        <f t="shared" si="571"/>
        <v>-653.36614714892687</v>
      </c>
    </row>
    <row r="408" spans="3:77" x14ac:dyDescent="0.3">
      <c r="C408" s="2"/>
      <c r="D408" s="2"/>
      <c r="E408" s="4" t="s">
        <v>36</v>
      </c>
      <c r="F408" s="4"/>
      <c r="G408" s="4"/>
      <c r="H408" s="4"/>
      <c r="I408" s="4"/>
      <c r="J408" s="4"/>
      <c r="K408" s="4"/>
      <c r="L408" s="4"/>
      <c r="M408" s="4"/>
      <c r="N408" s="4"/>
      <c r="O408" s="4"/>
      <c r="P408" s="106"/>
      <c r="Q408" s="4"/>
      <c r="R408" s="498">
        <f t="shared" ref="R408:AW408" si="572">SUM(R402:R407)</f>
        <v>-1681.4831239999999</v>
      </c>
      <c r="S408" s="498">
        <f t="shared" si="572"/>
        <v>-1681.4831239999999</v>
      </c>
      <c r="T408" s="498">
        <f t="shared" si="572"/>
        <v>-1681.4831239999999</v>
      </c>
      <c r="U408" s="498">
        <f t="shared" si="572"/>
        <v>-1681.4831239999999</v>
      </c>
      <c r="V408" s="498">
        <f t="shared" si="572"/>
        <v>-1681.4831239999999</v>
      </c>
      <c r="W408" s="498">
        <f t="shared" si="572"/>
        <v>-1681.4831239999999</v>
      </c>
      <c r="X408" s="498">
        <f t="shared" si="572"/>
        <v>-1681.4831239999999</v>
      </c>
      <c r="Y408" s="498">
        <f t="shared" si="572"/>
        <v>-1681.4831239999999</v>
      </c>
      <c r="Z408" s="498">
        <f t="shared" si="572"/>
        <v>-1681.4831239999999</v>
      </c>
      <c r="AA408" s="498">
        <f t="shared" si="572"/>
        <v>-1681.4831239999999</v>
      </c>
      <c r="AB408" s="498">
        <f t="shared" si="572"/>
        <v>-1681.4831239999999</v>
      </c>
      <c r="AC408" s="498">
        <f t="shared" si="572"/>
        <v>-1681.4831239999999</v>
      </c>
      <c r="AD408" s="498">
        <f t="shared" si="572"/>
        <v>-1715.1127864799996</v>
      </c>
      <c r="AE408" s="498">
        <f t="shared" si="572"/>
        <v>-1715.1127864799996</v>
      </c>
      <c r="AF408" s="498">
        <f t="shared" si="572"/>
        <v>-1715.1127864799996</v>
      </c>
      <c r="AG408" s="498">
        <f t="shared" si="572"/>
        <v>-1715.1127864799996</v>
      </c>
      <c r="AH408" s="498">
        <f t="shared" si="572"/>
        <v>-1715.1127864799996</v>
      </c>
      <c r="AI408" s="498">
        <f t="shared" si="572"/>
        <v>-1715.1127864799996</v>
      </c>
      <c r="AJ408" s="498">
        <f t="shared" si="572"/>
        <v>-1715.1127864799996</v>
      </c>
      <c r="AK408" s="498">
        <f t="shared" si="572"/>
        <v>-1715.1127864799996</v>
      </c>
      <c r="AL408" s="498">
        <f t="shared" si="572"/>
        <v>-1715.1127864799996</v>
      </c>
      <c r="AM408" s="498">
        <f t="shared" si="572"/>
        <v>-1715.1127864799996</v>
      </c>
      <c r="AN408" s="530">
        <f t="shared" si="572"/>
        <v>-1715.1127864799996</v>
      </c>
      <c r="AO408" s="530">
        <f t="shared" si="572"/>
        <v>-1715.1127864799996</v>
      </c>
      <c r="AP408" s="530">
        <f t="shared" si="572"/>
        <v>-1749.4150422095995</v>
      </c>
      <c r="AQ408" s="530">
        <f t="shared" si="572"/>
        <v>-1749.4150422095995</v>
      </c>
      <c r="AR408" s="530">
        <f t="shared" si="572"/>
        <v>-1749.4150422095995</v>
      </c>
      <c r="AS408" s="530">
        <f t="shared" si="572"/>
        <v>-1749.4150422095995</v>
      </c>
      <c r="AT408" s="530">
        <f t="shared" si="572"/>
        <v>-1749.4150422095995</v>
      </c>
      <c r="AU408" s="530">
        <f t="shared" si="572"/>
        <v>-1749.4150422095995</v>
      </c>
      <c r="AV408" s="530">
        <f t="shared" si="572"/>
        <v>-1749.4150422095995</v>
      </c>
      <c r="AW408" s="530">
        <f t="shared" si="572"/>
        <v>-1749.4150422095995</v>
      </c>
      <c r="AX408" s="530">
        <f t="shared" ref="AX408:BY408" si="573">SUM(AX402:AX407)</f>
        <v>-1749.4150422095995</v>
      </c>
      <c r="AY408" s="530">
        <f t="shared" si="573"/>
        <v>-1749.4150422095995</v>
      </c>
      <c r="AZ408" s="530">
        <f t="shared" si="573"/>
        <v>-1749.4150422095995</v>
      </c>
      <c r="BA408" s="530">
        <f t="shared" si="573"/>
        <v>-1749.4150422095995</v>
      </c>
      <c r="BB408" s="530">
        <f t="shared" si="573"/>
        <v>-1784.4033430537916</v>
      </c>
      <c r="BC408" s="530">
        <f t="shared" si="573"/>
        <v>-1784.4033430537916</v>
      </c>
      <c r="BD408" s="530">
        <f t="shared" si="573"/>
        <v>-1784.4033430537916</v>
      </c>
      <c r="BE408" s="530">
        <f t="shared" si="573"/>
        <v>-1784.4033430537916</v>
      </c>
      <c r="BF408" s="530">
        <f t="shared" si="573"/>
        <v>-1784.4033430537916</v>
      </c>
      <c r="BG408" s="530">
        <f t="shared" si="573"/>
        <v>-1784.4033430537916</v>
      </c>
      <c r="BH408" s="530">
        <f t="shared" si="573"/>
        <v>-1784.4033430537916</v>
      </c>
      <c r="BI408" s="530">
        <f t="shared" si="573"/>
        <v>-1784.4033430537916</v>
      </c>
      <c r="BJ408" s="530">
        <f t="shared" si="573"/>
        <v>-1784.4033430537916</v>
      </c>
      <c r="BK408" s="530">
        <f t="shared" si="573"/>
        <v>-1784.4033430537916</v>
      </c>
      <c r="BL408" s="530">
        <f t="shared" si="573"/>
        <v>-1784.4033430537916</v>
      </c>
      <c r="BM408" s="530">
        <f t="shared" si="573"/>
        <v>-1784.4033430537916</v>
      </c>
      <c r="BN408" s="530">
        <f t="shared" si="573"/>
        <v>-1820.0914099148677</v>
      </c>
      <c r="BO408" s="530">
        <f t="shared" si="573"/>
        <v>-1820.0914099148677</v>
      </c>
      <c r="BP408" s="530">
        <f t="shared" si="573"/>
        <v>-1820.0914099148677</v>
      </c>
      <c r="BQ408" s="530">
        <f t="shared" si="573"/>
        <v>-1820.0914099148677</v>
      </c>
      <c r="BR408" s="530">
        <f t="shared" si="573"/>
        <v>-1820.0914099148677</v>
      </c>
      <c r="BS408" s="530">
        <f t="shared" si="573"/>
        <v>-1820.0914099148677</v>
      </c>
      <c r="BT408" s="530">
        <f t="shared" si="573"/>
        <v>-1820.0914099148677</v>
      </c>
      <c r="BU408" s="530">
        <f t="shared" si="573"/>
        <v>-1820.0914099148677</v>
      </c>
      <c r="BV408" s="530">
        <f t="shared" si="573"/>
        <v>-1820.0914099148677</v>
      </c>
      <c r="BW408" s="530">
        <f t="shared" si="573"/>
        <v>-1820.0914099148677</v>
      </c>
      <c r="BX408" s="530">
        <f t="shared" si="573"/>
        <v>-1820.0914099148677</v>
      </c>
      <c r="BY408" s="530">
        <f t="shared" si="573"/>
        <v>-1820.0914099148677</v>
      </c>
    </row>
    <row r="409" spans="3:77" x14ac:dyDescent="0.3">
      <c r="C409" s="2"/>
      <c r="D409" s="2"/>
      <c r="E409" s="2"/>
      <c r="F409" s="2"/>
      <c r="G409" s="2"/>
      <c r="H409" s="2"/>
      <c r="I409" s="2"/>
      <c r="J409" s="2"/>
      <c r="K409" s="2"/>
      <c r="L409" s="2"/>
      <c r="M409" s="2"/>
      <c r="N409" s="2"/>
      <c r="O409" s="2"/>
      <c r="P409" s="10"/>
      <c r="Q409" s="2"/>
      <c r="R409" s="2"/>
      <c r="S409" s="2"/>
      <c r="T409" s="2"/>
      <c r="U409" s="2"/>
      <c r="V409" s="2"/>
      <c r="W409" s="2"/>
      <c r="X409" s="2"/>
      <c r="Y409" s="2"/>
      <c r="Z409" s="2"/>
      <c r="AA409" s="2"/>
      <c r="AB409" s="2"/>
      <c r="AC409" s="2"/>
      <c r="AD409" s="2"/>
      <c r="AE409" s="2"/>
      <c r="AF409" s="2"/>
      <c r="AG409" s="2"/>
      <c r="AH409" s="2"/>
      <c r="AI409" s="2"/>
      <c r="AJ409" s="2"/>
      <c r="AK409" s="2"/>
      <c r="AL409" s="2"/>
      <c r="AM409" s="2"/>
      <c r="AN409" s="525"/>
      <c r="AO409" s="525"/>
      <c r="AP409" s="525"/>
      <c r="AQ409" s="525"/>
      <c r="AR409" s="525"/>
      <c r="AS409" s="525"/>
      <c r="AT409" s="525"/>
      <c r="AU409" s="525"/>
      <c r="AV409" s="525"/>
      <c r="AW409" s="525"/>
      <c r="AX409" s="525"/>
      <c r="AY409" s="525"/>
      <c r="AZ409" s="525"/>
      <c r="BA409" s="525"/>
      <c r="BB409" s="525"/>
      <c r="BC409" s="525"/>
      <c r="BD409" s="525"/>
      <c r="BE409" s="525"/>
      <c r="BF409" s="525"/>
      <c r="BG409" s="525"/>
      <c r="BH409" s="525"/>
      <c r="BI409" s="525"/>
      <c r="BJ409" s="525"/>
      <c r="BK409" s="525"/>
      <c r="BL409" s="525"/>
      <c r="BM409" s="525"/>
      <c r="BN409" s="525"/>
      <c r="BO409" s="525"/>
      <c r="BP409" s="525"/>
      <c r="BQ409" s="525"/>
      <c r="BR409" s="525"/>
      <c r="BS409" s="525"/>
      <c r="BT409" s="525"/>
      <c r="BU409" s="525"/>
      <c r="BV409" s="525"/>
      <c r="BW409" s="525"/>
      <c r="BX409" s="525"/>
      <c r="BY409" s="525"/>
    </row>
    <row r="410" spans="3:77" x14ac:dyDescent="0.3">
      <c r="C410" s="24" t="s">
        <v>37</v>
      </c>
      <c r="D410" s="2"/>
      <c r="E410" s="14" t="s">
        <v>91</v>
      </c>
      <c r="F410" s="14"/>
      <c r="G410" s="14"/>
      <c r="H410" s="14"/>
      <c r="I410" s="14"/>
      <c r="J410" s="14"/>
      <c r="K410" s="14"/>
      <c r="L410" s="14"/>
      <c r="M410" s="14"/>
      <c r="N410" s="14"/>
      <c r="O410" s="14"/>
      <c r="P410" s="24"/>
      <c r="Q410" s="14"/>
      <c r="R410" s="14"/>
      <c r="S410" s="14"/>
      <c r="T410" s="14"/>
      <c r="U410" s="14"/>
      <c r="V410" s="14"/>
      <c r="W410" s="14"/>
      <c r="X410" s="14"/>
      <c r="Y410" s="14"/>
      <c r="Z410" s="14"/>
      <c r="AA410" s="14"/>
      <c r="AB410" s="14"/>
      <c r="AC410" s="14"/>
      <c r="AD410" s="14"/>
      <c r="AE410" s="14"/>
      <c r="AF410" s="14"/>
      <c r="AG410" s="14"/>
      <c r="AH410" s="14"/>
      <c r="AI410" s="14"/>
      <c r="AJ410" s="14"/>
      <c r="AK410" s="14"/>
      <c r="AL410" s="14"/>
      <c r="AM410" s="14"/>
      <c r="AN410" s="538"/>
      <c r="AO410" s="538"/>
      <c r="AP410" s="538"/>
      <c r="AQ410" s="538"/>
      <c r="AR410" s="538"/>
      <c r="AS410" s="538"/>
      <c r="AT410" s="538"/>
      <c r="AU410" s="538"/>
      <c r="AV410" s="538"/>
      <c r="AW410" s="538"/>
      <c r="AX410" s="538"/>
      <c r="AY410" s="538"/>
      <c r="AZ410" s="538"/>
      <c r="BA410" s="538"/>
      <c r="BB410" s="538"/>
      <c r="BC410" s="538"/>
      <c r="BD410" s="538"/>
      <c r="BE410" s="538"/>
      <c r="BF410" s="538"/>
      <c r="BG410" s="538"/>
      <c r="BH410" s="538"/>
      <c r="BI410" s="538"/>
      <c r="BJ410" s="538"/>
      <c r="BK410" s="538"/>
      <c r="BL410" s="538"/>
      <c r="BM410" s="538"/>
      <c r="BN410" s="538"/>
      <c r="BO410" s="538"/>
      <c r="BP410" s="538"/>
      <c r="BQ410" s="538"/>
      <c r="BR410" s="538"/>
      <c r="BS410" s="538"/>
      <c r="BT410" s="538"/>
      <c r="BU410" s="538"/>
      <c r="BV410" s="538"/>
      <c r="BW410" s="538"/>
      <c r="BX410" s="538"/>
      <c r="BY410" s="538"/>
    </row>
    <row r="411" spans="3:77" x14ac:dyDescent="0.3">
      <c r="C411" s="2"/>
      <c r="D411" s="2"/>
      <c r="E411" s="2"/>
      <c r="F411" s="2"/>
      <c r="G411" s="2"/>
      <c r="H411" s="2"/>
      <c r="I411" s="2"/>
      <c r="J411" s="2"/>
      <c r="K411" s="2"/>
      <c r="L411" s="2"/>
      <c r="M411" s="2"/>
      <c r="N411" s="2"/>
      <c r="O411" s="2"/>
      <c r="P411" s="10"/>
      <c r="Q411" s="2"/>
      <c r="R411" s="2"/>
      <c r="S411" s="2"/>
      <c r="T411" s="2"/>
      <c r="U411" s="2"/>
      <c r="V411" s="2"/>
      <c r="W411" s="2"/>
      <c r="X411" s="2"/>
      <c r="Y411" s="2"/>
      <c r="Z411" s="2"/>
      <c r="AA411" s="2"/>
      <c r="AB411" s="2"/>
      <c r="AC411" s="2"/>
      <c r="AD411" s="2"/>
      <c r="AE411" s="2"/>
      <c r="AF411" s="2"/>
      <c r="AG411" s="2"/>
      <c r="AH411" s="2"/>
      <c r="AI411" s="2"/>
      <c r="AJ411" s="2"/>
      <c r="AK411" s="2"/>
      <c r="AL411" s="2"/>
      <c r="AM411" s="2"/>
      <c r="AN411" s="525"/>
      <c r="AO411" s="525"/>
      <c r="AP411" s="525"/>
      <c r="AQ411" s="525"/>
      <c r="AR411" s="525"/>
      <c r="AS411" s="525"/>
      <c r="AT411" s="525"/>
      <c r="AU411" s="525"/>
      <c r="AV411" s="525"/>
      <c r="AW411" s="525"/>
      <c r="AX411" s="525"/>
      <c r="AY411" s="525"/>
      <c r="AZ411" s="525"/>
      <c r="BA411" s="525"/>
      <c r="BB411" s="525"/>
      <c r="BC411" s="525"/>
      <c r="BD411" s="525"/>
      <c r="BE411" s="525"/>
      <c r="BF411" s="525"/>
      <c r="BG411" s="525"/>
      <c r="BH411" s="525"/>
      <c r="BI411" s="525"/>
      <c r="BJ411" s="525"/>
      <c r="BK411" s="525"/>
      <c r="BL411" s="525"/>
      <c r="BM411" s="525"/>
      <c r="BN411" s="525"/>
      <c r="BO411" s="525"/>
      <c r="BP411" s="525"/>
      <c r="BQ411" s="525"/>
      <c r="BR411" s="525"/>
      <c r="BS411" s="525"/>
      <c r="BT411" s="525"/>
      <c r="BU411" s="525"/>
      <c r="BV411" s="525"/>
      <c r="BW411" s="525"/>
      <c r="BX411" s="525"/>
      <c r="BY411" s="525"/>
    </row>
    <row r="412" spans="3:77" x14ac:dyDescent="0.3">
      <c r="C412" s="2"/>
      <c r="D412" s="2"/>
      <c r="E412" s="137" t="str">
        <f>"Implied EBITDA: "&amp;E$155</f>
        <v>Implied EBITDA: FY27 Tranche</v>
      </c>
      <c r="F412" s="2"/>
      <c r="G412" s="2"/>
      <c r="H412" s="2"/>
      <c r="I412" s="2"/>
      <c r="J412" s="2"/>
      <c r="K412" s="2"/>
      <c r="L412" s="2"/>
      <c r="M412" s="2"/>
      <c r="N412" s="2"/>
      <c r="O412" s="2"/>
      <c r="P412" s="10"/>
      <c r="Q412" s="2"/>
      <c r="R412" s="497">
        <f t="shared" ref="R412:AW412" si="574">R246+R254+R262+R270+R290+R298+R306+R314+R338+R346+R358+R366+R374+R382+R394+R402</f>
        <v>36365.086531819856</v>
      </c>
      <c r="S412" s="497">
        <f t="shared" si="574"/>
        <v>36365.086531819856</v>
      </c>
      <c r="T412" s="497">
        <f t="shared" si="574"/>
        <v>36365.086531819856</v>
      </c>
      <c r="U412" s="497">
        <f t="shared" si="574"/>
        <v>36365.086531819856</v>
      </c>
      <c r="V412" s="497">
        <f t="shared" si="574"/>
        <v>36365.086531819856</v>
      </c>
      <c r="W412" s="497">
        <f t="shared" si="574"/>
        <v>36365.086531819856</v>
      </c>
      <c r="X412" s="497">
        <f t="shared" si="574"/>
        <v>43941.65250553954</v>
      </c>
      <c r="Y412" s="497">
        <f t="shared" si="574"/>
        <v>43941.65250553954</v>
      </c>
      <c r="Z412" s="497">
        <f t="shared" si="574"/>
        <v>43941.65250553954</v>
      </c>
      <c r="AA412" s="497">
        <f t="shared" si="574"/>
        <v>43941.65250553954</v>
      </c>
      <c r="AB412" s="497">
        <f t="shared" si="574"/>
        <v>43941.65250553954</v>
      </c>
      <c r="AC412" s="497">
        <f t="shared" si="574"/>
        <v>43941.65250553954</v>
      </c>
      <c r="AD412" s="497">
        <f t="shared" si="574"/>
        <v>43941.652505539518</v>
      </c>
      <c r="AE412" s="497">
        <f t="shared" si="574"/>
        <v>43941.652505539518</v>
      </c>
      <c r="AF412" s="497">
        <f t="shared" si="574"/>
        <v>43941.652505539518</v>
      </c>
      <c r="AG412" s="497">
        <f t="shared" si="574"/>
        <v>43941.652505539518</v>
      </c>
      <c r="AH412" s="497">
        <f t="shared" si="574"/>
        <v>43941.652505539518</v>
      </c>
      <c r="AI412" s="497">
        <f t="shared" si="574"/>
        <v>43941.652505539518</v>
      </c>
      <c r="AJ412" s="497">
        <f t="shared" si="574"/>
        <v>45699.318605761102</v>
      </c>
      <c r="AK412" s="497">
        <f t="shared" si="574"/>
        <v>45699.318605761102</v>
      </c>
      <c r="AL412" s="497">
        <f t="shared" si="574"/>
        <v>45699.318605761102</v>
      </c>
      <c r="AM412" s="497">
        <f t="shared" si="574"/>
        <v>45699.318605761102</v>
      </c>
      <c r="AN412" s="527">
        <f t="shared" si="574"/>
        <v>45699.318605761102</v>
      </c>
      <c r="AO412" s="527">
        <f t="shared" si="574"/>
        <v>45699.318605761102</v>
      </c>
      <c r="AP412" s="527">
        <f t="shared" si="574"/>
        <v>45699.318605761102</v>
      </c>
      <c r="AQ412" s="527">
        <f t="shared" si="574"/>
        <v>45699.318605761102</v>
      </c>
      <c r="AR412" s="527">
        <f t="shared" si="574"/>
        <v>45699.318605761102</v>
      </c>
      <c r="AS412" s="527">
        <f t="shared" si="574"/>
        <v>45699.318605761102</v>
      </c>
      <c r="AT412" s="527">
        <f t="shared" si="574"/>
        <v>45699.318605761102</v>
      </c>
      <c r="AU412" s="527">
        <f t="shared" si="574"/>
        <v>45699.318605761102</v>
      </c>
      <c r="AV412" s="527">
        <f t="shared" si="574"/>
        <v>47527.291349991545</v>
      </c>
      <c r="AW412" s="527">
        <f t="shared" si="574"/>
        <v>47527.291349991545</v>
      </c>
      <c r="AX412" s="527">
        <f t="shared" ref="AX412:BY412" si="575">AX246+AX254+AX262+AX270+AX290+AX298+AX306+AX314+AX338+AX346+AX358+AX366+AX374+AX382+AX394+AX402</f>
        <v>47527.291349991545</v>
      </c>
      <c r="AY412" s="527">
        <f t="shared" si="575"/>
        <v>47527.291349991545</v>
      </c>
      <c r="AZ412" s="527">
        <f t="shared" si="575"/>
        <v>47527.291349991545</v>
      </c>
      <c r="BA412" s="527">
        <f t="shared" si="575"/>
        <v>47527.291349991545</v>
      </c>
      <c r="BB412" s="527">
        <f t="shared" si="575"/>
        <v>47527.291349991559</v>
      </c>
      <c r="BC412" s="527">
        <f t="shared" si="575"/>
        <v>47527.291349991559</v>
      </c>
      <c r="BD412" s="527">
        <f t="shared" si="575"/>
        <v>47527.291349991559</v>
      </c>
      <c r="BE412" s="527">
        <f t="shared" si="575"/>
        <v>47527.291349991559</v>
      </c>
      <c r="BF412" s="527">
        <f t="shared" si="575"/>
        <v>47527.291349991559</v>
      </c>
      <c r="BG412" s="527">
        <f t="shared" si="575"/>
        <v>47527.291349991559</v>
      </c>
      <c r="BH412" s="527">
        <f t="shared" si="575"/>
        <v>49428.383003991221</v>
      </c>
      <c r="BI412" s="527">
        <f t="shared" si="575"/>
        <v>49428.383003991221</v>
      </c>
      <c r="BJ412" s="527">
        <f t="shared" si="575"/>
        <v>49428.383003991221</v>
      </c>
      <c r="BK412" s="527">
        <f t="shared" si="575"/>
        <v>49428.383003991221</v>
      </c>
      <c r="BL412" s="527">
        <f t="shared" si="575"/>
        <v>49428.383003991221</v>
      </c>
      <c r="BM412" s="527">
        <f t="shared" si="575"/>
        <v>49428.383003991221</v>
      </c>
      <c r="BN412" s="527">
        <f t="shared" si="575"/>
        <v>49428.383003991199</v>
      </c>
      <c r="BO412" s="527">
        <f t="shared" si="575"/>
        <v>49428.383003991199</v>
      </c>
      <c r="BP412" s="527">
        <f t="shared" si="575"/>
        <v>49428.383003991199</v>
      </c>
      <c r="BQ412" s="527">
        <f t="shared" si="575"/>
        <v>49428.383003991199</v>
      </c>
      <c r="BR412" s="527">
        <f t="shared" si="575"/>
        <v>49428.383003991199</v>
      </c>
      <c r="BS412" s="527">
        <f t="shared" si="575"/>
        <v>49428.383003991199</v>
      </c>
      <c r="BT412" s="527">
        <f t="shared" si="575"/>
        <v>51405.518324150864</v>
      </c>
      <c r="BU412" s="527">
        <f t="shared" si="575"/>
        <v>51405.518324150864</v>
      </c>
      <c r="BV412" s="527">
        <f t="shared" si="575"/>
        <v>51405.518324150864</v>
      </c>
      <c r="BW412" s="527">
        <f t="shared" si="575"/>
        <v>51405.518324150864</v>
      </c>
      <c r="BX412" s="527">
        <f t="shared" si="575"/>
        <v>51405.518324150864</v>
      </c>
      <c r="BY412" s="527">
        <f t="shared" si="575"/>
        <v>51405.518324150864</v>
      </c>
    </row>
    <row r="413" spans="3:77" x14ac:dyDescent="0.3">
      <c r="C413" s="2"/>
      <c r="D413" s="2"/>
      <c r="E413" s="137" t="str">
        <f>"Implied EBITDA: "&amp;E$156</f>
        <v>Implied EBITDA: FY28 Tranche</v>
      </c>
      <c r="F413" s="2"/>
      <c r="G413" s="2"/>
      <c r="H413" s="2"/>
      <c r="I413" s="2"/>
      <c r="J413" s="2"/>
      <c r="K413" s="2"/>
      <c r="L413" s="2"/>
      <c r="M413" s="2"/>
      <c r="N413" s="2"/>
      <c r="O413" s="2"/>
      <c r="P413" s="10"/>
      <c r="Q413" s="2"/>
      <c r="R413" s="497">
        <f t="shared" ref="R413:AW413" si="576">R247+R255+R263+R271+R291+R299+R307+R315+R339+R347+R359+R367+R375+R383+R395+R403</f>
        <v>36365.086531819856</v>
      </c>
      <c r="S413" s="497">
        <f t="shared" si="576"/>
        <v>36365.086531819856</v>
      </c>
      <c r="T413" s="497">
        <f t="shared" si="576"/>
        <v>36365.086531819856</v>
      </c>
      <c r="U413" s="497">
        <f t="shared" si="576"/>
        <v>36365.086531819856</v>
      </c>
      <c r="V413" s="497">
        <f t="shared" si="576"/>
        <v>36365.086531819856</v>
      </c>
      <c r="W413" s="497">
        <f t="shared" si="576"/>
        <v>36365.086531819856</v>
      </c>
      <c r="X413" s="497">
        <f t="shared" si="576"/>
        <v>36365.086531819856</v>
      </c>
      <c r="Y413" s="497">
        <f t="shared" si="576"/>
        <v>36365.086531819856</v>
      </c>
      <c r="Z413" s="497">
        <f t="shared" si="576"/>
        <v>36365.086531819856</v>
      </c>
      <c r="AA413" s="497">
        <f t="shared" si="576"/>
        <v>36365.086531819856</v>
      </c>
      <c r="AB413" s="497">
        <f t="shared" si="576"/>
        <v>36365.086531819856</v>
      </c>
      <c r="AC413" s="497">
        <f t="shared" si="576"/>
        <v>36365.086531819856</v>
      </c>
      <c r="AD413" s="497">
        <f t="shared" si="576"/>
        <v>37786.39936573794</v>
      </c>
      <c r="AE413" s="497">
        <f t="shared" si="576"/>
        <v>37786.39936573794</v>
      </c>
      <c r="AF413" s="497">
        <f t="shared" si="576"/>
        <v>37786.39936573794</v>
      </c>
      <c r="AG413" s="497">
        <f t="shared" si="576"/>
        <v>37786.39936573794</v>
      </c>
      <c r="AH413" s="497">
        <f t="shared" si="576"/>
        <v>37786.39936573794</v>
      </c>
      <c r="AI413" s="497">
        <f t="shared" si="576"/>
        <v>37786.39936573794</v>
      </c>
      <c r="AJ413" s="497">
        <f t="shared" si="576"/>
        <v>45545.180237796281</v>
      </c>
      <c r="AK413" s="497">
        <f t="shared" si="576"/>
        <v>45545.180237796281</v>
      </c>
      <c r="AL413" s="497">
        <f t="shared" si="576"/>
        <v>45545.180237796281</v>
      </c>
      <c r="AM413" s="497">
        <f t="shared" si="576"/>
        <v>45545.180237796281</v>
      </c>
      <c r="AN413" s="527">
        <f t="shared" si="576"/>
        <v>45545.180237796281</v>
      </c>
      <c r="AO413" s="527">
        <f t="shared" si="576"/>
        <v>45545.180237796281</v>
      </c>
      <c r="AP413" s="527">
        <f t="shared" si="576"/>
        <v>45545.180237796281</v>
      </c>
      <c r="AQ413" s="527">
        <f t="shared" si="576"/>
        <v>45545.180237796281</v>
      </c>
      <c r="AR413" s="527">
        <f t="shared" si="576"/>
        <v>45545.180237796281</v>
      </c>
      <c r="AS413" s="527">
        <f t="shared" si="576"/>
        <v>45545.180237796281</v>
      </c>
      <c r="AT413" s="527">
        <f t="shared" si="576"/>
        <v>45545.180237796281</v>
      </c>
      <c r="AU413" s="527">
        <f t="shared" si="576"/>
        <v>45545.180237796281</v>
      </c>
      <c r="AV413" s="527">
        <f t="shared" si="576"/>
        <v>47366.987447308144</v>
      </c>
      <c r="AW413" s="527">
        <f t="shared" si="576"/>
        <v>47366.987447308144</v>
      </c>
      <c r="AX413" s="527">
        <f t="shared" ref="AX413:BY413" si="577">AX247+AX255+AX263+AX271+AX291+AX299+AX307+AX315+AX339+AX347+AX359+AX367+AX375+AX383+AX395+AX403</f>
        <v>47366.987447308144</v>
      </c>
      <c r="AY413" s="527">
        <f t="shared" si="577"/>
        <v>47366.987447308144</v>
      </c>
      <c r="AZ413" s="527">
        <f t="shared" si="577"/>
        <v>47366.987447308144</v>
      </c>
      <c r="BA413" s="527">
        <f t="shared" si="577"/>
        <v>47366.987447308144</v>
      </c>
      <c r="BB413" s="527">
        <f t="shared" si="577"/>
        <v>47366.987447308158</v>
      </c>
      <c r="BC413" s="527">
        <f t="shared" si="577"/>
        <v>47366.987447308158</v>
      </c>
      <c r="BD413" s="527">
        <f t="shared" si="577"/>
        <v>47366.987447308158</v>
      </c>
      <c r="BE413" s="527">
        <f t="shared" si="577"/>
        <v>47366.987447308158</v>
      </c>
      <c r="BF413" s="527">
        <f t="shared" si="577"/>
        <v>47366.987447308158</v>
      </c>
      <c r="BG413" s="527">
        <f t="shared" si="577"/>
        <v>47366.987447308158</v>
      </c>
      <c r="BH413" s="527">
        <f t="shared" si="577"/>
        <v>49261.666945200486</v>
      </c>
      <c r="BI413" s="527">
        <f t="shared" si="577"/>
        <v>49261.666945200486</v>
      </c>
      <c r="BJ413" s="527">
        <f t="shared" si="577"/>
        <v>49261.666945200486</v>
      </c>
      <c r="BK413" s="527">
        <f t="shared" si="577"/>
        <v>49261.666945200486</v>
      </c>
      <c r="BL413" s="527">
        <f t="shared" si="577"/>
        <v>49261.666945200486</v>
      </c>
      <c r="BM413" s="527">
        <f t="shared" si="577"/>
        <v>49261.666945200486</v>
      </c>
      <c r="BN413" s="527">
        <f t="shared" si="577"/>
        <v>49261.66694520045</v>
      </c>
      <c r="BO413" s="527">
        <f t="shared" si="577"/>
        <v>49261.66694520045</v>
      </c>
      <c r="BP413" s="527">
        <f t="shared" si="577"/>
        <v>49261.66694520045</v>
      </c>
      <c r="BQ413" s="527">
        <f t="shared" si="577"/>
        <v>49261.66694520045</v>
      </c>
      <c r="BR413" s="527">
        <f t="shared" si="577"/>
        <v>49261.66694520045</v>
      </c>
      <c r="BS413" s="527">
        <f t="shared" si="577"/>
        <v>49261.66694520045</v>
      </c>
      <c r="BT413" s="527">
        <f t="shared" si="577"/>
        <v>51232.133623008485</v>
      </c>
      <c r="BU413" s="527">
        <f t="shared" si="577"/>
        <v>51232.133623008485</v>
      </c>
      <c r="BV413" s="527">
        <f t="shared" si="577"/>
        <v>51232.133623008485</v>
      </c>
      <c r="BW413" s="527">
        <f t="shared" si="577"/>
        <v>51232.133623008485</v>
      </c>
      <c r="BX413" s="527">
        <f t="shared" si="577"/>
        <v>51232.133623008485</v>
      </c>
      <c r="BY413" s="527">
        <f t="shared" si="577"/>
        <v>51232.133623008485</v>
      </c>
    </row>
    <row r="414" spans="3:77" x14ac:dyDescent="0.3">
      <c r="C414" s="2"/>
      <c r="D414" s="2"/>
      <c r="E414" s="137" t="str">
        <f>"Implied EBITDA: "&amp;E$157</f>
        <v>Implied EBITDA: FY29 Tranche</v>
      </c>
      <c r="F414" s="2"/>
      <c r="G414" s="2"/>
      <c r="H414" s="2"/>
      <c r="I414" s="2"/>
      <c r="J414" s="2"/>
      <c r="K414" s="2"/>
      <c r="L414" s="2"/>
      <c r="M414" s="2"/>
      <c r="N414" s="2"/>
      <c r="O414" s="2"/>
      <c r="P414" s="10"/>
      <c r="Q414" s="2"/>
      <c r="R414" s="497">
        <f t="shared" ref="R414:AW414" si="578">R248+R256+R264+R272+R292+R300+R308+R316+R340+R348+R360+R368+R376+R384+R396+R404</f>
        <v>36365.086531819856</v>
      </c>
      <c r="S414" s="497">
        <f t="shared" si="578"/>
        <v>36365.086531819856</v>
      </c>
      <c r="T414" s="497">
        <f t="shared" si="578"/>
        <v>36365.086531819856</v>
      </c>
      <c r="U414" s="497">
        <f t="shared" si="578"/>
        <v>36365.086531819856</v>
      </c>
      <c r="V414" s="497">
        <f t="shared" si="578"/>
        <v>36365.086531819856</v>
      </c>
      <c r="W414" s="497">
        <f t="shared" si="578"/>
        <v>36365.086531819856</v>
      </c>
      <c r="X414" s="497">
        <f t="shared" si="578"/>
        <v>36365.086531819856</v>
      </c>
      <c r="Y414" s="497">
        <f t="shared" si="578"/>
        <v>36365.086531819856</v>
      </c>
      <c r="Z414" s="497">
        <f t="shared" si="578"/>
        <v>36365.086531819856</v>
      </c>
      <c r="AA414" s="497">
        <f t="shared" si="578"/>
        <v>36365.086531819856</v>
      </c>
      <c r="AB414" s="497">
        <f t="shared" si="578"/>
        <v>36365.086531819856</v>
      </c>
      <c r="AC414" s="497">
        <f t="shared" si="578"/>
        <v>36365.086531819856</v>
      </c>
      <c r="AD414" s="497">
        <f t="shared" si="578"/>
        <v>37786.39936573794</v>
      </c>
      <c r="AE414" s="497">
        <f t="shared" si="578"/>
        <v>37786.39936573794</v>
      </c>
      <c r="AF414" s="497">
        <f t="shared" si="578"/>
        <v>37786.39936573794</v>
      </c>
      <c r="AG414" s="497">
        <f t="shared" si="578"/>
        <v>37786.39936573794</v>
      </c>
      <c r="AH414" s="497">
        <f t="shared" si="578"/>
        <v>37786.39936573794</v>
      </c>
      <c r="AI414" s="497">
        <f t="shared" si="578"/>
        <v>37786.39936573794</v>
      </c>
      <c r="AJ414" s="497">
        <f t="shared" si="578"/>
        <v>37786.39936573794</v>
      </c>
      <c r="AK414" s="497">
        <f t="shared" si="578"/>
        <v>37786.39936573794</v>
      </c>
      <c r="AL414" s="497">
        <f t="shared" si="578"/>
        <v>37786.39936573794</v>
      </c>
      <c r="AM414" s="497">
        <f t="shared" si="578"/>
        <v>37786.39936573794</v>
      </c>
      <c r="AN414" s="527">
        <f t="shared" si="578"/>
        <v>37786.39936573794</v>
      </c>
      <c r="AO414" s="527">
        <f t="shared" si="578"/>
        <v>37786.39936573794</v>
      </c>
      <c r="AP414" s="527">
        <f t="shared" si="578"/>
        <v>39196.811125947788</v>
      </c>
      <c r="AQ414" s="527">
        <f t="shared" si="578"/>
        <v>39196.811125947788</v>
      </c>
      <c r="AR414" s="527">
        <f t="shared" si="578"/>
        <v>39196.811125947788</v>
      </c>
      <c r="AS414" s="527">
        <f t="shared" si="578"/>
        <v>39196.811125947788</v>
      </c>
      <c r="AT414" s="527">
        <f t="shared" si="578"/>
        <v>39196.811125947788</v>
      </c>
      <c r="AU414" s="527">
        <f t="shared" si="578"/>
        <v>39196.811125947788</v>
      </c>
      <c r="AV414" s="527">
        <f t="shared" si="578"/>
        <v>47129.81090927482</v>
      </c>
      <c r="AW414" s="527">
        <f t="shared" si="578"/>
        <v>47129.81090927482</v>
      </c>
      <c r="AX414" s="527">
        <f t="shared" ref="AX414:BY414" si="579">AX248+AX256+AX264+AX272+AX292+AX300+AX308+AX316+AX340+AX348+AX360+AX368+AX376+AX384+AX396+AX404</f>
        <v>47129.81090927482</v>
      </c>
      <c r="AY414" s="527">
        <f t="shared" si="579"/>
        <v>47129.81090927482</v>
      </c>
      <c r="AZ414" s="527">
        <f t="shared" si="579"/>
        <v>47129.81090927482</v>
      </c>
      <c r="BA414" s="527">
        <f t="shared" si="579"/>
        <v>47129.81090927482</v>
      </c>
      <c r="BB414" s="527">
        <f t="shared" si="579"/>
        <v>47129.81090927482</v>
      </c>
      <c r="BC414" s="527">
        <f t="shared" si="579"/>
        <v>47129.81090927482</v>
      </c>
      <c r="BD414" s="527">
        <f t="shared" si="579"/>
        <v>47129.81090927482</v>
      </c>
      <c r="BE414" s="527">
        <f t="shared" si="579"/>
        <v>47129.81090927482</v>
      </c>
      <c r="BF414" s="527">
        <f t="shared" si="579"/>
        <v>47129.81090927482</v>
      </c>
      <c r="BG414" s="527">
        <f t="shared" si="579"/>
        <v>47129.81090927482</v>
      </c>
      <c r="BH414" s="527">
        <f t="shared" si="579"/>
        <v>49015.003345645833</v>
      </c>
      <c r="BI414" s="527">
        <f t="shared" si="579"/>
        <v>49015.003345645833</v>
      </c>
      <c r="BJ414" s="527">
        <f t="shared" si="579"/>
        <v>49015.003345645833</v>
      </c>
      <c r="BK414" s="527">
        <f t="shared" si="579"/>
        <v>49015.003345645833</v>
      </c>
      <c r="BL414" s="527">
        <f t="shared" si="579"/>
        <v>49015.003345645833</v>
      </c>
      <c r="BM414" s="527">
        <f t="shared" si="579"/>
        <v>49015.003345645833</v>
      </c>
      <c r="BN414" s="527">
        <f t="shared" si="579"/>
        <v>49015.00334564579</v>
      </c>
      <c r="BO414" s="527">
        <f t="shared" si="579"/>
        <v>49015.00334564579</v>
      </c>
      <c r="BP414" s="527">
        <f t="shared" si="579"/>
        <v>49015.00334564579</v>
      </c>
      <c r="BQ414" s="527">
        <f t="shared" si="579"/>
        <v>49015.00334564579</v>
      </c>
      <c r="BR414" s="527">
        <f t="shared" si="579"/>
        <v>49015.00334564579</v>
      </c>
      <c r="BS414" s="527">
        <f t="shared" si="579"/>
        <v>49015.00334564579</v>
      </c>
      <c r="BT414" s="527">
        <f t="shared" si="579"/>
        <v>50975.603479471625</v>
      </c>
      <c r="BU414" s="527">
        <f t="shared" si="579"/>
        <v>50975.603479471625</v>
      </c>
      <c r="BV414" s="527">
        <f t="shared" si="579"/>
        <v>50975.603479471625</v>
      </c>
      <c r="BW414" s="527">
        <f t="shared" si="579"/>
        <v>50975.603479471625</v>
      </c>
      <c r="BX414" s="527">
        <f t="shared" si="579"/>
        <v>50975.603479471625</v>
      </c>
      <c r="BY414" s="527">
        <f t="shared" si="579"/>
        <v>50975.603479471625</v>
      </c>
    </row>
    <row r="415" spans="3:77" x14ac:dyDescent="0.3">
      <c r="C415" s="2"/>
      <c r="D415" s="2"/>
      <c r="E415" s="137" t="str">
        <f>"Implied EBITDA: "&amp;E$158</f>
        <v>Implied EBITDA: FY30 Tranche</v>
      </c>
      <c r="F415" s="2"/>
      <c r="G415" s="2"/>
      <c r="H415" s="2"/>
      <c r="I415" s="2"/>
      <c r="J415" s="2"/>
      <c r="K415" s="2"/>
      <c r="L415" s="2"/>
      <c r="M415" s="2"/>
      <c r="N415" s="2"/>
      <c r="O415" s="2"/>
      <c r="P415" s="10"/>
      <c r="Q415" s="2"/>
      <c r="R415" s="497">
        <f t="shared" ref="R415:AW415" si="580">R249+R257+R265+R273+R293+R301+R309+R317+R341+R349+R361+R369+R377+R385+R397+R405</f>
        <v>36365.086531819856</v>
      </c>
      <c r="S415" s="497">
        <f t="shared" si="580"/>
        <v>36365.086531819856</v>
      </c>
      <c r="T415" s="497">
        <f t="shared" si="580"/>
        <v>36365.086531819856</v>
      </c>
      <c r="U415" s="497">
        <f t="shared" si="580"/>
        <v>36365.086531819856</v>
      </c>
      <c r="V415" s="497">
        <f t="shared" si="580"/>
        <v>36365.086531819856</v>
      </c>
      <c r="W415" s="497">
        <f t="shared" si="580"/>
        <v>36365.086531819856</v>
      </c>
      <c r="X415" s="497">
        <f t="shared" si="580"/>
        <v>36365.086531819856</v>
      </c>
      <c r="Y415" s="497">
        <f t="shared" si="580"/>
        <v>36365.086531819856</v>
      </c>
      <c r="Z415" s="497">
        <f t="shared" si="580"/>
        <v>36365.086531819856</v>
      </c>
      <c r="AA415" s="497">
        <f t="shared" si="580"/>
        <v>36365.086531819856</v>
      </c>
      <c r="AB415" s="497">
        <f t="shared" si="580"/>
        <v>36365.086531819856</v>
      </c>
      <c r="AC415" s="497">
        <f t="shared" si="580"/>
        <v>36365.086531819856</v>
      </c>
      <c r="AD415" s="497">
        <f t="shared" si="580"/>
        <v>37786.39936573794</v>
      </c>
      <c r="AE415" s="497">
        <f t="shared" si="580"/>
        <v>37786.39936573794</v>
      </c>
      <c r="AF415" s="497">
        <f t="shared" si="580"/>
        <v>37786.39936573794</v>
      </c>
      <c r="AG415" s="497">
        <f t="shared" si="580"/>
        <v>37786.39936573794</v>
      </c>
      <c r="AH415" s="497">
        <f t="shared" si="580"/>
        <v>37786.39936573794</v>
      </c>
      <c r="AI415" s="497">
        <f t="shared" si="580"/>
        <v>37786.39936573794</v>
      </c>
      <c r="AJ415" s="497">
        <f t="shared" si="580"/>
        <v>37786.39936573794</v>
      </c>
      <c r="AK415" s="497">
        <f t="shared" si="580"/>
        <v>37786.39936573794</v>
      </c>
      <c r="AL415" s="497">
        <f t="shared" si="580"/>
        <v>37786.39936573794</v>
      </c>
      <c r="AM415" s="497">
        <f t="shared" si="580"/>
        <v>37786.39936573794</v>
      </c>
      <c r="AN415" s="527">
        <f t="shared" si="580"/>
        <v>37786.39936573794</v>
      </c>
      <c r="AO415" s="527">
        <f t="shared" si="580"/>
        <v>37786.39936573794</v>
      </c>
      <c r="AP415" s="527">
        <f t="shared" si="580"/>
        <v>39196.811125947788</v>
      </c>
      <c r="AQ415" s="527">
        <f t="shared" si="580"/>
        <v>39196.811125947788</v>
      </c>
      <c r="AR415" s="527">
        <f t="shared" si="580"/>
        <v>39196.811125947788</v>
      </c>
      <c r="AS415" s="527">
        <f t="shared" si="580"/>
        <v>39196.811125947788</v>
      </c>
      <c r="AT415" s="527">
        <f t="shared" si="580"/>
        <v>39196.811125947788</v>
      </c>
      <c r="AU415" s="527">
        <f t="shared" si="580"/>
        <v>39196.811125947788</v>
      </c>
      <c r="AV415" s="527">
        <f t="shared" si="580"/>
        <v>39196.811125947788</v>
      </c>
      <c r="AW415" s="527">
        <f t="shared" si="580"/>
        <v>39196.811125947788</v>
      </c>
      <c r="AX415" s="527">
        <f t="shared" ref="AX415:BY415" si="581">AX249+AX257+AX265+AX273+AX293+AX301+AX309+AX317+AX341+AX349+AX361+AX369+AX377+AX385+AX397+AX405</f>
        <v>39196.811125947788</v>
      </c>
      <c r="AY415" s="527">
        <f t="shared" si="581"/>
        <v>39196.811125947788</v>
      </c>
      <c r="AZ415" s="527">
        <f t="shared" si="581"/>
        <v>39196.811125947788</v>
      </c>
      <c r="BA415" s="527">
        <f t="shared" si="581"/>
        <v>39196.811125947788</v>
      </c>
      <c r="BB415" s="527">
        <f t="shared" si="581"/>
        <v>40564.592998265929</v>
      </c>
      <c r="BC415" s="527">
        <f t="shared" si="581"/>
        <v>40564.592998265929</v>
      </c>
      <c r="BD415" s="527">
        <f t="shared" si="581"/>
        <v>40564.592998265929</v>
      </c>
      <c r="BE415" s="527">
        <f t="shared" si="581"/>
        <v>40564.592998265929</v>
      </c>
      <c r="BF415" s="527">
        <f t="shared" si="581"/>
        <v>40564.592998265929</v>
      </c>
      <c r="BG415" s="527">
        <f t="shared" si="581"/>
        <v>40564.592998265929</v>
      </c>
      <c r="BH415" s="527">
        <f t="shared" si="581"/>
        <v>48661.628406096868</v>
      </c>
      <c r="BI415" s="527">
        <f t="shared" si="581"/>
        <v>48661.628406096868</v>
      </c>
      <c r="BJ415" s="527">
        <f t="shared" si="581"/>
        <v>48661.628406096868</v>
      </c>
      <c r="BK415" s="527">
        <f t="shared" si="581"/>
        <v>48661.628406096868</v>
      </c>
      <c r="BL415" s="527">
        <f t="shared" si="581"/>
        <v>48661.628406096868</v>
      </c>
      <c r="BM415" s="527">
        <f t="shared" si="581"/>
        <v>48661.628406096868</v>
      </c>
      <c r="BN415" s="527">
        <f t="shared" si="581"/>
        <v>48661.628406096854</v>
      </c>
      <c r="BO415" s="527">
        <f t="shared" si="581"/>
        <v>48661.628406096854</v>
      </c>
      <c r="BP415" s="527">
        <f t="shared" si="581"/>
        <v>48661.628406096854</v>
      </c>
      <c r="BQ415" s="527">
        <f t="shared" si="581"/>
        <v>48661.628406096854</v>
      </c>
      <c r="BR415" s="527">
        <f t="shared" si="581"/>
        <v>48661.628406096854</v>
      </c>
      <c r="BS415" s="527">
        <f t="shared" si="581"/>
        <v>48661.628406096854</v>
      </c>
      <c r="BT415" s="527">
        <f t="shared" si="581"/>
        <v>50608.093542340721</v>
      </c>
      <c r="BU415" s="527">
        <f t="shared" si="581"/>
        <v>50608.093542340721</v>
      </c>
      <c r="BV415" s="527">
        <f t="shared" si="581"/>
        <v>50608.093542340721</v>
      </c>
      <c r="BW415" s="527">
        <f t="shared" si="581"/>
        <v>50608.093542340721</v>
      </c>
      <c r="BX415" s="527">
        <f t="shared" si="581"/>
        <v>50608.093542340721</v>
      </c>
      <c r="BY415" s="527">
        <f t="shared" si="581"/>
        <v>50608.093542340721</v>
      </c>
    </row>
    <row r="416" spans="3:77" x14ac:dyDescent="0.3">
      <c r="C416" s="2"/>
      <c r="D416" s="2"/>
      <c r="E416" s="137" t="str">
        <f>"Implied EBITDA: "&amp;E$159</f>
        <v>Implied EBITDA: FY31 Tranche</v>
      </c>
      <c r="F416" s="2"/>
      <c r="G416" s="2"/>
      <c r="H416" s="2"/>
      <c r="I416" s="2"/>
      <c r="J416" s="2"/>
      <c r="K416" s="2"/>
      <c r="L416" s="2"/>
      <c r="M416" s="2"/>
      <c r="N416" s="2"/>
      <c r="O416" s="2"/>
      <c r="P416" s="10"/>
      <c r="Q416" s="2"/>
      <c r="R416" s="497">
        <f t="shared" ref="R416:AW416" si="582">R250+R258+R266+R274+R294+R302+R310+R318+R342+R350+R362+R370+R378+R386+R398+R406</f>
        <v>36365.086531819856</v>
      </c>
      <c r="S416" s="497">
        <f t="shared" si="582"/>
        <v>36365.086531819856</v>
      </c>
      <c r="T416" s="497">
        <f t="shared" si="582"/>
        <v>36365.086531819856</v>
      </c>
      <c r="U416" s="497">
        <f t="shared" si="582"/>
        <v>36365.086531819856</v>
      </c>
      <c r="V416" s="497">
        <f t="shared" si="582"/>
        <v>36365.086531819856</v>
      </c>
      <c r="W416" s="497">
        <f t="shared" si="582"/>
        <v>36365.086531819856</v>
      </c>
      <c r="X416" s="497">
        <f t="shared" si="582"/>
        <v>36365.086531819856</v>
      </c>
      <c r="Y416" s="497">
        <f t="shared" si="582"/>
        <v>36365.086531819856</v>
      </c>
      <c r="Z416" s="497">
        <f t="shared" si="582"/>
        <v>36365.086531819856</v>
      </c>
      <c r="AA416" s="497">
        <f t="shared" si="582"/>
        <v>36365.086531819856</v>
      </c>
      <c r="AB416" s="497">
        <f t="shared" si="582"/>
        <v>36365.086531819856</v>
      </c>
      <c r="AC416" s="497">
        <f t="shared" si="582"/>
        <v>36365.086531819856</v>
      </c>
      <c r="AD416" s="497">
        <f t="shared" si="582"/>
        <v>37786.39936573794</v>
      </c>
      <c r="AE416" s="497">
        <f t="shared" si="582"/>
        <v>37786.39936573794</v>
      </c>
      <c r="AF416" s="497">
        <f t="shared" si="582"/>
        <v>37786.39936573794</v>
      </c>
      <c r="AG416" s="497">
        <f t="shared" si="582"/>
        <v>37786.39936573794</v>
      </c>
      <c r="AH416" s="497">
        <f t="shared" si="582"/>
        <v>37786.39936573794</v>
      </c>
      <c r="AI416" s="497">
        <f t="shared" si="582"/>
        <v>37786.39936573794</v>
      </c>
      <c r="AJ416" s="497">
        <f t="shared" si="582"/>
        <v>37786.39936573794</v>
      </c>
      <c r="AK416" s="497">
        <f t="shared" si="582"/>
        <v>37786.39936573794</v>
      </c>
      <c r="AL416" s="497">
        <f t="shared" si="582"/>
        <v>37786.39936573794</v>
      </c>
      <c r="AM416" s="497">
        <f t="shared" si="582"/>
        <v>37786.39936573794</v>
      </c>
      <c r="AN416" s="527">
        <f t="shared" si="582"/>
        <v>37786.39936573794</v>
      </c>
      <c r="AO416" s="527">
        <f t="shared" si="582"/>
        <v>37786.39936573794</v>
      </c>
      <c r="AP416" s="527">
        <f t="shared" si="582"/>
        <v>39196.811125947788</v>
      </c>
      <c r="AQ416" s="527">
        <f t="shared" si="582"/>
        <v>39196.811125947788</v>
      </c>
      <c r="AR416" s="527">
        <f t="shared" si="582"/>
        <v>39196.811125947788</v>
      </c>
      <c r="AS416" s="527">
        <f t="shared" si="582"/>
        <v>39196.811125947788</v>
      </c>
      <c r="AT416" s="527">
        <f t="shared" si="582"/>
        <v>39196.811125947788</v>
      </c>
      <c r="AU416" s="527">
        <f t="shared" si="582"/>
        <v>39196.811125947788</v>
      </c>
      <c r="AV416" s="527">
        <f t="shared" si="582"/>
        <v>39196.811125947788</v>
      </c>
      <c r="AW416" s="527">
        <f t="shared" si="582"/>
        <v>39196.811125947788</v>
      </c>
      <c r="AX416" s="527">
        <f t="shared" ref="AX416:BY416" si="583">AX250+AX258+AX266+AX274+AX294+AX302+AX310+AX318+AX342+AX350+AX362+AX370+AX378+AX386+AX398+AX406</f>
        <v>39196.811125947788</v>
      </c>
      <c r="AY416" s="527">
        <f t="shared" si="583"/>
        <v>39196.811125947788</v>
      </c>
      <c r="AZ416" s="527">
        <f t="shared" si="583"/>
        <v>39196.811125947788</v>
      </c>
      <c r="BA416" s="527">
        <f t="shared" si="583"/>
        <v>39196.811125947788</v>
      </c>
      <c r="BB416" s="527">
        <f t="shared" si="583"/>
        <v>40564.592998265929</v>
      </c>
      <c r="BC416" s="527">
        <f t="shared" si="583"/>
        <v>40564.592998265929</v>
      </c>
      <c r="BD416" s="527">
        <f t="shared" si="583"/>
        <v>40564.592998265929</v>
      </c>
      <c r="BE416" s="527">
        <f t="shared" si="583"/>
        <v>40564.592998265929</v>
      </c>
      <c r="BF416" s="527">
        <f t="shared" si="583"/>
        <v>40564.592998265929</v>
      </c>
      <c r="BG416" s="527">
        <f t="shared" si="583"/>
        <v>40564.592998265929</v>
      </c>
      <c r="BH416" s="527">
        <f t="shared" si="583"/>
        <v>40564.592998265929</v>
      </c>
      <c r="BI416" s="527">
        <f t="shared" si="583"/>
        <v>40564.592998265929</v>
      </c>
      <c r="BJ416" s="527">
        <f t="shared" si="583"/>
        <v>40564.592998265929</v>
      </c>
      <c r="BK416" s="527">
        <f t="shared" si="583"/>
        <v>40564.592998265929</v>
      </c>
      <c r="BL416" s="527">
        <f t="shared" si="583"/>
        <v>40564.592998265929</v>
      </c>
      <c r="BM416" s="527">
        <f t="shared" si="583"/>
        <v>40564.592998265929</v>
      </c>
      <c r="BN416" s="527">
        <f t="shared" si="583"/>
        <v>41960.032127314233</v>
      </c>
      <c r="BO416" s="527">
        <f t="shared" si="583"/>
        <v>41960.032127314233</v>
      </c>
      <c r="BP416" s="527">
        <f t="shared" si="583"/>
        <v>41960.032127314233</v>
      </c>
      <c r="BQ416" s="527">
        <f t="shared" si="583"/>
        <v>41960.032127314233</v>
      </c>
      <c r="BR416" s="527">
        <f t="shared" si="583"/>
        <v>41960.032127314233</v>
      </c>
      <c r="BS416" s="527">
        <f t="shared" si="583"/>
        <v>41960.032127314233</v>
      </c>
      <c r="BT416" s="527">
        <f t="shared" si="583"/>
        <v>50215.089092297443</v>
      </c>
      <c r="BU416" s="527">
        <f t="shared" si="583"/>
        <v>50215.089092297443</v>
      </c>
      <c r="BV416" s="527">
        <f t="shared" si="583"/>
        <v>50215.089092297443</v>
      </c>
      <c r="BW416" s="527">
        <f t="shared" si="583"/>
        <v>50215.089092297443</v>
      </c>
      <c r="BX416" s="527">
        <f t="shared" si="583"/>
        <v>50215.089092297443</v>
      </c>
      <c r="BY416" s="527">
        <f t="shared" si="583"/>
        <v>50215.089092297443</v>
      </c>
    </row>
    <row r="417" spans="3:77" x14ac:dyDescent="0.3">
      <c r="C417" s="2"/>
      <c r="D417" s="2"/>
      <c r="E417" s="137" t="str">
        <f>"Implied EBITDA: "&amp;E$160</f>
        <v>Implied EBITDA: Uninvested Tranche</v>
      </c>
      <c r="F417" s="2"/>
      <c r="G417" s="2"/>
      <c r="H417" s="2"/>
      <c r="I417" s="2"/>
      <c r="J417" s="2"/>
      <c r="K417" s="2"/>
      <c r="L417" s="2"/>
      <c r="M417" s="2"/>
      <c r="N417" s="2"/>
      <c r="O417" s="2"/>
      <c r="P417" s="10"/>
      <c r="Q417" s="2"/>
      <c r="R417" s="497">
        <f t="shared" ref="R417:AW417" si="584">R251+R259+R267+R275+R295+R303+R311+R319+R343+R351+R363+R371+R379+R387+R399+R407</f>
        <v>101822.24228909562</v>
      </c>
      <c r="S417" s="497">
        <f t="shared" si="584"/>
        <v>101822.24228909562</v>
      </c>
      <c r="T417" s="497">
        <f t="shared" si="584"/>
        <v>101822.24228909562</v>
      </c>
      <c r="U417" s="497">
        <f t="shared" si="584"/>
        <v>101822.24228909562</v>
      </c>
      <c r="V417" s="497">
        <f t="shared" si="584"/>
        <v>101822.24228909562</v>
      </c>
      <c r="W417" s="497">
        <f t="shared" si="584"/>
        <v>101822.24228909562</v>
      </c>
      <c r="X417" s="497">
        <f t="shared" si="584"/>
        <v>101822.24228909562</v>
      </c>
      <c r="Y417" s="497">
        <f t="shared" si="584"/>
        <v>101822.24228909562</v>
      </c>
      <c r="Z417" s="497">
        <f t="shared" si="584"/>
        <v>101822.24228909562</v>
      </c>
      <c r="AA417" s="497">
        <f t="shared" si="584"/>
        <v>101822.24228909562</v>
      </c>
      <c r="AB417" s="497">
        <f t="shared" si="584"/>
        <v>101822.24228909562</v>
      </c>
      <c r="AC417" s="497">
        <f t="shared" si="584"/>
        <v>101822.24228909562</v>
      </c>
      <c r="AD417" s="497">
        <f t="shared" si="584"/>
        <v>105801.91822406626</v>
      </c>
      <c r="AE417" s="497">
        <f t="shared" si="584"/>
        <v>105801.91822406626</v>
      </c>
      <c r="AF417" s="497">
        <f t="shared" si="584"/>
        <v>105801.91822406626</v>
      </c>
      <c r="AG417" s="497">
        <f t="shared" si="584"/>
        <v>105801.91822406626</v>
      </c>
      <c r="AH417" s="497">
        <f t="shared" si="584"/>
        <v>105801.91822406626</v>
      </c>
      <c r="AI417" s="497">
        <f t="shared" si="584"/>
        <v>105801.91822406626</v>
      </c>
      <c r="AJ417" s="497">
        <f t="shared" si="584"/>
        <v>105801.91822406626</v>
      </c>
      <c r="AK417" s="497">
        <f t="shared" si="584"/>
        <v>105801.91822406626</v>
      </c>
      <c r="AL417" s="497">
        <f t="shared" si="584"/>
        <v>105801.91822406626</v>
      </c>
      <c r="AM417" s="497">
        <f t="shared" si="584"/>
        <v>105801.91822406626</v>
      </c>
      <c r="AN417" s="527">
        <f t="shared" si="584"/>
        <v>105801.91822406626</v>
      </c>
      <c r="AO417" s="527">
        <f t="shared" si="584"/>
        <v>105801.91822406626</v>
      </c>
      <c r="AP417" s="527">
        <f t="shared" si="584"/>
        <v>109751.07115265381</v>
      </c>
      <c r="AQ417" s="527">
        <f t="shared" si="584"/>
        <v>109751.07115265381</v>
      </c>
      <c r="AR417" s="527">
        <f t="shared" si="584"/>
        <v>109751.07115265381</v>
      </c>
      <c r="AS417" s="527">
        <f t="shared" si="584"/>
        <v>109751.07115265381</v>
      </c>
      <c r="AT417" s="527">
        <f t="shared" si="584"/>
        <v>109751.07115265381</v>
      </c>
      <c r="AU417" s="527">
        <f t="shared" si="584"/>
        <v>109751.07115265381</v>
      </c>
      <c r="AV417" s="527">
        <f t="shared" si="584"/>
        <v>109751.07115265381</v>
      </c>
      <c r="AW417" s="527">
        <f t="shared" si="584"/>
        <v>109751.07115265381</v>
      </c>
      <c r="AX417" s="527">
        <f t="shared" ref="AX417:BY417" si="585">AX251+AX259+AX267+AX275+AX295+AX303+AX311+AX319+AX343+AX351+AX363+AX371+AX379+AX387+AX399+AX407</f>
        <v>109751.07115265381</v>
      </c>
      <c r="AY417" s="527">
        <f t="shared" si="585"/>
        <v>109751.07115265381</v>
      </c>
      <c r="AZ417" s="527">
        <f t="shared" si="585"/>
        <v>109751.07115265381</v>
      </c>
      <c r="BA417" s="527">
        <f t="shared" si="585"/>
        <v>109751.07115265381</v>
      </c>
      <c r="BB417" s="527">
        <f t="shared" si="585"/>
        <v>113580.86039514458</v>
      </c>
      <c r="BC417" s="527">
        <f t="shared" si="585"/>
        <v>113580.86039514458</v>
      </c>
      <c r="BD417" s="527">
        <f t="shared" si="585"/>
        <v>113580.86039514458</v>
      </c>
      <c r="BE417" s="527">
        <f t="shared" si="585"/>
        <v>113580.86039514458</v>
      </c>
      <c r="BF417" s="527">
        <f t="shared" si="585"/>
        <v>113580.86039514458</v>
      </c>
      <c r="BG417" s="527">
        <f t="shared" si="585"/>
        <v>113580.86039514458</v>
      </c>
      <c r="BH417" s="527">
        <f t="shared" si="585"/>
        <v>113580.86039514458</v>
      </c>
      <c r="BI417" s="527">
        <f t="shared" si="585"/>
        <v>113580.86039514458</v>
      </c>
      <c r="BJ417" s="527">
        <f t="shared" si="585"/>
        <v>113580.86039514458</v>
      </c>
      <c r="BK417" s="527">
        <f t="shared" si="585"/>
        <v>113580.86039514458</v>
      </c>
      <c r="BL417" s="527">
        <f t="shared" si="585"/>
        <v>113580.86039514458</v>
      </c>
      <c r="BM417" s="527">
        <f t="shared" si="585"/>
        <v>113580.86039514458</v>
      </c>
      <c r="BN417" s="527">
        <f t="shared" si="585"/>
        <v>117488.08995647986</v>
      </c>
      <c r="BO417" s="527">
        <f t="shared" si="585"/>
        <v>117488.08995647986</v>
      </c>
      <c r="BP417" s="527">
        <f t="shared" si="585"/>
        <v>117488.08995647986</v>
      </c>
      <c r="BQ417" s="527">
        <f t="shared" si="585"/>
        <v>117488.08995647986</v>
      </c>
      <c r="BR417" s="527">
        <f t="shared" si="585"/>
        <v>117488.08995647986</v>
      </c>
      <c r="BS417" s="527">
        <f t="shared" si="585"/>
        <v>117488.08995647986</v>
      </c>
      <c r="BT417" s="527">
        <f t="shared" si="585"/>
        <v>117488.08995647986</v>
      </c>
      <c r="BU417" s="527">
        <f t="shared" si="585"/>
        <v>117488.08995647986</v>
      </c>
      <c r="BV417" s="527">
        <f t="shared" si="585"/>
        <v>117488.08995647986</v>
      </c>
      <c r="BW417" s="527">
        <f t="shared" si="585"/>
        <v>117488.08995647986</v>
      </c>
      <c r="BX417" s="527">
        <f t="shared" si="585"/>
        <v>117488.08995647986</v>
      </c>
      <c r="BY417" s="527">
        <f t="shared" si="585"/>
        <v>117488.08995647986</v>
      </c>
    </row>
    <row r="418" spans="3:77" x14ac:dyDescent="0.3">
      <c r="C418" s="2"/>
      <c r="D418" s="2"/>
      <c r="E418" s="4" t="s">
        <v>36</v>
      </c>
      <c r="F418" s="4"/>
      <c r="G418" s="4"/>
      <c r="H418" s="4"/>
      <c r="I418" s="4"/>
      <c r="J418" s="4"/>
      <c r="K418" s="4"/>
      <c r="L418" s="4"/>
      <c r="M418" s="4"/>
      <c r="N418" s="4"/>
      <c r="O418" s="4"/>
      <c r="P418" s="106"/>
      <c r="Q418" s="4"/>
      <c r="R418" s="498">
        <f t="shared" ref="R418:AW418" si="586">SUM(R412:R417)</f>
        <v>283647.67494819488</v>
      </c>
      <c r="S418" s="498">
        <f t="shared" si="586"/>
        <v>283647.67494819488</v>
      </c>
      <c r="T418" s="498">
        <f t="shared" si="586"/>
        <v>283647.67494819488</v>
      </c>
      <c r="U418" s="498">
        <f t="shared" si="586"/>
        <v>283647.67494819488</v>
      </c>
      <c r="V418" s="498">
        <f t="shared" si="586"/>
        <v>283647.67494819488</v>
      </c>
      <c r="W418" s="498">
        <f t="shared" si="586"/>
        <v>283647.67494819488</v>
      </c>
      <c r="X418" s="498">
        <f t="shared" si="586"/>
        <v>291224.24092191458</v>
      </c>
      <c r="Y418" s="498">
        <f t="shared" si="586"/>
        <v>291224.24092191458</v>
      </c>
      <c r="Z418" s="498">
        <f t="shared" si="586"/>
        <v>291224.24092191458</v>
      </c>
      <c r="AA418" s="498">
        <f t="shared" si="586"/>
        <v>291224.24092191458</v>
      </c>
      <c r="AB418" s="498">
        <f t="shared" si="586"/>
        <v>291224.24092191458</v>
      </c>
      <c r="AC418" s="498">
        <f t="shared" si="586"/>
        <v>291224.24092191458</v>
      </c>
      <c r="AD418" s="498">
        <f t="shared" si="586"/>
        <v>300889.16819255752</v>
      </c>
      <c r="AE418" s="498">
        <f t="shared" si="586"/>
        <v>300889.16819255752</v>
      </c>
      <c r="AF418" s="498">
        <f t="shared" si="586"/>
        <v>300889.16819255752</v>
      </c>
      <c r="AG418" s="498">
        <f t="shared" si="586"/>
        <v>300889.16819255752</v>
      </c>
      <c r="AH418" s="498">
        <f t="shared" si="586"/>
        <v>300889.16819255752</v>
      </c>
      <c r="AI418" s="498">
        <f t="shared" si="586"/>
        <v>300889.16819255752</v>
      </c>
      <c r="AJ418" s="498">
        <f t="shared" si="586"/>
        <v>310405.61516483745</v>
      </c>
      <c r="AK418" s="498">
        <f t="shared" si="586"/>
        <v>310405.61516483745</v>
      </c>
      <c r="AL418" s="498">
        <f t="shared" si="586"/>
        <v>310405.61516483745</v>
      </c>
      <c r="AM418" s="498">
        <f t="shared" si="586"/>
        <v>310405.61516483745</v>
      </c>
      <c r="AN418" s="530">
        <f t="shared" si="586"/>
        <v>310405.61516483745</v>
      </c>
      <c r="AO418" s="530">
        <f t="shared" si="586"/>
        <v>310405.61516483745</v>
      </c>
      <c r="AP418" s="530">
        <f t="shared" si="586"/>
        <v>318586.00337405456</v>
      </c>
      <c r="AQ418" s="530">
        <f t="shared" si="586"/>
        <v>318586.00337405456</v>
      </c>
      <c r="AR418" s="530">
        <f t="shared" si="586"/>
        <v>318586.00337405456</v>
      </c>
      <c r="AS418" s="530">
        <f t="shared" si="586"/>
        <v>318586.00337405456</v>
      </c>
      <c r="AT418" s="530">
        <f t="shared" si="586"/>
        <v>318586.00337405456</v>
      </c>
      <c r="AU418" s="530">
        <f t="shared" si="586"/>
        <v>318586.00337405456</v>
      </c>
      <c r="AV418" s="530">
        <f t="shared" si="586"/>
        <v>330168.78311112395</v>
      </c>
      <c r="AW418" s="530">
        <f t="shared" si="586"/>
        <v>330168.78311112395</v>
      </c>
      <c r="AX418" s="530">
        <f t="shared" ref="AX418:BY418" si="587">SUM(AX412:AX417)</f>
        <v>330168.78311112395</v>
      </c>
      <c r="AY418" s="530">
        <f t="shared" si="587"/>
        <v>330168.78311112395</v>
      </c>
      <c r="AZ418" s="530">
        <f t="shared" si="587"/>
        <v>330168.78311112395</v>
      </c>
      <c r="BA418" s="530">
        <f t="shared" si="587"/>
        <v>330168.78311112395</v>
      </c>
      <c r="BB418" s="530">
        <f t="shared" si="587"/>
        <v>336734.13609825098</v>
      </c>
      <c r="BC418" s="530">
        <f t="shared" si="587"/>
        <v>336734.13609825098</v>
      </c>
      <c r="BD418" s="530">
        <f t="shared" si="587"/>
        <v>336734.13609825098</v>
      </c>
      <c r="BE418" s="530">
        <f t="shared" si="587"/>
        <v>336734.13609825098</v>
      </c>
      <c r="BF418" s="530">
        <f t="shared" si="587"/>
        <v>336734.13609825098</v>
      </c>
      <c r="BG418" s="530">
        <f t="shared" si="587"/>
        <v>336734.13609825098</v>
      </c>
      <c r="BH418" s="530">
        <f t="shared" si="587"/>
        <v>350512.13509434491</v>
      </c>
      <c r="BI418" s="530">
        <f t="shared" si="587"/>
        <v>350512.13509434491</v>
      </c>
      <c r="BJ418" s="530">
        <f t="shared" si="587"/>
        <v>350512.13509434491</v>
      </c>
      <c r="BK418" s="530">
        <f t="shared" si="587"/>
        <v>350512.13509434491</v>
      </c>
      <c r="BL418" s="530">
        <f t="shared" si="587"/>
        <v>350512.13509434491</v>
      </c>
      <c r="BM418" s="530">
        <f t="shared" si="587"/>
        <v>350512.13509434491</v>
      </c>
      <c r="BN418" s="530">
        <f t="shared" si="587"/>
        <v>355814.8037847284</v>
      </c>
      <c r="BO418" s="530">
        <f t="shared" si="587"/>
        <v>355814.8037847284</v>
      </c>
      <c r="BP418" s="530">
        <f t="shared" si="587"/>
        <v>355814.8037847284</v>
      </c>
      <c r="BQ418" s="530">
        <f t="shared" si="587"/>
        <v>355814.8037847284</v>
      </c>
      <c r="BR418" s="530">
        <f t="shared" si="587"/>
        <v>355814.8037847284</v>
      </c>
      <c r="BS418" s="530">
        <f t="shared" si="587"/>
        <v>355814.8037847284</v>
      </c>
      <c r="BT418" s="530">
        <f t="shared" si="587"/>
        <v>371924.52801774902</v>
      </c>
      <c r="BU418" s="530">
        <f t="shared" si="587"/>
        <v>371924.52801774902</v>
      </c>
      <c r="BV418" s="530">
        <f t="shared" si="587"/>
        <v>371924.52801774902</v>
      </c>
      <c r="BW418" s="530">
        <f t="shared" si="587"/>
        <v>371924.52801774902</v>
      </c>
      <c r="BX418" s="530">
        <f t="shared" si="587"/>
        <v>371924.52801774902</v>
      </c>
      <c r="BY418" s="530">
        <f t="shared" si="587"/>
        <v>371924.52801774902</v>
      </c>
    </row>
    <row r="419" spans="3:77" x14ac:dyDescent="0.3">
      <c r="C419" s="2"/>
      <c r="D419" s="2"/>
      <c r="E419" s="2"/>
      <c r="F419" s="2"/>
      <c r="G419" s="2"/>
      <c r="H419" s="2"/>
      <c r="I419" s="2"/>
      <c r="J419" s="2"/>
      <c r="K419" s="2"/>
      <c r="L419" s="2"/>
      <c r="M419" s="2"/>
      <c r="N419" s="2"/>
      <c r="O419" s="2"/>
      <c r="P419" s="10"/>
      <c r="Q419" s="2"/>
      <c r="R419" s="2"/>
      <c r="S419" s="2"/>
      <c r="T419" s="2"/>
      <c r="U419" s="2"/>
      <c r="V419" s="2"/>
      <c r="W419" s="2"/>
      <c r="X419" s="2"/>
      <c r="Y419" s="2"/>
      <c r="Z419" s="2"/>
      <c r="AA419" s="2"/>
      <c r="AB419" s="2"/>
      <c r="AC419" s="2"/>
      <c r="AD419" s="2"/>
      <c r="AE419" s="2"/>
      <c r="AF419" s="2"/>
      <c r="AG419" s="2"/>
      <c r="AH419" s="2"/>
      <c r="AI419" s="2"/>
      <c r="AJ419" s="2"/>
      <c r="AK419" s="2"/>
      <c r="AL419" s="2"/>
      <c r="AM419" s="2"/>
      <c r="AN419" s="525"/>
      <c r="AO419" s="525"/>
      <c r="AP419" s="525"/>
      <c r="AQ419" s="525"/>
      <c r="AR419" s="525"/>
      <c r="AS419" s="525"/>
      <c r="AT419" s="525"/>
      <c r="AU419" s="525"/>
      <c r="AV419" s="525"/>
      <c r="AW419" s="525"/>
      <c r="AX419" s="525"/>
      <c r="AY419" s="525"/>
      <c r="AZ419" s="525"/>
      <c r="BA419" s="525"/>
      <c r="BB419" s="525"/>
      <c r="BC419" s="525"/>
      <c r="BD419" s="525"/>
      <c r="BE419" s="525"/>
      <c r="BF419" s="525"/>
      <c r="BG419" s="525"/>
      <c r="BH419" s="525"/>
      <c r="BI419" s="525"/>
      <c r="BJ419" s="525"/>
      <c r="BK419" s="525"/>
      <c r="BL419" s="525"/>
      <c r="BM419" s="525"/>
      <c r="BN419" s="525"/>
      <c r="BO419" s="525"/>
      <c r="BP419" s="525"/>
      <c r="BQ419" s="525"/>
      <c r="BR419" s="525"/>
      <c r="BS419" s="525"/>
      <c r="BT419" s="525"/>
      <c r="BU419" s="525"/>
      <c r="BV419" s="525"/>
      <c r="BW419" s="525"/>
      <c r="BX419" s="525"/>
      <c r="BY419" s="525"/>
    </row>
    <row r="420" spans="3:77" x14ac:dyDescent="0.3">
      <c r="C420" s="2"/>
      <c r="D420" s="2"/>
      <c r="E420" s="138" t="str">
        <f>"EBITDA uplift: "&amp;E$155</f>
        <v>EBITDA uplift: FY27 Tranche</v>
      </c>
      <c r="F420" s="2"/>
      <c r="G420" s="2"/>
      <c r="H420" s="2"/>
      <c r="I420" s="2"/>
      <c r="J420" s="2"/>
      <c r="K420" s="2"/>
      <c r="L420" s="2"/>
      <c r="M420" s="2"/>
      <c r="N420" s="2"/>
      <c r="O420" s="2"/>
      <c r="P420" s="10"/>
      <c r="Q420" s="2"/>
      <c r="R420" s="520">
        <f t="shared" ref="R420:R425" si="588">IFERROR((INDEX(R412:BY412,MATCH(EOMONTH(V155,1),$R$4:$BY$4,0))/(INDEX(R412:BY412,MATCH(T155,$R$4:$BY$4,0))))-1,"n/a")</f>
        <v>0.20834725546686395</v>
      </c>
      <c r="S420" s="2"/>
      <c r="T420" s="2"/>
      <c r="U420" s="2"/>
      <c r="V420" s="2"/>
      <c r="W420" s="2"/>
      <c r="X420" s="2"/>
      <c r="Y420" s="2"/>
      <c r="Z420" s="2"/>
      <c r="AA420" s="2"/>
      <c r="AB420" s="2"/>
      <c r="AC420" s="2"/>
      <c r="AD420" s="2"/>
      <c r="AE420" s="2"/>
      <c r="AF420" s="2"/>
      <c r="AG420" s="2"/>
      <c r="AH420" s="2"/>
      <c r="AI420" s="2"/>
      <c r="AJ420" s="2"/>
      <c r="AK420" s="2"/>
      <c r="AL420" s="2"/>
      <c r="AM420" s="2"/>
      <c r="AN420" s="525"/>
      <c r="AO420" s="525"/>
      <c r="AP420" s="525"/>
      <c r="AQ420" s="525"/>
      <c r="AR420" s="525"/>
      <c r="AS420" s="525"/>
      <c r="AT420" s="525"/>
      <c r="AU420" s="525"/>
      <c r="AV420" s="525"/>
      <c r="AW420" s="525"/>
      <c r="AX420" s="525"/>
      <c r="AY420" s="525"/>
      <c r="AZ420" s="525"/>
      <c r="BA420" s="525"/>
      <c r="BB420" s="525"/>
      <c r="BC420" s="525"/>
      <c r="BD420" s="525"/>
      <c r="BE420" s="525"/>
      <c r="BF420" s="525"/>
      <c r="BG420" s="525"/>
      <c r="BH420" s="525"/>
      <c r="BI420" s="525"/>
      <c r="BJ420" s="525"/>
      <c r="BK420" s="525"/>
      <c r="BL420" s="525"/>
      <c r="BM420" s="525"/>
      <c r="BN420" s="525"/>
      <c r="BO420" s="525"/>
      <c r="BP420" s="525"/>
      <c r="BQ420" s="525"/>
      <c r="BR420" s="525"/>
      <c r="BS420" s="525"/>
      <c r="BT420" s="525"/>
      <c r="BU420" s="525"/>
      <c r="BV420" s="525"/>
      <c r="BW420" s="525"/>
      <c r="BX420" s="525"/>
      <c r="BY420" s="525"/>
    </row>
    <row r="421" spans="3:77" x14ac:dyDescent="0.3">
      <c r="C421" s="2"/>
      <c r="D421" s="2"/>
      <c r="E421" s="138" t="str">
        <f>"EBITDA uplift: "&amp;E$156</f>
        <v>EBITDA uplift: FY28 Tranche</v>
      </c>
      <c r="F421" s="2"/>
      <c r="G421" s="2"/>
      <c r="H421" s="2"/>
      <c r="I421" s="2"/>
      <c r="J421" s="2"/>
      <c r="K421" s="2"/>
      <c r="L421" s="2"/>
      <c r="M421" s="2"/>
      <c r="N421" s="2"/>
      <c r="O421" s="2"/>
      <c r="P421" s="10"/>
      <c r="Q421" s="2"/>
      <c r="R421" s="520">
        <f t="shared" si="588"/>
        <v>0.20533263296564486</v>
      </c>
      <c r="S421" s="2"/>
      <c r="T421" s="2"/>
      <c r="U421" s="2"/>
      <c r="V421" s="2"/>
      <c r="W421" s="2"/>
      <c r="X421" s="2"/>
      <c r="Y421" s="2"/>
      <c r="Z421" s="2"/>
      <c r="AA421" s="2"/>
      <c r="AB421" s="2"/>
      <c r="AC421" s="2"/>
      <c r="AD421" s="2"/>
      <c r="AE421" s="2"/>
      <c r="AF421" s="2"/>
      <c r="AG421" s="2"/>
      <c r="AH421" s="2"/>
      <c r="AI421" s="2"/>
      <c r="AJ421" s="2"/>
      <c r="AK421" s="2"/>
      <c r="AL421" s="2"/>
      <c r="AM421" s="2"/>
      <c r="AN421" s="525"/>
      <c r="AO421" s="525"/>
      <c r="AP421" s="525"/>
      <c r="AQ421" s="525"/>
      <c r="AR421" s="525"/>
      <c r="AS421" s="525"/>
      <c r="AT421" s="525"/>
      <c r="AU421" s="525"/>
      <c r="AV421" s="525"/>
      <c r="AW421" s="525"/>
      <c r="AX421" s="525"/>
      <c r="AY421" s="525"/>
      <c r="AZ421" s="525"/>
      <c r="BA421" s="525"/>
      <c r="BB421" s="525"/>
      <c r="BC421" s="525"/>
      <c r="BD421" s="525"/>
      <c r="BE421" s="525"/>
      <c r="BF421" s="525"/>
      <c r="BG421" s="525"/>
      <c r="BH421" s="525"/>
      <c r="BI421" s="525"/>
      <c r="BJ421" s="525"/>
      <c r="BK421" s="525"/>
      <c r="BL421" s="525"/>
      <c r="BM421" s="525"/>
      <c r="BN421" s="525"/>
      <c r="BO421" s="525"/>
      <c r="BP421" s="525"/>
      <c r="BQ421" s="525"/>
      <c r="BR421" s="525"/>
      <c r="BS421" s="525"/>
      <c r="BT421" s="525"/>
      <c r="BU421" s="525"/>
      <c r="BV421" s="525"/>
      <c r="BW421" s="525"/>
      <c r="BX421" s="525"/>
      <c r="BY421" s="525"/>
    </row>
    <row r="422" spans="3:77" x14ac:dyDescent="0.3">
      <c r="C422" s="2"/>
      <c r="D422" s="2"/>
      <c r="E422" s="138" t="str">
        <f>"EBITDA uplift: "&amp;E$157</f>
        <v>EBITDA uplift: FY29 Tranche</v>
      </c>
      <c r="F422" s="2"/>
      <c r="G422" s="2"/>
      <c r="H422" s="2"/>
      <c r="I422" s="2"/>
      <c r="J422" s="2"/>
      <c r="K422" s="2"/>
      <c r="L422" s="2"/>
      <c r="M422" s="2"/>
      <c r="N422" s="2"/>
      <c r="O422" s="2"/>
      <c r="P422" s="10"/>
      <c r="Q422" s="2"/>
      <c r="R422" s="520">
        <f t="shared" si="588"/>
        <v>0.20238890755262195</v>
      </c>
      <c r="S422" s="2"/>
      <c r="T422" s="2"/>
      <c r="U422" s="2"/>
      <c r="V422" s="2"/>
      <c r="W422" s="2"/>
      <c r="X422" s="2"/>
      <c r="Y422" s="2"/>
      <c r="Z422" s="2"/>
      <c r="AA422" s="2"/>
      <c r="AB422" s="2"/>
      <c r="AC422" s="2"/>
      <c r="AD422" s="2"/>
      <c r="AE422" s="2"/>
      <c r="AF422" s="2"/>
      <c r="AG422" s="2"/>
      <c r="AH422" s="2"/>
      <c r="AI422" s="2"/>
      <c r="AJ422" s="2"/>
      <c r="AK422" s="2"/>
      <c r="AL422" s="2"/>
      <c r="AM422" s="2"/>
      <c r="AN422" s="525"/>
      <c r="AO422" s="525"/>
      <c r="AP422" s="525"/>
      <c r="AQ422" s="525"/>
      <c r="AR422" s="525"/>
      <c r="AS422" s="525"/>
      <c r="AT422" s="525"/>
      <c r="AU422" s="525"/>
      <c r="AV422" s="525"/>
      <c r="AW422" s="525"/>
      <c r="AX422" s="525"/>
      <c r="AY422" s="525"/>
      <c r="AZ422" s="525"/>
      <c r="BA422" s="525"/>
      <c r="BB422" s="525"/>
      <c r="BC422" s="525"/>
      <c r="BD422" s="525"/>
      <c r="BE422" s="525"/>
      <c r="BF422" s="525"/>
      <c r="BG422" s="525"/>
      <c r="BH422" s="525"/>
      <c r="BI422" s="525"/>
      <c r="BJ422" s="525"/>
      <c r="BK422" s="525"/>
      <c r="BL422" s="525"/>
      <c r="BM422" s="525"/>
      <c r="BN422" s="525"/>
      <c r="BO422" s="525"/>
      <c r="BP422" s="525"/>
      <c r="BQ422" s="525"/>
      <c r="BR422" s="525"/>
      <c r="BS422" s="525"/>
      <c r="BT422" s="525"/>
      <c r="BU422" s="525"/>
      <c r="BV422" s="525"/>
      <c r="BW422" s="525"/>
      <c r="BX422" s="525"/>
      <c r="BY422" s="525"/>
    </row>
    <row r="423" spans="3:77" x14ac:dyDescent="0.3">
      <c r="C423" s="2"/>
      <c r="D423" s="2"/>
      <c r="E423" s="138" t="str">
        <f>"EBITDA uplift: "&amp;E$158</f>
        <v>EBITDA uplift: FY30 Tranche</v>
      </c>
      <c r="F423" s="2"/>
      <c r="G423" s="2"/>
      <c r="H423" s="2"/>
      <c r="I423" s="2"/>
      <c r="J423" s="2"/>
      <c r="K423" s="2"/>
      <c r="L423" s="2"/>
      <c r="M423" s="2"/>
      <c r="N423" s="2"/>
      <c r="O423" s="2"/>
      <c r="P423" s="10"/>
      <c r="Q423" s="2"/>
      <c r="R423" s="520">
        <f t="shared" si="588"/>
        <v>0.19960844690780144</v>
      </c>
      <c r="S423" s="2"/>
      <c r="T423" s="2"/>
      <c r="U423" s="2"/>
      <c r="V423" s="2"/>
      <c r="W423" s="2"/>
      <c r="X423" s="2"/>
      <c r="Y423" s="2"/>
      <c r="Z423" s="2"/>
      <c r="AA423" s="2"/>
      <c r="AB423" s="2"/>
      <c r="AC423" s="2"/>
      <c r="AD423" s="2"/>
      <c r="AE423" s="2"/>
      <c r="AF423" s="2"/>
      <c r="AG423" s="2"/>
      <c r="AH423" s="2"/>
      <c r="AI423" s="2"/>
      <c r="AJ423" s="2"/>
      <c r="AK423" s="2"/>
      <c r="AL423" s="2"/>
      <c r="AM423" s="2"/>
      <c r="AN423" s="525"/>
      <c r="AO423" s="525"/>
      <c r="AP423" s="525"/>
      <c r="AQ423" s="525"/>
      <c r="AR423" s="525"/>
      <c r="AS423" s="525"/>
      <c r="AT423" s="525"/>
      <c r="AU423" s="525"/>
      <c r="AV423" s="525"/>
      <c r="AW423" s="525"/>
      <c r="AX423" s="525"/>
      <c r="AY423" s="525"/>
      <c r="AZ423" s="525"/>
      <c r="BA423" s="525"/>
      <c r="BB423" s="525"/>
      <c r="BC423" s="525"/>
      <c r="BD423" s="525"/>
      <c r="BE423" s="525"/>
      <c r="BF423" s="525"/>
      <c r="BG423" s="525"/>
      <c r="BH423" s="525"/>
      <c r="BI423" s="525"/>
      <c r="BJ423" s="525"/>
      <c r="BK423" s="525"/>
      <c r="BL423" s="525"/>
      <c r="BM423" s="525"/>
      <c r="BN423" s="525"/>
      <c r="BO423" s="525"/>
      <c r="BP423" s="525"/>
      <c r="BQ423" s="525"/>
      <c r="BR423" s="525"/>
      <c r="BS423" s="525"/>
      <c r="BT423" s="525"/>
      <c r="BU423" s="525"/>
      <c r="BV423" s="525"/>
      <c r="BW423" s="525"/>
      <c r="BX423" s="525"/>
      <c r="BY423" s="525"/>
    </row>
    <row r="424" spans="3:77" x14ac:dyDescent="0.3">
      <c r="C424" s="2"/>
      <c r="D424" s="2"/>
      <c r="E424" s="138" t="str">
        <f>"EBITDA uplift: "&amp;E$159</f>
        <v>EBITDA uplift: FY31 Tranche</v>
      </c>
      <c r="F424" s="2"/>
      <c r="G424" s="2"/>
      <c r="H424" s="2"/>
      <c r="I424" s="2"/>
      <c r="J424" s="2"/>
      <c r="K424" s="2"/>
      <c r="L424" s="2"/>
      <c r="M424" s="2"/>
      <c r="N424" s="2"/>
      <c r="O424" s="2"/>
      <c r="P424" s="10"/>
      <c r="Q424" s="2"/>
      <c r="R424" s="520">
        <f t="shared" si="588"/>
        <v>0.19673619266867792</v>
      </c>
      <c r="S424" s="2"/>
      <c r="T424" s="2"/>
      <c r="U424" s="2"/>
      <c r="V424" s="2"/>
      <c r="W424" s="2"/>
      <c r="X424" s="2"/>
      <c r="Y424" s="2"/>
      <c r="Z424" s="2"/>
      <c r="AA424" s="2"/>
      <c r="AB424" s="2"/>
      <c r="AC424" s="2"/>
      <c r="AD424" s="2"/>
      <c r="AE424" s="2"/>
      <c r="AF424" s="2"/>
      <c r="AG424" s="2"/>
      <c r="AH424" s="2"/>
      <c r="AI424" s="2"/>
      <c r="AJ424" s="2"/>
      <c r="AK424" s="2"/>
      <c r="AL424" s="2"/>
      <c r="AM424" s="2"/>
      <c r="AN424" s="525"/>
      <c r="AO424" s="525"/>
      <c r="AP424" s="525"/>
      <c r="AQ424" s="525"/>
      <c r="AR424" s="525"/>
      <c r="AS424" s="525"/>
      <c r="AT424" s="525"/>
      <c r="AU424" s="525"/>
      <c r="AV424" s="525"/>
      <c r="AW424" s="525"/>
      <c r="AX424" s="525"/>
      <c r="AY424" s="525"/>
      <c r="AZ424" s="525"/>
      <c r="BA424" s="525"/>
      <c r="BB424" s="525"/>
      <c r="BC424" s="525"/>
      <c r="BD424" s="525"/>
      <c r="BE424" s="525"/>
      <c r="BF424" s="525"/>
      <c r="BG424" s="525"/>
      <c r="BH424" s="525"/>
      <c r="BI424" s="525"/>
      <c r="BJ424" s="525"/>
      <c r="BK424" s="525"/>
      <c r="BL424" s="525"/>
      <c r="BM424" s="525"/>
      <c r="BN424" s="525"/>
      <c r="BO424" s="525"/>
      <c r="BP424" s="525"/>
      <c r="BQ424" s="525"/>
      <c r="BR424" s="525"/>
      <c r="BS424" s="525"/>
      <c r="BT424" s="525"/>
      <c r="BU424" s="525"/>
      <c r="BV424" s="525"/>
      <c r="BW424" s="525"/>
      <c r="BX424" s="525"/>
      <c r="BY424" s="525"/>
    </row>
    <row r="425" spans="3:77" x14ac:dyDescent="0.3">
      <c r="C425" s="2"/>
      <c r="D425" s="2"/>
      <c r="E425" s="138" t="str">
        <f>"EBITDA uplift: "&amp;E$160</f>
        <v>EBITDA uplift: Uninvested Tranche</v>
      </c>
      <c r="F425" s="2"/>
      <c r="G425" s="2"/>
      <c r="H425" s="2"/>
      <c r="I425" s="2"/>
      <c r="J425" s="2"/>
      <c r="K425" s="2"/>
      <c r="L425" s="2"/>
      <c r="M425" s="2"/>
      <c r="N425" s="2"/>
      <c r="O425" s="2"/>
      <c r="P425" s="10"/>
      <c r="Q425" s="2"/>
      <c r="R425" s="139" t="str">
        <f t="shared" si="588"/>
        <v>n/a</v>
      </c>
      <c r="S425" s="2"/>
      <c r="T425" s="2"/>
      <c r="U425" s="2"/>
      <c r="V425" s="2"/>
      <c r="W425" s="2"/>
      <c r="X425" s="2"/>
      <c r="Y425" s="2"/>
      <c r="Z425" s="2"/>
      <c r="AA425" s="2"/>
      <c r="AB425" s="2"/>
      <c r="AC425" s="2"/>
      <c r="AD425" s="2"/>
      <c r="AE425" s="2"/>
      <c r="AF425" s="2"/>
      <c r="AG425" s="2"/>
      <c r="AH425" s="2"/>
      <c r="AI425" s="2"/>
      <c r="AJ425" s="2"/>
      <c r="AK425" s="2"/>
      <c r="AL425" s="2"/>
      <c r="AM425" s="2"/>
      <c r="AN425" s="525"/>
      <c r="AO425" s="525"/>
      <c r="AP425" s="525"/>
      <c r="AQ425" s="525"/>
      <c r="AR425" s="525"/>
      <c r="AS425" s="525"/>
      <c r="AT425" s="525"/>
      <c r="AU425" s="525"/>
      <c r="AV425" s="525"/>
      <c r="AW425" s="525"/>
      <c r="AX425" s="525"/>
      <c r="AY425" s="525"/>
      <c r="AZ425" s="525"/>
      <c r="BA425" s="525"/>
      <c r="BB425" s="525"/>
      <c r="BC425" s="525"/>
      <c r="BD425" s="525"/>
      <c r="BE425" s="525"/>
      <c r="BF425" s="525"/>
      <c r="BG425" s="525"/>
      <c r="BH425" s="525"/>
      <c r="BI425" s="525"/>
      <c r="BJ425" s="525"/>
      <c r="BK425" s="525"/>
      <c r="BL425" s="525"/>
      <c r="BM425" s="525"/>
      <c r="BN425" s="525"/>
      <c r="BO425" s="525"/>
      <c r="BP425" s="525"/>
      <c r="BQ425" s="525"/>
      <c r="BR425" s="525"/>
      <c r="BS425" s="525"/>
      <c r="BT425" s="525"/>
      <c r="BU425" s="525"/>
      <c r="BV425" s="525"/>
      <c r="BW425" s="525"/>
      <c r="BX425" s="525"/>
      <c r="BY425" s="525"/>
    </row>
    <row r="426" spans="3:77" x14ac:dyDescent="0.3">
      <c r="C426" s="2"/>
      <c r="D426" s="2"/>
      <c r="E426" s="2"/>
      <c r="F426" s="2"/>
      <c r="G426" s="2"/>
      <c r="H426" s="2"/>
      <c r="I426" s="2"/>
      <c r="J426" s="2"/>
      <c r="K426" s="2"/>
      <c r="L426" s="2"/>
      <c r="M426" s="2"/>
      <c r="N426" s="2"/>
      <c r="O426" s="2"/>
      <c r="P426" s="10"/>
      <c r="Q426" s="2"/>
      <c r="R426" s="2"/>
      <c r="S426" s="2"/>
      <c r="T426" s="2"/>
      <c r="U426" s="2"/>
      <c r="V426" s="2"/>
      <c r="W426" s="2"/>
      <c r="X426" s="2"/>
      <c r="Y426" s="2"/>
      <c r="Z426" s="2"/>
      <c r="AA426" s="2"/>
      <c r="AB426" s="2"/>
      <c r="AC426" s="2"/>
      <c r="AD426" s="2"/>
      <c r="AE426" s="2"/>
      <c r="AF426" s="2"/>
      <c r="AG426" s="2"/>
      <c r="AH426" s="2"/>
      <c r="AI426" s="2"/>
      <c r="AJ426" s="2"/>
      <c r="AK426" s="2"/>
      <c r="AL426" s="2"/>
      <c r="AM426" s="2"/>
      <c r="AN426" s="525"/>
      <c r="AO426" s="525"/>
      <c r="AP426" s="525"/>
      <c r="AQ426" s="525"/>
      <c r="AR426" s="525"/>
      <c r="AS426" s="525"/>
      <c r="AT426" s="525"/>
      <c r="AU426" s="525"/>
      <c r="AV426" s="525"/>
      <c r="AW426" s="525"/>
      <c r="AX426" s="525"/>
      <c r="AY426" s="525"/>
      <c r="AZ426" s="525"/>
      <c r="BA426" s="525"/>
      <c r="BB426" s="525"/>
      <c r="BC426" s="525"/>
      <c r="BD426" s="525"/>
      <c r="BE426" s="525"/>
      <c r="BF426" s="525"/>
      <c r="BG426" s="525"/>
      <c r="BH426" s="525"/>
      <c r="BI426" s="525"/>
      <c r="BJ426" s="525"/>
      <c r="BK426" s="525"/>
      <c r="BL426" s="525"/>
      <c r="BM426" s="525"/>
      <c r="BN426" s="525"/>
      <c r="BO426" s="525"/>
      <c r="BP426" s="525"/>
      <c r="BQ426" s="525"/>
      <c r="BR426" s="525"/>
      <c r="BS426" s="525"/>
      <c r="BT426" s="525"/>
      <c r="BU426" s="525"/>
      <c r="BV426" s="525"/>
      <c r="BW426" s="525"/>
      <c r="BX426" s="525"/>
      <c r="BY426" s="525"/>
    </row>
    <row r="427" spans="3:77" x14ac:dyDescent="0.3">
      <c r="C427" s="24" t="s">
        <v>37</v>
      </c>
      <c r="D427" s="2"/>
      <c r="E427" s="14" t="s">
        <v>111</v>
      </c>
      <c r="F427" s="14"/>
      <c r="G427" s="14"/>
      <c r="H427" s="14"/>
      <c r="I427" s="14"/>
      <c r="J427" s="14"/>
      <c r="K427" s="14"/>
      <c r="L427" s="14"/>
      <c r="M427" s="14"/>
      <c r="N427" s="14"/>
      <c r="O427" s="14"/>
      <c r="P427" s="24"/>
      <c r="Q427" s="14"/>
      <c r="R427" s="14"/>
      <c r="S427" s="14"/>
      <c r="T427" s="14"/>
      <c r="U427" s="14"/>
      <c r="V427" s="14"/>
      <c r="W427" s="14"/>
      <c r="X427" s="14"/>
      <c r="Y427" s="14"/>
      <c r="Z427" s="14"/>
      <c r="AA427" s="14"/>
      <c r="AB427" s="14"/>
      <c r="AC427" s="14"/>
      <c r="AD427" s="14"/>
      <c r="AE427" s="14"/>
      <c r="AF427" s="14"/>
      <c r="AG427" s="14"/>
      <c r="AH427" s="14"/>
      <c r="AI427" s="14"/>
      <c r="AJ427" s="14"/>
      <c r="AK427" s="14"/>
      <c r="AL427" s="14"/>
      <c r="AM427" s="14"/>
      <c r="AN427" s="538"/>
      <c r="AO427" s="538"/>
      <c r="AP427" s="538"/>
      <c r="AQ427" s="538"/>
      <c r="AR427" s="538"/>
      <c r="AS427" s="538"/>
      <c r="AT427" s="538"/>
      <c r="AU427" s="538"/>
      <c r="AV427" s="538"/>
      <c r="AW427" s="538"/>
      <c r="AX427" s="538"/>
      <c r="AY427" s="538"/>
      <c r="AZ427" s="538"/>
      <c r="BA427" s="538"/>
      <c r="BB427" s="538"/>
      <c r="BC427" s="538"/>
      <c r="BD427" s="538"/>
      <c r="BE427" s="538"/>
      <c r="BF427" s="538"/>
      <c r="BG427" s="538"/>
      <c r="BH427" s="538"/>
      <c r="BI427" s="538"/>
      <c r="BJ427" s="538"/>
      <c r="BK427" s="538"/>
      <c r="BL427" s="538"/>
      <c r="BM427" s="538"/>
      <c r="BN427" s="538"/>
      <c r="BO427" s="538"/>
      <c r="BP427" s="538"/>
      <c r="BQ427" s="538"/>
      <c r="BR427" s="538"/>
      <c r="BS427" s="538"/>
      <c r="BT427" s="538"/>
      <c r="BU427" s="538"/>
      <c r="BV427" s="538"/>
      <c r="BW427" s="538"/>
      <c r="BX427" s="538"/>
      <c r="BY427" s="538"/>
    </row>
    <row r="428" spans="3:77" x14ac:dyDescent="0.3">
      <c r="C428" s="2"/>
      <c r="D428" s="2"/>
      <c r="E428" s="2"/>
      <c r="F428" s="2"/>
      <c r="G428" s="2"/>
      <c r="H428" s="2"/>
      <c r="I428" s="2"/>
      <c r="J428" s="2"/>
      <c r="K428" s="2"/>
      <c r="L428" s="2"/>
      <c r="M428" s="2"/>
      <c r="N428" s="2"/>
      <c r="O428" s="2"/>
      <c r="P428" s="10"/>
      <c r="Q428" s="2"/>
      <c r="R428" s="2"/>
      <c r="S428" s="2"/>
      <c r="T428" s="2"/>
      <c r="U428" s="2"/>
      <c r="V428" s="2"/>
      <c r="W428" s="2"/>
      <c r="X428" s="2"/>
      <c r="Y428" s="2"/>
      <c r="Z428" s="2"/>
      <c r="AA428" s="2"/>
      <c r="AB428" s="2"/>
      <c r="AC428" s="2"/>
      <c r="AD428" s="2"/>
      <c r="AE428" s="2"/>
      <c r="AF428" s="2"/>
      <c r="AG428" s="2"/>
      <c r="AH428" s="2"/>
      <c r="AI428" s="2"/>
      <c r="AJ428" s="2"/>
      <c r="AK428" s="2"/>
      <c r="AL428" s="2"/>
      <c r="AM428" s="2"/>
      <c r="AN428" s="525"/>
      <c r="AO428" s="525"/>
      <c r="AP428" s="525"/>
      <c r="AQ428" s="525"/>
      <c r="AR428" s="525"/>
      <c r="AS428" s="525"/>
      <c r="AT428" s="525"/>
      <c r="AU428" s="525"/>
      <c r="AV428" s="525"/>
      <c r="AW428" s="525"/>
      <c r="AX428" s="525"/>
      <c r="AY428" s="525"/>
      <c r="AZ428" s="525"/>
      <c r="BA428" s="525"/>
      <c r="BB428" s="525"/>
      <c r="BC428" s="525"/>
      <c r="BD428" s="525"/>
      <c r="BE428" s="525"/>
      <c r="BF428" s="525"/>
      <c r="BG428" s="525"/>
      <c r="BH428" s="525"/>
      <c r="BI428" s="525"/>
      <c r="BJ428" s="525"/>
      <c r="BK428" s="525"/>
      <c r="BL428" s="525"/>
      <c r="BM428" s="525"/>
      <c r="BN428" s="525"/>
      <c r="BO428" s="525"/>
      <c r="BP428" s="525"/>
      <c r="BQ428" s="525"/>
      <c r="BR428" s="525"/>
      <c r="BS428" s="525"/>
      <c r="BT428" s="525"/>
      <c r="BU428" s="525"/>
      <c r="BV428" s="525"/>
      <c r="BW428" s="525"/>
      <c r="BX428" s="525"/>
      <c r="BY428" s="525"/>
    </row>
    <row r="429" spans="3:77" x14ac:dyDescent="0.3">
      <c r="C429" s="2"/>
      <c r="D429" s="2"/>
      <c r="E429" s="108" t="s">
        <v>110</v>
      </c>
      <c r="F429" s="109"/>
      <c r="G429" s="109"/>
      <c r="H429" s="109"/>
      <c r="I429" s="109"/>
      <c r="J429" s="109"/>
      <c r="K429" s="109"/>
      <c r="L429" s="109"/>
      <c r="M429" s="109"/>
      <c r="N429" s="109"/>
      <c r="O429" s="109"/>
      <c r="P429" s="110"/>
      <c r="Q429" s="109"/>
      <c r="R429" s="109"/>
      <c r="S429" s="109"/>
      <c r="T429" s="109"/>
      <c r="U429" s="109"/>
      <c r="V429" s="109"/>
      <c r="W429" s="109"/>
      <c r="X429" s="109"/>
      <c r="Y429" s="109"/>
      <c r="Z429" s="109"/>
      <c r="AA429" s="109"/>
      <c r="AB429" s="109"/>
      <c r="AC429" s="109"/>
      <c r="AD429" s="109"/>
      <c r="AE429" s="109"/>
      <c r="AF429" s="109"/>
      <c r="AG429" s="109"/>
      <c r="AH429" s="109"/>
      <c r="AI429" s="109"/>
      <c r="AJ429" s="109"/>
      <c r="AK429" s="109"/>
      <c r="AL429" s="109"/>
      <c r="AM429" s="109"/>
      <c r="AN429" s="539"/>
      <c r="AO429" s="539"/>
      <c r="AP429" s="539"/>
      <c r="AQ429" s="539"/>
      <c r="AR429" s="539"/>
      <c r="AS429" s="539"/>
      <c r="AT429" s="539"/>
      <c r="AU429" s="539"/>
      <c r="AV429" s="539"/>
      <c r="AW429" s="539"/>
      <c r="AX429" s="539"/>
      <c r="AY429" s="539"/>
      <c r="AZ429" s="539"/>
      <c r="BA429" s="539"/>
      <c r="BB429" s="539"/>
      <c r="BC429" s="539"/>
      <c r="BD429" s="539"/>
      <c r="BE429" s="539"/>
      <c r="BF429" s="539"/>
      <c r="BG429" s="539"/>
      <c r="BH429" s="539"/>
      <c r="BI429" s="539"/>
      <c r="BJ429" s="539"/>
      <c r="BK429" s="539"/>
      <c r="BL429" s="539"/>
      <c r="BM429" s="539"/>
      <c r="BN429" s="539"/>
      <c r="BO429" s="539"/>
      <c r="BP429" s="539"/>
      <c r="BQ429" s="539"/>
      <c r="BR429" s="539"/>
      <c r="BS429" s="539"/>
      <c r="BT429" s="539"/>
      <c r="BU429" s="539"/>
      <c r="BV429" s="539"/>
      <c r="BW429" s="539"/>
      <c r="BX429" s="539"/>
      <c r="BY429" s="539"/>
    </row>
    <row r="430" spans="3:77" x14ac:dyDescent="0.3">
      <c r="C430" s="2"/>
      <c r="D430" s="2"/>
      <c r="E430" s="2"/>
      <c r="F430" s="2"/>
      <c r="G430" s="2"/>
      <c r="H430" s="2"/>
      <c r="I430" s="2"/>
      <c r="J430" s="2"/>
      <c r="K430" s="2"/>
      <c r="L430" s="2"/>
      <c r="M430" s="2"/>
      <c r="N430" s="2"/>
      <c r="O430" s="2"/>
      <c r="P430" s="10"/>
      <c r="Q430" s="2"/>
      <c r="R430" s="2"/>
      <c r="S430" s="2"/>
      <c r="T430" s="2"/>
      <c r="U430" s="2"/>
      <c r="V430" s="2"/>
      <c r="W430" s="2"/>
      <c r="X430" s="2"/>
      <c r="Y430" s="2"/>
      <c r="Z430" s="2"/>
      <c r="AA430" s="2"/>
      <c r="AB430" s="2"/>
      <c r="AC430" s="2"/>
      <c r="AD430" s="2"/>
      <c r="AE430" s="2"/>
      <c r="AF430" s="2"/>
      <c r="AG430" s="2"/>
      <c r="AH430" s="2"/>
      <c r="AI430" s="2"/>
      <c r="AJ430" s="2"/>
      <c r="AK430" s="2"/>
      <c r="AL430" s="2"/>
      <c r="AM430" s="2"/>
      <c r="AN430" s="525"/>
      <c r="AO430" s="525"/>
      <c r="AP430" s="525"/>
      <c r="AQ430" s="525"/>
      <c r="AR430" s="525"/>
      <c r="AS430" s="525"/>
      <c r="AT430" s="525"/>
      <c r="AU430" s="525"/>
      <c r="AV430" s="525"/>
      <c r="AW430" s="525"/>
      <c r="AX430" s="525"/>
      <c r="AY430" s="525"/>
      <c r="AZ430" s="525"/>
      <c r="BA430" s="525"/>
      <c r="BB430" s="525"/>
      <c r="BC430" s="525"/>
      <c r="BD430" s="525"/>
      <c r="BE430" s="525"/>
      <c r="BF430" s="525"/>
      <c r="BG430" s="525"/>
      <c r="BH430" s="525"/>
      <c r="BI430" s="525"/>
      <c r="BJ430" s="525"/>
      <c r="BK430" s="525"/>
      <c r="BL430" s="525"/>
      <c r="BM430" s="525"/>
      <c r="BN430" s="525"/>
      <c r="BO430" s="525"/>
      <c r="BP430" s="525"/>
      <c r="BQ430" s="525"/>
      <c r="BR430" s="525"/>
      <c r="BS430" s="525"/>
      <c r="BT430" s="525"/>
      <c r="BU430" s="525"/>
      <c r="BV430" s="525"/>
      <c r="BW430" s="525"/>
      <c r="BX430" s="525"/>
      <c r="BY430" s="525"/>
    </row>
    <row r="431" spans="3:77" x14ac:dyDescent="0.3">
      <c r="C431" s="2"/>
      <c r="D431" s="2"/>
      <c r="E431" s="140" t="str">
        <f>"Growth Capex: "&amp;E$155</f>
        <v>Growth Capex: FY27 Tranche</v>
      </c>
      <c r="F431" s="2"/>
      <c r="G431" s="2"/>
      <c r="H431" s="2"/>
      <c r="I431" s="2"/>
      <c r="J431" s="2"/>
      <c r="K431" s="2"/>
      <c r="L431" s="2"/>
      <c r="M431" s="2"/>
      <c r="N431" s="2"/>
      <c r="O431" s="2"/>
      <c r="P431" s="10"/>
      <c r="Q431" s="2"/>
      <c r="R431" s="497">
        <f t="shared" ref="R431:AW431" si="589">R474*-$W155*$R155</f>
        <v>0</v>
      </c>
      <c r="S431" s="497">
        <f t="shared" si="589"/>
        <v>0</v>
      </c>
      <c r="T431" s="497">
        <f t="shared" si="589"/>
        <v>0</v>
      </c>
      <c r="U431" s="497">
        <f t="shared" si="589"/>
        <v>0</v>
      </c>
      <c r="V431" s="497">
        <f t="shared" si="589"/>
        <v>0</v>
      </c>
      <c r="W431" s="497">
        <f t="shared" si="589"/>
        <v>-202041.75929919144</v>
      </c>
      <c r="X431" s="497">
        <f t="shared" si="589"/>
        <v>0</v>
      </c>
      <c r="Y431" s="497">
        <f t="shared" si="589"/>
        <v>0</v>
      </c>
      <c r="Z431" s="497">
        <f t="shared" si="589"/>
        <v>0</v>
      </c>
      <c r="AA431" s="497">
        <f t="shared" si="589"/>
        <v>0</v>
      </c>
      <c r="AB431" s="497">
        <f t="shared" si="589"/>
        <v>0</v>
      </c>
      <c r="AC431" s="497">
        <f t="shared" si="589"/>
        <v>0</v>
      </c>
      <c r="AD431" s="497">
        <f t="shared" si="589"/>
        <v>0</v>
      </c>
      <c r="AE431" s="497">
        <f t="shared" si="589"/>
        <v>0</v>
      </c>
      <c r="AF431" s="497">
        <f t="shared" si="589"/>
        <v>0</v>
      </c>
      <c r="AG431" s="497">
        <f t="shared" si="589"/>
        <v>0</v>
      </c>
      <c r="AH431" s="497">
        <f t="shared" si="589"/>
        <v>0</v>
      </c>
      <c r="AI431" s="497">
        <f t="shared" si="589"/>
        <v>0</v>
      </c>
      <c r="AJ431" s="497">
        <f t="shared" si="589"/>
        <v>0</v>
      </c>
      <c r="AK431" s="497">
        <f t="shared" si="589"/>
        <v>0</v>
      </c>
      <c r="AL431" s="497">
        <f t="shared" si="589"/>
        <v>0</v>
      </c>
      <c r="AM431" s="497">
        <f t="shared" si="589"/>
        <v>0</v>
      </c>
      <c r="AN431" s="527">
        <f t="shared" si="589"/>
        <v>0</v>
      </c>
      <c r="AO431" s="527">
        <f t="shared" si="589"/>
        <v>0</v>
      </c>
      <c r="AP431" s="527">
        <f t="shared" si="589"/>
        <v>0</v>
      </c>
      <c r="AQ431" s="527">
        <f t="shared" si="589"/>
        <v>0</v>
      </c>
      <c r="AR431" s="527">
        <f t="shared" si="589"/>
        <v>0</v>
      </c>
      <c r="AS431" s="527">
        <f t="shared" si="589"/>
        <v>0</v>
      </c>
      <c r="AT431" s="527">
        <f t="shared" si="589"/>
        <v>0</v>
      </c>
      <c r="AU431" s="527">
        <f t="shared" si="589"/>
        <v>0</v>
      </c>
      <c r="AV431" s="527">
        <f t="shared" si="589"/>
        <v>0</v>
      </c>
      <c r="AW431" s="527">
        <f t="shared" si="589"/>
        <v>0</v>
      </c>
      <c r="AX431" s="527">
        <f t="shared" ref="AX431:BY431" si="590">AX474*-$W155*$R155</f>
        <v>0</v>
      </c>
      <c r="AY431" s="527">
        <f t="shared" si="590"/>
        <v>0</v>
      </c>
      <c r="AZ431" s="527">
        <f t="shared" si="590"/>
        <v>0</v>
      </c>
      <c r="BA431" s="527">
        <f t="shared" si="590"/>
        <v>0</v>
      </c>
      <c r="BB431" s="527">
        <f t="shared" si="590"/>
        <v>0</v>
      </c>
      <c r="BC431" s="527">
        <f t="shared" si="590"/>
        <v>0</v>
      </c>
      <c r="BD431" s="527">
        <f t="shared" si="590"/>
        <v>0</v>
      </c>
      <c r="BE431" s="527">
        <f t="shared" si="590"/>
        <v>0</v>
      </c>
      <c r="BF431" s="527">
        <f t="shared" si="590"/>
        <v>0</v>
      </c>
      <c r="BG431" s="527">
        <f t="shared" si="590"/>
        <v>0</v>
      </c>
      <c r="BH431" s="527">
        <f t="shared" si="590"/>
        <v>0</v>
      </c>
      <c r="BI431" s="527">
        <f t="shared" si="590"/>
        <v>0</v>
      </c>
      <c r="BJ431" s="527">
        <f t="shared" si="590"/>
        <v>0</v>
      </c>
      <c r="BK431" s="527">
        <f t="shared" si="590"/>
        <v>0</v>
      </c>
      <c r="BL431" s="527">
        <f t="shared" si="590"/>
        <v>0</v>
      </c>
      <c r="BM431" s="527">
        <f t="shared" si="590"/>
        <v>0</v>
      </c>
      <c r="BN431" s="527">
        <f t="shared" si="590"/>
        <v>0</v>
      </c>
      <c r="BO431" s="527">
        <f t="shared" si="590"/>
        <v>0</v>
      </c>
      <c r="BP431" s="527">
        <f t="shared" si="590"/>
        <v>0</v>
      </c>
      <c r="BQ431" s="527">
        <f t="shared" si="590"/>
        <v>0</v>
      </c>
      <c r="BR431" s="527">
        <f t="shared" si="590"/>
        <v>0</v>
      </c>
      <c r="BS431" s="527">
        <f t="shared" si="590"/>
        <v>0</v>
      </c>
      <c r="BT431" s="527">
        <f t="shared" si="590"/>
        <v>0</v>
      </c>
      <c r="BU431" s="527">
        <f t="shared" si="590"/>
        <v>0</v>
      </c>
      <c r="BV431" s="527">
        <f t="shared" si="590"/>
        <v>0</v>
      </c>
      <c r="BW431" s="527">
        <f t="shared" si="590"/>
        <v>0</v>
      </c>
      <c r="BX431" s="527">
        <f t="shared" si="590"/>
        <v>0</v>
      </c>
      <c r="BY431" s="527">
        <f t="shared" si="590"/>
        <v>0</v>
      </c>
    </row>
    <row r="432" spans="3:77" x14ac:dyDescent="0.3">
      <c r="C432" s="2"/>
      <c r="D432" s="2"/>
      <c r="E432" s="140" t="str">
        <f>"Growth Capex: "&amp;E$156</f>
        <v>Growth Capex: FY28 Tranche</v>
      </c>
      <c r="F432" s="2"/>
      <c r="G432" s="2"/>
      <c r="H432" s="2"/>
      <c r="I432" s="2"/>
      <c r="J432" s="2"/>
      <c r="K432" s="2"/>
      <c r="L432" s="2"/>
      <c r="M432" s="2"/>
      <c r="N432" s="2"/>
      <c r="O432" s="2"/>
      <c r="P432" s="10"/>
      <c r="Q432" s="2"/>
      <c r="R432" s="497">
        <f t="shared" ref="R432:AW432" si="591">R475*-$W156*$R156</f>
        <v>0</v>
      </c>
      <c r="S432" s="497">
        <f t="shared" si="591"/>
        <v>0</v>
      </c>
      <c r="T432" s="497">
        <f t="shared" si="591"/>
        <v>0</v>
      </c>
      <c r="U432" s="497">
        <f t="shared" si="591"/>
        <v>0</v>
      </c>
      <c r="V432" s="497">
        <f t="shared" si="591"/>
        <v>0</v>
      </c>
      <c r="W432" s="497">
        <f t="shared" si="591"/>
        <v>0</v>
      </c>
      <c r="X432" s="497">
        <f t="shared" si="591"/>
        <v>0</v>
      </c>
      <c r="Y432" s="497">
        <f t="shared" si="591"/>
        <v>0</v>
      </c>
      <c r="Z432" s="497">
        <f t="shared" si="591"/>
        <v>0</v>
      </c>
      <c r="AA432" s="497">
        <f t="shared" si="591"/>
        <v>0</v>
      </c>
      <c r="AB432" s="497">
        <f t="shared" si="591"/>
        <v>0</v>
      </c>
      <c r="AC432" s="497">
        <f t="shared" si="591"/>
        <v>0</v>
      </c>
      <c r="AD432" s="497">
        <f t="shared" si="591"/>
        <v>0</v>
      </c>
      <c r="AE432" s="497">
        <f t="shared" si="591"/>
        <v>0</v>
      </c>
      <c r="AF432" s="497">
        <f t="shared" si="591"/>
        <v>0</v>
      </c>
      <c r="AG432" s="497">
        <f t="shared" si="591"/>
        <v>0</v>
      </c>
      <c r="AH432" s="497">
        <f t="shared" si="591"/>
        <v>0</v>
      </c>
      <c r="AI432" s="497">
        <f t="shared" si="591"/>
        <v>-206900.82325488928</v>
      </c>
      <c r="AJ432" s="497">
        <f t="shared" si="591"/>
        <v>0</v>
      </c>
      <c r="AK432" s="497">
        <f t="shared" si="591"/>
        <v>0</v>
      </c>
      <c r="AL432" s="497">
        <f t="shared" si="591"/>
        <v>0</v>
      </c>
      <c r="AM432" s="497">
        <f t="shared" si="591"/>
        <v>0</v>
      </c>
      <c r="AN432" s="527">
        <f t="shared" si="591"/>
        <v>0</v>
      </c>
      <c r="AO432" s="527">
        <f t="shared" si="591"/>
        <v>0</v>
      </c>
      <c r="AP432" s="527">
        <f t="shared" si="591"/>
        <v>0</v>
      </c>
      <c r="AQ432" s="527">
        <f t="shared" si="591"/>
        <v>0</v>
      </c>
      <c r="AR432" s="527">
        <f t="shared" si="591"/>
        <v>0</v>
      </c>
      <c r="AS432" s="527">
        <f t="shared" si="591"/>
        <v>0</v>
      </c>
      <c r="AT432" s="527">
        <f t="shared" si="591"/>
        <v>0</v>
      </c>
      <c r="AU432" s="527">
        <f t="shared" si="591"/>
        <v>0</v>
      </c>
      <c r="AV432" s="527">
        <f t="shared" si="591"/>
        <v>0</v>
      </c>
      <c r="AW432" s="527">
        <f t="shared" si="591"/>
        <v>0</v>
      </c>
      <c r="AX432" s="527">
        <f t="shared" ref="AX432:BY432" si="592">AX475*-$W156*$R156</f>
        <v>0</v>
      </c>
      <c r="AY432" s="527">
        <f t="shared" si="592"/>
        <v>0</v>
      </c>
      <c r="AZ432" s="527">
        <f t="shared" si="592"/>
        <v>0</v>
      </c>
      <c r="BA432" s="527">
        <f t="shared" si="592"/>
        <v>0</v>
      </c>
      <c r="BB432" s="527">
        <f t="shared" si="592"/>
        <v>0</v>
      </c>
      <c r="BC432" s="527">
        <f t="shared" si="592"/>
        <v>0</v>
      </c>
      <c r="BD432" s="527">
        <f t="shared" si="592"/>
        <v>0</v>
      </c>
      <c r="BE432" s="527">
        <f t="shared" si="592"/>
        <v>0</v>
      </c>
      <c r="BF432" s="527">
        <f t="shared" si="592"/>
        <v>0</v>
      </c>
      <c r="BG432" s="527">
        <f t="shared" si="592"/>
        <v>0</v>
      </c>
      <c r="BH432" s="527">
        <f t="shared" si="592"/>
        <v>0</v>
      </c>
      <c r="BI432" s="527">
        <f t="shared" si="592"/>
        <v>0</v>
      </c>
      <c r="BJ432" s="527">
        <f t="shared" si="592"/>
        <v>0</v>
      </c>
      <c r="BK432" s="527">
        <f t="shared" si="592"/>
        <v>0</v>
      </c>
      <c r="BL432" s="527">
        <f t="shared" si="592"/>
        <v>0</v>
      </c>
      <c r="BM432" s="527">
        <f t="shared" si="592"/>
        <v>0</v>
      </c>
      <c r="BN432" s="527">
        <f t="shared" si="592"/>
        <v>0</v>
      </c>
      <c r="BO432" s="527">
        <f t="shared" si="592"/>
        <v>0</v>
      </c>
      <c r="BP432" s="527">
        <f t="shared" si="592"/>
        <v>0</v>
      </c>
      <c r="BQ432" s="527">
        <f t="shared" si="592"/>
        <v>0</v>
      </c>
      <c r="BR432" s="527">
        <f t="shared" si="592"/>
        <v>0</v>
      </c>
      <c r="BS432" s="527">
        <f t="shared" si="592"/>
        <v>0</v>
      </c>
      <c r="BT432" s="527">
        <f t="shared" si="592"/>
        <v>0</v>
      </c>
      <c r="BU432" s="527">
        <f t="shared" si="592"/>
        <v>0</v>
      </c>
      <c r="BV432" s="527">
        <f t="shared" si="592"/>
        <v>0</v>
      </c>
      <c r="BW432" s="527">
        <f t="shared" si="592"/>
        <v>0</v>
      </c>
      <c r="BX432" s="527">
        <f t="shared" si="592"/>
        <v>0</v>
      </c>
      <c r="BY432" s="527">
        <f t="shared" si="592"/>
        <v>0</v>
      </c>
    </row>
    <row r="433" spans="3:77" x14ac:dyDescent="0.3">
      <c r="C433" s="2"/>
      <c r="D433" s="2"/>
      <c r="E433" s="140" t="str">
        <f>"Growth Capex: "&amp;E$157</f>
        <v>Growth Capex: FY29 Tranche</v>
      </c>
      <c r="F433" s="2"/>
      <c r="G433" s="2"/>
      <c r="H433" s="2"/>
      <c r="I433" s="2"/>
      <c r="J433" s="2"/>
      <c r="K433" s="2"/>
      <c r="L433" s="2"/>
      <c r="M433" s="2"/>
      <c r="N433" s="2"/>
      <c r="O433" s="2"/>
      <c r="P433" s="10"/>
      <c r="Q433" s="2"/>
      <c r="R433" s="497">
        <f t="shared" ref="R433:AW433" si="593">R476*-$W157*$R157</f>
        <v>0</v>
      </c>
      <c r="S433" s="497">
        <f t="shared" si="593"/>
        <v>0</v>
      </c>
      <c r="T433" s="497">
        <f t="shared" si="593"/>
        <v>0</v>
      </c>
      <c r="U433" s="497">
        <f t="shared" si="593"/>
        <v>0</v>
      </c>
      <c r="V433" s="497">
        <f t="shared" si="593"/>
        <v>0</v>
      </c>
      <c r="W433" s="497">
        <f t="shared" si="593"/>
        <v>0</v>
      </c>
      <c r="X433" s="497">
        <f t="shared" si="593"/>
        <v>0</v>
      </c>
      <c r="Y433" s="497">
        <f t="shared" si="593"/>
        <v>0</v>
      </c>
      <c r="Z433" s="497">
        <f t="shared" si="593"/>
        <v>0</v>
      </c>
      <c r="AA433" s="497">
        <f t="shared" si="593"/>
        <v>0</v>
      </c>
      <c r="AB433" s="497">
        <f t="shared" si="593"/>
        <v>0</v>
      </c>
      <c r="AC433" s="497">
        <f t="shared" si="593"/>
        <v>0</v>
      </c>
      <c r="AD433" s="497">
        <f t="shared" si="593"/>
        <v>0</v>
      </c>
      <c r="AE433" s="497">
        <f t="shared" si="593"/>
        <v>0</v>
      </c>
      <c r="AF433" s="497">
        <f t="shared" si="593"/>
        <v>0</v>
      </c>
      <c r="AG433" s="497">
        <f t="shared" si="593"/>
        <v>0</v>
      </c>
      <c r="AH433" s="497">
        <f t="shared" si="593"/>
        <v>0</v>
      </c>
      <c r="AI433" s="497">
        <f t="shared" si="593"/>
        <v>0</v>
      </c>
      <c r="AJ433" s="497">
        <f t="shared" si="593"/>
        <v>0</v>
      </c>
      <c r="AK433" s="497">
        <f t="shared" si="593"/>
        <v>0</v>
      </c>
      <c r="AL433" s="497">
        <f t="shared" si="593"/>
        <v>0</v>
      </c>
      <c r="AM433" s="497">
        <f t="shared" si="593"/>
        <v>0</v>
      </c>
      <c r="AN433" s="527">
        <f t="shared" si="593"/>
        <v>0</v>
      </c>
      <c r="AO433" s="527">
        <f t="shared" si="593"/>
        <v>0</v>
      </c>
      <c r="AP433" s="527">
        <f t="shared" si="593"/>
        <v>0</v>
      </c>
      <c r="AQ433" s="527">
        <f t="shared" si="593"/>
        <v>0</v>
      </c>
      <c r="AR433" s="527">
        <f t="shared" si="593"/>
        <v>0</v>
      </c>
      <c r="AS433" s="527">
        <f t="shared" si="593"/>
        <v>0</v>
      </c>
      <c r="AT433" s="527">
        <f t="shared" si="593"/>
        <v>0</v>
      </c>
      <c r="AU433" s="527">
        <f t="shared" si="593"/>
        <v>-211546.66088872054</v>
      </c>
      <c r="AV433" s="527">
        <f t="shared" si="593"/>
        <v>0</v>
      </c>
      <c r="AW433" s="527">
        <f t="shared" si="593"/>
        <v>0</v>
      </c>
      <c r="AX433" s="527">
        <f t="shared" ref="AX433:BY433" si="594">AX476*-$W157*$R157</f>
        <v>0</v>
      </c>
      <c r="AY433" s="527">
        <f t="shared" si="594"/>
        <v>0</v>
      </c>
      <c r="AZ433" s="527">
        <f t="shared" si="594"/>
        <v>0</v>
      </c>
      <c r="BA433" s="527">
        <f t="shared" si="594"/>
        <v>0</v>
      </c>
      <c r="BB433" s="527">
        <f t="shared" si="594"/>
        <v>0</v>
      </c>
      <c r="BC433" s="527">
        <f t="shared" si="594"/>
        <v>0</v>
      </c>
      <c r="BD433" s="527">
        <f t="shared" si="594"/>
        <v>0</v>
      </c>
      <c r="BE433" s="527">
        <f t="shared" si="594"/>
        <v>0</v>
      </c>
      <c r="BF433" s="527">
        <f t="shared" si="594"/>
        <v>0</v>
      </c>
      <c r="BG433" s="527">
        <f t="shared" si="594"/>
        <v>0</v>
      </c>
      <c r="BH433" s="527">
        <f t="shared" si="594"/>
        <v>0</v>
      </c>
      <c r="BI433" s="527">
        <f t="shared" si="594"/>
        <v>0</v>
      </c>
      <c r="BJ433" s="527">
        <f t="shared" si="594"/>
        <v>0</v>
      </c>
      <c r="BK433" s="527">
        <f t="shared" si="594"/>
        <v>0</v>
      </c>
      <c r="BL433" s="527">
        <f t="shared" si="594"/>
        <v>0</v>
      </c>
      <c r="BM433" s="527">
        <f t="shared" si="594"/>
        <v>0</v>
      </c>
      <c r="BN433" s="527">
        <f t="shared" si="594"/>
        <v>0</v>
      </c>
      <c r="BO433" s="527">
        <f t="shared" si="594"/>
        <v>0</v>
      </c>
      <c r="BP433" s="527">
        <f t="shared" si="594"/>
        <v>0</v>
      </c>
      <c r="BQ433" s="527">
        <f t="shared" si="594"/>
        <v>0</v>
      </c>
      <c r="BR433" s="527">
        <f t="shared" si="594"/>
        <v>0</v>
      </c>
      <c r="BS433" s="527">
        <f t="shared" si="594"/>
        <v>0</v>
      </c>
      <c r="BT433" s="527">
        <f t="shared" si="594"/>
        <v>0</v>
      </c>
      <c r="BU433" s="527">
        <f t="shared" si="594"/>
        <v>0</v>
      </c>
      <c r="BV433" s="527">
        <f t="shared" si="594"/>
        <v>0</v>
      </c>
      <c r="BW433" s="527">
        <f t="shared" si="594"/>
        <v>0</v>
      </c>
      <c r="BX433" s="527">
        <f t="shared" si="594"/>
        <v>0</v>
      </c>
      <c r="BY433" s="527">
        <f t="shared" si="594"/>
        <v>0</v>
      </c>
    </row>
    <row r="434" spans="3:77" x14ac:dyDescent="0.3">
      <c r="C434" s="2"/>
      <c r="D434" s="2"/>
      <c r="E434" s="140" t="str">
        <f>"Growth Capex: "&amp;E$158</f>
        <v>Growth Capex: FY30 Tranche</v>
      </c>
      <c r="F434" s="2"/>
      <c r="G434" s="2"/>
      <c r="H434" s="2"/>
      <c r="I434" s="2"/>
      <c r="J434" s="2"/>
      <c r="K434" s="2"/>
      <c r="L434" s="2"/>
      <c r="M434" s="2"/>
      <c r="N434" s="2"/>
      <c r="O434" s="2"/>
      <c r="P434" s="10"/>
      <c r="Q434" s="2"/>
      <c r="R434" s="497">
        <f t="shared" ref="R434:AW434" si="595">R477*-$W158*$R158</f>
        <v>0</v>
      </c>
      <c r="S434" s="497">
        <f t="shared" si="595"/>
        <v>0</v>
      </c>
      <c r="T434" s="497">
        <f t="shared" si="595"/>
        <v>0</v>
      </c>
      <c r="U434" s="497">
        <f t="shared" si="595"/>
        <v>0</v>
      </c>
      <c r="V434" s="497">
        <f t="shared" si="595"/>
        <v>0</v>
      </c>
      <c r="W434" s="497">
        <f t="shared" si="595"/>
        <v>0</v>
      </c>
      <c r="X434" s="497">
        <f t="shared" si="595"/>
        <v>0</v>
      </c>
      <c r="Y434" s="497">
        <f t="shared" si="595"/>
        <v>0</v>
      </c>
      <c r="Z434" s="497">
        <f t="shared" si="595"/>
        <v>0</v>
      </c>
      <c r="AA434" s="497">
        <f t="shared" si="595"/>
        <v>0</v>
      </c>
      <c r="AB434" s="497">
        <f t="shared" si="595"/>
        <v>0</v>
      </c>
      <c r="AC434" s="497">
        <f t="shared" si="595"/>
        <v>0</v>
      </c>
      <c r="AD434" s="497">
        <f t="shared" si="595"/>
        <v>0</v>
      </c>
      <c r="AE434" s="497">
        <f t="shared" si="595"/>
        <v>0</v>
      </c>
      <c r="AF434" s="497">
        <f t="shared" si="595"/>
        <v>0</v>
      </c>
      <c r="AG434" s="497">
        <f t="shared" si="595"/>
        <v>0</v>
      </c>
      <c r="AH434" s="497">
        <f t="shared" si="595"/>
        <v>0</v>
      </c>
      <c r="AI434" s="497">
        <f t="shared" si="595"/>
        <v>0</v>
      </c>
      <c r="AJ434" s="497">
        <f t="shared" si="595"/>
        <v>0</v>
      </c>
      <c r="AK434" s="497">
        <f t="shared" si="595"/>
        <v>0</v>
      </c>
      <c r="AL434" s="497">
        <f t="shared" si="595"/>
        <v>0</v>
      </c>
      <c r="AM434" s="497">
        <f t="shared" si="595"/>
        <v>0</v>
      </c>
      <c r="AN434" s="527">
        <f t="shared" si="595"/>
        <v>0</v>
      </c>
      <c r="AO434" s="527">
        <f t="shared" si="595"/>
        <v>0</v>
      </c>
      <c r="AP434" s="527">
        <f t="shared" si="595"/>
        <v>0</v>
      </c>
      <c r="AQ434" s="527">
        <f t="shared" si="595"/>
        <v>0</v>
      </c>
      <c r="AR434" s="527">
        <f t="shared" si="595"/>
        <v>0</v>
      </c>
      <c r="AS434" s="527">
        <f t="shared" si="595"/>
        <v>0</v>
      </c>
      <c r="AT434" s="527">
        <f t="shared" si="595"/>
        <v>0</v>
      </c>
      <c r="AU434" s="527">
        <f t="shared" si="595"/>
        <v>0</v>
      </c>
      <c r="AV434" s="527">
        <f t="shared" si="595"/>
        <v>0</v>
      </c>
      <c r="AW434" s="527">
        <f t="shared" si="595"/>
        <v>0</v>
      </c>
      <c r="AX434" s="527">
        <f t="shared" ref="AX434:BY434" si="596">AX477*-$W158*$R158</f>
        <v>0</v>
      </c>
      <c r="AY434" s="527">
        <f t="shared" si="596"/>
        <v>0</v>
      </c>
      <c r="AZ434" s="527">
        <f t="shared" si="596"/>
        <v>0</v>
      </c>
      <c r="BA434" s="527">
        <f t="shared" si="596"/>
        <v>0</v>
      </c>
      <c r="BB434" s="527">
        <f t="shared" si="596"/>
        <v>0</v>
      </c>
      <c r="BC434" s="527">
        <f t="shared" si="596"/>
        <v>0</v>
      </c>
      <c r="BD434" s="527">
        <f t="shared" si="596"/>
        <v>0</v>
      </c>
      <c r="BE434" s="527">
        <f t="shared" si="596"/>
        <v>0</v>
      </c>
      <c r="BF434" s="527">
        <f t="shared" si="596"/>
        <v>0</v>
      </c>
      <c r="BG434" s="527">
        <f t="shared" si="596"/>
        <v>-215920.9442088253</v>
      </c>
      <c r="BH434" s="527">
        <f t="shared" si="596"/>
        <v>0</v>
      </c>
      <c r="BI434" s="527">
        <f t="shared" si="596"/>
        <v>0</v>
      </c>
      <c r="BJ434" s="527">
        <f t="shared" si="596"/>
        <v>0</v>
      </c>
      <c r="BK434" s="527">
        <f t="shared" si="596"/>
        <v>0</v>
      </c>
      <c r="BL434" s="527">
        <f t="shared" si="596"/>
        <v>0</v>
      </c>
      <c r="BM434" s="527">
        <f t="shared" si="596"/>
        <v>0</v>
      </c>
      <c r="BN434" s="527">
        <f t="shared" si="596"/>
        <v>0</v>
      </c>
      <c r="BO434" s="527">
        <f t="shared" si="596"/>
        <v>0</v>
      </c>
      <c r="BP434" s="527">
        <f t="shared" si="596"/>
        <v>0</v>
      </c>
      <c r="BQ434" s="527">
        <f t="shared" si="596"/>
        <v>0</v>
      </c>
      <c r="BR434" s="527">
        <f t="shared" si="596"/>
        <v>0</v>
      </c>
      <c r="BS434" s="527">
        <f t="shared" si="596"/>
        <v>0</v>
      </c>
      <c r="BT434" s="527">
        <f t="shared" si="596"/>
        <v>0</v>
      </c>
      <c r="BU434" s="527">
        <f t="shared" si="596"/>
        <v>0</v>
      </c>
      <c r="BV434" s="527">
        <f t="shared" si="596"/>
        <v>0</v>
      </c>
      <c r="BW434" s="527">
        <f t="shared" si="596"/>
        <v>0</v>
      </c>
      <c r="BX434" s="527">
        <f t="shared" si="596"/>
        <v>0</v>
      </c>
      <c r="BY434" s="527">
        <f t="shared" si="596"/>
        <v>0</v>
      </c>
    </row>
    <row r="435" spans="3:77" x14ac:dyDescent="0.3">
      <c r="C435" s="2"/>
      <c r="D435" s="2"/>
      <c r="E435" s="140" t="str">
        <f>"Growth Capex: "&amp;E$159</f>
        <v>Growth Capex: FY31 Tranche</v>
      </c>
      <c r="F435" s="2"/>
      <c r="G435" s="2"/>
      <c r="H435" s="2"/>
      <c r="I435" s="2"/>
      <c r="J435" s="2"/>
      <c r="K435" s="2"/>
      <c r="L435" s="2"/>
      <c r="M435" s="2"/>
      <c r="N435" s="2"/>
      <c r="O435" s="2"/>
      <c r="P435" s="10"/>
      <c r="Q435" s="2"/>
      <c r="R435" s="497">
        <f t="shared" ref="R435:AW435" si="597">R478*-$W159*$R159</f>
        <v>0</v>
      </c>
      <c r="S435" s="497">
        <f t="shared" si="597"/>
        <v>0</v>
      </c>
      <c r="T435" s="497">
        <f t="shared" si="597"/>
        <v>0</v>
      </c>
      <c r="U435" s="497">
        <f t="shared" si="597"/>
        <v>0</v>
      </c>
      <c r="V435" s="497">
        <f t="shared" si="597"/>
        <v>0</v>
      </c>
      <c r="W435" s="497">
        <f t="shared" si="597"/>
        <v>0</v>
      </c>
      <c r="X435" s="497">
        <f t="shared" si="597"/>
        <v>0</v>
      </c>
      <c r="Y435" s="497">
        <f t="shared" si="597"/>
        <v>0</v>
      </c>
      <c r="Z435" s="497">
        <f t="shared" si="597"/>
        <v>0</v>
      </c>
      <c r="AA435" s="497">
        <f t="shared" si="597"/>
        <v>0</v>
      </c>
      <c r="AB435" s="497">
        <f t="shared" si="597"/>
        <v>0</v>
      </c>
      <c r="AC435" s="497">
        <f t="shared" si="597"/>
        <v>0</v>
      </c>
      <c r="AD435" s="497">
        <f t="shared" si="597"/>
        <v>0</v>
      </c>
      <c r="AE435" s="497">
        <f t="shared" si="597"/>
        <v>0</v>
      </c>
      <c r="AF435" s="497">
        <f t="shared" si="597"/>
        <v>0</v>
      </c>
      <c r="AG435" s="497">
        <f t="shared" si="597"/>
        <v>0</v>
      </c>
      <c r="AH435" s="497">
        <f t="shared" si="597"/>
        <v>0</v>
      </c>
      <c r="AI435" s="497">
        <f t="shared" si="597"/>
        <v>0</v>
      </c>
      <c r="AJ435" s="497">
        <f t="shared" si="597"/>
        <v>0</v>
      </c>
      <c r="AK435" s="497">
        <f t="shared" si="597"/>
        <v>0</v>
      </c>
      <c r="AL435" s="497">
        <f t="shared" si="597"/>
        <v>0</v>
      </c>
      <c r="AM435" s="497">
        <f t="shared" si="597"/>
        <v>0</v>
      </c>
      <c r="AN435" s="527">
        <f t="shared" si="597"/>
        <v>0</v>
      </c>
      <c r="AO435" s="527">
        <f t="shared" si="597"/>
        <v>0</v>
      </c>
      <c r="AP435" s="527">
        <f t="shared" si="597"/>
        <v>0</v>
      </c>
      <c r="AQ435" s="527">
        <f t="shared" si="597"/>
        <v>0</v>
      </c>
      <c r="AR435" s="527">
        <f t="shared" si="597"/>
        <v>0</v>
      </c>
      <c r="AS435" s="527">
        <f t="shared" si="597"/>
        <v>0</v>
      </c>
      <c r="AT435" s="527">
        <f t="shared" si="597"/>
        <v>0</v>
      </c>
      <c r="AU435" s="527">
        <f t="shared" si="597"/>
        <v>0</v>
      </c>
      <c r="AV435" s="527">
        <f t="shared" si="597"/>
        <v>0</v>
      </c>
      <c r="AW435" s="527">
        <f t="shared" si="597"/>
        <v>0</v>
      </c>
      <c r="AX435" s="527">
        <f t="shared" ref="AX435:BY435" si="598">AX478*-$W159*$R159</f>
        <v>0</v>
      </c>
      <c r="AY435" s="527">
        <f t="shared" si="598"/>
        <v>0</v>
      </c>
      <c r="AZ435" s="527">
        <f t="shared" si="598"/>
        <v>0</v>
      </c>
      <c r="BA435" s="527">
        <f t="shared" si="598"/>
        <v>0</v>
      </c>
      <c r="BB435" s="527">
        <f t="shared" si="598"/>
        <v>0</v>
      </c>
      <c r="BC435" s="527">
        <f t="shared" si="598"/>
        <v>0</v>
      </c>
      <c r="BD435" s="527">
        <f t="shared" si="598"/>
        <v>0</v>
      </c>
      <c r="BE435" s="527">
        <f t="shared" si="598"/>
        <v>0</v>
      </c>
      <c r="BF435" s="527">
        <f t="shared" si="598"/>
        <v>0</v>
      </c>
      <c r="BG435" s="527">
        <f t="shared" si="598"/>
        <v>0</v>
      </c>
      <c r="BH435" s="527">
        <f t="shared" si="598"/>
        <v>0</v>
      </c>
      <c r="BI435" s="527">
        <f t="shared" si="598"/>
        <v>0</v>
      </c>
      <c r="BJ435" s="527">
        <f t="shared" si="598"/>
        <v>0</v>
      </c>
      <c r="BK435" s="527">
        <f t="shared" si="598"/>
        <v>0</v>
      </c>
      <c r="BL435" s="527">
        <f t="shared" si="598"/>
        <v>0</v>
      </c>
      <c r="BM435" s="527">
        <f t="shared" si="598"/>
        <v>0</v>
      </c>
      <c r="BN435" s="527">
        <f t="shared" si="598"/>
        <v>0</v>
      </c>
      <c r="BO435" s="527">
        <f t="shared" si="598"/>
        <v>0</v>
      </c>
      <c r="BP435" s="527">
        <f t="shared" si="598"/>
        <v>0</v>
      </c>
      <c r="BQ435" s="527">
        <f t="shared" si="598"/>
        <v>0</v>
      </c>
      <c r="BR435" s="527">
        <f t="shared" si="598"/>
        <v>0</v>
      </c>
      <c r="BS435" s="527">
        <f t="shared" si="598"/>
        <v>-220134.85239955215</v>
      </c>
      <c r="BT435" s="527">
        <f t="shared" si="598"/>
        <v>0</v>
      </c>
      <c r="BU435" s="527">
        <f t="shared" si="598"/>
        <v>0</v>
      </c>
      <c r="BV435" s="527">
        <f t="shared" si="598"/>
        <v>0</v>
      </c>
      <c r="BW435" s="527">
        <f t="shared" si="598"/>
        <v>0</v>
      </c>
      <c r="BX435" s="527">
        <f t="shared" si="598"/>
        <v>0</v>
      </c>
      <c r="BY435" s="527">
        <f t="shared" si="598"/>
        <v>0</v>
      </c>
    </row>
    <row r="436" spans="3:77" x14ac:dyDescent="0.3">
      <c r="C436" s="2"/>
      <c r="D436" s="2"/>
      <c r="E436" s="140" t="str">
        <f>"Growth Capex: "&amp;E$160</f>
        <v>Growth Capex: Uninvested Tranche</v>
      </c>
      <c r="F436" s="2"/>
      <c r="G436" s="2"/>
      <c r="H436" s="2"/>
      <c r="I436" s="2"/>
      <c r="J436" s="2"/>
      <c r="K436" s="2"/>
      <c r="L436" s="2"/>
      <c r="M436" s="2"/>
      <c r="N436" s="2"/>
      <c r="O436" s="2"/>
      <c r="P436" s="10"/>
      <c r="Q436" s="2"/>
      <c r="R436" s="497">
        <f t="shared" ref="R436:AW436" si="599">R479*-$W160*$R160</f>
        <v>0</v>
      </c>
      <c r="S436" s="497">
        <f t="shared" si="599"/>
        <v>0</v>
      </c>
      <c r="T436" s="497">
        <f t="shared" si="599"/>
        <v>0</v>
      </c>
      <c r="U436" s="497">
        <f t="shared" si="599"/>
        <v>0</v>
      </c>
      <c r="V436" s="497">
        <f t="shared" si="599"/>
        <v>0</v>
      </c>
      <c r="W436" s="497">
        <f t="shared" si="599"/>
        <v>0</v>
      </c>
      <c r="X436" s="497">
        <f t="shared" si="599"/>
        <v>0</v>
      </c>
      <c r="Y436" s="497">
        <f t="shared" si="599"/>
        <v>0</v>
      </c>
      <c r="Z436" s="497">
        <f t="shared" si="599"/>
        <v>0</v>
      </c>
      <c r="AA436" s="497">
        <f t="shared" si="599"/>
        <v>0</v>
      </c>
      <c r="AB436" s="497">
        <f t="shared" si="599"/>
        <v>0</v>
      </c>
      <c r="AC436" s="497">
        <f t="shared" si="599"/>
        <v>0</v>
      </c>
      <c r="AD436" s="497">
        <f t="shared" si="599"/>
        <v>0</v>
      </c>
      <c r="AE436" s="497">
        <f t="shared" si="599"/>
        <v>0</v>
      </c>
      <c r="AF436" s="497">
        <f t="shared" si="599"/>
        <v>0</v>
      </c>
      <c r="AG436" s="497">
        <f t="shared" si="599"/>
        <v>0</v>
      </c>
      <c r="AH436" s="497">
        <f t="shared" si="599"/>
        <v>0</v>
      </c>
      <c r="AI436" s="497">
        <f t="shared" si="599"/>
        <v>0</v>
      </c>
      <c r="AJ436" s="497">
        <f t="shared" si="599"/>
        <v>0</v>
      </c>
      <c r="AK436" s="497">
        <f t="shared" si="599"/>
        <v>0</v>
      </c>
      <c r="AL436" s="497">
        <f t="shared" si="599"/>
        <v>0</v>
      </c>
      <c r="AM436" s="497">
        <f t="shared" si="599"/>
        <v>0</v>
      </c>
      <c r="AN436" s="527">
        <f t="shared" si="599"/>
        <v>0</v>
      </c>
      <c r="AO436" s="527">
        <f t="shared" si="599"/>
        <v>0</v>
      </c>
      <c r="AP436" s="527">
        <f t="shared" si="599"/>
        <v>0</v>
      </c>
      <c r="AQ436" s="527">
        <f t="shared" si="599"/>
        <v>0</v>
      </c>
      <c r="AR436" s="527">
        <f t="shared" si="599"/>
        <v>0</v>
      </c>
      <c r="AS436" s="527">
        <f t="shared" si="599"/>
        <v>0</v>
      </c>
      <c r="AT436" s="527">
        <f t="shared" si="599"/>
        <v>0</v>
      </c>
      <c r="AU436" s="527">
        <f t="shared" si="599"/>
        <v>0</v>
      </c>
      <c r="AV436" s="527">
        <f t="shared" si="599"/>
        <v>0</v>
      </c>
      <c r="AW436" s="527">
        <f t="shared" si="599"/>
        <v>0</v>
      </c>
      <c r="AX436" s="527">
        <f t="shared" ref="AX436:BY436" si="600">AX479*-$W160*$R160</f>
        <v>0</v>
      </c>
      <c r="AY436" s="527">
        <f t="shared" si="600"/>
        <v>0</v>
      </c>
      <c r="AZ436" s="527">
        <f t="shared" si="600"/>
        <v>0</v>
      </c>
      <c r="BA436" s="527">
        <f t="shared" si="600"/>
        <v>0</v>
      </c>
      <c r="BB436" s="527">
        <f t="shared" si="600"/>
        <v>0</v>
      </c>
      <c r="BC436" s="527">
        <f t="shared" si="600"/>
        <v>0</v>
      </c>
      <c r="BD436" s="527">
        <f t="shared" si="600"/>
        <v>0</v>
      </c>
      <c r="BE436" s="527">
        <f t="shared" si="600"/>
        <v>0</v>
      </c>
      <c r="BF436" s="527">
        <f t="shared" si="600"/>
        <v>0</v>
      </c>
      <c r="BG436" s="527">
        <f t="shared" si="600"/>
        <v>0</v>
      </c>
      <c r="BH436" s="527">
        <f t="shared" si="600"/>
        <v>0</v>
      </c>
      <c r="BI436" s="527">
        <f t="shared" si="600"/>
        <v>0</v>
      </c>
      <c r="BJ436" s="527">
        <f t="shared" si="600"/>
        <v>0</v>
      </c>
      <c r="BK436" s="527">
        <f t="shared" si="600"/>
        <v>0</v>
      </c>
      <c r="BL436" s="527">
        <f t="shared" si="600"/>
        <v>0</v>
      </c>
      <c r="BM436" s="527">
        <f t="shared" si="600"/>
        <v>0</v>
      </c>
      <c r="BN436" s="527">
        <f t="shared" si="600"/>
        <v>0</v>
      </c>
      <c r="BO436" s="527">
        <f t="shared" si="600"/>
        <v>0</v>
      </c>
      <c r="BP436" s="527">
        <f t="shared" si="600"/>
        <v>0</v>
      </c>
      <c r="BQ436" s="527">
        <f t="shared" si="600"/>
        <v>0</v>
      </c>
      <c r="BR436" s="527">
        <f t="shared" si="600"/>
        <v>0</v>
      </c>
      <c r="BS436" s="527">
        <f t="shared" si="600"/>
        <v>0</v>
      </c>
      <c r="BT436" s="527">
        <f t="shared" si="600"/>
        <v>0</v>
      </c>
      <c r="BU436" s="527">
        <f t="shared" si="600"/>
        <v>0</v>
      </c>
      <c r="BV436" s="527">
        <f t="shared" si="600"/>
        <v>0</v>
      </c>
      <c r="BW436" s="527">
        <f t="shared" si="600"/>
        <v>0</v>
      </c>
      <c r="BX436" s="527">
        <f t="shared" si="600"/>
        <v>0</v>
      </c>
      <c r="BY436" s="527">
        <f t="shared" si="600"/>
        <v>0</v>
      </c>
    </row>
    <row r="437" spans="3:77" x14ac:dyDescent="0.3">
      <c r="C437" s="2"/>
      <c r="D437" s="2"/>
      <c r="E437" s="4" t="s">
        <v>36</v>
      </c>
      <c r="F437" s="4"/>
      <c r="G437" s="4"/>
      <c r="H437" s="4"/>
      <c r="I437" s="4"/>
      <c r="J437" s="4"/>
      <c r="K437" s="4"/>
      <c r="L437" s="4"/>
      <c r="M437" s="4"/>
      <c r="N437" s="4"/>
      <c r="O437" s="4"/>
      <c r="P437" s="106"/>
      <c r="Q437" s="4"/>
      <c r="R437" s="498">
        <f t="shared" ref="R437:AW437" si="601">SUM(R431:R436)</f>
        <v>0</v>
      </c>
      <c r="S437" s="498">
        <f t="shared" si="601"/>
        <v>0</v>
      </c>
      <c r="T437" s="498">
        <f t="shared" si="601"/>
        <v>0</v>
      </c>
      <c r="U437" s="498">
        <f t="shared" si="601"/>
        <v>0</v>
      </c>
      <c r="V437" s="498">
        <f t="shared" si="601"/>
        <v>0</v>
      </c>
      <c r="W437" s="498">
        <f t="shared" si="601"/>
        <v>-202041.75929919144</v>
      </c>
      <c r="X437" s="498">
        <f t="shared" si="601"/>
        <v>0</v>
      </c>
      <c r="Y437" s="498">
        <f t="shared" si="601"/>
        <v>0</v>
      </c>
      <c r="Z437" s="498">
        <f t="shared" si="601"/>
        <v>0</v>
      </c>
      <c r="AA437" s="498">
        <f t="shared" si="601"/>
        <v>0</v>
      </c>
      <c r="AB437" s="498">
        <f t="shared" si="601"/>
        <v>0</v>
      </c>
      <c r="AC437" s="498">
        <f t="shared" si="601"/>
        <v>0</v>
      </c>
      <c r="AD437" s="498">
        <f t="shared" si="601"/>
        <v>0</v>
      </c>
      <c r="AE437" s="498">
        <f t="shared" si="601"/>
        <v>0</v>
      </c>
      <c r="AF437" s="498">
        <f t="shared" si="601"/>
        <v>0</v>
      </c>
      <c r="AG437" s="498">
        <f t="shared" si="601"/>
        <v>0</v>
      </c>
      <c r="AH437" s="498">
        <f t="shared" si="601"/>
        <v>0</v>
      </c>
      <c r="AI437" s="498">
        <f t="shared" si="601"/>
        <v>-206900.82325488928</v>
      </c>
      <c r="AJ437" s="498">
        <f t="shared" si="601"/>
        <v>0</v>
      </c>
      <c r="AK437" s="498">
        <f t="shared" si="601"/>
        <v>0</v>
      </c>
      <c r="AL437" s="498">
        <f t="shared" si="601"/>
        <v>0</v>
      </c>
      <c r="AM437" s="498">
        <f t="shared" si="601"/>
        <v>0</v>
      </c>
      <c r="AN437" s="530">
        <f t="shared" si="601"/>
        <v>0</v>
      </c>
      <c r="AO437" s="530">
        <f t="shared" si="601"/>
        <v>0</v>
      </c>
      <c r="AP437" s="530">
        <f t="shared" si="601"/>
        <v>0</v>
      </c>
      <c r="AQ437" s="530">
        <f t="shared" si="601"/>
        <v>0</v>
      </c>
      <c r="AR437" s="530">
        <f t="shared" si="601"/>
        <v>0</v>
      </c>
      <c r="AS437" s="530">
        <f t="shared" si="601"/>
        <v>0</v>
      </c>
      <c r="AT437" s="530">
        <f t="shared" si="601"/>
        <v>0</v>
      </c>
      <c r="AU437" s="530">
        <f t="shared" si="601"/>
        <v>-211546.66088872054</v>
      </c>
      <c r="AV437" s="530">
        <f t="shared" si="601"/>
        <v>0</v>
      </c>
      <c r="AW437" s="530">
        <f t="shared" si="601"/>
        <v>0</v>
      </c>
      <c r="AX437" s="530">
        <f t="shared" ref="AX437:BY437" si="602">SUM(AX431:AX436)</f>
        <v>0</v>
      </c>
      <c r="AY437" s="530">
        <f t="shared" si="602"/>
        <v>0</v>
      </c>
      <c r="AZ437" s="530">
        <f t="shared" si="602"/>
        <v>0</v>
      </c>
      <c r="BA437" s="530">
        <f t="shared" si="602"/>
        <v>0</v>
      </c>
      <c r="BB437" s="530">
        <f t="shared" si="602"/>
        <v>0</v>
      </c>
      <c r="BC437" s="530">
        <f t="shared" si="602"/>
        <v>0</v>
      </c>
      <c r="BD437" s="530">
        <f t="shared" si="602"/>
        <v>0</v>
      </c>
      <c r="BE437" s="530">
        <f t="shared" si="602"/>
        <v>0</v>
      </c>
      <c r="BF437" s="530">
        <f t="shared" si="602"/>
        <v>0</v>
      </c>
      <c r="BG437" s="530">
        <f t="shared" si="602"/>
        <v>-215920.9442088253</v>
      </c>
      <c r="BH437" s="530">
        <f t="shared" si="602"/>
        <v>0</v>
      </c>
      <c r="BI437" s="530">
        <f t="shared" si="602"/>
        <v>0</v>
      </c>
      <c r="BJ437" s="530">
        <f t="shared" si="602"/>
        <v>0</v>
      </c>
      <c r="BK437" s="530">
        <f t="shared" si="602"/>
        <v>0</v>
      </c>
      <c r="BL437" s="530">
        <f t="shared" si="602"/>
        <v>0</v>
      </c>
      <c r="BM437" s="530">
        <f t="shared" si="602"/>
        <v>0</v>
      </c>
      <c r="BN437" s="530">
        <f t="shared" si="602"/>
        <v>0</v>
      </c>
      <c r="BO437" s="530">
        <f t="shared" si="602"/>
        <v>0</v>
      </c>
      <c r="BP437" s="530">
        <f t="shared" si="602"/>
        <v>0</v>
      </c>
      <c r="BQ437" s="530">
        <f t="shared" si="602"/>
        <v>0</v>
      </c>
      <c r="BR437" s="530">
        <f t="shared" si="602"/>
        <v>0</v>
      </c>
      <c r="BS437" s="530">
        <f t="shared" si="602"/>
        <v>-220134.85239955215</v>
      </c>
      <c r="BT437" s="530">
        <f t="shared" si="602"/>
        <v>0</v>
      </c>
      <c r="BU437" s="530">
        <f t="shared" si="602"/>
        <v>0</v>
      </c>
      <c r="BV437" s="530">
        <f t="shared" si="602"/>
        <v>0</v>
      </c>
      <c r="BW437" s="530">
        <f t="shared" si="602"/>
        <v>0</v>
      </c>
      <c r="BX437" s="530">
        <f t="shared" si="602"/>
        <v>0</v>
      </c>
      <c r="BY437" s="530">
        <f t="shared" si="602"/>
        <v>0</v>
      </c>
    </row>
    <row r="438" spans="3:77" x14ac:dyDescent="0.3">
      <c r="C438" s="2"/>
      <c r="D438" s="2"/>
      <c r="E438" s="2"/>
      <c r="F438" s="2"/>
      <c r="G438" s="2"/>
      <c r="H438" s="2"/>
      <c r="I438" s="2"/>
      <c r="J438" s="2"/>
      <c r="K438" s="2"/>
      <c r="L438" s="2"/>
      <c r="M438" s="2"/>
      <c r="N438" s="2"/>
      <c r="O438" s="2"/>
      <c r="P438" s="10"/>
      <c r="Q438" s="2"/>
      <c r="R438" s="2"/>
      <c r="S438" s="2"/>
      <c r="T438" s="2"/>
      <c r="U438" s="2"/>
      <c r="V438" s="2"/>
      <c r="W438" s="2"/>
      <c r="X438" s="2"/>
      <c r="Y438" s="2"/>
      <c r="Z438" s="2"/>
      <c r="AA438" s="2"/>
      <c r="AB438" s="2"/>
      <c r="AC438" s="2"/>
      <c r="AD438" s="2"/>
      <c r="AE438" s="2"/>
      <c r="AF438" s="2"/>
      <c r="AG438" s="2"/>
      <c r="AH438" s="2"/>
      <c r="AI438" s="2"/>
      <c r="AJ438" s="2"/>
      <c r="AK438" s="2"/>
      <c r="AL438" s="2"/>
      <c r="AM438" s="2"/>
      <c r="AN438" s="525"/>
      <c r="AO438" s="525"/>
      <c r="AP438" s="525"/>
      <c r="AQ438" s="525"/>
      <c r="AR438" s="525"/>
      <c r="AS438" s="525"/>
      <c r="AT438" s="525"/>
      <c r="AU438" s="525"/>
      <c r="AV438" s="525"/>
      <c r="AW438" s="525"/>
      <c r="AX438" s="525"/>
      <c r="AY438" s="525"/>
      <c r="AZ438" s="525"/>
      <c r="BA438" s="525"/>
      <c r="BB438" s="525"/>
      <c r="BC438" s="525"/>
      <c r="BD438" s="525"/>
      <c r="BE438" s="525"/>
      <c r="BF438" s="525"/>
      <c r="BG438" s="525"/>
      <c r="BH438" s="525"/>
      <c r="BI438" s="525"/>
      <c r="BJ438" s="525"/>
      <c r="BK438" s="525"/>
      <c r="BL438" s="525"/>
      <c r="BM438" s="525"/>
      <c r="BN438" s="525"/>
      <c r="BO438" s="525"/>
      <c r="BP438" s="525"/>
      <c r="BQ438" s="525"/>
      <c r="BR438" s="525"/>
      <c r="BS438" s="525"/>
      <c r="BT438" s="525"/>
      <c r="BU438" s="525"/>
      <c r="BV438" s="525"/>
      <c r="BW438" s="525"/>
      <c r="BX438" s="525"/>
      <c r="BY438" s="525"/>
    </row>
    <row r="439" spans="3:77" x14ac:dyDescent="0.3">
      <c r="C439" s="2"/>
      <c r="D439" s="2"/>
      <c r="E439" s="141" t="str">
        <f>"Maintenance capex: "&amp;E$155</f>
        <v>Maintenance capex: FY27 Tranche</v>
      </c>
      <c r="F439" s="2"/>
      <c r="G439" s="2"/>
      <c r="H439" s="2"/>
      <c r="I439" s="2"/>
      <c r="J439" s="2"/>
      <c r="K439" s="2"/>
      <c r="L439" s="2"/>
      <c r="M439" s="2"/>
      <c r="N439" s="2"/>
      <c r="O439" s="2"/>
      <c r="P439" s="10"/>
      <c r="Q439" s="2"/>
      <c r="R439" s="497">
        <f t="shared" ref="R439:AW439" si="603">(R$622*$R155)</f>
        <v>-3400</v>
      </c>
      <c r="S439" s="497">
        <f t="shared" si="603"/>
        <v>-3400</v>
      </c>
      <c r="T439" s="497">
        <f t="shared" si="603"/>
        <v>-3400</v>
      </c>
      <c r="U439" s="497">
        <f t="shared" si="603"/>
        <v>-3400</v>
      </c>
      <c r="V439" s="497">
        <f t="shared" si="603"/>
        <v>-3400</v>
      </c>
      <c r="W439" s="497">
        <f t="shared" si="603"/>
        <v>-3400</v>
      </c>
      <c r="X439" s="497">
        <f t="shared" si="603"/>
        <v>-3400</v>
      </c>
      <c r="Y439" s="497">
        <f t="shared" si="603"/>
        <v>-3400</v>
      </c>
      <c r="Z439" s="497">
        <f t="shared" si="603"/>
        <v>-3400</v>
      </c>
      <c r="AA439" s="497">
        <f t="shared" si="603"/>
        <v>-3400</v>
      </c>
      <c r="AB439" s="497">
        <f t="shared" si="603"/>
        <v>-3400</v>
      </c>
      <c r="AC439" s="497">
        <f t="shared" si="603"/>
        <v>-3400</v>
      </c>
      <c r="AD439" s="497">
        <f t="shared" si="603"/>
        <v>-3467.9999999999995</v>
      </c>
      <c r="AE439" s="497">
        <f t="shared" si="603"/>
        <v>-3467.9999999999995</v>
      </c>
      <c r="AF439" s="497">
        <f t="shared" si="603"/>
        <v>-3467.9999999999995</v>
      </c>
      <c r="AG439" s="497">
        <f t="shared" si="603"/>
        <v>-3467.9999999999995</v>
      </c>
      <c r="AH439" s="497">
        <f t="shared" si="603"/>
        <v>-3467.9999999999995</v>
      </c>
      <c r="AI439" s="497">
        <f t="shared" si="603"/>
        <v>-3467.9999999999995</v>
      </c>
      <c r="AJ439" s="497">
        <f t="shared" si="603"/>
        <v>-3467.9999999999995</v>
      </c>
      <c r="AK439" s="497">
        <f t="shared" si="603"/>
        <v>-3467.9999999999995</v>
      </c>
      <c r="AL439" s="497">
        <f t="shared" si="603"/>
        <v>-3467.9999999999995</v>
      </c>
      <c r="AM439" s="497">
        <f t="shared" si="603"/>
        <v>-3467.9999999999995</v>
      </c>
      <c r="AN439" s="527">
        <f t="shared" si="603"/>
        <v>-3467.9999999999995</v>
      </c>
      <c r="AO439" s="527">
        <f t="shared" si="603"/>
        <v>-3467.9999999999995</v>
      </c>
      <c r="AP439" s="527">
        <f t="shared" si="603"/>
        <v>-3537.3599999999997</v>
      </c>
      <c r="AQ439" s="527">
        <f t="shared" si="603"/>
        <v>-3537.3599999999997</v>
      </c>
      <c r="AR439" s="527">
        <f t="shared" si="603"/>
        <v>-3537.3599999999997</v>
      </c>
      <c r="AS439" s="527">
        <f t="shared" si="603"/>
        <v>-3537.3599999999997</v>
      </c>
      <c r="AT439" s="527">
        <f t="shared" si="603"/>
        <v>-3537.3599999999997</v>
      </c>
      <c r="AU439" s="527">
        <f t="shared" si="603"/>
        <v>-3537.3599999999997</v>
      </c>
      <c r="AV439" s="527">
        <f t="shared" si="603"/>
        <v>-3537.3599999999997</v>
      </c>
      <c r="AW439" s="527">
        <f t="shared" si="603"/>
        <v>-3537.3599999999997</v>
      </c>
      <c r="AX439" s="527">
        <f t="shared" ref="AX439:BY439" si="604">(AX$622*$R155)</f>
        <v>-3537.3599999999997</v>
      </c>
      <c r="AY439" s="527">
        <f t="shared" si="604"/>
        <v>-3537.3599999999997</v>
      </c>
      <c r="AZ439" s="527">
        <f t="shared" si="604"/>
        <v>-3537.3599999999997</v>
      </c>
      <c r="BA439" s="527">
        <f t="shared" si="604"/>
        <v>-3537.3599999999997</v>
      </c>
      <c r="BB439" s="527">
        <f t="shared" si="604"/>
        <v>-3608.1071999999999</v>
      </c>
      <c r="BC439" s="527">
        <f t="shared" si="604"/>
        <v>-3608.1071999999999</v>
      </c>
      <c r="BD439" s="527">
        <f t="shared" si="604"/>
        <v>-3608.1071999999999</v>
      </c>
      <c r="BE439" s="527">
        <f t="shared" si="604"/>
        <v>-3608.1071999999999</v>
      </c>
      <c r="BF439" s="527">
        <f t="shared" si="604"/>
        <v>-3608.1071999999999</v>
      </c>
      <c r="BG439" s="527">
        <f t="shared" si="604"/>
        <v>-3608.1071999999999</v>
      </c>
      <c r="BH439" s="527">
        <f t="shared" si="604"/>
        <v>-3608.1071999999999</v>
      </c>
      <c r="BI439" s="527">
        <f t="shared" si="604"/>
        <v>-3608.1071999999999</v>
      </c>
      <c r="BJ439" s="527">
        <f t="shared" si="604"/>
        <v>-3608.1071999999999</v>
      </c>
      <c r="BK439" s="527">
        <f t="shared" si="604"/>
        <v>-3608.1071999999999</v>
      </c>
      <c r="BL439" s="527">
        <f t="shared" si="604"/>
        <v>-3608.1071999999999</v>
      </c>
      <c r="BM439" s="527">
        <f t="shared" si="604"/>
        <v>-3608.1071999999999</v>
      </c>
      <c r="BN439" s="527">
        <f t="shared" si="604"/>
        <v>-3680.2693440000007</v>
      </c>
      <c r="BO439" s="527">
        <f t="shared" si="604"/>
        <v>-3680.2693440000007</v>
      </c>
      <c r="BP439" s="527">
        <f t="shared" si="604"/>
        <v>-3680.2693440000007</v>
      </c>
      <c r="BQ439" s="527">
        <f t="shared" si="604"/>
        <v>-3680.2693440000007</v>
      </c>
      <c r="BR439" s="527">
        <f t="shared" si="604"/>
        <v>-3680.2693440000007</v>
      </c>
      <c r="BS439" s="527">
        <f t="shared" si="604"/>
        <v>-3680.2693440000007</v>
      </c>
      <c r="BT439" s="527">
        <f t="shared" si="604"/>
        <v>-3680.2693440000007</v>
      </c>
      <c r="BU439" s="527">
        <f t="shared" si="604"/>
        <v>-3680.2693440000007</v>
      </c>
      <c r="BV439" s="527">
        <f t="shared" si="604"/>
        <v>-3680.2693440000007</v>
      </c>
      <c r="BW439" s="527">
        <f t="shared" si="604"/>
        <v>-3680.2693440000007</v>
      </c>
      <c r="BX439" s="527">
        <f t="shared" si="604"/>
        <v>-3680.2693440000007</v>
      </c>
      <c r="BY439" s="527">
        <f t="shared" si="604"/>
        <v>-3680.2693440000007</v>
      </c>
    </row>
    <row r="440" spans="3:77" x14ac:dyDescent="0.3">
      <c r="C440" s="2"/>
      <c r="D440" s="2"/>
      <c r="E440" s="141" t="str">
        <f>"Maintenance capex: "&amp;E$156</f>
        <v>Maintenance capex: FY28 Tranche</v>
      </c>
      <c r="F440" s="2"/>
      <c r="G440" s="2"/>
      <c r="H440" s="2"/>
      <c r="I440" s="2"/>
      <c r="J440" s="2"/>
      <c r="K440" s="2"/>
      <c r="L440" s="2"/>
      <c r="M440" s="2"/>
      <c r="N440" s="2"/>
      <c r="O440" s="2"/>
      <c r="P440" s="10"/>
      <c r="Q440" s="2"/>
      <c r="R440" s="497">
        <f t="shared" ref="R440:AW440" si="605">(R$622*$R156)</f>
        <v>-3400</v>
      </c>
      <c r="S440" s="497">
        <f t="shared" si="605"/>
        <v>-3400</v>
      </c>
      <c r="T440" s="497">
        <f t="shared" si="605"/>
        <v>-3400</v>
      </c>
      <c r="U440" s="497">
        <f t="shared" si="605"/>
        <v>-3400</v>
      </c>
      <c r="V440" s="497">
        <f t="shared" si="605"/>
        <v>-3400</v>
      </c>
      <c r="W440" s="497">
        <f t="shared" si="605"/>
        <v>-3400</v>
      </c>
      <c r="X440" s="497">
        <f t="shared" si="605"/>
        <v>-3400</v>
      </c>
      <c r="Y440" s="497">
        <f t="shared" si="605"/>
        <v>-3400</v>
      </c>
      <c r="Z440" s="497">
        <f t="shared" si="605"/>
        <v>-3400</v>
      </c>
      <c r="AA440" s="497">
        <f t="shared" si="605"/>
        <v>-3400</v>
      </c>
      <c r="AB440" s="497">
        <f t="shared" si="605"/>
        <v>-3400</v>
      </c>
      <c r="AC440" s="497">
        <f t="shared" si="605"/>
        <v>-3400</v>
      </c>
      <c r="AD440" s="497">
        <f t="shared" si="605"/>
        <v>-3467.9999999999995</v>
      </c>
      <c r="AE440" s="497">
        <f t="shared" si="605"/>
        <v>-3467.9999999999995</v>
      </c>
      <c r="AF440" s="497">
        <f t="shared" si="605"/>
        <v>-3467.9999999999995</v>
      </c>
      <c r="AG440" s="497">
        <f t="shared" si="605"/>
        <v>-3467.9999999999995</v>
      </c>
      <c r="AH440" s="497">
        <f t="shared" si="605"/>
        <v>-3467.9999999999995</v>
      </c>
      <c r="AI440" s="497">
        <f t="shared" si="605"/>
        <v>-3467.9999999999995</v>
      </c>
      <c r="AJ440" s="497">
        <f t="shared" si="605"/>
        <v>-3467.9999999999995</v>
      </c>
      <c r="AK440" s="497">
        <f t="shared" si="605"/>
        <v>-3467.9999999999995</v>
      </c>
      <c r="AL440" s="497">
        <f t="shared" si="605"/>
        <v>-3467.9999999999995</v>
      </c>
      <c r="AM440" s="497">
        <f t="shared" si="605"/>
        <v>-3467.9999999999995</v>
      </c>
      <c r="AN440" s="527">
        <f t="shared" si="605"/>
        <v>-3467.9999999999995</v>
      </c>
      <c r="AO440" s="527">
        <f t="shared" si="605"/>
        <v>-3467.9999999999995</v>
      </c>
      <c r="AP440" s="527">
        <f t="shared" si="605"/>
        <v>-3537.3599999999997</v>
      </c>
      <c r="AQ440" s="527">
        <f t="shared" si="605"/>
        <v>-3537.3599999999997</v>
      </c>
      <c r="AR440" s="527">
        <f t="shared" si="605"/>
        <v>-3537.3599999999997</v>
      </c>
      <c r="AS440" s="527">
        <f t="shared" si="605"/>
        <v>-3537.3599999999997</v>
      </c>
      <c r="AT440" s="527">
        <f t="shared" si="605"/>
        <v>-3537.3599999999997</v>
      </c>
      <c r="AU440" s="527">
        <f t="shared" si="605"/>
        <v>-3537.3599999999997</v>
      </c>
      <c r="AV440" s="527">
        <f t="shared" si="605"/>
        <v>-3537.3599999999997</v>
      </c>
      <c r="AW440" s="527">
        <f t="shared" si="605"/>
        <v>-3537.3599999999997</v>
      </c>
      <c r="AX440" s="527">
        <f t="shared" ref="AX440:BY440" si="606">(AX$622*$R156)</f>
        <v>-3537.3599999999997</v>
      </c>
      <c r="AY440" s="527">
        <f t="shared" si="606"/>
        <v>-3537.3599999999997</v>
      </c>
      <c r="AZ440" s="527">
        <f t="shared" si="606"/>
        <v>-3537.3599999999997</v>
      </c>
      <c r="BA440" s="527">
        <f t="shared" si="606"/>
        <v>-3537.3599999999997</v>
      </c>
      <c r="BB440" s="527">
        <f t="shared" si="606"/>
        <v>-3608.1071999999999</v>
      </c>
      <c r="BC440" s="527">
        <f t="shared" si="606"/>
        <v>-3608.1071999999999</v>
      </c>
      <c r="BD440" s="527">
        <f t="shared" si="606"/>
        <v>-3608.1071999999999</v>
      </c>
      <c r="BE440" s="527">
        <f t="shared" si="606"/>
        <v>-3608.1071999999999</v>
      </c>
      <c r="BF440" s="527">
        <f t="shared" si="606"/>
        <v>-3608.1071999999999</v>
      </c>
      <c r="BG440" s="527">
        <f t="shared" si="606"/>
        <v>-3608.1071999999999</v>
      </c>
      <c r="BH440" s="527">
        <f t="shared" si="606"/>
        <v>-3608.1071999999999</v>
      </c>
      <c r="BI440" s="527">
        <f t="shared" si="606"/>
        <v>-3608.1071999999999</v>
      </c>
      <c r="BJ440" s="527">
        <f t="shared" si="606"/>
        <v>-3608.1071999999999</v>
      </c>
      <c r="BK440" s="527">
        <f t="shared" si="606"/>
        <v>-3608.1071999999999</v>
      </c>
      <c r="BL440" s="527">
        <f t="shared" si="606"/>
        <v>-3608.1071999999999</v>
      </c>
      <c r="BM440" s="527">
        <f t="shared" si="606"/>
        <v>-3608.1071999999999</v>
      </c>
      <c r="BN440" s="527">
        <f t="shared" si="606"/>
        <v>-3680.2693440000007</v>
      </c>
      <c r="BO440" s="527">
        <f t="shared" si="606"/>
        <v>-3680.2693440000007</v>
      </c>
      <c r="BP440" s="527">
        <f t="shared" si="606"/>
        <v>-3680.2693440000007</v>
      </c>
      <c r="BQ440" s="527">
        <f t="shared" si="606"/>
        <v>-3680.2693440000007</v>
      </c>
      <c r="BR440" s="527">
        <f t="shared" si="606"/>
        <v>-3680.2693440000007</v>
      </c>
      <c r="BS440" s="527">
        <f t="shared" si="606"/>
        <v>-3680.2693440000007</v>
      </c>
      <c r="BT440" s="527">
        <f t="shared" si="606"/>
        <v>-3680.2693440000007</v>
      </c>
      <c r="BU440" s="527">
        <f t="shared" si="606"/>
        <v>-3680.2693440000007</v>
      </c>
      <c r="BV440" s="527">
        <f t="shared" si="606"/>
        <v>-3680.2693440000007</v>
      </c>
      <c r="BW440" s="527">
        <f t="shared" si="606"/>
        <v>-3680.2693440000007</v>
      </c>
      <c r="BX440" s="527">
        <f t="shared" si="606"/>
        <v>-3680.2693440000007</v>
      </c>
      <c r="BY440" s="527">
        <f t="shared" si="606"/>
        <v>-3680.2693440000007</v>
      </c>
    </row>
    <row r="441" spans="3:77" x14ac:dyDescent="0.3">
      <c r="C441" s="2"/>
      <c r="D441" s="2"/>
      <c r="E441" s="141" t="str">
        <f>"Maintenance capex: "&amp;E$157</f>
        <v>Maintenance capex: FY29 Tranche</v>
      </c>
      <c r="F441" s="2"/>
      <c r="G441" s="2"/>
      <c r="H441" s="2"/>
      <c r="I441" s="2"/>
      <c r="J441" s="2"/>
      <c r="K441" s="2"/>
      <c r="L441" s="2"/>
      <c r="M441" s="2"/>
      <c r="N441" s="2"/>
      <c r="O441" s="2"/>
      <c r="P441" s="10"/>
      <c r="Q441" s="2"/>
      <c r="R441" s="497">
        <f t="shared" ref="R441:AW441" si="607">(R$622*$R157)</f>
        <v>-3400</v>
      </c>
      <c r="S441" s="497">
        <f t="shared" si="607"/>
        <v>-3400</v>
      </c>
      <c r="T441" s="497">
        <f t="shared" si="607"/>
        <v>-3400</v>
      </c>
      <c r="U441" s="497">
        <f t="shared" si="607"/>
        <v>-3400</v>
      </c>
      <c r="V441" s="497">
        <f t="shared" si="607"/>
        <v>-3400</v>
      </c>
      <c r="W441" s="497">
        <f t="shared" si="607"/>
        <v>-3400</v>
      </c>
      <c r="X441" s="497">
        <f t="shared" si="607"/>
        <v>-3400</v>
      </c>
      <c r="Y441" s="497">
        <f t="shared" si="607"/>
        <v>-3400</v>
      </c>
      <c r="Z441" s="497">
        <f t="shared" si="607"/>
        <v>-3400</v>
      </c>
      <c r="AA441" s="497">
        <f t="shared" si="607"/>
        <v>-3400</v>
      </c>
      <c r="AB441" s="497">
        <f t="shared" si="607"/>
        <v>-3400</v>
      </c>
      <c r="AC441" s="497">
        <f t="shared" si="607"/>
        <v>-3400</v>
      </c>
      <c r="AD441" s="497">
        <f t="shared" si="607"/>
        <v>-3467.9999999999995</v>
      </c>
      <c r="AE441" s="497">
        <f t="shared" si="607"/>
        <v>-3467.9999999999995</v>
      </c>
      <c r="AF441" s="497">
        <f t="shared" si="607"/>
        <v>-3467.9999999999995</v>
      </c>
      <c r="AG441" s="497">
        <f t="shared" si="607"/>
        <v>-3467.9999999999995</v>
      </c>
      <c r="AH441" s="497">
        <f t="shared" si="607"/>
        <v>-3467.9999999999995</v>
      </c>
      <c r="AI441" s="497">
        <f t="shared" si="607"/>
        <v>-3467.9999999999995</v>
      </c>
      <c r="AJ441" s="497">
        <f t="shared" si="607"/>
        <v>-3467.9999999999995</v>
      </c>
      <c r="AK441" s="497">
        <f t="shared" si="607"/>
        <v>-3467.9999999999995</v>
      </c>
      <c r="AL441" s="497">
        <f t="shared" si="607"/>
        <v>-3467.9999999999995</v>
      </c>
      <c r="AM441" s="497">
        <f t="shared" si="607"/>
        <v>-3467.9999999999995</v>
      </c>
      <c r="AN441" s="527">
        <f t="shared" si="607"/>
        <v>-3467.9999999999995</v>
      </c>
      <c r="AO441" s="527">
        <f t="shared" si="607"/>
        <v>-3467.9999999999995</v>
      </c>
      <c r="AP441" s="527">
        <f t="shared" si="607"/>
        <v>-3537.3599999999997</v>
      </c>
      <c r="AQ441" s="527">
        <f t="shared" si="607"/>
        <v>-3537.3599999999997</v>
      </c>
      <c r="AR441" s="527">
        <f t="shared" si="607"/>
        <v>-3537.3599999999997</v>
      </c>
      <c r="AS441" s="527">
        <f t="shared" si="607"/>
        <v>-3537.3599999999997</v>
      </c>
      <c r="AT441" s="527">
        <f t="shared" si="607"/>
        <v>-3537.3599999999997</v>
      </c>
      <c r="AU441" s="527">
        <f t="shared" si="607"/>
        <v>-3537.3599999999997</v>
      </c>
      <c r="AV441" s="527">
        <f t="shared" si="607"/>
        <v>-3537.3599999999997</v>
      </c>
      <c r="AW441" s="527">
        <f t="shared" si="607"/>
        <v>-3537.3599999999997</v>
      </c>
      <c r="AX441" s="527">
        <f t="shared" ref="AX441:BY441" si="608">(AX$622*$R157)</f>
        <v>-3537.3599999999997</v>
      </c>
      <c r="AY441" s="527">
        <f t="shared" si="608"/>
        <v>-3537.3599999999997</v>
      </c>
      <c r="AZ441" s="527">
        <f t="shared" si="608"/>
        <v>-3537.3599999999997</v>
      </c>
      <c r="BA441" s="527">
        <f t="shared" si="608"/>
        <v>-3537.3599999999997</v>
      </c>
      <c r="BB441" s="527">
        <f t="shared" si="608"/>
        <v>-3608.1071999999999</v>
      </c>
      <c r="BC441" s="527">
        <f t="shared" si="608"/>
        <v>-3608.1071999999999</v>
      </c>
      <c r="BD441" s="527">
        <f t="shared" si="608"/>
        <v>-3608.1071999999999</v>
      </c>
      <c r="BE441" s="527">
        <f t="shared" si="608"/>
        <v>-3608.1071999999999</v>
      </c>
      <c r="BF441" s="527">
        <f t="shared" si="608"/>
        <v>-3608.1071999999999</v>
      </c>
      <c r="BG441" s="527">
        <f t="shared" si="608"/>
        <v>-3608.1071999999999</v>
      </c>
      <c r="BH441" s="527">
        <f t="shared" si="608"/>
        <v>-3608.1071999999999</v>
      </c>
      <c r="BI441" s="527">
        <f t="shared" si="608"/>
        <v>-3608.1071999999999</v>
      </c>
      <c r="BJ441" s="527">
        <f t="shared" si="608"/>
        <v>-3608.1071999999999</v>
      </c>
      <c r="BK441" s="527">
        <f t="shared" si="608"/>
        <v>-3608.1071999999999</v>
      </c>
      <c r="BL441" s="527">
        <f t="shared" si="608"/>
        <v>-3608.1071999999999</v>
      </c>
      <c r="BM441" s="527">
        <f t="shared" si="608"/>
        <v>-3608.1071999999999</v>
      </c>
      <c r="BN441" s="527">
        <f t="shared" si="608"/>
        <v>-3680.2693440000007</v>
      </c>
      <c r="BO441" s="527">
        <f t="shared" si="608"/>
        <v>-3680.2693440000007</v>
      </c>
      <c r="BP441" s="527">
        <f t="shared" si="608"/>
        <v>-3680.2693440000007</v>
      </c>
      <c r="BQ441" s="527">
        <f t="shared" si="608"/>
        <v>-3680.2693440000007</v>
      </c>
      <c r="BR441" s="527">
        <f t="shared" si="608"/>
        <v>-3680.2693440000007</v>
      </c>
      <c r="BS441" s="527">
        <f t="shared" si="608"/>
        <v>-3680.2693440000007</v>
      </c>
      <c r="BT441" s="527">
        <f t="shared" si="608"/>
        <v>-3680.2693440000007</v>
      </c>
      <c r="BU441" s="527">
        <f t="shared" si="608"/>
        <v>-3680.2693440000007</v>
      </c>
      <c r="BV441" s="527">
        <f t="shared" si="608"/>
        <v>-3680.2693440000007</v>
      </c>
      <c r="BW441" s="527">
        <f t="shared" si="608"/>
        <v>-3680.2693440000007</v>
      </c>
      <c r="BX441" s="527">
        <f t="shared" si="608"/>
        <v>-3680.2693440000007</v>
      </c>
      <c r="BY441" s="527">
        <f t="shared" si="608"/>
        <v>-3680.2693440000007</v>
      </c>
    </row>
    <row r="442" spans="3:77" x14ac:dyDescent="0.3">
      <c r="C442" s="2"/>
      <c r="D442" s="2"/>
      <c r="E442" s="141" t="str">
        <f>"Maintenance capex: "&amp;E$158</f>
        <v>Maintenance capex: FY30 Tranche</v>
      </c>
      <c r="F442" s="2"/>
      <c r="G442" s="2"/>
      <c r="H442" s="2"/>
      <c r="I442" s="2"/>
      <c r="J442" s="2"/>
      <c r="K442" s="2"/>
      <c r="L442" s="2"/>
      <c r="M442" s="2"/>
      <c r="N442" s="2"/>
      <c r="O442" s="2"/>
      <c r="P442" s="10"/>
      <c r="Q442" s="2"/>
      <c r="R442" s="497">
        <f t="shared" ref="R442:AW442" si="609">(R$622*$R158)</f>
        <v>-3400</v>
      </c>
      <c r="S442" s="497">
        <f t="shared" si="609"/>
        <v>-3400</v>
      </c>
      <c r="T442" s="497">
        <f t="shared" si="609"/>
        <v>-3400</v>
      </c>
      <c r="U442" s="497">
        <f t="shared" si="609"/>
        <v>-3400</v>
      </c>
      <c r="V442" s="497">
        <f t="shared" si="609"/>
        <v>-3400</v>
      </c>
      <c r="W442" s="497">
        <f t="shared" si="609"/>
        <v>-3400</v>
      </c>
      <c r="X442" s="497">
        <f t="shared" si="609"/>
        <v>-3400</v>
      </c>
      <c r="Y442" s="497">
        <f t="shared" si="609"/>
        <v>-3400</v>
      </c>
      <c r="Z442" s="497">
        <f t="shared" si="609"/>
        <v>-3400</v>
      </c>
      <c r="AA442" s="497">
        <f t="shared" si="609"/>
        <v>-3400</v>
      </c>
      <c r="AB442" s="497">
        <f t="shared" si="609"/>
        <v>-3400</v>
      </c>
      <c r="AC442" s="497">
        <f t="shared" si="609"/>
        <v>-3400</v>
      </c>
      <c r="AD442" s="497">
        <f t="shared" si="609"/>
        <v>-3467.9999999999995</v>
      </c>
      <c r="AE442" s="497">
        <f t="shared" si="609"/>
        <v>-3467.9999999999995</v>
      </c>
      <c r="AF442" s="497">
        <f t="shared" si="609"/>
        <v>-3467.9999999999995</v>
      </c>
      <c r="AG442" s="497">
        <f t="shared" si="609"/>
        <v>-3467.9999999999995</v>
      </c>
      <c r="AH442" s="497">
        <f t="shared" si="609"/>
        <v>-3467.9999999999995</v>
      </c>
      <c r="AI442" s="497">
        <f t="shared" si="609"/>
        <v>-3467.9999999999995</v>
      </c>
      <c r="AJ442" s="497">
        <f t="shared" si="609"/>
        <v>-3467.9999999999995</v>
      </c>
      <c r="AK442" s="497">
        <f t="shared" si="609"/>
        <v>-3467.9999999999995</v>
      </c>
      <c r="AL442" s="497">
        <f t="shared" si="609"/>
        <v>-3467.9999999999995</v>
      </c>
      <c r="AM442" s="497">
        <f t="shared" si="609"/>
        <v>-3467.9999999999995</v>
      </c>
      <c r="AN442" s="527">
        <f t="shared" si="609"/>
        <v>-3467.9999999999995</v>
      </c>
      <c r="AO442" s="527">
        <f t="shared" si="609"/>
        <v>-3467.9999999999995</v>
      </c>
      <c r="AP442" s="527">
        <f t="shared" si="609"/>
        <v>-3537.3599999999997</v>
      </c>
      <c r="AQ442" s="527">
        <f t="shared" si="609"/>
        <v>-3537.3599999999997</v>
      </c>
      <c r="AR442" s="527">
        <f t="shared" si="609"/>
        <v>-3537.3599999999997</v>
      </c>
      <c r="AS442" s="527">
        <f t="shared" si="609"/>
        <v>-3537.3599999999997</v>
      </c>
      <c r="AT442" s="527">
        <f t="shared" si="609"/>
        <v>-3537.3599999999997</v>
      </c>
      <c r="AU442" s="527">
        <f t="shared" si="609"/>
        <v>-3537.3599999999997</v>
      </c>
      <c r="AV442" s="527">
        <f t="shared" si="609"/>
        <v>-3537.3599999999997</v>
      </c>
      <c r="AW442" s="527">
        <f t="shared" si="609"/>
        <v>-3537.3599999999997</v>
      </c>
      <c r="AX442" s="527">
        <f t="shared" ref="AX442:BY442" si="610">(AX$622*$R158)</f>
        <v>-3537.3599999999997</v>
      </c>
      <c r="AY442" s="527">
        <f t="shared" si="610"/>
        <v>-3537.3599999999997</v>
      </c>
      <c r="AZ442" s="527">
        <f t="shared" si="610"/>
        <v>-3537.3599999999997</v>
      </c>
      <c r="BA442" s="527">
        <f t="shared" si="610"/>
        <v>-3537.3599999999997</v>
      </c>
      <c r="BB442" s="527">
        <f t="shared" si="610"/>
        <v>-3608.1071999999999</v>
      </c>
      <c r="BC442" s="527">
        <f t="shared" si="610"/>
        <v>-3608.1071999999999</v>
      </c>
      <c r="BD442" s="527">
        <f t="shared" si="610"/>
        <v>-3608.1071999999999</v>
      </c>
      <c r="BE442" s="527">
        <f t="shared" si="610"/>
        <v>-3608.1071999999999</v>
      </c>
      <c r="BF442" s="527">
        <f t="shared" si="610"/>
        <v>-3608.1071999999999</v>
      </c>
      <c r="BG442" s="527">
        <f t="shared" si="610"/>
        <v>-3608.1071999999999</v>
      </c>
      <c r="BH442" s="527">
        <f t="shared" si="610"/>
        <v>-3608.1071999999999</v>
      </c>
      <c r="BI442" s="527">
        <f t="shared" si="610"/>
        <v>-3608.1071999999999</v>
      </c>
      <c r="BJ442" s="527">
        <f t="shared" si="610"/>
        <v>-3608.1071999999999</v>
      </c>
      <c r="BK442" s="527">
        <f t="shared" si="610"/>
        <v>-3608.1071999999999</v>
      </c>
      <c r="BL442" s="527">
        <f t="shared" si="610"/>
        <v>-3608.1071999999999</v>
      </c>
      <c r="BM442" s="527">
        <f t="shared" si="610"/>
        <v>-3608.1071999999999</v>
      </c>
      <c r="BN442" s="527">
        <f t="shared" si="610"/>
        <v>-3680.2693440000007</v>
      </c>
      <c r="BO442" s="527">
        <f t="shared" si="610"/>
        <v>-3680.2693440000007</v>
      </c>
      <c r="BP442" s="527">
        <f t="shared" si="610"/>
        <v>-3680.2693440000007</v>
      </c>
      <c r="BQ442" s="527">
        <f t="shared" si="610"/>
        <v>-3680.2693440000007</v>
      </c>
      <c r="BR442" s="527">
        <f t="shared" si="610"/>
        <v>-3680.2693440000007</v>
      </c>
      <c r="BS442" s="527">
        <f t="shared" si="610"/>
        <v>-3680.2693440000007</v>
      </c>
      <c r="BT442" s="527">
        <f t="shared" si="610"/>
        <v>-3680.2693440000007</v>
      </c>
      <c r="BU442" s="527">
        <f t="shared" si="610"/>
        <v>-3680.2693440000007</v>
      </c>
      <c r="BV442" s="527">
        <f t="shared" si="610"/>
        <v>-3680.2693440000007</v>
      </c>
      <c r="BW442" s="527">
        <f t="shared" si="610"/>
        <v>-3680.2693440000007</v>
      </c>
      <c r="BX442" s="527">
        <f t="shared" si="610"/>
        <v>-3680.2693440000007</v>
      </c>
      <c r="BY442" s="527">
        <f t="shared" si="610"/>
        <v>-3680.2693440000007</v>
      </c>
    </row>
    <row r="443" spans="3:77" x14ac:dyDescent="0.3">
      <c r="C443" s="2"/>
      <c r="D443" s="2"/>
      <c r="E443" s="141" t="str">
        <f>"Maintenance capex: "&amp;E$159</f>
        <v>Maintenance capex: FY31 Tranche</v>
      </c>
      <c r="F443" s="2"/>
      <c r="G443" s="2"/>
      <c r="H443" s="2"/>
      <c r="I443" s="2"/>
      <c r="J443" s="2"/>
      <c r="K443" s="2"/>
      <c r="L443" s="2"/>
      <c r="M443" s="2"/>
      <c r="N443" s="2"/>
      <c r="O443" s="2"/>
      <c r="P443" s="10"/>
      <c r="Q443" s="2"/>
      <c r="R443" s="497">
        <f t="shared" ref="R443:AW443" si="611">(R$622*$R159)</f>
        <v>-3400</v>
      </c>
      <c r="S443" s="497">
        <f t="shared" si="611"/>
        <v>-3400</v>
      </c>
      <c r="T443" s="497">
        <f t="shared" si="611"/>
        <v>-3400</v>
      </c>
      <c r="U443" s="497">
        <f t="shared" si="611"/>
        <v>-3400</v>
      </c>
      <c r="V443" s="497">
        <f t="shared" si="611"/>
        <v>-3400</v>
      </c>
      <c r="W443" s="497">
        <f t="shared" si="611"/>
        <v>-3400</v>
      </c>
      <c r="X443" s="497">
        <f t="shared" si="611"/>
        <v>-3400</v>
      </c>
      <c r="Y443" s="497">
        <f t="shared" si="611"/>
        <v>-3400</v>
      </c>
      <c r="Z443" s="497">
        <f t="shared" si="611"/>
        <v>-3400</v>
      </c>
      <c r="AA443" s="497">
        <f t="shared" si="611"/>
        <v>-3400</v>
      </c>
      <c r="AB443" s="497">
        <f t="shared" si="611"/>
        <v>-3400</v>
      </c>
      <c r="AC443" s="497">
        <f t="shared" si="611"/>
        <v>-3400</v>
      </c>
      <c r="AD443" s="497">
        <f t="shared" si="611"/>
        <v>-3467.9999999999995</v>
      </c>
      <c r="AE443" s="497">
        <f t="shared" si="611"/>
        <v>-3467.9999999999995</v>
      </c>
      <c r="AF443" s="497">
        <f t="shared" si="611"/>
        <v>-3467.9999999999995</v>
      </c>
      <c r="AG443" s="497">
        <f t="shared" si="611"/>
        <v>-3467.9999999999995</v>
      </c>
      <c r="AH443" s="497">
        <f t="shared" si="611"/>
        <v>-3467.9999999999995</v>
      </c>
      <c r="AI443" s="497">
        <f t="shared" si="611"/>
        <v>-3467.9999999999995</v>
      </c>
      <c r="AJ443" s="497">
        <f t="shared" si="611"/>
        <v>-3467.9999999999995</v>
      </c>
      <c r="AK443" s="497">
        <f t="shared" si="611"/>
        <v>-3467.9999999999995</v>
      </c>
      <c r="AL443" s="497">
        <f t="shared" si="611"/>
        <v>-3467.9999999999995</v>
      </c>
      <c r="AM443" s="497">
        <f t="shared" si="611"/>
        <v>-3467.9999999999995</v>
      </c>
      <c r="AN443" s="527">
        <f t="shared" si="611"/>
        <v>-3467.9999999999995</v>
      </c>
      <c r="AO443" s="527">
        <f t="shared" si="611"/>
        <v>-3467.9999999999995</v>
      </c>
      <c r="AP443" s="527">
        <f t="shared" si="611"/>
        <v>-3537.3599999999997</v>
      </c>
      <c r="AQ443" s="527">
        <f t="shared" si="611"/>
        <v>-3537.3599999999997</v>
      </c>
      <c r="AR443" s="527">
        <f t="shared" si="611"/>
        <v>-3537.3599999999997</v>
      </c>
      <c r="AS443" s="527">
        <f t="shared" si="611"/>
        <v>-3537.3599999999997</v>
      </c>
      <c r="AT443" s="527">
        <f t="shared" si="611"/>
        <v>-3537.3599999999997</v>
      </c>
      <c r="AU443" s="527">
        <f t="shared" si="611"/>
        <v>-3537.3599999999997</v>
      </c>
      <c r="AV443" s="527">
        <f t="shared" si="611"/>
        <v>-3537.3599999999997</v>
      </c>
      <c r="AW443" s="527">
        <f t="shared" si="611"/>
        <v>-3537.3599999999997</v>
      </c>
      <c r="AX443" s="527">
        <f t="shared" ref="AX443:BY443" si="612">(AX$622*$R159)</f>
        <v>-3537.3599999999997</v>
      </c>
      <c r="AY443" s="527">
        <f t="shared" si="612"/>
        <v>-3537.3599999999997</v>
      </c>
      <c r="AZ443" s="527">
        <f t="shared" si="612"/>
        <v>-3537.3599999999997</v>
      </c>
      <c r="BA443" s="527">
        <f t="shared" si="612"/>
        <v>-3537.3599999999997</v>
      </c>
      <c r="BB443" s="527">
        <f t="shared" si="612"/>
        <v>-3608.1071999999999</v>
      </c>
      <c r="BC443" s="527">
        <f t="shared" si="612"/>
        <v>-3608.1071999999999</v>
      </c>
      <c r="BD443" s="527">
        <f t="shared" si="612"/>
        <v>-3608.1071999999999</v>
      </c>
      <c r="BE443" s="527">
        <f t="shared" si="612"/>
        <v>-3608.1071999999999</v>
      </c>
      <c r="BF443" s="527">
        <f t="shared" si="612"/>
        <v>-3608.1071999999999</v>
      </c>
      <c r="BG443" s="527">
        <f t="shared" si="612"/>
        <v>-3608.1071999999999</v>
      </c>
      <c r="BH443" s="527">
        <f t="shared" si="612"/>
        <v>-3608.1071999999999</v>
      </c>
      <c r="BI443" s="527">
        <f t="shared" si="612"/>
        <v>-3608.1071999999999</v>
      </c>
      <c r="BJ443" s="527">
        <f t="shared" si="612"/>
        <v>-3608.1071999999999</v>
      </c>
      <c r="BK443" s="527">
        <f t="shared" si="612"/>
        <v>-3608.1071999999999</v>
      </c>
      <c r="BL443" s="527">
        <f t="shared" si="612"/>
        <v>-3608.1071999999999</v>
      </c>
      <c r="BM443" s="527">
        <f t="shared" si="612"/>
        <v>-3608.1071999999999</v>
      </c>
      <c r="BN443" s="527">
        <f t="shared" si="612"/>
        <v>-3680.2693440000007</v>
      </c>
      <c r="BO443" s="527">
        <f t="shared" si="612"/>
        <v>-3680.2693440000007</v>
      </c>
      <c r="BP443" s="527">
        <f t="shared" si="612"/>
        <v>-3680.2693440000007</v>
      </c>
      <c r="BQ443" s="527">
        <f t="shared" si="612"/>
        <v>-3680.2693440000007</v>
      </c>
      <c r="BR443" s="527">
        <f t="shared" si="612"/>
        <v>-3680.2693440000007</v>
      </c>
      <c r="BS443" s="527">
        <f t="shared" si="612"/>
        <v>-3680.2693440000007</v>
      </c>
      <c r="BT443" s="527">
        <f t="shared" si="612"/>
        <v>-3680.2693440000007</v>
      </c>
      <c r="BU443" s="527">
        <f t="shared" si="612"/>
        <v>-3680.2693440000007</v>
      </c>
      <c r="BV443" s="527">
        <f t="shared" si="612"/>
        <v>-3680.2693440000007</v>
      </c>
      <c r="BW443" s="527">
        <f t="shared" si="612"/>
        <v>-3680.2693440000007</v>
      </c>
      <c r="BX443" s="527">
        <f t="shared" si="612"/>
        <v>-3680.2693440000007</v>
      </c>
      <c r="BY443" s="527">
        <f t="shared" si="612"/>
        <v>-3680.2693440000007</v>
      </c>
    </row>
    <row r="444" spans="3:77" x14ac:dyDescent="0.3">
      <c r="C444" s="2"/>
      <c r="D444" s="2"/>
      <c r="E444" s="141" t="str">
        <f>"Maintenance capex: "&amp;E$160</f>
        <v>Maintenance capex: Uninvested Tranche</v>
      </c>
      <c r="F444" s="2"/>
      <c r="G444" s="2"/>
      <c r="H444" s="2"/>
      <c r="I444" s="2"/>
      <c r="J444" s="2"/>
      <c r="K444" s="2"/>
      <c r="L444" s="2"/>
      <c r="M444" s="2"/>
      <c r="N444" s="2"/>
      <c r="O444" s="2"/>
      <c r="P444" s="10"/>
      <c r="Q444" s="2"/>
      <c r="R444" s="497">
        <f t="shared" ref="R444:AW444" si="613">(R$622*$R160)</f>
        <v>-9520</v>
      </c>
      <c r="S444" s="497">
        <f t="shared" si="613"/>
        <v>-9520</v>
      </c>
      <c r="T444" s="497">
        <f t="shared" si="613"/>
        <v>-9520</v>
      </c>
      <c r="U444" s="497">
        <f t="shared" si="613"/>
        <v>-9520</v>
      </c>
      <c r="V444" s="497">
        <f t="shared" si="613"/>
        <v>-9520</v>
      </c>
      <c r="W444" s="497">
        <f t="shared" si="613"/>
        <v>-9520</v>
      </c>
      <c r="X444" s="497">
        <f t="shared" si="613"/>
        <v>-9520</v>
      </c>
      <c r="Y444" s="497">
        <f t="shared" si="613"/>
        <v>-9520</v>
      </c>
      <c r="Z444" s="497">
        <f t="shared" si="613"/>
        <v>-9520</v>
      </c>
      <c r="AA444" s="497">
        <f t="shared" si="613"/>
        <v>-9520</v>
      </c>
      <c r="AB444" s="497">
        <f t="shared" si="613"/>
        <v>-9520</v>
      </c>
      <c r="AC444" s="497">
        <f t="shared" si="613"/>
        <v>-9520</v>
      </c>
      <c r="AD444" s="497">
        <f t="shared" si="613"/>
        <v>-9710.3999999999978</v>
      </c>
      <c r="AE444" s="497">
        <f t="shared" si="613"/>
        <v>-9710.3999999999978</v>
      </c>
      <c r="AF444" s="497">
        <f t="shared" si="613"/>
        <v>-9710.3999999999978</v>
      </c>
      <c r="AG444" s="497">
        <f t="shared" si="613"/>
        <v>-9710.3999999999978</v>
      </c>
      <c r="AH444" s="497">
        <f t="shared" si="613"/>
        <v>-9710.3999999999978</v>
      </c>
      <c r="AI444" s="497">
        <f t="shared" si="613"/>
        <v>-9710.3999999999978</v>
      </c>
      <c r="AJ444" s="497">
        <f t="shared" si="613"/>
        <v>-9710.3999999999978</v>
      </c>
      <c r="AK444" s="497">
        <f t="shared" si="613"/>
        <v>-9710.3999999999978</v>
      </c>
      <c r="AL444" s="497">
        <f t="shared" si="613"/>
        <v>-9710.3999999999978</v>
      </c>
      <c r="AM444" s="497">
        <f t="shared" si="613"/>
        <v>-9710.3999999999978</v>
      </c>
      <c r="AN444" s="527">
        <f t="shared" si="613"/>
        <v>-9710.3999999999978</v>
      </c>
      <c r="AO444" s="527">
        <f t="shared" si="613"/>
        <v>-9710.3999999999978</v>
      </c>
      <c r="AP444" s="527">
        <f t="shared" si="613"/>
        <v>-9904.6080000000002</v>
      </c>
      <c r="AQ444" s="527">
        <f t="shared" si="613"/>
        <v>-9904.6080000000002</v>
      </c>
      <c r="AR444" s="527">
        <f t="shared" si="613"/>
        <v>-9904.6080000000002</v>
      </c>
      <c r="AS444" s="527">
        <f t="shared" si="613"/>
        <v>-9904.6080000000002</v>
      </c>
      <c r="AT444" s="527">
        <f t="shared" si="613"/>
        <v>-9904.6080000000002</v>
      </c>
      <c r="AU444" s="527">
        <f t="shared" si="613"/>
        <v>-9904.6080000000002</v>
      </c>
      <c r="AV444" s="527">
        <f t="shared" si="613"/>
        <v>-9904.6080000000002</v>
      </c>
      <c r="AW444" s="527">
        <f t="shared" si="613"/>
        <v>-9904.6080000000002</v>
      </c>
      <c r="AX444" s="527">
        <f t="shared" ref="AX444:BY444" si="614">(AX$622*$R160)</f>
        <v>-9904.6080000000002</v>
      </c>
      <c r="AY444" s="527">
        <f t="shared" si="614"/>
        <v>-9904.6080000000002</v>
      </c>
      <c r="AZ444" s="527">
        <f t="shared" si="614"/>
        <v>-9904.6080000000002</v>
      </c>
      <c r="BA444" s="527">
        <f t="shared" si="614"/>
        <v>-9904.6080000000002</v>
      </c>
      <c r="BB444" s="527">
        <f t="shared" si="614"/>
        <v>-10102.70016</v>
      </c>
      <c r="BC444" s="527">
        <f t="shared" si="614"/>
        <v>-10102.70016</v>
      </c>
      <c r="BD444" s="527">
        <f t="shared" si="614"/>
        <v>-10102.70016</v>
      </c>
      <c r="BE444" s="527">
        <f t="shared" si="614"/>
        <v>-10102.70016</v>
      </c>
      <c r="BF444" s="527">
        <f t="shared" si="614"/>
        <v>-10102.70016</v>
      </c>
      <c r="BG444" s="527">
        <f t="shared" si="614"/>
        <v>-10102.70016</v>
      </c>
      <c r="BH444" s="527">
        <f t="shared" si="614"/>
        <v>-10102.70016</v>
      </c>
      <c r="BI444" s="527">
        <f t="shared" si="614"/>
        <v>-10102.70016</v>
      </c>
      <c r="BJ444" s="527">
        <f t="shared" si="614"/>
        <v>-10102.70016</v>
      </c>
      <c r="BK444" s="527">
        <f t="shared" si="614"/>
        <v>-10102.70016</v>
      </c>
      <c r="BL444" s="527">
        <f t="shared" si="614"/>
        <v>-10102.70016</v>
      </c>
      <c r="BM444" s="527">
        <f t="shared" si="614"/>
        <v>-10102.70016</v>
      </c>
      <c r="BN444" s="527">
        <f t="shared" si="614"/>
        <v>-10304.754163200003</v>
      </c>
      <c r="BO444" s="527">
        <f t="shared" si="614"/>
        <v>-10304.754163200003</v>
      </c>
      <c r="BP444" s="527">
        <f t="shared" si="614"/>
        <v>-10304.754163200003</v>
      </c>
      <c r="BQ444" s="527">
        <f t="shared" si="614"/>
        <v>-10304.754163200003</v>
      </c>
      <c r="BR444" s="527">
        <f t="shared" si="614"/>
        <v>-10304.754163200003</v>
      </c>
      <c r="BS444" s="527">
        <f t="shared" si="614"/>
        <v>-10304.754163200003</v>
      </c>
      <c r="BT444" s="527">
        <f t="shared" si="614"/>
        <v>-10304.754163200003</v>
      </c>
      <c r="BU444" s="527">
        <f t="shared" si="614"/>
        <v>-10304.754163200003</v>
      </c>
      <c r="BV444" s="527">
        <f t="shared" si="614"/>
        <v>-10304.754163200003</v>
      </c>
      <c r="BW444" s="527">
        <f t="shared" si="614"/>
        <v>-10304.754163200003</v>
      </c>
      <c r="BX444" s="527">
        <f t="shared" si="614"/>
        <v>-10304.754163200003</v>
      </c>
      <c r="BY444" s="527">
        <f t="shared" si="614"/>
        <v>-10304.754163200003</v>
      </c>
    </row>
    <row r="445" spans="3:77" x14ac:dyDescent="0.3">
      <c r="C445" s="2"/>
      <c r="D445" s="2"/>
      <c r="E445" s="4" t="s">
        <v>36</v>
      </c>
      <c r="F445" s="4"/>
      <c r="G445" s="4"/>
      <c r="H445" s="4"/>
      <c r="I445" s="4"/>
      <c r="J445" s="4"/>
      <c r="K445" s="4"/>
      <c r="L445" s="4"/>
      <c r="M445" s="4"/>
      <c r="N445" s="4"/>
      <c r="O445" s="4"/>
      <c r="P445" s="106"/>
      <c r="Q445" s="4"/>
      <c r="R445" s="498">
        <f t="shared" ref="R445:AW445" si="615">SUM(R439:R444)</f>
        <v>-26520</v>
      </c>
      <c r="S445" s="498">
        <f t="shared" si="615"/>
        <v>-26520</v>
      </c>
      <c r="T445" s="498">
        <f t="shared" si="615"/>
        <v>-26520</v>
      </c>
      <c r="U445" s="498">
        <f t="shared" si="615"/>
        <v>-26520</v>
      </c>
      <c r="V445" s="498">
        <f t="shared" si="615"/>
        <v>-26520</v>
      </c>
      <c r="W445" s="498">
        <f t="shared" si="615"/>
        <v>-26520</v>
      </c>
      <c r="X445" s="498">
        <f t="shared" si="615"/>
        <v>-26520</v>
      </c>
      <c r="Y445" s="498">
        <f t="shared" si="615"/>
        <v>-26520</v>
      </c>
      <c r="Z445" s="498">
        <f t="shared" si="615"/>
        <v>-26520</v>
      </c>
      <c r="AA445" s="498">
        <f t="shared" si="615"/>
        <v>-26520</v>
      </c>
      <c r="AB445" s="498">
        <f t="shared" si="615"/>
        <v>-26520</v>
      </c>
      <c r="AC445" s="498">
        <f t="shared" si="615"/>
        <v>-26520</v>
      </c>
      <c r="AD445" s="498">
        <f t="shared" si="615"/>
        <v>-27050.399999999994</v>
      </c>
      <c r="AE445" s="498">
        <f t="shared" si="615"/>
        <v>-27050.399999999994</v>
      </c>
      <c r="AF445" s="498">
        <f t="shared" si="615"/>
        <v>-27050.399999999994</v>
      </c>
      <c r="AG445" s="498">
        <f t="shared" si="615"/>
        <v>-27050.399999999994</v>
      </c>
      <c r="AH445" s="498">
        <f t="shared" si="615"/>
        <v>-27050.399999999994</v>
      </c>
      <c r="AI445" s="498">
        <f t="shared" si="615"/>
        <v>-27050.399999999994</v>
      </c>
      <c r="AJ445" s="498">
        <f t="shared" si="615"/>
        <v>-27050.399999999994</v>
      </c>
      <c r="AK445" s="498">
        <f t="shared" si="615"/>
        <v>-27050.399999999994</v>
      </c>
      <c r="AL445" s="498">
        <f t="shared" si="615"/>
        <v>-27050.399999999994</v>
      </c>
      <c r="AM445" s="498">
        <f t="shared" si="615"/>
        <v>-27050.399999999994</v>
      </c>
      <c r="AN445" s="530">
        <f t="shared" si="615"/>
        <v>-27050.399999999994</v>
      </c>
      <c r="AO445" s="530">
        <f t="shared" si="615"/>
        <v>-27050.399999999994</v>
      </c>
      <c r="AP445" s="530">
        <f t="shared" si="615"/>
        <v>-27591.407999999999</v>
      </c>
      <c r="AQ445" s="530">
        <f t="shared" si="615"/>
        <v>-27591.407999999999</v>
      </c>
      <c r="AR445" s="530">
        <f t="shared" si="615"/>
        <v>-27591.407999999999</v>
      </c>
      <c r="AS445" s="530">
        <f t="shared" si="615"/>
        <v>-27591.407999999999</v>
      </c>
      <c r="AT445" s="530">
        <f t="shared" si="615"/>
        <v>-27591.407999999999</v>
      </c>
      <c r="AU445" s="530">
        <f t="shared" si="615"/>
        <v>-27591.407999999999</v>
      </c>
      <c r="AV445" s="530">
        <f t="shared" si="615"/>
        <v>-27591.407999999999</v>
      </c>
      <c r="AW445" s="530">
        <f t="shared" si="615"/>
        <v>-27591.407999999999</v>
      </c>
      <c r="AX445" s="530">
        <f t="shared" ref="AX445:BY445" si="616">SUM(AX439:AX444)</f>
        <v>-27591.407999999999</v>
      </c>
      <c r="AY445" s="530">
        <f t="shared" si="616"/>
        <v>-27591.407999999999</v>
      </c>
      <c r="AZ445" s="530">
        <f t="shared" si="616"/>
        <v>-27591.407999999999</v>
      </c>
      <c r="BA445" s="530">
        <f t="shared" si="616"/>
        <v>-27591.407999999999</v>
      </c>
      <c r="BB445" s="530">
        <f t="shared" si="616"/>
        <v>-28143.23616</v>
      </c>
      <c r="BC445" s="530">
        <f t="shared" si="616"/>
        <v>-28143.23616</v>
      </c>
      <c r="BD445" s="530">
        <f t="shared" si="616"/>
        <v>-28143.23616</v>
      </c>
      <c r="BE445" s="530">
        <f t="shared" si="616"/>
        <v>-28143.23616</v>
      </c>
      <c r="BF445" s="530">
        <f t="shared" si="616"/>
        <v>-28143.23616</v>
      </c>
      <c r="BG445" s="530">
        <f t="shared" si="616"/>
        <v>-28143.23616</v>
      </c>
      <c r="BH445" s="530">
        <f t="shared" si="616"/>
        <v>-28143.23616</v>
      </c>
      <c r="BI445" s="530">
        <f t="shared" si="616"/>
        <v>-28143.23616</v>
      </c>
      <c r="BJ445" s="530">
        <f t="shared" si="616"/>
        <v>-28143.23616</v>
      </c>
      <c r="BK445" s="530">
        <f t="shared" si="616"/>
        <v>-28143.23616</v>
      </c>
      <c r="BL445" s="530">
        <f t="shared" si="616"/>
        <v>-28143.23616</v>
      </c>
      <c r="BM445" s="530">
        <f t="shared" si="616"/>
        <v>-28143.23616</v>
      </c>
      <c r="BN445" s="530">
        <f t="shared" si="616"/>
        <v>-28706.100883200008</v>
      </c>
      <c r="BO445" s="530">
        <f t="shared" si="616"/>
        <v>-28706.100883200008</v>
      </c>
      <c r="BP445" s="530">
        <f t="shared" si="616"/>
        <v>-28706.100883200008</v>
      </c>
      <c r="BQ445" s="530">
        <f t="shared" si="616"/>
        <v>-28706.100883200008</v>
      </c>
      <c r="BR445" s="530">
        <f t="shared" si="616"/>
        <v>-28706.100883200008</v>
      </c>
      <c r="BS445" s="530">
        <f t="shared" si="616"/>
        <v>-28706.100883200008</v>
      </c>
      <c r="BT445" s="530">
        <f t="shared" si="616"/>
        <v>-28706.100883200008</v>
      </c>
      <c r="BU445" s="530">
        <f t="shared" si="616"/>
        <v>-28706.100883200008</v>
      </c>
      <c r="BV445" s="530">
        <f t="shared" si="616"/>
        <v>-28706.100883200008</v>
      </c>
      <c r="BW445" s="530">
        <f t="shared" si="616"/>
        <v>-28706.100883200008</v>
      </c>
      <c r="BX445" s="530">
        <f t="shared" si="616"/>
        <v>-28706.100883200008</v>
      </c>
      <c r="BY445" s="530">
        <f t="shared" si="616"/>
        <v>-28706.100883200008</v>
      </c>
    </row>
    <row r="446" spans="3:77" x14ac:dyDescent="0.3">
      <c r="C446" s="2"/>
      <c r="D446" s="2"/>
      <c r="E446" s="2"/>
      <c r="F446" s="2"/>
      <c r="G446" s="2"/>
      <c r="H446" s="2"/>
      <c r="I446" s="2"/>
      <c r="J446" s="2"/>
      <c r="K446" s="2"/>
      <c r="L446" s="2"/>
      <c r="M446" s="2"/>
      <c r="N446" s="2"/>
      <c r="O446" s="2"/>
      <c r="P446" s="10"/>
      <c r="Q446" s="2"/>
      <c r="R446" s="2"/>
      <c r="S446" s="2"/>
      <c r="T446" s="2"/>
      <c r="U446" s="2"/>
      <c r="V446" s="2"/>
      <c r="W446" s="2"/>
      <c r="X446" s="2"/>
      <c r="Y446" s="2"/>
      <c r="Z446" s="2"/>
      <c r="AA446" s="2"/>
      <c r="AB446" s="2"/>
      <c r="AC446" s="2"/>
      <c r="AD446" s="2"/>
      <c r="AE446" s="2"/>
      <c r="AF446" s="2"/>
      <c r="AG446" s="2"/>
      <c r="AH446" s="2"/>
      <c r="AI446" s="2"/>
      <c r="AJ446" s="2"/>
      <c r="AK446" s="2"/>
      <c r="AL446" s="2"/>
      <c r="AM446" s="2"/>
      <c r="AN446" s="525"/>
      <c r="AO446" s="525"/>
      <c r="AP446" s="525"/>
      <c r="AQ446" s="525"/>
      <c r="AR446" s="525"/>
      <c r="AS446" s="525"/>
      <c r="AT446" s="525"/>
      <c r="AU446" s="525"/>
      <c r="AV446" s="525"/>
      <c r="AW446" s="525"/>
      <c r="AX446" s="525"/>
      <c r="AY446" s="525"/>
      <c r="AZ446" s="525"/>
      <c r="BA446" s="525"/>
      <c r="BB446" s="525"/>
      <c r="BC446" s="525"/>
      <c r="BD446" s="525"/>
      <c r="BE446" s="525"/>
      <c r="BF446" s="525"/>
      <c r="BG446" s="525"/>
      <c r="BH446" s="525"/>
      <c r="BI446" s="525"/>
      <c r="BJ446" s="525"/>
      <c r="BK446" s="525"/>
      <c r="BL446" s="525"/>
      <c r="BM446" s="525"/>
      <c r="BN446" s="525"/>
      <c r="BO446" s="525"/>
      <c r="BP446" s="525"/>
      <c r="BQ446" s="525"/>
      <c r="BR446" s="525"/>
      <c r="BS446" s="525"/>
      <c r="BT446" s="525"/>
      <c r="BU446" s="525"/>
      <c r="BV446" s="525"/>
      <c r="BW446" s="525"/>
      <c r="BX446" s="525"/>
      <c r="BY446" s="525"/>
    </row>
    <row r="447" spans="3:77" x14ac:dyDescent="0.3">
      <c r="C447" s="24" t="s">
        <v>37</v>
      </c>
      <c r="D447" s="2"/>
      <c r="E447" s="14" t="s">
        <v>69</v>
      </c>
      <c r="F447" s="14"/>
      <c r="G447" s="14"/>
      <c r="H447" s="14"/>
      <c r="I447" s="14"/>
      <c r="J447" s="14"/>
      <c r="K447" s="14"/>
      <c r="L447" s="14"/>
      <c r="M447" s="14"/>
      <c r="N447" s="14"/>
      <c r="O447" s="14"/>
      <c r="P447" s="24"/>
      <c r="Q447" s="14"/>
      <c r="R447" s="14"/>
      <c r="S447" s="14"/>
      <c r="T447" s="14"/>
      <c r="U447" s="14"/>
      <c r="V447" s="14"/>
      <c r="W447" s="14"/>
      <c r="X447" s="14"/>
      <c r="Y447" s="14"/>
      <c r="Z447" s="14"/>
      <c r="AA447" s="14"/>
      <c r="AB447" s="14"/>
      <c r="AC447" s="14"/>
      <c r="AD447" s="14"/>
      <c r="AE447" s="14"/>
      <c r="AF447" s="14"/>
      <c r="AG447" s="14"/>
      <c r="AH447" s="14"/>
      <c r="AI447" s="14"/>
      <c r="AJ447" s="14"/>
      <c r="AK447" s="14"/>
      <c r="AL447" s="14"/>
      <c r="AM447" s="14"/>
      <c r="AN447" s="538"/>
      <c r="AO447" s="538"/>
      <c r="AP447" s="538"/>
      <c r="AQ447" s="538"/>
      <c r="AR447" s="538"/>
      <c r="AS447" s="538"/>
      <c r="AT447" s="538"/>
      <c r="AU447" s="538"/>
      <c r="AV447" s="538"/>
      <c r="AW447" s="538"/>
      <c r="AX447" s="538"/>
      <c r="AY447" s="538"/>
      <c r="AZ447" s="538"/>
      <c r="BA447" s="538"/>
      <c r="BB447" s="538"/>
      <c r="BC447" s="538"/>
      <c r="BD447" s="538"/>
      <c r="BE447" s="538"/>
      <c r="BF447" s="538"/>
      <c r="BG447" s="538"/>
      <c r="BH447" s="538"/>
      <c r="BI447" s="538"/>
      <c r="BJ447" s="538"/>
      <c r="BK447" s="538"/>
      <c r="BL447" s="538"/>
      <c r="BM447" s="538"/>
      <c r="BN447" s="538"/>
      <c r="BO447" s="538"/>
      <c r="BP447" s="538"/>
      <c r="BQ447" s="538"/>
      <c r="BR447" s="538"/>
      <c r="BS447" s="538"/>
      <c r="BT447" s="538"/>
      <c r="BU447" s="538"/>
      <c r="BV447" s="538"/>
      <c r="BW447" s="538"/>
      <c r="BX447" s="538"/>
      <c r="BY447" s="538"/>
    </row>
    <row r="448" spans="3:77" x14ac:dyDescent="0.3">
      <c r="C448" s="2"/>
      <c r="D448" s="2"/>
      <c r="E448" s="2"/>
      <c r="F448" s="2"/>
      <c r="G448" s="2"/>
      <c r="H448" s="2"/>
      <c r="I448" s="2"/>
      <c r="J448" s="2"/>
      <c r="K448" s="2"/>
      <c r="L448" s="2"/>
      <c r="M448" s="2"/>
      <c r="N448" s="2"/>
      <c r="O448" s="2"/>
      <c r="P448" s="10"/>
      <c r="Q448" s="2"/>
      <c r="R448" s="2"/>
      <c r="S448" s="2"/>
      <c r="T448" s="2"/>
      <c r="U448" s="2"/>
      <c r="V448" s="2"/>
      <c r="W448" s="2"/>
      <c r="X448" s="2"/>
      <c r="Y448" s="2"/>
      <c r="Z448" s="2"/>
      <c r="AA448" s="2"/>
      <c r="AB448" s="2"/>
      <c r="AC448" s="2"/>
      <c r="AD448" s="2"/>
      <c r="AE448" s="2"/>
      <c r="AF448" s="2"/>
      <c r="AG448" s="2"/>
      <c r="AH448" s="2"/>
      <c r="AI448" s="2"/>
      <c r="AJ448" s="2"/>
      <c r="AK448" s="2"/>
      <c r="AL448" s="2"/>
      <c r="AM448" s="2"/>
      <c r="AN448" s="525"/>
      <c r="AO448" s="525"/>
      <c r="AP448" s="525"/>
      <c r="AQ448" s="525"/>
      <c r="AR448" s="525"/>
      <c r="AS448" s="525"/>
      <c r="AT448" s="525"/>
      <c r="AU448" s="525"/>
      <c r="AV448" s="525"/>
      <c r="AW448" s="525"/>
      <c r="AX448" s="525"/>
      <c r="AY448" s="525"/>
      <c r="AZ448" s="525"/>
      <c r="BA448" s="525"/>
      <c r="BB448" s="525"/>
      <c r="BC448" s="525"/>
      <c r="BD448" s="525"/>
      <c r="BE448" s="525"/>
      <c r="BF448" s="525"/>
      <c r="BG448" s="525"/>
      <c r="BH448" s="525"/>
      <c r="BI448" s="525"/>
      <c r="BJ448" s="525"/>
      <c r="BK448" s="525"/>
      <c r="BL448" s="525"/>
      <c r="BM448" s="525"/>
      <c r="BN448" s="525"/>
      <c r="BO448" s="525"/>
      <c r="BP448" s="525"/>
      <c r="BQ448" s="525"/>
      <c r="BR448" s="525"/>
      <c r="BS448" s="525"/>
      <c r="BT448" s="525"/>
      <c r="BU448" s="525"/>
      <c r="BV448" s="525"/>
      <c r="BW448" s="525"/>
      <c r="BX448" s="525"/>
      <c r="BY448" s="525"/>
    </row>
    <row r="449" spans="1:77" x14ac:dyDescent="0.3">
      <c r="C449" s="2"/>
      <c r="D449" s="2"/>
      <c r="E449" s="108" t="s">
        <v>110</v>
      </c>
      <c r="F449" s="109"/>
      <c r="G449" s="109"/>
      <c r="H449" s="109"/>
      <c r="I449" s="109"/>
      <c r="J449" s="109"/>
      <c r="K449" s="109"/>
      <c r="L449" s="109"/>
      <c r="M449" s="109"/>
      <c r="N449" s="109"/>
      <c r="O449" s="109"/>
      <c r="P449" s="110"/>
      <c r="Q449" s="109"/>
      <c r="R449" s="109"/>
      <c r="S449" s="109"/>
      <c r="T449" s="109"/>
      <c r="U449" s="109"/>
      <c r="V449" s="109"/>
      <c r="W449" s="109"/>
      <c r="X449" s="109"/>
      <c r="Y449" s="109"/>
      <c r="Z449" s="109"/>
      <c r="AA449" s="109"/>
      <c r="AB449" s="109"/>
      <c r="AC449" s="109"/>
      <c r="AD449" s="109"/>
      <c r="AE449" s="109"/>
      <c r="AF449" s="109"/>
      <c r="AG449" s="109"/>
      <c r="AH449" s="109"/>
      <c r="AI449" s="109"/>
      <c r="AJ449" s="109"/>
      <c r="AK449" s="109"/>
      <c r="AL449" s="109"/>
      <c r="AM449" s="109"/>
      <c r="AN449" s="539"/>
      <c r="AO449" s="539"/>
      <c r="AP449" s="539"/>
      <c r="AQ449" s="539"/>
      <c r="AR449" s="539"/>
      <c r="AS449" s="539"/>
      <c r="AT449" s="539"/>
      <c r="AU449" s="539"/>
      <c r="AV449" s="539"/>
      <c r="AW449" s="539"/>
      <c r="AX449" s="539"/>
      <c r="AY449" s="539"/>
      <c r="AZ449" s="539"/>
      <c r="BA449" s="539"/>
      <c r="BB449" s="539"/>
      <c r="BC449" s="539"/>
      <c r="BD449" s="539"/>
      <c r="BE449" s="539"/>
      <c r="BF449" s="539"/>
      <c r="BG449" s="539"/>
      <c r="BH449" s="539"/>
      <c r="BI449" s="539"/>
      <c r="BJ449" s="539"/>
      <c r="BK449" s="539"/>
      <c r="BL449" s="539"/>
      <c r="BM449" s="539"/>
      <c r="BN449" s="539"/>
      <c r="BO449" s="539"/>
      <c r="BP449" s="539"/>
      <c r="BQ449" s="539"/>
      <c r="BR449" s="539"/>
      <c r="BS449" s="539"/>
      <c r="BT449" s="539"/>
      <c r="BU449" s="539"/>
      <c r="BV449" s="539"/>
      <c r="BW449" s="539"/>
      <c r="BX449" s="539"/>
      <c r="BY449" s="539"/>
    </row>
    <row r="450" spans="1:77" x14ac:dyDescent="0.3">
      <c r="B450" s="82"/>
      <c r="C450" s="82"/>
      <c r="D450" s="82"/>
      <c r="E450" s="2"/>
      <c r="F450" s="2"/>
      <c r="G450" s="2"/>
      <c r="H450" s="2"/>
      <c r="I450" s="2"/>
      <c r="J450" s="2"/>
      <c r="K450" s="2"/>
      <c r="L450" s="2"/>
      <c r="M450" s="2"/>
      <c r="N450" s="2"/>
      <c r="O450" s="2"/>
      <c r="P450" s="10"/>
      <c r="Q450" s="2"/>
      <c r="R450" s="2"/>
      <c r="S450" s="2"/>
      <c r="T450" s="2"/>
      <c r="U450" s="2"/>
      <c r="V450" s="2"/>
      <c r="W450" s="2"/>
      <c r="X450" s="2"/>
      <c r="Y450" s="2"/>
      <c r="Z450" s="2"/>
      <c r="AA450" s="2"/>
      <c r="AB450" s="2"/>
      <c r="AC450" s="2"/>
      <c r="AD450" s="2"/>
      <c r="AE450" s="2"/>
      <c r="AF450" s="2"/>
      <c r="AG450" s="2"/>
      <c r="AH450" s="2"/>
      <c r="AI450" s="2"/>
      <c r="AJ450" s="2"/>
      <c r="AK450" s="2"/>
      <c r="AL450" s="2"/>
      <c r="AM450" s="2"/>
      <c r="AN450" s="525"/>
      <c r="AO450" s="525"/>
      <c r="AP450" s="525"/>
      <c r="AQ450" s="525"/>
      <c r="AR450" s="525"/>
      <c r="AS450" s="525"/>
      <c r="AT450" s="525"/>
      <c r="AU450" s="525"/>
      <c r="AV450" s="525"/>
      <c r="AW450" s="525"/>
      <c r="AX450" s="525"/>
      <c r="AY450" s="525"/>
      <c r="AZ450" s="525"/>
      <c r="BA450" s="525"/>
      <c r="BB450" s="525"/>
      <c r="BC450" s="525"/>
      <c r="BD450" s="525"/>
      <c r="BE450" s="525"/>
      <c r="BF450" s="525"/>
      <c r="BG450" s="525"/>
      <c r="BH450" s="525"/>
      <c r="BI450" s="525"/>
      <c r="BJ450" s="525"/>
      <c r="BK450" s="525"/>
      <c r="BL450" s="525"/>
      <c r="BM450" s="525"/>
      <c r="BN450" s="525"/>
      <c r="BO450" s="525"/>
      <c r="BP450" s="525"/>
      <c r="BQ450" s="525"/>
      <c r="BR450" s="525"/>
      <c r="BS450" s="525"/>
      <c r="BT450" s="525"/>
      <c r="BU450" s="525"/>
      <c r="BV450" s="525"/>
      <c r="BW450" s="525"/>
      <c r="BX450" s="525"/>
      <c r="BY450" s="525"/>
    </row>
    <row r="451" spans="1:77" x14ac:dyDescent="0.3">
      <c r="A451" s="322"/>
      <c r="B451" s="322" t="s">
        <v>53</v>
      </c>
      <c r="C451" s="322">
        <f t="shared" ref="C451:C456" si="617">$C$559</f>
        <v>20</v>
      </c>
      <c r="D451" s="82"/>
      <c r="E451" s="142" t="str">
        <f>"Bad debts: "&amp;E$155</f>
        <v>Bad debts: FY27 Tranche</v>
      </c>
      <c r="F451" s="2"/>
      <c r="G451" s="2"/>
      <c r="H451" s="2"/>
      <c r="I451" s="2"/>
      <c r="J451" s="2"/>
      <c r="K451" s="2"/>
      <c r="L451" s="2"/>
      <c r="M451" s="2"/>
      <c r="N451" s="2"/>
      <c r="O451" s="2"/>
      <c r="P451" s="10"/>
      <c r="Q451" s="2"/>
      <c r="R451" s="497" cm="1">
        <f t="array" ref="R451">R412*(INDEX(('Detailed Assumptions'!$D$59:$J$79,'Detailed Assumptions'!$L$59:$R$79,'Detailed Assumptions'!$T$59:$Z$79,'Detailed Assumptions'!$AB$59:$AH$79),$C451,2,$C$506))</f>
        <v>-545.4762979772978</v>
      </c>
      <c r="S451" s="497" cm="1">
        <f t="array" ref="S451">S412*(INDEX(('Detailed Assumptions'!$D$59:$J$79,'Detailed Assumptions'!$L$59:$R$79,'Detailed Assumptions'!$T$59:$Z$79,'Detailed Assumptions'!$AB$59:$AH$79),$C451,2,$C$506))</f>
        <v>-545.4762979772978</v>
      </c>
      <c r="T451" s="497" cm="1">
        <f t="array" ref="T451">T412*(INDEX(('Detailed Assumptions'!$D$59:$J$79,'Detailed Assumptions'!$L$59:$R$79,'Detailed Assumptions'!$T$59:$Z$79,'Detailed Assumptions'!$AB$59:$AH$79),$C451,2,$C$506))</f>
        <v>-545.4762979772978</v>
      </c>
      <c r="U451" s="497" cm="1">
        <f t="array" ref="U451">U412*(INDEX(('Detailed Assumptions'!$D$59:$J$79,'Detailed Assumptions'!$L$59:$R$79,'Detailed Assumptions'!$T$59:$Z$79,'Detailed Assumptions'!$AB$59:$AH$79),$C451,2,$C$506))</f>
        <v>-545.4762979772978</v>
      </c>
      <c r="V451" s="497" cm="1">
        <f t="array" ref="V451">V412*(INDEX(('Detailed Assumptions'!$D$59:$J$79,'Detailed Assumptions'!$L$59:$R$79,'Detailed Assumptions'!$T$59:$Z$79,'Detailed Assumptions'!$AB$59:$AH$79),$C451,2,$C$506))</f>
        <v>-545.4762979772978</v>
      </c>
      <c r="W451" s="497" cm="1">
        <f t="array" ref="W451">W412*(INDEX(('Detailed Assumptions'!$D$59:$J$79,'Detailed Assumptions'!$L$59:$R$79,'Detailed Assumptions'!$T$59:$Z$79,'Detailed Assumptions'!$AB$59:$AH$79),$C451,2,$C$506))</f>
        <v>-545.4762979772978</v>
      </c>
      <c r="X451" s="497" cm="1">
        <f t="array" ref="X451">X412*(INDEX(('Detailed Assumptions'!$D$59:$J$79,'Detailed Assumptions'!$L$59:$R$79,'Detailed Assumptions'!$T$59:$Z$79,'Detailed Assumptions'!$AB$59:$AH$79),$C451,2,$C$506))</f>
        <v>-659.12478758309305</v>
      </c>
      <c r="Y451" s="497" cm="1">
        <f t="array" ref="Y451">Y412*(INDEX(('Detailed Assumptions'!$D$59:$J$79,'Detailed Assumptions'!$L$59:$R$79,'Detailed Assumptions'!$T$59:$Z$79,'Detailed Assumptions'!$AB$59:$AH$79),$C451,2,$C$506))</f>
        <v>-659.12478758309305</v>
      </c>
      <c r="Z451" s="497" cm="1">
        <f t="array" ref="Z451">Z412*(INDEX(('Detailed Assumptions'!$D$59:$J$79,'Detailed Assumptions'!$L$59:$R$79,'Detailed Assumptions'!$T$59:$Z$79,'Detailed Assumptions'!$AB$59:$AH$79),$C451,2,$C$506))</f>
        <v>-659.12478758309305</v>
      </c>
      <c r="AA451" s="497" cm="1">
        <f t="array" ref="AA451">AA412*(INDEX(('Detailed Assumptions'!$D$59:$J$79,'Detailed Assumptions'!$L$59:$R$79,'Detailed Assumptions'!$T$59:$Z$79,'Detailed Assumptions'!$AB$59:$AH$79),$C451,2,$C$506))</f>
        <v>-659.12478758309305</v>
      </c>
      <c r="AB451" s="497" cm="1">
        <f t="array" ref="AB451">AB412*(INDEX(('Detailed Assumptions'!$D$59:$J$79,'Detailed Assumptions'!$L$59:$R$79,'Detailed Assumptions'!$T$59:$Z$79,'Detailed Assumptions'!$AB$59:$AH$79),$C451,2,$C$506))</f>
        <v>-659.12478758309305</v>
      </c>
      <c r="AC451" s="497" cm="1">
        <f t="array" ref="AC451">AC412*(INDEX(('Detailed Assumptions'!$D$59:$J$79,'Detailed Assumptions'!$L$59:$R$79,'Detailed Assumptions'!$T$59:$Z$79,'Detailed Assumptions'!$AB$59:$AH$79),$C451,2,$C$506))</f>
        <v>-659.12478758309305</v>
      </c>
      <c r="AD451" s="497" cm="1">
        <f t="array" ref="AD451">AD412*(INDEX(('Detailed Assumptions'!$D$59:$J$79,'Detailed Assumptions'!$L$59:$R$79,'Detailed Assumptions'!$T$59:$Z$79,'Detailed Assumptions'!$AB$59:$AH$79),$C451,2,$C$506))</f>
        <v>-659.12478758309271</v>
      </c>
      <c r="AE451" s="497" cm="1">
        <f t="array" ref="AE451">AE412*(INDEX(('Detailed Assumptions'!$D$59:$J$79,'Detailed Assumptions'!$L$59:$R$79,'Detailed Assumptions'!$T$59:$Z$79,'Detailed Assumptions'!$AB$59:$AH$79),$C451,2,$C$506))</f>
        <v>-659.12478758309271</v>
      </c>
      <c r="AF451" s="497" cm="1">
        <f t="array" ref="AF451">AF412*(INDEX(('Detailed Assumptions'!$D$59:$J$79,'Detailed Assumptions'!$L$59:$R$79,'Detailed Assumptions'!$T$59:$Z$79,'Detailed Assumptions'!$AB$59:$AH$79),$C451,2,$C$506))</f>
        <v>-659.12478758309271</v>
      </c>
      <c r="AG451" s="497" cm="1">
        <f t="array" ref="AG451">AG412*(INDEX(('Detailed Assumptions'!$D$59:$J$79,'Detailed Assumptions'!$L$59:$R$79,'Detailed Assumptions'!$T$59:$Z$79,'Detailed Assumptions'!$AB$59:$AH$79),$C451,2,$C$506))</f>
        <v>-659.12478758309271</v>
      </c>
      <c r="AH451" s="497" cm="1">
        <f t="array" ref="AH451">AH412*(INDEX(('Detailed Assumptions'!$D$59:$J$79,'Detailed Assumptions'!$L$59:$R$79,'Detailed Assumptions'!$T$59:$Z$79,'Detailed Assumptions'!$AB$59:$AH$79),$C451,2,$C$506))</f>
        <v>-659.12478758309271</v>
      </c>
      <c r="AI451" s="497" cm="1">
        <f t="array" ref="AI451">AI412*(INDEX(('Detailed Assumptions'!$D$59:$J$79,'Detailed Assumptions'!$L$59:$R$79,'Detailed Assumptions'!$T$59:$Z$79,'Detailed Assumptions'!$AB$59:$AH$79),$C451,2,$C$506))</f>
        <v>-659.12478758309271</v>
      </c>
      <c r="AJ451" s="497" cm="1">
        <f t="array" ref="AJ451">AJ412*(INDEX(('Detailed Assumptions'!$D$59:$J$79,'Detailed Assumptions'!$L$59:$R$79,'Detailed Assumptions'!$T$59:$Z$79,'Detailed Assumptions'!$AB$59:$AH$79),$C451,2,$C$506))</f>
        <v>-685.48977908641655</v>
      </c>
      <c r="AK451" s="497" cm="1">
        <f t="array" ref="AK451">AK412*(INDEX(('Detailed Assumptions'!$D$59:$J$79,'Detailed Assumptions'!$L$59:$R$79,'Detailed Assumptions'!$T$59:$Z$79,'Detailed Assumptions'!$AB$59:$AH$79),$C451,2,$C$506))</f>
        <v>-685.48977908641655</v>
      </c>
      <c r="AL451" s="497" cm="1">
        <f t="array" ref="AL451">AL412*(INDEX(('Detailed Assumptions'!$D$59:$J$79,'Detailed Assumptions'!$L$59:$R$79,'Detailed Assumptions'!$T$59:$Z$79,'Detailed Assumptions'!$AB$59:$AH$79),$C451,2,$C$506))</f>
        <v>-685.48977908641655</v>
      </c>
      <c r="AM451" s="497" cm="1">
        <f t="array" ref="AM451">AM412*(INDEX(('Detailed Assumptions'!$D$59:$J$79,'Detailed Assumptions'!$L$59:$R$79,'Detailed Assumptions'!$T$59:$Z$79,'Detailed Assumptions'!$AB$59:$AH$79),$C451,2,$C$506))</f>
        <v>-685.48977908641655</v>
      </c>
      <c r="AN451" s="527" cm="1">
        <f t="array" ref="AN451">AN412*(INDEX(('Detailed Assumptions'!$D$59:$J$79,'Detailed Assumptions'!$L$59:$R$79,'Detailed Assumptions'!$T$59:$Z$79,'Detailed Assumptions'!$AB$59:$AH$79),$C451,2,$C$506))</f>
        <v>-685.48977908641655</v>
      </c>
      <c r="AO451" s="527" cm="1">
        <f t="array" ref="AO451">AO412*(INDEX(('Detailed Assumptions'!$D$59:$J$79,'Detailed Assumptions'!$L$59:$R$79,'Detailed Assumptions'!$T$59:$Z$79,'Detailed Assumptions'!$AB$59:$AH$79),$C451,2,$C$506))</f>
        <v>-685.48977908641655</v>
      </c>
      <c r="AP451" s="527" cm="1">
        <f t="array" ref="AP451">AP412*(INDEX(('Detailed Assumptions'!$D$59:$J$79,'Detailed Assumptions'!$L$59:$R$79,'Detailed Assumptions'!$T$59:$Z$79,'Detailed Assumptions'!$AB$59:$AH$79),$C451,2,$C$506))</f>
        <v>-685.48977908641655</v>
      </c>
      <c r="AQ451" s="527" cm="1">
        <f t="array" ref="AQ451">AQ412*(INDEX(('Detailed Assumptions'!$D$59:$J$79,'Detailed Assumptions'!$L$59:$R$79,'Detailed Assumptions'!$T$59:$Z$79,'Detailed Assumptions'!$AB$59:$AH$79),$C451,2,$C$506))</f>
        <v>-685.48977908641655</v>
      </c>
      <c r="AR451" s="527" cm="1">
        <f t="array" ref="AR451">AR412*(INDEX(('Detailed Assumptions'!$D$59:$J$79,'Detailed Assumptions'!$L$59:$R$79,'Detailed Assumptions'!$T$59:$Z$79,'Detailed Assumptions'!$AB$59:$AH$79),$C451,2,$C$506))</f>
        <v>-685.48977908641655</v>
      </c>
      <c r="AS451" s="527" cm="1">
        <f t="array" ref="AS451">AS412*(INDEX(('Detailed Assumptions'!$D$59:$J$79,'Detailed Assumptions'!$L$59:$R$79,'Detailed Assumptions'!$T$59:$Z$79,'Detailed Assumptions'!$AB$59:$AH$79),$C451,2,$C$506))</f>
        <v>-685.48977908641655</v>
      </c>
      <c r="AT451" s="527" cm="1">
        <f t="array" ref="AT451">AT412*(INDEX(('Detailed Assumptions'!$D$59:$J$79,'Detailed Assumptions'!$L$59:$R$79,'Detailed Assumptions'!$T$59:$Z$79,'Detailed Assumptions'!$AB$59:$AH$79),$C451,2,$C$506))</f>
        <v>-685.48977908641655</v>
      </c>
      <c r="AU451" s="527" cm="1">
        <f t="array" ref="AU451">AU412*(INDEX(('Detailed Assumptions'!$D$59:$J$79,'Detailed Assumptions'!$L$59:$R$79,'Detailed Assumptions'!$T$59:$Z$79,'Detailed Assumptions'!$AB$59:$AH$79),$C451,2,$C$506))</f>
        <v>-685.48977908641655</v>
      </c>
      <c r="AV451" s="527" cm="1">
        <f t="array" ref="AV451">AV412*(INDEX(('Detailed Assumptions'!$D$59:$J$79,'Detailed Assumptions'!$L$59:$R$79,'Detailed Assumptions'!$T$59:$Z$79,'Detailed Assumptions'!$AB$59:$AH$79),$C451,2,$C$506))</f>
        <v>-712.90937024987318</v>
      </c>
      <c r="AW451" s="527" cm="1">
        <f t="array" ref="AW451">AW412*(INDEX(('Detailed Assumptions'!$D$59:$J$79,'Detailed Assumptions'!$L$59:$R$79,'Detailed Assumptions'!$T$59:$Z$79,'Detailed Assumptions'!$AB$59:$AH$79),$C451,2,$C$506))</f>
        <v>-712.90937024987318</v>
      </c>
      <c r="AX451" s="527" cm="1">
        <f t="array" ref="AX451">AX412*(INDEX(('Detailed Assumptions'!$D$59:$J$79,'Detailed Assumptions'!$L$59:$R$79,'Detailed Assumptions'!$T$59:$Z$79,'Detailed Assumptions'!$AB$59:$AH$79),$C451,2,$C$506))</f>
        <v>-712.90937024987318</v>
      </c>
      <c r="AY451" s="527" cm="1">
        <f t="array" ref="AY451">AY412*(INDEX(('Detailed Assumptions'!$D$59:$J$79,'Detailed Assumptions'!$L$59:$R$79,'Detailed Assumptions'!$T$59:$Z$79,'Detailed Assumptions'!$AB$59:$AH$79),$C451,2,$C$506))</f>
        <v>-712.90937024987318</v>
      </c>
      <c r="AZ451" s="527" cm="1">
        <f t="array" ref="AZ451">AZ412*(INDEX(('Detailed Assumptions'!$D$59:$J$79,'Detailed Assumptions'!$L$59:$R$79,'Detailed Assumptions'!$T$59:$Z$79,'Detailed Assumptions'!$AB$59:$AH$79),$C451,2,$C$506))</f>
        <v>-712.90937024987318</v>
      </c>
      <c r="BA451" s="527" cm="1">
        <f t="array" ref="BA451">BA412*(INDEX(('Detailed Assumptions'!$D$59:$J$79,'Detailed Assumptions'!$L$59:$R$79,'Detailed Assumptions'!$T$59:$Z$79,'Detailed Assumptions'!$AB$59:$AH$79),$C451,2,$C$506))</f>
        <v>-712.90937024987318</v>
      </c>
      <c r="BB451" s="527" cm="1">
        <f t="array" ref="BB451">BB412*(INDEX(('Detailed Assumptions'!$D$59:$J$79,'Detailed Assumptions'!$L$59:$R$79,'Detailed Assumptions'!$T$59:$Z$79,'Detailed Assumptions'!$AB$59:$AH$79),$C451,2,$C$506))</f>
        <v>-712.9093702498734</v>
      </c>
      <c r="BC451" s="527" cm="1">
        <f t="array" ref="BC451">BC412*(INDEX(('Detailed Assumptions'!$D$59:$J$79,'Detailed Assumptions'!$L$59:$R$79,'Detailed Assumptions'!$T$59:$Z$79,'Detailed Assumptions'!$AB$59:$AH$79),$C451,2,$C$506))</f>
        <v>-712.9093702498734</v>
      </c>
      <c r="BD451" s="527" cm="1">
        <f t="array" ref="BD451">BD412*(INDEX(('Detailed Assumptions'!$D$59:$J$79,'Detailed Assumptions'!$L$59:$R$79,'Detailed Assumptions'!$T$59:$Z$79,'Detailed Assumptions'!$AB$59:$AH$79),$C451,2,$C$506))</f>
        <v>-712.9093702498734</v>
      </c>
      <c r="BE451" s="527" cm="1">
        <f t="array" ref="BE451">BE412*(INDEX(('Detailed Assumptions'!$D$59:$J$79,'Detailed Assumptions'!$L$59:$R$79,'Detailed Assumptions'!$T$59:$Z$79,'Detailed Assumptions'!$AB$59:$AH$79),$C451,2,$C$506))</f>
        <v>-712.9093702498734</v>
      </c>
      <c r="BF451" s="527" cm="1">
        <f t="array" ref="BF451">BF412*(INDEX(('Detailed Assumptions'!$D$59:$J$79,'Detailed Assumptions'!$L$59:$R$79,'Detailed Assumptions'!$T$59:$Z$79,'Detailed Assumptions'!$AB$59:$AH$79),$C451,2,$C$506))</f>
        <v>-712.9093702498734</v>
      </c>
      <c r="BG451" s="527" cm="1">
        <f t="array" ref="BG451">BG412*(INDEX(('Detailed Assumptions'!$D$59:$J$79,'Detailed Assumptions'!$L$59:$R$79,'Detailed Assumptions'!$T$59:$Z$79,'Detailed Assumptions'!$AB$59:$AH$79),$C451,2,$C$506))</f>
        <v>-712.9093702498734</v>
      </c>
      <c r="BH451" s="527" cm="1">
        <f t="array" ref="BH451">BH412*(INDEX(('Detailed Assumptions'!$D$59:$J$79,'Detailed Assumptions'!$L$59:$R$79,'Detailed Assumptions'!$T$59:$Z$79,'Detailed Assumptions'!$AB$59:$AH$79),$C451,2,$C$506))</f>
        <v>-741.42574505986829</v>
      </c>
      <c r="BI451" s="527" cm="1">
        <f t="array" ref="BI451">BI412*(INDEX(('Detailed Assumptions'!$D$59:$J$79,'Detailed Assumptions'!$L$59:$R$79,'Detailed Assumptions'!$T$59:$Z$79,'Detailed Assumptions'!$AB$59:$AH$79),$C451,2,$C$506))</f>
        <v>-741.42574505986829</v>
      </c>
      <c r="BJ451" s="527" cm="1">
        <f t="array" ref="BJ451">BJ412*(INDEX(('Detailed Assumptions'!$D$59:$J$79,'Detailed Assumptions'!$L$59:$R$79,'Detailed Assumptions'!$T$59:$Z$79,'Detailed Assumptions'!$AB$59:$AH$79),$C451,2,$C$506))</f>
        <v>-741.42574505986829</v>
      </c>
      <c r="BK451" s="527" cm="1">
        <f t="array" ref="BK451">BK412*(INDEX(('Detailed Assumptions'!$D$59:$J$79,'Detailed Assumptions'!$L$59:$R$79,'Detailed Assumptions'!$T$59:$Z$79,'Detailed Assumptions'!$AB$59:$AH$79),$C451,2,$C$506))</f>
        <v>-741.42574505986829</v>
      </c>
      <c r="BL451" s="527" cm="1">
        <f t="array" ref="BL451">BL412*(INDEX(('Detailed Assumptions'!$D$59:$J$79,'Detailed Assumptions'!$L$59:$R$79,'Detailed Assumptions'!$T$59:$Z$79,'Detailed Assumptions'!$AB$59:$AH$79),$C451,2,$C$506))</f>
        <v>-741.42574505986829</v>
      </c>
      <c r="BM451" s="527" cm="1">
        <f t="array" ref="BM451">BM412*(INDEX(('Detailed Assumptions'!$D$59:$J$79,'Detailed Assumptions'!$L$59:$R$79,'Detailed Assumptions'!$T$59:$Z$79,'Detailed Assumptions'!$AB$59:$AH$79),$C451,2,$C$506))</f>
        <v>-741.42574505986829</v>
      </c>
      <c r="BN451" s="527" cm="1">
        <f t="array" ref="BN451">BN412*(INDEX(('Detailed Assumptions'!$D$59:$J$79,'Detailed Assumptions'!$L$59:$R$79,'Detailed Assumptions'!$T$59:$Z$79,'Detailed Assumptions'!$AB$59:$AH$79),$C451,2,$C$506))</f>
        <v>-741.42574505986795</v>
      </c>
      <c r="BO451" s="527" cm="1">
        <f t="array" ref="BO451">BO412*(INDEX(('Detailed Assumptions'!$D$59:$J$79,'Detailed Assumptions'!$L$59:$R$79,'Detailed Assumptions'!$T$59:$Z$79,'Detailed Assumptions'!$AB$59:$AH$79),$C451,2,$C$506))</f>
        <v>-741.42574505986795</v>
      </c>
      <c r="BP451" s="527" cm="1">
        <f t="array" ref="BP451">BP412*(INDEX(('Detailed Assumptions'!$D$59:$J$79,'Detailed Assumptions'!$L$59:$R$79,'Detailed Assumptions'!$T$59:$Z$79,'Detailed Assumptions'!$AB$59:$AH$79),$C451,2,$C$506))</f>
        <v>-741.42574505986795</v>
      </c>
      <c r="BQ451" s="527" cm="1">
        <f t="array" ref="BQ451">BQ412*(INDEX(('Detailed Assumptions'!$D$59:$J$79,'Detailed Assumptions'!$L$59:$R$79,'Detailed Assumptions'!$T$59:$Z$79,'Detailed Assumptions'!$AB$59:$AH$79),$C451,2,$C$506))</f>
        <v>-741.42574505986795</v>
      </c>
      <c r="BR451" s="527" cm="1">
        <f t="array" ref="BR451">BR412*(INDEX(('Detailed Assumptions'!$D$59:$J$79,'Detailed Assumptions'!$L$59:$R$79,'Detailed Assumptions'!$T$59:$Z$79,'Detailed Assumptions'!$AB$59:$AH$79),$C451,2,$C$506))</f>
        <v>-741.42574505986795</v>
      </c>
      <c r="BS451" s="527" cm="1">
        <f t="array" ref="BS451">BS412*(INDEX(('Detailed Assumptions'!$D$59:$J$79,'Detailed Assumptions'!$L$59:$R$79,'Detailed Assumptions'!$T$59:$Z$79,'Detailed Assumptions'!$AB$59:$AH$79),$C451,2,$C$506))</f>
        <v>-741.42574505986795</v>
      </c>
      <c r="BT451" s="527" cm="1">
        <f t="array" ref="BT451">BT412*(INDEX(('Detailed Assumptions'!$D$59:$J$79,'Detailed Assumptions'!$L$59:$R$79,'Detailed Assumptions'!$T$59:$Z$79,'Detailed Assumptions'!$AB$59:$AH$79),$C451,2,$C$506))</f>
        <v>-771.08277486226291</v>
      </c>
      <c r="BU451" s="527" cm="1">
        <f t="array" ref="BU451">BU412*(INDEX(('Detailed Assumptions'!$D$59:$J$79,'Detailed Assumptions'!$L$59:$R$79,'Detailed Assumptions'!$T$59:$Z$79,'Detailed Assumptions'!$AB$59:$AH$79),$C451,2,$C$506))</f>
        <v>-771.08277486226291</v>
      </c>
      <c r="BV451" s="527" cm="1">
        <f t="array" ref="BV451">BV412*(INDEX(('Detailed Assumptions'!$D$59:$J$79,'Detailed Assumptions'!$L$59:$R$79,'Detailed Assumptions'!$T$59:$Z$79,'Detailed Assumptions'!$AB$59:$AH$79),$C451,2,$C$506))</f>
        <v>-771.08277486226291</v>
      </c>
      <c r="BW451" s="527" cm="1">
        <f t="array" ref="BW451">BW412*(INDEX(('Detailed Assumptions'!$D$59:$J$79,'Detailed Assumptions'!$L$59:$R$79,'Detailed Assumptions'!$T$59:$Z$79,'Detailed Assumptions'!$AB$59:$AH$79),$C451,2,$C$506))</f>
        <v>-771.08277486226291</v>
      </c>
      <c r="BX451" s="527" cm="1">
        <f t="array" ref="BX451">BX412*(INDEX(('Detailed Assumptions'!$D$59:$J$79,'Detailed Assumptions'!$L$59:$R$79,'Detailed Assumptions'!$T$59:$Z$79,'Detailed Assumptions'!$AB$59:$AH$79),$C451,2,$C$506))</f>
        <v>-771.08277486226291</v>
      </c>
      <c r="BY451" s="527" cm="1">
        <f t="array" ref="BY451">BY412*(INDEX(('Detailed Assumptions'!$D$59:$J$79,'Detailed Assumptions'!$L$59:$R$79,'Detailed Assumptions'!$T$59:$Z$79,'Detailed Assumptions'!$AB$59:$AH$79),$C451,2,$C$506))</f>
        <v>-771.08277486226291</v>
      </c>
    </row>
    <row r="452" spans="1:77" x14ac:dyDescent="0.3">
      <c r="A452" s="322"/>
      <c r="B452" s="322" t="s">
        <v>53</v>
      </c>
      <c r="C452" s="322">
        <f t="shared" si="617"/>
        <v>20</v>
      </c>
      <c r="D452" s="82"/>
      <c r="E452" s="142" t="str">
        <f>"Bad debts: "&amp;E$156</f>
        <v>Bad debts: FY28 Tranche</v>
      </c>
      <c r="F452" s="2"/>
      <c r="G452" s="2"/>
      <c r="H452" s="2"/>
      <c r="I452" s="2"/>
      <c r="J452" s="2"/>
      <c r="K452" s="2"/>
      <c r="L452" s="2"/>
      <c r="M452" s="2"/>
      <c r="N452" s="2"/>
      <c r="O452" s="2"/>
      <c r="P452" s="10"/>
      <c r="Q452" s="2"/>
      <c r="R452" s="497" cm="1">
        <f t="array" ref="R452">R413*(INDEX(('Detailed Assumptions'!$D$59:$J$79,'Detailed Assumptions'!$L$59:$R$79,'Detailed Assumptions'!$T$59:$Z$79,'Detailed Assumptions'!$AB$59:$AH$79),$C452,2,$C$506))</f>
        <v>-545.4762979772978</v>
      </c>
      <c r="S452" s="497" cm="1">
        <f t="array" ref="S452">S413*(INDEX(('Detailed Assumptions'!$D$59:$J$79,'Detailed Assumptions'!$L$59:$R$79,'Detailed Assumptions'!$T$59:$Z$79,'Detailed Assumptions'!$AB$59:$AH$79),$C452,2,$C$506))</f>
        <v>-545.4762979772978</v>
      </c>
      <c r="T452" s="497" cm="1">
        <f t="array" ref="T452">T413*(INDEX(('Detailed Assumptions'!$D$59:$J$79,'Detailed Assumptions'!$L$59:$R$79,'Detailed Assumptions'!$T$59:$Z$79,'Detailed Assumptions'!$AB$59:$AH$79),$C452,2,$C$506))</f>
        <v>-545.4762979772978</v>
      </c>
      <c r="U452" s="497" cm="1">
        <f t="array" ref="U452">U413*(INDEX(('Detailed Assumptions'!$D$59:$J$79,'Detailed Assumptions'!$L$59:$R$79,'Detailed Assumptions'!$T$59:$Z$79,'Detailed Assumptions'!$AB$59:$AH$79),$C452,2,$C$506))</f>
        <v>-545.4762979772978</v>
      </c>
      <c r="V452" s="497" cm="1">
        <f t="array" ref="V452">V413*(INDEX(('Detailed Assumptions'!$D$59:$J$79,'Detailed Assumptions'!$L$59:$R$79,'Detailed Assumptions'!$T$59:$Z$79,'Detailed Assumptions'!$AB$59:$AH$79),$C452,2,$C$506))</f>
        <v>-545.4762979772978</v>
      </c>
      <c r="W452" s="497" cm="1">
        <f t="array" ref="W452">W413*(INDEX(('Detailed Assumptions'!$D$59:$J$79,'Detailed Assumptions'!$L$59:$R$79,'Detailed Assumptions'!$T$59:$Z$79,'Detailed Assumptions'!$AB$59:$AH$79),$C452,2,$C$506))</f>
        <v>-545.4762979772978</v>
      </c>
      <c r="X452" s="497" cm="1">
        <f t="array" ref="X452">X413*(INDEX(('Detailed Assumptions'!$D$59:$J$79,'Detailed Assumptions'!$L$59:$R$79,'Detailed Assumptions'!$T$59:$Z$79,'Detailed Assumptions'!$AB$59:$AH$79),$C452,2,$C$506))</f>
        <v>-545.4762979772978</v>
      </c>
      <c r="Y452" s="497" cm="1">
        <f t="array" ref="Y452">Y413*(INDEX(('Detailed Assumptions'!$D$59:$J$79,'Detailed Assumptions'!$L$59:$R$79,'Detailed Assumptions'!$T$59:$Z$79,'Detailed Assumptions'!$AB$59:$AH$79),$C452,2,$C$506))</f>
        <v>-545.4762979772978</v>
      </c>
      <c r="Z452" s="497" cm="1">
        <f t="array" ref="Z452">Z413*(INDEX(('Detailed Assumptions'!$D$59:$J$79,'Detailed Assumptions'!$L$59:$R$79,'Detailed Assumptions'!$T$59:$Z$79,'Detailed Assumptions'!$AB$59:$AH$79),$C452,2,$C$506))</f>
        <v>-545.4762979772978</v>
      </c>
      <c r="AA452" s="497" cm="1">
        <f t="array" ref="AA452">AA413*(INDEX(('Detailed Assumptions'!$D$59:$J$79,'Detailed Assumptions'!$L$59:$R$79,'Detailed Assumptions'!$T$59:$Z$79,'Detailed Assumptions'!$AB$59:$AH$79),$C452,2,$C$506))</f>
        <v>-545.4762979772978</v>
      </c>
      <c r="AB452" s="497" cm="1">
        <f t="array" ref="AB452">AB413*(INDEX(('Detailed Assumptions'!$D$59:$J$79,'Detailed Assumptions'!$L$59:$R$79,'Detailed Assumptions'!$T$59:$Z$79,'Detailed Assumptions'!$AB$59:$AH$79),$C452,2,$C$506))</f>
        <v>-545.4762979772978</v>
      </c>
      <c r="AC452" s="497" cm="1">
        <f t="array" ref="AC452">AC413*(INDEX(('Detailed Assumptions'!$D$59:$J$79,'Detailed Assumptions'!$L$59:$R$79,'Detailed Assumptions'!$T$59:$Z$79,'Detailed Assumptions'!$AB$59:$AH$79),$C452,2,$C$506))</f>
        <v>-545.4762979772978</v>
      </c>
      <c r="AD452" s="497" cm="1">
        <f t="array" ref="AD452">AD413*(INDEX(('Detailed Assumptions'!$D$59:$J$79,'Detailed Assumptions'!$L$59:$R$79,'Detailed Assumptions'!$T$59:$Z$79,'Detailed Assumptions'!$AB$59:$AH$79),$C452,2,$C$506))</f>
        <v>-566.79599048606906</v>
      </c>
      <c r="AE452" s="497" cm="1">
        <f t="array" ref="AE452">AE413*(INDEX(('Detailed Assumptions'!$D$59:$J$79,'Detailed Assumptions'!$L$59:$R$79,'Detailed Assumptions'!$T$59:$Z$79,'Detailed Assumptions'!$AB$59:$AH$79),$C452,2,$C$506))</f>
        <v>-566.79599048606906</v>
      </c>
      <c r="AF452" s="497" cm="1">
        <f t="array" ref="AF452">AF413*(INDEX(('Detailed Assumptions'!$D$59:$J$79,'Detailed Assumptions'!$L$59:$R$79,'Detailed Assumptions'!$T$59:$Z$79,'Detailed Assumptions'!$AB$59:$AH$79),$C452,2,$C$506))</f>
        <v>-566.79599048606906</v>
      </c>
      <c r="AG452" s="497" cm="1">
        <f t="array" ref="AG452">AG413*(INDEX(('Detailed Assumptions'!$D$59:$J$79,'Detailed Assumptions'!$L$59:$R$79,'Detailed Assumptions'!$T$59:$Z$79,'Detailed Assumptions'!$AB$59:$AH$79),$C452,2,$C$506))</f>
        <v>-566.79599048606906</v>
      </c>
      <c r="AH452" s="497" cm="1">
        <f t="array" ref="AH452">AH413*(INDEX(('Detailed Assumptions'!$D$59:$J$79,'Detailed Assumptions'!$L$59:$R$79,'Detailed Assumptions'!$T$59:$Z$79,'Detailed Assumptions'!$AB$59:$AH$79),$C452,2,$C$506))</f>
        <v>-566.79599048606906</v>
      </c>
      <c r="AI452" s="497" cm="1">
        <f t="array" ref="AI452">AI413*(INDEX(('Detailed Assumptions'!$D$59:$J$79,'Detailed Assumptions'!$L$59:$R$79,'Detailed Assumptions'!$T$59:$Z$79,'Detailed Assumptions'!$AB$59:$AH$79),$C452,2,$C$506))</f>
        <v>-566.79599048606906</v>
      </c>
      <c r="AJ452" s="497" cm="1">
        <f t="array" ref="AJ452">AJ413*(INDEX(('Detailed Assumptions'!$D$59:$J$79,'Detailed Assumptions'!$L$59:$R$79,'Detailed Assumptions'!$T$59:$Z$79,'Detailed Assumptions'!$AB$59:$AH$79),$C452,2,$C$506))</f>
        <v>-683.17770356694416</v>
      </c>
      <c r="AK452" s="497" cm="1">
        <f t="array" ref="AK452">AK413*(INDEX(('Detailed Assumptions'!$D$59:$J$79,'Detailed Assumptions'!$L$59:$R$79,'Detailed Assumptions'!$T$59:$Z$79,'Detailed Assumptions'!$AB$59:$AH$79),$C452,2,$C$506))</f>
        <v>-683.17770356694416</v>
      </c>
      <c r="AL452" s="497" cm="1">
        <f t="array" ref="AL452">AL413*(INDEX(('Detailed Assumptions'!$D$59:$J$79,'Detailed Assumptions'!$L$59:$R$79,'Detailed Assumptions'!$T$59:$Z$79,'Detailed Assumptions'!$AB$59:$AH$79),$C452,2,$C$506))</f>
        <v>-683.17770356694416</v>
      </c>
      <c r="AM452" s="497" cm="1">
        <f t="array" ref="AM452">AM413*(INDEX(('Detailed Assumptions'!$D$59:$J$79,'Detailed Assumptions'!$L$59:$R$79,'Detailed Assumptions'!$T$59:$Z$79,'Detailed Assumptions'!$AB$59:$AH$79),$C452,2,$C$506))</f>
        <v>-683.17770356694416</v>
      </c>
      <c r="AN452" s="527" cm="1">
        <f t="array" ref="AN452">AN413*(INDEX(('Detailed Assumptions'!$D$59:$J$79,'Detailed Assumptions'!$L$59:$R$79,'Detailed Assumptions'!$T$59:$Z$79,'Detailed Assumptions'!$AB$59:$AH$79),$C452,2,$C$506))</f>
        <v>-683.17770356694416</v>
      </c>
      <c r="AO452" s="527" cm="1">
        <f t="array" ref="AO452">AO413*(INDEX(('Detailed Assumptions'!$D$59:$J$79,'Detailed Assumptions'!$L$59:$R$79,'Detailed Assumptions'!$T$59:$Z$79,'Detailed Assumptions'!$AB$59:$AH$79),$C452,2,$C$506))</f>
        <v>-683.17770356694416</v>
      </c>
      <c r="AP452" s="527" cm="1">
        <f t="array" ref="AP452">AP413*(INDEX(('Detailed Assumptions'!$D$59:$J$79,'Detailed Assumptions'!$L$59:$R$79,'Detailed Assumptions'!$T$59:$Z$79,'Detailed Assumptions'!$AB$59:$AH$79),$C452,2,$C$506))</f>
        <v>-683.17770356694416</v>
      </c>
      <c r="AQ452" s="527" cm="1">
        <f t="array" ref="AQ452">AQ413*(INDEX(('Detailed Assumptions'!$D$59:$J$79,'Detailed Assumptions'!$L$59:$R$79,'Detailed Assumptions'!$T$59:$Z$79,'Detailed Assumptions'!$AB$59:$AH$79),$C452,2,$C$506))</f>
        <v>-683.17770356694416</v>
      </c>
      <c r="AR452" s="527" cm="1">
        <f t="array" ref="AR452">AR413*(INDEX(('Detailed Assumptions'!$D$59:$J$79,'Detailed Assumptions'!$L$59:$R$79,'Detailed Assumptions'!$T$59:$Z$79,'Detailed Assumptions'!$AB$59:$AH$79),$C452,2,$C$506))</f>
        <v>-683.17770356694416</v>
      </c>
      <c r="AS452" s="527" cm="1">
        <f t="array" ref="AS452">AS413*(INDEX(('Detailed Assumptions'!$D$59:$J$79,'Detailed Assumptions'!$L$59:$R$79,'Detailed Assumptions'!$T$59:$Z$79,'Detailed Assumptions'!$AB$59:$AH$79),$C452,2,$C$506))</f>
        <v>-683.17770356694416</v>
      </c>
      <c r="AT452" s="527" cm="1">
        <f t="array" ref="AT452">AT413*(INDEX(('Detailed Assumptions'!$D$59:$J$79,'Detailed Assumptions'!$L$59:$R$79,'Detailed Assumptions'!$T$59:$Z$79,'Detailed Assumptions'!$AB$59:$AH$79),$C452,2,$C$506))</f>
        <v>-683.17770356694416</v>
      </c>
      <c r="AU452" s="527" cm="1">
        <f t="array" ref="AU452">AU413*(INDEX(('Detailed Assumptions'!$D$59:$J$79,'Detailed Assumptions'!$L$59:$R$79,'Detailed Assumptions'!$T$59:$Z$79,'Detailed Assumptions'!$AB$59:$AH$79),$C452,2,$C$506))</f>
        <v>-683.17770356694416</v>
      </c>
      <c r="AV452" s="527" cm="1">
        <f t="array" ref="AV452">AV413*(INDEX(('Detailed Assumptions'!$D$59:$J$79,'Detailed Assumptions'!$L$59:$R$79,'Detailed Assumptions'!$T$59:$Z$79,'Detailed Assumptions'!$AB$59:$AH$79),$C452,2,$C$506))</f>
        <v>-710.50481170962212</v>
      </c>
      <c r="AW452" s="527" cm="1">
        <f t="array" ref="AW452">AW413*(INDEX(('Detailed Assumptions'!$D$59:$J$79,'Detailed Assumptions'!$L$59:$R$79,'Detailed Assumptions'!$T$59:$Z$79,'Detailed Assumptions'!$AB$59:$AH$79),$C452,2,$C$506))</f>
        <v>-710.50481170962212</v>
      </c>
      <c r="AX452" s="527" cm="1">
        <f t="array" ref="AX452">AX413*(INDEX(('Detailed Assumptions'!$D$59:$J$79,'Detailed Assumptions'!$L$59:$R$79,'Detailed Assumptions'!$T$59:$Z$79,'Detailed Assumptions'!$AB$59:$AH$79),$C452,2,$C$506))</f>
        <v>-710.50481170962212</v>
      </c>
      <c r="AY452" s="527" cm="1">
        <f t="array" ref="AY452">AY413*(INDEX(('Detailed Assumptions'!$D$59:$J$79,'Detailed Assumptions'!$L$59:$R$79,'Detailed Assumptions'!$T$59:$Z$79,'Detailed Assumptions'!$AB$59:$AH$79),$C452,2,$C$506))</f>
        <v>-710.50481170962212</v>
      </c>
      <c r="AZ452" s="527" cm="1">
        <f t="array" ref="AZ452">AZ413*(INDEX(('Detailed Assumptions'!$D$59:$J$79,'Detailed Assumptions'!$L$59:$R$79,'Detailed Assumptions'!$T$59:$Z$79,'Detailed Assumptions'!$AB$59:$AH$79),$C452,2,$C$506))</f>
        <v>-710.50481170962212</v>
      </c>
      <c r="BA452" s="527" cm="1">
        <f t="array" ref="BA452">BA413*(INDEX(('Detailed Assumptions'!$D$59:$J$79,'Detailed Assumptions'!$L$59:$R$79,'Detailed Assumptions'!$T$59:$Z$79,'Detailed Assumptions'!$AB$59:$AH$79),$C452,2,$C$506))</f>
        <v>-710.50481170962212</v>
      </c>
      <c r="BB452" s="527" cm="1">
        <f t="array" ref="BB452">BB413*(INDEX(('Detailed Assumptions'!$D$59:$J$79,'Detailed Assumptions'!$L$59:$R$79,'Detailed Assumptions'!$T$59:$Z$79,'Detailed Assumptions'!$AB$59:$AH$79),$C452,2,$C$506))</f>
        <v>-710.50481170962235</v>
      </c>
      <c r="BC452" s="527" cm="1">
        <f t="array" ref="BC452">BC413*(INDEX(('Detailed Assumptions'!$D$59:$J$79,'Detailed Assumptions'!$L$59:$R$79,'Detailed Assumptions'!$T$59:$Z$79,'Detailed Assumptions'!$AB$59:$AH$79),$C452,2,$C$506))</f>
        <v>-710.50481170962235</v>
      </c>
      <c r="BD452" s="527" cm="1">
        <f t="array" ref="BD452">BD413*(INDEX(('Detailed Assumptions'!$D$59:$J$79,'Detailed Assumptions'!$L$59:$R$79,'Detailed Assumptions'!$T$59:$Z$79,'Detailed Assumptions'!$AB$59:$AH$79),$C452,2,$C$506))</f>
        <v>-710.50481170962235</v>
      </c>
      <c r="BE452" s="527" cm="1">
        <f t="array" ref="BE452">BE413*(INDEX(('Detailed Assumptions'!$D$59:$J$79,'Detailed Assumptions'!$L$59:$R$79,'Detailed Assumptions'!$T$59:$Z$79,'Detailed Assumptions'!$AB$59:$AH$79),$C452,2,$C$506))</f>
        <v>-710.50481170962235</v>
      </c>
      <c r="BF452" s="527" cm="1">
        <f t="array" ref="BF452">BF413*(INDEX(('Detailed Assumptions'!$D$59:$J$79,'Detailed Assumptions'!$L$59:$R$79,'Detailed Assumptions'!$T$59:$Z$79,'Detailed Assumptions'!$AB$59:$AH$79),$C452,2,$C$506))</f>
        <v>-710.50481170962235</v>
      </c>
      <c r="BG452" s="527" cm="1">
        <f t="array" ref="BG452">BG413*(INDEX(('Detailed Assumptions'!$D$59:$J$79,'Detailed Assumptions'!$L$59:$R$79,'Detailed Assumptions'!$T$59:$Z$79,'Detailed Assumptions'!$AB$59:$AH$79),$C452,2,$C$506))</f>
        <v>-710.50481170962235</v>
      </c>
      <c r="BH452" s="527" cm="1">
        <f t="array" ref="BH452">BH413*(INDEX(('Detailed Assumptions'!$D$59:$J$79,'Detailed Assumptions'!$L$59:$R$79,'Detailed Assumptions'!$T$59:$Z$79,'Detailed Assumptions'!$AB$59:$AH$79),$C452,2,$C$506))</f>
        <v>-738.92500417800727</v>
      </c>
      <c r="BI452" s="527" cm="1">
        <f t="array" ref="BI452">BI413*(INDEX(('Detailed Assumptions'!$D$59:$J$79,'Detailed Assumptions'!$L$59:$R$79,'Detailed Assumptions'!$T$59:$Z$79,'Detailed Assumptions'!$AB$59:$AH$79),$C452,2,$C$506))</f>
        <v>-738.92500417800727</v>
      </c>
      <c r="BJ452" s="527" cm="1">
        <f t="array" ref="BJ452">BJ413*(INDEX(('Detailed Assumptions'!$D$59:$J$79,'Detailed Assumptions'!$L$59:$R$79,'Detailed Assumptions'!$T$59:$Z$79,'Detailed Assumptions'!$AB$59:$AH$79),$C452,2,$C$506))</f>
        <v>-738.92500417800727</v>
      </c>
      <c r="BK452" s="527" cm="1">
        <f t="array" ref="BK452">BK413*(INDEX(('Detailed Assumptions'!$D$59:$J$79,'Detailed Assumptions'!$L$59:$R$79,'Detailed Assumptions'!$T$59:$Z$79,'Detailed Assumptions'!$AB$59:$AH$79),$C452,2,$C$506))</f>
        <v>-738.92500417800727</v>
      </c>
      <c r="BL452" s="527" cm="1">
        <f t="array" ref="BL452">BL413*(INDEX(('Detailed Assumptions'!$D$59:$J$79,'Detailed Assumptions'!$L$59:$R$79,'Detailed Assumptions'!$T$59:$Z$79,'Detailed Assumptions'!$AB$59:$AH$79),$C452,2,$C$506))</f>
        <v>-738.92500417800727</v>
      </c>
      <c r="BM452" s="527" cm="1">
        <f t="array" ref="BM452">BM413*(INDEX(('Detailed Assumptions'!$D$59:$J$79,'Detailed Assumptions'!$L$59:$R$79,'Detailed Assumptions'!$T$59:$Z$79,'Detailed Assumptions'!$AB$59:$AH$79),$C452,2,$C$506))</f>
        <v>-738.92500417800727</v>
      </c>
      <c r="BN452" s="527" cm="1">
        <f t="array" ref="BN452">BN413*(INDEX(('Detailed Assumptions'!$D$59:$J$79,'Detailed Assumptions'!$L$59:$R$79,'Detailed Assumptions'!$T$59:$Z$79,'Detailed Assumptions'!$AB$59:$AH$79),$C452,2,$C$506))</f>
        <v>-738.9250041780067</v>
      </c>
      <c r="BO452" s="527" cm="1">
        <f t="array" ref="BO452">BO413*(INDEX(('Detailed Assumptions'!$D$59:$J$79,'Detailed Assumptions'!$L$59:$R$79,'Detailed Assumptions'!$T$59:$Z$79,'Detailed Assumptions'!$AB$59:$AH$79),$C452,2,$C$506))</f>
        <v>-738.9250041780067</v>
      </c>
      <c r="BP452" s="527" cm="1">
        <f t="array" ref="BP452">BP413*(INDEX(('Detailed Assumptions'!$D$59:$J$79,'Detailed Assumptions'!$L$59:$R$79,'Detailed Assumptions'!$T$59:$Z$79,'Detailed Assumptions'!$AB$59:$AH$79),$C452,2,$C$506))</f>
        <v>-738.9250041780067</v>
      </c>
      <c r="BQ452" s="527" cm="1">
        <f t="array" ref="BQ452">BQ413*(INDEX(('Detailed Assumptions'!$D$59:$J$79,'Detailed Assumptions'!$L$59:$R$79,'Detailed Assumptions'!$T$59:$Z$79,'Detailed Assumptions'!$AB$59:$AH$79),$C452,2,$C$506))</f>
        <v>-738.9250041780067</v>
      </c>
      <c r="BR452" s="527" cm="1">
        <f t="array" ref="BR452">BR413*(INDEX(('Detailed Assumptions'!$D$59:$J$79,'Detailed Assumptions'!$L$59:$R$79,'Detailed Assumptions'!$T$59:$Z$79,'Detailed Assumptions'!$AB$59:$AH$79),$C452,2,$C$506))</f>
        <v>-738.9250041780067</v>
      </c>
      <c r="BS452" s="527" cm="1">
        <f t="array" ref="BS452">BS413*(INDEX(('Detailed Assumptions'!$D$59:$J$79,'Detailed Assumptions'!$L$59:$R$79,'Detailed Assumptions'!$T$59:$Z$79,'Detailed Assumptions'!$AB$59:$AH$79),$C452,2,$C$506))</f>
        <v>-738.9250041780067</v>
      </c>
      <c r="BT452" s="527" cm="1">
        <f t="array" ref="BT452">BT413*(INDEX(('Detailed Assumptions'!$D$59:$J$79,'Detailed Assumptions'!$L$59:$R$79,'Detailed Assumptions'!$T$59:$Z$79,'Detailed Assumptions'!$AB$59:$AH$79),$C452,2,$C$506))</f>
        <v>-768.48200434512728</v>
      </c>
      <c r="BU452" s="527" cm="1">
        <f t="array" ref="BU452">BU413*(INDEX(('Detailed Assumptions'!$D$59:$J$79,'Detailed Assumptions'!$L$59:$R$79,'Detailed Assumptions'!$T$59:$Z$79,'Detailed Assumptions'!$AB$59:$AH$79),$C452,2,$C$506))</f>
        <v>-768.48200434512728</v>
      </c>
      <c r="BV452" s="527" cm="1">
        <f t="array" ref="BV452">BV413*(INDEX(('Detailed Assumptions'!$D$59:$J$79,'Detailed Assumptions'!$L$59:$R$79,'Detailed Assumptions'!$T$59:$Z$79,'Detailed Assumptions'!$AB$59:$AH$79),$C452,2,$C$506))</f>
        <v>-768.48200434512728</v>
      </c>
      <c r="BW452" s="527" cm="1">
        <f t="array" ref="BW452">BW413*(INDEX(('Detailed Assumptions'!$D$59:$J$79,'Detailed Assumptions'!$L$59:$R$79,'Detailed Assumptions'!$T$59:$Z$79,'Detailed Assumptions'!$AB$59:$AH$79),$C452,2,$C$506))</f>
        <v>-768.48200434512728</v>
      </c>
      <c r="BX452" s="527" cm="1">
        <f t="array" ref="BX452">BX413*(INDEX(('Detailed Assumptions'!$D$59:$J$79,'Detailed Assumptions'!$L$59:$R$79,'Detailed Assumptions'!$T$59:$Z$79,'Detailed Assumptions'!$AB$59:$AH$79),$C452,2,$C$506))</f>
        <v>-768.48200434512728</v>
      </c>
      <c r="BY452" s="527" cm="1">
        <f t="array" ref="BY452">BY413*(INDEX(('Detailed Assumptions'!$D$59:$J$79,'Detailed Assumptions'!$L$59:$R$79,'Detailed Assumptions'!$T$59:$Z$79,'Detailed Assumptions'!$AB$59:$AH$79),$C452,2,$C$506))</f>
        <v>-768.48200434512728</v>
      </c>
    </row>
    <row r="453" spans="1:77" x14ac:dyDescent="0.3">
      <c r="A453" s="322"/>
      <c r="B453" s="322" t="s">
        <v>53</v>
      </c>
      <c r="C453" s="322">
        <f t="shared" si="617"/>
        <v>20</v>
      </c>
      <c r="D453" s="82"/>
      <c r="E453" s="142" t="str">
        <f>"Bad debts: "&amp;E$157</f>
        <v>Bad debts: FY29 Tranche</v>
      </c>
      <c r="F453" s="2"/>
      <c r="G453" s="2"/>
      <c r="H453" s="2"/>
      <c r="I453" s="2"/>
      <c r="J453" s="2"/>
      <c r="K453" s="2"/>
      <c r="L453" s="2"/>
      <c r="M453" s="2"/>
      <c r="N453" s="2"/>
      <c r="O453" s="2"/>
      <c r="P453" s="10"/>
      <c r="Q453" s="2"/>
      <c r="R453" s="497" cm="1">
        <f t="array" ref="R453">R414*(INDEX(('Detailed Assumptions'!$D$59:$J$79,'Detailed Assumptions'!$L$59:$R$79,'Detailed Assumptions'!$T$59:$Z$79,'Detailed Assumptions'!$AB$59:$AH$79),$C453,2,$C$506))</f>
        <v>-545.4762979772978</v>
      </c>
      <c r="S453" s="497" cm="1">
        <f t="array" ref="S453">S414*(INDEX(('Detailed Assumptions'!$D$59:$J$79,'Detailed Assumptions'!$L$59:$R$79,'Detailed Assumptions'!$T$59:$Z$79,'Detailed Assumptions'!$AB$59:$AH$79),$C453,2,$C$506))</f>
        <v>-545.4762979772978</v>
      </c>
      <c r="T453" s="497" cm="1">
        <f t="array" ref="T453">T414*(INDEX(('Detailed Assumptions'!$D$59:$J$79,'Detailed Assumptions'!$L$59:$R$79,'Detailed Assumptions'!$T$59:$Z$79,'Detailed Assumptions'!$AB$59:$AH$79),$C453,2,$C$506))</f>
        <v>-545.4762979772978</v>
      </c>
      <c r="U453" s="497" cm="1">
        <f t="array" ref="U453">U414*(INDEX(('Detailed Assumptions'!$D$59:$J$79,'Detailed Assumptions'!$L$59:$R$79,'Detailed Assumptions'!$T$59:$Z$79,'Detailed Assumptions'!$AB$59:$AH$79),$C453,2,$C$506))</f>
        <v>-545.4762979772978</v>
      </c>
      <c r="V453" s="497" cm="1">
        <f t="array" ref="V453">V414*(INDEX(('Detailed Assumptions'!$D$59:$J$79,'Detailed Assumptions'!$L$59:$R$79,'Detailed Assumptions'!$T$59:$Z$79,'Detailed Assumptions'!$AB$59:$AH$79),$C453,2,$C$506))</f>
        <v>-545.4762979772978</v>
      </c>
      <c r="W453" s="497" cm="1">
        <f t="array" ref="W453">W414*(INDEX(('Detailed Assumptions'!$D$59:$J$79,'Detailed Assumptions'!$L$59:$R$79,'Detailed Assumptions'!$T$59:$Z$79,'Detailed Assumptions'!$AB$59:$AH$79),$C453,2,$C$506))</f>
        <v>-545.4762979772978</v>
      </c>
      <c r="X453" s="497" cm="1">
        <f t="array" ref="X453">X414*(INDEX(('Detailed Assumptions'!$D$59:$J$79,'Detailed Assumptions'!$L$59:$R$79,'Detailed Assumptions'!$T$59:$Z$79,'Detailed Assumptions'!$AB$59:$AH$79),$C453,2,$C$506))</f>
        <v>-545.4762979772978</v>
      </c>
      <c r="Y453" s="497" cm="1">
        <f t="array" ref="Y453">Y414*(INDEX(('Detailed Assumptions'!$D$59:$J$79,'Detailed Assumptions'!$L$59:$R$79,'Detailed Assumptions'!$T$59:$Z$79,'Detailed Assumptions'!$AB$59:$AH$79),$C453,2,$C$506))</f>
        <v>-545.4762979772978</v>
      </c>
      <c r="Z453" s="497" cm="1">
        <f t="array" ref="Z453">Z414*(INDEX(('Detailed Assumptions'!$D$59:$J$79,'Detailed Assumptions'!$L$59:$R$79,'Detailed Assumptions'!$T$59:$Z$79,'Detailed Assumptions'!$AB$59:$AH$79),$C453,2,$C$506))</f>
        <v>-545.4762979772978</v>
      </c>
      <c r="AA453" s="497" cm="1">
        <f t="array" ref="AA453">AA414*(INDEX(('Detailed Assumptions'!$D$59:$J$79,'Detailed Assumptions'!$L$59:$R$79,'Detailed Assumptions'!$T$59:$Z$79,'Detailed Assumptions'!$AB$59:$AH$79),$C453,2,$C$506))</f>
        <v>-545.4762979772978</v>
      </c>
      <c r="AB453" s="497" cm="1">
        <f t="array" ref="AB453">AB414*(INDEX(('Detailed Assumptions'!$D$59:$J$79,'Detailed Assumptions'!$L$59:$R$79,'Detailed Assumptions'!$T$59:$Z$79,'Detailed Assumptions'!$AB$59:$AH$79),$C453,2,$C$506))</f>
        <v>-545.4762979772978</v>
      </c>
      <c r="AC453" s="497" cm="1">
        <f t="array" ref="AC453">AC414*(INDEX(('Detailed Assumptions'!$D$59:$J$79,'Detailed Assumptions'!$L$59:$R$79,'Detailed Assumptions'!$T$59:$Z$79,'Detailed Assumptions'!$AB$59:$AH$79),$C453,2,$C$506))</f>
        <v>-545.4762979772978</v>
      </c>
      <c r="AD453" s="497" cm="1">
        <f t="array" ref="AD453">AD414*(INDEX(('Detailed Assumptions'!$D$59:$J$79,'Detailed Assumptions'!$L$59:$R$79,'Detailed Assumptions'!$T$59:$Z$79,'Detailed Assumptions'!$AB$59:$AH$79),$C453,2,$C$506))</f>
        <v>-566.79599048606906</v>
      </c>
      <c r="AE453" s="497" cm="1">
        <f t="array" ref="AE453">AE414*(INDEX(('Detailed Assumptions'!$D$59:$J$79,'Detailed Assumptions'!$L$59:$R$79,'Detailed Assumptions'!$T$59:$Z$79,'Detailed Assumptions'!$AB$59:$AH$79),$C453,2,$C$506))</f>
        <v>-566.79599048606906</v>
      </c>
      <c r="AF453" s="497" cm="1">
        <f t="array" ref="AF453">AF414*(INDEX(('Detailed Assumptions'!$D$59:$J$79,'Detailed Assumptions'!$L$59:$R$79,'Detailed Assumptions'!$T$59:$Z$79,'Detailed Assumptions'!$AB$59:$AH$79),$C453,2,$C$506))</f>
        <v>-566.79599048606906</v>
      </c>
      <c r="AG453" s="497" cm="1">
        <f t="array" ref="AG453">AG414*(INDEX(('Detailed Assumptions'!$D$59:$J$79,'Detailed Assumptions'!$L$59:$R$79,'Detailed Assumptions'!$T$59:$Z$79,'Detailed Assumptions'!$AB$59:$AH$79),$C453,2,$C$506))</f>
        <v>-566.79599048606906</v>
      </c>
      <c r="AH453" s="497" cm="1">
        <f t="array" ref="AH453">AH414*(INDEX(('Detailed Assumptions'!$D$59:$J$79,'Detailed Assumptions'!$L$59:$R$79,'Detailed Assumptions'!$T$59:$Z$79,'Detailed Assumptions'!$AB$59:$AH$79),$C453,2,$C$506))</f>
        <v>-566.79599048606906</v>
      </c>
      <c r="AI453" s="497" cm="1">
        <f t="array" ref="AI453">AI414*(INDEX(('Detailed Assumptions'!$D$59:$J$79,'Detailed Assumptions'!$L$59:$R$79,'Detailed Assumptions'!$T$59:$Z$79,'Detailed Assumptions'!$AB$59:$AH$79),$C453,2,$C$506))</f>
        <v>-566.79599048606906</v>
      </c>
      <c r="AJ453" s="497" cm="1">
        <f t="array" ref="AJ453">AJ414*(INDEX(('Detailed Assumptions'!$D$59:$J$79,'Detailed Assumptions'!$L$59:$R$79,'Detailed Assumptions'!$T$59:$Z$79,'Detailed Assumptions'!$AB$59:$AH$79),$C453,2,$C$506))</f>
        <v>-566.79599048606906</v>
      </c>
      <c r="AK453" s="497" cm="1">
        <f t="array" ref="AK453">AK414*(INDEX(('Detailed Assumptions'!$D$59:$J$79,'Detailed Assumptions'!$L$59:$R$79,'Detailed Assumptions'!$T$59:$Z$79,'Detailed Assumptions'!$AB$59:$AH$79),$C453,2,$C$506))</f>
        <v>-566.79599048606906</v>
      </c>
      <c r="AL453" s="497" cm="1">
        <f t="array" ref="AL453">AL414*(INDEX(('Detailed Assumptions'!$D$59:$J$79,'Detailed Assumptions'!$L$59:$R$79,'Detailed Assumptions'!$T$59:$Z$79,'Detailed Assumptions'!$AB$59:$AH$79),$C453,2,$C$506))</f>
        <v>-566.79599048606906</v>
      </c>
      <c r="AM453" s="497" cm="1">
        <f t="array" ref="AM453">AM414*(INDEX(('Detailed Assumptions'!$D$59:$J$79,'Detailed Assumptions'!$L$59:$R$79,'Detailed Assumptions'!$T$59:$Z$79,'Detailed Assumptions'!$AB$59:$AH$79),$C453,2,$C$506))</f>
        <v>-566.79599048606906</v>
      </c>
      <c r="AN453" s="527" cm="1">
        <f t="array" ref="AN453">AN414*(INDEX(('Detailed Assumptions'!$D$59:$J$79,'Detailed Assumptions'!$L$59:$R$79,'Detailed Assumptions'!$T$59:$Z$79,'Detailed Assumptions'!$AB$59:$AH$79),$C453,2,$C$506))</f>
        <v>-566.79599048606906</v>
      </c>
      <c r="AO453" s="527" cm="1">
        <f t="array" ref="AO453">AO414*(INDEX(('Detailed Assumptions'!$D$59:$J$79,'Detailed Assumptions'!$L$59:$R$79,'Detailed Assumptions'!$T$59:$Z$79,'Detailed Assumptions'!$AB$59:$AH$79),$C453,2,$C$506))</f>
        <v>-566.79599048606906</v>
      </c>
      <c r="AP453" s="527" cm="1">
        <f t="array" ref="AP453">AP414*(INDEX(('Detailed Assumptions'!$D$59:$J$79,'Detailed Assumptions'!$L$59:$R$79,'Detailed Assumptions'!$T$59:$Z$79,'Detailed Assumptions'!$AB$59:$AH$79),$C453,2,$C$506))</f>
        <v>-587.95216688921676</v>
      </c>
      <c r="AQ453" s="527" cm="1">
        <f t="array" ref="AQ453">AQ414*(INDEX(('Detailed Assumptions'!$D$59:$J$79,'Detailed Assumptions'!$L$59:$R$79,'Detailed Assumptions'!$T$59:$Z$79,'Detailed Assumptions'!$AB$59:$AH$79),$C453,2,$C$506))</f>
        <v>-587.95216688921676</v>
      </c>
      <c r="AR453" s="527" cm="1">
        <f t="array" ref="AR453">AR414*(INDEX(('Detailed Assumptions'!$D$59:$J$79,'Detailed Assumptions'!$L$59:$R$79,'Detailed Assumptions'!$T$59:$Z$79,'Detailed Assumptions'!$AB$59:$AH$79),$C453,2,$C$506))</f>
        <v>-587.95216688921676</v>
      </c>
      <c r="AS453" s="527" cm="1">
        <f t="array" ref="AS453">AS414*(INDEX(('Detailed Assumptions'!$D$59:$J$79,'Detailed Assumptions'!$L$59:$R$79,'Detailed Assumptions'!$T$59:$Z$79,'Detailed Assumptions'!$AB$59:$AH$79),$C453,2,$C$506))</f>
        <v>-587.95216688921676</v>
      </c>
      <c r="AT453" s="527" cm="1">
        <f t="array" ref="AT453">AT414*(INDEX(('Detailed Assumptions'!$D$59:$J$79,'Detailed Assumptions'!$L$59:$R$79,'Detailed Assumptions'!$T$59:$Z$79,'Detailed Assumptions'!$AB$59:$AH$79),$C453,2,$C$506))</f>
        <v>-587.95216688921676</v>
      </c>
      <c r="AU453" s="527" cm="1">
        <f t="array" ref="AU453">AU414*(INDEX(('Detailed Assumptions'!$D$59:$J$79,'Detailed Assumptions'!$L$59:$R$79,'Detailed Assumptions'!$T$59:$Z$79,'Detailed Assumptions'!$AB$59:$AH$79),$C453,2,$C$506))</f>
        <v>-587.95216688921676</v>
      </c>
      <c r="AV453" s="527" cm="1">
        <f t="array" ref="AV453">AV414*(INDEX(('Detailed Assumptions'!$D$59:$J$79,'Detailed Assumptions'!$L$59:$R$79,'Detailed Assumptions'!$T$59:$Z$79,'Detailed Assumptions'!$AB$59:$AH$79),$C453,2,$C$506))</f>
        <v>-706.94716363912232</v>
      </c>
      <c r="AW453" s="527" cm="1">
        <f t="array" ref="AW453">AW414*(INDEX(('Detailed Assumptions'!$D$59:$J$79,'Detailed Assumptions'!$L$59:$R$79,'Detailed Assumptions'!$T$59:$Z$79,'Detailed Assumptions'!$AB$59:$AH$79),$C453,2,$C$506))</f>
        <v>-706.94716363912232</v>
      </c>
      <c r="AX453" s="527" cm="1">
        <f t="array" ref="AX453">AX414*(INDEX(('Detailed Assumptions'!$D$59:$J$79,'Detailed Assumptions'!$L$59:$R$79,'Detailed Assumptions'!$T$59:$Z$79,'Detailed Assumptions'!$AB$59:$AH$79),$C453,2,$C$506))</f>
        <v>-706.94716363912232</v>
      </c>
      <c r="AY453" s="527" cm="1">
        <f t="array" ref="AY453">AY414*(INDEX(('Detailed Assumptions'!$D$59:$J$79,'Detailed Assumptions'!$L$59:$R$79,'Detailed Assumptions'!$T$59:$Z$79,'Detailed Assumptions'!$AB$59:$AH$79),$C453,2,$C$506))</f>
        <v>-706.94716363912232</v>
      </c>
      <c r="AZ453" s="527" cm="1">
        <f t="array" ref="AZ453">AZ414*(INDEX(('Detailed Assumptions'!$D$59:$J$79,'Detailed Assumptions'!$L$59:$R$79,'Detailed Assumptions'!$T$59:$Z$79,'Detailed Assumptions'!$AB$59:$AH$79),$C453,2,$C$506))</f>
        <v>-706.94716363912232</v>
      </c>
      <c r="BA453" s="527" cm="1">
        <f t="array" ref="BA453">BA414*(INDEX(('Detailed Assumptions'!$D$59:$J$79,'Detailed Assumptions'!$L$59:$R$79,'Detailed Assumptions'!$T$59:$Z$79,'Detailed Assumptions'!$AB$59:$AH$79),$C453,2,$C$506))</f>
        <v>-706.94716363912232</v>
      </c>
      <c r="BB453" s="527" cm="1">
        <f t="array" ref="BB453">BB414*(INDEX(('Detailed Assumptions'!$D$59:$J$79,'Detailed Assumptions'!$L$59:$R$79,'Detailed Assumptions'!$T$59:$Z$79,'Detailed Assumptions'!$AB$59:$AH$79),$C453,2,$C$506))</f>
        <v>-706.94716363912232</v>
      </c>
      <c r="BC453" s="527" cm="1">
        <f t="array" ref="BC453">BC414*(INDEX(('Detailed Assumptions'!$D$59:$J$79,'Detailed Assumptions'!$L$59:$R$79,'Detailed Assumptions'!$T$59:$Z$79,'Detailed Assumptions'!$AB$59:$AH$79),$C453,2,$C$506))</f>
        <v>-706.94716363912232</v>
      </c>
      <c r="BD453" s="527" cm="1">
        <f t="array" ref="BD453">BD414*(INDEX(('Detailed Assumptions'!$D$59:$J$79,'Detailed Assumptions'!$L$59:$R$79,'Detailed Assumptions'!$T$59:$Z$79,'Detailed Assumptions'!$AB$59:$AH$79),$C453,2,$C$506))</f>
        <v>-706.94716363912232</v>
      </c>
      <c r="BE453" s="527" cm="1">
        <f t="array" ref="BE453">BE414*(INDEX(('Detailed Assumptions'!$D$59:$J$79,'Detailed Assumptions'!$L$59:$R$79,'Detailed Assumptions'!$T$59:$Z$79,'Detailed Assumptions'!$AB$59:$AH$79),$C453,2,$C$506))</f>
        <v>-706.94716363912232</v>
      </c>
      <c r="BF453" s="527" cm="1">
        <f t="array" ref="BF453">BF414*(INDEX(('Detailed Assumptions'!$D$59:$J$79,'Detailed Assumptions'!$L$59:$R$79,'Detailed Assumptions'!$T$59:$Z$79,'Detailed Assumptions'!$AB$59:$AH$79),$C453,2,$C$506))</f>
        <v>-706.94716363912232</v>
      </c>
      <c r="BG453" s="527" cm="1">
        <f t="array" ref="BG453">BG414*(INDEX(('Detailed Assumptions'!$D$59:$J$79,'Detailed Assumptions'!$L$59:$R$79,'Detailed Assumptions'!$T$59:$Z$79,'Detailed Assumptions'!$AB$59:$AH$79),$C453,2,$C$506))</f>
        <v>-706.94716363912232</v>
      </c>
      <c r="BH453" s="527" cm="1">
        <f t="array" ref="BH453">BH414*(INDEX(('Detailed Assumptions'!$D$59:$J$79,'Detailed Assumptions'!$L$59:$R$79,'Detailed Assumptions'!$T$59:$Z$79,'Detailed Assumptions'!$AB$59:$AH$79),$C453,2,$C$506))</f>
        <v>-735.22505018468746</v>
      </c>
      <c r="BI453" s="527" cm="1">
        <f t="array" ref="BI453">BI414*(INDEX(('Detailed Assumptions'!$D$59:$J$79,'Detailed Assumptions'!$L$59:$R$79,'Detailed Assumptions'!$T$59:$Z$79,'Detailed Assumptions'!$AB$59:$AH$79),$C453,2,$C$506))</f>
        <v>-735.22505018468746</v>
      </c>
      <c r="BJ453" s="527" cm="1">
        <f t="array" ref="BJ453">BJ414*(INDEX(('Detailed Assumptions'!$D$59:$J$79,'Detailed Assumptions'!$L$59:$R$79,'Detailed Assumptions'!$T$59:$Z$79,'Detailed Assumptions'!$AB$59:$AH$79),$C453,2,$C$506))</f>
        <v>-735.22505018468746</v>
      </c>
      <c r="BK453" s="527" cm="1">
        <f t="array" ref="BK453">BK414*(INDEX(('Detailed Assumptions'!$D$59:$J$79,'Detailed Assumptions'!$L$59:$R$79,'Detailed Assumptions'!$T$59:$Z$79,'Detailed Assumptions'!$AB$59:$AH$79),$C453,2,$C$506))</f>
        <v>-735.22505018468746</v>
      </c>
      <c r="BL453" s="527" cm="1">
        <f t="array" ref="BL453">BL414*(INDEX(('Detailed Assumptions'!$D$59:$J$79,'Detailed Assumptions'!$L$59:$R$79,'Detailed Assumptions'!$T$59:$Z$79,'Detailed Assumptions'!$AB$59:$AH$79),$C453,2,$C$506))</f>
        <v>-735.22505018468746</v>
      </c>
      <c r="BM453" s="527" cm="1">
        <f t="array" ref="BM453">BM414*(INDEX(('Detailed Assumptions'!$D$59:$J$79,'Detailed Assumptions'!$L$59:$R$79,'Detailed Assumptions'!$T$59:$Z$79,'Detailed Assumptions'!$AB$59:$AH$79),$C453,2,$C$506))</f>
        <v>-735.22505018468746</v>
      </c>
      <c r="BN453" s="527" cm="1">
        <f t="array" ref="BN453">BN414*(INDEX(('Detailed Assumptions'!$D$59:$J$79,'Detailed Assumptions'!$L$59:$R$79,'Detailed Assumptions'!$T$59:$Z$79,'Detailed Assumptions'!$AB$59:$AH$79),$C453,2,$C$506))</f>
        <v>-735.22505018468678</v>
      </c>
      <c r="BO453" s="527" cm="1">
        <f t="array" ref="BO453">BO414*(INDEX(('Detailed Assumptions'!$D$59:$J$79,'Detailed Assumptions'!$L$59:$R$79,'Detailed Assumptions'!$T$59:$Z$79,'Detailed Assumptions'!$AB$59:$AH$79),$C453,2,$C$506))</f>
        <v>-735.22505018468678</v>
      </c>
      <c r="BP453" s="527" cm="1">
        <f t="array" ref="BP453">BP414*(INDEX(('Detailed Assumptions'!$D$59:$J$79,'Detailed Assumptions'!$L$59:$R$79,'Detailed Assumptions'!$T$59:$Z$79,'Detailed Assumptions'!$AB$59:$AH$79),$C453,2,$C$506))</f>
        <v>-735.22505018468678</v>
      </c>
      <c r="BQ453" s="527" cm="1">
        <f t="array" ref="BQ453">BQ414*(INDEX(('Detailed Assumptions'!$D$59:$J$79,'Detailed Assumptions'!$L$59:$R$79,'Detailed Assumptions'!$T$59:$Z$79,'Detailed Assumptions'!$AB$59:$AH$79),$C453,2,$C$506))</f>
        <v>-735.22505018468678</v>
      </c>
      <c r="BR453" s="527" cm="1">
        <f t="array" ref="BR453">BR414*(INDEX(('Detailed Assumptions'!$D$59:$J$79,'Detailed Assumptions'!$L$59:$R$79,'Detailed Assumptions'!$T$59:$Z$79,'Detailed Assumptions'!$AB$59:$AH$79),$C453,2,$C$506))</f>
        <v>-735.22505018468678</v>
      </c>
      <c r="BS453" s="527" cm="1">
        <f t="array" ref="BS453">BS414*(INDEX(('Detailed Assumptions'!$D$59:$J$79,'Detailed Assumptions'!$L$59:$R$79,'Detailed Assumptions'!$T$59:$Z$79,'Detailed Assumptions'!$AB$59:$AH$79),$C453,2,$C$506))</f>
        <v>-735.22505018468678</v>
      </c>
      <c r="BT453" s="527" cm="1">
        <f t="array" ref="BT453">BT414*(INDEX(('Detailed Assumptions'!$D$59:$J$79,'Detailed Assumptions'!$L$59:$R$79,'Detailed Assumptions'!$T$59:$Z$79,'Detailed Assumptions'!$AB$59:$AH$79),$C453,2,$C$506))</f>
        <v>-764.63405219207436</v>
      </c>
      <c r="BU453" s="527" cm="1">
        <f t="array" ref="BU453">BU414*(INDEX(('Detailed Assumptions'!$D$59:$J$79,'Detailed Assumptions'!$L$59:$R$79,'Detailed Assumptions'!$T$59:$Z$79,'Detailed Assumptions'!$AB$59:$AH$79),$C453,2,$C$506))</f>
        <v>-764.63405219207436</v>
      </c>
      <c r="BV453" s="527" cm="1">
        <f t="array" ref="BV453">BV414*(INDEX(('Detailed Assumptions'!$D$59:$J$79,'Detailed Assumptions'!$L$59:$R$79,'Detailed Assumptions'!$T$59:$Z$79,'Detailed Assumptions'!$AB$59:$AH$79),$C453,2,$C$506))</f>
        <v>-764.63405219207436</v>
      </c>
      <c r="BW453" s="527" cm="1">
        <f t="array" ref="BW453">BW414*(INDEX(('Detailed Assumptions'!$D$59:$J$79,'Detailed Assumptions'!$L$59:$R$79,'Detailed Assumptions'!$T$59:$Z$79,'Detailed Assumptions'!$AB$59:$AH$79),$C453,2,$C$506))</f>
        <v>-764.63405219207436</v>
      </c>
      <c r="BX453" s="527" cm="1">
        <f t="array" ref="BX453">BX414*(INDEX(('Detailed Assumptions'!$D$59:$J$79,'Detailed Assumptions'!$L$59:$R$79,'Detailed Assumptions'!$T$59:$Z$79,'Detailed Assumptions'!$AB$59:$AH$79),$C453,2,$C$506))</f>
        <v>-764.63405219207436</v>
      </c>
      <c r="BY453" s="527" cm="1">
        <f t="array" ref="BY453">BY414*(INDEX(('Detailed Assumptions'!$D$59:$J$79,'Detailed Assumptions'!$L$59:$R$79,'Detailed Assumptions'!$T$59:$Z$79,'Detailed Assumptions'!$AB$59:$AH$79),$C453,2,$C$506))</f>
        <v>-764.63405219207436</v>
      </c>
    </row>
    <row r="454" spans="1:77" x14ac:dyDescent="0.3">
      <c r="A454" s="322"/>
      <c r="B454" s="322" t="s">
        <v>53</v>
      </c>
      <c r="C454" s="322">
        <f t="shared" si="617"/>
        <v>20</v>
      </c>
      <c r="D454" s="82"/>
      <c r="E454" s="142" t="str">
        <f>"Bad debts: "&amp;E$158</f>
        <v>Bad debts: FY30 Tranche</v>
      </c>
      <c r="F454" s="2"/>
      <c r="G454" s="2"/>
      <c r="H454" s="2"/>
      <c r="I454" s="2"/>
      <c r="J454" s="2"/>
      <c r="K454" s="2"/>
      <c r="L454" s="2"/>
      <c r="M454" s="2"/>
      <c r="N454" s="2"/>
      <c r="O454" s="2"/>
      <c r="P454" s="10"/>
      <c r="Q454" s="2"/>
      <c r="R454" s="497" cm="1">
        <f t="array" ref="R454">R415*(INDEX(('Detailed Assumptions'!$D$59:$J$79,'Detailed Assumptions'!$L$59:$R$79,'Detailed Assumptions'!$T$59:$Z$79,'Detailed Assumptions'!$AB$59:$AH$79),$C454,2,$C$506))</f>
        <v>-545.4762979772978</v>
      </c>
      <c r="S454" s="497" cm="1">
        <f t="array" ref="S454">S415*(INDEX(('Detailed Assumptions'!$D$59:$J$79,'Detailed Assumptions'!$L$59:$R$79,'Detailed Assumptions'!$T$59:$Z$79,'Detailed Assumptions'!$AB$59:$AH$79),$C454,2,$C$506))</f>
        <v>-545.4762979772978</v>
      </c>
      <c r="T454" s="497" cm="1">
        <f t="array" ref="T454">T415*(INDEX(('Detailed Assumptions'!$D$59:$J$79,'Detailed Assumptions'!$L$59:$R$79,'Detailed Assumptions'!$T$59:$Z$79,'Detailed Assumptions'!$AB$59:$AH$79),$C454,2,$C$506))</f>
        <v>-545.4762979772978</v>
      </c>
      <c r="U454" s="497" cm="1">
        <f t="array" ref="U454">U415*(INDEX(('Detailed Assumptions'!$D$59:$J$79,'Detailed Assumptions'!$L$59:$R$79,'Detailed Assumptions'!$T$59:$Z$79,'Detailed Assumptions'!$AB$59:$AH$79),$C454,2,$C$506))</f>
        <v>-545.4762979772978</v>
      </c>
      <c r="V454" s="497" cm="1">
        <f t="array" ref="V454">V415*(INDEX(('Detailed Assumptions'!$D$59:$J$79,'Detailed Assumptions'!$L$59:$R$79,'Detailed Assumptions'!$T$59:$Z$79,'Detailed Assumptions'!$AB$59:$AH$79),$C454,2,$C$506))</f>
        <v>-545.4762979772978</v>
      </c>
      <c r="W454" s="497" cm="1">
        <f t="array" ref="W454">W415*(INDEX(('Detailed Assumptions'!$D$59:$J$79,'Detailed Assumptions'!$L$59:$R$79,'Detailed Assumptions'!$T$59:$Z$79,'Detailed Assumptions'!$AB$59:$AH$79),$C454,2,$C$506))</f>
        <v>-545.4762979772978</v>
      </c>
      <c r="X454" s="497" cm="1">
        <f t="array" ref="X454">X415*(INDEX(('Detailed Assumptions'!$D$59:$J$79,'Detailed Assumptions'!$L$59:$R$79,'Detailed Assumptions'!$T$59:$Z$79,'Detailed Assumptions'!$AB$59:$AH$79),$C454,2,$C$506))</f>
        <v>-545.4762979772978</v>
      </c>
      <c r="Y454" s="497" cm="1">
        <f t="array" ref="Y454">Y415*(INDEX(('Detailed Assumptions'!$D$59:$J$79,'Detailed Assumptions'!$L$59:$R$79,'Detailed Assumptions'!$T$59:$Z$79,'Detailed Assumptions'!$AB$59:$AH$79),$C454,2,$C$506))</f>
        <v>-545.4762979772978</v>
      </c>
      <c r="Z454" s="497" cm="1">
        <f t="array" ref="Z454">Z415*(INDEX(('Detailed Assumptions'!$D$59:$J$79,'Detailed Assumptions'!$L$59:$R$79,'Detailed Assumptions'!$T$59:$Z$79,'Detailed Assumptions'!$AB$59:$AH$79),$C454,2,$C$506))</f>
        <v>-545.4762979772978</v>
      </c>
      <c r="AA454" s="497" cm="1">
        <f t="array" ref="AA454">AA415*(INDEX(('Detailed Assumptions'!$D$59:$J$79,'Detailed Assumptions'!$L$59:$R$79,'Detailed Assumptions'!$T$59:$Z$79,'Detailed Assumptions'!$AB$59:$AH$79),$C454,2,$C$506))</f>
        <v>-545.4762979772978</v>
      </c>
      <c r="AB454" s="497" cm="1">
        <f t="array" ref="AB454">AB415*(INDEX(('Detailed Assumptions'!$D$59:$J$79,'Detailed Assumptions'!$L$59:$R$79,'Detailed Assumptions'!$T$59:$Z$79,'Detailed Assumptions'!$AB$59:$AH$79),$C454,2,$C$506))</f>
        <v>-545.4762979772978</v>
      </c>
      <c r="AC454" s="497" cm="1">
        <f t="array" ref="AC454">AC415*(INDEX(('Detailed Assumptions'!$D$59:$J$79,'Detailed Assumptions'!$L$59:$R$79,'Detailed Assumptions'!$T$59:$Z$79,'Detailed Assumptions'!$AB$59:$AH$79),$C454,2,$C$506))</f>
        <v>-545.4762979772978</v>
      </c>
      <c r="AD454" s="497" cm="1">
        <f t="array" ref="AD454">AD415*(INDEX(('Detailed Assumptions'!$D$59:$J$79,'Detailed Assumptions'!$L$59:$R$79,'Detailed Assumptions'!$T$59:$Z$79,'Detailed Assumptions'!$AB$59:$AH$79),$C454,2,$C$506))</f>
        <v>-566.79599048606906</v>
      </c>
      <c r="AE454" s="497" cm="1">
        <f t="array" ref="AE454">AE415*(INDEX(('Detailed Assumptions'!$D$59:$J$79,'Detailed Assumptions'!$L$59:$R$79,'Detailed Assumptions'!$T$59:$Z$79,'Detailed Assumptions'!$AB$59:$AH$79),$C454,2,$C$506))</f>
        <v>-566.79599048606906</v>
      </c>
      <c r="AF454" s="497" cm="1">
        <f t="array" ref="AF454">AF415*(INDEX(('Detailed Assumptions'!$D$59:$J$79,'Detailed Assumptions'!$L$59:$R$79,'Detailed Assumptions'!$T$59:$Z$79,'Detailed Assumptions'!$AB$59:$AH$79),$C454,2,$C$506))</f>
        <v>-566.79599048606906</v>
      </c>
      <c r="AG454" s="497" cm="1">
        <f t="array" ref="AG454">AG415*(INDEX(('Detailed Assumptions'!$D$59:$J$79,'Detailed Assumptions'!$L$59:$R$79,'Detailed Assumptions'!$T$59:$Z$79,'Detailed Assumptions'!$AB$59:$AH$79),$C454,2,$C$506))</f>
        <v>-566.79599048606906</v>
      </c>
      <c r="AH454" s="497" cm="1">
        <f t="array" ref="AH454">AH415*(INDEX(('Detailed Assumptions'!$D$59:$J$79,'Detailed Assumptions'!$L$59:$R$79,'Detailed Assumptions'!$T$59:$Z$79,'Detailed Assumptions'!$AB$59:$AH$79),$C454,2,$C$506))</f>
        <v>-566.79599048606906</v>
      </c>
      <c r="AI454" s="497" cm="1">
        <f t="array" ref="AI454">AI415*(INDEX(('Detailed Assumptions'!$D$59:$J$79,'Detailed Assumptions'!$L$59:$R$79,'Detailed Assumptions'!$T$59:$Z$79,'Detailed Assumptions'!$AB$59:$AH$79),$C454,2,$C$506))</f>
        <v>-566.79599048606906</v>
      </c>
      <c r="AJ454" s="497" cm="1">
        <f t="array" ref="AJ454">AJ415*(INDEX(('Detailed Assumptions'!$D$59:$J$79,'Detailed Assumptions'!$L$59:$R$79,'Detailed Assumptions'!$T$59:$Z$79,'Detailed Assumptions'!$AB$59:$AH$79),$C454,2,$C$506))</f>
        <v>-566.79599048606906</v>
      </c>
      <c r="AK454" s="497" cm="1">
        <f t="array" ref="AK454">AK415*(INDEX(('Detailed Assumptions'!$D$59:$J$79,'Detailed Assumptions'!$L$59:$R$79,'Detailed Assumptions'!$T$59:$Z$79,'Detailed Assumptions'!$AB$59:$AH$79),$C454,2,$C$506))</f>
        <v>-566.79599048606906</v>
      </c>
      <c r="AL454" s="497" cm="1">
        <f t="array" ref="AL454">AL415*(INDEX(('Detailed Assumptions'!$D$59:$J$79,'Detailed Assumptions'!$L$59:$R$79,'Detailed Assumptions'!$T$59:$Z$79,'Detailed Assumptions'!$AB$59:$AH$79),$C454,2,$C$506))</f>
        <v>-566.79599048606906</v>
      </c>
      <c r="AM454" s="497" cm="1">
        <f t="array" ref="AM454">AM415*(INDEX(('Detailed Assumptions'!$D$59:$J$79,'Detailed Assumptions'!$L$59:$R$79,'Detailed Assumptions'!$T$59:$Z$79,'Detailed Assumptions'!$AB$59:$AH$79),$C454,2,$C$506))</f>
        <v>-566.79599048606906</v>
      </c>
      <c r="AN454" s="527" cm="1">
        <f t="array" ref="AN454">AN415*(INDEX(('Detailed Assumptions'!$D$59:$J$79,'Detailed Assumptions'!$L$59:$R$79,'Detailed Assumptions'!$T$59:$Z$79,'Detailed Assumptions'!$AB$59:$AH$79),$C454,2,$C$506))</f>
        <v>-566.79599048606906</v>
      </c>
      <c r="AO454" s="527" cm="1">
        <f t="array" ref="AO454">AO415*(INDEX(('Detailed Assumptions'!$D$59:$J$79,'Detailed Assumptions'!$L$59:$R$79,'Detailed Assumptions'!$T$59:$Z$79,'Detailed Assumptions'!$AB$59:$AH$79),$C454,2,$C$506))</f>
        <v>-566.79599048606906</v>
      </c>
      <c r="AP454" s="527" cm="1">
        <f t="array" ref="AP454">AP415*(INDEX(('Detailed Assumptions'!$D$59:$J$79,'Detailed Assumptions'!$L$59:$R$79,'Detailed Assumptions'!$T$59:$Z$79,'Detailed Assumptions'!$AB$59:$AH$79),$C454,2,$C$506))</f>
        <v>-587.95216688921676</v>
      </c>
      <c r="AQ454" s="527" cm="1">
        <f t="array" ref="AQ454">AQ415*(INDEX(('Detailed Assumptions'!$D$59:$J$79,'Detailed Assumptions'!$L$59:$R$79,'Detailed Assumptions'!$T$59:$Z$79,'Detailed Assumptions'!$AB$59:$AH$79),$C454,2,$C$506))</f>
        <v>-587.95216688921676</v>
      </c>
      <c r="AR454" s="527" cm="1">
        <f t="array" ref="AR454">AR415*(INDEX(('Detailed Assumptions'!$D$59:$J$79,'Detailed Assumptions'!$L$59:$R$79,'Detailed Assumptions'!$T$59:$Z$79,'Detailed Assumptions'!$AB$59:$AH$79),$C454,2,$C$506))</f>
        <v>-587.95216688921676</v>
      </c>
      <c r="AS454" s="527" cm="1">
        <f t="array" ref="AS454">AS415*(INDEX(('Detailed Assumptions'!$D$59:$J$79,'Detailed Assumptions'!$L$59:$R$79,'Detailed Assumptions'!$T$59:$Z$79,'Detailed Assumptions'!$AB$59:$AH$79),$C454,2,$C$506))</f>
        <v>-587.95216688921676</v>
      </c>
      <c r="AT454" s="527" cm="1">
        <f t="array" ref="AT454">AT415*(INDEX(('Detailed Assumptions'!$D$59:$J$79,'Detailed Assumptions'!$L$59:$R$79,'Detailed Assumptions'!$T$59:$Z$79,'Detailed Assumptions'!$AB$59:$AH$79),$C454,2,$C$506))</f>
        <v>-587.95216688921676</v>
      </c>
      <c r="AU454" s="527" cm="1">
        <f t="array" ref="AU454">AU415*(INDEX(('Detailed Assumptions'!$D$59:$J$79,'Detailed Assumptions'!$L$59:$R$79,'Detailed Assumptions'!$T$59:$Z$79,'Detailed Assumptions'!$AB$59:$AH$79),$C454,2,$C$506))</f>
        <v>-587.95216688921676</v>
      </c>
      <c r="AV454" s="527" cm="1">
        <f t="array" ref="AV454">AV415*(INDEX(('Detailed Assumptions'!$D$59:$J$79,'Detailed Assumptions'!$L$59:$R$79,'Detailed Assumptions'!$T$59:$Z$79,'Detailed Assumptions'!$AB$59:$AH$79),$C454,2,$C$506))</f>
        <v>-587.95216688921676</v>
      </c>
      <c r="AW454" s="527" cm="1">
        <f t="array" ref="AW454">AW415*(INDEX(('Detailed Assumptions'!$D$59:$J$79,'Detailed Assumptions'!$L$59:$R$79,'Detailed Assumptions'!$T$59:$Z$79,'Detailed Assumptions'!$AB$59:$AH$79),$C454,2,$C$506))</f>
        <v>-587.95216688921676</v>
      </c>
      <c r="AX454" s="527" cm="1">
        <f t="array" ref="AX454">AX415*(INDEX(('Detailed Assumptions'!$D$59:$J$79,'Detailed Assumptions'!$L$59:$R$79,'Detailed Assumptions'!$T$59:$Z$79,'Detailed Assumptions'!$AB$59:$AH$79),$C454,2,$C$506))</f>
        <v>-587.95216688921676</v>
      </c>
      <c r="AY454" s="527" cm="1">
        <f t="array" ref="AY454">AY415*(INDEX(('Detailed Assumptions'!$D$59:$J$79,'Detailed Assumptions'!$L$59:$R$79,'Detailed Assumptions'!$T$59:$Z$79,'Detailed Assumptions'!$AB$59:$AH$79),$C454,2,$C$506))</f>
        <v>-587.95216688921676</v>
      </c>
      <c r="AZ454" s="527" cm="1">
        <f t="array" ref="AZ454">AZ415*(INDEX(('Detailed Assumptions'!$D$59:$J$79,'Detailed Assumptions'!$L$59:$R$79,'Detailed Assumptions'!$T$59:$Z$79,'Detailed Assumptions'!$AB$59:$AH$79),$C454,2,$C$506))</f>
        <v>-587.95216688921676</v>
      </c>
      <c r="BA454" s="527" cm="1">
        <f t="array" ref="BA454">BA415*(INDEX(('Detailed Assumptions'!$D$59:$J$79,'Detailed Assumptions'!$L$59:$R$79,'Detailed Assumptions'!$T$59:$Z$79,'Detailed Assumptions'!$AB$59:$AH$79),$C454,2,$C$506))</f>
        <v>-587.95216688921676</v>
      </c>
      <c r="BB454" s="527" cm="1">
        <f t="array" ref="BB454">BB415*(INDEX(('Detailed Assumptions'!$D$59:$J$79,'Detailed Assumptions'!$L$59:$R$79,'Detailed Assumptions'!$T$59:$Z$79,'Detailed Assumptions'!$AB$59:$AH$79),$C454,2,$C$506))</f>
        <v>-608.46889497398888</v>
      </c>
      <c r="BC454" s="527" cm="1">
        <f t="array" ref="BC454">BC415*(INDEX(('Detailed Assumptions'!$D$59:$J$79,'Detailed Assumptions'!$L$59:$R$79,'Detailed Assumptions'!$T$59:$Z$79,'Detailed Assumptions'!$AB$59:$AH$79),$C454,2,$C$506))</f>
        <v>-608.46889497398888</v>
      </c>
      <c r="BD454" s="527" cm="1">
        <f t="array" ref="BD454">BD415*(INDEX(('Detailed Assumptions'!$D$59:$J$79,'Detailed Assumptions'!$L$59:$R$79,'Detailed Assumptions'!$T$59:$Z$79,'Detailed Assumptions'!$AB$59:$AH$79),$C454,2,$C$506))</f>
        <v>-608.46889497398888</v>
      </c>
      <c r="BE454" s="527" cm="1">
        <f t="array" ref="BE454">BE415*(INDEX(('Detailed Assumptions'!$D$59:$J$79,'Detailed Assumptions'!$L$59:$R$79,'Detailed Assumptions'!$T$59:$Z$79,'Detailed Assumptions'!$AB$59:$AH$79),$C454,2,$C$506))</f>
        <v>-608.46889497398888</v>
      </c>
      <c r="BF454" s="527" cm="1">
        <f t="array" ref="BF454">BF415*(INDEX(('Detailed Assumptions'!$D$59:$J$79,'Detailed Assumptions'!$L$59:$R$79,'Detailed Assumptions'!$T$59:$Z$79,'Detailed Assumptions'!$AB$59:$AH$79),$C454,2,$C$506))</f>
        <v>-608.46889497398888</v>
      </c>
      <c r="BG454" s="527" cm="1">
        <f t="array" ref="BG454">BG415*(INDEX(('Detailed Assumptions'!$D$59:$J$79,'Detailed Assumptions'!$L$59:$R$79,'Detailed Assumptions'!$T$59:$Z$79,'Detailed Assumptions'!$AB$59:$AH$79),$C454,2,$C$506))</f>
        <v>-608.46889497398888</v>
      </c>
      <c r="BH454" s="527" cm="1">
        <f t="array" ref="BH454">BH415*(INDEX(('Detailed Assumptions'!$D$59:$J$79,'Detailed Assumptions'!$L$59:$R$79,'Detailed Assumptions'!$T$59:$Z$79,'Detailed Assumptions'!$AB$59:$AH$79),$C454,2,$C$506))</f>
        <v>-729.92442609145303</v>
      </c>
      <c r="BI454" s="527" cm="1">
        <f t="array" ref="BI454">BI415*(INDEX(('Detailed Assumptions'!$D$59:$J$79,'Detailed Assumptions'!$L$59:$R$79,'Detailed Assumptions'!$T$59:$Z$79,'Detailed Assumptions'!$AB$59:$AH$79),$C454,2,$C$506))</f>
        <v>-729.92442609145303</v>
      </c>
      <c r="BJ454" s="527" cm="1">
        <f t="array" ref="BJ454">BJ415*(INDEX(('Detailed Assumptions'!$D$59:$J$79,'Detailed Assumptions'!$L$59:$R$79,'Detailed Assumptions'!$T$59:$Z$79,'Detailed Assumptions'!$AB$59:$AH$79),$C454,2,$C$506))</f>
        <v>-729.92442609145303</v>
      </c>
      <c r="BK454" s="527" cm="1">
        <f t="array" ref="BK454">BK415*(INDEX(('Detailed Assumptions'!$D$59:$J$79,'Detailed Assumptions'!$L$59:$R$79,'Detailed Assumptions'!$T$59:$Z$79,'Detailed Assumptions'!$AB$59:$AH$79),$C454,2,$C$506))</f>
        <v>-729.92442609145303</v>
      </c>
      <c r="BL454" s="527" cm="1">
        <f t="array" ref="BL454">BL415*(INDEX(('Detailed Assumptions'!$D$59:$J$79,'Detailed Assumptions'!$L$59:$R$79,'Detailed Assumptions'!$T$59:$Z$79,'Detailed Assumptions'!$AB$59:$AH$79),$C454,2,$C$506))</f>
        <v>-729.92442609145303</v>
      </c>
      <c r="BM454" s="527" cm="1">
        <f t="array" ref="BM454">BM415*(INDEX(('Detailed Assumptions'!$D$59:$J$79,'Detailed Assumptions'!$L$59:$R$79,'Detailed Assumptions'!$T$59:$Z$79,'Detailed Assumptions'!$AB$59:$AH$79),$C454,2,$C$506))</f>
        <v>-729.92442609145303</v>
      </c>
      <c r="BN454" s="527" cm="1">
        <f t="array" ref="BN454">BN415*(INDEX(('Detailed Assumptions'!$D$59:$J$79,'Detailed Assumptions'!$L$59:$R$79,'Detailed Assumptions'!$T$59:$Z$79,'Detailed Assumptions'!$AB$59:$AH$79),$C454,2,$C$506))</f>
        <v>-729.9244260914528</v>
      </c>
      <c r="BO454" s="527" cm="1">
        <f t="array" ref="BO454">BO415*(INDEX(('Detailed Assumptions'!$D$59:$J$79,'Detailed Assumptions'!$L$59:$R$79,'Detailed Assumptions'!$T$59:$Z$79,'Detailed Assumptions'!$AB$59:$AH$79),$C454,2,$C$506))</f>
        <v>-729.9244260914528</v>
      </c>
      <c r="BP454" s="527" cm="1">
        <f t="array" ref="BP454">BP415*(INDEX(('Detailed Assumptions'!$D$59:$J$79,'Detailed Assumptions'!$L$59:$R$79,'Detailed Assumptions'!$T$59:$Z$79,'Detailed Assumptions'!$AB$59:$AH$79),$C454,2,$C$506))</f>
        <v>-729.9244260914528</v>
      </c>
      <c r="BQ454" s="527" cm="1">
        <f t="array" ref="BQ454">BQ415*(INDEX(('Detailed Assumptions'!$D$59:$J$79,'Detailed Assumptions'!$L$59:$R$79,'Detailed Assumptions'!$T$59:$Z$79,'Detailed Assumptions'!$AB$59:$AH$79),$C454,2,$C$506))</f>
        <v>-729.9244260914528</v>
      </c>
      <c r="BR454" s="527" cm="1">
        <f t="array" ref="BR454">BR415*(INDEX(('Detailed Assumptions'!$D$59:$J$79,'Detailed Assumptions'!$L$59:$R$79,'Detailed Assumptions'!$T$59:$Z$79,'Detailed Assumptions'!$AB$59:$AH$79),$C454,2,$C$506))</f>
        <v>-729.9244260914528</v>
      </c>
      <c r="BS454" s="527" cm="1">
        <f t="array" ref="BS454">BS415*(INDEX(('Detailed Assumptions'!$D$59:$J$79,'Detailed Assumptions'!$L$59:$R$79,'Detailed Assumptions'!$T$59:$Z$79,'Detailed Assumptions'!$AB$59:$AH$79),$C454,2,$C$506))</f>
        <v>-729.9244260914528</v>
      </c>
      <c r="BT454" s="527" cm="1">
        <f t="array" ref="BT454">BT415*(INDEX(('Detailed Assumptions'!$D$59:$J$79,'Detailed Assumptions'!$L$59:$R$79,'Detailed Assumptions'!$T$59:$Z$79,'Detailed Assumptions'!$AB$59:$AH$79),$C454,2,$C$506))</f>
        <v>-759.12140313511077</v>
      </c>
      <c r="BU454" s="527" cm="1">
        <f t="array" ref="BU454">BU415*(INDEX(('Detailed Assumptions'!$D$59:$J$79,'Detailed Assumptions'!$L$59:$R$79,'Detailed Assumptions'!$T$59:$Z$79,'Detailed Assumptions'!$AB$59:$AH$79),$C454,2,$C$506))</f>
        <v>-759.12140313511077</v>
      </c>
      <c r="BV454" s="527" cm="1">
        <f t="array" ref="BV454">BV415*(INDEX(('Detailed Assumptions'!$D$59:$J$79,'Detailed Assumptions'!$L$59:$R$79,'Detailed Assumptions'!$T$59:$Z$79,'Detailed Assumptions'!$AB$59:$AH$79),$C454,2,$C$506))</f>
        <v>-759.12140313511077</v>
      </c>
      <c r="BW454" s="527" cm="1">
        <f t="array" ref="BW454">BW415*(INDEX(('Detailed Assumptions'!$D$59:$J$79,'Detailed Assumptions'!$L$59:$R$79,'Detailed Assumptions'!$T$59:$Z$79,'Detailed Assumptions'!$AB$59:$AH$79),$C454,2,$C$506))</f>
        <v>-759.12140313511077</v>
      </c>
      <c r="BX454" s="527" cm="1">
        <f t="array" ref="BX454">BX415*(INDEX(('Detailed Assumptions'!$D$59:$J$79,'Detailed Assumptions'!$L$59:$R$79,'Detailed Assumptions'!$T$59:$Z$79,'Detailed Assumptions'!$AB$59:$AH$79),$C454,2,$C$506))</f>
        <v>-759.12140313511077</v>
      </c>
      <c r="BY454" s="527" cm="1">
        <f t="array" ref="BY454">BY415*(INDEX(('Detailed Assumptions'!$D$59:$J$79,'Detailed Assumptions'!$L$59:$R$79,'Detailed Assumptions'!$T$59:$Z$79,'Detailed Assumptions'!$AB$59:$AH$79),$C454,2,$C$506))</f>
        <v>-759.12140313511077</v>
      </c>
    </row>
    <row r="455" spans="1:77" x14ac:dyDescent="0.3">
      <c r="A455" s="322"/>
      <c r="B455" s="322" t="s">
        <v>53</v>
      </c>
      <c r="C455" s="322">
        <f t="shared" si="617"/>
        <v>20</v>
      </c>
      <c r="D455" s="82"/>
      <c r="E455" s="142" t="str">
        <f>"Bad debts: "&amp;E$159</f>
        <v>Bad debts: FY31 Tranche</v>
      </c>
      <c r="F455" s="2"/>
      <c r="G455" s="2"/>
      <c r="H455" s="2"/>
      <c r="I455" s="2"/>
      <c r="J455" s="2"/>
      <c r="K455" s="2"/>
      <c r="L455" s="2"/>
      <c r="M455" s="2"/>
      <c r="N455" s="2"/>
      <c r="O455" s="2"/>
      <c r="P455" s="10"/>
      <c r="Q455" s="2"/>
      <c r="R455" s="497" cm="1">
        <f t="array" ref="R455">R416*(INDEX(('Detailed Assumptions'!$D$59:$J$79,'Detailed Assumptions'!$L$59:$R$79,'Detailed Assumptions'!$T$59:$Z$79,'Detailed Assumptions'!$AB$59:$AH$79),$C455,2,$C$506))</f>
        <v>-545.4762979772978</v>
      </c>
      <c r="S455" s="497" cm="1">
        <f t="array" ref="S455">S416*(INDEX(('Detailed Assumptions'!$D$59:$J$79,'Detailed Assumptions'!$L$59:$R$79,'Detailed Assumptions'!$T$59:$Z$79,'Detailed Assumptions'!$AB$59:$AH$79),$C455,2,$C$506))</f>
        <v>-545.4762979772978</v>
      </c>
      <c r="T455" s="497" cm="1">
        <f t="array" ref="T455">T416*(INDEX(('Detailed Assumptions'!$D$59:$J$79,'Detailed Assumptions'!$L$59:$R$79,'Detailed Assumptions'!$T$59:$Z$79,'Detailed Assumptions'!$AB$59:$AH$79),$C455,2,$C$506))</f>
        <v>-545.4762979772978</v>
      </c>
      <c r="U455" s="497" cm="1">
        <f t="array" ref="U455">U416*(INDEX(('Detailed Assumptions'!$D$59:$J$79,'Detailed Assumptions'!$L$59:$R$79,'Detailed Assumptions'!$T$59:$Z$79,'Detailed Assumptions'!$AB$59:$AH$79),$C455,2,$C$506))</f>
        <v>-545.4762979772978</v>
      </c>
      <c r="V455" s="497" cm="1">
        <f t="array" ref="V455">V416*(INDEX(('Detailed Assumptions'!$D$59:$J$79,'Detailed Assumptions'!$L$59:$R$79,'Detailed Assumptions'!$T$59:$Z$79,'Detailed Assumptions'!$AB$59:$AH$79),$C455,2,$C$506))</f>
        <v>-545.4762979772978</v>
      </c>
      <c r="W455" s="497" cm="1">
        <f t="array" ref="W455">W416*(INDEX(('Detailed Assumptions'!$D$59:$J$79,'Detailed Assumptions'!$L$59:$R$79,'Detailed Assumptions'!$T$59:$Z$79,'Detailed Assumptions'!$AB$59:$AH$79),$C455,2,$C$506))</f>
        <v>-545.4762979772978</v>
      </c>
      <c r="X455" s="497" cm="1">
        <f t="array" ref="X455">X416*(INDEX(('Detailed Assumptions'!$D$59:$J$79,'Detailed Assumptions'!$L$59:$R$79,'Detailed Assumptions'!$T$59:$Z$79,'Detailed Assumptions'!$AB$59:$AH$79),$C455,2,$C$506))</f>
        <v>-545.4762979772978</v>
      </c>
      <c r="Y455" s="497" cm="1">
        <f t="array" ref="Y455">Y416*(INDEX(('Detailed Assumptions'!$D$59:$J$79,'Detailed Assumptions'!$L$59:$R$79,'Detailed Assumptions'!$T$59:$Z$79,'Detailed Assumptions'!$AB$59:$AH$79),$C455,2,$C$506))</f>
        <v>-545.4762979772978</v>
      </c>
      <c r="Z455" s="497" cm="1">
        <f t="array" ref="Z455">Z416*(INDEX(('Detailed Assumptions'!$D$59:$J$79,'Detailed Assumptions'!$L$59:$R$79,'Detailed Assumptions'!$T$59:$Z$79,'Detailed Assumptions'!$AB$59:$AH$79),$C455,2,$C$506))</f>
        <v>-545.4762979772978</v>
      </c>
      <c r="AA455" s="497" cm="1">
        <f t="array" ref="AA455">AA416*(INDEX(('Detailed Assumptions'!$D$59:$J$79,'Detailed Assumptions'!$L$59:$R$79,'Detailed Assumptions'!$T$59:$Z$79,'Detailed Assumptions'!$AB$59:$AH$79),$C455,2,$C$506))</f>
        <v>-545.4762979772978</v>
      </c>
      <c r="AB455" s="497" cm="1">
        <f t="array" ref="AB455">AB416*(INDEX(('Detailed Assumptions'!$D$59:$J$79,'Detailed Assumptions'!$L$59:$R$79,'Detailed Assumptions'!$T$59:$Z$79,'Detailed Assumptions'!$AB$59:$AH$79),$C455,2,$C$506))</f>
        <v>-545.4762979772978</v>
      </c>
      <c r="AC455" s="497" cm="1">
        <f t="array" ref="AC455">AC416*(INDEX(('Detailed Assumptions'!$D$59:$J$79,'Detailed Assumptions'!$L$59:$R$79,'Detailed Assumptions'!$T$59:$Z$79,'Detailed Assumptions'!$AB$59:$AH$79),$C455,2,$C$506))</f>
        <v>-545.4762979772978</v>
      </c>
      <c r="AD455" s="497" cm="1">
        <f t="array" ref="AD455">AD416*(INDEX(('Detailed Assumptions'!$D$59:$J$79,'Detailed Assumptions'!$L$59:$R$79,'Detailed Assumptions'!$T$59:$Z$79,'Detailed Assumptions'!$AB$59:$AH$79),$C455,2,$C$506))</f>
        <v>-566.79599048606906</v>
      </c>
      <c r="AE455" s="497" cm="1">
        <f t="array" ref="AE455">AE416*(INDEX(('Detailed Assumptions'!$D$59:$J$79,'Detailed Assumptions'!$L$59:$R$79,'Detailed Assumptions'!$T$59:$Z$79,'Detailed Assumptions'!$AB$59:$AH$79),$C455,2,$C$506))</f>
        <v>-566.79599048606906</v>
      </c>
      <c r="AF455" s="497" cm="1">
        <f t="array" ref="AF455">AF416*(INDEX(('Detailed Assumptions'!$D$59:$J$79,'Detailed Assumptions'!$L$59:$R$79,'Detailed Assumptions'!$T$59:$Z$79,'Detailed Assumptions'!$AB$59:$AH$79),$C455,2,$C$506))</f>
        <v>-566.79599048606906</v>
      </c>
      <c r="AG455" s="497" cm="1">
        <f t="array" ref="AG455">AG416*(INDEX(('Detailed Assumptions'!$D$59:$J$79,'Detailed Assumptions'!$L$59:$R$79,'Detailed Assumptions'!$T$59:$Z$79,'Detailed Assumptions'!$AB$59:$AH$79),$C455,2,$C$506))</f>
        <v>-566.79599048606906</v>
      </c>
      <c r="AH455" s="497" cm="1">
        <f t="array" ref="AH455">AH416*(INDEX(('Detailed Assumptions'!$D$59:$J$79,'Detailed Assumptions'!$L$59:$R$79,'Detailed Assumptions'!$T$59:$Z$79,'Detailed Assumptions'!$AB$59:$AH$79),$C455,2,$C$506))</f>
        <v>-566.79599048606906</v>
      </c>
      <c r="AI455" s="497" cm="1">
        <f t="array" ref="AI455">AI416*(INDEX(('Detailed Assumptions'!$D$59:$J$79,'Detailed Assumptions'!$L$59:$R$79,'Detailed Assumptions'!$T$59:$Z$79,'Detailed Assumptions'!$AB$59:$AH$79),$C455,2,$C$506))</f>
        <v>-566.79599048606906</v>
      </c>
      <c r="AJ455" s="497" cm="1">
        <f t="array" ref="AJ455">AJ416*(INDEX(('Detailed Assumptions'!$D$59:$J$79,'Detailed Assumptions'!$L$59:$R$79,'Detailed Assumptions'!$T$59:$Z$79,'Detailed Assumptions'!$AB$59:$AH$79),$C455,2,$C$506))</f>
        <v>-566.79599048606906</v>
      </c>
      <c r="AK455" s="497" cm="1">
        <f t="array" ref="AK455">AK416*(INDEX(('Detailed Assumptions'!$D$59:$J$79,'Detailed Assumptions'!$L$59:$R$79,'Detailed Assumptions'!$T$59:$Z$79,'Detailed Assumptions'!$AB$59:$AH$79),$C455,2,$C$506))</f>
        <v>-566.79599048606906</v>
      </c>
      <c r="AL455" s="497" cm="1">
        <f t="array" ref="AL455">AL416*(INDEX(('Detailed Assumptions'!$D$59:$J$79,'Detailed Assumptions'!$L$59:$R$79,'Detailed Assumptions'!$T$59:$Z$79,'Detailed Assumptions'!$AB$59:$AH$79),$C455,2,$C$506))</f>
        <v>-566.79599048606906</v>
      </c>
      <c r="AM455" s="497" cm="1">
        <f t="array" ref="AM455">AM416*(INDEX(('Detailed Assumptions'!$D$59:$J$79,'Detailed Assumptions'!$L$59:$R$79,'Detailed Assumptions'!$T$59:$Z$79,'Detailed Assumptions'!$AB$59:$AH$79),$C455,2,$C$506))</f>
        <v>-566.79599048606906</v>
      </c>
      <c r="AN455" s="527" cm="1">
        <f t="array" ref="AN455">AN416*(INDEX(('Detailed Assumptions'!$D$59:$J$79,'Detailed Assumptions'!$L$59:$R$79,'Detailed Assumptions'!$T$59:$Z$79,'Detailed Assumptions'!$AB$59:$AH$79),$C455,2,$C$506))</f>
        <v>-566.79599048606906</v>
      </c>
      <c r="AO455" s="527" cm="1">
        <f t="array" ref="AO455">AO416*(INDEX(('Detailed Assumptions'!$D$59:$J$79,'Detailed Assumptions'!$L$59:$R$79,'Detailed Assumptions'!$T$59:$Z$79,'Detailed Assumptions'!$AB$59:$AH$79),$C455,2,$C$506))</f>
        <v>-566.79599048606906</v>
      </c>
      <c r="AP455" s="527" cm="1">
        <f t="array" ref="AP455">AP416*(INDEX(('Detailed Assumptions'!$D$59:$J$79,'Detailed Assumptions'!$L$59:$R$79,'Detailed Assumptions'!$T$59:$Z$79,'Detailed Assumptions'!$AB$59:$AH$79),$C455,2,$C$506))</f>
        <v>-587.95216688921676</v>
      </c>
      <c r="AQ455" s="527" cm="1">
        <f t="array" ref="AQ455">AQ416*(INDEX(('Detailed Assumptions'!$D$59:$J$79,'Detailed Assumptions'!$L$59:$R$79,'Detailed Assumptions'!$T$59:$Z$79,'Detailed Assumptions'!$AB$59:$AH$79),$C455,2,$C$506))</f>
        <v>-587.95216688921676</v>
      </c>
      <c r="AR455" s="527" cm="1">
        <f t="array" ref="AR455">AR416*(INDEX(('Detailed Assumptions'!$D$59:$J$79,'Detailed Assumptions'!$L$59:$R$79,'Detailed Assumptions'!$T$59:$Z$79,'Detailed Assumptions'!$AB$59:$AH$79),$C455,2,$C$506))</f>
        <v>-587.95216688921676</v>
      </c>
      <c r="AS455" s="527" cm="1">
        <f t="array" ref="AS455">AS416*(INDEX(('Detailed Assumptions'!$D$59:$J$79,'Detailed Assumptions'!$L$59:$R$79,'Detailed Assumptions'!$T$59:$Z$79,'Detailed Assumptions'!$AB$59:$AH$79),$C455,2,$C$506))</f>
        <v>-587.95216688921676</v>
      </c>
      <c r="AT455" s="527" cm="1">
        <f t="array" ref="AT455">AT416*(INDEX(('Detailed Assumptions'!$D$59:$J$79,'Detailed Assumptions'!$L$59:$R$79,'Detailed Assumptions'!$T$59:$Z$79,'Detailed Assumptions'!$AB$59:$AH$79),$C455,2,$C$506))</f>
        <v>-587.95216688921676</v>
      </c>
      <c r="AU455" s="527" cm="1">
        <f t="array" ref="AU455">AU416*(INDEX(('Detailed Assumptions'!$D$59:$J$79,'Detailed Assumptions'!$L$59:$R$79,'Detailed Assumptions'!$T$59:$Z$79,'Detailed Assumptions'!$AB$59:$AH$79),$C455,2,$C$506))</f>
        <v>-587.95216688921676</v>
      </c>
      <c r="AV455" s="527" cm="1">
        <f t="array" ref="AV455">AV416*(INDEX(('Detailed Assumptions'!$D$59:$J$79,'Detailed Assumptions'!$L$59:$R$79,'Detailed Assumptions'!$T$59:$Z$79,'Detailed Assumptions'!$AB$59:$AH$79),$C455,2,$C$506))</f>
        <v>-587.95216688921676</v>
      </c>
      <c r="AW455" s="527" cm="1">
        <f t="array" ref="AW455">AW416*(INDEX(('Detailed Assumptions'!$D$59:$J$79,'Detailed Assumptions'!$L$59:$R$79,'Detailed Assumptions'!$T$59:$Z$79,'Detailed Assumptions'!$AB$59:$AH$79),$C455,2,$C$506))</f>
        <v>-587.95216688921676</v>
      </c>
      <c r="AX455" s="527" cm="1">
        <f t="array" ref="AX455">AX416*(INDEX(('Detailed Assumptions'!$D$59:$J$79,'Detailed Assumptions'!$L$59:$R$79,'Detailed Assumptions'!$T$59:$Z$79,'Detailed Assumptions'!$AB$59:$AH$79),$C455,2,$C$506))</f>
        <v>-587.95216688921676</v>
      </c>
      <c r="AY455" s="527" cm="1">
        <f t="array" ref="AY455">AY416*(INDEX(('Detailed Assumptions'!$D$59:$J$79,'Detailed Assumptions'!$L$59:$R$79,'Detailed Assumptions'!$T$59:$Z$79,'Detailed Assumptions'!$AB$59:$AH$79),$C455,2,$C$506))</f>
        <v>-587.95216688921676</v>
      </c>
      <c r="AZ455" s="527" cm="1">
        <f t="array" ref="AZ455">AZ416*(INDEX(('Detailed Assumptions'!$D$59:$J$79,'Detailed Assumptions'!$L$59:$R$79,'Detailed Assumptions'!$T$59:$Z$79,'Detailed Assumptions'!$AB$59:$AH$79),$C455,2,$C$506))</f>
        <v>-587.95216688921676</v>
      </c>
      <c r="BA455" s="527" cm="1">
        <f t="array" ref="BA455">BA416*(INDEX(('Detailed Assumptions'!$D$59:$J$79,'Detailed Assumptions'!$L$59:$R$79,'Detailed Assumptions'!$T$59:$Z$79,'Detailed Assumptions'!$AB$59:$AH$79),$C455,2,$C$506))</f>
        <v>-587.95216688921676</v>
      </c>
      <c r="BB455" s="527" cm="1">
        <f t="array" ref="BB455">BB416*(INDEX(('Detailed Assumptions'!$D$59:$J$79,'Detailed Assumptions'!$L$59:$R$79,'Detailed Assumptions'!$T$59:$Z$79,'Detailed Assumptions'!$AB$59:$AH$79),$C455,2,$C$506))</f>
        <v>-608.46889497398888</v>
      </c>
      <c r="BC455" s="527" cm="1">
        <f t="array" ref="BC455">BC416*(INDEX(('Detailed Assumptions'!$D$59:$J$79,'Detailed Assumptions'!$L$59:$R$79,'Detailed Assumptions'!$T$59:$Z$79,'Detailed Assumptions'!$AB$59:$AH$79),$C455,2,$C$506))</f>
        <v>-608.46889497398888</v>
      </c>
      <c r="BD455" s="527" cm="1">
        <f t="array" ref="BD455">BD416*(INDEX(('Detailed Assumptions'!$D$59:$J$79,'Detailed Assumptions'!$L$59:$R$79,'Detailed Assumptions'!$T$59:$Z$79,'Detailed Assumptions'!$AB$59:$AH$79),$C455,2,$C$506))</f>
        <v>-608.46889497398888</v>
      </c>
      <c r="BE455" s="527" cm="1">
        <f t="array" ref="BE455">BE416*(INDEX(('Detailed Assumptions'!$D$59:$J$79,'Detailed Assumptions'!$L$59:$R$79,'Detailed Assumptions'!$T$59:$Z$79,'Detailed Assumptions'!$AB$59:$AH$79),$C455,2,$C$506))</f>
        <v>-608.46889497398888</v>
      </c>
      <c r="BF455" s="527" cm="1">
        <f t="array" ref="BF455">BF416*(INDEX(('Detailed Assumptions'!$D$59:$J$79,'Detailed Assumptions'!$L$59:$R$79,'Detailed Assumptions'!$T$59:$Z$79,'Detailed Assumptions'!$AB$59:$AH$79),$C455,2,$C$506))</f>
        <v>-608.46889497398888</v>
      </c>
      <c r="BG455" s="527" cm="1">
        <f t="array" ref="BG455">BG416*(INDEX(('Detailed Assumptions'!$D$59:$J$79,'Detailed Assumptions'!$L$59:$R$79,'Detailed Assumptions'!$T$59:$Z$79,'Detailed Assumptions'!$AB$59:$AH$79),$C455,2,$C$506))</f>
        <v>-608.46889497398888</v>
      </c>
      <c r="BH455" s="527" cm="1">
        <f t="array" ref="BH455">BH416*(INDEX(('Detailed Assumptions'!$D$59:$J$79,'Detailed Assumptions'!$L$59:$R$79,'Detailed Assumptions'!$T$59:$Z$79,'Detailed Assumptions'!$AB$59:$AH$79),$C455,2,$C$506))</f>
        <v>-608.46889497398888</v>
      </c>
      <c r="BI455" s="527" cm="1">
        <f t="array" ref="BI455">BI416*(INDEX(('Detailed Assumptions'!$D$59:$J$79,'Detailed Assumptions'!$L$59:$R$79,'Detailed Assumptions'!$T$59:$Z$79,'Detailed Assumptions'!$AB$59:$AH$79),$C455,2,$C$506))</f>
        <v>-608.46889497398888</v>
      </c>
      <c r="BJ455" s="527" cm="1">
        <f t="array" ref="BJ455">BJ416*(INDEX(('Detailed Assumptions'!$D$59:$J$79,'Detailed Assumptions'!$L$59:$R$79,'Detailed Assumptions'!$T$59:$Z$79,'Detailed Assumptions'!$AB$59:$AH$79),$C455,2,$C$506))</f>
        <v>-608.46889497398888</v>
      </c>
      <c r="BK455" s="527" cm="1">
        <f t="array" ref="BK455">BK416*(INDEX(('Detailed Assumptions'!$D$59:$J$79,'Detailed Assumptions'!$L$59:$R$79,'Detailed Assumptions'!$T$59:$Z$79,'Detailed Assumptions'!$AB$59:$AH$79),$C455,2,$C$506))</f>
        <v>-608.46889497398888</v>
      </c>
      <c r="BL455" s="527" cm="1">
        <f t="array" ref="BL455">BL416*(INDEX(('Detailed Assumptions'!$D$59:$J$79,'Detailed Assumptions'!$L$59:$R$79,'Detailed Assumptions'!$T$59:$Z$79,'Detailed Assumptions'!$AB$59:$AH$79),$C455,2,$C$506))</f>
        <v>-608.46889497398888</v>
      </c>
      <c r="BM455" s="527" cm="1">
        <f t="array" ref="BM455">BM416*(INDEX(('Detailed Assumptions'!$D$59:$J$79,'Detailed Assumptions'!$L$59:$R$79,'Detailed Assumptions'!$T$59:$Z$79,'Detailed Assumptions'!$AB$59:$AH$79),$C455,2,$C$506))</f>
        <v>-608.46889497398888</v>
      </c>
      <c r="BN455" s="527" cm="1">
        <f t="array" ref="BN455">BN416*(INDEX(('Detailed Assumptions'!$D$59:$J$79,'Detailed Assumptions'!$L$59:$R$79,'Detailed Assumptions'!$T$59:$Z$79,'Detailed Assumptions'!$AB$59:$AH$79),$C455,2,$C$506))</f>
        <v>-629.40048190971345</v>
      </c>
      <c r="BO455" s="527" cm="1">
        <f t="array" ref="BO455">BO416*(INDEX(('Detailed Assumptions'!$D$59:$J$79,'Detailed Assumptions'!$L$59:$R$79,'Detailed Assumptions'!$T$59:$Z$79,'Detailed Assumptions'!$AB$59:$AH$79),$C455,2,$C$506))</f>
        <v>-629.40048190971345</v>
      </c>
      <c r="BP455" s="527" cm="1">
        <f t="array" ref="BP455">BP416*(INDEX(('Detailed Assumptions'!$D$59:$J$79,'Detailed Assumptions'!$L$59:$R$79,'Detailed Assumptions'!$T$59:$Z$79,'Detailed Assumptions'!$AB$59:$AH$79),$C455,2,$C$506))</f>
        <v>-629.40048190971345</v>
      </c>
      <c r="BQ455" s="527" cm="1">
        <f t="array" ref="BQ455">BQ416*(INDEX(('Detailed Assumptions'!$D$59:$J$79,'Detailed Assumptions'!$L$59:$R$79,'Detailed Assumptions'!$T$59:$Z$79,'Detailed Assumptions'!$AB$59:$AH$79),$C455,2,$C$506))</f>
        <v>-629.40048190971345</v>
      </c>
      <c r="BR455" s="527" cm="1">
        <f t="array" ref="BR455">BR416*(INDEX(('Detailed Assumptions'!$D$59:$J$79,'Detailed Assumptions'!$L$59:$R$79,'Detailed Assumptions'!$T$59:$Z$79,'Detailed Assumptions'!$AB$59:$AH$79),$C455,2,$C$506))</f>
        <v>-629.40048190971345</v>
      </c>
      <c r="BS455" s="527" cm="1">
        <f t="array" ref="BS455">BS416*(INDEX(('Detailed Assumptions'!$D$59:$J$79,'Detailed Assumptions'!$L$59:$R$79,'Detailed Assumptions'!$T$59:$Z$79,'Detailed Assumptions'!$AB$59:$AH$79),$C455,2,$C$506))</f>
        <v>-629.40048190971345</v>
      </c>
      <c r="BT455" s="527" cm="1">
        <f t="array" ref="BT455">BT416*(INDEX(('Detailed Assumptions'!$D$59:$J$79,'Detailed Assumptions'!$L$59:$R$79,'Detailed Assumptions'!$T$59:$Z$79,'Detailed Assumptions'!$AB$59:$AH$79),$C455,2,$C$506))</f>
        <v>-753.22633638446166</v>
      </c>
      <c r="BU455" s="527" cm="1">
        <f t="array" ref="BU455">BU416*(INDEX(('Detailed Assumptions'!$D$59:$J$79,'Detailed Assumptions'!$L$59:$R$79,'Detailed Assumptions'!$T$59:$Z$79,'Detailed Assumptions'!$AB$59:$AH$79),$C455,2,$C$506))</f>
        <v>-753.22633638446166</v>
      </c>
      <c r="BV455" s="527" cm="1">
        <f t="array" ref="BV455">BV416*(INDEX(('Detailed Assumptions'!$D$59:$J$79,'Detailed Assumptions'!$L$59:$R$79,'Detailed Assumptions'!$T$59:$Z$79,'Detailed Assumptions'!$AB$59:$AH$79),$C455,2,$C$506))</f>
        <v>-753.22633638446166</v>
      </c>
      <c r="BW455" s="527" cm="1">
        <f t="array" ref="BW455">BW416*(INDEX(('Detailed Assumptions'!$D$59:$J$79,'Detailed Assumptions'!$L$59:$R$79,'Detailed Assumptions'!$T$59:$Z$79,'Detailed Assumptions'!$AB$59:$AH$79),$C455,2,$C$506))</f>
        <v>-753.22633638446166</v>
      </c>
      <c r="BX455" s="527" cm="1">
        <f t="array" ref="BX455">BX416*(INDEX(('Detailed Assumptions'!$D$59:$J$79,'Detailed Assumptions'!$L$59:$R$79,'Detailed Assumptions'!$T$59:$Z$79,'Detailed Assumptions'!$AB$59:$AH$79),$C455,2,$C$506))</f>
        <v>-753.22633638446166</v>
      </c>
      <c r="BY455" s="527" cm="1">
        <f t="array" ref="BY455">BY416*(INDEX(('Detailed Assumptions'!$D$59:$J$79,'Detailed Assumptions'!$L$59:$R$79,'Detailed Assumptions'!$T$59:$Z$79,'Detailed Assumptions'!$AB$59:$AH$79),$C455,2,$C$506))</f>
        <v>-753.22633638446166</v>
      </c>
    </row>
    <row r="456" spans="1:77" x14ac:dyDescent="0.3">
      <c r="A456" s="322"/>
      <c r="B456" s="322" t="s">
        <v>53</v>
      </c>
      <c r="C456" s="322">
        <f t="shared" si="617"/>
        <v>20</v>
      </c>
      <c r="D456" s="82"/>
      <c r="E456" s="142" t="str">
        <f>"Bad debts: "&amp;E$160</f>
        <v>Bad debts: Uninvested Tranche</v>
      </c>
      <c r="F456" s="2"/>
      <c r="G456" s="2"/>
      <c r="H456" s="2"/>
      <c r="I456" s="2"/>
      <c r="J456" s="2"/>
      <c r="K456" s="2"/>
      <c r="L456" s="2"/>
      <c r="M456" s="2"/>
      <c r="N456" s="2"/>
      <c r="O456" s="2"/>
      <c r="P456" s="10"/>
      <c r="Q456" s="2"/>
      <c r="R456" s="497" cm="1">
        <f t="array" ref="R456">R417*(INDEX(('Detailed Assumptions'!$D$59:$J$79,'Detailed Assumptions'!$L$59:$R$79,'Detailed Assumptions'!$T$59:$Z$79,'Detailed Assumptions'!$AB$59:$AH$79),$C456,2,$C$506))</f>
        <v>-1527.3336343364342</v>
      </c>
      <c r="S456" s="497" cm="1">
        <f t="array" ref="S456">S417*(INDEX(('Detailed Assumptions'!$D$59:$J$79,'Detailed Assumptions'!$L$59:$R$79,'Detailed Assumptions'!$T$59:$Z$79,'Detailed Assumptions'!$AB$59:$AH$79),$C456,2,$C$506))</f>
        <v>-1527.3336343364342</v>
      </c>
      <c r="T456" s="497" cm="1">
        <f t="array" ref="T456">T417*(INDEX(('Detailed Assumptions'!$D$59:$J$79,'Detailed Assumptions'!$L$59:$R$79,'Detailed Assumptions'!$T$59:$Z$79,'Detailed Assumptions'!$AB$59:$AH$79),$C456,2,$C$506))</f>
        <v>-1527.3336343364342</v>
      </c>
      <c r="U456" s="497" cm="1">
        <f t="array" ref="U456">U417*(INDEX(('Detailed Assumptions'!$D$59:$J$79,'Detailed Assumptions'!$L$59:$R$79,'Detailed Assumptions'!$T$59:$Z$79,'Detailed Assumptions'!$AB$59:$AH$79),$C456,2,$C$506))</f>
        <v>-1527.3336343364342</v>
      </c>
      <c r="V456" s="497" cm="1">
        <f t="array" ref="V456">V417*(INDEX(('Detailed Assumptions'!$D$59:$J$79,'Detailed Assumptions'!$L$59:$R$79,'Detailed Assumptions'!$T$59:$Z$79,'Detailed Assumptions'!$AB$59:$AH$79),$C456,2,$C$506))</f>
        <v>-1527.3336343364342</v>
      </c>
      <c r="W456" s="497" cm="1">
        <f t="array" ref="W456">W417*(INDEX(('Detailed Assumptions'!$D$59:$J$79,'Detailed Assumptions'!$L$59:$R$79,'Detailed Assumptions'!$T$59:$Z$79,'Detailed Assumptions'!$AB$59:$AH$79),$C456,2,$C$506))</f>
        <v>-1527.3336343364342</v>
      </c>
      <c r="X456" s="497" cm="1">
        <f t="array" ref="X456">X417*(INDEX(('Detailed Assumptions'!$D$59:$J$79,'Detailed Assumptions'!$L$59:$R$79,'Detailed Assumptions'!$T$59:$Z$79,'Detailed Assumptions'!$AB$59:$AH$79),$C456,2,$C$506))</f>
        <v>-1527.3336343364342</v>
      </c>
      <c r="Y456" s="497" cm="1">
        <f t="array" ref="Y456">Y417*(INDEX(('Detailed Assumptions'!$D$59:$J$79,'Detailed Assumptions'!$L$59:$R$79,'Detailed Assumptions'!$T$59:$Z$79,'Detailed Assumptions'!$AB$59:$AH$79),$C456,2,$C$506))</f>
        <v>-1527.3336343364342</v>
      </c>
      <c r="Z456" s="497" cm="1">
        <f t="array" ref="Z456">Z417*(INDEX(('Detailed Assumptions'!$D$59:$J$79,'Detailed Assumptions'!$L$59:$R$79,'Detailed Assumptions'!$T$59:$Z$79,'Detailed Assumptions'!$AB$59:$AH$79),$C456,2,$C$506))</f>
        <v>-1527.3336343364342</v>
      </c>
      <c r="AA456" s="497" cm="1">
        <f t="array" ref="AA456">AA417*(INDEX(('Detailed Assumptions'!$D$59:$J$79,'Detailed Assumptions'!$L$59:$R$79,'Detailed Assumptions'!$T$59:$Z$79,'Detailed Assumptions'!$AB$59:$AH$79),$C456,2,$C$506))</f>
        <v>-1527.3336343364342</v>
      </c>
      <c r="AB456" s="497" cm="1">
        <f t="array" ref="AB456">AB417*(INDEX(('Detailed Assumptions'!$D$59:$J$79,'Detailed Assumptions'!$L$59:$R$79,'Detailed Assumptions'!$T$59:$Z$79,'Detailed Assumptions'!$AB$59:$AH$79),$C456,2,$C$506))</f>
        <v>-1527.3336343364342</v>
      </c>
      <c r="AC456" s="497" cm="1">
        <f t="array" ref="AC456">AC417*(INDEX(('Detailed Assumptions'!$D$59:$J$79,'Detailed Assumptions'!$L$59:$R$79,'Detailed Assumptions'!$T$59:$Z$79,'Detailed Assumptions'!$AB$59:$AH$79),$C456,2,$C$506))</f>
        <v>-1527.3336343364342</v>
      </c>
      <c r="AD456" s="497" cm="1">
        <f t="array" ref="AD456">AD417*(INDEX(('Detailed Assumptions'!$D$59:$J$79,'Detailed Assumptions'!$L$59:$R$79,'Detailed Assumptions'!$T$59:$Z$79,'Detailed Assumptions'!$AB$59:$AH$79),$C456,2,$C$506))</f>
        <v>-1587.0287733609939</v>
      </c>
      <c r="AE456" s="497" cm="1">
        <f t="array" ref="AE456">AE417*(INDEX(('Detailed Assumptions'!$D$59:$J$79,'Detailed Assumptions'!$L$59:$R$79,'Detailed Assumptions'!$T$59:$Z$79,'Detailed Assumptions'!$AB$59:$AH$79),$C456,2,$C$506))</f>
        <v>-1587.0287733609939</v>
      </c>
      <c r="AF456" s="497" cm="1">
        <f t="array" ref="AF456">AF417*(INDEX(('Detailed Assumptions'!$D$59:$J$79,'Detailed Assumptions'!$L$59:$R$79,'Detailed Assumptions'!$T$59:$Z$79,'Detailed Assumptions'!$AB$59:$AH$79),$C456,2,$C$506))</f>
        <v>-1587.0287733609939</v>
      </c>
      <c r="AG456" s="497" cm="1">
        <f t="array" ref="AG456">AG417*(INDEX(('Detailed Assumptions'!$D$59:$J$79,'Detailed Assumptions'!$L$59:$R$79,'Detailed Assumptions'!$T$59:$Z$79,'Detailed Assumptions'!$AB$59:$AH$79),$C456,2,$C$506))</f>
        <v>-1587.0287733609939</v>
      </c>
      <c r="AH456" s="497" cm="1">
        <f t="array" ref="AH456">AH417*(INDEX(('Detailed Assumptions'!$D$59:$J$79,'Detailed Assumptions'!$L$59:$R$79,'Detailed Assumptions'!$T$59:$Z$79,'Detailed Assumptions'!$AB$59:$AH$79),$C456,2,$C$506))</f>
        <v>-1587.0287733609939</v>
      </c>
      <c r="AI456" s="497" cm="1">
        <f t="array" ref="AI456">AI417*(INDEX(('Detailed Assumptions'!$D$59:$J$79,'Detailed Assumptions'!$L$59:$R$79,'Detailed Assumptions'!$T$59:$Z$79,'Detailed Assumptions'!$AB$59:$AH$79),$C456,2,$C$506))</f>
        <v>-1587.0287733609939</v>
      </c>
      <c r="AJ456" s="497" cm="1">
        <f t="array" ref="AJ456">AJ417*(INDEX(('Detailed Assumptions'!$D$59:$J$79,'Detailed Assumptions'!$L$59:$R$79,'Detailed Assumptions'!$T$59:$Z$79,'Detailed Assumptions'!$AB$59:$AH$79),$C456,2,$C$506))</f>
        <v>-1587.0287733609939</v>
      </c>
      <c r="AK456" s="497" cm="1">
        <f t="array" ref="AK456">AK417*(INDEX(('Detailed Assumptions'!$D$59:$J$79,'Detailed Assumptions'!$L$59:$R$79,'Detailed Assumptions'!$T$59:$Z$79,'Detailed Assumptions'!$AB$59:$AH$79),$C456,2,$C$506))</f>
        <v>-1587.0287733609939</v>
      </c>
      <c r="AL456" s="497" cm="1">
        <f t="array" ref="AL456">AL417*(INDEX(('Detailed Assumptions'!$D$59:$J$79,'Detailed Assumptions'!$L$59:$R$79,'Detailed Assumptions'!$T$59:$Z$79,'Detailed Assumptions'!$AB$59:$AH$79),$C456,2,$C$506))</f>
        <v>-1587.0287733609939</v>
      </c>
      <c r="AM456" s="497" cm="1">
        <f t="array" ref="AM456">AM417*(INDEX(('Detailed Assumptions'!$D$59:$J$79,'Detailed Assumptions'!$L$59:$R$79,'Detailed Assumptions'!$T$59:$Z$79,'Detailed Assumptions'!$AB$59:$AH$79),$C456,2,$C$506))</f>
        <v>-1587.0287733609939</v>
      </c>
      <c r="AN456" s="527" cm="1">
        <f t="array" ref="AN456">AN417*(INDEX(('Detailed Assumptions'!$D$59:$J$79,'Detailed Assumptions'!$L$59:$R$79,'Detailed Assumptions'!$T$59:$Z$79,'Detailed Assumptions'!$AB$59:$AH$79),$C456,2,$C$506))</f>
        <v>-1587.0287733609939</v>
      </c>
      <c r="AO456" s="527" cm="1">
        <f t="array" ref="AO456">AO417*(INDEX(('Detailed Assumptions'!$D$59:$J$79,'Detailed Assumptions'!$L$59:$R$79,'Detailed Assumptions'!$T$59:$Z$79,'Detailed Assumptions'!$AB$59:$AH$79),$C456,2,$C$506))</f>
        <v>-1587.0287733609939</v>
      </c>
      <c r="AP456" s="527" cm="1">
        <f t="array" ref="AP456">AP417*(INDEX(('Detailed Assumptions'!$D$59:$J$79,'Detailed Assumptions'!$L$59:$R$79,'Detailed Assumptions'!$T$59:$Z$79,'Detailed Assumptions'!$AB$59:$AH$79),$C456,2,$C$506))</f>
        <v>-1646.2660672898071</v>
      </c>
      <c r="AQ456" s="527" cm="1">
        <f t="array" ref="AQ456">AQ417*(INDEX(('Detailed Assumptions'!$D$59:$J$79,'Detailed Assumptions'!$L$59:$R$79,'Detailed Assumptions'!$T$59:$Z$79,'Detailed Assumptions'!$AB$59:$AH$79),$C456,2,$C$506))</f>
        <v>-1646.2660672898071</v>
      </c>
      <c r="AR456" s="527" cm="1">
        <f t="array" ref="AR456">AR417*(INDEX(('Detailed Assumptions'!$D$59:$J$79,'Detailed Assumptions'!$L$59:$R$79,'Detailed Assumptions'!$T$59:$Z$79,'Detailed Assumptions'!$AB$59:$AH$79),$C456,2,$C$506))</f>
        <v>-1646.2660672898071</v>
      </c>
      <c r="AS456" s="527" cm="1">
        <f t="array" ref="AS456">AS417*(INDEX(('Detailed Assumptions'!$D$59:$J$79,'Detailed Assumptions'!$L$59:$R$79,'Detailed Assumptions'!$T$59:$Z$79,'Detailed Assumptions'!$AB$59:$AH$79),$C456,2,$C$506))</f>
        <v>-1646.2660672898071</v>
      </c>
      <c r="AT456" s="527" cm="1">
        <f t="array" ref="AT456">AT417*(INDEX(('Detailed Assumptions'!$D$59:$J$79,'Detailed Assumptions'!$L$59:$R$79,'Detailed Assumptions'!$T$59:$Z$79,'Detailed Assumptions'!$AB$59:$AH$79),$C456,2,$C$506))</f>
        <v>-1646.2660672898071</v>
      </c>
      <c r="AU456" s="527" cm="1">
        <f t="array" ref="AU456">AU417*(INDEX(('Detailed Assumptions'!$D$59:$J$79,'Detailed Assumptions'!$L$59:$R$79,'Detailed Assumptions'!$T$59:$Z$79,'Detailed Assumptions'!$AB$59:$AH$79),$C456,2,$C$506))</f>
        <v>-1646.2660672898071</v>
      </c>
      <c r="AV456" s="527" cm="1">
        <f t="array" ref="AV456">AV417*(INDEX(('Detailed Assumptions'!$D$59:$J$79,'Detailed Assumptions'!$L$59:$R$79,'Detailed Assumptions'!$T$59:$Z$79,'Detailed Assumptions'!$AB$59:$AH$79),$C456,2,$C$506))</f>
        <v>-1646.2660672898071</v>
      </c>
      <c r="AW456" s="527" cm="1">
        <f t="array" ref="AW456">AW417*(INDEX(('Detailed Assumptions'!$D$59:$J$79,'Detailed Assumptions'!$L$59:$R$79,'Detailed Assumptions'!$T$59:$Z$79,'Detailed Assumptions'!$AB$59:$AH$79),$C456,2,$C$506))</f>
        <v>-1646.2660672898071</v>
      </c>
      <c r="AX456" s="527" cm="1">
        <f t="array" ref="AX456">AX417*(INDEX(('Detailed Assumptions'!$D$59:$J$79,'Detailed Assumptions'!$L$59:$R$79,'Detailed Assumptions'!$T$59:$Z$79,'Detailed Assumptions'!$AB$59:$AH$79),$C456,2,$C$506))</f>
        <v>-1646.2660672898071</v>
      </c>
      <c r="AY456" s="527" cm="1">
        <f t="array" ref="AY456">AY417*(INDEX(('Detailed Assumptions'!$D$59:$J$79,'Detailed Assumptions'!$L$59:$R$79,'Detailed Assumptions'!$T$59:$Z$79,'Detailed Assumptions'!$AB$59:$AH$79),$C456,2,$C$506))</f>
        <v>-1646.2660672898071</v>
      </c>
      <c r="AZ456" s="527" cm="1">
        <f t="array" ref="AZ456">AZ417*(INDEX(('Detailed Assumptions'!$D$59:$J$79,'Detailed Assumptions'!$L$59:$R$79,'Detailed Assumptions'!$T$59:$Z$79,'Detailed Assumptions'!$AB$59:$AH$79),$C456,2,$C$506))</f>
        <v>-1646.2660672898071</v>
      </c>
      <c r="BA456" s="527" cm="1">
        <f t="array" ref="BA456">BA417*(INDEX(('Detailed Assumptions'!$D$59:$J$79,'Detailed Assumptions'!$L$59:$R$79,'Detailed Assumptions'!$T$59:$Z$79,'Detailed Assumptions'!$AB$59:$AH$79),$C456,2,$C$506))</f>
        <v>-1646.2660672898071</v>
      </c>
      <c r="BB456" s="527" cm="1">
        <f t="array" ref="BB456">BB417*(INDEX(('Detailed Assumptions'!$D$59:$J$79,'Detailed Assumptions'!$L$59:$R$79,'Detailed Assumptions'!$T$59:$Z$79,'Detailed Assumptions'!$AB$59:$AH$79),$C456,2,$C$506))</f>
        <v>-1703.7129059271688</v>
      </c>
      <c r="BC456" s="527" cm="1">
        <f t="array" ref="BC456">BC417*(INDEX(('Detailed Assumptions'!$D$59:$J$79,'Detailed Assumptions'!$L$59:$R$79,'Detailed Assumptions'!$T$59:$Z$79,'Detailed Assumptions'!$AB$59:$AH$79),$C456,2,$C$506))</f>
        <v>-1703.7129059271688</v>
      </c>
      <c r="BD456" s="527" cm="1">
        <f t="array" ref="BD456">BD417*(INDEX(('Detailed Assumptions'!$D$59:$J$79,'Detailed Assumptions'!$L$59:$R$79,'Detailed Assumptions'!$T$59:$Z$79,'Detailed Assumptions'!$AB$59:$AH$79),$C456,2,$C$506))</f>
        <v>-1703.7129059271688</v>
      </c>
      <c r="BE456" s="527" cm="1">
        <f t="array" ref="BE456">BE417*(INDEX(('Detailed Assumptions'!$D$59:$J$79,'Detailed Assumptions'!$L$59:$R$79,'Detailed Assumptions'!$T$59:$Z$79,'Detailed Assumptions'!$AB$59:$AH$79),$C456,2,$C$506))</f>
        <v>-1703.7129059271688</v>
      </c>
      <c r="BF456" s="527" cm="1">
        <f t="array" ref="BF456">BF417*(INDEX(('Detailed Assumptions'!$D$59:$J$79,'Detailed Assumptions'!$L$59:$R$79,'Detailed Assumptions'!$T$59:$Z$79,'Detailed Assumptions'!$AB$59:$AH$79),$C456,2,$C$506))</f>
        <v>-1703.7129059271688</v>
      </c>
      <c r="BG456" s="527" cm="1">
        <f t="array" ref="BG456">BG417*(INDEX(('Detailed Assumptions'!$D$59:$J$79,'Detailed Assumptions'!$L$59:$R$79,'Detailed Assumptions'!$T$59:$Z$79,'Detailed Assumptions'!$AB$59:$AH$79),$C456,2,$C$506))</f>
        <v>-1703.7129059271688</v>
      </c>
      <c r="BH456" s="527" cm="1">
        <f t="array" ref="BH456">BH417*(INDEX(('Detailed Assumptions'!$D$59:$J$79,'Detailed Assumptions'!$L$59:$R$79,'Detailed Assumptions'!$T$59:$Z$79,'Detailed Assumptions'!$AB$59:$AH$79),$C456,2,$C$506))</f>
        <v>-1703.7129059271688</v>
      </c>
      <c r="BI456" s="527" cm="1">
        <f t="array" ref="BI456">BI417*(INDEX(('Detailed Assumptions'!$D$59:$J$79,'Detailed Assumptions'!$L$59:$R$79,'Detailed Assumptions'!$T$59:$Z$79,'Detailed Assumptions'!$AB$59:$AH$79),$C456,2,$C$506))</f>
        <v>-1703.7129059271688</v>
      </c>
      <c r="BJ456" s="527" cm="1">
        <f t="array" ref="BJ456">BJ417*(INDEX(('Detailed Assumptions'!$D$59:$J$79,'Detailed Assumptions'!$L$59:$R$79,'Detailed Assumptions'!$T$59:$Z$79,'Detailed Assumptions'!$AB$59:$AH$79),$C456,2,$C$506))</f>
        <v>-1703.7129059271688</v>
      </c>
      <c r="BK456" s="527" cm="1">
        <f t="array" ref="BK456">BK417*(INDEX(('Detailed Assumptions'!$D$59:$J$79,'Detailed Assumptions'!$L$59:$R$79,'Detailed Assumptions'!$T$59:$Z$79,'Detailed Assumptions'!$AB$59:$AH$79),$C456,2,$C$506))</f>
        <v>-1703.7129059271688</v>
      </c>
      <c r="BL456" s="527" cm="1">
        <f t="array" ref="BL456">BL417*(INDEX(('Detailed Assumptions'!$D$59:$J$79,'Detailed Assumptions'!$L$59:$R$79,'Detailed Assumptions'!$T$59:$Z$79,'Detailed Assumptions'!$AB$59:$AH$79),$C456,2,$C$506))</f>
        <v>-1703.7129059271688</v>
      </c>
      <c r="BM456" s="527" cm="1">
        <f t="array" ref="BM456">BM417*(INDEX(('Detailed Assumptions'!$D$59:$J$79,'Detailed Assumptions'!$L$59:$R$79,'Detailed Assumptions'!$T$59:$Z$79,'Detailed Assumptions'!$AB$59:$AH$79),$C456,2,$C$506))</f>
        <v>-1703.7129059271688</v>
      </c>
      <c r="BN456" s="527" cm="1">
        <f t="array" ref="BN456">BN417*(INDEX(('Detailed Assumptions'!$D$59:$J$79,'Detailed Assumptions'!$L$59:$R$79,'Detailed Assumptions'!$T$59:$Z$79,'Detailed Assumptions'!$AB$59:$AH$79),$C456,2,$C$506))</f>
        <v>-1762.3213493471978</v>
      </c>
      <c r="BO456" s="527" cm="1">
        <f t="array" ref="BO456">BO417*(INDEX(('Detailed Assumptions'!$D$59:$J$79,'Detailed Assumptions'!$L$59:$R$79,'Detailed Assumptions'!$T$59:$Z$79,'Detailed Assumptions'!$AB$59:$AH$79),$C456,2,$C$506))</f>
        <v>-1762.3213493471978</v>
      </c>
      <c r="BP456" s="527" cm="1">
        <f t="array" ref="BP456">BP417*(INDEX(('Detailed Assumptions'!$D$59:$J$79,'Detailed Assumptions'!$L$59:$R$79,'Detailed Assumptions'!$T$59:$Z$79,'Detailed Assumptions'!$AB$59:$AH$79),$C456,2,$C$506))</f>
        <v>-1762.3213493471978</v>
      </c>
      <c r="BQ456" s="527" cm="1">
        <f t="array" ref="BQ456">BQ417*(INDEX(('Detailed Assumptions'!$D$59:$J$79,'Detailed Assumptions'!$L$59:$R$79,'Detailed Assumptions'!$T$59:$Z$79,'Detailed Assumptions'!$AB$59:$AH$79),$C456,2,$C$506))</f>
        <v>-1762.3213493471978</v>
      </c>
      <c r="BR456" s="527" cm="1">
        <f t="array" ref="BR456">BR417*(INDEX(('Detailed Assumptions'!$D$59:$J$79,'Detailed Assumptions'!$L$59:$R$79,'Detailed Assumptions'!$T$59:$Z$79,'Detailed Assumptions'!$AB$59:$AH$79),$C456,2,$C$506))</f>
        <v>-1762.3213493471978</v>
      </c>
      <c r="BS456" s="527" cm="1">
        <f t="array" ref="BS456">BS417*(INDEX(('Detailed Assumptions'!$D$59:$J$79,'Detailed Assumptions'!$L$59:$R$79,'Detailed Assumptions'!$T$59:$Z$79,'Detailed Assumptions'!$AB$59:$AH$79),$C456,2,$C$506))</f>
        <v>-1762.3213493471978</v>
      </c>
      <c r="BT456" s="527" cm="1">
        <f t="array" ref="BT456">BT417*(INDEX(('Detailed Assumptions'!$D$59:$J$79,'Detailed Assumptions'!$L$59:$R$79,'Detailed Assumptions'!$T$59:$Z$79,'Detailed Assumptions'!$AB$59:$AH$79),$C456,2,$C$506))</f>
        <v>-1762.3213493471978</v>
      </c>
      <c r="BU456" s="527" cm="1">
        <f t="array" ref="BU456">BU417*(INDEX(('Detailed Assumptions'!$D$59:$J$79,'Detailed Assumptions'!$L$59:$R$79,'Detailed Assumptions'!$T$59:$Z$79,'Detailed Assumptions'!$AB$59:$AH$79),$C456,2,$C$506))</f>
        <v>-1762.3213493471978</v>
      </c>
      <c r="BV456" s="527" cm="1">
        <f t="array" ref="BV456">BV417*(INDEX(('Detailed Assumptions'!$D$59:$J$79,'Detailed Assumptions'!$L$59:$R$79,'Detailed Assumptions'!$T$59:$Z$79,'Detailed Assumptions'!$AB$59:$AH$79),$C456,2,$C$506))</f>
        <v>-1762.3213493471978</v>
      </c>
      <c r="BW456" s="527" cm="1">
        <f t="array" ref="BW456">BW417*(INDEX(('Detailed Assumptions'!$D$59:$J$79,'Detailed Assumptions'!$L$59:$R$79,'Detailed Assumptions'!$T$59:$Z$79,'Detailed Assumptions'!$AB$59:$AH$79),$C456,2,$C$506))</f>
        <v>-1762.3213493471978</v>
      </c>
      <c r="BX456" s="527" cm="1">
        <f t="array" ref="BX456">BX417*(INDEX(('Detailed Assumptions'!$D$59:$J$79,'Detailed Assumptions'!$L$59:$R$79,'Detailed Assumptions'!$T$59:$Z$79,'Detailed Assumptions'!$AB$59:$AH$79),$C456,2,$C$506))</f>
        <v>-1762.3213493471978</v>
      </c>
      <c r="BY456" s="527" cm="1">
        <f t="array" ref="BY456">BY417*(INDEX(('Detailed Assumptions'!$D$59:$J$79,'Detailed Assumptions'!$L$59:$R$79,'Detailed Assumptions'!$T$59:$Z$79,'Detailed Assumptions'!$AB$59:$AH$79),$C456,2,$C$506))</f>
        <v>-1762.3213493471978</v>
      </c>
    </row>
    <row r="457" spans="1:77" x14ac:dyDescent="0.3">
      <c r="B457" s="82"/>
      <c r="C457" s="82"/>
      <c r="D457" s="82"/>
      <c r="E457" s="4" t="s">
        <v>36</v>
      </c>
      <c r="F457" s="4"/>
      <c r="G457" s="4"/>
      <c r="H457" s="4"/>
      <c r="I457" s="4"/>
      <c r="J457" s="4"/>
      <c r="K457" s="4"/>
      <c r="L457" s="4"/>
      <c r="M457" s="4"/>
      <c r="N457" s="4"/>
      <c r="O457" s="4"/>
      <c r="P457" s="106"/>
      <c r="Q457" s="4"/>
      <c r="R457" s="498">
        <f t="shared" ref="R457:AW457" si="618">SUM(R451:R456)</f>
        <v>-4254.7151242229229</v>
      </c>
      <c r="S457" s="498">
        <f t="shared" si="618"/>
        <v>-4254.7151242229229</v>
      </c>
      <c r="T457" s="498">
        <f t="shared" si="618"/>
        <v>-4254.7151242229229</v>
      </c>
      <c r="U457" s="498">
        <f t="shared" si="618"/>
        <v>-4254.7151242229229</v>
      </c>
      <c r="V457" s="498">
        <f t="shared" si="618"/>
        <v>-4254.7151242229229</v>
      </c>
      <c r="W457" s="498">
        <f t="shared" si="618"/>
        <v>-4254.7151242229229</v>
      </c>
      <c r="X457" s="498">
        <f t="shared" si="618"/>
        <v>-4368.3636138287184</v>
      </c>
      <c r="Y457" s="498">
        <f t="shared" si="618"/>
        <v>-4368.3636138287184</v>
      </c>
      <c r="Z457" s="498">
        <f t="shared" si="618"/>
        <v>-4368.3636138287184</v>
      </c>
      <c r="AA457" s="498">
        <f t="shared" si="618"/>
        <v>-4368.3636138287184</v>
      </c>
      <c r="AB457" s="498">
        <f t="shared" si="618"/>
        <v>-4368.3636138287184</v>
      </c>
      <c r="AC457" s="498">
        <f t="shared" si="618"/>
        <v>-4368.3636138287184</v>
      </c>
      <c r="AD457" s="498">
        <f t="shared" si="618"/>
        <v>-4513.3375228883633</v>
      </c>
      <c r="AE457" s="498">
        <f t="shared" si="618"/>
        <v>-4513.3375228883633</v>
      </c>
      <c r="AF457" s="498">
        <f t="shared" si="618"/>
        <v>-4513.3375228883633</v>
      </c>
      <c r="AG457" s="498">
        <f t="shared" si="618"/>
        <v>-4513.3375228883633</v>
      </c>
      <c r="AH457" s="498">
        <f t="shared" si="618"/>
        <v>-4513.3375228883633</v>
      </c>
      <c r="AI457" s="498">
        <f t="shared" si="618"/>
        <v>-4513.3375228883633</v>
      </c>
      <c r="AJ457" s="498">
        <f t="shared" si="618"/>
        <v>-4656.0842274725619</v>
      </c>
      <c r="AK457" s="498">
        <f t="shared" si="618"/>
        <v>-4656.0842274725619</v>
      </c>
      <c r="AL457" s="498">
        <f t="shared" si="618"/>
        <v>-4656.0842274725619</v>
      </c>
      <c r="AM457" s="498">
        <f t="shared" si="618"/>
        <v>-4656.0842274725619</v>
      </c>
      <c r="AN457" s="530">
        <f t="shared" si="618"/>
        <v>-4656.0842274725619</v>
      </c>
      <c r="AO457" s="530">
        <f t="shared" si="618"/>
        <v>-4656.0842274725619</v>
      </c>
      <c r="AP457" s="530">
        <f t="shared" si="618"/>
        <v>-4778.7900506108181</v>
      </c>
      <c r="AQ457" s="530">
        <f t="shared" si="618"/>
        <v>-4778.7900506108181</v>
      </c>
      <c r="AR457" s="530">
        <f t="shared" si="618"/>
        <v>-4778.7900506108181</v>
      </c>
      <c r="AS457" s="530">
        <f t="shared" si="618"/>
        <v>-4778.7900506108181</v>
      </c>
      <c r="AT457" s="530">
        <f t="shared" si="618"/>
        <v>-4778.7900506108181</v>
      </c>
      <c r="AU457" s="530">
        <f t="shared" si="618"/>
        <v>-4778.7900506108181</v>
      </c>
      <c r="AV457" s="530">
        <f t="shared" si="618"/>
        <v>-4952.5317466668575</v>
      </c>
      <c r="AW457" s="530">
        <f t="shared" si="618"/>
        <v>-4952.5317466668575</v>
      </c>
      <c r="AX457" s="530">
        <f t="shared" ref="AX457:BY457" si="619">SUM(AX451:AX456)</f>
        <v>-4952.5317466668575</v>
      </c>
      <c r="AY457" s="530">
        <f t="shared" si="619"/>
        <v>-4952.5317466668575</v>
      </c>
      <c r="AZ457" s="530">
        <f t="shared" si="619"/>
        <v>-4952.5317466668575</v>
      </c>
      <c r="BA457" s="530">
        <f t="shared" si="619"/>
        <v>-4952.5317466668575</v>
      </c>
      <c r="BB457" s="530">
        <f t="shared" si="619"/>
        <v>-5051.0120414737648</v>
      </c>
      <c r="BC457" s="530">
        <f t="shared" si="619"/>
        <v>-5051.0120414737648</v>
      </c>
      <c r="BD457" s="530">
        <f t="shared" si="619"/>
        <v>-5051.0120414737648</v>
      </c>
      <c r="BE457" s="530">
        <f t="shared" si="619"/>
        <v>-5051.0120414737648</v>
      </c>
      <c r="BF457" s="530">
        <f t="shared" si="619"/>
        <v>-5051.0120414737648</v>
      </c>
      <c r="BG457" s="530">
        <f t="shared" si="619"/>
        <v>-5051.0120414737648</v>
      </c>
      <c r="BH457" s="530">
        <f t="shared" si="619"/>
        <v>-5257.6820264151738</v>
      </c>
      <c r="BI457" s="530">
        <f t="shared" si="619"/>
        <v>-5257.6820264151738</v>
      </c>
      <c r="BJ457" s="530">
        <f t="shared" si="619"/>
        <v>-5257.6820264151738</v>
      </c>
      <c r="BK457" s="530">
        <f t="shared" si="619"/>
        <v>-5257.6820264151738</v>
      </c>
      <c r="BL457" s="530">
        <f t="shared" si="619"/>
        <v>-5257.6820264151738</v>
      </c>
      <c r="BM457" s="530">
        <f t="shared" si="619"/>
        <v>-5257.6820264151738</v>
      </c>
      <c r="BN457" s="530">
        <f t="shared" si="619"/>
        <v>-5337.2220567709255</v>
      </c>
      <c r="BO457" s="530">
        <f t="shared" si="619"/>
        <v>-5337.2220567709255</v>
      </c>
      <c r="BP457" s="530">
        <f t="shared" si="619"/>
        <v>-5337.2220567709255</v>
      </c>
      <c r="BQ457" s="530">
        <f t="shared" si="619"/>
        <v>-5337.2220567709255</v>
      </c>
      <c r="BR457" s="530">
        <f t="shared" si="619"/>
        <v>-5337.2220567709255</v>
      </c>
      <c r="BS457" s="530">
        <f t="shared" si="619"/>
        <v>-5337.2220567709255</v>
      </c>
      <c r="BT457" s="530">
        <f t="shared" si="619"/>
        <v>-5578.8679202662352</v>
      </c>
      <c r="BU457" s="530">
        <f t="shared" si="619"/>
        <v>-5578.8679202662352</v>
      </c>
      <c r="BV457" s="530">
        <f t="shared" si="619"/>
        <v>-5578.8679202662352</v>
      </c>
      <c r="BW457" s="530">
        <f t="shared" si="619"/>
        <v>-5578.8679202662352</v>
      </c>
      <c r="BX457" s="530">
        <f t="shared" si="619"/>
        <v>-5578.8679202662352</v>
      </c>
      <c r="BY457" s="530">
        <f t="shared" si="619"/>
        <v>-5578.8679202662352</v>
      </c>
    </row>
    <row r="458" spans="1:77" x14ac:dyDescent="0.3">
      <c r="B458" s="82"/>
      <c r="C458" s="82"/>
      <c r="D458" s="82"/>
      <c r="E458" s="2"/>
      <c r="F458" s="2"/>
      <c r="G458" s="2"/>
      <c r="H458" s="2"/>
      <c r="I458" s="2"/>
      <c r="J458" s="2"/>
      <c r="K458" s="2"/>
      <c r="L458" s="2"/>
      <c r="M458" s="2"/>
      <c r="N458" s="2"/>
      <c r="O458" s="2"/>
      <c r="P458" s="10"/>
      <c r="Q458" s="2"/>
      <c r="R458" s="2"/>
      <c r="S458" s="2"/>
      <c r="T458" s="2"/>
      <c r="U458" s="2"/>
      <c r="V458" s="2"/>
      <c r="W458" s="2"/>
      <c r="X458" s="2"/>
      <c r="Y458" s="2"/>
      <c r="Z458" s="2"/>
      <c r="AA458" s="2"/>
      <c r="AB458" s="2"/>
      <c r="AC458" s="2"/>
      <c r="AD458" s="2"/>
      <c r="AE458" s="2"/>
      <c r="AF458" s="2"/>
      <c r="AG458" s="2"/>
      <c r="AH458" s="2"/>
      <c r="AI458" s="2"/>
      <c r="AJ458" s="2"/>
      <c r="AK458" s="2"/>
      <c r="AL458" s="2"/>
      <c r="AM458" s="2"/>
      <c r="AN458" s="525"/>
      <c r="AO458" s="525"/>
      <c r="AP458" s="525"/>
      <c r="AQ458" s="525"/>
      <c r="AR458" s="525"/>
      <c r="AS458" s="525"/>
      <c r="AT458" s="525"/>
      <c r="AU458" s="525"/>
      <c r="AV458" s="525"/>
      <c r="AW458" s="525"/>
      <c r="AX458" s="525"/>
      <c r="AY458" s="525"/>
      <c r="AZ458" s="525"/>
      <c r="BA458" s="525"/>
      <c r="BB458" s="525"/>
      <c r="BC458" s="525"/>
      <c r="BD458" s="525"/>
      <c r="BE458" s="525"/>
      <c r="BF458" s="525"/>
      <c r="BG458" s="525"/>
      <c r="BH458" s="525"/>
      <c r="BI458" s="525"/>
      <c r="BJ458" s="525"/>
      <c r="BK458" s="525"/>
      <c r="BL458" s="525"/>
      <c r="BM458" s="525"/>
      <c r="BN458" s="525"/>
      <c r="BO458" s="525"/>
      <c r="BP458" s="525"/>
      <c r="BQ458" s="525"/>
      <c r="BR458" s="525"/>
      <c r="BS458" s="525"/>
      <c r="BT458" s="525"/>
      <c r="BU458" s="525"/>
      <c r="BV458" s="525"/>
      <c r="BW458" s="525"/>
      <c r="BX458" s="525"/>
      <c r="BY458" s="525"/>
    </row>
    <row r="459" spans="1:77" x14ac:dyDescent="0.3">
      <c r="C459" s="24" t="s">
        <v>37</v>
      </c>
      <c r="D459" s="2"/>
      <c r="E459" s="14" t="s">
        <v>373</v>
      </c>
      <c r="F459" s="14"/>
      <c r="G459" s="14"/>
      <c r="H459" s="14"/>
      <c r="I459" s="14"/>
      <c r="J459" s="14"/>
      <c r="K459" s="14"/>
      <c r="L459" s="14"/>
      <c r="M459" s="14"/>
      <c r="N459" s="14"/>
      <c r="O459" s="14"/>
      <c r="P459" s="24"/>
      <c r="Q459" s="14"/>
      <c r="R459" s="14"/>
      <c r="S459" s="14"/>
      <c r="T459" s="14"/>
      <c r="U459" s="14"/>
      <c r="V459" s="14"/>
      <c r="W459" s="14"/>
      <c r="X459" s="14"/>
      <c r="Y459" s="14"/>
      <c r="Z459" s="14"/>
      <c r="AA459" s="14"/>
      <c r="AB459" s="14"/>
      <c r="AC459" s="14"/>
      <c r="AD459" s="14"/>
      <c r="AE459" s="14"/>
      <c r="AF459" s="14"/>
      <c r="AG459" s="14"/>
      <c r="AH459" s="14"/>
      <c r="AI459" s="14"/>
      <c r="AJ459" s="14"/>
      <c r="AK459" s="14"/>
      <c r="AL459" s="14"/>
      <c r="AM459" s="14"/>
      <c r="AN459" s="538"/>
      <c r="AO459" s="538"/>
      <c r="AP459" s="538"/>
      <c r="AQ459" s="538"/>
      <c r="AR459" s="538"/>
      <c r="AS459" s="538"/>
      <c r="AT459" s="538"/>
      <c r="AU459" s="538"/>
      <c r="AV459" s="538"/>
      <c r="AW459" s="538"/>
      <c r="AX459" s="538"/>
      <c r="AY459" s="538"/>
      <c r="AZ459" s="538"/>
      <c r="BA459" s="538"/>
      <c r="BB459" s="538"/>
      <c r="BC459" s="538"/>
      <c r="BD459" s="538"/>
      <c r="BE459" s="538"/>
      <c r="BF459" s="538"/>
      <c r="BG459" s="538"/>
      <c r="BH459" s="538"/>
      <c r="BI459" s="538"/>
      <c r="BJ459" s="538"/>
      <c r="BK459" s="538"/>
      <c r="BL459" s="538"/>
      <c r="BM459" s="538"/>
      <c r="BN459" s="538"/>
      <c r="BO459" s="538"/>
      <c r="BP459" s="538"/>
      <c r="BQ459" s="538"/>
      <c r="BR459" s="538"/>
      <c r="BS459" s="538"/>
      <c r="BT459" s="538"/>
      <c r="BU459" s="538"/>
      <c r="BV459" s="538"/>
      <c r="BW459" s="538"/>
      <c r="BX459" s="538"/>
      <c r="BY459" s="538"/>
    </row>
    <row r="460" spans="1:77" x14ac:dyDescent="0.3">
      <c r="C460" s="2"/>
      <c r="D460" s="2"/>
      <c r="E460" s="2"/>
      <c r="F460" s="2"/>
      <c r="G460" s="2"/>
      <c r="H460" s="2"/>
      <c r="I460" s="2"/>
      <c r="J460" s="2"/>
      <c r="K460" s="2"/>
      <c r="L460" s="2"/>
      <c r="M460" s="2"/>
      <c r="N460" s="2"/>
      <c r="O460" s="2"/>
      <c r="P460" s="10"/>
      <c r="Q460" s="2"/>
      <c r="R460" s="2"/>
      <c r="S460" s="2"/>
      <c r="T460" s="2"/>
      <c r="U460" s="2"/>
      <c r="V460" s="2"/>
      <c r="W460" s="2"/>
      <c r="X460" s="2"/>
      <c r="Y460" s="2"/>
      <c r="Z460" s="2"/>
      <c r="AA460" s="2"/>
      <c r="AB460" s="2"/>
      <c r="AC460" s="2"/>
      <c r="AD460" s="2"/>
      <c r="AE460" s="2"/>
      <c r="AF460" s="2"/>
      <c r="AG460" s="2"/>
      <c r="AH460" s="2"/>
      <c r="AI460" s="2"/>
      <c r="AJ460" s="2"/>
      <c r="AK460" s="2"/>
      <c r="AL460" s="2"/>
      <c r="AM460" s="2"/>
      <c r="AN460" s="525"/>
      <c r="AO460" s="525"/>
      <c r="AP460" s="525"/>
      <c r="AQ460" s="525"/>
      <c r="AR460" s="525"/>
      <c r="AS460" s="525"/>
      <c r="AT460" s="525"/>
      <c r="AU460" s="525"/>
      <c r="AV460" s="525"/>
      <c r="AW460" s="525"/>
      <c r="AX460" s="525"/>
      <c r="AY460" s="525"/>
      <c r="AZ460" s="525"/>
      <c r="BA460" s="525"/>
      <c r="BB460" s="525"/>
      <c r="BC460" s="525"/>
      <c r="BD460" s="525"/>
      <c r="BE460" s="525"/>
      <c r="BF460" s="525"/>
      <c r="BG460" s="525"/>
      <c r="BH460" s="525"/>
      <c r="BI460" s="525"/>
      <c r="BJ460" s="525"/>
      <c r="BK460" s="525"/>
      <c r="BL460" s="525"/>
      <c r="BM460" s="525"/>
      <c r="BN460" s="525"/>
      <c r="BO460" s="525"/>
      <c r="BP460" s="525"/>
      <c r="BQ460" s="525"/>
      <c r="BR460" s="525"/>
      <c r="BS460" s="525"/>
      <c r="BT460" s="525"/>
      <c r="BU460" s="525"/>
      <c r="BV460" s="525"/>
      <c r="BW460" s="525"/>
      <c r="BX460" s="525"/>
      <c r="BY460" s="525"/>
    </row>
    <row r="461" spans="1:77" x14ac:dyDescent="0.3">
      <c r="C461" s="2"/>
      <c r="D461" s="2"/>
      <c r="E461" s="108" t="s">
        <v>110</v>
      </c>
      <c r="F461" s="109"/>
      <c r="G461" s="109"/>
      <c r="H461" s="109"/>
      <c r="I461" s="109"/>
      <c r="J461" s="109"/>
      <c r="K461" s="109"/>
      <c r="L461" s="109"/>
      <c r="M461" s="109"/>
      <c r="N461" s="109"/>
      <c r="O461" s="109"/>
      <c r="P461" s="110"/>
      <c r="Q461" s="109"/>
      <c r="R461" s="109"/>
      <c r="S461" s="109"/>
      <c r="T461" s="109"/>
      <c r="U461" s="109"/>
      <c r="V461" s="109"/>
      <c r="W461" s="109"/>
      <c r="X461" s="109"/>
      <c r="Y461" s="109"/>
      <c r="Z461" s="109"/>
      <c r="AA461" s="109"/>
      <c r="AB461" s="109"/>
      <c r="AC461" s="109"/>
      <c r="AD461" s="109"/>
      <c r="AE461" s="109"/>
      <c r="AF461" s="109"/>
      <c r="AG461" s="109"/>
      <c r="AH461" s="109"/>
      <c r="AI461" s="109"/>
      <c r="AJ461" s="109"/>
      <c r="AK461" s="109"/>
      <c r="AL461" s="109"/>
      <c r="AM461" s="109"/>
      <c r="AN461" s="539"/>
      <c r="AO461" s="539"/>
      <c r="AP461" s="539"/>
      <c r="AQ461" s="539"/>
      <c r="AR461" s="539"/>
      <c r="AS461" s="539"/>
      <c r="AT461" s="539"/>
      <c r="AU461" s="539"/>
      <c r="AV461" s="539"/>
      <c r="AW461" s="539"/>
      <c r="AX461" s="539"/>
      <c r="AY461" s="539"/>
      <c r="AZ461" s="539"/>
      <c r="BA461" s="539"/>
      <c r="BB461" s="539"/>
      <c r="BC461" s="539"/>
      <c r="BD461" s="539"/>
      <c r="BE461" s="539"/>
      <c r="BF461" s="539"/>
      <c r="BG461" s="539"/>
      <c r="BH461" s="539"/>
      <c r="BI461" s="539"/>
      <c r="BJ461" s="539"/>
      <c r="BK461" s="539"/>
      <c r="BL461" s="539"/>
      <c r="BM461" s="539"/>
      <c r="BN461" s="539"/>
      <c r="BO461" s="539"/>
      <c r="BP461" s="539"/>
      <c r="BQ461" s="539"/>
      <c r="BR461" s="539"/>
      <c r="BS461" s="539"/>
      <c r="BT461" s="539"/>
      <c r="BU461" s="539"/>
      <c r="BV461" s="539"/>
      <c r="BW461" s="539"/>
      <c r="BX461" s="539"/>
      <c r="BY461" s="539"/>
    </row>
    <row r="462" spans="1:77" x14ac:dyDescent="0.3">
      <c r="C462" s="2"/>
      <c r="D462" s="2"/>
      <c r="E462" s="2"/>
      <c r="F462" s="2"/>
      <c r="G462" s="2"/>
      <c r="H462" s="2"/>
      <c r="I462" s="2"/>
      <c r="J462" s="2"/>
      <c r="K462" s="2"/>
      <c r="L462" s="2"/>
      <c r="M462" s="2"/>
      <c r="N462" s="2"/>
      <c r="O462" s="2"/>
      <c r="P462" s="10"/>
      <c r="Q462" s="2"/>
      <c r="R462" s="2"/>
      <c r="S462" s="2"/>
      <c r="T462" s="2"/>
      <c r="U462" s="2"/>
      <c r="V462" s="2"/>
      <c r="W462" s="2"/>
      <c r="X462" s="2"/>
      <c r="Y462" s="2"/>
      <c r="Z462" s="2"/>
      <c r="AA462" s="2"/>
      <c r="AB462" s="2"/>
      <c r="AC462" s="2"/>
      <c r="AD462" s="2"/>
      <c r="AE462" s="2"/>
      <c r="AF462" s="2"/>
      <c r="AG462" s="2"/>
      <c r="AH462" s="2"/>
      <c r="AI462" s="2"/>
      <c r="AJ462" s="2"/>
      <c r="AK462" s="2"/>
      <c r="AL462" s="2"/>
      <c r="AM462" s="2"/>
      <c r="AN462" s="525"/>
      <c r="AO462" s="525"/>
      <c r="AP462" s="525"/>
      <c r="AQ462" s="525"/>
      <c r="AR462" s="525"/>
      <c r="AS462" s="525"/>
      <c r="AT462" s="525"/>
      <c r="AU462" s="525"/>
      <c r="AV462" s="525"/>
      <c r="AW462" s="525"/>
      <c r="AX462" s="525"/>
      <c r="AY462" s="525"/>
      <c r="AZ462" s="525"/>
      <c r="BA462" s="525"/>
      <c r="BB462" s="525"/>
      <c r="BC462" s="525"/>
      <c r="BD462" s="525"/>
      <c r="BE462" s="525"/>
      <c r="BF462" s="525"/>
      <c r="BG462" s="525"/>
      <c r="BH462" s="525"/>
      <c r="BI462" s="525"/>
      <c r="BJ462" s="525"/>
      <c r="BK462" s="525"/>
      <c r="BL462" s="525"/>
      <c r="BM462" s="525"/>
      <c r="BN462" s="525"/>
      <c r="BO462" s="525"/>
      <c r="BP462" s="525"/>
      <c r="BQ462" s="525"/>
      <c r="BR462" s="525"/>
      <c r="BS462" s="525"/>
      <c r="BT462" s="525"/>
      <c r="BU462" s="525"/>
      <c r="BV462" s="525"/>
      <c r="BW462" s="525"/>
      <c r="BX462" s="525"/>
      <c r="BY462" s="525"/>
    </row>
    <row r="463" spans="1:77" x14ac:dyDescent="0.3">
      <c r="C463" s="2"/>
      <c r="D463" s="2"/>
      <c r="E463" s="143" t="str">
        <f>"Volumes: "&amp;E$155</f>
        <v>Volumes: FY27 Tranche</v>
      </c>
      <c r="F463" s="2"/>
      <c r="G463" s="2"/>
      <c r="H463" s="2"/>
      <c r="I463" s="2"/>
      <c r="J463" s="2"/>
      <c r="K463" s="2"/>
      <c r="L463" s="2"/>
      <c r="M463" s="2"/>
      <c r="N463" s="2"/>
      <c r="O463" s="2"/>
      <c r="P463" s="10"/>
      <c r="Q463" s="2"/>
      <c r="R463" s="497">
        <f t="shared" ref="R463:AW463" si="620">R246/R$509</f>
        <v>74.650878509813339</v>
      </c>
      <c r="S463" s="497">
        <f t="shared" si="620"/>
        <v>74.650878509813339</v>
      </c>
      <c r="T463" s="497">
        <f t="shared" si="620"/>
        <v>74.650878509813339</v>
      </c>
      <c r="U463" s="497">
        <f t="shared" si="620"/>
        <v>74.650878509813339</v>
      </c>
      <c r="V463" s="497">
        <f t="shared" si="620"/>
        <v>74.650878509813339</v>
      </c>
      <c r="W463" s="497">
        <f t="shared" si="620"/>
        <v>74.650878509813339</v>
      </c>
      <c r="X463" s="497">
        <f t="shared" si="620"/>
        <v>87.985551979936105</v>
      </c>
      <c r="Y463" s="497">
        <f t="shared" si="620"/>
        <v>87.985551979936105</v>
      </c>
      <c r="Z463" s="497">
        <f t="shared" si="620"/>
        <v>87.985551979936105</v>
      </c>
      <c r="AA463" s="497">
        <f t="shared" si="620"/>
        <v>87.985551979936105</v>
      </c>
      <c r="AB463" s="497">
        <f t="shared" si="620"/>
        <v>87.985551979936105</v>
      </c>
      <c r="AC463" s="497">
        <f t="shared" si="620"/>
        <v>87.985551979936105</v>
      </c>
      <c r="AD463" s="497">
        <f t="shared" si="620"/>
        <v>84.968625941029458</v>
      </c>
      <c r="AE463" s="497">
        <f t="shared" si="620"/>
        <v>84.968625941029458</v>
      </c>
      <c r="AF463" s="497">
        <f t="shared" si="620"/>
        <v>84.968625941029458</v>
      </c>
      <c r="AG463" s="497">
        <f t="shared" si="620"/>
        <v>84.968625941029458</v>
      </c>
      <c r="AH463" s="497">
        <f t="shared" si="620"/>
        <v>84.968625941029458</v>
      </c>
      <c r="AI463" s="497">
        <f t="shared" si="620"/>
        <v>84.968625941029458</v>
      </c>
      <c r="AJ463" s="497">
        <f t="shared" si="620"/>
        <v>87.914914985297983</v>
      </c>
      <c r="AK463" s="497">
        <f t="shared" si="620"/>
        <v>87.914914985297983</v>
      </c>
      <c r="AL463" s="497">
        <f t="shared" si="620"/>
        <v>87.914914985297983</v>
      </c>
      <c r="AM463" s="497">
        <f t="shared" si="620"/>
        <v>87.914914985297983</v>
      </c>
      <c r="AN463" s="527">
        <f t="shared" si="620"/>
        <v>87.914914985297983</v>
      </c>
      <c r="AO463" s="527">
        <f t="shared" si="620"/>
        <v>87.914914985297983</v>
      </c>
      <c r="AP463" s="527">
        <f t="shared" si="620"/>
        <v>85.056490731410463</v>
      </c>
      <c r="AQ463" s="527">
        <f t="shared" si="620"/>
        <v>85.056490731410463</v>
      </c>
      <c r="AR463" s="527">
        <f t="shared" si="620"/>
        <v>85.056490731410463</v>
      </c>
      <c r="AS463" s="527">
        <f t="shared" si="620"/>
        <v>85.056490731410463</v>
      </c>
      <c r="AT463" s="527">
        <f t="shared" si="620"/>
        <v>85.056490731410463</v>
      </c>
      <c r="AU463" s="527">
        <f t="shared" si="620"/>
        <v>85.056490731410463</v>
      </c>
      <c r="AV463" s="527">
        <f t="shared" si="620"/>
        <v>87.981696982562184</v>
      </c>
      <c r="AW463" s="527">
        <f t="shared" si="620"/>
        <v>87.981696982562184</v>
      </c>
      <c r="AX463" s="527">
        <f t="shared" ref="AX463:BY463" si="621">AX246/AX$509</f>
        <v>87.981696982562184</v>
      </c>
      <c r="AY463" s="527">
        <f t="shared" si="621"/>
        <v>87.981696982562184</v>
      </c>
      <c r="AZ463" s="527">
        <f t="shared" si="621"/>
        <v>87.981696982562184</v>
      </c>
      <c r="BA463" s="527">
        <f t="shared" si="621"/>
        <v>87.981696982562184</v>
      </c>
      <c r="BB463" s="527">
        <f t="shared" si="621"/>
        <v>85.314044665780031</v>
      </c>
      <c r="BC463" s="527">
        <f t="shared" si="621"/>
        <v>85.314044665780031</v>
      </c>
      <c r="BD463" s="527">
        <f t="shared" si="621"/>
        <v>85.314044665780031</v>
      </c>
      <c r="BE463" s="527">
        <f t="shared" si="621"/>
        <v>85.314044665780031</v>
      </c>
      <c r="BF463" s="527">
        <f t="shared" si="621"/>
        <v>85.314044665780031</v>
      </c>
      <c r="BG463" s="527">
        <f t="shared" si="621"/>
        <v>85.314044665780031</v>
      </c>
      <c r="BH463" s="527">
        <f t="shared" si="621"/>
        <v>88.225510186801159</v>
      </c>
      <c r="BI463" s="527">
        <f t="shared" si="621"/>
        <v>88.225510186801159</v>
      </c>
      <c r="BJ463" s="527">
        <f t="shared" si="621"/>
        <v>88.225510186801159</v>
      </c>
      <c r="BK463" s="527">
        <f t="shared" si="621"/>
        <v>88.225510186801159</v>
      </c>
      <c r="BL463" s="527">
        <f t="shared" si="621"/>
        <v>88.225510186801159</v>
      </c>
      <c r="BM463" s="527">
        <f t="shared" si="621"/>
        <v>88.225510186801159</v>
      </c>
      <c r="BN463" s="527">
        <f t="shared" si="621"/>
        <v>85.600402181996898</v>
      </c>
      <c r="BO463" s="527">
        <f t="shared" si="621"/>
        <v>85.600402181996898</v>
      </c>
      <c r="BP463" s="527">
        <f t="shared" si="621"/>
        <v>85.600402181996898</v>
      </c>
      <c r="BQ463" s="527">
        <f t="shared" si="621"/>
        <v>85.600402181996898</v>
      </c>
      <c r="BR463" s="527">
        <f t="shared" si="621"/>
        <v>85.600402181996898</v>
      </c>
      <c r="BS463" s="527">
        <f t="shared" si="621"/>
        <v>85.600402181996898</v>
      </c>
      <c r="BT463" s="527">
        <f t="shared" si="621"/>
        <v>88.499126458437289</v>
      </c>
      <c r="BU463" s="527">
        <f t="shared" si="621"/>
        <v>88.499126458437289</v>
      </c>
      <c r="BV463" s="527">
        <f t="shared" si="621"/>
        <v>88.499126458437289</v>
      </c>
      <c r="BW463" s="527">
        <f t="shared" si="621"/>
        <v>88.499126458437289</v>
      </c>
      <c r="BX463" s="527">
        <f t="shared" si="621"/>
        <v>88.499126458437289</v>
      </c>
      <c r="BY463" s="527">
        <f t="shared" si="621"/>
        <v>88.499126458437289</v>
      </c>
    </row>
    <row r="464" spans="1:77" x14ac:dyDescent="0.3">
      <c r="C464" s="2"/>
      <c r="D464" s="2"/>
      <c r="E464" s="143" t="str">
        <f>"Volumes: "&amp;E$156</f>
        <v>Volumes: FY28 Tranche</v>
      </c>
      <c r="F464" s="2"/>
      <c r="G464" s="2"/>
      <c r="H464" s="2"/>
      <c r="I464" s="2"/>
      <c r="J464" s="2"/>
      <c r="K464" s="2"/>
      <c r="L464" s="2"/>
      <c r="M464" s="2"/>
      <c r="N464" s="2"/>
      <c r="O464" s="2"/>
      <c r="P464" s="10"/>
      <c r="Q464" s="2"/>
      <c r="R464" s="497">
        <f t="shared" ref="R464:AW464" si="622">R247/R$509</f>
        <v>74.650878509813339</v>
      </c>
      <c r="S464" s="497">
        <f t="shared" si="622"/>
        <v>74.650878509813339</v>
      </c>
      <c r="T464" s="497">
        <f t="shared" si="622"/>
        <v>74.650878509813339</v>
      </c>
      <c r="U464" s="497">
        <f t="shared" si="622"/>
        <v>74.650878509813339</v>
      </c>
      <c r="V464" s="497">
        <f t="shared" si="622"/>
        <v>74.650878509813339</v>
      </c>
      <c r="W464" s="497">
        <f t="shared" si="622"/>
        <v>74.650878509813339</v>
      </c>
      <c r="X464" s="497">
        <f t="shared" si="622"/>
        <v>74.650878509813339</v>
      </c>
      <c r="Y464" s="497">
        <f t="shared" si="622"/>
        <v>74.650878509813339</v>
      </c>
      <c r="Z464" s="497">
        <f t="shared" si="622"/>
        <v>74.650878509813339</v>
      </c>
      <c r="AA464" s="497">
        <f t="shared" si="622"/>
        <v>74.650878509813339</v>
      </c>
      <c r="AB464" s="497">
        <f t="shared" si="622"/>
        <v>74.650878509813339</v>
      </c>
      <c r="AC464" s="497">
        <f t="shared" si="622"/>
        <v>74.650878509813339</v>
      </c>
      <c r="AD464" s="497">
        <f t="shared" si="622"/>
        <v>74.650878509813339</v>
      </c>
      <c r="AE464" s="497">
        <f t="shared" si="622"/>
        <v>74.650878509813339</v>
      </c>
      <c r="AF464" s="497">
        <f t="shared" si="622"/>
        <v>74.650878509813339</v>
      </c>
      <c r="AG464" s="497">
        <f t="shared" si="622"/>
        <v>74.650878509813339</v>
      </c>
      <c r="AH464" s="497">
        <f t="shared" si="622"/>
        <v>74.650878509813339</v>
      </c>
      <c r="AI464" s="497">
        <f t="shared" si="622"/>
        <v>74.650878509813339</v>
      </c>
      <c r="AJ464" s="497">
        <f t="shared" si="622"/>
        <v>87.656540436924487</v>
      </c>
      <c r="AK464" s="497">
        <f t="shared" si="622"/>
        <v>87.656540436924487</v>
      </c>
      <c r="AL464" s="497">
        <f t="shared" si="622"/>
        <v>87.656540436924487</v>
      </c>
      <c r="AM464" s="497">
        <f t="shared" si="622"/>
        <v>87.656540436924487</v>
      </c>
      <c r="AN464" s="527">
        <f t="shared" si="622"/>
        <v>87.656540436924487</v>
      </c>
      <c r="AO464" s="527">
        <f t="shared" si="622"/>
        <v>87.656540436924487</v>
      </c>
      <c r="AP464" s="527">
        <f t="shared" si="622"/>
        <v>84.809831409527177</v>
      </c>
      <c r="AQ464" s="527">
        <f t="shared" si="622"/>
        <v>84.809831409527177</v>
      </c>
      <c r="AR464" s="527">
        <f t="shared" si="622"/>
        <v>84.809831409527177</v>
      </c>
      <c r="AS464" s="527">
        <f t="shared" si="622"/>
        <v>84.809831409527177</v>
      </c>
      <c r="AT464" s="527">
        <f t="shared" si="622"/>
        <v>84.809831409527177</v>
      </c>
      <c r="AU464" s="527">
        <f t="shared" si="622"/>
        <v>84.809831409527177</v>
      </c>
      <c r="AV464" s="527">
        <f t="shared" si="622"/>
        <v>87.725171287803562</v>
      </c>
      <c r="AW464" s="527">
        <f t="shared" si="622"/>
        <v>87.725171287803562</v>
      </c>
      <c r="AX464" s="527">
        <f t="shared" ref="AX464:BY464" si="623">AX247/AX$509</f>
        <v>87.725171287803562</v>
      </c>
      <c r="AY464" s="527">
        <f t="shared" si="623"/>
        <v>87.725171287803562</v>
      </c>
      <c r="AZ464" s="527">
        <f t="shared" si="623"/>
        <v>87.725171287803562</v>
      </c>
      <c r="BA464" s="527">
        <f t="shared" si="623"/>
        <v>87.725171287803562</v>
      </c>
      <c r="BB464" s="527">
        <f t="shared" si="623"/>
        <v>85.068543990120347</v>
      </c>
      <c r="BC464" s="527">
        <f t="shared" si="623"/>
        <v>85.068543990120347</v>
      </c>
      <c r="BD464" s="527">
        <f t="shared" si="623"/>
        <v>85.068543990120347</v>
      </c>
      <c r="BE464" s="527">
        <f t="shared" si="623"/>
        <v>85.068543990120347</v>
      </c>
      <c r="BF464" s="527">
        <f t="shared" si="623"/>
        <v>85.068543990120347</v>
      </c>
      <c r="BG464" s="527">
        <f t="shared" si="623"/>
        <v>85.068543990120347</v>
      </c>
      <c r="BH464" s="527">
        <f t="shared" si="623"/>
        <v>87.97018948411511</v>
      </c>
      <c r="BI464" s="527">
        <f t="shared" si="623"/>
        <v>87.97018948411511</v>
      </c>
      <c r="BJ464" s="527">
        <f t="shared" si="623"/>
        <v>87.97018948411511</v>
      </c>
      <c r="BK464" s="527">
        <f t="shared" si="623"/>
        <v>87.97018948411511</v>
      </c>
      <c r="BL464" s="527">
        <f t="shared" si="623"/>
        <v>87.97018948411511</v>
      </c>
      <c r="BM464" s="527">
        <f t="shared" si="623"/>
        <v>87.97018948411511</v>
      </c>
      <c r="BN464" s="527">
        <f t="shared" si="623"/>
        <v>85.355975873912854</v>
      </c>
      <c r="BO464" s="527">
        <f t="shared" si="623"/>
        <v>85.355975873912854</v>
      </c>
      <c r="BP464" s="527">
        <f t="shared" si="623"/>
        <v>85.355975873912854</v>
      </c>
      <c r="BQ464" s="527">
        <f t="shared" si="623"/>
        <v>85.355975873912854</v>
      </c>
      <c r="BR464" s="527">
        <f t="shared" si="623"/>
        <v>85.355975873912854</v>
      </c>
      <c r="BS464" s="527">
        <f t="shared" si="623"/>
        <v>85.355975873912854</v>
      </c>
      <c r="BT464" s="527">
        <f t="shared" si="623"/>
        <v>88.244923098029872</v>
      </c>
      <c r="BU464" s="527">
        <f t="shared" si="623"/>
        <v>88.244923098029872</v>
      </c>
      <c r="BV464" s="527">
        <f t="shared" si="623"/>
        <v>88.244923098029872</v>
      </c>
      <c r="BW464" s="527">
        <f t="shared" si="623"/>
        <v>88.244923098029872</v>
      </c>
      <c r="BX464" s="527">
        <f t="shared" si="623"/>
        <v>88.244923098029872</v>
      </c>
      <c r="BY464" s="527">
        <f t="shared" si="623"/>
        <v>88.244923098029872</v>
      </c>
    </row>
    <row r="465" spans="3:77" x14ac:dyDescent="0.3">
      <c r="C465" s="2"/>
      <c r="D465" s="2"/>
      <c r="E465" s="143" t="str">
        <f>"Volumes: "&amp;E$157</f>
        <v>Volumes: FY29 Tranche</v>
      </c>
      <c r="F465" s="2"/>
      <c r="G465" s="2"/>
      <c r="H465" s="2"/>
      <c r="I465" s="2"/>
      <c r="J465" s="2"/>
      <c r="K465" s="2"/>
      <c r="L465" s="2"/>
      <c r="M465" s="2"/>
      <c r="N465" s="2"/>
      <c r="O465" s="2"/>
      <c r="P465" s="10"/>
      <c r="Q465" s="2"/>
      <c r="R465" s="497">
        <f t="shared" ref="R465:AW465" si="624">R248/R$509</f>
        <v>74.650878509813339</v>
      </c>
      <c r="S465" s="497">
        <f t="shared" si="624"/>
        <v>74.650878509813339</v>
      </c>
      <c r="T465" s="497">
        <f t="shared" si="624"/>
        <v>74.650878509813339</v>
      </c>
      <c r="U465" s="497">
        <f t="shared" si="624"/>
        <v>74.650878509813339</v>
      </c>
      <c r="V465" s="497">
        <f t="shared" si="624"/>
        <v>74.650878509813339</v>
      </c>
      <c r="W465" s="497">
        <f t="shared" si="624"/>
        <v>74.650878509813339</v>
      </c>
      <c r="X465" s="497">
        <f t="shared" si="624"/>
        <v>74.650878509813339</v>
      </c>
      <c r="Y465" s="497">
        <f t="shared" si="624"/>
        <v>74.650878509813339</v>
      </c>
      <c r="Z465" s="497">
        <f t="shared" si="624"/>
        <v>74.650878509813339</v>
      </c>
      <c r="AA465" s="497">
        <f t="shared" si="624"/>
        <v>74.650878509813339</v>
      </c>
      <c r="AB465" s="497">
        <f t="shared" si="624"/>
        <v>74.650878509813339</v>
      </c>
      <c r="AC465" s="497">
        <f t="shared" si="624"/>
        <v>74.650878509813339</v>
      </c>
      <c r="AD465" s="497">
        <f t="shared" si="624"/>
        <v>74.650878509813339</v>
      </c>
      <c r="AE465" s="497">
        <f t="shared" si="624"/>
        <v>74.650878509813339</v>
      </c>
      <c r="AF465" s="497">
        <f t="shared" si="624"/>
        <v>74.650878509813339</v>
      </c>
      <c r="AG465" s="497">
        <f t="shared" si="624"/>
        <v>74.650878509813339</v>
      </c>
      <c r="AH465" s="497">
        <f t="shared" si="624"/>
        <v>74.650878509813339</v>
      </c>
      <c r="AI465" s="497">
        <f t="shared" si="624"/>
        <v>74.650878509813339</v>
      </c>
      <c r="AJ465" s="497">
        <f t="shared" si="624"/>
        <v>74.650878509813339</v>
      </c>
      <c r="AK465" s="497">
        <f t="shared" si="624"/>
        <v>74.650878509813339</v>
      </c>
      <c r="AL465" s="497">
        <f t="shared" si="624"/>
        <v>74.650878509813339</v>
      </c>
      <c r="AM465" s="497">
        <f t="shared" si="624"/>
        <v>74.650878509813339</v>
      </c>
      <c r="AN465" s="527">
        <f t="shared" si="624"/>
        <v>74.650878509813339</v>
      </c>
      <c r="AO465" s="527">
        <f t="shared" si="624"/>
        <v>74.650878509813339</v>
      </c>
      <c r="AP465" s="527">
        <f t="shared" si="624"/>
        <v>74.650878509813339</v>
      </c>
      <c r="AQ465" s="527">
        <f t="shared" si="624"/>
        <v>74.650878509813339</v>
      </c>
      <c r="AR465" s="527">
        <f t="shared" si="624"/>
        <v>74.650878509813339</v>
      </c>
      <c r="AS465" s="527">
        <f t="shared" si="624"/>
        <v>74.650878509813339</v>
      </c>
      <c r="AT465" s="527">
        <f t="shared" si="624"/>
        <v>74.650878509813339</v>
      </c>
      <c r="AU465" s="527">
        <f t="shared" si="624"/>
        <v>74.650878509813339</v>
      </c>
      <c r="AV465" s="527">
        <f t="shared" si="624"/>
        <v>87.345630458285527</v>
      </c>
      <c r="AW465" s="527">
        <f t="shared" si="624"/>
        <v>87.345630458285527</v>
      </c>
      <c r="AX465" s="527">
        <f t="shared" ref="AX465:BY465" si="625">AX248/AX$509</f>
        <v>87.345630458285527</v>
      </c>
      <c r="AY465" s="527">
        <f t="shared" si="625"/>
        <v>87.345630458285527</v>
      </c>
      <c r="AZ465" s="527">
        <f t="shared" si="625"/>
        <v>87.345630458285527</v>
      </c>
      <c r="BA465" s="527">
        <f t="shared" si="625"/>
        <v>87.345630458285527</v>
      </c>
      <c r="BB465" s="527">
        <f t="shared" si="625"/>
        <v>84.705315151875553</v>
      </c>
      <c r="BC465" s="527">
        <f t="shared" si="625"/>
        <v>84.705315151875553</v>
      </c>
      <c r="BD465" s="527">
        <f t="shared" si="625"/>
        <v>84.705315151875553</v>
      </c>
      <c r="BE465" s="527">
        <f t="shared" si="625"/>
        <v>84.705315151875553</v>
      </c>
      <c r="BF465" s="527">
        <f t="shared" si="625"/>
        <v>84.705315151875553</v>
      </c>
      <c r="BG465" s="527">
        <f t="shared" si="625"/>
        <v>84.705315151875553</v>
      </c>
      <c r="BH465" s="527">
        <f t="shared" si="625"/>
        <v>87.592431492340538</v>
      </c>
      <c r="BI465" s="527">
        <f t="shared" si="625"/>
        <v>87.592431492340538</v>
      </c>
      <c r="BJ465" s="527">
        <f t="shared" si="625"/>
        <v>87.592431492340538</v>
      </c>
      <c r="BK465" s="527">
        <f t="shared" si="625"/>
        <v>87.592431492340538</v>
      </c>
      <c r="BL465" s="527">
        <f t="shared" si="625"/>
        <v>87.592431492340538</v>
      </c>
      <c r="BM465" s="527">
        <f t="shared" si="625"/>
        <v>87.592431492340538</v>
      </c>
      <c r="BN465" s="527">
        <f t="shared" si="625"/>
        <v>84.994336608834388</v>
      </c>
      <c r="BO465" s="527">
        <f t="shared" si="625"/>
        <v>84.994336608834388</v>
      </c>
      <c r="BP465" s="527">
        <f t="shared" si="625"/>
        <v>84.994336608834388</v>
      </c>
      <c r="BQ465" s="527">
        <f t="shared" si="625"/>
        <v>84.994336608834388</v>
      </c>
      <c r="BR465" s="527">
        <f t="shared" si="625"/>
        <v>84.994336608834388</v>
      </c>
      <c r="BS465" s="527">
        <f t="shared" si="625"/>
        <v>84.994336608834388</v>
      </c>
      <c r="BT465" s="527">
        <f t="shared" si="625"/>
        <v>87.868818262348242</v>
      </c>
      <c r="BU465" s="527">
        <f t="shared" si="625"/>
        <v>87.868818262348242</v>
      </c>
      <c r="BV465" s="527">
        <f t="shared" si="625"/>
        <v>87.868818262348242</v>
      </c>
      <c r="BW465" s="527">
        <f t="shared" si="625"/>
        <v>87.868818262348242</v>
      </c>
      <c r="BX465" s="527">
        <f t="shared" si="625"/>
        <v>87.868818262348242</v>
      </c>
      <c r="BY465" s="527">
        <f t="shared" si="625"/>
        <v>87.868818262348242</v>
      </c>
    </row>
    <row r="466" spans="3:77" x14ac:dyDescent="0.3">
      <c r="C466" s="2"/>
      <c r="D466" s="2"/>
      <c r="E466" s="143" t="str">
        <f>"Volumes: "&amp;E$158</f>
        <v>Volumes: FY30 Tranche</v>
      </c>
      <c r="F466" s="2"/>
      <c r="G466" s="2"/>
      <c r="H466" s="2"/>
      <c r="I466" s="2"/>
      <c r="J466" s="2"/>
      <c r="K466" s="2"/>
      <c r="L466" s="2"/>
      <c r="M466" s="2"/>
      <c r="N466" s="2"/>
      <c r="O466" s="2"/>
      <c r="P466" s="10"/>
      <c r="Q466" s="2"/>
      <c r="R466" s="497">
        <f t="shared" ref="R466:AW466" si="626">R249/R$509</f>
        <v>74.650878509813339</v>
      </c>
      <c r="S466" s="497">
        <f t="shared" si="626"/>
        <v>74.650878509813339</v>
      </c>
      <c r="T466" s="497">
        <f t="shared" si="626"/>
        <v>74.650878509813339</v>
      </c>
      <c r="U466" s="497">
        <f t="shared" si="626"/>
        <v>74.650878509813339</v>
      </c>
      <c r="V466" s="497">
        <f t="shared" si="626"/>
        <v>74.650878509813339</v>
      </c>
      <c r="W466" s="497">
        <f t="shared" si="626"/>
        <v>74.650878509813339</v>
      </c>
      <c r="X466" s="497">
        <f t="shared" si="626"/>
        <v>74.650878509813339</v>
      </c>
      <c r="Y466" s="497">
        <f t="shared" si="626"/>
        <v>74.650878509813339</v>
      </c>
      <c r="Z466" s="497">
        <f t="shared" si="626"/>
        <v>74.650878509813339</v>
      </c>
      <c r="AA466" s="497">
        <f t="shared" si="626"/>
        <v>74.650878509813339</v>
      </c>
      <c r="AB466" s="497">
        <f t="shared" si="626"/>
        <v>74.650878509813339</v>
      </c>
      <c r="AC466" s="497">
        <f t="shared" si="626"/>
        <v>74.650878509813339</v>
      </c>
      <c r="AD466" s="497">
        <f t="shared" si="626"/>
        <v>74.650878509813339</v>
      </c>
      <c r="AE466" s="497">
        <f t="shared" si="626"/>
        <v>74.650878509813339</v>
      </c>
      <c r="AF466" s="497">
        <f t="shared" si="626"/>
        <v>74.650878509813339</v>
      </c>
      <c r="AG466" s="497">
        <f t="shared" si="626"/>
        <v>74.650878509813339</v>
      </c>
      <c r="AH466" s="497">
        <f t="shared" si="626"/>
        <v>74.650878509813339</v>
      </c>
      <c r="AI466" s="497">
        <f t="shared" si="626"/>
        <v>74.650878509813339</v>
      </c>
      <c r="AJ466" s="497">
        <f t="shared" si="626"/>
        <v>74.650878509813339</v>
      </c>
      <c r="AK466" s="497">
        <f t="shared" si="626"/>
        <v>74.650878509813339</v>
      </c>
      <c r="AL466" s="497">
        <f t="shared" si="626"/>
        <v>74.650878509813339</v>
      </c>
      <c r="AM466" s="497">
        <f t="shared" si="626"/>
        <v>74.650878509813339</v>
      </c>
      <c r="AN466" s="527">
        <f t="shared" si="626"/>
        <v>74.650878509813339</v>
      </c>
      <c r="AO466" s="527">
        <f t="shared" si="626"/>
        <v>74.650878509813339</v>
      </c>
      <c r="AP466" s="527">
        <f t="shared" si="626"/>
        <v>74.650878509813339</v>
      </c>
      <c r="AQ466" s="527">
        <f t="shared" si="626"/>
        <v>74.650878509813339</v>
      </c>
      <c r="AR466" s="527">
        <f t="shared" si="626"/>
        <v>74.650878509813339</v>
      </c>
      <c r="AS466" s="527">
        <f t="shared" si="626"/>
        <v>74.650878509813339</v>
      </c>
      <c r="AT466" s="527">
        <f t="shared" si="626"/>
        <v>74.650878509813339</v>
      </c>
      <c r="AU466" s="527">
        <f t="shared" si="626"/>
        <v>74.650878509813339</v>
      </c>
      <c r="AV466" s="527">
        <f t="shared" si="626"/>
        <v>74.650878509813339</v>
      </c>
      <c r="AW466" s="527">
        <f t="shared" si="626"/>
        <v>74.650878509813339</v>
      </c>
      <c r="AX466" s="527">
        <f t="shared" ref="AX466:BY466" si="627">AX249/AX$509</f>
        <v>74.650878509813339</v>
      </c>
      <c r="AY466" s="527">
        <f t="shared" si="627"/>
        <v>74.650878509813339</v>
      </c>
      <c r="AZ466" s="527">
        <f t="shared" si="627"/>
        <v>74.650878509813339</v>
      </c>
      <c r="BA466" s="527">
        <f t="shared" si="627"/>
        <v>74.650878509813339</v>
      </c>
      <c r="BB466" s="527">
        <f t="shared" si="627"/>
        <v>74.650878509813353</v>
      </c>
      <c r="BC466" s="527">
        <f t="shared" si="627"/>
        <v>74.650878509813353</v>
      </c>
      <c r="BD466" s="527">
        <f t="shared" si="627"/>
        <v>74.650878509813353</v>
      </c>
      <c r="BE466" s="527">
        <f t="shared" si="627"/>
        <v>74.650878509813353</v>
      </c>
      <c r="BF466" s="527">
        <f t="shared" si="627"/>
        <v>74.650878509813353</v>
      </c>
      <c r="BG466" s="527">
        <f t="shared" si="627"/>
        <v>74.650878509813353</v>
      </c>
      <c r="BH466" s="527">
        <f t="shared" si="627"/>
        <v>87.051248246217085</v>
      </c>
      <c r="BI466" s="527">
        <f t="shared" si="627"/>
        <v>87.051248246217085</v>
      </c>
      <c r="BJ466" s="527">
        <f t="shared" si="627"/>
        <v>87.051248246217085</v>
      </c>
      <c r="BK466" s="527">
        <f t="shared" si="627"/>
        <v>87.051248246217085</v>
      </c>
      <c r="BL466" s="527">
        <f t="shared" si="627"/>
        <v>87.051248246217085</v>
      </c>
      <c r="BM466" s="527">
        <f t="shared" si="627"/>
        <v>87.051248246217085</v>
      </c>
      <c r="BN466" s="527">
        <f t="shared" si="627"/>
        <v>84.476245355538921</v>
      </c>
      <c r="BO466" s="527">
        <f t="shared" si="627"/>
        <v>84.476245355538921</v>
      </c>
      <c r="BP466" s="527">
        <f t="shared" si="627"/>
        <v>84.476245355538921</v>
      </c>
      <c r="BQ466" s="527">
        <f t="shared" si="627"/>
        <v>84.476245355538921</v>
      </c>
      <c r="BR466" s="527">
        <f t="shared" si="627"/>
        <v>84.476245355538921</v>
      </c>
      <c r="BS466" s="527">
        <f t="shared" si="627"/>
        <v>84.476245355538921</v>
      </c>
      <c r="BT466" s="527">
        <f t="shared" si="627"/>
        <v>87.330003358920976</v>
      </c>
      <c r="BU466" s="527">
        <f t="shared" si="627"/>
        <v>87.330003358920976</v>
      </c>
      <c r="BV466" s="527">
        <f t="shared" si="627"/>
        <v>87.330003358920976</v>
      </c>
      <c r="BW466" s="527">
        <f t="shared" si="627"/>
        <v>87.330003358920976</v>
      </c>
      <c r="BX466" s="527">
        <f t="shared" si="627"/>
        <v>87.330003358920976</v>
      </c>
      <c r="BY466" s="527">
        <f t="shared" si="627"/>
        <v>87.330003358920976</v>
      </c>
    </row>
    <row r="467" spans="3:77" x14ac:dyDescent="0.3">
      <c r="C467" s="2"/>
      <c r="D467" s="2"/>
      <c r="E467" s="143" t="str">
        <f>"Volumes: "&amp;E$159</f>
        <v>Volumes: FY31 Tranche</v>
      </c>
      <c r="F467" s="2"/>
      <c r="G467" s="2"/>
      <c r="H467" s="2"/>
      <c r="I467" s="2"/>
      <c r="J467" s="2"/>
      <c r="K467" s="2"/>
      <c r="L467" s="2"/>
      <c r="M467" s="2"/>
      <c r="N467" s="2"/>
      <c r="O467" s="2"/>
      <c r="P467" s="10"/>
      <c r="Q467" s="2"/>
      <c r="R467" s="497">
        <f t="shared" ref="R467:AW467" si="628">R250/R$509</f>
        <v>74.650878509813339</v>
      </c>
      <c r="S467" s="497">
        <f t="shared" si="628"/>
        <v>74.650878509813339</v>
      </c>
      <c r="T467" s="497">
        <f t="shared" si="628"/>
        <v>74.650878509813339</v>
      </c>
      <c r="U467" s="497">
        <f t="shared" si="628"/>
        <v>74.650878509813339</v>
      </c>
      <c r="V467" s="497">
        <f t="shared" si="628"/>
        <v>74.650878509813339</v>
      </c>
      <c r="W467" s="497">
        <f t="shared" si="628"/>
        <v>74.650878509813339</v>
      </c>
      <c r="X467" s="497">
        <f t="shared" si="628"/>
        <v>74.650878509813339</v>
      </c>
      <c r="Y467" s="497">
        <f t="shared" si="628"/>
        <v>74.650878509813339</v>
      </c>
      <c r="Z467" s="497">
        <f t="shared" si="628"/>
        <v>74.650878509813339</v>
      </c>
      <c r="AA467" s="497">
        <f t="shared" si="628"/>
        <v>74.650878509813339</v>
      </c>
      <c r="AB467" s="497">
        <f t="shared" si="628"/>
        <v>74.650878509813339</v>
      </c>
      <c r="AC467" s="497">
        <f t="shared" si="628"/>
        <v>74.650878509813339</v>
      </c>
      <c r="AD467" s="497">
        <f t="shared" si="628"/>
        <v>74.650878509813339</v>
      </c>
      <c r="AE467" s="497">
        <f t="shared" si="628"/>
        <v>74.650878509813339</v>
      </c>
      <c r="AF467" s="497">
        <f t="shared" si="628"/>
        <v>74.650878509813339</v>
      </c>
      <c r="AG467" s="497">
        <f t="shared" si="628"/>
        <v>74.650878509813339</v>
      </c>
      <c r="AH467" s="497">
        <f t="shared" si="628"/>
        <v>74.650878509813339</v>
      </c>
      <c r="AI467" s="497">
        <f t="shared" si="628"/>
        <v>74.650878509813339</v>
      </c>
      <c r="AJ467" s="497">
        <f t="shared" si="628"/>
        <v>74.650878509813339</v>
      </c>
      <c r="AK467" s="497">
        <f t="shared" si="628"/>
        <v>74.650878509813339</v>
      </c>
      <c r="AL467" s="497">
        <f t="shared" si="628"/>
        <v>74.650878509813339</v>
      </c>
      <c r="AM467" s="497">
        <f t="shared" si="628"/>
        <v>74.650878509813339</v>
      </c>
      <c r="AN467" s="527">
        <f t="shared" si="628"/>
        <v>74.650878509813339</v>
      </c>
      <c r="AO467" s="527">
        <f t="shared" si="628"/>
        <v>74.650878509813339</v>
      </c>
      <c r="AP467" s="527">
        <f t="shared" si="628"/>
        <v>74.650878509813339</v>
      </c>
      <c r="AQ467" s="527">
        <f t="shared" si="628"/>
        <v>74.650878509813339</v>
      </c>
      <c r="AR467" s="527">
        <f t="shared" si="628"/>
        <v>74.650878509813339</v>
      </c>
      <c r="AS467" s="527">
        <f t="shared" si="628"/>
        <v>74.650878509813339</v>
      </c>
      <c r="AT467" s="527">
        <f t="shared" si="628"/>
        <v>74.650878509813339</v>
      </c>
      <c r="AU467" s="527">
        <f t="shared" si="628"/>
        <v>74.650878509813339</v>
      </c>
      <c r="AV467" s="527">
        <f t="shared" si="628"/>
        <v>74.650878509813339</v>
      </c>
      <c r="AW467" s="527">
        <f t="shared" si="628"/>
        <v>74.650878509813339</v>
      </c>
      <c r="AX467" s="527">
        <f t="shared" ref="AX467:BY467" si="629">AX250/AX$509</f>
        <v>74.650878509813339</v>
      </c>
      <c r="AY467" s="527">
        <f t="shared" si="629"/>
        <v>74.650878509813339</v>
      </c>
      <c r="AZ467" s="527">
        <f t="shared" si="629"/>
        <v>74.650878509813339</v>
      </c>
      <c r="BA467" s="527">
        <f t="shared" si="629"/>
        <v>74.650878509813339</v>
      </c>
      <c r="BB467" s="527">
        <f t="shared" si="629"/>
        <v>74.650878509813353</v>
      </c>
      <c r="BC467" s="527">
        <f t="shared" si="629"/>
        <v>74.650878509813353</v>
      </c>
      <c r="BD467" s="527">
        <f t="shared" si="629"/>
        <v>74.650878509813353</v>
      </c>
      <c r="BE467" s="527">
        <f t="shared" si="629"/>
        <v>74.650878509813353</v>
      </c>
      <c r="BF467" s="527">
        <f t="shared" si="629"/>
        <v>74.650878509813353</v>
      </c>
      <c r="BG467" s="527">
        <f t="shared" si="629"/>
        <v>74.650878509813353</v>
      </c>
      <c r="BH467" s="527">
        <f t="shared" si="629"/>
        <v>74.650878509813353</v>
      </c>
      <c r="BI467" s="527">
        <f t="shared" si="629"/>
        <v>74.650878509813353</v>
      </c>
      <c r="BJ467" s="527">
        <f t="shared" si="629"/>
        <v>74.650878509813353</v>
      </c>
      <c r="BK467" s="527">
        <f t="shared" si="629"/>
        <v>74.650878509813353</v>
      </c>
      <c r="BL467" s="527">
        <f t="shared" si="629"/>
        <v>74.650878509813353</v>
      </c>
      <c r="BM467" s="527">
        <f t="shared" si="629"/>
        <v>74.650878509813353</v>
      </c>
      <c r="BN467" s="527">
        <f t="shared" si="629"/>
        <v>74.650878509813339</v>
      </c>
      <c r="BO467" s="527">
        <f t="shared" si="629"/>
        <v>74.650878509813339</v>
      </c>
      <c r="BP467" s="527">
        <f t="shared" si="629"/>
        <v>74.650878509813339</v>
      </c>
      <c r="BQ467" s="527">
        <f t="shared" si="629"/>
        <v>74.650878509813339</v>
      </c>
      <c r="BR467" s="527">
        <f t="shared" si="629"/>
        <v>74.650878509813339</v>
      </c>
      <c r="BS467" s="527">
        <f t="shared" si="629"/>
        <v>74.650878509813339</v>
      </c>
      <c r="BT467" s="527">
        <f t="shared" si="629"/>
        <v>86.753810354591067</v>
      </c>
      <c r="BU467" s="527">
        <f t="shared" si="629"/>
        <v>86.753810354591067</v>
      </c>
      <c r="BV467" s="527">
        <f t="shared" si="629"/>
        <v>86.753810354591067</v>
      </c>
      <c r="BW467" s="527">
        <f t="shared" si="629"/>
        <v>86.753810354591067</v>
      </c>
      <c r="BX467" s="527">
        <f t="shared" si="629"/>
        <v>86.753810354591067</v>
      </c>
      <c r="BY467" s="527">
        <f t="shared" si="629"/>
        <v>86.753810354591067</v>
      </c>
    </row>
    <row r="468" spans="3:77" x14ac:dyDescent="0.3">
      <c r="C468" s="2"/>
      <c r="D468" s="2"/>
      <c r="E468" s="143" t="str">
        <f>"Volumes: "&amp;E$160</f>
        <v>Volumes: Uninvested Tranche</v>
      </c>
      <c r="F468" s="2"/>
      <c r="G468" s="2"/>
      <c r="H468" s="2"/>
      <c r="I468" s="2"/>
      <c r="J468" s="2"/>
      <c r="K468" s="2"/>
      <c r="L468" s="2"/>
      <c r="M468" s="2"/>
      <c r="N468" s="2"/>
      <c r="O468" s="2"/>
      <c r="P468" s="10"/>
      <c r="Q468" s="2"/>
      <c r="R468" s="497">
        <f t="shared" ref="R468:AW468" si="630">R251/R$509</f>
        <v>209.02245982747741</v>
      </c>
      <c r="S468" s="497">
        <f t="shared" si="630"/>
        <v>209.02245982747741</v>
      </c>
      <c r="T468" s="497">
        <f t="shared" si="630"/>
        <v>209.02245982747741</v>
      </c>
      <c r="U468" s="497">
        <f t="shared" si="630"/>
        <v>209.02245982747741</v>
      </c>
      <c r="V468" s="497">
        <f t="shared" si="630"/>
        <v>209.02245982747741</v>
      </c>
      <c r="W468" s="497">
        <f t="shared" si="630"/>
        <v>209.02245982747741</v>
      </c>
      <c r="X468" s="497">
        <f t="shared" si="630"/>
        <v>209.02245982747741</v>
      </c>
      <c r="Y468" s="497">
        <f t="shared" si="630"/>
        <v>209.02245982747741</v>
      </c>
      <c r="Z468" s="497">
        <f t="shared" si="630"/>
        <v>209.02245982747741</v>
      </c>
      <c r="AA468" s="497">
        <f t="shared" si="630"/>
        <v>209.02245982747741</v>
      </c>
      <c r="AB468" s="497">
        <f t="shared" si="630"/>
        <v>209.02245982747741</v>
      </c>
      <c r="AC468" s="497">
        <f t="shared" si="630"/>
        <v>209.02245982747741</v>
      </c>
      <c r="AD468" s="497">
        <f t="shared" si="630"/>
        <v>209.02245982747735</v>
      </c>
      <c r="AE468" s="497">
        <f t="shared" si="630"/>
        <v>209.02245982747735</v>
      </c>
      <c r="AF468" s="497">
        <f t="shared" si="630"/>
        <v>209.02245982747735</v>
      </c>
      <c r="AG468" s="497">
        <f t="shared" si="630"/>
        <v>209.02245982747735</v>
      </c>
      <c r="AH468" s="497">
        <f t="shared" si="630"/>
        <v>209.02245982747735</v>
      </c>
      <c r="AI468" s="497">
        <f t="shared" si="630"/>
        <v>209.02245982747735</v>
      </c>
      <c r="AJ468" s="497">
        <f t="shared" si="630"/>
        <v>209.02245982747735</v>
      </c>
      <c r="AK468" s="497">
        <f t="shared" si="630"/>
        <v>209.02245982747735</v>
      </c>
      <c r="AL468" s="497">
        <f t="shared" si="630"/>
        <v>209.02245982747735</v>
      </c>
      <c r="AM468" s="497">
        <f t="shared" si="630"/>
        <v>209.02245982747735</v>
      </c>
      <c r="AN468" s="527">
        <f t="shared" si="630"/>
        <v>209.02245982747735</v>
      </c>
      <c r="AO468" s="527">
        <f t="shared" si="630"/>
        <v>209.02245982747735</v>
      </c>
      <c r="AP468" s="527">
        <f t="shared" si="630"/>
        <v>209.02245982747738</v>
      </c>
      <c r="AQ468" s="527">
        <f t="shared" si="630"/>
        <v>209.02245982747738</v>
      </c>
      <c r="AR468" s="527">
        <f t="shared" si="630"/>
        <v>209.02245982747738</v>
      </c>
      <c r="AS468" s="527">
        <f t="shared" si="630"/>
        <v>209.02245982747738</v>
      </c>
      <c r="AT468" s="527">
        <f t="shared" si="630"/>
        <v>209.02245982747738</v>
      </c>
      <c r="AU468" s="527">
        <f t="shared" si="630"/>
        <v>209.02245982747738</v>
      </c>
      <c r="AV468" s="527">
        <f t="shared" si="630"/>
        <v>209.02245982747738</v>
      </c>
      <c r="AW468" s="527">
        <f t="shared" si="630"/>
        <v>209.02245982747738</v>
      </c>
      <c r="AX468" s="527">
        <f t="shared" ref="AX468:BY468" si="631">AX251/AX$509</f>
        <v>209.02245982747738</v>
      </c>
      <c r="AY468" s="527">
        <f t="shared" si="631"/>
        <v>209.02245982747738</v>
      </c>
      <c r="AZ468" s="527">
        <f t="shared" si="631"/>
        <v>209.02245982747738</v>
      </c>
      <c r="BA468" s="527">
        <f t="shared" si="631"/>
        <v>209.02245982747738</v>
      </c>
      <c r="BB468" s="527">
        <f t="shared" si="631"/>
        <v>209.02245982747732</v>
      </c>
      <c r="BC468" s="527">
        <f t="shared" si="631"/>
        <v>209.02245982747732</v>
      </c>
      <c r="BD468" s="527">
        <f t="shared" si="631"/>
        <v>209.02245982747732</v>
      </c>
      <c r="BE468" s="527">
        <f t="shared" si="631"/>
        <v>209.02245982747732</v>
      </c>
      <c r="BF468" s="527">
        <f t="shared" si="631"/>
        <v>209.02245982747732</v>
      </c>
      <c r="BG468" s="527">
        <f t="shared" si="631"/>
        <v>209.02245982747732</v>
      </c>
      <c r="BH468" s="527">
        <f t="shared" si="631"/>
        <v>209.02245982747732</v>
      </c>
      <c r="BI468" s="527">
        <f t="shared" si="631"/>
        <v>209.02245982747732</v>
      </c>
      <c r="BJ468" s="527">
        <f t="shared" si="631"/>
        <v>209.02245982747732</v>
      </c>
      <c r="BK468" s="527">
        <f t="shared" si="631"/>
        <v>209.02245982747732</v>
      </c>
      <c r="BL468" s="527">
        <f t="shared" si="631"/>
        <v>209.02245982747732</v>
      </c>
      <c r="BM468" s="527">
        <f t="shared" si="631"/>
        <v>209.02245982747732</v>
      </c>
      <c r="BN468" s="527">
        <f t="shared" si="631"/>
        <v>209.02245982747735</v>
      </c>
      <c r="BO468" s="527">
        <f t="shared" si="631"/>
        <v>209.02245982747735</v>
      </c>
      <c r="BP468" s="527">
        <f t="shared" si="631"/>
        <v>209.02245982747735</v>
      </c>
      <c r="BQ468" s="527">
        <f t="shared" si="631"/>
        <v>209.02245982747735</v>
      </c>
      <c r="BR468" s="527">
        <f t="shared" si="631"/>
        <v>209.02245982747735</v>
      </c>
      <c r="BS468" s="527">
        <f t="shared" si="631"/>
        <v>209.02245982747735</v>
      </c>
      <c r="BT468" s="527">
        <f t="shared" si="631"/>
        <v>209.02245982747735</v>
      </c>
      <c r="BU468" s="527">
        <f t="shared" si="631"/>
        <v>209.02245982747735</v>
      </c>
      <c r="BV468" s="527">
        <f t="shared" si="631"/>
        <v>209.02245982747735</v>
      </c>
      <c r="BW468" s="527">
        <f t="shared" si="631"/>
        <v>209.02245982747735</v>
      </c>
      <c r="BX468" s="527">
        <f t="shared" si="631"/>
        <v>209.02245982747735</v>
      </c>
      <c r="BY468" s="527">
        <f t="shared" si="631"/>
        <v>209.02245982747735</v>
      </c>
    </row>
    <row r="469" spans="3:77" x14ac:dyDescent="0.3">
      <c r="C469" s="2"/>
      <c r="D469" s="2"/>
      <c r="E469" s="4" t="s">
        <v>36</v>
      </c>
      <c r="F469" s="4"/>
      <c r="G469" s="4"/>
      <c r="H469" s="4"/>
      <c r="I469" s="4"/>
      <c r="J469" s="4"/>
      <c r="K469" s="4"/>
      <c r="L469" s="4"/>
      <c r="M469" s="4"/>
      <c r="N469" s="4"/>
      <c r="O469" s="4"/>
      <c r="P469" s="106"/>
      <c r="Q469" s="4"/>
      <c r="R469" s="498">
        <f t="shared" ref="R469:AW469" si="632">R252/R$509</f>
        <v>582.27685237654407</v>
      </c>
      <c r="S469" s="498">
        <f t="shared" si="632"/>
        <v>582.27685237654407</v>
      </c>
      <c r="T469" s="498">
        <f t="shared" si="632"/>
        <v>582.27685237654407</v>
      </c>
      <c r="U469" s="498">
        <f t="shared" si="632"/>
        <v>582.27685237654407</v>
      </c>
      <c r="V469" s="498">
        <f t="shared" si="632"/>
        <v>582.27685237654407</v>
      </c>
      <c r="W469" s="498">
        <f t="shared" si="632"/>
        <v>582.27685237654407</v>
      </c>
      <c r="X469" s="498">
        <f t="shared" si="632"/>
        <v>595.61152584666695</v>
      </c>
      <c r="Y469" s="498">
        <f t="shared" si="632"/>
        <v>595.61152584666695</v>
      </c>
      <c r="Z469" s="498">
        <f t="shared" si="632"/>
        <v>595.61152584666695</v>
      </c>
      <c r="AA469" s="498">
        <f t="shared" si="632"/>
        <v>595.61152584666695</v>
      </c>
      <c r="AB469" s="498">
        <f t="shared" si="632"/>
        <v>595.61152584666695</v>
      </c>
      <c r="AC469" s="498">
        <f t="shared" si="632"/>
        <v>595.61152584666695</v>
      </c>
      <c r="AD469" s="498">
        <f t="shared" si="632"/>
        <v>592.59459980776012</v>
      </c>
      <c r="AE469" s="498">
        <f t="shared" si="632"/>
        <v>592.59459980776012</v>
      </c>
      <c r="AF469" s="498">
        <f t="shared" si="632"/>
        <v>592.59459980776012</v>
      </c>
      <c r="AG469" s="498">
        <f t="shared" si="632"/>
        <v>592.59459980776012</v>
      </c>
      <c r="AH469" s="498">
        <f t="shared" si="632"/>
        <v>592.59459980776012</v>
      </c>
      <c r="AI469" s="498">
        <f t="shared" si="632"/>
        <v>592.59459980776012</v>
      </c>
      <c r="AJ469" s="498">
        <f t="shared" si="632"/>
        <v>608.54655077913992</v>
      </c>
      <c r="AK469" s="498">
        <f t="shared" si="632"/>
        <v>608.54655077913992</v>
      </c>
      <c r="AL469" s="498">
        <f t="shared" si="632"/>
        <v>608.54655077913992</v>
      </c>
      <c r="AM469" s="498">
        <f t="shared" si="632"/>
        <v>608.54655077913992</v>
      </c>
      <c r="AN469" s="530">
        <f t="shared" si="632"/>
        <v>608.54655077913992</v>
      </c>
      <c r="AO469" s="530">
        <f t="shared" si="632"/>
        <v>608.54655077913992</v>
      </c>
      <c r="AP469" s="530">
        <f t="shared" si="632"/>
        <v>602.8414174978551</v>
      </c>
      <c r="AQ469" s="530">
        <f t="shared" si="632"/>
        <v>602.8414174978551</v>
      </c>
      <c r="AR469" s="530">
        <f t="shared" si="632"/>
        <v>602.8414174978551</v>
      </c>
      <c r="AS469" s="530">
        <f t="shared" si="632"/>
        <v>602.8414174978551</v>
      </c>
      <c r="AT469" s="530">
        <f t="shared" si="632"/>
        <v>602.8414174978551</v>
      </c>
      <c r="AU469" s="530">
        <f t="shared" si="632"/>
        <v>602.8414174978551</v>
      </c>
      <c r="AV469" s="530">
        <f t="shared" si="632"/>
        <v>621.37671557575538</v>
      </c>
      <c r="AW469" s="530">
        <f t="shared" si="632"/>
        <v>621.37671557575538</v>
      </c>
      <c r="AX469" s="530">
        <f t="shared" ref="AX469:BY469" si="633">AX252/AX$509</f>
        <v>621.37671557575538</v>
      </c>
      <c r="AY469" s="530">
        <f t="shared" si="633"/>
        <v>621.37671557575538</v>
      </c>
      <c r="AZ469" s="530">
        <f t="shared" si="633"/>
        <v>621.37671557575538</v>
      </c>
      <c r="BA469" s="530">
        <f t="shared" si="633"/>
        <v>621.37671557575538</v>
      </c>
      <c r="BB469" s="530">
        <f t="shared" si="633"/>
        <v>613.41212065488003</v>
      </c>
      <c r="BC469" s="530">
        <f t="shared" si="633"/>
        <v>613.41212065488003</v>
      </c>
      <c r="BD469" s="530">
        <f t="shared" si="633"/>
        <v>613.41212065488003</v>
      </c>
      <c r="BE469" s="530">
        <f t="shared" si="633"/>
        <v>613.41212065488003</v>
      </c>
      <c r="BF469" s="530">
        <f t="shared" si="633"/>
        <v>613.41212065488003</v>
      </c>
      <c r="BG469" s="530">
        <f t="shared" si="633"/>
        <v>613.41212065488003</v>
      </c>
      <c r="BH469" s="530">
        <f t="shared" si="633"/>
        <v>634.51271774676457</v>
      </c>
      <c r="BI469" s="530">
        <f t="shared" si="633"/>
        <v>634.51271774676457</v>
      </c>
      <c r="BJ469" s="530">
        <f t="shared" si="633"/>
        <v>634.51271774676457</v>
      </c>
      <c r="BK469" s="530">
        <f t="shared" si="633"/>
        <v>634.51271774676457</v>
      </c>
      <c r="BL469" s="530">
        <f t="shared" si="633"/>
        <v>634.51271774676457</v>
      </c>
      <c r="BM469" s="530">
        <f t="shared" si="633"/>
        <v>634.51271774676457</v>
      </c>
      <c r="BN469" s="530">
        <f t="shared" si="633"/>
        <v>624.10029835757382</v>
      </c>
      <c r="BO469" s="530">
        <f t="shared" si="633"/>
        <v>624.10029835757382</v>
      </c>
      <c r="BP469" s="530">
        <f t="shared" si="633"/>
        <v>624.10029835757382</v>
      </c>
      <c r="BQ469" s="530">
        <f t="shared" si="633"/>
        <v>624.10029835757382</v>
      </c>
      <c r="BR469" s="530">
        <f t="shared" si="633"/>
        <v>624.10029835757382</v>
      </c>
      <c r="BS469" s="530">
        <f t="shared" si="633"/>
        <v>624.10029835757382</v>
      </c>
      <c r="BT469" s="530">
        <f t="shared" si="633"/>
        <v>647.71914135980489</v>
      </c>
      <c r="BU469" s="530">
        <f t="shared" si="633"/>
        <v>647.71914135980489</v>
      </c>
      <c r="BV469" s="530">
        <f t="shared" si="633"/>
        <v>647.71914135980489</v>
      </c>
      <c r="BW469" s="530">
        <f t="shared" si="633"/>
        <v>647.71914135980489</v>
      </c>
      <c r="BX469" s="530">
        <f t="shared" si="633"/>
        <v>647.71914135980489</v>
      </c>
      <c r="BY469" s="530">
        <f t="shared" si="633"/>
        <v>647.71914135980489</v>
      </c>
    </row>
    <row r="470" spans="3:77" x14ac:dyDescent="0.3">
      <c r="C470" s="2"/>
      <c r="D470" s="2"/>
      <c r="E470" s="2"/>
      <c r="F470" s="2"/>
      <c r="G470" s="2"/>
      <c r="H470" s="2"/>
      <c r="I470" s="2"/>
      <c r="J470" s="2"/>
      <c r="K470" s="2"/>
      <c r="L470" s="2"/>
      <c r="M470" s="2"/>
      <c r="N470" s="2"/>
      <c r="O470" s="2"/>
      <c r="P470" s="10"/>
      <c r="Q470" s="2"/>
      <c r="R470" s="2"/>
      <c r="S470" s="2"/>
      <c r="T470" s="2"/>
      <c r="U470" s="2"/>
      <c r="V470" s="2"/>
      <c r="W470" s="2"/>
      <c r="X470" s="2"/>
      <c r="Y470" s="2"/>
      <c r="Z470" s="2"/>
      <c r="AA470" s="2"/>
      <c r="AB470" s="2"/>
      <c r="AC470" s="2"/>
      <c r="AD470" s="2"/>
      <c r="AE470" s="2"/>
      <c r="AF470" s="2"/>
      <c r="AG470" s="2"/>
      <c r="AH470" s="2"/>
      <c r="AI470" s="2"/>
      <c r="AJ470" s="2"/>
      <c r="AK470" s="2"/>
      <c r="AL470" s="2"/>
      <c r="AM470" s="2"/>
      <c r="AN470" s="525"/>
      <c r="AO470" s="525"/>
      <c r="AP470" s="525"/>
      <c r="AQ470" s="525"/>
      <c r="AR470" s="525"/>
      <c r="AS470" s="525"/>
      <c r="AT470" s="525"/>
      <c r="AU470" s="525"/>
      <c r="AV470" s="525"/>
      <c r="AW470" s="525"/>
      <c r="AX470" s="525"/>
      <c r="AY470" s="525"/>
      <c r="AZ470" s="525"/>
      <c r="BA470" s="525"/>
      <c r="BB470" s="525"/>
      <c r="BC470" s="525"/>
      <c r="BD470" s="525"/>
      <c r="BE470" s="525"/>
      <c r="BF470" s="525"/>
      <c r="BG470" s="525"/>
      <c r="BH470" s="525"/>
      <c r="BI470" s="525"/>
      <c r="BJ470" s="525"/>
      <c r="BK470" s="525"/>
      <c r="BL470" s="525"/>
      <c r="BM470" s="525"/>
      <c r="BN470" s="525"/>
      <c r="BO470" s="525"/>
      <c r="BP470" s="525"/>
      <c r="BQ470" s="525"/>
      <c r="BR470" s="525"/>
      <c r="BS470" s="525"/>
      <c r="BT470" s="525"/>
      <c r="BU470" s="525"/>
      <c r="BV470" s="525"/>
      <c r="BW470" s="525"/>
      <c r="BX470" s="525"/>
      <c r="BY470" s="525"/>
    </row>
    <row r="471" spans="3:77" x14ac:dyDescent="0.3">
      <c r="C471" s="48" t="s">
        <v>37</v>
      </c>
      <c r="D471" s="88"/>
      <c r="E471" s="49" t="s">
        <v>112</v>
      </c>
      <c r="F471" s="49"/>
      <c r="G471" s="49"/>
      <c r="H471" s="49"/>
      <c r="I471" s="49"/>
      <c r="J471" s="49"/>
      <c r="K471" s="49"/>
      <c r="L471" s="49"/>
      <c r="M471" s="49"/>
      <c r="N471" s="49"/>
      <c r="O471" s="49"/>
      <c r="P471" s="48"/>
      <c r="Q471" s="49"/>
      <c r="R471" s="49"/>
      <c r="S471" s="49"/>
      <c r="T471" s="49"/>
      <c r="U471" s="49"/>
      <c r="V471" s="49"/>
      <c r="W471" s="49"/>
      <c r="X471" s="49"/>
      <c r="Y471" s="49"/>
      <c r="Z471" s="49"/>
      <c r="AA471" s="49"/>
      <c r="AB471" s="49"/>
      <c r="AC471" s="49"/>
      <c r="AD471" s="49"/>
      <c r="AE471" s="49"/>
      <c r="AF471" s="49"/>
      <c r="AG471" s="49"/>
      <c r="AH471" s="49"/>
      <c r="AI471" s="49"/>
      <c r="AJ471" s="49"/>
      <c r="AK471" s="49"/>
      <c r="AL471" s="49"/>
      <c r="AM471" s="49"/>
      <c r="AN471" s="526"/>
      <c r="AO471" s="526"/>
      <c r="AP471" s="526"/>
      <c r="AQ471" s="526"/>
      <c r="AR471" s="526"/>
      <c r="AS471" s="526"/>
      <c r="AT471" s="526"/>
      <c r="AU471" s="526"/>
      <c r="AV471" s="526"/>
      <c r="AW471" s="526"/>
      <c r="AX471" s="526"/>
      <c r="AY471" s="526"/>
      <c r="AZ471" s="526"/>
      <c r="BA471" s="526"/>
      <c r="BB471" s="526"/>
      <c r="BC471" s="526"/>
      <c r="BD471" s="526"/>
      <c r="BE471" s="526"/>
      <c r="BF471" s="526"/>
      <c r="BG471" s="526"/>
      <c r="BH471" s="526"/>
      <c r="BI471" s="526"/>
      <c r="BJ471" s="526"/>
      <c r="BK471" s="526"/>
      <c r="BL471" s="526"/>
      <c r="BM471" s="526"/>
      <c r="BN471" s="526"/>
      <c r="BO471" s="526"/>
      <c r="BP471" s="526"/>
      <c r="BQ471" s="526"/>
      <c r="BR471" s="526"/>
      <c r="BS471" s="526"/>
      <c r="BT471" s="526"/>
      <c r="BU471" s="526"/>
      <c r="BV471" s="526"/>
      <c r="BW471" s="526"/>
      <c r="BX471" s="526"/>
      <c r="BY471" s="526"/>
    </row>
    <row r="472" spans="3:77" x14ac:dyDescent="0.3">
      <c r="C472" s="2"/>
      <c r="D472" s="2"/>
      <c r="E472" s="2"/>
      <c r="F472" s="2"/>
      <c r="G472" s="2"/>
      <c r="H472" s="2"/>
      <c r="I472" s="2"/>
      <c r="J472" s="2"/>
      <c r="K472" s="2"/>
      <c r="L472" s="2"/>
      <c r="M472" s="2"/>
      <c r="N472" s="2"/>
      <c r="O472" s="2"/>
      <c r="P472" s="10"/>
      <c r="Q472" s="2"/>
      <c r="R472" s="2"/>
      <c r="S472" s="2"/>
      <c r="T472" s="2"/>
      <c r="U472" s="2"/>
      <c r="V472" s="2"/>
      <c r="W472" s="2"/>
      <c r="X472" s="2"/>
      <c r="Y472" s="2"/>
      <c r="Z472" s="2"/>
      <c r="AA472" s="2"/>
      <c r="AB472" s="2"/>
      <c r="AC472" s="2"/>
      <c r="AD472" s="2"/>
      <c r="AE472" s="2"/>
      <c r="AF472" s="2"/>
      <c r="AG472" s="2"/>
      <c r="AH472" s="2"/>
      <c r="AI472" s="2"/>
      <c r="AJ472" s="2"/>
      <c r="AK472" s="2"/>
      <c r="AL472" s="2"/>
      <c r="AM472" s="2"/>
      <c r="AN472" s="525"/>
      <c r="AO472" s="525"/>
      <c r="AP472" s="525"/>
      <c r="AQ472" s="525"/>
      <c r="AR472" s="525"/>
      <c r="AS472" s="525"/>
      <c r="AT472" s="525"/>
      <c r="AU472" s="525"/>
      <c r="AV472" s="525"/>
      <c r="AW472" s="525"/>
      <c r="AX472" s="525"/>
      <c r="AY472" s="525"/>
      <c r="AZ472" s="525"/>
      <c r="BA472" s="525"/>
      <c r="BB472" s="525"/>
      <c r="BC472" s="525"/>
      <c r="BD472" s="525"/>
      <c r="BE472" s="525"/>
      <c r="BF472" s="525"/>
      <c r="BG472" s="525"/>
      <c r="BH472" s="525"/>
      <c r="BI472" s="525"/>
      <c r="BJ472" s="525"/>
      <c r="BK472" s="525"/>
      <c r="BL472" s="525"/>
      <c r="BM472" s="525"/>
      <c r="BN472" s="525"/>
      <c r="BO472" s="525"/>
      <c r="BP472" s="525"/>
      <c r="BQ472" s="525"/>
      <c r="BR472" s="525"/>
      <c r="BS472" s="525"/>
      <c r="BT472" s="525"/>
      <c r="BU472" s="525"/>
      <c r="BV472" s="525"/>
      <c r="BW472" s="525"/>
      <c r="BX472" s="525"/>
      <c r="BY472" s="525"/>
    </row>
    <row r="473" spans="3:77" x14ac:dyDescent="0.3">
      <c r="C473" s="2"/>
      <c r="D473" s="2"/>
      <c r="E473" s="17" t="s">
        <v>113</v>
      </c>
      <c r="F473" s="2"/>
      <c r="G473" s="2"/>
      <c r="H473" s="2"/>
      <c r="I473" s="2"/>
      <c r="J473" s="2"/>
      <c r="K473" s="2"/>
      <c r="L473" s="2"/>
      <c r="M473" s="2"/>
      <c r="N473" s="2"/>
      <c r="O473" s="2"/>
      <c r="P473" s="10"/>
      <c r="Q473" s="2"/>
      <c r="R473" s="2"/>
      <c r="S473" s="2"/>
      <c r="T473" s="2"/>
      <c r="U473" s="2"/>
      <c r="V473" s="2"/>
      <c r="W473" s="2"/>
      <c r="X473" s="2"/>
      <c r="Y473" s="2"/>
      <c r="Z473" s="2"/>
      <c r="AA473" s="2"/>
      <c r="AB473" s="2"/>
      <c r="AC473" s="2"/>
      <c r="AD473" s="2"/>
      <c r="AE473" s="2"/>
      <c r="AF473" s="2"/>
      <c r="AG473" s="2"/>
      <c r="AH473" s="2"/>
      <c r="AI473" s="2"/>
      <c r="AJ473" s="2"/>
      <c r="AK473" s="2"/>
      <c r="AL473" s="2"/>
      <c r="AM473" s="2"/>
      <c r="AN473" s="525"/>
      <c r="AO473" s="525"/>
      <c r="AP473" s="525"/>
      <c r="AQ473" s="525"/>
      <c r="AR473" s="525"/>
      <c r="AS473" s="525"/>
      <c r="AT473" s="525"/>
      <c r="AU473" s="525"/>
      <c r="AV473" s="525"/>
      <c r="AW473" s="525"/>
      <c r="AX473" s="525"/>
      <c r="AY473" s="525"/>
      <c r="AZ473" s="525"/>
      <c r="BA473" s="525"/>
      <c r="BB473" s="525"/>
      <c r="BC473" s="525"/>
      <c r="BD473" s="525"/>
      <c r="BE473" s="525"/>
      <c r="BF473" s="525"/>
      <c r="BG473" s="525"/>
      <c r="BH473" s="525"/>
      <c r="BI473" s="525"/>
      <c r="BJ473" s="525"/>
      <c r="BK473" s="525"/>
      <c r="BL473" s="525"/>
      <c r="BM473" s="525"/>
      <c r="BN473" s="525"/>
      <c r="BO473" s="525"/>
      <c r="BP473" s="525"/>
      <c r="BQ473" s="525"/>
      <c r="BR473" s="525"/>
      <c r="BS473" s="525"/>
      <c r="BT473" s="525"/>
      <c r="BU473" s="525"/>
      <c r="BV473" s="525"/>
      <c r="BW473" s="525"/>
      <c r="BX473" s="525"/>
      <c r="BY473" s="525"/>
    </row>
    <row r="474" spans="3:77" x14ac:dyDescent="0.3">
      <c r="C474" s="2"/>
      <c r="D474" s="2"/>
      <c r="E474" s="70" t="str">
        <f>"Flag - capex period: "&amp;E$155</f>
        <v>Flag - capex period: FY27 Tranche</v>
      </c>
      <c r="F474" s="2"/>
      <c r="G474" s="2"/>
      <c r="H474" s="2"/>
      <c r="I474" s="2"/>
      <c r="J474" s="2"/>
      <c r="K474" s="2"/>
      <c r="L474" s="2"/>
      <c r="M474" s="2"/>
      <c r="N474" s="2"/>
      <c r="O474" s="2"/>
      <c r="P474" s="10"/>
      <c r="Q474" s="2"/>
      <c r="R474" s="19">
        <f>IF(AND(R$4&gt;$T155,R$4&lt;=$V155),1,0)*'Detailed Assumptions'!$E$6</f>
        <v>0</v>
      </c>
      <c r="S474" s="19">
        <f>IF(AND(S$4&gt;$T155,S$4&lt;=$V155),1,0)*'Detailed Assumptions'!$E$6</f>
        <v>0</v>
      </c>
      <c r="T474" s="19">
        <f>IF(AND(T$4&gt;$T155,T$4&lt;=$V155),1,0)*'Detailed Assumptions'!$E$6</f>
        <v>0</v>
      </c>
      <c r="U474" s="19">
        <f>IF(AND(U$4&gt;$T155,U$4&lt;=$V155),1,0)*'Detailed Assumptions'!$E$6</f>
        <v>0</v>
      </c>
      <c r="V474" s="19">
        <f>IF(AND(V$4&gt;$T155,V$4&lt;=$V155),1,0)*'Detailed Assumptions'!$E$6</f>
        <v>0</v>
      </c>
      <c r="W474" s="19">
        <f>IF(AND(W$4&gt;$T155,W$4&lt;=$V155),1,0)*'Detailed Assumptions'!$E$6</f>
        <v>1</v>
      </c>
      <c r="X474" s="19">
        <f>IF(AND(X$4&gt;$T155,X$4&lt;=$V155),1,0)*'Detailed Assumptions'!$E$6</f>
        <v>0</v>
      </c>
      <c r="Y474" s="19">
        <f>IF(AND(Y$4&gt;$T155,Y$4&lt;=$V155),1,0)*'Detailed Assumptions'!$E$6</f>
        <v>0</v>
      </c>
      <c r="Z474" s="19">
        <f>IF(AND(Z$4&gt;$T155,Z$4&lt;=$V155),1,0)*'Detailed Assumptions'!$E$6</f>
        <v>0</v>
      </c>
      <c r="AA474" s="19">
        <f>IF(AND(AA$4&gt;$T155,AA$4&lt;=$V155),1,0)*'Detailed Assumptions'!$E$6</f>
        <v>0</v>
      </c>
      <c r="AB474" s="19">
        <f>IF(AND(AB$4&gt;$T155,AB$4&lt;=$V155),1,0)*'Detailed Assumptions'!$E$6</f>
        <v>0</v>
      </c>
      <c r="AC474" s="19">
        <f>IF(AND(AC$4&gt;$T155,AC$4&lt;=$V155),1,0)*'Detailed Assumptions'!$E$6</f>
        <v>0</v>
      </c>
      <c r="AD474" s="19">
        <f>IF(AND(AD$4&gt;$T155,AD$4&lt;=$V155),1,0)*'Detailed Assumptions'!$E$6</f>
        <v>0</v>
      </c>
      <c r="AE474" s="19">
        <f>IF(AND(AE$4&gt;$T155,AE$4&lt;=$V155),1,0)*'Detailed Assumptions'!$E$6</f>
        <v>0</v>
      </c>
      <c r="AF474" s="19">
        <f>IF(AND(AF$4&gt;$T155,AF$4&lt;=$V155),1,0)*'Detailed Assumptions'!$E$6</f>
        <v>0</v>
      </c>
      <c r="AG474" s="19">
        <f>IF(AND(AG$4&gt;$T155,AG$4&lt;=$V155),1,0)*'Detailed Assumptions'!$E$6</f>
        <v>0</v>
      </c>
      <c r="AH474" s="19">
        <f>IF(AND(AH$4&gt;$T155,AH$4&lt;=$V155),1,0)*'Detailed Assumptions'!$E$6</f>
        <v>0</v>
      </c>
      <c r="AI474" s="19">
        <f>IF(AND(AI$4&gt;$T155,AI$4&lt;=$V155),1,0)*'Detailed Assumptions'!$E$6</f>
        <v>0</v>
      </c>
      <c r="AJ474" s="19">
        <f>IF(AND(AJ$4&gt;$T155,AJ$4&lt;=$V155),1,0)*'Detailed Assumptions'!$E$6</f>
        <v>0</v>
      </c>
      <c r="AK474" s="19">
        <f>IF(AND(AK$4&gt;$T155,AK$4&lt;=$V155),1,0)*'Detailed Assumptions'!$E$6</f>
        <v>0</v>
      </c>
      <c r="AL474" s="19">
        <f>IF(AND(AL$4&gt;$T155,AL$4&lt;=$V155),1,0)*'Detailed Assumptions'!$E$6</f>
        <v>0</v>
      </c>
      <c r="AM474" s="19">
        <f>IF(AND(AM$4&gt;$T155,AM$4&lt;=$V155),1,0)*'Detailed Assumptions'!$E$6</f>
        <v>0</v>
      </c>
      <c r="AN474" s="542">
        <f>IF(AND(AN$4&gt;$T155,AN$4&lt;=$V155),1,0)*'Detailed Assumptions'!$E$6</f>
        <v>0</v>
      </c>
      <c r="AO474" s="542">
        <f>IF(AND(AO$4&gt;$T155,AO$4&lt;=$V155),1,0)*'Detailed Assumptions'!$E$6</f>
        <v>0</v>
      </c>
      <c r="AP474" s="542">
        <f>IF(AND(AP$4&gt;$T155,AP$4&lt;=$V155),1,0)*'Detailed Assumptions'!$E$6</f>
        <v>0</v>
      </c>
      <c r="AQ474" s="542">
        <f>IF(AND(AQ$4&gt;$T155,AQ$4&lt;=$V155),1,0)*'Detailed Assumptions'!$E$6</f>
        <v>0</v>
      </c>
      <c r="AR474" s="542">
        <f>IF(AND(AR$4&gt;$T155,AR$4&lt;=$V155),1,0)*'Detailed Assumptions'!$E$6</f>
        <v>0</v>
      </c>
      <c r="AS474" s="542">
        <f>IF(AND(AS$4&gt;$T155,AS$4&lt;=$V155),1,0)*'Detailed Assumptions'!$E$6</f>
        <v>0</v>
      </c>
      <c r="AT474" s="542">
        <f>IF(AND(AT$4&gt;$T155,AT$4&lt;=$V155),1,0)*'Detailed Assumptions'!$E$6</f>
        <v>0</v>
      </c>
      <c r="AU474" s="542">
        <f>IF(AND(AU$4&gt;$T155,AU$4&lt;=$V155),1,0)*'Detailed Assumptions'!$E$6</f>
        <v>0</v>
      </c>
      <c r="AV474" s="542">
        <f>IF(AND(AV$4&gt;$T155,AV$4&lt;=$V155),1,0)*'Detailed Assumptions'!$E$6</f>
        <v>0</v>
      </c>
      <c r="AW474" s="542">
        <f>IF(AND(AW$4&gt;$T155,AW$4&lt;=$V155),1,0)*'Detailed Assumptions'!$E$6</f>
        <v>0</v>
      </c>
      <c r="AX474" s="542">
        <f>IF(AND(AX$4&gt;$T155,AX$4&lt;=$V155),1,0)*'Detailed Assumptions'!$E$6</f>
        <v>0</v>
      </c>
      <c r="AY474" s="542">
        <f>IF(AND(AY$4&gt;$T155,AY$4&lt;=$V155),1,0)*'Detailed Assumptions'!$E$6</f>
        <v>0</v>
      </c>
      <c r="AZ474" s="542">
        <f>IF(AND(AZ$4&gt;$T155,AZ$4&lt;=$V155),1,0)*'Detailed Assumptions'!$E$6</f>
        <v>0</v>
      </c>
      <c r="BA474" s="542">
        <f>IF(AND(BA$4&gt;$T155,BA$4&lt;=$V155),1,0)*'Detailed Assumptions'!$E$6</f>
        <v>0</v>
      </c>
      <c r="BB474" s="542">
        <f>IF(AND(BB$4&gt;$T155,BB$4&lt;=$V155),1,0)*'Detailed Assumptions'!$E$6</f>
        <v>0</v>
      </c>
      <c r="BC474" s="542">
        <f>IF(AND(BC$4&gt;$T155,BC$4&lt;=$V155),1,0)*'Detailed Assumptions'!$E$6</f>
        <v>0</v>
      </c>
      <c r="BD474" s="542">
        <f>IF(AND(BD$4&gt;$T155,BD$4&lt;=$V155),1,0)*'Detailed Assumptions'!$E$6</f>
        <v>0</v>
      </c>
      <c r="BE474" s="542">
        <f>IF(AND(BE$4&gt;$T155,BE$4&lt;=$V155),1,0)*'Detailed Assumptions'!$E$6</f>
        <v>0</v>
      </c>
      <c r="BF474" s="542">
        <f>IF(AND(BF$4&gt;$T155,BF$4&lt;=$V155),1,0)*'Detailed Assumptions'!$E$6</f>
        <v>0</v>
      </c>
      <c r="BG474" s="542">
        <f>IF(AND(BG$4&gt;$T155,BG$4&lt;=$V155),1,0)*'Detailed Assumptions'!$E$6</f>
        <v>0</v>
      </c>
      <c r="BH474" s="542">
        <f>IF(AND(BH$4&gt;$T155,BH$4&lt;=$V155),1,0)*'Detailed Assumptions'!$E$6</f>
        <v>0</v>
      </c>
      <c r="BI474" s="542">
        <f>IF(AND(BI$4&gt;$T155,BI$4&lt;=$V155),1,0)*'Detailed Assumptions'!$E$6</f>
        <v>0</v>
      </c>
      <c r="BJ474" s="542">
        <f>IF(AND(BJ$4&gt;$T155,BJ$4&lt;=$V155),1,0)*'Detailed Assumptions'!$E$6</f>
        <v>0</v>
      </c>
      <c r="BK474" s="542">
        <f>IF(AND(BK$4&gt;$T155,BK$4&lt;=$V155),1,0)*'Detailed Assumptions'!$E$6</f>
        <v>0</v>
      </c>
      <c r="BL474" s="542">
        <f>IF(AND(BL$4&gt;$T155,BL$4&lt;=$V155),1,0)*'Detailed Assumptions'!$E$6</f>
        <v>0</v>
      </c>
      <c r="BM474" s="542">
        <f>IF(AND(BM$4&gt;$T155,BM$4&lt;=$V155),1,0)*'Detailed Assumptions'!$E$6</f>
        <v>0</v>
      </c>
      <c r="BN474" s="542">
        <f>IF(AND(BN$4&gt;$T155,BN$4&lt;=$V155),1,0)*'Detailed Assumptions'!$E$6</f>
        <v>0</v>
      </c>
      <c r="BO474" s="542">
        <f>IF(AND(BO$4&gt;$T155,BO$4&lt;=$V155),1,0)*'Detailed Assumptions'!$E$6</f>
        <v>0</v>
      </c>
      <c r="BP474" s="542">
        <f>IF(AND(BP$4&gt;$T155,BP$4&lt;=$V155),1,0)*'Detailed Assumptions'!$E$6</f>
        <v>0</v>
      </c>
      <c r="BQ474" s="542">
        <f>IF(AND(BQ$4&gt;$T155,BQ$4&lt;=$V155),1,0)*'Detailed Assumptions'!$E$6</f>
        <v>0</v>
      </c>
      <c r="BR474" s="542">
        <f>IF(AND(BR$4&gt;$T155,BR$4&lt;=$V155),1,0)*'Detailed Assumptions'!$E$6</f>
        <v>0</v>
      </c>
      <c r="BS474" s="542">
        <f>IF(AND(BS$4&gt;$T155,BS$4&lt;=$V155),1,0)*'Detailed Assumptions'!$E$6</f>
        <v>0</v>
      </c>
      <c r="BT474" s="542">
        <f>IF(AND(BT$4&gt;$T155,BT$4&lt;=$V155),1,0)*'Detailed Assumptions'!$E$6</f>
        <v>0</v>
      </c>
      <c r="BU474" s="542">
        <f>IF(AND(BU$4&gt;$T155,BU$4&lt;=$V155),1,0)*'Detailed Assumptions'!$E$6</f>
        <v>0</v>
      </c>
      <c r="BV474" s="542">
        <f>IF(AND(BV$4&gt;$T155,BV$4&lt;=$V155),1,0)*'Detailed Assumptions'!$E$6</f>
        <v>0</v>
      </c>
      <c r="BW474" s="542">
        <f>IF(AND(BW$4&gt;$T155,BW$4&lt;=$V155),1,0)*'Detailed Assumptions'!$E$6</f>
        <v>0</v>
      </c>
      <c r="BX474" s="542">
        <f>IF(AND(BX$4&gt;$T155,BX$4&lt;=$V155),1,0)*'Detailed Assumptions'!$E$6</f>
        <v>0</v>
      </c>
      <c r="BY474" s="542">
        <f>IF(AND(BY$4&gt;$T155,BY$4&lt;=$V155),1,0)*'Detailed Assumptions'!$E$6</f>
        <v>0</v>
      </c>
    </row>
    <row r="475" spans="3:77" x14ac:dyDescent="0.3">
      <c r="C475" s="2"/>
      <c r="D475" s="2"/>
      <c r="E475" s="70" t="str">
        <f>"Flag - capex period: "&amp;E$156</f>
        <v>Flag - capex period: FY28 Tranche</v>
      </c>
      <c r="F475" s="2"/>
      <c r="G475" s="2"/>
      <c r="H475" s="2"/>
      <c r="I475" s="2"/>
      <c r="J475" s="2"/>
      <c r="K475" s="2"/>
      <c r="L475" s="2"/>
      <c r="M475" s="2"/>
      <c r="N475" s="2"/>
      <c r="O475" s="2"/>
      <c r="P475" s="10"/>
      <c r="Q475" s="2"/>
      <c r="R475" s="19">
        <f>IF(AND(R$4&gt;$T156,R$4&lt;=$V156),1,0)*'Detailed Assumptions'!$E$6</f>
        <v>0</v>
      </c>
      <c r="S475" s="19">
        <f>IF(AND(S$4&gt;$T156,S$4&lt;=$V156),1,0)*'Detailed Assumptions'!$E$6</f>
        <v>0</v>
      </c>
      <c r="T475" s="19">
        <f>IF(AND(T$4&gt;$T156,T$4&lt;=$V156),1,0)*'Detailed Assumptions'!$E$6</f>
        <v>0</v>
      </c>
      <c r="U475" s="19">
        <f>IF(AND(U$4&gt;$T156,U$4&lt;=$V156),1,0)*'Detailed Assumptions'!$E$6</f>
        <v>0</v>
      </c>
      <c r="V475" s="19">
        <f>IF(AND(V$4&gt;$T156,V$4&lt;=$V156),1,0)*'Detailed Assumptions'!$E$6</f>
        <v>0</v>
      </c>
      <c r="W475" s="19">
        <f>IF(AND(W$4&gt;$T156,W$4&lt;=$V156),1,0)*'Detailed Assumptions'!$E$6</f>
        <v>0</v>
      </c>
      <c r="X475" s="19">
        <f>IF(AND(X$4&gt;$T156,X$4&lt;=$V156),1,0)*'Detailed Assumptions'!$E$6</f>
        <v>0</v>
      </c>
      <c r="Y475" s="19">
        <f>IF(AND(Y$4&gt;$T156,Y$4&lt;=$V156),1,0)*'Detailed Assumptions'!$E$6</f>
        <v>0</v>
      </c>
      <c r="Z475" s="19">
        <f>IF(AND(Z$4&gt;$T156,Z$4&lt;=$V156),1,0)*'Detailed Assumptions'!$E$6</f>
        <v>0</v>
      </c>
      <c r="AA475" s="19">
        <f>IF(AND(AA$4&gt;$T156,AA$4&lt;=$V156),1,0)*'Detailed Assumptions'!$E$6</f>
        <v>0</v>
      </c>
      <c r="AB475" s="19">
        <f>IF(AND(AB$4&gt;$T156,AB$4&lt;=$V156),1,0)*'Detailed Assumptions'!$E$6</f>
        <v>0</v>
      </c>
      <c r="AC475" s="19">
        <f>IF(AND(AC$4&gt;$T156,AC$4&lt;=$V156),1,0)*'Detailed Assumptions'!$E$6</f>
        <v>0</v>
      </c>
      <c r="AD475" s="19">
        <f>IF(AND(AD$4&gt;$T156,AD$4&lt;=$V156),1,0)*'Detailed Assumptions'!$E$6</f>
        <v>0</v>
      </c>
      <c r="AE475" s="19">
        <f>IF(AND(AE$4&gt;$T156,AE$4&lt;=$V156),1,0)*'Detailed Assumptions'!$E$6</f>
        <v>0</v>
      </c>
      <c r="AF475" s="19">
        <f>IF(AND(AF$4&gt;$T156,AF$4&lt;=$V156),1,0)*'Detailed Assumptions'!$E$6</f>
        <v>0</v>
      </c>
      <c r="AG475" s="19">
        <f>IF(AND(AG$4&gt;$T156,AG$4&lt;=$V156),1,0)*'Detailed Assumptions'!$E$6</f>
        <v>0</v>
      </c>
      <c r="AH475" s="19">
        <f>IF(AND(AH$4&gt;$T156,AH$4&lt;=$V156),1,0)*'Detailed Assumptions'!$E$6</f>
        <v>0</v>
      </c>
      <c r="AI475" s="19">
        <f>IF(AND(AI$4&gt;$T156,AI$4&lt;=$V156),1,0)*'Detailed Assumptions'!$E$6</f>
        <v>1</v>
      </c>
      <c r="AJ475" s="19">
        <f>IF(AND(AJ$4&gt;$T156,AJ$4&lt;=$V156),1,0)*'Detailed Assumptions'!$E$6</f>
        <v>0</v>
      </c>
      <c r="AK475" s="19">
        <f>IF(AND(AK$4&gt;$T156,AK$4&lt;=$V156),1,0)*'Detailed Assumptions'!$E$6</f>
        <v>0</v>
      </c>
      <c r="AL475" s="19">
        <f>IF(AND(AL$4&gt;$T156,AL$4&lt;=$V156),1,0)*'Detailed Assumptions'!$E$6</f>
        <v>0</v>
      </c>
      <c r="AM475" s="19">
        <f>IF(AND(AM$4&gt;$T156,AM$4&lt;=$V156),1,0)*'Detailed Assumptions'!$E$6</f>
        <v>0</v>
      </c>
      <c r="AN475" s="542">
        <f>IF(AND(AN$4&gt;$T156,AN$4&lt;=$V156),1,0)*'Detailed Assumptions'!$E$6</f>
        <v>0</v>
      </c>
      <c r="AO475" s="542">
        <f>IF(AND(AO$4&gt;$T156,AO$4&lt;=$V156),1,0)*'Detailed Assumptions'!$E$6</f>
        <v>0</v>
      </c>
      <c r="AP475" s="542">
        <f>IF(AND(AP$4&gt;$T156,AP$4&lt;=$V156),1,0)*'Detailed Assumptions'!$E$6</f>
        <v>0</v>
      </c>
      <c r="AQ475" s="542">
        <f>IF(AND(AQ$4&gt;$T156,AQ$4&lt;=$V156),1,0)*'Detailed Assumptions'!$E$6</f>
        <v>0</v>
      </c>
      <c r="AR475" s="542">
        <f>IF(AND(AR$4&gt;$T156,AR$4&lt;=$V156),1,0)*'Detailed Assumptions'!$E$6</f>
        <v>0</v>
      </c>
      <c r="AS475" s="542">
        <f>IF(AND(AS$4&gt;$T156,AS$4&lt;=$V156),1,0)*'Detailed Assumptions'!$E$6</f>
        <v>0</v>
      </c>
      <c r="AT475" s="542">
        <f>IF(AND(AT$4&gt;$T156,AT$4&lt;=$V156),1,0)*'Detailed Assumptions'!$E$6</f>
        <v>0</v>
      </c>
      <c r="AU475" s="542">
        <f>IF(AND(AU$4&gt;$T156,AU$4&lt;=$V156),1,0)*'Detailed Assumptions'!$E$6</f>
        <v>0</v>
      </c>
      <c r="AV475" s="542">
        <f>IF(AND(AV$4&gt;$T156,AV$4&lt;=$V156),1,0)*'Detailed Assumptions'!$E$6</f>
        <v>0</v>
      </c>
      <c r="AW475" s="542">
        <f>IF(AND(AW$4&gt;$T156,AW$4&lt;=$V156),1,0)*'Detailed Assumptions'!$E$6</f>
        <v>0</v>
      </c>
      <c r="AX475" s="542">
        <f>IF(AND(AX$4&gt;$T156,AX$4&lt;=$V156),1,0)*'Detailed Assumptions'!$E$6</f>
        <v>0</v>
      </c>
      <c r="AY475" s="542">
        <f>IF(AND(AY$4&gt;$T156,AY$4&lt;=$V156),1,0)*'Detailed Assumptions'!$E$6</f>
        <v>0</v>
      </c>
      <c r="AZ475" s="542">
        <f>IF(AND(AZ$4&gt;$T156,AZ$4&lt;=$V156),1,0)*'Detailed Assumptions'!$E$6</f>
        <v>0</v>
      </c>
      <c r="BA475" s="542">
        <f>IF(AND(BA$4&gt;$T156,BA$4&lt;=$V156),1,0)*'Detailed Assumptions'!$E$6</f>
        <v>0</v>
      </c>
      <c r="BB475" s="542">
        <f>IF(AND(BB$4&gt;$T156,BB$4&lt;=$V156),1,0)*'Detailed Assumptions'!$E$6</f>
        <v>0</v>
      </c>
      <c r="BC475" s="542">
        <f>IF(AND(BC$4&gt;$T156,BC$4&lt;=$V156),1,0)*'Detailed Assumptions'!$E$6</f>
        <v>0</v>
      </c>
      <c r="BD475" s="542">
        <f>IF(AND(BD$4&gt;$T156,BD$4&lt;=$V156),1,0)*'Detailed Assumptions'!$E$6</f>
        <v>0</v>
      </c>
      <c r="BE475" s="542">
        <f>IF(AND(BE$4&gt;$T156,BE$4&lt;=$V156),1,0)*'Detailed Assumptions'!$E$6</f>
        <v>0</v>
      </c>
      <c r="BF475" s="542">
        <f>IF(AND(BF$4&gt;$T156,BF$4&lt;=$V156),1,0)*'Detailed Assumptions'!$E$6</f>
        <v>0</v>
      </c>
      <c r="BG475" s="542">
        <f>IF(AND(BG$4&gt;$T156,BG$4&lt;=$V156),1,0)*'Detailed Assumptions'!$E$6</f>
        <v>0</v>
      </c>
      <c r="BH475" s="542">
        <f>IF(AND(BH$4&gt;$T156,BH$4&lt;=$V156),1,0)*'Detailed Assumptions'!$E$6</f>
        <v>0</v>
      </c>
      <c r="BI475" s="542">
        <f>IF(AND(BI$4&gt;$T156,BI$4&lt;=$V156),1,0)*'Detailed Assumptions'!$E$6</f>
        <v>0</v>
      </c>
      <c r="BJ475" s="542">
        <f>IF(AND(BJ$4&gt;$T156,BJ$4&lt;=$V156),1,0)*'Detailed Assumptions'!$E$6</f>
        <v>0</v>
      </c>
      <c r="BK475" s="542">
        <f>IF(AND(BK$4&gt;$T156,BK$4&lt;=$V156),1,0)*'Detailed Assumptions'!$E$6</f>
        <v>0</v>
      </c>
      <c r="BL475" s="542">
        <f>IF(AND(BL$4&gt;$T156,BL$4&lt;=$V156),1,0)*'Detailed Assumptions'!$E$6</f>
        <v>0</v>
      </c>
      <c r="BM475" s="542">
        <f>IF(AND(BM$4&gt;$T156,BM$4&lt;=$V156),1,0)*'Detailed Assumptions'!$E$6</f>
        <v>0</v>
      </c>
      <c r="BN475" s="542">
        <f>IF(AND(BN$4&gt;$T156,BN$4&lt;=$V156),1,0)*'Detailed Assumptions'!$E$6</f>
        <v>0</v>
      </c>
      <c r="BO475" s="542">
        <f>IF(AND(BO$4&gt;$T156,BO$4&lt;=$V156),1,0)*'Detailed Assumptions'!$E$6</f>
        <v>0</v>
      </c>
      <c r="BP475" s="542">
        <f>IF(AND(BP$4&gt;$T156,BP$4&lt;=$V156),1,0)*'Detailed Assumptions'!$E$6</f>
        <v>0</v>
      </c>
      <c r="BQ475" s="542">
        <f>IF(AND(BQ$4&gt;$T156,BQ$4&lt;=$V156),1,0)*'Detailed Assumptions'!$E$6</f>
        <v>0</v>
      </c>
      <c r="BR475" s="542">
        <f>IF(AND(BR$4&gt;$T156,BR$4&lt;=$V156),1,0)*'Detailed Assumptions'!$E$6</f>
        <v>0</v>
      </c>
      <c r="BS475" s="542">
        <f>IF(AND(BS$4&gt;$T156,BS$4&lt;=$V156),1,0)*'Detailed Assumptions'!$E$6</f>
        <v>0</v>
      </c>
      <c r="BT475" s="542">
        <f>IF(AND(BT$4&gt;$T156,BT$4&lt;=$V156),1,0)*'Detailed Assumptions'!$E$6</f>
        <v>0</v>
      </c>
      <c r="BU475" s="542">
        <f>IF(AND(BU$4&gt;$T156,BU$4&lt;=$V156),1,0)*'Detailed Assumptions'!$E$6</f>
        <v>0</v>
      </c>
      <c r="BV475" s="542">
        <f>IF(AND(BV$4&gt;$T156,BV$4&lt;=$V156),1,0)*'Detailed Assumptions'!$E$6</f>
        <v>0</v>
      </c>
      <c r="BW475" s="542">
        <f>IF(AND(BW$4&gt;$T156,BW$4&lt;=$V156),1,0)*'Detailed Assumptions'!$E$6</f>
        <v>0</v>
      </c>
      <c r="BX475" s="542">
        <f>IF(AND(BX$4&gt;$T156,BX$4&lt;=$V156),1,0)*'Detailed Assumptions'!$E$6</f>
        <v>0</v>
      </c>
      <c r="BY475" s="542">
        <f>IF(AND(BY$4&gt;$T156,BY$4&lt;=$V156),1,0)*'Detailed Assumptions'!$E$6</f>
        <v>0</v>
      </c>
    </row>
    <row r="476" spans="3:77" x14ac:dyDescent="0.3">
      <c r="C476" s="2"/>
      <c r="D476" s="2"/>
      <c r="E476" s="70" t="str">
        <f>"Flag - capex period: "&amp;E$157</f>
        <v>Flag - capex period: FY29 Tranche</v>
      </c>
      <c r="F476" s="2"/>
      <c r="G476" s="2"/>
      <c r="H476" s="2"/>
      <c r="I476" s="2"/>
      <c r="J476" s="2"/>
      <c r="K476" s="2"/>
      <c r="L476" s="2"/>
      <c r="M476" s="2"/>
      <c r="N476" s="2"/>
      <c r="O476" s="2"/>
      <c r="P476" s="10"/>
      <c r="Q476" s="2"/>
      <c r="R476" s="19">
        <f>IF(AND(R$4&gt;$T157,R$4&lt;=$V157),1,0)*'Detailed Assumptions'!$E$6</f>
        <v>0</v>
      </c>
      <c r="S476" s="19">
        <f>IF(AND(S$4&gt;$T157,S$4&lt;=$V157),1,0)*'Detailed Assumptions'!$E$6</f>
        <v>0</v>
      </c>
      <c r="T476" s="19">
        <f>IF(AND(T$4&gt;$T157,T$4&lt;=$V157),1,0)*'Detailed Assumptions'!$E$6</f>
        <v>0</v>
      </c>
      <c r="U476" s="19">
        <f>IF(AND(U$4&gt;$T157,U$4&lt;=$V157),1,0)*'Detailed Assumptions'!$E$6</f>
        <v>0</v>
      </c>
      <c r="V476" s="19">
        <f>IF(AND(V$4&gt;$T157,V$4&lt;=$V157),1,0)*'Detailed Assumptions'!$E$6</f>
        <v>0</v>
      </c>
      <c r="W476" s="19">
        <f>IF(AND(W$4&gt;$T157,W$4&lt;=$V157),1,0)*'Detailed Assumptions'!$E$6</f>
        <v>0</v>
      </c>
      <c r="X476" s="19">
        <f>IF(AND(X$4&gt;$T157,X$4&lt;=$V157),1,0)*'Detailed Assumptions'!$E$6</f>
        <v>0</v>
      </c>
      <c r="Y476" s="19">
        <f>IF(AND(Y$4&gt;$T157,Y$4&lt;=$V157),1,0)*'Detailed Assumptions'!$E$6</f>
        <v>0</v>
      </c>
      <c r="Z476" s="19">
        <f>IF(AND(Z$4&gt;$T157,Z$4&lt;=$V157),1,0)*'Detailed Assumptions'!$E$6</f>
        <v>0</v>
      </c>
      <c r="AA476" s="19">
        <f>IF(AND(AA$4&gt;$T157,AA$4&lt;=$V157),1,0)*'Detailed Assumptions'!$E$6</f>
        <v>0</v>
      </c>
      <c r="AB476" s="19">
        <f>IF(AND(AB$4&gt;$T157,AB$4&lt;=$V157),1,0)*'Detailed Assumptions'!$E$6</f>
        <v>0</v>
      </c>
      <c r="AC476" s="19">
        <f>IF(AND(AC$4&gt;$T157,AC$4&lt;=$V157),1,0)*'Detailed Assumptions'!$E$6</f>
        <v>0</v>
      </c>
      <c r="AD476" s="19">
        <f>IF(AND(AD$4&gt;$T157,AD$4&lt;=$V157),1,0)*'Detailed Assumptions'!$E$6</f>
        <v>0</v>
      </c>
      <c r="AE476" s="19">
        <f>IF(AND(AE$4&gt;$T157,AE$4&lt;=$V157),1,0)*'Detailed Assumptions'!$E$6</f>
        <v>0</v>
      </c>
      <c r="AF476" s="19">
        <f>IF(AND(AF$4&gt;$T157,AF$4&lt;=$V157),1,0)*'Detailed Assumptions'!$E$6</f>
        <v>0</v>
      </c>
      <c r="AG476" s="19">
        <f>IF(AND(AG$4&gt;$T157,AG$4&lt;=$V157),1,0)*'Detailed Assumptions'!$E$6</f>
        <v>0</v>
      </c>
      <c r="AH476" s="19">
        <f>IF(AND(AH$4&gt;$T157,AH$4&lt;=$V157),1,0)*'Detailed Assumptions'!$E$6</f>
        <v>0</v>
      </c>
      <c r="AI476" s="19">
        <f>IF(AND(AI$4&gt;$T157,AI$4&lt;=$V157),1,0)*'Detailed Assumptions'!$E$6</f>
        <v>0</v>
      </c>
      <c r="AJ476" s="19">
        <f>IF(AND(AJ$4&gt;$T157,AJ$4&lt;=$V157),1,0)*'Detailed Assumptions'!$E$6</f>
        <v>0</v>
      </c>
      <c r="AK476" s="19">
        <f>IF(AND(AK$4&gt;$T157,AK$4&lt;=$V157),1,0)*'Detailed Assumptions'!$E$6</f>
        <v>0</v>
      </c>
      <c r="AL476" s="19">
        <f>IF(AND(AL$4&gt;$T157,AL$4&lt;=$V157),1,0)*'Detailed Assumptions'!$E$6</f>
        <v>0</v>
      </c>
      <c r="AM476" s="19">
        <f>IF(AND(AM$4&gt;$T157,AM$4&lt;=$V157),1,0)*'Detailed Assumptions'!$E$6</f>
        <v>0</v>
      </c>
      <c r="AN476" s="542">
        <f>IF(AND(AN$4&gt;$T157,AN$4&lt;=$V157),1,0)*'Detailed Assumptions'!$E$6</f>
        <v>0</v>
      </c>
      <c r="AO476" s="542">
        <f>IF(AND(AO$4&gt;$T157,AO$4&lt;=$V157),1,0)*'Detailed Assumptions'!$E$6</f>
        <v>0</v>
      </c>
      <c r="AP476" s="542">
        <f>IF(AND(AP$4&gt;$T157,AP$4&lt;=$V157),1,0)*'Detailed Assumptions'!$E$6</f>
        <v>0</v>
      </c>
      <c r="AQ476" s="542">
        <f>IF(AND(AQ$4&gt;$T157,AQ$4&lt;=$V157),1,0)*'Detailed Assumptions'!$E$6</f>
        <v>0</v>
      </c>
      <c r="AR476" s="542">
        <f>IF(AND(AR$4&gt;$T157,AR$4&lt;=$V157),1,0)*'Detailed Assumptions'!$E$6</f>
        <v>0</v>
      </c>
      <c r="AS476" s="542">
        <f>IF(AND(AS$4&gt;$T157,AS$4&lt;=$V157),1,0)*'Detailed Assumptions'!$E$6</f>
        <v>0</v>
      </c>
      <c r="AT476" s="542">
        <f>IF(AND(AT$4&gt;$T157,AT$4&lt;=$V157),1,0)*'Detailed Assumptions'!$E$6</f>
        <v>0</v>
      </c>
      <c r="AU476" s="542">
        <f>IF(AND(AU$4&gt;$T157,AU$4&lt;=$V157),1,0)*'Detailed Assumptions'!$E$6</f>
        <v>1</v>
      </c>
      <c r="AV476" s="542">
        <f>IF(AND(AV$4&gt;$T157,AV$4&lt;=$V157),1,0)*'Detailed Assumptions'!$E$6</f>
        <v>0</v>
      </c>
      <c r="AW476" s="542">
        <f>IF(AND(AW$4&gt;$T157,AW$4&lt;=$V157),1,0)*'Detailed Assumptions'!$E$6</f>
        <v>0</v>
      </c>
      <c r="AX476" s="542">
        <f>IF(AND(AX$4&gt;$T157,AX$4&lt;=$V157),1,0)*'Detailed Assumptions'!$E$6</f>
        <v>0</v>
      </c>
      <c r="AY476" s="542">
        <f>IF(AND(AY$4&gt;$T157,AY$4&lt;=$V157),1,0)*'Detailed Assumptions'!$E$6</f>
        <v>0</v>
      </c>
      <c r="AZ476" s="542">
        <f>IF(AND(AZ$4&gt;$T157,AZ$4&lt;=$V157),1,0)*'Detailed Assumptions'!$E$6</f>
        <v>0</v>
      </c>
      <c r="BA476" s="542">
        <f>IF(AND(BA$4&gt;$T157,BA$4&lt;=$V157),1,0)*'Detailed Assumptions'!$E$6</f>
        <v>0</v>
      </c>
      <c r="BB476" s="542">
        <f>IF(AND(BB$4&gt;$T157,BB$4&lt;=$V157),1,0)*'Detailed Assumptions'!$E$6</f>
        <v>0</v>
      </c>
      <c r="BC476" s="542">
        <f>IF(AND(BC$4&gt;$T157,BC$4&lt;=$V157),1,0)*'Detailed Assumptions'!$E$6</f>
        <v>0</v>
      </c>
      <c r="BD476" s="542">
        <f>IF(AND(BD$4&gt;$T157,BD$4&lt;=$V157),1,0)*'Detailed Assumptions'!$E$6</f>
        <v>0</v>
      </c>
      <c r="BE476" s="542">
        <f>IF(AND(BE$4&gt;$T157,BE$4&lt;=$V157),1,0)*'Detailed Assumptions'!$E$6</f>
        <v>0</v>
      </c>
      <c r="BF476" s="542">
        <f>IF(AND(BF$4&gt;$T157,BF$4&lt;=$V157),1,0)*'Detailed Assumptions'!$E$6</f>
        <v>0</v>
      </c>
      <c r="BG476" s="542">
        <f>IF(AND(BG$4&gt;$T157,BG$4&lt;=$V157),1,0)*'Detailed Assumptions'!$E$6</f>
        <v>0</v>
      </c>
      <c r="BH476" s="542">
        <f>IF(AND(BH$4&gt;$T157,BH$4&lt;=$V157),1,0)*'Detailed Assumptions'!$E$6</f>
        <v>0</v>
      </c>
      <c r="BI476" s="542">
        <f>IF(AND(BI$4&gt;$T157,BI$4&lt;=$V157),1,0)*'Detailed Assumptions'!$E$6</f>
        <v>0</v>
      </c>
      <c r="BJ476" s="542">
        <f>IF(AND(BJ$4&gt;$T157,BJ$4&lt;=$V157),1,0)*'Detailed Assumptions'!$E$6</f>
        <v>0</v>
      </c>
      <c r="BK476" s="542">
        <f>IF(AND(BK$4&gt;$T157,BK$4&lt;=$V157),1,0)*'Detailed Assumptions'!$E$6</f>
        <v>0</v>
      </c>
      <c r="BL476" s="542">
        <f>IF(AND(BL$4&gt;$T157,BL$4&lt;=$V157),1,0)*'Detailed Assumptions'!$E$6</f>
        <v>0</v>
      </c>
      <c r="BM476" s="542">
        <f>IF(AND(BM$4&gt;$T157,BM$4&lt;=$V157),1,0)*'Detailed Assumptions'!$E$6</f>
        <v>0</v>
      </c>
      <c r="BN476" s="542">
        <f>IF(AND(BN$4&gt;$T157,BN$4&lt;=$V157),1,0)*'Detailed Assumptions'!$E$6</f>
        <v>0</v>
      </c>
      <c r="BO476" s="542">
        <f>IF(AND(BO$4&gt;$T157,BO$4&lt;=$V157),1,0)*'Detailed Assumptions'!$E$6</f>
        <v>0</v>
      </c>
      <c r="BP476" s="542">
        <f>IF(AND(BP$4&gt;$T157,BP$4&lt;=$V157),1,0)*'Detailed Assumptions'!$E$6</f>
        <v>0</v>
      </c>
      <c r="BQ476" s="542">
        <f>IF(AND(BQ$4&gt;$T157,BQ$4&lt;=$V157),1,0)*'Detailed Assumptions'!$E$6</f>
        <v>0</v>
      </c>
      <c r="BR476" s="542">
        <f>IF(AND(BR$4&gt;$T157,BR$4&lt;=$V157),1,0)*'Detailed Assumptions'!$E$6</f>
        <v>0</v>
      </c>
      <c r="BS476" s="542">
        <f>IF(AND(BS$4&gt;$T157,BS$4&lt;=$V157),1,0)*'Detailed Assumptions'!$E$6</f>
        <v>0</v>
      </c>
      <c r="BT476" s="542">
        <f>IF(AND(BT$4&gt;$T157,BT$4&lt;=$V157),1,0)*'Detailed Assumptions'!$E$6</f>
        <v>0</v>
      </c>
      <c r="BU476" s="542">
        <f>IF(AND(BU$4&gt;$T157,BU$4&lt;=$V157),1,0)*'Detailed Assumptions'!$E$6</f>
        <v>0</v>
      </c>
      <c r="BV476" s="542">
        <f>IF(AND(BV$4&gt;$T157,BV$4&lt;=$V157),1,0)*'Detailed Assumptions'!$E$6</f>
        <v>0</v>
      </c>
      <c r="BW476" s="542">
        <f>IF(AND(BW$4&gt;$T157,BW$4&lt;=$V157),1,0)*'Detailed Assumptions'!$E$6</f>
        <v>0</v>
      </c>
      <c r="BX476" s="542">
        <f>IF(AND(BX$4&gt;$T157,BX$4&lt;=$V157),1,0)*'Detailed Assumptions'!$E$6</f>
        <v>0</v>
      </c>
      <c r="BY476" s="542">
        <f>IF(AND(BY$4&gt;$T157,BY$4&lt;=$V157),1,0)*'Detailed Assumptions'!$E$6</f>
        <v>0</v>
      </c>
    </row>
    <row r="477" spans="3:77" x14ac:dyDescent="0.3">
      <c r="C477" s="2"/>
      <c r="D477" s="2"/>
      <c r="E477" s="70" t="str">
        <f>"Flag - capex period: "&amp;E$158</f>
        <v>Flag - capex period: FY30 Tranche</v>
      </c>
      <c r="F477" s="2"/>
      <c r="G477" s="2"/>
      <c r="H477" s="2"/>
      <c r="I477" s="2"/>
      <c r="J477" s="2"/>
      <c r="K477" s="2"/>
      <c r="L477" s="2"/>
      <c r="M477" s="2"/>
      <c r="N477" s="2"/>
      <c r="O477" s="2"/>
      <c r="P477" s="10"/>
      <c r="Q477" s="2"/>
      <c r="R477" s="19">
        <f>IF(AND(R$4&gt;$T158,R$4&lt;=$V158),1,0)*'Detailed Assumptions'!$E$6</f>
        <v>0</v>
      </c>
      <c r="S477" s="19">
        <f>IF(AND(S$4&gt;$T158,S$4&lt;=$V158),1,0)*'Detailed Assumptions'!$E$6</f>
        <v>0</v>
      </c>
      <c r="T477" s="19">
        <f>IF(AND(T$4&gt;$T158,T$4&lt;=$V158),1,0)*'Detailed Assumptions'!$E$6</f>
        <v>0</v>
      </c>
      <c r="U477" s="19">
        <f>IF(AND(U$4&gt;$T158,U$4&lt;=$V158),1,0)*'Detailed Assumptions'!$E$6</f>
        <v>0</v>
      </c>
      <c r="V477" s="19">
        <f>IF(AND(V$4&gt;$T158,V$4&lt;=$V158),1,0)*'Detailed Assumptions'!$E$6</f>
        <v>0</v>
      </c>
      <c r="W477" s="19">
        <f>IF(AND(W$4&gt;$T158,W$4&lt;=$V158),1,0)*'Detailed Assumptions'!$E$6</f>
        <v>0</v>
      </c>
      <c r="X477" s="19">
        <f>IF(AND(X$4&gt;$T158,X$4&lt;=$V158),1,0)*'Detailed Assumptions'!$E$6</f>
        <v>0</v>
      </c>
      <c r="Y477" s="19">
        <f>IF(AND(Y$4&gt;$T158,Y$4&lt;=$V158),1,0)*'Detailed Assumptions'!$E$6</f>
        <v>0</v>
      </c>
      <c r="Z477" s="19">
        <f>IF(AND(Z$4&gt;$T158,Z$4&lt;=$V158),1,0)*'Detailed Assumptions'!$E$6</f>
        <v>0</v>
      </c>
      <c r="AA477" s="19">
        <f>IF(AND(AA$4&gt;$T158,AA$4&lt;=$V158),1,0)*'Detailed Assumptions'!$E$6</f>
        <v>0</v>
      </c>
      <c r="AB477" s="19">
        <f>IF(AND(AB$4&gt;$T158,AB$4&lt;=$V158),1,0)*'Detailed Assumptions'!$E$6</f>
        <v>0</v>
      </c>
      <c r="AC477" s="19">
        <f>IF(AND(AC$4&gt;$T158,AC$4&lt;=$V158),1,0)*'Detailed Assumptions'!$E$6</f>
        <v>0</v>
      </c>
      <c r="AD477" s="19">
        <f>IF(AND(AD$4&gt;$T158,AD$4&lt;=$V158),1,0)*'Detailed Assumptions'!$E$6</f>
        <v>0</v>
      </c>
      <c r="AE477" s="19">
        <f>IF(AND(AE$4&gt;$T158,AE$4&lt;=$V158),1,0)*'Detailed Assumptions'!$E$6</f>
        <v>0</v>
      </c>
      <c r="AF477" s="19">
        <f>IF(AND(AF$4&gt;$T158,AF$4&lt;=$V158),1,0)*'Detailed Assumptions'!$E$6</f>
        <v>0</v>
      </c>
      <c r="AG477" s="19">
        <f>IF(AND(AG$4&gt;$T158,AG$4&lt;=$V158),1,0)*'Detailed Assumptions'!$E$6</f>
        <v>0</v>
      </c>
      <c r="AH477" s="19">
        <f>IF(AND(AH$4&gt;$T158,AH$4&lt;=$V158),1,0)*'Detailed Assumptions'!$E$6</f>
        <v>0</v>
      </c>
      <c r="AI477" s="19">
        <f>IF(AND(AI$4&gt;$T158,AI$4&lt;=$V158),1,0)*'Detailed Assumptions'!$E$6</f>
        <v>0</v>
      </c>
      <c r="AJ477" s="19">
        <f>IF(AND(AJ$4&gt;$T158,AJ$4&lt;=$V158),1,0)*'Detailed Assumptions'!$E$6</f>
        <v>0</v>
      </c>
      <c r="AK477" s="19">
        <f>IF(AND(AK$4&gt;$T158,AK$4&lt;=$V158),1,0)*'Detailed Assumptions'!$E$6</f>
        <v>0</v>
      </c>
      <c r="AL477" s="19">
        <f>IF(AND(AL$4&gt;$T158,AL$4&lt;=$V158),1,0)*'Detailed Assumptions'!$E$6</f>
        <v>0</v>
      </c>
      <c r="AM477" s="19">
        <f>IF(AND(AM$4&gt;$T158,AM$4&lt;=$V158),1,0)*'Detailed Assumptions'!$E$6</f>
        <v>0</v>
      </c>
      <c r="AN477" s="542">
        <f>IF(AND(AN$4&gt;$T158,AN$4&lt;=$V158),1,0)*'Detailed Assumptions'!$E$6</f>
        <v>0</v>
      </c>
      <c r="AO477" s="542">
        <f>IF(AND(AO$4&gt;$T158,AO$4&lt;=$V158),1,0)*'Detailed Assumptions'!$E$6</f>
        <v>0</v>
      </c>
      <c r="AP477" s="542">
        <f>IF(AND(AP$4&gt;$T158,AP$4&lt;=$V158),1,0)*'Detailed Assumptions'!$E$6</f>
        <v>0</v>
      </c>
      <c r="AQ477" s="542">
        <f>IF(AND(AQ$4&gt;$T158,AQ$4&lt;=$V158),1,0)*'Detailed Assumptions'!$E$6</f>
        <v>0</v>
      </c>
      <c r="AR477" s="542">
        <f>IF(AND(AR$4&gt;$T158,AR$4&lt;=$V158),1,0)*'Detailed Assumptions'!$E$6</f>
        <v>0</v>
      </c>
      <c r="AS477" s="542">
        <f>IF(AND(AS$4&gt;$T158,AS$4&lt;=$V158),1,0)*'Detailed Assumptions'!$E$6</f>
        <v>0</v>
      </c>
      <c r="AT477" s="542">
        <f>IF(AND(AT$4&gt;$T158,AT$4&lt;=$V158),1,0)*'Detailed Assumptions'!$E$6</f>
        <v>0</v>
      </c>
      <c r="AU477" s="542">
        <f>IF(AND(AU$4&gt;$T158,AU$4&lt;=$V158),1,0)*'Detailed Assumptions'!$E$6</f>
        <v>0</v>
      </c>
      <c r="AV477" s="542">
        <f>IF(AND(AV$4&gt;$T158,AV$4&lt;=$V158),1,0)*'Detailed Assumptions'!$E$6</f>
        <v>0</v>
      </c>
      <c r="AW477" s="542">
        <f>IF(AND(AW$4&gt;$T158,AW$4&lt;=$V158),1,0)*'Detailed Assumptions'!$E$6</f>
        <v>0</v>
      </c>
      <c r="AX477" s="542">
        <f>IF(AND(AX$4&gt;$T158,AX$4&lt;=$V158),1,0)*'Detailed Assumptions'!$E$6</f>
        <v>0</v>
      </c>
      <c r="AY477" s="542">
        <f>IF(AND(AY$4&gt;$T158,AY$4&lt;=$V158),1,0)*'Detailed Assumptions'!$E$6</f>
        <v>0</v>
      </c>
      <c r="AZ477" s="542">
        <f>IF(AND(AZ$4&gt;$T158,AZ$4&lt;=$V158),1,0)*'Detailed Assumptions'!$E$6</f>
        <v>0</v>
      </c>
      <c r="BA477" s="542">
        <f>IF(AND(BA$4&gt;$T158,BA$4&lt;=$V158),1,0)*'Detailed Assumptions'!$E$6</f>
        <v>0</v>
      </c>
      <c r="BB477" s="542">
        <f>IF(AND(BB$4&gt;$T158,BB$4&lt;=$V158),1,0)*'Detailed Assumptions'!$E$6</f>
        <v>0</v>
      </c>
      <c r="BC477" s="542">
        <f>IF(AND(BC$4&gt;$T158,BC$4&lt;=$V158),1,0)*'Detailed Assumptions'!$E$6</f>
        <v>0</v>
      </c>
      <c r="BD477" s="542">
        <f>IF(AND(BD$4&gt;$T158,BD$4&lt;=$V158),1,0)*'Detailed Assumptions'!$E$6</f>
        <v>0</v>
      </c>
      <c r="BE477" s="542">
        <f>IF(AND(BE$4&gt;$T158,BE$4&lt;=$V158),1,0)*'Detailed Assumptions'!$E$6</f>
        <v>0</v>
      </c>
      <c r="BF477" s="542">
        <f>IF(AND(BF$4&gt;$T158,BF$4&lt;=$V158),1,0)*'Detailed Assumptions'!$E$6</f>
        <v>0</v>
      </c>
      <c r="BG477" s="542">
        <f>IF(AND(BG$4&gt;$T158,BG$4&lt;=$V158),1,0)*'Detailed Assumptions'!$E$6</f>
        <v>1</v>
      </c>
      <c r="BH477" s="542">
        <f>IF(AND(BH$4&gt;$T158,BH$4&lt;=$V158),1,0)*'Detailed Assumptions'!$E$6</f>
        <v>0</v>
      </c>
      <c r="BI477" s="542">
        <f>IF(AND(BI$4&gt;$T158,BI$4&lt;=$V158),1,0)*'Detailed Assumptions'!$E$6</f>
        <v>0</v>
      </c>
      <c r="BJ477" s="542">
        <f>IF(AND(BJ$4&gt;$T158,BJ$4&lt;=$V158),1,0)*'Detailed Assumptions'!$E$6</f>
        <v>0</v>
      </c>
      <c r="BK477" s="542">
        <f>IF(AND(BK$4&gt;$T158,BK$4&lt;=$V158),1,0)*'Detailed Assumptions'!$E$6</f>
        <v>0</v>
      </c>
      <c r="BL477" s="542">
        <f>IF(AND(BL$4&gt;$T158,BL$4&lt;=$V158),1,0)*'Detailed Assumptions'!$E$6</f>
        <v>0</v>
      </c>
      <c r="BM477" s="542">
        <f>IF(AND(BM$4&gt;$T158,BM$4&lt;=$V158),1,0)*'Detailed Assumptions'!$E$6</f>
        <v>0</v>
      </c>
      <c r="BN477" s="542">
        <f>IF(AND(BN$4&gt;$T158,BN$4&lt;=$V158),1,0)*'Detailed Assumptions'!$E$6</f>
        <v>0</v>
      </c>
      <c r="BO477" s="542">
        <f>IF(AND(BO$4&gt;$T158,BO$4&lt;=$V158),1,0)*'Detailed Assumptions'!$E$6</f>
        <v>0</v>
      </c>
      <c r="BP477" s="542">
        <f>IF(AND(BP$4&gt;$T158,BP$4&lt;=$V158),1,0)*'Detailed Assumptions'!$E$6</f>
        <v>0</v>
      </c>
      <c r="BQ477" s="542">
        <f>IF(AND(BQ$4&gt;$T158,BQ$4&lt;=$V158),1,0)*'Detailed Assumptions'!$E$6</f>
        <v>0</v>
      </c>
      <c r="BR477" s="542">
        <f>IF(AND(BR$4&gt;$T158,BR$4&lt;=$V158),1,0)*'Detailed Assumptions'!$E$6</f>
        <v>0</v>
      </c>
      <c r="BS477" s="542">
        <f>IF(AND(BS$4&gt;$T158,BS$4&lt;=$V158),1,0)*'Detailed Assumptions'!$E$6</f>
        <v>0</v>
      </c>
      <c r="BT477" s="542">
        <f>IF(AND(BT$4&gt;$T158,BT$4&lt;=$V158),1,0)*'Detailed Assumptions'!$E$6</f>
        <v>0</v>
      </c>
      <c r="BU477" s="542">
        <f>IF(AND(BU$4&gt;$T158,BU$4&lt;=$V158),1,0)*'Detailed Assumptions'!$E$6</f>
        <v>0</v>
      </c>
      <c r="BV477" s="542">
        <f>IF(AND(BV$4&gt;$T158,BV$4&lt;=$V158),1,0)*'Detailed Assumptions'!$E$6</f>
        <v>0</v>
      </c>
      <c r="BW477" s="542">
        <f>IF(AND(BW$4&gt;$T158,BW$4&lt;=$V158),1,0)*'Detailed Assumptions'!$E$6</f>
        <v>0</v>
      </c>
      <c r="BX477" s="542">
        <f>IF(AND(BX$4&gt;$T158,BX$4&lt;=$V158),1,0)*'Detailed Assumptions'!$E$6</f>
        <v>0</v>
      </c>
      <c r="BY477" s="542">
        <f>IF(AND(BY$4&gt;$T158,BY$4&lt;=$V158),1,0)*'Detailed Assumptions'!$E$6</f>
        <v>0</v>
      </c>
    </row>
    <row r="478" spans="3:77" x14ac:dyDescent="0.3">
      <c r="C478" s="2"/>
      <c r="D478" s="2"/>
      <c r="E478" s="70" t="str">
        <f>"Flag - capex period: "&amp;E$159</f>
        <v>Flag - capex period: FY31 Tranche</v>
      </c>
      <c r="F478" s="2"/>
      <c r="G478" s="2"/>
      <c r="H478" s="2"/>
      <c r="I478" s="2"/>
      <c r="J478" s="2"/>
      <c r="K478" s="2"/>
      <c r="L478" s="2"/>
      <c r="M478" s="2"/>
      <c r="N478" s="2"/>
      <c r="O478" s="2"/>
      <c r="P478" s="10"/>
      <c r="Q478" s="2"/>
      <c r="R478" s="19">
        <f>IF(AND(R$4&gt;$T159,R$4&lt;=$V159),1,0)*'Detailed Assumptions'!$E$6</f>
        <v>0</v>
      </c>
      <c r="S478" s="19">
        <f>IF(AND(S$4&gt;$T159,S$4&lt;=$V159),1,0)*'Detailed Assumptions'!$E$6</f>
        <v>0</v>
      </c>
      <c r="T478" s="19">
        <f>IF(AND(T$4&gt;$T159,T$4&lt;=$V159),1,0)*'Detailed Assumptions'!$E$6</f>
        <v>0</v>
      </c>
      <c r="U478" s="19">
        <f>IF(AND(U$4&gt;$T159,U$4&lt;=$V159),1,0)*'Detailed Assumptions'!$E$6</f>
        <v>0</v>
      </c>
      <c r="V478" s="19">
        <f>IF(AND(V$4&gt;$T159,V$4&lt;=$V159),1,0)*'Detailed Assumptions'!$E$6</f>
        <v>0</v>
      </c>
      <c r="W478" s="19">
        <f>IF(AND(W$4&gt;$T159,W$4&lt;=$V159),1,0)*'Detailed Assumptions'!$E$6</f>
        <v>0</v>
      </c>
      <c r="X478" s="19">
        <f>IF(AND(X$4&gt;$T159,X$4&lt;=$V159),1,0)*'Detailed Assumptions'!$E$6</f>
        <v>0</v>
      </c>
      <c r="Y478" s="19">
        <f>IF(AND(Y$4&gt;$T159,Y$4&lt;=$V159),1,0)*'Detailed Assumptions'!$E$6</f>
        <v>0</v>
      </c>
      <c r="Z478" s="19">
        <f>IF(AND(Z$4&gt;$T159,Z$4&lt;=$V159),1,0)*'Detailed Assumptions'!$E$6</f>
        <v>0</v>
      </c>
      <c r="AA478" s="19">
        <f>IF(AND(AA$4&gt;$T159,AA$4&lt;=$V159),1,0)*'Detailed Assumptions'!$E$6</f>
        <v>0</v>
      </c>
      <c r="AB478" s="19">
        <f>IF(AND(AB$4&gt;$T159,AB$4&lt;=$V159),1,0)*'Detailed Assumptions'!$E$6</f>
        <v>0</v>
      </c>
      <c r="AC478" s="19">
        <f>IF(AND(AC$4&gt;$T159,AC$4&lt;=$V159),1,0)*'Detailed Assumptions'!$E$6</f>
        <v>0</v>
      </c>
      <c r="AD478" s="19">
        <f>IF(AND(AD$4&gt;$T159,AD$4&lt;=$V159),1,0)*'Detailed Assumptions'!$E$6</f>
        <v>0</v>
      </c>
      <c r="AE478" s="19">
        <f>IF(AND(AE$4&gt;$T159,AE$4&lt;=$V159),1,0)*'Detailed Assumptions'!$E$6</f>
        <v>0</v>
      </c>
      <c r="AF478" s="19">
        <f>IF(AND(AF$4&gt;$T159,AF$4&lt;=$V159),1,0)*'Detailed Assumptions'!$E$6</f>
        <v>0</v>
      </c>
      <c r="AG478" s="19">
        <f>IF(AND(AG$4&gt;$T159,AG$4&lt;=$V159),1,0)*'Detailed Assumptions'!$E$6</f>
        <v>0</v>
      </c>
      <c r="AH478" s="19">
        <f>IF(AND(AH$4&gt;$T159,AH$4&lt;=$V159),1,0)*'Detailed Assumptions'!$E$6</f>
        <v>0</v>
      </c>
      <c r="AI478" s="19">
        <f>IF(AND(AI$4&gt;$T159,AI$4&lt;=$V159),1,0)*'Detailed Assumptions'!$E$6</f>
        <v>0</v>
      </c>
      <c r="AJ478" s="19">
        <f>IF(AND(AJ$4&gt;$T159,AJ$4&lt;=$V159),1,0)*'Detailed Assumptions'!$E$6</f>
        <v>0</v>
      </c>
      <c r="AK478" s="19">
        <f>IF(AND(AK$4&gt;$T159,AK$4&lt;=$V159),1,0)*'Detailed Assumptions'!$E$6</f>
        <v>0</v>
      </c>
      <c r="AL478" s="19">
        <f>IF(AND(AL$4&gt;$T159,AL$4&lt;=$V159),1,0)*'Detailed Assumptions'!$E$6</f>
        <v>0</v>
      </c>
      <c r="AM478" s="19">
        <f>IF(AND(AM$4&gt;$T159,AM$4&lt;=$V159),1,0)*'Detailed Assumptions'!$E$6</f>
        <v>0</v>
      </c>
      <c r="AN478" s="542">
        <f>IF(AND(AN$4&gt;$T159,AN$4&lt;=$V159),1,0)*'Detailed Assumptions'!$E$6</f>
        <v>0</v>
      </c>
      <c r="AO478" s="542">
        <f>IF(AND(AO$4&gt;$T159,AO$4&lt;=$V159),1,0)*'Detailed Assumptions'!$E$6</f>
        <v>0</v>
      </c>
      <c r="AP478" s="542">
        <f>IF(AND(AP$4&gt;$T159,AP$4&lt;=$V159),1,0)*'Detailed Assumptions'!$E$6</f>
        <v>0</v>
      </c>
      <c r="AQ478" s="542">
        <f>IF(AND(AQ$4&gt;$T159,AQ$4&lt;=$V159),1,0)*'Detailed Assumptions'!$E$6</f>
        <v>0</v>
      </c>
      <c r="AR478" s="542">
        <f>IF(AND(AR$4&gt;$T159,AR$4&lt;=$V159),1,0)*'Detailed Assumptions'!$E$6</f>
        <v>0</v>
      </c>
      <c r="AS478" s="542">
        <f>IF(AND(AS$4&gt;$T159,AS$4&lt;=$V159),1,0)*'Detailed Assumptions'!$E$6</f>
        <v>0</v>
      </c>
      <c r="AT478" s="542">
        <f>IF(AND(AT$4&gt;$T159,AT$4&lt;=$V159),1,0)*'Detailed Assumptions'!$E$6</f>
        <v>0</v>
      </c>
      <c r="AU478" s="542">
        <f>IF(AND(AU$4&gt;$T159,AU$4&lt;=$V159),1,0)*'Detailed Assumptions'!$E$6</f>
        <v>0</v>
      </c>
      <c r="AV478" s="542">
        <f>IF(AND(AV$4&gt;$T159,AV$4&lt;=$V159),1,0)*'Detailed Assumptions'!$E$6</f>
        <v>0</v>
      </c>
      <c r="AW478" s="542">
        <f>IF(AND(AW$4&gt;$T159,AW$4&lt;=$V159),1,0)*'Detailed Assumptions'!$E$6</f>
        <v>0</v>
      </c>
      <c r="AX478" s="542">
        <f>IF(AND(AX$4&gt;$T159,AX$4&lt;=$V159),1,0)*'Detailed Assumptions'!$E$6</f>
        <v>0</v>
      </c>
      <c r="AY478" s="542">
        <f>IF(AND(AY$4&gt;$T159,AY$4&lt;=$V159),1,0)*'Detailed Assumptions'!$E$6</f>
        <v>0</v>
      </c>
      <c r="AZ478" s="542">
        <f>IF(AND(AZ$4&gt;$T159,AZ$4&lt;=$V159),1,0)*'Detailed Assumptions'!$E$6</f>
        <v>0</v>
      </c>
      <c r="BA478" s="542">
        <f>IF(AND(BA$4&gt;$T159,BA$4&lt;=$V159),1,0)*'Detailed Assumptions'!$E$6</f>
        <v>0</v>
      </c>
      <c r="BB478" s="542">
        <f>IF(AND(BB$4&gt;$T159,BB$4&lt;=$V159),1,0)*'Detailed Assumptions'!$E$6</f>
        <v>0</v>
      </c>
      <c r="BC478" s="542">
        <f>IF(AND(BC$4&gt;$T159,BC$4&lt;=$V159),1,0)*'Detailed Assumptions'!$E$6</f>
        <v>0</v>
      </c>
      <c r="BD478" s="542">
        <f>IF(AND(BD$4&gt;$T159,BD$4&lt;=$V159),1,0)*'Detailed Assumptions'!$E$6</f>
        <v>0</v>
      </c>
      <c r="BE478" s="542">
        <f>IF(AND(BE$4&gt;$T159,BE$4&lt;=$V159),1,0)*'Detailed Assumptions'!$E$6</f>
        <v>0</v>
      </c>
      <c r="BF478" s="542">
        <f>IF(AND(BF$4&gt;$T159,BF$4&lt;=$V159),1,0)*'Detailed Assumptions'!$E$6</f>
        <v>0</v>
      </c>
      <c r="BG478" s="542">
        <f>IF(AND(BG$4&gt;$T159,BG$4&lt;=$V159),1,0)*'Detailed Assumptions'!$E$6</f>
        <v>0</v>
      </c>
      <c r="BH478" s="542">
        <f>IF(AND(BH$4&gt;$T159,BH$4&lt;=$V159),1,0)*'Detailed Assumptions'!$E$6</f>
        <v>0</v>
      </c>
      <c r="BI478" s="542">
        <f>IF(AND(BI$4&gt;$T159,BI$4&lt;=$V159),1,0)*'Detailed Assumptions'!$E$6</f>
        <v>0</v>
      </c>
      <c r="BJ478" s="542">
        <f>IF(AND(BJ$4&gt;$T159,BJ$4&lt;=$V159),1,0)*'Detailed Assumptions'!$E$6</f>
        <v>0</v>
      </c>
      <c r="BK478" s="542">
        <f>IF(AND(BK$4&gt;$T159,BK$4&lt;=$V159),1,0)*'Detailed Assumptions'!$E$6</f>
        <v>0</v>
      </c>
      <c r="BL478" s="542">
        <f>IF(AND(BL$4&gt;$T159,BL$4&lt;=$V159),1,0)*'Detailed Assumptions'!$E$6</f>
        <v>0</v>
      </c>
      <c r="BM478" s="542">
        <f>IF(AND(BM$4&gt;$T159,BM$4&lt;=$V159),1,0)*'Detailed Assumptions'!$E$6</f>
        <v>0</v>
      </c>
      <c r="BN478" s="542">
        <f>IF(AND(BN$4&gt;$T159,BN$4&lt;=$V159),1,0)*'Detailed Assumptions'!$E$6</f>
        <v>0</v>
      </c>
      <c r="BO478" s="542">
        <f>IF(AND(BO$4&gt;$T159,BO$4&lt;=$V159),1,0)*'Detailed Assumptions'!$E$6</f>
        <v>0</v>
      </c>
      <c r="BP478" s="542">
        <f>IF(AND(BP$4&gt;$T159,BP$4&lt;=$V159),1,0)*'Detailed Assumptions'!$E$6</f>
        <v>0</v>
      </c>
      <c r="BQ478" s="542">
        <f>IF(AND(BQ$4&gt;$T159,BQ$4&lt;=$V159),1,0)*'Detailed Assumptions'!$E$6</f>
        <v>0</v>
      </c>
      <c r="BR478" s="542">
        <f>IF(AND(BR$4&gt;$T159,BR$4&lt;=$V159),1,0)*'Detailed Assumptions'!$E$6</f>
        <v>0</v>
      </c>
      <c r="BS478" s="542">
        <f>IF(AND(BS$4&gt;$T159,BS$4&lt;=$V159),1,0)*'Detailed Assumptions'!$E$6</f>
        <v>1</v>
      </c>
      <c r="BT478" s="542">
        <f>IF(AND(BT$4&gt;$T159,BT$4&lt;=$V159),1,0)*'Detailed Assumptions'!$E$6</f>
        <v>0</v>
      </c>
      <c r="BU478" s="542">
        <f>IF(AND(BU$4&gt;$T159,BU$4&lt;=$V159),1,0)*'Detailed Assumptions'!$E$6</f>
        <v>0</v>
      </c>
      <c r="BV478" s="542">
        <f>IF(AND(BV$4&gt;$T159,BV$4&lt;=$V159),1,0)*'Detailed Assumptions'!$E$6</f>
        <v>0</v>
      </c>
      <c r="BW478" s="542">
        <f>IF(AND(BW$4&gt;$T159,BW$4&lt;=$V159),1,0)*'Detailed Assumptions'!$E$6</f>
        <v>0</v>
      </c>
      <c r="BX478" s="542">
        <f>IF(AND(BX$4&gt;$T159,BX$4&lt;=$V159),1,0)*'Detailed Assumptions'!$E$6</f>
        <v>0</v>
      </c>
      <c r="BY478" s="542">
        <f>IF(AND(BY$4&gt;$T159,BY$4&lt;=$V159),1,0)*'Detailed Assumptions'!$E$6</f>
        <v>0</v>
      </c>
    </row>
    <row r="479" spans="3:77" x14ac:dyDescent="0.3">
      <c r="C479" s="2"/>
      <c r="D479" s="2"/>
      <c r="E479" s="70" t="str">
        <f>"Flag - capex period: "&amp;E$160</f>
        <v>Flag - capex period: Uninvested Tranche</v>
      </c>
      <c r="F479" s="2"/>
      <c r="G479" s="2"/>
      <c r="H479" s="2"/>
      <c r="I479" s="2"/>
      <c r="J479" s="2"/>
      <c r="K479" s="2"/>
      <c r="L479" s="2"/>
      <c r="M479" s="2"/>
      <c r="N479" s="2"/>
      <c r="O479" s="2"/>
      <c r="P479" s="10"/>
      <c r="Q479" s="2"/>
      <c r="R479" s="19">
        <f>IF(AND(R$4&gt;$T160,R$4&lt;=$V160),1,0)*'Detailed Assumptions'!$E$6</f>
        <v>0</v>
      </c>
      <c r="S479" s="19">
        <f>IF(AND(S$4&gt;$T160,S$4&lt;=$V160),1,0)*'Detailed Assumptions'!$E$6</f>
        <v>0</v>
      </c>
      <c r="T479" s="19">
        <f>IF(AND(T$4&gt;$T160,T$4&lt;=$V160),1,0)*'Detailed Assumptions'!$E$6</f>
        <v>0</v>
      </c>
      <c r="U479" s="19">
        <f>IF(AND(U$4&gt;$T160,U$4&lt;=$V160),1,0)*'Detailed Assumptions'!$E$6</f>
        <v>0</v>
      </c>
      <c r="V479" s="19">
        <f>IF(AND(V$4&gt;$T160,V$4&lt;=$V160),1,0)*'Detailed Assumptions'!$E$6</f>
        <v>0</v>
      </c>
      <c r="W479" s="19">
        <f>IF(AND(W$4&gt;$T160,W$4&lt;=$V160),1,0)*'Detailed Assumptions'!$E$6</f>
        <v>0</v>
      </c>
      <c r="X479" s="19">
        <f>IF(AND(X$4&gt;$T160,X$4&lt;=$V160),1,0)*'Detailed Assumptions'!$E$6</f>
        <v>0</v>
      </c>
      <c r="Y479" s="19">
        <f>IF(AND(Y$4&gt;$T160,Y$4&lt;=$V160),1,0)*'Detailed Assumptions'!$E$6</f>
        <v>0</v>
      </c>
      <c r="Z479" s="19">
        <f>IF(AND(Z$4&gt;$T160,Z$4&lt;=$V160),1,0)*'Detailed Assumptions'!$E$6</f>
        <v>0</v>
      </c>
      <c r="AA479" s="19">
        <f>IF(AND(AA$4&gt;$T160,AA$4&lt;=$V160),1,0)*'Detailed Assumptions'!$E$6</f>
        <v>0</v>
      </c>
      <c r="AB479" s="19">
        <f>IF(AND(AB$4&gt;$T160,AB$4&lt;=$V160),1,0)*'Detailed Assumptions'!$E$6</f>
        <v>0</v>
      </c>
      <c r="AC479" s="19">
        <f>IF(AND(AC$4&gt;$T160,AC$4&lt;=$V160),1,0)*'Detailed Assumptions'!$E$6</f>
        <v>0</v>
      </c>
      <c r="AD479" s="19">
        <f>IF(AND(AD$4&gt;$T160,AD$4&lt;=$V160),1,0)*'Detailed Assumptions'!$E$6</f>
        <v>0</v>
      </c>
      <c r="AE479" s="19">
        <f>IF(AND(AE$4&gt;$T160,AE$4&lt;=$V160),1,0)*'Detailed Assumptions'!$E$6</f>
        <v>0</v>
      </c>
      <c r="AF479" s="19">
        <f>IF(AND(AF$4&gt;$T160,AF$4&lt;=$V160),1,0)*'Detailed Assumptions'!$E$6</f>
        <v>0</v>
      </c>
      <c r="AG479" s="19">
        <f>IF(AND(AG$4&gt;$T160,AG$4&lt;=$V160),1,0)*'Detailed Assumptions'!$E$6</f>
        <v>0</v>
      </c>
      <c r="AH479" s="19">
        <f>IF(AND(AH$4&gt;$T160,AH$4&lt;=$V160),1,0)*'Detailed Assumptions'!$E$6</f>
        <v>0</v>
      </c>
      <c r="AI479" s="19">
        <f>IF(AND(AI$4&gt;$T160,AI$4&lt;=$V160),1,0)*'Detailed Assumptions'!$E$6</f>
        <v>0</v>
      </c>
      <c r="AJ479" s="19">
        <f>IF(AND(AJ$4&gt;$T160,AJ$4&lt;=$V160),1,0)*'Detailed Assumptions'!$E$6</f>
        <v>0</v>
      </c>
      <c r="AK479" s="19">
        <f>IF(AND(AK$4&gt;$T160,AK$4&lt;=$V160),1,0)*'Detailed Assumptions'!$E$6</f>
        <v>0</v>
      </c>
      <c r="AL479" s="19">
        <f>IF(AND(AL$4&gt;$T160,AL$4&lt;=$V160),1,0)*'Detailed Assumptions'!$E$6</f>
        <v>0</v>
      </c>
      <c r="AM479" s="19">
        <f>IF(AND(AM$4&gt;$T160,AM$4&lt;=$V160),1,0)*'Detailed Assumptions'!$E$6</f>
        <v>0</v>
      </c>
      <c r="AN479" s="542">
        <f>IF(AND(AN$4&gt;$T160,AN$4&lt;=$V160),1,0)*'Detailed Assumptions'!$E$6</f>
        <v>0</v>
      </c>
      <c r="AO479" s="542">
        <f>IF(AND(AO$4&gt;$T160,AO$4&lt;=$V160),1,0)*'Detailed Assumptions'!$E$6</f>
        <v>0</v>
      </c>
      <c r="AP479" s="542">
        <f>IF(AND(AP$4&gt;$T160,AP$4&lt;=$V160),1,0)*'Detailed Assumptions'!$E$6</f>
        <v>0</v>
      </c>
      <c r="AQ479" s="542">
        <f>IF(AND(AQ$4&gt;$T160,AQ$4&lt;=$V160),1,0)*'Detailed Assumptions'!$E$6</f>
        <v>0</v>
      </c>
      <c r="AR479" s="542">
        <f>IF(AND(AR$4&gt;$T160,AR$4&lt;=$V160),1,0)*'Detailed Assumptions'!$E$6</f>
        <v>0</v>
      </c>
      <c r="AS479" s="542">
        <f>IF(AND(AS$4&gt;$T160,AS$4&lt;=$V160),1,0)*'Detailed Assumptions'!$E$6</f>
        <v>0</v>
      </c>
      <c r="AT479" s="542">
        <f>IF(AND(AT$4&gt;$T160,AT$4&lt;=$V160),1,0)*'Detailed Assumptions'!$E$6</f>
        <v>0</v>
      </c>
      <c r="AU479" s="542">
        <f>IF(AND(AU$4&gt;$T160,AU$4&lt;=$V160),1,0)*'Detailed Assumptions'!$E$6</f>
        <v>0</v>
      </c>
      <c r="AV479" s="542">
        <f>IF(AND(AV$4&gt;$T160,AV$4&lt;=$V160),1,0)*'Detailed Assumptions'!$E$6</f>
        <v>0</v>
      </c>
      <c r="AW479" s="542">
        <f>IF(AND(AW$4&gt;$T160,AW$4&lt;=$V160),1,0)*'Detailed Assumptions'!$E$6</f>
        <v>0</v>
      </c>
      <c r="AX479" s="542">
        <f>IF(AND(AX$4&gt;$T160,AX$4&lt;=$V160),1,0)*'Detailed Assumptions'!$E$6</f>
        <v>0</v>
      </c>
      <c r="AY479" s="542">
        <f>IF(AND(AY$4&gt;$T160,AY$4&lt;=$V160),1,0)*'Detailed Assumptions'!$E$6</f>
        <v>0</v>
      </c>
      <c r="AZ479" s="542">
        <f>IF(AND(AZ$4&gt;$T160,AZ$4&lt;=$V160),1,0)*'Detailed Assumptions'!$E$6</f>
        <v>0</v>
      </c>
      <c r="BA479" s="542">
        <f>IF(AND(BA$4&gt;$T160,BA$4&lt;=$V160),1,0)*'Detailed Assumptions'!$E$6</f>
        <v>0</v>
      </c>
      <c r="BB479" s="542">
        <f>IF(AND(BB$4&gt;$T160,BB$4&lt;=$V160),1,0)*'Detailed Assumptions'!$E$6</f>
        <v>0</v>
      </c>
      <c r="BC479" s="542">
        <f>IF(AND(BC$4&gt;$T160,BC$4&lt;=$V160),1,0)*'Detailed Assumptions'!$E$6</f>
        <v>0</v>
      </c>
      <c r="BD479" s="542">
        <f>IF(AND(BD$4&gt;$T160,BD$4&lt;=$V160),1,0)*'Detailed Assumptions'!$E$6</f>
        <v>0</v>
      </c>
      <c r="BE479" s="542">
        <f>IF(AND(BE$4&gt;$T160,BE$4&lt;=$V160),1,0)*'Detailed Assumptions'!$E$6</f>
        <v>0</v>
      </c>
      <c r="BF479" s="542">
        <f>IF(AND(BF$4&gt;$T160,BF$4&lt;=$V160),1,0)*'Detailed Assumptions'!$E$6</f>
        <v>0</v>
      </c>
      <c r="BG479" s="542">
        <f>IF(AND(BG$4&gt;$T160,BG$4&lt;=$V160),1,0)*'Detailed Assumptions'!$E$6</f>
        <v>0</v>
      </c>
      <c r="BH479" s="542">
        <f>IF(AND(BH$4&gt;$T160,BH$4&lt;=$V160),1,0)*'Detailed Assumptions'!$E$6</f>
        <v>0</v>
      </c>
      <c r="BI479" s="542">
        <f>IF(AND(BI$4&gt;$T160,BI$4&lt;=$V160),1,0)*'Detailed Assumptions'!$E$6</f>
        <v>0</v>
      </c>
      <c r="BJ479" s="542">
        <f>IF(AND(BJ$4&gt;$T160,BJ$4&lt;=$V160),1,0)*'Detailed Assumptions'!$E$6</f>
        <v>0</v>
      </c>
      <c r="BK479" s="542">
        <f>IF(AND(BK$4&gt;$T160,BK$4&lt;=$V160),1,0)*'Detailed Assumptions'!$E$6</f>
        <v>0</v>
      </c>
      <c r="BL479" s="542">
        <f>IF(AND(BL$4&gt;$T160,BL$4&lt;=$V160),1,0)*'Detailed Assumptions'!$E$6</f>
        <v>0</v>
      </c>
      <c r="BM479" s="542">
        <f>IF(AND(BM$4&gt;$T160,BM$4&lt;=$V160),1,0)*'Detailed Assumptions'!$E$6</f>
        <v>0</v>
      </c>
      <c r="BN479" s="542">
        <f>IF(AND(BN$4&gt;$T160,BN$4&lt;=$V160),1,0)*'Detailed Assumptions'!$E$6</f>
        <v>0</v>
      </c>
      <c r="BO479" s="542">
        <f>IF(AND(BO$4&gt;$T160,BO$4&lt;=$V160),1,0)*'Detailed Assumptions'!$E$6</f>
        <v>0</v>
      </c>
      <c r="BP479" s="542">
        <f>IF(AND(BP$4&gt;$T160,BP$4&lt;=$V160),1,0)*'Detailed Assumptions'!$E$6</f>
        <v>0</v>
      </c>
      <c r="BQ479" s="542">
        <f>IF(AND(BQ$4&gt;$T160,BQ$4&lt;=$V160),1,0)*'Detailed Assumptions'!$E$6</f>
        <v>0</v>
      </c>
      <c r="BR479" s="542">
        <f>IF(AND(BR$4&gt;$T160,BR$4&lt;=$V160),1,0)*'Detailed Assumptions'!$E$6</f>
        <v>0</v>
      </c>
      <c r="BS479" s="542">
        <f>IF(AND(BS$4&gt;$T160,BS$4&lt;=$V160),1,0)*'Detailed Assumptions'!$E$6</f>
        <v>0</v>
      </c>
      <c r="BT479" s="542">
        <f>IF(AND(BT$4&gt;$T160,BT$4&lt;=$V160),1,0)*'Detailed Assumptions'!$E$6</f>
        <v>0</v>
      </c>
      <c r="BU479" s="542">
        <f>IF(AND(BU$4&gt;$T160,BU$4&lt;=$V160),1,0)*'Detailed Assumptions'!$E$6</f>
        <v>0</v>
      </c>
      <c r="BV479" s="542">
        <f>IF(AND(BV$4&gt;$T160,BV$4&lt;=$V160),1,0)*'Detailed Assumptions'!$E$6</f>
        <v>0</v>
      </c>
      <c r="BW479" s="542">
        <f>IF(AND(BW$4&gt;$T160,BW$4&lt;=$V160),1,0)*'Detailed Assumptions'!$E$6</f>
        <v>0</v>
      </c>
      <c r="BX479" s="542">
        <f>IF(AND(BX$4&gt;$T160,BX$4&lt;=$V160),1,0)*'Detailed Assumptions'!$E$6</f>
        <v>0</v>
      </c>
      <c r="BY479" s="542">
        <f>IF(AND(BY$4&gt;$T160,BY$4&lt;=$V160),1,0)*'Detailed Assumptions'!$E$6</f>
        <v>0</v>
      </c>
    </row>
    <row r="480" spans="3:77" x14ac:dyDescent="0.3">
      <c r="C480" s="2"/>
      <c r="D480" s="2"/>
      <c r="E480" s="2"/>
      <c r="F480" s="2"/>
      <c r="G480" s="2"/>
      <c r="H480" s="2"/>
      <c r="I480" s="2"/>
      <c r="J480" s="2"/>
      <c r="K480" s="2"/>
      <c r="L480" s="2"/>
      <c r="M480" s="2"/>
      <c r="N480" s="2"/>
      <c r="O480" s="2"/>
      <c r="P480" s="10"/>
      <c r="Q480" s="2"/>
      <c r="R480" s="2"/>
      <c r="S480" s="2"/>
      <c r="T480" s="2"/>
      <c r="U480" s="2"/>
      <c r="V480" s="2"/>
      <c r="W480" s="2"/>
      <c r="X480" s="2"/>
      <c r="Y480" s="2"/>
      <c r="Z480" s="2"/>
      <c r="AA480" s="2"/>
      <c r="AB480" s="2"/>
      <c r="AC480" s="2"/>
      <c r="AD480" s="2"/>
      <c r="AE480" s="2"/>
      <c r="AF480" s="2"/>
      <c r="AG480" s="2"/>
      <c r="AH480" s="2"/>
      <c r="AI480" s="2"/>
      <c r="AJ480" s="2"/>
      <c r="AK480" s="2"/>
      <c r="AL480" s="2"/>
      <c r="AM480" s="2"/>
      <c r="AN480" s="525"/>
      <c r="AO480" s="525"/>
      <c r="AP480" s="525"/>
      <c r="AQ480" s="525"/>
      <c r="AR480" s="525"/>
      <c r="AS480" s="525"/>
      <c r="AT480" s="525"/>
      <c r="AU480" s="525"/>
      <c r="AV480" s="525"/>
      <c r="AW480" s="525"/>
      <c r="AX480" s="525"/>
      <c r="AY480" s="525"/>
      <c r="AZ480" s="525"/>
      <c r="BA480" s="525"/>
      <c r="BB480" s="525"/>
      <c r="BC480" s="525"/>
      <c r="BD480" s="525"/>
      <c r="BE480" s="525"/>
      <c r="BF480" s="525"/>
      <c r="BG480" s="525"/>
      <c r="BH480" s="525"/>
      <c r="BI480" s="525"/>
      <c r="BJ480" s="525"/>
      <c r="BK480" s="525"/>
      <c r="BL480" s="525"/>
      <c r="BM480" s="525"/>
      <c r="BN480" s="525"/>
      <c r="BO480" s="525"/>
      <c r="BP480" s="525"/>
      <c r="BQ480" s="525"/>
      <c r="BR480" s="525"/>
      <c r="BS480" s="525"/>
      <c r="BT480" s="525"/>
      <c r="BU480" s="525"/>
      <c r="BV480" s="525"/>
      <c r="BW480" s="525"/>
      <c r="BX480" s="525"/>
      <c r="BY480" s="525"/>
    </row>
    <row r="481" spans="3:77" x14ac:dyDescent="0.3">
      <c r="C481" s="2"/>
      <c r="D481" s="2"/>
      <c r="E481" s="17" t="s">
        <v>114</v>
      </c>
      <c r="F481" s="2"/>
      <c r="G481" s="2"/>
      <c r="H481" s="2"/>
      <c r="I481" s="2"/>
      <c r="J481" s="2"/>
      <c r="K481" s="2"/>
      <c r="L481" s="2"/>
      <c r="M481" s="2"/>
      <c r="N481" s="2"/>
      <c r="O481" s="2"/>
      <c r="P481" s="10"/>
      <c r="Q481" s="2"/>
      <c r="R481" s="2"/>
      <c r="S481" s="2"/>
      <c r="T481" s="2"/>
      <c r="U481" s="2"/>
      <c r="V481" s="2"/>
      <c r="W481" s="2"/>
      <c r="X481" s="2"/>
      <c r="Y481" s="2"/>
      <c r="Z481" s="2"/>
      <c r="AA481" s="2"/>
      <c r="AB481" s="2"/>
      <c r="AC481" s="2"/>
      <c r="AD481" s="2"/>
      <c r="AE481" s="2"/>
      <c r="AF481" s="2"/>
      <c r="AG481" s="2"/>
      <c r="AH481" s="2"/>
      <c r="AI481" s="2"/>
      <c r="AJ481" s="2"/>
      <c r="AK481" s="2"/>
      <c r="AL481" s="2"/>
      <c r="AM481" s="2"/>
      <c r="AN481" s="525"/>
      <c r="AO481" s="525"/>
      <c r="AP481" s="525"/>
      <c r="AQ481" s="525"/>
      <c r="AR481" s="525"/>
      <c r="AS481" s="525"/>
      <c r="AT481" s="525"/>
      <c r="AU481" s="525"/>
      <c r="AV481" s="525"/>
      <c r="AW481" s="525"/>
      <c r="AX481" s="525"/>
      <c r="AY481" s="525"/>
      <c r="AZ481" s="525"/>
      <c r="BA481" s="525"/>
      <c r="BB481" s="525"/>
      <c r="BC481" s="525"/>
      <c r="BD481" s="525"/>
      <c r="BE481" s="525"/>
      <c r="BF481" s="525"/>
      <c r="BG481" s="525"/>
      <c r="BH481" s="525"/>
      <c r="BI481" s="525"/>
      <c r="BJ481" s="525"/>
      <c r="BK481" s="525"/>
      <c r="BL481" s="525"/>
      <c r="BM481" s="525"/>
      <c r="BN481" s="525"/>
      <c r="BO481" s="525"/>
      <c r="BP481" s="525"/>
      <c r="BQ481" s="525"/>
      <c r="BR481" s="525"/>
      <c r="BS481" s="525"/>
      <c r="BT481" s="525"/>
      <c r="BU481" s="525"/>
      <c r="BV481" s="525"/>
      <c r="BW481" s="525"/>
      <c r="BX481" s="525"/>
      <c r="BY481" s="525"/>
    </row>
    <row r="482" spans="3:77" x14ac:dyDescent="0.3">
      <c r="C482" s="1"/>
      <c r="D482" s="2"/>
      <c r="E482" s="76" t="str">
        <f>"Pre vs post capex: "&amp;E$155</f>
        <v>Pre vs post capex: FY27 Tranche</v>
      </c>
      <c r="F482" s="8"/>
      <c r="G482" s="8"/>
      <c r="H482" s="8"/>
      <c r="I482" s="8"/>
      <c r="J482" s="8"/>
      <c r="K482" s="8"/>
      <c r="L482" s="8"/>
      <c r="M482" s="8"/>
      <c r="N482" s="8"/>
      <c r="O482" s="8"/>
      <c r="P482" s="33"/>
      <c r="Q482" s="8"/>
      <c r="R482" s="519">
        <f t="shared" ref="R482:BY486" si="634">IF(R498=0,0,1)</f>
        <v>0</v>
      </c>
      <c r="S482" s="519">
        <f t="shared" si="634"/>
        <v>0</v>
      </c>
      <c r="T482" s="519">
        <f t="shared" si="634"/>
        <v>0</v>
      </c>
      <c r="U482" s="519">
        <f t="shared" si="634"/>
        <v>0</v>
      </c>
      <c r="V482" s="519">
        <f t="shared" si="634"/>
        <v>0</v>
      </c>
      <c r="W482" s="519">
        <f t="shared" si="634"/>
        <v>0</v>
      </c>
      <c r="X482" s="519">
        <f t="shared" si="634"/>
        <v>1</v>
      </c>
      <c r="Y482" s="519">
        <f t="shared" si="634"/>
        <v>1</v>
      </c>
      <c r="Z482" s="519">
        <f t="shared" si="634"/>
        <v>1</v>
      </c>
      <c r="AA482" s="519">
        <f t="shared" si="634"/>
        <v>1</v>
      </c>
      <c r="AB482" s="519">
        <f t="shared" si="634"/>
        <v>1</v>
      </c>
      <c r="AC482" s="519">
        <f t="shared" si="634"/>
        <v>1</v>
      </c>
      <c r="AD482" s="519">
        <f t="shared" si="634"/>
        <v>1</v>
      </c>
      <c r="AE482" s="519">
        <f t="shared" si="634"/>
        <v>1</v>
      </c>
      <c r="AF482" s="519">
        <f t="shared" si="634"/>
        <v>1</v>
      </c>
      <c r="AG482" s="519">
        <f t="shared" si="634"/>
        <v>1</v>
      </c>
      <c r="AH482" s="519">
        <f t="shared" si="634"/>
        <v>1</v>
      </c>
      <c r="AI482" s="519">
        <f t="shared" si="634"/>
        <v>1</v>
      </c>
      <c r="AJ482" s="519">
        <f t="shared" si="634"/>
        <v>1</v>
      </c>
      <c r="AK482" s="519">
        <f t="shared" si="634"/>
        <v>1</v>
      </c>
      <c r="AL482" s="519">
        <f t="shared" si="634"/>
        <v>1</v>
      </c>
      <c r="AM482" s="519">
        <f t="shared" si="634"/>
        <v>1</v>
      </c>
      <c r="AN482" s="543">
        <f t="shared" si="634"/>
        <v>1</v>
      </c>
      <c r="AO482" s="543">
        <f t="shared" si="634"/>
        <v>1</v>
      </c>
      <c r="AP482" s="543">
        <f t="shared" si="634"/>
        <v>1</v>
      </c>
      <c r="AQ482" s="543">
        <f t="shared" si="634"/>
        <v>1</v>
      </c>
      <c r="AR482" s="543">
        <f t="shared" si="634"/>
        <v>1</v>
      </c>
      <c r="AS482" s="543">
        <f t="shared" si="634"/>
        <v>1</v>
      </c>
      <c r="AT482" s="543">
        <f t="shared" si="634"/>
        <v>1</v>
      </c>
      <c r="AU482" s="543">
        <f t="shared" si="634"/>
        <v>1</v>
      </c>
      <c r="AV482" s="543">
        <f t="shared" si="634"/>
        <v>1</v>
      </c>
      <c r="AW482" s="543">
        <f t="shared" si="634"/>
        <v>1</v>
      </c>
      <c r="AX482" s="543">
        <f t="shared" si="634"/>
        <v>1</v>
      </c>
      <c r="AY482" s="543">
        <f t="shared" si="634"/>
        <v>1</v>
      </c>
      <c r="AZ482" s="543">
        <f t="shared" si="634"/>
        <v>1</v>
      </c>
      <c r="BA482" s="543">
        <f t="shared" si="634"/>
        <v>1</v>
      </c>
      <c r="BB482" s="543">
        <f t="shared" si="634"/>
        <v>1</v>
      </c>
      <c r="BC482" s="543">
        <f t="shared" si="634"/>
        <v>1</v>
      </c>
      <c r="BD482" s="543">
        <f t="shared" si="634"/>
        <v>1</v>
      </c>
      <c r="BE482" s="543">
        <f t="shared" si="634"/>
        <v>1</v>
      </c>
      <c r="BF482" s="543">
        <f t="shared" si="634"/>
        <v>1</v>
      </c>
      <c r="BG482" s="543">
        <f t="shared" si="634"/>
        <v>1</v>
      </c>
      <c r="BH482" s="543">
        <f t="shared" si="634"/>
        <v>1</v>
      </c>
      <c r="BI482" s="543">
        <f t="shared" si="634"/>
        <v>1</v>
      </c>
      <c r="BJ482" s="543">
        <f t="shared" si="634"/>
        <v>1</v>
      </c>
      <c r="BK482" s="543">
        <f t="shared" si="634"/>
        <v>1</v>
      </c>
      <c r="BL482" s="543">
        <f t="shared" si="634"/>
        <v>1</v>
      </c>
      <c r="BM482" s="543">
        <f t="shared" si="634"/>
        <v>1</v>
      </c>
      <c r="BN482" s="543">
        <f t="shared" si="634"/>
        <v>1</v>
      </c>
      <c r="BO482" s="543">
        <f t="shared" si="634"/>
        <v>1</v>
      </c>
      <c r="BP482" s="543">
        <f t="shared" si="634"/>
        <v>1</v>
      </c>
      <c r="BQ482" s="543">
        <f t="shared" si="634"/>
        <v>1</v>
      </c>
      <c r="BR482" s="543">
        <f t="shared" si="634"/>
        <v>1</v>
      </c>
      <c r="BS482" s="543">
        <f t="shared" si="634"/>
        <v>1</v>
      </c>
      <c r="BT482" s="543">
        <f t="shared" si="634"/>
        <v>1</v>
      </c>
      <c r="BU482" s="543">
        <f t="shared" si="634"/>
        <v>1</v>
      </c>
      <c r="BV482" s="543">
        <f t="shared" si="634"/>
        <v>1</v>
      </c>
      <c r="BW482" s="543">
        <f t="shared" si="634"/>
        <v>1</v>
      </c>
      <c r="BX482" s="543">
        <f t="shared" si="634"/>
        <v>1</v>
      </c>
      <c r="BY482" s="543">
        <f t="shared" si="634"/>
        <v>1</v>
      </c>
    </row>
    <row r="483" spans="3:77" x14ac:dyDescent="0.3">
      <c r="C483" s="1"/>
      <c r="D483" s="2"/>
      <c r="E483" s="76" t="str">
        <f>"Pre vs post capex: "&amp;E$156</f>
        <v>Pre vs post capex: FY28 Tranche</v>
      </c>
      <c r="F483" s="8"/>
      <c r="G483" s="8"/>
      <c r="H483" s="8"/>
      <c r="I483" s="8"/>
      <c r="J483" s="8"/>
      <c r="K483" s="8"/>
      <c r="L483" s="8"/>
      <c r="M483" s="8"/>
      <c r="N483" s="8"/>
      <c r="O483" s="8"/>
      <c r="P483" s="33"/>
      <c r="Q483" s="8"/>
      <c r="R483" s="519">
        <f t="shared" si="634"/>
        <v>0</v>
      </c>
      <c r="S483" s="519">
        <f t="shared" si="634"/>
        <v>0</v>
      </c>
      <c r="T483" s="519">
        <f t="shared" si="634"/>
        <v>0</v>
      </c>
      <c r="U483" s="519">
        <f t="shared" si="634"/>
        <v>0</v>
      </c>
      <c r="V483" s="519">
        <f t="shared" si="634"/>
        <v>0</v>
      </c>
      <c r="W483" s="519">
        <f t="shared" si="634"/>
        <v>0</v>
      </c>
      <c r="X483" s="519">
        <f t="shared" si="634"/>
        <v>0</v>
      </c>
      <c r="Y483" s="519">
        <f t="shared" si="634"/>
        <v>0</v>
      </c>
      <c r="Z483" s="519">
        <f t="shared" si="634"/>
        <v>0</v>
      </c>
      <c r="AA483" s="519">
        <f t="shared" si="634"/>
        <v>0</v>
      </c>
      <c r="AB483" s="519">
        <f t="shared" si="634"/>
        <v>0</v>
      </c>
      <c r="AC483" s="519">
        <f t="shared" si="634"/>
        <v>0</v>
      </c>
      <c r="AD483" s="519">
        <f t="shared" si="634"/>
        <v>0</v>
      </c>
      <c r="AE483" s="519">
        <f t="shared" si="634"/>
        <v>0</v>
      </c>
      <c r="AF483" s="519">
        <f t="shared" si="634"/>
        <v>0</v>
      </c>
      <c r="AG483" s="519">
        <f t="shared" si="634"/>
        <v>0</v>
      </c>
      <c r="AH483" s="519">
        <f t="shared" si="634"/>
        <v>0</v>
      </c>
      <c r="AI483" s="519">
        <f t="shared" si="634"/>
        <v>0</v>
      </c>
      <c r="AJ483" s="519">
        <f t="shared" si="634"/>
        <v>1</v>
      </c>
      <c r="AK483" s="519">
        <f t="shared" si="634"/>
        <v>1</v>
      </c>
      <c r="AL483" s="519">
        <f t="shared" si="634"/>
        <v>1</v>
      </c>
      <c r="AM483" s="519">
        <f t="shared" si="634"/>
        <v>1</v>
      </c>
      <c r="AN483" s="543">
        <f t="shared" si="634"/>
        <v>1</v>
      </c>
      <c r="AO483" s="543">
        <f t="shared" si="634"/>
        <v>1</v>
      </c>
      <c r="AP483" s="543">
        <f t="shared" si="634"/>
        <v>1</v>
      </c>
      <c r="AQ483" s="543">
        <f t="shared" si="634"/>
        <v>1</v>
      </c>
      <c r="AR483" s="543">
        <f t="shared" si="634"/>
        <v>1</v>
      </c>
      <c r="AS483" s="543">
        <f t="shared" si="634"/>
        <v>1</v>
      </c>
      <c r="AT483" s="543">
        <f t="shared" si="634"/>
        <v>1</v>
      </c>
      <c r="AU483" s="543">
        <f t="shared" si="634"/>
        <v>1</v>
      </c>
      <c r="AV483" s="543">
        <f t="shared" si="634"/>
        <v>1</v>
      </c>
      <c r="AW483" s="543">
        <f t="shared" si="634"/>
        <v>1</v>
      </c>
      <c r="AX483" s="543">
        <f t="shared" si="634"/>
        <v>1</v>
      </c>
      <c r="AY483" s="543">
        <f t="shared" si="634"/>
        <v>1</v>
      </c>
      <c r="AZ483" s="543">
        <f t="shared" si="634"/>
        <v>1</v>
      </c>
      <c r="BA483" s="543">
        <f t="shared" si="634"/>
        <v>1</v>
      </c>
      <c r="BB483" s="543">
        <f t="shared" si="634"/>
        <v>1</v>
      </c>
      <c r="BC483" s="543">
        <f t="shared" si="634"/>
        <v>1</v>
      </c>
      <c r="BD483" s="543">
        <f t="shared" si="634"/>
        <v>1</v>
      </c>
      <c r="BE483" s="543">
        <f t="shared" si="634"/>
        <v>1</v>
      </c>
      <c r="BF483" s="543">
        <f t="shared" si="634"/>
        <v>1</v>
      </c>
      <c r="BG483" s="543">
        <f t="shared" si="634"/>
        <v>1</v>
      </c>
      <c r="BH483" s="543">
        <f t="shared" si="634"/>
        <v>1</v>
      </c>
      <c r="BI483" s="543">
        <f t="shared" si="634"/>
        <v>1</v>
      </c>
      <c r="BJ483" s="543">
        <f t="shared" si="634"/>
        <v>1</v>
      </c>
      <c r="BK483" s="543">
        <f t="shared" si="634"/>
        <v>1</v>
      </c>
      <c r="BL483" s="543">
        <f t="shared" si="634"/>
        <v>1</v>
      </c>
      <c r="BM483" s="543">
        <f t="shared" si="634"/>
        <v>1</v>
      </c>
      <c r="BN483" s="543">
        <f t="shared" si="634"/>
        <v>1</v>
      </c>
      <c r="BO483" s="543">
        <f t="shared" si="634"/>
        <v>1</v>
      </c>
      <c r="BP483" s="543">
        <f t="shared" si="634"/>
        <v>1</v>
      </c>
      <c r="BQ483" s="543">
        <f t="shared" si="634"/>
        <v>1</v>
      </c>
      <c r="BR483" s="543">
        <f t="shared" si="634"/>
        <v>1</v>
      </c>
      <c r="BS483" s="543">
        <f t="shared" si="634"/>
        <v>1</v>
      </c>
      <c r="BT483" s="543">
        <f t="shared" si="634"/>
        <v>1</v>
      </c>
      <c r="BU483" s="543">
        <f t="shared" si="634"/>
        <v>1</v>
      </c>
      <c r="BV483" s="543">
        <f t="shared" si="634"/>
        <v>1</v>
      </c>
      <c r="BW483" s="543">
        <f t="shared" si="634"/>
        <v>1</v>
      </c>
      <c r="BX483" s="543">
        <f t="shared" si="634"/>
        <v>1</v>
      </c>
      <c r="BY483" s="543">
        <f t="shared" si="634"/>
        <v>1</v>
      </c>
    </row>
    <row r="484" spans="3:77" x14ac:dyDescent="0.3">
      <c r="C484" s="1"/>
      <c r="D484" s="2"/>
      <c r="E484" s="76" t="str">
        <f>"Pre vs post capex: "&amp;E$157</f>
        <v>Pre vs post capex: FY29 Tranche</v>
      </c>
      <c r="F484" s="8"/>
      <c r="G484" s="8"/>
      <c r="H484" s="8"/>
      <c r="I484" s="8"/>
      <c r="J484" s="8"/>
      <c r="K484" s="8"/>
      <c r="L484" s="8"/>
      <c r="M484" s="8"/>
      <c r="N484" s="8"/>
      <c r="O484" s="8"/>
      <c r="P484" s="33"/>
      <c r="Q484" s="8"/>
      <c r="R484" s="519">
        <f t="shared" si="634"/>
        <v>0</v>
      </c>
      <c r="S484" s="519">
        <f t="shared" si="634"/>
        <v>0</v>
      </c>
      <c r="T484" s="519">
        <f t="shared" si="634"/>
        <v>0</v>
      </c>
      <c r="U484" s="519">
        <f t="shared" si="634"/>
        <v>0</v>
      </c>
      <c r="V484" s="519">
        <f t="shared" si="634"/>
        <v>0</v>
      </c>
      <c r="W484" s="519">
        <f t="shared" si="634"/>
        <v>0</v>
      </c>
      <c r="X484" s="519">
        <f t="shared" si="634"/>
        <v>0</v>
      </c>
      <c r="Y484" s="519">
        <f t="shared" si="634"/>
        <v>0</v>
      </c>
      <c r="Z484" s="519">
        <f t="shared" si="634"/>
        <v>0</v>
      </c>
      <c r="AA484" s="519">
        <f t="shared" si="634"/>
        <v>0</v>
      </c>
      <c r="AB484" s="519">
        <f t="shared" si="634"/>
        <v>0</v>
      </c>
      <c r="AC484" s="519">
        <f t="shared" si="634"/>
        <v>0</v>
      </c>
      <c r="AD484" s="519">
        <f t="shared" si="634"/>
        <v>0</v>
      </c>
      <c r="AE484" s="519">
        <f t="shared" si="634"/>
        <v>0</v>
      </c>
      <c r="AF484" s="519">
        <f t="shared" si="634"/>
        <v>0</v>
      </c>
      <c r="AG484" s="519">
        <f t="shared" si="634"/>
        <v>0</v>
      </c>
      <c r="AH484" s="519">
        <f t="shared" si="634"/>
        <v>0</v>
      </c>
      <c r="AI484" s="519">
        <f t="shared" si="634"/>
        <v>0</v>
      </c>
      <c r="AJ484" s="519">
        <f t="shared" si="634"/>
        <v>0</v>
      </c>
      <c r="AK484" s="519">
        <f t="shared" si="634"/>
        <v>0</v>
      </c>
      <c r="AL484" s="519">
        <f t="shared" si="634"/>
        <v>0</v>
      </c>
      <c r="AM484" s="519">
        <f t="shared" si="634"/>
        <v>0</v>
      </c>
      <c r="AN484" s="543">
        <f t="shared" si="634"/>
        <v>0</v>
      </c>
      <c r="AO484" s="543">
        <f t="shared" si="634"/>
        <v>0</v>
      </c>
      <c r="AP484" s="543">
        <f t="shared" si="634"/>
        <v>0</v>
      </c>
      <c r="AQ484" s="543">
        <f t="shared" si="634"/>
        <v>0</v>
      </c>
      <c r="AR484" s="543">
        <f t="shared" si="634"/>
        <v>0</v>
      </c>
      <c r="AS484" s="543">
        <f t="shared" si="634"/>
        <v>0</v>
      </c>
      <c r="AT484" s="543">
        <f t="shared" si="634"/>
        <v>0</v>
      </c>
      <c r="AU484" s="543">
        <f t="shared" si="634"/>
        <v>0</v>
      </c>
      <c r="AV484" s="543">
        <f t="shared" si="634"/>
        <v>1</v>
      </c>
      <c r="AW484" s="543">
        <f t="shared" si="634"/>
        <v>1</v>
      </c>
      <c r="AX484" s="543">
        <f t="shared" si="634"/>
        <v>1</v>
      </c>
      <c r="AY484" s="543">
        <f t="shared" si="634"/>
        <v>1</v>
      </c>
      <c r="AZ484" s="543">
        <f t="shared" si="634"/>
        <v>1</v>
      </c>
      <c r="BA484" s="543">
        <f t="shared" si="634"/>
        <v>1</v>
      </c>
      <c r="BB484" s="543">
        <f t="shared" si="634"/>
        <v>1</v>
      </c>
      <c r="BC484" s="543">
        <f t="shared" si="634"/>
        <v>1</v>
      </c>
      <c r="BD484" s="543">
        <f t="shared" si="634"/>
        <v>1</v>
      </c>
      <c r="BE484" s="543">
        <f t="shared" si="634"/>
        <v>1</v>
      </c>
      <c r="BF484" s="543">
        <f t="shared" si="634"/>
        <v>1</v>
      </c>
      <c r="BG484" s="543">
        <f t="shared" si="634"/>
        <v>1</v>
      </c>
      <c r="BH484" s="543">
        <f t="shared" si="634"/>
        <v>1</v>
      </c>
      <c r="BI484" s="543">
        <f t="shared" si="634"/>
        <v>1</v>
      </c>
      <c r="BJ484" s="543">
        <f t="shared" si="634"/>
        <v>1</v>
      </c>
      <c r="BK484" s="543">
        <f t="shared" si="634"/>
        <v>1</v>
      </c>
      <c r="BL484" s="543">
        <f t="shared" si="634"/>
        <v>1</v>
      </c>
      <c r="BM484" s="543">
        <f t="shared" si="634"/>
        <v>1</v>
      </c>
      <c r="BN484" s="543">
        <f t="shared" si="634"/>
        <v>1</v>
      </c>
      <c r="BO484" s="543">
        <f t="shared" si="634"/>
        <v>1</v>
      </c>
      <c r="BP484" s="543">
        <f t="shared" si="634"/>
        <v>1</v>
      </c>
      <c r="BQ484" s="543">
        <f t="shared" si="634"/>
        <v>1</v>
      </c>
      <c r="BR484" s="543">
        <f t="shared" si="634"/>
        <v>1</v>
      </c>
      <c r="BS484" s="543">
        <f t="shared" si="634"/>
        <v>1</v>
      </c>
      <c r="BT484" s="543">
        <f t="shared" si="634"/>
        <v>1</v>
      </c>
      <c r="BU484" s="543">
        <f t="shared" si="634"/>
        <v>1</v>
      </c>
      <c r="BV484" s="543">
        <f t="shared" si="634"/>
        <v>1</v>
      </c>
      <c r="BW484" s="543">
        <f t="shared" si="634"/>
        <v>1</v>
      </c>
      <c r="BX484" s="543">
        <f t="shared" si="634"/>
        <v>1</v>
      </c>
      <c r="BY484" s="543">
        <f t="shared" si="634"/>
        <v>1</v>
      </c>
    </row>
    <row r="485" spans="3:77" x14ac:dyDescent="0.3">
      <c r="C485" s="1"/>
      <c r="D485" s="2"/>
      <c r="E485" s="76" t="str">
        <f>"Pre vs post capex: "&amp;E$158</f>
        <v>Pre vs post capex: FY30 Tranche</v>
      </c>
      <c r="F485" s="8"/>
      <c r="G485" s="8"/>
      <c r="H485" s="8"/>
      <c r="I485" s="8"/>
      <c r="J485" s="8"/>
      <c r="K485" s="8"/>
      <c r="L485" s="8"/>
      <c r="M485" s="8"/>
      <c r="N485" s="8"/>
      <c r="O485" s="8"/>
      <c r="P485" s="33"/>
      <c r="Q485" s="8"/>
      <c r="R485" s="519">
        <f t="shared" si="634"/>
        <v>0</v>
      </c>
      <c r="S485" s="519">
        <f t="shared" si="634"/>
        <v>0</v>
      </c>
      <c r="T485" s="519">
        <f t="shared" si="634"/>
        <v>0</v>
      </c>
      <c r="U485" s="519">
        <f t="shared" si="634"/>
        <v>0</v>
      </c>
      <c r="V485" s="519">
        <f t="shared" si="634"/>
        <v>0</v>
      </c>
      <c r="W485" s="519">
        <f t="shared" si="634"/>
        <v>0</v>
      </c>
      <c r="X485" s="519">
        <f t="shared" si="634"/>
        <v>0</v>
      </c>
      <c r="Y485" s="519">
        <f t="shared" si="634"/>
        <v>0</v>
      </c>
      <c r="Z485" s="519">
        <f t="shared" si="634"/>
        <v>0</v>
      </c>
      <c r="AA485" s="519">
        <f t="shared" si="634"/>
        <v>0</v>
      </c>
      <c r="AB485" s="519">
        <f t="shared" si="634"/>
        <v>0</v>
      </c>
      <c r="AC485" s="519">
        <f t="shared" si="634"/>
        <v>0</v>
      </c>
      <c r="AD485" s="519">
        <f t="shared" si="634"/>
        <v>0</v>
      </c>
      <c r="AE485" s="519">
        <f t="shared" si="634"/>
        <v>0</v>
      </c>
      <c r="AF485" s="519">
        <f t="shared" si="634"/>
        <v>0</v>
      </c>
      <c r="AG485" s="519">
        <f t="shared" si="634"/>
        <v>0</v>
      </c>
      <c r="AH485" s="519">
        <f t="shared" si="634"/>
        <v>0</v>
      </c>
      <c r="AI485" s="519">
        <f t="shared" si="634"/>
        <v>0</v>
      </c>
      <c r="AJ485" s="519">
        <f t="shared" si="634"/>
        <v>0</v>
      </c>
      <c r="AK485" s="519">
        <f t="shared" si="634"/>
        <v>0</v>
      </c>
      <c r="AL485" s="519">
        <f t="shared" si="634"/>
        <v>0</v>
      </c>
      <c r="AM485" s="519">
        <f t="shared" si="634"/>
        <v>0</v>
      </c>
      <c r="AN485" s="543">
        <f t="shared" si="634"/>
        <v>0</v>
      </c>
      <c r="AO485" s="543">
        <f t="shared" si="634"/>
        <v>0</v>
      </c>
      <c r="AP485" s="543">
        <f t="shared" si="634"/>
        <v>0</v>
      </c>
      <c r="AQ485" s="543">
        <f t="shared" si="634"/>
        <v>0</v>
      </c>
      <c r="AR485" s="543">
        <f t="shared" si="634"/>
        <v>0</v>
      </c>
      <c r="AS485" s="543">
        <f t="shared" si="634"/>
        <v>0</v>
      </c>
      <c r="AT485" s="543">
        <f t="shared" si="634"/>
        <v>0</v>
      </c>
      <c r="AU485" s="543">
        <f t="shared" si="634"/>
        <v>0</v>
      </c>
      <c r="AV485" s="543">
        <f t="shared" si="634"/>
        <v>0</v>
      </c>
      <c r="AW485" s="543">
        <f t="shared" si="634"/>
        <v>0</v>
      </c>
      <c r="AX485" s="543">
        <f t="shared" si="634"/>
        <v>0</v>
      </c>
      <c r="AY485" s="543">
        <f t="shared" si="634"/>
        <v>0</v>
      </c>
      <c r="AZ485" s="543">
        <f t="shared" si="634"/>
        <v>0</v>
      </c>
      <c r="BA485" s="543">
        <f t="shared" si="634"/>
        <v>0</v>
      </c>
      <c r="BB485" s="543">
        <f t="shared" si="634"/>
        <v>0</v>
      </c>
      <c r="BC485" s="543">
        <f t="shared" si="634"/>
        <v>0</v>
      </c>
      <c r="BD485" s="543">
        <f t="shared" si="634"/>
        <v>0</v>
      </c>
      <c r="BE485" s="543">
        <f t="shared" si="634"/>
        <v>0</v>
      </c>
      <c r="BF485" s="543">
        <f t="shared" si="634"/>
        <v>0</v>
      </c>
      <c r="BG485" s="543">
        <f t="shared" si="634"/>
        <v>0</v>
      </c>
      <c r="BH485" s="543">
        <f t="shared" si="634"/>
        <v>1</v>
      </c>
      <c r="BI485" s="543">
        <f t="shared" si="634"/>
        <v>1</v>
      </c>
      <c r="BJ485" s="543">
        <f t="shared" si="634"/>
        <v>1</v>
      </c>
      <c r="BK485" s="543">
        <f t="shared" si="634"/>
        <v>1</v>
      </c>
      <c r="BL485" s="543">
        <f t="shared" si="634"/>
        <v>1</v>
      </c>
      <c r="BM485" s="543">
        <f t="shared" si="634"/>
        <v>1</v>
      </c>
      <c r="BN485" s="543">
        <f t="shared" si="634"/>
        <v>1</v>
      </c>
      <c r="BO485" s="543">
        <f t="shared" si="634"/>
        <v>1</v>
      </c>
      <c r="BP485" s="543">
        <f t="shared" si="634"/>
        <v>1</v>
      </c>
      <c r="BQ485" s="543">
        <f t="shared" si="634"/>
        <v>1</v>
      </c>
      <c r="BR485" s="543">
        <f t="shared" si="634"/>
        <v>1</v>
      </c>
      <c r="BS485" s="543">
        <f t="shared" si="634"/>
        <v>1</v>
      </c>
      <c r="BT485" s="543">
        <f t="shared" si="634"/>
        <v>1</v>
      </c>
      <c r="BU485" s="543">
        <f t="shared" si="634"/>
        <v>1</v>
      </c>
      <c r="BV485" s="543">
        <f t="shared" si="634"/>
        <v>1</v>
      </c>
      <c r="BW485" s="543">
        <f t="shared" si="634"/>
        <v>1</v>
      </c>
      <c r="BX485" s="543">
        <f t="shared" si="634"/>
        <v>1</v>
      </c>
      <c r="BY485" s="543">
        <f t="shared" si="634"/>
        <v>1</v>
      </c>
    </row>
    <row r="486" spans="3:77" x14ac:dyDescent="0.3">
      <c r="C486" s="1"/>
      <c r="D486" s="2"/>
      <c r="E486" s="76" t="str">
        <f>"Pre vs post capex: "&amp;E$159</f>
        <v>Pre vs post capex: FY31 Tranche</v>
      </c>
      <c r="F486" s="8"/>
      <c r="G486" s="8"/>
      <c r="H486" s="8"/>
      <c r="I486" s="8"/>
      <c r="J486" s="8"/>
      <c r="K486" s="8"/>
      <c r="L486" s="8"/>
      <c r="M486" s="8"/>
      <c r="N486" s="8"/>
      <c r="O486" s="8"/>
      <c r="P486" s="33"/>
      <c r="Q486" s="8"/>
      <c r="R486" s="519">
        <f t="shared" si="634"/>
        <v>0</v>
      </c>
      <c r="S486" s="519">
        <f t="shared" si="634"/>
        <v>0</v>
      </c>
      <c r="T486" s="519">
        <f t="shared" si="634"/>
        <v>0</v>
      </c>
      <c r="U486" s="519">
        <f t="shared" si="634"/>
        <v>0</v>
      </c>
      <c r="V486" s="519">
        <f t="shared" si="634"/>
        <v>0</v>
      </c>
      <c r="W486" s="519">
        <f t="shared" si="634"/>
        <v>0</v>
      </c>
      <c r="X486" s="519">
        <f t="shared" si="634"/>
        <v>0</v>
      </c>
      <c r="Y486" s="519">
        <f t="shared" si="634"/>
        <v>0</v>
      </c>
      <c r="Z486" s="519">
        <f t="shared" si="634"/>
        <v>0</v>
      </c>
      <c r="AA486" s="519">
        <f t="shared" si="634"/>
        <v>0</v>
      </c>
      <c r="AB486" s="519">
        <f t="shared" si="634"/>
        <v>0</v>
      </c>
      <c r="AC486" s="519">
        <f t="shared" si="634"/>
        <v>0</v>
      </c>
      <c r="AD486" s="519">
        <f t="shared" si="634"/>
        <v>0</v>
      </c>
      <c r="AE486" s="519">
        <f t="shared" si="634"/>
        <v>0</v>
      </c>
      <c r="AF486" s="519">
        <f t="shared" si="634"/>
        <v>0</v>
      </c>
      <c r="AG486" s="519">
        <f t="shared" ref="AG486:BY486" si="635">IF(AG502=0,0,1)</f>
        <v>0</v>
      </c>
      <c r="AH486" s="519">
        <f t="shared" si="635"/>
        <v>0</v>
      </c>
      <c r="AI486" s="519">
        <f t="shared" si="635"/>
        <v>0</v>
      </c>
      <c r="AJ486" s="519">
        <f t="shared" si="635"/>
        <v>0</v>
      </c>
      <c r="AK486" s="519">
        <f t="shared" si="635"/>
        <v>0</v>
      </c>
      <c r="AL486" s="519">
        <f t="shared" si="635"/>
        <v>0</v>
      </c>
      <c r="AM486" s="519">
        <f t="shared" si="635"/>
        <v>0</v>
      </c>
      <c r="AN486" s="543">
        <f t="shared" si="635"/>
        <v>0</v>
      </c>
      <c r="AO486" s="543">
        <f t="shared" si="635"/>
        <v>0</v>
      </c>
      <c r="AP486" s="543">
        <f t="shared" si="635"/>
        <v>0</v>
      </c>
      <c r="AQ486" s="543">
        <f t="shared" si="635"/>
        <v>0</v>
      </c>
      <c r="AR486" s="543">
        <f t="shared" si="635"/>
        <v>0</v>
      </c>
      <c r="AS486" s="543">
        <f t="shared" si="635"/>
        <v>0</v>
      </c>
      <c r="AT486" s="543">
        <f t="shared" si="635"/>
        <v>0</v>
      </c>
      <c r="AU486" s="543">
        <f t="shared" si="635"/>
        <v>0</v>
      </c>
      <c r="AV486" s="543">
        <f t="shared" si="635"/>
        <v>0</v>
      </c>
      <c r="AW486" s="543">
        <f t="shared" si="635"/>
        <v>0</v>
      </c>
      <c r="AX486" s="543">
        <f t="shared" si="635"/>
        <v>0</v>
      </c>
      <c r="AY486" s="543">
        <f t="shared" si="635"/>
        <v>0</v>
      </c>
      <c r="AZ486" s="543">
        <f t="shared" si="635"/>
        <v>0</v>
      </c>
      <c r="BA486" s="543">
        <f t="shared" si="635"/>
        <v>0</v>
      </c>
      <c r="BB486" s="543">
        <f t="shared" si="635"/>
        <v>0</v>
      </c>
      <c r="BC486" s="543">
        <f t="shared" si="635"/>
        <v>0</v>
      </c>
      <c r="BD486" s="543">
        <f t="shared" si="635"/>
        <v>0</v>
      </c>
      <c r="BE486" s="543">
        <f t="shared" si="635"/>
        <v>0</v>
      </c>
      <c r="BF486" s="543">
        <f t="shared" si="635"/>
        <v>0</v>
      </c>
      <c r="BG486" s="543">
        <f t="shared" si="635"/>
        <v>0</v>
      </c>
      <c r="BH486" s="543">
        <f t="shared" si="635"/>
        <v>0</v>
      </c>
      <c r="BI486" s="543">
        <f t="shared" si="635"/>
        <v>0</v>
      </c>
      <c r="BJ486" s="543">
        <f t="shared" si="635"/>
        <v>0</v>
      </c>
      <c r="BK486" s="543">
        <f t="shared" si="635"/>
        <v>0</v>
      </c>
      <c r="BL486" s="543">
        <f t="shared" si="635"/>
        <v>0</v>
      </c>
      <c r="BM486" s="543">
        <f t="shared" si="635"/>
        <v>0</v>
      </c>
      <c r="BN486" s="543">
        <f t="shared" si="635"/>
        <v>0</v>
      </c>
      <c r="BO486" s="543">
        <f t="shared" si="635"/>
        <v>0</v>
      </c>
      <c r="BP486" s="543">
        <f t="shared" si="635"/>
        <v>0</v>
      </c>
      <c r="BQ486" s="543">
        <f t="shared" si="635"/>
        <v>0</v>
      </c>
      <c r="BR486" s="543">
        <f t="shared" si="635"/>
        <v>0</v>
      </c>
      <c r="BS486" s="543">
        <f t="shared" si="635"/>
        <v>0</v>
      </c>
      <c r="BT486" s="543">
        <f t="shared" si="635"/>
        <v>1</v>
      </c>
      <c r="BU486" s="543">
        <f t="shared" si="635"/>
        <v>1</v>
      </c>
      <c r="BV486" s="543">
        <f t="shared" si="635"/>
        <v>1</v>
      </c>
      <c r="BW486" s="543">
        <f t="shared" si="635"/>
        <v>1</v>
      </c>
      <c r="BX486" s="543">
        <f t="shared" si="635"/>
        <v>1</v>
      </c>
      <c r="BY486" s="543">
        <f t="shared" si="635"/>
        <v>1</v>
      </c>
    </row>
    <row r="487" spans="3:77" x14ac:dyDescent="0.3">
      <c r="C487" s="1"/>
      <c r="D487" s="2"/>
      <c r="E487" s="76" t="str">
        <f>"Pre vs post capex: "&amp;E$160</f>
        <v>Pre vs post capex: Uninvested Tranche</v>
      </c>
      <c r="F487" s="8"/>
      <c r="G487" s="8"/>
      <c r="H487" s="8"/>
      <c r="I487" s="8"/>
      <c r="J487" s="8"/>
      <c r="K487" s="8"/>
      <c r="L487" s="8"/>
      <c r="M487" s="8"/>
      <c r="N487" s="8"/>
      <c r="O487" s="8"/>
      <c r="P487" s="33"/>
      <c r="Q487" s="8"/>
      <c r="R487" s="519">
        <f t="shared" ref="R487:AF487" si="636">IF(R503=0,0,1)</f>
        <v>0</v>
      </c>
      <c r="S487" s="519">
        <f t="shared" si="636"/>
        <v>0</v>
      </c>
      <c r="T487" s="519">
        <f t="shared" si="636"/>
        <v>0</v>
      </c>
      <c r="U487" s="519">
        <f t="shared" si="636"/>
        <v>0</v>
      </c>
      <c r="V487" s="519">
        <f t="shared" si="636"/>
        <v>0</v>
      </c>
      <c r="W487" s="519">
        <f t="shared" si="636"/>
        <v>0</v>
      </c>
      <c r="X487" s="519">
        <f t="shared" si="636"/>
        <v>0</v>
      </c>
      <c r="Y487" s="519">
        <f t="shared" si="636"/>
        <v>0</v>
      </c>
      <c r="Z487" s="519">
        <f t="shared" si="636"/>
        <v>0</v>
      </c>
      <c r="AA487" s="519">
        <f t="shared" si="636"/>
        <v>0</v>
      </c>
      <c r="AB487" s="519">
        <f t="shared" si="636"/>
        <v>0</v>
      </c>
      <c r="AC487" s="519">
        <f t="shared" si="636"/>
        <v>0</v>
      </c>
      <c r="AD487" s="519">
        <f t="shared" si="636"/>
        <v>0</v>
      </c>
      <c r="AE487" s="519">
        <f t="shared" si="636"/>
        <v>0</v>
      </c>
      <c r="AF487" s="519">
        <f t="shared" si="636"/>
        <v>0</v>
      </c>
      <c r="AG487" s="519">
        <f t="shared" ref="AG487:BY487" si="637">IF(AG503=0,0,1)</f>
        <v>0</v>
      </c>
      <c r="AH487" s="519">
        <f t="shared" si="637"/>
        <v>0</v>
      </c>
      <c r="AI487" s="519">
        <f t="shared" si="637"/>
        <v>0</v>
      </c>
      <c r="AJ487" s="519">
        <f t="shared" si="637"/>
        <v>0</v>
      </c>
      <c r="AK487" s="519">
        <f t="shared" si="637"/>
        <v>0</v>
      </c>
      <c r="AL487" s="519">
        <f t="shared" si="637"/>
        <v>0</v>
      </c>
      <c r="AM487" s="519">
        <f t="shared" si="637"/>
        <v>0</v>
      </c>
      <c r="AN487" s="543">
        <f t="shared" si="637"/>
        <v>0</v>
      </c>
      <c r="AO487" s="543">
        <f t="shared" si="637"/>
        <v>0</v>
      </c>
      <c r="AP487" s="543">
        <f t="shared" si="637"/>
        <v>0</v>
      </c>
      <c r="AQ487" s="543">
        <f t="shared" si="637"/>
        <v>0</v>
      </c>
      <c r="AR487" s="543">
        <f t="shared" si="637"/>
        <v>0</v>
      </c>
      <c r="AS487" s="543">
        <f t="shared" si="637"/>
        <v>0</v>
      </c>
      <c r="AT487" s="543">
        <f t="shared" si="637"/>
        <v>0</v>
      </c>
      <c r="AU487" s="543">
        <f t="shared" si="637"/>
        <v>0</v>
      </c>
      <c r="AV487" s="543">
        <f t="shared" si="637"/>
        <v>0</v>
      </c>
      <c r="AW487" s="543">
        <f t="shared" si="637"/>
        <v>0</v>
      </c>
      <c r="AX487" s="543">
        <f t="shared" si="637"/>
        <v>0</v>
      </c>
      <c r="AY487" s="543">
        <f t="shared" si="637"/>
        <v>0</v>
      </c>
      <c r="AZ487" s="543">
        <f t="shared" si="637"/>
        <v>0</v>
      </c>
      <c r="BA487" s="543">
        <f t="shared" si="637"/>
        <v>0</v>
      </c>
      <c r="BB487" s="543">
        <f t="shared" si="637"/>
        <v>0</v>
      </c>
      <c r="BC487" s="543">
        <f t="shared" si="637"/>
        <v>0</v>
      </c>
      <c r="BD487" s="543">
        <f t="shared" si="637"/>
        <v>0</v>
      </c>
      <c r="BE487" s="543">
        <f t="shared" si="637"/>
        <v>0</v>
      </c>
      <c r="BF487" s="543">
        <f t="shared" si="637"/>
        <v>0</v>
      </c>
      <c r="BG487" s="543">
        <f t="shared" si="637"/>
        <v>0</v>
      </c>
      <c r="BH487" s="543">
        <f t="shared" si="637"/>
        <v>0</v>
      </c>
      <c r="BI487" s="543">
        <f t="shared" si="637"/>
        <v>0</v>
      </c>
      <c r="BJ487" s="543">
        <f t="shared" si="637"/>
        <v>0</v>
      </c>
      <c r="BK487" s="543">
        <f t="shared" si="637"/>
        <v>0</v>
      </c>
      <c r="BL487" s="543">
        <f t="shared" si="637"/>
        <v>0</v>
      </c>
      <c r="BM487" s="543">
        <f t="shared" si="637"/>
        <v>0</v>
      </c>
      <c r="BN487" s="543">
        <f t="shared" si="637"/>
        <v>0</v>
      </c>
      <c r="BO487" s="543">
        <f t="shared" si="637"/>
        <v>0</v>
      </c>
      <c r="BP487" s="543">
        <f t="shared" si="637"/>
        <v>0</v>
      </c>
      <c r="BQ487" s="543">
        <f t="shared" si="637"/>
        <v>0</v>
      </c>
      <c r="BR487" s="543">
        <f t="shared" si="637"/>
        <v>0</v>
      </c>
      <c r="BS487" s="543">
        <f t="shared" si="637"/>
        <v>0</v>
      </c>
      <c r="BT487" s="543">
        <f t="shared" si="637"/>
        <v>0</v>
      </c>
      <c r="BU487" s="543">
        <f t="shared" si="637"/>
        <v>0</v>
      </c>
      <c r="BV487" s="543">
        <f t="shared" si="637"/>
        <v>0</v>
      </c>
      <c r="BW487" s="543">
        <f t="shared" si="637"/>
        <v>0</v>
      </c>
      <c r="BX487" s="543">
        <f t="shared" si="637"/>
        <v>0</v>
      </c>
      <c r="BY487" s="543">
        <f t="shared" si="637"/>
        <v>0</v>
      </c>
    </row>
    <row r="488" spans="3:77" x14ac:dyDescent="0.3">
      <c r="C488" s="2"/>
      <c r="D488" s="2"/>
      <c r="E488" s="2"/>
      <c r="F488" s="2"/>
      <c r="G488" s="2"/>
      <c r="H488" s="2"/>
      <c r="I488" s="2"/>
      <c r="J488" s="2"/>
      <c r="K488" s="2"/>
      <c r="L488" s="2"/>
      <c r="M488" s="2"/>
      <c r="N488" s="2"/>
      <c r="O488" s="2"/>
      <c r="P488" s="10"/>
      <c r="Q488" s="2"/>
      <c r="R488" s="2"/>
      <c r="S488" s="2"/>
      <c r="T488" s="2"/>
      <c r="U488" s="2"/>
      <c r="V488" s="2"/>
      <c r="W488" s="2"/>
      <c r="X488" s="2"/>
      <c r="Y488" s="2"/>
      <c r="Z488" s="2"/>
      <c r="AA488" s="2"/>
      <c r="AB488" s="2"/>
      <c r="AC488" s="2"/>
      <c r="AD488" s="2"/>
      <c r="AE488" s="2"/>
      <c r="AF488" s="2"/>
      <c r="AG488" s="2"/>
      <c r="AH488" s="2"/>
      <c r="AI488" s="2"/>
      <c r="AJ488" s="2"/>
      <c r="AK488" s="2"/>
      <c r="AL488" s="2"/>
      <c r="AM488" s="2"/>
      <c r="AN488" s="525"/>
      <c r="AO488" s="525"/>
      <c r="AP488" s="525"/>
      <c r="AQ488" s="525"/>
      <c r="AR488" s="525"/>
      <c r="AS488" s="525"/>
      <c r="AT488" s="525"/>
      <c r="AU488" s="525"/>
      <c r="AV488" s="525"/>
      <c r="AW488" s="525"/>
      <c r="AX488" s="525"/>
      <c r="AY488" s="525"/>
      <c r="AZ488" s="525"/>
      <c r="BA488" s="525"/>
      <c r="BB488" s="525"/>
      <c r="BC488" s="525"/>
      <c r="BD488" s="525"/>
      <c r="BE488" s="525"/>
      <c r="BF488" s="525"/>
      <c r="BG488" s="525"/>
      <c r="BH488" s="525"/>
      <c r="BI488" s="525"/>
      <c r="BJ488" s="525"/>
      <c r="BK488" s="525"/>
      <c r="BL488" s="525"/>
      <c r="BM488" s="525"/>
      <c r="BN488" s="525"/>
      <c r="BO488" s="525"/>
      <c r="BP488" s="525"/>
      <c r="BQ488" s="525"/>
      <c r="BR488" s="525"/>
      <c r="BS488" s="525"/>
      <c r="BT488" s="525"/>
      <c r="BU488" s="525"/>
      <c r="BV488" s="525"/>
      <c r="BW488" s="525"/>
      <c r="BX488" s="525"/>
      <c r="BY488" s="525"/>
    </row>
    <row r="489" spans="3:77" x14ac:dyDescent="0.3">
      <c r="C489" s="2"/>
      <c r="D489" s="2"/>
      <c r="E489" s="17" t="s">
        <v>115</v>
      </c>
      <c r="F489" s="2"/>
      <c r="G489" s="2"/>
      <c r="H489" s="2"/>
      <c r="I489" s="2"/>
      <c r="J489" s="2"/>
      <c r="K489" s="2"/>
      <c r="L489" s="2"/>
      <c r="M489" s="2"/>
      <c r="N489" s="2"/>
      <c r="O489" s="2"/>
      <c r="P489" s="10"/>
      <c r="Q489" s="2"/>
      <c r="R489" s="2"/>
      <c r="S489" s="2"/>
      <c r="T489" s="2"/>
      <c r="U489" s="2"/>
      <c r="V489" s="2"/>
      <c r="W489" s="2"/>
      <c r="X489" s="2"/>
      <c r="Y489" s="2"/>
      <c r="Z489" s="2"/>
      <c r="AA489" s="2"/>
      <c r="AB489" s="2"/>
      <c r="AC489" s="2"/>
      <c r="AD489" s="2"/>
      <c r="AE489" s="2"/>
      <c r="AF489" s="2"/>
      <c r="AG489" s="2"/>
      <c r="AH489" s="2"/>
      <c r="AI489" s="2"/>
      <c r="AJ489" s="2"/>
      <c r="AK489" s="2"/>
      <c r="AL489" s="2"/>
      <c r="AM489" s="2"/>
      <c r="AN489" s="525"/>
      <c r="AO489" s="525"/>
      <c r="AP489" s="525"/>
      <c r="AQ489" s="525"/>
      <c r="AR489" s="525"/>
      <c r="AS489" s="525"/>
      <c r="AT489" s="525"/>
      <c r="AU489" s="525"/>
      <c r="AV489" s="525"/>
      <c r="AW489" s="525"/>
      <c r="AX489" s="525"/>
      <c r="AY489" s="525"/>
      <c r="AZ489" s="525"/>
      <c r="BA489" s="525"/>
      <c r="BB489" s="525"/>
      <c r="BC489" s="525"/>
      <c r="BD489" s="525"/>
      <c r="BE489" s="525"/>
      <c r="BF489" s="525"/>
      <c r="BG489" s="525"/>
      <c r="BH489" s="525"/>
      <c r="BI489" s="525"/>
      <c r="BJ489" s="525"/>
      <c r="BK489" s="525"/>
      <c r="BL489" s="525"/>
      <c r="BM489" s="525"/>
      <c r="BN489" s="525"/>
      <c r="BO489" s="525"/>
      <c r="BP489" s="525"/>
      <c r="BQ489" s="525"/>
      <c r="BR489" s="525"/>
      <c r="BS489" s="525"/>
      <c r="BT489" s="525"/>
      <c r="BU489" s="525"/>
      <c r="BV489" s="525"/>
      <c r="BW489" s="525"/>
      <c r="BX489" s="525"/>
      <c r="BY489" s="525"/>
    </row>
    <row r="490" spans="3:77" x14ac:dyDescent="0.3">
      <c r="C490" s="1"/>
      <c r="D490" s="2"/>
      <c r="E490" s="76" t="str">
        <f>"Pre vs post capex: "&amp;E$155</f>
        <v>Pre vs post capex: FY27 Tranche</v>
      </c>
      <c r="F490" s="8"/>
      <c r="G490" s="8"/>
      <c r="H490" s="8"/>
      <c r="I490" s="8"/>
      <c r="J490" s="8"/>
      <c r="K490" s="8"/>
      <c r="L490" s="8"/>
      <c r="M490" s="8"/>
      <c r="N490" s="8"/>
      <c r="O490" s="8"/>
      <c r="P490" s="33"/>
      <c r="Q490" s="8"/>
      <c r="R490" s="519">
        <f t="shared" ref="R490:AW490" si="638">IF(R482=1,0,1)</f>
        <v>1</v>
      </c>
      <c r="S490" s="519">
        <f t="shared" si="638"/>
        <v>1</v>
      </c>
      <c r="T490" s="519">
        <f t="shared" si="638"/>
        <v>1</v>
      </c>
      <c r="U490" s="519">
        <f t="shared" si="638"/>
        <v>1</v>
      </c>
      <c r="V490" s="519">
        <f t="shared" si="638"/>
        <v>1</v>
      </c>
      <c r="W490" s="519">
        <f t="shared" si="638"/>
        <v>1</v>
      </c>
      <c r="X490" s="519">
        <f t="shared" si="638"/>
        <v>0</v>
      </c>
      <c r="Y490" s="519">
        <f t="shared" si="638"/>
        <v>0</v>
      </c>
      <c r="Z490" s="519">
        <f t="shared" si="638"/>
        <v>0</v>
      </c>
      <c r="AA490" s="519">
        <f t="shared" si="638"/>
        <v>0</v>
      </c>
      <c r="AB490" s="519">
        <f t="shared" si="638"/>
        <v>0</v>
      </c>
      <c r="AC490" s="519">
        <f t="shared" si="638"/>
        <v>0</v>
      </c>
      <c r="AD490" s="519">
        <f t="shared" si="638"/>
        <v>0</v>
      </c>
      <c r="AE490" s="519">
        <f t="shared" si="638"/>
        <v>0</v>
      </c>
      <c r="AF490" s="519">
        <f t="shared" si="638"/>
        <v>0</v>
      </c>
      <c r="AG490" s="519">
        <f t="shared" si="638"/>
        <v>0</v>
      </c>
      <c r="AH490" s="519">
        <f t="shared" si="638"/>
        <v>0</v>
      </c>
      <c r="AI490" s="519">
        <f t="shared" si="638"/>
        <v>0</v>
      </c>
      <c r="AJ490" s="519">
        <f t="shared" si="638"/>
        <v>0</v>
      </c>
      <c r="AK490" s="519">
        <f t="shared" si="638"/>
        <v>0</v>
      </c>
      <c r="AL490" s="519">
        <f t="shared" si="638"/>
        <v>0</v>
      </c>
      <c r="AM490" s="519">
        <f t="shared" si="638"/>
        <v>0</v>
      </c>
      <c r="AN490" s="543">
        <f t="shared" si="638"/>
        <v>0</v>
      </c>
      <c r="AO490" s="543">
        <f t="shared" si="638"/>
        <v>0</v>
      </c>
      <c r="AP490" s="543">
        <f t="shared" si="638"/>
        <v>0</v>
      </c>
      <c r="AQ490" s="543">
        <f t="shared" si="638"/>
        <v>0</v>
      </c>
      <c r="AR490" s="543">
        <f t="shared" si="638"/>
        <v>0</v>
      </c>
      <c r="AS490" s="543">
        <f t="shared" si="638"/>
        <v>0</v>
      </c>
      <c r="AT490" s="543">
        <f t="shared" si="638"/>
        <v>0</v>
      </c>
      <c r="AU490" s="543">
        <f t="shared" si="638"/>
        <v>0</v>
      </c>
      <c r="AV490" s="543">
        <f t="shared" si="638"/>
        <v>0</v>
      </c>
      <c r="AW490" s="543">
        <f t="shared" si="638"/>
        <v>0</v>
      </c>
      <c r="AX490" s="543">
        <f t="shared" ref="AX490:BY490" si="639">IF(AX482=1,0,1)</f>
        <v>0</v>
      </c>
      <c r="AY490" s="543">
        <f t="shared" si="639"/>
        <v>0</v>
      </c>
      <c r="AZ490" s="543">
        <f t="shared" si="639"/>
        <v>0</v>
      </c>
      <c r="BA490" s="543">
        <f t="shared" si="639"/>
        <v>0</v>
      </c>
      <c r="BB490" s="543">
        <f t="shared" si="639"/>
        <v>0</v>
      </c>
      <c r="BC490" s="543">
        <f t="shared" si="639"/>
        <v>0</v>
      </c>
      <c r="BD490" s="543">
        <f t="shared" si="639"/>
        <v>0</v>
      </c>
      <c r="BE490" s="543">
        <f t="shared" si="639"/>
        <v>0</v>
      </c>
      <c r="BF490" s="543">
        <f t="shared" si="639"/>
        <v>0</v>
      </c>
      <c r="BG490" s="543">
        <f t="shared" si="639"/>
        <v>0</v>
      </c>
      <c r="BH490" s="543">
        <f t="shared" si="639"/>
        <v>0</v>
      </c>
      <c r="BI490" s="543">
        <f t="shared" si="639"/>
        <v>0</v>
      </c>
      <c r="BJ490" s="543">
        <f t="shared" si="639"/>
        <v>0</v>
      </c>
      <c r="BK490" s="543">
        <f t="shared" si="639"/>
        <v>0</v>
      </c>
      <c r="BL490" s="543">
        <f t="shared" si="639"/>
        <v>0</v>
      </c>
      <c r="BM490" s="543">
        <f t="shared" si="639"/>
        <v>0</v>
      </c>
      <c r="BN490" s="543">
        <f t="shared" si="639"/>
        <v>0</v>
      </c>
      <c r="BO490" s="543">
        <f t="shared" si="639"/>
        <v>0</v>
      </c>
      <c r="BP490" s="543">
        <f t="shared" si="639"/>
        <v>0</v>
      </c>
      <c r="BQ490" s="543">
        <f t="shared" si="639"/>
        <v>0</v>
      </c>
      <c r="BR490" s="543">
        <f t="shared" si="639"/>
        <v>0</v>
      </c>
      <c r="BS490" s="543">
        <f t="shared" si="639"/>
        <v>0</v>
      </c>
      <c r="BT490" s="543">
        <f t="shared" si="639"/>
        <v>0</v>
      </c>
      <c r="BU490" s="543">
        <f t="shared" si="639"/>
        <v>0</v>
      </c>
      <c r="BV490" s="543">
        <f t="shared" si="639"/>
        <v>0</v>
      </c>
      <c r="BW490" s="543">
        <f t="shared" si="639"/>
        <v>0</v>
      </c>
      <c r="BX490" s="543">
        <f t="shared" si="639"/>
        <v>0</v>
      </c>
      <c r="BY490" s="543">
        <f t="shared" si="639"/>
        <v>0</v>
      </c>
    </row>
    <row r="491" spans="3:77" x14ac:dyDescent="0.3">
      <c r="C491" s="1"/>
      <c r="D491" s="2"/>
      <c r="E491" s="76" t="str">
        <f>"Pre vs post capex: "&amp;E$156</f>
        <v>Pre vs post capex: FY28 Tranche</v>
      </c>
      <c r="F491" s="8"/>
      <c r="G491" s="8"/>
      <c r="H491" s="8"/>
      <c r="I491" s="8"/>
      <c r="J491" s="8"/>
      <c r="K491" s="8"/>
      <c r="L491" s="8"/>
      <c r="M491" s="8"/>
      <c r="N491" s="8"/>
      <c r="O491" s="8"/>
      <c r="P491" s="33"/>
      <c r="Q491" s="8"/>
      <c r="R491" s="519">
        <f t="shared" ref="R491:AW491" si="640">IF(R483=1,0,1)</f>
        <v>1</v>
      </c>
      <c r="S491" s="519">
        <f t="shared" si="640"/>
        <v>1</v>
      </c>
      <c r="T491" s="519">
        <f t="shared" si="640"/>
        <v>1</v>
      </c>
      <c r="U491" s="519">
        <f t="shared" si="640"/>
        <v>1</v>
      </c>
      <c r="V491" s="519">
        <f t="shared" si="640"/>
        <v>1</v>
      </c>
      <c r="W491" s="519">
        <f t="shared" si="640"/>
        <v>1</v>
      </c>
      <c r="X491" s="519">
        <f t="shared" si="640"/>
        <v>1</v>
      </c>
      <c r="Y491" s="519">
        <f t="shared" si="640"/>
        <v>1</v>
      </c>
      <c r="Z491" s="519">
        <f t="shared" si="640"/>
        <v>1</v>
      </c>
      <c r="AA491" s="519">
        <f t="shared" si="640"/>
        <v>1</v>
      </c>
      <c r="AB491" s="519">
        <f t="shared" si="640"/>
        <v>1</v>
      </c>
      <c r="AC491" s="519">
        <f t="shared" si="640"/>
        <v>1</v>
      </c>
      <c r="AD491" s="519">
        <f t="shared" si="640"/>
        <v>1</v>
      </c>
      <c r="AE491" s="519">
        <f t="shared" si="640"/>
        <v>1</v>
      </c>
      <c r="AF491" s="519">
        <f t="shared" si="640"/>
        <v>1</v>
      </c>
      <c r="AG491" s="519">
        <f t="shared" si="640"/>
        <v>1</v>
      </c>
      <c r="AH491" s="519">
        <f t="shared" si="640"/>
        <v>1</v>
      </c>
      <c r="AI491" s="519">
        <f t="shared" si="640"/>
        <v>1</v>
      </c>
      <c r="AJ491" s="519">
        <f t="shared" si="640"/>
        <v>0</v>
      </c>
      <c r="AK491" s="519">
        <f t="shared" si="640"/>
        <v>0</v>
      </c>
      <c r="AL491" s="519">
        <f t="shared" si="640"/>
        <v>0</v>
      </c>
      <c r="AM491" s="519">
        <f t="shared" si="640"/>
        <v>0</v>
      </c>
      <c r="AN491" s="543">
        <f t="shared" si="640"/>
        <v>0</v>
      </c>
      <c r="AO491" s="543">
        <f t="shared" si="640"/>
        <v>0</v>
      </c>
      <c r="AP491" s="543">
        <f t="shared" si="640"/>
        <v>0</v>
      </c>
      <c r="AQ491" s="543">
        <f t="shared" si="640"/>
        <v>0</v>
      </c>
      <c r="AR491" s="543">
        <f t="shared" si="640"/>
        <v>0</v>
      </c>
      <c r="AS491" s="543">
        <f t="shared" si="640"/>
        <v>0</v>
      </c>
      <c r="AT491" s="543">
        <f t="shared" si="640"/>
        <v>0</v>
      </c>
      <c r="AU491" s="543">
        <f t="shared" si="640"/>
        <v>0</v>
      </c>
      <c r="AV491" s="543">
        <f t="shared" si="640"/>
        <v>0</v>
      </c>
      <c r="AW491" s="543">
        <f t="shared" si="640"/>
        <v>0</v>
      </c>
      <c r="AX491" s="543">
        <f t="shared" ref="AX491:BY491" si="641">IF(AX483=1,0,1)</f>
        <v>0</v>
      </c>
      <c r="AY491" s="543">
        <f t="shared" si="641"/>
        <v>0</v>
      </c>
      <c r="AZ491" s="543">
        <f t="shared" si="641"/>
        <v>0</v>
      </c>
      <c r="BA491" s="543">
        <f t="shared" si="641"/>
        <v>0</v>
      </c>
      <c r="BB491" s="543">
        <f t="shared" si="641"/>
        <v>0</v>
      </c>
      <c r="BC491" s="543">
        <f t="shared" si="641"/>
        <v>0</v>
      </c>
      <c r="BD491" s="543">
        <f t="shared" si="641"/>
        <v>0</v>
      </c>
      <c r="BE491" s="543">
        <f t="shared" si="641"/>
        <v>0</v>
      </c>
      <c r="BF491" s="543">
        <f t="shared" si="641"/>
        <v>0</v>
      </c>
      <c r="BG491" s="543">
        <f t="shared" si="641"/>
        <v>0</v>
      </c>
      <c r="BH491" s="543">
        <f t="shared" si="641"/>
        <v>0</v>
      </c>
      <c r="BI491" s="543">
        <f t="shared" si="641"/>
        <v>0</v>
      </c>
      <c r="BJ491" s="543">
        <f t="shared" si="641"/>
        <v>0</v>
      </c>
      <c r="BK491" s="543">
        <f t="shared" si="641"/>
        <v>0</v>
      </c>
      <c r="BL491" s="543">
        <f t="shared" si="641"/>
        <v>0</v>
      </c>
      <c r="BM491" s="543">
        <f t="shared" si="641"/>
        <v>0</v>
      </c>
      <c r="BN491" s="543">
        <f t="shared" si="641"/>
        <v>0</v>
      </c>
      <c r="BO491" s="543">
        <f t="shared" si="641"/>
        <v>0</v>
      </c>
      <c r="BP491" s="543">
        <f t="shared" si="641"/>
        <v>0</v>
      </c>
      <c r="BQ491" s="543">
        <f t="shared" si="641"/>
        <v>0</v>
      </c>
      <c r="BR491" s="543">
        <f t="shared" si="641"/>
        <v>0</v>
      </c>
      <c r="BS491" s="543">
        <f t="shared" si="641"/>
        <v>0</v>
      </c>
      <c r="BT491" s="543">
        <f t="shared" si="641"/>
        <v>0</v>
      </c>
      <c r="BU491" s="543">
        <f t="shared" si="641"/>
        <v>0</v>
      </c>
      <c r="BV491" s="543">
        <f t="shared" si="641"/>
        <v>0</v>
      </c>
      <c r="BW491" s="543">
        <f t="shared" si="641"/>
        <v>0</v>
      </c>
      <c r="BX491" s="543">
        <f t="shared" si="641"/>
        <v>0</v>
      </c>
      <c r="BY491" s="543">
        <f t="shared" si="641"/>
        <v>0</v>
      </c>
    </row>
    <row r="492" spans="3:77" x14ac:dyDescent="0.3">
      <c r="C492" s="1"/>
      <c r="D492" s="2"/>
      <c r="E492" s="76" t="str">
        <f>"Pre vs post capex: "&amp;E$157</f>
        <v>Pre vs post capex: FY29 Tranche</v>
      </c>
      <c r="F492" s="8"/>
      <c r="G492" s="8"/>
      <c r="H492" s="8"/>
      <c r="I492" s="8"/>
      <c r="J492" s="8"/>
      <c r="K492" s="8"/>
      <c r="L492" s="8"/>
      <c r="M492" s="8"/>
      <c r="N492" s="8"/>
      <c r="O492" s="8"/>
      <c r="P492" s="33"/>
      <c r="Q492" s="8"/>
      <c r="R492" s="519">
        <f t="shared" ref="R492:AW492" si="642">IF(R484=1,0,1)</f>
        <v>1</v>
      </c>
      <c r="S492" s="519">
        <f t="shared" si="642"/>
        <v>1</v>
      </c>
      <c r="T492" s="519">
        <f t="shared" si="642"/>
        <v>1</v>
      </c>
      <c r="U492" s="519">
        <f t="shared" si="642"/>
        <v>1</v>
      </c>
      <c r="V492" s="519">
        <f t="shared" si="642"/>
        <v>1</v>
      </c>
      <c r="W492" s="519">
        <f t="shared" si="642"/>
        <v>1</v>
      </c>
      <c r="X492" s="519">
        <f t="shared" si="642"/>
        <v>1</v>
      </c>
      <c r="Y492" s="519">
        <f t="shared" si="642"/>
        <v>1</v>
      </c>
      <c r="Z492" s="519">
        <f t="shared" si="642"/>
        <v>1</v>
      </c>
      <c r="AA492" s="519">
        <f t="shared" si="642"/>
        <v>1</v>
      </c>
      <c r="AB492" s="519">
        <f t="shared" si="642"/>
        <v>1</v>
      </c>
      <c r="AC492" s="519">
        <f t="shared" si="642"/>
        <v>1</v>
      </c>
      <c r="AD492" s="519">
        <f t="shared" si="642"/>
        <v>1</v>
      </c>
      <c r="AE492" s="519">
        <f t="shared" si="642"/>
        <v>1</v>
      </c>
      <c r="AF492" s="519">
        <f t="shared" si="642"/>
        <v>1</v>
      </c>
      <c r="AG492" s="519">
        <f t="shared" si="642"/>
        <v>1</v>
      </c>
      <c r="AH492" s="519">
        <f t="shared" si="642"/>
        <v>1</v>
      </c>
      <c r="AI492" s="519">
        <f t="shared" si="642"/>
        <v>1</v>
      </c>
      <c r="AJ492" s="519">
        <f t="shared" si="642"/>
        <v>1</v>
      </c>
      <c r="AK492" s="519">
        <f t="shared" si="642"/>
        <v>1</v>
      </c>
      <c r="AL492" s="519">
        <f t="shared" si="642"/>
        <v>1</v>
      </c>
      <c r="AM492" s="519">
        <f t="shared" si="642"/>
        <v>1</v>
      </c>
      <c r="AN492" s="543">
        <f t="shared" si="642"/>
        <v>1</v>
      </c>
      <c r="AO492" s="543">
        <f t="shared" si="642"/>
        <v>1</v>
      </c>
      <c r="AP492" s="543">
        <f t="shared" si="642"/>
        <v>1</v>
      </c>
      <c r="AQ492" s="543">
        <f t="shared" si="642"/>
        <v>1</v>
      </c>
      <c r="AR492" s="543">
        <f t="shared" si="642"/>
        <v>1</v>
      </c>
      <c r="AS492" s="543">
        <f t="shared" si="642"/>
        <v>1</v>
      </c>
      <c r="AT492" s="543">
        <f t="shared" si="642"/>
        <v>1</v>
      </c>
      <c r="AU492" s="543">
        <f t="shared" si="642"/>
        <v>1</v>
      </c>
      <c r="AV492" s="543">
        <f t="shared" si="642"/>
        <v>0</v>
      </c>
      <c r="AW492" s="543">
        <f t="shared" si="642"/>
        <v>0</v>
      </c>
      <c r="AX492" s="543">
        <f t="shared" ref="AX492:BY492" si="643">IF(AX484=1,0,1)</f>
        <v>0</v>
      </c>
      <c r="AY492" s="543">
        <f t="shared" si="643"/>
        <v>0</v>
      </c>
      <c r="AZ492" s="543">
        <f t="shared" si="643"/>
        <v>0</v>
      </c>
      <c r="BA492" s="543">
        <f t="shared" si="643"/>
        <v>0</v>
      </c>
      <c r="BB492" s="543">
        <f t="shared" si="643"/>
        <v>0</v>
      </c>
      <c r="BC492" s="543">
        <f t="shared" si="643"/>
        <v>0</v>
      </c>
      <c r="BD492" s="543">
        <f t="shared" si="643"/>
        <v>0</v>
      </c>
      <c r="BE492" s="543">
        <f t="shared" si="643"/>
        <v>0</v>
      </c>
      <c r="BF492" s="543">
        <f t="shared" si="643"/>
        <v>0</v>
      </c>
      <c r="BG492" s="543">
        <f t="shared" si="643"/>
        <v>0</v>
      </c>
      <c r="BH492" s="543">
        <f t="shared" si="643"/>
        <v>0</v>
      </c>
      <c r="BI492" s="543">
        <f t="shared" si="643"/>
        <v>0</v>
      </c>
      <c r="BJ492" s="543">
        <f t="shared" si="643"/>
        <v>0</v>
      </c>
      <c r="BK492" s="543">
        <f t="shared" si="643"/>
        <v>0</v>
      </c>
      <c r="BL492" s="543">
        <f t="shared" si="643"/>
        <v>0</v>
      </c>
      <c r="BM492" s="543">
        <f t="shared" si="643"/>
        <v>0</v>
      </c>
      <c r="BN492" s="543">
        <f t="shared" si="643"/>
        <v>0</v>
      </c>
      <c r="BO492" s="543">
        <f t="shared" si="643"/>
        <v>0</v>
      </c>
      <c r="BP492" s="543">
        <f t="shared" si="643"/>
        <v>0</v>
      </c>
      <c r="BQ492" s="543">
        <f t="shared" si="643"/>
        <v>0</v>
      </c>
      <c r="BR492" s="543">
        <f t="shared" si="643"/>
        <v>0</v>
      </c>
      <c r="BS492" s="543">
        <f t="shared" si="643"/>
        <v>0</v>
      </c>
      <c r="BT492" s="543">
        <f t="shared" si="643"/>
        <v>0</v>
      </c>
      <c r="BU492" s="543">
        <f t="shared" si="643"/>
        <v>0</v>
      </c>
      <c r="BV492" s="543">
        <f t="shared" si="643"/>
        <v>0</v>
      </c>
      <c r="BW492" s="543">
        <f t="shared" si="643"/>
        <v>0</v>
      </c>
      <c r="BX492" s="543">
        <f t="shared" si="643"/>
        <v>0</v>
      </c>
      <c r="BY492" s="543">
        <f t="shared" si="643"/>
        <v>0</v>
      </c>
    </row>
    <row r="493" spans="3:77" x14ac:dyDescent="0.3">
      <c r="C493" s="1"/>
      <c r="D493" s="2"/>
      <c r="E493" s="76" t="str">
        <f>"Pre vs post capex: "&amp;E$158</f>
        <v>Pre vs post capex: FY30 Tranche</v>
      </c>
      <c r="F493" s="8"/>
      <c r="G493" s="8"/>
      <c r="H493" s="8"/>
      <c r="I493" s="8"/>
      <c r="J493" s="8"/>
      <c r="K493" s="8"/>
      <c r="L493" s="8"/>
      <c r="M493" s="8"/>
      <c r="N493" s="8"/>
      <c r="O493" s="8"/>
      <c r="P493" s="33"/>
      <c r="Q493" s="8"/>
      <c r="R493" s="519">
        <f t="shared" ref="R493:AW493" si="644">IF(R485=1,0,1)</f>
        <v>1</v>
      </c>
      <c r="S493" s="519">
        <f t="shared" si="644"/>
        <v>1</v>
      </c>
      <c r="T493" s="519">
        <f t="shared" si="644"/>
        <v>1</v>
      </c>
      <c r="U493" s="519">
        <f t="shared" si="644"/>
        <v>1</v>
      </c>
      <c r="V493" s="519">
        <f t="shared" si="644"/>
        <v>1</v>
      </c>
      <c r="W493" s="519">
        <f t="shared" si="644"/>
        <v>1</v>
      </c>
      <c r="X493" s="519">
        <f t="shared" si="644"/>
        <v>1</v>
      </c>
      <c r="Y493" s="519">
        <f t="shared" si="644"/>
        <v>1</v>
      </c>
      <c r="Z493" s="519">
        <f t="shared" si="644"/>
        <v>1</v>
      </c>
      <c r="AA493" s="519">
        <f t="shared" si="644"/>
        <v>1</v>
      </c>
      <c r="AB493" s="519">
        <f t="shared" si="644"/>
        <v>1</v>
      </c>
      <c r="AC493" s="519">
        <f t="shared" si="644"/>
        <v>1</v>
      </c>
      <c r="AD493" s="519">
        <f t="shared" si="644"/>
        <v>1</v>
      </c>
      <c r="AE493" s="519">
        <f t="shared" si="644"/>
        <v>1</v>
      </c>
      <c r="AF493" s="519">
        <f t="shared" si="644"/>
        <v>1</v>
      </c>
      <c r="AG493" s="519">
        <f t="shared" si="644"/>
        <v>1</v>
      </c>
      <c r="AH493" s="519">
        <f t="shared" si="644"/>
        <v>1</v>
      </c>
      <c r="AI493" s="519">
        <f t="shared" si="644"/>
        <v>1</v>
      </c>
      <c r="AJ493" s="519">
        <f t="shared" si="644"/>
        <v>1</v>
      </c>
      <c r="AK493" s="519">
        <f t="shared" si="644"/>
        <v>1</v>
      </c>
      <c r="AL493" s="519">
        <f t="shared" si="644"/>
        <v>1</v>
      </c>
      <c r="AM493" s="519">
        <f t="shared" si="644"/>
        <v>1</v>
      </c>
      <c r="AN493" s="543">
        <f t="shared" si="644"/>
        <v>1</v>
      </c>
      <c r="AO493" s="543">
        <f t="shared" si="644"/>
        <v>1</v>
      </c>
      <c r="AP493" s="543">
        <f t="shared" si="644"/>
        <v>1</v>
      </c>
      <c r="AQ493" s="543">
        <f t="shared" si="644"/>
        <v>1</v>
      </c>
      <c r="AR493" s="543">
        <f t="shared" si="644"/>
        <v>1</v>
      </c>
      <c r="AS493" s="543">
        <f t="shared" si="644"/>
        <v>1</v>
      </c>
      <c r="AT493" s="543">
        <f t="shared" si="644"/>
        <v>1</v>
      </c>
      <c r="AU493" s="543">
        <f t="shared" si="644"/>
        <v>1</v>
      </c>
      <c r="AV493" s="543">
        <f t="shared" si="644"/>
        <v>1</v>
      </c>
      <c r="AW493" s="543">
        <f t="shared" si="644"/>
        <v>1</v>
      </c>
      <c r="AX493" s="543">
        <f t="shared" ref="AX493:BY493" si="645">IF(AX485=1,0,1)</f>
        <v>1</v>
      </c>
      <c r="AY493" s="543">
        <f t="shared" si="645"/>
        <v>1</v>
      </c>
      <c r="AZ493" s="543">
        <f t="shared" si="645"/>
        <v>1</v>
      </c>
      <c r="BA493" s="543">
        <f t="shared" si="645"/>
        <v>1</v>
      </c>
      <c r="BB493" s="543">
        <f t="shared" si="645"/>
        <v>1</v>
      </c>
      <c r="BC493" s="543">
        <f t="shared" si="645"/>
        <v>1</v>
      </c>
      <c r="BD493" s="543">
        <f t="shared" si="645"/>
        <v>1</v>
      </c>
      <c r="BE493" s="543">
        <f t="shared" si="645"/>
        <v>1</v>
      </c>
      <c r="BF493" s="543">
        <f t="shared" si="645"/>
        <v>1</v>
      </c>
      <c r="BG493" s="543">
        <f t="shared" si="645"/>
        <v>1</v>
      </c>
      <c r="BH493" s="543">
        <f t="shared" si="645"/>
        <v>0</v>
      </c>
      <c r="BI493" s="543">
        <f t="shared" si="645"/>
        <v>0</v>
      </c>
      <c r="BJ493" s="543">
        <f t="shared" si="645"/>
        <v>0</v>
      </c>
      <c r="BK493" s="543">
        <f t="shared" si="645"/>
        <v>0</v>
      </c>
      <c r="BL493" s="543">
        <f t="shared" si="645"/>
        <v>0</v>
      </c>
      <c r="BM493" s="543">
        <f t="shared" si="645"/>
        <v>0</v>
      </c>
      <c r="BN493" s="543">
        <f t="shared" si="645"/>
        <v>0</v>
      </c>
      <c r="BO493" s="543">
        <f t="shared" si="645"/>
        <v>0</v>
      </c>
      <c r="BP493" s="543">
        <f t="shared" si="645"/>
        <v>0</v>
      </c>
      <c r="BQ493" s="543">
        <f t="shared" si="645"/>
        <v>0</v>
      </c>
      <c r="BR493" s="543">
        <f t="shared" si="645"/>
        <v>0</v>
      </c>
      <c r="BS493" s="543">
        <f t="shared" si="645"/>
        <v>0</v>
      </c>
      <c r="BT493" s="543">
        <f t="shared" si="645"/>
        <v>0</v>
      </c>
      <c r="BU493" s="543">
        <f t="shared" si="645"/>
        <v>0</v>
      </c>
      <c r="BV493" s="543">
        <f t="shared" si="645"/>
        <v>0</v>
      </c>
      <c r="BW493" s="543">
        <f t="shared" si="645"/>
        <v>0</v>
      </c>
      <c r="BX493" s="543">
        <f t="shared" si="645"/>
        <v>0</v>
      </c>
      <c r="BY493" s="543">
        <f t="shared" si="645"/>
        <v>0</v>
      </c>
    </row>
    <row r="494" spans="3:77" x14ac:dyDescent="0.3">
      <c r="C494" s="1"/>
      <c r="D494" s="2"/>
      <c r="E494" s="76" t="str">
        <f>"Pre vs post capex: "&amp;E$159</f>
        <v>Pre vs post capex: FY31 Tranche</v>
      </c>
      <c r="F494" s="8"/>
      <c r="G494" s="8"/>
      <c r="H494" s="8"/>
      <c r="I494" s="8"/>
      <c r="J494" s="8"/>
      <c r="K494" s="8"/>
      <c r="L494" s="8"/>
      <c r="M494" s="8"/>
      <c r="N494" s="8"/>
      <c r="O494" s="8"/>
      <c r="P494" s="33"/>
      <c r="Q494" s="8"/>
      <c r="R494" s="519">
        <f t="shared" ref="R494:AW494" si="646">IF(R486=1,0,1)</f>
        <v>1</v>
      </c>
      <c r="S494" s="519">
        <f t="shared" si="646"/>
        <v>1</v>
      </c>
      <c r="T494" s="519">
        <f t="shared" si="646"/>
        <v>1</v>
      </c>
      <c r="U494" s="519">
        <f t="shared" si="646"/>
        <v>1</v>
      </c>
      <c r="V494" s="519">
        <f t="shared" si="646"/>
        <v>1</v>
      </c>
      <c r="W494" s="519">
        <f t="shared" si="646"/>
        <v>1</v>
      </c>
      <c r="X494" s="519">
        <f t="shared" si="646"/>
        <v>1</v>
      </c>
      <c r="Y494" s="519">
        <f t="shared" si="646"/>
        <v>1</v>
      </c>
      <c r="Z494" s="519">
        <f t="shared" si="646"/>
        <v>1</v>
      </c>
      <c r="AA494" s="519">
        <f t="shared" si="646"/>
        <v>1</v>
      </c>
      <c r="AB494" s="519">
        <f t="shared" si="646"/>
        <v>1</v>
      </c>
      <c r="AC494" s="519">
        <f t="shared" si="646"/>
        <v>1</v>
      </c>
      <c r="AD494" s="519">
        <f t="shared" si="646"/>
        <v>1</v>
      </c>
      <c r="AE494" s="519">
        <f t="shared" si="646"/>
        <v>1</v>
      </c>
      <c r="AF494" s="519">
        <f t="shared" si="646"/>
        <v>1</v>
      </c>
      <c r="AG494" s="519">
        <f t="shared" si="646"/>
        <v>1</v>
      </c>
      <c r="AH494" s="519">
        <f t="shared" si="646"/>
        <v>1</v>
      </c>
      <c r="AI494" s="519">
        <f t="shared" si="646"/>
        <v>1</v>
      </c>
      <c r="AJ494" s="519">
        <f t="shared" si="646"/>
        <v>1</v>
      </c>
      <c r="AK494" s="519">
        <f t="shared" si="646"/>
        <v>1</v>
      </c>
      <c r="AL494" s="519">
        <f t="shared" si="646"/>
        <v>1</v>
      </c>
      <c r="AM494" s="519">
        <f t="shared" si="646"/>
        <v>1</v>
      </c>
      <c r="AN494" s="543">
        <f t="shared" si="646"/>
        <v>1</v>
      </c>
      <c r="AO494" s="543">
        <f t="shared" si="646"/>
        <v>1</v>
      </c>
      <c r="AP494" s="543">
        <f t="shared" si="646"/>
        <v>1</v>
      </c>
      <c r="AQ494" s="543">
        <f t="shared" si="646"/>
        <v>1</v>
      </c>
      <c r="AR494" s="543">
        <f t="shared" si="646"/>
        <v>1</v>
      </c>
      <c r="AS494" s="543">
        <f t="shared" si="646"/>
        <v>1</v>
      </c>
      <c r="AT494" s="543">
        <f t="shared" si="646"/>
        <v>1</v>
      </c>
      <c r="AU494" s="543">
        <f t="shared" si="646"/>
        <v>1</v>
      </c>
      <c r="AV494" s="543">
        <f t="shared" si="646"/>
        <v>1</v>
      </c>
      <c r="AW494" s="543">
        <f t="shared" si="646"/>
        <v>1</v>
      </c>
      <c r="AX494" s="543">
        <f t="shared" ref="AX494:BY494" si="647">IF(AX486=1,0,1)</f>
        <v>1</v>
      </c>
      <c r="AY494" s="543">
        <f t="shared" si="647"/>
        <v>1</v>
      </c>
      <c r="AZ494" s="543">
        <f t="shared" si="647"/>
        <v>1</v>
      </c>
      <c r="BA494" s="543">
        <f t="shared" si="647"/>
        <v>1</v>
      </c>
      <c r="BB494" s="543">
        <f t="shared" si="647"/>
        <v>1</v>
      </c>
      <c r="BC494" s="543">
        <f t="shared" si="647"/>
        <v>1</v>
      </c>
      <c r="BD494" s="543">
        <f t="shared" si="647"/>
        <v>1</v>
      </c>
      <c r="BE494" s="543">
        <f t="shared" si="647"/>
        <v>1</v>
      </c>
      <c r="BF494" s="543">
        <f t="shared" si="647"/>
        <v>1</v>
      </c>
      <c r="BG494" s="543">
        <f t="shared" si="647"/>
        <v>1</v>
      </c>
      <c r="BH494" s="543">
        <f t="shared" si="647"/>
        <v>1</v>
      </c>
      <c r="BI494" s="543">
        <f t="shared" si="647"/>
        <v>1</v>
      </c>
      <c r="BJ494" s="543">
        <f t="shared" si="647"/>
        <v>1</v>
      </c>
      <c r="BK494" s="543">
        <f t="shared" si="647"/>
        <v>1</v>
      </c>
      <c r="BL494" s="543">
        <f t="shared" si="647"/>
        <v>1</v>
      </c>
      <c r="BM494" s="543">
        <f t="shared" si="647"/>
        <v>1</v>
      </c>
      <c r="BN494" s="543">
        <f t="shared" si="647"/>
        <v>1</v>
      </c>
      <c r="BO494" s="543">
        <f t="shared" si="647"/>
        <v>1</v>
      </c>
      <c r="BP494" s="543">
        <f t="shared" si="647"/>
        <v>1</v>
      </c>
      <c r="BQ494" s="543">
        <f t="shared" si="647"/>
        <v>1</v>
      </c>
      <c r="BR494" s="543">
        <f t="shared" si="647"/>
        <v>1</v>
      </c>
      <c r="BS494" s="543">
        <f t="shared" si="647"/>
        <v>1</v>
      </c>
      <c r="BT494" s="543">
        <f t="shared" si="647"/>
        <v>0</v>
      </c>
      <c r="BU494" s="543">
        <f t="shared" si="647"/>
        <v>0</v>
      </c>
      <c r="BV494" s="543">
        <f t="shared" si="647"/>
        <v>0</v>
      </c>
      <c r="BW494" s="543">
        <f t="shared" si="647"/>
        <v>0</v>
      </c>
      <c r="BX494" s="543">
        <f t="shared" si="647"/>
        <v>0</v>
      </c>
      <c r="BY494" s="543">
        <f t="shared" si="647"/>
        <v>0</v>
      </c>
    </row>
    <row r="495" spans="3:77" x14ac:dyDescent="0.3">
      <c r="C495" s="1"/>
      <c r="D495" s="2"/>
      <c r="E495" s="76" t="str">
        <f>"Pre vs post capex: "&amp;E$160</f>
        <v>Pre vs post capex: Uninvested Tranche</v>
      </c>
      <c r="F495" s="8"/>
      <c r="G495" s="8"/>
      <c r="H495" s="8"/>
      <c r="I495" s="8"/>
      <c r="J495" s="8"/>
      <c r="K495" s="8"/>
      <c r="L495" s="8"/>
      <c r="M495" s="8"/>
      <c r="N495" s="8"/>
      <c r="O495" s="8"/>
      <c r="P495" s="33"/>
      <c r="Q495" s="8"/>
      <c r="R495" s="519">
        <f t="shared" ref="R495:AW495" si="648">IF(R487=1,0,1)</f>
        <v>1</v>
      </c>
      <c r="S495" s="519">
        <f t="shared" si="648"/>
        <v>1</v>
      </c>
      <c r="T495" s="519">
        <f t="shared" si="648"/>
        <v>1</v>
      </c>
      <c r="U495" s="519">
        <f t="shared" si="648"/>
        <v>1</v>
      </c>
      <c r="V495" s="519">
        <f t="shared" si="648"/>
        <v>1</v>
      </c>
      <c r="W495" s="519">
        <f t="shared" si="648"/>
        <v>1</v>
      </c>
      <c r="X495" s="519">
        <f t="shared" si="648"/>
        <v>1</v>
      </c>
      <c r="Y495" s="519">
        <f t="shared" si="648"/>
        <v>1</v>
      </c>
      <c r="Z495" s="519">
        <f t="shared" si="648"/>
        <v>1</v>
      </c>
      <c r="AA495" s="519">
        <f t="shared" si="648"/>
        <v>1</v>
      </c>
      <c r="AB495" s="519">
        <f t="shared" si="648"/>
        <v>1</v>
      </c>
      <c r="AC495" s="519">
        <f t="shared" si="648"/>
        <v>1</v>
      </c>
      <c r="AD495" s="519">
        <f t="shared" si="648"/>
        <v>1</v>
      </c>
      <c r="AE495" s="519">
        <f t="shared" si="648"/>
        <v>1</v>
      </c>
      <c r="AF495" s="519">
        <f t="shared" si="648"/>
        <v>1</v>
      </c>
      <c r="AG495" s="519">
        <f t="shared" si="648"/>
        <v>1</v>
      </c>
      <c r="AH495" s="519">
        <f t="shared" si="648"/>
        <v>1</v>
      </c>
      <c r="AI495" s="519">
        <f t="shared" si="648"/>
        <v>1</v>
      </c>
      <c r="AJ495" s="519">
        <f t="shared" si="648"/>
        <v>1</v>
      </c>
      <c r="AK495" s="519">
        <f t="shared" si="648"/>
        <v>1</v>
      </c>
      <c r="AL495" s="519">
        <f t="shared" si="648"/>
        <v>1</v>
      </c>
      <c r="AM495" s="519">
        <f t="shared" si="648"/>
        <v>1</v>
      </c>
      <c r="AN495" s="543">
        <f t="shared" si="648"/>
        <v>1</v>
      </c>
      <c r="AO495" s="543">
        <f t="shared" si="648"/>
        <v>1</v>
      </c>
      <c r="AP495" s="543">
        <f t="shared" si="648"/>
        <v>1</v>
      </c>
      <c r="AQ495" s="543">
        <f t="shared" si="648"/>
        <v>1</v>
      </c>
      <c r="AR495" s="543">
        <f t="shared" si="648"/>
        <v>1</v>
      </c>
      <c r="AS495" s="543">
        <f t="shared" si="648"/>
        <v>1</v>
      </c>
      <c r="AT495" s="543">
        <f t="shared" si="648"/>
        <v>1</v>
      </c>
      <c r="AU495" s="543">
        <f t="shared" si="648"/>
        <v>1</v>
      </c>
      <c r="AV495" s="543">
        <f t="shared" si="648"/>
        <v>1</v>
      </c>
      <c r="AW495" s="543">
        <f t="shared" si="648"/>
        <v>1</v>
      </c>
      <c r="AX495" s="543">
        <f t="shared" ref="AX495:BY495" si="649">IF(AX487=1,0,1)</f>
        <v>1</v>
      </c>
      <c r="AY495" s="543">
        <f t="shared" si="649"/>
        <v>1</v>
      </c>
      <c r="AZ495" s="543">
        <f t="shared" si="649"/>
        <v>1</v>
      </c>
      <c r="BA495" s="543">
        <f t="shared" si="649"/>
        <v>1</v>
      </c>
      <c r="BB495" s="543">
        <f t="shared" si="649"/>
        <v>1</v>
      </c>
      <c r="BC495" s="543">
        <f t="shared" si="649"/>
        <v>1</v>
      </c>
      <c r="BD495" s="543">
        <f t="shared" si="649"/>
        <v>1</v>
      </c>
      <c r="BE495" s="543">
        <f t="shared" si="649"/>
        <v>1</v>
      </c>
      <c r="BF495" s="543">
        <f t="shared" si="649"/>
        <v>1</v>
      </c>
      <c r="BG495" s="543">
        <f t="shared" si="649"/>
        <v>1</v>
      </c>
      <c r="BH495" s="543">
        <f t="shared" si="649"/>
        <v>1</v>
      </c>
      <c r="BI495" s="543">
        <f t="shared" si="649"/>
        <v>1</v>
      </c>
      <c r="BJ495" s="543">
        <f t="shared" si="649"/>
        <v>1</v>
      </c>
      <c r="BK495" s="543">
        <f t="shared" si="649"/>
        <v>1</v>
      </c>
      <c r="BL495" s="543">
        <f t="shared" si="649"/>
        <v>1</v>
      </c>
      <c r="BM495" s="543">
        <f t="shared" si="649"/>
        <v>1</v>
      </c>
      <c r="BN495" s="543">
        <f t="shared" si="649"/>
        <v>1</v>
      </c>
      <c r="BO495" s="543">
        <f t="shared" si="649"/>
        <v>1</v>
      </c>
      <c r="BP495" s="543">
        <f t="shared" si="649"/>
        <v>1</v>
      </c>
      <c r="BQ495" s="543">
        <f t="shared" si="649"/>
        <v>1</v>
      </c>
      <c r="BR495" s="543">
        <f t="shared" si="649"/>
        <v>1</v>
      </c>
      <c r="BS495" s="543">
        <f t="shared" si="649"/>
        <v>1</v>
      </c>
      <c r="BT495" s="543">
        <f t="shared" si="649"/>
        <v>1</v>
      </c>
      <c r="BU495" s="543">
        <f t="shared" si="649"/>
        <v>1</v>
      </c>
      <c r="BV495" s="543">
        <f t="shared" si="649"/>
        <v>1</v>
      </c>
      <c r="BW495" s="543">
        <f t="shared" si="649"/>
        <v>1</v>
      </c>
      <c r="BX495" s="543">
        <f t="shared" si="649"/>
        <v>1</v>
      </c>
      <c r="BY495" s="543">
        <f t="shared" si="649"/>
        <v>1</v>
      </c>
    </row>
    <row r="496" spans="3:77" x14ac:dyDescent="0.3">
      <c r="C496" s="2"/>
      <c r="D496" s="2"/>
      <c r="E496" s="2"/>
      <c r="F496" s="2"/>
      <c r="G496" s="2"/>
      <c r="H496" s="2"/>
      <c r="I496" s="2"/>
      <c r="J496" s="2"/>
      <c r="K496" s="2"/>
      <c r="L496" s="310"/>
      <c r="M496" s="2"/>
      <c r="N496" s="2"/>
      <c r="O496" s="2"/>
      <c r="P496" s="10"/>
      <c r="Q496" s="2"/>
      <c r="R496" s="2"/>
      <c r="S496" s="2"/>
      <c r="T496" s="2"/>
      <c r="U496" s="2"/>
      <c r="V496" s="2"/>
      <c r="W496" s="2"/>
      <c r="X496" s="2"/>
      <c r="Y496" s="2"/>
      <c r="Z496" s="2"/>
      <c r="AA496" s="2"/>
      <c r="AB496" s="2"/>
      <c r="AC496" s="2"/>
      <c r="AD496" s="2"/>
      <c r="AE496" s="2"/>
      <c r="AF496" s="2"/>
      <c r="AG496" s="2"/>
      <c r="AH496" s="2"/>
      <c r="AI496" s="2"/>
      <c r="AJ496" s="2"/>
      <c r="AK496" s="2"/>
      <c r="AL496" s="2"/>
      <c r="AM496" s="2"/>
      <c r="AN496" s="525"/>
      <c r="AO496" s="525"/>
      <c r="AP496" s="525"/>
      <c r="AQ496" s="525"/>
      <c r="AR496" s="525"/>
      <c r="AS496" s="525"/>
      <c r="AT496" s="525"/>
      <c r="AU496" s="525"/>
      <c r="AV496" s="525"/>
      <c r="AW496" s="525"/>
      <c r="AX496" s="525"/>
      <c r="AY496" s="525"/>
      <c r="AZ496" s="525"/>
      <c r="BA496" s="525"/>
      <c r="BB496" s="525"/>
      <c r="BC496" s="525"/>
      <c r="BD496" s="525"/>
      <c r="BE496" s="525"/>
      <c r="BF496" s="525"/>
      <c r="BG496" s="525"/>
      <c r="BH496" s="525"/>
      <c r="BI496" s="525"/>
      <c r="BJ496" s="525"/>
      <c r="BK496" s="525"/>
      <c r="BL496" s="525"/>
      <c r="BM496" s="525"/>
      <c r="BN496" s="525"/>
      <c r="BO496" s="525"/>
      <c r="BP496" s="525"/>
      <c r="BQ496" s="525"/>
      <c r="BR496" s="525"/>
      <c r="BS496" s="525"/>
      <c r="BT496" s="525"/>
      <c r="BU496" s="525"/>
      <c r="BV496" s="525"/>
      <c r="BW496" s="525"/>
      <c r="BX496" s="525"/>
      <c r="BY496" s="525"/>
    </row>
    <row r="497" spans="1:80" x14ac:dyDescent="0.3">
      <c r="C497" s="2"/>
      <c r="D497" s="2"/>
      <c r="E497" s="17" t="s">
        <v>116</v>
      </c>
      <c r="F497" s="2"/>
      <c r="G497" s="2"/>
      <c r="H497" s="2"/>
      <c r="I497" s="2"/>
      <c r="J497" s="2"/>
      <c r="K497" s="2"/>
      <c r="L497" s="2"/>
      <c r="M497" s="2"/>
      <c r="N497" s="2"/>
      <c r="O497" s="2"/>
      <c r="P497" s="10"/>
      <c r="Q497" s="2"/>
      <c r="R497" s="2"/>
      <c r="S497" s="2"/>
      <c r="T497" s="2"/>
      <c r="U497" s="2"/>
      <c r="V497" s="2"/>
      <c r="W497" s="2"/>
      <c r="X497" s="2"/>
      <c r="Y497" s="2"/>
      <c r="Z497" s="2"/>
      <c r="AA497" s="2"/>
      <c r="AB497" s="2"/>
      <c r="AC497" s="2"/>
      <c r="AD497" s="2"/>
      <c r="AE497" s="2"/>
      <c r="AF497" s="2"/>
      <c r="AG497" s="2"/>
      <c r="AH497" s="2"/>
      <c r="AI497" s="2"/>
      <c r="AJ497" s="2"/>
      <c r="AK497" s="2"/>
      <c r="AL497" s="2"/>
      <c r="AM497" s="2"/>
      <c r="AN497" s="525"/>
      <c r="AO497" s="525"/>
      <c r="AP497" s="525"/>
      <c r="AQ497" s="525"/>
      <c r="AR497" s="525"/>
      <c r="AS497" s="525"/>
      <c r="AT497" s="525"/>
      <c r="AU497" s="525"/>
      <c r="AV497" s="525"/>
      <c r="AW497" s="525"/>
      <c r="AX497" s="525"/>
      <c r="AY497" s="525"/>
      <c r="AZ497" s="525"/>
      <c r="BA497" s="525"/>
      <c r="BB497" s="525"/>
      <c r="BC497" s="525"/>
      <c r="BD497" s="525"/>
      <c r="BE497" s="525"/>
      <c r="BF497" s="525"/>
      <c r="BG497" s="525"/>
      <c r="BH497" s="525"/>
      <c r="BI497" s="525"/>
      <c r="BJ497" s="525"/>
      <c r="BK497" s="525"/>
      <c r="BL497" s="525"/>
      <c r="BM497" s="525"/>
      <c r="BN497" s="525"/>
      <c r="BO497" s="525"/>
      <c r="BP497" s="525"/>
      <c r="BQ497" s="525"/>
      <c r="BR497" s="525"/>
      <c r="BS497" s="525"/>
      <c r="BT497" s="525"/>
      <c r="BU497" s="525"/>
      <c r="BV497" s="525"/>
      <c r="BW497" s="525"/>
      <c r="BX497" s="525"/>
      <c r="BY497" s="525"/>
    </row>
    <row r="498" spans="1:80" x14ac:dyDescent="0.3">
      <c r="C498" s="1"/>
      <c r="D498" s="2"/>
      <c r="E498" s="78" t="str">
        <f>"EBITDA growth post capex: "&amp;E$155</f>
        <v>EBITDA growth post capex: FY27 Tranche</v>
      </c>
      <c r="F498" s="8"/>
      <c r="G498" s="8"/>
      <c r="H498" s="8"/>
      <c r="I498" s="8"/>
      <c r="J498" s="8"/>
      <c r="K498" s="8"/>
      <c r="L498" s="8"/>
      <c r="M498" s="8"/>
      <c r="N498" s="8"/>
      <c r="O498" s="8"/>
      <c r="P498" s="33"/>
      <c r="Q498" s="8"/>
      <c r="R498" s="519">
        <f>IF(AND(R$4&lt;=$AH155,R$4&gt;$V155),1,IF(AND(R$4&lt;=$AI155,R$4&gt;$AH155),2,IF(AND(R$4&lt;=$AJ155,R$4&gt;$AI155),3,IF(AND(R$4&lt;=$AK155,R$4&gt;$AJ155),4,IF(AND(R$4&lt;=$AL155,R$4&gt;$AK155),5,0)))))*'Detailed Assumptions'!$E$6</f>
        <v>0</v>
      </c>
      <c r="S498" s="519">
        <f>IF(AND(S$4&lt;=$AH155,S$4&gt;$V155),1,IF(AND(S$4&lt;=$AI155,S$4&gt;$AH155),2,IF(AND(S$4&lt;=$AJ155,S$4&gt;$AI155),3,IF(AND(S$4&lt;=$AK155,S$4&gt;$AJ155),4,IF(AND(S$4&lt;=$AL155,S$4&gt;$AK155),5,0)))))*'Detailed Assumptions'!$E$6</f>
        <v>0</v>
      </c>
      <c r="T498" s="519">
        <f>IF(AND(T$4&lt;=$AH155,T$4&gt;$V155),1,IF(AND(T$4&lt;=$AI155,T$4&gt;$AH155),2,IF(AND(T$4&lt;=$AJ155,T$4&gt;$AI155),3,IF(AND(T$4&lt;=$AK155,T$4&gt;$AJ155),4,IF(AND(T$4&lt;=$AL155,T$4&gt;$AK155),5,0)))))*'Detailed Assumptions'!$E$6</f>
        <v>0</v>
      </c>
      <c r="U498" s="519">
        <f>IF(AND(U$4&lt;=$AH155,U$4&gt;$V155),1,IF(AND(U$4&lt;=$AI155,U$4&gt;$AH155),2,IF(AND(U$4&lt;=$AJ155,U$4&gt;$AI155),3,IF(AND(U$4&lt;=$AK155,U$4&gt;$AJ155),4,IF(AND(U$4&lt;=$AL155,U$4&gt;$AK155),5,0)))))*'Detailed Assumptions'!$E$6</f>
        <v>0</v>
      </c>
      <c r="V498" s="519">
        <f>IF(AND(V$4&lt;=$AH155,V$4&gt;$V155),1,IF(AND(V$4&lt;=$AI155,V$4&gt;$AH155),2,IF(AND(V$4&lt;=$AJ155,V$4&gt;$AI155),3,IF(AND(V$4&lt;=$AK155,V$4&gt;$AJ155),4,IF(AND(V$4&lt;=$AL155,V$4&gt;$AK155),5,0)))))*'Detailed Assumptions'!$E$6</f>
        <v>0</v>
      </c>
      <c r="W498" s="519">
        <f>IF(AND(W$4&lt;=$AH155,W$4&gt;$V155),1,IF(AND(W$4&lt;=$AI155,W$4&gt;$AH155),2,IF(AND(W$4&lt;=$AJ155,W$4&gt;$AI155),3,IF(AND(W$4&lt;=$AK155,W$4&gt;$AJ155),4,IF(AND(W$4&lt;=$AL155,W$4&gt;$AK155),5,0)))))*'Detailed Assumptions'!$E$6</f>
        <v>0</v>
      </c>
      <c r="X498" s="519">
        <f>IF(AND(X$4&lt;=$AH155,X$4&gt;$V155),1,IF(AND(X$4&lt;=$AI155,X$4&gt;$AH155),2,IF(AND(X$4&lt;=$AJ155,X$4&gt;$AI155),3,IF(AND(X$4&lt;=$AK155,X$4&gt;$AJ155),4,IF(AND(X$4&lt;=$AL155,X$4&gt;$AK155),5,0)))))*'Detailed Assumptions'!$E$6</f>
        <v>1</v>
      </c>
      <c r="Y498" s="519">
        <f>IF(AND(Y$4&lt;=$AH155,Y$4&gt;$V155),1,IF(AND(Y$4&lt;=$AI155,Y$4&gt;$AH155),2,IF(AND(Y$4&lt;=$AJ155,Y$4&gt;$AI155),3,IF(AND(Y$4&lt;=$AK155,Y$4&gt;$AJ155),4,IF(AND(Y$4&lt;=$AL155,Y$4&gt;$AK155),5,0)))))*'Detailed Assumptions'!$E$6</f>
        <v>1</v>
      </c>
      <c r="Z498" s="519">
        <f>IF(AND(Z$4&lt;=$AH155,Z$4&gt;$V155),1,IF(AND(Z$4&lt;=$AI155,Z$4&gt;$AH155),2,IF(AND(Z$4&lt;=$AJ155,Z$4&gt;$AI155),3,IF(AND(Z$4&lt;=$AK155,Z$4&gt;$AJ155),4,IF(AND(Z$4&lt;=$AL155,Z$4&gt;$AK155),5,0)))))*'Detailed Assumptions'!$E$6</f>
        <v>1</v>
      </c>
      <c r="AA498" s="519">
        <f>IF(AND(AA$4&lt;=$AH155,AA$4&gt;$V155),1,IF(AND(AA$4&lt;=$AI155,AA$4&gt;$AH155),2,IF(AND(AA$4&lt;=$AJ155,AA$4&gt;$AI155),3,IF(AND(AA$4&lt;=$AK155,AA$4&gt;$AJ155),4,IF(AND(AA$4&lt;=$AL155,AA$4&gt;$AK155),5,0)))))*'Detailed Assumptions'!$E$6</f>
        <v>1</v>
      </c>
      <c r="AB498" s="519">
        <f>IF(AND(AB$4&lt;=$AH155,AB$4&gt;$V155),1,IF(AND(AB$4&lt;=$AI155,AB$4&gt;$AH155),2,IF(AND(AB$4&lt;=$AJ155,AB$4&gt;$AI155),3,IF(AND(AB$4&lt;=$AK155,AB$4&gt;$AJ155),4,IF(AND(AB$4&lt;=$AL155,AB$4&gt;$AK155),5,0)))))*'Detailed Assumptions'!$E$6</f>
        <v>1</v>
      </c>
      <c r="AC498" s="519">
        <f>IF(AND(AC$4&lt;=$AH155,AC$4&gt;$V155),1,IF(AND(AC$4&lt;=$AI155,AC$4&gt;$AH155),2,IF(AND(AC$4&lt;=$AJ155,AC$4&gt;$AI155),3,IF(AND(AC$4&lt;=$AK155,AC$4&gt;$AJ155),4,IF(AND(AC$4&lt;=$AL155,AC$4&gt;$AK155),5,0)))))*'Detailed Assumptions'!$E$6</f>
        <v>1</v>
      </c>
      <c r="AD498" s="519">
        <f>IF(AND(AD$4&lt;=$AH155,AD$4&gt;$V155),1,IF(AND(AD$4&lt;=$AI155,AD$4&gt;$AH155),2,IF(AND(AD$4&lt;=$AJ155,AD$4&gt;$AI155),3,IF(AND(AD$4&lt;=$AK155,AD$4&gt;$AJ155),4,IF(AND(AD$4&lt;=$AL155,AD$4&gt;$AK155),5,0)))))*'Detailed Assumptions'!$E$6</f>
        <v>1</v>
      </c>
      <c r="AE498" s="519">
        <f>IF(AND(AE$4&lt;=$AH155,AE$4&gt;$V155),1,IF(AND(AE$4&lt;=$AI155,AE$4&gt;$AH155),2,IF(AND(AE$4&lt;=$AJ155,AE$4&gt;$AI155),3,IF(AND(AE$4&lt;=$AK155,AE$4&gt;$AJ155),4,IF(AND(AE$4&lt;=$AL155,AE$4&gt;$AK155),5,0)))))*'Detailed Assumptions'!$E$6</f>
        <v>1</v>
      </c>
      <c r="AF498" s="519">
        <f>IF(AND(AF$4&lt;=$AH155,AF$4&gt;$V155),1,IF(AND(AF$4&lt;=$AI155,AF$4&gt;$AH155),2,IF(AND(AF$4&lt;=$AJ155,AF$4&gt;$AI155),3,IF(AND(AF$4&lt;=$AK155,AF$4&gt;$AJ155),4,IF(AND(AF$4&lt;=$AL155,AF$4&gt;$AK155),5,0)))))*'Detailed Assumptions'!$E$6</f>
        <v>1</v>
      </c>
      <c r="AG498" s="519">
        <f>IF(AND(AG$4&lt;=$AH155,AG$4&gt;$V155),1,IF(AND(AG$4&lt;=$AI155,AG$4&gt;$AH155),2,IF(AND(AG$4&lt;=$AJ155,AG$4&gt;$AI155),3,IF(AND(AG$4&lt;=$AK155,AG$4&gt;$AJ155),4,IF(AND(AG$4&lt;=$AL155,AG$4&gt;$AK155),5,0)))))*'Detailed Assumptions'!$E$6</f>
        <v>1</v>
      </c>
      <c r="AH498" s="519">
        <f>IF(AND(AH$4&lt;=$AH155,AH$4&gt;$V155),1,IF(AND(AH$4&lt;=$AI155,AH$4&gt;$AH155),2,IF(AND(AH$4&lt;=$AJ155,AH$4&gt;$AI155),3,IF(AND(AH$4&lt;=$AK155,AH$4&gt;$AJ155),4,IF(AND(AH$4&lt;=$AL155,AH$4&gt;$AK155),5,0)))))*'Detailed Assumptions'!$E$6</f>
        <v>1</v>
      </c>
      <c r="AI498" s="519">
        <f>IF(AND(AI$4&lt;=$AH155,AI$4&gt;$V155),1,IF(AND(AI$4&lt;=$AI155,AI$4&gt;$AH155),2,IF(AND(AI$4&lt;=$AJ155,AI$4&gt;$AI155),3,IF(AND(AI$4&lt;=$AK155,AI$4&gt;$AJ155),4,IF(AND(AI$4&lt;=$AL155,AI$4&gt;$AK155),5,0)))))*'Detailed Assumptions'!$E$6</f>
        <v>1</v>
      </c>
      <c r="AJ498" s="519">
        <f>IF(AND(AJ$4&lt;=$AH155,AJ$4&gt;$V155),1,IF(AND(AJ$4&lt;=$AI155,AJ$4&gt;$AH155),2,IF(AND(AJ$4&lt;=$AJ155,AJ$4&gt;$AI155),3,IF(AND(AJ$4&lt;=$AK155,AJ$4&gt;$AJ155),4,IF(AND(AJ$4&lt;=$AL155,AJ$4&gt;$AK155),5,0)))))*'Detailed Assumptions'!$E$6</f>
        <v>2</v>
      </c>
      <c r="AK498" s="519">
        <f>IF(AND(AK$4&lt;=$AH155,AK$4&gt;$V155),1,IF(AND(AK$4&lt;=$AI155,AK$4&gt;$AH155),2,IF(AND(AK$4&lt;=$AJ155,AK$4&gt;$AI155),3,IF(AND(AK$4&lt;=$AK155,AK$4&gt;$AJ155),4,IF(AND(AK$4&lt;=$AL155,AK$4&gt;$AK155),5,0)))))*'Detailed Assumptions'!$E$6</f>
        <v>2</v>
      </c>
      <c r="AL498" s="519">
        <f>IF(AND(AL$4&lt;=$AH155,AL$4&gt;$V155),1,IF(AND(AL$4&lt;=$AI155,AL$4&gt;$AH155),2,IF(AND(AL$4&lt;=$AJ155,AL$4&gt;$AI155),3,IF(AND(AL$4&lt;=$AK155,AL$4&gt;$AJ155),4,IF(AND(AL$4&lt;=$AL155,AL$4&gt;$AK155),5,0)))))*'Detailed Assumptions'!$E$6</f>
        <v>2</v>
      </c>
      <c r="AM498" s="519">
        <f>IF(AND(AM$4&lt;=$AH155,AM$4&gt;$V155),1,IF(AND(AM$4&lt;=$AI155,AM$4&gt;$AH155),2,IF(AND(AM$4&lt;=$AJ155,AM$4&gt;$AI155),3,IF(AND(AM$4&lt;=$AK155,AM$4&gt;$AJ155),4,IF(AND(AM$4&lt;=$AL155,AM$4&gt;$AK155),5,0)))))*'Detailed Assumptions'!$E$6</f>
        <v>2</v>
      </c>
      <c r="AN498" s="543">
        <f>IF(AND(AN$4&lt;=$AH155,AN$4&gt;$V155),1,IF(AND(AN$4&lt;=$AI155,AN$4&gt;$AH155),2,IF(AND(AN$4&lt;=$AJ155,AN$4&gt;$AI155),3,IF(AND(AN$4&lt;=$AK155,AN$4&gt;$AJ155),4,IF(AND(AN$4&lt;=$AL155,AN$4&gt;$AK155),5,0)))))*'Detailed Assumptions'!$E$6</f>
        <v>2</v>
      </c>
      <c r="AO498" s="543">
        <f>IF(AND(AO$4&lt;=$AH155,AO$4&gt;$V155),1,IF(AND(AO$4&lt;=$AI155,AO$4&gt;$AH155),2,IF(AND(AO$4&lt;=$AJ155,AO$4&gt;$AI155),3,IF(AND(AO$4&lt;=$AK155,AO$4&gt;$AJ155),4,IF(AND(AO$4&lt;=$AL155,AO$4&gt;$AK155),5,0)))))*'Detailed Assumptions'!$E$6</f>
        <v>2</v>
      </c>
      <c r="AP498" s="543">
        <f>IF(AND(AP$4&lt;=$AH155,AP$4&gt;$V155),1,IF(AND(AP$4&lt;=$AI155,AP$4&gt;$AH155),2,IF(AND(AP$4&lt;=$AJ155,AP$4&gt;$AI155),3,IF(AND(AP$4&lt;=$AK155,AP$4&gt;$AJ155),4,IF(AND(AP$4&lt;=$AL155,AP$4&gt;$AK155),5,0)))))*'Detailed Assumptions'!$E$6</f>
        <v>2</v>
      </c>
      <c r="AQ498" s="543">
        <f>IF(AND(AQ$4&lt;=$AH155,AQ$4&gt;$V155),1,IF(AND(AQ$4&lt;=$AI155,AQ$4&gt;$AH155),2,IF(AND(AQ$4&lt;=$AJ155,AQ$4&gt;$AI155),3,IF(AND(AQ$4&lt;=$AK155,AQ$4&gt;$AJ155),4,IF(AND(AQ$4&lt;=$AL155,AQ$4&gt;$AK155),5,0)))))*'Detailed Assumptions'!$E$6</f>
        <v>2</v>
      </c>
      <c r="AR498" s="543">
        <f>IF(AND(AR$4&lt;=$AH155,AR$4&gt;$V155),1,IF(AND(AR$4&lt;=$AI155,AR$4&gt;$AH155),2,IF(AND(AR$4&lt;=$AJ155,AR$4&gt;$AI155),3,IF(AND(AR$4&lt;=$AK155,AR$4&gt;$AJ155),4,IF(AND(AR$4&lt;=$AL155,AR$4&gt;$AK155),5,0)))))*'Detailed Assumptions'!$E$6</f>
        <v>2</v>
      </c>
      <c r="AS498" s="543">
        <f>IF(AND(AS$4&lt;=$AH155,AS$4&gt;$V155),1,IF(AND(AS$4&lt;=$AI155,AS$4&gt;$AH155),2,IF(AND(AS$4&lt;=$AJ155,AS$4&gt;$AI155),3,IF(AND(AS$4&lt;=$AK155,AS$4&gt;$AJ155),4,IF(AND(AS$4&lt;=$AL155,AS$4&gt;$AK155),5,0)))))*'Detailed Assumptions'!$E$6</f>
        <v>2</v>
      </c>
      <c r="AT498" s="543">
        <f>IF(AND(AT$4&lt;=$AH155,AT$4&gt;$V155),1,IF(AND(AT$4&lt;=$AI155,AT$4&gt;$AH155),2,IF(AND(AT$4&lt;=$AJ155,AT$4&gt;$AI155),3,IF(AND(AT$4&lt;=$AK155,AT$4&gt;$AJ155),4,IF(AND(AT$4&lt;=$AL155,AT$4&gt;$AK155),5,0)))))*'Detailed Assumptions'!$E$6</f>
        <v>2</v>
      </c>
      <c r="AU498" s="543">
        <f>IF(AND(AU$4&lt;=$AH155,AU$4&gt;$V155),1,IF(AND(AU$4&lt;=$AI155,AU$4&gt;$AH155),2,IF(AND(AU$4&lt;=$AJ155,AU$4&gt;$AI155),3,IF(AND(AU$4&lt;=$AK155,AU$4&gt;$AJ155),4,IF(AND(AU$4&lt;=$AL155,AU$4&gt;$AK155),5,0)))))*'Detailed Assumptions'!$E$6</f>
        <v>2</v>
      </c>
      <c r="AV498" s="543">
        <f>IF(AND(AV$4&lt;=$AH155,AV$4&gt;$V155),1,IF(AND(AV$4&lt;=$AI155,AV$4&gt;$AH155),2,IF(AND(AV$4&lt;=$AJ155,AV$4&gt;$AI155),3,IF(AND(AV$4&lt;=$AK155,AV$4&gt;$AJ155),4,IF(AND(AV$4&lt;=$AL155,AV$4&gt;$AK155),5,0)))))*'Detailed Assumptions'!$E$6</f>
        <v>3</v>
      </c>
      <c r="AW498" s="543">
        <f>IF(AND(AW$4&lt;=$AH155,AW$4&gt;$V155),1,IF(AND(AW$4&lt;=$AI155,AW$4&gt;$AH155),2,IF(AND(AW$4&lt;=$AJ155,AW$4&gt;$AI155),3,IF(AND(AW$4&lt;=$AK155,AW$4&gt;$AJ155),4,IF(AND(AW$4&lt;=$AL155,AW$4&gt;$AK155),5,0)))))*'Detailed Assumptions'!$E$6</f>
        <v>3</v>
      </c>
      <c r="AX498" s="543">
        <f>IF(AND(AX$4&lt;=$AH155,AX$4&gt;$V155),1,IF(AND(AX$4&lt;=$AI155,AX$4&gt;$AH155),2,IF(AND(AX$4&lt;=$AJ155,AX$4&gt;$AI155),3,IF(AND(AX$4&lt;=$AK155,AX$4&gt;$AJ155),4,IF(AND(AX$4&lt;=$AL155,AX$4&gt;$AK155),5,0)))))*'Detailed Assumptions'!$E$6</f>
        <v>3</v>
      </c>
      <c r="AY498" s="543">
        <f>IF(AND(AY$4&lt;=$AH155,AY$4&gt;$V155),1,IF(AND(AY$4&lt;=$AI155,AY$4&gt;$AH155),2,IF(AND(AY$4&lt;=$AJ155,AY$4&gt;$AI155),3,IF(AND(AY$4&lt;=$AK155,AY$4&gt;$AJ155),4,IF(AND(AY$4&lt;=$AL155,AY$4&gt;$AK155),5,0)))))*'Detailed Assumptions'!$E$6</f>
        <v>3</v>
      </c>
      <c r="AZ498" s="543">
        <f>IF(AND(AZ$4&lt;=$AH155,AZ$4&gt;$V155),1,IF(AND(AZ$4&lt;=$AI155,AZ$4&gt;$AH155),2,IF(AND(AZ$4&lt;=$AJ155,AZ$4&gt;$AI155),3,IF(AND(AZ$4&lt;=$AK155,AZ$4&gt;$AJ155),4,IF(AND(AZ$4&lt;=$AL155,AZ$4&gt;$AK155),5,0)))))*'Detailed Assumptions'!$E$6</f>
        <v>3</v>
      </c>
      <c r="BA498" s="543">
        <f>IF(AND(BA$4&lt;=$AH155,BA$4&gt;$V155),1,IF(AND(BA$4&lt;=$AI155,BA$4&gt;$AH155),2,IF(AND(BA$4&lt;=$AJ155,BA$4&gt;$AI155),3,IF(AND(BA$4&lt;=$AK155,BA$4&gt;$AJ155),4,IF(AND(BA$4&lt;=$AL155,BA$4&gt;$AK155),5,0)))))*'Detailed Assumptions'!$E$6</f>
        <v>3</v>
      </c>
      <c r="BB498" s="543">
        <f>IF(AND(BB$4&lt;=$AH155,BB$4&gt;$V155),1,IF(AND(BB$4&lt;=$AI155,BB$4&gt;$AH155),2,IF(AND(BB$4&lt;=$AJ155,BB$4&gt;$AI155),3,IF(AND(BB$4&lt;=$AK155,BB$4&gt;$AJ155),4,IF(AND(BB$4&lt;=$AL155,BB$4&gt;$AK155),5,0)))))*'Detailed Assumptions'!$E$6</f>
        <v>3</v>
      </c>
      <c r="BC498" s="543">
        <f>IF(AND(BC$4&lt;=$AH155,BC$4&gt;$V155),1,IF(AND(BC$4&lt;=$AI155,BC$4&gt;$AH155),2,IF(AND(BC$4&lt;=$AJ155,BC$4&gt;$AI155),3,IF(AND(BC$4&lt;=$AK155,BC$4&gt;$AJ155),4,IF(AND(BC$4&lt;=$AL155,BC$4&gt;$AK155),5,0)))))*'Detailed Assumptions'!$E$6</f>
        <v>3</v>
      </c>
      <c r="BD498" s="543">
        <f>IF(AND(BD$4&lt;=$AH155,BD$4&gt;$V155),1,IF(AND(BD$4&lt;=$AI155,BD$4&gt;$AH155),2,IF(AND(BD$4&lt;=$AJ155,BD$4&gt;$AI155),3,IF(AND(BD$4&lt;=$AK155,BD$4&gt;$AJ155),4,IF(AND(BD$4&lt;=$AL155,BD$4&gt;$AK155),5,0)))))*'Detailed Assumptions'!$E$6</f>
        <v>3</v>
      </c>
      <c r="BE498" s="543">
        <f>IF(AND(BE$4&lt;=$AH155,BE$4&gt;$V155),1,IF(AND(BE$4&lt;=$AI155,BE$4&gt;$AH155),2,IF(AND(BE$4&lt;=$AJ155,BE$4&gt;$AI155),3,IF(AND(BE$4&lt;=$AK155,BE$4&gt;$AJ155),4,IF(AND(BE$4&lt;=$AL155,BE$4&gt;$AK155),5,0)))))*'Detailed Assumptions'!$E$6</f>
        <v>3</v>
      </c>
      <c r="BF498" s="543">
        <f>IF(AND(BF$4&lt;=$AH155,BF$4&gt;$V155),1,IF(AND(BF$4&lt;=$AI155,BF$4&gt;$AH155),2,IF(AND(BF$4&lt;=$AJ155,BF$4&gt;$AI155),3,IF(AND(BF$4&lt;=$AK155,BF$4&gt;$AJ155),4,IF(AND(BF$4&lt;=$AL155,BF$4&gt;$AK155),5,0)))))*'Detailed Assumptions'!$E$6</f>
        <v>3</v>
      </c>
      <c r="BG498" s="543">
        <f>IF(AND(BG$4&lt;=$AH155,BG$4&gt;$V155),1,IF(AND(BG$4&lt;=$AI155,BG$4&gt;$AH155),2,IF(AND(BG$4&lt;=$AJ155,BG$4&gt;$AI155),3,IF(AND(BG$4&lt;=$AK155,BG$4&gt;$AJ155),4,IF(AND(BG$4&lt;=$AL155,BG$4&gt;$AK155),5,0)))))*'Detailed Assumptions'!$E$6</f>
        <v>3</v>
      </c>
      <c r="BH498" s="543">
        <f>IF(AND(BH$4&lt;=$AH155,BH$4&gt;$V155),1,IF(AND(BH$4&lt;=$AI155,BH$4&gt;$AH155),2,IF(AND(BH$4&lt;=$AJ155,BH$4&gt;$AI155),3,IF(AND(BH$4&lt;=$AK155,BH$4&gt;$AJ155),4,IF(AND(BH$4&lt;=$AL155,BH$4&gt;$AK155),5,0)))))*'Detailed Assumptions'!$E$6</f>
        <v>4</v>
      </c>
      <c r="BI498" s="543">
        <f>IF(AND(BI$4&lt;=$AH155,BI$4&gt;$V155),1,IF(AND(BI$4&lt;=$AI155,BI$4&gt;$AH155),2,IF(AND(BI$4&lt;=$AJ155,BI$4&gt;$AI155),3,IF(AND(BI$4&lt;=$AK155,BI$4&gt;$AJ155),4,IF(AND(BI$4&lt;=$AL155,BI$4&gt;$AK155),5,0)))))*'Detailed Assumptions'!$E$6</f>
        <v>4</v>
      </c>
      <c r="BJ498" s="543">
        <f>IF(AND(BJ$4&lt;=$AH155,BJ$4&gt;$V155),1,IF(AND(BJ$4&lt;=$AI155,BJ$4&gt;$AH155),2,IF(AND(BJ$4&lt;=$AJ155,BJ$4&gt;$AI155),3,IF(AND(BJ$4&lt;=$AK155,BJ$4&gt;$AJ155),4,IF(AND(BJ$4&lt;=$AL155,BJ$4&gt;$AK155),5,0)))))*'Detailed Assumptions'!$E$6</f>
        <v>4</v>
      </c>
      <c r="BK498" s="543">
        <f>IF(AND(BK$4&lt;=$AH155,BK$4&gt;$V155),1,IF(AND(BK$4&lt;=$AI155,BK$4&gt;$AH155),2,IF(AND(BK$4&lt;=$AJ155,BK$4&gt;$AI155),3,IF(AND(BK$4&lt;=$AK155,BK$4&gt;$AJ155),4,IF(AND(BK$4&lt;=$AL155,BK$4&gt;$AK155),5,0)))))*'Detailed Assumptions'!$E$6</f>
        <v>4</v>
      </c>
      <c r="BL498" s="543">
        <f>IF(AND(BL$4&lt;=$AH155,BL$4&gt;$V155),1,IF(AND(BL$4&lt;=$AI155,BL$4&gt;$AH155),2,IF(AND(BL$4&lt;=$AJ155,BL$4&gt;$AI155),3,IF(AND(BL$4&lt;=$AK155,BL$4&gt;$AJ155),4,IF(AND(BL$4&lt;=$AL155,BL$4&gt;$AK155),5,0)))))*'Detailed Assumptions'!$E$6</f>
        <v>4</v>
      </c>
      <c r="BM498" s="543">
        <f>IF(AND(BM$4&lt;=$AH155,BM$4&gt;$V155),1,IF(AND(BM$4&lt;=$AI155,BM$4&gt;$AH155),2,IF(AND(BM$4&lt;=$AJ155,BM$4&gt;$AI155),3,IF(AND(BM$4&lt;=$AK155,BM$4&gt;$AJ155),4,IF(AND(BM$4&lt;=$AL155,BM$4&gt;$AK155),5,0)))))*'Detailed Assumptions'!$E$6</f>
        <v>4</v>
      </c>
      <c r="BN498" s="543">
        <f>IF(AND(BN$4&lt;=$AH155,BN$4&gt;$V155),1,IF(AND(BN$4&lt;=$AI155,BN$4&gt;$AH155),2,IF(AND(BN$4&lt;=$AJ155,BN$4&gt;$AI155),3,IF(AND(BN$4&lt;=$AK155,BN$4&gt;$AJ155),4,IF(AND(BN$4&lt;=$AL155,BN$4&gt;$AK155),5,0)))))*'Detailed Assumptions'!$E$6</f>
        <v>4</v>
      </c>
      <c r="BO498" s="543">
        <f>IF(AND(BO$4&lt;=$AH155,BO$4&gt;$V155),1,IF(AND(BO$4&lt;=$AI155,BO$4&gt;$AH155),2,IF(AND(BO$4&lt;=$AJ155,BO$4&gt;$AI155),3,IF(AND(BO$4&lt;=$AK155,BO$4&gt;$AJ155),4,IF(AND(BO$4&lt;=$AL155,BO$4&gt;$AK155),5,0)))))*'Detailed Assumptions'!$E$6</f>
        <v>4</v>
      </c>
      <c r="BP498" s="543">
        <f>IF(AND(BP$4&lt;=$AH155,BP$4&gt;$V155),1,IF(AND(BP$4&lt;=$AI155,BP$4&gt;$AH155),2,IF(AND(BP$4&lt;=$AJ155,BP$4&gt;$AI155),3,IF(AND(BP$4&lt;=$AK155,BP$4&gt;$AJ155),4,IF(AND(BP$4&lt;=$AL155,BP$4&gt;$AK155),5,0)))))*'Detailed Assumptions'!$E$6</f>
        <v>4</v>
      </c>
      <c r="BQ498" s="543">
        <f>IF(AND(BQ$4&lt;=$AH155,BQ$4&gt;$V155),1,IF(AND(BQ$4&lt;=$AI155,BQ$4&gt;$AH155),2,IF(AND(BQ$4&lt;=$AJ155,BQ$4&gt;$AI155),3,IF(AND(BQ$4&lt;=$AK155,BQ$4&gt;$AJ155),4,IF(AND(BQ$4&lt;=$AL155,BQ$4&gt;$AK155),5,0)))))*'Detailed Assumptions'!$E$6</f>
        <v>4</v>
      </c>
      <c r="BR498" s="543">
        <f>IF(AND(BR$4&lt;=$AH155,BR$4&gt;$V155),1,IF(AND(BR$4&lt;=$AI155,BR$4&gt;$AH155),2,IF(AND(BR$4&lt;=$AJ155,BR$4&gt;$AI155),3,IF(AND(BR$4&lt;=$AK155,BR$4&gt;$AJ155),4,IF(AND(BR$4&lt;=$AL155,BR$4&gt;$AK155),5,0)))))*'Detailed Assumptions'!$E$6</f>
        <v>4</v>
      </c>
      <c r="BS498" s="543">
        <f>IF(AND(BS$4&lt;=$AH155,BS$4&gt;$V155),1,IF(AND(BS$4&lt;=$AI155,BS$4&gt;$AH155),2,IF(AND(BS$4&lt;=$AJ155,BS$4&gt;$AI155),3,IF(AND(BS$4&lt;=$AK155,BS$4&gt;$AJ155),4,IF(AND(BS$4&lt;=$AL155,BS$4&gt;$AK155),5,0)))))*'Detailed Assumptions'!$E$6</f>
        <v>4</v>
      </c>
      <c r="BT498" s="543">
        <f>IF(AND(BT$4&lt;=$AH155,BT$4&gt;$V155),1,IF(AND(BT$4&lt;=$AI155,BT$4&gt;$AH155),2,IF(AND(BT$4&lt;=$AJ155,BT$4&gt;$AI155),3,IF(AND(BT$4&lt;=$AK155,BT$4&gt;$AJ155),4,IF(AND(BT$4&lt;=$AL155,BT$4&gt;$AK155),5,0)))))*'Detailed Assumptions'!$E$6</f>
        <v>5</v>
      </c>
      <c r="BU498" s="543">
        <f>IF(AND(BU$4&lt;=$AH155,BU$4&gt;$V155),1,IF(AND(BU$4&lt;=$AI155,BU$4&gt;$AH155),2,IF(AND(BU$4&lt;=$AJ155,BU$4&gt;$AI155),3,IF(AND(BU$4&lt;=$AK155,BU$4&gt;$AJ155),4,IF(AND(BU$4&lt;=$AL155,BU$4&gt;$AK155),5,0)))))*'Detailed Assumptions'!$E$6</f>
        <v>5</v>
      </c>
      <c r="BV498" s="543">
        <f>IF(AND(BV$4&lt;=$AH155,BV$4&gt;$V155),1,IF(AND(BV$4&lt;=$AI155,BV$4&gt;$AH155),2,IF(AND(BV$4&lt;=$AJ155,BV$4&gt;$AI155),3,IF(AND(BV$4&lt;=$AK155,BV$4&gt;$AJ155),4,IF(AND(BV$4&lt;=$AL155,BV$4&gt;$AK155),5,0)))))*'Detailed Assumptions'!$E$6</f>
        <v>5</v>
      </c>
      <c r="BW498" s="543">
        <f>IF(AND(BW$4&lt;=$AH155,BW$4&gt;$V155),1,IF(AND(BW$4&lt;=$AI155,BW$4&gt;$AH155),2,IF(AND(BW$4&lt;=$AJ155,BW$4&gt;$AI155),3,IF(AND(BW$4&lt;=$AK155,BW$4&gt;$AJ155),4,IF(AND(BW$4&lt;=$AL155,BW$4&gt;$AK155),5,0)))))*'Detailed Assumptions'!$E$6</f>
        <v>5</v>
      </c>
      <c r="BX498" s="543">
        <f>IF(AND(BX$4&lt;=$AH155,BX$4&gt;$V155),1,IF(AND(BX$4&lt;=$AI155,BX$4&gt;$AH155),2,IF(AND(BX$4&lt;=$AJ155,BX$4&gt;$AI155),3,IF(AND(BX$4&lt;=$AK155,BX$4&gt;$AJ155),4,IF(AND(BX$4&lt;=$AL155,BX$4&gt;$AK155),5,0)))))*'Detailed Assumptions'!$E$6</f>
        <v>5</v>
      </c>
      <c r="BY498" s="543">
        <f>IF(AND(BY$4&lt;=$AH155,BY$4&gt;$V155),1,IF(AND(BY$4&lt;=$AI155,BY$4&gt;$AH155),2,IF(AND(BY$4&lt;=$AJ155,BY$4&gt;$AI155),3,IF(AND(BY$4&lt;=$AK155,BY$4&gt;$AJ155),4,IF(AND(BY$4&lt;=$AL155,BY$4&gt;$AK155),5,0)))))*'Detailed Assumptions'!$E$6</f>
        <v>5</v>
      </c>
    </row>
    <row r="499" spans="1:80" x14ac:dyDescent="0.3">
      <c r="C499" s="1"/>
      <c r="D499" s="2"/>
      <c r="E499" s="78" t="str">
        <f>"EBITDA growth post capex: "&amp;E$156</f>
        <v>EBITDA growth post capex: FY28 Tranche</v>
      </c>
      <c r="F499" s="8"/>
      <c r="G499" s="8"/>
      <c r="H499" s="8"/>
      <c r="I499" s="8"/>
      <c r="J499" s="8"/>
      <c r="K499" s="8"/>
      <c r="L499" s="8"/>
      <c r="M499" s="8"/>
      <c r="N499" s="8"/>
      <c r="O499" s="8"/>
      <c r="P499" s="33"/>
      <c r="Q499" s="8"/>
      <c r="R499" s="519">
        <f>IF(AND(R$4&lt;=$AH156,R$4&gt;$V156),1,IF(AND(R$4&lt;=$AI156,R$4&gt;$AH156),2,IF(AND(R$4&lt;=$AJ156,R$4&gt;$AI156),3,IF(AND(R$4&lt;=$AK156,R$4&gt;$AJ156),4,IF(AND(R$4&lt;=$AL156,R$4&gt;$AK156),5,0)))))*'Detailed Assumptions'!$E$6</f>
        <v>0</v>
      </c>
      <c r="S499" s="519">
        <f>IF(AND(S$4&lt;=$AH156,S$4&gt;$V156),1,IF(AND(S$4&lt;=$AI156,S$4&gt;$AH156),2,IF(AND(S$4&lt;=$AJ156,S$4&gt;$AI156),3,IF(AND(S$4&lt;=$AK156,S$4&gt;$AJ156),4,IF(AND(S$4&lt;=$AL156,S$4&gt;$AK156),5,0)))))*'Detailed Assumptions'!$E$6</f>
        <v>0</v>
      </c>
      <c r="T499" s="519">
        <f>IF(AND(T$4&lt;=$AH156,T$4&gt;$V156),1,IF(AND(T$4&lt;=$AI156,T$4&gt;$AH156),2,IF(AND(T$4&lt;=$AJ156,T$4&gt;$AI156),3,IF(AND(T$4&lt;=$AK156,T$4&gt;$AJ156),4,IF(AND(T$4&lt;=$AL156,T$4&gt;$AK156),5,0)))))*'Detailed Assumptions'!$E$6</f>
        <v>0</v>
      </c>
      <c r="U499" s="519">
        <f>IF(AND(U$4&lt;=$AH156,U$4&gt;$V156),1,IF(AND(U$4&lt;=$AI156,U$4&gt;$AH156),2,IF(AND(U$4&lt;=$AJ156,U$4&gt;$AI156),3,IF(AND(U$4&lt;=$AK156,U$4&gt;$AJ156),4,IF(AND(U$4&lt;=$AL156,U$4&gt;$AK156),5,0)))))*'Detailed Assumptions'!$E$6</f>
        <v>0</v>
      </c>
      <c r="V499" s="519">
        <f>IF(AND(V$4&lt;=$AH156,V$4&gt;$V156),1,IF(AND(V$4&lt;=$AI156,V$4&gt;$AH156),2,IF(AND(V$4&lt;=$AJ156,V$4&gt;$AI156),3,IF(AND(V$4&lt;=$AK156,V$4&gt;$AJ156),4,IF(AND(V$4&lt;=$AL156,V$4&gt;$AK156),5,0)))))*'Detailed Assumptions'!$E$6</f>
        <v>0</v>
      </c>
      <c r="W499" s="519">
        <f>IF(AND(W$4&lt;=$AH156,W$4&gt;$V156),1,IF(AND(W$4&lt;=$AI156,W$4&gt;$AH156),2,IF(AND(W$4&lt;=$AJ156,W$4&gt;$AI156),3,IF(AND(W$4&lt;=$AK156,W$4&gt;$AJ156),4,IF(AND(W$4&lt;=$AL156,W$4&gt;$AK156),5,0)))))*'Detailed Assumptions'!$E$6</f>
        <v>0</v>
      </c>
      <c r="X499" s="519">
        <f>IF(AND(X$4&lt;=$AH156,X$4&gt;$V156),1,IF(AND(X$4&lt;=$AI156,X$4&gt;$AH156),2,IF(AND(X$4&lt;=$AJ156,X$4&gt;$AI156),3,IF(AND(X$4&lt;=$AK156,X$4&gt;$AJ156),4,IF(AND(X$4&lt;=$AL156,X$4&gt;$AK156),5,0)))))*'Detailed Assumptions'!$E$6</f>
        <v>0</v>
      </c>
      <c r="Y499" s="519">
        <f>IF(AND(Y$4&lt;=$AH156,Y$4&gt;$V156),1,IF(AND(Y$4&lt;=$AI156,Y$4&gt;$AH156),2,IF(AND(Y$4&lt;=$AJ156,Y$4&gt;$AI156),3,IF(AND(Y$4&lt;=$AK156,Y$4&gt;$AJ156),4,IF(AND(Y$4&lt;=$AL156,Y$4&gt;$AK156),5,0)))))*'Detailed Assumptions'!$E$6</f>
        <v>0</v>
      </c>
      <c r="Z499" s="519">
        <f>IF(AND(Z$4&lt;=$AH156,Z$4&gt;$V156),1,IF(AND(Z$4&lt;=$AI156,Z$4&gt;$AH156),2,IF(AND(Z$4&lt;=$AJ156,Z$4&gt;$AI156),3,IF(AND(Z$4&lt;=$AK156,Z$4&gt;$AJ156),4,IF(AND(Z$4&lt;=$AL156,Z$4&gt;$AK156),5,0)))))*'Detailed Assumptions'!$E$6</f>
        <v>0</v>
      </c>
      <c r="AA499" s="519">
        <f>IF(AND(AA$4&lt;=$AH156,AA$4&gt;$V156),1,IF(AND(AA$4&lt;=$AI156,AA$4&gt;$AH156),2,IF(AND(AA$4&lt;=$AJ156,AA$4&gt;$AI156),3,IF(AND(AA$4&lt;=$AK156,AA$4&gt;$AJ156),4,IF(AND(AA$4&lt;=$AL156,AA$4&gt;$AK156),5,0)))))*'Detailed Assumptions'!$E$6</f>
        <v>0</v>
      </c>
      <c r="AB499" s="519">
        <f>IF(AND(AB$4&lt;=$AH156,AB$4&gt;$V156),1,IF(AND(AB$4&lt;=$AI156,AB$4&gt;$AH156),2,IF(AND(AB$4&lt;=$AJ156,AB$4&gt;$AI156),3,IF(AND(AB$4&lt;=$AK156,AB$4&gt;$AJ156),4,IF(AND(AB$4&lt;=$AL156,AB$4&gt;$AK156),5,0)))))*'Detailed Assumptions'!$E$6</f>
        <v>0</v>
      </c>
      <c r="AC499" s="519">
        <f>IF(AND(AC$4&lt;=$AH156,AC$4&gt;$V156),1,IF(AND(AC$4&lt;=$AI156,AC$4&gt;$AH156),2,IF(AND(AC$4&lt;=$AJ156,AC$4&gt;$AI156),3,IF(AND(AC$4&lt;=$AK156,AC$4&gt;$AJ156),4,IF(AND(AC$4&lt;=$AL156,AC$4&gt;$AK156),5,0)))))*'Detailed Assumptions'!$E$6</f>
        <v>0</v>
      </c>
      <c r="AD499" s="519">
        <f>IF(AND(AD$4&lt;=$AH156,AD$4&gt;$V156),1,IF(AND(AD$4&lt;=$AI156,AD$4&gt;$AH156),2,IF(AND(AD$4&lt;=$AJ156,AD$4&gt;$AI156),3,IF(AND(AD$4&lt;=$AK156,AD$4&gt;$AJ156),4,IF(AND(AD$4&lt;=$AL156,AD$4&gt;$AK156),5,0)))))*'Detailed Assumptions'!$E$6</f>
        <v>0</v>
      </c>
      <c r="AE499" s="519">
        <f>IF(AND(AE$4&lt;=$AH156,AE$4&gt;$V156),1,IF(AND(AE$4&lt;=$AI156,AE$4&gt;$AH156),2,IF(AND(AE$4&lt;=$AJ156,AE$4&gt;$AI156),3,IF(AND(AE$4&lt;=$AK156,AE$4&gt;$AJ156),4,IF(AND(AE$4&lt;=$AL156,AE$4&gt;$AK156),5,0)))))*'Detailed Assumptions'!$E$6</f>
        <v>0</v>
      </c>
      <c r="AF499" s="519">
        <f>IF(AND(AF$4&lt;=$AH156,AF$4&gt;$V156),1,IF(AND(AF$4&lt;=$AI156,AF$4&gt;$AH156),2,IF(AND(AF$4&lt;=$AJ156,AF$4&gt;$AI156),3,IF(AND(AF$4&lt;=$AK156,AF$4&gt;$AJ156),4,IF(AND(AF$4&lt;=$AL156,AF$4&gt;$AK156),5,0)))))*'Detailed Assumptions'!$E$6</f>
        <v>0</v>
      </c>
      <c r="AG499" s="519">
        <f>IF(AND(AG$4&lt;=$AH156,AG$4&gt;$V156),1,IF(AND(AG$4&lt;=$AI156,AG$4&gt;$AH156),2,IF(AND(AG$4&lt;=$AJ156,AG$4&gt;$AI156),3,IF(AND(AG$4&lt;=$AK156,AG$4&gt;$AJ156),4,IF(AND(AG$4&lt;=$AL156,AG$4&gt;$AK156),5,0)))))*'Detailed Assumptions'!$E$6</f>
        <v>0</v>
      </c>
      <c r="AH499" s="519">
        <f>IF(AND(AH$4&lt;=$AH156,AH$4&gt;$V156),1,IF(AND(AH$4&lt;=$AI156,AH$4&gt;$AH156),2,IF(AND(AH$4&lt;=$AJ156,AH$4&gt;$AI156),3,IF(AND(AH$4&lt;=$AK156,AH$4&gt;$AJ156),4,IF(AND(AH$4&lt;=$AL156,AH$4&gt;$AK156),5,0)))))*'Detailed Assumptions'!$E$6</f>
        <v>0</v>
      </c>
      <c r="AI499" s="519">
        <f>IF(AND(AI$4&lt;=$AH156,AI$4&gt;$V156),1,IF(AND(AI$4&lt;=$AI156,AI$4&gt;$AH156),2,IF(AND(AI$4&lt;=$AJ156,AI$4&gt;$AI156),3,IF(AND(AI$4&lt;=$AK156,AI$4&gt;$AJ156),4,IF(AND(AI$4&lt;=$AL156,AI$4&gt;$AK156),5,0)))))*'Detailed Assumptions'!$E$6</f>
        <v>0</v>
      </c>
      <c r="AJ499" s="519">
        <f>IF(AND(AJ$4&lt;=$AH156,AJ$4&gt;$V156),1,IF(AND(AJ$4&lt;=$AI156,AJ$4&gt;$AH156),2,IF(AND(AJ$4&lt;=$AJ156,AJ$4&gt;$AI156),3,IF(AND(AJ$4&lt;=$AK156,AJ$4&gt;$AJ156),4,IF(AND(AJ$4&lt;=$AL156,AJ$4&gt;$AK156),5,0)))))*'Detailed Assumptions'!$E$6</f>
        <v>1</v>
      </c>
      <c r="AK499" s="519">
        <f>IF(AND(AK$4&lt;=$AH156,AK$4&gt;$V156),1,IF(AND(AK$4&lt;=$AI156,AK$4&gt;$AH156),2,IF(AND(AK$4&lt;=$AJ156,AK$4&gt;$AI156),3,IF(AND(AK$4&lt;=$AK156,AK$4&gt;$AJ156),4,IF(AND(AK$4&lt;=$AL156,AK$4&gt;$AK156),5,0)))))*'Detailed Assumptions'!$E$6</f>
        <v>1</v>
      </c>
      <c r="AL499" s="519">
        <f>IF(AND(AL$4&lt;=$AH156,AL$4&gt;$V156),1,IF(AND(AL$4&lt;=$AI156,AL$4&gt;$AH156),2,IF(AND(AL$4&lt;=$AJ156,AL$4&gt;$AI156),3,IF(AND(AL$4&lt;=$AK156,AL$4&gt;$AJ156),4,IF(AND(AL$4&lt;=$AL156,AL$4&gt;$AK156),5,0)))))*'Detailed Assumptions'!$E$6</f>
        <v>1</v>
      </c>
      <c r="AM499" s="519">
        <f>IF(AND(AM$4&lt;=$AH156,AM$4&gt;$V156),1,IF(AND(AM$4&lt;=$AI156,AM$4&gt;$AH156),2,IF(AND(AM$4&lt;=$AJ156,AM$4&gt;$AI156),3,IF(AND(AM$4&lt;=$AK156,AM$4&gt;$AJ156),4,IF(AND(AM$4&lt;=$AL156,AM$4&gt;$AK156),5,0)))))*'Detailed Assumptions'!$E$6</f>
        <v>1</v>
      </c>
      <c r="AN499" s="543">
        <f>IF(AND(AN$4&lt;=$AH156,AN$4&gt;$V156),1,IF(AND(AN$4&lt;=$AI156,AN$4&gt;$AH156),2,IF(AND(AN$4&lt;=$AJ156,AN$4&gt;$AI156),3,IF(AND(AN$4&lt;=$AK156,AN$4&gt;$AJ156),4,IF(AND(AN$4&lt;=$AL156,AN$4&gt;$AK156),5,0)))))*'Detailed Assumptions'!$E$6</f>
        <v>1</v>
      </c>
      <c r="AO499" s="543">
        <f>IF(AND(AO$4&lt;=$AH156,AO$4&gt;$V156),1,IF(AND(AO$4&lt;=$AI156,AO$4&gt;$AH156),2,IF(AND(AO$4&lt;=$AJ156,AO$4&gt;$AI156),3,IF(AND(AO$4&lt;=$AK156,AO$4&gt;$AJ156),4,IF(AND(AO$4&lt;=$AL156,AO$4&gt;$AK156),5,0)))))*'Detailed Assumptions'!$E$6</f>
        <v>1</v>
      </c>
      <c r="AP499" s="543">
        <f>IF(AND(AP$4&lt;=$AH156,AP$4&gt;$V156),1,IF(AND(AP$4&lt;=$AI156,AP$4&gt;$AH156),2,IF(AND(AP$4&lt;=$AJ156,AP$4&gt;$AI156),3,IF(AND(AP$4&lt;=$AK156,AP$4&gt;$AJ156),4,IF(AND(AP$4&lt;=$AL156,AP$4&gt;$AK156),5,0)))))*'Detailed Assumptions'!$E$6</f>
        <v>1</v>
      </c>
      <c r="AQ499" s="543">
        <f>IF(AND(AQ$4&lt;=$AH156,AQ$4&gt;$V156),1,IF(AND(AQ$4&lt;=$AI156,AQ$4&gt;$AH156),2,IF(AND(AQ$4&lt;=$AJ156,AQ$4&gt;$AI156),3,IF(AND(AQ$4&lt;=$AK156,AQ$4&gt;$AJ156),4,IF(AND(AQ$4&lt;=$AL156,AQ$4&gt;$AK156),5,0)))))*'Detailed Assumptions'!$E$6</f>
        <v>1</v>
      </c>
      <c r="AR499" s="543">
        <f>IF(AND(AR$4&lt;=$AH156,AR$4&gt;$V156),1,IF(AND(AR$4&lt;=$AI156,AR$4&gt;$AH156),2,IF(AND(AR$4&lt;=$AJ156,AR$4&gt;$AI156),3,IF(AND(AR$4&lt;=$AK156,AR$4&gt;$AJ156),4,IF(AND(AR$4&lt;=$AL156,AR$4&gt;$AK156),5,0)))))*'Detailed Assumptions'!$E$6</f>
        <v>1</v>
      </c>
      <c r="AS499" s="543">
        <f>IF(AND(AS$4&lt;=$AH156,AS$4&gt;$V156),1,IF(AND(AS$4&lt;=$AI156,AS$4&gt;$AH156),2,IF(AND(AS$4&lt;=$AJ156,AS$4&gt;$AI156),3,IF(AND(AS$4&lt;=$AK156,AS$4&gt;$AJ156),4,IF(AND(AS$4&lt;=$AL156,AS$4&gt;$AK156),5,0)))))*'Detailed Assumptions'!$E$6</f>
        <v>1</v>
      </c>
      <c r="AT499" s="543">
        <f>IF(AND(AT$4&lt;=$AH156,AT$4&gt;$V156),1,IF(AND(AT$4&lt;=$AI156,AT$4&gt;$AH156),2,IF(AND(AT$4&lt;=$AJ156,AT$4&gt;$AI156),3,IF(AND(AT$4&lt;=$AK156,AT$4&gt;$AJ156),4,IF(AND(AT$4&lt;=$AL156,AT$4&gt;$AK156),5,0)))))*'Detailed Assumptions'!$E$6</f>
        <v>1</v>
      </c>
      <c r="AU499" s="543">
        <f>IF(AND(AU$4&lt;=$AH156,AU$4&gt;$V156),1,IF(AND(AU$4&lt;=$AI156,AU$4&gt;$AH156),2,IF(AND(AU$4&lt;=$AJ156,AU$4&gt;$AI156),3,IF(AND(AU$4&lt;=$AK156,AU$4&gt;$AJ156),4,IF(AND(AU$4&lt;=$AL156,AU$4&gt;$AK156),5,0)))))*'Detailed Assumptions'!$E$6</f>
        <v>1</v>
      </c>
      <c r="AV499" s="543">
        <f>IF(AND(AV$4&lt;=$AH156,AV$4&gt;$V156),1,IF(AND(AV$4&lt;=$AI156,AV$4&gt;$AH156),2,IF(AND(AV$4&lt;=$AJ156,AV$4&gt;$AI156),3,IF(AND(AV$4&lt;=$AK156,AV$4&gt;$AJ156),4,IF(AND(AV$4&lt;=$AL156,AV$4&gt;$AK156),5,0)))))*'Detailed Assumptions'!$E$6</f>
        <v>2</v>
      </c>
      <c r="AW499" s="543">
        <f>IF(AND(AW$4&lt;=$AH156,AW$4&gt;$V156),1,IF(AND(AW$4&lt;=$AI156,AW$4&gt;$AH156),2,IF(AND(AW$4&lt;=$AJ156,AW$4&gt;$AI156),3,IF(AND(AW$4&lt;=$AK156,AW$4&gt;$AJ156),4,IF(AND(AW$4&lt;=$AL156,AW$4&gt;$AK156),5,0)))))*'Detailed Assumptions'!$E$6</f>
        <v>2</v>
      </c>
      <c r="AX499" s="543">
        <f>IF(AND(AX$4&lt;=$AH156,AX$4&gt;$V156),1,IF(AND(AX$4&lt;=$AI156,AX$4&gt;$AH156),2,IF(AND(AX$4&lt;=$AJ156,AX$4&gt;$AI156),3,IF(AND(AX$4&lt;=$AK156,AX$4&gt;$AJ156),4,IF(AND(AX$4&lt;=$AL156,AX$4&gt;$AK156),5,0)))))*'Detailed Assumptions'!$E$6</f>
        <v>2</v>
      </c>
      <c r="AY499" s="543">
        <f>IF(AND(AY$4&lt;=$AH156,AY$4&gt;$V156),1,IF(AND(AY$4&lt;=$AI156,AY$4&gt;$AH156),2,IF(AND(AY$4&lt;=$AJ156,AY$4&gt;$AI156),3,IF(AND(AY$4&lt;=$AK156,AY$4&gt;$AJ156),4,IF(AND(AY$4&lt;=$AL156,AY$4&gt;$AK156),5,0)))))*'Detailed Assumptions'!$E$6</f>
        <v>2</v>
      </c>
      <c r="AZ499" s="543">
        <f>IF(AND(AZ$4&lt;=$AH156,AZ$4&gt;$V156),1,IF(AND(AZ$4&lt;=$AI156,AZ$4&gt;$AH156),2,IF(AND(AZ$4&lt;=$AJ156,AZ$4&gt;$AI156),3,IF(AND(AZ$4&lt;=$AK156,AZ$4&gt;$AJ156),4,IF(AND(AZ$4&lt;=$AL156,AZ$4&gt;$AK156),5,0)))))*'Detailed Assumptions'!$E$6</f>
        <v>2</v>
      </c>
      <c r="BA499" s="543">
        <f>IF(AND(BA$4&lt;=$AH156,BA$4&gt;$V156),1,IF(AND(BA$4&lt;=$AI156,BA$4&gt;$AH156),2,IF(AND(BA$4&lt;=$AJ156,BA$4&gt;$AI156),3,IF(AND(BA$4&lt;=$AK156,BA$4&gt;$AJ156),4,IF(AND(BA$4&lt;=$AL156,BA$4&gt;$AK156),5,0)))))*'Detailed Assumptions'!$E$6</f>
        <v>2</v>
      </c>
      <c r="BB499" s="543">
        <f>IF(AND(BB$4&lt;=$AH156,BB$4&gt;$V156),1,IF(AND(BB$4&lt;=$AI156,BB$4&gt;$AH156),2,IF(AND(BB$4&lt;=$AJ156,BB$4&gt;$AI156),3,IF(AND(BB$4&lt;=$AK156,BB$4&gt;$AJ156),4,IF(AND(BB$4&lt;=$AL156,BB$4&gt;$AK156),5,0)))))*'Detailed Assumptions'!$E$6</f>
        <v>2</v>
      </c>
      <c r="BC499" s="543">
        <f>IF(AND(BC$4&lt;=$AH156,BC$4&gt;$V156),1,IF(AND(BC$4&lt;=$AI156,BC$4&gt;$AH156),2,IF(AND(BC$4&lt;=$AJ156,BC$4&gt;$AI156),3,IF(AND(BC$4&lt;=$AK156,BC$4&gt;$AJ156),4,IF(AND(BC$4&lt;=$AL156,BC$4&gt;$AK156),5,0)))))*'Detailed Assumptions'!$E$6</f>
        <v>2</v>
      </c>
      <c r="BD499" s="543">
        <f>IF(AND(BD$4&lt;=$AH156,BD$4&gt;$V156),1,IF(AND(BD$4&lt;=$AI156,BD$4&gt;$AH156),2,IF(AND(BD$4&lt;=$AJ156,BD$4&gt;$AI156),3,IF(AND(BD$4&lt;=$AK156,BD$4&gt;$AJ156),4,IF(AND(BD$4&lt;=$AL156,BD$4&gt;$AK156),5,0)))))*'Detailed Assumptions'!$E$6</f>
        <v>2</v>
      </c>
      <c r="BE499" s="543">
        <f>IF(AND(BE$4&lt;=$AH156,BE$4&gt;$V156),1,IF(AND(BE$4&lt;=$AI156,BE$4&gt;$AH156),2,IF(AND(BE$4&lt;=$AJ156,BE$4&gt;$AI156),3,IF(AND(BE$4&lt;=$AK156,BE$4&gt;$AJ156),4,IF(AND(BE$4&lt;=$AL156,BE$4&gt;$AK156),5,0)))))*'Detailed Assumptions'!$E$6</f>
        <v>2</v>
      </c>
      <c r="BF499" s="543">
        <f>IF(AND(BF$4&lt;=$AH156,BF$4&gt;$V156),1,IF(AND(BF$4&lt;=$AI156,BF$4&gt;$AH156),2,IF(AND(BF$4&lt;=$AJ156,BF$4&gt;$AI156),3,IF(AND(BF$4&lt;=$AK156,BF$4&gt;$AJ156),4,IF(AND(BF$4&lt;=$AL156,BF$4&gt;$AK156),5,0)))))*'Detailed Assumptions'!$E$6</f>
        <v>2</v>
      </c>
      <c r="BG499" s="543">
        <f>IF(AND(BG$4&lt;=$AH156,BG$4&gt;$V156),1,IF(AND(BG$4&lt;=$AI156,BG$4&gt;$AH156),2,IF(AND(BG$4&lt;=$AJ156,BG$4&gt;$AI156),3,IF(AND(BG$4&lt;=$AK156,BG$4&gt;$AJ156),4,IF(AND(BG$4&lt;=$AL156,BG$4&gt;$AK156),5,0)))))*'Detailed Assumptions'!$E$6</f>
        <v>2</v>
      </c>
      <c r="BH499" s="543">
        <f>IF(AND(BH$4&lt;=$AH156,BH$4&gt;$V156),1,IF(AND(BH$4&lt;=$AI156,BH$4&gt;$AH156),2,IF(AND(BH$4&lt;=$AJ156,BH$4&gt;$AI156),3,IF(AND(BH$4&lt;=$AK156,BH$4&gt;$AJ156),4,IF(AND(BH$4&lt;=$AL156,BH$4&gt;$AK156),5,0)))))*'Detailed Assumptions'!$E$6</f>
        <v>3</v>
      </c>
      <c r="BI499" s="543">
        <f>IF(AND(BI$4&lt;=$AH156,BI$4&gt;$V156),1,IF(AND(BI$4&lt;=$AI156,BI$4&gt;$AH156),2,IF(AND(BI$4&lt;=$AJ156,BI$4&gt;$AI156),3,IF(AND(BI$4&lt;=$AK156,BI$4&gt;$AJ156),4,IF(AND(BI$4&lt;=$AL156,BI$4&gt;$AK156),5,0)))))*'Detailed Assumptions'!$E$6</f>
        <v>3</v>
      </c>
      <c r="BJ499" s="543">
        <f>IF(AND(BJ$4&lt;=$AH156,BJ$4&gt;$V156),1,IF(AND(BJ$4&lt;=$AI156,BJ$4&gt;$AH156),2,IF(AND(BJ$4&lt;=$AJ156,BJ$4&gt;$AI156),3,IF(AND(BJ$4&lt;=$AK156,BJ$4&gt;$AJ156),4,IF(AND(BJ$4&lt;=$AL156,BJ$4&gt;$AK156),5,0)))))*'Detailed Assumptions'!$E$6</f>
        <v>3</v>
      </c>
      <c r="BK499" s="543">
        <f>IF(AND(BK$4&lt;=$AH156,BK$4&gt;$V156),1,IF(AND(BK$4&lt;=$AI156,BK$4&gt;$AH156),2,IF(AND(BK$4&lt;=$AJ156,BK$4&gt;$AI156),3,IF(AND(BK$4&lt;=$AK156,BK$4&gt;$AJ156),4,IF(AND(BK$4&lt;=$AL156,BK$4&gt;$AK156),5,0)))))*'Detailed Assumptions'!$E$6</f>
        <v>3</v>
      </c>
      <c r="BL499" s="543">
        <f>IF(AND(BL$4&lt;=$AH156,BL$4&gt;$V156),1,IF(AND(BL$4&lt;=$AI156,BL$4&gt;$AH156),2,IF(AND(BL$4&lt;=$AJ156,BL$4&gt;$AI156),3,IF(AND(BL$4&lt;=$AK156,BL$4&gt;$AJ156),4,IF(AND(BL$4&lt;=$AL156,BL$4&gt;$AK156),5,0)))))*'Detailed Assumptions'!$E$6</f>
        <v>3</v>
      </c>
      <c r="BM499" s="543">
        <f>IF(AND(BM$4&lt;=$AH156,BM$4&gt;$V156),1,IF(AND(BM$4&lt;=$AI156,BM$4&gt;$AH156),2,IF(AND(BM$4&lt;=$AJ156,BM$4&gt;$AI156),3,IF(AND(BM$4&lt;=$AK156,BM$4&gt;$AJ156),4,IF(AND(BM$4&lt;=$AL156,BM$4&gt;$AK156),5,0)))))*'Detailed Assumptions'!$E$6</f>
        <v>3</v>
      </c>
      <c r="BN499" s="543">
        <f>IF(AND(BN$4&lt;=$AH156,BN$4&gt;$V156),1,IF(AND(BN$4&lt;=$AI156,BN$4&gt;$AH156),2,IF(AND(BN$4&lt;=$AJ156,BN$4&gt;$AI156),3,IF(AND(BN$4&lt;=$AK156,BN$4&gt;$AJ156),4,IF(AND(BN$4&lt;=$AL156,BN$4&gt;$AK156),5,0)))))*'Detailed Assumptions'!$E$6</f>
        <v>3</v>
      </c>
      <c r="BO499" s="543">
        <f>IF(AND(BO$4&lt;=$AH156,BO$4&gt;$V156),1,IF(AND(BO$4&lt;=$AI156,BO$4&gt;$AH156),2,IF(AND(BO$4&lt;=$AJ156,BO$4&gt;$AI156),3,IF(AND(BO$4&lt;=$AK156,BO$4&gt;$AJ156),4,IF(AND(BO$4&lt;=$AL156,BO$4&gt;$AK156),5,0)))))*'Detailed Assumptions'!$E$6</f>
        <v>3</v>
      </c>
      <c r="BP499" s="543">
        <f>IF(AND(BP$4&lt;=$AH156,BP$4&gt;$V156),1,IF(AND(BP$4&lt;=$AI156,BP$4&gt;$AH156),2,IF(AND(BP$4&lt;=$AJ156,BP$4&gt;$AI156),3,IF(AND(BP$4&lt;=$AK156,BP$4&gt;$AJ156),4,IF(AND(BP$4&lt;=$AL156,BP$4&gt;$AK156),5,0)))))*'Detailed Assumptions'!$E$6</f>
        <v>3</v>
      </c>
      <c r="BQ499" s="543">
        <f>IF(AND(BQ$4&lt;=$AH156,BQ$4&gt;$V156),1,IF(AND(BQ$4&lt;=$AI156,BQ$4&gt;$AH156),2,IF(AND(BQ$4&lt;=$AJ156,BQ$4&gt;$AI156),3,IF(AND(BQ$4&lt;=$AK156,BQ$4&gt;$AJ156),4,IF(AND(BQ$4&lt;=$AL156,BQ$4&gt;$AK156),5,0)))))*'Detailed Assumptions'!$E$6</f>
        <v>3</v>
      </c>
      <c r="BR499" s="543">
        <f>IF(AND(BR$4&lt;=$AH156,BR$4&gt;$V156),1,IF(AND(BR$4&lt;=$AI156,BR$4&gt;$AH156),2,IF(AND(BR$4&lt;=$AJ156,BR$4&gt;$AI156),3,IF(AND(BR$4&lt;=$AK156,BR$4&gt;$AJ156),4,IF(AND(BR$4&lt;=$AL156,BR$4&gt;$AK156),5,0)))))*'Detailed Assumptions'!$E$6</f>
        <v>3</v>
      </c>
      <c r="BS499" s="543">
        <f>IF(AND(BS$4&lt;=$AH156,BS$4&gt;$V156),1,IF(AND(BS$4&lt;=$AI156,BS$4&gt;$AH156),2,IF(AND(BS$4&lt;=$AJ156,BS$4&gt;$AI156),3,IF(AND(BS$4&lt;=$AK156,BS$4&gt;$AJ156),4,IF(AND(BS$4&lt;=$AL156,BS$4&gt;$AK156),5,0)))))*'Detailed Assumptions'!$E$6</f>
        <v>3</v>
      </c>
      <c r="BT499" s="543">
        <f>IF(AND(BT$4&lt;=$AH156,BT$4&gt;$V156),1,IF(AND(BT$4&lt;=$AI156,BT$4&gt;$AH156),2,IF(AND(BT$4&lt;=$AJ156,BT$4&gt;$AI156),3,IF(AND(BT$4&lt;=$AK156,BT$4&gt;$AJ156),4,IF(AND(BT$4&lt;=$AL156,BT$4&gt;$AK156),5,0)))))*'Detailed Assumptions'!$E$6</f>
        <v>4</v>
      </c>
      <c r="BU499" s="543">
        <f>IF(AND(BU$4&lt;=$AH156,BU$4&gt;$V156),1,IF(AND(BU$4&lt;=$AI156,BU$4&gt;$AH156),2,IF(AND(BU$4&lt;=$AJ156,BU$4&gt;$AI156),3,IF(AND(BU$4&lt;=$AK156,BU$4&gt;$AJ156),4,IF(AND(BU$4&lt;=$AL156,BU$4&gt;$AK156),5,0)))))*'Detailed Assumptions'!$E$6</f>
        <v>4</v>
      </c>
      <c r="BV499" s="543">
        <f>IF(AND(BV$4&lt;=$AH156,BV$4&gt;$V156),1,IF(AND(BV$4&lt;=$AI156,BV$4&gt;$AH156),2,IF(AND(BV$4&lt;=$AJ156,BV$4&gt;$AI156),3,IF(AND(BV$4&lt;=$AK156,BV$4&gt;$AJ156),4,IF(AND(BV$4&lt;=$AL156,BV$4&gt;$AK156),5,0)))))*'Detailed Assumptions'!$E$6</f>
        <v>4</v>
      </c>
      <c r="BW499" s="543">
        <f>IF(AND(BW$4&lt;=$AH156,BW$4&gt;$V156),1,IF(AND(BW$4&lt;=$AI156,BW$4&gt;$AH156),2,IF(AND(BW$4&lt;=$AJ156,BW$4&gt;$AI156),3,IF(AND(BW$4&lt;=$AK156,BW$4&gt;$AJ156),4,IF(AND(BW$4&lt;=$AL156,BW$4&gt;$AK156),5,0)))))*'Detailed Assumptions'!$E$6</f>
        <v>4</v>
      </c>
      <c r="BX499" s="543">
        <f>IF(AND(BX$4&lt;=$AH156,BX$4&gt;$V156),1,IF(AND(BX$4&lt;=$AI156,BX$4&gt;$AH156),2,IF(AND(BX$4&lt;=$AJ156,BX$4&gt;$AI156),3,IF(AND(BX$4&lt;=$AK156,BX$4&gt;$AJ156),4,IF(AND(BX$4&lt;=$AL156,BX$4&gt;$AK156),5,0)))))*'Detailed Assumptions'!$E$6</f>
        <v>4</v>
      </c>
      <c r="BY499" s="543">
        <f>IF(AND(BY$4&lt;=$AH156,BY$4&gt;$V156),1,IF(AND(BY$4&lt;=$AI156,BY$4&gt;$AH156),2,IF(AND(BY$4&lt;=$AJ156,BY$4&gt;$AI156),3,IF(AND(BY$4&lt;=$AK156,BY$4&gt;$AJ156),4,IF(AND(BY$4&lt;=$AL156,BY$4&gt;$AK156),5,0)))))*'Detailed Assumptions'!$E$6</f>
        <v>4</v>
      </c>
    </row>
    <row r="500" spans="1:80" x14ac:dyDescent="0.3">
      <c r="C500" s="1"/>
      <c r="D500" s="2"/>
      <c r="E500" s="78" t="str">
        <f>"EBITDA growth post capex: "&amp;E$157</f>
        <v>EBITDA growth post capex: FY29 Tranche</v>
      </c>
      <c r="F500" s="8"/>
      <c r="G500" s="8"/>
      <c r="H500" s="8"/>
      <c r="I500" s="8"/>
      <c r="J500" s="8"/>
      <c r="K500" s="8"/>
      <c r="L500" s="8"/>
      <c r="M500" s="8"/>
      <c r="N500" s="8"/>
      <c r="O500" s="8"/>
      <c r="P500" s="33"/>
      <c r="Q500" s="8"/>
      <c r="R500" s="519">
        <f>IF(AND(R$4&lt;=$AH157,R$4&gt;$V157),1,IF(AND(R$4&lt;=$AI157,R$4&gt;$AH157),2,IF(AND(R$4&lt;=$AJ157,R$4&gt;$AI157),3,IF(AND(R$4&lt;=$AK157,R$4&gt;$AJ157),4,IF(AND(R$4&lt;=$AL157,R$4&gt;$AK157),5,0)))))*'Detailed Assumptions'!$E$6</f>
        <v>0</v>
      </c>
      <c r="S500" s="519">
        <f>IF(AND(S$4&lt;=$AH157,S$4&gt;$V157),1,IF(AND(S$4&lt;=$AI157,S$4&gt;$AH157),2,IF(AND(S$4&lt;=$AJ157,S$4&gt;$AI157),3,IF(AND(S$4&lt;=$AK157,S$4&gt;$AJ157),4,IF(AND(S$4&lt;=$AL157,S$4&gt;$AK157),5,0)))))*'Detailed Assumptions'!$E$6</f>
        <v>0</v>
      </c>
      <c r="T500" s="519">
        <f>IF(AND(T$4&lt;=$AH157,T$4&gt;$V157),1,IF(AND(T$4&lt;=$AI157,T$4&gt;$AH157),2,IF(AND(T$4&lt;=$AJ157,T$4&gt;$AI157),3,IF(AND(T$4&lt;=$AK157,T$4&gt;$AJ157),4,IF(AND(T$4&lt;=$AL157,T$4&gt;$AK157),5,0)))))*'Detailed Assumptions'!$E$6</f>
        <v>0</v>
      </c>
      <c r="U500" s="519">
        <f>IF(AND(U$4&lt;=$AH157,U$4&gt;$V157),1,IF(AND(U$4&lt;=$AI157,U$4&gt;$AH157),2,IF(AND(U$4&lt;=$AJ157,U$4&gt;$AI157),3,IF(AND(U$4&lt;=$AK157,U$4&gt;$AJ157),4,IF(AND(U$4&lt;=$AL157,U$4&gt;$AK157),5,0)))))*'Detailed Assumptions'!$E$6</f>
        <v>0</v>
      </c>
      <c r="V500" s="519">
        <f>IF(AND(V$4&lt;=$AH157,V$4&gt;$V157),1,IF(AND(V$4&lt;=$AI157,V$4&gt;$AH157),2,IF(AND(V$4&lt;=$AJ157,V$4&gt;$AI157),3,IF(AND(V$4&lt;=$AK157,V$4&gt;$AJ157),4,IF(AND(V$4&lt;=$AL157,V$4&gt;$AK157),5,0)))))*'Detailed Assumptions'!$E$6</f>
        <v>0</v>
      </c>
      <c r="W500" s="519">
        <f>IF(AND(W$4&lt;=$AH157,W$4&gt;$V157),1,IF(AND(W$4&lt;=$AI157,W$4&gt;$AH157),2,IF(AND(W$4&lt;=$AJ157,W$4&gt;$AI157),3,IF(AND(W$4&lt;=$AK157,W$4&gt;$AJ157),4,IF(AND(W$4&lt;=$AL157,W$4&gt;$AK157),5,0)))))*'Detailed Assumptions'!$E$6</f>
        <v>0</v>
      </c>
      <c r="X500" s="519">
        <f>IF(AND(X$4&lt;=$AH157,X$4&gt;$V157),1,IF(AND(X$4&lt;=$AI157,X$4&gt;$AH157),2,IF(AND(X$4&lt;=$AJ157,X$4&gt;$AI157),3,IF(AND(X$4&lt;=$AK157,X$4&gt;$AJ157),4,IF(AND(X$4&lt;=$AL157,X$4&gt;$AK157),5,0)))))*'Detailed Assumptions'!$E$6</f>
        <v>0</v>
      </c>
      <c r="Y500" s="519">
        <f>IF(AND(Y$4&lt;=$AH157,Y$4&gt;$V157),1,IF(AND(Y$4&lt;=$AI157,Y$4&gt;$AH157),2,IF(AND(Y$4&lt;=$AJ157,Y$4&gt;$AI157),3,IF(AND(Y$4&lt;=$AK157,Y$4&gt;$AJ157),4,IF(AND(Y$4&lt;=$AL157,Y$4&gt;$AK157),5,0)))))*'Detailed Assumptions'!$E$6</f>
        <v>0</v>
      </c>
      <c r="Z500" s="519">
        <f>IF(AND(Z$4&lt;=$AH157,Z$4&gt;$V157),1,IF(AND(Z$4&lt;=$AI157,Z$4&gt;$AH157),2,IF(AND(Z$4&lt;=$AJ157,Z$4&gt;$AI157),3,IF(AND(Z$4&lt;=$AK157,Z$4&gt;$AJ157),4,IF(AND(Z$4&lt;=$AL157,Z$4&gt;$AK157),5,0)))))*'Detailed Assumptions'!$E$6</f>
        <v>0</v>
      </c>
      <c r="AA500" s="519">
        <f>IF(AND(AA$4&lt;=$AH157,AA$4&gt;$V157),1,IF(AND(AA$4&lt;=$AI157,AA$4&gt;$AH157),2,IF(AND(AA$4&lt;=$AJ157,AA$4&gt;$AI157),3,IF(AND(AA$4&lt;=$AK157,AA$4&gt;$AJ157),4,IF(AND(AA$4&lt;=$AL157,AA$4&gt;$AK157),5,0)))))*'Detailed Assumptions'!$E$6</f>
        <v>0</v>
      </c>
      <c r="AB500" s="519">
        <f>IF(AND(AB$4&lt;=$AH157,AB$4&gt;$V157),1,IF(AND(AB$4&lt;=$AI157,AB$4&gt;$AH157),2,IF(AND(AB$4&lt;=$AJ157,AB$4&gt;$AI157),3,IF(AND(AB$4&lt;=$AK157,AB$4&gt;$AJ157),4,IF(AND(AB$4&lt;=$AL157,AB$4&gt;$AK157),5,0)))))*'Detailed Assumptions'!$E$6</f>
        <v>0</v>
      </c>
      <c r="AC500" s="519">
        <f>IF(AND(AC$4&lt;=$AH157,AC$4&gt;$V157),1,IF(AND(AC$4&lt;=$AI157,AC$4&gt;$AH157),2,IF(AND(AC$4&lt;=$AJ157,AC$4&gt;$AI157),3,IF(AND(AC$4&lt;=$AK157,AC$4&gt;$AJ157),4,IF(AND(AC$4&lt;=$AL157,AC$4&gt;$AK157),5,0)))))*'Detailed Assumptions'!$E$6</f>
        <v>0</v>
      </c>
      <c r="AD500" s="519">
        <f>IF(AND(AD$4&lt;=$AH157,AD$4&gt;$V157),1,IF(AND(AD$4&lt;=$AI157,AD$4&gt;$AH157),2,IF(AND(AD$4&lt;=$AJ157,AD$4&gt;$AI157),3,IF(AND(AD$4&lt;=$AK157,AD$4&gt;$AJ157),4,IF(AND(AD$4&lt;=$AL157,AD$4&gt;$AK157),5,0)))))*'Detailed Assumptions'!$E$6</f>
        <v>0</v>
      </c>
      <c r="AE500" s="519">
        <f>IF(AND(AE$4&lt;=$AH157,AE$4&gt;$V157),1,IF(AND(AE$4&lt;=$AI157,AE$4&gt;$AH157),2,IF(AND(AE$4&lt;=$AJ157,AE$4&gt;$AI157),3,IF(AND(AE$4&lt;=$AK157,AE$4&gt;$AJ157),4,IF(AND(AE$4&lt;=$AL157,AE$4&gt;$AK157),5,0)))))*'Detailed Assumptions'!$E$6</f>
        <v>0</v>
      </c>
      <c r="AF500" s="519">
        <f>IF(AND(AF$4&lt;=$AH157,AF$4&gt;$V157),1,IF(AND(AF$4&lt;=$AI157,AF$4&gt;$AH157),2,IF(AND(AF$4&lt;=$AJ157,AF$4&gt;$AI157),3,IF(AND(AF$4&lt;=$AK157,AF$4&gt;$AJ157),4,IF(AND(AF$4&lt;=$AL157,AF$4&gt;$AK157),5,0)))))*'Detailed Assumptions'!$E$6</f>
        <v>0</v>
      </c>
      <c r="AG500" s="519">
        <f>IF(AND(AG$4&lt;=$AH157,AG$4&gt;$V157),1,IF(AND(AG$4&lt;=$AI157,AG$4&gt;$AH157),2,IF(AND(AG$4&lt;=$AJ157,AG$4&gt;$AI157),3,IF(AND(AG$4&lt;=$AK157,AG$4&gt;$AJ157),4,IF(AND(AG$4&lt;=$AL157,AG$4&gt;$AK157),5,0)))))*'Detailed Assumptions'!$E$6</f>
        <v>0</v>
      </c>
      <c r="AH500" s="519">
        <f>IF(AND(AH$4&lt;=$AH157,AH$4&gt;$V157),1,IF(AND(AH$4&lt;=$AI157,AH$4&gt;$AH157),2,IF(AND(AH$4&lt;=$AJ157,AH$4&gt;$AI157),3,IF(AND(AH$4&lt;=$AK157,AH$4&gt;$AJ157),4,IF(AND(AH$4&lt;=$AL157,AH$4&gt;$AK157),5,0)))))*'Detailed Assumptions'!$E$6</f>
        <v>0</v>
      </c>
      <c r="AI500" s="519">
        <f>IF(AND(AI$4&lt;=$AH157,AI$4&gt;$V157),1,IF(AND(AI$4&lt;=$AI157,AI$4&gt;$AH157),2,IF(AND(AI$4&lt;=$AJ157,AI$4&gt;$AI157),3,IF(AND(AI$4&lt;=$AK157,AI$4&gt;$AJ157),4,IF(AND(AI$4&lt;=$AL157,AI$4&gt;$AK157),5,0)))))*'Detailed Assumptions'!$E$6</f>
        <v>0</v>
      </c>
      <c r="AJ500" s="519">
        <f>IF(AND(AJ$4&lt;=$AH157,AJ$4&gt;$V157),1,IF(AND(AJ$4&lt;=$AI157,AJ$4&gt;$AH157),2,IF(AND(AJ$4&lt;=$AJ157,AJ$4&gt;$AI157),3,IF(AND(AJ$4&lt;=$AK157,AJ$4&gt;$AJ157),4,IF(AND(AJ$4&lt;=$AL157,AJ$4&gt;$AK157),5,0)))))*'Detailed Assumptions'!$E$6</f>
        <v>0</v>
      </c>
      <c r="AK500" s="519">
        <f>IF(AND(AK$4&lt;=$AH157,AK$4&gt;$V157),1,IF(AND(AK$4&lt;=$AI157,AK$4&gt;$AH157),2,IF(AND(AK$4&lt;=$AJ157,AK$4&gt;$AI157),3,IF(AND(AK$4&lt;=$AK157,AK$4&gt;$AJ157),4,IF(AND(AK$4&lt;=$AL157,AK$4&gt;$AK157),5,0)))))*'Detailed Assumptions'!$E$6</f>
        <v>0</v>
      </c>
      <c r="AL500" s="519">
        <f>IF(AND(AL$4&lt;=$AH157,AL$4&gt;$V157),1,IF(AND(AL$4&lt;=$AI157,AL$4&gt;$AH157),2,IF(AND(AL$4&lt;=$AJ157,AL$4&gt;$AI157),3,IF(AND(AL$4&lt;=$AK157,AL$4&gt;$AJ157),4,IF(AND(AL$4&lt;=$AL157,AL$4&gt;$AK157),5,0)))))*'Detailed Assumptions'!$E$6</f>
        <v>0</v>
      </c>
      <c r="AM500" s="519">
        <f>IF(AND(AM$4&lt;=$AH157,AM$4&gt;$V157),1,IF(AND(AM$4&lt;=$AI157,AM$4&gt;$AH157),2,IF(AND(AM$4&lt;=$AJ157,AM$4&gt;$AI157),3,IF(AND(AM$4&lt;=$AK157,AM$4&gt;$AJ157),4,IF(AND(AM$4&lt;=$AL157,AM$4&gt;$AK157),5,0)))))*'Detailed Assumptions'!$E$6</f>
        <v>0</v>
      </c>
      <c r="AN500" s="543">
        <f>IF(AND(AN$4&lt;=$AH157,AN$4&gt;$V157),1,IF(AND(AN$4&lt;=$AI157,AN$4&gt;$AH157),2,IF(AND(AN$4&lt;=$AJ157,AN$4&gt;$AI157),3,IF(AND(AN$4&lt;=$AK157,AN$4&gt;$AJ157),4,IF(AND(AN$4&lt;=$AL157,AN$4&gt;$AK157),5,0)))))*'Detailed Assumptions'!$E$6</f>
        <v>0</v>
      </c>
      <c r="AO500" s="543">
        <f>IF(AND(AO$4&lt;=$AH157,AO$4&gt;$V157),1,IF(AND(AO$4&lt;=$AI157,AO$4&gt;$AH157),2,IF(AND(AO$4&lt;=$AJ157,AO$4&gt;$AI157),3,IF(AND(AO$4&lt;=$AK157,AO$4&gt;$AJ157),4,IF(AND(AO$4&lt;=$AL157,AO$4&gt;$AK157),5,0)))))*'Detailed Assumptions'!$E$6</f>
        <v>0</v>
      </c>
      <c r="AP500" s="543">
        <f>IF(AND(AP$4&lt;=$AH157,AP$4&gt;$V157),1,IF(AND(AP$4&lt;=$AI157,AP$4&gt;$AH157),2,IF(AND(AP$4&lt;=$AJ157,AP$4&gt;$AI157),3,IF(AND(AP$4&lt;=$AK157,AP$4&gt;$AJ157),4,IF(AND(AP$4&lt;=$AL157,AP$4&gt;$AK157),5,0)))))*'Detailed Assumptions'!$E$6</f>
        <v>0</v>
      </c>
      <c r="AQ500" s="543">
        <f>IF(AND(AQ$4&lt;=$AH157,AQ$4&gt;$V157),1,IF(AND(AQ$4&lt;=$AI157,AQ$4&gt;$AH157),2,IF(AND(AQ$4&lt;=$AJ157,AQ$4&gt;$AI157),3,IF(AND(AQ$4&lt;=$AK157,AQ$4&gt;$AJ157),4,IF(AND(AQ$4&lt;=$AL157,AQ$4&gt;$AK157),5,0)))))*'Detailed Assumptions'!$E$6</f>
        <v>0</v>
      </c>
      <c r="AR500" s="543">
        <f>IF(AND(AR$4&lt;=$AH157,AR$4&gt;$V157),1,IF(AND(AR$4&lt;=$AI157,AR$4&gt;$AH157),2,IF(AND(AR$4&lt;=$AJ157,AR$4&gt;$AI157),3,IF(AND(AR$4&lt;=$AK157,AR$4&gt;$AJ157),4,IF(AND(AR$4&lt;=$AL157,AR$4&gt;$AK157),5,0)))))*'Detailed Assumptions'!$E$6</f>
        <v>0</v>
      </c>
      <c r="AS500" s="543">
        <f>IF(AND(AS$4&lt;=$AH157,AS$4&gt;$V157),1,IF(AND(AS$4&lt;=$AI157,AS$4&gt;$AH157),2,IF(AND(AS$4&lt;=$AJ157,AS$4&gt;$AI157),3,IF(AND(AS$4&lt;=$AK157,AS$4&gt;$AJ157),4,IF(AND(AS$4&lt;=$AL157,AS$4&gt;$AK157),5,0)))))*'Detailed Assumptions'!$E$6</f>
        <v>0</v>
      </c>
      <c r="AT500" s="543">
        <f>IF(AND(AT$4&lt;=$AH157,AT$4&gt;$V157),1,IF(AND(AT$4&lt;=$AI157,AT$4&gt;$AH157),2,IF(AND(AT$4&lt;=$AJ157,AT$4&gt;$AI157),3,IF(AND(AT$4&lt;=$AK157,AT$4&gt;$AJ157),4,IF(AND(AT$4&lt;=$AL157,AT$4&gt;$AK157),5,0)))))*'Detailed Assumptions'!$E$6</f>
        <v>0</v>
      </c>
      <c r="AU500" s="543">
        <f>IF(AND(AU$4&lt;=$AH157,AU$4&gt;$V157),1,IF(AND(AU$4&lt;=$AI157,AU$4&gt;$AH157),2,IF(AND(AU$4&lt;=$AJ157,AU$4&gt;$AI157),3,IF(AND(AU$4&lt;=$AK157,AU$4&gt;$AJ157),4,IF(AND(AU$4&lt;=$AL157,AU$4&gt;$AK157),5,0)))))*'Detailed Assumptions'!$E$6</f>
        <v>0</v>
      </c>
      <c r="AV500" s="543">
        <f>IF(AND(AV$4&lt;=$AH157,AV$4&gt;$V157),1,IF(AND(AV$4&lt;=$AI157,AV$4&gt;$AH157),2,IF(AND(AV$4&lt;=$AJ157,AV$4&gt;$AI157),3,IF(AND(AV$4&lt;=$AK157,AV$4&gt;$AJ157),4,IF(AND(AV$4&lt;=$AL157,AV$4&gt;$AK157),5,0)))))*'Detailed Assumptions'!$E$6</f>
        <v>1</v>
      </c>
      <c r="AW500" s="543">
        <f>IF(AND(AW$4&lt;=$AH157,AW$4&gt;$V157),1,IF(AND(AW$4&lt;=$AI157,AW$4&gt;$AH157),2,IF(AND(AW$4&lt;=$AJ157,AW$4&gt;$AI157),3,IF(AND(AW$4&lt;=$AK157,AW$4&gt;$AJ157),4,IF(AND(AW$4&lt;=$AL157,AW$4&gt;$AK157),5,0)))))*'Detailed Assumptions'!$E$6</f>
        <v>1</v>
      </c>
      <c r="AX500" s="543">
        <f>IF(AND(AX$4&lt;=$AH157,AX$4&gt;$V157),1,IF(AND(AX$4&lt;=$AI157,AX$4&gt;$AH157),2,IF(AND(AX$4&lt;=$AJ157,AX$4&gt;$AI157),3,IF(AND(AX$4&lt;=$AK157,AX$4&gt;$AJ157),4,IF(AND(AX$4&lt;=$AL157,AX$4&gt;$AK157),5,0)))))*'Detailed Assumptions'!$E$6</f>
        <v>1</v>
      </c>
      <c r="AY500" s="543">
        <f>IF(AND(AY$4&lt;=$AH157,AY$4&gt;$V157),1,IF(AND(AY$4&lt;=$AI157,AY$4&gt;$AH157),2,IF(AND(AY$4&lt;=$AJ157,AY$4&gt;$AI157),3,IF(AND(AY$4&lt;=$AK157,AY$4&gt;$AJ157),4,IF(AND(AY$4&lt;=$AL157,AY$4&gt;$AK157),5,0)))))*'Detailed Assumptions'!$E$6</f>
        <v>1</v>
      </c>
      <c r="AZ500" s="543">
        <f>IF(AND(AZ$4&lt;=$AH157,AZ$4&gt;$V157),1,IF(AND(AZ$4&lt;=$AI157,AZ$4&gt;$AH157),2,IF(AND(AZ$4&lt;=$AJ157,AZ$4&gt;$AI157),3,IF(AND(AZ$4&lt;=$AK157,AZ$4&gt;$AJ157),4,IF(AND(AZ$4&lt;=$AL157,AZ$4&gt;$AK157),5,0)))))*'Detailed Assumptions'!$E$6</f>
        <v>1</v>
      </c>
      <c r="BA500" s="543">
        <f>IF(AND(BA$4&lt;=$AH157,BA$4&gt;$V157),1,IF(AND(BA$4&lt;=$AI157,BA$4&gt;$AH157),2,IF(AND(BA$4&lt;=$AJ157,BA$4&gt;$AI157),3,IF(AND(BA$4&lt;=$AK157,BA$4&gt;$AJ157),4,IF(AND(BA$4&lt;=$AL157,BA$4&gt;$AK157),5,0)))))*'Detailed Assumptions'!$E$6</f>
        <v>1</v>
      </c>
      <c r="BB500" s="543">
        <f>IF(AND(BB$4&lt;=$AH157,BB$4&gt;$V157),1,IF(AND(BB$4&lt;=$AI157,BB$4&gt;$AH157),2,IF(AND(BB$4&lt;=$AJ157,BB$4&gt;$AI157),3,IF(AND(BB$4&lt;=$AK157,BB$4&gt;$AJ157),4,IF(AND(BB$4&lt;=$AL157,BB$4&gt;$AK157),5,0)))))*'Detailed Assumptions'!$E$6</f>
        <v>1</v>
      </c>
      <c r="BC500" s="543">
        <f>IF(AND(BC$4&lt;=$AH157,BC$4&gt;$V157),1,IF(AND(BC$4&lt;=$AI157,BC$4&gt;$AH157),2,IF(AND(BC$4&lt;=$AJ157,BC$4&gt;$AI157),3,IF(AND(BC$4&lt;=$AK157,BC$4&gt;$AJ157),4,IF(AND(BC$4&lt;=$AL157,BC$4&gt;$AK157),5,0)))))*'Detailed Assumptions'!$E$6</f>
        <v>1</v>
      </c>
      <c r="BD500" s="543">
        <f>IF(AND(BD$4&lt;=$AH157,BD$4&gt;$V157),1,IF(AND(BD$4&lt;=$AI157,BD$4&gt;$AH157),2,IF(AND(BD$4&lt;=$AJ157,BD$4&gt;$AI157),3,IF(AND(BD$4&lt;=$AK157,BD$4&gt;$AJ157),4,IF(AND(BD$4&lt;=$AL157,BD$4&gt;$AK157),5,0)))))*'Detailed Assumptions'!$E$6</f>
        <v>1</v>
      </c>
      <c r="BE500" s="543">
        <f>IF(AND(BE$4&lt;=$AH157,BE$4&gt;$V157),1,IF(AND(BE$4&lt;=$AI157,BE$4&gt;$AH157),2,IF(AND(BE$4&lt;=$AJ157,BE$4&gt;$AI157),3,IF(AND(BE$4&lt;=$AK157,BE$4&gt;$AJ157),4,IF(AND(BE$4&lt;=$AL157,BE$4&gt;$AK157),5,0)))))*'Detailed Assumptions'!$E$6</f>
        <v>1</v>
      </c>
      <c r="BF500" s="543">
        <f>IF(AND(BF$4&lt;=$AH157,BF$4&gt;$V157),1,IF(AND(BF$4&lt;=$AI157,BF$4&gt;$AH157),2,IF(AND(BF$4&lt;=$AJ157,BF$4&gt;$AI157),3,IF(AND(BF$4&lt;=$AK157,BF$4&gt;$AJ157),4,IF(AND(BF$4&lt;=$AL157,BF$4&gt;$AK157),5,0)))))*'Detailed Assumptions'!$E$6</f>
        <v>1</v>
      </c>
      <c r="BG500" s="543">
        <f>IF(AND(BG$4&lt;=$AH157,BG$4&gt;$V157),1,IF(AND(BG$4&lt;=$AI157,BG$4&gt;$AH157),2,IF(AND(BG$4&lt;=$AJ157,BG$4&gt;$AI157),3,IF(AND(BG$4&lt;=$AK157,BG$4&gt;$AJ157),4,IF(AND(BG$4&lt;=$AL157,BG$4&gt;$AK157),5,0)))))*'Detailed Assumptions'!$E$6</f>
        <v>1</v>
      </c>
      <c r="BH500" s="543">
        <f>IF(AND(BH$4&lt;=$AH157,BH$4&gt;$V157),1,IF(AND(BH$4&lt;=$AI157,BH$4&gt;$AH157),2,IF(AND(BH$4&lt;=$AJ157,BH$4&gt;$AI157),3,IF(AND(BH$4&lt;=$AK157,BH$4&gt;$AJ157),4,IF(AND(BH$4&lt;=$AL157,BH$4&gt;$AK157),5,0)))))*'Detailed Assumptions'!$E$6</f>
        <v>2</v>
      </c>
      <c r="BI500" s="543">
        <f>IF(AND(BI$4&lt;=$AH157,BI$4&gt;$V157),1,IF(AND(BI$4&lt;=$AI157,BI$4&gt;$AH157),2,IF(AND(BI$4&lt;=$AJ157,BI$4&gt;$AI157),3,IF(AND(BI$4&lt;=$AK157,BI$4&gt;$AJ157),4,IF(AND(BI$4&lt;=$AL157,BI$4&gt;$AK157),5,0)))))*'Detailed Assumptions'!$E$6</f>
        <v>2</v>
      </c>
      <c r="BJ500" s="543">
        <f>IF(AND(BJ$4&lt;=$AH157,BJ$4&gt;$V157),1,IF(AND(BJ$4&lt;=$AI157,BJ$4&gt;$AH157),2,IF(AND(BJ$4&lt;=$AJ157,BJ$4&gt;$AI157),3,IF(AND(BJ$4&lt;=$AK157,BJ$4&gt;$AJ157),4,IF(AND(BJ$4&lt;=$AL157,BJ$4&gt;$AK157),5,0)))))*'Detailed Assumptions'!$E$6</f>
        <v>2</v>
      </c>
      <c r="BK500" s="543">
        <f>IF(AND(BK$4&lt;=$AH157,BK$4&gt;$V157),1,IF(AND(BK$4&lt;=$AI157,BK$4&gt;$AH157),2,IF(AND(BK$4&lt;=$AJ157,BK$4&gt;$AI157),3,IF(AND(BK$4&lt;=$AK157,BK$4&gt;$AJ157),4,IF(AND(BK$4&lt;=$AL157,BK$4&gt;$AK157),5,0)))))*'Detailed Assumptions'!$E$6</f>
        <v>2</v>
      </c>
      <c r="BL500" s="543">
        <f>IF(AND(BL$4&lt;=$AH157,BL$4&gt;$V157),1,IF(AND(BL$4&lt;=$AI157,BL$4&gt;$AH157),2,IF(AND(BL$4&lt;=$AJ157,BL$4&gt;$AI157),3,IF(AND(BL$4&lt;=$AK157,BL$4&gt;$AJ157),4,IF(AND(BL$4&lt;=$AL157,BL$4&gt;$AK157),5,0)))))*'Detailed Assumptions'!$E$6</f>
        <v>2</v>
      </c>
      <c r="BM500" s="543">
        <f>IF(AND(BM$4&lt;=$AH157,BM$4&gt;$V157),1,IF(AND(BM$4&lt;=$AI157,BM$4&gt;$AH157),2,IF(AND(BM$4&lt;=$AJ157,BM$4&gt;$AI157),3,IF(AND(BM$4&lt;=$AK157,BM$4&gt;$AJ157),4,IF(AND(BM$4&lt;=$AL157,BM$4&gt;$AK157),5,0)))))*'Detailed Assumptions'!$E$6</f>
        <v>2</v>
      </c>
      <c r="BN500" s="543">
        <f>IF(AND(BN$4&lt;=$AH157,BN$4&gt;$V157),1,IF(AND(BN$4&lt;=$AI157,BN$4&gt;$AH157),2,IF(AND(BN$4&lt;=$AJ157,BN$4&gt;$AI157),3,IF(AND(BN$4&lt;=$AK157,BN$4&gt;$AJ157),4,IF(AND(BN$4&lt;=$AL157,BN$4&gt;$AK157),5,0)))))*'Detailed Assumptions'!$E$6</f>
        <v>2</v>
      </c>
      <c r="BO500" s="543">
        <f>IF(AND(BO$4&lt;=$AH157,BO$4&gt;$V157),1,IF(AND(BO$4&lt;=$AI157,BO$4&gt;$AH157),2,IF(AND(BO$4&lt;=$AJ157,BO$4&gt;$AI157),3,IF(AND(BO$4&lt;=$AK157,BO$4&gt;$AJ157),4,IF(AND(BO$4&lt;=$AL157,BO$4&gt;$AK157),5,0)))))*'Detailed Assumptions'!$E$6</f>
        <v>2</v>
      </c>
      <c r="BP500" s="543">
        <f>IF(AND(BP$4&lt;=$AH157,BP$4&gt;$V157),1,IF(AND(BP$4&lt;=$AI157,BP$4&gt;$AH157),2,IF(AND(BP$4&lt;=$AJ157,BP$4&gt;$AI157),3,IF(AND(BP$4&lt;=$AK157,BP$4&gt;$AJ157),4,IF(AND(BP$4&lt;=$AL157,BP$4&gt;$AK157),5,0)))))*'Detailed Assumptions'!$E$6</f>
        <v>2</v>
      </c>
      <c r="BQ500" s="543">
        <f>IF(AND(BQ$4&lt;=$AH157,BQ$4&gt;$V157),1,IF(AND(BQ$4&lt;=$AI157,BQ$4&gt;$AH157),2,IF(AND(BQ$4&lt;=$AJ157,BQ$4&gt;$AI157),3,IF(AND(BQ$4&lt;=$AK157,BQ$4&gt;$AJ157),4,IF(AND(BQ$4&lt;=$AL157,BQ$4&gt;$AK157),5,0)))))*'Detailed Assumptions'!$E$6</f>
        <v>2</v>
      </c>
      <c r="BR500" s="543">
        <f>IF(AND(BR$4&lt;=$AH157,BR$4&gt;$V157),1,IF(AND(BR$4&lt;=$AI157,BR$4&gt;$AH157),2,IF(AND(BR$4&lt;=$AJ157,BR$4&gt;$AI157),3,IF(AND(BR$4&lt;=$AK157,BR$4&gt;$AJ157),4,IF(AND(BR$4&lt;=$AL157,BR$4&gt;$AK157),5,0)))))*'Detailed Assumptions'!$E$6</f>
        <v>2</v>
      </c>
      <c r="BS500" s="543">
        <f>IF(AND(BS$4&lt;=$AH157,BS$4&gt;$V157),1,IF(AND(BS$4&lt;=$AI157,BS$4&gt;$AH157),2,IF(AND(BS$4&lt;=$AJ157,BS$4&gt;$AI157),3,IF(AND(BS$4&lt;=$AK157,BS$4&gt;$AJ157),4,IF(AND(BS$4&lt;=$AL157,BS$4&gt;$AK157),5,0)))))*'Detailed Assumptions'!$E$6</f>
        <v>2</v>
      </c>
      <c r="BT500" s="543">
        <f>IF(AND(BT$4&lt;=$AH157,BT$4&gt;$V157),1,IF(AND(BT$4&lt;=$AI157,BT$4&gt;$AH157),2,IF(AND(BT$4&lt;=$AJ157,BT$4&gt;$AI157),3,IF(AND(BT$4&lt;=$AK157,BT$4&gt;$AJ157),4,IF(AND(BT$4&lt;=$AL157,BT$4&gt;$AK157),5,0)))))*'Detailed Assumptions'!$E$6</f>
        <v>3</v>
      </c>
      <c r="BU500" s="543">
        <f>IF(AND(BU$4&lt;=$AH157,BU$4&gt;$V157),1,IF(AND(BU$4&lt;=$AI157,BU$4&gt;$AH157),2,IF(AND(BU$4&lt;=$AJ157,BU$4&gt;$AI157),3,IF(AND(BU$4&lt;=$AK157,BU$4&gt;$AJ157),4,IF(AND(BU$4&lt;=$AL157,BU$4&gt;$AK157),5,0)))))*'Detailed Assumptions'!$E$6</f>
        <v>3</v>
      </c>
      <c r="BV500" s="543">
        <f>IF(AND(BV$4&lt;=$AH157,BV$4&gt;$V157),1,IF(AND(BV$4&lt;=$AI157,BV$4&gt;$AH157),2,IF(AND(BV$4&lt;=$AJ157,BV$4&gt;$AI157),3,IF(AND(BV$4&lt;=$AK157,BV$4&gt;$AJ157),4,IF(AND(BV$4&lt;=$AL157,BV$4&gt;$AK157),5,0)))))*'Detailed Assumptions'!$E$6</f>
        <v>3</v>
      </c>
      <c r="BW500" s="543">
        <f>IF(AND(BW$4&lt;=$AH157,BW$4&gt;$V157),1,IF(AND(BW$4&lt;=$AI157,BW$4&gt;$AH157),2,IF(AND(BW$4&lt;=$AJ157,BW$4&gt;$AI157),3,IF(AND(BW$4&lt;=$AK157,BW$4&gt;$AJ157),4,IF(AND(BW$4&lt;=$AL157,BW$4&gt;$AK157),5,0)))))*'Detailed Assumptions'!$E$6</f>
        <v>3</v>
      </c>
      <c r="BX500" s="543">
        <f>IF(AND(BX$4&lt;=$AH157,BX$4&gt;$V157),1,IF(AND(BX$4&lt;=$AI157,BX$4&gt;$AH157),2,IF(AND(BX$4&lt;=$AJ157,BX$4&gt;$AI157),3,IF(AND(BX$4&lt;=$AK157,BX$4&gt;$AJ157),4,IF(AND(BX$4&lt;=$AL157,BX$4&gt;$AK157),5,0)))))*'Detailed Assumptions'!$E$6</f>
        <v>3</v>
      </c>
      <c r="BY500" s="543">
        <f>IF(AND(BY$4&lt;=$AH157,BY$4&gt;$V157),1,IF(AND(BY$4&lt;=$AI157,BY$4&gt;$AH157),2,IF(AND(BY$4&lt;=$AJ157,BY$4&gt;$AI157),3,IF(AND(BY$4&lt;=$AK157,BY$4&gt;$AJ157),4,IF(AND(BY$4&lt;=$AL157,BY$4&gt;$AK157),5,0)))))*'Detailed Assumptions'!$E$6</f>
        <v>3</v>
      </c>
    </row>
    <row r="501" spans="1:80" x14ac:dyDescent="0.3">
      <c r="C501" s="1"/>
      <c r="D501" s="2"/>
      <c r="E501" s="78" t="str">
        <f>"EBITDA growth post capex: "&amp;E$158</f>
        <v>EBITDA growth post capex: FY30 Tranche</v>
      </c>
      <c r="F501" s="8"/>
      <c r="G501" s="8"/>
      <c r="H501" s="8"/>
      <c r="I501" s="8"/>
      <c r="J501" s="8"/>
      <c r="K501" s="8"/>
      <c r="L501" s="8"/>
      <c r="M501" s="8"/>
      <c r="N501" s="8"/>
      <c r="O501" s="8"/>
      <c r="P501" s="33"/>
      <c r="Q501" s="8"/>
      <c r="R501" s="519">
        <f>IF(AND(R$4&lt;=$AH158,R$4&gt;$V158),1,IF(AND(R$4&lt;=$AI158,R$4&gt;$AH158),2,IF(AND(R$4&lt;=$AJ158,R$4&gt;$AI158),3,IF(AND(R$4&lt;=$AK158,R$4&gt;$AJ158),4,IF(AND(R$4&lt;=$AL158,R$4&gt;$AK158),5,0)))))*'Detailed Assumptions'!$E$6</f>
        <v>0</v>
      </c>
      <c r="S501" s="519">
        <f>IF(AND(S$4&lt;=$AH158,S$4&gt;$V158),1,IF(AND(S$4&lt;=$AI158,S$4&gt;$AH158),2,IF(AND(S$4&lt;=$AJ158,S$4&gt;$AI158),3,IF(AND(S$4&lt;=$AK158,S$4&gt;$AJ158),4,IF(AND(S$4&lt;=$AL158,S$4&gt;$AK158),5,0)))))*'Detailed Assumptions'!$E$6</f>
        <v>0</v>
      </c>
      <c r="T501" s="519">
        <f>IF(AND(T$4&lt;=$AH158,T$4&gt;$V158),1,IF(AND(T$4&lt;=$AI158,T$4&gt;$AH158),2,IF(AND(T$4&lt;=$AJ158,T$4&gt;$AI158),3,IF(AND(T$4&lt;=$AK158,T$4&gt;$AJ158),4,IF(AND(T$4&lt;=$AL158,T$4&gt;$AK158),5,0)))))*'Detailed Assumptions'!$E$6</f>
        <v>0</v>
      </c>
      <c r="U501" s="519">
        <f>IF(AND(U$4&lt;=$AH158,U$4&gt;$V158),1,IF(AND(U$4&lt;=$AI158,U$4&gt;$AH158),2,IF(AND(U$4&lt;=$AJ158,U$4&gt;$AI158),3,IF(AND(U$4&lt;=$AK158,U$4&gt;$AJ158),4,IF(AND(U$4&lt;=$AL158,U$4&gt;$AK158),5,0)))))*'Detailed Assumptions'!$E$6</f>
        <v>0</v>
      </c>
      <c r="V501" s="519">
        <f>IF(AND(V$4&lt;=$AH158,V$4&gt;$V158),1,IF(AND(V$4&lt;=$AI158,V$4&gt;$AH158),2,IF(AND(V$4&lt;=$AJ158,V$4&gt;$AI158),3,IF(AND(V$4&lt;=$AK158,V$4&gt;$AJ158),4,IF(AND(V$4&lt;=$AL158,V$4&gt;$AK158),5,0)))))*'Detailed Assumptions'!$E$6</f>
        <v>0</v>
      </c>
      <c r="W501" s="519">
        <f>IF(AND(W$4&lt;=$AH158,W$4&gt;$V158),1,IF(AND(W$4&lt;=$AI158,W$4&gt;$AH158),2,IF(AND(W$4&lt;=$AJ158,W$4&gt;$AI158),3,IF(AND(W$4&lt;=$AK158,W$4&gt;$AJ158),4,IF(AND(W$4&lt;=$AL158,W$4&gt;$AK158),5,0)))))*'Detailed Assumptions'!$E$6</f>
        <v>0</v>
      </c>
      <c r="X501" s="519">
        <f>IF(AND(X$4&lt;=$AH158,X$4&gt;$V158),1,IF(AND(X$4&lt;=$AI158,X$4&gt;$AH158),2,IF(AND(X$4&lt;=$AJ158,X$4&gt;$AI158),3,IF(AND(X$4&lt;=$AK158,X$4&gt;$AJ158),4,IF(AND(X$4&lt;=$AL158,X$4&gt;$AK158),5,0)))))*'Detailed Assumptions'!$E$6</f>
        <v>0</v>
      </c>
      <c r="Y501" s="519">
        <f>IF(AND(Y$4&lt;=$AH158,Y$4&gt;$V158),1,IF(AND(Y$4&lt;=$AI158,Y$4&gt;$AH158),2,IF(AND(Y$4&lt;=$AJ158,Y$4&gt;$AI158),3,IF(AND(Y$4&lt;=$AK158,Y$4&gt;$AJ158),4,IF(AND(Y$4&lt;=$AL158,Y$4&gt;$AK158),5,0)))))*'Detailed Assumptions'!$E$6</f>
        <v>0</v>
      </c>
      <c r="Z501" s="519">
        <f>IF(AND(Z$4&lt;=$AH158,Z$4&gt;$V158),1,IF(AND(Z$4&lt;=$AI158,Z$4&gt;$AH158),2,IF(AND(Z$4&lt;=$AJ158,Z$4&gt;$AI158),3,IF(AND(Z$4&lt;=$AK158,Z$4&gt;$AJ158),4,IF(AND(Z$4&lt;=$AL158,Z$4&gt;$AK158),5,0)))))*'Detailed Assumptions'!$E$6</f>
        <v>0</v>
      </c>
      <c r="AA501" s="519">
        <f>IF(AND(AA$4&lt;=$AH158,AA$4&gt;$V158),1,IF(AND(AA$4&lt;=$AI158,AA$4&gt;$AH158),2,IF(AND(AA$4&lt;=$AJ158,AA$4&gt;$AI158),3,IF(AND(AA$4&lt;=$AK158,AA$4&gt;$AJ158),4,IF(AND(AA$4&lt;=$AL158,AA$4&gt;$AK158),5,0)))))*'Detailed Assumptions'!$E$6</f>
        <v>0</v>
      </c>
      <c r="AB501" s="519">
        <f>IF(AND(AB$4&lt;=$AH158,AB$4&gt;$V158),1,IF(AND(AB$4&lt;=$AI158,AB$4&gt;$AH158),2,IF(AND(AB$4&lt;=$AJ158,AB$4&gt;$AI158),3,IF(AND(AB$4&lt;=$AK158,AB$4&gt;$AJ158),4,IF(AND(AB$4&lt;=$AL158,AB$4&gt;$AK158),5,0)))))*'Detailed Assumptions'!$E$6</f>
        <v>0</v>
      </c>
      <c r="AC501" s="519">
        <f>IF(AND(AC$4&lt;=$AH158,AC$4&gt;$V158),1,IF(AND(AC$4&lt;=$AI158,AC$4&gt;$AH158),2,IF(AND(AC$4&lt;=$AJ158,AC$4&gt;$AI158),3,IF(AND(AC$4&lt;=$AK158,AC$4&gt;$AJ158),4,IF(AND(AC$4&lt;=$AL158,AC$4&gt;$AK158),5,0)))))*'Detailed Assumptions'!$E$6</f>
        <v>0</v>
      </c>
      <c r="AD501" s="519">
        <f>IF(AND(AD$4&lt;=$AH158,AD$4&gt;$V158),1,IF(AND(AD$4&lt;=$AI158,AD$4&gt;$AH158),2,IF(AND(AD$4&lt;=$AJ158,AD$4&gt;$AI158),3,IF(AND(AD$4&lt;=$AK158,AD$4&gt;$AJ158),4,IF(AND(AD$4&lt;=$AL158,AD$4&gt;$AK158),5,0)))))*'Detailed Assumptions'!$E$6</f>
        <v>0</v>
      </c>
      <c r="AE501" s="519">
        <f>IF(AND(AE$4&lt;=$AH158,AE$4&gt;$V158),1,IF(AND(AE$4&lt;=$AI158,AE$4&gt;$AH158),2,IF(AND(AE$4&lt;=$AJ158,AE$4&gt;$AI158),3,IF(AND(AE$4&lt;=$AK158,AE$4&gt;$AJ158),4,IF(AND(AE$4&lt;=$AL158,AE$4&gt;$AK158),5,0)))))*'Detailed Assumptions'!$E$6</f>
        <v>0</v>
      </c>
      <c r="AF501" s="519">
        <f>IF(AND(AF$4&lt;=$AH158,AF$4&gt;$V158),1,IF(AND(AF$4&lt;=$AI158,AF$4&gt;$AH158),2,IF(AND(AF$4&lt;=$AJ158,AF$4&gt;$AI158),3,IF(AND(AF$4&lt;=$AK158,AF$4&gt;$AJ158),4,IF(AND(AF$4&lt;=$AL158,AF$4&gt;$AK158),5,0)))))*'Detailed Assumptions'!$E$6</f>
        <v>0</v>
      </c>
      <c r="AG501" s="519">
        <f>IF(AND(AG$4&lt;=$AH158,AG$4&gt;$V158),1,IF(AND(AG$4&lt;=$AI158,AG$4&gt;$AH158),2,IF(AND(AG$4&lt;=$AJ158,AG$4&gt;$AI158),3,IF(AND(AG$4&lt;=$AK158,AG$4&gt;$AJ158),4,IF(AND(AG$4&lt;=$AL158,AG$4&gt;$AK158),5,0)))))*'Detailed Assumptions'!$E$6</f>
        <v>0</v>
      </c>
      <c r="AH501" s="519">
        <f>IF(AND(AH$4&lt;=$AH158,AH$4&gt;$V158),1,IF(AND(AH$4&lt;=$AI158,AH$4&gt;$AH158),2,IF(AND(AH$4&lt;=$AJ158,AH$4&gt;$AI158),3,IF(AND(AH$4&lt;=$AK158,AH$4&gt;$AJ158),4,IF(AND(AH$4&lt;=$AL158,AH$4&gt;$AK158),5,0)))))*'Detailed Assumptions'!$E$6</f>
        <v>0</v>
      </c>
      <c r="AI501" s="519">
        <f>IF(AND(AI$4&lt;=$AH158,AI$4&gt;$V158),1,IF(AND(AI$4&lt;=$AI158,AI$4&gt;$AH158),2,IF(AND(AI$4&lt;=$AJ158,AI$4&gt;$AI158),3,IF(AND(AI$4&lt;=$AK158,AI$4&gt;$AJ158),4,IF(AND(AI$4&lt;=$AL158,AI$4&gt;$AK158),5,0)))))*'Detailed Assumptions'!$E$6</f>
        <v>0</v>
      </c>
      <c r="AJ501" s="519">
        <f>IF(AND(AJ$4&lt;=$AH158,AJ$4&gt;$V158),1,IF(AND(AJ$4&lt;=$AI158,AJ$4&gt;$AH158),2,IF(AND(AJ$4&lt;=$AJ158,AJ$4&gt;$AI158),3,IF(AND(AJ$4&lt;=$AK158,AJ$4&gt;$AJ158),4,IF(AND(AJ$4&lt;=$AL158,AJ$4&gt;$AK158),5,0)))))*'Detailed Assumptions'!$E$6</f>
        <v>0</v>
      </c>
      <c r="AK501" s="519">
        <f>IF(AND(AK$4&lt;=$AH158,AK$4&gt;$V158),1,IF(AND(AK$4&lt;=$AI158,AK$4&gt;$AH158),2,IF(AND(AK$4&lt;=$AJ158,AK$4&gt;$AI158),3,IF(AND(AK$4&lt;=$AK158,AK$4&gt;$AJ158),4,IF(AND(AK$4&lt;=$AL158,AK$4&gt;$AK158),5,0)))))*'Detailed Assumptions'!$E$6</f>
        <v>0</v>
      </c>
      <c r="AL501" s="519">
        <f>IF(AND(AL$4&lt;=$AH158,AL$4&gt;$V158),1,IF(AND(AL$4&lt;=$AI158,AL$4&gt;$AH158),2,IF(AND(AL$4&lt;=$AJ158,AL$4&gt;$AI158),3,IF(AND(AL$4&lt;=$AK158,AL$4&gt;$AJ158),4,IF(AND(AL$4&lt;=$AL158,AL$4&gt;$AK158),5,0)))))*'Detailed Assumptions'!$E$6</f>
        <v>0</v>
      </c>
      <c r="AM501" s="519">
        <f>IF(AND(AM$4&lt;=$AH158,AM$4&gt;$V158),1,IF(AND(AM$4&lt;=$AI158,AM$4&gt;$AH158),2,IF(AND(AM$4&lt;=$AJ158,AM$4&gt;$AI158),3,IF(AND(AM$4&lt;=$AK158,AM$4&gt;$AJ158),4,IF(AND(AM$4&lt;=$AL158,AM$4&gt;$AK158),5,0)))))*'Detailed Assumptions'!$E$6</f>
        <v>0</v>
      </c>
      <c r="AN501" s="543">
        <f>IF(AND(AN$4&lt;=$AH158,AN$4&gt;$V158),1,IF(AND(AN$4&lt;=$AI158,AN$4&gt;$AH158),2,IF(AND(AN$4&lt;=$AJ158,AN$4&gt;$AI158),3,IF(AND(AN$4&lt;=$AK158,AN$4&gt;$AJ158),4,IF(AND(AN$4&lt;=$AL158,AN$4&gt;$AK158),5,0)))))*'Detailed Assumptions'!$E$6</f>
        <v>0</v>
      </c>
      <c r="AO501" s="543">
        <f>IF(AND(AO$4&lt;=$AH158,AO$4&gt;$V158),1,IF(AND(AO$4&lt;=$AI158,AO$4&gt;$AH158),2,IF(AND(AO$4&lt;=$AJ158,AO$4&gt;$AI158),3,IF(AND(AO$4&lt;=$AK158,AO$4&gt;$AJ158),4,IF(AND(AO$4&lt;=$AL158,AO$4&gt;$AK158),5,0)))))*'Detailed Assumptions'!$E$6</f>
        <v>0</v>
      </c>
      <c r="AP501" s="543">
        <f>IF(AND(AP$4&lt;=$AH158,AP$4&gt;$V158),1,IF(AND(AP$4&lt;=$AI158,AP$4&gt;$AH158),2,IF(AND(AP$4&lt;=$AJ158,AP$4&gt;$AI158),3,IF(AND(AP$4&lt;=$AK158,AP$4&gt;$AJ158),4,IF(AND(AP$4&lt;=$AL158,AP$4&gt;$AK158),5,0)))))*'Detailed Assumptions'!$E$6</f>
        <v>0</v>
      </c>
      <c r="AQ501" s="543">
        <f>IF(AND(AQ$4&lt;=$AH158,AQ$4&gt;$V158),1,IF(AND(AQ$4&lt;=$AI158,AQ$4&gt;$AH158),2,IF(AND(AQ$4&lt;=$AJ158,AQ$4&gt;$AI158),3,IF(AND(AQ$4&lt;=$AK158,AQ$4&gt;$AJ158),4,IF(AND(AQ$4&lt;=$AL158,AQ$4&gt;$AK158),5,0)))))*'Detailed Assumptions'!$E$6</f>
        <v>0</v>
      </c>
      <c r="AR501" s="543">
        <f>IF(AND(AR$4&lt;=$AH158,AR$4&gt;$V158),1,IF(AND(AR$4&lt;=$AI158,AR$4&gt;$AH158),2,IF(AND(AR$4&lt;=$AJ158,AR$4&gt;$AI158),3,IF(AND(AR$4&lt;=$AK158,AR$4&gt;$AJ158),4,IF(AND(AR$4&lt;=$AL158,AR$4&gt;$AK158),5,0)))))*'Detailed Assumptions'!$E$6</f>
        <v>0</v>
      </c>
      <c r="AS501" s="543">
        <f>IF(AND(AS$4&lt;=$AH158,AS$4&gt;$V158),1,IF(AND(AS$4&lt;=$AI158,AS$4&gt;$AH158),2,IF(AND(AS$4&lt;=$AJ158,AS$4&gt;$AI158),3,IF(AND(AS$4&lt;=$AK158,AS$4&gt;$AJ158),4,IF(AND(AS$4&lt;=$AL158,AS$4&gt;$AK158),5,0)))))*'Detailed Assumptions'!$E$6</f>
        <v>0</v>
      </c>
      <c r="AT501" s="543">
        <f>IF(AND(AT$4&lt;=$AH158,AT$4&gt;$V158),1,IF(AND(AT$4&lt;=$AI158,AT$4&gt;$AH158),2,IF(AND(AT$4&lt;=$AJ158,AT$4&gt;$AI158),3,IF(AND(AT$4&lt;=$AK158,AT$4&gt;$AJ158),4,IF(AND(AT$4&lt;=$AL158,AT$4&gt;$AK158),5,0)))))*'Detailed Assumptions'!$E$6</f>
        <v>0</v>
      </c>
      <c r="AU501" s="543">
        <f>IF(AND(AU$4&lt;=$AH158,AU$4&gt;$V158),1,IF(AND(AU$4&lt;=$AI158,AU$4&gt;$AH158),2,IF(AND(AU$4&lt;=$AJ158,AU$4&gt;$AI158),3,IF(AND(AU$4&lt;=$AK158,AU$4&gt;$AJ158),4,IF(AND(AU$4&lt;=$AL158,AU$4&gt;$AK158),5,0)))))*'Detailed Assumptions'!$E$6</f>
        <v>0</v>
      </c>
      <c r="AV501" s="543">
        <f>IF(AND(AV$4&lt;=$AH158,AV$4&gt;$V158),1,IF(AND(AV$4&lt;=$AI158,AV$4&gt;$AH158),2,IF(AND(AV$4&lt;=$AJ158,AV$4&gt;$AI158),3,IF(AND(AV$4&lt;=$AK158,AV$4&gt;$AJ158),4,IF(AND(AV$4&lt;=$AL158,AV$4&gt;$AK158),5,0)))))*'Detailed Assumptions'!$E$6</f>
        <v>0</v>
      </c>
      <c r="AW501" s="543">
        <f>IF(AND(AW$4&lt;=$AH158,AW$4&gt;$V158),1,IF(AND(AW$4&lt;=$AI158,AW$4&gt;$AH158),2,IF(AND(AW$4&lt;=$AJ158,AW$4&gt;$AI158),3,IF(AND(AW$4&lt;=$AK158,AW$4&gt;$AJ158),4,IF(AND(AW$4&lt;=$AL158,AW$4&gt;$AK158),5,0)))))*'Detailed Assumptions'!$E$6</f>
        <v>0</v>
      </c>
      <c r="AX501" s="543">
        <f>IF(AND(AX$4&lt;=$AH158,AX$4&gt;$V158),1,IF(AND(AX$4&lt;=$AI158,AX$4&gt;$AH158),2,IF(AND(AX$4&lt;=$AJ158,AX$4&gt;$AI158),3,IF(AND(AX$4&lt;=$AK158,AX$4&gt;$AJ158),4,IF(AND(AX$4&lt;=$AL158,AX$4&gt;$AK158),5,0)))))*'Detailed Assumptions'!$E$6</f>
        <v>0</v>
      </c>
      <c r="AY501" s="543">
        <f>IF(AND(AY$4&lt;=$AH158,AY$4&gt;$V158),1,IF(AND(AY$4&lt;=$AI158,AY$4&gt;$AH158),2,IF(AND(AY$4&lt;=$AJ158,AY$4&gt;$AI158),3,IF(AND(AY$4&lt;=$AK158,AY$4&gt;$AJ158),4,IF(AND(AY$4&lt;=$AL158,AY$4&gt;$AK158),5,0)))))*'Detailed Assumptions'!$E$6</f>
        <v>0</v>
      </c>
      <c r="AZ501" s="543">
        <f>IF(AND(AZ$4&lt;=$AH158,AZ$4&gt;$V158),1,IF(AND(AZ$4&lt;=$AI158,AZ$4&gt;$AH158),2,IF(AND(AZ$4&lt;=$AJ158,AZ$4&gt;$AI158),3,IF(AND(AZ$4&lt;=$AK158,AZ$4&gt;$AJ158),4,IF(AND(AZ$4&lt;=$AL158,AZ$4&gt;$AK158),5,0)))))*'Detailed Assumptions'!$E$6</f>
        <v>0</v>
      </c>
      <c r="BA501" s="543">
        <f>IF(AND(BA$4&lt;=$AH158,BA$4&gt;$V158),1,IF(AND(BA$4&lt;=$AI158,BA$4&gt;$AH158),2,IF(AND(BA$4&lt;=$AJ158,BA$4&gt;$AI158),3,IF(AND(BA$4&lt;=$AK158,BA$4&gt;$AJ158),4,IF(AND(BA$4&lt;=$AL158,BA$4&gt;$AK158),5,0)))))*'Detailed Assumptions'!$E$6</f>
        <v>0</v>
      </c>
      <c r="BB501" s="543">
        <f>IF(AND(BB$4&lt;=$AH158,BB$4&gt;$V158),1,IF(AND(BB$4&lt;=$AI158,BB$4&gt;$AH158),2,IF(AND(BB$4&lt;=$AJ158,BB$4&gt;$AI158),3,IF(AND(BB$4&lt;=$AK158,BB$4&gt;$AJ158),4,IF(AND(BB$4&lt;=$AL158,BB$4&gt;$AK158),5,0)))))*'Detailed Assumptions'!$E$6</f>
        <v>0</v>
      </c>
      <c r="BC501" s="543">
        <f>IF(AND(BC$4&lt;=$AH158,BC$4&gt;$V158),1,IF(AND(BC$4&lt;=$AI158,BC$4&gt;$AH158),2,IF(AND(BC$4&lt;=$AJ158,BC$4&gt;$AI158),3,IF(AND(BC$4&lt;=$AK158,BC$4&gt;$AJ158),4,IF(AND(BC$4&lt;=$AL158,BC$4&gt;$AK158),5,0)))))*'Detailed Assumptions'!$E$6</f>
        <v>0</v>
      </c>
      <c r="BD501" s="543">
        <f>IF(AND(BD$4&lt;=$AH158,BD$4&gt;$V158),1,IF(AND(BD$4&lt;=$AI158,BD$4&gt;$AH158),2,IF(AND(BD$4&lt;=$AJ158,BD$4&gt;$AI158),3,IF(AND(BD$4&lt;=$AK158,BD$4&gt;$AJ158),4,IF(AND(BD$4&lt;=$AL158,BD$4&gt;$AK158),5,0)))))*'Detailed Assumptions'!$E$6</f>
        <v>0</v>
      </c>
      <c r="BE501" s="543">
        <f>IF(AND(BE$4&lt;=$AH158,BE$4&gt;$V158),1,IF(AND(BE$4&lt;=$AI158,BE$4&gt;$AH158),2,IF(AND(BE$4&lt;=$AJ158,BE$4&gt;$AI158),3,IF(AND(BE$4&lt;=$AK158,BE$4&gt;$AJ158),4,IF(AND(BE$4&lt;=$AL158,BE$4&gt;$AK158),5,0)))))*'Detailed Assumptions'!$E$6</f>
        <v>0</v>
      </c>
      <c r="BF501" s="543">
        <f>IF(AND(BF$4&lt;=$AH158,BF$4&gt;$V158),1,IF(AND(BF$4&lt;=$AI158,BF$4&gt;$AH158),2,IF(AND(BF$4&lt;=$AJ158,BF$4&gt;$AI158),3,IF(AND(BF$4&lt;=$AK158,BF$4&gt;$AJ158),4,IF(AND(BF$4&lt;=$AL158,BF$4&gt;$AK158),5,0)))))*'Detailed Assumptions'!$E$6</f>
        <v>0</v>
      </c>
      <c r="BG501" s="543">
        <f>IF(AND(BG$4&lt;=$AH158,BG$4&gt;$V158),1,IF(AND(BG$4&lt;=$AI158,BG$4&gt;$AH158),2,IF(AND(BG$4&lt;=$AJ158,BG$4&gt;$AI158),3,IF(AND(BG$4&lt;=$AK158,BG$4&gt;$AJ158),4,IF(AND(BG$4&lt;=$AL158,BG$4&gt;$AK158),5,0)))))*'Detailed Assumptions'!$E$6</f>
        <v>0</v>
      </c>
      <c r="BH501" s="543">
        <f>IF(AND(BH$4&lt;=$AH158,BH$4&gt;$V158),1,IF(AND(BH$4&lt;=$AI158,BH$4&gt;$AH158),2,IF(AND(BH$4&lt;=$AJ158,BH$4&gt;$AI158),3,IF(AND(BH$4&lt;=$AK158,BH$4&gt;$AJ158),4,IF(AND(BH$4&lt;=$AL158,BH$4&gt;$AK158),5,0)))))*'Detailed Assumptions'!$E$6</f>
        <v>1</v>
      </c>
      <c r="BI501" s="543">
        <f>IF(AND(BI$4&lt;=$AH158,BI$4&gt;$V158),1,IF(AND(BI$4&lt;=$AI158,BI$4&gt;$AH158),2,IF(AND(BI$4&lt;=$AJ158,BI$4&gt;$AI158),3,IF(AND(BI$4&lt;=$AK158,BI$4&gt;$AJ158),4,IF(AND(BI$4&lt;=$AL158,BI$4&gt;$AK158),5,0)))))*'Detailed Assumptions'!$E$6</f>
        <v>1</v>
      </c>
      <c r="BJ501" s="543">
        <f>IF(AND(BJ$4&lt;=$AH158,BJ$4&gt;$V158),1,IF(AND(BJ$4&lt;=$AI158,BJ$4&gt;$AH158),2,IF(AND(BJ$4&lt;=$AJ158,BJ$4&gt;$AI158),3,IF(AND(BJ$4&lt;=$AK158,BJ$4&gt;$AJ158),4,IF(AND(BJ$4&lt;=$AL158,BJ$4&gt;$AK158),5,0)))))*'Detailed Assumptions'!$E$6</f>
        <v>1</v>
      </c>
      <c r="BK501" s="543">
        <f>IF(AND(BK$4&lt;=$AH158,BK$4&gt;$V158),1,IF(AND(BK$4&lt;=$AI158,BK$4&gt;$AH158),2,IF(AND(BK$4&lt;=$AJ158,BK$4&gt;$AI158),3,IF(AND(BK$4&lt;=$AK158,BK$4&gt;$AJ158),4,IF(AND(BK$4&lt;=$AL158,BK$4&gt;$AK158),5,0)))))*'Detailed Assumptions'!$E$6</f>
        <v>1</v>
      </c>
      <c r="BL501" s="543">
        <f>IF(AND(BL$4&lt;=$AH158,BL$4&gt;$V158),1,IF(AND(BL$4&lt;=$AI158,BL$4&gt;$AH158),2,IF(AND(BL$4&lt;=$AJ158,BL$4&gt;$AI158),3,IF(AND(BL$4&lt;=$AK158,BL$4&gt;$AJ158),4,IF(AND(BL$4&lt;=$AL158,BL$4&gt;$AK158),5,0)))))*'Detailed Assumptions'!$E$6</f>
        <v>1</v>
      </c>
      <c r="BM501" s="543">
        <f>IF(AND(BM$4&lt;=$AH158,BM$4&gt;$V158),1,IF(AND(BM$4&lt;=$AI158,BM$4&gt;$AH158),2,IF(AND(BM$4&lt;=$AJ158,BM$4&gt;$AI158),3,IF(AND(BM$4&lt;=$AK158,BM$4&gt;$AJ158),4,IF(AND(BM$4&lt;=$AL158,BM$4&gt;$AK158),5,0)))))*'Detailed Assumptions'!$E$6</f>
        <v>1</v>
      </c>
      <c r="BN501" s="543">
        <f>IF(AND(BN$4&lt;=$AH158,BN$4&gt;$V158),1,IF(AND(BN$4&lt;=$AI158,BN$4&gt;$AH158),2,IF(AND(BN$4&lt;=$AJ158,BN$4&gt;$AI158),3,IF(AND(BN$4&lt;=$AK158,BN$4&gt;$AJ158),4,IF(AND(BN$4&lt;=$AL158,BN$4&gt;$AK158),5,0)))))*'Detailed Assumptions'!$E$6</f>
        <v>1</v>
      </c>
      <c r="BO501" s="543">
        <f>IF(AND(BO$4&lt;=$AH158,BO$4&gt;$V158),1,IF(AND(BO$4&lt;=$AI158,BO$4&gt;$AH158),2,IF(AND(BO$4&lt;=$AJ158,BO$4&gt;$AI158),3,IF(AND(BO$4&lt;=$AK158,BO$4&gt;$AJ158),4,IF(AND(BO$4&lt;=$AL158,BO$4&gt;$AK158),5,0)))))*'Detailed Assumptions'!$E$6</f>
        <v>1</v>
      </c>
      <c r="BP501" s="543">
        <f>IF(AND(BP$4&lt;=$AH158,BP$4&gt;$V158),1,IF(AND(BP$4&lt;=$AI158,BP$4&gt;$AH158),2,IF(AND(BP$4&lt;=$AJ158,BP$4&gt;$AI158),3,IF(AND(BP$4&lt;=$AK158,BP$4&gt;$AJ158),4,IF(AND(BP$4&lt;=$AL158,BP$4&gt;$AK158),5,0)))))*'Detailed Assumptions'!$E$6</f>
        <v>1</v>
      </c>
      <c r="BQ501" s="543">
        <f>IF(AND(BQ$4&lt;=$AH158,BQ$4&gt;$V158),1,IF(AND(BQ$4&lt;=$AI158,BQ$4&gt;$AH158),2,IF(AND(BQ$4&lt;=$AJ158,BQ$4&gt;$AI158),3,IF(AND(BQ$4&lt;=$AK158,BQ$4&gt;$AJ158),4,IF(AND(BQ$4&lt;=$AL158,BQ$4&gt;$AK158),5,0)))))*'Detailed Assumptions'!$E$6</f>
        <v>1</v>
      </c>
      <c r="BR501" s="543">
        <f>IF(AND(BR$4&lt;=$AH158,BR$4&gt;$V158),1,IF(AND(BR$4&lt;=$AI158,BR$4&gt;$AH158),2,IF(AND(BR$4&lt;=$AJ158,BR$4&gt;$AI158),3,IF(AND(BR$4&lt;=$AK158,BR$4&gt;$AJ158),4,IF(AND(BR$4&lt;=$AL158,BR$4&gt;$AK158),5,0)))))*'Detailed Assumptions'!$E$6</f>
        <v>1</v>
      </c>
      <c r="BS501" s="543">
        <f>IF(AND(BS$4&lt;=$AH158,BS$4&gt;$V158),1,IF(AND(BS$4&lt;=$AI158,BS$4&gt;$AH158),2,IF(AND(BS$4&lt;=$AJ158,BS$4&gt;$AI158),3,IF(AND(BS$4&lt;=$AK158,BS$4&gt;$AJ158),4,IF(AND(BS$4&lt;=$AL158,BS$4&gt;$AK158),5,0)))))*'Detailed Assumptions'!$E$6</f>
        <v>1</v>
      </c>
      <c r="BT501" s="543">
        <f>IF(AND(BT$4&lt;=$AH158,BT$4&gt;$V158),1,IF(AND(BT$4&lt;=$AI158,BT$4&gt;$AH158),2,IF(AND(BT$4&lt;=$AJ158,BT$4&gt;$AI158),3,IF(AND(BT$4&lt;=$AK158,BT$4&gt;$AJ158),4,IF(AND(BT$4&lt;=$AL158,BT$4&gt;$AK158),5,0)))))*'Detailed Assumptions'!$E$6</f>
        <v>2</v>
      </c>
      <c r="BU501" s="543">
        <f>IF(AND(BU$4&lt;=$AH158,BU$4&gt;$V158),1,IF(AND(BU$4&lt;=$AI158,BU$4&gt;$AH158),2,IF(AND(BU$4&lt;=$AJ158,BU$4&gt;$AI158),3,IF(AND(BU$4&lt;=$AK158,BU$4&gt;$AJ158),4,IF(AND(BU$4&lt;=$AL158,BU$4&gt;$AK158),5,0)))))*'Detailed Assumptions'!$E$6</f>
        <v>2</v>
      </c>
      <c r="BV501" s="543">
        <f>IF(AND(BV$4&lt;=$AH158,BV$4&gt;$V158),1,IF(AND(BV$4&lt;=$AI158,BV$4&gt;$AH158),2,IF(AND(BV$4&lt;=$AJ158,BV$4&gt;$AI158),3,IF(AND(BV$4&lt;=$AK158,BV$4&gt;$AJ158),4,IF(AND(BV$4&lt;=$AL158,BV$4&gt;$AK158),5,0)))))*'Detailed Assumptions'!$E$6</f>
        <v>2</v>
      </c>
      <c r="BW501" s="543">
        <f>IF(AND(BW$4&lt;=$AH158,BW$4&gt;$V158),1,IF(AND(BW$4&lt;=$AI158,BW$4&gt;$AH158),2,IF(AND(BW$4&lt;=$AJ158,BW$4&gt;$AI158),3,IF(AND(BW$4&lt;=$AK158,BW$4&gt;$AJ158),4,IF(AND(BW$4&lt;=$AL158,BW$4&gt;$AK158),5,0)))))*'Detailed Assumptions'!$E$6</f>
        <v>2</v>
      </c>
      <c r="BX501" s="543">
        <f>IF(AND(BX$4&lt;=$AH158,BX$4&gt;$V158),1,IF(AND(BX$4&lt;=$AI158,BX$4&gt;$AH158),2,IF(AND(BX$4&lt;=$AJ158,BX$4&gt;$AI158),3,IF(AND(BX$4&lt;=$AK158,BX$4&gt;$AJ158),4,IF(AND(BX$4&lt;=$AL158,BX$4&gt;$AK158),5,0)))))*'Detailed Assumptions'!$E$6</f>
        <v>2</v>
      </c>
      <c r="BY501" s="543">
        <f>IF(AND(BY$4&lt;=$AH158,BY$4&gt;$V158),1,IF(AND(BY$4&lt;=$AI158,BY$4&gt;$AH158),2,IF(AND(BY$4&lt;=$AJ158,BY$4&gt;$AI158),3,IF(AND(BY$4&lt;=$AK158,BY$4&gt;$AJ158),4,IF(AND(BY$4&lt;=$AL158,BY$4&gt;$AK158),5,0)))))*'Detailed Assumptions'!$E$6</f>
        <v>2</v>
      </c>
    </row>
    <row r="502" spans="1:80" x14ac:dyDescent="0.3">
      <c r="C502" s="1"/>
      <c r="D502" s="2"/>
      <c r="E502" s="78" t="str">
        <f>"EBITDA growth post capex: "&amp;E$159</f>
        <v>EBITDA growth post capex: FY31 Tranche</v>
      </c>
      <c r="F502" s="8"/>
      <c r="G502" s="8"/>
      <c r="H502" s="8"/>
      <c r="I502" s="8"/>
      <c r="J502" s="8"/>
      <c r="K502" s="8"/>
      <c r="L502" s="8"/>
      <c r="M502" s="8"/>
      <c r="N502" s="8"/>
      <c r="O502" s="8"/>
      <c r="P502" s="33"/>
      <c r="Q502" s="8"/>
      <c r="R502" s="519">
        <f>IF(AND(R$4&lt;=$AH159,R$4&gt;$V159),1,IF(AND(R$4&lt;=$AI159,R$4&gt;$AH159),2,IF(AND(R$4&lt;=$AJ159,R$4&gt;$AI159),3,IF(AND(R$4&lt;=$AK159,R$4&gt;$AJ159),4,IF(AND(R$4&lt;=$AL159,R$4&gt;$AK159),5,0)))))*'Detailed Assumptions'!$E$6</f>
        <v>0</v>
      </c>
      <c r="S502" s="519">
        <f>IF(AND(S$4&lt;=$AH159,S$4&gt;$V159),1,IF(AND(S$4&lt;=$AI159,S$4&gt;$AH159),2,IF(AND(S$4&lt;=$AJ159,S$4&gt;$AI159),3,IF(AND(S$4&lt;=$AK159,S$4&gt;$AJ159),4,IF(AND(S$4&lt;=$AL159,S$4&gt;$AK159),5,0)))))*'Detailed Assumptions'!$E$6</f>
        <v>0</v>
      </c>
      <c r="T502" s="519">
        <f>IF(AND(T$4&lt;=$AH159,T$4&gt;$V159),1,IF(AND(T$4&lt;=$AI159,T$4&gt;$AH159),2,IF(AND(T$4&lt;=$AJ159,T$4&gt;$AI159),3,IF(AND(T$4&lt;=$AK159,T$4&gt;$AJ159),4,IF(AND(T$4&lt;=$AL159,T$4&gt;$AK159),5,0)))))*'Detailed Assumptions'!$E$6</f>
        <v>0</v>
      </c>
      <c r="U502" s="519">
        <f>IF(AND(U$4&lt;=$AH159,U$4&gt;$V159),1,IF(AND(U$4&lt;=$AI159,U$4&gt;$AH159),2,IF(AND(U$4&lt;=$AJ159,U$4&gt;$AI159),3,IF(AND(U$4&lt;=$AK159,U$4&gt;$AJ159),4,IF(AND(U$4&lt;=$AL159,U$4&gt;$AK159),5,0)))))*'Detailed Assumptions'!$E$6</f>
        <v>0</v>
      </c>
      <c r="V502" s="519">
        <f>IF(AND(V$4&lt;=$AH159,V$4&gt;$V159),1,IF(AND(V$4&lt;=$AI159,V$4&gt;$AH159),2,IF(AND(V$4&lt;=$AJ159,V$4&gt;$AI159),3,IF(AND(V$4&lt;=$AK159,V$4&gt;$AJ159),4,IF(AND(V$4&lt;=$AL159,V$4&gt;$AK159),5,0)))))*'Detailed Assumptions'!$E$6</f>
        <v>0</v>
      </c>
      <c r="W502" s="519">
        <f>IF(AND(W$4&lt;=$AH159,W$4&gt;$V159),1,IF(AND(W$4&lt;=$AI159,W$4&gt;$AH159),2,IF(AND(W$4&lt;=$AJ159,W$4&gt;$AI159),3,IF(AND(W$4&lt;=$AK159,W$4&gt;$AJ159),4,IF(AND(W$4&lt;=$AL159,W$4&gt;$AK159),5,0)))))*'Detailed Assumptions'!$E$6</f>
        <v>0</v>
      </c>
      <c r="X502" s="519">
        <f>IF(AND(X$4&lt;=$AH159,X$4&gt;$V159),1,IF(AND(X$4&lt;=$AI159,X$4&gt;$AH159),2,IF(AND(X$4&lt;=$AJ159,X$4&gt;$AI159),3,IF(AND(X$4&lt;=$AK159,X$4&gt;$AJ159),4,IF(AND(X$4&lt;=$AL159,X$4&gt;$AK159),5,0)))))*'Detailed Assumptions'!$E$6</f>
        <v>0</v>
      </c>
      <c r="Y502" s="519">
        <f>IF(AND(Y$4&lt;=$AH159,Y$4&gt;$V159),1,IF(AND(Y$4&lt;=$AI159,Y$4&gt;$AH159),2,IF(AND(Y$4&lt;=$AJ159,Y$4&gt;$AI159),3,IF(AND(Y$4&lt;=$AK159,Y$4&gt;$AJ159),4,IF(AND(Y$4&lt;=$AL159,Y$4&gt;$AK159),5,0)))))*'Detailed Assumptions'!$E$6</f>
        <v>0</v>
      </c>
      <c r="Z502" s="519">
        <f>IF(AND(Z$4&lt;=$AH159,Z$4&gt;$V159),1,IF(AND(Z$4&lt;=$AI159,Z$4&gt;$AH159),2,IF(AND(Z$4&lt;=$AJ159,Z$4&gt;$AI159),3,IF(AND(Z$4&lt;=$AK159,Z$4&gt;$AJ159),4,IF(AND(Z$4&lt;=$AL159,Z$4&gt;$AK159),5,0)))))*'Detailed Assumptions'!$E$6</f>
        <v>0</v>
      </c>
      <c r="AA502" s="519">
        <f>IF(AND(AA$4&lt;=$AH159,AA$4&gt;$V159),1,IF(AND(AA$4&lt;=$AI159,AA$4&gt;$AH159),2,IF(AND(AA$4&lt;=$AJ159,AA$4&gt;$AI159),3,IF(AND(AA$4&lt;=$AK159,AA$4&gt;$AJ159),4,IF(AND(AA$4&lt;=$AL159,AA$4&gt;$AK159),5,0)))))*'Detailed Assumptions'!$E$6</f>
        <v>0</v>
      </c>
      <c r="AB502" s="519">
        <f>IF(AND(AB$4&lt;=$AH159,AB$4&gt;$V159),1,IF(AND(AB$4&lt;=$AI159,AB$4&gt;$AH159),2,IF(AND(AB$4&lt;=$AJ159,AB$4&gt;$AI159),3,IF(AND(AB$4&lt;=$AK159,AB$4&gt;$AJ159),4,IF(AND(AB$4&lt;=$AL159,AB$4&gt;$AK159),5,0)))))*'Detailed Assumptions'!$E$6</f>
        <v>0</v>
      </c>
      <c r="AC502" s="519">
        <f>IF(AND(AC$4&lt;=$AH159,AC$4&gt;$V159),1,IF(AND(AC$4&lt;=$AI159,AC$4&gt;$AH159),2,IF(AND(AC$4&lt;=$AJ159,AC$4&gt;$AI159),3,IF(AND(AC$4&lt;=$AK159,AC$4&gt;$AJ159),4,IF(AND(AC$4&lt;=$AL159,AC$4&gt;$AK159),5,0)))))*'Detailed Assumptions'!$E$6</f>
        <v>0</v>
      </c>
      <c r="AD502" s="519">
        <f>IF(AND(AD$4&lt;=$AH159,AD$4&gt;$V159),1,IF(AND(AD$4&lt;=$AI159,AD$4&gt;$AH159),2,IF(AND(AD$4&lt;=$AJ159,AD$4&gt;$AI159),3,IF(AND(AD$4&lt;=$AK159,AD$4&gt;$AJ159),4,IF(AND(AD$4&lt;=$AL159,AD$4&gt;$AK159),5,0)))))*'Detailed Assumptions'!$E$6</f>
        <v>0</v>
      </c>
      <c r="AE502" s="519">
        <f>IF(AND(AE$4&lt;=$AH159,AE$4&gt;$V159),1,IF(AND(AE$4&lt;=$AI159,AE$4&gt;$AH159),2,IF(AND(AE$4&lt;=$AJ159,AE$4&gt;$AI159),3,IF(AND(AE$4&lt;=$AK159,AE$4&gt;$AJ159),4,IF(AND(AE$4&lt;=$AL159,AE$4&gt;$AK159),5,0)))))*'Detailed Assumptions'!$E$6</f>
        <v>0</v>
      </c>
      <c r="AF502" s="519">
        <f>IF(AND(AF$4&lt;=$AH159,AF$4&gt;$V159),1,IF(AND(AF$4&lt;=$AI159,AF$4&gt;$AH159),2,IF(AND(AF$4&lt;=$AJ159,AF$4&gt;$AI159),3,IF(AND(AF$4&lt;=$AK159,AF$4&gt;$AJ159),4,IF(AND(AF$4&lt;=$AL159,AF$4&gt;$AK159),5,0)))))*'Detailed Assumptions'!$E$6</f>
        <v>0</v>
      </c>
      <c r="AG502" s="519">
        <f>IF(AND(AG$4&lt;=$AH159,AG$4&gt;$V159),1,IF(AND(AG$4&lt;=$AI159,AG$4&gt;$AH159),2,IF(AND(AG$4&lt;=$AJ159,AG$4&gt;$AI159),3,IF(AND(AG$4&lt;=$AK159,AG$4&gt;$AJ159),4,IF(AND(AG$4&lt;=$AL159,AG$4&gt;$AK159),5,0)))))*'Detailed Assumptions'!$E$6</f>
        <v>0</v>
      </c>
      <c r="AH502" s="519">
        <f>IF(AND(AH$4&lt;=$AH159,AH$4&gt;$V159),1,IF(AND(AH$4&lt;=$AI159,AH$4&gt;$AH159),2,IF(AND(AH$4&lt;=$AJ159,AH$4&gt;$AI159),3,IF(AND(AH$4&lt;=$AK159,AH$4&gt;$AJ159),4,IF(AND(AH$4&lt;=$AL159,AH$4&gt;$AK159),5,0)))))*'Detailed Assumptions'!$E$6</f>
        <v>0</v>
      </c>
      <c r="AI502" s="519">
        <f>IF(AND(AI$4&lt;=$AH159,AI$4&gt;$V159),1,IF(AND(AI$4&lt;=$AI159,AI$4&gt;$AH159),2,IF(AND(AI$4&lt;=$AJ159,AI$4&gt;$AI159),3,IF(AND(AI$4&lt;=$AK159,AI$4&gt;$AJ159),4,IF(AND(AI$4&lt;=$AL159,AI$4&gt;$AK159),5,0)))))*'Detailed Assumptions'!$E$6</f>
        <v>0</v>
      </c>
      <c r="AJ502" s="519">
        <f>IF(AND(AJ$4&lt;=$AH159,AJ$4&gt;$V159),1,IF(AND(AJ$4&lt;=$AI159,AJ$4&gt;$AH159),2,IF(AND(AJ$4&lt;=$AJ159,AJ$4&gt;$AI159),3,IF(AND(AJ$4&lt;=$AK159,AJ$4&gt;$AJ159),4,IF(AND(AJ$4&lt;=$AL159,AJ$4&gt;$AK159),5,0)))))*'Detailed Assumptions'!$E$6</f>
        <v>0</v>
      </c>
      <c r="AK502" s="519">
        <f>IF(AND(AK$4&lt;=$AH159,AK$4&gt;$V159),1,IF(AND(AK$4&lt;=$AI159,AK$4&gt;$AH159),2,IF(AND(AK$4&lt;=$AJ159,AK$4&gt;$AI159),3,IF(AND(AK$4&lt;=$AK159,AK$4&gt;$AJ159),4,IF(AND(AK$4&lt;=$AL159,AK$4&gt;$AK159),5,0)))))*'Detailed Assumptions'!$E$6</f>
        <v>0</v>
      </c>
      <c r="AL502" s="519">
        <f>IF(AND(AL$4&lt;=$AH159,AL$4&gt;$V159),1,IF(AND(AL$4&lt;=$AI159,AL$4&gt;$AH159),2,IF(AND(AL$4&lt;=$AJ159,AL$4&gt;$AI159),3,IF(AND(AL$4&lt;=$AK159,AL$4&gt;$AJ159),4,IF(AND(AL$4&lt;=$AL159,AL$4&gt;$AK159),5,0)))))*'Detailed Assumptions'!$E$6</f>
        <v>0</v>
      </c>
      <c r="AM502" s="519">
        <f>IF(AND(AM$4&lt;=$AH159,AM$4&gt;$V159),1,IF(AND(AM$4&lt;=$AI159,AM$4&gt;$AH159),2,IF(AND(AM$4&lt;=$AJ159,AM$4&gt;$AI159),3,IF(AND(AM$4&lt;=$AK159,AM$4&gt;$AJ159),4,IF(AND(AM$4&lt;=$AL159,AM$4&gt;$AK159),5,0)))))*'Detailed Assumptions'!$E$6</f>
        <v>0</v>
      </c>
      <c r="AN502" s="543">
        <f>IF(AND(AN$4&lt;=$AH159,AN$4&gt;$V159),1,IF(AND(AN$4&lt;=$AI159,AN$4&gt;$AH159),2,IF(AND(AN$4&lt;=$AJ159,AN$4&gt;$AI159),3,IF(AND(AN$4&lt;=$AK159,AN$4&gt;$AJ159),4,IF(AND(AN$4&lt;=$AL159,AN$4&gt;$AK159),5,0)))))*'Detailed Assumptions'!$E$6</f>
        <v>0</v>
      </c>
      <c r="AO502" s="543">
        <f>IF(AND(AO$4&lt;=$AH159,AO$4&gt;$V159),1,IF(AND(AO$4&lt;=$AI159,AO$4&gt;$AH159),2,IF(AND(AO$4&lt;=$AJ159,AO$4&gt;$AI159),3,IF(AND(AO$4&lt;=$AK159,AO$4&gt;$AJ159),4,IF(AND(AO$4&lt;=$AL159,AO$4&gt;$AK159),5,0)))))*'Detailed Assumptions'!$E$6</f>
        <v>0</v>
      </c>
      <c r="AP502" s="543">
        <f>IF(AND(AP$4&lt;=$AH159,AP$4&gt;$V159),1,IF(AND(AP$4&lt;=$AI159,AP$4&gt;$AH159),2,IF(AND(AP$4&lt;=$AJ159,AP$4&gt;$AI159),3,IF(AND(AP$4&lt;=$AK159,AP$4&gt;$AJ159),4,IF(AND(AP$4&lt;=$AL159,AP$4&gt;$AK159),5,0)))))*'Detailed Assumptions'!$E$6</f>
        <v>0</v>
      </c>
      <c r="AQ502" s="543">
        <f>IF(AND(AQ$4&lt;=$AH159,AQ$4&gt;$V159),1,IF(AND(AQ$4&lt;=$AI159,AQ$4&gt;$AH159),2,IF(AND(AQ$4&lt;=$AJ159,AQ$4&gt;$AI159),3,IF(AND(AQ$4&lt;=$AK159,AQ$4&gt;$AJ159),4,IF(AND(AQ$4&lt;=$AL159,AQ$4&gt;$AK159),5,0)))))*'Detailed Assumptions'!$E$6</f>
        <v>0</v>
      </c>
      <c r="AR502" s="543">
        <f>IF(AND(AR$4&lt;=$AH159,AR$4&gt;$V159),1,IF(AND(AR$4&lt;=$AI159,AR$4&gt;$AH159),2,IF(AND(AR$4&lt;=$AJ159,AR$4&gt;$AI159),3,IF(AND(AR$4&lt;=$AK159,AR$4&gt;$AJ159),4,IF(AND(AR$4&lt;=$AL159,AR$4&gt;$AK159),5,0)))))*'Detailed Assumptions'!$E$6</f>
        <v>0</v>
      </c>
      <c r="AS502" s="543">
        <f>IF(AND(AS$4&lt;=$AH159,AS$4&gt;$V159),1,IF(AND(AS$4&lt;=$AI159,AS$4&gt;$AH159),2,IF(AND(AS$4&lt;=$AJ159,AS$4&gt;$AI159),3,IF(AND(AS$4&lt;=$AK159,AS$4&gt;$AJ159),4,IF(AND(AS$4&lt;=$AL159,AS$4&gt;$AK159),5,0)))))*'Detailed Assumptions'!$E$6</f>
        <v>0</v>
      </c>
      <c r="AT502" s="543">
        <f>IF(AND(AT$4&lt;=$AH159,AT$4&gt;$V159),1,IF(AND(AT$4&lt;=$AI159,AT$4&gt;$AH159),2,IF(AND(AT$4&lt;=$AJ159,AT$4&gt;$AI159),3,IF(AND(AT$4&lt;=$AK159,AT$4&gt;$AJ159),4,IF(AND(AT$4&lt;=$AL159,AT$4&gt;$AK159),5,0)))))*'Detailed Assumptions'!$E$6</f>
        <v>0</v>
      </c>
      <c r="AU502" s="543">
        <f>IF(AND(AU$4&lt;=$AH159,AU$4&gt;$V159),1,IF(AND(AU$4&lt;=$AI159,AU$4&gt;$AH159),2,IF(AND(AU$4&lt;=$AJ159,AU$4&gt;$AI159),3,IF(AND(AU$4&lt;=$AK159,AU$4&gt;$AJ159),4,IF(AND(AU$4&lt;=$AL159,AU$4&gt;$AK159),5,0)))))*'Detailed Assumptions'!$E$6</f>
        <v>0</v>
      </c>
      <c r="AV502" s="543">
        <f>IF(AND(AV$4&lt;=$AH159,AV$4&gt;$V159),1,IF(AND(AV$4&lt;=$AI159,AV$4&gt;$AH159),2,IF(AND(AV$4&lt;=$AJ159,AV$4&gt;$AI159),3,IF(AND(AV$4&lt;=$AK159,AV$4&gt;$AJ159),4,IF(AND(AV$4&lt;=$AL159,AV$4&gt;$AK159),5,0)))))*'Detailed Assumptions'!$E$6</f>
        <v>0</v>
      </c>
      <c r="AW502" s="543">
        <f>IF(AND(AW$4&lt;=$AH159,AW$4&gt;$V159),1,IF(AND(AW$4&lt;=$AI159,AW$4&gt;$AH159),2,IF(AND(AW$4&lt;=$AJ159,AW$4&gt;$AI159),3,IF(AND(AW$4&lt;=$AK159,AW$4&gt;$AJ159),4,IF(AND(AW$4&lt;=$AL159,AW$4&gt;$AK159),5,0)))))*'Detailed Assumptions'!$E$6</f>
        <v>0</v>
      </c>
      <c r="AX502" s="543">
        <f>IF(AND(AX$4&lt;=$AH159,AX$4&gt;$V159),1,IF(AND(AX$4&lt;=$AI159,AX$4&gt;$AH159),2,IF(AND(AX$4&lt;=$AJ159,AX$4&gt;$AI159),3,IF(AND(AX$4&lt;=$AK159,AX$4&gt;$AJ159),4,IF(AND(AX$4&lt;=$AL159,AX$4&gt;$AK159),5,0)))))*'Detailed Assumptions'!$E$6</f>
        <v>0</v>
      </c>
      <c r="AY502" s="543">
        <f>IF(AND(AY$4&lt;=$AH159,AY$4&gt;$V159),1,IF(AND(AY$4&lt;=$AI159,AY$4&gt;$AH159),2,IF(AND(AY$4&lt;=$AJ159,AY$4&gt;$AI159),3,IF(AND(AY$4&lt;=$AK159,AY$4&gt;$AJ159),4,IF(AND(AY$4&lt;=$AL159,AY$4&gt;$AK159),5,0)))))*'Detailed Assumptions'!$E$6</f>
        <v>0</v>
      </c>
      <c r="AZ502" s="543">
        <f>IF(AND(AZ$4&lt;=$AH159,AZ$4&gt;$V159),1,IF(AND(AZ$4&lt;=$AI159,AZ$4&gt;$AH159),2,IF(AND(AZ$4&lt;=$AJ159,AZ$4&gt;$AI159),3,IF(AND(AZ$4&lt;=$AK159,AZ$4&gt;$AJ159),4,IF(AND(AZ$4&lt;=$AL159,AZ$4&gt;$AK159),5,0)))))*'Detailed Assumptions'!$E$6</f>
        <v>0</v>
      </c>
      <c r="BA502" s="543">
        <f>IF(AND(BA$4&lt;=$AH159,BA$4&gt;$V159),1,IF(AND(BA$4&lt;=$AI159,BA$4&gt;$AH159),2,IF(AND(BA$4&lt;=$AJ159,BA$4&gt;$AI159),3,IF(AND(BA$4&lt;=$AK159,BA$4&gt;$AJ159),4,IF(AND(BA$4&lt;=$AL159,BA$4&gt;$AK159),5,0)))))*'Detailed Assumptions'!$E$6</f>
        <v>0</v>
      </c>
      <c r="BB502" s="543">
        <f>IF(AND(BB$4&lt;=$AH159,BB$4&gt;$V159),1,IF(AND(BB$4&lt;=$AI159,BB$4&gt;$AH159),2,IF(AND(BB$4&lt;=$AJ159,BB$4&gt;$AI159),3,IF(AND(BB$4&lt;=$AK159,BB$4&gt;$AJ159),4,IF(AND(BB$4&lt;=$AL159,BB$4&gt;$AK159),5,0)))))*'Detailed Assumptions'!$E$6</f>
        <v>0</v>
      </c>
      <c r="BC502" s="543">
        <f>IF(AND(BC$4&lt;=$AH159,BC$4&gt;$V159),1,IF(AND(BC$4&lt;=$AI159,BC$4&gt;$AH159),2,IF(AND(BC$4&lt;=$AJ159,BC$4&gt;$AI159),3,IF(AND(BC$4&lt;=$AK159,BC$4&gt;$AJ159),4,IF(AND(BC$4&lt;=$AL159,BC$4&gt;$AK159),5,0)))))*'Detailed Assumptions'!$E$6</f>
        <v>0</v>
      </c>
      <c r="BD502" s="543">
        <f>IF(AND(BD$4&lt;=$AH159,BD$4&gt;$V159),1,IF(AND(BD$4&lt;=$AI159,BD$4&gt;$AH159),2,IF(AND(BD$4&lt;=$AJ159,BD$4&gt;$AI159),3,IF(AND(BD$4&lt;=$AK159,BD$4&gt;$AJ159),4,IF(AND(BD$4&lt;=$AL159,BD$4&gt;$AK159),5,0)))))*'Detailed Assumptions'!$E$6</f>
        <v>0</v>
      </c>
      <c r="BE502" s="543">
        <f>IF(AND(BE$4&lt;=$AH159,BE$4&gt;$V159),1,IF(AND(BE$4&lt;=$AI159,BE$4&gt;$AH159),2,IF(AND(BE$4&lt;=$AJ159,BE$4&gt;$AI159),3,IF(AND(BE$4&lt;=$AK159,BE$4&gt;$AJ159),4,IF(AND(BE$4&lt;=$AL159,BE$4&gt;$AK159),5,0)))))*'Detailed Assumptions'!$E$6</f>
        <v>0</v>
      </c>
      <c r="BF502" s="543">
        <f>IF(AND(BF$4&lt;=$AH159,BF$4&gt;$V159),1,IF(AND(BF$4&lt;=$AI159,BF$4&gt;$AH159),2,IF(AND(BF$4&lt;=$AJ159,BF$4&gt;$AI159),3,IF(AND(BF$4&lt;=$AK159,BF$4&gt;$AJ159),4,IF(AND(BF$4&lt;=$AL159,BF$4&gt;$AK159),5,0)))))*'Detailed Assumptions'!$E$6</f>
        <v>0</v>
      </c>
      <c r="BG502" s="543">
        <f>IF(AND(BG$4&lt;=$AH159,BG$4&gt;$V159),1,IF(AND(BG$4&lt;=$AI159,BG$4&gt;$AH159),2,IF(AND(BG$4&lt;=$AJ159,BG$4&gt;$AI159),3,IF(AND(BG$4&lt;=$AK159,BG$4&gt;$AJ159),4,IF(AND(BG$4&lt;=$AL159,BG$4&gt;$AK159),5,0)))))*'Detailed Assumptions'!$E$6</f>
        <v>0</v>
      </c>
      <c r="BH502" s="543">
        <f>IF(AND(BH$4&lt;=$AH159,BH$4&gt;$V159),1,IF(AND(BH$4&lt;=$AI159,BH$4&gt;$AH159),2,IF(AND(BH$4&lt;=$AJ159,BH$4&gt;$AI159),3,IF(AND(BH$4&lt;=$AK159,BH$4&gt;$AJ159),4,IF(AND(BH$4&lt;=$AL159,BH$4&gt;$AK159),5,0)))))*'Detailed Assumptions'!$E$6</f>
        <v>0</v>
      </c>
      <c r="BI502" s="543">
        <f>IF(AND(BI$4&lt;=$AH159,BI$4&gt;$V159),1,IF(AND(BI$4&lt;=$AI159,BI$4&gt;$AH159),2,IF(AND(BI$4&lt;=$AJ159,BI$4&gt;$AI159),3,IF(AND(BI$4&lt;=$AK159,BI$4&gt;$AJ159),4,IF(AND(BI$4&lt;=$AL159,BI$4&gt;$AK159),5,0)))))*'Detailed Assumptions'!$E$6</f>
        <v>0</v>
      </c>
      <c r="BJ502" s="543">
        <f>IF(AND(BJ$4&lt;=$AH159,BJ$4&gt;$V159),1,IF(AND(BJ$4&lt;=$AI159,BJ$4&gt;$AH159),2,IF(AND(BJ$4&lt;=$AJ159,BJ$4&gt;$AI159),3,IF(AND(BJ$4&lt;=$AK159,BJ$4&gt;$AJ159),4,IF(AND(BJ$4&lt;=$AL159,BJ$4&gt;$AK159),5,0)))))*'Detailed Assumptions'!$E$6</f>
        <v>0</v>
      </c>
      <c r="BK502" s="543">
        <f>IF(AND(BK$4&lt;=$AH159,BK$4&gt;$V159),1,IF(AND(BK$4&lt;=$AI159,BK$4&gt;$AH159),2,IF(AND(BK$4&lt;=$AJ159,BK$4&gt;$AI159),3,IF(AND(BK$4&lt;=$AK159,BK$4&gt;$AJ159),4,IF(AND(BK$4&lt;=$AL159,BK$4&gt;$AK159),5,0)))))*'Detailed Assumptions'!$E$6</f>
        <v>0</v>
      </c>
      <c r="BL502" s="543">
        <f>IF(AND(BL$4&lt;=$AH159,BL$4&gt;$V159),1,IF(AND(BL$4&lt;=$AI159,BL$4&gt;$AH159),2,IF(AND(BL$4&lt;=$AJ159,BL$4&gt;$AI159),3,IF(AND(BL$4&lt;=$AK159,BL$4&gt;$AJ159),4,IF(AND(BL$4&lt;=$AL159,BL$4&gt;$AK159),5,0)))))*'Detailed Assumptions'!$E$6</f>
        <v>0</v>
      </c>
      <c r="BM502" s="543">
        <f>IF(AND(BM$4&lt;=$AH159,BM$4&gt;$V159),1,IF(AND(BM$4&lt;=$AI159,BM$4&gt;$AH159),2,IF(AND(BM$4&lt;=$AJ159,BM$4&gt;$AI159),3,IF(AND(BM$4&lt;=$AK159,BM$4&gt;$AJ159),4,IF(AND(BM$4&lt;=$AL159,BM$4&gt;$AK159),5,0)))))*'Detailed Assumptions'!$E$6</f>
        <v>0</v>
      </c>
      <c r="BN502" s="543">
        <f>IF(AND(BN$4&lt;=$AH159,BN$4&gt;$V159),1,IF(AND(BN$4&lt;=$AI159,BN$4&gt;$AH159),2,IF(AND(BN$4&lt;=$AJ159,BN$4&gt;$AI159),3,IF(AND(BN$4&lt;=$AK159,BN$4&gt;$AJ159),4,IF(AND(BN$4&lt;=$AL159,BN$4&gt;$AK159),5,0)))))*'Detailed Assumptions'!$E$6</f>
        <v>0</v>
      </c>
      <c r="BO502" s="543">
        <f>IF(AND(BO$4&lt;=$AH159,BO$4&gt;$V159),1,IF(AND(BO$4&lt;=$AI159,BO$4&gt;$AH159),2,IF(AND(BO$4&lt;=$AJ159,BO$4&gt;$AI159),3,IF(AND(BO$4&lt;=$AK159,BO$4&gt;$AJ159),4,IF(AND(BO$4&lt;=$AL159,BO$4&gt;$AK159),5,0)))))*'Detailed Assumptions'!$E$6</f>
        <v>0</v>
      </c>
      <c r="BP502" s="543">
        <f>IF(AND(BP$4&lt;=$AH159,BP$4&gt;$V159),1,IF(AND(BP$4&lt;=$AI159,BP$4&gt;$AH159),2,IF(AND(BP$4&lt;=$AJ159,BP$4&gt;$AI159),3,IF(AND(BP$4&lt;=$AK159,BP$4&gt;$AJ159),4,IF(AND(BP$4&lt;=$AL159,BP$4&gt;$AK159),5,0)))))*'Detailed Assumptions'!$E$6</f>
        <v>0</v>
      </c>
      <c r="BQ502" s="543">
        <f>IF(AND(BQ$4&lt;=$AH159,BQ$4&gt;$V159),1,IF(AND(BQ$4&lt;=$AI159,BQ$4&gt;$AH159),2,IF(AND(BQ$4&lt;=$AJ159,BQ$4&gt;$AI159),3,IF(AND(BQ$4&lt;=$AK159,BQ$4&gt;$AJ159),4,IF(AND(BQ$4&lt;=$AL159,BQ$4&gt;$AK159),5,0)))))*'Detailed Assumptions'!$E$6</f>
        <v>0</v>
      </c>
      <c r="BR502" s="543">
        <f>IF(AND(BR$4&lt;=$AH159,BR$4&gt;$V159),1,IF(AND(BR$4&lt;=$AI159,BR$4&gt;$AH159),2,IF(AND(BR$4&lt;=$AJ159,BR$4&gt;$AI159),3,IF(AND(BR$4&lt;=$AK159,BR$4&gt;$AJ159),4,IF(AND(BR$4&lt;=$AL159,BR$4&gt;$AK159),5,0)))))*'Detailed Assumptions'!$E$6</f>
        <v>0</v>
      </c>
      <c r="BS502" s="543">
        <f>IF(AND(BS$4&lt;=$AH159,BS$4&gt;$V159),1,IF(AND(BS$4&lt;=$AI159,BS$4&gt;$AH159),2,IF(AND(BS$4&lt;=$AJ159,BS$4&gt;$AI159),3,IF(AND(BS$4&lt;=$AK159,BS$4&gt;$AJ159),4,IF(AND(BS$4&lt;=$AL159,BS$4&gt;$AK159),5,0)))))*'Detailed Assumptions'!$E$6</f>
        <v>0</v>
      </c>
      <c r="BT502" s="543">
        <f>IF(AND(BT$4&lt;=$AH159,BT$4&gt;$V159),1,IF(AND(BT$4&lt;=$AI159,BT$4&gt;$AH159),2,IF(AND(BT$4&lt;=$AJ159,BT$4&gt;$AI159),3,IF(AND(BT$4&lt;=$AK159,BT$4&gt;$AJ159),4,IF(AND(BT$4&lt;=$AL159,BT$4&gt;$AK159),5,0)))))*'Detailed Assumptions'!$E$6</f>
        <v>1</v>
      </c>
      <c r="BU502" s="543">
        <f>IF(AND(BU$4&lt;=$AH159,BU$4&gt;$V159),1,IF(AND(BU$4&lt;=$AI159,BU$4&gt;$AH159),2,IF(AND(BU$4&lt;=$AJ159,BU$4&gt;$AI159),3,IF(AND(BU$4&lt;=$AK159,BU$4&gt;$AJ159),4,IF(AND(BU$4&lt;=$AL159,BU$4&gt;$AK159),5,0)))))*'Detailed Assumptions'!$E$6</f>
        <v>1</v>
      </c>
      <c r="BV502" s="543">
        <f>IF(AND(BV$4&lt;=$AH159,BV$4&gt;$V159),1,IF(AND(BV$4&lt;=$AI159,BV$4&gt;$AH159),2,IF(AND(BV$4&lt;=$AJ159,BV$4&gt;$AI159),3,IF(AND(BV$4&lt;=$AK159,BV$4&gt;$AJ159),4,IF(AND(BV$4&lt;=$AL159,BV$4&gt;$AK159),5,0)))))*'Detailed Assumptions'!$E$6</f>
        <v>1</v>
      </c>
      <c r="BW502" s="543">
        <f>IF(AND(BW$4&lt;=$AH159,BW$4&gt;$V159),1,IF(AND(BW$4&lt;=$AI159,BW$4&gt;$AH159),2,IF(AND(BW$4&lt;=$AJ159,BW$4&gt;$AI159),3,IF(AND(BW$4&lt;=$AK159,BW$4&gt;$AJ159),4,IF(AND(BW$4&lt;=$AL159,BW$4&gt;$AK159),5,0)))))*'Detailed Assumptions'!$E$6</f>
        <v>1</v>
      </c>
      <c r="BX502" s="543">
        <f>IF(AND(BX$4&lt;=$AH159,BX$4&gt;$V159),1,IF(AND(BX$4&lt;=$AI159,BX$4&gt;$AH159),2,IF(AND(BX$4&lt;=$AJ159,BX$4&gt;$AI159),3,IF(AND(BX$4&lt;=$AK159,BX$4&gt;$AJ159),4,IF(AND(BX$4&lt;=$AL159,BX$4&gt;$AK159),5,0)))))*'Detailed Assumptions'!$E$6</f>
        <v>1</v>
      </c>
      <c r="BY502" s="543">
        <f>IF(AND(BY$4&lt;=$AH159,BY$4&gt;$V159),1,IF(AND(BY$4&lt;=$AI159,BY$4&gt;$AH159),2,IF(AND(BY$4&lt;=$AJ159,BY$4&gt;$AI159),3,IF(AND(BY$4&lt;=$AK159,BY$4&gt;$AJ159),4,IF(AND(BY$4&lt;=$AL159,BY$4&gt;$AK159),5,0)))))*'Detailed Assumptions'!$E$6</f>
        <v>1</v>
      </c>
    </row>
    <row r="503" spans="1:80" x14ac:dyDescent="0.3">
      <c r="C503" s="1"/>
      <c r="D503" s="2"/>
      <c r="E503" s="78" t="str">
        <f>"EBITDA growth post capex: "&amp;E$160</f>
        <v>EBITDA growth post capex: Uninvested Tranche</v>
      </c>
      <c r="F503" s="8"/>
      <c r="G503" s="8"/>
      <c r="H503" s="8"/>
      <c r="I503" s="8"/>
      <c r="J503" s="8"/>
      <c r="K503" s="8"/>
      <c r="L503" s="8"/>
      <c r="M503" s="8"/>
      <c r="N503" s="8"/>
      <c r="O503" s="8"/>
      <c r="P503" s="33"/>
      <c r="Q503" s="8"/>
      <c r="R503" s="519">
        <f>IF(AND(R$4&lt;=$AH160,R$4&gt;$V160),1,IF(AND(R$4&lt;=$AI160,R$4&gt;$AH160),2,IF(AND(R$4&lt;=$AJ160,R$4&gt;$AI160),3,IF(AND(R$4&lt;=$AK160,R$4&gt;$AJ160),4,IF(AND(R$4&lt;=$AL160,R$4&gt;$AK160),5,0)))))*'Detailed Assumptions'!$E$6</f>
        <v>0</v>
      </c>
      <c r="S503" s="519">
        <f>IF(AND(S$4&lt;=$AH160,S$4&gt;$V160),1,IF(AND(S$4&lt;=$AI160,S$4&gt;$AH160),2,IF(AND(S$4&lt;=$AJ160,S$4&gt;$AI160),3,IF(AND(S$4&lt;=$AK160,S$4&gt;$AJ160),4,IF(AND(S$4&lt;=$AL160,S$4&gt;$AK160),5,0)))))*'Detailed Assumptions'!$E$6</f>
        <v>0</v>
      </c>
      <c r="T503" s="519">
        <f>IF(AND(T$4&lt;=$AH160,T$4&gt;$V160),1,IF(AND(T$4&lt;=$AI160,T$4&gt;$AH160),2,IF(AND(T$4&lt;=$AJ160,T$4&gt;$AI160),3,IF(AND(T$4&lt;=$AK160,T$4&gt;$AJ160),4,IF(AND(T$4&lt;=$AL160,T$4&gt;$AK160),5,0)))))*'Detailed Assumptions'!$E$6</f>
        <v>0</v>
      </c>
      <c r="U503" s="519">
        <f>IF(AND(U$4&lt;=$AH160,U$4&gt;$V160),1,IF(AND(U$4&lt;=$AI160,U$4&gt;$AH160),2,IF(AND(U$4&lt;=$AJ160,U$4&gt;$AI160),3,IF(AND(U$4&lt;=$AK160,U$4&gt;$AJ160),4,IF(AND(U$4&lt;=$AL160,U$4&gt;$AK160),5,0)))))*'Detailed Assumptions'!$E$6</f>
        <v>0</v>
      </c>
      <c r="V503" s="519">
        <f>IF(AND(V$4&lt;=$AH160,V$4&gt;$V160),1,IF(AND(V$4&lt;=$AI160,V$4&gt;$AH160),2,IF(AND(V$4&lt;=$AJ160,V$4&gt;$AI160),3,IF(AND(V$4&lt;=$AK160,V$4&gt;$AJ160),4,IF(AND(V$4&lt;=$AL160,V$4&gt;$AK160),5,0)))))*'Detailed Assumptions'!$E$6</f>
        <v>0</v>
      </c>
      <c r="W503" s="519">
        <f>IF(AND(W$4&lt;=$AH160,W$4&gt;$V160),1,IF(AND(W$4&lt;=$AI160,W$4&gt;$AH160),2,IF(AND(W$4&lt;=$AJ160,W$4&gt;$AI160),3,IF(AND(W$4&lt;=$AK160,W$4&gt;$AJ160),4,IF(AND(W$4&lt;=$AL160,W$4&gt;$AK160),5,0)))))*'Detailed Assumptions'!$E$6</f>
        <v>0</v>
      </c>
      <c r="X503" s="519">
        <f>IF(AND(X$4&lt;=$AH160,X$4&gt;$V160),1,IF(AND(X$4&lt;=$AI160,X$4&gt;$AH160),2,IF(AND(X$4&lt;=$AJ160,X$4&gt;$AI160),3,IF(AND(X$4&lt;=$AK160,X$4&gt;$AJ160),4,IF(AND(X$4&lt;=$AL160,X$4&gt;$AK160),5,0)))))*'Detailed Assumptions'!$E$6</f>
        <v>0</v>
      </c>
      <c r="Y503" s="519">
        <f>IF(AND(Y$4&lt;=$AH160,Y$4&gt;$V160),1,IF(AND(Y$4&lt;=$AI160,Y$4&gt;$AH160),2,IF(AND(Y$4&lt;=$AJ160,Y$4&gt;$AI160),3,IF(AND(Y$4&lt;=$AK160,Y$4&gt;$AJ160),4,IF(AND(Y$4&lt;=$AL160,Y$4&gt;$AK160),5,0)))))*'Detailed Assumptions'!$E$6</f>
        <v>0</v>
      </c>
      <c r="Z503" s="519">
        <f>IF(AND(Z$4&lt;=$AH160,Z$4&gt;$V160),1,IF(AND(Z$4&lt;=$AI160,Z$4&gt;$AH160),2,IF(AND(Z$4&lt;=$AJ160,Z$4&gt;$AI160),3,IF(AND(Z$4&lt;=$AK160,Z$4&gt;$AJ160),4,IF(AND(Z$4&lt;=$AL160,Z$4&gt;$AK160),5,0)))))*'Detailed Assumptions'!$E$6</f>
        <v>0</v>
      </c>
      <c r="AA503" s="519">
        <f>IF(AND(AA$4&lt;=$AH160,AA$4&gt;$V160),1,IF(AND(AA$4&lt;=$AI160,AA$4&gt;$AH160),2,IF(AND(AA$4&lt;=$AJ160,AA$4&gt;$AI160),3,IF(AND(AA$4&lt;=$AK160,AA$4&gt;$AJ160),4,IF(AND(AA$4&lt;=$AL160,AA$4&gt;$AK160),5,0)))))*'Detailed Assumptions'!$E$6</f>
        <v>0</v>
      </c>
      <c r="AB503" s="519">
        <f>IF(AND(AB$4&lt;=$AH160,AB$4&gt;$V160),1,IF(AND(AB$4&lt;=$AI160,AB$4&gt;$AH160),2,IF(AND(AB$4&lt;=$AJ160,AB$4&gt;$AI160),3,IF(AND(AB$4&lt;=$AK160,AB$4&gt;$AJ160),4,IF(AND(AB$4&lt;=$AL160,AB$4&gt;$AK160),5,0)))))*'Detailed Assumptions'!$E$6</f>
        <v>0</v>
      </c>
      <c r="AC503" s="519">
        <f>IF(AND(AC$4&lt;=$AH160,AC$4&gt;$V160),1,IF(AND(AC$4&lt;=$AI160,AC$4&gt;$AH160),2,IF(AND(AC$4&lt;=$AJ160,AC$4&gt;$AI160),3,IF(AND(AC$4&lt;=$AK160,AC$4&gt;$AJ160),4,IF(AND(AC$4&lt;=$AL160,AC$4&gt;$AK160),5,0)))))*'Detailed Assumptions'!$E$6</f>
        <v>0</v>
      </c>
      <c r="AD503" s="519">
        <f>IF(AND(AD$4&lt;=$AH160,AD$4&gt;$V160),1,IF(AND(AD$4&lt;=$AI160,AD$4&gt;$AH160),2,IF(AND(AD$4&lt;=$AJ160,AD$4&gt;$AI160),3,IF(AND(AD$4&lt;=$AK160,AD$4&gt;$AJ160),4,IF(AND(AD$4&lt;=$AL160,AD$4&gt;$AK160),5,0)))))*'Detailed Assumptions'!$E$6</f>
        <v>0</v>
      </c>
      <c r="AE503" s="519">
        <f>IF(AND(AE$4&lt;=$AH160,AE$4&gt;$V160),1,IF(AND(AE$4&lt;=$AI160,AE$4&gt;$AH160),2,IF(AND(AE$4&lt;=$AJ160,AE$4&gt;$AI160),3,IF(AND(AE$4&lt;=$AK160,AE$4&gt;$AJ160),4,IF(AND(AE$4&lt;=$AL160,AE$4&gt;$AK160),5,0)))))*'Detailed Assumptions'!$E$6</f>
        <v>0</v>
      </c>
      <c r="AF503" s="519">
        <f>IF(AND(AF$4&lt;=$AH160,AF$4&gt;$V160),1,IF(AND(AF$4&lt;=$AI160,AF$4&gt;$AH160),2,IF(AND(AF$4&lt;=$AJ160,AF$4&gt;$AI160),3,IF(AND(AF$4&lt;=$AK160,AF$4&gt;$AJ160),4,IF(AND(AF$4&lt;=$AL160,AF$4&gt;$AK160),5,0)))))*'Detailed Assumptions'!$E$6</f>
        <v>0</v>
      </c>
      <c r="AG503" s="519">
        <f>IF(AND(AG$4&lt;=$AH160,AG$4&gt;$V160),1,IF(AND(AG$4&lt;=$AI160,AG$4&gt;$AH160),2,IF(AND(AG$4&lt;=$AJ160,AG$4&gt;$AI160),3,IF(AND(AG$4&lt;=$AK160,AG$4&gt;$AJ160),4,IF(AND(AG$4&lt;=$AL160,AG$4&gt;$AK160),5,0)))))*'Detailed Assumptions'!$E$6</f>
        <v>0</v>
      </c>
      <c r="AH503" s="519">
        <f>IF(AND(AH$4&lt;=$AH160,AH$4&gt;$V160),1,IF(AND(AH$4&lt;=$AI160,AH$4&gt;$AH160),2,IF(AND(AH$4&lt;=$AJ160,AH$4&gt;$AI160),3,IF(AND(AH$4&lt;=$AK160,AH$4&gt;$AJ160),4,IF(AND(AH$4&lt;=$AL160,AH$4&gt;$AK160),5,0)))))*'Detailed Assumptions'!$E$6</f>
        <v>0</v>
      </c>
      <c r="AI503" s="519">
        <f>IF(AND(AI$4&lt;=$AH160,AI$4&gt;$V160),1,IF(AND(AI$4&lt;=$AI160,AI$4&gt;$AH160),2,IF(AND(AI$4&lt;=$AJ160,AI$4&gt;$AI160),3,IF(AND(AI$4&lt;=$AK160,AI$4&gt;$AJ160),4,IF(AND(AI$4&lt;=$AL160,AI$4&gt;$AK160),5,0)))))*'Detailed Assumptions'!$E$6</f>
        <v>0</v>
      </c>
      <c r="AJ503" s="519">
        <f>IF(AND(AJ$4&lt;=$AH160,AJ$4&gt;$V160),1,IF(AND(AJ$4&lt;=$AI160,AJ$4&gt;$AH160),2,IF(AND(AJ$4&lt;=$AJ160,AJ$4&gt;$AI160),3,IF(AND(AJ$4&lt;=$AK160,AJ$4&gt;$AJ160),4,IF(AND(AJ$4&lt;=$AL160,AJ$4&gt;$AK160),5,0)))))*'Detailed Assumptions'!$E$6</f>
        <v>0</v>
      </c>
      <c r="AK503" s="519">
        <f>IF(AND(AK$4&lt;=$AH160,AK$4&gt;$V160),1,IF(AND(AK$4&lt;=$AI160,AK$4&gt;$AH160),2,IF(AND(AK$4&lt;=$AJ160,AK$4&gt;$AI160),3,IF(AND(AK$4&lt;=$AK160,AK$4&gt;$AJ160),4,IF(AND(AK$4&lt;=$AL160,AK$4&gt;$AK160),5,0)))))*'Detailed Assumptions'!$E$6</f>
        <v>0</v>
      </c>
      <c r="AL503" s="519">
        <f>IF(AND(AL$4&lt;=$AH160,AL$4&gt;$V160),1,IF(AND(AL$4&lt;=$AI160,AL$4&gt;$AH160),2,IF(AND(AL$4&lt;=$AJ160,AL$4&gt;$AI160),3,IF(AND(AL$4&lt;=$AK160,AL$4&gt;$AJ160),4,IF(AND(AL$4&lt;=$AL160,AL$4&gt;$AK160),5,0)))))*'Detailed Assumptions'!$E$6</f>
        <v>0</v>
      </c>
      <c r="AM503" s="519">
        <f>IF(AND(AM$4&lt;=$AH160,AM$4&gt;$V160),1,IF(AND(AM$4&lt;=$AI160,AM$4&gt;$AH160),2,IF(AND(AM$4&lt;=$AJ160,AM$4&gt;$AI160),3,IF(AND(AM$4&lt;=$AK160,AM$4&gt;$AJ160),4,IF(AND(AM$4&lt;=$AL160,AM$4&gt;$AK160),5,0)))))*'Detailed Assumptions'!$E$6</f>
        <v>0</v>
      </c>
      <c r="AN503" s="543">
        <f>IF(AND(AN$4&lt;=$AH160,AN$4&gt;$V160),1,IF(AND(AN$4&lt;=$AI160,AN$4&gt;$AH160),2,IF(AND(AN$4&lt;=$AJ160,AN$4&gt;$AI160),3,IF(AND(AN$4&lt;=$AK160,AN$4&gt;$AJ160),4,IF(AND(AN$4&lt;=$AL160,AN$4&gt;$AK160),5,0)))))*'Detailed Assumptions'!$E$6</f>
        <v>0</v>
      </c>
      <c r="AO503" s="543">
        <f>IF(AND(AO$4&lt;=$AH160,AO$4&gt;$V160),1,IF(AND(AO$4&lt;=$AI160,AO$4&gt;$AH160),2,IF(AND(AO$4&lt;=$AJ160,AO$4&gt;$AI160),3,IF(AND(AO$4&lt;=$AK160,AO$4&gt;$AJ160),4,IF(AND(AO$4&lt;=$AL160,AO$4&gt;$AK160),5,0)))))*'Detailed Assumptions'!$E$6</f>
        <v>0</v>
      </c>
      <c r="AP503" s="543">
        <f>IF(AND(AP$4&lt;=$AH160,AP$4&gt;$V160),1,IF(AND(AP$4&lt;=$AI160,AP$4&gt;$AH160),2,IF(AND(AP$4&lt;=$AJ160,AP$4&gt;$AI160),3,IF(AND(AP$4&lt;=$AK160,AP$4&gt;$AJ160),4,IF(AND(AP$4&lt;=$AL160,AP$4&gt;$AK160),5,0)))))*'Detailed Assumptions'!$E$6</f>
        <v>0</v>
      </c>
      <c r="AQ503" s="543">
        <f>IF(AND(AQ$4&lt;=$AH160,AQ$4&gt;$V160),1,IF(AND(AQ$4&lt;=$AI160,AQ$4&gt;$AH160),2,IF(AND(AQ$4&lt;=$AJ160,AQ$4&gt;$AI160),3,IF(AND(AQ$4&lt;=$AK160,AQ$4&gt;$AJ160),4,IF(AND(AQ$4&lt;=$AL160,AQ$4&gt;$AK160),5,0)))))*'Detailed Assumptions'!$E$6</f>
        <v>0</v>
      </c>
      <c r="AR503" s="543">
        <f>IF(AND(AR$4&lt;=$AH160,AR$4&gt;$V160),1,IF(AND(AR$4&lt;=$AI160,AR$4&gt;$AH160),2,IF(AND(AR$4&lt;=$AJ160,AR$4&gt;$AI160),3,IF(AND(AR$4&lt;=$AK160,AR$4&gt;$AJ160),4,IF(AND(AR$4&lt;=$AL160,AR$4&gt;$AK160),5,0)))))*'Detailed Assumptions'!$E$6</f>
        <v>0</v>
      </c>
      <c r="AS503" s="543">
        <f>IF(AND(AS$4&lt;=$AH160,AS$4&gt;$V160),1,IF(AND(AS$4&lt;=$AI160,AS$4&gt;$AH160),2,IF(AND(AS$4&lt;=$AJ160,AS$4&gt;$AI160),3,IF(AND(AS$4&lt;=$AK160,AS$4&gt;$AJ160),4,IF(AND(AS$4&lt;=$AL160,AS$4&gt;$AK160),5,0)))))*'Detailed Assumptions'!$E$6</f>
        <v>0</v>
      </c>
      <c r="AT503" s="543">
        <f>IF(AND(AT$4&lt;=$AH160,AT$4&gt;$V160),1,IF(AND(AT$4&lt;=$AI160,AT$4&gt;$AH160),2,IF(AND(AT$4&lt;=$AJ160,AT$4&gt;$AI160),3,IF(AND(AT$4&lt;=$AK160,AT$4&gt;$AJ160),4,IF(AND(AT$4&lt;=$AL160,AT$4&gt;$AK160),5,0)))))*'Detailed Assumptions'!$E$6</f>
        <v>0</v>
      </c>
      <c r="AU503" s="543">
        <f>IF(AND(AU$4&lt;=$AH160,AU$4&gt;$V160),1,IF(AND(AU$4&lt;=$AI160,AU$4&gt;$AH160),2,IF(AND(AU$4&lt;=$AJ160,AU$4&gt;$AI160),3,IF(AND(AU$4&lt;=$AK160,AU$4&gt;$AJ160),4,IF(AND(AU$4&lt;=$AL160,AU$4&gt;$AK160),5,0)))))*'Detailed Assumptions'!$E$6</f>
        <v>0</v>
      </c>
      <c r="AV503" s="543">
        <f>IF(AND(AV$4&lt;=$AH160,AV$4&gt;$V160),1,IF(AND(AV$4&lt;=$AI160,AV$4&gt;$AH160),2,IF(AND(AV$4&lt;=$AJ160,AV$4&gt;$AI160),3,IF(AND(AV$4&lt;=$AK160,AV$4&gt;$AJ160),4,IF(AND(AV$4&lt;=$AL160,AV$4&gt;$AK160),5,0)))))*'Detailed Assumptions'!$E$6</f>
        <v>0</v>
      </c>
      <c r="AW503" s="543">
        <f>IF(AND(AW$4&lt;=$AH160,AW$4&gt;$V160),1,IF(AND(AW$4&lt;=$AI160,AW$4&gt;$AH160),2,IF(AND(AW$4&lt;=$AJ160,AW$4&gt;$AI160),3,IF(AND(AW$4&lt;=$AK160,AW$4&gt;$AJ160),4,IF(AND(AW$4&lt;=$AL160,AW$4&gt;$AK160),5,0)))))*'Detailed Assumptions'!$E$6</f>
        <v>0</v>
      </c>
      <c r="AX503" s="543">
        <f>IF(AND(AX$4&lt;=$AH160,AX$4&gt;$V160),1,IF(AND(AX$4&lt;=$AI160,AX$4&gt;$AH160),2,IF(AND(AX$4&lt;=$AJ160,AX$4&gt;$AI160),3,IF(AND(AX$4&lt;=$AK160,AX$4&gt;$AJ160),4,IF(AND(AX$4&lt;=$AL160,AX$4&gt;$AK160),5,0)))))*'Detailed Assumptions'!$E$6</f>
        <v>0</v>
      </c>
      <c r="AY503" s="543">
        <f>IF(AND(AY$4&lt;=$AH160,AY$4&gt;$V160),1,IF(AND(AY$4&lt;=$AI160,AY$4&gt;$AH160),2,IF(AND(AY$4&lt;=$AJ160,AY$4&gt;$AI160),3,IF(AND(AY$4&lt;=$AK160,AY$4&gt;$AJ160),4,IF(AND(AY$4&lt;=$AL160,AY$4&gt;$AK160),5,0)))))*'Detailed Assumptions'!$E$6</f>
        <v>0</v>
      </c>
      <c r="AZ503" s="543">
        <f>IF(AND(AZ$4&lt;=$AH160,AZ$4&gt;$V160),1,IF(AND(AZ$4&lt;=$AI160,AZ$4&gt;$AH160),2,IF(AND(AZ$4&lt;=$AJ160,AZ$4&gt;$AI160),3,IF(AND(AZ$4&lt;=$AK160,AZ$4&gt;$AJ160),4,IF(AND(AZ$4&lt;=$AL160,AZ$4&gt;$AK160),5,0)))))*'Detailed Assumptions'!$E$6</f>
        <v>0</v>
      </c>
      <c r="BA503" s="543">
        <f>IF(AND(BA$4&lt;=$AH160,BA$4&gt;$V160),1,IF(AND(BA$4&lt;=$AI160,BA$4&gt;$AH160),2,IF(AND(BA$4&lt;=$AJ160,BA$4&gt;$AI160),3,IF(AND(BA$4&lt;=$AK160,BA$4&gt;$AJ160),4,IF(AND(BA$4&lt;=$AL160,BA$4&gt;$AK160),5,0)))))*'Detailed Assumptions'!$E$6</f>
        <v>0</v>
      </c>
      <c r="BB503" s="543">
        <f>IF(AND(BB$4&lt;=$AH160,BB$4&gt;$V160),1,IF(AND(BB$4&lt;=$AI160,BB$4&gt;$AH160),2,IF(AND(BB$4&lt;=$AJ160,BB$4&gt;$AI160),3,IF(AND(BB$4&lt;=$AK160,BB$4&gt;$AJ160),4,IF(AND(BB$4&lt;=$AL160,BB$4&gt;$AK160),5,0)))))*'Detailed Assumptions'!$E$6</f>
        <v>0</v>
      </c>
      <c r="BC503" s="543">
        <f>IF(AND(BC$4&lt;=$AH160,BC$4&gt;$V160),1,IF(AND(BC$4&lt;=$AI160,BC$4&gt;$AH160),2,IF(AND(BC$4&lt;=$AJ160,BC$4&gt;$AI160),3,IF(AND(BC$4&lt;=$AK160,BC$4&gt;$AJ160),4,IF(AND(BC$4&lt;=$AL160,BC$4&gt;$AK160),5,0)))))*'Detailed Assumptions'!$E$6</f>
        <v>0</v>
      </c>
      <c r="BD503" s="543">
        <f>IF(AND(BD$4&lt;=$AH160,BD$4&gt;$V160),1,IF(AND(BD$4&lt;=$AI160,BD$4&gt;$AH160),2,IF(AND(BD$4&lt;=$AJ160,BD$4&gt;$AI160),3,IF(AND(BD$4&lt;=$AK160,BD$4&gt;$AJ160),4,IF(AND(BD$4&lt;=$AL160,BD$4&gt;$AK160),5,0)))))*'Detailed Assumptions'!$E$6</f>
        <v>0</v>
      </c>
      <c r="BE503" s="543">
        <f>IF(AND(BE$4&lt;=$AH160,BE$4&gt;$V160),1,IF(AND(BE$4&lt;=$AI160,BE$4&gt;$AH160),2,IF(AND(BE$4&lt;=$AJ160,BE$4&gt;$AI160),3,IF(AND(BE$4&lt;=$AK160,BE$4&gt;$AJ160),4,IF(AND(BE$4&lt;=$AL160,BE$4&gt;$AK160),5,0)))))*'Detailed Assumptions'!$E$6</f>
        <v>0</v>
      </c>
      <c r="BF503" s="543">
        <f>IF(AND(BF$4&lt;=$AH160,BF$4&gt;$V160),1,IF(AND(BF$4&lt;=$AI160,BF$4&gt;$AH160),2,IF(AND(BF$4&lt;=$AJ160,BF$4&gt;$AI160),3,IF(AND(BF$4&lt;=$AK160,BF$4&gt;$AJ160),4,IF(AND(BF$4&lt;=$AL160,BF$4&gt;$AK160),5,0)))))*'Detailed Assumptions'!$E$6</f>
        <v>0</v>
      </c>
      <c r="BG503" s="543">
        <f>IF(AND(BG$4&lt;=$AH160,BG$4&gt;$V160),1,IF(AND(BG$4&lt;=$AI160,BG$4&gt;$AH160),2,IF(AND(BG$4&lt;=$AJ160,BG$4&gt;$AI160),3,IF(AND(BG$4&lt;=$AK160,BG$4&gt;$AJ160),4,IF(AND(BG$4&lt;=$AL160,BG$4&gt;$AK160),5,0)))))*'Detailed Assumptions'!$E$6</f>
        <v>0</v>
      </c>
      <c r="BH503" s="543">
        <f>IF(AND(BH$4&lt;=$AH160,BH$4&gt;$V160),1,IF(AND(BH$4&lt;=$AI160,BH$4&gt;$AH160),2,IF(AND(BH$4&lt;=$AJ160,BH$4&gt;$AI160),3,IF(AND(BH$4&lt;=$AK160,BH$4&gt;$AJ160),4,IF(AND(BH$4&lt;=$AL160,BH$4&gt;$AK160),5,0)))))*'Detailed Assumptions'!$E$6</f>
        <v>0</v>
      </c>
      <c r="BI503" s="543">
        <f>IF(AND(BI$4&lt;=$AH160,BI$4&gt;$V160),1,IF(AND(BI$4&lt;=$AI160,BI$4&gt;$AH160),2,IF(AND(BI$4&lt;=$AJ160,BI$4&gt;$AI160),3,IF(AND(BI$4&lt;=$AK160,BI$4&gt;$AJ160),4,IF(AND(BI$4&lt;=$AL160,BI$4&gt;$AK160),5,0)))))*'Detailed Assumptions'!$E$6</f>
        <v>0</v>
      </c>
      <c r="BJ503" s="543">
        <f>IF(AND(BJ$4&lt;=$AH160,BJ$4&gt;$V160),1,IF(AND(BJ$4&lt;=$AI160,BJ$4&gt;$AH160),2,IF(AND(BJ$4&lt;=$AJ160,BJ$4&gt;$AI160),3,IF(AND(BJ$4&lt;=$AK160,BJ$4&gt;$AJ160),4,IF(AND(BJ$4&lt;=$AL160,BJ$4&gt;$AK160),5,0)))))*'Detailed Assumptions'!$E$6</f>
        <v>0</v>
      </c>
      <c r="BK503" s="543">
        <f>IF(AND(BK$4&lt;=$AH160,BK$4&gt;$V160),1,IF(AND(BK$4&lt;=$AI160,BK$4&gt;$AH160),2,IF(AND(BK$4&lt;=$AJ160,BK$4&gt;$AI160),3,IF(AND(BK$4&lt;=$AK160,BK$4&gt;$AJ160),4,IF(AND(BK$4&lt;=$AL160,BK$4&gt;$AK160),5,0)))))*'Detailed Assumptions'!$E$6</f>
        <v>0</v>
      </c>
      <c r="BL503" s="543">
        <f>IF(AND(BL$4&lt;=$AH160,BL$4&gt;$V160),1,IF(AND(BL$4&lt;=$AI160,BL$4&gt;$AH160),2,IF(AND(BL$4&lt;=$AJ160,BL$4&gt;$AI160),3,IF(AND(BL$4&lt;=$AK160,BL$4&gt;$AJ160),4,IF(AND(BL$4&lt;=$AL160,BL$4&gt;$AK160),5,0)))))*'Detailed Assumptions'!$E$6</f>
        <v>0</v>
      </c>
      <c r="BM503" s="543">
        <f>IF(AND(BM$4&lt;=$AH160,BM$4&gt;$V160),1,IF(AND(BM$4&lt;=$AI160,BM$4&gt;$AH160),2,IF(AND(BM$4&lt;=$AJ160,BM$4&gt;$AI160),3,IF(AND(BM$4&lt;=$AK160,BM$4&gt;$AJ160),4,IF(AND(BM$4&lt;=$AL160,BM$4&gt;$AK160),5,0)))))*'Detailed Assumptions'!$E$6</f>
        <v>0</v>
      </c>
      <c r="BN503" s="543">
        <f>IF(AND(BN$4&lt;=$AH160,BN$4&gt;$V160),1,IF(AND(BN$4&lt;=$AI160,BN$4&gt;$AH160),2,IF(AND(BN$4&lt;=$AJ160,BN$4&gt;$AI160),3,IF(AND(BN$4&lt;=$AK160,BN$4&gt;$AJ160),4,IF(AND(BN$4&lt;=$AL160,BN$4&gt;$AK160),5,0)))))*'Detailed Assumptions'!$E$6</f>
        <v>0</v>
      </c>
      <c r="BO503" s="543">
        <f>IF(AND(BO$4&lt;=$AH160,BO$4&gt;$V160),1,IF(AND(BO$4&lt;=$AI160,BO$4&gt;$AH160),2,IF(AND(BO$4&lt;=$AJ160,BO$4&gt;$AI160),3,IF(AND(BO$4&lt;=$AK160,BO$4&gt;$AJ160),4,IF(AND(BO$4&lt;=$AL160,BO$4&gt;$AK160),5,0)))))*'Detailed Assumptions'!$E$6</f>
        <v>0</v>
      </c>
      <c r="BP503" s="543">
        <f>IF(AND(BP$4&lt;=$AH160,BP$4&gt;$V160),1,IF(AND(BP$4&lt;=$AI160,BP$4&gt;$AH160),2,IF(AND(BP$4&lt;=$AJ160,BP$4&gt;$AI160),3,IF(AND(BP$4&lt;=$AK160,BP$4&gt;$AJ160),4,IF(AND(BP$4&lt;=$AL160,BP$4&gt;$AK160),5,0)))))*'Detailed Assumptions'!$E$6</f>
        <v>0</v>
      </c>
      <c r="BQ503" s="543">
        <f>IF(AND(BQ$4&lt;=$AH160,BQ$4&gt;$V160),1,IF(AND(BQ$4&lt;=$AI160,BQ$4&gt;$AH160),2,IF(AND(BQ$4&lt;=$AJ160,BQ$4&gt;$AI160),3,IF(AND(BQ$4&lt;=$AK160,BQ$4&gt;$AJ160),4,IF(AND(BQ$4&lt;=$AL160,BQ$4&gt;$AK160),5,0)))))*'Detailed Assumptions'!$E$6</f>
        <v>0</v>
      </c>
      <c r="BR503" s="543">
        <f>IF(AND(BR$4&lt;=$AH160,BR$4&gt;$V160),1,IF(AND(BR$4&lt;=$AI160,BR$4&gt;$AH160),2,IF(AND(BR$4&lt;=$AJ160,BR$4&gt;$AI160),3,IF(AND(BR$4&lt;=$AK160,BR$4&gt;$AJ160),4,IF(AND(BR$4&lt;=$AL160,BR$4&gt;$AK160),5,0)))))*'Detailed Assumptions'!$E$6</f>
        <v>0</v>
      </c>
      <c r="BS503" s="543">
        <f>IF(AND(BS$4&lt;=$AH160,BS$4&gt;$V160),1,IF(AND(BS$4&lt;=$AI160,BS$4&gt;$AH160),2,IF(AND(BS$4&lt;=$AJ160,BS$4&gt;$AI160),3,IF(AND(BS$4&lt;=$AK160,BS$4&gt;$AJ160),4,IF(AND(BS$4&lt;=$AL160,BS$4&gt;$AK160),5,0)))))*'Detailed Assumptions'!$E$6</f>
        <v>0</v>
      </c>
      <c r="BT503" s="543">
        <f>IF(AND(BT$4&lt;=$AH160,BT$4&gt;$V160),1,IF(AND(BT$4&lt;=$AI160,BT$4&gt;$AH160),2,IF(AND(BT$4&lt;=$AJ160,BT$4&gt;$AI160),3,IF(AND(BT$4&lt;=$AK160,BT$4&gt;$AJ160),4,IF(AND(BT$4&lt;=$AL160,BT$4&gt;$AK160),5,0)))))*'Detailed Assumptions'!$E$6</f>
        <v>0</v>
      </c>
      <c r="BU503" s="543">
        <f>IF(AND(BU$4&lt;=$AH160,BU$4&gt;$V160),1,IF(AND(BU$4&lt;=$AI160,BU$4&gt;$AH160),2,IF(AND(BU$4&lt;=$AJ160,BU$4&gt;$AI160),3,IF(AND(BU$4&lt;=$AK160,BU$4&gt;$AJ160),4,IF(AND(BU$4&lt;=$AL160,BU$4&gt;$AK160),5,0)))))*'Detailed Assumptions'!$E$6</f>
        <v>0</v>
      </c>
      <c r="BV503" s="543">
        <f>IF(AND(BV$4&lt;=$AH160,BV$4&gt;$V160),1,IF(AND(BV$4&lt;=$AI160,BV$4&gt;$AH160),2,IF(AND(BV$4&lt;=$AJ160,BV$4&gt;$AI160),3,IF(AND(BV$4&lt;=$AK160,BV$4&gt;$AJ160),4,IF(AND(BV$4&lt;=$AL160,BV$4&gt;$AK160),5,0)))))*'Detailed Assumptions'!$E$6</f>
        <v>0</v>
      </c>
      <c r="BW503" s="543">
        <f>IF(AND(BW$4&lt;=$AH160,BW$4&gt;$V160),1,IF(AND(BW$4&lt;=$AI160,BW$4&gt;$AH160),2,IF(AND(BW$4&lt;=$AJ160,BW$4&gt;$AI160),3,IF(AND(BW$4&lt;=$AK160,BW$4&gt;$AJ160),4,IF(AND(BW$4&lt;=$AL160,BW$4&gt;$AK160),5,0)))))*'Detailed Assumptions'!$E$6</f>
        <v>0</v>
      </c>
      <c r="BX503" s="543">
        <f>IF(AND(BX$4&lt;=$AH160,BX$4&gt;$V160),1,IF(AND(BX$4&lt;=$AI160,BX$4&gt;$AH160),2,IF(AND(BX$4&lt;=$AJ160,BX$4&gt;$AI160),3,IF(AND(BX$4&lt;=$AK160,BX$4&gt;$AJ160),4,IF(AND(BX$4&lt;=$AL160,BX$4&gt;$AK160),5,0)))))*'Detailed Assumptions'!$E$6</f>
        <v>0</v>
      </c>
      <c r="BY503" s="543">
        <f>IF(AND(BY$4&lt;=$AH160,BY$4&gt;$V160),1,IF(AND(BY$4&lt;=$AI160,BY$4&gt;$AH160),2,IF(AND(BY$4&lt;=$AJ160,BY$4&gt;$AI160),3,IF(AND(BY$4&lt;=$AK160,BY$4&gt;$AJ160),4,IF(AND(BY$4&lt;=$AL160,BY$4&gt;$AK160),5,0)))))*'Detailed Assumptions'!$E$6</f>
        <v>0</v>
      </c>
    </row>
    <row r="504" spans="1:80" x14ac:dyDescent="0.3">
      <c r="C504" s="2"/>
      <c r="D504" s="2"/>
      <c r="E504" s="2"/>
      <c r="F504" s="2"/>
      <c r="G504" s="2"/>
      <c r="H504" s="2"/>
      <c r="R504" s="2"/>
      <c r="S504" s="2"/>
      <c r="T504" s="2"/>
      <c r="U504" s="2"/>
      <c r="V504" s="2"/>
      <c r="W504" s="2"/>
      <c r="X504" s="2"/>
      <c r="Y504" s="2"/>
      <c r="Z504" s="2"/>
      <c r="AA504" s="2"/>
      <c r="AB504" s="2"/>
      <c r="AC504" s="2"/>
      <c r="AD504" s="2"/>
      <c r="AE504" s="2"/>
      <c r="AF504" s="2"/>
      <c r="AG504" s="2"/>
      <c r="AH504" s="2"/>
      <c r="AI504" s="2"/>
      <c r="AJ504" s="2"/>
      <c r="AK504" s="2"/>
      <c r="AL504" s="2"/>
      <c r="AM504" s="2"/>
      <c r="AN504" s="525"/>
      <c r="AO504" s="525"/>
      <c r="AP504" s="525"/>
      <c r="AQ504" s="525"/>
      <c r="AR504" s="525"/>
      <c r="AS504" s="525"/>
      <c r="AT504" s="525"/>
      <c r="AU504" s="525"/>
      <c r="AV504" s="525"/>
      <c r="AW504" s="525"/>
      <c r="AX504" s="525"/>
      <c r="AY504" s="525"/>
      <c r="AZ504" s="525"/>
      <c r="BA504" s="525"/>
      <c r="BB504" s="525"/>
      <c r="BC504" s="525"/>
      <c r="BD504" s="525"/>
      <c r="BE504" s="525"/>
      <c r="BF504" s="525"/>
      <c r="BG504" s="525"/>
      <c r="BH504" s="525"/>
      <c r="BI504" s="525"/>
      <c r="BJ504" s="525"/>
      <c r="BK504" s="525"/>
      <c r="BL504" s="525"/>
      <c r="BM504" s="525"/>
      <c r="BN504" s="525"/>
      <c r="BO504" s="525"/>
      <c r="BP504" s="525"/>
      <c r="BQ504" s="525"/>
      <c r="BR504" s="525"/>
      <c r="BS504" s="525"/>
      <c r="BT504" s="525"/>
      <c r="BU504" s="525"/>
      <c r="BV504" s="525"/>
      <c r="BW504" s="525"/>
      <c r="BX504" s="525"/>
      <c r="BY504" s="525"/>
    </row>
    <row r="505" spans="1:80" x14ac:dyDescent="0.3">
      <c r="A505" s="3"/>
      <c r="C505" s="48" t="s">
        <v>37</v>
      </c>
      <c r="E505" s="49" t="s">
        <v>118</v>
      </c>
      <c r="F505" s="49"/>
      <c r="G505" s="49"/>
      <c r="H505" s="41"/>
      <c r="I505" s="49"/>
      <c r="J505" s="49"/>
      <c r="K505" s="49"/>
      <c r="L505" s="49"/>
      <c r="M505" s="49"/>
      <c r="N505" s="49"/>
      <c r="O505" s="49"/>
      <c r="P505" s="48"/>
      <c r="Q505" s="48"/>
      <c r="R505" s="49"/>
      <c r="S505" s="49"/>
      <c r="T505" s="49"/>
      <c r="U505" s="49"/>
      <c r="V505" s="49"/>
      <c r="W505" s="49"/>
      <c r="X505" s="49"/>
      <c r="Y505" s="49"/>
      <c r="Z505" s="49"/>
      <c r="AA505" s="49"/>
      <c r="AB505" s="49"/>
      <c r="AC505" s="49"/>
      <c r="AD505" s="49"/>
      <c r="AE505" s="49"/>
      <c r="AF505" s="49"/>
      <c r="AG505" s="49"/>
      <c r="AH505" s="49"/>
      <c r="AI505" s="49"/>
      <c r="AJ505" s="49"/>
      <c r="AK505" s="49"/>
      <c r="AL505" s="49"/>
      <c r="AM505" s="49"/>
      <c r="AN505" s="526"/>
      <c r="AO505" s="526"/>
      <c r="AP505" s="526"/>
      <c r="AQ505" s="526"/>
      <c r="AR505" s="526"/>
      <c r="AS505" s="526"/>
      <c r="AT505" s="526"/>
      <c r="AU505" s="526"/>
      <c r="AV505" s="526"/>
      <c r="AW505" s="526"/>
      <c r="AX505" s="526"/>
      <c r="AY505" s="526"/>
      <c r="AZ505" s="526"/>
      <c r="BA505" s="526"/>
      <c r="BB505" s="526"/>
      <c r="BC505" s="526"/>
      <c r="BD505" s="526"/>
      <c r="BE505" s="526"/>
      <c r="BF505" s="526"/>
      <c r="BG505" s="526"/>
      <c r="BH505" s="526"/>
      <c r="BI505" s="526"/>
      <c r="BJ505" s="526"/>
      <c r="BK505" s="526"/>
      <c r="BL505" s="526"/>
      <c r="BM505" s="526"/>
      <c r="BN505" s="526"/>
      <c r="BO505" s="526"/>
      <c r="BP505" s="526"/>
      <c r="BQ505" s="526"/>
      <c r="BR505" s="526"/>
      <c r="BS505" s="526"/>
      <c r="BT505" s="526"/>
      <c r="BU505" s="526"/>
      <c r="BV505" s="526"/>
      <c r="BW505" s="526"/>
      <c r="BX505" s="526"/>
      <c r="BY505" s="526"/>
      <c r="CB505" s="41"/>
    </row>
    <row r="506" spans="1:80" x14ac:dyDescent="0.3">
      <c r="A506" s="322"/>
      <c r="B506" s="322"/>
      <c r="C506" s="322">
        <f>INDEX(Index_Tab!$E$27:$E$30,MATCH($B$4,Index_Tab!$D$27:$D$30,0))</f>
        <v>1</v>
      </c>
      <c r="D506" s="322"/>
      <c r="E506" s="2"/>
      <c r="F506" s="2"/>
      <c r="G506" s="2"/>
      <c r="H506" s="41"/>
      <c r="I506" s="2"/>
      <c r="J506" s="2"/>
      <c r="K506" s="2"/>
      <c r="L506" s="2"/>
      <c r="M506" s="2"/>
      <c r="N506" s="2"/>
      <c r="O506" s="2"/>
      <c r="P506" s="10"/>
      <c r="Q506" s="41"/>
      <c r="R506" s="2"/>
      <c r="S506" s="2"/>
      <c r="T506" s="2"/>
      <c r="U506" s="2"/>
      <c r="V506" s="2"/>
      <c r="W506" s="2"/>
      <c r="X506" s="2"/>
      <c r="Y506" s="2"/>
      <c r="Z506" s="2"/>
      <c r="AA506" s="2"/>
      <c r="AB506" s="2"/>
      <c r="AC506" s="2"/>
      <c r="AD506" s="2"/>
      <c r="AE506" s="2"/>
      <c r="AF506" s="2"/>
      <c r="AG506" s="2"/>
      <c r="AH506" s="2"/>
      <c r="AI506" s="2"/>
      <c r="AJ506" s="2"/>
      <c r="AK506" s="2"/>
      <c r="AL506" s="2"/>
      <c r="AM506" s="2"/>
      <c r="AN506" s="525"/>
      <c r="AO506" s="525"/>
      <c r="AP506" s="525"/>
      <c r="AQ506" s="525"/>
      <c r="AR506" s="525"/>
      <c r="AS506" s="525"/>
      <c r="AT506" s="525"/>
      <c r="AU506" s="525"/>
      <c r="AV506" s="525"/>
      <c r="AW506" s="525"/>
      <c r="AX506" s="525"/>
      <c r="AY506" s="525"/>
      <c r="AZ506" s="525"/>
      <c r="BA506" s="525"/>
      <c r="BB506" s="525"/>
      <c r="BC506" s="525"/>
      <c r="BD506" s="525"/>
      <c r="BE506" s="525"/>
      <c r="BF506" s="525"/>
      <c r="BG506" s="525"/>
      <c r="BH506" s="525"/>
      <c r="BI506" s="525"/>
      <c r="BJ506" s="525"/>
      <c r="BK506" s="525"/>
      <c r="BL506" s="525"/>
      <c r="BM506" s="525"/>
      <c r="BN506" s="525"/>
      <c r="BO506" s="525"/>
      <c r="BP506" s="525"/>
      <c r="BQ506" s="525"/>
      <c r="BR506" s="525"/>
      <c r="BS506" s="525"/>
      <c r="BT506" s="525"/>
      <c r="BU506" s="525"/>
      <c r="BV506" s="525"/>
      <c r="BW506" s="525"/>
      <c r="BX506" s="525"/>
      <c r="BY506" s="525"/>
      <c r="CB506" s="41"/>
    </row>
    <row r="507" spans="1:80" x14ac:dyDescent="0.3">
      <c r="A507" s="322"/>
      <c r="B507" s="322" t="s">
        <v>48</v>
      </c>
      <c r="C507" s="322" cm="1">
        <f t="array" ref="C507">SUMPRODUCT((Index_Tab!$D$36:$D$45=$B507)*(Index_Tab!$E$35:$F$35=$B$3)*Index_Tab!$E$36:$F$45)</f>
        <v>3</v>
      </c>
      <c r="D507" s="322"/>
      <c r="E507" s="2" t="s">
        <v>373</v>
      </c>
      <c r="F507" s="54"/>
      <c r="G507" s="54"/>
      <c r="H507" s="37"/>
      <c r="I507" s="503">
        <v>6987.3222285185284</v>
      </c>
      <c r="J507" s="504" cm="1">
        <f t="array" ref="J507">I507*(1+INDEX(('Detailed Assumptions'!$D$59:$J$79,'Detailed Assumptions'!$L$59:$R$79,'Detailed Assumptions'!$T$59:$Z$79,'Detailed Assumptions'!$AB$59:$AH$79),$C507,J$2,$C$506))</f>
        <v>6987.3222285185284</v>
      </c>
      <c r="K507" s="504" cm="1">
        <f t="array" ref="K507">J507*(1+INDEX(('Detailed Assumptions'!$D$59:$J$79,'Detailed Assumptions'!$L$59:$R$79,'Detailed Assumptions'!$T$59:$Z$79,'Detailed Assumptions'!$AB$59:$AH$79),$C507,K$2,$C$506))</f>
        <v>6987.3222285185284</v>
      </c>
      <c r="L507" s="504" cm="1">
        <f t="array" ref="L507">K507*(1+INDEX(('Detailed Assumptions'!$D$59:$J$79,'Detailed Assumptions'!$L$59:$R$79,'Detailed Assumptions'!$T$59:$Z$79,'Detailed Assumptions'!$AB$59:$AH$79),$C507,L$2,$C$506))</f>
        <v>6987.3222285185284</v>
      </c>
      <c r="M507" s="504" cm="1">
        <f t="array" ref="M507">L507*(1+INDEX(('Detailed Assumptions'!$D$59:$J$79,'Detailed Assumptions'!$L$59:$R$79,'Detailed Assumptions'!$T$59:$Z$79,'Detailed Assumptions'!$AB$59:$AH$79),$C507,M$2,$C$506))</f>
        <v>6987.3222285185284</v>
      </c>
      <c r="N507" s="504" cm="1">
        <f t="array" ref="N507">M507*(1+INDEX(('Detailed Assumptions'!$D$59:$J$79,'Detailed Assumptions'!$L$59:$R$79,'Detailed Assumptions'!$T$59:$Z$79,'Detailed Assumptions'!$AB$59:$AH$79),$C507,N$2,$C$506))</f>
        <v>6987.3222285185284</v>
      </c>
      <c r="O507" s="8"/>
      <c r="P507" s="55">
        <f>IFERROR(((N507/I507)^(1/5))-1,0)</f>
        <v>0</v>
      </c>
      <c r="R507" s="519">
        <f t="shared" ref="R507:BY507" si="650">(INDEX($I507:$N507,MATCH(R$2,$I$3:$N$3,0)))/12</f>
        <v>582.27685237654407</v>
      </c>
      <c r="S507" s="519">
        <f t="shared" si="650"/>
        <v>582.27685237654407</v>
      </c>
      <c r="T507" s="519">
        <f t="shared" si="650"/>
        <v>582.27685237654407</v>
      </c>
      <c r="U507" s="519">
        <f t="shared" si="650"/>
        <v>582.27685237654407</v>
      </c>
      <c r="V507" s="519">
        <f t="shared" si="650"/>
        <v>582.27685237654407</v>
      </c>
      <c r="W507" s="519">
        <f t="shared" si="650"/>
        <v>582.27685237654407</v>
      </c>
      <c r="X507" s="519">
        <f t="shared" si="650"/>
        <v>582.27685237654407</v>
      </c>
      <c r="Y507" s="519">
        <f t="shared" si="650"/>
        <v>582.27685237654407</v>
      </c>
      <c r="Z507" s="519">
        <f t="shared" si="650"/>
        <v>582.27685237654407</v>
      </c>
      <c r="AA507" s="519">
        <f t="shared" si="650"/>
        <v>582.27685237654407</v>
      </c>
      <c r="AB507" s="519">
        <f t="shared" si="650"/>
        <v>582.27685237654407</v>
      </c>
      <c r="AC507" s="519">
        <f t="shared" si="650"/>
        <v>582.27685237654407</v>
      </c>
      <c r="AD507" s="519">
        <f t="shared" si="650"/>
        <v>582.27685237654407</v>
      </c>
      <c r="AE507" s="519">
        <f t="shared" si="650"/>
        <v>582.27685237654407</v>
      </c>
      <c r="AF507" s="519">
        <f t="shared" si="650"/>
        <v>582.27685237654407</v>
      </c>
      <c r="AG507" s="519">
        <f t="shared" si="650"/>
        <v>582.27685237654407</v>
      </c>
      <c r="AH507" s="519">
        <f t="shared" si="650"/>
        <v>582.27685237654407</v>
      </c>
      <c r="AI507" s="519">
        <f t="shared" si="650"/>
        <v>582.27685237654407</v>
      </c>
      <c r="AJ507" s="519">
        <f t="shared" si="650"/>
        <v>582.27685237654407</v>
      </c>
      <c r="AK507" s="519">
        <f t="shared" si="650"/>
        <v>582.27685237654407</v>
      </c>
      <c r="AL507" s="519">
        <f t="shared" si="650"/>
        <v>582.27685237654407</v>
      </c>
      <c r="AM507" s="519">
        <f t="shared" si="650"/>
        <v>582.27685237654407</v>
      </c>
      <c r="AN507" s="543">
        <f t="shared" si="650"/>
        <v>582.27685237654407</v>
      </c>
      <c r="AO507" s="543">
        <f t="shared" si="650"/>
        <v>582.27685237654407</v>
      </c>
      <c r="AP507" s="543">
        <f t="shared" si="650"/>
        <v>582.27685237654407</v>
      </c>
      <c r="AQ507" s="543">
        <f t="shared" si="650"/>
        <v>582.27685237654407</v>
      </c>
      <c r="AR507" s="543">
        <f t="shared" si="650"/>
        <v>582.27685237654407</v>
      </c>
      <c r="AS507" s="543">
        <f t="shared" si="650"/>
        <v>582.27685237654407</v>
      </c>
      <c r="AT507" s="543">
        <f t="shared" si="650"/>
        <v>582.27685237654407</v>
      </c>
      <c r="AU507" s="543">
        <f t="shared" si="650"/>
        <v>582.27685237654407</v>
      </c>
      <c r="AV507" s="543">
        <f t="shared" si="650"/>
        <v>582.27685237654407</v>
      </c>
      <c r="AW507" s="543">
        <f t="shared" si="650"/>
        <v>582.27685237654407</v>
      </c>
      <c r="AX507" s="543">
        <f t="shared" si="650"/>
        <v>582.27685237654407</v>
      </c>
      <c r="AY507" s="543">
        <f t="shared" si="650"/>
        <v>582.27685237654407</v>
      </c>
      <c r="AZ507" s="543">
        <f t="shared" si="650"/>
        <v>582.27685237654407</v>
      </c>
      <c r="BA507" s="543">
        <f t="shared" si="650"/>
        <v>582.27685237654407</v>
      </c>
      <c r="BB507" s="543">
        <f t="shared" si="650"/>
        <v>582.27685237654407</v>
      </c>
      <c r="BC507" s="543">
        <f t="shared" si="650"/>
        <v>582.27685237654407</v>
      </c>
      <c r="BD507" s="543">
        <f t="shared" si="650"/>
        <v>582.27685237654407</v>
      </c>
      <c r="BE507" s="543">
        <f t="shared" si="650"/>
        <v>582.27685237654407</v>
      </c>
      <c r="BF507" s="543">
        <f t="shared" si="650"/>
        <v>582.27685237654407</v>
      </c>
      <c r="BG507" s="543">
        <f t="shared" si="650"/>
        <v>582.27685237654407</v>
      </c>
      <c r="BH507" s="543">
        <f t="shared" si="650"/>
        <v>582.27685237654407</v>
      </c>
      <c r="BI507" s="543">
        <f t="shared" si="650"/>
        <v>582.27685237654407</v>
      </c>
      <c r="BJ507" s="543">
        <f t="shared" si="650"/>
        <v>582.27685237654407</v>
      </c>
      <c r="BK507" s="543">
        <f t="shared" si="650"/>
        <v>582.27685237654407</v>
      </c>
      <c r="BL507" s="543">
        <f t="shared" si="650"/>
        <v>582.27685237654407</v>
      </c>
      <c r="BM507" s="543">
        <f t="shared" si="650"/>
        <v>582.27685237654407</v>
      </c>
      <c r="BN507" s="543">
        <f t="shared" si="650"/>
        <v>582.27685237654407</v>
      </c>
      <c r="BO507" s="543">
        <f t="shared" si="650"/>
        <v>582.27685237654407</v>
      </c>
      <c r="BP507" s="543">
        <f t="shared" si="650"/>
        <v>582.27685237654407</v>
      </c>
      <c r="BQ507" s="543">
        <f t="shared" si="650"/>
        <v>582.27685237654407</v>
      </c>
      <c r="BR507" s="543">
        <f t="shared" si="650"/>
        <v>582.27685237654407</v>
      </c>
      <c r="BS507" s="543">
        <f t="shared" si="650"/>
        <v>582.27685237654407</v>
      </c>
      <c r="BT507" s="543">
        <f t="shared" si="650"/>
        <v>582.27685237654407</v>
      </c>
      <c r="BU507" s="543">
        <f t="shared" si="650"/>
        <v>582.27685237654407</v>
      </c>
      <c r="BV507" s="543">
        <f t="shared" si="650"/>
        <v>582.27685237654407</v>
      </c>
      <c r="BW507" s="543">
        <f t="shared" si="650"/>
        <v>582.27685237654407</v>
      </c>
      <c r="BX507" s="543">
        <f t="shared" si="650"/>
        <v>582.27685237654407</v>
      </c>
      <c r="BY507" s="543">
        <f t="shared" si="650"/>
        <v>582.27685237654407</v>
      </c>
      <c r="CB507" s="37"/>
    </row>
    <row r="508" spans="1:80" x14ac:dyDescent="0.3">
      <c r="A508" s="322"/>
      <c r="B508" s="322"/>
      <c r="C508" s="322" cm="1">
        <f t="array" ref="C508">SUMPRODUCT((Index_Tab!$D$36:$D$45=$B508)*(Index_Tab!$E$35:$F$35=$B$3)*Index_Tab!$E$36:$F$45)</f>
        <v>0</v>
      </c>
      <c r="D508" s="322"/>
      <c r="E508" s="2"/>
      <c r="F508" s="54"/>
      <c r="G508" s="54"/>
      <c r="H508" s="37"/>
      <c r="I508" s="37"/>
      <c r="J508" s="37"/>
      <c r="K508" s="37"/>
      <c r="L508" s="37"/>
      <c r="M508" s="37"/>
      <c r="N508" s="37"/>
      <c r="O508" s="37"/>
      <c r="P508" s="35"/>
      <c r="Q508" s="37"/>
      <c r="R508" s="37"/>
      <c r="S508" s="37"/>
      <c r="T508" s="37"/>
      <c r="U508" s="37"/>
      <c r="V508" s="37"/>
      <c r="W508" s="37"/>
      <c r="X508" s="37"/>
      <c r="Y508" s="37"/>
      <c r="Z508" s="37"/>
      <c r="AA508" s="37"/>
      <c r="AB508" s="37"/>
      <c r="AC508" s="37"/>
      <c r="AD508" s="37"/>
      <c r="AE508" s="37"/>
      <c r="AF508" s="37"/>
      <c r="AG508" s="37"/>
      <c r="AH508" s="37"/>
      <c r="AI508" s="37"/>
      <c r="AJ508" s="37"/>
      <c r="AK508" s="37"/>
      <c r="AL508" s="37"/>
      <c r="AM508" s="37"/>
      <c r="AN508" s="529"/>
      <c r="AO508" s="529"/>
      <c r="AP508" s="529"/>
      <c r="AQ508" s="529"/>
      <c r="AR508" s="529"/>
      <c r="AS508" s="529"/>
      <c r="AT508" s="529"/>
      <c r="AU508" s="529"/>
      <c r="AV508" s="529"/>
      <c r="AW508" s="529"/>
      <c r="AX508" s="529"/>
      <c r="AY508" s="529"/>
      <c r="AZ508" s="529"/>
      <c r="BA508" s="529"/>
      <c r="BB508" s="529"/>
      <c r="BC508" s="529"/>
      <c r="BD508" s="529"/>
      <c r="BE508" s="529"/>
      <c r="BF508" s="529"/>
      <c r="BG508" s="529"/>
      <c r="BH508" s="529"/>
      <c r="BI508" s="529"/>
      <c r="BJ508" s="529"/>
      <c r="BK508" s="529"/>
      <c r="BL508" s="529"/>
      <c r="BM508" s="529"/>
      <c r="BN508" s="529"/>
      <c r="BO508" s="529"/>
      <c r="BP508" s="529"/>
      <c r="BQ508" s="529"/>
      <c r="BR508" s="529"/>
      <c r="BS508" s="529"/>
      <c r="BT508" s="529"/>
      <c r="BU508" s="529"/>
      <c r="BV508" s="529"/>
      <c r="BW508" s="529"/>
      <c r="BX508" s="529"/>
      <c r="BY508" s="529"/>
      <c r="CB508" s="37"/>
    </row>
    <row r="509" spans="1:80" x14ac:dyDescent="0.3">
      <c r="A509" s="322"/>
      <c r="B509" s="322" t="s">
        <v>238</v>
      </c>
      <c r="C509" s="322" cm="1">
        <f t="array" ref="C509">SUMPRODUCT((Index_Tab!$D$36:$D$45=$B509)*(Index_Tab!$E$35:$F$35=$B$3)*Index_Tab!$E$36:$F$45)</f>
        <v>5</v>
      </c>
      <c r="D509" s="322"/>
      <c r="E509" s="2" t="s">
        <v>117</v>
      </c>
      <c r="F509" s="37"/>
      <c r="G509" s="37"/>
      <c r="H509" s="37"/>
      <c r="I509" s="497">
        <f>IFERROR(I512/I507,0)</f>
        <v>755.46747219638178</v>
      </c>
      <c r="J509" s="504" cm="1">
        <f t="array" ref="J509">(I509-'Detailed Assumptions'!$E$29)*(1+INDEX(('Detailed Assumptions'!$D$59:$J$79,'Detailed Assumptions'!$L$59:$R$79,'Detailed Assumptions'!$T$59:$Z$79,'Detailed Assumptions'!$AB$59:$AH$79),$C509,J$2,$C$506))+'Detailed Assumptions'!$E$29</f>
        <v>783.63451335353022</v>
      </c>
      <c r="K509" s="504" cm="1">
        <f t="array" ref="K509">(J509-'Detailed Assumptions'!$E$29)*(1+INDEX(('Detailed Assumptions'!$D$59:$J$79,'Detailed Assumptions'!$L$59:$R$79,'Detailed Assumptions'!$T$59:$Z$79,'Detailed Assumptions'!$AB$59:$AH$79),$C509,K$2,$C$506))+'Detailed Assumptions'!$E$29</f>
        <v>812.06984044483875</v>
      </c>
      <c r="L509" s="504" cm="1">
        <f t="array" ref="L509">(K509-'Detailed Assumptions'!$E$29)*(1+INDEX(('Detailed Assumptions'!$D$59:$J$79,'Detailed Assumptions'!$L$59:$R$79,'Detailed Assumptions'!$T$59:$Z$79,'Detailed Assumptions'!$AB$59:$AH$79),$C509,L$2,$C$506))+'Detailed Assumptions'!$E$29</f>
        <v>840.54822649718369</v>
      </c>
      <c r="M509" s="504" cm="1">
        <f t="array" ref="M509">(L509-'Detailed Assumptions'!$E$29)*(1+INDEX(('Detailed Assumptions'!$D$59:$J$79,'Detailed Assumptions'!$L$59:$R$79,'Detailed Assumptions'!$T$59:$Z$79,'Detailed Assumptions'!$AB$59:$AH$79),$C509,M$2,$C$506))+'Detailed Assumptions'!$E$29</f>
        <v>868.88295606342228</v>
      </c>
      <c r="N509" s="504" cm="1">
        <f t="array" ref="N509">(M509-'Detailed Assumptions'!$E$29)*(1+INDEX(('Detailed Assumptions'!$D$59:$J$79,'Detailed Assumptions'!$L$59:$R$79,'Detailed Assumptions'!$T$59:$Z$79,'Detailed Assumptions'!$AB$59:$AH$79),$C509,N$2,$C$506))+'Detailed Assumptions'!$E$29</f>
        <v>898.19214833587068</v>
      </c>
      <c r="O509" s="37"/>
      <c r="P509" s="55">
        <f>IFERROR(((N509/I509)^(1/5))-1,0)</f>
        <v>3.5215335384860991E-2</v>
      </c>
      <c r="Q509" s="37"/>
      <c r="R509" s="497">
        <f>(INDEX($I509:$N509,MATCH(R$2,$I$3:$N$3,0)))</f>
        <v>783.63451335353022</v>
      </c>
      <c r="S509" s="497">
        <f t="shared" ref="S509:BY509" si="651">(INDEX($I509:$N509,MATCH(S$2,$I$3:$N$3,0)))</f>
        <v>783.63451335353022</v>
      </c>
      <c r="T509" s="497">
        <f t="shared" si="651"/>
        <v>783.63451335353022</v>
      </c>
      <c r="U509" s="497">
        <f t="shared" si="651"/>
        <v>783.63451335353022</v>
      </c>
      <c r="V509" s="497">
        <f t="shared" si="651"/>
        <v>783.63451335353022</v>
      </c>
      <c r="W509" s="497">
        <f t="shared" si="651"/>
        <v>783.63451335353022</v>
      </c>
      <c r="X509" s="497">
        <f t="shared" si="651"/>
        <v>783.63451335353022</v>
      </c>
      <c r="Y509" s="497">
        <f t="shared" si="651"/>
        <v>783.63451335353022</v>
      </c>
      <c r="Z509" s="497">
        <f t="shared" si="651"/>
        <v>783.63451335353022</v>
      </c>
      <c r="AA509" s="497">
        <f t="shared" si="651"/>
        <v>783.63451335353022</v>
      </c>
      <c r="AB509" s="497">
        <f t="shared" si="651"/>
        <v>783.63451335353022</v>
      </c>
      <c r="AC509" s="497">
        <f t="shared" si="651"/>
        <v>783.63451335353022</v>
      </c>
      <c r="AD509" s="497">
        <f t="shared" si="651"/>
        <v>812.06984044483875</v>
      </c>
      <c r="AE509" s="497">
        <f t="shared" si="651"/>
        <v>812.06984044483875</v>
      </c>
      <c r="AF509" s="497">
        <f t="shared" si="651"/>
        <v>812.06984044483875</v>
      </c>
      <c r="AG509" s="497">
        <f t="shared" si="651"/>
        <v>812.06984044483875</v>
      </c>
      <c r="AH509" s="497">
        <f t="shared" si="651"/>
        <v>812.06984044483875</v>
      </c>
      <c r="AI509" s="497">
        <f t="shared" si="651"/>
        <v>812.06984044483875</v>
      </c>
      <c r="AJ509" s="497">
        <f t="shared" si="651"/>
        <v>812.06984044483875</v>
      </c>
      <c r="AK509" s="497">
        <f t="shared" si="651"/>
        <v>812.06984044483875</v>
      </c>
      <c r="AL509" s="497">
        <f t="shared" si="651"/>
        <v>812.06984044483875</v>
      </c>
      <c r="AM509" s="497">
        <f t="shared" si="651"/>
        <v>812.06984044483875</v>
      </c>
      <c r="AN509" s="527">
        <f t="shared" si="651"/>
        <v>812.06984044483875</v>
      </c>
      <c r="AO509" s="527">
        <f t="shared" si="651"/>
        <v>812.06984044483875</v>
      </c>
      <c r="AP509" s="527">
        <f t="shared" si="651"/>
        <v>840.54822649718369</v>
      </c>
      <c r="AQ509" s="527">
        <f t="shared" si="651"/>
        <v>840.54822649718369</v>
      </c>
      <c r="AR509" s="527">
        <f t="shared" si="651"/>
        <v>840.54822649718369</v>
      </c>
      <c r="AS509" s="527">
        <f t="shared" si="651"/>
        <v>840.54822649718369</v>
      </c>
      <c r="AT509" s="527">
        <f t="shared" si="651"/>
        <v>840.54822649718369</v>
      </c>
      <c r="AU509" s="527">
        <f t="shared" si="651"/>
        <v>840.54822649718369</v>
      </c>
      <c r="AV509" s="527">
        <f t="shared" si="651"/>
        <v>840.54822649718369</v>
      </c>
      <c r="AW509" s="527">
        <f t="shared" si="651"/>
        <v>840.54822649718369</v>
      </c>
      <c r="AX509" s="527">
        <f t="shared" si="651"/>
        <v>840.54822649718369</v>
      </c>
      <c r="AY509" s="527">
        <f t="shared" si="651"/>
        <v>840.54822649718369</v>
      </c>
      <c r="AZ509" s="527">
        <f t="shared" si="651"/>
        <v>840.54822649718369</v>
      </c>
      <c r="BA509" s="527">
        <f t="shared" si="651"/>
        <v>840.54822649718369</v>
      </c>
      <c r="BB509" s="527">
        <f t="shared" si="651"/>
        <v>868.88295606342228</v>
      </c>
      <c r="BC509" s="527">
        <f t="shared" si="651"/>
        <v>868.88295606342228</v>
      </c>
      <c r="BD509" s="527">
        <f t="shared" si="651"/>
        <v>868.88295606342228</v>
      </c>
      <c r="BE509" s="527">
        <f t="shared" si="651"/>
        <v>868.88295606342228</v>
      </c>
      <c r="BF509" s="527">
        <f t="shared" si="651"/>
        <v>868.88295606342228</v>
      </c>
      <c r="BG509" s="527">
        <f t="shared" si="651"/>
        <v>868.88295606342228</v>
      </c>
      <c r="BH509" s="527">
        <f t="shared" si="651"/>
        <v>868.88295606342228</v>
      </c>
      <c r="BI509" s="527">
        <f t="shared" si="651"/>
        <v>868.88295606342228</v>
      </c>
      <c r="BJ509" s="527">
        <f t="shared" si="651"/>
        <v>868.88295606342228</v>
      </c>
      <c r="BK509" s="527">
        <f t="shared" si="651"/>
        <v>868.88295606342228</v>
      </c>
      <c r="BL509" s="527">
        <f t="shared" si="651"/>
        <v>868.88295606342228</v>
      </c>
      <c r="BM509" s="527">
        <f t="shared" si="651"/>
        <v>868.88295606342228</v>
      </c>
      <c r="BN509" s="527">
        <f t="shared" si="651"/>
        <v>898.19214833587068</v>
      </c>
      <c r="BO509" s="527">
        <f t="shared" si="651"/>
        <v>898.19214833587068</v>
      </c>
      <c r="BP509" s="527">
        <f t="shared" si="651"/>
        <v>898.19214833587068</v>
      </c>
      <c r="BQ509" s="527">
        <f t="shared" si="651"/>
        <v>898.19214833587068</v>
      </c>
      <c r="BR509" s="527">
        <f t="shared" si="651"/>
        <v>898.19214833587068</v>
      </c>
      <c r="BS509" s="527">
        <f t="shared" si="651"/>
        <v>898.19214833587068</v>
      </c>
      <c r="BT509" s="527">
        <f t="shared" si="651"/>
        <v>898.19214833587068</v>
      </c>
      <c r="BU509" s="527">
        <f t="shared" si="651"/>
        <v>898.19214833587068</v>
      </c>
      <c r="BV509" s="527">
        <f t="shared" si="651"/>
        <v>898.19214833587068</v>
      </c>
      <c r="BW509" s="527">
        <f t="shared" si="651"/>
        <v>898.19214833587068</v>
      </c>
      <c r="BX509" s="527">
        <f t="shared" si="651"/>
        <v>898.19214833587068</v>
      </c>
      <c r="BY509" s="527">
        <f t="shared" si="651"/>
        <v>898.19214833587068</v>
      </c>
      <c r="CB509" s="37"/>
    </row>
    <row r="510" spans="1:80" x14ac:dyDescent="0.3">
      <c r="A510" s="322"/>
      <c r="B510" s="322"/>
      <c r="C510" s="322" cm="1">
        <f t="array" ref="C510">SUMPRODUCT((Index_Tab!$D$36:$D$45=$B510)*(Index_Tab!$E$35:$F$35=$B$3)*Index_Tab!$E$36:$F$45)</f>
        <v>0</v>
      </c>
      <c r="D510" s="322"/>
      <c r="E510" s="2"/>
      <c r="F510" s="37"/>
      <c r="G510" s="37"/>
      <c r="H510" s="37"/>
      <c r="I510" s="37"/>
      <c r="J510" s="37"/>
      <c r="K510" s="37"/>
      <c r="L510" s="37"/>
      <c r="M510" s="37"/>
      <c r="N510" s="37"/>
      <c r="O510" s="37"/>
      <c r="P510" s="35"/>
      <c r="Q510" s="37"/>
      <c r="R510" s="37"/>
      <c r="S510" s="37"/>
      <c r="T510" s="37"/>
      <c r="U510" s="37"/>
      <c r="V510" s="37"/>
      <c r="W510" s="37"/>
      <c r="X510" s="37"/>
      <c r="Y510" s="37"/>
      <c r="Z510" s="37"/>
      <c r="AA510" s="37"/>
      <c r="AB510" s="37"/>
      <c r="AC510" s="37"/>
      <c r="AD510" s="37"/>
      <c r="AE510" s="37"/>
      <c r="AF510" s="37"/>
      <c r="AG510" s="37"/>
      <c r="AH510" s="37"/>
      <c r="AI510" s="37"/>
      <c r="AJ510" s="37"/>
      <c r="AK510" s="37"/>
      <c r="AL510" s="37"/>
      <c r="AM510" s="37"/>
      <c r="AN510" s="529"/>
      <c r="AO510" s="529"/>
      <c r="AP510" s="529"/>
      <c r="AQ510" s="529"/>
      <c r="AR510" s="529"/>
      <c r="AS510" s="529"/>
      <c r="AT510" s="529"/>
      <c r="AU510" s="529"/>
      <c r="AV510" s="529"/>
      <c r="AW510" s="529"/>
      <c r="AX510" s="529"/>
      <c r="AY510" s="529"/>
      <c r="AZ510" s="529"/>
      <c r="BA510" s="529"/>
      <c r="BB510" s="529"/>
      <c r="BC510" s="529"/>
      <c r="BD510" s="529"/>
      <c r="BE510" s="529"/>
      <c r="BF510" s="529"/>
      <c r="BG510" s="529"/>
      <c r="BH510" s="529"/>
      <c r="BI510" s="529"/>
      <c r="BJ510" s="529"/>
      <c r="BK510" s="529"/>
      <c r="BL510" s="529"/>
      <c r="BM510" s="529"/>
      <c r="BN510" s="529"/>
      <c r="BO510" s="529"/>
      <c r="BP510" s="529"/>
      <c r="BQ510" s="529"/>
      <c r="BR510" s="529"/>
      <c r="BS510" s="529"/>
      <c r="BT510" s="529"/>
      <c r="BU510" s="529"/>
      <c r="BV510" s="529"/>
      <c r="BW510" s="529"/>
      <c r="BX510" s="529"/>
      <c r="BY510" s="529"/>
      <c r="CB510" s="37"/>
    </row>
    <row r="511" spans="1:80" x14ac:dyDescent="0.3">
      <c r="A511" s="322"/>
      <c r="B511" s="322"/>
      <c r="C511" s="322" cm="1">
        <f t="array" ref="C511">SUMPRODUCT((Index_Tab!$D$36:$D$45=$B511)*(Index_Tab!$E$35:$F$35=$B$3)*Index_Tab!$E$36:$F$45)</f>
        <v>0</v>
      </c>
      <c r="D511" s="322"/>
      <c r="E511" s="17" t="s">
        <v>22</v>
      </c>
      <c r="F511" s="37"/>
      <c r="G511" s="37"/>
      <c r="H511" s="37"/>
      <c r="I511" s="37"/>
      <c r="J511" s="169"/>
      <c r="K511" s="37"/>
      <c r="L511" s="37"/>
      <c r="M511" s="37"/>
      <c r="N511" s="37"/>
      <c r="O511" s="37"/>
      <c r="P511" s="35"/>
      <c r="Q511" s="37"/>
      <c r="R511" s="37"/>
      <c r="S511" s="37"/>
      <c r="T511" s="37"/>
      <c r="U511" s="37"/>
      <c r="V511" s="37"/>
      <c r="W511" s="37"/>
      <c r="X511" s="37"/>
      <c r="Y511" s="37"/>
      <c r="Z511" s="37"/>
      <c r="AA511" s="37"/>
      <c r="AB511" s="37"/>
      <c r="AC511" s="37"/>
      <c r="AD511" s="37"/>
      <c r="AE511" s="37"/>
      <c r="AF511" s="37"/>
      <c r="AG511" s="37"/>
      <c r="AH511" s="37"/>
      <c r="AI511" s="37"/>
      <c r="AJ511" s="37"/>
      <c r="AK511" s="37"/>
      <c r="AL511" s="37"/>
      <c r="AM511" s="37"/>
      <c r="AN511" s="529"/>
      <c r="AO511" s="529"/>
      <c r="AP511" s="529"/>
      <c r="AQ511" s="529"/>
      <c r="AR511" s="529"/>
      <c r="AS511" s="529"/>
      <c r="AT511" s="529"/>
      <c r="AU511" s="529"/>
      <c r="AV511" s="529"/>
      <c r="AW511" s="529"/>
      <c r="AX511" s="529"/>
      <c r="AY511" s="529"/>
      <c r="AZ511" s="529"/>
      <c r="BA511" s="529"/>
      <c r="BB511" s="529"/>
      <c r="BC511" s="529"/>
      <c r="BD511" s="529"/>
      <c r="BE511" s="529"/>
      <c r="BF511" s="529"/>
      <c r="BG511" s="529"/>
      <c r="BH511" s="529"/>
      <c r="BI511" s="529"/>
      <c r="BJ511" s="529"/>
      <c r="BK511" s="529"/>
      <c r="BL511" s="529"/>
      <c r="BM511" s="529"/>
      <c r="BN511" s="529"/>
      <c r="BO511" s="529"/>
      <c r="BP511" s="529"/>
      <c r="BQ511" s="529"/>
      <c r="BR511" s="529"/>
      <c r="BS511" s="529"/>
      <c r="BT511" s="529"/>
      <c r="BU511" s="529"/>
      <c r="BV511" s="529"/>
      <c r="BW511" s="529"/>
      <c r="BX511" s="529"/>
      <c r="BY511" s="529"/>
      <c r="CB511" s="37"/>
    </row>
    <row r="512" spans="1:80" x14ac:dyDescent="0.3">
      <c r="A512" s="322"/>
      <c r="B512" s="322" t="s">
        <v>0</v>
      </c>
      <c r="C512" s="322" cm="1">
        <f t="array" ref="C512">SUMPRODUCT((Index_Tab!$D$36:$D$45=$B512)*(Index_Tab!$E$35:$F$35=$B$3)*Index_Tab!$E$36:$F$45)</f>
        <v>0</v>
      </c>
      <c r="D512" s="322"/>
      <c r="E512" s="4" t="s">
        <v>388</v>
      </c>
      <c r="F512" s="5"/>
      <c r="G512" s="5"/>
      <c r="H512" s="37"/>
      <c r="I512" s="505">
        <v>5278694.6614004821</v>
      </c>
      <c r="J512" s="498">
        <f>J507*J509</f>
        <v>5475506.8541894211</v>
      </c>
      <c r="K512" s="498">
        <f>K507*K509</f>
        <v>5674193.6472497163</v>
      </c>
      <c r="L512" s="498">
        <f>L507*L509</f>
        <v>5873181.3071455983</v>
      </c>
      <c r="M512" s="498">
        <f>M507*M509</f>
        <v>6071165.1928828387</v>
      </c>
      <c r="N512" s="498">
        <f>N507*N509</f>
        <v>6275957.9635480409</v>
      </c>
      <c r="O512" s="57"/>
      <c r="P512" s="55">
        <f>IFERROR(((N512/I512)^(1/5))-1,0)</f>
        <v>3.5215335384860991E-2</v>
      </c>
      <c r="Q512" s="37"/>
      <c r="R512" s="498">
        <f>R507*R509</f>
        <v>456292.23784911848</v>
      </c>
      <c r="S512" s="498">
        <f t="shared" ref="S512:BY512" si="652">S507*S509</f>
        <v>456292.23784911848</v>
      </c>
      <c r="T512" s="498">
        <f t="shared" si="652"/>
        <v>456292.23784911848</v>
      </c>
      <c r="U512" s="498">
        <f t="shared" si="652"/>
        <v>456292.23784911848</v>
      </c>
      <c r="V512" s="498">
        <f t="shared" si="652"/>
        <v>456292.23784911848</v>
      </c>
      <c r="W512" s="498">
        <f t="shared" si="652"/>
        <v>456292.23784911848</v>
      </c>
      <c r="X512" s="498">
        <f t="shared" si="652"/>
        <v>456292.23784911848</v>
      </c>
      <c r="Y512" s="498">
        <f t="shared" si="652"/>
        <v>456292.23784911848</v>
      </c>
      <c r="Z512" s="498">
        <f t="shared" si="652"/>
        <v>456292.23784911848</v>
      </c>
      <c r="AA512" s="498">
        <f t="shared" si="652"/>
        <v>456292.23784911848</v>
      </c>
      <c r="AB512" s="498">
        <f t="shared" si="652"/>
        <v>456292.23784911848</v>
      </c>
      <c r="AC512" s="498">
        <f t="shared" si="652"/>
        <v>456292.23784911848</v>
      </c>
      <c r="AD512" s="498">
        <f t="shared" si="652"/>
        <v>472849.47060414305</v>
      </c>
      <c r="AE512" s="498">
        <f t="shared" si="652"/>
        <v>472849.47060414305</v>
      </c>
      <c r="AF512" s="498">
        <f t="shared" si="652"/>
        <v>472849.47060414305</v>
      </c>
      <c r="AG512" s="498">
        <f t="shared" si="652"/>
        <v>472849.47060414305</v>
      </c>
      <c r="AH512" s="498">
        <f t="shared" si="652"/>
        <v>472849.47060414305</v>
      </c>
      <c r="AI512" s="498">
        <f t="shared" si="652"/>
        <v>472849.47060414305</v>
      </c>
      <c r="AJ512" s="498">
        <f t="shared" si="652"/>
        <v>472849.47060414305</v>
      </c>
      <c r="AK512" s="498">
        <f t="shared" si="652"/>
        <v>472849.47060414305</v>
      </c>
      <c r="AL512" s="498">
        <f t="shared" si="652"/>
        <v>472849.47060414305</v>
      </c>
      <c r="AM512" s="498">
        <f t="shared" si="652"/>
        <v>472849.47060414305</v>
      </c>
      <c r="AN512" s="530">
        <f t="shared" si="652"/>
        <v>472849.47060414305</v>
      </c>
      <c r="AO512" s="530">
        <f t="shared" si="652"/>
        <v>472849.47060414305</v>
      </c>
      <c r="AP512" s="530">
        <f t="shared" si="652"/>
        <v>489431.77559546655</v>
      </c>
      <c r="AQ512" s="530">
        <f t="shared" si="652"/>
        <v>489431.77559546655</v>
      </c>
      <c r="AR512" s="530">
        <f t="shared" si="652"/>
        <v>489431.77559546655</v>
      </c>
      <c r="AS512" s="530">
        <f t="shared" si="652"/>
        <v>489431.77559546655</v>
      </c>
      <c r="AT512" s="530">
        <f t="shared" si="652"/>
        <v>489431.77559546655</v>
      </c>
      <c r="AU512" s="530">
        <f t="shared" si="652"/>
        <v>489431.77559546655</v>
      </c>
      <c r="AV512" s="530">
        <f t="shared" si="652"/>
        <v>489431.77559546655</v>
      </c>
      <c r="AW512" s="530">
        <f t="shared" si="652"/>
        <v>489431.77559546655</v>
      </c>
      <c r="AX512" s="530">
        <f t="shared" si="652"/>
        <v>489431.77559546655</v>
      </c>
      <c r="AY512" s="530">
        <f t="shared" si="652"/>
        <v>489431.77559546655</v>
      </c>
      <c r="AZ512" s="530">
        <f t="shared" si="652"/>
        <v>489431.77559546655</v>
      </c>
      <c r="BA512" s="530">
        <f t="shared" si="652"/>
        <v>489431.77559546655</v>
      </c>
      <c r="BB512" s="530">
        <f t="shared" si="652"/>
        <v>505930.43274023657</v>
      </c>
      <c r="BC512" s="530">
        <f t="shared" si="652"/>
        <v>505930.43274023657</v>
      </c>
      <c r="BD512" s="530">
        <f t="shared" si="652"/>
        <v>505930.43274023657</v>
      </c>
      <c r="BE512" s="530">
        <f t="shared" si="652"/>
        <v>505930.43274023657</v>
      </c>
      <c r="BF512" s="530">
        <f t="shared" si="652"/>
        <v>505930.43274023657</v>
      </c>
      <c r="BG512" s="530">
        <f t="shared" si="652"/>
        <v>505930.43274023657</v>
      </c>
      <c r="BH512" s="530">
        <f t="shared" si="652"/>
        <v>505930.43274023657</v>
      </c>
      <c r="BI512" s="530">
        <f t="shared" si="652"/>
        <v>505930.43274023657</v>
      </c>
      <c r="BJ512" s="530">
        <f t="shared" si="652"/>
        <v>505930.43274023657</v>
      </c>
      <c r="BK512" s="530">
        <f t="shared" si="652"/>
        <v>505930.43274023657</v>
      </c>
      <c r="BL512" s="530">
        <f t="shared" si="652"/>
        <v>505930.43274023657</v>
      </c>
      <c r="BM512" s="530">
        <f t="shared" si="652"/>
        <v>505930.43274023657</v>
      </c>
      <c r="BN512" s="530">
        <f t="shared" si="652"/>
        <v>522996.49696233677</v>
      </c>
      <c r="BO512" s="530">
        <f t="shared" si="652"/>
        <v>522996.49696233677</v>
      </c>
      <c r="BP512" s="530">
        <f t="shared" si="652"/>
        <v>522996.49696233677</v>
      </c>
      <c r="BQ512" s="530">
        <f t="shared" si="652"/>
        <v>522996.49696233677</v>
      </c>
      <c r="BR512" s="530">
        <f t="shared" si="652"/>
        <v>522996.49696233677</v>
      </c>
      <c r="BS512" s="530">
        <f t="shared" si="652"/>
        <v>522996.49696233677</v>
      </c>
      <c r="BT512" s="530">
        <f t="shared" si="652"/>
        <v>522996.49696233677</v>
      </c>
      <c r="BU512" s="530">
        <f t="shared" si="652"/>
        <v>522996.49696233677</v>
      </c>
      <c r="BV512" s="530">
        <f t="shared" si="652"/>
        <v>522996.49696233677</v>
      </c>
      <c r="BW512" s="530">
        <f t="shared" si="652"/>
        <v>522996.49696233677</v>
      </c>
      <c r="BX512" s="530">
        <f t="shared" si="652"/>
        <v>522996.49696233677</v>
      </c>
      <c r="BY512" s="530">
        <f t="shared" si="652"/>
        <v>522996.49696233677</v>
      </c>
      <c r="CB512" s="37"/>
    </row>
    <row r="513" spans="1:80" x14ac:dyDescent="0.3">
      <c r="A513" s="322"/>
      <c r="B513" s="322" t="s">
        <v>1</v>
      </c>
      <c r="C513" s="322" cm="1">
        <f t="array" ref="C513">SUMPRODUCT((Index_Tab!$D$36:$D$45=$B513)*(Index_Tab!$E$35:$F$35=$B$3)*Index_Tab!$E$36:$F$45)</f>
        <v>7</v>
      </c>
      <c r="D513" s="322"/>
      <c r="E513" s="2" t="s">
        <v>387</v>
      </c>
      <c r="F513" s="54"/>
      <c r="G513" s="54"/>
      <c r="H513" s="37"/>
      <c r="I513" s="67">
        <v>-1520580.2432319769</v>
      </c>
      <c r="J513" s="504" cm="1">
        <f t="array" ref="J513">((((I513/I$507+'Detailed Assumptions'!$E$29)*(1+INDEX(('Detailed Assumptions'!$D$59:$J$79,'Detailed Assumptions'!$L$59:$R$79,'Detailed Assumptions'!$T$59:$Z$79,'Detailed Assumptions'!$AB$59:$AH$79),$C513,J$2,$C$506))))-'Detailed Assumptions'!$E$29)*J$507</f>
        <v>-1533523.5425253201</v>
      </c>
      <c r="K513" s="504" cm="1">
        <f t="array" ref="K513">((((J513/J$507+'Detailed Assumptions'!$E$29)*(1+INDEX(('Detailed Assumptions'!$D$59:$J$79,'Detailed Assumptions'!$L$59:$R$79,'Detailed Assumptions'!$T$59:$Z$79,'Detailed Assumptions'!$AB$59:$AH$79),$C513,K$2,$C$506))))-'Detailed Assumptions'!$E$29)*K$507</f>
        <v>-1546725.7078045302</v>
      </c>
      <c r="L513" s="504" cm="1">
        <f t="array" ref="L513">((((K513/K$507+'Detailed Assumptions'!$E$29)*(1+INDEX(('Detailed Assumptions'!$D$59:$J$79,'Detailed Assumptions'!$L$59:$R$79,'Detailed Assumptions'!$T$59:$Z$79,'Detailed Assumptions'!$AB$59:$AH$79),$C513,L$2,$C$506))))-'Detailed Assumptions'!$E$29)*L$507</f>
        <v>-1560191.9163893242</v>
      </c>
      <c r="M513" s="504" cm="1">
        <f t="array" ref="M513">((((L513/L$507+'Detailed Assumptions'!$E$29)*(1+INDEX(('Detailed Assumptions'!$D$59:$J$79,'Detailed Assumptions'!$L$59:$R$79,'Detailed Assumptions'!$T$59:$Z$79,'Detailed Assumptions'!$AB$59:$AH$79),$C513,M$2,$C$506))))-'Detailed Assumptions'!$E$29)*M$507</f>
        <v>-1573927.4491458144</v>
      </c>
      <c r="N513" s="504" cm="1">
        <f t="array" ref="N513">((((M513/M$507+'Detailed Assumptions'!$E$29)*(1+INDEX(('Detailed Assumptions'!$D$59:$J$79,'Detailed Assumptions'!$L$59:$R$79,'Detailed Assumptions'!$T$59:$Z$79,'Detailed Assumptions'!$AB$59:$AH$79),$C513,N$2,$C$506))))-'Detailed Assumptions'!$E$29)*N$507</f>
        <v>-1587937.6925574343</v>
      </c>
      <c r="O513" s="37"/>
      <c r="P513" s="50">
        <f t="shared" ref="P513:P518" si="653">IFERROR(((N513/I513)^(1/5))-1,0)</f>
        <v>8.7065080029595787E-3</v>
      </c>
      <c r="Q513" s="37"/>
      <c r="R513" s="497">
        <f t="shared" ref="R513:AG514" si="654">(INDEX($I513:$N513,MATCH(R$2,$I$3:$N$3,0)))/12</f>
        <v>-127793.62854377668</v>
      </c>
      <c r="S513" s="497">
        <f t="shared" si="654"/>
        <v>-127793.62854377668</v>
      </c>
      <c r="T513" s="497">
        <f t="shared" si="654"/>
        <v>-127793.62854377668</v>
      </c>
      <c r="U513" s="497">
        <f t="shared" si="654"/>
        <v>-127793.62854377668</v>
      </c>
      <c r="V513" s="497">
        <f t="shared" si="654"/>
        <v>-127793.62854377668</v>
      </c>
      <c r="W513" s="497">
        <f t="shared" si="654"/>
        <v>-127793.62854377668</v>
      </c>
      <c r="X513" s="497">
        <f t="shared" si="654"/>
        <v>-127793.62854377668</v>
      </c>
      <c r="Y513" s="497">
        <f t="shared" si="654"/>
        <v>-127793.62854377668</v>
      </c>
      <c r="Z513" s="497">
        <f t="shared" si="654"/>
        <v>-127793.62854377668</v>
      </c>
      <c r="AA513" s="497">
        <f t="shared" si="654"/>
        <v>-127793.62854377668</v>
      </c>
      <c r="AB513" s="497">
        <f t="shared" si="654"/>
        <v>-127793.62854377668</v>
      </c>
      <c r="AC513" s="497">
        <f t="shared" si="654"/>
        <v>-127793.62854377668</v>
      </c>
      <c r="AD513" s="497">
        <f t="shared" si="654"/>
        <v>-128893.80898371084</v>
      </c>
      <c r="AE513" s="497">
        <f t="shared" si="654"/>
        <v>-128893.80898371084</v>
      </c>
      <c r="AF513" s="497">
        <f t="shared" si="654"/>
        <v>-128893.80898371084</v>
      </c>
      <c r="AG513" s="497">
        <f t="shared" si="654"/>
        <v>-128893.80898371084</v>
      </c>
      <c r="AH513" s="497">
        <f t="shared" ref="AH513:AW514" si="655">(INDEX($I513:$N513,MATCH(AH$2,$I$3:$N$3,0)))/12</f>
        <v>-128893.80898371084</v>
      </c>
      <c r="AI513" s="497">
        <f t="shared" si="655"/>
        <v>-128893.80898371084</v>
      </c>
      <c r="AJ513" s="497">
        <f t="shared" si="655"/>
        <v>-128893.80898371084</v>
      </c>
      <c r="AK513" s="497">
        <f t="shared" si="655"/>
        <v>-128893.80898371084</v>
      </c>
      <c r="AL513" s="497">
        <f t="shared" si="655"/>
        <v>-128893.80898371084</v>
      </c>
      <c r="AM513" s="497">
        <f t="shared" si="655"/>
        <v>-128893.80898371084</v>
      </c>
      <c r="AN513" s="527">
        <f t="shared" si="655"/>
        <v>-128893.80898371084</v>
      </c>
      <c r="AO513" s="527">
        <f t="shared" si="655"/>
        <v>-128893.80898371084</v>
      </c>
      <c r="AP513" s="527">
        <f t="shared" si="655"/>
        <v>-130015.99303244369</v>
      </c>
      <c r="AQ513" s="527">
        <f t="shared" si="655"/>
        <v>-130015.99303244369</v>
      </c>
      <c r="AR513" s="527">
        <f t="shared" si="655"/>
        <v>-130015.99303244369</v>
      </c>
      <c r="AS513" s="527">
        <f t="shared" si="655"/>
        <v>-130015.99303244369</v>
      </c>
      <c r="AT513" s="527">
        <f t="shared" si="655"/>
        <v>-130015.99303244369</v>
      </c>
      <c r="AU513" s="527">
        <f t="shared" si="655"/>
        <v>-130015.99303244369</v>
      </c>
      <c r="AV513" s="527">
        <f t="shared" si="655"/>
        <v>-130015.99303244369</v>
      </c>
      <c r="AW513" s="527">
        <f t="shared" si="655"/>
        <v>-130015.99303244369</v>
      </c>
      <c r="AX513" s="527">
        <f t="shared" ref="AX513:BM514" si="656">(INDEX($I513:$N513,MATCH(AX$2,$I$3:$N$3,0)))/12</f>
        <v>-130015.99303244369</v>
      </c>
      <c r="AY513" s="527">
        <f t="shared" si="656"/>
        <v>-130015.99303244369</v>
      </c>
      <c r="AZ513" s="527">
        <f t="shared" si="656"/>
        <v>-130015.99303244369</v>
      </c>
      <c r="BA513" s="527">
        <f t="shared" si="656"/>
        <v>-130015.99303244369</v>
      </c>
      <c r="BB513" s="527">
        <f t="shared" si="656"/>
        <v>-131160.6207621512</v>
      </c>
      <c r="BC513" s="527">
        <f t="shared" si="656"/>
        <v>-131160.6207621512</v>
      </c>
      <c r="BD513" s="527">
        <f t="shared" si="656"/>
        <v>-131160.6207621512</v>
      </c>
      <c r="BE513" s="527">
        <f t="shared" si="656"/>
        <v>-131160.6207621512</v>
      </c>
      <c r="BF513" s="527">
        <f t="shared" si="656"/>
        <v>-131160.6207621512</v>
      </c>
      <c r="BG513" s="527">
        <f t="shared" si="656"/>
        <v>-131160.6207621512</v>
      </c>
      <c r="BH513" s="527">
        <f t="shared" si="656"/>
        <v>-131160.6207621512</v>
      </c>
      <c r="BI513" s="527">
        <f t="shared" si="656"/>
        <v>-131160.6207621512</v>
      </c>
      <c r="BJ513" s="527">
        <f t="shared" si="656"/>
        <v>-131160.6207621512</v>
      </c>
      <c r="BK513" s="527">
        <f t="shared" si="656"/>
        <v>-131160.6207621512</v>
      </c>
      <c r="BL513" s="527">
        <f t="shared" si="656"/>
        <v>-131160.6207621512</v>
      </c>
      <c r="BM513" s="527">
        <f t="shared" si="656"/>
        <v>-131160.6207621512</v>
      </c>
      <c r="BN513" s="527">
        <f t="shared" ref="BN513:BY514" si="657">(INDEX($I513:$N513,MATCH(BN$2,$I$3:$N$3,0)))/12</f>
        <v>-132328.14104645286</v>
      </c>
      <c r="BO513" s="527">
        <f t="shared" si="657"/>
        <v>-132328.14104645286</v>
      </c>
      <c r="BP513" s="527">
        <f t="shared" si="657"/>
        <v>-132328.14104645286</v>
      </c>
      <c r="BQ513" s="527">
        <f t="shared" si="657"/>
        <v>-132328.14104645286</v>
      </c>
      <c r="BR513" s="527">
        <f t="shared" si="657"/>
        <v>-132328.14104645286</v>
      </c>
      <c r="BS513" s="527">
        <f t="shared" si="657"/>
        <v>-132328.14104645286</v>
      </c>
      <c r="BT513" s="527">
        <f t="shared" si="657"/>
        <v>-132328.14104645286</v>
      </c>
      <c r="BU513" s="527">
        <f t="shared" si="657"/>
        <v>-132328.14104645286</v>
      </c>
      <c r="BV513" s="527">
        <f t="shared" si="657"/>
        <v>-132328.14104645286</v>
      </c>
      <c r="BW513" s="527">
        <f t="shared" si="657"/>
        <v>-132328.14104645286</v>
      </c>
      <c r="BX513" s="527">
        <f t="shared" si="657"/>
        <v>-132328.14104645286</v>
      </c>
      <c r="BY513" s="527">
        <f t="shared" si="657"/>
        <v>-132328.14104645286</v>
      </c>
      <c r="CB513" s="37"/>
    </row>
    <row r="514" spans="1:80" x14ac:dyDescent="0.3">
      <c r="A514" s="322"/>
      <c r="B514" s="322" t="s">
        <v>2</v>
      </c>
      <c r="C514" s="322" cm="1">
        <f t="array" ref="C514">SUMPRODUCT((Index_Tab!$D$36:$D$45=$B514)*(Index_Tab!$E$35:$F$35=$B$3)*Index_Tab!$E$36:$F$45)</f>
        <v>0</v>
      </c>
      <c r="D514" s="322"/>
      <c r="E514" s="2" t="s">
        <v>386</v>
      </c>
      <c r="F514" s="54"/>
      <c r="G514" s="54"/>
      <c r="H514" s="37"/>
      <c r="I514" s="67">
        <v>-297555.69751295121</v>
      </c>
      <c r="J514" s="504">
        <f>((I514/I$507)*(1+'Detailed Assumptions'!F$44))*J$507</f>
        <v>-303506.81146321027</v>
      </c>
      <c r="K514" s="504">
        <f>((J514/J$507)*(1+'Detailed Assumptions'!G$44))*K$507</f>
        <v>-309576.94769247447</v>
      </c>
      <c r="L514" s="504">
        <f>((K514/K$507)*(1+'Detailed Assumptions'!H$44))*L$507</f>
        <v>-315768.48664632399</v>
      </c>
      <c r="M514" s="504">
        <f>((L514/L$507)*(1+'Detailed Assumptions'!I$44))*M$507</f>
        <v>-322083.85637925053</v>
      </c>
      <c r="N514" s="504">
        <f>((M514/M$507)*(1+'Detailed Assumptions'!J$44))*N$507</f>
        <v>-328525.53350683552</v>
      </c>
      <c r="O514" s="37"/>
      <c r="P514" s="50">
        <f t="shared" si="653"/>
        <v>2.0000000000000018E-2</v>
      </c>
      <c r="Q514" s="37"/>
      <c r="R514" s="497">
        <f t="shared" si="654"/>
        <v>-25292.234288600856</v>
      </c>
      <c r="S514" s="497">
        <f t="shared" si="654"/>
        <v>-25292.234288600856</v>
      </c>
      <c r="T514" s="497">
        <f t="shared" si="654"/>
        <v>-25292.234288600856</v>
      </c>
      <c r="U514" s="497">
        <f t="shared" si="654"/>
        <v>-25292.234288600856</v>
      </c>
      <c r="V514" s="497">
        <f t="shared" si="654"/>
        <v>-25292.234288600856</v>
      </c>
      <c r="W514" s="497">
        <f t="shared" si="654"/>
        <v>-25292.234288600856</v>
      </c>
      <c r="X514" s="497">
        <f t="shared" si="654"/>
        <v>-25292.234288600856</v>
      </c>
      <c r="Y514" s="497">
        <f t="shared" si="654"/>
        <v>-25292.234288600856</v>
      </c>
      <c r="Z514" s="497">
        <f t="shared" si="654"/>
        <v>-25292.234288600856</v>
      </c>
      <c r="AA514" s="497">
        <f t="shared" si="654"/>
        <v>-25292.234288600856</v>
      </c>
      <c r="AB514" s="497">
        <f t="shared" si="654"/>
        <v>-25292.234288600856</v>
      </c>
      <c r="AC514" s="497">
        <f t="shared" si="654"/>
        <v>-25292.234288600856</v>
      </c>
      <c r="AD514" s="497">
        <f t="shared" si="654"/>
        <v>-25798.078974372871</v>
      </c>
      <c r="AE514" s="497">
        <f t="shared" si="654"/>
        <v>-25798.078974372871</v>
      </c>
      <c r="AF514" s="497">
        <f t="shared" si="654"/>
        <v>-25798.078974372871</v>
      </c>
      <c r="AG514" s="497">
        <f t="shared" si="654"/>
        <v>-25798.078974372871</v>
      </c>
      <c r="AH514" s="497">
        <f t="shared" si="655"/>
        <v>-25798.078974372871</v>
      </c>
      <c r="AI514" s="497">
        <f t="shared" si="655"/>
        <v>-25798.078974372871</v>
      </c>
      <c r="AJ514" s="497">
        <f t="shared" si="655"/>
        <v>-25798.078974372871</v>
      </c>
      <c r="AK514" s="497">
        <f t="shared" si="655"/>
        <v>-25798.078974372871</v>
      </c>
      <c r="AL514" s="497">
        <f t="shared" si="655"/>
        <v>-25798.078974372871</v>
      </c>
      <c r="AM514" s="497">
        <f t="shared" si="655"/>
        <v>-25798.078974372871</v>
      </c>
      <c r="AN514" s="527">
        <f t="shared" si="655"/>
        <v>-25798.078974372871</v>
      </c>
      <c r="AO514" s="527">
        <f t="shared" si="655"/>
        <v>-25798.078974372871</v>
      </c>
      <c r="AP514" s="527">
        <f t="shared" si="655"/>
        <v>-26314.040553860334</v>
      </c>
      <c r="AQ514" s="527">
        <f t="shared" si="655"/>
        <v>-26314.040553860334</v>
      </c>
      <c r="AR514" s="527">
        <f t="shared" si="655"/>
        <v>-26314.040553860334</v>
      </c>
      <c r="AS514" s="527">
        <f t="shared" si="655"/>
        <v>-26314.040553860334</v>
      </c>
      <c r="AT514" s="527">
        <f t="shared" si="655"/>
        <v>-26314.040553860334</v>
      </c>
      <c r="AU514" s="527">
        <f t="shared" si="655"/>
        <v>-26314.040553860334</v>
      </c>
      <c r="AV514" s="527">
        <f t="shared" si="655"/>
        <v>-26314.040553860334</v>
      </c>
      <c r="AW514" s="527">
        <f t="shared" si="655"/>
        <v>-26314.040553860334</v>
      </c>
      <c r="AX514" s="527">
        <f t="shared" si="656"/>
        <v>-26314.040553860334</v>
      </c>
      <c r="AY514" s="527">
        <f t="shared" si="656"/>
        <v>-26314.040553860334</v>
      </c>
      <c r="AZ514" s="527">
        <f t="shared" si="656"/>
        <v>-26314.040553860334</v>
      </c>
      <c r="BA514" s="527">
        <f t="shared" si="656"/>
        <v>-26314.040553860334</v>
      </c>
      <c r="BB514" s="527">
        <f t="shared" si="656"/>
        <v>-26840.321364937543</v>
      </c>
      <c r="BC514" s="527">
        <f t="shared" si="656"/>
        <v>-26840.321364937543</v>
      </c>
      <c r="BD514" s="527">
        <f t="shared" si="656"/>
        <v>-26840.321364937543</v>
      </c>
      <c r="BE514" s="527">
        <f t="shared" si="656"/>
        <v>-26840.321364937543</v>
      </c>
      <c r="BF514" s="527">
        <f t="shared" si="656"/>
        <v>-26840.321364937543</v>
      </c>
      <c r="BG514" s="527">
        <f t="shared" si="656"/>
        <v>-26840.321364937543</v>
      </c>
      <c r="BH514" s="527">
        <f t="shared" si="656"/>
        <v>-26840.321364937543</v>
      </c>
      <c r="BI514" s="527">
        <f t="shared" si="656"/>
        <v>-26840.321364937543</v>
      </c>
      <c r="BJ514" s="527">
        <f t="shared" si="656"/>
        <v>-26840.321364937543</v>
      </c>
      <c r="BK514" s="527">
        <f t="shared" si="656"/>
        <v>-26840.321364937543</v>
      </c>
      <c r="BL514" s="527">
        <f t="shared" si="656"/>
        <v>-26840.321364937543</v>
      </c>
      <c r="BM514" s="527">
        <f t="shared" si="656"/>
        <v>-26840.321364937543</v>
      </c>
      <c r="BN514" s="527">
        <f t="shared" si="657"/>
        <v>-27377.127792236293</v>
      </c>
      <c r="BO514" s="527">
        <f t="shared" si="657"/>
        <v>-27377.127792236293</v>
      </c>
      <c r="BP514" s="527">
        <f t="shared" si="657"/>
        <v>-27377.127792236293</v>
      </c>
      <c r="BQ514" s="527">
        <f t="shared" si="657"/>
        <v>-27377.127792236293</v>
      </c>
      <c r="BR514" s="527">
        <f t="shared" si="657"/>
        <v>-27377.127792236293</v>
      </c>
      <c r="BS514" s="527">
        <f t="shared" si="657"/>
        <v>-27377.127792236293</v>
      </c>
      <c r="BT514" s="527">
        <f t="shared" si="657"/>
        <v>-27377.127792236293</v>
      </c>
      <c r="BU514" s="527">
        <f t="shared" si="657"/>
        <v>-27377.127792236293</v>
      </c>
      <c r="BV514" s="527">
        <f t="shared" si="657"/>
        <v>-27377.127792236293</v>
      </c>
      <c r="BW514" s="527">
        <f t="shared" si="657"/>
        <v>-27377.127792236293</v>
      </c>
      <c r="BX514" s="527">
        <f t="shared" si="657"/>
        <v>-27377.127792236293</v>
      </c>
      <c r="BY514" s="527">
        <f t="shared" si="657"/>
        <v>-27377.127792236293</v>
      </c>
      <c r="CB514" s="37"/>
    </row>
    <row r="515" spans="1:80" x14ac:dyDescent="0.3">
      <c r="A515" s="322"/>
      <c r="B515" s="322" t="s">
        <v>3</v>
      </c>
      <c r="C515" s="322" cm="1">
        <f t="array" ref="C515">SUMPRODUCT((Index_Tab!$D$36:$D$45=$B515)*(Index_Tab!$E$35:$F$35=$B$3)*Index_Tab!$E$36:$F$45)</f>
        <v>0</v>
      </c>
      <c r="D515" s="322"/>
      <c r="E515" s="4" t="s">
        <v>385</v>
      </c>
      <c r="F515" s="5"/>
      <c r="G515" s="5"/>
      <c r="H515" s="37"/>
      <c r="I515" s="506">
        <v>2804533.27</v>
      </c>
      <c r="J515" s="500">
        <f>SUM(J512:J514)</f>
        <v>3638476.5002008905</v>
      </c>
      <c r="K515" s="500">
        <f>SUM(K512:K514)</f>
        <v>3817890.9917527121</v>
      </c>
      <c r="L515" s="500">
        <f t="shared" ref="L515:BY515" si="658">SUM(L512:L514)</f>
        <v>3997220.9041099497</v>
      </c>
      <c r="M515" s="500">
        <f t="shared" si="658"/>
        <v>4175153.8873577737</v>
      </c>
      <c r="N515" s="498">
        <f t="shared" si="658"/>
        <v>4359494.7374837706</v>
      </c>
      <c r="O515" s="57"/>
      <c r="P515" s="55">
        <f t="shared" si="653"/>
        <v>9.2232543259842092E-2</v>
      </c>
      <c r="Q515" s="37"/>
      <c r="R515" s="500">
        <f>SUM(R512:R514)</f>
        <v>303206.37501674093</v>
      </c>
      <c r="S515" s="500">
        <f t="shared" si="658"/>
        <v>303206.37501674093</v>
      </c>
      <c r="T515" s="500">
        <f t="shared" si="658"/>
        <v>303206.37501674093</v>
      </c>
      <c r="U515" s="500">
        <f t="shared" si="658"/>
        <v>303206.37501674093</v>
      </c>
      <c r="V515" s="500">
        <f t="shared" si="658"/>
        <v>303206.37501674093</v>
      </c>
      <c r="W515" s="500">
        <f t="shared" si="658"/>
        <v>303206.37501674093</v>
      </c>
      <c r="X515" s="500">
        <f t="shared" si="658"/>
        <v>303206.37501674093</v>
      </c>
      <c r="Y515" s="500">
        <f t="shared" si="658"/>
        <v>303206.37501674093</v>
      </c>
      <c r="Z515" s="500">
        <f t="shared" si="658"/>
        <v>303206.37501674093</v>
      </c>
      <c r="AA515" s="500">
        <f t="shared" si="658"/>
        <v>303206.37501674093</v>
      </c>
      <c r="AB515" s="500">
        <f t="shared" si="658"/>
        <v>303206.37501674093</v>
      </c>
      <c r="AC515" s="500">
        <f t="shared" si="658"/>
        <v>303206.37501674093</v>
      </c>
      <c r="AD515" s="500">
        <f t="shared" si="658"/>
        <v>318157.58264605934</v>
      </c>
      <c r="AE515" s="500">
        <f t="shared" si="658"/>
        <v>318157.58264605934</v>
      </c>
      <c r="AF515" s="500">
        <f t="shared" si="658"/>
        <v>318157.58264605934</v>
      </c>
      <c r="AG515" s="500">
        <f t="shared" si="658"/>
        <v>318157.58264605934</v>
      </c>
      <c r="AH515" s="500">
        <f t="shared" si="658"/>
        <v>318157.58264605934</v>
      </c>
      <c r="AI515" s="500">
        <f t="shared" si="658"/>
        <v>318157.58264605934</v>
      </c>
      <c r="AJ515" s="500">
        <f t="shared" si="658"/>
        <v>318157.58264605934</v>
      </c>
      <c r="AK515" s="500">
        <f t="shared" si="658"/>
        <v>318157.58264605934</v>
      </c>
      <c r="AL515" s="500">
        <f t="shared" si="658"/>
        <v>318157.58264605934</v>
      </c>
      <c r="AM515" s="500">
        <f t="shared" si="658"/>
        <v>318157.58264605934</v>
      </c>
      <c r="AN515" s="532">
        <f t="shared" si="658"/>
        <v>318157.58264605934</v>
      </c>
      <c r="AO515" s="532">
        <f t="shared" si="658"/>
        <v>318157.58264605934</v>
      </c>
      <c r="AP515" s="532">
        <f t="shared" si="658"/>
        <v>333101.74200916255</v>
      </c>
      <c r="AQ515" s="532">
        <f t="shared" si="658"/>
        <v>333101.74200916255</v>
      </c>
      <c r="AR515" s="532">
        <f t="shared" si="658"/>
        <v>333101.74200916255</v>
      </c>
      <c r="AS515" s="532">
        <f t="shared" si="658"/>
        <v>333101.74200916255</v>
      </c>
      <c r="AT515" s="532">
        <f t="shared" si="658"/>
        <v>333101.74200916255</v>
      </c>
      <c r="AU515" s="532">
        <f t="shared" si="658"/>
        <v>333101.74200916255</v>
      </c>
      <c r="AV515" s="532">
        <f t="shared" si="658"/>
        <v>333101.74200916255</v>
      </c>
      <c r="AW515" s="532">
        <f t="shared" si="658"/>
        <v>333101.74200916255</v>
      </c>
      <c r="AX515" s="532">
        <f t="shared" si="658"/>
        <v>333101.74200916255</v>
      </c>
      <c r="AY515" s="532">
        <f t="shared" si="658"/>
        <v>333101.74200916255</v>
      </c>
      <c r="AZ515" s="532">
        <f t="shared" si="658"/>
        <v>333101.74200916255</v>
      </c>
      <c r="BA515" s="532">
        <f t="shared" si="658"/>
        <v>333101.74200916255</v>
      </c>
      <c r="BB515" s="532">
        <f t="shared" si="658"/>
        <v>347929.49061314785</v>
      </c>
      <c r="BC515" s="532">
        <f t="shared" si="658"/>
        <v>347929.49061314785</v>
      </c>
      <c r="BD515" s="532">
        <f t="shared" si="658"/>
        <v>347929.49061314785</v>
      </c>
      <c r="BE515" s="532">
        <f t="shared" si="658"/>
        <v>347929.49061314785</v>
      </c>
      <c r="BF515" s="532">
        <f t="shared" si="658"/>
        <v>347929.49061314785</v>
      </c>
      <c r="BG515" s="532">
        <f t="shared" si="658"/>
        <v>347929.49061314785</v>
      </c>
      <c r="BH515" s="532">
        <f t="shared" si="658"/>
        <v>347929.49061314785</v>
      </c>
      <c r="BI515" s="532">
        <f t="shared" si="658"/>
        <v>347929.49061314785</v>
      </c>
      <c r="BJ515" s="532">
        <f t="shared" si="658"/>
        <v>347929.49061314785</v>
      </c>
      <c r="BK515" s="532">
        <f t="shared" si="658"/>
        <v>347929.49061314785</v>
      </c>
      <c r="BL515" s="532">
        <f t="shared" si="658"/>
        <v>347929.49061314785</v>
      </c>
      <c r="BM515" s="532">
        <f t="shared" si="658"/>
        <v>347929.49061314785</v>
      </c>
      <c r="BN515" s="532">
        <f t="shared" si="658"/>
        <v>363291.22812364763</v>
      </c>
      <c r="BO515" s="532">
        <f t="shared" si="658"/>
        <v>363291.22812364763</v>
      </c>
      <c r="BP515" s="532">
        <f t="shared" si="658"/>
        <v>363291.22812364763</v>
      </c>
      <c r="BQ515" s="532">
        <f t="shared" si="658"/>
        <v>363291.22812364763</v>
      </c>
      <c r="BR515" s="532">
        <f t="shared" si="658"/>
        <v>363291.22812364763</v>
      </c>
      <c r="BS515" s="532">
        <f t="shared" si="658"/>
        <v>363291.22812364763</v>
      </c>
      <c r="BT515" s="532">
        <f t="shared" si="658"/>
        <v>363291.22812364763</v>
      </c>
      <c r="BU515" s="532">
        <f t="shared" si="658"/>
        <v>363291.22812364763</v>
      </c>
      <c r="BV515" s="532">
        <f t="shared" si="658"/>
        <v>363291.22812364763</v>
      </c>
      <c r="BW515" s="532">
        <f t="shared" si="658"/>
        <v>363291.22812364763</v>
      </c>
      <c r="BX515" s="532">
        <f t="shared" si="658"/>
        <v>363291.22812364763</v>
      </c>
      <c r="BY515" s="532">
        <f t="shared" si="658"/>
        <v>363291.22812364763</v>
      </c>
      <c r="CB515" s="37"/>
    </row>
    <row r="516" spans="1:80" x14ac:dyDescent="0.3">
      <c r="A516" s="322"/>
      <c r="B516" s="322" t="s">
        <v>4</v>
      </c>
      <c r="C516" s="322" cm="1">
        <f t="array" ref="C516">SUMPRODUCT((Index_Tab!$D$36:$D$45=$B516)*(Index_Tab!$E$35:$F$35=$B$3)*Index_Tab!$E$36:$F$45)</f>
        <v>8</v>
      </c>
      <c r="D516" s="322"/>
      <c r="E516" s="2" t="s">
        <v>389</v>
      </c>
      <c r="F516" s="54"/>
      <c r="G516" s="54"/>
      <c r="H516" s="37"/>
      <c r="I516" s="67">
        <v>-1559432.809354709</v>
      </c>
      <c r="J516" s="504" cm="1">
        <f t="array" ref="J516">((I516/I$507)*(1+INDEX(('Detailed Assumptions'!$D$59:$J$79,'Detailed Assumptions'!$L$59:$R$79,'Detailed Assumptions'!$T$59:$Z$79,'Detailed Assumptions'!$AB$59:$AH$79),$C516,J$2,$C$506)))*J$507</f>
        <v>-1629102.713132425</v>
      </c>
      <c r="K516" s="504" cm="1">
        <f t="array" ref="K516">((J516/J$507)*(1+INDEX(('Detailed Assumptions'!$D$59:$J$79,'Detailed Assumptions'!$L$59:$R$79,'Detailed Assumptions'!$T$59:$Z$79,'Detailed Assumptions'!$AB$59:$AH$79),$C516,K$2,$C$506)))*K$507</f>
        <v>-1699436.2100477221</v>
      </c>
      <c r="L516" s="504" cm="1">
        <f t="array" ref="L516">((K516/K$507)*(1+INDEX(('Detailed Assumptions'!$D$59:$J$79,'Detailed Assumptions'!$L$59:$R$79,'Detailed Assumptions'!$T$59:$Z$79,'Detailed Assumptions'!$AB$59:$AH$79),$C516,L$2,$C$506)))*L$507</f>
        <v>-1769876.2113578343</v>
      </c>
      <c r="M516" s="504" cm="1">
        <f t="array" ref="M516">((L516/L$507)*(1+INDEX(('Detailed Assumptions'!$D$59:$J$79,'Detailed Assumptions'!$L$59:$R$79,'Detailed Assumptions'!$T$59:$Z$79,'Detailed Assumptions'!$AB$59:$AH$79),$C516,M$2,$C$506)))*M$507</f>
        <v>-1839960.884839644</v>
      </c>
      <c r="N516" s="504" cm="1">
        <f t="array" ref="N516">((M516/M$507)*(1+INDEX(('Detailed Assumptions'!$D$59:$J$79,'Detailed Assumptions'!$L$59:$R$79,'Detailed Assumptions'!$T$59:$Z$79,'Detailed Assumptions'!$AB$59:$AH$79),$C516,N$2,$C$506)))*N$507</f>
        <v>-1912455.8478011985</v>
      </c>
      <c r="O516" s="37"/>
      <c r="P516" s="50">
        <f t="shared" si="653"/>
        <v>4.165751177604271E-2</v>
      </c>
      <c r="Q516" s="37"/>
      <c r="R516" s="497">
        <f t="shared" ref="R516:BY516" si="659">(INDEX($I516:$N516,MATCH(R$2,$I$3:$N$3,0)))/12</f>
        <v>-135758.55942770207</v>
      </c>
      <c r="S516" s="497">
        <f t="shared" si="659"/>
        <v>-135758.55942770207</v>
      </c>
      <c r="T516" s="497">
        <f t="shared" si="659"/>
        <v>-135758.55942770207</v>
      </c>
      <c r="U516" s="497">
        <f t="shared" si="659"/>
        <v>-135758.55942770207</v>
      </c>
      <c r="V516" s="497">
        <f t="shared" si="659"/>
        <v>-135758.55942770207</v>
      </c>
      <c r="W516" s="497">
        <f t="shared" si="659"/>
        <v>-135758.55942770207</v>
      </c>
      <c r="X516" s="497">
        <f t="shared" si="659"/>
        <v>-135758.55942770207</v>
      </c>
      <c r="Y516" s="497">
        <f t="shared" si="659"/>
        <v>-135758.55942770207</v>
      </c>
      <c r="Z516" s="497">
        <f t="shared" si="659"/>
        <v>-135758.55942770207</v>
      </c>
      <c r="AA516" s="497">
        <f t="shared" si="659"/>
        <v>-135758.55942770207</v>
      </c>
      <c r="AB516" s="497">
        <f t="shared" si="659"/>
        <v>-135758.55942770207</v>
      </c>
      <c r="AC516" s="497">
        <f t="shared" si="659"/>
        <v>-135758.55942770207</v>
      </c>
      <c r="AD516" s="497">
        <f t="shared" si="659"/>
        <v>-141619.68417064351</v>
      </c>
      <c r="AE516" s="497">
        <f t="shared" si="659"/>
        <v>-141619.68417064351</v>
      </c>
      <c r="AF516" s="497">
        <f t="shared" si="659"/>
        <v>-141619.68417064351</v>
      </c>
      <c r="AG516" s="497">
        <f t="shared" si="659"/>
        <v>-141619.68417064351</v>
      </c>
      <c r="AH516" s="497">
        <f t="shared" si="659"/>
        <v>-141619.68417064351</v>
      </c>
      <c r="AI516" s="497">
        <f t="shared" si="659"/>
        <v>-141619.68417064351</v>
      </c>
      <c r="AJ516" s="497">
        <f t="shared" si="659"/>
        <v>-141619.68417064351</v>
      </c>
      <c r="AK516" s="497">
        <f t="shared" si="659"/>
        <v>-141619.68417064351</v>
      </c>
      <c r="AL516" s="497">
        <f t="shared" si="659"/>
        <v>-141619.68417064351</v>
      </c>
      <c r="AM516" s="497">
        <f t="shared" si="659"/>
        <v>-141619.68417064351</v>
      </c>
      <c r="AN516" s="527">
        <f t="shared" si="659"/>
        <v>-141619.68417064351</v>
      </c>
      <c r="AO516" s="527">
        <f t="shared" si="659"/>
        <v>-141619.68417064351</v>
      </c>
      <c r="AP516" s="527">
        <f t="shared" si="659"/>
        <v>-147489.68427981951</v>
      </c>
      <c r="AQ516" s="527">
        <f t="shared" si="659"/>
        <v>-147489.68427981951</v>
      </c>
      <c r="AR516" s="527">
        <f t="shared" si="659"/>
        <v>-147489.68427981951</v>
      </c>
      <c r="AS516" s="527">
        <f t="shared" si="659"/>
        <v>-147489.68427981951</v>
      </c>
      <c r="AT516" s="527">
        <f t="shared" si="659"/>
        <v>-147489.68427981951</v>
      </c>
      <c r="AU516" s="527">
        <f t="shared" si="659"/>
        <v>-147489.68427981951</v>
      </c>
      <c r="AV516" s="527">
        <f t="shared" si="659"/>
        <v>-147489.68427981951</v>
      </c>
      <c r="AW516" s="527">
        <f t="shared" si="659"/>
        <v>-147489.68427981951</v>
      </c>
      <c r="AX516" s="527">
        <f t="shared" si="659"/>
        <v>-147489.68427981951</v>
      </c>
      <c r="AY516" s="527">
        <f t="shared" si="659"/>
        <v>-147489.68427981951</v>
      </c>
      <c r="AZ516" s="527">
        <f t="shared" si="659"/>
        <v>-147489.68427981951</v>
      </c>
      <c r="BA516" s="527">
        <f t="shared" si="659"/>
        <v>-147489.68427981951</v>
      </c>
      <c r="BB516" s="527">
        <f t="shared" si="659"/>
        <v>-153330.07373663699</v>
      </c>
      <c r="BC516" s="527">
        <f t="shared" si="659"/>
        <v>-153330.07373663699</v>
      </c>
      <c r="BD516" s="527">
        <f t="shared" si="659"/>
        <v>-153330.07373663699</v>
      </c>
      <c r="BE516" s="527">
        <f t="shared" si="659"/>
        <v>-153330.07373663699</v>
      </c>
      <c r="BF516" s="527">
        <f t="shared" si="659"/>
        <v>-153330.07373663699</v>
      </c>
      <c r="BG516" s="527">
        <f t="shared" si="659"/>
        <v>-153330.07373663699</v>
      </c>
      <c r="BH516" s="527">
        <f t="shared" si="659"/>
        <v>-153330.07373663699</v>
      </c>
      <c r="BI516" s="527">
        <f t="shared" si="659"/>
        <v>-153330.07373663699</v>
      </c>
      <c r="BJ516" s="527">
        <f t="shared" si="659"/>
        <v>-153330.07373663699</v>
      </c>
      <c r="BK516" s="527">
        <f t="shared" si="659"/>
        <v>-153330.07373663699</v>
      </c>
      <c r="BL516" s="527">
        <f t="shared" si="659"/>
        <v>-153330.07373663699</v>
      </c>
      <c r="BM516" s="527">
        <f t="shared" si="659"/>
        <v>-153330.07373663699</v>
      </c>
      <c r="BN516" s="527">
        <f t="shared" si="659"/>
        <v>-159371.32065009986</v>
      </c>
      <c r="BO516" s="527">
        <f t="shared" si="659"/>
        <v>-159371.32065009986</v>
      </c>
      <c r="BP516" s="527">
        <f t="shared" si="659"/>
        <v>-159371.32065009986</v>
      </c>
      <c r="BQ516" s="527">
        <f t="shared" si="659"/>
        <v>-159371.32065009986</v>
      </c>
      <c r="BR516" s="527">
        <f t="shared" si="659"/>
        <v>-159371.32065009986</v>
      </c>
      <c r="BS516" s="527">
        <f t="shared" si="659"/>
        <v>-159371.32065009986</v>
      </c>
      <c r="BT516" s="527">
        <f t="shared" si="659"/>
        <v>-159371.32065009986</v>
      </c>
      <c r="BU516" s="527">
        <f t="shared" si="659"/>
        <v>-159371.32065009986</v>
      </c>
      <c r="BV516" s="527">
        <f t="shared" si="659"/>
        <v>-159371.32065009986</v>
      </c>
      <c r="BW516" s="527">
        <f t="shared" si="659"/>
        <v>-159371.32065009986</v>
      </c>
      <c r="BX516" s="527">
        <f t="shared" si="659"/>
        <v>-159371.32065009986</v>
      </c>
      <c r="BY516" s="527">
        <f t="shared" si="659"/>
        <v>-159371.32065009986</v>
      </c>
      <c r="CB516" s="37"/>
    </row>
    <row r="517" spans="1:80" x14ac:dyDescent="0.3">
      <c r="A517" s="322"/>
      <c r="B517" s="322" t="s">
        <v>5</v>
      </c>
      <c r="C517" s="322" cm="1">
        <f t="array" ref="C517">SUMPRODUCT((Index_Tab!$D$36:$D$45=$B517)*(Index_Tab!$E$35:$F$35=$B$3)*Index_Tab!$E$36:$F$45)</f>
        <v>0</v>
      </c>
      <c r="D517" s="322"/>
      <c r="E517" s="4" t="s">
        <v>390</v>
      </c>
      <c r="F517" s="5"/>
      <c r="G517" s="5"/>
      <c r="H517" s="37"/>
      <c r="I517" s="506">
        <v>1901125.911300845</v>
      </c>
      <c r="J517" s="500">
        <f>SUM(J515:J516)</f>
        <v>2009373.7870684655</v>
      </c>
      <c r="K517" s="500">
        <f t="shared" ref="K517:BX517" si="660">SUM(K515:K516)</f>
        <v>2118454.7817049902</v>
      </c>
      <c r="L517" s="500">
        <f>SUM(L515:L516)</f>
        <v>2227344.6927521154</v>
      </c>
      <c r="M517" s="500">
        <f t="shared" si="660"/>
        <v>2335193.0025181295</v>
      </c>
      <c r="N517" s="498">
        <f t="shared" si="660"/>
        <v>2447038.8896825723</v>
      </c>
      <c r="O517" s="57"/>
      <c r="P517" s="55">
        <f t="shared" si="653"/>
        <v>5.1782639281965137E-2</v>
      </c>
      <c r="Q517" s="37"/>
      <c r="R517" s="500">
        <f t="shared" si="660"/>
        <v>167447.81558903886</v>
      </c>
      <c r="S517" s="500">
        <f t="shared" si="660"/>
        <v>167447.81558903886</v>
      </c>
      <c r="T517" s="500">
        <f t="shared" si="660"/>
        <v>167447.81558903886</v>
      </c>
      <c r="U517" s="500">
        <f t="shared" si="660"/>
        <v>167447.81558903886</v>
      </c>
      <c r="V517" s="500">
        <f t="shared" si="660"/>
        <v>167447.81558903886</v>
      </c>
      <c r="W517" s="500">
        <f t="shared" si="660"/>
        <v>167447.81558903886</v>
      </c>
      <c r="X517" s="500">
        <f t="shared" si="660"/>
        <v>167447.81558903886</v>
      </c>
      <c r="Y517" s="500">
        <f t="shared" si="660"/>
        <v>167447.81558903886</v>
      </c>
      <c r="Z517" s="500">
        <f t="shared" si="660"/>
        <v>167447.81558903886</v>
      </c>
      <c r="AA517" s="500">
        <f t="shared" si="660"/>
        <v>167447.81558903886</v>
      </c>
      <c r="AB517" s="500">
        <f t="shared" si="660"/>
        <v>167447.81558903886</v>
      </c>
      <c r="AC517" s="500">
        <f t="shared" si="660"/>
        <v>167447.81558903886</v>
      </c>
      <c r="AD517" s="500">
        <f t="shared" si="660"/>
        <v>176537.89847541583</v>
      </c>
      <c r="AE517" s="500">
        <f t="shared" si="660"/>
        <v>176537.89847541583</v>
      </c>
      <c r="AF517" s="500">
        <f t="shared" si="660"/>
        <v>176537.89847541583</v>
      </c>
      <c r="AG517" s="500">
        <f t="shared" si="660"/>
        <v>176537.89847541583</v>
      </c>
      <c r="AH517" s="500">
        <f t="shared" si="660"/>
        <v>176537.89847541583</v>
      </c>
      <c r="AI517" s="500">
        <f t="shared" si="660"/>
        <v>176537.89847541583</v>
      </c>
      <c r="AJ517" s="500">
        <f t="shared" si="660"/>
        <v>176537.89847541583</v>
      </c>
      <c r="AK517" s="500">
        <f t="shared" si="660"/>
        <v>176537.89847541583</v>
      </c>
      <c r="AL517" s="500">
        <f t="shared" si="660"/>
        <v>176537.89847541583</v>
      </c>
      <c r="AM517" s="500">
        <f t="shared" si="660"/>
        <v>176537.89847541583</v>
      </c>
      <c r="AN517" s="532">
        <f t="shared" si="660"/>
        <v>176537.89847541583</v>
      </c>
      <c r="AO517" s="532">
        <f t="shared" si="660"/>
        <v>176537.89847541583</v>
      </c>
      <c r="AP517" s="532">
        <f t="shared" si="660"/>
        <v>185612.05772934304</v>
      </c>
      <c r="AQ517" s="532">
        <f t="shared" si="660"/>
        <v>185612.05772934304</v>
      </c>
      <c r="AR517" s="532">
        <f t="shared" si="660"/>
        <v>185612.05772934304</v>
      </c>
      <c r="AS517" s="532">
        <f t="shared" si="660"/>
        <v>185612.05772934304</v>
      </c>
      <c r="AT517" s="532">
        <f t="shared" si="660"/>
        <v>185612.05772934304</v>
      </c>
      <c r="AU517" s="532">
        <f t="shared" si="660"/>
        <v>185612.05772934304</v>
      </c>
      <c r="AV517" s="532">
        <f t="shared" si="660"/>
        <v>185612.05772934304</v>
      </c>
      <c r="AW517" s="532">
        <f t="shared" si="660"/>
        <v>185612.05772934304</v>
      </c>
      <c r="AX517" s="532">
        <f t="shared" si="660"/>
        <v>185612.05772934304</v>
      </c>
      <c r="AY517" s="532">
        <f t="shared" si="660"/>
        <v>185612.05772934304</v>
      </c>
      <c r="AZ517" s="532">
        <f t="shared" si="660"/>
        <v>185612.05772934304</v>
      </c>
      <c r="BA517" s="532">
        <f t="shared" si="660"/>
        <v>185612.05772934304</v>
      </c>
      <c r="BB517" s="532">
        <f t="shared" si="660"/>
        <v>194599.41687651086</v>
      </c>
      <c r="BC517" s="532">
        <f t="shared" si="660"/>
        <v>194599.41687651086</v>
      </c>
      <c r="BD517" s="532">
        <f t="shared" si="660"/>
        <v>194599.41687651086</v>
      </c>
      <c r="BE517" s="532">
        <f t="shared" si="660"/>
        <v>194599.41687651086</v>
      </c>
      <c r="BF517" s="532">
        <f t="shared" si="660"/>
        <v>194599.41687651086</v>
      </c>
      <c r="BG517" s="532">
        <f t="shared" si="660"/>
        <v>194599.41687651086</v>
      </c>
      <c r="BH517" s="532">
        <f t="shared" si="660"/>
        <v>194599.41687651086</v>
      </c>
      <c r="BI517" s="532">
        <f t="shared" si="660"/>
        <v>194599.41687651086</v>
      </c>
      <c r="BJ517" s="532">
        <f t="shared" si="660"/>
        <v>194599.41687651086</v>
      </c>
      <c r="BK517" s="532">
        <f t="shared" si="660"/>
        <v>194599.41687651086</v>
      </c>
      <c r="BL517" s="532">
        <f t="shared" si="660"/>
        <v>194599.41687651086</v>
      </c>
      <c r="BM517" s="532">
        <f t="shared" si="660"/>
        <v>194599.41687651086</v>
      </c>
      <c r="BN517" s="532">
        <f t="shared" si="660"/>
        <v>203919.90747354776</v>
      </c>
      <c r="BO517" s="532">
        <f t="shared" si="660"/>
        <v>203919.90747354776</v>
      </c>
      <c r="BP517" s="532">
        <f t="shared" si="660"/>
        <v>203919.90747354776</v>
      </c>
      <c r="BQ517" s="532">
        <f t="shared" si="660"/>
        <v>203919.90747354776</v>
      </c>
      <c r="BR517" s="532">
        <f t="shared" si="660"/>
        <v>203919.90747354776</v>
      </c>
      <c r="BS517" s="532">
        <f t="shared" si="660"/>
        <v>203919.90747354776</v>
      </c>
      <c r="BT517" s="532">
        <f t="shared" si="660"/>
        <v>203919.90747354776</v>
      </c>
      <c r="BU517" s="532">
        <f t="shared" si="660"/>
        <v>203919.90747354776</v>
      </c>
      <c r="BV517" s="532">
        <f t="shared" si="660"/>
        <v>203919.90747354776</v>
      </c>
      <c r="BW517" s="532">
        <f t="shared" si="660"/>
        <v>203919.90747354776</v>
      </c>
      <c r="BX517" s="532">
        <f t="shared" si="660"/>
        <v>203919.90747354776</v>
      </c>
      <c r="BY517" s="532">
        <f>SUM(BY515:BY516)</f>
        <v>203919.90747354776</v>
      </c>
      <c r="CB517" s="37"/>
    </row>
    <row r="518" spans="1:80" x14ac:dyDescent="0.3">
      <c r="A518" s="322"/>
      <c r="B518" s="322"/>
      <c r="C518" s="322" cm="1">
        <f t="array" ref="C518">SUMPRODUCT((Index_Tab!$D$36:$D$45=$B518)*(Index_Tab!$E$35:$F$35=$B$3)*Index_Tab!$E$36:$F$45)</f>
        <v>0</v>
      </c>
      <c r="D518" s="322"/>
      <c r="E518" s="2" t="s">
        <v>175</v>
      </c>
      <c r="F518" s="58"/>
      <c r="G518" s="58"/>
      <c r="H518" s="37"/>
      <c r="I518" s="499">
        <f t="shared" ref="I518:N518" si="661">IFERROR(I517/I512,0)</f>
        <v>0.36015076325639572</v>
      </c>
      <c r="J518" s="499">
        <f t="shared" si="661"/>
        <v>0.3669749377687388</v>
      </c>
      <c r="K518" s="499">
        <f t="shared" si="661"/>
        <v>0.37334904541578451</v>
      </c>
      <c r="L518" s="499">
        <f t="shared" si="661"/>
        <v>0.37923990019552428</v>
      </c>
      <c r="M518" s="499">
        <f t="shared" si="661"/>
        <v>0.384636709482992</v>
      </c>
      <c r="N518" s="499">
        <f t="shared" si="661"/>
        <v>0.38990683237450607</v>
      </c>
      <c r="O518" s="23"/>
      <c r="P518" s="50">
        <f t="shared" si="653"/>
        <v>1.6003727273751212E-2</v>
      </c>
      <c r="Q518" s="37"/>
      <c r="R518" s="499">
        <f t="shared" ref="R518:BY518" si="662">IFERROR(R517/R512,0)</f>
        <v>0.36697493776873891</v>
      </c>
      <c r="S518" s="499">
        <f t="shared" si="662"/>
        <v>0.36697493776873891</v>
      </c>
      <c r="T518" s="499">
        <f t="shared" si="662"/>
        <v>0.36697493776873891</v>
      </c>
      <c r="U518" s="499">
        <f t="shared" si="662"/>
        <v>0.36697493776873891</v>
      </c>
      <c r="V518" s="499">
        <f t="shared" si="662"/>
        <v>0.36697493776873891</v>
      </c>
      <c r="W518" s="499">
        <f t="shared" si="662"/>
        <v>0.36697493776873891</v>
      </c>
      <c r="X518" s="499">
        <f t="shared" si="662"/>
        <v>0.36697493776873891</v>
      </c>
      <c r="Y518" s="499">
        <f t="shared" si="662"/>
        <v>0.36697493776873891</v>
      </c>
      <c r="Z518" s="499">
        <f t="shared" si="662"/>
        <v>0.36697493776873891</v>
      </c>
      <c r="AA518" s="499">
        <f t="shared" si="662"/>
        <v>0.36697493776873891</v>
      </c>
      <c r="AB518" s="499">
        <f t="shared" si="662"/>
        <v>0.36697493776873891</v>
      </c>
      <c r="AC518" s="499">
        <f t="shared" si="662"/>
        <v>0.36697493776873891</v>
      </c>
      <c r="AD518" s="499">
        <f t="shared" si="662"/>
        <v>0.37334904541578445</v>
      </c>
      <c r="AE518" s="499">
        <f t="shared" si="662"/>
        <v>0.37334904541578445</v>
      </c>
      <c r="AF518" s="499">
        <f t="shared" si="662"/>
        <v>0.37334904541578445</v>
      </c>
      <c r="AG518" s="499">
        <f t="shared" si="662"/>
        <v>0.37334904541578445</v>
      </c>
      <c r="AH518" s="499">
        <f t="shared" si="662"/>
        <v>0.37334904541578445</v>
      </c>
      <c r="AI518" s="499">
        <f t="shared" si="662"/>
        <v>0.37334904541578445</v>
      </c>
      <c r="AJ518" s="499">
        <f t="shared" si="662"/>
        <v>0.37334904541578445</v>
      </c>
      <c r="AK518" s="499">
        <f t="shared" si="662"/>
        <v>0.37334904541578445</v>
      </c>
      <c r="AL518" s="499">
        <f t="shared" si="662"/>
        <v>0.37334904541578445</v>
      </c>
      <c r="AM518" s="499">
        <f t="shared" si="662"/>
        <v>0.37334904541578445</v>
      </c>
      <c r="AN518" s="531">
        <f t="shared" si="662"/>
        <v>0.37334904541578445</v>
      </c>
      <c r="AO518" s="531">
        <f t="shared" si="662"/>
        <v>0.37334904541578445</v>
      </c>
      <c r="AP518" s="531">
        <f t="shared" si="662"/>
        <v>0.37923990019552445</v>
      </c>
      <c r="AQ518" s="531">
        <f t="shared" si="662"/>
        <v>0.37923990019552445</v>
      </c>
      <c r="AR518" s="531">
        <f t="shared" si="662"/>
        <v>0.37923990019552445</v>
      </c>
      <c r="AS518" s="531">
        <f t="shared" si="662"/>
        <v>0.37923990019552445</v>
      </c>
      <c r="AT518" s="531">
        <f t="shared" si="662"/>
        <v>0.37923990019552445</v>
      </c>
      <c r="AU518" s="531">
        <f t="shared" si="662"/>
        <v>0.37923990019552445</v>
      </c>
      <c r="AV518" s="531">
        <f t="shared" si="662"/>
        <v>0.37923990019552445</v>
      </c>
      <c r="AW518" s="531">
        <f t="shared" si="662"/>
        <v>0.37923990019552445</v>
      </c>
      <c r="AX518" s="531">
        <f t="shared" si="662"/>
        <v>0.37923990019552445</v>
      </c>
      <c r="AY518" s="531">
        <f t="shared" si="662"/>
        <v>0.37923990019552445</v>
      </c>
      <c r="AZ518" s="531">
        <f t="shared" si="662"/>
        <v>0.37923990019552445</v>
      </c>
      <c r="BA518" s="531">
        <f t="shared" si="662"/>
        <v>0.37923990019552445</v>
      </c>
      <c r="BB518" s="531">
        <f t="shared" si="662"/>
        <v>0.38463670948299211</v>
      </c>
      <c r="BC518" s="531">
        <f t="shared" si="662"/>
        <v>0.38463670948299211</v>
      </c>
      <c r="BD518" s="531">
        <f t="shared" si="662"/>
        <v>0.38463670948299211</v>
      </c>
      <c r="BE518" s="531">
        <f t="shared" si="662"/>
        <v>0.38463670948299211</v>
      </c>
      <c r="BF518" s="531">
        <f t="shared" si="662"/>
        <v>0.38463670948299211</v>
      </c>
      <c r="BG518" s="531">
        <f t="shared" si="662"/>
        <v>0.38463670948299211</v>
      </c>
      <c r="BH518" s="531">
        <f t="shared" si="662"/>
        <v>0.38463670948299211</v>
      </c>
      <c r="BI518" s="531">
        <f t="shared" si="662"/>
        <v>0.38463670948299211</v>
      </c>
      <c r="BJ518" s="531">
        <f t="shared" si="662"/>
        <v>0.38463670948299211</v>
      </c>
      <c r="BK518" s="531">
        <f t="shared" si="662"/>
        <v>0.38463670948299211</v>
      </c>
      <c r="BL518" s="531">
        <f t="shared" si="662"/>
        <v>0.38463670948299211</v>
      </c>
      <c r="BM518" s="531">
        <f t="shared" si="662"/>
        <v>0.38463670948299211</v>
      </c>
      <c r="BN518" s="531">
        <f t="shared" si="662"/>
        <v>0.38990683237450618</v>
      </c>
      <c r="BO518" s="531">
        <f t="shared" si="662"/>
        <v>0.38990683237450618</v>
      </c>
      <c r="BP518" s="531">
        <f t="shared" si="662"/>
        <v>0.38990683237450618</v>
      </c>
      <c r="BQ518" s="531">
        <f t="shared" si="662"/>
        <v>0.38990683237450618</v>
      </c>
      <c r="BR518" s="531">
        <f t="shared" si="662"/>
        <v>0.38990683237450618</v>
      </c>
      <c r="BS518" s="531">
        <f t="shared" si="662"/>
        <v>0.38990683237450618</v>
      </c>
      <c r="BT518" s="531">
        <f t="shared" si="662"/>
        <v>0.38990683237450618</v>
      </c>
      <c r="BU518" s="531">
        <f t="shared" si="662"/>
        <v>0.38990683237450618</v>
      </c>
      <c r="BV518" s="531">
        <f t="shared" si="662"/>
        <v>0.38990683237450618</v>
      </c>
      <c r="BW518" s="531">
        <f t="shared" si="662"/>
        <v>0.38990683237450618</v>
      </c>
      <c r="BX518" s="531">
        <f t="shared" si="662"/>
        <v>0.38990683237450618</v>
      </c>
      <c r="BY518" s="531">
        <f t="shared" si="662"/>
        <v>0.38990683237450618</v>
      </c>
      <c r="CB518" s="37"/>
    </row>
    <row r="519" spans="1:80" x14ac:dyDescent="0.3">
      <c r="A519" s="322"/>
      <c r="B519" s="322"/>
      <c r="C519" s="322" cm="1">
        <f t="array" ref="C519">SUMPRODUCT((Index_Tab!$D$36:$D$45=$B519)*(Index_Tab!$E$35:$F$35=$B$3)*Index_Tab!$E$36:$F$45)</f>
        <v>0</v>
      </c>
      <c r="D519" s="322"/>
      <c r="E519" s="2"/>
      <c r="F519" s="58"/>
      <c r="G519" s="58"/>
      <c r="H519" s="37"/>
      <c r="I519" s="37"/>
      <c r="J519" s="37"/>
      <c r="K519" s="37"/>
      <c r="L519" s="37"/>
      <c r="M519" s="37"/>
      <c r="N519" s="37"/>
      <c r="O519" s="37"/>
      <c r="P519" s="144"/>
      <c r="Q519" s="37"/>
      <c r="R519" s="37"/>
      <c r="S519" s="37"/>
      <c r="T519" s="37"/>
      <c r="U519" s="37"/>
      <c r="V519" s="37"/>
      <c r="W519" s="37"/>
      <c r="X519" s="37"/>
      <c r="Y519" s="37"/>
      <c r="Z519" s="37"/>
      <c r="AA519" s="37"/>
      <c r="AB519" s="37"/>
      <c r="AC519" s="37"/>
      <c r="AD519" s="37"/>
      <c r="AE519" s="37"/>
      <c r="AF519" s="37"/>
      <c r="AG519" s="37"/>
      <c r="AH519" s="37"/>
      <c r="AI519" s="37"/>
      <c r="AJ519" s="37"/>
      <c r="AK519" s="37"/>
      <c r="AL519" s="37"/>
      <c r="AM519" s="37"/>
      <c r="AN519" s="529"/>
      <c r="AO519" s="529"/>
      <c r="AP519" s="529"/>
      <c r="AQ519" s="529"/>
      <c r="AR519" s="529"/>
      <c r="AS519" s="529"/>
      <c r="AT519" s="529"/>
      <c r="AU519" s="529"/>
      <c r="AV519" s="529"/>
      <c r="AW519" s="529"/>
      <c r="AX519" s="529"/>
      <c r="AY519" s="529"/>
      <c r="AZ519" s="529"/>
      <c r="BA519" s="529"/>
      <c r="BB519" s="529"/>
      <c r="BC519" s="529"/>
      <c r="BD519" s="529"/>
      <c r="BE519" s="529"/>
      <c r="BF519" s="529"/>
      <c r="BG519" s="529"/>
      <c r="BH519" s="529"/>
      <c r="BI519" s="529"/>
      <c r="BJ519" s="529"/>
      <c r="BK519" s="529"/>
      <c r="BL519" s="529"/>
      <c r="BM519" s="529"/>
      <c r="BN519" s="529"/>
      <c r="BO519" s="529"/>
      <c r="BP519" s="529"/>
      <c r="BQ519" s="529"/>
      <c r="BR519" s="529"/>
      <c r="BS519" s="529"/>
      <c r="BT519" s="529"/>
      <c r="BU519" s="529"/>
      <c r="BV519" s="529"/>
      <c r="BW519" s="529"/>
      <c r="BX519" s="529"/>
      <c r="BY519" s="529"/>
      <c r="CB519" s="37"/>
    </row>
    <row r="520" spans="1:80" x14ac:dyDescent="0.3">
      <c r="A520" s="322"/>
      <c r="B520" s="322"/>
      <c r="C520" s="322" cm="1">
        <f t="array" ref="C520">SUMPRODUCT((Index_Tab!$D$36:$D$45=$B520)*(Index_Tab!$E$35:$F$35=$B$3)*Index_Tab!$E$36:$F$45)</f>
        <v>0</v>
      </c>
      <c r="D520" s="322"/>
      <c r="E520" s="17" t="s">
        <v>23</v>
      </c>
      <c r="F520" s="37"/>
      <c r="G520" s="37"/>
      <c r="H520" s="37"/>
      <c r="I520" s="169"/>
      <c r="J520" s="169"/>
      <c r="K520" s="169"/>
      <c r="L520" s="169"/>
      <c r="M520" s="169"/>
      <c r="N520" s="169"/>
      <c r="O520" s="37"/>
      <c r="P520" s="144"/>
      <c r="Q520" s="37"/>
      <c r="R520" s="37"/>
      <c r="S520" s="37"/>
      <c r="T520" s="37"/>
      <c r="U520" s="37"/>
      <c r="V520" s="37"/>
      <c r="W520" s="37"/>
      <c r="X520" s="37"/>
      <c r="Y520" s="37"/>
      <c r="Z520" s="37"/>
      <c r="AA520" s="37"/>
      <c r="AB520" s="37"/>
      <c r="AC520" s="37"/>
      <c r="AD520" s="37"/>
      <c r="AE520" s="37"/>
      <c r="AF520" s="37"/>
      <c r="AG520" s="37"/>
      <c r="AH520" s="37"/>
      <c r="AI520" s="37"/>
      <c r="AJ520" s="37"/>
      <c r="AK520" s="37"/>
      <c r="AL520" s="37"/>
      <c r="AM520" s="37"/>
      <c r="AN520" s="529"/>
      <c r="AO520" s="529"/>
      <c r="AP520" s="529"/>
      <c r="AQ520" s="529"/>
      <c r="AR520" s="529"/>
      <c r="AS520" s="529"/>
      <c r="AT520" s="529"/>
      <c r="AU520" s="529"/>
      <c r="AV520" s="529"/>
      <c r="AW520" s="529"/>
      <c r="AX520" s="529"/>
      <c r="AY520" s="529"/>
      <c r="AZ520" s="529"/>
      <c r="BA520" s="529"/>
      <c r="BB520" s="529"/>
      <c r="BC520" s="529"/>
      <c r="BD520" s="529"/>
      <c r="BE520" s="529"/>
      <c r="BF520" s="529"/>
      <c r="BG520" s="529"/>
      <c r="BH520" s="529"/>
      <c r="BI520" s="529"/>
      <c r="BJ520" s="529"/>
      <c r="BK520" s="529"/>
      <c r="BL520" s="529"/>
      <c r="BM520" s="529"/>
      <c r="BN520" s="529"/>
      <c r="BO520" s="529"/>
      <c r="BP520" s="529"/>
      <c r="BQ520" s="529"/>
      <c r="BR520" s="529"/>
      <c r="BS520" s="529"/>
      <c r="BT520" s="529"/>
      <c r="BU520" s="529"/>
      <c r="BV520" s="529"/>
      <c r="BW520" s="529"/>
      <c r="BX520" s="529"/>
      <c r="BY520" s="529"/>
      <c r="CB520" s="37"/>
    </row>
    <row r="521" spans="1:80" x14ac:dyDescent="0.3">
      <c r="A521" s="322"/>
      <c r="B521" s="322" t="s">
        <v>6</v>
      </c>
      <c r="C521" s="322" cm="1">
        <f t="array" ref="C521">SUMPRODUCT((Index_Tab!$D$36:$D$45=$B521)*(Index_Tab!$E$35:$F$35=$B$3)*Index_Tab!$E$36:$F$45)</f>
        <v>11</v>
      </c>
      <c r="D521" s="322"/>
      <c r="E521" s="4" t="s">
        <v>391</v>
      </c>
      <c r="F521" s="5"/>
      <c r="G521" s="5"/>
      <c r="H521" s="37"/>
      <c r="I521" s="505">
        <v>497820.75892642431</v>
      </c>
      <c r="J521" s="507" cm="1">
        <f t="array" ref="J521">I521*(1+INDEX(('Detailed Assumptions'!$D$59:$J$79,'Detailed Assumptions'!$L$59:$R$79,'Detailed Assumptions'!$T$59:$Z$79,'Detailed Assumptions'!$AB$59:$AH$79),$C521,J$2,$C$506))</f>
        <v>497820.75892642431</v>
      </c>
      <c r="K521" s="507" cm="1">
        <f t="array" ref="K521">J521*(1+INDEX(('Detailed Assumptions'!$D$59:$J$79,'Detailed Assumptions'!$L$59:$R$79,'Detailed Assumptions'!$T$59:$Z$79,'Detailed Assumptions'!$AB$59:$AH$79),$C521,K$2,$C$506))</f>
        <v>497820.75892642431</v>
      </c>
      <c r="L521" s="507" cm="1">
        <f t="array" ref="L521">K521*(1+INDEX(('Detailed Assumptions'!$D$59:$J$79,'Detailed Assumptions'!$L$59:$R$79,'Detailed Assumptions'!$T$59:$Z$79,'Detailed Assumptions'!$AB$59:$AH$79),$C521,L$2,$C$506))</f>
        <v>497820.75892642431</v>
      </c>
      <c r="M521" s="507" cm="1">
        <f t="array" ref="M521">L521*(1+INDEX(('Detailed Assumptions'!$D$59:$J$79,'Detailed Assumptions'!$L$59:$R$79,'Detailed Assumptions'!$T$59:$Z$79,'Detailed Assumptions'!$AB$59:$AH$79),$C521,M$2,$C$506))</f>
        <v>497820.75892642431</v>
      </c>
      <c r="N521" s="507" cm="1">
        <f t="array" ref="N521">M521*(1+INDEX(('Detailed Assumptions'!$D$59:$J$79,'Detailed Assumptions'!$L$59:$R$79,'Detailed Assumptions'!$T$59:$Z$79,'Detailed Assumptions'!$AB$59:$AH$79),$C521,N$2,$C$506))</f>
        <v>497820.75892642431</v>
      </c>
      <c r="O521" s="57"/>
      <c r="P521" s="55">
        <f t="shared" ref="P521:P527" si="663">IFERROR(((N521/I521)^(1/5))-1,0)</f>
        <v>0</v>
      </c>
      <c r="Q521" s="37"/>
      <c r="R521" s="500">
        <f t="shared" ref="R521:AG523" si="664">(INDEX($I521:$N521,MATCH(R$2,$I$3:$N$3,0)))/12</f>
        <v>41485.063243868695</v>
      </c>
      <c r="S521" s="500">
        <f t="shared" si="664"/>
        <v>41485.063243868695</v>
      </c>
      <c r="T521" s="500">
        <f t="shared" si="664"/>
        <v>41485.063243868695</v>
      </c>
      <c r="U521" s="500">
        <f t="shared" si="664"/>
        <v>41485.063243868695</v>
      </c>
      <c r="V521" s="500">
        <f t="shared" si="664"/>
        <v>41485.063243868695</v>
      </c>
      <c r="W521" s="500">
        <f t="shared" si="664"/>
        <v>41485.063243868695</v>
      </c>
      <c r="X521" s="500">
        <f t="shared" si="664"/>
        <v>41485.063243868695</v>
      </c>
      <c r="Y521" s="500">
        <f t="shared" si="664"/>
        <v>41485.063243868695</v>
      </c>
      <c r="Z521" s="500">
        <f t="shared" si="664"/>
        <v>41485.063243868695</v>
      </c>
      <c r="AA521" s="500">
        <f t="shared" si="664"/>
        <v>41485.063243868695</v>
      </c>
      <c r="AB521" s="500">
        <f t="shared" si="664"/>
        <v>41485.063243868695</v>
      </c>
      <c r="AC521" s="500">
        <f t="shared" si="664"/>
        <v>41485.063243868695</v>
      </c>
      <c r="AD521" s="500">
        <f t="shared" si="664"/>
        <v>41485.063243868695</v>
      </c>
      <c r="AE521" s="500">
        <f t="shared" si="664"/>
        <v>41485.063243868695</v>
      </c>
      <c r="AF521" s="500">
        <f t="shared" si="664"/>
        <v>41485.063243868695</v>
      </c>
      <c r="AG521" s="500">
        <f t="shared" si="664"/>
        <v>41485.063243868695</v>
      </c>
      <c r="AH521" s="500">
        <f t="shared" ref="AH521:AW523" si="665">(INDEX($I521:$N521,MATCH(AH$2,$I$3:$N$3,0)))/12</f>
        <v>41485.063243868695</v>
      </c>
      <c r="AI521" s="500">
        <f t="shared" si="665"/>
        <v>41485.063243868695</v>
      </c>
      <c r="AJ521" s="500">
        <f t="shared" si="665"/>
        <v>41485.063243868695</v>
      </c>
      <c r="AK521" s="500">
        <f t="shared" si="665"/>
        <v>41485.063243868695</v>
      </c>
      <c r="AL521" s="500">
        <f t="shared" si="665"/>
        <v>41485.063243868695</v>
      </c>
      <c r="AM521" s="500">
        <f t="shared" si="665"/>
        <v>41485.063243868695</v>
      </c>
      <c r="AN521" s="532">
        <f t="shared" si="665"/>
        <v>41485.063243868695</v>
      </c>
      <c r="AO521" s="532">
        <f t="shared" si="665"/>
        <v>41485.063243868695</v>
      </c>
      <c r="AP521" s="532">
        <f t="shared" si="665"/>
        <v>41485.063243868695</v>
      </c>
      <c r="AQ521" s="532">
        <f t="shared" si="665"/>
        <v>41485.063243868695</v>
      </c>
      <c r="AR521" s="532">
        <f t="shared" si="665"/>
        <v>41485.063243868695</v>
      </c>
      <c r="AS521" s="532">
        <f t="shared" si="665"/>
        <v>41485.063243868695</v>
      </c>
      <c r="AT521" s="532">
        <f t="shared" si="665"/>
        <v>41485.063243868695</v>
      </c>
      <c r="AU521" s="532">
        <f t="shared" si="665"/>
        <v>41485.063243868695</v>
      </c>
      <c r="AV521" s="532">
        <f t="shared" si="665"/>
        <v>41485.063243868695</v>
      </c>
      <c r="AW521" s="532">
        <f t="shared" si="665"/>
        <v>41485.063243868695</v>
      </c>
      <c r="AX521" s="532">
        <f t="shared" ref="AX521:BM523" si="666">(INDEX($I521:$N521,MATCH(AX$2,$I$3:$N$3,0)))/12</f>
        <v>41485.063243868695</v>
      </c>
      <c r="AY521" s="532">
        <f t="shared" si="666"/>
        <v>41485.063243868695</v>
      </c>
      <c r="AZ521" s="532">
        <f t="shared" si="666"/>
        <v>41485.063243868695</v>
      </c>
      <c r="BA521" s="532">
        <f t="shared" si="666"/>
        <v>41485.063243868695</v>
      </c>
      <c r="BB521" s="532">
        <f t="shared" si="666"/>
        <v>41485.063243868695</v>
      </c>
      <c r="BC521" s="532">
        <f t="shared" si="666"/>
        <v>41485.063243868695</v>
      </c>
      <c r="BD521" s="532">
        <f t="shared" si="666"/>
        <v>41485.063243868695</v>
      </c>
      <c r="BE521" s="532">
        <f t="shared" si="666"/>
        <v>41485.063243868695</v>
      </c>
      <c r="BF521" s="532">
        <f t="shared" si="666"/>
        <v>41485.063243868695</v>
      </c>
      <c r="BG521" s="532">
        <f t="shared" si="666"/>
        <v>41485.063243868695</v>
      </c>
      <c r="BH521" s="532">
        <f t="shared" si="666"/>
        <v>41485.063243868695</v>
      </c>
      <c r="BI521" s="532">
        <f t="shared" si="666"/>
        <v>41485.063243868695</v>
      </c>
      <c r="BJ521" s="532">
        <f t="shared" si="666"/>
        <v>41485.063243868695</v>
      </c>
      <c r="BK521" s="532">
        <f t="shared" si="666"/>
        <v>41485.063243868695</v>
      </c>
      <c r="BL521" s="532">
        <f t="shared" si="666"/>
        <v>41485.063243868695</v>
      </c>
      <c r="BM521" s="532">
        <f t="shared" si="666"/>
        <v>41485.063243868695</v>
      </c>
      <c r="BN521" s="532">
        <f t="shared" ref="BN521:BY523" si="667">(INDEX($I521:$N521,MATCH(BN$2,$I$3:$N$3,0)))/12</f>
        <v>41485.063243868695</v>
      </c>
      <c r="BO521" s="532">
        <f t="shared" si="667"/>
        <v>41485.063243868695</v>
      </c>
      <c r="BP521" s="532">
        <f t="shared" si="667"/>
        <v>41485.063243868695</v>
      </c>
      <c r="BQ521" s="532">
        <f t="shared" si="667"/>
        <v>41485.063243868695</v>
      </c>
      <c r="BR521" s="532">
        <f t="shared" si="667"/>
        <v>41485.063243868695</v>
      </c>
      <c r="BS521" s="532">
        <f t="shared" si="667"/>
        <v>41485.063243868695</v>
      </c>
      <c r="BT521" s="532">
        <f t="shared" si="667"/>
        <v>41485.063243868695</v>
      </c>
      <c r="BU521" s="532">
        <f t="shared" si="667"/>
        <v>41485.063243868695</v>
      </c>
      <c r="BV521" s="532">
        <f t="shared" si="667"/>
        <v>41485.063243868695</v>
      </c>
      <c r="BW521" s="532">
        <f t="shared" si="667"/>
        <v>41485.063243868695</v>
      </c>
      <c r="BX521" s="532">
        <f t="shared" si="667"/>
        <v>41485.063243868695</v>
      </c>
      <c r="BY521" s="532">
        <f t="shared" si="667"/>
        <v>41485.063243868695</v>
      </c>
      <c r="CB521" s="37"/>
    </row>
    <row r="522" spans="1:80" x14ac:dyDescent="0.3">
      <c r="A522" s="322"/>
      <c r="B522" s="322" t="s">
        <v>7</v>
      </c>
      <c r="C522" s="322" cm="1">
        <f t="array" ref="C522">SUMPRODUCT((Index_Tab!$D$36:$D$45=$B522)*(Index_Tab!$E$35:$F$35=$B$3)*Index_Tab!$E$36:$F$45)</f>
        <v>12</v>
      </c>
      <c r="D522" s="322"/>
      <c r="E522" s="2" t="s">
        <v>392</v>
      </c>
      <c r="F522" s="54"/>
      <c r="G522" s="54"/>
      <c r="H522" s="37"/>
      <c r="I522" s="67">
        <v>-245025.65033966996</v>
      </c>
      <c r="J522" s="19" cm="1">
        <f t="array" ref="J522">I522*(1+INDEX(('Detailed Assumptions'!$D$59:$J$79,'Detailed Assumptions'!$L$59:$R$79,'Detailed Assumptions'!$T$59:$Z$79,'Detailed Assumptions'!$AB$59:$AH$79),$C522,J$2,$C$506))</f>
        <v>-245025.65033966996</v>
      </c>
      <c r="K522" s="19" cm="1">
        <f t="array" ref="K522">J522*(1+INDEX(('Detailed Assumptions'!$D$59:$J$79,'Detailed Assumptions'!$L$59:$R$79,'Detailed Assumptions'!$T$59:$Z$79,'Detailed Assumptions'!$AB$59:$AH$79),$C522,K$2,$C$506))</f>
        <v>-245025.65033966996</v>
      </c>
      <c r="L522" s="19" cm="1">
        <f t="array" ref="L522">K522*(1+INDEX(('Detailed Assumptions'!$D$59:$J$79,'Detailed Assumptions'!$L$59:$R$79,'Detailed Assumptions'!$T$59:$Z$79,'Detailed Assumptions'!$AB$59:$AH$79),$C522,L$2,$C$506))</f>
        <v>-245025.65033966996</v>
      </c>
      <c r="M522" s="19" cm="1">
        <f t="array" ref="M522">L522*(1+INDEX(('Detailed Assumptions'!$D$59:$J$79,'Detailed Assumptions'!$L$59:$R$79,'Detailed Assumptions'!$T$59:$Z$79,'Detailed Assumptions'!$AB$59:$AH$79),$C522,M$2,$C$506))</f>
        <v>-245025.65033966996</v>
      </c>
      <c r="N522" s="19" cm="1">
        <f t="array" ref="N522">M522*(1+INDEX(('Detailed Assumptions'!$D$59:$J$79,'Detailed Assumptions'!$L$59:$R$79,'Detailed Assumptions'!$T$59:$Z$79,'Detailed Assumptions'!$AB$59:$AH$79),$C522,N$2,$C$506))</f>
        <v>-245025.65033966996</v>
      </c>
      <c r="O522" s="37"/>
      <c r="P522" s="50">
        <f t="shared" si="663"/>
        <v>0</v>
      </c>
      <c r="Q522" s="37"/>
      <c r="R522" s="497">
        <f t="shared" si="664"/>
        <v>-20418.804194972497</v>
      </c>
      <c r="S522" s="497">
        <f t="shared" si="664"/>
        <v>-20418.804194972497</v>
      </c>
      <c r="T522" s="497">
        <f t="shared" si="664"/>
        <v>-20418.804194972497</v>
      </c>
      <c r="U522" s="497">
        <f t="shared" si="664"/>
        <v>-20418.804194972497</v>
      </c>
      <c r="V522" s="497">
        <f t="shared" si="664"/>
        <v>-20418.804194972497</v>
      </c>
      <c r="W522" s="497">
        <f t="shared" si="664"/>
        <v>-20418.804194972497</v>
      </c>
      <c r="X522" s="497">
        <f t="shared" si="664"/>
        <v>-20418.804194972497</v>
      </c>
      <c r="Y522" s="497">
        <f t="shared" si="664"/>
        <v>-20418.804194972497</v>
      </c>
      <c r="Z522" s="497">
        <f t="shared" si="664"/>
        <v>-20418.804194972497</v>
      </c>
      <c r="AA522" s="497">
        <f t="shared" si="664"/>
        <v>-20418.804194972497</v>
      </c>
      <c r="AB522" s="497">
        <f t="shared" si="664"/>
        <v>-20418.804194972497</v>
      </c>
      <c r="AC522" s="497">
        <f t="shared" si="664"/>
        <v>-20418.804194972497</v>
      </c>
      <c r="AD522" s="497">
        <f t="shared" si="664"/>
        <v>-20418.804194972497</v>
      </c>
      <c r="AE522" s="497">
        <f t="shared" si="664"/>
        <v>-20418.804194972497</v>
      </c>
      <c r="AF522" s="497">
        <f t="shared" si="664"/>
        <v>-20418.804194972497</v>
      </c>
      <c r="AG522" s="497">
        <f t="shared" si="664"/>
        <v>-20418.804194972497</v>
      </c>
      <c r="AH522" s="497">
        <f t="shared" si="665"/>
        <v>-20418.804194972497</v>
      </c>
      <c r="AI522" s="497">
        <f t="shared" si="665"/>
        <v>-20418.804194972497</v>
      </c>
      <c r="AJ522" s="497">
        <f t="shared" si="665"/>
        <v>-20418.804194972497</v>
      </c>
      <c r="AK522" s="497">
        <f t="shared" si="665"/>
        <v>-20418.804194972497</v>
      </c>
      <c r="AL522" s="497">
        <f t="shared" si="665"/>
        <v>-20418.804194972497</v>
      </c>
      <c r="AM522" s="497">
        <f t="shared" si="665"/>
        <v>-20418.804194972497</v>
      </c>
      <c r="AN522" s="527">
        <f t="shared" si="665"/>
        <v>-20418.804194972497</v>
      </c>
      <c r="AO522" s="527">
        <f t="shared" si="665"/>
        <v>-20418.804194972497</v>
      </c>
      <c r="AP522" s="527">
        <f t="shared" si="665"/>
        <v>-20418.804194972497</v>
      </c>
      <c r="AQ522" s="527">
        <f t="shared" si="665"/>
        <v>-20418.804194972497</v>
      </c>
      <c r="AR522" s="527">
        <f t="shared" si="665"/>
        <v>-20418.804194972497</v>
      </c>
      <c r="AS522" s="527">
        <f t="shared" si="665"/>
        <v>-20418.804194972497</v>
      </c>
      <c r="AT522" s="527">
        <f t="shared" si="665"/>
        <v>-20418.804194972497</v>
      </c>
      <c r="AU522" s="527">
        <f t="shared" si="665"/>
        <v>-20418.804194972497</v>
      </c>
      <c r="AV522" s="527">
        <f t="shared" si="665"/>
        <v>-20418.804194972497</v>
      </c>
      <c r="AW522" s="527">
        <f t="shared" si="665"/>
        <v>-20418.804194972497</v>
      </c>
      <c r="AX522" s="527">
        <f t="shared" si="666"/>
        <v>-20418.804194972497</v>
      </c>
      <c r="AY522" s="527">
        <f t="shared" si="666"/>
        <v>-20418.804194972497</v>
      </c>
      <c r="AZ522" s="527">
        <f t="shared" si="666"/>
        <v>-20418.804194972497</v>
      </c>
      <c r="BA522" s="527">
        <f t="shared" si="666"/>
        <v>-20418.804194972497</v>
      </c>
      <c r="BB522" s="527">
        <f t="shared" si="666"/>
        <v>-20418.804194972497</v>
      </c>
      <c r="BC522" s="527">
        <f t="shared" si="666"/>
        <v>-20418.804194972497</v>
      </c>
      <c r="BD522" s="527">
        <f t="shared" si="666"/>
        <v>-20418.804194972497</v>
      </c>
      <c r="BE522" s="527">
        <f t="shared" si="666"/>
        <v>-20418.804194972497</v>
      </c>
      <c r="BF522" s="527">
        <f t="shared" si="666"/>
        <v>-20418.804194972497</v>
      </c>
      <c r="BG522" s="527">
        <f t="shared" si="666"/>
        <v>-20418.804194972497</v>
      </c>
      <c r="BH522" s="527">
        <f t="shared" si="666"/>
        <v>-20418.804194972497</v>
      </c>
      <c r="BI522" s="527">
        <f t="shared" si="666"/>
        <v>-20418.804194972497</v>
      </c>
      <c r="BJ522" s="527">
        <f t="shared" si="666"/>
        <v>-20418.804194972497</v>
      </c>
      <c r="BK522" s="527">
        <f t="shared" si="666"/>
        <v>-20418.804194972497</v>
      </c>
      <c r="BL522" s="527">
        <f t="shared" si="666"/>
        <v>-20418.804194972497</v>
      </c>
      <c r="BM522" s="527">
        <f t="shared" si="666"/>
        <v>-20418.804194972497</v>
      </c>
      <c r="BN522" s="527">
        <f t="shared" si="667"/>
        <v>-20418.804194972497</v>
      </c>
      <c r="BO522" s="527">
        <f t="shared" si="667"/>
        <v>-20418.804194972497</v>
      </c>
      <c r="BP522" s="527">
        <f t="shared" si="667"/>
        <v>-20418.804194972497</v>
      </c>
      <c r="BQ522" s="527">
        <f t="shared" si="667"/>
        <v>-20418.804194972497</v>
      </c>
      <c r="BR522" s="527">
        <f t="shared" si="667"/>
        <v>-20418.804194972497</v>
      </c>
      <c r="BS522" s="527">
        <f t="shared" si="667"/>
        <v>-20418.804194972497</v>
      </c>
      <c r="BT522" s="527">
        <f t="shared" si="667"/>
        <v>-20418.804194972497</v>
      </c>
      <c r="BU522" s="527">
        <f t="shared" si="667"/>
        <v>-20418.804194972497</v>
      </c>
      <c r="BV522" s="527">
        <f t="shared" si="667"/>
        <v>-20418.804194972497</v>
      </c>
      <c r="BW522" s="527">
        <f t="shared" si="667"/>
        <v>-20418.804194972497</v>
      </c>
      <c r="BX522" s="527">
        <f t="shared" si="667"/>
        <v>-20418.804194972497</v>
      </c>
      <c r="BY522" s="527">
        <f t="shared" si="667"/>
        <v>-20418.804194972497</v>
      </c>
      <c r="CB522" s="37"/>
    </row>
    <row r="523" spans="1:80" x14ac:dyDescent="0.3">
      <c r="A523" s="322"/>
      <c r="B523" s="322" t="s">
        <v>8</v>
      </c>
      <c r="C523" s="322" cm="1">
        <f t="array" ref="C523">SUMPRODUCT((Index_Tab!$D$36:$D$45=$B523)*(Index_Tab!$E$35:$F$35=$B$3)*Index_Tab!$E$36:$F$45)</f>
        <v>0</v>
      </c>
      <c r="D523" s="322"/>
      <c r="E523" s="2" t="s">
        <v>393</v>
      </c>
      <c r="F523" s="54"/>
      <c r="G523" s="54"/>
      <c r="H523" s="37"/>
      <c r="I523" s="67">
        <v>-29077.363677579433</v>
      </c>
      <c r="J523" s="19">
        <f>I523*(1+'Detailed Assumptions'!$E$35)</f>
        <v>-29077.363677579433</v>
      </c>
      <c r="K523" s="19">
        <f>J523*(1+'Detailed Assumptions'!$E$35)</f>
        <v>-29077.363677579433</v>
      </c>
      <c r="L523" s="19">
        <f>K523*(1+'Detailed Assumptions'!$E$35)</f>
        <v>-29077.363677579433</v>
      </c>
      <c r="M523" s="19">
        <f>L523*(1+'Detailed Assumptions'!$E$35)</f>
        <v>-29077.363677579433</v>
      </c>
      <c r="N523" s="19">
        <f>M523*(1+'Detailed Assumptions'!$E$35)</f>
        <v>-29077.363677579433</v>
      </c>
      <c r="O523" s="37"/>
      <c r="P523" s="50">
        <f t="shared" si="663"/>
        <v>0</v>
      </c>
      <c r="Q523" s="37"/>
      <c r="R523" s="497">
        <f t="shared" si="664"/>
        <v>-2423.1136397982859</v>
      </c>
      <c r="S523" s="497">
        <f t="shared" si="664"/>
        <v>-2423.1136397982859</v>
      </c>
      <c r="T523" s="497">
        <f t="shared" si="664"/>
        <v>-2423.1136397982859</v>
      </c>
      <c r="U523" s="497">
        <f t="shared" si="664"/>
        <v>-2423.1136397982859</v>
      </c>
      <c r="V523" s="497">
        <f t="shared" si="664"/>
        <v>-2423.1136397982859</v>
      </c>
      <c r="W523" s="497">
        <f t="shared" si="664"/>
        <v>-2423.1136397982859</v>
      </c>
      <c r="X523" s="497">
        <f t="shared" si="664"/>
        <v>-2423.1136397982859</v>
      </c>
      <c r="Y523" s="497">
        <f t="shared" si="664"/>
        <v>-2423.1136397982859</v>
      </c>
      <c r="Z523" s="497">
        <f t="shared" si="664"/>
        <v>-2423.1136397982859</v>
      </c>
      <c r="AA523" s="497">
        <f t="shared" si="664"/>
        <v>-2423.1136397982859</v>
      </c>
      <c r="AB523" s="497">
        <f t="shared" si="664"/>
        <v>-2423.1136397982859</v>
      </c>
      <c r="AC523" s="497">
        <f t="shared" si="664"/>
        <v>-2423.1136397982859</v>
      </c>
      <c r="AD523" s="497">
        <f t="shared" si="664"/>
        <v>-2423.1136397982859</v>
      </c>
      <c r="AE523" s="497">
        <f t="shared" si="664"/>
        <v>-2423.1136397982859</v>
      </c>
      <c r="AF523" s="497">
        <f t="shared" si="664"/>
        <v>-2423.1136397982859</v>
      </c>
      <c r="AG523" s="497">
        <f t="shared" si="664"/>
        <v>-2423.1136397982859</v>
      </c>
      <c r="AH523" s="497">
        <f t="shared" si="665"/>
        <v>-2423.1136397982859</v>
      </c>
      <c r="AI523" s="497">
        <f t="shared" si="665"/>
        <v>-2423.1136397982859</v>
      </c>
      <c r="AJ523" s="497">
        <f t="shared" si="665"/>
        <v>-2423.1136397982859</v>
      </c>
      <c r="AK523" s="497">
        <f t="shared" si="665"/>
        <v>-2423.1136397982859</v>
      </c>
      <c r="AL523" s="497">
        <f t="shared" si="665"/>
        <v>-2423.1136397982859</v>
      </c>
      <c r="AM523" s="497">
        <f t="shared" si="665"/>
        <v>-2423.1136397982859</v>
      </c>
      <c r="AN523" s="527">
        <f t="shared" si="665"/>
        <v>-2423.1136397982859</v>
      </c>
      <c r="AO523" s="527">
        <f t="shared" si="665"/>
        <v>-2423.1136397982859</v>
      </c>
      <c r="AP523" s="527">
        <f t="shared" si="665"/>
        <v>-2423.1136397982859</v>
      </c>
      <c r="AQ523" s="527">
        <f t="shared" si="665"/>
        <v>-2423.1136397982859</v>
      </c>
      <c r="AR523" s="527">
        <f t="shared" si="665"/>
        <v>-2423.1136397982859</v>
      </c>
      <c r="AS523" s="527">
        <f t="shared" si="665"/>
        <v>-2423.1136397982859</v>
      </c>
      <c r="AT523" s="527">
        <f t="shared" si="665"/>
        <v>-2423.1136397982859</v>
      </c>
      <c r="AU523" s="527">
        <f t="shared" si="665"/>
        <v>-2423.1136397982859</v>
      </c>
      <c r="AV523" s="527">
        <f t="shared" si="665"/>
        <v>-2423.1136397982859</v>
      </c>
      <c r="AW523" s="527">
        <f t="shared" si="665"/>
        <v>-2423.1136397982859</v>
      </c>
      <c r="AX523" s="527">
        <f t="shared" si="666"/>
        <v>-2423.1136397982859</v>
      </c>
      <c r="AY523" s="527">
        <f t="shared" si="666"/>
        <v>-2423.1136397982859</v>
      </c>
      <c r="AZ523" s="527">
        <f t="shared" si="666"/>
        <v>-2423.1136397982859</v>
      </c>
      <c r="BA523" s="527">
        <f t="shared" si="666"/>
        <v>-2423.1136397982859</v>
      </c>
      <c r="BB523" s="527">
        <f t="shared" si="666"/>
        <v>-2423.1136397982859</v>
      </c>
      <c r="BC523" s="527">
        <f t="shared" si="666"/>
        <v>-2423.1136397982859</v>
      </c>
      <c r="BD523" s="527">
        <f t="shared" si="666"/>
        <v>-2423.1136397982859</v>
      </c>
      <c r="BE523" s="527">
        <f t="shared" si="666"/>
        <v>-2423.1136397982859</v>
      </c>
      <c r="BF523" s="527">
        <f t="shared" si="666"/>
        <v>-2423.1136397982859</v>
      </c>
      <c r="BG523" s="527">
        <f t="shared" si="666"/>
        <v>-2423.1136397982859</v>
      </c>
      <c r="BH523" s="527">
        <f t="shared" si="666"/>
        <v>-2423.1136397982859</v>
      </c>
      <c r="BI523" s="527">
        <f t="shared" si="666"/>
        <v>-2423.1136397982859</v>
      </c>
      <c r="BJ523" s="527">
        <f t="shared" si="666"/>
        <v>-2423.1136397982859</v>
      </c>
      <c r="BK523" s="527">
        <f t="shared" si="666"/>
        <v>-2423.1136397982859</v>
      </c>
      <c r="BL523" s="527">
        <f t="shared" si="666"/>
        <v>-2423.1136397982859</v>
      </c>
      <c r="BM523" s="527">
        <f t="shared" si="666"/>
        <v>-2423.1136397982859</v>
      </c>
      <c r="BN523" s="527">
        <f t="shared" si="667"/>
        <v>-2423.1136397982859</v>
      </c>
      <c r="BO523" s="527">
        <f t="shared" si="667"/>
        <v>-2423.1136397982859</v>
      </c>
      <c r="BP523" s="527">
        <f t="shared" si="667"/>
        <v>-2423.1136397982859</v>
      </c>
      <c r="BQ523" s="527">
        <f t="shared" si="667"/>
        <v>-2423.1136397982859</v>
      </c>
      <c r="BR523" s="527">
        <f t="shared" si="667"/>
        <v>-2423.1136397982859</v>
      </c>
      <c r="BS523" s="527">
        <f t="shared" si="667"/>
        <v>-2423.1136397982859</v>
      </c>
      <c r="BT523" s="527">
        <f t="shared" si="667"/>
        <v>-2423.1136397982859</v>
      </c>
      <c r="BU523" s="527">
        <f t="shared" si="667"/>
        <v>-2423.1136397982859</v>
      </c>
      <c r="BV523" s="527">
        <f t="shared" si="667"/>
        <v>-2423.1136397982859</v>
      </c>
      <c r="BW523" s="527">
        <f t="shared" si="667"/>
        <v>-2423.1136397982859</v>
      </c>
      <c r="BX523" s="527">
        <f t="shared" si="667"/>
        <v>-2423.1136397982859</v>
      </c>
      <c r="BY523" s="527">
        <f t="shared" si="667"/>
        <v>-2423.1136397982859</v>
      </c>
      <c r="CB523" s="37"/>
    </row>
    <row r="524" spans="1:80" x14ac:dyDescent="0.3">
      <c r="A524" s="322"/>
      <c r="B524" s="322" t="s">
        <v>9</v>
      </c>
      <c r="C524" s="322" cm="1">
        <f t="array" ref="C524">SUMPRODUCT((Index_Tab!$D$36:$D$45=$B524)*(Index_Tab!$E$35:$F$35=$B$3)*Index_Tab!$E$36:$F$45)</f>
        <v>0</v>
      </c>
      <c r="D524" s="322"/>
      <c r="E524" s="4" t="s">
        <v>394</v>
      </c>
      <c r="F524" s="5"/>
      <c r="G524" s="5"/>
      <c r="H524" s="37"/>
      <c r="I524" s="506">
        <v>160272.15000000002</v>
      </c>
      <c r="J524" s="500">
        <f>SUM(J521:J523)</f>
        <v>223717.74490917491</v>
      </c>
      <c r="K524" s="500">
        <f>SUM(K521:K523)</f>
        <v>223717.74490917491</v>
      </c>
      <c r="L524" s="500">
        <f>SUM(L521:L523)</f>
        <v>223717.74490917491</v>
      </c>
      <c r="M524" s="500">
        <f>SUM(M521:M523)</f>
        <v>223717.74490917491</v>
      </c>
      <c r="N524" s="500">
        <f>SUM(N521:N523)</f>
        <v>223717.74490917491</v>
      </c>
      <c r="O524" s="57"/>
      <c r="P524" s="55">
        <f t="shared" si="663"/>
        <v>6.8977277992343655E-2</v>
      </c>
      <c r="Q524" s="37"/>
      <c r="R524" s="500">
        <f t="shared" ref="R524:BX524" si="668">SUM(R521:R523)</f>
        <v>18643.145409097913</v>
      </c>
      <c r="S524" s="500">
        <f t="shared" si="668"/>
        <v>18643.145409097913</v>
      </c>
      <c r="T524" s="500">
        <f t="shared" si="668"/>
        <v>18643.145409097913</v>
      </c>
      <c r="U524" s="500">
        <f t="shared" si="668"/>
        <v>18643.145409097913</v>
      </c>
      <c r="V524" s="500">
        <f t="shared" si="668"/>
        <v>18643.145409097913</v>
      </c>
      <c r="W524" s="500">
        <f t="shared" si="668"/>
        <v>18643.145409097913</v>
      </c>
      <c r="X524" s="500">
        <f t="shared" si="668"/>
        <v>18643.145409097913</v>
      </c>
      <c r="Y524" s="500">
        <f t="shared" si="668"/>
        <v>18643.145409097913</v>
      </c>
      <c r="Z524" s="500">
        <f t="shared" si="668"/>
        <v>18643.145409097913</v>
      </c>
      <c r="AA524" s="500">
        <f t="shared" si="668"/>
        <v>18643.145409097913</v>
      </c>
      <c r="AB524" s="500">
        <f t="shared" si="668"/>
        <v>18643.145409097913</v>
      </c>
      <c r="AC524" s="500">
        <f t="shared" si="668"/>
        <v>18643.145409097913</v>
      </c>
      <c r="AD524" s="500">
        <f t="shared" si="668"/>
        <v>18643.145409097913</v>
      </c>
      <c r="AE524" s="500">
        <f t="shared" si="668"/>
        <v>18643.145409097913</v>
      </c>
      <c r="AF524" s="500">
        <f t="shared" si="668"/>
        <v>18643.145409097913</v>
      </c>
      <c r="AG524" s="500">
        <f t="shared" si="668"/>
        <v>18643.145409097913</v>
      </c>
      <c r="AH524" s="500">
        <f t="shared" si="668"/>
        <v>18643.145409097913</v>
      </c>
      <c r="AI524" s="500">
        <f t="shared" si="668"/>
        <v>18643.145409097913</v>
      </c>
      <c r="AJ524" s="500">
        <f t="shared" si="668"/>
        <v>18643.145409097913</v>
      </c>
      <c r="AK524" s="500">
        <f t="shared" si="668"/>
        <v>18643.145409097913</v>
      </c>
      <c r="AL524" s="500">
        <f t="shared" si="668"/>
        <v>18643.145409097913</v>
      </c>
      <c r="AM524" s="500">
        <f t="shared" si="668"/>
        <v>18643.145409097913</v>
      </c>
      <c r="AN524" s="532">
        <f t="shared" si="668"/>
        <v>18643.145409097913</v>
      </c>
      <c r="AO524" s="532">
        <f t="shared" si="668"/>
        <v>18643.145409097913</v>
      </c>
      <c r="AP524" s="532">
        <f t="shared" si="668"/>
        <v>18643.145409097913</v>
      </c>
      <c r="AQ524" s="532">
        <f t="shared" si="668"/>
        <v>18643.145409097913</v>
      </c>
      <c r="AR524" s="532">
        <f t="shared" si="668"/>
        <v>18643.145409097913</v>
      </c>
      <c r="AS524" s="532">
        <f t="shared" si="668"/>
        <v>18643.145409097913</v>
      </c>
      <c r="AT524" s="532">
        <f t="shared" si="668"/>
        <v>18643.145409097913</v>
      </c>
      <c r="AU524" s="532">
        <f t="shared" si="668"/>
        <v>18643.145409097913</v>
      </c>
      <c r="AV524" s="532">
        <f t="shared" si="668"/>
        <v>18643.145409097913</v>
      </c>
      <c r="AW524" s="532">
        <f t="shared" si="668"/>
        <v>18643.145409097913</v>
      </c>
      <c r="AX524" s="532">
        <f t="shared" si="668"/>
        <v>18643.145409097913</v>
      </c>
      <c r="AY524" s="532">
        <f t="shared" si="668"/>
        <v>18643.145409097913</v>
      </c>
      <c r="AZ524" s="532">
        <f t="shared" si="668"/>
        <v>18643.145409097913</v>
      </c>
      <c r="BA524" s="532">
        <f t="shared" si="668"/>
        <v>18643.145409097913</v>
      </c>
      <c r="BB524" s="532">
        <f t="shared" si="668"/>
        <v>18643.145409097913</v>
      </c>
      <c r="BC524" s="532">
        <f t="shared" si="668"/>
        <v>18643.145409097913</v>
      </c>
      <c r="BD524" s="532">
        <f t="shared" si="668"/>
        <v>18643.145409097913</v>
      </c>
      <c r="BE524" s="532">
        <f t="shared" si="668"/>
        <v>18643.145409097913</v>
      </c>
      <c r="BF524" s="532">
        <f t="shared" si="668"/>
        <v>18643.145409097913</v>
      </c>
      <c r="BG524" s="532">
        <f t="shared" si="668"/>
        <v>18643.145409097913</v>
      </c>
      <c r="BH524" s="532">
        <f t="shared" si="668"/>
        <v>18643.145409097913</v>
      </c>
      <c r="BI524" s="532">
        <f t="shared" si="668"/>
        <v>18643.145409097913</v>
      </c>
      <c r="BJ524" s="532">
        <f t="shared" si="668"/>
        <v>18643.145409097913</v>
      </c>
      <c r="BK524" s="532">
        <f t="shared" si="668"/>
        <v>18643.145409097913</v>
      </c>
      <c r="BL524" s="532">
        <f t="shared" si="668"/>
        <v>18643.145409097913</v>
      </c>
      <c r="BM524" s="532">
        <f t="shared" si="668"/>
        <v>18643.145409097913</v>
      </c>
      <c r="BN524" s="532">
        <f t="shared" si="668"/>
        <v>18643.145409097913</v>
      </c>
      <c r="BO524" s="532">
        <f t="shared" si="668"/>
        <v>18643.145409097913</v>
      </c>
      <c r="BP524" s="532">
        <f t="shared" si="668"/>
        <v>18643.145409097913</v>
      </c>
      <c r="BQ524" s="532">
        <f t="shared" si="668"/>
        <v>18643.145409097913</v>
      </c>
      <c r="BR524" s="532">
        <f t="shared" si="668"/>
        <v>18643.145409097913</v>
      </c>
      <c r="BS524" s="532">
        <f t="shared" si="668"/>
        <v>18643.145409097913</v>
      </c>
      <c r="BT524" s="532">
        <f t="shared" si="668"/>
        <v>18643.145409097913</v>
      </c>
      <c r="BU524" s="532">
        <f t="shared" si="668"/>
        <v>18643.145409097913</v>
      </c>
      <c r="BV524" s="532">
        <f t="shared" si="668"/>
        <v>18643.145409097913</v>
      </c>
      <c r="BW524" s="532">
        <f t="shared" si="668"/>
        <v>18643.145409097913</v>
      </c>
      <c r="BX524" s="532">
        <f t="shared" si="668"/>
        <v>18643.145409097913</v>
      </c>
      <c r="BY524" s="532">
        <f>SUM(BY521:BY523)</f>
        <v>18643.145409097913</v>
      </c>
      <c r="CB524" s="37"/>
    </row>
    <row r="525" spans="1:80" x14ac:dyDescent="0.3">
      <c r="A525" s="322"/>
      <c r="B525" s="322" t="s">
        <v>10</v>
      </c>
      <c r="C525" s="322" cm="1">
        <f t="array" ref="C525">SUMPRODUCT((Index_Tab!$D$36:$D$45=$B525)*(Index_Tab!$E$35:$F$35=$B$3)*Index_Tab!$E$36:$F$45)</f>
        <v>13</v>
      </c>
      <c r="D525" s="322"/>
      <c r="E525" s="2" t="s">
        <v>395</v>
      </c>
      <c r="F525" s="54"/>
      <c r="G525" s="54"/>
      <c r="H525" s="37"/>
      <c r="I525" s="67">
        <v>-49539.802762579428</v>
      </c>
      <c r="J525" s="19" cm="1">
        <f t="array" ref="J525">I525*(1+INDEX(('Detailed Assumptions'!$D$59:$J$79,'Detailed Assumptions'!$L$59:$R$79,'Detailed Assumptions'!$T$59:$Z$79,'Detailed Assumptions'!$AB$59:$AH$79),$C525,J$2,$C$506))</f>
        <v>-49539.802762579428</v>
      </c>
      <c r="K525" s="19" cm="1">
        <f t="array" ref="K525">J525*(1+INDEX(('Detailed Assumptions'!$D$59:$J$79,'Detailed Assumptions'!$L$59:$R$79,'Detailed Assumptions'!$T$59:$Z$79,'Detailed Assumptions'!$AB$59:$AH$79),$C525,K$2,$C$506))</f>
        <v>-49539.802762579428</v>
      </c>
      <c r="L525" s="19" cm="1">
        <f t="array" ref="L525">K525*(1+INDEX(('Detailed Assumptions'!$D$59:$J$79,'Detailed Assumptions'!$L$59:$R$79,'Detailed Assumptions'!$T$59:$Z$79,'Detailed Assumptions'!$AB$59:$AH$79),$C525,L$2,$C$506))</f>
        <v>-49539.802762579428</v>
      </c>
      <c r="M525" s="19" cm="1">
        <f t="array" ref="M525">L525*(1+INDEX(('Detailed Assumptions'!$D$59:$J$79,'Detailed Assumptions'!$L$59:$R$79,'Detailed Assumptions'!$T$59:$Z$79,'Detailed Assumptions'!$AB$59:$AH$79),$C525,M$2,$C$506))</f>
        <v>-49539.802762579428</v>
      </c>
      <c r="N525" s="19" cm="1">
        <f t="array" ref="N525">M525*(1+INDEX(('Detailed Assumptions'!$D$59:$J$79,'Detailed Assumptions'!$L$59:$R$79,'Detailed Assumptions'!$T$59:$Z$79,'Detailed Assumptions'!$AB$59:$AH$79),$C525,N$2,$C$506))</f>
        <v>-49539.802762579428</v>
      </c>
      <c r="O525" s="37"/>
      <c r="P525" s="50">
        <f t="shared" si="663"/>
        <v>0</v>
      </c>
      <c r="Q525" s="37"/>
      <c r="R525" s="497">
        <f t="shared" ref="R525:BY525" si="669">(INDEX($I525:$N525,MATCH(R$2,$I$3:$N$3,0)))/12</f>
        <v>-4128.316896881619</v>
      </c>
      <c r="S525" s="497">
        <f t="shared" si="669"/>
        <v>-4128.316896881619</v>
      </c>
      <c r="T525" s="497">
        <f t="shared" si="669"/>
        <v>-4128.316896881619</v>
      </c>
      <c r="U525" s="497">
        <f t="shared" si="669"/>
        <v>-4128.316896881619</v>
      </c>
      <c r="V525" s="497">
        <f t="shared" si="669"/>
        <v>-4128.316896881619</v>
      </c>
      <c r="W525" s="497">
        <f t="shared" si="669"/>
        <v>-4128.316896881619</v>
      </c>
      <c r="X525" s="497">
        <f t="shared" si="669"/>
        <v>-4128.316896881619</v>
      </c>
      <c r="Y525" s="497">
        <f t="shared" si="669"/>
        <v>-4128.316896881619</v>
      </c>
      <c r="Z525" s="497">
        <f t="shared" si="669"/>
        <v>-4128.316896881619</v>
      </c>
      <c r="AA525" s="497">
        <f t="shared" si="669"/>
        <v>-4128.316896881619</v>
      </c>
      <c r="AB525" s="497">
        <f t="shared" si="669"/>
        <v>-4128.316896881619</v>
      </c>
      <c r="AC525" s="497">
        <f t="shared" si="669"/>
        <v>-4128.316896881619</v>
      </c>
      <c r="AD525" s="497">
        <f t="shared" si="669"/>
        <v>-4128.316896881619</v>
      </c>
      <c r="AE525" s="497">
        <f t="shared" si="669"/>
        <v>-4128.316896881619</v>
      </c>
      <c r="AF525" s="497">
        <f t="shared" si="669"/>
        <v>-4128.316896881619</v>
      </c>
      <c r="AG525" s="497">
        <f t="shared" si="669"/>
        <v>-4128.316896881619</v>
      </c>
      <c r="AH525" s="497">
        <f t="shared" si="669"/>
        <v>-4128.316896881619</v>
      </c>
      <c r="AI525" s="497">
        <f t="shared" si="669"/>
        <v>-4128.316896881619</v>
      </c>
      <c r="AJ525" s="497">
        <f t="shared" si="669"/>
        <v>-4128.316896881619</v>
      </c>
      <c r="AK525" s="497">
        <f t="shared" si="669"/>
        <v>-4128.316896881619</v>
      </c>
      <c r="AL525" s="497">
        <f t="shared" si="669"/>
        <v>-4128.316896881619</v>
      </c>
      <c r="AM525" s="497">
        <f t="shared" si="669"/>
        <v>-4128.316896881619</v>
      </c>
      <c r="AN525" s="527">
        <f t="shared" si="669"/>
        <v>-4128.316896881619</v>
      </c>
      <c r="AO525" s="527">
        <f t="shared" si="669"/>
        <v>-4128.316896881619</v>
      </c>
      <c r="AP525" s="527">
        <f t="shared" si="669"/>
        <v>-4128.316896881619</v>
      </c>
      <c r="AQ525" s="527">
        <f t="shared" si="669"/>
        <v>-4128.316896881619</v>
      </c>
      <c r="AR525" s="527">
        <f t="shared" si="669"/>
        <v>-4128.316896881619</v>
      </c>
      <c r="AS525" s="527">
        <f t="shared" si="669"/>
        <v>-4128.316896881619</v>
      </c>
      <c r="AT525" s="527">
        <f t="shared" si="669"/>
        <v>-4128.316896881619</v>
      </c>
      <c r="AU525" s="527">
        <f t="shared" si="669"/>
        <v>-4128.316896881619</v>
      </c>
      <c r="AV525" s="527">
        <f t="shared" si="669"/>
        <v>-4128.316896881619</v>
      </c>
      <c r="AW525" s="527">
        <f t="shared" si="669"/>
        <v>-4128.316896881619</v>
      </c>
      <c r="AX525" s="527">
        <f t="shared" si="669"/>
        <v>-4128.316896881619</v>
      </c>
      <c r="AY525" s="527">
        <f t="shared" si="669"/>
        <v>-4128.316896881619</v>
      </c>
      <c r="AZ525" s="527">
        <f t="shared" si="669"/>
        <v>-4128.316896881619</v>
      </c>
      <c r="BA525" s="527">
        <f t="shared" si="669"/>
        <v>-4128.316896881619</v>
      </c>
      <c r="BB525" s="527">
        <f t="shared" si="669"/>
        <v>-4128.316896881619</v>
      </c>
      <c r="BC525" s="527">
        <f t="shared" si="669"/>
        <v>-4128.316896881619</v>
      </c>
      <c r="BD525" s="527">
        <f t="shared" si="669"/>
        <v>-4128.316896881619</v>
      </c>
      <c r="BE525" s="527">
        <f t="shared" si="669"/>
        <v>-4128.316896881619</v>
      </c>
      <c r="BF525" s="527">
        <f t="shared" si="669"/>
        <v>-4128.316896881619</v>
      </c>
      <c r="BG525" s="527">
        <f t="shared" si="669"/>
        <v>-4128.316896881619</v>
      </c>
      <c r="BH525" s="527">
        <f t="shared" si="669"/>
        <v>-4128.316896881619</v>
      </c>
      <c r="BI525" s="527">
        <f t="shared" si="669"/>
        <v>-4128.316896881619</v>
      </c>
      <c r="BJ525" s="527">
        <f t="shared" si="669"/>
        <v>-4128.316896881619</v>
      </c>
      <c r="BK525" s="527">
        <f t="shared" si="669"/>
        <v>-4128.316896881619</v>
      </c>
      <c r="BL525" s="527">
        <f t="shared" si="669"/>
        <v>-4128.316896881619</v>
      </c>
      <c r="BM525" s="527">
        <f t="shared" si="669"/>
        <v>-4128.316896881619</v>
      </c>
      <c r="BN525" s="527">
        <f t="shared" si="669"/>
        <v>-4128.316896881619</v>
      </c>
      <c r="BO525" s="527">
        <f t="shared" si="669"/>
        <v>-4128.316896881619</v>
      </c>
      <c r="BP525" s="527">
        <f t="shared" si="669"/>
        <v>-4128.316896881619</v>
      </c>
      <c r="BQ525" s="527">
        <f t="shared" si="669"/>
        <v>-4128.316896881619</v>
      </c>
      <c r="BR525" s="527">
        <f t="shared" si="669"/>
        <v>-4128.316896881619</v>
      </c>
      <c r="BS525" s="527">
        <f t="shared" si="669"/>
        <v>-4128.316896881619</v>
      </c>
      <c r="BT525" s="527">
        <f t="shared" si="669"/>
        <v>-4128.316896881619</v>
      </c>
      <c r="BU525" s="527">
        <f t="shared" si="669"/>
        <v>-4128.316896881619</v>
      </c>
      <c r="BV525" s="527">
        <f t="shared" si="669"/>
        <v>-4128.316896881619</v>
      </c>
      <c r="BW525" s="527">
        <f t="shared" si="669"/>
        <v>-4128.316896881619</v>
      </c>
      <c r="BX525" s="527">
        <f t="shared" si="669"/>
        <v>-4128.316896881619</v>
      </c>
      <c r="BY525" s="527">
        <f t="shared" si="669"/>
        <v>-4128.316896881619</v>
      </c>
      <c r="CB525" s="37"/>
    </row>
    <row r="526" spans="1:80" x14ac:dyDescent="0.3">
      <c r="A526" s="322"/>
      <c r="B526" s="322" t="s">
        <v>11</v>
      </c>
      <c r="C526" s="322" cm="1">
        <f t="array" ref="C526">SUMPRODUCT((Index_Tab!$D$36:$D$45=$B526)*(Index_Tab!$E$35:$F$35=$B$3)*Index_Tab!$E$36:$F$45)</f>
        <v>0</v>
      </c>
      <c r="D526" s="322"/>
      <c r="E526" s="4" t="s">
        <v>396</v>
      </c>
      <c r="F526" s="5"/>
      <c r="G526" s="5"/>
      <c r="H526" s="37"/>
      <c r="I526" s="506">
        <v>174177.94214659548</v>
      </c>
      <c r="J526" s="500">
        <f>SUM(J524:J525)</f>
        <v>174177.94214659548</v>
      </c>
      <c r="K526" s="500">
        <f>SUM(K524:K525)</f>
        <v>174177.94214659548</v>
      </c>
      <c r="L526" s="500">
        <f>SUM(L524:L525)</f>
        <v>174177.94214659548</v>
      </c>
      <c r="M526" s="500">
        <f>SUM(M524:M525)</f>
        <v>174177.94214659548</v>
      </c>
      <c r="N526" s="500">
        <f>SUM(N524:N525)</f>
        <v>174177.94214659548</v>
      </c>
      <c r="O526" s="57"/>
      <c r="P526" s="55">
        <f t="shared" si="663"/>
        <v>0</v>
      </c>
      <c r="Q526" s="37"/>
      <c r="R526" s="500">
        <f t="shared" ref="R526:BX526" si="670">SUM(R524:R525)</f>
        <v>14514.828512216294</v>
      </c>
      <c r="S526" s="500">
        <f t="shared" si="670"/>
        <v>14514.828512216294</v>
      </c>
      <c r="T526" s="500">
        <f t="shared" si="670"/>
        <v>14514.828512216294</v>
      </c>
      <c r="U526" s="500">
        <f t="shared" si="670"/>
        <v>14514.828512216294</v>
      </c>
      <c r="V526" s="500">
        <f t="shared" si="670"/>
        <v>14514.828512216294</v>
      </c>
      <c r="W526" s="500">
        <f t="shared" si="670"/>
        <v>14514.828512216294</v>
      </c>
      <c r="X526" s="500">
        <f t="shared" si="670"/>
        <v>14514.828512216294</v>
      </c>
      <c r="Y526" s="500">
        <f t="shared" si="670"/>
        <v>14514.828512216294</v>
      </c>
      <c r="Z526" s="500">
        <f t="shared" si="670"/>
        <v>14514.828512216294</v>
      </c>
      <c r="AA526" s="500">
        <f t="shared" si="670"/>
        <v>14514.828512216294</v>
      </c>
      <c r="AB526" s="500">
        <f t="shared" si="670"/>
        <v>14514.828512216294</v>
      </c>
      <c r="AC526" s="500">
        <f t="shared" si="670"/>
        <v>14514.828512216294</v>
      </c>
      <c r="AD526" s="500">
        <f t="shared" si="670"/>
        <v>14514.828512216294</v>
      </c>
      <c r="AE526" s="500">
        <f t="shared" si="670"/>
        <v>14514.828512216294</v>
      </c>
      <c r="AF526" s="500">
        <f t="shared" si="670"/>
        <v>14514.828512216294</v>
      </c>
      <c r="AG526" s="500">
        <f t="shared" si="670"/>
        <v>14514.828512216294</v>
      </c>
      <c r="AH526" s="500">
        <f t="shared" si="670"/>
        <v>14514.828512216294</v>
      </c>
      <c r="AI526" s="500">
        <f t="shared" si="670"/>
        <v>14514.828512216294</v>
      </c>
      <c r="AJ526" s="500">
        <f t="shared" si="670"/>
        <v>14514.828512216294</v>
      </c>
      <c r="AK526" s="500">
        <f t="shared" si="670"/>
        <v>14514.828512216294</v>
      </c>
      <c r="AL526" s="500">
        <f t="shared" si="670"/>
        <v>14514.828512216294</v>
      </c>
      <c r="AM526" s="500">
        <f t="shared" si="670"/>
        <v>14514.828512216294</v>
      </c>
      <c r="AN526" s="532">
        <f t="shared" si="670"/>
        <v>14514.828512216294</v>
      </c>
      <c r="AO526" s="532">
        <f t="shared" si="670"/>
        <v>14514.828512216294</v>
      </c>
      <c r="AP526" s="532">
        <f t="shared" si="670"/>
        <v>14514.828512216294</v>
      </c>
      <c r="AQ526" s="532">
        <f t="shared" si="670"/>
        <v>14514.828512216294</v>
      </c>
      <c r="AR526" s="532">
        <f t="shared" si="670"/>
        <v>14514.828512216294</v>
      </c>
      <c r="AS526" s="532">
        <f t="shared" si="670"/>
        <v>14514.828512216294</v>
      </c>
      <c r="AT526" s="532">
        <f t="shared" si="670"/>
        <v>14514.828512216294</v>
      </c>
      <c r="AU526" s="532">
        <f t="shared" si="670"/>
        <v>14514.828512216294</v>
      </c>
      <c r="AV526" s="532">
        <f t="shared" si="670"/>
        <v>14514.828512216294</v>
      </c>
      <c r="AW526" s="532">
        <f t="shared" si="670"/>
        <v>14514.828512216294</v>
      </c>
      <c r="AX526" s="532">
        <f t="shared" si="670"/>
        <v>14514.828512216294</v>
      </c>
      <c r="AY526" s="532">
        <f t="shared" si="670"/>
        <v>14514.828512216294</v>
      </c>
      <c r="AZ526" s="532">
        <f t="shared" si="670"/>
        <v>14514.828512216294</v>
      </c>
      <c r="BA526" s="532">
        <f t="shared" si="670"/>
        <v>14514.828512216294</v>
      </c>
      <c r="BB526" s="532">
        <f t="shared" si="670"/>
        <v>14514.828512216294</v>
      </c>
      <c r="BC526" s="532">
        <f t="shared" si="670"/>
        <v>14514.828512216294</v>
      </c>
      <c r="BD526" s="532">
        <f t="shared" si="670"/>
        <v>14514.828512216294</v>
      </c>
      <c r="BE526" s="532">
        <f t="shared" si="670"/>
        <v>14514.828512216294</v>
      </c>
      <c r="BF526" s="532">
        <f t="shared" si="670"/>
        <v>14514.828512216294</v>
      </c>
      <c r="BG526" s="532">
        <f t="shared" si="670"/>
        <v>14514.828512216294</v>
      </c>
      <c r="BH526" s="532">
        <f t="shared" si="670"/>
        <v>14514.828512216294</v>
      </c>
      <c r="BI526" s="532">
        <f t="shared" si="670"/>
        <v>14514.828512216294</v>
      </c>
      <c r="BJ526" s="532">
        <f t="shared" si="670"/>
        <v>14514.828512216294</v>
      </c>
      <c r="BK526" s="532">
        <f t="shared" si="670"/>
        <v>14514.828512216294</v>
      </c>
      <c r="BL526" s="532">
        <f t="shared" si="670"/>
        <v>14514.828512216294</v>
      </c>
      <c r="BM526" s="532">
        <f t="shared" si="670"/>
        <v>14514.828512216294</v>
      </c>
      <c r="BN526" s="532">
        <f t="shared" si="670"/>
        <v>14514.828512216294</v>
      </c>
      <c r="BO526" s="532">
        <f t="shared" si="670"/>
        <v>14514.828512216294</v>
      </c>
      <c r="BP526" s="532">
        <f t="shared" si="670"/>
        <v>14514.828512216294</v>
      </c>
      <c r="BQ526" s="532">
        <f t="shared" si="670"/>
        <v>14514.828512216294</v>
      </c>
      <c r="BR526" s="532">
        <f t="shared" si="670"/>
        <v>14514.828512216294</v>
      </c>
      <c r="BS526" s="532">
        <f t="shared" si="670"/>
        <v>14514.828512216294</v>
      </c>
      <c r="BT526" s="532">
        <f t="shared" si="670"/>
        <v>14514.828512216294</v>
      </c>
      <c r="BU526" s="532">
        <f t="shared" si="670"/>
        <v>14514.828512216294</v>
      </c>
      <c r="BV526" s="532">
        <f t="shared" si="670"/>
        <v>14514.828512216294</v>
      </c>
      <c r="BW526" s="532">
        <f t="shared" si="670"/>
        <v>14514.828512216294</v>
      </c>
      <c r="BX526" s="532">
        <f t="shared" si="670"/>
        <v>14514.828512216294</v>
      </c>
      <c r="BY526" s="532">
        <f>SUM(BY524:BY525)</f>
        <v>14514.828512216294</v>
      </c>
      <c r="CB526" s="37"/>
    </row>
    <row r="527" spans="1:80" x14ac:dyDescent="0.3">
      <c r="A527" s="322"/>
      <c r="B527" s="322"/>
      <c r="C527" s="322" cm="1">
        <f t="array" ref="C527">SUMPRODUCT((Index_Tab!$D$36:$D$45=$B527)*(Index_Tab!$E$35:$F$35=$B$3)*Index_Tab!$E$36:$F$45)</f>
        <v>0</v>
      </c>
      <c r="D527" s="322"/>
      <c r="E527" s="2" t="s">
        <v>176</v>
      </c>
      <c r="F527" s="59"/>
      <c r="G527" s="59"/>
      <c r="H527" s="37"/>
      <c r="I527" s="499">
        <f t="shared" ref="I527:N527" si="671">IFERROR(I526/I521,0)</f>
        <v>0.34988083366032996</v>
      </c>
      <c r="J527" s="499">
        <f t="shared" si="671"/>
        <v>0.34988083366032996</v>
      </c>
      <c r="K527" s="499">
        <f t="shared" si="671"/>
        <v>0.34988083366032996</v>
      </c>
      <c r="L527" s="499">
        <f t="shared" si="671"/>
        <v>0.34988083366032996</v>
      </c>
      <c r="M527" s="499">
        <f t="shared" si="671"/>
        <v>0.34988083366032996</v>
      </c>
      <c r="N527" s="499">
        <f t="shared" si="671"/>
        <v>0.34988083366032996</v>
      </c>
      <c r="O527" s="23"/>
      <c r="P527" s="50">
        <f t="shared" si="663"/>
        <v>0</v>
      </c>
      <c r="Q527" s="37"/>
      <c r="R527" s="499">
        <f>IFERROR(J526/J521,0)</f>
        <v>0.34988083366032996</v>
      </c>
      <c r="S527" s="499">
        <f t="shared" ref="S527:BY527" si="672">IFERROR(K526/K521,0)</f>
        <v>0.34988083366032996</v>
      </c>
      <c r="T527" s="499">
        <f t="shared" si="672"/>
        <v>0.34988083366032996</v>
      </c>
      <c r="U527" s="499">
        <f t="shared" si="672"/>
        <v>0.34988083366032996</v>
      </c>
      <c r="V527" s="499">
        <f t="shared" si="672"/>
        <v>0.34988083366032996</v>
      </c>
      <c r="W527" s="499">
        <f t="shared" si="672"/>
        <v>0</v>
      </c>
      <c r="X527" s="499">
        <f t="shared" si="672"/>
        <v>0</v>
      </c>
      <c r="Y527" s="499">
        <f t="shared" si="672"/>
        <v>0</v>
      </c>
      <c r="Z527" s="499">
        <f t="shared" si="672"/>
        <v>0.34988083366033002</v>
      </c>
      <c r="AA527" s="499">
        <f t="shared" si="672"/>
        <v>0.34988083366033002</v>
      </c>
      <c r="AB527" s="499">
        <f t="shared" si="672"/>
        <v>0.34988083366033002</v>
      </c>
      <c r="AC527" s="499">
        <f t="shared" si="672"/>
        <v>0.34988083366033002</v>
      </c>
      <c r="AD527" s="499">
        <f t="shared" si="672"/>
        <v>0.34988083366033002</v>
      </c>
      <c r="AE527" s="499">
        <f t="shared" si="672"/>
        <v>0.34988083366033002</v>
      </c>
      <c r="AF527" s="499">
        <f t="shared" si="672"/>
        <v>0.34988083366033002</v>
      </c>
      <c r="AG527" s="499">
        <f t="shared" si="672"/>
        <v>0.34988083366033002</v>
      </c>
      <c r="AH527" s="499">
        <f t="shared" si="672"/>
        <v>0.34988083366033002</v>
      </c>
      <c r="AI527" s="499">
        <f t="shared" si="672"/>
        <v>0.34988083366033002</v>
      </c>
      <c r="AJ527" s="499">
        <f t="shared" si="672"/>
        <v>0.34988083366033002</v>
      </c>
      <c r="AK527" s="499">
        <f t="shared" si="672"/>
        <v>0.34988083366033002</v>
      </c>
      <c r="AL527" s="499">
        <f t="shared" si="672"/>
        <v>0.34988083366033002</v>
      </c>
      <c r="AM527" s="499">
        <f t="shared" si="672"/>
        <v>0.34988083366033002</v>
      </c>
      <c r="AN527" s="531">
        <f t="shared" si="672"/>
        <v>0.34988083366033002</v>
      </c>
      <c r="AO527" s="531">
        <f t="shared" si="672"/>
        <v>0.34988083366033002</v>
      </c>
      <c r="AP527" s="531">
        <f t="shared" si="672"/>
        <v>0.34988083366033002</v>
      </c>
      <c r="AQ527" s="531">
        <f t="shared" si="672"/>
        <v>0.34988083366033002</v>
      </c>
      <c r="AR527" s="531">
        <f t="shared" si="672"/>
        <v>0.34988083366033002</v>
      </c>
      <c r="AS527" s="531">
        <f t="shared" si="672"/>
        <v>0.34988083366033002</v>
      </c>
      <c r="AT527" s="531">
        <f t="shared" si="672"/>
        <v>0.34988083366033002</v>
      </c>
      <c r="AU527" s="531">
        <f t="shared" si="672"/>
        <v>0.34988083366033002</v>
      </c>
      <c r="AV527" s="531">
        <f t="shared" si="672"/>
        <v>0.34988083366033002</v>
      </c>
      <c r="AW527" s="531">
        <f t="shared" si="672"/>
        <v>0.34988083366033002</v>
      </c>
      <c r="AX527" s="531">
        <f t="shared" si="672"/>
        <v>0.34988083366033002</v>
      </c>
      <c r="AY527" s="531">
        <f t="shared" si="672"/>
        <v>0.34988083366033002</v>
      </c>
      <c r="AZ527" s="531">
        <f t="shared" si="672"/>
        <v>0.34988083366033002</v>
      </c>
      <c r="BA527" s="531">
        <f t="shared" si="672"/>
        <v>0.34988083366033002</v>
      </c>
      <c r="BB527" s="531">
        <f t="shared" si="672"/>
        <v>0.34988083366033002</v>
      </c>
      <c r="BC527" s="531">
        <f t="shared" si="672"/>
        <v>0.34988083366033002</v>
      </c>
      <c r="BD527" s="531">
        <f t="shared" si="672"/>
        <v>0.34988083366033002</v>
      </c>
      <c r="BE527" s="531">
        <f t="shared" si="672"/>
        <v>0.34988083366033002</v>
      </c>
      <c r="BF527" s="531">
        <f t="shared" si="672"/>
        <v>0.34988083366033002</v>
      </c>
      <c r="BG527" s="531">
        <f t="shared" si="672"/>
        <v>0.34988083366033002</v>
      </c>
      <c r="BH527" s="531">
        <f t="shared" si="672"/>
        <v>0.34988083366033002</v>
      </c>
      <c r="BI527" s="531">
        <f t="shared" si="672"/>
        <v>0.34988083366033002</v>
      </c>
      <c r="BJ527" s="531">
        <f t="shared" si="672"/>
        <v>0.34988083366033002</v>
      </c>
      <c r="BK527" s="531">
        <f t="shared" si="672"/>
        <v>0.34988083366033002</v>
      </c>
      <c r="BL527" s="531">
        <f t="shared" si="672"/>
        <v>0.34988083366033002</v>
      </c>
      <c r="BM527" s="531">
        <f t="shared" si="672"/>
        <v>0.34988083366033002</v>
      </c>
      <c r="BN527" s="531">
        <f t="shared" si="672"/>
        <v>0.34988083366033002</v>
      </c>
      <c r="BO527" s="531">
        <f t="shared" si="672"/>
        <v>0.34988083366033002</v>
      </c>
      <c r="BP527" s="531">
        <f t="shared" si="672"/>
        <v>0.34988083366033002</v>
      </c>
      <c r="BQ527" s="531">
        <f t="shared" si="672"/>
        <v>0.34988083366033002</v>
      </c>
      <c r="BR527" s="531">
        <f t="shared" si="672"/>
        <v>0.34988083366033002</v>
      </c>
      <c r="BS527" s="531">
        <f t="shared" si="672"/>
        <v>0.34988083366033002</v>
      </c>
      <c r="BT527" s="531">
        <f t="shared" si="672"/>
        <v>0.34988083366033002</v>
      </c>
      <c r="BU527" s="531">
        <f t="shared" si="672"/>
        <v>0.34988083366033002</v>
      </c>
      <c r="BV527" s="531">
        <f t="shared" si="672"/>
        <v>0.34988083366033002</v>
      </c>
      <c r="BW527" s="531">
        <f t="shared" si="672"/>
        <v>0.34988083366033002</v>
      </c>
      <c r="BX527" s="531">
        <f t="shared" si="672"/>
        <v>0.34988083366033002</v>
      </c>
      <c r="BY527" s="531">
        <f t="shared" si="672"/>
        <v>0.34988083366033002</v>
      </c>
      <c r="CB527" s="37"/>
    </row>
    <row r="528" spans="1:80" x14ac:dyDescent="0.3">
      <c r="A528" s="322"/>
      <c r="B528" s="322"/>
      <c r="C528" s="322" cm="1">
        <f t="array" ref="C528">SUMPRODUCT((Index_Tab!$D$36:$D$45=$B528)*(Index_Tab!$E$35:$F$35=$B$3)*Index_Tab!$E$36:$F$45)</f>
        <v>0</v>
      </c>
      <c r="D528" s="322"/>
      <c r="E528" s="2"/>
      <c r="F528" s="59"/>
      <c r="G528" s="59"/>
      <c r="H528" s="37"/>
      <c r="I528" s="60"/>
      <c r="J528" s="60"/>
      <c r="K528" s="60"/>
      <c r="L528" s="60"/>
      <c r="M528" s="60"/>
      <c r="N528" s="60"/>
      <c r="O528" s="60"/>
      <c r="P528" s="145"/>
      <c r="Q528" s="37"/>
      <c r="R528" s="60"/>
      <c r="S528" s="60"/>
      <c r="T528" s="60"/>
      <c r="U528" s="60"/>
      <c r="V528" s="60"/>
      <c r="W528" s="60"/>
      <c r="X528" s="60"/>
      <c r="Y528" s="60"/>
      <c r="Z528" s="60"/>
      <c r="AA528" s="60"/>
      <c r="AB528" s="60"/>
      <c r="AC528" s="60"/>
      <c r="AD528" s="60"/>
      <c r="AE528" s="60"/>
      <c r="AF528" s="60"/>
      <c r="AG528" s="60"/>
      <c r="AH528" s="60"/>
      <c r="AI528" s="60"/>
      <c r="AJ528" s="60"/>
      <c r="AK528" s="60"/>
      <c r="AL528" s="60"/>
      <c r="AM528" s="60"/>
      <c r="AN528" s="533"/>
      <c r="AO528" s="533"/>
      <c r="AP528" s="533"/>
      <c r="AQ528" s="533"/>
      <c r="AR528" s="533"/>
      <c r="AS528" s="533"/>
      <c r="AT528" s="533"/>
      <c r="AU528" s="533"/>
      <c r="AV528" s="533"/>
      <c r="AW528" s="533"/>
      <c r="AX528" s="533"/>
      <c r="AY528" s="533"/>
      <c r="AZ528" s="533"/>
      <c r="BA528" s="533"/>
      <c r="BB528" s="533"/>
      <c r="BC528" s="533"/>
      <c r="BD528" s="533"/>
      <c r="BE528" s="533"/>
      <c r="BF528" s="533"/>
      <c r="BG528" s="533"/>
      <c r="BH528" s="533"/>
      <c r="BI528" s="533"/>
      <c r="BJ528" s="533"/>
      <c r="BK528" s="533"/>
      <c r="BL528" s="533"/>
      <c r="BM528" s="533"/>
      <c r="BN528" s="533"/>
      <c r="BO528" s="533"/>
      <c r="BP528" s="533"/>
      <c r="BQ528" s="533"/>
      <c r="BR528" s="533"/>
      <c r="BS528" s="533"/>
      <c r="BT528" s="533"/>
      <c r="BU528" s="533"/>
      <c r="BV528" s="533"/>
      <c r="BW528" s="533"/>
      <c r="BX528" s="533"/>
      <c r="BY528" s="533"/>
      <c r="CB528" s="37"/>
    </row>
    <row r="529" spans="1:80" x14ac:dyDescent="0.3">
      <c r="A529" s="322"/>
      <c r="B529" s="322" t="s">
        <v>12</v>
      </c>
      <c r="C529" s="322" cm="1">
        <f t="array" ref="C529">SUMPRODUCT((Index_Tab!$D$36:$D$45=$B529)*(Index_Tab!$E$35:$F$35=$B$3)*Index_Tab!$E$36:$F$45)</f>
        <v>0</v>
      </c>
      <c r="D529" s="322"/>
      <c r="E529" s="62" t="s">
        <v>24</v>
      </c>
      <c r="F529" s="63"/>
      <c r="G529" s="63"/>
      <c r="H529" s="37"/>
      <c r="I529" s="502">
        <f t="shared" ref="I529:N529" si="673">SUM(I526,I517)</f>
        <v>2075303.8534474405</v>
      </c>
      <c r="J529" s="502">
        <f t="shared" si="673"/>
        <v>2183551.7292150608</v>
      </c>
      <c r="K529" s="502">
        <f t="shared" si="673"/>
        <v>2292632.7238515858</v>
      </c>
      <c r="L529" s="502">
        <f t="shared" si="673"/>
        <v>2401522.634898711</v>
      </c>
      <c r="M529" s="502">
        <f t="shared" si="673"/>
        <v>2509370.9446647251</v>
      </c>
      <c r="N529" s="502">
        <f t="shared" si="673"/>
        <v>2621216.8318291679</v>
      </c>
      <c r="O529" s="57"/>
      <c r="P529" s="55">
        <f>IFERROR(((N529/I529)^(1/5))-1,0)</f>
        <v>4.7814130991272963E-2</v>
      </c>
      <c r="Q529" s="37"/>
      <c r="R529" s="502">
        <f t="shared" ref="R529:BY529" si="674">SUM(R526,R517)</f>
        <v>181962.64410125517</v>
      </c>
      <c r="S529" s="502">
        <f t="shared" si="674"/>
        <v>181962.64410125517</v>
      </c>
      <c r="T529" s="502">
        <f t="shared" si="674"/>
        <v>181962.64410125517</v>
      </c>
      <c r="U529" s="502">
        <f t="shared" si="674"/>
        <v>181962.64410125517</v>
      </c>
      <c r="V529" s="502">
        <f t="shared" si="674"/>
        <v>181962.64410125517</v>
      </c>
      <c r="W529" s="502">
        <f t="shared" si="674"/>
        <v>181962.64410125517</v>
      </c>
      <c r="X529" s="502">
        <f t="shared" si="674"/>
        <v>181962.64410125517</v>
      </c>
      <c r="Y529" s="502">
        <f t="shared" si="674"/>
        <v>181962.64410125517</v>
      </c>
      <c r="Z529" s="502">
        <f t="shared" si="674"/>
        <v>181962.64410125517</v>
      </c>
      <c r="AA529" s="502">
        <f t="shared" si="674"/>
        <v>181962.64410125517</v>
      </c>
      <c r="AB529" s="502">
        <f t="shared" si="674"/>
        <v>181962.64410125517</v>
      </c>
      <c r="AC529" s="502">
        <f t="shared" si="674"/>
        <v>181962.64410125517</v>
      </c>
      <c r="AD529" s="502">
        <f t="shared" si="674"/>
        <v>191052.72698763214</v>
      </c>
      <c r="AE529" s="502">
        <f t="shared" si="674"/>
        <v>191052.72698763214</v>
      </c>
      <c r="AF529" s="502">
        <f t="shared" si="674"/>
        <v>191052.72698763214</v>
      </c>
      <c r="AG529" s="502">
        <f t="shared" si="674"/>
        <v>191052.72698763214</v>
      </c>
      <c r="AH529" s="502">
        <f t="shared" si="674"/>
        <v>191052.72698763214</v>
      </c>
      <c r="AI529" s="502">
        <f t="shared" si="674"/>
        <v>191052.72698763214</v>
      </c>
      <c r="AJ529" s="502">
        <f t="shared" si="674"/>
        <v>191052.72698763214</v>
      </c>
      <c r="AK529" s="502">
        <f t="shared" si="674"/>
        <v>191052.72698763214</v>
      </c>
      <c r="AL529" s="502">
        <f t="shared" si="674"/>
        <v>191052.72698763214</v>
      </c>
      <c r="AM529" s="502">
        <f t="shared" si="674"/>
        <v>191052.72698763214</v>
      </c>
      <c r="AN529" s="534">
        <f t="shared" si="674"/>
        <v>191052.72698763214</v>
      </c>
      <c r="AO529" s="534">
        <f t="shared" si="674"/>
        <v>191052.72698763214</v>
      </c>
      <c r="AP529" s="534">
        <f t="shared" si="674"/>
        <v>200126.88624155935</v>
      </c>
      <c r="AQ529" s="534">
        <f t="shared" si="674"/>
        <v>200126.88624155935</v>
      </c>
      <c r="AR529" s="534">
        <f t="shared" si="674"/>
        <v>200126.88624155935</v>
      </c>
      <c r="AS529" s="534">
        <f t="shared" si="674"/>
        <v>200126.88624155935</v>
      </c>
      <c r="AT529" s="534">
        <f t="shared" si="674"/>
        <v>200126.88624155935</v>
      </c>
      <c r="AU529" s="534">
        <f t="shared" si="674"/>
        <v>200126.88624155935</v>
      </c>
      <c r="AV529" s="534">
        <f t="shared" si="674"/>
        <v>200126.88624155935</v>
      </c>
      <c r="AW529" s="534">
        <f t="shared" si="674"/>
        <v>200126.88624155935</v>
      </c>
      <c r="AX529" s="534">
        <f t="shared" si="674"/>
        <v>200126.88624155935</v>
      </c>
      <c r="AY529" s="534">
        <f t="shared" si="674"/>
        <v>200126.88624155935</v>
      </c>
      <c r="AZ529" s="534">
        <f t="shared" si="674"/>
        <v>200126.88624155935</v>
      </c>
      <c r="BA529" s="534">
        <f t="shared" si="674"/>
        <v>200126.88624155935</v>
      </c>
      <c r="BB529" s="534">
        <f t="shared" si="674"/>
        <v>209114.24538872717</v>
      </c>
      <c r="BC529" s="534">
        <f t="shared" si="674"/>
        <v>209114.24538872717</v>
      </c>
      <c r="BD529" s="534">
        <f t="shared" si="674"/>
        <v>209114.24538872717</v>
      </c>
      <c r="BE529" s="534">
        <f t="shared" si="674"/>
        <v>209114.24538872717</v>
      </c>
      <c r="BF529" s="534">
        <f t="shared" si="674"/>
        <v>209114.24538872717</v>
      </c>
      <c r="BG529" s="534">
        <f t="shared" si="674"/>
        <v>209114.24538872717</v>
      </c>
      <c r="BH529" s="534">
        <f t="shared" si="674"/>
        <v>209114.24538872717</v>
      </c>
      <c r="BI529" s="534">
        <f t="shared" si="674"/>
        <v>209114.24538872717</v>
      </c>
      <c r="BJ529" s="534">
        <f t="shared" si="674"/>
        <v>209114.24538872717</v>
      </c>
      <c r="BK529" s="534">
        <f t="shared" si="674"/>
        <v>209114.24538872717</v>
      </c>
      <c r="BL529" s="534">
        <f t="shared" si="674"/>
        <v>209114.24538872717</v>
      </c>
      <c r="BM529" s="534">
        <f t="shared" si="674"/>
        <v>209114.24538872717</v>
      </c>
      <c r="BN529" s="534">
        <f t="shared" si="674"/>
        <v>218434.73598576407</v>
      </c>
      <c r="BO529" s="534">
        <f t="shared" si="674"/>
        <v>218434.73598576407</v>
      </c>
      <c r="BP529" s="534">
        <f t="shared" si="674"/>
        <v>218434.73598576407</v>
      </c>
      <c r="BQ529" s="534">
        <f t="shared" si="674"/>
        <v>218434.73598576407</v>
      </c>
      <c r="BR529" s="534">
        <f t="shared" si="674"/>
        <v>218434.73598576407</v>
      </c>
      <c r="BS529" s="534">
        <f t="shared" si="674"/>
        <v>218434.73598576407</v>
      </c>
      <c r="BT529" s="534">
        <f t="shared" si="674"/>
        <v>218434.73598576407</v>
      </c>
      <c r="BU529" s="534">
        <f t="shared" si="674"/>
        <v>218434.73598576407</v>
      </c>
      <c r="BV529" s="534">
        <f t="shared" si="674"/>
        <v>218434.73598576407</v>
      </c>
      <c r="BW529" s="534">
        <f t="shared" si="674"/>
        <v>218434.73598576407</v>
      </c>
      <c r="BX529" s="534">
        <f t="shared" si="674"/>
        <v>218434.73598576407</v>
      </c>
      <c r="BY529" s="534">
        <f t="shared" si="674"/>
        <v>218434.73598576407</v>
      </c>
      <c r="CB529" s="37"/>
    </row>
    <row r="530" spans="1:80" x14ac:dyDescent="0.3">
      <c r="A530" s="322"/>
      <c r="B530" s="322"/>
      <c r="C530" s="322" cm="1">
        <f t="array" ref="C530">SUMPRODUCT((Index_Tab!$D$36:$D$45=$B530)*(Index_Tab!$E$35:$F$35=$B$3)*Index_Tab!$E$36:$F$45)</f>
        <v>0</v>
      </c>
      <c r="D530" s="322"/>
      <c r="E530" s="2" t="s">
        <v>177</v>
      </c>
      <c r="F530" s="37"/>
      <c r="G530" s="37"/>
      <c r="H530" s="37"/>
      <c r="I530" s="499">
        <f t="shared" ref="I530:N530" si="675">IFERROR(I529/(I512+I521),0)</f>
        <v>0.35926569955040377</v>
      </c>
      <c r="J530" s="499">
        <f t="shared" si="675"/>
        <v>0.36555030472806471</v>
      </c>
      <c r="K530" s="499">
        <f t="shared" si="675"/>
        <v>0.37145615239611568</v>
      </c>
      <c r="L530" s="499">
        <f t="shared" si="675"/>
        <v>0.37694582578896346</v>
      </c>
      <c r="M530" s="499">
        <f t="shared" si="675"/>
        <v>0.3820027875038432</v>
      </c>
      <c r="N530" s="499">
        <f t="shared" si="675"/>
        <v>0.38696522860015065</v>
      </c>
      <c r="O530" s="23"/>
      <c r="P530" s="50">
        <f>IFERROR(((N530/I530)^(1/5))-1,0)</f>
        <v>1.4965399856043504E-2</v>
      </c>
      <c r="R530" s="499">
        <f t="shared" ref="R530:BY530" si="676">IFERROR(R529/(R512+R521),0)</f>
        <v>0.36555030472806488</v>
      </c>
      <c r="S530" s="499">
        <f t="shared" si="676"/>
        <v>0.36555030472806488</v>
      </c>
      <c r="T530" s="499">
        <f t="shared" si="676"/>
        <v>0.36555030472806488</v>
      </c>
      <c r="U530" s="499">
        <f t="shared" si="676"/>
        <v>0.36555030472806488</v>
      </c>
      <c r="V530" s="499">
        <f t="shared" si="676"/>
        <v>0.36555030472806488</v>
      </c>
      <c r="W530" s="499">
        <f t="shared" si="676"/>
        <v>0.36555030472806488</v>
      </c>
      <c r="X530" s="499">
        <f t="shared" si="676"/>
        <v>0.36555030472806488</v>
      </c>
      <c r="Y530" s="499">
        <f t="shared" si="676"/>
        <v>0.36555030472806488</v>
      </c>
      <c r="Z530" s="499">
        <f t="shared" si="676"/>
        <v>0.36555030472806488</v>
      </c>
      <c r="AA530" s="499">
        <f t="shared" si="676"/>
        <v>0.36555030472806488</v>
      </c>
      <c r="AB530" s="499">
        <f t="shared" si="676"/>
        <v>0.36555030472806488</v>
      </c>
      <c r="AC530" s="499">
        <f t="shared" si="676"/>
        <v>0.36555030472806488</v>
      </c>
      <c r="AD530" s="499">
        <f t="shared" si="676"/>
        <v>0.37145615239611562</v>
      </c>
      <c r="AE530" s="499">
        <f t="shared" si="676"/>
        <v>0.37145615239611562</v>
      </c>
      <c r="AF530" s="499">
        <f t="shared" si="676"/>
        <v>0.37145615239611562</v>
      </c>
      <c r="AG530" s="499">
        <f t="shared" si="676"/>
        <v>0.37145615239611562</v>
      </c>
      <c r="AH530" s="499">
        <f t="shared" si="676"/>
        <v>0.37145615239611562</v>
      </c>
      <c r="AI530" s="499">
        <f t="shared" si="676"/>
        <v>0.37145615239611562</v>
      </c>
      <c r="AJ530" s="499">
        <f t="shared" si="676"/>
        <v>0.37145615239611562</v>
      </c>
      <c r="AK530" s="499">
        <f t="shared" si="676"/>
        <v>0.37145615239611562</v>
      </c>
      <c r="AL530" s="499">
        <f t="shared" si="676"/>
        <v>0.37145615239611562</v>
      </c>
      <c r="AM530" s="499">
        <f t="shared" si="676"/>
        <v>0.37145615239611562</v>
      </c>
      <c r="AN530" s="531">
        <f t="shared" si="676"/>
        <v>0.37145615239611562</v>
      </c>
      <c r="AO530" s="531">
        <f t="shared" si="676"/>
        <v>0.37145615239611562</v>
      </c>
      <c r="AP530" s="531">
        <f t="shared" si="676"/>
        <v>0.37694582578896363</v>
      </c>
      <c r="AQ530" s="531">
        <f t="shared" si="676"/>
        <v>0.37694582578896363</v>
      </c>
      <c r="AR530" s="531">
        <f t="shared" si="676"/>
        <v>0.37694582578896363</v>
      </c>
      <c r="AS530" s="531">
        <f t="shared" si="676"/>
        <v>0.37694582578896363</v>
      </c>
      <c r="AT530" s="531">
        <f t="shared" si="676"/>
        <v>0.37694582578896363</v>
      </c>
      <c r="AU530" s="531">
        <f t="shared" si="676"/>
        <v>0.37694582578896363</v>
      </c>
      <c r="AV530" s="531">
        <f t="shared" si="676"/>
        <v>0.37694582578896363</v>
      </c>
      <c r="AW530" s="531">
        <f t="shared" si="676"/>
        <v>0.37694582578896363</v>
      </c>
      <c r="AX530" s="531">
        <f t="shared" si="676"/>
        <v>0.37694582578896363</v>
      </c>
      <c r="AY530" s="531">
        <f t="shared" si="676"/>
        <v>0.37694582578896363</v>
      </c>
      <c r="AZ530" s="531">
        <f t="shared" si="676"/>
        <v>0.37694582578896363</v>
      </c>
      <c r="BA530" s="531">
        <f t="shared" si="676"/>
        <v>0.37694582578896363</v>
      </c>
      <c r="BB530" s="531">
        <f t="shared" si="676"/>
        <v>0.38200278750384331</v>
      </c>
      <c r="BC530" s="531">
        <f t="shared" si="676"/>
        <v>0.38200278750384331</v>
      </c>
      <c r="BD530" s="531">
        <f t="shared" si="676"/>
        <v>0.38200278750384331</v>
      </c>
      <c r="BE530" s="531">
        <f t="shared" si="676"/>
        <v>0.38200278750384331</v>
      </c>
      <c r="BF530" s="531">
        <f t="shared" si="676"/>
        <v>0.38200278750384331</v>
      </c>
      <c r="BG530" s="531">
        <f t="shared" si="676"/>
        <v>0.38200278750384331</v>
      </c>
      <c r="BH530" s="531">
        <f t="shared" si="676"/>
        <v>0.38200278750384331</v>
      </c>
      <c r="BI530" s="531">
        <f t="shared" si="676"/>
        <v>0.38200278750384331</v>
      </c>
      <c r="BJ530" s="531">
        <f t="shared" si="676"/>
        <v>0.38200278750384331</v>
      </c>
      <c r="BK530" s="531">
        <f t="shared" si="676"/>
        <v>0.38200278750384331</v>
      </c>
      <c r="BL530" s="531">
        <f t="shared" si="676"/>
        <v>0.38200278750384331</v>
      </c>
      <c r="BM530" s="531">
        <f t="shared" si="676"/>
        <v>0.38200278750384331</v>
      </c>
      <c r="BN530" s="531">
        <f t="shared" si="676"/>
        <v>0.38696522860015076</v>
      </c>
      <c r="BO530" s="531">
        <f t="shared" si="676"/>
        <v>0.38696522860015076</v>
      </c>
      <c r="BP530" s="531">
        <f t="shared" si="676"/>
        <v>0.38696522860015076</v>
      </c>
      <c r="BQ530" s="531">
        <f t="shared" si="676"/>
        <v>0.38696522860015076</v>
      </c>
      <c r="BR530" s="531">
        <f t="shared" si="676"/>
        <v>0.38696522860015076</v>
      </c>
      <c r="BS530" s="531">
        <f t="shared" si="676"/>
        <v>0.38696522860015076</v>
      </c>
      <c r="BT530" s="531">
        <f t="shared" si="676"/>
        <v>0.38696522860015076</v>
      </c>
      <c r="BU530" s="531">
        <f t="shared" si="676"/>
        <v>0.38696522860015076</v>
      </c>
      <c r="BV530" s="531">
        <f t="shared" si="676"/>
        <v>0.38696522860015076</v>
      </c>
      <c r="BW530" s="531">
        <f t="shared" si="676"/>
        <v>0.38696522860015076</v>
      </c>
      <c r="BX530" s="531">
        <f t="shared" si="676"/>
        <v>0.38696522860015076</v>
      </c>
      <c r="BY530" s="531">
        <f t="shared" si="676"/>
        <v>0.38696522860015076</v>
      </c>
    </row>
    <row r="531" spans="1:80" x14ac:dyDescent="0.3">
      <c r="A531" s="322"/>
      <c r="B531" s="322"/>
      <c r="C531" s="322" cm="1">
        <f t="array" ref="C531">SUMPRODUCT((Index_Tab!$D$36:$D$45=$B531)*(Index_Tab!$E$35:$F$35=$B$3)*Index_Tab!$E$36:$F$45)</f>
        <v>0</v>
      </c>
      <c r="D531" s="322"/>
      <c r="E531" s="2"/>
      <c r="F531" s="37"/>
      <c r="G531" s="37"/>
      <c r="H531" s="37"/>
      <c r="I531" s="37"/>
      <c r="J531" s="37"/>
      <c r="K531" s="37"/>
      <c r="L531" s="37"/>
      <c r="M531" s="37"/>
      <c r="N531" s="37"/>
      <c r="O531" s="37"/>
      <c r="P531" s="144"/>
      <c r="Q531" s="37"/>
      <c r="R531" s="37"/>
      <c r="S531" s="37"/>
      <c r="T531" s="37"/>
      <c r="U531" s="37"/>
      <c r="V531" s="37"/>
      <c r="W531" s="37"/>
      <c r="X531" s="37"/>
      <c r="Y531" s="37"/>
      <c r="Z531" s="37"/>
      <c r="AA531" s="37"/>
      <c r="AB531" s="37"/>
      <c r="AC531" s="37"/>
      <c r="AD531" s="37"/>
      <c r="AE531" s="37"/>
      <c r="AF531" s="37"/>
      <c r="AG531" s="37"/>
      <c r="AH531" s="37"/>
      <c r="AI531" s="37"/>
      <c r="AJ531" s="37"/>
      <c r="AK531" s="37"/>
      <c r="AL531" s="37"/>
      <c r="AM531" s="37"/>
      <c r="AN531" s="529"/>
      <c r="AO531" s="529"/>
      <c r="AP531" s="529"/>
      <c r="AQ531" s="529"/>
      <c r="AR531" s="529"/>
      <c r="AS531" s="529"/>
      <c r="AT531" s="529"/>
      <c r="AU531" s="529"/>
      <c r="AV531" s="529"/>
      <c r="AW531" s="529"/>
      <c r="AX531" s="529"/>
      <c r="AY531" s="529"/>
      <c r="AZ531" s="529"/>
      <c r="BA531" s="529"/>
      <c r="BB531" s="529"/>
      <c r="BC531" s="529"/>
      <c r="BD531" s="529"/>
      <c r="BE531" s="529"/>
      <c r="BF531" s="529"/>
      <c r="BG531" s="529"/>
      <c r="BH531" s="529"/>
      <c r="BI531" s="529"/>
      <c r="BJ531" s="529"/>
      <c r="BK531" s="529"/>
      <c r="BL531" s="529"/>
      <c r="BM531" s="529"/>
      <c r="BN531" s="529"/>
      <c r="BO531" s="529"/>
      <c r="BP531" s="529"/>
      <c r="BQ531" s="529"/>
      <c r="BR531" s="529"/>
      <c r="BS531" s="529"/>
      <c r="BT531" s="529"/>
      <c r="BU531" s="529"/>
      <c r="BV531" s="529"/>
      <c r="BW531" s="529"/>
      <c r="BX531" s="529"/>
      <c r="BY531" s="529"/>
      <c r="CB531" s="37"/>
    </row>
    <row r="532" spans="1:80" x14ac:dyDescent="0.3">
      <c r="A532" s="322"/>
      <c r="B532" s="322"/>
      <c r="C532" s="322" cm="1">
        <f t="array" ref="C532">SUMPRODUCT((Index_Tab!$D$36:$D$45=$B532)*(Index_Tab!$E$35:$F$35=$B$3)*Index_Tab!$E$36:$F$45)</f>
        <v>0</v>
      </c>
      <c r="D532" s="322"/>
      <c r="E532" s="17" t="s">
        <v>25</v>
      </c>
      <c r="F532" s="37"/>
      <c r="G532" s="37"/>
      <c r="H532" s="37"/>
      <c r="I532" s="37"/>
      <c r="J532" s="294"/>
      <c r="K532" s="294"/>
      <c r="L532" s="294"/>
      <c r="M532" s="294"/>
      <c r="N532" s="294"/>
      <c r="O532" s="37"/>
      <c r="P532" s="144"/>
      <c r="Q532" s="37"/>
      <c r="R532" s="37"/>
      <c r="S532" s="37"/>
      <c r="T532" s="37"/>
      <c r="U532" s="37"/>
      <c r="V532" s="37"/>
      <c r="W532" s="37"/>
      <c r="X532" s="37"/>
      <c r="Y532" s="37"/>
      <c r="Z532" s="37"/>
      <c r="AA532" s="37"/>
      <c r="AB532" s="37"/>
      <c r="AC532" s="37"/>
      <c r="AD532" s="37"/>
      <c r="AE532" s="37"/>
      <c r="AF532" s="37"/>
      <c r="AG532" s="37"/>
      <c r="AH532" s="37"/>
      <c r="AI532" s="37"/>
      <c r="AJ532" s="37"/>
      <c r="AK532" s="37"/>
      <c r="AL532" s="37"/>
      <c r="AM532" s="37"/>
      <c r="AN532" s="529"/>
      <c r="AO532" s="529"/>
      <c r="AP532" s="529"/>
      <c r="AQ532" s="529"/>
      <c r="AR532" s="529"/>
      <c r="AS532" s="529"/>
      <c r="AT532" s="529"/>
      <c r="AU532" s="529"/>
      <c r="AV532" s="529"/>
      <c r="AW532" s="529"/>
      <c r="AX532" s="529"/>
      <c r="AY532" s="529"/>
      <c r="AZ532" s="529"/>
      <c r="BA532" s="529"/>
      <c r="BB532" s="529"/>
      <c r="BC532" s="529"/>
      <c r="BD532" s="529"/>
      <c r="BE532" s="529"/>
      <c r="BF532" s="529"/>
      <c r="BG532" s="529"/>
      <c r="BH532" s="529"/>
      <c r="BI532" s="529"/>
      <c r="BJ532" s="529"/>
      <c r="BK532" s="529"/>
      <c r="BL532" s="529"/>
      <c r="BM532" s="529"/>
      <c r="BN532" s="529"/>
      <c r="BO532" s="529"/>
      <c r="BP532" s="529"/>
      <c r="BQ532" s="529"/>
      <c r="BR532" s="529"/>
      <c r="BS532" s="529"/>
      <c r="BT532" s="529"/>
      <c r="BU532" s="529"/>
      <c r="BV532" s="529"/>
      <c r="BW532" s="529"/>
      <c r="BX532" s="529"/>
      <c r="BY532" s="529"/>
      <c r="CB532" s="37"/>
    </row>
    <row r="533" spans="1:80" x14ac:dyDescent="0.3">
      <c r="A533" s="322"/>
      <c r="B533" s="322" t="s">
        <v>13</v>
      </c>
      <c r="C533" s="322" cm="1">
        <f t="array" ref="C533">SUMPRODUCT((Index_Tab!$D$36:$D$45=$B533)*(Index_Tab!$E$35:$F$35=$B$3)*Index_Tab!$E$36:$F$45)</f>
        <v>0</v>
      </c>
      <c r="D533" s="322"/>
      <c r="E533" s="2" t="s">
        <v>25</v>
      </c>
      <c r="F533" s="54"/>
      <c r="G533" s="54"/>
      <c r="H533" s="37"/>
      <c r="I533" s="67">
        <v>821735.48075692309</v>
      </c>
      <c r="J533" s="19" cm="1">
        <f t="array" ref="J533">(I533*INDEX(Portfolio_Categorisation!$H$24:$H$27,MATCH($B$2,Portfolio_Categorisation!$C$24:$C$27,0),0)*(1+'Detailed Assumptions'!F$40))+(I533*INDEX(Portfolio_Categorisation!$I$24:$I$27,MATCH($B$2,Portfolio_Categorisation!$C$24:$C$27,0),0)*(1+'Detailed Assumptions'!F$39))</f>
        <v>845095.74929520302</v>
      </c>
      <c r="K533" s="19" cm="1">
        <f t="array" ref="K533">(J533*INDEX(Portfolio_Categorisation!$H$24:$H$27,MATCH($B$2,Portfolio_Categorisation!$C$24:$C$27,0),0)*(1+'Detailed Assumptions'!G$40))+(J533*INDEX(Portfolio_Categorisation!$I$24:$I$27,MATCH($B$2,Portfolio_Categorisation!$C$24:$C$27,0),0)*(1+'Detailed Assumptions'!G$39))</f>
        <v>867720.35467070062</v>
      </c>
      <c r="L533" s="19" cm="1">
        <f t="array" ref="L533">(K533*INDEX(Portfolio_Categorisation!$H$24:$H$27,MATCH($B$2,Portfolio_Categorisation!$C$24:$C$27,0),0)*(1+'Detailed Assumptions'!H$40))+(K533*INDEX(Portfolio_Categorisation!$I$24:$I$27,MATCH($B$2,Portfolio_Categorisation!$C$24:$C$27,0),0)*(1+'Detailed Assumptions'!H$39))</f>
        <v>889571.78422097734</v>
      </c>
      <c r="M533" s="19" cm="1">
        <f t="array" ref="M533">(L533*INDEX(Portfolio_Categorisation!$H$24:$H$27,MATCH($B$2,Portfolio_Categorisation!$C$24:$C$27,0),0)*(1+'Detailed Assumptions'!I$40))+(L533*INDEX(Portfolio_Categorisation!$I$24:$I$27,MATCH($B$2,Portfolio_Categorisation!$C$24:$C$27,0),0)*(1+'Detailed Assumptions'!I$39))</f>
        <v>908976.76626477623</v>
      </c>
      <c r="N533" s="19" cm="1">
        <f t="array" ref="N533">(M533*INDEX(Portfolio_Categorisation!$H$24:$H$27,MATCH($B$2,Portfolio_Categorisation!$C$24:$C$27,0),0)*(1+'Detailed Assumptions'!J$40))+(M533*INDEX(Portfolio_Categorisation!$I$24:$I$27,MATCH($B$2,Portfolio_Categorisation!$C$24:$C$27,0),0)*(1+'Detailed Assumptions'!J$39))</f>
        <v>927336.44309729408</v>
      </c>
      <c r="O533" s="37"/>
      <c r="P533" s="50">
        <f>IFERROR(((N533/I533)^(1/5))-1,0)</f>
        <v>2.4474275142648327E-2</v>
      </c>
      <c r="Q533" s="37"/>
      <c r="R533" s="497">
        <f t="shared" ref="R533:BY534" si="677">(INDEX($I533:$N533,MATCH(R$2,$I$3:$N$3,0)))/12</f>
        <v>70424.645774600256</v>
      </c>
      <c r="S533" s="497">
        <f t="shared" si="677"/>
        <v>70424.645774600256</v>
      </c>
      <c r="T533" s="497">
        <f t="shared" si="677"/>
        <v>70424.645774600256</v>
      </c>
      <c r="U533" s="497">
        <f t="shared" si="677"/>
        <v>70424.645774600256</v>
      </c>
      <c r="V533" s="497">
        <f t="shared" si="677"/>
        <v>70424.645774600256</v>
      </c>
      <c r="W533" s="497">
        <f t="shared" si="677"/>
        <v>70424.645774600256</v>
      </c>
      <c r="X533" s="497">
        <f t="shared" si="677"/>
        <v>70424.645774600256</v>
      </c>
      <c r="Y533" s="497">
        <f t="shared" si="677"/>
        <v>70424.645774600256</v>
      </c>
      <c r="Z533" s="497">
        <f t="shared" si="677"/>
        <v>70424.645774600256</v>
      </c>
      <c r="AA533" s="497">
        <f t="shared" si="677"/>
        <v>70424.645774600256</v>
      </c>
      <c r="AB533" s="497">
        <f t="shared" si="677"/>
        <v>70424.645774600256</v>
      </c>
      <c r="AC533" s="497">
        <f t="shared" si="677"/>
        <v>70424.645774600256</v>
      </c>
      <c r="AD533" s="497">
        <f t="shared" si="677"/>
        <v>72310.029555891713</v>
      </c>
      <c r="AE533" s="497">
        <f t="shared" si="677"/>
        <v>72310.029555891713</v>
      </c>
      <c r="AF533" s="497">
        <f t="shared" si="677"/>
        <v>72310.029555891713</v>
      </c>
      <c r="AG533" s="497">
        <f t="shared" si="677"/>
        <v>72310.029555891713</v>
      </c>
      <c r="AH533" s="497">
        <f t="shared" si="677"/>
        <v>72310.029555891713</v>
      </c>
      <c r="AI533" s="497">
        <f t="shared" si="677"/>
        <v>72310.029555891713</v>
      </c>
      <c r="AJ533" s="497">
        <f t="shared" si="677"/>
        <v>72310.029555891713</v>
      </c>
      <c r="AK533" s="497">
        <f t="shared" si="677"/>
        <v>72310.029555891713</v>
      </c>
      <c r="AL533" s="497">
        <f t="shared" si="677"/>
        <v>72310.029555891713</v>
      </c>
      <c r="AM533" s="497">
        <f t="shared" si="677"/>
        <v>72310.029555891713</v>
      </c>
      <c r="AN533" s="527">
        <f t="shared" si="677"/>
        <v>72310.029555891713</v>
      </c>
      <c r="AO533" s="527">
        <f t="shared" si="677"/>
        <v>72310.029555891713</v>
      </c>
      <c r="AP533" s="527">
        <f t="shared" si="677"/>
        <v>74130.982018414783</v>
      </c>
      <c r="AQ533" s="527">
        <f t="shared" si="677"/>
        <v>74130.982018414783</v>
      </c>
      <c r="AR533" s="527">
        <f t="shared" si="677"/>
        <v>74130.982018414783</v>
      </c>
      <c r="AS533" s="527">
        <f t="shared" si="677"/>
        <v>74130.982018414783</v>
      </c>
      <c r="AT533" s="527">
        <f t="shared" si="677"/>
        <v>74130.982018414783</v>
      </c>
      <c r="AU533" s="527">
        <f t="shared" si="677"/>
        <v>74130.982018414783</v>
      </c>
      <c r="AV533" s="527">
        <f t="shared" si="677"/>
        <v>74130.982018414783</v>
      </c>
      <c r="AW533" s="527">
        <f t="shared" si="677"/>
        <v>74130.982018414783</v>
      </c>
      <c r="AX533" s="527">
        <f t="shared" si="677"/>
        <v>74130.982018414783</v>
      </c>
      <c r="AY533" s="527">
        <f t="shared" si="677"/>
        <v>74130.982018414783</v>
      </c>
      <c r="AZ533" s="527">
        <f t="shared" si="677"/>
        <v>74130.982018414783</v>
      </c>
      <c r="BA533" s="527">
        <f t="shared" si="677"/>
        <v>74130.982018414783</v>
      </c>
      <c r="BB533" s="527">
        <f t="shared" si="677"/>
        <v>75748.063855398024</v>
      </c>
      <c r="BC533" s="527">
        <f t="shared" si="677"/>
        <v>75748.063855398024</v>
      </c>
      <c r="BD533" s="527">
        <f t="shared" si="677"/>
        <v>75748.063855398024</v>
      </c>
      <c r="BE533" s="527">
        <f t="shared" si="677"/>
        <v>75748.063855398024</v>
      </c>
      <c r="BF533" s="527">
        <f t="shared" si="677"/>
        <v>75748.063855398024</v>
      </c>
      <c r="BG533" s="527">
        <f t="shared" si="677"/>
        <v>75748.063855398024</v>
      </c>
      <c r="BH533" s="527">
        <f t="shared" si="677"/>
        <v>75748.063855398024</v>
      </c>
      <c r="BI533" s="527">
        <f t="shared" si="677"/>
        <v>75748.063855398024</v>
      </c>
      <c r="BJ533" s="527">
        <f t="shared" si="677"/>
        <v>75748.063855398024</v>
      </c>
      <c r="BK533" s="527">
        <f t="shared" si="677"/>
        <v>75748.063855398024</v>
      </c>
      <c r="BL533" s="527">
        <f t="shared" si="677"/>
        <v>75748.063855398024</v>
      </c>
      <c r="BM533" s="527">
        <f t="shared" si="677"/>
        <v>75748.063855398024</v>
      </c>
      <c r="BN533" s="527">
        <f t="shared" si="677"/>
        <v>77278.036924774511</v>
      </c>
      <c r="BO533" s="527">
        <f t="shared" si="677"/>
        <v>77278.036924774511</v>
      </c>
      <c r="BP533" s="527">
        <f t="shared" si="677"/>
        <v>77278.036924774511</v>
      </c>
      <c r="BQ533" s="527">
        <f t="shared" si="677"/>
        <v>77278.036924774511</v>
      </c>
      <c r="BR533" s="527">
        <f t="shared" si="677"/>
        <v>77278.036924774511</v>
      </c>
      <c r="BS533" s="527">
        <f t="shared" si="677"/>
        <v>77278.036924774511</v>
      </c>
      <c r="BT533" s="527">
        <f t="shared" si="677"/>
        <v>77278.036924774511</v>
      </c>
      <c r="BU533" s="527">
        <f t="shared" si="677"/>
        <v>77278.036924774511</v>
      </c>
      <c r="BV533" s="527">
        <f t="shared" si="677"/>
        <v>77278.036924774511</v>
      </c>
      <c r="BW533" s="527">
        <f t="shared" si="677"/>
        <v>77278.036924774511</v>
      </c>
      <c r="BX533" s="527">
        <f t="shared" si="677"/>
        <v>77278.036924774511</v>
      </c>
      <c r="BY533" s="527">
        <f t="shared" si="677"/>
        <v>77278.036924774511</v>
      </c>
      <c r="CB533" s="37"/>
    </row>
    <row r="534" spans="1:80" x14ac:dyDescent="0.3">
      <c r="A534" s="322"/>
      <c r="B534" s="322" t="s">
        <v>14</v>
      </c>
      <c r="C534" s="322" cm="1">
        <f t="array" ref="C534">SUMPRODUCT((Index_Tab!$D$36:$D$45=$B534)*(Index_Tab!$E$35:$F$35=$B$3)*Index_Tab!$E$36:$F$45)</f>
        <v>0</v>
      </c>
      <c r="D534" s="322"/>
      <c r="E534" s="2" t="s">
        <v>14</v>
      </c>
      <c r="F534" s="54"/>
      <c r="G534" s="54"/>
      <c r="H534" s="37"/>
      <c r="I534" s="67">
        <v>83662.350052461552</v>
      </c>
      <c r="J534" s="19">
        <f>I534*(1+'Detailed Assumptions'!F$45)</f>
        <v>86601.167737290685</v>
      </c>
      <c r="K534" s="19">
        <f>J534*(1+'Detailed Assumptions'!G$45)</f>
        <v>89476.112969042806</v>
      </c>
      <c r="L534" s="19">
        <f>K534*(1+'Detailed Assumptions'!H$45)</f>
        <v>92325.890396101488</v>
      </c>
      <c r="M534" s="19">
        <f>L534*(1+'Detailed Assumptions'!I$45)</f>
        <v>94705.090649462276</v>
      </c>
      <c r="N534" s="19">
        <f>M534*(1+'Detailed Assumptions'!J$45)</f>
        <v>96752.900121905608</v>
      </c>
      <c r="O534" s="37"/>
      <c r="P534" s="50">
        <f>IFERROR(((N534/I534)^(1/5))-1,0)</f>
        <v>2.9501032242708725E-2</v>
      </c>
      <c r="Q534" s="37"/>
      <c r="R534" s="497">
        <f>(INDEX($I534:$N534,MATCH(R$2,$I$3:$N$3,0)))/12</f>
        <v>7216.7639781075568</v>
      </c>
      <c r="S534" s="497">
        <f t="shared" si="677"/>
        <v>7216.7639781075568</v>
      </c>
      <c r="T534" s="497">
        <f t="shared" si="677"/>
        <v>7216.7639781075568</v>
      </c>
      <c r="U534" s="497">
        <f t="shared" si="677"/>
        <v>7216.7639781075568</v>
      </c>
      <c r="V534" s="497">
        <f t="shared" si="677"/>
        <v>7216.7639781075568</v>
      </c>
      <c r="W534" s="497">
        <f t="shared" si="677"/>
        <v>7216.7639781075568</v>
      </c>
      <c r="X534" s="497">
        <f t="shared" si="677"/>
        <v>7216.7639781075568</v>
      </c>
      <c r="Y534" s="497">
        <f t="shared" si="677"/>
        <v>7216.7639781075568</v>
      </c>
      <c r="Z534" s="497">
        <f t="shared" si="677"/>
        <v>7216.7639781075568</v>
      </c>
      <c r="AA534" s="497">
        <f t="shared" si="677"/>
        <v>7216.7639781075568</v>
      </c>
      <c r="AB534" s="497">
        <f t="shared" si="677"/>
        <v>7216.7639781075568</v>
      </c>
      <c r="AC534" s="497">
        <f t="shared" si="677"/>
        <v>7216.7639781075568</v>
      </c>
      <c r="AD534" s="497">
        <f t="shared" si="677"/>
        <v>7456.3427474202335</v>
      </c>
      <c r="AE534" s="497">
        <f t="shared" si="677"/>
        <v>7456.3427474202335</v>
      </c>
      <c r="AF534" s="497">
        <f t="shared" si="677"/>
        <v>7456.3427474202335</v>
      </c>
      <c r="AG534" s="497">
        <f t="shared" si="677"/>
        <v>7456.3427474202335</v>
      </c>
      <c r="AH534" s="497">
        <f t="shared" si="677"/>
        <v>7456.3427474202335</v>
      </c>
      <c r="AI534" s="497">
        <f t="shared" si="677"/>
        <v>7456.3427474202335</v>
      </c>
      <c r="AJ534" s="497">
        <f t="shared" si="677"/>
        <v>7456.3427474202335</v>
      </c>
      <c r="AK534" s="497">
        <f t="shared" si="677"/>
        <v>7456.3427474202335</v>
      </c>
      <c r="AL534" s="497">
        <f t="shared" si="677"/>
        <v>7456.3427474202335</v>
      </c>
      <c r="AM534" s="497">
        <f t="shared" si="677"/>
        <v>7456.3427474202335</v>
      </c>
      <c r="AN534" s="527">
        <f t="shared" si="677"/>
        <v>7456.3427474202335</v>
      </c>
      <c r="AO534" s="527">
        <f t="shared" si="677"/>
        <v>7456.3427474202335</v>
      </c>
      <c r="AP534" s="527">
        <f t="shared" si="677"/>
        <v>7693.824199675124</v>
      </c>
      <c r="AQ534" s="527">
        <f t="shared" si="677"/>
        <v>7693.824199675124</v>
      </c>
      <c r="AR534" s="527">
        <f t="shared" si="677"/>
        <v>7693.824199675124</v>
      </c>
      <c r="AS534" s="527">
        <f t="shared" si="677"/>
        <v>7693.824199675124</v>
      </c>
      <c r="AT534" s="527">
        <f t="shared" si="677"/>
        <v>7693.824199675124</v>
      </c>
      <c r="AU534" s="527">
        <f t="shared" si="677"/>
        <v>7693.824199675124</v>
      </c>
      <c r="AV534" s="527">
        <f t="shared" si="677"/>
        <v>7693.824199675124</v>
      </c>
      <c r="AW534" s="527">
        <f t="shared" si="677"/>
        <v>7693.824199675124</v>
      </c>
      <c r="AX534" s="527">
        <f t="shared" si="677"/>
        <v>7693.824199675124</v>
      </c>
      <c r="AY534" s="527">
        <f t="shared" si="677"/>
        <v>7693.824199675124</v>
      </c>
      <c r="AZ534" s="527">
        <f t="shared" si="677"/>
        <v>7693.824199675124</v>
      </c>
      <c r="BA534" s="527">
        <f t="shared" si="677"/>
        <v>7693.824199675124</v>
      </c>
      <c r="BB534" s="527">
        <f t="shared" si="677"/>
        <v>7892.0908874551897</v>
      </c>
      <c r="BC534" s="527">
        <f t="shared" si="677"/>
        <v>7892.0908874551897</v>
      </c>
      <c r="BD534" s="527">
        <f t="shared" si="677"/>
        <v>7892.0908874551897</v>
      </c>
      <c r="BE534" s="527">
        <f t="shared" si="677"/>
        <v>7892.0908874551897</v>
      </c>
      <c r="BF534" s="527">
        <f t="shared" si="677"/>
        <v>7892.0908874551897</v>
      </c>
      <c r="BG534" s="527">
        <f t="shared" si="677"/>
        <v>7892.0908874551897</v>
      </c>
      <c r="BH534" s="527">
        <f t="shared" si="677"/>
        <v>7892.0908874551897</v>
      </c>
      <c r="BI534" s="527">
        <f t="shared" si="677"/>
        <v>7892.0908874551897</v>
      </c>
      <c r="BJ534" s="527">
        <f t="shared" si="677"/>
        <v>7892.0908874551897</v>
      </c>
      <c r="BK534" s="527">
        <f t="shared" si="677"/>
        <v>7892.0908874551897</v>
      </c>
      <c r="BL534" s="527">
        <f t="shared" si="677"/>
        <v>7892.0908874551897</v>
      </c>
      <c r="BM534" s="527">
        <f t="shared" si="677"/>
        <v>7892.0908874551897</v>
      </c>
      <c r="BN534" s="527">
        <f t="shared" si="677"/>
        <v>8062.741676825467</v>
      </c>
      <c r="BO534" s="527">
        <f t="shared" si="677"/>
        <v>8062.741676825467</v>
      </c>
      <c r="BP534" s="527">
        <f t="shared" si="677"/>
        <v>8062.741676825467</v>
      </c>
      <c r="BQ534" s="527">
        <f t="shared" si="677"/>
        <v>8062.741676825467</v>
      </c>
      <c r="BR534" s="527">
        <f t="shared" si="677"/>
        <v>8062.741676825467</v>
      </c>
      <c r="BS534" s="527">
        <f t="shared" si="677"/>
        <v>8062.741676825467</v>
      </c>
      <c r="BT534" s="527">
        <f t="shared" si="677"/>
        <v>8062.741676825467</v>
      </c>
      <c r="BU534" s="527">
        <f t="shared" si="677"/>
        <v>8062.741676825467</v>
      </c>
      <c r="BV534" s="527">
        <f t="shared" si="677"/>
        <v>8062.741676825467</v>
      </c>
      <c r="BW534" s="527">
        <f t="shared" si="677"/>
        <v>8062.741676825467</v>
      </c>
      <c r="BX534" s="527">
        <f t="shared" si="677"/>
        <v>8062.741676825467</v>
      </c>
      <c r="BY534" s="527">
        <f t="shared" si="677"/>
        <v>8062.741676825467</v>
      </c>
      <c r="CB534" s="37"/>
    </row>
    <row r="535" spans="1:80" x14ac:dyDescent="0.3">
      <c r="A535" s="322"/>
      <c r="B535" s="322"/>
      <c r="C535" s="322" cm="1">
        <f t="array" ref="C535">SUMPRODUCT((Index_Tab!$D$36:$D$45=$B535)*(Index_Tab!$E$35:$F$35=$B$3)*Index_Tab!$E$36:$F$45)</f>
        <v>0</v>
      </c>
      <c r="D535" s="322"/>
      <c r="E535" s="4" t="s">
        <v>26</v>
      </c>
      <c r="F535" s="5"/>
      <c r="G535" s="5"/>
      <c r="H535" s="37"/>
      <c r="I535" s="500">
        <f>SUM(I533:I534)</f>
        <v>905397.83080938458</v>
      </c>
      <c r="J535" s="500">
        <f>SUM(J533:J534)</f>
        <v>931696.91703249374</v>
      </c>
      <c r="K535" s="500">
        <f t="shared" ref="K535:BX535" si="678">SUM(K533:K534)</f>
        <v>957196.46763974347</v>
      </c>
      <c r="L535" s="500">
        <f t="shared" si="678"/>
        <v>981897.67461707885</v>
      </c>
      <c r="M535" s="500">
        <f t="shared" si="678"/>
        <v>1003681.8569142385</v>
      </c>
      <c r="N535" s="500">
        <f t="shared" si="678"/>
        <v>1024089.3432191997</v>
      </c>
      <c r="O535" s="57"/>
      <c r="P535" s="55">
        <f>IFERROR(((N535/I535)^(1/5))-1,0)</f>
        <v>2.4942919117400209E-2</v>
      </c>
      <c r="Q535" s="37"/>
      <c r="R535" s="500">
        <f t="shared" si="678"/>
        <v>77641.409752707812</v>
      </c>
      <c r="S535" s="500">
        <f t="shared" si="678"/>
        <v>77641.409752707812</v>
      </c>
      <c r="T535" s="500">
        <f t="shared" si="678"/>
        <v>77641.409752707812</v>
      </c>
      <c r="U535" s="500">
        <f t="shared" si="678"/>
        <v>77641.409752707812</v>
      </c>
      <c r="V535" s="500">
        <f t="shared" si="678"/>
        <v>77641.409752707812</v>
      </c>
      <c r="W535" s="500">
        <f t="shared" si="678"/>
        <v>77641.409752707812</v>
      </c>
      <c r="X535" s="500">
        <f t="shared" si="678"/>
        <v>77641.409752707812</v>
      </c>
      <c r="Y535" s="500">
        <f t="shared" si="678"/>
        <v>77641.409752707812</v>
      </c>
      <c r="Z535" s="500">
        <f t="shared" si="678"/>
        <v>77641.409752707812</v>
      </c>
      <c r="AA535" s="500">
        <f t="shared" si="678"/>
        <v>77641.409752707812</v>
      </c>
      <c r="AB535" s="500">
        <f t="shared" si="678"/>
        <v>77641.409752707812</v>
      </c>
      <c r="AC535" s="500">
        <f t="shared" si="678"/>
        <v>77641.409752707812</v>
      </c>
      <c r="AD535" s="500">
        <f t="shared" si="678"/>
        <v>79766.372303311946</v>
      </c>
      <c r="AE535" s="500">
        <f t="shared" si="678"/>
        <v>79766.372303311946</v>
      </c>
      <c r="AF535" s="500">
        <f t="shared" si="678"/>
        <v>79766.372303311946</v>
      </c>
      <c r="AG535" s="500">
        <f t="shared" si="678"/>
        <v>79766.372303311946</v>
      </c>
      <c r="AH535" s="500">
        <f t="shared" si="678"/>
        <v>79766.372303311946</v>
      </c>
      <c r="AI535" s="500">
        <f t="shared" si="678"/>
        <v>79766.372303311946</v>
      </c>
      <c r="AJ535" s="500">
        <f t="shared" si="678"/>
        <v>79766.372303311946</v>
      </c>
      <c r="AK535" s="500">
        <f t="shared" si="678"/>
        <v>79766.372303311946</v>
      </c>
      <c r="AL535" s="500">
        <f t="shared" si="678"/>
        <v>79766.372303311946</v>
      </c>
      <c r="AM535" s="500">
        <f t="shared" si="678"/>
        <v>79766.372303311946</v>
      </c>
      <c r="AN535" s="532">
        <f t="shared" si="678"/>
        <v>79766.372303311946</v>
      </c>
      <c r="AO535" s="532">
        <f t="shared" si="678"/>
        <v>79766.372303311946</v>
      </c>
      <c r="AP535" s="532">
        <f t="shared" si="678"/>
        <v>81824.806218089914</v>
      </c>
      <c r="AQ535" s="532">
        <f t="shared" si="678"/>
        <v>81824.806218089914</v>
      </c>
      <c r="AR535" s="532">
        <f t="shared" si="678"/>
        <v>81824.806218089914</v>
      </c>
      <c r="AS535" s="532">
        <f t="shared" si="678"/>
        <v>81824.806218089914</v>
      </c>
      <c r="AT535" s="532">
        <f t="shared" si="678"/>
        <v>81824.806218089914</v>
      </c>
      <c r="AU535" s="532">
        <f t="shared" si="678"/>
        <v>81824.806218089914</v>
      </c>
      <c r="AV535" s="532">
        <f t="shared" si="678"/>
        <v>81824.806218089914</v>
      </c>
      <c r="AW535" s="532">
        <f t="shared" si="678"/>
        <v>81824.806218089914</v>
      </c>
      <c r="AX535" s="532">
        <f t="shared" si="678"/>
        <v>81824.806218089914</v>
      </c>
      <c r="AY535" s="532">
        <f t="shared" si="678"/>
        <v>81824.806218089914</v>
      </c>
      <c r="AZ535" s="532">
        <f t="shared" si="678"/>
        <v>81824.806218089914</v>
      </c>
      <c r="BA535" s="532">
        <f t="shared" si="678"/>
        <v>81824.806218089914</v>
      </c>
      <c r="BB535" s="532">
        <f t="shared" si="678"/>
        <v>83640.154742853221</v>
      </c>
      <c r="BC535" s="532">
        <f t="shared" si="678"/>
        <v>83640.154742853221</v>
      </c>
      <c r="BD535" s="532">
        <f t="shared" si="678"/>
        <v>83640.154742853221</v>
      </c>
      <c r="BE535" s="532">
        <f t="shared" si="678"/>
        <v>83640.154742853221</v>
      </c>
      <c r="BF535" s="532">
        <f t="shared" si="678"/>
        <v>83640.154742853221</v>
      </c>
      <c r="BG535" s="532">
        <f t="shared" si="678"/>
        <v>83640.154742853221</v>
      </c>
      <c r="BH535" s="532">
        <f t="shared" si="678"/>
        <v>83640.154742853221</v>
      </c>
      <c r="BI535" s="532">
        <f t="shared" si="678"/>
        <v>83640.154742853221</v>
      </c>
      <c r="BJ535" s="532">
        <f t="shared" si="678"/>
        <v>83640.154742853221</v>
      </c>
      <c r="BK535" s="532">
        <f t="shared" si="678"/>
        <v>83640.154742853221</v>
      </c>
      <c r="BL535" s="532">
        <f t="shared" si="678"/>
        <v>83640.154742853221</v>
      </c>
      <c r="BM535" s="532">
        <f t="shared" si="678"/>
        <v>83640.154742853221</v>
      </c>
      <c r="BN535" s="532">
        <f t="shared" si="678"/>
        <v>85340.778601599974</v>
      </c>
      <c r="BO535" s="532">
        <f t="shared" si="678"/>
        <v>85340.778601599974</v>
      </c>
      <c r="BP535" s="532">
        <f t="shared" si="678"/>
        <v>85340.778601599974</v>
      </c>
      <c r="BQ535" s="532">
        <f t="shared" si="678"/>
        <v>85340.778601599974</v>
      </c>
      <c r="BR535" s="532">
        <f t="shared" si="678"/>
        <v>85340.778601599974</v>
      </c>
      <c r="BS535" s="532">
        <f t="shared" si="678"/>
        <v>85340.778601599974</v>
      </c>
      <c r="BT535" s="532">
        <f t="shared" si="678"/>
        <v>85340.778601599974</v>
      </c>
      <c r="BU535" s="532">
        <f t="shared" si="678"/>
        <v>85340.778601599974</v>
      </c>
      <c r="BV535" s="532">
        <f t="shared" si="678"/>
        <v>85340.778601599974</v>
      </c>
      <c r="BW535" s="532">
        <f t="shared" si="678"/>
        <v>85340.778601599974</v>
      </c>
      <c r="BX535" s="532">
        <f t="shared" si="678"/>
        <v>85340.778601599974</v>
      </c>
      <c r="BY535" s="532">
        <f>SUM(BY533:BY534)</f>
        <v>85340.778601599974</v>
      </c>
      <c r="CB535" s="37"/>
    </row>
    <row r="536" spans="1:80" x14ac:dyDescent="0.3">
      <c r="A536" s="322"/>
      <c r="B536" s="322"/>
      <c r="C536" s="322" cm="1">
        <f t="array" ref="C536">SUMPRODUCT((Index_Tab!$D$36:$D$45=$B536)*(Index_Tab!$E$35:$F$35=$B$3)*Index_Tab!$E$36:$F$45)</f>
        <v>0</v>
      </c>
      <c r="D536" s="322"/>
      <c r="E536" s="2"/>
      <c r="F536" s="37"/>
      <c r="G536" s="37"/>
      <c r="H536" s="37"/>
      <c r="I536" s="37"/>
      <c r="J536" s="37"/>
      <c r="K536" s="37"/>
      <c r="L536" s="37"/>
      <c r="M536" s="37"/>
      <c r="N536" s="37"/>
      <c r="O536" s="37"/>
      <c r="P536" s="144"/>
      <c r="Q536" s="37"/>
      <c r="R536" s="37"/>
      <c r="S536" s="37"/>
      <c r="T536" s="37"/>
      <c r="U536" s="37"/>
      <c r="V536" s="37"/>
      <c r="W536" s="37"/>
      <c r="X536" s="37"/>
      <c r="Y536" s="37"/>
      <c r="Z536" s="37"/>
      <c r="AA536" s="37"/>
      <c r="AB536" s="37"/>
      <c r="AC536" s="37"/>
      <c r="AD536" s="37"/>
      <c r="AE536" s="37"/>
      <c r="AF536" s="37"/>
      <c r="AG536" s="37"/>
      <c r="AH536" s="37"/>
      <c r="AI536" s="37"/>
      <c r="AJ536" s="37"/>
      <c r="AK536" s="37"/>
      <c r="AL536" s="37"/>
      <c r="AM536" s="37"/>
      <c r="AN536" s="529"/>
      <c r="AO536" s="529"/>
      <c r="AP536" s="529"/>
      <c r="AQ536" s="529"/>
      <c r="AR536" s="529"/>
      <c r="AS536" s="529"/>
      <c r="AT536" s="529"/>
      <c r="AU536" s="529"/>
      <c r="AV536" s="529"/>
      <c r="AW536" s="529"/>
      <c r="AX536" s="529"/>
      <c r="AY536" s="529"/>
      <c r="AZ536" s="529"/>
      <c r="BA536" s="529"/>
      <c r="BB536" s="529"/>
      <c r="BC536" s="529"/>
      <c r="BD536" s="529"/>
      <c r="BE536" s="529"/>
      <c r="BF536" s="529"/>
      <c r="BG536" s="529"/>
      <c r="BH536" s="529"/>
      <c r="BI536" s="529"/>
      <c r="BJ536" s="529"/>
      <c r="BK536" s="529"/>
      <c r="BL536" s="529"/>
      <c r="BM536" s="529"/>
      <c r="BN536" s="529"/>
      <c r="BO536" s="529"/>
      <c r="BP536" s="529"/>
      <c r="BQ536" s="529"/>
      <c r="BR536" s="529"/>
      <c r="BS536" s="529"/>
      <c r="BT536" s="529"/>
      <c r="BU536" s="529"/>
      <c r="BV536" s="529"/>
      <c r="BW536" s="529"/>
      <c r="BX536" s="529"/>
      <c r="BY536" s="529"/>
      <c r="CB536" s="37"/>
    </row>
    <row r="537" spans="1:80" x14ac:dyDescent="0.3">
      <c r="A537" s="322"/>
      <c r="B537" s="322"/>
      <c r="C537" s="322" cm="1">
        <f t="array" ref="C537">SUMPRODUCT((Index_Tab!$D$36:$D$45=$B537)*(Index_Tab!$E$35:$F$35=$B$3)*Index_Tab!$E$36:$F$45)</f>
        <v>0</v>
      </c>
      <c r="D537" s="322"/>
      <c r="E537" s="17" t="s">
        <v>27</v>
      </c>
      <c r="F537" s="37"/>
      <c r="G537" s="37"/>
      <c r="H537" s="37"/>
      <c r="I537" s="37"/>
      <c r="J537" s="37"/>
      <c r="K537" s="37"/>
      <c r="L537" s="37"/>
      <c r="M537" s="37"/>
      <c r="N537" s="37"/>
      <c r="O537" s="37"/>
      <c r="P537" s="144"/>
      <c r="Q537" s="37"/>
      <c r="R537" s="37"/>
      <c r="S537" s="37"/>
      <c r="T537" s="37"/>
      <c r="U537" s="37"/>
      <c r="V537" s="37"/>
      <c r="W537" s="37"/>
      <c r="X537" s="37"/>
      <c r="Y537" s="37"/>
      <c r="Z537" s="37"/>
      <c r="AA537" s="37"/>
      <c r="AB537" s="37"/>
      <c r="AC537" s="37"/>
      <c r="AD537" s="37"/>
      <c r="AE537" s="37"/>
      <c r="AF537" s="37"/>
      <c r="AG537" s="37"/>
      <c r="AH537" s="37"/>
      <c r="AI537" s="37"/>
      <c r="AJ537" s="37"/>
      <c r="AK537" s="37"/>
      <c r="AL537" s="37"/>
      <c r="AM537" s="37"/>
      <c r="AN537" s="529"/>
      <c r="AO537" s="529"/>
      <c r="AP537" s="529"/>
      <c r="AQ537" s="529"/>
      <c r="AR537" s="529"/>
      <c r="AS537" s="529"/>
      <c r="AT537" s="529"/>
      <c r="AU537" s="529"/>
      <c r="AV537" s="529"/>
      <c r="AW537" s="529"/>
      <c r="AX537" s="529"/>
      <c r="AY537" s="529"/>
      <c r="AZ537" s="529"/>
      <c r="BA537" s="529"/>
      <c r="BB537" s="529"/>
      <c r="BC537" s="529"/>
      <c r="BD537" s="529"/>
      <c r="BE537" s="529"/>
      <c r="BF537" s="529"/>
      <c r="BG537" s="529"/>
      <c r="BH537" s="529"/>
      <c r="BI537" s="529"/>
      <c r="BJ537" s="529"/>
      <c r="BK537" s="529"/>
      <c r="BL537" s="529"/>
      <c r="BM537" s="529"/>
      <c r="BN537" s="529"/>
      <c r="BO537" s="529"/>
      <c r="BP537" s="529"/>
      <c r="BQ537" s="529"/>
      <c r="BR537" s="529"/>
      <c r="BS537" s="529"/>
      <c r="BT537" s="529"/>
      <c r="BU537" s="529"/>
      <c r="BV537" s="529"/>
      <c r="BW537" s="529"/>
      <c r="BX537" s="529"/>
      <c r="BY537" s="529"/>
      <c r="CB537" s="37"/>
    </row>
    <row r="538" spans="1:80" x14ac:dyDescent="0.3">
      <c r="A538" s="322"/>
      <c r="B538" s="322" t="s">
        <v>15</v>
      </c>
      <c r="C538" s="322" cm="1">
        <f t="array" ref="C538">SUMPRODUCT((Index_Tab!$D$36:$D$45=$B538)*(Index_Tab!$E$35:$F$35=$B$3)*Index_Tab!$E$36:$F$45)</f>
        <v>0</v>
      </c>
      <c r="D538" s="322"/>
      <c r="E538" s="2" t="s">
        <v>28</v>
      </c>
      <c r="F538" s="54"/>
      <c r="G538" s="54"/>
      <c r="H538" s="37"/>
      <c r="I538" s="67">
        <v>120.28999999999998</v>
      </c>
      <c r="J538" s="19">
        <f>I538*(1+'Detailed Assumptions'!F$46)</f>
        <v>120.28999999999998</v>
      </c>
      <c r="K538" s="19">
        <f>J538*(1+'Detailed Assumptions'!G$46)</f>
        <v>120.28999999999998</v>
      </c>
      <c r="L538" s="19">
        <f>K538*(1+'Detailed Assumptions'!H$46)</f>
        <v>120.28999999999998</v>
      </c>
      <c r="M538" s="19">
        <f>L538*(1+'Detailed Assumptions'!I$46)</f>
        <v>120.28999999999998</v>
      </c>
      <c r="N538" s="19">
        <f>M538*(1+'Detailed Assumptions'!J$46)</f>
        <v>120.28999999999998</v>
      </c>
      <c r="O538" s="37"/>
      <c r="P538" s="50">
        <f>IFERROR(((N538/I538)^(1/5))-1,0)</f>
        <v>0</v>
      </c>
      <c r="Q538" s="37"/>
      <c r="R538" s="497">
        <f t="shared" ref="R538:AG541" si="679">(INDEX($I538:$N538,MATCH(R$2,$I$3:$N$3,0)))/12</f>
        <v>10.024166666666664</v>
      </c>
      <c r="S538" s="497">
        <f t="shared" si="679"/>
        <v>10.024166666666664</v>
      </c>
      <c r="T538" s="497">
        <f t="shared" si="679"/>
        <v>10.024166666666664</v>
      </c>
      <c r="U538" s="497">
        <f t="shared" si="679"/>
        <v>10.024166666666664</v>
      </c>
      <c r="V538" s="497">
        <f t="shared" si="679"/>
        <v>10.024166666666664</v>
      </c>
      <c r="W538" s="497">
        <f t="shared" si="679"/>
        <v>10.024166666666664</v>
      </c>
      <c r="X538" s="497">
        <f t="shared" si="679"/>
        <v>10.024166666666664</v>
      </c>
      <c r="Y538" s="497">
        <f t="shared" si="679"/>
        <v>10.024166666666664</v>
      </c>
      <c r="Z538" s="497">
        <f t="shared" si="679"/>
        <v>10.024166666666664</v>
      </c>
      <c r="AA538" s="497">
        <f t="shared" si="679"/>
        <v>10.024166666666664</v>
      </c>
      <c r="AB538" s="497">
        <f t="shared" si="679"/>
        <v>10.024166666666664</v>
      </c>
      <c r="AC538" s="497">
        <f t="shared" si="679"/>
        <v>10.024166666666664</v>
      </c>
      <c r="AD538" s="497">
        <f t="shared" si="679"/>
        <v>10.024166666666664</v>
      </c>
      <c r="AE538" s="497">
        <f t="shared" si="679"/>
        <v>10.024166666666664</v>
      </c>
      <c r="AF538" s="497">
        <f t="shared" si="679"/>
        <v>10.024166666666664</v>
      </c>
      <c r="AG538" s="497">
        <f t="shared" si="679"/>
        <v>10.024166666666664</v>
      </c>
      <c r="AH538" s="497">
        <f t="shared" ref="AH538:AW541" si="680">(INDEX($I538:$N538,MATCH(AH$2,$I$3:$N$3,0)))/12</f>
        <v>10.024166666666664</v>
      </c>
      <c r="AI538" s="497">
        <f t="shared" si="680"/>
        <v>10.024166666666664</v>
      </c>
      <c r="AJ538" s="497">
        <f t="shared" si="680"/>
        <v>10.024166666666664</v>
      </c>
      <c r="AK538" s="497">
        <f t="shared" si="680"/>
        <v>10.024166666666664</v>
      </c>
      <c r="AL538" s="497">
        <f t="shared" si="680"/>
        <v>10.024166666666664</v>
      </c>
      <c r="AM538" s="497">
        <f t="shared" si="680"/>
        <v>10.024166666666664</v>
      </c>
      <c r="AN538" s="527">
        <f t="shared" si="680"/>
        <v>10.024166666666664</v>
      </c>
      <c r="AO538" s="527">
        <f t="shared" si="680"/>
        <v>10.024166666666664</v>
      </c>
      <c r="AP538" s="527">
        <f t="shared" si="680"/>
        <v>10.024166666666664</v>
      </c>
      <c r="AQ538" s="527">
        <f t="shared" si="680"/>
        <v>10.024166666666664</v>
      </c>
      <c r="AR538" s="527">
        <f t="shared" si="680"/>
        <v>10.024166666666664</v>
      </c>
      <c r="AS538" s="527">
        <f t="shared" si="680"/>
        <v>10.024166666666664</v>
      </c>
      <c r="AT538" s="527">
        <f t="shared" si="680"/>
        <v>10.024166666666664</v>
      </c>
      <c r="AU538" s="527">
        <f t="shared" si="680"/>
        <v>10.024166666666664</v>
      </c>
      <c r="AV538" s="527">
        <f t="shared" si="680"/>
        <v>10.024166666666664</v>
      </c>
      <c r="AW538" s="527">
        <f t="shared" si="680"/>
        <v>10.024166666666664</v>
      </c>
      <c r="AX538" s="527">
        <f t="shared" ref="AX538:BM541" si="681">(INDEX($I538:$N538,MATCH(AX$2,$I$3:$N$3,0)))/12</f>
        <v>10.024166666666664</v>
      </c>
      <c r="AY538" s="527">
        <f t="shared" si="681"/>
        <v>10.024166666666664</v>
      </c>
      <c r="AZ538" s="527">
        <f t="shared" si="681"/>
        <v>10.024166666666664</v>
      </c>
      <c r="BA538" s="527">
        <f t="shared" si="681"/>
        <v>10.024166666666664</v>
      </c>
      <c r="BB538" s="527">
        <f t="shared" si="681"/>
        <v>10.024166666666664</v>
      </c>
      <c r="BC538" s="527">
        <f t="shared" si="681"/>
        <v>10.024166666666664</v>
      </c>
      <c r="BD538" s="527">
        <f t="shared" si="681"/>
        <v>10.024166666666664</v>
      </c>
      <c r="BE538" s="527">
        <f t="shared" si="681"/>
        <v>10.024166666666664</v>
      </c>
      <c r="BF538" s="527">
        <f t="shared" si="681"/>
        <v>10.024166666666664</v>
      </c>
      <c r="BG538" s="527">
        <f t="shared" si="681"/>
        <v>10.024166666666664</v>
      </c>
      <c r="BH538" s="527">
        <f t="shared" si="681"/>
        <v>10.024166666666664</v>
      </c>
      <c r="BI538" s="527">
        <f t="shared" si="681"/>
        <v>10.024166666666664</v>
      </c>
      <c r="BJ538" s="527">
        <f t="shared" si="681"/>
        <v>10.024166666666664</v>
      </c>
      <c r="BK538" s="527">
        <f t="shared" si="681"/>
        <v>10.024166666666664</v>
      </c>
      <c r="BL538" s="527">
        <f t="shared" si="681"/>
        <v>10.024166666666664</v>
      </c>
      <c r="BM538" s="527">
        <f t="shared" si="681"/>
        <v>10.024166666666664</v>
      </c>
      <c r="BN538" s="527">
        <f t="shared" ref="BN538:BY541" si="682">(INDEX($I538:$N538,MATCH(BN$2,$I$3:$N$3,0)))/12</f>
        <v>10.024166666666664</v>
      </c>
      <c r="BO538" s="527">
        <f t="shared" si="682"/>
        <v>10.024166666666664</v>
      </c>
      <c r="BP538" s="527">
        <f t="shared" si="682"/>
        <v>10.024166666666664</v>
      </c>
      <c r="BQ538" s="527">
        <f t="shared" si="682"/>
        <v>10.024166666666664</v>
      </c>
      <c r="BR538" s="527">
        <f t="shared" si="682"/>
        <v>10.024166666666664</v>
      </c>
      <c r="BS538" s="527">
        <f t="shared" si="682"/>
        <v>10.024166666666664</v>
      </c>
      <c r="BT538" s="527">
        <f t="shared" si="682"/>
        <v>10.024166666666664</v>
      </c>
      <c r="BU538" s="527">
        <f t="shared" si="682"/>
        <v>10.024166666666664</v>
      </c>
      <c r="BV538" s="527">
        <f t="shared" si="682"/>
        <v>10.024166666666664</v>
      </c>
      <c r="BW538" s="527">
        <f t="shared" si="682"/>
        <v>10.024166666666664</v>
      </c>
      <c r="BX538" s="527">
        <f t="shared" si="682"/>
        <v>10.024166666666664</v>
      </c>
      <c r="BY538" s="527">
        <f t="shared" si="682"/>
        <v>10.024166666666664</v>
      </c>
      <c r="CB538" s="37"/>
    </row>
    <row r="539" spans="1:80" x14ac:dyDescent="0.3">
      <c r="A539" s="322"/>
      <c r="B539" s="322" t="s">
        <v>16</v>
      </c>
      <c r="C539" s="322" cm="1">
        <f t="array" ref="C539">SUMPRODUCT((Index_Tab!$D$36:$D$45=$B539)*(Index_Tab!$E$35:$F$35=$B$3)*Index_Tab!$E$36:$F$45)</f>
        <v>0</v>
      </c>
      <c r="D539" s="322"/>
      <c r="E539" s="2" t="s">
        <v>29</v>
      </c>
      <c r="F539" s="54"/>
      <c r="G539" s="54"/>
      <c r="H539" s="37"/>
      <c r="I539" s="67">
        <v>219912.62307616795</v>
      </c>
      <c r="J539" s="19">
        <f>I539*(1+'Detailed Assumptions'!F$46)</f>
        <v>219912.62307616795</v>
      </c>
      <c r="K539" s="19">
        <f>J539*(1+'Detailed Assumptions'!G$46)</f>
        <v>219912.62307616795</v>
      </c>
      <c r="L539" s="19">
        <f>K539*(1+'Detailed Assumptions'!H$46)</f>
        <v>219912.62307616795</v>
      </c>
      <c r="M539" s="19">
        <f>L539*(1+'Detailed Assumptions'!I$46)</f>
        <v>219912.62307616795</v>
      </c>
      <c r="N539" s="19">
        <f>M539*(1+'Detailed Assumptions'!J$46)</f>
        <v>219912.62307616795</v>
      </c>
      <c r="O539" s="37"/>
      <c r="P539" s="50">
        <f>IFERROR(((N539/I539)^(1/5))-1,0)</f>
        <v>0</v>
      </c>
      <c r="Q539" s="37"/>
      <c r="R539" s="497">
        <f t="shared" si="679"/>
        <v>18326.051923013994</v>
      </c>
      <c r="S539" s="497">
        <f t="shared" si="679"/>
        <v>18326.051923013994</v>
      </c>
      <c r="T539" s="497">
        <f t="shared" si="679"/>
        <v>18326.051923013994</v>
      </c>
      <c r="U539" s="497">
        <f t="shared" si="679"/>
        <v>18326.051923013994</v>
      </c>
      <c r="V539" s="497">
        <f t="shared" si="679"/>
        <v>18326.051923013994</v>
      </c>
      <c r="W539" s="497">
        <f t="shared" si="679"/>
        <v>18326.051923013994</v>
      </c>
      <c r="X539" s="497">
        <f t="shared" si="679"/>
        <v>18326.051923013994</v>
      </c>
      <c r="Y539" s="497">
        <f t="shared" si="679"/>
        <v>18326.051923013994</v>
      </c>
      <c r="Z539" s="497">
        <f t="shared" si="679"/>
        <v>18326.051923013994</v>
      </c>
      <c r="AA539" s="497">
        <f t="shared" si="679"/>
        <v>18326.051923013994</v>
      </c>
      <c r="AB539" s="497">
        <f t="shared" si="679"/>
        <v>18326.051923013994</v>
      </c>
      <c r="AC539" s="497">
        <f t="shared" si="679"/>
        <v>18326.051923013994</v>
      </c>
      <c r="AD539" s="497">
        <f t="shared" si="679"/>
        <v>18326.051923013994</v>
      </c>
      <c r="AE539" s="497">
        <f t="shared" si="679"/>
        <v>18326.051923013994</v>
      </c>
      <c r="AF539" s="497">
        <f t="shared" si="679"/>
        <v>18326.051923013994</v>
      </c>
      <c r="AG539" s="497">
        <f t="shared" si="679"/>
        <v>18326.051923013994</v>
      </c>
      <c r="AH539" s="497">
        <f t="shared" si="680"/>
        <v>18326.051923013994</v>
      </c>
      <c r="AI539" s="497">
        <f t="shared" si="680"/>
        <v>18326.051923013994</v>
      </c>
      <c r="AJ539" s="497">
        <f t="shared" si="680"/>
        <v>18326.051923013994</v>
      </c>
      <c r="AK539" s="497">
        <f t="shared" si="680"/>
        <v>18326.051923013994</v>
      </c>
      <c r="AL539" s="497">
        <f t="shared" si="680"/>
        <v>18326.051923013994</v>
      </c>
      <c r="AM539" s="497">
        <f t="shared" si="680"/>
        <v>18326.051923013994</v>
      </c>
      <c r="AN539" s="527">
        <f t="shared" si="680"/>
        <v>18326.051923013994</v>
      </c>
      <c r="AO539" s="527">
        <f t="shared" si="680"/>
        <v>18326.051923013994</v>
      </c>
      <c r="AP539" s="527">
        <f t="shared" si="680"/>
        <v>18326.051923013994</v>
      </c>
      <c r="AQ539" s="527">
        <f t="shared" si="680"/>
        <v>18326.051923013994</v>
      </c>
      <c r="AR539" s="527">
        <f t="shared" si="680"/>
        <v>18326.051923013994</v>
      </c>
      <c r="AS539" s="527">
        <f t="shared" si="680"/>
        <v>18326.051923013994</v>
      </c>
      <c r="AT539" s="527">
        <f t="shared" si="680"/>
        <v>18326.051923013994</v>
      </c>
      <c r="AU539" s="527">
        <f t="shared" si="680"/>
        <v>18326.051923013994</v>
      </c>
      <c r="AV539" s="527">
        <f t="shared" si="680"/>
        <v>18326.051923013994</v>
      </c>
      <c r="AW539" s="527">
        <f t="shared" si="680"/>
        <v>18326.051923013994</v>
      </c>
      <c r="AX539" s="527">
        <f t="shared" si="681"/>
        <v>18326.051923013994</v>
      </c>
      <c r="AY539" s="527">
        <f t="shared" si="681"/>
        <v>18326.051923013994</v>
      </c>
      <c r="AZ539" s="527">
        <f t="shared" si="681"/>
        <v>18326.051923013994</v>
      </c>
      <c r="BA539" s="527">
        <f t="shared" si="681"/>
        <v>18326.051923013994</v>
      </c>
      <c r="BB539" s="527">
        <f t="shared" si="681"/>
        <v>18326.051923013994</v>
      </c>
      <c r="BC539" s="527">
        <f t="shared" si="681"/>
        <v>18326.051923013994</v>
      </c>
      <c r="BD539" s="527">
        <f t="shared" si="681"/>
        <v>18326.051923013994</v>
      </c>
      <c r="BE539" s="527">
        <f t="shared" si="681"/>
        <v>18326.051923013994</v>
      </c>
      <c r="BF539" s="527">
        <f t="shared" si="681"/>
        <v>18326.051923013994</v>
      </c>
      <c r="BG539" s="527">
        <f t="shared" si="681"/>
        <v>18326.051923013994</v>
      </c>
      <c r="BH539" s="527">
        <f t="shared" si="681"/>
        <v>18326.051923013994</v>
      </c>
      <c r="BI539" s="527">
        <f t="shared" si="681"/>
        <v>18326.051923013994</v>
      </c>
      <c r="BJ539" s="527">
        <f t="shared" si="681"/>
        <v>18326.051923013994</v>
      </c>
      <c r="BK539" s="527">
        <f t="shared" si="681"/>
        <v>18326.051923013994</v>
      </c>
      <c r="BL539" s="527">
        <f t="shared" si="681"/>
        <v>18326.051923013994</v>
      </c>
      <c r="BM539" s="527">
        <f t="shared" si="681"/>
        <v>18326.051923013994</v>
      </c>
      <c r="BN539" s="527">
        <f t="shared" si="682"/>
        <v>18326.051923013994</v>
      </c>
      <c r="BO539" s="527">
        <f t="shared" si="682"/>
        <v>18326.051923013994</v>
      </c>
      <c r="BP539" s="527">
        <f t="shared" si="682"/>
        <v>18326.051923013994</v>
      </c>
      <c r="BQ539" s="527">
        <f t="shared" si="682"/>
        <v>18326.051923013994</v>
      </c>
      <c r="BR539" s="527">
        <f t="shared" si="682"/>
        <v>18326.051923013994</v>
      </c>
      <c r="BS539" s="527">
        <f t="shared" si="682"/>
        <v>18326.051923013994</v>
      </c>
      <c r="BT539" s="527">
        <f t="shared" si="682"/>
        <v>18326.051923013994</v>
      </c>
      <c r="BU539" s="527">
        <f t="shared" si="682"/>
        <v>18326.051923013994</v>
      </c>
      <c r="BV539" s="527">
        <f t="shared" si="682"/>
        <v>18326.051923013994</v>
      </c>
      <c r="BW539" s="527">
        <f t="shared" si="682"/>
        <v>18326.051923013994</v>
      </c>
      <c r="BX539" s="527">
        <f t="shared" si="682"/>
        <v>18326.051923013994</v>
      </c>
      <c r="BY539" s="527">
        <f t="shared" si="682"/>
        <v>18326.051923013994</v>
      </c>
      <c r="CB539" s="37"/>
    </row>
    <row r="540" spans="1:80" x14ac:dyDescent="0.3">
      <c r="A540" s="322"/>
      <c r="B540" s="322" t="s">
        <v>17</v>
      </c>
      <c r="C540" s="322" cm="1">
        <f t="array" ref="C540">SUMPRODUCT((Index_Tab!$D$36:$D$45=$B540)*(Index_Tab!$E$35:$F$35=$B$3)*Index_Tab!$E$36:$F$45)</f>
        <v>0</v>
      </c>
      <c r="D540" s="322"/>
      <c r="E540" s="2" t="s">
        <v>30</v>
      </c>
      <c r="F540" s="54"/>
      <c r="G540" s="54"/>
      <c r="H540" s="37"/>
      <c r="I540" s="67">
        <v>34019.959999999992</v>
      </c>
      <c r="J540" s="19">
        <f>I540*(1+'Detailed Assumptions'!F$46)</f>
        <v>34019.959999999992</v>
      </c>
      <c r="K540" s="19">
        <f>J540*(1+'Detailed Assumptions'!G$46)</f>
        <v>34019.959999999992</v>
      </c>
      <c r="L540" s="19">
        <f>K540*(1+'Detailed Assumptions'!H$46)</f>
        <v>34019.959999999992</v>
      </c>
      <c r="M540" s="19">
        <f>L540*(1+'Detailed Assumptions'!I$46)</f>
        <v>34019.959999999992</v>
      </c>
      <c r="N540" s="19">
        <f>M540*(1+'Detailed Assumptions'!J$46)</f>
        <v>34019.959999999992</v>
      </c>
      <c r="O540" s="37"/>
      <c r="P540" s="50">
        <f>IFERROR(((N540/I540)^(1/5))-1,0)</f>
        <v>0</v>
      </c>
      <c r="Q540" s="37"/>
      <c r="R540" s="497">
        <f t="shared" si="679"/>
        <v>2834.996666666666</v>
      </c>
      <c r="S540" s="497">
        <f t="shared" si="679"/>
        <v>2834.996666666666</v>
      </c>
      <c r="T540" s="497">
        <f t="shared" si="679"/>
        <v>2834.996666666666</v>
      </c>
      <c r="U540" s="497">
        <f t="shared" si="679"/>
        <v>2834.996666666666</v>
      </c>
      <c r="V540" s="497">
        <f t="shared" si="679"/>
        <v>2834.996666666666</v>
      </c>
      <c r="W540" s="497">
        <f t="shared" si="679"/>
        <v>2834.996666666666</v>
      </c>
      <c r="X540" s="497">
        <f t="shared" si="679"/>
        <v>2834.996666666666</v>
      </c>
      <c r="Y540" s="497">
        <f t="shared" si="679"/>
        <v>2834.996666666666</v>
      </c>
      <c r="Z540" s="497">
        <f t="shared" si="679"/>
        <v>2834.996666666666</v>
      </c>
      <c r="AA540" s="497">
        <f t="shared" si="679"/>
        <v>2834.996666666666</v>
      </c>
      <c r="AB540" s="497">
        <f t="shared" si="679"/>
        <v>2834.996666666666</v>
      </c>
      <c r="AC540" s="497">
        <f t="shared" si="679"/>
        <v>2834.996666666666</v>
      </c>
      <c r="AD540" s="497">
        <f t="shared" si="679"/>
        <v>2834.996666666666</v>
      </c>
      <c r="AE540" s="497">
        <f t="shared" si="679"/>
        <v>2834.996666666666</v>
      </c>
      <c r="AF540" s="497">
        <f t="shared" si="679"/>
        <v>2834.996666666666</v>
      </c>
      <c r="AG540" s="497">
        <f t="shared" si="679"/>
        <v>2834.996666666666</v>
      </c>
      <c r="AH540" s="497">
        <f t="shared" si="680"/>
        <v>2834.996666666666</v>
      </c>
      <c r="AI540" s="497">
        <f t="shared" si="680"/>
        <v>2834.996666666666</v>
      </c>
      <c r="AJ540" s="497">
        <f t="shared" si="680"/>
        <v>2834.996666666666</v>
      </c>
      <c r="AK540" s="497">
        <f t="shared" si="680"/>
        <v>2834.996666666666</v>
      </c>
      <c r="AL540" s="497">
        <f t="shared" si="680"/>
        <v>2834.996666666666</v>
      </c>
      <c r="AM540" s="497">
        <f t="shared" si="680"/>
        <v>2834.996666666666</v>
      </c>
      <c r="AN540" s="527">
        <f t="shared" si="680"/>
        <v>2834.996666666666</v>
      </c>
      <c r="AO540" s="527">
        <f t="shared" si="680"/>
        <v>2834.996666666666</v>
      </c>
      <c r="AP540" s="527">
        <f t="shared" si="680"/>
        <v>2834.996666666666</v>
      </c>
      <c r="AQ540" s="527">
        <f t="shared" si="680"/>
        <v>2834.996666666666</v>
      </c>
      <c r="AR540" s="527">
        <f t="shared" si="680"/>
        <v>2834.996666666666</v>
      </c>
      <c r="AS540" s="527">
        <f t="shared" si="680"/>
        <v>2834.996666666666</v>
      </c>
      <c r="AT540" s="527">
        <f t="shared" si="680"/>
        <v>2834.996666666666</v>
      </c>
      <c r="AU540" s="527">
        <f t="shared" si="680"/>
        <v>2834.996666666666</v>
      </c>
      <c r="AV540" s="527">
        <f t="shared" si="680"/>
        <v>2834.996666666666</v>
      </c>
      <c r="AW540" s="527">
        <f t="shared" si="680"/>
        <v>2834.996666666666</v>
      </c>
      <c r="AX540" s="527">
        <f t="shared" si="681"/>
        <v>2834.996666666666</v>
      </c>
      <c r="AY540" s="527">
        <f t="shared" si="681"/>
        <v>2834.996666666666</v>
      </c>
      <c r="AZ540" s="527">
        <f t="shared" si="681"/>
        <v>2834.996666666666</v>
      </c>
      <c r="BA540" s="527">
        <f t="shared" si="681"/>
        <v>2834.996666666666</v>
      </c>
      <c r="BB540" s="527">
        <f t="shared" si="681"/>
        <v>2834.996666666666</v>
      </c>
      <c r="BC540" s="527">
        <f t="shared" si="681"/>
        <v>2834.996666666666</v>
      </c>
      <c r="BD540" s="527">
        <f t="shared" si="681"/>
        <v>2834.996666666666</v>
      </c>
      <c r="BE540" s="527">
        <f t="shared" si="681"/>
        <v>2834.996666666666</v>
      </c>
      <c r="BF540" s="527">
        <f t="shared" si="681"/>
        <v>2834.996666666666</v>
      </c>
      <c r="BG540" s="527">
        <f t="shared" si="681"/>
        <v>2834.996666666666</v>
      </c>
      <c r="BH540" s="527">
        <f t="shared" si="681"/>
        <v>2834.996666666666</v>
      </c>
      <c r="BI540" s="527">
        <f t="shared" si="681"/>
        <v>2834.996666666666</v>
      </c>
      <c r="BJ540" s="527">
        <f t="shared" si="681"/>
        <v>2834.996666666666</v>
      </c>
      <c r="BK540" s="527">
        <f t="shared" si="681"/>
        <v>2834.996666666666</v>
      </c>
      <c r="BL540" s="527">
        <f t="shared" si="681"/>
        <v>2834.996666666666</v>
      </c>
      <c r="BM540" s="527">
        <f t="shared" si="681"/>
        <v>2834.996666666666</v>
      </c>
      <c r="BN540" s="527">
        <f t="shared" si="682"/>
        <v>2834.996666666666</v>
      </c>
      <c r="BO540" s="527">
        <f t="shared" si="682"/>
        <v>2834.996666666666</v>
      </c>
      <c r="BP540" s="527">
        <f t="shared" si="682"/>
        <v>2834.996666666666</v>
      </c>
      <c r="BQ540" s="527">
        <f t="shared" si="682"/>
        <v>2834.996666666666</v>
      </c>
      <c r="BR540" s="527">
        <f t="shared" si="682"/>
        <v>2834.996666666666</v>
      </c>
      <c r="BS540" s="527">
        <f t="shared" si="682"/>
        <v>2834.996666666666</v>
      </c>
      <c r="BT540" s="527">
        <f t="shared" si="682"/>
        <v>2834.996666666666</v>
      </c>
      <c r="BU540" s="527">
        <f t="shared" si="682"/>
        <v>2834.996666666666</v>
      </c>
      <c r="BV540" s="527">
        <f t="shared" si="682"/>
        <v>2834.996666666666</v>
      </c>
      <c r="BW540" s="527">
        <f t="shared" si="682"/>
        <v>2834.996666666666</v>
      </c>
      <c r="BX540" s="527">
        <f t="shared" si="682"/>
        <v>2834.996666666666</v>
      </c>
      <c r="BY540" s="527">
        <f t="shared" si="682"/>
        <v>2834.996666666666</v>
      </c>
      <c r="CB540" s="37"/>
    </row>
    <row r="541" spans="1:80" x14ac:dyDescent="0.3">
      <c r="A541" s="322"/>
      <c r="B541" s="322" t="s">
        <v>18</v>
      </c>
      <c r="C541" s="322" cm="1">
        <f t="array" ref="C541">SUMPRODUCT((Index_Tab!$D$36:$D$45=$B541)*(Index_Tab!$E$35:$F$35=$B$3)*Index_Tab!$E$36:$F$45)</f>
        <v>0</v>
      </c>
      <c r="D541" s="322"/>
      <c r="E541" s="2" t="s">
        <v>31</v>
      </c>
      <c r="F541" s="54"/>
      <c r="G541" s="54"/>
      <c r="H541" s="37"/>
      <c r="I541" s="67">
        <v>111753.77950661541</v>
      </c>
      <c r="J541" s="19">
        <f>I541*(1+'Detailed Assumptions'!F$46)</f>
        <v>111753.77950661541</v>
      </c>
      <c r="K541" s="19">
        <f>J541*(1+'Detailed Assumptions'!G$46)</f>
        <v>111753.77950661541</v>
      </c>
      <c r="L541" s="19">
        <f>K541*(1+'Detailed Assumptions'!H$46)</f>
        <v>111753.77950661541</v>
      </c>
      <c r="M541" s="19">
        <f>L541*(1+'Detailed Assumptions'!I$46)</f>
        <v>111753.77950661541</v>
      </c>
      <c r="N541" s="19">
        <f>M541*(1+'Detailed Assumptions'!J$46)</f>
        <v>111753.77950661541</v>
      </c>
      <c r="O541" s="37"/>
      <c r="P541" s="50">
        <f>IFERROR(((N541/I541)^(1/5))-1,0)</f>
        <v>0</v>
      </c>
      <c r="Q541" s="37"/>
      <c r="R541" s="497">
        <f t="shared" si="679"/>
        <v>9312.8149588846172</v>
      </c>
      <c r="S541" s="497">
        <f t="shared" si="679"/>
        <v>9312.8149588846172</v>
      </c>
      <c r="T541" s="497">
        <f t="shared" si="679"/>
        <v>9312.8149588846172</v>
      </c>
      <c r="U541" s="497">
        <f t="shared" si="679"/>
        <v>9312.8149588846172</v>
      </c>
      <c r="V541" s="497">
        <f t="shared" si="679"/>
        <v>9312.8149588846172</v>
      </c>
      <c r="W541" s="497">
        <f t="shared" si="679"/>
        <v>9312.8149588846172</v>
      </c>
      <c r="X541" s="497">
        <f t="shared" si="679"/>
        <v>9312.8149588846172</v>
      </c>
      <c r="Y541" s="497">
        <f t="shared" si="679"/>
        <v>9312.8149588846172</v>
      </c>
      <c r="Z541" s="497">
        <f t="shared" si="679"/>
        <v>9312.8149588846172</v>
      </c>
      <c r="AA541" s="497">
        <f t="shared" si="679"/>
        <v>9312.8149588846172</v>
      </c>
      <c r="AB541" s="497">
        <f t="shared" si="679"/>
        <v>9312.8149588846172</v>
      </c>
      <c r="AC541" s="497">
        <f t="shared" si="679"/>
        <v>9312.8149588846172</v>
      </c>
      <c r="AD541" s="497">
        <f t="shared" si="679"/>
        <v>9312.8149588846172</v>
      </c>
      <c r="AE541" s="497">
        <f t="shared" si="679"/>
        <v>9312.8149588846172</v>
      </c>
      <c r="AF541" s="497">
        <f t="shared" si="679"/>
        <v>9312.8149588846172</v>
      </c>
      <c r="AG541" s="497">
        <f t="shared" si="679"/>
        <v>9312.8149588846172</v>
      </c>
      <c r="AH541" s="497">
        <f t="shared" si="680"/>
        <v>9312.8149588846172</v>
      </c>
      <c r="AI541" s="497">
        <f t="shared" si="680"/>
        <v>9312.8149588846172</v>
      </c>
      <c r="AJ541" s="497">
        <f t="shared" si="680"/>
        <v>9312.8149588846172</v>
      </c>
      <c r="AK541" s="497">
        <f t="shared" si="680"/>
        <v>9312.8149588846172</v>
      </c>
      <c r="AL541" s="497">
        <f t="shared" si="680"/>
        <v>9312.8149588846172</v>
      </c>
      <c r="AM541" s="497">
        <f t="shared" si="680"/>
        <v>9312.8149588846172</v>
      </c>
      <c r="AN541" s="527">
        <f t="shared" si="680"/>
        <v>9312.8149588846172</v>
      </c>
      <c r="AO541" s="527">
        <f t="shared" si="680"/>
        <v>9312.8149588846172</v>
      </c>
      <c r="AP541" s="527">
        <f t="shared" si="680"/>
        <v>9312.8149588846172</v>
      </c>
      <c r="AQ541" s="527">
        <f t="shared" si="680"/>
        <v>9312.8149588846172</v>
      </c>
      <c r="AR541" s="527">
        <f t="shared" si="680"/>
        <v>9312.8149588846172</v>
      </c>
      <c r="AS541" s="527">
        <f t="shared" si="680"/>
        <v>9312.8149588846172</v>
      </c>
      <c r="AT541" s="527">
        <f t="shared" si="680"/>
        <v>9312.8149588846172</v>
      </c>
      <c r="AU541" s="527">
        <f t="shared" si="680"/>
        <v>9312.8149588846172</v>
      </c>
      <c r="AV541" s="527">
        <f t="shared" si="680"/>
        <v>9312.8149588846172</v>
      </c>
      <c r="AW541" s="527">
        <f t="shared" si="680"/>
        <v>9312.8149588846172</v>
      </c>
      <c r="AX541" s="527">
        <f t="shared" si="681"/>
        <v>9312.8149588846172</v>
      </c>
      <c r="AY541" s="527">
        <f t="shared" si="681"/>
        <v>9312.8149588846172</v>
      </c>
      <c r="AZ541" s="527">
        <f t="shared" si="681"/>
        <v>9312.8149588846172</v>
      </c>
      <c r="BA541" s="527">
        <f t="shared" si="681"/>
        <v>9312.8149588846172</v>
      </c>
      <c r="BB541" s="527">
        <f t="shared" si="681"/>
        <v>9312.8149588846172</v>
      </c>
      <c r="BC541" s="527">
        <f t="shared" si="681"/>
        <v>9312.8149588846172</v>
      </c>
      <c r="BD541" s="527">
        <f t="shared" si="681"/>
        <v>9312.8149588846172</v>
      </c>
      <c r="BE541" s="527">
        <f t="shared" si="681"/>
        <v>9312.8149588846172</v>
      </c>
      <c r="BF541" s="527">
        <f t="shared" si="681"/>
        <v>9312.8149588846172</v>
      </c>
      <c r="BG541" s="527">
        <f t="shared" si="681"/>
        <v>9312.8149588846172</v>
      </c>
      <c r="BH541" s="527">
        <f t="shared" si="681"/>
        <v>9312.8149588846172</v>
      </c>
      <c r="BI541" s="527">
        <f t="shared" si="681"/>
        <v>9312.8149588846172</v>
      </c>
      <c r="BJ541" s="527">
        <f t="shared" si="681"/>
        <v>9312.8149588846172</v>
      </c>
      <c r="BK541" s="527">
        <f t="shared" si="681"/>
        <v>9312.8149588846172</v>
      </c>
      <c r="BL541" s="527">
        <f t="shared" si="681"/>
        <v>9312.8149588846172</v>
      </c>
      <c r="BM541" s="527">
        <f t="shared" si="681"/>
        <v>9312.8149588846172</v>
      </c>
      <c r="BN541" s="527">
        <f t="shared" si="682"/>
        <v>9312.8149588846172</v>
      </c>
      <c r="BO541" s="527">
        <f t="shared" si="682"/>
        <v>9312.8149588846172</v>
      </c>
      <c r="BP541" s="527">
        <f t="shared" si="682"/>
        <v>9312.8149588846172</v>
      </c>
      <c r="BQ541" s="527">
        <f t="shared" si="682"/>
        <v>9312.8149588846172</v>
      </c>
      <c r="BR541" s="527">
        <f t="shared" si="682"/>
        <v>9312.8149588846172</v>
      </c>
      <c r="BS541" s="527">
        <f t="shared" si="682"/>
        <v>9312.8149588846172</v>
      </c>
      <c r="BT541" s="527">
        <f t="shared" si="682"/>
        <v>9312.8149588846172</v>
      </c>
      <c r="BU541" s="527">
        <f t="shared" si="682"/>
        <v>9312.8149588846172</v>
      </c>
      <c r="BV541" s="527">
        <f t="shared" si="682"/>
        <v>9312.8149588846172</v>
      </c>
      <c r="BW541" s="527">
        <f t="shared" si="682"/>
        <v>9312.8149588846172</v>
      </c>
      <c r="BX541" s="527">
        <f t="shared" si="682"/>
        <v>9312.8149588846172</v>
      </c>
      <c r="BY541" s="527">
        <f t="shared" si="682"/>
        <v>9312.8149588846172</v>
      </c>
      <c r="CB541" s="37"/>
    </row>
    <row r="542" spans="1:80" x14ac:dyDescent="0.3">
      <c r="A542" s="322"/>
      <c r="B542" s="322"/>
      <c r="C542" s="322" cm="1">
        <f t="array" ref="C542">SUMPRODUCT((Index_Tab!$D$36:$D$45=$B542)*(Index_Tab!$E$35:$F$35=$B$3)*Index_Tab!$E$36:$F$45)</f>
        <v>0</v>
      </c>
      <c r="D542" s="322"/>
      <c r="E542" s="4" t="s">
        <v>32</v>
      </c>
      <c r="F542" s="5"/>
      <c r="G542" s="5"/>
      <c r="H542" s="37"/>
      <c r="I542" s="500">
        <f>SUM(I538:I541)</f>
        <v>365806.65258278337</v>
      </c>
      <c r="J542" s="500">
        <f>SUM(J538:J541)</f>
        <v>365806.65258278337</v>
      </c>
      <c r="K542" s="500">
        <f t="shared" ref="K542:BX542" si="683">SUM(K538:K541)</f>
        <v>365806.65258278337</v>
      </c>
      <c r="L542" s="500">
        <f t="shared" si="683"/>
        <v>365806.65258278337</v>
      </c>
      <c r="M542" s="500">
        <f t="shared" si="683"/>
        <v>365806.65258278337</v>
      </c>
      <c r="N542" s="500">
        <f t="shared" si="683"/>
        <v>365806.65258278337</v>
      </c>
      <c r="O542" s="57"/>
      <c r="P542" s="55">
        <f>IFERROR(((N542/I542)^(1/5))-1,0)</f>
        <v>0</v>
      </c>
      <c r="Q542" s="37"/>
      <c r="R542" s="500">
        <f t="shared" si="683"/>
        <v>30483.887715231944</v>
      </c>
      <c r="S542" s="500">
        <f t="shared" si="683"/>
        <v>30483.887715231944</v>
      </c>
      <c r="T542" s="500">
        <f t="shared" si="683"/>
        <v>30483.887715231944</v>
      </c>
      <c r="U542" s="500">
        <f t="shared" si="683"/>
        <v>30483.887715231944</v>
      </c>
      <c r="V542" s="500">
        <f t="shared" si="683"/>
        <v>30483.887715231944</v>
      </c>
      <c r="W542" s="500">
        <f t="shared" si="683"/>
        <v>30483.887715231944</v>
      </c>
      <c r="X542" s="500">
        <f t="shared" si="683"/>
        <v>30483.887715231944</v>
      </c>
      <c r="Y542" s="500">
        <f t="shared" si="683"/>
        <v>30483.887715231944</v>
      </c>
      <c r="Z542" s="500">
        <f t="shared" si="683"/>
        <v>30483.887715231944</v>
      </c>
      <c r="AA542" s="500">
        <f t="shared" si="683"/>
        <v>30483.887715231944</v>
      </c>
      <c r="AB542" s="500">
        <f t="shared" si="683"/>
        <v>30483.887715231944</v>
      </c>
      <c r="AC542" s="500">
        <f t="shared" si="683"/>
        <v>30483.887715231944</v>
      </c>
      <c r="AD542" s="500">
        <f t="shared" si="683"/>
        <v>30483.887715231944</v>
      </c>
      <c r="AE542" s="500">
        <f t="shared" si="683"/>
        <v>30483.887715231944</v>
      </c>
      <c r="AF542" s="500">
        <f t="shared" si="683"/>
        <v>30483.887715231944</v>
      </c>
      <c r="AG542" s="500">
        <f t="shared" si="683"/>
        <v>30483.887715231944</v>
      </c>
      <c r="AH542" s="500">
        <f t="shared" si="683"/>
        <v>30483.887715231944</v>
      </c>
      <c r="AI542" s="500">
        <f t="shared" si="683"/>
        <v>30483.887715231944</v>
      </c>
      <c r="AJ542" s="500">
        <f t="shared" si="683"/>
        <v>30483.887715231944</v>
      </c>
      <c r="AK542" s="500">
        <f t="shared" si="683"/>
        <v>30483.887715231944</v>
      </c>
      <c r="AL542" s="500">
        <f t="shared" si="683"/>
        <v>30483.887715231944</v>
      </c>
      <c r="AM542" s="500">
        <f t="shared" si="683"/>
        <v>30483.887715231944</v>
      </c>
      <c r="AN542" s="532">
        <f t="shared" si="683"/>
        <v>30483.887715231944</v>
      </c>
      <c r="AO542" s="532">
        <f t="shared" si="683"/>
        <v>30483.887715231944</v>
      </c>
      <c r="AP542" s="532">
        <f t="shared" si="683"/>
        <v>30483.887715231944</v>
      </c>
      <c r="AQ542" s="532">
        <f t="shared" si="683"/>
        <v>30483.887715231944</v>
      </c>
      <c r="AR542" s="532">
        <f t="shared" si="683"/>
        <v>30483.887715231944</v>
      </c>
      <c r="AS542" s="532">
        <f t="shared" si="683"/>
        <v>30483.887715231944</v>
      </c>
      <c r="AT542" s="532">
        <f t="shared" si="683"/>
        <v>30483.887715231944</v>
      </c>
      <c r="AU542" s="532">
        <f t="shared" si="683"/>
        <v>30483.887715231944</v>
      </c>
      <c r="AV542" s="532">
        <f t="shared" si="683"/>
        <v>30483.887715231944</v>
      </c>
      <c r="AW542" s="532">
        <f t="shared" si="683"/>
        <v>30483.887715231944</v>
      </c>
      <c r="AX542" s="532">
        <f t="shared" si="683"/>
        <v>30483.887715231944</v>
      </c>
      <c r="AY542" s="532">
        <f t="shared" si="683"/>
        <v>30483.887715231944</v>
      </c>
      <c r="AZ542" s="532">
        <f t="shared" si="683"/>
        <v>30483.887715231944</v>
      </c>
      <c r="BA542" s="532">
        <f t="shared" si="683"/>
        <v>30483.887715231944</v>
      </c>
      <c r="BB542" s="532">
        <f t="shared" si="683"/>
        <v>30483.887715231944</v>
      </c>
      <c r="BC542" s="532">
        <f t="shared" si="683"/>
        <v>30483.887715231944</v>
      </c>
      <c r="BD542" s="532">
        <f t="shared" si="683"/>
        <v>30483.887715231944</v>
      </c>
      <c r="BE542" s="532">
        <f t="shared" si="683"/>
        <v>30483.887715231944</v>
      </c>
      <c r="BF542" s="532">
        <f t="shared" si="683"/>
        <v>30483.887715231944</v>
      </c>
      <c r="BG542" s="532">
        <f t="shared" si="683"/>
        <v>30483.887715231944</v>
      </c>
      <c r="BH542" s="532">
        <f t="shared" si="683"/>
        <v>30483.887715231944</v>
      </c>
      <c r="BI542" s="532">
        <f t="shared" si="683"/>
        <v>30483.887715231944</v>
      </c>
      <c r="BJ542" s="532">
        <f t="shared" si="683"/>
        <v>30483.887715231944</v>
      </c>
      <c r="BK542" s="532">
        <f t="shared" si="683"/>
        <v>30483.887715231944</v>
      </c>
      <c r="BL542" s="532">
        <f t="shared" si="683"/>
        <v>30483.887715231944</v>
      </c>
      <c r="BM542" s="532">
        <f t="shared" si="683"/>
        <v>30483.887715231944</v>
      </c>
      <c r="BN542" s="532">
        <f t="shared" si="683"/>
        <v>30483.887715231944</v>
      </c>
      <c r="BO542" s="532">
        <f t="shared" si="683"/>
        <v>30483.887715231944</v>
      </c>
      <c r="BP542" s="532">
        <f t="shared" si="683"/>
        <v>30483.887715231944</v>
      </c>
      <c r="BQ542" s="532">
        <f t="shared" si="683"/>
        <v>30483.887715231944</v>
      </c>
      <c r="BR542" s="532">
        <f t="shared" si="683"/>
        <v>30483.887715231944</v>
      </c>
      <c r="BS542" s="532">
        <f t="shared" si="683"/>
        <v>30483.887715231944</v>
      </c>
      <c r="BT542" s="532">
        <f t="shared" si="683"/>
        <v>30483.887715231944</v>
      </c>
      <c r="BU542" s="532">
        <f t="shared" si="683"/>
        <v>30483.887715231944</v>
      </c>
      <c r="BV542" s="532">
        <f t="shared" si="683"/>
        <v>30483.887715231944</v>
      </c>
      <c r="BW542" s="532">
        <f t="shared" si="683"/>
        <v>30483.887715231944</v>
      </c>
      <c r="BX542" s="532">
        <f t="shared" si="683"/>
        <v>30483.887715231944</v>
      </c>
      <c r="BY542" s="532">
        <f>SUM(BY538:BY541)</f>
        <v>30483.887715231944</v>
      </c>
      <c r="CB542" s="37"/>
    </row>
    <row r="543" spans="1:80" x14ac:dyDescent="0.3">
      <c r="A543" s="322"/>
      <c r="B543" s="322"/>
      <c r="C543" s="322" cm="1">
        <f t="array" ref="C543">SUMPRODUCT((Index_Tab!$D$36:$D$45=$B543)*(Index_Tab!$E$35:$F$35=$B$3)*Index_Tab!$E$36:$F$45)</f>
        <v>0</v>
      </c>
      <c r="D543" s="322"/>
      <c r="E543" s="2"/>
      <c r="F543" s="37"/>
      <c r="G543" s="37"/>
      <c r="H543" s="37"/>
      <c r="I543" s="37"/>
      <c r="J543" s="37"/>
      <c r="K543" s="37"/>
      <c r="L543" s="37"/>
      <c r="M543" s="37"/>
      <c r="N543" s="37"/>
      <c r="O543" s="37"/>
      <c r="P543" s="144"/>
      <c r="Q543" s="37"/>
      <c r="R543" s="37"/>
      <c r="S543" s="37"/>
      <c r="T543" s="37"/>
      <c r="U543" s="37"/>
      <c r="V543" s="37"/>
      <c r="W543" s="37"/>
      <c r="X543" s="37"/>
      <c r="Y543" s="37"/>
      <c r="Z543" s="37"/>
      <c r="AA543" s="37"/>
      <c r="AB543" s="37"/>
      <c r="AC543" s="37"/>
      <c r="AD543" s="37"/>
      <c r="AE543" s="37"/>
      <c r="AF543" s="37"/>
      <c r="AG543" s="37"/>
      <c r="AH543" s="37"/>
      <c r="AI543" s="37"/>
      <c r="AJ543" s="37"/>
      <c r="AK543" s="37"/>
      <c r="AL543" s="37"/>
      <c r="AM543" s="37"/>
      <c r="AN543" s="529"/>
      <c r="AO543" s="529"/>
      <c r="AP543" s="529"/>
      <c r="AQ543" s="529"/>
      <c r="AR543" s="529"/>
      <c r="AS543" s="529"/>
      <c r="AT543" s="529"/>
      <c r="AU543" s="529"/>
      <c r="AV543" s="529"/>
      <c r="AW543" s="529"/>
      <c r="AX543" s="529"/>
      <c r="AY543" s="529"/>
      <c r="AZ543" s="529"/>
      <c r="BA543" s="529"/>
      <c r="BB543" s="529"/>
      <c r="BC543" s="529"/>
      <c r="BD543" s="529"/>
      <c r="BE543" s="529"/>
      <c r="BF543" s="529"/>
      <c r="BG543" s="529"/>
      <c r="BH543" s="529"/>
      <c r="BI543" s="529"/>
      <c r="BJ543" s="529"/>
      <c r="BK543" s="529"/>
      <c r="BL543" s="529"/>
      <c r="BM543" s="529"/>
      <c r="BN543" s="529"/>
      <c r="BO543" s="529"/>
      <c r="BP543" s="529"/>
      <c r="BQ543" s="529"/>
      <c r="BR543" s="529"/>
      <c r="BS543" s="529"/>
      <c r="BT543" s="529"/>
      <c r="BU543" s="529"/>
      <c r="BV543" s="529"/>
      <c r="BW543" s="529"/>
      <c r="BX543" s="529"/>
      <c r="BY543" s="529"/>
      <c r="CB543" s="37"/>
    </row>
    <row r="544" spans="1:80" x14ac:dyDescent="0.3">
      <c r="A544" s="322"/>
      <c r="B544" s="322"/>
      <c r="C544" s="322" cm="1">
        <f t="array" ref="C544">SUMPRODUCT((Index_Tab!$D$36:$D$45=$B544)*(Index_Tab!$E$35:$F$35=$B$3)*Index_Tab!$E$36:$F$45)</f>
        <v>0</v>
      </c>
      <c r="D544" s="322"/>
      <c r="E544" s="62" t="s">
        <v>33</v>
      </c>
      <c r="F544" s="63"/>
      <c r="G544" s="63"/>
      <c r="H544" s="37"/>
      <c r="I544" s="502">
        <f t="shared" ref="I544:N544" si="684">SUM(I542,I535,I529)</f>
        <v>3346508.3368396084</v>
      </c>
      <c r="J544" s="502">
        <f t="shared" si="684"/>
        <v>3481055.2988303378</v>
      </c>
      <c r="K544" s="502">
        <f t="shared" si="684"/>
        <v>3615635.8440741124</v>
      </c>
      <c r="L544" s="502">
        <f t="shared" si="684"/>
        <v>3749226.9620985733</v>
      </c>
      <c r="M544" s="502">
        <f t="shared" si="684"/>
        <v>3878859.4541617469</v>
      </c>
      <c r="N544" s="502">
        <f t="shared" si="684"/>
        <v>4011112.8276311508</v>
      </c>
      <c r="O544" s="57"/>
      <c r="P544" s="55">
        <f>IFERROR(((N544/I544)^(1/5))-1,0)</f>
        <v>3.6894553855963297E-2</v>
      </c>
      <c r="Q544" s="37"/>
      <c r="R544" s="502">
        <f t="shared" ref="R544:BY544" si="685">SUM(R542,R535,R529)</f>
        <v>290087.9415691949</v>
      </c>
      <c r="S544" s="502">
        <f t="shared" si="685"/>
        <v>290087.9415691949</v>
      </c>
      <c r="T544" s="502">
        <f t="shared" si="685"/>
        <v>290087.9415691949</v>
      </c>
      <c r="U544" s="502">
        <f t="shared" si="685"/>
        <v>290087.9415691949</v>
      </c>
      <c r="V544" s="502">
        <f t="shared" si="685"/>
        <v>290087.9415691949</v>
      </c>
      <c r="W544" s="502">
        <f t="shared" si="685"/>
        <v>290087.9415691949</v>
      </c>
      <c r="X544" s="502">
        <f t="shared" si="685"/>
        <v>290087.9415691949</v>
      </c>
      <c r="Y544" s="502">
        <f t="shared" si="685"/>
        <v>290087.9415691949</v>
      </c>
      <c r="Z544" s="502">
        <f t="shared" si="685"/>
        <v>290087.9415691949</v>
      </c>
      <c r="AA544" s="502">
        <f t="shared" si="685"/>
        <v>290087.9415691949</v>
      </c>
      <c r="AB544" s="502">
        <f t="shared" si="685"/>
        <v>290087.9415691949</v>
      </c>
      <c r="AC544" s="502">
        <f t="shared" si="685"/>
        <v>290087.9415691949</v>
      </c>
      <c r="AD544" s="502">
        <f t="shared" si="685"/>
        <v>301302.98700617603</v>
      </c>
      <c r="AE544" s="502">
        <f t="shared" si="685"/>
        <v>301302.98700617603</v>
      </c>
      <c r="AF544" s="502">
        <f t="shared" si="685"/>
        <v>301302.98700617603</v>
      </c>
      <c r="AG544" s="502">
        <f t="shared" si="685"/>
        <v>301302.98700617603</v>
      </c>
      <c r="AH544" s="502">
        <f t="shared" si="685"/>
        <v>301302.98700617603</v>
      </c>
      <c r="AI544" s="502">
        <f t="shared" si="685"/>
        <v>301302.98700617603</v>
      </c>
      <c r="AJ544" s="502">
        <f t="shared" si="685"/>
        <v>301302.98700617603</v>
      </c>
      <c r="AK544" s="502">
        <f t="shared" si="685"/>
        <v>301302.98700617603</v>
      </c>
      <c r="AL544" s="502">
        <f t="shared" si="685"/>
        <v>301302.98700617603</v>
      </c>
      <c r="AM544" s="502">
        <f t="shared" si="685"/>
        <v>301302.98700617603</v>
      </c>
      <c r="AN544" s="534">
        <f t="shared" si="685"/>
        <v>301302.98700617603</v>
      </c>
      <c r="AO544" s="534">
        <f t="shared" si="685"/>
        <v>301302.98700617603</v>
      </c>
      <c r="AP544" s="534">
        <f t="shared" si="685"/>
        <v>312435.58017488121</v>
      </c>
      <c r="AQ544" s="534">
        <f t="shared" si="685"/>
        <v>312435.58017488121</v>
      </c>
      <c r="AR544" s="534">
        <f t="shared" si="685"/>
        <v>312435.58017488121</v>
      </c>
      <c r="AS544" s="534">
        <f t="shared" si="685"/>
        <v>312435.58017488121</v>
      </c>
      <c r="AT544" s="534">
        <f t="shared" si="685"/>
        <v>312435.58017488121</v>
      </c>
      <c r="AU544" s="534">
        <f t="shared" si="685"/>
        <v>312435.58017488121</v>
      </c>
      <c r="AV544" s="534">
        <f t="shared" si="685"/>
        <v>312435.58017488121</v>
      </c>
      <c r="AW544" s="534">
        <f t="shared" si="685"/>
        <v>312435.58017488121</v>
      </c>
      <c r="AX544" s="534">
        <f t="shared" si="685"/>
        <v>312435.58017488121</v>
      </c>
      <c r="AY544" s="534">
        <f t="shared" si="685"/>
        <v>312435.58017488121</v>
      </c>
      <c r="AZ544" s="534">
        <f t="shared" si="685"/>
        <v>312435.58017488121</v>
      </c>
      <c r="BA544" s="534">
        <f t="shared" si="685"/>
        <v>312435.58017488121</v>
      </c>
      <c r="BB544" s="534">
        <f t="shared" si="685"/>
        <v>323238.28784681234</v>
      </c>
      <c r="BC544" s="534">
        <f t="shared" si="685"/>
        <v>323238.28784681234</v>
      </c>
      <c r="BD544" s="534">
        <f t="shared" si="685"/>
        <v>323238.28784681234</v>
      </c>
      <c r="BE544" s="534">
        <f t="shared" si="685"/>
        <v>323238.28784681234</v>
      </c>
      <c r="BF544" s="534">
        <f t="shared" si="685"/>
        <v>323238.28784681234</v>
      </c>
      <c r="BG544" s="534">
        <f t="shared" si="685"/>
        <v>323238.28784681234</v>
      </c>
      <c r="BH544" s="534">
        <f t="shared" si="685"/>
        <v>323238.28784681234</v>
      </c>
      <c r="BI544" s="534">
        <f t="shared" si="685"/>
        <v>323238.28784681234</v>
      </c>
      <c r="BJ544" s="534">
        <f t="shared" si="685"/>
        <v>323238.28784681234</v>
      </c>
      <c r="BK544" s="534">
        <f t="shared" si="685"/>
        <v>323238.28784681234</v>
      </c>
      <c r="BL544" s="534">
        <f t="shared" si="685"/>
        <v>323238.28784681234</v>
      </c>
      <c r="BM544" s="534">
        <f t="shared" si="685"/>
        <v>323238.28784681234</v>
      </c>
      <c r="BN544" s="534">
        <f t="shared" si="685"/>
        <v>334259.40230259602</v>
      </c>
      <c r="BO544" s="534">
        <f t="shared" si="685"/>
        <v>334259.40230259602</v>
      </c>
      <c r="BP544" s="534">
        <f t="shared" si="685"/>
        <v>334259.40230259602</v>
      </c>
      <c r="BQ544" s="534">
        <f t="shared" si="685"/>
        <v>334259.40230259602</v>
      </c>
      <c r="BR544" s="534">
        <f t="shared" si="685"/>
        <v>334259.40230259602</v>
      </c>
      <c r="BS544" s="534">
        <f t="shared" si="685"/>
        <v>334259.40230259602</v>
      </c>
      <c r="BT544" s="534">
        <f t="shared" si="685"/>
        <v>334259.40230259602</v>
      </c>
      <c r="BU544" s="534">
        <f t="shared" si="685"/>
        <v>334259.40230259602</v>
      </c>
      <c r="BV544" s="534">
        <f t="shared" si="685"/>
        <v>334259.40230259602</v>
      </c>
      <c r="BW544" s="534">
        <f t="shared" si="685"/>
        <v>334259.40230259602</v>
      </c>
      <c r="BX544" s="534">
        <f t="shared" si="685"/>
        <v>334259.40230259602</v>
      </c>
      <c r="BY544" s="534">
        <f t="shared" si="685"/>
        <v>334259.40230259602</v>
      </c>
      <c r="CB544" s="37"/>
    </row>
    <row r="545" spans="1:80" x14ac:dyDescent="0.3">
      <c r="A545" s="322"/>
      <c r="B545" s="322"/>
      <c r="C545" s="322" cm="1">
        <f t="array" ref="C545">SUMPRODUCT((Index_Tab!$D$36:$D$45=$B545)*(Index_Tab!$E$35:$F$35=$B$3)*Index_Tab!$E$36:$F$45)</f>
        <v>0</v>
      </c>
      <c r="D545" s="322"/>
      <c r="E545" s="2"/>
      <c r="F545" s="37"/>
      <c r="G545" s="37"/>
      <c r="H545" s="37"/>
      <c r="I545" s="37"/>
      <c r="J545" s="37"/>
      <c r="K545" s="37"/>
      <c r="L545" s="37"/>
      <c r="M545" s="37"/>
      <c r="N545" s="37"/>
      <c r="O545" s="37"/>
      <c r="P545" s="144"/>
      <c r="Q545" s="37"/>
      <c r="R545" s="37"/>
      <c r="S545" s="37"/>
      <c r="T545" s="37"/>
      <c r="U545" s="37"/>
      <c r="V545" s="37"/>
      <c r="W545" s="37"/>
      <c r="X545" s="37"/>
      <c r="Y545" s="37"/>
      <c r="Z545" s="37"/>
      <c r="AA545" s="37"/>
      <c r="AB545" s="37"/>
      <c r="AC545" s="37"/>
      <c r="AD545" s="37"/>
      <c r="AE545" s="37"/>
      <c r="AF545" s="37"/>
      <c r="AG545" s="37"/>
      <c r="AH545" s="37"/>
      <c r="AI545" s="37"/>
      <c r="AJ545" s="37"/>
      <c r="AK545" s="37"/>
      <c r="AL545" s="37"/>
      <c r="AM545" s="37"/>
      <c r="AN545" s="529"/>
      <c r="AO545" s="529"/>
      <c r="AP545" s="529"/>
      <c r="AQ545" s="529"/>
      <c r="AR545" s="529"/>
      <c r="AS545" s="529"/>
      <c r="AT545" s="529"/>
      <c r="AU545" s="529"/>
      <c r="AV545" s="529"/>
      <c r="AW545" s="529"/>
      <c r="AX545" s="529"/>
      <c r="AY545" s="529"/>
      <c r="AZ545" s="529"/>
      <c r="BA545" s="529"/>
      <c r="BB545" s="529"/>
      <c r="BC545" s="529"/>
      <c r="BD545" s="529"/>
      <c r="BE545" s="529"/>
      <c r="BF545" s="529"/>
      <c r="BG545" s="529"/>
      <c r="BH545" s="529"/>
      <c r="BI545" s="529"/>
      <c r="BJ545" s="529"/>
      <c r="BK545" s="529"/>
      <c r="BL545" s="529"/>
      <c r="BM545" s="529"/>
      <c r="BN545" s="529"/>
      <c r="BO545" s="529"/>
      <c r="BP545" s="529"/>
      <c r="BQ545" s="529"/>
      <c r="BR545" s="529"/>
      <c r="BS545" s="529"/>
      <c r="BT545" s="529"/>
      <c r="BU545" s="529"/>
      <c r="BV545" s="529"/>
      <c r="BW545" s="529"/>
      <c r="BX545" s="529"/>
      <c r="BY545" s="529"/>
      <c r="CB545" s="37"/>
    </row>
    <row r="546" spans="1:80" x14ac:dyDescent="0.3">
      <c r="A546" s="322"/>
      <c r="B546" s="322"/>
      <c r="C546" s="322" cm="1">
        <f t="array" ref="C546">SUMPRODUCT((Index_Tab!$D$36:$D$45=$B546)*(Index_Tab!$E$35:$F$35=$B$3)*Index_Tab!$E$36:$F$45)</f>
        <v>0</v>
      </c>
      <c r="D546" s="322"/>
      <c r="E546" s="17" t="s">
        <v>34</v>
      </c>
      <c r="F546" s="37"/>
      <c r="G546" s="37"/>
      <c r="H546" s="37"/>
      <c r="I546" s="37"/>
      <c r="J546" s="37"/>
      <c r="K546" s="37"/>
      <c r="L546" s="37"/>
      <c r="M546" s="37"/>
      <c r="N546" s="37"/>
      <c r="O546" s="37"/>
      <c r="P546" s="144"/>
      <c r="Q546" s="37"/>
      <c r="R546" s="37"/>
      <c r="S546" s="37"/>
      <c r="T546" s="37"/>
      <c r="U546" s="37"/>
      <c r="V546" s="37"/>
      <c r="W546" s="37"/>
      <c r="X546" s="37"/>
      <c r="Y546" s="37"/>
      <c r="Z546" s="37"/>
      <c r="AA546" s="37"/>
      <c r="AB546" s="37"/>
      <c r="AC546" s="37"/>
      <c r="AD546" s="37"/>
      <c r="AE546" s="37"/>
      <c r="AF546" s="37"/>
      <c r="AG546" s="37"/>
      <c r="AH546" s="37"/>
      <c r="AI546" s="37"/>
      <c r="AJ546" s="37"/>
      <c r="AK546" s="37"/>
      <c r="AL546" s="37"/>
      <c r="AM546" s="37"/>
      <c r="AN546" s="529"/>
      <c r="AO546" s="529"/>
      <c r="AP546" s="529"/>
      <c r="AQ546" s="529"/>
      <c r="AR546" s="529"/>
      <c r="AS546" s="529"/>
      <c r="AT546" s="529"/>
      <c r="AU546" s="529"/>
      <c r="AV546" s="529"/>
      <c r="AW546" s="529"/>
      <c r="AX546" s="529"/>
      <c r="AY546" s="529"/>
      <c r="AZ546" s="529"/>
      <c r="BA546" s="529"/>
      <c r="BB546" s="529"/>
      <c r="BC546" s="529"/>
      <c r="BD546" s="529"/>
      <c r="BE546" s="529"/>
      <c r="BF546" s="529"/>
      <c r="BG546" s="529"/>
      <c r="BH546" s="529"/>
      <c r="BI546" s="529"/>
      <c r="BJ546" s="529"/>
      <c r="BK546" s="529"/>
      <c r="BL546" s="529"/>
      <c r="BM546" s="529"/>
      <c r="BN546" s="529"/>
      <c r="BO546" s="529"/>
      <c r="BP546" s="529"/>
      <c r="BQ546" s="529"/>
      <c r="BR546" s="529"/>
      <c r="BS546" s="529"/>
      <c r="BT546" s="529"/>
      <c r="BU546" s="529"/>
      <c r="BV546" s="529"/>
      <c r="BW546" s="529"/>
      <c r="BX546" s="529"/>
      <c r="BY546" s="529"/>
      <c r="CB546" s="37"/>
    </row>
    <row r="547" spans="1:80" x14ac:dyDescent="0.3">
      <c r="A547" s="322"/>
      <c r="B547" s="322" t="s">
        <v>19</v>
      </c>
      <c r="C547" s="322" cm="1">
        <f t="array" ref="C547">SUMPRODUCT((Index_Tab!$D$36:$D$45=$B547)*(Index_Tab!$E$35:$F$35=$B$3)*Index_Tab!$E$36:$F$45)</f>
        <v>0</v>
      </c>
      <c r="D547" s="322"/>
      <c r="E547" s="2" t="s">
        <v>19</v>
      </c>
      <c r="F547" s="54"/>
      <c r="G547" s="54"/>
      <c r="H547" s="37"/>
      <c r="I547" s="67">
        <v>-55985.688199999997</v>
      </c>
      <c r="J547" s="19">
        <f>I547*(1+'Detailed Assumptions'!F$47)</f>
        <v>-57105.401963999997</v>
      </c>
      <c r="K547" s="19">
        <f>J547*(1+'Detailed Assumptions'!G$47)</f>
        <v>-58247.510003279996</v>
      </c>
      <c r="L547" s="19">
        <f>K547*(1+'Detailed Assumptions'!H$47)</f>
        <v>-59412.460203345596</v>
      </c>
      <c r="M547" s="19">
        <f>L547*(1+'Detailed Assumptions'!I$47)</f>
        <v>-60600.709407412505</v>
      </c>
      <c r="N547" s="19">
        <f>M547*(1+'Detailed Assumptions'!J$47)</f>
        <v>-61812.723595560754</v>
      </c>
      <c r="O547" s="37"/>
      <c r="P547" s="50">
        <f>IFERROR(((N547/I547)^(1/5))-1,0)</f>
        <v>2.0000000000000018E-2</v>
      </c>
      <c r="Q547" s="37"/>
      <c r="R547" s="497">
        <f t="shared" ref="R547:AG548" si="686">(INDEX($I547:$N547,MATCH(R$2,$I$3:$N$3,0)))/12</f>
        <v>-4758.7834969999994</v>
      </c>
      <c r="S547" s="497">
        <f t="shared" si="686"/>
        <v>-4758.7834969999994</v>
      </c>
      <c r="T547" s="497">
        <f t="shared" si="686"/>
        <v>-4758.7834969999994</v>
      </c>
      <c r="U547" s="497">
        <f t="shared" si="686"/>
        <v>-4758.7834969999994</v>
      </c>
      <c r="V547" s="497">
        <f t="shared" si="686"/>
        <v>-4758.7834969999994</v>
      </c>
      <c r="W547" s="497">
        <f t="shared" si="686"/>
        <v>-4758.7834969999994</v>
      </c>
      <c r="X547" s="497">
        <f t="shared" si="686"/>
        <v>-4758.7834969999994</v>
      </c>
      <c r="Y547" s="497">
        <f t="shared" si="686"/>
        <v>-4758.7834969999994</v>
      </c>
      <c r="Z547" s="497">
        <f t="shared" si="686"/>
        <v>-4758.7834969999994</v>
      </c>
      <c r="AA547" s="497">
        <f t="shared" si="686"/>
        <v>-4758.7834969999994</v>
      </c>
      <c r="AB547" s="497">
        <f t="shared" si="686"/>
        <v>-4758.7834969999994</v>
      </c>
      <c r="AC547" s="497">
        <f t="shared" si="686"/>
        <v>-4758.7834969999994</v>
      </c>
      <c r="AD547" s="497">
        <f t="shared" si="686"/>
        <v>-4853.9591669399997</v>
      </c>
      <c r="AE547" s="497">
        <f t="shared" si="686"/>
        <v>-4853.9591669399997</v>
      </c>
      <c r="AF547" s="497">
        <f t="shared" si="686"/>
        <v>-4853.9591669399997</v>
      </c>
      <c r="AG547" s="497">
        <f t="shared" si="686"/>
        <v>-4853.9591669399997</v>
      </c>
      <c r="AH547" s="497">
        <f t="shared" ref="AH547:AW548" si="687">(INDEX($I547:$N547,MATCH(AH$2,$I$3:$N$3,0)))/12</f>
        <v>-4853.9591669399997</v>
      </c>
      <c r="AI547" s="497">
        <f t="shared" si="687"/>
        <v>-4853.9591669399997</v>
      </c>
      <c r="AJ547" s="497">
        <f t="shared" si="687"/>
        <v>-4853.9591669399997</v>
      </c>
      <c r="AK547" s="497">
        <f t="shared" si="687"/>
        <v>-4853.9591669399997</v>
      </c>
      <c r="AL547" s="497">
        <f t="shared" si="687"/>
        <v>-4853.9591669399997</v>
      </c>
      <c r="AM547" s="497">
        <f t="shared" si="687"/>
        <v>-4853.9591669399997</v>
      </c>
      <c r="AN547" s="527">
        <f t="shared" si="687"/>
        <v>-4853.9591669399997</v>
      </c>
      <c r="AO547" s="527">
        <f t="shared" si="687"/>
        <v>-4853.9591669399997</v>
      </c>
      <c r="AP547" s="527">
        <f t="shared" si="687"/>
        <v>-4951.0383502788</v>
      </c>
      <c r="AQ547" s="527">
        <f t="shared" si="687"/>
        <v>-4951.0383502788</v>
      </c>
      <c r="AR547" s="527">
        <f t="shared" si="687"/>
        <v>-4951.0383502788</v>
      </c>
      <c r="AS547" s="527">
        <f t="shared" si="687"/>
        <v>-4951.0383502788</v>
      </c>
      <c r="AT547" s="527">
        <f t="shared" si="687"/>
        <v>-4951.0383502788</v>
      </c>
      <c r="AU547" s="527">
        <f t="shared" si="687"/>
        <v>-4951.0383502788</v>
      </c>
      <c r="AV547" s="527">
        <f t="shared" si="687"/>
        <v>-4951.0383502788</v>
      </c>
      <c r="AW547" s="527">
        <f t="shared" si="687"/>
        <v>-4951.0383502788</v>
      </c>
      <c r="AX547" s="527">
        <f t="shared" ref="AX547:BM548" si="688">(INDEX($I547:$N547,MATCH(AX$2,$I$3:$N$3,0)))/12</f>
        <v>-4951.0383502788</v>
      </c>
      <c r="AY547" s="527">
        <f t="shared" si="688"/>
        <v>-4951.0383502788</v>
      </c>
      <c r="AZ547" s="527">
        <f t="shared" si="688"/>
        <v>-4951.0383502788</v>
      </c>
      <c r="BA547" s="527">
        <f t="shared" si="688"/>
        <v>-4951.0383502788</v>
      </c>
      <c r="BB547" s="527">
        <f t="shared" si="688"/>
        <v>-5050.0591172843751</v>
      </c>
      <c r="BC547" s="527">
        <f t="shared" si="688"/>
        <v>-5050.0591172843751</v>
      </c>
      <c r="BD547" s="527">
        <f t="shared" si="688"/>
        <v>-5050.0591172843751</v>
      </c>
      <c r="BE547" s="527">
        <f t="shared" si="688"/>
        <v>-5050.0591172843751</v>
      </c>
      <c r="BF547" s="527">
        <f t="shared" si="688"/>
        <v>-5050.0591172843751</v>
      </c>
      <c r="BG547" s="527">
        <f t="shared" si="688"/>
        <v>-5050.0591172843751</v>
      </c>
      <c r="BH547" s="527">
        <f t="shared" si="688"/>
        <v>-5050.0591172843751</v>
      </c>
      <c r="BI547" s="527">
        <f t="shared" si="688"/>
        <v>-5050.0591172843751</v>
      </c>
      <c r="BJ547" s="527">
        <f t="shared" si="688"/>
        <v>-5050.0591172843751</v>
      </c>
      <c r="BK547" s="527">
        <f t="shared" si="688"/>
        <v>-5050.0591172843751</v>
      </c>
      <c r="BL547" s="527">
        <f t="shared" si="688"/>
        <v>-5050.0591172843751</v>
      </c>
      <c r="BM547" s="527">
        <f t="shared" si="688"/>
        <v>-5050.0591172843751</v>
      </c>
      <c r="BN547" s="527">
        <f t="shared" ref="BN547:BY548" si="689">(INDEX($I547:$N547,MATCH(BN$2,$I$3:$N$3,0)))/12</f>
        <v>-5151.0602996300631</v>
      </c>
      <c r="BO547" s="527">
        <f t="shared" si="689"/>
        <v>-5151.0602996300631</v>
      </c>
      <c r="BP547" s="527">
        <f t="shared" si="689"/>
        <v>-5151.0602996300631</v>
      </c>
      <c r="BQ547" s="527">
        <f t="shared" si="689"/>
        <v>-5151.0602996300631</v>
      </c>
      <c r="BR547" s="527">
        <f t="shared" si="689"/>
        <v>-5151.0602996300631</v>
      </c>
      <c r="BS547" s="527">
        <f t="shared" si="689"/>
        <v>-5151.0602996300631</v>
      </c>
      <c r="BT547" s="527">
        <f t="shared" si="689"/>
        <v>-5151.0602996300631</v>
      </c>
      <c r="BU547" s="527">
        <f t="shared" si="689"/>
        <v>-5151.0602996300631</v>
      </c>
      <c r="BV547" s="527">
        <f t="shared" si="689"/>
        <v>-5151.0602996300631</v>
      </c>
      <c r="BW547" s="527">
        <f t="shared" si="689"/>
        <v>-5151.0602996300631</v>
      </c>
      <c r="BX547" s="527">
        <f t="shared" si="689"/>
        <v>-5151.0602996300631</v>
      </c>
      <c r="BY547" s="527">
        <f t="shared" si="689"/>
        <v>-5151.0602996300631</v>
      </c>
      <c r="CB547" s="37"/>
    </row>
    <row r="548" spans="1:80" x14ac:dyDescent="0.3">
      <c r="A548" s="322"/>
      <c r="B548" s="322" t="s">
        <v>20</v>
      </c>
      <c r="C548" s="322" cm="1">
        <f t="array" ref="C548">SUMPRODUCT((Index_Tab!$D$36:$D$45=$B548)*(Index_Tab!$E$35:$F$35=$B$3)*Index_Tab!$E$36:$F$45)</f>
        <v>0</v>
      </c>
      <c r="D548" s="322"/>
      <c r="E548" s="2" t="s">
        <v>20</v>
      </c>
      <c r="F548" s="54"/>
      <c r="G548" s="54"/>
      <c r="H548" s="37"/>
      <c r="I548" s="67">
        <v>-19782.154399999996</v>
      </c>
      <c r="J548" s="19">
        <f>I548*(1+'Detailed Assumptions'!F$47)</f>
        <v>-20177.797487999997</v>
      </c>
      <c r="K548" s="19">
        <f>J548*(1+'Detailed Assumptions'!G$47)</f>
        <v>-20581.353437759997</v>
      </c>
      <c r="L548" s="19">
        <f>K548*(1+'Detailed Assumptions'!H$47)</f>
        <v>-20992.980506515196</v>
      </c>
      <c r="M548" s="19">
        <f>L548*(1+'Detailed Assumptions'!I$47)</f>
        <v>-21412.840116645501</v>
      </c>
      <c r="N548" s="19">
        <f>M548*(1+'Detailed Assumptions'!J$47)</f>
        <v>-21841.096918978412</v>
      </c>
      <c r="O548" s="37"/>
      <c r="P548" s="50">
        <f>IFERROR(((N548/I548)^(1/5))-1,0)</f>
        <v>2.0000000000000018E-2</v>
      </c>
      <c r="Q548" s="37"/>
      <c r="R548" s="497">
        <f t="shared" si="686"/>
        <v>-1681.4831239999996</v>
      </c>
      <c r="S548" s="497">
        <f t="shared" si="686"/>
        <v>-1681.4831239999996</v>
      </c>
      <c r="T548" s="497">
        <f t="shared" si="686"/>
        <v>-1681.4831239999996</v>
      </c>
      <c r="U548" s="497">
        <f t="shared" si="686"/>
        <v>-1681.4831239999996</v>
      </c>
      <c r="V548" s="497">
        <f t="shared" si="686"/>
        <v>-1681.4831239999996</v>
      </c>
      <c r="W548" s="497">
        <f t="shared" si="686"/>
        <v>-1681.4831239999996</v>
      </c>
      <c r="X548" s="497">
        <f t="shared" si="686"/>
        <v>-1681.4831239999996</v>
      </c>
      <c r="Y548" s="497">
        <f t="shared" si="686"/>
        <v>-1681.4831239999996</v>
      </c>
      <c r="Z548" s="497">
        <f t="shared" si="686"/>
        <v>-1681.4831239999996</v>
      </c>
      <c r="AA548" s="497">
        <f t="shared" si="686"/>
        <v>-1681.4831239999996</v>
      </c>
      <c r="AB548" s="497">
        <f t="shared" si="686"/>
        <v>-1681.4831239999996</v>
      </c>
      <c r="AC548" s="497">
        <f t="shared" si="686"/>
        <v>-1681.4831239999996</v>
      </c>
      <c r="AD548" s="497">
        <f t="shared" si="686"/>
        <v>-1715.1127864799998</v>
      </c>
      <c r="AE548" s="497">
        <f t="shared" si="686"/>
        <v>-1715.1127864799998</v>
      </c>
      <c r="AF548" s="497">
        <f t="shared" si="686"/>
        <v>-1715.1127864799998</v>
      </c>
      <c r="AG548" s="497">
        <f t="shared" si="686"/>
        <v>-1715.1127864799998</v>
      </c>
      <c r="AH548" s="497">
        <f t="shared" si="687"/>
        <v>-1715.1127864799998</v>
      </c>
      <c r="AI548" s="497">
        <f t="shared" si="687"/>
        <v>-1715.1127864799998</v>
      </c>
      <c r="AJ548" s="497">
        <f t="shared" si="687"/>
        <v>-1715.1127864799998</v>
      </c>
      <c r="AK548" s="497">
        <f t="shared" si="687"/>
        <v>-1715.1127864799998</v>
      </c>
      <c r="AL548" s="497">
        <f t="shared" si="687"/>
        <v>-1715.1127864799998</v>
      </c>
      <c r="AM548" s="497">
        <f t="shared" si="687"/>
        <v>-1715.1127864799998</v>
      </c>
      <c r="AN548" s="527">
        <f t="shared" si="687"/>
        <v>-1715.1127864799998</v>
      </c>
      <c r="AO548" s="527">
        <f t="shared" si="687"/>
        <v>-1715.1127864799998</v>
      </c>
      <c r="AP548" s="527">
        <f t="shared" si="687"/>
        <v>-1749.4150422095997</v>
      </c>
      <c r="AQ548" s="527">
        <f t="shared" si="687"/>
        <v>-1749.4150422095997</v>
      </c>
      <c r="AR548" s="527">
        <f t="shared" si="687"/>
        <v>-1749.4150422095997</v>
      </c>
      <c r="AS548" s="527">
        <f t="shared" si="687"/>
        <v>-1749.4150422095997</v>
      </c>
      <c r="AT548" s="527">
        <f t="shared" si="687"/>
        <v>-1749.4150422095997</v>
      </c>
      <c r="AU548" s="527">
        <f t="shared" si="687"/>
        <v>-1749.4150422095997</v>
      </c>
      <c r="AV548" s="527">
        <f t="shared" si="687"/>
        <v>-1749.4150422095997</v>
      </c>
      <c r="AW548" s="527">
        <f t="shared" si="687"/>
        <v>-1749.4150422095997</v>
      </c>
      <c r="AX548" s="527">
        <f t="shared" si="688"/>
        <v>-1749.4150422095997</v>
      </c>
      <c r="AY548" s="527">
        <f t="shared" si="688"/>
        <v>-1749.4150422095997</v>
      </c>
      <c r="AZ548" s="527">
        <f t="shared" si="688"/>
        <v>-1749.4150422095997</v>
      </c>
      <c r="BA548" s="527">
        <f t="shared" si="688"/>
        <v>-1749.4150422095997</v>
      </c>
      <c r="BB548" s="527">
        <f t="shared" si="688"/>
        <v>-1784.4033430537918</v>
      </c>
      <c r="BC548" s="527">
        <f t="shared" si="688"/>
        <v>-1784.4033430537918</v>
      </c>
      <c r="BD548" s="527">
        <f t="shared" si="688"/>
        <v>-1784.4033430537918</v>
      </c>
      <c r="BE548" s="527">
        <f t="shared" si="688"/>
        <v>-1784.4033430537918</v>
      </c>
      <c r="BF548" s="527">
        <f t="shared" si="688"/>
        <v>-1784.4033430537918</v>
      </c>
      <c r="BG548" s="527">
        <f t="shared" si="688"/>
        <v>-1784.4033430537918</v>
      </c>
      <c r="BH548" s="527">
        <f t="shared" si="688"/>
        <v>-1784.4033430537918</v>
      </c>
      <c r="BI548" s="527">
        <f t="shared" si="688"/>
        <v>-1784.4033430537918</v>
      </c>
      <c r="BJ548" s="527">
        <f t="shared" si="688"/>
        <v>-1784.4033430537918</v>
      </c>
      <c r="BK548" s="527">
        <f t="shared" si="688"/>
        <v>-1784.4033430537918</v>
      </c>
      <c r="BL548" s="527">
        <f t="shared" si="688"/>
        <v>-1784.4033430537918</v>
      </c>
      <c r="BM548" s="527">
        <f t="shared" si="688"/>
        <v>-1784.4033430537918</v>
      </c>
      <c r="BN548" s="527">
        <f t="shared" si="689"/>
        <v>-1820.0914099148677</v>
      </c>
      <c r="BO548" s="527">
        <f t="shared" si="689"/>
        <v>-1820.0914099148677</v>
      </c>
      <c r="BP548" s="527">
        <f t="shared" si="689"/>
        <v>-1820.0914099148677</v>
      </c>
      <c r="BQ548" s="527">
        <f t="shared" si="689"/>
        <v>-1820.0914099148677</v>
      </c>
      <c r="BR548" s="527">
        <f t="shared" si="689"/>
        <v>-1820.0914099148677</v>
      </c>
      <c r="BS548" s="527">
        <f t="shared" si="689"/>
        <v>-1820.0914099148677</v>
      </c>
      <c r="BT548" s="527">
        <f t="shared" si="689"/>
        <v>-1820.0914099148677</v>
      </c>
      <c r="BU548" s="527">
        <f t="shared" si="689"/>
        <v>-1820.0914099148677</v>
      </c>
      <c r="BV548" s="527">
        <f t="shared" si="689"/>
        <v>-1820.0914099148677</v>
      </c>
      <c r="BW548" s="527">
        <f t="shared" si="689"/>
        <v>-1820.0914099148677</v>
      </c>
      <c r="BX548" s="527">
        <f t="shared" si="689"/>
        <v>-1820.0914099148677</v>
      </c>
      <c r="BY548" s="527">
        <f t="shared" si="689"/>
        <v>-1820.0914099148677</v>
      </c>
      <c r="CB548" s="37"/>
    </row>
    <row r="549" spans="1:80" x14ac:dyDescent="0.3">
      <c r="A549" s="322"/>
      <c r="B549" s="322"/>
      <c r="C549" s="322" cm="1">
        <f t="array" ref="C549">SUMPRODUCT((Index_Tab!$D$36:$D$45=$B549)*(Index_Tab!$E$35:$F$35=$B$3)*Index_Tab!$E$36:$F$45)</f>
        <v>0</v>
      </c>
      <c r="D549" s="322"/>
      <c r="E549" s="4" t="s">
        <v>35</v>
      </c>
      <c r="F549" s="5"/>
      <c r="G549" s="5"/>
      <c r="H549" s="37"/>
      <c r="I549" s="500">
        <f t="shared" ref="I549:N549" si="690">SUM(I547:I548)</f>
        <v>-75767.842599999989</v>
      </c>
      <c r="J549" s="500">
        <f t="shared" si="690"/>
        <v>-77283.199452000001</v>
      </c>
      <c r="K549" s="500">
        <f t="shared" si="690"/>
        <v>-78828.863441039997</v>
      </c>
      <c r="L549" s="500">
        <f t="shared" si="690"/>
        <v>-80405.440709860792</v>
      </c>
      <c r="M549" s="500">
        <f t="shared" si="690"/>
        <v>-82013.549524058006</v>
      </c>
      <c r="N549" s="500">
        <f t="shared" si="690"/>
        <v>-83653.820514539169</v>
      </c>
      <c r="O549" s="57"/>
      <c r="P549" s="55">
        <f>IFERROR(((N549/I549)^(1/5))-1,0)</f>
        <v>2.0000000000000018E-2</v>
      </c>
      <c r="Q549" s="37"/>
      <c r="R549" s="500">
        <f t="shared" ref="R549:AW549" si="691">SUM(R547:R548)</f>
        <v>-6440.2666209999988</v>
      </c>
      <c r="S549" s="500">
        <f t="shared" si="691"/>
        <v>-6440.2666209999988</v>
      </c>
      <c r="T549" s="500">
        <f t="shared" si="691"/>
        <v>-6440.2666209999988</v>
      </c>
      <c r="U549" s="500">
        <f t="shared" si="691"/>
        <v>-6440.2666209999988</v>
      </c>
      <c r="V549" s="500">
        <f t="shared" si="691"/>
        <v>-6440.2666209999988</v>
      </c>
      <c r="W549" s="500">
        <f t="shared" si="691"/>
        <v>-6440.2666209999988</v>
      </c>
      <c r="X549" s="500">
        <f t="shared" si="691"/>
        <v>-6440.2666209999988</v>
      </c>
      <c r="Y549" s="500">
        <f t="shared" si="691"/>
        <v>-6440.2666209999988</v>
      </c>
      <c r="Z549" s="500">
        <f t="shared" si="691"/>
        <v>-6440.2666209999988</v>
      </c>
      <c r="AA549" s="500">
        <f t="shared" si="691"/>
        <v>-6440.2666209999988</v>
      </c>
      <c r="AB549" s="500">
        <f t="shared" si="691"/>
        <v>-6440.2666209999988</v>
      </c>
      <c r="AC549" s="500">
        <f t="shared" si="691"/>
        <v>-6440.2666209999988</v>
      </c>
      <c r="AD549" s="500">
        <f t="shared" si="691"/>
        <v>-6569.0719534199998</v>
      </c>
      <c r="AE549" s="500">
        <f t="shared" si="691"/>
        <v>-6569.0719534199998</v>
      </c>
      <c r="AF549" s="500">
        <f t="shared" si="691"/>
        <v>-6569.0719534199998</v>
      </c>
      <c r="AG549" s="500">
        <f t="shared" si="691"/>
        <v>-6569.0719534199998</v>
      </c>
      <c r="AH549" s="500">
        <f t="shared" si="691"/>
        <v>-6569.0719534199998</v>
      </c>
      <c r="AI549" s="500">
        <f t="shared" si="691"/>
        <v>-6569.0719534199998</v>
      </c>
      <c r="AJ549" s="500">
        <f t="shared" si="691"/>
        <v>-6569.0719534199998</v>
      </c>
      <c r="AK549" s="500">
        <f t="shared" si="691"/>
        <v>-6569.0719534199998</v>
      </c>
      <c r="AL549" s="500">
        <f t="shared" si="691"/>
        <v>-6569.0719534199998</v>
      </c>
      <c r="AM549" s="500">
        <f t="shared" si="691"/>
        <v>-6569.0719534199998</v>
      </c>
      <c r="AN549" s="532">
        <f t="shared" si="691"/>
        <v>-6569.0719534199998</v>
      </c>
      <c r="AO549" s="532">
        <f t="shared" si="691"/>
        <v>-6569.0719534199998</v>
      </c>
      <c r="AP549" s="532">
        <f t="shared" si="691"/>
        <v>-6700.4533924883999</v>
      </c>
      <c r="AQ549" s="532">
        <f t="shared" si="691"/>
        <v>-6700.4533924883999</v>
      </c>
      <c r="AR549" s="532">
        <f t="shared" si="691"/>
        <v>-6700.4533924883999</v>
      </c>
      <c r="AS549" s="532">
        <f t="shared" si="691"/>
        <v>-6700.4533924883999</v>
      </c>
      <c r="AT549" s="532">
        <f t="shared" si="691"/>
        <v>-6700.4533924883999</v>
      </c>
      <c r="AU549" s="532">
        <f t="shared" si="691"/>
        <v>-6700.4533924883999</v>
      </c>
      <c r="AV549" s="532">
        <f t="shared" si="691"/>
        <v>-6700.4533924883999</v>
      </c>
      <c r="AW549" s="532">
        <f t="shared" si="691"/>
        <v>-6700.4533924883999</v>
      </c>
      <c r="AX549" s="532">
        <f t="shared" ref="AX549:BY549" si="692">SUM(AX547:AX548)</f>
        <v>-6700.4533924883999</v>
      </c>
      <c r="AY549" s="532">
        <f t="shared" si="692"/>
        <v>-6700.4533924883999</v>
      </c>
      <c r="AZ549" s="532">
        <f t="shared" si="692"/>
        <v>-6700.4533924883999</v>
      </c>
      <c r="BA549" s="532">
        <f t="shared" si="692"/>
        <v>-6700.4533924883999</v>
      </c>
      <c r="BB549" s="532">
        <f t="shared" si="692"/>
        <v>-6834.4624603381671</v>
      </c>
      <c r="BC549" s="532">
        <f t="shared" si="692"/>
        <v>-6834.4624603381671</v>
      </c>
      <c r="BD549" s="532">
        <f t="shared" si="692"/>
        <v>-6834.4624603381671</v>
      </c>
      <c r="BE549" s="532">
        <f t="shared" si="692"/>
        <v>-6834.4624603381671</v>
      </c>
      <c r="BF549" s="532">
        <f t="shared" si="692"/>
        <v>-6834.4624603381671</v>
      </c>
      <c r="BG549" s="532">
        <f t="shared" si="692"/>
        <v>-6834.4624603381671</v>
      </c>
      <c r="BH549" s="532">
        <f t="shared" si="692"/>
        <v>-6834.4624603381671</v>
      </c>
      <c r="BI549" s="532">
        <f t="shared" si="692"/>
        <v>-6834.4624603381671</v>
      </c>
      <c r="BJ549" s="532">
        <f t="shared" si="692"/>
        <v>-6834.4624603381671</v>
      </c>
      <c r="BK549" s="532">
        <f t="shared" si="692"/>
        <v>-6834.4624603381671</v>
      </c>
      <c r="BL549" s="532">
        <f t="shared" si="692"/>
        <v>-6834.4624603381671</v>
      </c>
      <c r="BM549" s="532">
        <f t="shared" si="692"/>
        <v>-6834.4624603381671</v>
      </c>
      <c r="BN549" s="532">
        <f t="shared" si="692"/>
        <v>-6971.1517095449308</v>
      </c>
      <c r="BO549" s="532">
        <f t="shared" si="692"/>
        <v>-6971.1517095449308</v>
      </c>
      <c r="BP549" s="532">
        <f t="shared" si="692"/>
        <v>-6971.1517095449308</v>
      </c>
      <c r="BQ549" s="532">
        <f t="shared" si="692"/>
        <v>-6971.1517095449308</v>
      </c>
      <c r="BR549" s="532">
        <f t="shared" si="692"/>
        <v>-6971.1517095449308</v>
      </c>
      <c r="BS549" s="532">
        <f t="shared" si="692"/>
        <v>-6971.1517095449308</v>
      </c>
      <c r="BT549" s="532">
        <f t="shared" si="692"/>
        <v>-6971.1517095449308</v>
      </c>
      <c r="BU549" s="532">
        <f t="shared" si="692"/>
        <v>-6971.1517095449308</v>
      </c>
      <c r="BV549" s="532">
        <f t="shared" si="692"/>
        <v>-6971.1517095449308</v>
      </c>
      <c r="BW549" s="532">
        <f t="shared" si="692"/>
        <v>-6971.1517095449308</v>
      </c>
      <c r="BX549" s="532">
        <f t="shared" si="692"/>
        <v>-6971.1517095449308</v>
      </c>
      <c r="BY549" s="532">
        <f t="shared" si="692"/>
        <v>-6971.1517095449308</v>
      </c>
      <c r="CB549" s="37"/>
    </row>
    <row r="550" spans="1:80" x14ac:dyDescent="0.3">
      <c r="A550" s="322"/>
      <c r="B550" s="322"/>
      <c r="C550" s="322" cm="1">
        <f t="array" ref="C550">SUMPRODUCT((Index_Tab!$D$36:$D$45=$B550)*(Index_Tab!$E$35:$F$35=$B$3)*Index_Tab!$E$36:$F$45)</f>
        <v>0</v>
      </c>
      <c r="D550" s="322"/>
      <c r="E550" s="2"/>
      <c r="F550" s="37"/>
      <c r="G550" s="37"/>
      <c r="H550" s="37"/>
      <c r="I550" s="37"/>
      <c r="J550" s="37"/>
      <c r="K550" s="37"/>
      <c r="L550" s="37"/>
      <c r="M550" s="37"/>
      <c r="N550" s="37"/>
      <c r="O550" s="37"/>
      <c r="P550" s="144"/>
      <c r="Q550" s="37"/>
      <c r="R550" s="37"/>
      <c r="S550" s="37"/>
      <c r="T550" s="37"/>
      <c r="U550" s="37"/>
      <c r="V550" s="37"/>
      <c r="W550" s="37"/>
      <c r="X550" s="37"/>
      <c r="Y550" s="37"/>
      <c r="Z550" s="37"/>
      <c r="AA550" s="37"/>
      <c r="AB550" s="37"/>
      <c r="AC550" s="37"/>
      <c r="AD550" s="37"/>
      <c r="AE550" s="37"/>
      <c r="AF550" s="37"/>
      <c r="AG550" s="37"/>
      <c r="AH550" s="37"/>
      <c r="AI550" s="37"/>
      <c r="AJ550" s="37"/>
      <c r="AK550" s="37"/>
      <c r="AL550" s="37"/>
      <c r="AM550" s="37"/>
      <c r="AN550" s="529"/>
      <c r="AO550" s="529"/>
      <c r="AP550" s="529"/>
      <c r="AQ550" s="529"/>
      <c r="AR550" s="529"/>
      <c r="AS550" s="529"/>
      <c r="AT550" s="529"/>
      <c r="AU550" s="529"/>
      <c r="AV550" s="529"/>
      <c r="AW550" s="529"/>
      <c r="AX550" s="529"/>
      <c r="AY550" s="529"/>
      <c r="AZ550" s="529"/>
      <c r="BA550" s="529"/>
      <c r="BB550" s="529"/>
      <c r="BC550" s="529"/>
      <c r="BD550" s="529"/>
      <c r="BE550" s="529"/>
      <c r="BF550" s="529"/>
      <c r="BG550" s="529"/>
      <c r="BH550" s="529"/>
      <c r="BI550" s="529"/>
      <c r="BJ550" s="529"/>
      <c r="BK550" s="529"/>
      <c r="BL550" s="529"/>
      <c r="BM550" s="529"/>
      <c r="BN550" s="529"/>
      <c r="BO550" s="529"/>
      <c r="BP550" s="529"/>
      <c r="BQ550" s="529"/>
      <c r="BR550" s="529"/>
      <c r="BS550" s="529"/>
      <c r="BT550" s="529"/>
      <c r="BU550" s="529"/>
      <c r="BV550" s="529"/>
      <c r="BW550" s="529"/>
      <c r="BX550" s="529"/>
      <c r="BY550" s="529"/>
      <c r="CB550" s="37"/>
    </row>
    <row r="551" spans="1:80" x14ac:dyDescent="0.3">
      <c r="A551" s="322"/>
      <c r="B551" s="322"/>
      <c r="C551" s="322" cm="1">
        <f t="array" ref="C551">SUMPRODUCT((Index_Tab!$D$36:$D$45=$B551)*(Index_Tab!$E$35:$F$35=$B$3)*Index_Tab!$E$36:$F$45)</f>
        <v>0</v>
      </c>
      <c r="D551" s="322"/>
      <c r="E551" s="62" t="s">
        <v>21</v>
      </c>
      <c r="F551" s="63"/>
      <c r="G551" s="63"/>
      <c r="H551" s="37"/>
      <c r="I551" s="501">
        <f t="shared" ref="I551:N551" si="693">SUM(I544,I549)</f>
        <v>3270740.4942396083</v>
      </c>
      <c r="J551" s="501">
        <f t="shared" si="693"/>
        <v>3403772.0993783376</v>
      </c>
      <c r="K551" s="501">
        <f t="shared" si="693"/>
        <v>3536806.9806330726</v>
      </c>
      <c r="L551" s="501">
        <f t="shared" si="693"/>
        <v>3668821.5213887123</v>
      </c>
      <c r="M551" s="501">
        <f t="shared" si="693"/>
        <v>3796845.9046376888</v>
      </c>
      <c r="N551" s="501">
        <f t="shared" si="693"/>
        <v>3927459.0071166116</v>
      </c>
      <c r="O551" s="57"/>
      <c r="P551" s="55">
        <f>IFERROR(((N551/I551)^(1/5))-1,0)</f>
        <v>3.7273098244165359E-2</v>
      </c>
      <c r="Q551" s="37"/>
      <c r="R551" s="501">
        <f t="shared" ref="R551:AW551" si="694">SUM(R544,R549)</f>
        <v>283647.67494819488</v>
      </c>
      <c r="S551" s="501">
        <f t="shared" si="694"/>
        <v>283647.67494819488</v>
      </c>
      <c r="T551" s="501">
        <f t="shared" si="694"/>
        <v>283647.67494819488</v>
      </c>
      <c r="U551" s="501">
        <f t="shared" si="694"/>
        <v>283647.67494819488</v>
      </c>
      <c r="V551" s="501">
        <f t="shared" si="694"/>
        <v>283647.67494819488</v>
      </c>
      <c r="W551" s="501">
        <f t="shared" si="694"/>
        <v>283647.67494819488</v>
      </c>
      <c r="X551" s="501">
        <f t="shared" si="694"/>
        <v>283647.67494819488</v>
      </c>
      <c r="Y551" s="501">
        <f t="shared" si="694"/>
        <v>283647.67494819488</v>
      </c>
      <c r="Z551" s="501">
        <f t="shared" si="694"/>
        <v>283647.67494819488</v>
      </c>
      <c r="AA551" s="501">
        <f t="shared" si="694"/>
        <v>283647.67494819488</v>
      </c>
      <c r="AB551" s="501">
        <f t="shared" si="694"/>
        <v>283647.67494819488</v>
      </c>
      <c r="AC551" s="501">
        <f t="shared" si="694"/>
        <v>283647.67494819488</v>
      </c>
      <c r="AD551" s="501">
        <f t="shared" si="694"/>
        <v>294733.91505275603</v>
      </c>
      <c r="AE551" s="501">
        <f t="shared" si="694"/>
        <v>294733.91505275603</v>
      </c>
      <c r="AF551" s="501">
        <f t="shared" si="694"/>
        <v>294733.91505275603</v>
      </c>
      <c r="AG551" s="501">
        <f t="shared" si="694"/>
        <v>294733.91505275603</v>
      </c>
      <c r="AH551" s="501">
        <f t="shared" si="694"/>
        <v>294733.91505275603</v>
      </c>
      <c r="AI551" s="501">
        <f t="shared" si="694"/>
        <v>294733.91505275603</v>
      </c>
      <c r="AJ551" s="501">
        <f t="shared" si="694"/>
        <v>294733.91505275603</v>
      </c>
      <c r="AK551" s="501">
        <f t="shared" si="694"/>
        <v>294733.91505275603</v>
      </c>
      <c r="AL551" s="501">
        <f t="shared" si="694"/>
        <v>294733.91505275603</v>
      </c>
      <c r="AM551" s="501">
        <f t="shared" si="694"/>
        <v>294733.91505275603</v>
      </c>
      <c r="AN551" s="535">
        <f t="shared" si="694"/>
        <v>294733.91505275603</v>
      </c>
      <c r="AO551" s="535">
        <f t="shared" si="694"/>
        <v>294733.91505275603</v>
      </c>
      <c r="AP551" s="535">
        <f t="shared" si="694"/>
        <v>305735.12678239279</v>
      </c>
      <c r="AQ551" s="535">
        <f t="shared" si="694"/>
        <v>305735.12678239279</v>
      </c>
      <c r="AR551" s="535">
        <f t="shared" si="694"/>
        <v>305735.12678239279</v>
      </c>
      <c r="AS551" s="535">
        <f t="shared" si="694"/>
        <v>305735.12678239279</v>
      </c>
      <c r="AT551" s="535">
        <f t="shared" si="694"/>
        <v>305735.12678239279</v>
      </c>
      <c r="AU551" s="535">
        <f t="shared" si="694"/>
        <v>305735.12678239279</v>
      </c>
      <c r="AV551" s="535">
        <f t="shared" si="694"/>
        <v>305735.12678239279</v>
      </c>
      <c r="AW551" s="535">
        <f t="shared" si="694"/>
        <v>305735.12678239279</v>
      </c>
      <c r="AX551" s="535">
        <f t="shared" ref="AX551:BY551" si="695">SUM(AX544,AX549)</f>
        <v>305735.12678239279</v>
      </c>
      <c r="AY551" s="535">
        <f t="shared" si="695"/>
        <v>305735.12678239279</v>
      </c>
      <c r="AZ551" s="535">
        <f t="shared" si="695"/>
        <v>305735.12678239279</v>
      </c>
      <c r="BA551" s="535">
        <f t="shared" si="695"/>
        <v>305735.12678239279</v>
      </c>
      <c r="BB551" s="535">
        <f t="shared" si="695"/>
        <v>316403.82538647414</v>
      </c>
      <c r="BC551" s="535">
        <f t="shared" si="695"/>
        <v>316403.82538647414</v>
      </c>
      <c r="BD551" s="535">
        <f t="shared" si="695"/>
        <v>316403.82538647414</v>
      </c>
      <c r="BE551" s="535">
        <f t="shared" si="695"/>
        <v>316403.82538647414</v>
      </c>
      <c r="BF551" s="535">
        <f t="shared" si="695"/>
        <v>316403.82538647414</v>
      </c>
      <c r="BG551" s="535">
        <f t="shared" si="695"/>
        <v>316403.82538647414</v>
      </c>
      <c r="BH551" s="535">
        <f t="shared" si="695"/>
        <v>316403.82538647414</v>
      </c>
      <c r="BI551" s="535">
        <f t="shared" si="695"/>
        <v>316403.82538647414</v>
      </c>
      <c r="BJ551" s="535">
        <f t="shared" si="695"/>
        <v>316403.82538647414</v>
      </c>
      <c r="BK551" s="535">
        <f t="shared" si="695"/>
        <v>316403.82538647414</v>
      </c>
      <c r="BL551" s="535">
        <f t="shared" si="695"/>
        <v>316403.82538647414</v>
      </c>
      <c r="BM551" s="535">
        <f t="shared" si="695"/>
        <v>316403.82538647414</v>
      </c>
      <c r="BN551" s="535">
        <f t="shared" si="695"/>
        <v>327288.25059305108</v>
      </c>
      <c r="BO551" s="535">
        <f t="shared" si="695"/>
        <v>327288.25059305108</v>
      </c>
      <c r="BP551" s="535">
        <f t="shared" si="695"/>
        <v>327288.25059305108</v>
      </c>
      <c r="BQ551" s="535">
        <f t="shared" si="695"/>
        <v>327288.25059305108</v>
      </c>
      <c r="BR551" s="535">
        <f t="shared" si="695"/>
        <v>327288.25059305108</v>
      </c>
      <c r="BS551" s="535">
        <f t="shared" si="695"/>
        <v>327288.25059305108</v>
      </c>
      <c r="BT551" s="535">
        <f t="shared" si="695"/>
        <v>327288.25059305108</v>
      </c>
      <c r="BU551" s="535">
        <f t="shared" si="695"/>
        <v>327288.25059305108</v>
      </c>
      <c r="BV551" s="535">
        <f t="shared" si="695"/>
        <v>327288.25059305108</v>
      </c>
      <c r="BW551" s="535">
        <f t="shared" si="695"/>
        <v>327288.25059305108</v>
      </c>
      <c r="BX551" s="535">
        <f t="shared" si="695"/>
        <v>327288.25059305108</v>
      </c>
      <c r="BY551" s="535">
        <f t="shared" si="695"/>
        <v>327288.25059305108</v>
      </c>
      <c r="CB551" s="37"/>
    </row>
    <row r="552" spans="1:80" x14ac:dyDescent="0.3">
      <c r="A552" s="322"/>
      <c r="B552" s="322"/>
      <c r="C552" s="322" cm="1">
        <f t="array" ref="C552">SUMPRODUCT((Index_Tab!$D$36:$D$45=$B552)*(Index_Tab!$E$35:$F$35=$B$3)*Index_Tab!$E$36:$F$45)</f>
        <v>0</v>
      </c>
      <c r="D552" s="322"/>
      <c r="E552" s="2" t="s">
        <v>405</v>
      </c>
      <c r="H552" s="37"/>
      <c r="I552" s="499">
        <f t="shared" ref="I552:N552" si="696">I551/SUM(I512,I521,I535,I542)</f>
        <v>0.46408491525232753</v>
      </c>
      <c r="J552" s="499">
        <f t="shared" si="696"/>
        <v>0.46814071374158744</v>
      </c>
      <c r="K552" s="499">
        <f t="shared" si="696"/>
        <v>0.47188775318748288</v>
      </c>
      <c r="L552" s="499">
        <f t="shared" si="696"/>
        <v>0.47531559492749853</v>
      </c>
      <c r="M552" s="499">
        <f t="shared" si="696"/>
        <v>0.47828407374039889</v>
      </c>
      <c r="N552" s="499">
        <f t="shared" si="696"/>
        <v>0.48108960029041853</v>
      </c>
      <c r="O552" s="23"/>
      <c r="P552" s="50">
        <f>IFERROR(((N552/I552)^(1/5))-1,0)</f>
        <v>7.2231599673346913E-3</v>
      </c>
      <c r="R552" s="499">
        <f t="shared" ref="R552:AW552" si="697">R551/SUM(R512,R521,R535,R542)</f>
        <v>0.46814071374158744</v>
      </c>
      <c r="S552" s="499">
        <f t="shared" si="697"/>
        <v>0.46814071374158744</v>
      </c>
      <c r="T552" s="499">
        <f t="shared" si="697"/>
        <v>0.46814071374158744</v>
      </c>
      <c r="U552" s="499">
        <f t="shared" si="697"/>
        <v>0.46814071374158744</v>
      </c>
      <c r="V552" s="499">
        <f t="shared" si="697"/>
        <v>0.46814071374158744</v>
      </c>
      <c r="W552" s="499">
        <f t="shared" si="697"/>
        <v>0.46814071374158744</v>
      </c>
      <c r="X552" s="499">
        <f t="shared" si="697"/>
        <v>0.46814071374158744</v>
      </c>
      <c r="Y552" s="499">
        <f t="shared" si="697"/>
        <v>0.46814071374158744</v>
      </c>
      <c r="Z552" s="499">
        <f t="shared" si="697"/>
        <v>0.46814071374158744</v>
      </c>
      <c r="AA552" s="499">
        <f t="shared" si="697"/>
        <v>0.46814071374158744</v>
      </c>
      <c r="AB552" s="499">
        <f t="shared" si="697"/>
        <v>0.46814071374158744</v>
      </c>
      <c r="AC552" s="499">
        <f t="shared" si="697"/>
        <v>0.46814071374158744</v>
      </c>
      <c r="AD552" s="499">
        <f t="shared" si="697"/>
        <v>0.47188775318748277</v>
      </c>
      <c r="AE552" s="499">
        <f t="shared" si="697"/>
        <v>0.47188775318748277</v>
      </c>
      <c r="AF552" s="499">
        <f t="shared" si="697"/>
        <v>0.47188775318748277</v>
      </c>
      <c r="AG552" s="499">
        <f t="shared" si="697"/>
        <v>0.47188775318748277</v>
      </c>
      <c r="AH552" s="499">
        <f t="shared" si="697"/>
        <v>0.47188775318748277</v>
      </c>
      <c r="AI552" s="499">
        <f t="shared" si="697"/>
        <v>0.47188775318748277</v>
      </c>
      <c r="AJ552" s="499">
        <f t="shared" si="697"/>
        <v>0.47188775318748277</v>
      </c>
      <c r="AK552" s="499">
        <f t="shared" si="697"/>
        <v>0.47188775318748277</v>
      </c>
      <c r="AL552" s="499">
        <f t="shared" si="697"/>
        <v>0.47188775318748277</v>
      </c>
      <c r="AM552" s="499">
        <f t="shared" si="697"/>
        <v>0.47188775318748277</v>
      </c>
      <c r="AN552" s="531">
        <f t="shared" si="697"/>
        <v>0.47188775318748277</v>
      </c>
      <c r="AO552" s="531">
        <f t="shared" si="697"/>
        <v>0.47188775318748277</v>
      </c>
      <c r="AP552" s="531">
        <f t="shared" si="697"/>
        <v>0.47531559492749864</v>
      </c>
      <c r="AQ552" s="531">
        <f t="shared" si="697"/>
        <v>0.47531559492749864</v>
      </c>
      <c r="AR552" s="531">
        <f t="shared" si="697"/>
        <v>0.47531559492749864</v>
      </c>
      <c r="AS552" s="531">
        <f t="shared" si="697"/>
        <v>0.47531559492749864</v>
      </c>
      <c r="AT552" s="531">
        <f t="shared" si="697"/>
        <v>0.47531559492749864</v>
      </c>
      <c r="AU552" s="531">
        <f t="shared" si="697"/>
        <v>0.47531559492749864</v>
      </c>
      <c r="AV552" s="531">
        <f t="shared" si="697"/>
        <v>0.47531559492749864</v>
      </c>
      <c r="AW552" s="531">
        <f t="shared" si="697"/>
        <v>0.47531559492749864</v>
      </c>
      <c r="AX552" s="531">
        <f t="shared" ref="AX552:BY552" si="698">AX551/SUM(AX512,AX521,AX535,AX542)</f>
        <v>0.47531559492749864</v>
      </c>
      <c r="AY552" s="531">
        <f t="shared" si="698"/>
        <v>0.47531559492749864</v>
      </c>
      <c r="AZ552" s="531">
        <f t="shared" si="698"/>
        <v>0.47531559492749864</v>
      </c>
      <c r="BA552" s="531">
        <f t="shared" si="698"/>
        <v>0.47531559492749864</v>
      </c>
      <c r="BB552" s="531">
        <f t="shared" si="698"/>
        <v>0.478284073740399</v>
      </c>
      <c r="BC552" s="531">
        <f t="shared" si="698"/>
        <v>0.478284073740399</v>
      </c>
      <c r="BD552" s="531">
        <f t="shared" si="698"/>
        <v>0.478284073740399</v>
      </c>
      <c r="BE552" s="531">
        <f t="shared" si="698"/>
        <v>0.478284073740399</v>
      </c>
      <c r="BF552" s="531">
        <f t="shared" si="698"/>
        <v>0.478284073740399</v>
      </c>
      <c r="BG552" s="531">
        <f t="shared" si="698"/>
        <v>0.478284073740399</v>
      </c>
      <c r="BH552" s="531">
        <f t="shared" si="698"/>
        <v>0.478284073740399</v>
      </c>
      <c r="BI552" s="531">
        <f t="shared" si="698"/>
        <v>0.478284073740399</v>
      </c>
      <c r="BJ552" s="531">
        <f t="shared" si="698"/>
        <v>0.478284073740399</v>
      </c>
      <c r="BK552" s="531">
        <f t="shared" si="698"/>
        <v>0.478284073740399</v>
      </c>
      <c r="BL552" s="531">
        <f t="shared" si="698"/>
        <v>0.478284073740399</v>
      </c>
      <c r="BM552" s="531">
        <f t="shared" si="698"/>
        <v>0.478284073740399</v>
      </c>
      <c r="BN552" s="531">
        <f t="shared" si="698"/>
        <v>0.48108960029041864</v>
      </c>
      <c r="BO552" s="531">
        <f t="shared" si="698"/>
        <v>0.48108960029041864</v>
      </c>
      <c r="BP552" s="531">
        <f t="shared" si="698"/>
        <v>0.48108960029041864</v>
      </c>
      <c r="BQ552" s="531">
        <f t="shared" si="698"/>
        <v>0.48108960029041864</v>
      </c>
      <c r="BR552" s="531">
        <f t="shared" si="698"/>
        <v>0.48108960029041864</v>
      </c>
      <c r="BS552" s="531">
        <f t="shared" si="698"/>
        <v>0.48108960029041864</v>
      </c>
      <c r="BT552" s="531">
        <f t="shared" si="698"/>
        <v>0.48108960029041864</v>
      </c>
      <c r="BU552" s="531">
        <f t="shared" si="698"/>
        <v>0.48108960029041864</v>
      </c>
      <c r="BV552" s="531">
        <f t="shared" si="698"/>
        <v>0.48108960029041864</v>
      </c>
      <c r="BW552" s="531">
        <f t="shared" si="698"/>
        <v>0.48108960029041864</v>
      </c>
      <c r="BX552" s="531">
        <f t="shared" si="698"/>
        <v>0.48108960029041864</v>
      </c>
      <c r="BY552" s="531">
        <f t="shared" si="698"/>
        <v>0.48108960029041864</v>
      </c>
    </row>
    <row r="553" spans="1:80" x14ac:dyDescent="0.3">
      <c r="A553" s="322"/>
      <c r="B553" s="322"/>
      <c r="C553" s="322" cm="1">
        <f t="array" ref="C553">SUMPRODUCT((Index_Tab!$D$36:$D$45=$B553)*(Index_Tab!$E$35:$F$35=$B$3)*Index_Tab!$E$36:$F$45)</f>
        <v>0</v>
      </c>
      <c r="D553" s="322"/>
      <c r="E553" s="2"/>
      <c r="H553" s="37"/>
      <c r="O553" s="2"/>
      <c r="P553" s="146"/>
      <c r="AN553" s="537"/>
      <c r="AO553" s="537"/>
      <c r="AP553" s="537"/>
      <c r="AQ553" s="537"/>
      <c r="AR553" s="537"/>
      <c r="AS553" s="537"/>
      <c r="AT553" s="537"/>
      <c r="AU553" s="537"/>
      <c r="AV553" s="537"/>
      <c r="AW553" s="537"/>
      <c r="AX553" s="537"/>
      <c r="AY553" s="537"/>
      <c r="AZ553" s="537"/>
      <c r="BA553" s="537"/>
      <c r="BB553" s="537"/>
      <c r="BC553" s="537"/>
      <c r="BD553" s="537"/>
      <c r="BE553" s="537"/>
      <c r="BF553" s="537"/>
      <c r="BG553" s="537"/>
      <c r="BH553" s="537"/>
      <c r="BI553" s="537"/>
      <c r="BJ553" s="537"/>
      <c r="BK553" s="537"/>
      <c r="BL553" s="537"/>
      <c r="BM553" s="537"/>
      <c r="BN553" s="537"/>
      <c r="BO553" s="537"/>
      <c r="BP553" s="537"/>
      <c r="BQ553" s="537"/>
      <c r="BR553" s="537"/>
      <c r="BS553" s="537"/>
      <c r="BT553" s="537"/>
      <c r="BU553" s="537"/>
      <c r="BV553" s="537"/>
      <c r="BW553" s="537"/>
      <c r="BX553" s="537"/>
      <c r="BY553" s="537"/>
    </row>
    <row r="554" spans="1:80" x14ac:dyDescent="0.3">
      <c r="A554" s="322"/>
      <c r="B554" s="322"/>
      <c r="C554" s="322" cm="1">
        <f t="array" ref="C554">SUMPRODUCT((Index_Tab!$D$36:$D$45=$B554)*(Index_Tab!$E$35:$F$35=$B$3)*Index_Tab!$E$36:$F$45)</f>
        <v>0</v>
      </c>
      <c r="D554" s="322"/>
      <c r="E554" s="2" t="s">
        <v>129</v>
      </c>
      <c r="H554" s="37"/>
      <c r="I554" s="19">
        <f>'Detailed Assumptions'!$E$81*I571*-1</f>
        <v>-339300</v>
      </c>
      <c r="J554" s="19">
        <f>I554*(1+'Detailed Assumptions'!F$49)</f>
        <v>-347672.71553424658</v>
      </c>
      <c r="K554" s="19">
        <f>J554*(1+'Detailed Assumptions'!G$49)</f>
        <v>-355729.38776036102</v>
      </c>
      <c r="L554" s="19">
        <f>K554*(1+'Detailed Assumptions'!H$49)</f>
        <v>-363359.44201744889</v>
      </c>
      <c r="M554" s="19">
        <f>L554*(1+'Detailed Assumptions'!I$49)</f>
        <v>-370480.7893283306</v>
      </c>
      <c r="N554" s="19">
        <f>M554*(1+'Detailed Assumptions'!J$49)</f>
        <v>-377668.2181428863</v>
      </c>
      <c r="P554" s="50">
        <f>IFERROR(((N554/I554)^(1/5))-1,0)</f>
        <v>2.1657472733383143E-2</v>
      </c>
      <c r="R554" s="497">
        <f t="shared" ref="R554:AW554" si="699">(INDEX($I554:$N554,MATCH(R$2,$I$3:$N$3,0)))/12</f>
        <v>-28972.726294520548</v>
      </c>
      <c r="S554" s="497">
        <f t="shared" si="699"/>
        <v>-28972.726294520548</v>
      </c>
      <c r="T554" s="497">
        <f t="shared" si="699"/>
        <v>-28972.726294520548</v>
      </c>
      <c r="U554" s="497">
        <f t="shared" si="699"/>
        <v>-28972.726294520548</v>
      </c>
      <c r="V554" s="497">
        <f t="shared" si="699"/>
        <v>-28972.726294520548</v>
      </c>
      <c r="W554" s="497">
        <f t="shared" si="699"/>
        <v>-28972.726294520548</v>
      </c>
      <c r="X554" s="497">
        <f t="shared" si="699"/>
        <v>-28972.726294520548</v>
      </c>
      <c r="Y554" s="497">
        <f t="shared" si="699"/>
        <v>-28972.726294520548</v>
      </c>
      <c r="Z554" s="497">
        <f t="shared" si="699"/>
        <v>-28972.726294520548</v>
      </c>
      <c r="AA554" s="497">
        <f t="shared" si="699"/>
        <v>-28972.726294520548</v>
      </c>
      <c r="AB554" s="497">
        <f t="shared" si="699"/>
        <v>-28972.726294520548</v>
      </c>
      <c r="AC554" s="497">
        <f t="shared" si="699"/>
        <v>-28972.726294520548</v>
      </c>
      <c r="AD554" s="497">
        <f t="shared" si="699"/>
        <v>-29644.115646696751</v>
      </c>
      <c r="AE554" s="497">
        <f t="shared" si="699"/>
        <v>-29644.115646696751</v>
      </c>
      <c r="AF554" s="497">
        <f t="shared" si="699"/>
        <v>-29644.115646696751</v>
      </c>
      <c r="AG554" s="497">
        <f t="shared" si="699"/>
        <v>-29644.115646696751</v>
      </c>
      <c r="AH554" s="497">
        <f t="shared" si="699"/>
        <v>-29644.115646696751</v>
      </c>
      <c r="AI554" s="497">
        <f t="shared" si="699"/>
        <v>-29644.115646696751</v>
      </c>
      <c r="AJ554" s="497">
        <f t="shared" si="699"/>
        <v>-29644.115646696751</v>
      </c>
      <c r="AK554" s="497">
        <f t="shared" si="699"/>
        <v>-29644.115646696751</v>
      </c>
      <c r="AL554" s="497">
        <f t="shared" si="699"/>
        <v>-29644.115646696751</v>
      </c>
      <c r="AM554" s="497">
        <f t="shared" si="699"/>
        <v>-29644.115646696751</v>
      </c>
      <c r="AN554" s="527">
        <f t="shared" si="699"/>
        <v>-29644.115646696751</v>
      </c>
      <c r="AO554" s="527">
        <f t="shared" si="699"/>
        <v>-29644.115646696751</v>
      </c>
      <c r="AP554" s="527">
        <f t="shared" si="699"/>
        <v>-30279.953501454074</v>
      </c>
      <c r="AQ554" s="527">
        <f t="shared" si="699"/>
        <v>-30279.953501454074</v>
      </c>
      <c r="AR554" s="527">
        <f t="shared" si="699"/>
        <v>-30279.953501454074</v>
      </c>
      <c r="AS554" s="527">
        <f t="shared" si="699"/>
        <v>-30279.953501454074</v>
      </c>
      <c r="AT554" s="527">
        <f t="shared" si="699"/>
        <v>-30279.953501454074</v>
      </c>
      <c r="AU554" s="527">
        <f t="shared" si="699"/>
        <v>-30279.953501454074</v>
      </c>
      <c r="AV554" s="527">
        <f t="shared" si="699"/>
        <v>-30279.953501454074</v>
      </c>
      <c r="AW554" s="527">
        <f t="shared" si="699"/>
        <v>-30279.953501454074</v>
      </c>
      <c r="AX554" s="527">
        <f t="shared" ref="AX554:BY554" si="700">(INDEX($I554:$N554,MATCH(AX$2,$I$3:$N$3,0)))/12</f>
        <v>-30279.953501454074</v>
      </c>
      <c r="AY554" s="527">
        <f t="shared" si="700"/>
        <v>-30279.953501454074</v>
      </c>
      <c r="AZ554" s="527">
        <f t="shared" si="700"/>
        <v>-30279.953501454074</v>
      </c>
      <c r="BA554" s="527">
        <f t="shared" si="700"/>
        <v>-30279.953501454074</v>
      </c>
      <c r="BB554" s="527">
        <f t="shared" si="700"/>
        <v>-30873.399110694216</v>
      </c>
      <c r="BC554" s="527">
        <f t="shared" si="700"/>
        <v>-30873.399110694216</v>
      </c>
      <c r="BD554" s="527">
        <f t="shared" si="700"/>
        <v>-30873.399110694216</v>
      </c>
      <c r="BE554" s="527">
        <f t="shared" si="700"/>
        <v>-30873.399110694216</v>
      </c>
      <c r="BF554" s="527">
        <f t="shared" si="700"/>
        <v>-30873.399110694216</v>
      </c>
      <c r="BG554" s="527">
        <f t="shared" si="700"/>
        <v>-30873.399110694216</v>
      </c>
      <c r="BH554" s="527">
        <f t="shared" si="700"/>
        <v>-30873.399110694216</v>
      </c>
      <c r="BI554" s="527">
        <f t="shared" si="700"/>
        <v>-30873.399110694216</v>
      </c>
      <c r="BJ554" s="527">
        <f t="shared" si="700"/>
        <v>-30873.399110694216</v>
      </c>
      <c r="BK554" s="527">
        <f t="shared" si="700"/>
        <v>-30873.399110694216</v>
      </c>
      <c r="BL554" s="527">
        <f t="shared" si="700"/>
        <v>-30873.399110694216</v>
      </c>
      <c r="BM554" s="527">
        <f t="shared" si="700"/>
        <v>-30873.399110694216</v>
      </c>
      <c r="BN554" s="527">
        <f t="shared" si="700"/>
        <v>-31472.351511907193</v>
      </c>
      <c r="BO554" s="527">
        <f t="shared" si="700"/>
        <v>-31472.351511907193</v>
      </c>
      <c r="BP554" s="527">
        <f t="shared" si="700"/>
        <v>-31472.351511907193</v>
      </c>
      <c r="BQ554" s="527">
        <f t="shared" si="700"/>
        <v>-31472.351511907193</v>
      </c>
      <c r="BR554" s="527">
        <f t="shared" si="700"/>
        <v>-31472.351511907193</v>
      </c>
      <c r="BS554" s="527">
        <f t="shared" si="700"/>
        <v>-31472.351511907193</v>
      </c>
      <c r="BT554" s="527">
        <f t="shared" si="700"/>
        <v>-31472.351511907193</v>
      </c>
      <c r="BU554" s="527">
        <f t="shared" si="700"/>
        <v>-31472.351511907193</v>
      </c>
      <c r="BV554" s="527">
        <f t="shared" si="700"/>
        <v>-31472.351511907193</v>
      </c>
      <c r="BW554" s="527">
        <f t="shared" si="700"/>
        <v>-31472.351511907193</v>
      </c>
      <c r="BX554" s="527">
        <f t="shared" si="700"/>
        <v>-31472.351511907193</v>
      </c>
      <c r="BY554" s="527">
        <f t="shared" si="700"/>
        <v>-31472.351511907193</v>
      </c>
    </row>
    <row r="555" spans="1:80" x14ac:dyDescent="0.3">
      <c r="A555" s="322"/>
      <c r="B555" s="322"/>
      <c r="C555" s="322" cm="1">
        <f t="array" ref="C555">SUMPRODUCT((Index_Tab!$D$36:$D$45=$B555)*(Index_Tab!$E$35:$F$35=$B$3)*Index_Tab!$E$36:$F$45)</f>
        <v>0</v>
      </c>
      <c r="D555" s="322"/>
      <c r="E555" s="62" t="s">
        <v>292</v>
      </c>
      <c r="F555" s="63"/>
      <c r="G555" s="63"/>
      <c r="I555" s="501">
        <f t="shared" ref="I555:N555" si="701">SUM(I551,I554)</f>
        <v>2931440.4942396083</v>
      </c>
      <c r="J555" s="501">
        <f t="shared" si="701"/>
        <v>3056099.3838440911</v>
      </c>
      <c r="K555" s="501">
        <f t="shared" si="701"/>
        <v>3181077.5928727114</v>
      </c>
      <c r="L555" s="501">
        <f t="shared" si="701"/>
        <v>3305462.0793712633</v>
      </c>
      <c r="M555" s="501">
        <f t="shared" si="701"/>
        <v>3426365.1153093581</v>
      </c>
      <c r="N555" s="501">
        <f t="shared" si="701"/>
        <v>3549790.7889737254</v>
      </c>
      <c r="O555" s="57"/>
      <c r="P555" s="55">
        <f>IFERROR(((N555/I555)^(1/5))-1,0)</f>
        <v>3.9021023340167327E-2</v>
      </c>
      <c r="R555" s="501">
        <f t="shared" ref="R555:AW555" si="702">SUM(R551,R554)</f>
        <v>254674.94865367434</v>
      </c>
      <c r="S555" s="501">
        <f t="shared" si="702"/>
        <v>254674.94865367434</v>
      </c>
      <c r="T555" s="501">
        <f t="shared" si="702"/>
        <v>254674.94865367434</v>
      </c>
      <c r="U555" s="501">
        <f t="shared" si="702"/>
        <v>254674.94865367434</v>
      </c>
      <c r="V555" s="501">
        <f t="shared" si="702"/>
        <v>254674.94865367434</v>
      </c>
      <c r="W555" s="501">
        <f t="shared" si="702"/>
        <v>254674.94865367434</v>
      </c>
      <c r="X555" s="501">
        <f t="shared" si="702"/>
        <v>254674.94865367434</v>
      </c>
      <c r="Y555" s="501">
        <f t="shared" si="702"/>
        <v>254674.94865367434</v>
      </c>
      <c r="Z555" s="501">
        <f t="shared" si="702"/>
        <v>254674.94865367434</v>
      </c>
      <c r="AA555" s="501">
        <f t="shared" si="702"/>
        <v>254674.94865367434</v>
      </c>
      <c r="AB555" s="501">
        <f t="shared" si="702"/>
        <v>254674.94865367434</v>
      </c>
      <c r="AC555" s="501">
        <f t="shared" si="702"/>
        <v>254674.94865367434</v>
      </c>
      <c r="AD555" s="501">
        <f t="shared" si="702"/>
        <v>265089.79940605926</v>
      </c>
      <c r="AE555" s="501">
        <f t="shared" si="702"/>
        <v>265089.79940605926</v>
      </c>
      <c r="AF555" s="501">
        <f t="shared" si="702"/>
        <v>265089.79940605926</v>
      </c>
      <c r="AG555" s="501">
        <f t="shared" si="702"/>
        <v>265089.79940605926</v>
      </c>
      <c r="AH555" s="501">
        <f t="shared" si="702"/>
        <v>265089.79940605926</v>
      </c>
      <c r="AI555" s="501">
        <f t="shared" si="702"/>
        <v>265089.79940605926</v>
      </c>
      <c r="AJ555" s="501">
        <f t="shared" si="702"/>
        <v>265089.79940605926</v>
      </c>
      <c r="AK555" s="501">
        <f t="shared" si="702"/>
        <v>265089.79940605926</v>
      </c>
      <c r="AL555" s="501">
        <f t="shared" si="702"/>
        <v>265089.79940605926</v>
      </c>
      <c r="AM555" s="501">
        <f t="shared" si="702"/>
        <v>265089.79940605926</v>
      </c>
      <c r="AN555" s="535">
        <f t="shared" si="702"/>
        <v>265089.79940605926</v>
      </c>
      <c r="AO555" s="535">
        <f t="shared" si="702"/>
        <v>265089.79940605926</v>
      </c>
      <c r="AP555" s="535">
        <f t="shared" si="702"/>
        <v>275455.1732809387</v>
      </c>
      <c r="AQ555" s="535">
        <f t="shared" si="702"/>
        <v>275455.1732809387</v>
      </c>
      <c r="AR555" s="535">
        <f t="shared" si="702"/>
        <v>275455.1732809387</v>
      </c>
      <c r="AS555" s="535">
        <f t="shared" si="702"/>
        <v>275455.1732809387</v>
      </c>
      <c r="AT555" s="535">
        <f t="shared" si="702"/>
        <v>275455.1732809387</v>
      </c>
      <c r="AU555" s="535">
        <f t="shared" si="702"/>
        <v>275455.1732809387</v>
      </c>
      <c r="AV555" s="535">
        <f t="shared" si="702"/>
        <v>275455.1732809387</v>
      </c>
      <c r="AW555" s="535">
        <f t="shared" si="702"/>
        <v>275455.1732809387</v>
      </c>
      <c r="AX555" s="535">
        <f t="shared" ref="AX555:BY555" si="703">SUM(AX551,AX554)</f>
        <v>275455.1732809387</v>
      </c>
      <c r="AY555" s="535">
        <f t="shared" si="703"/>
        <v>275455.1732809387</v>
      </c>
      <c r="AZ555" s="535">
        <f t="shared" si="703"/>
        <v>275455.1732809387</v>
      </c>
      <c r="BA555" s="535">
        <f t="shared" si="703"/>
        <v>275455.1732809387</v>
      </c>
      <c r="BB555" s="535">
        <f t="shared" si="703"/>
        <v>285530.4262757799</v>
      </c>
      <c r="BC555" s="535">
        <f t="shared" si="703"/>
        <v>285530.4262757799</v>
      </c>
      <c r="BD555" s="535">
        <f t="shared" si="703"/>
        <v>285530.4262757799</v>
      </c>
      <c r="BE555" s="535">
        <f t="shared" si="703"/>
        <v>285530.4262757799</v>
      </c>
      <c r="BF555" s="535">
        <f t="shared" si="703"/>
        <v>285530.4262757799</v>
      </c>
      <c r="BG555" s="535">
        <f t="shared" si="703"/>
        <v>285530.4262757799</v>
      </c>
      <c r="BH555" s="535">
        <f t="shared" si="703"/>
        <v>285530.4262757799</v>
      </c>
      <c r="BI555" s="535">
        <f t="shared" si="703"/>
        <v>285530.4262757799</v>
      </c>
      <c r="BJ555" s="535">
        <f t="shared" si="703"/>
        <v>285530.4262757799</v>
      </c>
      <c r="BK555" s="535">
        <f t="shared" si="703"/>
        <v>285530.4262757799</v>
      </c>
      <c r="BL555" s="535">
        <f t="shared" si="703"/>
        <v>285530.4262757799</v>
      </c>
      <c r="BM555" s="535">
        <f t="shared" si="703"/>
        <v>285530.4262757799</v>
      </c>
      <c r="BN555" s="535">
        <f t="shared" si="703"/>
        <v>295815.8990811439</v>
      </c>
      <c r="BO555" s="535">
        <f t="shared" si="703"/>
        <v>295815.8990811439</v>
      </c>
      <c r="BP555" s="535">
        <f t="shared" si="703"/>
        <v>295815.8990811439</v>
      </c>
      <c r="BQ555" s="535">
        <f t="shared" si="703"/>
        <v>295815.8990811439</v>
      </c>
      <c r="BR555" s="535">
        <f t="shared" si="703"/>
        <v>295815.8990811439</v>
      </c>
      <c r="BS555" s="535">
        <f t="shared" si="703"/>
        <v>295815.8990811439</v>
      </c>
      <c r="BT555" s="535">
        <f t="shared" si="703"/>
        <v>295815.8990811439</v>
      </c>
      <c r="BU555" s="535">
        <f t="shared" si="703"/>
        <v>295815.8990811439</v>
      </c>
      <c r="BV555" s="535">
        <f t="shared" si="703"/>
        <v>295815.8990811439</v>
      </c>
      <c r="BW555" s="535">
        <f t="shared" si="703"/>
        <v>295815.8990811439</v>
      </c>
      <c r="BX555" s="535">
        <f t="shared" si="703"/>
        <v>295815.8990811439</v>
      </c>
      <c r="BY555" s="535">
        <f t="shared" si="703"/>
        <v>295815.8990811439</v>
      </c>
    </row>
    <row r="556" spans="1:80" x14ac:dyDescent="0.3">
      <c r="A556" s="322"/>
      <c r="B556" s="322"/>
      <c r="C556" s="322" cm="1">
        <f t="array" ref="C556">SUMPRODUCT((Index_Tab!$D$36:$D$45=$B556)*(Index_Tab!$E$35:$F$35=$B$3)*Index_Tab!$E$36:$F$45)</f>
        <v>0</v>
      </c>
      <c r="D556" s="322"/>
      <c r="E556" s="692" t="s">
        <v>406</v>
      </c>
      <c r="H556" s="37"/>
      <c r="I556" s="499">
        <f t="shared" ref="I556:N556" si="704">I555/I551</f>
        <v>0.89626202366174534</v>
      </c>
      <c r="J556" s="499">
        <f t="shared" si="704"/>
        <v>0.89785664099022811</v>
      </c>
      <c r="K556" s="499">
        <f t="shared" si="704"/>
        <v>0.89942075162476431</v>
      </c>
      <c r="L556" s="499">
        <f t="shared" si="704"/>
        <v>0.90096017484112689</v>
      </c>
      <c r="M556" s="499">
        <f t="shared" si="704"/>
        <v>0.90242406496513228</v>
      </c>
      <c r="N556" s="499">
        <f t="shared" si="704"/>
        <v>0.90383904263327863</v>
      </c>
      <c r="O556" s="23"/>
      <c r="P556" s="50">
        <f>IFERROR(((N556/I556)^(1/5))-1,0)</f>
        <v>1.6851156160908598E-3</v>
      </c>
      <c r="R556" s="499">
        <f t="shared" ref="R556:AW556" si="705">R555/R551</f>
        <v>0.89785664099022811</v>
      </c>
      <c r="S556" s="499">
        <f t="shared" si="705"/>
        <v>0.89785664099022811</v>
      </c>
      <c r="T556" s="499">
        <f t="shared" si="705"/>
        <v>0.89785664099022811</v>
      </c>
      <c r="U556" s="499">
        <f t="shared" si="705"/>
        <v>0.89785664099022811</v>
      </c>
      <c r="V556" s="499">
        <f t="shared" si="705"/>
        <v>0.89785664099022811</v>
      </c>
      <c r="W556" s="499">
        <f t="shared" si="705"/>
        <v>0.89785664099022811</v>
      </c>
      <c r="X556" s="499">
        <f t="shared" si="705"/>
        <v>0.89785664099022811</v>
      </c>
      <c r="Y556" s="499">
        <f t="shared" si="705"/>
        <v>0.89785664099022811</v>
      </c>
      <c r="Z556" s="499">
        <f t="shared" si="705"/>
        <v>0.89785664099022811</v>
      </c>
      <c r="AA556" s="499">
        <f t="shared" si="705"/>
        <v>0.89785664099022811</v>
      </c>
      <c r="AB556" s="499">
        <f t="shared" si="705"/>
        <v>0.89785664099022811</v>
      </c>
      <c r="AC556" s="499">
        <f t="shared" si="705"/>
        <v>0.89785664099022811</v>
      </c>
      <c r="AD556" s="499">
        <f t="shared" si="705"/>
        <v>0.89942075162476431</v>
      </c>
      <c r="AE556" s="499">
        <f t="shared" si="705"/>
        <v>0.89942075162476431</v>
      </c>
      <c r="AF556" s="499">
        <f t="shared" si="705"/>
        <v>0.89942075162476431</v>
      </c>
      <c r="AG556" s="499">
        <f t="shared" si="705"/>
        <v>0.89942075162476431</v>
      </c>
      <c r="AH556" s="499">
        <f t="shared" si="705"/>
        <v>0.89942075162476431</v>
      </c>
      <c r="AI556" s="499">
        <f t="shared" si="705"/>
        <v>0.89942075162476431</v>
      </c>
      <c r="AJ556" s="499">
        <f t="shared" si="705"/>
        <v>0.89942075162476431</v>
      </c>
      <c r="AK556" s="499">
        <f t="shared" si="705"/>
        <v>0.89942075162476431</v>
      </c>
      <c r="AL556" s="499">
        <f t="shared" si="705"/>
        <v>0.89942075162476431</v>
      </c>
      <c r="AM556" s="499">
        <f t="shared" si="705"/>
        <v>0.89942075162476431</v>
      </c>
      <c r="AN556" s="531">
        <f t="shared" si="705"/>
        <v>0.89942075162476431</v>
      </c>
      <c r="AO556" s="531">
        <f t="shared" si="705"/>
        <v>0.89942075162476431</v>
      </c>
      <c r="AP556" s="531">
        <f t="shared" si="705"/>
        <v>0.90096017484112689</v>
      </c>
      <c r="AQ556" s="531">
        <f t="shared" si="705"/>
        <v>0.90096017484112689</v>
      </c>
      <c r="AR556" s="531">
        <f t="shared" si="705"/>
        <v>0.90096017484112689</v>
      </c>
      <c r="AS556" s="531">
        <f t="shared" si="705"/>
        <v>0.90096017484112689</v>
      </c>
      <c r="AT556" s="531">
        <f t="shared" si="705"/>
        <v>0.90096017484112689</v>
      </c>
      <c r="AU556" s="531">
        <f t="shared" si="705"/>
        <v>0.90096017484112689</v>
      </c>
      <c r="AV556" s="531">
        <f t="shared" si="705"/>
        <v>0.90096017484112689</v>
      </c>
      <c r="AW556" s="531">
        <f t="shared" si="705"/>
        <v>0.90096017484112689</v>
      </c>
      <c r="AX556" s="531">
        <f t="shared" ref="AX556:BY556" si="706">AX555/AX551</f>
        <v>0.90096017484112689</v>
      </c>
      <c r="AY556" s="531">
        <f t="shared" si="706"/>
        <v>0.90096017484112689</v>
      </c>
      <c r="AZ556" s="531">
        <f t="shared" si="706"/>
        <v>0.90096017484112689</v>
      </c>
      <c r="BA556" s="531">
        <f t="shared" si="706"/>
        <v>0.90096017484112689</v>
      </c>
      <c r="BB556" s="531">
        <f t="shared" si="706"/>
        <v>0.90242406496513228</v>
      </c>
      <c r="BC556" s="531">
        <f t="shared" si="706"/>
        <v>0.90242406496513228</v>
      </c>
      <c r="BD556" s="531">
        <f t="shared" si="706"/>
        <v>0.90242406496513228</v>
      </c>
      <c r="BE556" s="531">
        <f t="shared" si="706"/>
        <v>0.90242406496513228</v>
      </c>
      <c r="BF556" s="531">
        <f t="shared" si="706"/>
        <v>0.90242406496513228</v>
      </c>
      <c r="BG556" s="531">
        <f t="shared" si="706"/>
        <v>0.90242406496513228</v>
      </c>
      <c r="BH556" s="531">
        <f t="shared" si="706"/>
        <v>0.90242406496513228</v>
      </c>
      <c r="BI556" s="531">
        <f t="shared" si="706"/>
        <v>0.90242406496513228</v>
      </c>
      <c r="BJ556" s="531">
        <f t="shared" si="706"/>
        <v>0.90242406496513228</v>
      </c>
      <c r="BK556" s="531">
        <f t="shared" si="706"/>
        <v>0.90242406496513228</v>
      </c>
      <c r="BL556" s="531">
        <f t="shared" si="706"/>
        <v>0.90242406496513228</v>
      </c>
      <c r="BM556" s="531">
        <f t="shared" si="706"/>
        <v>0.90242406496513228</v>
      </c>
      <c r="BN556" s="531">
        <f t="shared" si="706"/>
        <v>0.90383904263327874</v>
      </c>
      <c r="BO556" s="531">
        <f t="shared" si="706"/>
        <v>0.90383904263327874</v>
      </c>
      <c r="BP556" s="531">
        <f t="shared" si="706"/>
        <v>0.90383904263327874</v>
      </c>
      <c r="BQ556" s="531">
        <f t="shared" si="706"/>
        <v>0.90383904263327874</v>
      </c>
      <c r="BR556" s="531">
        <f t="shared" si="706"/>
        <v>0.90383904263327874</v>
      </c>
      <c r="BS556" s="531">
        <f t="shared" si="706"/>
        <v>0.90383904263327874</v>
      </c>
      <c r="BT556" s="531">
        <f t="shared" si="706"/>
        <v>0.90383904263327874</v>
      </c>
      <c r="BU556" s="531">
        <f t="shared" si="706"/>
        <v>0.90383904263327874</v>
      </c>
      <c r="BV556" s="531">
        <f t="shared" si="706"/>
        <v>0.90383904263327874</v>
      </c>
      <c r="BW556" s="531">
        <f t="shared" si="706"/>
        <v>0.90383904263327874</v>
      </c>
      <c r="BX556" s="531">
        <f t="shared" si="706"/>
        <v>0.90383904263327874</v>
      </c>
      <c r="BY556" s="531">
        <f t="shared" si="706"/>
        <v>0.90383904263327874</v>
      </c>
    </row>
    <row r="557" spans="1:80" x14ac:dyDescent="0.3">
      <c r="A557" s="322"/>
      <c r="B557" s="322"/>
      <c r="C557" s="322" cm="1">
        <f t="array" ref="C557">SUMPRODUCT((Index_Tab!$D$36:$D$45=$B557)*(Index_Tab!$E$35:$F$35=$B$3)*Index_Tab!$E$36:$F$45)</f>
        <v>0</v>
      </c>
      <c r="D557" s="322"/>
      <c r="E557" s="2"/>
      <c r="H557" s="37"/>
      <c r="O557" s="37"/>
      <c r="P557" s="144"/>
      <c r="AN557" s="537"/>
      <c r="AO557" s="537"/>
      <c r="AP557" s="537"/>
      <c r="AQ557" s="537"/>
      <c r="AR557" s="537"/>
      <c r="AS557" s="537"/>
      <c r="AT557" s="537"/>
      <c r="AU557" s="537"/>
      <c r="AV557" s="537"/>
      <c r="AW557" s="537"/>
      <c r="AX557" s="537"/>
      <c r="AY557" s="537"/>
      <c r="AZ557" s="537"/>
      <c r="BA557" s="537"/>
      <c r="BB557" s="537"/>
      <c r="BC557" s="537"/>
      <c r="BD557" s="537"/>
      <c r="BE557" s="537"/>
      <c r="BF557" s="537"/>
      <c r="BG557" s="537"/>
      <c r="BH557" s="537"/>
      <c r="BI557" s="537"/>
      <c r="BJ557" s="537"/>
      <c r="BK557" s="537"/>
      <c r="BL557" s="537"/>
      <c r="BM557" s="537"/>
      <c r="BN557" s="537"/>
      <c r="BO557" s="537"/>
      <c r="BP557" s="537"/>
      <c r="BQ557" s="537"/>
      <c r="BR557" s="537"/>
      <c r="BS557" s="537"/>
      <c r="BT557" s="537"/>
      <c r="BU557" s="537"/>
      <c r="BV557" s="537"/>
      <c r="BW557" s="537"/>
      <c r="BX557" s="537"/>
      <c r="BY557" s="537"/>
    </row>
    <row r="558" spans="1:80" x14ac:dyDescent="0.3">
      <c r="A558" s="322"/>
      <c r="B558" s="322" t="s">
        <v>52</v>
      </c>
      <c r="C558" s="322" cm="1">
        <f t="array" ref="C558">SUMPRODUCT((Index_Tab!$D$36:$D$45=$B558)*(Index_Tab!$E$35:$F$35=$B$3)*Index_Tab!$E$36:$F$45)</f>
        <v>19</v>
      </c>
      <c r="D558" s="322"/>
      <c r="E558" s="2" t="s">
        <v>52</v>
      </c>
      <c r="F558" s="54"/>
      <c r="G558" s="54"/>
      <c r="I558" s="67">
        <v>-373858.45915200002</v>
      </c>
      <c r="J558" s="19">
        <f>(-'Detailed Assumptions'!$E$52*J571)*(1+'Detailed Assumptions'!F$48)</f>
        <v>-318240</v>
      </c>
      <c r="K558" s="19">
        <f>J558*(1+'Detailed Assumptions'!G$48)</f>
        <v>-324604.79999999999</v>
      </c>
      <c r="L558" s="19">
        <f>K558*(1+'Detailed Assumptions'!H$48)</f>
        <v>-331096.89600000001</v>
      </c>
      <c r="M558" s="19">
        <f>L558*(1+'Detailed Assumptions'!I$48)</f>
        <v>-337718.83392</v>
      </c>
      <c r="N558" s="19">
        <f>M558*(1+'Detailed Assumptions'!J$48)</f>
        <v>-344473.21059840004</v>
      </c>
      <c r="O558" s="37"/>
      <c r="P558" s="50">
        <f>IFERROR(((N558/I558)^(1/5))-1,0)</f>
        <v>-1.6238894142633686E-2</v>
      </c>
      <c r="R558" s="497">
        <f>(INDEX($I558:$N558,MATCH(R$2,$I$3:$N$3,0)))/12</f>
        <v>-26520</v>
      </c>
      <c r="S558" s="497">
        <f t="shared" ref="S558:AW558" si="707">(INDEX($I558:$N558,MATCH(S$2,$I$3:$N$3,0)))/12</f>
        <v>-26520</v>
      </c>
      <c r="T558" s="497">
        <f t="shared" si="707"/>
        <v>-26520</v>
      </c>
      <c r="U558" s="497">
        <f t="shared" si="707"/>
        <v>-26520</v>
      </c>
      <c r="V558" s="497">
        <f t="shared" si="707"/>
        <v>-26520</v>
      </c>
      <c r="W558" s="497">
        <f t="shared" si="707"/>
        <v>-26520</v>
      </c>
      <c r="X558" s="497">
        <f t="shared" si="707"/>
        <v>-26520</v>
      </c>
      <c r="Y558" s="497">
        <f t="shared" si="707"/>
        <v>-26520</v>
      </c>
      <c r="Z558" s="497">
        <f t="shared" si="707"/>
        <v>-26520</v>
      </c>
      <c r="AA558" s="497">
        <f t="shared" si="707"/>
        <v>-26520</v>
      </c>
      <c r="AB558" s="497">
        <f t="shared" si="707"/>
        <v>-26520</v>
      </c>
      <c r="AC558" s="497">
        <f t="shared" si="707"/>
        <v>-26520</v>
      </c>
      <c r="AD558" s="497">
        <f t="shared" si="707"/>
        <v>-27050.399999999998</v>
      </c>
      <c r="AE558" s="497">
        <f t="shared" si="707"/>
        <v>-27050.399999999998</v>
      </c>
      <c r="AF558" s="497">
        <f t="shared" si="707"/>
        <v>-27050.399999999998</v>
      </c>
      <c r="AG558" s="497">
        <f t="shared" si="707"/>
        <v>-27050.399999999998</v>
      </c>
      <c r="AH558" s="497">
        <f t="shared" si="707"/>
        <v>-27050.399999999998</v>
      </c>
      <c r="AI558" s="497">
        <f t="shared" si="707"/>
        <v>-27050.399999999998</v>
      </c>
      <c r="AJ558" s="497">
        <f t="shared" si="707"/>
        <v>-27050.399999999998</v>
      </c>
      <c r="AK558" s="497">
        <f t="shared" si="707"/>
        <v>-27050.399999999998</v>
      </c>
      <c r="AL558" s="497">
        <f t="shared" si="707"/>
        <v>-27050.399999999998</v>
      </c>
      <c r="AM558" s="497">
        <f t="shared" si="707"/>
        <v>-27050.399999999998</v>
      </c>
      <c r="AN558" s="527">
        <f t="shared" si="707"/>
        <v>-27050.399999999998</v>
      </c>
      <c r="AO558" s="527">
        <f t="shared" si="707"/>
        <v>-27050.399999999998</v>
      </c>
      <c r="AP558" s="527">
        <f t="shared" si="707"/>
        <v>-27591.407999999999</v>
      </c>
      <c r="AQ558" s="527">
        <f t="shared" si="707"/>
        <v>-27591.407999999999</v>
      </c>
      <c r="AR558" s="527">
        <f t="shared" si="707"/>
        <v>-27591.407999999999</v>
      </c>
      <c r="AS558" s="527">
        <f t="shared" si="707"/>
        <v>-27591.407999999999</v>
      </c>
      <c r="AT558" s="527">
        <f t="shared" si="707"/>
        <v>-27591.407999999999</v>
      </c>
      <c r="AU558" s="527">
        <f t="shared" si="707"/>
        <v>-27591.407999999999</v>
      </c>
      <c r="AV558" s="527">
        <f t="shared" si="707"/>
        <v>-27591.407999999999</v>
      </c>
      <c r="AW558" s="527">
        <f t="shared" si="707"/>
        <v>-27591.407999999999</v>
      </c>
      <c r="AX558" s="527">
        <f t="shared" ref="AX558:BY558" si="708">(INDEX($I558:$N558,MATCH(AX$2,$I$3:$N$3,0)))/12</f>
        <v>-27591.407999999999</v>
      </c>
      <c r="AY558" s="527">
        <f t="shared" si="708"/>
        <v>-27591.407999999999</v>
      </c>
      <c r="AZ558" s="527">
        <f t="shared" si="708"/>
        <v>-27591.407999999999</v>
      </c>
      <c r="BA558" s="527">
        <f t="shared" si="708"/>
        <v>-27591.407999999999</v>
      </c>
      <c r="BB558" s="527">
        <f t="shared" si="708"/>
        <v>-28143.23616</v>
      </c>
      <c r="BC558" s="527">
        <f t="shared" si="708"/>
        <v>-28143.23616</v>
      </c>
      <c r="BD558" s="527">
        <f t="shared" si="708"/>
        <v>-28143.23616</v>
      </c>
      <c r="BE558" s="527">
        <f t="shared" si="708"/>
        <v>-28143.23616</v>
      </c>
      <c r="BF558" s="527">
        <f t="shared" si="708"/>
        <v>-28143.23616</v>
      </c>
      <c r="BG558" s="527">
        <f t="shared" si="708"/>
        <v>-28143.23616</v>
      </c>
      <c r="BH558" s="527">
        <f t="shared" si="708"/>
        <v>-28143.23616</v>
      </c>
      <c r="BI558" s="527">
        <f t="shared" si="708"/>
        <v>-28143.23616</v>
      </c>
      <c r="BJ558" s="527">
        <f t="shared" si="708"/>
        <v>-28143.23616</v>
      </c>
      <c r="BK558" s="527">
        <f t="shared" si="708"/>
        <v>-28143.23616</v>
      </c>
      <c r="BL558" s="527">
        <f t="shared" si="708"/>
        <v>-28143.23616</v>
      </c>
      <c r="BM558" s="527">
        <f t="shared" si="708"/>
        <v>-28143.23616</v>
      </c>
      <c r="BN558" s="527">
        <f t="shared" si="708"/>
        <v>-28706.100883200004</v>
      </c>
      <c r="BO558" s="527">
        <f t="shared" si="708"/>
        <v>-28706.100883200004</v>
      </c>
      <c r="BP558" s="527">
        <f t="shared" si="708"/>
        <v>-28706.100883200004</v>
      </c>
      <c r="BQ558" s="527">
        <f t="shared" si="708"/>
        <v>-28706.100883200004</v>
      </c>
      <c r="BR558" s="527">
        <f t="shared" si="708"/>
        <v>-28706.100883200004</v>
      </c>
      <c r="BS558" s="527">
        <f t="shared" si="708"/>
        <v>-28706.100883200004</v>
      </c>
      <c r="BT558" s="527">
        <f t="shared" si="708"/>
        <v>-28706.100883200004</v>
      </c>
      <c r="BU558" s="527">
        <f t="shared" si="708"/>
        <v>-28706.100883200004</v>
      </c>
      <c r="BV558" s="527">
        <f t="shared" si="708"/>
        <v>-28706.100883200004</v>
      </c>
      <c r="BW558" s="527">
        <f t="shared" si="708"/>
        <v>-28706.100883200004</v>
      </c>
      <c r="BX558" s="527">
        <f t="shared" si="708"/>
        <v>-28706.100883200004</v>
      </c>
      <c r="BY558" s="527">
        <f t="shared" si="708"/>
        <v>-28706.100883200004</v>
      </c>
    </row>
    <row r="559" spans="1:80" x14ac:dyDescent="0.3">
      <c r="A559" s="322"/>
      <c r="B559" s="322" t="s">
        <v>53</v>
      </c>
      <c r="C559" s="322" cm="1">
        <f t="array" ref="C559">SUMPRODUCT((Index_Tab!$D$36:$D$45=$B559)*(Index_Tab!$E$35:$F$35=$B$3)*Index_Tab!$E$36:$F$45)</f>
        <v>20</v>
      </c>
      <c r="D559" s="322"/>
      <c r="E559" s="2" t="s">
        <v>69</v>
      </c>
      <c r="F559" s="54"/>
      <c r="G559" s="54"/>
      <c r="I559" s="19" cm="1">
        <f t="array" ref="I559">I551*INDEX(('Detailed Assumptions'!$D$59:$J$79,'Detailed Assumptions'!$L$59:$R$79,'Detailed Assumptions'!$T$59:$Z$79,'Detailed Assumptions'!$AB$59:$AH$79),$C559,$I$2,$C$506)</f>
        <v>-49061.107413594123</v>
      </c>
      <c r="J559" s="497">
        <f>SUMIF($R$2:$BY$2,J$3,$R559:$BY559)</f>
        <v>-51056.581490675075</v>
      </c>
      <c r="K559" s="497">
        <f>SUMIF($R$2:$BY$2,K$3,$R559:$BY559)</f>
        <v>-53052.104709496081</v>
      </c>
      <c r="L559" s="497">
        <f>SUMIF($R$2:$BY$2,L$3,$R559:$BY559)</f>
        <v>-55032.322820830712</v>
      </c>
      <c r="M559" s="497">
        <f>SUMIF($R$2:$BY$2,M$3,$R559:$BY559)</f>
        <v>-56952.688569565333</v>
      </c>
      <c r="N559" s="497">
        <f>SUMIF($R$2:$BY$2,N$3,$R559:$BY559)</f>
        <v>-58911.885106749185</v>
      </c>
      <c r="O559" s="37"/>
      <c r="P559" s="50">
        <f t="shared" ref="P559:P567" si="709">IFERROR(((N559/I559)^(1/5))-1,0)</f>
        <v>3.7273098244165359E-2</v>
      </c>
      <c r="R559" s="19" cm="1">
        <f t="array" ref="R559">R551*INDEX(('Detailed Assumptions'!$D$59:$J$79,'Detailed Assumptions'!$L$59:$R$79,'Detailed Assumptions'!$T$59:$Z$79,'Detailed Assumptions'!$AB$59:$AH$79),$C559,$I$2,$C$506)</f>
        <v>-4254.7151242229229</v>
      </c>
      <c r="S559" s="19" cm="1">
        <f t="array" ref="S559">S551*INDEX(('Detailed Assumptions'!$D$59:$J$79,'Detailed Assumptions'!$L$59:$R$79,'Detailed Assumptions'!$T$59:$Z$79,'Detailed Assumptions'!$AB$59:$AH$79),$C559,$I$2,$C$506)</f>
        <v>-4254.7151242229229</v>
      </c>
      <c r="T559" s="19" cm="1">
        <f t="array" ref="T559">T551*INDEX(('Detailed Assumptions'!$D$59:$J$79,'Detailed Assumptions'!$L$59:$R$79,'Detailed Assumptions'!$T$59:$Z$79,'Detailed Assumptions'!$AB$59:$AH$79),$C559,$I$2,$C$506)</f>
        <v>-4254.7151242229229</v>
      </c>
      <c r="U559" s="19" cm="1">
        <f t="array" ref="U559">U551*INDEX(('Detailed Assumptions'!$D$59:$J$79,'Detailed Assumptions'!$L$59:$R$79,'Detailed Assumptions'!$T$59:$Z$79,'Detailed Assumptions'!$AB$59:$AH$79),$C559,$I$2,$C$506)</f>
        <v>-4254.7151242229229</v>
      </c>
      <c r="V559" s="19" cm="1">
        <f t="array" ref="V559">V551*INDEX(('Detailed Assumptions'!$D$59:$J$79,'Detailed Assumptions'!$L$59:$R$79,'Detailed Assumptions'!$T$59:$Z$79,'Detailed Assumptions'!$AB$59:$AH$79),$C559,$I$2,$C$506)</f>
        <v>-4254.7151242229229</v>
      </c>
      <c r="W559" s="19" cm="1">
        <f t="array" ref="W559">W551*INDEX(('Detailed Assumptions'!$D$59:$J$79,'Detailed Assumptions'!$L$59:$R$79,'Detailed Assumptions'!$T$59:$Z$79,'Detailed Assumptions'!$AB$59:$AH$79),$C559,$I$2,$C$506)</f>
        <v>-4254.7151242229229</v>
      </c>
      <c r="X559" s="19" cm="1">
        <f t="array" ref="X559">X551*INDEX(('Detailed Assumptions'!$D$59:$J$79,'Detailed Assumptions'!$L$59:$R$79,'Detailed Assumptions'!$T$59:$Z$79,'Detailed Assumptions'!$AB$59:$AH$79),$C559,$I$2,$C$506)</f>
        <v>-4254.7151242229229</v>
      </c>
      <c r="Y559" s="19" cm="1">
        <f t="array" ref="Y559">Y551*INDEX(('Detailed Assumptions'!$D$59:$J$79,'Detailed Assumptions'!$L$59:$R$79,'Detailed Assumptions'!$T$59:$Z$79,'Detailed Assumptions'!$AB$59:$AH$79),$C559,$I$2,$C$506)</f>
        <v>-4254.7151242229229</v>
      </c>
      <c r="Z559" s="19" cm="1">
        <f t="array" ref="Z559">Z551*INDEX(('Detailed Assumptions'!$D$59:$J$79,'Detailed Assumptions'!$L$59:$R$79,'Detailed Assumptions'!$T$59:$Z$79,'Detailed Assumptions'!$AB$59:$AH$79),$C559,$I$2,$C$506)</f>
        <v>-4254.7151242229229</v>
      </c>
      <c r="AA559" s="19" cm="1">
        <f t="array" ref="AA559">AA551*INDEX(('Detailed Assumptions'!$D$59:$J$79,'Detailed Assumptions'!$L$59:$R$79,'Detailed Assumptions'!$T$59:$Z$79,'Detailed Assumptions'!$AB$59:$AH$79),$C559,$I$2,$C$506)</f>
        <v>-4254.7151242229229</v>
      </c>
      <c r="AB559" s="19" cm="1">
        <f t="array" ref="AB559">AB551*INDEX(('Detailed Assumptions'!$D$59:$J$79,'Detailed Assumptions'!$L$59:$R$79,'Detailed Assumptions'!$T$59:$Z$79,'Detailed Assumptions'!$AB$59:$AH$79),$C559,$I$2,$C$506)</f>
        <v>-4254.7151242229229</v>
      </c>
      <c r="AC559" s="19" cm="1">
        <f t="array" ref="AC559">AC551*INDEX(('Detailed Assumptions'!$D$59:$J$79,'Detailed Assumptions'!$L$59:$R$79,'Detailed Assumptions'!$T$59:$Z$79,'Detailed Assumptions'!$AB$59:$AH$79),$C559,$I$2,$C$506)</f>
        <v>-4254.7151242229229</v>
      </c>
      <c r="AD559" s="19" cm="1">
        <f t="array" ref="AD559">AD551*INDEX(('Detailed Assumptions'!$D$59:$J$79,'Detailed Assumptions'!$L$59:$R$79,'Detailed Assumptions'!$T$59:$Z$79,'Detailed Assumptions'!$AB$59:$AH$79),$C559,$I$2,$C$506)</f>
        <v>-4421.0087257913401</v>
      </c>
      <c r="AE559" s="19" cm="1">
        <f t="array" ref="AE559">AE551*INDEX(('Detailed Assumptions'!$D$59:$J$79,'Detailed Assumptions'!$L$59:$R$79,'Detailed Assumptions'!$T$59:$Z$79,'Detailed Assumptions'!$AB$59:$AH$79),$C559,$I$2,$C$506)</f>
        <v>-4421.0087257913401</v>
      </c>
      <c r="AF559" s="19" cm="1">
        <f t="array" ref="AF559">AF551*INDEX(('Detailed Assumptions'!$D$59:$J$79,'Detailed Assumptions'!$L$59:$R$79,'Detailed Assumptions'!$T$59:$Z$79,'Detailed Assumptions'!$AB$59:$AH$79),$C559,$I$2,$C$506)</f>
        <v>-4421.0087257913401</v>
      </c>
      <c r="AG559" s="19" cm="1">
        <f t="array" ref="AG559">AG551*INDEX(('Detailed Assumptions'!$D$59:$J$79,'Detailed Assumptions'!$L$59:$R$79,'Detailed Assumptions'!$T$59:$Z$79,'Detailed Assumptions'!$AB$59:$AH$79),$C559,$I$2,$C$506)</f>
        <v>-4421.0087257913401</v>
      </c>
      <c r="AH559" s="19" cm="1">
        <f t="array" ref="AH559">AH551*INDEX(('Detailed Assumptions'!$D$59:$J$79,'Detailed Assumptions'!$L$59:$R$79,'Detailed Assumptions'!$T$59:$Z$79,'Detailed Assumptions'!$AB$59:$AH$79),$C559,$I$2,$C$506)</f>
        <v>-4421.0087257913401</v>
      </c>
      <c r="AI559" s="19" cm="1">
        <f t="array" ref="AI559">AI551*INDEX(('Detailed Assumptions'!$D$59:$J$79,'Detailed Assumptions'!$L$59:$R$79,'Detailed Assumptions'!$T$59:$Z$79,'Detailed Assumptions'!$AB$59:$AH$79),$C559,$I$2,$C$506)</f>
        <v>-4421.0087257913401</v>
      </c>
      <c r="AJ559" s="19" cm="1">
        <f t="array" ref="AJ559">AJ551*INDEX(('Detailed Assumptions'!$D$59:$J$79,'Detailed Assumptions'!$L$59:$R$79,'Detailed Assumptions'!$T$59:$Z$79,'Detailed Assumptions'!$AB$59:$AH$79),$C559,$I$2,$C$506)</f>
        <v>-4421.0087257913401</v>
      </c>
      <c r="AK559" s="19" cm="1">
        <f t="array" ref="AK559">AK551*INDEX(('Detailed Assumptions'!$D$59:$J$79,'Detailed Assumptions'!$L$59:$R$79,'Detailed Assumptions'!$T$59:$Z$79,'Detailed Assumptions'!$AB$59:$AH$79),$C559,$I$2,$C$506)</f>
        <v>-4421.0087257913401</v>
      </c>
      <c r="AL559" s="19" cm="1">
        <f t="array" ref="AL559">AL551*INDEX(('Detailed Assumptions'!$D$59:$J$79,'Detailed Assumptions'!$L$59:$R$79,'Detailed Assumptions'!$T$59:$Z$79,'Detailed Assumptions'!$AB$59:$AH$79),$C559,$I$2,$C$506)</f>
        <v>-4421.0087257913401</v>
      </c>
      <c r="AM559" s="19" cm="1">
        <f t="array" ref="AM559">AM551*INDEX(('Detailed Assumptions'!$D$59:$J$79,'Detailed Assumptions'!$L$59:$R$79,'Detailed Assumptions'!$T$59:$Z$79,'Detailed Assumptions'!$AB$59:$AH$79),$C559,$I$2,$C$506)</f>
        <v>-4421.0087257913401</v>
      </c>
      <c r="AN559" s="542" cm="1">
        <f t="array" ref="AN559">AN551*INDEX(('Detailed Assumptions'!$D$59:$J$79,'Detailed Assumptions'!$L$59:$R$79,'Detailed Assumptions'!$T$59:$Z$79,'Detailed Assumptions'!$AB$59:$AH$79),$C559,$I$2,$C$506)</f>
        <v>-4421.0087257913401</v>
      </c>
      <c r="AO559" s="542" cm="1">
        <f t="array" ref="AO559">AO551*INDEX(('Detailed Assumptions'!$D$59:$J$79,'Detailed Assumptions'!$L$59:$R$79,'Detailed Assumptions'!$T$59:$Z$79,'Detailed Assumptions'!$AB$59:$AH$79),$C559,$I$2,$C$506)</f>
        <v>-4421.0087257913401</v>
      </c>
      <c r="AP559" s="542" cm="1">
        <f t="array" ref="AP559">AP551*INDEX(('Detailed Assumptions'!$D$59:$J$79,'Detailed Assumptions'!$L$59:$R$79,'Detailed Assumptions'!$T$59:$Z$79,'Detailed Assumptions'!$AB$59:$AH$79),$C559,$I$2,$C$506)</f>
        <v>-4586.0269017358914</v>
      </c>
      <c r="AQ559" s="542" cm="1">
        <f t="array" ref="AQ559">AQ551*INDEX(('Detailed Assumptions'!$D$59:$J$79,'Detailed Assumptions'!$L$59:$R$79,'Detailed Assumptions'!$T$59:$Z$79,'Detailed Assumptions'!$AB$59:$AH$79),$C559,$I$2,$C$506)</f>
        <v>-4586.0269017358914</v>
      </c>
      <c r="AR559" s="542" cm="1">
        <f t="array" ref="AR559">AR551*INDEX(('Detailed Assumptions'!$D$59:$J$79,'Detailed Assumptions'!$L$59:$R$79,'Detailed Assumptions'!$T$59:$Z$79,'Detailed Assumptions'!$AB$59:$AH$79),$C559,$I$2,$C$506)</f>
        <v>-4586.0269017358914</v>
      </c>
      <c r="AS559" s="542" cm="1">
        <f t="array" ref="AS559">AS551*INDEX(('Detailed Assumptions'!$D$59:$J$79,'Detailed Assumptions'!$L$59:$R$79,'Detailed Assumptions'!$T$59:$Z$79,'Detailed Assumptions'!$AB$59:$AH$79),$C559,$I$2,$C$506)</f>
        <v>-4586.0269017358914</v>
      </c>
      <c r="AT559" s="542" cm="1">
        <f t="array" ref="AT559">AT551*INDEX(('Detailed Assumptions'!$D$59:$J$79,'Detailed Assumptions'!$L$59:$R$79,'Detailed Assumptions'!$T$59:$Z$79,'Detailed Assumptions'!$AB$59:$AH$79),$C559,$I$2,$C$506)</f>
        <v>-4586.0269017358914</v>
      </c>
      <c r="AU559" s="542" cm="1">
        <f t="array" ref="AU559">AU551*INDEX(('Detailed Assumptions'!$D$59:$J$79,'Detailed Assumptions'!$L$59:$R$79,'Detailed Assumptions'!$T$59:$Z$79,'Detailed Assumptions'!$AB$59:$AH$79),$C559,$I$2,$C$506)</f>
        <v>-4586.0269017358914</v>
      </c>
      <c r="AV559" s="542" cm="1">
        <f t="array" ref="AV559">AV551*INDEX(('Detailed Assumptions'!$D$59:$J$79,'Detailed Assumptions'!$L$59:$R$79,'Detailed Assumptions'!$T$59:$Z$79,'Detailed Assumptions'!$AB$59:$AH$79),$C559,$I$2,$C$506)</f>
        <v>-4586.0269017358914</v>
      </c>
      <c r="AW559" s="542" cm="1">
        <f t="array" ref="AW559">AW551*INDEX(('Detailed Assumptions'!$D$59:$J$79,'Detailed Assumptions'!$L$59:$R$79,'Detailed Assumptions'!$T$59:$Z$79,'Detailed Assumptions'!$AB$59:$AH$79),$C559,$I$2,$C$506)</f>
        <v>-4586.0269017358914</v>
      </c>
      <c r="AX559" s="542" cm="1">
        <f t="array" ref="AX559">AX551*INDEX(('Detailed Assumptions'!$D$59:$J$79,'Detailed Assumptions'!$L$59:$R$79,'Detailed Assumptions'!$T$59:$Z$79,'Detailed Assumptions'!$AB$59:$AH$79),$C559,$I$2,$C$506)</f>
        <v>-4586.0269017358914</v>
      </c>
      <c r="AY559" s="542" cm="1">
        <f t="array" ref="AY559">AY551*INDEX(('Detailed Assumptions'!$D$59:$J$79,'Detailed Assumptions'!$L$59:$R$79,'Detailed Assumptions'!$T$59:$Z$79,'Detailed Assumptions'!$AB$59:$AH$79),$C559,$I$2,$C$506)</f>
        <v>-4586.0269017358914</v>
      </c>
      <c r="AZ559" s="542" cm="1">
        <f t="array" ref="AZ559">AZ551*INDEX(('Detailed Assumptions'!$D$59:$J$79,'Detailed Assumptions'!$L$59:$R$79,'Detailed Assumptions'!$T$59:$Z$79,'Detailed Assumptions'!$AB$59:$AH$79),$C559,$I$2,$C$506)</f>
        <v>-4586.0269017358914</v>
      </c>
      <c r="BA559" s="542" cm="1">
        <f t="array" ref="BA559">BA551*INDEX(('Detailed Assumptions'!$D$59:$J$79,'Detailed Assumptions'!$L$59:$R$79,'Detailed Assumptions'!$T$59:$Z$79,'Detailed Assumptions'!$AB$59:$AH$79),$C559,$I$2,$C$506)</f>
        <v>-4586.0269017358914</v>
      </c>
      <c r="BB559" s="542" cm="1">
        <f t="array" ref="BB559">BB551*INDEX(('Detailed Assumptions'!$D$59:$J$79,'Detailed Assumptions'!$L$59:$R$79,'Detailed Assumptions'!$T$59:$Z$79,'Detailed Assumptions'!$AB$59:$AH$79),$C559,$I$2,$C$506)</f>
        <v>-4746.0573807971123</v>
      </c>
      <c r="BC559" s="542" cm="1">
        <f t="array" ref="BC559">BC551*INDEX(('Detailed Assumptions'!$D$59:$J$79,'Detailed Assumptions'!$L$59:$R$79,'Detailed Assumptions'!$T$59:$Z$79,'Detailed Assumptions'!$AB$59:$AH$79),$C559,$I$2,$C$506)</f>
        <v>-4746.0573807971123</v>
      </c>
      <c r="BD559" s="542" cm="1">
        <f t="array" ref="BD559">BD551*INDEX(('Detailed Assumptions'!$D$59:$J$79,'Detailed Assumptions'!$L$59:$R$79,'Detailed Assumptions'!$T$59:$Z$79,'Detailed Assumptions'!$AB$59:$AH$79),$C559,$I$2,$C$506)</f>
        <v>-4746.0573807971123</v>
      </c>
      <c r="BE559" s="542" cm="1">
        <f t="array" ref="BE559">BE551*INDEX(('Detailed Assumptions'!$D$59:$J$79,'Detailed Assumptions'!$L$59:$R$79,'Detailed Assumptions'!$T$59:$Z$79,'Detailed Assumptions'!$AB$59:$AH$79),$C559,$I$2,$C$506)</f>
        <v>-4746.0573807971123</v>
      </c>
      <c r="BF559" s="542" cm="1">
        <f t="array" ref="BF559">BF551*INDEX(('Detailed Assumptions'!$D$59:$J$79,'Detailed Assumptions'!$L$59:$R$79,'Detailed Assumptions'!$T$59:$Z$79,'Detailed Assumptions'!$AB$59:$AH$79),$C559,$I$2,$C$506)</f>
        <v>-4746.0573807971123</v>
      </c>
      <c r="BG559" s="542" cm="1">
        <f t="array" ref="BG559">BG551*INDEX(('Detailed Assumptions'!$D$59:$J$79,'Detailed Assumptions'!$L$59:$R$79,'Detailed Assumptions'!$T$59:$Z$79,'Detailed Assumptions'!$AB$59:$AH$79),$C559,$I$2,$C$506)</f>
        <v>-4746.0573807971123</v>
      </c>
      <c r="BH559" s="542" cm="1">
        <f t="array" ref="BH559">BH551*INDEX(('Detailed Assumptions'!$D$59:$J$79,'Detailed Assumptions'!$L$59:$R$79,'Detailed Assumptions'!$T$59:$Z$79,'Detailed Assumptions'!$AB$59:$AH$79),$C559,$I$2,$C$506)</f>
        <v>-4746.0573807971123</v>
      </c>
      <c r="BI559" s="542" cm="1">
        <f t="array" ref="BI559">BI551*INDEX(('Detailed Assumptions'!$D$59:$J$79,'Detailed Assumptions'!$L$59:$R$79,'Detailed Assumptions'!$T$59:$Z$79,'Detailed Assumptions'!$AB$59:$AH$79),$C559,$I$2,$C$506)</f>
        <v>-4746.0573807971123</v>
      </c>
      <c r="BJ559" s="542" cm="1">
        <f t="array" ref="BJ559">BJ551*INDEX(('Detailed Assumptions'!$D$59:$J$79,'Detailed Assumptions'!$L$59:$R$79,'Detailed Assumptions'!$T$59:$Z$79,'Detailed Assumptions'!$AB$59:$AH$79),$C559,$I$2,$C$506)</f>
        <v>-4746.0573807971123</v>
      </c>
      <c r="BK559" s="542" cm="1">
        <f t="array" ref="BK559">BK551*INDEX(('Detailed Assumptions'!$D$59:$J$79,'Detailed Assumptions'!$L$59:$R$79,'Detailed Assumptions'!$T$59:$Z$79,'Detailed Assumptions'!$AB$59:$AH$79),$C559,$I$2,$C$506)</f>
        <v>-4746.0573807971123</v>
      </c>
      <c r="BL559" s="542" cm="1">
        <f t="array" ref="BL559">BL551*INDEX(('Detailed Assumptions'!$D$59:$J$79,'Detailed Assumptions'!$L$59:$R$79,'Detailed Assumptions'!$T$59:$Z$79,'Detailed Assumptions'!$AB$59:$AH$79),$C559,$I$2,$C$506)</f>
        <v>-4746.0573807971123</v>
      </c>
      <c r="BM559" s="542" cm="1">
        <f t="array" ref="BM559">BM551*INDEX(('Detailed Assumptions'!$D$59:$J$79,'Detailed Assumptions'!$L$59:$R$79,'Detailed Assumptions'!$T$59:$Z$79,'Detailed Assumptions'!$AB$59:$AH$79),$C559,$I$2,$C$506)</f>
        <v>-4746.0573807971123</v>
      </c>
      <c r="BN559" s="542" cm="1">
        <f t="array" ref="BN559">BN551*INDEX(('Detailed Assumptions'!$D$59:$J$79,'Detailed Assumptions'!$L$59:$R$79,'Detailed Assumptions'!$T$59:$Z$79,'Detailed Assumptions'!$AB$59:$AH$79),$C559,$I$2,$C$506)</f>
        <v>-4909.3237588957663</v>
      </c>
      <c r="BO559" s="542" cm="1">
        <f t="array" ref="BO559">BO551*INDEX(('Detailed Assumptions'!$D$59:$J$79,'Detailed Assumptions'!$L$59:$R$79,'Detailed Assumptions'!$T$59:$Z$79,'Detailed Assumptions'!$AB$59:$AH$79),$C559,$I$2,$C$506)</f>
        <v>-4909.3237588957663</v>
      </c>
      <c r="BP559" s="542" cm="1">
        <f t="array" ref="BP559">BP551*INDEX(('Detailed Assumptions'!$D$59:$J$79,'Detailed Assumptions'!$L$59:$R$79,'Detailed Assumptions'!$T$59:$Z$79,'Detailed Assumptions'!$AB$59:$AH$79),$C559,$I$2,$C$506)</f>
        <v>-4909.3237588957663</v>
      </c>
      <c r="BQ559" s="542" cm="1">
        <f t="array" ref="BQ559">BQ551*INDEX(('Detailed Assumptions'!$D$59:$J$79,'Detailed Assumptions'!$L$59:$R$79,'Detailed Assumptions'!$T$59:$Z$79,'Detailed Assumptions'!$AB$59:$AH$79),$C559,$I$2,$C$506)</f>
        <v>-4909.3237588957663</v>
      </c>
      <c r="BR559" s="542" cm="1">
        <f t="array" ref="BR559">BR551*INDEX(('Detailed Assumptions'!$D$59:$J$79,'Detailed Assumptions'!$L$59:$R$79,'Detailed Assumptions'!$T$59:$Z$79,'Detailed Assumptions'!$AB$59:$AH$79),$C559,$I$2,$C$506)</f>
        <v>-4909.3237588957663</v>
      </c>
      <c r="BS559" s="542" cm="1">
        <f t="array" ref="BS559">BS551*INDEX(('Detailed Assumptions'!$D$59:$J$79,'Detailed Assumptions'!$L$59:$R$79,'Detailed Assumptions'!$T$59:$Z$79,'Detailed Assumptions'!$AB$59:$AH$79),$C559,$I$2,$C$506)</f>
        <v>-4909.3237588957663</v>
      </c>
      <c r="BT559" s="542" cm="1">
        <f t="array" ref="BT559">BT551*INDEX(('Detailed Assumptions'!$D$59:$J$79,'Detailed Assumptions'!$L$59:$R$79,'Detailed Assumptions'!$T$59:$Z$79,'Detailed Assumptions'!$AB$59:$AH$79),$C559,$I$2,$C$506)</f>
        <v>-4909.3237588957663</v>
      </c>
      <c r="BU559" s="542" cm="1">
        <f t="array" ref="BU559">BU551*INDEX(('Detailed Assumptions'!$D$59:$J$79,'Detailed Assumptions'!$L$59:$R$79,'Detailed Assumptions'!$T$59:$Z$79,'Detailed Assumptions'!$AB$59:$AH$79),$C559,$I$2,$C$506)</f>
        <v>-4909.3237588957663</v>
      </c>
      <c r="BV559" s="542" cm="1">
        <f t="array" ref="BV559">BV551*INDEX(('Detailed Assumptions'!$D$59:$J$79,'Detailed Assumptions'!$L$59:$R$79,'Detailed Assumptions'!$T$59:$Z$79,'Detailed Assumptions'!$AB$59:$AH$79),$C559,$I$2,$C$506)</f>
        <v>-4909.3237588957663</v>
      </c>
      <c r="BW559" s="542" cm="1">
        <f t="array" ref="BW559">BW551*INDEX(('Detailed Assumptions'!$D$59:$J$79,'Detailed Assumptions'!$L$59:$R$79,'Detailed Assumptions'!$T$59:$Z$79,'Detailed Assumptions'!$AB$59:$AH$79),$C559,$I$2,$C$506)</f>
        <v>-4909.3237588957663</v>
      </c>
      <c r="BX559" s="542" cm="1">
        <f t="array" ref="BX559">BX551*INDEX(('Detailed Assumptions'!$D$59:$J$79,'Detailed Assumptions'!$L$59:$R$79,'Detailed Assumptions'!$T$59:$Z$79,'Detailed Assumptions'!$AB$59:$AH$79),$C559,$I$2,$C$506)</f>
        <v>-4909.3237588957663</v>
      </c>
      <c r="BY559" s="542" cm="1">
        <f t="array" ref="BY559">BY551*INDEX(('Detailed Assumptions'!$D$59:$J$79,'Detailed Assumptions'!$L$59:$R$79,'Detailed Assumptions'!$T$59:$Z$79,'Detailed Assumptions'!$AB$59:$AH$79),$C559,$I$2,$C$506)</f>
        <v>-4909.3237588957663</v>
      </c>
    </row>
    <row r="560" spans="1:80" x14ac:dyDescent="0.3">
      <c r="A560" s="322"/>
      <c r="B560" s="322"/>
      <c r="C560" s="322" cm="1">
        <f t="array" ref="C560">SUMPRODUCT((Index_Tab!$D$36:$D$45=$B560)*(Index_Tab!$E$35:$F$35=$B$3)*Index_Tab!$E$36:$F$45)</f>
        <v>0</v>
      </c>
      <c r="D560" s="322"/>
      <c r="E560" s="2" t="s">
        <v>184</v>
      </c>
      <c r="F560" s="54"/>
      <c r="G560" s="54"/>
      <c r="I560" s="52">
        <v>0</v>
      </c>
      <c r="J560" s="52">
        <v>0</v>
      </c>
      <c r="K560" s="52">
        <v>0</v>
      </c>
      <c r="L560" s="52">
        <v>0</v>
      </c>
      <c r="M560" s="52">
        <v>0</v>
      </c>
      <c r="N560" s="52">
        <v>0</v>
      </c>
      <c r="O560" s="67"/>
      <c r="P560" s="50">
        <f t="shared" si="709"/>
        <v>0</v>
      </c>
      <c r="R560" s="52">
        <v>0</v>
      </c>
      <c r="S560" s="52">
        <v>0</v>
      </c>
      <c r="T560" s="52">
        <v>0</v>
      </c>
      <c r="U560" s="52">
        <v>0</v>
      </c>
      <c r="V560" s="52">
        <v>0</v>
      </c>
      <c r="W560" s="52">
        <v>0</v>
      </c>
      <c r="X560" s="52">
        <v>0</v>
      </c>
      <c r="Y560" s="52">
        <v>0</v>
      </c>
      <c r="Z560" s="52">
        <v>0</v>
      </c>
      <c r="AA560" s="52">
        <v>0</v>
      </c>
      <c r="AB560" s="52">
        <v>0</v>
      </c>
      <c r="AC560" s="52">
        <v>0</v>
      </c>
      <c r="AD560" s="52">
        <v>0</v>
      </c>
      <c r="AE560" s="52">
        <v>0</v>
      </c>
      <c r="AF560" s="52">
        <v>0</v>
      </c>
      <c r="AG560" s="52">
        <v>0</v>
      </c>
      <c r="AH560" s="52">
        <v>0</v>
      </c>
      <c r="AI560" s="52">
        <v>0</v>
      </c>
      <c r="AJ560" s="52">
        <v>0</v>
      </c>
      <c r="AK560" s="52">
        <v>0</v>
      </c>
      <c r="AL560" s="52">
        <v>0</v>
      </c>
      <c r="AM560" s="52">
        <v>0</v>
      </c>
      <c r="AN560" s="528">
        <v>0</v>
      </c>
      <c r="AO560" s="528">
        <v>0</v>
      </c>
      <c r="AP560" s="528">
        <v>0</v>
      </c>
      <c r="AQ560" s="528">
        <v>0</v>
      </c>
      <c r="AR560" s="528">
        <v>0</v>
      </c>
      <c r="AS560" s="528">
        <v>0</v>
      </c>
      <c r="AT560" s="528">
        <v>0</v>
      </c>
      <c r="AU560" s="528">
        <v>0</v>
      </c>
      <c r="AV560" s="528">
        <v>0</v>
      </c>
      <c r="AW560" s="528">
        <v>0</v>
      </c>
      <c r="AX560" s="528">
        <v>0</v>
      </c>
      <c r="AY560" s="528">
        <v>0</v>
      </c>
      <c r="AZ560" s="528">
        <v>0</v>
      </c>
      <c r="BA560" s="528">
        <v>0</v>
      </c>
      <c r="BB560" s="528">
        <v>0</v>
      </c>
      <c r="BC560" s="528">
        <v>0</v>
      </c>
      <c r="BD560" s="528">
        <v>0</v>
      </c>
      <c r="BE560" s="528">
        <v>0</v>
      </c>
      <c r="BF560" s="528">
        <v>0</v>
      </c>
      <c r="BG560" s="528">
        <v>0</v>
      </c>
      <c r="BH560" s="528">
        <v>0</v>
      </c>
      <c r="BI560" s="528">
        <v>0</v>
      </c>
      <c r="BJ560" s="528">
        <v>0</v>
      </c>
      <c r="BK560" s="528">
        <v>0</v>
      </c>
      <c r="BL560" s="528">
        <v>0</v>
      </c>
      <c r="BM560" s="528">
        <v>0</v>
      </c>
      <c r="BN560" s="528">
        <v>0</v>
      </c>
      <c r="BO560" s="528">
        <v>0</v>
      </c>
      <c r="BP560" s="528">
        <v>0</v>
      </c>
      <c r="BQ560" s="528">
        <v>0</v>
      </c>
      <c r="BR560" s="528">
        <v>0</v>
      </c>
      <c r="BS560" s="528">
        <v>0</v>
      </c>
      <c r="BT560" s="528">
        <v>0</v>
      </c>
      <c r="BU560" s="528">
        <v>0</v>
      </c>
      <c r="BV560" s="528">
        <v>0</v>
      </c>
      <c r="BW560" s="528">
        <v>0</v>
      </c>
      <c r="BX560" s="528">
        <v>0</v>
      </c>
      <c r="BY560" s="528">
        <v>0</v>
      </c>
    </row>
    <row r="561" spans="1:77" x14ac:dyDescent="0.3">
      <c r="A561" s="322"/>
      <c r="B561" s="322"/>
      <c r="C561" s="322" cm="1">
        <f t="array" ref="C561">SUMPRODUCT((Index_Tab!$D$36:$D$45=$B561)*(Index_Tab!$E$35:$F$35=$B$3)*Index_Tab!$E$36:$F$45)</f>
        <v>0</v>
      </c>
      <c r="D561" s="322"/>
      <c r="E561" s="62" t="s">
        <v>293</v>
      </c>
      <c r="F561" s="63"/>
      <c r="G561" s="63"/>
      <c r="I561" s="501">
        <f t="shared" ref="I561:N561" si="710">I555+SUM(I558:I560)</f>
        <v>2508520.9276740141</v>
      </c>
      <c r="J561" s="501">
        <f t="shared" si="710"/>
        <v>2686802.8023534161</v>
      </c>
      <c r="K561" s="501">
        <f t="shared" si="710"/>
        <v>2803420.6881632153</v>
      </c>
      <c r="L561" s="501">
        <f t="shared" si="710"/>
        <v>2919332.8605504325</v>
      </c>
      <c r="M561" s="501">
        <f t="shared" si="710"/>
        <v>3031693.5928197927</v>
      </c>
      <c r="N561" s="501">
        <f t="shared" si="710"/>
        <v>3146405.6932685762</v>
      </c>
      <c r="O561" s="67"/>
      <c r="P561" s="55">
        <f t="shared" si="709"/>
        <v>4.6355829327124676E-2</v>
      </c>
      <c r="R561" s="501">
        <f t="shared" ref="R561:AW561" si="711">R555+SUM(R558:R560)</f>
        <v>223900.23352945142</v>
      </c>
      <c r="S561" s="501">
        <f t="shared" si="711"/>
        <v>223900.23352945142</v>
      </c>
      <c r="T561" s="501">
        <f t="shared" si="711"/>
        <v>223900.23352945142</v>
      </c>
      <c r="U561" s="501">
        <f t="shared" si="711"/>
        <v>223900.23352945142</v>
      </c>
      <c r="V561" s="501">
        <f t="shared" si="711"/>
        <v>223900.23352945142</v>
      </c>
      <c r="W561" s="501">
        <f t="shared" si="711"/>
        <v>223900.23352945142</v>
      </c>
      <c r="X561" s="501">
        <f t="shared" si="711"/>
        <v>223900.23352945142</v>
      </c>
      <c r="Y561" s="501">
        <f t="shared" si="711"/>
        <v>223900.23352945142</v>
      </c>
      <c r="Z561" s="501">
        <f t="shared" si="711"/>
        <v>223900.23352945142</v>
      </c>
      <c r="AA561" s="501">
        <f t="shared" si="711"/>
        <v>223900.23352945142</v>
      </c>
      <c r="AB561" s="501">
        <f t="shared" si="711"/>
        <v>223900.23352945142</v>
      </c>
      <c r="AC561" s="501">
        <f t="shared" si="711"/>
        <v>223900.23352945142</v>
      </c>
      <c r="AD561" s="501">
        <f t="shared" si="711"/>
        <v>233618.39068026791</v>
      </c>
      <c r="AE561" s="501">
        <f t="shared" si="711"/>
        <v>233618.39068026791</v>
      </c>
      <c r="AF561" s="501">
        <f t="shared" si="711"/>
        <v>233618.39068026791</v>
      </c>
      <c r="AG561" s="501">
        <f t="shared" si="711"/>
        <v>233618.39068026791</v>
      </c>
      <c r="AH561" s="501">
        <f t="shared" si="711"/>
        <v>233618.39068026791</v>
      </c>
      <c r="AI561" s="501">
        <f t="shared" si="711"/>
        <v>233618.39068026791</v>
      </c>
      <c r="AJ561" s="501">
        <f t="shared" si="711"/>
        <v>233618.39068026791</v>
      </c>
      <c r="AK561" s="501">
        <f t="shared" si="711"/>
        <v>233618.39068026791</v>
      </c>
      <c r="AL561" s="501">
        <f t="shared" si="711"/>
        <v>233618.39068026791</v>
      </c>
      <c r="AM561" s="501">
        <f t="shared" si="711"/>
        <v>233618.39068026791</v>
      </c>
      <c r="AN561" s="535">
        <f t="shared" si="711"/>
        <v>233618.39068026791</v>
      </c>
      <c r="AO561" s="535">
        <f t="shared" si="711"/>
        <v>233618.39068026791</v>
      </c>
      <c r="AP561" s="535">
        <f t="shared" si="711"/>
        <v>243277.73837920281</v>
      </c>
      <c r="AQ561" s="535">
        <f t="shared" si="711"/>
        <v>243277.73837920281</v>
      </c>
      <c r="AR561" s="535">
        <f t="shared" si="711"/>
        <v>243277.73837920281</v>
      </c>
      <c r="AS561" s="535">
        <f t="shared" si="711"/>
        <v>243277.73837920281</v>
      </c>
      <c r="AT561" s="535">
        <f t="shared" si="711"/>
        <v>243277.73837920281</v>
      </c>
      <c r="AU561" s="535">
        <f t="shared" si="711"/>
        <v>243277.73837920281</v>
      </c>
      <c r="AV561" s="535">
        <f t="shared" si="711"/>
        <v>243277.73837920281</v>
      </c>
      <c r="AW561" s="535">
        <f t="shared" si="711"/>
        <v>243277.73837920281</v>
      </c>
      <c r="AX561" s="535">
        <f t="shared" ref="AX561:BY561" si="712">AX555+SUM(AX558:AX560)</f>
        <v>243277.73837920281</v>
      </c>
      <c r="AY561" s="535">
        <f t="shared" si="712"/>
        <v>243277.73837920281</v>
      </c>
      <c r="AZ561" s="535">
        <f t="shared" si="712"/>
        <v>243277.73837920281</v>
      </c>
      <c r="BA561" s="535">
        <f t="shared" si="712"/>
        <v>243277.73837920281</v>
      </c>
      <c r="BB561" s="535">
        <f t="shared" si="712"/>
        <v>252641.13273498279</v>
      </c>
      <c r="BC561" s="535">
        <f t="shared" si="712"/>
        <v>252641.13273498279</v>
      </c>
      <c r="BD561" s="535">
        <f t="shared" si="712"/>
        <v>252641.13273498279</v>
      </c>
      <c r="BE561" s="535">
        <f t="shared" si="712"/>
        <v>252641.13273498279</v>
      </c>
      <c r="BF561" s="535">
        <f t="shared" si="712"/>
        <v>252641.13273498279</v>
      </c>
      <c r="BG561" s="535">
        <f t="shared" si="712"/>
        <v>252641.13273498279</v>
      </c>
      <c r="BH561" s="535">
        <f t="shared" si="712"/>
        <v>252641.13273498279</v>
      </c>
      <c r="BI561" s="535">
        <f t="shared" si="712"/>
        <v>252641.13273498279</v>
      </c>
      <c r="BJ561" s="535">
        <f t="shared" si="712"/>
        <v>252641.13273498279</v>
      </c>
      <c r="BK561" s="535">
        <f t="shared" si="712"/>
        <v>252641.13273498279</v>
      </c>
      <c r="BL561" s="535">
        <f t="shared" si="712"/>
        <v>252641.13273498279</v>
      </c>
      <c r="BM561" s="535">
        <f t="shared" si="712"/>
        <v>252641.13273498279</v>
      </c>
      <c r="BN561" s="535">
        <f t="shared" si="712"/>
        <v>262200.47443904815</v>
      </c>
      <c r="BO561" s="535">
        <f t="shared" si="712"/>
        <v>262200.47443904815</v>
      </c>
      <c r="BP561" s="535">
        <f t="shared" si="712"/>
        <v>262200.47443904815</v>
      </c>
      <c r="BQ561" s="535">
        <f t="shared" si="712"/>
        <v>262200.47443904815</v>
      </c>
      <c r="BR561" s="535">
        <f t="shared" si="712"/>
        <v>262200.47443904815</v>
      </c>
      <c r="BS561" s="535">
        <f t="shared" si="712"/>
        <v>262200.47443904815</v>
      </c>
      <c r="BT561" s="535">
        <f t="shared" si="712"/>
        <v>262200.47443904815</v>
      </c>
      <c r="BU561" s="535">
        <f t="shared" si="712"/>
        <v>262200.47443904815</v>
      </c>
      <c r="BV561" s="535">
        <f t="shared" si="712"/>
        <v>262200.47443904815</v>
      </c>
      <c r="BW561" s="535">
        <f t="shared" si="712"/>
        <v>262200.47443904815</v>
      </c>
      <c r="BX561" s="535">
        <f t="shared" si="712"/>
        <v>262200.47443904815</v>
      </c>
      <c r="BY561" s="535">
        <f t="shared" si="712"/>
        <v>262200.47443904815</v>
      </c>
    </row>
    <row r="562" spans="1:77" x14ac:dyDescent="0.3">
      <c r="A562" s="322"/>
      <c r="B562" s="322"/>
      <c r="C562" s="322" cm="1">
        <f t="array" ref="C562">SUMPRODUCT((Index_Tab!$D$36:$D$45=$B562)*(Index_Tab!$E$35:$F$35=$B$3)*Index_Tab!$E$36:$F$45)</f>
        <v>0</v>
      </c>
      <c r="D562" s="322"/>
      <c r="E562" s="2" t="s">
        <v>407</v>
      </c>
      <c r="F562" s="54"/>
      <c r="G562" s="54"/>
      <c r="I562" s="499">
        <f t="shared" ref="I562:N562" si="713">I561/I551</f>
        <v>0.76695810385813035</v>
      </c>
      <c r="J562" s="499">
        <f t="shared" si="713"/>
        <v>0.78936036958647493</v>
      </c>
      <c r="K562" s="499">
        <f t="shared" si="713"/>
        <v>0.79264169730331613</v>
      </c>
      <c r="L562" s="499">
        <f t="shared" si="713"/>
        <v>0.79571405791509164</v>
      </c>
      <c r="M562" s="499">
        <f t="shared" si="713"/>
        <v>0.79847685920482192</v>
      </c>
      <c r="N562" s="499">
        <f t="shared" si="713"/>
        <v>0.80113011684329338</v>
      </c>
      <c r="O562" s="57"/>
      <c r="P562" s="50">
        <f>IFERROR(((N562/I562)^(1/5))-1,0)</f>
        <v>8.7563546170570383E-3</v>
      </c>
      <c r="R562" s="499">
        <f t="shared" ref="R562:AW562" si="714">R561/R551</f>
        <v>0.78936036958647493</v>
      </c>
      <c r="S562" s="499">
        <f t="shared" si="714"/>
        <v>0.78936036958647493</v>
      </c>
      <c r="T562" s="499">
        <f t="shared" si="714"/>
        <v>0.78936036958647493</v>
      </c>
      <c r="U562" s="499">
        <f t="shared" si="714"/>
        <v>0.78936036958647493</v>
      </c>
      <c r="V562" s="499">
        <f t="shared" si="714"/>
        <v>0.78936036958647493</v>
      </c>
      <c r="W562" s="499">
        <f t="shared" si="714"/>
        <v>0.78936036958647493</v>
      </c>
      <c r="X562" s="499">
        <f t="shared" si="714"/>
        <v>0.78936036958647493</v>
      </c>
      <c r="Y562" s="499">
        <f t="shared" si="714"/>
        <v>0.78936036958647493</v>
      </c>
      <c r="Z562" s="499">
        <f t="shared" si="714"/>
        <v>0.78936036958647493</v>
      </c>
      <c r="AA562" s="499">
        <f t="shared" si="714"/>
        <v>0.78936036958647493</v>
      </c>
      <c r="AB562" s="499">
        <f t="shared" si="714"/>
        <v>0.78936036958647493</v>
      </c>
      <c r="AC562" s="499">
        <f t="shared" si="714"/>
        <v>0.78936036958647493</v>
      </c>
      <c r="AD562" s="499">
        <f t="shared" si="714"/>
        <v>0.79264169730331602</v>
      </c>
      <c r="AE562" s="499">
        <f t="shared" si="714"/>
        <v>0.79264169730331602</v>
      </c>
      <c r="AF562" s="499">
        <f t="shared" si="714"/>
        <v>0.79264169730331602</v>
      </c>
      <c r="AG562" s="499">
        <f t="shared" si="714"/>
        <v>0.79264169730331602</v>
      </c>
      <c r="AH562" s="499">
        <f t="shared" si="714"/>
        <v>0.79264169730331602</v>
      </c>
      <c r="AI562" s="499">
        <f t="shared" si="714"/>
        <v>0.79264169730331602</v>
      </c>
      <c r="AJ562" s="499">
        <f t="shared" si="714"/>
        <v>0.79264169730331602</v>
      </c>
      <c r="AK562" s="499">
        <f t="shared" si="714"/>
        <v>0.79264169730331602</v>
      </c>
      <c r="AL562" s="499">
        <f t="shared" si="714"/>
        <v>0.79264169730331602</v>
      </c>
      <c r="AM562" s="499">
        <f t="shared" si="714"/>
        <v>0.79264169730331602</v>
      </c>
      <c r="AN562" s="531">
        <f t="shared" si="714"/>
        <v>0.79264169730331602</v>
      </c>
      <c r="AO562" s="531">
        <f t="shared" si="714"/>
        <v>0.79264169730331602</v>
      </c>
      <c r="AP562" s="531">
        <f t="shared" si="714"/>
        <v>0.79571405791509175</v>
      </c>
      <c r="AQ562" s="531">
        <f t="shared" si="714"/>
        <v>0.79571405791509175</v>
      </c>
      <c r="AR562" s="531">
        <f t="shared" si="714"/>
        <v>0.79571405791509175</v>
      </c>
      <c r="AS562" s="531">
        <f t="shared" si="714"/>
        <v>0.79571405791509175</v>
      </c>
      <c r="AT562" s="531">
        <f t="shared" si="714"/>
        <v>0.79571405791509175</v>
      </c>
      <c r="AU562" s="531">
        <f t="shared" si="714"/>
        <v>0.79571405791509175</v>
      </c>
      <c r="AV562" s="531">
        <f t="shared" si="714"/>
        <v>0.79571405791509175</v>
      </c>
      <c r="AW562" s="531">
        <f t="shared" si="714"/>
        <v>0.79571405791509175</v>
      </c>
      <c r="AX562" s="531">
        <f t="shared" ref="AX562:BY562" si="715">AX561/AX551</f>
        <v>0.79571405791509175</v>
      </c>
      <c r="AY562" s="531">
        <f t="shared" si="715"/>
        <v>0.79571405791509175</v>
      </c>
      <c r="AZ562" s="531">
        <f t="shared" si="715"/>
        <v>0.79571405791509175</v>
      </c>
      <c r="BA562" s="531">
        <f t="shared" si="715"/>
        <v>0.79571405791509175</v>
      </c>
      <c r="BB562" s="531">
        <f t="shared" si="715"/>
        <v>0.79847685920482203</v>
      </c>
      <c r="BC562" s="531">
        <f t="shared" si="715"/>
        <v>0.79847685920482203</v>
      </c>
      <c r="BD562" s="531">
        <f t="shared" si="715"/>
        <v>0.79847685920482203</v>
      </c>
      <c r="BE562" s="531">
        <f t="shared" si="715"/>
        <v>0.79847685920482203</v>
      </c>
      <c r="BF562" s="531">
        <f t="shared" si="715"/>
        <v>0.79847685920482203</v>
      </c>
      <c r="BG562" s="531">
        <f t="shared" si="715"/>
        <v>0.79847685920482203</v>
      </c>
      <c r="BH562" s="531">
        <f t="shared" si="715"/>
        <v>0.79847685920482203</v>
      </c>
      <c r="BI562" s="531">
        <f t="shared" si="715"/>
        <v>0.79847685920482203</v>
      </c>
      <c r="BJ562" s="531">
        <f t="shared" si="715"/>
        <v>0.79847685920482203</v>
      </c>
      <c r="BK562" s="531">
        <f t="shared" si="715"/>
        <v>0.79847685920482203</v>
      </c>
      <c r="BL562" s="531">
        <f t="shared" si="715"/>
        <v>0.79847685920482203</v>
      </c>
      <c r="BM562" s="531">
        <f t="shared" si="715"/>
        <v>0.79847685920482203</v>
      </c>
      <c r="BN562" s="531">
        <f t="shared" si="715"/>
        <v>0.80113011684329349</v>
      </c>
      <c r="BO562" s="531">
        <f t="shared" si="715"/>
        <v>0.80113011684329349</v>
      </c>
      <c r="BP562" s="531">
        <f t="shared" si="715"/>
        <v>0.80113011684329349</v>
      </c>
      <c r="BQ562" s="531">
        <f t="shared" si="715"/>
        <v>0.80113011684329349</v>
      </c>
      <c r="BR562" s="531">
        <f t="shared" si="715"/>
        <v>0.80113011684329349</v>
      </c>
      <c r="BS562" s="531">
        <f t="shared" si="715"/>
        <v>0.80113011684329349</v>
      </c>
      <c r="BT562" s="531">
        <f t="shared" si="715"/>
        <v>0.80113011684329349</v>
      </c>
      <c r="BU562" s="531">
        <f t="shared" si="715"/>
        <v>0.80113011684329349</v>
      </c>
      <c r="BV562" s="531">
        <f t="shared" si="715"/>
        <v>0.80113011684329349</v>
      </c>
      <c r="BW562" s="531">
        <f t="shared" si="715"/>
        <v>0.80113011684329349</v>
      </c>
      <c r="BX562" s="531">
        <f t="shared" si="715"/>
        <v>0.80113011684329349</v>
      </c>
      <c r="BY562" s="531">
        <f t="shared" si="715"/>
        <v>0.80113011684329349</v>
      </c>
    </row>
    <row r="563" spans="1:77" x14ac:dyDescent="0.3">
      <c r="A563" s="322"/>
      <c r="B563" s="322"/>
      <c r="C563" s="322" cm="1">
        <f t="array" ref="C563">SUMPRODUCT((Index_Tab!$D$36:$D$45=$B563)*(Index_Tab!$E$35:$F$35=$B$3)*Index_Tab!$E$36:$F$45)</f>
        <v>0</v>
      </c>
      <c r="D563" s="322"/>
      <c r="E563" s="2"/>
      <c r="F563" s="54"/>
      <c r="G563" s="54"/>
      <c r="I563" s="67"/>
      <c r="J563" s="67"/>
      <c r="K563" s="67"/>
      <c r="L563" s="67"/>
      <c r="M563" s="67"/>
      <c r="N563" s="67"/>
      <c r="O563" s="37"/>
      <c r="P563" s="50"/>
      <c r="R563" s="67"/>
      <c r="S563" s="67"/>
      <c r="T563" s="67"/>
      <c r="U563" s="67"/>
      <c r="V563" s="67"/>
      <c r="W563" s="67"/>
      <c r="X563" s="67"/>
      <c r="Y563" s="67"/>
      <c r="Z563" s="67"/>
      <c r="AA563" s="67"/>
      <c r="AB563" s="67"/>
      <c r="AC563" s="67"/>
      <c r="AD563" s="67"/>
      <c r="AE563" s="67"/>
      <c r="AF563" s="67"/>
      <c r="AG563" s="67"/>
      <c r="AH563" s="67"/>
      <c r="AI563" s="67"/>
      <c r="AJ563" s="67"/>
      <c r="AK563" s="67"/>
      <c r="AL563" s="67"/>
      <c r="AM563" s="67"/>
      <c r="AN563" s="544"/>
      <c r="AO563" s="544"/>
      <c r="AP563" s="544"/>
      <c r="AQ563" s="544"/>
      <c r="AR563" s="544"/>
      <c r="AS563" s="544"/>
      <c r="AT563" s="544"/>
      <c r="AU563" s="544"/>
      <c r="AV563" s="544"/>
      <c r="AW563" s="544"/>
      <c r="AX563" s="544"/>
      <c r="AY563" s="544"/>
      <c r="AZ563" s="544"/>
      <c r="BA563" s="544"/>
      <c r="BB563" s="544"/>
      <c r="BC563" s="544"/>
      <c r="BD563" s="544"/>
      <c r="BE563" s="544"/>
      <c r="BF563" s="544"/>
      <c r="BG563" s="544"/>
      <c r="BH563" s="544"/>
      <c r="BI563" s="544"/>
      <c r="BJ563" s="544"/>
      <c r="BK563" s="544"/>
      <c r="BL563" s="544"/>
      <c r="BM563" s="544"/>
      <c r="BN563" s="544"/>
      <c r="BO563" s="544"/>
      <c r="BP563" s="544"/>
      <c r="BQ563" s="544"/>
      <c r="BR563" s="544"/>
      <c r="BS563" s="544"/>
      <c r="BT563" s="544"/>
      <c r="BU563" s="544"/>
      <c r="BV563" s="544"/>
      <c r="BW563" s="544"/>
      <c r="BX563" s="544"/>
      <c r="BY563" s="544"/>
    </row>
    <row r="564" spans="1:77" x14ac:dyDescent="0.3">
      <c r="A564" s="322"/>
      <c r="B564" s="322"/>
      <c r="C564" s="322" cm="1">
        <f t="array" ref="C564">SUMPRODUCT((Index_Tab!$D$36:$D$45=$B564)*(Index_Tab!$E$35:$F$35=$B$3)*Index_Tab!$E$36:$F$45)</f>
        <v>0</v>
      </c>
      <c r="D564" s="322"/>
      <c r="E564" s="2" t="s">
        <v>70</v>
      </c>
      <c r="F564" s="54"/>
      <c r="G564" s="54"/>
      <c r="I564" s="67">
        <v>-269268</v>
      </c>
      <c r="J564" s="52">
        <v>0</v>
      </c>
      <c r="K564" s="52">
        <v>0</v>
      </c>
      <c r="L564" s="52">
        <v>0</v>
      </c>
      <c r="M564" s="52">
        <v>0</v>
      </c>
      <c r="N564" s="52">
        <v>0</v>
      </c>
      <c r="O564" s="37"/>
      <c r="P564" s="50">
        <f>IFERROR(((N564/I564)^(1/5))-1,0)</f>
        <v>-1</v>
      </c>
      <c r="R564" s="52">
        <v>0</v>
      </c>
      <c r="S564" s="52">
        <v>0</v>
      </c>
      <c r="T564" s="52">
        <v>0</v>
      </c>
      <c r="U564" s="52">
        <v>0</v>
      </c>
      <c r="V564" s="52">
        <v>0</v>
      </c>
      <c r="W564" s="52">
        <v>0</v>
      </c>
      <c r="X564" s="52">
        <v>0</v>
      </c>
      <c r="Y564" s="52">
        <v>0</v>
      </c>
      <c r="Z564" s="52">
        <v>0</v>
      </c>
      <c r="AA564" s="52">
        <v>0</v>
      </c>
      <c r="AB564" s="52">
        <v>0</v>
      </c>
      <c r="AC564" s="52">
        <v>0</v>
      </c>
      <c r="AD564" s="52">
        <v>0</v>
      </c>
      <c r="AE564" s="52">
        <v>0</v>
      </c>
      <c r="AF564" s="52">
        <v>0</v>
      </c>
      <c r="AG564" s="52">
        <v>0</v>
      </c>
      <c r="AH564" s="52">
        <v>0</v>
      </c>
      <c r="AI564" s="52">
        <v>0</v>
      </c>
      <c r="AJ564" s="52">
        <v>0</v>
      </c>
      <c r="AK564" s="52">
        <v>0</v>
      </c>
      <c r="AL564" s="52">
        <v>0</v>
      </c>
      <c r="AM564" s="52">
        <v>0</v>
      </c>
      <c r="AN564" s="528">
        <v>0</v>
      </c>
      <c r="AO564" s="528">
        <v>0</v>
      </c>
      <c r="AP564" s="528">
        <v>0</v>
      </c>
      <c r="AQ564" s="528">
        <v>0</v>
      </c>
      <c r="AR564" s="528">
        <v>0</v>
      </c>
      <c r="AS564" s="528">
        <v>0</v>
      </c>
      <c r="AT564" s="528">
        <v>0</v>
      </c>
      <c r="AU564" s="528">
        <v>0</v>
      </c>
      <c r="AV564" s="528">
        <v>0</v>
      </c>
      <c r="AW564" s="528">
        <v>0</v>
      </c>
      <c r="AX564" s="528">
        <v>0</v>
      </c>
      <c r="AY564" s="528">
        <v>0</v>
      </c>
      <c r="AZ564" s="528">
        <v>0</v>
      </c>
      <c r="BA564" s="528">
        <v>0</v>
      </c>
      <c r="BB564" s="528">
        <v>0</v>
      </c>
      <c r="BC564" s="528">
        <v>0</v>
      </c>
      <c r="BD564" s="528">
        <v>0</v>
      </c>
      <c r="BE564" s="528">
        <v>0</v>
      </c>
      <c r="BF564" s="528">
        <v>0</v>
      </c>
      <c r="BG564" s="528">
        <v>0</v>
      </c>
      <c r="BH564" s="528">
        <v>0</v>
      </c>
      <c r="BI564" s="528">
        <v>0</v>
      </c>
      <c r="BJ564" s="528">
        <v>0</v>
      </c>
      <c r="BK564" s="528">
        <v>0</v>
      </c>
      <c r="BL564" s="528">
        <v>0</v>
      </c>
      <c r="BM564" s="528">
        <v>0</v>
      </c>
      <c r="BN564" s="528">
        <v>0</v>
      </c>
      <c r="BO564" s="528">
        <v>0</v>
      </c>
      <c r="BP564" s="528">
        <v>0</v>
      </c>
      <c r="BQ564" s="528">
        <v>0</v>
      </c>
      <c r="BR564" s="528">
        <v>0</v>
      </c>
      <c r="BS564" s="528">
        <v>0</v>
      </c>
      <c r="BT564" s="528">
        <v>0</v>
      </c>
      <c r="BU564" s="528">
        <v>0</v>
      </c>
      <c r="BV564" s="528">
        <v>0</v>
      </c>
      <c r="BW564" s="528">
        <v>0</v>
      </c>
      <c r="BX564" s="528">
        <v>0</v>
      </c>
      <c r="BY564" s="528">
        <v>0</v>
      </c>
    </row>
    <row r="565" spans="1:77" x14ac:dyDescent="0.3">
      <c r="A565" s="322"/>
      <c r="B565" s="322"/>
      <c r="C565" s="322" cm="1">
        <f t="array" ref="C565">SUMPRODUCT((Index_Tab!$D$36:$D$45=$B565)*(Index_Tab!$E$35:$F$35=$B$3)*Index_Tab!$E$36:$F$45)</f>
        <v>0</v>
      </c>
      <c r="D565" s="322"/>
      <c r="E565" s="2" t="s">
        <v>185</v>
      </c>
      <c r="F565" s="54"/>
      <c r="G565" s="54"/>
      <c r="I565" s="52">
        <v>0</v>
      </c>
      <c r="J565" s="52">
        <v>0</v>
      </c>
      <c r="K565" s="52">
        <v>0</v>
      </c>
      <c r="L565" s="52">
        <v>0</v>
      </c>
      <c r="M565" s="52">
        <v>0</v>
      </c>
      <c r="N565" s="52">
        <v>0</v>
      </c>
      <c r="O565" s="67"/>
      <c r="P565" s="50">
        <f>IFERROR(((N565/I565)^(1/5))-1,0)</f>
        <v>0</v>
      </c>
      <c r="R565" s="52">
        <v>0</v>
      </c>
      <c r="S565" s="52">
        <v>0</v>
      </c>
      <c r="T565" s="52">
        <v>0</v>
      </c>
      <c r="U565" s="52">
        <v>0</v>
      </c>
      <c r="V565" s="52">
        <v>0</v>
      </c>
      <c r="W565" s="52">
        <v>0</v>
      </c>
      <c r="X565" s="52">
        <v>0</v>
      </c>
      <c r="Y565" s="52">
        <v>0</v>
      </c>
      <c r="Z565" s="52">
        <v>0</v>
      </c>
      <c r="AA565" s="52">
        <v>0</v>
      </c>
      <c r="AB565" s="52">
        <v>0</v>
      </c>
      <c r="AC565" s="52">
        <v>0</v>
      </c>
      <c r="AD565" s="52">
        <v>0</v>
      </c>
      <c r="AE565" s="52">
        <v>0</v>
      </c>
      <c r="AF565" s="52">
        <v>0</v>
      </c>
      <c r="AG565" s="52">
        <v>0</v>
      </c>
      <c r="AH565" s="52">
        <v>0</v>
      </c>
      <c r="AI565" s="52">
        <v>0</v>
      </c>
      <c r="AJ565" s="52">
        <v>0</v>
      </c>
      <c r="AK565" s="52">
        <v>0</v>
      </c>
      <c r="AL565" s="52">
        <v>0</v>
      </c>
      <c r="AM565" s="52">
        <v>0</v>
      </c>
      <c r="AN565" s="528">
        <v>0</v>
      </c>
      <c r="AO565" s="528">
        <v>0</v>
      </c>
      <c r="AP565" s="528">
        <v>0</v>
      </c>
      <c r="AQ565" s="528">
        <v>0</v>
      </c>
      <c r="AR565" s="528">
        <v>0</v>
      </c>
      <c r="AS565" s="528">
        <v>0</v>
      </c>
      <c r="AT565" s="528">
        <v>0</v>
      </c>
      <c r="AU565" s="528">
        <v>0</v>
      </c>
      <c r="AV565" s="528">
        <v>0</v>
      </c>
      <c r="AW565" s="528">
        <v>0</v>
      </c>
      <c r="AX565" s="528">
        <v>0</v>
      </c>
      <c r="AY565" s="528">
        <v>0</v>
      </c>
      <c r="AZ565" s="528">
        <v>0</v>
      </c>
      <c r="BA565" s="528">
        <v>0</v>
      </c>
      <c r="BB565" s="528">
        <v>0</v>
      </c>
      <c r="BC565" s="528">
        <v>0</v>
      </c>
      <c r="BD565" s="528">
        <v>0</v>
      </c>
      <c r="BE565" s="528">
        <v>0</v>
      </c>
      <c r="BF565" s="528">
        <v>0</v>
      </c>
      <c r="BG565" s="528">
        <v>0</v>
      </c>
      <c r="BH565" s="528">
        <v>0</v>
      </c>
      <c r="BI565" s="528">
        <v>0</v>
      </c>
      <c r="BJ565" s="528">
        <v>0</v>
      </c>
      <c r="BK565" s="528">
        <v>0</v>
      </c>
      <c r="BL565" s="528">
        <v>0</v>
      </c>
      <c r="BM565" s="528">
        <v>0</v>
      </c>
      <c r="BN565" s="528">
        <v>0</v>
      </c>
      <c r="BO565" s="528">
        <v>0</v>
      </c>
      <c r="BP565" s="528">
        <v>0</v>
      </c>
      <c r="BQ565" s="528">
        <v>0</v>
      </c>
      <c r="BR565" s="528">
        <v>0</v>
      </c>
      <c r="BS565" s="528">
        <v>0</v>
      </c>
      <c r="BT565" s="528">
        <v>0</v>
      </c>
      <c r="BU565" s="528">
        <v>0</v>
      </c>
      <c r="BV565" s="528">
        <v>0</v>
      </c>
      <c r="BW565" s="528">
        <v>0</v>
      </c>
      <c r="BX565" s="528">
        <v>0</v>
      </c>
      <c r="BY565" s="528">
        <v>0</v>
      </c>
    </row>
    <row r="566" spans="1:77" x14ac:dyDescent="0.3">
      <c r="A566" s="322"/>
      <c r="B566" s="322"/>
      <c r="C566" s="322" cm="1">
        <f t="array" ref="C566">SUMPRODUCT((Index_Tab!$D$36:$D$45=$B566)*(Index_Tab!$E$35:$F$35=$B$3)*Index_Tab!$E$36:$F$45)</f>
        <v>0</v>
      </c>
      <c r="D566" s="322"/>
      <c r="E566" s="2" t="s">
        <v>370</v>
      </c>
      <c r="F566" s="54"/>
      <c r="G566" s="54"/>
      <c r="I566" s="71">
        <v>0</v>
      </c>
      <c r="J566" s="52">
        <v>0</v>
      </c>
      <c r="K566" s="52">
        <v>0</v>
      </c>
      <c r="L566" s="52">
        <v>0</v>
      </c>
      <c r="M566" s="52">
        <v>0</v>
      </c>
      <c r="N566" s="52">
        <v>0</v>
      </c>
      <c r="O566" s="67"/>
      <c r="P566" s="50">
        <f>IFERROR(((N566/I566)^(1/5))-1,0)</f>
        <v>0</v>
      </c>
      <c r="R566" s="52">
        <v>0</v>
      </c>
      <c r="S566" s="52">
        <v>0</v>
      </c>
      <c r="T566" s="52">
        <v>0</v>
      </c>
      <c r="U566" s="52">
        <v>0</v>
      </c>
      <c r="V566" s="52">
        <v>0</v>
      </c>
      <c r="W566" s="52">
        <v>0</v>
      </c>
      <c r="X566" s="52">
        <v>0</v>
      </c>
      <c r="Y566" s="52">
        <v>0</v>
      </c>
      <c r="Z566" s="52">
        <v>0</v>
      </c>
      <c r="AA566" s="52">
        <v>0</v>
      </c>
      <c r="AB566" s="52">
        <v>0</v>
      </c>
      <c r="AC566" s="52">
        <v>0</v>
      </c>
      <c r="AD566" s="52">
        <v>0</v>
      </c>
      <c r="AE566" s="52">
        <v>0</v>
      </c>
      <c r="AF566" s="52">
        <v>0</v>
      </c>
      <c r="AG566" s="52">
        <v>0</v>
      </c>
      <c r="AH566" s="52">
        <v>0</v>
      </c>
      <c r="AI566" s="52">
        <v>0</v>
      </c>
      <c r="AJ566" s="52">
        <v>0</v>
      </c>
      <c r="AK566" s="52">
        <v>0</v>
      </c>
      <c r="AL566" s="52">
        <v>0</v>
      </c>
      <c r="AM566" s="52">
        <v>0</v>
      </c>
      <c r="AN566" s="528">
        <v>0</v>
      </c>
      <c r="AO566" s="528">
        <v>0</v>
      </c>
      <c r="AP566" s="528">
        <v>0</v>
      </c>
      <c r="AQ566" s="528">
        <v>0</v>
      </c>
      <c r="AR566" s="528">
        <v>0</v>
      </c>
      <c r="AS566" s="528">
        <v>0</v>
      </c>
      <c r="AT566" s="528">
        <v>0</v>
      </c>
      <c r="AU566" s="528">
        <v>0</v>
      </c>
      <c r="AV566" s="528">
        <v>0</v>
      </c>
      <c r="AW566" s="528">
        <v>0</v>
      </c>
      <c r="AX566" s="528">
        <v>0</v>
      </c>
      <c r="AY566" s="528">
        <v>0</v>
      </c>
      <c r="AZ566" s="528">
        <v>0</v>
      </c>
      <c r="BA566" s="528">
        <v>0</v>
      </c>
      <c r="BB566" s="528">
        <v>0</v>
      </c>
      <c r="BC566" s="528">
        <v>0</v>
      </c>
      <c r="BD566" s="528">
        <v>0</v>
      </c>
      <c r="BE566" s="528">
        <v>0</v>
      </c>
      <c r="BF566" s="528">
        <v>0</v>
      </c>
      <c r="BG566" s="528">
        <v>0</v>
      </c>
      <c r="BH566" s="528">
        <v>0</v>
      </c>
      <c r="BI566" s="528">
        <v>0</v>
      </c>
      <c r="BJ566" s="528">
        <v>0</v>
      </c>
      <c r="BK566" s="528">
        <v>0</v>
      </c>
      <c r="BL566" s="528">
        <v>0</v>
      </c>
      <c r="BM566" s="528">
        <v>0</v>
      </c>
      <c r="BN566" s="528">
        <v>0</v>
      </c>
      <c r="BO566" s="528">
        <v>0</v>
      </c>
      <c r="BP566" s="528">
        <v>0</v>
      </c>
      <c r="BQ566" s="528">
        <v>0</v>
      </c>
      <c r="BR566" s="528">
        <v>0</v>
      </c>
      <c r="BS566" s="528">
        <v>0</v>
      </c>
      <c r="BT566" s="528">
        <v>0</v>
      </c>
      <c r="BU566" s="528">
        <v>0</v>
      </c>
      <c r="BV566" s="528">
        <v>0</v>
      </c>
      <c r="BW566" s="528">
        <v>0</v>
      </c>
      <c r="BX566" s="528">
        <v>0</v>
      </c>
      <c r="BY566" s="528">
        <v>0</v>
      </c>
    </row>
    <row r="567" spans="1:77" x14ac:dyDescent="0.3">
      <c r="A567" s="322"/>
      <c r="B567" s="322"/>
      <c r="C567" s="322" cm="1">
        <f t="array" ref="C567">SUMPRODUCT((Index_Tab!$D$36:$D$45=$B567)*(Index_Tab!$E$35:$F$35=$B$3)*Index_Tab!$E$36:$F$45)</f>
        <v>0</v>
      </c>
      <c r="D567" s="322"/>
      <c r="E567" s="62" t="s">
        <v>71</v>
      </c>
      <c r="F567" s="63"/>
      <c r="G567" s="63"/>
      <c r="I567" s="501">
        <f t="shared" ref="I567:N567" si="716">I561+SUM(I564:I566)</f>
        <v>2239252.9276740141</v>
      </c>
      <c r="J567" s="501">
        <f t="shared" si="716"/>
        <v>2686802.8023534161</v>
      </c>
      <c r="K567" s="501">
        <f t="shared" si="716"/>
        <v>2803420.6881632153</v>
      </c>
      <c r="L567" s="501">
        <f t="shared" si="716"/>
        <v>2919332.8605504325</v>
      </c>
      <c r="M567" s="501">
        <f t="shared" si="716"/>
        <v>3031693.5928197927</v>
      </c>
      <c r="N567" s="501">
        <f t="shared" si="716"/>
        <v>3146405.6932685762</v>
      </c>
      <c r="O567" s="67"/>
      <c r="P567" s="55">
        <f t="shared" si="709"/>
        <v>7.0390666970921778E-2</v>
      </c>
      <c r="R567" s="501">
        <f>R561+SUM(R564:R566)</f>
        <v>223900.23352945142</v>
      </c>
      <c r="S567" s="501">
        <f t="shared" ref="S567:BY567" si="717">S561+SUM(S564:S566)</f>
        <v>223900.23352945142</v>
      </c>
      <c r="T567" s="501">
        <f t="shared" si="717"/>
        <v>223900.23352945142</v>
      </c>
      <c r="U567" s="501">
        <f t="shared" si="717"/>
        <v>223900.23352945142</v>
      </c>
      <c r="V567" s="501">
        <f t="shared" si="717"/>
        <v>223900.23352945142</v>
      </c>
      <c r="W567" s="501">
        <f t="shared" si="717"/>
        <v>223900.23352945142</v>
      </c>
      <c r="X567" s="501">
        <f t="shared" si="717"/>
        <v>223900.23352945142</v>
      </c>
      <c r="Y567" s="501">
        <f t="shared" si="717"/>
        <v>223900.23352945142</v>
      </c>
      <c r="Z567" s="501">
        <f t="shared" si="717"/>
        <v>223900.23352945142</v>
      </c>
      <c r="AA567" s="501">
        <f t="shared" si="717"/>
        <v>223900.23352945142</v>
      </c>
      <c r="AB567" s="501">
        <f t="shared" si="717"/>
        <v>223900.23352945142</v>
      </c>
      <c r="AC567" s="501">
        <f t="shared" si="717"/>
        <v>223900.23352945142</v>
      </c>
      <c r="AD567" s="501">
        <f t="shared" si="717"/>
        <v>233618.39068026791</v>
      </c>
      <c r="AE567" s="501">
        <f t="shared" si="717"/>
        <v>233618.39068026791</v>
      </c>
      <c r="AF567" s="501">
        <f t="shared" si="717"/>
        <v>233618.39068026791</v>
      </c>
      <c r="AG567" s="501">
        <f t="shared" si="717"/>
        <v>233618.39068026791</v>
      </c>
      <c r="AH567" s="501">
        <f t="shared" si="717"/>
        <v>233618.39068026791</v>
      </c>
      <c r="AI567" s="501">
        <f t="shared" si="717"/>
        <v>233618.39068026791</v>
      </c>
      <c r="AJ567" s="501">
        <f t="shared" si="717"/>
        <v>233618.39068026791</v>
      </c>
      <c r="AK567" s="501">
        <f t="shared" si="717"/>
        <v>233618.39068026791</v>
      </c>
      <c r="AL567" s="501">
        <f t="shared" si="717"/>
        <v>233618.39068026791</v>
      </c>
      <c r="AM567" s="501">
        <f t="shared" si="717"/>
        <v>233618.39068026791</v>
      </c>
      <c r="AN567" s="535">
        <f t="shared" si="717"/>
        <v>233618.39068026791</v>
      </c>
      <c r="AO567" s="535">
        <f t="shared" si="717"/>
        <v>233618.39068026791</v>
      </c>
      <c r="AP567" s="535">
        <f t="shared" si="717"/>
        <v>243277.73837920281</v>
      </c>
      <c r="AQ567" s="535">
        <f t="shared" si="717"/>
        <v>243277.73837920281</v>
      </c>
      <c r="AR567" s="535">
        <f t="shared" si="717"/>
        <v>243277.73837920281</v>
      </c>
      <c r="AS567" s="535">
        <f t="shared" si="717"/>
        <v>243277.73837920281</v>
      </c>
      <c r="AT567" s="535">
        <f t="shared" si="717"/>
        <v>243277.73837920281</v>
      </c>
      <c r="AU567" s="535">
        <f t="shared" si="717"/>
        <v>243277.73837920281</v>
      </c>
      <c r="AV567" s="535">
        <f t="shared" si="717"/>
        <v>243277.73837920281</v>
      </c>
      <c r="AW567" s="535">
        <f t="shared" si="717"/>
        <v>243277.73837920281</v>
      </c>
      <c r="AX567" s="535">
        <f t="shared" si="717"/>
        <v>243277.73837920281</v>
      </c>
      <c r="AY567" s="535">
        <f t="shared" si="717"/>
        <v>243277.73837920281</v>
      </c>
      <c r="AZ567" s="535">
        <f t="shared" si="717"/>
        <v>243277.73837920281</v>
      </c>
      <c r="BA567" s="535">
        <f t="shared" si="717"/>
        <v>243277.73837920281</v>
      </c>
      <c r="BB567" s="535">
        <f t="shared" si="717"/>
        <v>252641.13273498279</v>
      </c>
      <c r="BC567" s="535">
        <f t="shared" si="717"/>
        <v>252641.13273498279</v>
      </c>
      <c r="BD567" s="535">
        <f t="shared" si="717"/>
        <v>252641.13273498279</v>
      </c>
      <c r="BE567" s="535">
        <f t="shared" si="717"/>
        <v>252641.13273498279</v>
      </c>
      <c r="BF567" s="535">
        <f t="shared" si="717"/>
        <v>252641.13273498279</v>
      </c>
      <c r="BG567" s="535">
        <f t="shared" si="717"/>
        <v>252641.13273498279</v>
      </c>
      <c r="BH567" s="535">
        <f t="shared" si="717"/>
        <v>252641.13273498279</v>
      </c>
      <c r="BI567" s="535">
        <f t="shared" si="717"/>
        <v>252641.13273498279</v>
      </c>
      <c r="BJ567" s="535">
        <f t="shared" si="717"/>
        <v>252641.13273498279</v>
      </c>
      <c r="BK567" s="535">
        <f t="shared" si="717"/>
        <v>252641.13273498279</v>
      </c>
      <c r="BL567" s="535">
        <f t="shared" si="717"/>
        <v>252641.13273498279</v>
      </c>
      <c r="BM567" s="535">
        <f t="shared" si="717"/>
        <v>252641.13273498279</v>
      </c>
      <c r="BN567" s="535">
        <f t="shared" si="717"/>
        <v>262200.47443904815</v>
      </c>
      <c r="BO567" s="535">
        <f t="shared" si="717"/>
        <v>262200.47443904815</v>
      </c>
      <c r="BP567" s="535">
        <f t="shared" si="717"/>
        <v>262200.47443904815</v>
      </c>
      <c r="BQ567" s="535">
        <f t="shared" si="717"/>
        <v>262200.47443904815</v>
      </c>
      <c r="BR567" s="535">
        <f t="shared" si="717"/>
        <v>262200.47443904815</v>
      </c>
      <c r="BS567" s="535">
        <f t="shared" si="717"/>
        <v>262200.47443904815</v>
      </c>
      <c r="BT567" s="535">
        <f t="shared" si="717"/>
        <v>262200.47443904815</v>
      </c>
      <c r="BU567" s="535">
        <f t="shared" si="717"/>
        <v>262200.47443904815</v>
      </c>
      <c r="BV567" s="535">
        <f t="shared" si="717"/>
        <v>262200.47443904815</v>
      </c>
      <c r="BW567" s="535">
        <f t="shared" si="717"/>
        <v>262200.47443904815</v>
      </c>
      <c r="BX567" s="535">
        <f t="shared" si="717"/>
        <v>262200.47443904815</v>
      </c>
      <c r="BY567" s="535">
        <f t="shared" si="717"/>
        <v>262200.47443904815</v>
      </c>
    </row>
    <row r="568" spans="1:77" x14ac:dyDescent="0.3">
      <c r="A568" s="322"/>
      <c r="B568" s="322"/>
      <c r="C568" s="322"/>
      <c r="D568" s="322"/>
      <c r="P568" s="147"/>
      <c r="AN568" s="537"/>
      <c r="AO568" s="537"/>
      <c r="AP568" s="537"/>
      <c r="AQ568" s="537"/>
      <c r="AR568" s="537"/>
      <c r="AS568" s="537"/>
      <c r="AT568" s="537"/>
      <c r="AU568" s="537"/>
      <c r="AV568" s="537"/>
      <c r="AW568" s="537"/>
      <c r="AX568" s="537"/>
      <c r="AY568" s="537"/>
      <c r="AZ568" s="537"/>
      <c r="BA568" s="537"/>
      <c r="BB568" s="537"/>
      <c r="BC568" s="537"/>
      <c r="BD568" s="537"/>
      <c r="BE568" s="537"/>
      <c r="BF568" s="537"/>
      <c r="BG568" s="537"/>
      <c r="BH568" s="537"/>
      <c r="BI568" s="537"/>
      <c r="BJ568" s="537"/>
      <c r="BK568" s="537"/>
      <c r="BL568" s="537"/>
      <c r="BM568" s="537"/>
      <c r="BN568" s="537"/>
      <c r="BO568" s="537"/>
      <c r="BP568" s="537"/>
      <c r="BQ568" s="537"/>
      <c r="BR568" s="537"/>
      <c r="BS568" s="537"/>
      <c r="BT568" s="537"/>
      <c r="BU568" s="537"/>
      <c r="BV568" s="537"/>
      <c r="BW568" s="537"/>
      <c r="BX568" s="537"/>
      <c r="BY568" s="537"/>
    </row>
    <row r="569" spans="1:77" x14ac:dyDescent="0.3">
      <c r="B569" s="40"/>
      <c r="C569" s="40"/>
      <c r="D569" s="40"/>
      <c r="H569" s="37"/>
      <c r="I569" s="83"/>
      <c r="J569" s="83"/>
      <c r="K569" s="83"/>
      <c r="L569" s="83"/>
      <c r="M569" s="83"/>
      <c r="N569" s="83"/>
      <c r="O569" s="23"/>
      <c r="P569" s="50"/>
      <c r="AN569" s="537"/>
      <c r="AO569" s="537"/>
      <c r="AP569" s="537"/>
      <c r="AQ569" s="537"/>
      <c r="AR569" s="537"/>
      <c r="AS569" s="537"/>
      <c r="AT569" s="537"/>
      <c r="AU569" s="537"/>
      <c r="AV569" s="537"/>
      <c r="AW569" s="537"/>
      <c r="AX569" s="537"/>
      <c r="AY569" s="537"/>
      <c r="AZ569" s="537"/>
      <c r="BA569" s="537"/>
      <c r="BB569" s="537"/>
      <c r="BC569" s="537"/>
      <c r="BD569" s="537"/>
      <c r="BE569" s="537"/>
      <c r="BF569" s="537"/>
      <c r="BG569" s="537"/>
      <c r="BH569" s="537"/>
      <c r="BI569" s="537"/>
      <c r="BJ569" s="537"/>
      <c r="BK569" s="537"/>
      <c r="BL569" s="537"/>
      <c r="BM569" s="537"/>
      <c r="BN569" s="537"/>
      <c r="BO569" s="537"/>
      <c r="BP569" s="537"/>
      <c r="BQ569" s="537"/>
      <c r="BR569" s="537"/>
      <c r="BS569" s="537"/>
      <c r="BT569" s="537"/>
      <c r="BU569" s="537"/>
      <c r="BV569" s="537"/>
      <c r="BW569" s="537"/>
      <c r="BX569" s="537"/>
      <c r="BY569" s="537"/>
    </row>
    <row r="570" spans="1:77" x14ac:dyDescent="0.3">
      <c r="B570" s="40"/>
      <c r="C570" s="40"/>
      <c r="D570" s="40"/>
      <c r="E570" s="14" t="s">
        <v>119</v>
      </c>
      <c r="F570" s="14"/>
      <c r="G570" s="14"/>
      <c r="H570" s="37"/>
      <c r="I570" s="14"/>
      <c r="J570" s="14"/>
      <c r="K570" s="14"/>
      <c r="L570" s="14"/>
      <c r="M570" s="14"/>
      <c r="N570" s="14"/>
      <c r="O570" s="14"/>
      <c r="P570" s="148"/>
      <c r="Q570" s="24"/>
      <c r="R570" s="14"/>
      <c r="S570" s="14"/>
      <c r="T570" s="14"/>
      <c r="U570" s="14"/>
      <c r="V570" s="14"/>
      <c r="W570" s="14"/>
      <c r="X570" s="14"/>
      <c r="Y570" s="14"/>
      <c r="Z570" s="14"/>
      <c r="AA570" s="14"/>
      <c r="AB570" s="14"/>
      <c r="AC570" s="14"/>
      <c r="AD570" s="14"/>
      <c r="AE570" s="14"/>
      <c r="AF570" s="14"/>
      <c r="AG570" s="14"/>
      <c r="AH570" s="14"/>
      <c r="AI570" s="14"/>
      <c r="AJ570" s="14"/>
      <c r="AK570" s="14"/>
      <c r="AL570" s="14"/>
      <c r="AM570" s="14"/>
      <c r="AN570" s="538"/>
      <c r="AO570" s="538"/>
      <c r="AP570" s="538"/>
      <c r="AQ570" s="538"/>
      <c r="AR570" s="538"/>
      <c r="AS570" s="538"/>
      <c r="AT570" s="538"/>
      <c r="AU570" s="538"/>
      <c r="AV570" s="538"/>
      <c r="AW570" s="538"/>
      <c r="AX570" s="538"/>
      <c r="AY570" s="538"/>
      <c r="AZ570" s="538"/>
      <c r="BA570" s="538"/>
      <c r="BB570" s="538"/>
      <c r="BC570" s="538"/>
      <c r="BD570" s="538"/>
      <c r="BE570" s="538"/>
      <c r="BF570" s="538"/>
      <c r="BG570" s="538"/>
      <c r="BH570" s="538"/>
      <c r="BI570" s="538"/>
      <c r="BJ570" s="538"/>
      <c r="BK570" s="538"/>
      <c r="BL570" s="538"/>
      <c r="BM570" s="538"/>
      <c r="BN570" s="538"/>
      <c r="BO570" s="538"/>
      <c r="BP570" s="538"/>
      <c r="BQ570" s="538"/>
      <c r="BR570" s="538"/>
      <c r="BS570" s="538"/>
      <c r="BT570" s="538"/>
      <c r="BU570" s="538"/>
      <c r="BV570" s="538"/>
      <c r="BW570" s="538"/>
      <c r="BX570" s="538"/>
      <c r="BY570" s="538"/>
    </row>
    <row r="571" spans="1:77" x14ac:dyDescent="0.3">
      <c r="A571" s="3"/>
      <c r="B571" s="40"/>
      <c r="C571" s="40"/>
      <c r="D571" s="40"/>
      <c r="E571" s="3" t="s">
        <v>57</v>
      </c>
      <c r="H571" s="37"/>
      <c r="I571" s="183">
        <f>INDEX(Portfolio_Categorisation!$E$12:$E$15,MATCH($B$2,Portfolio_Categorisation!$C$12:$C$15,0))</f>
        <v>39</v>
      </c>
      <c r="J571" s="183">
        <f>INDEX(Portfolio_Categorisation!$E$12:$E$15,MATCH($B$2,Portfolio_Categorisation!$C$12:$C$15,0))</f>
        <v>39</v>
      </c>
      <c r="K571" s="183">
        <f>INDEX(Portfolio_Categorisation!$E$12:$E$15,MATCH($B$2,Portfolio_Categorisation!$C$12:$C$15,0))</f>
        <v>39</v>
      </c>
      <c r="L571" s="183">
        <f>INDEX(Portfolio_Categorisation!$E$12:$E$15,MATCH($B$2,Portfolio_Categorisation!$C$12:$C$15,0))</f>
        <v>39</v>
      </c>
      <c r="M571" s="183">
        <f>INDEX(Portfolio_Categorisation!$E$12:$E$15,MATCH($B$2,Portfolio_Categorisation!$C$12:$C$15,0))</f>
        <v>39</v>
      </c>
      <c r="N571" s="183">
        <f>INDEX(Portfolio_Categorisation!$E$12:$E$15,MATCH($B$2,Portfolio_Categorisation!$C$12:$C$15,0))</f>
        <v>39</v>
      </c>
      <c r="O571" s="8"/>
      <c r="P571" s="55">
        <f>IFERROR(((N571/I571)^(1/5))-1,0)</f>
        <v>0</v>
      </c>
      <c r="R571" s="183">
        <f>INDEX(Portfolio_Categorisation!$E$12:$E$15,MATCH($B$2,Portfolio_Categorisation!$C$12:$C$15,0))</f>
        <v>39</v>
      </c>
      <c r="S571" s="183">
        <f>INDEX(Portfolio_Categorisation!$E$12:$E$15,MATCH($B$2,Portfolio_Categorisation!$C$12:$C$15,0))</f>
        <v>39</v>
      </c>
      <c r="T571" s="183">
        <f>INDEX(Portfolio_Categorisation!$E$12:$E$15,MATCH($B$2,Portfolio_Categorisation!$C$12:$C$15,0))</f>
        <v>39</v>
      </c>
      <c r="U571" s="183">
        <f>INDEX(Portfolio_Categorisation!$E$12:$E$15,MATCH($B$2,Portfolio_Categorisation!$C$12:$C$15,0))</f>
        <v>39</v>
      </c>
      <c r="V571" s="183">
        <f>INDEX(Portfolio_Categorisation!$E$12:$E$15,MATCH($B$2,Portfolio_Categorisation!$C$12:$C$15,0))</f>
        <v>39</v>
      </c>
      <c r="W571" s="183">
        <f>INDEX(Portfolio_Categorisation!$E$12:$E$15,MATCH($B$2,Portfolio_Categorisation!$C$12:$C$15,0))</f>
        <v>39</v>
      </c>
      <c r="X571" s="183">
        <f>INDEX(Portfolio_Categorisation!$E$12:$E$15,MATCH($B$2,Portfolio_Categorisation!$C$12:$C$15,0))</f>
        <v>39</v>
      </c>
      <c r="Y571" s="183">
        <f>INDEX(Portfolio_Categorisation!$E$12:$E$15,MATCH($B$2,Portfolio_Categorisation!$C$12:$C$15,0))</f>
        <v>39</v>
      </c>
      <c r="Z571" s="183">
        <f>INDEX(Portfolio_Categorisation!$E$12:$E$15,MATCH($B$2,Portfolio_Categorisation!$C$12:$C$15,0))</f>
        <v>39</v>
      </c>
      <c r="AA571" s="183">
        <f>INDEX(Portfolio_Categorisation!$E$12:$E$15,MATCH($B$2,Portfolio_Categorisation!$C$12:$C$15,0))</f>
        <v>39</v>
      </c>
      <c r="AB571" s="183">
        <f>INDEX(Portfolio_Categorisation!$E$12:$E$15,MATCH($B$2,Portfolio_Categorisation!$C$12:$C$15,0))</f>
        <v>39</v>
      </c>
      <c r="AC571" s="183">
        <f>INDEX(Portfolio_Categorisation!$E$12:$E$15,MATCH($B$2,Portfolio_Categorisation!$C$12:$C$15,0))</f>
        <v>39</v>
      </c>
      <c r="AD571" s="183">
        <f>INDEX(Portfolio_Categorisation!$E$12:$E$15,MATCH($B$2,Portfolio_Categorisation!$C$12:$C$15,0))</f>
        <v>39</v>
      </c>
      <c r="AE571" s="183">
        <f>INDEX(Portfolio_Categorisation!$E$12:$E$15,MATCH($B$2,Portfolio_Categorisation!$C$12:$C$15,0))</f>
        <v>39</v>
      </c>
      <c r="AF571" s="183">
        <f>INDEX(Portfolio_Categorisation!$E$12:$E$15,MATCH($B$2,Portfolio_Categorisation!$C$12:$C$15,0))</f>
        <v>39</v>
      </c>
      <c r="AG571" s="183">
        <f>INDEX(Portfolio_Categorisation!$E$12:$E$15,MATCH($B$2,Portfolio_Categorisation!$C$12:$C$15,0))</f>
        <v>39</v>
      </c>
      <c r="AH571" s="183">
        <f>INDEX(Portfolio_Categorisation!$E$12:$E$15,MATCH($B$2,Portfolio_Categorisation!$C$12:$C$15,0))</f>
        <v>39</v>
      </c>
      <c r="AI571" s="183">
        <f>INDEX(Portfolio_Categorisation!$E$12:$E$15,MATCH($B$2,Portfolio_Categorisation!$C$12:$C$15,0))</f>
        <v>39</v>
      </c>
      <c r="AJ571" s="183">
        <f>INDEX(Portfolio_Categorisation!$E$12:$E$15,MATCH($B$2,Portfolio_Categorisation!$C$12:$C$15,0))</f>
        <v>39</v>
      </c>
      <c r="AK571" s="183">
        <f>INDEX(Portfolio_Categorisation!$E$12:$E$15,MATCH($B$2,Portfolio_Categorisation!$C$12:$C$15,0))</f>
        <v>39</v>
      </c>
      <c r="AL571" s="183">
        <f>INDEX(Portfolio_Categorisation!$E$12:$E$15,MATCH($B$2,Portfolio_Categorisation!$C$12:$C$15,0))</f>
        <v>39</v>
      </c>
      <c r="AM571" s="183">
        <f>INDEX(Portfolio_Categorisation!$E$12:$E$15,MATCH($B$2,Portfolio_Categorisation!$C$12:$C$15,0))</f>
        <v>39</v>
      </c>
      <c r="AN571" s="545">
        <f>INDEX(Portfolio_Categorisation!$E$12:$E$15,MATCH($B$2,Portfolio_Categorisation!$C$12:$C$15,0))</f>
        <v>39</v>
      </c>
      <c r="AO571" s="545">
        <f>INDEX(Portfolio_Categorisation!$E$12:$E$15,MATCH($B$2,Portfolio_Categorisation!$C$12:$C$15,0))</f>
        <v>39</v>
      </c>
      <c r="AP571" s="545">
        <f>INDEX(Portfolio_Categorisation!$E$12:$E$15,MATCH($B$2,Portfolio_Categorisation!$C$12:$C$15,0))</f>
        <v>39</v>
      </c>
      <c r="AQ571" s="545">
        <f>INDEX(Portfolio_Categorisation!$E$12:$E$15,MATCH($B$2,Portfolio_Categorisation!$C$12:$C$15,0))</f>
        <v>39</v>
      </c>
      <c r="AR571" s="545">
        <f>INDEX(Portfolio_Categorisation!$E$12:$E$15,MATCH($B$2,Portfolio_Categorisation!$C$12:$C$15,0))</f>
        <v>39</v>
      </c>
      <c r="AS571" s="545">
        <f>INDEX(Portfolio_Categorisation!$E$12:$E$15,MATCH($B$2,Portfolio_Categorisation!$C$12:$C$15,0))</f>
        <v>39</v>
      </c>
      <c r="AT571" s="545">
        <f>INDEX(Portfolio_Categorisation!$E$12:$E$15,MATCH($B$2,Portfolio_Categorisation!$C$12:$C$15,0))</f>
        <v>39</v>
      </c>
      <c r="AU571" s="545">
        <f>INDEX(Portfolio_Categorisation!$E$12:$E$15,MATCH($B$2,Portfolio_Categorisation!$C$12:$C$15,0))</f>
        <v>39</v>
      </c>
      <c r="AV571" s="545">
        <f>INDEX(Portfolio_Categorisation!$E$12:$E$15,MATCH($B$2,Portfolio_Categorisation!$C$12:$C$15,0))</f>
        <v>39</v>
      </c>
      <c r="AW571" s="545">
        <f>INDEX(Portfolio_Categorisation!$E$12:$E$15,MATCH($B$2,Portfolio_Categorisation!$C$12:$C$15,0))</f>
        <v>39</v>
      </c>
      <c r="AX571" s="545">
        <f>INDEX(Portfolio_Categorisation!$E$12:$E$15,MATCH($B$2,Portfolio_Categorisation!$C$12:$C$15,0))</f>
        <v>39</v>
      </c>
      <c r="AY571" s="545">
        <f>INDEX(Portfolio_Categorisation!$E$12:$E$15,MATCH($B$2,Portfolio_Categorisation!$C$12:$C$15,0))</f>
        <v>39</v>
      </c>
      <c r="AZ571" s="545">
        <f>INDEX(Portfolio_Categorisation!$E$12:$E$15,MATCH($B$2,Portfolio_Categorisation!$C$12:$C$15,0))</f>
        <v>39</v>
      </c>
      <c r="BA571" s="545">
        <f>INDEX(Portfolio_Categorisation!$E$12:$E$15,MATCH($B$2,Portfolio_Categorisation!$C$12:$C$15,0))</f>
        <v>39</v>
      </c>
      <c r="BB571" s="545">
        <f>INDEX(Portfolio_Categorisation!$E$12:$E$15,MATCH($B$2,Portfolio_Categorisation!$C$12:$C$15,0))</f>
        <v>39</v>
      </c>
      <c r="BC571" s="545">
        <f>INDEX(Portfolio_Categorisation!$E$12:$E$15,MATCH($B$2,Portfolio_Categorisation!$C$12:$C$15,0))</f>
        <v>39</v>
      </c>
      <c r="BD571" s="545">
        <f>INDEX(Portfolio_Categorisation!$E$12:$E$15,MATCH($B$2,Portfolio_Categorisation!$C$12:$C$15,0))</f>
        <v>39</v>
      </c>
      <c r="BE571" s="545">
        <f>INDEX(Portfolio_Categorisation!$E$12:$E$15,MATCH($B$2,Portfolio_Categorisation!$C$12:$C$15,0))</f>
        <v>39</v>
      </c>
      <c r="BF571" s="545">
        <f>INDEX(Portfolio_Categorisation!$E$12:$E$15,MATCH($B$2,Portfolio_Categorisation!$C$12:$C$15,0))</f>
        <v>39</v>
      </c>
      <c r="BG571" s="545">
        <f>INDEX(Portfolio_Categorisation!$E$12:$E$15,MATCH($B$2,Portfolio_Categorisation!$C$12:$C$15,0))</f>
        <v>39</v>
      </c>
      <c r="BH571" s="545">
        <f>INDEX(Portfolio_Categorisation!$E$12:$E$15,MATCH($B$2,Portfolio_Categorisation!$C$12:$C$15,0))</f>
        <v>39</v>
      </c>
      <c r="BI571" s="545">
        <f>INDEX(Portfolio_Categorisation!$E$12:$E$15,MATCH($B$2,Portfolio_Categorisation!$C$12:$C$15,0))</f>
        <v>39</v>
      </c>
      <c r="BJ571" s="545">
        <f>INDEX(Portfolio_Categorisation!$E$12:$E$15,MATCH($B$2,Portfolio_Categorisation!$C$12:$C$15,0))</f>
        <v>39</v>
      </c>
      <c r="BK571" s="545">
        <f>INDEX(Portfolio_Categorisation!$E$12:$E$15,MATCH($B$2,Portfolio_Categorisation!$C$12:$C$15,0))</f>
        <v>39</v>
      </c>
      <c r="BL571" s="545">
        <f>INDEX(Portfolio_Categorisation!$E$12:$E$15,MATCH($B$2,Portfolio_Categorisation!$C$12:$C$15,0))</f>
        <v>39</v>
      </c>
      <c r="BM571" s="545">
        <f>INDEX(Portfolio_Categorisation!$E$12:$E$15,MATCH($B$2,Portfolio_Categorisation!$C$12:$C$15,0))</f>
        <v>39</v>
      </c>
      <c r="BN571" s="545">
        <f>INDEX(Portfolio_Categorisation!$E$12:$E$15,MATCH($B$2,Portfolio_Categorisation!$C$12:$C$15,0))</f>
        <v>39</v>
      </c>
      <c r="BO571" s="545">
        <f>INDEX(Portfolio_Categorisation!$E$12:$E$15,MATCH($B$2,Portfolio_Categorisation!$C$12:$C$15,0))</f>
        <v>39</v>
      </c>
      <c r="BP571" s="545">
        <f>INDEX(Portfolio_Categorisation!$E$12:$E$15,MATCH($B$2,Portfolio_Categorisation!$C$12:$C$15,0))</f>
        <v>39</v>
      </c>
      <c r="BQ571" s="545">
        <f>INDEX(Portfolio_Categorisation!$E$12:$E$15,MATCH($B$2,Portfolio_Categorisation!$C$12:$C$15,0))</f>
        <v>39</v>
      </c>
      <c r="BR571" s="545">
        <f>INDEX(Portfolio_Categorisation!$E$12:$E$15,MATCH($B$2,Portfolio_Categorisation!$C$12:$C$15,0))</f>
        <v>39</v>
      </c>
      <c r="BS571" s="545">
        <f>INDEX(Portfolio_Categorisation!$E$12:$E$15,MATCH($B$2,Portfolio_Categorisation!$C$12:$C$15,0))</f>
        <v>39</v>
      </c>
      <c r="BT571" s="545">
        <f>INDEX(Portfolio_Categorisation!$E$12:$E$15,MATCH($B$2,Portfolio_Categorisation!$C$12:$C$15,0))</f>
        <v>39</v>
      </c>
      <c r="BU571" s="545">
        <f>INDEX(Portfolio_Categorisation!$E$12:$E$15,MATCH($B$2,Portfolio_Categorisation!$C$12:$C$15,0))</f>
        <v>39</v>
      </c>
      <c r="BV571" s="545">
        <f>INDEX(Portfolio_Categorisation!$E$12:$E$15,MATCH($B$2,Portfolio_Categorisation!$C$12:$C$15,0))</f>
        <v>39</v>
      </c>
      <c r="BW571" s="545">
        <f>INDEX(Portfolio_Categorisation!$E$12:$E$15,MATCH($B$2,Portfolio_Categorisation!$C$12:$C$15,0))</f>
        <v>39</v>
      </c>
      <c r="BX571" s="545">
        <f>INDEX(Portfolio_Categorisation!$E$12:$E$15,MATCH($B$2,Portfolio_Categorisation!$C$12:$C$15,0))</f>
        <v>39</v>
      </c>
      <c r="BY571" s="545">
        <f>INDEX(Portfolio_Categorisation!$E$12:$E$15,MATCH($B$2,Portfolio_Categorisation!$C$12:$C$15,0))</f>
        <v>39</v>
      </c>
    </row>
    <row r="572" spans="1:77" x14ac:dyDescent="0.3">
      <c r="A572" s="3"/>
      <c r="B572" s="40"/>
      <c r="C572" s="40"/>
      <c r="D572" s="40"/>
      <c r="H572" s="37"/>
      <c r="O572" s="37"/>
      <c r="P572" s="144"/>
      <c r="AN572" s="537"/>
      <c r="AO572" s="537"/>
      <c r="AP572" s="537"/>
      <c r="AQ572" s="537"/>
      <c r="AR572" s="537"/>
      <c r="AS572" s="537"/>
      <c r="AT572" s="537"/>
      <c r="AU572" s="537"/>
      <c r="AV572" s="537"/>
      <c r="AW572" s="537"/>
      <c r="AX572" s="537"/>
      <c r="AY572" s="537"/>
      <c r="AZ572" s="537"/>
      <c r="BA572" s="537"/>
      <c r="BB572" s="537"/>
      <c r="BC572" s="537"/>
      <c r="BD572" s="537"/>
      <c r="BE572" s="537"/>
      <c r="BF572" s="537"/>
      <c r="BG572" s="537"/>
      <c r="BH572" s="537"/>
      <c r="BI572" s="537"/>
      <c r="BJ572" s="537"/>
      <c r="BK572" s="537"/>
      <c r="BL572" s="537"/>
      <c r="BM572" s="537"/>
      <c r="BN572" s="537"/>
      <c r="BO572" s="537"/>
      <c r="BP572" s="537"/>
      <c r="BQ572" s="537"/>
      <c r="BR572" s="537"/>
      <c r="BS572" s="537"/>
      <c r="BT572" s="537"/>
      <c r="BU572" s="537"/>
      <c r="BV572" s="537"/>
      <c r="BW572" s="537"/>
      <c r="BX572" s="537"/>
      <c r="BY572" s="537"/>
    </row>
    <row r="573" spans="1:77" x14ac:dyDescent="0.3">
      <c r="B573" s="40"/>
      <c r="C573" s="40"/>
      <c r="D573" s="40"/>
      <c r="E573" s="2" t="s">
        <v>373</v>
      </c>
      <c r="F573" s="54"/>
      <c r="G573" s="54"/>
      <c r="H573" s="37"/>
      <c r="I573" s="497">
        <f t="shared" ref="I573:N573" si="718">I507/I$571</f>
        <v>179.16210842355201</v>
      </c>
      <c r="J573" s="497">
        <f t="shared" si="718"/>
        <v>179.16210842355201</v>
      </c>
      <c r="K573" s="497">
        <f t="shared" si="718"/>
        <v>179.16210842355201</v>
      </c>
      <c r="L573" s="497">
        <f t="shared" si="718"/>
        <v>179.16210842355201</v>
      </c>
      <c r="M573" s="497">
        <f t="shared" si="718"/>
        <v>179.16210842355201</v>
      </c>
      <c r="N573" s="497">
        <f t="shared" si="718"/>
        <v>179.16210842355201</v>
      </c>
      <c r="O573" s="37"/>
      <c r="P573" s="55">
        <f>IFERROR(((N573/I573)^(1/5))-1,0)</f>
        <v>0</v>
      </c>
      <c r="R573" s="497">
        <f t="shared" ref="R573:AW573" si="719">R509/R$571</f>
        <v>20.093192650090518</v>
      </c>
      <c r="S573" s="497">
        <f t="shared" si="719"/>
        <v>20.093192650090518</v>
      </c>
      <c r="T573" s="497">
        <f t="shared" si="719"/>
        <v>20.093192650090518</v>
      </c>
      <c r="U573" s="497">
        <f t="shared" si="719"/>
        <v>20.093192650090518</v>
      </c>
      <c r="V573" s="497">
        <f t="shared" si="719"/>
        <v>20.093192650090518</v>
      </c>
      <c r="W573" s="497">
        <f t="shared" si="719"/>
        <v>20.093192650090518</v>
      </c>
      <c r="X573" s="497">
        <f t="shared" si="719"/>
        <v>20.093192650090518</v>
      </c>
      <c r="Y573" s="497">
        <f t="shared" si="719"/>
        <v>20.093192650090518</v>
      </c>
      <c r="Z573" s="497">
        <f t="shared" si="719"/>
        <v>20.093192650090518</v>
      </c>
      <c r="AA573" s="497">
        <f t="shared" si="719"/>
        <v>20.093192650090518</v>
      </c>
      <c r="AB573" s="497">
        <f t="shared" si="719"/>
        <v>20.093192650090518</v>
      </c>
      <c r="AC573" s="497">
        <f t="shared" si="719"/>
        <v>20.093192650090518</v>
      </c>
      <c r="AD573" s="497">
        <f t="shared" si="719"/>
        <v>20.822303601149713</v>
      </c>
      <c r="AE573" s="497">
        <f t="shared" si="719"/>
        <v>20.822303601149713</v>
      </c>
      <c r="AF573" s="497">
        <f t="shared" si="719"/>
        <v>20.822303601149713</v>
      </c>
      <c r="AG573" s="497">
        <f t="shared" si="719"/>
        <v>20.822303601149713</v>
      </c>
      <c r="AH573" s="497">
        <f t="shared" si="719"/>
        <v>20.822303601149713</v>
      </c>
      <c r="AI573" s="497">
        <f t="shared" si="719"/>
        <v>20.822303601149713</v>
      </c>
      <c r="AJ573" s="497">
        <f t="shared" si="719"/>
        <v>20.822303601149713</v>
      </c>
      <c r="AK573" s="497">
        <f t="shared" si="719"/>
        <v>20.822303601149713</v>
      </c>
      <c r="AL573" s="497">
        <f t="shared" si="719"/>
        <v>20.822303601149713</v>
      </c>
      <c r="AM573" s="497">
        <f t="shared" si="719"/>
        <v>20.822303601149713</v>
      </c>
      <c r="AN573" s="527">
        <f t="shared" si="719"/>
        <v>20.822303601149713</v>
      </c>
      <c r="AO573" s="527">
        <f t="shared" si="719"/>
        <v>20.822303601149713</v>
      </c>
      <c r="AP573" s="527">
        <f t="shared" si="719"/>
        <v>21.552518628132916</v>
      </c>
      <c r="AQ573" s="527">
        <f t="shared" si="719"/>
        <v>21.552518628132916</v>
      </c>
      <c r="AR573" s="527">
        <f t="shared" si="719"/>
        <v>21.552518628132916</v>
      </c>
      <c r="AS573" s="527">
        <f t="shared" si="719"/>
        <v>21.552518628132916</v>
      </c>
      <c r="AT573" s="527">
        <f t="shared" si="719"/>
        <v>21.552518628132916</v>
      </c>
      <c r="AU573" s="527">
        <f t="shared" si="719"/>
        <v>21.552518628132916</v>
      </c>
      <c r="AV573" s="527">
        <f t="shared" si="719"/>
        <v>21.552518628132916</v>
      </c>
      <c r="AW573" s="527">
        <f t="shared" si="719"/>
        <v>21.552518628132916</v>
      </c>
      <c r="AX573" s="527">
        <f t="shared" ref="AX573:BY573" si="720">AX509/AX$571</f>
        <v>21.552518628132916</v>
      </c>
      <c r="AY573" s="527">
        <f t="shared" si="720"/>
        <v>21.552518628132916</v>
      </c>
      <c r="AZ573" s="527">
        <f t="shared" si="720"/>
        <v>21.552518628132916</v>
      </c>
      <c r="BA573" s="527">
        <f t="shared" si="720"/>
        <v>21.552518628132916</v>
      </c>
      <c r="BB573" s="527">
        <f t="shared" si="720"/>
        <v>22.279050155472365</v>
      </c>
      <c r="BC573" s="527">
        <f t="shared" si="720"/>
        <v>22.279050155472365</v>
      </c>
      <c r="BD573" s="527">
        <f t="shared" si="720"/>
        <v>22.279050155472365</v>
      </c>
      <c r="BE573" s="527">
        <f t="shared" si="720"/>
        <v>22.279050155472365</v>
      </c>
      <c r="BF573" s="527">
        <f t="shared" si="720"/>
        <v>22.279050155472365</v>
      </c>
      <c r="BG573" s="527">
        <f t="shared" si="720"/>
        <v>22.279050155472365</v>
      </c>
      <c r="BH573" s="527">
        <f t="shared" si="720"/>
        <v>22.279050155472365</v>
      </c>
      <c r="BI573" s="527">
        <f t="shared" si="720"/>
        <v>22.279050155472365</v>
      </c>
      <c r="BJ573" s="527">
        <f t="shared" si="720"/>
        <v>22.279050155472365</v>
      </c>
      <c r="BK573" s="527">
        <f t="shared" si="720"/>
        <v>22.279050155472365</v>
      </c>
      <c r="BL573" s="527">
        <f t="shared" si="720"/>
        <v>22.279050155472365</v>
      </c>
      <c r="BM573" s="527">
        <f t="shared" si="720"/>
        <v>22.279050155472365</v>
      </c>
      <c r="BN573" s="527">
        <f t="shared" si="720"/>
        <v>23.030567906047967</v>
      </c>
      <c r="BO573" s="527">
        <f t="shared" si="720"/>
        <v>23.030567906047967</v>
      </c>
      <c r="BP573" s="527">
        <f t="shared" si="720"/>
        <v>23.030567906047967</v>
      </c>
      <c r="BQ573" s="527">
        <f t="shared" si="720"/>
        <v>23.030567906047967</v>
      </c>
      <c r="BR573" s="527">
        <f t="shared" si="720"/>
        <v>23.030567906047967</v>
      </c>
      <c r="BS573" s="527">
        <f t="shared" si="720"/>
        <v>23.030567906047967</v>
      </c>
      <c r="BT573" s="527">
        <f t="shared" si="720"/>
        <v>23.030567906047967</v>
      </c>
      <c r="BU573" s="527">
        <f t="shared" si="720"/>
        <v>23.030567906047967</v>
      </c>
      <c r="BV573" s="527">
        <f t="shared" si="720"/>
        <v>23.030567906047967</v>
      </c>
      <c r="BW573" s="527">
        <f t="shared" si="720"/>
        <v>23.030567906047967</v>
      </c>
      <c r="BX573" s="527">
        <f t="shared" si="720"/>
        <v>23.030567906047967</v>
      </c>
      <c r="BY573" s="527">
        <f t="shared" si="720"/>
        <v>23.030567906047967</v>
      </c>
    </row>
    <row r="574" spans="1:77" x14ac:dyDescent="0.3">
      <c r="B574" s="40"/>
      <c r="C574" s="40"/>
      <c r="D574" s="40"/>
      <c r="E574" s="2"/>
      <c r="F574" s="37"/>
      <c r="G574" s="37"/>
      <c r="I574" s="37"/>
      <c r="J574" s="84"/>
      <c r="K574" s="37"/>
      <c r="L574" s="37"/>
      <c r="M574" s="37"/>
      <c r="N574" s="37"/>
      <c r="O574" s="37"/>
      <c r="P574" s="144"/>
      <c r="R574" s="37"/>
      <c r="S574" s="37"/>
      <c r="T574" s="37"/>
      <c r="U574" s="37"/>
      <c r="V574" s="37"/>
      <c r="W574" s="37"/>
      <c r="X574" s="37"/>
      <c r="Y574" s="37"/>
      <c r="Z574" s="37"/>
      <c r="AA574" s="37"/>
      <c r="AB574" s="37"/>
      <c r="AC574" s="37"/>
      <c r="AD574" s="37"/>
      <c r="AE574" s="37"/>
      <c r="AF574" s="37"/>
      <c r="AG574" s="37"/>
      <c r="AH574" s="37"/>
      <c r="AI574" s="37"/>
      <c r="AJ574" s="37"/>
      <c r="AK574" s="37"/>
      <c r="AL574" s="37"/>
      <c r="AM574" s="37"/>
      <c r="AN574" s="529"/>
      <c r="AO574" s="529"/>
      <c r="AP574" s="529"/>
      <c r="AQ574" s="529"/>
      <c r="AR574" s="529"/>
      <c r="AS574" s="529"/>
      <c r="AT574" s="529"/>
      <c r="AU574" s="529"/>
      <c r="AV574" s="529"/>
      <c r="AW574" s="529"/>
      <c r="AX574" s="529"/>
      <c r="AY574" s="529"/>
      <c r="AZ574" s="529"/>
      <c r="BA574" s="529"/>
      <c r="BB574" s="529"/>
      <c r="BC574" s="529"/>
      <c r="BD574" s="529"/>
      <c r="BE574" s="529"/>
      <c r="BF574" s="529"/>
      <c r="BG574" s="529"/>
      <c r="BH574" s="529"/>
      <c r="BI574" s="529"/>
      <c r="BJ574" s="529"/>
      <c r="BK574" s="529"/>
      <c r="BL574" s="529"/>
      <c r="BM574" s="529"/>
      <c r="BN574" s="529"/>
      <c r="BO574" s="529"/>
      <c r="BP574" s="529"/>
      <c r="BQ574" s="529"/>
      <c r="BR574" s="529"/>
      <c r="BS574" s="529"/>
      <c r="BT574" s="529"/>
      <c r="BU574" s="529"/>
      <c r="BV574" s="529"/>
      <c r="BW574" s="529"/>
      <c r="BX574" s="529"/>
      <c r="BY574" s="529"/>
    </row>
    <row r="575" spans="1:77" x14ac:dyDescent="0.3">
      <c r="B575" s="40"/>
      <c r="C575" s="40"/>
      <c r="D575" s="40"/>
      <c r="E575" s="17" t="s">
        <v>22</v>
      </c>
      <c r="F575" s="37"/>
      <c r="G575" s="37"/>
      <c r="I575" s="37"/>
      <c r="J575" s="37"/>
      <c r="K575" s="37"/>
      <c r="L575" s="37"/>
      <c r="M575" s="37"/>
      <c r="N575" s="37"/>
      <c r="O575" s="37"/>
      <c r="P575" s="144"/>
      <c r="R575" s="37"/>
      <c r="S575" s="37"/>
      <c r="T575" s="37"/>
      <c r="U575" s="37"/>
      <c r="V575" s="37"/>
      <c r="W575" s="37"/>
      <c r="X575" s="37"/>
      <c r="Y575" s="37"/>
      <c r="Z575" s="37"/>
      <c r="AA575" s="37"/>
      <c r="AB575" s="37"/>
      <c r="AC575" s="37"/>
      <c r="AD575" s="37"/>
      <c r="AE575" s="37"/>
      <c r="AF575" s="37"/>
      <c r="AG575" s="37"/>
      <c r="AH575" s="37"/>
      <c r="AI575" s="37"/>
      <c r="AJ575" s="37"/>
      <c r="AK575" s="37"/>
      <c r="AL575" s="37"/>
      <c r="AM575" s="37"/>
      <c r="AN575" s="529"/>
      <c r="AO575" s="529"/>
      <c r="AP575" s="529"/>
      <c r="AQ575" s="529"/>
      <c r="AR575" s="529"/>
      <c r="AS575" s="529"/>
      <c r="AT575" s="529"/>
      <c r="AU575" s="529"/>
      <c r="AV575" s="529"/>
      <c r="AW575" s="529"/>
      <c r="AX575" s="529"/>
      <c r="AY575" s="529"/>
      <c r="AZ575" s="529"/>
      <c r="BA575" s="529"/>
      <c r="BB575" s="529"/>
      <c r="BC575" s="529"/>
      <c r="BD575" s="529"/>
      <c r="BE575" s="529"/>
      <c r="BF575" s="529"/>
      <c r="BG575" s="529"/>
      <c r="BH575" s="529"/>
      <c r="BI575" s="529"/>
      <c r="BJ575" s="529"/>
      <c r="BK575" s="529"/>
      <c r="BL575" s="529"/>
      <c r="BM575" s="529"/>
      <c r="BN575" s="529"/>
      <c r="BO575" s="529"/>
      <c r="BP575" s="529"/>
      <c r="BQ575" s="529"/>
      <c r="BR575" s="529"/>
      <c r="BS575" s="529"/>
      <c r="BT575" s="529"/>
      <c r="BU575" s="529"/>
      <c r="BV575" s="529"/>
      <c r="BW575" s="529"/>
      <c r="BX575" s="529"/>
      <c r="BY575" s="529"/>
    </row>
    <row r="576" spans="1:77" x14ac:dyDescent="0.3">
      <c r="B576" s="40"/>
      <c r="C576" s="40"/>
      <c r="D576" s="40"/>
      <c r="E576" s="4" t="s">
        <v>388</v>
      </c>
      <c r="F576" s="5"/>
      <c r="G576" s="5"/>
      <c r="I576" s="498">
        <f t="shared" ref="I576:N581" si="721">I512/I$571</f>
        <v>135351.14516411492</v>
      </c>
      <c r="J576" s="498">
        <f t="shared" si="721"/>
        <v>140397.6116458826</v>
      </c>
      <c r="K576" s="498">
        <f t="shared" si="721"/>
        <v>145492.14480127479</v>
      </c>
      <c r="L576" s="498">
        <f t="shared" si="721"/>
        <v>150594.39249091278</v>
      </c>
      <c r="M576" s="498">
        <f t="shared" si="721"/>
        <v>155670.90238161126</v>
      </c>
      <c r="N576" s="498">
        <f t="shared" si="721"/>
        <v>160921.99906533438</v>
      </c>
      <c r="O576" s="57"/>
      <c r="P576" s="55">
        <f>IFERROR(((N576/I576)^(1/5))-1,0)</f>
        <v>3.5215335384860991E-2</v>
      </c>
      <c r="R576" s="498">
        <f t="shared" ref="R576:AW576" si="722">R512/R$571</f>
        <v>11699.800970490218</v>
      </c>
      <c r="S576" s="498">
        <f t="shared" si="722"/>
        <v>11699.800970490218</v>
      </c>
      <c r="T576" s="498">
        <f t="shared" si="722"/>
        <v>11699.800970490218</v>
      </c>
      <c r="U576" s="498">
        <f t="shared" si="722"/>
        <v>11699.800970490218</v>
      </c>
      <c r="V576" s="498">
        <f t="shared" si="722"/>
        <v>11699.800970490218</v>
      </c>
      <c r="W576" s="498">
        <f t="shared" si="722"/>
        <v>11699.800970490218</v>
      </c>
      <c r="X576" s="498">
        <f t="shared" si="722"/>
        <v>11699.800970490218</v>
      </c>
      <c r="Y576" s="498">
        <f t="shared" si="722"/>
        <v>11699.800970490218</v>
      </c>
      <c r="Z576" s="498">
        <f t="shared" si="722"/>
        <v>11699.800970490218</v>
      </c>
      <c r="AA576" s="498">
        <f t="shared" si="722"/>
        <v>11699.800970490218</v>
      </c>
      <c r="AB576" s="498">
        <f t="shared" si="722"/>
        <v>11699.800970490218</v>
      </c>
      <c r="AC576" s="498">
        <f t="shared" si="722"/>
        <v>11699.800970490218</v>
      </c>
      <c r="AD576" s="498">
        <f t="shared" si="722"/>
        <v>12124.345400106233</v>
      </c>
      <c r="AE576" s="498">
        <f t="shared" si="722"/>
        <v>12124.345400106233</v>
      </c>
      <c r="AF576" s="498">
        <f t="shared" si="722"/>
        <v>12124.345400106233</v>
      </c>
      <c r="AG576" s="498">
        <f t="shared" si="722"/>
        <v>12124.345400106233</v>
      </c>
      <c r="AH576" s="498">
        <f t="shared" si="722"/>
        <v>12124.345400106233</v>
      </c>
      <c r="AI576" s="498">
        <f t="shared" si="722"/>
        <v>12124.345400106233</v>
      </c>
      <c r="AJ576" s="498">
        <f t="shared" si="722"/>
        <v>12124.345400106233</v>
      </c>
      <c r="AK576" s="498">
        <f t="shared" si="722"/>
        <v>12124.345400106233</v>
      </c>
      <c r="AL576" s="498">
        <f t="shared" si="722"/>
        <v>12124.345400106233</v>
      </c>
      <c r="AM576" s="498">
        <f t="shared" si="722"/>
        <v>12124.345400106233</v>
      </c>
      <c r="AN576" s="530">
        <f t="shared" si="722"/>
        <v>12124.345400106233</v>
      </c>
      <c r="AO576" s="530">
        <f t="shared" si="722"/>
        <v>12124.345400106233</v>
      </c>
      <c r="AP576" s="530">
        <f t="shared" si="722"/>
        <v>12549.532707576065</v>
      </c>
      <c r="AQ576" s="530">
        <f t="shared" si="722"/>
        <v>12549.532707576065</v>
      </c>
      <c r="AR576" s="530">
        <f t="shared" si="722"/>
        <v>12549.532707576065</v>
      </c>
      <c r="AS576" s="530">
        <f t="shared" si="722"/>
        <v>12549.532707576065</v>
      </c>
      <c r="AT576" s="530">
        <f t="shared" si="722"/>
        <v>12549.532707576065</v>
      </c>
      <c r="AU576" s="530">
        <f t="shared" si="722"/>
        <v>12549.532707576065</v>
      </c>
      <c r="AV576" s="530">
        <f t="shared" si="722"/>
        <v>12549.532707576065</v>
      </c>
      <c r="AW576" s="530">
        <f t="shared" si="722"/>
        <v>12549.532707576065</v>
      </c>
      <c r="AX576" s="530">
        <f t="shared" ref="AX576:BY576" si="723">AX512/AX$571</f>
        <v>12549.532707576065</v>
      </c>
      <c r="AY576" s="530">
        <f t="shared" si="723"/>
        <v>12549.532707576065</v>
      </c>
      <c r="AZ576" s="530">
        <f t="shared" si="723"/>
        <v>12549.532707576065</v>
      </c>
      <c r="BA576" s="530">
        <f t="shared" si="723"/>
        <v>12549.532707576065</v>
      </c>
      <c r="BB576" s="530">
        <f t="shared" si="723"/>
        <v>12972.575198467604</v>
      </c>
      <c r="BC576" s="530">
        <f t="shared" si="723"/>
        <v>12972.575198467604</v>
      </c>
      <c r="BD576" s="530">
        <f t="shared" si="723"/>
        <v>12972.575198467604</v>
      </c>
      <c r="BE576" s="530">
        <f t="shared" si="723"/>
        <v>12972.575198467604</v>
      </c>
      <c r="BF576" s="530">
        <f t="shared" si="723"/>
        <v>12972.575198467604</v>
      </c>
      <c r="BG576" s="530">
        <f t="shared" si="723"/>
        <v>12972.575198467604</v>
      </c>
      <c r="BH576" s="530">
        <f t="shared" si="723"/>
        <v>12972.575198467604</v>
      </c>
      <c r="BI576" s="530">
        <f t="shared" si="723"/>
        <v>12972.575198467604</v>
      </c>
      <c r="BJ576" s="530">
        <f t="shared" si="723"/>
        <v>12972.575198467604</v>
      </c>
      <c r="BK576" s="530">
        <f t="shared" si="723"/>
        <v>12972.575198467604</v>
      </c>
      <c r="BL576" s="530">
        <f t="shared" si="723"/>
        <v>12972.575198467604</v>
      </c>
      <c r="BM576" s="530">
        <f t="shared" si="723"/>
        <v>12972.575198467604</v>
      </c>
      <c r="BN576" s="530">
        <f t="shared" si="723"/>
        <v>13410.166588777865</v>
      </c>
      <c r="BO576" s="530">
        <f t="shared" si="723"/>
        <v>13410.166588777865</v>
      </c>
      <c r="BP576" s="530">
        <f t="shared" si="723"/>
        <v>13410.166588777865</v>
      </c>
      <c r="BQ576" s="530">
        <f t="shared" si="723"/>
        <v>13410.166588777865</v>
      </c>
      <c r="BR576" s="530">
        <f t="shared" si="723"/>
        <v>13410.166588777865</v>
      </c>
      <c r="BS576" s="530">
        <f t="shared" si="723"/>
        <v>13410.166588777865</v>
      </c>
      <c r="BT576" s="530">
        <f t="shared" si="723"/>
        <v>13410.166588777865</v>
      </c>
      <c r="BU576" s="530">
        <f t="shared" si="723"/>
        <v>13410.166588777865</v>
      </c>
      <c r="BV576" s="530">
        <f t="shared" si="723"/>
        <v>13410.166588777865</v>
      </c>
      <c r="BW576" s="530">
        <f t="shared" si="723"/>
        <v>13410.166588777865</v>
      </c>
      <c r="BX576" s="530">
        <f t="shared" si="723"/>
        <v>13410.166588777865</v>
      </c>
      <c r="BY576" s="530">
        <f t="shared" si="723"/>
        <v>13410.166588777865</v>
      </c>
    </row>
    <row r="577" spans="2:80" x14ac:dyDescent="0.3">
      <c r="B577" s="40"/>
      <c r="C577" s="40"/>
      <c r="D577" s="40"/>
      <c r="E577" s="2" t="s">
        <v>387</v>
      </c>
      <c r="F577" s="54"/>
      <c r="G577" s="54"/>
      <c r="I577" s="497">
        <f t="shared" si="721"/>
        <v>-38989.237005948125</v>
      </c>
      <c r="J577" s="497">
        <f t="shared" si="721"/>
        <v>-39321.11647500821</v>
      </c>
      <c r="K577" s="497">
        <f t="shared" si="721"/>
        <v>-39659.633533449494</v>
      </c>
      <c r="L577" s="497">
        <f t="shared" si="721"/>
        <v>-40004.920933059599</v>
      </c>
      <c r="M577" s="497">
        <f t="shared" si="721"/>
        <v>-40357.114080661908</v>
      </c>
      <c r="N577" s="497">
        <f t="shared" si="721"/>
        <v>-40716.351091216267</v>
      </c>
      <c r="O577" s="37"/>
      <c r="P577" s="50">
        <f t="shared" ref="P577:P582" si="724">IFERROR(((N577/I577)^(1/5))-1,0)</f>
        <v>8.7065080029595787E-3</v>
      </c>
      <c r="R577" s="497">
        <f t="shared" ref="R577:AW577" si="725">R513/R$571</f>
        <v>-3276.7597062506838</v>
      </c>
      <c r="S577" s="497">
        <f t="shared" si="725"/>
        <v>-3276.7597062506838</v>
      </c>
      <c r="T577" s="497">
        <f t="shared" si="725"/>
        <v>-3276.7597062506838</v>
      </c>
      <c r="U577" s="497">
        <f t="shared" si="725"/>
        <v>-3276.7597062506838</v>
      </c>
      <c r="V577" s="497">
        <f t="shared" si="725"/>
        <v>-3276.7597062506838</v>
      </c>
      <c r="W577" s="497">
        <f t="shared" si="725"/>
        <v>-3276.7597062506838</v>
      </c>
      <c r="X577" s="497">
        <f t="shared" si="725"/>
        <v>-3276.7597062506838</v>
      </c>
      <c r="Y577" s="497">
        <f t="shared" si="725"/>
        <v>-3276.7597062506838</v>
      </c>
      <c r="Z577" s="497">
        <f t="shared" si="725"/>
        <v>-3276.7597062506838</v>
      </c>
      <c r="AA577" s="497">
        <f t="shared" si="725"/>
        <v>-3276.7597062506838</v>
      </c>
      <c r="AB577" s="497">
        <f t="shared" si="725"/>
        <v>-3276.7597062506838</v>
      </c>
      <c r="AC577" s="497">
        <f t="shared" si="725"/>
        <v>-3276.7597062506838</v>
      </c>
      <c r="AD577" s="497">
        <f t="shared" si="725"/>
        <v>-3304.969461120791</v>
      </c>
      <c r="AE577" s="497">
        <f t="shared" si="725"/>
        <v>-3304.969461120791</v>
      </c>
      <c r="AF577" s="497">
        <f t="shared" si="725"/>
        <v>-3304.969461120791</v>
      </c>
      <c r="AG577" s="497">
        <f t="shared" si="725"/>
        <v>-3304.969461120791</v>
      </c>
      <c r="AH577" s="497">
        <f t="shared" si="725"/>
        <v>-3304.969461120791</v>
      </c>
      <c r="AI577" s="497">
        <f t="shared" si="725"/>
        <v>-3304.969461120791</v>
      </c>
      <c r="AJ577" s="497">
        <f t="shared" si="725"/>
        <v>-3304.969461120791</v>
      </c>
      <c r="AK577" s="497">
        <f t="shared" si="725"/>
        <v>-3304.969461120791</v>
      </c>
      <c r="AL577" s="497">
        <f t="shared" si="725"/>
        <v>-3304.969461120791</v>
      </c>
      <c r="AM577" s="497">
        <f t="shared" si="725"/>
        <v>-3304.969461120791</v>
      </c>
      <c r="AN577" s="527">
        <f t="shared" si="725"/>
        <v>-3304.969461120791</v>
      </c>
      <c r="AO577" s="527">
        <f t="shared" si="725"/>
        <v>-3304.969461120791</v>
      </c>
      <c r="AP577" s="527">
        <f t="shared" si="725"/>
        <v>-3333.7434110882996</v>
      </c>
      <c r="AQ577" s="527">
        <f t="shared" si="725"/>
        <v>-3333.7434110882996</v>
      </c>
      <c r="AR577" s="527">
        <f t="shared" si="725"/>
        <v>-3333.7434110882996</v>
      </c>
      <c r="AS577" s="527">
        <f t="shared" si="725"/>
        <v>-3333.7434110882996</v>
      </c>
      <c r="AT577" s="527">
        <f t="shared" si="725"/>
        <v>-3333.7434110882996</v>
      </c>
      <c r="AU577" s="527">
        <f t="shared" si="725"/>
        <v>-3333.7434110882996</v>
      </c>
      <c r="AV577" s="527">
        <f t="shared" si="725"/>
        <v>-3333.7434110882996</v>
      </c>
      <c r="AW577" s="527">
        <f t="shared" si="725"/>
        <v>-3333.7434110882996</v>
      </c>
      <c r="AX577" s="527">
        <f t="shared" ref="AX577:BY577" si="726">AX513/AX$571</f>
        <v>-3333.7434110882996</v>
      </c>
      <c r="AY577" s="527">
        <f t="shared" si="726"/>
        <v>-3333.7434110882996</v>
      </c>
      <c r="AZ577" s="527">
        <f t="shared" si="726"/>
        <v>-3333.7434110882996</v>
      </c>
      <c r="BA577" s="527">
        <f t="shared" si="726"/>
        <v>-3333.7434110882996</v>
      </c>
      <c r="BB577" s="527">
        <f t="shared" si="726"/>
        <v>-3363.0928400551588</v>
      </c>
      <c r="BC577" s="527">
        <f t="shared" si="726"/>
        <v>-3363.0928400551588</v>
      </c>
      <c r="BD577" s="527">
        <f t="shared" si="726"/>
        <v>-3363.0928400551588</v>
      </c>
      <c r="BE577" s="527">
        <f t="shared" si="726"/>
        <v>-3363.0928400551588</v>
      </c>
      <c r="BF577" s="527">
        <f t="shared" si="726"/>
        <v>-3363.0928400551588</v>
      </c>
      <c r="BG577" s="527">
        <f t="shared" si="726"/>
        <v>-3363.0928400551588</v>
      </c>
      <c r="BH577" s="527">
        <f t="shared" si="726"/>
        <v>-3363.0928400551588</v>
      </c>
      <c r="BI577" s="527">
        <f t="shared" si="726"/>
        <v>-3363.0928400551588</v>
      </c>
      <c r="BJ577" s="527">
        <f t="shared" si="726"/>
        <v>-3363.0928400551588</v>
      </c>
      <c r="BK577" s="527">
        <f t="shared" si="726"/>
        <v>-3363.0928400551588</v>
      </c>
      <c r="BL577" s="527">
        <f t="shared" si="726"/>
        <v>-3363.0928400551588</v>
      </c>
      <c r="BM577" s="527">
        <f t="shared" si="726"/>
        <v>-3363.0928400551588</v>
      </c>
      <c r="BN577" s="527">
        <f t="shared" si="726"/>
        <v>-3393.0292576013553</v>
      </c>
      <c r="BO577" s="527">
        <f t="shared" si="726"/>
        <v>-3393.0292576013553</v>
      </c>
      <c r="BP577" s="527">
        <f t="shared" si="726"/>
        <v>-3393.0292576013553</v>
      </c>
      <c r="BQ577" s="527">
        <f t="shared" si="726"/>
        <v>-3393.0292576013553</v>
      </c>
      <c r="BR577" s="527">
        <f t="shared" si="726"/>
        <v>-3393.0292576013553</v>
      </c>
      <c r="BS577" s="527">
        <f t="shared" si="726"/>
        <v>-3393.0292576013553</v>
      </c>
      <c r="BT577" s="527">
        <f t="shared" si="726"/>
        <v>-3393.0292576013553</v>
      </c>
      <c r="BU577" s="527">
        <f t="shared" si="726"/>
        <v>-3393.0292576013553</v>
      </c>
      <c r="BV577" s="527">
        <f t="shared" si="726"/>
        <v>-3393.0292576013553</v>
      </c>
      <c r="BW577" s="527">
        <f t="shared" si="726"/>
        <v>-3393.0292576013553</v>
      </c>
      <c r="BX577" s="527">
        <f t="shared" si="726"/>
        <v>-3393.0292576013553</v>
      </c>
      <c r="BY577" s="527">
        <f t="shared" si="726"/>
        <v>-3393.0292576013553</v>
      </c>
    </row>
    <row r="578" spans="2:80" x14ac:dyDescent="0.3">
      <c r="B578" s="40"/>
      <c r="C578" s="40"/>
      <c r="D578" s="40"/>
      <c r="E578" s="2" t="s">
        <v>386</v>
      </c>
      <c r="F578" s="54"/>
      <c r="G578" s="54"/>
      <c r="I578" s="497">
        <f t="shared" si="721"/>
        <v>-7629.6332695628516</v>
      </c>
      <c r="J578" s="497">
        <f t="shared" si="721"/>
        <v>-7782.2259349541091</v>
      </c>
      <c r="K578" s="497">
        <f t="shared" si="721"/>
        <v>-7937.8704536531914</v>
      </c>
      <c r="L578" s="497">
        <f t="shared" si="721"/>
        <v>-8096.6278627262564</v>
      </c>
      <c r="M578" s="497">
        <f t="shared" si="721"/>
        <v>-8258.5604199807822</v>
      </c>
      <c r="N578" s="497">
        <f t="shared" si="721"/>
        <v>-8423.7316283803975</v>
      </c>
      <c r="O578" s="37"/>
      <c r="P578" s="50">
        <f t="shared" si="724"/>
        <v>2.0000000000000018E-2</v>
      </c>
      <c r="R578" s="497">
        <f t="shared" ref="R578:AW578" si="727">R514/R$571</f>
        <v>-648.51882791284243</v>
      </c>
      <c r="S578" s="497">
        <f t="shared" si="727"/>
        <v>-648.51882791284243</v>
      </c>
      <c r="T578" s="497">
        <f t="shared" si="727"/>
        <v>-648.51882791284243</v>
      </c>
      <c r="U578" s="497">
        <f t="shared" si="727"/>
        <v>-648.51882791284243</v>
      </c>
      <c r="V578" s="497">
        <f t="shared" si="727"/>
        <v>-648.51882791284243</v>
      </c>
      <c r="W578" s="497">
        <f t="shared" si="727"/>
        <v>-648.51882791284243</v>
      </c>
      <c r="X578" s="497">
        <f t="shared" si="727"/>
        <v>-648.51882791284243</v>
      </c>
      <c r="Y578" s="497">
        <f t="shared" si="727"/>
        <v>-648.51882791284243</v>
      </c>
      <c r="Z578" s="497">
        <f t="shared" si="727"/>
        <v>-648.51882791284243</v>
      </c>
      <c r="AA578" s="497">
        <f t="shared" si="727"/>
        <v>-648.51882791284243</v>
      </c>
      <c r="AB578" s="497">
        <f t="shared" si="727"/>
        <v>-648.51882791284243</v>
      </c>
      <c r="AC578" s="497">
        <f t="shared" si="727"/>
        <v>-648.51882791284243</v>
      </c>
      <c r="AD578" s="497">
        <f t="shared" si="727"/>
        <v>-661.48920447109924</v>
      </c>
      <c r="AE578" s="497">
        <f t="shared" si="727"/>
        <v>-661.48920447109924</v>
      </c>
      <c r="AF578" s="497">
        <f t="shared" si="727"/>
        <v>-661.48920447109924</v>
      </c>
      <c r="AG578" s="497">
        <f t="shared" si="727"/>
        <v>-661.48920447109924</v>
      </c>
      <c r="AH578" s="497">
        <f t="shared" si="727"/>
        <v>-661.48920447109924</v>
      </c>
      <c r="AI578" s="497">
        <f t="shared" si="727"/>
        <v>-661.48920447109924</v>
      </c>
      <c r="AJ578" s="497">
        <f t="shared" si="727"/>
        <v>-661.48920447109924</v>
      </c>
      <c r="AK578" s="497">
        <f t="shared" si="727"/>
        <v>-661.48920447109924</v>
      </c>
      <c r="AL578" s="497">
        <f t="shared" si="727"/>
        <v>-661.48920447109924</v>
      </c>
      <c r="AM578" s="497">
        <f t="shared" si="727"/>
        <v>-661.48920447109924</v>
      </c>
      <c r="AN578" s="527">
        <f t="shared" si="727"/>
        <v>-661.48920447109924</v>
      </c>
      <c r="AO578" s="527">
        <f t="shared" si="727"/>
        <v>-661.48920447109924</v>
      </c>
      <c r="AP578" s="527">
        <f t="shared" si="727"/>
        <v>-674.71898856052132</v>
      </c>
      <c r="AQ578" s="527">
        <f t="shared" si="727"/>
        <v>-674.71898856052132</v>
      </c>
      <c r="AR578" s="527">
        <f t="shared" si="727"/>
        <v>-674.71898856052132</v>
      </c>
      <c r="AS578" s="527">
        <f t="shared" si="727"/>
        <v>-674.71898856052132</v>
      </c>
      <c r="AT578" s="527">
        <f t="shared" si="727"/>
        <v>-674.71898856052132</v>
      </c>
      <c r="AU578" s="527">
        <f t="shared" si="727"/>
        <v>-674.71898856052132</v>
      </c>
      <c r="AV578" s="527">
        <f t="shared" si="727"/>
        <v>-674.71898856052132</v>
      </c>
      <c r="AW578" s="527">
        <f t="shared" si="727"/>
        <v>-674.71898856052132</v>
      </c>
      <c r="AX578" s="527">
        <f t="shared" ref="AX578:BY578" si="728">AX514/AX$571</f>
        <v>-674.71898856052132</v>
      </c>
      <c r="AY578" s="527">
        <f t="shared" si="728"/>
        <v>-674.71898856052132</v>
      </c>
      <c r="AZ578" s="527">
        <f t="shared" si="728"/>
        <v>-674.71898856052132</v>
      </c>
      <c r="BA578" s="527">
        <f t="shared" si="728"/>
        <v>-674.71898856052132</v>
      </c>
      <c r="BB578" s="527">
        <f t="shared" si="728"/>
        <v>-688.21336833173189</v>
      </c>
      <c r="BC578" s="527">
        <f t="shared" si="728"/>
        <v>-688.21336833173189</v>
      </c>
      <c r="BD578" s="527">
        <f t="shared" si="728"/>
        <v>-688.21336833173189</v>
      </c>
      <c r="BE578" s="527">
        <f t="shared" si="728"/>
        <v>-688.21336833173189</v>
      </c>
      <c r="BF578" s="527">
        <f t="shared" si="728"/>
        <v>-688.21336833173189</v>
      </c>
      <c r="BG578" s="527">
        <f t="shared" si="728"/>
        <v>-688.21336833173189</v>
      </c>
      <c r="BH578" s="527">
        <f t="shared" si="728"/>
        <v>-688.21336833173189</v>
      </c>
      <c r="BI578" s="527">
        <f t="shared" si="728"/>
        <v>-688.21336833173189</v>
      </c>
      <c r="BJ578" s="527">
        <f t="shared" si="728"/>
        <v>-688.21336833173189</v>
      </c>
      <c r="BK578" s="527">
        <f t="shared" si="728"/>
        <v>-688.21336833173189</v>
      </c>
      <c r="BL578" s="527">
        <f t="shared" si="728"/>
        <v>-688.21336833173189</v>
      </c>
      <c r="BM578" s="527">
        <f t="shared" si="728"/>
        <v>-688.21336833173189</v>
      </c>
      <c r="BN578" s="527">
        <f t="shared" si="728"/>
        <v>-701.9776356983665</v>
      </c>
      <c r="BO578" s="527">
        <f t="shared" si="728"/>
        <v>-701.9776356983665</v>
      </c>
      <c r="BP578" s="527">
        <f t="shared" si="728"/>
        <v>-701.9776356983665</v>
      </c>
      <c r="BQ578" s="527">
        <f t="shared" si="728"/>
        <v>-701.9776356983665</v>
      </c>
      <c r="BR578" s="527">
        <f t="shared" si="728"/>
        <v>-701.9776356983665</v>
      </c>
      <c r="BS578" s="527">
        <f t="shared" si="728"/>
        <v>-701.9776356983665</v>
      </c>
      <c r="BT578" s="527">
        <f t="shared" si="728"/>
        <v>-701.9776356983665</v>
      </c>
      <c r="BU578" s="527">
        <f t="shared" si="728"/>
        <v>-701.9776356983665</v>
      </c>
      <c r="BV578" s="527">
        <f t="shared" si="728"/>
        <v>-701.9776356983665</v>
      </c>
      <c r="BW578" s="527">
        <f t="shared" si="728"/>
        <v>-701.9776356983665</v>
      </c>
      <c r="BX578" s="527">
        <f t="shared" si="728"/>
        <v>-701.9776356983665</v>
      </c>
      <c r="BY578" s="527">
        <f t="shared" si="728"/>
        <v>-701.9776356983665</v>
      </c>
    </row>
    <row r="579" spans="2:80" x14ac:dyDescent="0.3">
      <c r="B579" s="40"/>
      <c r="C579" s="40"/>
      <c r="D579" s="40"/>
      <c r="E579" s="4" t="s">
        <v>385</v>
      </c>
      <c r="F579" s="5"/>
      <c r="G579" s="5"/>
      <c r="I579" s="500">
        <f t="shared" si="721"/>
        <v>71911.109487179492</v>
      </c>
      <c r="J579" s="500">
        <f t="shared" si="721"/>
        <v>93294.269235920263</v>
      </c>
      <c r="K579" s="500">
        <f t="shared" si="721"/>
        <v>97894.640814172104</v>
      </c>
      <c r="L579" s="500">
        <f t="shared" si="721"/>
        <v>102492.84369512691</v>
      </c>
      <c r="M579" s="500">
        <f t="shared" si="721"/>
        <v>107055.22788096855</v>
      </c>
      <c r="N579" s="500">
        <f t="shared" si="721"/>
        <v>111781.91634573771</v>
      </c>
      <c r="O579" s="57"/>
      <c r="P579" s="55">
        <f t="shared" si="724"/>
        <v>9.2232543259842092E-2</v>
      </c>
      <c r="R579" s="500">
        <f t="shared" ref="R579:AW579" si="729">R515/R$571</f>
        <v>7774.5224363266907</v>
      </c>
      <c r="S579" s="500">
        <f t="shared" si="729"/>
        <v>7774.5224363266907</v>
      </c>
      <c r="T579" s="500">
        <f t="shared" si="729"/>
        <v>7774.5224363266907</v>
      </c>
      <c r="U579" s="500">
        <f t="shared" si="729"/>
        <v>7774.5224363266907</v>
      </c>
      <c r="V579" s="500">
        <f t="shared" si="729"/>
        <v>7774.5224363266907</v>
      </c>
      <c r="W579" s="500">
        <f t="shared" si="729"/>
        <v>7774.5224363266907</v>
      </c>
      <c r="X579" s="500">
        <f t="shared" si="729"/>
        <v>7774.5224363266907</v>
      </c>
      <c r="Y579" s="500">
        <f t="shared" si="729"/>
        <v>7774.5224363266907</v>
      </c>
      <c r="Z579" s="500">
        <f t="shared" si="729"/>
        <v>7774.5224363266907</v>
      </c>
      <c r="AA579" s="500">
        <f t="shared" si="729"/>
        <v>7774.5224363266907</v>
      </c>
      <c r="AB579" s="500">
        <f t="shared" si="729"/>
        <v>7774.5224363266907</v>
      </c>
      <c r="AC579" s="500">
        <f t="shared" si="729"/>
        <v>7774.5224363266907</v>
      </c>
      <c r="AD579" s="500">
        <f t="shared" si="729"/>
        <v>8157.8867345143417</v>
      </c>
      <c r="AE579" s="500">
        <f t="shared" si="729"/>
        <v>8157.8867345143417</v>
      </c>
      <c r="AF579" s="500">
        <f t="shared" si="729"/>
        <v>8157.8867345143417</v>
      </c>
      <c r="AG579" s="500">
        <f t="shared" si="729"/>
        <v>8157.8867345143417</v>
      </c>
      <c r="AH579" s="500">
        <f t="shared" si="729"/>
        <v>8157.8867345143417</v>
      </c>
      <c r="AI579" s="500">
        <f t="shared" si="729"/>
        <v>8157.8867345143417</v>
      </c>
      <c r="AJ579" s="500">
        <f t="shared" si="729"/>
        <v>8157.8867345143417</v>
      </c>
      <c r="AK579" s="500">
        <f t="shared" si="729"/>
        <v>8157.8867345143417</v>
      </c>
      <c r="AL579" s="500">
        <f t="shared" si="729"/>
        <v>8157.8867345143417</v>
      </c>
      <c r="AM579" s="500">
        <f t="shared" si="729"/>
        <v>8157.8867345143417</v>
      </c>
      <c r="AN579" s="532">
        <f t="shared" si="729"/>
        <v>8157.8867345143417</v>
      </c>
      <c r="AO579" s="532">
        <f t="shared" si="729"/>
        <v>8157.8867345143417</v>
      </c>
      <c r="AP579" s="532">
        <f t="shared" si="729"/>
        <v>8541.0703079272444</v>
      </c>
      <c r="AQ579" s="532">
        <f t="shared" si="729"/>
        <v>8541.0703079272444</v>
      </c>
      <c r="AR579" s="532">
        <f t="shared" si="729"/>
        <v>8541.0703079272444</v>
      </c>
      <c r="AS579" s="532">
        <f t="shared" si="729"/>
        <v>8541.0703079272444</v>
      </c>
      <c r="AT579" s="532">
        <f t="shared" si="729"/>
        <v>8541.0703079272444</v>
      </c>
      <c r="AU579" s="532">
        <f t="shared" si="729"/>
        <v>8541.0703079272444</v>
      </c>
      <c r="AV579" s="532">
        <f t="shared" si="729"/>
        <v>8541.0703079272444</v>
      </c>
      <c r="AW579" s="532">
        <f t="shared" si="729"/>
        <v>8541.0703079272444</v>
      </c>
      <c r="AX579" s="532">
        <f t="shared" ref="AX579:BY579" si="730">AX515/AX$571</f>
        <v>8541.0703079272444</v>
      </c>
      <c r="AY579" s="532">
        <f t="shared" si="730"/>
        <v>8541.0703079272444</v>
      </c>
      <c r="AZ579" s="532">
        <f t="shared" si="730"/>
        <v>8541.0703079272444</v>
      </c>
      <c r="BA579" s="532">
        <f t="shared" si="730"/>
        <v>8541.0703079272444</v>
      </c>
      <c r="BB579" s="532">
        <f t="shared" si="730"/>
        <v>8921.2689900807145</v>
      </c>
      <c r="BC579" s="532">
        <f t="shared" si="730"/>
        <v>8921.2689900807145</v>
      </c>
      <c r="BD579" s="532">
        <f t="shared" si="730"/>
        <v>8921.2689900807145</v>
      </c>
      <c r="BE579" s="532">
        <f t="shared" si="730"/>
        <v>8921.2689900807145</v>
      </c>
      <c r="BF579" s="532">
        <f t="shared" si="730"/>
        <v>8921.2689900807145</v>
      </c>
      <c r="BG579" s="532">
        <f t="shared" si="730"/>
        <v>8921.2689900807145</v>
      </c>
      <c r="BH579" s="532">
        <f t="shared" si="730"/>
        <v>8921.2689900807145</v>
      </c>
      <c r="BI579" s="532">
        <f t="shared" si="730"/>
        <v>8921.2689900807145</v>
      </c>
      <c r="BJ579" s="532">
        <f t="shared" si="730"/>
        <v>8921.2689900807145</v>
      </c>
      <c r="BK579" s="532">
        <f t="shared" si="730"/>
        <v>8921.2689900807145</v>
      </c>
      <c r="BL579" s="532">
        <f t="shared" si="730"/>
        <v>8921.2689900807145</v>
      </c>
      <c r="BM579" s="532">
        <f t="shared" si="730"/>
        <v>8921.2689900807145</v>
      </c>
      <c r="BN579" s="532">
        <f t="shared" si="730"/>
        <v>9315.1596954781435</v>
      </c>
      <c r="BO579" s="532">
        <f t="shared" si="730"/>
        <v>9315.1596954781435</v>
      </c>
      <c r="BP579" s="532">
        <f t="shared" si="730"/>
        <v>9315.1596954781435</v>
      </c>
      <c r="BQ579" s="532">
        <f t="shared" si="730"/>
        <v>9315.1596954781435</v>
      </c>
      <c r="BR579" s="532">
        <f t="shared" si="730"/>
        <v>9315.1596954781435</v>
      </c>
      <c r="BS579" s="532">
        <f t="shared" si="730"/>
        <v>9315.1596954781435</v>
      </c>
      <c r="BT579" s="532">
        <f t="shared" si="730"/>
        <v>9315.1596954781435</v>
      </c>
      <c r="BU579" s="532">
        <f t="shared" si="730"/>
        <v>9315.1596954781435</v>
      </c>
      <c r="BV579" s="532">
        <f t="shared" si="730"/>
        <v>9315.1596954781435</v>
      </c>
      <c r="BW579" s="532">
        <f t="shared" si="730"/>
        <v>9315.1596954781435</v>
      </c>
      <c r="BX579" s="532">
        <f t="shared" si="730"/>
        <v>9315.1596954781435</v>
      </c>
      <c r="BY579" s="532">
        <f t="shared" si="730"/>
        <v>9315.1596954781435</v>
      </c>
    </row>
    <row r="580" spans="2:80" x14ac:dyDescent="0.3">
      <c r="B580" s="40"/>
      <c r="C580" s="40"/>
      <c r="D580" s="40"/>
      <c r="E580" s="2" t="s">
        <v>389</v>
      </c>
      <c r="F580" s="54"/>
      <c r="G580" s="54"/>
      <c r="I580" s="497">
        <f t="shared" si="721"/>
        <v>-39985.456650120745</v>
      </c>
      <c r="J580" s="497">
        <f t="shared" si="721"/>
        <v>-41771.864439292949</v>
      </c>
      <c r="K580" s="497">
        <f t="shared" si="721"/>
        <v>-43575.287437121078</v>
      </c>
      <c r="L580" s="497">
        <f t="shared" si="721"/>
        <v>-45381.441316867546</v>
      </c>
      <c r="M580" s="497">
        <f t="shared" si="721"/>
        <v>-47178.484226657536</v>
      </c>
      <c r="N580" s="497">
        <f t="shared" si="721"/>
        <v>-49037.32943079996</v>
      </c>
      <c r="O580" s="37"/>
      <c r="P580" s="50">
        <f t="shared" si="724"/>
        <v>4.165751177604271E-2</v>
      </c>
      <c r="R580" s="497">
        <f t="shared" ref="R580:AW580" si="731">R516/R$571</f>
        <v>-3480.9887032744123</v>
      </c>
      <c r="S580" s="497">
        <f t="shared" si="731"/>
        <v>-3480.9887032744123</v>
      </c>
      <c r="T580" s="497">
        <f t="shared" si="731"/>
        <v>-3480.9887032744123</v>
      </c>
      <c r="U580" s="497">
        <f t="shared" si="731"/>
        <v>-3480.9887032744123</v>
      </c>
      <c r="V580" s="497">
        <f t="shared" si="731"/>
        <v>-3480.9887032744123</v>
      </c>
      <c r="W580" s="497">
        <f t="shared" si="731"/>
        <v>-3480.9887032744123</v>
      </c>
      <c r="X580" s="497">
        <f t="shared" si="731"/>
        <v>-3480.9887032744123</v>
      </c>
      <c r="Y580" s="497">
        <f t="shared" si="731"/>
        <v>-3480.9887032744123</v>
      </c>
      <c r="Z580" s="497">
        <f t="shared" si="731"/>
        <v>-3480.9887032744123</v>
      </c>
      <c r="AA580" s="497">
        <f t="shared" si="731"/>
        <v>-3480.9887032744123</v>
      </c>
      <c r="AB580" s="497">
        <f t="shared" si="731"/>
        <v>-3480.9887032744123</v>
      </c>
      <c r="AC580" s="497">
        <f t="shared" si="731"/>
        <v>-3480.9887032744123</v>
      </c>
      <c r="AD580" s="497">
        <f t="shared" si="731"/>
        <v>-3631.2739530934232</v>
      </c>
      <c r="AE580" s="497">
        <f t="shared" si="731"/>
        <v>-3631.2739530934232</v>
      </c>
      <c r="AF580" s="497">
        <f t="shared" si="731"/>
        <v>-3631.2739530934232</v>
      </c>
      <c r="AG580" s="497">
        <f t="shared" si="731"/>
        <v>-3631.2739530934232</v>
      </c>
      <c r="AH580" s="497">
        <f t="shared" si="731"/>
        <v>-3631.2739530934232</v>
      </c>
      <c r="AI580" s="497">
        <f t="shared" si="731"/>
        <v>-3631.2739530934232</v>
      </c>
      <c r="AJ580" s="497">
        <f t="shared" si="731"/>
        <v>-3631.2739530934232</v>
      </c>
      <c r="AK580" s="497">
        <f t="shared" si="731"/>
        <v>-3631.2739530934232</v>
      </c>
      <c r="AL580" s="497">
        <f t="shared" si="731"/>
        <v>-3631.2739530934232</v>
      </c>
      <c r="AM580" s="497">
        <f t="shared" si="731"/>
        <v>-3631.2739530934232</v>
      </c>
      <c r="AN580" s="527">
        <f t="shared" si="731"/>
        <v>-3631.2739530934232</v>
      </c>
      <c r="AO580" s="527">
        <f t="shared" si="731"/>
        <v>-3631.2739530934232</v>
      </c>
      <c r="AP580" s="527">
        <f t="shared" si="731"/>
        <v>-3781.7867764056286</v>
      </c>
      <c r="AQ580" s="527">
        <f t="shared" si="731"/>
        <v>-3781.7867764056286</v>
      </c>
      <c r="AR580" s="527">
        <f t="shared" si="731"/>
        <v>-3781.7867764056286</v>
      </c>
      <c r="AS580" s="527">
        <f t="shared" si="731"/>
        <v>-3781.7867764056286</v>
      </c>
      <c r="AT580" s="527">
        <f t="shared" si="731"/>
        <v>-3781.7867764056286</v>
      </c>
      <c r="AU580" s="527">
        <f t="shared" si="731"/>
        <v>-3781.7867764056286</v>
      </c>
      <c r="AV580" s="527">
        <f t="shared" si="731"/>
        <v>-3781.7867764056286</v>
      </c>
      <c r="AW580" s="527">
        <f t="shared" si="731"/>
        <v>-3781.7867764056286</v>
      </c>
      <c r="AX580" s="527">
        <f t="shared" ref="AX580:BY580" si="732">AX516/AX$571</f>
        <v>-3781.7867764056286</v>
      </c>
      <c r="AY580" s="527">
        <f t="shared" si="732"/>
        <v>-3781.7867764056286</v>
      </c>
      <c r="AZ580" s="527">
        <f t="shared" si="732"/>
        <v>-3781.7867764056286</v>
      </c>
      <c r="BA580" s="527">
        <f t="shared" si="732"/>
        <v>-3781.7867764056286</v>
      </c>
      <c r="BB580" s="527">
        <f t="shared" si="732"/>
        <v>-3931.540352221461</v>
      </c>
      <c r="BC580" s="527">
        <f t="shared" si="732"/>
        <v>-3931.540352221461</v>
      </c>
      <c r="BD580" s="527">
        <f t="shared" si="732"/>
        <v>-3931.540352221461</v>
      </c>
      <c r="BE580" s="527">
        <f t="shared" si="732"/>
        <v>-3931.540352221461</v>
      </c>
      <c r="BF580" s="527">
        <f t="shared" si="732"/>
        <v>-3931.540352221461</v>
      </c>
      <c r="BG580" s="527">
        <f t="shared" si="732"/>
        <v>-3931.540352221461</v>
      </c>
      <c r="BH580" s="527">
        <f t="shared" si="732"/>
        <v>-3931.540352221461</v>
      </c>
      <c r="BI580" s="527">
        <f t="shared" si="732"/>
        <v>-3931.540352221461</v>
      </c>
      <c r="BJ580" s="527">
        <f t="shared" si="732"/>
        <v>-3931.540352221461</v>
      </c>
      <c r="BK580" s="527">
        <f t="shared" si="732"/>
        <v>-3931.540352221461</v>
      </c>
      <c r="BL580" s="527">
        <f t="shared" si="732"/>
        <v>-3931.540352221461</v>
      </c>
      <c r="BM580" s="527">
        <f t="shared" si="732"/>
        <v>-3931.540352221461</v>
      </c>
      <c r="BN580" s="527">
        <f t="shared" si="732"/>
        <v>-4086.4441192333297</v>
      </c>
      <c r="BO580" s="527">
        <f t="shared" si="732"/>
        <v>-4086.4441192333297</v>
      </c>
      <c r="BP580" s="527">
        <f t="shared" si="732"/>
        <v>-4086.4441192333297</v>
      </c>
      <c r="BQ580" s="527">
        <f t="shared" si="732"/>
        <v>-4086.4441192333297</v>
      </c>
      <c r="BR580" s="527">
        <f t="shared" si="732"/>
        <v>-4086.4441192333297</v>
      </c>
      <c r="BS580" s="527">
        <f t="shared" si="732"/>
        <v>-4086.4441192333297</v>
      </c>
      <c r="BT580" s="527">
        <f t="shared" si="732"/>
        <v>-4086.4441192333297</v>
      </c>
      <c r="BU580" s="527">
        <f t="shared" si="732"/>
        <v>-4086.4441192333297</v>
      </c>
      <c r="BV580" s="527">
        <f t="shared" si="732"/>
        <v>-4086.4441192333297</v>
      </c>
      <c r="BW580" s="527">
        <f t="shared" si="732"/>
        <v>-4086.4441192333297</v>
      </c>
      <c r="BX580" s="527">
        <f t="shared" si="732"/>
        <v>-4086.4441192333297</v>
      </c>
      <c r="BY580" s="527">
        <f t="shared" si="732"/>
        <v>-4086.4441192333297</v>
      </c>
    </row>
    <row r="581" spans="2:80" x14ac:dyDescent="0.3">
      <c r="B581" s="40"/>
      <c r="C581" s="40"/>
      <c r="D581" s="40"/>
      <c r="E581" s="4" t="s">
        <v>390</v>
      </c>
      <c r="F581" s="5"/>
      <c r="G581" s="5"/>
      <c r="I581" s="500">
        <f t="shared" si="721"/>
        <v>48746.818238483203</v>
      </c>
      <c r="J581" s="500">
        <f t="shared" si="721"/>
        <v>51522.404796627321</v>
      </c>
      <c r="K581" s="500">
        <f t="shared" si="721"/>
        <v>54319.353377051033</v>
      </c>
      <c r="L581" s="500">
        <f t="shared" si="721"/>
        <v>57111.402378259372</v>
      </c>
      <c r="M581" s="500">
        <f t="shared" si="721"/>
        <v>59876.743654311016</v>
      </c>
      <c r="N581" s="500">
        <f t="shared" si="721"/>
        <v>62744.586914937754</v>
      </c>
      <c r="O581" s="57"/>
      <c r="P581" s="55">
        <f t="shared" si="724"/>
        <v>5.1782639281965137E-2</v>
      </c>
      <c r="R581" s="498">
        <f t="shared" ref="R581:AW581" si="733">R517/R$571</f>
        <v>4293.5337330522789</v>
      </c>
      <c r="S581" s="500">
        <f t="shared" si="733"/>
        <v>4293.5337330522789</v>
      </c>
      <c r="T581" s="498">
        <f t="shared" si="733"/>
        <v>4293.5337330522789</v>
      </c>
      <c r="U581" s="500">
        <f t="shared" si="733"/>
        <v>4293.5337330522789</v>
      </c>
      <c r="V581" s="498">
        <f t="shared" si="733"/>
        <v>4293.5337330522789</v>
      </c>
      <c r="W581" s="498">
        <f t="shared" si="733"/>
        <v>4293.5337330522789</v>
      </c>
      <c r="X581" s="500">
        <f t="shared" si="733"/>
        <v>4293.5337330522789</v>
      </c>
      <c r="Y581" s="500">
        <f t="shared" si="733"/>
        <v>4293.5337330522789</v>
      </c>
      <c r="Z581" s="500">
        <f t="shared" si="733"/>
        <v>4293.5337330522789</v>
      </c>
      <c r="AA581" s="500">
        <f t="shared" si="733"/>
        <v>4293.5337330522789</v>
      </c>
      <c r="AB581" s="500">
        <f t="shared" si="733"/>
        <v>4293.5337330522789</v>
      </c>
      <c r="AC581" s="500">
        <f t="shared" si="733"/>
        <v>4293.5337330522789</v>
      </c>
      <c r="AD581" s="500">
        <f t="shared" si="733"/>
        <v>4526.6127814209185</v>
      </c>
      <c r="AE581" s="500">
        <f t="shared" si="733"/>
        <v>4526.6127814209185</v>
      </c>
      <c r="AF581" s="500">
        <f t="shared" si="733"/>
        <v>4526.6127814209185</v>
      </c>
      <c r="AG581" s="500">
        <f t="shared" si="733"/>
        <v>4526.6127814209185</v>
      </c>
      <c r="AH581" s="500">
        <f t="shared" si="733"/>
        <v>4526.6127814209185</v>
      </c>
      <c r="AI581" s="500">
        <f t="shared" si="733"/>
        <v>4526.6127814209185</v>
      </c>
      <c r="AJ581" s="500">
        <f t="shared" si="733"/>
        <v>4526.6127814209185</v>
      </c>
      <c r="AK581" s="500">
        <f t="shared" si="733"/>
        <v>4526.6127814209185</v>
      </c>
      <c r="AL581" s="500">
        <f t="shared" si="733"/>
        <v>4526.6127814209185</v>
      </c>
      <c r="AM581" s="500">
        <f t="shared" si="733"/>
        <v>4526.6127814209185</v>
      </c>
      <c r="AN581" s="532">
        <f t="shared" si="733"/>
        <v>4526.6127814209185</v>
      </c>
      <c r="AO581" s="532">
        <f t="shared" si="733"/>
        <v>4526.6127814209185</v>
      </c>
      <c r="AP581" s="532">
        <f t="shared" si="733"/>
        <v>4759.2835315216162</v>
      </c>
      <c r="AQ581" s="532">
        <f t="shared" si="733"/>
        <v>4759.2835315216162</v>
      </c>
      <c r="AR581" s="532">
        <f t="shared" si="733"/>
        <v>4759.2835315216162</v>
      </c>
      <c r="AS581" s="532">
        <f t="shared" si="733"/>
        <v>4759.2835315216162</v>
      </c>
      <c r="AT581" s="532">
        <f t="shared" si="733"/>
        <v>4759.2835315216162</v>
      </c>
      <c r="AU581" s="532">
        <f t="shared" si="733"/>
        <v>4759.2835315216162</v>
      </c>
      <c r="AV581" s="532">
        <f t="shared" si="733"/>
        <v>4759.2835315216162</v>
      </c>
      <c r="AW581" s="532">
        <f t="shared" si="733"/>
        <v>4759.2835315216162</v>
      </c>
      <c r="AX581" s="532">
        <f t="shared" ref="AX581:BY581" si="734">AX517/AX$571</f>
        <v>4759.2835315216162</v>
      </c>
      <c r="AY581" s="532">
        <f t="shared" si="734"/>
        <v>4759.2835315216162</v>
      </c>
      <c r="AZ581" s="532">
        <f t="shared" si="734"/>
        <v>4759.2835315216162</v>
      </c>
      <c r="BA581" s="532">
        <f t="shared" si="734"/>
        <v>4759.2835315216162</v>
      </c>
      <c r="BB581" s="532">
        <f t="shared" si="734"/>
        <v>4989.7286378592526</v>
      </c>
      <c r="BC581" s="532">
        <f t="shared" si="734"/>
        <v>4989.7286378592526</v>
      </c>
      <c r="BD581" s="532">
        <f t="shared" si="734"/>
        <v>4989.7286378592526</v>
      </c>
      <c r="BE581" s="532">
        <f t="shared" si="734"/>
        <v>4989.7286378592526</v>
      </c>
      <c r="BF581" s="532">
        <f t="shared" si="734"/>
        <v>4989.7286378592526</v>
      </c>
      <c r="BG581" s="532">
        <f t="shared" si="734"/>
        <v>4989.7286378592526</v>
      </c>
      <c r="BH581" s="532">
        <f t="shared" si="734"/>
        <v>4989.7286378592526</v>
      </c>
      <c r="BI581" s="532">
        <f t="shared" si="734"/>
        <v>4989.7286378592526</v>
      </c>
      <c r="BJ581" s="532">
        <f t="shared" si="734"/>
        <v>4989.7286378592526</v>
      </c>
      <c r="BK581" s="532">
        <f t="shared" si="734"/>
        <v>4989.7286378592526</v>
      </c>
      <c r="BL581" s="532">
        <f t="shared" si="734"/>
        <v>4989.7286378592526</v>
      </c>
      <c r="BM581" s="532">
        <f t="shared" si="734"/>
        <v>4989.7286378592526</v>
      </c>
      <c r="BN581" s="532">
        <f t="shared" si="734"/>
        <v>5228.7155762448147</v>
      </c>
      <c r="BO581" s="532">
        <f t="shared" si="734"/>
        <v>5228.7155762448147</v>
      </c>
      <c r="BP581" s="532">
        <f t="shared" si="734"/>
        <v>5228.7155762448147</v>
      </c>
      <c r="BQ581" s="532">
        <f t="shared" si="734"/>
        <v>5228.7155762448147</v>
      </c>
      <c r="BR581" s="532">
        <f t="shared" si="734"/>
        <v>5228.7155762448147</v>
      </c>
      <c r="BS581" s="532">
        <f t="shared" si="734"/>
        <v>5228.7155762448147</v>
      </c>
      <c r="BT581" s="532">
        <f t="shared" si="734"/>
        <v>5228.7155762448147</v>
      </c>
      <c r="BU581" s="532">
        <f t="shared" si="734"/>
        <v>5228.7155762448147</v>
      </c>
      <c r="BV581" s="532">
        <f t="shared" si="734"/>
        <v>5228.7155762448147</v>
      </c>
      <c r="BW581" s="532">
        <f t="shared" si="734"/>
        <v>5228.7155762448147</v>
      </c>
      <c r="BX581" s="532">
        <f t="shared" si="734"/>
        <v>5228.7155762448147</v>
      </c>
      <c r="BY581" s="532">
        <f t="shared" si="734"/>
        <v>5228.7155762448147</v>
      </c>
    </row>
    <row r="582" spans="2:80" x14ac:dyDescent="0.3">
      <c r="B582" s="40"/>
      <c r="C582" s="40"/>
      <c r="D582" s="40"/>
      <c r="E582" s="2" t="s">
        <v>175</v>
      </c>
      <c r="F582" s="58"/>
      <c r="G582" s="58"/>
      <c r="H582" s="37"/>
      <c r="I582" s="499">
        <f t="shared" ref="I582:N582" si="735">IFERROR(I581/I576,0)</f>
        <v>0.36015076325639572</v>
      </c>
      <c r="J582" s="499">
        <f t="shared" si="735"/>
        <v>0.3669749377687388</v>
      </c>
      <c r="K582" s="499">
        <f t="shared" si="735"/>
        <v>0.37334904541578451</v>
      </c>
      <c r="L582" s="499">
        <f t="shared" si="735"/>
        <v>0.37923990019552428</v>
      </c>
      <c r="M582" s="499">
        <f t="shared" si="735"/>
        <v>0.384636709482992</v>
      </c>
      <c r="N582" s="499">
        <f t="shared" si="735"/>
        <v>0.38990683237450607</v>
      </c>
      <c r="O582" s="23"/>
      <c r="P582" s="50">
        <f t="shared" si="724"/>
        <v>1.6003727273751212E-2</v>
      </c>
      <c r="Q582" s="37"/>
      <c r="R582" s="499">
        <f t="shared" ref="R582:BY582" si="736">IFERROR(R581/R576,0)</f>
        <v>0.36697493776873891</v>
      </c>
      <c r="S582" s="499">
        <f t="shared" si="736"/>
        <v>0.36697493776873891</v>
      </c>
      <c r="T582" s="499">
        <f t="shared" si="736"/>
        <v>0.36697493776873891</v>
      </c>
      <c r="U582" s="499">
        <f t="shared" si="736"/>
        <v>0.36697493776873891</v>
      </c>
      <c r="V582" s="499">
        <f t="shared" si="736"/>
        <v>0.36697493776873891</v>
      </c>
      <c r="W582" s="499">
        <f t="shared" si="736"/>
        <v>0.36697493776873891</v>
      </c>
      <c r="X582" s="499">
        <f t="shared" si="736"/>
        <v>0.36697493776873891</v>
      </c>
      <c r="Y582" s="499">
        <f t="shared" si="736"/>
        <v>0.36697493776873891</v>
      </c>
      <c r="Z582" s="499">
        <f t="shared" si="736"/>
        <v>0.36697493776873891</v>
      </c>
      <c r="AA582" s="499">
        <f t="shared" si="736"/>
        <v>0.36697493776873891</v>
      </c>
      <c r="AB582" s="499">
        <f t="shared" si="736"/>
        <v>0.36697493776873891</v>
      </c>
      <c r="AC582" s="499">
        <f t="shared" si="736"/>
        <v>0.36697493776873891</v>
      </c>
      <c r="AD582" s="499">
        <f t="shared" si="736"/>
        <v>0.3733490454157844</v>
      </c>
      <c r="AE582" s="499">
        <f t="shared" si="736"/>
        <v>0.3733490454157844</v>
      </c>
      <c r="AF582" s="499">
        <f t="shared" si="736"/>
        <v>0.3733490454157844</v>
      </c>
      <c r="AG582" s="499">
        <f t="shared" si="736"/>
        <v>0.3733490454157844</v>
      </c>
      <c r="AH582" s="499">
        <f t="shared" si="736"/>
        <v>0.3733490454157844</v>
      </c>
      <c r="AI582" s="499">
        <f t="shared" si="736"/>
        <v>0.3733490454157844</v>
      </c>
      <c r="AJ582" s="499">
        <f t="shared" si="736"/>
        <v>0.3733490454157844</v>
      </c>
      <c r="AK582" s="499">
        <f t="shared" si="736"/>
        <v>0.3733490454157844</v>
      </c>
      <c r="AL582" s="499">
        <f t="shared" si="736"/>
        <v>0.3733490454157844</v>
      </c>
      <c r="AM582" s="499">
        <f t="shared" si="736"/>
        <v>0.3733490454157844</v>
      </c>
      <c r="AN582" s="531">
        <f t="shared" si="736"/>
        <v>0.3733490454157844</v>
      </c>
      <c r="AO582" s="531">
        <f t="shared" si="736"/>
        <v>0.3733490454157844</v>
      </c>
      <c r="AP582" s="531">
        <f t="shared" si="736"/>
        <v>0.37923990019552439</v>
      </c>
      <c r="AQ582" s="531">
        <f t="shared" si="736"/>
        <v>0.37923990019552439</v>
      </c>
      <c r="AR582" s="531">
        <f t="shared" si="736"/>
        <v>0.37923990019552439</v>
      </c>
      <c r="AS582" s="531">
        <f t="shared" si="736"/>
        <v>0.37923990019552439</v>
      </c>
      <c r="AT582" s="531">
        <f t="shared" si="736"/>
        <v>0.37923990019552439</v>
      </c>
      <c r="AU582" s="531">
        <f t="shared" si="736"/>
        <v>0.37923990019552439</v>
      </c>
      <c r="AV582" s="531">
        <f t="shared" si="736"/>
        <v>0.37923990019552439</v>
      </c>
      <c r="AW582" s="531">
        <f t="shared" si="736"/>
        <v>0.37923990019552439</v>
      </c>
      <c r="AX582" s="531">
        <f t="shared" si="736"/>
        <v>0.37923990019552439</v>
      </c>
      <c r="AY582" s="531">
        <f t="shared" si="736"/>
        <v>0.37923990019552439</v>
      </c>
      <c r="AZ582" s="531">
        <f t="shared" si="736"/>
        <v>0.37923990019552439</v>
      </c>
      <c r="BA582" s="531">
        <f t="shared" si="736"/>
        <v>0.37923990019552439</v>
      </c>
      <c r="BB582" s="531">
        <f t="shared" si="736"/>
        <v>0.38463670948299211</v>
      </c>
      <c r="BC582" s="531">
        <f t="shared" si="736"/>
        <v>0.38463670948299211</v>
      </c>
      <c r="BD582" s="531">
        <f t="shared" si="736"/>
        <v>0.38463670948299211</v>
      </c>
      <c r="BE582" s="531">
        <f t="shared" si="736"/>
        <v>0.38463670948299211</v>
      </c>
      <c r="BF582" s="531">
        <f t="shared" si="736"/>
        <v>0.38463670948299211</v>
      </c>
      <c r="BG582" s="531">
        <f t="shared" si="736"/>
        <v>0.38463670948299211</v>
      </c>
      <c r="BH582" s="531">
        <f t="shared" si="736"/>
        <v>0.38463670948299211</v>
      </c>
      <c r="BI582" s="531">
        <f t="shared" si="736"/>
        <v>0.38463670948299211</v>
      </c>
      <c r="BJ582" s="531">
        <f t="shared" si="736"/>
        <v>0.38463670948299211</v>
      </c>
      <c r="BK582" s="531">
        <f t="shared" si="736"/>
        <v>0.38463670948299211</v>
      </c>
      <c r="BL582" s="531">
        <f t="shared" si="736"/>
        <v>0.38463670948299211</v>
      </c>
      <c r="BM582" s="531">
        <f t="shared" si="736"/>
        <v>0.38463670948299211</v>
      </c>
      <c r="BN582" s="531">
        <f t="shared" si="736"/>
        <v>0.38990683237450618</v>
      </c>
      <c r="BO582" s="531">
        <f t="shared" si="736"/>
        <v>0.38990683237450618</v>
      </c>
      <c r="BP582" s="531">
        <f t="shared" si="736"/>
        <v>0.38990683237450618</v>
      </c>
      <c r="BQ582" s="531">
        <f t="shared" si="736"/>
        <v>0.38990683237450618</v>
      </c>
      <c r="BR582" s="531">
        <f t="shared" si="736"/>
        <v>0.38990683237450618</v>
      </c>
      <c r="BS582" s="531">
        <f t="shared" si="736"/>
        <v>0.38990683237450618</v>
      </c>
      <c r="BT582" s="531">
        <f t="shared" si="736"/>
        <v>0.38990683237450618</v>
      </c>
      <c r="BU582" s="531">
        <f t="shared" si="736"/>
        <v>0.38990683237450618</v>
      </c>
      <c r="BV582" s="531">
        <f t="shared" si="736"/>
        <v>0.38990683237450618</v>
      </c>
      <c r="BW582" s="531">
        <f t="shared" si="736"/>
        <v>0.38990683237450618</v>
      </c>
      <c r="BX582" s="531">
        <f t="shared" si="736"/>
        <v>0.38990683237450618</v>
      </c>
      <c r="BY582" s="531">
        <f t="shared" si="736"/>
        <v>0.38990683237450618</v>
      </c>
      <c r="CB582" s="37"/>
    </row>
    <row r="583" spans="2:80" x14ac:dyDescent="0.3">
      <c r="B583" s="40"/>
      <c r="C583" s="40"/>
      <c r="D583" s="40"/>
      <c r="E583" s="2"/>
      <c r="F583" s="58"/>
      <c r="G583" s="58"/>
      <c r="I583" s="37"/>
      <c r="J583" s="37"/>
      <c r="K583" s="37"/>
      <c r="L583" s="37"/>
      <c r="M583" s="37"/>
      <c r="N583" s="37"/>
      <c r="O583" s="37"/>
      <c r="P583" s="144"/>
      <c r="R583" s="37"/>
      <c r="S583" s="37"/>
      <c r="T583" s="37"/>
      <c r="U583" s="37"/>
      <c r="V583" s="37"/>
      <c r="W583" s="37"/>
      <c r="X583" s="37"/>
      <c r="Y583" s="37"/>
      <c r="Z583" s="37"/>
      <c r="AA583" s="37"/>
      <c r="AB583" s="37"/>
      <c r="AC583" s="37"/>
      <c r="AD583" s="37"/>
      <c r="AE583" s="37"/>
      <c r="AF583" s="37"/>
      <c r="AG583" s="37"/>
      <c r="AH583" s="37"/>
      <c r="AI583" s="37"/>
      <c r="AJ583" s="37"/>
      <c r="AK583" s="37"/>
      <c r="AL583" s="37"/>
      <c r="AM583" s="37"/>
      <c r="AN583" s="529"/>
      <c r="AO583" s="529"/>
      <c r="AP583" s="529"/>
      <c r="AQ583" s="529"/>
      <c r="AR583" s="529"/>
      <c r="AS583" s="529"/>
      <c r="AT583" s="529"/>
      <c r="AU583" s="529"/>
      <c r="AV583" s="529"/>
      <c r="AW583" s="529"/>
      <c r="AX583" s="529"/>
      <c r="AY583" s="529"/>
      <c r="AZ583" s="529"/>
      <c r="BA583" s="529"/>
      <c r="BB583" s="529"/>
      <c r="BC583" s="529"/>
      <c r="BD583" s="529"/>
      <c r="BE583" s="529"/>
      <c r="BF583" s="529"/>
      <c r="BG583" s="529"/>
      <c r="BH583" s="529"/>
      <c r="BI583" s="529"/>
      <c r="BJ583" s="529"/>
      <c r="BK583" s="529"/>
      <c r="BL583" s="529"/>
      <c r="BM583" s="529"/>
      <c r="BN583" s="529"/>
      <c r="BO583" s="529"/>
      <c r="BP583" s="529"/>
      <c r="BQ583" s="529"/>
      <c r="BR583" s="529"/>
      <c r="BS583" s="529"/>
      <c r="BT583" s="529"/>
      <c r="BU583" s="529"/>
      <c r="BV583" s="529"/>
      <c r="BW583" s="529"/>
      <c r="BX583" s="529"/>
      <c r="BY583" s="529"/>
    </row>
    <row r="584" spans="2:80" x14ac:dyDescent="0.3">
      <c r="B584" s="40"/>
      <c r="C584" s="40"/>
      <c r="D584" s="40"/>
      <c r="E584" s="17" t="s">
        <v>23</v>
      </c>
      <c r="F584" s="37"/>
      <c r="G584" s="37"/>
      <c r="I584" s="37"/>
      <c r="J584" s="37"/>
      <c r="K584" s="37"/>
      <c r="L584" s="37"/>
      <c r="M584" s="37"/>
      <c r="N584" s="37"/>
      <c r="O584" s="37"/>
      <c r="P584" s="144"/>
      <c r="R584" s="37"/>
      <c r="S584" s="37"/>
      <c r="T584" s="37"/>
      <c r="U584" s="37"/>
      <c r="V584" s="37"/>
      <c r="W584" s="37"/>
      <c r="X584" s="37"/>
      <c r="Y584" s="37"/>
      <c r="Z584" s="37"/>
      <c r="AA584" s="37"/>
      <c r="AB584" s="37"/>
      <c r="AC584" s="37"/>
      <c r="AD584" s="37"/>
      <c r="AE584" s="37"/>
      <c r="AF584" s="37"/>
      <c r="AG584" s="37"/>
      <c r="AH584" s="37"/>
      <c r="AI584" s="37"/>
      <c r="AJ584" s="37"/>
      <c r="AK584" s="37"/>
      <c r="AL584" s="37"/>
      <c r="AM584" s="37"/>
      <c r="AN584" s="529"/>
      <c r="AO584" s="529"/>
      <c r="AP584" s="529"/>
      <c r="AQ584" s="529"/>
      <c r="AR584" s="529"/>
      <c r="AS584" s="529"/>
      <c r="AT584" s="529"/>
      <c r="AU584" s="529"/>
      <c r="AV584" s="529"/>
      <c r="AW584" s="529"/>
      <c r="AX584" s="529"/>
      <c r="AY584" s="529"/>
      <c r="AZ584" s="529"/>
      <c r="BA584" s="529"/>
      <c r="BB584" s="529"/>
      <c r="BC584" s="529"/>
      <c r="BD584" s="529"/>
      <c r="BE584" s="529"/>
      <c r="BF584" s="529"/>
      <c r="BG584" s="529"/>
      <c r="BH584" s="529"/>
      <c r="BI584" s="529"/>
      <c r="BJ584" s="529"/>
      <c r="BK584" s="529"/>
      <c r="BL584" s="529"/>
      <c r="BM584" s="529"/>
      <c r="BN584" s="529"/>
      <c r="BO584" s="529"/>
      <c r="BP584" s="529"/>
      <c r="BQ584" s="529"/>
      <c r="BR584" s="529"/>
      <c r="BS584" s="529"/>
      <c r="BT584" s="529"/>
      <c r="BU584" s="529"/>
      <c r="BV584" s="529"/>
      <c r="BW584" s="529"/>
      <c r="BX584" s="529"/>
      <c r="BY584" s="529"/>
    </row>
    <row r="585" spans="2:80" x14ac:dyDescent="0.3">
      <c r="B585" s="40"/>
      <c r="C585" s="40"/>
      <c r="D585" s="40"/>
      <c r="E585" s="4" t="s">
        <v>391</v>
      </c>
      <c r="F585" s="5"/>
      <c r="G585" s="5"/>
      <c r="I585" s="500">
        <f t="shared" ref="I585:N590" si="737">I521/I$571</f>
        <v>12764.63484426729</v>
      </c>
      <c r="J585" s="500">
        <f t="shared" si="737"/>
        <v>12764.63484426729</v>
      </c>
      <c r="K585" s="500">
        <f t="shared" si="737"/>
        <v>12764.63484426729</v>
      </c>
      <c r="L585" s="500">
        <f t="shared" si="737"/>
        <v>12764.63484426729</v>
      </c>
      <c r="M585" s="500">
        <f t="shared" si="737"/>
        <v>12764.63484426729</v>
      </c>
      <c r="N585" s="500">
        <f t="shared" si="737"/>
        <v>12764.63484426729</v>
      </c>
      <c r="O585" s="57"/>
      <c r="P585" s="55">
        <f t="shared" ref="P585:P591" si="738">IFERROR(((N585/I585)^(1/5))-1,0)</f>
        <v>0</v>
      </c>
      <c r="R585" s="498">
        <f t="shared" ref="R585:AW585" si="739">R521/R$571</f>
        <v>1063.7195703556076</v>
      </c>
      <c r="S585" s="500">
        <f t="shared" si="739"/>
        <v>1063.7195703556076</v>
      </c>
      <c r="T585" s="500">
        <f t="shared" si="739"/>
        <v>1063.7195703556076</v>
      </c>
      <c r="U585" s="500">
        <f t="shared" si="739"/>
        <v>1063.7195703556076</v>
      </c>
      <c r="V585" s="498">
        <f t="shared" si="739"/>
        <v>1063.7195703556076</v>
      </c>
      <c r="W585" s="500">
        <f t="shared" si="739"/>
        <v>1063.7195703556076</v>
      </c>
      <c r="X585" s="500">
        <f t="shared" si="739"/>
        <v>1063.7195703556076</v>
      </c>
      <c r="Y585" s="500">
        <f t="shared" si="739"/>
        <v>1063.7195703556076</v>
      </c>
      <c r="Z585" s="500">
        <f t="shared" si="739"/>
        <v>1063.7195703556076</v>
      </c>
      <c r="AA585" s="500">
        <f t="shared" si="739"/>
        <v>1063.7195703556076</v>
      </c>
      <c r="AB585" s="500">
        <f t="shared" si="739"/>
        <v>1063.7195703556076</v>
      </c>
      <c r="AC585" s="500">
        <f t="shared" si="739"/>
        <v>1063.7195703556076</v>
      </c>
      <c r="AD585" s="500">
        <f t="shared" si="739"/>
        <v>1063.7195703556076</v>
      </c>
      <c r="AE585" s="500">
        <f t="shared" si="739"/>
        <v>1063.7195703556076</v>
      </c>
      <c r="AF585" s="500">
        <f t="shared" si="739"/>
        <v>1063.7195703556076</v>
      </c>
      <c r="AG585" s="500">
        <f t="shared" si="739"/>
        <v>1063.7195703556076</v>
      </c>
      <c r="AH585" s="500">
        <f t="shared" si="739"/>
        <v>1063.7195703556076</v>
      </c>
      <c r="AI585" s="500">
        <f t="shared" si="739"/>
        <v>1063.7195703556076</v>
      </c>
      <c r="AJ585" s="500">
        <f t="shared" si="739"/>
        <v>1063.7195703556076</v>
      </c>
      <c r="AK585" s="500">
        <f t="shared" si="739"/>
        <v>1063.7195703556076</v>
      </c>
      <c r="AL585" s="500">
        <f t="shared" si="739"/>
        <v>1063.7195703556076</v>
      </c>
      <c r="AM585" s="500">
        <f t="shared" si="739"/>
        <v>1063.7195703556076</v>
      </c>
      <c r="AN585" s="532">
        <f t="shared" si="739"/>
        <v>1063.7195703556076</v>
      </c>
      <c r="AO585" s="532">
        <f t="shared" si="739"/>
        <v>1063.7195703556076</v>
      </c>
      <c r="AP585" s="532">
        <f t="shared" si="739"/>
        <v>1063.7195703556076</v>
      </c>
      <c r="AQ585" s="532">
        <f t="shared" si="739"/>
        <v>1063.7195703556076</v>
      </c>
      <c r="AR585" s="532">
        <f t="shared" si="739"/>
        <v>1063.7195703556076</v>
      </c>
      <c r="AS585" s="532">
        <f t="shared" si="739"/>
        <v>1063.7195703556076</v>
      </c>
      <c r="AT585" s="532">
        <f t="shared" si="739"/>
        <v>1063.7195703556076</v>
      </c>
      <c r="AU585" s="532">
        <f t="shared" si="739"/>
        <v>1063.7195703556076</v>
      </c>
      <c r="AV585" s="532">
        <f t="shared" si="739"/>
        <v>1063.7195703556076</v>
      </c>
      <c r="AW585" s="532">
        <f t="shared" si="739"/>
        <v>1063.7195703556076</v>
      </c>
      <c r="AX585" s="532">
        <f t="shared" ref="AX585:BY585" si="740">AX521/AX$571</f>
        <v>1063.7195703556076</v>
      </c>
      <c r="AY585" s="532">
        <f t="shared" si="740"/>
        <v>1063.7195703556076</v>
      </c>
      <c r="AZ585" s="532">
        <f t="shared" si="740"/>
        <v>1063.7195703556076</v>
      </c>
      <c r="BA585" s="532">
        <f t="shared" si="740"/>
        <v>1063.7195703556076</v>
      </c>
      <c r="BB585" s="532">
        <f t="shared" si="740"/>
        <v>1063.7195703556076</v>
      </c>
      <c r="BC585" s="532">
        <f t="shared" si="740"/>
        <v>1063.7195703556076</v>
      </c>
      <c r="BD585" s="532">
        <f t="shared" si="740"/>
        <v>1063.7195703556076</v>
      </c>
      <c r="BE585" s="532">
        <f t="shared" si="740"/>
        <v>1063.7195703556076</v>
      </c>
      <c r="BF585" s="532">
        <f t="shared" si="740"/>
        <v>1063.7195703556076</v>
      </c>
      <c r="BG585" s="532">
        <f t="shared" si="740"/>
        <v>1063.7195703556076</v>
      </c>
      <c r="BH585" s="532">
        <f t="shared" si="740"/>
        <v>1063.7195703556076</v>
      </c>
      <c r="BI585" s="532">
        <f t="shared" si="740"/>
        <v>1063.7195703556076</v>
      </c>
      <c r="BJ585" s="532">
        <f t="shared" si="740"/>
        <v>1063.7195703556076</v>
      </c>
      <c r="BK585" s="532">
        <f t="shared" si="740"/>
        <v>1063.7195703556076</v>
      </c>
      <c r="BL585" s="532">
        <f t="shared" si="740"/>
        <v>1063.7195703556076</v>
      </c>
      <c r="BM585" s="532">
        <f t="shared" si="740"/>
        <v>1063.7195703556076</v>
      </c>
      <c r="BN585" s="532">
        <f t="shared" si="740"/>
        <v>1063.7195703556076</v>
      </c>
      <c r="BO585" s="532">
        <f t="shared" si="740"/>
        <v>1063.7195703556076</v>
      </c>
      <c r="BP585" s="532">
        <f t="shared" si="740"/>
        <v>1063.7195703556076</v>
      </c>
      <c r="BQ585" s="532">
        <f t="shared" si="740"/>
        <v>1063.7195703556076</v>
      </c>
      <c r="BR585" s="532">
        <f t="shared" si="740"/>
        <v>1063.7195703556076</v>
      </c>
      <c r="BS585" s="532">
        <f t="shared" si="740"/>
        <v>1063.7195703556076</v>
      </c>
      <c r="BT585" s="532">
        <f t="shared" si="740"/>
        <v>1063.7195703556076</v>
      </c>
      <c r="BU585" s="532">
        <f t="shared" si="740"/>
        <v>1063.7195703556076</v>
      </c>
      <c r="BV585" s="532">
        <f t="shared" si="740"/>
        <v>1063.7195703556076</v>
      </c>
      <c r="BW585" s="532">
        <f t="shared" si="740"/>
        <v>1063.7195703556076</v>
      </c>
      <c r="BX585" s="532">
        <f t="shared" si="740"/>
        <v>1063.7195703556076</v>
      </c>
      <c r="BY585" s="532">
        <f t="shared" si="740"/>
        <v>1063.7195703556076</v>
      </c>
    </row>
    <row r="586" spans="2:80" x14ac:dyDescent="0.3">
      <c r="B586" s="40"/>
      <c r="C586" s="40"/>
      <c r="D586" s="40"/>
      <c r="E586" s="2" t="s">
        <v>392</v>
      </c>
      <c r="F586" s="54"/>
      <c r="G586" s="54"/>
      <c r="I586" s="497">
        <f t="shared" si="737"/>
        <v>-6282.7089830684608</v>
      </c>
      <c r="J586" s="497">
        <f t="shared" si="737"/>
        <v>-6282.7089830684608</v>
      </c>
      <c r="K586" s="497">
        <f t="shared" si="737"/>
        <v>-6282.7089830684608</v>
      </c>
      <c r="L586" s="497">
        <f t="shared" si="737"/>
        <v>-6282.7089830684608</v>
      </c>
      <c r="M586" s="497">
        <f t="shared" si="737"/>
        <v>-6282.7089830684608</v>
      </c>
      <c r="N586" s="497">
        <f t="shared" si="737"/>
        <v>-6282.7089830684608</v>
      </c>
      <c r="O586" s="37"/>
      <c r="P586" s="50">
        <f t="shared" si="738"/>
        <v>0</v>
      </c>
      <c r="R586" s="497">
        <f t="shared" ref="R586:AW586" si="741">R522/R$571</f>
        <v>-523.55908192237177</v>
      </c>
      <c r="S586" s="497">
        <f t="shared" si="741"/>
        <v>-523.55908192237177</v>
      </c>
      <c r="T586" s="497">
        <f t="shared" si="741"/>
        <v>-523.55908192237177</v>
      </c>
      <c r="U586" s="497">
        <f t="shared" si="741"/>
        <v>-523.55908192237177</v>
      </c>
      <c r="V586" s="497">
        <f t="shared" si="741"/>
        <v>-523.55908192237177</v>
      </c>
      <c r="W586" s="497">
        <f t="shared" si="741"/>
        <v>-523.55908192237177</v>
      </c>
      <c r="X586" s="497">
        <f t="shared" si="741"/>
        <v>-523.55908192237177</v>
      </c>
      <c r="Y586" s="497">
        <f t="shared" si="741"/>
        <v>-523.55908192237177</v>
      </c>
      <c r="Z586" s="497">
        <f t="shared" si="741"/>
        <v>-523.55908192237177</v>
      </c>
      <c r="AA586" s="497">
        <f t="shared" si="741"/>
        <v>-523.55908192237177</v>
      </c>
      <c r="AB586" s="497">
        <f t="shared" si="741"/>
        <v>-523.55908192237177</v>
      </c>
      <c r="AC586" s="497">
        <f t="shared" si="741"/>
        <v>-523.55908192237177</v>
      </c>
      <c r="AD586" s="497">
        <f t="shared" si="741"/>
        <v>-523.55908192237177</v>
      </c>
      <c r="AE586" s="497">
        <f t="shared" si="741"/>
        <v>-523.55908192237177</v>
      </c>
      <c r="AF586" s="497">
        <f t="shared" si="741"/>
        <v>-523.55908192237177</v>
      </c>
      <c r="AG586" s="497">
        <f t="shared" si="741"/>
        <v>-523.55908192237177</v>
      </c>
      <c r="AH586" s="497">
        <f t="shared" si="741"/>
        <v>-523.55908192237177</v>
      </c>
      <c r="AI586" s="497">
        <f t="shared" si="741"/>
        <v>-523.55908192237177</v>
      </c>
      <c r="AJ586" s="497">
        <f t="shared" si="741"/>
        <v>-523.55908192237177</v>
      </c>
      <c r="AK586" s="497">
        <f t="shared" si="741"/>
        <v>-523.55908192237177</v>
      </c>
      <c r="AL586" s="497">
        <f t="shared" si="741"/>
        <v>-523.55908192237177</v>
      </c>
      <c r="AM586" s="497">
        <f t="shared" si="741"/>
        <v>-523.55908192237177</v>
      </c>
      <c r="AN586" s="527">
        <f t="shared" si="741"/>
        <v>-523.55908192237177</v>
      </c>
      <c r="AO586" s="527">
        <f t="shared" si="741"/>
        <v>-523.55908192237177</v>
      </c>
      <c r="AP586" s="527">
        <f t="shared" si="741"/>
        <v>-523.55908192237177</v>
      </c>
      <c r="AQ586" s="527">
        <f t="shared" si="741"/>
        <v>-523.55908192237177</v>
      </c>
      <c r="AR586" s="527">
        <f t="shared" si="741"/>
        <v>-523.55908192237177</v>
      </c>
      <c r="AS586" s="527">
        <f t="shared" si="741"/>
        <v>-523.55908192237177</v>
      </c>
      <c r="AT586" s="527">
        <f t="shared" si="741"/>
        <v>-523.55908192237177</v>
      </c>
      <c r="AU586" s="527">
        <f t="shared" si="741"/>
        <v>-523.55908192237177</v>
      </c>
      <c r="AV586" s="527">
        <f t="shared" si="741"/>
        <v>-523.55908192237177</v>
      </c>
      <c r="AW586" s="527">
        <f t="shared" si="741"/>
        <v>-523.55908192237177</v>
      </c>
      <c r="AX586" s="527">
        <f t="shared" ref="AX586:BY586" si="742">AX522/AX$571</f>
        <v>-523.55908192237177</v>
      </c>
      <c r="AY586" s="527">
        <f t="shared" si="742"/>
        <v>-523.55908192237177</v>
      </c>
      <c r="AZ586" s="527">
        <f t="shared" si="742"/>
        <v>-523.55908192237177</v>
      </c>
      <c r="BA586" s="527">
        <f t="shared" si="742"/>
        <v>-523.55908192237177</v>
      </c>
      <c r="BB586" s="527">
        <f t="shared" si="742"/>
        <v>-523.55908192237177</v>
      </c>
      <c r="BC586" s="527">
        <f t="shared" si="742"/>
        <v>-523.55908192237177</v>
      </c>
      <c r="BD586" s="527">
        <f t="shared" si="742"/>
        <v>-523.55908192237177</v>
      </c>
      <c r="BE586" s="527">
        <f t="shared" si="742"/>
        <v>-523.55908192237177</v>
      </c>
      <c r="BF586" s="527">
        <f t="shared" si="742"/>
        <v>-523.55908192237177</v>
      </c>
      <c r="BG586" s="527">
        <f t="shared" si="742"/>
        <v>-523.55908192237177</v>
      </c>
      <c r="BH586" s="527">
        <f t="shared" si="742"/>
        <v>-523.55908192237177</v>
      </c>
      <c r="BI586" s="527">
        <f t="shared" si="742"/>
        <v>-523.55908192237177</v>
      </c>
      <c r="BJ586" s="527">
        <f t="shared" si="742"/>
        <v>-523.55908192237177</v>
      </c>
      <c r="BK586" s="527">
        <f t="shared" si="742"/>
        <v>-523.55908192237177</v>
      </c>
      <c r="BL586" s="527">
        <f t="shared" si="742"/>
        <v>-523.55908192237177</v>
      </c>
      <c r="BM586" s="527">
        <f t="shared" si="742"/>
        <v>-523.55908192237177</v>
      </c>
      <c r="BN586" s="527">
        <f t="shared" si="742"/>
        <v>-523.55908192237177</v>
      </c>
      <c r="BO586" s="527">
        <f t="shared" si="742"/>
        <v>-523.55908192237177</v>
      </c>
      <c r="BP586" s="527">
        <f t="shared" si="742"/>
        <v>-523.55908192237177</v>
      </c>
      <c r="BQ586" s="527">
        <f t="shared" si="742"/>
        <v>-523.55908192237177</v>
      </c>
      <c r="BR586" s="527">
        <f t="shared" si="742"/>
        <v>-523.55908192237177</v>
      </c>
      <c r="BS586" s="527">
        <f t="shared" si="742"/>
        <v>-523.55908192237177</v>
      </c>
      <c r="BT586" s="527">
        <f t="shared" si="742"/>
        <v>-523.55908192237177</v>
      </c>
      <c r="BU586" s="527">
        <f t="shared" si="742"/>
        <v>-523.55908192237177</v>
      </c>
      <c r="BV586" s="527">
        <f t="shared" si="742"/>
        <v>-523.55908192237177</v>
      </c>
      <c r="BW586" s="527">
        <f t="shared" si="742"/>
        <v>-523.55908192237177</v>
      </c>
      <c r="BX586" s="527">
        <f t="shared" si="742"/>
        <v>-523.55908192237177</v>
      </c>
      <c r="BY586" s="527">
        <f t="shared" si="742"/>
        <v>-523.55908192237177</v>
      </c>
    </row>
    <row r="587" spans="2:80" x14ac:dyDescent="0.3">
      <c r="B587" s="40"/>
      <c r="C587" s="40"/>
      <c r="E587" s="2" t="s">
        <v>393</v>
      </c>
      <c r="F587" s="54"/>
      <c r="G587" s="54"/>
      <c r="I587" s="497">
        <f t="shared" si="737"/>
        <v>-745.57342763024189</v>
      </c>
      <c r="J587" s="497">
        <f t="shared" si="737"/>
        <v>-745.57342763024189</v>
      </c>
      <c r="K587" s="497">
        <f t="shared" si="737"/>
        <v>-745.57342763024189</v>
      </c>
      <c r="L587" s="497">
        <f t="shared" si="737"/>
        <v>-745.57342763024189</v>
      </c>
      <c r="M587" s="497">
        <f t="shared" si="737"/>
        <v>-745.57342763024189</v>
      </c>
      <c r="N587" s="497">
        <f t="shared" si="737"/>
        <v>-745.57342763024189</v>
      </c>
      <c r="O587" s="37"/>
      <c r="P587" s="50">
        <f t="shared" si="738"/>
        <v>0</v>
      </c>
      <c r="R587" s="497">
        <f t="shared" ref="R587:AW587" si="743">R523/R$571</f>
        <v>-62.131118969186822</v>
      </c>
      <c r="S587" s="497">
        <f t="shared" si="743"/>
        <v>-62.131118969186822</v>
      </c>
      <c r="T587" s="497">
        <f t="shared" si="743"/>
        <v>-62.131118969186822</v>
      </c>
      <c r="U587" s="497">
        <f t="shared" si="743"/>
        <v>-62.131118969186822</v>
      </c>
      <c r="V587" s="497">
        <f t="shared" si="743"/>
        <v>-62.131118969186822</v>
      </c>
      <c r="W587" s="497">
        <f t="shared" si="743"/>
        <v>-62.131118969186822</v>
      </c>
      <c r="X587" s="497">
        <f t="shared" si="743"/>
        <v>-62.131118969186822</v>
      </c>
      <c r="Y587" s="497">
        <f t="shared" si="743"/>
        <v>-62.131118969186822</v>
      </c>
      <c r="Z587" s="497">
        <f t="shared" si="743"/>
        <v>-62.131118969186822</v>
      </c>
      <c r="AA587" s="497">
        <f t="shared" si="743"/>
        <v>-62.131118969186822</v>
      </c>
      <c r="AB587" s="497">
        <f t="shared" si="743"/>
        <v>-62.131118969186822</v>
      </c>
      <c r="AC587" s="497">
        <f t="shared" si="743"/>
        <v>-62.131118969186822</v>
      </c>
      <c r="AD587" s="497">
        <f t="shared" si="743"/>
        <v>-62.131118969186822</v>
      </c>
      <c r="AE587" s="497">
        <f t="shared" si="743"/>
        <v>-62.131118969186822</v>
      </c>
      <c r="AF587" s="497">
        <f t="shared" si="743"/>
        <v>-62.131118969186822</v>
      </c>
      <c r="AG587" s="497">
        <f t="shared" si="743"/>
        <v>-62.131118969186822</v>
      </c>
      <c r="AH587" s="497">
        <f t="shared" si="743"/>
        <v>-62.131118969186822</v>
      </c>
      <c r="AI587" s="497">
        <f t="shared" si="743"/>
        <v>-62.131118969186822</v>
      </c>
      <c r="AJ587" s="497">
        <f t="shared" si="743"/>
        <v>-62.131118969186822</v>
      </c>
      <c r="AK587" s="497">
        <f t="shared" si="743"/>
        <v>-62.131118969186822</v>
      </c>
      <c r="AL587" s="497">
        <f t="shared" si="743"/>
        <v>-62.131118969186822</v>
      </c>
      <c r="AM587" s="497">
        <f t="shared" si="743"/>
        <v>-62.131118969186822</v>
      </c>
      <c r="AN587" s="527">
        <f t="shared" si="743"/>
        <v>-62.131118969186822</v>
      </c>
      <c r="AO587" s="527">
        <f t="shared" si="743"/>
        <v>-62.131118969186822</v>
      </c>
      <c r="AP587" s="527">
        <f t="shared" si="743"/>
        <v>-62.131118969186822</v>
      </c>
      <c r="AQ587" s="527">
        <f t="shared" si="743"/>
        <v>-62.131118969186822</v>
      </c>
      <c r="AR587" s="527">
        <f t="shared" si="743"/>
        <v>-62.131118969186822</v>
      </c>
      <c r="AS587" s="527">
        <f t="shared" si="743"/>
        <v>-62.131118969186822</v>
      </c>
      <c r="AT587" s="527">
        <f t="shared" si="743"/>
        <v>-62.131118969186822</v>
      </c>
      <c r="AU587" s="527">
        <f t="shared" si="743"/>
        <v>-62.131118969186822</v>
      </c>
      <c r="AV587" s="527">
        <f t="shared" si="743"/>
        <v>-62.131118969186822</v>
      </c>
      <c r="AW587" s="527">
        <f t="shared" si="743"/>
        <v>-62.131118969186822</v>
      </c>
      <c r="AX587" s="527">
        <f t="shared" ref="AX587:BY587" si="744">AX523/AX$571</f>
        <v>-62.131118969186822</v>
      </c>
      <c r="AY587" s="527">
        <f t="shared" si="744"/>
        <v>-62.131118969186822</v>
      </c>
      <c r="AZ587" s="527">
        <f t="shared" si="744"/>
        <v>-62.131118969186822</v>
      </c>
      <c r="BA587" s="527">
        <f t="shared" si="744"/>
        <v>-62.131118969186822</v>
      </c>
      <c r="BB587" s="527">
        <f t="shared" si="744"/>
        <v>-62.131118969186822</v>
      </c>
      <c r="BC587" s="527">
        <f t="shared" si="744"/>
        <v>-62.131118969186822</v>
      </c>
      <c r="BD587" s="527">
        <f t="shared" si="744"/>
        <v>-62.131118969186822</v>
      </c>
      <c r="BE587" s="527">
        <f t="shared" si="744"/>
        <v>-62.131118969186822</v>
      </c>
      <c r="BF587" s="527">
        <f t="shared" si="744"/>
        <v>-62.131118969186822</v>
      </c>
      <c r="BG587" s="527">
        <f t="shared" si="744"/>
        <v>-62.131118969186822</v>
      </c>
      <c r="BH587" s="527">
        <f t="shared" si="744"/>
        <v>-62.131118969186822</v>
      </c>
      <c r="BI587" s="527">
        <f t="shared" si="744"/>
        <v>-62.131118969186822</v>
      </c>
      <c r="BJ587" s="527">
        <f t="shared" si="744"/>
        <v>-62.131118969186822</v>
      </c>
      <c r="BK587" s="527">
        <f t="shared" si="744"/>
        <v>-62.131118969186822</v>
      </c>
      <c r="BL587" s="527">
        <f t="shared" si="744"/>
        <v>-62.131118969186822</v>
      </c>
      <c r="BM587" s="527">
        <f t="shared" si="744"/>
        <v>-62.131118969186822</v>
      </c>
      <c r="BN587" s="527">
        <f t="shared" si="744"/>
        <v>-62.131118969186822</v>
      </c>
      <c r="BO587" s="527">
        <f t="shared" si="744"/>
        <v>-62.131118969186822</v>
      </c>
      <c r="BP587" s="527">
        <f t="shared" si="744"/>
        <v>-62.131118969186822</v>
      </c>
      <c r="BQ587" s="527">
        <f t="shared" si="744"/>
        <v>-62.131118969186822</v>
      </c>
      <c r="BR587" s="527">
        <f t="shared" si="744"/>
        <v>-62.131118969186822</v>
      </c>
      <c r="BS587" s="527">
        <f t="shared" si="744"/>
        <v>-62.131118969186822</v>
      </c>
      <c r="BT587" s="527">
        <f t="shared" si="744"/>
        <v>-62.131118969186822</v>
      </c>
      <c r="BU587" s="527">
        <f t="shared" si="744"/>
        <v>-62.131118969186822</v>
      </c>
      <c r="BV587" s="527">
        <f t="shared" si="744"/>
        <v>-62.131118969186822</v>
      </c>
      <c r="BW587" s="527">
        <f t="shared" si="744"/>
        <v>-62.131118969186822</v>
      </c>
      <c r="BX587" s="527">
        <f t="shared" si="744"/>
        <v>-62.131118969186822</v>
      </c>
      <c r="BY587" s="527">
        <f t="shared" si="744"/>
        <v>-62.131118969186822</v>
      </c>
    </row>
    <row r="588" spans="2:80" x14ac:dyDescent="0.3">
      <c r="B588" s="40"/>
      <c r="C588" s="40"/>
      <c r="E588" s="4" t="s">
        <v>394</v>
      </c>
      <c r="F588" s="5"/>
      <c r="G588" s="5"/>
      <c r="I588" s="500">
        <f t="shared" si="737"/>
        <v>4109.542307692308</v>
      </c>
      <c r="J588" s="500">
        <f t="shared" si="737"/>
        <v>5736.3524335685879</v>
      </c>
      <c r="K588" s="500">
        <f t="shared" si="737"/>
        <v>5736.3524335685879</v>
      </c>
      <c r="L588" s="500">
        <f t="shared" si="737"/>
        <v>5736.3524335685879</v>
      </c>
      <c r="M588" s="500">
        <f t="shared" si="737"/>
        <v>5736.3524335685879</v>
      </c>
      <c r="N588" s="500">
        <f t="shared" si="737"/>
        <v>5736.3524335685879</v>
      </c>
      <c r="O588" s="57"/>
      <c r="P588" s="55">
        <f t="shared" si="738"/>
        <v>6.8977277992343655E-2</v>
      </c>
      <c r="R588" s="500">
        <f t="shared" ref="R588:AW588" si="745">R524/R$571</f>
        <v>478.02936946404907</v>
      </c>
      <c r="S588" s="500">
        <f t="shared" si="745"/>
        <v>478.02936946404907</v>
      </c>
      <c r="T588" s="500">
        <f t="shared" si="745"/>
        <v>478.02936946404907</v>
      </c>
      <c r="U588" s="500">
        <f t="shared" si="745"/>
        <v>478.02936946404907</v>
      </c>
      <c r="V588" s="500">
        <f t="shared" si="745"/>
        <v>478.02936946404907</v>
      </c>
      <c r="W588" s="500">
        <f t="shared" si="745"/>
        <v>478.02936946404907</v>
      </c>
      <c r="X588" s="500">
        <f t="shared" si="745"/>
        <v>478.02936946404907</v>
      </c>
      <c r="Y588" s="500">
        <f t="shared" si="745"/>
        <v>478.02936946404907</v>
      </c>
      <c r="Z588" s="500">
        <f t="shared" si="745"/>
        <v>478.02936946404907</v>
      </c>
      <c r="AA588" s="500">
        <f t="shared" si="745"/>
        <v>478.02936946404907</v>
      </c>
      <c r="AB588" s="500">
        <f t="shared" si="745"/>
        <v>478.02936946404907</v>
      </c>
      <c r="AC588" s="500">
        <f t="shared" si="745"/>
        <v>478.02936946404907</v>
      </c>
      <c r="AD588" s="500">
        <f t="shared" si="745"/>
        <v>478.02936946404907</v>
      </c>
      <c r="AE588" s="500">
        <f t="shared" si="745"/>
        <v>478.02936946404907</v>
      </c>
      <c r="AF588" s="500">
        <f t="shared" si="745"/>
        <v>478.02936946404907</v>
      </c>
      <c r="AG588" s="500">
        <f t="shared" si="745"/>
        <v>478.02936946404907</v>
      </c>
      <c r="AH588" s="500">
        <f t="shared" si="745"/>
        <v>478.02936946404907</v>
      </c>
      <c r="AI588" s="500">
        <f t="shared" si="745"/>
        <v>478.02936946404907</v>
      </c>
      <c r="AJ588" s="500">
        <f t="shared" si="745"/>
        <v>478.02936946404907</v>
      </c>
      <c r="AK588" s="500">
        <f t="shared" si="745"/>
        <v>478.02936946404907</v>
      </c>
      <c r="AL588" s="500">
        <f t="shared" si="745"/>
        <v>478.02936946404907</v>
      </c>
      <c r="AM588" s="500">
        <f t="shared" si="745"/>
        <v>478.02936946404907</v>
      </c>
      <c r="AN588" s="532">
        <f t="shared" si="745"/>
        <v>478.02936946404907</v>
      </c>
      <c r="AO588" s="532">
        <f t="shared" si="745"/>
        <v>478.02936946404907</v>
      </c>
      <c r="AP588" s="532">
        <f t="shared" si="745"/>
        <v>478.02936946404907</v>
      </c>
      <c r="AQ588" s="532">
        <f t="shared" si="745"/>
        <v>478.02936946404907</v>
      </c>
      <c r="AR588" s="532">
        <f t="shared" si="745"/>
        <v>478.02936946404907</v>
      </c>
      <c r="AS588" s="532">
        <f t="shared" si="745"/>
        <v>478.02936946404907</v>
      </c>
      <c r="AT588" s="532">
        <f t="shared" si="745"/>
        <v>478.02936946404907</v>
      </c>
      <c r="AU588" s="532">
        <f t="shared" si="745"/>
        <v>478.02936946404907</v>
      </c>
      <c r="AV588" s="532">
        <f t="shared" si="745"/>
        <v>478.02936946404907</v>
      </c>
      <c r="AW588" s="532">
        <f t="shared" si="745"/>
        <v>478.02936946404907</v>
      </c>
      <c r="AX588" s="532">
        <f t="shared" ref="AX588:BY588" si="746">AX524/AX$571</f>
        <v>478.02936946404907</v>
      </c>
      <c r="AY588" s="532">
        <f t="shared" si="746"/>
        <v>478.02936946404907</v>
      </c>
      <c r="AZ588" s="532">
        <f t="shared" si="746"/>
        <v>478.02936946404907</v>
      </c>
      <c r="BA588" s="532">
        <f t="shared" si="746"/>
        <v>478.02936946404907</v>
      </c>
      <c r="BB588" s="532">
        <f t="shared" si="746"/>
        <v>478.02936946404907</v>
      </c>
      <c r="BC588" s="532">
        <f t="shared" si="746"/>
        <v>478.02936946404907</v>
      </c>
      <c r="BD588" s="532">
        <f t="shared" si="746"/>
        <v>478.02936946404907</v>
      </c>
      <c r="BE588" s="532">
        <f t="shared" si="746"/>
        <v>478.02936946404907</v>
      </c>
      <c r="BF588" s="532">
        <f t="shared" si="746"/>
        <v>478.02936946404907</v>
      </c>
      <c r="BG588" s="532">
        <f t="shared" si="746"/>
        <v>478.02936946404907</v>
      </c>
      <c r="BH588" s="532">
        <f t="shared" si="746"/>
        <v>478.02936946404907</v>
      </c>
      <c r="BI588" s="532">
        <f t="shared" si="746"/>
        <v>478.02936946404907</v>
      </c>
      <c r="BJ588" s="532">
        <f t="shared" si="746"/>
        <v>478.02936946404907</v>
      </c>
      <c r="BK588" s="532">
        <f t="shared" si="746"/>
        <v>478.02936946404907</v>
      </c>
      <c r="BL588" s="532">
        <f t="shared" si="746"/>
        <v>478.02936946404907</v>
      </c>
      <c r="BM588" s="532">
        <f t="shared" si="746"/>
        <v>478.02936946404907</v>
      </c>
      <c r="BN588" s="532">
        <f t="shared" si="746"/>
        <v>478.02936946404907</v>
      </c>
      <c r="BO588" s="532">
        <f t="shared" si="746"/>
        <v>478.02936946404907</v>
      </c>
      <c r="BP588" s="532">
        <f t="shared" si="746"/>
        <v>478.02936946404907</v>
      </c>
      <c r="BQ588" s="532">
        <f t="shared" si="746"/>
        <v>478.02936946404907</v>
      </c>
      <c r="BR588" s="532">
        <f t="shared" si="746"/>
        <v>478.02936946404907</v>
      </c>
      <c r="BS588" s="532">
        <f t="shared" si="746"/>
        <v>478.02936946404907</v>
      </c>
      <c r="BT588" s="532">
        <f t="shared" si="746"/>
        <v>478.02936946404907</v>
      </c>
      <c r="BU588" s="532">
        <f t="shared" si="746"/>
        <v>478.02936946404907</v>
      </c>
      <c r="BV588" s="532">
        <f t="shared" si="746"/>
        <v>478.02936946404907</v>
      </c>
      <c r="BW588" s="532">
        <f t="shared" si="746"/>
        <v>478.02936946404907</v>
      </c>
      <c r="BX588" s="532">
        <f t="shared" si="746"/>
        <v>478.02936946404907</v>
      </c>
      <c r="BY588" s="532">
        <f t="shared" si="746"/>
        <v>478.02936946404907</v>
      </c>
    </row>
    <row r="589" spans="2:80" x14ac:dyDescent="0.3">
      <c r="B589" s="40"/>
      <c r="C589" s="40"/>
      <c r="E589" s="2" t="s">
        <v>395</v>
      </c>
      <c r="F589" s="54"/>
      <c r="G589" s="54"/>
      <c r="I589" s="497">
        <f t="shared" si="737"/>
        <v>-1270.2513528866521</v>
      </c>
      <c r="J589" s="497">
        <f t="shared" si="737"/>
        <v>-1270.2513528866521</v>
      </c>
      <c r="K589" s="497">
        <f t="shared" si="737"/>
        <v>-1270.2513528866521</v>
      </c>
      <c r="L589" s="497">
        <f t="shared" si="737"/>
        <v>-1270.2513528866521</v>
      </c>
      <c r="M589" s="497">
        <f t="shared" si="737"/>
        <v>-1270.2513528866521</v>
      </c>
      <c r="N589" s="497">
        <f t="shared" si="737"/>
        <v>-1270.2513528866521</v>
      </c>
      <c r="O589" s="37"/>
      <c r="P589" s="50">
        <f t="shared" si="738"/>
        <v>0</v>
      </c>
      <c r="R589" s="497">
        <f t="shared" ref="R589:AW589" si="747">R525/R$571</f>
        <v>-105.854279407221</v>
      </c>
      <c r="S589" s="497">
        <f t="shared" si="747"/>
        <v>-105.854279407221</v>
      </c>
      <c r="T589" s="497">
        <f t="shared" si="747"/>
        <v>-105.854279407221</v>
      </c>
      <c r="U589" s="497">
        <f t="shared" si="747"/>
        <v>-105.854279407221</v>
      </c>
      <c r="V589" s="497">
        <f t="shared" si="747"/>
        <v>-105.854279407221</v>
      </c>
      <c r="W589" s="497">
        <f t="shared" si="747"/>
        <v>-105.854279407221</v>
      </c>
      <c r="X589" s="497">
        <f t="shared" si="747"/>
        <v>-105.854279407221</v>
      </c>
      <c r="Y589" s="497">
        <f t="shared" si="747"/>
        <v>-105.854279407221</v>
      </c>
      <c r="Z589" s="497">
        <f t="shared" si="747"/>
        <v>-105.854279407221</v>
      </c>
      <c r="AA589" s="497">
        <f t="shared" si="747"/>
        <v>-105.854279407221</v>
      </c>
      <c r="AB589" s="497">
        <f t="shared" si="747"/>
        <v>-105.854279407221</v>
      </c>
      <c r="AC589" s="497">
        <f t="shared" si="747"/>
        <v>-105.854279407221</v>
      </c>
      <c r="AD589" s="497">
        <f t="shared" si="747"/>
        <v>-105.854279407221</v>
      </c>
      <c r="AE589" s="497">
        <f t="shared" si="747"/>
        <v>-105.854279407221</v>
      </c>
      <c r="AF589" s="497">
        <f t="shared" si="747"/>
        <v>-105.854279407221</v>
      </c>
      <c r="AG589" s="497">
        <f t="shared" si="747"/>
        <v>-105.854279407221</v>
      </c>
      <c r="AH589" s="497">
        <f t="shared" si="747"/>
        <v>-105.854279407221</v>
      </c>
      <c r="AI589" s="497">
        <f t="shared" si="747"/>
        <v>-105.854279407221</v>
      </c>
      <c r="AJ589" s="497">
        <f t="shared" si="747"/>
        <v>-105.854279407221</v>
      </c>
      <c r="AK589" s="497">
        <f t="shared" si="747"/>
        <v>-105.854279407221</v>
      </c>
      <c r="AL589" s="497">
        <f t="shared" si="747"/>
        <v>-105.854279407221</v>
      </c>
      <c r="AM589" s="497">
        <f t="shared" si="747"/>
        <v>-105.854279407221</v>
      </c>
      <c r="AN589" s="527">
        <f t="shared" si="747"/>
        <v>-105.854279407221</v>
      </c>
      <c r="AO589" s="527">
        <f t="shared" si="747"/>
        <v>-105.854279407221</v>
      </c>
      <c r="AP589" s="527">
        <f t="shared" si="747"/>
        <v>-105.854279407221</v>
      </c>
      <c r="AQ589" s="527">
        <f t="shared" si="747"/>
        <v>-105.854279407221</v>
      </c>
      <c r="AR589" s="527">
        <f t="shared" si="747"/>
        <v>-105.854279407221</v>
      </c>
      <c r="AS589" s="527">
        <f t="shared" si="747"/>
        <v>-105.854279407221</v>
      </c>
      <c r="AT589" s="527">
        <f t="shared" si="747"/>
        <v>-105.854279407221</v>
      </c>
      <c r="AU589" s="527">
        <f t="shared" si="747"/>
        <v>-105.854279407221</v>
      </c>
      <c r="AV589" s="527">
        <f t="shared" si="747"/>
        <v>-105.854279407221</v>
      </c>
      <c r="AW589" s="527">
        <f t="shared" si="747"/>
        <v>-105.854279407221</v>
      </c>
      <c r="AX589" s="527">
        <f t="shared" ref="AX589:BY589" si="748">AX525/AX$571</f>
        <v>-105.854279407221</v>
      </c>
      <c r="AY589" s="527">
        <f t="shared" si="748"/>
        <v>-105.854279407221</v>
      </c>
      <c r="AZ589" s="527">
        <f t="shared" si="748"/>
        <v>-105.854279407221</v>
      </c>
      <c r="BA589" s="527">
        <f t="shared" si="748"/>
        <v>-105.854279407221</v>
      </c>
      <c r="BB589" s="527">
        <f t="shared" si="748"/>
        <v>-105.854279407221</v>
      </c>
      <c r="BC589" s="527">
        <f t="shared" si="748"/>
        <v>-105.854279407221</v>
      </c>
      <c r="BD589" s="527">
        <f t="shared" si="748"/>
        <v>-105.854279407221</v>
      </c>
      <c r="BE589" s="527">
        <f t="shared" si="748"/>
        <v>-105.854279407221</v>
      </c>
      <c r="BF589" s="527">
        <f t="shared" si="748"/>
        <v>-105.854279407221</v>
      </c>
      <c r="BG589" s="527">
        <f t="shared" si="748"/>
        <v>-105.854279407221</v>
      </c>
      <c r="BH589" s="527">
        <f t="shared" si="748"/>
        <v>-105.854279407221</v>
      </c>
      <c r="BI589" s="527">
        <f t="shared" si="748"/>
        <v>-105.854279407221</v>
      </c>
      <c r="BJ589" s="527">
        <f t="shared" si="748"/>
        <v>-105.854279407221</v>
      </c>
      <c r="BK589" s="527">
        <f t="shared" si="748"/>
        <v>-105.854279407221</v>
      </c>
      <c r="BL589" s="527">
        <f t="shared" si="748"/>
        <v>-105.854279407221</v>
      </c>
      <c r="BM589" s="527">
        <f t="shared" si="748"/>
        <v>-105.854279407221</v>
      </c>
      <c r="BN589" s="527">
        <f t="shared" si="748"/>
        <v>-105.854279407221</v>
      </c>
      <c r="BO589" s="527">
        <f t="shared" si="748"/>
        <v>-105.854279407221</v>
      </c>
      <c r="BP589" s="527">
        <f t="shared" si="748"/>
        <v>-105.854279407221</v>
      </c>
      <c r="BQ589" s="527">
        <f t="shared" si="748"/>
        <v>-105.854279407221</v>
      </c>
      <c r="BR589" s="527">
        <f t="shared" si="748"/>
        <v>-105.854279407221</v>
      </c>
      <c r="BS589" s="527">
        <f t="shared" si="748"/>
        <v>-105.854279407221</v>
      </c>
      <c r="BT589" s="527">
        <f t="shared" si="748"/>
        <v>-105.854279407221</v>
      </c>
      <c r="BU589" s="527">
        <f t="shared" si="748"/>
        <v>-105.854279407221</v>
      </c>
      <c r="BV589" s="527">
        <f t="shared" si="748"/>
        <v>-105.854279407221</v>
      </c>
      <c r="BW589" s="527">
        <f t="shared" si="748"/>
        <v>-105.854279407221</v>
      </c>
      <c r="BX589" s="527">
        <f t="shared" si="748"/>
        <v>-105.854279407221</v>
      </c>
      <c r="BY589" s="527">
        <f t="shared" si="748"/>
        <v>-105.854279407221</v>
      </c>
    </row>
    <row r="590" spans="2:80" x14ac:dyDescent="0.3">
      <c r="B590" s="40"/>
      <c r="C590" s="40"/>
      <c r="E590" s="4" t="s">
        <v>396</v>
      </c>
      <c r="F590" s="5"/>
      <c r="G590" s="5"/>
      <c r="I590" s="500">
        <f t="shared" si="737"/>
        <v>4466.1010806819349</v>
      </c>
      <c r="J590" s="500">
        <f t="shared" si="737"/>
        <v>4466.1010806819349</v>
      </c>
      <c r="K590" s="500">
        <f t="shared" si="737"/>
        <v>4466.1010806819349</v>
      </c>
      <c r="L590" s="500">
        <f t="shared" si="737"/>
        <v>4466.1010806819349</v>
      </c>
      <c r="M590" s="500">
        <f t="shared" si="737"/>
        <v>4466.1010806819349</v>
      </c>
      <c r="N590" s="500">
        <f t="shared" si="737"/>
        <v>4466.1010806819349</v>
      </c>
      <c r="O590" s="57"/>
      <c r="P590" s="55">
        <f t="shared" si="738"/>
        <v>0</v>
      </c>
      <c r="R590" s="498">
        <f t="shared" ref="R590:AW590" si="749">R526/R$571</f>
        <v>372.17509005682808</v>
      </c>
      <c r="S590" s="500">
        <f t="shared" si="749"/>
        <v>372.17509005682808</v>
      </c>
      <c r="T590" s="500">
        <f t="shared" si="749"/>
        <v>372.17509005682808</v>
      </c>
      <c r="U590" s="500">
        <f t="shared" si="749"/>
        <v>372.17509005682808</v>
      </c>
      <c r="V590" s="498">
        <f t="shared" si="749"/>
        <v>372.17509005682808</v>
      </c>
      <c r="W590" s="498">
        <f t="shared" si="749"/>
        <v>372.17509005682808</v>
      </c>
      <c r="X590" s="500">
        <f t="shared" si="749"/>
        <v>372.17509005682808</v>
      </c>
      <c r="Y590" s="500">
        <f t="shared" si="749"/>
        <v>372.17509005682808</v>
      </c>
      <c r="Z590" s="500">
        <f t="shared" si="749"/>
        <v>372.17509005682808</v>
      </c>
      <c r="AA590" s="500">
        <f t="shared" si="749"/>
        <v>372.17509005682808</v>
      </c>
      <c r="AB590" s="500">
        <f t="shared" si="749"/>
        <v>372.17509005682808</v>
      </c>
      <c r="AC590" s="500">
        <f t="shared" si="749"/>
        <v>372.17509005682808</v>
      </c>
      <c r="AD590" s="500">
        <f t="shared" si="749"/>
        <v>372.17509005682808</v>
      </c>
      <c r="AE590" s="500">
        <f t="shared" si="749"/>
        <v>372.17509005682808</v>
      </c>
      <c r="AF590" s="500">
        <f t="shared" si="749"/>
        <v>372.17509005682808</v>
      </c>
      <c r="AG590" s="500">
        <f t="shared" si="749"/>
        <v>372.17509005682808</v>
      </c>
      <c r="AH590" s="500">
        <f t="shared" si="749"/>
        <v>372.17509005682808</v>
      </c>
      <c r="AI590" s="500">
        <f t="shared" si="749"/>
        <v>372.17509005682808</v>
      </c>
      <c r="AJ590" s="500">
        <f t="shared" si="749"/>
        <v>372.17509005682808</v>
      </c>
      <c r="AK590" s="500">
        <f t="shared" si="749"/>
        <v>372.17509005682808</v>
      </c>
      <c r="AL590" s="500">
        <f t="shared" si="749"/>
        <v>372.17509005682808</v>
      </c>
      <c r="AM590" s="500">
        <f t="shared" si="749"/>
        <v>372.17509005682808</v>
      </c>
      <c r="AN590" s="532">
        <f t="shared" si="749"/>
        <v>372.17509005682808</v>
      </c>
      <c r="AO590" s="532">
        <f t="shared" si="749"/>
        <v>372.17509005682808</v>
      </c>
      <c r="AP590" s="532">
        <f t="shared" si="749"/>
        <v>372.17509005682808</v>
      </c>
      <c r="AQ590" s="532">
        <f t="shared" si="749"/>
        <v>372.17509005682808</v>
      </c>
      <c r="AR590" s="532">
        <f t="shared" si="749"/>
        <v>372.17509005682808</v>
      </c>
      <c r="AS590" s="532">
        <f t="shared" si="749"/>
        <v>372.17509005682808</v>
      </c>
      <c r="AT590" s="532">
        <f t="shared" si="749"/>
        <v>372.17509005682808</v>
      </c>
      <c r="AU590" s="532">
        <f t="shared" si="749"/>
        <v>372.17509005682808</v>
      </c>
      <c r="AV590" s="532">
        <f t="shared" si="749"/>
        <v>372.17509005682808</v>
      </c>
      <c r="AW590" s="532">
        <f t="shared" si="749"/>
        <v>372.17509005682808</v>
      </c>
      <c r="AX590" s="532">
        <f t="shared" ref="AX590:BY590" si="750">AX526/AX$571</f>
        <v>372.17509005682808</v>
      </c>
      <c r="AY590" s="532">
        <f t="shared" si="750"/>
        <v>372.17509005682808</v>
      </c>
      <c r="AZ590" s="532">
        <f t="shared" si="750"/>
        <v>372.17509005682808</v>
      </c>
      <c r="BA590" s="532">
        <f t="shared" si="750"/>
        <v>372.17509005682808</v>
      </c>
      <c r="BB590" s="532">
        <f t="shared" si="750"/>
        <v>372.17509005682808</v>
      </c>
      <c r="BC590" s="532">
        <f t="shared" si="750"/>
        <v>372.17509005682808</v>
      </c>
      <c r="BD590" s="532">
        <f t="shared" si="750"/>
        <v>372.17509005682808</v>
      </c>
      <c r="BE590" s="532">
        <f t="shared" si="750"/>
        <v>372.17509005682808</v>
      </c>
      <c r="BF590" s="532">
        <f t="shared" si="750"/>
        <v>372.17509005682808</v>
      </c>
      <c r="BG590" s="532">
        <f t="shared" si="750"/>
        <v>372.17509005682808</v>
      </c>
      <c r="BH590" s="532">
        <f t="shared" si="750"/>
        <v>372.17509005682808</v>
      </c>
      <c r="BI590" s="532">
        <f t="shared" si="750"/>
        <v>372.17509005682808</v>
      </c>
      <c r="BJ590" s="532">
        <f t="shared" si="750"/>
        <v>372.17509005682808</v>
      </c>
      <c r="BK590" s="532">
        <f t="shared" si="750"/>
        <v>372.17509005682808</v>
      </c>
      <c r="BL590" s="532">
        <f t="shared" si="750"/>
        <v>372.17509005682808</v>
      </c>
      <c r="BM590" s="532">
        <f t="shared" si="750"/>
        <v>372.17509005682808</v>
      </c>
      <c r="BN590" s="532">
        <f t="shared" si="750"/>
        <v>372.17509005682808</v>
      </c>
      <c r="BO590" s="532">
        <f t="shared" si="750"/>
        <v>372.17509005682808</v>
      </c>
      <c r="BP590" s="532">
        <f t="shared" si="750"/>
        <v>372.17509005682808</v>
      </c>
      <c r="BQ590" s="532">
        <f t="shared" si="750"/>
        <v>372.17509005682808</v>
      </c>
      <c r="BR590" s="532">
        <f t="shared" si="750"/>
        <v>372.17509005682808</v>
      </c>
      <c r="BS590" s="532">
        <f t="shared" si="750"/>
        <v>372.17509005682808</v>
      </c>
      <c r="BT590" s="532">
        <f t="shared" si="750"/>
        <v>372.17509005682808</v>
      </c>
      <c r="BU590" s="532">
        <f t="shared" si="750"/>
        <v>372.17509005682808</v>
      </c>
      <c r="BV590" s="532">
        <f t="shared" si="750"/>
        <v>372.17509005682808</v>
      </c>
      <c r="BW590" s="532">
        <f t="shared" si="750"/>
        <v>372.17509005682808</v>
      </c>
      <c r="BX590" s="532">
        <f t="shared" si="750"/>
        <v>372.17509005682808</v>
      </c>
      <c r="BY590" s="532">
        <f t="shared" si="750"/>
        <v>372.17509005682808</v>
      </c>
    </row>
    <row r="591" spans="2:80" x14ac:dyDescent="0.3">
      <c r="B591" s="40"/>
      <c r="C591" s="40"/>
      <c r="E591" s="2" t="s">
        <v>176</v>
      </c>
      <c r="F591" s="59"/>
      <c r="G591" s="59"/>
      <c r="H591" s="37"/>
      <c r="I591" s="499">
        <f t="shared" ref="I591:N591" si="751">IFERROR(I590/I585,0)</f>
        <v>0.3498808336603299</v>
      </c>
      <c r="J591" s="499">
        <f t="shared" si="751"/>
        <v>0.3498808336603299</v>
      </c>
      <c r="K591" s="499">
        <f t="shared" si="751"/>
        <v>0.3498808336603299</v>
      </c>
      <c r="L591" s="499">
        <f t="shared" si="751"/>
        <v>0.3498808336603299</v>
      </c>
      <c r="M591" s="499">
        <f t="shared" si="751"/>
        <v>0.3498808336603299</v>
      </c>
      <c r="N591" s="499">
        <f t="shared" si="751"/>
        <v>0.3498808336603299</v>
      </c>
      <c r="O591" s="23"/>
      <c r="P591" s="50">
        <f t="shared" si="738"/>
        <v>0</v>
      </c>
      <c r="Q591" s="37"/>
      <c r="R591" s="499">
        <f t="shared" ref="R591:BY591" si="752">IFERROR(R590/R585,0)</f>
        <v>0.34988083366033002</v>
      </c>
      <c r="S591" s="499">
        <f t="shared" si="752"/>
        <v>0.34988083366033002</v>
      </c>
      <c r="T591" s="499">
        <f t="shared" si="752"/>
        <v>0.34988083366033002</v>
      </c>
      <c r="U591" s="499">
        <f t="shared" si="752"/>
        <v>0.34988083366033002</v>
      </c>
      <c r="V591" s="499">
        <f t="shared" si="752"/>
        <v>0.34988083366033002</v>
      </c>
      <c r="W591" s="499">
        <f t="shared" si="752"/>
        <v>0.34988083366033002</v>
      </c>
      <c r="X591" s="499">
        <f t="shared" si="752"/>
        <v>0.34988083366033002</v>
      </c>
      <c r="Y591" s="499">
        <f t="shared" si="752"/>
        <v>0.34988083366033002</v>
      </c>
      <c r="Z591" s="499">
        <f t="shared" si="752"/>
        <v>0.34988083366033002</v>
      </c>
      <c r="AA591" s="499">
        <f t="shared" si="752"/>
        <v>0.34988083366033002</v>
      </c>
      <c r="AB591" s="499">
        <f t="shared" si="752"/>
        <v>0.34988083366033002</v>
      </c>
      <c r="AC591" s="499">
        <f t="shared" si="752"/>
        <v>0.34988083366033002</v>
      </c>
      <c r="AD591" s="499">
        <f t="shared" si="752"/>
        <v>0.34988083366033002</v>
      </c>
      <c r="AE591" s="499">
        <f t="shared" si="752"/>
        <v>0.34988083366033002</v>
      </c>
      <c r="AF591" s="499">
        <f t="shared" si="752"/>
        <v>0.34988083366033002</v>
      </c>
      <c r="AG591" s="499">
        <f t="shared" si="752"/>
        <v>0.34988083366033002</v>
      </c>
      <c r="AH591" s="499">
        <f t="shared" si="752"/>
        <v>0.34988083366033002</v>
      </c>
      <c r="AI591" s="499">
        <f t="shared" si="752"/>
        <v>0.34988083366033002</v>
      </c>
      <c r="AJ591" s="499">
        <f t="shared" si="752"/>
        <v>0.34988083366033002</v>
      </c>
      <c r="AK591" s="499">
        <f t="shared" si="752"/>
        <v>0.34988083366033002</v>
      </c>
      <c r="AL591" s="499">
        <f t="shared" si="752"/>
        <v>0.34988083366033002</v>
      </c>
      <c r="AM591" s="499">
        <f t="shared" si="752"/>
        <v>0.34988083366033002</v>
      </c>
      <c r="AN591" s="531">
        <f t="shared" si="752"/>
        <v>0.34988083366033002</v>
      </c>
      <c r="AO591" s="531">
        <f t="shared" si="752"/>
        <v>0.34988083366033002</v>
      </c>
      <c r="AP591" s="531">
        <f t="shared" si="752"/>
        <v>0.34988083366033002</v>
      </c>
      <c r="AQ591" s="531">
        <f t="shared" si="752"/>
        <v>0.34988083366033002</v>
      </c>
      <c r="AR591" s="531">
        <f t="shared" si="752"/>
        <v>0.34988083366033002</v>
      </c>
      <c r="AS591" s="531">
        <f t="shared" si="752"/>
        <v>0.34988083366033002</v>
      </c>
      <c r="AT591" s="531">
        <f t="shared" si="752"/>
        <v>0.34988083366033002</v>
      </c>
      <c r="AU591" s="531">
        <f t="shared" si="752"/>
        <v>0.34988083366033002</v>
      </c>
      <c r="AV591" s="531">
        <f t="shared" si="752"/>
        <v>0.34988083366033002</v>
      </c>
      <c r="AW591" s="531">
        <f t="shared" si="752"/>
        <v>0.34988083366033002</v>
      </c>
      <c r="AX591" s="531">
        <f t="shared" si="752"/>
        <v>0.34988083366033002</v>
      </c>
      <c r="AY591" s="531">
        <f t="shared" si="752"/>
        <v>0.34988083366033002</v>
      </c>
      <c r="AZ591" s="531">
        <f t="shared" si="752"/>
        <v>0.34988083366033002</v>
      </c>
      <c r="BA591" s="531">
        <f t="shared" si="752"/>
        <v>0.34988083366033002</v>
      </c>
      <c r="BB591" s="531">
        <f t="shared" si="752"/>
        <v>0.34988083366033002</v>
      </c>
      <c r="BC591" s="531">
        <f t="shared" si="752"/>
        <v>0.34988083366033002</v>
      </c>
      <c r="BD591" s="531">
        <f t="shared" si="752"/>
        <v>0.34988083366033002</v>
      </c>
      <c r="BE591" s="531">
        <f t="shared" si="752"/>
        <v>0.34988083366033002</v>
      </c>
      <c r="BF591" s="531">
        <f t="shared" si="752"/>
        <v>0.34988083366033002</v>
      </c>
      <c r="BG591" s="531">
        <f t="shared" si="752"/>
        <v>0.34988083366033002</v>
      </c>
      <c r="BH591" s="531">
        <f t="shared" si="752"/>
        <v>0.34988083366033002</v>
      </c>
      <c r="BI591" s="531">
        <f t="shared" si="752"/>
        <v>0.34988083366033002</v>
      </c>
      <c r="BJ591" s="531">
        <f t="shared" si="752"/>
        <v>0.34988083366033002</v>
      </c>
      <c r="BK591" s="531">
        <f t="shared" si="752"/>
        <v>0.34988083366033002</v>
      </c>
      <c r="BL591" s="531">
        <f t="shared" si="752"/>
        <v>0.34988083366033002</v>
      </c>
      <c r="BM591" s="531">
        <f t="shared" si="752"/>
        <v>0.34988083366033002</v>
      </c>
      <c r="BN591" s="531">
        <f t="shared" si="752"/>
        <v>0.34988083366033002</v>
      </c>
      <c r="BO591" s="531">
        <f t="shared" si="752"/>
        <v>0.34988083366033002</v>
      </c>
      <c r="BP591" s="531">
        <f t="shared" si="752"/>
        <v>0.34988083366033002</v>
      </c>
      <c r="BQ591" s="531">
        <f t="shared" si="752"/>
        <v>0.34988083366033002</v>
      </c>
      <c r="BR591" s="531">
        <f t="shared" si="752"/>
        <v>0.34988083366033002</v>
      </c>
      <c r="BS591" s="531">
        <f t="shared" si="752"/>
        <v>0.34988083366033002</v>
      </c>
      <c r="BT591" s="531">
        <f t="shared" si="752"/>
        <v>0.34988083366033002</v>
      </c>
      <c r="BU591" s="531">
        <f t="shared" si="752"/>
        <v>0.34988083366033002</v>
      </c>
      <c r="BV591" s="531">
        <f t="shared" si="752"/>
        <v>0.34988083366033002</v>
      </c>
      <c r="BW591" s="531">
        <f t="shared" si="752"/>
        <v>0.34988083366033002</v>
      </c>
      <c r="BX591" s="531">
        <f t="shared" si="752"/>
        <v>0.34988083366033002</v>
      </c>
      <c r="BY591" s="531">
        <f t="shared" si="752"/>
        <v>0.34988083366033002</v>
      </c>
      <c r="CB591" s="37"/>
    </row>
    <row r="592" spans="2:80" x14ac:dyDescent="0.3">
      <c r="B592" s="40"/>
      <c r="C592" s="40"/>
      <c r="E592" s="2"/>
      <c r="F592" s="59"/>
      <c r="G592" s="59"/>
      <c r="I592" s="60"/>
      <c r="J592" s="60"/>
      <c r="K592" s="60"/>
      <c r="L592" s="60"/>
      <c r="M592" s="60"/>
      <c r="N592" s="60"/>
      <c r="O592" s="60"/>
      <c r="P592" s="145"/>
      <c r="R592" s="60"/>
      <c r="S592" s="60"/>
      <c r="T592" s="60"/>
      <c r="U592" s="60"/>
      <c r="V592" s="60"/>
      <c r="W592" s="60"/>
      <c r="X592" s="60"/>
      <c r="Y592" s="60"/>
      <c r="Z592" s="60"/>
      <c r="AA592" s="60"/>
      <c r="AB592" s="60"/>
      <c r="AC592" s="60"/>
      <c r="AD592" s="60"/>
      <c r="AE592" s="60"/>
      <c r="AF592" s="60"/>
      <c r="AG592" s="60"/>
      <c r="AH592" s="60"/>
      <c r="AI592" s="60"/>
      <c r="AJ592" s="60"/>
      <c r="AK592" s="60"/>
      <c r="AL592" s="60"/>
      <c r="AM592" s="60"/>
      <c r="AN592" s="533"/>
      <c r="AO592" s="533"/>
      <c r="AP592" s="533"/>
      <c r="AQ592" s="533"/>
      <c r="AR592" s="533"/>
      <c r="AS592" s="533"/>
      <c r="AT592" s="533"/>
      <c r="AU592" s="533"/>
      <c r="AV592" s="533"/>
      <c r="AW592" s="533"/>
      <c r="AX592" s="533"/>
      <c r="AY592" s="533"/>
      <c r="AZ592" s="533"/>
      <c r="BA592" s="533"/>
      <c r="BB592" s="533"/>
      <c r="BC592" s="533"/>
      <c r="BD592" s="533"/>
      <c r="BE592" s="533"/>
      <c r="BF592" s="533"/>
      <c r="BG592" s="533"/>
      <c r="BH592" s="533"/>
      <c r="BI592" s="533"/>
      <c r="BJ592" s="533"/>
      <c r="BK592" s="533"/>
      <c r="BL592" s="533"/>
      <c r="BM592" s="533"/>
      <c r="BN592" s="533"/>
      <c r="BO592" s="533"/>
      <c r="BP592" s="533"/>
      <c r="BQ592" s="533"/>
      <c r="BR592" s="533"/>
      <c r="BS592" s="533"/>
      <c r="BT592" s="533"/>
      <c r="BU592" s="533"/>
      <c r="BV592" s="533"/>
      <c r="BW592" s="533"/>
      <c r="BX592" s="533"/>
      <c r="BY592" s="533"/>
    </row>
    <row r="593" spans="2:77" x14ac:dyDescent="0.3">
      <c r="B593" s="40"/>
      <c r="C593" s="40"/>
      <c r="E593" s="62" t="s">
        <v>24</v>
      </c>
      <c r="F593" s="63"/>
      <c r="G593" s="63"/>
      <c r="I593" s="502">
        <f t="shared" ref="I593:N593" si="753">I529/I$571</f>
        <v>53212.919319165143</v>
      </c>
      <c r="J593" s="502">
        <f t="shared" si="753"/>
        <v>55988.505877309253</v>
      </c>
      <c r="K593" s="502">
        <f t="shared" si="753"/>
        <v>58785.454457732965</v>
      </c>
      <c r="L593" s="502">
        <f t="shared" si="753"/>
        <v>61577.503458941304</v>
      </c>
      <c r="M593" s="502">
        <f t="shared" si="753"/>
        <v>64342.844734992948</v>
      </c>
      <c r="N593" s="502">
        <f t="shared" si="753"/>
        <v>67210.687995619694</v>
      </c>
      <c r="O593" s="57"/>
      <c r="P593" s="55">
        <f>IFERROR(((N593/I593)^(1/5))-1,0)</f>
        <v>4.7814130991272963E-2</v>
      </c>
      <c r="R593" s="502">
        <f t="shared" ref="R593:AW593" si="754">R529/R$571</f>
        <v>4665.7088231091066</v>
      </c>
      <c r="S593" s="502">
        <f t="shared" si="754"/>
        <v>4665.7088231091066</v>
      </c>
      <c r="T593" s="502">
        <f t="shared" si="754"/>
        <v>4665.7088231091066</v>
      </c>
      <c r="U593" s="502">
        <f t="shared" si="754"/>
        <v>4665.7088231091066</v>
      </c>
      <c r="V593" s="502">
        <f t="shared" si="754"/>
        <v>4665.7088231091066</v>
      </c>
      <c r="W593" s="502">
        <f t="shared" si="754"/>
        <v>4665.7088231091066</v>
      </c>
      <c r="X593" s="502">
        <f t="shared" si="754"/>
        <v>4665.7088231091066</v>
      </c>
      <c r="Y593" s="502">
        <f t="shared" si="754"/>
        <v>4665.7088231091066</v>
      </c>
      <c r="Z593" s="502">
        <f t="shared" si="754"/>
        <v>4665.7088231091066</v>
      </c>
      <c r="AA593" s="502">
        <f t="shared" si="754"/>
        <v>4665.7088231091066</v>
      </c>
      <c r="AB593" s="502">
        <f t="shared" si="754"/>
        <v>4665.7088231091066</v>
      </c>
      <c r="AC593" s="502">
        <f t="shared" si="754"/>
        <v>4665.7088231091066</v>
      </c>
      <c r="AD593" s="502">
        <f t="shared" si="754"/>
        <v>4898.7878714777471</v>
      </c>
      <c r="AE593" s="502">
        <f t="shared" si="754"/>
        <v>4898.7878714777471</v>
      </c>
      <c r="AF593" s="502">
        <f t="shared" si="754"/>
        <v>4898.7878714777471</v>
      </c>
      <c r="AG593" s="502">
        <f t="shared" si="754"/>
        <v>4898.7878714777471</v>
      </c>
      <c r="AH593" s="502">
        <f t="shared" si="754"/>
        <v>4898.7878714777471</v>
      </c>
      <c r="AI593" s="502">
        <f t="shared" si="754"/>
        <v>4898.7878714777471</v>
      </c>
      <c r="AJ593" s="502">
        <f t="shared" si="754"/>
        <v>4898.7878714777471</v>
      </c>
      <c r="AK593" s="502">
        <f t="shared" si="754"/>
        <v>4898.7878714777471</v>
      </c>
      <c r="AL593" s="502">
        <f t="shared" si="754"/>
        <v>4898.7878714777471</v>
      </c>
      <c r="AM593" s="502">
        <f t="shared" si="754"/>
        <v>4898.7878714777471</v>
      </c>
      <c r="AN593" s="534">
        <f t="shared" si="754"/>
        <v>4898.7878714777471</v>
      </c>
      <c r="AO593" s="534">
        <f t="shared" si="754"/>
        <v>4898.7878714777471</v>
      </c>
      <c r="AP593" s="534">
        <f t="shared" si="754"/>
        <v>5131.4586215784448</v>
      </c>
      <c r="AQ593" s="534">
        <f t="shared" si="754"/>
        <v>5131.4586215784448</v>
      </c>
      <c r="AR593" s="534">
        <f t="shared" si="754"/>
        <v>5131.4586215784448</v>
      </c>
      <c r="AS593" s="534">
        <f t="shared" si="754"/>
        <v>5131.4586215784448</v>
      </c>
      <c r="AT593" s="534">
        <f t="shared" si="754"/>
        <v>5131.4586215784448</v>
      </c>
      <c r="AU593" s="534">
        <f t="shared" si="754"/>
        <v>5131.4586215784448</v>
      </c>
      <c r="AV593" s="534">
        <f t="shared" si="754"/>
        <v>5131.4586215784448</v>
      </c>
      <c r="AW593" s="534">
        <f t="shared" si="754"/>
        <v>5131.4586215784448</v>
      </c>
      <c r="AX593" s="534">
        <f t="shared" ref="AX593:BY593" si="755">AX529/AX$571</f>
        <v>5131.4586215784448</v>
      </c>
      <c r="AY593" s="534">
        <f t="shared" si="755"/>
        <v>5131.4586215784448</v>
      </c>
      <c r="AZ593" s="534">
        <f t="shared" si="755"/>
        <v>5131.4586215784448</v>
      </c>
      <c r="BA593" s="534">
        <f t="shared" si="755"/>
        <v>5131.4586215784448</v>
      </c>
      <c r="BB593" s="534">
        <f t="shared" si="755"/>
        <v>5361.9037279160812</v>
      </c>
      <c r="BC593" s="534">
        <f t="shared" si="755"/>
        <v>5361.9037279160812</v>
      </c>
      <c r="BD593" s="534">
        <f t="shared" si="755"/>
        <v>5361.9037279160812</v>
      </c>
      <c r="BE593" s="534">
        <f t="shared" si="755"/>
        <v>5361.9037279160812</v>
      </c>
      <c r="BF593" s="534">
        <f t="shared" si="755"/>
        <v>5361.9037279160812</v>
      </c>
      <c r="BG593" s="534">
        <f t="shared" si="755"/>
        <v>5361.9037279160812</v>
      </c>
      <c r="BH593" s="534">
        <f t="shared" si="755"/>
        <v>5361.9037279160812</v>
      </c>
      <c r="BI593" s="534">
        <f t="shared" si="755"/>
        <v>5361.9037279160812</v>
      </c>
      <c r="BJ593" s="534">
        <f t="shared" si="755"/>
        <v>5361.9037279160812</v>
      </c>
      <c r="BK593" s="534">
        <f t="shared" si="755"/>
        <v>5361.9037279160812</v>
      </c>
      <c r="BL593" s="534">
        <f t="shared" si="755"/>
        <v>5361.9037279160812</v>
      </c>
      <c r="BM593" s="534">
        <f t="shared" si="755"/>
        <v>5361.9037279160812</v>
      </c>
      <c r="BN593" s="534">
        <f t="shared" si="755"/>
        <v>5600.8906663016433</v>
      </c>
      <c r="BO593" s="534">
        <f t="shared" si="755"/>
        <v>5600.8906663016433</v>
      </c>
      <c r="BP593" s="534">
        <f t="shared" si="755"/>
        <v>5600.8906663016433</v>
      </c>
      <c r="BQ593" s="534">
        <f t="shared" si="755"/>
        <v>5600.8906663016433</v>
      </c>
      <c r="BR593" s="534">
        <f t="shared" si="755"/>
        <v>5600.8906663016433</v>
      </c>
      <c r="BS593" s="534">
        <f t="shared" si="755"/>
        <v>5600.8906663016433</v>
      </c>
      <c r="BT593" s="534">
        <f t="shared" si="755"/>
        <v>5600.8906663016433</v>
      </c>
      <c r="BU593" s="534">
        <f t="shared" si="755"/>
        <v>5600.8906663016433</v>
      </c>
      <c r="BV593" s="534">
        <f t="shared" si="755"/>
        <v>5600.8906663016433</v>
      </c>
      <c r="BW593" s="534">
        <f t="shared" si="755"/>
        <v>5600.8906663016433</v>
      </c>
      <c r="BX593" s="534">
        <f t="shared" si="755"/>
        <v>5600.8906663016433</v>
      </c>
      <c r="BY593" s="534">
        <f t="shared" si="755"/>
        <v>5600.8906663016433</v>
      </c>
    </row>
    <row r="594" spans="2:77" x14ac:dyDescent="0.3">
      <c r="B594" s="40"/>
      <c r="C594" s="40"/>
      <c r="D594" s="2"/>
      <c r="E594" s="2" t="s">
        <v>177</v>
      </c>
      <c r="F594" s="37"/>
      <c r="G594" s="37"/>
      <c r="H594" s="37"/>
      <c r="I594" s="499">
        <f t="shared" ref="I594:N594" si="756">IFERROR(I593/(I576+I585),0)</f>
        <v>0.35926569955040372</v>
      </c>
      <c r="J594" s="499">
        <f t="shared" si="756"/>
        <v>0.36555030472806477</v>
      </c>
      <c r="K594" s="499">
        <f t="shared" si="756"/>
        <v>0.37145615239611557</v>
      </c>
      <c r="L594" s="499">
        <f t="shared" si="756"/>
        <v>0.37694582578896341</v>
      </c>
      <c r="M594" s="499">
        <f t="shared" si="756"/>
        <v>0.38200278750384314</v>
      </c>
      <c r="N594" s="499">
        <f t="shared" si="756"/>
        <v>0.3869652286001507</v>
      </c>
      <c r="O594" s="23"/>
      <c r="P594" s="50">
        <f>IFERROR(((N594/I594)^(1/5))-1,0)</f>
        <v>1.4965399856043504E-2</v>
      </c>
      <c r="R594" s="499">
        <f t="shared" ref="R594:BY594" si="757">IFERROR(R593/(R576+R585),0)</f>
        <v>0.36555030472806482</v>
      </c>
      <c r="S594" s="499">
        <f t="shared" si="757"/>
        <v>0.36555030472806482</v>
      </c>
      <c r="T594" s="499">
        <f t="shared" si="757"/>
        <v>0.36555030472806482</v>
      </c>
      <c r="U594" s="499">
        <f t="shared" si="757"/>
        <v>0.36555030472806482</v>
      </c>
      <c r="V594" s="499">
        <f t="shared" si="757"/>
        <v>0.36555030472806482</v>
      </c>
      <c r="W594" s="499">
        <f t="shared" si="757"/>
        <v>0.36555030472806482</v>
      </c>
      <c r="X594" s="499">
        <f t="shared" si="757"/>
        <v>0.36555030472806482</v>
      </c>
      <c r="Y594" s="499">
        <f t="shared" si="757"/>
        <v>0.36555030472806482</v>
      </c>
      <c r="Z594" s="499">
        <f t="shared" si="757"/>
        <v>0.36555030472806482</v>
      </c>
      <c r="AA594" s="499">
        <f t="shared" si="757"/>
        <v>0.36555030472806482</v>
      </c>
      <c r="AB594" s="499">
        <f t="shared" si="757"/>
        <v>0.36555030472806482</v>
      </c>
      <c r="AC594" s="499">
        <f t="shared" si="757"/>
        <v>0.36555030472806482</v>
      </c>
      <c r="AD594" s="499">
        <f t="shared" si="757"/>
        <v>0.37145615239611557</v>
      </c>
      <c r="AE594" s="499">
        <f t="shared" si="757"/>
        <v>0.37145615239611557</v>
      </c>
      <c r="AF594" s="499">
        <f t="shared" si="757"/>
        <v>0.37145615239611557</v>
      </c>
      <c r="AG594" s="499">
        <f t="shared" si="757"/>
        <v>0.37145615239611557</v>
      </c>
      <c r="AH594" s="499">
        <f t="shared" si="757"/>
        <v>0.37145615239611557</v>
      </c>
      <c r="AI594" s="499">
        <f t="shared" si="757"/>
        <v>0.37145615239611557</v>
      </c>
      <c r="AJ594" s="499">
        <f t="shared" si="757"/>
        <v>0.37145615239611557</v>
      </c>
      <c r="AK594" s="499">
        <f t="shared" si="757"/>
        <v>0.37145615239611557</v>
      </c>
      <c r="AL594" s="499">
        <f t="shared" si="757"/>
        <v>0.37145615239611557</v>
      </c>
      <c r="AM594" s="499">
        <f t="shared" si="757"/>
        <v>0.37145615239611557</v>
      </c>
      <c r="AN594" s="531">
        <f t="shared" si="757"/>
        <v>0.37145615239611557</v>
      </c>
      <c r="AO594" s="531">
        <f t="shared" si="757"/>
        <v>0.37145615239611557</v>
      </c>
      <c r="AP594" s="531">
        <f t="shared" si="757"/>
        <v>0.37694582578896363</v>
      </c>
      <c r="AQ594" s="531">
        <f t="shared" si="757"/>
        <v>0.37694582578896363</v>
      </c>
      <c r="AR594" s="531">
        <f t="shared" si="757"/>
        <v>0.37694582578896363</v>
      </c>
      <c r="AS594" s="531">
        <f t="shared" si="757"/>
        <v>0.37694582578896363</v>
      </c>
      <c r="AT594" s="531">
        <f t="shared" si="757"/>
        <v>0.37694582578896363</v>
      </c>
      <c r="AU594" s="531">
        <f t="shared" si="757"/>
        <v>0.37694582578896363</v>
      </c>
      <c r="AV594" s="531">
        <f t="shared" si="757"/>
        <v>0.37694582578896363</v>
      </c>
      <c r="AW594" s="531">
        <f t="shared" si="757"/>
        <v>0.37694582578896363</v>
      </c>
      <c r="AX594" s="531">
        <f t="shared" si="757"/>
        <v>0.37694582578896363</v>
      </c>
      <c r="AY594" s="531">
        <f t="shared" si="757"/>
        <v>0.37694582578896363</v>
      </c>
      <c r="AZ594" s="531">
        <f t="shared" si="757"/>
        <v>0.37694582578896363</v>
      </c>
      <c r="BA594" s="531">
        <f t="shared" si="757"/>
        <v>0.37694582578896363</v>
      </c>
      <c r="BB594" s="531">
        <f t="shared" si="757"/>
        <v>0.38200278750384331</v>
      </c>
      <c r="BC594" s="531">
        <f t="shared" si="757"/>
        <v>0.38200278750384331</v>
      </c>
      <c r="BD594" s="531">
        <f t="shared" si="757"/>
        <v>0.38200278750384331</v>
      </c>
      <c r="BE594" s="531">
        <f t="shared" si="757"/>
        <v>0.38200278750384331</v>
      </c>
      <c r="BF594" s="531">
        <f t="shared" si="757"/>
        <v>0.38200278750384331</v>
      </c>
      <c r="BG594" s="531">
        <f t="shared" si="757"/>
        <v>0.38200278750384331</v>
      </c>
      <c r="BH594" s="531">
        <f t="shared" si="757"/>
        <v>0.38200278750384331</v>
      </c>
      <c r="BI594" s="531">
        <f t="shared" si="757"/>
        <v>0.38200278750384331</v>
      </c>
      <c r="BJ594" s="531">
        <f t="shared" si="757"/>
        <v>0.38200278750384331</v>
      </c>
      <c r="BK594" s="531">
        <f t="shared" si="757"/>
        <v>0.38200278750384331</v>
      </c>
      <c r="BL594" s="531">
        <f t="shared" si="757"/>
        <v>0.38200278750384331</v>
      </c>
      <c r="BM594" s="531">
        <f t="shared" si="757"/>
        <v>0.38200278750384331</v>
      </c>
      <c r="BN594" s="531">
        <f t="shared" si="757"/>
        <v>0.38696522860015081</v>
      </c>
      <c r="BO594" s="531">
        <f t="shared" si="757"/>
        <v>0.38696522860015081</v>
      </c>
      <c r="BP594" s="531">
        <f t="shared" si="757"/>
        <v>0.38696522860015081</v>
      </c>
      <c r="BQ594" s="531">
        <f t="shared" si="757"/>
        <v>0.38696522860015081</v>
      </c>
      <c r="BR594" s="531">
        <f t="shared" si="757"/>
        <v>0.38696522860015081</v>
      </c>
      <c r="BS594" s="531">
        <f t="shared" si="757"/>
        <v>0.38696522860015081</v>
      </c>
      <c r="BT594" s="531">
        <f t="shared" si="757"/>
        <v>0.38696522860015081</v>
      </c>
      <c r="BU594" s="531">
        <f t="shared" si="757"/>
        <v>0.38696522860015081</v>
      </c>
      <c r="BV594" s="531">
        <f t="shared" si="757"/>
        <v>0.38696522860015081</v>
      </c>
      <c r="BW594" s="531">
        <f t="shared" si="757"/>
        <v>0.38696522860015081</v>
      </c>
      <c r="BX594" s="531">
        <f t="shared" si="757"/>
        <v>0.38696522860015081</v>
      </c>
      <c r="BY594" s="531">
        <f t="shared" si="757"/>
        <v>0.38696522860015081</v>
      </c>
    </row>
    <row r="595" spans="2:77" x14ac:dyDescent="0.3">
      <c r="B595" s="40"/>
      <c r="C595" s="40"/>
      <c r="E595" s="2"/>
      <c r="F595" s="37"/>
      <c r="G595" s="37"/>
      <c r="I595" s="37"/>
      <c r="J595" s="37"/>
      <c r="K595" s="37"/>
      <c r="L595" s="37"/>
      <c r="M595" s="37"/>
      <c r="N595" s="37"/>
      <c r="O595" s="37"/>
      <c r="P595" s="144"/>
      <c r="R595" s="37"/>
      <c r="S595" s="37"/>
      <c r="T595" s="37"/>
      <c r="U595" s="37"/>
      <c r="V595" s="37"/>
      <c r="W595" s="37"/>
      <c r="X595" s="37"/>
      <c r="Y595" s="37"/>
      <c r="Z595" s="37"/>
      <c r="AA595" s="37"/>
      <c r="AB595" s="37"/>
      <c r="AC595" s="37"/>
      <c r="AD595" s="37"/>
      <c r="AE595" s="37"/>
      <c r="AF595" s="37"/>
      <c r="AG595" s="37"/>
      <c r="AH595" s="37"/>
      <c r="AI595" s="37"/>
      <c r="AJ595" s="37"/>
      <c r="AK595" s="37"/>
      <c r="AL595" s="37"/>
      <c r="AM595" s="37"/>
      <c r="AN595" s="529"/>
      <c r="AO595" s="529"/>
      <c r="AP595" s="529"/>
      <c r="AQ595" s="529"/>
      <c r="AR595" s="529"/>
      <c r="AS595" s="529"/>
      <c r="AT595" s="529"/>
      <c r="AU595" s="529"/>
      <c r="AV595" s="529"/>
      <c r="AW595" s="529"/>
      <c r="AX595" s="529"/>
      <c r="AY595" s="529"/>
      <c r="AZ595" s="529"/>
      <c r="BA595" s="529"/>
      <c r="BB595" s="529"/>
      <c r="BC595" s="529"/>
      <c r="BD595" s="529"/>
      <c r="BE595" s="529"/>
      <c r="BF595" s="529"/>
      <c r="BG595" s="529"/>
      <c r="BH595" s="529"/>
      <c r="BI595" s="529"/>
      <c r="BJ595" s="529"/>
      <c r="BK595" s="529"/>
      <c r="BL595" s="529"/>
      <c r="BM595" s="529"/>
      <c r="BN595" s="529"/>
      <c r="BO595" s="529"/>
      <c r="BP595" s="529"/>
      <c r="BQ595" s="529"/>
      <c r="BR595" s="529"/>
      <c r="BS595" s="529"/>
      <c r="BT595" s="529"/>
      <c r="BU595" s="529"/>
      <c r="BV595" s="529"/>
      <c r="BW595" s="529"/>
      <c r="BX595" s="529"/>
      <c r="BY595" s="529"/>
    </row>
    <row r="596" spans="2:77" x14ac:dyDescent="0.3">
      <c r="B596" s="40"/>
      <c r="C596" s="40"/>
      <c r="E596" s="17" t="s">
        <v>25</v>
      </c>
      <c r="F596" s="37"/>
      <c r="G596" s="37"/>
      <c r="I596" s="37"/>
      <c r="J596" s="37"/>
      <c r="K596" s="37"/>
      <c r="L596" s="37"/>
      <c r="M596" s="37"/>
      <c r="N596" s="37"/>
      <c r="O596" s="37"/>
      <c r="P596" s="144"/>
      <c r="R596" s="37"/>
      <c r="S596" s="37"/>
      <c r="T596" s="37"/>
      <c r="U596" s="37"/>
      <c r="V596" s="37"/>
      <c r="W596" s="37"/>
      <c r="X596" s="37"/>
      <c r="Y596" s="37"/>
      <c r="Z596" s="37"/>
      <c r="AA596" s="37"/>
      <c r="AB596" s="37"/>
      <c r="AC596" s="37"/>
      <c r="AD596" s="37"/>
      <c r="AE596" s="37"/>
      <c r="AF596" s="37"/>
      <c r="AG596" s="37"/>
      <c r="AH596" s="37"/>
      <c r="AI596" s="37"/>
      <c r="AJ596" s="37"/>
      <c r="AK596" s="37"/>
      <c r="AL596" s="37"/>
      <c r="AM596" s="37"/>
      <c r="AN596" s="529"/>
      <c r="AO596" s="529"/>
      <c r="AP596" s="529"/>
      <c r="AQ596" s="529"/>
      <c r="AR596" s="529"/>
      <c r="AS596" s="529"/>
      <c r="AT596" s="529"/>
      <c r="AU596" s="529"/>
      <c r="AV596" s="529"/>
      <c r="AW596" s="529"/>
      <c r="AX596" s="529"/>
      <c r="AY596" s="529"/>
      <c r="AZ596" s="529"/>
      <c r="BA596" s="529"/>
      <c r="BB596" s="529"/>
      <c r="BC596" s="529"/>
      <c r="BD596" s="529"/>
      <c r="BE596" s="529"/>
      <c r="BF596" s="529"/>
      <c r="BG596" s="529"/>
      <c r="BH596" s="529"/>
      <c r="BI596" s="529"/>
      <c r="BJ596" s="529"/>
      <c r="BK596" s="529"/>
      <c r="BL596" s="529"/>
      <c r="BM596" s="529"/>
      <c r="BN596" s="529"/>
      <c r="BO596" s="529"/>
      <c r="BP596" s="529"/>
      <c r="BQ596" s="529"/>
      <c r="BR596" s="529"/>
      <c r="BS596" s="529"/>
      <c r="BT596" s="529"/>
      <c r="BU596" s="529"/>
      <c r="BV596" s="529"/>
      <c r="BW596" s="529"/>
      <c r="BX596" s="529"/>
      <c r="BY596" s="529"/>
    </row>
    <row r="597" spans="2:77" x14ac:dyDescent="0.3">
      <c r="B597" s="82"/>
      <c r="C597" s="85"/>
      <c r="E597" s="2" t="s">
        <v>25</v>
      </c>
      <c r="F597" s="54"/>
      <c r="G597" s="54"/>
      <c r="I597" s="497">
        <f t="shared" ref="I597:N599" si="758">I533/I$571</f>
        <v>21070.140532228797</v>
      </c>
      <c r="J597" s="497">
        <f t="shared" si="758"/>
        <v>21669.121776800079</v>
      </c>
      <c r="K597" s="497">
        <f t="shared" si="758"/>
        <v>22249.239863351297</v>
      </c>
      <c r="L597" s="497">
        <f t="shared" si="758"/>
        <v>22809.53292874301</v>
      </c>
      <c r="M597" s="497">
        <f t="shared" si="758"/>
        <v>23307.096570891699</v>
      </c>
      <c r="N597" s="497">
        <f t="shared" si="758"/>
        <v>23777.857515315234</v>
      </c>
      <c r="O597" s="37"/>
      <c r="P597" s="50">
        <f>IFERROR(((N597/I597)^(1/5))-1,0)</f>
        <v>2.4474275142648327E-2</v>
      </c>
      <c r="R597" s="497">
        <f t="shared" ref="R597:AW597" si="759">R533/R$571</f>
        <v>1805.7601480666733</v>
      </c>
      <c r="S597" s="497">
        <f t="shared" si="759"/>
        <v>1805.7601480666733</v>
      </c>
      <c r="T597" s="497">
        <f t="shared" si="759"/>
        <v>1805.7601480666733</v>
      </c>
      <c r="U597" s="497">
        <f t="shared" si="759"/>
        <v>1805.7601480666733</v>
      </c>
      <c r="V597" s="497">
        <f t="shared" si="759"/>
        <v>1805.7601480666733</v>
      </c>
      <c r="W597" s="497">
        <f t="shared" si="759"/>
        <v>1805.7601480666733</v>
      </c>
      <c r="X597" s="497">
        <f t="shared" si="759"/>
        <v>1805.7601480666733</v>
      </c>
      <c r="Y597" s="497">
        <f t="shared" si="759"/>
        <v>1805.7601480666733</v>
      </c>
      <c r="Z597" s="497">
        <f t="shared" si="759"/>
        <v>1805.7601480666733</v>
      </c>
      <c r="AA597" s="497">
        <f t="shared" si="759"/>
        <v>1805.7601480666733</v>
      </c>
      <c r="AB597" s="497">
        <f t="shared" si="759"/>
        <v>1805.7601480666733</v>
      </c>
      <c r="AC597" s="497">
        <f t="shared" si="759"/>
        <v>1805.7601480666733</v>
      </c>
      <c r="AD597" s="497">
        <f t="shared" si="759"/>
        <v>1854.1033219459414</v>
      </c>
      <c r="AE597" s="497">
        <f t="shared" si="759"/>
        <v>1854.1033219459414</v>
      </c>
      <c r="AF597" s="497">
        <f t="shared" si="759"/>
        <v>1854.1033219459414</v>
      </c>
      <c r="AG597" s="497">
        <f t="shared" si="759"/>
        <v>1854.1033219459414</v>
      </c>
      <c r="AH597" s="497">
        <f t="shared" si="759"/>
        <v>1854.1033219459414</v>
      </c>
      <c r="AI597" s="497">
        <f t="shared" si="759"/>
        <v>1854.1033219459414</v>
      </c>
      <c r="AJ597" s="497">
        <f t="shared" si="759"/>
        <v>1854.1033219459414</v>
      </c>
      <c r="AK597" s="497">
        <f t="shared" si="759"/>
        <v>1854.1033219459414</v>
      </c>
      <c r="AL597" s="497">
        <f t="shared" si="759"/>
        <v>1854.1033219459414</v>
      </c>
      <c r="AM597" s="497">
        <f t="shared" si="759"/>
        <v>1854.1033219459414</v>
      </c>
      <c r="AN597" s="527">
        <f t="shared" si="759"/>
        <v>1854.1033219459414</v>
      </c>
      <c r="AO597" s="527">
        <f t="shared" si="759"/>
        <v>1854.1033219459414</v>
      </c>
      <c r="AP597" s="527">
        <f t="shared" si="759"/>
        <v>1900.7944107285841</v>
      </c>
      <c r="AQ597" s="527">
        <f t="shared" si="759"/>
        <v>1900.7944107285841</v>
      </c>
      <c r="AR597" s="527">
        <f t="shared" si="759"/>
        <v>1900.7944107285841</v>
      </c>
      <c r="AS597" s="527">
        <f t="shared" si="759"/>
        <v>1900.7944107285841</v>
      </c>
      <c r="AT597" s="527">
        <f t="shared" si="759"/>
        <v>1900.7944107285841</v>
      </c>
      <c r="AU597" s="527">
        <f t="shared" si="759"/>
        <v>1900.7944107285841</v>
      </c>
      <c r="AV597" s="527">
        <f t="shared" si="759"/>
        <v>1900.7944107285841</v>
      </c>
      <c r="AW597" s="527">
        <f t="shared" si="759"/>
        <v>1900.7944107285841</v>
      </c>
      <c r="AX597" s="527">
        <f t="shared" ref="AX597:BY597" si="760">AX533/AX$571</f>
        <v>1900.7944107285841</v>
      </c>
      <c r="AY597" s="527">
        <f t="shared" si="760"/>
        <v>1900.7944107285841</v>
      </c>
      <c r="AZ597" s="527">
        <f t="shared" si="760"/>
        <v>1900.7944107285841</v>
      </c>
      <c r="BA597" s="527">
        <f t="shared" si="760"/>
        <v>1900.7944107285841</v>
      </c>
      <c r="BB597" s="527">
        <f t="shared" si="760"/>
        <v>1942.2580475743084</v>
      </c>
      <c r="BC597" s="527">
        <f t="shared" si="760"/>
        <v>1942.2580475743084</v>
      </c>
      <c r="BD597" s="527">
        <f t="shared" si="760"/>
        <v>1942.2580475743084</v>
      </c>
      <c r="BE597" s="527">
        <f t="shared" si="760"/>
        <v>1942.2580475743084</v>
      </c>
      <c r="BF597" s="527">
        <f t="shared" si="760"/>
        <v>1942.2580475743084</v>
      </c>
      <c r="BG597" s="527">
        <f t="shared" si="760"/>
        <v>1942.2580475743084</v>
      </c>
      <c r="BH597" s="527">
        <f t="shared" si="760"/>
        <v>1942.2580475743084</v>
      </c>
      <c r="BI597" s="527">
        <f t="shared" si="760"/>
        <v>1942.2580475743084</v>
      </c>
      <c r="BJ597" s="527">
        <f t="shared" si="760"/>
        <v>1942.2580475743084</v>
      </c>
      <c r="BK597" s="527">
        <f t="shared" si="760"/>
        <v>1942.2580475743084</v>
      </c>
      <c r="BL597" s="527">
        <f t="shared" si="760"/>
        <v>1942.2580475743084</v>
      </c>
      <c r="BM597" s="527">
        <f t="shared" si="760"/>
        <v>1942.2580475743084</v>
      </c>
      <c r="BN597" s="527">
        <f t="shared" si="760"/>
        <v>1981.4881262762694</v>
      </c>
      <c r="BO597" s="527">
        <f t="shared" si="760"/>
        <v>1981.4881262762694</v>
      </c>
      <c r="BP597" s="527">
        <f t="shared" si="760"/>
        <v>1981.4881262762694</v>
      </c>
      <c r="BQ597" s="527">
        <f t="shared" si="760"/>
        <v>1981.4881262762694</v>
      </c>
      <c r="BR597" s="527">
        <f t="shared" si="760"/>
        <v>1981.4881262762694</v>
      </c>
      <c r="BS597" s="527">
        <f t="shared" si="760"/>
        <v>1981.4881262762694</v>
      </c>
      <c r="BT597" s="527">
        <f t="shared" si="760"/>
        <v>1981.4881262762694</v>
      </c>
      <c r="BU597" s="527">
        <f t="shared" si="760"/>
        <v>1981.4881262762694</v>
      </c>
      <c r="BV597" s="527">
        <f t="shared" si="760"/>
        <v>1981.4881262762694</v>
      </c>
      <c r="BW597" s="527">
        <f t="shared" si="760"/>
        <v>1981.4881262762694</v>
      </c>
      <c r="BX597" s="527">
        <f t="shared" si="760"/>
        <v>1981.4881262762694</v>
      </c>
      <c r="BY597" s="527">
        <f t="shared" si="760"/>
        <v>1981.4881262762694</v>
      </c>
    </row>
    <row r="598" spans="2:77" x14ac:dyDescent="0.3">
      <c r="B598" s="82"/>
      <c r="C598" s="85"/>
      <c r="E598" s="2" t="s">
        <v>14</v>
      </c>
      <c r="F598" s="54"/>
      <c r="G598" s="54"/>
      <c r="I598" s="497">
        <f t="shared" si="758"/>
        <v>2145.1884628836297</v>
      </c>
      <c r="J598" s="497">
        <f t="shared" si="758"/>
        <v>2220.5427624946328</v>
      </c>
      <c r="K598" s="497">
        <f t="shared" si="758"/>
        <v>2294.2593068985334</v>
      </c>
      <c r="L598" s="497">
        <f t="shared" si="758"/>
        <v>2367.3305229769612</v>
      </c>
      <c r="M598" s="497">
        <f t="shared" si="758"/>
        <v>2428.33565767852</v>
      </c>
      <c r="N598" s="497">
        <f t="shared" si="758"/>
        <v>2480.8435928693748</v>
      </c>
      <c r="O598" s="37"/>
      <c r="P598" s="50">
        <f>IFERROR(((N598/I598)^(1/5))-1,0)</f>
        <v>2.9501032242708725E-2</v>
      </c>
      <c r="R598" s="497">
        <f t="shared" ref="R598:AW598" si="761">R534/R$571</f>
        <v>185.04523020788608</v>
      </c>
      <c r="S598" s="497">
        <f t="shared" si="761"/>
        <v>185.04523020788608</v>
      </c>
      <c r="T598" s="497">
        <f t="shared" si="761"/>
        <v>185.04523020788608</v>
      </c>
      <c r="U598" s="497">
        <f t="shared" si="761"/>
        <v>185.04523020788608</v>
      </c>
      <c r="V598" s="497">
        <f t="shared" si="761"/>
        <v>185.04523020788608</v>
      </c>
      <c r="W598" s="497">
        <f t="shared" si="761"/>
        <v>185.04523020788608</v>
      </c>
      <c r="X598" s="497">
        <f t="shared" si="761"/>
        <v>185.04523020788608</v>
      </c>
      <c r="Y598" s="497">
        <f t="shared" si="761"/>
        <v>185.04523020788608</v>
      </c>
      <c r="Z598" s="497">
        <f t="shared" si="761"/>
        <v>185.04523020788608</v>
      </c>
      <c r="AA598" s="497">
        <f t="shared" si="761"/>
        <v>185.04523020788608</v>
      </c>
      <c r="AB598" s="497">
        <f t="shared" si="761"/>
        <v>185.04523020788608</v>
      </c>
      <c r="AC598" s="497">
        <f t="shared" si="761"/>
        <v>185.04523020788608</v>
      </c>
      <c r="AD598" s="497">
        <f t="shared" si="761"/>
        <v>191.18827557487779</v>
      </c>
      <c r="AE598" s="497">
        <f t="shared" si="761"/>
        <v>191.18827557487779</v>
      </c>
      <c r="AF598" s="497">
        <f t="shared" si="761"/>
        <v>191.18827557487779</v>
      </c>
      <c r="AG598" s="497">
        <f t="shared" si="761"/>
        <v>191.18827557487779</v>
      </c>
      <c r="AH598" s="497">
        <f t="shared" si="761"/>
        <v>191.18827557487779</v>
      </c>
      <c r="AI598" s="497">
        <f t="shared" si="761"/>
        <v>191.18827557487779</v>
      </c>
      <c r="AJ598" s="497">
        <f t="shared" si="761"/>
        <v>191.18827557487779</v>
      </c>
      <c r="AK598" s="497">
        <f t="shared" si="761"/>
        <v>191.18827557487779</v>
      </c>
      <c r="AL598" s="497">
        <f t="shared" si="761"/>
        <v>191.18827557487779</v>
      </c>
      <c r="AM598" s="497">
        <f t="shared" si="761"/>
        <v>191.18827557487779</v>
      </c>
      <c r="AN598" s="527">
        <f t="shared" si="761"/>
        <v>191.18827557487779</v>
      </c>
      <c r="AO598" s="527">
        <f t="shared" si="761"/>
        <v>191.18827557487779</v>
      </c>
      <c r="AP598" s="527">
        <f t="shared" si="761"/>
        <v>197.27754358141343</v>
      </c>
      <c r="AQ598" s="527">
        <f t="shared" si="761"/>
        <v>197.27754358141343</v>
      </c>
      <c r="AR598" s="527">
        <f t="shared" si="761"/>
        <v>197.27754358141343</v>
      </c>
      <c r="AS598" s="527">
        <f t="shared" si="761"/>
        <v>197.27754358141343</v>
      </c>
      <c r="AT598" s="527">
        <f t="shared" si="761"/>
        <v>197.27754358141343</v>
      </c>
      <c r="AU598" s="527">
        <f t="shared" si="761"/>
        <v>197.27754358141343</v>
      </c>
      <c r="AV598" s="527">
        <f t="shared" si="761"/>
        <v>197.27754358141343</v>
      </c>
      <c r="AW598" s="527">
        <f t="shared" si="761"/>
        <v>197.27754358141343</v>
      </c>
      <c r="AX598" s="527">
        <f t="shared" ref="AX598:BY598" si="762">AX534/AX$571</f>
        <v>197.27754358141343</v>
      </c>
      <c r="AY598" s="527">
        <f t="shared" si="762"/>
        <v>197.27754358141343</v>
      </c>
      <c r="AZ598" s="527">
        <f t="shared" si="762"/>
        <v>197.27754358141343</v>
      </c>
      <c r="BA598" s="527">
        <f t="shared" si="762"/>
        <v>197.27754358141343</v>
      </c>
      <c r="BB598" s="527">
        <f t="shared" si="762"/>
        <v>202.36130480654333</v>
      </c>
      <c r="BC598" s="527">
        <f t="shared" si="762"/>
        <v>202.36130480654333</v>
      </c>
      <c r="BD598" s="527">
        <f t="shared" si="762"/>
        <v>202.36130480654333</v>
      </c>
      <c r="BE598" s="527">
        <f t="shared" si="762"/>
        <v>202.36130480654333</v>
      </c>
      <c r="BF598" s="527">
        <f t="shared" si="762"/>
        <v>202.36130480654333</v>
      </c>
      <c r="BG598" s="527">
        <f t="shared" si="762"/>
        <v>202.36130480654333</v>
      </c>
      <c r="BH598" s="527">
        <f t="shared" si="762"/>
        <v>202.36130480654333</v>
      </c>
      <c r="BI598" s="527">
        <f t="shared" si="762"/>
        <v>202.36130480654333</v>
      </c>
      <c r="BJ598" s="527">
        <f t="shared" si="762"/>
        <v>202.36130480654333</v>
      </c>
      <c r="BK598" s="527">
        <f t="shared" si="762"/>
        <v>202.36130480654333</v>
      </c>
      <c r="BL598" s="527">
        <f t="shared" si="762"/>
        <v>202.36130480654333</v>
      </c>
      <c r="BM598" s="527">
        <f t="shared" si="762"/>
        <v>202.36130480654333</v>
      </c>
      <c r="BN598" s="527">
        <f t="shared" si="762"/>
        <v>206.73696607244787</v>
      </c>
      <c r="BO598" s="527">
        <f t="shared" si="762"/>
        <v>206.73696607244787</v>
      </c>
      <c r="BP598" s="527">
        <f t="shared" si="762"/>
        <v>206.73696607244787</v>
      </c>
      <c r="BQ598" s="527">
        <f t="shared" si="762"/>
        <v>206.73696607244787</v>
      </c>
      <c r="BR598" s="527">
        <f t="shared" si="762"/>
        <v>206.73696607244787</v>
      </c>
      <c r="BS598" s="527">
        <f t="shared" si="762"/>
        <v>206.73696607244787</v>
      </c>
      <c r="BT598" s="527">
        <f t="shared" si="762"/>
        <v>206.73696607244787</v>
      </c>
      <c r="BU598" s="527">
        <f t="shared" si="762"/>
        <v>206.73696607244787</v>
      </c>
      <c r="BV598" s="527">
        <f t="shared" si="762"/>
        <v>206.73696607244787</v>
      </c>
      <c r="BW598" s="527">
        <f t="shared" si="762"/>
        <v>206.73696607244787</v>
      </c>
      <c r="BX598" s="527">
        <f t="shared" si="762"/>
        <v>206.73696607244787</v>
      </c>
      <c r="BY598" s="527">
        <f t="shared" si="762"/>
        <v>206.73696607244787</v>
      </c>
    </row>
    <row r="599" spans="2:77" x14ac:dyDescent="0.3">
      <c r="B599" s="82"/>
      <c r="C599" s="85"/>
      <c r="E599" s="4" t="s">
        <v>26</v>
      </c>
      <c r="F599" s="5"/>
      <c r="G599" s="5"/>
      <c r="I599" s="500">
        <f t="shared" si="758"/>
        <v>23215.328995112424</v>
      </c>
      <c r="J599" s="500">
        <f t="shared" si="758"/>
        <v>23889.66453929471</v>
      </c>
      <c r="K599" s="500">
        <f t="shared" si="758"/>
        <v>24543.499170249834</v>
      </c>
      <c r="L599" s="500">
        <f t="shared" si="758"/>
        <v>25176.863451719972</v>
      </c>
      <c r="M599" s="500">
        <f t="shared" si="758"/>
        <v>25735.432228570218</v>
      </c>
      <c r="N599" s="500">
        <f t="shared" si="758"/>
        <v>26258.701108184607</v>
      </c>
      <c r="O599" s="57"/>
      <c r="P599" s="55">
        <f>IFERROR(((N599/I599)^(1/5))-1,0)</f>
        <v>2.4942919117400209E-2</v>
      </c>
      <c r="R599" s="500">
        <f t="shared" ref="R599:AW599" si="763">R535/R$571</f>
        <v>1990.8053782745592</v>
      </c>
      <c r="S599" s="500">
        <f t="shared" si="763"/>
        <v>1990.8053782745592</v>
      </c>
      <c r="T599" s="500">
        <f t="shared" si="763"/>
        <v>1990.8053782745592</v>
      </c>
      <c r="U599" s="500">
        <f t="shared" si="763"/>
        <v>1990.8053782745592</v>
      </c>
      <c r="V599" s="500">
        <f t="shared" si="763"/>
        <v>1990.8053782745592</v>
      </c>
      <c r="W599" s="500">
        <f t="shared" si="763"/>
        <v>1990.8053782745592</v>
      </c>
      <c r="X599" s="500">
        <f t="shared" si="763"/>
        <v>1990.8053782745592</v>
      </c>
      <c r="Y599" s="500">
        <f t="shared" si="763"/>
        <v>1990.8053782745592</v>
      </c>
      <c r="Z599" s="500">
        <f t="shared" si="763"/>
        <v>1990.8053782745592</v>
      </c>
      <c r="AA599" s="500">
        <f t="shared" si="763"/>
        <v>1990.8053782745592</v>
      </c>
      <c r="AB599" s="500">
        <f t="shared" si="763"/>
        <v>1990.8053782745592</v>
      </c>
      <c r="AC599" s="500">
        <f t="shared" si="763"/>
        <v>1990.8053782745592</v>
      </c>
      <c r="AD599" s="500">
        <f t="shared" si="763"/>
        <v>2045.2915975208191</v>
      </c>
      <c r="AE599" s="500">
        <f t="shared" si="763"/>
        <v>2045.2915975208191</v>
      </c>
      <c r="AF599" s="500">
        <f t="shared" si="763"/>
        <v>2045.2915975208191</v>
      </c>
      <c r="AG599" s="500">
        <f t="shared" si="763"/>
        <v>2045.2915975208191</v>
      </c>
      <c r="AH599" s="500">
        <f t="shared" si="763"/>
        <v>2045.2915975208191</v>
      </c>
      <c r="AI599" s="500">
        <f t="shared" si="763"/>
        <v>2045.2915975208191</v>
      </c>
      <c r="AJ599" s="500">
        <f t="shared" si="763"/>
        <v>2045.2915975208191</v>
      </c>
      <c r="AK599" s="500">
        <f t="shared" si="763"/>
        <v>2045.2915975208191</v>
      </c>
      <c r="AL599" s="500">
        <f t="shared" si="763"/>
        <v>2045.2915975208191</v>
      </c>
      <c r="AM599" s="500">
        <f t="shared" si="763"/>
        <v>2045.2915975208191</v>
      </c>
      <c r="AN599" s="532">
        <f t="shared" si="763"/>
        <v>2045.2915975208191</v>
      </c>
      <c r="AO599" s="532">
        <f t="shared" si="763"/>
        <v>2045.2915975208191</v>
      </c>
      <c r="AP599" s="532">
        <f t="shared" si="763"/>
        <v>2098.0719543099976</v>
      </c>
      <c r="AQ599" s="532">
        <f t="shared" si="763"/>
        <v>2098.0719543099976</v>
      </c>
      <c r="AR599" s="532">
        <f t="shared" si="763"/>
        <v>2098.0719543099976</v>
      </c>
      <c r="AS599" s="532">
        <f t="shared" si="763"/>
        <v>2098.0719543099976</v>
      </c>
      <c r="AT599" s="532">
        <f t="shared" si="763"/>
        <v>2098.0719543099976</v>
      </c>
      <c r="AU599" s="532">
        <f t="shared" si="763"/>
        <v>2098.0719543099976</v>
      </c>
      <c r="AV599" s="532">
        <f t="shared" si="763"/>
        <v>2098.0719543099976</v>
      </c>
      <c r="AW599" s="532">
        <f t="shared" si="763"/>
        <v>2098.0719543099976</v>
      </c>
      <c r="AX599" s="532">
        <f t="shared" ref="AX599:BY599" si="764">AX535/AX$571</f>
        <v>2098.0719543099976</v>
      </c>
      <c r="AY599" s="532">
        <f t="shared" si="764"/>
        <v>2098.0719543099976</v>
      </c>
      <c r="AZ599" s="532">
        <f t="shared" si="764"/>
        <v>2098.0719543099976</v>
      </c>
      <c r="BA599" s="532">
        <f t="shared" si="764"/>
        <v>2098.0719543099976</v>
      </c>
      <c r="BB599" s="532">
        <f t="shared" si="764"/>
        <v>2144.619352380852</v>
      </c>
      <c r="BC599" s="532">
        <f t="shared" si="764"/>
        <v>2144.619352380852</v>
      </c>
      <c r="BD599" s="532">
        <f t="shared" si="764"/>
        <v>2144.619352380852</v>
      </c>
      <c r="BE599" s="532">
        <f t="shared" si="764"/>
        <v>2144.619352380852</v>
      </c>
      <c r="BF599" s="532">
        <f t="shared" si="764"/>
        <v>2144.619352380852</v>
      </c>
      <c r="BG599" s="532">
        <f t="shared" si="764"/>
        <v>2144.619352380852</v>
      </c>
      <c r="BH599" s="532">
        <f t="shared" si="764"/>
        <v>2144.619352380852</v>
      </c>
      <c r="BI599" s="532">
        <f t="shared" si="764"/>
        <v>2144.619352380852</v>
      </c>
      <c r="BJ599" s="532">
        <f t="shared" si="764"/>
        <v>2144.619352380852</v>
      </c>
      <c r="BK599" s="532">
        <f t="shared" si="764"/>
        <v>2144.619352380852</v>
      </c>
      <c r="BL599" s="532">
        <f t="shared" si="764"/>
        <v>2144.619352380852</v>
      </c>
      <c r="BM599" s="532">
        <f t="shared" si="764"/>
        <v>2144.619352380852</v>
      </c>
      <c r="BN599" s="532">
        <f t="shared" si="764"/>
        <v>2188.2250923487172</v>
      </c>
      <c r="BO599" s="532">
        <f t="shared" si="764"/>
        <v>2188.2250923487172</v>
      </c>
      <c r="BP599" s="532">
        <f t="shared" si="764"/>
        <v>2188.2250923487172</v>
      </c>
      <c r="BQ599" s="532">
        <f t="shared" si="764"/>
        <v>2188.2250923487172</v>
      </c>
      <c r="BR599" s="532">
        <f t="shared" si="764"/>
        <v>2188.2250923487172</v>
      </c>
      <c r="BS599" s="532">
        <f t="shared" si="764"/>
        <v>2188.2250923487172</v>
      </c>
      <c r="BT599" s="532">
        <f t="shared" si="764"/>
        <v>2188.2250923487172</v>
      </c>
      <c r="BU599" s="532">
        <f t="shared" si="764"/>
        <v>2188.2250923487172</v>
      </c>
      <c r="BV599" s="532">
        <f t="shared" si="764"/>
        <v>2188.2250923487172</v>
      </c>
      <c r="BW599" s="532">
        <f t="shared" si="764"/>
        <v>2188.2250923487172</v>
      </c>
      <c r="BX599" s="532">
        <f t="shared" si="764"/>
        <v>2188.2250923487172</v>
      </c>
      <c r="BY599" s="532">
        <f t="shared" si="764"/>
        <v>2188.2250923487172</v>
      </c>
    </row>
    <row r="600" spans="2:77" x14ac:dyDescent="0.3">
      <c r="B600" s="82"/>
      <c r="C600" s="85"/>
      <c r="E600" s="2"/>
      <c r="F600" s="37"/>
      <c r="G600" s="37"/>
      <c r="I600" s="37"/>
      <c r="J600" s="37"/>
      <c r="K600" s="37"/>
      <c r="L600" s="37"/>
      <c r="M600" s="37"/>
      <c r="N600" s="37"/>
      <c r="O600" s="37"/>
      <c r="P600" s="144"/>
      <c r="R600" s="37"/>
      <c r="S600" s="37"/>
      <c r="T600" s="37"/>
      <c r="U600" s="37"/>
      <c r="V600" s="37"/>
      <c r="W600" s="37"/>
      <c r="X600" s="37"/>
      <c r="Y600" s="37"/>
      <c r="Z600" s="37"/>
      <c r="AA600" s="37"/>
      <c r="AB600" s="37"/>
      <c r="AC600" s="37"/>
      <c r="AD600" s="37"/>
      <c r="AE600" s="37"/>
      <c r="AF600" s="37"/>
      <c r="AG600" s="37"/>
      <c r="AH600" s="37"/>
      <c r="AI600" s="37"/>
      <c r="AJ600" s="37"/>
      <c r="AK600" s="37"/>
      <c r="AL600" s="37"/>
      <c r="AM600" s="37"/>
      <c r="AN600" s="529"/>
      <c r="AO600" s="529"/>
      <c r="AP600" s="529"/>
      <c r="AQ600" s="529"/>
      <c r="AR600" s="529"/>
      <c r="AS600" s="529"/>
      <c r="AT600" s="529"/>
      <c r="AU600" s="529"/>
      <c r="AV600" s="529"/>
      <c r="AW600" s="529"/>
      <c r="AX600" s="529"/>
      <c r="AY600" s="529"/>
      <c r="AZ600" s="529"/>
      <c r="BA600" s="529"/>
      <c r="BB600" s="529"/>
      <c r="BC600" s="529"/>
      <c r="BD600" s="529"/>
      <c r="BE600" s="529"/>
      <c r="BF600" s="529"/>
      <c r="BG600" s="529"/>
      <c r="BH600" s="529"/>
      <c r="BI600" s="529"/>
      <c r="BJ600" s="529"/>
      <c r="BK600" s="529"/>
      <c r="BL600" s="529"/>
      <c r="BM600" s="529"/>
      <c r="BN600" s="529"/>
      <c r="BO600" s="529"/>
      <c r="BP600" s="529"/>
      <c r="BQ600" s="529"/>
      <c r="BR600" s="529"/>
      <c r="BS600" s="529"/>
      <c r="BT600" s="529"/>
      <c r="BU600" s="529"/>
      <c r="BV600" s="529"/>
      <c r="BW600" s="529"/>
      <c r="BX600" s="529"/>
      <c r="BY600" s="529"/>
    </row>
    <row r="601" spans="2:77" x14ac:dyDescent="0.3">
      <c r="B601" s="82"/>
      <c r="C601" s="85"/>
      <c r="E601" s="17" t="s">
        <v>27</v>
      </c>
      <c r="F601" s="37"/>
      <c r="G601" s="37"/>
      <c r="I601" s="37"/>
      <c r="J601" s="37"/>
      <c r="K601" s="37"/>
      <c r="L601" s="37"/>
      <c r="M601" s="37"/>
      <c r="N601" s="37"/>
      <c r="O601" s="37"/>
      <c r="P601" s="144"/>
      <c r="R601" s="37"/>
      <c r="S601" s="37"/>
      <c r="T601" s="37"/>
      <c r="U601" s="37"/>
      <c r="V601" s="37"/>
      <c r="W601" s="37"/>
      <c r="X601" s="37"/>
      <c r="Y601" s="37"/>
      <c r="Z601" s="37"/>
      <c r="AA601" s="37"/>
      <c r="AB601" s="37"/>
      <c r="AC601" s="37"/>
      <c r="AD601" s="37"/>
      <c r="AE601" s="37"/>
      <c r="AF601" s="37"/>
      <c r="AG601" s="37"/>
      <c r="AH601" s="37"/>
      <c r="AI601" s="37"/>
      <c r="AJ601" s="37"/>
      <c r="AK601" s="37"/>
      <c r="AL601" s="37"/>
      <c r="AM601" s="37"/>
      <c r="AN601" s="529"/>
      <c r="AO601" s="529"/>
      <c r="AP601" s="529"/>
      <c r="AQ601" s="529"/>
      <c r="AR601" s="529"/>
      <c r="AS601" s="529"/>
      <c r="AT601" s="529"/>
      <c r="AU601" s="529"/>
      <c r="AV601" s="529"/>
      <c r="AW601" s="529"/>
      <c r="AX601" s="529"/>
      <c r="AY601" s="529"/>
      <c r="AZ601" s="529"/>
      <c r="BA601" s="529"/>
      <c r="BB601" s="529"/>
      <c r="BC601" s="529"/>
      <c r="BD601" s="529"/>
      <c r="BE601" s="529"/>
      <c r="BF601" s="529"/>
      <c r="BG601" s="529"/>
      <c r="BH601" s="529"/>
      <c r="BI601" s="529"/>
      <c r="BJ601" s="529"/>
      <c r="BK601" s="529"/>
      <c r="BL601" s="529"/>
      <c r="BM601" s="529"/>
      <c r="BN601" s="529"/>
      <c r="BO601" s="529"/>
      <c r="BP601" s="529"/>
      <c r="BQ601" s="529"/>
      <c r="BR601" s="529"/>
      <c r="BS601" s="529"/>
      <c r="BT601" s="529"/>
      <c r="BU601" s="529"/>
      <c r="BV601" s="529"/>
      <c r="BW601" s="529"/>
      <c r="BX601" s="529"/>
      <c r="BY601" s="529"/>
    </row>
    <row r="602" spans="2:77" x14ac:dyDescent="0.3">
      <c r="B602" s="82"/>
      <c r="C602" s="85"/>
      <c r="E602" s="2" t="s">
        <v>28</v>
      </c>
      <c r="F602" s="54"/>
      <c r="G602" s="54"/>
      <c r="I602" s="497">
        <f t="shared" ref="I602:N606" si="765">I538/I$571</f>
        <v>3.0843589743589739</v>
      </c>
      <c r="J602" s="497">
        <f t="shared" si="765"/>
        <v>3.0843589743589739</v>
      </c>
      <c r="K602" s="497">
        <f t="shared" si="765"/>
        <v>3.0843589743589739</v>
      </c>
      <c r="L602" s="497">
        <f t="shared" si="765"/>
        <v>3.0843589743589739</v>
      </c>
      <c r="M602" s="497">
        <f t="shared" si="765"/>
        <v>3.0843589743589739</v>
      </c>
      <c r="N602" s="497">
        <f t="shared" si="765"/>
        <v>3.0843589743589739</v>
      </c>
      <c r="O602" s="37"/>
      <c r="P602" s="50">
        <f>IFERROR(((N602/I602)^(1/5))-1,0)</f>
        <v>0</v>
      </c>
      <c r="R602" s="497">
        <f t="shared" ref="R602:AW602" si="766">R538/R$571</f>
        <v>0.25702991452991447</v>
      </c>
      <c r="S602" s="497">
        <f t="shared" si="766"/>
        <v>0.25702991452991447</v>
      </c>
      <c r="T602" s="497">
        <f t="shared" si="766"/>
        <v>0.25702991452991447</v>
      </c>
      <c r="U602" s="497">
        <f t="shared" si="766"/>
        <v>0.25702991452991447</v>
      </c>
      <c r="V602" s="497">
        <f t="shared" si="766"/>
        <v>0.25702991452991447</v>
      </c>
      <c r="W602" s="497">
        <f t="shared" si="766"/>
        <v>0.25702991452991447</v>
      </c>
      <c r="X602" s="497">
        <f t="shared" si="766"/>
        <v>0.25702991452991447</v>
      </c>
      <c r="Y602" s="497">
        <f t="shared" si="766"/>
        <v>0.25702991452991447</v>
      </c>
      <c r="Z602" s="497">
        <f t="shared" si="766"/>
        <v>0.25702991452991447</v>
      </c>
      <c r="AA602" s="497">
        <f t="shared" si="766"/>
        <v>0.25702991452991447</v>
      </c>
      <c r="AB602" s="497">
        <f t="shared" si="766"/>
        <v>0.25702991452991447</v>
      </c>
      <c r="AC602" s="497">
        <f t="shared" si="766"/>
        <v>0.25702991452991447</v>
      </c>
      <c r="AD602" s="497">
        <f t="shared" si="766"/>
        <v>0.25702991452991447</v>
      </c>
      <c r="AE602" s="497">
        <f t="shared" si="766"/>
        <v>0.25702991452991447</v>
      </c>
      <c r="AF602" s="497">
        <f t="shared" si="766"/>
        <v>0.25702991452991447</v>
      </c>
      <c r="AG602" s="497">
        <f t="shared" si="766"/>
        <v>0.25702991452991447</v>
      </c>
      <c r="AH602" s="497">
        <f t="shared" si="766"/>
        <v>0.25702991452991447</v>
      </c>
      <c r="AI602" s="497">
        <f t="shared" si="766"/>
        <v>0.25702991452991447</v>
      </c>
      <c r="AJ602" s="497">
        <f t="shared" si="766"/>
        <v>0.25702991452991447</v>
      </c>
      <c r="AK602" s="497">
        <f t="shared" si="766"/>
        <v>0.25702991452991447</v>
      </c>
      <c r="AL602" s="497">
        <f t="shared" si="766"/>
        <v>0.25702991452991447</v>
      </c>
      <c r="AM602" s="497">
        <f t="shared" si="766"/>
        <v>0.25702991452991447</v>
      </c>
      <c r="AN602" s="527">
        <f t="shared" si="766"/>
        <v>0.25702991452991447</v>
      </c>
      <c r="AO602" s="527">
        <f t="shared" si="766"/>
        <v>0.25702991452991447</v>
      </c>
      <c r="AP602" s="527">
        <f t="shared" si="766"/>
        <v>0.25702991452991447</v>
      </c>
      <c r="AQ602" s="527">
        <f t="shared" si="766"/>
        <v>0.25702991452991447</v>
      </c>
      <c r="AR602" s="527">
        <f t="shared" si="766"/>
        <v>0.25702991452991447</v>
      </c>
      <c r="AS602" s="527">
        <f t="shared" si="766"/>
        <v>0.25702991452991447</v>
      </c>
      <c r="AT602" s="527">
        <f t="shared" si="766"/>
        <v>0.25702991452991447</v>
      </c>
      <c r="AU602" s="527">
        <f t="shared" si="766"/>
        <v>0.25702991452991447</v>
      </c>
      <c r="AV602" s="527">
        <f t="shared" si="766"/>
        <v>0.25702991452991447</v>
      </c>
      <c r="AW602" s="527">
        <f t="shared" si="766"/>
        <v>0.25702991452991447</v>
      </c>
      <c r="AX602" s="527">
        <f t="shared" ref="AX602:BY602" si="767">AX538/AX$571</f>
        <v>0.25702991452991447</v>
      </c>
      <c r="AY602" s="527">
        <f t="shared" si="767"/>
        <v>0.25702991452991447</v>
      </c>
      <c r="AZ602" s="527">
        <f t="shared" si="767"/>
        <v>0.25702991452991447</v>
      </c>
      <c r="BA602" s="527">
        <f t="shared" si="767"/>
        <v>0.25702991452991447</v>
      </c>
      <c r="BB602" s="527">
        <f t="shared" si="767"/>
        <v>0.25702991452991447</v>
      </c>
      <c r="BC602" s="527">
        <f t="shared" si="767"/>
        <v>0.25702991452991447</v>
      </c>
      <c r="BD602" s="527">
        <f t="shared" si="767"/>
        <v>0.25702991452991447</v>
      </c>
      <c r="BE602" s="527">
        <f t="shared" si="767"/>
        <v>0.25702991452991447</v>
      </c>
      <c r="BF602" s="527">
        <f t="shared" si="767"/>
        <v>0.25702991452991447</v>
      </c>
      <c r="BG602" s="527">
        <f t="shared" si="767"/>
        <v>0.25702991452991447</v>
      </c>
      <c r="BH602" s="527">
        <f t="shared" si="767"/>
        <v>0.25702991452991447</v>
      </c>
      <c r="BI602" s="527">
        <f t="shared" si="767"/>
        <v>0.25702991452991447</v>
      </c>
      <c r="BJ602" s="527">
        <f t="shared" si="767"/>
        <v>0.25702991452991447</v>
      </c>
      <c r="BK602" s="527">
        <f t="shared" si="767"/>
        <v>0.25702991452991447</v>
      </c>
      <c r="BL602" s="527">
        <f t="shared" si="767"/>
        <v>0.25702991452991447</v>
      </c>
      <c r="BM602" s="527">
        <f t="shared" si="767"/>
        <v>0.25702991452991447</v>
      </c>
      <c r="BN602" s="527">
        <f t="shared" si="767"/>
        <v>0.25702991452991447</v>
      </c>
      <c r="BO602" s="527">
        <f t="shared" si="767"/>
        <v>0.25702991452991447</v>
      </c>
      <c r="BP602" s="527">
        <f t="shared" si="767"/>
        <v>0.25702991452991447</v>
      </c>
      <c r="BQ602" s="527">
        <f t="shared" si="767"/>
        <v>0.25702991452991447</v>
      </c>
      <c r="BR602" s="527">
        <f t="shared" si="767"/>
        <v>0.25702991452991447</v>
      </c>
      <c r="BS602" s="527">
        <f t="shared" si="767"/>
        <v>0.25702991452991447</v>
      </c>
      <c r="BT602" s="527">
        <f t="shared" si="767"/>
        <v>0.25702991452991447</v>
      </c>
      <c r="BU602" s="527">
        <f t="shared" si="767"/>
        <v>0.25702991452991447</v>
      </c>
      <c r="BV602" s="527">
        <f t="shared" si="767"/>
        <v>0.25702991452991447</v>
      </c>
      <c r="BW602" s="527">
        <f t="shared" si="767"/>
        <v>0.25702991452991447</v>
      </c>
      <c r="BX602" s="527">
        <f t="shared" si="767"/>
        <v>0.25702991452991447</v>
      </c>
      <c r="BY602" s="527">
        <f t="shared" si="767"/>
        <v>0.25702991452991447</v>
      </c>
    </row>
    <row r="603" spans="2:77" x14ac:dyDescent="0.3">
      <c r="B603" s="82"/>
      <c r="C603" s="85"/>
      <c r="E603" s="2" t="s">
        <v>29</v>
      </c>
      <c r="F603" s="54"/>
      <c r="G603" s="54"/>
      <c r="I603" s="497">
        <f t="shared" si="765"/>
        <v>5638.7852070812296</v>
      </c>
      <c r="J603" s="497">
        <f t="shared" si="765"/>
        <v>5638.7852070812296</v>
      </c>
      <c r="K603" s="497">
        <f t="shared" si="765"/>
        <v>5638.7852070812296</v>
      </c>
      <c r="L603" s="497">
        <f t="shared" si="765"/>
        <v>5638.7852070812296</v>
      </c>
      <c r="M603" s="497">
        <f t="shared" si="765"/>
        <v>5638.7852070812296</v>
      </c>
      <c r="N603" s="497">
        <f t="shared" si="765"/>
        <v>5638.7852070812296</v>
      </c>
      <c r="O603" s="37"/>
      <c r="P603" s="50">
        <f>IFERROR(((N603/I603)^(1/5))-1,0)</f>
        <v>0</v>
      </c>
      <c r="R603" s="497">
        <f t="shared" ref="R603:AW603" si="768">R539/R$571</f>
        <v>469.89876725676908</v>
      </c>
      <c r="S603" s="497">
        <f t="shared" si="768"/>
        <v>469.89876725676908</v>
      </c>
      <c r="T603" s="497">
        <f t="shared" si="768"/>
        <v>469.89876725676908</v>
      </c>
      <c r="U603" s="497">
        <f t="shared" si="768"/>
        <v>469.89876725676908</v>
      </c>
      <c r="V603" s="497">
        <f t="shared" si="768"/>
        <v>469.89876725676908</v>
      </c>
      <c r="W603" s="497">
        <f t="shared" si="768"/>
        <v>469.89876725676908</v>
      </c>
      <c r="X603" s="497">
        <f t="shared" si="768"/>
        <v>469.89876725676908</v>
      </c>
      <c r="Y603" s="497">
        <f t="shared" si="768"/>
        <v>469.89876725676908</v>
      </c>
      <c r="Z603" s="497">
        <f t="shared" si="768"/>
        <v>469.89876725676908</v>
      </c>
      <c r="AA603" s="497">
        <f t="shared" si="768"/>
        <v>469.89876725676908</v>
      </c>
      <c r="AB603" s="497">
        <f t="shared" si="768"/>
        <v>469.89876725676908</v>
      </c>
      <c r="AC603" s="497">
        <f t="shared" si="768"/>
        <v>469.89876725676908</v>
      </c>
      <c r="AD603" s="497">
        <f t="shared" si="768"/>
        <v>469.89876725676908</v>
      </c>
      <c r="AE603" s="497">
        <f t="shared" si="768"/>
        <v>469.89876725676908</v>
      </c>
      <c r="AF603" s="497">
        <f t="shared" si="768"/>
        <v>469.89876725676908</v>
      </c>
      <c r="AG603" s="497">
        <f t="shared" si="768"/>
        <v>469.89876725676908</v>
      </c>
      <c r="AH603" s="497">
        <f t="shared" si="768"/>
        <v>469.89876725676908</v>
      </c>
      <c r="AI603" s="497">
        <f t="shared" si="768"/>
        <v>469.89876725676908</v>
      </c>
      <c r="AJ603" s="497">
        <f t="shared" si="768"/>
        <v>469.89876725676908</v>
      </c>
      <c r="AK603" s="497">
        <f t="shared" si="768"/>
        <v>469.89876725676908</v>
      </c>
      <c r="AL603" s="497">
        <f t="shared" si="768"/>
        <v>469.89876725676908</v>
      </c>
      <c r="AM603" s="497">
        <f t="shared" si="768"/>
        <v>469.89876725676908</v>
      </c>
      <c r="AN603" s="527">
        <f t="shared" si="768"/>
        <v>469.89876725676908</v>
      </c>
      <c r="AO603" s="527">
        <f t="shared" si="768"/>
        <v>469.89876725676908</v>
      </c>
      <c r="AP603" s="527">
        <f t="shared" si="768"/>
        <v>469.89876725676908</v>
      </c>
      <c r="AQ603" s="527">
        <f t="shared" si="768"/>
        <v>469.89876725676908</v>
      </c>
      <c r="AR603" s="527">
        <f t="shared" si="768"/>
        <v>469.89876725676908</v>
      </c>
      <c r="AS603" s="527">
        <f t="shared" si="768"/>
        <v>469.89876725676908</v>
      </c>
      <c r="AT603" s="527">
        <f t="shared" si="768"/>
        <v>469.89876725676908</v>
      </c>
      <c r="AU603" s="527">
        <f t="shared" si="768"/>
        <v>469.89876725676908</v>
      </c>
      <c r="AV603" s="527">
        <f t="shared" si="768"/>
        <v>469.89876725676908</v>
      </c>
      <c r="AW603" s="527">
        <f t="shared" si="768"/>
        <v>469.89876725676908</v>
      </c>
      <c r="AX603" s="527">
        <f t="shared" ref="AX603:BY603" si="769">AX539/AX$571</f>
        <v>469.89876725676908</v>
      </c>
      <c r="AY603" s="527">
        <f t="shared" si="769"/>
        <v>469.89876725676908</v>
      </c>
      <c r="AZ603" s="527">
        <f t="shared" si="769"/>
        <v>469.89876725676908</v>
      </c>
      <c r="BA603" s="527">
        <f t="shared" si="769"/>
        <v>469.89876725676908</v>
      </c>
      <c r="BB603" s="527">
        <f t="shared" si="769"/>
        <v>469.89876725676908</v>
      </c>
      <c r="BC603" s="527">
        <f t="shared" si="769"/>
        <v>469.89876725676908</v>
      </c>
      <c r="BD603" s="527">
        <f t="shared" si="769"/>
        <v>469.89876725676908</v>
      </c>
      <c r="BE603" s="527">
        <f t="shared" si="769"/>
        <v>469.89876725676908</v>
      </c>
      <c r="BF603" s="527">
        <f t="shared" si="769"/>
        <v>469.89876725676908</v>
      </c>
      <c r="BG603" s="527">
        <f t="shared" si="769"/>
        <v>469.89876725676908</v>
      </c>
      <c r="BH603" s="527">
        <f t="shared" si="769"/>
        <v>469.89876725676908</v>
      </c>
      <c r="BI603" s="527">
        <f t="shared" si="769"/>
        <v>469.89876725676908</v>
      </c>
      <c r="BJ603" s="527">
        <f t="shared" si="769"/>
        <v>469.89876725676908</v>
      </c>
      <c r="BK603" s="527">
        <f t="shared" si="769"/>
        <v>469.89876725676908</v>
      </c>
      <c r="BL603" s="527">
        <f t="shared" si="769"/>
        <v>469.89876725676908</v>
      </c>
      <c r="BM603" s="527">
        <f t="shared" si="769"/>
        <v>469.89876725676908</v>
      </c>
      <c r="BN603" s="527">
        <f t="shared" si="769"/>
        <v>469.89876725676908</v>
      </c>
      <c r="BO603" s="527">
        <f t="shared" si="769"/>
        <v>469.89876725676908</v>
      </c>
      <c r="BP603" s="527">
        <f t="shared" si="769"/>
        <v>469.89876725676908</v>
      </c>
      <c r="BQ603" s="527">
        <f t="shared" si="769"/>
        <v>469.89876725676908</v>
      </c>
      <c r="BR603" s="527">
        <f t="shared" si="769"/>
        <v>469.89876725676908</v>
      </c>
      <c r="BS603" s="527">
        <f t="shared" si="769"/>
        <v>469.89876725676908</v>
      </c>
      <c r="BT603" s="527">
        <f t="shared" si="769"/>
        <v>469.89876725676908</v>
      </c>
      <c r="BU603" s="527">
        <f t="shared" si="769"/>
        <v>469.89876725676908</v>
      </c>
      <c r="BV603" s="527">
        <f t="shared" si="769"/>
        <v>469.89876725676908</v>
      </c>
      <c r="BW603" s="527">
        <f t="shared" si="769"/>
        <v>469.89876725676908</v>
      </c>
      <c r="BX603" s="527">
        <f t="shared" si="769"/>
        <v>469.89876725676908</v>
      </c>
      <c r="BY603" s="527">
        <f t="shared" si="769"/>
        <v>469.89876725676908</v>
      </c>
    </row>
    <row r="604" spans="2:77" x14ac:dyDescent="0.3">
      <c r="B604" s="82"/>
      <c r="C604" s="85"/>
      <c r="E604" s="2" t="s">
        <v>30</v>
      </c>
      <c r="F604" s="54"/>
      <c r="G604" s="54"/>
      <c r="I604" s="497">
        <f t="shared" si="765"/>
        <v>872.3066666666665</v>
      </c>
      <c r="J604" s="497">
        <f t="shared" si="765"/>
        <v>872.3066666666665</v>
      </c>
      <c r="K604" s="497">
        <f t="shared" si="765"/>
        <v>872.3066666666665</v>
      </c>
      <c r="L604" s="497">
        <f t="shared" si="765"/>
        <v>872.3066666666665</v>
      </c>
      <c r="M604" s="497">
        <f t="shared" si="765"/>
        <v>872.3066666666665</v>
      </c>
      <c r="N604" s="497">
        <f t="shared" si="765"/>
        <v>872.3066666666665</v>
      </c>
      <c r="O604" s="37"/>
      <c r="P604" s="50">
        <f>IFERROR(((N604/I604)^(1/5))-1,0)</f>
        <v>0</v>
      </c>
      <c r="R604" s="497">
        <f t="shared" ref="R604:AW604" si="770">R540/R$571</f>
        <v>72.692222222222199</v>
      </c>
      <c r="S604" s="497">
        <f t="shared" si="770"/>
        <v>72.692222222222199</v>
      </c>
      <c r="T604" s="497">
        <f t="shared" si="770"/>
        <v>72.692222222222199</v>
      </c>
      <c r="U604" s="497">
        <f t="shared" si="770"/>
        <v>72.692222222222199</v>
      </c>
      <c r="V604" s="497">
        <f t="shared" si="770"/>
        <v>72.692222222222199</v>
      </c>
      <c r="W604" s="497">
        <f t="shared" si="770"/>
        <v>72.692222222222199</v>
      </c>
      <c r="X604" s="497">
        <f t="shared" si="770"/>
        <v>72.692222222222199</v>
      </c>
      <c r="Y604" s="497">
        <f t="shared" si="770"/>
        <v>72.692222222222199</v>
      </c>
      <c r="Z604" s="497">
        <f t="shared" si="770"/>
        <v>72.692222222222199</v>
      </c>
      <c r="AA604" s="497">
        <f t="shared" si="770"/>
        <v>72.692222222222199</v>
      </c>
      <c r="AB604" s="497">
        <f t="shared" si="770"/>
        <v>72.692222222222199</v>
      </c>
      <c r="AC604" s="497">
        <f t="shared" si="770"/>
        <v>72.692222222222199</v>
      </c>
      <c r="AD604" s="497">
        <f t="shared" si="770"/>
        <v>72.692222222222199</v>
      </c>
      <c r="AE604" s="497">
        <f t="shared" si="770"/>
        <v>72.692222222222199</v>
      </c>
      <c r="AF604" s="497">
        <f t="shared" si="770"/>
        <v>72.692222222222199</v>
      </c>
      <c r="AG604" s="497">
        <f t="shared" si="770"/>
        <v>72.692222222222199</v>
      </c>
      <c r="AH604" s="497">
        <f t="shared" si="770"/>
        <v>72.692222222222199</v>
      </c>
      <c r="AI604" s="497">
        <f t="shared" si="770"/>
        <v>72.692222222222199</v>
      </c>
      <c r="AJ604" s="497">
        <f t="shared" si="770"/>
        <v>72.692222222222199</v>
      </c>
      <c r="AK604" s="497">
        <f t="shared" si="770"/>
        <v>72.692222222222199</v>
      </c>
      <c r="AL604" s="497">
        <f t="shared" si="770"/>
        <v>72.692222222222199</v>
      </c>
      <c r="AM604" s="497">
        <f t="shared" si="770"/>
        <v>72.692222222222199</v>
      </c>
      <c r="AN604" s="527">
        <f t="shared" si="770"/>
        <v>72.692222222222199</v>
      </c>
      <c r="AO604" s="527">
        <f t="shared" si="770"/>
        <v>72.692222222222199</v>
      </c>
      <c r="AP604" s="527">
        <f t="shared" si="770"/>
        <v>72.692222222222199</v>
      </c>
      <c r="AQ604" s="527">
        <f t="shared" si="770"/>
        <v>72.692222222222199</v>
      </c>
      <c r="AR604" s="527">
        <f t="shared" si="770"/>
        <v>72.692222222222199</v>
      </c>
      <c r="AS604" s="527">
        <f t="shared" si="770"/>
        <v>72.692222222222199</v>
      </c>
      <c r="AT604" s="527">
        <f t="shared" si="770"/>
        <v>72.692222222222199</v>
      </c>
      <c r="AU604" s="527">
        <f t="shared" si="770"/>
        <v>72.692222222222199</v>
      </c>
      <c r="AV604" s="527">
        <f t="shared" si="770"/>
        <v>72.692222222222199</v>
      </c>
      <c r="AW604" s="527">
        <f t="shared" si="770"/>
        <v>72.692222222222199</v>
      </c>
      <c r="AX604" s="527">
        <f t="shared" ref="AX604:BY604" si="771">AX540/AX$571</f>
        <v>72.692222222222199</v>
      </c>
      <c r="AY604" s="527">
        <f t="shared" si="771"/>
        <v>72.692222222222199</v>
      </c>
      <c r="AZ604" s="527">
        <f t="shared" si="771"/>
        <v>72.692222222222199</v>
      </c>
      <c r="BA604" s="527">
        <f t="shared" si="771"/>
        <v>72.692222222222199</v>
      </c>
      <c r="BB604" s="527">
        <f t="shared" si="771"/>
        <v>72.692222222222199</v>
      </c>
      <c r="BC604" s="527">
        <f t="shared" si="771"/>
        <v>72.692222222222199</v>
      </c>
      <c r="BD604" s="527">
        <f t="shared" si="771"/>
        <v>72.692222222222199</v>
      </c>
      <c r="BE604" s="527">
        <f t="shared" si="771"/>
        <v>72.692222222222199</v>
      </c>
      <c r="BF604" s="527">
        <f t="shared" si="771"/>
        <v>72.692222222222199</v>
      </c>
      <c r="BG604" s="527">
        <f t="shared" si="771"/>
        <v>72.692222222222199</v>
      </c>
      <c r="BH604" s="527">
        <f t="shared" si="771"/>
        <v>72.692222222222199</v>
      </c>
      <c r="BI604" s="527">
        <f t="shared" si="771"/>
        <v>72.692222222222199</v>
      </c>
      <c r="BJ604" s="527">
        <f t="shared" si="771"/>
        <v>72.692222222222199</v>
      </c>
      <c r="BK604" s="527">
        <f t="shared" si="771"/>
        <v>72.692222222222199</v>
      </c>
      <c r="BL604" s="527">
        <f t="shared" si="771"/>
        <v>72.692222222222199</v>
      </c>
      <c r="BM604" s="527">
        <f t="shared" si="771"/>
        <v>72.692222222222199</v>
      </c>
      <c r="BN604" s="527">
        <f t="shared" si="771"/>
        <v>72.692222222222199</v>
      </c>
      <c r="BO604" s="527">
        <f t="shared" si="771"/>
        <v>72.692222222222199</v>
      </c>
      <c r="BP604" s="527">
        <f t="shared" si="771"/>
        <v>72.692222222222199</v>
      </c>
      <c r="BQ604" s="527">
        <f t="shared" si="771"/>
        <v>72.692222222222199</v>
      </c>
      <c r="BR604" s="527">
        <f t="shared" si="771"/>
        <v>72.692222222222199</v>
      </c>
      <c r="BS604" s="527">
        <f t="shared" si="771"/>
        <v>72.692222222222199</v>
      </c>
      <c r="BT604" s="527">
        <f t="shared" si="771"/>
        <v>72.692222222222199</v>
      </c>
      <c r="BU604" s="527">
        <f t="shared" si="771"/>
        <v>72.692222222222199</v>
      </c>
      <c r="BV604" s="527">
        <f t="shared" si="771"/>
        <v>72.692222222222199</v>
      </c>
      <c r="BW604" s="527">
        <f t="shared" si="771"/>
        <v>72.692222222222199</v>
      </c>
      <c r="BX604" s="527">
        <f t="shared" si="771"/>
        <v>72.692222222222199</v>
      </c>
      <c r="BY604" s="527">
        <f t="shared" si="771"/>
        <v>72.692222222222199</v>
      </c>
    </row>
    <row r="605" spans="2:77" x14ac:dyDescent="0.3">
      <c r="B605" s="82"/>
      <c r="C605" s="85"/>
      <c r="E605" s="2" t="s">
        <v>31</v>
      </c>
      <c r="F605" s="54"/>
      <c r="G605" s="54"/>
      <c r="I605" s="497">
        <f t="shared" si="765"/>
        <v>2865.4815258106514</v>
      </c>
      <c r="J605" s="497">
        <f t="shared" si="765"/>
        <v>2865.4815258106514</v>
      </c>
      <c r="K605" s="497">
        <f t="shared" si="765"/>
        <v>2865.4815258106514</v>
      </c>
      <c r="L605" s="497">
        <f t="shared" si="765"/>
        <v>2865.4815258106514</v>
      </c>
      <c r="M605" s="497">
        <f t="shared" si="765"/>
        <v>2865.4815258106514</v>
      </c>
      <c r="N605" s="497">
        <f t="shared" si="765"/>
        <v>2865.4815258106514</v>
      </c>
      <c r="O605" s="37"/>
      <c r="P605" s="50">
        <f>IFERROR(((N605/I605)^(1/5))-1,0)</f>
        <v>0</v>
      </c>
      <c r="R605" s="497">
        <f t="shared" ref="R605:AW605" si="772">R541/R$571</f>
        <v>238.79012715088763</v>
      </c>
      <c r="S605" s="497">
        <f t="shared" si="772"/>
        <v>238.79012715088763</v>
      </c>
      <c r="T605" s="497">
        <f t="shared" si="772"/>
        <v>238.79012715088763</v>
      </c>
      <c r="U605" s="497">
        <f t="shared" si="772"/>
        <v>238.79012715088763</v>
      </c>
      <c r="V605" s="497">
        <f t="shared" si="772"/>
        <v>238.79012715088763</v>
      </c>
      <c r="W605" s="497">
        <f t="shared" si="772"/>
        <v>238.79012715088763</v>
      </c>
      <c r="X605" s="497">
        <f t="shared" si="772"/>
        <v>238.79012715088763</v>
      </c>
      <c r="Y605" s="497">
        <f t="shared" si="772"/>
        <v>238.79012715088763</v>
      </c>
      <c r="Z605" s="497">
        <f t="shared" si="772"/>
        <v>238.79012715088763</v>
      </c>
      <c r="AA605" s="497">
        <f t="shared" si="772"/>
        <v>238.79012715088763</v>
      </c>
      <c r="AB605" s="497">
        <f t="shared" si="772"/>
        <v>238.79012715088763</v>
      </c>
      <c r="AC605" s="497">
        <f t="shared" si="772"/>
        <v>238.79012715088763</v>
      </c>
      <c r="AD605" s="497">
        <f t="shared" si="772"/>
        <v>238.79012715088763</v>
      </c>
      <c r="AE605" s="497">
        <f t="shared" si="772"/>
        <v>238.79012715088763</v>
      </c>
      <c r="AF605" s="497">
        <f t="shared" si="772"/>
        <v>238.79012715088763</v>
      </c>
      <c r="AG605" s="497">
        <f t="shared" si="772"/>
        <v>238.79012715088763</v>
      </c>
      <c r="AH605" s="497">
        <f t="shared" si="772"/>
        <v>238.79012715088763</v>
      </c>
      <c r="AI605" s="497">
        <f t="shared" si="772"/>
        <v>238.79012715088763</v>
      </c>
      <c r="AJ605" s="497">
        <f t="shared" si="772"/>
        <v>238.79012715088763</v>
      </c>
      <c r="AK605" s="497">
        <f t="shared" si="772"/>
        <v>238.79012715088763</v>
      </c>
      <c r="AL605" s="497">
        <f t="shared" si="772"/>
        <v>238.79012715088763</v>
      </c>
      <c r="AM605" s="497">
        <f t="shared" si="772"/>
        <v>238.79012715088763</v>
      </c>
      <c r="AN605" s="527">
        <f t="shared" si="772"/>
        <v>238.79012715088763</v>
      </c>
      <c r="AO605" s="527">
        <f t="shared" si="772"/>
        <v>238.79012715088763</v>
      </c>
      <c r="AP605" s="527">
        <f t="shared" si="772"/>
        <v>238.79012715088763</v>
      </c>
      <c r="AQ605" s="527">
        <f t="shared" si="772"/>
        <v>238.79012715088763</v>
      </c>
      <c r="AR605" s="527">
        <f t="shared" si="772"/>
        <v>238.79012715088763</v>
      </c>
      <c r="AS605" s="527">
        <f t="shared" si="772"/>
        <v>238.79012715088763</v>
      </c>
      <c r="AT605" s="527">
        <f t="shared" si="772"/>
        <v>238.79012715088763</v>
      </c>
      <c r="AU605" s="527">
        <f t="shared" si="772"/>
        <v>238.79012715088763</v>
      </c>
      <c r="AV605" s="527">
        <f t="shared" si="772"/>
        <v>238.79012715088763</v>
      </c>
      <c r="AW605" s="527">
        <f t="shared" si="772"/>
        <v>238.79012715088763</v>
      </c>
      <c r="AX605" s="527">
        <f t="shared" ref="AX605:BY605" si="773">AX541/AX$571</f>
        <v>238.79012715088763</v>
      </c>
      <c r="AY605" s="527">
        <f t="shared" si="773"/>
        <v>238.79012715088763</v>
      </c>
      <c r="AZ605" s="527">
        <f t="shared" si="773"/>
        <v>238.79012715088763</v>
      </c>
      <c r="BA605" s="527">
        <f t="shared" si="773"/>
        <v>238.79012715088763</v>
      </c>
      <c r="BB605" s="527">
        <f t="shared" si="773"/>
        <v>238.79012715088763</v>
      </c>
      <c r="BC605" s="527">
        <f t="shared" si="773"/>
        <v>238.79012715088763</v>
      </c>
      <c r="BD605" s="527">
        <f t="shared" si="773"/>
        <v>238.79012715088763</v>
      </c>
      <c r="BE605" s="527">
        <f t="shared" si="773"/>
        <v>238.79012715088763</v>
      </c>
      <c r="BF605" s="527">
        <f t="shared" si="773"/>
        <v>238.79012715088763</v>
      </c>
      <c r="BG605" s="527">
        <f t="shared" si="773"/>
        <v>238.79012715088763</v>
      </c>
      <c r="BH605" s="527">
        <f t="shared" si="773"/>
        <v>238.79012715088763</v>
      </c>
      <c r="BI605" s="527">
        <f t="shared" si="773"/>
        <v>238.79012715088763</v>
      </c>
      <c r="BJ605" s="527">
        <f t="shared" si="773"/>
        <v>238.79012715088763</v>
      </c>
      <c r="BK605" s="527">
        <f t="shared" si="773"/>
        <v>238.79012715088763</v>
      </c>
      <c r="BL605" s="527">
        <f t="shared" si="773"/>
        <v>238.79012715088763</v>
      </c>
      <c r="BM605" s="527">
        <f t="shared" si="773"/>
        <v>238.79012715088763</v>
      </c>
      <c r="BN605" s="527">
        <f t="shared" si="773"/>
        <v>238.79012715088763</v>
      </c>
      <c r="BO605" s="527">
        <f t="shared" si="773"/>
        <v>238.79012715088763</v>
      </c>
      <c r="BP605" s="527">
        <f t="shared" si="773"/>
        <v>238.79012715088763</v>
      </c>
      <c r="BQ605" s="527">
        <f t="shared" si="773"/>
        <v>238.79012715088763</v>
      </c>
      <c r="BR605" s="527">
        <f t="shared" si="773"/>
        <v>238.79012715088763</v>
      </c>
      <c r="BS605" s="527">
        <f t="shared" si="773"/>
        <v>238.79012715088763</v>
      </c>
      <c r="BT605" s="527">
        <f t="shared" si="773"/>
        <v>238.79012715088763</v>
      </c>
      <c r="BU605" s="527">
        <f t="shared" si="773"/>
        <v>238.79012715088763</v>
      </c>
      <c r="BV605" s="527">
        <f t="shared" si="773"/>
        <v>238.79012715088763</v>
      </c>
      <c r="BW605" s="527">
        <f t="shared" si="773"/>
        <v>238.79012715088763</v>
      </c>
      <c r="BX605" s="527">
        <f t="shared" si="773"/>
        <v>238.79012715088763</v>
      </c>
      <c r="BY605" s="527">
        <f t="shared" si="773"/>
        <v>238.79012715088763</v>
      </c>
    </row>
    <row r="606" spans="2:77" x14ac:dyDescent="0.3">
      <c r="B606" s="82"/>
      <c r="C606" s="85"/>
      <c r="E606" s="4" t="s">
        <v>32</v>
      </c>
      <c r="F606" s="5"/>
      <c r="G606" s="5"/>
      <c r="I606" s="500">
        <f t="shared" si="765"/>
        <v>9379.6577585329069</v>
      </c>
      <c r="J606" s="500">
        <f t="shared" si="765"/>
        <v>9379.6577585329069</v>
      </c>
      <c r="K606" s="500">
        <f t="shared" si="765"/>
        <v>9379.6577585329069</v>
      </c>
      <c r="L606" s="500">
        <f t="shared" si="765"/>
        <v>9379.6577585329069</v>
      </c>
      <c r="M606" s="500">
        <f t="shared" si="765"/>
        <v>9379.6577585329069</v>
      </c>
      <c r="N606" s="500">
        <f t="shared" si="765"/>
        <v>9379.6577585329069</v>
      </c>
      <c r="O606" s="57"/>
      <c r="P606" s="55">
        <f>IFERROR(((N606/I606)^(1/5))-1,0)</f>
        <v>0</v>
      </c>
      <c r="R606" s="500">
        <f t="shared" ref="R606:AW606" si="774">R542/R$571</f>
        <v>781.63814654440887</v>
      </c>
      <c r="S606" s="500">
        <f t="shared" si="774"/>
        <v>781.63814654440887</v>
      </c>
      <c r="T606" s="500">
        <f t="shared" si="774"/>
        <v>781.63814654440887</v>
      </c>
      <c r="U606" s="500">
        <f t="shared" si="774"/>
        <v>781.63814654440887</v>
      </c>
      <c r="V606" s="500">
        <f t="shared" si="774"/>
        <v>781.63814654440887</v>
      </c>
      <c r="W606" s="500">
        <f t="shared" si="774"/>
        <v>781.63814654440887</v>
      </c>
      <c r="X606" s="500">
        <f t="shared" si="774"/>
        <v>781.63814654440887</v>
      </c>
      <c r="Y606" s="500">
        <f t="shared" si="774"/>
        <v>781.63814654440887</v>
      </c>
      <c r="Z606" s="500">
        <f t="shared" si="774"/>
        <v>781.63814654440887</v>
      </c>
      <c r="AA606" s="500">
        <f t="shared" si="774"/>
        <v>781.63814654440887</v>
      </c>
      <c r="AB606" s="500">
        <f t="shared" si="774"/>
        <v>781.63814654440887</v>
      </c>
      <c r="AC606" s="500">
        <f t="shared" si="774"/>
        <v>781.63814654440887</v>
      </c>
      <c r="AD606" s="500">
        <f t="shared" si="774"/>
        <v>781.63814654440887</v>
      </c>
      <c r="AE606" s="500">
        <f t="shared" si="774"/>
        <v>781.63814654440887</v>
      </c>
      <c r="AF606" s="500">
        <f t="shared" si="774"/>
        <v>781.63814654440887</v>
      </c>
      <c r="AG606" s="500">
        <f t="shared" si="774"/>
        <v>781.63814654440887</v>
      </c>
      <c r="AH606" s="500">
        <f t="shared" si="774"/>
        <v>781.63814654440887</v>
      </c>
      <c r="AI606" s="500">
        <f t="shared" si="774"/>
        <v>781.63814654440887</v>
      </c>
      <c r="AJ606" s="500">
        <f t="shared" si="774"/>
        <v>781.63814654440887</v>
      </c>
      <c r="AK606" s="500">
        <f t="shared" si="774"/>
        <v>781.63814654440887</v>
      </c>
      <c r="AL606" s="500">
        <f t="shared" si="774"/>
        <v>781.63814654440887</v>
      </c>
      <c r="AM606" s="500">
        <f t="shared" si="774"/>
        <v>781.63814654440887</v>
      </c>
      <c r="AN606" s="532">
        <f t="shared" si="774"/>
        <v>781.63814654440887</v>
      </c>
      <c r="AO606" s="532">
        <f t="shared" si="774"/>
        <v>781.63814654440887</v>
      </c>
      <c r="AP606" s="532">
        <f t="shared" si="774"/>
        <v>781.63814654440887</v>
      </c>
      <c r="AQ606" s="532">
        <f t="shared" si="774"/>
        <v>781.63814654440887</v>
      </c>
      <c r="AR606" s="532">
        <f t="shared" si="774"/>
        <v>781.63814654440887</v>
      </c>
      <c r="AS606" s="532">
        <f t="shared" si="774"/>
        <v>781.63814654440887</v>
      </c>
      <c r="AT606" s="532">
        <f t="shared" si="774"/>
        <v>781.63814654440887</v>
      </c>
      <c r="AU606" s="532">
        <f t="shared" si="774"/>
        <v>781.63814654440887</v>
      </c>
      <c r="AV606" s="532">
        <f t="shared" si="774"/>
        <v>781.63814654440887</v>
      </c>
      <c r="AW606" s="532">
        <f t="shared" si="774"/>
        <v>781.63814654440887</v>
      </c>
      <c r="AX606" s="532">
        <f t="shared" ref="AX606:BY606" si="775">AX542/AX$571</f>
        <v>781.63814654440887</v>
      </c>
      <c r="AY606" s="532">
        <f t="shared" si="775"/>
        <v>781.63814654440887</v>
      </c>
      <c r="AZ606" s="532">
        <f t="shared" si="775"/>
        <v>781.63814654440887</v>
      </c>
      <c r="BA606" s="532">
        <f t="shared" si="775"/>
        <v>781.63814654440887</v>
      </c>
      <c r="BB606" s="532">
        <f t="shared" si="775"/>
        <v>781.63814654440887</v>
      </c>
      <c r="BC606" s="532">
        <f t="shared" si="775"/>
        <v>781.63814654440887</v>
      </c>
      <c r="BD606" s="532">
        <f t="shared" si="775"/>
        <v>781.63814654440887</v>
      </c>
      <c r="BE606" s="532">
        <f t="shared" si="775"/>
        <v>781.63814654440887</v>
      </c>
      <c r="BF606" s="532">
        <f t="shared" si="775"/>
        <v>781.63814654440887</v>
      </c>
      <c r="BG606" s="532">
        <f t="shared" si="775"/>
        <v>781.63814654440887</v>
      </c>
      <c r="BH606" s="532">
        <f t="shared" si="775"/>
        <v>781.63814654440887</v>
      </c>
      <c r="BI606" s="532">
        <f t="shared" si="775"/>
        <v>781.63814654440887</v>
      </c>
      <c r="BJ606" s="532">
        <f t="shared" si="775"/>
        <v>781.63814654440887</v>
      </c>
      <c r="BK606" s="532">
        <f t="shared" si="775"/>
        <v>781.63814654440887</v>
      </c>
      <c r="BL606" s="532">
        <f t="shared" si="775"/>
        <v>781.63814654440887</v>
      </c>
      <c r="BM606" s="532">
        <f t="shared" si="775"/>
        <v>781.63814654440887</v>
      </c>
      <c r="BN606" s="532">
        <f t="shared" si="775"/>
        <v>781.63814654440887</v>
      </c>
      <c r="BO606" s="532">
        <f t="shared" si="775"/>
        <v>781.63814654440887</v>
      </c>
      <c r="BP606" s="532">
        <f t="shared" si="775"/>
        <v>781.63814654440887</v>
      </c>
      <c r="BQ606" s="532">
        <f t="shared" si="775"/>
        <v>781.63814654440887</v>
      </c>
      <c r="BR606" s="532">
        <f t="shared" si="775"/>
        <v>781.63814654440887</v>
      </c>
      <c r="BS606" s="532">
        <f t="shared" si="775"/>
        <v>781.63814654440887</v>
      </c>
      <c r="BT606" s="532">
        <f t="shared" si="775"/>
        <v>781.63814654440887</v>
      </c>
      <c r="BU606" s="532">
        <f t="shared" si="775"/>
        <v>781.63814654440887</v>
      </c>
      <c r="BV606" s="532">
        <f t="shared" si="775"/>
        <v>781.63814654440887</v>
      </c>
      <c r="BW606" s="532">
        <f t="shared" si="775"/>
        <v>781.63814654440887</v>
      </c>
      <c r="BX606" s="532">
        <f t="shared" si="775"/>
        <v>781.63814654440887</v>
      </c>
      <c r="BY606" s="532">
        <f t="shared" si="775"/>
        <v>781.63814654440887</v>
      </c>
    </row>
    <row r="607" spans="2:77" x14ac:dyDescent="0.3">
      <c r="B607" s="82"/>
      <c r="C607" s="85"/>
      <c r="E607" s="2"/>
      <c r="F607" s="37"/>
      <c r="G607" s="37"/>
      <c r="I607" s="37"/>
      <c r="J607" s="37"/>
      <c r="K607" s="37"/>
      <c r="L607" s="37"/>
      <c r="M607" s="37"/>
      <c r="N607" s="37"/>
      <c r="O607" s="37"/>
      <c r="P607" s="144"/>
      <c r="R607" s="37"/>
      <c r="S607" s="37"/>
      <c r="T607" s="37"/>
      <c r="U607" s="37"/>
      <c r="V607" s="37"/>
      <c r="W607" s="37"/>
      <c r="X607" s="37"/>
      <c r="Y607" s="37"/>
      <c r="Z607" s="37"/>
      <c r="AA607" s="37"/>
      <c r="AB607" s="37"/>
      <c r="AC607" s="37"/>
      <c r="AD607" s="37"/>
      <c r="AE607" s="37"/>
      <c r="AF607" s="37"/>
      <c r="AG607" s="37"/>
      <c r="AH607" s="37"/>
      <c r="AI607" s="37"/>
      <c r="AJ607" s="37"/>
      <c r="AK607" s="37"/>
      <c r="AL607" s="37"/>
      <c r="AM607" s="37"/>
      <c r="AN607" s="529"/>
      <c r="AO607" s="529"/>
      <c r="AP607" s="529"/>
      <c r="AQ607" s="529"/>
      <c r="AR607" s="529"/>
      <c r="AS607" s="529"/>
      <c r="AT607" s="529"/>
      <c r="AU607" s="529"/>
      <c r="AV607" s="529"/>
      <c r="AW607" s="529"/>
      <c r="AX607" s="529"/>
      <c r="AY607" s="529"/>
      <c r="AZ607" s="529"/>
      <c r="BA607" s="529"/>
      <c r="BB607" s="529"/>
      <c r="BC607" s="529"/>
      <c r="BD607" s="529"/>
      <c r="BE607" s="529"/>
      <c r="BF607" s="529"/>
      <c r="BG607" s="529"/>
      <c r="BH607" s="529"/>
      <c r="BI607" s="529"/>
      <c r="BJ607" s="529"/>
      <c r="BK607" s="529"/>
      <c r="BL607" s="529"/>
      <c r="BM607" s="529"/>
      <c r="BN607" s="529"/>
      <c r="BO607" s="529"/>
      <c r="BP607" s="529"/>
      <c r="BQ607" s="529"/>
      <c r="BR607" s="529"/>
      <c r="BS607" s="529"/>
      <c r="BT607" s="529"/>
      <c r="BU607" s="529"/>
      <c r="BV607" s="529"/>
      <c r="BW607" s="529"/>
      <c r="BX607" s="529"/>
      <c r="BY607" s="529"/>
    </row>
    <row r="608" spans="2:77" x14ac:dyDescent="0.3">
      <c r="B608" s="82"/>
      <c r="C608" s="85"/>
      <c r="E608" s="62" t="s">
        <v>33</v>
      </c>
      <c r="F608" s="63"/>
      <c r="G608" s="63"/>
      <c r="I608" s="502">
        <f t="shared" ref="I608:N608" si="776">I544/I$571</f>
        <v>85807.906072810467</v>
      </c>
      <c r="J608" s="502">
        <f t="shared" si="776"/>
        <v>89257.828175136863</v>
      </c>
      <c r="K608" s="502">
        <f t="shared" si="776"/>
        <v>92708.611386515695</v>
      </c>
      <c r="L608" s="502">
        <f t="shared" si="776"/>
        <v>96134.024669194187</v>
      </c>
      <c r="M608" s="502">
        <f t="shared" si="776"/>
        <v>99457.934722096077</v>
      </c>
      <c r="N608" s="502">
        <f t="shared" si="776"/>
        <v>102849.0468623372</v>
      </c>
      <c r="O608" s="57"/>
      <c r="P608" s="55">
        <f>IFERROR(((N608/I608)^(1/5))-1,0)</f>
        <v>3.6894553855963297E-2</v>
      </c>
      <c r="R608" s="502">
        <f t="shared" ref="R608:AW608" si="777">R544/R$571</f>
        <v>7438.1523479280741</v>
      </c>
      <c r="S608" s="502">
        <f t="shared" si="777"/>
        <v>7438.1523479280741</v>
      </c>
      <c r="T608" s="502">
        <f t="shared" si="777"/>
        <v>7438.1523479280741</v>
      </c>
      <c r="U608" s="502">
        <f t="shared" si="777"/>
        <v>7438.1523479280741</v>
      </c>
      <c r="V608" s="502">
        <f t="shared" si="777"/>
        <v>7438.1523479280741</v>
      </c>
      <c r="W608" s="502">
        <f t="shared" si="777"/>
        <v>7438.1523479280741</v>
      </c>
      <c r="X608" s="502">
        <f t="shared" si="777"/>
        <v>7438.1523479280741</v>
      </c>
      <c r="Y608" s="502">
        <f t="shared" si="777"/>
        <v>7438.1523479280741</v>
      </c>
      <c r="Z608" s="502">
        <f t="shared" si="777"/>
        <v>7438.1523479280741</v>
      </c>
      <c r="AA608" s="502">
        <f t="shared" si="777"/>
        <v>7438.1523479280741</v>
      </c>
      <c r="AB608" s="502">
        <f t="shared" si="777"/>
        <v>7438.1523479280741</v>
      </c>
      <c r="AC608" s="502">
        <f t="shared" si="777"/>
        <v>7438.1523479280741</v>
      </c>
      <c r="AD608" s="502">
        <f t="shared" si="777"/>
        <v>7725.7176155429752</v>
      </c>
      <c r="AE608" s="502">
        <f t="shared" si="777"/>
        <v>7725.7176155429752</v>
      </c>
      <c r="AF608" s="502">
        <f t="shared" si="777"/>
        <v>7725.7176155429752</v>
      </c>
      <c r="AG608" s="502">
        <f t="shared" si="777"/>
        <v>7725.7176155429752</v>
      </c>
      <c r="AH608" s="502">
        <f t="shared" si="777"/>
        <v>7725.7176155429752</v>
      </c>
      <c r="AI608" s="502">
        <f t="shared" si="777"/>
        <v>7725.7176155429752</v>
      </c>
      <c r="AJ608" s="502">
        <f t="shared" si="777"/>
        <v>7725.7176155429752</v>
      </c>
      <c r="AK608" s="502">
        <f t="shared" si="777"/>
        <v>7725.7176155429752</v>
      </c>
      <c r="AL608" s="502">
        <f t="shared" si="777"/>
        <v>7725.7176155429752</v>
      </c>
      <c r="AM608" s="502">
        <f t="shared" si="777"/>
        <v>7725.7176155429752</v>
      </c>
      <c r="AN608" s="534">
        <f t="shared" si="777"/>
        <v>7725.7176155429752</v>
      </c>
      <c r="AO608" s="534">
        <f t="shared" si="777"/>
        <v>7725.7176155429752</v>
      </c>
      <c r="AP608" s="534">
        <f t="shared" si="777"/>
        <v>8011.1687224328516</v>
      </c>
      <c r="AQ608" s="534">
        <f t="shared" si="777"/>
        <v>8011.1687224328516</v>
      </c>
      <c r="AR608" s="534">
        <f t="shared" si="777"/>
        <v>8011.1687224328516</v>
      </c>
      <c r="AS608" s="534">
        <f t="shared" si="777"/>
        <v>8011.1687224328516</v>
      </c>
      <c r="AT608" s="534">
        <f t="shared" si="777"/>
        <v>8011.1687224328516</v>
      </c>
      <c r="AU608" s="534">
        <f t="shared" si="777"/>
        <v>8011.1687224328516</v>
      </c>
      <c r="AV608" s="534">
        <f t="shared" si="777"/>
        <v>8011.1687224328516</v>
      </c>
      <c r="AW608" s="534">
        <f t="shared" si="777"/>
        <v>8011.1687224328516</v>
      </c>
      <c r="AX608" s="534">
        <f t="shared" ref="AX608:BY608" si="778">AX544/AX$571</f>
        <v>8011.1687224328516</v>
      </c>
      <c r="AY608" s="534">
        <f t="shared" si="778"/>
        <v>8011.1687224328516</v>
      </c>
      <c r="AZ608" s="534">
        <f t="shared" si="778"/>
        <v>8011.1687224328516</v>
      </c>
      <c r="BA608" s="534">
        <f t="shared" si="778"/>
        <v>8011.1687224328516</v>
      </c>
      <c r="BB608" s="534">
        <f t="shared" si="778"/>
        <v>8288.1612268413428</v>
      </c>
      <c r="BC608" s="534">
        <f t="shared" si="778"/>
        <v>8288.1612268413428</v>
      </c>
      <c r="BD608" s="534">
        <f t="shared" si="778"/>
        <v>8288.1612268413428</v>
      </c>
      <c r="BE608" s="534">
        <f t="shared" si="778"/>
        <v>8288.1612268413428</v>
      </c>
      <c r="BF608" s="534">
        <f t="shared" si="778"/>
        <v>8288.1612268413428</v>
      </c>
      <c r="BG608" s="534">
        <f t="shared" si="778"/>
        <v>8288.1612268413428</v>
      </c>
      <c r="BH608" s="534">
        <f t="shared" si="778"/>
        <v>8288.1612268413428</v>
      </c>
      <c r="BI608" s="534">
        <f t="shared" si="778"/>
        <v>8288.1612268413428</v>
      </c>
      <c r="BJ608" s="534">
        <f t="shared" si="778"/>
        <v>8288.1612268413428</v>
      </c>
      <c r="BK608" s="534">
        <f t="shared" si="778"/>
        <v>8288.1612268413428</v>
      </c>
      <c r="BL608" s="534">
        <f t="shared" si="778"/>
        <v>8288.1612268413428</v>
      </c>
      <c r="BM608" s="534">
        <f t="shared" si="778"/>
        <v>8288.1612268413428</v>
      </c>
      <c r="BN608" s="534">
        <f t="shared" si="778"/>
        <v>8570.7539051947697</v>
      </c>
      <c r="BO608" s="534">
        <f t="shared" si="778"/>
        <v>8570.7539051947697</v>
      </c>
      <c r="BP608" s="534">
        <f t="shared" si="778"/>
        <v>8570.7539051947697</v>
      </c>
      <c r="BQ608" s="534">
        <f t="shared" si="778"/>
        <v>8570.7539051947697</v>
      </c>
      <c r="BR608" s="534">
        <f t="shared" si="778"/>
        <v>8570.7539051947697</v>
      </c>
      <c r="BS608" s="534">
        <f t="shared" si="778"/>
        <v>8570.7539051947697</v>
      </c>
      <c r="BT608" s="534">
        <f t="shared" si="778"/>
        <v>8570.7539051947697</v>
      </c>
      <c r="BU608" s="534">
        <f t="shared" si="778"/>
        <v>8570.7539051947697</v>
      </c>
      <c r="BV608" s="534">
        <f t="shared" si="778"/>
        <v>8570.7539051947697</v>
      </c>
      <c r="BW608" s="534">
        <f t="shared" si="778"/>
        <v>8570.7539051947697</v>
      </c>
      <c r="BX608" s="534">
        <f t="shared" si="778"/>
        <v>8570.7539051947697</v>
      </c>
      <c r="BY608" s="534">
        <f t="shared" si="778"/>
        <v>8570.7539051947697</v>
      </c>
    </row>
    <row r="609" spans="2:77" x14ac:dyDescent="0.3">
      <c r="B609" s="82"/>
      <c r="C609" s="85"/>
      <c r="E609" s="2"/>
      <c r="F609" s="37"/>
      <c r="G609" s="37"/>
      <c r="I609" s="37"/>
      <c r="J609" s="37"/>
      <c r="K609" s="37"/>
      <c r="L609" s="37"/>
      <c r="M609" s="37"/>
      <c r="N609" s="37"/>
      <c r="O609" s="37"/>
      <c r="P609" s="144"/>
      <c r="R609" s="37"/>
      <c r="S609" s="37"/>
      <c r="T609" s="37"/>
      <c r="U609" s="37"/>
      <c r="V609" s="37"/>
      <c r="W609" s="37"/>
      <c r="X609" s="37"/>
      <c r="Y609" s="37"/>
      <c r="Z609" s="37"/>
      <c r="AA609" s="37"/>
      <c r="AB609" s="37"/>
      <c r="AC609" s="37"/>
      <c r="AD609" s="37"/>
      <c r="AE609" s="37"/>
      <c r="AF609" s="37"/>
      <c r="AG609" s="37"/>
      <c r="AH609" s="37"/>
      <c r="AI609" s="37"/>
      <c r="AJ609" s="37"/>
      <c r="AK609" s="37"/>
      <c r="AL609" s="37"/>
      <c r="AM609" s="37"/>
      <c r="AN609" s="529"/>
      <c r="AO609" s="529"/>
      <c r="AP609" s="529"/>
      <c r="AQ609" s="529"/>
      <c r="AR609" s="529"/>
      <c r="AS609" s="529"/>
      <c r="AT609" s="529"/>
      <c r="AU609" s="529"/>
      <c r="AV609" s="529"/>
      <c r="AW609" s="529"/>
      <c r="AX609" s="529"/>
      <c r="AY609" s="529"/>
      <c r="AZ609" s="529"/>
      <c r="BA609" s="529"/>
      <c r="BB609" s="529"/>
      <c r="BC609" s="529"/>
      <c r="BD609" s="529"/>
      <c r="BE609" s="529"/>
      <c r="BF609" s="529"/>
      <c r="BG609" s="529"/>
      <c r="BH609" s="529"/>
      <c r="BI609" s="529"/>
      <c r="BJ609" s="529"/>
      <c r="BK609" s="529"/>
      <c r="BL609" s="529"/>
      <c r="BM609" s="529"/>
      <c r="BN609" s="529"/>
      <c r="BO609" s="529"/>
      <c r="BP609" s="529"/>
      <c r="BQ609" s="529"/>
      <c r="BR609" s="529"/>
      <c r="BS609" s="529"/>
      <c r="BT609" s="529"/>
      <c r="BU609" s="529"/>
      <c r="BV609" s="529"/>
      <c r="BW609" s="529"/>
      <c r="BX609" s="529"/>
      <c r="BY609" s="529"/>
    </row>
    <row r="610" spans="2:77" x14ac:dyDescent="0.3">
      <c r="B610" s="82"/>
      <c r="C610" s="85"/>
      <c r="E610" s="17" t="s">
        <v>34</v>
      </c>
      <c r="F610" s="37"/>
      <c r="G610" s="37"/>
      <c r="I610" s="37"/>
      <c r="J610" s="37"/>
      <c r="K610" s="37"/>
      <c r="L610" s="37"/>
      <c r="M610" s="37"/>
      <c r="N610" s="37"/>
      <c r="O610" s="37"/>
      <c r="P610" s="144"/>
      <c r="R610" s="37"/>
      <c r="S610" s="37"/>
      <c r="T610" s="37"/>
      <c r="U610" s="37"/>
      <c r="V610" s="37"/>
      <c r="W610" s="37"/>
      <c r="X610" s="37"/>
      <c r="Y610" s="37"/>
      <c r="Z610" s="37"/>
      <c r="AA610" s="37"/>
      <c r="AB610" s="37"/>
      <c r="AC610" s="37"/>
      <c r="AD610" s="37"/>
      <c r="AE610" s="37"/>
      <c r="AF610" s="37"/>
      <c r="AG610" s="37"/>
      <c r="AH610" s="37"/>
      <c r="AI610" s="37"/>
      <c r="AJ610" s="37"/>
      <c r="AK610" s="37"/>
      <c r="AL610" s="37"/>
      <c r="AM610" s="37"/>
      <c r="AN610" s="529"/>
      <c r="AO610" s="529"/>
      <c r="AP610" s="529"/>
      <c r="AQ610" s="529"/>
      <c r="AR610" s="529"/>
      <c r="AS610" s="529"/>
      <c r="AT610" s="529"/>
      <c r="AU610" s="529"/>
      <c r="AV610" s="529"/>
      <c r="AW610" s="529"/>
      <c r="AX610" s="529"/>
      <c r="AY610" s="529"/>
      <c r="AZ610" s="529"/>
      <c r="BA610" s="529"/>
      <c r="BB610" s="529"/>
      <c r="BC610" s="529"/>
      <c r="BD610" s="529"/>
      <c r="BE610" s="529"/>
      <c r="BF610" s="529"/>
      <c r="BG610" s="529"/>
      <c r="BH610" s="529"/>
      <c r="BI610" s="529"/>
      <c r="BJ610" s="529"/>
      <c r="BK610" s="529"/>
      <c r="BL610" s="529"/>
      <c r="BM610" s="529"/>
      <c r="BN610" s="529"/>
      <c r="BO610" s="529"/>
      <c r="BP610" s="529"/>
      <c r="BQ610" s="529"/>
      <c r="BR610" s="529"/>
      <c r="BS610" s="529"/>
      <c r="BT610" s="529"/>
      <c r="BU610" s="529"/>
      <c r="BV610" s="529"/>
      <c r="BW610" s="529"/>
      <c r="BX610" s="529"/>
      <c r="BY610" s="529"/>
    </row>
    <row r="611" spans="2:77" x14ac:dyDescent="0.3">
      <c r="B611" s="82"/>
      <c r="C611" s="85"/>
      <c r="E611" s="2" t="s">
        <v>19</v>
      </c>
      <c r="F611" s="54"/>
      <c r="G611" s="54"/>
      <c r="I611" s="497">
        <f t="shared" ref="I611:N613" si="779">I547/I$571</f>
        <v>-1435.5304666666666</v>
      </c>
      <c r="J611" s="497">
        <f t="shared" si="779"/>
        <v>-1464.241076</v>
      </c>
      <c r="K611" s="497">
        <f t="shared" si="779"/>
        <v>-1493.5258975199999</v>
      </c>
      <c r="L611" s="497">
        <f t="shared" si="779"/>
        <v>-1523.3964154703999</v>
      </c>
      <c r="M611" s="497">
        <f t="shared" si="779"/>
        <v>-1553.8643437798078</v>
      </c>
      <c r="N611" s="497">
        <f t="shared" si="779"/>
        <v>-1584.941630655404</v>
      </c>
      <c r="O611" s="37"/>
      <c r="P611" s="50">
        <f>IFERROR(((N611/I611)^(1/5))-1,0)</f>
        <v>2.0000000000000018E-2</v>
      </c>
      <c r="R611" s="497">
        <f t="shared" ref="R611:AW611" si="780">R547/R$571</f>
        <v>-122.02008966666665</v>
      </c>
      <c r="S611" s="497">
        <f t="shared" si="780"/>
        <v>-122.02008966666665</v>
      </c>
      <c r="T611" s="497">
        <f t="shared" si="780"/>
        <v>-122.02008966666665</v>
      </c>
      <c r="U611" s="497">
        <f t="shared" si="780"/>
        <v>-122.02008966666665</v>
      </c>
      <c r="V611" s="497">
        <f t="shared" si="780"/>
        <v>-122.02008966666665</v>
      </c>
      <c r="W611" s="497">
        <f t="shared" si="780"/>
        <v>-122.02008966666665</v>
      </c>
      <c r="X611" s="497">
        <f t="shared" si="780"/>
        <v>-122.02008966666665</v>
      </c>
      <c r="Y611" s="497">
        <f t="shared" si="780"/>
        <v>-122.02008966666665</v>
      </c>
      <c r="Z611" s="497">
        <f t="shared" si="780"/>
        <v>-122.02008966666665</v>
      </c>
      <c r="AA611" s="497">
        <f t="shared" si="780"/>
        <v>-122.02008966666665</v>
      </c>
      <c r="AB611" s="497">
        <f t="shared" si="780"/>
        <v>-122.02008966666665</v>
      </c>
      <c r="AC611" s="497">
        <f t="shared" si="780"/>
        <v>-122.02008966666665</v>
      </c>
      <c r="AD611" s="497">
        <f t="shared" si="780"/>
        <v>-124.46049145999999</v>
      </c>
      <c r="AE611" s="497">
        <f t="shared" si="780"/>
        <v>-124.46049145999999</v>
      </c>
      <c r="AF611" s="497">
        <f t="shared" si="780"/>
        <v>-124.46049145999999</v>
      </c>
      <c r="AG611" s="497">
        <f t="shared" si="780"/>
        <v>-124.46049145999999</v>
      </c>
      <c r="AH611" s="497">
        <f t="shared" si="780"/>
        <v>-124.46049145999999</v>
      </c>
      <c r="AI611" s="497">
        <f t="shared" si="780"/>
        <v>-124.46049145999999</v>
      </c>
      <c r="AJ611" s="497">
        <f t="shared" si="780"/>
        <v>-124.46049145999999</v>
      </c>
      <c r="AK611" s="497">
        <f t="shared" si="780"/>
        <v>-124.46049145999999</v>
      </c>
      <c r="AL611" s="497">
        <f t="shared" si="780"/>
        <v>-124.46049145999999</v>
      </c>
      <c r="AM611" s="497">
        <f t="shared" si="780"/>
        <v>-124.46049145999999</v>
      </c>
      <c r="AN611" s="527">
        <f t="shared" si="780"/>
        <v>-124.46049145999999</v>
      </c>
      <c r="AO611" s="527">
        <f t="shared" si="780"/>
        <v>-124.46049145999999</v>
      </c>
      <c r="AP611" s="527">
        <f t="shared" si="780"/>
        <v>-126.94970128919999</v>
      </c>
      <c r="AQ611" s="527">
        <f t="shared" si="780"/>
        <v>-126.94970128919999</v>
      </c>
      <c r="AR611" s="527">
        <f t="shared" si="780"/>
        <v>-126.94970128919999</v>
      </c>
      <c r="AS611" s="527">
        <f t="shared" si="780"/>
        <v>-126.94970128919999</v>
      </c>
      <c r="AT611" s="527">
        <f t="shared" si="780"/>
        <v>-126.94970128919999</v>
      </c>
      <c r="AU611" s="527">
        <f t="shared" si="780"/>
        <v>-126.94970128919999</v>
      </c>
      <c r="AV611" s="527">
        <f t="shared" si="780"/>
        <v>-126.94970128919999</v>
      </c>
      <c r="AW611" s="527">
        <f t="shared" si="780"/>
        <v>-126.94970128919999</v>
      </c>
      <c r="AX611" s="527">
        <f t="shared" ref="AX611:BY611" si="781">AX547/AX$571</f>
        <v>-126.94970128919999</v>
      </c>
      <c r="AY611" s="527">
        <f t="shared" si="781"/>
        <v>-126.94970128919999</v>
      </c>
      <c r="AZ611" s="527">
        <f t="shared" si="781"/>
        <v>-126.94970128919999</v>
      </c>
      <c r="BA611" s="527">
        <f t="shared" si="781"/>
        <v>-126.94970128919999</v>
      </c>
      <c r="BB611" s="527">
        <f t="shared" si="781"/>
        <v>-129.48869531498397</v>
      </c>
      <c r="BC611" s="527">
        <f t="shared" si="781"/>
        <v>-129.48869531498397</v>
      </c>
      <c r="BD611" s="527">
        <f t="shared" si="781"/>
        <v>-129.48869531498397</v>
      </c>
      <c r="BE611" s="527">
        <f t="shared" si="781"/>
        <v>-129.48869531498397</v>
      </c>
      <c r="BF611" s="527">
        <f t="shared" si="781"/>
        <v>-129.48869531498397</v>
      </c>
      <c r="BG611" s="527">
        <f t="shared" si="781"/>
        <v>-129.48869531498397</v>
      </c>
      <c r="BH611" s="527">
        <f t="shared" si="781"/>
        <v>-129.48869531498397</v>
      </c>
      <c r="BI611" s="527">
        <f t="shared" si="781"/>
        <v>-129.48869531498397</v>
      </c>
      <c r="BJ611" s="527">
        <f t="shared" si="781"/>
        <v>-129.48869531498397</v>
      </c>
      <c r="BK611" s="527">
        <f t="shared" si="781"/>
        <v>-129.48869531498397</v>
      </c>
      <c r="BL611" s="527">
        <f t="shared" si="781"/>
        <v>-129.48869531498397</v>
      </c>
      <c r="BM611" s="527">
        <f t="shared" si="781"/>
        <v>-129.48869531498397</v>
      </c>
      <c r="BN611" s="527">
        <f t="shared" si="781"/>
        <v>-132.07846922128368</v>
      </c>
      <c r="BO611" s="527">
        <f t="shared" si="781"/>
        <v>-132.07846922128368</v>
      </c>
      <c r="BP611" s="527">
        <f t="shared" si="781"/>
        <v>-132.07846922128368</v>
      </c>
      <c r="BQ611" s="527">
        <f t="shared" si="781"/>
        <v>-132.07846922128368</v>
      </c>
      <c r="BR611" s="527">
        <f t="shared" si="781"/>
        <v>-132.07846922128368</v>
      </c>
      <c r="BS611" s="527">
        <f t="shared" si="781"/>
        <v>-132.07846922128368</v>
      </c>
      <c r="BT611" s="527">
        <f t="shared" si="781"/>
        <v>-132.07846922128368</v>
      </c>
      <c r="BU611" s="527">
        <f t="shared" si="781"/>
        <v>-132.07846922128368</v>
      </c>
      <c r="BV611" s="527">
        <f t="shared" si="781"/>
        <v>-132.07846922128368</v>
      </c>
      <c r="BW611" s="527">
        <f t="shared" si="781"/>
        <v>-132.07846922128368</v>
      </c>
      <c r="BX611" s="527">
        <f t="shared" si="781"/>
        <v>-132.07846922128368</v>
      </c>
      <c r="BY611" s="527">
        <f t="shared" si="781"/>
        <v>-132.07846922128368</v>
      </c>
    </row>
    <row r="612" spans="2:77" x14ac:dyDescent="0.3">
      <c r="B612" s="82"/>
      <c r="C612" s="85"/>
      <c r="E612" s="2" t="s">
        <v>20</v>
      </c>
      <c r="F612" s="54"/>
      <c r="G612" s="54"/>
      <c r="I612" s="497">
        <f t="shared" si="779"/>
        <v>-507.23472820512808</v>
      </c>
      <c r="J612" s="497">
        <f t="shared" si="779"/>
        <v>-517.3794227692307</v>
      </c>
      <c r="K612" s="497">
        <f t="shared" si="779"/>
        <v>-527.72701122461535</v>
      </c>
      <c r="L612" s="497">
        <f t="shared" si="779"/>
        <v>-538.28155144910761</v>
      </c>
      <c r="M612" s="497">
        <f t="shared" si="779"/>
        <v>-549.04718247808978</v>
      </c>
      <c r="N612" s="497">
        <f t="shared" si="779"/>
        <v>-560.0281261276516</v>
      </c>
      <c r="O612" s="37"/>
      <c r="P612" s="50">
        <f>IFERROR(((N612/I612)^(1/5))-1,0)</f>
        <v>2.0000000000000018E-2</v>
      </c>
      <c r="R612" s="497">
        <f t="shared" ref="R612:AW612" si="782">R548/R$571</f>
        <v>-43.114951897435887</v>
      </c>
      <c r="S612" s="497">
        <f t="shared" si="782"/>
        <v>-43.114951897435887</v>
      </c>
      <c r="T612" s="497">
        <f t="shared" si="782"/>
        <v>-43.114951897435887</v>
      </c>
      <c r="U612" s="497">
        <f t="shared" si="782"/>
        <v>-43.114951897435887</v>
      </c>
      <c r="V612" s="497">
        <f t="shared" si="782"/>
        <v>-43.114951897435887</v>
      </c>
      <c r="W612" s="497">
        <f t="shared" si="782"/>
        <v>-43.114951897435887</v>
      </c>
      <c r="X612" s="497">
        <f t="shared" si="782"/>
        <v>-43.114951897435887</v>
      </c>
      <c r="Y612" s="497">
        <f t="shared" si="782"/>
        <v>-43.114951897435887</v>
      </c>
      <c r="Z612" s="497">
        <f t="shared" si="782"/>
        <v>-43.114951897435887</v>
      </c>
      <c r="AA612" s="497">
        <f t="shared" si="782"/>
        <v>-43.114951897435887</v>
      </c>
      <c r="AB612" s="497">
        <f t="shared" si="782"/>
        <v>-43.114951897435887</v>
      </c>
      <c r="AC612" s="497">
        <f t="shared" si="782"/>
        <v>-43.114951897435887</v>
      </c>
      <c r="AD612" s="497">
        <f t="shared" si="782"/>
        <v>-43.97725093538461</v>
      </c>
      <c r="AE612" s="497">
        <f t="shared" si="782"/>
        <v>-43.97725093538461</v>
      </c>
      <c r="AF612" s="497">
        <f t="shared" si="782"/>
        <v>-43.97725093538461</v>
      </c>
      <c r="AG612" s="497">
        <f t="shared" si="782"/>
        <v>-43.97725093538461</v>
      </c>
      <c r="AH612" s="497">
        <f t="shared" si="782"/>
        <v>-43.97725093538461</v>
      </c>
      <c r="AI612" s="497">
        <f t="shared" si="782"/>
        <v>-43.97725093538461</v>
      </c>
      <c r="AJ612" s="497">
        <f t="shared" si="782"/>
        <v>-43.97725093538461</v>
      </c>
      <c r="AK612" s="497">
        <f t="shared" si="782"/>
        <v>-43.97725093538461</v>
      </c>
      <c r="AL612" s="497">
        <f t="shared" si="782"/>
        <v>-43.97725093538461</v>
      </c>
      <c r="AM612" s="497">
        <f t="shared" si="782"/>
        <v>-43.97725093538461</v>
      </c>
      <c r="AN612" s="527">
        <f t="shared" si="782"/>
        <v>-43.97725093538461</v>
      </c>
      <c r="AO612" s="527">
        <f t="shared" si="782"/>
        <v>-43.97725093538461</v>
      </c>
      <c r="AP612" s="527">
        <f t="shared" si="782"/>
        <v>-44.856795954092298</v>
      </c>
      <c r="AQ612" s="527">
        <f t="shared" si="782"/>
        <v>-44.856795954092298</v>
      </c>
      <c r="AR612" s="527">
        <f t="shared" si="782"/>
        <v>-44.856795954092298</v>
      </c>
      <c r="AS612" s="527">
        <f t="shared" si="782"/>
        <v>-44.856795954092298</v>
      </c>
      <c r="AT612" s="527">
        <f t="shared" si="782"/>
        <v>-44.856795954092298</v>
      </c>
      <c r="AU612" s="527">
        <f t="shared" si="782"/>
        <v>-44.856795954092298</v>
      </c>
      <c r="AV612" s="527">
        <f t="shared" si="782"/>
        <v>-44.856795954092298</v>
      </c>
      <c r="AW612" s="527">
        <f t="shared" si="782"/>
        <v>-44.856795954092298</v>
      </c>
      <c r="AX612" s="527">
        <f t="shared" ref="AX612:BY612" si="783">AX548/AX$571</f>
        <v>-44.856795954092298</v>
      </c>
      <c r="AY612" s="527">
        <f t="shared" si="783"/>
        <v>-44.856795954092298</v>
      </c>
      <c r="AZ612" s="527">
        <f t="shared" si="783"/>
        <v>-44.856795954092298</v>
      </c>
      <c r="BA612" s="527">
        <f t="shared" si="783"/>
        <v>-44.856795954092298</v>
      </c>
      <c r="BB612" s="527">
        <f t="shared" si="783"/>
        <v>-45.753931873174146</v>
      </c>
      <c r="BC612" s="527">
        <f t="shared" si="783"/>
        <v>-45.753931873174146</v>
      </c>
      <c r="BD612" s="527">
        <f t="shared" si="783"/>
        <v>-45.753931873174146</v>
      </c>
      <c r="BE612" s="527">
        <f t="shared" si="783"/>
        <v>-45.753931873174146</v>
      </c>
      <c r="BF612" s="527">
        <f t="shared" si="783"/>
        <v>-45.753931873174146</v>
      </c>
      <c r="BG612" s="527">
        <f t="shared" si="783"/>
        <v>-45.753931873174146</v>
      </c>
      <c r="BH612" s="527">
        <f t="shared" si="783"/>
        <v>-45.753931873174146</v>
      </c>
      <c r="BI612" s="527">
        <f t="shared" si="783"/>
        <v>-45.753931873174146</v>
      </c>
      <c r="BJ612" s="527">
        <f t="shared" si="783"/>
        <v>-45.753931873174146</v>
      </c>
      <c r="BK612" s="527">
        <f t="shared" si="783"/>
        <v>-45.753931873174146</v>
      </c>
      <c r="BL612" s="527">
        <f t="shared" si="783"/>
        <v>-45.753931873174146</v>
      </c>
      <c r="BM612" s="527">
        <f t="shared" si="783"/>
        <v>-45.753931873174146</v>
      </c>
      <c r="BN612" s="527">
        <f t="shared" si="783"/>
        <v>-46.669010510637634</v>
      </c>
      <c r="BO612" s="527">
        <f t="shared" si="783"/>
        <v>-46.669010510637634</v>
      </c>
      <c r="BP612" s="527">
        <f t="shared" si="783"/>
        <v>-46.669010510637634</v>
      </c>
      <c r="BQ612" s="527">
        <f t="shared" si="783"/>
        <v>-46.669010510637634</v>
      </c>
      <c r="BR612" s="527">
        <f t="shared" si="783"/>
        <v>-46.669010510637634</v>
      </c>
      <c r="BS612" s="527">
        <f t="shared" si="783"/>
        <v>-46.669010510637634</v>
      </c>
      <c r="BT612" s="527">
        <f t="shared" si="783"/>
        <v>-46.669010510637634</v>
      </c>
      <c r="BU612" s="527">
        <f t="shared" si="783"/>
        <v>-46.669010510637634</v>
      </c>
      <c r="BV612" s="527">
        <f t="shared" si="783"/>
        <v>-46.669010510637634</v>
      </c>
      <c r="BW612" s="527">
        <f t="shared" si="783"/>
        <v>-46.669010510637634</v>
      </c>
      <c r="BX612" s="527">
        <f t="shared" si="783"/>
        <v>-46.669010510637634</v>
      </c>
      <c r="BY612" s="527">
        <f t="shared" si="783"/>
        <v>-46.669010510637634</v>
      </c>
    </row>
    <row r="613" spans="2:77" x14ac:dyDescent="0.3">
      <c r="B613" s="82"/>
      <c r="C613" s="85"/>
      <c r="E613" s="4" t="s">
        <v>35</v>
      </c>
      <c r="F613" s="5"/>
      <c r="G613" s="5"/>
      <c r="I613" s="500">
        <f t="shared" si="779"/>
        <v>-1942.7651948717946</v>
      </c>
      <c r="J613" s="500">
        <f t="shared" si="779"/>
        <v>-1981.6204987692308</v>
      </c>
      <c r="K613" s="500">
        <f t="shared" si="779"/>
        <v>-2021.2529087446153</v>
      </c>
      <c r="L613" s="500">
        <f t="shared" si="779"/>
        <v>-2061.6779669195075</v>
      </c>
      <c r="M613" s="500">
        <f t="shared" si="779"/>
        <v>-2102.9115262578975</v>
      </c>
      <c r="N613" s="500">
        <f t="shared" si="779"/>
        <v>-2144.9697567830558</v>
      </c>
      <c r="O613" s="57"/>
      <c r="P613" s="55">
        <f>IFERROR(((N613/I613)^(1/5))-1,0)</f>
        <v>2.0000000000000018E-2</v>
      </c>
      <c r="R613" s="500">
        <f t="shared" ref="R613:AW613" si="784">R549/R$571</f>
        <v>-165.13504156410252</v>
      </c>
      <c r="S613" s="500">
        <f t="shared" si="784"/>
        <v>-165.13504156410252</v>
      </c>
      <c r="T613" s="500">
        <f t="shared" si="784"/>
        <v>-165.13504156410252</v>
      </c>
      <c r="U613" s="500">
        <f t="shared" si="784"/>
        <v>-165.13504156410252</v>
      </c>
      <c r="V613" s="500">
        <f t="shared" si="784"/>
        <v>-165.13504156410252</v>
      </c>
      <c r="W613" s="500">
        <f t="shared" si="784"/>
        <v>-165.13504156410252</v>
      </c>
      <c r="X613" s="500">
        <f t="shared" si="784"/>
        <v>-165.13504156410252</v>
      </c>
      <c r="Y613" s="500">
        <f t="shared" si="784"/>
        <v>-165.13504156410252</v>
      </c>
      <c r="Z613" s="500">
        <f t="shared" si="784"/>
        <v>-165.13504156410252</v>
      </c>
      <c r="AA613" s="500">
        <f t="shared" si="784"/>
        <v>-165.13504156410252</v>
      </c>
      <c r="AB613" s="500">
        <f t="shared" si="784"/>
        <v>-165.13504156410252</v>
      </c>
      <c r="AC613" s="500">
        <f t="shared" si="784"/>
        <v>-165.13504156410252</v>
      </c>
      <c r="AD613" s="500">
        <f t="shared" si="784"/>
        <v>-168.43774239538462</v>
      </c>
      <c r="AE613" s="500">
        <f t="shared" si="784"/>
        <v>-168.43774239538462</v>
      </c>
      <c r="AF613" s="500">
        <f t="shared" si="784"/>
        <v>-168.43774239538462</v>
      </c>
      <c r="AG613" s="500">
        <f t="shared" si="784"/>
        <v>-168.43774239538462</v>
      </c>
      <c r="AH613" s="500">
        <f t="shared" si="784"/>
        <v>-168.43774239538462</v>
      </c>
      <c r="AI613" s="500">
        <f t="shared" si="784"/>
        <v>-168.43774239538462</v>
      </c>
      <c r="AJ613" s="500">
        <f t="shared" si="784"/>
        <v>-168.43774239538462</v>
      </c>
      <c r="AK613" s="500">
        <f t="shared" si="784"/>
        <v>-168.43774239538462</v>
      </c>
      <c r="AL613" s="500">
        <f t="shared" si="784"/>
        <v>-168.43774239538462</v>
      </c>
      <c r="AM613" s="500">
        <f t="shared" si="784"/>
        <v>-168.43774239538462</v>
      </c>
      <c r="AN613" s="532">
        <f t="shared" si="784"/>
        <v>-168.43774239538462</v>
      </c>
      <c r="AO613" s="532">
        <f t="shared" si="784"/>
        <v>-168.43774239538462</v>
      </c>
      <c r="AP613" s="532">
        <f t="shared" si="784"/>
        <v>-171.80649724329231</v>
      </c>
      <c r="AQ613" s="532">
        <f t="shared" si="784"/>
        <v>-171.80649724329231</v>
      </c>
      <c r="AR613" s="532">
        <f t="shared" si="784"/>
        <v>-171.80649724329231</v>
      </c>
      <c r="AS613" s="532">
        <f t="shared" si="784"/>
        <v>-171.80649724329231</v>
      </c>
      <c r="AT613" s="532">
        <f t="shared" si="784"/>
        <v>-171.80649724329231</v>
      </c>
      <c r="AU613" s="532">
        <f t="shared" si="784"/>
        <v>-171.80649724329231</v>
      </c>
      <c r="AV613" s="532">
        <f t="shared" si="784"/>
        <v>-171.80649724329231</v>
      </c>
      <c r="AW613" s="532">
        <f t="shared" si="784"/>
        <v>-171.80649724329231</v>
      </c>
      <c r="AX613" s="532">
        <f t="shared" ref="AX613:BY613" si="785">AX549/AX$571</f>
        <v>-171.80649724329231</v>
      </c>
      <c r="AY613" s="532">
        <f t="shared" si="785"/>
        <v>-171.80649724329231</v>
      </c>
      <c r="AZ613" s="532">
        <f t="shared" si="785"/>
        <v>-171.80649724329231</v>
      </c>
      <c r="BA613" s="532">
        <f t="shared" si="785"/>
        <v>-171.80649724329231</v>
      </c>
      <c r="BB613" s="532">
        <f t="shared" si="785"/>
        <v>-175.24262718815814</v>
      </c>
      <c r="BC613" s="532">
        <f t="shared" si="785"/>
        <v>-175.24262718815814</v>
      </c>
      <c r="BD613" s="532">
        <f t="shared" si="785"/>
        <v>-175.24262718815814</v>
      </c>
      <c r="BE613" s="532">
        <f t="shared" si="785"/>
        <v>-175.24262718815814</v>
      </c>
      <c r="BF613" s="532">
        <f t="shared" si="785"/>
        <v>-175.24262718815814</v>
      </c>
      <c r="BG613" s="532">
        <f t="shared" si="785"/>
        <v>-175.24262718815814</v>
      </c>
      <c r="BH613" s="532">
        <f t="shared" si="785"/>
        <v>-175.24262718815814</v>
      </c>
      <c r="BI613" s="532">
        <f t="shared" si="785"/>
        <v>-175.24262718815814</v>
      </c>
      <c r="BJ613" s="532">
        <f t="shared" si="785"/>
        <v>-175.24262718815814</v>
      </c>
      <c r="BK613" s="532">
        <f t="shared" si="785"/>
        <v>-175.24262718815814</v>
      </c>
      <c r="BL613" s="532">
        <f t="shared" si="785"/>
        <v>-175.24262718815814</v>
      </c>
      <c r="BM613" s="532">
        <f t="shared" si="785"/>
        <v>-175.24262718815814</v>
      </c>
      <c r="BN613" s="532">
        <f t="shared" si="785"/>
        <v>-178.74747973192129</v>
      </c>
      <c r="BO613" s="532">
        <f t="shared" si="785"/>
        <v>-178.74747973192129</v>
      </c>
      <c r="BP613" s="532">
        <f t="shared" si="785"/>
        <v>-178.74747973192129</v>
      </c>
      <c r="BQ613" s="532">
        <f t="shared" si="785"/>
        <v>-178.74747973192129</v>
      </c>
      <c r="BR613" s="532">
        <f t="shared" si="785"/>
        <v>-178.74747973192129</v>
      </c>
      <c r="BS613" s="532">
        <f t="shared" si="785"/>
        <v>-178.74747973192129</v>
      </c>
      <c r="BT613" s="532">
        <f t="shared" si="785"/>
        <v>-178.74747973192129</v>
      </c>
      <c r="BU613" s="532">
        <f t="shared" si="785"/>
        <v>-178.74747973192129</v>
      </c>
      <c r="BV613" s="532">
        <f t="shared" si="785"/>
        <v>-178.74747973192129</v>
      </c>
      <c r="BW613" s="532">
        <f t="shared" si="785"/>
        <v>-178.74747973192129</v>
      </c>
      <c r="BX613" s="532">
        <f t="shared" si="785"/>
        <v>-178.74747973192129</v>
      </c>
      <c r="BY613" s="532">
        <f t="shared" si="785"/>
        <v>-178.74747973192129</v>
      </c>
    </row>
    <row r="614" spans="2:77" x14ac:dyDescent="0.3">
      <c r="B614" s="82"/>
      <c r="C614" s="85"/>
      <c r="E614" s="2"/>
      <c r="F614" s="37"/>
      <c r="G614" s="37"/>
      <c r="I614" s="37"/>
      <c r="J614" s="37"/>
      <c r="K614" s="37"/>
      <c r="L614" s="37"/>
      <c r="M614" s="37"/>
      <c r="N614" s="37"/>
      <c r="O614" s="37"/>
      <c r="P614" s="144"/>
      <c r="R614" s="37"/>
      <c r="S614" s="37"/>
      <c r="T614" s="37"/>
      <c r="U614" s="37"/>
      <c r="V614" s="37"/>
      <c r="W614" s="37"/>
      <c r="X614" s="37"/>
      <c r="Y614" s="37"/>
      <c r="Z614" s="37"/>
      <c r="AA614" s="37"/>
      <c r="AB614" s="37"/>
      <c r="AC614" s="37"/>
      <c r="AD614" s="37"/>
      <c r="AE614" s="37"/>
      <c r="AF614" s="37"/>
      <c r="AG614" s="37"/>
      <c r="AH614" s="37"/>
      <c r="AI614" s="37"/>
      <c r="AJ614" s="37"/>
      <c r="AK614" s="37"/>
      <c r="AL614" s="37"/>
      <c r="AM614" s="37"/>
      <c r="AN614" s="529"/>
      <c r="AO614" s="529"/>
      <c r="AP614" s="529"/>
      <c r="AQ614" s="529"/>
      <c r="AR614" s="529"/>
      <c r="AS614" s="529"/>
      <c r="AT614" s="529"/>
      <c r="AU614" s="529"/>
      <c r="AV614" s="529"/>
      <c r="AW614" s="529"/>
      <c r="AX614" s="529"/>
      <c r="AY614" s="529"/>
      <c r="AZ614" s="529"/>
      <c r="BA614" s="529"/>
      <c r="BB614" s="529"/>
      <c r="BC614" s="529"/>
      <c r="BD614" s="529"/>
      <c r="BE614" s="529"/>
      <c r="BF614" s="529"/>
      <c r="BG614" s="529"/>
      <c r="BH614" s="529"/>
      <c r="BI614" s="529"/>
      <c r="BJ614" s="529"/>
      <c r="BK614" s="529"/>
      <c r="BL614" s="529"/>
      <c r="BM614" s="529"/>
      <c r="BN614" s="529"/>
      <c r="BO614" s="529"/>
      <c r="BP614" s="529"/>
      <c r="BQ614" s="529"/>
      <c r="BR614" s="529"/>
      <c r="BS614" s="529"/>
      <c r="BT614" s="529"/>
      <c r="BU614" s="529"/>
      <c r="BV614" s="529"/>
      <c r="BW614" s="529"/>
      <c r="BX614" s="529"/>
      <c r="BY614" s="529"/>
    </row>
    <row r="615" spans="2:77" x14ac:dyDescent="0.3">
      <c r="B615" s="82"/>
      <c r="C615" s="85"/>
      <c r="E615" s="62" t="s">
        <v>21</v>
      </c>
      <c r="F615" s="63"/>
      <c r="G615" s="63"/>
      <c r="I615" s="501">
        <f t="shared" ref="I615:N615" si="786">I551/I$571</f>
        <v>83865.140877938669</v>
      </c>
      <c r="J615" s="501">
        <f t="shared" si="786"/>
        <v>87276.20767636763</v>
      </c>
      <c r="K615" s="501">
        <f t="shared" si="786"/>
        <v>90687.358477771093</v>
      </c>
      <c r="L615" s="501">
        <f t="shared" si="786"/>
        <v>94072.346702274677</v>
      </c>
      <c r="M615" s="501">
        <f t="shared" si="786"/>
        <v>97355.023195838177</v>
      </c>
      <c r="N615" s="501">
        <f t="shared" si="786"/>
        <v>100704.07710555414</v>
      </c>
      <c r="O615" s="57"/>
      <c r="P615" s="55">
        <f>IFERROR(((N615/I615)^(1/5))-1,0)</f>
        <v>3.7273098244165359E-2</v>
      </c>
      <c r="R615" s="501">
        <f t="shared" ref="R615:AW615" si="787">R551/R$571</f>
        <v>7273.0173063639713</v>
      </c>
      <c r="S615" s="501">
        <f t="shared" si="787"/>
        <v>7273.0173063639713</v>
      </c>
      <c r="T615" s="501">
        <f t="shared" si="787"/>
        <v>7273.0173063639713</v>
      </c>
      <c r="U615" s="501">
        <f t="shared" si="787"/>
        <v>7273.0173063639713</v>
      </c>
      <c r="V615" s="501">
        <f t="shared" si="787"/>
        <v>7273.0173063639713</v>
      </c>
      <c r="W615" s="501">
        <f t="shared" si="787"/>
        <v>7273.0173063639713</v>
      </c>
      <c r="X615" s="501">
        <f t="shared" si="787"/>
        <v>7273.0173063639713</v>
      </c>
      <c r="Y615" s="501">
        <f t="shared" si="787"/>
        <v>7273.0173063639713</v>
      </c>
      <c r="Z615" s="501">
        <f t="shared" si="787"/>
        <v>7273.0173063639713</v>
      </c>
      <c r="AA615" s="501">
        <f t="shared" si="787"/>
        <v>7273.0173063639713</v>
      </c>
      <c r="AB615" s="501">
        <f t="shared" si="787"/>
        <v>7273.0173063639713</v>
      </c>
      <c r="AC615" s="501">
        <f t="shared" si="787"/>
        <v>7273.0173063639713</v>
      </c>
      <c r="AD615" s="501">
        <f t="shared" si="787"/>
        <v>7557.2798731475905</v>
      </c>
      <c r="AE615" s="501">
        <f t="shared" si="787"/>
        <v>7557.2798731475905</v>
      </c>
      <c r="AF615" s="501">
        <f t="shared" si="787"/>
        <v>7557.2798731475905</v>
      </c>
      <c r="AG615" s="501">
        <f t="shared" si="787"/>
        <v>7557.2798731475905</v>
      </c>
      <c r="AH615" s="501">
        <f t="shared" si="787"/>
        <v>7557.2798731475905</v>
      </c>
      <c r="AI615" s="501">
        <f t="shared" si="787"/>
        <v>7557.2798731475905</v>
      </c>
      <c r="AJ615" s="501">
        <f t="shared" si="787"/>
        <v>7557.2798731475905</v>
      </c>
      <c r="AK615" s="501">
        <f t="shared" si="787"/>
        <v>7557.2798731475905</v>
      </c>
      <c r="AL615" s="501">
        <f t="shared" si="787"/>
        <v>7557.2798731475905</v>
      </c>
      <c r="AM615" s="501">
        <f t="shared" si="787"/>
        <v>7557.2798731475905</v>
      </c>
      <c r="AN615" s="535">
        <f t="shared" si="787"/>
        <v>7557.2798731475905</v>
      </c>
      <c r="AO615" s="535">
        <f t="shared" si="787"/>
        <v>7557.2798731475905</v>
      </c>
      <c r="AP615" s="535">
        <f t="shared" si="787"/>
        <v>7839.3622251895586</v>
      </c>
      <c r="AQ615" s="535">
        <f t="shared" si="787"/>
        <v>7839.3622251895586</v>
      </c>
      <c r="AR615" s="535">
        <f t="shared" si="787"/>
        <v>7839.3622251895586</v>
      </c>
      <c r="AS615" s="535">
        <f t="shared" si="787"/>
        <v>7839.3622251895586</v>
      </c>
      <c r="AT615" s="535">
        <f t="shared" si="787"/>
        <v>7839.3622251895586</v>
      </c>
      <c r="AU615" s="535">
        <f t="shared" si="787"/>
        <v>7839.3622251895586</v>
      </c>
      <c r="AV615" s="535">
        <f t="shared" si="787"/>
        <v>7839.3622251895586</v>
      </c>
      <c r="AW615" s="535">
        <f t="shared" si="787"/>
        <v>7839.3622251895586</v>
      </c>
      <c r="AX615" s="535">
        <f t="shared" ref="AX615:BY615" si="788">AX551/AX$571</f>
        <v>7839.3622251895586</v>
      </c>
      <c r="AY615" s="535">
        <f t="shared" si="788"/>
        <v>7839.3622251895586</v>
      </c>
      <c r="AZ615" s="535">
        <f t="shared" si="788"/>
        <v>7839.3622251895586</v>
      </c>
      <c r="BA615" s="535">
        <f t="shared" si="788"/>
        <v>7839.3622251895586</v>
      </c>
      <c r="BB615" s="535">
        <f t="shared" si="788"/>
        <v>8112.9185996531833</v>
      </c>
      <c r="BC615" s="535">
        <f t="shared" si="788"/>
        <v>8112.9185996531833</v>
      </c>
      <c r="BD615" s="535">
        <f t="shared" si="788"/>
        <v>8112.9185996531833</v>
      </c>
      <c r="BE615" s="535">
        <f t="shared" si="788"/>
        <v>8112.9185996531833</v>
      </c>
      <c r="BF615" s="535">
        <f t="shared" si="788"/>
        <v>8112.9185996531833</v>
      </c>
      <c r="BG615" s="535">
        <f t="shared" si="788"/>
        <v>8112.9185996531833</v>
      </c>
      <c r="BH615" s="535">
        <f t="shared" si="788"/>
        <v>8112.9185996531833</v>
      </c>
      <c r="BI615" s="535">
        <f t="shared" si="788"/>
        <v>8112.9185996531833</v>
      </c>
      <c r="BJ615" s="535">
        <f t="shared" si="788"/>
        <v>8112.9185996531833</v>
      </c>
      <c r="BK615" s="535">
        <f t="shared" si="788"/>
        <v>8112.9185996531833</v>
      </c>
      <c r="BL615" s="535">
        <f t="shared" si="788"/>
        <v>8112.9185996531833</v>
      </c>
      <c r="BM615" s="535">
        <f t="shared" si="788"/>
        <v>8112.9185996531833</v>
      </c>
      <c r="BN615" s="535">
        <f t="shared" si="788"/>
        <v>8392.0064254628487</v>
      </c>
      <c r="BO615" s="535">
        <f t="shared" si="788"/>
        <v>8392.0064254628487</v>
      </c>
      <c r="BP615" s="535">
        <f t="shared" si="788"/>
        <v>8392.0064254628487</v>
      </c>
      <c r="BQ615" s="535">
        <f t="shared" si="788"/>
        <v>8392.0064254628487</v>
      </c>
      <c r="BR615" s="535">
        <f t="shared" si="788"/>
        <v>8392.0064254628487</v>
      </c>
      <c r="BS615" s="535">
        <f t="shared" si="788"/>
        <v>8392.0064254628487</v>
      </c>
      <c r="BT615" s="535">
        <f t="shared" si="788"/>
        <v>8392.0064254628487</v>
      </c>
      <c r="BU615" s="535">
        <f t="shared" si="788"/>
        <v>8392.0064254628487</v>
      </c>
      <c r="BV615" s="535">
        <f t="shared" si="788"/>
        <v>8392.0064254628487</v>
      </c>
      <c r="BW615" s="535">
        <f t="shared" si="788"/>
        <v>8392.0064254628487</v>
      </c>
      <c r="BX615" s="535">
        <f t="shared" si="788"/>
        <v>8392.0064254628487</v>
      </c>
      <c r="BY615" s="535">
        <f t="shared" si="788"/>
        <v>8392.0064254628487</v>
      </c>
    </row>
    <row r="616" spans="2:77" x14ac:dyDescent="0.3">
      <c r="B616" s="82"/>
      <c r="C616" s="85"/>
      <c r="E616" s="2" t="s">
        <v>405</v>
      </c>
      <c r="H616" s="37"/>
      <c r="I616" s="499">
        <f t="shared" ref="I616:N616" si="789">I615/SUM(I576,I585,I599,I606)</f>
        <v>0.46408491525232748</v>
      </c>
      <c r="J616" s="499">
        <f t="shared" si="789"/>
        <v>0.46814071374158733</v>
      </c>
      <c r="K616" s="499">
        <f t="shared" si="789"/>
        <v>0.47188775318748283</v>
      </c>
      <c r="L616" s="499">
        <f t="shared" si="789"/>
        <v>0.47531559492749847</v>
      </c>
      <c r="M616" s="499">
        <f t="shared" si="789"/>
        <v>0.47828407374039889</v>
      </c>
      <c r="N616" s="499">
        <f t="shared" si="789"/>
        <v>0.48108960029041853</v>
      </c>
      <c r="O616" s="23"/>
      <c r="P616" s="50">
        <f>IFERROR(((N616/I616)^(1/5))-1,0)</f>
        <v>7.2231599673346913E-3</v>
      </c>
      <c r="R616" s="499">
        <f t="shared" ref="R616:AW616" si="790">R615/SUM(R576,R585,R599,R606)</f>
        <v>0.46814071374158744</v>
      </c>
      <c r="S616" s="499">
        <f t="shared" si="790"/>
        <v>0.46814071374158744</v>
      </c>
      <c r="T616" s="499">
        <f t="shared" si="790"/>
        <v>0.46814071374158744</v>
      </c>
      <c r="U616" s="499">
        <f t="shared" si="790"/>
        <v>0.46814071374158744</v>
      </c>
      <c r="V616" s="499">
        <f t="shared" si="790"/>
        <v>0.46814071374158744</v>
      </c>
      <c r="W616" s="499">
        <f t="shared" si="790"/>
        <v>0.46814071374158744</v>
      </c>
      <c r="X616" s="499">
        <f t="shared" si="790"/>
        <v>0.46814071374158744</v>
      </c>
      <c r="Y616" s="499">
        <f t="shared" si="790"/>
        <v>0.46814071374158744</v>
      </c>
      <c r="Z616" s="499">
        <f t="shared" si="790"/>
        <v>0.46814071374158744</v>
      </c>
      <c r="AA616" s="499">
        <f t="shared" si="790"/>
        <v>0.46814071374158744</v>
      </c>
      <c r="AB616" s="499">
        <f t="shared" si="790"/>
        <v>0.46814071374158744</v>
      </c>
      <c r="AC616" s="499">
        <f t="shared" si="790"/>
        <v>0.46814071374158744</v>
      </c>
      <c r="AD616" s="499">
        <f t="shared" si="790"/>
        <v>0.47188775318748277</v>
      </c>
      <c r="AE616" s="499">
        <f t="shared" si="790"/>
        <v>0.47188775318748277</v>
      </c>
      <c r="AF616" s="499">
        <f t="shared" si="790"/>
        <v>0.47188775318748277</v>
      </c>
      <c r="AG616" s="499">
        <f t="shared" si="790"/>
        <v>0.47188775318748277</v>
      </c>
      <c r="AH616" s="499">
        <f t="shared" si="790"/>
        <v>0.47188775318748277</v>
      </c>
      <c r="AI616" s="499">
        <f t="shared" si="790"/>
        <v>0.47188775318748277</v>
      </c>
      <c r="AJ616" s="499">
        <f t="shared" si="790"/>
        <v>0.47188775318748277</v>
      </c>
      <c r="AK616" s="499">
        <f t="shared" si="790"/>
        <v>0.47188775318748277</v>
      </c>
      <c r="AL616" s="499">
        <f t="shared" si="790"/>
        <v>0.47188775318748277</v>
      </c>
      <c r="AM616" s="499">
        <f t="shared" si="790"/>
        <v>0.47188775318748277</v>
      </c>
      <c r="AN616" s="531">
        <f t="shared" si="790"/>
        <v>0.47188775318748277</v>
      </c>
      <c r="AO616" s="531">
        <f t="shared" si="790"/>
        <v>0.47188775318748277</v>
      </c>
      <c r="AP616" s="531">
        <f t="shared" si="790"/>
        <v>0.47531559492749864</v>
      </c>
      <c r="AQ616" s="531">
        <f t="shared" si="790"/>
        <v>0.47531559492749864</v>
      </c>
      <c r="AR616" s="531">
        <f t="shared" si="790"/>
        <v>0.47531559492749864</v>
      </c>
      <c r="AS616" s="531">
        <f t="shared" si="790"/>
        <v>0.47531559492749864</v>
      </c>
      <c r="AT616" s="531">
        <f t="shared" si="790"/>
        <v>0.47531559492749864</v>
      </c>
      <c r="AU616" s="531">
        <f t="shared" si="790"/>
        <v>0.47531559492749864</v>
      </c>
      <c r="AV616" s="531">
        <f t="shared" si="790"/>
        <v>0.47531559492749864</v>
      </c>
      <c r="AW616" s="531">
        <f t="shared" si="790"/>
        <v>0.47531559492749864</v>
      </c>
      <c r="AX616" s="531">
        <f t="shared" ref="AX616:BY616" si="791">AX615/SUM(AX576,AX585,AX599,AX606)</f>
        <v>0.47531559492749864</v>
      </c>
      <c r="AY616" s="531">
        <f t="shared" si="791"/>
        <v>0.47531559492749864</v>
      </c>
      <c r="AZ616" s="531">
        <f t="shared" si="791"/>
        <v>0.47531559492749864</v>
      </c>
      <c r="BA616" s="531">
        <f t="shared" si="791"/>
        <v>0.47531559492749864</v>
      </c>
      <c r="BB616" s="531">
        <f t="shared" si="791"/>
        <v>0.478284073740399</v>
      </c>
      <c r="BC616" s="531">
        <f t="shared" si="791"/>
        <v>0.478284073740399</v>
      </c>
      <c r="BD616" s="531">
        <f t="shared" si="791"/>
        <v>0.478284073740399</v>
      </c>
      <c r="BE616" s="531">
        <f t="shared" si="791"/>
        <v>0.478284073740399</v>
      </c>
      <c r="BF616" s="531">
        <f t="shared" si="791"/>
        <v>0.478284073740399</v>
      </c>
      <c r="BG616" s="531">
        <f t="shared" si="791"/>
        <v>0.478284073740399</v>
      </c>
      <c r="BH616" s="531">
        <f t="shared" si="791"/>
        <v>0.478284073740399</v>
      </c>
      <c r="BI616" s="531">
        <f t="shared" si="791"/>
        <v>0.478284073740399</v>
      </c>
      <c r="BJ616" s="531">
        <f t="shared" si="791"/>
        <v>0.478284073740399</v>
      </c>
      <c r="BK616" s="531">
        <f t="shared" si="791"/>
        <v>0.478284073740399</v>
      </c>
      <c r="BL616" s="531">
        <f t="shared" si="791"/>
        <v>0.478284073740399</v>
      </c>
      <c r="BM616" s="531">
        <f t="shared" si="791"/>
        <v>0.478284073740399</v>
      </c>
      <c r="BN616" s="531">
        <f t="shared" si="791"/>
        <v>0.4810896002904187</v>
      </c>
      <c r="BO616" s="531">
        <f t="shared" si="791"/>
        <v>0.4810896002904187</v>
      </c>
      <c r="BP616" s="531">
        <f t="shared" si="791"/>
        <v>0.4810896002904187</v>
      </c>
      <c r="BQ616" s="531">
        <f t="shared" si="791"/>
        <v>0.4810896002904187</v>
      </c>
      <c r="BR616" s="531">
        <f t="shared" si="791"/>
        <v>0.4810896002904187</v>
      </c>
      <c r="BS616" s="531">
        <f t="shared" si="791"/>
        <v>0.4810896002904187</v>
      </c>
      <c r="BT616" s="531">
        <f t="shared" si="791"/>
        <v>0.4810896002904187</v>
      </c>
      <c r="BU616" s="531">
        <f t="shared" si="791"/>
        <v>0.4810896002904187</v>
      </c>
      <c r="BV616" s="531">
        <f t="shared" si="791"/>
        <v>0.4810896002904187</v>
      </c>
      <c r="BW616" s="531">
        <f t="shared" si="791"/>
        <v>0.4810896002904187</v>
      </c>
      <c r="BX616" s="531">
        <f t="shared" si="791"/>
        <v>0.4810896002904187</v>
      </c>
      <c r="BY616" s="531">
        <f t="shared" si="791"/>
        <v>0.4810896002904187</v>
      </c>
    </row>
    <row r="617" spans="2:77" x14ac:dyDescent="0.3">
      <c r="B617" s="82"/>
      <c r="C617" s="85"/>
      <c r="E617" s="2"/>
      <c r="O617" s="2"/>
      <c r="P617" s="146"/>
      <c r="AN617" s="537"/>
      <c r="AO617" s="537"/>
      <c r="AP617" s="537"/>
      <c r="AQ617" s="537"/>
      <c r="AR617" s="537"/>
      <c r="AS617" s="537"/>
      <c r="AT617" s="537"/>
      <c r="AU617" s="537"/>
      <c r="AV617" s="537"/>
      <c r="AW617" s="537"/>
      <c r="AX617" s="537"/>
      <c r="AY617" s="537"/>
      <c r="AZ617" s="537"/>
      <c r="BA617" s="537"/>
      <c r="BB617" s="537"/>
      <c r="BC617" s="537"/>
      <c r="BD617" s="537"/>
      <c r="BE617" s="537"/>
      <c r="BF617" s="537"/>
      <c r="BG617" s="537"/>
      <c r="BH617" s="537"/>
      <c r="BI617" s="537"/>
      <c r="BJ617" s="537"/>
      <c r="BK617" s="537"/>
      <c r="BL617" s="537"/>
      <c r="BM617" s="537"/>
      <c r="BN617" s="537"/>
      <c r="BO617" s="537"/>
      <c r="BP617" s="537"/>
      <c r="BQ617" s="537"/>
      <c r="BR617" s="537"/>
      <c r="BS617" s="537"/>
      <c r="BT617" s="537"/>
      <c r="BU617" s="537"/>
      <c r="BV617" s="537"/>
      <c r="BW617" s="537"/>
      <c r="BX617" s="537"/>
      <c r="BY617" s="537"/>
    </row>
    <row r="618" spans="2:77" x14ac:dyDescent="0.3">
      <c r="B618" s="82"/>
      <c r="C618" s="85"/>
      <c r="E618" s="2" t="s">
        <v>129</v>
      </c>
      <c r="I618" s="497">
        <f t="shared" ref="I618:N619" si="792">I554/I$571</f>
        <v>-8700</v>
      </c>
      <c r="J618" s="497">
        <f t="shared" si="792"/>
        <v>-8914.6850136986304</v>
      </c>
      <c r="K618" s="497">
        <f t="shared" si="792"/>
        <v>-9121.2663528297689</v>
      </c>
      <c r="L618" s="497">
        <f t="shared" si="792"/>
        <v>-9316.9087696781771</v>
      </c>
      <c r="M618" s="497">
        <f t="shared" si="792"/>
        <v>-9499.5074186751444</v>
      </c>
      <c r="N618" s="497">
        <f t="shared" si="792"/>
        <v>-9683.8004652022119</v>
      </c>
      <c r="P618" s="50">
        <f>IFERROR(((N618/I618)^(1/5))-1,0)</f>
        <v>2.1657472733383143E-2</v>
      </c>
      <c r="R618" s="497">
        <f t="shared" ref="R618:AW618" si="793">R554/R$571</f>
        <v>-742.89041780821913</v>
      </c>
      <c r="S618" s="497">
        <f t="shared" si="793"/>
        <v>-742.89041780821913</v>
      </c>
      <c r="T618" s="497">
        <f t="shared" si="793"/>
        <v>-742.89041780821913</v>
      </c>
      <c r="U618" s="497">
        <f t="shared" si="793"/>
        <v>-742.89041780821913</v>
      </c>
      <c r="V618" s="497">
        <f t="shared" si="793"/>
        <v>-742.89041780821913</v>
      </c>
      <c r="W618" s="497">
        <f t="shared" si="793"/>
        <v>-742.89041780821913</v>
      </c>
      <c r="X618" s="497">
        <f t="shared" si="793"/>
        <v>-742.89041780821913</v>
      </c>
      <c r="Y618" s="497">
        <f t="shared" si="793"/>
        <v>-742.89041780821913</v>
      </c>
      <c r="Z618" s="497">
        <f t="shared" si="793"/>
        <v>-742.89041780821913</v>
      </c>
      <c r="AA618" s="497">
        <f t="shared" si="793"/>
        <v>-742.89041780821913</v>
      </c>
      <c r="AB618" s="497">
        <f t="shared" si="793"/>
        <v>-742.89041780821913</v>
      </c>
      <c r="AC618" s="497">
        <f t="shared" si="793"/>
        <v>-742.89041780821913</v>
      </c>
      <c r="AD618" s="497">
        <f t="shared" si="793"/>
        <v>-760.10552940248078</v>
      </c>
      <c r="AE618" s="497">
        <f t="shared" si="793"/>
        <v>-760.10552940248078</v>
      </c>
      <c r="AF618" s="497">
        <f t="shared" si="793"/>
        <v>-760.10552940248078</v>
      </c>
      <c r="AG618" s="497">
        <f t="shared" si="793"/>
        <v>-760.10552940248078</v>
      </c>
      <c r="AH618" s="497">
        <f t="shared" si="793"/>
        <v>-760.10552940248078</v>
      </c>
      <c r="AI618" s="497">
        <f t="shared" si="793"/>
        <v>-760.10552940248078</v>
      </c>
      <c r="AJ618" s="497">
        <f t="shared" si="793"/>
        <v>-760.10552940248078</v>
      </c>
      <c r="AK618" s="497">
        <f t="shared" si="793"/>
        <v>-760.10552940248078</v>
      </c>
      <c r="AL618" s="497">
        <f t="shared" si="793"/>
        <v>-760.10552940248078</v>
      </c>
      <c r="AM618" s="497">
        <f t="shared" si="793"/>
        <v>-760.10552940248078</v>
      </c>
      <c r="AN618" s="527">
        <f t="shared" si="793"/>
        <v>-760.10552940248078</v>
      </c>
      <c r="AO618" s="527">
        <f t="shared" si="793"/>
        <v>-760.10552940248078</v>
      </c>
      <c r="AP618" s="527">
        <f t="shared" si="793"/>
        <v>-776.40906413984806</v>
      </c>
      <c r="AQ618" s="527">
        <f t="shared" si="793"/>
        <v>-776.40906413984806</v>
      </c>
      <c r="AR618" s="527">
        <f t="shared" si="793"/>
        <v>-776.40906413984806</v>
      </c>
      <c r="AS618" s="527">
        <f t="shared" si="793"/>
        <v>-776.40906413984806</v>
      </c>
      <c r="AT618" s="527">
        <f t="shared" si="793"/>
        <v>-776.40906413984806</v>
      </c>
      <c r="AU618" s="527">
        <f t="shared" si="793"/>
        <v>-776.40906413984806</v>
      </c>
      <c r="AV618" s="527">
        <f t="shared" si="793"/>
        <v>-776.40906413984806</v>
      </c>
      <c r="AW618" s="527">
        <f t="shared" si="793"/>
        <v>-776.40906413984806</v>
      </c>
      <c r="AX618" s="527">
        <f t="shared" ref="AX618:BY618" si="794">AX554/AX$571</f>
        <v>-776.40906413984806</v>
      </c>
      <c r="AY618" s="527">
        <f t="shared" si="794"/>
        <v>-776.40906413984806</v>
      </c>
      <c r="AZ618" s="527">
        <f t="shared" si="794"/>
        <v>-776.40906413984806</v>
      </c>
      <c r="BA618" s="527">
        <f t="shared" si="794"/>
        <v>-776.40906413984806</v>
      </c>
      <c r="BB618" s="527">
        <f t="shared" si="794"/>
        <v>-791.62561822292867</v>
      </c>
      <c r="BC618" s="527">
        <f t="shared" si="794"/>
        <v>-791.62561822292867</v>
      </c>
      <c r="BD618" s="527">
        <f t="shared" si="794"/>
        <v>-791.62561822292867</v>
      </c>
      <c r="BE618" s="527">
        <f t="shared" si="794"/>
        <v>-791.62561822292867</v>
      </c>
      <c r="BF618" s="527">
        <f t="shared" si="794"/>
        <v>-791.62561822292867</v>
      </c>
      <c r="BG618" s="527">
        <f t="shared" si="794"/>
        <v>-791.62561822292867</v>
      </c>
      <c r="BH618" s="527">
        <f t="shared" si="794"/>
        <v>-791.62561822292867</v>
      </c>
      <c r="BI618" s="527">
        <f t="shared" si="794"/>
        <v>-791.62561822292867</v>
      </c>
      <c r="BJ618" s="527">
        <f t="shared" si="794"/>
        <v>-791.62561822292867</v>
      </c>
      <c r="BK618" s="527">
        <f t="shared" si="794"/>
        <v>-791.62561822292867</v>
      </c>
      <c r="BL618" s="527">
        <f t="shared" si="794"/>
        <v>-791.62561822292867</v>
      </c>
      <c r="BM618" s="527">
        <f t="shared" si="794"/>
        <v>-791.62561822292867</v>
      </c>
      <c r="BN618" s="527">
        <f t="shared" si="794"/>
        <v>-806.9833721001844</v>
      </c>
      <c r="BO618" s="527">
        <f t="shared" si="794"/>
        <v>-806.9833721001844</v>
      </c>
      <c r="BP618" s="527">
        <f t="shared" si="794"/>
        <v>-806.9833721001844</v>
      </c>
      <c r="BQ618" s="527">
        <f t="shared" si="794"/>
        <v>-806.9833721001844</v>
      </c>
      <c r="BR618" s="527">
        <f t="shared" si="794"/>
        <v>-806.9833721001844</v>
      </c>
      <c r="BS618" s="527">
        <f t="shared" si="794"/>
        <v>-806.9833721001844</v>
      </c>
      <c r="BT618" s="527">
        <f t="shared" si="794"/>
        <v>-806.9833721001844</v>
      </c>
      <c r="BU618" s="527">
        <f t="shared" si="794"/>
        <v>-806.9833721001844</v>
      </c>
      <c r="BV618" s="527">
        <f t="shared" si="794"/>
        <v>-806.9833721001844</v>
      </c>
      <c r="BW618" s="527">
        <f t="shared" si="794"/>
        <v>-806.9833721001844</v>
      </c>
      <c r="BX618" s="527">
        <f t="shared" si="794"/>
        <v>-806.9833721001844</v>
      </c>
      <c r="BY618" s="527">
        <f t="shared" si="794"/>
        <v>-806.9833721001844</v>
      </c>
    </row>
    <row r="619" spans="2:77" x14ac:dyDescent="0.3">
      <c r="B619" s="82"/>
      <c r="C619" s="85"/>
      <c r="E619" s="62" t="s">
        <v>292</v>
      </c>
      <c r="F619" s="63"/>
      <c r="G619" s="63"/>
      <c r="I619" s="501">
        <f t="shared" si="792"/>
        <v>75165.140877938669</v>
      </c>
      <c r="J619" s="501">
        <f t="shared" si="792"/>
        <v>78361.522662668998</v>
      </c>
      <c r="K619" s="501">
        <f t="shared" si="792"/>
        <v>81566.092124941322</v>
      </c>
      <c r="L619" s="501">
        <f t="shared" si="792"/>
        <v>84755.437932596498</v>
      </c>
      <c r="M619" s="501">
        <f t="shared" si="792"/>
        <v>87855.515777163033</v>
      </c>
      <c r="N619" s="501">
        <f t="shared" si="792"/>
        <v>91020.276640351934</v>
      </c>
      <c r="O619" s="57"/>
      <c r="P619" s="55">
        <f>IFERROR(((N619/I619)^(1/5))-1,0)</f>
        <v>3.9021023340167549E-2</v>
      </c>
      <c r="R619" s="501">
        <f t="shared" ref="R619:AW619" si="795">R555/R$571</f>
        <v>6530.126888555752</v>
      </c>
      <c r="S619" s="501">
        <f t="shared" si="795"/>
        <v>6530.126888555752</v>
      </c>
      <c r="T619" s="501">
        <f t="shared" si="795"/>
        <v>6530.126888555752</v>
      </c>
      <c r="U619" s="501">
        <f t="shared" si="795"/>
        <v>6530.126888555752</v>
      </c>
      <c r="V619" s="501">
        <f t="shared" si="795"/>
        <v>6530.126888555752</v>
      </c>
      <c r="W619" s="501">
        <f t="shared" si="795"/>
        <v>6530.126888555752</v>
      </c>
      <c r="X619" s="501">
        <f t="shared" si="795"/>
        <v>6530.126888555752</v>
      </c>
      <c r="Y619" s="501">
        <f t="shared" si="795"/>
        <v>6530.126888555752</v>
      </c>
      <c r="Z619" s="501">
        <f t="shared" si="795"/>
        <v>6530.126888555752</v>
      </c>
      <c r="AA619" s="501">
        <f t="shared" si="795"/>
        <v>6530.126888555752</v>
      </c>
      <c r="AB619" s="501">
        <f t="shared" si="795"/>
        <v>6530.126888555752</v>
      </c>
      <c r="AC619" s="501">
        <f t="shared" si="795"/>
        <v>6530.126888555752</v>
      </c>
      <c r="AD619" s="501">
        <f t="shared" si="795"/>
        <v>6797.1743437451096</v>
      </c>
      <c r="AE619" s="501">
        <f t="shared" si="795"/>
        <v>6797.1743437451096</v>
      </c>
      <c r="AF619" s="501">
        <f t="shared" si="795"/>
        <v>6797.1743437451096</v>
      </c>
      <c r="AG619" s="501">
        <f t="shared" si="795"/>
        <v>6797.1743437451096</v>
      </c>
      <c r="AH619" s="501">
        <f t="shared" si="795"/>
        <v>6797.1743437451096</v>
      </c>
      <c r="AI619" s="501">
        <f t="shared" si="795"/>
        <v>6797.1743437451096</v>
      </c>
      <c r="AJ619" s="501">
        <f t="shared" si="795"/>
        <v>6797.1743437451096</v>
      </c>
      <c r="AK619" s="501">
        <f t="shared" si="795"/>
        <v>6797.1743437451096</v>
      </c>
      <c r="AL619" s="501">
        <f t="shared" si="795"/>
        <v>6797.1743437451096</v>
      </c>
      <c r="AM619" s="501">
        <f t="shared" si="795"/>
        <v>6797.1743437451096</v>
      </c>
      <c r="AN619" s="535">
        <f t="shared" si="795"/>
        <v>6797.1743437451096</v>
      </c>
      <c r="AO619" s="535">
        <f t="shared" si="795"/>
        <v>6797.1743437451096</v>
      </c>
      <c r="AP619" s="535">
        <f t="shared" si="795"/>
        <v>7062.9531610497106</v>
      </c>
      <c r="AQ619" s="535">
        <f t="shared" si="795"/>
        <v>7062.9531610497106</v>
      </c>
      <c r="AR619" s="535">
        <f t="shared" si="795"/>
        <v>7062.9531610497106</v>
      </c>
      <c r="AS619" s="535">
        <f t="shared" si="795"/>
        <v>7062.9531610497106</v>
      </c>
      <c r="AT619" s="535">
        <f t="shared" si="795"/>
        <v>7062.9531610497106</v>
      </c>
      <c r="AU619" s="535">
        <f t="shared" si="795"/>
        <v>7062.9531610497106</v>
      </c>
      <c r="AV619" s="535">
        <f t="shared" si="795"/>
        <v>7062.9531610497106</v>
      </c>
      <c r="AW619" s="535">
        <f t="shared" si="795"/>
        <v>7062.9531610497106</v>
      </c>
      <c r="AX619" s="535">
        <f t="shared" ref="AX619:BY619" si="796">AX555/AX$571</f>
        <v>7062.9531610497106</v>
      </c>
      <c r="AY619" s="535">
        <f t="shared" si="796"/>
        <v>7062.9531610497106</v>
      </c>
      <c r="AZ619" s="535">
        <f t="shared" si="796"/>
        <v>7062.9531610497106</v>
      </c>
      <c r="BA619" s="535">
        <f t="shared" si="796"/>
        <v>7062.9531610497106</v>
      </c>
      <c r="BB619" s="535">
        <f t="shared" si="796"/>
        <v>7321.2929814302543</v>
      </c>
      <c r="BC619" s="535">
        <f t="shared" si="796"/>
        <v>7321.2929814302543</v>
      </c>
      <c r="BD619" s="535">
        <f t="shared" si="796"/>
        <v>7321.2929814302543</v>
      </c>
      <c r="BE619" s="535">
        <f t="shared" si="796"/>
        <v>7321.2929814302543</v>
      </c>
      <c r="BF619" s="535">
        <f t="shared" si="796"/>
        <v>7321.2929814302543</v>
      </c>
      <c r="BG619" s="535">
        <f t="shared" si="796"/>
        <v>7321.2929814302543</v>
      </c>
      <c r="BH619" s="535">
        <f t="shared" si="796"/>
        <v>7321.2929814302543</v>
      </c>
      <c r="BI619" s="535">
        <f t="shared" si="796"/>
        <v>7321.2929814302543</v>
      </c>
      <c r="BJ619" s="535">
        <f t="shared" si="796"/>
        <v>7321.2929814302543</v>
      </c>
      <c r="BK619" s="535">
        <f t="shared" si="796"/>
        <v>7321.2929814302543</v>
      </c>
      <c r="BL619" s="535">
        <f t="shared" si="796"/>
        <v>7321.2929814302543</v>
      </c>
      <c r="BM619" s="535">
        <f t="shared" si="796"/>
        <v>7321.2929814302543</v>
      </c>
      <c r="BN619" s="535">
        <f t="shared" si="796"/>
        <v>7585.0230533626645</v>
      </c>
      <c r="BO619" s="535">
        <f t="shared" si="796"/>
        <v>7585.0230533626645</v>
      </c>
      <c r="BP619" s="535">
        <f t="shared" si="796"/>
        <v>7585.0230533626645</v>
      </c>
      <c r="BQ619" s="535">
        <f t="shared" si="796"/>
        <v>7585.0230533626645</v>
      </c>
      <c r="BR619" s="535">
        <f t="shared" si="796"/>
        <v>7585.0230533626645</v>
      </c>
      <c r="BS619" s="535">
        <f t="shared" si="796"/>
        <v>7585.0230533626645</v>
      </c>
      <c r="BT619" s="535">
        <f t="shared" si="796"/>
        <v>7585.0230533626645</v>
      </c>
      <c r="BU619" s="535">
        <f t="shared" si="796"/>
        <v>7585.0230533626645</v>
      </c>
      <c r="BV619" s="535">
        <f t="shared" si="796"/>
        <v>7585.0230533626645</v>
      </c>
      <c r="BW619" s="535">
        <f t="shared" si="796"/>
        <v>7585.0230533626645</v>
      </c>
      <c r="BX619" s="535">
        <f t="shared" si="796"/>
        <v>7585.0230533626645</v>
      </c>
      <c r="BY619" s="535">
        <f t="shared" si="796"/>
        <v>7585.0230533626645</v>
      </c>
    </row>
    <row r="620" spans="2:77" x14ac:dyDescent="0.3">
      <c r="B620" s="82"/>
      <c r="C620" s="85"/>
      <c r="E620" s="692" t="s">
        <v>406</v>
      </c>
      <c r="H620" s="37"/>
      <c r="I620" s="499">
        <f t="shared" ref="I620:N620" si="797">I619/I615</f>
        <v>0.89626202366174523</v>
      </c>
      <c r="J620" s="499">
        <f t="shared" si="797"/>
        <v>0.89785664099022811</v>
      </c>
      <c r="K620" s="499">
        <f t="shared" si="797"/>
        <v>0.89942075162476431</v>
      </c>
      <c r="L620" s="499">
        <f t="shared" si="797"/>
        <v>0.90096017484112689</v>
      </c>
      <c r="M620" s="499">
        <f t="shared" si="797"/>
        <v>0.90242406496513228</v>
      </c>
      <c r="N620" s="499">
        <f t="shared" si="797"/>
        <v>0.90383904263327874</v>
      </c>
      <c r="O620" s="23"/>
      <c r="P620" s="50">
        <f>IFERROR(((N620/I620)^(1/5))-1,0)</f>
        <v>1.6851156160908598E-3</v>
      </c>
      <c r="R620" s="499">
        <f t="shared" ref="R620:AW620" si="798">R619/R615</f>
        <v>0.89785664099022811</v>
      </c>
      <c r="S620" s="499">
        <f t="shared" si="798"/>
        <v>0.89785664099022811</v>
      </c>
      <c r="T620" s="499">
        <f t="shared" si="798"/>
        <v>0.89785664099022811</v>
      </c>
      <c r="U620" s="499">
        <f t="shared" si="798"/>
        <v>0.89785664099022811</v>
      </c>
      <c r="V620" s="499">
        <f t="shared" si="798"/>
        <v>0.89785664099022811</v>
      </c>
      <c r="W620" s="499">
        <f t="shared" si="798"/>
        <v>0.89785664099022811</v>
      </c>
      <c r="X620" s="499">
        <f t="shared" si="798"/>
        <v>0.89785664099022811</v>
      </c>
      <c r="Y620" s="499">
        <f t="shared" si="798"/>
        <v>0.89785664099022811</v>
      </c>
      <c r="Z620" s="499">
        <f t="shared" si="798"/>
        <v>0.89785664099022811</v>
      </c>
      <c r="AA620" s="499">
        <f t="shared" si="798"/>
        <v>0.89785664099022811</v>
      </c>
      <c r="AB620" s="499">
        <f t="shared" si="798"/>
        <v>0.89785664099022811</v>
      </c>
      <c r="AC620" s="499">
        <f t="shared" si="798"/>
        <v>0.89785664099022811</v>
      </c>
      <c r="AD620" s="499">
        <f t="shared" si="798"/>
        <v>0.89942075162476431</v>
      </c>
      <c r="AE620" s="499">
        <f t="shared" si="798"/>
        <v>0.89942075162476431</v>
      </c>
      <c r="AF620" s="499">
        <f t="shared" si="798"/>
        <v>0.89942075162476431</v>
      </c>
      <c r="AG620" s="499">
        <f t="shared" si="798"/>
        <v>0.89942075162476431</v>
      </c>
      <c r="AH620" s="499">
        <f t="shared" si="798"/>
        <v>0.89942075162476431</v>
      </c>
      <c r="AI620" s="499">
        <f t="shared" si="798"/>
        <v>0.89942075162476431</v>
      </c>
      <c r="AJ620" s="499">
        <f t="shared" si="798"/>
        <v>0.89942075162476431</v>
      </c>
      <c r="AK620" s="499">
        <f t="shared" si="798"/>
        <v>0.89942075162476431</v>
      </c>
      <c r="AL620" s="499">
        <f t="shared" si="798"/>
        <v>0.89942075162476431</v>
      </c>
      <c r="AM620" s="499">
        <f t="shared" si="798"/>
        <v>0.89942075162476431</v>
      </c>
      <c r="AN620" s="531">
        <f t="shared" si="798"/>
        <v>0.89942075162476431</v>
      </c>
      <c r="AO620" s="531">
        <f t="shared" si="798"/>
        <v>0.89942075162476431</v>
      </c>
      <c r="AP620" s="531">
        <f t="shared" si="798"/>
        <v>0.90096017484112689</v>
      </c>
      <c r="AQ620" s="531">
        <f t="shared" si="798"/>
        <v>0.90096017484112689</v>
      </c>
      <c r="AR620" s="531">
        <f t="shared" si="798"/>
        <v>0.90096017484112689</v>
      </c>
      <c r="AS620" s="531">
        <f t="shared" si="798"/>
        <v>0.90096017484112689</v>
      </c>
      <c r="AT620" s="531">
        <f t="shared" si="798"/>
        <v>0.90096017484112689</v>
      </c>
      <c r="AU620" s="531">
        <f t="shared" si="798"/>
        <v>0.90096017484112689</v>
      </c>
      <c r="AV620" s="531">
        <f t="shared" si="798"/>
        <v>0.90096017484112689</v>
      </c>
      <c r="AW620" s="531">
        <f t="shared" si="798"/>
        <v>0.90096017484112689</v>
      </c>
      <c r="AX620" s="531">
        <f t="shared" ref="AX620:BY620" si="799">AX619/AX615</f>
        <v>0.90096017484112689</v>
      </c>
      <c r="AY620" s="531">
        <f t="shared" si="799"/>
        <v>0.90096017484112689</v>
      </c>
      <c r="AZ620" s="531">
        <f t="shared" si="799"/>
        <v>0.90096017484112689</v>
      </c>
      <c r="BA620" s="531">
        <f t="shared" si="799"/>
        <v>0.90096017484112689</v>
      </c>
      <c r="BB620" s="531">
        <f t="shared" si="799"/>
        <v>0.90242406496513228</v>
      </c>
      <c r="BC620" s="531">
        <f t="shared" si="799"/>
        <v>0.90242406496513228</v>
      </c>
      <c r="BD620" s="531">
        <f t="shared" si="799"/>
        <v>0.90242406496513228</v>
      </c>
      <c r="BE620" s="531">
        <f t="shared" si="799"/>
        <v>0.90242406496513228</v>
      </c>
      <c r="BF620" s="531">
        <f t="shared" si="799"/>
        <v>0.90242406496513228</v>
      </c>
      <c r="BG620" s="531">
        <f t="shared" si="799"/>
        <v>0.90242406496513228</v>
      </c>
      <c r="BH620" s="531">
        <f t="shared" si="799"/>
        <v>0.90242406496513228</v>
      </c>
      <c r="BI620" s="531">
        <f t="shared" si="799"/>
        <v>0.90242406496513228</v>
      </c>
      <c r="BJ620" s="531">
        <f t="shared" si="799"/>
        <v>0.90242406496513228</v>
      </c>
      <c r="BK620" s="531">
        <f t="shared" si="799"/>
        <v>0.90242406496513228</v>
      </c>
      <c r="BL620" s="531">
        <f t="shared" si="799"/>
        <v>0.90242406496513228</v>
      </c>
      <c r="BM620" s="531">
        <f t="shared" si="799"/>
        <v>0.90242406496513228</v>
      </c>
      <c r="BN620" s="531">
        <f t="shared" si="799"/>
        <v>0.90383904263327874</v>
      </c>
      <c r="BO620" s="531">
        <f t="shared" si="799"/>
        <v>0.90383904263327874</v>
      </c>
      <c r="BP620" s="531">
        <f t="shared" si="799"/>
        <v>0.90383904263327874</v>
      </c>
      <c r="BQ620" s="531">
        <f t="shared" si="799"/>
        <v>0.90383904263327874</v>
      </c>
      <c r="BR620" s="531">
        <f t="shared" si="799"/>
        <v>0.90383904263327874</v>
      </c>
      <c r="BS620" s="531">
        <f t="shared" si="799"/>
        <v>0.90383904263327874</v>
      </c>
      <c r="BT620" s="531">
        <f t="shared" si="799"/>
        <v>0.90383904263327874</v>
      </c>
      <c r="BU620" s="531">
        <f t="shared" si="799"/>
        <v>0.90383904263327874</v>
      </c>
      <c r="BV620" s="531">
        <f t="shared" si="799"/>
        <v>0.90383904263327874</v>
      </c>
      <c r="BW620" s="531">
        <f t="shared" si="799"/>
        <v>0.90383904263327874</v>
      </c>
      <c r="BX620" s="531">
        <f t="shared" si="799"/>
        <v>0.90383904263327874</v>
      </c>
      <c r="BY620" s="531">
        <f t="shared" si="799"/>
        <v>0.90383904263327874</v>
      </c>
    </row>
    <row r="621" spans="2:77" x14ac:dyDescent="0.3">
      <c r="B621" s="82"/>
      <c r="C621" s="85"/>
      <c r="E621" s="2"/>
      <c r="O621" s="37"/>
      <c r="P621" s="144"/>
      <c r="AN621" s="537"/>
      <c r="AO621" s="537"/>
      <c r="AP621" s="537"/>
      <c r="AQ621" s="537"/>
      <c r="AR621" s="537"/>
      <c r="AS621" s="537"/>
      <c r="AT621" s="537"/>
      <c r="AU621" s="537"/>
      <c r="AV621" s="537"/>
      <c r="AW621" s="537"/>
      <c r="AX621" s="537"/>
      <c r="AY621" s="537"/>
      <c r="AZ621" s="537"/>
      <c r="BA621" s="537"/>
      <c r="BB621" s="537"/>
      <c r="BC621" s="537"/>
      <c r="BD621" s="537"/>
      <c r="BE621" s="537"/>
      <c r="BF621" s="537"/>
      <c r="BG621" s="537"/>
      <c r="BH621" s="537"/>
      <c r="BI621" s="537"/>
      <c r="BJ621" s="537"/>
      <c r="BK621" s="537"/>
      <c r="BL621" s="537"/>
      <c r="BM621" s="537"/>
      <c r="BN621" s="537"/>
      <c r="BO621" s="537"/>
      <c r="BP621" s="537"/>
      <c r="BQ621" s="537"/>
      <c r="BR621" s="537"/>
      <c r="BS621" s="537"/>
      <c r="BT621" s="537"/>
      <c r="BU621" s="537"/>
      <c r="BV621" s="537"/>
      <c r="BW621" s="537"/>
      <c r="BX621" s="537"/>
      <c r="BY621" s="537"/>
    </row>
    <row r="622" spans="2:77" x14ac:dyDescent="0.3">
      <c r="B622" s="82"/>
      <c r="C622" s="85"/>
      <c r="E622" s="2" t="s">
        <v>52</v>
      </c>
      <c r="F622" s="54"/>
      <c r="G622" s="54"/>
      <c r="I622" s="497">
        <f t="shared" ref="I622:N623" si="800">I558/I$571</f>
        <v>-9586.1143372307706</v>
      </c>
      <c r="J622" s="497">
        <f t="shared" si="800"/>
        <v>-8160</v>
      </c>
      <c r="K622" s="497">
        <f t="shared" si="800"/>
        <v>-8323.1999999999989</v>
      </c>
      <c r="L622" s="497">
        <f t="shared" si="800"/>
        <v>-8489.6640000000007</v>
      </c>
      <c r="M622" s="497">
        <f t="shared" si="800"/>
        <v>-8659.4572800000005</v>
      </c>
      <c r="N622" s="497">
        <f t="shared" si="800"/>
        <v>-8832.6464256000017</v>
      </c>
      <c r="O622" s="37"/>
      <c r="P622" s="50">
        <f>IFERROR(((N622/I622)^(1/5))-1,0)</f>
        <v>-1.6238894142633686E-2</v>
      </c>
      <c r="R622" s="497">
        <f t="shared" ref="R622:AW622" si="801">R558/R$571</f>
        <v>-680</v>
      </c>
      <c r="S622" s="497">
        <f t="shared" si="801"/>
        <v>-680</v>
      </c>
      <c r="T622" s="497">
        <f t="shared" si="801"/>
        <v>-680</v>
      </c>
      <c r="U622" s="497">
        <f t="shared" si="801"/>
        <v>-680</v>
      </c>
      <c r="V622" s="497">
        <f t="shared" si="801"/>
        <v>-680</v>
      </c>
      <c r="W622" s="497">
        <f t="shared" si="801"/>
        <v>-680</v>
      </c>
      <c r="X622" s="497">
        <f t="shared" si="801"/>
        <v>-680</v>
      </c>
      <c r="Y622" s="497">
        <f t="shared" si="801"/>
        <v>-680</v>
      </c>
      <c r="Z622" s="497">
        <f t="shared" si="801"/>
        <v>-680</v>
      </c>
      <c r="AA622" s="497">
        <f t="shared" si="801"/>
        <v>-680</v>
      </c>
      <c r="AB622" s="497">
        <f t="shared" si="801"/>
        <v>-680</v>
      </c>
      <c r="AC622" s="497">
        <f t="shared" si="801"/>
        <v>-680</v>
      </c>
      <c r="AD622" s="497">
        <f t="shared" si="801"/>
        <v>-693.59999999999991</v>
      </c>
      <c r="AE622" s="497">
        <f t="shared" si="801"/>
        <v>-693.59999999999991</v>
      </c>
      <c r="AF622" s="497">
        <f t="shared" si="801"/>
        <v>-693.59999999999991</v>
      </c>
      <c r="AG622" s="497">
        <f t="shared" si="801"/>
        <v>-693.59999999999991</v>
      </c>
      <c r="AH622" s="497">
        <f t="shared" si="801"/>
        <v>-693.59999999999991</v>
      </c>
      <c r="AI622" s="497">
        <f t="shared" si="801"/>
        <v>-693.59999999999991</v>
      </c>
      <c r="AJ622" s="497">
        <f t="shared" si="801"/>
        <v>-693.59999999999991</v>
      </c>
      <c r="AK622" s="497">
        <f t="shared" si="801"/>
        <v>-693.59999999999991</v>
      </c>
      <c r="AL622" s="497">
        <f t="shared" si="801"/>
        <v>-693.59999999999991</v>
      </c>
      <c r="AM622" s="497">
        <f t="shared" si="801"/>
        <v>-693.59999999999991</v>
      </c>
      <c r="AN622" s="527">
        <f t="shared" si="801"/>
        <v>-693.59999999999991</v>
      </c>
      <c r="AO622" s="527">
        <f t="shared" si="801"/>
        <v>-693.59999999999991</v>
      </c>
      <c r="AP622" s="527">
        <f t="shared" si="801"/>
        <v>-707.47199999999998</v>
      </c>
      <c r="AQ622" s="527">
        <f t="shared" si="801"/>
        <v>-707.47199999999998</v>
      </c>
      <c r="AR622" s="527">
        <f t="shared" si="801"/>
        <v>-707.47199999999998</v>
      </c>
      <c r="AS622" s="527">
        <f t="shared" si="801"/>
        <v>-707.47199999999998</v>
      </c>
      <c r="AT622" s="527">
        <f t="shared" si="801"/>
        <v>-707.47199999999998</v>
      </c>
      <c r="AU622" s="527">
        <f t="shared" si="801"/>
        <v>-707.47199999999998</v>
      </c>
      <c r="AV622" s="527">
        <f t="shared" si="801"/>
        <v>-707.47199999999998</v>
      </c>
      <c r="AW622" s="527">
        <f t="shared" si="801"/>
        <v>-707.47199999999998</v>
      </c>
      <c r="AX622" s="527">
        <f t="shared" ref="AX622:BY622" si="802">AX558/AX$571</f>
        <v>-707.47199999999998</v>
      </c>
      <c r="AY622" s="527">
        <f t="shared" si="802"/>
        <v>-707.47199999999998</v>
      </c>
      <c r="AZ622" s="527">
        <f t="shared" si="802"/>
        <v>-707.47199999999998</v>
      </c>
      <c r="BA622" s="527">
        <f t="shared" si="802"/>
        <v>-707.47199999999998</v>
      </c>
      <c r="BB622" s="527">
        <f t="shared" si="802"/>
        <v>-721.62144000000001</v>
      </c>
      <c r="BC622" s="527">
        <f t="shared" si="802"/>
        <v>-721.62144000000001</v>
      </c>
      <c r="BD622" s="527">
        <f t="shared" si="802"/>
        <v>-721.62144000000001</v>
      </c>
      <c r="BE622" s="527">
        <f t="shared" si="802"/>
        <v>-721.62144000000001</v>
      </c>
      <c r="BF622" s="527">
        <f t="shared" si="802"/>
        <v>-721.62144000000001</v>
      </c>
      <c r="BG622" s="527">
        <f t="shared" si="802"/>
        <v>-721.62144000000001</v>
      </c>
      <c r="BH622" s="527">
        <f t="shared" si="802"/>
        <v>-721.62144000000001</v>
      </c>
      <c r="BI622" s="527">
        <f t="shared" si="802"/>
        <v>-721.62144000000001</v>
      </c>
      <c r="BJ622" s="527">
        <f t="shared" si="802"/>
        <v>-721.62144000000001</v>
      </c>
      <c r="BK622" s="527">
        <f t="shared" si="802"/>
        <v>-721.62144000000001</v>
      </c>
      <c r="BL622" s="527">
        <f t="shared" si="802"/>
        <v>-721.62144000000001</v>
      </c>
      <c r="BM622" s="527">
        <f t="shared" si="802"/>
        <v>-721.62144000000001</v>
      </c>
      <c r="BN622" s="527">
        <f t="shared" si="802"/>
        <v>-736.05386880000015</v>
      </c>
      <c r="BO622" s="527">
        <f t="shared" si="802"/>
        <v>-736.05386880000015</v>
      </c>
      <c r="BP622" s="527">
        <f t="shared" si="802"/>
        <v>-736.05386880000015</v>
      </c>
      <c r="BQ622" s="527">
        <f t="shared" si="802"/>
        <v>-736.05386880000015</v>
      </c>
      <c r="BR622" s="527">
        <f t="shared" si="802"/>
        <v>-736.05386880000015</v>
      </c>
      <c r="BS622" s="527">
        <f t="shared" si="802"/>
        <v>-736.05386880000015</v>
      </c>
      <c r="BT622" s="527">
        <f t="shared" si="802"/>
        <v>-736.05386880000015</v>
      </c>
      <c r="BU622" s="527">
        <f t="shared" si="802"/>
        <v>-736.05386880000015</v>
      </c>
      <c r="BV622" s="527">
        <f t="shared" si="802"/>
        <v>-736.05386880000015</v>
      </c>
      <c r="BW622" s="527">
        <f t="shared" si="802"/>
        <v>-736.05386880000015</v>
      </c>
      <c r="BX622" s="527">
        <f t="shared" si="802"/>
        <v>-736.05386880000015</v>
      </c>
      <c r="BY622" s="527">
        <f t="shared" si="802"/>
        <v>-736.05386880000015</v>
      </c>
    </row>
    <row r="623" spans="2:77" x14ac:dyDescent="0.3">
      <c r="B623" s="82"/>
      <c r="C623" s="85"/>
      <c r="E623" s="2" t="s">
        <v>69</v>
      </c>
      <c r="F623" s="54"/>
      <c r="G623" s="54"/>
      <c r="I623" s="497">
        <f t="shared" si="800"/>
        <v>-1257.97711316908</v>
      </c>
      <c r="J623" s="497">
        <f t="shared" si="800"/>
        <v>-1309.1431151455147</v>
      </c>
      <c r="K623" s="497">
        <f t="shared" si="800"/>
        <v>-1360.3103771665662</v>
      </c>
      <c r="L623" s="497">
        <f t="shared" si="800"/>
        <v>-1411.0852005341208</v>
      </c>
      <c r="M623" s="497">
        <f t="shared" si="800"/>
        <v>-1460.3253479375726</v>
      </c>
      <c r="N623" s="497">
        <f t="shared" si="800"/>
        <v>-1510.5611565833124</v>
      </c>
      <c r="O623" s="37"/>
      <c r="P623" s="50">
        <f t="shared" ref="P623:P631" si="803">IFERROR(((N623/I623)^(1/5))-1,0)</f>
        <v>3.7273098244165359E-2</v>
      </c>
      <c r="R623" s="497">
        <f t="shared" ref="R623:AW623" si="804">R559/R$571</f>
        <v>-109.09525959545957</v>
      </c>
      <c r="S623" s="497">
        <f t="shared" si="804"/>
        <v>-109.09525959545957</v>
      </c>
      <c r="T623" s="497">
        <f t="shared" si="804"/>
        <v>-109.09525959545957</v>
      </c>
      <c r="U623" s="497">
        <f t="shared" si="804"/>
        <v>-109.09525959545957</v>
      </c>
      <c r="V623" s="497">
        <f t="shared" si="804"/>
        <v>-109.09525959545957</v>
      </c>
      <c r="W623" s="497">
        <f t="shared" si="804"/>
        <v>-109.09525959545957</v>
      </c>
      <c r="X623" s="497">
        <f t="shared" si="804"/>
        <v>-109.09525959545957</v>
      </c>
      <c r="Y623" s="497">
        <f t="shared" si="804"/>
        <v>-109.09525959545957</v>
      </c>
      <c r="Z623" s="497">
        <f t="shared" si="804"/>
        <v>-109.09525959545957</v>
      </c>
      <c r="AA623" s="497">
        <f t="shared" si="804"/>
        <v>-109.09525959545957</v>
      </c>
      <c r="AB623" s="497">
        <f t="shared" si="804"/>
        <v>-109.09525959545957</v>
      </c>
      <c r="AC623" s="497">
        <f t="shared" si="804"/>
        <v>-109.09525959545957</v>
      </c>
      <c r="AD623" s="497">
        <f t="shared" si="804"/>
        <v>-113.35919809721385</v>
      </c>
      <c r="AE623" s="497">
        <f t="shared" si="804"/>
        <v>-113.35919809721385</v>
      </c>
      <c r="AF623" s="497">
        <f t="shared" si="804"/>
        <v>-113.35919809721385</v>
      </c>
      <c r="AG623" s="497">
        <f t="shared" si="804"/>
        <v>-113.35919809721385</v>
      </c>
      <c r="AH623" s="497">
        <f t="shared" si="804"/>
        <v>-113.35919809721385</v>
      </c>
      <c r="AI623" s="497">
        <f t="shared" si="804"/>
        <v>-113.35919809721385</v>
      </c>
      <c r="AJ623" s="497">
        <f t="shared" si="804"/>
        <v>-113.35919809721385</v>
      </c>
      <c r="AK623" s="497">
        <f t="shared" si="804"/>
        <v>-113.35919809721385</v>
      </c>
      <c r="AL623" s="497">
        <f t="shared" si="804"/>
        <v>-113.35919809721385</v>
      </c>
      <c r="AM623" s="497">
        <f t="shared" si="804"/>
        <v>-113.35919809721385</v>
      </c>
      <c r="AN623" s="527">
        <f t="shared" si="804"/>
        <v>-113.35919809721385</v>
      </c>
      <c r="AO623" s="527">
        <f t="shared" si="804"/>
        <v>-113.35919809721385</v>
      </c>
      <c r="AP623" s="527">
        <f t="shared" si="804"/>
        <v>-117.59043337784337</v>
      </c>
      <c r="AQ623" s="527">
        <f t="shared" si="804"/>
        <v>-117.59043337784337</v>
      </c>
      <c r="AR623" s="527">
        <f t="shared" si="804"/>
        <v>-117.59043337784337</v>
      </c>
      <c r="AS623" s="527">
        <f t="shared" si="804"/>
        <v>-117.59043337784337</v>
      </c>
      <c r="AT623" s="527">
        <f t="shared" si="804"/>
        <v>-117.59043337784337</v>
      </c>
      <c r="AU623" s="527">
        <f t="shared" si="804"/>
        <v>-117.59043337784337</v>
      </c>
      <c r="AV623" s="527">
        <f t="shared" si="804"/>
        <v>-117.59043337784337</v>
      </c>
      <c r="AW623" s="527">
        <f t="shared" si="804"/>
        <v>-117.59043337784337</v>
      </c>
      <c r="AX623" s="527">
        <f t="shared" ref="AX623:BY623" si="805">AX559/AX$571</f>
        <v>-117.59043337784337</v>
      </c>
      <c r="AY623" s="527">
        <f t="shared" si="805"/>
        <v>-117.59043337784337</v>
      </c>
      <c r="AZ623" s="527">
        <f t="shared" si="805"/>
        <v>-117.59043337784337</v>
      </c>
      <c r="BA623" s="527">
        <f t="shared" si="805"/>
        <v>-117.59043337784337</v>
      </c>
      <c r="BB623" s="527">
        <f t="shared" si="805"/>
        <v>-121.69377899479775</v>
      </c>
      <c r="BC623" s="527">
        <f t="shared" si="805"/>
        <v>-121.69377899479775</v>
      </c>
      <c r="BD623" s="527">
        <f t="shared" si="805"/>
        <v>-121.69377899479775</v>
      </c>
      <c r="BE623" s="527">
        <f t="shared" si="805"/>
        <v>-121.69377899479775</v>
      </c>
      <c r="BF623" s="527">
        <f t="shared" si="805"/>
        <v>-121.69377899479775</v>
      </c>
      <c r="BG623" s="527">
        <f t="shared" si="805"/>
        <v>-121.69377899479775</v>
      </c>
      <c r="BH623" s="527">
        <f t="shared" si="805"/>
        <v>-121.69377899479775</v>
      </c>
      <c r="BI623" s="527">
        <f t="shared" si="805"/>
        <v>-121.69377899479775</v>
      </c>
      <c r="BJ623" s="527">
        <f t="shared" si="805"/>
        <v>-121.69377899479775</v>
      </c>
      <c r="BK623" s="527">
        <f t="shared" si="805"/>
        <v>-121.69377899479775</v>
      </c>
      <c r="BL623" s="527">
        <f t="shared" si="805"/>
        <v>-121.69377899479775</v>
      </c>
      <c r="BM623" s="527">
        <f t="shared" si="805"/>
        <v>-121.69377899479775</v>
      </c>
      <c r="BN623" s="527">
        <f t="shared" si="805"/>
        <v>-125.88009638194272</v>
      </c>
      <c r="BO623" s="527">
        <f t="shared" si="805"/>
        <v>-125.88009638194272</v>
      </c>
      <c r="BP623" s="527">
        <f t="shared" si="805"/>
        <v>-125.88009638194272</v>
      </c>
      <c r="BQ623" s="527">
        <f t="shared" si="805"/>
        <v>-125.88009638194272</v>
      </c>
      <c r="BR623" s="527">
        <f t="shared" si="805"/>
        <v>-125.88009638194272</v>
      </c>
      <c r="BS623" s="527">
        <f t="shared" si="805"/>
        <v>-125.88009638194272</v>
      </c>
      <c r="BT623" s="527">
        <f t="shared" si="805"/>
        <v>-125.88009638194272</v>
      </c>
      <c r="BU623" s="527">
        <f t="shared" si="805"/>
        <v>-125.88009638194272</v>
      </c>
      <c r="BV623" s="527">
        <f t="shared" si="805"/>
        <v>-125.88009638194272</v>
      </c>
      <c r="BW623" s="527">
        <f t="shared" si="805"/>
        <v>-125.88009638194272</v>
      </c>
      <c r="BX623" s="527">
        <f t="shared" si="805"/>
        <v>-125.88009638194272</v>
      </c>
      <c r="BY623" s="527">
        <f t="shared" si="805"/>
        <v>-125.88009638194272</v>
      </c>
    </row>
    <row r="624" spans="2:77" x14ac:dyDescent="0.3">
      <c r="B624" s="82"/>
      <c r="C624" s="85"/>
      <c r="E624" s="2" t="s">
        <v>184</v>
      </c>
      <c r="F624" s="54"/>
      <c r="G624" s="54"/>
      <c r="I624" s="71">
        <v>0</v>
      </c>
      <c r="J624" s="52">
        <v>0</v>
      </c>
      <c r="K624" s="52">
        <v>0</v>
      </c>
      <c r="L624" s="52">
        <v>0</v>
      </c>
      <c r="M624" s="52">
        <v>0</v>
      </c>
      <c r="N624" s="52">
        <v>0</v>
      </c>
      <c r="O624" s="67"/>
      <c r="P624" s="50">
        <f>IFERROR(((N624/I624)^(1/5))-1,0)</f>
        <v>0</v>
      </c>
      <c r="R624" s="52">
        <v>0</v>
      </c>
      <c r="S624" s="52">
        <v>0</v>
      </c>
      <c r="T624" s="52">
        <v>0</v>
      </c>
      <c r="U624" s="52">
        <v>0</v>
      </c>
      <c r="V624" s="52">
        <v>0</v>
      </c>
      <c r="W624" s="52">
        <v>0</v>
      </c>
      <c r="X624" s="52">
        <v>0</v>
      </c>
      <c r="Y624" s="52">
        <v>0</v>
      </c>
      <c r="Z624" s="52">
        <v>0</v>
      </c>
      <c r="AA624" s="52">
        <v>0</v>
      </c>
      <c r="AB624" s="52">
        <v>0</v>
      </c>
      <c r="AC624" s="52">
        <v>0</v>
      </c>
      <c r="AD624" s="52">
        <v>0</v>
      </c>
      <c r="AE624" s="52">
        <v>0</v>
      </c>
      <c r="AF624" s="52">
        <v>0</v>
      </c>
      <c r="AG624" s="52">
        <v>0</v>
      </c>
      <c r="AH624" s="52">
        <v>0</v>
      </c>
      <c r="AI624" s="52">
        <v>0</v>
      </c>
      <c r="AJ624" s="52">
        <v>0</v>
      </c>
      <c r="AK624" s="52">
        <v>0</v>
      </c>
      <c r="AL624" s="52">
        <v>0</v>
      </c>
      <c r="AM624" s="52">
        <v>0</v>
      </c>
      <c r="AN624" s="528">
        <v>0</v>
      </c>
      <c r="AO624" s="528">
        <v>0</v>
      </c>
      <c r="AP624" s="528">
        <v>0</v>
      </c>
      <c r="AQ624" s="528">
        <v>0</v>
      </c>
      <c r="AR624" s="528">
        <v>0</v>
      </c>
      <c r="AS624" s="528">
        <v>0</v>
      </c>
      <c r="AT624" s="528">
        <v>0</v>
      </c>
      <c r="AU624" s="528">
        <v>0</v>
      </c>
      <c r="AV624" s="528">
        <v>0</v>
      </c>
      <c r="AW624" s="528">
        <v>0</v>
      </c>
      <c r="AX624" s="528">
        <v>0</v>
      </c>
      <c r="AY624" s="528">
        <v>0</v>
      </c>
      <c r="AZ624" s="528">
        <v>0</v>
      </c>
      <c r="BA624" s="528">
        <v>0</v>
      </c>
      <c r="BB624" s="528">
        <v>0</v>
      </c>
      <c r="BC624" s="528">
        <v>0</v>
      </c>
      <c r="BD624" s="528">
        <v>0</v>
      </c>
      <c r="BE624" s="528">
        <v>0</v>
      </c>
      <c r="BF624" s="528">
        <v>0</v>
      </c>
      <c r="BG624" s="528">
        <v>0</v>
      </c>
      <c r="BH624" s="528">
        <v>0</v>
      </c>
      <c r="BI624" s="528">
        <v>0</v>
      </c>
      <c r="BJ624" s="528">
        <v>0</v>
      </c>
      <c r="BK624" s="528">
        <v>0</v>
      </c>
      <c r="BL624" s="528">
        <v>0</v>
      </c>
      <c r="BM624" s="528">
        <v>0</v>
      </c>
      <c r="BN624" s="528">
        <v>0</v>
      </c>
      <c r="BO624" s="528">
        <v>0</v>
      </c>
      <c r="BP624" s="528">
        <v>0</v>
      </c>
      <c r="BQ624" s="528">
        <v>0</v>
      </c>
      <c r="BR624" s="528">
        <v>0</v>
      </c>
      <c r="BS624" s="528">
        <v>0</v>
      </c>
      <c r="BT624" s="528">
        <v>0</v>
      </c>
      <c r="BU624" s="528">
        <v>0</v>
      </c>
      <c r="BV624" s="528">
        <v>0</v>
      </c>
      <c r="BW624" s="528">
        <v>0</v>
      </c>
      <c r="BX624" s="528">
        <v>0</v>
      </c>
      <c r="BY624" s="528">
        <v>0</v>
      </c>
    </row>
    <row r="625" spans="2:77" x14ac:dyDescent="0.3">
      <c r="B625" s="82"/>
      <c r="C625" s="85"/>
      <c r="E625" s="62" t="s">
        <v>293</v>
      </c>
      <c r="F625" s="63"/>
      <c r="G625" s="63"/>
      <c r="I625" s="501">
        <f t="shared" ref="I625:N625" si="806">I561/I$571</f>
        <v>64321.049427538826</v>
      </c>
      <c r="J625" s="501">
        <f t="shared" si="806"/>
        <v>68892.379547523495</v>
      </c>
      <c r="K625" s="501">
        <f t="shared" si="806"/>
        <v>71882.581747774748</v>
      </c>
      <c r="L625" s="501">
        <f t="shared" si="806"/>
        <v>74854.688732062365</v>
      </c>
      <c r="M625" s="501">
        <f t="shared" si="806"/>
        <v>77735.73314922546</v>
      </c>
      <c r="N625" s="501">
        <f t="shared" si="806"/>
        <v>80677.069058168621</v>
      </c>
      <c r="O625" s="67"/>
      <c r="P625" s="55">
        <f t="shared" si="803"/>
        <v>4.6355829327124676E-2</v>
      </c>
      <c r="R625" s="501">
        <f t="shared" ref="R625:AW625" si="807">R561/R$571</f>
        <v>5741.0316289602924</v>
      </c>
      <c r="S625" s="501">
        <f t="shared" si="807"/>
        <v>5741.0316289602924</v>
      </c>
      <c r="T625" s="501">
        <f t="shared" si="807"/>
        <v>5741.0316289602924</v>
      </c>
      <c r="U625" s="501">
        <f t="shared" si="807"/>
        <v>5741.0316289602924</v>
      </c>
      <c r="V625" s="501">
        <f t="shared" si="807"/>
        <v>5741.0316289602924</v>
      </c>
      <c r="W625" s="501">
        <f t="shared" si="807"/>
        <v>5741.0316289602924</v>
      </c>
      <c r="X625" s="501">
        <f t="shared" si="807"/>
        <v>5741.0316289602924</v>
      </c>
      <c r="Y625" s="501">
        <f t="shared" si="807"/>
        <v>5741.0316289602924</v>
      </c>
      <c r="Z625" s="501">
        <f t="shared" si="807"/>
        <v>5741.0316289602924</v>
      </c>
      <c r="AA625" s="501">
        <f t="shared" si="807"/>
        <v>5741.0316289602924</v>
      </c>
      <c r="AB625" s="501">
        <f t="shared" si="807"/>
        <v>5741.0316289602924</v>
      </c>
      <c r="AC625" s="501">
        <f t="shared" si="807"/>
        <v>5741.0316289602924</v>
      </c>
      <c r="AD625" s="501">
        <f t="shared" si="807"/>
        <v>5990.215145647895</v>
      </c>
      <c r="AE625" s="501">
        <f t="shared" si="807"/>
        <v>5990.215145647895</v>
      </c>
      <c r="AF625" s="501">
        <f t="shared" si="807"/>
        <v>5990.215145647895</v>
      </c>
      <c r="AG625" s="501">
        <f t="shared" si="807"/>
        <v>5990.215145647895</v>
      </c>
      <c r="AH625" s="501">
        <f t="shared" si="807"/>
        <v>5990.215145647895</v>
      </c>
      <c r="AI625" s="501">
        <f t="shared" si="807"/>
        <v>5990.215145647895</v>
      </c>
      <c r="AJ625" s="501">
        <f t="shared" si="807"/>
        <v>5990.215145647895</v>
      </c>
      <c r="AK625" s="501">
        <f t="shared" si="807"/>
        <v>5990.215145647895</v>
      </c>
      <c r="AL625" s="501">
        <f t="shared" si="807"/>
        <v>5990.215145647895</v>
      </c>
      <c r="AM625" s="501">
        <f t="shared" si="807"/>
        <v>5990.215145647895</v>
      </c>
      <c r="AN625" s="535">
        <f t="shared" si="807"/>
        <v>5990.215145647895</v>
      </c>
      <c r="AO625" s="535">
        <f t="shared" si="807"/>
        <v>5990.215145647895</v>
      </c>
      <c r="AP625" s="535">
        <f t="shared" si="807"/>
        <v>6237.8907276718674</v>
      </c>
      <c r="AQ625" s="535">
        <f t="shared" si="807"/>
        <v>6237.8907276718674</v>
      </c>
      <c r="AR625" s="535">
        <f t="shared" si="807"/>
        <v>6237.8907276718674</v>
      </c>
      <c r="AS625" s="535">
        <f t="shared" si="807"/>
        <v>6237.8907276718674</v>
      </c>
      <c r="AT625" s="535">
        <f t="shared" si="807"/>
        <v>6237.8907276718674</v>
      </c>
      <c r="AU625" s="535">
        <f t="shared" si="807"/>
        <v>6237.8907276718674</v>
      </c>
      <c r="AV625" s="535">
        <f t="shared" si="807"/>
        <v>6237.8907276718674</v>
      </c>
      <c r="AW625" s="535">
        <f t="shared" si="807"/>
        <v>6237.8907276718674</v>
      </c>
      <c r="AX625" s="535">
        <f t="shared" ref="AX625:BY625" si="808">AX561/AX$571</f>
        <v>6237.8907276718674</v>
      </c>
      <c r="AY625" s="535">
        <f t="shared" si="808"/>
        <v>6237.8907276718674</v>
      </c>
      <c r="AZ625" s="535">
        <f t="shared" si="808"/>
        <v>6237.8907276718674</v>
      </c>
      <c r="BA625" s="535">
        <f t="shared" si="808"/>
        <v>6237.8907276718674</v>
      </c>
      <c r="BB625" s="535">
        <f t="shared" si="808"/>
        <v>6477.9777624354565</v>
      </c>
      <c r="BC625" s="535">
        <f t="shared" si="808"/>
        <v>6477.9777624354565</v>
      </c>
      <c r="BD625" s="535">
        <f t="shared" si="808"/>
        <v>6477.9777624354565</v>
      </c>
      <c r="BE625" s="535">
        <f t="shared" si="808"/>
        <v>6477.9777624354565</v>
      </c>
      <c r="BF625" s="535">
        <f t="shared" si="808"/>
        <v>6477.9777624354565</v>
      </c>
      <c r="BG625" s="535">
        <f t="shared" si="808"/>
        <v>6477.9777624354565</v>
      </c>
      <c r="BH625" s="535">
        <f t="shared" si="808"/>
        <v>6477.9777624354565</v>
      </c>
      <c r="BI625" s="535">
        <f t="shared" si="808"/>
        <v>6477.9777624354565</v>
      </c>
      <c r="BJ625" s="535">
        <f t="shared" si="808"/>
        <v>6477.9777624354565</v>
      </c>
      <c r="BK625" s="535">
        <f t="shared" si="808"/>
        <v>6477.9777624354565</v>
      </c>
      <c r="BL625" s="535">
        <f t="shared" si="808"/>
        <v>6477.9777624354565</v>
      </c>
      <c r="BM625" s="535">
        <f t="shared" si="808"/>
        <v>6477.9777624354565</v>
      </c>
      <c r="BN625" s="535">
        <f t="shared" si="808"/>
        <v>6723.0890881807218</v>
      </c>
      <c r="BO625" s="535">
        <f t="shared" si="808"/>
        <v>6723.0890881807218</v>
      </c>
      <c r="BP625" s="535">
        <f t="shared" si="808"/>
        <v>6723.0890881807218</v>
      </c>
      <c r="BQ625" s="535">
        <f t="shared" si="808"/>
        <v>6723.0890881807218</v>
      </c>
      <c r="BR625" s="535">
        <f t="shared" si="808"/>
        <v>6723.0890881807218</v>
      </c>
      <c r="BS625" s="535">
        <f t="shared" si="808"/>
        <v>6723.0890881807218</v>
      </c>
      <c r="BT625" s="535">
        <f t="shared" si="808"/>
        <v>6723.0890881807218</v>
      </c>
      <c r="BU625" s="535">
        <f t="shared" si="808"/>
        <v>6723.0890881807218</v>
      </c>
      <c r="BV625" s="535">
        <f t="shared" si="808"/>
        <v>6723.0890881807218</v>
      </c>
      <c r="BW625" s="535">
        <f t="shared" si="808"/>
        <v>6723.0890881807218</v>
      </c>
      <c r="BX625" s="535">
        <f t="shared" si="808"/>
        <v>6723.0890881807218</v>
      </c>
      <c r="BY625" s="535">
        <f t="shared" si="808"/>
        <v>6723.0890881807218</v>
      </c>
    </row>
    <row r="626" spans="2:77" x14ac:dyDescent="0.3">
      <c r="B626" s="82"/>
      <c r="C626" s="85"/>
      <c r="E626" s="2" t="s">
        <v>407</v>
      </c>
      <c r="F626" s="54"/>
      <c r="G626" s="54"/>
      <c r="I626" s="499">
        <f t="shared" ref="I626:N626" si="809">I625/I615</f>
        <v>0.76695810385813046</v>
      </c>
      <c r="J626" s="499">
        <f t="shared" si="809"/>
        <v>0.78936036958647493</v>
      </c>
      <c r="K626" s="499">
        <f t="shared" si="809"/>
        <v>0.79264169730331602</v>
      </c>
      <c r="L626" s="499">
        <f t="shared" si="809"/>
        <v>0.79571405791509153</v>
      </c>
      <c r="M626" s="499">
        <f t="shared" si="809"/>
        <v>0.79847685920482203</v>
      </c>
      <c r="N626" s="499">
        <f t="shared" si="809"/>
        <v>0.80113011684329349</v>
      </c>
      <c r="O626" s="57"/>
      <c r="P626" s="50">
        <f>IFERROR(((N626/I626)^(1/5))-1,0)</f>
        <v>8.7563546170570383E-3</v>
      </c>
      <c r="R626" s="499">
        <f t="shared" ref="R626:AW626" si="810">R625/R615</f>
        <v>0.78936036958647493</v>
      </c>
      <c r="S626" s="499">
        <f t="shared" si="810"/>
        <v>0.78936036958647493</v>
      </c>
      <c r="T626" s="499">
        <f t="shared" si="810"/>
        <v>0.78936036958647493</v>
      </c>
      <c r="U626" s="499">
        <f t="shared" si="810"/>
        <v>0.78936036958647493</v>
      </c>
      <c r="V626" s="499">
        <f t="shared" si="810"/>
        <v>0.78936036958647493</v>
      </c>
      <c r="W626" s="499">
        <f t="shared" si="810"/>
        <v>0.78936036958647493</v>
      </c>
      <c r="X626" s="499">
        <f t="shared" si="810"/>
        <v>0.78936036958647493</v>
      </c>
      <c r="Y626" s="499">
        <f t="shared" si="810"/>
        <v>0.78936036958647493</v>
      </c>
      <c r="Z626" s="499">
        <f t="shared" si="810"/>
        <v>0.78936036958647493</v>
      </c>
      <c r="AA626" s="499">
        <f t="shared" si="810"/>
        <v>0.78936036958647493</v>
      </c>
      <c r="AB626" s="499">
        <f t="shared" si="810"/>
        <v>0.78936036958647493</v>
      </c>
      <c r="AC626" s="499">
        <f t="shared" si="810"/>
        <v>0.78936036958647493</v>
      </c>
      <c r="AD626" s="499">
        <f t="shared" si="810"/>
        <v>0.79264169730331602</v>
      </c>
      <c r="AE626" s="499">
        <f t="shared" si="810"/>
        <v>0.79264169730331602</v>
      </c>
      <c r="AF626" s="499">
        <f t="shared" si="810"/>
        <v>0.79264169730331602</v>
      </c>
      <c r="AG626" s="499">
        <f t="shared" si="810"/>
        <v>0.79264169730331602</v>
      </c>
      <c r="AH626" s="499">
        <f t="shared" si="810"/>
        <v>0.79264169730331602</v>
      </c>
      <c r="AI626" s="499">
        <f t="shared" si="810"/>
        <v>0.79264169730331602</v>
      </c>
      <c r="AJ626" s="499">
        <f t="shared" si="810"/>
        <v>0.79264169730331602</v>
      </c>
      <c r="AK626" s="499">
        <f t="shared" si="810"/>
        <v>0.79264169730331602</v>
      </c>
      <c r="AL626" s="499">
        <f t="shared" si="810"/>
        <v>0.79264169730331602</v>
      </c>
      <c r="AM626" s="499">
        <f t="shared" si="810"/>
        <v>0.79264169730331602</v>
      </c>
      <c r="AN626" s="531">
        <f t="shared" si="810"/>
        <v>0.79264169730331602</v>
      </c>
      <c r="AO626" s="531">
        <f t="shared" si="810"/>
        <v>0.79264169730331602</v>
      </c>
      <c r="AP626" s="531">
        <f t="shared" si="810"/>
        <v>0.79571405791509175</v>
      </c>
      <c r="AQ626" s="531">
        <f t="shared" si="810"/>
        <v>0.79571405791509175</v>
      </c>
      <c r="AR626" s="531">
        <f t="shared" si="810"/>
        <v>0.79571405791509175</v>
      </c>
      <c r="AS626" s="531">
        <f t="shared" si="810"/>
        <v>0.79571405791509175</v>
      </c>
      <c r="AT626" s="531">
        <f t="shared" si="810"/>
        <v>0.79571405791509175</v>
      </c>
      <c r="AU626" s="531">
        <f t="shared" si="810"/>
        <v>0.79571405791509175</v>
      </c>
      <c r="AV626" s="531">
        <f t="shared" si="810"/>
        <v>0.79571405791509175</v>
      </c>
      <c r="AW626" s="531">
        <f t="shared" si="810"/>
        <v>0.79571405791509175</v>
      </c>
      <c r="AX626" s="531">
        <f t="shared" ref="AX626:BY626" si="811">AX625/AX615</f>
        <v>0.79571405791509175</v>
      </c>
      <c r="AY626" s="531">
        <f t="shared" si="811"/>
        <v>0.79571405791509175</v>
      </c>
      <c r="AZ626" s="531">
        <f t="shared" si="811"/>
        <v>0.79571405791509175</v>
      </c>
      <c r="BA626" s="531">
        <f t="shared" si="811"/>
        <v>0.79571405791509175</v>
      </c>
      <c r="BB626" s="531">
        <f t="shared" si="811"/>
        <v>0.79847685920482203</v>
      </c>
      <c r="BC626" s="531">
        <f t="shared" si="811"/>
        <v>0.79847685920482203</v>
      </c>
      <c r="BD626" s="531">
        <f t="shared" si="811"/>
        <v>0.79847685920482203</v>
      </c>
      <c r="BE626" s="531">
        <f t="shared" si="811"/>
        <v>0.79847685920482203</v>
      </c>
      <c r="BF626" s="531">
        <f t="shared" si="811"/>
        <v>0.79847685920482203</v>
      </c>
      <c r="BG626" s="531">
        <f t="shared" si="811"/>
        <v>0.79847685920482203</v>
      </c>
      <c r="BH626" s="531">
        <f t="shared" si="811"/>
        <v>0.79847685920482203</v>
      </c>
      <c r="BI626" s="531">
        <f t="shared" si="811"/>
        <v>0.79847685920482203</v>
      </c>
      <c r="BJ626" s="531">
        <f t="shared" si="811"/>
        <v>0.79847685920482203</v>
      </c>
      <c r="BK626" s="531">
        <f t="shared" si="811"/>
        <v>0.79847685920482203</v>
      </c>
      <c r="BL626" s="531">
        <f t="shared" si="811"/>
        <v>0.79847685920482203</v>
      </c>
      <c r="BM626" s="531">
        <f t="shared" si="811"/>
        <v>0.79847685920482203</v>
      </c>
      <c r="BN626" s="531">
        <f t="shared" si="811"/>
        <v>0.80113011684329349</v>
      </c>
      <c r="BO626" s="531">
        <f t="shared" si="811"/>
        <v>0.80113011684329349</v>
      </c>
      <c r="BP626" s="531">
        <f t="shared" si="811"/>
        <v>0.80113011684329349</v>
      </c>
      <c r="BQ626" s="531">
        <f t="shared" si="811"/>
        <v>0.80113011684329349</v>
      </c>
      <c r="BR626" s="531">
        <f t="shared" si="811"/>
        <v>0.80113011684329349</v>
      </c>
      <c r="BS626" s="531">
        <f t="shared" si="811"/>
        <v>0.80113011684329349</v>
      </c>
      <c r="BT626" s="531">
        <f t="shared" si="811"/>
        <v>0.80113011684329349</v>
      </c>
      <c r="BU626" s="531">
        <f t="shared" si="811"/>
        <v>0.80113011684329349</v>
      </c>
      <c r="BV626" s="531">
        <f t="shared" si="811"/>
        <v>0.80113011684329349</v>
      </c>
      <c r="BW626" s="531">
        <f t="shared" si="811"/>
        <v>0.80113011684329349</v>
      </c>
      <c r="BX626" s="531">
        <f t="shared" si="811"/>
        <v>0.80113011684329349</v>
      </c>
      <c r="BY626" s="531">
        <f t="shared" si="811"/>
        <v>0.80113011684329349</v>
      </c>
    </row>
    <row r="627" spans="2:77" x14ac:dyDescent="0.3">
      <c r="B627" s="82"/>
      <c r="C627" s="85"/>
      <c r="E627" s="2"/>
      <c r="F627" s="54"/>
      <c r="G627" s="54"/>
      <c r="I627" s="67"/>
      <c r="J627" s="67"/>
      <c r="K627" s="67"/>
      <c r="L627" s="67"/>
      <c r="M627" s="67"/>
      <c r="N627" s="67"/>
      <c r="O627" s="37"/>
      <c r="P627" s="50"/>
      <c r="R627" s="67"/>
      <c r="S627" s="67"/>
      <c r="T627" s="67"/>
      <c r="U627" s="67"/>
      <c r="V627" s="67"/>
      <c r="W627" s="67"/>
      <c r="X627" s="67"/>
      <c r="Y627" s="67"/>
      <c r="Z627" s="67"/>
      <c r="AA627" s="67"/>
      <c r="AB627" s="67"/>
      <c r="AC627" s="67"/>
      <c r="AD627" s="67"/>
      <c r="AE627" s="67"/>
      <c r="AF627" s="67"/>
      <c r="AG627" s="67"/>
      <c r="AH627" s="67"/>
      <c r="AI627" s="67"/>
      <c r="AJ627" s="67"/>
      <c r="AK627" s="67"/>
      <c r="AL627" s="67"/>
      <c r="AM627" s="67"/>
      <c r="AN627" s="544"/>
      <c r="AO627" s="544"/>
      <c r="AP627" s="544"/>
      <c r="AQ627" s="544"/>
      <c r="AR627" s="544"/>
      <c r="AS627" s="544"/>
      <c r="AT627" s="544"/>
      <c r="AU627" s="544"/>
      <c r="AV627" s="544"/>
      <c r="AW627" s="544"/>
      <c r="AX627" s="544"/>
      <c r="AY627" s="544"/>
      <c r="AZ627" s="544"/>
      <c r="BA627" s="544"/>
      <c r="BB627" s="544"/>
      <c r="BC627" s="544"/>
      <c r="BD627" s="544"/>
      <c r="BE627" s="544"/>
      <c r="BF627" s="544"/>
      <c r="BG627" s="544"/>
      <c r="BH627" s="544"/>
      <c r="BI627" s="544"/>
      <c r="BJ627" s="544"/>
      <c r="BK627" s="544"/>
      <c r="BL627" s="544"/>
      <c r="BM627" s="544"/>
      <c r="BN627" s="544"/>
      <c r="BO627" s="544"/>
      <c r="BP627" s="544"/>
      <c r="BQ627" s="544"/>
      <c r="BR627" s="544"/>
      <c r="BS627" s="544"/>
      <c r="BT627" s="544"/>
      <c r="BU627" s="544"/>
      <c r="BV627" s="544"/>
      <c r="BW627" s="544"/>
      <c r="BX627" s="544"/>
      <c r="BY627" s="544"/>
    </row>
    <row r="628" spans="2:77" x14ac:dyDescent="0.3">
      <c r="B628" s="82"/>
      <c r="C628" s="85"/>
      <c r="E628" s="2" t="s">
        <v>70</v>
      </c>
      <c r="F628" s="54"/>
      <c r="G628" s="54"/>
      <c r="I628" s="71">
        <v>0</v>
      </c>
      <c r="J628" s="52">
        <v>0</v>
      </c>
      <c r="K628" s="52">
        <v>0</v>
      </c>
      <c r="L628" s="52">
        <v>0</v>
      </c>
      <c r="M628" s="52">
        <v>0</v>
      </c>
      <c r="N628" s="52">
        <v>0</v>
      </c>
      <c r="O628" s="37"/>
      <c r="P628" s="50">
        <f>IFERROR(((N628/I628)^(1/5))-1,0)</f>
        <v>0</v>
      </c>
      <c r="R628" s="52">
        <v>0</v>
      </c>
      <c r="S628" s="52">
        <v>0</v>
      </c>
      <c r="T628" s="52">
        <v>0</v>
      </c>
      <c r="U628" s="52">
        <v>0</v>
      </c>
      <c r="V628" s="52">
        <v>0</v>
      </c>
      <c r="W628" s="52">
        <v>0</v>
      </c>
      <c r="X628" s="52">
        <v>0</v>
      </c>
      <c r="Y628" s="52">
        <v>0</v>
      </c>
      <c r="Z628" s="52">
        <v>0</v>
      </c>
      <c r="AA628" s="52">
        <v>0</v>
      </c>
      <c r="AB628" s="52">
        <v>0</v>
      </c>
      <c r="AC628" s="52">
        <v>0</v>
      </c>
      <c r="AD628" s="52">
        <v>0</v>
      </c>
      <c r="AE628" s="52">
        <v>0</v>
      </c>
      <c r="AF628" s="52">
        <v>0</v>
      </c>
      <c r="AG628" s="52">
        <v>0</v>
      </c>
      <c r="AH628" s="52">
        <v>0</v>
      </c>
      <c r="AI628" s="52">
        <v>0</v>
      </c>
      <c r="AJ628" s="52">
        <v>0</v>
      </c>
      <c r="AK628" s="52">
        <v>0</v>
      </c>
      <c r="AL628" s="52">
        <v>0</v>
      </c>
      <c r="AM628" s="52">
        <v>0</v>
      </c>
      <c r="AN628" s="528">
        <v>0</v>
      </c>
      <c r="AO628" s="528">
        <v>0</v>
      </c>
      <c r="AP628" s="528">
        <v>0</v>
      </c>
      <c r="AQ628" s="528">
        <v>0</v>
      </c>
      <c r="AR628" s="528">
        <v>0</v>
      </c>
      <c r="AS628" s="528">
        <v>0</v>
      </c>
      <c r="AT628" s="528">
        <v>0</v>
      </c>
      <c r="AU628" s="528">
        <v>0</v>
      </c>
      <c r="AV628" s="528">
        <v>0</v>
      </c>
      <c r="AW628" s="528">
        <v>0</v>
      </c>
      <c r="AX628" s="528">
        <v>0</v>
      </c>
      <c r="AY628" s="528">
        <v>0</v>
      </c>
      <c r="AZ628" s="528">
        <v>0</v>
      </c>
      <c r="BA628" s="528">
        <v>0</v>
      </c>
      <c r="BB628" s="528">
        <v>0</v>
      </c>
      <c r="BC628" s="528">
        <v>0</v>
      </c>
      <c r="BD628" s="528">
        <v>0</v>
      </c>
      <c r="BE628" s="528">
        <v>0</v>
      </c>
      <c r="BF628" s="528">
        <v>0</v>
      </c>
      <c r="BG628" s="528">
        <v>0</v>
      </c>
      <c r="BH628" s="528">
        <v>0</v>
      </c>
      <c r="BI628" s="528">
        <v>0</v>
      </c>
      <c r="BJ628" s="528">
        <v>0</v>
      </c>
      <c r="BK628" s="528">
        <v>0</v>
      </c>
      <c r="BL628" s="528">
        <v>0</v>
      </c>
      <c r="BM628" s="528">
        <v>0</v>
      </c>
      <c r="BN628" s="528">
        <v>0</v>
      </c>
      <c r="BO628" s="528">
        <v>0</v>
      </c>
      <c r="BP628" s="528">
        <v>0</v>
      </c>
      <c r="BQ628" s="528">
        <v>0</v>
      </c>
      <c r="BR628" s="528">
        <v>0</v>
      </c>
      <c r="BS628" s="528">
        <v>0</v>
      </c>
      <c r="BT628" s="528">
        <v>0</v>
      </c>
      <c r="BU628" s="528">
        <v>0</v>
      </c>
      <c r="BV628" s="528">
        <v>0</v>
      </c>
      <c r="BW628" s="528">
        <v>0</v>
      </c>
      <c r="BX628" s="528">
        <v>0</v>
      </c>
      <c r="BY628" s="528">
        <v>0</v>
      </c>
    </row>
    <row r="629" spans="2:77" x14ac:dyDescent="0.3">
      <c r="B629" s="82"/>
      <c r="C629" s="85"/>
      <c r="E629" s="2" t="s">
        <v>185</v>
      </c>
      <c r="F629" s="54"/>
      <c r="G629" s="54"/>
      <c r="I629" s="71">
        <v>0</v>
      </c>
      <c r="J629" s="52">
        <v>0</v>
      </c>
      <c r="K629" s="52">
        <v>0</v>
      </c>
      <c r="L629" s="52">
        <v>0</v>
      </c>
      <c r="M629" s="52">
        <v>0</v>
      </c>
      <c r="N629" s="52">
        <v>0</v>
      </c>
      <c r="O629" s="67"/>
      <c r="P629" s="50">
        <f t="shared" si="803"/>
        <v>0</v>
      </c>
      <c r="R629" s="52">
        <v>0</v>
      </c>
      <c r="S629" s="52">
        <v>0</v>
      </c>
      <c r="T629" s="52">
        <v>0</v>
      </c>
      <c r="U629" s="52">
        <v>0</v>
      </c>
      <c r="V629" s="52">
        <v>0</v>
      </c>
      <c r="W629" s="52">
        <v>0</v>
      </c>
      <c r="X629" s="52">
        <v>0</v>
      </c>
      <c r="Y629" s="52">
        <v>0</v>
      </c>
      <c r="Z629" s="52">
        <v>0</v>
      </c>
      <c r="AA629" s="52">
        <v>0</v>
      </c>
      <c r="AB629" s="52">
        <v>0</v>
      </c>
      <c r="AC629" s="52">
        <v>0</v>
      </c>
      <c r="AD629" s="52">
        <v>0</v>
      </c>
      <c r="AE629" s="52">
        <v>0</v>
      </c>
      <c r="AF629" s="52">
        <v>0</v>
      </c>
      <c r="AG629" s="52">
        <v>0</v>
      </c>
      <c r="AH629" s="52">
        <v>0</v>
      </c>
      <c r="AI629" s="52">
        <v>0</v>
      </c>
      <c r="AJ629" s="52">
        <v>0</v>
      </c>
      <c r="AK629" s="52">
        <v>0</v>
      </c>
      <c r="AL629" s="52">
        <v>0</v>
      </c>
      <c r="AM629" s="52">
        <v>0</v>
      </c>
      <c r="AN629" s="528">
        <v>0</v>
      </c>
      <c r="AO629" s="528">
        <v>0</v>
      </c>
      <c r="AP629" s="528">
        <v>0</v>
      </c>
      <c r="AQ629" s="528">
        <v>0</v>
      </c>
      <c r="AR629" s="528">
        <v>0</v>
      </c>
      <c r="AS629" s="528">
        <v>0</v>
      </c>
      <c r="AT629" s="528">
        <v>0</v>
      </c>
      <c r="AU629" s="528">
        <v>0</v>
      </c>
      <c r="AV629" s="528">
        <v>0</v>
      </c>
      <c r="AW629" s="528">
        <v>0</v>
      </c>
      <c r="AX629" s="528">
        <v>0</v>
      </c>
      <c r="AY629" s="528">
        <v>0</v>
      </c>
      <c r="AZ629" s="528">
        <v>0</v>
      </c>
      <c r="BA629" s="528">
        <v>0</v>
      </c>
      <c r="BB629" s="528">
        <v>0</v>
      </c>
      <c r="BC629" s="528">
        <v>0</v>
      </c>
      <c r="BD629" s="528">
        <v>0</v>
      </c>
      <c r="BE629" s="528">
        <v>0</v>
      </c>
      <c r="BF629" s="528">
        <v>0</v>
      </c>
      <c r="BG629" s="528">
        <v>0</v>
      </c>
      <c r="BH629" s="528">
        <v>0</v>
      </c>
      <c r="BI629" s="528">
        <v>0</v>
      </c>
      <c r="BJ629" s="528">
        <v>0</v>
      </c>
      <c r="BK629" s="528">
        <v>0</v>
      </c>
      <c r="BL629" s="528">
        <v>0</v>
      </c>
      <c r="BM629" s="528">
        <v>0</v>
      </c>
      <c r="BN629" s="528">
        <v>0</v>
      </c>
      <c r="BO629" s="528">
        <v>0</v>
      </c>
      <c r="BP629" s="528">
        <v>0</v>
      </c>
      <c r="BQ629" s="528">
        <v>0</v>
      </c>
      <c r="BR629" s="528">
        <v>0</v>
      </c>
      <c r="BS629" s="528">
        <v>0</v>
      </c>
      <c r="BT629" s="528">
        <v>0</v>
      </c>
      <c r="BU629" s="528">
        <v>0</v>
      </c>
      <c r="BV629" s="528">
        <v>0</v>
      </c>
      <c r="BW629" s="528">
        <v>0</v>
      </c>
      <c r="BX629" s="528">
        <v>0</v>
      </c>
      <c r="BY629" s="528">
        <v>0</v>
      </c>
    </row>
    <row r="630" spans="2:77" x14ac:dyDescent="0.3">
      <c r="B630" s="82"/>
      <c r="C630" s="85"/>
      <c r="E630" s="2" t="s">
        <v>370</v>
      </c>
      <c r="F630" s="54"/>
      <c r="G630" s="54"/>
      <c r="I630" s="71">
        <v>0</v>
      </c>
      <c r="J630" s="52">
        <v>0</v>
      </c>
      <c r="K630" s="52">
        <v>0</v>
      </c>
      <c r="L630" s="52">
        <v>0</v>
      </c>
      <c r="M630" s="52">
        <v>0</v>
      </c>
      <c r="N630" s="52">
        <v>0</v>
      </c>
      <c r="O630" s="67"/>
      <c r="P630" s="50">
        <f>IFERROR(((N630/I630)^(1/5))-1,0)</f>
        <v>0</v>
      </c>
      <c r="R630" s="52">
        <v>0</v>
      </c>
      <c r="S630" s="52">
        <v>0</v>
      </c>
      <c r="T630" s="52">
        <v>0</v>
      </c>
      <c r="U630" s="52">
        <v>0</v>
      </c>
      <c r="V630" s="52">
        <v>0</v>
      </c>
      <c r="W630" s="52">
        <v>0</v>
      </c>
      <c r="X630" s="52">
        <v>0</v>
      </c>
      <c r="Y630" s="52">
        <v>0</v>
      </c>
      <c r="Z630" s="52">
        <v>0</v>
      </c>
      <c r="AA630" s="52">
        <v>0</v>
      </c>
      <c r="AB630" s="52">
        <v>0</v>
      </c>
      <c r="AC630" s="52">
        <v>0</v>
      </c>
      <c r="AD630" s="52">
        <v>0</v>
      </c>
      <c r="AE630" s="52">
        <v>0</v>
      </c>
      <c r="AF630" s="52">
        <v>0</v>
      </c>
      <c r="AG630" s="52">
        <v>0</v>
      </c>
      <c r="AH630" s="52">
        <v>0</v>
      </c>
      <c r="AI630" s="52">
        <v>0</v>
      </c>
      <c r="AJ630" s="52">
        <v>0</v>
      </c>
      <c r="AK630" s="52">
        <v>0</v>
      </c>
      <c r="AL630" s="52">
        <v>0</v>
      </c>
      <c r="AM630" s="52">
        <v>0</v>
      </c>
      <c r="AN630" s="528">
        <v>0</v>
      </c>
      <c r="AO630" s="528">
        <v>0</v>
      </c>
      <c r="AP630" s="528">
        <v>0</v>
      </c>
      <c r="AQ630" s="528">
        <v>0</v>
      </c>
      <c r="AR630" s="528">
        <v>0</v>
      </c>
      <c r="AS630" s="528">
        <v>0</v>
      </c>
      <c r="AT630" s="528">
        <v>0</v>
      </c>
      <c r="AU630" s="528">
        <v>0</v>
      </c>
      <c r="AV630" s="528">
        <v>0</v>
      </c>
      <c r="AW630" s="528">
        <v>0</v>
      </c>
      <c r="AX630" s="528">
        <v>0</v>
      </c>
      <c r="AY630" s="528">
        <v>0</v>
      </c>
      <c r="AZ630" s="528">
        <v>0</v>
      </c>
      <c r="BA630" s="528">
        <v>0</v>
      </c>
      <c r="BB630" s="528">
        <v>0</v>
      </c>
      <c r="BC630" s="528">
        <v>0</v>
      </c>
      <c r="BD630" s="528">
        <v>0</v>
      </c>
      <c r="BE630" s="528">
        <v>0</v>
      </c>
      <c r="BF630" s="528">
        <v>0</v>
      </c>
      <c r="BG630" s="528">
        <v>0</v>
      </c>
      <c r="BH630" s="528">
        <v>0</v>
      </c>
      <c r="BI630" s="528">
        <v>0</v>
      </c>
      <c r="BJ630" s="528">
        <v>0</v>
      </c>
      <c r="BK630" s="528">
        <v>0</v>
      </c>
      <c r="BL630" s="528">
        <v>0</v>
      </c>
      <c r="BM630" s="528">
        <v>0</v>
      </c>
      <c r="BN630" s="528">
        <v>0</v>
      </c>
      <c r="BO630" s="528">
        <v>0</v>
      </c>
      <c r="BP630" s="528">
        <v>0</v>
      </c>
      <c r="BQ630" s="528">
        <v>0</v>
      </c>
      <c r="BR630" s="528">
        <v>0</v>
      </c>
      <c r="BS630" s="528">
        <v>0</v>
      </c>
      <c r="BT630" s="528">
        <v>0</v>
      </c>
      <c r="BU630" s="528">
        <v>0</v>
      </c>
      <c r="BV630" s="528">
        <v>0</v>
      </c>
      <c r="BW630" s="528">
        <v>0</v>
      </c>
      <c r="BX630" s="528">
        <v>0</v>
      </c>
      <c r="BY630" s="528">
        <v>0</v>
      </c>
    </row>
    <row r="631" spans="2:77" x14ac:dyDescent="0.3">
      <c r="B631" s="82"/>
      <c r="C631" s="85"/>
      <c r="E631" s="62" t="s">
        <v>71</v>
      </c>
      <c r="F631" s="63"/>
      <c r="G631" s="63"/>
      <c r="I631" s="501">
        <f t="shared" ref="I631:N631" si="812">I567/I$571</f>
        <v>57416.741735231131</v>
      </c>
      <c r="J631" s="501">
        <f t="shared" si="812"/>
        <v>68892.379547523495</v>
      </c>
      <c r="K631" s="501">
        <f t="shared" si="812"/>
        <v>71882.581747774748</v>
      </c>
      <c r="L631" s="501">
        <f t="shared" si="812"/>
        <v>74854.688732062365</v>
      </c>
      <c r="M631" s="501">
        <f t="shared" si="812"/>
        <v>77735.73314922546</v>
      </c>
      <c r="N631" s="501">
        <f t="shared" si="812"/>
        <v>80677.069058168621</v>
      </c>
      <c r="O631" s="67"/>
      <c r="P631" s="55">
        <f t="shared" si="803"/>
        <v>7.0390666970921778E-2</v>
      </c>
      <c r="R631" s="501">
        <f t="shared" ref="R631:BY631" si="813">R567/R$571</f>
        <v>5741.0316289602924</v>
      </c>
      <c r="S631" s="501">
        <f t="shared" si="813"/>
        <v>5741.0316289602924</v>
      </c>
      <c r="T631" s="501">
        <f t="shared" si="813"/>
        <v>5741.0316289602924</v>
      </c>
      <c r="U631" s="501">
        <f t="shared" si="813"/>
        <v>5741.0316289602924</v>
      </c>
      <c r="V631" s="501">
        <f t="shared" si="813"/>
        <v>5741.0316289602924</v>
      </c>
      <c r="W631" s="501">
        <f t="shared" si="813"/>
        <v>5741.0316289602924</v>
      </c>
      <c r="X631" s="501">
        <f t="shared" si="813"/>
        <v>5741.0316289602924</v>
      </c>
      <c r="Y631" s="501">
        <f t="shared" si="813"/>
        <v>5741.0316289602924</v>
      </c>
      <c r="Z631" s="501">
        <f t="shared" si="813"/>
        <v>5741.0316289602924</v>
      </c>
      <c r="AA631" s="501">
        <f t="shared" si="813"/>
        <v>5741.0316289602924</v>
      </c>
      <c r="AB631" s="501">
        <f t="shared" si="813"/>
        <v>5741.0316289602924</v>
      </c>
      <c r="AC631" s="501">
        <f t="shared" si="813"/>
        <v>5741.0316289602924</v>
      </c>
      <c r="AD631" s="501">
        <f t="shared" si="813"/>
        <v>5990.215145647895</v>
      </c>
      <c r="AE631" s="501">
        <f t="shared" si="813"/>
        <v>5990.215145647895</v>
      </c>
      <c r="AF631" s="501">
        <f t="shared" si="813"/>
        <v>5990.215145647895</v>
      </c>
      <c r="AG631" s="501">
        <f t="shared" si="813"/>
        <v>5990.215145647895</v>
      </c>
      <c r="AH631" s="501">
        <f t="shared" si="813"/>
        <v>5990.215145647895</v>
      </c>
      <c r="AI631" s="501">
        <f t="shared" si="813"/>
        <v>5990.215145647895</v>
      </c>
      <c r="AJ631" s="501">
        <f t="shared" si="813"/>
        <v>5990.215145647895</v>
      </c>
      <c r="AK631" s="501">
        <f t="shared" si="813"/>
        <v>5990.215145647895</v>
      </c>
      <c r="AL631" s="501">
        <f t="shared" si="813"/>
        <v>5990.215145647895</v>
      </c>
      <c r="AM631" s="501">
        <f t="shared" si="813"/>
        <v>5990.215145647895</v>
      </c>
      <c r="AN631" s="535">
        <f t="shared" si="813"/>
        <v>5990.215145647895</v>
      </c>
      <c r="AO631" s="535">
        <f t="shared" si="813"/>
        <v>5990.215145647895</v>
      </c>
      <c r="AP631" s="535">
        <f t="shared" si="813"/>
        <v>6237.8907276718674</v>
      </c>
      <c r="AQ631" s="535">
        <f t="shared" si="813"/>
        <v>6237.8907276718674</v>
      </c>
      <c r="AR631" s="535">
        <f t="shared" si="813"/>
        <v>6237.8907276718674</v>
      </c>
      <c r="AS631" s="535">
        <f t="shared" si="813"/>
        <v>6237.8907276718674</v>
      </c>
      <c r="AT631" s="535">
        <f t="shared" si="813"/>
        <v>6237.8907276718674</v>
      </c>
      <c r="AU631" s="535">
        <f t="shared" si="813"/>
        <v>6237.8907276718674</v>
      </c>
      <c r="AV631" s="535">
        <f t="shared" si="813"/>
        <v>6237.8907276718674</v>
      </c>
      <c r="AW631" s="535">
        <f t="shared" si="813"/>
        <v>6237.8907276718674</v>
      </c>
      <c r="AX631" s="535">
        <f t="shared" si="813"/>
        <v>6237.8907276718674</v>
      </c>
      <c r="AY631" s="535">
        <f t="shared" si="813"/>
        <v>6237.8907276718674</v>
      </c>
      <c r="AZ631" s="535">
        <f t="shared" si="813"/>
        <v>6237.8907276718674</v>
      </c>
      <c r="BA631" s="535">
        <f t="shared" si="813"/>
        <v>6237.8907276718674</v>
      </c>
      <c r="BB631" s="535">
        <f t="shared" si="813"/>
        <v>6477.9777624354565</v>
      </c>
      <c r="BC631" s="535">
        <f t="shared" si="813"/>
        <v>6477.9777624354565</v>
      </c>
      <c r="BD631" s="535">
        <f t="shared" si="813"/>
        <v>6477.9777624354565</v>
      </c>
      <c r="BE631" s="535">
        <f t="shared" si="813"/>
        <v>6477.9777624354565</v>
      </c>
      <c r="BF631" s="535">
        <f t="shared" si="813"/>
        <v>6477.9777624354565</v>
      </c>
      <c r="BG631" s="535">
        <f t="shared" si="813"/>
        <v>6477.9777624354565</v>
      </c>
      <c r="BH631" s="535">
        <f t="shared" si="813"/>
        <v>6477.9777624354565</v>
      </c>
      <c r="BI631" s="535">
        <f t="shared" si="813"/>
        <v>6477.9777624354565</v>
      </c>
      <c r="BJ631" s="535">
        <f t="shared" si="813"/>
        <v>6477.9777624354565</v>
      </c>
      <c r="BK631" s="535">
        <f t="shared" si="813"/>
        <v>6477.9777624354565</v>
      </c>
      <c r="BL631" s="535">
        <f t="shared" si="813"/>
        <v>6477.9777624354565</v>
      </c>
      <c r="BM631" s="535">
        <f t="shared" si="813"/>
        <v>6477.9777624354565</v>
      </c>
      <c r="BN631" s="535">
        <f t="shared" si="813"/>
        <v>6723.0890881807218</v>
      </c>
      <c r="BO631" s="535">
        <f t="shared" si="813"/>
        <v>6723.0890881807218</v>
      </c>
      <c r="BP631" s="535">
        <f t="shared" si="813"/>
        <v>6723.0890881807218</v>
      </c>
      <c r="BQ631" s="535">
        <f t="shared" si="813"/>
        <v>6723.0890881807218</v>
      </c>
      <c r="BR631" s="535">
        <f t="shared" si="813"/>
        <v>6723.0890881807218</v>
      </c>
      <c r="BS631" s="535">
        <f t="shared" si="813"/>
        <v>6723.0890881807218</v>
      </c>
      <c r="BT631" s="535">
        <f t="shared" si="813"/>
        <v>6723.0890881807218</v>
      </c>
      <c r="BU631" s="535">
        <f t="shared" si="813"/>
        <v>6723.0890881807218</v>
      </c>
      <c r="BV631" s="535">
        <f t="shared" si="813"/>
        <v>6723.0890881807218</v>
      </c>
      <c r="BW631" s="535">
        <f t="shared" si="813"/>
        <v>6723.0890881807218</v>
      </c>
      <c r="BX631" s="535">
        <f t="shared" si="813"/>
        <v>6723.0890881807218</v>
      </c>
      <c r="BY631" s="535">
        <f t="shared" si="813"/>
        <v>6723.0890881807218</v>
      </c>
    </row>
    <row r="632" spans="2:77" x14ac:dyDescent="0.3">
      <c r="B632" s="82"/>
      <c r="C632" s="85"/>
      <c r="AN632" s="537"/>
      <c r="AO632" s="537"/>
      <c r="AP632" s="537"/>
      <c r="AQ632" s="537"/>
      <c r="AR632" s="537"/>
      <c r="AS632" s="537"/>
      <c r="AT632" s="537"/>
      <c r="AU632" s="537"/>
      <c r="AV632" s="537"/>
      <c r="AW632" s="537"/>
      <c r="AX632" s="537"/>
      <c r="AY632" s="537"/>
      <c r="AZ632" s="537"/>
      <c r="BA632" s="537"/>
      <c r="BB632" s="537"/>
      <c r="BC632" s="537"/>
      <c r="BD632" s="537"/>
      <c r="BE632" s="537"/>
      <c r="BF632" s="537"/>
      <c r="BG632" s="537"/>
      <c r="BH632" s="537"/>
      <c r="BI632" s="537"/>
      <c r="BJ632" s="537"/>
      <c r="BK632" s="537"/>
      <c r="BL632" s="537"/>
      <c r="BM632" s="537"/>
      <c r="BN632" s="537"/>
      <c r="BO632" s="537"/>
      <c r="BP632" s="537"/>
      <c r="BQ632" s="537"/>
      <c r="BR632" s="537"/>
      <c r="BS632" s="537"/>
      <c r="BT632" s="537"/>
      <c r="BU632" s="537"/>
      <c r="BV632" s="537"/>
      <c r="BW632" s="537"/>
      <c r="BX632" s="537"/>
      <c r="BY632" s="537"/>
    </row>
    <row r="633" spans="2:77" x14ac:dyDescent="0.3">
      <c r="B633" s="82"/>
      <c r="C633" s="85"/>
      <c r="I633" s="23"/>
      <c r="J633" s="23"/>
      <c r="K633" s="23"/>
      <c r="L633" s="23"/>
      <c r="M633" s="23"/>
      <c r="N633" s="23"/>
      <c r="O633" s="23"/>
      <c r="P633" s="86"/>
      <c r="R633" s="23"/>
      <c r="S633" s="23"/>
      <c r="T633" s="23"/>
      <c r="U633" s="23"/>
      <c r="V633" s="23"/>
      <c r="W633" s="23"/>
      <c r="X633" s="23"/>
      <c r="Y633" s="23"/>
      <c r="Z633" s="23"/>
      <c r="AA633" s="23"/>
      <c r="AB633" s="23"/>
      <c r="AC633" s="23"/>
      <c r="AD633" s="23"/>
      <c r="AE633" s="23"/>
      <c r="AF633" s="23"/>
      <c r="AG633" s="23"/>
      <c r="AH633" s="23"/>
      <c r="AI633" s="23"/>
      <c r="AJ633" s="23"/>
      <c r="AK633" s="23"/>
      <c r="AL633" s="23"/>
      <c r="AM633" s="23"/>
      <c r="AN633" s="546"/>
      <c r="AO633" s="546"/>
      <c r="AP633" s="546"/>
      <c r="AQ633" s="546"/>
      <c r="AR633" s="546"/>
      <c r="AS633" s="546"/>
      <c r="AT633" s="546"/>
      <c r="AU633" s="546"/>
      <c r="AV633" s="546"/>
      <c r="AW633" s="546"/>
      <c r="AX633" s="546"/>
      <c r="AY633" s="546"/>
      <c r="AZ633" s="546"/>
      <c r="BA633" s="546"/>
      <c r="BB633" s="546"/>
      <c r="BC633" s="546"/>
      <c r="BD633" s="546"/>
      <c r="BE633" s="546"/>
      <c r="BF633" s="546"/>
      <c r="BG633" s="546"/>
      <c r="BH633" s="546"/>
      <c r="BI633" s="546"/>
      <c r="BJ633" s="546"/>
      <c r="BK633" s="546"/>
      <c r="BL633" s="546"/>
      <c r="BM633" s="546"/>
      <c r="BN633" s="546"/>
      <c r="BO633" s="546"/>
      <c r="BP633" s="546"/>
      <c r="BQ633" s="546"/>
      <c r="BR633" s="546"/>
      <c r="BS633" s="546"/>
      <c r="BT633" s="546"/>
      <c r="BU633" s="546"/>
      <c r="BV633" s="546"/>
      <c r="BW633" s="546"/>
      <c r="BX633" s="546"/>
      <c r="BY633" s="546"/>
    </row>
    <row r="634" spans="2:77" x14ac:dyDescent="0.3">
      <c r="B634" s="82"/>
      <c r="C634" s="85"/>
      <c r="AN634" s="537"/>
      <c r="AO634" s="537"/>
      <c r="AP634" s="537"/>
      <c r="AQ634" s="537"/>
      <c r="AR634" s="537"/>
      <c r="AS634" s="537"/>
      <c r="AT634" s="537"/>
      <c r="AU634" s="537"/>
      <c r="AV634" s="537"/>
      <c r="AW634" s="537"/>
      <c r="AX634" s="537"/>
      <c r="AY634" s="537"/>
      <c r="AZ634" s="537"/>
      <c r="BA634" s="537"/>
      <c r="BB634" s="537"/>
      <c r="BC634" s="537"/>
      <c r="BD634" s="537"/>
      <c r="BE634" s="537"/>
      <c r="BF634" s="537"/>
      <c r="BG634" s="537"/>
      <c r="BH634" s="537"/>
      <c r="BI634" s="537"/>
      <c r="BJ634" s="537"/>
      <c r="BK634" s="537"/>
      <c r="BL634" s="537"/>
      <c r="BM634" s="537"/>
      <c r="BN634" s="537"/>
      <c r="BO634" s="537"/>
      <c r="BP634" s="537"/>
      <c r="BQ634" s="537"/>
      <c r="BR634" s="537"/>
      <c r="BS634" s="537"/>
      <c r="BT634" s="537"/>
      <c r="BU634" s="537"/>
      <c r="BV634" s="537"/>
      <c r="BW634" s="537"/>
      <c r="BX634" s="537"/>
      <c r="BY634" s="537"/>
    </row>
    <row r="635" spans="2:77" x14ac:dyDescent="0.3">
      <c r="B635" s="82"/>
      <c r="C635" s="85"/>
      <c r="AN635" s="537"/>
      <c r="AO635" s="537"/>
      <c r="AP635" s="537"/>
      <c r="AQ635" s="537"/>
      <c r="AR635" s="537"/>
      <c r="AS635" s="537"/>
      <c r="AT635" s="537"/>
      <c r="AU635" s="537"/>
      <c r="AV635" s="537"/>
      <c r="AW635" s="537"/>
      <c r="AX635" s="537"/>
      <c r="AY635" s="537"/>
      <c r="AZ635" s="537"/>
      <c r="BA635" s="537"/>
      <c r="BB635" s="537"/>
      <c r="BC635" s="537"/>
      <c r="BD635" s="537"/>
      <c r="BE635" s="537"/>
      <c r="BF635" s="537"/>
      <c r="BG635" s="537"/>
      <c r="BH635" s="537"/>
      <c r="BI635" s="537"/>
      <c r="BJ635" s="537"/>
      <c r="BK635" s="537"/>
      <c r="BL635" s="537"/>
      <c r="BM635" s="537"/>
      <c r="BN635" s="537"/>
      <c r="BO635" s="537"/>
      <c r="BP635" s="537"/>
      <c r="BQ635" s="537"/>
      <c r="BR635" s="537"/>
      <c r="BS635" s="537"/>
      <c r="BT635" s="537"/>
      <c r="BU635" s="537"/>
      <c r="BV635" s="537"/>
      <c r="BW635" s="537"/>
      <c r="BX635" s="537"/>
      <c r="BY635" s="537"/>
    </row>
  </sheetData>
  <pageMargins left="0.7" right="0.7" top="0.75" bottom="0.75" header="0.3" footer="0.3"/>
  <pageSetup paperSize="9" orientation="portrait" r:id="rId1"/>
  <ignoredErrors>
    <ignoredError sqref="R515:AK515" formula="1"/>
  </ignoredErrors>
  <extLst>
    <ext xmlns:x14="http://schemas.microsoft.com/office/spreadsheetml/2009/9/main" uri="{CCE6A557-97BC-4b89-ADB6-D9C93CAAB3DF}">
      <x14:dataValidations xmlns:xm="http://schemas.microsoft.com/office/excel/2006/main" disablePrompts="1" count="1">
        <x14:dataValidation type="list" allowBlank="1" showInputMessage="1" showErrorMessage="1" xr:uid="{D156304F-D7B3-4ED4-8E80-E26269D53BD8}">
          <x14:formula1>
            <xm:f>Portfolio_Categorisation!$C$12:$C$15</xm:f>
          </x14:formula1>
          <xm:sqref>B2</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1F5D16-27D2-4289-975E-C2C9B91401DE}">
  <sheetPr codeName="Sheet29"/>
  <dimension ref="A1:CM635"/>
  <sheetViews>
    <sheetView showGridLines="0" workbookViewId="0">
      <pane xSplit="5" ySplit="4" topLeftCell="F5" activePane="bottomRight" state="frozen"/>
      <selection activeCell="E61" sqref="E61:E72"/>
      <selection pane="topRight" activeCell="E61" sqref="E61:E72"/>
      <selection pane="bottomLeft" activeCell="E61" sqref="E61:E72"/>
      <selection pane="bottomRight" activeCell="F5" sqref="F5"/>
    </sheetView>
  </sheetViews>
  <sheetFormatPr defaultColWidth="0" defaultRowHeight="13.5" x14ac:dyDescent="0.3"/>
  <cols>
    <col min="1" max="1" width="1.6640625" style="7" customWidth="1"/>
    <col min="2" max="2" width="1.6640625" style="1" customWidth="1"/>
    <col min="3" max="3" width="3.33203125" style="7" customWidth="1"/>
    <col min="4" max="4" width="1.6640625" style="3" customWidth="1"/>
    <col min="5" max="5" width="67.6640625" style="3" bestFit="1" customWidth="1"/>
    <col min="6" max="8" width="1.6640625" style="3" customWidth="1"/>
    <col min="9" max="14" width="13.33203125" style="3" customWidth="1"/>
    <col min="15" max="15" width="1.6640625" style="3" customWidth="1"/>
    <col min="16" max="16" width="13.33203125" style="27" customWidth="1"/>
    <col min="17" max="17" width="13.6640625" style="3" customWidth="1"/>
    <col min="18" max="77" width="13.33203125" style="3" customWidth="1"/>
    <col min="78" max="80" width="1.6640625" style="3" customWidth="1"/>
    <col min="81" max="86" width="0" style="3" hidden="1" customWidth="1"/>
    <col min="87" max="90" width="13.33203125" style="3" hidden="1" customWidth="1"/>
    <col min="91" max="91" width="1.6640625" style="3" hidden="1" customWidth="1"/>
    <col min="92" max="114" width="0" style="3" hidden="1" customWidth="1"/>
    <col min="115" max="16384" width="0" style="3" hidden="1"/>
  </cols>
  <sheetData>
    <row r="1" spans="1:80" s="38" customFormat="1" x14ac:dyDescent="0.3">
      <c r="A1" s="547"/>
      <c r="B1" s="548"/>
      <c r="C1" s="521"/>
      <c r="D1" s="521"/>
      <c r="E1" s="521"/>
      <c r="F1" s="521"/>
      <c r="G1" s="521"/>
      <c r="H1" s="521"/>
      <c r="I1" s="521"/>
      <c r="J1" s="521"/>
      <c r="K1" s="521"/>
      <c r="L1" s="521"/>
      <c r="M1" s="521"/>
      <c r="N1" s="521"/>
      <c r="O1" s="521"/>
      <c r="P1" s="521"/>
      <c r="Q1" s="549"/>
      <c r="R1" s="521"/>
      <c r="S1" s="521"/>
      <c r="T1" s="521"/>
      <c r="U1" s="521"/>
      <c r="V1" s="521"/>
      <c r="W1" s="521"/>
      <c r="X1" s="521"/>
      <c r="Y1" s="521"/>
      <c r="Z1" s="521"/>
      <c r="AA1" s="521"/>
      <c r="AB1" s="521"/>
      <c r="AC1" s="521"/>
      <c r="AD1" s="521"/>
      <c r="AE1" s="521"/>
      <c r="AF1" s="521"/>
      <c r="AG1" s="521"/>
      <c r="AH1" s="521"/>
      <c r="AI1" s="521"/>
      <c r="AJ1" s="521"/>
      <c r="AK1" s="521"/>
      <c r="AL1" s="521"/>
      <c r="AM1" s="521"/>
      <c r="AN1" s="521"/>
      <c r="AO1" s="521"/>
      <c r="AP1" s="521"/>
      <c r="AQ1" s="521"/>
      <c r="AR1" s="521"/>
      <c r="AS1" s="521"/>
      <c r="AT1" s="521"/>
      <c r="AU1" s="521"/>
      <c r="AV1" s="521"/>
      <c r="AW1" s="521"/>
      <c r="AX1" s="521"/>
      <c r="AY1" s="521"/>
      <c r="AZ1" s="521"/>
      <c r="BA1" s="521"/>
      <c r="BB1" s="521"/>
      <c r="BC1" s="521"/>
      <c r="BD1" s="521"/>
      <c r="BE1" s="521"/>
      <c r="BF1" s="521"/>
      <c r="BG1" s="521"/>
      <c r="BH1" s="521"/>
      <c r="BI1" s="521"/>
      <c r="BJ1" s="521"/>
      <c r="BK1" s="521"/>
      <c r="BL1" s="521"/>
      <c r="BM1" s="521"/>
      <c r="BN1" s="521"/>
      <c r="BO1" s="521"/>
      <c r="BP1" s="521"/>
      <c r="BQ1" s="521"/>
      <c r="BR1" s="521"/>
      <c r="BS1" s="521"/>
      <c r="BT1" s="521"/>
      <c r="BU1" s="521"/>
      <c r="BV1" s="521"/>
      <c r="BW1" s="521"/>
      <c r="BX1" s="521"/>
      <c r="BY1" s="521"/>
      <c r="BZ1" s="549"/>
      <c r="CA1" s="549"/>
      <c r="CB1" s="549"/>
    </row>
    <row r="2" spans="1:80" x14ac:dyDescent="0.3">
      <c r="A2" s="537"/>
      <c r="B2" s="550" t="s">
        <v>398</v>
      </c>
      <c r="C2" s="551"/>
      <c r="D2" s="537"/>
      <c r="E2" s="537"/>
      <c r="F2" s="537"/>
      <c r="G2" s="537"/>
      <c r="H2" s="537"/>
      <c r="I2" s="522">
        <v>2</v>
      </c>
      <c r="J2" s="522">
        <v>3</v>
      </c>
      <c r="K2" s="522">
        <v>4</v>
      </c>
      <c r="L2" s="522">
        <v>5</v>
      </c>
      <c r="M2" s="522">
        <v>6</v>
      </c>
      <c r="N2" s="522">
        <v>7</v>
      </c>
      <c r="O2" s="537"/>
      <c r="P2" s="547"/>
      <c r="Q2" s="537"/>
      <c r="R2" s="522" t="str" cm="1">
        <f t="array" ref="R2">INDEX(Index_Tab!$G$4:$K$4,MATCH(1,(R$4&gt;=Index_Tab!$G$5:$K$5)*(R$4&lt;=Index_Tab!$G$17:$K$17),0))</f>
        <v>FY27E</v>
      </c>
      <c r="S2" s="522" t="str" cm="1">
        <f t="array" ref="S2">INDEX(Index_Tab!$G$4:$K$4,MATCH(1,(S$4&gt;=Index_Tab!$G$5:$K$5)*(S$4&lt;=Index_Tab!$G$17:$K$17),0))</f>
        <v>FY27E</v>
      </c>
      <c r="T2" s="522" t="str" cm="1">
        <f t="array" ref="T2">INDEX(Index_Tab!$G$4:$K$4,MATCH(1,(T$4&gt;=Index_Tab!$G$5:$K$5)*(T$4&lt;=Index_Tab!$G$17:$K$17),0))</f>
        <v>FY27E</v>
      </c>
      <c r="U2" s="522" t="str" cm="1">
        <f t="array" ref="U2">INDEX(Index_Tab!$G$4:$K$4,MATCH(1,(U$4&gt;=Index_Tab!$G$5:$K$5)*(U$4&lt;=Index_Tab!$G$17:$K$17),0))</f>
        <v>FY27E</v>
      </c>
      <c r="V2" s="522" t="str" cm="1">
        <f t="array" ref="V2">INDEX(Index_Tab!$G$4:$K$4,MATCH(1,(V$4&gt;=Index_Tab!$G$5:$K$5)*(V$4&lt;=Index_Tab!$G$17:$K$17),0))</f>
        <v>FY27E</v>
      </c>
      <c r="W2" s="522" t="str" cm="1">
        <f t="array" ref="W2">INDEX(Index_Tab!$G$4:$K$4,MATCH(1,(W$4&gt;=Index_Tab!$G$5:$K$5)*(W$4&lt;=Index_Tab!$G$17:$K$17),0))</f>
        <v>FY27E</v>
      </c>
      <c r="X2" s="522" t="str" cm="1">
        <f t="array" ref="X2">INDEX(Index_Tab!$G$4:$K$4,MATCH(1,(X$4&gt;=Index_Tab!$G$5:$K$5)*(X$4&lt;=Index_Tab!$G$17:$K$17),0))</f>
        <v>FY27E</v>
      </c>
      <c r="Y2" s="522" t="str" cm="1">
        <f t="array" ref="Y2">INDEX(Index_Tab!$G$4:$K$4,MATCH(1,(Y$4&gt;=Index_Tab!$G$5:$K$5)*(Y$4&lt;=Index_Tab!$G$17:$K$17),0))</f>
        <v>FY27E</v>
      </c>
      <c r="Z2" s="522" t="str" cm="1">
        <f t="array" ref="Z2">INDEX(Index_Tab!$G$4:$K$4,MATCH(1,(Z$4&gt;=Index_Tab!$G$5:$K$5)*(Z$4&lt;=Index_Tab!$G$17:$K$17),0))</f>
        <v>FY27E</v>
      </c>
      <c r="AA2" s="522" t="str" cm="1">
        <f t="array" ref="AA2">INDEX(Index_Tab!$G$4:$K$4,MATCH(1,(AA$4&gt;=Index_Tab!$G$5:$K$5)*(AA$4&lt;=Index_Tab!$G$17:$K$17),0))</f>
        <v>FY27E</v>
      </c>
      <c r="AB2" s="522" t="str" cm="1">
        <f t="array" ref="AB2">INDEX(Index_Tab!$G$4:$K$4,MATCH(1,(AB$4&gt;=Index_Tab!$G$5:$K$5)*(AB$4&lt;=Index_Tab!$G$17:$K$17),0))</f>
        <v>FY27E</v>
      </c>
      <c r="AC2" s="522" t="str" cm="1">
        <f t="array" ref="AC2">INDEX(Index_Tab!$G$4:$K$4,MATCH(1,(AC$4&gt;=Index_Tab!$G$5:$K$5)*(AC$4&lt;=Index_Tab!$G$17:$K$17),0))</f>
        <v>FY27E</v>
      </c>
      <c r="AD2" s="522" t="str" cm="1">
        <f t="array" ref="AD2">INDEX(Index_Tab!$G$4:$K$4,MATCH(1,(AD$4&gt;=Index_Tab!$G$5:$K$5)*(AD$4&lt;=Index_Tab!$G$17:$K$17),0))</f>
        <v>FY28E</v>
      </c>
      <c r="AE2" s="522" t="str" cm="1">
        <f t="array" ref="AE2">INDEX(Index_Tab!$G$4:$K$4,MATCH(1,(AE$4&gt;=Index_Tab!$G$5:$K$5)*(AE$4&lt;=Index_Tab!$G$17:$K$17),0))</f>
        <v>FY28E</v>
      </c>
      <c r="AF2" s="522" t="str" cm="1">
        <f t="array" ref="AF2">INDEX(Index_Tab!$G$4:$K$4,MATCH(1,(AF$4&gt;=Index_Tab!$G$5:$K$5)*(AF$4&lt;=Index_Tab!$G$17:$K$17),0))</f>
        <v>FY28E</v>
      </c>
      <c r="AG2" s="522" t="str" cm="1">
        <f t="array" ref="AG2">INDEX(Index_Tab!$G$4:$K$4,MATCH(1,(AG$4&gt;=Index_Tab!$G$5:$K$5)*(AG$4&lt;=Index_Tab!$G$17:$K$17),0))</f>
        <v>FY28E</v>
      </c>
      <c r="AH2" s="522" t="str" cm="1">
        <f t="array" ref="AH2">INDEX(Index_Tab!$G$4:$K$4,MATCH(1,(AH$4&gt;=Index_Tab!$G$5:$K$5)*(AH$4&lt;=Index_Tab!$G$17:$K$17),0))</f>
        <v>FY28E</v>
      </c>
      <c r="AI2" s="522" t="str" cm="1">
        <f t="array" ref="AI2">INDEX(Index_Tab!$G$4:$K$4,MATCH(1,(AI$4&gt;=Index_Tab!$G$5:$K$5)*(AI$4&lt;=Index_Tab!$G$17:$K$17),0))</f>
        <v>FY28E</v>
      </c>
      <c r="AJ2" s="522" t="str" cm="1">
        <f t="array" ref="AJ2">INDEX(Index_Tab!$G$4:$K$4,MATCH(1,(AJ$4&gt;=Index_Tab!$G$5:$K$5)*(AJ$4&lt;=Index_Tab!$G$17:$K$17),0))</f>
        <v>FY28E</v>
      </c>
      <c r="AK2" s="522" t="str" cm="1">
        <f t="array" ref="AK2">INDEX(Index_Tab!$G$4:$K$4,MATCH(1,(AK$4&gt;=Index_Tab!$G$5:$K$5)*(AK$4&lt;=Index_Tab!$G$17:$K$17),0))</f>
        <v>FY28E</v>
      </c>
      <c r="AL2" s="522" t="str" cm="1">
        <f t="array" ref="AL2">INDEX(Index_Tab!$G$4:$K$4,MATCH(1,(AL$4&gt;=Index_Tab!$G$5:$K$5)*(AL$4&lt;=Index_Tab!$G$17:$K$17),0))</f>
        <v>FY28E</v>
      </c>
      <c r="AM2" s="522" t="str" cm="1">
        <f t="array" ref="AM2">INDEX(Index_Tab!$G$4:$K$4,MATCH(1,(AM$4&gt;=Index_Tab!$G$5:$K$5)*(AM$4&lt;=Index_Tab!$G$17:$K$17),0))</f>
        <v>FY28E</v>
      </c>
      <c r="AN2" s="522" t="str" cm="1">
        <f t="array" ref="AN2">INDEX(Index_Tab!$G$4:$K$4,MATCH(1,(AN$4&gt;=Index_Tab!$G$5:$K$5)*(AN$4&lt;=Index_Tab!$G$17:$K$17),0))</f>
        <v>FY28E</v>
      </c>
      <c r="AO2" s="522" t="str" cm="1">
        <f t="array" ref="AO2">INDEX(Index_Tab!$G$4:$K$4,MATCH(1,(AO$4&gt;=Index_Tab!$G$5:$K$5)*(AO$4&lt;=Index_Tab!$G$17:$K$17),0))</f>
        <v>FY28E</v>
      </c>
      <c r="AP2" s="522" t="str" cm="1">
        <f t="array" ref="AP2">INDEX(Index_Tab!$G$4:$K$4,MATCH(1,(AP$4&gt;=Index_Tab!$G$5:$K$5)*(AP$4&lt;=Index_Tab!$G$17:$K$17),0))</f>
        <v>FY29E</v>
      </c>
      <c r="AQ2" s="522" t="str" cm="1">
        <f t="array" ref="AQ2">INDEX(Index_Tab!$G$4:$K$4,MATCH(1,(AQ$4&gt;=Index_Tab!$G$5:$K$5)*(AQ$4&lt;=Index_Tab!$G$17:$K$17),0))</f>
        <v>FY29E</v>
      </c>
      <c r="AR2" s="522" t="str" cm="1">
        <f t="array" ref="AR2">INDEX(Index_Tab!$G$4:$K$4,MATCH(1,(AR$4&gt;=Index_Tab!$G$5:$K$5)*(AR$4&lt;=Index_Tab!$G$17:$K$17),0))</f>
        <v>FY29E</v>
      </c>
      <c r="AS2" s="522" t="str" cm="1">
        <f t="array" ref="AS2">INDEX(Index_Tab!$G$4:$K$4,MATCH(1,(AS$4&gt;=Index_Tab!$G$5:$K$5)*(AS$4&lt;=Index_Tab!$G$17:$K$17),0))</f>
        <v>FY29E</v>
      </c>
      <c r="AT2" s="522" t="str" cm="1">
        <f t="array" ref="AT2">INDEX(Index_Tab!$G$4:$K$4,MATCH(1,(AT$4&gt;=Index_Tab!$G$5:$K$5)*(AT$4&lt;=Index_Tab!$G$17:$K$17),0))</f>
        <v>FY29E</v>
      </c>
      <c r="AU2" s="522" t="str" cm="1">
        <f t="array" ref="AU2">INDEX(Index_Tab!$G$4:$K$4,MATCH(1,(AU$4&gt;=Index_Tab!$G$5:$K$5)*(AU$4&lt;=Index_Tab!$G$17:$K$17),0))</f>
        <v>FY29E</v>
      </c>
      <c r="AV2" s="522" t="str" cm="1">
        <f t="array" ref="AV2">INDEX(Index_Tab!$G$4:$K$4,MATCH(1,(AV$4&gt;=Index_Tab!$G$5:$K$5)*(AV$4&lt;=Index_Tab!$G$17:$K$17),0))</f>
        <v>FY29E</v>
      </c>
      <c r="AW2" s="522" t="str" cm="1">
        <f t="array" ref="AW2">INDEX(Index_Tab!$G$4:$K$4,MATCH(1,(AW$4&gt;=Index_Tab!$G$5:$K$5)*(AW$4&lt;=Index_Tab!$G$17:$K$17),0))</f>
        <v>FY29E</v>
      </c>
      <c r="AX2" s="522" t="str" cm="1">
        <f t="array" ref="AX2">INDEX(Index_Tab!$G$4:$K$4,MATCH(1,(AX$4&gt;=Index_Tab!$G$5:$K$5)*(AX$4&lt;=Index_Tab!$G$17:$K$17),0))</f>
        <v>FY29E</v>
      </c>
      <c r="AY2" s="522" t="str" cm="1">
        <f t="array" ref="AY2">INDEX(Index_Tab!$G$4:$K$4,MATCH(1,(AY$4&gt;=Index_Tab!$G$5:$K$5)*(AY$4&lt;=Index_Tab!$G$17:$K$17),0))</f>
        <v>FY29E</v>
      </c>
      <c r="AZ2" s="522" t="str" cm="1">
        <f t="array" ref="AZ2">INDEX(Index_Tab!$G$4:$K$4,MATCH(1,(AZ$4&gt;=Index_Tab!$G$5:$K$5)*(AZ$4&lt;=Index_Tab!$G$17:$K$17),0))</f>
        <v>FY29E</v>
      </c>
      <c r="BA2" s="522" t="str" cm="1">
        <f t="array" ref="BA2">INDEX(Index_Tab!$G$4:$K$4,MATCH(1,(BA$4&gt;=Index_Tab!$G$5:$K$5)*(BA$4&lt;=Index_Tab!$G$17:$K$17),0))</f>
        <v>FY29E</v>
      </c>
      <c r="BB2" s="522" t="str" cm="1">
        <f t="array" ref="BB2">INDEX(Index_Tab!$G$4:$K$4,MATCH(1,(BB$4&gt;=Index_Tab!$G$5:$K$5)*(BB$4&lt;=Index_Tab!$G$17:$K$17),0))</f>
        <v>FY30E</v>
      </c>
      <c r="BC2" s="522" t="str" cm="1">
        <f t="array" ref="BC2">INDEX(Index_Tab!$G$4:$K$4,MATCH(1,(BC$4&gt;=Index_Tab!$G$5:$K$5)*(BC$4&lt;=Index_Tab!$G$17:$K$17),0))</f>
        <v>FY30E</v>
      </c>
      <c r="BD2" s="522" t="str" cm="1">
        <f t="array" ref="BD2">INDEX(Index_Tab!$G$4:$K$4,MATCH(1,(BD$4&gt;=Index_Tab!$G$5:$K$5)*(BD$4&lt;=Index_Tab!$G$17:$K$17),0))</f>
        <v>FY30E</v>
      </c>
      <c r="BE2" s="522" t="str" cm="1">
        <f t="array" ref="BE2">INDEX(Index_Tab!$G$4:$K$4,MATCH(1,(BE$4&gt;=Index_Tab!$G$5:$K$5)*(BE$4&lt;=Index_Tab!$G$17:$K$17),0))</f>
        <v>FY30E</v>
      </c>
      <c r="BF2" s="522" t="str" cm="1">
        <f t="array" ref="BF2">INDEX(Index_Tab!$G$4:$K$4,MATCH(1,(BF$4&gt;=Index_Tab!$G$5:$K$5)*(BF$4&lt;=Index_Tab!$G$17:$K$17),0))</f>
        <v>FY30E</v>
      </c>
      <c r="BG2" s="522" t="str" cm="1">
        <f t="array" ref="BG2">INDEX(Index_Tab!$G$4:$K$4,MATCH(1,(BG$4&gt;=Index_Tab!$G$5:$K$5)*(BG$4&lt;=Index_Tab!$G$17:$K$17),0))</f>
        <v>FY30E</v>
      </c>
      <c r="BH2" s="522" t="str" cm="1">
        <f t="array" ref="BH2">INDEX(Index_Tab!$G$4:$K$4,MATCH(1,(BH$4&gt;=Index_Tab!$G$5:$K$5)*(BH$4&lt;=Index_Tab!$G$17:$K$17),0))</f>
        <v>FY30E</v>
      </c>
      <c r="BI2" s="522" t="str" cm="1">
        <f t="array" ref="BI2">INDEX(Index_Tab!$G$4:$K$4,MATCH(1,(BI$4&gt;=Index_Tab!$G$5:$K$5)*(BI$4&lt;=Index_Tab!$G$17:$K$17),0))</f>
        <v>FY30E</v>
      </c>
      <c r="BJ2" s="522" t="str" cm="1">
        <f t="array" ref="BJ2">INDEX(Index_Tab!$G$4:$K$4,MATCH(1,(BJ$4&gt;=Index_Tab!$G$5:$K$5)*(BJ$4&lt;=Index_Tab!$G$17:$K$17),0))</f>
        <v>FY30E</v>
      </c>
      <c r="BK2" s="522" t="str" cm="1">
        <f t="array" ref="BK2">INDEX(Index_Tab!$G$4:$K$4,MATCH(1,(BK$4&gt;=Index_Tab!$G$5:$K$5)*(BK$4&lt;=Index_Tab!$G$17:$K$17),0))</f>
        <v>FY30E</v>
      </c>
      <c r="BL2" s="522" t="str" cm="1">
        <f t="array" ref="BL2">INDEX(Index_Tab!$G$4:$K$4,MATCH(1,(BL$4&gt;=Index_Tab!$G$5:$K$5)*(BL$4&lt;=Index_Tab!$G$17:$K$17),0))</f>
        <v>FY30E</v>
      </c>
      <c r="BM2" s="522" t="str" cm="1">
        <f t="array" ref="BM2">INDEX(Index_Tab!$G$4:$K$4,MATCH(1,(BM$4&gt;=Index_Tab!$G$5:$K$5)*(BM$4&lt;=Index_Tab!$G$17:$K$17),0))</f>
        <v>FY30E</v>
      </c>
      <c r="BN2" s="522" t="str" cm="1">
        <f t="array" ref="BN2">INDEX(Index_Tab!$G$4:$K$4,MATCH(1,(BN$4&gt;=Index_Tab!$G$5:$K$5)*(BN$4&lt;=Index_Tab!$G$17:$K$17),0))</f>
        <v>FY31E</v>
      </c>
      <c r="BO2" s="522" t="str" cm="1">
        <f t="array" ref="BO2">INDEX(Index_Tab!$G$4:$K$4,MATCH(1,(BO$4&gt;=Index_Tab!$G$5:$K$5)*(BO$4&lt;=Index_Tab!$G$17:$K$17),0))</f>
        <v>FY31E</v>
      </c>
      <c r="BP2" s="522" t="str" cm="1">
        <f t="array" ref="BP2">INDEX(Index_Tab!$G$4:$K$4,MATCH(1,(BP$4&gt;=Index_Tab!$G$5:$K$5)*(BP$4&lt;=Index_Tab!$G$17:$K$17),0))</f>
        <v>FY31E</v>
      </c>
      <c r="BQ2" s="522" t="str" cm="1">
        <f t="array" ref="BQ2">INDEX(Index_Tab!$G$4:$K$4,MATCH(1,(BQ$4&gt;=Index_Tab!$G$5:$K$5)*(BQ$4&lt;=Index_Tab!$G$17:$K$17),0))</f>
        <v>FY31E</v>
      </c>
      <c r="BR2" s="522" t="str" cm="1">
        <f t="array" ref="BR2">INDEX(Index_Tab!$G$4:$K$4,MATCH(1,(BR$4&gt;=Index_Tab!$G$5:$K$5)*(BR$4&lt;=Index_Tab!$G$17:$K$17),0))</f>
        <v>FY31E</v>
      </c>
      <c r="BS2" s="522" t="str" cm="1">
        <f t="array" ref="BS2">INDEX(Index_Tab!$G$4:$K$4,MATCH(1,(BS$4&gt;=Index_Tab!$G$5:$K$5)*(BS$4&lt;=Index_Tab!$G$17:$K$17),0))</f>
        <v>FY31E</v>
      </c>
      <c r="BT2" s="522" t="str" cm="1">
        <f t="array" ref="BT2">INDEX(Index_Tab!$G$4:$K$4,MATCH(1,(BT$4&gt;=Index_Tab!$G$5:$K$5)*(BT$4&lt;=Index_Tab!$G$17:$K$17),0))</f>
        <v>FY31E</v>
      </c>
      <c r="BU2" s="522" t="str" cm="1">
        <f t="array" ref="BU2">INDEX(Index_Tab!$G$4:$K$4,MATCH(1,(BU$4&gt;=Index_Tab!$G$5:$K$5)*(BU$4&lt;=Index_Tab!$G$17:$K$17),0))</f>
        <v>FY31E</v>
      </c>
      <c r="BV2" s="522" t="str" cm="1">
        <f t="array" ref="BV2">INDEX(Index_Tab!$G$4:$K$4,MATCH(1,(BV$4&gt;=Index_Tab!$G$5:$K$5)*(BV$4&lt;=Index_Tab!$G$17:$K$17),0))</f>
        <v>FY31E</v>
      </c>
      <c r="BW2" s="522" t="str" cm="1">
        <f t="array" ref="BW2">INDEX(Index_Tab!$G$4:$K$4,MATCH(1,(BW$4&gt;=Index_Tab!$G$5:$K$5)*(BW$4&lt;=Index_Tab!$G$17:$K$17),0))</f>
        <v>FY31E</v>
      </c>
      <c r="BX2" s="522" t="str" cm="1">
        <f t="array" ref="BX2">INDEX(Index_Tab!$G$4:$K$4,MATCH(1,(BX$4&gt;=Index_Tab!$G$5:$K$5)*(BX$4&lt;=Index_Tab!$G$17:$K$17),0))</f>
        <v>FY31E</v>
      </c>
      <c r="BY2" s="522" t="str" cm="1">
        <f t="array" ref="BY2">INDEX(Index_Tab!$G$4:$K$4,MATCH(1,(BY$4&gt;=Index_Tab!$G$5:$K$5)*(BY$4&lt;=Index_Tab!$G$17:$K$17),0))</f>
        <v>FY31E</v>
      </c>
      <c r="BZ2" s="537"/>
      <c r="CA2" s="537"/>
      <c r="CB2" s="537"/>
    </row>
    <row r="3" spans="1:80" x14ac:dyDescent="0.3">
      <c r="A3" s="537"/>
      <c r="B3" s="552" t="str">
        <f>INDEX(Portfolio_Categorisation!$E$6:$E$10,MATCH($B$2,Portfolio_Categorisation!$C$6:$C$10,0))</f>
        <v>Portfolio</v>
      </c>
      <c r="C3" s="551"/>
      <c r="D3" s="537"/>
      <c r="E3" s="553"/>
      <c r="F3" s="553"/>
      <c r="G3" s="553"/>
      <c r="H3" s="554"/>
      <c r="I3" s="555" t="str">
        <f>'Detailed Assumptions'!$E$17</f>
        <v>FY26E</v>
      </c>
      <c r="J3" s="555" t="str">
        <f>'Detailed Assumptions'!$F$17</f>
        <v>FY27E</v>
      </c>
      <c r="K3" s="555" t="str">
        <f>'Detailed Assumptions'!$G$17</f>
        <v>FY28E</v>
      </c>
      <c r="L3" s="555" t="str">
        <f>'Detailed Assumptions'!$H$17</f>
        <v>FY29E</v>
      </c>
      <c r="M3" s="555" t="str">
        <f>'Detailed Assumptions'!$I$17</f>
        <v>FY30E</v>
      </c>
      <c r="N3" s="555" t="str">
        <f>'Detailed Assumptions'!$J$17</f>
        <v>FY31E</v>
      </c>
      <c r="O3" s="556"/>
      <c r="P3" s="557" t="str">
        <f>I3&amp;"-"&amp;N3</f>
        <v>FY26E-FY31E</v>
      </c>
      <c r="Q3" s="554"/>
      <c r="R3" s="523">
        <f>'Detailed Assumptions'!$E$12</f>
        <v>46296</v>
      </c>
      <c r="S3" s="523">
        <f>R4+1</f>
        <v>46327</v>
      </c>
      <c r="T3" s="523">
        <f t="shared" ref="T3:AN3" si="0">S4+1</f>
        <v>46357</v>
      </c>
      <c r="U3" s="523">
        <f t="shared" si="0"/>
        <v>46388</v>
      </c>
      <c r="V3" s="523">
        <f t="shared" si="0"/>
        <v>46419</v>
      </c>
      <c r="W3" s="523">
        <f>V4+1</f>
        <v>46447</v>
      </c>
      <c r="X3" s="523">
        <f t="shared" si="0"/>
        <v>46478</v>
      </c>
      <c r="Y3" s="523">
        <f t="shared" si="0"/>
        <v>46508</v>
      </c>
      <c r="Z3" s="523">
        <f t="shared" si="0"/>
        <v>46539</v>
      </c>
      <c r="AA3" s="523">
        <f t="shared" si="0"/>
        <v>46569</v>
      </c>
      <c r="AB3" s="523">
        <f t="shared" si="0"/>
        <v>46600</v>
      </c>
      <c r="AC3" s="523">
        <f>AB4+1</f>
        <v>46631</v>
      </c>
      <c r="AD3" s="523">
        <f>AC4+1</f>
        <v>46661</v>
      </c>
      <c r="AE3" s="523">
        <f>AD4+1</f>
        <v>46692</v>
      </c>
      <c r="AF3" s="523">
        <f t="shared" si="0"/>
        <v>46722</v>
      </c>
      <c r="AG3" s="523">
        <f t="shared" si="0"/>
        <v>46753</v>
      </c>
      <c r="AH3" s="523">
        <f t="shared" si="0"/>
        <v>46784</v>
      </c>
      <c r="AI3" s="523">
        <f>AH4+1</f>
        <v>46813</v>
      </c>
      <c r="AJ3" s="523">
        <f t="shared" si="0"/>
        <v>46844</v>
      </c>
      <c r="AK3" s="523">
        <f t="shared" si="0"/>
        <v>46874</v>
      </c>
      <c r="AL3" s="523">
        <f t="shared" si="0"/>
        <v>46905</v>
      </c>
      <c r="AM3" s="523">
        <f t="shared" si="0"/>
        <v>46935</v>
      </c>
      <c r="AN3" s="523">
        <f t="shared" si="0"/>
        <v>46966</v>
      </c>
      <c r="AO3" s="523">
        <f>AN4+1</f>
        <v>46997</v>
      </c>
      <c r="AP3" s="523">
        <f>AO4+1</f>
        <v>47027</v>
      </c>
      <c r="AQ3" s="523">
        <f>AP4+1</f>
        <v>47058</v>
      </c>
      <c r="AR3" s="523">
        <f t="shared" ref="AR3:AZ3" si="1">AQ4+1</f>
        <v>47088</v>
      </c>
      <c r="AS3" s="523">
        <f t="shared" si="1"/>
        <v>47119</v>
      </c>
      <c r="AT3" s="523">
        <f t="shared" si="1"/>
        <v>47150</v>
      </c>
      <c r="AU3" s="523">
        <f>AT4+1</f>
        <v>47178</v>
      </c>
      <c r="AV3" s="523">
        <f t="shared" si="1"/>
        <v>47209</v>
      </c>
      <c r="AW3" s="523">
        <f t="shared" si="1"/>
        <v>47239</v>
      </c>
      <c r="AX3" s="523">
        <f t="shared" si="1"/>
        <v>47270</v>
      </c>
      <c r="AY3" s="523">
        <f t="shared" si="1"/>
        <v>47300</v>
      </c>
      <c r="AZ3" s="523">
        <f t="shared" si="1"/>
        <v>47331</v>
      </c>
      <c r="BA3" s="523">
        <f>AZ4+1</f>
        <v>47362</v>
      </c>
      <c r="BB3" s="523">
        <f>BA4+1</f>
        <v>47392</v>
      </c>
      <c r="BC3" s="523">
        <f>BB4+1</f>
        <v>47423</v>
      </c>
      <c r="BD3" s="523">
        <f t="shared" ref="BD3:BL3" si="2">BC4+1</f>
        <v>47453</v>
      </c>
      <c r="BE3" s="523">
        <f t="shared" si="2"/>
        <v>47484</v>
      </c>
      <c r="BF3" s="523">
        <f t="shared" si="2"/>
        <v>47515</v>
      </c>
      <c r="BG3" s="523">
        <f>BF4+1</f>
        <v>47543</v>
      </c>
      <c r="BH3" s="523">
        <f t="shared" si="2"/>
        <v>47574</v>
      </c>
      <c r="BI3" s="523">
        <f t="shared" si="2"/>
        <v>47604</v>
      </c>
      <c r="BJ3" s="523">
        <f t="shared" si="2"/>
        <v>47635</v>
      </c>
      <c r="BK3" s="523">
        <f t="shared" si="2"/>
        <v>47665</v>
      </c>
      <c r="BL3" s="523">
        <f t="shared" si="2"/>
        <v>47696</v>
      </c>
      <c r="BM3" s="523">
        <f>BL4+1</f>
        <v>47727</v>
      </c>
      <c r="BN3" s="523">
        <f>BM4+1</f>
        <v>47757</v>
      </c>
      <c r="BO3" s="523">
        <f>BN4+1</f>
        <v>47788</v>
      </c>
      <c r="BP3" s="523">
        <f t="shared" ref="BP3:BX3" si="3">BO4+1</f>
        <v>47818</v>
      </c>
      <c r="BQ3" s="523">
        <f t="shared" si="3"/>
        <v>47849</v>
      </c>
      <c r="BR3" s="523">
        <f t="shared" si="3"/>
        <v>47880</v>
      </c>
      <c r="BS3" s="523">
        <f>BR4+1</f>
        <v>47908</v>
      </c>
      <c r="BT3" s="523">
        <f t="shared" si="3"/>
        <v>47939</v>
      </c>
      <c r="BU3" s="523">
        <f t="shared" si="3"/>
        <v>47969</v>
      </c>
      <c r="BV3" s="523">
        <f t="shared" si="3"/>
        <v>48000</v>
      </c>
      <c r="BW3" s="523">
        <f t="shared" si="3"/>
        <v>48030</v>
      </c>
      <c r="BX3" s="523">
        <f t="shared" si="3"/>
        <v>48061</v>
      </c>
      <c r="BY3" s="523">
        <f>BX4+1</f>
        <v>48092</v>
      </c>
      <c r="BZ3" s="537"/>
      <c r="CA3" s="537"/>
      <c r="CB3" s="554"/>
    </row>
    <row r="4" spans="1:80" x14ac:dyDescent="0.3">
      <c r="A4" s="537"/>
      <c r="B4" s="552" t="str">
        <f>INDEX(Portfolio_Categorisation!$D$6:$D$10,MATCH($B$2,Portfolio_Categorisation!$C$6:$C$10,0))</f>
        <v>Mid-Market</v>
      </c>
      <c r="C4" s="551"/>
      <c r="D4" s="537"/>
      <c r="E4" s="553"/>
      <c r="F4" s="553"/>
      <c r="G4" s="553"/>
      <c r="H4" s="554"/>
      <c r="I4" s="524">
        <f>'Detailed Assumptions'!$E$12-1</f>
        <v>46295</v>
      </c>
      <c r="J4" s="524">
        <f>EOMONTH(I4,12)</f>
        <v>46660</v>
      </c>
      <c r="K4" s="524">
        <f>EOMONTH(J4,12)</f>
        <v>47026</v>
      </c>
      <c r="L4" s="524">
        <f>EOMONTH(K4,12)</f>
        <v>47391</v>
      </c>
      <c r="M4" s="524">
        <f>EOMONTH(L4,12)</f>
        <v>47756</v>
      </c>
      <c r="N4" s="524">
        <f>EOMONTH(M4,12)</f>
        <v>48121</v>
      </c>
      <c r="O4" s="558"/>
      <c r="P4" s="559" t="s">
        <v>180</v>
      </c>
      <c r="Q4" s="554"/>
      <c r="R4" s="524">
        <f>EOMONTH(R3,0)</f>
        <v>46326</v>
      </c>
      <c r="S4" s="524">
        <f>EOMONTH(S3,0)</f>
        <v>46356</v>
      </c>
      <c r="T4" s="524">
        <f t="shared" ref="T4:BY4" si="4">EOMONTH(T3,0)</f>
        <v>46387</v>
      </c>
      <c r="U4" s="524">
        <f t="shared" si="4"/>
        <v>46418</v>
      </c>
      <c r="V4" s="524">
        <f t="shared" si="4"/>
        <v>46446</v>
      </c>
      <c r="W4" s="524">
        <f>EOMONTH(W3,0)</f>
        <v>46477</v>
      </c>
      <c r="X4" s="524">
        <f t="shared" si="4"/>
        <v>46507</v>
      </c>
      <c r="Y4" s="524">
        <f t="shared" si="4"/>
        <v>46538</v>
      </c>
      <c r="Z4" s="524">
        <f t="shared" si="4"/>
        <v>46568</v>
      </c>
      <c r="AA4" s="524">
        <f t="shared" si="4"/>
        <v>46599</v>
      </c>
      <c r="AB4" s="524">
        <f t="shared" si="4"/>
        <v>46630</v>
      </c>
      <c r="AC4" s="524">
        <f t="shared" si="4"/>
        <v>46660</v>
      </c>
      <c r="AD4" s="524">
        <f t="shared" si="4"/>
        <v>46691</v>
      </c>
      <c r="AE4" s="524">
        <f t="shared" si="4"/>
        <v>46721</v>
      </c>
      <c r="AF4" s="524">
        <f t="shared" si="4"/>
        <v>46752</v>
      </c>
      <c r="AG4" s="524">
        <f t="shared" si="4"/>
        <v>46783</v>
      </c>
      <c r="AH4" s="524">
        <f t="shared" si="4"/>
        <v>46812</v>
      </c>
      <c r="AI4" s="524">
        <f t="shared" si="4"/>
        <v>46843</v>
      </c>
      <c r="AJ4" s="524">
        <f t="shared" si="4"/>
        <v>46873</v>
      </c>
      <c r="AK4" s="524">
        <f t="shared" si="4"/>
        <v>46904</v>
      </c>
      <c r="AL4" s="524">
        <f t="shared" si="4"/>
        <v>46934</v>
      </c>
      <c r="AM4" s="524">
        <f t="shared" si="4"/>
        <v>46965</v>
      </c>
      <c r="AN4" s="524">
        <f t="shared" si="4"/>
        <v>46996</v>
      </c>
      <c r="AO4" s="524">
        <f t="shared" si="4"/>
        <v>47026</v>
      </c>
      <c r="AP4" s="524">
        <f t="shared" si="4"/>
        <v>47057</v>
      </c>
      <c r="AQ4" s="524">
        <f t="shared" si="4"/>
        <v>47087</v>
      </c>
      <c r="AR4" s="524">
        <f t="shared" si="4"/>
        <v>47118</v>
      </c>
      <c r="AS4" s="524">
        <f t="shared" si="4"/>
        <v>47149</v>
      </c>
      <c r="AT4" s="524">
        <f t="shared" si="4"/>
        <v>47177</v>
      </c>
      <c r="AU4" s="524">
        <f t="shared" si="4"/>
        <v>47208</v>
      </c>
      <c r="AV4" s="524">
        <f t="shared" si="4"/>
        <v>47238</v>
      </c>
      <c r="AW4" s="524">
        <f t="shared" si="4"/>
        <v>47269</v>
      </c>
      <c r="AX4" s="524">
        <f t="shared" si="4"/>
        <v>47299</v>
      </c>
      <c r="AY4" s="524">
        <f t="shared" si="4"/>
        <v>47330</v>
      </c>
      <c r="AZ4" s="524">
        <f t="shared" si="4"/>
        <v>47361</v>
      </c>
      <c r="BA4" s="524">
        <f t="shared" si="4"/>
        <v>47391</v>
      </c>
      <c r="BB4" s="524">
        <f t="shared" si="4"/>
        <v>47422</v>
      </c>
      <c r="BC4" s="524">
        <f t="shared" si="4"/>
        <v>47452</v>
      </c>
      <c r="BD4" s="524">
        <f t="shared" si="4"/>
        <v>47483</v>
      </c>
      <c r="BE4" s="524">
        <f t="shared" si="4"/>
        <v>47514</v>
      </c>
      <c r="BF4" s="524">
        <f t="shared" si="4"/>
        <v>47542</v>
      </c>
      <c r="BG4" s="524">
        <f t="shared" si="4"/>
        <v>47573</v>
      </c>
      <c r="BH4" s="524">
        <f t="shared" si="4"/>
        <v>47603</v>
      </c>
      <c r="BI4" s="524">
        <f t="shared" si="4"/>
        <v>47634</v>
      </c>
      <c r="BJ4" s="524">
        <f t="shared" si="4"/>
        <v>47664</v>
      </c>
      <c r="BK4" s="524">
        <f t="shared" si="4"/>
        <v>47695</v>
      </c>
      <c r="BL4" s="524">
        <f t="shared" si="4"/>
        <v>47726</v>
      </c>
      <c r="BM4" s="524">
        <f t="shared" si="4"/>
        <v>47756</v>
      </c>
      <c r="BN4" s="524">
        <f t="shared" si="4"/>
        <v>47787</v>
      </c>
      <c r="BO4" s="524">
        <f t="shared" si="4"/>
        <v>47817</v>
      </c>
      <c r="BP4" s="524">
        <f t="shared" si="4"/>
        <v>47848</v>
      </c>
      <c r="BQ4" s="524">
        <f t="shared" si="4"/>
        <v>47879</v>
      </c>
      <c r="BR4" s="524">
        <f t="shared" si="4"/>
        <v>47907</v>
      </c>
      <c r="BS4" s="524">
        <f t="shared" si="4"/>
        <v>47938</v>
      </c>
      <c r="BT4" s="524">
        <f t="shared" si="4"/>
        <v>47968</v>
      </c>
      <c r="BU4" s="524">
        <f t="shared" si="4"/>
        <v>47999</v>
      </c>
      <c r="BV4" s="524">
        <f t="shared" si="4"/>
        <v>48029</v>
      </c>
      <c r="BW4" s="524">
        <f t="shared" si="4"/>
        <v>48060</v>
      </c>
      <c r="BX4" s="524">
        <f t="shared" si="4"/>
        <v>48091</v>
      </c>
      <c r="BY4" s="524">
        <f t="shared" si="4"/>
        <v>48121</v>
      </c>
      <c r="BZ4" s="537"/>
      <c r="CA4" s="537"/>
      <c r="CB4" s="554"/>
    </row>
    <row r="5" spans="1:80" ht="5.0999999999999996" customHeight="1" x14ac:dyDescent="0.3">
      <c r="A5" s="537"/>
      <c r="B5" s="548"/>
      <c r="C5" s="551"/>
      <c r="D5" s="537"/>
      <c r="E5" s="525"/>
      <c r="F5" s="525"/>
      <c r="G5" s="525"/>
      <c r="H5" s="554"/>
      <c r="I5" s="537"/>
      <c r="J5" s="537"/>
      <c r="K5" s="537"/>
      <c r="L5" s="537"/>
      <c r="M5" s="537"/>
      <c r="N5" s="537"/>
      <c r="O5" s="537"/>
      <c r="P5" s="547"/>
      <c r="Q5" s="554"/>
      <c r="R5" s="525"/>
      <c r="S5" s="525"/>
      <c r="T5" s="525"/>
      <c r="U5" s="525"/>
      <c r="V5" s="525"/>
      <c r="W5" s="525"/>
      <c r="X5" s="525"/>
      <c r="Y5" s="525"/>
      <c r="Z5" s="525"/>
      <c r="AA5" s="525"/>
      <c r="AB5" s="525"/>
      <c r="AC5" s="525"/>
      <c r="AD5" s="525"/>
      <c r="AE5" s="525"/>
      <c r="AF5" s="525"/>
      <c r="AG5" s="525"/>
      <c r="AH5" s="525"/>
      <c r="AI5" s="525"/>
      <c r="AJ5" s="525"/>
      <c r="AK5" s="525"/>
      <c r="AL5" s="525"/>
      <c r="AM5" s="525"/>
      <c r="AN5" s="525"/>
      <c r="AO5" s="525"/>
      <c r="AP5" s="525"/>
      <c r="AQ5" s="525"/>
      <c r="AR5" s="525"/>
      <c r="AS5" s="525"/>
      <c r="AT5" s="525"/>
      <c r="AU5" s="525"/>
      <c r="AV5" s="525"/>
      <c r="AW5" s="525"/>
      <c r="AX5" s="525"/>
      <c r="AY5" s="525"/>
      <c r="AZ5" s="525"/>
      <c r="BA5" s="525"/>
      <c r="BB5" s="525"/>
      <c r="BC5" s="525"/>
      <c r="BD5" s="525"/>
      <c r="BE5" s="525"/>
      <c r="BF5" s="525"/>
      <c r="BG5" s="525"/>
      <c r="BH5" s="525"/>
      <c r="BI5" s="525"/>
      <c r="BJ5" s="525"/>
      <c r="BK5" s="525"/>
      <c r="BL5" s="525"/>
      <c r="BM5" s="525"/>
      <c r="BN5" s="525"/>
      <c r="BO5" s="525"/>
      <c r="BP5" s="525"/>
      <c r="BQ5" s="525"/>
      <c r="BR5" s="525"/>
      <c r="BS5" s="525"/>
      <c r="BT5" s="525"/>
      <c r="BU5" s="525"/>
      <c r="BV5" s="525"/>
      <c r="BW5" s="525"/>
      <c r="BX5" s="525"/>
      <c r="BY5" s="525"/>
      <c r="BZ5" s="537"/>
      <c r="CA5" s="537"/>
      <c r="CB5" s="554"/>
    </row>
    <row r="6" spans="1:80" ht="12.75" customHeight="1" x14ac:dyDescent="0.3">
      <c r="A6" s="537"/>
      <c r="B6" s="548"/>
      <c r="C6" s="547"/>
      <c r="D6" s="537"/>
      <c r="E6" s="525"/>
      <c r="F6" s="525"/>
      <c r="G6" s="525"/>
      <c r="H6" s="554"/>
      <c r="I6" s="537"/>
      <c r="J6" s="537"/>
      <c r="K6" s="537"/>
      <c r="L6" s="537"/>
      <c r="M6" s="537"/>
      <c r="N6" s="537"/>
      <c r="O6" s="537"/>
      <c r="P6" s="547"/>
      <c r="Q6" s="554"/>
      <c r="R6" s="525"/>
      <c r="S6" s="525"/>
      <c r="T6" s="525"/>
      <c r="U6" s="525"/>
      <c r="V6" s="525"/>
      <c r="W6" s="525"/>
      <c r="X6" s="525"/>
      <c r="Y6" s="525"/>
      <c r="Z6" s="525"/>
      <c r="AA6" s="525"/>
      <c r="AB6" s="525"/>
      <c r="AC6" s="525"/>
      <c r="AD6" s="525"/>
      <c r="AE6" s="525"/>
      <c r="AF6" s="525"/>
      <c r="AG6" s="525"/>
      <c r="AH6" s="525"/>
      <c r="AI6" s="525"/>
      <c r="AJ6" s="525"/>
      <c r="AK6" s="525"/>
      <c r="AL6" s="525"/>
      <c r="AM6" s="525"/>
      <c r="AN6" s="525"/>
      <c r="AO6" s="525"/>
      <c r="AP6" s="525"/>
      <c r="AQ6" s="525"/>
      <c r="AR6" s="525"/>
      <c r="AS6" s="525"/>
      <c r="AT6" s="525"/>
      <c r="AU6" s="525"/>
      <c r="AV6" s="525"/>
      <c r="AW6" s="525"/>
      <c r="AX6" s="525"/>
      <c r="AY6" s="525"/>
      <c r="AZ6" s="525"/>
      <c r="BA6" s="525"/>
      <c r="BB6" s="525"/>
      <c r="BC6" s="525"/>
      <c r="BD6" s="525"/>
      <c r="BE6" s="525"/>
      <c r="BF6" s="525"/>
      <c r="BG6" s="525"/>
      <c r="BH6" s="525"/>
      <c r="BI6" s="525"/>
      <c r="BJ6" s="525"/>
      <c r="BK6" s="525"/>
      <c r="BL6" s="525"/>
      <c r="BM6" s="525"/>
      <c r="BN6" s="525"/>
      <c r="BO6" s="525"/>
      <c r="BP6" s="525"/>
      <c r="BQ6" s="525"/>
      <c r="BR6" s="525"/>
      <c r="BS6" s="525"/>
      <c r="BT6" s="525"/>
      <c r="BU6" s="525"/>
      <c r="BV6" s="525"/>
      <c r="BW6" s="525"/>
      <c r="BX6" s="525"/>
      <c r="BY6" s="525"/>
      <c r="BZ6" s="537"/>
      <c r="CA6" s="537"/>
      <c r="CB6" s="554"/>
    </row>
    <row r="7" spans="1:80" ht="12.75" customHeight="1" x14ac:dyDescent="0.3">
      <c r="A7" s="551"/>
      <c r="B7" s="548"/>
      <c r="C7" s="560" t="s">
        <v>37</v>
      </c>
      <c r="D7" s="561"/>
      <c r="E7" s="526" t="s">
        <v>120</v>
      </c>
      <c r="F7" s="526"/>
      <c r="G7" s="526"/>
      <c r="H7" s="526"/>
      <c r="I7" s="526"/>
      <c r="J7" s="526"/>
      <c r="K7" s="526"/>
      <c r="L7" s="526"/>
      <c r="M7" s="526"/>
      <c r="N7" s="526"/>
      <c r="O7" s="526"/>
      <c r="P7" s="560"/>
      <c r="Q7" s="526"/>
      <c r="R7" s="526"/>
      <c r="S7" s="526"/>
      <c r="T7" s="526"/>
      <c r="U7" s="526"/>
      <c r="V7" s="526"/>
      <c r="W7" s="526"/>
      <c r="X7" s="526"/>
      <c r="Y7" s="526"/>
      <c r="Z7" s="526"/>
      <c r="AA7" s="526"/>
      <c r="AB7" s="526"/>
      <c r="AC7" s="526"/>
      <c r="AD7" s="526"/>
      <c r="AE7" s="526"/>
      <c r="AF7" s="526"/>
      <c r="AG7" s="526"/>
      <c r="AH7" s="526"/>
      <c r="AI7" s="526"/>
      <c r="AJ7" s="526"/>
      <c r="AK7" s="526"/>
      <c r="AL7" s="526"/>
      <c r="AM7" s="526"/>
      <c r="AN7" s="526"/>
      <c r="AO7" s="526"/>
      <c r="AP7" s="526"/>
      <c r="AQ7" s="526"/>
      <c r="AR7" s="526"/>
      <c r="AS7" s="526"/>
      <c r="AT7" s="526"/>
      <c r="AU7" s="526"/>
      <c r="AV7" s="526"/>
      <c r="AW7" s="526"/>
      <c r="AX7" s="526"/>
      <c r="AY7" s="526"/>
      <c r="AZ7" s="526"/>
      <c r="BA7" s="526"/>
      <c r="BB7" s="526"/>
      <c r="BC7" s="526"/>
      <c r="BD7" s="526"/>
      <c r="BE7" s="526"/>
      <c r="BF7" s="526"/>
      <c r="BG7" s="526"/>
      <c r="BH7" s="526"/>
      <c r="BI7" s="526"/>
      <c r="BJ7" s="526"/>
      <c r="BK7" s="526"/>
      <c r="BL7" s="526"/>
      <c r="BM7" s="526"/>
      <c r="BN7" s="526"/>
      <c r="BO7" s="526"/>
      <c r="BP7" s="526"/>
      <c r="BQ7" s="526"/>
      <c r="BR7" s="526"/>
      <c r="BS7" s="526"/>
      <c r="BT7" s="526"/>
      <c r="BU7" s="526"/>
      <c r="BV7" s="526"/>
      <c r="BW7" s="526"/>
      <c r="BX7" s="526"/>
      <c r="BY7" s="526"/>
      <c r="BZ7" s="537"/>
      <c r="CA7" s="537"/>
      <c r="CB7" s="537"/>
    </row>
    <row r="8" spans="1:80" x14ac:dyDescent="0.3">
      <c r="A8" s="551"/>
      <c r="B8" s="548"/>
      <c r="C8" s="525"/>
      <c r="D8" s="525"/>
      <c r="E8" s="525"/>
      <c r="F8" s="525"/>
      <c r="G8" s="525"/>
      <c r="H8" s="525"/>
      <c r="I8" s="525"/>
      <c r="J8" s="529"/>
      <c r="K8" s="529"/>
      <c r="L8" s="529"/>
      <c r="M8" s="529"/>
      <c r="N8" s="529"/>
      <c r="O8" s="529"/>
      <c r="P8" s="562"/>
      <c r="Q8" s="537"/>
      <c r="R8" s="529"/>
      <c r="S8" s="525"/>
      <c r="T8" s="525"/>
      <c r="U8" s="525"/>
      <c r="V8" s="525"/>
      <c r="W8" s="525"/>
      <c r="X8" s="525"/>
      <c r="Y8" s="525"/>
      <c r="Z8" s="525"/>
      <c r="AA8" s="525"/>
      <c r="AB8" s="525"/>
      <c r="AC8" s="525"/>
      <c r="AD8" s="525"/>
      <c r="AE8" s="525"/>
      <c r="AF8" s="525"/>
      <c r="AG8" s="525"/>
      <c r="AH8" s="525"/>
      <c r="AI8" s="525"/>
      <c r="AJ8" s="525"/>
      <c r="AK8" s="525"/>
      <c r="AL8" s="525"/>
      <c r="AM8" s="525"/>
      <c r="AN8" s="525"/>
      <c r="AO8" s="525"/>
      <c r="AP8" s="525"/>
      <c r="AQ8" s="525"/>
      <c r="AR8" s="525"/>
      <c r="AS8" s="525"/>
      <c r="AT8" s="525"/>
      <c r="AU8" s="525"/>
      <c r="AV8" s="525"/>
      <c r="AW8" s="525"/>
      <c r="AX8" s="525"/>
      <c r="AY8" s="525"/>
      <c r="AZ8" s="525"/>
      <c r="BA8" s="525"/>
      <c r="BB8" s="525"/>
      <c r="BC8" s="525"/>
      <c r="BD8" s="525"/>
      <c r="BE8" s="525"/>
      <c r="BF8" s="525"/>
      <c r="BG8" s="525"/>
      <c r="BH8" s="525"/>
      <c r="BI8" s="525"/>
      <c r="BJ8" s="525"/>
      <c r="BK8" s="525"/>
      <c r="BL8" s="525"/>
      <c r="BM8" s="525"/>
      <c r="BN8" s="525"/>
      <c r="BO8" s="525"/>
      <c r="BP8" s="525"/>
      <c r="BQ8" s="525"/>
      <c r="BR8" s="525"/>
      <c r="BS8" s="525"/>
      <c r="BT8" s="525"/>
      <c r="BU8" s="525"/>
      <c r="BV8" s="525"/>
      <c r="BW8" s="525"/>
      <c r="BX8" s="525"/>
      <c r="BY8" s="525"/>
      <c r="BZ8" s="537"/>
      <c r="CA8" s="537"/>
      <c r="CB8" s="537"/>
    </row>
    <row r="9" spans="1:80" x14ac:dyDescent="0.3">
      <c r="A9" s="551"/>
      <c r="B9" s="548"/>
      <c r="C9" s="525"/>
      <c r="D9" s="525"/>
      <c r="E9" s="525" t="s">
        <v>174</v>
      </c>
      <c r="F9" s="525"/>
      <c r="G9" s="525"/>
      <c r="H9" s="525"/>
      <c r="I9" s="563">
        <f>INDEX(Portfolio_Categorisation!$E$12:$E$15,MATCH($B$2,Portfolio_Categorisation!$C$12:$C$15,0))</f>
        <v>123</v>
      </c>
      <c r="J9" s="527">
        <f>INDEX($R9:$BY9,MATCH(J$4,$R$4:$BY$4,0))</f>
        <v>123</v>
      </c>
      <c r="K9" s="527">
        <f>INDEX($R9:$BY9,MATCH(K$4,$R$4:$BY$4,0))</f>
        <v>123</v>
      </c>
      <c r="L9" s="527">
        <f>INDEX($R9:$BY9,MATCH(L$4,$R$4:$BY$4,0))</f>
        <v>123</v>
      </c>
      <c r="M9" s="527">
        <f>INDEX($R9:$BY9,MATCH(M$4,$R$4:$BY$4,0))</f>
        <v>123</v>
      </c>
      <c r="N9" s="527">
        <f>INDEX($R9:$BY9,MATCH(N$4,$R$4:$BY$4,0))</f>
        <v>123</v>
      </c>
      <c r="O9" s="529"/>
      <c r="P9" s="564"/>
      <c r="Q9" s="537"/>
      <c r="R9" s="527">
        <f t="shared" ref="R9:AW9" si="5">R571</f>
        <v>123</v>
      </c>
      <c r="S9" s="527">
        <f t="shared" si="5"/>
        <v>123</v>
      </c>
      <c r="T9" s="527">
        <f t="shared" si="5"/>
        <v>123</v>
      </c>
      <c r="U9" s="527">
        <f t="shared" si="5"/>
        <v>123</v>
      </c>
      <c r="V9" s="527">
        <f t="shared" si="5"/>
        <v>123</v>
      </c>
      <c r="W9" s="527">
        <f t="shared" si="5"/>
        <v>123</v>
      </c>
      <c r="X9" s="527">
        <f t="shared" si="5"/>
        <v>123</v>
      </c>
      <c r="Y9" s="527">
        <f t="shared" si="5"/>
        <v>123</v>
      </c>
      <c r="Z9" s="527">
        <f t="shared" si="5"/>
        <v>123</v>
      </c>
      <c r="AA9" s="527">
        <f t="shared" si="5"/>
        <v>123</v>
      </c>
      <c r="AB9" s="527">
        <f t="shared" si="5"/>
        <v>123</v>
      </c>
      <c r="AC9" s="527">
        <f t="shared" si="5"/>
        <v>123</v>
      </c>
      <c r="AD9" s="527">
        <f t="shared" si="5"/>
        <v>123</v>
      </c>
      <c r="AE9" s="527">
        <f t="shared" si="5"/>
        <v>123</v>
      </c>
      <c r="AF9" s="527">
        <f t="shared" si="5"/>
        <v>123</v>
      </c>
      <c r="AG9" s="527">
        <f t="shared" si="5"/>
        <v>123</v>
      </c>
      <c r="AH9" s="527">
        <f t="shared" si="5"/>
        <v>123</v>
      </c>
      <c r="AI9" s="527">
        <f t="shared" si="5"/>
        <v>123</v>
      </c>
      <c r="AJ9" s="527">
        <f t="shared" si="5"/>
        <v>123</v>
      </c>
      <c r="AK9" s="527">
        <f t="shared" si="5"/>
        <v>123</v>
      </c>
      <c r="AL9" s="527">
        <f t="shared" si="5"/>
        <v>123</v>
      </c>
      <c r="AM9" s="527">
        <f t="shared" si="5"/>
        <v>123</v>
      </c>
      <c r="AN9" s="527">
        <f t="shared" si="5"/>
        <v>123</v>
      </c>
      <c r="AO9" s="527">
        <f t="shared" si="5"/>
        <v>123</v>
      </c>
      <c r="AP9" s="527">
        <f t="shared" si="5"/>
        <v>123</v>
      </c>
      <c r="AQ9" s="527">
        <f t="shared" si="5"/>
        <v>123</v>
      </c>
      <c r="AR9" s="527">
        <f t="shared" si="5"/>
        <v>123</v>
      </c>
      <c r="AS9" s="527">
        <f t="shared" si="5"/>
        <v>123</v>
      </c>
      <c r="AT9" s="527">
        <f t="shared" si="5"/>
        <v>123</v>
      </c>
      <c r="AU9" s="527">
        <f t="shared" si="5"/>
        <v>123</v>
      </c>
      <c r="AV9" s="527">
        <f t="shared" si="5"/>
        <v>123</v>
      </c>
      <c r="AW9" s="527">
        <f t="shared" si="5"/>
        <v>123</v>
      </c>
      <c r="AX9" s="527">
        <f t="shared" ref="AX9:BY9" si="6">AX571</f>
        <v>123</v>
      </c>
      <c r="AY9" s="527">
        <f t="shared" si="6"/>
        <v>123</v>
      </c>
      <c r="AZ9" s="527">
        <f t="shared" si="6"/>
        <v>123</v>
      </c>
      <c r="BA9" s="527">
        <f t="shared" si="6"/>
        <v>123</v>
      </c>
      <c r="BB9" s="527">
        <f t="shared" si="6"/>
        <v>123</v>
      </c>
      <c r="BC9" s="527">
        <f t="shared" si="6"/>
        <v>123</v>
      </c>
      <c r="BD9" s="527">
        <f t="shared" si="6"/>
        <v>123</v>
      </c>
      <c r="BE9" s="527">
        <f t="shared" si="6"/>
        <v>123</v>
      </c>
      <c r="BF9" s="527">
        <f t="shared" si="6"/>
        <v>123</v>
      </c>
      <c r="BG9" s="527">
        <f t="shared" si="6"/>
        <v>123</v>
      </c>
      <c r="BH9" s="527">
        <f t="shared" si="6"/>
        <v>123</v>
      </c>
      <c r="BI9" s="527">
        <f t="shared" si="6"/>
        <v>123</v>
      </c>
      <c r="BJ9" s="527">
        <f t="shared" si="6"/>
        <v>123</v>
      </c>
      <c r="BK9" s="527">
        <f t="shared" si="6"/>
        <v>123</v>
      </c>
      <c r="BL9" s="527">
        <f t="shared" si="6"/>
        <v>123</v>
      </c>
      <c r="BM9" s="527">
        <f t="shared" si="6"/>
        <v>123</v>
      </c>
      <c r="BN9" s="527">
        <f t="shared" si="6"/>
        <v>123</v>
      </c>
      <c r="BO9" s="527">
        <f t="shared" si="6"/>
        <v>123</v>
      </c>
      <c r="BP9" s="527">
        <f t="shared" si="6"/>
        <v>123</v>
      </c>
      <c r="BQ9" s="527">
        <f t="shared" si="6"/>
        <v>123</v>
      </c>
      <c r="BR9" s="527">
        <f t="shared" si="6"/>
        <v>123</v>
      </c>
      <c r="BS9" s="527">
        <f t="shared" si="6"/>
        <v>123</v>
      </c>
      <c r="BT9" s="527">
        <f t="shared" si="6"/>
        <v>123</v>
      </c>
      <c r="BU9" s="527">
        <f t="shared" si="6"/>
        <v>123</v>
      </c>
      <c r="BV9" s="527">
        <f t="shared" si="6"/>
        <v>123</v>
      </c>
      <c r="BW9" s="527">
        <f t="shared" si="6"/>
        <v>123</v>
      </c>
      <c r="BX9" s="527">
        <f t="shared" si="6"/>
        <v>123</v>
      </c>
      <c r="BY9" s="527">
        <f t="shared" si="6"/>
        <v>123</v>
      </c>
      <c r="BZ9" s="537"/>
      <c r="CA9" s="537"/>
      <c r="CB9" s="537"/>
    </row>
    <row r="10" spans="1:80" x14ac:dyDescent="0.3">
      <c r="A10" s="551"/>
      <c r="B10" s="548"/>
      <c r="C10" s="525"/>
      <c r="D10" s="525"/>
      <c r="E10" s="525"/>
      <c r="F10" s="525"/>
      <c r="G10" s="525"/>
      <c r="H10" s="525"/>
      <c r="I10" s="529"/>
      <c r="J10" s="525"/>
      <c r="K10" s="525"/>
      <c r="L10" s="525"/>
      <c r="M10" s="525"/>
      <c r="N10" s="525"/>
      <c r="O10" s="525"/>
      <c r="P10" s="565"/>
      <c r="Q10" s="537"/>
      <c r="R10" s="525"/>
      <c r="S10" s="525"/>
      <c r="T10" s="525"/>
      <c r="U10" s="525"/>
      <c r="V10" s="525"/>
      <c r="W10" s="525"/>
      <c r="X10" s="525"/>
      <c r="Y10" s="525"/>
      <c r="Z10" s="525"/>
      <c r="AA10" s="525"/>
      <c r="AB10" s="525"/>
      <c r="AC10" s="525"/>
      <c r="AD10" s="525"/>
      <c r="AE10" s="525"/>
      <c r="AF10" s="525"/>
      <c r="AG10" s="525"/>
      <c r="AH10" s="525"/>
      <c r="AI10" s="525"/>
      <c r="AJ10" s="525"/>
      <c r="AK10" s="525"/>
      <c r="AL10" s="525"/>
      <c r="AM10" s="525"/>
      <c r="AN10" s="525"/>
      <c r="AO10" s="525"/>
      <c r="AP10" s="525"/>
      <c r="AQ10" s="525"/>
      <c r="AR10" s="525"/>
      <c r="AS10" s="525"/>
      <c r="AT10" s="525"/>
      <c r="AU10" s="525"/>
      <c r="AV10" s="525"/>
      <c r="AW10" s="525"/>
      <c r="AX10" s="525"/>
      <c r="AY10" s="525"/>
      <c r="AZ10" s="525"/>
      <c r="BA10" s="525"/>
      <c r="BB10" s="525"/>
      <c r="BC10" s="525"/>
      <c r="BD10" s="525"/>
      <c r="BE10" s="525"/>
      <c r="BF10" s="525"/>
      <c r="BG10" s="525"/>
      <c r="BH10" s="525"/>
      <c r="BI10" s="525"/>
      <c r="BJ10" s="525"/>
      <c r="BK10" s="525"/>
      <c r="BL10" s="525"/>
      <c r="BM10" s="525"/>
      <c r="BN10" s="525"/>
      <c r="BO10" s="525"/>
      <c r="BP10" s="525"/>
      <c r="BQ10" s="525"/>
      <c r="BR10" s="525"/>
      <c r="BS10" s="525"/>
      <c r="BT10" s="525"/>
      <c r="BU10" s="525"/>
      <c r="BV10" s="525"/>
      <c r="BW10" s="525"/>
      <c r="BX10" s="525"/>
      <c r="BY10" s="525"/>
      <c r="BZ10" s="537"/>
      <c r="CA10" s="537"/>
      <c r="CB10" s="537"/>
    </row>
    <row r="11" spans="1:80" x14ac:dyDescent="0.3">
      <c r="A11" s="551"/>
      <c r="B11" s="548"/>
      <c r="C11" s="525"/>
      <c r="D11" s="525"/>
      <c r="E11" s="525" t="s">
        <v>174</v>
      </c>
      <c r="F11" s="525"/>
      <c r="G11" s="525"/>
      <c r="H11" s="525"/>
      <c r="I11" s="527">
        <f t="shared" ref="I11:N11" si="7">I9</f>
        <v>123</v>
      </c>
      <c r="J11" s="527">
        <f t="shared" si="7"/>
        <v>123</v>
      </c>
      <c r="K11" s="527">
        <f t="shared" si="7"/>
        <v>123</v>
      </c>
      <c r="L11" s="527">
        <f t="shared" si="7"/>
        <v>123</v>
      </c>
      <c r="M11" s="527">
        <f t="shared" si="7"/>
        <v>123</v>
      </c>
      <c r="N11" s="527">
        <f t="shared" si="7"/>
        <v>123</v>
      </c>
      <c r="O11" s="525"/>
      <c r="P11" s="565"/>
      <c r="Q11" s="537"/>
      <c r="R11" s="527">
        <f t="shared" ref="R11:AW11" si="8">R9</f>
        <v>123</v>
      </c>
      <c r="S11" s="527">
        <f t="shared" si="8"/>
        <v>123</v>
      </c>
      <c r="T11" s="527">
        <f t="shared" si="8"/>
        <v>123</v>
      </c>
      <c r="U11" s="527">
        <f t="shared" si="8"/>
        <v>123</v>
      </c>
      <c r="V11" s="527">
        <f t="shared" si="8"/>
        <v>123</v>
      </c>
      <c r="W11" s="527">
        <f t="shared" si="8"/>
        <v>123</v>
      </c>
      <c r="X11" s="527">
        <f t="shared" si="8"/>
        <v>123</v>
      </c>
      <c r="Y11" s="527">
        <f t="shared" si="8"/>
        <v>123</v>
      </c>
      <c r="Z11" s="527">
        <f t="shared" si="8"/>
        <v>123</v>
      </c>
      <c r="AA11" s="527">
        <f t="shared" si="8"/>
        <v>123</v>
      </c>
      <c r="AB11" s="527">
        <f t="shared" si="8"/>
        <v>123</v>
      </c>
      <c r="AC11" s="527">
        <f t="shared" si="8"/>
        <v>123</v>
      </c>
      <c r="AD11" s="527">
        <f t="shared" si="8"/>
        <v>123</v>
      </c>
      <c r="AE11" s="527">
        <f t="shared" si="8"/>
        <v>123</v>
      </c>
      <c r="AF11" s="527">
        <f t="shared" si="8"/>
        <v>123</v>
      </c>
      <c r="AG11" s="527">
        <f t="shared" si="8"/>
        <v>123</v>
      </c>
      <c r="AH11" s="527">
        <f t="shared" si="8"/>
        <v>123</v>
      </c>
      <c r="AI11" s="527">
        <f t="shared" si="8"/>
        <v>123</v>
      </c>
      <c r="AJ11" s="527">
        <f t="shared" si="8"/>
        <v>123</v>
      </c>
      <c r="AK11" s="527">
        <f t="shared" si="8"/>
        <v>123</v>
      </c>
      <c r="AL11" s="527">
        <f t="shared" si="8"/>
        <v>123</v>
      </c>
      <c r="AM11" s="527">
        <f t="shared" si="8"/>
        <v>123</v>
      </c>
      <c r="AN11" s="527">
        <f t="shared" si="8"/>
        <v>123</v>
      </c>
      <c r="AO11" s="527">
        <f t="shared" si="8"/>
        <v>123</v>
      </c>
      <c r="AP11" s="527">
        <f t="shared" si="8"/>
        <v>123</v>
      </c>
      <c r="AQ11" s="527">
        <f t="shared" si="8"/>
        <v>123</v>
      </c>
      <c r="AR11" s="527">
        <f t="shared" si="8"/>
        <v>123</v>
      </c>
      <c r="AS11" s="527">
        <f t="shared" si="8"/>
        <v>123</v>
      </c>
      <c r="AT11" s="527">
        <f t="shared" si="8"/>
        <v>123</v>
      </c>
      <c r="AU11" s="527">
        <f t="shared" si="8"/>
        <v>123</v>
      </c>
      <c r="AV11" s="527">
        <f t="shared" si="8"/>
        <v>123</v>
      </c>
      <c r="AW11" s="527">
        <f t="shared" si="8"/>
        <v>123</v>
      </c>
      <c r="AX11" s="527">
        <f t="shared" ref="AX11:BY11" si="9">AX9</f>
        <v>123</v>
      </c>
      <c r="AY11" s="527">
        <f t="shared" si="9"/>
        <v>123</v>
      </c>
      <c r="AZ11" s="527">
        <f t="shared" si="9"/>
        <v>123</v>
      </c>
      <c r="BA11" s="527">
        <f t="shared" si="9"/>
        <v>123</v>
      </c>
      <c r="BB11" s="527">
        <f t="shared" si="9"/>
        <v>123</v>
      </c>
      <c r="BC11" s="527">
        <f t="shared" si="9"/>
        <v>123</v>
      </c>
      <c r="BD11" s="527">
        <f t="shared" si="9"/>
        <v>123</v>
      </c>
      <c r="BE11" s="527">
        <f t="shared" si="9"/>
        <v>123</v>
      </c>
      <c r="BF11" s="527">
        <f t="shared" si="9"/>
        <v>123</v>
      </c>
      <c r="BG11" s="527">
        <f t="shared" si="9"/>
        <v>123</v>
      </c>
      <c r="BH11" s="527">
        <f t="shared" si="9"/>
        <v>123</v>
      </c>
      <c r="BI11" s="527">
        <f t="shared" si="9"/>
        <v>123</v>
      </c>
      <c r="BJ11" s="527">
        <f t="shared" si="9"/>
        <v>123</v>
      </c>
      <c r="BK11" s="527">
        <f t="shared" si="9"/>
        <v>123</v>
      </c>
      <c r="BL11" s="527">
        <f t="shared" si="9"/>
        <v>123</v>
      </c>
      <c r="BM11" s="527">
        <f t="shared" si="9"/>
        <v>123</v>
      </c>
      <c r="BN11" s="527">
        <f t="shared" si="9"/>
        <v>123</v>
      </c>
      <c r="BO11" s="527">
        <f t="shared" si="9"/>
        <v>123</v>
      </c>
      <c r="BP11" s="527">
        <f t="shared" si="9"/>
        <v>123</v>
      </c>
      <c r="BQ11" s="527">
        <f t="shared" si="9"/>
        <v>123</v>
      </c>
      <c r="BR11" s="527">
        <f t="shared" si="9"/>
        <v>123</v>
      </c>
      <c r="BS11" s="527">
        <f t="shared" si="9"/>
        <v>123</v>
      </c>
      <c r="BT11" s="527">
        <f t="shared" si="9"/>
        <v>123</v>
      </c>
      <c r="BU11" s="527">
        <f t="shared" si="9"/>
        <v>123</v>
      </c>
      <c r="BV11" s="527">
        <f t="shared" si="9"/>
        <v>123</v>
      </c>
      <c r="BW11" s="527">
        <f t="shared" si="9"/>
        <v>123</v>
      </c>
      <c r="BX11" s="527">
        <f t="shared" si="9"/>
        <v>123</v>
      </c>
      <c r="BY11" s="527">
        <f t="shared" si="9"/>
        <v>123</v>
      </c>
      <c r="BZ11" s="537"/>
      <c r="CA11" s="537"/>
      <c r="CB11" s="537"/>
    </row>
    <row r="12" spans="1:80" x14ac:dyDescent="0.3">
      <c r="A12" s="551"/>
      <c r="B12" s="548"/>
      <c r="C12" s="525"/>
      <c r="D12" s="525"/>
      <c r="E12" s="525" t="s">
        <v>131</v>
      </c>
      <c r="F12" s="525"/>
      <c r="G12" s="525"/>
      <c r="H12" s="525"/>
      <c r="I12" s="527">
        <f t="shared" ref="I12:N12" si="10">I11</f>
        <v>123</v>
      </c>
      <c r="J12" s="527">
        <f t="shared" si="10"/>
        <v>123</v>
      </c>
      <c r="K12" s="527">
        <f t="shared" si="10"/>
        <v>123</v>
      </c>
      <c r="L12" s="527">
        <f t="shared" si="10"/>
        <v>123</v>
      </c>
      <c r="M12" s="527">
        <f t="shared" si="10"/>
        <v>123</v>
      </c>
      <c r="N12" s="527">
        <f t="shared" si="10"/>
        <v>123</v>
      </c>
      <c r="O12" s="525"/>
      <c r="P12" s="565"/>
      <c r="Q12" s="537"/>
      <c r="R12" s="527">
        <f t="shared" ref="R12:AW12" si="11">R11</f>
        <v>123</v>
      </c>
      <c r="S12" s="527">
        <f t="shared" si="11"/>
        <v>123</v>
      </c>
      <c r="T12" s="527">
        <f t="shared" si="11"/>
        <v>123</v>
      </c>
      <c r="U12" s="527">
        <f t="shared" si="11"/>
        <v>123</v>
      </c>
      <c r="V12" s="527">
        <f t="shared" si="11"/>
        <v>123</v>
      </c>
      <c r="W12" s="527">
        <f t="shared" si="11"/>
        <v>123</v>
      </c>
      <c r="X12" s="527">
        <f t="shared" si="11"/>
        <v>123</v>
      </c>
      <c r="Y12" s="527">
        <f t="shared" si="11"/>
        <v>123</v>
      </c>
      <c r="Z12" s="527">
        <f t="shared" si="11"/>
        <v>123</v>
      </c>
      <c r="AA12" s="527">
        <f t="shared" si="11"/>
        <v>123</v>
      </c>
      <c r="AB12" s="527">
        <f t="shared" si="11"/>
        <v>123</v>
      </c>
      <c r="AC12" s="527">
        <f t="shared" si="11"/>
        <v>123</v>
      </c>
      <c r="AD12" s="527">
        <f t="shared" si="11"/>
        <v>123</v>
      </c>
      <c r="AE12" s="527">
        <f t="shared" si="11"/>
        <v>123</v>
      </c>
      <c r="AF12" s="527">
        <f t="shared" si="11"/>
        <v>123</v>
      </c>
      <c r="AG12" s="527">
        <f t="shared" si="11"/>
        <v>123</v>
      </c>
      <c r="AH12" s="527">
        <f t="shared" si="11"/>
        <v>123</v>
      </c>
      <c r="AI12" s="527">
        <f t="shared" si="11"/>
        <v>123</v>
      </c>
      <c r="AJ12" s="527">
        <f t="shared" si="11"/>
        <v>123</v>
      </c>
      <c r="AK12" s="527">
        <f t="shared" si="11"/>
        <v>123</v>
      </c>
      <c r="AL12" s="527">
        <f t="shared" si="11"/>
        <v>123</v>
      </c>
      <c r="AM12" s="527">
        <f t="shared" si="11"/>
        <v>123</v>
      </c>
      <c r="AN12" s="527">
        <f t="shared" si="11"/>
        <v>123</v>
      </c>
      <c r="AO12" s="527">
        <f t="shared" si="11"/>
        <v>123</v>
      </c>
      <c r="AP12" s="527">
        <f t="shared" si="11"/>
        <v>123</v>
      </c>
      <c r="AQ12" s="527">
        <f t="shared" si="11"/>
        <v>123</v>
      </c>
      <c r="AR12" s="527">
        <f t="shared" si="11"/>
        <v>123</v>
      </c>
      <c r="AS12" s="527">
        <f t="shared" si="11"/>
        <v>123</v>
      </c>
      <c r="AT12" s="527">
        <f t="shared" si="11"/>
        <v>123</v>
      </c>
      <c r="AU12" s="527">
        <f t="shared" si="11"/>
        <v>123</v>
      </c>
      <c r="AV12" s="527">
        <f t="shared" si="11"/>
        <v>123</v>
      </c>
      <c r="AW12" s="527">
        <f t="shared" si="11"/>
        <v>123</v>
      </c>
      <c r="AX12" s="527">
        <f t="shared" ref="AX12:BY12" si="12">AX11</f>
        <v>123</v>
      </c>
      <c r="AY12" s="527">
        <f t="shared" si="12"/>
        <v>123</v>
      </c>
      <c r="AZ12" s="527">
        <f t="shared" si="12"/>
        <v>123</v>
      </c>
      <c r="BA12" s="527">
        <f t="shared" si="12"/>
        <v>123</v>
      </c>
      <c r="BB12" s="527">
        <f t="shared" si="12"/>
        <v>123</v>
      </c>
      <c r="BC12" s="527">
        <f t="shared" si="12"/>
        <v>123</v>
      </c>
      <c r="BD12" s="527">
        <f t="shared" si="12"/>
        <v>123</v>
      </c>
      <c r="BE12" s="527">
        <f t="shared" si="12"/>
        <v>123</v>
      </c>
      <c r="BF12" s="527">
        <f t="shared" si="12"/>
        <v>123</v>
      </c>
      <c r="BG12" s="527">
        <f t="shared" si="12"/>
        <v>123</v>
      </c>
      <c r="BH12" s="527">
        <f t="shared" si="12"/>
        <v>123</v>
      </c>
      <c r="BI12" s="527">
        <f t="shared" si="12"/>
        <v>123</v>
      </c>
      <c r="BJ12" s="527">
        <f t="shared" si="12"/>
        <v>123</v>
      </c>
      <c r="BK12" s="527">
        <f t="shared" si="12"/>
        <v>123</v>
      </c>
      <c r="BL12" s="527">
        <f t="shared" si="12"/>
        <v>123</v>
      </c>
      <c r="BM12" s="527">
        <f t="shared" si="12"/>
        <v>123</v>
      </c>
      <c r="BN12" s="527">
        <f t="shared" si="12"/>
        <v>123</v>
      </c>
      <c r="BO12" s="527">
        <f t="shared" si="12"/>
        <v>123</v>
      </c>
      <c r="BP12" s="527">
        <f t="shared" si="12"/>
        <v>123</v>
      </c>
      <c r="BQ12" s="527">
        <f t="shared" si="12"/>
        <v>123</v>
      </c>
      <c r="BR12" s="527">
        <f t="shared" si="12"/>
        <v>123</v>
      </c>
      <c r="BS12" s="527">
        <f t="shared" si="12"/>
        <v>123</v>
      </c>
      <c r="BT12" s="527">
        <f t="shared" si="12"/>
        <v>123</v>
      </c>
      <c r="BU12" s="527">
        <f t="shared" si="12"/>
        <v>123</v>
      </c>
      <c r="BV12" s="527">
        <f t="shared" si="12"/>
        <v>123</v>
      </c>
      <c r="BW12" s="527">
        <f t="shared" si="12"/>
        <v>123</v>
      </c>
      <c r="BX12" s="527">
        <f t="shared" si="12"/>
        <v>123</v>
      </c>
      <c r="BY12" s="527">
        <f t="shared" si="12"/>
        <v>123</v>
      </c>
      <c r="BZ12" s="537"/>
      <c r="CA12" s="537"/>
      <c r="CB12" s="537"/>
    </row>
    <row r="13" spans="1:80" x14ac:dyDescent="0.3">
      <c r="A13" s="551"/>
      <c r="B13" s="548"/>
      <c r="C13" s="525"/>
      <c r="D13" s="525"/>
      <c r="E13" s="525" t="s">
        <v>132</v>
      </c>
      <c r="F13" s="525"/>
      <c r="G13" s="525"/>
      <c r="H13" s="525"/>
      <c r="I13" s="528">
        <v>0</v>
      </c>
      <c r="J13" s="528">
        <v>0</v>
      </c>
      <c r="K13" s="528">
        <v>0</v>
      </c>
      <c r="L13" s="528">
        <v>0</v>
      </c>
      <c r="M13" s="528">
        <v>0</v>
      </c>
      <c r="N13" s="528">
        <v>0</v>
      </c>
      <c r="O13" s="525"/>
      <c r="P13" s="565"/>
      <c r="Q13" s="537"/>
      <c r="R13" s="528">
        <v>0</v>
      </c>
      <c r="S13" s="528">
        <v>0</v>
      </c>
      <c r="T13" s="528">
        <v>0</v>
      </c>
      <c r="U13" s="528">
        <v>0</v>
      </c>
      <c r="V13" s="528">
        <v>0</v>
      </c>
      <c r="W13" s="528">
        <v>0</v>
      </c>
      <c r="X13" s="528">
        <v>0</v>
      </c>
      <c r="Y13" s="528">
        <v>0</v>
      </c>
      <c r="Z13" s="528">
        <v>0</v>
      </c>
      <c r="AA13" s="528">
        <v>0</v>
      </c>
      <c r="AB13" s="528">
        <v>0</v>
      </c>
      <c r="AC13" s="528">
        <v>0</v>
      </c>
      <c r="AD13" s="528">
        <v>0</v>
      </c>
      <c r="AE13" s="528">
        <v>0</v>
      </c>
      <c r="AF13" s="528">
        <v>0</v>
      </c>
      <c r="AG13" s="528">
        <v>0</v>
      </c>
      <c r="AH13" s="528">
        <v>0</v>
      </c>
      <c r="AI13" s="528">
        <v>0</v>
      </c>
      <c r="AJ13" s="528">
        <v>0</v>
      </c>
      <c r="AK13" s="528">
        <v>0</v>
      </c>
      <c r="AL13" s="528">
        <v>0</v>
      </c>
      <c r="AM13" s="528">
        <v>0</v>
      </c>
      <c r="AN13" s="528">
        <v>0</v>
      </c>
      <c r="AO13" s="528">
        <v>0</v>
      </c>
      <c r="AP13" s="528">
        <v>0</v>
      </c>
      <c r="AQ13" s="528">
        <v>0</v>
      </c>
      <c r="AR13" s="528">
        <v>0</v>
      </c>
      <c r="AS13" s="528">
        <v>0</v>
      </c>
      <c r="AT13" s="528">
        <v>0</v>
      </c>
      <c r="AU13" s="528">
        <v>0</v>
      </c>
      <c r="AV13" s="528">
        <v>0</v>
      </c>
      <c r="AW13" s="528">
        <v>0</v>
      </c>
      <c r="AX13" s="528">
        <v>0</v>
      </c>
      <c r="AY13" s="528">
        <v>0</v>
      </c>
      <c r="AZ13" s="528">
        <v>0</v>
      </c>
      <c r="BA13" s="528">
        <v>0</v>
      </c>
      <c r="BB13" s="528">
        <v>0</v>
      </c>
      <c r="BC13" s="528">
        <v>0</v>
      </c>
      <c r="BD13" s="528">
        <v>0</v>
      </c>
      <c r="BE13" s="528">
        <v>0</v>
      </c>
      <c r="BF13" s="528">
        <v>0</v>
      </c>
      <c r="BG13" s="528">
        <v>0</v>
      </c>
      <c r="BH13" s="528">
        <v>0</v>
      </c>
      <c r="BI13" s="528">
        <v>0</v>
      </c>
      <c r="BJ13" s="528">
        <v>0</v>
      </c>
      <c r="BK13" s="528">
        <v>0</v>
      </c>
      <c r="BL13" s="528">
        <v>0</v>
      </c>
      <c r="BM13" s="528">
        <v>0</v>
      </c>
      <c r="BN13" s="528">
        <v>0</v>
      </c>
      <c r="BO13" s="528">
        <v>0</v>
      </c>
      <c r="BP13" s="528">
        <v>0</v>
      </c>
      <c r="BQ13" s="528">
        <v>0</v>
      </c>
      <c r="BR13" s="528">
        <v>0</v>
      </c>
      <c r="BS13" s="528">
        <v>0</v>
      </c>
      <c r="BT13" s="528">
        <v>0</v>
      </c>
      <c r="BU13" s="528">
        <v>0</v>
      </c>
      <c r="BV13" s="528">
        <v>0</v>
      </c>
      <c r="BW13" s="528">
        <v>0</v>
      </c>
      <c r="BX13" s="528">
        <v>0</v>
      </c>
      <c r="BY13" s="528">
        <v>0</v>
      </c>
      <c r="BZ13" s="537"/>
      <c r="CA13" s="537"/>
      <c r="CB13" s="537"/>
    </row>
    <row r="14" spans="1:80" x14ac:dyDescent="0.3">
      <c r="A14" s="551"/>
      <c r="B14" s="548"/>
      <c r="C14" s="525"/>
      <c r="D14" s="525"/>
      <c r="E14" s="525"/>
      <c r="F14" s="525"/>
      <c r="G14" s="525"/>
      <c r="H14" s="525"/>
      <c r="I14" s="529"/>
      <c r="J14" s="525"/>
      <c r="K14" s="525"/>
      <c r="L14" s="525"/>
      <c r="M14" s="525"/>
      <c r="N14" s="525"/>
      <c r="O14" s="525"/>
      <c r="P14" s="565"/>
      <c r="Q14" s="537"/>
      <c r="R14" s="525"/>
      <c r="S14" s="525"/>
      <c r="T14" s="525"/>
      <c r="U14" s="525"/>
      <c r="V14" s="525"/>
      <c r="W14" s="525"/>
      <c r="X14" s="525"/>
      <c r="Y14" s="525"/>
      <c r="Z14" s="525"/>
      <c r="AA14" s="525"/>
      <c r="AB14" s="525"/>
      <c r="AC14" s="525"/>
      <c r="AD14" s="525"/>
      <c r="AE14" s="525"/>
      <c r="AF14" s="525"/>
      <c r="AG14" s="525"/>
      <c r="AH14" s="525"/>
      <c r="AI14" s="525"/>
      <c r="AJ14" s="525"/>
      <c r="AK14" s="525"/>
      <c r="AL14" s="525"/>
      <c r="AM14" s="525"/>
      <c r="AN14" s="525"/>
      <c r="AO14" s="525"/>
      <c r="AP14" s="525"/>
      <c r="AQ14" s="525"/>
      <c r="AR14" s="525"/>
      <c r="AS14" s="525"/>
      <c r="AT14" s="525"/>
      <c r="AU14" s="525"/>
      <c r="AV14" s="525"/>
      <c r="AW14" s="525"/>
      <c r="AX14" s="525"/>
      <c r="AY14" s="525"/>
      <c r="AZ14" s="525"/>
      <c r="BA14" s="525"/>
      <c r="BB14" s="525"/>
      <c r="BC14" s="525"/>
      <c r="BD14" s="525"/>
      <c r="BE14" s="525"/>
      <c r="BF14" s="525"/>
      <c r="BG14" s="525"/>
      <c r="BH14" s="525"/>
      <c r="BI14" s="525"/>
      <c r="BJ14" s="525"/>
      <c r="BK14" s="525"/>
      <c r="BL14" s="525"/>
      <c r="BM14" s="525"/>
      <c r="BN14" s="525"/>
      <c r="BO14" s="525"/>
      <c r="BP14" s="525"/>
      <c r="BQ14" s="525"/>
      <c r="BR14" s="525"/>
      <c r="BS14" s="525"/>
      <c r="BT14" s="525"/>
      <c r="BU14" s="525"/>
      <c r="BV14" s="525"/>
      <c r="BW14" s="525"/>
      <c r="BX14" s="525"/>
      <c r="BY14" s="525"/>
      <c r="BZ14" s="537"/>
      <c r="CA14" s="537"/>
      <c r="CB14" s="537"/>
    </row>
    <row r="15" spans="1:80" x14ac:dyDescent="0.3">
      <c r="A15" s="551"/>
      <c r="B15" s="548"/>
      <c r="C15" s="525"/>
      <c r="D15" s="525"/>
      <c r="E15" s="525" t="s">
        <v>174</v>
      </c>
      <c r="F15" s="525"/>
      <c r="G15" s="525"/>
      <c r="H15" s="525"/>
      <c r="I15" s="527">
        <f t="shared" ref="I15:N15" si="13">I9</f>
        <v>123</v>
      </c>
      <c r="J15" s="527">
        <f t="shared" si="13"/>
        <v>123</v>
      </c>
      <c r="K15" s="527">
        <f t="shared" si="13"/>
        <v>123</v>
      </c>
      <c r="L15" s="527">
        <f t="shared" si="13"/>
        <v>123</v>
      </c>
      <c r="M15" s="527">
        <f t="shared" si="13"/>
        <v>123</v>
      </c>
      <c r="N15" s="527">
        <f t="shared" si="13"/>
        <v>123</v>
      </c>
      <c r="O15" s="525"/>
      <c r="P15" s="565"/>
      <c r="Q15" s="537"/>
      <c r="R15" s="527">
        <f t="shared" ref="R15:AW15" si="14">R9</f>
        <v>123</v>
      </c>
      <c r="S15" s="527">
        <f t="shared" si="14"/>
        <v>123</v>
      </c>
      <c r="T15" s="527">
        <f t="shared" si="14"/>
        <v>123</v>
      </c>
      <c r="U15" s="527">
        <f t="shared" si="14"/>
        <v>123</v>
      </c>
      <c r="V15" s="527">
        <f t="shared" si="14"/>
        <v>123</v>
      </c>
      <c r="W15" s="527">
        <f t="shared" si="14"/>
        <v>123</v>
      </c>
      <c r="X15" s="527">
        <f t="shared" si="14"/>
        <v>123</v>
      </c>
      <c r="Y15" s="527">
        <f t="shared" si="14"/>
        <v>123</v>
      </c>
      <c r="Z15" s="527">
        <f t="shared" si="14"/>
        <v>123</v>
      </c>
      <c r="AA15" s="527">
        <f t="shared" si="14"/>
        <v>123</v>
      </c>
      <c r="AB15" s="527">
        <f t="shared" si="14"/>
        <v>123</v>
      </c>
      <c r="AC15" s="527">
        <f t="shared" si="14"/>
        <v>123</v>
      </c>
      <c r="AD15" s="527">
        <f t="shared" si="14"/>
        <v>123</v>
      </c>
      <c r="AE15" s="527">
        <f t="shared" si="14"/>
        <v>123</v>
      </c>
      <c r="AF15" s="527">
        <f t="shared" si="14"/>
        <v>123</v>
      </c>
      <c r="AG15" s="527">
        <f t="shared" si="14"/>
        <v>123</v>
      </c>
      <c r="AH15" s="527">
        <f t="shared" si="14"/>
        <v>123</v>
      </c>
      <c r="AI15" s="527">
        <f t="shared" si="14"/>
        <v>123</v>
      </c>
      <c r="AJ15" s="527">
        <f t="shared" si="14"/>
        <v>123</v>
      </c>
      <c r="AK15" s="527">
        <f t="shared" si="14"/>
        <v>123</v>
      </c>
      <c r="AL15" s="527">
        <f t="shared" si="14"/>
        <v>123</v>
      </c>
      <c r="AM15" s="527">
        <f t="shared" si="14"/>
        <v>123</v>
      </c>
      <c r="AN15" s="527">
        <f t="shared" si="14"/>
        <v>123</v>
      </c>
      <c r="AO15" s="527">
        <f t="shared" si="14"/>
        <v>123</v>
      </c>
      <c r="AP15" s="527">
        <f t="shared" si="14"/>
        <v>123</v>
      </c>
      <c r="AQ15" s="527">
        <f t="shared" si="14"/>
        <v>123</v>
      </c>
      <c r="AR15" s="527">
        <f t="shared" si="14"/>
        <v>123</v>
      </c>
      <c r="AS15" s="527">
        <f t="shared" si="14"/>
        <v>123</v>
      </c>
      <c r="AT15" s="527">
        <f t="shared" si="14"/>
        <v>123</v>
      </c>
      <c r="AU15" s="527">
        <f t="shared" si="14"/>
        <v>123</v>
      </c>
      <c r="AV15" s="527">
        <f t="shared" si="14"/>
        <v>123</v>
      </c>
      <c r="AW15" s="527">
        <f t="shared" si="14"/>
        <v>123</v>
      </c>
      <c r="AX15" s="527">
        <f t="shared" ref="AX15:BY15" si="15">AX9</f>
        <v>123</v>
      </c>
      <c r="AY15" s="527">
        <f t="shared" si="15"/>
        <v>123</v>
      </c>
      <c r="AZ15" s="527">
        <f t="shared" si="15"/>
        <v>123</v>
      </c>
      <c r="BA15" s="527">
        <f t="shared" si="15"/>
        <v>123</v>
      </c>
      <c r="BB15" s="527">
        <f t="shared" si="15"/>
        <v>123</v>
      </c>
      <c r="BC15" s="527">
        <f t="shared" si="15"/>
        <v>123</v>
      </c>
      <c r="BD15" s="527">
        <f t="shared" si="15"/>
        <v>123</v>
      </c>
      <c r="BE15" s="527">
        <f t="shared" si="15"/>
        <v>123</v>
      </c>
      <c r="BF15" s="527">
        <f t="shared" si="15"/>
        <v>123</v>
      </c>
      <c r="BG15" s="527">
        <f t="shared" si="15"/>
        <v>123</v>
      </c>
      <c r="BH15" s="527">
        <f t="shared" si="15"/>
        <v>123</v>
      </c>
      <c r="BI15" s="527">
        <f t="shared" si="15"/>
        <v>123</v>
      </c>
      <c r="BJ15" s="527">
        <f t="shared" si="15"/>
        <v>123</v>
      </c>
      <c r="BK15" s="527">
        <f t="shared" si="15"/>
        <v>123</v>
      </c>
      <c r="BL15" s="527">
        <f t="shared" si="15"/>
        <v>123</v>
      </c>
      <c r="BM15" s="527">
        <f t="shared" si="15"/>
        <v>123</v>
      </c>
      <c r="BN15" s="527">
        <f t="shared" si="15"/>
        <v>123</v>
      </c>
      <c r="BO15" s="527">
        <f t="shared" si="15"/>
        <v>123</v>
      </c>
      <c r="BP15" s="527">
        <f t="shared" si="15"/>
        <v>123</v>
      </c>
      <c r="BQ15" s="527">
        <f t="shared" si="15"/>
        <v>123</v>
      </c>
      <c r="BR15" s="527">
        <f t="shared" si="15"/>
        <v>123</v>
      </c>
      <c r="BS15" s="527">
        <f t="shared" si="15"/>
        <v>123</v>
      </c>
      <c r="BT15" s="527">
        <f t="shared" si="15"/>
        <v>123</v>
      </c>
      <c r="BU15" s="527">
        <f t="shared" si="15"/>
        <v>123</v>
      </c>
      <c r="BV15" s="527">
        <f t="shared" si="15"/>
        <v>123</v>
      </c>
      <c r="BW15" s="527">
        <f t="shared" si="15"/>
        <v>123</v>
      </c>
      <c r="BX15" s="527">
        <f t="shared" si="15"/>
        <v>123</v>
      </c>
      <c r="BY15" s="527">
        <f t="shared" si="15"/>
        <v>123</v>
      </c>
      <c r="BZ15" s="537"/>
      <c r="CA15" s="537"/>
      <c r="CB15" s="537"/>
    </row>
    <row r="16" spans="1:80" x14ac:dyDescent="0.3">
      <c r="A16" s="551"/>
      <c r="B16" s="548"/>
      <c r="C16" s="525"/>
      <c r="D16" s="525"/>
      <c r="E16" s="525" t="s">
        <v>190</v>
      </c>
      <c r="F16" s="525"/>
      <c r="G16" s="525"/>
      <c r="H16" s="525"/>
      <c r="I16" s="527">
        <f t="shared" ref="I16:N16" si="16">I15</f>
        <v>123</v>
      </c>
      <c r="J16" s="527">
        <f t="shared" si="16"/>
        <v>123</v>
      </c>
      <c r="K16" s="527">
        <f t="shared" si="16"/>
        <v>123</v>
      </c>
      <c r="L16" s="527">
        <f t="shared" si="16"/>
        <v>123</v>
      </c>
      <c r="M16" s="527">
        <f t="shared" si="16"/>
        <v>123</v>
      </c>
      <c r="N16" s="527">
        <f t="shared" si="16"/>
        <v>123</v>
      </c>
      <c r="O16" s="525"/>
      <c r="P16" s="565"/>
      <c r="Q16" s="537"/>
      <c r="R16" s="527">
        <f t="shared" ref="R16:AW16" si="17">R15</f>
        <v>123</v>
      </c>
      <c r="S16" s="527">
        <f t="shared" si="17"/>
        <v>123</v>
      </c>
      <c r="T16" s="527">
        <f t="shared" si="17"/>
        <v>123</v>
      </c>
      <c r="U16" s="527">
        <f t="shared" si="17"/>
        <v>123</v>
      </c>
      <c r="V16" s="527">
        <f t="shared" si="17"/>
        <v>123</v>
      </c>
      <c r="W16" s="527">
        <f t="shared" si="17"/>
        <v>123</v>
      </c>
      <c r="X16" s="527">
        <f t="shared" si="17"/>
        <v>123</v>
      </c>
      <c r="Y16" s="527">
        <f t="shared" si="17"/>
        <v>123</v>
      </c>
      <c r="Z16" s="527">
        <f t="shared" si="17"/>
        <v>123</v>
      </c>
      <c r="AA16" s="527">
        <f t="shared" si="17"/>
        <v>123</v>
      </c>
      <c r="AB16" s="527">
        <f t="shared" si="17"/>
        <v>123</v>
      </c>
      <c r="AC16" s="527">
        <f t="shared" si="17"/>
        <v>123</v>
      </c>
      <c r="AD16" s="527">
        <f t="shared" si="17"/>
        <v>123</v>
      </c>
      <c r="AE16" s="527">
        <f t="shared" si="17"/>
        <v>123</v>
      </c>
      <c r="AF16" s="527">
        <f t="shared" si="17"/>
        <v>123</v>
      </c>
      <c r="AG16" s="527">
        <f t="shared" si="17"/>
        <v>123</v>
      </c>
      <c r="AH16" s="527">
        <f t="shared" si="17"/>
        <v>123</v>
      </c>
      <c r="AI16" s="527">
        <f t="shared" si="17"/>
        <v>123</v>
      </c>
      <c r="AJ16" s="527">
        <f t="shared" si="17"/>
        <v>123</v>
      </c>
      <c r="AK16" s="527">
        <f t="shared" si="17"/>
        <v>123</v>
      </c>
      <c r="AL16" s="527">
        <f t="shared" si="17"/>
        <v>123</v>
      </c>
      <c r="AM16" s="527">
        <f t="shared" si="17"/>
        <v>123</v>
      </c>
      <c r="AN16" s="527">
        <f t="shared" si="17"/>
        <v>123</v>
      </c>
      <c r="AO16" s="527">
        <f t="shared" si="17"/>
        <v>123</v>
      </c>
      <c r="AP16" s="527">
        <f t="shared" si="17"/>
        <v>123</v>
      </c>
      <c r="AQ16" s="527">
        <f t="shared" si="17"/>
        <v>123</v>
      </c>
      <c r="AR16" s="527">
        <f t="shared" si="17"/>
        <v>123</v>
      </c>
      <c r="AS16" s="527">
        <f t="shared" si="17"/>
        <v>123</v>
      </c>
      <c r="AT16" s="527">
        <f t="shared" si="17"/>
        <v>123</v>
      </c>
      <c r="AU16" s="527">
        <f t="shared" si="17"/>
        <v>123</v>
      </c>
      <c r="AV16" s="527">
        <f t="shared" si="17"/>
        <v>123</v>
      </c>
      <c r="AW16" s="527">
        <f t="shared" si="17"/>
        <v>123</v>
      </c>
      <c r="AX16" s="527">
        <f t="shared" ref="AX16:BY16" si="18">AX15</f>
        <v>123</v>
      </c>
      <c r="AY16" s="527">
        <f t="shared" si="18"/>
        <v>123</v>
      </c>
      <c r="AZ16" s="527">
        <f t="shared" si="18"/>
        <v>123</v>
      </c>
      <c r="BA16" s="527">
        <f t="shared" si="18"/>
        <v>123</v>
      </c>
      <c r="BB16" s="527">
        <f t="shared" si="18"/>
        <v>123</v>
      </c>
      <c r="BC16" s="527">
        <f t="shared" si="18"/>
        <v>123</v>
      </c>
      <c r="BD16" s="527">
        <f t="shared" si="18"/>
        <v>123</v>
      </c>
      <c r="BE16" s="527">
        <f t="shared" si="18"/>
        <v>123</v>
      </c>
      <c r="BF16" s="527">
        <f t="shared" si="18"/>
        <v>123</v>
      </c>
      <c r="BG16" s="527">
        <f t="shared" si="18"/>
        <v>123</v>
      </c>
      <c r="BH16" s="527">
        <f t="shared" si="18"/>
        <v>123</v>
      </c>
      <c r="BI16" s="527">
        <f t="shared" si="18"/>
        <v>123</v>
      </c>
      <c r="BJ16" s="527">
        <f t="shared" si="18"/>
        <v>123</v>
      </c>
      <c r="BK16" s="527">
        <f t="shared" si="18"/>
        <v>123</v>
      </c>
      <c r="BL16" s="527">
        <f t="shared" si="18"/>
        <v>123</v>
      </c>
      <c r="BM16" s="527">
        <f t="shared" si="18"/>
        <v>123</v>
      </c>
      <c r="BN16" s="527">
        <f t="shared" si="18"/>
        <v>123</v>
      </c>
      <c r="BO16" s="527">
        <f t="shared" si="18"/>
        <v>123</v>
      </c>
      <c r="BP16" s="527">
        <f t="shared" si="18"/>
        <v>123</v>
      </c>
      <c r="BQ16" s="527">
        <f t="shared" si="18"/>
        <v>123</v>
      </c>
      <c r="BR16" s="527">
        <f t="shared" si="18"/>
        <v>123</v>
      </c>
      <c r="BS16" s="527">
        <f t="shared" si="18"/>
        <v>123</v>
      </c>
      <c r="BT16" s="527">
        <f t="shared" si="18"/>
        <v>123</v>
      </c>
      <c r="BU16" s="527">
        <f t="shared" si="18"/>
        <v>123</v>
      </c>
      <c r="BV16" s="527">
        <f t="shared" si="18"/>
        <v>123</v>
      </c>
      <c r="BW16" s="527">
        <f t="shared" si="18"/>
        <v>123</v>
      </c>
      <c r="BX16" s="527">
        <f t="shared" si="18"/>
        <v>123</v>
      </c>
      <c r="BY16" s="527">
        <f t="shared" si="18"/>
        <v>123</v>
      </c>
      <c r="BZ16" s="537"/>
      <c r="CA16" s="537"/>
      <c r="CB16" s="537"/>
    </row>
    <row r="17" spans="1:80" x14ac:dyDescent="0.3">
      <c r="A17" s="551"/>
      <c r="B17" s="548"/>
      <c r="C17" s="525"/>
      <c r="D17" s="525"/>
      <c r="E17" s="525" t="s">
        <v>266</v>
      </c>
      <c r="F17" s="525"/>
      <c r="G17" s="525"/>
      <c r="H17" s="525"/>
      <c r="I17" s="528">
        <v>0</v>
      </c>
      <c r="J17" s="528">
        <v>0</v>
      </c>
      <c r="K17" s="528">
        <v>0</v>
      </c>
      <c r="L17" s="528">
        <v>0</v>
      </c>
      <c r="M17" s="528">
        <v>0</v>
      </c>
      <c r="N17" s="528">
        <v>0</v>
      </c>
      <c r="O17" s="525"/>
      <c r="P17" s="565"/>
      <c r="Q17" s="537"/>
      <c r="R17" s="528">
        <v>0</v>
      </c>
      <c r="S17" s="528">
        <v>0</v>
      </c>
      <c r="T17" s="528">
        <v>0</v>
      </c>
      <c r="U17" s="528">
        <v>0</v>
      </c>
      <c r="V17" s="528">
        <v>0</v>
      </c>
      <c r="W17" s="528">
        <v>0</v>
      </c>
      <c r="X17" s="528">
        <v>0</v>
      </c>
      <c r="Y17" s="528">
        <v>0</v>
      </c>
      <c r="Z17" s="528">
        <v>0</v>
      </c>
      <c r="AA17" s="528">
        <v>0</v>
      </c>
      <c r="AB17" s="528">
        <v>0</v>
      </c>
      <c r="AC17" s="528">
        <v>0</v>
      </c>
      <c r="AD17" s="528">
        <v>0</v>
      </c>
      <c r="AE17" s="528">
        <v>0</v>
      </c>
      <c r="AF17" s="528">
        <v>0</v>
      </c>
      <c r="AG17" s="528">
        <v>0</v>
      </c>
      <c r="AH17" s="528">
        <v>0</v>
      </c>
      <c r="AI17" s="528">
        <v>0</v>
      </c>
      <c r="AJ17" s="528">
        <v>0</v>
      </c>
      <c r="AK17" s="528">
        <v>0</v>
      </c>
      <c r="AL17" s="528">
        <v>0</v>
      </c>
      <c r="AM17" s="528">
        <v>0</v>
      </c>
      <c r="AN17" s="528">
        <v>0</v>
      </c>
      <c r="AO17" s="528">
        <v>0</v>
      </c>
      <c r="AP17" s="528">
        <v>0</v>
      </c>
      <c r="AQ17" s="528">
        <v>0</v>
      </c>
      <c r="AR17" s="528">
        <v>0</v>
      </c>
      <c r="AS17" s="528">
        <v>0</v>
      </c>
      <c r="AT17" s="528">
        <v>0</v>
      </c>
      <c r="AU17" s="528">
        <v>0</v>
      </c>
      <c r="AV17" s="528">
        <v>0</v>
      </c>
      <c r="AW17" s="528">
        <v>0</v>
      </c>
      <c r="AX17" s="528">
        <v>0</v>
      </c>
      <c r="AY17" s="528">
        <v>0</v>
      </c>
      <c r="AZ17" s="528">
        <v>0</v>
      </c>
      <c r="BA17" s="528">
        <v>0</v>
      </c>
      <c r="BB17" s="528">
        <v>0</v>
      </c>
      <c r="BC17" s="528">
        <v>0</v>
      </c>
      <c r="BD17" s="528">
        <v>0</v>
      </c>
      <c r="BE17" s="528">
        <v>0</v>
      </c>
      <c r="BF17" s="528">
        <v>0</v>
      </c>
      <c r="BG17" s="528">
        <v>0</v>
      </c>
      <c r="BH17" s="528">
        <v>0</v>
      </c>
      <c r="BI17" s="528">
        <v>0</v>
      </c>
      <c r="BJ17" s="528">
        <v>0</v>
      </c>
      <c r="BK17" s="528">
        <v>0</v>
      </c>
      <c r="BL17" s="528">
        <v>0</v>
      </c>
      <c r="BM17" s="528">
        <v>0</v>
      </c>
      <c r="BN17" s="528">
        <v>0</v>
      </c>
      <c r="BO17" s="528">
        <v>0</v>
      </c>
      <c r="BP17" s="528">
        <v>0</v>
      </c>
      <c r="BQ17" s="528">
        <v>0</v>
      </c>
      <c r="BR17" s="528">
        <v>0</v>
      </c>
      <c r="BS17" s="528">
        <v>0</v>
      </c>
      <c r="BT17" s="528">
        <v>0</v>
      </c>
      <c r="BU17" s="528">
        <v>0</v>
      </c>
      <c r="BV17" s="528">
        <v>0</v>
      </c>
      <c r="BW17" s="528">
        <v>0</v>
      </c>
      <c r="BX17" s="528">
        <v>0</v>
      </c>
      <c r="BY17" s="528">
        <v>0</v>
      </c>
      <c r="BZ17" s="537"/>
      <c r="CA17" s="537"/>
      <c r="CB17" s="537"/>
    </row>
    <row r="18" spans="1:80" x14ac:dyDescent="0.3">
      <c r="A18" s="551"/>
      <c r="B18" s="548"/>
      <c r="C18" s="525"/>
      <c r="D18" s="525"/>
      <c r="E18" s="525"/>
      <c r="F18" s="525"/>
      <c r="G18" s="525"/>
      <c r="H18" s="525"/>
      <c r="I18" s="529"/>
      <c r="J18" s="525"/>
      <c r="K18" s="525"/>
      <c r="L18" s="525"/>
      <c r="M18" s="525"/>
      <c r="N18" s="525"/>
      <c r="O18" s="525"/>
      <c r="P18" s="565"/>
      <c r="Q18" s="537"/>
      <c r="R18" s="525"/>
      <c r="S18" s="525"/>
      <c r="T18" s="525"/>
      <c r="U18" s="525"/>
      <c r="V18" s="525"/>
      <c r="W18" s="525"/>
      <c r="X18" s="525"/>
      <c r="Y18" s="525"/>
      <c r="Z18" s="525"/>
      <c r="AA18" s="525"/>
      <c r="AB18" s="525"/>
      <c r="AC18" s="525"/>
      <c r="AD18" s="525"/>
      <c r="AE18" s="525"/>
      <c r="AF18" s="525"/>
      <c r="AG18" s="525"/>
      <c r="AH18" s="525"/>
      <c r="AI18" s="525"/>
      <c r="AJ18" s="525"/>
      <c r="AK18" s="525"/>
      <c r="AL18" s="525"/>
      <c r="AM18" s="525"/>
      <c r="AN18" s="525"/>
      <c r="AO18" s="525"/>
      <c r="AP18" s="525"/>
      <c r="AQ18" s="525"/>
      <c r="AR18" s="525"/>
      <c r="AS18" s="525"/>
      <c r="AT18" s="525"/>
      <c r="AU18" s="525"/>
      <c r="AV18" s="525"/>
      <c r="AW18" s="525"/>
      <c r="AX18" s="525"/>
      <c r="AY18" s="525"/>
      <c r="AZ18" s="525"/>
      <c r="BA18" s="525"/>
      <c r="BB18" s="525"/>
      <c r="BC18" s="525"/>
      <c r="BD18" s="525"/>
      <c r="BE18" s="525"/>
      <c r="BF18" s="525"/>
      <c r="BG18" s="525"/>
      <c r="BH18" s="525"/>
      <c r="BI18" s="525"/>
      <c r="BJ18" s="525"/>
      <c r="BK18" s="525"/>
      <c r="BL18" s="525"/>
      <c r="BM18" s="525"/>
      <c r="BN18" s="525"/>
      <c r="BO18" s="525"/>
      <c r="BP18" s="525"/>
      <c r="BQ18" s="525"/>
      <c r="BR18" s="525"/>
      <c r="BS18" s="525"/>
      <c r="BT18" s="525"/>
      <c r="BU18" s="525"/>
      <c r="BV18" s="525"/>
      <c r="BW18" s="525"/>
      <c r="BX18" s="525"/>
      <c r="BY18" s="525"/>
      <c r="BZ18" s="537"/>
      <c r="CA18" s="537"/>
      <c r="CB18" s="537"/>
    </row>
    <row r="19" spans="1:80" x14ac:dyDescent="0.3">
      <c r="A19" s="551"/>
      <c r="B19" s="548"/>
      <c r="C19" s="525"/>
      <c r="D19" s="525"/>
      <c r="E19" s="566" t="s">
        <v>373</v>
      </c>
      <c r="F19" s="567"/>
      <c r="G19" s="567"/>
      <c r="H19" s="567"/>
      <c r="I19" s="527">
        <f>I507</f>
        <v>21251.9154586968</v>
      </c>
      <c r="J19" s="527">
        <f>SUMIF($R$2:$BY$2,J$3,$R19:$BY19)</f>
        <v>21483.399524803095</v>
      </c>
      <c r="K19" s="527">
        <f>SUMIF($R$2:$BY$2,K$3,$R19:$BY19)</f>
        <v>21874.809164671791</v>
      </c>
      <c r="L19" s="527">
        <f>SUMIF($R$2:$BY$2,L$3,$R19:$BY19)</f>
        <v>22262.472495916394</v>
      </c>
      <c r="M19" s="527">
        <f>SUMIF($R$2:$BY$2,M$3,$R19:$BY19)</f>
        <v>22666.084424337852</v>
      </c>
      <c r="N19" s="527">
        <f>SUMIF($R$2:$BY$2,N$3,$R19:$BY19)</f>
        <v>23077.842157022129</v>
      </c>
      <c r="O19" s="529"/>
      <c r="P19" s="568">
        <f>IFERROR(((N19/I19)^(1/5))-1,0)</f>
        <v>1.662181291428122E-2</v>
      </c>
      <c r="Q19" s="569"/>
      <c r="R19" s="527">
        <f t="shared" ref="R19:AW19" si="19">R469</f>
        <v>1770.9929548914001</v>
      </c>
      <c r="S19" s="527">
        <f t="shared" si="19"/>
        <v>1770.9929548914001</v>
      </c>
      <c r="T19" s="527">
        <f t="shared" si="19"/>
        <v>1770.9929548914001</v>
      </c>
      <c r="U19" s="527">
        <f t="shared" si="19"/>
        <v>1770.9929548914001</v>
      </c>
      <c r="V19" s="527">
        <f t="shared" si="19"/>
        <v>1770.9929548914001</v>
      </c>
      <c r="W19" s="527">
        <f t="shared" si="19"/>
        <v>1770.9929548914001</v>
      </c>
      <c r="X19" s="527">
        <f t="shared" si="19"/>
        <v>1809.5736325757821</v>
      </c>
      <c r="Y19" s="527">
        <f t="shared" si="19"/>
        <v>1809.5736325757821</v>
      </c>
      <c r="Z19" s="527">
        <f t="shared" si="19"/>
        <v>1809.5736325757821</v>
      </c>
      <c r="AA19" s="527">
        <f t="shared" si="19"/>
        <v>1809.5736325757821</v>
      </c>
      <c r="AB19" s="527">
        <f t="shared" si="19"/>
        <v>1809.5736325757821</v>
      </c>
      <c r="AC19" s="527">
        <f t="shared" si="19"/>
        <v>1809.5736325757821</v>
      </c>
      <c r="AD19" s="527">
        <f t="shared" si="19"/>
        <v>1799.0753610389834</v>
      </c>
      <c r="AE19" s="527">
        <f t="shared" si="19"/>
        <v>1799.0753610389834</v>
      </c>
      <c r="AF19" s="527">
        <f t="shared" si="19"/>
        <v>1799.0753610389834</v>
      </c>
      <c r="AG19" s="527">
        <f t="shared" si="19"/>
        <v>1799.0753610389834</v>
      </c>
      <c r="AH19" s="527">
        <f t="shared" si="19"/>
        <v>1799.0753610389834</v>
      </c>
      <c r="AI19" s="527">
        <f t="shared" si="19"/>
        <v>1799.0753610389834</v>
      </c>
      <c r="AJ19" s="527">
        <f t="shared" si="19"/>
        <v>1846.7261664063144</v>
      </c>
      <c r="AK19" s="527">
        <f t="shared" si="19"/>
        <v>1846.7261664063144</v>
      </c>
      <c r="AL19" s="527">
        <f t="shared" si="19"/>
        <v>1846.7261664063144</v>
      </c>
      <c r="AM19" s="527">
        <f t="shared" si="19"/>
        <v>1846.7261664063144</v>
      </c>
      <c r="AN19" s="527">
        <f t="shared" si="19"/>
        <v>1846.7261664063144</v>
      </c>
      <c r="AO19" s="527">
        <f t="shared" si="19"/>
        <v>1846.7261664063144</v>
      </c>
      <c r="AP19" s="527">
        <f t="shared" si="19"/>
        <v>1826.9081111943708</v>
      </c>
      <c r="AQ19" s="527">
        <f t="shared" si="19"/>
        <v>1826.9081111943708</v>
      </c>
      <c r="AR19" s="527">
        <f t="shared" si="19"/>
        <v>1826.9081111943708</v>
      </c>
      <c r="AS19" s="527">
        <f t="shared" si="19"/>
        <v>1826.9081111943708</v>
      </c>
      <c r="AT19" s="527">
        <f t="shared" si="19"/>
        <v>1826.9081111943708</v>
      </c>
      <c r="AU19" s="527">
        <f t="shared" si="19"/>
        <v>1826.9081111943708</v>
      </c>
      <c r="AV19" s="527">
        <f t="shared" si="19"/>
        <v>1883.5039714583609</v>
      </c>
      <c r="AW19" s="527">
        <f t="shared" si="19"/>
        <v>1883.5039714583609</v>
      </c>
      <c r="AX19" s="527">
        <f t="shared" ref="AX19:BY19" si="20">AX469</f>
        <v>1883.5039714583609</v>
      </c>
      <c r="AY19" s="527">
        <f t="shared" si="20"/>
        <v>1883.5039714583609</v>
      </c>
      <c r="AZ19" s="527">
        <f t="shared" si="20"/>
        <v>1883.5039714583609</v>
      </c>
      <c r="BA19" s="527">
        <f t="shared" si="20"/>
        <v>1883.5039714583609</v>
      </c>
      <c r="BB19" s="527">
        <f t="shared" si="20"/>
        <v>1856.1043158684593</v>
      </c>
      <c r="BC19" s="527">
        <f t="shared" si="20"/>
        <v>1856.1043158684593</v>
      </c>
      <c r="BD19" s="527">
        <f t="shared" si="20"/>
        <v>1856.1043158684593</v>
      </c>
      <c r="BE19" s="527">
        <f t="shared" si="20"/>
        <v>1856.1043158684593</v>
      </c>
      <c r="BF19" s="527">
        <f t="shared" si="20"/>
        <v>1856.1043158684593</v>
      </c>
      <c r="BG19" s="527">
        <f t="shared" si="20"/>
        <v>1856.1043158684593</v>
      </c>
      <c r="BH19" s="527">
        <f t="shared" si="20"/>
        <v>1921.5764215211832</v>
      </c>
      <c r="BI19" s="527">
        <f t="shared" si="20"/>
        <v>1921.5764215211832</v>
      </c>
      <c r="BJ19" s="527">
        <f t="shared" si="20"/>
        <v>1921.5764215211832</v>
      </c>
      <c r="BK19" s="527">
        <f t="shared" si="20"/>
        <v>1921.5764215211832</v>
      </c>
      <c r="BL19" s="527">
        <f t="shared" si="20"/>
        <v>1921.5764215211832</v>
      </c>
      <c r="BM19" s="527">
        <f t="shared" si="20"/>
        <v>1921.5764215211832</v>
      </c>
      <c r="BN19" s="527">
        <f t="shared" si="20"/>
        <v>1886.0607103382972</v>
      </c>
      <c r="BO19" s="527">
        <f t="shared" si="20"/>
        <v>1886.0607103382972</v>
      </c>
      <c r="BP19" s="527">
        <f t="shared" si="20"/>
        <v>1886.0607103382972</v>
      </c>
      <c r="BQ19" s="527">
        <f t="shared" si="20"/>
        <v>1886.0607103382972</v>
      </c>
      <c r="BR19" s="527">
        <f t="shared" si="20"/>
        <v>1886.0607103382972</v>
      </c>
      <c r="BS19" s="527">
        <f t="shared" si="20"/>
        <v>1886.0607103382972</v>
      </c>
      <c r="BT19" s="527">
        <f t="shared" si="20"/>
        <v>1960.2463158320584</v>
      </c>
      <c r="BU19" s="527">
        <f t="shared" si="20"/>
        <v>1960.2463158320584</v>
      </c>
      <c r="BV19" s="527">
        <f t="shared" si="20"/>
        <v>1960.2463158320584</v>
      </c>
      <c r="BW19" s="527">
        <f t="shared" si="20"/>
        <v>1960.2463158320584</v>
      </c>
      <c r="BX19" s="527">
        <f t="shared" si="20"/>
        <v>1960.2463158320584</v>
      </c>
      <c r="BY19" s="527">
        <f t="shared" si="20"/>
        <v>1960.2463158320584</v>
      </c>
      <c r="BZ19" s="537"/>
      <c r="CA19" s="537"/>
      <c r="CB19" s="537"/>
    </row>
    <row r="20" spans="1:80" x14ac:dyDescent="0.3">
      <c r="A20" s="551"/>
      <c r="B20" s="548"/>
      <c r="C20" s="525"/>
      <c r="D20" s="525"/>
      <c r="E20" s="525"/>
      <c r="F20" s="529"/>
      <c r="G20" s="529"/>
      <c r="H20" s="529"/>
      <c r="I20" s="529"/>
      <c r="J20" s="529"/>
      <c r="K20" s="529"/>
      <c r="L20" s="529"/>
      <c r="M20" s="529"/>
      <c r="N20" s="529"/>
      <c r="O20" s="529"/>
      <c r="P20" s="562"/>
      <c r="Q20" s="537"/>
      <c r="R20" s="529"/>
      <c r="S20" s="529"/>
      <c r="T20" s="529"/>
      <c r="U20" s="529"/>
      <c r="V20" s="529"/>
      <c r="W20" s="529"/>
      <c r="X20" s="529"/>
      <c r="Y20" s="529"/>
      <c r="Z20" s="529"/>
      <c r="AA20" s="529"/>
      <c r="AB20" s="529"/>
      <c r="AC20" s="529"/>
      <c r="AD20" s="529"/>
      <c r="AE20" s="529"/>
      <c r="AF20" s="529"/>
      <c r="AG20" s="529"/>
      <c r="AH20" s="529"/>
      <c r="AI20" s="529"/>
      <c r="AJ20" s="529"/>
      <c r="AK20" s="529"/>
      <c r="AL20" s="529"/>
      <c r="AM20" s="529"/>
      <c r="AN20" s="529"/>
      <c r="AO20" s="529"/>
      <c r="AP20" s="529"/>
      <c r="AQ20" s="529"/>
      <c r="AR20" s="529"/>
      <c r="AS20" s="529"/>
      <c r="AT20" s="529"/>
      <c r="AU20" s="529"/>
      <c r="AV20" s="529"/>
      <c r="AW20" s="529"/>
      <c r="AX20" s="529"/>
      <c r="AY20" s="529"/>
      <c r="AZ20" s="529"/>
      <c r="BA20" s="529"/>
      <c r="BB20" s="529"/>
      <c r="BC20" s="529"/>
      <c r="BD20" s="529"/>
      <c r="BE20" s="529"/>
      <c r="BF20" s="529"/>
      <c r="BG20" s="529"/>
      <c r="BH20" s="529"/>
      <c r="BI20" s="529"/>
      <c r="BJ20" s="529"/>
      <c r="BK20" s="529"/>
      <c r="BL20" s="529"/>
      <c r="BM20" s="529"/>
      <c r="BN20" s="529"/>
      <c r="BO20" s="529"/>
      <c r="BP20" s="529"/>
      <c r="BQ20" s="529"/>
      <c r="BR20" s="529"/>
      <c r="BS20" s="529"/>
      <c r="BT20" s="529"/>
      <c r="BU20" s="529"/>
      <c r="BV20" s="529"/>
      <c r="BW20" s="529"/>
      <c r="BX20" s="529"/>
      <c r="BY20" s="529"/>
      <c r="BZ20" s="537"/>
      <c r="CA20" s="537"/>
      <c r="CB20" s="537"/>
    </row>
    <row r="21" spans="1:80" x14ac:dyDescent="0.3">
      <c r="A21" s="551"/>
      <c r="B21" s="548"/>
      <c r="C21" s="525"/>
      <c r="D21" s="525"/>
      <c r="E21" s="570" t="s">
        <v>22</v>
      </c>
      <c r="F21" s="529"/>
      <c r="G21" s="529"/>
      <c r="H21" s="529"/>
      <c r="I21" s="571"/>
      <c r="J21" s="571"/>
      <c r="K21" s="571"/>
      <c r="L21" s="571"/>
      <c r="M21" s="571"/>
      <c r="N21" s="571"/>
      <c r="O21" s="529"/>
      <c r="P21" s="562"/>
      <c r="Q21" s="537"/>
      <c r="R21" s="529"/>
      <c r="S21" s="529"/>
      <c r="T21" s="529"/>
      <c r="U21" s="529"/>
      <c r="V21" s="529"/>
      <c r="W21" s="529"/>
      <c r="X21" s="529"/>
      <c r="Y21" s="529"/>
      <c r="Z21" s="529"/>
      <c r="AA21" s="529"/>
      <c r="AB21" s="529"/>
      <c r="AC21" s="529"/>
      <c r="AD21" s="529"/>
      <c r="AE21" s="529"/>
      <c r="AF21" s="529"/>
      <c r="AG21" s="529"/>
      <c r="AH21" s="529"/>
      <c r="AI21" s="529"/>
      <c r="AJ21" s="529"/>
      <c r="AK21" s="529"/>
      <c r="AL21" s="529"/>
      <c r="AM21" s="529"/>
      <c r="AN21" s="529"/>
      <c r="AO21" s="529"/>
      <c r="AP21" s="529"/>
      <c r="AQ21" s="529"/>
      <c r="AR21" s="529"/>
      <c r="AS21" s="529"/>
      <c r="AT21" s="529"/>
      <c r="AU21" s="529"/>
      <c r="AV21" s="529"/>
      <c r="AW21" s="529"/>
      <c r="AX21" s="529"/>
      <c r="AY21" s="529"/>
      <c r="AZ21" s="529"/>
      <c r="BA21" s="529"/>
      <c r="BB21" s="529"/>
      <c r="BC21" s="529"/>
      <c r="BD21" s="529"/>
      <c r="BE21" s="529"/>
      <c r="BF21" s="529"/>
      <c r="BG21" s="529"/>
      <c r="BH21" s="529"/>
      <c r="BI21" s="529"/>
      <c r="BJ21" s="529"/>
      <c r="BK21" s="529"/>
      <c r="BL21" s="529"/>
      <c r="BM21" s="529"/>
      <c r="BN21" s="529"/>
      <c r="BO21" s="529"/>
      <c r="BP21" s="529"/>
      <c r="BQ21" s="529"/>
      <c r="BR21" s="529"/>
      <c r="BS21" s="529"/>
      <c r="BT21" s="529"/>
      <c r="BU21" s="529"/>
      <c r="BV21" s="529"/>
      <c r="BW21" s="529"/>
      <c r="BX21" s="529"/>
      <c r="BY21" s="529"/>
      <c r="BZ21" s="537"/>
      <c r="CA21" s="537"/>
      <c r="CB21" s="537"/>
    </row>
    <row r="22" spans="1:80" x14ac:dyDescent="0.3">
      <c r="A22" s="551"/>
      <c r="B22" s="548"/>
      <c r="C22" s="525"/>
      <c r="D22" s="525"/>
      <c r="E22" s="572" t="s">
        <v>388</v>
      </c>
      <c r="F22" s="573"/>
      <c r="G22" s="573"/>
      <c r="H22" s="573"/>
      <c r="I22" s="530">
        <f t="shared" ref="I22:I27" si="21">I512</f>
        <v>16580710.712636819</v>
      </c>
      <c r="J22" s="530">
        <f t="shared" ref="J22:N27" si="22">SUMIF($R$2:$BY$2,J$3,$R22:$BY22)</f>
        <v>17390174.813046746</v>
      </c>
      <c r="K22" s="530">
        <f t="shared" si="22"/>
        <v>18353426.136092901</v>
      </c>
      <c r="L22" s="530">
        <f t="shared" si="22"/>
        <v>19337552.612326015</v>
      </c>
      <c r="M22" s="530">
        <f t="shared" si="22"/>
        <v>20355566.626763996</v>
      </c>
      <c r="N22" s="530">
        <f t="shared" si="22"/>
        <v>21428276.259285837</v>
      </c>
      <c r="O22" s="536"/>
      <c r="P22" s="568">
        <f t="shared" ref="P22:P28" si="23">IFERROR(((N22/I22)^(1/5))-1,0)</f>
        <v>5.2632607157044653E-2</v>
      </c>
      <c r="Q22" s="537"/>
      <c r="R22" s="530">
        <f t="shared" ref="R22:AW22" si="24">R252</f>
        <v>1433566.2771936436</v>
      </c>
      <c r="S22" s="530">
        <f t="shared" si="24"/>
        <v>1433566.2771936436</v>
      </c>
      <c r="T22" s="530">
        <f t="shared" si="24"/>
        <v>1433566.2771936436</v>
      </c>
      <c r="U22" s="530">
        <f t="shared" si="24"/>
        <v>1433566.2771936436</v>
      </c>
      <c r="V22" s="530">
        <f t="shared" si="24"/>
        <v>1433566.2771936436</v>
      </c>
      <c r="W22" s="530">
        <f t="shared" si="24"/>
        <v>1433566.2771936436</v>
      </c>
      <c r="X22" s="530">
        <f t="shared" si="24"/>
        <v>1464796.1916474812</v>
      </c>
      <c r="Y22" s="530">
        <f t="shared" si="24"/>
        <v>1464796.1916474812</v>
      </c>
      <c r="Z22" s="530">
        <f t="shared" si="24"/>
        <v>1464796.1916474812</v>
      </c>
      <c r="AA22" s="530">
        <f t="shared" si="24"/>
        <v>1464796.1916474812</v>
      </c>
      <c r="AB22" s="530">
        <f t="shared" si="24"/>
        <v>1464796.1916474812</v>
      </c>
      <c r="AC22" s="530">
        <f t="shared" si="24"/>
        <v>1464796.1916474812</v>
      </c>
      <c r="AD22" s="530">
        <f t="shared" si="24"/>
        <v>1509462.16277947</v>
      </c>
      <c r="AE22" s="530">
        <f t="shared" si="24"/>
        <v>1509462.16277947</v>
      </c>
      <c r="AF22" s="530">
        <f t="shared" si="24"/>
        <v>1509462.16277947</v>
      </c>
      <c r="AG22" s="530">
        <f t="shared" si="24"/>
        <v>1509462.16277947</v>
      </c>
      <c r="AH22" s="530">
        <f t="shared" si="24"/>
        <v>1509462.16277947</v>
      </c>
      <c r="AI22" s="530">
        <f t="shared" si="24"/>
        <v>1509462.16277947</v>
      </c>
      <c r="AJ22" s="530">
        <f t="shared" si="24"/>
        <v>1549442.1932360132</v>
      </c>
      <c r="AK22" s="530">
        <f t="shared" si="24"/>
        <v>1549442.1932360132</v>
      </c>
      <c r="AL22" s="530">
        <f t="shared" si="24"/>
        <v>1549442.1932360132</v>
      </c>
      <c r="AM22" s="530">
        <f t="shared" si="24"/>
        <v>1549442.1932360132</v>
      </c>
      <c r="AN22" s="530">
        <f t="shared" si="24"/>
        <v>1549442.1932360132</v>
      </c>
      <c r="AO22" s="530">
        <f t="shared" si="24"/>
        <v>1549442.1932360132</v>
      </c>
      <c r="AP22" s="530">
        <f t="shared" si="24"/>
        <v>1586882.6665405873</v>
      </c>
      <c r="AQ22" s="530">
        <f t="shared" si="24"/>
        <v>1586882.6665405873</v>
      </c>
      <c r="AR22" s="530">
        <f t="shared" si="24"/>
        <v>1586882.6665405873</v>
      </c>
      <c r="AS22" s="530">
        <f t="shared" si="24"/>
        <v>1586882.6665405873</v>
      </c>
      <c r="AT22" s="530">
        <f t="shared" si="24"/>
        <v>1586882.6665405873</v>
      </c>
      <c r="AU22" s="530">
        <f t="shared" si="24"/>
        <v>1586882.6665405873</v>
      </c>
      <c r="AV22" s="530">
        <f t="shared" si="24"/>
        <v>1636042.7688470813</v>
      </c>
      <c r="AW22" s="530">
        <f t="shared" si="24"/>
        <v>1636042.7688470813</v>
      </c>
      <c r="AX22" s="530">
        <f t="shared" ref="AX22:BY22" si="25">AX252</f>
        <v>1636042.7688470813</v>
      </c>
      <c r="AY22" s="530">
        <f t="shared" si="25"/>
        <v>1636042.7688470813</v>
      </c>
      <c r="AZ22" s="530">
        <f t="shared" si="25"/>
        <v>1636042.7688470813</v>
      </c>
      <c r="BA22" s="530">
        <f t="shared" si="25"/>
        <v>1636042.7688470813</v>
      </c>
      <c r="BB22" s="530">
        <f t="shared" si="25"/>
        <v>1666898.1885250502</v>
      </c>
      <c r="BC22" s="530">
        <f t="shared" si="25"/>
        <v>1666898.1885250502</v>
      </c>
      <c r="BD22" s="530">
        <f t="shared" si="25"/>
        <v>1666898.1885250502</v>
      </c>
      <c r="BE22" s="530">
        <f t="shared" si="25"/>
        <v>1666898.1885250502</v>
      </c>
      <c r="BF22" s="530">
        <f t="shared" si="25"/>
        <v>1666898.1885250502</v>
      </c>
      <c r="BG22" s="530">
        <f t="shared" si="25"/>
        <v>1666898.1885250502</v>
      </c>
      <c r="BH22" s="530">
        <f t="shared" si="25"/>
        <v>1725696.2492689488</v>
      </c>
      <c r="BI22" s="530">
        <f t="shared" si="25"/>
        <v>1725696.2492689488</v>
      </c>
      <c r="BJ22" s="530">
        <f t="shared" si="25"/>
        <v>1725696.2492689488</v>
      </c>
      <c r="BK22" s="530">
        <f t="shared" si="25"/>
        <v>1725696.2492689488</v>
      </c>
      <c r="BL22" s="530">
        <f t="shared" si="25"/>
        <v>1725696.2492689488</v>
      </c>
      <c r="BM22" s="530">
        <f t="shared" si="25"/>
        <v>1725696.2492689488</v>
      </c>
      <c r="BN22" s="530">
        <f t="shared" si="25"/>
        <v>1751248.2175729075</v>
      </c>
      <c r="BO22" s="530">
        <f t="shared" si="25"/>
        <v>1751248.2175729075</v>
      </c>
      <c r="BP22" s="530">
        <f t="shared" si="25"/>
        <v>1751248.2175729075</v>
      </c>
      <c r="BQ22" s="530">
        <f t="shared" si="25"/>
        <v>1751248.2175729075</v>
      </c>
      <c r="BR22" s="530">
        <f t="shared" si="25"/>
        <v>1751248.2175729075</v>
      </c>
      <c r="BS22" s="530">
        <f t="shared" si="25"/>
        <v>1751248.2175729075</v>
      </c>
      <c r="BT22" s="530">
        <f t="shared" si="25"/>
        <v>1820131.1589747318</v>
      </c>
      <c r="BU22" s="530">
        <f t="shared" si="25"/>
        <v>1820131.1589747318</v>
      </c>
      <c r="BV22" s="530">
        <f t="shared" si="25"/>
        <v>1820131.1589747318</v>
      </c>
      <c r="BW22" s="530">
        <f t="shared" si="25"/>
        <v>1820131.1589747318</v>
      </c>
      <c r="BX22" s="530">
        <f t="shared" si="25"/>
        <v>1820131.1589747318</v>
      </c>
      <c r="BY22" s="530">
        <f t="shared" si="25"/>
        <v>1820131.1589747318</v>
      </c>
      <c r="BZ22" s="537"/>
      <c r="CA22" s="537"/>
      <c r="CB22" s="574"/>
    </row>
    <row r="23" spans="1:80" x14ac:dyDescent="0.3">
      <c r="A23" s="551"/>
      <c r="B23" s="548"/>
      <c r="C23" s="525"/>
      <c r="D23" s="525"/>
      <c r="E23" s="525" t="s">
        <v>387</v>
      </c>
      <c r="F23" s="567"/>
      <c r="G23" s="567"/>
      <c r="H23" s="567"/>
      <c r="I23" s="527">
        <f t="shared" si="21"/>
        <v>-5265945.8194530001</v>
      </c>
      <c r="J23" s="527">
        <f t="shared" si="22"/>
        <v>-5376062.1257628845</v>
      </c>
      <c r="K23" s="527">
        <f t="shared" si="22"/>
        <v>-5528802.6655412437</v>
      </c>
      <c r="L23" s="527">
        <f t="shared" si="22"/>
        <v>-5683663.0821830994</v>
      </c>
      <c r="M23" s="527">
        <f t="shared" si="22"/>
        <v>-5845775.0964819407</v>
      </c>
      <c r="N23" s="527">
        <f t="shared" si="22"/>
        <v>-6013315.7149231546</v>
      </c>
      <c r="O23" s="529"/>
      <c r="P23" s="564">
        <f t="shared" si="23"/>
        <v>2.6898510521139896E-2</v>
      </c>
      <c r="Q23" s="537"/>
      <c r="R23" s="527">
        <f t="shared" ref="R23:AW23" si="26">R260</f>
        <v>-443177.91226627654</v>
      </c>
      <c r="S23" s="527">
        <f t="shared" si="26"/>
        <v>-443177.91226627654</v>
      </c>
      <c r="T23" s="527">
        <f t="shared" si="26"/>
        <v>-443177.91226627654</v>
      </c>
      <c r="U23" s="527">
        <f t="shared" si="26"/>
        <v>-443177.91226627654</v>
      </c>
      <c r="V23" s="527">
        <f t="shared" si="26"/>
        <v>-443177.91226627654</v>
      </c>
      <c r="W23" s="527">
        <f t="shared" si="26"/>
        <v>-443177.91226627654</v>
      </c>
      <c r="X23" s="527">
        <f t="shared" si="26"/>
        <v>-452832.4420275375</v>
      </c>
      <c r="Y23" s="527">
        <f t="shared" si="26"/>
        <v>-452832.4420275375</v>
      </c>
      <c r="Z23" s="527">
        <f t="shared" si="26"/>
        <v>-452832.4420275375</v>
      </c>
      <c r="AA23" s="527">
        <f t="shared" si="26"/>
        <v>-452832.4420275375</v>
      </c>
      <c r="AB23" s="527">
        <f t="shared" si="26"/>
        <v>-452832.4420275375</v>
      </c>
      <c r="AC23" s="527">
        <f t="shared" si="26"/>
        <v>-452832.4420275375</v>
      </c>
      <c r="AD23" s="527">
        <f t="shared" si="26"/>
        <v>-454711.74521997932</v>
      </c>
      <c r="AE23" s="527">
        <f t="shared" si="26"/>
        <v>-454711.74521997932</v>
      </c>
      <c r="AF23" s="527">
        <f t="shared" si="26"/>
        <v>-454711.74521997932</v>
      </c>
      <c r="AG23" s="527">
        <f t="shared" si="26"/>
        <v>-454711.74521997932</v>
      </c>
      <c r="AH23" s="527">
        <f t="shared" si="26"/>
        <v>-454711.74521997932</v>
      </c>
      <c r="AI23" s="527">
        <f t="shared" si="26"/>
        <v>-454711.74521997932</v>
      </c>
      <c r="AJ23" s="527">
        <f t="shared" si="26"/>
        <v>-466755.36570356123</v>
      </c>
      <c r="AK23" s="527">
        <f t="shared" si="26"/>
        <v>-466755.36570356123</v>
      </c>
      <c r="AL23" s="527">
        <f t="shared" si="26"/>
        <v>-466755.36570356123</v>
      </c>
      <c r="AM23" s="527">
        <f t="shared" si="26"/>
        <v>-466755.36570356123</v>
      </c>
      <c r="AN23" s="527">
        <f t="shared" si="26"/>
        <v>-466755.36570356123</v>
      </c>
      <c r="AO23" s="527">
        <f t="shared" si="26"/>
        <v>-466755.36570356123</v>
      </c>
      <c r="AP23" s="527">
        <f t="shared" si="26"/>
        <v>-466414.06016519305</v>
      </c>
      <c r="AQ23" s="527">
        <f t="shared" si="26"/>
        <v>-466414.06016519305</v>
      </c>
      <c r="AR23" s="527">
        <f t="shared" si="26"/>
        <v>-466414.06016519305</v>
      </c>
      <c r="AS23" s="527">
        <f t="shared" si="26"/>
        <v>-466414.06016519305</v>
      </c>
      <c r="AT23" s="527">
        <f t="shared" si="26"/>
        <v>-466414.06016519305</v>
      </c>
      <c r="AU23" s="527">
        <f t="shared" si="26"/>
        <v>-466414.06016519305</v>
      </c>
      <c r="AV23" s="527">
        <f t="shared" si="26"/>
        <v>-480863.12019865692</v>
      </c>
      <c r="AW23" s="527">
        <f t="shared" si="26"/>
        <v>-480863.12019865692</v>
      </c>
      <c r="AX23" s="527">
        <f t="shared" ref="AX23:BY23" si="27">AX260</f>
        <v>-480863.12019865692</v>
      </c>
      <c r="AY23" s="527">
        <f t="shared" si="27"/>
        <v>-480863.12019865692</v>
      </c>
      <c r="AZ23" s="527">
        <f t="shared" si="27"/>
        <v>-480863.12019865692</v>
      </c>
      <c r="BA23" s="527">
        <f t="shared" si="27"/>
        <v>-480863.12019865692</v>
      </c>
      <c r="BB23" s="527">
        <f t="shared" si="27"/>
        <v>-478705.01949272887</v>
      </c>
      <c r="BC23" s="527">
        <f t="shared" si="27"/>
        <v>-478705.01949272887</v>
      </c>
      <c r="BD23" s="527">
        <f t="shared" si="27"/>
        <v>-478705.01949272887</v>
      </c>
      <c r="BE23" s="527">
        <f t="shared" si="27"/>
        <v>-478705.01949272887</v>
      </c>
      <c r="BF23" s="527">
        <f t="shared" si="27"/>
        <v>-478705.01949272887</v>
      </c>
      <c r="BG23" s="527">
        <f t="shared" si="27"/>
        <v>-478705.01949272887</v>
      </c>
      <c r="BH23" s="527">
        <f t="shared" si="27"/>
        <v>-495590.82992092799</v>
      </c>
      <c r="BI23" s="527">
        <f t="shared" si="27"/>
        <v>-495590.82992092799</v>
      </c>
      <c r="BJ23" s="527">
        <f t="shared" si="27"/>
        <v>-495590.82992092799</v>
      </c>
      <c r="BK23" s="527">
        <f t="shared" si="27"/>
        <v>-495590.82992092799</v>
      </c>
      <c r="BL23" s="527">
        <f t="shared" si="27"/>
        <v>-495590.82992092799</v>
      </c>
      <c r="BM23" s="527">
        <f t="shared" si="27"/>
        <v>-495590.82992092799</v>
      </c>
      <c r="BN23" s="527">
        <f t="shared" si="27"/>
        <v>-491444.49604987976</v>
      </c>
      <c r="BO23" s="527">
        <f t="shared" si="27"/>
        <v>-491444.49604987976</v>
      </c>
      <c r="BP23" s="527">
        <f t="shared" si="27"/>
        <v>-491444.49604987976</v>
      </c>
      <c r="BQ23" s="527">
        <f t="shared" si="27"/>
        <v>-491444.49604987976</v>
      </c>
      <c r="BR23" s="527">
        <f t="shared" si="27"/>
        <v>-491444.49604987976</v>
      </c>
      <c r="BS23" s="527">
        <f t="shared" si="27"/>
        <v>-491444.49604987976</v>
      </c>
      <c r="BT23" s="527">
        <f t="shared" si="27"/>
        <v>-510774.78977064625</v>
      </c>
      <c r="BU23" s="527">
        <f t="shared" si="27"/>
        <v>-510774.78977064625</v>
      </c>
      <c r="BV23" s="527">
        <f t="shared" si="27"/>
        <v>-510774.78977064625</v>
      </c>
      <c r="BW23" s="527">
        <f t="shared" si="27"/>
        <v>-510774.78977064625</v>
      </c>
      <c r="BX23" s="527">
        <f t="shared" si="27"/>
        <v>-510774.78977064625</v>
      </c>
      <c r="BY23" s="527">
        <f t="shared" si="27"/>
        <v>-510774.78977064625</v>
      </c>
      <c r="BZ23" s="537"/>
      <c r="CA23" s="537"/>
      <c r="CB23" s="574"/>
    </row>
    <row r="24" spans="1:80" x14ac:dyDescent="0.3">
      <c r="A24" s="551"/>
      <c r="B24" s="548"/>
      <c r="C24" s="525"/>
      <c r="D24" s="525"/>
      <c r="E24" s="525" t="s">
        <v>386</v>
      </c>
      <c r="F24" s="567"/>
      <c r="G24" s="567"/>
      <c r="H24" s="567"/>
      <c r="I24" s="527">
        <f t="shared" si="21"/>
        <v>-912653.70688047085</v>
      </c>
      <c r="J24" s="527">
        <f t="shared" si="22"/>
        <v>-941046.57699340268</v>
      </c>
      <c r="K24" s="527">
        <f t="shared" si="22"/>
        <v>-977355.4947992668</v>
      </c>
      <c r="L24" s="527">
        <f t="shared" si="22"/>
        <v>-1014569.6198336849</v>
      </c>
      <c r="M24" s="527">
        <f t="shared" si="22"/>
        <v>-1053622.7310318577</v>
      </c>
      <c r="N24" s="527">
        <f t="shared" si="22"/>
        <v>-1094218.3659551251</v>
      </c>
      <c r="O24" s="529"/>
      <c r="P24" s="564">
        <f t="shared" si="23"/>
        <v>3.6954249172566955E-2</v>
      </c>
      <c r="Q24" s="537"/>
      <c r="R24" s="527">
        <f t="shared" ref="R24:AW24" si="28">R268</f>
        <v>-77575.565084840011</v>
      </c>
      <c r="S24" s="527">
        <f t="shared" si="28"/>
        <v>-77575.565084840011</v>
      </c>
      <c r="T24" s="527">
        <f t="shared" si="28"/>
        <v>-77575.565084840011</v>
      </c>
      <c r="U24" s="527">
        <f t="shared" si="28"/>
        <v>-77575.565084840011</v>
      </c>
      <c r="V24" s="527">
        <f t="shared" si="28"/>
        <v>-77575.565084840011</v>
      </c>
      <c r="W24" s="527">
        <f t="shared" si="28"/>
        <v>-77575.565084840011</v>
      </c>
      <c r="X24" s="527">
        <f t="shared" si="28"/>
        <v>-79265.531080727073</v>
      </c>
      <c r="Y24" s="527">
        <f t="shared" si="28"/>
        <v>-79265.531080727073</v>
      </c>
      <c r="Z24" s="527">
        <f t="shared" si="28"/>
        <v>-79265.531080727073</v>
      </c>
      <c r="AA24" s="527">
        <f t="shared" si="28"/>
        <v>-79265.531080727073</v>
      </c>
      <c r="AB24" s="527">
        <f t="shared" si="28"/>
        <v>-79265.531080727073</v>
      </c>
      <c r="AC24" s="527">
        <f t="shared" si="28"/>
        <v>-79265.531080727073</v>
      </c>
      <c r="AD24" s="527">
        <f t="shared" si="28"/>
        <v>-80381.784199021509</v>
      </c>
      <c r="AE24" s="527">
        <f t="shared" si="28"/>
        <v>-80381.784199021509</v>
      </c>
      <c r="AF24" s="527">
        <f t="shared" si="28"/>
        <v>-80381.784199021509</v>
      </c>
      <c r="AG24" s="527">
        <f t="shared" si="28"/>
        <v>-80381.784199021509</v>
      </c>
      <c r="AH24" s="527">
        <f t="shared" si="28"/>
        <v>-80381.784199021509</v>
      </c>
      <c r="AI24" s="527">
        <f t="shared" si="28"/>
        <v>-80381.784199021509</v>
      </c>
      <c r="AJ24" s="527">
        <f t="shared" si="28"/>
        <v>-82510.798267522987</v>
      </c>
      <c r="AK24" s="527">
        <f t="shared" si="28"/>
        <v>-82510.798267522987</v>
      </c>
      <c r="AL24" s="527">
        <f t="shared" si="28"/>
        <v>-82510.798267522987</v>
      </c>
      <c r="AM24" s="527">
        <f t="shared" si="28"/>
        <v>-82510.798267522987</v>
      </c>
      <c r="AN24" s="527">
        <f t="shared" si="28"/>
        <v>-82510.798267522987</v>
      </c>
      <c r="AO24" s="527">
        <f t="shared" si="28"/>
        <v>-82510.798267522987</v>
      </c>
      <c r="AP24" s="527">
        <f t="shared" si="28"/>
        <v>-83257.844257215402</v>
      </c>
      <c r="AQ24" s="527">
        <f t="shared" si="28"/>
        <v>-83257.844257215402</v>
      </c>
      <c r="AR24" s="527">
        <f t="shared" si="28"/>
        <v>-83257.844257215402</v>
      </c>
      <c r="AS24" s="527">
        <f t="shared" si="28"/>
        <v>-83257.844257215402</v>
      </c>
      <c r="AT24" s="527">
        <f t="shared" si="28"/>
        <v>-83257.844257215402</v>
      </c>
      <c r="AU24" s="527">
        <f t="shared" si="28"/>
        <v>-83257.844257215402</v>
      </c>
      <c r="AV24" s="527">
        <f t="shared" si="28"/>
        <v>-85837.092381732102</v>
      </c>
      <c r="AW24" s="527">
        <f t="shared" si="28"/>
        <v>-85837.092381732102</v>
      </c>
      <c r="AX24" s="527">
        <f t="shared" ref="AX24:BY24" si="29">AX268</f>
        <v>-85837.092381732102</v>
      </c>
      <c r="AY24" s="527">
        <f t="shared" si="29"/>
        <v>-85837.092381732102</v>
      </c>
      <c r="AZ24" s="527">
        <f t="shared" si="29"/>
        <v>-85837.092381732102</v>
      </c>
      <c r="BA24" s="527">
        <f t="shared" si="29"/>
        <v>-85837.092381732102</v>
      </c>
      <c r="BB24" s="527">
        <f t="shared" si="29"/>
        <v>-86280.173573582462</v>
      </c>
      <c r="BC24" s="527">
        <f t="shared" si="29"/>
        <v>-86280.173573582462</v>
      </c>
      <c r="BD24" s="527">
        <f t="shared" si="29"/>
        <v>-86280.173573582462</v>
      </c>
      <c r="BE24" s="527">
        <f t="shared" si="29"/>
        <v>-86280.173573582462</v>
      </c>
      <c r="BF24" s="527">
        <f t="shared" si="29"/>
        <v>-86280.173573582462</v>
      </c>
      <c r="BG24" s="527">
        <f t="shared" si="29"/>
        <v>-86280.173573582462</v>
      </c>
      <c r="BH24" s="527">
        <f t="shared" si="29"/>
        <v>-89323.614931727163</v>
      </c>
      <c r="BI24" s="527">
        <f t="shared" si="29"/>
        <v>-89323.614931727163</v>
      </c>
      <c r="BJ24" s="527">
        <f t="shared" si="29"/>
        <v>-89323.614931727163</v>
      </c>
      <c r="BK24" s="527">
        <f t="shared" si="29"/>
        <v>-89323.614931727163</v>
      </c>
      <c r="BL24" s="527">
        <f t="shared" si="29"/>
        <v>-89323.614931727163</v>
      </c>
      <c r="BM24" s="527">
        <f t="shared" si="29"/>
        <v>-89323.614931727163</v>
      </c>
      <c r="BN24" s="527">
        <f t="shared" si="29"/>
        <v>-89426.136746956268</v>
      </c>
      <c r="BO24" s="527">
        <f t="shared" si="29"/>
        <v>-89426.136746956268</v>
      </c>
      <c r="BP24" s="527">
        <f t="shared" si="29"/>
        <v>-89426.136746956268</v>
      </c>
      <c r="BQ24" s="527">
        <f t="shared" si="29"/>
        <v>-89426.136746956268</v>
      </c>
      <c r="BR24" s="527">
        <f t="shared" si="29"/>
        <v>-89426.136746956268</v>
      </c>
      <c r="BS24" s="527">
        <f t="shared" si="29"/>
        <v>-89426.136746956268</v>
      </c>
      <c r="BT24" s="527">
        <f t="shared" si="29"/>
        <v>-92943.590912231215</v>
      </c>
      <c r="BU24" s="527">
        <f t="shared" si="29"/>
        <v>-92943.590912231215</v>
      </c>
      <c r="BV24" s="527">
        <f t="shared" si="29"/>
        <v>-92943.590912231215</v>
      </c>
      <c r="BW24" s="527">
        <f t="shared" si="29"/>
        <v>-92943.590912231215</v>
      </c>
      <c r="BX24" s="527">
        <f t="shared" si="29"/>
        <v>-92943.590912231215</v>
      </c>
      <c r="BY24" s="527">
        <f t="shared" si="29"/>
        <v>-92943.590912231215</v>
      </c>
      <c r="BZ24" s="537"/>
      <c r="CA24" s="537"/>
      <c r="CB24" s="574"/>
    </row>
    <row r="25" spans="1:80" x14ac:dyDescent="0.3">
      <c r="A25" s="551"/>
      <c r="B25" s="548"/>
      <c r="C25" s="525"/>
      <c r="D25" s="525"/>
      <c r="E25" s="572" t="s">
        <v>385</v>
      </c>
      <c r="F25" s="573"/>
      <c r="G25" s="573"/>
      <c r="H25" s="573"/>
      <c r="I25" s="530">
        <f t="shared" si="21"/>
        <v>9811043.3499999996</v>
      </c>
      <c r="J25" s="530">
        <f t="shared" si="22"/>
        <v>11073066.11029046</v>
      </c>
      <c r="K25" s="530">
        <f t="shared" si="22"/>
        <v>11847267.975752387</v>
      </c>
      <c r="L25" s="530">
        <f t="shared" si="22"/>
        <v>12639319.910309225</v>
      </c>
      <c r="M25" s="530">
        <f t="shared" si="22"/>
        <v>13456168.799250193</v>
      </c>
      <c r="N25" s="530">
        <f t="shared" si="22"/>
        <v>14320742.178407557</v>
      </c>
      <c r="O25" s="536"/>
      <c r="P25" s="568">
        <f t="shared" si="23"/>
        <v>7.8574296190598414E-2</v>
      </c>
      <c r="Q25" s="537"/>
      <c r="R25" s="530">
        <f t="shared" ref="R25:AW25" si="30">SUM(R22:R24)</f>
        <v>912812.79984252702</v>
      </c>
      <c r="S25" s="530">
        <f t="shared" si="30"/>
        <v>912812.79984252702</v>
      </c>
      <c r="T25" s="530">
        <f t="shared" si="30"/>
        <v>912812.79984252702</v>
      </c>
      <c r="U25" s="530">
        <f t="shared" si="30"/>
        <v>912812.79984252702</v>
      </c>
      <c r="V25" s="530">
        <f t="shared" si="30"/>
        <v>912812.79984252702</v>
      </c>
      <c r="W25" s="530">
        <f t="shared" si="30"/>
        <v>912812.79984252702</v>
      </c>
      <c r="X25" s="530">
        <f t="shared" si="30"/>
        <v>932698.21853921656</v>
      </c>
      <c r="Y25" s="530">
        <f t="shared" si="30"/>
        <v>932698.21853921656</v>
      </c>
      <c r="Z25" s="530">
        <f t="shared" si="30"/>
        <v>932698.21853921656</v>
      </c>
      <c r="AA25" s="530">
        <f t="shared" si="30"/>
        <v>932698.21853921656</v>
      </c>
      <c r="AB25" s="530">
        <f t="shared" si="30"/>
        <v>932698.21853921656</v>
      </c>
      <c r="AC25" s="530">
        <f t="shared" si="30"/>
        <v>932698.21853921656</v>
      </c>
      <c r="AD25" s="530">
        <f t="shared" si="30"/>
        <v>974368.63336046902</v>
      </c>
      <c r="AE25" s="530">
        <f t="shared" si="30"/>
        <v>974368.63336046902</v>
      </c>
      <c r="AF25" s="530">
        <f t="shared" si="30"/>
        <v>974368.63336046902</v>
      </c>
      <c r="AG25" s="530">
        <f t="shared" si="30"/>
        <v>974368.63336046902</v>
      </c>
      <c r="AH25" s="530">
        <f t="shared" si="30"/>
        <v>974368.63336046902</v>
      </c>
      <c r="AI25" s="530">
        <f t="shared" si="30"/>
        <v>974368.63336046902</v>
      </c>
      <c r="AJ25" s="530">
        <f t="shared" si="30"/>
        <v>1000176.0292649291</v>
      </c>
      <c r="AK25" s="530">
        <f t="shared" si="30"/>
        <v>1000176.0292649291</v>
      </c>
      <c r="AL25" s="530">
        <f t="shared" si="30"/>
        <v>1000176.0292649291</v>
      </c>
      <c r="AM25" s="530">
        <f t="shared" si="30"/>
        <v>1000176.0292649291</v>
      </c>
      <c r="AN25" s="530">
        <f t="shared" si="30"/>
        <v>1000176.0292649291</v>
      </c>
      <c r="AO25" s="530">
        <f t="shared" si="30"/>
        <v>1000176.0292649291</v>
      </c>
      <c r="AP25" s="530">
        <f t="shared" si="30"/>
        <v>1037210.762118179</v>
      </c>
      <c r="AQ25" s="530">
        <f t="shared" si="30"/>
        <v>1037210.762118179</v>
      </c>
      <c r="AR25" s="530">
        <f t="shared" si="30"/>
        <v>1037210.762118179</v>
      </c>
      <c r="AS25" s="530">
        <f t="shared" si="30"/>
        <v>1037210.762118179</v>
      </c>
      <c r="AT25" s="530">
        <f t="shared" si="30"/>
        <v>1037210.762118179</v>
      </c>
      <c r="AU25" s="530">
        <f t="shared" si="30"/>
        <v>1037210.762118179</v>
      </c>
      <c r="AV25" s="530">
        <f t="shared" si="30"/>
        <v>1069342.5562666925</v>
      </c>
      <c r="AW25" s="530">
        <f t="shared" si="30"/>
        <v>1069342.5562666925</v>
      </c>
      <c r="AX25" s="530">
        <f t="shared" ref="AX25:BY25" si="31">SUM(AX22:AX24)</f>
        <v>1069342.5562666925</v>
      </c>
      <c r="AY25" s="530">
        <f t="shared" si="31"/>
        <v>1069342.5562666925</v>
      </c>
      <c r="AZ25" s="530">
        <f t="shared" si="31"/>
        <v>1069342.5562666925</v>
      </c>
      <c r="BA25" s="530">
        <f t="shared" si="31"/>
        <v>1069342.5562666925</v>
      </c>
      <c r="BB25" s="530">
        <f t="shared" si="31"/>
        <v>1101912.9954587389</v>
      </c>
      <c r="BC25" s="530">
        <f t="shared" si="31"/>
        <v>1101912.9954587389</v>
      </c>
      <c r="BD25" s="530">
        <f t="shared" si="31"/>
        <v>1101912.9954587389</v>
      </c>
      <c r="BE25" s="530">
        <f t="shared" si="31"/>
        <v>1101912.9954587389</v>
      </c>
      <c r="BF25" s="530">
        <f t="shared" si="31"/>
        <v>1101912.9954587389</v>
      </c>
      <c r="BG25" s="530">
        <f t="shared" si="31"/>
        <v>1101912.9954587389</v>
      </c>
      <c r="BH25" s="530">
        <f t="shared" si="31"/>
        <v>1140781.8044162937</v>
      </c>
      <c r="BI25" s="530">
        <f t="shared" si="31"/>
        <v>1140781.8044162937</v>
      </c>
      <c r="BJ25" s="530">
        <f t="shared" si="31"/>
        <v>1140781.8044162937</v>
      </c>
      <c r="BK25" s="530">
        <f t="shared" si="31"/>
        <v>1140781.8044162937</v>
      </c>
      <c r="BL25" s="530">
        <f t="shared" si="31"/>
        <v>1140781.8044162937</v>
      </c>
      <c r="BM25" s="530">
        <f t="shared" si="31"/>
        <v>1140781.8044162937</v>
      </c>
      <c r="BN25" s="530">
        <f t="shared" si="31"/>
        <v>1170377.5847760714</v>
      </c>
      <c r="BO25" s="530">
        <f t="shared" si="31"/>
        <v>1170377.5847760714</v>
      </c>
      <c r="BP25" s="530">
        <f t="shared" si="31"/>
        <v>1170377.5847760714</v>
      </c>
      <c r="BQ25" s="530">
        <f t="shared" si="31"/>
        <v>1170377.5847760714</v>
      </c>
      <c r="BR25" s="530">
        <f t="shared" si="31"/>
        <v>1170377.5847760714</v>
      </c>
      <c r="BS25" s="530">
        <f t="shared" si="31"/>
        <v>1170377.5847760714</v>
      </c>
      <c r="BT25" s="530">
        <f t="shared" si="31"/>
        <v>1216412.7782918543</v>
      </c>
      <c r="BU25" s="530">
        <f t="shared" si="31"/>
        <v>1216412.7782918543</v>
      </c>
      <c r="BV25" s="530">
        <f t="shared" si="31"/>
        <v>1216412.7782918543</v>
      </c>
      <c r="BW25" s="530">
        <f t="shared" si="31"/>
        <v>1216412.7782918543</v>
      </c>
      <c r="BX25" s="530">
        <f t="shared" si="31"/>
        <v>1216412.7782918543</v>
      </c>
      <c r="BY25" s="530">
        <f t="shared" si="31"/>
        <v>1216412.7782918543</v>
      </c>
      <c r="BZ25" s="537"/>
      <c r="CA25" s="537"/>
      <c r="CB25" s="574"/>
    </row>
    <row r="26" spans="1:80" x14ac:dyDescent="0.3">
      <c r="A26" s="551"/>
      <c r="B26" s="548"/>
      <c r="C26" s="525"/>
      <c r="D26" s="525"/>
      <c r="E26" s="525" t="s">
        <v>389</v>
      </c>
      <c r="F26" s="567"/>
      <c r="G26" s="567"/>
      <c r="H26" s="567"/>
      <c r="I26" s="527">
        <f t="shared" si="21"/>
        <v>-3507331.5514004612</v>
      </c>
      <c r="J26" s="527">
        <f t="shared" si="22"/>
        <v>-3703936.6256015776</v>
      </c>
      <c r="K26" s="527">
        <f t="shared" si="22"/>
        <v>-3934243.3171043834</v>
      </c>
      <c r="L26" s="527">
        <f t="shared" si="22"/>
        <v>-4169926.1460019378</v>
      </c>
      <c r="M26" s="527">
        <f t="shared" si="22"/>
        <v>-4413642.6525058374</v>
      </c>
      <c r="N26" s="527">
        <f t="shared" si="22"/>
        <v>-4670879.8011125326</v>
      </c>
      <c r="O26" s="529"/>
      <c r="P26" s="564">
        <f t="shared" si="23"/>
        <v>5.8971748057540019E-2</v>
      </c>
      <c r="Q26" s="537"/>
      <c r="R26" s="527">
        <f t="shared" ref="R26:AW26" si="32">R276</f>
        <v>-305335.55277093622</v>
      </c>
      <c r="S26" s="527">
        <f t="shared" si="32"/>
        <v>-305335.55277093622</v>
      </c>
      <c r="T26" s="527">
        <f t="shared" si="32"/>
        <v>-305335.55277093622</v>
      </c>
      <c r="U26" s="527">
        <f t="shared" si="32"/>
        <v>-305335.55277093622</v>
      </c>
      <c r="V26" s="527">
        <f t="shared" si="32"/>
        <v>-305335.55277093622</v>
      </c>
      <c r="W26" s="527">
        <f t="shared" si="32"/>
        <v>-305335.55277093622</v>
      </c>
      <c r="X26" s="527">
        <f t="shared" si="32"/>
        <v>-311987.2181626602</v>
      </c>
      <c r="Y26" s="527">
        <f t="shared" si="32"/>
        <v>-311987.2181626602</v>
      </c>
      <c r="Z26" s="527">
        <f t="shared" si="32"/>
        <v>-311987.2181626602</v>
      </c>
      <c r="AA26" s="527">
        <f t="shared" si="32"/>
        <v>-311987.2181626602</v>
      </c>
      <c r="AB26" s="527">
        <f t="shared" si="32"/>
        <v>-311987.2181626602</v>
      </c>
      <c r="AC26" s="527">
        <f t="shared" si="32"/>
        <v>-311987.2181626602</v>
      </c>
      <c r="AD26" s="527">
        <f t="shared" si="32"/>
        <v>-323568.54694604035</v>
      </c>
      <c r="AE26" s="527">
        <f t="shared" si="32"/>
        <v>-323568.54694604035</v>
      </c>
      <c r="AF26" s="527">
        <f t="shared" si="32"/>
        <v>-323568.54694604035</v>
      </c>
      <c r="AG26" s="527">
        <f t="shared" si="32"/>
        <v>-323568.54694604035</v>
      </c>
      <c r="AH26" s="527">
        <f t="shared" si="32"/>
        <v>-323568.54694604035</v>
      </c>
      <c r="AI26" s="527">
        <f t="shared" si="32"/>
        <v>-323568.54694604035</v>
      </c>
      <c r="AJ26" s="527">
        <f t="shared" si="32"/>
        <v>-332138.67257135687</v>
      </c>
      <c r="AK26" s="527">
        <f t="shared" si="32"/>
        <v>-332138.67257135687</v>
      </c>
      <c r="AL26" s="527">
        <f t="shared" si="32"/>
        <v>-332138.67257135687</v>
      </c>
      <c r="AM26" s="527">
        <f t="shared" si="32"/>
        <v>-332138.67257135687</v>
      </c>
      <c r="AN26" s="527">
        <f t="shared" si="32"/>
        <v>-332138.67257135687</v>
      </c>
      <c r="AO26" s="527">
        <f t="shared" si="32"/>
        <v>-332138.67257135687</v>
      </c>
      <c r="AP26" s="527">
        <f t="shared" si="32"/>
        <v>-342193.43339378882</v>
      </c>
      <c r="AQ26" s="527">
        <f t="shared" si="32"/>
        <v>-342193.43339378882</v>
      </c>
      <c r="AR26" s="527">
        <f t="shared" si="32"/>
        <v>-342193.43339378882</v>
      </c>
      <c r="AS26" s="527">
        <f t="shared" si="32"/>
        <v>-342193.43339378882</v>
      </c>
      <c r="AT26" s="527">
        <f t="shared" si="32"/>
        <v>-342193.43339378882</v>
      </c>
      <c r="AU26" s="527">
        <f t="shared" si="32"/>
        <v>-342193.43339378882</v>
      </c>
      <c r="AV26" s="527">
        <f t="shared" si="32"/>
        <v>-352794.25760653405</v>
      </c>
      <c r="AW26" s="527">
        <f t="shared" si="32"/>
        <v>-352794.25760653405</v>
      </c>
      <c r="AX26" s="527">
        <f t="shared" ref="AX26:BY26" si="33">AX276</f>
        <v>-352794.25760653405</v>
      </c>
      <c r="AY26" s="527">
        <f t="shared" si="33"/>
        <v>-352794.25760653405</v>
      </c>
      <c r="AZ26" s="527">
        <f t="shared" si="33"/>
        <v>-352794.25760653405</v>
      </c>
      <c r="BA26" s="527">
        <f t="shared" si="33"/>
        <v>-352794.25760653405</v>
      </c>
      <c r="BB26" s="527">
        <f t="shared" si="33"/>
        <v>-361429.04185165709</v>
      </c>
      <c r="BC26" s="527">
        <f t="shared" si="33"/>
        <v>-361429.04185165709</v>
      </c>
      <c r="BD26" s="527">
        <f t="shared" si="33"/>
        <v>-361429.04185165709</v>
      </c>
      <c r="BE26" s="527">
        <f t="shared" si="33"/>
        <v>-361429.04185165709</v>
      </c>
      <c r="BF26" s="527">
        <f t="shared" si="33"/>
        <v>-361429.04185165709</v>
      </c>
      <c r="BG26" s="527">
        <f t="shared" si="33"/>
        <v>-361429.04185165709</v>
      </c>
      <c r="BH26" s="527">
        <f t="shared" si="33"/>
        <v>-374178.0668993158</v>
      </c>
      <c r="BI26" s="527">
        <f t="shared" si="33"/>
        <v>-374178.0668993158</v>
      </c>
      <c r="BJ26" s="527">
        <f t="shared" si="33"/>
        <v>-374178.0668993158</v>
      </c>
      <c r="BK26" s="527">
        <f t="shared" si="33"/>
        <v>-374178.0668993158</v>
      </c>
      <c r="BL26" s="527">
        <f t="shared" si="33"/>
        <v>-374178.0668993158</v>
      </c>
      <c r="BM26" s="527">
        <f t="shared" si="33"/>
        <v>-374178.0668993158</v>
      </c>
      <c r="BN26" s="527">
        <f t="shared" si="33"/>
        <v>-381732.52142252517</v>
      </c>
      <c r="BO26" s="527">
        <f t="shared" si="33"/>
        <v>-381732.52142252517</v>
      </c>
      <c r="BP26" s="527">
        <f t="shared" si="33"/>
        <v>-381732.52142252517</v>
      </c>
      <c r="BQ26" s="527">
        <f t="shared" si="33"/>
        <v>-381732.52142252517</v>
      </c>
      <c r="BR26" s="527">
        <f t="shared" si="33"/>
        <v>-381732.52142252517</v>
      </c>
      <c r="BS26" s="527">
        <f t="shared" si="33"/>
        <v>-381732.52142252517</v>
      </c>
      <c r="BT26" s="527">
        <f t="shared" si="33"/>
        <v>-396747.44542956352</v>
      </c>
      <c r="BU26" s="527">
        <f t="shared" si="33"/>
        <v>-396747.44542956352</v>
      </c>
      <c r="BV26" s="527">
        <f t="shared" si="33"/>
        <v>-396747.44542956352</v>
      </c>
      <c r="BW26" s="527">
        <f t="shared" si="33"/>
        <v>-396747.44542956352</v>
      </c>
      <c r="BX26" s="527">
        <f t="shared" si="33"/>
        <v>-396747.44542956352</v>
      </c>
      <c r="BY26" s="527">
        <f t="shared" si="33"/>
        <v>-396747.44542956352</v>
      </c>
      <c r="BZ26" s="537"/>
      <c r="CA26" s="537"/>
      <c r="CB26" s="574"/>
    </row>
    <row r="27" spans="1:80" x14ac:dyDescent="0.3">
      <c r="A27" s="551"/>
      <c r="B27" s="548"/>
      <c r="C27" s="525"/>
      <c r="D27" s="525"/>
      <c r="E27" s="572" t="s">
        <v>390</v>
      </c>
      <c r="F27" s="573"/>
      <c r="G27" s="573"/>
      <c r="H27" s="573"/>
      <c r="I27" s="530">
        <f t="shared" si="21"/>
        <v>6894779.6349028805</v>
      </c>
      <c r="J27" s="530">
        <f t="shared" si="22"/>
        <v>7369129.4846888809</v>
      </c>
      <c r="K27" s="530">
        <f t="shared" si="22"/>
        <v>7913024.6586480057</v>
      </c>
      <c r="L27" s="530">
        <f t="shared" si="22"/>
        <v>8469393.7643072903</v>
      </c>
      <c r="M27" s="530">
        <f t="shared" si="22"/>
        <v>9042526.1467443574</v>
      </c>
      <c r="N27" s="530">
        <f t="shared" si="22"/>
        <v>9649862.377295021</v>
      </c>
      <c r="O27" s="536"/>
      <c r="P27" s="568">
        <f t="shared" si="23"/>
        <v>6.9547669858702532E-2</v>
      </c>
      <c r="Q27" s="537"/>
      <c r="R27" s="530">
        <f t="shared" ref="R27:AW27" si="34">SUM(R25:R26)</f>
        <v>607477.24707159074</v>
      </c>
      <c r="S27" s="530">
        <f t="shared" si="34"/>
        <v>607477.24707159074</v>
      </c>
      <c r="T27" s="530">
        <f t="shared" si="34"/>
        <v>607477.24707159074</v>
      </c>
      <c r="U27" s="530">
        <f t="shared" si="34"/>
        <v>607477.24707159074</v>
      </c>
      <c r="V27" s="530">
        <f t="shared" si="34"/>
        <v>607477.24707159074</v>
      </c>
      <c r="W27" s="530">
        <f t="shared" si="34"/>
        <v>607477.24707159074</v>
      </c>
      <c r="X27" s="530">
        <f t="shared" si="34"/>
        <v>620711.0003765563</v>
      </c>
      <c r="Y27" s="530">
        <f t="shared" si="34"/>
        <v>620711.0003765563</v>
      </c>
      <c r="Z27" s="530">
        <f t="shared" si="34"/>
        <v>620711.0003765563</v>
      </c>
      <c r="AA27" s="530">
        <f t="shared" si="34"/>
        <v>620711.0003765563</v>
      </c>
      <c r="AB27" s="530">
        <f t="shared" si="34"/>
        <v>620711.0003765563</v>
      </c>
      <c r="AC27" s="530">
        <f t="shared" si="34"/>
        <v>620711.0003765563</v>
      </c>
      <c r="AD27" s="530">
        <f t="shared" si="34"/>
        <v>650800.08641442866</v>
      </c>
      <c r="AE27" s="530">
        <f t="shared" si="34"/>
        <v>650800.08641442866</v>
      </c>
      <c r="AF27" s="530">
        <f t="shared" si="34"/>
        <v>650800.08641442866</v>
      </c>
      <c r="AG27" s="530">
        <f t="shared" si="34"/>
        <v>650800.08641442866</v>
      </c>
      <c r="AH27" s="530">
        <f t="shared" si="34"/>
        <v>650800.08641442866</v>
      </c>
      <c r="AI27" s="530">
        <f t="shared" si="34"/>
        <v>650800.08641442866</v>
      </c>
      <c r="AJ27" s="530">
        <f t="shared" si="34"/>
        <v>668037.35669357225</v>
      </c>
      <c r="AK27" s="530">
        <f t="shared" si="34"/>
        <v>668037.35669357225</v>
      </c>
      <c r="AL27" s="530">
        <f t="shared" si="34"/>
        <v>668037.35669357225</v>
      </c>
      <c r="AM27" s="530">
        <f t="shared" si="34"/>
        <v>668037.35669357225</v>
      </c>
      <c r="AN27" s="530">
        <f t="shared" si="34"/>
        <v>668037.35669357225</v>
      </c>
      <c r="AO27" s="530">
        <f t="shared" si="34"/>
        <v>668037.35669357225</v>
      </c>
      <c r="AP27" s="530">
        <f t="shared" si="34"/>
        <v>695017.32872439013</v>
      </c>
      <c r="AQ27" s="530">
        <f t="shared" si="34"/>
        <v>695017.32872439013</v>
      </c>
      <c r="AR27" s="530">
        <f t="shared" si="34"/>
        <v>695017.32872439013</v>
      </c>
      <c r="AS27" s="530">
        <f t="shared" si="34"/>
        <v>695017.32872439013</v>
      </c>
      <c r="AT27" s="530">
        <f t="shared" si="34"/>
        <v>695017.32872439013</v>
      </c>
      <c r="AU27" s="530">
        <f t="shared" si="34"/>
        <v>695017.32872439013</v>
      </c>
      <c r="AV27" s="530">
        <f t="shared" si="34"/>
        <v>716548.29866015841</v>
      </c>
      <c r="AW27" s="530">
        <f t="shared" si="34"/>
        <v>716548.29866015841</v>
      </c>
      <c r="AX27" s="530">
        <f t="shared" ref="AX27:BY27" si="35">SUM(AX25:AX26)</f>
        <v>716548.29866015841</v>
      </c>
      <c r="AY27" s="530">
        <f t="shared" si="35"/>
        <v>716548.29866015841</v>
      </c>
      <c r="AZ27" s="530">
        <f t="shared" si="35"/>
        <v>716548.29866015841</v>
      </c>
      <c r="BA27" s="530">
        <f t="shared" si="35"/>
        <v>716548.29866015841</v>
      </c>
      <c r="BB27" s="530">
        <f t="shared" si="35"/>
        <v>740483.95360708178</v>
      </c>
      <c r="BC27" s="530">
        <f t="shared" si="35"/>
        <v>740483.95360708178</v>
      </c>
      <c r="BD27" s="530">
        <f t="shared" si="35"/>
        <v>740483.95360708178</v>
      </c>
      <c r="BE27" s="530">
        <f t="shared" si="35"/>
        <v>740483.95360708178</v>
      </c>
      <c r="BF27" s="530">
        <f t="shared" si="35"/>
        <v>740483.95360708178</v>
      </c>
      <c r="BG27" s="530">
        <f t="shared" si="35"/>
        <v>740483.95360708178</v>
      </c>
      <c r="BH27" s="530">
        <f t="shared" si="35"/>
        <v>766603.73751697794</v>
      </c>
      <c r="BI27" s="530">
        <f t="shared" si="35"/>
        <v>766603.73751697794</v>
      </c>
      <c r="BJ27" s="530">
        <f t="shared" si="35"/>
        <v>766603.73751697794</v>
      </c>
      <c r="BK27" s="530">
        <f t="shared" si="35"/>
        <v>766603.73751697794</v>
      </c>
      <c r="BL27" s="530">
        <f t="shared" si="35"/>
        <v>766603.73751697794</v>
      </c>
      <c r="BM27" s="530">
        <f t="shared" si="35"/>
        <v>766603.73751697794</v>
      </c>
      <c r="BN27" s="530">
        <f t="shared" si="35"/>
        <v>788645.0633535462</v>
      </c>
      <c r="BO27" s="530">
        <f t="shared" si="35"/>
        <v>788645.0633535462</v>
      </c>
      <c r="BP27" s="530">
        <f t="shared" si="35"/>
        <v>788645.0633535462</v>
      </c>
      <c r="BQ27" s="530">
        <f t="shared" si="35"/>
        <v>788645.0633535462</v>
      </c>
      <c r="BR27" s="530">
        <f t="shared" si="35"/>
        <v>788645.0633535462</v>
      </c>
      <c r="BS27" s="530">
        <f t="shared" si="35"/>
        <v>788645.0633535462</v>
      </c>
      <c r="BT27" s="530">
        <f t="shared" si="35"/>
        <v>819665.33286229079</v>
      </c>
      <c r="BU27" s="530">
        <f t="shared" si="35"/>
        <v>819665.33286229079</v>
      </c>
      <c r="BV27" s="530">
        <f t="shared" si="35"/>
        <v>819665.33286229079</v>
      </c>
      <c r="BW27" s="530">
        <f t="shared" si="35"/>
        <v>819665.33286229079</v>
      </c>
      <c r="BX27" s="530">
        <f t="shared" si="35"/>
        <v>819665.33286229079</v>
      </c>
      <c r="BY27" s="530">
        <f t="shared" si="35"/>
        <v>819665.33286229079</v>
      </c>
      <c r="BZ27" s="537"/>
      <c r="CA27" s="537"/>
      <c r="CB27" s="574"/>
    </row>
    <row r="28" spans="1:80" x14ac:dyDescent="0.3">
      <c r="A28" s="551"/>
      <c r="B28" s="548"/>
      <c r="C28" s="525"/>
      <c r="D28" s="525"/>
      <c r="E28" s="525" t="s">
        <v>175</v>
      </c>
      <c r="F28" s="575"/>
      <c r="G28" s="575"/>
      <c r="H28" s="575"/>
      <c r="I28" s="531">
        <f t="shared" ref="I28:N28" si="36">IFERROR(I27/I22,0)</f>
        <v>0.41583136901653406</v>
      </c>
      <c r="J28" s="531">
        <f t="shared" si="36"/>
        <v>0.42375246735071864</v>
      </c>
      <c r="K28" s="531">
        <f t="shared" si="36"/>
        <v>0.43114700219849739</v>
      </c>
      <c r="L28" s="531">
        <f t="shared" si="36"/>
        <v>0.43797650789111675</v>
      </c>
      <c r="M28" s="531">
        <f t="shared" si="36"/>
        <v>0.44422866297688923</v>
      </c>
      <c r="N28" s="531">
        <f t="shared" si="36"/>
        <v>0.45033311408393389</v>
      </c>
      <c r="O28" s="546"/>
      <c r="P28" s="564">
        <f t="shared" si="23"/>
        <v>1.6069293870101697E-2</v>
      </c>
      <c r="Q28" s="537"/>
      <c r="R28" s="531">
        <f t="shared" ref="R28:AW28" si="37">IFERROR(R27/R22,0)</f>
        <v>0.42375246735071864</v>
      </c>
      <c r="S28" s="531">
        <f t="shared" si="37"/>
        <v>0.42375246735071864</v>
      </c>
      <c r="T28" s="531">
        <f t="shared" si="37"/>
        <v>0.42375246735071864</v>
      </c>
      <c r="U28" s="531">
        <f t="shared" si="37"/>
        <v>0.42375246735071864</v>
      </c>
      <c r="V28" s="531">
        <f t="shared" si="37"/>
        <v>0.42375246735071864</v>
      </c>
      <c r="W28" s="531">
        <f t="shared" si="37"/>
        <v>0.42375246735071864</v>
      </c>
      <c r="X28" s="531">
        <f t="shared" si="37"/>
        <v>0.42375246735071864</v>
      </c>
      <c r="Y28" s="531">
        <f t="shared" si="37"/>
        <v>0.42375246735071864</v>
      </c>
      <c r="Z28" s="531">
        <f t="shared" si="37"/>
        <v>0.42375246735071864</v>
      </c>
      <c r="AA28" s="531">
        <f t="shared" si="37"/>
        <v>0.42375246735071864</v>
      </c>
      <c r="AB28" s="531">
        <f t="shared" si="37"/>
        <v>0.42375246735071864</v>
      </c>
      <c r="AC28" s="531">
        <f t="shared" si="37"/>
        <v>0.42375246735071864</v>
      </c>
      <c r="AD28" s="531">
        <f t="shared" si="37"/>
        <v>0.43114700219849733</v>
      </c>
      <c r="AE28" s="531">
        <f t="shared" si="37"/>
        <v>0.43114700219849733</v>
      </c>
      <c r="AF28" s="531">
        <f t="shared" si="37"/>
        <v>0.43114700219849733</v>
      </c>
      <c r="AG28" s="531">
        <f t="shared" si="37"/>
        <v>0.43114700219849733</v>
      </c>
      <c r="AH28" s="531">
        <f t="shared" si="37"/>
        <v>0.43114700219849733</v>
      </c>
      <c r="AI28" s="531">
        <f t="shared" si="37"/>
        <v>0.43114700219849733</v>
      </c>
      <c r="AJ28" s="531">
        <f t="shared" si="37"/>
        <v>0.43114700219849755</v>
      </c>
      <c r="AK28" s="531">
        <f t="shared" si="37"/>
        <v>0.43114700219849755</v>
      </c>
      <c r="AL28" s="531">
        <f t="shared" si="37"/>
        <v>0.43114700219849755</v>
      </c>
      <c r="AM28" s="531">
        <f t="shared" si="37"/>
        <v>0.43114700219849755</v>
      </c>
      <c r="AN28" s="531">
        <f t="shared" si="37"/>
        <v>0.43114700219849755</v>
      </c>
      <c r="AO28" s="531">
        <f t="shared" si="37"/>
        <v>0.43114700219849755</v>
      </c>
      <c r="AP28" s="531">
        <f t="shared" si="37"/>
        <v>0.43797650789111686</v>
      </c>
      <c r="AQ28" s="531">
        <f t="shared" si="37"/>
        <v>0.43797650789111686</v>
      </c>
      <c r="AR28" s="531">
        <f t="shared" si="37"/>
        <v>0.43797650789111686</v>
      </c>
      <c r="AS28" s="531">
        <f t="shared" si="37"/>
        <v>0.43797650789111686</v>
      </c>
      <c r="AT28" s="531">
        <f t="shared" si="37"/>
        <v>0.43797650789111686</v>
      </c>
      <c r="AU28" s="531">
        <f t="shared" si="37"/>
        <v>0.43797650789111686</v>
      </c>
      <c r="AV28" s="531">
        <f t="shared" si="37"/>
        <v>0.43797650789111686</v>
      </c>
      <c r="AW28" s="531">
        <f t="shared" si="37"/>
        <v>0.43797650789111686</v>
      </c>
      <c r="AX28" s="531">
        <f t="shared" ref="AX28:BY28" si="38">IFERROR(AX27/AX22,0)</f>
        <v>0.43797650789111686</v>
      </c>
      <c r="AY28" s="531">
        <f t="shared" si="38"/>
        <v>0.43797650789111686</v>
      </c>
      <c r="AZ28" s="531">
        <f t="shared" si="38"/>
        <v>0.43797650789111686</v>
      </c>
      <c r="BA28" s="531">
        <f t="shared" si="38"/>
        <v>0.43797650789111686</v>
      </c>
      <c r="BB28" s="531">
        <f t="shared" si="38"/>
        <v>0.44422866297688929</v>
      </c>
      <c r="BC28" s="531">
        <f t="shared" si="38"/>
        <v>0.44422866297688929</v>
      </c>
      <c r="BD28" s="531">
        <f t="shared" si="38"/>
        <v>0.44422866297688929</v>
      </c>
      <c r="BE28" s="531">
        <f t="shared" si="38"/>
        <v>0.44422866297688929</v>
      </c>
      <c r="BF28" s="531">
        <f t="shared" si="38"/>
        <v>0.44422866297688929</v>
      </c>
      <c r="BG28" s="531">
        <f t="shared" si="38"/>
        <v>0.44422866297688929</v>
      </c>
      <c r="BH28" s="531">
        <f t="shared" si="38"/>
        <v>0.4442286629768894</v>
      </c>
      <c r="BI28" s="531">
        <f t="shared" si="38"/>
        <v>0.4442286629768894</v>
      </c>
      <c r="BJ28" s="531">
        <f t="shared" si="38"/>
        <v>0.4442286629768894</v>
      </c>
      <c r="BK28" s="531">
        <f t="shared" si="38"/>
        <v>0.4442286629768894</v>
      </c>
      <c r="BL28" s="531">
        <f t="shared" si="38"/>
        <v>0.4442286629768894</v>
      </c>
      <c r="BM28" s="531">
        <f t="shared" si="38"/>
        <v>0.4442286629768894</v>
      </c>
      <c r="BN28" s="531">
        <f t="shared" si="38"/>
        <v>0.45033311408393401</v>
      </c>
      <c r="BO28" s="531">
        <f t="shared" si="38"/>
        <v>0.45033311408393401</v>
      </c>
      <c r="BP28" s="531">
        <f t="shared" si="38"/>
        <v>0.45033311408393401</v>
      </c>
      <c r="BQ28" s="531">
        <f t="shared" si="38"/>
        <v>0.45033311408393401</v>
      </c>
      <c r="BR28" s="531">
        <f t="shared" si="38"/>
        <v>0.45033311408393401</v>
      </c>
      <c r="BS28" s="531">
        <f t="shared" si="38"/>
        <v>0.45033311408393401</v>
      </c>
      <c r="BT28" s="531">
        <f t="shared" si="38"/>
        <v>0.45033311408393395</v>
      </c>
      <c r="BU28" s="531">
        <f t="shared" si="38"/>
        <v>0.45033311408393395</v>
      </c>
      <c r="BV28" s="531">
        <f t="shared" si="38"/>
        <v>0.45033311408393395</v>
      </c>
      <c r="BW28" s="531">
        <f t="shared" si="38"/>
        <v>0.45033311408393395</v>
      </c>
      <c r="BX28" s="531">
        <f t="shared" si="38"/>
        <v>0.45033311408393395</v>
      </c>
      <c r="BY28" s="531">
        <f t="shared" si="38"/>
        <v>0.45033311408393395</v>
      </c>
      <c r="BZ28" s="537"/>
      <c r="CA28" s="537"/>
      <c r="CB28" s="537"/>
    </row>
    <row r="29" spans="1:80" x14ac:dyDescent="0.3">
      <c r="A29" s="551"/>
      <c r="B29" s="548"/>
      <c r="C29" s="525"/>
      <c r="D29" s="525"/>
      <c r="E29" s="525"/>
      <c r="F29" s="575"/>
      <c r="G29" s="575"/>
      <c r="H29" s="575"/>
      <c r="I29" s="529"/>
      <c r="J29" s="529"/>
      <c r="K29" s="529"/>
      <c r="L29" s="529"/>
      <c r="M29" s="529"/>
      <c r="N29" s="529"/>
      <c r="O29" s="529"/>
      <c r="P29" s="562"/>
      <c r="Q29" s="537"/>
      <c r="R29" s="529"/>
      <c r="S29" s="529"/>
      <c r="T29" s="529"/>
      <c r="U29" s="529"/>
      <c r="V29" s="529"/>
      <c r="W29" s="529"/>
      <c r="X29" s="529"/>
      <c r="Y29" s="529"/>
      <c r="Z29" s="529"/>
      <c r="AA29" s="529"/>
      <c r="AB29" s="529"/>
      <c r="AC29" s="529"/>
      <c r="AD29" s="529"/>
      <c r="AE29" s="529"/>
      <c r="AF29" s="529"/>
      <c r="AG29" s="529"/>
      <c r="AH29" s="529"/>
      <c r="AI29" s="529"/>
      <c r="AJ29" s="529"/>
      <c r="AK29" s="529"/>
      <c r="AL29" s="529"/>
      <c r="AM29" s="529"/>
      <c r="AN29" s="529"/>
      <c r="AO29" s="529"/>
      <c r="AP29" s="529"/>
      <c r="AQ29" s="529"/>
      <c r="AR29" s="529"/>
      <c r="AS29" s="529"/>
      <c r="AT29" s="529"/>
      <c r="AU29" s="529"/>
      <c r="AV29" s="529"/>
      <c r="AW29" s="529"/>
      <c r="AX29" s="529"/>
      <c r="AY29" s="529"/>
      <c r="AZ29" s="529"/>
      <c r="BA29" s="529"/>
      <c r="BB29" s="529"/>
      <c r="BC29" s="529"/>
      <c r="BD29" s="529"/>
      <c r="BE29" s="529"/>
      <c r="BF29" s="529"/>
      <c r="BG29" s="529"/>
      <c r="BH29" s="529"/>
      <c r="BI29" s="529"/>
      <c r="BJ29" s="529"/>
      <c r="BK29" s="529"/>
      <c r="BL29" s="529"/>
      <c r="BM29" s="529"/>
      <c r="BN29" s="529"/>
      <c r="BO29" s="529"/>
      <c r="BP29" s="529"/>
      <c r="BQ29" s="529"/>
      <c r="BR29" s="529"/>
      <c r="BS29" s="529"/>
      <c r="BT29" s="529"/>
      <c r="BU29" s="529"/>
      <c r="BV29" s="529"/>
      <c r="BW29" s="529"/>
      <c r="BX29" s="529"/>
      <c r="BY29" s="529"/>
      <c r="BZ29" s="537"/>
      <c r="CA29" s="537"/>
      <c r="CB29" s="537"/>
    </row>
    <row r="30" spans="1:80" x14ac:dyDescent="0.3">
      <c r="A30" s="551"/>
      <c r="B30" s="548"/>
      <c r="C30" s="525"/>
      <c r="D30" s="525"/>
      <c r="E30" s="570" t="s">
        <v>23</v>
      </c>
      <c r="F30" s="529"/>
      <c r="G30" s="529"/>
      <c r="H30" s="529"/>
      <c r="I30" s="529"/>
      <c r="J30" s="529"/>
      <c r="K30" s="529"/>
      <c r="L30" s="529"/>
      <c r="M30" s="529"/>
      <c r="N30" s="529"/>
      <c r="O30" s="529"/>
      <c r="P30" s="562"/>
      <c r="Q30" s="537"/>
      <c r="R30" s="529"/>
      <c r="S30" s="529"/>
      <c r="T30" s="529"/>
      <c r="U30" s="529"/>
      <c r="V30" s="529"/>
      <c r="W30" s="529"/>
      <c r="X30" s="529"/>
      <c r="Y30" s="529"/>
      <c r="Z30" s="529"/>
      <c r="AA30" s="529"/>
      <c r="AB30" s="529"/>
      <c r="AC30" s="529"/>
      <c r="AD30" s="529"/>
      <c r="AE30" s="529"/>
      <c r="AF30" s="529"/>
      <c r="AG30" s="529"/>
      <c r="AH30" s="529"/>
      <c r="AI30" s="529"/>
      <c r="AJ30" s="529"/>
      <c r="AK30" s="529"/>
      <c r="AL30" s="529"/>
      <c r="AM30" s="529"/>
      <c r="AN30" s="529"/>
      <c r="AO30" s="529"/>
      <c r="AP30" s="529"/>
      <c r="AQ30" s="529"/>
      <c r="AR30" s="529"/>
      <c r="AS30" s="529"/>
      <c r="AT30" s="529"/>
      <c r="AU30" s="529"/>
      <c r="AV30" s="529"/>
      <c r="AW30" s="529"/>
      <c r="AX30" s="529"/>
      <c r="AY30" s="529"/>
      <c r="AZ30" s="529"/>
      <c r="BA30" s="529"/>
      <c r="BB30" s="529"/>
      <c r="BC30" s="529"/>
      <c r="BD30" s="529"/>
      <c r="BE30" s="529"/>
      <c r="BF30" s="529"/>
      <c r="BG30" s="529"/>
      <c r="BH30" s="529"/>
      <c r="BI30" s="529"/>
      <c r="BJ30" s="529"/>
      <c r="BK30" s="529"/>
      <c r="BL30" s="529"/>
      <c r="BM30" s="529"/>
      <c r="BN30" s="529"/>
      <c r="BO30" s="529"/>
      <c r="BP30" s="529"/>
      <c r="BQ30" s="529"/>
      <c r="BR30" s="529"/>
      <c r="BS30" s="529"/>
      <c r="BT30" s="529"/>
      <c r="BU30" s="529"/>
      <c r="BV30" s="529"/>
      <c r="BW30" s="529"/>
      <c r="BX30" s="529"/>
      <c r="BY30" s="529"/>
      <c r="BZ30" s="537"/>
      <c r="CA30" s="537"/>
      <c r="CB30" s="537"/>
    </row>
    <row r="31" spans="1:80" x14ac:dyDescent="0.3">
      <c r="A31" s="551"/>
      <c r="B31" s="548"/>
      <c r="C31" s="525"/>
      <c r="D31" s="525"/>
      <c r="E31" s="572" t="s">
        <v>391</v>
      </c>
      <c r="F31" s="573"/>
      <c r="G31" s="573"/>
      <c r="H31" s="573"/>
      <c r="I31" s="530">
        <f t="shared" ref="I31:I36" si="39">I521</f>
        <v>1326353.464541951</v>
      </c>
      <c r="J31" s="530">
        <f t="shared" ref="J31:N36" si="40">SUMIF($R$2:$BY$2,J$3,$R31:$BY31)</f>
        <v>1340800.6184308818</v>
      </c>
      <c r="K31" s="530">
        <f t="shared" si="40"/>
        <v>1365228.8885745273</v>
      </c>
      <c r="L31" s="530">
        <f t="shared" si="40"/>
        <v>1389423.3478208696</v>
      </c>
      <c r="M31" s="530">
        <f t="shared" si="40"/>
        <v>1414613.1750923309</v>
      </c>
      <c r="N31" s="530">
        <f t="shared" si="40"/>
        <v>1440311.390218358</v>
      </c>
      <c r="O31" s="536"/>
      <c r="P31" s="568">
        <f t="shared" ref="P31:P37" si="41">IFERROR(((N31/I31)^(1/5))-1,0)</f>
        <v>1.6621812914281442E-2</v>
      </c>
      <c r="Q31" s="537"/>
      <c r="R31" s="530">
        <f t="shared" ref="R31:AW31" si="42">R296</f>
        <v>110529.45537849593</v>
      </c>
      <c r="S31" s="530">
        <f t="shared" si="42"/>
        <v>110529.45537849593</v>
      </c>
      <c r="T31" s="530">
        <f t="shared" si="42"/>
        <v>110529.45537849593</v>
      </c>
      <c r="U31" s="530">
        <f t="shared" si="42"/>
        <v>110529.45537849593</v>
      </c>
      <c r="V31" s="530">
        <f t="shared" si="42"/>
        <v>110529.45537849593</v>
      </c>
      <c r="W31" s="530">
        <f t="shared" si="42"/>
        <v>110529.45537849593</v>
      </c>
      <c r="X31" s="530">
        <f t="shared" si="42"/>
        <v>112937.31435998439</v>
      </c>
      <c r="Y31" s="530">
        <f t="shared" si="42"/>
        <v>112937.31435998439</v>
      </c>
      <c r="Z31" s="530">
        <f t="shared" si="42"/>
        <v>112937.31435998439</v>
      </c>
      <c r="AA31" s="530">
        <f t="shared" si="42"/>
        <v>112937.31435998439</v>
      </c>
      <c r="AB31" s="530">
        <f t="shared" si="42"/>
        <v>112937.31435998439</v>
      </c>
      <c r="AC31" s="530">
        <f t="shared" si="42"/>
        <v>112937.31435998439</v>
      </c>
      <c r="AD31" s="530">
        <f t="shared" si="42"/>
        <v>112282.10665169112</v>
      </c>
      <c r="AE31" s="530">
        <f t="shared" si="42"/>
        <v>112282.10665169112</v>
      </c>
      <c r="AF31" s="530">
        <f t="shared" si="42"/>
        <v>112282.10665169112</v>
      </c>
      <c r="AG31" s="530">
        <f t="shared" si="42"/>
        <v>112282.10665169112</v>
      </c>
      <c r="AH31" s="530">
        <f t="shared" si="42"/>
        <v>112282.10665169112</v>
      </c>
      <c r="AI31" s="530">
        <f t="shared" si="42"/>
        <v>112282.10665169112</v>
      </c>
      <c r="AJ31" s="530">
        <f t="shared" si="42"/>
        <v>115256.04144406345</v>
      </c>
      <c r="AK31" s="530">
        <f t="shared" si="42"/>
        <v>115256.04144406345</v>
      </c>
      <c r="AL31" s="530">
        <f t="shared" si="42"/>
        <v>115256.04144406345</v>
      </c>
      <c r="AM31" s="530">
        <f t="shared" si="42"/>
        <v>115256.04144406345</v>
      </c>
      <c r="AN31" s="530">
        <f t="shared" si="42"/>
        <v>115256.04144406345</v>
      </c>
      <c r="AO31" s="530">
        <f t="shared" si="42"/>
        <v>115256.04144406345</v>
      </c>
      <c r="AP31" s="530">
        <f t="shared" si="42"/>
        <v>114019.17664277382</v>
      </c>
      <c r="AQ31" s="530">
        <f t="shared" si="42"/>
        <v>114019.17664277382</v>
      </c>
      <c r="AR31" s="530">
        <f t="shared" si="42"/>
        <v>114019.17664277382</v>
      </c>
      <c r="AS31" s="530">
        <f t="shared" si="42"/>
        <v>114019.17664277382</v>
      </c>
      <c r="AT31" s="530">
        <f t="shared" si="42"/>
        <v>114019.17664277382</v>
      </c>
      <c r="AU31" s="530">
        <f t="shared" si="42"/>
        <v>114019.17664277382</v>
      </c>
      <c r="AV31" s="530">
        <f t="shared" si="42"/>
        <v>117551.38132737117</v>
      </c>
      <c r="AW31" s="530">
        <f t="shared" si="42"/>
        <v>117551.38132737117</v>
      </c>
      <c r="AX31" s="530">
        <f t="shared" ref="AX31:BY31" si="43">AX296</f>
        <v>117551.38132737117</v>
      </c>
      <c r="AY31" s="530">
        <f t="shared" si="43"/>
        <v>117551.38132737117</v>
      </c>
      <c r="AZ31" s="530">
        <f t="shared" si="43"/>
        <v>117551.38132737117</v>
      </c>
      <c r="BA31" s="530">
        <f t="shared" si="43"/>
        <v>117551.38132737117</v>
      </c>
      <c r="BB31" s="530">
        <f t="shared" si="43"/>
        <v>115841.341204656</v>
      </c>
      <c r="BC31" s="530">
        <f t="shared" si="43"/>
        <v>115841.341204656</v>
      </c>
      <c r="BD31" s="530">
        <f t="shared" si="43"/>
        <v>115841.341204656</v>
      </c>
      <c r="BE31" s="530">
        <f t="shared" si="43"/>
        <v>115841.341204656</v>
      </c>
      <c r="BF31" s="530">
        <f t="shared" si="43"/>
        <v>115841.341204656</v>
      </c>
      <c r="BG31" s="530">
        <f t="shared" si="43"/>
        <v>115841.341204656</v>
      </c>
      <c r="BH31" s="530">
        <f t="shared" si="43"/>
        <v>119927.5213107325</v>
      </c>
      <c r="BI31" s="530">
        <f t="shared" si="43"/>
        <v>119927.5213107325</v>
      </c>
      <c r="BJ31" s="530">
        <f t="shared" si="43"/>
        <v>119927.5213107325</v>
      </c>
      <c r="BK31" s="530">
        <f t="shared" si="43"/>
        <v>119927.5213107325</v>
      </c>
      <c r="BL31" s="530">
        <f t="shared" si="43"/>
        <v>119927.5213107325</v>
      </c>
      <c r="BM31" s="530">
        <f t="shared" si="43"/>
        <v>119927.5213107325</v>
      </c>
      <c r="BN31" s="530">
        <f t="shared" si="43"/>
        <v>117710.94997792046</v>
      </c>
      <c r="BO31" s="530">
        <f t="shared" si="43"/>
        <v>117710.94997792046</v>
      </c>
      <c r="BP31" s="530">
        <f t="shared" si="43"/>
        <v>117710.94997792046</v>
      </c>
      <c r="BQ31" s="530">
        <f t="shared" si="43"/>
        <v>117710.94997792046</v>
      </c>
      <c r="BR31" s="530">
        <f t="shared" si="43"/>
        <v>117710.94997792046</v>
      </c>
      <c r="BS31" s="530">
        <f t="shared" si="43"/>
        <v>117710.94997792046</v>
      </c>
      <c r="BT31" s="530">
        <f t="shared" si="43"/>
        <v>122340.94839180585</v>
      </c>
      <c r="BU31" s="530">
        <f t="shared" si="43"/>
        <v>122340.94839180585</v>
      </c>
      <c r="BV31" s="530">
        <f t="shared" si="43"/>
        <v>122340.94839180585</v>
      </c>
      <c r="BW31" s="530">
        <f t="shared" si="43"/>
        <v>122340.94839180585</v>
      </c>
      <c r="BX31" s="530">
        <f t="shared" si="43"/>
        <v>122340.94839180585</v>
      </c>
      <c r="BY31" s="530">
        <f t="shared" si="43"/>
        <v>122340.94839180585</v>
      </c>
      <c r="BZ31" s="537"/>
      <c r="CA31" s="537"/>
      <c r="CB31" s="574"/>
    </row>
    <row r="32" spans="1:80" x14ac:dyDescent="0.3">
      <c r="A32" s="551"/>
      <c r="B32" s="548"/>
      <c r="C32" s="525"/>
      <c r="D32" s="525"/>
      <c r="E32" s="525" t="s">
        <v>392</v>
      </c>
      <c r="F32" s="567"/>
      <c r="G32" s="567"/>
      <c r="H32" s="567"/>
      <c r="I32" s="527">
        <f t="shared" si="39"/>
        <v>-670173.36989358428</v>
      </c>
      <c r="J32" s="527">
        <f t="shared" si="40"/>
        <v>-677473.15691563557</v>
      </c>
      <c r="K32" s="527">
        <f t="shared" si="40"/>
        <v>-689816.15337962215</v>
      </c>
      <c r="L32" s="527">
        <f t="shared" si="40"/>
        <v>-702041.01102077437</v>
      </c>
      <c r="M32" s="527">
        <f t="shared" si="40"/>
        <v>-714768.80333319737</v>
      </c>
      <c r="N32" s="527">
        <f t="shared" si="40"/>
        <v>-727753.47136601876</v>
      </c>
      <c r="O32" s="529"/>
      <c r="P32" s="564">
        <f t="shared" si="41"/>
        <v>1.6621812914281442E-2</v>
      </c>
      <c r="Q32" s="537"/>
      <c r="R32" s="527">
        <f t="shared" ref="R32:AW32" si="44">R304</f>
        <v>-55847.780824465372</v>
      </c>
      <c r="S32" s="527">
        <f t="shared" si="44"/>
        <v>-55847.780824465372</v>
      </c>
      <c r="T32" s="527">
        <f t="shared" si="44"/>
        <v>-55847.780824465372</v>
      </c>
      <c r="U32" s="527">
        <f t="shared" si="44"/>
        <v>-55847.780824465372</v>
      </c>
      <c r="V32" s="527">
        <f t="shared" si="44"/>
        <v>-55847.780824465372</v>
      </c>
      <c r="W32" s="527">
        <f t="shared" si="44"/>
        <v>-55847.780824465372</v>
      </c>
      <c r="X32" s="527">
        <f t="shared" si="44"/>
        <v>-57064.411994807233</v>
      </c>
      <c r="Y32" s="527">
        <f t="shared" si="44"/>
        <v>-57064.411994807233</v>
      </c>
      <c r="Z32" s="527">
        <f t="shared" si="44"/>
        <v>-57064.411994807233</v>
      </c>
      <c r="AA32" s="527">
        <f t="shared" si="44"/>
        <v>-57064.411994807233</v>
      </c>
      <c r="AB32" s="527">
        <f t="shared" si="44"/>
        <v>-57064.411994807233</v>
      </c>
      <c r="AC32" s="527">
        <f t="shared" si="44"/>
        <v>-57064.411994807233</v>
      </c>
      <c r="AD32" s="527">
        <f t="shared" si="44"/>
        <v>-56733.35185919037</v>
      </c>
      <c r="AE32" s="527">
        <f t="shared" si="44"/>
        <v>-56733.35185919037</v>
      </c>
      <c r="AF32" s="527">
        <f t="shared" si="44"/>
        <v>-56733.35185919037</v>
      </c>
      <c r="AG32" s="527">
        <f t="shared" si="44"/>
        <v>-56733.35185919037</v>
      </c>
      <c r="AH32" s="527">
        <f t="shared" si="44"/>
        <v>-56733.35185919037</v>
      </c>
      <c r="AI32" s="527">
        <f t="shared" si="44"/>
        <v>-56733.35185919037</v>
      </c>
      <c r="AJ32" s="527">
        <f t="shared" si="44"/>
        <v>-58236.007037413336</v>
      </c>
      <c r="AK32" s="527">
        <f t="shared" si="44"/>
        <v>-58236.007037413336</v>
      </c>
      <c r="AL32" s="527">
        <f t="shared" si="44"/>
        <v>-58236.007037413336</v>
      </c>
      <c r="AM32" s="527">
        <f t="shared" si="44"/>
        <v>-58236.007037413336</v>
      </c>
      <c r="AN32" s="527">
        <f t="shared" si="44"/>
        <v>-58236.007037413336</v>
      </c>
      <c r="AO32" s="527">
        <f t="shared" si="44"/>
        <v>-58236.007037413336</v>
      </c>
      <c r="AP32" s="527">
        <f t="shared" si="44"/>
        <v>-57611.050060149893</v>
      </c>
      <c r="AQ32" s="527">
        <f t="shared" si="44"/>
        <v>-57611.050060149893</v>
      </c>
      <c r="AR32" s="527">
        <f t="shared" si="44"/>
        <v>-57611.050060149893</v>
      </c>
      <c r="AS32" s="527">
        <f t="shared" si="44"/>
        <v>-57611.050060149893</v>
      </c>
      <c r="AT32" s="527">
        <f t="shared" si="44"/>
        <v>-57611.050060149893</v>
      </c>
      <c r="AU32" s="527">
        <f t="shared" si="44"/>
        <v>-57611.050060149893</v>
      </c>
      <c r="AV32" s="527">
        <f t="shared" si="44"/>
        <v>-59395.785109979173</v>
      </c>
      <c r="AW32" s="527">
        <f t="shared" si="44"/>
        <v>-59395.785109979173</v>
      </c>
      <c r="AX32" s="527">
        <f t="shared" ref="AX32:BY32" si="45">AX304</f>
        <v>-59395.785109979173</v>
      </c>
      <c r="AY32" s="527">
        <f t="shared" si="45"/>
        <v>-59395.785109979173</v>
      </c>
      <c r="AZ32" s="527">
        <f t="shared" si="45"/>
        <v>-59395.785109979173</v>
      </c>
      <c r="BA32" s="527">
        <f t="shared" si="45"/>
        <v>-59395.785109979173</v>
      </c>
      <c r="BB32" s="527">
        <f t="shared" si="45"/>
        <v>-58531.744428267659</v>
      </c>
      <c r="BC32" s="527">
        <f t="shared" si="45"/>
        <v>-58531.744428267659</v>
      </c>
      <c r="BD32" s="527">
        <f t="shared" si="45"/>
        <v>-58531.744428267659</v>
      </c>
      <c r="BE32" s="527">
        <f t="shared" si="45"/>
        <v>-58531.744428267659</v>
      </c>
      <c r="BF32" s="527">
        <f t="shared" si="45"/>
        <v>-58531.744428267659</v>
      </c>
      <c r="BG32" s="527">
        <f t="shared" si="45"/>
        <v>-58531.744428267659</v>
      </c>
      <c r="BH32" s="527">
        <f t="shared" si="45"/>
        <v>-60596.389460598555</v>
      </c>
      <c r="BI32" s="527">
        <f t="shared" si="45"/>
        <v>-60596.389460598555</v>
      </c>
      <c r="BJ32" s="527">
        <f t="shared" si="45"/>
        <v>-60596.389460598555</v>
      </c>
      <c r="BK32" s="527">
        <f t="shared" si="45"/>
        <v>-60596.389460598555</v>
      </c>
      <c r="BL32" s="527">
        <f t="shared" si="45"/>
        <v>-60596.389460598555</v>
      </c>
      <c r="BM32" s="527">
        <f t="shared" si="45"/>
        <v>-60596.389460598555</v>
      </c>
      <c r="BN32" s="527">
        <f t="shared" si="45"/>
        <v>-59476.411174694847</v>
      </c>
      <c r="BO32" s="527">
        <f t="shared" si="45"/>
        <v>-59476.411174694847</v>
      </c>
      <c r="BP32" s="527">
        <f t="shared" si="45"/>
        <v>-59476.411174694847</v>
      </c>
      <c r="BQ32" s="527">
        <f t="shared" si="45"/>
        <v>-59476.411174694847</v>
      </c>
      <c r="BR32" s="527">
        <f t="shared" si="45"/>
        <v>-59476.411174694847</v>
      </c>
      <c r="BS32" s="527">
        <f t="shared" si="45"/>
        <v>-59476.411174694847</v>
      </c>
      <c r="BT32" s="527">
        <f t="shared" si="45"/>
        <v>-61815.834052974955</v>
      </c>
      <c r="BU32" s="527">
        <f t="shared" si="45"/>
        <v>-61815.834052974955</v>
      </c>
      <c r="BV32" s="527">
        <f t="shared" si="45"/>
        <v>-61815.834052974955</v>
      </c>
      <c r="BW32" s="527">
        <f t="shared" si="45"/>
        <v>-61815.834052974955</v>
      </c>
      <c r="BX32" s="527">
        <f t="shared" si="45"/>
        <v>-61815.834052974955</v>
      </c>
      <c r="BY32" s="527">
        <f t="shared" si="45"/>
        <v>-61815.834052974955</v>
      </c>
      <c r="BZ32" s="537"/>
      <c r="CA32" s="537"/>
      <c r="CB32" s="574"/>
    </row>
    <row r="33" spans="1:80" x14ac:dyDescent="0.3">
      <c r="A33" s="551"/>
      <c r="B33" s="548"/>
      <c r="C33" s="525"/>
      <c r="D33" s="525"/>
      <c r="E33" s="525" t="s">
        <v>393</v>
      </c>
      <c r="F33" s="567"/>
      <c r="G33" s="567"/>
      <c r="H33" s="567"/>
      <c r="I33" s="527">
        <f t="shared" si="39"/>
        <v>-81038.546267334808</v>
      </c>
      <c r="J33" s="527">
        <f t="shared" si="40"/>
        <v>-81921.249392978425</v>
      </c>
      <c r="K33" s="527">
        <f t="shared" si="40"/>
        <v>-83413.786302022083</v>
      </c>
      <c r="L33" s="527">
        <f t="shared" si="40"/>
        <v>-84892.037656177505</v>
      </c>
      <c r="M33" s="527">
        <f t="shared" si="40"/>
        <v>-86431.104758105314</v>
      </c>
      <c r="N33" s="527">
        <f t="shared" si="40"/>
        <v>-88001.233725346829</v>
      </c>
      <c r="O33" s="529"/>
      <c r="P33" s="564">
        <f t="shared" si="41"/>
        <v>1.6621812914281442E-2</v>
      </c>
      <c r="Q33" s="537"/>
      <c r="R33" s="527">
        <f t="shared" ref="R33:AW33" si="46">R312</f>
        <v>-6753.2121889445689</v>
      </c>
      <c r="S33" s="527">
        <f t="shared" si="46"/>
        <v>-6753.2121889445689</v>
      </c>
      <c r="T33" s="527">
        <f t="shared" si="46"/>
        <v>-6753.2121889445689</v>
      </c>
      <c r="U33" s="527">
        <f t="shared" si="46"/>
        <v>-6753.2121889445689</v>
      </c>
      <c r="V33" s="527">
        <f t="shared" si="46"/>
        <v>-6753.2121889445689</v>
      </c>
      <c r="W33" s="527">
        <f t="shared" si="46"/>
        <v>-6753.2121889445689</v>
      </c>
      <c r="X33" s="527">
        <f t="shared" si="46"/>
        <v>-6900.3293765518383</v>
      </c>
      <c r="Y33" s="527">
        <f t="shared" si="46"/>
        <v>-6900.3293765518383</v>
      </c>
      <c r="Z33" s="527">
        <f t="shared" si="46"/>
        <v>-6900.3293765518383</v>
      </c>
      <c r="AA33" s="527">
        <f t="shared" si="46"/>
        <v>-6900.3293765518383</v>
      </c>
      <c r="AB33" s="527">
        <f t="shared" si="46"/>
        <v>-6900.3293765518383</v>
      </c>
      <c r="AC33" s="527">
        <f t="shared" si="46"/>
        <v>-6900.3293765518383</v>
      </c>
      <c r="AD33" s="527">
        <f t="shared" si="46"/>
        <v>-6860.2970008671446</v>
      </c>
      <c r="AE33" s="527">
        <f t="shared" si="46"/>
        <v>-6860.2970008671446</v>
      </c>
      <c r="AF33" s="527">
        <f t="shared" si="46"/>
        <v>-6860.2970008671446</v>
      </c>
      <c r="AG33" s="527">
        <f t="shared" si="46"/>
        <v>-6860.2970008671446</v>
      </c>
      <c r="AH33" s="527">
        <f t="shared" si="46"/>
        <v>-6860.2970008671446</v>
      </c>
      <c r="AI33" s="527">
        <f t="shared" si="46"/>
        <v>-6860.2970008671446</v>
      </c>
      <c r="AJ33" s="527">
        <f t="shared" si="46"/>
        <v>-7042.0007161365356</v>
      </c>
      <c r="AK33" s="527">
        <f t="shared" si="46"/>
        <v>-7042.0007161365356</v>
      </c>
      <c r="AL33" s="527">
        <f t="shared" si="46"/>
        <v>-7042.0007161365356</v>
      </c>
      <c r="AM33" s="527">
        <f t="shared" si="46"/>
        <v>-7042.0007161365356</v>
      </c>
      <c r="AN33" s="527">
        <f t="shared" si="46"/>
        <v>-7042.0007161365356</v>
      </c>
      <c r="AO33" s="527">
        <f t="shared" si="46"/>
        <v>-7042.0007161365356</v>
      </c>
      <c r="AP33" s="527">
        <f t="shared" si="46"/>
        <v>-6966.4298158408428</v>
      </c>
      <c r="AQ33" s="527">
        <f t="shared" si="46"/>
        <v>-6966.4298158408428</v>
      </c>
      <c r="AR33" s="527">
        <f t="shared" si="46"/>
        <v>-6966.4298158408428</v>
      </c>
      <c r="AS33" s="527">
        <f t="shared" si="46"/>
        <v>-6966.4298158408428</v>
      </c>
      <c r="AT33" s="527">
        <f t="shared" si="46"/>
        <v>-6966.4298158408428</v>
      </c>
      <c r="AU33" s="527">
        <f t="shared" si="46"/>
        <v>-6966.4298158408428</v>
      </c>
      <c r="AV33" s="527">
        <f t="shared" si="46"/>
        <v>-7182.2431268554092</v>
      </c>
      <c r="AW33" s="527">
        <f t="shared" si="46"/>
        <v>-7182.2431268554092</v>
      </c>
      <c r="AX33" s="527">
        <f t="shared" ref="AX33:BY33" si="47">AX312</f>
        <v>-7182.2431268554092</v>
      </c>
      <c r="AY33" s="527">
        <f t="shared" si="47"/>
        <v>-7182.2431268554092</v>
      </c>
      <c r="AZ33" s="527">
        <f t="shared" si="47"/>
        <v>-7182.2431268554092</v>
      </c>
      <c r="BA33" s="527">
        <f t="shared" si="47"/>
        <v>-7182.2431268554092</v>
      </c>
      <c r="BB33" s="527">
        <f t="shared" si="47"/>
        <v>-7077.7618032049968</v>
      </c>
      <c r="BC33" s="527">
        <f t="shared" si="47"/>
        <v>-7077.7618032049968</v>
      </c>
      <c r="BD33" s="527">
        <f t="shared" si="47"/>
        <v>-7077.7618032049968</v>
      </c>
      <c r="BE33" s="527">
        <f t="shared" si="47"/>
        <v>-7077.7618032049968</v>
      </c>
      <c r="BF33" s="527">
        <f t="shared" si="47"/>
        <v>-7077.7618032049968</v>
      </c>
      <c r="BG33" s="527">
        <f t="shared" si="47"/>
        <v>-7077.7618032049968</v>
      </c>
      <c r="BH33" s="527">
        <f t="shared" si="47"/>
        <v>-7327.4223231458873</v>
      </c>
      <c r="BI33" s="527">
        <f t="shared" si="47"/>
        <v>-7327.4223231458873</v>
      </c>
      <c r="BJ33" s="527">
        <f t="shared" si="47"/>
        <v>-7327.4223231458873</v>
      </c>
      <c r="BK33" s="527">
        <f t="shared" si="47"/>
        <v>-7327.4223231458873</v>
      </c>
      <c r="BL33" s="527">
        <f t="shared" si="47"/>
        <v>-7327.4223231458873</v>
      </c>
      <c r="BM33" s="527">
        <f t="shared" si="47"/>
        <v>-7327.4223231458873</v>
      </c>
      <c r="BN33" s="527">
        <f t="shared" si="47"/>
        <v>-7191.9925728485414</v>
      </c>
      <c r="BO33" s="527">
        <f t="shared" si="47"/>
        <v>-7191.9925728485414</v>
      </c>
      <c r="BP33" s="527">
        <f t="shared" si="47"/>
        <v>-7191.9925728485414</v>
      </c>
      <c r="BQ33" s="527">
        <f t="shared" si="47"/>
        <v>-7191.9925728485414</v>
      </c>
      <c r="BR33" s="527">
        <f t="shared" si="47"/>
        <v>-7191.9925728485414</v>
      </c>
      <c r="BS33" s="527">
        <f t="shared" si="47"/>
        <v>-7191.9925728485414</v>
      </c>
      <c r="BT33" s="527">
        <f t="shared" si="47"/>
        <v>-7474.8797147092628</v>
      </c>
      <c r="BU33" s="527">
        <f t="shared" si="47"/>
        <v>-7474.8797147092628</v>
      </c>
      <c r="BV33" s="527">
        <f t="shared" si="47"/>
        <v>-7474.8797147092628</v>
      </c>
      <c r="BW33" s="527">
        <f t="shared" si="47"/>
        <v>-7474.8797147092628</v>
      </c>
      <c r="BX33" s="527">
        <f t="shared" si="47"/>
        <v>-7474.8797147092628</v>
      </c>
      <c r="BY33" s="527">
        <f t="shared" si="47"/>
        <v>-7474.8797147092628</v>
      </c>
      <c r="BZ33" s="537"/>
      <c r="CA33" s="537"/>
      <c r="CB33" s="574"/>
    </row>
    <row r="34" spans="1:80" x14ac:dyDescent="0.3">
      <c r="A34" s="551"/>
      <c r="B34" s="548"/>
      <c r="C34" s="525"/>
      <c r="D34" s="525"/>
      <c r="E34" s="572" t="s">
        <v>394</v>
      </c>
      <c r="F34" s="573"/>
      <c r="G34" s="573"/>
      <c r="H34" s="573"/>
      <c r="I34" s="532">
        <f t="shared" si="39"/>
        <v>512475.88000000006</v>
      </c>
      <c r="J34" s="532">
        <f t="shared" si="40"/>
        <v>581406.21212226781</v>
      </c>
      <c r="K34" s="530">
        <f t="shared" si="40"/>
        <v>591998.94889288303</v>
      </c>
      <c r="L34" s="532">
        <f t="shared" si="40"/>
        <v>602490.29914391809</v>
      </c>
      <c r="M34" s="532">
        <f t="shared" si="40"/>
        <v>613413.26700102841</v>
      </c>
      <c r="N34" s="532">
        <f t="shared" si="40"/>
        <v>624556.68512699229</v>
      </c>
      <c r="O34" s="536"/>
      <c r="P34" s="568">
        <f t="shared" si="41"/>
        <v>4.0350514511868329E-2</v>
      </c>
      <c r="Q34" s="537"/>
      <c r="R34" s="530">
        <f t="shared" ref="R34:AW34" si="48">SUM(R31:R33)</f>
        <v>47928.462365085987</v>
      </c>
      <c r="S34" s="532">
        <f t="shared" si="48"/>
        <v>47928.462365085987</v>
      </c>
      <c r="T34" s="530">
        <f t="shared" si="48"/>
        <v>47928.462365085987</v>
      </c>
      <c r="U34" s="532">
        <f t="shared" si="48"/>
        <v>47928.462365085987</v>
      </c>
      <c r="V34" s="532">
        <f t="shared" si="48"/>
        <v>47928.462365085987</v>
      </c>
      <c r="W34" s="532">
        <f t="shared" si="48"/>
        <v>47928.462365085987</v>
      </c>
      <c r="X34" s="532">
        <f t="shared" si="48"/>
        <v>48972.572988625318</v>
      </c>
      <c r="Y34" s="532">
        <f t="shared" si="48"/>
        <v>48972.572988625318</v>
      </c>
      <c r="Z34" s="532">
        <f t="shared" si="48"/>
        <v>48972.572988625318</v>
      </c>
      <c r="AA34" s="532">
        <f t="shared" si="48"/>
        <v>48972.572988625318</v>
      </c>
      <c r="AB34" s="532">
        <f t="shared" si="48"/>
        <v>48972.572988625318</v>
      </c>
      <c r="AC34" s="532">
        <f t="shared" si="48"/>
        <v>48972.572988625318</v>
      </c>
      <c r="AD34" s="532">
        <f t="shared" si="48"/>
        <v>48688.457791633606</v>
      </c>
      <c r="AE34" s="532">
        <f t="shared" si="48"/>
        <v>48688.457791633606</v>
      </c>
      <c r="AF34" s="532">
        <f t="shared" si="48"/>
        <v>48688.457791633606</v>
      </c>
      <c r="AG34" s="532">
        <f t="shared" si="48"/>
        <v>48688.457791633606</v>
      </c>
      <c r="AH34" s="532">
        <f t="shared" si="48"/>
        <v>48688.457791633606</v>
      </c>
      <c r="AI34" s="532">
        <f t="shared" si="48"/>
        <v>48688.457791633606</v>
      </c>
      <c r="AJ34" s="532">
        <f t="shared" si="48"/>
        <v>49978.033690513577</v>
      </c>
      <c r="AK34" s="532">
        <f t="shared" si="48"/>
        <v>49978.033690513577</v>
      </c>
      <c r="AL34" s="532">
        <f t="shared" si="48"/>
        <v>49978.033690513577</v>
      </c>
      <c r="AM34" s="532">
        <f t="shared" si="48"/>
        <v>49978.033690513577</v>
      </c>
      <c r="AN34" s="532">
        <f t="shared" si="48"/>
        <v>49978.033690513577</v>
      </c>
      <c r="AO34" s="532">
        <f t="shared" si="48"/>
        <v>49978.033690513577</v>
      </c>
      <c r="AP34" s="532">
        <f t="shared" si="48"/>
        <v>49441.696766783083</v>
      </c>
      <c r="AQ34" s="532">
        <f t="shared" si="48"/>
        <v>49441.696766783083</v>
      </c>
      <c r="AR34" s="532">
        <f t="shared" si="48"/>
        <v>49441.696766783083</v>
      </c>
      <c r="AS34" s="532">
        <f t="shared" si="48"/>
        <v>49441.696766783083</v>
      </c>
      <c r="AT34" s="532">
        <f t="shared" si="48"/>
        <v>49441.696766783083</v>
      </c>
      <c r="AU34" s="532">
        <f t="shared" si="48"/>
        <v>49441.696766783083</v>
      </c>
      <c r="AV34" s="532">
        <f t="shared" si="48"/>
        <v>50973.353090536591</v>
      </c>
      <c r="AW34" s="532">
        <f t="shared" si="48"/>
        <v>50973.353090536591</v>
      </c>
      <c r="AX34" s="532">
        <f t="shared" ref="AX34:BY34" si="49">SUM(AX31:AX33)</f>
        <v>50973.353090536591</v>
      </c>
      <c r="AY34" s="532">
        <f t="shared" si="49"/>
        <v>50973.353090536591</v>
      </c>
      <c r="AZ34" s="532">
        <f t="shared" si="49"/>
        <v>50973.353090536591</v>
      </c>
      <c r="BA34" s="532">
        <f t="shared" si="49"/>
        <v>50973.353090536591</v>
      </c>
      <c r="BB34" s="532">
        <f t="shared" si="49"/>
        <v>50231.834973183344</v>
      </c>
      <c r="BC34" s="532">
        <f t="shared" si="49"/>
        <v>50231.834973183344</v>
      </c>
      <c r="BD34" s="532">
        <f t="shared" si="49"/>
        <v>50231.834973183344</v>
      </c>
      <c r="BE34" s="532">
        <f t="shared" si="49"/>
        <v>50231.834973183344</v>
      </c>
      <c r="BF34" s="532">
        <f t="shared" si="49"/>
        <v>50231.834973183344</v>
      </c>
      <c r="BG34" s="532">
        <f t="shared" si="49"/>
        <v>50231.834973183344</v>
      </c>
      <c r="BH34" s="532">
        <f t="shared" si="49"/>
        <v>52003.709526988052</v>
      </c>
      <c r="BI34" s="532">
        <f t="shared" si="49"/>
        <v>52003.709526988052</v>
      </c>
      <c r="BJ34" s="532">
        <f t="shared" si="49"/>
        <v>52003.709526988052</v>
      </c>
      <c r="BK34" s="532">
        <f t="shared" si="49"/>
        <v>52003.709526988052</v>
      </c>
      <c r="BL34" s="532">
        <f t="shared" si="49"/>
        <v>52003.709526988052</v>
      </c>
      <c r="BM34" s="532">
        <f t="shared" si="49"/>
        <v>52003.709526988052</v>
      </c>
      <c r="BN34" s="532">
        <f t="shared" si="49"/>
        <v>51042.546230377076</v>
      </c>
      <c r="BO34" s="532">
        <f t="shared" si="49"/>
        <v>51042.546230377076</v>
      </c>
      <c r="BP34" s="532">
        <f t="shared" si="49"/>
        <v>51042.546230377076</v>
      </c>
      <c r="BQ34" s="532">
        <f t="shared" si="49"/>
        <v>51042.546230377076</v>
      </c>
      <c r="BR34" s="532">
        <f t="shared" si="49"/>
        <v>51042.546230377076</v>
      </c>
      <c r="BS34" s="532">
        <f t="shared" si="49"/>
        <v>51042.546230377076</v>
      </c>
      <c r="BT34" s="532">
        <f t="shared" si="49"/>
        <v>53050.234624121636</v>
      </c>
      <c r="BU34" s="532">
        <f t="shared" si="49"/>
        <v>53050.234624121636</v>
      </c>
      <c r="BV34" s="532">
        <f t="shared" si="49"/>
        <v>53050.234624121636</v>
      </c>
      <c r="BW34" s="532">
        <f t="shared" si="49"/>
        <v>53050.234624121636</v>
      </c>
      <c r="BX34" s="532">
        <f t="shared" si="49"/>
        <v>53050.234624121636</v>
      </c>
      <c r="BY34" s="532">
        <f t="shared" si="49"/>
        <v>53050.234624121636</v>
      </c>
      <c r="BZ34" s="537"/>
      <c r="CA34" s="537"/>
      <c r="CB34" s="574"/>
    </row>
    <row r="35" spans="1:80" x14ac:dyDescent="0.3">
      <c r="A35" s="551"/>
      <c r="B35" s="548"/>
      <c r="C35" s="525"/>
      <c r="D35" s="525"/>
      <c r="E35" s="525" t="s">
        <v>395</v>
      </c>
      <c r="F35" s="567"/>
      <c r="G35" s="567"/>
      <c r="H35" s="567"/>
      <c r="I35" s="527">
        <f t="shared" si="39"/>
        <v>-60419.576277732456</v>
      </c>
      <c r="J35" s="527">
        <f t="shared" si="40"/>
        <v>-61077.689623626924</v>
      </c>
      <c r="K35" s="527">
        <f t="shared" si="40"/>
        <v>-62190.474240046467</v>
      </c>
      <c r="L35" s="527">
        <f t="shared" si="40"/>
        <v>-63292.608033950106</v>
      </c>
      <c r="M35" s="527">
        <f t="shared" si="40"/>
        <v>-64440.083975272079</v>
      </c>
      <c r="N35" s="527">
        <f t="shared" si="40"/>
        <v>-65610.718584007249</v>
      </c>
      <c r="O35" s="529"/>
      <c r="P35" s="564">
        <f t="shared" si="41"/>
        <v>1.6621812914281442E-2</v>
      </c>
      <c r="Q35" s="537"/>
      <c r="R35" s="527">
        <f t="shared" ref="R35:AW35" si="50">R320</f>
        <v>-5034.9646898110395</v>
      </c>
      <c r="S35" s="527">
        <f t="shared" si="50"/>
        <v>-5034.9646898110395</v>
      </c>
      <c r="T35" s="527">
        <f t="shared" si="50"/>
        <v>-5034.9646898110395</v>
      </c>
      <c r="U35" s="527">
        <f t="shared" si="50"/>
        <v>-5034.9646898110395</v>
      </c>
      <c r="V35" s="527">
        <f t="shared" si="50"/>
        <v>-5034.9646898110395</v>
      </c>
      <c r="W35" s="527">
        <f t="shared" si="50"/>
        <v>-5034.9646898110395</v>
      </c>
      <c r="X35" s="527">
        <f t="shared" si="50"/>
        <v>-5144.650247460113</v>
      </c>
      <c r="Y35" s="527">
        <f t="shared" si="50"/>
        <v>-5144.650247460113</v>
      </c>
      <c r="Z35" s="527">
        <f t="shared" si="50"/>
        <v>-5144.650247460113</v>
      </c>
      <c r="AA35" s="527">
        <f t="shared" si="50"/>
        <v>-5144.650247460113</v>
      </c>
      <c r="AB35" s="527">
        <f t="shared" si="50"/>
        <v>-5144.650247460113</v>
      </c>
      <c r="AC35" s="527">
        <f t="shared" si="50"/>
        <v>-5144.650247460113</v>
      </c>
      <c r="AD35" s="527">
        <f t="shared" si="50"/>
        <v>-5114.8034734535668</v>
      </c>
      <c r="AE35" s="527">
        <f t="shared" si="50"/>
        <v>-5114.8034734535668</v>
      </c>
      <c r="AF35" s="527">
        <f t="shared" si="50"/>
        <v>-5114.8034734535668</v>
      </c>
      <c r="AG35" s="527">
        <f t="shared" si="50"/>
        <v>-5114.8034734535668</v>
      </c>
      <c r="AH35" s="527">
        <f t="shared" si="50"/>
        <v>-5114.8034734535668</v>
      </c>
      <c r="AI35" s="527">
        <f t="shared" si="50"/>
        <v>-5114.8034734535668</v>
      </c>
      <c r="AJ35" s="527">
        <f t="shared" si="50"/>
        <v>-5250.2755665541754</v>
      </c>
      <c r="AK35" s="527">
        <f t="shared" si="50"/>
        <v>-5250.2755665541754</v>
      </c>
      <c r="AL35" s="527">
        <f t="shared" si="50"/>
        <v>-5250.2755665541754</v>
      </c>
      <c r="AM35" s="527">
        <f t="shared" si="50"/>
        <v>-5250.2755665541754</v>
      </c>
      <c r="AN35" s="527">
        <f t="shared" si="50"/>
        <v>-5250.2755665541754</v>
      </c>
      <c r="AO35" s="527">
        <f t="shared" si="50"/>
        <v>-5250.2755665541754</v>
      </c>
      <c r="AP35" s="527">
        <f t="shared" si="50"/>
        <v>-5193.9324806388631</v>
      </c>
      <c r="AQ35" s="527">
        <f t="shared" si="50"/>
        <v>-5193.9324806388631</v>
      </c>
      <c r="AR35" s="527">
        <f t="shared" si="50"/>
        <v>-5193.9324806388631</v>
      </c>
      <c r="AS35" s="527">
        <f t="shared" si="50"/>
        <v>-5193.9324806388631</v>
      </c>
      <c r="AT35" s="527">
        <f t="shared" si="50"/>
        <v>-5193.9324806388631</v>
      </c>
      <c r="AU35" s="527">
        <f t="shared" si="50"/>
        <v>-5193.9324806388631</v>
      </c>
      <c r="AV35" s="527">
        <f t="shared" si="50"/>
        <v>-5354.8355250194909</v>
      </c>
      <c r="AW35" s="527">
        <f t="shared" si="50"/>
        <v>-5354.8355250194909</v>
      </c>
      <c r="AX35" s="527">
        <f t="shared" ref="AX35:BY35" si="51">AX320</f>
        <v>-5354.8355250194909</v>
      </c>
      <c r="AY35" s="527">
        <f t="shared" si="51"/>
        <v>-5354.8355250194909</v>
      </c>
      <c r="AZ35" s="527">
        <f t="shared" si="51"/>
        <v>-5354.8355250194909</v>
      </c>
      <c r="BA35" s="527">
        <f t="shared" si="51"/>
        <v>-5354.8355250194909</v>
      </c>
      <c r="BB35" s="527">
        <f t="shared" si="51"/>
        <v>-5276.9378134407343</v>
      </c>
      <c r="BC35" s="527">
        <f t="shared" si="51"/>
        <v>-5276.9378134407343</v>
      </c>
      <c r="BD35" s="527">
        <f t="shared" si="51"/>
        <v>-5276.9378134407343</v>
      </c>
      <c r="BE35" s="527">
        <f t="shared" si="51"/>
        <v>-5276.9378134407343</v>
      </c>
      <c r="BF35" s="527">
        <f t="shared" si="51"/>
        <v>-5276.9378134407343</v>
      </c>
      <c r="BG35" s="527">
        <f t="shared" si="51"/>
        <v>-5276.9378134407343</v>
      </c>
      <c r="BH35" s="527">
        <f t="shared" si="51"/>
        <v>-5463.0761824379479</v>
      </c>
      <c r="BI35" s="527">
        <f t="shared" si="51"/>
        <v>-5463.0761824379479</v>
      </c>
      <c r="BJ35" s="527">
        <f t="shared" si="51"/>
        <v>-5463.0761824379479</v>
      </c>
      <c r="BK35" s="527">
        <f t="shared" si="51"/>
        <v>-5463.0761824379479</v>
      </c>
      <c r="BL35" s="527">
        <f t="shared" si="51"/>
        <v>-5463.0761824379479</v>
      </c>
      <c r="BM35" s="527">
        <f t="shared" si="51"/>
        <v>-5463.0761824379479</v>
      </c>
      <c r="BN35" s="527">
        <f t="shared" si="51"/>
        <v>-5362.1043794471661</v>
      </c>
      <c r="BO35" s="527">
        <f t="shared" si="51"/>
        <v>-5362.1043794471661</v>
      </c>
      <c r="BP35" s="527">
        <f t="shared" si="51"/>
        <v>-5362.1043794471661</v>
      </c>
      <c r="BQ35" s="527">
        <f t="shared" si="51"/>
        <v>-5362.1043794471661</v>
      </c>
      <c r="BR35" s="527">
        <f t="shared" si="51"/>
        <v>-5362.1043794471661</v>
      </c>
      <c r="BS35" s="527">
        <f t="shared" si="51"/>
        <v>-5362.1043794471661</v>
      </c>
      <c r="BT35" s="527">
        <f t="shared" si="51"/>
        <v>-5573.0153845540417</v>
      </c>
      <c r="BU35" s="527">
        <f t="shared" si="51"/>
        <v>-5573.0153845540417</v>
      </c>
      <c r="BV35" s="527">
        <f t="shared" si="51"/>
        <v>-5573.0153845540417</v>
      </c>
      <c r="BW35" s="527">
        <f t="shared" si="51"/>
        <v>-5573.0153845540417</v>
      </c>
      <c r="BX35" s="527">
        <f t="shared" si="51"/>
        <v>-5573.0153845540417</v>
      </c>
      <c r="BY35" s="527">
        <f t="shared" si="51"/>
        <v>-5573.0153845540417</v>
      </c>
      <c r="BZ35" s="537"/>
      <c r="CA35" s="537"/>
      <c r="CB35" s="574"/>
    </row>
    <row r="36" spans="1:80" x14ac:dyDescent="0.3">
      <c r="A36" s="551"/>
      <c r="B36" s="548"/>
      <c r="C36" s="525"/>
      <c r="D36" s="525"/>
      <c r="E36" s="572" t="s">
        <v>396</v>
      </c>
      <c r="F36" s="573"/>
      <c r="G36" s="573"/>
      <c r="H36" s="573"/>
      <c r="I36" s="530">
        <f t="shared" si="39"/>
        <v>514721.97210329899</v>
      </c>
      <c r="J36" s="530">
        <f t="shared" si="40"/>
        <v>520328.52249864099</v>
      </c>
      <c r="K36" s="530">
        <f t="shared" si="40"/>
        <v>529808.47465283668</v>
      </c>
      <c r="L36" s="530">
        <f t="shared" si="40"/>
        <v>539197.69110996788</v>
      </c>
      <c r="M36" s="530">
        <f t="shared" si="40"/>
        <v>548973.18302575627</v>
      </c>
      <c r="N36" s="530">
        <f t="shared" si="40"/>
        <v>558945.96654298506</v>
      </c>
      <c r="O36" s="536"/>
      <c r="P36" s="568">
        <f t="shared" si="41"/>
        <v>1.6621812914281442E-2</v>
      </c>
      <c r="Q36" s="537"/>
      <c r="R36" s="530">
        <f t="shared" ref="R36:AW36" si="52">SUM(R34:R35)</f>
        <v>42893.49767527495</v>
      </c>
      <c r="S36" s="530">
        <f t="shared" si="52"/>
        <v>42893.49767527495</v>
      </c>
      <c r="T36" s="530">
        <f t="shared" si="52"/>
        <v>42893.49767527495</v>
      </c>
      <c r="U36" s="530">
        <f t="shared" si="52"/>
        <v>42893.49767527495</v>
      </c>
      <c r="V36" s="530">
        <f t="shared" si="52"/>
        <v>42893.49767527495</v>
      </c>
      <c r="W36" s="530">
        <f t="shared" si="52"/>
        <v>42893.49767527495</v>
      </c>
      <c r="X36" s="530">
        <f t="shared" si="52"/>
        <v>43827.922741165203</v>
      </c>
      <c r="Y36" s="530">
        <f t="shared" si="52"/>
        <v>43827.922741165203</v>
      </c>
      <c r="Z36" s="530">
        <f t="shared" si="52"/>
        <v>43827.922741165203</v>
      </c>
      <c r="AA36" s="530">
        <f t="shared" si="52"/>
        <v>43827.922741165203</v>
      </c>
      <c r="AB36" s="530">
        <f t="shared" si="52"/>
        <v>43827.922741165203</v>
      </c>
      <c r="AC36" s="530">
        <f t="shared" si="52"/>
        <v>43827.922741165203</v>
      </c>
      <c r="AD36" s="530">
        <f t="shared" si="52"/>
        <v>43573.654318180037</v>
      </c>
      <c r="AE36" s="530">
        <f t="shared" si="52"/>
        <v>43573.654318180037</v>
      </c>
      <c r="AF36" s="530">
        <f t="shared" si="52"/>
        <v>43573.654318180037</v>
      </c>
      <c r="AG36" s="530">
        <f t="shared" si="52"/>
        <v>43573.654318180037</v>
      </c>
      <c r="AH36" s="530">
        <f t="shared" si="52"/>
        <v>43573.654318180037</v>
      </c>
      <c r="AI36" s="530">
        <f t="shared" si="52"/>
        <v>43573.654318180037</v>
      </c>
      <c r="AJ36" s="530">
        <f t="shared" si="52"/>
        <v>44727.7581239594</v>
      </c>
      <c r="AK36" s="530">
        <f t="shared" si="52"/>
        <v>44727.7581239594</v>
      </c>
      <c r="AL36" s="530">
        <f t="shared" si="52"/>
        <v>44727.7581239594</v>
      </c>
      <c r="AM36" s="530">
        <f t="shared" si="52"/>
        <v>44727.7581239594</v>
      </c>
      <c r="AN36" s="530">
        <f t="shared" si="52"/>
        <v>44727.7581239594</v>
      </c>
      <c r="AO36" s="530">
        <f t="shared" si="52"/>
        <v>44727.7581239594</v>
      </c>
      <c r="AP36" s="530">
        <f t="shared" si="52"/>
        <v>44247.764286144222</v>
      </c>
      <c r="AQ36" s="530">
        <f t="shared" si="52"/>
        <v>44247.764286144222</v>
      </c>
      <c r="AR36" s="530">
        <f t="shared" si="52"/>
        <v>44247.764286144222</v>
      </c>
      <c r="AS36" s="530">
        <f t="shared" si="52"/>
        <v>44247.764286144222</v>
      </c>
      <c r="AT36" s="530">
        <f t="shared" si="52"/>
        <v>44247.764286144222</v>
      </c>
      <c r="AU36" s="530">
        <f t="shared" si="52"/>
        <v>44247.764286144222</v>
      </c>
      <c r="AV36" s="530">
        <f t="shared" si="52"/>
        <v>45618.517565517104</v>
      </c>
      <c r="AW36" s="530">
        <f t="shared" si="52"/>
        <v>45618.517565517104</v>
      </c>
      <c r="AX36" s="530">
        <f t="shared" ref="AX36:BY36" si="53">SUM(AX34:AX35)</f>
        <v>45618.517565517104</v>
      </c>
      <c r="AY36" s="530">
        <f t="shared" si="53"/>
        <v>45618.517565517104</v>
      </c>
      <c r="AZ36" s="530">
        <f t="shared" si="53"/>
        <v>45618.517565517104</v>
      </c>
      <c r="BA36" s="530">
        <f t="shared" si="53"/>
        <v>45618.517565517104</v>
      </c>
      <c r="BB36" s="530">
        <f t="shared" si="53"/>
        <v>44954.897159742613</v>
      </c>
      <c r="BC36" s="530">
        <f t="shared" si="53"/>
        <v>44954.897159742613</v>
      </c>
      <c r="BD36" s="530">
        <f t="shared" si="53"/>
        <v>44954.897159742613</v>
      </c>
      <c r="BE36" s="530">
        <f t="shared" si="53"/>
        <v>44954.897159742613</v>
      </c>
      <c r="BF36" s="530">
        <f t="shared" si="53"/>
        <v>44954.897159742613</v>
      </c>
      <c r="BG36" s="530">
        <f t="shared" si="53"/>
        <v>44954.897159742613</v>
      </c>
      <c r="BH36" s="530">
        <f t="shared" si="53"/>
        <v>46540.633344550108</v>
      </c>
      <c r="BI36" s="530">
        <f t="shared" si="53"/>
        <v>46540.633344550108</v>
      </c>
      <c r="BJ36" s="530">
        <f t="shared" si="53"/>
        <v>46540.633344550108</v>
      </c>
      <c r="BK36" s="530">
        <f t="shared" si="53"/>
        <v>46540.633344550108</v>
      </c>
      <c r="BL36" s="530">
        <f t="shared" si="53"/>
        <v>46540.633344550108</v>
      </c>
      <c r="BM36" s="530">
        <f t="shared" si="53"/>
        <v>46540.633344550108</v>
      </c>
      <c r="BN36" s="530">
        <f t="shared" si="53"/>
        <v>45680.441850929914</v>
      </c>
      <c r="BO36" s="530">
        <f t="shared" si="53"/>
        <v>45680.441850929914</v>
      </c>
      <c r="BP36" s="530">
        <f t="shared" si="53"/>
        <v>45680.441850929914</v>
      </c>
      <c r="BQ36" s="530">
        <f t="shared" si="53"/>
        <v>45680.441850929914</v>
      </c>
      <c r="BR36" s="530">
        <f t="shared" si="53"/>
        <v>45680.441850929914</v>
      </c>
      <c r="BS36" s="530">
        <f t="shared" si="53"/>
        <v>45680.441850929914</v>
      </c>
      <c r="BT36" s="530">
        <f t="shared" si="53"/>
        <v>47477.219239567596</v>
      </c>
      <c r="BU36" s="530">
        <f t="shared" si="53"/>
        <v>47477.219239567596</v>
      </c>
      <c r="BV36" s="530">
        <f t="shared" si="53"/>
        <v>47477.219239567596</v>
      </c>
      <c r="BW36" s="530">
        <f t="shared" si="53"/>
        <v>47477.219239567596</v>
      </c>
      <c r="BX36" s="530">
        <f t="shared" si="53"/>
        <v>47477.219239567596</v>
      </c>
      <c r="BY36" s="530">
        <f t="shared" si="53"/>
        <v>47477.219239567596</v>
      </c>
      <c r="BZ36" s="537"/>
      <c r="CA36" s="537"/>
      <c r="CB36" s="574"/>
    </row>
    <row r="37" spans="1:80" x14ac:dyDescent="0.3">
      <c r="A37" s="551"/>
      <c r="B37" s="548"/>
      <c r="C37" s="525"/>
      <c r="D37" s="525"/>
      <c r="E37" s="525" t="s">
        <v>176</v>
      </c>
      <c r="F37" s="575"/>
      <c r="G37" s="575"/>
      <c r="H37" s="575"/>
      <c r="I37" s="531">
        <f t="shared" ref="I37:N37" si="54">IFERROR(I36/I31,0)</f>
        <v>0.38807300305959952</v>
      </c>
      <c r="J37" s="531">
        <f t="shared" si="54"/>
        <v>0.38807300305959985</v>
      </c>
      <c r="K37" s="531">
        <f t="shared" si="54"/>
        <v>0.38807300305959985</v>
      </c>
      <c r="L37" s="531">
        <f t="shared" si="54"/>
        <v>0.38807300305959991</v>
      </c>
      <c r="M37" s="531">
        <f t="shared" si="54"/>
        <v>0.38807300305959974</v>
      </c>
      <c r="N37" s="531">
        <f t="shared" si="54"/>
        <v>0.38807300305959963</v>
      </c>
      <c r="O37" s="546"/>
      <c r="P37" s="564">
        <f t="shared" si="41"/>
        <v>0</v>
      </c>
      <c r="Q37" s="537"/>
      <c r="R37" s="531">
        <f t="shared" ref="R37:AW37" si="55">IFERROR(R36/R31,0)</f>
        <v>0.3880730030595998</v>
      </c>
      <c r="S37" s="531">
        <f t="shared" si="55"/>
        <v>0.3880730030595998</v>
      </c>
      <c r="T37" s="531">
        <f t="shared" si="55"/>
        <v>0.3880730030595998</v>
      </c>
      <c r="U37" s="531">
        <f t="shared" si="55"/>
        <v>0.3880730030595998</v>
      </c>
      <c r="V37" s="531">
        <f t="shared" si="55"/>
        <v>0.3880730030595998</v>
      </c>
      <c r="W37" s="531">
        <f t="shared" si="55"/>
        <v>0.3880730030595998</v>
      </c>
      <c r="X37" s="531">
        <f t="shared" si="55"/>
        <v>0.38807300305959974</v>
      </c>
      <c r="Y37" s="531">
        <f t="shared" si="55"/>
        <v>0.38807300305959974</v>
      </c>
      <c r="Z37" s="531">
        <f t="shared" si="55"/>
        <v>0.38807300305959974</v>
      </c>
      <c r="AA37" s="531">
        <f t="shared" si="55"/>
        <v>0.38807300305959974</v>
      </c>
      <c r="AB37" s="531">
        <f t="shared" si="55"/>
        <v>0.38807300305959974</v>
      </c>
      <c r="AC37" s="531">
        <f t="shared" si="55"/>
        <v>0.38807300305959974</v>
      </c>
      <c r="AD37" s="531">
        <f t="shared" si="55"/>
        <v>0.3880730030595998</v>
      </c>
      <c r="AE37" s="531">
        <f t="shared" si="55"/>
        <v>0.3880730030595998</v>
      </c>
      <c r="AF37" s="531">
        <f t="shared" si="55"/>
        <v>0.3880730030595998</v>
      </c>
      <c r="AG37" s="531">
        <f t="shared" si="55"/>
        <v>0.3880730030595998</v>
      </c>
      <c r="AH37" s="531">
        <f t="shared" si="55"/>
        <v>0.3880730030595998</v>
      </c>
      <c r="AI37" s="531">
        <f t="shared" si="55"/>
        <v>0.3880730030595998</v>
      </c>
      <c r="AJ37" s="531">
        <f t="shared" si="55"/>
        <v>0.38807300305959985</v>
      </c>
      <c r="AK37" s="531">
        <f t="shared" si="55"/>
        <v>0.38807300305959985</v>
      </c>
      <c r="AL37" s="531">
        <f t="shared" si="55"/>
        <v>0.38807300305959985</v>
      </c>
      <c r="AM37" s="531">
        <f t="shared" si="55"/>
        <v>0.38807300305959985</v>
      </c>
      <c r="AN37" s="531">
        <f t="shared" si="55"/>
        <v>0.38807300305959985</v>
      </c>
      <c r="AO37" s="531">
        <f t="shared" si="55"/>
        <v>0.38807300305959985</v>
      </c>
      <c r="AP37" s="531">
        <f t="shared" si="55"/>
        <v>0.38807300305959985</v>
      </c>
      <c r="AQ37" s="531">
        <f t="shared" si="55"/>
        <v>0.38807300305959985</v>
      </c>
      <c r="AR37" s="531">
        <f t="shared" si="55"/>
        <v>0.38807300305959985</v>
      </c>
      <c r="AS37" s="531">
        <f t="shared" si="55"/>
        <v>0.38807300305959985</v>
      </c>
      <c r="AT37" s="531">
        <f t="shared" si="55"/>
        <v>0.38807300305959985</v>
      </c>
      <c r="AU37" s="531">
        <f t="shared" si="55"/>
        <v>0.38807300305959985</v>
      </c>
      <c r="AV37" s="531">
        <f t="shared" si="55"/>
        <v>0.38807300305959985</v>
      </c>
      <c r="AW37" s="531">
        <f t="shared" si="55"/>
        <v>0.38807300305959985</v>
      </c>
      <c r="AX37" s="531">
        <f t="shared" ref="AX37:BY37" si="56">IFERROR(AX36/AX31,0)</f>
        <v>0.38807300305959985</v>
      </c>
      <c r="AY37" s="531">
        <f t="shared" si="56"/>
        <v>0.38807300305959985</v>
      </c>
      <c r="AZ37" s="531">
        <f t="shared" si="56"/>
        <v>0.38807300305959985</v>
      </c>
      <c r="BA37" s="531">
        <f t="shared" si="56"/>
        <v>0.38807300305959985</v>
      </c>
      <c r="BB37" s="531">
        <f t="shared" si="56"/>
        <v>0.3880730030595998</v>
      </c>
      <c r="BC37" s="531">
        <f t="shared" si="56"/>
        <v>0.3880730030595998</v>
      </c>
      <c r="BD37" s="531">
        <f t="shared" si="56"/>
        <v>0.3880730030595998</v>
      </c>
      <c r="BE37" s="531">
        <f t="shared" si="56"/>
        <v>0.3880730030595998</v>
      </c>
      <c r="BF37" s="531">
        <f t="shared" si="56"/>
        <v>0.3880730030595998</v>
      </c>
      <c r="BG37" s="531">
        <f t="shared" si="56"/>
        <v>0.3880730030595998</v>
      </c>
      <c r="BH37" s="531">
        <f t="shared" si="56"/>
        <v>0.38807300305959974</v>
      </c>
      <c r="BI37" s="531">
        <f t="shared" si="56"/>
        <v>0.38807300305959974</v>
      </c>
      <c r="BJ37" s="531">
        <f t="shared" si="56"/>
        <v>0.38807300305959974</v>
      </c>
      <c r="BK37" s="531">
        <f t="shared" si="56"/>
        <v>0.38807300305959974</v>
      </c>
      <c r="BL37" s="531">
        <f t="shared" si="56"/>
        <v>0.38807300305959974</v>
      </c>
      <c r="BM37" s="531">
        <f t="shared" si="56"/>
        <v>0.38807300305959974</v>
      </c>
      <c r="BN37" s="531">
        <f t="shared" si="56"/>
        <v>0.38807300305959969</v>
      </c>
      <c r="BO37" s="531">
        <f t="shared" si="56"/>
        <v>0.38807300305959969</v>
      </c>
      <c r="BP37" s="531">
        <f t="shared" si="56"/>
        <v>0.38807300305959969</v>
      </c>
      <c r="BQ37" s="531">
        <f t="shared" si="56"/>
        <v>0.38807300305959969</v>
      </c>
      <c r="BR37" s="531">
        <f t="shared" si="56"/>
        <v>0.38807300305959969</v>
      </c>
      <c r="BS37" s="531">
        <f t="shared" si="56"/>
        <v>0.38807300305959969</v>
      </c>
      <c r="BT37" s="531">
        <f t="shared" si="56"/>
        <v>0.38807300305959963</v>
      </c>
      <c r="BU37" s="531">
        <f t="shared" si="56"/>
        <v>0.38807300305959963</v>
      </c>
      <c r="BV37" s="531">
        <f t="shared" si="56"/>
        <v>0.38807300305959963</v>
      </c>
      <c r="BW37" s="531">
        <f t="shared" si="56"/>
        <v>0.38807300305959963</v>
      </c>
      <c r="BX37" s="531">
        <f t="shared" si="56"/>
        <v>0.38807300305959963</v>
      </c>
      <c r="BY37" s="531">
        <f t="shared" si="56"/>
        <v>0.38807300305959963</v>
      </c>
      <c r="BZ37" s="537"/>
      <c r="CA37" s="537"/>
      <c r="CB37" s="537"/>
    </row>
    <row r="38" spans="1:80" x14ac:dyDescent="0.3">
      <c r="A38" s="551"/>
      <c r="B38" s="548"/>
      <c r="C38" s="525"/>
      <c r="D38" s="525"/>
      <c r="E38" s="525"/>
      <c r="F38" s="576"/>
      <c r="G38" s="576"/>
      <c r="H38" s="576"/>
      <c r="I38" s="533"/>
      <c r="J38" s="533"/>
      <c r="K38" s="533"/>
      <c r="L38" s="533"/>
      <c r="M38" s="533"/>
      <c r="N38" s="533"/>
      <c r="O38" s="533"/>
      <c r="P38" s="577"/>
      <c r="Q38" s="537"/>
      <c r="R38" s="533"/>
      <c r="S38" s="533"/>
      <c r="T38" s="533"/>
      <c r="U38" s="533"/>
      <c r="V38" s="533"/>
      <c r="W38" s="533"/>
      <c r="X38" s="533"/>
      <c r="Y38" s="533"/>
      <c r="Z38" s="533"/>
      <c r="AA38" s="533"/>
      <c r="AB38" s="533"/>
      <c r="AC38" s="533"/>
      <c r="AD38" s="533"/>
      <c r="AE38" s="533"/>
      <c r="AF38" s="533"/>
      <c r="AG38" s="533"/>
      <c r="AH38" s="533"/>
      <c r="AI38" s="533"/>
      <c r="AJ38" s="533"/>
      <c r="AK38" s="533"/>
      <c r="AL38" s="533"/>
      <c r="AM38" s="533"/>
      <c r="AN38" s="533"/>
      <c r="AO38" s="533"/>
      <c r="AP38" s="533"/>
      <c r="AQ38" s="533"/>
      <c r="AR38" s="533"/>
      <c r="AS38" s="533"/>
      <c r="AT38" s="533"/>
      <c r="AU38" s="533"/>
      <c r="AV38" s="533"/>
      <c r="AW38" s="533"/>
      <c r="AX38" s="533"/>
      <c r="AY38" s="533"/>
      <c r="AZ38" s="533"/>
      <c r="BA38" s="533"/>
      <c r="BB38" s="533"/>
      <c r="BC38" s="533"/>
      <c r="BD38" s="533"/>
      <c r="BE38" s="533"/>
      <c r="BF38" s="533"/>
      <c r="BG38" s="533"/>
      <c r="BH38" s="533"/>
      <c r="BI38" s="533"/>
      <c r="BJ38" s="533"/>
      <c r="BK38" s="533"/>
      <c r="BL38" s="533"/>
      <c r="BM38" s="533"/>
      <c r="BN38" s="533"/>
      <c r="BO38" s="533"/>
      <c r="BP38" s="533"/>
      <c r="BQ38" s="533"/>
      <c r="BR38" s="533"/>
      <c r="BS38" s="533"/>
      <c r="BT38" s="533"/>
      <c r="BU38" s="533"/>
      <c r="BV38" s="533"/>
      <c r="BW38" s="533"/>
      <c r="BX38" s="533"/>
      <c r="BY38" s="533"/>
      <c r="BZ38" s="537"/>
      <c r="CA38" s="537"/>
      <c r="CB38" s="537"/>
    </row>
    <row r="39" spans="1:80" x14ac:dyDescent="0.3">
      <c r="A39" s="551"/>
      <c r="B39" s="548"/>
      <c r="C39" s="525"/>
      <c r="D39" s="525"/>
      <c r="E39" s="578" t="s">
        <v>24</v>
      </c>
      <c r="F39" s="579"/>
      <c r="G39" s="579"/>
      <c r="H39" s="579"/>
      <c r="I39" s="535">
        <f>I529</f>
        <v>7409501.6070061792</v>
      </c>
      <c r="J39" s="535">
        <f>SUMIF($R$2:$BY$2,J$3,$R39:$BY39)</f>
        <v>7889458.0071875229</v>
      </c>
      <c r="K39" s="534">
        <f>SUMIF($R$2:$BY$2,K$3,$R39:$BY39)</f>
        <v>8442833.1333008427</v>
      </c>
      <c r="L39" s="534">
        <f>SUMIF($R$2:$BY$2,L$3,$R39:$BY39)</f>
        <v>9008591.4554172605</v>
      </c>
      <c r="M39" s="534">
        <f>SUMIF($R$2:$BY$2,M$3,$R39:$BY39)</f>
        <v>9591499.3297701161</v>
      </c>
      <c r="N39" s="535">
        <f>SUMIF($R$2:$BY$2,N$3,$R39:$BY39)</f>
        <v>10208808.343838004</v>
      </c>
      <c r="O39" s="536"/>
      <c r="P39" s="568">
        <f>IFERROR(((N39/I39)^(1/5))-1,0)</f>
        <v>6.6196397570092103E-2</v>
      </c>
      <c r="Q39" s="537"/>
      <c r="R39" s="534">
        <f t="shared" ref="R39:AW39" si="57">R27+R36</f>
        <v>650370.7447468657</v>
      </c>
      <c r="S39" s="534">
        <f t="shared" si="57"/>
        <v>650370.7447468657</v>
      </c>
      <c r="T39" s="534">
        <f t="shared" si="57"/>
        <v>650370.7447468657</v>
      </c>
      <c r="U39" s="534">
        <f t="shared" si="57"/>
        <v>650370.7447468657</v>
      </c>
      <c r="V39" s="534">
        <f t="shared" si="57"/>
        <v>650370.7447468657</v>
      </c>
      <c r="W39" s="534">
        <f t="shared" si="57"/>
        <v>650370.7447468657</v>
      </c>
      <c r="X39" s="534">
        <f t="shared" si="57"/>
        <v>664538.92311772145</v>
      </c>
      <c r="Y39" s="534">
        <f t="shared" si="57"/>
        <v>664538.92311772145</v>
      </c>
      <c r="Z39" s="534">
        <f t="shared" si="57"/>
        <v>664538.92311772145</v>
      </c>
      <c r="AA39" s="534">
        <f t="shared" si="57"/>
        <v>664538.92311772145</v>
      </c>
      <c r="AB39" s="534">
        <f t="shared" si="57"/>
        <v>664538.92311772145</v>
      </c>
      <c r="AC39" s="534">
        <f t="shared" si="57"/>
        <v>664538.92311772145</v>
      </c>
      <c r="AD39" s="534">
        <f t="shared" si="57"/>
        <v>694373.74073260871</v>
      </c>
      <c r="AE39" s="534">
        <f t="shared" si="57"/>
        <v>694373.74073260871</v>
      </c>
      <c r="AF39" s="534">
        <f t="shared" si="57"/>
        <v>694373.74073260871</v>
      </c>
      <c r="AG39" s="534">
        <f t="shared" si="57"/>
        <v>694373.74073260871</v>
      </c>
      <c r="AH39" s="534">
        <f t="shared" si="57"/>
        <v>694373.74073260871</v>
      </c>
      <c r="AI39" s="534">
        <f t="shared" si="57"/>
        <v>694373.74073260871</v>
      </c>
      <c r="AJ39" s="534">
        <f t="shared" si="57"/>
        <v>712765.11481753166</v>
      </c>
      <c r="AK39" s="534">
        <f t="shared" si="57"/>
        <v>712765.11481753166</v>
      </c>
      <c r="AL39" s="534">
        <f t="shared" si="57"/>
        <v>712765.11481753166</v>
      </c>
      <c r="AM39" s="534">
        <f t="shared" si="57"/>
        <v>712765.11481753166</v>
      </c>
      <c r="AN39" s="534">
        <f t="shared" si="57"/>
        <v>712765.11481753166</v>
      </c>
      <c r="AO39" s="534">
        <f t="shared" si="57"/>
        <v>712765.11481753166</v>
      </c>
      <c r="AP39" s="534">
        <f t="shared" si="57"/>
        <v>739265.0930105343</v>
      </c>
      <c r="AQ39" s="534">
        <f t="shared" si="57"/>
        <v>739265.0930105343</v>
      </c>
      <c r="AR39" s="534">
        <f t="shared" si="57"/>
        <v>739265.0930105343</v>
      </c>
      <c r="AS39" s="534">
        <f t="shared" si="57"/>
        <v>739265.0930105343</v>
      </c>
      <c r="AT39" s="534">
        <f t="shared" si="57"/>
        <v>739265.0930105343</v>
      </c>
      <c r="AU39" s="534">
        <f t="shared" si="57"/>
        <v>739265.0930105343</v>
      </c>
      <c r="AV39" s="534">
        <f t="shared" si="57"/>
        <v>762166.81622567552</v>
      </c>
      <c r="AW39" s="534">
        <f t="shared" si="57"/>
        <v>762166.81622567552</v>
      </c>
      <c r="AX39" s="534">
        <f t="shared" ref="AX39:BY39" si="58">AX27+AX36</f>
        <v>762166.81622567552</v>
      </c>
      <c r="AY39" s="534">
        <f t="shared" si="58"/>
        <v>762166.81622567552</v>
      </c>
      <c r="AZ39" s="534">
        <f t="shared" si="58"/>
        <v>762166.81622567552</v>
      </c>
      <c r="BA39" s="534">
        <f t="shared" si="58"/>
        <v>762166.81622567552</v>
      </c>
      <c r="BB39" s="534">
        <f t="shared" si="58"/>
        <v>785438.85076682444</v>
      </c>
      <c r="BC39" s="534">
        <f t="shared" si="58"/>
        <v>785438.85076682444</v>
      </c>
      <c r="BD39" s="534">
        <f t="shared" si="58"/>
        <v>785438.85076682444</v>
      </c>
      <c r="BE39" s="534">
        <f t="shared" si="58"/>
        <v>785438.85076682444</v>
      </c>
      <c r="BF39" s="534">
        <f t="shared" si="58"/>
        <v>785438.85076682444</v>
      </c>
      <c r="BG39" s="534">
        <f t="shared" si="58"/>
        <v>785438.85076682444</v>
      </c>
      <c r="BH39" s="534">
        <f t="shared" si="58"/>
        <v>813144.37086152809</v>
      </c>
      <c r="BI39" s="534">
        <f t="shared" si="58"/>
        <v>813144.37086152809</v>
      </c>
      <c r="BJ39" s="534">
        <f t="shared" si="58"/>
        <v>813144.37086152809</v>
      </c>
      <c r="BK39" s="534">
        <f t="shared" si="58"/>
        <v>813144.37086152809</v>
      </c>
      <c r="BL39" s="534">
        <f t="shared" si="58"/>
        <v>813144.37086152809</v>
      </c>
      <c r="BM39" s="534">
        <f t="shared" si="58"/>
        <v>813144.37086152809</v>
      </c>
      <c r="BN39" s="534">
        <f t="shared" si="58"/>
        <v>834325.50520447607</v>
      </c>
      <c r="BO39" s="534">
        <f t="shared" si="58"/>
        <v>834325.50520447607</v>
      </c>
      <c r="BP39" s="534">
        <f t="shared" si="58"/>
        <v>834325.50520447607</v>
      </c>
      <c r="BQ39" s="534">
        <f t="shared" si="58"/>
        <v>834325.50520447607</v>
      </c>
      <c r="BR39" s="534">
        <f t="shared" si="58"/>
        <v>834325.50520447607</v>
      </c>
      <c r="BS39" s="534">
        <f t="shared" si="58"/>
        <v>834325.50520447607</v>
      </c>
      <c r="BT39" s="534">
        <f t="shared" si="58"/>
        <v>867142.55210185843</v>
      </c>
      <c r="BU39" s="534">
        <f t="shared" si="58"/>
        <v>867142.55210185843</v>
      </c>
      <c r="BV39" s="534">
        <f t="shared" si="58"/>
        <v>867142.55210185843</v>
      </c>
      <c r="BW39" s="534">
        <f t="shared" si="58"/>
        <v>867142.55210185843</v>
      </c>
      <c r="BX39" s="534">
        <f t="shared" si="58"/>
        <v>867142.55210185843</v>
      </c>
      <c r="BY39" s="534">
        <f t="shared" si="58"/>
        <v>867142.55210185843</v>
      </c>
      <c r="BZ39" s="537"/>
      <c r="CA39" s="537"/>
      <c r="CB39" s="574"/>
    </row>
    <row r="40" spans="1:80" x14ac:dyDescent="0.3">
      <c r="A40" s="551"/>
      <c r="B40" s="548"/>
      <c r="C40" s="525"/>
      <c r="D40" s="525"/>
      <c r="E40" s="525" t="s">
        <v>177</v>
      </c>
      <c r="F40" s="529"/>
      <c r="G40" s="529"/>
      <c r="H40" s="529"/>
      <c r="I40" s="531">
        <f t="shared" ref="I40:N40" si="59">IFERROR(I39/(I22+I31),0)</f>
        <v>0.41377534216072342</v>
      </c>
      <c r="J40" s="531">
        <f t="shared" si="59"/>
        <v>0.42119846006146555</v>
      </c>
      <c r="K40" s="531">
        <f t="shared" si="59"/>
        <v>0.42816475681222271</v>
      </c>
      <c r="L40" s="531">
        <f t="shared" si="59"/>
        <v>0.43463124928299574</v>
      </c>
      <c r="M40" s="531">
        <f t="shared" si="59"/>
        <v>0.44057970200835256</v>
      </c>
      <c r="N40" s="531">
        <f t="shared" si="59"/>
        <v>0.44641184231853237</v>
      </c>
      <c r="O40" s="546"/>
      <c r="P40" s="564">
        <f>IFERROR(((N40/I40)^(1/5))-1,0)</f>
        <v>1.52996117149371E-2</v>
      </c>
      <c r="Q40" s="537"/>
      <c r="R40" s="531">
        <f t="shared" ref="R40:AW40" si="60">IFERROR(R39/(R22+R31),0)</f>
        <v>0.42119846006146555</v>
      </c>
      <c r="S40" s="531">
        <f t="shared" si="60"/>
        <v>0.42119846006146555</v>
      </c>
      <c r="T40" s="531">
        <f t="shared" si="60"/>
        <v>0.42119846006146555</v>
      </c>
      <c r="U40" s="531">
        <f t="shared" si="60"/>
        <v>0.42119846006146555</v>
      </c>
      <c r="V40" s="531">
        <f t="shared" si="60"/>
        <v>0.42119846006146555</v>
      </c>
      <c r="W40" s="531">
        <f t="shared" si="60"/>
        <v>0.42119846006146555</v>
      </c>
      <c r="X40" s="531">
        <f t="shared" si="60"/>
        <v>0.42119846006146555</v>
      </c>
      <c r="Y40" s="531">
        <f t="shared" si="60"/>
        <v>0.42119846006146555</v>
      </c>
      <c r="Z40" s="531">
        <f t="shared" si="60"/>
        <v>0.42119846006146555</v>
      </c>
      <c r="AA40" s="531">
        <f t="shared" si="60"/>
        <v>0.42119846006146555</v>
      </c>
      <c r="AB40" s="531">
        <f t="shared" si="60"/>
        <v>0.42119846006146555</v>
      </c>
      <c r="AC40" s="531">
        <f t="shared" si="60"/>
        <v>0.42119846006146555</v>
      </c>
      <c r="AD40" s="531">
        <f t="shared" si="60"/>
        <v>0.42816475681222266</v>
      </c>
      <c r="AE40" s="531">
        <f t="shared" si="60"/>
        <v>0.42816475681222266</v>
      </c>
      <c r="AF40" s="531">
        <f t="shared" si="60"/>
        <v>0.42816475681222266</v>
      </c>
      <c r="AG40" s="531">
        <f t="shared" si="60"/>
        <v>0.42816475681222266</v>
      </c>
      <c r="AH40" s="531">
        <f t="shared" si="60"/>
        <v>0.42816475681222266</v>
      </c>
      <c r="AI40" s="531">
        <f t="shared" si="60"/>
        <v>0.42816475681222266</v>
      </c>
      <c r="AJ40" s="531">
        <f t="shared" si="60"/>
        <v>0.42816475681222282</v>
      </c>
      <c r="AK40" s="531">
        <f t="shared" si="60"/>
        <v>0.42816475681222282</v>
      </c>
      <c r="AL40" s="531">
        <f t="shared" si="60"/>
        <v>0.42816475681222282</v>
      </c>
      <c r="AM40" s="531">
        <f t="shared" si="60"/>
        <v>0.42816475681222282</v>
      </c>
      <c r="AN40" s="531">
        <f t="shared" si="60"/>
        <v>0.42816475681222282</v>
      </c>
      <c r="AO40" s="531">
        <f t="shared" si="60"/>
        <v>0.42816475681222282</v>
      </c>
      <c r="AP40" s="531">
        <f t="shared" si="60"/>
        <v>0.43463124928299568</v>
      </c>
      <c r="AQ40" s="531">
        <f t="shared" si="60"/>
        <v>0.43463124928299568</v>
      </c>
      <c r="AR40" s="531">
        <f t="shared" si="60"/>
        <v>0.43463124928299568</v>
      </c>
      <c r="AS40" s="531">
        <f t="shared" si="60"/>
        <v>0.43463124928299568</v>
      </c>
      <c r="AT40" s="531">
        <f t="shared" si="60"/>
        <v>0.43463124928299568</v>
      </c>
      <c r="AU40" s="531">
        <f t="shared" si="60"/>
        <v>0.43463124928299568</v>
      </c>
      <c r="AV40" s="531">
        <f t="shared" si="60"/>
        <v>0.43463124928299574</v>
      </c>
      <c r="AW40" s="531">
        <f t="shared" si="60"/>
        <v>0.43463124928299574</v>
      </c>
      <c r="AX40" s="531">
        <f t="shared" ref="AX40:BY40" si="61">IFERROR(AX39/(AX22+AX31),0)</f>
        <v>0.43463124928299574</v>
      </c>
      <c r="AY40" s="531">
        <f t="shared" si="61"/>
        <v>0.43463124928299574</v>
      </c>
      <c r="AZ40" s="531">
        <f t="shared" si="61"/>
        <v>0.43463124928299574</v>
      </c>
      <c r="BA40" s="531">
        <f t="shared" si="61"/>
        <v>0.43463124928299574</v>
      </c>
      <c r="BB40" s="531">
        <f t="shared" si="61"/>
        <v>0.4405797020083525</v>
      </c>
      <c r="BC40" s="531">
        <f t="shared" si="61"/>
        <v>0.4405797020083525</v>
      </c>
      <c r="BD40" s="531">
        <f t="shared" si="61"/>
        <v>0.4405797020083525</v>
      </c>
      <c r="BE40" s="531">
        <f t="shared" si="61"/>
        <v>0.4405797020083525</v>
      </c>
      <c r="BF40" s="531">
        <f t="shared" si="61"/>
        <v>0.4405797020083525</v>
      </c>
      <c r="BG40" s="531">
        <f t="shared" si="61"/>
        <v>0.4405797020083525</v>
      </c>
      <c r="BH40" s="531">
        <f t="shared" si="61"/>
        <v>0.44057970200835261</v>
      </c>
      <c r="BI40" s="531">
        <f t="shared" si="61"/>
        <v>0.44057970200835261</v>
      </c>
      <c r="BJ40" s="531">
        <f t="shared" si="61"/>
        <v>0.44057970200835261</v>
      </c>
      <c r="BK40" s="531">
        <f t="shared" si="61"/>
        <v>0.44057970200835261</v>
      </c>
      <c r="BL40" s="531">
        <f t="shared" si="61"/>
        <v>0.44057970200835261</v>
      </c>
      <c r="BM40" s="531">
        <f t="shared" si="61"/>
        <v>0.44057970200835261</v>
      </c>
      <c r="BN40" s="531">
        <f t="shared" si="61"/>
        <v>0.44641184231853259</v>
      </c>
      <c r="BO40" s="531">
        <f t="shared" si="61"/>
        <v>0.44641184231853259</v>
      </c>
      <c r="BP40" s="531">
        <f t="shared" si="61"/>
        <v>0.44641184231853259</v>
      </c>
      <c r="BQ40" s="531">
        <f t="shared" si="61"/>
        <v>0.44641184231853259</v>
      </c>
      <c r="BR40" s="531">
        <f t="shared" si="61"/>
        <v>0.44641184231853259</v>
      </c>
      <c r="BS40" s="531">
        <f t="shared" si="61"/>
        <v>0.44641184231853259</v>
      </c>
      <c r="BT40" s="531">
        <f t="shared" si="61"/>
        <v>0.44641184231853254</v>
      </c>
      <c r="BU40" s="531">
        <f t="shared" si="61"/>
        <v>0.44641184231853254</v>
      </c>
      <c r="BV40" s="531">
        <f t="shared" si="61"/>
        <v>0.44641184231853254</v>
      </c>
      <c r="BW40" s="531">
        <f t="shared" si="61"/>
        <v>0.44641184231853254</v>
      </c>
      <c r="BX40" s="531">
        <f t="shared" si="61"/>
        <v>0.44641184231853254</v>
      </c>
      <c r="BY40" s="531">
        <f t="shared" si="61"/>
        <v>0.44641184231853254</v>
      </c>
      <c r="BZ40" s="537"/>
      <c r="CA40" s="537"/>
      <c r="CB40" s="537"/>
    </row>
    <row r="41" spans="1:80" x14ac:dyDescent="0.3">
      <c r="A41" s="551"/>
      <c r="B41" s="548"/>
      <c r="C41" s="525"/>
      <c r="D41" s="525"/>
      <c r="E41" s="525"/>
      <c r="F41" s="529"/>
      <c r="G41" s="529"/>
      <c r="H41" s="529"/>
      <c r="I41" s="529"/>
      <c r="J41" s="529"/>
      <c r="K41" s="529"/>
      <c r="L41" s="529"/>
      <c r="M41" s="529"/>
      <c r="N41" s="529"/>
      <c r="O41" s="529"/>
      <c r="P41" s="562"/>
      <c r="Q41" s="537"/>
      <c r="R41" s="529"/>
      <c r="S41" s="529"/>
      <c r="T41" s="529"/>
      <c r="U41" s="529"/>
      <c r="V41" s="529"/>
      <c r="W41" s="529"/>
      <c r="X41" s="529"/>
      <c r="Y41" s="529"/>
      <c r="Z41" s="529"/>
      <c r="AA41" s="529"/>
      <c r="AB41" s="529"/>
      <c r="AC41" s="529"/>
      <c r="AD41" s="529"/>
      <c r="AE41" s="529"/>
      <c r="AF41" s="529"/>
      <c r="AG41" s="529"/>
      <c r="AH41" s="529"/>
      <c r="AI41" s="529"/>
      <c r="AJ41" s="529"/>
      <c r="AK41" s="529"/>
      <c r="AL41" s="529"/>
      <c r="AM41" s="529"/>
      <c r="AN41" s="529"/>
      <c r="AO41" s="529"/>
      <c r="AP41" s="529"/>
      <c r="AQ41" s="529"/>
      <c r="AR41" s="529"/>
      <c r="AS41" s="529"/>
      <c r="AT41" s="529"/>
      <c r="AU41" s="529"/>
      <c r="AV41" s="529"/>
      <c r="AW41" s="529"/>
      <c r="AX41" s="529"/>
      <c r="AY41" s="529"/>
      <c r="AZ41" s="529"/>
      <c r="BA41" s="529"/>
      <c r="BB41" s="529"/>
      <c r="BC41" s="529"/>
      <c r="BD41" s="529"/>
      <c r="BE41" s="529"/>
      <c r="BF41" s="529"/>
      <c r="BG41" s="529"/>
      <c r="BH41" s="529"/>
      <c r="BI41" s="529"/>
      <c r="BJ41" s="529"/>
      <c r="BK41" s="529"/>
      <c r="BL41" s="529"/>
      <c r="BM41" s="529"/>
      <c r="BN41" s="529"/>
      <c r="BO41" s="529"/>
      <c r="BP41" s="529"/>
      <c r="BQ41" s="529"/>
      <c r="BR41" s="529"/>
      <c r="BS41" s="529"/>
      <c r="BT41" s="529"/>
      <c r="BU41" s="529"/>
      <c r="BV41" s="529"/>
      <c r="BW41" s="529"/>
      <c r="BX41" s="529"/>
      <c r="BY41" s="529"/>
      <c r="BZ41" s="537"/>
      <c r="CA41" s="537"/>
      <c r="CB41" s="537"/>
    </row>
    <row r="42" spans="1:80" x14ac:dyDescent="0.3">
      <c r="A42" s="551"/>
      <c r="B42" s="548"/>
      <c r="C42" s="525"/>
      <c r="D42" s="525"/>
      <c r="E42" s="570" t="s">
        <v>25</v>
      </c>
      <c r="F42" s="529"/>
      <c r="G42" s="529"/>
      <c r="H42" s="529"/>
      <c r="I42" s="529"/>
      <c r="J42" s="529"/>
      <c r="K42" s="529"/>
      <c r="L42" s="529"/>
      <c r="M42" s="529"/>
      <c r="N42" s="529"/>
      <c r="O42" s="529"/>
      <c r="P42" s="562"/>
      <c r="Q42" s="537"/>
      <c r="R42" s="529"/>
      <c r="S42" s="529"/>
      <c r="T42" s="529"/>
      <c r="U42" s="529"/>
      <c r="V42" s="529"/>
      <c r="W42" s="529"/>
      <c r="X42" s="529"/>
      <c r="Y42" s="529"/>
      <c r="Z42" s="529"/>
      <c r="AA42" s="529"/>
      <c r="AB42" s="529"/>
      <c r="AC42" s="529"/>
      <c r="AD42" s="529"/>
      <c r="AE42" s="529"/>
      <c r="AF42" s="529"/>
      <c r="AG42" s="529"/>
      <c r="AH42" s="529"/>
      <c r="AI42" s="529"/>
      <c r="AJ42" s="529"/>
      <c r="AK42" s="529"/>
      <c r="AL42" s="529"/>
      <c r="AM42" s="529"/>
      <c r="AN42" s="529"/>
      <c r="AO42" s="529"/>
      <c r="AP42" s="529"/>
      <c r="AQ42" s="529"/>
      <c r="AR42" s="529"/>
      <c r="AS42" s="529"/>
      <c r="AT42" s="529"/>
      <c r="AU42" s="529"/>
      <c r="AV42" s="529"/>
      <c r="AW42" s="529"/>
      <c r="AX42" s="529"/>
      <c r="AY42" s="529"/>
      <c r="AZ42" s="529"/>
      <c r="BA42" s="529"/>
      <c r="BB42" s="529"/>
      <c r="BC42" s="529"/>
      <c r="BD42" s="529"/>
      <c r="BE42" s="529"/>
      <c r="BF42" s="529"/>
      <c r="BG42" s="529"/>
      <c r="BH42" s="529"/>
      <c r="BI42" s="529"/>
      <c r="BJ42" s="529"/>
      <c r="BK42" s="529"/>
      <c r="BL42" s="529"/>
      <c r="BM42" s="529"/>
      <c r="BN42" s="529"/>
      <c r="BO42" s="529"/>
      <c r="BP42" s="529"/>
      <c r="BQ42" s="529"/>
      <c r="BR42" s="529"/>
      <c r="BS42" s="529"/>
      <c r="BT42" s="529"/>
      <c r="BU42" s="529"/>
      <c r="BV42" s="529"/>
      <c r="BW42" s="529"/>
      <c r="BX42" s="529"/>
      <c r="BY42" s="529"/>
      <c r="BZ42" s="537"/>
      <c r="CA42" s="537"/>
      <c r="CB42" s="537"/>
    </row>
    <row r="43" spans="1:80" x14ac:dyDescent="0.3">
      <c r="A43" s="551"/>
      <c r="B43" s="548"/>
      <c r="C43" s="525"/>
      <c r="D43" s="525"/>
      <c r="E43" s="525" t="s">
        <v>25</v>
      </c>
      <c r="F43" s="567"/>
      <c r="G43" s="567"/>
      <c r="H43" s="567"/>
      <c r="I43" s="527">
        <f>I533</f>
        <v>3949137.7025981541</v>
      </c>
      <c r="J43" s="527">
        <f t="shared" ref="J43:N45" si="62">SUMIF($R$2:$BY$2,J$3,$R43:$BY43)</f>
        <v>4135266.9065282107</v>
      </c>
      <c r="K43" s="527">
        <f t="shared" si="62"/>
        <v>4375518.002592288</v>
      </c>
      <c r="L43" s="527">
        <f t="shared" si="62"/>
        <v>4623164.5264627794</v>
      </c>
      <c r="M43" s="527">
        <f t="shared" si="62"/>
        <v>4874525.8443448385</v>
      </c>
      <c r="N43" s="527">
        <f t="shared" si="62"/>
        <v>5135354.0194794592</v>
      </c>
      <c r="O43" s="529"/>
      <c r="P43" s="564">
        <f>IFERROR(((N43/I43)^(1/5))-1,0)</f>
        <v>5.3934502452305022E-2</v>
      </c>
      <c r="Q43" s="537"/>
      <c r="R43" s="527">
        <f t="shared" ref="R43:AW43" si="63">R344</f>
        <v>338809.50257412193</v>
      </c>
      <c r="S43" s="527">
        <f t="shared" si="63"/>
        <v>338809.50257412193</v>
      </c>
      <c r="T43" s="527">
        <f t="shared" si="63"/>
        <v>338809.50257412193</v>
      </c>
      <c r="U43" s="527">
        <f t="shared" si="63"/>
        <v>338809.50257412193</v>
      </c>
      <c r="V43" s="527">
        <f t="shared" si="63"/>
        <v>338809.50257412193</v>
      </c>
      <c r="W43" s="527">
        <f t="shared" si="63"/>
        <v>338809.50257412193</v>
      </c>
      <c r="X43" s="527">
        <f t="shared" si="63"/>
        <v>350401.64851391304</v>
      </c>
      <c r="Y43" s="527">
        <f t="shared" si="63"/>
        <v>350401.64851391304</v>
      </c>
      <c r="Z43" s="527">
        <f t="shared" si="63"/>
        <v>350401.64851391304</v>
      </c>
      <c r="AA43" s="527">
        <f t="shared" si="63"/>
        <v>350401.64851391304</v>
      </c>
      <c r="AB43" s="527">
        <f t="shared" si="63"/>
        <v>350401.64851391304</v>
      </c>
      <c r="AC43" s="527">
        <f t="shared" si="63"/>
        <v>350401.64851391304</v>
      </c>
      <c r="AD43" s="527">
        <f t="shared" si="63"/>
        <v>357102.75627219211</v>
      </c>
      <c r="AE43" s="527">
        <f t="shared" si="63"/>
        <v>357102.75627219211</v>
      </c>
      <c r="AF43" s="527">
        <f t="shared" si="63"/>
        <v>357102.75627219211</v>
      </c>
      <c r="AG43" s="527">
        <f t="shared" si="63"/>
        <v>357102.75627219211</v>
      </c>
      <c r="AH43" s="527">
        <f t="shared" si="63"/>
        <v>357102.75627219211</v>
      </c>
      <c r="AI43" s="527">
        <f t="shared" si="63"/>
        <v>357102.75627219211</v>
      </c>
      <c r="AJ43" s="527">
        <f t="shared" si="63"/>
        <v>372150.244159856</v>
      </c>
      <c r="AK43" s="527">
        <f t="shared" si="63"/>
        <v>372150.244159856</v>
      </c>
      <c r="AL43" s="527">
        <f t="shared" si="63"/>
        <v>372150.244159856</v>
      </c>
      <c r="AM43" s="527">
        <f t="shared" si="63"/>
        <v>372150.244159856</v>
      </c>
      <c r="AN43" s="527">
        <f t="shared" si="63"/>
        <v>372150.244159856</v>
      </c>
      <c r="AO43" s="527">
        <f t="shared" si="63"/>
        <v>372150.244159856</v>
      </c>
      <c r="AP43" s="527">
        <f t="shared" si="63"/>
        <v>375894.82376873447</v>
      </c>
      <c r="AQ43" s="527">
        <f t="shared" si="63"/>
        <v>375894.82376873447</v>
      </c>
      <c r="AR43" s="527">
        <f t="shared" si="63"/>
        <v>375894.82376873447</v>
      </c>
      <c r="AS43" s="527">
        <f t="shared" si="63"/>
        <v>375894.82376873447</v>
      </c>
      <c r="AT43" s="527">
        <f t="shared" si="63"/>
        <v>375894.82376873447</v>
      </c>
      <c r="AU43" s="527">
        <f t="shared" si="63"/>
        <v>375894.82376873447</v>
      </c>
      <c r="AV43" s="527">
        <f t="shared" si="63"/>
        <v>394632.59730839555</v>
      </c>
      <c r="AW43" s="527">
        <f t="shared" si="63"/>
        <v>394632.59730839555</v>
      </c>
      <c r="AX43" s="527">
        <f t="shared" ref="AX43:BY43" si="64">AX344</f>
        <v>394632.59730839555</v>
      </c>
      <c r="AY43" s="527">
        <f t="shared" si="64"/>
        <v>394632.59730839555</v>
      </c>
      <c r="AZ43" s="527">
        <f t="shared" si="64"/>
        <v>394632.59730839555</v>
      </c>
      <c r="BA43" s="527">
        <f t="shared" si="64"/>
        <v>394632.59730839555</v>
      </c>
      <c r="BB43" s="527">
        <f t="shared" si="64"/>
        <v>394876.41062635777</v>
      </c>
      <c r="BC43" s="527">
        <f t="shared" si="64"/>
        <v>394876.41062635777</v>
      </c>
      <c r="BD43" s="527">
        <f t="shared" si="64"/>
        <v>394876.41062635777</v>
      </c>
      <c r="BE43" s="527">
        <f t="shared" si="64"/>
        <v>394876.41062635777</v>
      </c>
      <c r="BF43" s="527">
        <f t="shared" si="64"/>
        <v>394876.41062635777</v>
      </c>
      <c r="BG43" s="527">
        <f t="shared" si="64"/>
        <v>394876.41062635777</v>
      </c>
      <c r="BH43" s="527">
        <f t="shared" si="64"/>
        <v>417544.56343111524</v>
      </c>
      <c r="BI43" s="527">
        <f t="shared" si="64"/>
        <v>417544.56343111524</v>
      </c>
      <c r="BJ43" s="527">
        <f t="shared" si="64"/>
        <v>417544.56343111524</v>
      </c>
      <c r="BK43" s="527">
        <f t="shared" si="64"/>
        <v>417544.56343111524</v>
      </c>
      <c r="BL43" s="527">
        <f t="shared" si="64"/>
        <v>417544.56343111524</v>
      </c>
      <c r="BM43" s="527">
        <f t="shared" si="64"/>
        <v>417544.56343111524</v>
      </c>
      <c r="BN43" s="527">
        <f t="shared" si="64"/>
        <v>414521.01274102583</v>
      </c>
      <c r="BO43" s="527">
        <f t="shared" si="64"/>
        <v>414521.01274102583</v>
      </c>
      <c r="BP43" s="527">
        <f t="shared" si="64"/>
        <v>414521.01274102583</v>
      </c>
      <c r="BQ43" s="527">
        <f t="shared" si="64"/>
        <v>414521.01274102583</v>
      </c>
      <c r="BR43" s="527">
        <f t="shared" si="64"/>
        <v>414521.01274102583</v>
      </c>
      <c r="BS43" s="527">
        <f t="shared" si="64"/>
        <v>414521.01274102583</v>
      </c>
      <c r="BT43" s="527">
        <f t="shared" si="64"/>
        <v>441371.32383888424</v>
      </c>
      <c r="BU43" s="527">
        <f t="shared" si="64"/>
        <v>441371.32383888424</v>
      </c>
      <c r="BV43" s="527">
        <f t="shared" si="64"/>
        <v>441371.32383888424</v>
      </c>
      <c r="BW43" s="527">
        <f t="shared" si="64"/>
        <v>441371.32383888424</v>
      </c>
      <c r="BX43" s="527">
        <f t="shared" si="64"/>
        <v>441371.32383888424</v>
      </c>
      <c r="BY43" s="527">
        <f t="shared" si="64"/>
        <v>441371.32383888424</v>
      </c>
      <c r="BZ43" s="537"/>
      <c r="CA43" s="537"/>
      <c r="CB43" s="574"/>
    </row>
    <row r="44" spans="1:80" x14ac:dyDescent="0.3">
      <c r="A44" s="551"/>
      <c r="B44" s="548"/>
      <c r="C44" s="525"/>
      <c r="D44" s="525"/>
      <c r="E44" s="525" t="s">
        <v>14</v>
      </c>
      <c r="F44" s="567"/>
      <c r="G44" s="567"/>
      <c r="H44" s="567"/>
      <c r="I44" s="527">
        <f>I534</f>
        <v>589138.88668323052</v>
      </c>
      <c r="J44" s="527">
        <f t="shared" si="62"/>
        <v>609833.64098931383</v>
      </c>
      <c r="K44" s="527">
        <f t="shared" si="62"/>
        <v>630078.61417077028</v>
      </c>
      <c r="L44" s="527">
        <f t="shared" si="62"/>
        <v>650146.35909569263</v>
      </c>
      <c r="M44" s="527">
        <f t="shared" si="62"/>
        <v>666900.36358615302</v>
      </c>
      <c r="N44" s="527">
        <f t="shared" si="62"/>
        <v>681320.75928359805</v>
      </c>
      <c r="O44" s="529"/>
      <c r="P44" s="564">
        <f>IFERROR(((N44/I44)^(1/5))-1,0)</f>
        <v>2.9501032242708725E-2</v>
      </c>
      <c r="Q44" s="537"/>
      <c r="R44" s="527">
        <f t="shared" ref="R44:AW44" si="65">R352</f>
        <v>50819.470082442822</v>
      </c>
      <c r="S44" s="527">
        <f t="shared" si="65"/>
        <v>50819.470082442822</v>
      </c>
      <c r="T44" s="527">
        <f t="shared" si="65"/>
        <v>50819.470082442822</v>
      </c>
      <c r="U44" s="527">
        <f t="shared" si="65"/>
        <v>50819.470082442822</v>
      </c>
      <c r="V44" s="527">
        <f t="shared" si="65"/>
        <v>50819.470082442822</v>
      </c>
      <c r="W44" s="527">
        <f t="shared" si="65"/>
        <v>50819.470082442822</v>
      </c>
      <c r="X44" s="527">
        <f t="shared" si="65"/>
        <v>50819.470082442822</v>
      </c>
      <c r="Y44" s="527">
        <f t="shared" si="65"/>
        <v>50819.470082442822</v>
      </c>
      <c r="Z44" s="527">
        <f t="shared" si="65"/>
        <v>50819.470082442822</v>
      </c>
      <c r="AA44" s="527">
        <f t="shared" si="65"/>
        <v>50819.470082442822</v>
      </c>
      <c r="AB44" s="527">
        <f t="shared" si="65"/>
        <v>50819.470082442822</v>
      </c>
      <c r="AC44" s="527">
        <f t="shared" si="65"/>
        <v>50819.470082442822</v>
      </c>
      <c r="AD44" s="527">
        <f t="shared" si="65"/>
        <v>52506.551180897521</v>
      </c>
      <c r="AE44" s="527">
        <f t="shared" si="65"/>
        <v>52506.551180897521</v>
      </c>
      <c r="AF44" s="527">
        <f t="shared" si="65"/>
        <v>52506.551180897521</v>
      </c>
      <c r="AG44" s="527">
        <f t="shared" si="65"/>
        <v>52506.551180897521</v>
      </c>
      <c r="AH44" s="527">
        <f t="shared" si="65"/>
        <v>52506.551180897521</v>
      </c>
      <c r="AI44" s="527">
        <f t="shared" si="65"/>
        <v>52506.551180897521</v>
      </c>
      <c r="AJ44" s="527">
        <f t="shared" si="65"/>
        <v>52506.551180897521</v>
      </c>
      <c r="AK44" s="527">
        <f t="shared" si="65"/>
        <v>52506.551180897521</v>
      </c>
      <c r="AL44" s="527">
        <f t="shared" si="65"/>
        <v>52506.551180897521</v>
      </c>
      <c r="AM44" s="527">
        <f t="shared" si="65"/>
        <v>52506.551180897521</v>
      </c>
      <c r="AN44" s="527">
        <f t="shared" si="65"/>
        <v>52506.551180897521</v>
      </c>
      <c r="AO44" s="527">
        <f t="shared" si="65"/>
        <v>52506.551180897521</v>
      </c>
      <c r="AP44" s="527">
        <f t="shared" si="65"/>
        <v>54178.863257974386</v>
      </c>
      <c r="AQ44" s="527">
        <f t="shared" si="65"/>
        <v>54178.863257974386</v>
      </c>
      <c r="AR44" s="527">
        <f t="shared" si="65"/>
        <v>54178.863257974386</v>
      </c>
      <c r="AS44" s="527">
        <f t="shared" si="65"/>
        <v>54178.863257974386</v>
      </c>
      <c r="AT44" s="527">
        <f t="shared" si="65"/>
        <v>54178.863257974386</v>
      </c>
      <c r="AU44" s="527">
        <f t="shared" si="65"/>
        <v>54178.863257974386</v>
      </c>
      <c r="AV44" s="527">
        <f t="shared" si="65"/>
        <v>54178.863257974386</v>
      </c>
      <c r="AW44" s="527">
        <f t="shared" si="65"/>
        <v>54178.863257974386</v>
      </c>
      <c r="AX44" s="527">
        <f t="shared" ref="AX44:BY44" si="66">AX352</f>
        <v>54178.863257974386</v>
      </c>
      <c r="AY44" s="527">
        <f t="shared" si="66"/>
        <v>54178.863257974386</v>
      </c>
      <c r="AZ44" s="527">
        <f t="shared" si="66"/>
        <v>54178.863257974386</v>
      </c>
      <c r="BA44" s="527">
        <f t="shared" si="66"/>
        <v>54178.863257974386</v>
      </c>
      <c r="BB44" s="527">
        <f t="shared" si="66"/>
        <v>55575.030298846104</v>
      </c>
      <c r="BC44" s="527">
        <f t="shared" si="66"/>
        <v>55575.030298846104</v>
      </c>
      <c r="BD44" s="527">
        <f t="shared" si="66"/>
        <v>55575.030298846104</v>
      </c>
      <c r="BE44" s="527">
        <f t="shared" si="66"/>
        <v>55575.030298846104</v>
      </c>
      <c r="BF44" s="527">
        <f t="shared" si="66"/>
        <v>55575.030298846104</v>
      </c>
      <c r="BG44" s="527">
        <f t="shared" si="66"/>
        <v>55575.030298846104</v>
      </c>
      <c r="BH44" s="527">
        <f t="shared" si="66"/>
        <v>55575.030298846104</v>
      </c>
      <c r="BI44" s="527">
        <f t="shared" si="66"/>
        <v>55575.030298846104</v>
      </c>
      <c r="BJ44" s="527">
        <f t="shared" si="66"/>
        <v>55575.030298846104</v>
      </c>
      <c r="BK44" s="527">
        <f t="shared" si="66"/>
        <v>55575.030298846104</v>
      </c>
      <c r="BL44" s="527">
        <f t="shared" si="66"/>
        <v>55575.030298846104</v>
      </c>
      <c r="BM44" s="527">
        <f t="shared" si="66"/>
        <v>55575.030298846104</v>
      </c>
      <c r="BN44" s="527">
        <f t="shared" si="66"/>
        <v>56776.729940299832</v>
      </c>
      <c r="BO44" s="527">
        <f t="shared" si="66"/>
        <v>56776.729940299832</v>
      </c>
      <c r="BP44" s="527">
        <f t="shared" si="66"/>
        <v>56776.729940299832</v>
      </c>
      <c r="BQ44" s="527">
        <f t="shared" si="66"/>
        <v>56776.729940299832</v>
      </c>
      <c r="BR44" s="527">
        <f t="shared" si="66"/>
        <v>56776.729940299832</v>
      </c>
      <c r="BS44" s="527">
        <f t="shared" si="66"/>
        <v>56776.729940299832</v>
      </c>
      <c r="BT44" s="527">
        <f t="shared" si="66"/>
        <v>56776.729940299832</v>
      </c>
      <c r="BU44" s="527">
        <f t="shared" si="66"/>
        <v>56776.729940299832</v>
      </c>
      <c r="BV44" s="527">
        <f t="shared" si="66"/>
        <v>56776.729940299832</v>
      </c>
      <c r="BW44" s="527">
        <f t="shared" si="66"/>
        <v>56776.729940299832</v>
      </c>
      <c r="BX44" s="527">
        <f t="shared" si="66"/>
        <v>56776.729940299832</v>
      </c>
      <c r="BY44" s="527">
        <f t="shared" si="66"/>
        <v>56776.729940299832</v>
      </c>
      <c r="BZ44" s="537"/>
      <c r="CA44" s="537"/>
      <c r="CB44" s="574"/>
    </row>
    <row r="45" spans="1:80" x14ac:dyDescent="0.3">
      <c r="A45" s="551"/>
      <c r="B45" s="548"/>
      <c r="C45" s="525"/>
      <c r="D45" s="525"/>
      <c r="E45" s="572" t="s">
        <v>26</v>
      </c>
      <c r="F45" s="573"/>
      <c r="G45" s="573"/>
      <c r="H45" s="573"/>
      <c r="I45" s="532">
        <f>I535</f>
        <v>4538276.5892813848</v>
      </c>
      <c r="J45" s="532">
        <f t="shared" si="62"/>
        <v>4745100.5475175232</v>
      </c>
      <c r="K45" s="532">
        <f t="shared" si="62"/>
        <v>5005596.616763059</v>
      </c>
      <c r="L45" s="532">
        <f t="shared" si="62"/>
        <v>5273310.885558472</v>
      </c>
      <c r="M45" s="532">
        <f t="shared" si="62"/>
        <v>5541426.2079309914</v>
      </c>
      <c r="N45" s="532">
        <f t="shared" si="62"/>
        <v>5816674.7787630567</v>
      </c>
      <c r="O45" s="536"/>
      <c r="P45" s="568">
        <f>IFERROR(((N45/I45)^(1/5))-1,0)</f>
        <v>5.0888801892576829E-2</v>
      </c>
      <c r="Q45" s="537"/>
      <c r="R45" s="532">
        <f t="shared" ref="R45:AW45" si="67">SUM(R43:R44)</f>
        <v>389628.97265656473</v>
      </c>
      <c r="S45" s="530">
        <f t="shared" si="67"/>
        <v>389628.97265656473</v>
      </c>
      <c r="T45" s="532">
        <f t="shared" si="67"/>
        <v>389628.97265656473</v>
      </c>
      <c r="U45" s="532">
        <f t="shared" si="67"/>
        <v>389628.97265656473</v>
      </c>
      <c r="V45" s="532">
        <f t="shared" si="67"/>
        <v>389628.97265656473</v>
      </c>
      <c r="W45" s="532">
        <f t="shared" si="67"/>
        <v>389628.97265656473</v>
      </c>
      <c r="X45" s="532">
        <f t="shared" si="67"/>
        <v>401221.11859635584</v>
      </c>
      <c r="Y45" s="532">
        <f t="shared" si="67"/>
        <v>401221.11859635584</v>
      </c>
      <c r="Z45" s="532">
        <f t="shared" si="67"/>
        <v>401221.11859635584</v>
      </c>
      <c r="AA45" s="532">
        <f t="shared" si="67"/>
        <v>401221.11859635584</v>
      </c>
      <c r="AB45" s="532">
        <f t="shared" si="67"/>
        <v>401221.11859635584</v>
      </c>
      <c r="AC45" s="532">
        <f t="shared" si="67"/>
        <v>401221.11859635584</v>
      </c>
      <c r="AD45" s="532">
        <f t="shared" si="67"/>
        <v>409609.30745308963</v>
      </c>
      <c r="AE45" s="532">
        <f t="shared" si="67"/>
        <v>409609.30745308963</v>
      </c>
      <c r="AF45" s="532">
        <f t="shared" si="67"/>
        <v>409609.30745308963</v>
      </c>
      <c r="AG45" s="532">
        <f t="shared" si="67"/>
        <v>409609.30745308963</v>
      </c>
      <c r="AH45" s="532">
        <f t="shared" si="67"/>
        <v>409609.30745308963</v>
      </c>
      <c r="AI45" s="532">
        <f t="shared" si="67"/>
        <v>409609.30745308963</v>
      </c>
      <c r="AJ45" s="532">
        <f t="shared" si="67"/>
        <v>424656.79534075351</v>
      </c>
      <c r="AK45" s="532">
        <f t="shared" si="67"/>
        <v>424656.79534075351</v>
      </c>
      <c r="AL45" s="532">
        <f t="shared" si="67"/>
        <v>424656.79534075351</v>
      </c>
      <c r="AM45" s="532">
        <f t="shared" si="67"/>
        <v>424656.79534075351</v>
      </c>
      <c r="AN45" s="532">
        <f t="shared" si="67"/>
        <v>424656.79534075351</v>
      </c>
      <c r="AO45" s="532">
        <f t="shared" si="67"/>
        <v>424656.79534075351</v>
      </c>
      <c r="AP45" s="532">
        <f t="shared" si="67"/>
        <v>430073.68702670885</v>
      </c>
      <c r="AQ45" s="532">
        <f t="shared" si="67"/>
        <v>430073.68702670885</v>
      </c>
      <c r="AR45" s="532">
        <f t="shared" si="67"/>
        <v>430073.68702670885</v>
      </c>
      <c r="AS45" s="532">
        <f t="shared" si="67"/>
        <v>430073.68702670885</v>
      </c>
      <c r="AT45" s="532">
        <f t="shared" si="67"/>
        <v>430073.68702670885</v>
      </c>
      <c r="AU45" s="532">
        <f t="shared" si="67"/>
        <v>430073.68702670885</v>
      </c>
      <c r="AV45" s="532">
        <f t="shared" si="67"/>
        <v>448811.46056636993</v>
      </c>
      <c r="AW45" s="532">
        <f t="shared" si="67"/>
        <v>448811.46056636993</v>
      </c>
      <c r="AX45" s="532">
        <f t="shared" ref="AX45:BY45" si="68">SUM(AX43:AX44)</f>
        <v>448811.46056636993</v>
      </c>
      <c r="AY45" s="532">
        <f t="shared" si="68"/>
        <v>448811.46056636993</v>
      </c>
      <c r="AZ45" s="532">
        <f t="shared" si="68"/>
        <v>448811.46056636993</v>
      </c>
      <c r="BA45" s="532">
        <f t="shared" si="68"/>
        <v>448811.46056636993</v>
      </c>
      <c r="BB45" s="532">
        <f t="shared" si="68"/>
        <v>450451.44092520385</v>
      </c>
      <c r="BC45" s="532">
        <f t="shared" si="68"/>
        <v>450451.44092520385</v>
      </c>
      <c r="BD45" s="532">
        <f t="shared" si="68"/>
        <v>450451.44092520385</v>
      </c>
      <c r="BE45" s="532">
        <f t="shared" si="68"/>
        <v>450451.44092520385</v>
      </c>
      <c r="BF45" s="532">
        <f t="shared" si="68"/>
        <v>450451.44092520385</v>
      </c>
      <c r="BG45" s="532">
        <f t="shared" si="68"/>
        <v>450451.44092520385</v>
      </c>
      <c r="BH45" s="532">
        <f t="shared" si="68"/>
        <v>473119.59372996131</v>
      </c>
      <c r="BI45" s="532">
        <f t="shared" si="68"/>
        <v>473119.59372996131</v>
      </c>
      <c r="BJ45" s="532">
        <f t="shared" si="68"/>
        <v>473119.59372996131</v>
      </c>
      <c r="BK45" s="532">
        <f t="shared" si="68"/>
        <v>473119.59372996131</v>
      </c>
      <c r="BL45" s="532">
        <f t="shared" si="68"/>
        <v>473119.59372996131</v>
      </c>
      <c r="BM45" s="532">
        <f t="shared" si="68"/>
        <v>473119.59372996131</v>
      </c>
      <c r="BN45" s="532">
        <f t="shared" si="68"/>
        <v>471297.74268132565</v>
      </c>
      <c r="BO45" s="532">
        <f t="shared" si="68"/>
        <v>471297.74268132565</v>
      </c>
      <c r="BP45" s="532">
        <f t="shared" si="68"/>
        <v>471297.74268132565</v>
      </c>
      <c r="BQ45" s="532">
        <f t="shared" si="68"/>
        <v>471297.74268132565</v>
      </c>
      <c r="BR45" s="532">
        <f t="shared" si="68"/>
        <v>471297.74268132565</v>
      </c>
      <c r="BS45" s="532">
        <f t="shared" si="68"/>
        <v>471297.74268132565</v>
      </c>
      <c r="BT45" s="532">
        <f t="shared" si="68"/>
        <v>498148.05377918406</v>
      </c>
      <c r="BU45" s="532">
        <f t="shared" si="68"/>
        <v>498148.05377918406</v>
      </c>
      <c r="BV45" s="532">
        <f t="shared" si="68"/>
        <v>498148.05377918406</v>
      </c>
      <c r="BW45" s="532">
        <f t="shared" si="68"/>
        <v>498148.05377918406</v>
      </c>
      <c r="BX45" s="532">
        <f t="shared" si="68"/>
        <v>498148.05377918406</v>
      </c>
      <c r="BY45" s="532">
        <f t="shared" si="68"/>
        <v>498148.05377918406</v>
      </c>
      <c r="BZ45" s="537"/>
      <c r="CA45" s="537"/>
      <c r="CB45" s="574"/>
    </row>
    <row r="46" spans="1:80" x14ac:dyDescent="0.3">
      <c r="A46" s="551"/>
      <c r="B46" s="548"/>
      <c r="C46" s="525"/>
      <c r="D46" s="525"/>
      <c r="E46" s="525"/>
      <c r="F46" s="529"/>
      <c r="G46" s="529"/>
      <c r="H46" s="529"/>
      <c r="I46" s="529"/>
      <c r="J46" s="529"/>
      <c r="K46" s="529"/>
      <c r="L46" s="529"/>
      <c r="M46" s="529"/>
      <c r="N46" s="529"/>
      <c r="O46" s="529"/>
      <c r="P46" s="562"/>
      <c r="Q46" s="537"/>
      <c r="R46" s="529"/>
      <c r="S46" s="529"/>
      <c r="T46" s="529"/>
      <c r="U46" s="529"/>
      <c r="V46" s="529"/>
      <c r="W46" s="529"/>
      <c r="X46" s="529"/>
      <c r="Y46" s="529"/>
      <c r="Z46" s="529"/>
      <c r="AA46" s="529"/>
      <c r="AB46" s="529"/>
      <c r="AC46" s="529"/>
      <c r="AD46" s="529"/>
      <c r="AE46" s="529"/>
      <c r="AF46" s="529"/>
      <c r="AG46" s="529"/>
      <c r="AH46" s="529"/>
      <c r="AI46" s="529"/>
      <c r="AJ46" s="529"/>
      <c r="AK46" s="529"/>
      <c r="AL46" s="529"/>
      <c r="AM46" s="529"/>
      <c r="AN46" s="529"/>
      <c r="AO46" s="529"/>
      <c r="AP46" s="529"/>
      <c r="AQ46" s="529"/>
      <c r="AR46" s="529"/>
      <c r="AS46" s="529"/>
      <c r="AT46" s="529"/>
      <c r="AU46" s="529"/>
      <c r="AV46" s="529"/>
      <c r="AW46" s="529"/>
      <c r="AX46" s="529"/>
      <c r="AY46" s="529"/>
      <c r="AZ46" s="529"/>
      <c r="BA46" s="529"/>
      <c r="BB46" s="529"/>
      <c r="BC46" s="529"/>
      <c r="BD46" s="529"/>
      <c r="BE46" s="529"/>
      <c r="BF46" s="529"/>
      <c r="BG46" s="529"/>
      <c r="BH46" s="529"/>
      <c r="BI46" s="529"/>
      <c r="BJ46" s="529"/>
      <c r="BK46" s="529"/>
      <c r="BL46" s="529"/>
      <c r="BM46" s="529"/>
      <c r="BN46" s="529"/>
      <c r="BO46" s="529"/>
      <c r="BP46" s="529"/>
      <c r="BQ46" s="529"/>
      <c r="BR46" s="529"/>
      <c r="BS46" s="529"/>
      <c r="BT46" s="529"/>
      <c r="BU46" s="529"/>
      <c r="BV46" s="529"/>
      <c r="BW46" s="529"/>
      <c r="BX46" s="529"/>
      <c r="BY46" s="529"/>
      <c r="BZ46" s="537"/>
      <c r="CA46" s="537"/>
      <c r="CB46" s="537"/>
    </row>
    <row r="47" spans="1:80" x14ac:dyDescent="0.3">
      <c r="A47" s="551"/>
      <c r="B47" s="548"/>
      <c r="C47" s="525"/>
      <c r="D47" s="525"/>
      <c r="E47" s="570" t="s">
        <v>27</v>
      </c>
      <c r="F47" s="529"/>
      <c r="G47" s="529"/>
      <c r="H47" s="529"/>
      <c r="I47" s="529"/>
      <c r="J47" s="529"/>
      <c r="K47" s="529"/>
      <c r="L47" s="529"/>
      <c r="M47" s="529"/>
      <c r="N47" s="529"/>
      <c r="O47" s="529"/>
      <c r="P47" s="562"/>
      <c r="Q47" s="537"/>
      <c r="R47" s="529"/>
      <c r="S47" s="529"/>
      <c r="T47" s="529"/>
      <c r="U47" s="529"/>
      <c r="V47" s="529"/>
      <c r="W47" s="529"/>
      <c r="X47" s="529"/>
      <c r="Y47" s="529"/>
      <c r="Z47" s="529"/>
      <c r="AA47" s="529"/>
      <c r="AB47" s="529"/>
      <c r="AC47" s="529"/>
      <c r="AD47" s="529"/>
      <c r="AE47" s="529"/>
      <c r="AF47" s="529"/>
      <c r="AG47" s="529"/>
      <c r="AH47" s="529"/>
      <c r="AI47" s="529"/>
      <c r="AJ47" s="529"/>
      <c r="AK47" s="529"/>
      <c r="AL47" s="529"/>
      <c r="AM47" s="529"/>
      <c r="AN47" s="529"/>
      <c r="AO47" s="529"/>
      <c r="AP47" s="529"/>
      <c r="AQ47" s="529"/>
      <c r="AR47" s="529"/>
      <c r="AS47" s="529"/>
      <c r="AT47" s="529"/>
      <c r="AU47" s="529"/>
      <c r="AV47" s="529"/>
      <c r="AW47" s="529"/>
      <c r="AX47" s="529"/>
      <c r="AY47" s="529"/>
      <c r="AZ47" s="529"/>
      <c r="BA47" s="529"/>
      <c r="BB47" s="529"/>
      <c r="BC47" s="529"/>
      <c r="BD47" s="529"/>
      <c r="BE47" s="529"/>
      <c r="BF47" s="529"/>
      <c r="BG47" s="529"/>
      <c r="BH47" s="529"/>
      <c r="BI47" s="529"/>
      <c r="BJ47" s="529"/>
      <c r="BK47" s="529"/>
      <c r="BL47" s="529"/>
      <c r="BM47" s="529"/>
      <c r="BN47" s="529"/>
      <c r="BO47" s="529"/>
      <c r="BP47" s="529"/>
      <c r="BQ47" s="529"/>
      <c r="BR47" s="529"/>
      <c r="BS47" s="529"/>
      <c r="BT47" s="529"/>
      <c r="BU47" s="529"/>
      <c r="BV47" s="529"/>
      <c r="BW47" s="529"/>
      <c r="BX47" s="529"/>
      <c r="BY47" s="529"/>
      <c r="BZ47" s="537"/>
      <c r="CA47" s="537"/>
      <c r="CB47" s="537"/>
    </row>
    <row r="48" spans="1:80" x14ac:dyDescent="0.3">
      <c r="A48" s="551"/>
      <c r="B48" s="548"/>
      <c r="C48" s="525"/>
      <c r="D48" s="525"/>
      <c r="E48" s="525" t="s">
        <v>28</v>
      </c>
      <c r="F48" s="567"/>
      <c r="G48" s="567"/>
      <c r="H48" s="567"/>
      <c r="I48" s="527">
        <f>I538</f>
        <v>520.26999999999987</v>
      </c>
      <c r="J48" s="527">
        <f t="shared" ref="J48:N52" si="69">SUMIF($R$2:$BY$2,J$3,$R48:$BY48)</f>
        <v>520.26999999999975</v>
      </c>
      <c r="K48" s="527">
        <f t="shared" si="69"/>
        <v>520.26999999999975</v>
      </c>
      <c r="L48" s="527">
        <f t="shared" si="69"/>
        <v>520.26999999999975</v>
      </c>
      <c r="M48" s="527">
        <f t="shared" si="69"/>
        <v>520.26999999999975</v>
      </c>
      <c r="N48" s="527">
        <f t="shared" si="69"/>
        <v>520.26999999999975</v>
      </c>
      <c r="O48" s="529"/>
      <c r="P48" s="564">
        <f>IFERROR(((N48/I48)^(1/5))-1,0)</f>
        <v>0</v>
      </c>
      <c r="Q48" s="537"/>
      <c r="R48" s="527">
        <f t="shared" ref="R48:AW48" si="70">R364</f>
        <v>43.355833333333322</v>
      </c>
      <c r="S48" s="527">
        <f t="shared" si="70"/>
        <v>43.355833333333322</v>
      </c>
      <c r="T48" s="527">
        <f t="shared" si="70"/>
        <v>43.355833333333322</v>
      </c>
      <c r="U48" s="527">
        <f t="shared" si="70"/>
        <v>43.355833333333322</v>
      </c>
      <c r="V48" s="527">
        <f t="shared" si="70"/>
        <v>43.355833333333322</v>
      </c>
      <c r="W48" s="527">
        <f t="shared" si="70"/>
        <v>43.355833333333322</v>
      </c>
      <c r="X48" s="527">
        <f t="shared" si="70"/>
        <v>43.355833333333322</v>
      </c>
      <c r="Y48" s="527">
        <f t="shared" si="70"/>
        <v>43.355833333333322</v>
      </c>
      <c r="Z48" s="527">
        <f t="shared" si="70"/>
        <v>43.355833333333322</v>
      </c>
      <c r="AA48" s="527">
        <f t="shared" si="70"/>
        <v>43.355833333333322</v>
      </c>
      <c r="AB48" s="527">
        <f t="shared" si="70"/>
        <v>43.355833333333322</v>
      </c>
      <c r="AC48" s="527">
        <f t="shared" si="70"/>
        <v>43.355833333333322</v>
      </c>
      <c r="AD48" s="527">
        <f t="shared" si="70"/>
        <v>43.355833333333322</v>
      </c>
      <c r="AE48" s="527">
        <f t="shared" si="70"/>
        <v>43.355833333333322</v>
      </c>
      <c r="AF48" s="527">
        <f t="shared" si="70"/>
        <v>43.355833333333322</v>
      </c>
      <c r="AG48" s="527">
        <f t="shared" si="70"/>
        <v>43.355833333333322</v>
      </c>
      <c r="AH48" s="527">
        <f t="shared" si="70"/>
        <v>43.355833333333322</v>
      </c>
      <c r="AI48" s="527">
        <f t="shared" si="70"/>
        <v>43.355833333333322</v>
      </c>
      <c r="AJ48" s="527">
        <f t="shared" si="70"/>
        <v>43.355833333333322</v>
      </c>
      <c r="AK48" s="527">
        <f t="shared" si="70"/>
        <v>43.355833333333322</v>
      </c>
      <c r="AL48" s="527">
        <f t="shared" si="70"/>
        <v>43.355833333333322</v>
      </c>
      <c r="AM48" s="527">
        <f t="shared" si="70"/>
        <v>43.355833333333322</v>
      </c>
      <c r="AN48" s="527">
        <f t="shared" si="70"/>
        <v>43.355833333333322</v>
      </c>
      <c r="AO48" s="527">
        <f t="shared" si="70"/>
        <v>43.355833333333322</v>
      </c>
      <c r="AP48" s="527">
        <f t="shared" si="70"/>
        <v>43.355833333333322</v>
      </c>
      <c r="AQ48" s="527">
        <f t="shared" si="70"/>
        <v>43.355833333333322</v>
      </c>
      <c r="AR48" s="527">
        <f t="shared" si="70"/>
        <v>43.355833333333322</v>
      </c>
      <c r="AS48" s="527">
        <f t="shared" si="70"/>
        <v>43.355833333333322</v>
      </c>
      <c r="AT48" s="527">
        <f t="shared" si="70"/>
        <v>43.355833333333322</v>
      </c>
      <c r="AU48" s="527">
        <f t="shared" si="70"/>
        <v>43.355833333333322</v>
      </c>
      <c r="AV48" s="527">
        <f t="shared" si="70"/>
        <v>43.355833333333322</v>
      </c>
      <c r="AW48" s="527">
        <f t="shared" si="70"/>
        <v>43.355833333333322</v>
      </c>
      <c r="AX48" s="527">
        <f t="shared" ref="AX48:BY48" si="71">AX364</f>
        <v>43.355833333333322</v>
      </c>
      <c r="AY48" s="527">
        <f t="shared" si="71"/>
        <v>43.355833333333322</v>
      </c>
      <c r="AZ48" s="527">
        <f t="shared" si="71"/>
        <v>43.355833333333322</v>
      </c>
      <c r="BA48" s="527">
        <f t="shared" si="71"/>
        <v>43.355833333333322</v>
      </c>
      <c r="BB48" s="527">
        <f t="shared" si="71"/>
        <v>43.355833333333322</v>
      </c>
      <c r="BC48" s="527">
        <f t="shared" si="71"/>
        <v>43.355833333333322</v>
      </c>
      <c r="BD48" s="527">
        <f t="shared" si="71"/>
        <v>43.355833333333322</v>
      </c>
      <c r="BE48" s="527">
        <f t="shared" si="71"/>
        <v>43.355833333333322</v>
      </c>
      <c r="BF48" s="527">
        <f t="shared" si="71"/>
        <v>43.355833333333322</v>
      </c>
      <c r="BG48" s="527">
        <f t="shared" si="71"/>
        <v>43.355833333333322</v>
      </c>
      <c r="BH48" s="527">
        <f t="shared" si="71"/>
        <v>43.355833333333322</v>
      </c>
      <c r="BI48" s="527">
        <f t="shared" si="71"/>
        <v>43.355833333333322</v>
      </c>
      <c r="BJ48" s="527">
        <f t="shared" si="71"/>
        <v>43.355833333333322</v>
      </c>
      <c r="BK48" s="527">
        <f t="shared" si="71"/>
        <v>43.355833333333322</v>
      </c>
      <c r="BL48" s="527">
        <f t="shared" si="71"/>
        <v>43.355833333333322</v>
      </c>
      <c r="BM48" s="527">
        <f t="shared" si="71"/>
        <v>43.355833333333322</v>
      </c>
      <c r="BN48" s="527">
        <f t="shared" si="71"/>
        <v>43.355833333333322</v>
      </c>
      <c r="BO48" s="527">
        <f t="shared" si="71"/>
        <v>43.355833333333322</v>
      </c>
      <c r="BP48" s="527">
        <f t="shared" si="71"/>
        <v>43.355833333333322</v>
      </c>
      <c r="BQ48" s="527">
        <f t="shared" si="71"/>
        <v>43.355833333333322</v>
      </c>
      <c r="BR48" s="527">
        <f t="shared" si="71"/>
        <v>43.355833333333322</v>
      </c>
      <c r="BS48" s="527">
        <f t="shared" si="71"/>
        <v>43.355833333333322</v>
      </c>
      <c r="BT48" s="527">
        <f t="shared" si="71"/>
        <v>43.355833333333322</v>
      </c>
      <c r="BU48" s="527">
        <f t="shared" si="71"/>
        <v>43.355833333333322</v>
      </c>
      <c r="BV48" s="527">
        <f t="shared" si="71"/>
        <v>43.355833333333322</v>
      </c>
      <c r="BW48" s="527">
        <f t="shared" si="71"/>
        <v>43.355833333333322</v>
      </c>
      <c r="BX48" s="527">
        <f t="shared" si="71"/>
        <v>43.355833333333322</v>
      </c>
      <c r="BY48" s="527">
        <f t="shared" si="71"/>
        <v>43.355833333333322</v>
      </c>
      <c r="BZ48" s="537"/>
      <c r="CA48" s="537"/>
      <c r="CB48" s="574"/>
    </row>
    <row r="49" spans="1:80" x14ac:dyDescent="0.3">
      <c r="A49" s="551"/>
      <c r="B49" s="548"/>
      <c r="C49" s="525"/>
      <c r="D49" s="525"/>
      <c r="E49" s="525" t="s">
        <v>29</v>
      </c>
      <c r="F49" s="567"/>
      <c r="G49" s="567"/>
      <c r="H49" s="567"/>
      <c r="I49" s="527">
        <f>I539</f>
        <v>336441.88949012768</v>
      </c>
      <c r="J49" s="527">
        <f t="shared" si="69"/>
        <v>336441.88949012768</v>
      </c>
      <c r="K49" s="527">
        <f t="shared" si="69"/>
        <v>336441.88949012768</v>
      </c>
      <c r="L49" s="527">
        <f t="shared" si="69"/>
        <v>336441.88949012768</v>
      </c>
      <c r="M49" s="527">
        <f t="shared" si="69"/>
        <v>336441.88949012768</v>
      </c>
      <c r="N49" s="527">
        <f t="shared" si="69"/>
        <v>336441.88949012768</v>
      </c>
      <c r="O49" s="529"/>
      <c r="P49" s="564">
        <f>IFERROR(((N49/I49)^(1/5))-1,0)</f>
        <v>0</v>
      </c>
      <c r="Q49" s="537"/>
      <c r="R49" s="527">
        <f t="shared" ref="R49:AW49" si="72">R372</f>
        <v>28036.824124177307</v>
      </c>
      <c r="S49" s="527">
        <f t="shared" si="72"/>
        <v>28036.824124177307</v>
      </c>
      <c r="T49" s="527">
        <f t="shared" si="72"/>
        <v>28036.824124177307</v>
      </c>
      <c r="U49" s="527">
        <f t="shared" si="72"/>
        <v>28036.824124177307</v>
      </c>
      <c r="V49" s="527">
        <f t="shared" si="72"/>
        <v>28036.824124177307</v>
      </c>
      <c r="W49" s="527">
        <f t="shared" si="72"/>
        <v>28036.824124177307</v>
      </c>
      <c r="X49" s="527">
        <f t="shared" si="72"/>
        <v>28036.824124177307</v>
      </c>
      <c r="Y49" s="527">
        <f t="shared" si="72"/>
        <v>28036.824124177307</v>
      </c>
      <c r="Z49" s="527">
        <f t="shared" si="72"/>
        <v>28036.824124177307</v>
      </c>
      <c r="AA49" s="527">
        <f t="shared" si="72"/>
        <v>28036.824124177307</v>
      </c>
      <c r="AB49" s="527">
        <f t="shared" si="72"/>
        <v>28036.824124177307</v>
      </c>
      <c r="AC49" s="527">
        <f t="shared" si="72"/>
        <v>28036.824124177307</v>
      </c>
      <c r="AD49" s="527">
        <f t="shared" si="72"/>
        <v>28036.824124177307</v>
      </c>
      <c r="AE49" s="527">
        <f t="shared" si="72"/>
        <v>28036.824124177307</v>
      </c>
      <c r="AF49" s="527">
        <f t="shared" si="72"/>
        <v>28036.824124177307</v>
      </c>
      <c r="AG49" s="527">
        <f t="shared" si="72"/>
        <v>28036.824124177307</v>
      </c>
      <c r="AH49" s="527">
        <f t="shared" si="72"/>
        <v>28036.824124177307</v>
      </c>
      <c r="AI49" s="527">
        <f t="shared" si="72"/>
        <v>28036.824124177307</v>
      </c>
      <c r="AJ49" s="527">
        <f t="shared" si="72"/>
        <v>28036.824124177307</v>
      </c>
      <c r="AK49" s="527">
        <f t="shared" si="72"/>
        <v>28036.824124177307</v>
      </c>
      <c r="AL49" s="527">
        <f t="shared" si="72"/>
        <v>28036.824124177307</v>
      </c>
      <c r="AM49" s="527">
        <f t="shared" si="72"/>
        <v>28036.824124177307</v>
      </c>
      <c r="AN49" s="527">
        <f t="shared" si="72"/>
        <v>28036.824124177307</v>
      </c>
      <c r="AO49" s="527">
        <f t="shared" si="72"/>
        <v>28036.824124177307</v>
      </c>
      <c r="AP49" s="527">
        <f t="shared" si="72"/>
        <v>28036.824124177307</v>
      </c>
      <c r="AQ49" s="527">
        <f t="shared" si="72"/>
        <v>28036.824124177307</v>
      </c>
      <c r="AR49" s="527">
        <f t="shared" si="72"/>
        <v>28036.824124177307</v>
      </c>
      <c r="AS49" s="527">
        <f t="shared" si="72"/>
        <v>28036.824124177307</v>
      </c>
      <c r="AT49" s="527">
        <f t="shared" si="72"/>
        <v>28036.824124177307</v>
      </c>
      <c r="AU49" s="527">
        <f t="shared" si="72"/>
        <v>28036.824124177307</v>
      </c>
      <c r="AV49" s="527">
        <f t="shared" si="72"/>
        <v>28036.824124177307</v>
      </c>
      <c r="AW49" s="527">
        <f t="shared" si="72"/>
        <v>28036.824124177307</v>
      </c>
      <c r="AX49" s="527">
        <f t="shared" ref="AX49:BY49" si="73">AX372</f>
        <v>28036.824124177307</v>
      </c>
      <c r="AY49" s="527">
        <f t="shared" si="73"/>
        <v>28036.824124177307</v>
      </c>
      <c r="AZ49" s="527">
        <f t="shared" si="73"/>
        <v>28036.824124177307</v>
      </c>
      <c r="BA49" s="527">
        <f t="shared" si="73"/>
        <v>28036.824124177307</v>
      </c>
      <c r="BB49" s="527">
        <f t="shared" si="73"/>
        <v>28036.824124177307</v>
      </c>
      <c r="BC49" s="527">
        <f t="shared" si="73"/>
        <v>28036.824124177307</v>
      </c>
      <c r="BD49" s="527">
        <f t="shared" si="73"/>
        <v>28036.824124177307</v>
      </c>
      <c r="BE49" s="527">
        <f t="shared" si="73"/>
        <v>28036.824124177307</v>
      </c>
      <c r="BF49" s="527">
        <f t="shared" si="73"/>
        <v>28036.824124177307</v>
      </c>
      <c r="BG49" s="527">
        <f t="shared" si="73"/>
        <v>28036.824124177307</v>
      </c>
      <c r="BH49" s="527">
        <f t="shared" si="73"/>
        <v>28036.824124177307</v>
      </c>
      <c r="BI49" s="527">
        <f t="shared" si="73"/>
        <v>28036.824124177307</v>
      </c>
      <c r="BJ49" s="527">
        <f t="shared" si="73"/>
        <v>28036.824124177307</v>
      </c>
      <c r="BK49" s="527">
        <f t="shared" si="73"/>
        <v>28036.824124177307</v>
      </c>
      <c r="BL49" s="527">
        <f t="shared" si="73"/>
        <v>28036.824124177307</v>
      </c>
      <c r="BM49" s="527">
        <f t="shared" si="73"/>
        <v>28036.824124177307</v>
      </c>
      <c r="BN49" s="527">
        <f t="shared" si="73"/>
        <v>28036.824124177307</v>
      </c>
      <c r="BO49" s="527">
        <f t="shared" si="73"/>
        <v>28036.824124177307</v>
      </c>
      <c r="BP49" s="527">
        <f t="shared" si="73"/>
        <v>28036.824124177307</v>
      </c>
      <c r="BQ49" s="527">
        <f t="shared" si="73"/>
        <v>28036.824124177307</v>
      </c>
      <c r="BR49" s="527">
        <f t="shared" si="73"/>
        <v>28036.824124177307</v>
      </c>
      <c r="BS49" s="527">
        <f t="shared" si="73"/>
        <v>28036.824124177307</v>
      </c>
      <c r="BT49" s="527">
        <f t="shared" si="73"/>
        <v>28036.824124177307</v>
      </c>
      <c r="BU49" s="527">
        <f t="shared" si="73"/>
        <v>28036.824124177307</v>
      </c>
      <c r="BV49" s="527">
        <f t="shared" si="73"/>
        <v>28036.824124177307</v>
      </c>
      <c r="BW49" s="527">
        <f t="shared" si="73"/>
        <v>28036.824124177307</v>
      </c>
      <c r="BX49" s="527">
        <f t="shared" si="73"/>
        <v>28036.824124177307</v>
      </c>
      <c r="BY49" s="527">
        <f t="shared" si="73"/>
        <v>28036.824124177307</v>
      </c>
      <c r="BZ49" s="537"/>
      <c r="CA49" s="537"/>
      <c r="CB49" s="574"/>
    </row>
    <row r="50" spans="1:80" x14ac:dyDescent="0.3">
      <c r="A50" s="551"/>
      <c r="B50" s="548"/>
      <c r="C50" s="525"/>
      <c r="D50" s="525"/>
      <c r="E50" s="525" t="s">
        <v>30</v>
      </c>
      <c r="F50" s="567"/>
      <c r="G50" s="567"/>
      <c r="H50" s="567"/>
      <c r="I50" s="527">
        <f>I540</f>
        <v>163016.55999999997</v>
      </c>
      <c r="J50" s="527">
        <f t="shared" si="69"/>
        <v>163016.55999999994</v>
      </c>
      <c r="K50" s="527">
        <f t="shared" si="69"/>
        <v>163016.55999999994</v>
      </c>
      <c r="L50" s="527">
        <f t="shared" si="69"/>
        <v>163016.55999999994</v>
      </c>
      <c r="M50" s="527">
        <f t="shared" si="69"/>
        <v>163016.55999999994</v>
      </c>
      <c r="N50" s="527">
        <f t="shared" si="69"/>
        <v>163016.55999999994</v>
      </c>
      <c r="O50" s="529"/>
      <c r="P50" s="564">
        <f>IFERROR(((N50/I50)^(1/5))-1,0)</f>
        <v>0</v>
      </c>
      <c r="Q50" s="537"/>
      <c r="R50" s="527">
        <f t="shared" ref="R50:AW50" si="74">R380</f>
        <v>13584.713333333331</v>
      </c>
      <c r="S50" s="527">
        <f t="shared" si="74"/>
        <v>13584.713333333331</v>
      </c>
      <c r="T50" s="527">
        <f t="shared" si="74"/>
        <v>13584.713333333331</v>
      </c>
      <c r="U50" s="527">
        <f t="shared" si="74"/>
        <v>13584.713333333331</v>
      </c>
      <c r="V50" s="527">
        <f t="shared" si="74"/>
        <v>13584.713333333331</v>
      </c>
      <c r="W50" s="527">
        <f t="shared" si="74"/>
        <v>13584.713333333331</v>
      </c>
      <c r="X50" s="527">
        <f t="shared" si="74"/>
        <v>13584.713333333331</v>
      </c>
      <c r="Y50" s="527">
        <f t="shared" si="74"/>
        <v>13584.713333333331</v>
      </c>
      <c r="Z50" s="527">
        <f t="shared" si="74"/>
        <v>13584.713333333331</v>
      </c>
      <c r="AA50" s="527">
        <f t="shared" si="74"/>
        <v>13584.713333333331</v>
      </c>
      <c r="AB50" s="527">
        <f t="shared" si="74"/>
        <v>13584.713333333331</v>
      </c>
      <c r="AC50" s="527">
        <f t="shared" si="74"/>
        <v>13584.713333333331</v>
      </c>
      <c r="AD50" s="527">
        <f t="shared" si="74"/>
        <v>13584.713333333331</v>
      </c>
      <c r="AE50" s="527">
        <f t="shared" si="74"/>
        <v>13584.713333333331</v>
      </c>
      <c r="AF50" s="527">
        <f t="shared" si="74"/>
        <v>13584.713333333331</v>
      </c>
      <c r="AG50" s="527">
        <f t="shared" si="74"/>
        <v>13584.713333333331</v>
      </c>
      <c r="AH50" s="527">
        <f t="shared" si="74"/>
        <v>13584.713333333331</v>
      </c>
      <c r="AI50" s="527">
        <f t="shared" si="74"/>
        <v>13584.713333333331</v>
      </c>
      <c r="AJ50" s="527">
        <f t="shared" si="74"/>
        <v>13584.713333333331</v>
      </c>
      <c r="AK50" s="527">
        <f t="shared" si="74"/>
        <v>13584.713333333331</v>
      </c>
      <c r="AL50" s="527">
        <f t="shared" si="74"/>
        <v>13584.713333333331</v>
      </c>
      <c r="AM50" s="527">
        <f t="shared" si="74"/>
        <v>13584.713333333331</v>
      </c>
      <c r="AN50" s="527">
        <f t="shared" si="74"/>
        <v>13584.713333333331</v>
      </c>
      <c r="AO50" s="527">
        <f t="shared" si="74"/>
        <v>13584.713333333331</v>
      </c>
      <c r="AP50" s="527">
        <f t="shared" si="74"/>
        <v>13584.713333333331</v>
      </c>
      <c r="AQ50" s="527">
        <f t="shared" si="74"/>
        <v>13584.713333333331</v>
      </c>
      <c r="AR50" s="527">
        <f t="shared" si="74"/>
        <v>13584.713333333331</v>
      </c>
      <c r="AS50" s="527">
        <f t="shared" si="74"/>
        <v>13584.713333333331</v>
      </c>
      <c r="AT50" s="527">
        <f t="shared" si="74"/>
        <v>13584.713333333331</v>
      </c>
      <c r="AU50" s="527">
        <f t="shared" si="74"/>
        <v>13584.713333333331</v>
      </c>
      <c r="AV50" s="527">
        <f t="shared" si="74"/>
        <v>13584.713333333331</v>
      </c>
      <c r="AW50" s="527">
        <f t="shared" si="74"/>
        <v>13584.713333333331</v>
      </c>
      <c r="AX50" s="527">
        <f t="shared" ref="AX50:BY50" si="75">AX380</f>
        <v>13584.713333333331</v>
      </c>
      <c r="AY50" s="527">
        <f t="shared" si="75"/>
        <v>13584.713333333331</v>
      </c>
      <c r="AZ50" s="527">
        <f t="shared" si="75"/>
        <v>13584.713333333331</v>
      </c>
      <c r="BA50" s="527">
        <f t="shared" si="75"/>
        <v>13584.713333333331</v>
      </c>
      <c r="BB50" s="527">
        <f t="shared" si="75"/>
        <v>13584.713333333331</v>
      </c>
      <c r="BC50" s="527">
        <f t="shared" si="75"/>
        <v>13584.713333333331</v>
      </c>
      <c r="BD50" s="527">
        <f t="shared" si="75"/>
        <v>13584.713333333331</v>
      </c>
      <c r="BE50" s="527">
        <f t="shared" si="75"/>
        <v>13584.713333333331</v>
      </c>
      <c r="BF50" s="527">
        <f t="shared" si="75"/>
        <v>13584.713333333331</v>
      </c>
      <c r="BG50" s="527">
        <f t="shared" si="75"/>
        <v>13584.713333333331</v>
      </c>
      <c r="BH50" s="527">
        <f t="shared" si="75"/>
        <v>13584.713333333331</v>
      </c>
      <c r="BI50" s="527">
        <f t="shared" si="75"/>
        <v>13584.713333333331</v>
      </c>
      <c r="BJ50" s="527">
        <f t="shared" si="75"/>
        <v>13584.713333333331</v>
      </c>
      <c r="BK50" s="527">
        <f t="shared" si="75"/>
        <v>13584.713333333331</v>
      </c>
      <c r="BL50" s="527">
        <f t="shared" si="75"/>
        <v>13584.713333333331</v>
      </c>
      <c r="BM50" s="527">
        <f t="shared" si="75"/>
        <v>13584.713333333331</v>
      </c>
      <c r="BN50" s="527">
        <f t="shared" si="75"/>
        <v>13584.713333333331</v>
      </c>
      <c r="BO50" s="527">
        <f t="shared" si="75"/>
        <v>13584.713333333331</v>
      </c>
      <c r="BP50" s="527">
        <f t="shared" si="75"/>
        <v>13584.713333333331</v>
      </c>
      <c r="BQ50" s="527">
        <f t="shared" si="75"/>
        <v>13584.713333333331</v>
      </c>
      <c r="BR50" s="527">
        <f t="shared" si="75"/>
        <v>13584.713333333331</v>
      </c>
      <c r="BS50" s="527">
        <f t="shared" si="75"/>
        <v>13584.713333333331</v>
      </c>
      <c r="BT50" s="527">
        <f t="shared" si="75"/>
        <v>13584.713333333331</v>
      </c>
      <c r="BU50" s="527">
        <f t="shared" si="75"/>
        <v>13584.713333333331</v>
      </c>
      <c r="BV50" s="527">
        <f t="shared" si="75"/>
        <v>13584.713333333331</v>
      </c>
      <c r="BW50" s="527">
        <f t="shared" si="75"/>
        <v>13584.713333333331</v>
      </c>
      <c r="BX50" s="527">
        <f t="shared" si="75"/>
        <v>13584.713333333331</v>
      </c>
      <c r="BY50" s="527">
        <f t="shared" si="75"/>
        <v>13584.713333333331</v>
      </c>
      <c r="BZ50" s="537"/>
      <c r="CA50" s="537"/>
      <c r="CB50" s="574"/>
    </row>
    <row r="51" spans="1:80" x14ac:dyDescent="0.3">
      <c r="A51" s="551"/>
      <c r="B51" s="548"/>
      <c r="C51" s="525"/>
      <c r="D51" s="525"/>
      <c r="E51" s="525" t="s">
        <v>31</v>
      </c>
      <c r="F51" s="567"/>
      <c r="G51" s="567"/>
      <c r="H51" s="567"/>
      <c r="I51" s="527">
        <f>I541</f>
        <v>392027.8403519998</v>
      </c>
      <c r="J51" s="527">
        <f t="shared" si="69"/>
        <v>392027.84035199974</v>
      </c>
      <c r="K51" s="527">
        <f t="shared" si="69"/>
        <v>392027.84035199974</v>
      </c>
      <c r="L51" s="527">
        <f t="shared" si="69"/>
        <v>392027.84035199974</v>
      </c>
      <c r="M51" s="527">
        <f t="shared" si="69"/>
        <v>392027.84035199974</v>
      </c>
      <c r="N51" s="527">
        <f t="shared" si="69"/>
        <v>392027.84035199974</v>
      </c>
      <c r="O51" s="529"/>
      <c r="P51" s="564">
        <f>IFERROR(((N51/I51)^(1/5))-1,0)</f>
        <v>0</v>
      </c>
      <c r="Q51" s="537"/>
      <c r="R51" s="527">
        <f t="shared" ref="R51:AW51" si="76">R388</f>
        <v>32668.986695999978</v>
      </c>
      <c r="S51" s="527">
        <f t="shared" si="76"/>
        <v>32668.986695999978</v>
      </c>
      <c r="T51" s="527">
        <f t="shared" si="76"/>
        <v>32668.986695999978</v>
      </c>
      <c r="U51" s="527">
        <f t="shared" si="76"/>
        <v>32668.986695999978</v>
      </c>
      <c r="V51" s="527">
        <f t="shared" si="76"/>
        <v>32668.986695999978</v>
      </c>
      <c r="W51" s="527">
        <f t="shared" si="76"/>
        <v>32668.986695999978</v>
      </c>
      <c r="X51" s="527">
        <f t="shared" si="76"/>
        <v>32668.986695999978</v>
      </c>
      <c r="Y51" s="527">
        <f t="shared" si="76"/>
        <v>32668.986695999978</v>
      </c>
      <c r="Z51" s="527">
        <f t="shared" si="76"/>
        <v>32668.986695999978</v>
      </c>
      <c r="AA51" s="527">
        <f t="shared" si="76"/>
        <v>32668.986695999978</v>
      </c>
      <c r="AB51" s="527">
        <f t="shared" si="76"/>
        <v>32668.986695999978</v>
      </c>
      <c r="AC51" s="527">
        <f t="shared" si="76"/>
        <v>32668.986695999978</v>
      </c>
      <c r="AD51" s="527">
        <f t="shared" si="76"/>
        <v>32668.986695999978</v>
      </c>
      <c r="AE51" s="527">
        <f t="shared" si="76"/>
        <v>32668.986695999978</v>
      </c>
      <c r="AF51" s="527">
        <f t="shared" si="76"/>
        <v>32668.986695999978</v>
      </c>
      <c r="AG51" s="527">
        <f t="shared" si="76"/>
        <v>32668.986695999978</v>
      </c>
      <c r="AH51" s="527">
        <f t="shared" si="76"/>
        <v>32668.986695999978</v>
      </c>
      <c r="AI51" s="527">
        <f t="shared" si="76"/>
        <v>32668.986695999978</v>
      </c>
      <c r="AJ51" s="527">
        <f t="shared" si="76"/>
        <v>32668.986695999978</v>
      </c>
      <c r="AK51" s="527">
        <f t="shared" si="76"/>
        <v>32668.986695999978</v>
      </c>
      <c r="AL51" s="527">
        <f t="shared" si="76"/>
        <v>32668.986695999978</v>
      </c>
      <c r="AM51" s="527">
        <f t="shared" si="76"/>
        <v>32668.986695999978</v>
      </c>
      <c r="AN51" s="527">
        <f t="shared" si="76"/>
        <v>32668.986695999978</v>
      </c>
      <c r="AO51" s="527">
        <f t="shared" si="76"/>
        <v>32668.986695999978</v>
      </c>
      <c r="AP51" s="527">
        <f t="shared" si="76"/>
        <v>32668.986695999978</v>
      </c>
      <c r="AQ51" s="527">
        <f t="shared" si="76"/>
        <v>32668.986695999978</v>
      </c>
      <c r="AR51" s="527">
        <f t="shared" si="76"/>
        <v>32668.986695999978</v>
      </c>
      <c r="AS51" s="527">
        <f t="shared" si="76"/>
        <v>32668.986695999978</v>
      </c>
      <c r="AT51" s="527">
        <f t="shared" si="76"/>
        <v>32668.986695999978</v>
      </c>
      <c r="AU51" s="527">
        <f t="shared" si="76"/>
        <v>32668.986695999978</v>
      </c>
      <c r="AV51" s="527">
        <f t="shared" si="76"/>
        <v>32668.986695999978</v>
      </c>
      <c r="AW51" s="527">
        <f t="shared" si="76"/>
        <v>32668.986695999978</v>
      </c>
      <c r="AX51" s="527">
        <f t="shared" ref="AX51:BY51" si="77">AX388</f>
        <v>32668.986695999978</v>
      </c>
      <c r="AY51" s="527">
        <f t="shared" si="77"/>
        <v>32668.986695999978</v>
      </c>
      <c r="AZ51" s="527">
        <f t="shared" si="77"/>
        <v>32668.986695999978</v>
      </c>
      <c r="BA51" s="527">
        <f t="shared" si="77"/>
        <v>32668.986695999978</v>
      </c>
      <c r="BB51" s="527">
        <f t="shared" si="77"/>
        <v>32668.986695999978</v>
      </c>
      <c r="BC51" s="527">
        <f t="shared" si="77"/>
        <v>32668.986695999978</v>
      </c>
      <c r="BD51" s="527">
        <f t="shared" si="77"/>
        <v>32668.986695999978</v>
      </c>
      <c r="BE51" s="527">
        <f t="shared" si="77"/>
        <v>32668.986695999978</v>
      </c>
      <c r="BF51" s="527">
        <f t="shared" si="77"/>
        <v>32668.986695999978</v>
      </c>
      <c r="BG51" s="527">
        <f t="shared" si="77"/>
        <v>32668.986695999978</v>
      </c>
      <c r="BH51" s="527">
        <f t="shared" si="77"/>
        <v>32668.986695999978</v>
      </c>
      <c r="BI51" s="527">
        <f t="shared" si="77"/>
        <v>32668.986695999978</v>
      </c>
      <c r="BJ51" s="527">
        <f t="shared" si="77"/>
        <v>32668.986695999978</v>
      </c>
      <c r="BK51" s="527">
        <f t="shared" si="77"/>
        <v>32668.986695999978</v>
      </c>
      <c r="BL51" s="527">
        <f t="shared" si="77"/>
        <v>32668.986695999978</v>
      </c>
      <c r="BM51" s="527">
        <f t="shared" si="77"/>
        <v>32668.986695999978</v>
      </c>
      <c r="BN51" s="527">
        <f t="shared" si="77"/>
        <v>32668.986695999978</v>
      </c>
      <c r="BO51" s="527">
        <f t="shared" si="77"/>
        <v>32668.986695999978</v>
      </c>
      <c r="BP51" s="527">
        <f t="shared" si="77"/>
        <v>32668.986695999978</v>
      </c>
      <c r="BQ51" s="527">
        <f t="shared" si="77"/>
        <v>32668.986695999978</v>
      </c>
      <c r="BR51" s="527">
        <f t="shared" si="77"/>
        <v>32668.986695999978</v>
      </c>
      <c r="BS51" s="527">
        <f t="shared" si="77"/>
        <v>32668.986695999978</v>
      </c>
      <c r="BT51" s="527">
        <f t="shared" si="77"/>
        <v>32668.986695999978</v>
      </c>
      <c r="BU51" s="527">
        <f t="shared" si="77"/>
        <v>32668.986695999978</v>
      </c>
      <c r="BV51" s="527">
        <f t="shared" si="77"/>
        <v>32668.986695999978</v>
      </c>
      <c r="BW51" s="527">
        <f t="shared" si="77"/>
        <v>32668.986695999978</v>
      </c>
      <c r="BX51" s="527">
        <f t="shared" si="77"/>
        <v>32668.986695999978</v>
      </c>
      <c r="BY51" s="527">
        <f t="shared" si="77"/>
        <v>32668.986695999978</v>
      </c>
      <c r="BZ51" s="537"/>
      <c r="CA51" s="537"/>
      <c r="CB51" s="574"/>
    </row>
    <row r="52" spans="1:80" x14ac:dyDescent="0.3">
      <c r="A52" s="551"/>
      <c r="B52" s="548"/>
      <c r="C52" s="525"/>
      <c r="D52" s="525"/>
      <c r="E52" s="572" t="s">
        <v>32</v>
      </c>
      <c r="F52" s="573"/>
      <c r="G52" s="573"/>
      <c r="H52" s="573"/>
      <c r="I52" s="532">
        <f>I542</f>
        <v>892006.55984212738</v>
      </c>
      <c r="J52" s="532">
        <f t="shared" si="69"/>
        <v>892006.55984212726</v>
      </c>
      <c r="K52" s="532">
        <f t="shared" si="69"/>
        <v>892006.55984212726</v>
      </c>
      <c r="L52" s="532">
        <f t="shared" si="69"/>
        <v>892006.55984212726</v>
      </c>
      <c r="M52" s="532">
        <f t="shared" si="69"/>
        <v>892006.55984212726</v>
      </c>
      <c r="N52" s="532">
        <f t="shared" si="69"/>
        <v>892006.55984212726</v>
      </c>
      <c r="O52" s="536"/>
      <c r="P52" s="568">
        <f>IFERROR(((N52/I52)^(1/5))-1,0)</f>
        <v>0</v>
      </c>
      <c r="Q52" s="537"/>
      <c r="R52" s="532">
        <f t="shared" ref="R52:AW52" si="78">SUM(R48:R51)</f>
        <v>74333.879986843953</v>
      </c>
      <c r="S52" s="530">
        <f t="shared" si="78"/>
        <v>74333.879986843953</v>
      </c>
      <c r="T52" s="532">
        <f t="shared" si="78"/>
        <v>74333.879986843953</v>
      </c>
      <c r="U52" s="532">
        <f t="shared" si="78"/>
        <v>74333.879986843953</v>
      </c>
      <c r="V52" s="532">
        <f t="shared" si="78"/>
        <v>74333.879986843953</v>
      </c>
      <c r="W52" s="532">
        <f t="shared" si="78"/>
        <v>74333.879986843953</v>
      </c>
      <c r="X52" s="532">
        <f t="shared" si="78"/>
        <v>74333.879986843953</v>
      </c>
      <c r="Y52" s="532">
        <f t="shared" si="78"/>
        <v>74333.879986843953</v>
      </c>
      <c r="Z52" s="532">
        <f t="shared" si="78"/>
        <v>74333.879986843953</v>
      </c>
      <c r="AA52" s="532">
        <f t="shared" si="78"/>
        <v>74333.879986843953</v>
      </c>
      <c r="AB52" s="532">
        <f t="shared" si="78"/>
        <v>74333.879986843953</v>
      </c>
      <c r="AC52" s="532">
        <f t="shared" si="78"/>
        <v>74333.879986843953</v>
      </c>
      <c r="AD52" s="532">
        <f t="shared" si="78"/>
        <v>74333.879986843953</v>
      </c>
      <c r="AE52" s="532">
        <f t="shared" si="78"/>
        <v>74333.879986843953</v>
      </c>
      <c r="AF52" s="532">
        <f t="shared" si="78"/>
        <v>74333.879986843953</v>
      </c>
      <c r="AG52" s="532">
        <f t="shared" si="78"/>
        <v>74333.879986843953</v>
      </c>
      <c r="AH52" s="532">
        <f t="shared" si="78"/>
        <v>74333.879986843953</v>
      </c>
      <c r="AI52" s="532">
        <f t="shared" si="78"/>
        <v>74333.879986843953</v>
      </c>
      <c r="AJ52" s="532">
        <f t="shared" si="78"/>
        <v>74333.879986843953</v>
      </c>
      <c r="AK52" s="532">
        <f t="shared" si="78"/>
        <v>74333.879986843953</v>
      </c>
      <c r="AL52" s="532">
        <f t="shared" si="78"/>
        <v>74333.879986843953</v>
      </c>
      <c r="AM52" s="532">
        <f t="shared" si="78"/>
        <v>74333.879986843953</v>
      </c>
      <c r="AN52" s="532">
        <f t="shared" si="78"/>
        <v>74333.879986843953</v>
      </c>
      <c r="AO52" s="532">
        <f t="shared" si="78"/>
        <v>74333.879986843953</v>
      </c>
      <c r="AP52" s="532">
        <f t="shared" si="78"/>
        <v>74333.879986843953</v>
      </c>
      <c r="AQ52" s="532">
        <f t="shared" si="78"/>
        <v>74333.879986843953</v>
      </c>
      <c r="AR52" s="532">
        <f t="shared" si="78"/>
        <v>74333.879986843953</v>
      </c>
      <c r="AS52" s="532">
        <f t="shared" si="78"/>
        <v>74333.879986843953</v>
      </c>
      <c r="AT52" s="532">
        <f t="shared" si="78"/>
        <v>74333.879986843953</v>
      </c>
      <c r="AU52" s="532">
        <f t="shared" si="78"/>
        <v>74333.879986843953</v>
      </c>
      <c r="AV52" s="532">
        <f t="shared" si="78"/>
        <v>74333.879986843953</v>
      </c>
      <c r="AW52" s="532">
        <f t="shared" si="78"/>
        <v>74333.879986843953</v>
      </c>
      <c r="AX52" s="532">
        <f t="shared" ref="AX52:BY52" si="79">SUM(AX48:AX51)</f>
        <v>74333.879986843953</v>
      </c>
      <c r="AY52" s="532">
        <f t="shared" si="79"/>
        <v>74333.879986843953</v>
      </c>
      <c r="AZ52" s="532">
        <f t="shared" si="79"/>
        <v>74333.879986843953</v>
      </c>
      <c r="BA52" s="532">
        <f t="shared" si="79"/>
        <v>74333.879986843953</v>
      </c>
      <c r="BB52" s="532">
        <f t="shared" si="79"/>
        <v>74333.879986843953</v>
      </c>
      <c r="BC52" s="532">
        <f t="shared" si="79"/>
        <v>74333.879986843953</v>
      </c>
      <c r="BD52" s="532">
        <f t="shared" si="79"/>
        <v>74333.879986843953</v>
      </c>
      <c r="BE52" s="532">
        <f t="shared" si="79"/>
        <v>74333.879986843953</v>
      </c>
      <c r="BF52" s="532">
        <f t="shared" si="79"/>
        <v>74333.879986843953</v>
      </c>
      <c r="BG52" s="532">
        <f t="shared" si="79"/>
        <v>74333.879986843953</v>
      </c>
      <c r="BH52" s="532">
        <f t="shared" si="79"/>
        <v>74333.879986843953</v>
      </c>
      <c r="BI52" s="532">
        <f t="shared" si="79"/>
        <v>74333.879986843953</v>
      </c>
      <c r="BJ52" s="532">
        <f t="shared" si="79"/>
        <v>74333.879986843953</v>
      </c>
      <c r="BK52" s="532">
        <f t="shared" si="79"/>
        <v>74333.879986843953</v>
      </c>
      <c r="BL52" s="532">
        <f t="shared" si="79"/>
        <v>74333.879986843953</v>
      </c>
      <c r="BM52" s="532">
        <f t="shared" si="79"/>
        <v>74333.879986843953</v>
      </c>
      <c r="BN52" s="532">
        <f t="shared" si="79"/>
        <v>74333.879986843953</v>
      </c>
      <c r="BO52" s="532">
        <f t="shared" si="79"/>
        <v>74333.879986843953</v>
      </c>
      <c r="BP52" s="532">
        <f t="shared" si="79"/>
        <v>74333.879986843953</v>
      </c>
      <c r="BQ52" s="532">
        <f t="shared" si="79"/>
        <v>74333.879986843953</v>
      </c>
      <c r="BR52" s="532">
        <f t="shared" si="79"/>
        <v>74333.879986843953</v>
      </c>
      <c r="BS52" s="532">
        <f t="shared" si="79"/>
        <v>74333.879986843953</v>
      </c>
      <c r="BT52" s="532">
        <f t="shared" si="79"/>
        <v>74333.879986843953</v>
      </c>
      <c r="BU52" s="532">
        <f t="shared" si="79"/>
        <v>74333.879986843953</v>
      </c>
      <c r="BV52" s="532">
        <f t="shared" si="79"/>
        <v>74333.879986843953</v>
      </c>
      <c r="BW52" s="532">
        <f t="shared" si="79"/>
        <v>74333.879986843953</v>
      </c>
      <c r="BX52" s="532">
        <f t="shared" si="79"/>
        <v>74333.879986843953</v>
      </c>
      <c r="BY52" s="532">
        <f t="shared" si="79"/>
        <v>74333.879986843953</v>
      </c>
      <c r="BZ52" s="537"/>
      <c r="CA52" s="537"/>
      <c r="CB52" s="574"/>
    </row>
    <row r="53" spans="1:80" x14ac:dyDescent="0.3">
      <c r="A53" s="551"/>
      <c r="B53" s="548"/>
      <c r="C53" s="525"/>
      <c r="D53" s="525"/>
      <c r="E53" s="525"/>
      <c r="F53" s="529"/>
      <c r="G53" s="529"/>
      <c r="H53" s="529"/>
      <c r="I53" s="529"/>
      <c r="J53" s="529"/>
      <c r="K53" s="529"/>
      <c r="L53" s="529"/>
      <c r="M53" s="529"/>
      <c r="N53" s="529"/>
      <c r="O53" s="529"/>
      <c r="P53" s="562"/>
      <c r="Q53" s="537"/>
      <c r="R53" s="529"/>
      <c r="S53" s="529"/>
      <c r="T53" s="529"/>
      <c r="U53" s="529"/>
      <c r="V53" s="529"/>
      <c r="W53" s="529"/>
      <c r="X53" s="529"/>
      <c r="Y53" s="529"/>
      <c r="Z53" s="529"/>
      <c r="AA53" s="529"/>
      <c r="AB53" s="529"/>
      <c r="AC53" s="529"/>
      <c r="AD53" s="529"/>
      <c r="AE53" s="529"/>
      <c r="AF53" s="529"/>
      <c r="AG53" s="529"/>
      <c r="AH53" s="529"/>
      <c r="AI53" s="529"/>
      <c r="AJ53" s="529"/>
      <c r="AK53" s="529"/>
      <c r="AL53" s="529"/>
      <c r="AM53" s="529"/>
      <c r="AN53" s="529"/>
      <c r="AO53" s="529"/>
      <c r="AP53" s="529"/>
      <c r="AQ53" s="529"/>
      <c r="AR53" s="529"/>
      <c r="AS53" s="529"/>
      <c r="AT53" s="529"/>
      <c r="AU53" s="529"/>
      <c r="AV53" s="529"/>
      <c r="AW53" s="529"/>
      <c r="AX53" s="529"/>
      <c r="AY53" s="529"/>
      <c r="AZ53" s="529"/>
      <c r="BA53" s="529"/>
      <c r="BB53" s="529"/>
      <c r="BC53" s="529"/>
      <c r="BD53" s="529"/>
      <c r="BE53" s="529"/>
      <c r="BF53" s="529"/>
      <c r="BG53" s="529"/>
      <c r="BH53" s="529"/>
      <c r="BI53" s="529"/>
      <c r="BJ53" s="529"/>
      <c r="BK53" s="529"/>
      <c r="BL53" s="529"/>
      <c r="BM53" s="529"/>
      <c r="BN53" s="529"/>
      <c r="BO53" s="529"/>
      <c r="BP53" s="529"/>
      <c r="BQ53" s="529"/>
      <c r="BR53" s="529"/>
      <c r="BS53" s="529"/>
      <c r="BT53" s="529"/>
      <c r="BU53" s="529"/>
      <c r="BV53" s="529"/>
      <c r="BW53" s="529"/>
      <c r="BX53" s="529"/>
      <c r="BY53" s="529"/>
      <c r="BZ53" s="537"/>
      <c r="CA53" s="537"/>
      <c r="CB53" s="537"/>
    </row>
    <row r="54" spans="1:80" x14ac:dyDescent="0.3">
      <c r="A54" s="551"/>
      <c r="B54" s="548"/>
      <c r="C54" s="525"/>
      <c r="D54" s="525"/>
      <c r="E54" s="578" t="s">
        <v>33</v>
      </c>
      <c r="F54" s="579"/>
      <c r="G54" s="579"/>
      <c r="H54" s="579"/>
      <c r="I54" s="535">
        <f>I544</f>
        <v>12839784.756129691</v>
      </c>
      <c r="J54" s="535">
        <f>SUMIF($R$2:$BY$2,J$3,$R54:$BY54)</f>
        <v>13526565.114547173</v>
      </c>
      <c r="K54" s="534">
        <f>SUMIF($R$2:$BY$2,K$3,$R54:$BY54)</f>
        <v>14340436.309906026</v>
      </c>
      <c r="L54" s="534">
        <f>SUMIF($R$2:$BY$2,L$3,$R54:$BY54)</f>
        <v>15173908.900817856</v>
      </c>
      <c r="M54" s="534">
        <f>SUMIF($R$2:$BY$2,M$3,$R54:$BY54)</f>
        <v>16024932.097543234</v>
      </c>
      <c r="N54" s="535">
        <f>SUMIF($R$2:$BY$2,N$3,$R54:$BY54)</f>
        <v>16917489.68244319</v>
      </c>
      <c r="O54" s="536"/>
      <c r="P54" s="568">
        <f>IFERROR(((N54/I54)^(1/5))-1,0)</f>
        <v>5.6709557333616933E-2</v>
      </c>
      <c r="Q54" s="537"/>
      <c r="R54" s="535">
        <f t="shared" ref="R54:AW54" si="80">R39+R45+R52</f>
        <v>1114333.5973902745</v>
      </c>
      <c r="S54" s="535">
        <f t="shared" si="80"/>
        <v>1114333.5973902745</v>
      </c>
      <c r="T54" s="535">
        <f t="shared" si="80"/>
        <v>1114333.5973902745</v>
      </c>
      <c r="U54" s="535">
        <f t="shared" si="80"/>
        <v>1114333.5973902745</v>
      </c>
      <c r="V54" s="535">
        <f t="shared" si="80"/>
        <v>1114333.5973902745</v>
      </c>
      <c r="W54" s="535">
        <f t="shared" si="80"/>
        <v>1114333.5973902745</v>
      </c>
      <c r="X54" s="535">
        <f t="shared" si="80"/>
        <v>1140093.9217009214</v>
      </c>
      <c r="Y54" s="535">
        <f t="shared" si="80"/>
        <v>1140093.9217009214</v>
      </c>
      <c r="Z54" s="535">
        <f t="shared" si="80"/>
        <v>1140093.9217009214</v>
      </c>
      <c r="AA54" s="535">
        <f t="shared" si="80"/>
        <v>1140093.9217009214</v>
      </c>
      <c r="AB54" s="535">
        <f t="shared" si="80"/>
        <v>1140093.9217009214</v>
      </c>
      <c r="AC54" s="535">
        <f t="shared" si="80"/>
        <v>1140093.9217009214</v>
      </c>
      <c r="AD54" s="534">
        <f t="shared" si="80"/>
        <v>1178316.9281725422</v>
      </c>
      <c r="AE54" s="534">
        <f t="shared" si="80"/>
        <v>1178316.9281725422</v>
      </c>
      <c r="AF54" s="534">
        <f t="shared" si="80"/>
        <v>1178316.9281725422</v>
      </c>
      <c r="AG54" s="534">
        <f t="shared" si="80"/>
        <v>1178316.9281725422</v>
      </c>
      <c r="AH54" s="534">
        <f t="shared" si="80"/>
        <v>1178316.9281725422</v>
      </c>
      <c r="AI54" s="534">
        <f t="shared" si="80"/>
        <v>1178316.9281725422</v>
      </c>
      <c r="AJ54" s="534">
        <f t="shared" si="80"/>
        <v>1211755.7901451292</v>
      </c>
      <c r="AK54" s="534">
        <f t="shared" si="80"/>
        <v>1211755.7901451292</v>
      </c>
      <c r="AL54" s="534">
        <f t="shared" si="80"/>
        <v>1211755.7901451292</v>
      </c>
      <c r="AM54" s="534">
        <f t="shared" si="80"/>
        <v>1211755.7901451292</v>
      </c>
      <c r="AN54" s="534">
        <f t="shared" si="80"/>
        <v>1211755.7901451292</v>
      </c>
      <c r="AO54" s="534">
        <f t="shared" si="80"/>
        <v>1211755.7901451292</v>
      </c>
      <c r="AP54" s="534">
        <f t="shared" si="80"/>
        <v>1243672.6600240872</v>
      </c>
      <c r="AQ54" s="534">
        <f t="shared" si="80"/>
        <v>1243672.6600240872</v>
      </c>
      <c r="AR54" s="534">
        <f t="shared" si="80"/>
        <v>1243672.6600240872</v>
      </c>
      <c r="AS54" s="534">
        <f t="shared" si="80"/>
        <v>1243672.6600240872</v>
      </c>
      <c r="AT54" s="534">
        <f t="shared" si="80"/>
        <v>1243672.6600240872</v>
      </c>
      <c r="AU54" s="534">
        <f t="shared" si="80"/>
        <v>1243672.6600240872</v>
      </c>
      <c r="AV54" s="534">
        <f t="shared" si="80"/>
        <v>1285312.1567788895</v>
      </c>
      <c r="AW54" s="534">
        <f t="shared" si="80"/>
        <v>1285312.1567788895</v>
      </c>
      <c r="AX54" s="534">
        <f t="shared" ref="AX54:BY54" si="81">AX39+AX45+AX52</f>
        <v>1285312.1567788895</v>
      </c>
      <c r="AY54" s="534">
        <f t="shared" si="81"/>
        <v>1285312.1567788895</v>
      </c>
      <c r="AZ54" s="534">
        <f t="shared" si="81"/>
        <v>1285312.1567788895</v>
      </c>
      <c r="BA54" s="534">
        <f t="shared" si="81"/>
        <v>1285312.1567788895</v>
      </c>
      <c r="BB54" s="534">
        <f t="shared" si="81"/>
        <v>1310224.1716788723</v>
      </c>
      <c r="BC54" s="534">
        <f t="shared" si="81"/>
        <v>1310224.1716788723</v>
      </c>
      <c r="BD54" s="534">
        <f t="shared" si="81"/>
        <v>1310224.1716788723</v>
      </c>
      <c r="BE54" s="534">
        <f t="shared" si="81"/>
        <v>1310224.1716788723</v>
      </c>
      <c r="BF54" s="534">
        <f t="shared" si="81"/>
        <v>1310224.1716788723</v>
      </c>
      <c r="BG54" s="534">
        <f t="shared" si="81"/>
        <v>1310224.1716788723</v>
      </c>
      <c r="BH54" s="534">
        <f t="shared" si="81"/>
        <v>1360597.8445783334</v>
      </c>
      <c r="BI54" s="534">
        <f t="shared" si="81"/>
        <v>1360597.8445783334</v>
      </c>
      <c r="BJ54" s="534">
        <f t="shared" si="81"/>
        <v>1360597.8445783334</v>
      </c>
      <c r="BK54" s="534">
        <f t="shared" si="81"/>
        <v>1360597.8445783334</v>
      </c>
      <c r="BL54" s="534">
        <f t="shared" si="81"/>
        <v>1360597.8445783334</v>
      </c>
      <c r="BM54" s="534">
        <f t="shared" si="81"/>
        <v>1360597.8445783334</v>
      </c>
      <c r="BN54" s="534">
        <f t="shared" si="81"/>
        <v>1379957.1278726459</v>
      </c>
      <c r="BO54" s="534">
        <f t="shared" si="81"/>
        <v>1379957.1278726459</v>
      </c>
      <c r="BP54" s="534">
        <f t="shared" si="81"/>
        <v>1379957.1278726459</v>
      </c>
      <c r="BQ54" s="534">
        <f t="shared" si="81"/>
        <v>1379957.1278726459</v>
      </c>
      <c r="BR54" s="534">
        <f t="shared" si="81"/>
        <v>1379957.1278726459</v>
      </c>
      <c r="BS54" s="534">
        <f t="shared" si="81"/>
        <v>1379957.1278726459</v>
      </c>
      <c r="BT54" s="534">
        <f t="shared" si="81"/>
        <v>1439624.4858678866</v>
      </c>
      <c r="BU54" s="534">
        <f t="shared" si="81"/>
        <v>1439624.4858678866</v>
      </c>
      <c r="BV54" s="534">
        <f t="shared" si="81"/>
        <v>1439624.4858678866</v>
      </c>
      <c r="BW54" s="534">
        <f t="shared" si="81"/>
        <v>1439624.4858678866</v>
      </c>
      <c r="BX54" s="534">
        <f t="shared" si="81"/>
        <v>1439624.4858678866</v>
      </c>
      <c r="BY54" s="534">
        <f t="shared" si="81"/>
        <v>1439624.4858678866</v>
      </c>
      <c r="BZ54" s="537"/>
      <c r="CA54" s="537"/>
      <c r="CB54" s="574"/>
    </row>
    <row r="55" spans="1:80" x14ac:dyDescent="0.3">
      <c r="A55" s="551"/>
      <c r="B55" s="548"/>
      <c r="C55" s="525"/>
      <c r="D55" s="525"/>
      <c r="E55" s="525"/>
      <c r="F55" s="529"/>
      <c r="G55" s="529"/>
      <c r="H55" s="529"/>
      <c r="I55" s="529"/>
      <c r="J55" s="529"/>
      <c r="K55" s="529"/>
      <c r="L55" s="529"/>
      <c r="M55" s="529"/>
      <c r="N55" s="529"/>
      <c r="O55" s="529"/>
      <c r="P55" s="562"/>
      <c r="Q55" s="537"/>
      <c r="R55" s="529"/>
      <c r="S55" s="529"/>
      <c r="T55" s="529"/>
      <c r="U55" s="529"/>
      <c r="V55" s="529"/>
      <c r="W55" s="529"/>
      <c r="X55" s="529"/>
      <c r="Y55" s="529"/>
      <c r="Z55" s="529"/>
      <c r="AA55" s="529"/>
      <c r="AB55" s="529"/>
      <c r="AC55" s="529"/>
      <c r="AD55" s="529"/>
      <c r="AE55" s="529"/>
      <c r="AF55" s="529"/>
      <c r="AG55" s="529"/>
      <c r="AH55" s="529"/>
      <c r="AI55" s="529"/>
      <c r="AJ55" s="529"/>
      <c r="AK55" s="529"/>
      <c r="AL55" s="529"/>
      <c r="AM55" s="529"/>
      <c r="AN55" s="529"/>
      <c r="AO55" s="529"/>
      <c r="AP55" s="529"/>
      <c r="AQ55" s="529"/>
      <c r="AR55" s="529"/>
      <c r="AS55" s="529"/>
      <c r="AT55" s="529"/>
      <c r="AU55" s="529"/>
      <c r="AV55" s="529"/>
      <c r="AW55" s="529"/>
      <c r="AX55" s="529"/>
      <c r="AY55" s="529"/>
      <c r="AZ55" s="529"/>
      <c r="BA55" s="529"/>
      <c r="BB55" s="529"/>
      <c r="BC55" s="529"/>
      <c r="BD55" s="529"/>
      <c r="BE55" s="529"/>
      <c r="BF55" s="529"/>
      <c r="BG55" s="529"/>
      <c r="BH55" s="529"/>
      <c r="BI55" s="529"/>
      <c r="BJ55" s="529"/>
      <c r="BK55" s="529"/>
      <c r="BL55" s="529"/>
      <c r="BM55" s="529"/>
      <c r="BN55" s="529"/>
      <c r="BO55" s="529"/>
      <c r="BP55" s="529"/>
      <c r="BQ55" s="529"/>
      <c r="BR55" s="529"/>
      <c r="BS55" s="529"/>
      <c r="BT55" s="529"/>
      <c r="BU55" s="529"/>
      <c r="BV55" s="529"/>
      <c r="BW55" s="529"/>
      <c r="BX55" s="529"/>
      <c r="BY55" s="529"/>
      <c r="BZ55" s="537"/>
      <c r="CA55" s="537"/>
      <c r="CB55" s="537"/>
    </row>
    <row r="56" spans="1:80" x14ac:dyDescent="0.3">
      <c r="A56" s="551"/>
      <c r="B56" s="548"/>
      <c r="C56" s="525"/>
      <c r="D56" s="525"/>
      <c r="E56" s="570" t="s">
        <v>51</v>
      </c>
      <c r="F56" s="529"/>
      <c r="G56" s="529"/>
      <c r="H56" s="529"/>
      <c r="I56" s="529"/>
      <c r="J56" s="529"/>
      <c r="K56" s="529"/>
      <c r="L56" s="529"/>
      <c r="M56" s="529"/>
      <c r="N56" s="529"/>
      <c r="O56" s="529"/>
      <c r="P56" s="562"/>
      <c r="Q56" s="537"/>
      <c r="R56" s="529"/>
      <c r="S56" s="529"/>
      <c r="T56" s="529"/>
      <c r="U56" s="529"/>
      <c r="V56" s="529"/>
      <c r="W56" s="529"/>
      <c r="X56" s="529"/>
      <c r="Y56" s="529"/>
      <c r="Z56" s="529"/>
      <c r="AA56" s="529"/>
      <c r="AB56" s="529"/>
      <c r="AC56" s="529"/>
      <c r="AD56" s="529"/>
      <c r="AE56" s="529"/>
      <c r="AF56" s="529"/>
      <c r="AG56" s="529"/>
      <c r="AH56" s="529"/>
      <c r="AI56" s="529"/>
      <c r="AJ56" s="529"/>
      <c r="AK56" s="529"/>
      <c r="AL56" s="529"/>
      <c r="AM56" s="529"/>
      <c r="AN56" s="529"/>
      <c r="AO56" s="529"/>
      <c r="AP56" s="529"/>
      <c r="AQ56" s="529"/>
      <c r="AR56" s="529"/>
      <c r="AS56" s="529"/>
      <c r="AT56" s="529"/>
      <c r="AU56" s="529"/>
      <c r="AV56" s="529"/>
      <c r="AW56" s="529"/>
      <c r="AX56" s="529"/>
      <c r="AY56" s="529"/>
      <c r="AZ56" s="529"/>
      <c r="BA56" s="529"/>
      <c r="BB56" s="529"/>
      <c r="BC56" s="529"/>
      <c r="BD56" s="529"/>
      <c r="BE56" s="529"/>
      <c r="BF56" s="529"/>
      <c r="BG56" s="529"/>
      <c r="BH56" s="529"/>
      <c r="BI56" s="529"/>
      <c r="BJ56" s="529"/>
      <c r="BK56" s="529"/>
      <c r="BL56" s="529"/>
      <c r="BM56" s="529"/>
      <c r="BN56" s="529"/>
      <c r="BO56" s="529"/>
      <c r="BP56" s="529"/>
      <c r="BQ56" s="529"/>
      <c r="BR56" s="529"/>
      <c r="BS56" s="529"/>
      <c r="BT56" s="529"/>
      <c r="BU56" s="529"/>
      <c r="BV56" s="529"/>
      <c r="BW56" s="529"/>
      <c r="BX56" s="529"/>
      <c r="BY56" s="529"/>
      <c r="BZ56" s="537"/>
      <c r="CA56" s="537"/>
      <c r="CB56" s="537"/>
    </row>
    <row r="57" spans="1:80" x14ac:dyDescent="0.3">
      <c r="A57" s="551"/>
      <c r="B57" s="548"/>
      <c r="C57" s="525"/>
      <c r="D57" s="525"/>
      <c r="E57" s="525" t="s">
        <v>19</v>
      </c>
      <c r="F57" s="567"/>
      <c r="G57" s="567"/>
      <c r="H57" s="567"/>
      <c r="I57" s="527">
        <f>I547</f>
        <v>-238763.85240000003</v>
      </c>
      <c r="J57" s="527">
        <f t="shared" ref="J57:N59" si="82">SUMIF($R$2:$BY$2,J$3,$R57:$BY57)</f>
        <v>-243539.12944799999</v>
      </c>
      <c r="K57" s="527">
        <f t="shared" si="82"/>
        <v>-248409.91203696004</v>
      </c>
      <c r="L57" s="527">
        <f t="shared" si="82"/>
        <v>-253378.11027769919</v>
      </c>
      <c r="M57" s="527">
        <f t="shared" si="82"/>
        <v>-258445.67248325326</v>
      </c>
      <c r="N57" s="527">
        <f t="shared" si="82"/>
        <v>-263614.5859329183</v>
      </c>
      <c r="O57" s="529"/>
      <c r="P57" s="564">
        <f>IFERROR(((N57/I57)^(1/5))-1,0)</f>
        <v>2.0000000000000018E-2</v>
      </c>
      <c r="Q57" s="537"/>
      <c r="R57" s="527">
        <f t="shared" ref="R57:AW57" si="83">R400</f>
        <v>-20294.927454000004</v>
      </c>
      <c r="S57" s="527">
        <f t="shared" si="83"/>
        <v>-20294.927454000004</v>
      </c>
      <c r="T57" s="527">
        <f t="shared" si="83"/>
        <v>-20294.927454000004</v>
      </c>
      <c r="U57" s="527">
        <f t="shared" si="83"/>
        <v>-20294.927454000004</v>
      </c>
      <c r="V57" s="527">
        <f t="shared" si="83"/>
        <v>-20294.927454000004</v>
      </c>
      <c r="W57" s="527">
        <f t="shared" si="83"/>
        <v>-20294.927454000004</v>
      </c>
      <c r="X57" s="527">
        <f t="shared" si="83"/>
        <v>-20294.927454000004</v>
      </c>
      <c r="Y57" s="527">
        <f t="shared" si="83"/>
        <v>-20294.927454000004</v>
      </c>
      <c r="Z57" s="527">
        <f t="shared" si="83"/>
        <v>-20294.927454000004</v>
      </c>
      <c r="AA57" s="527">
        <f t="shared" si="83"/>
        <v>-20294.927454000004</v>
      </c>
      <c r="AB57" s="527">
        <f t="shared" si="83"/>
        <v>-20294.927454000004</v>
      </c>
      <c r="AC57" s="527">
        <f t="shared" si="83"/>
        <v>-20294.927454000004</v>
      </c>
      <c r="AD57" s="527">
        <f t="shared" si="83"/>
        <v>-20700.826003080005</v>
      </c>
      <c r="AE57" s="527">
        <f t="shared" si="83"/>
        <v>-20700.826003080005</v>
      </c>
      <c r="AF57" s="527">
        <f t="shared" si="83"/>
        <v>-20700.826003080005</v>
      </c>
      <c r="AG57" s="527">
        <f t="shared" si="83"/>
        <v>-20700.826003080005</v>
      </c>
      <c r="AH57" s="527">
        <f t="shared" si="83"/>
        <v>-20700.826003080005</v>
      </c>
      <c r="AI57" s="527">
        <f t="shared" si="83"/>
        <v>-20700.826003080005</v>
      </c>
      <c r="AJ57" s="527">
        <f t="shared" si="83"/>
        <v>-20700.826003080005</v>
      </c>
      <c r="AK57" s="527">
        <f t="shared" si="83"/>
        <v>-20700.826003080005</v>
      </c>
      <c r="AL57" s="527">
        <f t="shared" si="83"/>
        <v>-20700.826003080005</v>
      </c>
      <c r="AM57" s="527">
        <f t="shared" si="83"/>
        <v>-20700.826003080005</v>
      </c>
      <c r="AN57" s="527">
        <f t="shared" si="83"/>
        <v>-20700.826003080005</v>
      </c>
      <c r="AO57" s="527">
        <f t="shared" si="83"/>
        <v>-20700.826003080005</v>
      </c>
      <c r="AP57" s="527">
        <f t="shared" si="83"/>
        <v>-21114.842523141604</v>
      </c>
      <c r="AQ57" s="527">
        <f t="shared" si="83"/>
        <v>-21114.842523141604</v>
      </c>
      <c r="AR57" s="527">
        <f t="shared" si="83"/>
        <v>-21114.842523141604</v>
      </c>
      <c r="AS57" s="527">
        <f t="shared" si="83"/>
        <v>-21114.842523141604</v>
      </c>
      <c r="AT57" s="527">
        <f t="shared" si="83"/>
        <v>-21114.842523141604</v>
      </c>
      <c r="AU57" s="527">
        <f t="shared" si="83"/>
        <v>-21114.842523141604</v>
      </c>
      <c r="AV57" s="527">
        <f t="shared" si="83"/>
        <v>-21114.842523141604</v>
      </c>
      <c r="AW57" s="527">
        <f t="shared" si="83"/>
        <v>-21114.842523141604</v>
      </c>
      <c r="AX57" s="527">
        <f t="shared" ref="AX57:BY57" si="84">AX400</f>
        <v>-21114.842523141604</v>
      </c>
      <c r="AY57" s="527">
        <f t="shared" si="84"/>
        <v>-21114.842523141604</v>
      </c>
      <c r="AZ57" s="527">
        <f t="shared" si="84"/>
        <v>-21114.842523141604</v>
      </c>
      <c r="BA57" s="527">
        <f t="shared" si="84"/>
        <v>-21114.842523141604</v>
      </c>
      <c r="BB57" s="527">
        <f t="shared" si="84"/>
        <v>-21537.139373604434</v>
      </c>
      <c r="BC57" s="527">
        <f t="shared" si="84"/>
        <v>-21537.139373604434</v>
      </c>
      <c r="BD57" s="527">
        <f t="shared" si="84"/>
        <v>-21537.139373604434</v>
      </c>
      <c r="BE57" s="527">
        <f t="shared" si="84"/>
        <v>-21537.139373604434</v>
      </c>
      <c r="BF57" s="527">
        <f t="shared" si="84"/>
        <v>-21537.139373604434</v>
      </c>
      <c r="BG57" s="527">
        <f t="shared" si="84"/>
        <v>-21537.139373604434</v>
      </c>
      <c r="BH57" s="527">
        <f t="shared" si="84"/>
        <v>-21537.139373604434</v>
      </c>
      <c r="BI57" s="527">
        <f t="shared" si="84"/>
        <v>-21537.139373604434</v>
      </c>
      <c r="BJ57" s="527">
        <f t="shared" si="84"/>
        <v>-21537.139373604434</v>
      </c>
      <c r="BK57" s="527">
        <f t="shared" si="84"/>
        <v>-21537.139373604434</v>
      </c>
      <c r="BL57" s="527">
        <f t="shared" si="84"/>
        <v>-21537.139373604434</v>
      </c>
      <c r="BM57" s="527">
        <f t="shared" si="84"/>
        <v>-21537.139373604434</v>
      </c>
      <c r="BN57" s="527">
        <f t="shared" si="84"/>
        <v>-21967.882161076526</v>
      </c>
      <c r="BO57" s="527">
        <f t="shared" si="84"/>
        <v>-21967.882161076526</v>
      </c>
      <c r="BP57" s="527">
        <f t="shared" si="84"/>
        <v>-21967.882161076526</v>
      </c>
      <c r="BQ57" s="527">
        <f t="shared" si="84"/>
        <v>-21967.882161076526</v>
      </c>
      <c r="BR57" s="527">
        <f t="shared" si="84"/>
        <v>-21967.882161076526</v>
      </c>
      <c r="BS57" s="527">
        <f t="shared" si="84"/>
        <v>-21967.882161076526</v>
      </c>
      <c r="BT57" s="527">
        <f t="shared" si="84"/>
        <v>-21967.882161076526</v>
      </c>
      <c r="BU57" s="527">
        <f t="shared" si="84"/>
        <v>-21967.882161076526</v>
      </c>
      <c r="BV57" s="527">
        <f t="shared" si="84"/>
        <v>-21967.882161076526</v>
      </c>
      <c r="BW57" s="527">
        <f t="shared" si="84"/>
        <v>-21967.882161076526</v>
      </c>
      <c r="BX57" s="527">
        <f t="shared" si="84"/>
        <v>-21967.882161076526</v>
      </c>
      <c r="BY57" s="527">
        <f t="shared" si="84"/>
        <v>-21967.882161076526</v>
      </c>
      <c r="BZ57" s="537"/>
      <c r="CA57" s="537"/>
      <c r="CB57" s="574"/>
    </row>
    <row r="58" spans="1:80" x14ac:dyDescent="0.3">
      <c r="A58" s="551"/>
      <c r="B58" s="548"/>
      <c r="C58" s="525"/>
      <c r="D58" s="525"/>
      <c r="E58" s="525" t="s">
        <v>20</v>
      </c>
      <c r="F58" s="567"/>
      <c r="G58" s="567"/>
      <c r="H58" s="567"/>
      <c r="I58" s="527">
        <f>I548</f>
        <v>-42028.187400000017</v>
      </c>
      <c r="J58" s="527">
        <f t="shared" si="82"/>
        <v>-42868.751148000025</v>
      </c>
      <c r="K58" s="527">
        <f t="shared" si="82"/>
        <v>-43726.12617096</v>
      </c>
      <c r="L58" s="527">
        <f t="shared" si="82"/>
        <v>-44600.648694379226</v>
      </c>
      <c r="M58" s="527">
        <f t="shared" si="82"/>
        <v>-45492.661668266788</v>
      </c>
      <c r="N58" s="527">
        <f t="shared" si="82"/>
        <v>-46402.514901632152</v>
      </c>
      <c r="O58" s="529"/>
      <c r="P58" s="564">
        <f>IFERROR(((N58/I58)^(1/5))-1,0)</f>
        <v>2.0000000000000018E-2</v>
      </c>
      <c r="Q58" s="537"/>
      <c r="R58" s="527">
        <f t="shared" ref="R58:AW58" si="85">R408</f>
        <v>-3572.3959290000021</v>
      </c>
      <c r="S58" s="527">
        <f t="shared" si="85"/>
        <v>-3572.3959290000021</v>
      </c>
      <c r="T58" s="527">
        <f t="shared" si="85"/>
        <v>-3572.3959290000021</v>
      </c>
      <c r="U58" s="527">
        <f t="shared" si="85"/>
        <v>-3572.3959290000021</v>
      </c>
      <c r="V58" s="527">
        <f t="shared" si="85"/>
        <v>-3572.3959290000021</v>
      </c>
      <c r="W58" s="527">
        <f t="shared" si="85"/>
        <v>-3572.3959290000021</v>
      </c>
      <c r="X58" s="527">
        <f t="shared" si="85"/>
        <v>-3572.3959290000021</v>
      </c>
      <c r="Y58" s="527">
        <f t="shared" si="85"/>
        <v>-3572.3959290000021</v>
      </c>
      <c r="Z58" s="527">
        <f t="shared" si="85"/>
        <v>-3572.3959290000021</v>
      </c>
      <c r="AA58" s="527">
        <f t="shared" si="85"/>
        <v>-3572.3959290000021</v>
      </c>
      <c r="AB58" s="527">
        <f t="shared" si="85"/>
        <v>-3572.3959290000021</v>
      </c>
      <c r="AC58" s="527">
        <f t="shared" si="85"/>
        <v>-3572.3959290000021</v>
      </c>
      <c r="AD58" s="527">
        <f t="shared" si="85"/>
        <v>-3643.8438475800012</v>
      </c>
      <c r="AE58" s="527">
        <f t="shared" si="85"/>
        <v>-3643.8438475800012</v>
      </c>
      <c r="AF58" s="527">
        <f t="shared" si="85"/>
        <v>-3643.8438475800012</v>
      </c>
      <c r="AG58" s="527">
        <f t="shared" si="85"/>
        <v>-3643.8438475800012</v>
      </c>
      <c r="AH58" s="527">
        <f t="shared" si="85"/>
        <v>-3643.8438475800012</v>
      </c>
      <c r="AI58" s="527">
        <f t="shared" si="85"/>
        <v>-3643.8438475800012</v>
      </c>
      <c r="AJ58" s="527">
        <f t="shared" si="85"/>
        <v>-3643.8438475800012</v>
      </c>
      <c r="AK58" s="527">
        <f t="shared" si="85"/>
        <v>-3643.8438475800012</v>
      </c>
      <c r="AL58" s="527">
        <f t="shared" si="85"/>
        <v>-3643.8438475800012</v>
      </c>
      <c r="AM58" s="527">
        <f t="shared" si="85"/>
        <v>-3643.8438475800012</v>
      </c>
      <c r="AN58" s="527">
        <f t="shared" si="85"/>
        <v>-3643.8438475800012</v>
      </c>
      <c r="AO58" s="527">
        <f t="shared" si="85"/>
        <v>-3643.8438475800012</v>
      </c>
      <c r="AP58" s="527">
        <f t="shared" si="85"/>
        <v>-3716.7207245316022</v>
      </c>
      <c r="AQ58" s="527">
        <f t="shared" si="85"/>
        <v>-3716.7207245316022</v>
      </c>
      <c r="AR58" s="527">
        <f t="shared" si="85"/>
        <v>-3716.7207245316022</v>
      </c>
      <c r="AS58" s="527">
        <f t="shared" si="85"/>
        <v>-3716.7207245316022</v>
      </c>
      <c r="AT58" s="527">
        <f t="shared" si="85"/>
        <v>-3716.7207245316022</v>
      </c>
      <c r="AU58" s="527">
        <f t="shared" si="85"/>
        <v>-3716.7207245316022</v>
      </c>
      <c r="AV58" s="527">
        <f t="shared" si="85"/>
        <v>-3716.7207245316022</v>
      </c>
      <c r="AW58" s="527">
        <f t="shared" si="85"/>
        <v>-3716.7207245316022</v>
      </c>
      <c r="AX58" s="527">
        <f t="shared" ref="AX58:BY58" si="86">AX408</f>
        <v>-3716.7207245316022</v>
      </c>
      <c r="AY58" s="527">
        <f t="shared" si="86"/>
        <v>-3716.7207245316022</v>
      </c>
      <c r="AZ58" s="527">
        <f t="shared" si="86"/>
        <v>-3716.7207245316022</v>
      </c>
      <c r="BA58" s="527">
        <f t="shared" si="86"/>
        <v>-3716.7207245316022</v>
      </c>
      <c r="BB58" s="527">
        <f t="shared" si="86"/>
        <v>-3791.0551390222336</v>
      </c>
      <c r="BC58" s="527">
        <f t="shared" si="86"/>
        <v>-3791.0551390222336</v>
      </c>
      <c r="BD58" s="527">
        <f t="shared" si="86"/>
        <v>-3791.0551390222336</v>
      </c>
      <c r="BE58" s="527">
        <f t="shared" si="86"/>
        <v>-3791.0551390222336</v>
      </c>
      <c r="BF58" s="527">
        <f t="shared" si="86"/>
        <v>-3791.0551390222336</v>
      </c>
      <c r="BG58" s="527">
        <f t="shared" si="86"/>
        <v>-3791.0551390222336</v>
      </c>
      <c r="BH58" s="527">
        <f t="shared" si="86"/>
        <v>-3791.0551390222336</v>
      </c>
      <c r="BI58" s="527">
        <f t="shared" si="86"/>
        <v>-3791.0551390222336</v>
      </c>
      <c r="BJ58" s="527">
        <f t="shared" si="86"/>
        <v>-3791.0551390222336</v>
      </c>
      <c r="BK58" s="527">
        <f t="shared" si="86"/>
        <v>-3791.0551390222336</v>
      </c>
      <c r="BL58" s="527">
        <f t="shared" si="86"/>
        <v>-3791.0551390222336</v>
      </c>
      <c r="BM58" s="527">
        <f t="shared" si="86"/>
        <v>-3791.0551390222336</v>
      </c>
      <c r="BN58" s="527">
        <f t="shared" si="86"/>
        <v>-3866.876241802679</v>
      </c>
      <c r="BO58" s="527">
        <f t="shared" si="86"/>
        <v>-3866.876241802679</v>
      </c>
      <c r="BP58" s="527">
        <f t="shared" si="86"/>
        <v>-3866.876241802679</v>
      </c>
      <c r="BQ58" s="527">
        <f t="shared" si="86"/>
        <v>-3866.876241802679</v>
      </c>
      <c r="BR58" s="527">
        <f t="shared" si="86"/>
        <v>-3866.876241802679</v>
      </c>
      <c r="BS58" s="527">
        <f t="shared" si="86"/>
        <v>-3866.876241802679</v>
      </c>
      <c r="BT58" s="527">
        <f t="shared" si="86"/>
        <v>-3866.876241802679</v>
      </c>
      <c r="BU58" s="527">
        <f t="shared" si="86"/>
        <v>-3866.876241802679</v>
      </c>
      <c r="BV58" s="527">
        <f t="shared" si="86"/>
        <v>-3866.876241802679</v>
      </c>
      <c r="BW58" s="527">
        <f t="shared" si="86"/>
        <v>-3866.876241802679</v>
      </c>
      <c r="BX58" s="527">
        <f t="shared" si="86"/>
        <v>-3866.876241802679</v>
      </c>
      <c r="BY58" s="527">
        <f t="shared" si="86"/>
        <v>-3866.876241802679</v>
      </c>
      <c r="BZ58" s="537"/>
      <c r="CA58" s="537"/>
      <c r="CB58" s="574"/>
    </row>
    <row r="59" spans="1:80" x14ac:dyDescent="0.3">
      <c r="A59" s="551"/>
      <c r="B59" s="548"/>
      <c r="C59" s="525"/>
      <c r="D59" s="525"/>
      <c r="E59" s="572" t="s">
        <v>35</v>
      </c>
      <c r="F59" s="573"/>
      <c r="G59" s="573"/>
      <c r="H59" s="573"/>
      <c r="I59" s="530">
        <f>I549</f>
        <v>-280792.03980000003</v>
      </c>
      <c r="J59" s="532">
        <f t="shared" si="82"/>
        <v>-286407.88059600006</v>
      </c>
      <c r="K59" s="532">
        <f t="shared" si="82"/>
        <v>-292136.03820792015</v>
      </c>
      <c r="L59" s="532">
        <f t="shared" si="82"/>
        <v>-297978.7589720785</v>
      </c>
      <c r="M59" s="532">
        <f t="shared" si="82"/>
        <v>-303938.33415152004</v>
      </c>
      <c r="N59" s="530">
        <f t="shared" si="82"/>
        <v>-310017.10083455045</v>
      </c>
      <c r="O59" s="536"/>
      <c r="P59" s="568">
        <f>IFERROR(((N59/I59)^(1/5))-1,0)</f>
        <v>2.0000000000000018E-2</v>
      </c>
      <c r="Q59" s="537"/>
      <c r="R59" s="532">
        <f t="shared" ref="R59:AW59" si="87">SUM(R57:R58)</f>
        <v>-23867.323383000006</v>
      </c>
      <c r="S59" s="532">
        <f t="shared" si="87"/>
        <v>-23867.323383000006</v>
      </c>
      <c r="T59" s="530">
        <f t="shared" si="87"/>
        <v>-23867.323383000006</v>
      </c>
      <c r="U59" s="532">
        <f t="shared" si="87"/>
        <v>-23867.323383000006</v>
      </c>
      <c r="V59" s="532">
        <f t="shared" si="87"/>
        <v>-23867.323383000006</v>
      </c>
      <c r="W59" s="532">
        <f t="shared" si="87"/>
        <v>-23867.323383000006</v>
      </c>
      <c r="X59" s="532">
        <f t="shared" si="87"/>
        <v>-23867.323383000006</v>
      </c>
      <c r="Y59" s="532">
        <f t="shared" si="87"/>
        <v>-23867.323383000006</v>
      </c>
      <c r="Z59" s="532">
        <f t="shared" si="87"/>
        <v>-23867.323383000006</v>
      </c>
      <c r="AA59" s="532">
        <f t="shared" si="87"/>
        <v>-23867.323383000006</v>
      </c>
      <c r="AB59" s="532">
        <f t="shared" si="87"/>
        <v>-23867.323383000006</v>
      </c>
      <c r="AC59" s="532">
        <f t="shared" si="87"/>
        <v>-23867.323383000006</v>
      </c>
      <c r="AD59" s="532">
        <f t="shared" si="87"/>
        <v>-24344.669850660008</v>
      </c>
      <c r="AE59" s="532">
        <f t="shared" si="87"/>
        <v>-24344.669850660008</v>
      </c>
      <c r="AF59" s="532">
        <f t="shared" si="87"/>
        <v>-24344.669850660008</v>
      </c>
      <c r="AG59" s="532">
        <f t="shared" si="87"/>
        <v>-24344.669850660008</v>
      </c>
      <c r="AH59" s="532">
        <f t="shared" si="87"/>
        <v>-24344.669850660008</v>
      </c>
      <c r="AI59" s="532">
        <f t="shared" si="87"/>
        <v>-24344.669850660008</v>
      </c>
      <c r="AJ59" s="532">
        <f t="shared" si="87"/>
        <v>-24344.669850660008</v>
      </c>
      <c r="AK59" s="532">
        <f t="shared" si="87"/>
        <v>-24344.669850660008</v>
      </c>
      <c r="AL59" s="532">
        <f t="shared" si="87"/>
        <v>-24344.669850660008</v>
      </c>
      <c r="AM59" s="532">
        <f t="shared" si="87"/>
        <v>-24344.669850660008</v>
      </c>
      <c r="AN59" s="532">
        <f t="shared" si="87"/>
        <v>-24344.669850660008</v>
      </c>
      <c r="AO59" s="532">
        <f t="shared" si="87"/>
        <v>-24344.669850660008</v>
      </c>
      <c r="AP59" s="532">
        <f t="shared" si="87"/>
        <v>-24831.563247673206</v>
      </c>
      <c r="AQ59" s="532">
        <f t="shared" si="87"/>
        <v>-24831.563247673206</v>
      </c>
      <c r="AR59" s="532">
        <f t="shared" si="87"/>
        <v>-24831.563247673206</v>
      </c>
      <c r="AS59" s="532">
        <f t="shared" si="87"/>
        <v>-24831.563247673206</v>
      </c>
      <c r="AT59" s="532">
        <f t="shared" si="87"/>
        <v>-24831.563247673206</v>
      </c>
      <c r="AU59" s="532">
        <f t="shared" si="87"/>
        <v>-24831.563247673206</v>
      </c>
      <c r="AV59" s="532">
        <f t="shared" si="87"/>
        <v>-24831.563247673206</v>
      </c>
      <c r="AW59" s="532">
        <f t="shared" si="87"/>
        <v>-24831.563247673206</v>
      </c>
      <c r="AX59" s="532">
        <f t="shared" ref="AX59:BY59" si="88">SUM(AX57:AX58)</f>
        <v>-24831.563247673206</v>
      </c>
      <c r="AY59" s="532">
        <f t="shared" si="88"/>
        <v>-24831.563247673206</v>
      </c>
      <c r="AZ59" s="532">
        <f t="shared" si="88"/>
        <v>-24831.563247673206</v>
      </c>
      <c r="BA59" s="532">
        <f t="shared" si="88"/>
        <v>-24831.563247673206</v>
      </c>
      <c r="BB59" s="532">
        <f t="shared" si="88"/>
        <v>-25328.194512626666</v>
      </c>
      <c r="BC59" s="532">
        <f t="shared" si="88"/>
        <v>-25328.194512626666</v>
      </c>
      <c r="BD59" s="532">
        <f t="shared" si="88"/>
        <v>-25328.194512626666</v>
      </c>
      <c r="BE59" s="532">
        <f t="shared" si="88"/>
        <v>-25328.194512626666</v>
      </c>
      <c r="BF59" s="532">
        <f t="shared" si="88"/>
        <v>-25328.194512626666</v>
      </c>
      <c r="BG59" s="532">
        <f t="shared" si="88"/>
        <v>-25328.194512626666</v>
      </c>
      <c r="BH59" s="532">
        <f t="shared" si="88"/>
        <v>-25328.194512626666</v>
      </c>
      <c r="BI59" s="532">
        <f t="shared" si="88"/>
        <v>-25328.194512626666</v>
      </c>
      <c r="BJ59" s="532">
        <f t="shared" si="88"/>
        <v>-25328.194512626666</v>
      </c>
      <c r="BK59" s="532">
        <f t="shared" si="88"/>
        <v>-25328.194512626666</v>
      </c>
      <c r="BL59" s="532">
        <f t="shared" si="88"/>
        <v>-25328.194512626666</v>
      </c>
      <c r="BM59" s="532">
        <f t="shared" si="88"/>
        <v>-25328.194512626666</v>
      </c>
      <c r="BN59" s="532">
        <f t="shared" si="88"/>
        <v>-25834.758402879204</v>
      </c>
      <c r="BO59" s="532">
        <f t="shared" si="88"/>
        <v>-25834.758402879204</v>
      </c>
      <c r="BP59" s="532">
        <f t="shared" si="88"/>
        <v>-25834.758402879204</v>
      </c>
      <c r="BQ59" s="532">
        <f t="shared" si="88"/>
        <v>-25834.758402879204</v>
      </c>
      <c r="BR59" s="532">
        <f t="shared" si="88"/>
        <v>-25834.758402879204</v>
      </c>
      <c r="BS59" s="532">
        <f t="shared" si="88"/>
        <v>-25834.758402879204</v>
      </c>
      <c r="BT59" s="532">
        <f t="shared" si="88"/>
        <v>-25834.758402879204</v>
      </c>
      <c r="BU59" s="532">
        <f t="shared" si="88"/>
        <v>-25834.758402879204</v>
      </c>
      <c r="BV59" s="532">
        <f t="shared" si="88"/>
        <v>-25834.758402879204</v>
      </c>
      <c r="BW59" s="532">
        <f t="shared" si="88"/>
        <v>-25834.758402879204</v>
      </c>
      <c r="BX59" s="532">
        <f t="shared" si="88"/>
        <v>-25834.758402879204</v>
      </c>
      <c r="BY59" s="532">
        <f t="shared" si="88"/>
        <v>-25834.758402879204</v>
      </c>
      <c r="BZ59" s="537"/>
      <c r="CA59" s="537"/>
      <c r="CB59" s="574"/>
    </row>
    <row r="60" spans="1:80" x14ac:dyDescent="0.3">
      <c r="A60" s="551"/>
      <c r="B60" s="548"/>
      <c r="C60" s="525"/>
      <c r="D60" s="525"/>
      <c r="E60" s="525"/>
      <c r="F60" s="529"/>
      <c r="G60" s="529"/>
      <c r="H60" s="529"/>
      <c r="I60" s="529"/>
      <c r="J60" s="529"/>
      <c r="K60" s="529"/>
      <c r="L60" s="529"/>
      <c r="M60" s="529"/>
      <c r="N60" s="529"/>
      <c r="O60" s="529"/>
      <c r="P60" s="562"/>
      <c r="Q60" s="537"/>
      <c r="R60" s="529"/>
      <c r="S60" s="529"/>
      <c r="T60" s="529"/>
      <c r="U60" s="529"/>
      <c r="V60" s="529"/>
      <c r="W60" s="529"/>
      <c r="X60" s="529"/>
      <c r="Y60" s="529"/>
      <c r="Z60" s="529"/>
      <c r="AA60" s="529"/>
      <c r="AB60" s="529"/>
      <c r="AC60" s="529"/>
      <c r="AD60" s="529"/>
      <c r="AE60" s="529"/>
      <c r="AF60" s="529"/>
      <c r="AG60" s="529"/>
      <c r="AH60" s="529"/>
      <c r="AI60" s="529"/>
      <c r="AJ60" s="529"/>
      <c r="AK60" s="529"/>
      <c r="AL60" s="529"/>
      <c r="AM60" s="529"/>
      <c r="AN60" s="529"/>
      <c r="AO60" s="529"/>
      <c r="AP60" s="529"/>
      <c r="AQ60" s="529"/>
      <c r="AR60" s="529"/>
      <c r="AS60" s="529"/>
      <c r="AT60" s="529"/>
      <c r="AU60" s="529"/>
      <c r="AV60" s="529"/>
      <c r="AW60" s="529"/>
      <c r="AX60" s="529"/>
      <c r="AY60" s="529"/>
      <c r="AZ60" s="529"/>
      <c r="BA60" s="529"/>
      <c r="BB60" s="529"/>
      <c r="BC60" s="529"/>
      <c r="BD60" s="529"/>
      <c r="BE60" s="529"/>
      <c r="BF60" s="529"/>
      <c r="BG60" s="529"/>
      <c r="BH60" s="529"/>
      <c r="BI60" s="529"/>
      <c r="BJ60" s="529"/>
      <c r="BK60" s="529"/>
      <c r="BL60" s="529"/>
      <c r="BM60" s="529"/>
      <c r="BN60" s="529"/>
      <c r="BO60" s="529"/>
      <c r="BP60" s="529"/>
      <c r="BQ60" s="529"/>
      <c r="BR60" s="529"/>
      <c r="BS60" s="529"/>
      <c r="BT60" s="529"/>
      <c r="BU60" s="529"/>
      <c r="BV60" s="529"/>
      <c r="BW60" s="529"/>
      <c r="BX60" s="529"/>
      <c r="BY60" s="529"/>
      <c r="BZ60" s="537"/>
      <c r="CA60" s="537"/>
      <c r="CB60" s="537"/>
    </row>
    <row r="61" spans="1:80" x14ac:dyDescent="0.3">
      <c r="A61" s="551"/>
      <c r="B61" s="548"/>
      <c r="C61" s="525"/>
      <c r="D61" s="525"/>
      <c r="E61" s="62" t="s">
        <v>21</v>
      </c>
      <c r="F61" s="579"/>
      <c r="G61" s="579"/>
      <c r="H61" s="579"/>
      <c r="I61" s="535">
        <f>I551</f>
        <v>12558992.716329692</v>
      </c>
      <c r="J61" s="534">
        <f>SUMIF($R$2:$BY$2,J$3,$R61:$BY61)</f>
        <v>13240157.233951176</v>
      </c>
      <c r="K61" s="534">
        <f>SUMIF($R$2:$BY$2,K$3,$R61:$BY61)</f>
        <v>14048300.271698106</v>
      </c>
      <c r="L61" s="534">
        <f>SUMIF($R$2:$BY$2,L$3,$R61:$BY61)</f>
        <v>14875930.141845778</v>
      </c>
      <c r="M61" s="534">
        <f>SUMIF($R$2:$BY$2,M$3,$R61:$BY61)</f>
        <v>15720993.763391716</v>
      </c>
      <c r="N61" s="535">
        <f>SUMIF($R$2:$BY$2,N$3,$R61:$BY61)</f>
        <v>16607472.581608646</v>
      </c>
      <c r="O61" s="536"/>
      <c r="P61" s="568">
        <f>IFERROR(((N61/I61)^(1/5))-1,0)</f>
        <v>5.7474119023726455E-2</v>
      </c>
      <c r="Q61" s="537"/>
      <c r="R61" s="535">
        <f t="shared" ref="R61:AW61" si="89">R54+R59</f>
        <v>1090466.2740072745</v>
      </c>
      <c r="S61" s="534">
        <f t="shared" si="89"/>
        <v>1090466.2740072745</v>
      </c>
      <c r="T61" s="535">
        <f t="shared" si="89"/>
        <v>1090466.2740072745</v>
      </c>
      <c r="U61" s="534">
        <f t="shared" si="89"/>
        <v>1090466.2740072745</v>
      </c>
      <c r="V61" s="534">
        <f t="shared" si="89"/>
        <v>1090466.2740072745</v>
      </c>
      <c r="W61" s="534">
        <f t="shared" si="89"/>
        <v>1090466.2740072745</v>
      </c>
      <c r="X61" s="534">
        <f t="shared" si="89"/>
        <v>1116226.5983179214</v>
      </c>
      <c r="Y61" s="534">
        <f t="shared" si="89"/>
        <v>1116226.5983179214</v>
      </c>
      <c r="Z61" s="534">
        <f t="shared" si="89"/>
        <v>1116226.5983179214</v>
      </c>
      <c r="AA61" s="534">
        <f t="shared" si="89"/>
        <v>1116226.5983179214</v>
      </c>
      <c r="AB61" s="534">
        <f t="shared" si="89"/>
        <v>1116226.5983179214</v>
      </c>
      <c r="AC61" s="534">
        <f t="shared" si="89"/>
        <v>1116226.5983179214</v>
      </c>
      <c r="AD61" s="534">
        <f t="shared" si="89"/>
        <v>1153972.2583218822</v>
      </c>
      <c r="AE61" s="534">
        <f t="shared" si="89"/>
        <v>1153972.2583218822</v>
      </c>
      <c r="AF61" s="534">
        <f t="shared" si="89"/>
        <v>1153972.2583218822</v>
      </c>
      <c r="AG61" s="534">
        <f t="shared" si="89"/>
        <v>1153972.2583218822</v>
      </c>
      <c r="AH61" s="534">
        <f t="shared" si="89"/>
        <v>1153972.2583218822</v>
      </c>
      <c r="AI61" s="534">
        <f t="shared" si="89"/>
        <v>1153972.2583218822</v>
      </c>
      <c r="AJ61" s="534">
        <f t="shared" si="89"/>
        <v>1187411.1202944692</v>
      </c>
      <c r="AK61" s="534">
        <f t="shared" si="89"/>
        <v>1187411.1202944692</v>
      </c>
      <c r="AL61" s="534">
        <f t="shared" si="89"/>
        <v>1187411.1202944692</v>
      </c>
      <c r="AM61" s="534">
        <f t="shared" si="89"/>
        <v>1187411.1202944692</v>
      </c>
      <c r="AN61" s="534">
        <f t="shared" si="89"/>
        <v>1187411.1202944692</v>
      </c>
      <c r="AO61" s="534">
        <f t="shared" si="89"/>
        <v>1187411.1202944692</v>
      </c>
      <c r="AP61" s="534">
        <f t="shared" si="89"/>
        <v>1218841.096776414</v>
      </c>
      <c r="AQ61" s="534">
        <f t="shared" si="89"/>
        <v>1218841.096776414</v>
      </c>
      <c r="AR61" s="534">
        <f t="shared" si="89"/>
        <v>1218841.096776414</v>
      </c>
      <c r="AS61" s="534">
        <f t="shared" si="89"/>
        <v>1218841.096776414</v>
      </c>
      <c r="AT61" s="534">
        <f t="shared" si="89"/>
        <v>1218841.096776414</v>
      </c>
      <c r="AU61" s="534">
        <f t="shared" si="89"/>
        <v>1218841.096776414</v>
      </c>
      <c r="AV61" s="534">
        <f t="shared" si="89"/>
        <v>1260480.5935312163</v>
      </c>
      <c r="AW61" s="534">
        <f t="shared" si="89"/>
        <v>1260480.5935312163</v>
      </c>
      <c r="AX61" s="534">
        <f t="shared" ref="AX61:BY61" si="90">AX54+AX59</f>
        <v>1260480.5935312163</v>
      </c>
      <c r="AY61" s="534">
        <f t="shared" si="90"/>
        <v>1260480.5935312163</v>
      </c>
      <c r="AZ61" s="534">
        <f t="shared" si="90"/>
        <v>1260480.5935312163</v>
      </c>
      <c r="BA61" s="534">
        <f t="shared" si="90"/>
        <v>1260480.5935312163</v>
      </c>
      <c r="BB61" s="534">
        <f t="shared" si="90"/>
        <v>1284895.9771662457</v>
      </c>
      <c r="BC61" s="534">
        <f t="shared" si="90"/>
        <v>1284895.9771662457</v>
      </c>
      <c r="BD61" s="534">
        <f t="shared" si="90"/>
        <v>1284895.9771662457</v>
      </c>
      <c r="BE61" s="534">
        <f t="shared" si="90"/>
        <v>1284895.9771662457</v>
      </c>
      <c r="BF61" s="534">
        <f t="shared" si="90"/>
        <v>1284895.9771662457</v>
      </c>
      <c r="BG61" s="534">
        <f t="shared" si="90"/>
        <v>1284895.9771662457</v>
      </c>
      <c r="BH61" s="534">
        <f t="shared" si="90"/>
        <v>1335269.6500657068</v>
      </c>
      <c r="BI61" s="534">
        <f t="shared" si="90"/>
        <v>1335269.6500657068</v>
      </c>
      <c r="BJ61" s="534">
        <f t="shared" si="90"/>
        <v>1335269.6500657068</v>
      </c>
      <c r="BK61" s="534">
        <f t="shared" si="90"/>
        <v>1335269.6500657068</v>
      </c>
      <c r="BL61" s="534">
        <f t="shared" si="90"/>
        <v>1335269.6500657068</v>
      </c>
      <c r="BM61" s="534">
        <f t="shared" si="90"/>
        <v>1335269.6500657068</v>
      </c>
      <c r="BN61" s="534">
        <f t="shared" si="90"/>
        <v>1354122.3694697667</v>
      </c>
      <c r="BO61" s="534">
        <f t="shared" si="90"/>
        <v>1354122.3694697667</v>
      </c>
      <c r="BP61" s="534">
        <f t="shared" si="90"/>
        <v>1354122.3694697667</v>
      </c>
      <c r="BQ61" s="534">
        <f t="shared" si="90"/>
        <v>1354122.3694697667</v>
      </c>
      <c r="BR61" s="534">
        <f t="shared" si="90"/>
        <v>1354122.3694697667</v>
      </c>
      <c r="BS61" s="534">
        <f t="shared" si="90"/>
        <v>1354122.3694697667</v>
      </c>
      <c r="BT61" s="534">
        <f t="shared" si="90"/>
        <v>1413789.7274650075</v>
      </c>
      <c r="BU61" s="534">
        <f t="shared" si="90"/>
        <v>1413789.7274650075</v>
      </c>
      <c r="BV61" s="534">
        <f t="shared" si="90"/>
        <v>1413789.7274650075</v>
      </c>
      <c r="BW61" s="534">
        <f t="shared" si="90"/>
        <v>1413789.7274650075</v>
      </c>
      <c r="BX61" s="534">
        <f t="shared" si="90"/>
        <v>1413789.7274650075</v>
      </c>
      <c r="BY61" s="534">
        <f t="shared" si="90"/>
        <v>1413789.7274650075</v>
      </c>
      <c r="BZ61" s="537"/>
      <c r="CA61" s="537"/>
      <c r="CB61" s="574"/>
    </row>
    <row r="62" spans="1:80" x14ac:dyDescent="0.3">
      <c r="A62" s="551"/>
      <c r="B62" s="548"/>
      <c r="C62" s="525"/>
      <c r="D62" s="525"/>
      <c r="E62" s="2" t="s">
        <v>405</v>
      </c>
      <c r="F62" s="525"/>
      <c r="G62" s="525"/>
      <c r="H62" s="525"/>
      <c r="I62" s="531">
        <f t="shared" ref="I62:N62" si="91">IFERROR(I61/SUM(I22,I31,I45,I52),0)</f>
        <v>0.53814996797751391</v>
      </c>
      <c r="J62" s="531">
        <f t="shared" si="91"/>
        <v>0.54334013408110071</v>
      </c>
      <c r="K62" s="531">
        <f t="shared" si="91"/>
        <v>0.5484134396724728</v>
      </c>
      <c r="L62" s="531">
        <f t="shared" si="91"/>
        <v>0.55316703255874389</v>
      </c>
      <c r="M62" s="531">
        <f t="shared" si="91"/>
        <v>0.55741064108647498</v>
      </c>
      <c r="N62" s="531">
        <f t="shared" si="91"/>
        <v>0.56149445671556641</v>
      </c>
      <c r="O62" s="546"/>
      <c r="P62" s="564">
        <f>IFERROR(((N62/I62)^(1/5))-1,0)</f>
        <v>8.529093140519528E-3</v>
      </c>
      <c r="Q62" s="537"/>
      <c r="R62" s="531">
        <f t="shared" ref="R62:AW62" si="92">IFERROR(R61/SUM(R22,R31,R45,R52),0)</f>
        <v>0.54304504959959732</v>
      </c>
      <c r="S62" s="531">
        <f t="shared" si="92"/>
        <v>0.54304504959959732</v>
      </c>
      <c r="T62" s="531">
        <f t="shared" si="92"/>
        <v>0.54304504959959732</v>
      </c>
      <c r="U62" s="531">
        <f t="shared" si="92"/>
        <v>0.54304504959959732</v>
      </c>
      <c r="V62" s="531">
        <f t="shared" si="92"/>
        <v>0.54304504959959732</v>
      </c>
      <c r="W62" s="531">
        <f t="shared" si="92"/>
        <v>0.54304504959959732</v>
      </c>
      <c r="X62" s="531">
        <f t="shared" si="92"/>
        <v>0.54362871843012017</v>
      </c>
      <c r="Y62" s="531">
        <f t="shared" si="92"/>
        <v>0.54362871843012017</v>
      </c>
      <c r="Z62" s="531">
        <f t="shared" si="92"/>
        <v>0.54362871843012017</v>
      </c>
      <c r="AA62" s="531">
        <f t="shared" si="92"/>
        <v>0.54362871843012017</v>
      </c>
      <c r="AB62" s="531">
        <f t="shared" si="92"/>
        <v>0.54362871843012017</v>
      </c>
      <c r="AC62" s="531">
        <f t="shared" si="92"/>
        <v>0.54362871843012017</v>
      </c>
      <c r="AD62" s="531">
        <f t="shared" si="92"/>
        <v>0.5480263723642087</v>
      </c>
      <c r="AE62" s="531">
        <f t="shared" si="92"/>
        <v>0.5480263723642087</v>
      </c>
      <c r="AF62" s="531">
        <f t="shared" si="92"/>
        <v>0.5480263723642087</v>
      </c>
      <c r="AG62" s="531">
        <f t="shared" si="92"/>
        <v>0.5480263723642087</v>
      </c>
      <c r="AH62" s="531">
        <f t="shared" si="92"/>
        <v>0.5480263723642087</v>
      </c>
      <c r="AI62" s="531">
        <f t="shared" si="92"/>
        <v>0.5480263723642087</v>
      </c>
      <c r="AJ62" s="531">
        <f t="shared" si="92"/>
        <v>0.54879013096677454</v>
      </c>
      <c r="AK62" s="531">
        <f t="shared" si="92"/>
        <v>0.54879013096677454</v>
      </c>
      <c r="AL62" s="531">
        <f t="shared" si="92"/>
        <v>0.54879013096677454</v>
      </c>
      <c r="AM62" s="531">
        <f t="shared" si="92"/>
        <v>0.54879013096677454</v>
      </c>
      <c r="AN62" s="531">
        <f t="shared" si="92"/>
        <v>0.54879013096677454</v>
      </c>
      <c r="AO62" s="531">
        <f t="shared" si="92"/>
        <v>0.54879013096677454</v>
      </c>
      <c r="AP62" s="531">
        <f t="shared" si="92"/>
        <v>0.55268484827604414</v>
      </c>
      <c r="AQ62" s="531">
        <f t="shared" si="92"/>
        <v>0.55268484827604414</v>
      </c>
      <c r="AR62" s="531">
        <f t="shared" si="92"/>
        <v>0.55268484827604414</v>
      </c>
      <c r="AS62" s="531">
        <f t="shared" si="92"/>
        <v>0.55268484827604414</v>
      </c>
      <c r="AT62" s="531">
        <f t="shared" si="92"/>
        <v>0.55268484827604414</v>
      </c>
      <c r="AU62" s="531">
        <f t="shared" si="92"/>
        <v>0.55268484827604414</v>
      </c>
      <c r="AV62" s="531">
        <f t="shared" si="92"/>
        <v>0.55363408886466647</v>
      </c>
      <c r="AW62" s="531">
        <f t="shared" si="92"/>
        <v>0.55363408886466647</v>
      </c>
      <c r="AX62" s="531">
        <f t="shared" ref="AX62:BY62" si="93">IFERROR(AX61/SUM(AX22,AX31,AX45,AX52),0)</f>
        <v>0.55363408886466647</v>
      </c>
      <c r="AY62" s="531">
        <f t="shared" si="93"/>
        <v>0.55363408886466647</v>
      </c>
      <c r="AZ62" s="531">
        <f t="shared" si="93"/>
        <v>0.55363408886466647</v>
      </c>
      <c r="BA62" s="531">
        <f t="shared" si="93"/>
        <v>0.55363408886466647</v>
      </c>
      <c r="BB62" s="531">
        <f t="shared" si="93"/>
        <v>0.55682866288911192</v>
      </c>
      <c r="BC62" s="531">
        <f t="shared" si="93"/>
        <v>0.55682866288911192</v>
      </c>
      <c r="BD62" s="531">
        <f t="shared" si="93"/>
        <v>0.55682866288911192</v>
      </c>
      <c r="BE62" s="531">
        <f t="shared" si="93"/>
        <v>0.55682866288911192</v>
      </c>
      <c r="BF62" s="531">
        <f t="shared" si="93"/>
        <v>0.55682866288911192</v>
      </c>
      <c r="BG62" s="531">
        <f t="shared" si="93"/>
        <v>0.55682866288911192</v>
      </c>
      <c r="BH62" s="531">
        <f t="shared" si="93"/>
        <v>0.55797181359193759</v>
      </c>
      <c r="BI62" s="531">
        <f t="shared" si="93"/>
        <v>0.55797181359193759</v>
      </c>
      <c r="BJ62" s="531">
        <f t="shared" si="93"/>
        <v>0.55797181359193759</v>
      </c>
      <c r="BK62" s="531">
        <f t="shared" si="93"/>
        <v>0.55797181359193759</v>
      </c>
      <c r="BL62" s="531">
        <f t="shared" si="93"/>
        <v>0.55797181359193759</v>
      </c>
      <c r="BM62" s="531">
        <f t="shared" si="93"/>
        <v>0.55797181359193759</v>
      </c>
      <c r="BN62" s="531">
        <f t="shared" si="93"/>
        <v>0.56080822264171359</v>
      </c>
      <c r="BO62" s="531">
        <f t="shared" si="93"/>
        <v>0.56080822264171359</v>
      </c>
      <c r="BP62" s="531">
        <f t="shared" si="93"/>
        <v>0.56080822264171359</v>
      </c>
      <c r="BQ62" s="531">
        <f t="shared" si="93"/>
        <v>0.56080822264171359</v>
      </c>
      <c r="BR62" s="531">
        <f t="shared" si="93"/>
        <v>0.56080822264171359</v>
      </c>
      <c r="BS62" s="531">
        <f t="shared" si="93"/>
        <v>0.56080822264171359</v>
      </c>
      <c r="BT62" s="531">
        <f t="shared" si="93"/>
        <v>0.56215330552455423</v>
      </c>
      <c r="BU62" s="531">
        <f t="shared" si="93"/>
        <v>0.56215330552455423</v>
      </c>
      <c r="BV62" s="531">
        <f t="shared" si="93"/>
        <v>0.56215330552455423</v>
      </c>
      <c r="BW62" s="531">
        <f t="shared" si="93"/>
        <v>0.56215330552455423</v>
      </c>
      <c r="BX62" s="531">
        <f t="shared" si="93"/>
        <v>0.56215330552455423</v>
      </c>
      <c r="BY62" s="531">
        <f t="shared" si="93"/>
        <v>0.56215330552455423</v>
      </c>
      <c r="BZ62" s="537"/>
      <c r="CA62" s="537"/>
      <c r="CB62" s="537"/>
    </row>
    <row r="63" spans="1:80" x14ac:dyDescent="0.3">
      <c r="A63" s="551"/>
      <c r="B63" s="548"/>
      <c r="C63" s="525"/>
      <c r="D63" s="525"/>
      <c r="E63" s="2"/>
      <c r="F63" s="525"/>
      <c r="G63" s="525"/>
      <c r="H63" s="525"/>
      <c r="I63" s="525"/>
      <c r="J63" s="525"/>
      <c r="K63" s="525"/>
      <c r="L63" s="525"/>
      <c r="M63" s="525"/>
      <c r="N63" s="525"/>
      <c r="O63" s="525"/>
      <c r="P63" s="565"/>
      <c r="Q63" s="537"/>
      <c r="R63" s="525"/>
      <c r="S63" s="525"/>
      <c r="T63" s="525"/>
      <c r="U63" s="525"/>
      <c r="V63" s="525"/>
      <c r="W63" s="525"/>
      <c r="X63" s="525"/>
      <c r="Y63" s="525"/>
      <c r="Z63" s="525"/>
      <c r="AA63" s="525"/>
      <c r="AB63" s="525"/>
      <c r="AC63" s="525"/>
      <c r="AD63" s="525"/>
      <c r="AE63" s="525"/>
      <c r="AF63" s="525"/>
      <c r="AG63" s="525"/>
      <c r="AH63" s="525"/>
      <c r="AI63" s="525"/>
      <c r="AJ63" s="525"/>
      <c r="AK63" s="525"/>
      <c r="AL63" s="525"/>
      <c r="AM63" s="525"/>
      <c r="AN63" s="525"/>
      <c r="AO63" s="525"/>
      <c r="AP63" s="525"/>
      <c r="AQ63" s="525"/>
      <c r="AR63" s="525"/>
      <c r="AS63" s="525"/>
      <c r="AT63" s="525"/>
      <c r="AU63" s="525"/>
      <c r="AV63" s="525"/>
      <c r="AW63" s="525"/>
      <c r="AX63" s="525"/>
      <c r="AY63" s="525"/>
      <c r="AZ63" s="525"/>
      <c r="BA63" s="525"/>
      <c r="BB63" s="525"/>
      <c r="BC63" s="525"/>
      <c r="BD63" s="525"/>
      <c r="BE63" s="525"/>
      <c r="BF63" s="525"/>
      <c r="BG63" s="525"/>
      <c r="BH63" s="525"/>
      <c r="BI63" s="525"/>
      <c r="BJ63" s="525"/>
      <c r="BK63" s="525"/>
      <c r="BL63" s="525"/>
      <c r="BM63" s="525"/>
      <c r="BN63" s="525"/>
      <c r="BO63" s="525"/>
      <c r="BP63" s="525"/>
      <c r="BQ63" s="525"/>
      <c r="BR63" s="525"/>
      <c r="BS63" s="525"/>
      <c r="BT63" s="525"/>
      <c r="BU63" s="525"/>
      <c r="BV63" s="525"/>
      <c r="BW63" s="525"/>
      <c r="BX63" s="525"/>
      <c r="BY63" s="525"/>
      <c r="BZ63" s="537"/>
      <c r="CA63" s="537"/>
      <c r="CB63" s="537"/>
    </row>
    <row r="64" spans="1:80" x14ac:dyDescent="0.3">
      <c r="A64" s="551"/>
      <c r="B64" s="548"/>
      <c r="C64" s="525"/>
      <c r="D64" s="525"/>
      <c r="E64" s="2" t="s">
        <v>129</v>
      </c>
      <c r="F64" s="567"/>
      <c r="G64" s="567"/>
      <c r="H64" s="567"/>
      <c r="I64" s="527">
        <f>I554</f>
        <v>-1070100</v>
      </c>
      <c r="J64" s="527">
        <f>SUMIF($R$2:$BY$2,J$3,$R64:$BY64)</f>
        <v>-1096506.2566849315</v>
      </c>
      <c r="K64" s="527">
        <f>SUMIF($R$2:$BY$2,K$3,$R64:$BY64)</f>
        <v>-1121915.7613980619</v>
      </c>
      <c r="L64" s="527">
        <f>SUMIF($R$2:$BY$2,L$3,$R64:$BY64)</f>
        <v>-1145979.7786704157</v>
      </c>
      <c r="M64" s="527">
        <f>SUMIF($R$2:$BY$2,M$3,$R64:$BY64)</f>
        <v>-1168439.4124970427</v>
      </c>
      <c r="N64" s="527">
        <f>SUMIF($R$2:$BY$2,N$3,$R64:$BY64)</f>
        <v>-1191107.4572198719</v>
      </c>
      <c r="O64" s="529"/>
      <c r="P64" s="564">
        <f>IFERROR(((N64/I64)^(1/5))-1,0)</f>
        <v>2.1657472733383143E-2</v>
      </c>
      <c r="Q64" s="537"/>
      <c r="R64" s="527">
        <f t="shared" ref="R64:AW64" si="94">R554</f>
        <v>-91375.521390410955</v>
      </c>
      <c r="S64" s="527">
        <f t="shared" si="94"/>
        <v>-91375.521390410955</v>
      </c>
      <c r="T64" s="527">
        <f t="shared" si="94"/>
        <v>-91375.521390410955</v>
      </c>
      <c r="U64" s="527">
        <f t="shared" si="94"/>
        <v>-91375.521390410955</v>
      </c>
      <c r="V64" s="527">
        <f t="shared" si="94"/>
        <v>-91375.521390410955</v>
      </c>
      <c r="W64" s="527">
        <f t="shared" si="94"/>
        <v>-91375.521390410955</v>
      </c>
      <c r="X64" s="527">
        <f t="shared" si="94"/>
        <v>-91375.521390410955</v>
      </c>
      <c r="Y64" s="527">
        <f t="shared" si="94"/>
        <v>-91375.521390410955</v>
      </c>
      <c r="Z64" s="527">
        <f t="shared" si="94"/>
        <v>-91375.521390410955</v>
      </c>
      <c r="AA64" s="527">
        <f t="shared" si="94"/>
        <v>-91375.521390410955</v>
      </c>
      <c r="AB64" s="527">
        <f t="shared" si="94"/>
        <v>-91375.521390410955</v>
      </c>
      <c r="AC64" s="527">
        <f t="shared" si="94"/>
        <v>-91375.521390410955</v>
      </c>
      <c r="AD64" s="527">
        <f t="shared" si="94"/>
        <v>-93492.980116505132</v>
      </c>
      <c r="AE64" s="527">
        <f t="shared" si="94"/>
        <v>-93492.980116505132</v>
      </c>
      <c r="AF64" s="527">
        <f t="shared" si="94"/>
        <v>-93492.980116505132</v>
      </c>
      <c r="AG64" s="527">
        <f t="shared" si="94"/>
        <v>-93492.980116505132</v>
      </c>
      <c r="AH64" s="527">
        <f t="shared" si="94"/>
        <v>-93492.980116505132</v>
      </c>
      <c r="AI64" s="527">
        <f t="shared" si="94"/>
        <v>-93492.980116505132</v>
      </c>
      <c r="AJ64" s="527">
        <f t="shared" si="94"/>
        <v>-93492.980116505132</v>
      </c>
      <c r="AK64" s="527">
        <f t="shared" si="94"/>
        <v>-93492.980116505132</v>
      </c>
      <c r="AL64" s="527">
        <f t="shared" si="94"/>
        <v>-93492.980116505132</v>
      </c>
      <c r="AM64" s="527">
        <f t="shared" si="94"/>
        <v>-93492.980116505132</v>
      </c>
      <c r="AN64" s="527">
        <f t="shared" si="94"/>
        <v>-93492.980116505132</v>
      </c>
      <c r="AO64" s="527">
        <f t="shared" si="94"/>
        <v>-93492.980116505132</v>
      </c>
      <c r="AP64" s="527">
        <f t="shared" si="94"/>
        <v>-95498.314889201312</v>
      </c>
      <c r="AQ64" s="527">
        <f t="shared" si="94"/>
        <v>-95498.314889201312</v>
      </c>
      <c r="AR64" s="527">
        <f t="shared" si="94"/>
        <v>-95498.314889201312</v>
      </c>
      <c r="AS64" s="527">
        <f t="shared" si="94"/>
        <v>-95498.314889201312</v>
      </c>
      <c r="AT64" s="527">
        <f t="shared" si="94"/>
        <v>-95498.314889201312</v>
      </c>
      <c r="AU64" s="527">
        <f t="shared" si="94"/>
        <v>-95498.314889201312</v>
      </c>
      <c r="AV64" s="527">
        <f t="shared" si="94"/>
        <v>-95498.314889201312</v>
      </c>
      <c r="AW64" s="527">
        <f t="shared" si="94"/>
        <v>-95498.314889201312</v>
      </c>
      <c r="AX64" s="527">
        <f t="shared" ref="AX64:BY64" si="95">AX554</f>
        <v>-95498.314889201312</v>
      </c>
      <c r="AY64" s="527">
        <f t="shared" si="95"/>
        <v>-95498.314889201312</v>
      </c>
      <c r="AZ64" s="527">
        <f t="shared" si="95"/>
        <v>-95498.314889201312</v>
      </c>
      <c r="BA64" s="527">
        <f t="shared" si="95"/>
        <v>-95498.314889201312</v>
      </c>
      <c r="BB64" s="527">
        <f t="shared" si="95"/>
        <v>-97369.951041420223</v>
      </c>
      <c r="BC64" s="527">
        <f t="shared" si="95"/>
        <v>-97369.951041420223</v>
      </c>
      <c r="BD64" s="527">
        <f t="shared" si="95"/>
        <v>-97369.951041420223</v>
      </c>
      <c r="BE64" s="527">
        <f t="shared" si="95"/>
        <v>-97369.951041420223</v>
      </c>
      <c r="BF64" s="527">
        <f t="shared" si="95"/>
        <v>-97369.951041420223</v>
      </c>
      <c r="BG64" s="527">
        <f t="shared" si="95"/>
        <v>-97369.951041420223</v>
      </c>
      <c r="BH64" s="527">
        <f t="shared" si="95"/>
        <v>-97369.951041420223</v>
      </c>
      <c r="BI64" s="527">
        <f t="shared" si="95"/>
        <v>-97369.951041420223</v>
      </c>
      <c r="BJ64" s="527">
        <f t="shared" si="95"/>
        <v>-97369.951041420223</v>
      </c>
      <c r="BK64" s="527">
        <f t="shared" si="95"/>
        <v>-97369.951041420223</v>
      </c>
      <c r="BL64" s="527">
        <f t="shared" si="95"/>
        <v>-97369.951041420223</v>
      </c>
      <c r="BM64" s="527">
        <f t="shared" si="95"/>
        <v>-97369.951041420223</v>
      </c>
      <c r="BN64" s="527">
        <f t="shared" si="95"/>
        <v>-99258.954768322685</v>
      </c>
      <c r="BO64" s="527">
        <f t="shared" si="95"/>
        <v>-99258.954768322685</v>
      </c>
      <c r="BP64" s="527">
        <f t="shared" si="95"/>
        <v>-99258.954768322685</v>
      </c>
      <c r="BQ64" s="527">
        <f t="shared" si="95"/>
        <v>-99258.954768322685</v>
      </c>
      <c r="BR64" s="527">
        <f t="shared" si="95"/>
        <v>-99258.954768322685</v>
      </c>
      <c r="BS64" s="527">
        <f t="shared" si="95"/>
        <v>-99258.954768322685</v>
      </c>
      <c r="BT64" s="527">
        <f t="shared" si="95"/>
        <v>-99258.954768322685</v>
      </c>
      <c r="BU64" s="527">
        <f t="shared" si="95"/>
        <v>-99258.954768322685</v>
      </c>
      <c r="BV64" s="527">
        <f t="shared" si="95"/>
        <v>-99258.954768322685</v>
      </c>
      <c r="BW64" s="527">
        <f t="shared" si="95"/>
        <v>-99258.954768322685</v>
      </c>
      <c r="BX64" s="527">
        <f t="shared" si="95"/>
        <v>-99258.954768322685</v>
      </c>
      <c r="BY64" s="527">
        <f t="shared" si="95"/>
        <v>-99258.954768322685</v>
      </c>
      <c r="BZ64" s="537"/>
      <c r="CA64" s="537"/>
      <c r="CB64" s="537"/>
    </row>
    <row r="65" spans="1:80" x14ac:dyDescent="0.3">
      <c r="A65" s="551"/>
      <c r="B65" s="548"/>
      <c r="C65" s="525"/>
      <c r="D65" s="525"/>
      <c r="E65" s="62" t="s">
        <v>292</v>
      </c>
      <c r="F65" s="579"/>
      <c r="G65" s="579"/>
      <c r="H65" s="579"/>
      <c r="I65" s="534">
        <f t="shared" ref="I65:N65" si="96">SUM(I61,I64)</f>
        <v>11488892.716329692</v>
      </c>
      <c r="J65" s="534">
        <f t="shared" si="96"/>
        <v>12143650.977266245</v>
      </c>
      <c r="K65" s="534">
        <f t="shared" si="96"/>
        <v>12926384.510300044</v>
      </c>
      <c r="L65" s="534">
        <f t="shared" si="96"/>
        <v>13729950.363175362</v>
      </c>
      <c r="M65" s="534">
        <f t="shared" si="96"/>
        <v>14552554.350894675</v>
      </c>
      <c r="N65" s="534">
        <f t="shared" si="96"/>
        <v>15416365.124388773</v>
      </c>
      <c r="O65" s="536"/>
      <c r="P65" s="568">
        <f>IFERROR(((N65/I65)^(1/5))-1,0)</f>
        <v>6.0573478780186374E-2</v>
      </c>
      <c r="Q65" s="537"/>
      <c r="R65" s="535">
        <f t="shared" ref="R65:AW65" si="97">SUM(R61,R64)</f>
        <v>999090.75261686358</v>
      </c>
      <c r="S65" s="535">
        <f t="shared" si="97"/>
        <v>999090.75261686358</v>
      </c>
      <c r="T65" s="535">
        <f t="shared" si="97"/>
        <v>999090.75261686358</v>
      </c>
      <c r="U65" s="535">
        <f t="shared" si="97"/>
        <v>999090.75261686358</v>
      </c>
      <c r="V65" s="535">
        <f t="shared" si="97"/>
        <v>999090.75261686358</v>
      </c>
      <c r="W65" s="535">
        <f t="shared" si="97"/>
        <v>999090.75261686358</v>
      </c>
      <c r="X65" s="535">
        <f t="shared" si="97"/>
        <v>1024851.0769275104</v>
      </c>
      <c r="Y65" s="535">
        <f t="shared" si="97"/>
        <v>1024851.0769275104</v>
      </c>
      <c r="Z65" s="535">
        <f t="shared" si="97"/>
        <v>1024851.0769275104</v>
      </c>
      <c r="AA65" s="535">
        <f t="shared" si="97"/>
        <v>1024851.0769275104</v>
      </c>
      <c r="AB65" s="535">
        <f t="shared" si="97"/>
        <v>1024851.0769275104</v>
      </c>
      <c r="AC65" s="535">
        <f t="shared" si="97"/>
        <v>1024851.0769275104</v>
      </c>
      <c r="AD65" s="535">
        <f t="shared" si="97"/>
        <v>1060479.278205377</v>
      </c>
      <c r="AE65" s="535">
        <f t="shared" si="97"/>
        <v>1060479.278205377</v>
      </c>
      <c r="AF65" s="535">
        <f t="shared" si="97"/>
        <v>1060479.278205377</v>
      </c>
      <c r="AG65" s="535">
        <f t="shared" si="97"/>
        <v>1060479.278205377</v>
      </c>
      <c r="AH65" s="535">
        <f t="shared" si="97"/>
        <v>1060479.278205377</v>
      </c>
      <c r="AI65" s="535">
        <f t="shared" si="97"/>
        <v>1060479.278205377</v>
      </c>
      <c r="AJ65" s="535">
        <f t="shared" si="97"/>
        <v>1093918.140177964</v>
      </c>
      <c r="AK65" s="535">
        <f t="shared" si="97"/>
        <v>1093918.140177964</v>
      </c>
      <c r="AL65" s="535">
        <f t="shared" si="97"/>
        <v>1093918.140177964</v>
      </c>
      <c r="AM65" s="535">
        <f t="shared" si="97"/>
        <v>1093918.140177964</v>
      </c>
      <c r="AN65" s="535">
        <f t="shared" si="97"/>
        <v>1093918.140177964</v>
      </c>
      <c r="AO65" s="535">
        <f t="shared" si="97"/>
        <v>1093918.140177964</v>
      </c>
      <c r="AP65" s="535">
        <f t="shared" si="97"/>
        <v>1123342.7818872128</v>
      </c>
      <c r="AQ65" s="535">
        <f t="shared" si="97"/>
        <v>1123342.7818872128</v>
      </c>
      <c r="AR65" s="535">
        <f t="shared" si="97"/>
        <v>1123342.7818872128</v>
      </c>
      <c r="AS65" s="535">
        <f t="shared" si="97"/>
        <v>1123342.7818872128</v>
      </c>
      <c r="AT65" s="535">
        <f t="shared" si="97"/>
        <v>1123342.7818872128</v>
      </c>
      <c r="AU65" s="535">
        <f t="shared" si="97"/>
        <v>1123342.7818872128</v>
      </c>
      <c r="AV65" s="535">
        <f t="shared" si="97"/>
        <v>1164982.2786420151</v>
      </c>
      <c r="AW65" s="535">
        <f t="shared" si="97"/>
        <v>1164982.2786420151</v>
      </c>
      <c r="AX65" s="535">
        <f t="shared" ref="AX65:BY65" si="98">SUM(AX61,AX64)</f>
        <v>1164982.2786420151</v>
      </c>
      <c r="AY65" s="535">
        <f t="shared" si="98"/>
        <v>1164982.2786420151</v>
      </c>
      <c r="AZ65" s="535">
        <f t="shared" si="98"/>
        <v>1164982.2786420151</v>
      </c>
      <c r="BA65" s="535">
        <f t="shared" si="98"/>
        <v>1164982.2786420151</v>
      </c>
      <c r="BB65" s="535">
        <f t="shared" si="98"/>
        <v>1187526.0261248255</v>
      </c>
      <c r="BC65" s="535">
        <f t="shared" si="98"/>
        <v>1187526.0261248255</v>
      </c>
      <c r="BD65" s="535">
        <f t="shared" si="98"/>
        <v>1187526.0261248255</v>
      </c>
      <c r="BE65" s="535">
        <f t="shared" si="98"/>
        <v>1187526.0261248255</v>
      </c>
      <c r="BF65" s="535">
        <f t="shared" si="98"/>
        <v>1187526.0261248255</v>
      </c>
      <c r="BG65" s="535">
        <f t="shared" si="98"/>
        <v>1187526.0261248255</v>
      </c>
      <c r="BH65" s="535">
        <f t="shared" si="98"/>
        <v>1237899.6990242866</v>
      </c>
      <c r="BI65" s="535">
        <f t="shared" si="98"/>
        <v>1237899.6990242866</v>
      </c>
      <c r="BJ65" s="535">
        <f t="shared" si="98"/>
        <v>1237899.6990242866</v>
      </c>
      <c r="BK65" s="535">
        <f t="shared" si="98"/>
        <v>1237899.6990242866</v>
      </c>
      <c r="BL65" s="535">
        <f t="shared" si="98"/>
        <v>1237899.6990242866</v>
      </c>
      <c r="BM65" s="535">
        <f t="shared" si="98"/>
        <v>1237899.6990242866</v>
      </c>
      <c r="BN65" s="535">
        <f t="shared" si="98"/>
        <v>1254863.4147014441</v>
      </c>
      <c r="BO65" s="535">
        <f t="shared" si="98"/>
        <v>1254863.4147014441</v>
      </c>
      <c r="BP65" s="535">
        <f t="shared" si="98"/>
        <v>1254863.4147014441</v>
      </c>
      <c r="BQ65" s="535">
        <f t="shared" si="98"/>
        <v>1254863.4147014441</v>
      </c>
      <c r="BR65" s="535">
        <f t="shared" si="98"/>
        <v>1254863.4147014441</v>
      </c>
      <c r="BS65" s="535">
        <f t="shared" si="98"/>
        <v>1254863.4147014441</v>
      </c>
      <c r="BT65" s="535">
        <f t="shared" si="98"/>
        <v>1314530.7726966848</v>
      </c>
      <c r="BU65" s="535">
        <f t="shared" si="98"/>
        <v>1314530.7726966848</v>
      </c>
      <c r="BV65" s="535">
        <f t="shared" si="98"/>
        <v>1314530.7726966848</v>
      </c>
      <c r="BW65" s="535">
        <f t="shared" si="98"/>
        <v>1314530.7726966848</v>
      </c>
      <c r="BX65" s="535">
        <f t="shared" si="98"/>
        <v>1314530.7726966848</v>
      </c>
      <c r="BY65" s="535">
        <f t="shared" si="98"/>
        <v>1314530.7726966848</v>
      </c>
      <c r="BZ65" s="537"/>
      <c r="CA65" s="537"/>
      <c r="CB65" s="574"/>
    </row>
    <row r="66" spans="1:80" x14ac:dyDescent="0.3">
      <c r="A66" s="551"/>
      <c r="B66" s="548"/>
      <c r="C66" s="525"/>
      <c r="D66" s="525"/>
      <c r="E66" s="692" t="s">
        <v>406</v>
      </c>
      <c r="F66" s="525"/>
      <c r="G66" s="525"/>
      <c r="H66" s="525"/>
      <c r="I66" s="531">
        <f t="shared" ref="I66:N66" si="99">IFERROR(I65/SUM(I22,I31,I45,I52),0)</f>
        <v>0.49229642751132952</v>
      </c>
      <c r="J66" s="531">
        <f t="shared" si="99"/>
        <v>0.49834249198360098</v>
      </c>
      <c r="K66" s="531">
        <f t="shared" si="99"/>
        <v>0.50461642011626284</v>
      </c>
      <c r="L66" s="531">
        <f t="shared" si="99"/>
        <v>0.51055334538121155</v>
      </c>
      <c r="M66" s="531">
        <f t="shared" si="99"/>
        <v>0.51598192660486797</v>
      </c>
      <c r="N66" s="531">
        <f t="shared" si="99"/>
        <v>0.52122341418967533</v>
      </c>
      <c r="O66" s="546"/>
      <c r="P66" s="564">
        <f>IFERROR(((N66/I66)^(1/5))-1,0)</f>
        <v>1.1484999510487981E-2</v>
      </c>
      <c r="Q66" s="537"/>
      <c r="R66" s="531">
        <f t="shared" ref="R66:AW66" si="100">IFERROR(R65/SUM(R22,R31,R45,R52),0)</f>
        <v>0.49754063948767685</v>
      </c>
      <c r="S66" s="531">
        <f t="shared" si="100"/>
        <v>0.49754063948767685</v>
      </c>
      <c r="T66" s="531">
        <f t="shared" si="100"/>
        <v>0.49754063948767685</v>
      </c>
      <c r="U66" s="531">
        <f t="shared" si="100"/>
        <v>0.49754063948767685</v>
      </c>
      <c r="V66" s="531">
        <f t="shared" si="100"/>
        <v>0.49754063948767685</v>
      </c>
      <c r="W66" s="531">
        <f t="shared" si="100"/>
        <v>0.49754063948767685</v>
      </c>
      <c r="X66" s="531">
        <f t="shared" si="100"/>
        <v>0.49912668124142651</v>
      </c>
      <c r="Y66" s="531">
        <f t="shared" si="100"/>
        <v>0.49912668124142651</v>
      </c>
      <c r="Z66" s="531">
        <f t="shared" si="100"/>
        <v>0.49912668124142651</v>
      </c>
      <c r="AA66" s="531">
        <f t="shared" si="100"/>
        <v>0.49912668124142651</v>
      </c>
      <c r="AB66" s="531">
        <f t="shared" si="100"/>
        <v>0.49912668124142651</v>
      </c>
      <c r="AC66" s="531">
        <f t="shared" si="100"/>
        <v>0.49912668124142651</v>
      </c>
      <c r="AD66" s="531">
        <f t="shared" si="100"/>
        <v>0.50362615531802413</v>
      </c>
      <c r="AE66" s="531">
        <f t="shared" si="100"/>
        <v>0.50362615531802413</v>
      </c>
      <c r="AF66" s="531">
        <f t="shared" si="100"/>
        <v>0.50362615531802413</v>
      </c>
      <c r="AG66" s="531">
        <f t="shared" si="100"/>
        <v>0.50362615531802413</v>
      </c>
      <c r="AH66" s="531">
        <f t="shared" si="100"/>
        <v>0.50362615531802413</v>
      </c>
      <c r="AI66" s="531">
        <f t="shared" si="100"/>
        <v>0.50362615531802413</v>
      </c>
      <c r="AJ66" s="531">
        <f t="shared" si="100"/>
        <v>0.50558013914028155</v>
      </c>
      <c r="AK66" s="531">
        <f t="shared" si="100"/>
        <v>0.50558013914028155</v>
      </c>
      <c r="AL66" s="531">
        <f t="shared" si="100"/>
        <v>0.50558013914028155</v>
      </c>
      <c r="AM66" s="531">
        <f t="shared" si="100"/>
        <v>0.50558013914028155</v>
      </c>
      <c r="AN66" s="531">
        <f t="shared" si="100"/>
        <v>0.50558013914028155</v>
      </c>
      <c r="AO66" s="531">
        <f t="shared" si="100"/>
        <v>0.50558013914028155</v>
      </c>
      <c r="AP66" s="531">
        <f t="shared" si="100"/>
        <v>0.5093810313841215</v>
      </c>
      <c r="AQ66" s="531">
        <f t="shared" si="100"/>
        <v>0.5093810313841215</v>
      </c>
      <c r="AR66" s="531">
        <f t="shared" si="100"/>
        <v>0.5093810313841215</v>
      </c>
      <c r="AS66" s="531">
        <f t="shared" si="100"/>
        <v>0.5093810313841215</v>
      </c>
      <c r="AT66" s="531">
        <f t="shared" si="100"/>
        <v>0.5093810313841215</v>
      </c>
      <c r="AU66" s="531">
        <f t="shared" si="100"/>
        <v>0.5093810313841215</v>
      </c>
      <c r="AV66" s="531">
        <f t="shared" si="100"/>
        <v>0.51168887937621543</v>
      </c>
      <c r="AW66" s="531">
        <f t="shared" si="100"/>
        <v>0.51168887937621543</v>
      </c>
      <c r="AX66" s="531">
        <f t="shared" ref="AX66:BY66" si="101">IFERROR(AX65/SUM(AX22,AX31,AX45,AX52),0)</f>
        <v>0.51168887937621543</v>
      </c>
      <c r="AY66" s="531">
        <f t="shared" si="101"/>
        <v>0.51168887937621543</v>
      </c>
      <c r="AZ66" s="531">
        <f t="shared" si="101"/>
        <v>0.51168887937621543</v>
      </c>
      <c r="BA66" s="531">
        <f t="shared" si="101"/>
        <v>0.51168887937621543</v>
      </c>
      <c r="BB66" s="531">
        <f t="shared" si="101"/>
        <v>0.5146319554454889</v>
      </c>
      <c r="BC66" s="531">
        <f t="shared" si="101"/>
        <v>0.5146319554454889</v>
      </c>
      <c r="BD66" s="531">
        <f t="shared" si="101"/>
        <v>0.5146319554454889</v>
      </c>
      <c r="BE66" s="531">
        <f t="shared" si="101"/>
        <v>0.5146319554454889</v>
      </c>
      <c r="BF66" s="531">
        <f t="shared" si="101"/>
        <v>0.5146319554454889</v>
      </c>
      <c r="BG66" s="531">
        <f t="shared" si="101"/>
        <v>0.5146319554454889</v>
      </c>
      <c r="BH66" s="531">
        <f t="shared" si="101"/>
        <v>0.51728363636176844</v>
      </c>
      <c r="BI66" s="531">
        <f t="shared" si="101"/>
        <v>0.51728363636176844</v>
      </c>
      <c r="BJ66" s="531">
        <f t="shared" si="101"/>
        <v>0.51728363636176844</v>
      </c>
      <c r="BK66" s="531">
        <f t="shared" si="101"/>
        <v>0.51728363636176844</v>
      </c>
      <c r="BL66" s="531">
        <f t="shared" si="101"/>
        <v>0.51728363636176844</v>
      </c>
      <c r="BM66" s="531">
        <f t="shared" si="101"/>
        <v>0.51728363636176844</v>
      </c>
      <c r="BN66" s="531">
        <f t="shared" si="101"/>
        <v>0.51970024063068299</v>
      </c>
      <c r="BO66" s="531">
        <f t="shared" si="101"/>
        <v>0.51970024063068299</v>
      </c>
      <c r="BP66" s="531">
        <f t="shared" si="101"/>
        <v>0.51970024063068299</v>
      </c>
      <c r="BQ66" s="531">
        <f t="shared" si="101"/>
        <v>0.51970024063068299</v>
      </c>
      <c r="BR66" s="531">
        <f t="shared" si="101"/>
        <v>0.51970024063068299</v>
      </c>
      <c r="BS66" s="531">
        <f t="shared" si="101"/>
        <v>0.51970024063068299</v>
      </c>
      <c r="BT66" s="531">
        <f t="shared" si="101"/>
        <v>0.52268580307921209</v>
      </c>
      <c r="BU66" s="531">
        <f t="shared" si="101"/>
        <v>0.52268580307921209</v>
      </c>
      <c r="BV66" s="531">
        <f t="shared" si="101"/>
        <v>0.52268580307921209</v>
      </c>
      <c r="BW66" s="531">
        <f t="shared" si="101"/>
        <v>0.52268580307921209</v>
      </c>
      <c r="BX66" s="531">
        <f t="shared" si="101"/>
        <v>0.52268580307921209</v>
      </c>
      <c r="BY66" s="531">
        <f t="shared" si="101"/>
        <v>0.52268580307921209</v>
      </c>
      <c r="BZ66" s="537"/>
      <c r="CA66" s="537"/>
      <c r="CB66" s="537"/>
    </row>
    <row r="67" spans="1:80" x14ac:dyDescent="0.3">
      <c r="A67" s="551"/>
      <c r="B67" s="548"/>
      <c r="C67" s="525"/>
      <c r="D67" s="525"/>
      <c r="E67" s="2"/>
      <c r="F67" s="567"/>
      <c r="G67" s="567"/>
      <c r="H67" s="567"/>
      <c r="I67" s="529"/>
      <c r="J67" s="529"/>
      <c r="K67" s="529"/>
      <c r="L67" s="529"/>
      <c r="M67" s="529"/>
      <c r="N67" s="529"/>
      <c r="O67" s="529"/>
      <c r="P67" s="562"/>
      <c r="Q67" s="537"/>
      <c r="R67" s="529"/>
      <c r="S67" s="529"/>
      <c r="T67" s="529"/>
      <c r="U67" s="529"/>
      <c r="V67" s="529"/>
      <c r="W67" s="529"/>
      <c r="X67" s="529"/>
      <c r="Y67" s="529"/>
      <c r="Z67" s="529"/>
      <c r="AA67" s="529"/>
      <c r="AB67" s="529"/>
      <c r="AC67" s="529"/>
      <c r="AD67" s="529"/>
      <c r="AE67" s="529"/>
      <c r="AF67" s="529"/>
      <c r="AG67" s="529"/>
      <c r="AH67" s="529"/>
      <c r="AI67" s="529"/>
      <c r="AJ67" s="529"/>
      <c r="AK67" s="529"/>
      <c r="AL67" s="529"/>
      <c r="AM67" s="529"/>
      <c r="AN67" s="529"/>
      <c r="AO67" s="529"/>
      <c r="AP67" s="529"/>
      <c r="AQ67" s="529"/>
      <c r="AR67" s="529"/>
      <c r="AS67" s="529"/>
      <c r="AT67" s="529"/>
      <c r="AU67" s="529"/>
      <c r="AV67" s="529"/>
      <c r="AW67" s="529"/>
      <c r="AX67" s="529"/>
      <c r="AY67" s="529"/>
      <c r="AZ67" s="529"/>
      <c r="BA67" s="529"/>
      <c r="BB67" s="529"/>
      <c r="BC67" s="529"/>
      <c r="BD67" s="529"/>
      <c r="BE67" s="529"/>
      <c r="BF67" s="529"/>
      <c r="BG67" s="529"/>
      <c r="BH67" s="529"/>
      <c r="BI67" s="529"/>
      <c r="BJ67" s="529"/>
      <c r="BK67" s="529"/>
      <c r="BL67" s="529"/>
      <c r="BM67" s="529"/>
      <c r="BN67" s="529"/>
      <c r="BO67" s="529"/>
      <c r="BP67" s="529"/>
      <c r="BQ67" s="529"/>
      <c r="BR67" s="529"/>
      <c r="BS67" s="529"/>
      <c r="BT67" s="529"/>
      <c r="BU67" s="529"/>
      <c r="BV67" s="529"/>
      <c r="BW67" s="529"/>
      <c r="BX67" s="529"/>
      <c r="BY67" s="529"/>
      <c r="BZ67" s="537"/>
      <c r="CA67" s="537"/>
      <c r="CB67" s="537"/>
    </row>
    <row r="68" spans="1:80" x14ac:dyDescent="0.3">
      <c r="A68" s="551"/>
      <c r="B68" s="548"/>
      <c r="C68" s="525"/>
      <c r="D68" s="525"/>
      <c r="E68" s="2" t="s">
        <v>52</v>
      </c>
      <c r="F68" s="567"/>
      <c r="G68" s="567"/>
      <c r="H68" s="567"/>
      <c r="I68" s="527">
        <f>I558</f>
        <v>-1091257.0273839999</v>
      </c>
      <c r="J68" s="527">
        <f t="shared" ref="J68:N70" si="102">SUMIF($R$2:$BY$2,J$3,$R68:$BY68)</f>
        <v>-1003680</v>
      </c>
      <c r="K68" s="527">
        <f t="shared" si="102"/>
        <v>-1023753.6000000002</v>
      </c>
      <c r="L68" s="527">
        <f t="shared" si="102"/>
        <v>-1044228.6719999999</v>
      </c>
      <c r="M68" s="527">
        <f t="shared" si="102"/>
        <v>-1065113.24544</v>
      </c>
      <c r="N68" s="527">
        <f t="shared" si="102"/>
        <v>-1086415.5103488003</v>
      </c>
      <c r="O68" s="529"/>
      <c r="P68" s="564">
        <f>IFERROR(((N68/I68)^(1/5))-1,0)</f>
        <v>-8.8890735880575722E-4</v>
      </c>
      <c r="Q68" s="537"/>
      <c r="R68" s="527">
        <f t="shared" ref="R68:AW68" si="103">R445</f>
        <v>-83640</v>
      </c>
      <c r="S68" s="527">
        <f t="shared" si="103"/>
        <v>-83640</v>
      </c>
      <c r="T68" s="527">
        <f t="shared" si="103"/>
        <v>-83640</v>
      </c>
      <c r="U68" s="527">
        <f t="shared" si="103"/>
        <v>-83640</v>
      </c>
      <c r="V68" s="527">
        <f t="shared" si="103"/>
        <v>-83640</v>
      </c>
      <c r="W68" s="527">
        <f t="shared" si="103"/>
        <v>-83640</v>
      </c>
      <c r="X68" s="527">
        <f t="shared" si="103"/>
        <v>-83640</v>
      </c>
      <c r="Y68" s="527">
        <f t="shared" si="103"/>
        <v>-83640</v>
      </c>
      <c r="Z68" s="527">
        <f t="shared" si="103"/>
        <v>-83640</v>
      </c>
      <c r="AA68" s="527">
        <f t="shared" si="103"/>
        <v>-83640</v>
      </c>
      <c r="AB68" s="527">
        <f t="shared" si="103"/>
        <v>-83640</v>
      </c>
      <c r="AC68" s="527">
        <f t="shared" si="103"/>
        <v>-83640</v>
      </c>
      <c r="AD68" s="527">
        <f t="shared" si="103"/>
        <v>-85312.8</v>
      </c>
      <c r="AE68" s="527">
        <f t="shared" si="103"/>
        <v>-85312.8</v>
      </c>
      <c r="AF68" s="527">
        <f t="shared" si="103"/>
        <v>-85312.8</v>
      </c>
      <c r="AG68" s="527">
        <f t="shared" si="103"/>
        <v>-85312.8</v>
      </c>
      <c r="AH68" s="527">
        <f t="shared" si="103"/>
        <v>-85312.8</v>
      </c>
      <c r="AI68" s="527">
        <f t="shared" si="103"/>
        <v>-85312.8</v>
      </c>
      <c r="AJ68" s="527">
        <f t="shared" si="103"/>
        <v>-85312.8</v>
      </c>
      <c r="AK68" s="527">
        <f t="shared" si="103"/>
        <v>-85312.8</v>
      </c>
      <c r="AL68" s="527">
        <f t="shared" si="103"/>
        <v>-85312.8</v>
      </c>
      <c r="AM68" s="527">
        <f t="shared" si="103"/>
        <v>-85312.8</v>
      </c>
      <c r="AN68" s="527">
        <f t="shared" si="103"/>
        <v>-85312.8</v>
      </c>
      <c r="AO68" s="527">
        <f t="shared" si="103"/>
        <v>-85312.8</v>
      </c>
      <c r="AP68" s="527">
        <f t="shared" si="103"/>
        <v>-87019.055999999997</v>
      </c>
      <c r="AQ68" s="527">
        <f t="shared" si="103"/>
        <v>-87019.055999999997</v>
      </c>
      <c r="AR68" s="527">
        <f t="shared" si="103"/>
        <v>-87019.055999999997</v>
      </c>
      <c r="AS68" s="527">
        <f t="shared" si="103"/>
        <v>-87019.055999999997</v>
      </c>
      <c r="AT68" s="527">
        <f t="shared" si="103"/>
        <v>-87019.055999999997</v>
      </c>
      <c r="AU68" s="527">
        <f t="shared" si="103"/>
        <v>-87019.055999999997</v>
      </c>
      <c r="AV68" s="527">
        <f t="shared" si="103"/>
        <v>-87019.055999999997</v>
      </c>
      <c r="AW68" s="527">
        <f t="shared" si="103"/>
        <v>-87019.055999999997</v>
      </c>
      <c r="AX68" s="527">
        <f t="shared" ref="AX68:BY68" si="104">AX445</f>
        <v>-87019.055999999997</v>
      </c>
      <c r="AY68" s="527">
        <f t="shared" si="104"/>
        <v>-87019.055999999997</v>
      </c>
      <c r="AZ68" s="527">
        <f t="shared" si="104"/>
        <v>-87019.055999999997</v>
      </c>
      <c r="BA68" s="527">
        <f t="shared" si="104"/>
        <v>-87019.055999999997</v>
      </c>
      <c r="BB68" s="527">
        <f t="shared" si="104"/>
        <v>-88759.437120000002</v>
      </c>
      <c r="BC68" s="527">
        <f t="shared" si="104"/>
        <v>-88759.437120000002</v>
      </c>
      <c r="BD68" s="527">
        <f t="shared" si="104"/>
        <v>-88759.437120000002</v>
      </c>
      <c r="BE68" s="527">
        <f t="shared" si="104"/>
        <v>-88759.437120000002</v>
      </c>
      <c r="BF68" s="527">
        <f t="shared" si="104"/>
        <v>-88759.437120000002</v>
      </c>
      <c r="BG68" s="527">
        <f t="shared" si="104"/>
        <v>-88759.437120000002</v>
      </c>
      <c r="BH68" s="527">
        <f t="shared" si="104"/>
        <v>-88759.437120000002</v>
      </c>
      <c r="BI68" s="527">
        <f t="shared" si="104"/>
        <v>-88759.437120000002</v>
      </c>
      <c r="BJ68" s="527">
        <f t="shared" si="104"/>
        <v>-88759.437120000002</v>
      </c>
      <c r="BK68" s="527">
        <f t="shared" si="104"/>
        <v>-88759.437120000002</v>
      </c>
      <c r="BL68" s="527">
        <f t="shared" si="104"/>
        <v>-88759.437120000002</v>
      </c>
      <c r="BM68" s="527">
        <f t="shared" si="104"/>
        <v>-88759.437120000002</v>
      </c>
      <c r="BN68" s="527">
        <f t="shared" si="104"/>
        <v>-90534.625862400004</v>
      </c>
      <c r="BO68" s="527">
        <f t="shared" si="104"/>
        <v>-90534.625862400004</v>
      </c>
      <c r="BP68" s="527">
        <f t="shared" si="104"/>
        <v>-90534.625862400004</v>
      </c>
      <c r="BQ68" s="527">
        <f t="shared" si="104"/>
        <v>-90534.625862400004</v>
      </c>
      <c r="BR68" s="527">
        <f t="shared" si="104"/>
        <v>-90534.625862400004</v>
      </c>
      <c r="BS68" s="527">
        <f t="shared" si="104"/>
        <v>-90534.625862400004</v>
      </c>
      <c r="BT68" s="527">
        <f t="shared" si="104"/>
        <v>-90534.625862400004</v>
      </c>
      <c r="BU68" s="527">
        <f t="shared" si="104"/>
        <v>-90534.625862400004</v>
      </c>
      <c r="BV68" s="527">
        <f t="shared" si="104"/>
        <v>-90534.625862400004</v>
      </c>
      <c r="BW68" s="527">
        <f t="shared" si="104"/>
        <v>-90534.625862400004</v>
      </c>
      <c r="BX68" s="527">
        <f t="shared" si="104"/>
        <v>-90534.625862400004</v>
      </c>
      <c r="BY68" s="527">
        <f t="shared" si="104"/>
        <v>-90534.625862400004</v>
      </c>
      <c r="BZ68" s="537"/>
      <c r="CA68" s="537"/>
      <c r="CB68" s="537"/>
    </row>
    <row r="69" spans="1:80" x14ac:dyDescent="0.3">
      <c r="A69" s="551"/>
      <c r="B69" s="548"/>
      <c r="C69" s="525"/>
      <c r="D69" s="525"/>
      <c r="E69" s="2" t="s">
        <v>69</v>
      </c>
      <c r="F69" s="567"/>
      <c r="G69" s="567"/>
      <c r="H69" s="567"/>
      <c r="I69" s="527">
        <f>I559</f>
        <v>-188384.89074494538</v>
      </c>
      <c r="J69" s="527">
        <f t="shared" si="102"/>
        <v>-198602.35850926759</v>
      </c>
      <c r="K69" s="527">
        <f t="shared" si="102"/>
        <v>-210724.50407547163</v>
      </c>
      <c r="L69" s="527">
        <f t="shared" si="102"/>
        <v>-223138.95212768664</v>
      </c>
      <c r="M69" s="527">
        <f t="shared" si="102"/>
        <v>-235814.90645087569</v>
      </c>
      <c r="N69" s="527">
        <f t="shared" si="102"/>
        <v>-249112.08872412963</v>
      </c>
      <c r="O69" s="529"/>
      <c r="P69" s="564">
        <f>IFERROR(((N69/I69)^(1/5))-1,0)</f>
        <v>5.7474119023726233E-2</v>
      </c>
      <c r="Q69" s="537"/>
      <c r="R69" s="527">
        <f t="shared" ref="R69:AW69" si="105">R457</f>
        <v>-16356.994110109117</v>
      </c>
      <c r="S69" s="527">
        <f t="shared" si="105"/>
        <v>-16356.994110109117</v>
      </c>
      <c r="T69" s="527">
        <f t="shared" si="105"/>
        <v>-16356.994110109117</v>
      </c>
      <c r="U69" s="527">
        <f t="shared" si="105"/>
        <v>-16356.994110109117</v>
      </c>
      <c r="V69" s="527">
        <f t="shared" si="105"/>
        <v>-16356.994110109117</v>
      </c>
      <c r="W69" s="527">
        <f t="shared" si="105"/>
        <v>-16356.994110109117</v>
      </c>
      <c r="X69" s="527">
        <f t="shared" si="105"/>
        <v>-16743.398974768821</v>
      </c>
      <c r="Y69" s="527">
        <f t="shared" si="105"/>
        <v>-16743.398974768821</v>
      </c>
      <c r="Z69" s="527">
        <f t="shared" si="105"/>
        <v>-16743.398974768821</v>
      </c>
      <c r="AA69" s="527">
        <f t="shared" si="105"/>
        <v>-16743.398974768821</v>
      </c>
      <c r="AB69" s="527">
        <f t="shared" si="105"/>
        <v>-16743.398974768821</v>
      </c>
      <c r="AC69" s="527">
        <f t="shared" si="105"/>
        <v>-16743.398974768821</v>
      </c>
      <c r="AD69" s="527">
        <f t="shared" si="105"/>
        <v>-17309.583874828233</v>
      </c>
      <c r="AE69" s="527">
        <f t="shared" si="105"/>
        <v>-17309.583874828233</v>
      </c>
      <c r="AF69" s="527">
        <f t="shared" si="105"/>
        <v>-17309.583874828233</v>
      </c>
      <c r="AG69" s="527">
        <f t="shared" si="105"/>
        <v>-17309.583874828233</v>
      </c>
      <c r="AH69" s="527">
        <f t="shared" si="105"/>
        <v>-17309.583874828233</v>
      </c>
      <c r="AI69" s="527">
        <f t="shared" si="105"/>
        <v>-17309.583874828233</v>
      </c>
      <c r="AJ69" s="527">
        <f t="shared" si="105"/>
        <v>-17811.166804417033</v>
      </c>
      <c r="AK69" s="527">
        <f t="shared" si="105"/>
        <v>-17811.166804417033</v>
      </c>
      <c r="AL69" s="527">
        <f t="shared" si="105"/>
        <v>-17811.166804417033</v>
      </c>
      <c r="AM69" s="527">
        <f t="shared" si="105"/>
        <v>-17811.166804417033</v>
      </c>
      <c r="AN69" s="527">
        <f t="shared" si="105"/>
        <v>-17811.166804417033</v>
      </c>
      <c r="AO69" s="527">
        <f t="shared" si="105"/>
        <v>-17811.166804417033</v>
      </c>
      <c r="AP69" s="527">
        <f t="shared" si="105"/>
        <v>-18282.616451646201</v>
      </c>
      <c r="AQ69" s="527">
        <f t="shared" si="105"/>
        <v>-18282.616451646201</v>
      </c>
      <c r="AR69" s="527">
        <f t="shared" si="105"/>
        <v>-18282.616451646201</v>
      </c>
      <c r="AS69" s="527">
        <f t="shared" si="105"/>
        <v>-18282.616451646201</v>
      </c>
      <c r="AT69" s="527">
        <f t="shared" si="105"/>
        <v>-18282.616451646201</v>
      </c>
      <c r="AU69" s="527">
        <f t="shared" si="105"/>
        <v>-18282.616451646201</v>
      </c>
      <c r="AV69" s="527">
        <f t="shared" si="105"/>
        <v>-18907.208902968236</v>
      </c>
      <c r="AW69" s="527">
        <f t="shared" si="105"/>
        <v>-18907.208902968236</v>
      </c>
      <c r="AX69" s="527">
        <f t="shared" ref="AX69:BY69" si="106">AX457</f>
        <v>-18907.208902968236</v>
      </c>
      <c r="AY69" s="527">
        <f t="shared" si="106"/>
        <v>-18907.208902968236</v>
      </c>
      <c r="AZ69" s="527">
        <f t="shared" si="106"/>
        <v>-18907.208902968236</v>
      </c>
      <c r="BA69" s="527">
        <f t="shared" si="106"/>
        <v>-18907.208902968236</v>
      </c>
      <c r="BB69" s="527">
        <f t="shared" si="106"/>
        <v>-19273.43965749368</v>
      </c>
      <c r="BC69" s="527">
        <f t="shared" si="106"/>
        <v>-19273.43965749368</v>
      </c>
      <c r="BD69" s="527">
        <f t="shared" si="106"/>
        <v>-19273.43965749368</v>
      </c>
      <c r="BE69" s="527">
        <f t="shared" si="106"/>
        <v>-19273.43965749368</v>
      </c>
      <c r="BF69" s="527">
        <f t="shared" si="106"/>
        <v>-19273.43965749368</v>
      </c>
      <c r="BG69" s="527">
        <f t="shared" si="106"/>
        <v>-19273.43965749368</v>
      </c>
      <c r="BH69" s="527">
        <f t="shared" si="106"/>
        <v>-20029.044750985591</v>
      </c>
      <c r="BI69" s="527">
        <f t="shared" si="106"/>
        <v>-20029.044750985591</v>
      </c>
      <c r="BJ69" s="527">
        <f t="shared" si="106"/>
        <v>-20029.044750985591</v>
      </c>
      <c r="BK69" s="527">
        <f t="shared" si="106"/>
        <v>-20029.044750985591</v>
      </c>
      <c r="BL69" s="527">
        <f t="shared" si="106"/>
        <v>-20029.044750985591</v>
      </c>
      <c r="BM69" s="527">
        <f t="shared" si="106"/>
        <v>-20029.044750985591</v>
      </c>
      <c r="BN69" s="527">
        <f t="shared" si="106"/>
        <v>-20311.835542046498</v>
      </c>
      <c r="BO69" s="527">
        <f t="shared" si="106"/>
        <v>-20311.835542046498</v>
      </c>
      <c r="BP69" s="527">
        <f t="shared" si="106"/>
        <v>-20311.835542046498</v>
      </c>
      <c r="BQ69" s="527">
        <f t="shared" si="106"/>
        <v>-20311.835542046498</v>
      </c>
      <c r="BR69" s="527">
        <f t="shared" si="106"/>
        <v>-20311.835542046498</v>
      </c>
      <c r="BS69" s="527">
        <f t="shared" si="106"/>
        <v>-20311.835542046498</v>
      </c>
      <c r="BT69" s="527">
        <f t="shared" si="106"/>
        <v>-21206.84591197511</v>
      </c>
      <c r="BU69" s="527">
        <f t="shared" si="106"/>
        <v>-21206.84591197511</v>
      </c>
      <c r="BV69" s="527">
        <f t="shared" si="106"/>
        <v>-21206.84591197511</v>
      </c>
      <c r="BW69" s="527">
        <f t="shared" si="106"/>
        <v>-21206.84591197511</v>
      </c>
      <c r="BX69" s="527">
        <f t="shared" si="106"/>
        <v>-21206.84591197511</v>
      </c>
      <c r="BY69" s="527">
        <f t="shared" si="106"/>
        <v>-21206.84591197511</v>
      </c>
      <c r="BZ69" s="537"/>
      <c r="CA69" s="537"/>
      <c r="CB69" s="537"/>
    </row>
    <row r="70" spans="1:80" x14ac:dyDescent="0.3">
      <c r="A70" s="551"/>
      <c r="B70" s="548"/>
      <c r="C70" s="525"/>
      <c r="D70" s="525"/>
      <c r="E70" s="2" t="s">
        <v>184</v>
      </c>
      <c r="F70" s="567"/>
      <c r="G70" s="567"/>
      <c r="H70" s="567"/>
      <c r="I70" s="528">
        <v>0</v>
      </c>
      <c r="J70" s="527">
        <f t="shared" si="102"/>
        <v>0</v>
      </c>
      <c r="K70" s="527">
        <f t="shared" si="102"/>
        <v>0</v>
      </c>
      <c r="L70" s="527">
        <f t="shared" si="102"/>
        <v>0</v>
      </c>
      <c r="M70" s="527">
        <f t="shared" si="102"/>
        <v>0</v>
      </c>
      <c r="N70" s="527">
        <f t="shared" si="102"/>
        <v>0</v>
      </c>
      <c r="O70" s="544"/>
      <c r="P70" s="564">
        <f>IFERROR(((N70/I70)^(1/5))-1,0)</f>
        <v>0</v>
      </c>
      <c r="Q70" s="537"/>
      <c r="R70" s="528">
        <v>0</v>
      </c>
      <c r="S70" s="528">
        <v>0</v>
      </c>
      <c r="T70" s="528">
        <v>0</v>
      </c>
      <c r="U70" s="528">
        <v>0</v>
      </c>
      <c r="V70" s="528">
        <v>0</v>
      </c>
      <c r="W70" s="528">
        <v>0</v>
      </c>
      <c r="X70" s="528">
        <v>0</v>
      </c>
      <c r="Y70" s="528">
        <v>0</v>
      </c>
      <c r="Z70" s="528">
        <v>0</v>
      </c>
      <c r="AA70" s="528">
        <v>0</v>
      </c>
      <c r="AB70" s="528">
        <v>0</v>
      </c>
      <c r="AC70" s="528">
        <v>0</v>
      </c>
      <c r="AD70" s="528">
        <v>0</v>
      </c>
      <c r="AE70" s="528">
        <v>0</v>
      </c>
      <c r="AF70" s="528">
        <v>0</v>
      </c>
      <c r="AG70" s="528">
        <v>0</v>
      </c>
      <c r="AH70" s="528">
        <v>0</v>
      </c>
      <c r="AI70" s="528">
        <v>0</v>
      </c>
      <c r="AJ70" s="528">
        <v>0</v>
      </c>
      <c r="AK70" s="528">
        <v>0</v>
      </c>
      <c r="AL70" s="528">
        <v>0</v>
      </c>
      <c r="AM70" s="528">
        <v>0</v>
      </c>
      <c r="AN70" s="528">
        <v>0</v>
      </c>
      <c r="AO70" s="528">
        <v>0</v>
      </c>
      <c r="AP70" s="528">
        <v>0</v>
      </c>
      <c r="AQ70" s="528">
        <v>0</v>
      </c>
      <c r="AR70" s="528">
        <v>0</v>
      </c>
      <c r="AS70" s="528">
        <v>0</v>
      </c>
      <c r="AT70" s="528">
        <v>0</v>
      </c>
      <c r="AU70" s="528">
        <v>0</v>
      </c>
      <c r="AV70" s="528">
        <v>0</v>
      </c>
      <c r="AW70" s="528">
        <v>0</v>
      </c>
      <c r="AX70" s="528">
        <v>0</v>
      </c>
      <c r="AY70" s="528">
        <v>0</v>
      </c>
      <c r="AZ70" s="528">
        <v>0</v>
      </c>
      <c r="BA70" s="528">
        <v>0</v>
      </c>
      <c r="BB70" s="528">
        <v>0</v>
      </c>
      <c r="BC70" s="528">
        <v>0</v>
      </c>
      <c r="BD70" s="528">
        <v>0</v>
      </c>
      <c r="BE70" s="528">
        <v>0</v>
      </c>
      <c r="BF70" s="528">
        <v>0</v>
      </c>
      <c r="BG70" s="528">
        <v>0</v>
      </c>
      <c r="BH70" s="528">
        <v>0</v>
      </c>
      <c r="BI70" s="528">
        <v>0</v>
      </c>
      <c r="BJ70" s="528">
        <v>0</v>
      </c>
      <c r="BK70" s="528">
        <v>0</v>
      </c>
      <c r="BL70" s="528">
        <v>0</v>
      </c>
      <c r="BM70" s="528">
        <v>0</v>
      </c>
      <c r="BN70" s="528">
        <v>0</v>
      </c>
      <c r="BO70" s="528">
        <v>0</v>
      </c>
      <c r="BP70" s="528">
        <v>0</v>
      </c>
      <c r="BQ70" s="528">
        <v>0</v>
      </c>
      <c r="BR70" s="528">
        <v>0</v>
      </c>
      <c r="BS70" s="528">
        <v>0</v>
      </c>
      <c r="BT70" s="528">
        <v>0</v>
      </c>
      <c r="BU70" s="528">
        <v>0</v>
      </c>
      <c r="BV70" s="528">
        <v>0</v>
      </c>
      <c r="BW70" s="528">
        <v>0</v>
      </c>
      <c r="BX70" s="528">
        <v>0</v>
      </c>
      <c r="BY70" s="528">
        <v>0</v>
      </c>
      <c r="BZ70" s="537"/>
      <c r="CA70" s="537"/>
      <c r="CB70" s="537"/>
    </row>
    <row r="71" spans="1:80" x14ac:dyDescent="0.3">
      <c r="A71" s="551"/>
      <c r="B71" s="548"/>
      <c r="C71" s="525"/>
      <c r="D71" s="525"/>
      <c r="E71" s="62" t="s">
        <v>293</v>
      </c>
      <c r="F71" s="579"/>
      <c r="G71" s="579"/>
      <c r="H71" s="579"/>
      <c r="I71" s="534">
        <f t="shared" ref="I71:N71" si="107">I65+SUM(I68:I70)</f>
        <v>10209250.798200747</v>
      </c>
      <c r="J71" s="534">
        <f t="shared" si="107"/>
        <v>10941368.618756976</v>
      </c>
      <c r="K71" s="534">
        <f t="shared" si="107"/>
        <v>11691906.406224571</v>
      </c>
      <c r="L71" s="534">
        <f t="shared" si="107"/>
        <v>12462582.739047676</v>
      </c>
      <c r="M71" s="534">
        <f t="shared" si="107"/>
        <v>13251626.199003799</v>
      </c>
      <c r="N71" s="534">
        <f t="shared" si="107"/>
        <v>14080837.525315844</v>
      </c>
      <c r="O71" s="536"/>
      <c r="P71" s="568">
        <f>IFERROR(((N71/I71)^(1/5))-1,0)</f>
        <v>6.6416664253968305E-2</v>
      </c>
      <c r="Q71" s="537"/>
      <c r="R71" s="535">
        <f t="shared" ref="R71:AW71" si="108">R65+SUM(R68:R70)</f>
        <v>899093.75850675441</v>
      </c>
      <c r="S71" s="534">
        <f t="shared" si="108"/>
        <v>899093.75850675441</v>
      </c>
      <c r="T71" s="534">
        <f t="shared" si="108"/>
        <v>899093.75850675441</v>
      </c>
      <c r="U71" s="534">
        <f t="shared" si="108"/>
        <v>899093.75850675441</v>
      </c>
      <c r="V71" s="534">
        <f t="shared" si="108"/>
        <v>899093.75850675441</v>
      </c>
      <c r="W71" s="534">
        <f t="shared" si="108"/>
        <v>899093.75850675441</v>
      </c>
      <c r="X71" s="534">
        <f t="shared" si="108"/>
        <v>924467.67795274162</v>
      </c>
      <c r="Y71" s="534">
        <f t="shared" si="108"/>
        <v>924467.67795274162</v>
      </c>
      <c r="Z71" s="534">
        <f t="shared" si="108"/>
        <v>924467.67795274162</v>
      </c>
      <c r="AA71" s="534">
        <f t="shared" si="108"/>
        <v>924467.67795274162</v>
      </c>
      <c r="AB71" s="534">
        <f t="shared" si="108"/>
        <v>924467.67795274162</v>
      </c>
      <c r="AC71" s="534">
        <f t="shared" si="108"/>
        <v>924467.67795274162</v>
      </c>
      <c r="AD71" s="534">
        <f t="shared" si="108"/>
        <v>957856.89433054882</v>
      </c>
      <c r="AE71" s="534">
        <f t="shared" si="108"/>
        <v>957856.89433054882</v>
      </c>
      <c r="AF71" s="534">
        <f t="shared" si="108"/>
        <v>957856.89433054882</v>
      </c>
      <c r="AG71" s="534">
        <f t="shared" si="108"/>
        <v>957856.89433054882</v>
      </c>
      <c r="AH71" s="534">
        <f t="shared" si="108"/>
        <v>957856.89433054882</v>
      </c>
      <c r="AI71" s="534">
        <f t="shared" si="108"/>
        <v>957856.89433054882</v>
      </c>
      <c r="AJ71" s="534">
        <f t="shared" si="108"/>
        <v>990794.17337354692</v>
      </c>
      <c r="AK71" s="534">
        <f t="shared" si="108"/>
        <v>990794.17337354692</v>
      </c>
      <c r="AL71" s="534">
        <f t="shared" si="108"/>
        <v>990794.17337354692</v>
      </c>
      <c r="AM71" s="534">
        <f t="shared" si="108"/>
        <v>990794.17337354692</v>
      </c>
      <c r="AN71" s="534">
        <f t="shared" si="108"/>
        <v>990794.17337354692</v>
      </c>
      <c r="AO71" s="534">
        <f t="shared" si="108"/>
        <v>990794.17337354692</v>
      </c>
      <c r="AP71" s="534">
        <f t="shared" si="108"/>
        <v>1018041.1094355666</v>
      </c>
      <c r="AQ71" s="534">
        <f t="shared" si="108"/>
        <v>1018041.1094355666</v>
      </c>
      <c r="AR71" s="534">
        <f t="shared" si="108"/>
        <v>1018041.1094355666</v>
      </c>
      <c r="AS71" s="534">
        <f t="shared" si="108"/>
        <v>1018041.1094355666</v>
      </c>
      <c r="AT71" s="534">
        <f t="shared" si="108"/>
        <v>1018041.1094355666</v>
      </c>
      <c r="AU71" s="534">
        <f t="shared" si="108"/>
        <v>1018041.1094355666</v>
      </c>
      <c r="AV71" s="534">
        <f t="shared" si="108"/>
        <v>1059056.0137390469</v>
      </c>
      <c r="AW71" s="534">
        <f t="shared" si="108"/>
        <v>1059056.0137390469</v>
      </c>
      <c r="AX71" s="534">
        <f t="shared" ref="AX71:BY71" si="109">AX65+SUM(AX68:AX70)</f>
        <v>1059056.0137390469</v>
      </c>
      <c r="AY71" s="534">
        <f t="shared" si="109"/>
        <v>1059056.0137390469</v>
      </c>
      <c r="AZ71" s="534">
        <f t="shared" si="109"/>
        <v>1059056.0137390469</v>
      </c>
      <c r="BA71" s="534">
        <f t="shared" si="109"/>
        <v>1059056.0137390469</v>
      </c>
      <c r="BB71" s="534">
        <f t="shared" si="109"/>
        <v>1079493.1493473318</v>
      </c>
      <c r="BC71" s="534">
        <f t="shared" si="109"/>
        <v>1079493.1493473318</v>
      </c>
      <c r="BD71" s="534">
        <f t="shared" si="109"/>
        <v>1079493.1493473318</v>
      </c>
      <c r="BE71" s="534">
        <f t="shared" si="109"/>
        <v>1079493.1493473318</v>
      </c>
      <c r="BF71" s="534">
        <f t="shared" si="109"/>
        <v>1079493.1493473318</v>
      </c>
      <c r="BG71" s="534">
        <f t="shared" si="109"/>
        <v>1079493.1493473318</v>
      </c>
      <c r="BH71" s="534">
        <f t="shared" si="109"/>
        <v>1129111.217153301</v>
      </c>
      <c r="BI71" s="534">
        <f t="shared" si="109"/>
        <v>1129111.217153301</v>
      </c>
      <c r="BJ71" s="534">
        <f t="shared" si="109"/>
        <v>1129111.217153301</v>
      </c>
      <c r="BK71" s="534">
        <f t="shared" si="109"/>
        <v>1129111.217153301</v>
      </c>
      <c r="BL71" s="534">
        <f t="shared" si="109"/>
        <v>1129111.217153301</v>
      </c>
      <c r="BM71" s="534">
        <f t="shared" si="109"/>
        <v>1129111.217153301</v>
      </c>
      <c r="BN71" s="534">
        <f t="shared" si="109"/>
        <v>1144016.9532969976</v>
      </c>
      <c r="BO71" s="534">
        <f t="shared" si="109"/>
        <v>1144016.9532969976</v>
      </c>
      <c r="BP71" s="534">
        <f t="shared" si="109"/>
        <v>1144016.9532969976</v>
      </c>
      <c r="BQ71" s="534">
        <f t="shared" si="109"/>
        <v>1144016.9532969976</v>
      </c>
      <c r="BR71" s="534">
        <f t="shared" si="109"/>
        <v>1144016.9532969976</v>
      </c>
      <c r="BS71" s="534">
        <f t="shared" si="109"/>
        <v>1144016.9532969976</v>
      </c>
      <c r="BT71" s="534">
        <f t="shared" si="109"/>
        <v>1202789.3009223097</v>
      </c>
      <c r="BU71" s="534">
        <f t="shared" si="109"/>
        <v>1202789.3009223097</v>
      </c>
      <c r="BV71" s="534">
        <f t="shared" si="109"/>
        <v>1202789.3009223097</v>
      </c>
      <c r="BW71" s="534">
        <f t="shared" si="109"/>
        <v>1202789.3009223097</v>
      </c>
      <c r="BX71" s="534">
        <f t="shared" si="109"/>
        <v>1202789.3009223097</v>
      </c>
      <c r="BY71" s="534">
        <f t="shared" si="109"/>
        <v>1202789.3009223097</v>
      </c>
      <c r="BZ71" s="537"/>
      <c r="CA71" s="537"/>
      <c r="CB71" s="537"/>
    </row>
    <row r="72" spans="1:80" x14ac:dyDescent="0.3">
      <c r="A72" s="551"/>
      <c r="B72" s="548"/>
      <c r="C72" s="525"/>
      <c r="D72" s="525"/>
      <c r="E72" s="2" t="s">
        <v>407</v>
      </c>
      <c r="F72" s="525"/>
      <c r="G72" s="525"/>
      <c r="H72" s="525"/>
      <c r="I72" s="531">
        <f t="shared" ref="I72:N72" si="110">IFERROR(I71/I61,0)</f>
        <v>0.81290363238496677</v>
      </c>
      <c r="J72" s="531">
        <f t="shared" si="110"/>
        <v>0.82637754412013231</v>
      </c>
      <c r="K72" s="531">
        <f t="shared" si="110"/>
        <v>0.83226484201645679</v>
      </c>
      <c r="L72" s="531">
        <f t="shared" si="110"/>
        <v>0.83776830223144239</v>
      </c>
      <c r="M72" s="531">
        <f t="shared" si="110"/>
        <v>0.84292547904076232</v>
      </c>
      <c r="N72" s="531">
        <f t="shared" si="110"/>
        <v>0.84786155485869452</v>
      </c>
      <c r="O72" s="546"/>
      <c r="P72" s="564">
        <f>IFERROR(((N72/I72)^(1/5))-1,0)</f>
        <v>8.4565145088353333E-3</v>
      </c>
      <c r="Q72" s="569"/>
      <c r="R72" s="531">
        <f t="shared" ref="R72:AW72" si="111">IFERROR(R71/R61,0)</f>
        <v>0.82450395756187922</v>
      </c>
      <c r="S72" s="531">
        <f t="shared" si="111"/>
        <v>0.82450395756187922</v>
      </c>
      <c r="T72" s="531">
        <f t="shared" si="111"/>
        <v>0.82450395756187922</v>
      </c>
      <c r="U72" s="531">
        <f t="shared" si="111"/>
        <v>0.82450395756187922</v>
      </c>
      <c r="V72" s="531">
        <f t="shared" si="111"/>
        <v>0.82450395756187922</v>
      </c>
      <c r="W72" s="531">
        <f t="shared" si="111"/>
        <v>0.82450395756187922</v>
      </c>
      <c r="X72" s="531">
        <f t="shared" si="111"/>
        <v>0.82820789196911482</v>
      </c>
      <c r="Y72" s="531">
        <f t="shared" si="111"/>
        <v>0.82820789196911482</v>
      </c>
      <c r="Z72" s="531">
        <f t="shared" si="111"/>
        <v>0.82820789196911482</v>
      </c>
      <c r="AA72" s="531">
        <f t="shared" si="111"/>
        <v>0.82820789196911482</v>
      </c>
      <c r="AB72" s="531">
        <f t="shared" si="111"/>
        <v>0.82820789196911482</v>
      </c>
      <c r="AC72" s="531">
        <f t="shared" si="111"/>
        <v>0.82820789196911482</v>
      </c>
      <c r="AD72" s="531">
        <f t="shared" si="111"/>
        <v>0.83005192492536495</v>
      </c>
      <c r="AE72" s="531">
        <f t="shared" si="111"/>
        <v>0.83005192492536495</v>
      </c>
      <c r="AF72" s="531">
        <f t="shared" si="111"/>
        <v>0.83005192492536495</v>
      </c>
      <c r="AG72" s="531">
        <f t="shared" si="111"/>
        <v>0.83005192492536495</v>
      </c>
      <c r="AH72" s="531">
        <f t="shared" si="111"/>
        <v>0.83005192492536495</v>
      </c>
      <c r="AI72" s="531">
        <f t="shared" si="111"/>
        <v>0.83005192492536495</v>
      </c>
      <c r="AJ72" s="531">
        <f t="shared" si="111"/>
        <v>0.83441544081870922</v>
      </c>
      <c r="AK72" s="531">
        <f t="shared" si="111"/>
        <v>0.83441544081870922</v>
      </c>
      <c r="AL72" s="531">
        <f t="shared" si="111"/>
        <v>0.83441544081870922</v>
      </c>
      <c r="AM72" s="531">
        <f t="shared" si="111"/>
        <v>0.83441544081870922</v>
      </c>
      <c r="AN72" s="531">
        <f t="shared" si="111"/>
        <v>0.83441544081870922</v>
      </c>
      <c r="AO72" s="531">
        <f t="shared" si="111"/>
        <v>0.83441544081870922</v>
      </c>
      <c r="AP72" s="531">
        <f t="shared" si="111"/>
        <v>0.83525335019312819</v>
      </c>
      <c r="AQ72" s="531">
        <f t="shared" si="111"/>
        <v>0.83525335019312819</v>
      </c>
      <c r="AR72" s="531">
        <f t="shared" si="111"/>
        <v>0.83525335019312819</v>
      </c>
      <c r="AS72" s="531">
        <f t="shared" si="111"/>
        <v>0.83525335019312819</v>
      </c>
      <c r="AT72" s="531">
        <f t="shared" si="111"/>
        <v>0.83525335019312819</v>
      </c>
      <c r="AU72" s="531">
        <f t="shared" si="111"/>
        <v>0.83525335019312819</v>
      </c>
      <c r="AV72" s="531">
        <f t="shared" si="111"/>
        <v>0.84020017378618927</v>
      </c>
      <c r="AW72" s="531">
        <f t="shared" si="111"/>
        <v>0.84020017378618927</v>
      </c>
      <c r="AX72" s="531">
        <f t="shared" ref="AX72:BY72" si="112">IFERROR(AX71/AX61,0)</f>
        <v>0.84020017378618927</v>
      </c>
      <c r="AY72" s="531">
        <f t="shared" si="112"/>
        <v>0.84020017378618927</v>
      </c>
      <c r="AZ72" s="531">
        <f t="shared" si="112"/>
        <v>0.84020017378618927</v>
      </c>
      <c r="BA72" s="531">
        <f t="shared" si="112"/>
        <v>0.84020017378618927</v>
      </c>
      <c r="BB72" s="531">
        <f t="shared" si="112"/>
        <v>0.84014050050034683</v>
      </c>
      <c r="BC72" s="531">
        <f t="shared" si="112"/>
        <v>0.84014050050034683</v>
      </c>
      <c r="BD72" s="531">
        <f t="shared" si="112"/>
        <v>0.84014050050034683</v>
      </c>
      <c r="BE72" s="531">
        <f t="shared" si="112"/>
        <v>0.84014050050034683</v>
      </c>
      <c r="BF72" s="531">
        <f t="shared" si="112"/>
        <v>0.84014050050034683</v>
      </c>
      <c r="BG72" s="531">
        <f t="shared" si="112"/>
        <v>0.84014050050034683</v>
      </c>
      <c r="BH72" s="531">
        <f t="shared" si="112"/>
        <v>0.84560539296144333</v>
      </c>
      <c r="BI72" s="531">
        <f t="shared" si="112"/>
        <v>0.84560539296144333</v>
      </c>
      <c r="BJ72" s="531">
        <f t="shared" si="112"/>
        <v>0.84560539296144333</v>
      </c>
      <c r="BK72" s="531">
        <f t="shared" si="112"/>
        <v>0.84560539296144333</v>
      </c>
      <c r="BL72" s="531">
        <f t="shared" si="112"/>
        <v>0.84560539296144333</v>
      </c>
      <c r="BM72" s="531">
        <f t="shared" si="112"/>
        <v>0.84560539296144333</v>
      </c>
      <c r="BN72" s="531">
        <f t="shared" si="112"/>
        <v>0.84484015557985348</v>
      </c>
      <c r="BO72" s="531">
        <f t="shared" si="112"/>
        <v>0.84484015557985348</v>
      </c>
      <c r="BP72" s="531">
        <f t="shared" si="112"/>
        <v>0.84484015557985348</v>
      </c>
      <c r="BQ72" s="531">
        <f t="shared" si="112"/>
        <v>0.84484015557985348</v>
      </c>
      <c r="BR72" s="531">
        <f t="shared" si="112"/>
        <v>0.84484015557985348</v>
      </c>
      <c r="BS72" s="531">
        <f t="shared" si="112"/>
        <v>0.84484015557985348</v>
      </c>
      <c r="BT72" s="531">
        <f t="shared" si="112"/>
        <v>0.85075543948035925</v>
      </c>
      <c r="BU72" s="531">
        <f t="shared" si="112"/>
        <v>0.85075543948035925</v>
      </c>
      <c r="BV72" s="531">
        <f t="shared" si="112"/>
        <v>0.85075543948035925</v>
      </c>
      <c r="BW72" s="531">
        <f t="shared" si="112"/>
        <v>0.85075543948035925</v>
      </c>
      <c r="BX72" s="531">
        <f t="shared" si="112"/>
        <v>0.85075543948035925</v>
      </c>
      <c r="BY72" s="531">
        <f t="shared" si="112"/>
        <v>0.85075543948035925</v>
      </c>
      <c r="BZ72" s="537"/>
      <c r="CA72" s="537"/>
      <c r="CB72" s="537"/>
    </row>
    <row r="73" spans="1:80" x14ac:dyDescent="0.3">
      <c r="A73" s="551"/>
      <c r="B73" s="548"/>
      <c r="C73" s="525"/>
      <c r="D73" s="525"/>
      <c r="E73" s="525"/>
      <c r="F73" s="567"/>
      <c r="G73" s="567"/>
      <c r="H73" s="567"/>
      <c r="I73" s="529"/>
      <c r="J73" s="529"/>
      <c r="K73" s="529"/>
      <c r="L73" s="529"/>
      <c r="M73" s="529"/>
      <c r="N73" s="529"/>
      <c r="O73" s="529"/>
      <c r="P73" s="564"/>
      <c r="Q73" s="537"/>
      <c r="R73" s="529"/>
      <c r="S73" s="529"/>
      <c r="T73" s="529"/>
      <c r="U73" s="529"/>
      <c r="V73" s="529"/>
      <c r="W73" s="529"/>
      <c r="X73" s="529"/>
      <c r="Y73" s="529"/>
      <c r="Z73" s="529"/>
      <c r="AA73" s="529"/>
      <c r="AB73" s="529"/>
      <c r="AC73" s="529"/>
      <c r="AD73" s="529"/>
      <c r="AE73" s="529"/>
      <c r="AF73" s="529"/>
      <c r="AG73" s="529"/>
      <c r="AH73" s="529"/>
      <c r="AI73" s="529"/>
      <c r="AJ73" s="529"/>
      <c r="AK73" s="529"/>
      <c r="AL73" s="529"/>
      <c r="AM73" s="529"/>
      <c r="AN73" s="529"/>
      <c r="AO73" s="529"/>
      <c r="AP73" s="529"/>
      <c r="AQ73" s="529"/>
      <c r="AR73" s="529"/>
      <c r="AS73" s="529"/>
      <c r="AT73" s="529"/>
      <c r="AU73" s="529"/>
      <c r="AV73" s="529"/>
      <c r="AW73" s="529"/>
      <c r="AX73" s="529"/>
      <c r="AY73" s="529"/>
      <c r="AZ73" s="529"/>
      <c r="BA73" s="529"/>
      <c r="BB73" s="529"/>
      <c r="BC73" s="529"/>
      <c r="BD73" s="529"/>
      <c r="BE73" s="529"/>
      <c r="BF73" s="529"/>
      <c r="BG73" s="529"/>
      <c r="BH73" s="529"/>
      <c r="BI73" s="529"/>
      <c r="BJ73" s="529"/>
      <c r="BK73" s="529"/>
      <c r="BL73" s="529"/>
      <c r="BM73" s="529"/>
      <c r="BN73" s="529"/>
      <c r="BO73" s="529"/>
      <c r="BP73" s="529"/>
      <c r="BQ73" s="529"/>
      <c r="BR73" s="529"/>
      <c r="BS73" s="529"/>
      <c r="BT73" s="529"/>
      <c r="BU73" s="529"/>
      <c r="BV73" s="529"/>
      <c r="BW73" s="529"/>
      <c r="BX73" s="529"/>
      <c r="BY73" s="529"/>
      <c r="BZ73" s="537"/>
      <c r="CA73" s="537"/>
      <c r="CB73" s="537"/>
    </row>
    <row r="74" spans="1:80" x14ac:dyDescent="0.3">
      <c r="A74" s="551"/>
      <c r="B74" s="548"/>
      <c r="C74" s="525"/>
      <c r="D74" s="525"/>
      <c r="E74" s="525" t="s">
        <v>70</v>
      </c>
      <c r="F74" s="567"/>
      <c r="G74" s="567"/>
      <c r="H74" s="567"/>
      <c r="I74" s="527">
        <f>I564</f>
        <v>-676487</v>
      </c>
      <c r="J74" s="527">
        <f t="shared" ref="J74:N76" si="113">SUMIF($R$2:$BY$2,J$3,$R74:$BY74)</f>
        <v>-686941.98161725083</v>
      </c>
      <c r="K74" s="527">
        <f t="shared" si="113"/>
        <v>-703462.79906662356</v>
      </c>
      <c r="L74" s="527">
        <f t="shared" si="113"/>
        <v>-719258.64702164987</v>
      </c>
      <c r="M74" s="527">
        <f t="shared" si="113"/>
        <v>-734131.21031000605</v>
      </c>
      <c r="N74" s="527">
        <f t="shared" si="113"/>
        <v>-748458.49815847725</v>
      </c>
      <c r="O74" s="529"/>
      <c r="P74" s="564">
        <f>IFERROR(((N74/I74)^(1/5))-1,0)</f>
        <v>2.0426324280468311E-2</v>
      </c>
      <c r="Q74" s="574"/>
      <c r="R74" s="527">
        <f t="shared" ref="R74:AW74" si="114">R437</f>
        <v>0</v>
      </c>
      <c r="S74" s="527">
        <f t="shared" si="114"/>
        <v>0</v>
      </c>
      <c r="T74" s="527">
        <f t="shared" si="114"/>
        <v>0</v>
      </c>
      <c r="U74" s="527">
        <f t="shared" si="114"/>
        <v>0</v>
      </c>
      <c r="V74" s="527">
        <f t="shared" si="114"/>
        <v>0</v>
      </c>
      <c r="W74" s="527">
        <f t="shared" si="114"/>
        <v>-686941.98161725083</v>
      </c>
      <c r="X74" s="527">
        <f t="shared" si="114"/>
        <v>0</v>
      </c>
      <c r="Y74" s="527">
        <f t="shared" si="114"/>
        <v>0</v>
      </c>
      <c r="Z74" s="527">
        <f t="shared" si="114"/>
        <v>0</v>
      </c>
      <c r="AA74" s="527">
        <f t="shared" si="114"/>
        <v>0</v>
      </c>
      <c r="AB74" s="527">
        <f t="shared" si="114"/>
        <v>0</v>
      </c>
      <c r="AC74" s="527">
        <f t="shared" si="114"/>
        <v>0</v>
      </c>
      <c r="AD74" s="527">
        <f t="shared" si="114"/>
        <v>0</v>
      </c>
      <c r="AE74" s="527">
        <f t="shared" si="114"/>
        <v>0</v>
      </c>
      <c r="AF74" s="527">
        <f t="shared" si="114"/>
        <v>0</v>
      </c>
      <c r="AG74" s="527">
        <f t="shared" si="114"/>
        <v>0</v>
      </c>
      <c r="AH74" s="527">
        <f t="shared" si="114"/>
        <v>0</v>
      </c>
      <c r="AI74" s="527">
        <f t="shared" si="114"/>
        <v>-703462.79906662356</v>
      </c>
      <c r="AJ74" s="527">
        <f t="shared" si="114"/>
        <v>0</v>
      </c>
      <c r="AK74" s="527">
        <f t="shared" si="114"/>
        <v>0</v>
      </c>
      <c r="AL74" s="527">
        <f t="shared" si="114"/>
        <v>0</v>
      </c>
      <c r="AM74" s="527">
        <f t="shared" si="114"/>
        <v>0</v>
      </c>
      <c r="AN74" s="527">
        <f t="shared" si="114"/>
        <v>0</v>
      </c>
      <c r="AO74" s="527">
        <f t="shared" si="114"/>
        <v>0</v>
      </c>
      <c r="AP74" s="527">
        <f t="shared" si="114"/>
        <v>0</v>
      </c>
      <c r="AQ74" s="527">
        <f t="shared" si="114"/>
        <v>0</v>
      </c>
      <c r="AR74" s="527">
        <f t="shared" si="114"/>
        <v>0</v>
      </c>
      <c r="AS74" s="527">
        <f t="shared" si="114"/>
        <v>0</v>
      </c>
      <c r="AT74" s="527">
        <f t="shared" si="114"/>
        <v>0</v>
      </c>
      <c r="AU74" s="527">
        <f t="shared" si="114"/>
        <v>-719258.64702164987</v>
      </c>
      <c r="AV74" s="527">
        <f t="shared" si="114"/>
        <v>0</v>
      </c>
      <c r="AW74" s="527">
        <f t="shared" si="114"/>
        <v>0</v>
      </c>
      <c r="AX74" s="527">
        <f t="shared" ref="AX74:BY74" si="115">AX437</f>
        <v>0</v>
      </c>
      <c r="AY74" s="527">
        <f t="shared" si="115"/>
        <v>0</v>
      </c>
      <c r="AZ74" s="527">
        <f t="shared" si="115"/>
        <v>0</v>
      </c>
      <c r="BA74" s="527">
        <f t="shared" si="115"/>
        <v>0</v>
      </c>
      <c r="BB74" s="527">
        <f t="shared" si="115"/>
        <v>0</v>
      </c>
      <c r="BC74" s="527">
        <f t="shared" si="115"/>
        <v>0</v>
      </c>
      <c r="BD74" s="527">
        <f t="shared" si="115"/>
        <v>0</v>
      </c>
      <c r="BE74" s="527">
        <f t="shared" si="115"/>
        <v>0</v>
      </c>
      <c r="BF74" s="527">
        <f t="shared" si="115"/>
        <v>0</v>
      </c>
      <c r="BG74" s="527">
        <f t="shared" si="115"/>
        <v>-734131.21031000605</v>
      </c>
      <c r="BH74" s="527">
        <f t="shared" si="115"/>
        <v>0</v>
      </c>
      <c r="BI74" s="527">
        <f t="shared" si="115"/>
        <v>0</v>
      </c>
      <c r="BJ74" s="527">
        <f t="shared" si="115"/>
        <v>0</v>
      </c>
      <c r="BK74" s="527">
        <f t="shared" si="115"/>
        <v>0</v>
      </c>
      <c r="BL74" s="527">
        <f t="shared" si="115"/>
        <v>0</v>
      </c>
      <c r="BM74" s="527">
        <f t="shared" si="115"/>
        <v>0</v>
      </c>
      <c r="BN74" s="527">
        <f t="shared" si="115"/>
        <v>0</v>
      </c>
      <c r="BO74" s="527">
        <f t="shared" si="115"/>
        <v>0</v>
      </c>
      <c r="BP74" s="527">
        <f t="shared" si="115"/>
        <v>0</v>
      </c>
      <c r="BQ74" s="527">
        <f t="shared" si="115"/>
        <v>0</v>
      </c>
      <c r="BR74" s="527">
        <f t="shared" si="115"/>
        <v>0</v>
      </c>
      <c r="BS74" s="527">
        <f t="shared" si="115"/>
        <v>-748458.49815847725</v>
      </c>
      <c r="BT74" s="527">
        <f t="shared" si="115"/>
        <v>0</v>
      </c>
      <c r="BU74" s="527">
        <f t="shared" si="115"/>
        <v>0</v>
      </c>
      <c r="BV74" s="527">
        <f t="shared" si="115"/>
        <v>0</v>
      </c>
      <c r="BW74" s="527">
        <f t="shared" si="115"/>
        <v>0</v>
      </c>
      <c r="BX74" s="527">
        <f t="shared" si="115"/>
        <v>0</v>
      </c>
      <c r="BY74" s="527">
        <f t="shared" si="115"/>
        <v>0</v>
      </c>
      <c r="BZ74" s="537"/>
      <c r="CA74" s="537"/>
      <c r="CB74" s="537"/>
    </row>
    <row r="75" spans="1:80" x14ac:dyDescent="0.3">
      <c r="A75" s="551"/>
      <c r="B75" s="548"/>
      <c r="C75" s="525"/>
      <c r="D75" s="525"/>
      <c r="E75" s="525" t="s">
        <v>185</v>
      </c>
      <c r="F75" s="567"/>
      <c r="G75" s="567"/>
      <c r="H75" s="567"/>
      <c r="I75" s="528">
        <v>0</v>
      </c>
      <c r="J75" s="527">
        <f t="shared" si="113"/>
        <v>0</v>
      </c>
      <c r="K75" s="527">
        <f t="shared" si="113"/>
        <v>0</v>
      </c>
      <c r="L75" s="527">
        <f t="shared" si="113"/>
        <v>0</v>
      </c>
      <c r="M75" s="527">
        <f t="shared" si="113"/>
        <v>0</v>
      </c>
      <c r="N75" s="527">
        <f t="shared" si="113"/>
        <v>0</v>
      </c>
      <c r="O75" s="544"/>
      <c r="P75" s="564">
        <f>IFERROR(((N75/I75)^(1/5))-1,0)</f>
        <v>0</v>
      </c>
      <c r="Q75" s="537"/>
      <c r="R75" s="580">
        <v>0</v>
      </c>
      <c r="S75" s="528">
        <v>0</v>
      </c>
      <c r="T75" s="528">
        <v>0</v>
      </c>
      <c r="U75" s="528">
        <v>0</v>
      </c>
      <c r="V75" s="528">
        <v>0</v>
      </c>
      <c r="W75" s="528">
        <v>0</v>
      </c>
      <c r="X75" s="528">
        <v>0</v>
      </c>
      <c r="Y75" s="528">
        <v>0</v>
      </c>
      <c r="Z75" s="528">
        <v>0</v>
      </c>
      <c r="AA75" s="528">
        <v>0</v>
      </c>
      <c r="AB75" s="528">
        <v>0</v>
      </c>
      <c r="AC75" s="528">
        <v>0</v>
      </c>
      <c r="AD75" s="528">
        <v>0</v>
      </c>
      <c r="AE75" s="528">
        <v>0</v>
      </c>
      <c r="AF75" s="528">
        <v>0</v>
      </c>
      <c r="AG75" s="528">
        <v>0</v>
      </c>
      <c r="AH75" s="528">
        <v>0</v>
      </c>
      <c r="AI75" s="528">
        <v>0</v>
      </c>
      <c r="AJ75" s="528">
        <v>0</v>
      </c>
      <c r="AK75" s="528">
        <v>0</v>
      </c>
      <c r="AL75" s="528">
        <v>0</v>
      </c>
      <c r="AM75" s="528">
        <v>0</v>
      </c>
      <c r="AN75" s="528">
        <v>0</v>
      </c>
      <c r="AO75" s="528">
        <v>0</v>
      </c>
      <c r="AP75" s="528">
        <v>0</v>
      </c>
      <c r="AQ75" s="528">
        <v>0</v>
      </c>
      <c r="AR75" s="528">
        <v>0</v>
      </c>
      <c r="AS75" s="528">
        <v>0</v>
      </c>
      <c r="AT75" s="528">
        <v>0</v>
      </c>
      <c r="AU75" s="528">
        <v>0</v>
      </c>
      <c r="AV75" s="528">
        <v>0</v>
      </c>
      <c r="AW75" s="528">
        <v>0</v>
      </c>
      <c r="AX75" s="528">
        <v>0</v>
      </c>
      <c r="AY75" s="528">
        <v>0</v>
      </c>
      <c r="AZ75" s="528">
        <v>0</v>
      </c>
      <c r="BA75" s="528">
        <v>0</v>
      </c>
      <c r="BB75" s="528">
        <v>0</v>
      </c>
      <c r="BC75" s="528">
        <v>0</v>
      </c>
      <c r="BD75" s="528">
        <v>0</v>
      </c>
      <c r="BE75" s="528">
        <v>0</v>
      </c>
      <c r="BF75" s="528">
        <v>0</v>
      </c>
      <c r="BG75" s="528">
        <v>0</v>
      </c>
      <c r="BH75" s="528">
        <v>0</v>
      </c>
      <c r="BI75" s="528">
        <v>0</v>
      </c>
      <c r="BJ75" s="528">
        <v>0</v>
      </c>
      <c r="BK75" s="528">
        <v>0</v>
      </c>
      <c r="BL75" s="528">
        <v>0</v>
      </c>
      <c r="BM75" s="528">
        <v>0</v>
      </c>
      <c r="BN75" s="528">
        <v>0</v>
      </c>
      <c r="BO75" s="528">
        <v>0</v>
      </c>
      <c r="BP75" s="528">
        <v>0</v>
      </c>
      <c r="BQ75" s="528">
        <v>0</v>
      </c>
      <c r="BR75" s="528">
        <v>0</v>
      </c>
      <c r="BS75" s="528">
        <v>0</v>
      </c>
      <c r="BT75" s="528">
        <v>0</v>
      </c>
      <c r="BU75" s="528">
        <v>0</v>
      </c>
      <c r="BV75" s="528">
        <v>0</v>
      </c>
      <c r="BW75" s="528">
        <v>0</v>
      </c>
      <c r="BX75" s="528">
        <v>0</v>
      </c>
      <c r="BY75" s="528">
        <v>0</v>
      </c>
      <c r="BZ75" s="537"/>
      <c r="CA75" s="537"/>
      <c r="CB75" s="537"/>
    </row>
    <row r="76" spans="1:80" x14ac:dyDescent="0.3">
      <c r="A76" s="551"/>
      <c r="B76" s="548"/>
      <c r="C76" s="525"/>
      <c r="D76" s="525"/>
      <c r="E76" s="525" t="s">
        <v>370</v>
      </c>
      <c r="F76" s="567"/>
      <c r="G76" s="567"/>
      <c r="H76" s="567"/>
      <c r="I76" s="528">
        <v>0</v>
      </c>
      <c r="J76" s="527">
        <f t="shared" si="113"/>
        <v>0</v>
      </c>
      <c r="K76" s="527">
        <f t="shared" si="113"/>
        <v>0</v>
      </c>
      <c r="L76" s="527">
        <f t="shared" si="113"/>
        <v>0</v>
      </c>
      <c r="M76" s="527">
        <f t="shared" si="113"/>
        <v>0</v>
      </c>
      <c r="N76" s="527">
        <f t="shared" si="113"/>
        <v>0</v>
      </c>
      <c r="O76" s="544"/>
      <c r="P76" s="564">
        <f>IFERROR(((N76/I76)^(1/5))-1,0)</f>
        <v>0</v>
      </c>
      <c r="Q76" s="537"/>
      <c r="R76" s="528">
        <v>0</v>
      </c>
      <c r="S76" s="528">
        <v>0</v>
      </c>
      <c r="T76" s="528">
        <v>0</v>
      </c>
      <c r="U76" s="528">
        <v>0</v>
      </c>
      <c r="V76" s="528">
        <v>0</v>
      </c>
      <c r="W76" s="528">
        <v>0</v>
      </c>
      <c r="X76" s="528">
        <v>0</v>
      </c>
      <c r="Y76" s="528">
        <v>0</v>
      </c>
      <c r="Z76" s="528">
        <v>0</v>
      </c>
      <c r="AA76" s="528">
        <v>0</v>
      </c>
      <c r="AB76" s="528">
        <v>0</v>
      </c>
      <c r="AC76" s="528">
        <v>0</v>
      </c>
      <c r="AD76" s="528">
        <v>0</v>
      </c>
      <c r="AE76" s="528">
        <v>0</v>
      </c>
      <c r="AF76" s="528">
        <v>0</v>
      </c>
      <c r="AG76" s="528">
        <v>0</v>
      </c>
      <c r="AH76" s="528">
        <v>0</v>
      </c>
      <c r="AI76" s="528">
        <v>0</v>
      </c>
      <c r="AJ76" s="528">
        <v>0</v>
      </c>
      <c r="AK76" s="528">
        <v>0</v>
      </c>
      <c r="AL76" s="528">
        <v>0</v>
      </c>
      <c r="AM76" s="528">
        <v>0</v>
      </c>
      <c r="AN76" s="528">
        <v>0</v>
      </c>
      <c r="AO76" s="528">
        <v>0</v>
      </c>
      <c r="AP76" s="528">
        <v>0</v>
      </c>
      <c r="AQ76" s="528">
        <v>0</v>
      </c>
      <c r="AR76" s="528">
        <v>0</v>
      </c>
      <c r="AS76" s="528">
        <v>0</v>
      </c>
      <c r="AT76" s="528">
        <v>0</v>
      </c>
      <c r="AU76" s="528">
        <v>0</v>
      </c>
      <c r="AV76" s="528">
        <v>0</v>
      </c>
      <c r="AW76" s="528">
        <v>0</v>
      </c>
      <c r="AX76" s="528">
        <v>0</v>
      </c>
      <c r="AY76" s="528">
        <v>0</v>
      </c>
      <c r="AZ76" s="528">
        <v>0</v>
      </c>
      <c r="BA76" s="528">
        <v>0</v>
      </c>
      <c r="BB76" s="528">
        <v>0</v>
      </c>
      <c r="BC76" s="528">
        <v>0</v>
      </c>
      <c r="BD76" s="528">
        <v>0</v>
      </c>
      <c r="BE76" s="528">
        <v>0</v>
      </c>
      <c r="BF76" s="528">
        <v>0</v>
      </c>
      <c r="BG76" s="528">
        <v>0</v>
      </c>
      <c r="BH76" s="528">
        <v>0</v>
      </c>
      <c r="BI76" s="528">
        <v>0</v>
      </c>
      <c r="BJ76" s="528">
        <v>0</v>
      </c>
      <c r="BK76" s="528">
        <v>0</v>
      </c>
      <c r="BL76" s="528">
        <v>0</v>
      </c>
      <c r="BM76" s="528">
        <v>0</v>
      </c>
      <c r="BN76" s="528">
        <v>0</v>
      </c>
      <c r="BO76" s="528">
        <v>0</v>
      </c>
      <c r="BP76" s="528">
        <v>0</v>
      </c>
      <c r="BQ76" s="528">
        <v>0</v>
      </c>
      <c r="BR76" s="528">
        <v>0</v>
      </c>
      <c r="BS76" s="528">
        <v>0</v>
      </c>
      <c r="BT76" s="528">
        <v>0</v>
      </c>
      <c r="BU76" s="528">
        <v>0</v>
      </c>
      <c r="BV76" s="528">
        <v>0</v>
      </c>
      <c r="BW76" s="528">
        <v>0</v>
      </c>
      <c r="BX76" s="528">
        <v>0</v>
      </c>
      <c r="BY76" s="528">
        <v>0</v>
      </c>
      <c r="BZ76" s="537"/>
      <c r="CA76" s="537"/>
      <c r="CB76" s="537"/>
    </row>
    <row r="77" spans="1:80" x14ac:dyDescent="0.3">
      <c r="A77" s="551"/>
      <c r="B77" s="548"/>
      <c r="C77" s="525"/>
      <c r="D77" s="525"/>
      <c r="E77" s="578" t="s">
        <v>71</v>
      </c>
      <c r="F77" s="579"/>
      <c r="G77" s="579"/>
      <c r="H77" s="579"/>
      <c r="I77" s="535">
        <f t="shared" ref="I77:N77" si="116">I71+SUM(I74:I76)</f>
        <v>9532763.798200747</v>
      </c>
      <c r="J77" s="535">
        <f t="shared" si="116"/>
        <v>10254426.637139725</v>
      </c>
      <c r="K77" s="535">
        <f t="shared" si="116"/>
        <v>10988443.607157947</v>
      </c>
      <c r="L77" s="535">
        <f t="shared" si="116"/>
        <v>11743324.092026027</v>
      </c>
      <c r="M77" s="535">
        <f t="shared" si="116"/>
        <v>12517494.988693792</v>
      </c>
      <c r="N77" s="535">
        <f t="shared" si="116"/>
        <v>13332379.027157366</v>
      </c>
      <c r="O77" s="536"/>
      <c r="P77" s="568">
        <f>IFERROR(((N77/I77)^(1/5))-1,0)</f>
        <v>6.9394051229460629E-2</v>
      </c>
      <c r="Q77" s="537"/>
      <c r="R77" s="535">
        <f t="shared" ref="R77:AW77" si="117">R71+SUM(R74:R76)</f>
        <v>899093.75850675441</v>
      </c>
      <c r="S77" s="534">
        <f t="shared" si="117"/>
        <v>899093.75850675441</v>
      </c>
      <c r="T77" s="534">
        <f t="shared" si="117"/>
        <v>899093.75850675441</v>
      </c>
      <c r="U77" s="534">
        <f t="shared" si="117"/>
        <v>899093.75850675441</v>
      </c>
      <c r="V77" s="534">
        <f t="shared" si="117"/>
        <v>899093.75850675441</v>
      </c>
      <c r="W77" s="534">
        <f t="shared" si="117"/>
        <v>212151.77688950358</v>
      </c>
      <c r="X77" s="534">
        <f t="shared" si="117"/>
        <v>924467.67795274162</v>
      </c>
      <c r="Y77" s="534">
        <f t="shared" si="117"/>
        <v>924467.67795274162</v>
      </c>
      <c r="Z77" s="534">
        <f t="shared" si="117"/>
        <v>924467.67795274162</v>
      </c>
      <c r="AA77" s="534">
        <f t="shared" si="117"/>
        <v>924467.67795274162</v>
      </c>
      <c r="AB77" s="534">
        <f t="shared" si="117"/>
        <v>924467.67795274162</v>
      </c>
      <c r="AC77" s="534">
        <f t="shared" si="117"/>
        <v>924467.67795274162</v>
      </c>
      <c r="AD77" s="534">
        <f t="shared" si="117"/>
        <v>957856.89433054882</v>
      </c>
      <c r="AE77" s="534">
        <f t="shared" si="117"/>
        <v>957856.89433054882</v>
      </c>
      <c r="AF77" s="534">
        <f t="shared" si="117"/>
        <v>957856.89433054882</v>
      </c>
      <c r="AG77" s="534">
        <f t="shared" si="117"/>
        <v>957856.89433054882</v>
      </c>
      <c r="AH77" s="534">
        <f t="shared" si="117"/>
        <v>957856.89433054882</v>
      </c>
      <c r="AI77" s="534">
        <f t="shared" si="117"/>
        <v>254394.09526392526</v>
      </c>
      <c r="AJ77" s="534">
        <f t="shared" si="117"/>
        <v>990794.17337354692</v>
      </c>
      <c r="AK77" s="534">
        <f t="shared" si="117"/>
        <v>990794.17337354692</v>
      </c>
      <c r="AL77" s="534">
        <f t="shared" si="117"/>
        <v>990794.17337354692</v>
      </c>
      <c r="AM77" s="534">
        <f t="shared" si="117"/>
        <v>990794.17337354692</v>
      </c>
      <c r="AN77" s="534">
        <f t="shared" si="117"/>
        <v>990794.17337354692</v>
      </c>
      <c r="AO77" s="534">
        <f t="shared" si="117"/>
        <v>990794.17337354692</v>
      </c>
      <c r="AP77" s="534">
        <f t="shared" si="117"/>
        <v>1018041.1094355666</v>
      </c>
      <c r="AQ77" s="534">
        <f t="shared" si="117"/>
        <v>1018041.1094355666</v>
      </c>
      <c r="AR77" s="534">
        <f t="shared" si="117"/>
        <v>1018041.1094355666</v>
      </c>
      <c r="AS77" s="534">
        <f t="shared" si="117"/>
        <v>1018041.1094355666</v>
      </c>
      <c r="AT77" s="534">
        <f t="shared" si="117"/>
        <v>1018041.1094355666</v>
      </c>
      <c r="AU77" s="534">
        <f t="shared" si="117"/>
        <v>298782.46241391671</v>
      </c>
      <c r="AV77" s="534">
        <f t="shared" si="117"/>
        <v>1059056.0137390469</v>
      </c>
      <c r="AW77" s="534">
        <f t="shared" si="117"/>
        <v>1059056.0137390469</v>
      </c>
      <c r="AX77" s="534">
        <f t="shared" ref="AX77:BY77" si="118">AX71+SUM(AX74:AX76)</f>
        <v>1059056.0137390469</v>
      </c>
      <c r="AY77" s="534">
        <f t="shared" si="118"/>
        <v>1059056.0137390469</v>
      </c>
      <c r="AZ77" s="534">
        <f t="shared" si="118"/>
        <v>1059056.0137390469</v>
      </c>
      <c r="BA77" s="534">
        <f t="shared" si="118"/>
        <v>1059056.0137390469</v>
      </c>
      <c r="BB77" s="534">
        <f t="shared" si="118"/>
        <v>1079493.1493473318</v>
      </c>
      <c r="BC77" s="534">
        <f t="shared" si="118"/>
        <v>1079493.1493473318</v>
      </c>
      <c r="BD77" s="534">
        <f t="shared" si="118"/>
        <v>1079493.1493473318</v>
      </c>
      <c r="BE77" s="534">
        <f t="shared" si="118"/>
        <v>1079493.1493473318</v>
      </c>
      <c r="BF77" s="534">
        <f t="shared" si="118"/>
        <v>1079493.1493473318</v>
      </c>
      <c r="BG77" s="534">
        <f t="shared" si="118"/>
        <v>345361.93903732579</v>
      </c>
      <c r="BH77" s="534">
        <f t="shared" si="118"/>
        <v>1129111.217153301</v>
      </c>
      <c r="BI77" s="534">
        <f t="shared" si="118"/>
        <v>1129111.217153301</v>
      </c>
      <c r="BJ77" s="534">
        <f t="shared" si="118"/>
        <v>1129111.217153301</v>
      </c>
      <c r="BK77" s="534">
        <f t="shared" si="118"/>
        <v>1129111.217153301</v>
      </c>
      <c r="BL77" s="534">
        <f t="shared" si="118"/>
        <v>1129111.217153301</v>
      </c>
      <c r="BM77" s="534">
        <f t="shared" si="118"/>
        <v>1129111.217153301</v>
      </c>
      <c r="BN77" s="534">
        <f t="shared" si="118"/>
        <v>1144016.9532969976</v>
      </c>
      <c r="BO77" s="534">
        <f t="shared" si="118"/>
        <v>1144016.9532969976</v>
      </c>
      <c r="BP77" s="534">
        <f t="shared" si="118"/>
        <v>1144016.9532969976</v>
      </c>
      <c r="BQ77" s="534">
        <f t="shared" si="118"/>
        <v>1144016.9532969976</v>
      </c>
      <c r="BR77" s="534">
        <f t="shared" si="118"/>
        <v>1144016.9532969976</v>
      </c>
      <c r="BS77" s="534">
        <f t="shared" si="118"/>
        <v>395558.45513852034</v>
      </c>
      <c r="BT77" s="534">
        <f t="shared" si="118"/>
        <v>1202789.3009223097</v>
      </c>
      <c r="BU77" s="534">
        <f t="shared" si="118"/>
        <v>1202789.3009223097</v>
      </c>
      <c r="BV77" s="534">
        <f t="shared" si="118"/>
        <v>1202789.3009223097</v>
      </c>
      <c r="BW77" s="534">
        <f t="shared" si="118"/>
        <v>1202789.3009223097</v>
      </c>
      <c r="BX77" s="534">
        <f t="shared" si="118"/>
        <v>1202789.3009223097</v>
      </c>
      <c r="BY77" s="534">
        <f t="shared" si="118"/>
        <v>1202789.3009223097</v>
      </c>
      <c r="BZ77" s="537"/>
      <c r="CA77" s="537"/>
      <c r="CB77" s="537"/>
    </row>
    <row r="78" spans="1:80" x14ac:dyDescent="0.3">
      <c r="A78" s="551"/>
      <c r="B78" s="548"/>
      <c r="C78" s="525"/>
      <c r="D78" s="525"/>
      <c r="E78" s="566"/>
      <c r="F78" s="581"/>
      <c r="G78" s="581"/>
      <c r="H78" s="581"/>
      <c r="I78" s="536"/>
      <c r="J78" s="536"/>
      <c r="K78" s="536"/>
      <c r="L78" s="536"/>
      <c r="M78" s="536"/>
      <c r="N78" s="536"/>
      <c r="O78" s="536"/>
      <c r="P78" s="582"/>
      <c r="Q78" s="537"/>
      <c r="R78" s="536"/>
      <c r="S78" s="536"/>
      <c r="T78" s="536"/>
      <c r="U78" s="536"/>
      <c r="V78" s="536"/>
      <c r="W78" s="536"/>
      <c r="X78" s="536"/>
      <c r="Y78" s="536"/>
      <c r="Z78" s="536"/>
      <c r="AA78" s="536"/>
      <c r="AB78" s="536"/>
      <c r="AC78" s="536"/>
      <c r="AD78" s="536"/>
      <c r="AE78" s="536"/>
      <c r="AF78" s="536"/>
      <c r="AG78" s="536"/>
      <c r="AH78" s="536"/>
      <c r="AI78" s="536"/>
      <c r="AJ78" s="536"/>
      <c r="AK78" s="536"/>
      <c r="AL78" s="536"/>
      <c r="AM78" s="536"/>
      <c r="AN78" s="536"/>
      <c r="AO78" s="536"/>
      <c r="AP78" s="536"/>
      <c r="AQ78" s="536"/>
      <c r="AR78" s="536"/>
      <c r="AS78" s="536"/>
      <c r="AT78" s="536"/>
      <c r="AU78" s="536"/>
      <c r="AV78" s="536"/>
      <c r="AW78" s="536"/>
      <c r="AX78" s="536"/>
      <c r="AY78" s="536"/>
      <c r="AZ78" s="536"/>
      <c r="BA78" s="536"/>
      <c r="BB78" s="536"/>
      <c r="BC78" s="536"/>
      <c r="BD78" s="536"/>
      <c r="BE78" s="536"/>
      <c r="BF78" s="536"/>
      <c r="BG78" s="536"/>
      <c r="BH78" s="536"/>
      <c r="BI78" s="536"/>
      <c r="BJ78" s="536"/>
      <c r="BK78" s="536"/>
      <c r="BL78" s="536"/>
      <c r="BM78" s="536"/>
      <c r="BN78" s="536"/>
      <c r="BO78" s="536"/>
      <c r="BP78" s="536"/>
      <c r="BQ78" s="536"/>
      <c r="BR78" s="536"/>
      <c r="BS78" s="536"/>
      <c r="BT78" s="536"/>
      <c r="BU78" s="536"/>
      <c r="BV78" s="536"/>
      <c r="BW78" s="536"/>
      <c r="BX78" s="536"/>
      <c r="BY78" s="536"/>
      <c r="BZ78" s="537"/>
      <c r="CA78" s="537"/>
      <c r="CB78" s="537"/>
    </row>
    <row r="79" spans="1:80" x14ac:dyDescent="0.3">
      <c r="A79" s="551"/>
      <c r="B79" s="548"/>
      <c r="C79" s="525"/>
      <c r="D79" s="525"/>
      <c r="E79" s="566"/>
      <c r="F79" s="581"/>
      <c r="G79" s="581"/>
      <c r="H79" s="581"/>
      <c r="I79" s="536"/>
      <c r="J79" s="536"/>
      <c r="K79" s="536"/>
      <c r="L79" s="536"/>
      <c r="M79" s="536"/>
      <c r="N79" s="536"/>
      <c r="O79" s="536"/>
      <c r="P79" s="582"/>
      <c r="Q79" s="537"/>
      <c r="R79" s="536"/>
      <c r="S79" s="536"/>
      <c r="T79" s="536"/>
      <c r="U79" s="536"/>
      <c r="V79" s="536"/>
      <c r="W79" s="536"/>
      <c r="X79" s="536"/>
      <c r="Y79" s="536"/>
      <c r="Z79" s="536"/>
      <c r="AA79" s="536"/>
      <c r="AB79" s="536"/>
      <c r="AC79" s="536"/>
      <c r="AD79" s="536"/>
      <c r="AE79" s="536"/>
      <c r="AF79" s="536"/>
      <c r="AG79" s="536"/>
      <c r="AH79" s="536"/>
      <c r="AI79" s="536"/>
      <c r="AJ79" s="536"/>
      <c r="AK79" s="536"/>
      <c r="AL79" s="536"/>
      <c r="AM79" s="536"/>
      <c r="AN79" s="536"/>
      <c r="AO79" s="536"/>
      <c r="AP79" s="536"/>
      <c r="AQ79" s="536"/>
      <c r="AR79" s="536"/>
      <c r="AS79" s="536"/>
      <c r="AT79" s="536"/>
      <c r="AU79" s="536"/>
      <c r="AV79" s="536"/>
      <c r="AW79" s="536"/>
      <c r="AX79" s="536"/>
      <c r="AY79" s="536"/>
      <c r="AZ79" s="536"/>
      <c r="BA79" s="536"/>
      <c r="BB79" s="536"/>
      <c r="BC79" s="536"/>
      <c r="BD79" s="536"/>
      <c r="BE79" s="536"/>
      <c r="BF79" s="536"/>
      <c r="BG79" s="536"/>
      <c r="BH79" s="536"/>
      <c r="BI79" s="536"/>
      <c r="BJ79" s="536"/>
      <c r="BK79" s="536"/>
      <c r="BL79" s="536"/>
      <c r="BM79" s="536"/>
      <c r="BN79" s="536"/>
      <c r="BO79" s="536"/>
      <c r="BP79" s="536"/>
      <c r="BQ79" s="536"/>
      <c r="BR79" s="536"/>
      <c r="BS79" s="536"/>
      <c r="BT79" s="536"/>
      <c r="BU79" s="536"/>
      <c r="BV79" s="536"/>
      <c r="BW79" s="536"/>
      <c r="BX79" s="536"/>
      <c r="BY79" s="536"/>
      <c r="BZ79" s="537"/>
      <c r="CA79" s="537"/>
      <c r="CB79" s="537"/>
    </row>
    <row r="80" spans="1:80" x14ac:dyDescent="0.3">
      <c r="A80" s="551"/>
      <c r="B80" s="548"/>
      <c r="C80" s="560" t="s">
        <v>37</v>
      </c>
      <c r="D80" s="561"/>
      <c r="E80" s="526" t="s">
        <v>135</v>
      </c>
      <c r="F80" s="526"/>
      <c r="G80" s="526"/>
      <c r="H80" s="526"/>
      <c r="I80" s="526"/>
      <c r="J80" s="526"/>
      <c r="K80" s="526"/>
      <c r="L80" s="526"/>
      <c r="M80" s="526"/>
      <c r="N80" s="526"/>
      <c r="O80" s="526"/>
      <c r="P80" s="560"/>
      <c r="Q80" s="526"/>
      <c r="R80" s="526"/>
      <c r="S80" s="526"/>
      <c r="T80" s="526"/>
      <c r="U80" s="526"/>
      <c r="V80" s="526"/>
      <c r="W80" s="526"/>
      <c r="X80" s="526"/>
      <c r="Y80" s="526"/>
      <c r="Z80" s="526"/>
      <c r="AA80" s="526"/>
      <c r="AB80" s="526"/>
      <c r="AC80" s="526"/>
      <c r="AD80" s="526"/>
      <c r="AE80" s="526"/>
      <c r="AF80" s="526"/>
      <c r="AG80" s="526"/>
      <c r="AH80" s="526"/>
      <c r="AI80" s="526"/>
      <c r="AJ80" s="526"/>
      <c r="AK80" s="526"/>
      <c r="AL80" s="526"/>
      <c r="AM80" s="526"/>
      <c r="AN80" s="526"/>
      <c r="AO80" s="526"/>
      <c r="AP80" s="526"/>
      <c r="AQ80" s="526"/>
      <c r="AR80" s="526"/>
      <c r="AS80" s="526"/>
      <c r="AT80" s="526"/>
      <c r="AU80" s="526"/>
      <c r="AV80" s="526"/>
      <c r="AW80" s="526"/>
      <c r="AX80" s="526"/>
      <c r="AY80" s="526"/>
      <c r="AZ80" s="526"/>
      <c r="BA80" s="526"/>
      <c r="BB80" s="526"/>
      <c r="BC80" s="526"/>
      <c r="BD80" s="526"/>
      <c r="BE80" s="526"/>
      <c r="BF80" s="526"/>
      <c r="BG80" s="526"/>
      <c r="BH80" s="526"/>
      <c r="BI80" s="526"/>
      <c r="BJ80" s="526"/>
      <c r="BK80" s="526"/>
      <c r="BL80" s="526"/>
      <c r="BM80" s="526"/>
      <c r="BN80" s="526"/>
      <c r="BO80" s="526"/>
      <c r="BP80" s="526"/>
      <c r="BQ80" s="526"/>
      <c r="BR80" s="526"/>
      <c r="BS80" s="526"/>
      <c r="BT80" s="526"/>
      <c r="BU80" s="526"/>
      <c r="BV80" s="526"/>
      <c r="BW80" s="526"/>
      <c r="BX80" s="526"/>
      <c r="BY80" s="526"/>
      <c r="BZ80" s="537"/>
      <c r="CA80" s="537"/>
      <c r="CB80" s="537"/>
    </row>
    <row r="81" spans="1:80" x14ac:dyDescent="0.3">
      <c r="A81" s="551"/>
      <c r="B81" s="548"/>
      <c r="C81" s="525"/>
      <c r="D81" s="525"/>
      <c r="E81" s="525"/>
      <c r="F81" s="525"/>
      <c r="G81" s="525"/>
      <c r="H81" s="525"/>
      <c r="I81" s="529"/>
      <c r="J81" s="529"/>
      <c r="K81" s="529"/>
      <c r="L81" s="529"/>
      <c r="M81" s="529"/>
      <c r="N81" s="529"/>
      <c r="O81" s="529"/>
      <c r="P81" s="562"/>
      <c r="Q81" s="537"/>
      <c r="R81" s="529"/>
      <c r="S81" s="525"/>
      <c r="T81" s="525"/>
      <c r="U81" s="525"/>
      <c r="V81" s="525"/>
      <c r="W81" s="525"/>
      <c r="X81" s="525"/>
      <c r="Y81" s="525"/>
      <c r="Z81" s="525"/>
      <c r="AA81" s="525"/>
      <c r="AB81" s="525"/>
      <c r="AC81" s="525"/>
      <c r="AD81" s="525"/>
      <c r="AE81" s="525"/>
      <c r="AF81" s="525"/>
      <c r="AG81" s="525"/>
      <c r="AH81" s="525"/>
      <c r="AI81" s="525"/>
      <c r="AJ81" s="525"/>
      <c r="AK81" s="525"/>
      <c r="AL81" s="525"/>
      <c r="AM81" s="525"/>
      <c r="AN81" s="525"/>
      <c r="AO81" s="525"/>
      <c r="AP81" s="525"/>
      <c r="AQ81" s="525"/>
      <c r="AR81" s="525"/>
      <c r="AS81" s="525"/>
      <c r="AT81" s="525"/>
      <c r="AU81" s="525"/>
      <c r="AV81" s="525"/>
      <c r="AW81" s="525"/>
      <c r="AX81" s="525"/>
      <c r="AY81" s="525"/>
      <c r="AZ81" s="525"/>
      <c r="BA81" s="525"/>
      <c r="BB81" s="525"/>
      <c r="BC81" s="525"/>
      <c r="BD81" s="525"/>
      <c r="BE81" s="525"/>
      <c r="BF81" s="525"/>
      <c r="BG81" s="525"/>
      <c r="BH81" s="525"/>
      <c r="BI81" s="525"/>
      <c r="BJ81" s="525"/>
      <c r="BK81" s="525"/>
      <c r="BL81" s="525"/>
      <c r="BM81" s="525"/>
      <c r="BN81" s="525"/>
      <c r="BO81" s="525"/>
      <c r="BP81" s="525"/>
      <c r="BQ81" s="525"/>
      <c r="BR81" s="525"/>
      <c r="BS81" s="525"/>
      <c r="BT81" s="525"/>
      <c r="BU81" s="525"/>
      <c r="BV81" s="525"/>
      <c r="BW81" s="525"/>
      <c r="BX81" s="525"/>
      <c r="BY81" s="525"/>
      <c r="BZ81" s="537"/>
      <c r="CA81" s="537"/>
      <c r="CB81" s="537"/>
    </row>
    <row r="82" spans="1:80" x14ac:dyDescent="0.3">
      <c r="A82" s="551"/>
      <c r="B82" s="548"/>
      <c r="C82" s="525"/>
      <c r="D82" s="525"/>
      <c r="E82" s="525" t="s">
        <v>68</v>
      </c>
      <c r="F82" s="525"/>
      <c r="G82" s="525"/>
      <c r="H82" s="525"/>
      <c r="I82" s="527">
        <f t="shared" ref="I82:N82" si="119">I9</f>
        <v>123</v>
      </c>
      <c r="J82" s="527">
        <f t="shared" si="119"/>
        <v>123</v>
      </c>
      <c r="K82" s="527">
        <f t="shared" si="119"/>
        <v>123</v>
      </c>
      <c r="L82" s="527">
        <f t="shared" si="119"/>
        <v>123</v>
      </c>
      <c r="M82" s="527">
        <f t="shared" si="119"/>
        <v>123</v>
      </c>
      <c r="N82" s="527">
        <f t="shared" si="119"/>
        <v>123</v>
      </c>
      <c r="O82" s="529"/>
      <c r="P82" s="562"/>
      <c r="Q82" s="537"/>
      <c r="R82" s="527">
        <f t="shared" ref="R82:AW82" si="120">R9</f>
        <v>123</v>
      </c>
      <c r="S82" s="527">
        <f t="shared" si="120"/>
        <v>123</v>
      </c>
      <c r="T82" s="527">
        <f t="shared" si="120"/>
        <v>123</v>
      </c>
      <c r="U82" s="527">
        <f t="shared" si="120"/>
        <v>123</v>
      </c>
      <c r="V82" s="527">
        <f t="shared" si="120"/>
        <v>123</v>
      </c>
      <c r="W82" s="527">
        <f t="shared" si="120"/>
        <v>123</v>
      </c>
      <c r="X82" s="527">
        <f t="shared" si="120"/>
        <v>123</v>
      </c>
      <c r="Y82" s="527">
        <f t="shared" si="120"/>
        <v>123</v>
      </c>
      <c r="Z82" s="527">
        <f t="shared" si="120"/>
        <v>123</v>
      </c>
      <c r="AA82" s="527">
        <f t="shared" si="120"/>
        <v>123</v>
      </c>
      <c r="AB82" s="527">
        <f t="shared" si="120"/>
        <v>123</v>
      </c>
      <c r="AC82" s="527">
        <f t="shared" si="120"/>
        <v>123</v>
      </c>
      <c r="AD82" s="527">
        <f t="shared" si="120"/>
        <v>123</v>
      </c>
      <c r="AE82" s="527">
        <f t="shared" si="120"/>
        <v>123</v>
      </c>
      <c r="AF82" s="527">
        <f t="shared" si="120"/>
        <v>123</v>
      </c>
      <c r="AG82" s="527">
        <f t="shared" si="120"/>
        <v>123</v>
      </c>
      <c r="AH82" s="527">
        <f t="shared" si="120"/>
        <v>123</v>
      </c>
      <c r="AI82" s="527">
        <f t="shared" si="120"/>
        <v>123</v>
      </c>
      <c r="AJ82" s="527">
        <f t="shared" si="120"/>
        <v>123</v>
      </c>
      <c r="AK82" s="527">
        <f t="shared" si="120"/>
        <v>123</v>
      </c>
      <c r="AL82" s="527">
        <f t="shared" si="120"/>
        <v>123</v>
      </c>
      <c r="AM82" s="527">
        <f t="shared" si="120"/>
        <v>123</v>
      </c>
      <c r="AN82" s="527">
        <f t="shared" si="120"/>
        <v>123</v>
      </c>
      <c r="AO82" s="527">
        <f t="shared" si="120"/>
        <v>123</v>
      </c>
      <c r="AP82" s="527">
        <f t="shared" si="120"/>
        <v>123</v>
      </c>
      <c r="AQ82" s="527">
        <f t="shared" si="120"/>
        <v>123</v>
      </c>
      <c r="AR82" s="527">
        <f t="shared" si="120"/>
        <v>123</v>
      </c>
      <c r="AS82" s="527">
        <f t="shared" si="120"/>
        <v>123</v>
      </c>
      <c r="AT82" s="527">
        <f t="shared" si="120"/>
        <v>123</v>
      </c>
      <c r="AU82" s="527">
        <f t="shared" si="120"/>
        <v>123</v>
      </c>
      <c r="AV82" s="527">
        <f t="shared" si="120"/>
        <v>123</v>
      </c>
      <c r="AW82" s="527">
        <f t="shared" si="120"/>
        <v>123</v>
      </c>
      <c r="AX82" s="527">
        <f t="shared" ref="AX82:BY82" si="121">AX9</f>
        <v>123</v>
      </c>
      <c r="AY82" s="527">
        <f t="shared" si="121"/>
        <v>123</v>
      </c>
      <c r="AZ82" s="527">
        <f t="shared" si="121"/>
        <v>123</v>
      </c>
      <c r="BA82" s="527">
        <f t="shared" si="121"/>
        <v>123</v>
      </c>
      <c r="BB82" s="527">
        <f t="shared" si="121"/>
        <v>123</v>
      </c>
      <c r="BC82" s="527">
        <f t="shared" si="121"/>
        <v>123</v>
      </c>
      <c r="BD82" s="527">
        <f t="shared" si="121"/>
        <v>123</v>
      </c>
      <c r="BE82" s="527">
        <f t="shared" si="121"/>
        <v>123</v>
      </c>
      <c r="BF82" s="527">
        <f t="shared" si="121"/>
        <v>123</v>
      </c>
      <c r="BG82" s="527">
        <f t="shared" si="121"/>
        <v>123</v>
      </c>
      <c r="BH82" s="527">
        <f t="shared" si="121"/>
        <v>123</v>
      </c>
      <c r="BI82" s="527">
        <f t="shared" si="121"/>
        <v>123</v>
      </c>
      <c r="BJ82" s="527">
        <f t="shared" si="121"/>
        <v>123</v>
      </c>
      <c r="BK82" s="527">
        <f t="shared" si="121"/>
        <v>123</v>
      </c>
      <c r="BL82" s="527">
        <f t="shared" si="121"/>
        <v>123</v>
      </c>
      <c r="BM82" s="527">
        <f t="shared" si="121"/>
        <v>123</v>
      </c>
      <c r="BN82" s="527">
        <f t="shared" si="121"/>
        <v>123</v>
      </c>
      <c r="BO82" s="527">
        <f t="shared" si="121"/>
        <v>123</v>
      </c>
      <c r="BP82" s="527">
        <f t="shared" si="121"/>
        <v>123</v>
      </c>
      <c r="BQ82" s="527">
        <f t="shared" si="121"/>
        <v>123</v>
      </c>
      <c r="BR82" s="527">
        <f t="shared" si="121"/>
        <v>123</v>
      </c>
      <c r="BS82" s="527">
        <f t="shared" si="121"/>
        <v>123</v>
      </c>
      <c r="BT82" s="527">
        <f t="shared" si="121"/>
        <v>123</v>
      </c>
      <c r="BU82" s="527">
        <f t="shared" si="121"/>
        <v>123</v>
      </c>
      <c r="BV82" s="527">
        <f t="shared" si="121"/>
        <v>123</v>
      </c>
      <c r="BW82" s="527">
        <f t="shared" si="121"/>
        <v>123</v>
      </c>
      <c r="BX82" s="527">
        <f t="shared" si="121"/>
        <v>123</v>
      </c>
      <c r="BY82" s="527">
        <f t="shared" si="121"/>
        <v>123</v>
      </c>
      <c r="BZ82" s="537"/>
      <c r="CA82" s="537"/>
      <c r="CB82" s="537"/>
    </row>
    <row r="83" spans="1:80" x14ac:dyDescent="0.3">
      <c r="A83" s="551"/>
      <c r="B83" s="548"/>
      <c r="C83" s="525"/>
      <c r="D83" s="525"/>
      <c r="E83" s="525"/>
      <c r="F83" s="525"/>
      <c r="G83" s="525"/>
      <c r="H83" s="525"/>
      <c r="I83" s="529"/>
      <c r="J83" s="525"/>
      <c r="K83" s="525"/>
      <c r="L83" s="525"/>
      <c r="M83" s="525"/>
      <c r="N83" s="525"/>
      <c r="O83" s="525"/>
      <c r="P83" s="565"/>
      <c r="Q83" s="537"/>
      <c r="R83" s="525"/>
      <c r="S83" s="525"/>
      <c r="T83" s="525"/>
      <c r="U83" s="525"/>
      <c r="V83" s="525"/>
      <c r="W83" s="525"/>
      <c r="X83" s="525"/>
      <c r="Y83" s="525"/>
      <c r="Z83" s="525"/>
      <c r="AA83" s="525"/>
      <c r="AB83" s="525"/>
      <c r="AC83" s="525"/>
      <c r="AD83" s="525"/>
      <c r="AE83" s="525"/>
      <c r="AF83" s="525"/>
      <c r="AG83" s="525"/>
      <c r="AH83" s="525"/>
      <c r="AI83" s="525"/>
      <c r="AJ83" s="525"/>
      <c r="AK83" s="525"/>
      <c r="AL83" s="525"/>
      <c r="AM83" s="525"/>
      <c r="AN83" s="525"/>
      <c r="AO83" s="525"/>
      <c r="AP83" s="525"/>
      <c r="AQ83" s="525"/>
      <c r="AR83" s="525"/>
      <c r="AS83" s="525"/>
      <c r="AT83" s="525"/>
      <c r="AU83" s="525"/>
      <c r="AV83" s="525"/>
      <c r="AW83" s="525"/>
      <c r="AX83" s="525"/>
      <c r="AY83" s="525"/>
      <c r="AZ83" s="525"/>
      <c r="BA83" s="525"/>
      <c r="BB83" s="525"/>
      <c r="BC83" s="525"/>
      <c r="BD83" s="525"/>
      <c r="BE83" s="525"/>
      <c r="BF83" s="525"/>
      <c r="BG83" s="525"/>
      <c r="BH83" s="525"/>
      <c r="BI83" s="525"/>
      <c r="BJ83" s="525"/>
      <c r="BK83" s="525"/>
      <c r="BL83" s="525"/>
      <c r="BM83" s="525"/>
      <c r="BN83" s="525"/>
      <c r="BO83" s="525"/>
      <c r="BP83" s="525"/>
      <c r="BQ83" s="525"/>
      <c r="BR83" s="525"/>
      <c r="BS83" s="525"/>
      <c r="BT83" s="525"/>
      <c r="BU83" s="525"/>
      <c r="BV83" s="525"/>
      <c r="BW83" s="525"/>
      <c r="BX83" s="525"/>
      <c r="BY83" s="525"/>
      <c r="BZ83" s="537"/>
      <c r="CA83" s="537"/>
      <c r="CB83" s="537"/>
    </row>
    <row r="84" spans="1:80" x14ac:dyDescent="0.3">
      <c r="A84" s="551"/>
      <c r="B84" s="548"/>
      <c r="C84" s="525"/>
      <c r="D84" s="525"/>
      <c r="E84" s="566" t="s">
        <v>373</v>
      </c>
      <c r="F84" s="567"/>
      <c r="G84" s="567"/>
      <c r="H84" s="567"/>
      <c r="I84" s="527">
        <f t="shared" ref="I84:N84" si="122">I19/I$82</f>
        <v>172.77980047720976</v>
      </c>
      <c r="J84" s="527">
        <f t="shared" si="122"/>
        <v>174.66178475449672</v>
      </c>
      <c r="K84" s="527">
        <f t="shared" si="122"/>
        <v>177.84397694855116</v>
      </c>
      <c r="L84" s="527">
        <f t="shared" si="122"/>
        <v>180.99571134891377</v>
      </c>
      <c r="M84" s="527">
        <f t="shared" si="122"/>
        <v>184.27710914095815</v>
      </c>
      <c r="N84" s="527">
        <f t="shared" si="122"/>
        <v>187.62473298391976</v>
      </c>
      <c r="O84" s="529"/>
      <c r="P84" s="562"/>
      <c r="Q84" s="537"/>
      <c r="R84" s="527">
        <f t="shared" ref="R84:AW84" si="123">R19/R$82</f>
        <v>14.398316706434148</v>
      </c>
      <c r="S84" s="527">
        <f t="shared" si="123"/>
        <v>14.398316706434148</v>
      </c>
      <c r="T84" s="527">
        <f t="shared" si="123"/>
        <v>14.398316706434148</v>
      </c>
      <c r="U84" s="527">
        <f t="shared" si="123"/>
        <v>14.398316706434148</v>
      </c>
      <c r="V84" s="527">
        <f t="shared" si="123"/>
        <v>14.398316706434148</v>
      </c>
      <c r="W84" s="527">
        <f t="shared" si="123"/>
        <v>14.398316706434148</v>
      </c>
      <c r="X84" s="527">
        <f t="shared" si="123"/>
        <v>14.711980752648635</v>
      </c>
      <c r="Y84" s="527">
        <f t="shared" si="123"/>
        <v>14.711980752648635</v>
      </c>
      <c r="Z84" s="527">
        <f t="shared" si="123"/>
        <v>14.711980752648635</v>
      </c>
      <c r="AA84" s="527">
        <f t="shared" si="123"/>
        <v>14.711980752648635</v>
      </c>
      <c r="AB84" s="527">
        <f t="shared" si="123"/>
        <v>14.711980752648635</v>
      </c>
      <c r="AC84" s="527">
        <f t="shared" si="123"/>
        <v>14.711980752648635</v>
      </c>
      <c r="AD84" s="527">
        <f t="shared" si="123"/>
        <v>14.62662895153645</v>
      </c>
      <c r="AE84" s="527">
        <f t="shared" si="123"/>
        <v>14.62662895153645</v>
      </c>
      <c r="AF84" s="527">
        <f t="shared" si="123"/>
        <v>14.62662895153645</v>
      </c>
      <c r="AG84" s="527">
        <f t="shared" si="123"/>
        <v>14.62662895153645</v>
      </c>
      <c r="AH84" s="527">
        <f t="shared" si="123"/>
        <v>14.62662895153645</v>
      </c>
      <c r="AI84" s="527">
        <f t="shared" si="123"/>
        <v>14.62662895153645</v>
      </c>
      <c r="AJ84" s="527">
        <f t="shared" si="123"/>
        <v>15.014033873222068</v>
      </c>
      <c r="AK84" s="527">
        <f t="shared" si="123"/>
        <v>15.014033873222068</v>
      </c>
      <c r="AL84" s="527">
        <f t="shared" si="123"/>
        <v>15.014033873222068</v>
      </c>
      <c r="AM84" s="527">
        <f t="shared" si="123"/>
        <v>15.014033873222068</v>
      </c>
      <c r="AN84" s="527">
        <f t="shared" si="123"/>
        <v>15.014033873222068</v>
      </c>
      <c r="AO84" s="527">
        <f t="shared" si="123"/>
        <v>15.014033873222068</v>
      </c>
      <c r="AP84" s="527">
        <f t="shared" si="123"/>
        <v>14.852911473124966</v>
      </c>
      <c r="AQ84" s="527">
        <f t="shared" si="123"/>
        <v>14.852911473124966</v>
      </c>
      <c r="AR84" s="527">
        <f t="shared" si="123"/>
        <v>14.852911473124966</v>
      </c>
      <c r="AS84" s="527">
        <f t="shared" si="123"/>
        <v>14.852911473124966</v>
      </c>
      <c r="AT84" s="527">
        <f t="shared" si="123"/>
        <v>14.852911473124966</v>
      </c>
      <c r="AU84" s="527">
        <f t="shared" si="123"/>
        <v>14.852911473124966</v>
      </c>
      <c r="AV84" s="527">
        <f t="shared" si="123"/>
        <v>15.313040418360657</v>
      </c>
      <c r="AW84" s="527">
        <f t="shared" si="123"/>
        <v>15.313040418360657</v>
      </c>
      <c r="AX84" s="527">
        <f t="shared" ref="AX84:BY84" si="124">AX19/AX$82</f>
        <v>15.313040418360657</v>
      </c>
      <c r="AY84" s="527">
        <f t="shared" si="124"/>
        <v>15.313040418360657</v>
      </c>
      <c r="AZ84" s="527">
        <f t="shared" si="124"/>
        <v>15.313040418360657</v>
      </c>
      <c r="BA84" s="527">
        <f t="shared" si="124"/>
        <v>15.313040418360657</v>
      </c>
      <c r="BB84" s="527">
        <f t="shared" si="124"/>
        <v>15.090278990800481</v>
      </c>
      <c r="BC84" s="527">
        <f t="shared" si="124"/>
        <v>15.090278990800481</v>
      </c>
      <c r="BD84" s="527">
        <f t="shared" si="124"/>
        <v>15.090278990800481</v>
      </c>
      <c r="BE84" s="527">
        <f t="shared" si="124"/>
        <v>15.090278990800481</v>
      </c>
      <c r="BF84" s="527">
        <f t="shared" si="124"/>
        <v>15.090278990800481</v>
      </c>
      <c r="BG84" s="527">
        <f t="shared" si="124"/>
        <v>15.090278990800481</v>
      </c>
      <c r="BH84" s="527">
        <f t="shared" si="124"/>
        <v>15.622572532692546</v>
      </c>
      <c r="BI84" s="527">
        <f t="shared" si="124"/>
        <v>15.622572532692546</v>
      </c>
      <c r="BJ84" s="527">
        <f t="shared" si="124"/>
        <v>15.622572532692546</v>
      </c>
      <c r="BK84" s="527">
        <f t="shared" si="124"/>
        <v>15.622572532692546</v>
      </c>
      <c r="BL84" s="527">
        <f t="shared" si="124"/>
        <v>15.622572532692546</v>
      </c>
      <c r="BM84" s="527">
        <f t="shared" si="124"/>
        <v>15.622572532692546</v>
      </c>
      <c r="BN84" s="527">
        <f t="shared" si="124"/>
        <v>15.33382691331949</v>
      </c>
      <c r="BO84" s="527">
        <f t="shared" si="124"/>
        <v>15.33382691331949</v>
      </c>
      <c r="BP84" s="527">
        <f t="shared" si="124"/>
        <v>15.33382691331949</v>
      </c>
      <c r="BQ84" s="527">
        <f t="shared" si="124"/>
        <v>15.33382691331949</v>
      </c>
      <c r="BR84" s="527">
        <f t="shared" si="124"/>
        <v>15.33382691331949</v>
      </c>
      <c r="BS84" s="527">
        <f t="shared" si="124"/>
        <v>15.33382691331949</v>
      </c>
      <c r="BT84" s="527">
        <f t="shared" si="124"/>
        <v>15.936961917333807</v>
      </c>
      <c r="BU84" s="527">
        <f t="shared" si="124"/>
        <v>15.936961917333807</v>
      </c>
      <c r="BV84" s="527">
        <f t="shared" si="124"/>
        <v>15.936961917333807</v>
      </c>
      <c r="BW84" s="527">
        <f t="shared" si="124"/>
        <v>15.936961917333807</v>
      </c>
      <c r="BX84" s="527">
        <f t="shared" si="124"/>
        <v>15.936961917333807</v>
      </c>
      <c r="BY84" s="527">
        <f t="shared" si="124"/>
        <v>15.936961917333807</v>
      </c>
      <c r="BZ84" s="537"/>
      <c r="CA84" s="537"/>
      <c r="CB84" s="537"/>
    </row>
    <row r="85" spans="1:80" x14ac:dyDescent="0.3">
      <c r="A85" s="551"/>
      <c r="B85" s="548"/>
      <c r="C85" s="525"/>
      <c r="D85" s="525"/>
      <c r="E85" s="525"/>
      <c r="F85" s="529"/>
      <c r="G85" s="529"/>
      <c r="H85" s="529"/>
      <c r="I85" s="529"/>
      <c r="J85" s="529"/>
      <c r="K85" s="529"/>
      <c r="L85" s="529"/>
      <c r="M85" s="529"/>
      <c r="N85" s="529"/>
      <c r="O85" s="529"/>
      <c r="P85" s="562"/>
      <c r="Q85" s="537"/>
      <c r="R85" s="529"/>
      <c r="S85" s="529"/>
      <c r="T85" s="529"/>
      <c r="U85" s="529"/>
      <c r="V85" s="529"/>
      <c r="W85" s="529"/>
      <c r="X85" s="529"/>
      <c r="Y85" s="529"/>
      <c r="Z85" s="529"/>
      <c r="AA85" s="529"/>
      <c r="AB85" s="529"/>
      <c r="AC85" s="529"/>
      <c r="AD85" s="529"/>
      <c r="AE85" s="529"/>
      <c r="AF85" s="529"/>
      <c r="AG85" s="529"/>
      <c r="AH85" s="529"/>
      <c r="AI85" s="529"/>
      <c r="AJ85" s="529"/>
      <c r="AK85" s="529"/>
      <c r="AL85" s="529"/>
      <c r="AM85" s="529"/>
      <c r="AN85" s="529"/>
      <c r="AO85" s="529"/>
      <c r="AP85" s="529"/>
      <c r="AQ85" s="529"/>
      <c r="AR85" s="529"/>
      <c r="AS85" s="529"/>
      <c r="AT85" s="529"/>
      <c r="AU85" s="529"/>
      <c r="AV85" s="529"/>
      <c r="AW85" s="529"/>
      <c r="AX85" s="529"/>
      <c r="AY85" s="529"/>
      <c r="AZ85" s="529"/>
      <c r="BA85" s="529"/>
      <c r="BB85" s="529"/>
      <c r="BC85" s="529"/>
      <c r="BD85" s="529"/>
      <c r="BE85" s="529"/>
      <c r="BF85" s="529"/>
      <c r="BG85" s="529"/>
      <c r="BH85" s="529"/>
      <c r="BI85" s="529"/>
      <c r="BJ85" s="529"/>
      <c r="BK85" s="529"/>
      <c r="BL85" s="529"/>
      <c r="BM85" s="529"/>
      <c r="BN85" s="529"/>
      <c r="BO85" s="529"/>
      <c r="BP85" s="529"/>
      <c r="BQ85" s="529"/>
      <c r="BR85" s="529"/>
      <c r="BS85" s="529"/>
      <c r="BT85" s="529"/>
      <c r="BU85" s="529"/>
      <c r="BV85" s="529"/>
      <c r="BW85" s="529"/>
      <c r="BX85" s="529"/>
      <c r="BY85" s="529"/>
      <c r="BZ85" s="537"/>
      <c r="CA85" s="537"/>
      <c r="CB85" s="537"/>
    </row>
    <row r="86" spans="1:80" x14ac:dyDescent="0.3">
      <c r="A86" s="551"/>
      <c r="B86" s="548"/>
      <c r="C86" s="525"/>
      <c r="D86" s="525"/>
      <c r="E86" s="570" t="s">
        <v>22</v>
      </c>
      <c r="F86" s="529"/>
      <c r="G86" s="529"/>
      <c r="H86" s="529"/>
      <c r="I86" s="529"/>
      <c r="J86" s="529"/>
      <c r="K86" s="529"/>
      <c r="L86" s="529"/>
      <c r="M86" s="529"/>
      <c r="N86" s="529"/>
      <c r="O86" s="529"/>
      <c r="P86" s="562"/>
      <c r="Q86" s="537"/>
      <c r="R86" s="529"/>
      <c r="S86" s="529"/>
      <c r="T86" s="529"/>
      <c r="U86" s="529"/>
      <c r="V86" s="529"/>
      <c r="W86" s="529"/>
      <c r="X86" s="529"/>
      <c r="Y86" s="529"/>
      <c r="Z86" s="529"/>
      <c r="AA86" s="529"/>
      <c r="AB86" s="529"/>
      <c r="AC86" s="529"/>
      <c r="AD86" s="529"/>
      <c r="AE86" s="529"/>
      <c r="AF86" s="529"/>
      <c r="AG86" s="529"/>
      <c r="AH86" s="529"/>
      <c r="AI86" s="529"/>
      <c r="AJ86" s="529"/>
      <c r="AK86" s="529"/>
      <c r="AL86" s="529"/>
      <c r="AM86" s="529"/>
      <c r="AN86" s="529"/>
      <c r="AO86" s="529"/>
      <c r="AP86" s="529"/>
      <c r="AQ86" s="529"/>
      <c r="AR86" s="529"/>
      <c r="AS86" s="529"/>
      <c r="AT86" s="529"/>
      <c r="AU86" s="529"/>
      <c r="AV86" s="529"/>
      <c r="AW86" s="529"/>
      <c r="AX86" s="529"/>
      <c r="AY86" s="529"/>
      <c r="AZ86" s="529"/>
      <c r="BA86" s="529"/>
      <c r="BB86" s="529"/>
      <c r="BC86" s="529"/>
      <c r="BD86" s="529"/>
      <c r="BE86" s="529"/>
      <c r="BF86" s="529"/>
      <c r="BG86" s="529"/>
      <c r="BH86" s="529"/>
      <c r="BI86" s="529"/>
      <c r="BJ86" s="529"/>
      <c r="BK86" s="529"/>
      <c r="BL86" s="529"/>
      <c r="BM86" s="529"/>
      <c r="BN86" s="529"/>
      <c r="BO86" s="529"/>
      <c r="BP86" s="529"/>
      <c r="BQ86" s="529"/>
      <c r="BR86" s="529"/>
      <c r="BS86" s="529"/>
      <c r="BT86" s="529"/>
      <c r="BU86" s="529"/>
      <c r="BV86" s="529"/>
      <c r="BW86" s="529"/>
      <c r="BX86" s="529"/>
      <c r="BY86" s="529"/>
      <c r="BZ86" s="537"/>
      <c r="CA86" s="537"/>
      <c r="CB86" s="537"/>
    </row>
    <row r="87" spans="1:80" x14ac:dyDescent="0.3">
      <c r="A87" s="551"/>
      <c r="B87" s="548"/>
      <c r="C87" s="525"/>
      <c r="D87" s="525"/>
      <c r="E87" s="572" t="s">
        <v>388</v>
      </c>
      <c r="F87" s="573"/>
      <c r="G87" s="573"/>
      <c r="H87" s="573"/>
      <c r="I87" s="530">
        <f t="shared" ref="I87:N92" si="125">I22/I$82</f>
        <v>134802.52611899853</v>
      </c>
      <c r="J87" s="530">
        <f t="shared" si="125"/>
        <v>141383.5350654207</v>
      </c>
      <c r="K87" s="530">
        <f t="shared" si="125"/>
        <v>149214.84663490162</v>
      </c>
      <c r="L87" s="530">
        <f t="shared" si="125"/>
        <v>157215.87489695946</v>
      </c>
      <c r="M87" s="530">
        <f t="shared" si="125"/>
        <v>165492.41159970729</v>
      </c>
      <c r="N87" s="530">
        <f t="shared" si="125"/>
        <v>174213.6281242751</v>
      </c>
      <c r="O87" s="536"/>
      <c r="P87" s="568">
        <f t="shared" ref="P87:P93" si="126">IFERROR(((N87/I87)^(1/5))-1,0)</f>
        <v>5.2632607157044653E-2</v>
      </c>
      <c r="Q87" s="537"/>
      <c r="R87" s="530">
        <f t="shared" ref="R87:AW87" si="127">R22/R$82</f>
        <v>11655.010383688159</v>
      </c>
      <c r="S87" s="530">
        <f t="shared" si="127"/>
        <v>11655.010383688159</v>
      </c>
      <c r="T87" s="530">
        <f t="shared" si="127"/>
        <v>11655.010383688159</v>
      </c>
      <c r="U87" s="530">
        <f t="shared" si="127"/>
        <v>11655.010383688159</v>
      </c>
      <c r="V87" s="530">
        <f t="shared" si="127"/>
        <v>11655.010383688159</v>
      </c>
      <c r="W87" s="530">
        <f t="shared" si="127"/>
        <v>11655.010383688159</v>
      </c>
      <c r="X87" s="530">
        <f t="shared" si="127"/>
        <v>11908.912127215293</v>
      </c>
      <c r="Y87" s="530">
        <f t="shared" si="127"/>
        <v>11908.912127215293</v>
      </c>
      <c r="Z87" s="530">
        <f t="shared" si="127"/>
        <v>11908.912127215293</v>
      </c>
      <c r="AA87" s="530">
        <f t="shared" si="127"/>
        <v>11908.912127215293</v>
      </c>
      <c r="AB87" s="530">
        <f t="shared" si="127"/>
        <v>11908.912127215293</v>
      </c>
      <c r="AC87" s="530">
        <f t="shared" si="127"/>
        <v>11908.912127215293</v>
      </c>
      <c r="AD87" s="530">
        <f t="shared" si="127"/>
        <v>12272.050103898129</v>
      </c>
      <c r="AE87" s="530">
        <f t="shared" si="127"/>
        <v>12272.050103898129</v>
      </c>
      <c r="AF87" s="530">
        <f t="shared" si="127"/>
        <v>12272.050103898129</v>
      </c>
      <c r="AG87" s="530">
        <f t="shared" si="127"/>
        <v>12272.050103898129</v>
      </c>
      <c r="AH87" s="530">
        <f t="shared" si="127"/>
        <v>12272.050103898129</v>
      </c>
      <c r="AI87" s="530">
        <f t="shared" si="127"/>
        <v>12272.050103898129</v>
      </c>
      <c r="AJ87" s="530">
        <f t="shared" si="127"/>
        <v>12597.091001918807</v>
      </c>
      <c r="AK87" s="530">
        <f t="shared" si="127"/>
        <v>12597.091001918807</v>
      </c>
      <c r="AL87" s="530">
        <f t="shared" si="127"/>
        <v>12597.091001918807</v>
      </c>
      <c r="AM87" s="530">
        <f t="shared" si="127"/>
        <v>12597.091001918807</v>
      </c>
      <c r="AN87" s="530">
        <f t="shared" si="127"/>
        <v>12597.091001918807</v>
      </c>
      <c r="AO87" s="530">
        <f t="shared" si="127"/>
        <v>12597.091001918807</v>
      </c>
      <c r="AP87" s="530">
        <f t="shared" si="127"/>
        <v>12901.485093825913</v>
      </c>
      <c r="AQ87" s="530">
        <f t="shared" si="127"/>
        <v>12901.485093825913</v>
      </c>
      <c r="AR87" s="530">
        <f t="shared" si="127"/>
        <v>12901.485093825913</v>
      </c>
      <c r="AS87" s="530">
        <f t="shared" si="127"/>
        <v>12901.485093825913</v>
      </c>
      <c r="AT87" s="530">
        <f t="shared" si="127"/>
        <v>12901.485093825913</v>
      </c>
      <c r="AU87" s="530">
        <f t="shared" si="127"/>
        <v>12901.485093825913</v>
      </c>
      <c r="AV87" s="530">
        <f t="shared" si="127"/>
        <v>13301.160722333994</v>
      </c>
      <c r="AW87" s="530">
        <f t="shared" si="127"/>
        <v>13301.160722333994</v>
      </c>
      <c r="AX87" s="530">
        <f t="shared" ref="AX87:BY87" si="128">AX22/AX$82</f>
        <v>13301.160722333994</v>
      </c>
      <c r="AY87" s="530">
        <f t="shared" si="128"/>
        <v>13301.160722333994</v>
      </c>
      <c r="AZ87" s="530">
        <f t="shared" si="128"/>
        <v>13301.160722333994</v>
      </c>
      <c r="BA87" s="530">
        <f t="shared" si="128"/>
        <v>13301.160722333994</v>
      </c>
      <c r="BB87" s="530">
        <f t="shared" si="128"/>
        <v>13552.017792886587</v>
      </c>
      <c r="BC87" s="530">
        <f t="shared" si="128"/>
        <v>13552.017792886587</v>
      </c>
      <c r="BD87" s="530">
        <f t="shared" si="128"/>
        <v>13552.017792886587</v>
      </c>
      <c r="BE87" s="530">
        <f t="shared" si="128"/>
        <v>13552.017792886587</v>
      </c>
      <c r="BF87" s="530">
        <f t="shared" si="128"/>
        <v>13552.017792886587</v>
      </c>
      <c r="BG87" s="530">
        <f t="shared" si="128"/>
        <v>13552.017792886587</v>
      </c>
      <c r="BH87" s="530">
        <f t="shared" si="128"/>
        <v>14030.050807064625</v>
      </c>
      <c r="BI87" s="530">
        <f t="shared" si="128"/>
        <v>14030.050807064625</v>
      </c>
      <c r="BJ87" s="530">
        <f t="shared" si="128"/>
        <v>14030.050807064625</v>
      </c>
      <c r="BK87" s="530">
        <f t="shared" si="128"/>
        <v>14030.050807064625</v>
      </c>
      <c r="BL87" s="530">
        <f t="shared" si="128"/>
        <v>14030.050807064625</v>
      </c>
      <c r="BM87" s="530">
        <f t="shared" si="128"/>
        <v>14030.050807064625</v>
      </c>
      <c r="BN87" s="530">
        <f t="shared" si="128"/>
        <v>14237.790386771605</v>
      </c>
      <c r="BO87" s="530">
        <f t="shared" si="128"/>
        <v>14237.790386771605</v>
      </c>
      <c r="BP87" s="530">
        <f t="shared" si="128"/>
        <v>14237.790386771605</v>
      </c>
      <c r="BQ87" s="530">
        <f t="shared" si="128"/>
        <v>14237.790386771605</v>
      </c>
      <c r="BR87" s="530">
        <f t="shared" si="128"/>
        <v>14237.790386771605</v>
      </c>
      <c r="BS87" s="530">
        <f t="shared" si="128"/>
        <v>14237.790386771605</v>
      </c>
      <c r="BT87" s="530">
        <f t="shared" si="128"/>
        <v>14797.814300607575</v>
      </c>
      <c r="BU87" s="530">
        <f t="shared" si="128"/>
        <v>14797.814300607575</v>
      </c>
      <c r="BV87" s="530">
        <f t="shared" si="128"/>
        <v>14797.814300607575</v>
      </c>
      <c r="BW87" s="530">
        <f t="shared" si="128"/>
        <v>14797.814300607575</v>
      </c>
      <c r="BX87" s="530">
        <f t="shared" si="128"/>
        <v>14797.814300607575</v>
      </c>
      <c r="BY87" s="530">
        <f t="shared" si="128"/>
        <v>14797.814300607575</v>
      </c>
      <c r="BZ87" s="537"/>
      <c r="CA87" s="537"/>
      <c r="CB87" s="574"/>
    </row>
    <row r="88" spans="1:80" x14ac:dyDescent="0.3">
      <c r="A88" s="551"/>
      <c r="B88" s="548"/>
      <c r="C88" s="525"/>
      <c r="D88" s="525"/>
      <c r="E88" s="525" t="s">
        <v>387</v>
      </c>
      <c r="F88" s="567"/>
      <c r="G88" s="567"/>
      <c r="H88" s="567"/>
      <c r="I88" s="527">
        <f t="shared" si="125"/>
        <v>-42812.56763782927</v>
      </c>
      <c r="J88" s="527">
        <f t="shared" si="125"/>
        <v>-43707.822160673859</v>
      </c>
      <c r="K88" s="527">
        <f t="shared" si="125"/>
        <v>-44949.615167001983</v>
      </c>
      <c r="L88" s="527">
        <f t="shared" si="125"/>
        <v>-46208.642944578045</v>
      </c>
      <c r="M88" s="527">
        <f t="shared" si="125"/>
        <v>-47526.626800666185</v>
      </c>
      <c r="N88" s="527">
        <f t="shared" si="125"/>
        <v>-48888.745649781747</v>
      </c>
      <c r="O88" s="529"/>
      <c r="P88" s="564">
        <f t="shared" si="126"/>
        <v>2.6898510521139896E-2</v>
      </c>
      <c r="Q88" s="537"/>
      <c r="R88" s="527">
        <f t="shared" ref="R88:AW88" si="129">R23/R$82</f>
        <v>-3603.0724574494029</v>
      </c>
      <c r="S88" s="527">
        <f t="shared" si="129"/>
        <v>-3603.0724574494029</v>
      </c>
      <c r="T88" s="527">
        <f t="shared" si="129"/>
        <v>-3603.0724574494029</v>
      </c>
      <c r="U88" s="527">
        <f t="shared" si="129"/>
        <v>-3603.0724574494029</v>
      </c>
      <c r="V88" s="527">
        <f t="shared" si="129"/>
        <v>-3603.0724574494029</v>
      </c>
      <c r="W88" s="527">
        <f t="shared" si="129"/>
        <v>-3603.0724574494029</v>
      </c>
      <c r="X88" s="527">
        <f t="shared" si="129"/>
        <v>-3681.5645693295733</v>
      </c>
      <c r="Y88" s="527">
        <f t="shared" si="129"/>
        <v>-3681.5645693295733</v>
      </c>
      <c r="Z88" s="527">
        <f t="shared" si="129"/>
        <v>-3681.5645693295733</v>
      </c>
      <c r="AA88" s="527">
        <f t="shared" si="129"/>
        <v>-3681.5645693295733</v>
      </c>
      <c r="AB88" s="527">
        <f t="shared" si="129"/>
        <v>-3681.5645693295733</v>
      </c>
      <c r="AC88" s="527">
        <f t="shared" si="129"/>
        <v>-3681.5645693295733</v>
      </c>
      <c r="AD88" s="527">
        <f t="shared" si="129"/>
        <v>-3696.8434570730028</v>
      </c>
      <c r="AE88" s="527">
        <f t="shared" si="129"/>
        <v>-3696.8434570730028</v>
      </c>
      <c r="AF88" s="527">
        <f t="shared" si="129"/>
        <v>-3696.8434570730028</v>
      </c>
      <c r="AG88" s="527">
        <f t="shared" si="129"/>
        <v>-3696.8434570730028</v>
      </c>
      <c r="AH88" s="527">
        <f t="shared" si="129"/>
        <v>-3696.8434570730028</v>
      </c>
      <c r="AI88" s="527">
        <f t="shared" si="129"/>
        <v>-3696.8434570730028</v>
      </c>
      <c r="AJ88" s="527">
        <f t="shared" si="129"/>
        <v>-3794.7590707606605</v>
      </c>
      <c r="AK88" s="527">
        <f t="shared" si="129"/>
        <v>-3794.7590707606605</v>
      </c>
      <c r="AL88" s="527">
        <f t="shared" si="129"/>
        <v>-3794.7590707606605</v>
      </c>
      <c r="AM88" s="527">
        <f t="shared" si="129"/>
        <v>-3794.7590707606605</v>
      </c>
      <c r="AN88" s="527">
        <f t="shared" si="129"/>
        <v>-3794.7590707606605</v>
      </c>
      <c r="AO88" s="527">
        <f t="shared" si="129"/>
        <v>-3794.7590707606605</v>
      </c>
      <c r="AP88" s="527">
        <f t="shared" si="129"/>
        <v>-3791.9842289853095</v>
      </c>
      <c r="AQ88" s="527">
        <f t="shared" si="129"/>
        <v>-3791.9842289853095</v>
      </c>
      <c r="AR88" s="527">
        <f t="shared" si="129"/>
        <v>-3791.9842289853095</v>
      </c>
      <c r="AS88" s="527">
        <f t="shared" si="129"/>
        <v>-3791.9842289853095</v>
      </c>
      <c r="AT88" s="527">
        <f t="shared" si="129"/>
        <v>-3791.9842289853095</v>
      </c>
      <c r="AU88" s="527">
        <f t="shared" si="129"/>
        <v>-3791.9842289853095</v>
      </c>
      <c r="AV88" s="527">
        <f t="shared" si="129"/>
        <v>-3909.4562617776987</v>
      </c>
      <c r="AW88" s="527">
        <f t="shared" si="129"/>
        <v>-3909.4562617776987</v>
      </c>
      <c r="AX88" s="527">
        <f t="shared" ref="AX88:BY88" si="130">AX23/AX$82</f>
        <v>-3909.4562617776987</v>
      </c>
      <c r="AY88" s="527">
        <f t="shared" si="130"/>
        <v>-3909.4562617776987</v>
      </c>
      <c r="AZ88" s="527">
        <f t="shared" si="130"/>
        <v>-3909.4562617776987</v>
      </c>
      <c r="BA88" s="527">
        <f t="shared" si="130"/>
        <v>-3909.4562617776987</v>
      </c>
      <c r="BB88" s="527">
        <f t="shared" si="130"/>
        <v>-3891.9107275831616</v>
      </c>
      <c r="BC88" s="527">
        <f t="shared" si="130"/>
        <v>-3891.9107275831616</v>
      </c>
      <c r="BD88" s="527">
        <f t="shared" si="130"/>
        <v>-3891.9107275831616</v>
      </c>
      <c r="BE88" s="527">
        <f t="shared" si="130"/>
        <v>-3891.9107275831616</v>
      </c>
      <c r="BF88" s="527">
        <f t="shared" si="130"/>
        <v>-3891.9107275831616</v>
      </c>
      <c r="BG88" s="527">
        <f t="shared" si="130"/>
        <v>-3891.9107275831616</v>
      </c>
      <c r="BH88" s="527">
        <f t="shared" si="130"/>
        <v>-4029.1937391945366</v>
      </c>
      <c r="BI88" s="527">
        <f t="shared" si="130"/>
        <v>-4029.1937391945366</v>
      </c>
      <c r="BJ88" s="527">
        <f t="shared" si="130"/>
        <v>-4029.1937391945366</v>
      </c>
      <c r="BK88" s="527">
        <f t="shared" si="130"/>
        <v>-4029.1937391945366</v>
      </c>
      <c r="BL88" s="527">
        <f t="shared" si="130"/>
        <v>-4029.1937391945366</v>
      </c>
      <c r="BM88" s="527">
        <f t="shared" si="130"/>
        <v>-4029.1937391945366</v>
      </c>
      <c r="BN88" s="527">
        <f t="shared" si="130"/>
        <v>-3995.4837077225998</v>
      </c>
      <c r="BO88" s="527">
        <f t="shared" si="130"/>
        <v>-3995.4837077225998</v>
      </c>
      <c r="BP88" s="527">
        <f t="shared" si="130"/>
        <v>-3995.4837077225998</v>
      </c>
      <c r="BQ88" s="527">
        <f t="shared" si="130"/>
        <v>-3995.4837077225998</v>
      </c>
      <c r="BR88" s="527">
        <f t="shared" si="130"/>
        <v>-3995.4837077225998</v>
      </c>
      <c r="BS88" s="527">
        <f t="shared" si="130"/>
        <v>-3995.4837077225998</v>
      </c>
      <c r="BT88" s="527">
        <f t="shared" si="130"/>
        <v>-4152.6405672410265</v>
      </c>
      <c r="BU88" s="527">
        <f t="shared" si="130"/>
        <v>-4152.6405672410265</v>
      </c>
      <c r="BV88" s="527">
        <f t="shared" si="130"/>
        <v>-4152.6405672410265</v>
      </c>
      <c r="BW88" s="527">
        <f t="shared" si="130"/>
        <v>-4152.6405672410265</v>
      </c>
      <c r="BX88" s="527">
        <f t="shared" si="130"/>
        <v>-4152.6405672410265</v>
      </c>
      <c r="BY88" s="527">
        <f t="shared" si="130"/>
        <v>-4152.6405672410265</v>
      </c>
      <c r="BZ88" s="537"/>
      <c r="CA88" s="537"/>
      <c r="CB88" s="574"/>
    </row>
    <row r="89" spans="1:80" x14ac:dyDescent="0.3">
      <c r="A89" s="551"/>
      <c r="B89" s="548"/>
      <c r="C89" s="525"/>
      <c r="D89" s="525"/>
      <c r="E89" s="525" t="s">
        <v>386</v>
      </c>
      <c r="F89" s="567"/>
      <c r="G89" s="567"/>
      <c r="H89" s="567"/>
      <c r="I89" s="527">
        <f t="shared" si="125"/>
        <v>-7419.9488364265926</v>
      </c>
      <c r="J89" s="527">
        <f t="shared" si="125"/>
        <v>-7650.7851788081516</v>
      </c>
      <c r="K89" s="527">
        <f t="shared" si="125"/>
        <v>-7945.9796325143643</v>
      </c>
      <c r="L89" s="527">
        <f t="shared" si="125"/>
        <v>-8248.5334945828035</v>
      </c>
      <c r="M89" s="527">
        <f t="shared" si="125"/>
        <v>-8566.0384636736399</v>
      </c>
      <c r="N89" s="527">
        <f t="shared" si="125"/>
        <v>-8896.0842760579271</v>
      </c>
      <c r="O89" s="529"/>
      <c r="P89" s="564">
        <f t="shared" si="126"/>
        <v>3.6954249172566955E-2</v>
      </c>
      <c r="Q89" s="537"/>
      <c r="R89" s="527">
        <f t="shared" ref="R89:AW89" si="131">R24/R$82</f>
        <v>-630.69565109626024</v>
      </c>
      <c r="S89" s="527">
        <f t="shared" si="131"/>
        <v>-630.69565109626024</v>
      </c>
      <c r="T89" s="527">
        <f t="shared" si="131"/>
        <v>-630.69565109626024</v>
      </c>
      <c r="U89" s="527">
        <f t="shared" si="131"/>
        <v>-630.69565109626024</v>
      </c>
      <c r="V89" s="527">
        <f t="shared" si="131"/>
        <v>-630.69565109626024</v>
      </c>
      <c r="W89" s="527">
        <f t="shared" si="131"/>
        <v>-630.69565109626024</v>
      </c>
      <c r="X89" s="527">
        <f t="shared" si="131"/>
        <v>-644.43521203843147</v>
      </c>
      <c r="Y89" s="527">
        <f t="shared" si="131"/>
        <v>-644.43521203843147</v>
      </c>
      <c r="Z89" s="527">
        <f t="shared" si="131"/>
        <v>-644.43521203843147</v>
      </c>
      <c r="AA89" s="527">
        <f t="shared" si="131"/>
        <v>-644.43521203843147</v>
      </c>
      <c r="AB89" s="527">
        <f t="shared" si="131"/>
        <v>-644.43521203843147</v>
      </c>
      <c r="AC89" s="527">
        <f t="shared" si="131"/>
        <v>-644.43521203843147</v>
      </c>
      <c r="AD89" s="527">
        <f t="shared" si="131"/>
        <v>-653.51044064245127</v>
      </c>
      <c r="AE89" s="527">
        <f t="shared" si="131"/>
        <v>-653.51044064245127</v>
      </c>
      <c r="AF89" s="527">
        <f t="shared" si="131"/>
        <v>-653.51044064245127</v>
      </c>
      <c r="AG89" s="527">
        <f t="shared" si="131"/>
        <v>-653.51044064245127</v>
      </c>
      <c r="AH89" s="527">
        <f t="shared" si="131"/>
        <v>-653.51044064245127</v>
      </c>
      <c r="AI89" s="527">
        <f t="shared" si="131"/>
        <v>-653.51044064245127</v>
      </c>
      <c r="AJ89" s="527">
        <f t="shared" si="131"/>
        <v>-670.81949810994297</v>
      </c>
      <c r="AK89" s="527">
        <f t="shared" si="131"/>
        <v>-670.81949810994297</v>
      </c>
      <c r="AL89" s="527">
        <f t="shared" si="131"/>
        <v>-670.81949810994297</v>
      </c>
      <c r="AM89" s="527">
        <f t="shared" si="131"/>
        <v>-670.81949810994297</v>
      </c>
      <c r="AN89" s="527">
        <f t="shared" si="131"/>
        <v>-670.81949810994297</v>
      </c>
      <c r="AO89" s="527">
        <f t="shared" si="131"/>
        <v>-670.81949810994297</v>
      </c>
      <c r="AP89" s="527">
        <f t="shared" si="131"/>
        <v>-676.8930427415886</v>
      </c>
      <c r="AQ89" s="527">
        <f t="shared" si="131"/>
        <v>-676.8930427415886</v>
      </c>
      <c r="AR89" s="527">
        <f t="shared" si="131"/>
        <v>-676.8930427415886</v>
      </c>
      <c r="AS89" s="527">
        <f t="shared" si="131"/>
        <v>-676.8930427415886</v>
      </c>
      <c r="AT89" s="527">
        <f t="shared" si="131"/>
        <v>-676.8930427415886</v>
      </c>
      <c r="AU89" s="527">
        <f t="shared" si="131"/>
        <v>-676.8930427415886</v>
      </c>
      <c r="AV89" s="527">
        <f t="shared" si="131"/>
        <v>-697.86253968887888</v>
      </c>
      <c r="AW89" s="527">
        <f t="shared" si="131"/>
        <v>-697.86253968887888</v>
      </c>
      <c r="AX89" s="527">
        <f t="shared" ref="AX89:BY89" si="132">AX24/AX$82</f>
        <v>-697.86253968887888</v>
      </c>
      <c r="AY89" s="527">
        <f t="shared" si="132"/>
        <v>-697.86253968887888</v>
      </c>
      <c r="AZ89" s="527">
        <f t="shared" si="132"/>
        <v>-697.86253968887888</v>
      </c>
      <c r="BA89" s="527">
        <f t="shared" si="132"/>
        <v>-697.86253968887888</v>
      </c>
      <c r="BB89" s="527">
        <f t="shared" si="132"/>
        <v>-701.46482580148347</v>
      </c>
      <c r="BC89" s="527">
        <f t="shared" si="132"/>
        <v>-701.46482580148347</v>
      </c>
      <c r="BD89" s="527">
        <f t="shared" si="132"/>
        <v>-701.46482580148347</v>
      </c>
      <c r="BE89" s="527">
        <f t="shared" si="132"/>
        <v>-701.46482580148347</v>
      </c>
      <c r="BF89" s="527">
        <f t="shared" si="132"/>
        <v>-701.46482580148347</v>
      </c>
      <c r="BG89" s="527">
        <f t="shared" si="132"/>
        <v>-701.46482580148347</v>
      </c>
      <c r="BH89" s="527">
        <f t="shared" si="132"/>
        <v>-726.20825147745666</v>
      </c>
      <c r="BI89" s="527">
        <f t="shared" si="132"/>
        <v>-726.20825147745666</v>
      </c>
      <c r="BJ89" s="527">
        <f t="shared" si="132"/>
        <v>-726.20825147745666</v>
      </c>
      <c r="BK89" s="527">
        <f t="shared" si="132"/>
        <v>-726.20825147745666</v>
      </c>
      <c r="BL89" s="527">
        <f t="shared" si="132"/>
        <v>-726.20825147745666</v>
      </c>
      <c r="BM89" s="527">
        <f t="shared" si="132"/>
        <v>-726.20825147745666</v>
      </c>
      <c r="BN89" s="527">
        <f t="shared" si="132"/>
        <v>-727.04176217037616</v>
      </c>
      <c r="BO89" s="527">
        <f t="shared" si="132"/>
        <v>-727.04176217037616</v>
      </c>
      <c r="BP89" s="527">
        <f t="shared" si="132"/>
        <v>-727.04176217037616</v>
      </c>
      <c r="BQ89" s="527">
        <f t="shared" si="132"/>
        <v>-727.04176217037616</v>
      </c>
      <c r="BR89" s="527">
        <f t="shared" si="132"/>
        <v>-727.04176217037616</v>
      </c>
      <c r="BS89" s="527">
        <f t="shared" si="132"/>
        <v>-727.04176217037616</v>
      </c>
      <c r="BT89" s="527">
        <f t="shared" si="132"/>
        <v>-755.63895050594488</v>
      </c>
      <c r="BU89" s="527">
        <f t="shared" si="132"/>
        <v>-755.63895050594488</v>
      </c>
      <c r="BV89" s="527">
        <f t="shared" si="132"/>
        <v>-755.63895050594488</v>
      </c>
      <c r="BW89" s="527">
        <f t="shared" si="132"/>
        <v>-755.63895050594488</v>
      </c>
      <c r="BX89" s="527">
        <f t="shared" si="132"/>
        <v>-755.63895050594488</v>
      </c>
      <c r="BY89" s="527">
        <f t="shared" si="132"/>
        <v>-755.63895050594488</v>
      </c>
      <c r="BZ89" s="537"/>
      <c r="CA89" s="537"/>
      <c r="CB89" s="574"/>
    </row>
    <row r="90" spans="1:80" x14ac:dyDescent="0.3">
      <c r="A90" s="551"/>
      <c r="B90" s="548"/>
      <c r="C90" s="525"/>
      <c r="D90" s="525"/>
      <c r="E90" s="572" t="s">
        <v>385</v>
      </c>
      <c r="F90" s="573"/>
      <c r="G90" s="573"/>
      <c r="H90" s="573"/>
      <c r="I90" s="530">
        <f t="shared" si="125"/>
        <v>79764.58008130081</v>
      </c>
      <c r="J90" s="530">
        <f t="shared" si="125"/>
        <v>90024.927725938702</v>
      </c>
      <c r="K90" s="530">
        <f t="shared" si="125"/>
        <v>96319.251835385265</v>
      </c>
      <c r="L90" s="530">
        <f t="shared" si="125"/>
        <v>102758.69845779859</v>
      </c>
      <c r="M90" s="530">
        <f t="shared" si="125"/>
        <v>109399.74633536742</v>
      </c>
      <c r="N90" s="530">
        <f t="shared" si="125"/>
        <v>116428.79819843543</v>
      </c>
      <c r="O90" s="536"/>
      <c r="P90" s="568">
        <f t="shared" si="126"/>
        <v>7.8574296190598414E-2</v>
      </c>
      <c r="Q90" s="537"/>
      <c r="R90" s="530">
        <f t="shared" ref="R90:AW90" si="133">R25/R$82</f>
        <v>7421.2422751424965</v>
      </c>
      <c r="S90" s="530">
        <f t="shared" si="133"/>
        <v>7421.2422751424965</v>
      </c>
      <c r="T90" s="530">
        <f t="shared" si="133"/>
        <v>7421.2422751424965</v>
      </c>
      <c r="U90" s="530">
        <f t="shared" si="133"/>
        <v>7421.2422751424965</v>
      </c>
      <c r="V90" s="530">
        <f t="shared" si="133"/>
        <v>7421.2422751424965</v>
      </c>
      <c r="W90" s="530">
        <f t="shared" si="133"/>
        <v>7421.2422751424965</v>
      </c>
      <c r="X90" s="530">
        <f t="shared" si="133"/>
        <v>7582.9123458472886</v>
      </c>
      <c r="Y90" s="530">
        <f t="shared" si="133"/>
        <v>7582.9123458472886</v>
      </c>
      <c r="Z90" s="530">
        <f t="shared" si="133"/>
        <v>7582.9123458472886</v>
      </c>
      <c r="AA90" s="530">
        <f t="shared" si="133"/>
        <v>7582.9123458472886</v>
      </c>
      <c r="AB90" s="530">
        <f t="shared" si="133"/>
        <v>7582.9123458472886</v>
      </c>
      <c r="AC90" s="530">
        <f t="shared" si="133"/>
        <v>7582.9123458472886</v>
      </c>
      <c r="AD90" s="530">
        <f t="shared" si="133"/>
        <v>7921.6962061826753</v>
      </c>
      <c r="AE90" s="530">
        <f t="shared" si="133"/>
        <v>7921.6962061826753</v>
      </c>
      <c r="AF90" s="530">
        <f t="shared" si="133"/>
        <v>7921.6962061826753</v>
      </c>
      <c r="AG90" s="530">
        <f t="shared" si="133"/>
        <v>7921.6962061826753</v>
      </c>
      <c r="AH90" s="530">
        <f t="shared" si="133"/>
        <v>7921.6962061826753</v>
      </c>
      <c r="AI90" s="530">
        <f t="shared" si="133"/>
        <v>7921.6962061826753</v>
      </c>
      <c r="AJ90" s="530">
        <f t="shared" si="133"/>
        <v>8131.512433048204</v>
      </c>
      <c r="AK90" s="530">
        <f t="shared" si="133"/>
        <v>8131.512433048204</v>
      </c>
      <c r="AL90" s="530">
        <f t="shared" si="133"/>
        <v>8131.512433048204</v>
      </c>
      <c r="AM90" s="530">
        <f t="shared" si="133"/>
        <v>8131.512433048204</v>
      </c>
      <c r="AN90" s="530">
        <f t="shared" si="133"/>
        <v>8131.512433048204</v>
      </c>
      <c r="AO90" s="530">
        <f t="shared" si="133"/>
        <v>8131.512433048204</v>
      </c>
      <c r="AP90" s="530">
        <f t="shared" si="133"/>
        <v>8432.6078220990166</v>
      </c>
      <c r="AQ90" s="530">
        <f t="shared" si="133"/>
        <v>8432.6078220990166</v>
      </c>
      <c r="AR90" s="530">
        <f t="shared" si="133"/>
        <v>8432.6078220990166</v>
      </c>
      <c r="AS90" s="530">
        <f t="shared" si="133"/>
        <v>8432.6078220990166</v>
      </c>
      <c r="AT90" s="530">
        <f t="shared" si="133"/>
        <v>8432.6078220990166</v>
      </c>
      <c r="AU90" s="530">
        <f t="shared" si="133"/>
        <v>8432.6078220990166</v>
      </c>
      <c r="AV90" s="530">
        <f t="shared" si="133"/>
        <v>8693.8419208674186</v>
      </c>
      <c r="AW90" s="530">
        <f t="shared" si="133"/>
        <v>8693.8419208674186</v>
      </c>
      <c r="AX90" s="530">
        <f t="shared" ref="AX90:BY90" si="134">AX25/AX$82</f>
        <v>8693.8419208674186</v>
      </c>
      <c r="AY90" s="530">
        <f t="shared" si="134"/>
        <v>8693.8419208674186</v>
      </c>
      <c r="AZ90" s="530">
        <f t="shared" si="134"/>
        <v>8693.8419208674186</v>
      </c>
      <c r="BA90" s="530">
        <f t="shared" si="134"/>
        <v>8693.8419208674186</v>
      </c>
      <c r="BB90" s="530">
        <f t="shared" si="134"/>
        <v>8958.6422395019417</v>
      </c>
      <c r="BC90" s="530">
        <f t="shared" si="134"/>
        <v>8958.6422395019417</v>
      </c>
      <c r="BD90" s="530">
        <f t="shared" si="134"/>
        <v>8958.6422395019417</v>
      </c>
      <c r="BE90" s="530">
        <f t="shared" si="134"/>
        <v>8958.6422395019417</v>
      </c>
      <c r="BF90" s="530">
        <f t="shared" si="134"/>
        <v>8958.6422395019417</v>
      </c>
      <c r="BG90" s="530">
        <f t="shared" si="134"/>
        <v>8958.6422395019417</v>
      </c>
      <c r="BH90" s="530">
        <f t="shared" si="134"/>
        <v>9274.6488163926315</v>
      </c>
      <c r="BI90" s="530">
        <f t="shared" si="134"/>
        <v>9274.6488163926315</v>
      </c>
      <c r="BJ90" s="530">
        <f t="shared" si="134"/>
        <v>9274.6488163926315</v>
      </c>
      <c r="BK90" s="530">
        <f t="shared" si="134"/>
        <v>9274.6488163926315</v>
      </c>
      <c r="BL90" s="530">
        <f t="shared" si="134"/>
        <v>9274.6488163926315</v>
      </c>
      <c r="BM90" s="530">
        <f t="shared" si="134"/>
        <v>9274.6488163926315</v>
      </c>
      <c r="BN90" s="530">
        <f t="shared" si="134"/>
        <v>9515.2649168786284</v>
      </c>
      <c r="BO90" s="530">
        <f t="shared" si="134"/>
        <v>9515.2649168786284</v>
      </c>
      <c r="BP90" s="530">
        <f t="shared" si="134"/>
        <v>9515.2649168786284</v>
      </c>
      <c r="BQ90" s="530">
        <f t="shared" si="134"/>
        <v>9515.2649168786284</v>
      </c>
      <c r="BR90" s="530">
        <f t="shared" si="134"/>
        <v>9515.2649168786284</v>
      </c>
      <c r="BS90" s="530">
        <f t="shared" si="134"/>
        <v>9515.2649168786284</v>
      </c>
      <c r="BT90" s="530">
        <f t="shared" si="134"/>
        <v>9889.5347828606045</v>
      </c>
      <c r="BU90" s="530">
        <f t="shared" si="134"/>
        <v>9889.5347828606045</v>
      </c>
      <c r="BV90" s="530">
        <f t="shared" si="134"/>
        <v>9889.5347828606045</v>
      </c>
      <c r="BW90" s="530">
        <f t="shared" si="134"/>
        <v>9889.5347828606045</v>
      </c>
      <c r="BX90" s="530">
        <f t="shared" si="134"/>
        <v>9889.5347828606045</v>
      </c>
      <c r="BY90" s="530">
        <f t="shared" si="134"/>
        <v>9889.5347828606045</v>
      </c>
      <c r="BZ90" s="537"/>
      <c r="CA90" s="537"/>
      <c r="CB90" s="574"/>
    </row>
    <row r="91" spans="1:80" x14ac:dyDescent="0.3">
      <c r="A91" s="551"/>
      <c r="B91" s="548"/>
      <c r="C91" s="525"/>
      <c r="D91" s="525"/>
      <c r="E91" s="525" t="s">
        <v>389</v>
      </c>
      <c r="F91" s="567"/>
      <c r="G91" s="567"/>
      <c r="H91" s="567"/>
      <c r="I91" s="527">
        <f t="shared" si="125"/>
        <v>-28514.890661792368</v>
      </c>
      <c r="J91" s="527">
        <f t="shared" si="125"/>
        <v>-30113.305899199819</v>
      </c>
      <c r="K91" s="527">
        <f t="shared" si="125"/>
        <v>-31985.71802523889</v>
      </c>
      <c r="L91" s="527">
        <f t="shared" si="125"/>
        <v>-33901.838585381607</v>
      </c>
      <c r="M91" s="527">
        <f t="shared" si="125"/>
        <v>-35883.273597608437</v>
      </c>
      <c r="N91" s="527">
        <f t="shared" si="125"/>
        <v>-37974.632529370181</v>
      </c>
      <c r="O91" s="529"/>
      <c r="P91" s="564">
        <f t="shared" si="126"/>
        <v>5.8971748057540019E-2</v>
      </c>
      <c r="Q91" s="537"/>
      <c r="R91" s="527">
        <f t="shared" ref="R91:AW91" si="135">R26/R$82</f>
        <v>-2482.402868056392</v>
      </c>
      <c r="S91" s="527">
        <f t="shared" si="135"/>
        <v>-2482.402868056392</v>
      </c>
      <c r="T91" s="527">
        <f t="shared" si="135"/>
        <v>-2482.402868056392</v>
      </c>
      <c r="U91" s="527">
        <f t="shared" si="135"/>
        <v>-2482.402868056392</v>
      </c>
      <c r="V91" s="527">
        <f t="shared" si="135"/>
        <v>-2482.402868056392</v>
      </c>
      <c r="W91" s="527">
        <f t="shared" si="135"/>
        <v>-2482.402868056392</v>
      </c>
      <c r="X91" s="527">
        <f t="shared" si="135"/>
        <v>-2536.4814484769122</v>
      </c>
      <c r="Y91" s="527">
        <f t="shared" si="135"/>
        <v>-2536.4814484769122</v>
      </c>
      <c r="Z91" s="527">
        <f t="shared" si="135"/>
        <v>-2536.4814484769122</v>
      </c>
      <c r="AA91" s="527">
        <f t="shared" si="135"/>
        <v>-2536.4814484769122</v>
      </c>
      <c r="AB91" s="527">
        <f t="shared" si="135"/>
        <v>-2536.4814484769122</v>
      </c>
      <c r="AC91" s="527">
        <f t="shared" si="135"/>
        <v>-2536.4814484769122</v>
      </c>
      <c r="AD91" s="527">
        <f t="shared" si="135"/>
        <v>-2630.6385930572387</v>
      </c>
      <c r="AE91" s="527">
        <f t="shared" si="135"/>
        <v>-2630.6385930572387</v>
      </c>
      <c r="AF91" s="527">
        <f t="shared" si="135"/>
        <v>-2630.6385930572387</v>
      </c>
      <c r="AG91" s="527">
        <f t="shared" si="135"/>
        <v>-2630.6385930572387</v>
      </c>
      <c r="AH91" s="527">
        <f t="shared" si="135"/>
        <v>-2630.6385930572387</v>
      </c>
      <c r="AI91" s="527">
        <f t="shared" si="135"/>
        <v>-2630.6385930572387</v>
      </c>
      <c r="AJ91" s="527">
        <f t="shared" si="135"/>
        <v>-2700.3144111492429</v>
      </c>
      <c r="AK91" s="527">
        <f t="shared" si="135"/>
        <v>-2700.3144111492429</v>
      </c>
      <c r="AL91" s="527">
        <f t="shared" si="135"/>
        <v>-2700.3144111492429</v>
      </c>
      <c r="AM91" s="527">
        <f t="shared" si="135"/>
        <v>-2700.3144111492429</v>
      </c>
      <c r="AN91" s="527">
        <f t="shared" si="135"/>
        <v>-2700.3144111492429</v>
      </c>
      <c r="AO91" s="527">
        <f t="shared" si="135"/>
        <v>-2700.3144111492429</v>
      </c>
      <c r="AP91" s="527">
        <f t="shared" si="135"/>
        <v>-2782.0604340958439</v>
      </c>
      <c r="AQ91" s="527">
        <f t="shared" si="135"/>
        <v>-2782.0604340958439</v>
      </c>
      <c r="AR91" s="527">
        <f t="shared" si="135"/>
        <v>-2782.0604340958439</v>
      </c>
      <c r="AS91" s="527">
        <f t="shared" si="135"/>
        <v>-2782.0604340958439</v>
      </c>
      <c r="AT91" s="527">
        <f t="shared" si="135"/>
        <v>-2782.0604340958439</v>
      </c>
      <c r="AU91" s="527">
        <f t="shared" si="135"/>
        <v>-2782.0604340958439</v>
      </c>
      <c r="AV91" s="527">
        <f t="shared" si="135"/>
        <v>-2868.2459968010899</v>
      </c>
      <c r="AW91" s="527">
        <f t="shared" si="135"/>
        <v>-2868.2459968010899</v>
      </c>
      <c r="AX91" s="527">
        <f t="shared" ref="AX91:BY91" si="136">AX26/AX$82</f>
        <v>-2868.2459968010899</v>
      </c>
      <c r="AY91" s="527">
        <f t="shared" si="136"/>
        <v>-2868.2459968010899</v>
      </c>
      <c r="AZ91" s="527">
        <f t="shared" si="136"/>
        <v>-2868.2459968010899</v>
      </c>
      <c r="BA91" s="527">
        <f t="shared" si="136"/>
        <v>-2868.2459968010899</v>
      </c>
      <c r="BB91" s="527">
        <f t="shared" si="136"/>
        <v>-2938.4474947289195</v>
      </c>
      <c r="BC91" s="527">
        <f t="shared" si="136"/>
        <v>-2938.4474947289195</v>
      </c>
      <c r="BD91" s="527">
        <f t="shared" si="136"/>
        <v>-2938.4474947289195</v>
      </c>
      <c r="BE91" s="527">
        <f t="shared" si="136"/>
        <v>-2938.4474947289195</v>
      </c>
      <c r="BF91" s="527">
        <f t="shared" si="136"/>
        <v>-2938.4474947289195</v>
      </c>
      <c r="BG91" s="527">
        <f t="shared" si="136"/>
        <v>-2938.4474947289195</v>
      </c>
      <c r="BH91" s="527">
        <f t="shared" si="136"/>
        <v>-3042.0981048724861</v>
      </c>
      <c r="BI91" s="527">
        <f t="shared" si="136"/>
        <v>-3042.0981048724861</v>
      </c>
      <c r="BJ91" s="527">
        <f t="shared" si="136"/>
        <v>-3042.0981048724861</v>
      </c>
      <c r="BK91" s="527">
        <f t="shared" si="136"/>
        <v>-3042.0981048724861</v>
      </c>
      <c r="BL91" s="527">
        <f t="shared" si="136"/>
        <v>-3042.0981048724861</v>
      </c>
      <c r="BM91" s="527">
        <f t="shared" si="136"/>
        <v>-3042.0981048724861</v>
      </c>
      <c r="BN91" s="527">
        <f t="shared" si="136"/>
        <v>-3103.5164343294728</v>
      </c>
      <c r="BO91" s="527">
        <f t="shared" si="136"/>
        <v>-3103.5164343294728</v>
      </c>
      <c r="BP91" s="527">
        <f t="shared" si="136"/>
        <v>-3103.5164343294728</v>
      </c>
      <c r="BQ91" s="527">
        <f t="shared" si="136"/>
        <v>-3103.5164343294728</v>
      </c>
      <c r="BR91" s="527">
        <f t="shared" si="136"/>
        <v>-3103.5164343294728</v>
      </c>
      <c r="BS91" s="527">
        <f t="shared" si="136"/>
        <v>-3103.5164343294728</v>
      </c>
      <c r="BT91" s="527">
        <f t="shared" si="136"/>
        <v>-3225.5889872322236</v>
      </c>
      <c r="BU91" s="527">
        <f t="shared" si="136"/>
        <v>-3225.5889872322236</v>
      </c>
      <c r="BV91" s="527">
        <f t="shared" si="136"/>
        <v>-3225.5889872322236</v>
      </c>
      <c r="BW91" s="527">
        <f t="shared" si="136"/>
        <v>-3225.5889872322236</v>
      </c>
      <c r="BX91" s="527">
        <f t="shared" si="136"/>
        <v>-3225.5889872322236</v>
      </c>
      <c r="BY91" s="527">
        <f t="shared" si="136"/>
        <v>-3225.5889872322236</v>
      </c>
      <c r="BZ91" s="537"/>
      <c r="CA91" s="537"/>
      <c r="CB91" s="574"/>
    </row>
    <row r="92" spans="1:80" x14ac:dyDescent="0.3">
      <c r="A92" s="551"/>
      <c r="B92" s="548"/>
      <c r="C92" s="525"/>
      <c r="D92" s="525"/>
      <c r="E92" s="572" t="s">
        <v>390</v>
      </c>
      <c r="F92" s="573"/>
      <c r="G92" s="573"/>
      <c r="H92" s="573"/>
      <c r="I92" s="530">
        <f t="shared" si="125"/>
        <v>56055.118982950247</v>
      </c>
      <c r="J92" s="530">
        <f t="shared" si="125"/>
        <v>59911.621826738869</v>
      </c>
      <c r="K92" s="530">
        <f t="shared" si="125"/>
        <v>64333.533810146386</v>
      </c>
      <c r="L92" s="530">
        <f t="shared" si="125"/>
        <v>68856.859872417001</v>
      </c>
      <c r="M92" s="530">
        <f t="shared" si="125"/>
        <v>73516.472737759002</v>
      </c>
      <c r="N92" s="530">
        <f t="shared" si="125"/>
        <v>78454.165669065216</v>
      </c>
      <c r="O92" s="536"/>
      <c r="P92" s="568">
        <f t="shared" si="126"/>
        <v>6.9547669858702532E-2</v>
      </c>
      <c r="Q92" s="537"/>
      <c r="R92" s="530">
        <f t="shared" ref="R92:AW92" si="137">R27/R$82</f>
        <v>4938.8394070861032</v>
      </c>
      <c r="S92" s="530">
        <f t="shared" si="137"/>
        <v>4938.8394070861032</v>
      </c>
      <c r="T92" s="530">
        <f t="shared" si="137"/>
        <v>4938.8394070861032</v>
      </c>
      <c r="U92" s="530">
        <f t="shared" si="137"/>
        <v>4938.8394070861032</v>
      </c>
      <c r="V92" s="530">
        <f t="shared" si="137"/>
        <v>4938.8394070861032</v>
      </c>
      <c r="W92" s="530">
        <f t="shared" si="137"/>
        <v>4938.8394070861032</v>
      </c>
      <c r="X92" s="530">
        <f t="shared" si="137"/>
        <v>5046.4308973703764</v>
      </c>
      <c r="Y92" s="530">
        <f t="shared" si="137"/>
        <v>5046.4308973703764</v>
      </c>
      <c r="Z92" s="530">
        <f t="shared" si="137"/>
        <v>5046.4308973703764</v>
      </c>
      <c r="AA92" s="530">
        <f t="shared" si="137"/>
        <v>5046.4308973703764</v>
      </c>
      <c r="AB92" s="530">
        <f t="shared" si="137"/>
        <v>5046.4308973703764</v>
      </c>
      <c r="AC92" s="530">
        <f t="shared" si="137"/>
        <v>5046.4308973703764</v>
      </c>
      <c r="AD92" s="530">
        <f t="shared" si="137"/>
        <v>5291.0576131254365</v>
      </c>
      <c r="AE92" s="530">
        <f t="shared" si="137"/>
        <v>5291.0576131254365</v>
      </c>
      <c r="AF92" s="530">
        <f t="shared" si="137"/>
        <v>5291.0576131254365</v>
      </c>
      <c r="AG92" s="530">
        <f t="shared" si="137"/>
        <v>5291.0576131254365</v>
      </c>
      <c r="AH92" s="530">
        <f t="shared" si="137"/>
        <v>5291.0576131254365</v>
      </c>
      <c r="AI92" s="530">
        <f t="shared" si="137"/>
        <v>5291.0576131254365</v>
      </c>
      <c r="AJ92" s="530">
        <f t="shared" si="137"/>
        <v>5431.1980218989611</v>
      </c>
      <c r="AK92" s="530">
        <f t="shared" si="137"/>
        <v>5431.1980218989611</v>
      </c>
      <c r="AL92" s="530">
        <f t="shared" si="137"/>
        <v>5431.1980218989611</v>
      </c>
      <c r="AM92" s="530">
        <f t="shared" si="137"/>
        <v>5431.1980218989611</v>
      </c>
      <c r="AN92" s="530">
        <f t="shared" si="137"/>
        <v>5431.1980218989611</v>
      </c>
      <c r="AO92" s="530">
        <f t="shared" si="137"/>
        <v>5431.1980218989611</v>
      </c>
      <c r="AP92" s="530">
        <f t="shared" si="137"/>
        <v>5650.5473880031714</v>
      </c>
      <c r="AQ92" s="530">
        <f t="shared" si="137"/>
        <v>5650.5473880031714</v>
      </c>
      <c r="AR92" s="530">
        <f t="shared" si="137"/>
        <v>5650.5473880031714</v>
      </c>
      <c r="AS92" s="530">
        <f t="shared" si="137"/>
        <v>5650.5473880031714</v>
      </c>
      <c r="AT92" s="530">
        <f t="shared" si="137"/>
        <v>5650.5473880031714</v>
      </c>
      <c r="AU92" s="530">
        <f t="shared" si="137"/>
        <v>5650.5473880031714</v>
      </c>
      <c r="AV92" s="530">
        <f t="shared" si="137"/>
        <v>5825.5959240663287</v>
      </c>
      <c r="AW92" s="530">
        <f t="shared" si="137"/>
        <v>5825.5959240663287</v>
      </c>
      <c r="AX92" s="530">
        <f t="shared" ref="AX92:BY92" si="138">AX27/AX$82</f>
        <v>5825.5959240663287</v>
      </c>
      <c r="AY92" s="530">
        <f t="shared" si="138"/>
        <v>5825.5959240663287</v>
      </c>
      <c r="AZ92" s="530">
        <f t="shared" si="138"/>
        <v>5825.5959240663287</v>
      </c>
      <c r="BA92" s="530">
        <f t="shared" si="138"/>
        <v>5825.5959240663287</v>
      </c>
      <c r="BB92" s="530">
        <f t="shared" si="138"/>
        <v>6020.1947447730226</v>
      </c>
      <c r="BC92" s="530">
        <f t="shared" si="138"/>
        <v>6020.1947447730226</v>
      </c>
      <c r="BD92" s="530">
        <f t="shared" si="138"/>
        <v>6020.1947447730226</v>
      </c>
      <c r="BE92" s="530">
        <f t="shared" si="138"/>
        <v>6020.1947447730226</v>
      </c>
      <c r="BF92" s="530">
        <f t="shared" si="138"/>
        <v>6020.1947447730226</v>
      </c>
      <c r="BG92" s="530">
        <f t="shared" si="138"/>
        <v>6020.1947447730226</v>
      </c>
      <c r="BH92" s="530">
        <f t="shared" si="138"/>
        <v>6232.5507115201463</v>
      </c>
      <c r="BI92" s="530">
        <f t="shared" si="138"/>
        <v>6232.5507115201463</v>
      </c>
      <c r="BJ92" s="530">
        <f t="shared" si="138"/>
        <v>6232.5507115201463</v>
      </c>
      <c r="BK92" s="530">
        <f t="shared" si="138"/>
        <v>6232.5507115201463</v>
      </c>
      <c r="BL92" s="530">
        <f t="shared" si="138"/>
        <v>6232.5507115201463</v>
      </c>
      <c r="BM92" s="530">
        <f t="shared" si="138"/>
        <v>6232.5507115201463</v>
      </c>
      <c r="BN92" s="530">
        <f t="shared" si="138"/>
        <v>6411.7484825491565</v>
      </c>
      <c r="BO92" s="530">
        <f t="shared" si="138"/>
        <v>6411.7484825491565</v>
      </c>
      <c r="BP92" s="530">
        <f t="shared" si="138"/>
        <v>6411.7484825491565</v>
      </c>
      <c r="BQ92" s="530">
        <f t="shared" si="138"/>
        <v>6411.7484825491565</v>
      </c>
      <c r="BR92" s="530">
        <f t="shared" si="138"/>
        <v>6411.7484825491565</v>
      </c>
      <c r="BS92" s="530">
        <f t="shared" si="138"/>
        <v>6411.7484825491565</v>
      </c>
      <c r="BT92" s="530">
        <f t="shared" si="138"/>
        <v>6663.9457956283804</v>
      </c>
      <c r="BU92" s="530">
        <f t="shared" si="138"/>
        <v>6663.9457956283804</v>
      </c>
      <c r="BV92" s="530">
        <f t="shared" si="138"/>
        <v>6663.9457956283804</v>
      </c>
      <c r="BW92" s="530">
        <f t="shared" si="138"/>
        <v>6663.9457956283804</v>
      </c>
      <c r="BX92" s="530">
        <f t="shared" si="138"/>
        <v>6663.9457956283804</v>
      </c>
      <c r="BY92" s="530">
        <f t="shared" si="138"/>
        <v>6663.9457956283804</v>
      </c>
      <c r="BZ92" s="537"/>
      <c r="CA92" s="537"/>
      <c r="CB92" s="574"/>
    </row>
    <row r="93" spans="1:80" x14ac:dyDescent="0.3">
      <c r="A93" s="551"/>
      <c r="B93" s="548"/>
      <c r="C93" s="525"/>
      <c r="D93" s="525"/>
      <c r="E93" s="525" t="s">
        <v>175</v>
      </c>
      <c r="F93" s="575"/>
      <c r="G93" s="575"/>
      <c r="H93" s="575"/>
      <c r="I93" s="531">
        <f t="shared" ref="I93:N93" si="139">IFERROR(I92/I87,0)</f>
        <v>0.41583136901653406</v>
      </c>
      <c r="J93" s="531">
        <f t="shared" si="139"/>
        <v>0.42375246735071864</v>
      </c>
      <c r="K93" s="531">
        <f t="shared" si="139"/>
        <v>0.43114700219849744</v>
      </c>
      <c r="L93" s="531">
        <f t="shared" si="139"/>
        <v>0.43797650789111681</v>
      </c>
      <c r="M93" s="531">
        <f t="shared" si="139"/>
        <v>0.44422866297688923</v>
      </c>
      <c r="N93" s="531">
        <f t="shared" si="139"/>
        <v>0.45033311408393389</v>
      </c>
      <c r="O93" s="546"/>
      <c r="P93" s="564">
        <f t="shared" si="126"/>
        <v>1.6069293870101697E-2</v>
      </c>
      <c r="Q93" s="537"/>
      <c r="R93" s="531">
        <f t="shared" ref="R93:AW93" si="140">IFERROR(R92/R87,0)</f>
        <v>0.42375246735071864</v>
      </c>
      <c r="S93" s="531">
        <f t="shared" si="140"/>
        <v>0.42375246735071864</v>
      </c>
      <c r="T93" s="531">
        <f t="shared" si="140"/>
        <v>0.42375246735071864</v>
      </c>
      <c r="U93" s="531">
        <f t="shared" si="140"/>
        <v>0.42375246735071864</v>
      </c>
      <c r="V93" s="531">
        <f t="shared" si="140"/>
        <v>0.42375246735071864</v>
      </c>
      <c r="W93" s="531">
        <f t="shared" si="140"/>
        <v>0.42375246735071864</v>
      </c>
      <c r="X93" s="531">
        <f t="shared" si="140"/>
        <v>0.4237524673507187</v>
      </c>
      <c r="Y93" s="531">
        <f t="shared" si="140"/>
        <v>0.4237524673507187</v>
      </c>
      <c r="Z93" s="531">
        <f t="shared" si="140"/>
        <v>0.4237524673507187</v>
      </c>
      <c r="AA93" s="531">
        <f t="shared" si="140"/>
        <v>0.4237524673507187</v>
      </c>
      <c r="AB93" s="531">
        <f t="shared" si="140"/>
        <v>0.4237524673507187</v>
      </c>
      <c r="AC93" s="531">
        <f t="shared" si="140"/>
        <v>0.4237524673507187</v>
      </c>
      <c r="AD93" s="531">
        <f t="shared" si="140"/>
        <v>0.43114700219849739</v>
      </c>
      <c r="AE93" s="531">
        <f t="shared" si="140"/>
        <v>0.43114700219849739</v>
      </c>
      <c r="AF93" s="531">
        <f t="shared" si="140"/>
        <v>0.43114700219849739</v>
      </c>
      <c r="AG93" s="531">
        <f t="shared" si="140"/>
        <v>0.43114700219849739</v>
      </c>
      <c r="AH93" s="531">
        <f t="shared" si="140"/>
        <v>0.43114700219849739</v>
      </c>
      <c r="AI93" s="531">
        <f t="shared" si="140"/>
        <v>0.43114700219849739</v>
      </c>
      <c r="AJ93" s="531">
        <f t="shared" si="140"/>
        <v>0.4311470021984975</v>
      </c>
      <c r="AK93" s="531">
        <f t="shared" si="140"/>
        <v>0.4311470021984975</v>
      </c>
      <c r="AL93" s="531">
        <f t="shared" si="140"/>
        <v>0.4311470021984975</v>
      </c>
      <c r="AM93" s="531">
        <f t="shared" si="140"/>
        <v>0.4311470021984975</v>
      </c>
      <c r="AN93" s="531">
        <f t="shared" si="140"/>
        <v>0.4311470021984975</v>
      </c>
      <c r="AO93" s="531">
        <f t="shared" si="140"/>
        <v>0.4311470021984975</v>
      </c>
      <c r="AP93" s="531">
        <f t="shared" si="140"/>
        <v>0.43797650789111686</v>
      </c>
      <c r="AQ93" s="531">
        <f t="shared" si="140"/>
        <v>0.43797650789111686</v>
      </c>
      <c r="AR93" s="531">
        <f t="shared" si="140"/>
        <v>0.43797650789111686</v>
      </c>
      <c r="AS93" s="531">
        <f t="shared" si="140"/>
        <v>0.43797650789111686</v>
      </c>
      <c r="AT93" s="531">
        <f t="shared" si="140"/>
        <v>0.43797650789111686</v>
      </c>
      <c r="AU93" s="531">
        <f t="shared" si="140"/>
        <v>0.43797650789111686</v>
      </c>
      <c r="AV93" s="531">
        <f t="shared" si="140"/>
        <v>0.43797650789111692</v>
      </c>
      <c r="AW93" s="531">
        <f t="shared" si="140"/>
        <v>0.43797650789111692</v>
      </c>
      <c r="AX93" s="531">
        <f t="shared" ref="AX93:BY93" si="141">IFERROR(AX92/AX87,0)</f>
        <v>0.43797650789111692</v>
      </c>
      <c r="AY93" s="531">
        <f t="shared" si="141"/>
        <v>0.43797650789111692</v>
      </c>
      <c r="AZ93" s="531">
        <f t="shared" si="141"/>
        <v>0.43797650789111692</v>
      </c>
      <c r="BA93" s="531">
        <f t="shared" si="141"/>
        <v>0.43797650789111692</v>
      </c>
      <c r="BB93" s="531">
        <f t="shared" si="141"/>
        <v>0.44422866297688929</v>
      </c>
      <c r="BC93" s="531">
        <f t="shared" si="141"/>
        <v>0.44422866297688929</v>
      </c>
      <c r="BD93" s="531">
        <f t="shared" si="141"/>
        <v>0.44422866297688929</v>
      </c>
      <c r="BE93" s="531">
        <f t="shared" si="141"/>
        <v>0.44422866297688929</v>
      </c>
      <c r="BF93" s="531">
        <f t="shared" si="141"/>
        <v>0.44422866297688929</v>
      </c>
      <c r="BG93" s="531">
        <f t="shared" si="141"/>
        <v>0.44422866297688929</v>
      </c>
      <c r="BH93" s="531">
        <f t="shared" si="141"/>
        <v>0.4442286629768894</v>
      </c>
      <c r="BI93" s="531">
        <f t="shared" si="141"/>
        <v>0.4442286629768894</v>
      </c>
      <c r="BJ93" s="531">
        <f t="shared" si="141"/>
        <v>0.4442286629768894</v>
      </c>
      <c r="BK93" s="531">
        <f t="shared" si="141"/>
        <v>0.4442286629768894</v>
      </c>
      <c r="BL93" s="531">
        <f t="shared" si="141"/>
        <v>0.4442286629768894</v>
      </c>
      <c r="BM93" s="531">
        <f t="shared" si="141"/>
        <v>0.4442286629768894</v>
      </c>
      <c r="BN93" s="531">
        <f t="shared" si="141"/>
        <v>0.45033311408393406</v>
      </c>
      <c r="BO93" s="531">
        <f t="shared" si="141"/>
        <v>0.45033311408393406</v>
      </c>
      <c r="BP93" s="531">
        <f t="shared" si="141"/>
        <v>0.45033311408393406</v>
      </c>
      <c r="BQ93" s="531">
        <f t="shared" si="141"/>
        <v>0.45033311408393406</v>
      </c>
      <c r="BR93" s="531">
        <f t="shared" si="141"/>
        <v>0.45033311408393406</v>
      </c>
      <c r="BS93" s="531">
        <f t="shared" si="141"/>
        <v>0.45033311408393406</v>
      </c>
      <c r="BT93" s="531">
        <f t="shared" si="141"/>
        <v>0.45033311408393395</v>
      </c>
      <c r="BU93" s="531">
        <f t="shared" si="141"/>
        <v>0.45033311408393395</v>
      </c>
      <c r="BV93" s="531">
        <f t="shared" si="141"/>
        <v>0.45033311408393395</v>
      </c>
      <c r="BW93" s="531">
        <f t="shared" si="141"/>
        <v>0.45033311408393395</v>
      </c>
      <c r="BX93" s="531">
        <f t="shared" si="141"/>
        <v>0.45033311408393395</v>
      </c>
      <c r="BY93" s="531">
        <f t="shared" si="141"/>
        <v>0.45033311408393395</v>
      </c>
      <c r="BZ93" s="537"/>
      <c r="CA93" s="537"/>
      <c r="CB93" s="537"/>
    </row>
    <row r="94" spans="1:80" x14ac:dyDescent="0.3">
      <c r="A94" s="551"/>
      <c r="B94" s="548"/>
      <c r="C94" s="525"/>
      <c r="D94" s="525"/>
      <c r="E94" s="525"/>
      <c r="F94" s="575"/>
      <c r="G94" s="575"/>
      <c r="H94" s="575"/>
      <c r="I94" s="529"/>
      <c r="J94" s="529"/>
      <c r="K94" s="529"/>
      <c r="L94" s="529"/>
      <c r="M94" s="529"/>
      <c r="N94" s="529"/>
      <c r="O94" s="529"/>
      <c r="P94" s="562"/>
      <c r="Q94" s="537"/>
      <c r="R94" s="529"/>
      <c r="S94" s="529"/>
      <c r="T94" s="529"/>
      <c r="U94" s="529"/>
      <c r="V94" s="529"/>
      <c r="W94" s="529"/>
      <c r="X94" s="529"/>
      <c r="Y94" s="529"/>
      <c r="Z94" s="529"/>
      <c r="AA94" s="529"/>
      <c r="AB94" s="529"/>
      <c r="AC94" s="529"/>
      <c r="AD94" s="529"/>
      <c r="AE94" s="529"/>
      <c r="AF94" s="529"/>
      <c r="AG94" s="529"/>
      <c r="AH94" s="529"/>
      <c r="AI94" s="529"/>
      <c r="AJ94" s="529"/>
      <c r="AK94" s="529"/>
      <c r="AL94" s="529"/>
      <c r="AM94" s="529"/>
      <c r="AN94" s="529"/>
      <c r="AO94" s="529"/>
      <c r="AP94" s="529"/>
      <c r="AQ94" s="529"/>
      <c r="AR94" s="529"/>
      <c r="AS94" s="529"/>
      <c r="AT94" s="529"/>
      <c r="AU94" s="529"/>
      <c r="AV94" s="529"/>
      <c r="AW94" s="529"/>
      <c r="AX94" s="529"/>
      <c r="AY94" s="529"/>
      <c r="AZ94" s="529"/>
      <c r="BA94" s="529"/>
      <c r="BB94" s="529"/>
      <c r="BC94" s="529"/>
      <c r="BD94" s="529"/>
      <c r="BE94" s="529"/>
      <c r="BF94" s="529"/>
      <c r="BG94" s="529"/>
      <c r="BH94" s="529"/>
      <c r="BI94" s="529"/>
      <c r="BJ94" s="529"/>
      <c r="BK94" s="529"/>
      <c r="BL94" s="529"/>
      <c r="BM94" s="529"/>
      <c r="BN94" s="529"/>
      <c r="BO94" s="529"/>
      <c r="BP94" s="529"/>
      <c r="BQ94" s="529"/>
      <c r="BR94" s="529"/>
      <c r="BS94" s="529"/>
      <c r="BT94" s="529"/>
      <c r="BU94" s="529"/>
      <c r="BV94" s="529"/>
      <c r="BW94" s="529"/>
      <c r="BX94" s="529"/>
      <c r="BY94" s="529"/>
      <c r="BZ94" s="537"/>
      <c r="CA94" s="537"/>
      <c r="CB94" s="537"/>
    </row>
    <row r="95" spans="1:80" x14ac:dyDescent="0.3">
      <c r="A95" s="551"/>
      <c r="B95" s="548"/>
      <c r="C95" s="525"/>
      <c r="D95" s="525"/>
      <c r="E95" s="570" t="s">
        <v>23</v>
      </c>
      <c r="F95" s="529"/>
      <c r="G95" s="529"/>
      <c r="H95" s="529"/>
      <c r="I95" s="529"/>
      <c r="J95" s="529"/>
      <c r="K95" s="529"/>
      <c r="L95" s="529"/>
      <c r="M95" s="529"/>
      <c r="N95" s="529"/>
      <c r="O95" s="529"/>
      <c r="P95" s="562"/>
      <c r="Q95" s="537"/>
      <c r="R95" s="529"/>
      <c r="S95" s="529"/>
      <c r="T95" s="529"/>
      <c r="U95" s="529"/>
      <c r="V95" s="529"/>
      <c r="W95" s="529"/>
      <c r="X95" s="529"/>
      <c r="Y95" s="529"/>
      <c r="Z95" s="529"/>
      <c r="AA95" s="529"/>
      <c r="AB95" s="529"/>
      <c r="AC95" s="529"/>
      <c r="AD95" s="529"/>
      <c r="AE95" s="529"/>
      <c r="AF95" s="529"/>
      <c r="AG95" s="529"/>
      <c r="AH95" s="529"/>
      <c r="AI95" s="529"/>
      <c r="AJ95" s="529"/>
      <c r="AK95" s="529"/>
      <c r="AL95" s="529"/>
      <c r="AM95" s="529"/>
      <c r="AN95" s="529"/>
      <c r="AO95" s="529"/>
      <c r="AP95" s="529"/>
      <c r="AQ95" s="529"/>
      <c r="AR95" s="529"/>
      <c r="AS95" s="529"/>
      <c r="AT95" s="529"/>
      <c r="AU95" s="529"/>
      <c r="AV95" s="529"/>
      <c r="AW95" s="529"/>
      <c r="AX95" s="529"/>
      <c r="AY95" s="529"/>
      <c r="AZ95" s="529"/>
      <c r="BA95" s="529"/>
      <c r="BB95" s="529"/>
      <c r="BC95" s="529"/>
      <c r="BD95" s="529"/>
      <c r="BE95" s="529"/>
      <c r="BF95" s="529"/>
      <c r="BG95" s="529"/>
      <c r="BH95" s="529"/>
      <c r="BI95" s="529"/>
      <c r="BJ95" s="529"/>
      <c r="BK95" s="529"/>
      <c r="BL95" s="529"/>
      <c r="BM95" s="529"/>
      <c r="BN95" s="529"/>
      <c r="BO95" s="529"/>
      <c r="BP95" s="529"/>
      <c r="BQ95" s="529"/>
      <c r="BR95" s="529"/>
      <c r="BS95" s="529"/>
      <c r="BT95" s="529"/>
      <c r="BU95" s="529"/>
      <c r="BV95" s="529"/>
      <c r="BW95" s="529"/>
      <c r="BX95" s="529"/>
      <c r="BY95" s="529"/>
      <c r="BZ95" s="537"/>
      <c r="CA95" s="537"/>
      <c r="CB95" s="537"/>
    </row>
    <row r="96" spans="1:80" x14ac:dyDescent="0.3">
      <c r="A96" s="551"/>
      <c r="B96" s="548"/>
      <c r="C96" s="525"/>
      <c r="D96" s="525"/>
      <c r="E96" s="572" t="s">
        <v>391</v>
      </c>
      <c r="F96" s="573"/>
      <c r="G96" s="573"/>
      <c r="H96" s="573"/>
      <c r="I96" s="530">
        <f t="shared" ref="I96:N101" si="142">I31/I$82</f>
        <v>10783.361500341065</v>
      </c>
      <c r="J96" s="530">
        <f t="shared" si="142"/>
        <v>10900.818036023429</v>
      </c>
      <c r="K96" s="530">
        <f t="shared" si="142"/>
        <v>11099.421858329491</v>
      </c>
      <c r="L96" s="530">
        <f t="shared" si="142"/>
        <v>11296.124779031461</v>
      </c>
      <c r="M96" s="530">
        <f t="shared" si="142"/>
        <v>11500.920122701877</v>
      </c>
      <c r="N96" s="530">
        <f t="shared" si="142"/>
        <v>11709.84870096226</v>
      </c>
      <c r="O96" s="536"/>
      <c r="P96" s="568">
        <f t="shared" ref="P96:P102" si="143">IFERROR(((N96/I96)^(1/5))-1,0)</f>
        <v>1.6621812914281442E-2</v>
      </c>
      <c r="Q96" s="537"/>
      <c r="R96" s="530">
        <f t="shared" ref="R96:AW96" si="144">R31/R$82</f>
        <v>898.61345836175553</v>
      </c>
      <c r="S96" s="530">
        <f t="shared" si="144"/>
        <v>898.61345836175553</v>
      </c>
      <c r="T96" s="530">
        <f t="shared" si="144"/>
        <v>898.61345836175553</v>
      </c>
      <c r="U96" s="530">
        <f t="shared" si="144"/>
        <v>898.61345836175553</v>
      </c>
      <c r="V96" s="530">
        <f t="shared" si="144"/>
        <v>898.61345836175553</v>
      </c>
      <c r="W96" s="530">
        <f t="shared" si="144"/>
        <v>898.61345836175553</v>
      </c>
      <c r="X96" s="530">
        <f t="shared" si="144"/>
        <v>918.18954764214948</v>
      </c>
      <c r="Y96" s="530">
        <f t="shared" si="144"/>
        <v>918.18954764214948</v>
      </c>
      <c r="Z96" s="530">
        <f t="shared" si="144"/>
        <v>918.18954764214948</v>
      </c>
      <c r="AA96" s="530">
        <f t="shared" si="144"/>
        <v>918.18954764214948</v>
      </c>
      <c r="AB96" s="530">
        <f t="shared" si="144"/>
        <v>918.18954764214948</v>
      </c>
      <c r="AC96" s="530">
        <f t="shared" si="144"/>
        <v>918.18954764214948</v>
      </c>
      <c r="AD96" s="530">
        <f t="shared" si="144"/>
        <v>912.86265570480589</v>
      </c>
      <c r="AE96" s="530">
        <f t="shared" si="144"/>
        <v>912.86265570480589</v>
      </c>
      <c r="AF96" s="530">
        <f t="shared" si="144"/>
        <v>912.86265570480589</v>
      </c>
      <c r="AG96" s="530">
        <f t="shared" si="144"/>
        <v>912.86265570480589</v>
      </c>
      <c r="AH96" s="530">
        <f t="shared" si="144"/>
        <v>912.86265570480589</v>
      </c>
      <c r="AI96" s="530">
        <f t="shared" si="144"/>
        <v>912.86265570480589</v>
      </c>
      <c r="AJ96" s="530">
        <f t="shared" si="144"/>
        <v>937.04098735010939</v>
      </c>
      <c r="AK96" s="530">
        <f t="shared" si="144"/>
        <v>937.04098735010939</v>
      </c>
      <c r="AL96" s="530">
        <f t="shared" si="144"/>
        <v>937.04098735010939</v>
      </c>
      <c r="AM96" s="530">
        <f t="shared" si="144"/>
        <v>937.04098735010939</v>
      </c>
      <c r="AN96" s="530">
        <f t="shared" si="144"/>
        <v>937.04098735010939</v>
      </c>
      <c r="AO96" s="530">
        <f t="shared" si="144"/>
        <v>937.04098735010939</v>
      </c>
      <c r="AP96" s="530">
        <f t="shared" si="144"/>
        <v>926.98517595751071</v>
      </c>
      <c r="AQ96" s="530">
        <f t="shared" si="144"/>
        <v>926.98517595751071</v>
      </c>
      <c r="AR96" s="530">
        <f t="shared" si="144"/>
        <v>926.98517595751071</v>
      </c>
      <c r="AS96" s="530">
        <f t="shared" si="144"/>
        <v>926.98517595751071</v>
      </c>
      <c r="AT96" s="530">
        <f t="shared" si="144"/>
        <v>926.98517595751071</v>
      </c>
      <c r="AU96" s="530">
        <f t="shared" si="144"/>
        <v>926.98517595751071</v>
      </c>
      <c r="AV96" s="530">
        <f t="shared" si="144"/>
        <v>955.7022872143998</v>
      </c>
      <c r="AW96" s="530">
        <f t="shared" si="144"/>
        <v>955.7022872143998</v>
      </c>
      <c r="AX96" s="530">
        <f t="shared" ref="AX96:BY96" si="145">AX31/AX$82</f>
        <v>955.7022872143998</v>
      </c>
      <c r="AY96" s="530">
        <f t="shared" si="145"/>
        <v>955.7022872143998</v>
      </c>
      <c r="AZ96" s="530">
        <f t="shared" si="145"/>
        <v>955.7022872143998</v>
      </c>
      <c r="BA96" s="530">
        <f t="shared" si="145"/>
        <v>955.7022872143998</v>
      </c>
      <c r="BB96" s="530">
        <f t="shared" si="145"/>
        <v>941.79952198907313</v>
      </c>
      <c r="BC96" s="530">
        <f t="shared" si="145"/>
        <v>941.79952198907313</v>
      </c>
      <c r="BD96" s="530">
        <f t="shared" si="145"/>
        <v>941.79952198907313</v>
      </c>
      <c r="BE96" s="530">
        <f t="shared" si="145"/>
        <v>941.79952198907313</v>
      </c>
      <c r="BF96" s="530">
        <f t="shared" si="145"/>
        <v>941.79952198907313</v>
      </c>
      <c r="BG96" s="530">
        <f t="shared" si="145"/>
        <v>941.79952198907313</v>
      </c>
      <c r="BH96" s="530">
        <f t="shared" si="145"/>
        <v>975.02049846123975</v>
      </c>
      <c r="BI96" s="530">
        <f t="shared" si="145"/>
        <v>975.02049846123975</v>
      </c>
      <c r="BJ96" s="530">
        <f t="shared" si="145"/>
        <v>975.02049846123975</v>
      </c>
      <c r="BK96" s="530">
        <f t="shared" si="145"/>
        <v>975.02049846123975</v>
      </c>
      <c r="BL96" s="530">
        <f t="shared" si="145"/>
        <v>975.02049846123975</v>
      </c>
      <c r="BM96" s="530">
        <f t="shared" si="145"/>
        <v>975.02049846123975</v>
      </c>
      <c r="BN96" s="530">
        <f t="shared" si="145"/>
        <v>956.99959331642651</v>
      </c>
      <c r="BO96" s="530">
        <f t="shared" si="145"/>
        <v>956.99959331642651</v>
      </c>
      <c r="BP96" s="530">
        <f t="shared" si="145"/>
        <v>956.99959331642651</v>
      </c>
      <c r="BQ96" s="530">
        <f t="shared" si="145"/>
        <v>956.99959331642651</v>
      </c>
      <c r="BR96" s="530">
        <f t="shared" si="145"/>
        <v>956.99959331642651</v>
      </c>
      <c r="BS96" s="530">
        <f t="shared" si="145"/>
        <v>956.99959331642651</v>
      </c>
      <c r="BT96" s="530">
        <f t="shared" si="145"/>
        <v>994.64185684394999</v>
      </c>
      <c r="BU96" s="530">
        <f t="shared" si="145"/>
        <v>994.64185684394999</v>
      </c>
      <c r="BV96" s="530">
        <f t="shared" si="145"/>
        <v>994.64185684394999</v>
      </c>
      <c r="BW96" s="530">
        <f t="shared" si="145"/>
        <v>994.64185684394999</v>
      </c>
      <c r="BX96" s="530">
        <f t="shared" si="145"/>
        <v>994.64185684394999</v>
      </c>
      <c r="BY96" s="530">
        <f t="shared" si="145"/>
        <v>994.64185684394999</v>
      </c>
      <c r="BZ96" s="537"/>
      <c r="CA96" s="537"/>
      <c r="CB96" s="574"/>
    </row>
    <row r="97" spans="1:80" x14ac:dyDescent="0.3">
      <c r="A97" s="551"/>
      <c r="B97" s="548"/>
      <c r="C97" s="525"/>
      <c r="D97" s="525"/>
      <c r="E97" s="525" t="s">
        <v>392</v>
      </c>
      <c r="F97" s="567"/>
      <c r="G97" s="567"/>
      <c r="H97" s="567"/>
      <c r="I97" s="527">
        <f t="shared" si="142"/>
        <v>-5448.5639828746689</v>
      </c>
      <c r="J97" s="527">
        <f t="shared" si="142"/>
        <v>-5507.9118448425652</v>
      </c>
      <c r="K97" s="527">
        <f t="shared" si="142"/>
        <v>-5608.2614095904237</v>
      </c>
      <c r="L97" s="527">
        <f t="shared" si="142"/>
        <v>-5707.6504961038563</v>
      </c>
      <c r="M97" s="527">
        <f t="shared" si="142"/>
        <v>-5811.1284823837186</v>
      </c>
      <c r="N97" s="527">
        <f t="shared" si="142"/>
        <v>-5916.6948891546244</v>
      </c>
      <c r="O97" s="529"/>
      <c r="P97" s="564">
        <f t="shared" si="143"/>
        <v>1.6621812914281442E-2</v>
      </c>
      <c r="Q97" s="537"/>
      <c r="R97" s="527">
        <f t="shared" ref="R97:AW97" si="146">R32/R$82</f>
        <v>-454.04699857288921</v>
      </c>
      <c r="S97" s="527">
        <f t="shared" si="146"/>
        <v>-454.04699857288921</v>
      </c>
      <c r="T97" s="527">
        <f t="shared" si="146"/>
        <v>-454.04699857288921</v>
      </c>
      <c r="U97" s="527">
        <f t="shared" si="146"/>
        <v>-454.04699857288921</v>
      </c>
      <c r="V97" s="527">
        <f t="shared" si="146"/>
        <v>-454.04699857288921</v>
      </c>
      <c r="W97" s="527">
        <f t="shared" si="146"/>
        <v>-454.04699857288921</v>
      </c>
      <c r="X97" s="527">
        <f t="shared" si="146"/>
        <v>-463.93830890087179</v>
      </c>
      <c r="Y97" s="527">
        <f t="shared" si="146"/>
        <v>-463.93830890087179</v>
      </c>
      <c r="Z97" s="527">
        <f t="shared" si="146"/>
        <v>-463.93830890087179</v>
      </c>
      <c r="AA97" s="527">
        <f t="shared" si="146"/>
        <v>-463.93830890087179</v>
      </c>
      <c r="AB97" s="527">
        <f t="shared" si="146"/>
        <v>-463.93830890087179</v>
      </c>
      <c r="AC97" s="527">
        <f t="shared" si="146"/>
        <v>-463.93830890087179</v>
      </c>
      <c r="AD97" s="527">
        <f t="shared" si="146"/>
        <v>-461.24676308284853</v>
      </c>
      <c r="AE97" s="527">
        <f t="shared" si="146"/>
        <v>-461.24676308284853</v>
      </c>
      <c r="AF97" s="527">
        <f t="shared" si="146"/>
        <v>-461.24676308284853</v>
      </c>
      <c r="AG97" s="527">
        <f t="shared" si="146"/>
        <v>-461.24676308284853</v>
      </c>
      <c r="AH97" s="527">
        <f t="shared" si="146"/>
        <v>-461.24676308284853</v>
      </c>
      <c r="AI97" s="527">
        <f t="shared" si="146"/>
        <v>-461.24676308284853</v>
      </c>
      <c r="AJ97" s="527">
        <f t="shared" si="146"/>
        <v>-473.4634718488889</v>
      </c>
      <c r="AK97" s="527">
        <f t="shared" si="146"/>
        <v>-473.4634718488889</v>
      </c>
      <c r="AL97" s="527">
        <f t="shared" si="146"/>
        <v>-473.4634718488889</v>
      </c>
      <c r="AM97" s="527">
        <f t="shared" si="146"/>
        <v>-473.4634718488889</v>
      </c>
      <c r="AN97" s="527">
        <f t="shared" si="146"/>
        <v>-473.4634718488889</v>
      </c>
      <c r="AO97" s="527">
        <f t="shared" si="146"/>
        <v>-473.4634718488889</v>
      </c>
      <c r="AP97" s="527">
        <f t="shared" si="146"/>
        <v>-468.38252081422678</v>
      </c>
      <c r="AQ97" s="527">
        <f t="shared" si="146"/>
        <v>-468.38252081422678</v>
      </c>
      <c r="AR97" s="527">
        <f t="shared" si="146"/>
        <v>-468.38252081422678</v>
      </c>
      <c r="AS97" s="527">
        <f t="shared" si="146"/>
        <v>-468.38252081422678</v>
      </c>
      <c r="AT97" s="527">
        <f t="shared" si="146"/>
        <v>-468.38252081422678</v>
      </c>
      <c r="AU97" s="527">
        <f t="shared" si="146"/>
        <v>-468.38252081422678</v>
      </c>
      <c r="AV97" s="527">
        <f t="shared" si="146"/>
        <v>-482.89256186974939</v>
      </c>
      <c r="AW97" s="527">
        <f t="shared" si="146"/>
        <v>-482.89256186974939</v>
      </c>
      <c r="AX97" s="527">
        <f t="shared" ref="AX97:BY97" si="147">AX32/AX$82</f>
        <v>-482.89256186974939</v>
      </c>
      <c r="AY97" s="527">
        <f t="shared" si="147"/>
        <v>-482.89256186974939</v>
      </c>
      <c r="AZ97" s="527">
        <f t="shared" si="147"/>
        <v>-482.89256186974939</v>
      </c>
      <c r="BA97" s="527">
        <f t="shared" si="147"/>
        <v>-482.89256186974939</v>
      </c>
      <c r="BB97" s="527">
        <f t="shared" si="147"/>
        <v>-475.86784088022489</v>
      </c>
      <c r="BC97" s="527">
        <f t="shared" si="147"/>
        <v>-475.86784088022489</v>
      </c>
      <c r="BD97" s="527">
        <f t="shared" si="147"/>
        <v>-475.86784088022489</v>
      </c>
      <c r="BE97" s="527">
        <f t="shared" si="147"/>
        <v>-475.86784088022489</v>
      </c>
      <c r="BF97" s="527">
        <f t="shared" si="147"/>
        <v>-475.86784088022489</v>
      </c>
      <c r="BG97" s="527">
        <f t="shared" si="147"/>
        <v>-475.86784088022489</v>
      </c>
      <c r="BH97" s="527">
        <f t="shared" si="147"/>
        <v>-492.65357285039477</v>
      </c>
      <c r="BI97" s="527">
        <f t="shared" si="147"/>
        <v>-492.65357285039477</v>
      </c>
      <c r="BJ97" s="527">
        <f t="shared" si="147"/>
        <v>-492.65357285039477</v>
      </c>
      <c r="BK97" s="527">
        <f t="shared" si="147"/>
        <v>-492.65357285039477</v>
      </c>
      <c r="BL97" s="527">
        <f t="shared" si="147"/>
        <v>-492.65357285039477</v>
      </c>
      <c r="BM97" s="527">
        <f t="shared" si="147"/>
        <v>-492.65357285039477</v>
      </c>
      <c r="BN97" s="527">
        <f t="shared" si="147"/>
        <v>-483.54805833085243</v>
      </c>
      <c r="BO97" s="527">
        <f t="shared" si="147"/>
        <v>-483.54805833085243</v>
      </c>
      <c r="BP97" s="527">
        <f t="shared" si="147"/>
        <v>-483.54805833085243</v>
      </c>
      <c r="BQ97" s="527">
        <f t="shared" si="147"/>
        <v>-483.54805833085243</v>
      </c>
      <c r="BR97" s="527">
        <f t="shared" si="147"/>
        <v>-483.54805833085243</v>
      </c>
      <c r="BS97" s="527">
        <f t="shared" si="147"/>
        <v>-483.54805833085243</v>
      </c>
      <c r="BT97" s="527">
        <f t="shared" si="147"/>
        <v>-502.56775652825166</v>
      </c>
      <c r="BU97" s="527">
        <f t="shared" si="147"/>
        <v>-502.56775652825166</v>
      </c>
      <c r="BV97" s="527">
        <f t="shared" si="147"/>
        <v>-502.56775652825166</v>
      </c>
      <c r="BW97" s="527">
        <f t="shared" si="147"/>
        <v>-502.56775652825166</v>
      </c>
      <c r="BX97" s="527">
        <f t="shared" si="147"/>
        <v>-502.56775652825166</v>
      </c>
      <c r="BY97" s="527">
        <f t="shared" si="147"/>
        <v>-502.56775652825166</v>
      </c>
      <c r="BZ97" s="537"/>
      <c r="CA97" s="537"/>
      <c r="CB97" s="574"/>
    </row>
    <row r="98" spans="1:80" x14ac:dyDescent="0.3">
      <c r="A98" s="551"/>
      <c r="B98" s="548"/>
      <c r="C98" s="525"/>
      <c r="D98" s="525"/>
      <c r="E98" s="525" t="s">
        <v>393</v>
      </c>
      <c r="F98" s="567"/>
      <c r="G98" s="567"/>
      <c r="H98" s="567"/>
      <c r="I98" s="527">
        <f t="shared" si="142"/>
        <v>-658.84996965312848</v>
      </c>
      <c r="J98" s="527">
        <f t="shared" si="142"/>
        <v>-666.02641782909291</v>
      </c>
      <c r="K98" s="527">
        <f t="shared" si="142"/>
        <v>-678.16086424408195</v>
      </c>
      <c r="L98" s="527">
        <f t="shared" si="142"/>
        <v>-690.17916793640245</v>
      </c>
      <c r="M98" s="527">
        <f t="shared" si="142"/>
        <v>-702.69190860248227</v>
      </c>
      <c r="N98" s="527">
        <f t="shared" si="142"/>
        <v>-715.45718475891726</v>
      </c>
      <c r="O98" s="529"/>
      <c r="P98" s="564">
        <f t="shared" si="143"/>
        <v>1.6621812914281442E-2</v>
      </c>
      <c r="Q98" s="537"/>
      <c r="R98" s="527">
        <f t="shared" ref="R98:AW98" si="148">R33/R$82</f>
        <v>-54.904164137760723</v>
      </c>
      <c r="S98" s="527">
        <f t="shared" si="148"/>
        <v>-54.904164137760723</v>
      </c>
      <c r="T98" s="527">
        <f t="shared" si="148"/>
        <v>-54.904164137760723</v>
      </c>
      <c r="U98" s="527">
        <f t="shared" si="148"/>
        <v>-54.904164137760723</v>
      </c>
      <c r="V98" s="527">
        <f t="shared" si="148"/>
        <v>-54.904164137760723</v>
      </c>
      <c r="W98" s="527">
        <f t="shared" si="148"/>
        <v>-54.904164137760723</v>
      </c>
      <c r="X98" s="527">
        <f t="shared" si="148"/>
        <v>-56.10023883375478</v>
      </c>
      <c r="Y98" s="527">
        <f t="shared" si="148"/>
        <v>-56.10023883375478</v>
      </c>
      <c r="Z98" s="527">
        <f t="shared" si="148"/>
        <v>-56.10023883375478</v>
      </c>
      <c r="AA98" s="527">
        <f t="shared" si="148"/>
        <v>-56.10023883375478</v>
      </c>
      <c r="AB98" s="527">
        <f t="shared" si="148"/>
        <v>-56.10023883375478</v>
      </c>
      <c r="AC98" s="527">
        <f t="shared" si="148"/>
        <v>-56.10023883375478</v>
      </c>
      <c r="AD98" s="527">
        <f t="shared" si="148"/>
        <v>-55.774772364773533</v>
      </c>
      <c r="AE98" s="527">
        <f t="shared" si="148"/>
        <v>-55.774772364773533</v>
      </c>
      <c r="AF98" s="527">
        <f t="shared" si="148"/>
        <v>-55.774772364773533</v>
      </c>
      <c r="AG98" s="527">
        <f t="shared" si="148"/>
        <v>-55.774772364773533</v>
      </c>
      <c r="AH98" s="527">
        <f t="shared" si="148"/>
        <v>-55.774772364773533</v>
      </c>
      <c r="AI98" s="527">
        <f t="shared" si="148"/>
        <v>-55.774772364773533</v>
      </c>
      <c r="AJ98" s="527">
        <f t="shared" si="148"/>
        <v>-57.252038342573464</v>
      </c>
      <c r="AK98" s="527">
        <f t="shared" si="148"/>
        <v>-57.252038342573464</v>
      </c>
      <c r="AL98" s="527">
        <f t="shared" si="148"/>
        <v>-57.252038342573464</v>
      </c>
      <c r="AM98" s="527">
        <f t="shared" si="148"/>
        <v>-57.252038342573464</v>
      </c>
      <c r="AN98" s="527">
        <f t="shared" si="148"/>
        <v>-57.252038342573464</v>
      </c>
      <c r="AO98" s="527">
        <f t="shared" si="148"/>
        <v>-57.252038342573464</v>
      </c>
      <c r="AP98" s="527">
        <f t="shared" si="148"/>
        <v>-56.637640779193845</v>
      </c>
      <c r="AQ98" s="527">
        <f t="shared" si="148"/>
        <v>-56.637640779193845</v>
      </c>
      <c r="AR98" s="527">
        <f t="shared" si="148"/>
        <v>-56.637640779193845</v>
      </c>
      <c r="AS98" s="527">
        <f t="shared" si="148"/>
        <v>-56.637640779193845</v>
      </c>
      <c r="AT98" s="527">
        <f t="shared" si="148"/>
        <v>-56.637640779193845</v>
      </c>
      <c r="AU98" s="527">
        <f t="shared" si="148"/>
        <v>-56.637640779193845</v>
      </c>
      <c r="AV98" s="527">
        <f t="shared" si="148"/>
        <v>-58.392220543539914</v>
      </c>
      <c r="AW98" s="527">
        <f t="shared" si="148"/>
        <v>-58.392220543539914</v>
      </c>
      <c r="AX98" s="527">
        <f t="shared" ref="AX98:BY98" si="149">AX33/AX$82</f>
        <v>-58.392220543539914</v>
      </c>
      <c r="AY98" s="527">
        <f t="shared" si="149"/>
        <v>-58.392220543539914</v>
      </c>
      <c r="AZ98" s="527">
        <f t="shared" si="149"/>
        <v>-58.392220543539914</v>
      </c>
      <c r="BA98" s="527">
        <f t="shared" si="149"/>
        <v>-58.392220543539914</v>
      </c>
      <c r="BB98" s="527">
        <f t="shared" si="149"/>
        <v>-57.5427788878455</v>
      </c>
      <c r="BC98" s="527">
        <f t="shared" si="149"/>
        <v>-57.5427788878455</v>
      </c>
      <c r="BD98" s="527">
        <f t="shared" si="149"/>
        <v>-57.5427788878455</v>
      </c>
      <c r="BE98" s="527">
        <f t="shared" si="149"/>
        <v>-57.5427788878455</v>
      </c>
      <c r="BF98" s="527">
        <f t="shared" si="149"/>
        <v>-57.5427788878455</v>
      </c>
      <c r="BG98" s="527">
        <f t="shared" si="149"/>
        <v>-57.5427788878455</v>
      </c>
      <c r="BH98" s="527">
        <f t="shared" si="149"/>
        <v>-59.572539212568188</v>
      </c>
      <c r="BI98" s="527">
        <f t="shared" si="149"/>
        <v>-59.572539212568188</v>
      </c>
      <c r="BJ98" s="527">
        <f t="shared" si="149"/>
        <v>-59.572539212568188</v>
      </c>
      <c r="BK98" s="527">
        <f t="shared" si="149"/>
        <v>-59.572539212568188</v>
      </c>
      <c r="BL98" s="527">
        <f t="shared" si="149"/>
        <v>-59.572539212568188</v>
      </c>
      <c r="BM98" s="527">
        <f t="shared" si="149"/>
        <v>-59.572539212568188</v>
      </c>
      <c r="BN98" s="527">
        <f t="shared" si="149"/>
        <v>-58.471484332101966</v>
      </c>
      <c r="BO98" s="527">
        <f t="shared" si="149"/>
        <v>-58.471484332101966</v>
      </c>
      <c r="BP98" s="527">
        <f t="shared" si="149"/>
        <v>-58.471484332101966</v>
      </c>
      <c r="BQ98" s="527">
        <f t="shared" si="149"/>
        <v>-58.471484332101966</v>
      </c>
      <c r="BR98" s="527">
        <f t="shared" si="149"/>
        <v>-58.471484332101966</v>
      </c>
      <c r="BS98" s="527">
        <f t="shared" si="149"/>
        <v>-58.471484332101966</v>
      </c>
      <c r="BT98" s="527">
        <f t="shared" si="149"/>
        <v>-60.771379794384252</v>
      </c>
      <c r="BU98" s="527">
        <f t="shared" si="149"/>
        <v>-60.771379794384252</v>
      </c>
      <c r="BV98" s="527">
        <f t="shared" si="149"/>
        <v>-60.771379794384252</v>
      </c>
      <c r="BW98" s="527">
        <f t="shared" si="149"/>
        <v>-60.771379794384252</v>
      </c>
      <c r="BX98" s="527">
        <f t="shared" si="149"/>
        <v>-60.771379794384252</v>
      </c>
      <c r="BY98" s="527">
        <f t="shared" si="149"/>
        <v>-60.771379794384252</v>
      </c>
      <c r="BZ98" s="537"/>
      <c r="CA98" s="537"/>
      <c r="CB98" s="574"/>
    </row>
    <row r="99" spans="1:80" x14ac:dyDescent="0.3">
      <c r="A99" s="551"/>
      <c r="B99" s="548"/>
      <c r="C99" s="525"/>
      <c r="D99" s="525"/>
      <c r="E99" s="572" t="s">
        <v>394</v>
      </c>
      <c r="F99" s="573"/>
      <c r="G99" s="573"/>
      <c r="H99" s="573"/>
      <c r="I99" s="532">
        <f t="shared" si="142"/>
        <v>4166.4705691056915</v>
      </c>
      <c r="J99" s="532">
        <f t="shared" si="142"/>
        <v>4726.8797733517704</v>
      </c>
      <c r="K99" s="530">
        <f t="shared" si="142"/>
        <v>4812.9995844949835</v>
      </c>
      <c r="L99" s="532">
        <f t="shared" si="142"/>
        <v>4898.2951149912042</v>
      </c>
      <c r="M99" s="532">
        <f t="shared" si="142"/>
        <v>4987.099731715678</v>
      </c>
      <c r="N99" s="532">
        <f t="shared" si="142"/>
        <v>5077.6966270487183</v>
      </c>
      <c r="O99" s="536"/>
      <c r="P99" s="568">
        <f t="shared" si="143"/>
        <v>4.0350514511868329E-2</v>
      </c>
      <c r="Q99" s="537"/>
      <c r="R99" s="530">
        <f t="shared" ref="R99:AW99" si="150">R34/R$82</f>
        <v>389.66229565110558</v>
      </c>
      <c r="S99" s="532">
        <f t="shared" si="150"/>
        <v>389.66229565110558</v>
      </c>
      <c r="T99" s="530">
        <f t="shared" si="150"/>
        <v>389.66229565110558</v>
      </c>
      <c r="U99" s="532">
        <f t="shared" si="150"/>
        <v>389.66229565110558</v>
      </c>
      <c r="V99" s="532">
        <f t="shared" si="150"/>
        <v>389.66229565110558</v>
      </c>
      <c r="W99" s="532">
        <f t="shared" si="150"/>
        <v>389.66229565110558</v>
      </c>
      <c r="X99" s="532">
        <f t="shared" si="150"/>
        <v>398.15099990752293</v>
      </c>
      <c r="Y99" s="532">
        <f t="shared" si="150"/>
        <v>398.15099990752293</v>
      </c>
      <c r="Z99" s="532">
        <f t="shared" si="150"/>
        <v>398.15099990752293</v>
      </c>
      <c r="AA99" s="532">
        <f t="shared" si="150"/>
        <v>398.15099990752293</v>
      </c>
      <c r="AB99" s="532">
        <f t="shared" si="150"/>
        <v>398.15099990752293</v>
      </c>
      <c r="AC99" s="532">
        <f t="shared" si="150"/>
        <v>398.15099990752293</v>
      </c>
      <c r="AD99" s="532">
        <f t="shared" si="150"/>
        <v>395.84112025718377</v>
      </c>
      <c r="AE99" s="532">
        <f t="shared" si="150"/>
        <v>395.84112025718377</v>
      </c>
      <c r="AF99" s="532">
        <f t="shared" si="150"/>
        <v>395.84112025718377</v>
      </c>
      <c r="AG99" s="532">
        <f t="shared" si="150"/>
        <v>395.84112025718377</v>
      </c>
      <c r="AH99" s="532">
        <f t="shared" si="150"/>
        <v>395.84112025718377</v>
      </c>
      <c r="AI99" s="532">
        <f t="shared" si="150"/>
        <v>395.84112025718377</v>
      </c>
      <c r="AJ99" s="532">
        <f t="shared" si="150"/>
        <v>406.32547715864695</v>
      </c>
      <c r="AK99" s="532">
        <f t="shared" si="150"/>
        <v>406.32547715864695</v>
      </c>
      <c r="AL99" s="532">
        <f t="shared" si="150"/>
        <v>406.32547715864695</v>
      </c>
      <c r="AM99" s="532">
        <f t="shared" si="150"/>
        <v>406.32547715864695</v>
      </c>
      <c r="AN99" s="532">
        <f t="shared" si="150"/>
        <v>406.32547715864695</v>
      </c>
      <c r="AO99" s="532">
        <f t="shared" si="150"/>
        <v>406.32547715864695</v>
      </c>
      <c r="AP99" s="532">
        <f t="shared" si="150"/>
        <v>401.96501436409011</v>
      </c>
      <c r="AQ99" s="532">
        <f t="shared" si="150"/>
        <v>401.96501436409011</v>
      </c>
      <c r="AR99" s="532">
        <f t="shared" si="150"/>
        <v>401.96501436409011</v>
      </c>
      <c r="AS99" s="532">
        <f t="shared" si="150"/>
        <v>401.96501436409011</v>
      </c>
      <c r="AT99" s="532">
        <f t="shared" si="150"/>
        <v>401.96501436409011</v>
      </c>
      <c r="AU99" s="532">
        <f t="shared" si="150"/>
        <v>401.96501436409011</v>
      </c>
      <c r="AV99" s="532">
        <f t="shared" si="150"/>
        <v>414.41750480111051</v>
      </c>
      <c r="AW99" s="532">
        <f t="shared" si="150"/>
        <v>414.41750480111051</v>
      </c>
      <c r="AX99" s="532">
        <f t="shared" ref="AX99:BY99" si="151">AX34/AX$82</f>
        <v>414.41750480111051</v>
      </c>
      <c r="AY99" s="532">
        <f t="shared" si="151"/>
        <v>414.41750480111051</v>
      </c>
      <c r="AZ99" s="532">
        <f t="shared" si="151"/>
        <v>414.41750480111051</v>
      </c>
      <c r="BA99" s="532">
        <f t="shared" si="151"/>
        <v>414.41750480111051</v>
      </c>
      <c r="BB99" s="532">
        <f t="shared" si="151"/>
        <v>408.38890222100281</v>
      </c>
      <c r="BC99" s="532">
        <f t="shared" si="151"/>
        <v>408.38890222100281</v>
      </c>
      <c r="BD99" s="532">
        <f t="shared" si="151"/>
        <v>408.38890222100281</v>
      </c>
      <c r="BE99" s="532">
        <f t="shared" si="151"/>
        <v>408.38890222100281</v>
      </c>
      <c r="BF99" s="532">
        <f t="shared" si="151"/>
        <v>408.38890222100281</v>
      </c>
      <c r="BG99" s="532">
        <f t="shared" si="151"/>
        <v>408.38890222100281</v>
      </c>
      <c r="BH99" s="532">
        <f t="shared" si="151"/>
        <v>422.79438639827686</v>
      </c>
      <c r="BI99" s="532">
        <f t="shared" si="151"/>
        <v>422.79438639827686</v>
      </c>
      <c r="BJ99" s="532">
        <f t="shared" si="151"/>
        <v>422.79438639827686</v>
      </c>
      <c r="BK99" s="532">
        <f t="shared" si="151"/>
        <v>422.79438639827686</v>
      </c>
      <c r="BL99" s="532">
        <f t="shared" si="151"/>
        <v>422.79438639827686</v>
      </c>
      <c r="BM99" s="532">
        <f t="shared" si="151"/>
        <v>422.79438639827686</v>
      </c>
      <c r="BN99" s="532">
        <f t="shared" si="151"/>
        <v>414.98005065347218</v>
      </c>
      <c r="BO99" s="532">
        <f t="shared" si="151"/>
        <v>414.98005065347218</v>
      </c>
      <c r="BP99" s="532">
        <f t="shared" si="151"/>
        <v>414.98005065347218</v>
      </c>
      <c r="BQ99" s="532">
        <f t="shared" si="151"/>
        <v>414.98005065347218</v>
      </c>
      <c r="BR99" s="532">
        <f t="shared" si="151"/>
        <v>414.98005065347218</v>
      </c>
      <c r="BS99" s="532">
        <f t="shared" si="151"/>
        <v>414.98005065347218</v>
      </c>
      <c r="BT99" s="532">
        <f t="shared" si="151"/>
        <v>431.30272052131414</v>
      </c>
      <c r="BU99" s="532">
        <f t="shared" si="151"/>
        <v>431.30272052131414</v>
      </c>
      <c r="BV99" s="532">
        <f t="shared" si="151"/>
        <v>431.30272052131414</v>
      </c>
      <c r="BW99" s="532">
        <f t="shared" si="151"/>
        <v>431.30272052131414</v>
      </c>
      <c r="BX99" s="532">
        <f t="shared" si="151"/>
        <v>431.30272052131414</v>
      </c>
      <c r="BY99" s="532">
        <f t="shared" si="151"/>
        <v>431.30272052131414</v>
      </c>
      <c r="BZ99" s="537"/>
      <c r="CA99" s="537"/>
      <c r="CB99" s="574"/>
    </row>
    <row r="100" spans="1:80" x14ac:dyDescent="0.3">
      <c r="A100" s="551"/>
      <c r="B100" s="548"/>
      <c r="C100" s="525"/>
      <c r="D100" s="525"/>
      <c r="E100" s="525" t="s">
        <v>395</v>
      </c>
      <c r="F100" s="567"/>
      <c r="G100" s="567"/>
      <c r="H100" s="567"/>
      <c r="I100" s="527">
        <f t="shared" si="142"/>
        <v>-491.21606729863788</v>
      </c>
      <c r="J100" s="527">
        <f t="shared" si="142"/>
        <v>-496.56658230590995</v>
      </c>
      <c r="K100" s="527">
        <f t="shared" si="142"/>
        <v>-505.61361170769487</v>
      </c>
      <c r="L100" s="527">
        <f t="shared" si="142"/>
        <v>-514.57404905650492</v>
      </c>
      <c r="M100" s="527">
        <f t="shared" si="142"/>
        <v>-523.90312175017948</v>
      </c>
      <c r="N100" s="527">
        <f t="shared" si="142"/>
        <v>-533.42047629274191</v>
      </c>
      <c r="O100" s="529"/>
      <c r="P100" s="564">
        <f t="shared" si="143"/>
        <v>1.6621812914281442E-2</v>
      </c>
      <c r="Q100" s="537"/>
      <c r="R100" s="527">
        <f t="shared" ref="R100:AW100" si="152">R35/R$82</f>
        <v>-40.934672274886502</v>
      </c>
      <c r="S100" s="527">
        <f t="shared" si="152"/>
        <v>-40.934672274886502</v>
      </c>
      <c r="T100" s="527">
        <f t="shared" si="152"/>
        <v>-40.934672274886502</v>
      </c>
      <c r="U100" s="527">
        <f t="shared" si="152"/>
        <v>-40.934672274886502</v>
      </c>
      <c r="V100" s="527">
        <f t="shared" si="152"/>
        <v>-40.934672274886502</v>
      </c>
      <c r="W100" s="527">
        <f t="shared" si="152"/>
        <v>-40.934672274886502</v>
      </c>
      <c r="X100" s="527">
        <f t="shared" si="152"/>
        <v>-41.826424776098477</v>
      </c>
      <c r="Y100" s="527">
        <f t="shared" si="152"/>
        <v>-41.826424776098477</v>
      </c>
      <c r="Z100" s="527">
        <f t="shared" si="152"/>
        <v>-41.826424776098477</v>
      </c>
      <c r="AA100" s="527">
        <f t="shared" si="152"/>
        <v>-41.826424776098477</v>
      </c>
      <c r="AB100" s="527">
        <f t="shared" si="152"/>
        <v>-41.826424776098477</v>
      </c>
      <c r="AC100" s="527">
        <f t="shared" si="152"/>
        <v>-41.826424776098477</v>
      </c>
      <c r="AD100" s="527">
        <f t="shared" si="152"/>
        <v>-41.583768076858263</v>
      </c>
      <c r="AE100" s="527">
        <f t="shared" si="152"/>
        <v>-41.583768076858263</v>
      </c>
      <c r="AF100" s="527">
        <f t="shared" si="152"/>
        <v>-41.583768076858263</v>
      </c>
      <c r="AG100" s="527">
        <f t="shared" si="152"/>
        <v>-41.583768076858263</v>
      </c>
      <c r="AH100" s="527">
        <f t="shared" si="152"/>
        <v>-41.583768076858263</v>
      </c>
      <c r="AI100" s="527">
        <f t="shared" si="152"/>
        <v>-41.583768076858263</v>
      </c>
      <c r="AJ100" s="527">
        <f t="shared" si="152"/>
        <v>-42.685167207757523</v>
      </c>
      <c r="AK100" s="527">
        <f t="shared" si="152"/>
        <v>-42.685167207757523</v>
      </c>
      <c r="AL100" s="527">
        <f t="shared" si="152"/>
        <v>-42.685167207757523</v>
      </c>
      <c r="AM100" s="527">
        <f t="shared" si="152"/>
        <v>-42.685167207757523</v>
      </c>
      <c r="AN100" s="527">
        <f t="shared" si="152"/>
        <v>-42.685167207757523</v>
      </c>
      <c r="AO100" s="527">
        <f t="shared" si="152"/>
        <v>-42.685167207757523</v>
      </c>
      <c r="AP100" s="527">
        <f t="shared" si="152"/>
        <v>-42.227093338527339</v>
      </c>
      <c r="AQ100" s="527">
        <f t="shared" si="152"/>
        <v>-42.227093338527339</v>
      </c>
      <c r="AR100" s="527">
        <f t="shared" si="152"/>
        <v>-42.227093338527339</v>
      </c>
      <c r="AS100" s="527">
        <f t="shared" si="152"/>
        <v>-42.227093338527339</v>
      </c>
      <c r="AT100" s="527">
        <f t="shared" si="152"/>
        <v>-42.227093338527339</v>
      </c>
      <c r="AU100" s="527">
        <f t="shared" si="152"/>
        <v>-42.227093338527339</v>
      </c>
      <c r="AV100" s="527">
        <f t="shared" si="152"/>
        <v>-43.535248170890171</v>
      </c>
      <c r="AW100" s="527">
        <f t="shared" si="152"/>
        <v>-43.535248170890171</v>
      </c>
      <c r="AX100" s="527">
        <f t="shared" ref="AX100:BY100" si="153">AX35/AX$82</f>
        <v>-43.535248170890171</v>
      </c>
      <c r="AY100" s="527">
        <f t="shared" si="153"/>
        <v>-43.535248170890171</v>
      </c>
      <c r="AZ100" s="527">
        <f t="shared" si="153"/>
        <v>-43.535248170890171</v>
      </c>
      <c r="BA100" s="527">
        <f t="shared" si="153"/>
        <v>-43.535248170890171</v>
      </c>
      <c r="BB100" s="527">
        <f t="shared" si="153"/>
        <v>-42.901933442607593</v>
      </c>
      <c r="BC100" s="527">
        <f t="shared" si="153"/>
        <v>-42.901933442607593</v>
      </c>
      <c r="BD100" s="527">
        <f t="shared" si="153"/>
        <v>-42.901933442607593</v>
      </c>
      <c r="BE100" s="527">
        <f t="shared" si="153"/>
        <v>-42.901933442607593</v>
      </c>
      <c r="BF100" s="527">
        <f t="shared" si="153"/>
        <v>-42.901933442607593</v>
      </c>
      <c r="BG100" s="527">
        <f t="shared" si="153"/>
        <v>-42.901933442607593</v>
      </c>
      <c r="BH100" s="527">
        <f t="shared" si="153"/>
        <v>-44.415253515755673</v>
      </c>
      <c r="BI100" s="527">
        <f t="shared" si="153"/>
        <v>-44.415253515755673</v>
      </c>
      <c r="BJ100" s="527">
        <f t="shared" si="153"/>
        <v>-44.415253515755673</v>
      </c>
      <c r="BK100" s="527">
        <f t="shared" si="153"/>
        <v>-44.415253515755673</v>
      </c>
      <c r="BL100" s="527">
        <f t="shared" si="153"/>
        <v>-44.415253515755673</v>
      </c>
      <c r="BM100" s="527">
        <f t="shared" si="153"/>
        <v>-44.415253515755673</v>
      </c>
      <c r="BN100" s="527">
        <f t="shared" si="153"/>
        <v>-43.594344548350946</v>
      </c>
      <c r="BO100" s="527">
        <f t="shared" si="153"/>
        <v>-43.594344548350946</v>
      </c>
      <c r="BP100" s="527">
        <f t="shared" si="153"/>
        <v>-43.594344548350946</v>
      </c>
      <c r="BQ100" s="527">
        <f t="shared" si="153"/>
        <v>-43.594344548350946</v>
      </c>
      <c r="BR100" s="527">
        <f t="shared" si="153"/>
        <v>-43.594344548350946</v>
      </c>
      <c r="BS100" s="527">
        <f t="shared" si="153"/>
        <v>-43.594344548350946</v>
      </c>
      <c r="BT100" s="527">
        <f t="shared" si="153"/>
        <v>-45.309068167106027</v>
      </c>
      <c r="BU100" s="527">
        <f t="shared" si="153"/>
        <v>-45.309068167106027</v>
      </c>
      <c r="BV100" s="527">
        <f t="shared" si="153"/>
        <v>-45.309068167106027</v>
      </c>
      <c r="BW100" s="527">
        <f t="shared" si="153"/>
        <v>-45.309068167106027</v>
      </c>
      <c r="BX100" s="527">
        <f t="shared" si="153"/>
        <v>-45.309068167106027</v>
      </c>
      <c r="BY100" s="527">
        <f t="shared" si="153"/>
        <v>-45.309068167106027</v>
      </c>
      <c r="BZ100" s="537"/>
      <c r="CA100" s="537"/>
      <c r="CB100" s="574"/>
    </row>
    <row r="101" spans="1:80" x14ac:dyDescent="0.3">
      <c r="A101" s="551"/>
      <c r="B101" s="548"/>
      <c r="C101" s="525"/>
      <c r="D101" s="525"/>
      <c r="E101" s="572" t="s">
        <v>396</v>
      </c>
      <c r="F101" s="573"/>
      <c r="G101" s="573"/>
      <c r="H101" s="573"/>
      <c r="I101" s="530">
        <f t="shared" si="142"/>
        <v>4184.7314805146261</v>
      </c>
      <c r="J101" s="530">
        <f t="shared" si="142"/>
        <v>4230.3131910458615</v>
      </c>
      <c r="K101" s="530">
        <f t="shared" si="142"/>
        <v>4307.3859727872905</v>
      </c>
      <c r="L101" s="530">
        <f t="shared" si="142"/>
        <v>4383.7210659346983</v>
      </c>
      <c r="M101" s="530">
        <f t="shared" si="142"/>
        <v>4463.1966099654983</v>
      </c>
      <c r="N101" s="530">
        <f t="shared" si="142"/>
        <v>4544.2761507559762</v>
      </c>
      <c r="O101" s="536"/>
      <c r="P101" s="568">
        <f t="shared" si="143"/>
        <v>1.6621812914281442E-2</v>
      </c>
      <c r="Q101" s="537"/>
      <c r="R101" s="530">
        <f t="shared" ref="R101:AW101" si="154">R36/R$82</f>
        <v>348.72762337621913</v>
      </c>
      <c r="S101" s="530">
        <f t="shared" si="154"/>
        <v>348.72762337621913</v>
      </c>
      <c r="T101" s="530">
        <f t="shared" si="154"/>
        <v>348.72762337621913</v>
      </c>
      <c r="U101" s="530">
        <f t="shared" si="154"/>
        <v>348.72762337621913</v>
      </c>
      <c r="V101" s="530">
        <f t="shared" si="154"/>
        <v>348.72762337621913</v>
      </c>
      <c r="W101" s="530">
        <f t="shared" si="154"/>
        <v>348.72762337621913</v>
      </c>
      <c r="X101" s="530">
        <f t="shared" si="154"/>
        <v>356.32457513142441</v>
      </c>
      <c r="Y101" s="530">
        <f t="shared" si="154"/>
        <v>356.32457513142441</v>
      </c>
      <c r="Z101" s="530">
        <f t="shared" si="154"/>
        <v>356.32457513142441</v>
      </c>
      <c r="AA101" s="530">
        <f t="shared" si="154"/>
        <v>356.32457513142441</v>
      </c>
      <c r="AB101" s="530">
        <f t="shared" si="154"/>
        <v>356.32457513142441</v>
      </c>
      <c r="AC101" s="530">
        <f t="shared" si="154"/>
        <v>356.32457513142441</v>
      </c>
      <c r="AD101" s="530">
        <f t="shared" si="154"/>
        <v>354.25735218032548</v>
      </c>
      <c r="AE101" s="530">
        <f t="shared" si="154"/>
        <v>354.25735218032548</v>
      </c>
      <c r="AF101" s="530">
        <f t="shared" si="154"/>
        <v>354.25735218032548</v>
      </c>
      <c r="AG101" s="530">
        <f t="shared" si="154"/>
        <v>354.25735218032548</v>
      </c>
      <c r="AH101" s="530">
        <f t="shared" si="154"/>
        <v>354.25735218032548</v>
      </c>
      <c r="AI101" s="530">
        <f t="shared" si="154"/>
        <v>354.25735218032548</v>
      </c>
      <c r="AJ101" s="530">
        <f t="shared" si="154"/>
        <v>363.64030995088945</v>
      </c>
      <c r="AK101" s="530">
        <f t="shared" si="154"/>
        <v>363.64030995088945</v>
      </c>
      <c r="AL101" s="530">
        <f t="shared" si="154"/>
        <v>363.64030995088945</v>
      </c>
      <c r="AM101" s="530">
        <f t="shared" si="154"/>
        <v>363.64030995088945</v>
      </c>
      <c r="AN101" s="530">
        <f t="shared" si="154"/>
        <v>363.64030995088945</v>
      </c>
      <c r="AO101" s="530">
        <f t="shared" si="154"/>
        <v>363.64030995088945</v>
      </c>
      <c r="AP101" s="530">
        <f t="shared" si="154"/>
        <v>359.7379210255628</v>
      </c>
      <c r="AQ101" s="530">
        <f t="shared" si="154"/>
        <v>359.7379210255628</v>
      </c>
      <c r="AR101" s="530">
        <f t="shared" si="154"/>
        <v>359.7379210255628</v>
      </c>
      <c r="AS101" s="530">
        <f t="shared" si="154"/>
        <v>359.7379210255628</v>
      </c>
      <c r="AT101" s="530">
        <f t="shared" si="154"/>
        <v>359.7379210255628</v>
      </c>
      <c r="AU101" s="530">
        <f t="shared" si="154"/>
        <v>359.7379210255628</v>
      </c>
      <c r="AV101" s="530">
        <f t="shared" si="154"/>
        <v>370.88225663022035</v>
      </c>
      <c r="AW101" s="530">
        <f t="shared" si="154"/>
        <v>370.88225663022035</v>
      </c>
      <c r="AX101" s="530">
        <f t="shared" ref="AX101:BY101" si="155">AX36/AX$82</f>
        <v>370.88225663022035</v>
      </c>
      <c r="AY101" s="530">
        <f t="shared" si="155"/>
        <v>370.88225663022035</v>
      </c>
      <c r="AZ101" s="530">
        <f t="shared" si="155"/>
        <v>370.88225663022035</v>
      </c>
      <c r="BA101" s="530">
        <f t="shared" si="155"/>
        <v>370.88225663022035</v>
      </c>
      <c r="BB101" s="530">
        <f t="shared" si="155"/>
        <v>365.48696877839524</v>
      </c>
      <c r="BC101" s="530">
        <f t="shared" si="155"/>
        <v>365.48696877839524</v>
      </c>
      <c r="BD101" s="530">
        <f t="shared" si="155"/>
        <v>365.48696877839524</v>
      </c>
      <c r="BE101" s="530">
        <f t="shared" si="155"/>
        <v>365.48696877839524</v>
      </c>
      <c r="BF101" s="530">
        <f t="shared" si="155"/>
        <v>365.48696877839524</v>
      </c>
      <c r="BG101" s="530">
        <f t="shared" si="155"/>
        <v>365.48696877839524</v>
      </c>
      <c r="BH101" s="530">
        <f t="shared" si="155"/>
        <v>378.37913288252122</v>
      </c>
      <c r="BI101" s="530">
        <f t="shared" si="155"/>
        <v>378.37913288252122</v>
      </c>
      <c r="BJ101" s="530">
        <f t="shared" si="155"/>
        <v>378.37913288252122</v>
      </c>
      <c r="BK101" s="530">
        <f t="shared" si="155"/>
        <v>378.37913288252122</v>
      </c>
      <c r="BL101" s="530">
        <f t="shared" si="155"/>
        <v>378.37913288252122</v>
      </c>
      <c r="BM101" s="530">
        <f t="shared" si="155"/>
        <v>378.37913288252122</v>
      </c>
      <c r="BN101" s="530">
        <f t="shared" si="155"/>
        <v>371.38570610512124</v>
      </c>
      <c r="BO101" s="530">
        <f t="shared" si="155"/>
        <v>371.38570610512124</v>
      </c>
      <c r="BP101" s="530">
        <f t="shared" si="155"/>
        <v>371.38570610512124</v>
      </c>
      <c r="BQ101" s="530">
        <f t="shared" si="155"/>
        <v>371.38570610512124</v>
      </c>
      <c r="BR101" s="530">
        <f t="shared" si="155"/>
        <v>371.38570610512124</v>
      </c>
      <c r="BS101" s="530">
        <f t="shared" si="155"/>
        <v>371.38570610512124</v>
      </c>
      <c r="BT101" s="530">
        <f t="shared" si="155"/>
        <v>385.99365235420811</v>
      </c>
      <c r="BU101" s="530">
        <f t="shared" si="155"/>
        <v>385.99365235420811</v>
      </c>
      <c r="BV101" s="530">
        <f t="shared" si="155"/>
        <v>385.99365235420811</v>
      </c>
      <c r="BW101" s="530">
        <f t="shared" si="155"/>
        <v>385.99365235420811</v>
      </c>
      <c r="BX101" s="530">
        <f t="shared" si="155"/>
        <v>385.99365235420811</v>
      </c>
      <c r="BY101" s="530">
        <f t="shared" si="155"/>
        <v>385.99365235420811</v>
      </c>
      <c r="BZ101" s="537"/>
      <c r="CA101" s="537"/>
      <c r="CB101" s="574"/>
    </row>
    <row r="102" spans="1:80" x14ac:dyDescent="0.3">
      <c r="A102" s="551"/>
      <c r="B102" s="548"/>
      <c r="C102" s="525"/>
      <c r="D102" s="525"/>
      <c r="E102" s="525" t="s">
        <v>176</v>
      </c>
      <c r="F102" s="575"/>
      <c r="G102" s="575"/>
      <c r="H102" s="575"/>
      <c r="I102" s="531">
        <f t="shared" ref="I102:N102" si="156">IFERROR(I101/I96,0)</f>
        <v>0.38807300305959957</v>
      </c>
      <c r="J102" s="531">
        <f t="shared" si="156"/>
        <v>0.38807300305959985</v>
      </c>
      <c r="K102" s="531">
        <f t="shared" si="156"/>
        <v>0.38807300305959985</v>
      </c>
      <c r="L102" s="531">
        <f t="shared" si="156"/>
        <v>0.38807300305959991</v>
      </c>
      <c r="M102" s="531">
        <f t="shared" si="156"/>
        <v>0.3880730030595998</v>
      </c>
      <c r="N102" s="531">
        <f t="shared" si="156"/>
        <v>0.38807300305959963</v>
      </c>
      <c r="O102" s="546"/>
      <c r="P102" s="564">
        <f t="shared" si="143"/>
        <v>0</v>
      </c>
      <c r="Q102" s="537"/>
      <c r="R102" s="531">
        <f t="shared" ref="R102:AW102" si="157">IFERROR(R101/R96,0)</f>
        <v>0.3880730030595998</v>
      </c>
      <c r="S102" s="531">
        <f t="shared" si="157"/>
        <v>0.3880730030595998</v>
      </c>
      <c r="T102" s="531">
        <f t="shared" si="157"/>
        <v>0.3880730030595998</v>
      </c>
      <c r="U102" s="531">
        <f t="shared" si="157"/>
        <v>0.3880730030595998</v>
      </c>
      <c r="V102" s="531">
        <f t="shared" si="157"/>
        <v>0.3880730030595998</v>
      </c>
      <c r="W102" s="531">
        <f t="shared" si="157"/>
        <v>0.3880730030595998</v>
      </c>
      <c r="X102" s="531">
        <f t="shared" si="157"/>
        <v>0.3880730030595998</v>
      </c>
      <c r="Y102" s="531">
        <f t="shared" si="157"/>
        <v>0.3880730030595998</v>
      </c>
      <c r="Z102" s="531">
        <f t="shared" si="157"/>
        <v>0.3880730030595998</v>
      </c>
      <c r="AA102" s="531">
        <f t="shared" si="157"/>
        <v>0.3880730030595998</v>
      </c>
      <c r="AB102" s="531">
        <f t="shared" si="157"/>
        <v>0.3880730030595998</v>
      </c>
      <c r="AC102" s="531">
        <f t="shared" si="157"/>
        <v>0.3880730030595998</v>
      </c>
      <c r="AD102" s="531">
        <f t="shared" si="157"/>
        <v>0.38807300305959974</v>
      </c>
      <c r="AE102" s="531">
        <f t="shared" si="157"/>
        <v>0.38807300305959974</v>
      </c>
      <c r="AF102" s="531">
        <f t="shared" si="157"/>
        <v>0.38807300305959974</v>
      </c>
      <c r="AG102" s="531">
        <f t="shared" si="157"/>
        <v>0.38807300305959974</v>
      </c>
      <c r="AH102" s="531">
        <f t="shared" si="157"/>
        <v>0.38807300305959974</v>
      </c>
      <c r="AI102" s="531">
        <f t="shared" si="157"/>
        <v>0.38807300305959974</v>
      </c>
      <c r="AJ102" s="531">
        <f t="shared" si="157"/>
        <v>0.38807300305959985</v>
      </c>
      <c r="AK102" s="531">
        <f t="shared" si="157"/>
        <v>0.38807300305959985</v>
      </c>
      <c r="AL102" s="531">
        <f t="shared" si="157"/>
        <v>0.38807300305959985</v>
      </c>
      <c r="AM102" s="531">
        <f t="shared" si="157"/>
        <v>0.38807300305959985</v>
      </c>
      <c r="AN102" s="531">
        <f t="shared" si="157"/>
        <v>0.38807300305959985</v>
      </c>
      <c r="AO102" s="531">
        <f t="shared" si="157"/>
        <v>0.38807300305959985</v>
      </c>
      <c r="AP102" s="531">
        <f t="shared" si="157"/>
        <v>0.38807300305959991</v>
      </c>
      <c r="AQ102" s="531">
        <f t="shared" si="157"/>
        <v>0.38807300305959991</v>
      </c>
      <c r="AR102" s="531">
        <f t="shared" si="157"/>
        <v>0.38807300305959991</v>
      </c>
      <c r="AS102" s="531">
        <f t="shared" si="157"/>
        <v>0.38807300305959991</v>
      </c>
      <c r="AT102" s="531">
        <f t="shared" si="157"/>
        <v>0.38807300305959991</v>
      </c>
      <c r="AU102" s="531">
        <f t="shared" si="157"/>
        <v>0.38807300305959991</v>
      </c>
      <c r="AV102" s="531">
        <f t="shared" si="157"/>
        <v>0.38807300305959985</v>
      </c>
      <c r="AW102" s="531">
        <f t="shared" si="157"/>
        <v>0.38807300305959985</v>
      </c>
      <c r="AX102" s="531">
        <f t="shared" ref="AX102:BY102" si="158">IFERROR(AX101/AX96,0)</f>
        <v>0.38807300305959985</v>
      </c>
      <c r="AY102" s="531">
        <f t="shared" si="158"/>
        <v>0.38807300305959985</v>
      </c>
      <c r="AZ102" s="531">
        <f t="shared" si="158"/>
        <v>0.38807300305959985</v>
      </c>
      <c r="BA102" s="531">
        <f t="shared" si="158"/>
        <v>0.38807300305959985</v>
      </c>
      <c r="BB102" s="531">
        <f t="shared" si="158"/>
        <v>0.38807300305959985</v>
      </c>
      <c r="BC102" s="531">
        <f t="shared" si="158"/>
        <v>0.38807300305959985</v>
      </c>
      <c r="BD102" s="531">
        <f t="shared" si="158"/>
        <v>0.38807300305959985</v>
      </c>
      <c r="BE102" s="531">
        <f t="shared" si="158"/>
        <v>0.38807300305959985</v>
      </c>
      <c r="BF102" s="531">
        <f t="shared" si="158"/>
        <v>0.38807300305959985</v>
      </c>
      <c r="BG102" s="531">
        <f t="shared" si="158"/>
        <v>0.38807300305959985</v>
      </c>
      <c r="BH102" s="531">
        <f t="shared" si="158"/>
        <v>0.3880730030595998</v>
      </c>
      <c r="BI102" s="531">
        <f t="shared" si="158"/>
        <v>0.3880730030595998</v>
      </c>
      <c r="BJ102" s="531">
        <f t="shared" si="158"/>
        <v>0.3880730030595998</v>
      </c>
      <c r="BK102" s="531">
        <f t="shared" si="158"/>
        <v>0.3880730030595998</v>
      </c>
      <c r="BL102" s="531">
        <f t="shared" si="158"/>
        <v>0.3880730030595998</v>
      </c>
      <c r="BM102" s="531">
        <f t="shared" si="158"/>
        <v>0.3880730030595998</v>
      </c>
      <c r="BN102" s="531">
        <f t="shared" si="158"/>
        <v>0.38807300305959969</v>
      </c>
      <c r="BO102" s="531">
        <f t="shared" si="158"/>
        <v>0.38807300305959969</v>
      </c>
      <c r="BP102" s="531">
        <f t="shared" si="158"/>
        <v>0.38807300305959969</v>
      </c>
      <c r="BQ102" s="531">
        <f t="shared" si="158"/>
        <v>0.38807300305959969</v>
      </c>
      <c r="BR102" s="531">
        <f t="shared" si="158"/>
        <v>0.38807300305959969</v>
      </c>
      <c r="BS102" s="531">
        <f t="shared" si="158"/>
        <v>0.38807300305959969</v>
      </c>
      <c r="BT102" s="531">
        <f t="shared" si="158"/>
        <v>0.38807300305959969</v>
      </c>
      <c r="BU102" s="531">
        <f t="shared" si="158"/>
        <v>0.38807300305959969</v>
      </c>
      <c r="BV102" s="531">
        <f t="shared" si="158"/>
        <v>0.38807300305959969</v>
      </c>
      <c r="BW102" s="531">
        <f t="shared" si="158"/>
        <v>0.38807300305959969</v>
      </c>
      <c r="BX102" s="531">
        <f t="shared" si="158"/>
        <v>0.38807300305959969</v>
      </c>
      <c r="BY102" s="531">
        <f t="shared" si="158"/>
        <v>0.38807300305959969</v>
      </c>
      <c r="BZ102" s="537"/>
      <c r="CA102" s="537"/>
      <c r="CB102" s="537"/>
    </row>
    <row r="103" spans="1:80" x14ac:dyDescent="0.3">
      <c r="A103" s="551"/>
      <c r="B103" s="548"/>
      <c r="C103" s="525"/>
      <c r="D103" s="525"/>
      <c r="E103" s="525"/>
      <c r="F103" s="576"/>
      <c r="G103" s="576"/>
      <c r="H103" s="576"/>
      <c r="I103" s="533"/>
      <c r="J103" s="533"/>
      <c r="K103" s="533"/>
      <c r="L103" s="533"/>
      <c r="M103" s="533"/>
      <c r="N103" s="533"/>
      <c r="O103" s="533"/>
      <c r="P103" s="577"/>
      <c r="Q103" s="537"/>
      <c r="R103" s="533"/>
      <c r="S103" s="533"/>
      <c r="T103" s="533"/>
      <c r="U103" s="533"/>
      <c r="V103" s="533"/>
      <c r="W103" s="533"/>
      <c r="X103" s="533"/>
      <c r="Y103" s="533"/>
      <c r="Z103" s="533"/>
      <c r="AA103" s="533"/>
      <c r="AB103" s="533"/>
      <c r="AC103" s="533"/>
      <c r="AD103" s="533"/>
      <c r="AE103" s="533"/>
      <c r="AF103" s="533"/>
      <c r="AG103" s="533"/>
      <c r="AH103" s="533"/>
      <c r="AI103" s="533"/>
      <c r="AJ103" s="533"/>
      <c r="AK103" s="533"/>
      <c r="AL103" s="533"/>
      <c r="AM103" s="533"/>
      <c r="AN103" s="533"/>
      <c r="AO103" s="533"/>
      <c r="AP103" s="533"/>
      <c r="AQ103" s="533"/>
      <c r="AR103" s="533"/>
      <c r="AS103" s="533"/>
      <c r="AT103" s="533"/>
      <c r="AU103" s="533"/>
      <c r="AV103" s="533"/>
      <c r="AW103" s="533"/>
      <c r="AX103" s="533"/>
      <c r="AY103" s="533"/>
      <c r="AZ103" s="533"/>
      <c r="BA103" s="533"/>
      <c r="BB103" s="533"/>
      <c r="BC103" s="533"/>
      <c r="BD103" s="533"/>
      <c r="BE103" s="533"/>
      <c r="BF103" s="533"/>
      <c r="BG103" s="533"/>
      <c r="BH103" s="533"/>
      <c r="BI103" s="533"/>
      <c r="BJ103" s="533"/>
      <c r="BK103" s="533"/>
      <c r="BL103" s="533"/>
      <c r="BM103" s="533"/>
      <c r="BN103" s="533"/>
      <c r="BO103" s="533"/>
      <c r="BP103" s="533"/>
      <c r="BQ103" s="533"/>
      <c r="BR103" s="533"/>
      <c r="BS103" s="533"/>
      <c r="BT103" s="533"/>
      <c r="BU103" s="533"/>
      <c r="BV103" s="533"/>
      <c r="BW103" s="533"/>
      <c r="BX103" s="533"/>
      <c r="BY103" s="533"/>
      <c r="BZ103" s="537"/>
      <c r="CA103" s="537"/>
      <c r="CB103" s="537"/>
    </row>
    <row r="104" spans="1:80" x14ac:dyDescent="0.3">
      <c r="A104" s="551"/>
      <c r="B104" s="548"/>
      <c r="C104" s="525"/>
      <c r="D104" s="525"/>
      <c r="E104" s="578" t="s">
        <v>24</v>
      </c>
      <c r="F104" s="579"/>
      <c r="G104" s="579"/>
      <c r="H104" s="579"/>
      <c r="I104" s="535">
        <f t="shared" ref="I104:N104" si="159">I39/I$82</f>
        <v>60239.850463464871</v>
      </c>
      <c r="J104" s="535">
        <f t="shared" si="159"/>
        <v>64141.935017784737</v>
      </c>
      <c r="K104" s="534">
        <f t="shared" si="159"/>
        <v>68640.919782933677</v>
      </c>
      <c r="L104" s="534">
        <f t="shared" si="159"/>
        <v>73240.580938351704</v>
      </c>
      <c r="M104" s="534">
        <f t="shared" si="159"/>
        <v>77979.669347724528</v>
      </c>
      <c r="N104" s="535">
        <f t="shared" si="159"/>
        <v>82998.441819821179</v>
      </c>
      <c r="O104" s="536"/>
      <c r="P104" s="568">
        <f>IFERROR(((N104/I104)^(1/5))-1,0)</f>
        <v>6.6196397570092103E-2</v>
      </c>
      <c r="Q104" s="537"/>
      <c r="R104" s="534">
        <f t="shared" ref="R104:AW104" si="160">R39/R$82</f>
        <v>5287.5670304623227</v>
      </c>
      <c r="S104" s="534">
        <f t="shared" si="160"/>
        <v>5287.5670304623227</v>
      </c>
      <c r="T104" s="534">
        <f t="shared" si="160"/>
        <v>5287.5670304623227</v>
      </c>
      <c r="U104" s="534">
        <f t="shared" si="160"/>
        <v>5287.5670304623227</v>
      </c>
      <c r="V104" s="534">
        <f t="shared" si="160"/>
        <v>5287.5670304623227</v>
      </c>
      <c r="W104" s="534">
        <f t="shared" si="160"/>
        <v>5287.5670304623227</v>
      </c>
      <c r="X104" s="534">
        <f t="shared" si="160"/>
        <v>5402.7554725018008</v>
      </c>
      <c r="Y104" s="534">
        <f t="shared" si="160"/>
        <v>5402.7554725018008</v>
      </c>
      <c r="Z104" s="534">
        <f t="shared" si="160"/>
        <v>5402.7554725018008</v>
      </c>
      <c r="AA104" s="534">
        <f t="shared" si="160"/>
        <v>5402.7554725018008</v>
      </c>
      <c r="AB104" s="534">
        <f t="shared" si="160"/>
        <v>5402.7554725018008</v>
      </c>
      <c r="AC104" s="534">
        <f t="shared" si="160"/>
        <v>5402.7554725018008</v>
      </c>
      <c r="AD104" s="534">
        <f t="shared" si="160"/>
        <v>5645.3149653057617</v>
      </c>
      <c r="AE104" s="534">
        <f t="shared" si="160"/>
        <v>5645.3149653057617</v>
      </c>
      <c r="AF104" s="534">
        <f t="shared" si="160"/>
        <v>5645.3149653057617</v>
      </c>
      <c r="AG104" s="534">
        <f t="shared" si="160"/>
        <v>5645.3149653057617</v>
      </c>
      <c r="AH104" s="534">
        <f t="shared" si="160"/>
        <v>5645.3149653057617</v>
      </c>
      <c r="AI104" s="534">
        <f t="shared" si="160"/>
        <v>5645.3149653057617</v>
      </c>
      <c r="AJ104" s="534">
        <f t="shared" si="160"/>
        <v>5794.8383318498509</v>
      </c>
      <c r="AK104" s="534">
        <f t="shared" si="160"/>
        <v>5794.8383318498509</v>
      </c>
      <c r="AL104" s="534">
        <f t="shared" si="160"/>
        <v>5794.8383318498509</v>
      </c>
      <c r="AM104" s="534">
        <f t="shared" si="160"/>
        <v>5794.8383318498509</v>
      </c>
      <c r="AN104" s="534">
        <f t="shared" si="160"/>
        <v>5794.8383318498509</v>
      </c>
      <c r="AO104" s="534">
        <f t="shared" si="160"/>
        <v>5794.8383318498509</v>
      </c>
      <c r="AP104" s="534">
        <f t="shared" si="160"/>
        <v>6010.2853090287344</v>
      </c>
      <c r="AQ104" s="534">
        <f t="shared" si="160"/>
        <v>6010.2853090287344</v>
      </c>
      <c r="AR104" s="534">
        <f t="shared" si="160"/>
        <v>6010.2853090287344</v>
      </c>
      <c r="AS104" s="534">
        <f t="shared" si="160"/>
        <v>6010.2853090287344</v>
      </c>
      <c r="AT104" s="534">
        <f t="shared" si="160"/>
        <v>6010.2853090287344</v>
      </c>
      <c r="AU104" s="534">
        <f t="shared" si="160"/>
        <v>6010.2853090287344</v>
      </c>
      <c r="AV104" s="534">
        <f t="shared" si="160"/>
        <v>6196.4781806965493</v>
      </c>
      <c r="AW104" s="534">
        <f t="shared" si="160"/>
        <v>6196.4781806965493</v>
      </c>
      <c r="AX104" s="534">
        <f t="shared" ref="AX104:BY104" si="161">AX39/AX$82</f>
        <v>6196.4781806965493</v>
      </c>
      <c r="AY104" s="534">
        <f t="shared" si="161"/>
        <v>6196.4781806965493</v>
      </c>
      <c r="AZ104" s="534">
        <f t="shared" si="161"/>
        <v>6196.4781806965493</v>
      </c>
      <c r="BA104" s="534">
        <f t="shared" si="161"/>
        <v>6196.4781806965493</v>
      </c>
      <c r="BB104" s="534">
        <f t="shared" si="161"/>
        <v>6385.6817135514184</v>
      </c>
      <c r="BC104" s="534">
        <f t="shared" si="161"/>
        <v>6385.6817135514184</v>
      </c>
      <c r="BD104" s="534">
        <f t="shared" si="161"/>
        <v>6385.6817135514184</v>
      </c>
      <c r="BE104" s="534">
        <f t="shared" si="161"/>
        <v>6385.6817135514184</v>
      </c>
      <c r="BF104" s="534">
        <f t="shared" si="161"/>
        <v>6385.6817135514184</v>
      </c>
      <c r="BG104" s="534">
        <f t="shared" si="161"/>
        <v>6385.6817135514184</v>
      </c>
      <c r="BH104" s="534">
        <f t="shared" si="161"/>
        <v>6610.9298444026672</v>
      </c>
      <c r="BI104" s="534">
        <f t="shared" si="161"/>
        <v>6610.9298444026672</v>
      </c>
      <c r="BJ104" s="534">
        <f t="shared" si="161"/>
        <v>6610.9298444026672</v>
      </c>
      <c r="BK104" s="534">
        <f t="shared" si="161"/>
        <v>6610.9298444026672</v>
      </c>
      <c r="BL104" s="534">
        <f t="shared" si="161"/>
        <v>6610.9298444026672</v>
      </c>
      <c r="BM104" s="534">
        <f t="shared" si="161"/>
        <v>6610.9298444026672</v>
      </c>
      <c r="BN104" s="534">
        <f t="shared" si="161"/>
        <v>6783.1341886542768</v>
      </c>
      <c r="BO104" s="534">
        <f t="shared" si="161"/>
        <v>6783.1341886542768</v>
      </c>
      <c r="BP104" s="534">
        <f t="shared" si="161"/>
        <v>6783.1341886542768</v>
      </c>
      <c r="BQ104" s="534">
        <f t="shared" si="161"/>
        <v>6783.1341886542768</v>
      </c>
      <c r="BR104" s="534">
        <f t="shared" si="161"/>
        <v>6783.1341886542768</v>
      </c>
      <c r="BS104" s="534">
        <f t="shared" si="161"/>
        <v>6783.1341886542768</v>
      </c>
      <c r="BT104" s="534">
        <f t="shared" si="161"/>
        <v>7049.9394479825887</v>
      </c>
      <c r="BU104" s="534">
        <f t="shared" si="161"/>
        <v>7049.9394479825887</v>
      </c>
      <c r="BV104" s="534">
        <f t="shared" si="161"/>
        <v>7049.9394479825887</v>
      </c>
      <c r="BW104" s="534">
        <f t="shared" si="161"/>
        <v>7049.9394479825887</v>
      </c>
      <c r="BX104" s="534">
        <f t="shared" si="161"/>
        <v>7049.9394479825887</v>
      </c>
      <c r="BY104" s="534">
        <f t="shared" si="161"/>
        <v>7049.9394479825887</v>
      </c>
      <c r="BZ104" s="537"/>
      <c r="CA104" s="537"/>
      <c r="CB104" s="574"/>
    </row>
    <row r="105" spans="1:80" x14ac:dyDescent="0.3">
      <c r="A105" s="551"/>
      <c r="B105" s="548"/>
      <c r="C105" s="525"/>
      <c r="D105" s="525"/>
      <c r="E105" s="525" t="s">
        <v>177</v>
      </c>
      <c r="F105" s="529"/>
      <c r="G105" s="529"/>
      <c r="H105" s="529"/>
      <c r="I105" s="531">
        <f t="shared" ref="I105:N105" si="162">IFERROR(I104/(I87+I96),0)</f>
        <v>0.41377534216072342</v>
      </c>
      <c r="J105" s="531">
        <f t="shared" si="162"/>
        <v>0.42119846006146555</v>
      </c>
      <c r="K105" s="531">
        <f t="shared" si="162"/>
        <v>0.42816475681222266</v>
      </c>
      <c r="L105" s="531">
        <f t="shared" si="162"/>
        <v>0.43463124928299574</v>
      </c>
      <c r="M105" s="531">
        <f t="shared" si="162"/>
        <v>0.44057970200835256</v>
      </c>
      <c r="N105" s="531">
        <f t="shared" si="162"/>
        <v>0.44641184231853243</v>
      </c>
      <c r="O105" s="546"/>
      <c r="P105" s="564">
        <f>IFERROR(((N105/I105)^(1/5))-1,0)</f>
        <v>1.5299611714937322E-2</v>
      </c>
      <c r="Q105" s="537"/>
      <c r="R105" s="531">
        <f t="shared" ref="R105:AW105" si="163">IFERROR(R104/(R87+R96),0)</f>
        <v>0.42119846006146555</v>
      </c>
      <c r="S105" s="531">
        <f t="shared" si="163"/>
        <v>0.42119846006146555</v>
      </c>
      <c r="T105" s="531">
        <f t="shared" si="163"/>
        <v>0.42119846006146555</v>
      </c>
      <c r="U105" s="531">
        <f t="shared" si="163"/>
        <v>0.42119846006146555</v>
      </c>
      <c r="V105" s="531">
        <f t="shared" si="163"/>
        <v>0.42119846006146555</v>
      </c>
      <c r="W105" s="531">
        <f t="shared" si="163"/>
        <v>0.42119846006146555</v>
      </c>
      <c r="X105" s="531">
        <f t="shared" si="163"/>
        <v>0.42119846006146561</v>
      </c>
      <c r="Y105" s="531">
        <f t="shared" si="163"/>
        <v>0.42119846006146561</v>
      </c>
      <c r="Z105" s="531">
        <f t="shared" si="163"/>
        <v>0.42119846006146561</v>
      </c>
      <c r="AA105" s="531">
        <f t="shared" si="163"/>
        <v>0.42119846006146561</v>
      </c>
      <c r="AB105" s="531">
        <f t="shared" si="163"/>
        <v>0.42119846006146561</v>
      </c>
      <c r="AC105" s="531">
        <f t="shared" si="163"/>
        <v>0.42119846006146561</v>
      </c>
      <c r="AD105" s="531">
        <f t="shared" si="163"/>
        <v>0.4281647568122226</v>
      </c>
      <c r="AE105" s="531">
        <f t="shared" si="163"/>
        <v>0.4281647568122226</v>
      </c>
      <c r="AF105" s="531">
        <f t="shared" si="163"/>
        <v>0.4281647568122226</v>
      </c>
      <c r="AG105" s="531">
        <f t="shared" si="163"/>
        <v>0.4281647568122226</v>
      </c>
      <c r="AH105" s="531">
        <f t="shared" si="163"/>
        <v>0.4281647568122226</v>
      </c>
      <c r="AI105" s="531">
        <f t="shared" si="163"/>
        <v>0.4281647568122226</v>
      </c>
      <c r="AJ105" s="531">
        <f t="shared" si="163"/>
        <v>0.42816475681222277</v>
      </c>
      <c r="AK105" s="531">
        <f t="shared" si="163"/>
        <v>0.42816475681222277</v>
      </c>
      <c r="AL105" s="531">
        <f t="shared" si="163"/>
        <v>0.42816475681222277</v>
      </c>
      <c r="AM105" s="531">
        <f t="shared" si="163"/>
        <v>0.42816475681222277</v>
      </c>
      <c r="AN105" s="531">
        <f t="shared" si="163"/>
        <v>0.42816475681222277</v>
      </c>
      <c r="AO105" s="531">
        <f t="shared" si="163"/>
        <v>0.42816475681222277</v>
      </c>
      <c r="AP105" s="531">
        <f t="shared" si="163"/>
        <v>0.43463124928299574</v>
      </c>
      <c r="AQ105" s="531">
        <f t="shared" si="163"/>
        <v>0.43463124928299574</v>
      </c>
      <c r="AR105" s="531">
        <f t="shared" si="163"/>
        <v>0.43463124928299574</v>
      </c>
      <c r="AS105" s="531">
        <f t="shared" si="163"/>
        <v>0.43463124928299574</v>
      </c>
      <c r="AT105" s="531">
        <f t="shared" si="163"/>
        <v>0.43463124928299574</v>
      </c>
      <c r="AU105" s="531">
        <f t="shared" si="163"/>
        <v>0.43463124928299574</v>
      </c>
      <c r="AV105" s="531">
        <f t="shared" si="163"/>
        <v>0.43463124928299579</v>
      </c>
      <c r="AW105" s="531">
        <f t="shared" si="163"/>
        <v>0.43463124928299579</v>
      </c>
      <c r="AX105" s="531">
        <f t="shared" ref="AX105:BY105" si="164">IFERROR(AX104/(AX87+AX96),0)</f>
        <v>0.43463124928299579</v>
      </c>
      <c r="AY105" s="531">
        <f t="shared" si="164"/>
        <v>0.43463124928299579</v>
      </c>
      <c r="AZ105" s="531">
        <f t="shared" si="164"/>
        <v>0.43463124928299579</v>
      </c>
      <c r="BA105" s="531">
        <f t="shared" si="164"/>
        <v>0.43463124928299579</v>
      </c>
      <c r="BB105" s="531">
        <f t="shared" si="164"/>
        <v>0.44057970200835256</v>
      </c>
      <c r="BC105" s="531">
        <f t="shared" si="164"/>
        <v>0.44057970200835256</v>
      </c>
      <c r="BD105" s="531">
        <f t="shared" si="164"/>
        <v>0.44057970200835256</v>
      </c>
      <c r="BE105" s="531">
        <f t="shared" si="164"/>
        <v>0.44057970200835256</v>
      </c>
      <c r="BF105" s="531">
        <f t="shared" si="164"/>
        <v>0.44057970200835256</v>
      </c>
      <c r="BG105" s="531">
        <f t="shared" si="164"/>
        <v>0.44057970200835256</v>
      </c>
      <c r="BH105" s="531">
        <f t="shared" si="164"/>
        <v>0.44057970200835256</v>
      </c>
      <c r="BI105" s="531">
        <f t="shared" si="164"/>
        <v>0.44057970200835256</v>
      </c>
      <c r="BJ105" s="531">
        <f t="shared" si="164"/>
        <v>0.44057970200835256</v>
      </c>
      <c r="BK105" s="531">
        <f t="shared" si="164"/>
        <v>0.44057970200835256</v>
      </c>
      <c r="BL105" s="531">
        <f t="shared" si="164"/>
        <v>0.44057970200835256</v>
      </c>
      <c r="BM105" s="531">
        <f t="shared" si="164"/>
        <v>0.44057970200835256</v>
      </c>
      <c r="BN105" s="531">
        <f t="shared" si="164"/>
        <v>0.44641184231853259</v>
      </c>
      <c r="BO105" s="531">
        <f t="shared" si="164"/>
        <v>0.44641184231853259</v>
      </c>
      <c r="BP105" s="531">
        <f t="shared" si="164"/>
        <v>0.44641184231853259</v>
      </c>
      <c r="BQ105" s="531">
        <f t="shared" si="164"/>
        <v>0.44641184231853259</v>
      </c>
      <c r="BR105" s="531">
        <f t="shared" si="164"/>
        <v>0.44641184231853259</v>
      </c>
      <c r="BS105" s="531">
        <f t="shared" si="164"/>
        <v>0.44641184231853259</v>
      </c>
      <c r="BT105" s="531">
        <f t="shared" si="164"/>
        <v>0.44641184231853259</v>
      </c>
      <c r="BU105" s="531">
        <f t="shared" si="164"/>
        <v>0.44641184231853259</v>
      </c>
      <c r="BV105" s="531">
        <f t="shared" si="164"/>
        <v>0.44641184231853259</v>
      </c>
      <c r="BW105" s="531">
        <f t="shared" si="164"/>
        <v>0.44641184231853259</v>
      </c>
      <c r="BX105" s="531">
        <f t="shared" si="164"/>
        <v>0.44641184231853259</v>
      </c>
      <c r="BY105" s="531">
        <f t="shared" si="164"/>
        <v>0.44641184231853259</v>
      </c>
      <c r="BZ105" s="537"/>
      <c r="CA105" s="537"/>
      <c r="CB105" s="537"/>
    </row>
    <row r="106" spans="1:80" x14ac:dyDescent="0.3">
      <c r="A106" s="551"/>
      <c r="B106" s="548"/>
      <c r="C106" s="525"/>
      <c r="D106" s="525"/>
      <c r="E106" s="525"/>
      <c r="F106" s="529"/>
      <c r="G106" s="529"/>
      <c r="H106" s="529"/>
      <c r="I106" s="529"/>
      <c r="J106" s="529"/>
      <c r="K106" s="529"/>
      <c r="L106" s="529"/>
      <c r="M106" s="529"/>
      <c r="N106" s="529"/>
      <c r="O106" s="529"/>
      <c r="P106" s="562"/>
      <c r="Q106" s="537"/>
      <c r="R106" s="529"/>
      <c r="S106" s="529"/>
      <c r="T106" s="529"/>
      <c r="U106" s="529"/>
      <c r="V106" s="529"/>
      <c r="W106" s="529"/>
      <c r="X106" s="529"/>
      <c r="Y106" s="529"/>
      <c r="Z106" s="529"/>
      <c r="AA106" s="529"/>
      <c r="AB106" s="529"/>
      <c r="AC106" s="529"/>
      <c r="AD106" s="529"/>
      <c r="AE106" s="529"/>
      <c r="AF106" s="529"/>
      <c r="AG106" s="529"/>
      <c r="AH106" s="529"/>
      <c r="AI106" s="529"/>
      <c r="AJ106" s="529"/>
      <c r="AK106" s="529"/>
      <c r="AL106" s="529"/>
      <c r="AM106" s="529"/>
      <c r="AN106" s="529"/>
      <c r="AO106" s="529"/>
      <c r="AP106" s="529"/>
      <c r="AQ106" s="529"/>
      <c r="AR106" s="529"/>
      <c r="AS106" s="529"/>
      <c r="AT106" s="529"/>
      <c r="AU106" s="529"/>
      <c r="AV106" s="529"/>
      <c r="AW106" s="529"/>
      <c r="AX106" s="529"/>
      <c r="AY106" s="529"/>
      <c r="AZ106" s="529"/>
      <c r="BA106" s="529"/>
      <c r="BB106" s="529"/>
      <c r="BC106" s="529"/>
      <c r="BD106" s="529"/>
      <c r="BE106" s="529"/>
      <c r="BF106" s="529"/>
      <c r="BG106" s="529"/>
      <c r="BH106" s="529"/>
      <c r="BI106" s="529"/>
      <c r="BJ106" s="529"/>
      <c r="BK106" s="529"/>
      <c r="BL106" s="529"/>
      <c r="BM106" s="529"/>
      <c r="BN106" s="529"/>
      <c r="BO106" s="529"/>
      <c r="BP106" s="529"/>
      <c r="BQ106" s="529"/>
      <c r="BR106" s="529"/>
      <c r="BS106" s="529"/>
      <c r="BT106" s="529"/>
      <c r="BU106" s="529"/>
      <c r="BV106" s="529"/>
      <c r="BW106" s="529"/>
      <c r="BX106" s="529"/>
      <c r="BY106" s="529"/>
      <c r="BZ106" s="537"/>
      <c r="CA106" s="537"/>
      <c r="CB106" s="537"/>
    </row>
    <row r="107" spans="1:80" x14ac:dyDescent="0.3">
      <c r="A107" s="551"/>
      <c r="B107" s="548"/>
      <c r="C107" s="525"/>
      <c r="D107" s="525"/>
      <c r="E107" s="570" t="s">
        <v>25</v>
      </c>
      <c r="F107" s="529"/>
      <c r="G107" s="529"/>
      <c r="H107" s="529"/>
      <c r="I107" s="529"/>
      <c r="J107" s="529"/>
      <c r="K107" s="529"/>
      <c r="L107" s="529"/>
      <c r="M107" s="529"/>
      <c r="N107" s="529"/>
      <c r="O107" s="529"/>
      <c r="P107" s="562"/>
      <c r="Q107" s="537"/>
      <c r="R107" s="529"/>
      <c r="S107" s="529"/>
      <c r="T107" s="529"/>
      <c r="U107" s="529"/>
      <c r="V107" s="529"/>
      <c r="W107" s="529"/>
      <c r="X107" s="529"/>
      <c r="Y107" s="529"/>
      <c r="Z107" s="529"/>
      <c r="AA107" s="529"/>
      <c r="AB107" s="529"/>
      <c r="AC107" s="529"/>
      <c r="AD107" s="529"/>
      <c r="AE107" s="529"/>
      <c r="AF107" s="529"/>
      <c r="AG107" s="529"/>
      <c r="AH107" s="529"/>
      <c r="AI107" s="529"/>
      <c r="AJ107" s="529"/>
      <c r="AK107" s="529"/>
      <c r="AL107" s="529"/>
      <c r="AM107" s="529"/>
      <c r="AN107" s="529"/>
      <c r="AO107" s="529"/>
      <c r="AP107" s="529"/>
      <c r="AQ107" s="529"/>
      <c r="AR107" s="529"/>
      <c r="AS107" s="529"/>
      <c r="AT107" s="529"/>
      <c r="AU107" s="529"/>
      <c r="AV107" s="529"/>
      <c r="AW107" s="529"/>
      <c r="AX107" s="529"/>
      <c r="AY107" s="529"/>
      <c r="AZ107" s="529"/>
      <c r="BA107" s="529"/>
      <c r="BB107" s="529"/>
      <c r="BC107" s="529"/>
      <c r="BD107" s="529"/>
      <c r="BE107" s="529"/>
      <c r="BF107" s="529"/>
      <c r="BG107" s="529"/>
      <c r="BH107" s="529"/>
      <c r="BI107" s="529"/>
      <c r="BJ107" s="529"/>
      <c r="BK107" s="529"/>
      <c r="BL107" s="529"/>
      <c r="BM107" s="529"/>
      <c r="BN107" s="529"/>
      <c r="BO107" s="529"/>
      <c r="BP107" s="529"/>
      <c r="BQ107" s="529"/>
      <c r="BR107" s="529"/>
      <c r="BS107" s="529"/>
      <c r="BT107" s="529"/>
      <c r="BU107" s="529"/>
      <c r="BV107" s="529"/>
      <c r="BW107" s="529"/>
      <c r="BX107" s="529"/>
      <c r="BY107" s="529"/>
      <c r="BZ107" s="537"/>
      <c r="CA107" s="537"/>
      <c r="CB107" s="537"/>
    </row>
    <row r="108" spans="1:80" x14ac:dyDescent="0.3">
      <c r="A108" s="551"/>
      <c r="B108" s="548"/>
      <c r="C108" s="525"/>
      <c r="D108" s="525"/>
      <c r="E108" s="525" t="s">
        <v>25</v>
      </c>
      <c r="F108" s="567"/>
      <c r="G108" s="567"/>
      <c r="H108" s="567"/>
      <c r="I108" s="527">
        <f t="shared" ref="I108:N110" si="165">I43/I$82</f>
        <v>32106.810590228895</v>
      </c>
      <c r="J108" s="527">
        <f t="shared" si="165"/>
        <v>33620.056150635857</v>
      </c>
      <c r="K108" s="527">
        <f t="shared" si="165"/>
        <v>35573.317094246246</v>
      </c>
      <c r="L108" s="527">
        <f t="shared" si="165"/>
        <v>37586.703467177067</v>
      </c>
      <c r="M108" s="527">
        <f t="shared" si="165"/>
        <v>39630.291417437715</v>
      </c>
      <c r="N108" s="527">
        <f t="shared" si="165"/>
        <v>41750.845686824869</v>
      </c>
      <c r="O108" s="529"/>
      <c r="P108" s="564">
        <f>IFERROR(((N108/I108)^(1/5))-1,0)</f>
        <v>5.3934502452305022E-2</v>
      </c>
      <c r="Q108" s="537"/>
      <c r="R108" s="527">
        <f t="shared" ref="R108:AW108" si="166">R43/R$82</f>
        <v>2754.5488014156253</v>
      </c>
      <c r="S108" s="527">
        <f t="shared" si="166"/>
        <v>2754.5488014156253</v>
      </c>
      <c r="T108" s="527">
        <f t="shared" si="166"/>
        <v>2754.5488014156253</v>
      </c>
      <c r="U108" s="527">
        <f t="shared" si="166"/>
        <v>2754.5488014156253</v>
      </c>
      <c r="V108" s="527">
        <f t="shared" si="166"/>
        <v>2754.5488014156253</v>
      </c>
      <c r="W108" s="527">
        <f t="shared" si="166"/>
        <v>2754.5488014156253</v>
      </c>
      <c r="X108" s="527">
        <f t="shared" si="166"/>
        <v>2848.7938903570166</v>
      </c>
      <c r="Y108" s="527">
        <f t="shared" si="166"/>
        <v>2848.7938903570166</v>
      </c>
      <c r="Z108" s="527">
        <f t="shared" si="166"/>
        <v>2848.7938903570166</v>
      </c>
      <c r="AA108" s="527">
        <f t="shared" si="166"/>
        <v>2848.7938903570166</v>
      </c>
      <c r="AB108" s="527">
        <f t="shared" si="166"/>
        <v>2848.7938903570166</v>
      </c>
      <c r="AC108" s="527">
        <f t="shared" si="166"/>
        <v>2848.7938903570166</v>
      </c>
      <c r="AD108" s="527">
        <f t="shared" si="166"/>
        <v>2903.274441237334</v>
      </c>
      <c r="AE108" s="527">
        <f t="shared" si="166"/>
        <v>2903.274441237334</v>
      </c>
      <c r="AF108" s="527">
        <f t="shared" si="166"/>
        <v>2903.274441237334</v>
      </c>
      <c r="AG108" s="527">
        <f t="shared" si="166"/>
        <v>2903.274441237334</v>
      </c>
      <c r="AH108" s="527">
        <f t="shared" si="166"/>
        <v>2903.274441237334</v>
      </c>
      <c r="AI108" s="527">
        <f t="shared" si="166"/>
        <v>2903.274441237334</v>
      </c>
      <c r="AJ108" s="527">
        <f t="shared" si="166"/>
        <v>3025.6117411370406</v>
      </c>
      <c r="AK108" s="527">
        <f t="shared" si="166"/>
        <v>3025.6117411370406</v>
      </c>
      <c r="AL108" s="527">
        <f t="shared" si="166"/>
        <v>3025.6117411370406</v>
      </c>
      <c r="AM108" s="527">
        <f t="shared" si="166"/>
        <v>3025.6117411370406</v>
      </c>
      <c r="AN108" s="527">
        <f t="shared" si="166"/>
        <v>3025.6117411370406</v>
      </c>
      <c r="AO108" s="527">
        <f t="shared" si="166"/>
        <v>3025.6117411370406</v>
      </c>
      <c r="AP108" s="527">
        <f t="shared" si="166"/>
        <v>3056.055477794589</v>
      </c>
      <c r="AQ108" s="527">
        <f t="shared" si="166"/>
        <v>3056.055477794589</v>
      </c>
      <c r="AR108" s="527">
        <f t="shared" si="166"/>
        <v>3056.055477794589</v>
      </c>
      <c r="AS108" s="527">
        <f t="shared" si="166"/>
        <v>3056.055477794589</v>
      </c>
      <c r="AT108" s="527">
        <f t="shared" si="166"/>
        <v>3056.055477794589</v>
      </c>
      <c r="AU108" s="527">
        <f t="shared" si="166"/>
        <v>3056.055477794589</v>
      </c>
      <c r="AV108" s="527">
        <f t="shared" si="166"/>
        <v>3208.3951000682564</v>
      </c>
      <c r="AW108" s="527">
        <f t="shared" si="166"/>
        <v>3208.3951000682564</v>
      </c>
      <c r="AX108" s="527">
        <f t="shared" ref="AX108:BY108" si="167">AX43/AX$82</f>
        <v>3208.3951000682564</v>
      </c>
      <c r="AY108" s="527">
        <f t="shared" si="167"/>
        <v>3208.3951000682564</v>
      </c>
      <c r="AZ108" s="527">
        <f t="shared" si="167"/>
        <v>3208.3951000682564</v>
      </c>
      <c r="BA108" s="527">
        <f t="shared" si="167"/>
        <v>3208.3951000682564</v>
      </c>
      <c r="BB108" s="527">
        <f t="shared" si="167"/>
        <v>3210.3773221655101</v>
      </c>
      <c r="BC108" s="527">
        <f t="shared" si="167"/>
        <v>3210.3773221655101</v>
      </c>
      <c r="BD108" s="527">
        <f t="shared" si="167"/>
        <v>3210.3773221655101</v>
      </c>
      <c r="BE108" s="527">
        <f t="shared" si="167"/>
        <v>3210.3773221655101</v>
      </c>
      <c r="BF108" s="527">
        <f t="shared" si="167"/>
        <v>3210.3773221655101</v>
      </c>
      <c r="BG108" s="527">
        <f t="shared" si="167"/>
        <v>3210.3773221655101</v>
      </c>
      <c r="BH108" s="527">
        <f t="shared" si="167"/>
        <v>3394.6712474074411</v>
      </c>
      <c r="BI108" s="527">
        <f t="shared" si="167"/>
        <v>3394.6712474074411</v>
      </c>
      <c r="BJ108" s="527">
        <f t="shared" si="167"/>
        <v>3394.6712474074411</v>
      </c>
      <c r="BK108" s="527">
        <f t="shared" si="167"/>
        <v>3394.6712474074411</v>
      </c>
      <c r="BL108" s="527">
        <f t="shared" si="167"/>
        <v>3394.6712474074411</v>
      </c>
      <c r="BM108" s="527">
        <f t="shared" si="167"/>
        <v>3394.6712474074411</v>
      </c>
      <c r="BN108" s="527">
        <f t="shared" si="167"/>
        <v>3370.0895344798846</v>
      </c>
      <c r="BO108" s="527">
        <f t="shared" si="167"/>
        <v>3370.0895344798846</v>
      </c>
      <c r="BP108" s="527">
        <f t="shared" si="167"/>
        <v>3370.0895344798846</v>
      </c>
      <c r="BQ108" s="527">
        <f t="shared" si="167"/>
        <v>3370.0895344798846</v>
      </c>
      <c r="BR108" s="527">
        <f t="shared" si="167"/>
        <v>3370.0895344798846</v>
      </c>
      <c r="BS108" s="527">
        <f t="shared" si="167"/>
        <v>3370.0895344798846</v>
      </c>
      <c r="BT108" s="527">
        <f t="shared" si="167"/>
        <v>3588.3847466575953</v>
      </c>
      <c r="BU108" s="527">
        <f t="shared" si="167"/>
        <v>3588.3847466575953</v>
      </c>
      <c r="BV108" s="527">
        <f t="shared" si="167"/>
        <v>3588.3847466575953</v>
      </c>
      <c r="BW108" s="527">
        <f t="shared" si="167"/>
        <v>3588.3847466575953</v>
      </c>
      <c r="BX108" s="527">
        <f t="shared" si="167"/>
        <v>3588.3847466575953</v>
      </c>
      <c r="BY108" s="527">
        <f t="shared" si="167"/>
        <v>3588.3847466575953</v>
      </c>
      <c r="BZ108" s="537"/>
      <c r="CA108" s="537"/>
      <c r="CB108" s="574"/>
    </row>
    <row r="109" spans="1:80" x14ac:dyDescent="0.3">
      <c r="A109" s="551"/>
      <c r="B109" s="548"/>
      <c r="C109" s="525"/>
      <c r="D109" s="525"/>
      <c r="E109" s="525" t="s">
        <v>14</v>
      </c>
      <c r="F109" s="567"/>
      <c r="G109" s="567"/>
      <c r="H109" s="567"/>
      <c r="I109" s="527">
        <f t="shared" si="165"/>
        <v>4789.747046205126</v>
      </c>
      <c r="J109" s="527">
        <f t="shared" si="165"/>
        <v>4957.9970812139336</v>
      </c>
      <c r="K109" s="527">
        <f t="shared" si="165"/>
        <v>5122.5903591119531</v>
      </c>
      <c r="L109" s="527">
        <f t="shared" si="165"/>
        <v>5285.7427568755502</v>
      </c>
      <c r="M109" s="527">
        <f t="shared" si="165"/>
        <v>5421.9541754971788</v>
      </c>
      <c r="N109" s="527">
        <f t="shared" si="165"/>
        <v>5539.1931649073013</v>
      </c>
      <c r="O109" s="529"/>
      <c r="P109" s="564">
        <f>IFERROR(((N109/I109)^(1/5))-1,0)</f>
        <v>2.9501032242708725E-2</v>
      </c>
      <c r="Q109" s="537"/>
      <c r="R109" s="527">
        <f t="shared" ref="R109:AW109" si="168">R44/R$82</f>
        <v>413.1664234344945</v>
      </c>
      <c r="S109" s="527">
        <f t="shared" si="168"/>
        <v>413.1664234344945</v>
      </c>
      <c r="T109" s="527">
        <f t="shared" si="168"/>
        <v>413.1664234344945</v>
      </c>
      <c r="U109" s="527">
        <f t="shared" si="168"/>
        <v>413.1664234344945</v>
      </c>
      <c r="V109" s="527">
        <f t="shared" si="168"/>
        <v>413.1664234344945</v>
      </c>
      <c r="W109" s="527">
        <f t="shared" si="168"/>
        <v>413.1664234344945</v>
      </c>
      <c r="X109" s="527">
        <f t="shared" si="168"/>
        <v>413.1664234344945</v>
      </c>
      <c r="Y109" s="527">
        <f t="shared" si="168"/>
        <v>413.1664234344945</v>
      </c>
      <c r="Z109" s="527">
        <f t="shared" si="168"/>
        <v>413.1664234344945</v>
      </c>
      <c r="AA109" s="527">
        <f t="shared" si="168"/>
        <v>413.1664234344945</v>
      </c>
      <c r="AB109" s="527">
        <f t="shared" si="168"/>
        <v>413.1664234344945</v>
      </c>
      <c r="AC109" s="527">
        <f t="shared" si="168"/>
        <v>413.1664234344945</v>
      </c>
      <c r="AD109" s="527">
        <f t="shared" si="168"/>
        <v>426.8825299259961</v>
      </c>
      <c r="AE109" s="527">
        <f t="shared" si="168"/>
        <v>426.8825299259961</v>
      </c>
      <c r="AF109" s="527">
        <f t="shared" si="168"/>
        <v>426.8825299259961</v>
      </c>
      <c r="AG109" s="527">
        <f t="shared" si="168"/>
        <v>426.8825299259961</v>
      </c>
      <c r="AH109" s="527">
        <f t="shared" si="168"/>
        <v>426.8825299259961</v>
      </c>
      <c r="AI109" s="527">
        <f t="shared" si="168"/>
        <v>426.8825299259961</v>
      </c>
      <c r="AJ109" s="527">
        <f t="shared" si="168"/>
        <v>426.8825299259961</v>
      </c>
      <c r="AK109" s="527">
        <f t="shared" si="168"/>
        <v>426.8825299259961</v>
      </c>
      <c r="AL109" s="527">
        <f t="shared" si="168"/>
        <v>426.8825299259961</v>
      </c>
      <c r="AM109" s="527">
        <f t="shared" si="168"/>
        <v>426.8825299259961</v>
      </c>
      <c r="AN109" s="527">
        <f t="shared" si="168"/>
        <v>426.8825299259961</v>
      </c>
      <c r="AO109" s="527">
        <f t="shared" si="168"/>
        <v>426.8825299259961</v>
      </c>
      <c r="AP109" s="527">
        <f t="shared" si="168"/>
        <v>440.47856307296252</v>
      </c>
      <c r="AQ109" s="527">
        <f t="shared" si="168"/>
        <v>440.47856307296252</v>
      </c>
      <c r="AR109" s="527">
        <f t="shared" si="168"/>
        <v>440.47856307296252</v>
      </c>
      <c r="AS109" s="527">
        <f t="shared" si="168"/>
        <v>440.47856307296252</v>
      </c>
      <c r="AT109" s="527">
        <f t="shared" si="168"/>
        <v>440.47856307296252</v>
      </c>
      <c r="AU109" s="527">
        <f t="shared" si="168"/>
        <v>440.47856307296252</v>
      </c>
      <c r="AV109" s="527">
        <f t="shared" si="168"/>
        <v>440.47856307296252</v>
      </c>
      <c r="AW109" s="527">
        <f t="shared" si="168"/>
        <v>440.47856307296252</v>
      </c>
      <c r="AX109" s="527">
        <f t="shared" ref="AX109:BY109" si="169">AX44/AX$82</f>
        <v>440.47856307296252</v>
      </c>
      <c r="AY109" s="527">
        <f t="shared" si="169"/>
        <v>440.47856307296252</v>
      </c>
      <c r="AZ109" s="527">
        <f t="shared" si="169"/>
        <v>440.47856307296252</v>
      </c>
      <c r="BA109" s="527">
        <f t="shared" si="169"/>
        <v>440.47856307296252</v>
      </c>
      <c r="BB109" s="527">
        <f t="shared" si="169"/>
        <v>451.82951462476507</v>
      </c>
      <c r="BC109" s="527">
        <f t="shared" si="169"/>
        <v>451.82951462476507</v>
      </c>
      <c r="BD109" s="527">
        <f t="shared" si="169"/>
        <v>451.82951462476507</v>
      </c>
      <c r="BE109" s="527">
        <f t="shared" si="169"/>
        <v>451.82951462476507</v>
      </c>
      <c r="BF109" s="527">
        <f t="shared" si="169"/>
        <v>451.82951462476507</v>
      </c>
      <c r="BG109" s="527">
        <f t="shared" si="169"/>
        <v>451.82951462476507</v>
      </c>
      <c r="BH109" s="527">
        <f t="shared" si="169"/>
        <v>451.82951462476507</v>
      </c>
      <c r="BI109" s="527">
        <f t="shared" si="169"/>
        <v>451.82951462476507</v>
      </c>
      <c r="BJ109" s="527">
        <f t="shared" si="169"/>
        <v>451.82951462476507</v>
      </c>
      <c r="BK109" s="527">
        <f t="shared" si="169"/>
        <v>451.82951462476507</v>
      </c>
      <c r="BL109" s="527">
        <f t="shared" si="169"/>
        <v>451.82951462476507</v>
      </c>
      <c r="BM109" s="527">
        <f t="shared" si="169"/>
        <v>451.82951462476507</v>
      </c>
      <c r="BN109" s="527">
        <f t="shared" si="169"/>
        <v>461.59943040894171</v>
      </c>
      <c r="BO109" s="527">
        <f t="shared" si="169"/>
        <v>461.59943040894171</v>
      </c>
      <c r="BP109" s="527">
        <f t="shared" si="169"/>
        <v>461.59943040894171</v>
      </c>
      <c r="BQ109" s="527">
        <f t="shared" si="169"/>
        <v>461.59943040894171</v>
      </c>
      <c r="BR109" s="527">
        <f t="shared" si="169"/>
        <v>461.59943040894171</v>
      </c>
      <c r="BS109" s="527">
        <f t="shared" si="169"/>
        <v>461.59943040894171</v>
      </c>
      <c r="BT109" s="527">
        <f t="shared" si="169"/>
        <v>461.59943040894171</v>
      </c>
      <c r="BU109" s="527">
        <f t="shared" si="169"/>
        <v>461.59943040894171</v>
      </c>
      <c r="BV109" s="527">
        <f t="shared" si="169"/>
        <v>461.59943040894171</v>
      </c>
      <c r="BW109" s="527">
        <f t="shared" si="169"/>
        <v>461.59943040894171</v>
      </c>
      <c r="BX109" s="527">
        <f t="shared" si="169"/>
        <v>461.59943040894171</v>
      </c>
      <c r="BY109" s="527">
        <f t="shared" si="169"/>
        <v>461.59943040894171</v>
      </c>
      <c r="BZ109" s="537"/>
      <c r="CA109" s="537"/>
      <c r="CB109" s="574"/>
    </row>
    <row r="110" spans="1:80" x14ac:dyDescent="0.3">
      <c r="A110" s="551"/>
      <c r="B110" s="548"/>
      <c r="C110" s="525"/>
      <c r="D110" s="525"/>
      <c r="E110" s="572" t="s">
        <v>26</v>
      </c>
      <c r="F110" s="573"/>
      <c r="G110" s="573"/>
      <c r="H110" s="573"/>
      <c r="I110" s="532">
        <f t="shared" si="165"/>
        <v>36896.557636434023</v>
      </c>
      <c r="J110" s="532">
        <f t="shared" si="165"/>
        <v>38578.053231849779</v>
      </c>
      <c r="K110" s="532">
        <f t="shared" si="165"/>
        <v>40695.907453358202</v>
      </c>
      <c r="L110" s="532">
        <f t="shared" si="165"/>
        <v>42872.446224052619</v>
      </c>
      <c r="M110" s="532">
        <f t="shared" si="165"/>
        <v>45052.245592934887</v>
      </c>
      <c r="N110" s="532">
        <f t="shared" si="165"/>
        <v>47290.03885173217</v>
      </c>
      <c r="O110" s="536"/>
      <c r="P110" s="568">
        <f>IFERROR(((N110/I110)^(1/5))-1,0)</f>
        <v>5.0888801892576829E-2</v>
      </c>
      <c r="Q110" s="537"/>
      <c r="R110" s="532">
        <f t="shared" ref="R110:AW110" si="170">R45/R$82</f>
        <v>3167.7152248501197</v>
      </c>
      <c r="S110" s="530">
        <f t="shared" si="170"/>
        <v>3167.7152248501197</v>
      </c>
      <c r="T110" s="532">
        <f t="shared" si="170"/>
        <v>3167.7152248501197</v>
      </c>
      <c r="U110" s="532">
        <f t="shared" si="170"/>
        <v>3167.7152248501197</v>
      </c>
      <c r="V110" s="532">
        <f t="shared" si="170"/>
        <v>3167.7152248501197</v>
      </c>
      <c r="W110" s="532">
        <f t="shared" si="170"/>
        <v>3167.7152248501197</v>
      </c>
      <c r="X110" s="532">
        <f t="shared" si="170"/>
        <v>3261.960313791511</v>
      </c>
      <c r="Y110" s="532">
        <f t="shared" si="170"/>
        <v>3261.960313791511</v>
      </c>
      <c r="Z110" s="532">
        <f t="shared" si="170"/>
        <v>3261.960313791511</v>
      </c>
      <c r="AA110" s="532">
        <f t="shared" si="170"/>
        <v>3261.960313791511</v>
      </c>
      <c r="AB110" s="532">
        <f t="shared" si="170"/>
        <v>3261.960313791511</v>
      </c>
      <c r="AC110" s="532">
        <f t="shared" si="170"/>
        <v>3261.960313791511</v>
      </c>
      <c r="AD110" s="532">
        <f t="shared" si="170"/>
        <v>3330.1569711633301</v>
      </c>
      <c r="AE110" s="532">
        <f t="shared" si="170"/>
        <v>3330.1569711633301</v>
      </c>
      <c r="AF110" s="532">
        <f t="shared" si="170"/>
        <v>3330.1569711633301</v>
      </c>
      <c r="AG110" s="532">
        <f t="shared" si="170"/>
        <v>3330.1569711633301</v>
      </c>
      <c r="AH110" s="532">
        <f t="shared" si="170"/>
        <v>3330.1569711633301</v>
      </c>
      <c r="AI110" s="532">
        <f t="shared" si="170"/>
        <v>3330.1569711633301</v>
      </c>
      <c r="AJ110" s="532">
        <f t="shared" si="170"/>
        <v>3452.4942710630366</v>
      </c>
      <c r="AK110" s="532">
        <f t="shared" si="170"/>
        <v>3452.4942710630366</v>
      </c>
      <c r="AL110" s="532">
        <f t="shared" si="170"/>
        <v>3452.4942710630366</v>
      </c>
      <c r="AM110" s="532">
        <f t="shared" si="170"/>
        <v>3452.4942710630366</v>
      </c>
      <c r="AN110" s="532">
        <f t="shared" si="170"/>
        <v>3452.4942710630366</v>
      </c>
      <c r="AO110" s="532">
        <f t="shared" si="170"/>
        <v>3452.4942710630366</v>
      </c>
      <c r="AP110" s="532">
        <f t="shared" si="170"/>
        <v>3496.5340408675515</v>
      </c>
      <c r="AQ110" s="532">
        <f t="shared" si="170"/>
        <v>3496.5340408675515</v>
      </c>
      <c r="AR110" s="532">
        <f t="shared" si="170"/>
        <v>3496.5340408675515</v>
      </c>
      <c r="AS110" s="532">
        <f t="shared" si="170"/>
        <v>3496.5340408675515</v>
      </c>
      <c r="AT110" s="532">
        <f t="shared" si="170"/>
        <v>3496.5340408675515</v>
      </c>
      <c r="AU110" s="532">
        <f t="shared" si="170"/>
        <v>3496.5340408675515</v>
      </c>
      <c r="AV110" s="532">
        <f t="shared" si="170"/>
        <v>3648.8736631412189</v>
      </c>
      <c r="AW110" s="532">
        <f t="shared" si="170"/>
        <v>3648.8736631412189</v>
      </c>
      <c r="AX110" s="532">
        <f t="shared" ref="AX110:BY110" si="171">AX45/AX$82</f>
        <v>3648.8736631412189</v>
      </c>
      <c r="AY110" s="532">
        <f t="shared" si="171"/>
        <v>3648.8736631412189</v>
      </c>
      <c r="AZ110" s="532">
        <f t="shared" si="171"/>
        <v>3648.8736631412189</v>
      </c>
      <c r="BA110" s="532">
        <f t="shared" si="171"/>
        <v>3648.8736631412189</v>
      </c>
      <c r="BB110" s="532">
        <f t="shared" si="171"/>
        <v>3662.2068367902752</v>
      </c>
      <c r="BC110" s="532">
        <f t="shared" si="171"/>
        <v>3662.2068367902752</v>
      </c>
      <c r="BD110" s="532">
        <f t="shared" si="171"/>
        <v>3662.2068367902752</v>
      </c>
      <c r="BE110" s="532">
        <f t="shared" si="171"/>
        <v>3662.2068367902752</v>
      </c>
      <c r="BF110" s="532">
        <f t="shared" si="171"/>
        <v>3662.2068367902752</v>
      </c>
      <c r="BG110" s="532">
        <f t="shared" si="171"/>
        <v>3662.2068367902752</v>
      </c>
      <c r="BH110" s="532">
        <f t="shared" si="171"/>
        <v>3846.5007620322058</v>
      </c>
      <c r="BI110" s="532">
        <f t="shared" si="171"/>
        <v>3846.5007620322058</v>
      </c>
      <c r="BJ110" s="532">
        <f t="shared" si="171"/>
        <v>3846.5007620322058</v>
      </c>
      <c r="BK110" s="532">
        <f t="shared" si="171"/>
        <v>3846.5007620322058</v>
      </c>
      <c r="BL110" s="532">
        <f t="shared" si="171"/>
        <v>3846.5007620322058</v>
      </c>
      <c r="BM110" s="532">
        <f t="shared" si="171"/>
        <v>3846.5007620322058</v>
      </c>
      <c r="BN110" s="532">
        <f t="shared" si="171"/>
        <v>3831.6889648888264</v>
      </c>
      <c r="BO110" s="532">
        <f t="shared" si="171"/>
        <v>3831.6889648888264</v>
      </c>
      <c r="BP110" s="532">
        <f t="shared" si="171"/>
        <v>3831.6889648888264</v>
      </c>
      <c r="BQ110" s="532">
        <f t="shared" si="171"/>
        <v>3831.6889648888264</v>
      </c>
      <c r="BR110" s="532">
        <f t="shared" si="171"/>
        <v>3831.6889648888264</v>
      </c>
      <c r="BS110" s="532">
        <f t="shared" si="171"/>
        <v>3831.6889648888264</v>
      </c>
      <c r="BT110" s="532">
        <f t="shared" si="171"/>
        <v>4049.9841770665371</v>
      </c>
      <c r="BU110" s="532">
        <f t="shared" si="171"/>
        <v>4049.9841770665371</v>
      </c>
      <c r="BV110" s="532">
        <f t="shared" si="171"/>
        <v>4049.9841770665371</v>
      </c>
      <c r="BW110" s="532">
        <f t="shared" si="171"/>
        <v>4049.9841770665371</v>
      </c>
      <c r="BX110" s="532">
        <f t="shared" si="171"/>
        <v>4049.9841770665371</v>
      </c>
      <c r="BY110" s="532">
        <f t="shared" si="171"/>
        <v>4049.9841770665371</v>
      </c>
      <c r="BZ110" s="537"/>
      <c r="CA110" s="537"/>
      <c r="CB110" s="574"/>
    </row>
    <row r="111" spans="1:80" x14ac:dyDescent="0.3">
      <c r="A111" s="551"/>
      <c r="B111" s="548"/>
      <c r="C111" s="525"/>
      <c r="D111" s="525"/>
      <c r="E111" s="525"/>
      <c r="F111" s="529"/>
      <c r="G111" s="529"/>
      <c r="H111" s="529"/>
      <c r="I111" s="529"/>
      <c r="J111" s="529"/>
      <c r="K111" s="529"/>
      <c r="L111" s="529"/>
      <c r="M111" s="529"/>
      <c r="N111" s="529"/>
      <c r="O111" s="529"/>
      <c r="P111" s="562"/>
      <c r="Q111" s="537"/>
      <c r="R111" s="529"/>
      <c r="S111" s="529"/>
      <c r="T111" s="529"/>
      <c r="U111" s="529"/>
      <c r="V111" s="529"/>
      <c r="W111" s="529"/>
      <c r="X111" s="529"/>
      <c r="Y111" s="529"/>
      <c r="Z111" s="529"/>
      <c r="AA111" s="529"/>
      <c r="AB111" s="529"/>
      <c r="AC111" s="529"/>
      <c r="AD111" s="529"/>
      <c r="AE111" s="529"/>
      <c r="AF111" s="529"/>
      <c r="AG111" s="529"/>
      <c r="AH111" s="529"/>
      <c r="AI111" s="529"/>
      <c r="AJ111" s="529"/>
      <c r="AK111" s="529"/>
      <c r="AL111" s="529"/>
      <c r="AM111" s="529"/>
      <c r="AN111" s="529"/>
      <c r="AO111" s="529"/>
      <c r="AP111" s="529"/>
      <c r="AQ111" s="529"/>
      <c r="AR111" s="529"/>
      <c r="AS111" s="529"/>
      <c r="AT111" s="529"/>
      <c r="AU111" s="529"/>
      <c r="AV111" s="529"/>
      <c r="AW111" s="529"/>
      <c r="AX111" s="529"/>
      <c r="AY111" s="529"/>
      <c r="AZ111" s="529"/>
      <c r="BA111" s="529"/>
      <c r="BB111" s="529"/>
      <c r="BC111" s="529"/>
      <c r="BD111" s="529"/>
      <c r="BE111" s="529"/>
      <c r="BF111" s="529"/>
      <c r="BG111" s="529"/>
      <c r="BH111" s="529"/>
      <c r="BI111" s="529"/>
      <c r="BJ111" s="529"/>
      <c r="BK111" s="529"/>
      <c r="BL111" s="529"/>
      <c r="BM111" s="529"/>
      <c r="BN111" s="529"/>
      <c r="BO111" s="529"/>
      <c r="BP111" s="529"/>
      <c r="BQ111" s="529"/>
      <c r="BR111" s="529"/>
      <c r="BS111" s="529"/>
      <c r="BT111" s="529"/>
      <c r="BU111" s="529"/>
      <c r="BV111" s="529"/>
      <c r="BW111" s="529"/>
      <c r="BX111" s="529"/>
      <c r="BY111" s="529"/>
      <c r="BZ111" s="537"/>
      <c r="CA111" s="537"/>
      <c r="CB111" s="537"/>
    </row>
    <row r="112" spans="1:80" x14ac:dyDescent="0.3">
      <c r="A112" s="551"/>
      <c r="B112" s="548"/>
      <c r="C112" s="525"/>
      <c r="D112" s="525"/>
      <c r="E112" s="570" t="s">
        <v>27</v>
      </c>
      <c r="F112" s="529"/>
      <c r="G112" s="529"/>
      <c r="H112" s="529"/>
      <c r="I112" s="529"/>
      <c r="J112" s="529"/>
      <c r="K112" s="529"/>
      <c r="L112" s="529"/>
      <c r="M112" s="529"/>
      <c r="N112" s="529"/>
      <c r="O112" s="529"/>
      <c r="P112" s="562"/>
      <c r="Q112" s="537"/>
      <c r="R112" s="529"/>
      <c r="S112" s="529"/>
      <c r="T112" s="529"/>
      <c r="U112" s="529"/>
      <c r="V112" s="529"/>
      <c r="W112" s="529"/>
      <c r="X112" s="529"/>
      <c r="Y112" s="529"/>
      <c r="Z112" s="529"/>
      <c r="AA112" s="529"/>
      <c r="AB112" s="529"/>
      <c r="AC112" s="529"/>
      <c r="AD112" s="529"/>
      <c r="AE112" s="529"/>
      <c r="AF112" s="529"/>
      <c r="AG112" s="529"/>
      <c r="AH112" s="529"/>
      <c r="AI112" s="529"/>
      <c r="AJ112" s="529"/>
      <c r="AK112" s="529"/>
      <c r="AL112" s="529"/>
      <c r="AM112" s="529"/>
      <c r="AN112" s="529"/>
      <c r="AO112" s="529"/>
      <c r="AP112" s="529"/>
      <c r="AQ112" s="529"/>
      <c r="AR112" s="529"/>
      <c r="AS112" s="529"/>
      <c r="AT112" s="529"/>
      <c r="AU112" s="529"/>
      <c r="AV112" s="529"/>
      <c r="AW112" s="529"/>
      <c r="AX112" s="529"/>
      <c r="AY112" s="529"/>
      <c r="AZ112" s="529"/>
      <c r="BA112" s="529"/>
      <c r="BB112" s="529"/>
      <c r="BC112" s="529"/>
      <c r="BD112" s="529"/>
      <c r="BE112" s="529"/>
      <c r="BF112" s="529"/>
      <c r="BG112" s="529"/>
      <c r="BH112" s="529"/>
      <c r="BI112" s="529"/>
      <c r="BJ112" s="529"/>
      <c r="BK112" s="529"/>
      <c r="BL112" s="529"/>
      <c r="BM112" s="529"/>
      <c r="BN112" s="529"/>
      <c r="BO112" s="529"/>
      <c r="BP112" s="529"/>
      <c r="BQ112" s="529"/>
      <c r="BR112" s="529"/>
      <c r="BS112" s="529"/>
      <c r="BT112" s="529"/>
      <c r="BU112" s="529"/>
      <c r="BV112" s="529"/>
      <c r="BW112" s="529"/>
      <c r="BX112" s="529"/>
      <c r="BY112" s="529"/>
      <c r="BZ112" s="537"/>
      <c r="CA112" s="537"/>
      <c r="CB112" s="537"/>
    </row>
    <row r="113" spans="1:80" x14ac:dyDescent="0.3">
      <c r="A113" s="551"/>
      <c r="B113" s="548"/>
      <c r="C113" s="525"/>
      <c r="D113" s="525"/>
      <c r="E113" s="525" t="s">
        <v>28</v>
      </c>
      <c r="F113" s="567"/>
      <c r="G113" s="567"/>
      <c r="H113" s="567"/>
      <c r="I113" s="527">
        <f t="shared" ref="I113:N117" si="172">I48/I$82</f>
        <v>4.2298373983739825</v>
      </c>
      <c r="J113" s="527">
        <f t="shared" si="172"/>
        <v>4.2298373983739816</v>
      </c>
      <c r="K113" s="527">
        <f t="shared" si="172"/>
        <v>4.2298373983739816</v>
      </c>
      <c r="L113" s="527">
        <f t="shared" si="172"/>
        <v>4.2298373983739816</v>
      </c>
      <c r="M113" s="527">
        <f t="shared" si="172"/>
        <v>4.2298373983739816</v>
      </c>
      <c r="N113" s="527">
        <f t="shared" si="172"/>
        <v>4.2298373983739816</v>
      </c>
      <c r="O113" s="529"/>
      <c r="P113" s="564">
        <f>IFERROR(((N113/I113)^(1/5))-1,0)</f>
        <v>0</v>
      </c>
      <c r="Q113" s="537"/>
      <c r="R113" s="527">
        <f t="shared" ref="R113:AW113" si="173">R48/R$82</f>
        <v>0.35248644986449856</v>
      </c>
      <c r="S113" s="527">
        <f t="shared" si="173"/>
        <v>0.35248644986449856</v>
      </c>
      <c r="T113" s="527">
        <f t="shared" si="173"/>
        <v>0.35248644986449856</v>
      </c>
      <c r="U113" s="527">
        <f t="shared" si="173"/>
        <v>0.35248644986449856</v>
      </c>
      <c r="V113" s="527">
        <f t="shared" si="173"/>
        <v>0.35248644986449856</v>
      </c>
      <c r="W113" s="527">
        <f t="shared" si="173"/>
        <v>0.35248644986449856</v>
      </c>
      <c r="X113" s="527">
        <f t="shared" si="173"/>
        <v>0.35248644986449856</v>
      </c>
      <c r="Y113" s="527">
        <f t="shared" si="173"/>
        <v>0.35248644986449856</v>
      </c>
      <c r="Z113" s="527">
        <f t="shared" si="173"/>
        <v>0.35248644986449856</v>
      </c>
      <c r="AA113" s="527">
        <f t="shared" si="173"/>
        <v>0.35248644986449856</v>
      </c>
      <c r="AB113" s="527">
        <f t="shared" si="173"/>
        <v>0.35248644986449856</v>
      </c>
      <c r="AC113" s="527">
        <f t="shared" si="173"/>
        <v>0.35248644986449856</v>
      </c>
      <c r="AD113" s="527">
        <f t="shared" si="173"/>
        <v>0.35248644986449856</v>
      </c>
      <c r="AE113" s="527">
        <f t="shared" si="173"/>
        <v>0.35248644986449856</v>
      </c>
      <c r="AF113" s="527">
        <f t="shared" si="173"/>
        <v>0.35248644986449856</v>
      </c>
      <c r="AG113" s="527">
        <f t="shared" si="173"/>
        <v>0.35248644986449856</v>
      </c>
      <c r="AH113" s="527">
        <f t="shared" si="173"/>
        <v>0.35248644986449856</v>
      </c>
      <c r="AI113" s="527">
        <f t="shared" si="173"/>
        <v>0.35248644986449856</v>
      </c>
      <c r="AJ113" s="527">
        <f t="shared" si="173"/>
        <v>0.35248644986449856</v>
      </c>
      <c r="AK113" s="527">
        <f t="shared" si="173"/>
        <v>0.35248644986449856</v>
      </c>
      <c r="AL113" s="527">
        <f t="shared" si="173"/>
        <v>0.35248644986449856</v>
      </c>
      <c r="AM113" s="527">
        <f t="shared" si="173"/>
        <v>0.35248644986449856</v>
      </c>
      <c r="AN113" s="527">
        <f t="shared" si="173"/>
        <v>0.35248644986449856</v>
      </c>
      <c r="AO113" s="527">
        <f t="shared" si="173"/>
        <v>0.35248644986449856</v>
      </c>
      <c r="AP113" s="527">
        <f t="shared" si="173"/>
        <v>0.35248644986449856</v>
      </c>
      <c r="AQ113" s="527">
        <f t="shared" si="173"/>
        <v>0.35248644986449856</v>
      </c>
      <c r="AR113" s="527">
        <f t="shared" si="173"/>
        <v>0.35248644986449856</v>
      </c>
      <c r="AS113" s="527">
        <f t="shared" si="173"/>
        <v>0.35248644986449856</v>
      </c>
      <c r="AT113" s="527">
        <f t="shared" si="173"/>
        <v>0.35248644986449856</v>
      </c>
      <c r="AU113" s="527">
        <f t="shared" si="173"/>
        <v>0.35248644986449856</v>
      </c>
      <c r="AV113" s="527">
        <f t="shared" si="173"/>
        <v>0.35248644986449856</v>
      </c>
      <c r="AW113" s="527">
        <f t="shared" si="173"/>
        <v>0.35248644986449856</v>
      </c>
      <c r="AX113" s="527">
        <f t="shared" ref="AX113:BY113" si="174">AX48/AX$82</f>
        <v>0.35248644986449856</v>
      </c>
      <c r="AY113" s="527">
        <f t="shared" si="174"/>
        <v>0.35248644986449856</v>
      </c>
      <c r="AZ113" s="527">
        <f t="shared" si="174"/>
        <v>0.35248644986449856</v>
      </c>
      <c r="BA113" s="527">
        <f t="shared" si="174"/>
        <v>0.35248644986449856</v>
      </c>
      <c r="BB113" s="527">
        <f t="shared" si="174"/>
        <v>0.35248644986449856</v>
      </c>
      <c r="BC113" s="527">
        <f t="shared" si="174"/>
        <v>0.35248644986449856</v>
      </c>
      <c r="BD113" s="527">
        <f t="shared" si="174"/>
        <v>0.35248644986449856</v>
      </c>
      <c r="BE113" s="527">
        <f t="shared" si="174"/>
        <v>0.35248644986449856</v>
      </c>
      <c r="BF113" s="527">
        <f t="shared" si="174"/>
        <v>0.35248644986449856</v>
      </c>
      <c r="BG113" s="527">
        <f t="shared" si="174"/>
        <v>0.35248644986449856</v>
      </c>
      <c r="BH113" s="527">
        <f t="shared" si="174"/>
        <v>0.35248644986449856</v>
      </c>
      <c r="BI113" s="527">
        <f t="shared" si="174"/>
        <v>0.35248644986449856</v>
      </c>
      <c r="BJ113" s="527">
        <f t="shared" si="174"/>
        <v>0.35248644986449856</v>
      </c>
      <c r="BK113" s="527">
        <f t="shared" si="174"/>
        <v>0.35248644986449856</v>
      </c>
      <c r="BL113" s="527">
        <f t="shared" si="174"/>
        <v>0.35248644986449856</v>
      </c>
      <c r="BM113" s="527">
        <f t="shared" si="174"/>
        <v>0.35248644986449856</v>
      </c>
      <c r="BN113" s="527">
        <f t="shared" si="174"/>
        <v>0.35248644986449856</v>
      </c>
      <c r="BO113" s="527">
        <f t="shared" si="174"/>
        <v>0.35248644986449856</v>
      </c>
      <c r="BP113" s="527">
        <f t="shared" si="174"/>
        <v>0.35248644986449856</v>
      </c>
      <c r="BQ113" s="527">
        <f t="shared" si="174"/>
        <v>0.35248644986449856</v>
      </c>
      <c r="BR113" s="527">
        <f t="shared" si="174"/>
        <v>0.35248644986449856</v>
      </c>
      <c r="BS113" s="527">
        <f t="shared" si="174"/>
        <v>0.35248644986449856</v>
      </c>
      <c r="BT113" s="527">
        <f t="shared" si="174"/>
        <v>0.35248644986449856</v>
      </c>
      <c r="BU113" s="527">
        <f t="shared" si="174"/>
        <v>0.35248644986449856</v>
      </c>
      <c r="BV113" s="527">
        <f t="shared" si="174"/>
        <v>0.35248644986449856</v>
      </c>
      <c r="BW113" s="527">
        <f t="shared" si="174"/>
        <v>0.35248644986449856</v>
      </c>
      <c r="BX113" s="527">
        <f t="shared" si="174"/>
        <v>0.35248644986449856</v>
      </c>
      <c r="BY113" s="527">
        <f t="shared" si="174"/>
        <v>0.35248644986449856</v>
      </c>
      <c r="BZ113" s="537"/>
      <c r="CA113" s="537"/>
      <c r="CB113" s="574"/>
    </row>
    <row r="114" spans="1:80" x14ac:dyDescent="0.3">
      <c r="A114" s="551"/>
      <c r="B114" s="548"/>
      <c r="C114" s="525"/>
      <c r="D114" s="525"/>
      <c r="E114" s="525" t="s">
        <v>29</v>
      </c>
      <c r="F114" s="567"/>
      <c r="G114" s="567"/>
      <c r="H114" s="567"/>
      <c r="I114" s="527">
        <f t="shared" si="172"/>
        <v>2735.2999145538834</v>
      </c>
      <c r="J114" s="527">
        <f t="shared" si="172"/>
        <v>2735.2999145538834</v>
      </c>
      <c r="K114" s="527">
        <f t="shared" si="172"/>
        <v>2735.2999145538834</v>
      </c>
      <c r="L114" s="527">
        <f t="shared" si="172"/>
        <v>2735.2999145538834</v>
      </c>
      <c r="M114" s="527">
        <f t="shared" si="172"/>
        <v>2735.2999145538834</v>
      </c>
      <c r="N114" s="527">
        <f t="shared" si="172"/>
        <v>2735.2999145538834</v>
      </c>
      <c r="O114" s="529"/>
      <c r="P114" s="564">
        <f>IFERROR(((N114/I114)^(1/5))-1,0)</f>
        <v>0</v>
      </c>
      <c r="Q114" s="537"/>
      <c r="R114" s="527">
        <f t="shared" ref="R114:AW114" si="175">R49/R$82</f>
        <v>227.94165954615696</v>
      </c>
      <c r="S114" s="527">
        <f t="shared" si="175"/>
        <v>227.94165954615696</v>
      </c>
      <c r="T114" s="527">
        <f t="shared" si="175"/>
        <v>227.94165954615696</v>
      </c>
      <c r="U114" s="527">
        <f t="shared" si="175"/>
        <v>227.94165954615696</v>
      </c>
      <c r="V114" s="527">
        <f t="shared" si="175"/>
        <v>227.94165954615696</v>
      </c>
      <c r="W114" s="527">
        <f t="shared" si="175"/>
        <v>227.94165954615696</v>
      </c>
      <c r="X114" s="527">
        <f t="shared" si="175"/>
        <v>227.94165954615696</v>
      </c>
      <c r="Y114" s="527">
        <f t="shared" si="175"/>
        <v>227.94165954615696</v>
      </c>
      <c r="Z114" s="527">
        <f t="shared" si="175"/>
        <v>227.94165954615696</v>
      </c>
      <c r="AA114" s="527">
        <f t="shared" si="175"/>
        <v>227.94165954615696</v>
      </c>
      <c r="AB114" s="527">
        <f t="shared" si="175"/>
        <v>227.94165954615696</v>
      </c>
      <c r="AC114" s="527">
        <f t="shared" si="175"/>
        <v>227.94165954615696</v>
      </c>
      <c r="AD114" s="527">
        <f t="shared" si="175"/>
        <v>227.94165954615696</v>
      </c>
      <c r="AE114" s="527">
        <f t="shared" si="175"/>
        <v>227.94165954615696</v>
      </c>
      <c r="AF114" s="527">
        <f t="shared" si="175"/>
        <v>227.94165954615696</v>
      </c>
      <c r="AG114" s="527">
        <f t="shared" si="175"/>
        <v>227.94165954615696</v>
      </c>
      <c r="AH114" s="527">
        <f t="shared" si="175"/>
        <v>227.94165954615696</v>
      </c>
      <c r="AI114" s="527">
        <f t="shared" si="175"/>
        <v>227.94165954615696</v>
      </c>
      <c r="AJ114" s="527">
        <f t="shared" si="175"/>
        <v>227.94165954615696</v>
      </c>
      <c r="AK114" s="527">
        <f t="shared" si="175"/>
        <v>227.94165954615696</v>
      </c>
      <c r="AL114" s="527">
        <f t="shared" si="175"/>
        <v>227.94165954615696</v>
      </c>
      <c r="AM114" s="527">
        <f t="shared" si="175"/>
        <v>227.94165954615696</v>
      </c>
      <c r="AN114" s="527">
        <f t="shared" si="175"/>
        <v>227.94165954615696</v>
      </c>
      <c r="AO114" s="527">
        <f t="shared" si="175"/>
        <v>227.94165954615696</v>
      </c>
      <c r="AP114" s="527">
        <f t="shared" si="175"/>
        <v>227.94165954615696</v>
      </c>
      <c r="AQ114" s="527">
        <f t="shared" si="175"/>
        <v>227.94165954615696</v>
      </c>
      <c r="AR114" s="527">
        <f t="shared" si="175"/>
        <v>227.94165954615696</v>
      </c>
      <c r="AS114" s="527">
        <f t="shared" si="175"/>
        <v>227.94165954615696</v>
      </c>
      <c r="AT114" s="527">
        <f t="shared" si="175"/>
        <v>227.94165954615696</v>
      </c>
      <c r="AU114" s="527">
        <f t="shared" si="175"/>
        <v>227.94165954615696</v>
      </c>
      <c r="AV114" s="527">
        <f t="shared" si="175"/>
        <v>227.94165954615696</v>
      </c>
      <c r="AW114" s="527">
        <f t="shared" si="175"/>
        <v>227.94165954615696</v>
      </c>
      <c r="AX114" s="527">
        <f t="shared" ref="AX114:BY114" si="176">AX49/AX$82</f>
        <v>227.94165954615696</v>
      </c>
      <c r="AY114" s="527">
        <f t="shared" si="176"/>
        <v>227.94165954615696</v>
      </c>
      <c r="AZ114" s="527">
        <f t="shared" si="176"/>
        <v>227.94165954615696</v>
      </c>
      <c r="BA114" s="527">
        <f t="shared" si="176"/>
        <v>227.94165954615696</v>
      </c>
      <c r="BB114" s="527">
        <f t="shared" si="176"/>
        <v>227.94165954615696</v>
      </c>
      <c r="BC114" s="527">
        <f t="shared" si="176"/>
        <v>227.94165954615696</v>
      </c>
      <c r="BD114" s="527">
        <f t="shared" si="176"/>
        <v>227.94165954615696</v>
      </c>
      <c r="BE114" s="527">
        <f t="shared" si="176"/>
        <v>227.94165954615696</v>
      </c>
      <c r="BF114" s="527">
        <f t="shared" si="176"/>
        <v>227.94165954615696</v>
      </c>
      <c r="BG114" s="527">
        <f t="shared" si="176"/>
        <v>227.94165954615696</v>
      </c>
      <c r="BH114" s="527">
        <f t="shared" si="176"/>
        <v>227.94165954615696</v>
      </c>
      <c r="BI114" s="527">
        <f t="shared" si="176"/>
        <v>227.94165954615696</v>
      </c>
      <c r="BJ114" s="527">
        <f t="shared" si="176"/>
        <v>227.94165954615696</v>
      </c>
      <c r="BK114" s="527">
        <f t="shared" si="176"/>
        <v>227.94165954615696</v>
      </c>
      <c r="BL114" s="527">
        <f t="shared" si="176"/>
        <v>227.94165954615696</v>
      </c>
      <c r="BM114" s="527">
        <f t="shared" si="176"/>
        <v>227.94165954615696</v>
      </c>
      <c r="BN114" s="527">
        <f t="shared" si="176"/>
        <v>227.94165954615696</v>
      </c>
      <c r="BO114" s="527">
        <f t="shared" si="176"/>
        <v>227.94165954615696</v>
      </c>
      <c r="BP114" s="527">
        <f t="shared" si="176"/>
        <v>227.94165954615696</v>
      </c>
      <c r="BQ114" s="527">
        <f t="shared" si="176"/>
        <v>227.94165954615696</v>
      </c>
      <c r="BR114" s="527">
        <f t="shared" si="176"/>
        <v>227.94165954615696</v>
      </c>
      <c r="BS114" s="527">
        <f t="shared" si="176"/>
        <v>227.94165954615696</v>
      </c>
      <c r="BT114" s="527">
        <f t="shared" si="176"/>
        <v>227.94165954615696</v>
      </c>
      <c r="BU114" s="527">
        <f t="shared" si="176"/>
        <v>227.94165954615696</v>
      </c>
      <c r="BV114" s="527">
        <f t="shared" si="176"/>
        <v>227.94165954615696</v>
      </c>
      <c r="BW114" s="527">
        <f t="shared" si="176"/>
        <v>227.94165954615696</v>
      </c>
      <c r="BX114" s="527">
        <f t="shared" si="176"/>
        <v>227.94165954615696</v>
      </c>
      <c r="BY114" s="527">
        <f t="shared" si="176"/>
        <v>227.94165954615696</v>
      </c>
      <c r="BZ114" s="537"/>
      <c r="CA114" s="537"/>
      <c r="CB114" s="574"/>
    </row>
    <row r="115" spans="1:80" x14ac:dyDescent="0.3">
      <c r="A115" s="551"/>
      <c r="B115" s="548"/>
      <c r="C115" s="525"/>
      <c r="D115" s="525"/>
      <c r="E115" s="525" t="s">
        <v>30</v>
      </c>
      <c r="F115" s="567"/>
      <c r="G115" s="567"/>
      <c r="H115" s="567"/>
      <c r="I115" s="527">
        <f t="shared" si="172"/>
        <v>1325.3378861788615</v>
      </c>
      <c r="J115" s="527">
        <f t="shared" si="172"/>
        <v>1325.3378861788613</v>
      </c>
      <c r="K115" s="527">
        <f t="shared" si="172"/>
        <v>1325.3378861788613</v>
      </c>
      <c r="L115" s="527">
        <f t="shared" si="172"/>
        <v>1325.3378861788613</v>
      </c>
      <c r="M115" s="527">
        <f t="shared" si="172"/>
        <v>1325.3378861788613</v>
      </c>
      <c r="N115" s="527">
        <f t="shared" si="172"/>
        <v>1325.3378861788613</v>
      </c>
      <c r="O115" s="529"/>
      <c r="P115" s="564">
        <f>IFERROR(((N115/I115)^(1/5))-1,0)</f>
        <v>0</v>
      </c>
      <c r="Q115" s="537"/>
      <c r="R115" s="527">
        <f t="shared" ref="R115:AW115" si="177">R50/R$82</f>
        <v>110.44482384823847</v>
      </c>
      <c r="S115" s="527">
        <f t="shared" si="177"/>
        <v>110.44482384823847</v>
      </c>
      <c r="T115" s="527">
        <f t="shared" si="177"/>
        <v>110.44482384823847</v>
      </c>
      <c r="U115" s="527">
        <f t="shared" si="177"/>
        <v>110.44482384823847</v>
      </c>
      <c r="V115" s="527">
        <f t="shared" si="177"/>
        <v>110.44482384823847</v>
      </c>
      <c r="W115" s="527">
        <f t="shared" si="177"/>
        <v>110.44482384823847</v>
      </c>
      <c r="X115" s="527">
        <f t="shared" si="177"/>
        <v>110.44482384823847</v>
      </c>
      <c r="Y115" s="527">
        <f t="shared" si="177"/>
        <v>110.44482384823847</v>
      </c>
      <c r="Z115" s="527">
        <f t="shared" si="177"/>
        <v>110.44482384823847</v>
      </c>
      <c r="AA115" s="527">
        <f t="shared" si="177"/>
        <v>110.44482384823847</v>
      </c>
      <c r="AB115" s="527">
        <f t="shared" si="177"/>
        <v>110.44482384823847</v>
      </c>
      <c r="AC115" s="527">
        <f t="shared" si="177"/>
        <v>110.44482384823847</v>
      </c>
      <c r="AD115" s="527">
        <f t="shared" si="177"/>
        <v>110.44482384823847</v>
      </c>
      <c r="AE115" s="527">
        <f t="shared" si="177"/>
        <v>110.44482384823847</v>
      </c>
      <c r="AF115" s="527">
        <f t="shared" si="177"/>
        <v>110.44482384823847</v>
      </c>
      <c r="AG115" s="527">
        <f t="shared" si="177"/>
        <v>110.44482384823847</v>
      </c>
      <c r="AH115" s="527">
        <f t="shared" si="177"/>
        <v>110.44482384823847</v>
      </c>
      <c r="AI115" s="527">
        <f t="shared" si="177"/>
        <v>110.44482384823847</v>
      </c>
      <c r="AJ115" s="527">
        <f t="shared" si="177"/>
        <v>110.44482384823847</v>
      </c>
      <c r="AK115" s="527">
        <f t="shared" si="177"/>
        <v>110.44482384823847</v>
      </c>
      <c r="AL115" s="527">
        <f t="shared" si="177"/>
        <v>110.44482384823847</v>
      </c>
      <c r="AM115" s="527">
        <f t="shared" si="177"/>
        <v>110.44482384823847</v>
      </c>
      <c r="AN115" s="527">
        <f t="shared" si="177"/>
        <v>110.44482384823847</v>
      </c>
      <c r="AO115" s="527">
        <f t="shared" si="177"/>
        <v>110.44482384823847</v>
      </c>
      <c r="AP115" s="527">
        <f t="shared" si="177"/>
        <v>110.44482384823847</v>
      </c>
      <c r="AQ115" s="527">
        <f t="shared" si="177"/>
        <v>110.44482384823847</v>
      </c>
      <c r="AR115" s="527">
        <f t="shared" si="177"/>
        <v>110.44482384823847</v>
      </c>
      <c r="AS115" s="527">
        <f t="shared" si="177"/>
        <v>110.44482384823847</v>
      </c>
      <c r="AT115" s="527">
        <f t="shared" si="177"/>
        <v>110.44482384823847</v>
      </c>
      <c r="AU115" s="527">
        <f t="shared" si="177"/>
        <v>110.44482384823847</v>
      </c>
      <c r="AV115" s="527">
        <f t="shared" si="177"/>
        <v>110.44482384823847</v>
      </c>
      <c r="AW115" s="527">
        <f t="shared" si="177"/>
        <v>110.44482384823847</v>
      </c>
      <c r="AX115" s="527">
        <f t="shared" ref="AX115:BY115" si="178">AX50/AX$82</f>
        <v>110.44482384823847</v>
      </c>
      <c r="AY115" s="527">
        <f t="shared" si="178"/>
        <v>110.44482384823847</v>
      </c>
      <c r="AZ115" s="527">
        <f t="shared" si="178"/>
        <v>110.44482384823847</v>
      </c>
      <c r="BA115" s="527">
        <f t="shared" si="178"/>
        <v>110.44482384823847</v>
      </c>
      <c r="BB115" s="527">
        <f t="shared" si="178"/>
        <v>110.44482384823847</v>
      </c>
      <c r="BC115" s="527">
        <f t="shared" si="178"/>
        <v>110.44482384823847</v>
      </c>
      <c r="BD115" s="527">
        <f t="shared" si="178"/>
        <v>110.44482384823847</v>
      </c>
      <c r="BE115" s="527">
        <f t="shared" si="178"/>
        <v>110.44482384823847</v>
      </c>
      <c r="BF115" s="527">
        <f t="shared" si="178"/>
        <v>110.44482384823847</v>
      </c>
      <c r="BG115" s="527">
        <f t="shared" si="178"/>
        <v>110.44482384823847</v>
      </c>
      <c r="BH115" s="527">
        <f t="shared" si="178"/>
        <v>110.44482384823847</v>
      </c>
      <c r="BI115" s="527">
        <f t="shared" si="178"/>
        <v>110.44482384823847</v>
      </c>
      <c r="BJ115" s="527">
        <f t="shared" si="178"/>
        <v>110.44482384823847</v>
      </c>
      <c r="BK115" s="527">
        <f t="shared" si="178"/>
        <v>110.44482384823847</v>
      </c>
      <c r="BL115" s="527">
        <f t="shared" si="178"/>
        <v>110.44482384823847</v>
      </c>
      <c r="BM115" s="527">
        <f t="shared" si="178"/>
        <v>110.44482384823847</v>
      </c>
      <c r="BN115" s="527">
        <f t="shared" si="178"/>
        <v>110.44482384823847</v>
      </c>
      <c r="BO115" s="527">
        <f t="shared" si="178"/>
        <v>110.44482384823847</v>
      </c>
      <c r="BP115" s="527">
        <f t="shared" si="178"/>
        <v>110.44482384823847</v>
      </c>
      <c r="BQ115" s="527">
        <f t="shared" si="178"/>
        <v>110.44482384823847</v>
      </c>
      <c r="BR115" s="527">
        <f t="shared" si="178"/>
        <v>110.44482384823847</v>
      </c>
      <c r="BS115" s="527">
        <f t="shared" si="178"/>
        <v>110.44482384823847</v>
      </c>
      <c r="BT115" s="527">
        <f t="shared" si="178"/>
        <v>110.44482384823847</v>
      </c>
      <c r="BU115" s="527">
        <f t="shared" si="178"/>
        <v>110.44482384823847</v>
      </c>
      <c r="BV115" s="527">
        <f t="shared" si="178"/>
        <v>110.44482384823847</v>
      </c>
      <c r="BW115" s="527">
        <f t="shared" si="178"/>
        <v>110.44482384823847</v>
      </c>
      <c r="BX115" s="527">
        <f t="shared" si="178"/>
        <v>110.44482384823847</v>
      </c>
      <c r="BY115" s="527">
        <f t="shared" si="178"/>
        <v>110.44482384823847</v>
      </c>
      <c r="BZ115" s="537"/>
      <c r="CA115" s="537"/>
      <c r="CB115" s="574"/>
    </row>
    <row r="116" spans="1:80" x14ac:dyDescent="0.3">
      <c r="A116" s="551"/>
      <c r="B116" s="548"/>
      <c r="C116" s="525"/>
      <c r="D116" s="525"/>
      <c r="E116" s="525" t="s">
        <v>31</v>
      </c>
      <c r="F116" s="567"/>
      <c r="G116" s="567"/>
      <c r="H116" s="567"/>
      <c r="I116" s="527">
        <f t="shared" si="172"/>
        <v>3187.218214243901</v>
      </c>
      <c r="J116" s="527">
        <f t="shared" si="172"/>
        <v>3187.2182142439001</v>
      </c>
      <c r="K116" s="527">
        <f t="shared" si="172"/>
        <v>3187.2182142439001</v>
      </c>
      <c r="L116" s="527">
        <f t="shared" si="172"/>
        <v>3187.2182142439001</v>
      </c>
      <c r="M116" s="527">
        <f t="shared" si="172"/>
        <v>3187.2182142439001</v>
      </c>
      <c r="N116" s="527">
        <f t="shared" si="172"/>
        <v>3187.2182142439001</v>
      </c>
      <c r="O116" s="529"/>
      <c r="P116" s="564">
        <f>IFERROR(((N116/I116)^(1/5))-1,0)</f>
        <v>-1.1102230246251565E-16</v>
      </c>
      <c r="Q116" s="537"/>
      <c r="R116" s="527">
        <f t="shared" ref="R116:AW116" si="179">R51/R$82</f>
        <v>265.60151785365838</v>
      </c>
      <c r="S116" s="527">
        <f t="shared" si="179"/>
        <v>265.60151785365838</v>
      </c>
      <c r="T116" s="527">
        <f t="shared" si="179"/>
        <v>265.60151785365838</v>
      </c>
      <c r="U116" s="527">
        <f t="shared" si="179"/>
        <v>265.60151785365838</v>
      </c>
      <c r="V116" s="527">
        <f t="shared" si="179"/>
        <v>265.60151785365838</v>
      </c>
      <c r="W116" s="527">
        <f t="shared" si="179"/>
        <v>265.60151785365838</v>
      </c>
      <c r="X116" s="527">
        <f t="shared" si="179"/>
        <v>265.60151785365838</v>
      </c>
      <c r="Y116" s="527">
        <f t="shared" si="179"/>
        <v>265.60151785365838</v>
      </c>
      <c r="Z116" s="527">
        <f t="shared" si="179"/>
        <v>265.60151785365838</v>
      </c>
      <c r="AA116" s="527">
        <f t="shared" si="179"/>
        <v>265.60151785365838</v>
      </c>
      <c r="AB116" s="527">
        <f t="shared" si="179"/>
        <v>265.60151785365838</v>
      </c>
      <c r="AC116" s="527">
        <f t="shared" si="179"/>
        <v>265.60151785365838</v>
      </c>
      <c r="AD116" s="527">
        <f t="shared" si="179"/>
        <v>265.60151785365838</v>
      </c>
      <c r="AE116" s="527">
        <f t="shared" si="179"/>
        <v>265.60151785365838</v>
      </c>
      <c r="AF116" s="527">
        <f t="shared" si="179"/>
        <v>265.60151785365838</v>
      </c>
      <c r="AG116" s="527">
        <f t="shared" si="179"/>
        <v>265.60151785365838</v>
      </c>
      <c r="AH116" s="527">
        <f t="shared" si="179"/>
        <v>265.60151785365838</v>
      </c>
      <c r="AI116" s="527">
        <f t="shared" si="179"/>
        <v>265.60151785365838</v>
      </c>
      <c r="AJ116" s="527">
        <f t="shared" si="179"/>
        <v>265.60151785365838</v>
      </c>
      <c r="AK116" s="527">
        <f t="shared" si="179"/>
        <v>265.60151785365838</v>
      </c>
      <c r="AL116" s="527">
        <f t="shared" si="179"/>
        <v>265.60151785365838</v>
      </c>
      <c r="AM116" s="527">
        <f t="shared" si="179"/>
        <v>265.60151785365838</v>
      </c>
      <c r="AN116" s="527">
        <f t="shared" si="179"/>
        <v>265.60151785365838</v>
      </c>
      <c r="AO116" s="527">
        <f t="shared" si="179"/>
        <v>265.60151785365838</v>
      </c>
      <c r="AP116" s="527">
        <f t="shared" si="179"/>
        <v>265.60151785365838</v>
      </c>
      <c r="AQ116" s="527">
        <f t="shared" si="179"/>
        <v>265.60151785365838</v>
      </c>
      <c r="AR116" s="527">
        <f t="shared" si="179"/>
        <v>265.60151785365838</v>
      </c>
      <c r="AS116" s="527">
        <f t="shared" si="179"/>
        <v>265.60151785365838</v>
      </c>
      <c r="AT116" s="527">
        <f t="shared" si="179"/>
        <v>265.60151785365838</v>
      </c>
      <c r="AU116" s="527">
        <f t="shared" si="179"/>
        <v>265.60151785365838</v>
      </c>
      <c r="AV116" s="527">
        <f t="shared" si="179"/>
        <v>265.60151785365838</v>
      </c>
      <c r="AW116" s="527">
        <f t="shared" si="179"/>
        <v>265.60151785365838</v>
      </c>
      <c r="AX116" s="527">
        <f t="shared" ref="AX116:BY116" si="180">AX51/AX$82</f>
        <v>265.60151785365838</v>
      </c>
      <c r="AY116" s="527">
        <f t="shared" si="180"/>
        <v>265.60151785365838</v>
      </c>
      <c r="AZ116" s="527">
        <f t="shared" si="180"/>
        <v>265.60151785365838</v>
      </c>
      <c r="BA116" s="527">
        <f t="shared" si="180"/>
        <v>265.60151785365838</v>
      </c>
      <c r="BB116" s="527">
        <f t="shared" si="180"/>
        <v>265.60151785365838</v>
      </c>
      <c r="BC116" s="527">
        <f t="shared" si="180"/>
        <v>265.60151785365838</v>
      </c>
      <c r="BD116" s="527">
        <f t="shared" si="180"/>
        <v>265.60151785365838</v>
      </c>
      <c r="BE116" s="527">
        <f t="shared" si="180"/>
        <v>265.60151785365838</v>
      </c>
      <c r="BF116" s="527">
        <f t="shared" si="180"/>
        <v>265.60151785365838</v>
      </c>
      <c r="BG116" s="527">
        <f t="shared" si="180"/>
        <v>265.60151785365838</v>
      </c>
      <c r="BH116" s="527">
        <f t="shared" si="180"/>
        <v>265.60151785365838</v>
      </c>
      <c r="BI116" s="527">
        <f t="shared" si="180"/>
        <v>265.60151785365838</v>
      </c>
      <c r="BJ116" s="527">
        <f t="shared" si="180"/>
        <v>265.60151785365838</v>
      </c>
      <c r="BK116" s="527">
        <f t="shared" si="180"/>
        <v>265.60151785365838</v>
      </c>
      <c r="BL116" s="527">
        <f t="shared" si="180"/>
        <v>265.60151785365838</v>
      </c>
      <c r="BM116" s="527">
        <f t="shared" si="180"/>
        <v>265.60151785365838</v>
      </c>
      <c r="BN116" s="527">
        <f t="shared" si="180"/>
        <v>265.60151785365838</v>
      </c>
      <c r="BO116" s="527">
        <f t="shared" si="180"/>
        <v>265.60151785365838</v>
      </c>
      <c r="BP116" s="527">
        <f t="shared" si="180"/>
        <v>265.60151785365838</v>
      </c>
      <c r="BQ116" s="527">
        <f t="shared" si="180"/>
        <v>265.60151785365838</v>
      </c>
      <c r="BR116" s="527">
        <f t="shared" si="180"/>
        <v>265.60151785365838</v>
      </c>
      <c r="BS116" s="527">
        <f t="shared" si="180"/>
        <v>265.60151785365838</v>
      </c>
      <c r="BT116" s="527">
        <f t="shared" si="180"/>
        <v>265.60151785365838</v>
      </c>
      <c r="BU116" s="527">
        <f t="shared" si="180"/>
        <v>265.60151785365838</v>
      </c>
      <c r="BV116" s="527">
        <f t="shared" si="180"/>
        <v>265.60151785365838</v>
      </c>
      <c r="BW116" s="527">
        <f t="shared" si="180"/>
        <v>265.60151785365838</v>
      </c>
      <c r="BX116" s="527">
        <f t="shared" si="180"/>
        <v>265.60151785365838</v>
      </c>
      <c r="BY116" s="527">
        <f t="shared" si="180"/>
        <v>265.60151785365838</v>
      </c>
      <c r="BZ116" s="537"/>
      <c r="CA116" s="537"/>
      <c r="CB116" s="574"/>
    </row>
    <row r="117" spans="1:80" x14ac:dyDescent="0.3">
      <c r="A117" s="551"/>
      <c r="B117" s="548"/>
      <c r="C117" s="525"/>
      <c r="D117" s="525"/>
      <c r="E117" s="572" t="s">
        <v>32</v>
      </c>
      <c r="F117" s="573"/>
      <c r="G117" s="573"/>
      <c r="H117" s="573"/>
      <c r="I117" s="532">
        <f t="shared" si="172"/>
        <v>7252.0858523750194</v>
      </c>
      <c r="J117" s="532">
        <f t="shared" si="172"/>
        <v>7252.0858523750185</v>
      </c>
      <c r="K117" s="532">
        <f t="shared" si="172"/>
        <v>7252.0858523750185</v>
      </c>
      <c r="L117" s="532">
        <f t="shared" si="172"/>
        <v>7252.0858523750185</v>
      </c>
      <c r="M117" s="532">
        <f t="shared" si="172"/>
        <v>7252.0858523750185</v>
      </c>
      <c r="N117" s="532">
        <f t="shared" si="172"/>
        <v>7252.0858523750185</v>
      </c>
      <c r="O117" s="536"/>
      <c r="P117" s="568">
        <f>IFERROR(((N117/I117)^(1/5))-1,0)</f>
        <v>0</v>
      </c>
      <c r="Q117" s="537"/>
      <c r="R117" s="532">
        <f t="shared" ref="R117:AW117" si="181">R52/R$82</f>
        <v>604.34048769791832</v>
      </c>
      <c r="S117" s="530">
        <f t="shared" si="181"/>
        <v>604.34048769791832</v>
      </c>
      <c r="T117" s="532">
        <f t="shared" si="181"/>
        <v>604.34048769791832</v>
      </c>
      <c r="U117" s="532">
        <f t="shared" si="181"/>
        <v>604.34048769791832</v>
      </c>
      <c r="V117" s="532">
        <f t="shared" si="181"/>
        <v>604.34048769791832</v>
      </c>
      <c r="W117" s="532">
        <f t="shared" si="181"/>
        <v>604.34048769791832</v>
      </c>
      <c r="X117" s="532">
        <f t="shared" si="181"/>
        <v>604.34048769791832</v>
      </c>
      <c r="Y117" s="532">
        <f t="shared" si="181"/>
        <v>604.34048769791832</v>
      </c>
      <c r="Z117" s="532">
        <f t="shared" si="181"/>
        <v>604.34048769791832</v>
      </c>
      <c r="AA117" s="532">
        <f t="shared" si="181"/>
        <v>604.34048769791832</v>
      </c>
      <c r="AB117" s="532">
        <f t="shared" si="181"/>
        <v>604.34048769791832</v>
      </c>
      <c r="AC117" s="532">
        <f t="shared" si="181"/>
        <v>604.34048769791832</v>
      </c>
      <c r="AD117" s="532">
        <f t="shared" si="181"/>
        <v>604.34048769791832</v>
      </c>
      <c r="AE117" s="532">
        <f t="shared" si="181"/>
        <v>604.34048769791832</v>
      </c>
      <c r="AF117" s="532">
        <f t="shared" si="181"/>
        <v>604.34048769791832</v>
      </c>
      <c r="AG117" s="532">
        <f t="shared" si="181"/>
        <v>604.34048769791832</v>
      </c>
      <c r="AH117" s="532">
        <f t="shared" si="181"/>
        <v>604.34048769791832</v>
      </c>
      <c r="AI117" s="532">
        <f t="shared" si="181"/>
        <v>604.34048769791832</v>
      </c>
      <c r="AJ117" s="532">
        <f t="shared" si="181"/>
        <v>604.34048769791832</v>
      </c>
      <c r="AK117" s="532">
        <f t="shared" si="181"/>
        <v>604.34048769791832</v>
      </c>
      <c r="AL117" s="532">
        <f t="shared" si="181"/>
        <v>604.34048769791832</v>
      </c>
      <c r="AM117" s="532">
        <f t="shared" si="181"/>
        <v>604.34048769791832</v>
      </c>
      <c r="AN117" s="532">
        <f t="shared" si="181"/>
        <v>604.34048769791832</v>
      </c>
      <c r="AO117" s="532">
        <f t="shared" si="181"/>
        <v>604.34048769791832</v>
      </c>
      <c r="AP117" s="532">
        <f t="shared" si="181"/>
        <v>604.34048769791832</v>
      </c>
      <c r="AQ117" s="532">
        <f t="shared" si="181"/>
        <v>604.34048769791832</v>
      </c>
      <c r="AR117" s="532">
        <f t="shared" si="181"/>
        <v>604.34048769791832</v>
      </c>
      <c r="AS117" s="532">
        <f t="shared" si="181"/>
        <v>604.34048769791832</v>
      </c>
      <c r="AT117" s="532">
        <f t="shared" si="181"/>
        <v>604.34048769791832</v>
      </c>
      <c r="AU117" s="532">
        <f t="shared" si="181"/>
        <v>604.34048769791832</v>
      </c>
      <c r="AV117" s="532">
        <f t="shared" si="181"/>
        <v>604.34048769791832</v>
      </c>
      <c r="AW117" s="532">
        <f t="shared" si="181"/>
        <v>604.34048769791832</v>
      </c>
      <c r="AX117" s="532">
        <f t="shared" ref="AX117:BY117" si="182">AX52/AX$82</f>
        <v>604.34048769791832</v>
      </c>
      <c r="AY117" s="532">
        <f t="shared" si="182"/>
        <v>604.34048769791832</v>
      </c>
      <c r="AZ117" s="532">
        <f t="shared" si="182"/>
        <v>604.34048769791832</v>
      </c>
      <c r="BA117" s="532">
        <f t="shared" si="182"/>
        <v>604.34048769791832</v>
      </c>
      <c r="BB117" s="532">
        <f t="shared" si="182"/>
        <v>604.34048769791832</v>
      </c>
      <c r="BC117" s="532">
        <f t="shared" si="182"/>
        <v>604.34048769791832</v>
      </c>
      <c r="BD117" s="532">
        <f t="shared" si="182"/>
        <v>604.34048769791832</v>
      </c>
      <c r="BE117" s="532">
        <f t="shared" si="182"/>
        <v>604.34048769791832</v>
      </c>
      <c r="BF117" s="532">
        <f t="shared" si="182"/>
        <v>604.34048769791832</v>
      </c>
      <c r="BG117" s="532">
        <f t="shared" si="182"/>
        <v>604.34048769791832</v>
      </c>
      <c r="BH117" s="532">
        <f t="shared" si="182"/>
        <v>604.34048769791832</v>
      </c>
      <c r="BI117" s="532">
        <f t="shared" si="182"/>
        <v>604.34048769791832</v>
      </c>
      <c r="BJ117" s="532">
        <f t="shared" si="182"/>
        <v>604.34048769791832</v>
      </c>
      <c r="BK117" s="532">
        <f t="shared" si="182"/>
        <v>604.34048769791832</v>
      </c>
      <c r="BL117" s="532">
        <f t="shared" si="182"/>
        <v>604.34048769791832</v>
      </c>
      <c r="BM117" s="532">
        <f t="shared" si="182"/>
        <v>604.34048769791832</v>
      </c>
      <c r="BN117" s="532">
        <f t="shared" si="182"/>
        <v>604.34048769791832</v>
      </c>
      <c r="BO117" s="532">
        <f t="shared" si="182"/>
        <v>604.34048769791832</v>
      </c>
      <c r="BP117" s="532">
        <f t="shared" si="182"/>
        <v>604.34048769791832</v>
      </c>
      <c r="BQ117" s="532">
        <f t="shared" si="182"/>
        <v>604.34048769791832</v>
      </c>
      <c r="BR117" s="532">
        <f t="shared" si="182"/>
        <v>604.34048769791832</v>
      </c>
      <c r="BS117" s="532">
        <f t="shared" si="182"/>
        <v>604.34048769791832</v>
      </c>
      <c r="BT117" s="532">
        <f t="shared" si="182"/>
        <v>604.34048769791832</v>
      </c>
      <c r="BU117" s="532">
        <f t="shared" si="182"/>
        <v>604.34048769791832</v>
      </c>
      <c r="BV117" s="532">
        <f t="shared" si="182"/>
        <v>604.34048769791832</v>
      </c>
      <c r="BW117" s="532">
        <f t="shared" si="182"/>
        <v>604.34048769791832</v>
      </c>
      <c r="BX117" s="532">
        <f t="shared" si="182"/>
        <v>604.34048769791832</v>
      </c>
      <c r="BY117" s="532">
        <f t="shared" si="182"/>
        <v>604.34048769791832</v>
      </c>
      <c r="BZ117" s="537"/>
      <c r="CA117" s="537"/>
      <c r="CB117" s="574"/>
    </row>
    <row r="118" spans="1:80" x14ac:dyDescent="0.3">
      <c r="A118" s="551"/>
      <c r="B118" s="548"/>
      <c r="C118" s="525"/>
      <c r="D118" s="525"/>
      <c r="E118" s="525"/>
      <c r="F118" s="529"/>
      <c r="G118" s="529"/>
      <c r="H118" s="529"/>
      <c r="I118" s="529"/>
      <c r="J118" s="529"/>
      <c r="K118" s="529"/>
      <c r="L118" s="529"/>
      <c r="M118" s="529"/>
      <c r="N118" s="529"/>
      <c r="O118" s="529"/>
      <c r="P118" s="562"/>
      <c r="Q118" s="537"/>
      <c r="R118" s="529"/>
      <c r="S118" s="529"/>
      <c r="T118" s="529"/>
      <c r="U118" s="529"/>
      <c r="V118" s="529"/>
      <c r="W118" s="529"/>
      <c r="X118" s="529"/>
      <c r="Y118" s="529"/>
      <c r="Z118" s="529"/>
      <c r="AA118" s="529"/>
      <c r="AB118" s="529"/>
      <c r="AC118" s="529"/>
      <c r="AD118" s="529"/>
      <c r="AE118" s="529"/>
      <c r="AF118" s="529"/>
      <c r="AG118" s="529"/>
      <c r="AH118" s="529"/>
      <c r="AI118" s="529"/>
      <c r="AJ118" s="529"/>
      <c r="AK118" s="529"/>
      <c r="AL118" s="529"/>
      <c r="AM118" s="529"/>
      <c r="AN118" s="529"/>
      <c r="AO118" s="529"/>
      <c r="AP118" s="529"/>
      <c r="AQ118" s="529"/>
      <c r="AR118" s="529"/>
      <c r="AS118" s="529"/>
      <c r="AT118" s="529"/>
      <c r="AU118" s="529"/>
      <c r="AV118" s="529"/>
      <c r="AW118" s="529"/>
      <c r="AX118" s="529"/>
      <c r="AY118" s="529"/>
      <c r="AZ118" s="529"/>
      <c r="BA118" s="529"/>
      <c r="BB118" s="529"/>
      <c r="BC118" s="529"/>
      <c r="BD118" s="529"/>
      <c r="BE118" s="529"/>
      <c r="BF118" s="529"/>
      <c r="BG118" s="529"/>
      <c r="BH118" s="529"/>
      <c r="BI118" s="529"/>
      <c r="BJ118" s="529"/>
      <c r="BK118" s="529"/>
      <c r="BL118" s="529"/>
      <c r="BM118" s="529"/>
      <c r="BN118" s="529"/>
      <c r="BO118" s="529"/>
      <c r="BP118" s="529"/>
      <c r="BQ118" s="529"/>
      <c r="BR118" s="529"/>
      <c r="BS118" s="529"/>
      <c r="BT118" s="529"/>
      <c r="BU118" s="529"/>
      <c r="BV118" s="529"/>
      <c r="BW118" s="529"/>
      <c r="BX118" s="529"/>
      <c r="BY118" s="529"/>
      <c r="BZ118" s="537"/>
      <c r="CA118" s="537"/>
      <c r="CB118" s="537"/>
    </row>
    <row r="119" spans="1:80" x14ac:dyDescent="0.3">
      <c r="A119" s="551"/>
      <c r="B119" s="548"/>
      <c r="C119" s="525"/>
      <c r="D119" s="525"/>
      <c r="E119" s="578" t="s">
        <v>33</v>
      </c>
      <c r="F119" s="579"/>
      <c r="G119" s="579"/>
      <c r="H119" s="579"/>
      <c r="I119" s="534">
        <f t="shared" ref="I119:N119" si="183">I54/I$82</f>
        <v>104388.49395227392</v>
      </c>
      <c r="J119" s="534">
        <f t="shared" si="183"/>
        <v>109972.07410200953</v>
      </c>
      <c r="K119" s="534">
        <f t="shared" si="183"/>
        <v>116588.91308866689</v>
      </c>
      <c r="L119" s="534">
        <f t="shared" si="183"/>
        <v>123365.11301477932</v>
      </c>
      <c r="M119" s="534">
        <f t="shared" si="183"/>
        <v>130284.00079303443</v>
      </c>
      <c r="N119" s="535">
        <f t="shared" si="183"/>
        <v>137540.56652392837</v>
      </c>
      <c r="O119" s="536"/>
      <c r="P119" s="568">
        <f>IFERROR(((N119/I119)^(1/5))-1,0)</f>
        <v>5.6709557333616933E-2</v>
      </c>
      <c r="Q119" s="537"/>
      <c r="R119" s="535">
        <f t="shared" ref="R119:AW119" si="184">R54/R$82</f>
        <v>9059.6227430103627</v>
      </c>
      <c r="S119" s="535">
        <f t="shared" si="184"/>
        <v>9059.6227430103627</v>
      </c>
      <c r="T119" s="534">
        <f t="shared" si="184"/>
        <v>9059.6227430103627</v>
      </c>
      <c r="U119" s="534">
        <f t="shared" si="184"/>
        <v>9059.6227430103627</v>
      </c>
      <c r="V119" s="534">
        <f t="shared" si="184"/>
        <v>9059.6227430103627</v>
      </c>
      <c r="W119" s="534">
        <f t="shared" si="184"/>
        <v>9059.6227430103627</v>
      </c>
      <c r="X119" s="534">
        <f t="shared" si="184"/>
        <v>9269.0562739912311</v>
      </c>
      <c r="Y119" s="534">
        <f t="shared" si="184"/>
        <v>9269.0562739912311</v>
      </c>
      <c r="Z119" s="534">
        <f t="shared" si="184"/>
        <v>9269.0562739912311</v>
      </c>
      <c r="AA119" s="534">
        <f t="shared" si="184"/>
        <v>9269.0562739912311</v>
      </c>
      <c r="AB119" s="534">
        <f t="shared" si="184"/>
        <v>9269.0562739912311</v>
      </c>
      <c r="AC119" s="534">
        <f t="shared" si="184"/>
        <v>9269.0562739912311</v>
      </c>
      <c r="AD119" s="534">
        <f t="shared" si="184"/>
        <v>9579.8124241670102</v>
      </c>
      <c r="AE119" s="534">
        <f t="shared" si="184"/>
        <v>9579.8124241670102</v>
      </c>
      <c r="AF119" s="534">
        <f t="shared" si="184"/>
        <v>9579.8124241670102</v>
      </c>
      <c r="AG119" s="534">
        <f t="shared" si="184"/>
        <v>9579.8124241670102</v>
      </c>
      <c r="AH119" s="534">
        <f t="shared" si="184"/>
        <v>9579.8124241670102</v>
      </c>
      <c r="AI119" s="534">
        <f t="shared" si="184"/>
        <v>9579.8124241670102</v>
      </c>
      <c r="AJ119" s="534">
        <f t="shared" si="184"/>
        <v>9851.673090610806</v>
      </c>
      <c r="AK119" s="534">
        <f t="shared" si="184"/>
        <v>9851.673090610806</v>
      </c>
      <c r="AL119" s="534">
        <f t="shared" si="184"/>
        <v>9851.673090610806</v>
      </c>
      <c r="AM119" s="534">
        <f t="shared" si="184"/>
        <v>9851.673090610806</v>
      </c>
      <c r="AN119" s="534">
        <f t="shared" si="184"/>
        <v>9851.673090610806</v>
      </c>
      <c r="AO119" s="534">
        <f t="shared" si="184"/>
        <v>9851.673090610806</v>
      </c>
      <c r="AP119" s="534">
        <f t="shared" si="184"/>
        <v>10111.159837594205</v>
      </c>
      <c r="AQ119" s="534">
        <f t="shared" si="184"/>
        <v>10111.159837594205</v>
      </c>
      <c r="AR119" s="534">
        <f t="shared" si="184"/>
        <v>10111.159837594205</v>
      </c>
      <c r="AS119" s="534">
        <f t="shared" si="184"/>
        <v>10111.159837594205</v>
      </c>
      <c r="AT119" s="534">
        <f t="shared" si="184"/>
        <v>10111.159837594205</v>
      </c>
      <c r="AU119" s="534">
        <f t="shared" si="184"/>
        <v>10111.159837594205</v>
      </c>
      <c r="AV119" s="534">
        <f t="shared" si="184"/>
        <v>10449.692331535687</v>
      </c>
      <c r="AW119" s="534">
        <f t="shared" si="184"/>
        <v>10449.692331535687</v>
      </c>
      <c r="AX119" s="534">
        <f t="shared" ref="AX119:BY119" si="185">AX54/AX$82</f>
        <v>10449.692331535687</v>
      </c>
      <c r="AY119" s="534">
        <f t="shared" si="185"/>
        <v>10449.692331535687</v>
      </c>
      <c r="AZ119" s="534">
        <f t="shared" si="185"/>
        <v>10449.692331535687</v>
      </c>
      <c r="BA119" s="534">
        <f t="shared" si="185"/>
        <v>10449.692331535687</v>
      </c>
      <c r="BB119" s="534">
        <f t="shared" si="185"/>
        <v>10652.229038039612</v>
      </c>
      <c r="BC119" s="534">
        <f t="shared" si="185"/>
        <v>10652.229038039612</v>
      </c>
      <c r="BD119" s="534">
        <f t="shared" si="185"/>
        <v>10652.229038039612</v>
      </c>
      <c r="BE119" s="534">
        <f t="shared" si="185"/>
        <v>10652.229038039612</v>
      </c>
      <c r="BF119" s="534">
        <f t="shared" si="185"/>
        <v>10652.229038039612</v>
      </c>
      <c r="BG119" s="534">
        <f t="shared" si="185"/>
        <v>10652.229038039612</v>
      </c>
      <c r="BH119" s="534">
        <f t="shared" si="185"/>
        <v>11061.771094132791</v>
      </c>
      <c r="BI119" s="534">
        <f t="shared" si="185"/>
        <v>11061.771094132791</v>
      </c>
      <c r="BJ119" s="534">
        <f t="shared" si="185"/>
        <v>11061.771094132791</v>
      </c>
      <c r="BK119" s="534">
        <f t="shared" si="185"/>
        <v>11061.771094132791</v>
      </c>
      <c r="BL119" s="534">
        <f t="shared" si="185"/>
        <v>11061.771094132791</v>
      </c>
      <c r="BM119" s="534">
        <f t="shared" si="185"/>
        <v>11061.771094132791</v>
      </c>
      <c r="BN119" s="534">
        <f t="shared" si="185"/>
        <v>11219.163641241023</v>
      </c>
      <c r="BO119" s="534">
        <f t="shared" si="185"/>
        <v>11219.163641241023</v>
      </c>
      <c r="BP119" s="534">
        <f t="shared" si="185"/>
        <v>11219.163641241023</v>
      </c>
      <c r="BQ119" s="534">
        <f t="shared" si="185"/>
        <v>11219.163641241023</v>
      </c>
      <c r="BR119" s="534">
        <f t="shared" si="185"/>
        <v>11219.163641241023</v>
      </c>
      <c r="BS119" s="534">
        <f t="shared" si="185"/>
        <v>11219.163641241023</v>
      </c>
      <c r="BT119" s="534">
        <f t="shared" si="185"/>
        <v>11704.264112747045</v>
      </c>
      <c r="BU119" s="534">
        <f t="shared" si="185"/>
        <v>11704.264112747045</v>
      </c>
      <c r="BV119" s="534">
        <f t="shared" si="185"/>
        <v>11704.264112747045</v>
      </c>
      <c r="BW119" s="534">
        <f t="shared" si="185"/>
        <v>11704.264112747045</v>
      </c>
      <c r="BX119" s="534">
        <f t="shared" si="185"/>
        <v>11704.264112747045</v>
      </c>
      <c r="BY119" s="534">
        <f t="shared" si="185"/>
        <v>11704.264112747045</v>
      </c>
      <c r="BZ119" s="537"/>
      <c r="CA119" s="537"/>
      <c r="CB119" s="574"/>
    </row>
    <row r="120" spans="1:80" x14ac:dyDescent="0.3">
      <c r="A120" s="551"/>
      <c r="B120" s="548"/>
      <c r="C120" s="525"/>
      <c r="D120" s="525"/>
      <c r="E120" s="525"/>
      <c r="F120" s="529"/>
      <c r="G120" s="529"/>
      <c r="H120" s="529"/>
      <c r="I120" s="529"/>
      <c r="J120" s="529"/>
      <c r="K120" s="529"/>
      <c r="L120" s="529"/>
      <c r="M120" s="529"/>
      <c r="N120" s="529"/>
      <c r="O120" s="529"/>
      <c r="P120" s="562"/>
      <c r="Q120" s="537"/>
      <c r="R120" s="529"/>
      <c r="S120" s="529"/>
      <c r="T120" s="529"/>
      <c r="U120" s="529"/>
      <c r="V120" s="529"/>
      <c r="W120" s="529"/>
      <c r="X120" s="529"/>
      <c r="Y120" s="529"/>
      <c r="Z120" s="529"/>
      <c r="AA120" s="529"/>
      <c r="AB120" s="529"/>
      <c r="AC120" s="529"/>
      <c r="AD120" s="529"/>
      <c r="AE120" s="529"/>
      <c r="AF120" s="529"/>
      <c r="AG120" s="529"/>
      <c r="AH120" s="529"/>
      <c r="AI120" s="529"/>
      <c r="AJ120" s="529"/>
      <c r="AK120" s="529"/>
      <c r="AL120" s="529"/>
      <c r="AM120" s="529"/>
      <c r="AN120" s="529"/>
      <c r="AO120" s="529"/>
      <c r="AP120" s="529"/>
      <c r="AQ120" s="529"/>
      <c r="AR120" s="529"/>
      <c r="AS120" s="529"/>
      <c r="AT120" s="529"/>
      <c r="AU120" s="529"/>
      <c r="AV120" s="529"/>
      <c r="AW120" s="529"/>
      <c r="AX120" s="529"/>
      <c r="AY120" s="529"/>
      <c r="AZ120" s="529"/>
      <c r="BA120" s="529"/>
      <c r="BB120" s="529"/>
      <c r="BC120" s="529"/>
      <c r="BD120" s="529"/>
      <c r="BE120" s="529"/>
      <c r="BF120" s="529"/>
      <c r="BG120" s="529"/>
      <c r="BH120" s="529"/>
      <c r="BI120" s="529"/>
      <c r="BJ120" s="529"/>
      <c r="BK120" s="529"/>
      <c r="BL120" s="529"/>
      <c r="BM120" s="529"/>
      <c r="BN120" s="529"/>
      <c r="BO120" s="529"/>
      <c r="BP120" s="529"/>
      <c r="BQ120" s="529"/>
      <c r="BR120" s="529"/>
      <c r="BS120" s="529"/>
      <c r="BT120" s="529"/>
      <c r="BU120" s="529"/>
      <c r="BV120" s="529"/>
      <c r="BW120" s="529"/>
      <c r="BX120" s="529"/>
      <c r="BY120" s="529"/>
      <c r="BZ120" s="537"/>
      <c r="CA120" s="537"/>
      <c r="CB120" s="537"/>
    </row>
    <row r="121" spans="1:80" x14ac:dyDescent="0.3">
      <c r="A121" s="551"/>
      <c r="B121" s="548"/>
      <c r="C121" s="525"/>
      <c r="D121" s="525"/>
      <c r="E121" s="570" t="s">
        <v>51</v>
      </c>
      <c r="F121" s="529"/>
      <c r="G121" s="529"/>
      <c r="H121" s="529"/>
      <c r="I121" s="529"/>
      <c r="J121" s="529"/>
      <c r="K121" s="529"/>
      <c r="L121" s="529"/>
      <c r="M121" s="529"/>
      <c r="N121" s="529"/>
      <c r="O121" s="529"/>
      <c r="P121" s="562"/>
      <c r="Q121" s="537"/>
      <c r="R121" s="529"/>
      <c r="S121" s="529"/>
      <c r="T121" s="529"/>
      <c r="U121" s="529"/>
      <c r="V121" s="529"/>
      <c r="W121" s="529"/>
      <c r="X121" s="529"/>
      <c r="Y121" s="529"/>
      <c r="Z121" s="529"/>
      <c r="AA121" s="529"/>
      <c r="AB121" s="529"/>
      <c r="AC121" s="529"/>
      <c r="AD121" s="529"/>
      <c r="AE121" s="529"/>
      <c r="AF121" s="529"/>
      <c r="AG121" s="529"/>
      <c r="AH121" s="529"/>
      <c r="AI121" s="529"/>
      <c r="AJ121" s="529"/>
      <c r="AK121" s="529"/>
      <c r="AL121" s="529"/>
      <c r="AM121" s="529"/>
      <c r="AN121" s="529"/>
      <c r="AO121" s="529"/>
      <c r="AP121" s="529"/>
      <c r="AQ121" s="529"/>
      <c r="AR121" s="529"/>
      <c r="AS121" s="529"/>
      <c r="AT121" s="529"/>
      <c r="AU121" s="529"/>
      <c r="AV121" s="529"/>
      <c r="AW121" s="529"/>
      <c r="AX121" s="529"/>
      <c r="AY121" s="529"/>
      <c r="AZ121" s="529"/>
      <c r="BA121" s="529"/>
      <c r="BB121" s="529"/>
      <c r="BC121" s="529"/>
      <c r="BD121" s="529"/>
      <c r="BE121" s="529"/>
      <c r="BF121" s="529"/>
      <c r="BG121" s="529"/>
      <c r="BH121" s="529"/>
      <c r="BI121" s="529"/>
      <c r="BJ121" s="529"/>
      <c r="BK121" s="529"/>
      <c r="BL121" s="529"/>
      <c r="BM121" s="529"/>
      <c r="BN121" s="529"/>
      <c r="BO121" s="529"/>
      <c r="BP121" s="529"/>
      <c r="BQ121" s="529"/>
      <c r="BR121" s="529"/>
      <c r="BS121" s="529"/>
      <c r="BT121" s="529"/>
      <c r="BU121" s="529"/>
      <c r="BV121" s="529"/>
      <c r="BW121" s="529"/>
      <c r="BX121" s="529"/>
      <c r="BY121" s="529"/>
      <c r="BZ121" s="537"/>
      <c r="CA121" s="537"/>
      <c r="CB121" s="537"/>
    </row>
    <row r="122" spans="1:80" x14ac:dyDescent="0.3">
      <c r="A122" s="551"/>
      <c r="B122" s="548"/>
      <c r="C122" s="525"/>
      <c r="D122" s="525"/>
      <c r="E122" s="525" t="s">
        <v>19</v>
      </c>
      <c r="F122" s="567"/>
      <c r="G122" s="567"/>
      <c r="H122" s="567"/>
      <c r="I122" s="527">
        <f t="shared" ref="I122:N124" si="186">I57/I$82</f>
        <v>-1941.1695317073174</v>
      </c>
      <c r="J122" s="527">
        <f t="shared" si="186"/>
        <v>-1979.9929223414633</v>
      </c>
      <c r="K122" s="527">
        <f t="shared" si="186"/>
        <v>-2019.5927807882931</v>
      </c>
      <c r="L122" s="527">
        <f t="shared" si="186"/>
        <v>-2059.9846364040586</v>
      </c>
      <c r="M122" s="527">
        <f t="shared" si="186"/>
        <v>-2101.1843291321402</v>
      </c>
      <c r="N122" s="527">
        <f t="shared" si="186"/>
        <v>-2143.208015714783</v>
      </c>
      <c r="O122" s="529"/>
      <c r="P122" s="564">
        <f>IFERROR(((N122/I122)^(1/5))-1,0)</f>
        <v>2.0000000000000018E-2</v>
      </c>
      <c r="Q122" s="537"/>
      <c r="R122" s="527">
        <f t="shared" ref="R122:AW122" si="187">R57/R$82</f>
        <v>-164.99941019512198</v>
      </c>
      <c r="S122" s="527">
        <f t="shared" si="187"/>
        <v>-164.99941019512198</v>
      </c>
      <c r="T122" s="527">
        <f t="shared" si="187"/>
        <v>-164.99941019512198</v>
      </c>
      <c r="U122" s="527">
        <f t="shared" si="187"/>
        <v>-164.99941019512198</v>
      </c>
      <c r="V122" s="527">
        <f t="shared" si="187"/>
        <v>-164.99941019512198</v>
      </c>
      <c r="W122" s="527">
        <f t="shared" si="187"/>
        <v>-164.99941019512198</v>
      </c>
      <c r="X122" s="527">
        <f t="shared" si="187"/>
        <v>-164.99941019512198</v>
      </c>
      <c r="Y122" s="527">
        <f t="shared" si="187"/>
        <v>-164.99941019512198</v>
      </c>
      <c r="Z122" s="527">
        <f t="shared" si="187"/>
        <v>-164.99941019512198</v>
      </c>
      <c r="AA122" s="527">
        <f t="shared" si="187"/>
        <v>-164.99941019512198</v>
      </c>
      <c r="AB122" s="527">
        <f t="shared" si="187"/>
        <v>-164.99941019512198</v>
      </c>
      <c r="AC122" s="527">
        <f t="shared" si="187"/>
        <v>-164.99941019512198</v>
      </c>
      <c r="AD122" s="527">
        <f t="shared" si="187"/>
        <v>-168.29939839902443</v>
      </c>
      <c r="AE122" s="527">
        <f t="shared" si="187"/>
        <v>-168.29939839902443</v>
      </c>
      <c r="AF122" s="527">
        <f t="shared" si="187"/>
        <v>-168.29939839902443</v>
      </c>
      <c r="AG122" s="527">
        <f t="shared" si="187"/>
        <v>-168.29939839902443</v>
      </c>
      <c r="AH122" s="527">
        <f t="shared" si="187"/>
        <v>-168.29939839902443</v>
      </c>
      <c r="AI122" s="527">
        <f t="shared" si="187"/>
        <v>-168.29939839902443</v>
      </c>
      <c r="AJ122" s="527">
        <f t="shared" si="187"/>
        <v>-168.29939839902443</v>
      </c>
      <c r="AK122" s="527">
        <f t="shared" si="187"/>
        <v>-168.29939839902443</v>
      </c>
      <c r="AL122" s="527">
        <f t="shared" si="187"/>
        <v>-168.29939839902443</v>
      </c>
      <c r="AM122" s="527">
        <f t="shared" si="187"/>
        <v>-168.29939839902443</v>
      </c>
      <c r="AN122" s="527">
        <f t="shared" si="187"/>
        <v>-168.29939839902443</v>
      </c>
      <c r="AO122" s="527">
        <f t="shared" si="187"/>
        <v>-168.29939839902443</v>
      </c>
      <c r="AP122" s="527">
        <f t="shared" si="187"/>
        <v>-171.66538636700491</v>
      </c>
      <c r="AQ122" s="527">
        <f t="shared" si="187"/>
        <v>-171.66538636700491</v>
      </c>
      <c r="AR122" s="527">
        <f t="shared" si="187"/>
        <v>-171.66538636700491</v>
      </c>
      <c r="AS122" s="527">
        <f t="shared" si="187"/>
        <v>-171.66538636700491</v>
      </c>
      <c r="AT122" s="527">
        <f t="shared" si="187"/>
        <v>-171.66538636700491</v>
      </c>
      <c r="AU122" s="527">
        <f t="shared" si="187"/>
        <v>-171.66538636700491</v>
      </c>
      <c r="AV122" s="527">
        <f t="shared" si="187"/>
        <v>-171.66538636700491</v>
      </c>
      <c r="AW122" s="527">
        <f t="shared" si="187"/>
        <v>-171.66538636700491</v>
      </c>
      <c r="AX122" s="527">
        <f t="shared" ref="AX122:BY122" si="188">AX57/AX$82</f>
        <v>-171.66538636700491</v>
      </c>
      <c r="AY122" s="527">
        <f t="shared" si="188"/>
        <v>-171.66538636700491</v>
      </c>
      <c r="AZ122" s="527">
        <f t="shared" si="188"/>
        <v>-171.66538636700491</v>
      </c>
      <c r="BA122" s="527">
        <f t="shared" si="188"/>
        <v>-171.66538636700491</v>
      </c>
      <c r="BB122" s="527">
        <f t="shared" si="188"/>
        <v>-175.09869409434498</v>
      </c>
      <c r="BC122" s="527">
        <f t="shared" si="188"/>
        <v>-175.09869409434498</v>
      </c>
      <c r="BD122" s="527">
        <f t="shared" si="188"/>
        <v>-175.09869409434498</v>
      </c>
      <c r="BE122" s="527">
        <f t="shared" si="188"/>
        <v>-175.09869409434498</v>
      </c>
      <c r="BF122" s="527">
        <f t="shared" si="188"/>
        <v>-175.09869409434498</v>
      </c>
      <c r="BG122" s="527">
        <f t="shared" si="188"/>
        <v>-175.09869409434498</v>
      </c>
      <c r="BH122" s="527">
        <f t="shared" si="188"/>
        <v>-175.09869409434498</v>
      </c>
      <c r="BI122" s="527">
        <f t="shared" si="188"/>
        <v>-175.09869409434498</v>
      </c>
      <c r="BJ122" s="527">
        <f t="shared" si="188"/>
        <v>-175.09869409434498</v>
      </c>
      <c r="BK122" s="527">
        <f t="shared" si="188"/>
        <v>-175.09869409434498</v>
      </c>
      <c r="BL122" s="527">
        <f t="shared" si="188"/>
        <v>-175.09869409434498</v>
      </c>
      <c r="BM122" s="527">
        <f t="shared" si="188"/>
        <v>-175.09869409434498</v>
      </c>
      <c r="BN122" s="527">
        <f t="shared" si="188"/>
        <v>-178.60066797623193</v>
      </c>
      <c r="BO122" s="527">
        <f t="shared" si="188"/>
        <v>-178.60066797623193</v>
      </c>
      <c r="BP122" s="527">
        <f t="shared" si="188"/>
        <v>-178.60066797623193</v>
      </c>
      <c r="BQ122" s="527">
        <f t="shared" si="188"/>
        <v>-178.60066797623193</v>
      </c>
      <c r="BR122" s="527">
        <f t="shared" si="188"/>
        <v>-178.60066797623193</v>
      </c>
      <c r="BS122" s="527">
        <f t="shared" si="188"/>
        <v>-178.60066797623193</v>
      </c>
      <c r="BT122" s="527">
        <f t="shared" si="188"/>
        <v>-178.60066797623193</v>
      </c>
      <c r="BU122" s="527">
        <f t="shared" si="188"/>
        <v>-178.60066797623193</v>
      </c>
      <c r="BV122" s="527">
        <f t="shared" si="188"/>
        <v>-178.60066797623193</v>
      </c>
      <c r="BW122" s="527">
        <f t="shared" si="188"/>
        <v>-178.60066797623193</v>
      </c>
      <c r="BX122" s="527">
        <f t="shared" si="188"/>
        <v>-178.60066797623193</v>
      </c>
      <c r="BY122" s="527">
        <f t="shared" si="188"/>
        <v>-178.60066797623193</v>
      </c>
      <c r="BZ122" s="537"/>
      <c r="CA122" s="537"/>
      <c r="CB122" s="574"/>
    </row>
    <row r="123" spans="1:80" x14ac:dyDescent="0.3">
      <c r="A123" s="551"/>
      <c r="B123" s="548"/>
      <c r="C123" s="525"/>
      <c r="D123" s="525"/>
      <c r="E123" s="525" t="s">
        <v>20</v>
      </c>
      <c r="F123" s="567"/>
      <c r="G123" s="567"/>
      <c r="H123" s="567"/>
      <c r="I123" s="527">
        <f t="shared" si="186"/>
        <v>-341.692580487805</v>
      </c>
      <c r="J123" s="527">
        <f t="shared" si="186"/>
        <v>-348.52643209756116</v>
      </c>
      <c r="K123" s="527">
        <f t="shared" si="186"/>
        <v>-355.49696073951219</v>
      </c>
      <c r="L123" s="527">
        <f t="shared" si="186"/>
        <v>-362.60689995430266</v>
      </c>
      <c r="M123" s="527">
        <f t="shared" si="186"/>
        <v>-369.85903795338851</v>
      </c>
      <c r="N123" s="527">
        <f t="shared" si="186"/>
        <v>-377.25621871245653</v>
      </c>
      <c r="O123" s="529"/>
      <c r="P123" s="564">
        <f>IFERROR(((N123/I123)^(1/5))-1,0)</f>
        <v>2.0000000000000018E-2</v>
      </c>
      <c r="Q123" s="537"/>
      <c r="R123" s="527">
        <f t="shared" ref="R123:AW123" si="189">R58/R$82</f>
        <v>-29.043869341463431</v>
      </c>
      <c r="S123" s="527">
        <f t="shared" si="189"/>
        <v>-29.043869341463431</v>
      </c>
      <c r="T123" s="527">
        <f t="shared" si="189"/>
        <v>-29.043869341463431</v>
      </c>
      <c r="U123" s="527">
        <f t="shared" si="189"/>
        <v>-29.043869341463431</v>
      </c>
      <c r="V123" s="527">
        <f t="shared" si="189"/>
        <v>-29.043869341463431</v>
      </c>
      <c r="W123" s="527">
        <f t="shared" si="189"/>
        <v>-29.043869341463431</v>
      </c>
      <c r="X123" s="527">
        <f t="shared" si="189"/>
        <v>-29.043869341463431</v>
      </c>
      <c r="Y123" s="527">
        <f t="shared" si="189"/>
        <v>-29.043869341463431</v>
      </c>
      <c r="Z123" s="527">
        <f t="shared" si="189"/>
        <v>-29.043869341463431</v>
      </c>
      <c r="AA123" s="527">
        <f t="shared" si="189"/>
        <v>-29.043869341463431</v>
      </c>
      <c r="AB123" s="527">
        <f t="shared" si="189"/>
        <v>-29.043869341463431</v>
      </c>
      <c r="AC123" s="527">
        <f t="shared" si="189"/>
        <v>-29.043869341463431</v>
      </c>
      <c r="AD123" s="527">
        <f t="shared" si="189"/>
        <v>-29.624746728292692</v>
      </c>
      <c r="AE123" s="527">
        <f t="shared" si="189"/>
        <v>-29.624746728292692</v>
      </c>
      <c r="AF123" s="527">
        <f t="shared" si="189"/>
        <v>-29.624746728292692</v>
      </c>
      <c r="AG123" s="527">
        <f t="shared" si="189"/>
        <v>-29.624746728292692</v>
      </c>
      <c r="AH123" s="527">
        <f t="shared" si="189"/>
        <v>-29.624746728292692</v>
      </c>
      <c r="AI123" s="527">
        <f t="shared" si="189"/>
        <v>-29.624746728292692</v>
      </c>
      <c r="AJ123" s="527">
        <f t="shared" si="189"/>
        <v>-29.624746728292692</v>
      </c>
      <c r="AK123" s="527">
        <f t="shared" si="189"/>
        <v>-29.624746728292692</v>
      </c>
      <c r="AL123" s="527">
        <f t="shared" si="189"/>
        <v>-29.624746728292692</v>
      </c>
      <c r="AM123" s="527">
        <f t="shared" si="189"/>
        <v>-29.624746728292692</v>
      </c>
      <c r="AN123" s="527">
        <f t="shared" si="189"/>
        <v>-29.624746728292692</v>
      </c>
      <c r="AO123" s="527">
        <f t="shared" si="189"/>
        <v>-29.624746728292692</v>
      </c>
      <c r="AP123" s="527">
        <f t="shared" si="189"/>
        <v>-30.217241662858555</v>
      </c>
      <c r="AQ123" s="527">
        <f t="shared" si="189"/>
        <v>-30.217241662858555</v>
      </c>
      <c r="AR123" s="527">
        <f t="shared" si="189"/>
        <v>-30.217241662858555</v>
      </c>
      <c r="AS123" s="527">
        <f t="shared" si="189"/>
        <v>-30.217241662858555</v>
      </c>
      <c r="AT123" s="527">
        <f t="shared" si="189"/>
        <v>-30.217241662858555</v>
      </c>
      <c r="AU123" s="527">
        <f t="shared" si="189"/>
        <v>-30.217241662858555</v>
      </c>
      <c r="AV123" s="527">
        <f t="shared" si="189"/>
        <v>-30.217241662858555</v>
      </c>
      <c r="AW123" s="527">
        <f t="shared" si="189"/>
        <v>-30.217241662858555</v>
      </c>
      <c r="AX123" s="527">
        <f t="shared" ref="AX123:BY123" si="190">AX58/AX$82</f>
        <v>-30.217241662858555</v>
      </c>
      <c r="AY123" s="527">
        <f t="shared" si="190"/>
        <v>-30.217241662858555</v>
      </c>
      <c r="AZ123" s="527">
        <f t="shared" si="190"/>
        <v>-30.217241662858555</v>
      </c>
      <c r="BA123" s="527">
        <f t="shared" si="190"/>
        <v>-30.217241662858555</v>
      </c>
      <c r="BB123" s="527">
        <f t="shared" si="190"/>
        <v>-30.821586496115721</v>
      </c>
      <c r="BC123" s="527">
        <f t="shared" si="190"/>
        <v>-30.821586496115721</v>
      </c>
      <c r="BD123" s="527">
        <f t="shared" si="190"/>
        <v>-30.821586496115721</v>
      </c>
      <c r="BE123" s="527">
        <f t="shared" si="190"/>
        <v>-30.821586496115721</v>
      </c>
      <c r="BF123" s="527">
        <f t="shared" si="190"/>
        <v>-30.821586496115721</v>
      </c>
      <c r="BG123" s="527">
        <f t="shared" si="190"/>
        <v>-30.821586496115721</v>
      </c>
      <c r="BH123" s="527">
        <f t="shared" si="190"/>
        <v>-30.821586496115721</v>
      </c>
      <c r="BI123" s="527">
        <f t="shared" si="190"/>
        <v>-30.821586496115721</v>
      </c>
      <c r="BJ123" s="527">
        <f t="shared" si="190"/>
        <v>-30.821586496115721</v>
      </c>
      <c r="BK123" s="527">
        <f t="shared" si="190"/>
        <v>-30.821586496115721</v>
      </c>
      <c r="BL123" s="527">
        <f t="shared" si="190"/>
        <v>-30.821586496115721</v>
      </c>
      <c r="BM123" s="527">
        <f t="shared" si="190"/>
        <v>-30.821586496115721</v>
      </c>
      <c r="BN123" s="527">
        <f t="shared" si="190"/>
        <v>-31.438018226038039</v>
      </c>
      <c r="BO123" s="527">
        <f t="shared" si="190"/>
        <v>-31.438018226038039</v>
      </c>
      <c r="BP123" s="527">
        <f t="shared" si="190"/>
        <v>-31.438018226038039</v>
      </c>
      <c r="BQ123" s="527">
        <f t="shared" si="190"/>
        <v>-31.438018226038039</v>
      </c>
      <c r="BR123" s="527">
        <f t="shared" si="190"/>
        <v>-31.438018226038039</v>
      </c>
      <c r="BS123" s="527">
        <f t="shared" si="190"/>
        <v>-31.438018226038039</v>
      </c>
      <c r="BT123" s="527">
        <f t="shared" si="190"/>
        <v>-31.438018226038039</v>
      </c>
      <c r="BU123" s="527">
        <f t="shared" si="190"/>
        <v>-31.438018226038039</v>
      </c>
      <c r="BV123" s="527">
        <f t="shared" si="190"/>
        <v>-31.438018226038039</v>
      </c>
      <c r="BW123" s="527">
        <f t="shared" si="190"/>
        <v>-31.438018226038039</v>
      </c>
      <c r="BX123" s="527">
        <f t="shared" si="190"/>
        <v>-31.438018226038039</v>
      </c>
      <c r="BY123" s="527">
        <f t="shared" si="190"/>
        <v>-31.438018226038039</v>
      </c>
      <c r="BZ123" s="537"/>
      <c r="CA123" s="537"/>
      <c r="CB123" s="574"/>
    </row>
    <row r="124" spans="1:80" x14ac:dyDescent="0.3">
      <c r="A124" s="551"/>
      <c r="B124" s="548"/>
      <c r="C124" s="525"/>
      <c r="D124" s="525"/>
      <c r="E124" s="572" t="s">
        <v>35</v>
      </c>
      <c r="F124" s="573"/>
      <c r="G124" s="573"/>
      <c r="H124" s="573"/>
      <c r="I124" s="530">
        <f t="shared" si="186"/>
        <v>-2282.8621121951223</v>
      </c>
      <c r="J124" s="532">
        <f t="shared" si="186"/>
        <v>-2328.5193544390249</v>
      </c>
      <c r="K124" s="532">
        <f t="shared" si="186"/>
        <v>-2375.0897415278059</v>
      </c>
      <c r="L124" s="532">
        <f t="shared" si="186"/>
        <v>-2422.5915363583617</v>
      </c>
      <c r="M124" s="532">
        <f t="shared" si="186"/>
        <v>-2471.0433670855286</v>
      </c>
      <c r="N124" s="530">
        <f t="shared" si="186"/>
        <v>-2520.4642344272393</v>
      </c>
      <c r="O124" s="536"/>
      <c r="P124" s="568">
        <f>IFERROR(((N124/I124)^(1/5))-1,0)</f>
        <v>2.0000000000000018E-2</v>
      </c>
      <c r="Q124" s="537"/>
      <c r="R124" s="532">
        <f t="shared" ref="R124:AW124" si="191">R59/R$82</f>
        <v>-194.04327953658543</v>
      </c>
      <c r="S124" s="532">
        <f t="shared" si="191"/>
        <v>-194.04327953658543</v>
      </c>
      <c r="T124" s="530">
        <f t="shared" si="191"/>
        <v>-194.04327953658543</v>
      </c>
      <c r="U124" s="532">
        <f t="shared" si="191"/>
        <v>-194.04327953658543</v>
      </c>
      <c r="V124" s="532">
        <f t="shared" si="191"/>
        <v>-194.04327953658543</v>
      </c>
      <c r="W124" s="532">
        <f t="shared" si="191"/>
        <v>-194.04327953658543</v>
      </c>
      <c r="X124" s="532">
        <f t="shared" si="191"/>
        <v>-194.04327953658543</v>
      </c>
      <c r="Y124" s="532">
        <f t="shared" si="191"/>
        <v>-194.04327953658543</v>
      </c>
      <c r="Z124" s="532">
        <f t="shared" si="191"/>
        <v>-194.04327953658543</v>
      </c>
      <c r="AA124" s="532">
        <f t="shared" si="191"/>
        <v>-194.04327953658543</v>
      </c>
      <c r="AB124" s="532">
        <f t="shared" si="191"/>
        <v>-194.04327953658543</v>
      </c>
      <c r="AC124" s="532">
        <f t="shared" si="191"/>
        <v>-194.04327953658543</v>
      </c>
      <c r="AD124" s="532">
        <f t="shared" si="191"/>
        <v>-197.92414512731713</v>
      </c>
      <c r="AE124" s="532">
        <f t="shared" si="191"/>
        <v>-197.92414512731713</v>
      </c>
      <c r="AF124" s="532">
        <f t="shared" si="191"/>
        <v>-197.92414512731713</v>
      </c>
      <c r="AG124" s="532">
        <f t="shared" si="191"/>
        <v>-197.92414512731713</v>
      </c>
      <c r="AH124" s="532">
        <f t="shared" si="191"/>
        <v>-197.92414512731713</v>
      </c>
      <c r="AI124" s="532">
        <f t="shared" si="191"/>
        <v>-197.92414512731713</v>
      </c>
      <c r="AJ124" s="532">
        <f t="shared" si="191"/>
        <v>-197.92414512731713</v>
      </c>
      <c r="AK124" s="532">
        <f t="shared" si="191"/>
        <v>-197.92414512731713</v>
      </c>
      <c r="AL124" s="532">
        <f t="shared" si="191"/>
        <v>-197.92414512731713</v>
      </c>
      <c r="AM124" s="532">
        <f t="shared" si="191"/>
        <v>-197.92414512731713</v>
      </c>
      <c r="AN124" s="532">
        <f t="shared" si="191"/>
        <v>-197.92414512731713</v>
      </c>
      <c r="AO124" s="532">
        <f t="shared" si="191"/>
        <v>-197.92414512731713</v>
      </c>
      <c r="AP124" s="532">
        <f t="shared" si="191"/>
        <v>-201.88262802986347</v>
      </c>
      <c r="AQ124" s="532">
        <f t="shared" si="191"/>
        <v>-201.88262802986347</v>
      </c>
      <c r="AR124" s="532">
        <f t="shared" si="191"/>
        <v>-201.88262802986347</v>
      </c>
      <c r="AS124" s="532">
        <f t="shared" si="191"/>
        <v>-201.88262802986347</v>
      </c>
      <c r="AT124" s="532">
        <f t="shared" si="191"/>
        <v>-201.88262802986347</v>
      </c>
      <c r="AU124" s="532">
        <f t="shared" si="191"/>
        <v>-201.88262802986347</v>
      </c>
      <c r="AV124" s="532">
        <f t="shared" si="191"/>
        <v>-201.88262802986347</v>
      </c>
      <c r="AW124" s="532">
        <f t="shared" si="191"/>
        <v>-201.88262802986347</v>
      </c>
      <c r="AX124" s="532">
        <f t="shared" ref="AX124:BY124" si="192">AX59/AX$82</f>
        <v>-201.88262802986347</v>
      </c>
      <c r="AY124" s="532">
        <f t="shared" si="192"/>
        <v>-201.88262802986347</v>
      </c>
      <c r="AZ124" s="532">
        <f t="shared" si="192"/>
        <v>-201.88262802986347</v>
      </c>
      <c r="BA124" s="532">
        <f t="shared" si="192"/>
        <v>-201.88262802986347</v>
      </c>
      <c r="BB124" s="532">
        <f t="shared" si="192"/>
        <v>-205.92028059046069</v>
      </c>
      <c r="BC124" s="532">
        <f t="shared" si="192"/>
        <v>-205.92028059046069</v>
      </c>
      <c r="BD124" s="532">
        <f t="shared" si="192"/>
        <v>-205.92028059046069</v>
      </c>
      <c r="BE124" s="532">
        <f t="shared" si="192"/>
        <v>-205.92028059046069</v>
      </c>
      <c r="BF124" s="532">
        <f t="shared" si="192"/>
        <v>-205.92028059046069</v>
      </c>
      <c r="BG124" s="532">
        <f t="shared" si="192"/>
        <v>-205.92028059046069</v>
      </c>
      <c r="BH124" s="532">
        <f t="shared" si="192"/>
        <v>-205.92028059046069</v>
      </c>
      <c r="BI124" s="532">
        <f t="shared" si="192"/>
        <v>-205.92028059046069</v>
      </c>
      <c r="BJ124" s="532">
        <f t="shared" si="192"/>
        <v>-205.92028059046069</v>
      </c>
      <c r="BK124" s="532">
        <f t="shared" si="192"/>
        <v>-205.92028059046069</v>
      </c>
      <c r="BL124" s="532">
        <f t="shared" si="192"/>
        <v>-205.92028059046069</v>
      </c>
      <c r="BM124" s="532">
        <f t="shared" si="192"/>
        <v>-205.92028059046069</v>
      </c>
      <c r="BN124" s="532">
        <f t="shared" si="192"/>
        <v>-210.03868620226996</v>
      </c>
      <c r="BO124" s="532">
        <f t="shared" si="192"/>
        <v>-210.03868620226996</v>
      </c>
      <c r="BP124" s="532">
        <f t="shared" si="192"/>
        <v>-210.03868620226996</v>
      </c>
      <c r="BQ124" s="532">
        <f t="shared" si="192"/>
        <v>-210.03868620226996</v>
      </c>
      <c r="BR124" s="532">
        <f t="shared" si="192"/>
        <v>-210.03868620226996</v>
      </c>
      <c r="BS124" s="532">
        <f t="shared" si="192"/>
        <v>-210.03868620226996</v>
      </c>
      <c r="BT124" s="532">
        <f t="shared" si="192"/>
        <v>-210.03868620226996</v>
      </c>
      <c r="BU124" s="532">
        <f t="shared" si="192"/>
        <v>-210.03868620226996</v>
      </c>
      <c r="BV124" s="532">
        <f t="shared" si="192"/>
        <v>-210.03868620226996</v>
      </c>
      <c r="BW124" s="532">
        <f t="shared" si="192"/>
        <v>-210.03868620226996</v>
      </c>
      <c r="BX124" s="532">
        <f t="shared" si="192"/>
        <v>-210.03868620226996</v>
      </c>
      <c r="BY124" s="532">
        <f t="shared" si="192"/>
        <v>-210.03868620226996</v>
      </c>
      <c r="BZ124" s="537"/>
      <c r="CA124" s="537"/>
      <c r="CB124" s="574"/>
    </row>
    <row r="125" spans="1:80" x14ac:dyDescent="0.3">
      <c r="A125" s="551"/>
      <c r="B125" s="548"/>
      <c r="C125" s="525"/>
      <c r="D125" s="525"/>
      <c r="E125" s="525"/>
      <c r="F125" s="529"/>
      <c r="G125" s="529"/>
      <c r="H125" s="529"/>
      <c r="I125" s="529"/>
      <c r="J125" s="529"/>
      <c r="K125" s="529"/>
      <c r="L125" s="529"/>
      <c r="M125" s="529"/>
      <c r="N125" s="529"/>
      <c r="O125" s="529"/>
      <c r="P125" s="562"/>
      <c r="Q125" s="537"/>
      <c r="R125" s="529"/>
      <c r="S125" s="529"/>
      <c r="T125" s="529"/>
      <c r="U125" s="529"/>
      <c r="V125" s="529"/>
      <c r="W125" s="529"/>
      <c r="X125" s="529"/>
      <c r="Y125" s="529"/>
      <c r="Z125" s="529"/>
      <c r="AA125" s="529"/>
      <c r="AB125" s="529"/>
      <c r="AC125" s="529"/>
      <c r="AD125" s="529"/>
      <c r="AE125" s="529"/>
      <c r="AF125" s="529"/>
      <c r="AG125" s="529"/>
      <c r="AH125" s="529"/>
      <c r="AI125" s="529"/>
      <c r="AJ125" s="529"/>
      <c r="AK125" s="529"/>
      <c r="AL125" s="529"/>
      <c r="AM125" s="529"/>
      <c r="AN125" s="529"/>
      <c r="AO125" s="529"/>
      <c r="AP125" s="529"/>
      <c r="AQ125" s="529"/>
      <c r="AR125" s="529"/>
      <c r="AS125" s="529"/>
      <c r="AT125" s="529"/>
      <c r="AU125" s="529"/>
      <c r="AV125" s="529"/>
      <c r="AW125" s="529"/>
      <c r="AX125" s="529"/>
      <c r="AY125" s="529"/>
      <c r="AZ125" s="529"/>
      <c r="BA125" s="529"/>
      <c r="BB125" s="529"/>
      <c r="BC125" s="529"/>
      <c r="BD125" s="529"/>
      <c r="BE125" s="529"/>
      <c r="BF125" s="529"/>
      <c r="BG125" s="529"/>
      <c r="BH125" s="529"/>
      <c r="BI125" s="529"/>
      <c r="BJ125" s="529"/>
      <c r="BK125" s="529"/>
      <c r="BL125" s="529"/>
      <c r="BM125" s="529"/>
      <c r="BN125" s="529"/>
      <c r="BO125" s="529"/>
      <c r="BP125" s="529"/>
      <c r="BQ125" s="529"/>
      <c r="BR125" s="529"/>
      <c r="BS125" s="529"/>
      <c r="BT125" s="529"/>
      <c r="BU125" s="529"/>
      <c r="BV125" s="529"/>
      <c r="BW125" s="529"/>
      <c r="BX125" s="529"/>
      <c r="BY125" s="529"/>
      <c r="BZ125" s="537"/>
      <c r="CA125" s="537"/>
      <c r="CB125" s="537"/>
    </row>
    <row r="126" spans="1:80" x14ac:dyDescent="0.3">
      <c r="A126" s="551"/>
      <c r="B126" s="548"/>
      <c r="C126" s="525"/>
      <c r="D126" s="525"/>
      <c r="E126" s="62" t="s">
        <v>21</v>
      </c>
      <c r="F126" s="579"/>
      <c r="G126" s="579"/>
      <c r="H126" s="579"/>
      <c r="I126" s="535">
        <f t="shared" ref="I126:N126" si="193">I61/I$82</f>
        <v>102105.6318400788</v>
      </c>
      <c r="J126" s="535">
        <f t="shared" si="193"/>
        <v>107643.55474757054</v>
      </c>
      <c r="K126" s="534">
        <f t="shared" si="193"/>
        <v>114213.82334713907</v>
      </c>
      <c r="L126" s="534">
        <f t="shared" si="193"/>
        <v>120942.52147842095</v>
      </c>
      <c r="M126" s="534">
        <f t="shared" si="193"/>
        <v>127812.95742594892</v>
      </c>
      <c r="N126" s="535">
        <f t="shared" si="193"/>
        <v>135020.10228950117</v>
      </c>
      <c r="O126" s="536"/>
      <c r="P126" s="568">
        <f>IFERROR(((N126/I126)^(1/5))-1,0)</f>
        <v>5.7474119023726455E-2</v>
      </c>
      <c r="Q126" s="537"/>
      <c r="R126" s="535">
        <f t="shared" ref="R126:AW126" si="194">R61/R$82</f>
        <v>8865.5794634737758</v>
      </c>
      <c r="S126" s="534">
        <f t="shared" si="194"/>
        <v>8865.5794634737758</v>
      </c>
      <c r="T126" s="535">
        <f t="shared" si="194"/>
        <v>8865.5794634737758</v>
      </c>
      <c r="U126" s="534">
        <f t="shared" si="194"/>
        <v>8865.5794634737758</v>
      </c>
      <c r="V126" s="534">
        <f t="shared" si="194"/>
        <v>8865.5794634737758</v>
      </c>
      <c r="W126" s="534">
        <f t="shared" si="194"/>
        <v>8865.5794634737758</v>
      </c>
      <c r="X126" s="534">
        <f t="shared" si="194"/>
        <v>9075.0129944546461</v>
      </c>
      <c r="Y126" s="534">
        <f t="shared" si="194"/>
        <v>9075.0129944546461</v>
      </c>
      <c r="Z126" s="534">
        <f t="shared" si="194"/>
        <v>9075.0129944546461</v>
      </c>
      <c r="AA126" s="534">
        <f t="shared" si="194"/>
        <v>9075.0129944546461</v>
      </c>
      <c r="AB126" s="534">
        <f t="shared" si="194"/>
        <v>9075.0129944546461</v>
      </c>
      <c r="AC126" s="534">
        <f t="shared" si="194"/>
        <v>9075.0129944546461</v>
      </c>
      <c r="AD126" s="534">
        <f t="shared" si="194"/>
        <v>9381.8882790396929</v>
      </c>
      <c r="AE126" s="534">
        <f t="shared" si="194"/>
        <v>9381.8882790396929</v>
      </c>
      <c r="AF126" s="534">
        <f t="shared" si="194"/>
        <v>9381.8882790396929</v>
      </c>
      <c r="AG126" s="534">
        <f t="shared" si="194"/>
        <v>9381.8882790396929</v>
      </c>
      <c r="AH126" s="534">
        <f t="shared" si="194"/>
        <v>9381.8882790396929</v>
      </c>
      <c r="AI126" s="534">
        <f t="shared" si="194"/>
        <v>9381.8882790396929</v>
      </c>
      <c r="AJ126" s="534">
        <f t="shared" si="194"/>
        <v>9653.7489454834886</v>
      </c>
      <c r="AK126" s="534">
        <f t="shared" si="194"/>
        <v>9653.7489454834886</v>
      </c>
      <c r="AL126" s="534">
        <f t="shared" si="194"/>
        <v>9653.7489454834886</v>
      </c>
      <c r="AM126" s="534">
        <f t="shared" si="194"/>
        <v>9653.7489454834886</v>
      </c>
      <c r="AN126" s="534">
        <f t="shared" si="194"/>
        <v>9653.7489454834886</v>
      </c>
      <c r="AO126" s="534">
        <f t="shared" si="194"/>
        <v>9653.7489454834886</v>
      </c>
      <c r="AP126" s="534">
        <f t="shared" si="194"/>
        <v>9909.2772095643413</v>
      </c>
      <c r="AQ126" s="534">
        <f t="shared" si="194"/>
        <v>9909.2772095643413</v>
      </c>
      <c r="AR126" s="534">
        <f t="shared" si="194"/>
        <v>9909.2772095643413</v>
      </c>
      <c r="AS126" s="534">
        <f t="shared" si="194"/>
        <v>9909.2772095643413</v>
      </c>
      <c r="AT126" s="534">
        <f t="shared" si="194"/>
        <v>9909.2772095643413</v>
      </c>
      <c r="AU126" s="534">
        <f t="shared" si="194"/>
        <v>9909.2772095643413</v>
      </c>
      <c r="AV126" s="534">
        <f t="shared" si="194"/>
        <v>10247.809703505824</v>
      </c>
      <c r="AW126" s="534">
        <f t="shared" si="194"/>
        <v>10247.809703505824</v>
      </c>
      <c r="AX126" s="534">
        <f t="shared" ref="AX126:BY126" si="195">AX61/AX$82</f>
        <v>10247.809703505824</v>
      </c>
      <c r="AY126" s="534">
        <f t="shared" si="195"/>
        <v>10247.809703505824</v>
      </c>
      <c r="AZ126" s="534">
        <f t="shared" si="195"/>
        <v>10247.809703505824</v>
      </c>
      <c r="BA126" s="534">
        <f t="shared" si="195"/>
        <v>10247.809703505824</v>
      </c>
      <c r="BB126" s="534">
        <f t="shared" si="195"/>
        <v>10446.308757449153</v>
      </c>
      <c r="BC126" s="534">
        <f t="shared" si="195"/>
        <v>10446.308757449153</v>
      </c>
      <c r="BD126" s="534">
        <f t="shared" si="195"/>
        <v>10446.308757449153</v>
      </c>
      <c r="BE126" s="534">
        <f t="shared" si="195"/>
        <v>10446.308757449153</v>
      </c>
      <c r="BF126" s="534">
        <f t="shared" si="195"/>
        <v>10446.308757449153</v>
      </c>
      <c r="BG126" s="534">
        <f t="shared" si="195"/>
        <v>10446.308757449153</v>
      </c>
      <c r="BH126" s="534">
        <f t="shared" si="195"/>
        <v>10855.850813542333</v>
      </c>
      <c r="BI126" s="534">
        <f t="shared" si="195"/>
        <v>10855.850813542333</v>
      </c>
      <c r="BJ126" s="534">
        <f t="shared" si="195"/>
        <v>10855.850813542333</v>
      </c>
      <c r="BK126" s="534">
        <f t="shared" si="195"/>
        <v>10855.850813542333</v>
      </c>
      <c r="BL126" s="534">
        <f t="shared" si="195"/>
        <v>10855.850813542333</v>
      </c>
      <c r="BM126" s="534">
        <f t="shared" si="195"/>
        <v>10855.850813542333</v>
      </c>
      <c r="BN126" s="534">
        <f t="shared" si="195"/>
        <v>11009.124955038755</v>
      </c>
      <c r="BO126" s="534">
        <f t="shared" si="195"/>
        <v>11009.124955038755</v>
      </c>
      <c r="BP126" s="534">
        <f t="shared" si="195"/>
        <v>11009.124955038755</v>
      </c>
      <c r="BQ126" s="534">
        <f t="shared" si="195"/>
        <v>11009.124955038755</v>
      </c>
      <c r="BR126" s="534">
        <f t="shared" si="195"/>
        <v>11009.124955038755</v>
      </c>
      <c r="BS126" s="534">
        <f t="shared" si="195"/>
        <v>11009.124955038755</v>
      </c>
      <c r="BT126" s="534">
        <f t="shared" si="195"/>
        <v>11494.225426544775</v>
      </c>
      <c r="BU126" s="534">
        <f t="shared" si="195"/>
        <v>11494.225426544775</v>
      </c>
      <c r="BV126" s="534">
        <f t="shared" si="195"/>
        <v>11494.225426544775</v>
      </c>
      <c r="BW126" s="534">
        <f t="shared" si="195"/>
        <v>11494.225426544775</v>
      </c>
      <c r="BX126" s="534">
        <f t="shared" si="195"/>
        <v>11494.225426544775</v>
      </c>
      <c r="BY126" s="534">
        <f t="shared" si="195"/>
        <v>11494.225426544775</v>
      </c>
      <c r="BZ126" s="537"/>
      <c r="CA126" s="537"/>
      <c r="CB126" s="574"/>
    </row>
    <row r="127" spans="1:80" x14ac:dyDescent="0.3">
      <c r="A127" s="551"/>
      <c r="B127" s="548"/>
      <c r="C127" s="525"/>
      <c r="D127" s="525"/>
      <c r="E127" s="2" t="s">
        <v>405</v>
      </c>
      <c r="F127" s="525"/>
      <c r="G127" s="525"/>
      <c r="H127" s="525"/>
      <c r="I127" s="531">
        <f t="shared" ref="I127:N127" si="196">IFERROR(I126/SUM(I87,I96,I110,I117),0)</f>
        <v>0.53814996797751391</v>
      </c>
      <c r="J127" s="531">
        <f t="shared" si="196"/>
        <v>0.54334013408110071</v>
      </c>
      <c r="K127" s="531">
        <f t="shared" si="196"/>
        <v>0.5484134396724728</v>
      </c>
      <c r="L127" s="531">
        <f t="shared" si="196"/>
        <v>0.55316703255874389</v>
      </c>
      <c r="M127" s="531">
        <f t="shared" si="196"/>
        <v>0.55741064108647509</v>
      </c>
      <c r="N127" s="531">
        <f t="shared" si="196"/>
        <v>0.5614944567155663</v>
      </c>
      <c r="O127" s="546"/>
      <c r="P127" s="564">
        <f>IFERROR(((N127/I127)^(1/5))-1,0)</f>
        <v>8.529093140519528E-3</v>
      </c>
      <c r="Q127" s="537"/>
      <c r="R127" s="531">
        <f t="shared" ref="R127:AW127" si="197">IFERROR(R126/SUM(R87,R96,R110,R117),0)</f>
        <v>0.54304504959959732</v>
      </c>
      <c r="S127" s="531">
        <f t="shared" si="197"/>
        <v>0.54304504959959732</v>
      </c>
      <c r="T127" s="531">
        <f t="shared" si="197"/>
        <v>0.54304504959959732</v>
      </c>
      <c r="U127" s="531">
        <f t="shared" si="197"/>
        <v>0.54304504959959732</v>
      </c>
      <c r="V127" s="531">
        <f t="shared" si="197"/>
        <v>0.54304504959959732</v>
      </c>
      <c r="W127" s="531">
        <f t="shared" si="197"/>
        <v>0.54304504959959732</v>
      </c>
      <c r="X127" s="531">
        <f t="shared" si="197"/>
        <v>0.54362871843012039</v>
      </c>
      <c r="Y127" s="531">
        <f t="shared" si="197"/>
        <v>0.54362871843012039</v>
      </c>
      <c r="Z127" s="531">
        <f t="shared" si="197"/>
        <v>0.54362871843012039</v>
      </c>
      <c r="AA127" s="531">
        <f t="shared" si="197"/>
        <v>0.54362871843012039</v>
      </c>
      <c r="AB127" s="531">
        <f t="shared" si="197"/>
        <v>0.54362871843012039</v>
      </c>
      <c r="AC127" s="531">
        <f t="shared" si="197"/>
        <v>0.54362871843012039</v>
      </c>
      <c r="AD127" s="531">
        <f t="shared" si="197"/>
        <v>0.5480263723642087</v>
      </c>
      <c r="AE127" s="531">
        <f t="shared" si="197"/>
        <v>0.5480263723642087</v>
      </c>
      <c r="AF127" s="531">
        <f t="shared" si="197"/>
        <v>0.5480263723642087</v>
      </c>
      <c r="AG127" s="531">
        <f t="shared" si="197"/>
        <v>0.5480263723642087</v>
      </c>
      <c r="AH127" s="531">
        <f t="shared" si="197"/>
        <v>0.5480263723642087</v>
      </c>
      <c r="AI127" s="531">
        <f t="shared" si="197"/>
        <v>0.5480263723642087</v>
      </c>
      <c r="AJ127" s="531">
        <f t="shared" si="197"/>
        <v>0.54879013096677443</v>
      </c>
      <c r="AK127" s="531">
        <f t="shared" si="197"/>
        <v>0.54879013096677443</v>
      </c>
      <c r="AL127" s="531">
        <f t="shared" si="197"/>
        <v>0.54879013096677443</v>
      </c>
      <c r="AM127" s="531">
        <f t="shared" si="197"/>
        <v>0.54879013096677443</v>
      </c>
      <c r="AN127" s="531">
        <f t="shared" si="197"/>
        <v>0.54879013096677443</v>
      </c>
      <c r="AO127" s="531">
        <f t="shared" si="197"/>
        <v>0.54879013096677443</v>
      </c>
      <c r="AP127" s="531">
        <f t="shared" si="197"/>
        <v>0.55268484827604425</v>
      </c>
      <c r="AQ127" s="531">
        <f t="shared" si="197"/>
        <v>0.55268484827604425</v>
      </c>
      <c r="AR127" s="531">
        <f t="shared" si="197"/>
        <v>0.55268484827604425</v>
      </c>
      <c r="AS127" s="531">
        <f t="shared" si="197"/>
        <v>0.55268484827604425</v>
      </c>
      <c r="AT127" s="531">
        <f t="shared" si="197"/>
        <v>0.55268484827604425</v>
      </c>
      <c r="AU127" s="531">
        <f t="shared" si="197"/>
        <v>0.55268484827604425</v>
      </c>
      <c r="AV127" s="531">
        <f t="shared" si="197"/>
        <v>0.55363408886466647</v>
      </c>
      <c r="AW127" s="531">
        <f t="shared" si="197"/>
        <v>0.55363408886466647</v>
      </c>
      <c r="AX127" s="531">
        <f t="shared" ref="AX127:BY127" si="198">IFERROR(AX126/SUM(AX87,AX96,AX110,AX117),0)</f>
        <v>0.55363408886466647</v>
      </c>
      <c r="AY127" s="531">
        <f t="shared" si="198"/>
        <v>0.55363408886466647</v>
      </c>
      <c r="AZ127" s="531">
        <f t="shared" si="198"/>
        <v>0.55363408886466647</v>
      </c>
      <c r="BA127" s="531">
        <f t="shared" si="198"/>
        <v>0.55363408886466647</v>
      </c>
      <c r="BB127" s="531">
        <f t="shared" si="198"/>
        <v>0.55682866288911204</v>
      </c>
      <c r="BC127" s="531">
        <f t="shared" si="198"/>
        <v>0.55682866288911204</v>
      </c>
      <c r="BD127" s="531">
        <f t="shared" si="198"/>
        <v>0.55682866288911204</v>
      </c>
      <c r="BE127" s="531">
        <f t="shared" si="198"/>
        <v>0.55682866288911204</v>
      </c>
      <c r="BF127" s="531">
        <f t="shared" si="198"/>
        <v>0.55682866288911204</v>
      </c>
      <c r="BG127" s="531">
        <f t="shared" si="198"/>
        <v>0.55682866288911204</v>
      </c>
      <c r="BH127" s="531">
        <f t="shared" si="198"/>
        <v>0.55797181359193759</v>
      </c>
      <c r="BI127" s="531">
        <f t="shared" si="198"/>
        <v>0.55797181359193759</v>
      </c>
      <c r="BJ127" s="531">
        <f t="shared" si="198"/>
        <v>0.55797181359193759</v>
      </c>
      <c r="BK127" s="531">
        <f t="shared" si="198"/>
        <v>0.55797181359193759</v>
      </c>
      <c r="BL127" s="531">
        <f t="shared" si="198"/>
        <v>0.55797181359193759</v>
      </c>
      <c r="BM127" s="531">
        <f t="shared" si="198"/>
        <v>0.55797181359193759</v>
      </c>
      <c r="BN127" s="531">
        <f t="shared" si="198"/>
        <v>0.56080822264171359</v>
      </c>
      <c r="BO127" s="531">
        <f t="shared" si="198"/>
        <v>0.56080822264171359</v>
      </c>
      <c r="BP127" s="531">
        <f t="shared" si="198"/>
        <v>0.56080822264171359</v>
      </c>
      <c r="BQ127" s="531">
        <f t="shared" si="198"/>
        <v>0.56080822264171359</v>
      </c>
      <c r="BR127" s="531">
        <f t="shared" si="198"/>
        <v>0.56080822264171359</v>
      </c>
      <c r="BS127" s="531">
        <f t="shared" si="198"/>
        <v>0.56080822264171359</v>
      </c>
      <c r="BT127" s="531">
        <f t="shared" si="198"/>
        <v>0.56215330552455423</v>
      </c>
      <c r="BU127" s="531">
        <f t="shared" si="198"/>
        <v>0.56215330552455423</v>
      </c>
      <c r="BV127" s="531">
        <f t="shared" si="198"/>
        <v>0.56215330552455423</v>
      </c>
      <c r="BW127" s="531">
        <f t="shared" si="198"/>
        <v>0.56215330552455423</v>
      </c>
      <c r="BX127" s="531">
        <f t="shared" si="198"/>
        <v>0.56215330552455423</v>
      </c>
      <c r="BY127" s="531">
        <f t="shared" si="198"/>
        <v>0.56215330552455423</v>
      </c>
      <c r="BZ127" s="537"/>
      <c r="CA127" s="537"/>
      <c r="CB127" s="537"/>
    </row>
    <row r="128" spans="1:80" x14ac:dyDescent="0.3">
      <c r="A128" s="551"/>
      <c r="B128" s="548"/>
      <c r="C128" s="525"/>
      <c r="D128" s="525"/>
      <c r="E128" s="2"/>
      <c r="F128" s="525"/>
      <c r="G128" s="525"/>
      <c r="H128" s="525"/>
      <c r="I128" s="525"/>
      <c r="J128" s="525"/>
      <c r="K128" s="525"/>
      <c r="L128" s="525"/>
      <c r="M128" s="525"/>
      <c r="N128" s="525"/>
      <c r="O128" s="525"/>
      <c r="P128" s="565"/>
      <c r="Q128" s="537"/>
      <c r="R128" s="525"/>
      <c r="S128" s="525"/>
      <c r="T128" s="525"/>
      <c r="U128" s="525"/>
      <c r="V128" s="525"/>
      <c r="W128" s="525"/>
      <c r="X128" s="525"/>
      <c r="Y128" s="525"/>
      <c r="Z128" s="525"/>
      <c r="AA128" s="525"/>
      <c r="AB128" s="525"/>
      <c r="AC128" s="525"/>
      <c r="AD128" s="525"/>
      <c r="AE128" s="525"/>
      <c r="AF128" s="525"/>
      <c r="AG128" s="525"/>
      <c r="AH128" s="525"/>
      <c r="AI128" s="525"/>
      <c r="AJ128" s="525"/>
      <c r="AK128" s="525"/>
      <c r="AL128" s="525"/>
      <c r="AM128" s="525"/>
      <c r="AN128" s="525"/>
      <c r="AO128" s="525"/>
      <c r="AP128" s="525"/>
      <c r="AQ128" s="525"/>
      <c r="AR128" s="525"/>
      <c r="AS128" s="525"/>
      <c r="AT128" s="525"/>
      <c r="AU128" s="525"/>
      <c r="AV128" s="525"/>
      <c r="AW128" s="525"/>
      <c r="AX128" s="525"/>
      <c r="AY128" s="525"/>
      <c r="AZ128" s="525"/>
      <c r="BA128" s="525"/>
      <c r="BB128" s="525"/>
      <c r="BC128" s="525"/>
      <c r="BD128" s="525"/>
      <c r="BE128" s="525"/>
      <c r="BF128" s="525"/>
      <c r="BG128" s="525"/>
      <c r="BH128" s="525"/>
      <c r="BI128" s="525"/>
      <c r="BJ128" s="525"/>
      <c r="BK128" s="525"/>
      <c r="BL128" s="525"/>
      <c r="BM128" s="525"/>
      <c r="BN128" s="525"/>
      <c r="BO128" s="525"/>
      <c r="BP128" s="525"/>
      <c r="BQ128" s="525"/>
      <c r="BR128" s="525"/>
      <c r="BS128" s="525"/>
      <c r="BT128" s="525"/>
      <c r="BU128" s="525"/>
      <c r="BV128" s="525"/>
      <c r="BW128" s="525"/>
      <c r="BX128" s="525"/>
      <c r="BY128" s="525"/>
      <c r="BZ128" s="537"/>
      <c r="CA128" s="537"/>
      <c r="CB128" s="537"/>
    </row>
    <row r="129" spans="1:80" x14ac:dyDescent="0.3">
      <c r="A129" s="551"/>
      <c r="B129" s="548"/>
      <c r="C129" s="525"/>
      <c r="D129" s="525"/>
      <c r="E129" s="2" t="s">
        <v>129</v>
      </c>
      <c r="F129" s="525"/>
      <c r="G129" s="525"/>
      <c r="H129" s="525"/>
      <c r="I129" s="527">
        <f t="shared" ref="I129:N130" si="199">I64/I$82</f>
        <v>-8700</v>
      </c>
      <c r="J129" s="527">
        <f t="shared" si="199"/>
        <v>-8914.6850136986304</v>
      </c>
      <c r="K129" s="527">
        <f t="shared" si="199"/>
        <v>-9121.2663528297708</v>
      </c>
      <c r="L129" s="527">
        <f t="shared" si="199"/>
        <v>-9316.9087696781771</v>
      </c>
      <c r="M129" s="527">
        <f t="shared" si="199"/>
        <v>-9499.5074186751444</v>
      </c>
      <c r="N129" s="527">
        <f t="shared" si="199"/>
        <v>-9683.80046520221</v>
      </c>
      <c r="O129" s="525"/>
      <c r="P129" s="564">
        <f>IFERROR(((N129/I129)^(1/5))-1,0)</f>
        <v>2.1657472733382921E-2</v>
      </c>
      <c r="Q129" s="537"/>
      <c r="R129" s="527">
        <f t="shared" ref="R129:AW129" si="200">R64/R$82</f>
        <v>-742.89041780821913</v>
      </c>
      <c r="S129" s="527">
        <f t="shared" si="200"/>
        <v>-742.89041780821913</v>
      </c>
      <c r="T129" s="527">
        <f t="shared" si="200"/>
        <v>-742.89041780821913</v>
      </c>
      <c r="U129" s="527">
        <f t="shared" si="200"/>
        <v>-742.89041780821913</v>
      </c>
      <c r="V129" s="527">
        <f t="shared" si="200"/>
        <v>-742.89041780821913</v>
      </c>
      <c r="W129" s="527">
        <f t="shared" si="200"/>
        <v>-742.89041780821913</v>
      </c>
      <c r="X129" s="527">
        <f t="shared" si="200"/>
        <v>-742.89041780821913</v>
      </c>
      <c r="Y129" s="527">
        <f t="shared" si="200"/>
        <v>-742.89041780821913</v>
      </c>
      <c r="Z129" s="527">
        <f t="shared" si="200"/>
        <v>-742.89041780821913</v>
      </c>
      <c r="AA129" s="527">
        <f t="shared" si="200"/>
        <v>-742.89041780821913</v>
      </c>
      <c r="AB129" s="527">
        <f t="shared" si="200"/>
        <v>-742.89041780821913</v>
      </c>
      <c r="AC129" s="527">
        <f t="shared" si="200"/>
        <v>-742.89041780821913</v>
      </c>
      <c r="AD129" s="527">
        <f t="shared" si="200"/>
        <v>-760.10552940248078</v>
      </c>
      <c r="AE129" s="527">
        <f t="shared" si="200"/>
        <v>-760.10552940248078</v>
      </c>
      <c r="AF129" s="527">
        <f t="shared" si="200"/>
        <v>-760.10552940248078</v>
      </c>
      <c r="AG129" s="527">
        <f t="shared" si="200"/>
        <v>-760.10552940248078</v>
      </c>
      <c r="AH129" s="527">
        <f t="shared" si="200"/>
        <v>-760.10552940248078</v>
      </c>
      <c r="AI129" s="527">
        <f t="shared" si="200"/>
        <v>-760.10552940248078</v>
      </c>
      <c r="AJ129" s="527">
        <f t="shared" si="200"/>
        <v>-760.10552940248078</v>
      </c>
      <c r="AK129" s="527">
        <f t="shared" si="200"/>
        <v>-760.10552940248078</v>
      </c>
      <c r="AL129" s="527">
        <f t="shared" si="200"/>
        <v>-760.10552940248078</v>
      </c>
      <c r="AM129" s="527">
        <f t="shared" si="200"/>
        <v>-760.10552940248078</v>
      </c>
      <c r="AN129" s="527">
        <f t="shared" si="200"/>
        <v>-760.10552940248078</v>
      </c>
      <c r="AO129" s="527">
        <f t="shared" si="200"/>
        <v>-760.10552940248078</v>
      </c>
      <c r="AP129" s="527">
        <f t="shared" si="200"/>
        <v>-776.40906413984806</v>
      </c>
      <c r="AQ129" s="527">
        <f t="shared" si="200"/>
        <v>-776.40906413984806</v>
      </c>
      <c r="AR129" s="527">
        <f t="shared" si="200"/>
        <v>-776.40906413984806</v>
      </c>
      <c r="AS129" s="527">
        <f t="shared" si="200"/>
        <v>-776.40906413984806</v>
      </c>
      <c r="AT129" s="527">
        <f t="shared" si="200"/>
        <v>-776.40906413984806</v>
      </c>
      <c r="AU129" s="527">
        <f t="shared" si="200"/>
        <v>-776.40906413984806</v>
      </c>
      <c r="AV129" s="527">
        <f t="shared" si="200"/>
        <v>-776.40906413984806</v>
      </c>
      <c r="AW129" s="527">
        <f t="shared" si="200"/>
        <v>-776.40906413984806</v>
      </c>
      <c r="AX129" s="527">
        <f t="shared" ref="AX129:BY129" si="201">AX64/AX$82</f>
        <v>-776.40906413984806</v>
      </c>
      <c r="AY129" s="527">
        <f t="shared" si="201"/>
        <v>-776.40906413984806</v>
      </c>
      <c r="AZ129" s="527">
        <f t="shared" si="201"/>
        <v>-776.40906413984806</v>
      </c>
      <c r="BA129" s="527">
        <f t="shared" si="201"/>
        <v>-776.40906413984806</v>
      </c>
      <c r="BB129" s="527">
        <f t="shared" si="201"/>
        <v>-791.62561822292867</v>
      </c>
      <c r="BC129" s="527">
        <f t="shared" si="201"/>
        <v>-791.62561822292867</v>
      </c>
      <c r="BD129" s="527">
        <f t="shared" si="201"/>
        <v>-791.62561822292867</v>
      </c>
      <c r="BE129" s="527">
        <f t="shared" si="201"/>
        <v>-791.62561822292867</v>
      </c>
      <c r="BF129" s="527">
        <f t="shared" si="201"/>
        <v>-791.62561822292867</v>
      </c>
      <c r="BG129" s="527">
        <f t="shared" si="201"/>
        <v>-791.62561822292867</v>
      </c>
      <c r="BH129" s="527">
        <f t="shared" si="201"/>
        <v>-791.62561822292867</v>
      </c>
      <c r="BI129" s="527">
        <f t="shared" si="201"/>
        <v>-791.62561822292867</v>
      </c>
      <c r="BJ129" s="527">
        <f t="shared" si="201"/>
        <v>-791.62561822292867</v>
      </c>
      <c r="BK129" s="527">
        <f t="shared" si="201"/>
        <v>-791.62561822292867</v>
      </c>
      <c r="BL129" s="527">
        <f t="shared" si="201"/>
        <v>-791.62561822292867</v>
      </c>
      <c r="BM129" s="527">
        <f t="shared" si="201"/>
        <v>-791.62561822292867</v>
      </c>
      <c r="BN129" s="527">
        <f t="shared" si="201"/>
        <v>-806.9833721001844</v>
      </c>
      <c r="BO129" s="527">
        <f t="shared" si="201"/>
        <v>-806.9833721001844</v>
      </c>
      <c r="BP129" s="527">
        <f t="shared" si="201"/>
        <v>-806.9833721001844</v>
      </c>
      <c r="BQ129" s="527">
        <f t="shared" si="201"/>
        <v>-806.9833721001844</v>
      </c>
      <c r="BR129" s="527">
        <f t="shared" si="201"/>
        <v>-806.9833721001844</v>
      </c>
      <c r="BS129" s="527">
        <f t="shared" si="201"/>
        <v>-806.9833721001844</v>
      </c>
      <c r="BT129" s="527">
        <f t="shared" si="201"/>
        <v>-806.9833721001844</v>
      </c>
      <c r="BU129" s="527">
        <f t="shared" si="201"/>
        <v>-806.9833721001844</v>
      </c>
      <c r="BV129" s="527">
        <f t="shared" si="201"/>
        <v>-806.9833721001844</v>
      </c>
      <c r="BW129" s="527">
        <f t="shared" si="201"/>
        <v>-806.9833721001844</v>
      </c>
      <c r="BX129" s="527">
        <f t="shared" si="201"/>
        <v>-806.9833721001844</v>
      </c>
      <c r="BY129" s="527">
        <f t="shared" si="201"/>
        <v>-806.9833721001844</v>
      </c>
      <c r="BZ129" s="537"/>
      <c r="CA129" s="537"/>
      <c r="CB129" s="537"/>
    </row>
    <row r="130" spans="1:80" x14ac:dyDescent="0.3">
      <c r="A130" s="551"/>
      <c r="B130" s="548"/>
      <c r="C130" s="525"/>
      <c r="D130" s="525"/>
      <c r="E130" s="62" t="s">
        <v>292</v>
      </c>
      <c r="F130" s="579"/>
      <c r="G130" s="579"/>
      <c r="H130" s="579"/>
      <c r="I130" s="535">
        <f t="shared" si="199"/>
        <v>93405.6318400788</v>
      </c>
      <c r="J130" s="534">
        <f t="shared" si="199"/>
        <v>98728.869733871907</v>
      </c>
      <c r="K130" s="534">
        <f t="shared" si="199"/>
        <v>105092.5569943093</v>
      </c>
      <c r="L130" s="534">
        <f t="shared" si="199"/>
        <v>111625.61270874279</v>
      </c>
      <c r="M130" s="534">
        <f t="shared" si="199"/>
        <v>118313.45000727377</v>
      </c>
      <c r="N130" s="534">
        <f t="shared" si="199"/>
        <v>125336.30182429896</v>
      </c>
      <c r="O130" s="536"/>
      <c r="P130" s="568">
        <f>IFERROR(((N130/I130)^(1/5))-1,0)</f>
        <v>6.0573478780186374E-2</v>
      </c>
      <c r="Q130" s="537"/>
      <c r="R130" s="535">
        <f t="shared" ref="R130:AW130" si="202">R65/R$82</f>
        <v>8122.6890456655574</v>
      </c>
      <c r="S130" s="534">
        <f t="shared" si="202"/>
        <v>8122.6890456655574</v>
      </c>
      <c r="T130" s="534">
        <f t="shared" si="202"/>
        <v>8122.6890456655574</v>
      </c>
      <c r="U130" s="534">
        <f t="shared" si="202"/>
        <v>8122.6890456655574</v>
      </c>
      <c r="V130" s="534">
        <f t="shared" si="202"/>
        <v>8122.6890456655574</v>
      </c>
      <c r="W130" s="534">
        <f t="shared" si="202"/>
        <v>8122.6890456655574</v>
      </c>
      <c r="X130" s="534">
        <f t="shared" si="202"/>
        <v>8332.1225766464268</v>
      </c>
      <c r="Y130" s="534">
        <f t="shared" si="202"/>
        <v>8332.1225766464268</v>
      </c>
      <c r="Z130" s="534">
        <f t="shared" si="202"/>
        <v>8332.1225766464268</v>
      </c>
      <c r="AA130" s="534">
        <f t="shared" si="202"/>
        <v>8332.1225766464268</v>
      </c>
      <c r="AB130" s="534">
        <f t="shared" si="202"/>
        <v>8332.1225766464268</v>
      </c>
      <c r="AC130" s="534">
        <f t="shared" si="202"/>
        <v>8332.1225766464268</v>
      </c>
      <c r="AD130" s="534">
        <f t="shared" si="202"/>
        <v>8621.782749637212</v>
      </c>
      <c r="AE130" s="534">
        <f t="shared" si="202"/>
        <v>8621.782749637212</v>
      </c>
      <c r="AF130" s="534">
        <f t="shared" si="202"/>
        <v>8621.782749637212</v>
      </c>
      <c r="AG130" s="534">
        <f t="shared" si="202"/>
        <v>8621.782749637212</v>
      </c>
      <c r="AH130" s="534">
        <f t="shared" si="202"/>
        <v>8621.782749637212</v>
      </c>
      <c r="AI130" s="534">
        <f t="shared" si="202"/>
        <v>8621.782749637212</v>
      </c>
      <c r="AJ130" s="534">
        <f t="shared" si="202"/>
        <v>8893.6434160810077</v>
      </c>
      <c r="AK130" s="534">
        <f t="shared" si="202"/>
        <v>8893.6434160810077</v>
      </c>
      <c r="AL130" s="534">
        <f t="shared" si="202"/>
        <v>8893.6434160810077</v>
      </c>
      <c r="AM130" s="534">
        <f t="shared" si="202"/>
        <v>8893.6434160810077</v>
      </c>
      <c r="AN130" s="534">
        <f t="shared" si="202"/>
        <v>8893.6434160810077</v>
      </c>
      <c r="AO130" s="534">
        <f t="shared" si="202"/>
        <v>8893.6434160810077</v>
      </c>
      <c r="AP130" s="534">
        <f t="shared" si="202"/>
        <v>9132.8681454244943</v>
      </c>
      <c r="AQ130" s="534">
        <f t="shared" si="202"/>
        <v>9132.8681454244943</v>
      </c>
      <c r="AR130" s="534">
        <f t="shared" si="202"/>
        <v>9132.8681454244943</v>
      </c>
      <c r="AS130" s="534">
        <f t="shared" si="202"/>
        <v>9132.8681454244943</v>
      </c>
      <c r="AT130" s="534">
        <f t="shared" si="202"/>
        <v>9132.8681454244943</v>
      </c>
      <c r="AU130" s="534">
        <f t="shared" si="202"/>
        <v>9132.8681454244943</v>
      </c>
      <c r="AV130" s="534">
        <f t="shared" si="202"/>
        <v>9471.4006393659765</v>
      </c>
      <c r="AW130" s="534">
        <f t="shared" si="202"/>
        <v>9471.4006393659765</v>
      </c>
      <c r="AX130" s="534">
        <f t="shared" ref="AX130:BY130" si="203">AX65/AX$82</f>
        <v>9471.4006393659765</v>
      </c>
      <c r="AY130" s="534">
        <f t="shared" si="203"/>
        <v>9471.4006393659765</v>
      </c>
      <c r="AZ130" s="534">
        <f t="shared" si="203"/>
        <v>9471.4006393659765</v>
      </c>
      <c r="BA130" s="534">
        <f t="shared" si="203"/>
        <v>9471.4006393659765</v>
      </c>
      <c r="BB130" s="534">
        <f t="shared" si="203"/>
        <v>9654.6831392262229</v>
      </c>
      <c r="BC130" s="534">
        <f t="shared" si="203"/>
        <v>9654.6831392262229</v>
      </c>
      <c r="BD130" s="534">
        <f t="shared" si="203"/>
        <v>9654.6831392262229</v>
      </c>
      <c r="BE130" s="534">
        <f t="shared" si="203"/>
        <v>9654.6831392262229</v>
      </c>
      <c r="BF130" s="534">
        <f t="shared" si="203"/>
        <v>9654.6831392262229</v>
      </c>
      <c r="BG130" s="534">
        <f t="shared" si="203"/>
        <v>9654.6831392262229</v>
      </c>
      <c r="BH130" s="534">
        <f t="shared" si="203"/>
        <v>10064.225195319403</v>
      </c>
      <c r="BI130" s="534">
        <f t="shared" si="203"/>
        <v>10064.225195319403</v>
      </c>
      <c r="BJ130" s="534">
        <f t="shared" si="203"/>
        <v>10064.225195319403</v>
      </c>
      <c r="BK130" s="534">
        <f t="shared" si="203"/>
        <v>10064.225195319403</v>
      </c>
      <c r="BL130" s="534">
        <f t="shared" si="203"/>
        <v>10064.225195319403</v>
      </c>
      <c r="BM130" s="534">
        <f t="shared" si="203"/>
        <v>10064.225195319403</v>
      </c>
      <c r="BN130" s="534">
        <f t="shared" si="203"/>
        <v>10202.14158293857</v>
      </c>
      <c r="BO130" s="534">
        <f t="shared" si="203"/>
        <v>10202.14158293857</v>
      </c>
      <c r="BP130" s="534">
        <f t="shared" si="203"/>
        <v>10202.14158293857</v>
      </c>
      <c r="BQ130" s="534">
        <f t="shared" si="203"/>
        <v>10202.14158293857</v>
      </c>
      <c r="BR130" s="534">
        <f t="shared" si="203"/>
        <v>10202.14158293857</v>
      </c>
      <c r="BS130" s="534">
        <f t="shared" si="203"/>
        <v>10202.14158293857</v>
      </c>
      <c r="BT130" s="534">
        <f t="shared" si="203"/>
        <v>10687.242054444592</v>
      </c>
      <c r="BU130" s="534">
        <f t="shared" si="203"/>
        <v>10687.242054444592</v>
      </c>
      <c r="BV130" s="534">
        <f t="shared" si="203"/>
        <v>10687.242054444592</v>
      </c>
      <c r="BW130" s="534">
        <f t="shared" si="203"/>
        <v>10687.242054444592</v>
      </c>
      <c r="BX130" s="534">
        <f t="shared" si="203"/>
        <v>10687.242054444592</v>
      </c>
      <c r="BY130" s="534">
        <f t="shared" si="203"/>
        <v>10687.242054444592</v>
      </c>
      <c r="BZ130" s="537"/>
      <c r="CA130" s="537"/>
      <c r="CB130" s="574"/>
    </row>
    <row r="131" spans="1:80" x14ac:dyDescent="0.3">
      <c r="A131" s="551"/>
      <c r="B131" s="548"/>
      <c r="C131" s="525"/>
      <c r="D131" s="525"/>
      <c r="E131" s="692" t="s">
        <v>406</v>
      </c>
      <c r="F131" s="525"/>
      <c r="G131" s="525"/>
      <c r="H131" s="525"/>
      <c r="I131" s="531">
        <f t="shared" ref="I131:N131" si="204">IFERROR(I130/I126,0)</f>
        <v>0.91479412209479072</v>
      </c>
      <c r="J131" s="531">
        <f t="shared" si="204"/>
        <v>0.91718329040132496</v>
      </c>
      <c r="K131" s="531">
        <f t="shared" si="204"/>
        <v>0.9201386829936794</v>
      </c>
      <c r="L131" s="531">
        <f t="shared" si="204"/>
        <v>0.92296415970341317</v>
      </c>
      <c r="M131" s="531">
        <f t="shared" si="204"/>
        <v>0.92567649157027854</v>
      </c>
      <c r="N131" s="531">
        <f t="shared" si="204"/>
        <v>0.92827882440468867</v>
      </c>
      <c r="O131" s="546"/>
      <c r="P131" s="564">
        <f>IFERROR(((N131/I131)^(1/5))-1,0)</f>
        <v>2.9309083794140101E-3</v>
      </c>
      <c r="Q131" s="537"/>
      <c r="R131" s="531">
        <f t="shared" ref="R131:AW131" si="205">IFERROR(R130/R126,0)</f>
        <v>0.91620509174059861</v>
      </c>
      <c r="S131" s="531">
        <f t="shared" si="205"/>
        <v>0.91620509174059861</v>
      </c>
      <c r="T131" s="531">
        <f t="shared" si="205"/>
        <v>0.91620509174059861</v>
      </c>
      <c r="U131" s="531">
        <f t="shared" si="205"/>
        <v>0.91620509174059861</v>
      </c>
      <c r="V131" s="531">
        <f t="shared" si="205"/>
        <v>0.91620509174059861</v>
      </c>
      <c r="W131" s="531">
        <f t="shared" si="205"/>
        <v>0.91620509174059861</v>
      </c>
      <c r="X131" s="531">
        <f t="shared" si="205"/>
        <v>0.91813891415228077</v>
      </c>
      <c r="Y131" s="531">
        <f t="shared" si="205"/>
        <v>0.91813891415228077</v>
      </c>
      <c r="Z131" s="531">
        <f t="shared" si="205"/>
        <v>0.91813891415228077</v>
      </c>
      <c r="AA131" s="531">
        <f t="shared" si="205"/>
        <v>0.91813891415228077</v>
      </c>
      <c r="AB131" s="531">
        <f t="shared" si="205"/>
        <v>0.91813891415228077</v>
      </c>
      <c r="AC131" s="531">
        <f t="shared" si="205"/>
        <v>0.91813891415228077</v>
      </c>
      <c r="AD131" s="531">
        <f t="shared" si="205"/>
        <v>0.91898160511027915</v>
      </c>
      <c r="AE131" s="531">
        <f t="shared" si="205"/>
        <v>0.91898160511027915</v>
      </c>
      <c r="AF131" s="531">
        <f t="shared" si="205"/>
        <v>0.91898160511027915</v>
      </c>
      <c r="AG131" s="531">
        <f t="shared" si="205"/>
        <v>0.91898160511027915</v>
      </c>
      <c r="AH131" s="531">
        <f t="shared" si="205"/>
        <v>0.91898160511027915</v>
      </c>
      <c r="AI131" s="531">
        <f t="shared" si="205"/>
        <v>0.91898160511027915</v>
      </c>
      <c r="AJ131" s="531">
        <f t="shared" si="205"/>
        <v>0.9212631762339234</v>
      </c>
      <c r="AK131" s="531">
        <f t="shared" si="205"/>
        <v>0.9212631762339234</v>
      </c>
      <c r="AL131" s="531">
        <f t="shared" si="205"/>
        <v>0.9212631762339234</v>
      </c>
      <c r="AM131" s="531">
        <f t="shared" si="205"/>
        <v>0.9212631762339234</v>
      </c>
      <c r="AN131" s="531">
        <f t="shared" si="205"/>
        <v>0.9212631762339234</v>
      </c>
      <c r="AO131" s="531">
        <f t="shared" si="205"/>
        <v>0.9212631762339234</v>
      </c>
      <c r="AP131" s="531">
        <f t="shared" si="205"/>
        <v>0.92164826478055695</v>
      </c>
      <c r="AQ131" s="531">
        <f t="shared" si="205"/>
        <v>0.92164826478055695</v>
      </c>
      <c r="AR131" s="531">
        <f t="shared" si="205"/>
        <v>0.92164826478055695</v>
      </c>
      <c r="AS131" s="531">
        <f t="shared" si="205"/>
        <v>0.92164826478055695</v>
      </c>
      <c r="AT131" s="531">
        <f t="shared" si="205"/>
        <v>0.92164826478055695</v>
      </c>
      <c r="AU131" s="531">
        <f t="shared" si="205"/>
        <v>0.92164826478055695</v>
      </c>
      <c r="AV131" s="531">
        <f t="shared" si="205"/>
        <v>0.92423658453823221</v>
      </c>
      <c r="AW131" s="531">
        <f t="shared" si="205"/>
        <v>0.92423658453823221</v>
      </c>
      <c r="AX131" s="531">
        <f t="shared" ref="AX131:BY131" si="206">IFERROR(AX130/AX126,0)</f>
        <v>0.92423658453823221</v>
      </c>
      <c r="AY131" s="531">
        <f t="shared" si="206"/>
        <v>0.92423658453823221</v>
      </c>
      <c r="AZ131" s="531">
        <f t="shared" si="206"/>
        <v>0.92423658453823221</v>
      </c>
      <c r="BA131" s="531">
        <f t="shared" si="206"/>
        <v>0.92423658453823221</v>
      </c>
      <c r="BB131" s="531">
        <f t="shared" si="206"/>
        <v>0.92421958448639285</v>
      </c>
      <c r="BC131" s="531">
        <f t="shared" si="206"/>
        <v>0.92421958448639285</v>
      </c>
      <c r="BD131" s="531">
        <f t="shared" si="206"/>
        <v>0.92421958448639285</v>
      </c>
      <c r="BE131" s="531">
        <f t="shared" si="206"/>
        <v>0.92421958448639285</v>
      </c>
      <c r="BF131" s="531">
        <f t="shared" si="206"/>
        <v>0.92421958448639285</v>
      </c>
      <c r="BG131" s="531">
        <f t="shared" si="206"/>
        <v>0.92421958448639285</v>
      </c>
      <c r="BH131" s="531">
        <f t="shared" si="206"/>
        <v>0.92707843615210683</v>
      </c>
      <c r="BI131" s="531">
        <f t="shared" si="206"/>
        <v>0.92707843615210683</v>
      </c>
      <c r="BJ131" s="531">
        <f t="shared" si="206"/>
        <v>0.92707843615210683</v>
      </c>
      <c r="BK131" s="531">
        <f t="shared" si="206"/>
        <v>0.92707843615210683</v>
      </c>
      <c r="BL131" s="531">
        <f t="shared" si="206"/>
        <v>0.92707843615210683</v>
      </c>
      <c r="BM131" s="531">
        <f t="shared" si="206"/>
        <v>0.92707843615210683</v>
      </c>
      <c r="BN131" s="531">
        <f t="shared" si="206"/>
        <v>0.92669868173938408</v>
      </c>
      <c r="BO131" s="531">
        <f t="shared" si="206"/>
        <v>0.92669868173938408</v>
      </c>
      <c r="BP131" s="531">
        <f t="shared" si="206"/>
        <v>0.92669868173938408</v>
      </c>
      <c r="BQ131" s="531">
        <f t="shared" si="206"/>
        <v>0.92669868173938408</v>
      </c>
      <c r="BR131" s="531">
        <f t="shared" si="206"/>
        <v>0.92669868173938408</v>
      </c>
      <c r="BS131" s="531">
        <f t="shared" si="206"/>
        <v>0.92669868173938408</v>
      </c>
      <c r="BT131" s="531">
        <f t="shared" si="206"/>
        <v>0.92979227897892669</v>
      </c>
      <c r="BU131" s="531">
        <f t="shared" si="206"/>
        <v>0.92979227897892669</v>
      </c>
      <c r="BV131" s="531">
        <f t="shared" si="206"/>
        <v>0.92979227897892669</v>
      </c>
      <c r="BW131" s="531">
        <f t="shared" si="206"/>
        <v>0.92979227897892669</v>
      </c>
      <c r="BX131" s="531">
        <f t="shared" si="206"/>
        <v>0.92979227897892669</v>
      </c>
      <c r="BY131" s="531">
        <f t="shared" si="206"/>
        <v>0.92979227897892669</v>
      </c>
      <c r="BZ131" s="537"/>
      <c r="CA131" s="537"/>
      <c r="CB131" s="537"/>
    </row>
    <row r="132" spans="1:80" x14ac:dyDescent="0.3">
      <c r="A132" s="551"/>
      <c r="B132" s="548"/>
      <c r="C132" s="525"/>
      <c r="D132" s="525"/>
      <c r="E132" s="2"/>
      <c r="F132" s="525"/>
      <c r="G132" s="525"/>
      <c r="H132" s="525"/>
      <c r="I132" s="525"/>
      <c r="J132" s="525"/>
      <c r="K132" s="525"/>
      <c r="L132" s="525"/>
      <c r="M132" s="525"/>
      <c r="N132" s="525"/>
      <c r="O132" s="525"/>
      <c r="P132" s="562"/>
      <c r="Q132" s="537"/>
      <c r="R132" s="525"/>
      <c r="S132" s="525"/>
      <c r="T132" s="525"/>
      <c r="U132" s="525"/>
      <c r="V132" s="525"/>
      <c r="W132" s="525"/>
      <c r="X132" s="525"/>
      <c r="Y132" s="525"/>
      <c r="Z132" s="525"/>
      <c r="AA132" s="525"/>
      <c r="AB132" s="525"/>
      <c r="AC132" s="525"/>
      <c r="AD132" s="525"/>
      <c r="AE132" s="525"/>
      <c r="AF132" s="525"/>
      <c r="AG132" s="525"/>
      <c r="AH132" s="525"/>
      <c r="AI132" s="525"/>
      <c r="AJ132" s="525"/>
      <c r="AK132" s="525"/>
      <c r="AL132" s="525"/>
      <c r="AM132" s="525"/>
      <c r="AN132" s="525"/>
      <c r="AO132" s="525"/>
      <c r="AP132" s="525"/>
      <c r="AQ132" s="525"/>
      <c r="AR132" s="525"/>
      <c r="AS132" s="525"/>
      <c r="AT132" s="525"/>
      <c r="AU132" s="525"/>
      <c r="AV132" s="525"/>
      <c r="AW132" s="525"/>
      <c r="AX132" s="525"/>
      <c r="AY132" s="525"/>
      <c r="AZ132" s="525"/>
      <c r="BA132" s="525"/>
      <c r="BB132" s="525"/>
      <c r="BC132" s="525"/>
      <c r="BD132" s="525"/>
      <c r="BE132" s="525"/>
      <c r="BF132" s="525"/>
      <c r="BG132" s="525"/>
      <c r="BH132" s="525"/>
      <c r="BI132" s="525"/>
      <c r="BJ132" s="525"/>
      <c r="BK132" s="525"/>
      <c r="BL132" s="525"/>
      <c r="BM132" s="525"/>
      <c r="BN132" s="525"/>
      <c r="BO132" s="525"/>
      <c r="BP132" s="525"/>
      <c r="BQ132" s="525"/>
      <c r="BR132" s="525"/>
      <c r="BS132" s="525"/>
      <c r="BT132" s="525"/>
      <c r="BU132" s="525"/>
      <c r="BV132" s="525"/>
      <c r="BW132" s="525"/>
      <c r="BX132" s="525"/>
      <c r="BY132" s="525"/>
      <c r="BZ132" s="537"/>
      <c r="CA132" s="537"/>
      <c r="CB132" s="537"/>
    </row>
    <row r="133" spans="1:80" x14ac:dyDescent="0.3">
      <c r="A133" s="551"/>
      <c r="B133" s="548"/>
      <c r="C133" s="525"/>
      <c r="D133" s="525"/>
      <c r="E133" s="2" t="s">
        <v>52</v>
      </c>
      <c r="F133" s="567"/>
      <c r="G133" s="567"/>
      <c r="H133" s="567"/>
      <c r="I133" s="527">
        <f t="shared" ref="I133:N136" si="207">I68/I$82</f>
        <v>-8872.0083527154457</v>
      </c>
      <c r="J133" s="527">
        <f t="shared" si="207"/>
        <v>-8160</v>
      </c>
      <c r="K133" s="527">
        <f t="shared" si="207"/>
        <v>-8323.2000000000025</v>
      </c>
      <c r="L133" s="527">
        <f t="shared" si="207"/>
        <v>-8489.6639999999989</v>
      </c>
      <c r="M133" s="527">
        <f t="shared" si="207"/>
        <v>-8659.4572800000005</v>
      </c>
      <c r="N133" s="527">
        <f t="shared" si="207"/>
        <v>-8832.6464256000036</v>
      </c>
      <c r="O133" s="529"/>
      <c r="P133" s="564">
        <f>IFERROR(((N133/I133)^(1/5))-1,0)</f>
        <v>-8.889073588056462E-4</v>
      </c>
      <c r="Q133" s="537"/>
      <c r="R133" s="527">
        <f t="shared" ref="R133:AW133" si="208">R68/R$82</f>
        <v>-680</v>
      </c>
      <c r="S133" s="527">
        <f t="shared" si="208"/>
        <v>-680</v>
      </c>
      <c r="T133" s="527">
        <f t="shared" si="208"/>
        <v>-680</v>
      </c>
      <c r="U133" s="527">
        <f t="shared" si="208"/>
        <v>-680</v>
      </c>
      <c r="V133" s="527">
        <f t="shared" si="208"/>
        <v>-680</v>
      </c>
      <c r="W133" s="527">
        <f t="shared" si="208"/>
        <v>-680</v>
      </c>
      <c r="X133" s="527">
        <f t="shared" si="208"/>
        <v>-680</v>
      </c>
      <c r="Y133" s="527">
        <f t="shared" si="208"/>
        <v>-680</v>
      </c>
      <c r="Z133" s="527">
        <f t="shared" si="208"/>
        <v>-680</v>
      </c>
      <c r="AA133" s="527">
        <f t="shared" si="208"/>
        <v>-680</v>
      </c>
      <c r="AB133" s="527">
        <f t="shared" si="208"/>
        <v>-680</v>
      </c>
      <c r="AC133" s="527">
        <f t="shared" si="208"/>
        <v>-680</v>
      </c>
      <c r="AD133" s="527">
        <f t="shared" si="208"/>
        <v>-693.6</v>
      </c>
      <c r="AE133" s="527">
        <f t="shared" si="208"/>
        <v>-693.6</v>
      </c>
      <c r="AF133" s="527">
        <f t="shared" si="208"/>
        <v>-693.6</v>
      </c>
      <c r="AG133" s="527">
        <f t="shared" si="208"/>
        <v>-693.6</v>
      </c>
      <c r="AH133" s="527">
        <f t="shared" si="208"/>
        <v>-693.6</v>
      </c>
      <c r="AI133" s="527">
        <f t="shared" si="208"/>
        <v>-693.6</v>
      </c>
      <c r="AJ133" s="527">
        <f t="shared" si="208"/>
        <v>-693.6</v>
      </c>
      <c r="AK133" s="527">
        <f t="shared" si="208"/>
        <v>-693.6</v>
      </c>
      <c r="AL133" s="527">
        <f t="shared" si="208"/>
        <v>-693.6</v>
      </c>
      <c r="AM133" s="527">
        <f t="shared" si="208"/>
        <v>-693.6</v>
      </c>
      <c r="AN133" s="527">
        <f t="shared" si="208"/>
        <v>-693.6</v>
      </c>
      <c r="AO133" s="527">
        <f t="shared" si="208"/>
        <v>-693.6</v>
      </c>
      <c r="AP133" s="527">
        <f t="shared" si="208"/>
        <v>-707.47199999999998</v>
      </c>
      <c r="AQ133" s="527">
        <f t="shared" si="208"/>
        <v>-707.47199999999998</v>
      </c>
      <c r="AR133" s="527">
        <f t="shared" si="208"/>
        <v>-707.47199999999998</v>
      </c>
      <c r="AS133" s="527">
        <f t="shared" si="208"/>
        <v>-707.47199999999998</v>
      </c>
      <c r="AT133" s="527">
        <f t="shared" si="208"/>
        <v>-707.47199999999998</v>
      </c>
      <c r="AU133" s="527">
        <f t="shared" si="208"/>
        <v>-707.47199999999998</v>
      </c>
      <c r="AV133" s="527">
        <f t="shared" si="208"/>
        <v>-707.47199999999998</v>
      </c>
      <c r="AW133" s="527">
        <f t="shared" si="208"/>
        <v>-707.47199999999998</v>
      </c>
      <c r="AX133" s="527">
        <f t="shared" ref="AX133:BY133" si="209">AX68/AX$82</f>
        <v>-707.47199999999998</v>
      </c>
      <c r="AY133" s="527">
        <f t="shared" si="209"/>
        <v>-707.47199999999998</v>
      </c>
      <c r="AZ133" s="527">
        <f t="shared" si="209"/>
        <v>-707.47199999999998</v>
      </c>
      <c r="BA133" s="527">
        <f t="shared" si="209"/>
        <v>-707.47199999999998</v>
      </c>
      <c r="BB133" s="527">
        <f t="shared" si="209"/>
        <v>-721.62144000000001</v>
      </c>
      <c r="BC133" s="527">
        <f t="shared" si="209"/>
        <v>-721.62144000000001</v>
      </c>
      <c r="BD133" s="527">
        <f t="shared" si="209"/>
        <v>-721.62144000000001</v>
      </c>
      <c r="BE133" s="527">
        <f t="shared" si="209"/>
        <v>-721.62144000000001</v>
      </c>
      <c r="BF133" s="527">
        <f t="shared" si="209"/>
        <v>-721.62144000000001</v>
      </c>
      <c r="BG133" s="527">
        <f t="shared" si="209"/>
        <v>-721.62144000000001</v>
      </c>
      <c r="BH133" s="527">
        <f t="shared" si="209"/>
        <v>-721.62144000000001</v>
      </c>
      <c r="BI133" s="527">
        <f t="shared" si="209"/>
        <v>-721.62144000000001</v>
      </c>
      <c r="BJ133" s="527">
        <f t="shared" si="209"/>
        <v>-721.62144000000001</v>
      </c>
      <c r="BK133" s="527">
        <f t="shared" si="209"/>
        <v>-721.62144000000001</v>
      </c>
      <c r="BL133" s="527">
        <f t="shared" si="209"/>
        <v>-721.62144000000001</v>
      </c>
      <c r="BM133" s="527">
        <f t="shared" si="209"/>
        <v>-721.62144000000001</v>
      </c>
      <c r="BN133" s="527">
        <f t="shared" si="209"/>
        <v>-736.05386880000003</v>
      </c>
      <c r="BO133" s="527">
        <f t="shared" si="209"/>
        <v>-736.05386880000003</v>
      </c>
      <c r="BP133" s="527">
        <f t="shared" si="209"/>
        <v>-736.05386880000003</v>
      </c>
      <c r="BQ133" s="527">
        <f t="shared" si="209"/>
        <v>-736.05386880000003</v>
      </c>
      <c r="BR133" s="527">
        <f t="shared" si="209"/>
        <v>-736.05386880000003</v>
      </c>
      <c r="BS133" s="527">
        <f t="shared" si="209"/>
        <v>-736.05386880000003</v>
      </c>
      <c r="BT133" s="527">
        <f t="shared" si="209"/>
        <v>-736.05386880000003</v>
      </c>
      <c r="BU133" s="527">
        <f t="shared" si="209"/>
        <v>-736.05386880000003</v>
      </c>
      <c r="BV133" s="527">
        <f t="shared" si="209"/>
        <v>-736.05386880000003</v>
      </c>
      <c r="BW133" s="527">
        <f t="shared" si="209"/>
        <v>-736.05386880000003</v>
      </c>
      <c r="BX133" s="527">
        <f t="shared" si="209"/>
        <v>-736.05386880000003</v>
      </c>
      <c r="BY133" s="527">
        <f t="shared" si="209"/>
        <v>-736.05386880000003</v>
      </c>
      <c r="BZ133" s="537"/>
      <c r="CA133" s="537"/>
      <c r="CB133" s="537"/>
    </row>
    <row r="134" spans="1:80" x14ac:dyDescent="0.3">
      <c r="A134" s="551"/>
      <c r="B134" s="548"/>
      <c r="C134" s="525"/>
      <c r="D134" s="525"/>
      <c r="E134" s="2" t="s">
        <v>69</v>
      </c>
      <c r="F134" s="567"/>
      <c r="G134" s="567"/>
      <c r="H134" s="567"/>
      <c r="I134" s="527">
        <f t="shared" si="207"/>
        <v>-1531.584477601182</v>
      </c>
      <c r="J134" s="527">
        <f t="shared" si="207"/>
        <v>-1614.6533212135578</v>
      </c>
      <c r="K134" s="527">
        <f t="shared" si="207"/>
        <v>-1713.2073502070864</v>
      </c>
      <c r="L134" s="527">
        <f t="shared" si="207"/>
        <v>-1814.1378221763141</v>
      </c>
      <c r="M134" s="527">
        <f t="shared" si="207"/>
        <v>-1917.1943613892331</v>
      </c>
      <c r="N134" s="527">
        <f t="shared" si="207"/>
        <v>-2025.3015343425172</v>
      </c>
      <c r="O134" s="529"/>
      <c r="P134" s="564">
        <f>IFERROR(((N134/I134)^(1/5))-1,0)</f>
        <v>5.7474119023726233E-2</v>
      </c>
      <c r="Q134" s="537"/>
      <c r="R134" s="527">
        <f t="shared" ref="R134:AW134" si="210">R69/R$82</f>
        <v>-132.98369195210665</v>
      </c>
      <c r="S134" s="527">
        <f t="shared" si="210"/>
        <v>-132.98369195210665</v>
      </c>
      <c r="T134" s="527">
        <f t="shared" si="210"/>
        <v>-132.98369195210665</v>
      </c>
      <c r="U134" s="527">
        <f t="shared" si="210"/>
        <v>-132.98369195210665</v>
      </c>
      <c r="V134" s="527">
        <f t="shared" si="210"/>
        <v>-132.98369195210665</v>
      </c>
      <c r="W134" s="527">
        <f t="shared" si="210"/>
        <v>-132.98369195210665</v>
      </c>
      <c r="X134" s="527">
        <f t="shared" si="210"/>
        <v>-136.12519491681968</v>
      </c>
      <c r="Y134" s="527">
        <f t="shared" si="210"/>
        <v>-136.12519491681968</v>
      </c>
      <c r="Z134" s="527">
        <f t="shared" si="210"/>
        <v>-136.12519491681968</v>
      </c>
      <c r="AA134" s="527">
        <f t="shared" si="210"/>
        <v>-136.12519491681968</v>
      </c>
      <c r="AB134" s="527">
        <f t="shared" si="210"/>
        <v>-136.12519491681968</v>
      </c>
      <c r="AC134" s="527">
        <f t="shared" si="210"/>
        <v>-136.12519491681968</v>
      </c>
      <c r="AD134" s="527">
        <f t="shared" si="210"/>
        <v>-140.7283241855954</v>
      </c>
      <c r="AE134" s="527">
        <f t="shared" si="210"/>
        <v>-140.7283241855954</v>
      </c>
      <c r="AF134" s="527">
        <f t="shared" si="210"/>
        <v>-140.7283241855954</v>
      </c>
      <c r="AG134" s="527">
        <f t="shared" si="210"/>
        <v>-140.7283241855954</v>
      </c>
      <c r="AH134" s="527">
        <f t="shared" si="210"/>
        <v>-140.7283241855954</v>
      </c>
      <c r="AI134" s="527">
        <f t="shared" si="210"/>
        <v>-140.7283241855954</v>
      </c>
      <c r="AJ134" s="527">
        <f t="shared" si="210"/>
        <v>-144.8062341822523</v>
      </c>
      <c r="AK134" s="527">
        <f t="shared" si="210"/>
        <v>-144.8062341822523</v>
      </c>
      <c r="AL134" s="527">
        <f t="shared" si="210"/>
        <v>-144.8062341822523</v>
      </c>
      <c r="AM134" s="527">
        <f t="shared" si="210"/>
        <v>-144.8062341822523</v>
      </c>
      <c r="AN134" s="527">
        <f t="shared" si="210"/>
        <v>-144.8062341822523</v>
      </c>
      <c r="AO134" s="527">
        <f t="shared" si="210"/>
        <v>-144.8062341822523</v>
      </c>
      <c r="AP134" s="527">
        <f t="shared" si="210"/>
        <v>-148.63915814346504</v>
      </c>
      <c r="AQ134" s="527">
        <f t="shared" si="210"/>
        <v>-148.63915814346504</v>
      </c>
      <c r="AR134" s="527">
        <f t="shared" si="210"/>
        <v>-148.63915814346504</v>
      </c>
      <c r="AS134" s="527">
        <f t="shared" si="210"/>
        <v>-148.63915814346504</v>
      </c>
      <c r="AT134" s="527">
        <f t="shared" si="210"/>
        <v>-148.63915814346504</v>
      </c>
      <c r="AU134" s="527">
        <f t="shared" si="210"/>
        <v>-148.63915814346504</v>
      </c>
      <c r="AV134" s="527">
        <f t="shared" si="210"/>
        <v>-153.71714555258728</v>
      </c>
      <c r="AW134" s="527">
        <f t="shared" si="210"/>
        <v>-153.71714555258728</v>
      </c>
      <c r="AX134" s="527">
        <f t="shared" ref="AX134:BY134" si="211">AX69/AX$82</f>
        <v>-153.71714555258728</v>
      </c>
      <c r="AY134" s="527">
        <f t="shared" si="211"/>
        <v>-153.71714555258728</v>
      </c>
      <c r="AZ134" s="527">
        <f t="shared" si="211"/>
        <v>-153.71714555258728</v>
      </c>
      <c r="BA134" s="527">
        <f t="shared" si="211"/>
        <v>-153.71714555258728</v>
      </c>
      <c r="BB134" s="527">
        <f t="shared" si="211"/>
        <v>-156.69463136173724</v>
      </c>
      <c r="BC134" s="527">
        <f t="shared" si="211"/>
        <v>-156.69463136173724</v>
      </c>
      <c r="BD134" s="527">
        <f t="shared" si="211"/>
        <v>-156.69463136173724</v>
      </c>
      <c r="BE134" s="527">
        <f t="shared" si="211"/>
        <v>-156.69463136173724</v>
      </c>
      <c r="BF134" s="527">
        <f t="shared" si="211"/>
        <v>-156.69463136173724</v>
      </c>
      <c r="BG134" s="527">
        <f t="shared" si="211"/>
        <v>-156.69463136173724</v>
      </c>
      <c r="BH134" s="527">
        <f t="shared" si="211"/>
        <v>-162.8377622031349</v>
      </c>
      <c r="BI134" s="527">
        <f t="shared" si="211"/>
        <v>-162.8377622031349</v>
      </c>
      <c r="BJ134" s="527">
        <f t="shared" si="211"/>
        <v>-162.8377622031349</v>
      </c>
      <c r="BK134" s="527">
        <f t="shared" si="211"/>
        <v>-162.8377622031349</v>
      </c>
      <c r="BL134" s="527">
        <f t="shared" si="211"/>
        <v>-162.8377622031349</v>
      </c>
      <c r="BM134" s="527">
        <f t="shared" si="211"/>
        <v>-162.8377622031349</v>
      </c>
      <c r="BN134" s="527">
        <f t="shared" si="211"/>
        <v>-165.13687432558129</v>
      </c>
      <c r="BO134" s="527">
        <f t="shared" si="211"/>
        <v>-165.13687432558129</v>
      </c>
      <c r="BP134" s="527">
        <f t="shared" si="211"/>
        <v>-165.13687432558129</v>
      </c>
      <c r="BQ134" s="527">
        <f t="shared" si="211"/>
        <v>-165.13687432558129</v>
      </c>
      <c r="BR134" s="527">
        <f t="shared" si="211"/>
        <v>-165.13687432558129</v>
      </c>
      <c r="BS134" s="527">
        <f t="shared" si="211"/>
        <v>-165.13687432558129</v>
      </c>
      <c r="BT134" s="527">
        <f t="shared" si="211"/>
        <v>-172.41338139817162</v>
      </c>
      <c r="BU134" s="527">
        <f t="shared" si="211"/>
        <v>-172.41338139817162</v>
      </c>
      <c r="BV134" s="527">
        <f t="shared" si="211"/>
        <v>-172.41338139817162</v>
      </c>
      <c r="BW134" s="527">
        <f t="shared" si="211"/>
        <v>-172.41338139817162</v>
      </c>
      <c r="BX134" s="527">
        <f t="shared" si="211"/>
        <v>-172.41338139817162</v>
      </c>
      <c r="BY134" s="527">
        <f t="shared" si="211"/>
        <v>-172.41338139817162</v>
      </c>
      <c r="BZ134" s="537"/>
      <c r="CA134" s="537"/>
      <c r="CB134" s="537"/>
    </row>
    <row r="135" spans="1:80" x14ac:dyDescent="0.3">
      <c r="A135" s="551"/>
      <c r="B135" s="548"/>
      <c r="C135" s="525"/>
      <c r="D135" s="525"/>
      <c r="E135" s="2" t="s">
        <v>184</v>
      </c>
      <c r="F135" s="567"/>
      <c r="G135" s="567"/>
      <c r="H135" s="567"/>
      <c r="I135" s="527">
        <f t="shared" si="207"/>
        <v>0</v>
      </c>
      <c r="J135" s="527">
        <f t="shared" si="207"/>
        <v>0</v>
      </c>
      <c r="K135" s="527">
        <f t="shared" si="207"/>
        <v>0</v>
      </c>
      <c r="L135" s="527">
        <f t="shared" si="207"/>
        <v>0</v>
      </c>
      <c r="M135" s="527">
        <f t="shared" si="207"/>
        <v>0</v>
      </c>
      <c r="N135" s="527">
        <f t="shared" si="207"/>
        <v>0</v>
      </c>
      <c r="O135" s="529"/>
      <c r="P135" s="564">
        <f>IFERROR(((N135/I135)^(1/5))-1,0)</f>
        <v>0</v>
      </c>
      <c r="Q135" s="537"/>
      <c r="R135" s="527">
        <f t="shared" ref="R135:AW135" si="212">R70/R$82</f>
        <v>0</v>
      </c>
      <c r="S135" s="527">
        <f t="shared" si="212"/>
        <v>0</v>
      </c>
      <c r="T135" s="527">
        <f t="shared" si="212"/>
        <v>0</v>
      </c>
      <c r="U135" s="527">
        <f t="shared" si="212"/>
        <v>0</v>
      </c>
      <c r="V135" s="527">
        <f t="shared" si="212"/>
        <v>0</v>
      </c>
      <c r="W135" s="527">
        <f t="shared" si="212"/>
        <v>0</v>
      </c>
      <c r="X135" s="527">
        <f t="shared" si="212"/>
        <v>0</v>
      </c>
      <c r="Y135" s="527">
        <f t="shared" si="212"/>
        <v>0</v>
      </c>
      <c r="Z135" s="527">
        <f t="shared" si="212"/>
        <v>0</v>
      </c>
      <c r="AA135" s="527">
        <f t="shared" si="212"/>
        <v>0</v>
      </c>
      <c r="AB135" s="527">
        <f t="shared" si="212"/>
        <v>0</v>
      </c>
      <c r="AC135" s="527">
        <f t="shared" si="212"/>
        <v>0</v>
      </c>
      <c r="AD135" s="527">
        <f t="shared" si="212"/>
        <v>0</v>
      </c>
      <c r="AE135" s="527">
        <f t="shared" si="212"/>
        <v>0</v>
      </c>
      <c r="AF135" s="527">
        <f t="shared" si="212"/>
        <v>0</v>
      </c>
      <c r="AG135" s="527">
        <f t="shared" si="212"/>
        <v>0</v>
      </c>
      <c r="AH135" s="527">
        <f t="shared" si="212"/>
        <v>0</v>
      </c>
      <c r="AI135" s="527">
        <f t="shared" si="212"/>
        <v>0</v>
      </c>
      <c r="AJ135" s="527">
        <f t="shared" si="212"/>
        <v>0</v>
      </c>
      <c r="AK135" s="527">
        <f t="shared" si="212"/>
        <v>0</v>
      </c>
      <c r="AL135" s="527">
        <f t="shared" si="212"/>
        <v>0</v>
      </c>
      <c r="AM135" s="527">
        <f t="shared" si="212"/>
        <v>0</v>
      </c>
      <c r="AN135" s="527">
        <f t="shared" si="212"/>
        <v>0</v>
      </c>
      <c r="AO135" s="527">
        <f t="shared" si="212"/>
        <v>0</v>
      </c>
      <c r="AP135" s="527">
        <f t="shared" si="212"/>
        <v>0</v>
      </c>
      <c r="AQ135" s="527">
        <f t="shared" si="212"/>
        <v>0</v>
      </c>
      <c r="AR135" s="527">
        <f t="shared" si="212"/>
        <v>0</v>
      </c>
      <c r="AS135" s="527">
        <f t="shared" si="212"/>
        <v>0</v>
      </c>
      <c r="AT135" s="527">
        <f t="shared" si="212"/>
        <v>0</v>
      </c>
      <c r="AU135" s="527">
        <f t="shared" si="212"/>
        <v>0</v>
      </c>
      <c r="AV135" s="527">
        <f t="shared" si="212"/>
        <v>0</v>
      </c>
      <c r="AW135" s="527">
        <f t="shared" si="212"/>
        <v>0</v>
      </c>
      <c r="AX135" s="527">
        <f t="shared" ref="AX135:BY135" si="213">AX70/AX$82</f>
        <v>0</v>
      </c>
      <c r="AY135" s="527">
        <f t="shared" si="213"/>
        <v>0</v>
      </c>
      <c r="AZ135" s="527">
        <f t="shared" si="213"/>
        <v>0</v>
      </c>
      <c r="BA135" s="527">
        <f t="shared" si="213"/>
        <v>0</v>
      </c>
      <c r="BB135" s="527">
        <f t="shared" si="213"/>
        <v>0</v>
      </c>
      <c r="BC135" s="527">
        <f t="shared" si="213"/>
        <v>0</v>
      </c>
      <c r="BD135" s="527">
        <f t="shared" si="213"/>
        <v>0</v>
      </c>
      <c r="BE135" s="527">
        <f t="shared" si="213"/>
        <v>0</v>
      </c>
      <c r="BF135" s="527">
        <f t="shared" si="213"/>
        <v>0</v>
      </c>
      <c r="BG135" s="527">
        <f t="shared" si="213"/>
        <v>0</v>
      </c>
      <c r="BH135" s="527">
        <f t="shared" si="213"/>
        <v>0</v>
      </c>
      <c r="BI135" s="527">
        <f t="shared" si="213"/>
        <v>0</v>
      </c>
      <c r="BJ135" s="527">
        <f t="shared" si="213"/>
        <v>0</v>
      </c>
      <c r="BK135" s="527">
        <f t="shared" si="213"/>
        <v>0</v>
      </c>
      <c r="BL135" s="527">
        <f t="shared" si="213"/>
        <v>0</v>
      </c>
      <c r="BM135" s="527">
        <f t="shared" si="213"/>
        <v>0</v>
      </c>
      <c r="BN135" s="527">
        <f t="shared" si="213"/>
        <v>0</v>
      </c>
      <c r="BO135" s="527">
        <f t="shared" si="213"/>
        <v>0</v>
      </c>
      <c r="BP135" s="527">
        <f t="shared" si="213"/>
        <v>0</v>
      </c>
      <c r="BQ135" s="527">
        <f t="shared" si="213"/>
        <v>0</v>
      </c>
      <c r="BR135" s="527">
        <f t="shared" si="213"/>
        <v>0</v>
      </c>
      <c r="BS135" s="527">
        <f t="shared" si="213"/>
        <v>0</v>
      </c>
      <c r="BT135" s="527">
        <f t="shared" si="213"/>
        <v>0</v>
      </c>
      <c r="BU135" s="527">
        <f t="shared" si="213"/>
        <v>0</v>
      </c>
      <c r="BV135" s="527">
        <f t="shared" si="213"/>
        <v>0</v>
      </c>
      <c r="BW135" s="527">
        <f t="shared" si="213"/>
        <v>0</v>
      </c>
      <c r="BX135" s="527">
        <f t="shared" si="213"/>
        <v>0</v>
      </c>
      <c r="BY135" s="527">
        <f t="shared" si="213"/>
        <v>0</v>
      </c>
      <c r="BZ135" s="537"/>
      <c r="CA135" s="537"/>
      <c r="CB135" s="537"/>
    </row>
    <row r="136" spans="1:80" x14ac:dyDescent="0.3">
      <c r="A136" s="551"/>
      <c r="B136" s="548"/>
      <c r="C136" s="525"/>
      <c r="D136" s="525"/>
      <c r="E136" s="62" t="s">
        <v>293</v>
      </c>
      <c r="F136" s="579"/>
      <c r="G136" s="579"/>
      <c r="H136" s="579"/>
      <c r="I136" s="534">
        <f t="shared" si="207"/>
        <v>83002.039009762171</v>
      </c>
      <c r="J136" s="534">
        <f t="shared" si="207"/>
        <v>88954.216412658338</v>
      </c>
      <c r="K136" s="534">
        <f t="shared" si="207"/>
        <v>95056.149644102203</v>
      </c>
      <c r="L136" s="534">
        <f t="shared" si="207"/>
        <v>101321.81088656647</v>
      </c>
      <c r="M136" s="534">
        <f t="shared" si="207"/>
        <v>107736.79836588455</v>
      </c>
      <c r="N136" s="534">
        <f t="shared" si="207"/>
        <v>114478.35386435645</v>
      </c>
      <c r="O136" s="536"/>
      <c r="P136" s="568">
        <f>IFERROR(((N136/I136)^(1/5))-1,0)</f>
        <v>6.6416664253968305E-2</v>
      </c>
      <c r="Q136" s="537"/>
      <c r="R136" s="535">
        <f t="shared" ref="R136:AW136" si="214">R71/R$82</f>
        <v>7309.7053537134507</v>
      </c>
      <c r="S136" s="535">
        <f t="shared" si="214"/>
        <v>7309.7053537134507</v>
      </c>
      <c r="T136" s="535">
        <f t="shared" si="214"/>
        <v>7309.7053537134507</v>
      </c>
      <c r="U136" s="535">
        <f t="shared" si="214"/>
        <v>7309.7053537134507</v>
      </c>
      <c r="V136" s="535">
        <f t="shared" si="214"/>
        <v>7309.7053537134507</v>
      </c>
      <c r="W136" s="535">
        <f t="shared" si="214"/>
        <v>7309.7053537134507</v>
      </c>
      <c r="X136" s="535">
        <f t="shared" si="214"/>
        <v>7515.9973817296068</v>
      </c>
      <c r="Y136" s="535">
        <f t="shared" si="214"/>
        <v>7515.9973817296068</v>
      </c>
      <c r="Z136" s="535">
        <f t="shared" si="214"/>
        <v>7515.9973817296068</v>
      </c>
      <c r="AA136" s="535">
        <f t="shared" si="214"/>
        <v>7515.9973817296068</v>
      </c>
      <c r="AB136" s="535">
        <f t="shared" si="214"/>
        <v>7515.9973817296068</v>
      </c>
      <c r="AC136" s="535">
        <f t="shared" si="214"/>
        <v>7515.9973817296068</v>
      </c>
      <c r="AD136" s="535">
        <f t="shared" si="214"/>
        <v>7787.4544254516168</v>
      </c>
      <c r="AE136" s="535">
        <f t="shared" si="214"/>
        <v>7787.4544254516168</v>
      </c>
      <c r="AF136" s="535">
        <f t="shared" si="214"/>
        <v>7787.4544254516168</v>
      </c>
      <c r="AG136" s="535">
        <f t="shared" si="214"/>
        <v>7787.4544254516168</v>
      </c>
      <c r="AH136" s="535">
        <f t="shared" si="214"/>
        <v>7787.4544254516168</v>
      </c>
      <c r="AI136" s="535">
        <f t="shared" si="214"/>
        <v>7787.4544254516168</v>
      </c>
      <c r="AJ136" s="535">
        <f t="shared" si="214"/>
        <v>8055.2371818987558</v>
      </c>
      <c r="AK136" s="535">
        <f t="shared" si="214"/>
        <v>8055.2371818987558</v>
      </c>
      <c r="AL136" s="535">
        <f t="shared" si="214"/>
        <v>8055.2371818987558</v>
      </c>
      <c r="AM136" s="535">
        <f t="shared" si="214"/>
        <v>8055.2371818987558</v>
      </c>
      <c r="AN136" s="535">
        <f t="shared" si="214"/>
        <v>8055.2371818987558</v>
      </c>
      <c r="AO136" s="535">
        <f t="shared" si="214"/>
        <v>8055.2371818987558</v>
      </c>
      <c r="AP136" s="535">
        <f t="shared" si="214"/>
        <v>8276.7569872810291</v>
      </c>
      <c r="AQ136" s="535">
        <f t="shared" si="214"/>
        <v>8276.7569872810291</v>
      </c>
      <c r="AR136" s="535">
        <f t="shared" si="214"/>
        <v>8276.7569872810291</v>
      </c>
      <c r="AS136" s="535">
        <f t="shared" si="214"/>
        <v>8276.7569872810291</v>
      </c>
      <c r="AT136" s="535">
        <f t="shared" si="214"/>
        <v>8276.7569872810291</v>
      </c>
      <c r="AU136" s="535">
        <f t="shared" si="214"/>
        <v>8276.7569872810291</v>
      </c>
      <c r="AV136" s="535">
        <f t="shared" si="214"/>
        <v>8610.2114938133891</v>
      </c>
      <c r="AW136" s="535">
        <f t="shared" si="214"/>
        <v>8610.2114938133891</v>
      </c>
      <c r="AX136" s="535">
        <f t="shared" ref="AX136:BY136" si="215">AX71/AX$82</f>
        <v>8610.2114938133891</v>
      </c>
      <c r="AY136" s="535">
        <f t="shared" si="215"/>
        <v>8610.2114938133891</v>
      </c>
      <c r="AZ136" s="535">
        <f t="shared" si="215"/>
        <v>8610.2114938133891</v>
      </c>
      <c r="BA136" s="535">
        <f t="shared" si="215"/>
        <v>8610.2114938133891</v>
      </c>
      <c r="BB136" s="535">
        <f t="shared" si="215"/>
        <v>8776.3670678644867</v>
      </c>
      <c r="BC136" s="535">
        <f t="shared" si="215"/>
        <v>8776.3670678644867</v>
      </c>
      <c r="BD136" s="535">
        <f t="shared" si="215"/>
        <v>8776.3670678644867</v>
      </c>
      <c r="BE136" s="535">
        <f t="shared" si="215"/>
        <v>8776.3670678644867</v>
      </c>
      <c r="BF136" s="535">
        <f t="shared" si="215"/>
        <v>8776.3670678644867</v>
      </c>
      <c r="BG136" s="535">
        <f t="shared" si="215"/>
        <v>8776.3670678644867</v>
      </c>
      <c r="BH136" s="535">
        <f t="shared" si="215"/>
        <v>9179.7659931162689</v>
      </c>
      <c r="BI136" s="535">
        <f t="shared" si="215"/>
        <v>9179.7659931162689</v>
      </c>
      <c r="BJ136" s="535">
        <f t="shared" si="215"/>
        <v>9179.7659931162689</v>
      </c>
      <c r="BK136" s="535">
        <f t="shared" si="215"/>
        <v>9179.7659931162689</v>
      </c>
      <c r="BL136" s="535">
        <f t="shared" si="215"/>
        <v>9179.7659931162689</v>
      </c>
      <c r="BM136" s="535">
        <f t="shared" si="215"/>
        <v>9179.7659931162689</v>
      </c>
      <c r="BN136" s="535">
        <f t="shared" si="215"/>
        <v>9300.9508398129892</v>
      </c>
      <c r="BO136" s="535">
        <f t="shared" si="215"/>
        <v>9300.9508398129892</v>
      </c>
      <c r="BP136" s="535">
        <f t="shared" si="215"/>
        <v>9300.9508398129892</v>
      </c>
      <c r="BQ136" s="535">
        <f t="shared" si="215"/>
        <v>9300.9508398129892</v>
      </c>
      <c r="BR136" s="535">
        <f t="shared" si="215"/>
        <v>9300.9508398129892</v>
      </c>
      <c r="BS136" s="535">
        <f t="shared" si="215"/>
        <v>9300.9508398129892</v>
      </c>
      <c r="BT136" s="535">
        <f t="shared" si="215"/>
        <v>9778.7748042464209</v>
      </c>
      <c r="BU136" s="535">
        <f t="shared" si="215"/>
        <v>9778.7748042464209</v>
      </c>
      <c r="BV136" s="535">
        <f t="shared" si="215"/>
        <v>9778.7748042464209</v>
      </c>
      <c r="BW136" s="535">
        <f t="shared" si="215"/>
        <v>9778.7748042464209</v>
      </c>
      <c r="BX136" s="535">
        <f t="shared" si="215"/>
        <v>9778.7748042464209</v>
      </c>
      <c r="BY136" s="535">
        <f t="shared" si="215"/>
        <v>9778.7748042464209</v>
      </c>
      <c r="BZ136" s="537"/>
      <c r="CA136" s="537"/>
      <c r="CB136" s="537"/>
    </row>
    <row r="137" spans="1:80" x14ac:dyDescent="0.3">
      <c r="A137" s="551"/>
      <c r="B137" s="548"/>
      <c r="C137" s="525"/>
      <c r="D137" s="525"/>
      <c r="E137" s="2" t="s">
        <v>407</v>
      </c>
      <c r="F137" s="525"/>
      <c r="G137" s="525"/>
      <c r="H137" s="525"/>
      <c r="I137" s="531">
        <f t="shared" ref="I137:N137" si="216">IFERROR(I136/I130,0)</f>
        <v>0.88861921251034648</v>
      </c>
      <c r="J137" s="531">
        <f t="shared" si="216"/>
        <v>0.90099498406533385</v>
      </c>
      <c r="K137" s="531">
        <f t="shared" si="216"/>
        <v>0.90449935145501725</v>
      </c>
      <c r="L137" s="531">
        <f t="shared" si="216"/>
        <v>0.90769321151175819</v>
      </c>
      <c r="M137" s="531">
        <f t="shared" si="216"/>
        <v>0.91060482438185186</v>
      </c>
      <c r="N137" s="531">
        <f t="shared" si="216"/>
        <v>0.91336948831342113</v>
      </c>
      <c r="O137" s="546"/>
      <c r="P137" s="564">
        <f>IFERROR(((N137/I137)^(1/5))-1,0)</f>
        <v>5.5094584115966683E-3</v>
      </c>
      <c r="Q137" s="537"/>
      <c r="R137" s="531">
        <f t="shared" ref="R137:AW137" si="217">IFERROR(R136/R130,0)</f>
        <v>0.89991200113884295</v>
      </c>
      <c r="S137" s="531">
        <f t="shared" si="217"/>
        <v>0.89991200113884295</v>
      </c>
      <c r="T137" s="531">
        <f t="shared" si="217"/>
        <v>0.89991200113884295</v>
      </c>
      <c r="U137" s="531">
        <f t="shared" si="217"/>
        <v>0.89991200113884295</v>
      </c>
      <c r="V137" s="531">
        <f t="shared" si="217"/>
        <v>0.89991200113884295</v>
      </c>
      <c r="W137" s="531">
        <f t="shared" si="217"/>
        <v>0.89991200113884295</v>
      </c>
      <c r="X137" s="531">
        <f t="shared" si="217"/>
        <v>0.90205074548419573</v>
      </c>
      <c r="Y137" s="531">
        <f t="shared" si="217"/>
        <v>0.90205074548419573</v>
      </c>
      <c r="Z137" s="531">
        <f t="shared" si="217"/>
        <v>0.90205074548419573</v>
      </c>
      <c r="AA137" s="531">
        <f t="shared" si="217"/>
        <v>0.90205074548419573</v>
      </c>
      <c r="AB137" s="531">
        <f t="shared" si="217"/>
        <v>0.90205074548419573</v>
      </c>
      <c r="AC137" s="531">
        <f t="shared" si="217"/>
        <v>0.90205074548419573</v>
      </c>
      <c r="AD137" s="531">
        <f t="shared" si="217"/>
        <v>0.90323018470620797</v>
      </c>
      <c r="AE137" s="531">
        <f t="shared" si="217"/>
        <v>0.90323018470620797</v>
      </c>
      <c r="AF137" s="531">
        <f t="shared" si="217"/>
        <v>0.90323018470620797</v>
      </c>
      <c r="AG137" s="531">
        <f t="shared" si="217"/>
        <v>0.90323018470620797</v>
      </c>
      <c r="AH137" s="531">
        <f t="shared" si="217"/>
        <v>0.90323018470620797</v>
      </c>
      <c r="AI137" s="531">
        <f t="shared" si="217"/>
        <v>0.90323018470620797</v>
      </c>
      <c r="AJ137" s="531">
        <f t="shared" si="217"/>
        <v>0.90572972234682914</v>
      </c>
      <c r="AK137" s="531">
        <f t="shared" si="217"/>
        <v>0.90572972234682914</v>
      </c>
      <c r="AL137" s="531">
        <f t="shared" si="217"/>
        <v>0.90572972234682914</v>
      </c>
      <c r="AM137" s="531">
        <f t="shared" si="217"/>
        <v>0.90572972234682914</v>
      </c>
      <c r="AN137" s="531">
        <f t="shared" si="217"/>
        <v>0.90572972234682914</v>
      </c>
      <c r="AO137" s="531">
        <f t="shared" si="217"/>
        <v>0.90572972234682914</v>
      </c>
      <c r="AP137" s="531">
        <f t="shared" si="217"/>
        <v>0.90626042722708411</v>
      </c>
      <c r="AQ137" s="531">
        <f t="shared" si="217"/>
        <v>0.90626042722708411</v>
      </c>
      <c r="AR137" s="531">
        <f t="shared" si="217"/>
        <v>0.90626042722708411</v>
      </c>
      <c r="AS137" s="531">
        <f t="shared" si="217"/>
        <v>0.90626042722708411</v>
      </c>
      <c r="AT137" s="531">
        <f t="shared" si="217"/>
        <v>0.90626042722708411</v>
      </c>
      <c r="AU137" s="531">
        <f t="shared" si="217"/>
        <v>0.90626042722708411</v>
      </c>
      <c r="AV137" s="531">
        <f t="shared" si="217"/>
        <v>0.90907478435942968</v>
      </c>
      <c r="AW137" s="531">
        <f t="shared" si="217"/>
        <v>0.90907478435942968</v>
      </c>
      <c r="AX137" s="531">
        <f t="shared" ref="AX137:BY137" si="218">IFERROR(AX136/AX130,0)</f>
        <v>0.90907478435942968</v>
      </c>
      <c r="AY137" s="531">
        <f t="shared" si="218"/>
        <v>0.90907478435942968</v>
      </c>
      <c r="AZ137" s="531">
        <f t="shared" si="218"/>
        <v>0.90907478435942968</v>
      </c>
      <c r="BA137" s="531">
        <f t="shared" si="218"/>
        <v>0.90907478435942968</v>
      </c>
      <c r="BB137" s="531">
        <f t="shared" si="218"/>
        <v>0.90902693970419324</v>
      </c>
      <c r="BC137" s="531">
        <f t="shared" si="218"/>
        <v>0.90902693970419324</v>
      </c>
      <c r="BD137" s="531">
        <f t="shared" si="218"/>
        <v>0.90902693970419324</v>
      </c>
      <c r="BE137" s="531">
        <f t="shared" si="218"/>
        <v>0.90902693970419324</v>
      </c>
      <c r="BF137" s="531">
        <f t="shared" si="218"/>
        <v>0.90902693970419324</v>
      </c>
      <c r="BG137" s="531">
        <f t="shared" si="218"/>
        <v>0.90902693970419324</v>
      </c>
      <c r="BH137" s="531">
        <f t="shared" si="218"/>
        <v>0.91211850042718923</v>
      </c>
      <c r="BI137" s="531">
        <f t="shared" si="218"/>
        <v>0.91211850042718923</v>
      </c>
      <c r="BJ137" s="531">
        <f t="shared" si="218"/>
        <v>0.91211850042718923</v>
      </c>
      <c r="BK137" s="531">
        <f t="shared" si="218"/>
        <v>0.91211850042718923</v>
      </c>
      <c r="BL137" s="531">
        <f t="shared" si="218"/>
        <v>0.91211850042718923</v>
      </c>
      <c r="BM137" s="531">
        <f t="shared" si="218"/>
        <v>0.91211850042718923</v>
      </c>
      <c r="BN137" s="531">
        <f t="shared" si="218"/>
        <v>0.91166651278074051</v>
      </c>
      <c r="BO137" s="531">
        <f t="shared" si="218"/>
        <v>0.91166651278074051</v>
      </c>
      <c r="BP137" s="531">
        <f t="shared" si="218"/>
        <v>0.91166651278074051</v>
      </c>
      <c r="BQ137" s="531">
        <f t="shared" si="218"/>
        <v>0.91166651278074051</v>
      </c>
      <c r="BR137" s="531">
        <f t="shared" si="218"/>
        <v>0.91166651278074051</v>
      </c>
      <c r="BS137" s="531">
        <f t="shared" si="218"/>
        <v>0.91166651278074051</v>
      </c>
      <c r="BT137" s="531">
        <f t="shared" si="218"/>
        <v>0.91499516474221154</v>
      </c>
      <c r="BU137" s="531">
        <f t="shared" si="218"/>
        <v>0.91499516474221154</v>
      </c>
      <c r="BV137" s="531">
        <f t="shared" si="218"/>
        <v>0.91499516474221154</v>
      </c>
      <c r="BW137" s="531">
        <f t="shared" si="218"/>
        <v>0.91499516474221154</v>
      </c>
      <c r="BX137" s="531">
        <f t="shared" si="218"/>
        <v>0.91499516474221154</v>
      </c>
      <c r="BY137" s="531">
        <f t="shared" si="218"/>
        <v>0.91499516474221154</v>
      </c>
      <c r="BZ137" s="537"/>
      <c r="CA137" s="537"/>
      <c r="CB137" s="537"/>
    </row>
    <row r="138" spans="1:80" x14ac:dyDescent="0.3">
      <c r="A138" s="551"/>
      <c r="B138" s="548"/>
      <c r="C138" s="525"/>
      <c r="D138" s="525"/>
      <c r="E138" s="525"/>
      <c r="F138" s="567"/>
      <c r="G138" s="567"/>
      <c r="H138" s="567"/>
      <c r="I138" s="529"/>
      <c r="J138" s="529"/>
      <c r="K138" s="529"/>
      <c r="L138" s="529"/>
      <c r="M138" s="529"/>
      <c r="N138" s="529"/>
      <c r="O138" s="529"/>
      <c r="P138" s="564"/>
      <c r="Q138" s="537"/>
      <c r="R138" s="529"/>
      <c r="S138" s="529"/>
      <c r="T138" s="529"/>
      <c r="U138" s="529"/>
      <c r="V138" s="529"/>
      <c r="W138" s="529"/>
      <c r="X138" s="529"/>
      <c r="Y138" s="529"/>
      <c r="Z138" s="529"/>
      <c r="AA138" s="529"/>
      <c r="AB138" s="529"/>
      <c r="AC138" s="529"/>
      <c r="AD138" s="529"/>
      <c r="AE138" s="529"/>
      <c r="AF138" s="529"/>
      <c r="AG138" s="529"/>
      <c r="AH138" s="529"/>
      <c r="AI138" s="529"/>
      <c r="AJ138" s="529"/>
      <c r="AK138" s="529"/>
      <c r="AL138" s="529"/>
      <c r="AM138" s="529"/>
      <c r="AN138" s="529"/>
      <c r="AO138" s="529"/>
      <c r="AP138" s="529"/>
      <c r="AQ138" s="529"/>
      <c r="AR138" s="529"/>
      <c r="AS138" s="529"/>
      <c r="AT138" s="529"/>
      <c r="AU138" s="529"/>
      <c r="AV138" s="529"/>
      <c r="AW138" s="529"/>
      <c r="AX138" s="529"/>
      <c r="AY138" s="529"/>
      <c r="AZ138" s="529"/>
      <c r="BA138" s="529"/>
      <c r="BB138" s="529"/>
      <c r="BC138" s="529"/>
      <c r="BD138" s="529"/>
      <c r="BE138" s="529"/>
      <c r="BF138" s="529"/>
      <c r="BG138" s="529"/>
      <c r="BH138" s="529"/>
      <c r="BI138" s="529"/>
      <c r="BJ138" s="529"/>
      <c r="BK138" s="529"/>
      <c r="BL138" s="529"/>
      <c r="BM138" s="529"/>
      <c r="BN138" s="529"/>
      <c r="BO138" s="529"/>
      <c r="BP138" s="529"/>
      <c r="BQ138" s="529"/>
      <c r="BR138" s="529"/>
      <c r="BS138" s="529"/>
      <c r="BT138" s="529"/>
      <c r="BU138" s="529"/>
      <c r="BV138" s="529"/>
      <c r="BW138" s="529"/>
      <c r="BX138" s="529"/>
      <c r="BY138" s="529"/>
      <c r="BZ138" s="537"/>
      <c r="CA138" s="537"/>
      <c r="CB138" s="537"/>
    </row>
    <row r="139" spans="1:80" x14ac:dyDescent="0.3">
      <c r="A139" s="551"/>
      <c r="B139" s="548"/>
      <c r="C139" s="525"/>
      <c r="D139" s="525"/>
      <c r="E139" s="525" t="s">
        <v>70</v>
      </c>
      <c r="F139" s="567"/>
      <c r="G139" s="567"/>
      <c r="H139" s="567"/>
      <c r="I139" s="527">
        <f t="shared" ref="I139:N142" si="219">I74/I$82</f>
        <v>-5499.8943089430895</v>
      </c>
      <c r="J139" s="527">
        <f t="shared" si="219"/>
        <v>-5584.8941594898442</v>
      </c>
      <c r="K139" s="527">
        <f t="shared" si="219"/>
        <v>-5719.2097485091344</v>
      </c>
      <c r="L139" s="527">
        <f t="shared" si="219"/>
        <v>-5847.6312765987796</v>
      </c>
      <c r="M139" s="527">
        <f t="shared" si="219"/>
        <v>-5968.5464252846023</v>
      </c>
      <c r="N139" s="527">
        <f t="shared" si="219"/>
        <v>-6085.0284403128235</v>
      </c>
      <c r="O139" s="529"/>
      <c r="P139" s="564">
        <f>IFERROR(((N139/I139)^(1/5))-1,0)</f>
        <v>2.0426324280468311E-2</v>
      </c>
      <c r="Q139" s="537"/>
      <c r="R139" s="527">
        <f t="shared" ref="R139:AW139" si="220">R74/R$82</f>
        <v>0</v>
      </c>
      <c r="S139" s="527">
        <f t="shared" si="220"/>
        <v>0</v>
      </c>
      <c r="T139" s="527">
        <f t="shared" si="220"/>
        <v>0</v>
      </c>
      <c r="U139" s="527">
        <f t="shared" si="220"/>
        <v>0</v>
      </c>
      <c r="V139" s="527">
        <f t="shared" si="220"/>
        <v>0</v>
      </c>
      <c r="W139" s="527">
        <f t="shared" si="220"/>
        <v>-5584.8941594898442</v>
      </c>
      <c r="X139" s="527">
        <f t="shared" si="220"/>
        <v>0</v>
      </c>
      <c r="Y139" s="527">
        <f t="shared" si="220"/>
        <v>0</v>
      </c>
      <c r="Z139" s="527">
        <f t="shared" si="220"/>
        <v>0</v>
      </c>
      <c r="AA139" s="527">
        <f t="shared" si="220"/>
        <v>0</v>
      </c>
      <c r="AB139" s="527">
        <f t="shared" si="220"/>
        <v>0</v>
      </c>
      <c r="AC139" s="527">
        <f t="shared" si="220"/>
        <v>0</v>
      </c>
      <c r="AD139" s="527">
        <f t="shared" si="220"/>
        <v>0</v>
      </c>
      <c r="AE139" s="527">
        <f t="shared" si="220"/>
        <v>0</v>
      </c>
      <c r="AF139" s="527">
        <f t="shared" si="220"/>
        <v>0</v>
      </c>
      <c r="AG139" s="527">
        <f t="shared" si="220"/>
        <v>0</v>
      </c>
      <c r="AH139" s="527">
        <f t="shared" si="220"/>
        <v>0</v>
      </c>
      <c r="AI139" s="527">
        <f t="shared" si="220"/>
        <v>-5719.2097485091344</v>
      </c>
      <c r="AJ139" s="527">
        <f t="shared" si="220"/>
        <v>0</v>
      </c>
      <c r="AK139" s="527">
        <f t="shared" si="220"/>
        <v>0</v>
      </c>
      <c r="AL139" s="527">
        <f t="shared" si="220"/>
        <v>0</v>
      </c>
      <c r="AM139" s="527">
        <f t="shared" si="220"/>
        <v>0</v>
      </c>
      <c r="AN139" s="527">
        <f t="shared" si="220"/>
        <v>0</v>
      </c>
      <c r="AO139" s="527">
        <f t="shared" si="220"/>
        <v>0</v>
      </c>
      <c r="AP139" s="527">
        <f t="shared" si="220"/>
        <v>0</v>
      </c>
      <c r="AQ139" s="527">
        <f t="shared" si="220"/>
        <v>0</v>
      </c>
      <c r="AR139" s="527">
        <f t="shared" si="220"/>
        <v>0</v>
      </c>
      <c r="AS139" s="527">
        <f t="shared" si="220"/>
        <v>0</v>
      </c>
      <c r="AT139" s="527">
        <f t="shared" si="220"/>
        <v>0</v>
      </c>
      <c r="AU139" s="527">
        <f t="shared" si="220"/>
        <v>-5847.6312765987796</v>
      </c>
      <c r="AV139" s="527">
        <f t="shared" si="220"/>
        <v>0</v>
      </c>
      <c r="AW139" s="527">
        <f t="shared" si="220"/>
        <v>0</v>
      </c>
      <c r="AX139" s="527">
        <f t="shared" ref="AX139:BY139" si="221">AX74/AX$82</f>
        <v>0</v>
      </c>
      <c r="AY139" s="527">
        <f t="shared" si="221"/>
        <v>0</v>
      </c>
      <c r="AZ139" s="527">
        <f t="shared" si="221"/>
        <v>0</v>
      </c>
      <c r="BA139" s="527">
        <f t="shared" si="221"/>
        <v>0</v>
      </c>
      <c r="BB139" s="527">
        <f t="shared" si="221"/>
        <v>0</v>
      </c>
      <c r="BC139" s="527">
        <f t="shared" si="221"/>
        <v>0</v>
      </c>
      <c r="BD139" s="527">
        <f t="shared" si="221"/>
        <v>0</v>
      </c>
      <c r="BE139" s="527">
        <f t="shared" si="221"/>
        <v>0</v>
      </c>
      <c r="BF139" s="527">
        <f t="shared" si="221"/>
        <v>0</v>
      </c>
      <c r="BG139" s="527">
        <f t="shared" si="221"/>
        <v>-5968.5464252846023</v>
      </c>
      <c r="BH139" s="527">
        <f t="shared" si="221"/>
        <v>0</v>
      </c>
      <c r="BI139" s="527">
        <f t="shared" si="221"/>
        <v>0</v>
      </c>
      <c r="BJ139" s="527">
        <f t="shared" si="221"/>
        <v>0</v>
      </c>
      <c r="BK139" s="527">
        <f t="shared" si="221"/>
        <v>0</v>
      </c>
      <c r="BL139" s="527">
        <f t="shared" si="221"/>
        <v>0</v>
      </c>
      <c r="BM139" s="527">
        <f t="shared" si="221"/>
        <v>0</v>
      </c>
      <c r="BN139" s="527">
        <f t="shared" si="221"/>
        <v>0</v>
      </c>
      <c r="BO139" s="527">
        <f t="shared" si="221"/>
        <v>0</v>
      </c>
      <c r="BP139" s="527">
        <f t="shared" si="221"/>
        <v>0</v>
      </c>
      <c r="BQ139" s="527">
        <f t="shared" si="221"/>
        <v>0</v>
      </c>
      <c r="BR139" s="527">
        <f t="shared" si="221"/>
        <v>0</v>
      </c>
      <c r="BS139" s="527">
        <f t="shared" si="221"/>
        <v>-6085.0284403128235</v>
      </c>
      <c r="BT139" s="527">
        <f t="shared" si="221"/>
        <v>0</v>
      </c>
      <c r="BU139" s="527">
        <f t="shared" si="221"/>
        <v>0</v>
      </c>
      <c r="BV139" s="527">
        <f t="shared" si="221"/>
        <v>0</v>
      </c>
      <c r="BW139" s="527">
        <f t="shared" si="221"/>
        <v>0</v>
      </c>
      <c r="BX139" s="527">
        <f t="shared" si="221"/>
        <v>0</v>
      </c>
      <c r="BY139" s="527">
        <f t="shared" si="221"/>
        <v>0</v>
      </c>
      <c r="BZ139" s="537"/>
      <c r="CA139" s="537"/>
      <c r="CB139" s="537"/>
    </row>
    <row r="140" spans="1:80" x14ac:dyDescent="0.3">
      <c r="A140" s="551"/>
      <c r="B140" s="548"/>
      <c r="C140" s="525"/>
      <c r="D140" s="525"/>
      <c r="E140" s="525" t="s">
        <v>185</v>
      </c>
      <c r="F140" s="567"/>
      <c r="G140" s="567"/>
      <c r="H140" s="567"/>
      <c r="I140" s="527">
        <f t="shared" si="219"/>
        <v>0</v>
      </c>
      <c r="J140" s="527">
        <f t="shared" si="219"/>
        <v>0</v>
      </c>
      <c r="K140" s="527">
        <f t="shared" si="219"/>
        <v>0</v>
      </c>
      <c r="L140" s="527">
        <f t="shared" si="219"/>
        <v>0</v>
      </c>
      <c r="M140" s="527">
        <f t="shared" si="219"/>
        <v>0</v>
      </c>
      <c r="N140" s="527">
        <f t="shared" si="219"/>
        <v>0</v>
      </c>
      <c r="O140" s="529"/>
      <c r="P140" s="564">
        <f>IFERROR(((N140/I140)^(1/5))-1,0)</f>
        <v>0</v>
      </c>
      <c r="Q140" s="537"/>
      <c r="R140" s="527">
        <f t="shared" ref="R140:AW140" si="222">R75/R$82</f>
        <v>0</v>
      </c>
      <c r="S140" s="527">
        <f t="shared" si="222"/>
        <v>0</v>
      </c>
      <c r="T140" s="527">
        <f t="shared" si="222"/>
        <v>0</v>
      </c>
      <c r="U140" s="527">
        <f t="shared" si="222"/>
        <v>0</v>
      </c>
      <c r="V140" s="527">
        <f t="shared" si="222"/>
        <v>0</v>
      </c>
      <c r="W140" s="527">
        <f t="shared" si="222"/>
        <v>0</v>
      </c>
      <c r="X140" s="527">
        <f t="shared" si="222"/>
        <v>0</v>
      </c>
      <c r="Y140" s="527">
        <f t="shared" si="222"/>
        <v>0</v>
      </c>
      <c r="Z140" s="527">
        <f t="shared" si="222"/>
        <v>0</v>
      </c>
      <c r="AA140" s="527">
        <f t="shared" si="222"/>
        <v>0</v>
      </c>
      <c r="AB140" s="527">
        <f t="shared" si="222"/>
        <v>0</v>
      </c>
      <c r="AC140" s="527">
        <f t="shared" si="222"/>
        <v>0</v>
      </c>
      <c r="AD140" s="527">
        <f t="shared" si="222"/>
        <v>0</v>
      </c>
      <c r="AE140" s="527">
        <f t="shared" si="222"/>
        <v>0</v>
      </c>
      <c r="AF140" s="527">
        <f t="shared" si="222"/>
        <v>0</v>
      </c>
      <c r="AG140" s="527">
        <f t="shared" si="222"/>
        <v>0</v>
      </c>
      <c r="AH140" s="527">
        <f t="shared" si="222"/>
        <v>0</v>
      </c>
      <c r="AI140" s="527">
        <f t="shared" si="222"/>
        <v>0</v>
      </c>
      <c r="AJ140" s="527">
        <f t="shared" si="222"/>
        <v>0</v>
      </c>
      <c r="AK140" s="527">
        <f t="shared" si="222"/>
        <v>0</v>
      </c>
      <c r="AL140" s="527">
        <f t="shared" si="222"/>
        <v>0</v>
      </c>
      <c r="AM140" s="527">
        <f t="shared" si="222"/>
        <v>0</v>
      </c>
      <c r="AN140" s="527">
        <f t="shared" si="222"/>
        <v>0</v>
      </c>
      <c r="AO140" s="527">
        <f t="shared" si="222"/>
        <v>0</v>
      </c>
      <c r="AP140" s="527">
        <f t="shared" si="222"/>
        <v>0</v>
      </c>
      <c r="AQ140" s="527">
        <f t="shared" si="222"/>
        <v>0</v>
      </c>
      <c r="AR140" s="527">
        <f t="shared" si="222"/>
        <v>0</v>
      </c>
      <c r="AS140" s="527">
        <f t="shared" si="222"/>
        <v>0</v>
      </c>
      <c r="AT140" s="527">
        <f t="shared" si="222"/>
        <v>0</v>
      </c>
      <c r="AU140" s="527">
        <f t="shared" si="222"/>
        <v>0</v>
      </c>
      <c r="AV140" s="527">
        <f t="shared" si="222"/>
        <v>0</v>
      </c>
      <c r="AW140" s="527">
        <f t="shared" si="222"/>
        <v>0</v>
      </c>
      <c r="AX140" s="527">
        <f t="shared" ref="AX140:BY140" si="223">AX75/AX$82</f>
        <v>0</v>
      </c>
      <c r="AY140" s="527">
        <f t="shared" si="223"/>
        <v>0</v>
      </c>
      <c r="AZ140" s="527">
        <f t="shared" si="223"/>
        <v>0</v>
      </c>
      <c r="BA140" s="527">
        <f t="shared" si="223"/>
        <v>0</v>
      </c>
      <c r="BB140" s="527">
        <f t="shared" si="223"/>
        <v>0</v>
      </c>
      <c r="BC140" s="527">
        <f t="shared" si="223"/>
        <v>0</v>
      </c>
      <c r="BD140" s="527">
        <f t="shared" si="223"/>
        <v>0</v>
      </c>
      <c r="BE140" s="527">
        <f t="shared" si="223"/>
        <v>0</v>
      </c>
      <c r="BF140" s="527">
        <f t="shared" si="223"/>
        <v>0</v>
      </c>
      <c r="BG140" s="527">
        <f t="shared" si="223"/>
        <v>0</v>
      </c>
      <c r="BH140" s="527">
        <f t="shared" si="223"/>
        <v>0</v>
      </c>
      <c r="BI140" s="527">
        <f t="shared" si="223"/>
        <v>0</v>
      </c>
      <c r="BJ140" s="527">
        <f t="shared" si="223"/>
        <v>0</v>
      </c>
      <c r="BK140" s="527">
        <f t="shared" si="223"/>
        <v>0</v>
      </c>
      <c r="BL140" s="527">
        <f t="shared" si="223"/>
        <v>0</v>
      </c>
      <c r="BM140" s="527">
        <f t="shared" si="223"/>
        <v>0</v>
      </c>
      <c r="BN140" s="527">
        <f t="shared" si="223"/>
        <v>0</v>
      </c>
      <c r="BO140" s="527">
        <f t="shared" si="223"/>
        <v>0</v>
      </c>
      <c r="BP140" s="527">
        <f t="shared" si="223"/>
        <v>0</v>
      </c>
      <c r="BQ140" s="527">
        <f t="shared" si="223"/>
        <v>0</v>
      </c>
      <c r="BR140" s="527">
        <f t="shared" si="223"/>
        <v>0</v>
      </c>
      <c r="BS140" s="527">
        <f t="shared" si="223"/>
        <v>0</v>
      </c>
      <c r="BT140" s="527">
        <f t="shared" si="223"/>
        <v>0</v>
      </c>
      <c r="BU140" s="527">
        <f t="shared" si="223"/>
        <v>0</v>
      </c>
      <c r="BV140" s="527">
        <f t="shared" si="223"/>
        <v>0</v>
      </c>
      <c r="BW140" s="527">
        <f t="shared" si="223"/>
        <v>0</v>
      </c>
      <c r="BX140" s="527">
        <f t="shared" si="223"/>
        <v>0</v>
      </c>
      <c r="BY140" s="527">
        <f t="shared" si="223"/>
        <v>0</v>
      </c>
      <c r="BZ140" s="537"/>
      <c r="CA140" s="537"/>
      <c r="CB140" s="537"/>
    </row>
    <row r="141" spans="1:80" x14ac:dyDescent="0.3">
      <c r="A141" s="551"/>
      <c r="B141" s="548"/>
      <c r="C141" s="525"/>
      <c r="D141" s="525"/>
      <c r="E141" s="525" t="s">
        <v>370</v>
      </c>
      <c r="F141" s="567"/>
      <c r="G141" s="567"/>
      <c r="H141" s="567"/>
      <c r="I141" s="527">
        <f t="shared" si="219"/>
        <v>0</v>
      </c>
      <c r="J141" s="527">
        <f t="shared" si="219"/>
        <v>0</v>
      </c>
      <c r="K141" s="527">
        <f t="shared" si="219"/>
        <v>0</v>
      </c>
      <c r="L141" s="527">
        <f t="shared" si="219"/>
        <v>0</v>
      </c>
      <c r="M141" s="527">
        <f t="shared" si="219"/>
        <v>0</v>
      </c>
      <c r="N141" s="527">
        <f t="shared" si="219"/>
        <v>0</v>
      </c>
      <c r="O141" s="529"/>
      <c r="P141" s="564">
        <f>IFERROR(((N141/I141)^(1/5))-1,0)</f>
        <v>0</v>
      </c>
      <c r="Q141" s="537"/>
      <c r="R141" s="527">
        <f t="shared" ref="R141:AW141" si="224">R76/R$82</f>
        <v>0</v>
      </c>
      <c r="S141" s="527">
        <f t="shared" si="224"/>
        <v>0</v>
      </c>
      <c r="T141" s="527">
        <f t="shared" si="224"/>
        <v>0</v>
      </c>
      <c r="U141" s="527">
        <f t="shared" si="224"/>
        <v>0</v>
      </c>
      <c r="V141" s="527">
        <f t="shared" si="224"/>
        <v>0</v>
      </c>
      <c r="W141" s="527">
        <f t="shared" si="224"/>
        <v>0</v>
      </c>
      <c r="X141" s="527">
        <f t="shared" si="224"/>
        <v>0</v>
      </c>
      <c r="Y141" s="527">
        <f t="shared" si="224"/>
        <v>0</v>
      </c>
      <c r="Z141" s="527">
        <f t="shared" si="224"/>
        <v>0</v>
      </c>
      <c r="AA141" s="527">
        <f t="shared" si="224"/>
        <v>0</v>
      </c>
      <c r="AB141" s="527">
        <f t="shared" si="224"/>
        <v>0</v>
      </c>
      <c r="AC141" s="527">
        <f t="shared" si="224"/>
        <v>0</v>
      </c>
      <c r="AD141" s="527">
        <f t="shared" si="224"/>
        <v>0</v>
      </c>
      <c r="AE141" s="527">
        <f t="shared" si="224"/>
        <v>0</v>
      </c>
      <c r="AF141" s="527">
        <f t="shared" si="224"/>
        <v>0</v>
      </c>
      <c r="AG141" s="527">
        <f t="shared" si="224"/>
        <v>0</v>
      </c>
      <c r="AH141" s="527">
        <f t="shared" si="224"/>
        <v>0</v>
      </c>
      <c r="AI141" s="527">
        <f t="shared" si="224"/>
        <v>0</v>
      </c>
      <c r="AJ141" s="527">
        <f t="shared" si="224"/>
        <v>0</v>
      </c>
      <c r="AK141" s="527">
        <f t="shared" si="224"/>
        <v>0</v>
      </c>
      <c r="AL141" s="527">
        <f t="shared" si="224"/>
        <v>0</v>
      </c>
      <c r="AM141" s="527">
        <f t="shared" si="224"/>
        <v>0</v>
      </c>
      <c r="AN141" s="527">
        <f t="shared" si="224"/>
        <v>0</v>
      </c>
      <c r="AO141" s="527">
        <f t="shared" si="224"/>
        <v>0</v>
      </c>
      <c r="AP141" s="527">
        <f t="shared" si="224"/>
        <v>0</v>
      </c>
      <c r="AQ141" s="527">
        <f t="shared" si="224"/>
        <v>0</v>
      </c>
      <c r="AR141" s="527">
        <f t="shared" si="224"/>
        <v>0</v>
      </c>
      <c r="AS141" s="527">
        <f t="shared" si="224"/>
        <v>0</v>
      </c>
      <c r="AT141" s="527">
        <f t="shared" si="224"/>
        <v>0</v>
      </c>
      <c r="AU141" s="527">
        <f t="shared" si="224"/>
        <v>0</v>
      </c>
      <c r="AV141" s="527">
        <f t="shared" si="224"/>
        <v>0</v>
      </c>
      <c r="AW141" s="527">
        <f t="shared" si="224"/>
        <v>0</v>
      </c>
      <c r="AX141" s="527">
        <f t="shared" ref="AX141:BY141" si="225">AX76/AX$82</f>
        <v>0</v>
      </c>
      <c r="AY141" s="527">
        <f t="shared" si="225"/>
        <v>0</v>
      </c>
      <c r="AZ141" s="527">
        <f t="shared" si="225"/>
        <v>0</v>
      </c>
      <c r="BA141" s="527">
        <f t="shared" si="225"/>
        <v>0</v>
      </c>
      <c r="BB141" s="527">
        <f t="shared" si="225"/>
        <v>0</v>
      </c>
      <c r="BC141" s="527">
        <f t="shared" si="225"/>
        <v>0</v>
      </c>
      <c r="BD141" s="527">
        <f t="shared" si="225"/>
        <v>0</v>
      </c>
      <c r="BE141" s="527">
        <f t="shared" si="225"/>
        <v>0</v>
      </c>
      <c r="BF141" s="527">
        <f t="shared" si="225"/>
        <v>0</v>
      </c>
      <c r="BG141" s="527">
        <f t="shared" si="225"/>
        <v>0</v>
      </c>
      <c r="BH141" s="527">
        <f t="shared" si="225"/>
        <v>0</v>
      </c>
      <c r="BI141" s="527">
        <f t="shared" si="225"/>
        <v>0</v>
      </c>
      <c r="BJ141" s="527">
        <f t="shared" si="225"/>
        <v>0</v>
      </c>
      <c r="BK141" s="527">
        <f t="shared" si="225"/>
        <v>0</v>
      </c>
      <c r="BL141" s="527">
        <f t="shared" si="225"/>
        <v>0</v>
      </c>
      <c r="BM141" s="527">
        <f t="shared" si="225"/>
        <v>0</v>
      </c>
      <c r="BN141" s="527">
        <f t="shared" si="225"/>
        <v>0</v>
      </c>
      <c r="BO141" s="527">
        <f t="shared" si="225"/>
        <v>0</v>
      </c>
      <c r="BP141" s="527">
        <f t="shared" si="225"/>
        <v>0</v>
      </c>
      <c r="BQ141" s="527">
        <f t="shared" si="225"/>
        <v>0</v>
      </c>
      <c r="BR141" s="527">
        <f t="shared" si="225"/>
        <v>0</v>
      </c>
      <c r="BS141" s="527">
        <f t="shared" si="225"/>
        <v>0</v>
      </c>
      <c r="BT141" s="527">
        <f t="shared" si="225"/>
        <v>0</v>
      </c>
      <c r="BU141" s="527">
        <f t="shared" si="225"/>
        <v>0</v>
      </c>
      <c r="BV141" s="527">
        <f t="shared" si="225"/>
        <v>0</v>
      </c>
      <c r="BW141" s="527">
        <f t="shared" si="225"/>
        <v>0</v>
      </c>
      <c r="BX141" s="527">
        <f t="shared" si="225"/>
        <v>0</v>
      </c>
      <c r="BY141" s="527">
        <f t="shared" si="225"/>
        <v>0</v>
      </c>
      <c r="BZ141" s="537"/>
      <c r="CA141" s="537"/>
      <c r="CB141" s="537"/>
    </row>
    <row r="142" spans="1:80" x14ac:dyDescent="0.3">
      <c r="A142" s="551"/>
      <c r="B142" s="548"/>
      <c r="C142" s="525"/>
      <c r="D142" s="525"/>
      <c r="E142" s="578" t="s">
        <v>71</v>
      </c>
      <c r="F142" s="579"/>
      <c r="G142" s="579"/>
      <c r="H142" s="579"/>
      <c r="I142" s="534">
        <f t="shared" si="219"/>
        <v>77502.144700819088</v>
      </c>
      <c r="J142" s="534">
        <f t="shared" si="219"/>
        <v>83369.322253168488</v>
      </c>
      <c r="K142" s="534">
        <f t="shared" si="219"/>
        <v>89336.939895593066</v>
      </c>
      <c r="L142" s="534">
        <f t="shared" si="219"/>
        <v>95474.179609967701</v>
      </c>
      <c r="M142" s="534">
        <f t="shared" si="219"/>
        <v>101768.25194059993</v>
      </c>
      <c r="N142" s="535">
        <f t="shared" si="219"/>
        <v>108393.32542404362</v>
      </c>
      <c r="O142" s="536"/>
      <c r="P142" s="568">
        <f>IFERROR(((N142/I142)^(1/5))-1,0)</f>
        <v>6.9394051229460629E-2</v>
      </c>
      <c r="Q142" s="537"/>
      <c r="R142" s="535">
        <f t="shared" ref="R142:AW142" si="226">R77/R$82</f>
        <v>7309.7053537134507</v>
      </c>
      <c r="S142" s="534">
        <f t="shared" si="226"/>
        <v>7309.7053537134507</v>
      </c>
      <c r="T142" s="534">
        <f t="shared" si="226"/>
        <v>7309.7053537134507</v>
      </c>
      <c r="U142" s="534">
        <f t="shared" si="226"/>
        <v>7309.7053537134507</v>
      </c>
      <c r="V142" s="534">
        <f t="shared" si="226"/>
        <v>7309.7053537134507</v>
      </c>
      <c r="W142" s="534">
        <f t="shared" si="226"/>
        <v>1724.8111942236064</v>
      </c>
      <c r="X142" s="534">
        <f t="shared" si="226"/>
        <v>7515.9973817296068</v>
      </c>
      <c r="Y142" s="534">
        <f t="shared" si="226"/>
        <v>7515.9973817296068</v>
      </c>
      <c r="Z142" s="534">
        <f t="shared" si="226"/>
        <v>7515.9973817296068</v>
      </c>
      <c r="AA142" s="534">
        <f t="shared" si="226"/>
        <v>7515.9973817296068</v>
      </c>
      <c r="AB142" s="534">
        <f t="shared" si="226"/>
        <v>7515.9973817296068</v>
      </c>
      <c r="AC142" s="534">
        <f t="shared" si="226"/>
        <v>7515.9973817296068</v>
      </c>
      <c r="AD142" s="534">
        <f t="shared" si="226"/>
        <v>7787.4544254516168</v>
      </c>
      <c r="AE142" s="534">
        <f t="shared" si="226"/>
        <v>7787.4544254516168</v>
      </c>
      <c r="AF142" s="534">
        <f t="shared" si="226"/>
        <v>7787.4544254516168</v>
      </c>
      <c r="AG142" s="534">
        <f t="shared" si="226"/>
        <v>7787.4544254516168</v>
      </c>
      <c r="AH142" s="534">
        <f t="shared" si="226"/>
        <v>7787.4544254516168</v>
      </c>
      <c r="AI142" s="534">
        <f t="shared" si="226"/>
        <v>2068.2446769424819</v>
      </c>
      <c r="AJ142" s="534">
        <f t="shared" si="226"/>
        <v>8055.2371818987558</v>
      </c>
      <c r="AK142" s="534">
        <f t="shared" si="226"/>
        <v>8055.2371818987558</v>
      </c>
      <c r="AL142" s="534">
        <f t="shared" si="226"/>
        <v>8055.2371818987558</v>
      </c>
      <c r="AM142" s="534">
        <f t="shared" si="226"/>
        <v>8055.2371818987558</v>
      </c>
      <c r="AN142" s="534">
        <f t="shared" si="226"/>
        <v>8055.2371818987558</v>
      </c>
      <c r="AO142" s="534">
        <f t="shared" si="226"/>
        <v>8055.2371818987558</v>
      </c>
      <c r="AP142" s="534">
        <f t="shared" si="226"/>
        <v>8276.7569872810291</v>
      </c>
      <c r="AQ142" s="534">
        <f t="shared" si="226"/>
        <v>8276.7569872810291</v>
      </c>
      <c r="AR142" s="534">
        <f t="shared" si="226"/>
        <v>8276.7569872810291</v>
      </c>
      <c r="AS142" s="534">
        <f t="shared" si="226"/>
        <v>8276.7569872810291</v>
      </c>
      <c r="AT142" s="534">
        <f t="shared" si="226"/>
        <v>8276.7569872810291</v>
      </c>
      <c r="AU142" s="534">
        <f t="shared" si="226"/>
        <v>2429.1257106822495</v>
      </c>
      <c r="AV142" s="534">
        <f t="shared" si="226"/>
        <v>8610.2114938133891</v>
      </c>
      <c r="AW142" s="534">
        <f t="shared" si="226"/>
        <v>8610.2114938133891</v>
      </c>
      <c r="AX142" s="534">
        <f t="shared" ref="AX142:BY142" si="227">AX77/AX$82</f>
        <v>8610.2114938133891</v>
      </c>
      <c r="AY142" s="534">
        <f t="shared" si="227"/>
        <v>8610.2114938133891</v>
      </c>
      <c r="AZ142" s="534">
        <f t="shared" si="227"/>
        <v>8610.2114938133891</v>
      </c>
      <c r="BA142" s="534">
        <f t="shared" si="227"/>
        <v>8610.2114938133891</v>
      </c>
      <c r="BB142" s="534">
        <f t="shared" si="227"/>
        <v>8776.3670678644867</v>
      </c>
      <c r="BC142" s="534">
        <f t="shared" si="227"/>
        <v>8776.3670678644867</v>
      </c>
      <c r="BD142" s="534">
        <f t="shared" si="227"/>
        <v>8776.3670678644867</v>
      </c>
      <c r="BE142" s="534">
        <f t="shared" si="227"/>
        <v>8776.3670678644867</v>
      </c>
      <c r="BF142" s="534">
        <f t="shared" si="227"/>
        <v>8776.3670678644867</v>
      </c>
      <c r="BG142" s="534">
        <f t="shared" si="227"/>
        <v>2807.8206425798844</v>
      </c>
      <c r="BH142" s="534">
        <f t="shared" si="227"/>
        <v>9179.7659931162689</v>
      </c>
      <c r="BI142" s="534">
        <f t="shared" si="227"/>
        <v>9179.7659931162689</v>
      </c>
      <c r="BJ142" s="534">
        <f t="shared" si="227"/>
        <v>9179.7659931162689</v>
      </c>
      <c r="BK142" s="534">
        <f t="shared" si="227"/>
        <v>9179.7659931162689</v>
      </c>
      <c r="BL142" s="534">
        <f t="shared" si="227"/>
        <v>9179.7659931162689</v>
      </c>
      <c r="BM142" s="534">
        <f t="shared" si="227"/>
        <v>9179.7659931162689</v>
      </c>
      <c r="BN142" s="534">
        <f t="shared" si="227"/>
        <v>9300.9508398129892</v>
      </c>
      <c r="BO142" s="534">
        <f t="shared" si="227"/>
        <v>9300.9508398129892</v>
      </c>
      <c r="BP142" s="534">
        <f t="shared" si="227"/>
        <v>9300.9508398129892</v>
      </c>
      <c r="BQ142" s="534">
        <f t="shared" si="227"/>
        <v>9300.9508398129892</v>
      </c>
      <c r="BR142" s="534">
        <f t="shared" si="227"/>
        <v>9300.9508398129892</v>
      </c>
      <c r="BS142" s="534">
        <f t="shared" si="227"/>
        <v>3215.9223995001653</v>
      </c>
      <c r="BT142" s="534">
        <f t="shared" si="227"/>
        <v>9778.7748042464209</v>
      </c>
      <c r="BU142" s="534">
        <f t="shared" si="227"/>
        <v>9778.7748042464209</v>
      </c>
      <c r="BV142" s="534">
        <f t="shared" si="227"/>
        <v>9778.7748042464209</v>
      </c>
      <c r="BW142" s="534">
        <f t="shared" si="227"/>
        <v>9778.7748042464209</v>
      </c>
      <c r="BX142" s="534">
        <f t="shared" si="227"/>
        <v>9778.7748042464209</v>
      </c>
      <c r="BY142" s="534">
        <f t="shared" si="227"/>
        <v>9778.7748042464209</v>
      </c>
      <c r="BZ142" s="537"/>
      <c r="CA142" s="537"/>
      <c r="CB142" s="537"/>
    </row>
    <row r="143" spans="1:80" x14ac:dyDescent="0.3">
      <c r="A143" s="551"/>
      <c r="B143" s="548"/>
      <c r="C143" s="551"/>
      <c r="D143" s="537"/>
      <c r="E143" s="537"/>
      <c r="F143" s="537"/>
      <c r="G143" s="537"/>
      <c r="H143" s="537"/>
      <c r="I143" s="537"/>
      <c r="J143" s="537"/>
      <c r="K143" s="537"/>
      <c r="L143" s="537"/>
      <c r="M143" s="537"/>
      <c r="N143" s="537"/>
      <c r="O143" s="537"/>
      <c r="P143" s="547"/>
      <c r="Q143" s="537"/>
      <c r="R143" s="537"/>
      <c r="S143" s="537"/>
      <c r="T143" s="537"/>
      <c r="U143" s="537"/>
      <c r="V143" s="537"/>
      <c r="W143" s="537"/>
      <c r="X143" s="537"/>
      <c r="Y143" s="537"/>
      <c r="Z143" s="537"/>
      <c r="AA143" s="537"/>
      <c r="AB143" s="537"/>
      <c r="AC143" s="537"/>
      <c r="AD143" s="537"/>
      <c r="AE143" s="537"/>
      <c r="AF143" s="537"/>
      <c r="AG143" s="537"/>
      <c r="AH143" s="537"/>
      <c r="AI143" s="537"/>
      <c r="AJ143" s="537"/>
      <c r="AK143" s="537"/>
      <c r="AL143" s="537"/>
      <c r="AM143" s="537"/>
      <c r="AN143" s="537"/>
      <c r="AO143" s="537"/>
      <c r="AP143" s="537"/>
      <c r="AQ143" s="537"/>
      <c r="AR143" s="537"/>
      <c r="AS143" s="537"/>
      <c r="AT143" s="537"/>
      <c r="AU143" s="537"/>
      <c r="AV143" s="537"/>
      <c r="AW143" s="537"/>
      <c r="AX143" s="537"/>
      <c r="AY143" s="537"/>
      <c r="AZ143" s="537"/>
      <c r="BA143" s="537"/>
      <c r="BB143" s="537"/>
      <c r="BC143" s="537"/>
      <c r="BD143" s="537"/>
      <c r="BE143" s="537"/>
      <c r="BF143" s="537"/>
      <c r="BG143" s="537"/>
      <c r="BH143" s="537"/>
      <c r="BI143" s="537"/>
      <c r="BJ143" s="537"/>
      <c r="BK143" s="537"/>
      <c r="BL143" s="537"/>
      <c r="BM143" s="537"/>
      <c r="BN143" s="537"/>
      <c r="BO143" s="537"/>
      <c r="BP143" s="537"/>
      <c r="BQ143" s="537"/>
      <c r="BR143" s="537"/>
      <c r="BS143" s="537"/>
      <c r="BT143" s="537"/>
      <c r="BU143" s="537"/>
      <c r="BV143" s="537"/>
      <c r="BW143" s="537"/>
      <c r="BX143" s="537"/>
      <c r="BY143" s="537"/>
      <c r="BZ143" s="537"/>
      <c r="CA143" s="537"/>
      <c r="CB143" s="537"/>
    </row>
    <row r="144" spans="1:80" x14ac:dyDescent="0.3">
      <c r="A144" s="551"/>
      <c r="B144" s="548"/>
      <c r="C144" s="560" t="s">
        <v>37</v>
      </c>
      <c r="D144" s="561"/>
      <c r="E144" s="526" t="s">
        <v>178</v>
      </c>
      <c r="F144" s="526"/>
      <c r="G144" s="526"/>
      <c r="H144" s="526"/>
      <c r="I144" s="526"/>
      <c r="J144" s="526"/>
      <c r="K144" s="526"/>
      <c r="L144" s="526"/>
      <c r="M144" s="526"/>
      <c r="N144" s="526"/>
      <c r="O144" s="526"/>
      <c r="P144" s="560"/>
      <c r="Q144" s="526"/>
      <c r="R144" s="526"/>
      <c r="S144" s="526"/>
      <c r="T144" s="526"/>
      <c r="U144" s="526"/>
      <c r="V144" s="526"/>
      <c r="W144" s="526"/>
      <c r="X144" s="526"/>
      <c r="Y144" s="526"/>
      <c r="Z144" s="526"/>
      <c r="AA144" s="526"/>
      <c r="AB144" s="526"/>
      <c r="AC144" s="526"/>
      <c r="AD144" s="526"/>
      <c r="AE144" s="526"/>
      <c r="AF144" s="526"/>
      <c r="AG144" s="526"/>
      <c r="AH144" s="526"/>
      <c r="AI144" s="526"/>
      <c r="AJ144" s="526"/>
      <c r="AK144" s="526"/>
      <c r="AL144" s="526"/>
      <c r="AM144" s="526"/>
      <c r="AN144" s="526"/>
      <c r="AO144" s="526"/>
      <c r="AP144" s="526"/>
      <c r="AQ144" s="526"/>
      <c r="AR144" s="526"/>
      <c r="AS144" s="526"/>
      <c r="AT144" s="526"/>
      <c r="AU144" s="526"/>
      <c r="AV144" s="526"/>
      <c r="AW144" s="526"/>
      <c r="AX144" s="526"/>
      <c r="AY144" s="526"/>
      <c r="AZ144" s="526"/>
      <c r="BA144" s="526"/>
      <c r="BB144" s="526"/>
      <c r="BC144" s="526"/>
      <c r="BD144" s="526"/>
      <c r="BE144" s="526"/>
      <c r="BF144" s="526"/>
      <c r="BG144" s="526"/>
      <c r="BH144" s="526"/>
      <c r="BI144" s="526"/>
      <c r="BJ144" s="526"/>
      <c r="BK144" s="526"/>
      <c r="BL144" s="526"/>
      <c r="BM144" s="526"/>
      <c r="BN144" s="526"/>
      <c r="BO144" s="526"/>
      <c r="BP144" s="526"/>
      <c r="BQ144" s="526"/>
      <c r="BR144" s="526"/>
      <c r="BS144" s="526"/>
      <c r="BT144" s="526"/>
      <c r="BU144" s="526"/>
      <c r="BV144" s="526"/>
      <c r="BW144" s="526"/>
      <c r="BX144" s="526"/>
      <c r="BY144" s="526"/>
      <c r="BZ144" s="537"/>
      <c r="CA144" s="537"/>
      <c r="CB144" s="537"/>
    </row>
    <row r="145" spans="1:77" x14ac:dyDescent="0.3">
      <c r="A145" s="551"/>
      <c r="B145" s="548"/>
      <c r="C145" s="525"/>
      <c r="D145" s="525"/>
      <c r="E145" s="525" t="s">
        <v>133</v>
      </c>
      <c r="F145" s="567"/>
      <c r="G145" s="567"/>
      <c r="H145" s="567"/>
      <c r="I145" s="527">
        <f t="shared" ref="I145:N147" si="228">IFERROR(I22/I$19,0)</f>
        <v>780.1984129318372</v>
      </c>
      <c r="J145" s="527">
        <f t="shared" si="228"/>
        <v>809.47034443824293</v>
      </c>
      <c r="K145" s="527">
        <f t="shared" si="228"/>
        <v>839.02108575804232</v>
      </c>
      <c r="L145" s="527">
        <f t="shared" si="228"/>
        <v>868.61657508495978</v>
      </c>
      <c r="M145" s="527">
        <f t="shared" si="228"/>
        <v>898.06277280548181</v>
      </c>
      <c r="N145" s="527">
        <f t="shared" si="228"/>
        <v>928.52165785203795</v>
      </c>
      <c r="O145" s="529"/>
      <c r="P145" s="562"/>
      <c r="Q145" s="537"/>
      <c r="R145" s="527">
        <f t="shared" ref="R145:AW145" si="229">IFERROR(R22/R$19,0)</f>
        <v>809.47034443824316</v>
      </c>
      <c r="S145" s="527">
        <f t="shared" si="229"/>
        <v>809.47034443824316</v>
      </c>
      <c r="T145" s="527">
        <f t="shared" si="229"/>
        <v>809.47034443824316</v>
      </c>
      <c r="U145" s="527">
        <f t="shared" si="229"/>
        <v>809.47034443824316</v>
      </c>
      <c r="V145" s="527">
        <f t="shared" si="229"/>
        <v>809.47034443824316</v>
      </c>
      <c r="W145" s="527">
        <f t="shared" si="229"/>
        <v>809.47034443824316</v>
      </c>
      <c r="X145" s="527">
        <f t="shared" si="229"/>
        <v>809.47034443824316</v>
      </c>
      <c r="Y145" s="527">
        <f t="shared" si="229"/>
        <v>809.47034443824316</v>
      </c>
      <c r="Z145" s="527">
        <f t="shared" si="229"/>
        <v>809.47034443824316</v>
      </c>
      <c r="AA145" s="527">
        <f t="shared" si="229"/>
        <v>809.47034443824316</v>
      </c>
      <c r="AB145" s="527">
        <f t="shared" si="229"/>
        <v>809.47034443824316</v>
      </c>
      <c r="AC145" s="527">
        <f t="shared" si="229"/>
        <v>809.47034443824316</v>
      </c>
      <c r="AD145" s="527">
        <f t="shared" si="229"/>
        <v>839.02108575804243</v>
      </c>
      <c r="AE145" s="527">
        <f t="shared" si="229"/>
        <v>839.02108575804243</v>
      </c>
      <c r="AF145" s="527">
        <f t="shared" si="229"/>
        <v>839.02108575804243</v>
      </c>
      <c r="AG145" s="527">
        <f t="shared" si="229"/>
        <v>839.02108575804243</v>
      </c>
      <c r="AH145" s="527">
        <f t="shared" si="229"/>
        <v>839.02108575804243</v>
      </c>
      <c r="AI145" s="527">
        <f t="shared" si="229"/>
        <v>839.02108575804243</v>
      </c>
      <c r="AJ145" s="527">
        <f t="shared" si="229"/>
        <v>839.02108575804243</v>
      </c>
      <c r="AK145" s="527">
        <f t="shared" si="229"/>
        <v>839.02108575804243</v>
      </c>
      <c r="AL145" s="527">
        <f t="shared" si="229"/>
        <v>839.02108575804243</v>
      </c>
      <c r="AM145" s="527">
        <f t="shared" si="229"/>
        <v>839.02108575804243</v>
      </c>
      <c r="AN145" s="527">
        <f t="shared" si="229"/>
        <v>839.02108575804243</v>
      </c>
      <c r="AO145" s="527">
        <f t="shared" si="229"/>
        <v>839.02108575804243</v>
      </c>
      <c r="AP145" s="527">
        <f t="shared" si="229"/>
        <v>868.61657508495978</v>
      </c>
      <c r="AQ145" s="527">
        <f t="shared" si="229"/>
        <v>868.61657508495978</v>
      </c>
      <c r="AR145" s="527">
        <f t="shared" si="229"/>
        <v>868.61657508495978</v>
      </c>
      <c r="AS145" s="527">
        <f t="shared" si="229"/>
        <v>868.61657508495978</v>
      </c>
      <c r="AT145" s="527">
        <f t="shared" si="229"/>
        <v>868.61657508495978</v>
      </c>
      <c r="AU145" s="527">
        <f t="shared" si="229"/>
        <v>868.61657508495978</v>
      </c>
      <c r="AV145" s="527">
        <f t="shared" si="229"/>
        <v>868.61657508495978</v>
      </c>
      <c r="AW145" s="527">
        <f t="shared" si="229"/>
        <v>868.61657508495978</v>
      </c>
      <c r="AX145" s="527">
        <f t="shared" ref="AX145:BY145" si="230">IFERROR(AX22/AX$19,0)</f>
        <v>868.61657508495978</v>
      </c>
      <c r="AY145" s="527">
        <f t="shared" si="230"/>
        <v>868.61657508495978</v>
      </c>
      <c r="AZ145" s="527">
        <f t="shared" si="230"/>
        <v>868.61657508495978</v>
      </c>
      <c r="BA145" s="527">
        <f t="shared" si="230"/>
        <v>868.61657508495978</v>
      </c>
      <c r="BB145" s="527">
        <f t="shared" si="230"/>
        <v>898.0627728054817</v>
      </c>
      <c r="BC145" s="527">
        <f t="shared" si="230"/>
        <v>898.0627728054817</v>
      </c>
      <c r="BD145" s="527">
        <f t="shared" si="230"/>
        <v>898.0627728054817</v>
      </c>
      <c r="BE145" s="527">
        <f t="shared" si="230"/>
        <v>898.0627728054817</v>
      </c>
      <c r="BF145" s="527">
        <f t="shared" si="230"/>
        <v>898.0627728054817</v>
      </c>
      <c r="BG145" s="527">
        <f t="shared" si="230"/>
        <v>898.0627728054817</v>
      </c>
      <c r="BH145" s="527">
        <f t="shared" si="230"/>
        <v>898.0627728054817</v>
      </c>
      <c r="BI145" s="527">
        <f t="shared" si="230"/>
        <v>898.0627728054817</v>
      </c>
      <c r="BJ145" s="527">
        <f t="shared" si="230"/>
        <v>898.0627728054817</v>
      </c>
      <c r="BK145" s="527">
        <f t="shared" si="230"/>
        <v>898.0627728054817</v>
      </c>
      <c r="BL145" s="527">
        <f t="shared" si="230"/>
        <v>898.0627728054817</v>
      </c>
      <c r="BM145" s="527">
        <f t="shared" si="230"/>
        <v>898.0627728054817</v>
      </c>
      <c r="BN145" s="527">
        <f t="shared" si="230"/>
        <v>928.52165785203761</v>
      </c>
      <c r="BO145" s="527">
        <f t="shared" si="230"/>
        <v>928.52165785203761</v>
      </c>
      <c r="BP145" s="527">
        <f t="shared" si="230"/>
        <v>928.52165785203761</v>
      </c>
      <c r="BQ145" s="527">
        <f t="shared" si="230"/>
        <v>928.52165785203761</v>
      </c>
      <c r="BR145" s="527">
        <f t="shared" si="230"/>
        <v>928.52165785203761</v>
      </c>
      <c r="BS145" s="527">
        <f t="shared" si="230"/>
        <v>928.52165785203761</v>
      </c>
      <c r="BT145" s="527">
        <f t="shared" si="230"/>
        <v>928.52165785203761</v>
      </c>
      <c r="BU145" s="527">
        <f t="shared" si="230"/>
        <v>928.52165785203761</v>
      </c>
      <c r="BV145" s="527">
        <f t="shared" si="230"/>
        <v>928.52165785203761</v>
      </c>
      <c r="BW145" s="527">
        <f t="shared" si="230"/>
        <v>928.52165785203761</v>
      </c>
      <c r="BX145" s="527">
        <f t="shared" si="230"/>
        <v>928.52165785203761</v>
      </c>
      <c r="BY145" s="527">
        <f t="shared" si="230"/>
        <v>928.52165785203761</v>
      </c>
    </row>
    <row r="146" spans="1:77" x14ac:dyDescent="0.3">
      <c r="A146" s="551"/>
      <c r="B146" s="548"/>
      <c r="C146" s="525"/>
      <c r="D146" s="525"/>
      <c r="E146" s="525" t="s">
        <v>134</v>
      </c>
      <c r="F146" s="567"/>
      <c r="G146" s="567"/>
      <c r="H146" s="567"/>
      <c r="I146" s="527">
        <f t="shared" si="228"/>
        <v>-247.78687971384937</v>
      </c>
      <c r="J146" s="527">
        <f t="shared" si="228"/>
        <v>-250.24261730812634</v>
      </c>
      <c r="K146" s="527">
        <f t="shared" si="228"/>
        <v>-252.74746965428886</v>
      </c>
      <c r="L146" s="527">
        <f t="shared" si="228"/>
        <v>-255.30241904737463</v>
      </c>
      <c r="M146" s="527">
        <f t="shared" si="228"/>
        <v>-257.90846742832224</v>
      </c>
      <c r="N146" s="527">
        <f t="shared" si="228"/>
        <v>-260.56663677688869</v>
      </c>
      <c r="O146" s="529"/>
      <c r="P146" s="562"/>
      <c r="Q146" s="537"/>
      <c r="R146" s="527">
        <f t="shared" ref="R146:AW146" si="231">IFERROR(R23/R$19,0)</f>
        <v>-250.24261730812637</v>
      </c>
      <c r="S146" s="527">
        <f t="shared" si="231"/>
        <v>-250.24261730812637</v>
      </c>
      <c r="T146" s="527">
        <f t="shared" si="231"/>
        <v>-250.24261730812637</v>
      </c>
      <c r="U146" s="527">
        <f t="shared" si="231"/>
        <v>-250.24261730812637</v>
      </c>
      <c r="V146" s="527">
        <f t="shared" si="231"/>
        <v>-250.24261730812637</v>
      </c>
      <c r="W146" s="527">
        <f t="shared" si="231"/>
        <v>-250.24261730812637</v>
      </c>
      <c r="X146" s="527">
        <f t="shared" si="231"/>
        <v>-250.24261730812637</v>
      </c>
      <c r="Y146" s="527">
        <f t="shared" si="231"/>
        <v>-250.24261730812637</v>
      </c>
      <c r="Z146" s="527">
        <f t="shared" si="231"/>
        <v>-250.24261730812637</v>
      </c>
      <c r="AA146" s="527">
        <f t="shared" si="231"/>
        <v>-250.24261730812637</v>
      </c>
      <c r="AB146" s="527">
        <f t="shared" si="231"/>
        <v>-250.24261730812637</v>
      </c>
      <c r="AC146" s="527">
        <f t="shared" si="231"/>
        <v>-250.24261730812637</v>
      </c>
      <c r="AD146" s="527">
        <f t="shared" si="231"/>
        <v>-252.74746965428892</v>
      </c>
      <c r="AE146" s="527">
        <f t="shared" si="231"/>
        <v>-252.74746965428892</v>
      </c>
      <c r="AF146" s="527">
        <f t="shared" si="231"/>
        <v>-252.74746965428892</v>
      </c>
      <c r="AG146" s="527">
        <f t="shared" si="231"/>
        <v>-252.74746965428892</v>
      </c>
      <c r="AH146" s="527">
        <f t="shared" si="231"/>
        <v>-252.74746965428892</v>
      </c>
      <c r="AI146" s="527">
        <f t="shared" si="231"/>
        <v>-252.74746965428892</v>
      </c>
      <c r="AJ146" s="527">
        <f t="shared" si="231"/>
        <v>-252.74746965428889</v>
      </c>
      <c r="AK146" s="527">
        <f t="shared" si="231"/>
        <v>-252.74746965428889</v>
      </c>
      <c r="AL146" s="527">
        <f t="shared" si="231"/>
        <v>-252.74746965428889</v>
      </c>
      <c r="AM146" s="527">
        <f t="shared" si="231"/>
        <v>-252.74746965428889</v>
      </c>
      <c r="AN146" s="527">
        <f t="shared" si="231"/>
        <v>-252.74746965428889</v>
      </c>
      <c r="AO146" s="527">
        <f t="shared" si="231"/>
        <v>-252.74746965428889</v>
      </c>
      <c r="AP146" s="527">
        <f t="shared" si="231"/>
        <v>-255.30241904737468</v>
      </c>
      <c r="AQ146" s="527">
        <f t="shared" si="231"/>
        <v>-255.30241904737468</v>
      </c>
      <c r="AR146" s="527">
        <f t="shared" si="231"/>
        <v>-255.30241904737468</v>
      </c>
      <c r="AS146" s="527">
        <f t="shared" si="231"/>
        <v>-255.30241904737468</v>
      </c>
      <c r="AT146" s="527">
        <f t="shared" si="231"/>
        <v>-255.30241904737468</v>
      </c>
      <c r="AU146" s="527">
        <f t="shared" si="231"/>
        <v>-255.30241904737468</v>
      </c>
      <c r="AV146" s="527">
        <f t="shared" si="231"/>
        <v>-255.30241904737471</v>
      </c>
      <c r="AW146" s="527">
        <f t="shared" si="231"/>
        <v>-255.30241904737471</v>
      </c>
      <c r="AX146" s="527">
        <f t="shared" ref="AX146:BY146" si="232">IFERROR(AX23/AX$19,0)</f>
        <v>-255.30241904737471</v>
      </c>
      <c r="AY146" s="527">
        <f t="shared" si="232"/>
        <v>-255.30241904737471</v>
      </c>
      <c r="AZ146" s="527">
        <f t="shared" si="232"/>
        <v>-255.30241904737471</v>
      </c>
      <c r="BA146" s="527">
        <f t="shared" si="232"/>
        <v>-255.30241904737471</v>
      </c>
      <c r="BB146" s="527">
        <f t="shared" si="232"/>
        <v>-257.90846742832224</v>
      </c>
      <c r="BC146" s="527">
        <f t="shared" si="232"/>
        <v>-257.90846742832224</v>
      </c>
      <c r="BD146" s="527">
        <f t="shared" si="232"/>
        <v>-257.90846742832224</v>
      </c>
      <c r="BE146" s="527">
        <f t="shared" si="232"/>
        <v>-257.90846742832224</v>
      </c>
      <c r="BF146" s="527">
        <f t="shared" si="232"/>
        <v>-257.90846742832224</v>
      </c>
      <c r="BG146" s="527">
        <f t="shared" si="232"/>
        <v>-257.90846742832224</v>
      </c>
      <c r="BH146" s="527">
        <f t="shared" si="232"/>
        <v>-257.90846742832218</v>
      </c>
      <c r="BI146" s="527">
        <f t="shared" si="232"/>
        <v>-257.90846742832218</v>
      </c>
      <c r="BJ146" s="527">
        <f t="shared" si="232"/>
        <v>-257.90846742832218</v>
      </c>
      <c r="BK146" s="527">
        <f t="shared" si="232"/>
        <v>-257.90846742832218</v>
      </c>
      <c r="BL146" s="527">
        <f t="shared" si="232"/>
        <v>-257.90846742832218</v>
      </c>
      <c r="BM146" s="527">
        <f t="shared" si="232"/>
        <v>-257.90846742832218</v>
      </c>
      <c r="BN146" s="527">
        <f t="shared" si="232"/>
        <v>-260.56663677688869</v>
      </c>
      <c r="BO146" s="527">
        <f t="shared" si="232"/>
        <v>-260.56663677688869</v>
      </c>
      <c r="BP146" s="527">
        <f t="shared" si="232"/>
        <v>-260.56663677688869</v>
      </c>
      <c r="BQ146" s="527">
        <f t="shared" si="232"/>
        <v>-260.56663677688869</v>
      </c>
      <c r="BR146" s="527">
        <f t="shared" si="232"/>
        <v>-260.56663677688869</v>
      </c>
      <c r="BS146" s="527">
        <f t="shared" si="232"/>
        <v>-260.56663677688869</v>
      </c>
      <c r="BT146" s="527">
        <f t="shared" si="232"/>
        <v>-260.56663677688874</v>
      </c>
      <c r="BU146" s="527">
        <f t="shared" si="232"/>
        <v>-260.56663677688874</v>
      </c>
      <c r="BV146" s="527">
        <f t="shared" si="232"/>
        <v>-260.56663677688874</v>
      </c>
      <c r="BW146" s="527">
        <f t="shared" si="232"/>
        <v>-260.56663677688874</v>
      </c>
      <c r="BX146" s="527">
        <f t="shared" si="232"/>
        <v>-260.56663677688874</v>
      </c>
      <c r="BY146" s="527">
        <f t="shared" si="232"/>
        <v>-260.56663677688874</v>
      </c>
    </row>
    <row r="147" spans="1:77" x14ac:dyDescent="0.3">
      <c r="A147" s="551"/>
      <c r="B147" s="548"/>
      <c r="C147" s="525"/>
      <c r="D147" s="525"/>
      <c r="E147" s="525" t="s">
        <v>55</v>
      </c>
      <c r="F147" s="567"/>
      <c r="G147" s="567"/>
      <c r="H147" s="567"/>
      <c r="I147" s="527">
        <f t="shared" si="228"/>
        <v>-42.944538747776299</v>
      </c>
      <c r="J147" s="527">
        <f t="shared" si="228"/>
        <v>-43.803429522731818</v>
      </c>
      <c r="K147" s="527">
        <f t="shared" si="228"/>
        <v>-44.67949811318644</v>
      </c>
      <c r="L147" s="527">
        <f t="shared" si="228"/>
        <v>-45.573088075450173</v>
      </c>
      <c r="M147" s="527">
        <f t="shared" si="228"/>
        <v>-46.484549836959204</v>
      </c>
      <c r="N147" s="527">
        <f t="shared" si="228"/>
        <v>-47.4142408336984</v>
      </c>
      <c r="O147" s="529"/>
      <c r="P147" s="562"/>
      <c r="Q147" s="537"/>
      <c r="R147" s="527">
        <f t="shared" ref="R147:AW147" si="233">IFERROR(R24/R$19,0)</f>
        <v>-43.803429522731818</v>
      </c>
      <c r="S147" s="527">
        <f t="shared" si="233"/>
        <v>-43.803429522731818</v>
      </c>
      <c r="T147" s="527">
        <f t="shared" si="233"/>
        <v>-43.803429522731818</v>
      </c>
      <c r="U147" s="527">
        <f t="shared" si="233"/>
        <v>-43.803429522731818</v>
      </c>
      <c r="V147" s="527">
        <f t="shared" si="233"/>
        <v>-43.803429522731818</v>
      </c>
      <c r="W147" s="527">
        <f t="shared" si="233"/>
        <v>-43.803429522731818</v>
      </c>
      <c r="X147" s="527">
        <f t="shared" si="233"/>
        <v>-43.803429522731818</v>
      </c>
      <c r="Y147" s="527">
        <f t="shared" si="233"/>
        <v>-43.803429522731818</v>
      </c>
      <c r="Z147" s="527">
        <f t="shared" si="233"/>
        <v>-43.803429522731818</v>
      </c>
      <c r="AA147" s="527">
        <f t="shared" si="233"/>
        <v>-43.803429522731818</v>
      </c>
      <c r="AB147" s="527">
        <f t="shared" si="233"/>
        <v>-43.803429522731818</v>
      </c>
      <c r="AC147" s="527">
        <f t="shared" si="233"/>
        <v>-43.803429522731818</v>
      </c>
      <c r="AD147" s="527">
        <f t="shared" si="233"/>
        <v>-44.679498113186462</v>
      </c>
      <c r="AE147" s="527">
        <f t="shared" si="233"/>
        <v>-44.679498113186462</v>
      </c>
      <c r="AF147" s="527">
        <f t="shared" si="233"/>
        <v>-44.679498113186462</v>
      </c>
      <c r="AG147" s="527">
        <f t="shared" si="233"/>
        <v>-44.679498113186462</v>
      </c>
      <c r="AH147" s="527">
        <f t="shared" si="233"/>
        <v>-44.679498113186462</v>
      </c>
      <c r="AI147" s="527">
        <f t="shared" si="233"/>
        <v>-44.679498113186462</v>
      </c>
      <c r="AJ147" s="527">
        <f t="shared" si="233"/>
        <v>-44.679498113186462</v>
      </c>
      <c r="AK147" s="527">
        <f t="shared" si="233"/>
        <v>-44.679498113186462</v>
      </c>
      <c r="AL147" s="527">
        <f t="shared" si="233"/>
        <v>-44.679498113186462</v>
      </c>
      <c r="AM147" s="527">
        <f t="shared" si="233"/>
        <v>-44.679498113186462</v>
      </c>
      <c r="AN147" s="527">
        <f t="shared" si="233"/>
        <v>-44.679498113186462</v>
      </c>
      <c r="AO147" s="527">
        <f t="shared" si="233"/>
        <v>-44.679498113186462</v>
      </c>
      <c r="AP147" s="527">
        <f t="shared" si="233"/>
        <v>-45.573088075450187</v>
      </c>
      <c r="AQ147" s="527">
        <f t="shared" si="233"/>
        <v>-45.573088075450187</v>
      </c>
      <c r="AR147" s="527">
        <f t="shared" si="233"/>
        <v>-45.573088075450187</v>
      </c>
      <c r="AS147" s="527">
        <f t="shared" si="233"/>
        <v>-45.573088075450187</v>
      </c>
      <c r="AT147" s="527">
        <f t="shared" si="233"/>
        <v>-45.573088075450187</v>
      </c>
      <c r="AU147" s="527">
        <f t="shared" si="233"/>
        <v>-45.573088075450187</v>
      </c>
      <c r="AV147" s="527">
        <f t="shared" si="233"/>
        <v>-45.573088075450194</v>
      </c>
      <c r="AW147" s="527">
        <f t="shared" si="233"/>
        <v>-45.573088075450194</v>
      </c>
      <c r="AX147" s="527">
        <f t="shared" ref="AX147:BY147" si="234">IFERROR(AX24/AX$19,0)</f>
        <v>-45.573088075450194</v>
      </c>
      <c r="AY147" s="527">
        <f t="shared" si="234"/>
        <v>-45.573088075450194</v>
      </c>
      <c r="AZ147" s="527">
        <f t="shared" si="234"/>
        <v>-45.573088075450194</v>
      </c>
      <c r="BA147" s="527">
        <f t="shared" si="234"/>
        <v>-45.573088075450194</v>
      </c>
      <c r="BB147" s="527">
        <f t="shared" si="234"/>
        <v>-46.484549836959204</v>
      </c>
      <c r="BC147" s="527">
        <f t="shared" si="234"/>
        <v>-46.484549836959204</v>
      </c>
      <c r="BD147" s="527">
        <f t="shared" si="234"/>
        <v>-46.484549836959204</v>
      </c>
      <c r="BE147" s="527">
        <f t="shared" si="234"/>
        <v>-46.484549836959204</v>
      </c>
      <c r="BF147" s="527">
        <f t="shared" si="234"/>
        <v>-46.484549836959204</v>
      </c>
      <c r="BG147" s="527">
        <f t="shared" si="234"/>
        <v>-46.484549836959204</v>
      </c>
      <c r="BH147" s="527">
        <f t="shared" si="234"/>
        <v>-46.484549836959204</v>
      </c>
      <c r="BI147" s="527">
        <f t="shared" si="234"/>
        <v>-46.484549836959204</v>
      </c>
      <c r="BJ147" s="527">
        <f t="shared" si="234"/>
        <v>-46.484549836959204</v>
      </c>
      <c r="BK147" s="527">
        <f t="shared" si="234"/>
        <v>-46.484549836959204</v>
      </c>
      <c r="BL147" s="527">
        <f t="shared" si="234"/>
        <v>-46.484549836959204</v>
      </c>
      <c r="BM147" s="527">
        <f t="shared" si="234"/>
        <v>-46.484549836959204</v>
      </c>
      <c r="BN147" s="527">
        <f t="shared" si="234"/>
        <v>-47.414240833698379</v>
      </c>
      <c r="BO147" s="527">
        <f t="shared" si="234"/>
        <v>-47.414240833698379</v>
      </c>
      <c r="BP147" s="527">
        <f t="shared" si="234"/>
        <v>-47.414240833698379</v>
      </c>
      <c r="BQ147" s="527">
        <f t="shared" si="234"/>
        <v>-47.414240833698379</v>
      </c>
      <c r="BR147" s="527">
        <f t="shared" si="234"/>
        <v>-47.414240833698379</v>
      </c>
      <c r="BS147" s="527">
        <f t="shared" si="234"/>
        <v>-47.414240833698379</v>
      </c>
      <c r="BT147" s="527">
        <f t="shared" si="234"/>
        <v>-47.414240833698393</v>
      </c>
      <c r="BU147" s="527">
        <f t="shared" si="234"/>
        <v>-47.414240833698393</v>
      </c>
      <c r="BV147" s="527">
        <f t="shared" si="234"/>
        <v>-47.414240833698393</v>
      </c>
      <c r="BW147" s="527">
        <f t="shared" si="234"/>
        <v>-47.414240833698393</v>
      </c>
      <c r="BX147" s="527">
        <f t="shared" si="234"/>
        <v>-47.414240833698393</v>
      </c>
      <c r="BY147" s="527">
        <f t="shared" si="234"/>
        <v>-47.414240833698393</v>
      </c>
    </row>
    <row r="148" spans="1:77" x14ac:dyDescent="0.3">
      <c r="A148" s="551"/>
      <c r="B148" s="548"/>
      <c r="C148" s="525"/>
      <c r="D148" s="525"/>
      <c r="E148" s="525" t="s">
        <v>56</v>
      </c>
      <c r="F148" s="567"/>
      <c r="G148" s="567"/>
      <c r="H148" s="567"/>
      <c r="I148" s="527">
        <f t="shared" ref="I148:N148" si="235">IFERROR(I26/I$19,0)</f>
        <v>-165.03602031623817</v>
      </c>
      <c r="J148" s="527">
        <f t="shared" si="235"/>
        <v>-172.40924190444323</v>
      </c>
      <c r="K148" s="527">
        <f t="shared" si="235"/>
        <v>-179.8526920846586</v>
      </c>
      <c r="L148" s="527">
        <f t="shared" si="235"/>
        <v>-187.30741371008219</v>
      </c>
      <c r="M148" s="527">
        <f t="shared" si="235"/>
        <v>-194.72453070750325</v>
      </c>
      <c r="N148" s="527">
        <f t="shared" si="235"/>
        <v>-202.39673056656542</v>
      </c>
      <c r="O148" s="529"/>
      <c r="P148" s="562"/>
      <c r="Q148" s="537"/>
      <c r="R148" s="527">
        <f t="shared" ref="R148:AW148" si="236">IFERROR(R26/R$19,0)</f>
        <v>-172.40924190444329</v>
      </c>
      <c r="S148" s="527">
        <f t="shared" si="236"/>
        <v>-172.40924190444329</v>
      </c>
      <c r="T148" s="527">
        <f t="shared" si="236"/>
        <v>-172.40924190444329</v>
      </c>
      <c r="U148" s="527">
        <f t="shared" si="236"/>
        <v>-172.40924190444329</v>
      </c>
      <c r="V148" s="527">
        <f t="shared" si="236"/>
        <v>-172.40924190444329</v>
      </c>
      <c r="W148" s="527">
        <f t="shared" si="236"/>
        <v>-172.40924190444329</v>
      </c>
      <c r="X148" s="527">
        <f t="shared" si="236"/>
        <v>-172.40924190444329</v>
      </c>
      <c r="Y148" s="527">
        <f t="shared" si="236"/>
        <v>-172.40924190444329</v>
      </c>
      <c r="Z148" s="527">
        <f t="shared" si="236"/>
        <v>-172.40924190444329</v>
      </c>
      <c r="AA148" s="527">
        <f t="shared" si="236"/>
        <v>-172.40924190444329</v>
      </c>
      <c r="AB148" s="527">
        <f t="shared" si="236"/>
        <v>-172.40924190444329</v>
      </c>
      <c r="AC148" s="527">
        <f t="shared" si="236"/>
        <v>-172.40924190444329</v>
      </c>
      <c r="AD148" s="527">
        <f t="shared" si="236"/>
        <v>-179.85269208465866</v>
      </c>
      <c r="AE148" s="527">
        <f t="shared" si="236"/>
        <v>-179.85269208465866</v>
      </c>
      <c r="AF148" s="527">
        <f t="shared" si="236"/>
        <v>-179.85269208465866</v>
      </c>
      <c r="AG148" s="527">
        <f t="shared" si="236"/>
        <v>-179.85269208465866</v>
      </c>
      <c r="AH148" s="527">
        <f t="shared" si="236"/>
        <v>-179.85269208465866</v>
      </c>
      <c r="AI148" s="527">
        <f t="shared" si="236"/>
        <v>-179.85269208465866</v>
      </c>
      <c r="AJ148" s="527">
        <f t="shared" si="236"/>
        <v>-179.8526920846586</v>
      </c>
      <c r="AK148" s="527">
        <f t="shared" si="236"/>
        <v>-179.8526920846586</v>
      </c>
      <c r="AL148" s="527">
        <f t="shared" si="236"/>
        <v>-179.8526920846586</v>
      </c>
      <c r="AM148" s="527">
        <f t="shared" si="236"/>
        <v>-179.8526920846586</v>
      </c>
      <c r="AN148" s="527">
        <f t="shared" si="236"/>
        <v>-179.8526920846586</v>
      </c>
      <c r="AO148" s="527">
        <f t="shared" si="236"/>
        <v>-179.8526920846586</v>
      </c>
      <c r="AP148" s="527">
        <f t="shared" si="236"/>
        <v>-187.30741371008216</v>
      </c>
      <c r="AQ148" s="527">
        <f t="shared" si="236"/>
        <v>-187.30741371008216</v>
      </c>
      <c r="AR148" s="527">
        <f t="shared" si="236"/>
        <v>-187.30741371008216</v>
      </c>
      <c r="AS148" s="527">
        <f t="shared" si="236"/>
        <v>-187.30741371008216</v>
      </c>
      <c r="AT148" s="527">
        <f t="shared" si="236"/>
        <v>-187.30741371008216</v>
      </c>
      <c r="AU148" s="527">
        <f t="shared" si="236"/>
        <v>-187.30741371008216</v>
      </c>
      <c r="AV148" s="527">
        <f t="shared" si="236"/>
        <v>-187.30741371008219</v>
      </c>
      <c r="AW148" s="527">
        <f t="shared" si="236"/>
        <v>-187.30741371008219</v>
      </c>
      <c r="AX148" s="527">
        <f t="shared" ref="AX148:BY148" si="237">IFERROR(AX26/AX$19,0)</f>
        <v>-187.30741371008219</v>
      </c>
      <c r="AY148" s="527">
        <f t="shared" si="237"/>
        <v>-187.30741371008219</v>
      </c>
      <c r="AZ148" s="527">
        <f t="shared" si="237"/>
        <v>-187.30741371008219</v>
      </c>
      <c r="BA148" s="527">
        <f t="shared" si="237"/>
        <v>-187.30741371008219</v>
      </c>
      <c r="BB148" s="527">
        <f t="shared" si="237"/>
        <v>-194.72453070750325</v>
      </c>
      <c r="BC148" s="527">
        <f t="shared" si="237"/>
        <v>-194.72453070750325</v>
      </c>
      <c r="BD148" s="527">
        <f t="shared" si="237"/>
        <v>-194.72453070750325</v>
      </c>
      <c r="BE148" s="527">
        <f t="shared" si="237"/>
        <v>-194.72453070750325</v>
      </c>
      <c r="BF148" s="527">
        <f t="shared" si="237"/>
        <v>-194.72453070750325</v>
      </c>
      <c r="BG148" s="527">
        <f t="shared" si="237"/>
        <v>-194.72453070750325</v>
      </c>
      <c r="BH148" s="527">
        <f t="shared" si="237"/>
        <v>-194.72453070750322</v>
      </c>
      <c r="BI148" s="527">
        <f t="shared" si="237"/>
        <v>-194.72453070750322</v>
      </c>
      <c r="BJ148" s="527">
        <f t="shared" si="237"/>
        <v>-194.72453070750322</v>
      </c>
      <c r="BK148" s="527">
        <f t="shared" si="237"/>
        <v>-194.72453070750322</v>
      </c>
      <c r="BL148" s="527">
        <f t="shared" si="237"/>
        <v>-194.72453070750322</v>
      </c>
      <c r="BM148" s="527">
        <f t="shared" si="237"/>
        <v>-194.72453070750322</v>
      </c>
      <c r="BN148" s="527">
        <f t="shared" si="237"/>
        <v>-202.39673056656534</v>
      </c>
      <c r="BO148" s="527">
        <f t="shared" si="237"/>
        <v>-202.39673056656534</v>
      </c>
      <c r="BP148" s="527">
        <f t="shared" si="237"/>
        <v>-202.39673056656534</v>
      </c>
      <c r="BQ148" s="527">
        <f t="shared" si="237"/>
        <v>-202.39673056656534</v>
      </c>
      <c r="BR148" s="527">
        <f t="shared" si="237"/>
        <v>-202.39673056656534</v>
      </c>
      <c r="BS148" s="527">
        <f t="shared" si="237"/>
        <v>-202.39673056656534</v>
      </c>
      <c r="BT148" s="527">
        <f t="shared" si="237"/>
        <v>-202.39673056656537</v>
      </c>
      <c r="BU148" s="527">
        <f t="shared" si="237"/>
        <v>-202.39673056656537</v>
      </c>
      <c r="BV148" s="527">
        <f t="shared" si="237"/>
        <v>-202.39673056656537</v>
      </c>
      <c r="BW148" s="527">
        <f t="shared" si="237"/>
        <v>-202.39673056656537</v>
      </c>
      <c r="BX148" s="527">
        <f t="shared" si="237"/>
        <v>-202.39673056656537</v>
      </c>
      <c r="BY148" s="527">
        <f t="shared" si="237"/>
        <v>-202.39673056656537</v>
      </c>
    </row>
    <row r="149" spans="1:77" x14ac:dyDescent="0.3">
      <c r="A149" s="551"/>
      <c r="B149" s="548"/>
      <c r="C149" s="525"/>
      <c r="D149" s="525"/>
      <c r="E149" s="566"/>
      <c r="F149" s="581"/>
      <c r="G149" s="581"/>
      <c r="H149" s="581"/>
      <c r="I149" s="536"/>
      <c r="J149" s="536"/>
      <c r="K149" s="536"/>
      <c r="L149" s="536"/>
      <c r="M149" s="536"/>
      <c r="N149" s="536"/>
      <c r="O149" s="536"/>
      <c r="P149" s="582"/>
      <c r="Q149" s="537"/>
      <c r="R149" s="536"/>
      <c r="S149" s="536"/>
      <c r="T149" s="536"/>
      <c r="U149" s="536"/>
      <c r="V149" s="536"/>
      <c r="W149" s="536"/>
      <c r="X149" s="536"/>
      <c r="Y149" s="536"/>
      <c r="Z149" s="536"/>
      <c r="AA149" s="536"/>
      <c r="AB149" s="536"/>
      <c r="AC149" s="536"/>
      <c r="AD149" s="536"/>
      <c r="AE149" s="536"/>
      <c r="AF149" s="536"/>
      <c r="AG149" s="536"/>
      <c r="AH149" s="536"/>
      <c r="AI149" s="536"/>
      <c r="AJ149" s="536"/>
      <c r="AK149" s="536"/>
      <c r="AL149" s="536"/>
      <c r="AM149" s="536"/>
      <c r="AN149" s="536"/>
      <c r="AO149" s="536"/>
      <c r="AP149" s="536"/>
      <c r="AQ149" s="536"/>
      <c r="AR149" s="536"/>
      <c r="AS149" s="536"/>
      <c r="AT149" s="536"/>
      <c r="AU149" s="536"/>
      <c r="AV149" s="536"/>
      <c r="AW149" s="536"/>
      <c r="AX149" s="536"/>
      <c r="AY149" s="536"/>
      <c r="AZ149" s="536"/>
      <c r="BA149" s="536"/>
      <c r="BB149" s="536"/>
      <c r="BC149" s="536"/>
      <c r="BD149" s="536"/>
      <c r="BE149" s="536"/>
      <c r="BF149" s="536"/>
      <c r="BG149" s="536"/>
      <c r="BH149" s="536"/>
      <c r="BI149" s="536"/>
      <c r="BJ149" s="536"/>
      <c r="BK149" s="536"/>
      <c r="BL149" s="536"/>
      <c r="BM149" s="536"/>
      <c r="BN149" s="536"/>
      <c r="BO149" s="536"/>
      <c r="BP149" s="536"/>
      <c r="BQ149" s="536"/>
      <c r="BR149" s="536"/>
      <c r="BS149" s="536"/>
      <c r="BT149" s="536"/>
      <c r="BU149" s="536"/>
      <c r="BV149" s="536"/>
      <c r="BW149" s="536"/>
      <c r="BX149" s="536"/>
      <c r="BY149" s="536"/>
    </row>
    <row r="150" spans="1:77" x14ac:dyDescent="0.3">
      <c r="A150" s="551"/>
      <c r="B150" s="548"/>
      <c r="C150" s="525"/>
      <c r="D150" s="525"/>
      <c r="E150" s="566"/>
      <c r="F150" s="581"/>
      <c r="G150" s="581"/>
      <c r="H150" s="581"/>
      <c r="I150" s="536"/>
      <c r="J150" s="536"/>
      <c r="K150" s="536"/>
      <c r="L150" s="536"/>
      <c r="M150" s="536"/>
      <c r="N150" s="536"/>
      <c r="O150" s="536"/>
      <c r="P150" s="582"/>
      <c r="Q150" s="537"/>
      <c r="R150" s="536"/>
      <c r="S150" s="536"/>
      <c r="T150" s="536"/>
      <c r="U150" s="536"/>
      <c r="V150" s="536"/>
      <c r="W150" s="536"/>
      <c r="X150" s="536"/>
      <c r="Y150" s="536"/>
      <c r="Z150" s="536"/>
      <c r="AA150" s="536"/>
      <c r="AB150" s="536"/>
      <c r="AC150" s="536"/>
      <c r="AD150" s="536"/>
      <c r="AE150" s="536"/>
      <c r="AF150" s="536"/>
      <c r="AG150" s="536"/>
      <c r="AH150" s="536"/>
      <c r="AI150" s="536"/>
      <c r="AJ150" s="536"/>
      <c r="AK150" s="536"/>
      <c r="AL150" s="536"/>
      <c r="AM150" s="536"/>
      <c r="AN150" s="536"/>
      <c r="AO150" s="536"/>
      <c r="AP150" s="536"/>
      <c r="AQ150" s="536"/>
      <c r="AR150" s="536"/>
      <c r="AS150" s="536"/>
      <c r="AT150" s="536"/>
      <c r="AU150" s="536"/>
      <c r="AV150" s="536"/>
      <c r="AW150" s="536"/>
      <c r="AX150" s="536"/>
      <c r="AY150" s="536"/>
      <c r="AZ150" s="536"/>
      <c r="BA150" s="536"/>
      <c r="BB150" s="536"/>
      <c r="BC150" s="536"/>
      <c r="BD150" s="536"/>
      <c r="BE150" s="536"/>
      <c r="BF150" s="536"/>
      <c r="BG150" s="536"/>
      <c r="BH150" s="536"/>
      <c r="BI150" s="536"/>
      <c r="BJ150" s="536"/>
      <c r="BK150" s="536"/>
      <c r="BL150" s="536"/>
      <c r="BM150" s="536"/>
      <c r="BN150" s="536"/>
      <c r="BO150" s="536"/>
      <c r="BP150" s="536"/>
      <c r="BQ150" s="536"/>
      <c r="BR150" s="536"/>
      <c r="BS150" s="536"/>
      <c r="BT150" s="536"/>
      <c r="BU150" s="536"/>
      <c r="BV150" s="536"/>
      <c r="BW150" s="536"/>
      <c r="BX150" s="536"/>
      <c r="BY150" s="536"/>
    </row>
    <row r="151" spans="1:77" x14ac:dyDescent="0.3">
      <c r="A151" s="551"/>
      <c r="B151" s="548"/>
      <c r="C151" s="560" t="s">
        <v>37</v>
      </c>
      <c r="D151" s="561"/>
      <c r="E151" s="526" t="s">
        <v>72</v>
      </c>
      <c r="F151" s="526"/>
      <c r="G151" s="526"/>
      <c r="H151" s="526"/>
      <c r="I151" s="526"/>
      <c r="J151" s="526"/>
      <c r="K151" s="526"/>
      <c r="L151" s="526"/>
      <c r="M151" s="526"/>
      <c r="N151" s="526"/>
      <c r="O151" s="526"/>
      <c r="P151" s="560"/>
      <c r="Q151" s="526"/>
      <c r="R151" s="526"/>
      <c r="S151" s="526"/>
      <c r="T151" s="526"/>
      <c r="U151" s="526"/>
      <c r="V151" s="526"/>
      <c r="W151" s="526"/>
      <c r="X151" s="526"/>
      <c r="Y151" s="526"/>
      <c r="Z151" s="526"/>
      <c r="AA151" s="526"/>
      <c r="AB151" s="526"/>
      <c r="AC151" s="526"/>
      <c r="AD151" s="526"/>
      <c r="AE151" s="526"/>
      <c r="AF151" s="526"/>
      <c r="AG151" s="526"/>
      <c r="AH151" s="526"/>
      <c r="AI151" s="526"/>
      <c r="AJ151" s="526"/>
      <c r="AK151" s="526"/>
      <c r="AL151" s="526"/>
      <c r="AM151" s="526"/>
      <c r="AN151" s="526"/>
      <c r="AO151" s="526"/>
      <c r="AP151" s="526"/>
      <c r="AQ151" s="526"/>
      <c r="AR151" s="526"/>
      <c r="AS151" s="526"/>
      <c r="AT151" s="526"/>
      <c r="AU151" s="526"/>
      <c r="AV151" s="526"/>
      <c r="AW151" s="526"/>
      <c r="AX151" s="526"/>
      <c r="AY151" s="526"/>
      <c r="AZ151" s="526"/>
      <c r="BA151" s="526"/>
      <c r="BB151" s="526"/>
      <c r="BC151" s="526"/>
      <c r="BD151" s="526"/>
      <c r="BE151" s="526"/>
      <c r="BF151" s="526"/>
      <c r="BG151" s="526"/>
      <c r="BH151" s="526"/>
      <c r="BI151" s="526"/>
      <c r="BJ151" s="526"/>
      <c r="BK151" s="526"/>
      <c r="BL151" s="526"/>
      <c r="BM151" s="526"/>
      <c r="BN151" s="526"/>
      <c r="BO151" s="526"/>
      <c r="BP151" s="526"/>
      <c r="BQ151" s="526"/>
      <c r="BR151" s="526"/>
      <c r="BS151" s="526"/>
      <c r="BT151" s="526"/>
      <c r="BU151" s="526"/>
      <c r="BV151" s="526"/>
      <c r="BW151" s="526"/>
      <c r="BX151" s="526"/>
      <c r="BY151" s="526"/>
    </row>
    <row r="152" spans="1:77" x14ac:dyDescent="0.3">
      <c r="A152" s="551"/>
      <c r="B152" s="548"/>
      <c r="C152" s="525"/>
      <c r="D152" s="525"/>
      <c r="E152" s="525"/>
      <c r="F152" s="525"/>
      <c r="G152" s="525"/>
      <c r="H152" s="525"/>
      <c r="I152" s="525"/>
      <c r="J152" s="525"/>
      <c r="K152" s="525"/>
      <c r="L152" s="525"/>
      <c r="M152" s="525"/>
      <c r="N152" s="525"/>
      <c r="O152" s="525"/>
      <c r="P152" s="565"/>
      <c r="Q152" s="525"/>
      <c r="R152" s="525"/>
      <c r="S152" s="525"/>
      <c r="T152" s="525"/>
      <c r="U152" s="525"/>
      <c r="V152" s="525"/>
      <c r="W152" s="525"/>
      <c r="X152" s="525"/>
      <c r="Y152" s="525"/>
      <c r="Z152" s="525"/>
      <c r="AA152" s="525"/>
      <c r="AB152" s="525"/>
      <c r="AC152" s="525"/>
      <c r="AD152" s="525"/>
      <c r="AE152" s="525"/>
      <c r="AF152" s="525"/>
      <c r="AG152" s="525"/>
      <c r="AH152" s="525"/>
      <c r="AI152" s="525"/>
      <c r="AJ152" s="525"/>
      <c r="AK152" s="525"/>
      <c r="AL152" s="525"/>
      <c r="AM152" s="525"/>
      <c r="AN152" s="525"/>
      <c r="AO152" s="525"/>
      <c r="AP152" s="525"/>
      <c r="AQ152" s="525"/>
      <c r="AR152" s="525"/>
      <c r="AS152" s="525"/>
      <c r="AT152" s="525"/>
      <c r="AU152" s="525"/>
      <c r="AV152" s="525"/>
      <c r="AW152" s="525"/>
      <c r="AX152" s="525"/>
      <c r="AY152" s="525"/>
      <c r="AZ152" s="525"/>
      <c r="BA152" s="525"/>
      <c r="BB152" s="525"/>
      <c r="BC152" s="525"/>
      <c r="BD152" s="525"/>
      <c r="BE152" s="525"/>
      <c r="BF152" s="525"/>
      <c r="BG152" s="525"/>
      <c r="BH152" s="525"/>
      <c r="BI152" s="525"/>
      <c r="BJ152" s="525"/>
      <c r="BK152" s="525"/>
      <c r="BL152" s="525"/>
      <c r="BM152" s="525"/>
      <c r="BN152" s="525"/>
      <c r="BO152" s="525"/>
      <c r="BP152" s="525"/>
      <c r="BQ152" s="525"/>
      <c r="BR152" s="525"/>
      <c r="BS152" s="525"/>
      <c r="BT152" s="525"/>
      <c r="BU152" s="525"/>
      <c r="BV152" s="525"/>
      <c r="BW152" s="525"/>
      <c r="BX152" s="525"/>
      <c r="BY152" s="525"/>
    </row>
    <row r="153" spans="1:77" x14ac:dyDescent="0.3">
      <c r="A153" s="551"/>
      <c r="B153" s="548"/>
      <c r="C153" s="525"/>
      <c r="D153" s="525"/>
      <c r="E153" s="525"/>
      <c r="F153" s="525"/>
      <c r="G153" s="525"/>
      <c r="H153" s="525"/>
      <c r="I153" s="525"/>
      <c r="J153" s="525"/>
      <c r="K153" s="525"/>
      <c r="L153" s="525"/>
      <c r="M153" s="525"/>
      <c r="N153" s="525"/>
      <c r="O153" s="525"/>
      <c r="P153" s="565"/>
      <c r="Q153" s="525"/>
      <c r="R153" s="583" t="s">
        <v>74</v>
      </c>
      <c r="S153" s="583"/>
      <c r="T153" s="583"/>
      <c r="U153" s="583"/>
      <c r="V153" s="583"/>
      <c r="W153" s="583"/>
      <c r="X153" s="525"/>
      <c r="Y153" s="583" t="s">
        <v>75</v>
      </c>
      <c r="Z153" s="583"/>
      <c r="AA153" s="583"/>
      <c r="AB153" s="583"/>
      <c r="AC153" s="583"/>
      <c r="AD153" s="525"/>
      <c r="AE153" s="583" t="s">
        <v>76</v>
      </c>
      <c r="AF153" s="583"/>
      <c r="AG153" s="525"/>
      <c r="AH153" s="525"/>
      <c r="AI153" s="525"/>
      <c r="AJ153" s="525"/>
      <c r="AK153" s="525"/>
      <c r="AL153" s="525"/>
      <c r="AM153" s="525"/>
      <c r="AN153" s="525"/>
      <c r="AO153" s="525"/>
      <c r="AP153" s="525"/>
      <c r="AQ153" s="525"/>
      <c r="AR153" s="525"/>
      <c r="AS153" s="525"/>
      <c r="AT153" s="525"/>
      <c r="AU153" s="525"/>
      <c r="AV153" s="525"/>
      <c r="AW153" s="525"/>
      <c r="AX153" s="525"/>
      <c r="AY153" s="525"/>
      <c r="AZ153" s="525"/>
      <c r="BA153" s="525"/>
      <c r="BB153" s="525"/>
      <c r="BC153" s="525"/>
      <c r="BD153" s="525"/>
      <c r="BE153" s="525"/>
      <c r="BF153" s="525"/>
      <c r="BG153" s="525"/>
      <c r="BH153" s="525"/>
      <c r="BI153" s="525"/>
      <c r="BJ153" s="525"/>
      <c r="BK153" s="525"/>
      <c r="BL153" s="525"/>
      <c r="BM153" s="525"/>
      <c r="BN153" s="525"/>
      <c r="BO153" s="525"/>
      <c r="BP153" s="525"/>
      <c r="BQ153" s="525"/>
      <c r="BR153" s="525"/>
      <c r="BS153" s="525"/>
      <c r="BT153" s="525"/>
      <c r="BU153" s="525"/>
      <c r="BV153" s="525"/>
      <c r="BW153" s="525"/>
      <c r="BX153" s="525"/>
      <c r="BY153" s="525"/>
    </row>
    <row r="154" spans="1:77" x14ac:dyDescent="0.3">
      <c r="A154" s="551"/>
      <c r="B154" s="548"/>
      <c r="C154" s="525"/>
      <c r="D154" s="525"/>
      <c r="E154" s="538"/>
      <c r="F154" s="538"/>
      <c r="G154" s="538"/>
      <c r="H154" s="538"/>
      <c r="I154" s="538"/>
      <c r="J154" s="538"/>
      <c r="K154" s="538"/>
      <c r="L154" s="538"/>
      <c r="M154" s="538"/>
      <c r="N154" s="538"/>
      <c r="O154" s="538"/>
      <c r="P154" s="584" t="s">
        <v>275</v>
      </c>
      <c r="Q154" s="584" t="str">
        <f>"Share of "&amp;B3</f>
        <v>Share of Portfolio</v>
      </c>
      <c r="R154" s="585" t="s">
        <v>77</v>
      </c>
      <c r="S154" s="585" t="s">
        <v>78</v>
      </c>
      <c r="T154" s="585" t="s">
        <v>79</v>
      </c>
      <c r="U154" s="585" t="s">
        <v>80</v>
      </c>
      <c r="V154" s="585" t="s">
        <v>81</v>
      </c>
      <c r="W154" s="585" t="s">
        <v>82</v>
      </c>
      <c r="X154" s="525"/>
      <c r="Y154" s="586">
        <v>1</v>
      </c>
      <c r="Z154" s="586">
        <v>2</v>
      </c>
      <c r="AA154" s="586">
        <v>3</v>
      </c>
      <c r="AB154" s="586">
        <v>4</v>
      </c>
      <c r="AC154" s="586">
        <v>5</v>
      </c>
      <c r="AD154" s="525"/>
      <c r="AE154" s="585" t="s">
        <v>83</v>
      </c>
      <c r="AF154" s="585" t="s">
        <v>84</v>
      </c>
      <c r="AG154" s="525"/>
      <c r="AH154" s="587" t="s">
        <v>85</v>
      </c>
      <c r="AI154" s="587" t="s">
        <v>86</v>
      </c>
      <c r="AJ154" s="587" t="s">
        <v>87</v>
      </c>
      <c r="AK154" s="587" t="s">
        <v>88</v>
      </c>
      <c r="AL154" s="587" t="s">
        <v>89</v>
      </c>
      <c r="AM154" s="537"/>
      <c r="AN154" s="537"/>
      <c r="AO154" s="537"/>
      <c r="AP154" s="537"/>
      <c r="AQ154" s="537"/>
      <c r="AR154" s="537"/>
      <c r="AS154" s="537"/>
      <c r="AT154" s="537"/>
      <c r="AU154" s="537"/>
      <c r="AV154" s="537"/>
      <c r="AW154" s="537"/>
      <c r="AX154" s="537"/>
      <c r="AY154" s="537"/>
      <c r="AZ154" s="537"/>
      <c r="BA154" s="537"/>
      <c r="BB154" s="537"/>
      <c r="BC154" s="537"/>
      <c r="BD154" s="537"/>
      <c r="BE154" s="537"/>
      <c r="BF154" s="537"/>
      <c r="BG154" s="537"/>
      <c r="BH154" s="537"/>
      <c r="BI154" s="537"/>
      <c r="BJ154" s="537"/>
      <c r="BK154" s="537"/>
      <c r="BL154" s="537"/>
      <c r="BM154" s="537"/>
      <c r="BN154" s="537"/>
      <c r="BO154" s="537"/>
      <c r="BP154" s="537"/>
      <c r="BQ154" s="537"/>
      <c r="BR154" s="537"/>
      <c r="BS154" s="537"/>
      <c r="BT154" s="537"/>
      <c r="BU154" s="537"/>
      <c r="BV154" s="537"/>
      <c r="BW154" s="537"/>
      <c r="BX154" s="537"/>
      <c r="BY154" s="537"/>
    </row>
    <row r="155" spans="1:77" x14ac:dyDescent="0.3">
      <c r="A155" s="551"/>
      <c r="B155" s="548"/>
      <c r="C155" s="525"/>
      <c r="D155" s="525"/>
      <c r="E155" s="588" t="str">
        <f>"FY"&amp;VALUE(MID(P155,3,2))&amp;" Tranche"</f>
        <v>FY27 Tranche</v>
      </c>
      <c r="F155" s="525"/>
      <c r="G155" s="525"/>
      <c r="H155" s="525"/>
      <c r="I155" s="525"/>
      <c r="J155" s="525"/>
      <c r="K155" s="525"/>
      <c r="L155" s="525"/>
      <c r="M155" s="525"/>
      <c r="N155" s="525"/>
      <c r="O155" s="525"/>
      <c r="P155" s="589" t="str">
        <f t="shared" ref="P155:P160" si="238">IFERROR(INDEX($R$2:$BY$2,MATCH($T155,$R$4:$BY$4,0)),0)</f>
        <v>FY27E</v>
      </c>
      <c r="Q155" s="576">
        <f>$I$9/INDEX(Portfolio_Categorisation!$E$19:$E$19,MATCH($B$3,Portfolio_Categorisation!$C$19:$C$19,0))</f>
        <v>0.39935064935064934</v>
      </c>
      <c r="R155" s="590">
        <f>IFERROR(ROUND(INDEX('Detailed Assumptions'!$F$94:$J$94,MATCH($B$3,'Detailed Assumptions'!$D$94:$D$94,0),MATCH(P155,'Detailed Assumptions'!$F$93:$J$93,0))*Q155,0),0)</f>
        <v>17</v>
      </c>
      <c r="S155" s="542">
        <f>IFERROR('Detailed Assumptions'!$E$88*INDEX(Inflation_Curves!$R$6:$BY$6,MATCH($T155,Inflation_Curves!$R$4:$BY$4,0)),0)</f>
        <v>40408.351859838287</v>
      </c>
      <c r="T155" s="591">
        <f>'Detailed Assumptions'!$E$87</f>
        <v>46446</v>
      </c>
      <c r="U155" s="592">
        <f>'Detailed Assumptions'!E86</f>
        <v>1</v>
      </c>
      <c r="V155" s="554">
        <f t="shared" ref="V155:V160" si="239">EOMONTH(T155,U155)</f>
        <v>46477</v>
      </c>
      <c r="W155" s="527">
        <f t="shared" ref="W155:W160" si="240">S155/U155</f>
        <v>40408.351859838287</v>
      </c>
      <c r="X155" s="525"/>
      <c r="Y155" s="593">
        <f>IFERROR(('Detailed Assumptions'!$E$85*R155*S155)/R170,0)</f>
        <v>0.17092094216593881</v>
      </c>
      <c r="Z155" s="593" cm="1">
        <f t="array" ref="Z155">'Detailed Assumptions'!$E$6*INDEX('Detailed Assumptions'!$E$91:$J$91,0,MATCH(Z$154,'Detailed Assumptions'!$E$90:$J$90,0))</f>
        <v>0.04</v>
      </c>
      <c r="AA155" s="593" cm="1">
        <f t="array" ref="AA155">'Detailed Assumptions'!$E$6*INDEX('Detailed Assumptions'!$E$91:$J$91,0,MATCH(AA$154,'Detailed Assumptions'!$E$90:$J$90,0))</f>
        <v>0.04</v>
      </c>
      <c r="AB155" s="593" cm="1">
        <f t="array" ref="AB155">'Detailed Assumptions'!$E$6*INDEX('Detailed Assumptions'!$E$91:$J$91,0,MATCH(AB$154,'Detailed Assumptions'!$E$90:$J$90,0))</f>
        <v>0.04</v>
      </c>
      <c r="AC155" s="593" cm="1">
        <f t="array" ref="AC155">'Detailed Assumptions'!$E$6*INDEX('Detailed Assumptions'!$E$91:$J$91,0,MATCH(AC$154,'Detailed Assumptions'!$E$90:$J$90,0))</f>
        <v>0.04</v>
      </c>
      <c r="AD155" s="525"/>
      <c r="AE155" s="593">
        <f>'Detailed Assumptions'!$E$101</f>
        <v>0.55000000000000004</v>
      </c>
      <c r="AF155" s="594">
        <f t="shared" ref="AF155:AF160" si="241">1-AE155</f>
        <v>0.44999999999999996</v>
      </c>
      <c r="AG155" s="525"/>
      <c r="AH155" s="595">
        <f t="shared" ref="AH155:AH160" si="242">EOMONTH(V155,12)</f>
        <v>46843</v>
      </c>
      <c r="AI155" s="595">
        <f t="shared" ref="AI155:AL160" si="243">EOMONTH(AH155,12)</f>
        <v>47208</v>
      </c>
      <c r="AJ155" s="595">
        <f t="shared" si="243"/>
        <v>47573</v>
      </c>
      <c r="AK155" s="595">
        <f t="shared" si="243"/>
        <v>47938</v>
      </c>
      <c r="AL155" s="595">
        <f t="shared" si="243"/>
        <v>48304</v>
      </c>
      <c r="AM155" s="537"/>
      <c r="AN155" s="537"/>
      <c r="AO155" s="537"/>
      <c r="AP155" s="537"/>
      <c r="AQ155" s="537"/>
      <c r="AR155" s="537"/>
      <c r="AS155" s="537"/>
      <c r="AT155" s="537"/>
      <c r="AU155" s="537"/>
      <c r="AV155" s="537"/>
      <c r="AW155" s="537"/>
      <c r="AX155" s="537"/>
      <c r="AY155" s="537"/>
      <c r="AZ155" s="537"/>
      <c r="BA155" s="537"/>
      <c r="BB155" s="537"/>
      <c r="BC155" s="537"/>
      <c r="BD155" s="537"/>
      <c r="BE155" s="537"/>
      <c r="BF155" s="537"/>
      <c r="BG155" s="537"/>
      <c r="BH155" s="537"/>
      <c r="BI155" s="537"/>
      <c r="BJ155" s="537"/>
      <c r="BK155" s="537"/>
      <c r="BL155" s="537"/>
      <c r="BM155" s="537"/>
      <c r="BN155" s="537"/>
      <c r="BO155" s="537"/>
      <c r="BP155" s="537"/>
      <c r="BQ155" s="537"/>
      <c r="BR155" s="537"/>
      <c r="BS155" s="537"/>
      <c r="BT155" s="537"/>
      <c r="BU155" s="537"/>
      <c r="BV155" s="537"/>
      <c r="BW155" s="537"/>
      <c r="BX155" s="537"/>
      <c r="BY155" s="537"/>
    </row>
    <row r="156" spans="1:77" x14ac:dyDescent="0.3">
      <c r="A156" s="551"/>
      <c r="B156" s="548"/>
      <c r="C156" s="525"/>
      <c r="D156" s="525"/>
      <c r="E156" s="588" t="str">
        <f>"FY"&amp;VALUE(MID(P156,3,2))&amp;" Tranche"</f>
        <v>FY28 Tranche</v>
      </c>
      <c r="F156" s="525"/>
      <c r="G156" s="525"/>
      <c r="H156" s="525"/>
      <c r="I156" s="525"/>
      <c r="J156" s="525"/>
      <c r="K156" s="525"/>
      <c r="L156" s="525"/>
      <c r="M156" s="525"/>
      <c r="N156" s="525"/>
      <c r="O156" s="525"/>
      <c r="P156" s="589" t="str">
        <f t="shared" si="238"/>
        <v>FY28E</v>
      </c>
      <c r="Q156" s="576">
        <f>$I$9/INDEX(Portfolio_Categorisation!$E$19:$E$19,MATCH($B$3,Portfolio_Categorisation!$C$19:$C$19,0))</f>
        <v>0.39935064935064934</v>
      </c>
      <c r="R156" s="590">
        <f>IFERROR(ROUND(INDEX('Detailed Assumptions'!$F$94:$J$94,MATCH($B$3,'Detailed Assumptions'!$D$94:$D$94,0),MATCH(P156,'Detailed Assumptions'!$F$93:$J$93,0))*Q156,0),0)</f>
        <v>17</v>
      </c>
      <c r="S156" s="542">
        <f>IFERROR('Detailed Assumptions'!$E$88*INDEX(Inflation_Curves!$R$6:$BY$6,MATCH($T156,Inflation_Curves!$R$4:$BY$4,0)),0)</f>
        <v>41380.164650977858</v>
      </c>
      <c r="T156" s="596">
        <f>EOMONTH(T155,12)</f>
        <v>46812</v>
      </c>
      <c r="U156" s="597">
        <f>U$155</f>
        <v>1</v>
      </c>
      <c r="V156" s="554">
        <f t="shared" si="239"/>
        <v>46843</v>
      </c>
      <c r="W156" s="527">
        <f t="shared" si="240"/>
        <v>41380.164650977858</v>
      </c>
      <c r="X156" s="525"/>
      <c r="Y156" s="593">
        <f>IFERROR(('Detailed Assumptions'!$E$85*R156*S156)/R171,0)</f>
        <v>0.168272782933097</v>
      </c>
      <c r="Z156" s="594">
        <f t="shared" ref="Z156:AC160" si="244">Z$155</f>
        <v>0.04</v>
      </c>
      <c r="AA156" s="594">
        <f t="shared" si="244"/>
        <v>0.04</v>
      </c>
      <c r="AB156" s="594">
        <f t="shared" si="244"/>
        <v>0.04</v>
      </c>
      <c r="AC156" s="594">
        <f t="shared" si="244"/>
        <v>0.04</v>
      </c>
      <c r="AD156" s="525"/>
      <c r="AE156" s="594">
        <f>AE$155</f>
        <v>0.55000000000000004</v>
      </c>
      <c r="AF156" s="594">
        <f t="shared" si="241"/>
        <v>0.44999999999999996</v>
      </c>
      <c r="AG156" s="525"/>
      <c r="AH156" s="595">
        <f t="shared" si="242"/>
        <v>47208</v>
      </c>
      <c r="AI156" s="595">
        <f t="shared" si="243"/>
        <v>47573</v>
      </c>
      <c r="AJ156" s="595">
        <f t="shared" si="243"/>
        <v>47938</v>
      </c>
      <c r="AK156" s="595">
        <f t="shared" si="243"/>
        <v>48304</v>
      </c>
      <c r="AL156" s="595">
        <f t="shared" si="243"/>
        <v>48669</v>
      </c>
      <c r="AM156" s="537"/>
      <c r="AN156" s="537"/>
      <c r="AO156" s="537"/>
      <c r="AP156" s="537"/>
      <c r="AQ156" s="537"/>
      <c r="AR156" s="537"/>
      <c r="AS156" s="537"/>
      <c r="AT156" s="537"/>
      <c r="AU156" s="537"/>
      <c r="AV156" s="537"/>
      <c r="AW156" s="537"/>
      <c r="AX156" s="537"/>
      <c r="AY156" s="537"/>
      <c r="AZ156" s="537"/>
      <c r="BA156" s="537"/>
      <c r="BB156" s="537"/>
      <c r="BC156" s="537"/>
      <c r="BD156" s="537"/>
      <c r="BE156" s="537"/>
      <c r="BF156" s="537"/>
      <c r="BG156" s="537"/>
      <c r="BH156" s="537"/>
      <c r="BI156" s="537"/>
      <c r="BJ156" s="537"/>
      <c r="BK156" s="537"/>
      <c r="BL156" s="537"/>
      <c r="BM156" s="537"/>
      <c r="BN156" s="537"/>
      <c r="BO156" s="537"/>
      <c r="BP156" s="537"/>
      <c r="BQ156" s="537"/>
      <c r="BR156" s="537"/>
      <c r="BS156" s="537"/>
      <c r="BT156" s="537"/>
      <c r="BU156" s="537"/>
      <c r="BV156" s="537"/>
      <c r="BW156" s="537"/>
      <c r="BX156" s="537"/>
      <c r="BY156" s="537"/>
    </row>
    <row r="157" spans="1:77" x14ac:dyDescent="0.3">
      <c r="A157" s="551"/>
      <c r="B157" s="548"/>
      <c r="C157" s="525"/>
      <c r="D157" s="525"/>
      <c r="E157" s="588" t="str">
        <f>"FY"&amp;VALUE(MID(P157,3,2))&amp;" Tranche"</f>
        <v>FY29 Tranche</v>
      </c>
      <c r="F157" s="525"/>
      <c r="G157" s="525"/>
      <c r="H157" s="525"/>
      <c r="I157" s="525"/>
      <c r="J157" s="525"/>
      <c r="K157" s="525"/>
      <c r="L157" s="525"/>
      <c r="M157" s="525"/>
      <c r="N157" s="525"/>
      <c r="O157" s="525"/>
      <c r="P157" s="589" t="str">
        <f t="shared" si="238"/>
        <v>FY29E</v>
      </c>
      <c r="Q157" s="576">
        <f>$I$9/INDEX(Portfolio_Categorisation!$E$19:$E$19,MATCH($B$3,Portfolio_Categorisation!$C$19:$C$19,0))</f>
        <v>0.39935064935064934</v>
      </c>
      <c r="R157" s="590">
        <f>IFERROR(ROUND(INDEX('Detailed Assumptions'!$F$94:$J$94,MATCH($B$3,'Detailed Assumptions'!$D$94:$D$94,0),MATCH(P157,'Detailed Assumptions'!$F$93:$J$93,0))*Q157,0),0)</f>
        <v>17</v>
      </c>
      <c r="S157" s="542">
        <f>IFERROR('Detailed Assumptions'!$E$88*INDEX(Inflation_Curves!$R$6:$BY$6,MATCH($T157,Inflation_Curves!$R$4:$BY$4,0)),0)</f>
        <v>42309.332177744109</v>
      </c>
      <c r="T157" s="596">
        <f>EOMONTH(T156,12)</f>
        <v>47177</v>
      </c>
      <c r="U157" s="597">
        <f>U$155</f>
        <v>1</v>
      </c>
      <c r="V157" s="554">
        <f t="shared" si="239"/>
        <v>47208</v>
      </c>
      <c r="W157" s="527">
        <f t="shared" si="240"/>
        <v>42309.332177744109</v>
      </c>
      <c r="X157" s="525"/>
      <c r="Y157" s="593">
        <f>IFERROR(('Detailed Assumptions'!$E$85*R157*S157)/R172,0)</f>
        <v>0.165705522757782</v>
      </c>
      <c r="Z157" s="594">
        <f t="shared" si="244"/>
        <v>0.04</v>
      </c>
      <c r="AA157" s="594">
        <f t="shared" si="244"/>
        <v>0.04</v>
      </c>
      <c r="AB157" s="594">
        <f t="shared" si="244"/>
        <v>0.04</v>
      </c>
      <c r="AC157" s="594">
        <f t="shared" si="244"/>
        <v>0.04</v>
      </c>
      <c r="AD157" s="525"/>
      <c r="AE157" s="594">
        <f>AE$155</f>
        <v>0.55000000000000004</v>
      </c>
      <c r="AF157" s="594">
        <f t="shared" si="241"/>
        <v>0.44999999999999996</v>
      </c>
      <c r="AG157" s="525"/>
      <c r="AH157" s="595">
        <f t="shared" si="242"/>
        <v>47573</v>
      </c>
      <c r="AI157" s="595">
        <f t="shared" si="243"/>
        <v>47938</v>
      </c>
      <c r="AJ157" s="595">
        <f t="shared" si="243"/>
        <v>48304</v>
      </c>
      <c r="AK157" s="595">
        <f t="shared" si="243"/>
        <v>48669</v>
      </c>
      <c r="AL157" s="595">
        <f t="shared" si="243"/>
        <v>49034</v>
      </c>
      <c r="AM157" s="537"/>
      <c r="AN157" s="537"/>
      <c r="AO157" s="537"/>
      <c r="AP157" s="537"/>
      <c r="AQ157" s="537"/>
      <c r="AR157" s="537"/>
      <c r="AS157" s="537"/>
      <c r="AT157" s="537"/>
      <c r="AU157" s="537"/>
      <c r="AV157" s="537"/>
      <c r="AW157" s="537"/>
      <c r="AX157" s="537"/>
      <c r="AY157" s="537"/>
      <c r="AZ157" s="537"/>
      <c r="BA157" s="537"/>
      <c r="BB157" s="537"/>
      <c r="BC157" s="537"/>
      <c r="BD157" s="537"/>
      <c r="BE157" s="537"/>
      <c r="BF157" s="537"/>
      <c r="BG157" s="537"/>
      <c r="BH157" s="537"/>
      <c r="BI157" s="537"/>
      <c r="BJ157" s="537"/>
      <c r="BK157" s="537"/>
      <c r="BL157" s="537"/>
      <c r="BM157" s="537"/>
      <c r="BN157" s="537"/>
      <c r="BO157" s="537"/>
      <c r="BP157" s="537"/>
      <c r="BQ157" s="537"/>
      <c r="BR157" s="537"/>
      <c r="BS157" s="537"/>
      <c r="BT157" s="537"/>
      <c r="BU157" s="537"/>
      <c r="BV157" s="537"/>
      <c r="BW157" s="537"/>
      <c r="BX157" s="537"/>
      <c r="BY157" s="537"/>
    </row>
    <row r="158" spans="1:77" x14ac:dyDescent="0.3">
      <c r="A158" s="551"/>
      <c r="B158" s="548"/>
      <c r="C158" s="525"/>
      <c r="D158" s="525"/>
      <c r="E158" s="588" t="str">
        <f>"FY"&amp;VALUE(MID(P158,3,2))&amp;" Tranche"</f>
        <v>FY30 Tranche</v>
      </c>
      <c r="F158" s="525"/>
      <c r="G158" s="525"/>
      <c r="H158" s="525"/>
      <c r="I158" s="525"/>
      <c r="J158" s="525"/>
      <c r="K158" s="525"/>
      <c r="L158" s="525"/>
      <c r="M158" s="525"/>
      <c r="N158" s="525"/>
      <c r="O158" s="525"/>
      <c r="P158" s="589" t="str">
        <f t="shared" si="238"/>
        <v>FY30E</v>
      </c>
      <c r="Q158" s="576">
        <f>$I$9/INDEX(Portfolio_Categorisation!$E$19:$E$19,MATCH($B$3,Portfolio_Categorisation!$C$19:$C$19,0))</f>
        <v>0.39935064935064934</v>
      </c>
      <c r="R158" s="590">
        <f>IFERROR(ROUND(INDEX('Detailed Assumptions'!$F$94:$J$94,MATCH($B$3,'Detailed Assumptions'!$D$94:$D$94,0),MATCH(P158,'Detailed Assumptions'!$F$93:$J$93,0))*Q158,0),0)</f>
        <v>17</v>
      </c>
      <c r="S158" s="542">
        <f>IFERROR('Detailed Assumptions'!$E$88*INDEX(Inflation_Curves!$R$6:$BY$6,MATCH($T158,Inflation_Curves!$R$4:$BY$4,0)),0)</f>
        <v>43184.188841765063</v>
      </c>
      <c r="T158" s="596">
        <f>EOMONTH(T157,12)</f>
        <v>47542</v>
      </c>
      <c r="U158" s="597">
        <f>U$155</f>
        <v>1</v>
      </c>
      <c r="V158" s="554">
        <f t="shared" si="239"/>
        <v>47573</v>
      </c>
      <c r="W158" s="527">
        <f t="shared" si="240"/>
        <v>43184.188841765063</v>
      </c>
      <c r="X158" s="525"/>
      <c r="Y158" s="593">
        <f>IFERROR(('Detailed Assumptions'!$E$85*R158*S158)/R173,0)</f>
        <v>0.1633468147013811</v>
      </c>
      <c r="Z158" s="594">
        <f t="shared" si="244"/>
        <v>0.04</v>
      </c>
      <c r="AA158" s="594">
        <f t="shared" si="244"/>
        <v>0.04</v>
      </c>
      <c r="AB158" s="594">
        <f t="shared" si="244"/>
        <v>0.04</v>
      </c>
      <c r="AC158" s="594">
        <f t="shared" si="244"/>
        <v>0.04</v>
      </c>
      <c r="AD158" s="525"/>
      <c r="AE158" s="594">
        <f>AE$155</f>
        <v>0.55000000000000004</v>
      </c>
      <c r="AF158" s="594">
        <f t="shared" si="241"/>
        <v>0.44999999999999996</v>
      </c>
      <c r="AG158" s="525"/>
      <c r="AH158" s="595">
        <f t="shared" si="242"/>
        <v>47938</v>
      </c>
      <c r="AI158" s="595">
        <f t="shared" si="243"/>
        <v>48304</v>
      </c>
      <c r="AJ158" s="595">
        <f t="shared" si="243"/>
        <v>48669</v>
      </c>
      <c r="AK158" s="595">
        <f t="shared" si="243"/>
        <v>49034</v>
      </c>
      <c r="AL158" s="595">
        <f t="shared" si="243"/>
        <v>49399</v>
      </c>
      <c r="AM158" s="537"/>
      <c r="AN158" s="537"/>
      <c r="AO158" s="537"/>
      <c r="AP158" s="537"/>
      <c r="AQ158" s="537"/>
      <c r="AR158" s="537"/>
      <c r="AS158" s="537"/>
      <c r="AT158" s="537"/>
      <c r="AU158" s="537"/>
      <c r="AV158" s="537"/>
      <c r="AW158" s="537"/>
      <c r="AX158" s="537"/>
      <c r="AY158" s="537"/>
      <c r="AZ158" s="537"/>
      <c r="BA158" s="537"/>
      <c r="BB158" s="537"/>
      <c r="BC158" s="537"/>
      <c r="BD158" s="537"/>
      <c r="BE158" s="537"/>
      <c r="BF158" s="537"/>
      <c r="BG158" s="537"/>
      <c r="BH158" s="537"/>
      <c r="BI158" s="537"/>
      <c r="BJ158" s="537"/>
      <c r="BK158" s="537"/>
      <c r="BL158" s="537"/>
      <c r="BM158" s="537"/>
      <c r="BN158" s="537"/>
      <c r="BO158" s="537"/>
      <c r="BP158" s="537"/>
      <c r="BQ158" s="537"/>
      <c r="BR158" s="537"/>
      <c r="BS158" s="537"/>
      <c r="BT158" s="537"/>
      <c r="BU158" s="537"/>
      <c r="BV158" s="537"/>
      <c r="BW158" s="537"/>
      <c r="BX158" s="537"/>
      <c r="BY158" s="537"/>
    </row>
    <row r="159" spans="1:77" x14ac:dyDescent="0.3">
      <c r="A159" s="551"/>
      <c r="B159" s="548"/>
      <c r="C159" s="525"/>
      <c r="D159" s="525"/>
      <c r="E159" s="588" t="str">
        <f>"FY"&amp;VALUE(MID(P159,3,2))&amp;" Tranche"</f>
        <v>FY31 Tranche</v>
      </c>
      <c r="F159" s="525"/>
      <c r="G159" s="525"/>
      <c r="H159" s="525"/>
      <c r="I159" s="525"/>
      <c r="J159" s="525"/>
      <c r="K159" s="525"/>
      <c r="L159" s="525"/>
      <c r="M159" s="525"/>
      <c r="N159" s="525"/>
      <c r="O159" s="525"/>
      <c r="P159" s="589" t="str">
        <f t="shared" si="238"/>
        <v>FY31E</v>
      </c>
      <c r="Q159" s="576">
        <f>$I$9/INDEX(Portfolio_Categorisation!$E$19:$E$19,MATCH($B$3,Portfolio_Categorisation!$C$19:$C$19,0))</f>
        <v>0.39935064935064934</v>
      </c>
      <c r="R159" s="590">
        <f>IFERROR(ROUND(INDEX('Detailed Assumptions'!$F$94:$J$94,MATCH($B$3,'Detailed Assumptions'!$D$94:$D$94,0),MATCH(P159,'Detailed Assumptions'!$F$93:$J$93,0))*Q159,0),0)</f>
        <v>17</v>
      </c>
      <c r="S159" s="542">
        <f>IFERROR('Detailed Assumptions'!$E$88*INDEX(Inflation_Curves!$R$6:$BY$6,MATCH($T159,Inflation_Curves!$R$4:$BY$4,0)),0)</f>
        <v>44026.970479910429</v>
      </c>
      <c r="T159" s="596">
        <f>EOMONTH(T158,12)</f>
        <v>47907</v>
      </c>
      <c r="U159" s="597">
        <f>U$155</f>
        <v>1</v>
      </c>
      <c r="V159" s="554">
        <f t="shared" si="239"/>
        <v>47938</v>
      </c>
      <c r="W159" s="527">
        <f t="shared" si="240"/>
        <v>44026.970479910429</v>
      </c>
      <c r="X159" s="525"/>
      <c r="Y159" s="593">
        <f>IFERROR(('Detailed Assumptions'!$E$85*R159*S159)/R174,0)</f>
        <v>0.16096913146417516</v>
      </c>
      <c r="Z159" s="594">
        <f t="shared" si="244"/>
        <v>0.04</v>
      </c>
      <c r="AA159" s="594">
        <f t="shared" si="244"/>
        <v>0.04</v>
      </c>
      <c r="AB159" s="594">
        <f t="shared" si="244"/>
        <v>0.04</v>
      </c>
      <c r="AC159" s="594">
        <f t="shared" si="244"/>
        <v>0.04</v>
      </c>
      <c r="AD159" s="525"/>
      <c r="AE159" s="594">
        <f>AE$155</f>
        <v>0.55000000000000004</v>
      </c>
      <c r="AF159" s="594">
        <f t="shared" si="241"/>
        <v>0.44999999999999996</v>
      </c>
      <c r="AG159" s="525"/>
      <c r="AH159" s="595">
        <f t="shared" si="242"/>
        <v>48304</v>
      </c>
      <c r="AI159" s="595">
        <f t="shared" si="243"/>
        <v>48669</v>
      </c>
      <c r="AJ159" s="595">
        <f t="shared" si="243"/>
        <v>49034</v>
      </c>
      <c r="AK159" s="595">
        <f t="shared" si="243"/>
        <v>49399</v>
      </c>
      <c r="AL159" s="595">
        <f t="shared" si="243"/>
        <v>49765</v>
      </c>
      <c r="AM159" s="537"/>
      <c r="AN159" s="537"/>
      <c r="AO159" s="537"/>
      <c r="AP159" s="537"/>
      <c r="AQ159" s="537"/>
      <c r="AR159" s="537"/>
      <c r="AS159" s="537"/>
      <c r="AT159" s="537"/>
      <c r="AU159" s="537"/>
      <c r="AV159" s="537"/>
      <c r="AW159" s="537"/>
      <c r="AX159" s="537"/>
      <c r="AY159" s="537"/>
      <c r="AZ159" s="537"/>
      <c r="BA159" s="537"/>
      <c r="BB159" s="537"/>
      <c r="BC159" s="537"/>
      <c r="BD159" s="537"/>
      <c r="BE159" s="537"/>
      <c r="BF159" s="537"/>
      <c r="BG159" s="537"/>
      <c r="BH159" s="537"/>
      <c r="BI159" s="537"/>
      <c r="BJ159" s="537"/>
      <c r="BK159" s="537"/>
      <c r="BL159" s="537"/>
      <c r="BM159" s="537"/>
      <c r="BN159" s="537"/>
      <c r="BO159" s="537"/>
      <c r="BP159" s="537"/>
      <c r="BQ159" s="537"/>
      <c r="BR159" s="537"/>
      <c r="BS159" s="537"/>
      <c r="BT159" s="537"/>
      <c r="BU159" s="537"/>
      <c r="BV159" s="537"/>
      <c r="BW159" s="537"/>
      <c r="BX159" s="537"/>
      <c r="BY159" s="537"/>
    </row>
    <row r="160" spans="1:77" x14ac:dyDescent="0.3">
      <c r="A160" s="551"/>
      <c r="B160" s="548"/>
      <c r="C160" s="525"/>
      <c r="D160" s="525"/>
      <c r="E160" s="588" t="s">
        <v>364</v>
      </c>
      <c r="F160" s="525"/>
      <c r="G160" s="525"/>
      <c r="H160" s="525"/>
      <c r="I160" s="525"/>
      <c r="J160" s="525"/>
      <c r="K160" s="525"/>
      <c r="L160" s="525"/>
      <c r="M160" s="525"/>
      <c r="N160" s="525"/>
      <c r="O160" s="522" t="s">
        <v>286</v>
      </c>
      <c r="P160" s="598">
        <f t="shared" si="238"/>
        <v>0</v>
      </c>
      <c r="Q160" s="599">
        <f>$I$9/INDEX(Portfolio_Categorisation!$E$19:$E$19,MATCH($B$3,Portfolio_Categorisation!$C$19:$C$19,0))</f>
        <v>0.39935064935064934</v>
      </c>
      <c r="R160" s="600">
        <f>$I$9-SUM(R155:R159)</f>
        <v>38</v>
      </c>
      <c r="S160" s="542">
        <f>IFERROR('Detailed Assumptions'!$E$88*INDEX(Inflation_Curves!$R$6:$BY$6,MATCH($T160,Inflation_Curves!$R$4:$BY$4,0)),0)</f>
        <v>0</v>
      </c>
      <c r="T160" s="596">
        <f>EOMONTH(T159,12)</f>
        <v>48273</v>
      </c>
      <c r="U160" s="597">
        <f>U$155</f>
        <v>1</v>
      </c>
      <c r="V160" s="601">
        <f t="shared" si="239"/>
        <v>48304</v>
      </c>
      <c r="W160" s="527">
        <f t="shared" si="240"/>
        <v>0</v>
      </c>
      <c r="X160" s="525"/>
      <c r="Y160" s="593">
        <f>IFERROR(('Detailed Assumptions'!$E$85*R160*S160)/R175,0)</f>
        <v>0</v>
      </c>
      <c r="Z160" s="594">
        <f t="shared" si="244"/>
        <v>0.04</v>
      </c>
      <c r="AA160" s="594">
        <f t="shared" si="244"/>
        <v>0.04</v>
      </c>
      <c r="AB160" s="594">
        <f t="shared" si="244"/>
        <v>0.04</v>
      </c>
      <c r="AC160" s="594">
        <f t="shared" si="244"/>
        <v>0.04</v>
      </c>
      <c r="AD160" s="525"/>
      <c r="AE160" s="594">
        <f>AE$155</f>
        <v>0.55000000000000004</v>
      </c>
      <c r="AF160" s="594">
        <f t="shared" si="241"/>
        <v>0.44999999999999996</v>
      </c>
      <c r="AG160" s="525"/>
      <c r="AH160" s="595">
        <f t="shared" si="242"/>
        <v>48669</v>
      </c>
      <c r="AI160" s="595">
        <f t="shared" si="243"/>
        <v>49034</v>
      </c>
      <c r="AJ160" s="595">
        <f t="shared" si="243"/>
        <v>49399</v>
      </c>
      <c r="AK160" s="595">
        <f t="shared" si="243"/>
        <v>49765</v>
      </c>
      <c r="AL160" s="595">
        <f t="shared" si="243"/>
        <v>50130</v>
      </c>
      <c r="AM160" s="537"/>
      <c r="AN160" s="537"/>
      <c r="AO160" s="537"/>
      <c r="AP160" s="537"/>
      <c r="AQ160" s="537"/>
      <c r="AR160" s="537"/>
      <c r="AS160" s="537"/>
      <c r="AT160" s="537"/>
      <c r="AU160" s="537"/>
      <c r="AV160" s="537"/>
      <c r="AW160" s="537"/>
      <c r="AX160" s="537"/>
      <c r="AY160" s="537"/>
      <c r="AZ160" s="537"/>
      <c r="BA160" s="537"/>
      <c r="BB160" s="537"/>
      <c r="BC160" s="537"/>
      <c r="BD160" s="537"/>
      <c r="BE160" s="537"/>
      <c r="BF160" s="537"/>
      <c r="BG160" s="537"/>
      <c r="BH160" s="537"/>
      <c r="BI160" s="537"/>
      <c r="BJ160" s="537"/>
      <c r="BK160" s="537"/>
      <c r="BL160" s="537"/>
      <c r="BM160" s="537"/>
      <c r="BN160" s="537"/>
      <c r="BO160" s="537"/>
      <c r="BP160" s="537"/>
      <c r="BQ160" s="537"/>
      <c r="BR160" s="537"/>
      <c r="BS160" s="537"/>
      <c r="BT160" s="537"/>
      <c r="BU160" s="537"/>
      <c r="BV160" s="537"/>
      <c r="BW160" s="537"/>
      <c r="BX160" s="537"/>
      <c r="BY160" s="537"/>
    </row>
    <row r="161" spans="1:77" x14ac:dyDescent="0.3">
      <c r="A161" s="551"/>
      <c r="B161" s="548"/>
      <c r="C161" s="525"/>
      <c r="D161" s="525"/>
      <c r="E161" s="525"/>
      <c r="F161" s="525"/>
      <c r="G161" s="525"/>
      <c r="H161" s="525"/>
      <c r="I161" s="525"/>
      <c r="J161" s="525"/>
      <c r="K161" s="525"/>
      <c r="L161" s="525"/>
      <c r="M161" s="525"/>
      <c r="N161" s="525"/>
      <c r="O161" s="525"/>
      <c r="P161" s="565"/>
      <c r="Q161" s="525"/>
      <c r="R161" s="602" t="b">
        <f>SUM(R155:R160)=$R$9</f>
        <v>1</v>
      </c>
      <c r="S161" s="525"/>
      <c r="T161" s="525"/>
      <c r="U161" s="525"/>
      <c r="V161" s="525"/>
      <c r="W161" s="525"/>
      <c r="X161" s="525"/>
      <c r="Y161" s="525"/>
      <c r="Z161" s="525"/>
      <c r="AA161" s="525"/>
      <c r="AB161" s="525"/>
      <c r="AC161" s="525"/>
      <c r="AD161" s="525"/>
      <c r="AE161" s="525"/>
      <c r="AF161" s="525"/>
      <c r="AG161" s="525"/>
      <c r="AH161" s="525"/>
      <c r="AI161" s="525"/>
      <c r="AJ161" s="525"/>
      <c r="AK161" s="525"/>
      <c r="AL161" s="525"/>
      <c r="AM161" s="525"/>
      <c r="AN161" s="525"/>
      <c r="AO161" s="525"/>
      <c r="AP161" s="525"/>
      <c r="AQ161" s="525"/>
      <c r="AR161" s="525"/>
      <c r="AS161" s="525"/>
      <c r="AT161" s="525"/>
      <c r="AU161" s="525"/>
      <c r="AV161" s="525"/>
      <c r="AW161" s="525"/>
      <c r="AX161" s="525"/>
      <c r="AY161" s="525"/>
      <c r="AZ161" s="525"/>
      <c r="BA161" s="525"/>
      <c r="BB161" s="525"/>
      <c r="BC161" s="525"/>
      <c r="BD161" s="525"/>
      <c r="BE161" s="525"/>
      <c r="BF161" s="525"/>
      <c r="BG161" s="525"/>
      <c r="BH161" s="525"/>
      <c r="BI161" s="525"/>
      <c r="BJ161" s="525"/>
      <c r="BK161" s="525"/>
      <c r="BL161" s="525"/>
      <c r="BM161" s="525"/>
      <c r="BN161" s="525"/>
      <c r="BO161" s="525"/>
      <c r="BP161" s="525"/>
      <c r="BQ161" s="525"/>
      <c r="BR161" s="525"/>
      <c r="BS161" s="525"/>
      <c r="BT161" s="525"/>
      <c r="BU161" s="525"/>
      <c r="BV161" s="525"/>
      <c r="BW161" s="525"/>
      <c r="BX161" s="525"/>
      <c r="BY161" s="525"/>
    </row>
    <row r="162" spans="1:77" x14ac:dyDescent="0.3">
      <c r="A162" s="551"/>
      <c r="B162" s="548"/>
      <c r="C162" s="525"/>
      <c r="D162" s="525"/>
      <c r="E162" s="525"/>
      <c r="F162" s="525"/>
      <c r="G162" s="525"/>
      <c r="H162" s="525"/>
      <c r="I162" s="525"/>
      <c r="J162" s="525"/>
      <c r="K162" s="525"/>
      <c r="L162" s="525"/>
      <c r="M162" s="525"/>
      <c r="N162" s="525"/>
      <c r="O162" s="525"/>
      <c r="P162" s="565"/>
      <c r="Q162" s="525"/>
      <c r="R162" s="525"/>
      <c r="S162" s="525"/>
      <c r="T162" s="525"/>
      <c r="U162" s="525"/>
      <c r="V162" s="525"/>
      <c r="W162" s="525"/>
      <c r="X162" s="525"/>
      <c r="Y162" s="525"/>
      <c r="Z162" s="525"/>
      <c r="AA162" s="525"/>
      <c r="AB162" s="525"/>
      <c r="AC162" s="525"/>
      <c r="AD162" s="525"/>
      <c r="AE162" s="525"/>
      <c r="AF162" s="525"/>
      <c r="AG162" s="525"/>
      <c r="AH162" s="525"/>
      <c r="AI162" s="525"/>
      <c r="AJ162" s="525"/>
      <c r="AK162" s="525"/>
      <c r="AL162" s="525"/>
      <c r="AM162" s="525"/>
      <c r="AN162" s="525"/>
      <c r="AO162" s="525"/>
      <c r="AP162" s="525"/>
      <c r="AQ162" s="525"/>
      <c r="AR162" s="525"/>
      <c r="AS162" s="525"/>
      <c r="AT162" s="525"/>
      <c r="AU162" s="525"/>
      <c r="AV162" s="525"/>
      <c r="AW162" s="525"/>
      <c r="AX162" s="525"/>
      <c r="AY162" s="525"/>
      <c r="AZ162" s="525"/>
      <c r="BA162" s="525"/>
      <c r="BB162" s="525"/>
      <c r="BC162" s="525"/>
      <c r="BD162" s="525"/>
      <c r="BE162" s="525"/>
      <c r="BF162" s="525"/>
      <c r="BG162" s="525"/>
      <c r="BH162" s="525"/>
      <c r="BI162" s="525"/>
      <c r="BJ162" s="525"/>
      <c r="BK162" s="525"/>
      <c r="BL162" s="525"/>
      <c r="BM162" s="525"/>
      <c r="BN162" s="525"/>
      <c r="BO162" s="525"/>
      <c r="BP162" s="525"/>
      <c r="BQ162" s="525"/>
      <c r="BR162" s="525"/>
      <c r="BS162" s="525"/>
      <c r="BT162" s="525"/>
      <c r="BU162" s="525"/>
      <c r="BV162" s="525"/>
      <c r="BW162" s="525"/>
      <c r="BX162" s="525"/>
      <c r="BY162" s="525"/>
    </row>
    <row r="163" spans="1:77" x14ac:dyDescent="0.3">
      <c r="A163" s="551"/>
      <c r="B163" s="548"/>
      <c r="C163" s="560" t="s">
        <v>37</v>
      </c>
      <c r="D163" s="561"/>
      <c r="E163" s="526" t="s">
        <v>90</v>
      </c>
      <c r="F163" s="526"/>
      <c r="G163" s="526"/>
      <c r="H163" s="526"/>
      <c r="I163" s="526"/>
      <c r="J163" s="526"/>
      <c r="K163" s="526"/>
      <c r="L163" s="526"/>
      <c r="M163" s="526"/>
      <c r="N163" s="526"/>
      <c r="O163" s="526"/>
      <c r="P163" s="560"/>
      <c r="Q163" s="526"/>
      <c r="R163" s="526"/>
      <c r="S163" s="526"/>
      <c r="T163" s="526"/>
      <c r="U163" s="526"/>
      <c r="V163" s="526"/>
      <c r="W163" s="526"/>
      <c r="X163" s="526"/>
      <c r="Y163" s="526"/>
      <c r="Z163" s="526"/>
      <c r="AA163" s="526"/>
      <c r="AB163" s="526"/>
      <c r="AC163" s="526"/>
      <c r="AD163" s="526"/>
      <c r="AE163" s="526"/>
      <c r="AF163" s="526"/>
      <c r="AG163" s="526"/>
      <c r="AH163" s="526"/>
      <c r="AI163" s="526"/>
      <c r="AJ163" s="526"/>
      <c r="AK163" s="526"/>
      <c r="AL163" s="526"/>
      <c r="AM163" s="526"/>
      <c r="AN163" s="526"/>
      <c r="AO163" s="526"/>
      <c r="AP163" s="526"/>
      <c r="AQ163" s="526"/>
      <c r="AR163" s="526"/>
      <c r="AS163" s="526"/>
      <c r="AT163" s="526"/>
      <c r="AU163" s="526"/>
      <c r="AV163" s="526"/>
      <c r="AW163" s="526"/>
      <c r="AX163" s="526"/>
      <c r="AY163" s="526"/>
      <c r="AZ163" s="526"/>
      <c r="BA163" s="526"/>
      <c r="BB163" s="526"/>
      <c r="BC163" s="526"/>
      <c r="BD163" s="526"/>
      <c r="BE163" s="526"/>
      <c r="BF163" s="526"/>
      <c r="BG163" s="526"/>
      <c r="BH163" s="526"/>
      <c r="BI163" s="526"/>
      <c r="BJ163" s="526"/>
      <c r="BK163" s="526"/>
      <c r="BL163" s="526"/>
      <c r="BM163" s="526"/>
      <c r="BN163" s="526"/>
      <c r="BO163" s="526"/>
      <c r="BP163" s="526"/>
      <c r="BQ163" s="526"/>
      <c r="BR163" s="526"/>
      <c r="BS163" s="526"/>
      <c r="BT163" s="526"/>
      <c r="BU163" s="526"/>
      <c r="BV163" s="526"/>
      <c r="BW163" s="526"/>
      <c r="BX163" s="526"/>
      <c r="BY163" s="526"/>
    </row>
    <row r="164" spans="1:77" x14ac:dyDescent="0.3">
      <c r="A164" s="551"/>
      <c r="B164" s="548"/>
      <c r="C164" s="525"/>
      <c r="D164" s="525"/>
      <c r="E164" s="525"/>
      <c r="F164" s="525"/>
      <c r="G164" s="525"/>
      <c r="H164" s="525"/>
      <c r="I164" s="525"/>
      <c r="J164" s="525"/>
      <c r="K164" s="525"/>
      <c r="L164" s="525"/>
      <c r="M164" s="525"/>
      <c r="N164" s="525"/>
      <c r="O164" s="525"/>
      <c r="P164" s="565"/>
      <c r="Q164" s="525"/>
      <c r="R164" s="525"/>
      <c r="S164" s="525"/>
      <c r="T164" s="525"/>
      <c r="U164" s="525"/>
      <c r="V164" s="525"/>
      <c r="W164" s="525"/>
      <c r="X164" s="525"/>
      <c r="Y164" s="525"/>
      <c r="Z164" s="525"/>
      <c r="AA164" s="525"/>
      <c r="AB164" s="525"/>
      <c r="AC164" s="525"/>
      <c r="AD164" s="525"/>
      <c r="AE164" s="525"/>
      <c r="AF164" s="525"/>
      <c r="AG164" s="525"/>
      <c r="AH164" s="525"/>
      <c r="AI164" s="525"/>
      <c r="AJ164" s="525"/>
      <c r="AK164" s="525"/>
      <c r="AL164" s="525"/>
      <c r="AM164" s="525"/>
      <c r="AN164" s="525"/>
      <c r="AO164" s="525"/>
      <c r="AP164" s="525"/>
      <c r="AQ164" s="525"/>
      <c r="AR164" s="525"/>
      <c r="AS164" s="525"/>
      <c r="AT164" s="525"/>
      <c r="AU164" s="525"/>
      <c r="AV164" s="525"/>
      <c r="AW164" s="525"/>
      <c r="AX164" s="525"/>
      <c r="AY164" s="525"/>
      <c r="AZ164" s="525"/>
      <c r="BA164" s="525"/>
      <c r="BB164" s="525"/>
      <c r="BC164" s="525"/>
      <c r="BD164" s="525"/>
      <c r="BE164" s="525"/>
      <c r="BF164" s="525"/>
      <c r="BG164" s="525"/>
      <c r="BH164" s="525"/>
      <c r="BI164" s="525"/>
      <c r="BJ164" s="525"/>
      <c r="BK164" s="525"/>
      <c r="BL164" s="525"/>
      <c r="BM164" s="525"/>
      <c r="BN164" s="525"/>
      <c r="BO164" s="525"/>
      <c r="BP164" s="525"/>
      <c r="BQ164" s="525"/>
      <c r="BR164" s="525"/>
      <c r="BS164" s="525"/>
      <c r="BT164" s="525"/>
      <c r="BU164" s="525"/>
      <c r="BV164" s="525"/>
      <c r="BW164" s="525"/>
      <c r="BX164" s="525"/>
      <c r="BY164" s="525"/>
    </row>
    <row r="165" spans="1:77" x14ac:dyDescent="0.3">
      <c r="A165" s="551"/>
      <c r="B165" s="548"/>
      <c r="C165" s="584" t="s">
        <v>37</v>
      </c>
      <c r="D165" s="525"/>
      <c r="E165" s="538" t="s">
        <v>91</v>
      </c>
      <c r="F165" s="538"/>
      <c r="G165" s="538"/>
      <c r="H165" s="538"/>
      <c r="I165" s="538"/>
      <c r="J165" s="538"/>
      <c r="K165" s="538"/>
      <c r="L165" s="538"/>
      <c r="M165" s="538"/>
      <c r="N165" s="538"/>
      <c r="O165" s="538"/>
      <c r="P165" s="584"/>
      <c r="Q165" s="538"/>
      <c r="R165" s="538"/>
      <c r="S165" s="538"/>
      <c r="T165" s="538"/>
      <c r="U165" s="538"/>
      <c r="V165" s="538"/>
      <c r="W165" s="538"/>
      <c r="X165" s="538"/>
      <c r="Y165" s="538"/>
      <c r="Z165" s="538"/>
      <c r="AA165" s="538"/>
      <c r="AB165" s="538"/>
      <c r="AC165" s="538"/>
      <c r="AD165" s="538"/>
      <c r="AE165" s="538"/>
      <c r="AF165" s="538"/>
      <c r="AG165" s="538"/>
      <c r="AH165" s="538"/>
      <c r="AI165" s="538"/>
      <c r="AJ165" s="538"/>
      <c r="AK165" s="538"/>
      <c r="AL165" s="538"/>
      <c r="AM165" s="538"/>
      <c r="AN165" s="538"/>
      <c r="AO165" s="538"/>
      <c r="AP165" s="538"/>
      <c r="AQ165" s="538"/>
      <c r="AR165" s="538"/>
      <c r="AS165" s="538"/>
      <c r="AT165" s="538"/>
      <c r="AU165" s="538"/>
      <c r="AV165" s="538"/>
      <c r="AW165" s="538"/>
      <c r="AX165" s="538"/>
      <c r="AY165" s="538"/>
      <c r="AZ165" s="538"/>
      <c r="BA165" s="538"/>
      <c r="BB165" s="538"/>
      <c r="BC165" s="538"/>
      <c r="BD165" s="538"/>
      <c r="BE165" s="538"/>
      <c r="BF165" s="538"/>
      <c r="BG165" s="538"/>
      <c r="BH165" s="538"/>
      <c r="BI165" s="538"/>
      <c r="BJ165" s="538"/>
      <c r="BK165" s="538"/>
      <c r="BL165" s="538"/>
      <c r="BM165" s="538"/>
      <c r="BN165" s="538"/>
      <c r="BO165" s="538"/>
      <c r="BP165" s="538"/>
      <c r="BQ165" s="538"/>
      <c r="BR165" s="538"/>
      <c r="BS165" s="538"/>
      <c r="BT165" s="538"/>
      <c r="BU165" s="538"/>
      <c r="BV165" s="538"/>
      <c r="BW165" s="538"/>
      <c r="BX165" s="538"/>
      <c r="BY165" s="538"/>
    </row>
    <row r="166" spans="1:77" x14ac:dyDescent="0.3">
      <c r="A166" s="551"/>
      <c r="B166" s="548"/>
      <c r="C166" s="525"/>
      <c r="D166" s="525"/>
      <c r="E166" s="525"/>
      <c r="F166" s="525"/>
      <c r="G166" s="525"/>
      <c r="H166" s="525"/>
      <c r="I166" s="525"/>
      <c r="J166" s="525"/>
      <c r="K166" s="525"/>
      <c r="L166" s="525"/>
      <c r="M166" s="525"/>
      <c r="N166" s="525"/>
      <c r="O166" s="525"/>
      <c r="P166" s="565"/>
      <c r="Q166" s="525"/>
      <c r="R166" s="525"/>
      <c r="S166" s="576"/>
      <c r="T166" s="525"/>
      <c r="U166" s="525"/>
      <c r="V166" s="525"/>
      <c r="W166" s="525"/>
      <c r="X166" s="525"/>
      <c r="Y166" s="525"/>
      <c r="Z166" s="525"/>
      <c r="AA166" s="525"/>
      <c r="AB166" s="525"/>
      <c r="AC166" s="525"/>
      <c r="AD166" s="525"/>
      <c r="AE166" s="525"/>
      <c r="AF166" s="525"/>
      <c r="AG166" s="525"/>
      <c r="AH166" s="525"/>
      <c r="AI166" s="525"/>
      <c r="AJ166" s="525"/>
      <c r="AK166" s="525"/>
      <c r="AL166" s="525"/>
      <c r="AM166" s="525"/>
      <c r="AN166" s="525"/>
      <c r="AO166" s="525"/>
      <c r="AP166" s="525"/>
      <c r="AQ166" s="525"/>
      <c r="AR166" s="525"/>
      <c r="AS166" s="525"/>
      <c r="AT166" s="525"/>
      <c r="AU166" s="525"/>
      <c r="AV166" s="525"/>
      <c r="AW166" s="525"/>
      <c r="AX166" s="525"/>
      <c r="AY166" s="525"/>
      <c r="AZ166" s="525"/>
      <c r="BA166" s="525"/>
      <c r="BB166" s="525"/>
      <c r="BC166" s="525"/>
      <c r="BD166" s="525"/>
      <c r="BE166" s="525"/>
      <c r="BF166" s="525"/>
      <c r="BG166" s="525"/>
      <c r="BH166" s="525"/>
      <c r="BI166" s="525"/>
      <c r="BJ166" s="525"/>
      <c r="BK166" s="525"/>
      <c r="BL166" s="525"/>
      <c r="BM166" s="525"/>
      <c r="BN166" s="525"/>
      <c r="BO166" s="525"/>
      <c r="BP166" s="525"/>
      <c r="BQ166" s="525"/>
      <c r="BR166" s="525"/>
      <c r="BS166" s="525"/>
      <c r="BT166" s="525"/>
      <c r="BU166" s="525"/>
      <c r="BV166" s="525"/>
      <c r="BW166" s="525"/>
      <c r="BX166" s="525"/>
      <c r="BY166" s="525"/>
    </row>
    <row r="167" spans="1:77" x14ac:dyDescent="0.3">
      <c r="A167" s="551"/>
      <c r="B167" s="548"/>
      <c r="C167" s="525"/>
      <c r="D167" s="525"/>
      <c r="E167" s="525"/>
      <c r="F167" s="525"/>
      <c r="G167" s="525"/>
      <c r="H167" s="525"/>
      <c r="I167" s="525"/>
      <c r="J167" s="525"/>
      <c r="K167" s="525"/>
      <c r="L167" s="525"/>
      <c r="M167" s="525"/>
      <c r="N167" s="525"/>
      <c r="O167" s="525"/>
      <c r="P167" s="565"/>
      <c r="Q167" s="525"/>
      <c r="R167" s="603"/>
      <c r="S167" s="604">
        <v>1</v>
      </c>
      <c r="T167" s="604">
        <v>2</v>
      </c>
      <c r="U167" s="604">
        <v>3</v>
      </c>
      <c r="V167" s="604">
        <v>4</v>
      </c>
      <c r="W167" s="604">
        <v>5</v>
      </c>
      <c r="X167" s="525"/>
      <c r="Y167" s="525"/>
      <c r="Z167" s="525"/>
      <c r="AA167" s="525"/>
      <c r="AB167" s="525"/>
      <c r="AC167" s="525"/>
      <c r="AD167" s="525"/>
      <c r="AE167" s="525"/>
      <c r="AF167" s="525"/>
      <c r="AG167" s="525"/>
      <c r="AH167" s="525"/>
      <c r="AI167" s="525"/>
      <c r="AJ167" s="525"/>
      <c r="AK167" s="525"/>
      <c r="AL167" s="525"/>
      <c r="AM167" s="525"/>
      <c r="AN167" s="525"/>
      <c r="AO167" s="525"/>
      <c r="AP167" s="525"/>
      <c r="AQ167" s="525"/>
      <c r="AR167" s="525"/>
      <c r="AS167" s="525"/>
      <c r="AT167" s="525"/>
      <c r="AU167" s="525"/>
      <c r="AV167" s="525"/>
      <c r="AW167" s="525"/>
      <c r="AX167" s="525"/>
      <c r="AY167" s="525"/>
      <c r="AZ167" s="525"/>
      <c r="BA167" s="525"/>
      <c r="BB167" s="525"/>
      <c r="BC167" s="525"/>
      <c r="BD167" s="525"/>
      <c r="BE167" s="525"/>
      <c r="BF167" s="525"/>
      <c r="BG167" s="525"/>
      <c r="BH167" s="525"/>
      <c r="BI167" s="525"/>
      <c r="BJ167" s="525"/>
      <c r="BK167" s="525"/>
      <c r="BL167" s="525"/>
      <c r="BM167" s="525"/>
      <c r="BN167" s="525"/>
      <c r="BO167" s="525"/>
      <c r="BP167" s="525"/>
      <c r="BQ167" s="525"/>
      <c r="BR167" s="525"/>
      <c r="BS167" s="525"/>
      <c r="BT167" s="525"/>
      <c r="BU167" s="525"/>
      <c r="BV167" s="525"/>
      <c r="BW167" s="525"/>
      <c r="BX167" s="525"/>
      <c r="BY167" s="525"/>
    </row>
    <row r="168" spans="1:77" x14ac:dyDescent="0.3">
      <c r="A168" s="551"/>
      <c r="B168" s="548"/>
      <c r="C168" s="525"/>
      <c r="D168" s="525"/>
      <c r="E168" s="525"/>
      <c r="F168" s="525"/>
      <c r="G168" s="525"/>
      <c r="H168" s="525"/>
      <c r="I168" s="525"/>
      <c r="J168" s="525"/>
      <c r="K168" s="525"/>
      <c r="L168" s="525"/>
      <c r="M168" s="525"/>
      <c r="N168" s="525"/>
      <c r="O168" s="525"/>
      <c r="P168" s="565"/>
      <c r="Q168" s="525"/>
      <c r="R168" s="583" t="s">
        <v>92</v>
      </c>
      <c r="S168" s="583"/>
      <c r="T168" s="583"/>
      <c r="U168" s="583"/>
      <c r="V168" s="583"/>
      <c r="W168" s="583"/>
      <c r="X168" s="525"/>
      <c r="Y168" s="525"/>
      <c r="Z168" s="525"/>
      <c r="AA168" s="525"/>
      <c r="AB168" s="525"/>
      <c r="AC168" s="525"/>
      <c r="AD168" s="525"/>
      <c r="AE168" s="525"/>
      <c r="AF168" s="525"/>
      <c r="AG168" s="525"/>
      <c r="AH168" s="525"/>
      <c r="AI168" s="525"/>
      <c r="AJ168" s="525"/>
      <c r="AK168" s="525"/>
      <c r="AL168" s="525"/>
      <c r="AM168" s="525"/>
      <c r="AN168" s="525"/>
      <c r="AO168" s="525"/>
      <c r="AP168" s="525"/>
      <c r="AQ168" s="525"/>
      <c r="AR168" s="525"/>
      <c r="AS168" s="525"/>
      <c r="AT168" s="525"/>
      <c r="AU168" s="525"/>
      <c r="AV168" s="525"/>
      <c r="AW168" s="525"/>
      <c r="AX168" s="525"/>
      <c r="AY168" s="525"/>
      <c r="AZ168" s="525"/>
      <c r="BA168" s="525"/>
      <c r="BB168" s="525"/>
      <c r="BC168" s="525"/>
      <c r="BD168" s="525"/>
      <c r="BE168" s="525"/>
      <c r="BF168" s="525"/>
      <c r="BG168" s="525"/>
      <c r="BH168" s="525"/>
      <c r="BI168" s="525"/>
      <c r="BJ168" s="525"/>
      <c r="BK168" s="525"/>
      <c r="BL168" s="525"/>
      <c r="BM168" s="525"/>
      <c r="BN168" s="525"/>
      <c r="BO168" s="525"/>
      <c r="BP168" s="525"/>
      <c r="BQ168" s="525"/>
      <c r="BR168" s="525"/>
      <c r="BS168" s="525"/>
      <c r="BT168" s="525"/>
      <c r="BU168" s="525"/>
      <c r="BV168" s="525"/>
      <c r="BW168" s="525"/>
      <c r="BX168" s="525"/>
      <c r="BY168" s="525"/>
    </row>
    <row r="169" spans="1:77" x14ac:dyDescent="0.3">
      <c r="A169" s="551"/>
      <c r="B169" s="548"/>
      <c r="C169" s="525"/>
      <c r="D169" s="525"/>
      <c r="E169" s="605" t="s">
        <v>93</v>
      </c>
      <c r="F169" s="605"/>
      <c r="G169" s="605"/>
      <c r="H169" s="605"/>
      <c r="I169" s="605"/>
      <c r="J169" s="605"/>
      <c r="K169" s="605"/>
      <c r="L169" s="605"/>
      <c r="M169" s="605"/>
      <c r="N169" s="605"/>
      <c r="O169" s="605"/>
      <c r="P169" s="606"/>
      <c r="Q169" s="605"/>
      <c r="R169" s="607" t="s">
        <v>94</v>
      </c>
      <c r="S169" s="608">
        <v>1</v>
      </c>
      <c r="T169" s="608">
        <v>2</v>
      </c>
      <c r="U169" s="608">
        <v>3</v>
      </c>
      <c r="V169" s="608">
        <v>4</v>
      </c>
      <c r="W169" s="608">
        <v>5</v>
      </c>
      <c r="X169" s="525"/>
      <c r="Y169" s="525"/>
      <c r="Z169" s="525"/>
      <c r="AA169" s="525"/>
      <c r="AB169" s="525"/>
      <c r="AC169" s="525"/>
      <c r="AD169" s="525"/>
      <c r="AE169" s="525"/>
      <c r="AF169" s="525"/>
      <c r="AG169" s="525"/>
      <c r="AH169" s="525"/>
      <c r="AI169" s="525"/>
      <c r="AJ169" s="525"/>
      <c r="AK169" s="525"/>
      <c r="AL169" s="525"/>
      <c r="AM169" s="525"/>
      <c r="AN169" s="525"/>
      <c r="AO169" s="525"/>
      <c r="AP169" s="525"/>
      <c r="AQ169" s="525"/>
      <c r="AR169" s="525"/>
      <c r="AS169" s="525"/>
      <c r="AT169" s="525"/>
      <c r="AU169" s="525"/>
      <c r="AV169" s="525"/>
      <c r="AW169" s="525"/>
      <c r="AX169" s="525"/>
      <c r="AY169" s="525"/>
      <c r="AZ169" s="525"/>
      <c r="BA169" s="525"/>
      <c r="BB169" s="525"/>
      <c r="BC169" s="525"/>
      <c r="BD169" s="525"/>
      <c r="BE169" s="525"/>
      <c r="BF169" s="525"/>
      <c r="BG169" s="525"/>
      <c r="BH169" s="525"/>
      <c r="BI169" s="525"/>
      <c r="BJ169" s="525"/>
      <c r="BK169" s="525"/>
      <c r="BL169" s="525"/>
      <c r="BM169" s="525"/>
      <c r="BN169" s="525"/>
      <c r="BO169" s="525"/>
      <c r="BP169" s="525"/>
      <c r="BQ169" s="525"/>
      <c r="BR169" s="525"/>
      <c r="BS169" s="525"/>
      <c r="BT169" s="525"/>
      <c r="BU169" s="525"/>
      <c r="BV169" s="525"/>
      <c r="BW169" s="525"/>
      <c r="BX169" s="525"/>
      <c r="BY169" s="525"/>
    </row>
    <row r="170" spans="1:77" x14ac:dyDescent="0.3">
      <c r="A170" s="551"/>
      <c r="B170" s="548"/>
      <c r="C170" s="525"/>
      <c r="D170" s="525"/>
      <c r="E170" s="609" t="str">
        <f>"Post-capex - outlet EBITDA: "&amp;E$155</f>
        <v>Post-capex - outlet EBITDA: FY27 Tranche</v>
      </c>
      <c r="F170" s="525"/>
      <c r="G170" s="525"/>
      <c r="H170" s="525"/>
      <c r="I170" s="525"/>
      <c r="J170" s="525"/>
      <c r="K170" s="525"/>
      <c r="L170" s="525"/>
      <c r="M170" s="525"/>
      <c r="N170" s="525"/>
      <c r="O170" s="537"/>
      <c r="P170" s="565"/>
      <c r="Q170" s="525"/>
      <c r="R170" s="527">
        <f t="shared" ref="R170:R175" si="245">IFERROR(INDEX($R$615:$BY$615,MATCH($T155,$R$4:$BY$4,0))*12*$R155,0)</f>
        <v>1808578.2105486502</v>
      </c>
      <c r="S170" s="527">
        <f t="shared" ref="S170:W175" si="246">R170*(1+Y155)</f>
        <v>2117702.1022764132</v>
      </c>
      <c r="T170" s="527">
        <f t="shared" si="246"/>
        <v>2202410.1863674698</v>
      </c>
      <c r="U170" s="527">
        <f t="shared" si="246"/>
        <v>2290506.5938221687</v>
      </c>
      <c r="V170" s="527">
        <f t="shared" si="246"/>
        <v>2382126.8575750557</v>
      </c>
      <c r="W170" s="527">
        <f t="shared" si="246"/>
        <v>2477411.9318780578</v>
      </c>
      <c r="X170" s="525"/>
      <c r="Y170" s="525"/>
      <c r="Z170" s="525"/>
      <c r="AA170" s="525"/>
      <c r="AB170" s="525"/>
      <c r="AC170" s="525"/>
      <c r="AD170" s="525"/>
      <c r="AE170" s="525"/>
      <c r="AF170" s="525"/>
      <c r="AG170" s="525"/>
      <c r="AH170" s="525"/>
      <c r="AI170" s="525"/>
      <c r="AJ170" s="525"/>
      <c r="AK170" s="525"/>
      <c r="AL170" s="525"/>
      <c r="AM170" s="525"/>
      <c r="AN170" s="525"/>
      <c r="AO170" s="525"/>
      <c r="AP170" s="525"/>
      <c r="AQ170" s="525"/>
      <c r="AR170" s="525"/>
      <c r="AS170" s="525"/>
      <c r="AT170" s="525"/>
      <c r="AU170" s="525"/>
      <c r="AV170" s="525"/>
      <c r="AW170" s="525"/>
      <c r="AX170" s="525"/>
      <c r="AY170" s="525"/>
      <c r="AZ170" s="525"/>
      <c r="BA170" s="525"/>
      <c r="BB170" s="525"/>
      <c r="BC170" s="525"/>
      <c r="BD170" s="525"/>
      <c r="BE170" s="525"/>
      <c r="BF170" s="525"/>
      <c r="BG170" s="525"/>
      <c r="BH170" s="525"/>
      <c r="BI170" s="525"/>
      <c r="BJ170" s="525"/>
      <c r="BK170" s="525"/>
      <c r="BL170" s="525"/>
      <c r="BM170" s="525"/>
      <c r="BN170" s="525"/>
      <c r="BO170" s="525"/>
      <c r="BP170" s="525"/>
      <c r="BQ170" s="525"/>
      <c r="BR170" s="525"/>
      <c r="BS170" s="525"/>
      <c r="BT170" s="525"/>
      <c r="BU170" s="525"/>
      <c r="BV170" s="525"/>
      <c r="BW170" s="525"/>
      <c r="BX170" s="525"/>
      <c r="BY170" s="525"/>
    </row>
    <row r="171" spans="1:77" x14ac:dyDescent="0.3">
      <c r="A171" s="551"/>
      <c r="B171" s="548"/>
      <c r="C171" s="525"/>
      <c r="D171" s="525"/>
      <c r="E171" s="609" t="str">
        <f>"Post-capex - outlet EBITDA: "&amp;E$156</f>
        <v>Post-capex - outlet EBITDA: FY28 Tranche</v>
      </c>
      <c r="F171" s="525"/>
      <c r="G171" s="525"/>
      <c r="H171" s="525"/>
      <c r="I171" s="525"/>
      <c r="J171" s="610"/>
      <c r="K171" s="525"/>
      <c r="L171" s="525"/>
      <c r="M171" s="525"/>
      <c r="N171" s="525"/>
      <c r="O171" s="525"/>
      <c r="P171" s="565"/>
      <c r="Q171" s="525"/>
      <c r="R171" s="527">
        <f t="shared" si="245"/>
        <v>1881220.8014996694</v>
      </c>
      <c r="S171" s="527">
        <f t="shared" si="246"/>
        <v>2197779.0610796502</v>
      </c>
      <c r="T171" s="527">
        <f t="shared" si="246"/>
        <v>2285690.2235228363</v>
      </c>
      <c r="U171" s="527">
        <f t="shared" si="246"/>
        <v>2377117.8324637497</v>
      </c>
      <c r="V171" s="527">
        <f t="shared" si="246"/>
        <v>2472202.5457622996</v>
      </c>
      <c r="W171" s="527">
        <f t="shared" si="246"/>
        <v>2571090.6475927918</v>
      </c>
      <c r="X171" s="525"/>
      <c r="Y171" s="525"/>
      <c r="Z171" s="525"/>
      <c r="AA171" s="525"/>
      <c r="AB171" s="525"/>
      <c r="AC171" s="525"/>
      <c r="AD171" s="525"/>
      <c r="AE171" s="525"/>
      <c r="AF171" s="525"/>
      <c r="AG171" s="525"/>
      <c r="AH171" s="525"/>
      <c r="AI171" s="525"/>
      <c r="AJ171" s="525"/>
      <c r="AK171" s="525"/>
      <c r="AL171" s="525"/>
      <c r="AM171" s="525"/>
      <c r="AN171" s="525"/>
      <c r="AO171" s="525"/>
      <c r="AP171" s="525"/>
      <c r="AQ171" s="525"/>
      <c r="AR171" s="525"/>
      <c r="AS171" s="525"/>
      <c r="AT171" s="525"/>
      <c r="AU171" s="525"/>
      <c r="AV171" s="525"/>
      <c r="AW171" s="525"/>
      <c r="AX171" s="525"/>
      <c r="AY171" s="525"/>
      <c r="AZ171" s="525"/>
      <c r="BA171" s="525"/>
      <c r="BB171" s="525"/>
      <c r="BC171" s="525"/>
      <c r="BD171" s="525"/>
      <c r="BE171" s="525"/>
      <c r="BF171" s="525"/>
      <c r="BG171" s="525"/>
      <c r="BH171" s="525"/>
      <c r="BI171" s="525"/>
      <c r="BJ171" s="525"/>
      <c r="BK171" s="525"/>
      <c r="BL171" s="525"/>
      <c r="BM171" s="525"/>
      <c r="BN171" s="525"/>
      <c r="BO171" s="525"/>
      <c r="BP171" s="525"/>
      <c r="BQ171" s="525"/>
      <c r="BR171" s="525"/>
      <c r="BS171" s="525"/>
      <c r="BT171" s="525"/>
      <c r="BU171" s="525"/>
      <c r="BV171" s="525"/>
      <c r="BW171" s="525"/>
      <c r="BX171" s="525"/>
      <c r="BY171" s="525"/>
    </row>
    <row r="172" spans="1:77" x14ac:dyDescent="0.3">
      <c r="A172" s="551"/>
      <c r="B172" s="548"/>
      <c r="C172" s="525"/>
      <c r="D172" s="525"/>
      <c r="E172" s="609" t="str">
        <f>"Post-capex - outlet EBITDA: "&amp;E$157</f>
        <v>Post-capex - outlet EBITDA: FY29 Tranche</v>
      </c>
      <c r="F172" s="525"/>
      <c r="G172" s="525"/>
      <c r="H172" s="525"/>
      <c r="I172" s="525"/>
      <c r="J172" s="525"/>
      <c r="K172" s="525"/>
      <c r="L172" s="525"/>
      <c r="M172" s="525"/>
      <c r="N172" s="525"/>
      <c r="O172" s="525"/>
      <c r="P172" s="565"/>
      <c r="Q172" s="525"/>
      <c r="R172" s="527">
        <f t="shared" si="245"/>
        <v>1953262.5453459255</v>
      </c>
      <c r="S172" s="527">
        <f t="shared" si="246"/>
        <v>2276928.9365056679</v>
      </c>
      <c r="T172" s="527">
        <f t="shared" si="246"/>
        <v>2368006.0939658945</v>
      </c>
      <c r="U172" s="527">
        <f t="shared" si="246"/>
        <v>2462726.3377245306</v>
      </c>
      <c r="V172" s="527">
        <f t="shared" si="246"/>
        <v>2561235.3912335117</v>
      </c>
      <c r="W172" s="527">
        <f t="shared" si="246"/>
        <v>2663684.8068828522</v>
      </c>
      <c r="X172" s="525"/>
      <c r="Y172" s="525"/>
      <c r="Z172" s="525"/>
      <c r="AA172" s="525"/>
      <c r="AB172" s="525"/>
      <c r="AC172" s="525"/>
      <c r="AD172" s="525"/>
      <c r="AE172" s="525"/>
      <c r="AF172" s="525"/>
      <c r="AG172" s="525"/>
      <c r="AH172" s="525"/>
      <c r="AI172" s="525"/>
      <c r="AJ172" s="525"/>
      <c r="AK172" s="525"/>
      <c r="AL172" s="525"/>
      <c r="AM172" s="525"/>
      <c r="AN172" s="525"/>
      <c r="AO172" s="525"/>
      <c r="AP172" s="525"/>
      <c r="AQ172" s="525"/>
      <c r="AR172" s="525"/>
      <c r="AS172" s="525"/>
      <c r="AT172" s="525"/>
      <c r="AU172" s="525"/>
      <c r="AV172" s="525"/>
      <c r="AW172" s="525"/>
      <c r="AX172" s="525"/>
      <c r="AY172" s="525"/>
      <c r="AZ172" s="525"/>
      <c r="BA172" s="525"/>
      <c r="BB172" s="525"/>
      <c r="BC172" s="525"/>
      <c r="BD172" s="525"/>
      <c r="BE172" s="525"/>
      <c r="BF172" s="525"/>
      <c r="BG172" s="525"/>
      <c r="BH172" s="525"/>
      <c r="BI172" s="525"/>
      <c r="BJ172" s="525"/>
      <c r="BK172" s="525"/>
      <c r="BL172" s="525"/>
      <c r="BM172" s="525"/>
      <c r="BN172" s="525"/>
      <c r="BO172" s="525"/>
      <c r="BP172" s="525"/>
      <c r="BQ172" s="525"/>
      <c r="BR172" s="525"/>
      <c r="BS172" s="525"/>
      <c r="BT172" s="525"/>
      <c r="BU172" s="525"/>
      <c r="BV172" s="525"/>
      <c r="BW172" s="525"/>
      <c r="BX172" s="525"/>
      <c r="BY172" s="525"/>
    </row>
    <row r="173" spans="1:77" x14ac:dyDescent="0.3">
      <c r="A173" s="551"/>
      <c r="B173" s="548"/>
      <c r="C173" s="525"/>
      <c r="D173" s="525"/>
      <c r="E173" s="609" t="str">
        <f>"Post-capex - outlet EBITDA: "&amp;E$158</f>
        <v>Post-capex - outlet EBITDA: FY30 Tranche</v>
      </c>
      <c r="F173" s="525"/>
      <c r="G173" s="525"/>
      <c r="H173" s="525"/>
      <c r="I173" s="525"/>
      <c r="J173" s="525"/>
      <c r="K173" s="525"/>
      <c r="L173" s="525"/>
      <c r="M173" s="525"/>
      <c r="N173" s="525"/>
      <c r="O173" s="525"/>
      <c r="P173" s="565"/>
      <c r="Q173" s="525"/>
      <c r="R173" s="527">
        <f t="shared" si="245"/>
        <v>2022439.4656451759</v>
      </c>
      <c r="S173" s="527">
        <f t="shared" si="246"/>
        <v>2352798.5102846785</v>
      </c>
      <c r="T173" s="527">
        <f t="shared" si="246"/>
        <v>2446910.4506960656</v>
      </c>
      <c r="U173" s="527">
        <f t="shared" si="246"/>
        <v>2544786.8687239084</v>
      </c>
      <c r="V173" s="527">
        <f t="shared" si="246"/>
        <v>2646578.3434728649</v>
      </c>
      <c r="W173" s="527">
        <f t="shared" si="246"/>
        <v>2752441.4772117794</v>
      </c>
      <c r="X173" s="525"/>
      <c r="Y173" s="525"/>
      <c r="Z173" s="525"/>
      <c r="AA173" s="525"/>
      <c r="AB173" s="525"/>
      <c r="AC173" s="525"/>
      <c r="AD173" s="525"/>
      <c r="AE173" s="525"/>
      <c r="AF173" s="525"/>
      <c r="AG173" s="525"/>
      <c r="AH173" s="525"/>
      <c r="AI173" s="525"/>
      <c r="AJ173" s="525"/>
      <c r="AK173" s="525"/>
      <c r="AL173" s="525"/>
      <c r="AM173" s="525"/>
      <c r="AN173" s="525"/>
      <c r="AO173" s="525"/>
      <c r="AP173" s="525"/>
      <c r="AQ173" s="525"/>
      <c r="AR173" s="525"/>
      <c r="AS173" s="525"/>
      <c r="AT173" s="525"/>
      <c r="AU173" s="525"/>
      <c r="AV173" s="525"/>
      <c r="AW173" s="525"/>
      <c r="AX173" s="525"/>
      <c r="AY173" s="525"/>
      <c r="AZ173" s="525"/>
      <c r="BA173" s="525"/>
      <c r="BB173" s="525"/>
      <c r="BC173" s="525"/>
      <c r="BD173" s="525"/>
      <c r="BE173" s="525"/>
      <c r="BF173" s="525"/>
      <c r="BG173" s="525"/>
      <c r="BH173" s="525"/>
      <c r="BI173" s="525"/>
      <c r="BJ173" s="525"/>
      <c r="BK173" s="525"/>
      <c r="BL173" s="525"/>
      <c r="BM173" s="525"/>
      <c r="BN173" s="525"/>
      <c r="BO173" s="525"/>
      <c r="BP173" s="525"/>
      <c r="BQ173" s="525"/>
      <c r="BR173" s="525"/>
      <c r="BS173" s="525"/>
      <c r="BT173" s="525"/>
      <c r="BU173" s="525"/>
      <c r="BV173" s="525"/>
      <c r="BW173" s="525"/>
      <c r="BX173" s="525"/>
      <c r="BY173" s="525"/>
    </row>
    <row r="174" spans="1:77" x14ac:dyDescent="0.3">
      <c r="A174" s="551"/>
      <c r="B174" s="548"/>
      <c r="C174" s="525"/>
      <c r="D174" s="525"/>
      <c r="E174" s="609" t="str">
        <f>"Post-capex - outlet EBITDA: "&amp;E$159</f>
        <v>Post-capex - outlet EBITDA: FY31 Tranche</v>
      </c>
      <c r="F174" s="525"/>
      <c r="G174" s="525"/>
      <c r="H174" s="525"/>
      <c r="I174" s="525"/>
      <c r="J174" s="525"/>
      <c r="K174" s="525"/>
      <c r="L174" s="525"/>
      <c r="M174" s="525"/>
      <c r="N174" s="525"/>
      <c r="O174" s="525"/>
      <c r="P174" s="565"/>
      <c r="Q174" s="525"/>
      <c r="R174" s="527">
        <f t="shared" si="245"/>
        <v>2092365.9157984178</v>
      </c>
      <c r="S174" s="527">
        <f t="shared" si="246"/>
        <v>2429172.2399697327</v>
      </c>
      <c r="T174" s="527">
        <f t="shared" si="246"/>
        <v>2526339.1295685223</v>
      </c>
      <c r="U174" s="527">
        <f t="shared" si="246"/>
        <v>2627392.6947512631</v>
      </c>
      <c r="V174" s="527">
        <f t="shared" si="246"/>
        <v>2732488.4025413138</v>
      </c>
      <c r="W174" s="527">
        <f t="shared" si="246"/>
        <v>2841787.9386429666</v>
      </c>
      <c r="X174" s="525"/>
      <c r="Y174" s="525"/>
      <c r="Z174" s="525"/>
      <c r="AA174" s="525"/>
      <c r="AB174" s="525"/>
      <c r="AC174" s="525"/>
      <c r="AD174" s="525"/>
      <c r="AE174" s="525"/>
      <c r="AF174" s="525"/>
      <c r="AG174" s="525"/>
      <c r="AH174" s="525"/>
      <c r="AI174" s="525"/>
      <c r="AJ174" s="525"/>
      <c r="AK174" s="525"/>
      <c r="AL174" s="525"/>
      <c r="AM174" s="525"/>
      <c r="AN174" s="525"/>
      <c r="AO174" s="525"/>
      <c r="AP174" s="525"/>
      <c r="AQ174" s="525"/>
      <c r="AR174" s="525"/>
      <c r="AS174" s="525"/>
      <c r="AT174" s="525"/>
      <c r="AU174" s="525"/>
      <c r="AV174" s="525"/>
      <c r="AW174" s="525"/>
      <c r="AX174" s="525"/>
      <c r="AY174" s="525"/>
      <c r="AZ174" s="525"/>
      <c r="BA174" s="525"/>
      <c r="BB174" s="525"/>
      <c r="BC174" s="525"/>
      <c r="BD174" s="525"/>
      <c r="BE174" s="525"/>
      <c r="BF174" s="525"/>
      <c r="BG174" s="525"/>
      <c r="BH174" s="525"/>
      <c r="BI174" s="525"/>
      <c r="BJ174" s="525"/>
      <c r="BK174" s="525"/>
      <c r="BL174" s="525"/>
      <c r="BM174" s="525"/>
      <c r="BN174" s="525"/>
      <c r="BO174" s="525"/>
      <c r="BP174" s="525"/>
      <c r="BQ174" s="525"/>
      <c r="BR174" s="525"/>
      <c r="BS174" s="525"/>
      <c r="BT174" s="525"/>
      <c r="BU174" s="525"/>
      <c r="BV174" s="525"/>
      <c r="BW174" s="525"/>
      <c r="BX174" s="525"/>
      <c r="BY174" s="525"/>
    </row>
    <row r="175" spans="1:77" x14ac:dyDescent="0.3">
      <c r="A175" s="551"/>
      <c r="B175" s="548"/>
      <c r="C175" s="525"/>
      <c r="D175" s="525"/>
      <c r="E175" s="609" t="str">
        <f>"Post-capex - outlet EBITDA: "&amp;E$160</f>
        <v>Post-capex - outlet EBITDA: Uninvested Tranche</v>
      </c>
      <c r="F175" s="525"/>
      <c r="G175" s="525"/>
      <c r="H175" s="525"/>
      <c r="I175" s="525"/>
      <c r="J175" s="525"/>
      <c r="K175" s="525"/>
      <c r="L175" s="525"/>
      <c r="M175" s="525"/>
      <c r="N175" s="525"/>
      <c r="O175" s="525"/>
      <c r="P175" s="565"/>
      <c r="Q175" s="525"/>
      <c r="R175" s="527">
        <f t="shared" si="245"/>
        <v>0</v>
      </c>
      <c r="S175" s="527">
        <f t="shared" si="246"/>
        <v>0</v>
      </c>
      <c r="T175" s="527">
        <f t="shared" si="246"/>
        <v>0</v>
      </c>
      <c r="U175" s="527">
        <f t="shared" si="246"/>
        <v>0</v>
      </c>
      <c r="V175" s="527">
        <f t="shared" si="246"/>
        <v>0</v>
      </c>
      <c r="W175" s="527">
        <f t="shared" si="246"/>
        <v>0</v>
      </c>
      <c r="X175" s="525"/>
      <c r="Y175" s="525"/>
      <c r="Z175" s="576"/>
      <c r="AA175" s="525"/>
      <c r="AB175" s="525"/>
      <c r="AC175" s="525"/>
      <c r="AD175" s="525"/>
      <c r="AE175" s="525"/>
      <c r="AF175" s="525"/>
      <c r="AG175" s="525"/>
      <c r="AH175" s="525"/>
      <c r="AI175" s="525"/>
      <c r="AJ175" s="525"/>
      <c r="AK175" s="525"/>
      <c r="AL175" s="525"/>
      <c r="AM175" s="525"/>
      <c r="AN175" s="525"/>
      <c r="AO175" s="525"/>
      <c r="AP175" s="525"/>
      <c r="AQ175" s="525"/>
      <c r="AR175" s="525"/>
      <c r="AS175" s="525"/>
      <c r="AT175" s="525"/>
      <c r="AU175" s="525"/>
      <c r="AV175" s="525"/>
      <c r="AW175" s="525"/>
      <c r="AX175" s="525"/>
      <c r="AY175" s="525"/>
      <c r="AZ175" s="525"/>
      <c r="BA175" s="525"/>
      <c r="BB175" s="525"/>
      <c r="BC175" s="525"/>
      <c r="BD175" s="525"/>
      <c r="BE175" s="525"/>
      <c r="BF175" s="525"/>
      <c r="BG175" s="525"/>
      <c r="BH175" s="525"/>
      <c r="BI175" s="525"/>
      <c r="BJ175" s="525"/>
      <c r="BK175" s="525"/>
      <c r="BL175" s="525"/>
      <c r="BM175" s="525"/>
      <c r="BN175" s="525"/>
      <c r="BO175" s="525"/>
      <c r="BP175" s="525"/>
      <c r="BQ175" s="525"/>
      <c r="BR175" s="525"/>
      <c r="BS175" s="525"/>
      <c r="BT175" s="525"/>
      <c r="BU175" s="525"/>
      <c r="BV175" s="525"/>
      <c r="BW175" s="525"/>
      <c r="BX175" s="525"/>
      <c r="BY175" s="525"/>
    </row>
    <row r="176" spans="1:77" x14ac:dyDescent="0.3">
      <c r="A176" s="551"/>
      <c r="B176" s="548"/>
      <c r="C176" s="525"/>
      <c r="D176" s="525"/>
      <c r="E176" s="525"/>
      <c r="F176" s="525"/>
      <c r="G176" s="525"/>
      <c r="H176" s="525"/>
      <c r="I176" s="525"/>
      <c r="J176" s="525"/>
      <c r="K176" s="525"/>
      <c r="L176" s="525"/>
      <c r="M176" s="525"/>
      <c r="N176" s="576"/>
      <c r="O176" s="537"/>
      <c r="P176" s="562"/>
      <c r="Q176" s="529"/>
      <c r="R176" s="525"/>
      <c r="S176" s="525"/>
      <c r="T176" s="525"/>
      <c r="U176" s="525"/>
      <c r="V176" s="525"/>
      <c r="W176" s="525"/>
      <c r="X176" s="525"/>
      <c r="Y176" s="529"/>
      <c r="Z176" s="525"/>
      <c r="AA176" s="525"/>
      <c r="AB176" s="525"/>
      <c r="AC176" s="525"/>
      <c r="AD176" s="525"/>
      <c r="AE176" s="525"/>
      <c r="AF176" s="525"/>
      <c r="AG176" s="525"/>
      <c r="AH176" s="525"/>
      <c r="AI176" s="525"/>
      <c r="AJ176" s="525"/>
      <c r="AK176" s="525"/>
      <c r="AL176" s="525"/>
      <c r="AM176" s="525"/>
      <c r="AN176" s="525"/>
      <c r="AO176" s="525"/>
      <c r="AP176" s="525"/>
      <c r="AQ176" s="525"/>
      <c r="AR176" s="525"/>
      <c r="AS176" s="525"/>
      <c r="AT176" s="525"/>
      <c r="AU176" s="525"/>
      <c r="AV176" s="525"/>
      <c r="AW176" s="525"/>
      <c r="AX176" s="525"/>
      <c r="AY176" s="525"/>
      <c r="AZ176" s="525"/>
      <c r="BA176" s="525"/>
      <c r="BB176" s="525"/>
      <c r="BC176" s="525"/>
      <c r="BD176" s="525"/>
      <c r="BE176" s="525"/>
      <c r="BF176" s="525"/>
      <c r="BG176" s="525"/>
      <c r="BH176" s="525"/>
      <c r="BI176" s="525"/>
      <c r="BJ176" s="525"/>
      <c r="BK176" s="525"/>
      <c r="BL176" s="525"/>
      <c r="BM176" s="525"/>
      <c r="BN176" s="525"/>
      <c r="BO176" s="525"/>
      <c r="BP176" s="525"/>
      <c r="BQ176" s="525"/>
      <c r="BR176" s="525"/>
      <c r="BS176" s="525"/>
      <c r="BT176" s="525"/>
      <c r="BU176" s="525"/>
      <c r="BV176" s="525"/>
      <c r="BW176" s="525"/>
      <c r="BX176" s="525"/>
      <c r="BY176" s="525"/>
    </row>
    <row r="177" spans="1:77" x14ac:dyDescent="0.3">
      <c r="A177" s="551"/>
      <c r="B177" s="548"/>
      <c r="C177" s="525"/>
      <c r="D177" s="525"/>
      <c r="E177" s="611" t="str">
        <f>"Outlet EBITDA: "&amp;E$155</f>
        <v>Outlet EBITDA: FY27 Tranche</v>
      </c>
      <c r="F177" s="525"/>
      <c r="G177" s="525"/>
      <c r="H177" s="525"/>
      <c r="I177" s="525"/>
      <c r="J177" s="525"/>
      <c r="K177" s="525"/>
      <c r="L177" s="525"/>
      <c r="M177" s="525"/>
      <c r="N177" s="525"/>
      <c r="O177" s="525"/>
      <c r="P177" s="562"/>
      <c r="Q177" s="529"/>
      <c r="R177" s="527">
        <f t="shared" ref="R177:AW177" si="247">(R490*R$615*$R155)+IF(R498=0,0,INDEX($S170:$W170,MATCH(R498,$S$169:$W$169,0))/12)</f>
        <v>150714.8508790542</v>
      </c>
      <c r="S177" s="527">
        <f t="shared" si="247"/>
        <v>150714.8508790542</v>
      </c>
      <c r="T177" s="527">
        <f t="shared" si="247"/>
        <v>150714.8508790542</v>
      </c>
      <c r="U177" s="527">
        <f t="shared" si="247"/>
        <v>150714.8508790542</v>
      </c>
      <c r="V177" s="527">
        <f t="shared" si="247"/>
        <v>150714.8508790542</v>
      </c>
      <c r="W177" s="527">
        <f t="shared" si="247"/>
        <v>150714.8508790542</v>
      </c>
      <c r="X177" s="527">
        <f t="shared" si="247"/>
        <v>176475.17518970111</v>
      </c>
      <c r="Y177" s="527">
        <f t="shared" si="247"/>
        <v>176475.17518970111</v>
      </c>
      <c r="Z177" s="527">
        <f t="shared" si="247"/>
        <v>176475.17518970111</v>
      </c>
      <c r="AA177" s="527">
        <f t="shared" si="247"/>
        <v>176475.17518970111</v>
      </c>
      <c r="AB177" s="527">
        <f t="shared" si="247"/>
        <v>176475.17518970111</v>
      </c>
      <c r="AC177" s="527">
        <f t="shared" si="247"/>
        <v>176475.17518970111</v>
      </c>
      <c r="AD177" s="527">
        <f t="shared" si="247"/>
        <v>176475.17518970111</v>
      </c>
      <c r="AE177" s="527">
        <f t="shared" si="247"/>
        <v>176475.17518970111</v>
      </c>
      <c r="AF177" s="527">
        <f t="shared" si="247"/>
        <v>176475.17518970111</v>
      </c>
      <c r="AG177" s="527">
        <f t="shared" si="247"/>
        <v>176475.17518970111</v>
      </c>
      <c r="AH177" s="527">
        <f t="shared" si="247"/>
        <v>176475.17518970111</v>
      </c>
      <c r="AI177" s="527">
        <f t="shared" si="247"/>
        <v>176475.17518970111</v>
      </c>
      <c r="AJ177" s="527">
        <f t="shared" si="247"/>
        <v>183534.18219728916</v>
      </c>
      <c r="AK177" s="527">
        <f t="shared" si="247"/>
        <v>183534.18219728916</v>
      </c>
      <c r="AL177" s="527">
        <f t="shared" si="247"/>
        <v>183534.18219728916</v>
      </c>
      <c r="AM177" s="527">
        <f t="shared" si="247"/>
        <v>183534.18219728916</v>
      </c>
      <c r="AN177" s="527">
        <f t="shared" si="247"/>
        <v>183534.18219728916</v>
      </c>
      <c r="AO177" s="527">
        <f t="shared" si="247"/>
        <v>183534.18219728916</v>
      </c>
      <c r="AP177" s="527">
        <f t="shared" si="247"/>
        <v>183534.18219728916</v>
      </c>
      <c r="AQ177" s="527">
        <f t="shared" si="247"/>
        <v>183534.18219728916</v>
      </c>
      <c r="AR177" s="527">
        <f t="shared" si="247"/>
        <v>183534.18219728916</v>
      </c>
      <c r="AS177" s="527">
        <f t="shared" si="247"/>
        <v>183534.18219728916</v>
      </c>
      <c r="AT177" s="527">
        <f t="shared" si="247"/>
        <v>183534.18219728916</v>
      </c>
      <c r="AU177" s="527">
        <f t="shared" si="247"/>
        <v>183534.18219728916</v>
      </c>
      <c r="AV177" s="527">
        <f t="shared" si="247"/>
        <v>190875.54948518073</v>
      </c>
      <c r="AW177" s="527">
        <f t="shared" si="247"/>
        <v>190875.54948518073</v>
      </c>
      <c r="AX177" s="527">
        <f t="shared" ref="AX177:BY177" si="248">(AX490*AX$615*$R155)+IF(AX498=0,0,INDEX($S170:$W170,MATCH(AX498,$S$169:$W$169,0))/12)</f>
        <v>190875.54948518073</v>
      </c>
      <c r="AY177" s="527">
        <f t="shared" si="248"/>
        <v>190875.54948518073</v>
      </c>
      <c r="AZ177" s="527">
        <f t="shared" si="248"/>
        <v>190875.54948518073</v>
      </c>
      <c r="BA177" s="527">
        <f t="shared" si="248"/>
        <v>190875.54948518073</v>
      </c>
      <c r="BB177" s="527">
        <f t="shared" si="248"/>
        <v>190875.54948518073</v>
      </c>
      <c r="BC177" s="527">
        <f t="shared" si="248"/>
        <v>190875.54948518073</v>
      </c>
      <c r="BD177" s="527">
        <f t="shared" si="248"/>
        <v>190875.54948518073</v>
      </c>
      <c r="BE177" s="527">
        <f t="shared" si="248"/>
        <v>190875.54948518073</v>
      </c>
      <c r="BF177" s="527">
        <f t="shared" si="248"/>
        <v>190875.54948518073</v>
      </c>
      <c r="BG177" s="527">
        <f t="shared" si="248"/>
        <v>190875.54948518073</v>
      </c>
      <c r="BH177" s="527">
        <f t="shared" si="248"/>
        <v>198510.57146458796</v>
      </c>
      <c r="BI177" s="527">
        <f t="shared" si="248"/>
        <v>198510.57146458796</v>
      </c>
      <c r="BJ177" s="527">
        <f t="shared" si="248"/>
        <v>198510.57146458796</v>
      </c>
      <c r="BK177" s="527">
        <f t="shared" si="248"/>
        <v>198510.57146458796</v>
      </c>
      <c r="BL177" s="527">
        <f t="shared" si="248"/>
        <v>198510.57146458796</v>
      </c>
      <c r="BM177" s="527">
        <f t="shared" si="248"/>
        <v>198510.57146458796</v>
      </c>
      <c r="BN177" s="527">
        <f t="shared" si="248"/>
        <v>198510.57146458796</v>
      </c>
      <c r="BO177" s="527">
        <f t="shared" si="248"/>
        <v>198510.57146458796</v>
      </c>
      <c r="BP177" s="527">
        <f t="shared" si="248"/>
        <v>198510.57146458796</v>
      </c>
      <c r="BQ177" s="527">
        <f t="shared" si="248"/>
        <v>198510.57146458796</v>
      </c>
      <c r="BR177" s="527">
        <f t="shared" si="248"/>
        <v>198510.57146458796</v>
      </c>
      <c r="BS177" s="527">
        <f t="shared" si="248"/>
        <v>198510.57146458796</v>
      </c>
      <c r="BT177" s="527">
        <f t="shared" si="248"/>
        <v>206450.99432317147</v>
      </c>
      <c r="BU177" s="527">
        <f t="shared" si="248"/>
        <v>206450.99432317147</v>
      </c>
      <c r="BV177" s="527">
        <f t="shared" si="248"/>
        <v>206450.99432317147</v>
      </c>
      <c r="BW177" s="527">
        <f t="shared" si="248"/>
        <v>206450.99432317147</v>
      </c>
      <c r="BX177" s="527">
        <f t="shared" si="248"/>
        <v>206450.99432317147</v>
      </c>
      <c r="BY177" s="527">
        <f t="shared" si="248"/>
        <v>206450.99432317147</v>
      </c>
    </row>
    <row r="178" spans="1:77" x14ac:dyDescent="0.3">
      <c r="A178" s="551"/>
      <c r="B178" s="548"/>
      <c r="C178" s="525"/>
      <c r="D178" s="525"/>
      <c r="E178" s="611" t="str">
        <f>"Outlet EBITDA: "&amp;E$156</f>
        <v>Outlet EBITDA: FY28 Tranche</v>
      </c>
      <c r="F178" s="525"/>
      <c r="G178" s="525"/>
      <c r="H178" s="525"/>
      <c r="I178" s="525"/>
      <c r="J178" s="525"/>
      <c r="K178" s="525"/>
      <c r="L178" s="525"/>
      <c r="M178" s="525"/>
      <c r="N178" s="525"/>
      <c r="O178" s="525"/>
      <c r="P178" s="565"/>
      <c r="Q178" s="525"/>
      <c r="R178" s="527">
        <f>(R491*R$615*$R156)</f>
        <v>150714.8508790542</v>
      </c>
      <c r="S178" s="527">
        <f t="shared" ref="S178:AX178" si="249">(S491*S$615*$R156)+IF(S499=0,0,INDEX($S171:$W171,MATCH(S499,$S$169:$W$169,0))/12)</f>
        <v>150714.8508790542</v>
      </c>
      <c r="T178" s="527">
        <f t="shared" si="249"/>
        <v>150714.8508790542</v>
      </c>
      <c r="U178" s="527">
        <f t="shared" si="249"/>
        <v>150714.8508790542</v>
      </c>
      <c r="V178" s="527">
        <f t="shared" si="249"/>
        <v>150714.8508790542</v>
      </c>
      <c r="W178" s="527">
        <f t="shared" si="249"/>
        <v>150714.8508790542</v>
      </c>
      <c r="X178" s="527">
        <f t="shared" si="249"/>
        <v>150714.8508790542</v>
      </c>
      <c r="Y178" s="527">
        <f t="shared" si="249"/>
        <v>150714.8508790542</v>
      </c>
      <c r="Z178" s="527">
        <f t="shared" si="249"/>
        <v>150714.8508790542</v>
      </c>
      <c r="AA178" s="527">
        <f t="shared" si="249"/>
        <v>150714.8508790542</v>
      </c>
      <c r="AB178" s="527">
        <f t="shared" si="249"/>
        <v>150714.8508790542</v>
      </c>
      <c r="AC178" s="527">
        <f t="shared" si="249"/>
        <v>150714.8508790542</v>
      </c>
      <c r="AD178" s="527">
        <f t="shared" si="249"/>
        <v>156768.40012497245</v>
      </c>
      <c r="AE178" s="527">
        <f t="shared" si="249"/>
        <v>156768.40012497245</v>
      </c>
      <c r="AF178" s="527">
        <f t="shared" si="249"/>
        <v>156768.40012497245</v>
      </c>
      <c r="AG178" s="527">
        <f t="shared" si="249"/>
        <v>156768.40012497245</v>
      </c>
      <c r="AH178" s="527">
        <f t="shared" si="249"/>
        <v>156768.40012497245</v>
      </c>
      <c r="AI178" s="527">
        <f t="shared" si="249"/>
        <v>156768.40012497245</v>
      </c>
      <c r="AJ178" s="527">
        <f t="shared" si="249"/>
        <v>183148.25508997086</v>
      </c>
      <c r="AK178" s="527">
        <f t="shared" si="249"/>
        <v>183148.25508997086</v>
      </c>
      <c r="AL178" s="527">
        <f t="shared" si="249"/>
        <v>183148.25508997086</v>
      </c>
      <c r="AM178" s="527">
        <f t="shared" si="249"/>
        <v>183148.25508997086</v>
      </c>
      <c r="AN178" s="527">
        <f t="shared" si="249"/>
        <v>183148.25508997086</v>
      </c>
      <c r="AO178" s="527">
        <f t="shared" si="249"/>
        <v>183148.25508997086</v>
      </c>
      <c r="AP178" s="527">
        <f t="shared" si="249"/>
        <v>183148.25508997086</v>
      </c>
      <c r="AQ178" s="527">
        <f t="shared" si="249"/>
        <v>183148.25508997086</v>
      </c>
      <c r="AR178" s="527">
        <f t="shared" si="249"/>
        <v>183148.25508997086</v>
      </c>
      <c r="AS178" s="527">
        <f t="shared" si="249"/>
        <v>183148.25508997086</v>
      </c>
      <c r="AT178" s="527">
        <f t="shared" si="249"/>
        <v>183148.25508997086</v>
      </c>
      <c r="AU178" s="527">
        <f t="shared" si="249"/>
        <v>183148.25508997086</v>
      </c>
      <c r="AV178" s="527">
        <f t="shared" si="249"/>
        <v>190474.1852935697</v>
      </c>
      <c r="AW178" s="527">
        <f t="shared" si="249"/>
        <v>190474.1852935697</v>
      </c>
      <c r="AX178" s="527">
        <f t="shared" si="249"/>
        <v>190474.1852935697</v>
      </c>
      <c r="AY178" s="527">
        <f t="shared" ref="AY178:BY178" si="250">(AY491*AY$615*$R156)+IF(AY499=0,0,INDEX($S171:$W171,MATCH(AY499,$S$169:$W$169,0))/12)</f>
        <v>190474.1852935697</v>
      </c>
      <c r="AZ178" s="527">
        <f t="shared" si="250"/>
        <v>190474.1852935697</v>
      </c>
      <c r="BA178" s="527">
        <f t="shared" si="250"/>
        <v>190474.1852935697</v>
      </c>
      <c r="BB178" s="527">
        <f t="shared" si="250"/>
        <v>190474.1852935697</v>
      </c>
      <c r="BC178" s="527">
        <f t="shared" si="250"/>
        <v>190474.1852935697</v>
      </c>
      <c r="BD178" s="527">
        <f t="shared" si="250"/>
        <v>190474.1852935697</v>
      </c>
      <c r="BE178" s="527">
        <f t="shared" si="250"/>
        <v>190474.1852935697</v>
      </c>
      <c r="BF178" s="527">
        <f t="shared" si="250"/>
        <v>190474.1852935697</v>
      </c>
      <c r="BG178" s="527">
        <f t="shared" si="250"/>
        <v>190474.1852935697</v>
      </c>
      <c r="BH178" s="527">
        <f t="shared" si="250"/>
        <v>198093.15270531247</v>
      </c>
      <c r="BI178" s="527">
        <f t="shared" si="250"/>
        <v>198093.15270531247</v>
      </c>
      <c r="BJ178" s="527">
        <f t="shared" si="250"/>
        <v>198093.15270531247</v>
      </c>
      <c r="BK178" s="527">
        <f t="shared" si="250"/>
        <v>198093.15270531247</v>
      </c>
      <c r="BL178" s="527">
        <f t="shared" si="250"/>
        <v>198093.15270531247</v>
      </c>
      <c r="BM178" s="527">
        <f t="shared" si="250"/>
        <v>198093.15270531247</v>
      </c>
      <c r="BN178" s="527">
        <f t="shared" si="250"/>
        <v>198093.15270531247</v>
      </c>
      <c r="BO178" s="527">
        <f t="shared" si="250"/>
        <v>198093.15270531247</v>
      </c>
      <c r="BP178" s="527">
        <f t="shared" si="250"/>
        <v>198093.15270531247</v>
      </c>
      <c r="BQ178" s="527">
        <f t="shared" si="250"/>
        <v>198093.15270531247</v>
      </c>
      <c r="BR178" s="527">
        <f t="shared" si="250"/>
        <v>198093.15270531247</v>
      </c>
      <c r="BS178" s="527">
        <f t="shared" si="250"/>
        <v>198093.15270531247</v>
      </c>
      <c r="BT178" s="527">
        <f t="shared" si="250"/>
        <v>206016.87881352496</v>
      </c>
      <c r="BU178" s="527">
        <f t="shared" si="250"/>
        <v>206016.87881352496</v>
      </c>
      <c r="BV178" s="527">
        <f t="shared" si="250"/>
        <v>206016.87881352496</v>
      </c>
      <c r="BW178" s="527">
        <f t="shared" si="250"/>
        <v>206016.87881352496</v>
      </c>
      <c r="BX178" s="527">
        <f t="shared" si="250"/>
        <v>206016.87881352496</v>
      </c>
      <c r="BY178" s="527">
        <f t="shared" si="250"/>
        <v>206016.87881352496</v>
      </c>
    </row>
    <row r="179" spans="1:77" x14ac:dyDescent="0.3">
      <c r="A179" s="551"/>
      <c r="B179" s="548"/>
      <c r="C179" s="525"/>
      <c r="D179" s="525"/>
      <c r="E179" s="611" t="str">
        <f>"Outlet EBITDA: "&amp;E$157</f>
        <v>Outlet EBITDA: FY29 Tranche</v>
      </c>
      <c r="F179" s="525"/>
      <c r="G179" s="525"/>
      <c r="H179" s="525"/>
      <c r="I179" s="525"/>
      <c r="J179" s="525"/>
      <c r="K179" s="525"/>
      <c r="L179" s="525"/>
      <c r="M179" s="525"/>
      <c r="N179" s="525"/>
      <c r="O179" s="525"/>
      <c r="P179" s="565"/>
      <c r="Q179" s="525"/>
      <c r="R179" s="527">
        <f>(R492*R$615*$R157)</f>
        <v>150714.8508790542</v>
      </c>
      <c r="S179" s="527">
        <f t="shared" ref="S179:AX179" si="251">(S492*S$615*$R157)+IF(S500=0,0,INDEX($S172:$W172,MATCH(S500,$S$169:$W$169,0))/12)</f>
        <v>150714.8508790542</v>
      </c>
      <c r="T179" s="527">
        <f t="shared" si="251"/>
        <v>150714.8508790542</v>
      </c>
      <c r="U179" s="527">
        <f t="shared" si="251"/>
        <v>150714.8508790542</v>
      </c>
      <c r="V179" s="527">
        <f t="shared" si="251"/>
        <v>150714.8508790542</v>
      </c>
      <c r="W179" s="527">
        <f t="shared" si="251"/>
        <v>150714.8508790542</v>
      </c>
      <c r="X179" s="527">
        <f t="shared" si="251"/>
        <v>150714.8508790542</v>
      </c>
      <c r="Y179" s="527">
        <f t="shared" si="251"/>
        <v>150714.8508790542</v>
      </c>
      <c r="Z179" s="527">
        <f t="shared" si="251"/>
        <v>150714.8508790542</v>
      </c>
      <c r="AA179" s="527">
        <f t="shared" si="251"/>
        <v>150714.8508790542</v>
      </c>
      <c r="AB179" s="527">
        <f t="shared" si="251"/>
        <v>150714.8508790542</v>
      </c>
      <c r="AC179" s="527">
        <f t="shared" si="251"/>
        <v>150714.8508790542</v>
      </c>
      <c r="AD179" s="527">
        <f t="shared" si="251"/>
        <v>156768.40012497245</v>
      </c>
      <c r="AE179" s="527">
        <f t="shared" si="251"/>
        <v>156768.40012497245</v>
      </c>
      <c r="AF179" s="527">
        <f t="shared" si="251"/>
        <v>156768.40012497245</v>
      </c>
      <c r="AG179" s="527">
        <f t="shared" si="251"/>
        <v>156768.40012497245</v>
      </c>
      <c r="AH179" s="527">
        <f t="shared" si="251"/>
        <v>156768.40012497245</v>
      </c>
      <c r="AI179" s="527">
        <f t="shared" si="251"/>
        <v>156768.40012497245</v>
      </c>
      <c r="AJ179" s="527">
        <f t="shared" si="251"/>
        <v>156768.40012497245</v>
      </c>
      <c r="AK179" s="527">
        <f t="shared" si="251"/>
        <v>156768.40012497245</v>
      </c>
      <c r="AL179" s="527">
        <f t="shared" si="251"/>
        <v>156768.40012497245</v>
      </c>
      <c r="AM179" s="527">
        <f t="shared" si="251"/>
        <v>156768.40012497245</v>
      </c>
      <c r="AN179" s="527">
        <f t="shared" si="251"/>
        <v>156768.40012497245</v>
      </c>
      <c r="AO179" s="527">
        <f t="shared" si="251"/>
        <v>156768.40012497245</v>
      </c>
      <c r="AP179" s="527">
        <f t="shared" si="251"/>
        <v>162771.87877882711</v>
      </c>
      <c r="AQ179" s="527">
        <f t="shared" si="251"/>
        <v>162771.87877882711</v>
      </c>
      <c r="AR179" s="527">
        <f t="shared" si="251"/>
        <v>162771.87877882711</v>
      </c>
      <c r="AS179" s="527">
        <f t="shared" si="251"/>
        <v>162771.87877882711</v>
      </c>
      <c r="AT179" s="527">
        <f t="shared" si="251"/>
        <v>162771.87877882711</v>
      </c>
      <c r="AU179" s="527">
        <f t="shared" si="251"/>
        <v>162771.87877882711</v>
      </c>
      <c r="AV179" s="527">
        <f t="shared" si="251"/>
        <v>189744.07804213898</v>
      </c>
      <c r="AW179" s="527">
        <f t="shared" si="251"/>
        <v>189744.07804213898</v>
      </c>
      <c r="AX179" s="527">
        <f t="shared" si="251"/>
        <v>189744.07804213898</v>
      </c>
      <c r="AY179" s="527">
        <f t="shared" ref="AY179:BY179" si="252">(AY492*AY$615*$R157)+IF(AY500=0,0,INDEX($S172:$W172,MATCH(AY500,$S$169:$W$169,0))/12)</f>
        <v>189744.07804213898</v>
      </c>
      <c r="AZ179" s="527">
        <f t="shared" si="252"/>
        <v>189744.07804213898</v>
      </c>
      <c r="BA179" s="527">
        <f t="shared" si="252"/>
        <v>189744.07804213898</v>
      </c>
      <c r="BB179" s="527">
        <f t="shared" si="252"/>
        <v>189744.07804213898</v>
      </c>
      <c r="BC179" s="527">
        <f t="shared" si="252"/>
        <v>189744.07804213898</v>
      </c>
      <c r="BD179" s="527">
        <f t="shared" si="252"/>
        <v>189744.07804213898</v>
      </c>
      <c r="BE179" s="527">
        <f t="shared" si="252"/>
        <v>189744.07804213898</v>
      </c>
      <c r="BF179" s="527">
        <f t="shared" si="252"/>
        <v>189744.07804213898</v>
      </c>
      <c r="BG179" s="527">
        <f t="shared" si="252"/>
        <v>189744.07804213898</v>
      </c>
      <c r="BH179" s="527">
        <f t="shared" si="252"/>
        <v>197333.84116382455</v>
      </c>
      <c r="BI179" s="527">
        <f t="shared" si="252"/>
        <v>197333.84116382455</v>
      </c>
      <c r="BJ179" s="527">
        <f t="shared" si="252"/>
        <v>197333.84116382455</v>
      </c>
      <c r="BK179" s="527">
        <f t="shared" si="252"/>
        <v>197333.84116382455</v>
      </c>
      <c r="BL179" s="527">
        <f t="shared" si="252"/>
        <v>197333.84116382455</v>
      </c>
      <c r="BM179" s="527">
        <f t="shared" si="252"/>
        <v>197333.84116382455</v>
      </c>
      <c r="BN179" s="527">
        <f t="shared" si="252"/>
        <v>197333.84116382455</v>
      </c>
      <c r="BO179" s="527">
        <f t="shared" si="252"/>
        <v>197333.84116382455</v>
      </c>
      <c r="BP179" s="527">
        <f t="shared" si="252"/>
        <v>197333.84116382455</v>
      </c>
      <c r="BQ179" s="527">
        <f t="shared" si="252"/>
        <v>197333.84116382455</v>
      </c>
      <c r="BR179" s="527">
        <f t="shared" si="252"/>
        <v>197333.84116382455</v>
      </c>
      <c r="BS179" s="527">
        <f t="shared" si="252"/>
        <v>197333.84116382455</v>
      </c>
      <c r="BT179" s="527">
        <f t="shared" si="252"/>
        <v>205227.19481037755</v>
      </c>
      <c r="BU179" s="527">
        <f t="shared" si="252"/>
        <v>205227.19481037755</v>
      </c>
      <c r="BV179" s="527">
        <f t="shared" si="252"/>
        <v>205227.19481037755</v>
      </c>
      <c r="BW179" s="527">
        <f t="shared" si="252"/>
        <v>205227.19481037755</v>
      </c>
      <c r="BX179" s="527">
        <f t="shared" si="252"/>
        <v>205227.19481037755</v>
      </c>
      <c r="BY179" s="527">
        <f t="shared" si="252"/>
        <v>205227.19481037755</v>
      </c>
    </row>
    <row r="180" spans="1:77" x14ac:dyDescent="0.3">
      <c r="A180" s="551"/>
      <c r="B180" s="548"/>
      <c r="C180" s="525"/>
      <c r="D180" s="525"/>
      <c r="E180" s="611" t="str">
        <f>"Outlet EBITDA: "&amp;E$158</f>
        <v>Outlet EBITDA: FY30 Tranche</v>
      </c>
      <c r="F180" s="525"/>
      <c r="G180" s="525"/>
      <c r="H180" s="525"/>
      <c r="I180" s="525"/>
      <c r="J180" s="525"/>
      <c r="K180" s="525"/>
      <c r="L180" s="525"/>
      <c r="M180" s="525"/>
      <c r="N180" s="525"/>
      <c r="O180" s="525"/>
      <c r="P180" s="565"/>
      <c r="Q180" s="525"/>
      <c r="R180" s="527">
        <f>(R493*R$615*$R158)</f>
        <v>150714.8508790542</v>
      </c>
      <c r="S180" s="527">
        <f t="shared" ref="S180:AX180" si="253">(S493*S$615*$R158)+IF(S501=0,0,INDEX($S173:$W173,MATCH(S501,$S$169:$W$169,0))/12)</f>
        <v>150714.8508790542</v>
      </c>
      <c r="T180" s="527">
        <f t="shared" si="253"/>
        <v>150714.8508790542</v>
      </c>
      <c r="U180" s="527">
        <f t="shared" si="253"/>
        <v>150714.8508790542</v>
      </c>
      <c r="V180" s="527">
        <f t="shared" si="253"/>
        <v>150714.8508790542</v>
      </c>
      <c r="W180" s="527">
        <f t="shared" si="253"/>
        <v>150714.8508790542</v>
      </c>
      <c r="X180" s="527">
        <f t="shared" si="253"/>
        <v>150714.8508790542</v>
      </c>
      <c r="Y180" s="527">
        <f t="shared" si="253"/>
        <v>150714.8508790542</v>
      </c>
      <c r="Z180" s="527">
        <f t="shared" si="253"/>
        <v>150714.8508790542</v>
      </c>
      <c r="AA180" s="527">
        <f t="shared" si="253"/>
        <v>150714.8508790542</v>
      </c>
      <c r="AB180" s="527">
        <f t="shared" si="253"/>
        <v>150714.8508790542</v>
      </c>
      <c r="AC180" s="527">
        <f t="shared" si="253"/>
        <v>150714.8508790542</v>
      </c>
      <c r="AD180" s="527">
        <f t="shared" si="253"/>
        <v>156768.40012497245</v>
      </c>
      <c r="AE180" s="527">
        <f t="shared" si="253"/>
        <v>156768.40012497245</v>
      </c>
      <c r="AF180" s="527">
        <f t="shared" si="253"/>
        <v>156768.40012497245</v>
      </c>
      <c r="AG180" s="527">
        <f t="shared" si="253"/>
        <v>156768.40012497245</v>
      </c>
      <c r="AH180" s="527">
        <f t="shared" si="253"/>
        <v>156768.40012497245</v>
      </c>
      <c r="AI180" s="527">
        <f t="shared" si="253"/>
        <v>156768.40012497245</v>
      </c>
      <c r="AJ180" s="527">
        <f t="shared" si="253"/>
        <v>156768.40012497245</v>
      </c>
      <c r="AK180" s="527">
        <f t="shared" si="253"/>
        <v>156768.40012497245</v>
      </c>
      <c r="AL180" s="527">
        <f t="shared" si="253"/>
        <v>156768.40012497245</v>
      </c>
      <c r="AM180" s="527">
        <f t="shared" si="253"/>
        <v>156768.40012497245</v>
      </c>
      <c r="AN180" s="527">
        <f t="shared" si="253"/>
        <v>156768.40012497245</v>
      </c>
      <c r="AO180" s="527">
        <f t="shared" si="253"/>
        <v>156768.40012497245</v>
      </c>
      <c r="AP180" s="527">
        <f t="shared" si="253"/>
        <v>162771.87877882711</v>
      </c>
      <c r="AQ180" s="527">
        <f t="shared" si="253"/>
        <v>162771.87877882711</v>
      </c>
      <c r="AR180" s="527">
        <f t="shared" si="253"/>
        <v>162771.87877882711</v>
      </c>
      <c r="AS180" s="527">
        <f t="shared" si="253"/>
        <v>162771.87877882711</v>
      </c>
      <c r="AT180" s="527">
        <f t="shared" si="253"/>
        <v>162771.87877882711</v>
      </c>
      <c r="AU180" s="527">
        <f t="shared" si="253"/>
        <v>162771.87877882711</v>
      </c>
      <c r="AV180" s="527">
        <f t="shared" si="253"/>
        <v>162771.87877882711</v>
      </c>
      <c r="AW180" s="527">
        <f t="shared" si="253"/>
        <v>162771.87877882711</v>
      </c>
      <c r="AX180" s="527">
        <f t="shared" si="253"/>
        <v>162771.87877882711</v>
      </c>
      <c r="AY180" s="527">
        <f t="shared" ref="AY180:BY180" si="254">(AY493*AY$615*$R158)+IF(AY501=0,0,INDEX($S173:$W173,MATCH(AY501,$S$169:$W$169,0))/12)</f>
        <v>162771.87877882711</v>
      </c>
      <c r="AZ180" s="527">
        <f t="shared" si="254"/>
        <v>162771.87877882711</v>
      </c>
      <c r="BA180" s="527">
        <f t="shared" si="254"/>
        <v>162771.87877882711</v>
      </c>
      <c r="BB180" s="527">
        <f t="shared" si="254"/>
        <v>168536.62213709799</v>
      </c>
      <c r="BC180" s="527">
        <f t="shared" si="254"/>
        <v>168536.62213709799</v>
      </c>
      <c r="BD180" s="527">
        <f t="shared" si="254"/>
        <v>168536.62213709799</v>
      </c>
      <c r="BE180" s="527">
        <f t="shared" si="254"/>
        <v>168536.62213709799</v>
      </c>
      <c r="BF180" s="527">
        <f t="shared" si="254"/>
        <v>168536.62213709799</v>
      </c>
      <c r="BG180" s="527">
        <f t="shared" si="254"/>
        <v>168536.62213709799</v>
      </c>
      <c r="BH180" s="527">
        <f t="shared" si="254"/>
        <v>196066.54252372321</v>
      </c>
      <c r="BI180" s="527">
        <f t="shared" si="254"/>
        <v>196066.54252372321</v>
      </c>
      <c r="BJ180" s="527">
        <f t="shared" si="254"/>
        <v>196066.54252372321</v>
      </c>
      <c r="BK180" s="527">
        <f t="shared" si="254"/>
        <v>196066.54252372321</v>
      </c>
      <c r="BL180" s="527">
        <f t="shared" si="254"/>
        <v>196066.54252372321</v>
      </c>
      <c r="BM180" s="527">
        <f t="shared" si="254"/>
        <v>196066.54252372321</v>
      </c>
      <c r="BN180" s="527">
        <f t="shared" si="254"/>
        <v>196066.54252372321</v>
      </c>
      <c r="BO180" s="527">
        <f t="shared" si="254"/>
        <v>196066.54252372321</v>
      </c>
      <c r="BP180" s="527">
        <f t="shared" si="254"/>
        <v>196066.54252372321</v>
      </c>
      <c r="BQ180" s="527">
        <f t="shared" si="254"/>
        <v>196066.54252372321</v>
      </c>
      <c r="BR180" s="527">
        <f t="shared" si="254"/>
        <v>196066.54252372321</v>
      </c>
      <c r="BS180" s="527">
        <f t="shared" si="254"/>
        <v>196066.54252372321</v>
      </c>
      <c r="BT180" s="527">
        <f t="shared" si="254"/>
        <v>203909.20422467214</v>
      </c>
      <c r="BU180" s="527">
        <f t="shared" si="254"/>
        <v>203909.20422467214</v>
      </c>
      <c r="BV180" s="527">
        <f t="shared" si="254"/>
        <v>203909.20422467214</v>
      </c>
      <c r="BW180" s="527">
        <f t="shared" si="254"/>
        <v>203909.20422467214</v>
      </c>
      <c r="BX180" s="527">
        <f t="shared" si="254"/>
        <v>203909.20422467214</v>
      </c>
      <c r="BY180" s="527">
        <f t="shared" si="254"/>
        <v>203909.20422467214</v>
      </c>
    </row>
    <row r="181" spans="1:77" x14ac:dyDescent="0.3">
      <c r="A181" s="551"/>
      <c r="B181" s="548"/>
      <c r="C181" s="525"/>
      <c r="D181" s="525"/>
      <c r="E181" s="611" t="str">
        <f>"Outlet EBITDA: "&amp;E$159</f>
        <v>Outlet EBITDA: FY31 Tranche</v>
      </c>
      <c r="F181" s="525"/>
      <c r="G181" s="525"/>
      <c r="H181" s="525"/>
      <c r="I181" s="525"/>
      <c r="J181" s="525"/>
      <c r="K181" s="525"/>
      <c r="L181" s="525"/>
      <c r="M181" s="525"/>
      <c r="N181" s="525"/>
      <c r="O181" s="525"/>
      <c r="P181" s="565"/>
      <c r="Q181" s="525"/>
      <c r="R181" s="527">
        <f>(R494*R$615*$R159)</f>
        <v>150714.8508790542</v>
      </c>
      <c r="S181" s="527">
        <f t="shared" ref="S181:AX181" si="255">(S494*S$615*$R159)+IF(S502=0,0,INDEX($S174:$W174,MATCH(S502,$S$169:$W$169,0))/12)</f>
        <v>150714.8508790542</v>
      </c>
      <c r="T181" s="527">
        <f t="shared" si="255"/>
        <v>150714.8508790542</v>
      </c>
      <c r="U181" s="527">
        <f t="shared" si="255"/>
        <v>150714.8508790542</v>
      </c>
      <c r="V181" s="527">
        <f t="shared" si="255"/>
        <v>150714.8508790542</v>
      </c>
      <c r="W181" s="527">
        <f t="shared" si="255"/>
        <v>150714.8508790542</v>
      </c>
      <c r="X181" s="527">
        <f t="shared" si="255"/>
        <v>150714.8508790542</v>
      </c>
      <c r="Y181" s="527">
        <f t="shared" si="255"/>
        <v>150714.8508790542</v>
      </c>
      <c r="Z181" s="527">
        <f t="shared" si="255"/>
        <v>150714.8508790542</v>
      </c>
      <c r="AA181" s="527">
        <f t="shared" si="255"/>
        <v>150714.8508790542</v>
      </c>
      <c r="AB181" s="527">
        <f t="shared" si="255"/>
        <v>150714.8508790542</v>
      </c>
      <c r="AC181" s="527">
        <f t="shared" si="255"/>
        <v>150714.8508790542</v>
      </c>
      <c r="AD181" s="527">
        <f t="shared" si="255"/>
        <v>156768.40012497245</v>
      </c>
      <c r="AE181" s="527">
        <f t="shared" si="255"/>
        <v>156768.40012497245</v>
      </c>
      <c r="AF181" s="527">
        <f t="shared" si="255"/>
        <v>156768.40012497245</v>
      </c>
      <c r="AG181" s="527">
        <f t="shared" si="255"/>
        <v>156768.40012497245</v>
      </c>
      <c r="AH181" s="527">
        <f t="shared" si="255"/>
        <v>156768.40012497245</v>
      </c>
      <c r="AI181" s="527">
        <f t="shared" si="255"/>
        <v>156768.40012497245</v>
      </c>
      <c r="AJ181" s="527">
        <f t="shared" si="255"/>
        <v>156768.40012497245</v>
      </c>
      <c r="AK181" s="527">
        <f t="shared" si="255"/>
        <v>156768.40012497245</v>
      </c>
      <c r="AL181" s="527">
        <f t="shared" si="255"/>
        <v>156768.40012497245</v>
      </c>
      <c r="AM181" s="527">
        <f t="shared" si="255"/>
        <v>156768.40012497245</v>
      </c>
      <c r="AN181" s="527">
        <f t="shared" si="255"/>
        <v>156768.40012497245</v>
      </c>
      <c r="AO181" s="527">
        <f t="shared" si="255"/>
        <v>156768.40012497245</v>
      </c>
      <c r="AP181" s="527">
        <f t="shared" si="255"/>
        <v>162771.87877882711</v>
      </c>
      <c r="AQ181" s="527">
        <f t="shared" si="255"/>
        <v>162771.87877882711</v>
      </c>
      <c r="AR181" s="527">
        <f t="shared" si="255"/>
        <v>162771.87877882711</v>
      </c>
      <c r="AS181" s="527">
        <f t="shared" si="255"/>
        <v>162771.87877882711</v>
      </c>
      <c r="AT181" s="527">
        <f t="shared" si="255"/>
        <v>162771.87877882711</v>
      </c>
      <c r="AU181" s="527">
        <f t="shared" si="255"/>
        <v>162771.87877882711</v>
      </c>
      <c r="AV181" s="527">
        <f t="shared" si="255"/>
        <v>162771.87877882711</v>
      </c>
      <c r="AW181" s="527">
        <f t="shared" si="255"/>
        <v>162771.87877882711</v>
      </c>
      <c r="AX181" s="527">
        <f t="shared" si="255"/>
        <v>162771.87877882711</v>
      </c>
      <c r="AY181" s="527">
        <f t="shared" ref="AY181:BY181" si="256">(AY494*AY$615*$R159)+IF(AY502=0,0,INDEX($S174:$W174,MATCH(AY502,$S$169:$W$169,0))/12)</f>
        <v>162771.87877882711</v>
      </c>
      <c r="AZ181" s="527">
        <f t="shared" si="256"/>
        <v>162771.87877882711</v>
      </c>
      <c r="BA181" s="527">
        <f t="shared" si="256"/>
        <v>162771.87877882711</v>
      </c>
      <c r="BB181" s="527">
        <f t="shared" si="256"/>
        <v>168536.62213709799</v>
      </c>
      <c r="BC181" s="527">
        <f t="shared" si="256"/>
        <v>168536.62213709799</v>
      </c>
      <c r="BD181" s="527">
        <f t="shared" si="256"/>
        <v>168536.62213709799</v>
      </c>
      <c r="BE181" s="527">
        <f t="shared" si="256"/>
        <v>168536.62213709799</v>
      </c>
      <c r="BF181" s="527">
        <f t="shared" si="256"/>
        <v>168536.62213709799</v>
      </c>
      <c r="BG181" s="527">
        <f t="shared" si="256"/>
        <v>168536.62213709799</v>
      </c>
      <c r="BH181" s="527">
        <f t="shared" si="256"/>
        <v>168536.62213709799</v>
      </c>
      <c r="BI181" s="527">
        <f t="shared" si="256"/>
        <v>168536.62213709799</v>
      </c>
      <c r="BJ181" s="527">
        <f t="shared" si="256"/>
        <v>168536.62213709799</v>
      </c>
      <c r="BK181" s="527">
        <f t="shared" si="256"/>
        <v>168536.62213709799</v>
      </c>
      <c r="BL181" s="527">
        <f t="shared" si="256"/>
        <v>168536.62213709799</v>
      </c>
      <c r="BM181" s="527">
        <f t="shared" si="256"/>
        <v>168536.62213709799</v>
      </c>
      <c r="BN181" s="527">
        <f t="shared" si="256"/>
        <v>174363.82631653483</v>
      </c>
      <c r="BO181" s="527">
        <f t="shared" si="256"/>
        <v>174363.82631653483</v>
      </c>
      <c r="BP181" s="527">
        <f t="shared" si="256"/>
        <v>174363.82631653483</v>
      </c>
      <c r="BQ181" s="527">
        <f t="shared" si="256"/>
        <v>174363.82631653483</v>
      </c>
      <c r="BR181" s="527">
        <f t="shared" si="256"/>
        <v>174363.82631653483</v>
      </c>
      <c r="BS181" s="527">
        <f t="shared" si="256"/>
        <v>174363.82631653483</v>
      </c>
      <c r="BT181" s="527">
        <f t="shared" si="256"/>
        <v>202431.01999747774</v>
      </c>
      <c r="BU181" s="527">
        <f t="shared" si="256"/>
        <v>202431.01999747774</v>
      </c>
      <c r="BV181" s="527">
        <f t="shared" si="256"/>
        <v>202431.01999747774</v>
      </c>
      <c r="BW181" s="527">
        <f t="shared" si="256"/>
        <v>202431.01999747774</v>
      </c>
      <c r="BX181" s="527">
        <f t="shared" si="256"/>
        <v>202431.01999747774</v>
      </c>
      <c r="BY181" s="527">
        <f t="shared" si="256"/>
        <v>202431.01999747774</v>
      </c>
    </row>
    <row r="182" spans="1:77" x14ac:dyDescent="0.3">
      <c r="A182" s="551"/>
      <c r="B182" s="548"/>
      <c r="C182" s="525"/>
      <c r="D182" s="525"/>
      <c r="E182" s="611" t="str">
        <f>"Outlet EBITDA: "&amp;E$160</f>
        <v>Outlet EBITDA: Uninvested Tranche</v>
      </c>
      <c r="F182" s="525"/>
      <c r="G182" s="525"/>
      <c r="H182" s="525"/>
      <c r="I182" s="525"/>
      <c r="J182" s="525"/>
      <c r="K182" s="525"/>
      <c r="L182" s="525"/>
      <c r="M182" s="525"/>
      <c r="N182" s="525"/>
      <c r="O182" s="525"/>
      <c r="P182" s="565"/>
      <c r="Q182" s="525"/>
      <c r="R182" s="527">
        <f>(R495*R$615*$R160)</f>
        <v>336892.01961200347</v>
      </c>
      <c r="S182" s="527">
        <f t="shared" ref="S182:AX182" si="257">(S495*S$615*$R160)+IF(S503=0,0,INDEX($S175:$W175,MATCH(S503,$S$169:$W$169,0))/12)</f>
        <v>336892.01961200347</v>
      </c>
      <c r="T182" s="527">
        <f t="shared" si="257"/>
        <v>336892.01961200347</v>
      </c>
      <c r="U182" s="527">
        <f t="shared" si="257"/>
        <v>336892.01961200347</v>
      </c>
      <c r="V182" s="527">
        <f t="shared" si="257"/>
        <v>336892.01961200347</v>
      </c>
      <c r="W182" s="527">
        <f t="shared" si="257"/>
        <v>336892.01961200347</v>
      </c>
      <c r="X182" s="527">
        <f t="shared" si="257"/>
        <v>336892.01961200347</v>
      </c>
      <c r="Y182" s="527">
        <f t="shared" si="257"/>
        <v>336892.01961200347</v>
      </c>
      <c r="Z182" s="527">
        <f t="shared" si="257"/>
        <v>336892.01961200347</v>
      </c>
      <c r="AA182" s="527">
        <f t="shared" si="257"/>
        <v>336892.01961200347</v>
      </c>
      <c r="AB182" s="527">
        <f t="shared" si="257"/>
        <v>336892.01961200347</v>
      </c>
      <c r="AC182" s="527">
        <f t="shared" si="257"/>
        <v>336892.01961200347</v>
      </c>
      <c r="AD182" s="527">
        <f t="shared" si="257"/>
        <v>350423.48263229133</v>
      </c>
      <c r="AE182" s="527">
        <f t="shared" si="257"/>
        <v>350423.48263229133</v>
      </c>
      <c r="AF182" s="527">
        <f t="shared" si="257"/>
        <v>350423.48263229133</v>
      </c>
      <c r="AG182" s="527">
        <f t="shared" si="257"/>
        <v>350423.48263229133</v>
      </c>
      <c r="AH182" s="527">
        <f t="shared" si="257"/>
        <v>350423.48263229133</v>
      </c>
      <c r="AI182" s="527">
        <f t="shared" si="257"/>
        <v>350423.48263229133</v>
      </c>
      <c r="AJ182" s="527">
        <f t="shared" si="257"/>
        <v>350423.48263229133</v>
      </c>
      <c r="AK182" s="527">
        <f t="shared" si="257"/>
        <v>350423.48263229133</v>
      </c>
      <c r="AL182" s="527">
        <f t="shared" si="257"/>
        <v>350423.48263229133</v>
      </c>
      <c r="AM182" s="527">
        <f t="shared" si="257"/>
        <v>350423.48263229133</v>
      </c>
      <c r="AN182" s="527">
        <f t="shared" si="257"/>
        <v>350423.48263229133</v>
      </c>
      <c r="AO182" s="527">
        <f t="shared" si="257"/>
        <v>350423.48263229133</v>
      </c>
      <c r="AP182" s="527">
        <f t="shared" si="257"/>
        <v>363843.02315267234</v>
      </c>
      <c r="AQ182" s="527">
        <f t="shared" si="257"/>
        <v>363843.02315267234</v>
      </c>
      <c r="AR182" s="527">
        <f t="shared" si="257"/>
        <v>363843.02315267234</v>
      </c>
      <c r="AS182" s="527">
        <f t="shared" si="257"/>
        <v>363843.02315267234</v>
      </c>
      <c r="AT182" s="527">
        <f t="shared" si="257"/>
        <v>363843.02315267234</v>
      </c>
      <c r="AU182" s="527">
        <f t="shared" si="257"/>
        <v>363843.02315267234</v>
      </c>
      <c r="AV182" s="527">
        <f t="shared" si="257"/>
        <v>363843.02315267234</v>
      </c>
      <c r="AW182" s="527">
        <f t="shared" si="257"/>
        <v>363843.02315267234</v>
      </c>
      <c r="AX182" s="527">
        <f t="shared" si="257"/>
        <v>363843.02315267234</v>
      </c>
      <c r="AY182" s="527">
        <f t="shared" ref="AY182:BY182" si="258">(AY495*AY$615*$R160)+IF(AY503=0,0,INDEX($S175:$W175,MATCH(AY503,$S$169:$W$169,0))/12)</f>
        <v>363843.02315267234</v>
      </c>
      <c r="AZ182" s="527">
        <f t="shared" si="258"/>
        <v>363843.02315267234</v>
      </c>
      <c r="BA182" s="527">
        <f t="shared" si="258"/>
        <v>363843.02315267234</v>
      </c>
      <c r="BB182" s="527">
        <f t="shared" si="258"/>
        <v>376728.92007116025</v>
      </c>
      <c r="BC182" s="527">
        <f t="shared" si="258"/>
        <v>376728.92007116025</v>
      </c>
      <c r="BD182" s="527">
        <f t="shared" si="258"/>
        <v>376728.92007116025</v>
      </c>
      <c r="BE182" s="527">
        <f t="shared" si="258"/>
        <v>376728.92007116025</v>
      </c>
      <c r="BF182" s="527">
        <f t="shared" si="258"/>
        <v>376728.92007116025</v>
      </c>
      <c r="BG182" s="527">
        <f t="shared" si="258"/>
        <v>376728.92007116025</v>
      </c>
      <c r="BH182" s="527">
        <f t="shared" si="258"/>
        <v>376728.92007116025</v>
      </c>
      <c r="BI182" s="527">
        <f t="shared" si="258"/>
        <v>376728.92007116025</v>
      </c>
      <c r="BJ182" s="527">
        <f t="shared" si="258"/>
        <v>376728.92007116025</v>
      </c>
      <c r="BK182" s="527">
        <f t="shared" si="258"/>
        <v>376728.92007116025</v>
      </c>
      <c r="BL182" s="527">
        <f t="shared" si="258"/>
        <v>376728.92007116025</v>
      </c>
      <c r="BM182" s="527">
        <f t="shared" si="258"/>
        <v>376728.92007116025</v>
      </c>
      <c r="BN182" s="527">
        <f t="shared" si="258"/>
        <v>389754.43529578368</v>
      </c>
      <c r="BO182" s="527">
        <f t="shared" si="258"/>
        <v>389754.43529578368</v>
      </c>
      <c r="BP182" s="527">
        <f t="shared" si="258"/>
        <v>389754.43529578368</v>
      </c>
      <c r="BQ182" s="527">
        <f t="shared" si="258"/>
        <v>389754.43529578368</v>
      </c>
      <c r="BR182" s="527">
        <f t="shared" si="258"/>
        <v>389754.43529578368</v>
      </c>
      <c r="BS182" s="527">
        <f t="shared" si="258"/>
        <v>389754.43529578368</v>
      </c>
      <c r="BT182" s="527">
        <f t="shared" si="258"/>
        <v>389754.43529578368</v>
      </c>
      <c r="BU182" s="527">
        <f t="shared" si="258"/>
        <v>389754.43529578368</v>
      </c>
      <c r="BV182" s="527">
        <f t="shared" si="258"/>
        <v>389754.43529578368</v>
      </c>
      <c r="BW182" s="527">
        <f t="shared" si="258"/>
        <v>389754.43529578368</v>
      </c>
      <c r="BX182" s="527">
        <f t="shared" si="258"/>
        <v>389754.43529578368</v>
      </c>
      <c r="BY182" s="527">
        <f t="shared" si="258"/>
        <v>389754.43529578368</v>
      </c>
    </row>
    <row r="183" spans="1:77" x14ac:dyDescent="0.3">
      <c r="A183" s="551"/>
      <c r="B183" s="548"/>
      <c r="C183" s="525"/>
      <c r="D183" s="525"/>
      <c r="E183" s="572" t="s">
        <v>36</v>
      </c>
      <c r="F183" s="572"/>
      <c r="G183" s="572"/>
      <c r="H183" s="572"/>
      <c r="I183" s="572"/>
      <c r="J183" s="572"/>
      <c r="K183" s="572"/>
      <c r="L183" s="572"/>
      <c r="M183" s="572"/>
      <c r="N183" s="572"/>
      <c r="O183" s="572"/>
      <c r="P183" s="612"/>
      <c r="Q183" s="572"/>
      <c r="R183" s="532">
        <f t="shared" ref="R183:AW183" si="259">SUM(R177:R182)</f>
        <v>1090466.2740072743</v>
      </c>
      <c r="S183" s="532">
        <f t="shared" si="259"/>
        <v>1090466.2740072743</v>
      </c>
      <c r="T183" s="532">
        <f t="shared" si="259"/>
        <v>1090466.2740072743</v>
      </c>
      <c r="U183" s="532">
        <f t="shared" si="259"/>
        <v>1090466.2740072743</v>
      </c>
      <c r="V183" s="532">
        <f t="shared" si="259"/>
        <v>1090466.2740072743</v>
      </c>
      <c r="W183" s="532">
        <f t="shared" si="259"/>
        <v>1090466.2740072743</v>
      </c>
      <c r="X183" s="532">
        <f t="shared" si="259"/>
        <v>1116226.5983179212</v>
      </c>
      <c r="Y183" s="532">
        <f t="shared" si="259"/>
        <v>1116226.5983179212</v>
      </c>
      <c r="Z183" s="532">
        <f t="shared" si="259"/>
        <v>1116226.5983179212</v>
      </c>
      <c r="AA183" s="532">
        <f t="shared" si="259"/>
        <v>1116226.5983179212</v>
      </c>
      <c r="AB183" s="532">
        <f t="shared" si="259"/>
        <v>1116226.5983179212</v>
      </c>
      <c r="AC183" s="532">
        <f t="shared" si="259"/>
        <v>1116226.5983179212</v>
      </c>
      <c r="AD183" s="532">
        <f t="shared" si="259"/>
        <v>1153972.2583218822</v>
      </c>
      <c r="AE183" s="532">
        <f t="shared" si="259"/>
        <v>1153972.2583218822</v>
      </c>
      <c r="AF183" s="532">
        <f t="shared" si="259"/>
        <v>1153972.2583218822</v>
      </c>
      <c r="AG183" s="532">
        <f t="shared" si="259"/>
        <v>1153972.2583218822</v>
      </c>
      <c r="AH183" s="532">
        <f t="shared" si="259"/>
        <v>1153972.2583218822</v>
      </c>
      <c r="AI183" s="532">
        <f t="shared" si="259"/>
        <v>1153972.2583218822</v>
      </c>
      <c r="AJ183" s="532">
        <f t="shared" si="259"/>
        <v>1187411.1202944687</v>
      </c>
      <c r="AK183" s="532">
        <f t="shared" si="259"/>
        <v>1187411.1202944687</v>
      </c>
      <c r="AL183" s="532">
        <f t="shared" si="259"/>
        <v>1187411.1202944687</v>
      </c>
      <c r="AM183" s="532">
        <f t="shared" si="259"/>
        <v>1187411.1202944687</v>
      </c>
      <c r="AN183" s="532">
        <f t="shared" si="259"/>
        <v>1187411.1202944687</v>
      </c>
      <c r="AO183" s="532">
        <f t="shared" si="259"/>
        <v>1187411.1202944687</v>
      </c>
      <c r="AP183" s="532">
        <f t="shared" si="259"/>
        <v>1218841.0967764137</v>
      </c>
      <c r="AQ183" s="532">
        <f t="shared" si="259"/>
        <v>1218841.0967764137</v>
      </c>
      <c r="AR183" s="532">
        <f t="shared" si="259"/>
        <v>1218841.0967764137</v>
      </c>
      <c r="AS183" s="532">
        <f t="shared" si="259"/>
        <v>1218841.0967764137</v>
      </c>
      <c r="AT183" s="532">
        <f t="shared" si="259"/>
        <v>1218841.0967764137</v>
      </c>
      <c r="AU183" s="532">
        <f t="shared" si="259"/>
        <v>1218841.0967764137</v>
      </c>
      <c r="AV183" s="532">
        <f t="shared" si="259"/>
        <v>1260480.593531216</v>
      </c>
      <c r="AW183" s="532">
        <f t="shared" si="259"/>
        <v>1260480.593531216</v>
      </c>
      <c r="AX183" s="532">
        <f t="shared" ref="AX183:BY183" si="260">SUM(AX177:AX182)</f>
        <v>1260480.593531216</v>
      </c>
      <c r="AY183" s="532">
        <f t="shared" si="260"/>
        <v>1260480.593531216</v>
      </c>
      <c r="AZ183" s="532">
        <f t="shared" si="260"/>
        <v>1260480.593531216</v>
      </c>
      <c r="BA183" s="532">
        <f t="shared" si="260"/>
        <v>1260480.593531216</v>
      </c>
      <c r="BB183" s="532">
        <f t="shared" si="260"/>
        <v>1284895.9771662457</v>
      </c>
      <c r="BC183" s="532">
        <f t="shared" si="260"/>
        <v>1284895.9771662457</v>
      </c>
      <c r="BD183" s="532">
        <f t="shared" si="260"/>
        <v>1284895.9771662457</v>
      </c>
      <c r="BE183" s="532">
        <f t="shared" si="260"/>
        <v>1284895.9771662457</v>
      </c>
      <c r="BF183" s="532">
        <f t="shared" si="260"/>
        <v>1284895.9771662457</v>
      </c>
      <c r="BG183" s="532">
        <f t="shared" si="260"/>
        <v>1284895.9771662457</v>
      </c>
      <c r="BH183" s="532">
        <f t="shared" si="260"/>
        <v>1335269.6500657063</v>
      </c>
      <c r="BI183" s="532">
        <f t="shared" si="260"/>
        <v>1335269.6500657063</v>
      </c>
      <c r="BJ183" s="532">
        <f t="shared" si="260"/>
        <v>1335269.6500657063</v>
      </c>
      <c r="BK183" s="532">
        <f t="shared" si="260"/>
        <v>1335269.6500657063</v>
      </c>
      <c r="BL183" s="532">
        <f t="shared" si="260"/>
        <v>1335269.6500657063</v>
      </c>
      <c r="BM183" s="532">
        <f t="shared" si="260"/>
        <v>1335269.6500657063</v>
      </c>
      <c r="BN183" s="532">
        <f t="shared" si="260"/>
        <v>1354122.3694697667</v>
      </c>
      <c r="BO183" s="532">
        <f t="shared" si="260"/>
        <v>1354122.3694697667</v>
      </c>
      <c r="BP183" s="532">
        <f t="shared" si="260"/>
        <v>1354122.3694697667</v>
      </c>
      <c r="BQ183" s="532">
        <f t="shared" si="260"/>
        <v>1354122.3694697667</v>
      </c>
      <c r="BR183" s="532">
        <f t="shared" si="260"/>
        <v>1354122.3694697667</v>
      </c>
      <c r="BS183" s="532">
        <f t="shared" si="260"/>
        <v>1354122.3694697667</v>
      </c>
      <c r="BT183" s="532">
        <f t="shared" si="260"/>
        <v>1413789.7274650075</v>
      </c>
      <c r="BU183" s="532">
        <f t="shared" si="260"/>
        <v>1413789.7274650075</v>
      </c>
      <c r="BV183" s="532">
        <f t="shared" si="260"/>
        <v>1413789.7274650075</v>
      </c>
      <c r="BW183" s="532">
        <f t="shared" si="260"/>
        <v>1413789.7274650075</v>
      </c>
      <c r="BX183" s="532">
        <f t="shared" si="260"/>
        <v>1413789.7274650075</v>
      </c>
      <c r="BY183" s="532">
        <f t="shared" si="260"/>
        <v>1413789.7274650075</v>
      </c>
    </row>
    <row r="184" spans="1:77" x14ac:dyDescent="0.3">
      <c r="A184" s="551"/>
      <c r="B184" s="548"/>
      <c r="C184" s="525"/>
      <c r="D184" s="525"/>
      <c r="E184" s="525"/>
      <c r="F184" s="525"/>
      <c r="G184" s="525"/>
      <c r="H184" s="525"/>
      <c r="I184" s="525"/>
      <c r="J184" s="525"/>
      <c r="K184" s="525"/>
      <c r="L184" s="525"/>
      <c r="M184" s="525"/>
      <c r="N184" s="525"/>
      <c r="O184" s="525"/>
      <c r="P184" s="565"/>
      <c r="Q184" s="525"/>
      <c r="R184" s="525"/>
      <c r="S184" s="525"/>
      <c r="T184" s="525"/>
      <c r="U184" s="525"/>
      <c r="V184" s="525"/>
      <c r="W184" s="525"/>
      <c r="X184" s="525"/>
      <c r="Y184" s="525"/>
      <c r="Z184" s="525"/>
      <c r="AA184" s="525"/>
      <c r="AB184" s="525"/>
      <c r="AC184" s="525"/>
      <c r="AD184" s="525"/>
      <c r="AE184" s="525"/>
      <c r="AF184" s="525"/>
      <c r="AG184" s="525"/>
      <c r="AH184" s="525"/>
      <c r="AI184" s="529"/>
      <c r="AJ184" s="525"/>
      <c r="AK184" s="525"/>
      <c r="AL184" s="525"/>
      <c r="AM184" s="525"/>
      <c r="AN184" s="525"/>
      <c r="AO184" s="525"/>
      <c r="AP184" s="525"/>
      <c r="AQ184" s="525"/>
      <c r="AR184" s="525"/>
      <c r="AS184" s="525"/>
      <c r="AT184" s="525"/>
      <c r="AU184" s="525"/>
      <c r="AV184" s="525"/>
      <c r="AW184" s="525"/>
      <c r="AX184" s="525"/>
      <c r="AY184" s="525"/>
      <c r="AZ184" s="525"/>
      <c r="BA184" s="525"/>
      <c r="BB184" s="525"/>
      <c r="BC184" s="525"/>
      <c r="BD184" s="525"/>
      <c r="BE184" s="525"/>
      <c r="BF184" s="525"/>
      <c r="BG184" s="525"/>
      <c r="BH184" s="525"/>
      <c r="BI184" s="525"/>
      <c r="BJ184" s="525"/>
      <c r="BK184" s="525"/>
      <c r="BL184" s="525"/>
      <c r="BM184" s="525"/>
      <c r="BN184" s="525"/>
      <c r="BO184" s="525"/>
      <c r="BP184" s="525"/>
      <c r="BQ184" s="525"/>
      <c r="BR184" s="525"/>
      <c r="BS184" s="525"/>
      <c r="BT184" s="525"/>
      <c r="BU184" s="525"/>
      <c r="BV184" s="525"/>
      <c r="BW184" s="525"/>
      <c r="BX184" s="525"/>
      <c r="BY184" s="525"/>
    </row>
    <row r="185" spans="1:77" x14ac:dyDescent="0.3">
      <c r="A185" s="551"/>
      <c r="B185" s="548"/>
      <c r="C185" s="525"/>
      <c r="D185" s="525"/>
      <c r="E185" s="613" t="str">
        <f>"EBITDA uplift due to capex: "&amp;E$155</f>
        <v>EBITDA uplift due to capex: FY27 Tranche</v>
      </c>
      <c r="F185" s="525"/>
      <c r="G185" s="525"/>
      <c r="H185" s="525"/>
      <c r="I185" s="525"/>
      <c r="J185" s="525"/>
      <c r="K185" s="525"/>
      <c r="L185" s="525"/>
      <c r="M185" s="525"/>
      <c r="N185" s="525"/>
      <c r="O185" s="525"/>
      <c r="P185" s="565"/>
      <c r="Q185" s="525"/>
      <c r="R185" s="527">
        <f t="shared" ref="R185:AW185" si="261">(R177*R482)-(R$615*$R155*R482)</f>
        <v>0</v>
      </c>
      <c r="S185" s="527">
        <f t="shared" si="261"/>
        <v>0</v>
      </c>
      <c r="T185" s="527">
        <f t="shared" si="261"/>
        <v>0</v>
      </c>
      <c r="U185" s="527">
        <f t="shared" si="261"/>
        <v>0</v>
      </c>
      <c r="V185" s="527">
        <f t="shared" si="261"/>
        <v>0</v>
      </c>
      <c r="W185" s="527">
        <f t="shared" si="261"/>
        <v>0</v>
      </c>
      <c r="X185" s="527">
        <f t="shared" si="261"/>
        <v>25760.324310646916</v>
      </c>
      <c r="Y185" s="527">
        <f t="shared" si="261"/>
        <v>25760.324310646916</v>
      </c>
      <c r="Z185" s="527">
        <f t="shared" si="261"/>
        <v>25760.324310646916</v>
      </c>
      <c r="AA185" s="527">
        <f t="shared" si="261"/>
        <v>25760.324310646916</v>
      </c>
      <c r="AB185" s="527">
        <f t="shared" si="261"/>
        <v>25760.324310646916</v>
      </c>
      <c r="AC185" s="527">
        <f t="shared" si="261"/>
        <v>25760.324310646916</v>
      </c>
      <c r="AD185" s="527">
        <f t="shared" si="261"/>
        <v>19706.775064728659</v>
      </c>
      <c r="AE185" s="527">
        <f t="shared" si="261"/>
        <v>19706.775064728659</v>
      </c>
      <c r="AF185" s="527">
        <f t="shared" si="261"/>
        <v>19706.775064728659</v>
      </c>
      <c r="AG185" s="527">
        <f t="shared" si="261"/>
        <v>19706.775064728659</v>
      </c>
      <c r="AH185" s="527">
        <f t="shared" si="261"/>
        <v>19706.775064728659</v>
      </c>
      <c r="AI185" s="527">
        <f t="shared" si="261"/>
        <v>19706.775064728659</v>
      </c>
      <c r="AJ185" s="527">
        <f t="shared" si="261"/>
        <v>26765.78207231671</v>
      </c>
      <c r="AK185" s="527">
        <f t="shared" si="261"/>
        <v>26765.78207231671</v>
      </c>
      <c r="AL185" s="527">
        <f t="shared" si="261"/>
        <v>26765.78207231671</v>
      </c>
      <c r="AM185" s="527">
        <f t="shared" si="261"/>
        <v>26765.78207231671</v>
      </c>
      <c r="AN185" s="527">
        <f t="shared" si="261"/>
        <v>26765.78207231671</v>
      </c>
      <c r="AO185" s="527">
        <f t="shared" si="261"/>
        <v>26765.78207231671</v>
      </c>
      <c r="AP185" s="527">
        <f t="shared" si="261"/>
        <v>20762.303418462048</v>
      </c>
      <c r="AQ185" s="527">
        <f t="shared" si="261"/>
        <v>20762.303418462048</v>
      </c>
      <c r="AR185" s="527">
        <f t="shared" si="261"/>
        <v>20762.303418462048</v>
      </c>
      <c r="AS185" s="527">
        <f t="shared" si="261"/>
        <v>20762.303418462048</v>
      </c>
      <c r="AT185" s="527">
        <f t="shared" si="261"/>
        <v>20762.303418462048</v>
      </c>
      <c r="AU185" s="527">
        <f t="shared" si="261"/>
        <v>20762.303418462048</v>
      </c>
      <c r="AV185" s="527">
        <f t="shared" si="261"/>
        <v>28103.670706353616</v>
      </c>
      <c r="AW185" s="527">
        <f t="shared" si="261"/>
        <v>28103.670706353616</v>
      </c>
      <c r="AX185" s="527">
        <f t="shared" ref="AX185:BY185" si="262">(AX177*AX482)-(AX$615*$R155*AX482)</f>
        <v>28103.670706353616</v>
      </c>
      <c r="AY185" s="527">
        <f t="shared" si="262"/>
        <v>28103.670706353616</v>
      </c>
      <c r="AZ185" s="527">
        <f t="shared" si="262"/>
        <v>28103.670706353616</v>
      </c>
      <c r="BA185" s="527">
        <f t="shared" si="262"/>
        <v>28103.670706353616</v>
      </c>
      <c r="BB185" s="527">
        <f t="shared" si="262"/>
        <v>22338.92734808274</v>
      </c>
      <c r="BC185" s="527">
        <f t="shared" si="262"/>
        <v>22338.92734808274</v>
      </c>
      <c r="BD185" s="527">
        <f t="shared" si="262"/>
        <v>22338.92734808274</v>
      </c>
      <c r="BE185" s="527">
        <f t="shared" si="262"/>
        <v>22338.92734808274</v>
      </c>
      <c r="BF185" s="527">
        <f t="shared" si="262"/>
        <v>22338.92734808274</v>
      </c>
      <c r="BG185" s="527">
        <f t="shared" si="262"/>
        <v>22338.92734808274</v>
      </c>
      <c r="BH185" s="527">
        <f t="shared" si="262"/>
        <v>29973.949327489972</v>
      </c>
      <c r="BI185" s="527">
        <f t="shared" si="262"/>
        <v>29973.949327489972</v>
      </c>
      <c r="BJ185" s="527">
        <f t="shared" si="262"/>
        <v>29973.949327489972</v>
      </c>
      <c r="BK185" s="527">
        <f t="shared" si="262"/>
        <v>29973.949327489972</v>
      </c>
      <c r="BL185" s="527">
        <f t="shared" si="262"/>
        <v>29973.949327489972</v>
      </c>
      <c r="BM185" s="527">
        <f t="shared" si="262"/>
        <v>29973.949327489972</v>
      </c>
      <c r="BN185" s="527">
        <f t="shared" si="262"/>
        <v>24146.745148053131</v>
      </c>
      <c r="BO185" s="527">
        <f t="shared" si="262"/>
        <v>24146.745148053131</v>
      </c>
      <c r="BP185" s="527">
        <f t="shared" si="262"/>
        <v>24146.745148053131</v>
      </c>
      <c r="BQ185" s="527">
        <f t="shared" si="262"/>
        <v>24146.745148053131</v>
      </c>
      <c r="BR185" s="527">
        <f t="shared" si="262"/>
        <v>24146.745148053131</v>
      </c>
      <c r="BS185" s="527">
        <f t="shared" si="262"/>
        <v>24146.745148053131</v>
      </c>
      <c r="BT185" s="527">
        <f t="shared" si="262"/>
        <v>32087.168006636639</v>
      </c>
      <c r="BU185" s="527">
        <f t="shared" si="262"/>
        <v>32087.168006636639</v>
      </c>
      <c r="BV185" s="527">
        <f t="shared" si="262"/>
        <v>32087.168006636639</v>
      </c>
      <c r="BW185" s="527">
        <f t="shared" si="262"/>
        <v>32087.168006636639</v>
      </c>
      <c r="BX185" s="527">
        <f t="shared" si="262"/>
        <v>32087.168006636639</v>
      </c>
      <c r="BY185" s="527">
        <f t="shared" si="262"/>
        <v>32087.168006636639</v>
      </c>
    </row>
    <row r="186" spans="1:77" x14ac:dyDescent="0.3">
      <c r="A186" s="551"/>
      <c r="B186" s="548"/>
      <c r="C186" s="525"/>
      <c r="D186" s="525"/>
      <c r="E186" s="613" t="str">
        <f>"EBITDA uplift due to capex: "&amp;E$156</f>
        <v>EBITDA uplift due to capex: FY28 Tranche</v>
      </c>
      <c r="F186" s="525"/>
      <c r="G186" s="525"/>
      <c r="H186" s="525"/>
      <c r="I186" s="525"/>
      <c r="J186" s="525"/>
      <c r="K186" s="525"/>
      <c r="L186" s="525"/>
      <c r="M186" s="525"/>
      <c r="N186" s="525"/>
      <c r="O186" s="525"/>
      <c r="P186" s="565"/>
      <c r="Q186" s="525"/>
      <c r="R186" s="527">
        <f t="shared" ref="R186:AW186" si="263">(R178*R483)-(R$615*$R156*R483)</f>
        <v>0</v>
      </c>
      <c r="S186" s="527">
        <f t="shared" si="263"/>
        <v>0</v>
      </c>
      <c r="T186" s="527">
        <f t="shared" si="263"/>
        <v>0</v>
      </c>
      <c r="U186" s="527">
        <f t="shared" si="263"/>
        <v>0</v>
      </c>
      <c r="V186" s="527">
        <f t="shared" si="263"/>
        <v>0</v>
      </c>
      <c r="W186" s="527">
        <f t="shared" si="263"/>
        <v>0</v>
      </c>
      <c r="X186" s="527">
        <f t="shared" si="263"/>
        <v>0</v>
      </c>
      <c r="Y186" s="527">
        <f t="shared" si="263"/>
        <v>0</v>
      </c>
      <c r="Z186" s="527">
        <f t="shared" si="263"/>
        <v>0</v>
      </c>
      <c r="AA186" s="527">
        <f t="shared" si="263"/>
        <v>0</v>
      </c>
      <c r="AB186" s="527">
        <f t="shared" si="263"/>
        <v>0</v>
      </c>
      <c r="AC186" s="527">
        <f t="shared" si="263"/>
        <v>0</v>
      </c>
      <c r="AD186" s="527">
        <f t="shared" si="263"/>
        <v>0</v>
      </c>
      <c r="AE186" s="527">
        <f t="shared" si="263"/>
        <v>0</v>
      </c>
      <c r="AF186" s="527">
        <f t="shared" si="263"/>
        <v>0</v>
      </c>
      <c r="AG186" s="527">
        <f t="shared" si="263"/>
        <v>0</v>
      </c>
      <c r="AH186" s="527">
        <f t="shared" si="263"/>
        <v>0</v>
      </c>
      <c r="AI186" s="527">
        <f t="shared" si="263"/>
        <v>0</v>
      </c>
      <c r="AJ186" s="527">
        <f t="shared" si="263"/>
        <v>26379.854964998405</v>
      </c>
      <c r="AK186" s="527">
        <f t="shared" si="263"/>
        <v>26379.854964998405</v>
      </c>
      <c r="AL186" s="527">
        <f t="shared" si="263"/>
        <v>26379.854964998405</v>
      </c>
      <c r="AM186" s="527">
        <f t="shared" si="263"/>
        <v>26379.854964998405</v>
      </c>
      <c r="AN186" s="527">
        <f t="shared" si="263"/>
        <v>26379.854964998405</v>
      </c>
      <c r="AO186" s="527">
        <f t="shared" si="263"/>
        <v>26379.854964998405</v>
      </c>
      <c r="AP186" s="527">
        <f t="shared" si="263"/>
        <v>20376.376311143744</v>
      </c>
      <c r="AQ186" s="527">
        <f t="shared" si="263"/>
        <v>20376.376311143744</v>
      </c>
      <c r="AR186" s="527">
        <f t="shared" si="263"/>
        <v>20376.376311143744</v>
      </c>
      <c r="AS186" s="527">
        <f t="shared" si="263"/>
        <v>20376.376311143744</v>
      </c>
      <c r="AT186" s="527">
        <f t="shared" si="263"/>
        <v>20376.376311143744</v>
      </c>
      <c r="AU186" s="527">
        <f t="shared" si="263"/>
        <v>20376.376311143744</v>
      </c>
      <c r="AV186" s="527">
        <f t="shared" si="263"/>
        <v>27702.30651474258</v>
      </c>
      <c r="AW186" s="527">
        <f t="shared" si="263"/>
        <v>27702.30651474258</v>
      </c>
      <c r="AX186" s="527">
        <f t="shared" ref="AX186:BY186" si="264">(AX178*AX483)-(AX$615*$R156*AX483)</f>
        <v>27702.30651474258</v>
      </c>
      <c r="AY186" s="527">
        <f t="shared" si="264"/>
        <v>27702.30651474258</v>
      </c>
      <c r="AZ186" s="527">
        <f t="shared" si="264"/>
        <v>27702.30651474258</v>
      </c>
      <c r="BA186" s="527">
        <f t="shared" si="264"/>
        <v>27702.30651474258</v>
      </c>
      <c r="BB186" s="527">
        <f t="shared" si="264"/>
        <v>21937.563156471704</v>
      </c>
      <c r="BC186" s="527">
        <f t="shared" si="264"/>
        <v>21937.563156471704</v>
      </c>
      <c r="BD186" s="527">
        <f t="shared" si="264"/>
        <v>21937.563156471704</v>
      </c>
      <c r="BE186" s="527">
        <f t="shared" si="264"/>
        <v>21937.563156471704</v>
      </c>
      <c r="BF186" s="527">
        <f t="shared" si="264"/>
        <v>21937.563156471704</v>
      </c>
      <c r="BG186" s="527">
        <f t="shared" si="264"/>
        <v>21937.563156471704</v>
      </c>
      <c r="BH186" s="527">
        <f t="shared" si="264"/>
        <v>29556.530568214483</v>
      </c>
      <c r="BI186" s="527">
        <f t="shared" si="264"/>
        <v>29556.530568214483</v>
      </c>
      <c r="BJ186" s="527">
        <f t="shared" si="264"/>
        <v>29556.530568214483</v>
      </c>
      <c r="BK186" s="527">
        <f t="shared" si="264"/>
        <v>29556.530568214483</v>
      </c>
      <c r="BL186" s="527">
        <f t="shared" si="264"/>
        <v>29556.530568214483</v>
      </c>
      <c r="BM186" s="527">
        <f t="shared" si="264"/>
        <v>29556.530568214483</v>
      </c>
      <c r="BN186" s="527">
        <f t="shared" si="264"/>
        <v>23729.326388777641</v>
      </c>
      <c r="BO186" s="527">
        <f t="shared" si="264"/>
        <v>23729.326388777641</v>
      </c>
      <c r="BP186" s="527">
        <f t="shared" si="264"/>
        <v>23729.326388777641</v>
      </c>
      <c r="BQ186" s="527">
        <f t="shared" si="264"/>
        <v>23729.326388777641</v>
      </c>
      <c r="BR186" s="527">
        <f t="shared" si="264"/>
        <v>23729.326388777641</v>
      </c>
      <c r="BS186" s="527">
        <f t="shared" si="264"/>
        <v>23729.326388777641</v>
      </c>
      <c r="BT186" s="527">
        <f t="shared" si="264"/>
        <v>31653.052496990131</v>
      </c>
      <c r="BU186" s="527">
        <f t="shared" si="264"/>
        <v>31653.052496990131</v>
      </c>
      <c r="BV186" s="527">
        <f t="shared" si="264"/>
        <v>31653.052496990131</v>
      </c>
      <c r="BW186" s="527">
        <f t="shared" si="264"/>
        <v>31653.052496990131</v>
      </c>
      <c r="BX186" s="527">
        <f t="shared" si="264"/>
        <v>31653.052496990131</v>
      </c>
      <c r="BY186" s="527">
        <f t="shared" si="264"/>
        <v>31653.052496990131</v>
      </c>
    </row>
    <row r="187" spans="1:77" x14ac:dyDescent="0.3">
      <c r="A187" s="551"/>
      <c r="B187" s="548"/>
      <c r="C187" s="525"/>
      <c r="D187" s="525"/>
      <c r="E187" s="613" t="str">
        <f>"EBITDA uplift due to capex: "&amp;E$157</f>
        <v>EBITDA uplift due to capex: FY29 Tranche</v>
      </c>
      <c r="F187" s="525"/>
      <c r="G187" s="525"/>
      <c r="H187" s="525"/>
      <c r="I187" s="525"/>
      <c r="J187" s="525"/>
      <c r="K187" s="525"/>
      <c r="L187" s="525"/>
      <c r="M187" s="525"/>
      <c r="N187" s="525"/>
      <c r="O187" s="525"/>
      <c r="P187" s="565"/>
      <c r="Q187" s="525"/>
      <c r="R187" s="527">
        <f t="shared" ref="R187:AW187" si="265">(R179*R484)-(R$615*$R157*R484)</f>
        <v>0</v>
      </c>
      <c r="S187" s="527">
        <f t="shared" si="265"/>
        <v>0</v>
      </c>
      <c r="T187" s="527">
        <f t="shared" si="265"/>
        <v>0</v>
      </c>
      <c r="U187" s="527">
        <f t="shared" si="265"/>
        <v>0</v>
      </c>
      <c r="V187" s="527">
        <f t="shared" si="265"/>
        <v>0</v>
      </c>
      <c r="W187" s="527">
        <f t="shared" si="265"/>
        <v>0</v>
      </c>
      <c r="X187" s="527">
        <f t="shared" si="265"/>
        <v>0</v>
      </c>
      <c r="Y187" s="527">
        <f t="shared" si="265"/>
        <v>0</v>
      </c>
      <c r="Z187" s="527">
        <f t="shared" si="265"/>
        <v>0</v>
      </c>
      <c r="AA187" s="527">
        <f t="shared" si="265"/>
        <v>0</v>
      </c>
      <c r="AB187" s="527">
        <f t="shared" si="265"/>
        <v>0</v>
      </c>
      <c r="AC187" s="527">
        <f t="shared" si="265"/>
        <v>0</v>
      </c>
      <c r="AD187" s="527">
        <f t="shared" si="265"/>
        <v>0</v>
      </c>
      <c r="AE187" s="527">
        <f t="shared" si="265"/>
        <v>0</v>
      </c>
      <c r="AF187" s="527">
        <f t="shared" si="265"/>
        <v>0</v>
      </c>
      <c r="AG187" s="527">
        <f t="shared" si="265"/>
        <v>0</v>
      </c>
      <c r="AH187" s="527">
        <f t="shared" si="265"/>
        <v>0</v>
      </c>
      <c r="AI187" s="527">
        <f t="shared" si="265"/>
        <v>0</v>
      </c>
      <c r="AJ187" s="527">
        <f t="shared" si="265"/>
        <v>0</v>
      </c>
      <c r="AK187" s="527">
        <f t="shared" si="265"/>
        <v>0</v>
      </c>
      <c r="AL187" s="527">
        <f t="shared" si="265"/>
        <v>0</v>
      </c>
      <c r="AM187" s="527">
        <f t="shared" si="265"/>
        <v>0</v>
      </c>
      <c r="AN187" s="527">
        <f t="shared" si="265"/>
        <v>0</v>
      </c>
      <c r="AO187" s="527">
        <f t="shared" si="265"/>
        <v>0</v>
      </c>
      <c r="AP187" s="527">
        <f t="shared" si="265"/>
        <v>0</v>
      </c>
      <c r="AQ187" s="527">
        <f t="shared" si="265"/>
        <v>0</v>
      </c>
      <c r="AR187" s="527">
        <f t="shared" si="265"/>
        <v>0</v>
      </c>
      <c r="AS187" s="527">
        <f t="shared" si="265"/>
        <v>0</v>
      </c>
      <c r="AT187" s="527">
        <f t="shared" si="265"/>
        <v>0</v>
      </c>
      <c r="AU187" s="527">
        <f t="shared" si="265"/>
        <v>0</v>
      </c>
      <c r="AV187" s="527">
        <f t="shared" si="265"/>
        <v>26972.199263311864</v>
      </c>
      <c r="AW187" s="527">
        <f t="shared" si="265"/>
        <v>26972.199263311864</v>
      </c>
      <c r="AX187" s="527">
        <f t="shared" ref="AX187:BY187" si="266">(AX179*AX484)-(AX$615*$R157*AX484)</f>
        <v>26972.199263311864</v>
      </c>
      <c r="AY187" s="527">
        <f t="shared" si="266"/>
        <v>26972.199263311864</v>
      </c>
      <c r="AZ187" s="527">
        <f t="shared" si="266"/>
        <v>26972.199263311864</v>
      </c>
      <c r="BA187" s="527">
        <f t="shared" si="266"/>
        <v>26972.199263311864</v>
      </c>
      <c r="BB187" s="527">
        <f t="shared" si="266"/>
        <v>21207.455905040988</v>
      </c>
      <c r="BC187" s="527">
        <f t="shared" si="266"/>
        <v>21207.455905040988</v>
      </c>
      <c r="BD187" s="527">
        <f t="shared" si="266"/>
        <v>21207.455905040988</v>
      </c>
      <c r="BE187" s="527">
        <f t="shared" si="266"/>
        <v>21207.455905040988</v>
      </c>
      <c r="BF187" s="527">
        <f t="shared" si="266"/>
        <v>21207.455905040988</v>
      </c>
      <c r="BG187" s="527">
        <f t="shared" si="266"/>
        <v>21207.455905040988</v>
      </c>
      <c r="BH187" s="527">
        <f t="shared" si="266"/>
        <v>28797.219026726554</v>
      </c>
      <c r="BI187" s="527">
        <f t="shared" si="266"/>
        <v>28797.219026726554</v>
      </c>
      <c r="BJ187" s="527">
        <f t="shared" si="266"/>
        <v>28797.219026726554</v>
      </c>
      <c r="BK187" s="527">
        <f t="shared" si="266"/>
        <v>28797.219026726554</v>
      </c>
      <c r="BL187" s="527">
        <f t="shared" si="266"/>
        <v>28797.219026726554</v>
      </c>
      <c r="BM187" s="527">
        <f t="shared" si="266"/>
        <v>28797.219026726554</v>
      </c>
      <c r="BN187" s="527">
        <f t="shared" si="266"/>
        <v>22970.014847289713</v>
      </c>
      <c r="BO187" s="527">
        <f t="shared" si="266"/>
        <v>22970.014847289713</v>
      </c>
      <c r="BP187" s="527">
        <f t="shared" si="266"/>
        <v>22970.014847289713</v>
      </c>
      <c r="BQ187" s="527">
        <f t="shared" si="266"/>
        <v>22970.014847289713</v>
      </c>
      <c r="BR187" s="527">
        <f t="shared" si="266"/>
        <v>22970.014847289713</v>
      </c>
      <c r="BS187" s="527">
        <f t="shared" si="266"/>
        <v>22970.014847289713</v>
      </c>
      <c r="BT187" s="527">
        <f t="shared" si="266"/>
        <v>30863.368493842718</v>
      </c>
      <c r="BU187" s="527">
        <f t="shared" si="266"/>
        <v>30863.368493842718</v>
      </c>
      <c r="BV187" s="527">
        <f t="shared" si="266"/>
        <v>30863.368493842718</v>
      </c>
      <c r="BW187" s="527">
        <f t="shared" si="266"/>
        <v>30863.368493842718</v>
      </c>
      <c r="BX187" s="527">
        <f t="shared" si="266"/>
        <v>30863.368493842718</v>
      </c>
      <c r="BY187" s="527">
        <f t="shared" si="266"/>
        <v>30863.368493842718</v>
      </c>
    </row>
    <row r="188" spans="1:77" x14ac:dyDescent="0.3">
      <c r="A188" s="551"/>
      <c r="B188" s="548"/>
      <c r="C188" s="525"/>
      <c r="D188" s="525"/>
      <c r="E188" s="613" t="str">
        <f>"EBITDA uplift due to capex: "&amp;E$158</f>
        <v>EBITDA uplift due to capex: FY30 Tranche</v>
      </c>
      <c r="F188" s="525"/>
      <c r="G188" s="525"/>
      <c r="H188" s="525"/>
      <c r="I188" s="525"/>
      <c r="J188" s="525"/>
      <c r="K188" s="525"/>
      <c r="L188" s="525"/>
      <c r="M188" s="525"/>
      <c r="N188" s="525"/>
      <c r="O188" s="525"/>
      <c r="P188" s="565"/>
      <c r="Q188" s="525"/>
      <c r="R188" s="527">
        <f t="shared" ref="R188:AW188" si="267">(R180*R485)-(R$615*$R158*R485)</f>
        <v>0</v>
      </c>
      <c r="S188" s="527">
        <f t="shared" si="267"/>
        <v>0</v>
      </c>
      <c r="T188" s="527">
        <f t="shared" si="267"/>
        <v>0</v>
      </c>
      <c r="U188" s="527">
        <f t="shared" si="267"/>
        <v>0</v>
      </c>
      <c r="V188" s="527">
        <f t="shared" si="267"/>
        <v>0</v>
      </c>
      <c r="W188" s="527">
        <f t="shared" si="267"/>
        <v>0</v>
      </c>
      <c r="X188" s="527">
        <f t="shared" si="267"/>
        <v>0</v>
      </c>
      <c r="Y188" s="527">
        <f t="shared" si="267"/>
        <v>0</v>
      </c>
      <c r="Z188" s="527">
        <f t="shared" si="267"/>
        <v>0</v>
      </c>
      <c r="AA188" s="527">
        <f t="shared" si="267"/>
        <v>0</v>
      </c>
      <c r="AB188" s="527">
        <f t="shared" si="267"/>
        <v>0</v>
      </c>
      <c r="AC188" s="527">
        <f t="shared" si="267"/>
        <v>0</v>
      </c>
      <c r="AD188" s="527">
        <f t="shared" si="267"/>
        <v>0</v>
      </c>
      <c r="AE188" s="527">
        <f t="shared" si="267"/>
        <v>0</v>
      </c>
      <c r="AF188" s="527">
        <f t="shared" si="267"/>
        <v>0</v>
      </c>
      <c r="AG188" s="527">
        <f t="shared" si="267"/>
        <v>0</v>
      </c>
      <c r="AH188" s="527">
        <f t="shared" si="267"/>
        <v>0</v>
      </c>
      <c r="AI188" s="527">
        <f t="shared" si="267"/>
        <v>0</v>
      </c>
      <c r="AJ188" s="527">
        <f t="shared" si="267"/>
        <v>0</v>
      </c>
      <c r="AK188" s="527">
        <f t="shared" si="267"/>
        <v>0</v>
      </c>
      <c r="AL188" s="527">
        <f t="shared" si="267"/>
        <v>0</v>
      </c>
      <c r="AM188" s="527">
        <f t="shared" si="267"/>
        <v>0</v>
      </c>
      <c r="AN188" s="527">
        <f t="shared" si="267"/>
        <v>0</v>
      </c>
      <c r="AO188" s="527">
        <f t="shared" si="267"/>
        <v>0</v>
      </c>
      <c r="AP188" s="527">
        <f t="shared" si="267"/>
        <v>0</v>
      </c>
      <c r="AQ188" s="527">
        <f t="shared" si="267"/>
        <v>0</v>
      </c>
      <c r="AR188" s="527">
        <f t="shared" si="267"/>
        <v>0</v>
      </c>
      <c r="AS188" s="527">
        <f t="shared" si="267"/>
        <v>0</v>
      </c>
      <c r="AT188" s="527">
        <f t="shared" si="267"/>
        <v>0</v>
      </c>
      <c r="AU188" s="527">
        <f t="shared" si="267"/>
        <v>0</v>
      </c>
      <c r="AV188" s="527">
        <f t="shared" si="267"/>
        <v>0</v>
      </c>
      <c r="AW188" s="527">
        <f t="shared" si="267"/>
        <v>0</v>
      </c>
      <c r="AX188" s="527">
        <f t="shared" ref="AX188:BY188" si="268">(AX180*AX485)-(AX$615*$R158*AX485)</f>
        <v>0</v>
      </c>
      <c r="AY188" s="527">
        <f t="shared" si="268"/>
        <v>0</v>
      </c>
      <c r="AZ188" s="527">
        <f t="shared" si="268"/>
        <v>0</v>
      </c>
      <c r="BA188" s="527">
        <f t="shared" si="268"/>
        <v>0</v>
      </c>
      <c r="BB188" s="527">
        <f t="shared" si="268"/>
        <v>0</v>
      </c>
      <c r="BC188" s="527">
        <f t="shared" si="268"/>
        <v>0</v>
      </c>
      <c r="BD188" s="527">
        <f t="shared" si="268"/>
        <v>0</v>
      </c>
      <c r="BE188" s="527">
        <f t="shared" si="268"/>
        <v>0</v>
      </c>
      <c r="BF188" s="527">
        <f t="shared" si="268"/>
        <v>0</v>
      </c>
      <c r="BG188" s="527">
        <f t="shared" si="268"/>
        <v>0</v>
      </c>
      <c r="BH188" s="527">
        <f t="shared" si="268"/>
        <v>27529.920386625221</v>
      </c>
      <c r="BI188" s="527">
        <f t="shared" si="268"/>
        <v>27529.920386625221</v>
      </c>
      <c r="BJ188" s="527">
        <f t="shared" si="268"/>
        <v>27529.920386625221</v>
      </c>
      <c r="BK188" s="527">
        <f t="shared" si="268"/>
        <v>27529.920386625221</v>
      </c>
      <c r="BL188" s="527">
        <f t="shared" si="268"/>
        <v>27529.920386625221</v>
      </c>
      <c r="BM188" s="527">
        <f t="shared" si="268"/>
        <v>27529.920386625221</v>
      </c>
      <c r="BN188" s="527">
        <f t="shared" si="268"/>
        <v>21702.716207188379</v>
      </c>
      <c r="BO188" s="527">
        <f t="shared" si="268"/>
        <v>21702.716207188379</v>
      </c>
      <c r="BP188" s="527">
        <f t="shared" si="268"/>
        <v>21702.716207188379</v>
      </c>
      <c r="BQ188" s="527">
        <f t="shared" si="268"/>
        <v>21702.716207188379</v>
      </c>
      <c r="BR188" s="527">
        <f t="shared" si="268"/>
        <v>21702.716207188379</v>
      </c>
      <c r="BS188" s="527">
        <f t="shared" si="268"/>
        <v>21702.716207188379</v>
      </c>
      <c r="BT188" s="527">
        <f t="shared" si="268"/>
        <v>29545.377908137307</v>
      </c>
      <c r="BU188" s="527">
        <f t="shared" si="268"/>
        <v>29545.377908137307</v>
      </c>
      <c r="BV188" s="527">
        <f t="shared" si="268"/>
        <v>29545.377908137307</v>
      </c>
      <c r="BW188" s="527">
        <f t="shared" si="268"/>
        <v>29545.377908137307</v>
      </c>
      <c r="BX188" s="527">
        <f t="shared" si="268"/>
        <v>29545.377908137307</v>
      </c>
      <c r="BY188" s="527">
        <f t="shared" si="268"/>
        <v>29545.377908137307</v>
      </c>
    </row>
    <row r="189" spans="1:77" x14ac:dyDescent="0.3">
      <c r="A189" s="551"/>
      <c r="B189" s="548"/>
      <c r="C189" s="525"/>
      <c r="D189" s="525"/>
      <c r="E189" s="613" t="str">
        <f>"EBITDA uplift due to capex: "&amp;E$159</f>
        <v>EBITDA uplift due to capex: FY31 Tranche</v>
      </c>
      <c r="F189" s="525"/>
      <c r="G189" s="525"/>
      <c r="H189" s="525"/>
      <c r="I189" s="525"/>
      <c r="J189" s="525"/>
      <c r="K189" s="525"/>
      <c r="L189" s="525"/>
      <c r="M189" s="525"/>
      <c r="N189" s="525"/>
      <c r="O189" s="525"/>
      <c r="P189" s="565"/>
      <c r="Q189" s="525"/>
      <c r="R189" s="527">
        <f t="shared" ref="R189:AW189" si="269">(R181*R486)-(R$615*$R159*R486)</f>
        <v>0</v>
      </c>
      <c r="S189" s="527">
        <f t="shared" si="269"/>
        <v>0</v>
      </c>
      <c r="T189" s="527">
        <f t="shared" si="269"/>
        <v>0</v>
      </c>
      <c r="U189" s="527">
        <f t="shared" si="269"/>
        <v>0</v>
      </c>
      <c r="V189" s="527">
        <f t="shared" si="269"/>
        <v>0</v>
      </c>
      <c r="W189" s="527">
        <f t="shared" si="269"/>
        <v>0</v>
      </c>
      <c r="X189" s="527">
        <f t="shared" si="269"/>
        <v>0</v>
      </c>
      <c r="Y189" s="527">
        <f t="shared" si="269"/>
        <v>0</v>
      </c>
      <c r="Z189" s="527">
        <f t="shared" si="269"/>
        <v>0</v>
      </c>
      <c r="AA189" s="527">
        <f t="shared" si="269"/>
        <v>0</v>
      </c>
      <c r="AB189" s="527">
        <f t="shared" si="269"/>
        <v>0</v>
      </c>
      <c r="AC189" s="527">
        <f t="shared" si="269"/>
        <v>0</v>
      </c>
      <c r="AD189" s="527">
        <f t="shared" si="269"/>
        <v>0</v>
      </c>
      <c r="AE189" s="527">
        <f t="shared" si="269"/>
        <v>0</v>
      </c>
      <c r="AF189" s="527">
        <f t="shared" si="269"/>
        <v>0</v>
      </c>
      <c r="AG189" s="527">
        <f t="shared" si="269"/>
        <v>0</v>
      </c>
      <c r="AH189" s="527">
        <f t="shared" si="269"/>
        <v>0</v>
      </c>
      <c r="AI189" s="527">
        <f t="shared" si="269"/>
        <v>0</v>
      </c>
      <c r="AJ189" s="527">
        <f t="shared" si="269"/>
        <v>0</v>
      </c>
      <c r="AK189" s="527">
        <f t="shared" si="269"/>
        <v>0</v>
      </c>
      <c r="AL189" s="527">
        <f t="shared" si="269"/>
        <v>0</v>
      </c>
      <c r="AM189" s="527">
        <f t="shared" si="269"/>
        <v>0</v>
      </c>
      <c r="AN189" s="527">
        <f t="shared" si="269"/>
        <v>0</v>
      </c>
      <c r="AO189" s="527">
        <f t="shared" si="269"/>
        <v>0</v>
      </c>
      <c r="AP189" s="527">
        <f t="shared" si="269"/>
        <v>0</v>
      </c>
      <c r="AQ189" s="527">
        <f t="shared" si="269"/>
        <v>0</v>
      </c>
      <c r="AR189" s="527">
        <f t="shared" si="269"/>
        <v>0</v>
      </c>
      <c r="AS189" s="527">
        <f t="shared" si="269"/>
        <v>0</v>
      </c>
      <c r="AT189" s="527">
        <f t="shared" si="269"/>
        <v>0</v>
      </c>
      <c r="AU189" s="527">
        <f t="shared" si="269"/>
        <v>0</v>
      </c>
      <c r="AV189" s="527">
        <f t="shared" si="269"/>
        <v>0</v>
      </c>
      <c r="AW189" s="527">
        <f t="shared" si="269"/>
        <v>0</v>
      </c>
      <c r="AX189" s="527">
        <f t="shared" ref="AX189:BY189" si="270">(AX181*AX486)-(AX$615*$R159*AX486)</f>
        <v>0</v>
      </c>
      <c r="AY189" s="527">
        <f t="shared" si="270"/>
        <v>0</v>
      </c>
      <c r="AZ189" s="527">
        <f t="shared" si="270"/>
        <v>0</v>
      </c>
      <c r="BA189" s="527">
        <f t="shared" si="270"/>
        <v>0</v>
      </c>
      <c r="BB189" s="527">
        <f t="shared" si="270"/>
        <v>0</v>
      </c>
      <c r="BC189" s="527">
        <f t="shared" si="270"/>
        <v>0</v>
      </c>
      <c r="BD189" s="527">
        <f t="shared" si="270"/>
        <v>0</v>
      </c>
      <c r="BE189" s="527">
        <f t="shared" si="270"/>
        <v>0</v>
      </c>
      <c r="BF189" s="527">
        <f t="shared" si="270"/>
        <v>0</v>
      </c>
      <c r="BG189" s="527">
        <f t="shared" si="270"/>
        <v>0</v>
      </c>
      <c r="BH189" s="527">
        <f t="shared" si="270"/>
        <v>0</v>
      </c>
      <c r="BI189" s="527">
        <f t="shared" si="270"/>
        <v>0</v>
      </c>
      <c r="BJ189" s="527">
        <f t="shared" si="270"/>
        <v>0</v>
      </c>
      <c r="BK189" s="527">
        <f t="shared" si="270"/>
        <v>0</v>
      </c>
      <c r="BL189" s="527">
        <f t="shared" si="270"/>
        <v>0</v>
      </c>
      <c r="BM189" s="527">
        <f t="shared" si="270"/>
        <v>0</v>
      </c>
      <c r="BN189" s="527">
        <f t="shared" si="270"/>
        <v>0</v>
      </c>
      <c r="BO189" s="527">
        <f t="shared" si="270"/>
        <v>0</v>
      </c>
      <c r="BP189" s="527">
        <f t="shared" si="270"/>
        <v>0</v>
      </c>
      <c r="BQ189" s="527">
        <f t="shared" si="270"/>
        <v>0</v>
      </c>
      <c r="BR189" s="527">
        <f t="shared" si="270"/>
        <v>0</v>
      </c>
      <c r="BS189" s="527">
        <f t="shared" si="270"/>
        <v>0</v>
      </c>
      <c r="BT189" s="527">
        <f t="shared" si="270"/>
        <v>28067.193680942903</v>
      </c>
      <c r="BU189" s="527">
        <f t="shared" si="270"/>
        <v>28067.193680942903</v>
      </c>
      <c r="BV189" s="527">
        <f t="shared" si="270"/>
        <v>28067.193680942903</v>
      </c>
      <c r="BW189" s="527">
        <f t="shared" si="270"/>
        <v>28067.193680942903</v>
      </c>
      <c r="BX189" s="527">
        <f t="shared" si="270"/>
        <v>28067.193680942903</v>
      </c>
      <c r="BY189" s="527">
        <f t="shared" si="270"/>
        <v>28067.193680942903</v>
      </c>
    </row>
    <row r="190" spans="1:77" x14ac:dyDescent="0.3">
      <c r="A190" s="551"/>
      <c r="B190" s="548"/>
      <c r="C190" s="525"/>
      <c r="D190" s="525"/>
      <c r="E190" s="613" t="str">
        <f>"EBITDA uplift due to capex: "&amp;E$160</f>
        <v>EBITDA uplift due to capex: Uninvested Tranche</v>
      </c>
      <c r="F190" s="525"/>
      <c r="G190" s="525"/>
      <c r="H190" s="525"/>
      <c r="I190" s="525"/>
      <c r="J190" s="525"/>
      <c r="K190" s="525"/>
      <c r="L190" s="525"/>
      <c r="M190" s="525"/>
      <c r="N190" s="525"/>
      <c r="O190" s="525"/>
      <c r="P190" s="565"/>
      <c r="Q190" s="525"/>
      <c r="R190" s="527">
        <f t="shared" ref="R190:AW190" si="271">(R182*R487)-(R$615*$R160*R487)</f>
        <v>0</v>
      </c>
      <c r="S190" s="527">
        <f t="shared" si="271"/>
        <v>0</v>
      </c>
      <c r="T190" s="527">
        <f t="shared" si="271"/>
        <v>0</v>
      </c>
      <c r="U190" s="527">
        <f t="shared" si="271"/>
        <v>0</v>
      </c>
      <c r="V190" s="527">
        <f t="shared" si="271"/>
        <v>0</v>
      </c>
      <c r="W190" s="527">
        <f t="shared" si="271"/>
        <v>0</v>
      </c>
      <c r="X190" s="527">
        <f t="shared" si="271"/>
        <v>0</v>
      </c>
      <c r="Y190" s="527">
        <f t="shared" si="271"/>
        <v>0</v>
      </c>
      <c r="Z190" s="527">
        <f t="shared" si="271"/>
        <v>0</v>
      </c>
      <c r="AA190" s="527">
        <f t="shared" si="271"/>
        <v>0</v>
      </c>
      <c r="AB190" s="527">
        <f t="shared" si="271"/>
        <v>0</v>
      </c>
      <c r="AC190" s="527">
        <f t="shared" si="271"/>
        <v>0</v>
      </c>
      <c r="AD190" s="527">
        <f t="shared" si="271"/>
        <v>0</v>
      </c>
      <c r="AE190" s="527">
        <f t="shared" si="271"/>
        <v>0</v>
      </c>
      <c r="AF190" s="527">
        <f t="shared" si="271"/>
        <v>0</v>
      </c>
      <c r="AG190" s="527">
        <f t="shared" si="271"/>
        <v>0</v>
      </c>
      <c r="AH190" s="527">
        <f t="shared" si="271"/>
        <v>0</v>
      </c>
      <c r="AI190" s="527">
        <f t="shared" si="271"/>
        <v>0</v>
      </c>
      <c r="AJ190" s="527">
        <f t="shared" si="271"/>
        <v>0</v>
      </c>
      <c r="AK190" s="527">
        <f t="shared" si="271"/>
        <v>0</v>
      </c>
      <c r="AL190" s="527">
        <f t="shared" si="271"/>
        <v>0</v>
      </c>
      <c r="AM190" s="527">
        <f t="shared" si="271"/>
        <v>0</v>
      </c>
      <c r="AN190" s="527">
        <f t="shared" si="271"/>
        <v>0</v>
      </c>
      <c r="AO190" s="527">
        <f t="shared" si="271"/>
        <v>0</v>
      </c>
      <c r="AP190" s="527">
        <f t="shared" si="271"/>
        <v>0</v>
      </c>
      <c r="AQ190" s="527">
        <f t="shared" si="271"/>
        <v>0</v>
      </c>
      <c r="AR190" s="527">
        <f t="shared" si="271"/>
        <v>0</v>
      </c>
      <c r="AS190" s="527">
        <f t="shared" si="271"/>
        <v>0</v>
      </c>
      <c r="AT190" s="527">
        <f t="shared" si="271"/>
        <v>0</v>
      </c>
      <c r="AU190" s="527">
        <f t="shared" si="271"/>
        <v>0</v>
      </c>
      <c r="AV190" s="527">
        <f t="shared" si="271"/>
        <v>0</v>
      </c>
      <c r="AW190" s="527">
        <f t="shared" si="271"/>
        <v>0</v>
      </c>
      <c r="AX190" s="527">
        <f t="shared" ref="AX190:BY190" si="272">(AX182*AX487)-(AX$615*$R160*AX487)</f>
        <v>0</v>
      </c>
      <c r="AY190" s="527">
        <f t="shared" si="272"/>
        <v>0</v>
      </c>
      <c r="AZ190" s="527">
        <f t="shared" si="272"/>
        <v>0</v>
      </c>
      <c r="BA190" s="527">
        <f t="shared" si="272"/>
        <v>0</v>
      </c>
      <c r="BB190" s="527">
        <f t="shared" si="272"/>
        <v>0</v>
      </c>
      <c r="BC190" s="527">
        <f t="shared" si="272"/>
        <v>0</v>
      </c>
      <c r="BD190" s="527">
        <f t="shared" si="272"/>
        <v>0</v>
      </c>
      <c r="BE190" s="527">
        <f t="shared" si="272"/>
        <v>0</v>
      </c>
      <c r="BF190" s="527">
        <f t="shared" si="272"/>
        <v>0</v>
      </c>
      <c r="BG190" s="527">
        <f t="shared" si="272"/>
        <v>0</v>
      </c>
      <c r="BH190" s="527">
        <f t="shared" si="272"/>
        <v>0</v>
      </c>
      <c r="BI190" s="527">
        <f t="shared" si="272"/>
        <v>0</v>
      </c>
      <c r="BJ190" s="527">
        <f t="shared" si="272"/>
        <v>0</v>
      </c>
      <c r="BK190" s="527">
        <f t="shared" si="272"/>
        <v>0</v>
      </c>
      <c r="BL190" s="527">
        <f t="shared" si="272"/>
        <v>0</v>
      </c>
      <c r="BM190" s="527">
        <f t="shared" si="272"/>
        <v>0</v>
      </c>
      <c r="BN190" s="527">
        <f t="shared" si="272"/>
        <v>0</v>
      </c>
      <c r="BO190" s="527">
        <f t="shared" si="272"/>
        <v>0</v>
      </c>
      <c r="BP190" s="527">
        <f t="shared" si="272"/>
        <v>0</v>
      </c>
      <c r="BQ190" s="527">
        <f t="shared" si="272"/>
        <v>0</v>
      </c>
      <c r="BR190" s="527">
        <f t="shared" si="272"/>
        <v>0</v>
      </c>
      <c r="BS190" s="527">
        <f t="shared" si="272"/>
        <v>0</v>
      </c>
      <c r="BT190" s="527">
        <f t="shared" si="272"/>
        <v>0</v>
      </c>
      <c r="BU190" s="527">
        <f t="shared" si="272"/>
        <v>0</v>
      </c>
      <c r="BV190" s="527">
        <f t="shared" si="272"/>
        <v>0</v>
      </c>
      <c r="BW190" s="527">
        <f t="shared" si="272"/>
        <v>0</v>
      </c>
      <c r="BX190" s="527">
        <f t="shared" si="272"/>
        <v>0</v>
      </c>
      <c r="BY190" s="527">
        <f t="shared" si="272"/>
        <v>0</v>
      </c>
    </row>
    <row r="191" spans="1:77" x14ac:dyDescent="0.3">
      <c r="A191" s="551"/>
      <c r="B191" s="548"/>
      <c r="C191" s="525"/>
      <c r="D191" s="525"/>
      <c r="E191" s="572" t="s">
        <v>36</v>
      </c>
      <c r="F191" s="572"/>
      <c r="G191" s="572"/>
      <c r="H191" s="572"/>
      <c r="I191" s="572"/>
      <c r="J191" s="572"/>
      <c r="K191" s="572"/>
      <c r="L191" s="572"/>
      <c r="M191" s="572"/>
      <c r="N191" s="572"/>
      <c r="O191" s="572"/>
      <c r="P191" s="612"/>
      <c r="Q191" s="572"/>
      <c r="R191" s="532">
        <f t="shared" ref="R191:AW191" si="273">SUM(R185:R190)</f>
        <v>0</v>
      </c>
      <c r="S191" s="532">
        <f t="shared" si="273"/>
        <v>0</v>
      </c>
      <c r="T191" s="532">
        <f t="shared" si="273"/>
        <v>0</v>
      </c>
      <c r="U191" s="532">
        <f t="shared" si="273"/>
        <v>0</v>
      </c>
      <c r="V191" s="532">
        <f t="shared" si="273"/>
        <v>0</v>
      </c>
      <c r="W191" s="532">
        <f t="shared" si="273"/>
        <v>0</v>
      </c>
      <c r="X191" s="532">
        <f t="shared" si="273"/>
        <v>25760.324310646916</v>
      </c>
      <c r="Y191" s="532">
        <f t="shared" si="273"/>
        <v>25760.324310646916</v>
      </c>
      <c r="Z191" s="532">
        <f t="shared" si="273"/>
        <v>25760.324310646916</v>
      </c>
      <c r="AA191" s="532">
        <f t="shared" si="273"/>
        <v>25760.324310646916</v>
      </c>
      <c r="AB191" s="532">
        <f t="shared" si="273"/>
        <v>25760.324310646916</v>
      </c>
      <c r="AC191" s="532">
        <f t="shared" si="273"/>
        <v>25760.324310646916</v>
      </c>
      <c r="AD191" s="532">
        <f t="shared" si="273"/>
        <v>19706.775064728659</v>
      </c>
      <c r="AE191" s="532">
        <f t="shared" si="273"/>
        <v>19706.775064728659</v>
      </c>
      <c r="AF191" s="532">
        <f t="shared" si="273"/>
        <v>19706.775064728659</v>
      </c>
      <c r="AG191" s="532">
        <f t="shared" si="273"/>
        <v>19706.775064728659</v>
      </c>
      <c r="AH191" s="532">
        <f t="shared" si="273"/>
        <v>19706.775064728659</v>
      </c>
      <c r="AI191" s="532">
        <f t="shared" si="273"/>
        <v>19706.775064728659</v>
      </c>
      <c r="AJ191" s="532">
        <f t="shared" si="273"/>
        <v>53145.637037315115</v>
      </c>
      <c r="AK191" s="532">
        <f t="shared" si="273"/>
        <v>53145.637037315115</v>
      </c>
      <c r="AL191" s="532">
        <f t="shared" si="273"/>
        <v>53145.637037315115</v>
      </c>
      <c r="AM191" s="532">
        <f t="shared" si="273"/>
        <v>53145.637037315115</v>
      </c>
      <c r="AN191" s="532">
        <f t="shared" si="273"/>
        <v>53145.637037315115</v>
      </c>
      <c r="AO191" s="532">
        <f t="shared" si="273"/>
        <v>53145.637037315115</v>
      </c>
      <c r="AP191" s="532">
        <f t="shared" si="273"/>
        <v>41138.679729605792</v>
      </c>
      <c r="AQ191" s="532">
        <f t="shared" si="273"/>
        <v>41138.679729605792</v>
      </c>
      <c r="AR191" s="532">
        <f t="shared" si="273"/>
        <v>41138.679729605792</v>
      </c>
      <c r="AS191" s="532">
        <f t="shared" si="273"/>
        <v>41138.679729605792</v>
      </c>
      <c r="AT191" s="532">
        <f t="shared" si="273"/>
        <v>41138.679729605792</v>
      </c>
      <c r="AU191" s="532">
        <f t="shared" si="273"/>
        <v>41138.679729605792</v>
      </c>
      <c r="AV191" s="532">
        <f t="shared" si="273"/>
        <v>82778.176484408061</v>
      </c>
      <c r="AW191" s="532">
        <f t="shared" si="273"/>
        <v>82778.176484408061</v>
      </c>
      <c r="AX191" s="532">
        <f t="shared" ref="AX191:BY191" si="274">SUM(AX185:AX190)</f>
        <v>82778.176484408061</v>
      </c>
      <c r="AY191" s="532">
        <f t="shared" si="274"/>
        <v>82778.176484408061</v>
      </c>
      <c r="AZ191" s="532">
        <f t="shared" si="274"/>
        <v>82778.176484408061</v>
      </c>
      <c r="BA191" s="532">
        <f t="shared" si="274"/>
        <v>82778.176484408061</v>
      </c>
      <c r="BB191" s="532">
        <f t="shared" si="274"/>
        <v>65483.946409595432</v>
      </c>
      <c r="BC191" s="532">
        <f t="shared" si="274"/>
        <v>65483.946409595432</v>
      </c>
      <c r="BD191" s="532">
        <f t="shared" si="274"/>
        <v>65483.946409595432</v>
      </c>
      <c r="BE191" s="532">
        <f t="shared" si="274"/>
        <v>65483.946409595432</v>
      </c>
      <c r="BF191" s="532">
        <f t="shared" si="274"/>
        <v>65483.946409595432</v>
      </c>
      <c r="BG191" s="532">
        <f t="shared" si="274"/>
        <v>65483.946409595432</v>
      </c>
      <c r="BH191" s="532">
        <f t="shared" si="274"/>
        <v>115857.61930905623</v>
      </c>
      <c r="BI191" s="532">
        <f t="shared" si="274"/>
        <v>115857.61930905623</v>
      </c>
      <c r="BJ191" s="532">
        <f t="shared" si="274"/>
        <v>115857.61930905623</v>
      </c>
      <c r="BK191" s="532">
        <f t="shared" si="274"/>
        <v>115857.61930905623</v>
      </c>
      <c r="BL191" s="532">
        <f t="shared" si="274"/>
        <v>115857.61930905623</v>
      </c>
      <c r="BM191" s="532">
        <f t="shared" si="274"/>
        <v>115857.61930905623</v>
      </c>
      <c r="BN191" s="532">
        <f t="shared" si="274"/>
        <v>92548.802591308864</v>
      </c>
      <c r="BO191" s="532">
        <f t="shared" si="274"/>
        <v>92548.802591308864</v>
      </c>
      <c r="BP191" s="532">
        <f t="shared" si="274"/>
        <v>92548.802591308864</v>
      </c>
      <c r="BQ191" s="532">
        <f t="shared" si="274"/>
        <v>92548.802591308864</v>
      </c>
      <c r="BR191" s="532">
        <f t="shared" si="274"/>
        <v>92548.802591308864</v>
      </c>
      <c r="BS191" s="532">
        <f t="shared" si="274"/>
        <v>92548.802591308864</v>
      </c>
      <c r="BT191" s="532">
        <f t="shared" si="274"/>
        <v>152216.1605865497</v>
      </c>
      <c r="BU191" s="532">
        <f t="shared" si="274"/>
        <v>152216.1605865497</v>
      </c>
      <c r="BV191" s="532">
        <f t="shared" si="274"/>
        <v>152216.1605865497</v>
      </c>
      <c r="BW191" s="532">
        <f t="shared" si="274"/>
        <v>152216.1605865497</v>
      </c>
      <c r="BX191" s="532">
        <f t="shared" si="274"/>
        <v>152216.1605865497</v>
      </c>
      <c r="BY191" s="532">
        <f t="shared" si="274"/>
        <v>152216.1605865497</v>
      </c>
    </row>
    <row r="192" spans="1:77" x14ac:dyDescent="0.3">
      <c r="A192" s="551"/>
      <c r="B192" s="548"/>
      <c r="C192" s="525"/>
      <c r="D192" s="525"/>
      <c r="E192" s="525"/>
      <c r="F192" s="525"/>
      <c r="G192" s="525"/>
      <c r="H192" s="525"/>
      <c r="I192" s="525"/>
      <c r="J192" s="525"/>
      <c r="K192" s="525"/>
      <c r="L192" s="525"/>
      <c r="M192" s="525"/>
      <c r="N192" s="525"/>
      <c r="O192" s="525"/>
      <c r="P192" s="565"/>
      <c r="Q192" s="525"/>
      <c r="R192" s="525"/>
      <c r="S192" s="525"/>
      <c r="T192" s="525"/>
      <c r="U192" s="525"/>
      <c r="V192" s="525"/>
      <c r="W192" s="525"/>
      <c r="X192" s="525"/>
      <c r="Y192" s="525"/>
      <c r="Z192" s="525"/>
      <c r="AA192" s="525"/>
      <c r="AB192" s="525"/>
      <c r="AC192" s="525"/>
      <c r="AD192" s="525"/>
      <c r="AE192" s="525"/>
      <c r="AF192" s="525"/>
      <c r="AG192" s="525"/>
      <c r="AH192" s="525"/>
      <c r="AI192" s="525"/>
      <c r="AJ192" s="525"/>
      <c r="AK192" s="525"/>
      <c r="AL192" s="525"/>
      <c r="AM192" s="525"/>
      <c r="AN192" s="525"/>
      <c r="AO192" s="525"/>
      <c r="AP192" s="525"/>
      <c r="AQ192" s="525"/>
      <c r="AR192" s="525"/>
      <c r="AS192" s="525"/>
      <c r="AT192" s="525"/>
      <c r="AU192" s="525"/>
      <c r="AV192" s="525"/>
      <c r="AW192" s="525"/>
      <c r="AX192" s="525"/>
      <c r="AY192" s="525"/>
      <c r="AZ192" s="525"/>
      <c r="BA192" s="525"/>
      <c r="BB192" s="525"/>
      <c r="BC192" s="525"/>
      <c r="BD192" s="525"/>
      <c r="BE192" s="525"/>
      <c r="BF192" s="525"/>
      <c r="BG192" s="525"/>
      <c r="BH192" s="525"/>
      <c r="BI192" s="525"/>
      <c r="BJ192" s="525"/>
      <c r="BK192" s="525"/>
      <c r="BL192" s="525"/>
      <c r="BM192" s="525"/>
      <c r="BN192" s="525"/>
      <c r="BO192" s="525"/>
      <c r="BP192" s="525"/>
      <c r="BQ192" s="525"/>
      <c r="BR192" s="525"/>
      <c r="BS192" s="525"/>
      <c r="BT192" s="525"/>
      <c r="BU192" s="525"/>
      <c r="BV192" s="525"/>
      <c r="BW192" s="525"/>
      <c r="BX192" s="525"/>
      <c r="BY192" s="525"/>
    </row>
    <row r="193" spans="1:77" x14ac:dyDescent="0.3">
      <c r="A193" s="551"/>
      <c r="B193" s="548"/>
      <c r="C193" s="584" t="s">
        <v>37</v>
      </c>
      <c r="D193" s="525"/>
      <c r="E193" s="538" t="s">
        <v>95</v>
      </c>
      <c r="F193" s="538"/>
      <c r="G193" s="538"/>
      <c r="H193" s="538"/>
      <c r="I193" s="538"/>
      <c r="J193" s="538"/>
      <c r="K193" s="538"/>
      <c r="L193" s="538"/>
      <c r="M193" s="538"/>
      <c r="N193" s="538"/>
      <c r="O193" s="538"/>
      <c r="P193" s="584"/>
      <c r="Q193" s="538"/>
      <c r="R193" s="538"/>
      <c r="S193" s="538"/>
      <c r="T193" s="538"/>
      <c r="U193" s="538"/>
      <c r="V193" s="538"/>
      <c r="W193" s="538"/>
      <c r="X193" s="538"/>
      <c r="Y193" s="538"/>
      <c r="Z193" s="538"/>
      <c r="AA193" s="538"/>
      <c r="AB193" s="538"/>
      <c r="AC193" s="538"/>
      <c r="AD193" s="538"/>
      <c r="AE193" s="538"/>
      <c r="AF193" s="538"/>
      <c r="AG193" s="538"/>
      <c r="AH193" s="538"/>
      <c r="AI193" s="538"/>
      <c r="AJ193" s="538"/>
      <c r="AK193" s="538"/>
      <c r="AL193" s="538"/>
      <c r="AM193" s="538"/>
      <c r="AN193" s="538"/>
      <c r="AO193" s="538"/>
      <c r="AP193" s="538"/>
      <c r="AQ193" s="538"/>
      <c r="AR193" s="538"/>
      <c r="AS193" s="538"/>
      <c r="AT193" s="538"/>
      <c r="AU193" s="538"/>
      <c r="AV193" s="538"/>
      <c r="AW193" s="538"/>
      <c r="AX193" s="538"/>
      <c r="AY193" s="538"/>
      <c r="AZ193" s="538"/>
      <c r="BA193" s="538"/>
      <c r="BB193" s="538"/>
      <c r="BC193" s="538"/>
      <c r="BD193" s="538"/>
      <c r="BE193" s="538"/>
      <c r="BF193" s="538"/>
      <c r="BG193" s="538"/>
      <c r="BH193" s="538"/>
      <c r="BI193" s="538"/>
      <c r="BJ193" s="538"/>
      <c r="BK193" s="538"/>
      <c r="BL193" s="538"/>
      <c r="BM193" s="538"/>
      <c r="BN193" s="538"/>
      <c r="BO193" s="538"/>
      <c r="BP193" s="538"/>
      <c r="BQ193" s="538"/>
      <c r="BR193" s="538"/>
      <c r="BS193" s="538"/>
      <c r="BT193" s="538"/>
      <c r="BU193" s="538"/>
      <c r="BV193" s="538"/>
      <c r="BW193" s="538"/>
      <c r="BX193" s="538"/>
      <c r="BY193" s="538"/>
    </row>
    <row r="194" spans="1:77" x14ac:dyDescent="0.3">
      <c r="A194" s="551"/>
      <c r="B194" s="548"/>
      <c r="C194" s="525"/>
      <c r="D194" s="525"/>
      <c r="E194" s="525"/>
      <c r="F194" s="525"/>
      <c r="G194" s="525"/>
      <c r="H194" s="525"/>
      <c r="I194" s="525"/>
      <c r="J194" s="525"/>
      <c r="K194" s="525"/>
      <c r="L194" s="525"/>
      <c r="M194" s="525"/>
      <c r="N194" s="525"/>
      <c r="O194" s="525"/>
      <c r="P194" s="565"/>
      <c r="Q194" s="525"/>
      <c r="R194" s="525"/>
      <c r="S194" s="525"/>
      <c r="T194" s="525"/>
      <c r="U194" s="525"/>
      <c r="V194" s="525"/>
      <c r="W194" s="525"/>
      <c r="X194" s="525"/>
      <c r="Y194" s="525"/>
      <c r="Z194" s="525"/>
      <c r="AA194" s="525"/>
      <c r="AB194" s="525"/>
      <c r="AC194" s="525"/>
      <c r="AD194" s="525"/>
      <c r="AE194" s="525"/>
      <c r="AF194" s="525"/>
      <c r="AG194" s="525"/>
      <c r="AH194" s="525"/>
      <c r="AI194" s="525"/>
      <c r="AJ194" s="525"/>
      <c r="AK194" s="525"/>
      <c r="AL194" s="525"/>
      <c r="AM194" s="525"/>
      <c r="AN194" s="525"/>
      <c r="AO194" s="525"/>
      <c r="AP194" s="525"/>
      <c r="AQ194" s="525"/>
      <c r="AR194" s="525"/>
      <c r="AS194" s="525"/>
      <c r="AT194" s="525"/>
      <c r="AU194" s="525"/>
      <c r="AV194" s="525"/>
      <c r="AW194" s="525"/>
      <c r="AX194" s="525"/>
      <c r="AY194" s="525"/>
      <c r="AZ194" s="525"/>
      <c r="BA194" s="525"/>
      <c r="BB194" s="525"/>
      <c r="BC194" s="525"/>
      <c r="BD194" s="525"/>
      <c r="BE194" s="525"/>
      <c r="BF194" s="525"/>
      <c r="BG194" s="525"/>
      <c r="BH194" s="525"/>
      <c r="BI194" s="525"/>
      <c r="BJ194" s="525"/>
      <c r="BK194" s="525"/>
      <c r="BL194" s="525"/>
      <c r="BM194" s="525"/>
      <c r="BN194" s="525"/>
      <c r="BO194" s="525"/>
      <c r="BP194" s="525"/>
      <c r="BQ194" s="525"/>
      <c r="BR194" s="525"/>
      <c r="BS194" s="525"/>
      <c r="BT194" s="525"/>
      <c r="BU194" s="525"/>
      <c r="BV194" s="525"/>
      <c r="BW194" s="525"/>
      <c r="BX194" s="525"/>
      <c r="BY194" s="525"/>
    </row>
    <row r="195" spans="1:77" x14ac:dyDescent="0.3">
      <c r="A195" s="551"/>
      <c r="B195" s="548"/>
      <c r="C195" s="525"/>
      <c r="D195" s="525"/>
      <c r="E195" s="614" t="s">
        <v>96</v>
      </c>
      <c r="F195" s="539"/>
      <c r="G195" s="539"/>
      <c r="H195" s="539"/>
      <c r="I195" s="539"/>
      <c r="J195" s="539"/>
      <c r="K195" s="539"/>
      <c r="L195" s="539"/>
      <c r="M195" s="539"/>
      <c r="N195" s="539"/>
      <c r="O195" s="539"/>
      <c r="P195" s="615"/>
      <c r="Q195" s="539"/>
      <c r="R195" s="539"/>
      <c r="S195" s="539"/>
      <c r="T195" s="539"/>
      <c r="U195" s="539"/>
      <c r="V195" s="539"/>
      <c r="W195" s="539"/>
      <c r="X195" s="539"/>
      <c r="Y195" s="539"/>
      <c r="Z195" s="539"/>
      <c r="AA195" s="539"/>
      <c r="AB195" s="539"/>
      <c r="AC195" s="539"/>
      <c r="AD195" s="539"/>
      <c r="AE195" s="539"/>
      <c r="AF195" s="539"/>
      <c r="AG195" s="539"/>
      <c r="AH195" s="539"/>
      <c r="AI195" s="539"/>
      <c r="AJ195" s="539"/>
      <c r="AK195" s="539"/>
      <c r="AL195" s="539"/>
      <c r="AM195" s="539"/>
      <c r="AN195" s="539"/>
      <c r="AO195" s="539"/>
      <c r="AP195" s="539"/>
      <c r="AQ195" s="539"/>
      <c r="AR195" s="539"/>
      <c r="AS195" s="539"/>
      <c r="AT195" s="539"/>
      <c r="AU195" s="539"/>
      <c r="AV195" s="539"/>
      <c r="AW195" s="539"/>
      <c r="AX195" s="539"/>
      <c r="AY195" s="539"/>
      <c r="AZ195" s="539"/>
      <c r="BA195" s="539"/>
      <c r="BB195" s="539"/>
      <c r="BC195" s="539"/>
      <c r="BD195" s="539"/>
      <c r="BE195" s="539"/>
      <c r="BF195" s="539"/>
      <c r="BG195" s="539"/>
      <c r="BH195" s="539"/>
      <c r="BI195" s="539"/>
      <c r="BJ195" s="539"/>
      <c r="BK195" s="539"/>
      <c r="BL195" s="539"/>
      <c r="BM195" s="539"/>
      <c r="BN195" s="539"/>
      <c r="BO195" s="539"/>
      <c r="BP195" s="539"/>
      <c r="BQ195" s="539"/>
      <c r="BR195" s="539"/>
      <c r="BS195" s="539"/>
      <c r="BT195" s="539"/>
      <c r="BU195" s="539"/>
      <c r="BV195" s="539"/>
      <c r="BW195" s="539"/>
      <c r="BX195" s="539"/>
      <c r="BY195" s="539"/>
    </row>
    <row r="196" spans="1:77" x14ac:dyDescent="0.3">
      <c r="A196" s="551"/>
      <c r="B196" s="548"/>
      <c r="C196" s="525"/>
      <c r="D196" s="525"/>
      <c r="E196" s="525"/>
      <c r="F196" s="525"/>
      <c r="G196" s="525"/>
      <c r="H196" s="525"/>
      <c r="I196" s="525"/>
      <c r="J196" s="525"/>
      <c r="K196" s="525"/>
      <c r="L196" s="525"/>
      <c r="M196" s="525"/>
      <c r="N196" s="525"/>
      <c r="O196" s="525"/>
      <c r="P196" s="565"/>
      <c r="Q196" s="525"/>
      <c r="R196" s="525"/>
      <c r="S196" s="525"/>
      <c r="T196" s="525"/>
      <c r="U196" s="525"/>
      <c r="V196" s="525"/>
      <c r="W196" s="525"/>
      <c r="X196" s="525"/>
      <c r="Y196" s="525"/>
      <c r="Z196" s="525"/>
      <c r="AA196" s="525"/>
      <c r="AB196" s="525"/>
      <c r="AC196" s="525"/>
      <c r="AD196" s="525"/>
      <c r="AE196" s="525"/>
      <c r="AF196" s="525"/>
      <c r="AG196" s="525"/>
      <c r="AH196" s="525"/>
      <c r="AI196" s="525"/>
      <c r="AJ196" s="525"/>
      <c r="AK196" s="525"/>
      <c r="AL196" s="525"/>
      <c r="AM196" s="525"/>
      <c r="AN196" s="525"/>
      <c r="AO196" s="525"/>
      <c r="AP196" s="525"/>
      <c r="AQ196" s="525"/>
      <c r="AR196" s="525"/>
      <c r="AS196" s="525"/>
      <c r="AT196" s="525"/>
      <c r="AU196" s="525"/>
      <c r="AV196" s="525"/>
      <c r="AW196" s="525"/>
      <c r="AX196" s="525"/>
      <c r="AY196" s="525"/>
      <c r="AZ196" s="525"/>
      <c r="BA196" s="525"/>
      <c r="BB196" s="525"/>
      <c r="BC196" s="525"/>
      <c r="BD196" s="525"/>
      <c r="BE196" s="525"/>
      <c r="BF196" s="525"/>
      <c r="BG196" s="525"/>
      <c r="BH196" s="525"/>
      <c r="BI196" s="525"/>
      <c r="BJ196" s="525"/>
      <c r="BK196" s="525"/>
      <c r="BL196" s="525"/>
      <c r="BM196" s="525"/>
      <c r="BN196" s="525"/>
      <c r="BO196" s="525"/>
      <c r="BP196" s="525"/>
      <c r="BQ196" s="525"/>
      <c r="BR196" s="525"/>
      <c r="BS196" s="525"/>
      <c r="BT196" s="525"/>
      <c r="BU196" s="525"/>
      <c r="BV196" s="525"/>
      <c r="BW196" s="525"/>
      <c r="BX196" s="525"/>
      <c r="BY196" s="525"/>
    </row>
    <row r="197" spans="1:77" x14ac:dyDescent="0.3">
      <c r="A197" s="551"/>
      <c r="B197" s="548"/>
      <c r="C197" s="525"/>
      <c r="D197" s="525"/>
      <c r="E197" s="616" t="str">
        <f>"Drinks net comm. uplift due to capex: "&amp;E$155</f>
        <v>Drinks net comm. uplift due to capex: FY27 Tranche</v>
      </c>
      <c r="F197" s="525"/>
      <c r="G197" s="525"/>
      <c r="H197" s="525"/>
      <c r="I197" s="525"/>
      <c r="J197" s="525"/>
      <c r="K197" s="525"/>
      <c r="L197" s="525"/>
      <c r="M197" s="525"/>
      <c r="N197" s="525"/>
      <c r="O197" s="525"/>
      <c r="P197" s="565"/>
      <c r="Q197" s="525"/>
      <c r="R197" s="527">
        <f t="shared" ref="R197:AW197" si="275">R185*$AE155</f>
        <v>0</v>
      </c>
      <c r="S197" s="527">
        <f t="shared" si="275"/>
        <v>0</v>
      </c>
      <c r="T197" s="527">
        <f t="shared" si="275"/>
        <v>0</v>
      </c>
      <c r="U197" s="527">
        <f t="shared" si="275"/>
        <v>0</v>
      </c>
      <c r="V197" s="527">
        <f t="shared" si="275"/>
        <v>0</v>
      </c>
      <c r="W197" s="527">
        <f t="shared" si="275"/>
        <v>0</v>
      </c>
      <c r="X197" s="527">
        <f t="shared" si="275"/>
        <v>14168.178370855805</v>
      </c>
      <c r="Y197" s="527">
        <f t="shared" si="275"/>
        <v>14168.178370855805</v>
      </c>
      <c r="Z197" s="527">
        <f t="shared" si="275"/>
        <v>14168.178370855805</v>
      </c>
      <c r="AA197" s="527">
        <f t="shared" si="275"/>
        <v>14168.178370855805</v>
      </c>
      <c r="AB197" s="527">
        <f t="shared" si="275"/>
        <v>14168.178370855805</v>
      </c>
      <c r="AC197" s="527">
        <f t="shared" si="275"/>
        <v>14168.178370855805</v>
      </c>
      <c r="AD197" s="527">
        <f t="shared" si="275"/>
        <v>10838.726285600764</v>
      </c>
      <c r="AE197" s="527">
        <f t="shared" si="275"/>
        <v>10838.726285600764</v>
      </c>
      <c r="AF197" s="527">
        <f t="shared" si="275"/>
        <v>10838.726285600764</v>
      </c>
      <c r="AG197" s="527">
        <f t="shared" si="275"/>
        <v>10838.726285600764</v>
      </c>
      <c r="AH197" s="527">
        <f t="shared" si="275"/>
        <v>10838.726285600764</v>
      </c>
      <c r="AI197" s="527">
        <f t="shared" si="275"/>
        <v>10838.726285600764</v>
      </c>
      <c r="AJ197" s="527">
        <f t="shared" si="275"/>
        <v>14721.180139774191</v>
      </c>
      <c r="AK197" s="527">
        <f t="shared" si="275"/>
        <v>14721.180139774191</v>
      </c>
      <c r="AL197" s="527">
        <f t="shared" si="275"/>
        <v>14721.180139774191</v>
      </c>
      <c r="AM197" s="527">
        <f t="shared" si="275"/>
        <v>14721.180139774191</v>
      </c>
      <c r="AN197" s="527">
        <f t="shared" si="275"/>
        <v>14721.180139774191</v>
      </c>
      <c r="AO197" s="527">
        <f t="shared" si="275"/>
        <v>14721.180139774191</v>
      </c>
      <c r="AP197" s="527">
        <f t="shared" si="275"/>
        <v>11419.266880154128</v>
      </c>
      <c r="AQ197" s="527">
        <f t="shared" si="275"/>
        <v>11419.266880154128</v>
      </c>
      <c r="AR197" s="527">
        <f t="shared" si="275"/>
        <v>11419.266880154128</v>
      </c>
      <c r="AS197" s="527">
        <f t="shared" si="275"/>
        <v>11419.266880154128</v>
      </c>
      <c r="AT197" s="527">
        <f t="shared" si="275"/>
        <v>11419.266880154128</v>
      </c>
      <c r="AU197" s="527">
        <f t="shared" si="275"/>
        <v>11419.266880154128</v>
      </c>
      <c r="AV197" s="527">
        <f t="shared" si="275"/>
        <v>15457.018888494489</v>
      </c>
      <c r="AW197" s="527">
        <f t="shared" si="275"/>
        <v>15457.018888494489</v>
      </c>
      <c r="AX197" s="527">
        <f t="shared" ref="AX197:BY197" si="276">AX185*$AE155</f>
        <v>15457.018888494489</v>
      </c>
      <c r="AY197" s="527">
        <f t="shared" si="276"/>
        <v>15457.018888494489</v>
      </c>
      <c r="AZ197" s="527">
        <f t="shared" si="276"/>
        <v>15457.018888494489</v>
      </c>
      <c r="BA197" s="527">
        <f t="shared" si="276"/>
        <v>15457.018888494489</v>
      </c>
      <c r="BB197" s="527">
        <f t="shared" si="276"/>
        <v>12286.410041445508</v>
      </c>
      <c r="BC197" s="527">
        <f t="shared" si="276"/>
        <v>12286.410041445508</v>
      </c>
      <c r="BD197" s="527">
        <f t="shared" si="276"/>
        <v>12286.410041445508</v>
      </c>
      <c r="BE197" s="527">
        <f t="shared" si="276"/>
        <v>12286.410041445508</v>
      </c>
      <c r="BF197" s="527">
        <f t="shared" si="276"/>
        <v>12286.410041445508</v>
      </c>
      <c r="BG197" s="527">
        <f t="shared" si="276"/>
        <v>12286.410041445508</v>
      </c>
      <c r="BH197" s="527">
        <f t="shared" si="276"/>
        <v>16485.672130119485</v>
      </c>
      <c r="BI197" s="527">
        <f t="shared" si="276"/>
        <v>16485.672130119485</v>
      </c>
      <c r="BJ197" s="527">
        <f t="shared" si="276"/>
        <v>16485.672130119485</v>
      </c>
      <c r="BK197" s="527">
        <f t="shared" si="276"/>
        <v>16485.672130119485</v>
      </c>
      <c r="BL197" s="527">
        <f t="shared" si="276"/>
        <v>16485.672130119485</v>
      </c>
      <c r="BM197" s="527">
        <f t="shared" si="276"/>
        <v>16485.672130119485</v>
      </c>
      <c r="BN197" s="527">
        <f t="shared" si="276"/>
        <v>13280.709831429223</v>
      </c>
      <c r="BO197" s="527">
        <f t="shared" si="276"/>
        <v>13280.709831429223</v>
      </c>
      <c r="BP197" s="527">
        <f t="shared" si="276"/>
        <v>13280.709831429223</v>
      </c>
      <c r="BQ197" s="527">
        <f t="shared" si="276"/>
        <v>13280.709831429223</v>
      </c>
      <c r="BR197" s="527">
        <f t="shared" si="276"/>
        <v>13280.709831429223</v>
      </c>
      <c r="BS197" s="527">
        <f t="shared" si="276"/>
        <v>13280.709831429223</v>
      </c>
      <c r="BT197" s="527">
        <f t="shared" si="276"/>
        <v>17647.942403650151</v>
      </c>
      <c r="BU197" s="527">
        <f t="shared" si="276"/>
        <v>17647.942403650151</v>
      </c>
      <c r="BV197" s="527">
        <f t="shared" si="276"/>
        <v>17647.942403650151</v>
      </c>
      <c r="BW197" s="527">
        <f t="shared" si="276"/>
        <v>17647.942403650151</v>
      </c>
      <c r="BX197" s="527">
        <f t="shared" si="276"/>
        <v>17647.942403650151</v>
      </c>
      <c r="BY197" s="527">
        <f t="shared" si="276"/>
        <v>17647.942403650151</v>
      </c>
    </row>
    <row r="198" spans="1:77" x14ac:dyDescent="0.3">
      <c r="A198" s="551"/>
      <c r="B198" s="548"/>
      <c r="C198" s="525"/>
      <c r="D198" s="525"/>
      <c r="E198" s="616" t="str">
        <f>"Drinks net comm. uplift due to capex: "&amp;E$156</f>
        <v>Drinks net comm. uplift due to capex: FY28 Tranche</v>
      </c>
      <c r="F198" s="525"/>
      <c r="G198" s="525"/>
      <c r="H198" s="525"/>
      <c r="I198" s="525"/>
      <c r="J198" s="525"/>
      <c r="K198" s="525"/>
      <c r="L198" s="525"/>
      <c r="M198" s="525"/>
      <c r="N198" s="525"/>
      <c r="O198" s="525"/>
      <c r="P198" s="565"/>
      <c r="Q198" s="525"/>
      <c r="R198" s="527">
        <f t="shared" ref="R198:AW198" si="277">R186*$AE156</f>
        <v>0</v>
      </c>
      <c r="S198" s="527">
        <f t="shared" si="277"/>
        <v>0</v>
      </c>
      <c r="T198" s="527">
        <f t="shared" si="277"/>
        <v>0</v>
      </c>
      <c r="U198" s="527">
        <f t="shared" si="277"/>
        <v>0</v>
      </c>
      <c r="V198" s="527">
        <f t="shared" si="277"/>
        <v>0</v>
      </c>
      <c r="W198" s="527">
        <f t="shared" si="277"/>
        <v>0</v>
      </c>
      <c r="X198" s="527">
        <f t="shared" si="277"/>
        <v>0</v>
      </c>
      <c r="Y198" s="527">
        <f t="shared" si="277"/>
        <v>0</v>
      </c>
      <c r="Z198" s="527">
        <f t="shared" si="277"/>
        <v>0</v>
      </c>
      <c r="AA198" s="527">
        <f t="shared" si="277"/>
        <v>0</v>
      </c>
      <c r="AB198" s="527">
        <f t="shared" si="277"/>
        <v>0</v>
      </c>
      <c r="AC198" s="527">
        <f t="shared" si="277"/>
        <v>0</v>
      </c>
      <c r="AD198" s="527">
        <f t="shared" si="277"/>
        <v>0</v>
      </c>
      <c r="AE198" s="527">
        <f t="shared" si="277"/>
        <v>0</v>
      </c>
      <c r="AF198" s="527">
        <f t="shared" si="277"/>
        <v>0</v>
      </c>
      <c r="AG198" s="527">
        <f t="shared" si="277"/>
        <v>0</v>
      </c>
      <c r="AH198" s="527">
        <f t="shared" si="277"/>
        <v>0</v>
      </c>
      <c r="AI198" s="527">
        <f t="shared" si="277"/>
        <v>0</v>
      </c>
      <c r="AJ198" s="527">
        <f t="shared" si="277"/>
        <v>14508.920230749123</v>
      </c>
      <c r="AK198" s="527">
        <f t="shared" si="277"/>
        <v>14508.920230749123</v>
      </c>
      <c r="AL198" s="527">
        <f t="shared" si="277"/>
        <v>14508.920230749123</v>
      </c>
      <c r="AM198" s="527">
        <f t="shared" si="277"/>
        <v>14508.920230749123</v>
      </c>
      <c r="AN198" s="527">
        <f t="shared" si="277"/>
        <v>14508.920230749123</v>
      </c>
      <c r="AO198" s="527">
        <f t="shared" si="277"/>
        <v>14508.920230749123</v>
      </c>
      <c r="AP198" s="527">
        <f t="shared" si="277"/>
        <v>11207.00697112906</v>
      </c>
      <c r="AQ198" s="527">
        <f t="shared" si="277"/>
        <v>11207.00697112906</v>
      </c>
      <c r="AR198" s="527">
        <f t="shared" si="277"/>
        <v>11207.00697112906</v>
      </c>
      <c r="AS198" s="527">
        <f t="shared" si="277"/>
        <v>11207.00697112906</v>
      </c>
      <c r="AT198" s="527">
        <f t="shared" si="277"/>
        <v>11207.00697112906</v>
      </c>
      <c r="AU198" s="527">
        <f t="shared" si="277"/>
        <v>11207.00697112906</v>
      </c>
      <c r="AV198" s="527">
        <f t="shared" si="277"/>
        <v>15236.26858310842</v>
      </c>
      <c r="AW198" s="527">
        <f t="shared" si="277"/>
        <v>15236.26858310842</v>
      </c>
      <c r="AX198" s="527">
        <f t="shared" ref="AX198:BY198" si="278">AX186*$AE156</f>
        <v>15236.26858310842</v>
      </c>
      <c r="AY198" s="527">
        <f t="shared" si="278"/>
        <v>15236.26858310842</v>
      </c>
      <c r="AZ198" s="527">
        <f t="shared" si="278"/>
        <v>15236.26858310842</v>
      </c>
      <c r="BA198" s="527">
        <f t="shared" si="278"/>
        <v>15236.26858310842</v>
      </c>
      <c r="BB198" s="527">
        <f t="shared" si="278"/>
        <v>12065.659736059439</v>
      </c>
      <c r="BC198" s="527">
        <f t="shared" si="278"/>
        <v>12065.659736059439</v>
      </c>
      <c r="BD198" s="527">
        <f t="shared" si="278"/>
        <v>12065.659736059439</v>
      </c>
      <c r="BE198" s="527">
        <f t="shared" si="278"/>
        <v>12065.659736059439</v>
      </c>
      <c r="BF198" s="527">
        <f t="shared" si="278"/>
        <v>12065.659736059439</v>
      </c>
      <c r="BG198" s="527">
        <f t="shared" si="278"/>
        <v>12065.659736059439</v>
      </c>
      <c r="BH198" s="527">
        <f t="shared" si="278"/>
        <v>16256.091812517967</v>
      </c>
      <c r="BI198" s="527">
        <f t="shared" si="278"/>
        <v>16256.091812517967</v>
      </c>
      <c r="BJ198" s="527">
        <f t="shared" si="278"/>
        <v>16256.091812517967</v>
      </c>
      <c r="BK198" s="527">
        <f t="shared" si="278"/>
        <v>16256.091812517967</v>
      </c>
      <c r="BL198" s="527">
        <f t="shared" si="278"/>
        <v>16256.091812517967</v>
      </c>
      <c r="BM198" s="527">
        <f t="shared" si="278"/>
        <v>16256.091812517967</v>
      </c>
      <c r="BN198" s="527">
        <f t="shared" si="278"/>
        <v>13051.129513827704</v>
      </c>
      <c r="BO198" s="527">
        <f t="shared" si="278"/>
        <v>13051.129513827704</v>
      </c>
      <c r="BP198" s="527">
        <f t="shared" si="278"/>
        <v>13051.129513827704</v>
      </c>
      <c r="BQ198" s="527">
        <f t="shared" si="278"/>
        <v>13051.129513827704</v>
      </c>
      <c r="BR198" s="527">
        <f t="shared" si="278"/>
        <v>13051.129513827704</v>
      </c>
      <c r="BS198" s="527">
        <f t="shared" si="278"/>
        <v>13051.129513827704</v>
      </c>
      <c r="BT198" s="527">
        <f t="shared" si="278"/>
        <v>17409.178873344572</v>
      </c>
      <c r="BU198" s="527">
        <f t="shared" si="278"/>
        <v>17409.178873344572</v>
      </c>
      <c r="BV198" s="527">
        <f t="shared" si="278"/>
        <v>17409.178873344572</v>
      </c>
      <c r="BW198" s="527">
        <f t="shared" si="278"/>
        <v>17409.178873344572</v>
      </c>
      <c r="BX198" s="527">
        <f t="shared" si="278"/>
        <v>17409.178873344572</v>
      </c>
      <c r="BY198" s="527">
        <f t="shared" si="278"/>
        <v>17409.178873344572</v>
      </c>
    </row>
    <row r="199" spans="1:77" x14ac:dyDescent="0.3">
      <c r="A199" s="551"/>
      <c r="B199" s="548"/>
      <c r="C199" s="525"/>
      <c r="D199" s="525"/>
      <c r="E199" s="616" t="str">
        <f>"Drinks net comm. uplift due to capex: "&amp;E$157</f>
        <v>Drinks net comm. uplift due to capex: FY29 Tranche</v>
      </c>
      <c r="F199" s="525"/>
      <c r="G199" s="525"/>
      <c r="H199" s="525"/>
      <c r="I199" s="525"/>
      <c r="J199" s="525"/>
      <c r="K199" s="525"/>
      <c r="L199" s="525"/>
      <c r="M199" s="525"/>
      <c r="N199" s="525"/>
      <c r="O199" s="525"/>
      <c r="P199" s="565"/>
      <c r="Q199" s="525"/>
      <c r="R199" s="527">
        <f t="shared" ref="R199:AW199" si="279">R187*$AE157</f>
        <v>0</v>
      </c>
      <c r="S199" s="527">
        <f t="shared" si="279"/>
        <v>0</v>
      </c>
      <c r="T199" s="527">
        <f t="shared" si="279"/>
        <v>0</v>
      </c>
      <c r="U199" s="527">
        <f t="shared" si="279"/>
        <v>0</v>
      </c>
      <c r="V199" s="527">
        <f t="shared" si="279"/>
        <v>0</v>
      </c>
      <c r="W199" s="527">
        <f t="shared" si="279"/>
        <v>0</v>
      </c>
      <c r="X199" s="527">
        <f t="shared" si="279"/>
        <v>0</v>
      </c>
      <c r="Y199" s="527">
        <f t="shared" si="279"/>
        <v>0</v>
      </c>
      <c r="Z199" s="527">
        <f t="shared" si="279"/>
        <v>0</v>
      </c>
      <c r="AA199" s="527">
        <f t="shared" si="279"/>
        <v>0</v>
      </c>
      <c r="AB199" s="527">
        <f t="shared" si="279"/>
        <v>0</v>
      </c>
      <c r="AC199" s="527">
        <f t="shared" si="279"/>
        <v>0</v>
      </c>
      <c r="AD199" s="527">
        <f t="shared" si="279"/>
        <v>0</v>
      </c>
      <c r="AE199" s="527">
        <f t="shared" si="279"/>
        <v>0</v>
      </c>
      <c r="AF199" s="527">
        <f t="shared" si="279"/>
        <v>0</v>
      </c>
      <c r="AG199" s="527">
        <f t="shared" si="279"/>
        <v>0</v>
      </c>
      <c r="AH199" s="527">
        <f t="shared" si="279"/>
        <v>0</v>
      </c>
      <c r="AI199" s="527">
        <f t="shared" si="279"/>
        <v>0</v>
      </c>
      <c r="AJ199" s="527">
        <f t="shared" si="279"/>
        <v>0</v>
      </c>
      <c r="AK199" s="527">
        <f t="shared" si="279"/>
        <v>0</v>
      </c>
      <c r="AL199" s="527">
        <f t="shared" si="279"/>
        <v>0</v>
      </c>
      <c r="AM199" s="527">
        <f t="shared" si="279"/>
        <v>0</v>
      </c>
      <c r="AN199" s="527">
        <f t="shared" si="279"/>
        <v>0</v>
      </c>
      <c r="AO199" s="527">
        <f t="shared" si="279"/>
        <v>0</v>
      </c>
      <c r="AP199" s="527">
        <f t="shared" si="279"/>
        <v>0</v>
      </c>
      <c r="AQ199" s="527">
        <f t="shared" si="279"/>
        <v>0</v>
      </c>
      <c r="AR199" s="527">
        <f t="shared" si="279"/>
        <v>0</v>
      </c>
      <c r="AS199" s="527">
        <f t="shared" si="279"/>
        <v>0</v>
      </c>
      <c r="AT199" s="527">
        <f t="shared" si="279"/>
        <v>0</v>
      </c>
      <c r="AU199" s="527">
        <f t="shared" si="279"/>
        <v>0</v>
      </c>
      <c r="AV199" s="527">
        <f t="shared" si="279"/>
        <v>14834.709594821526</v>
      </c>
      <c r="AW199" s="527">
        <f t="shared" si="279"/>
        <v>14834.709594821526</v>
      </c>
      <c r="AX199" s="527">
        <f t="shared" ref="AX199:BY199" si="280">AX187*$AE157</f>
        <v>14834.709594821526</v>
      </c>
      <c r="AY199" s="527">
        <f t="shared" si="280"/>
        <v>14834.709594821526</v>
      </c>
      <c r="AZ199" s="527">
        <f t="shared" si="280"/>
        <v>14834.709594821526</v>
      </c>
      <c r="BA199" s="527">
        <f t="shared" si="280"/>
        <v>14834.709594821526</v>
      </c>
      <c r="BB199" s="527">
        <f t="shared" si="280"/>
        <v>11664.100747772545</v>
      </c>
      <c r="BC199" s="527">
        <f t="shared" si="280"/>
        <v>11664.100747772545</v>
      </c>
      <c r="BD199" s="527">
        <f t="shared" si="280"/>
        <v>11664.100747772545</v>
      </c>
      <c r="BE199" s="527">
        <f t="shared" si="280"/>
        <v>11664.100747772545</v>
      </c>
      <c r="BF199" s="527">
        <f t="shared" si="280"/>
        <v>11664.100747772545</v>
      </c>
      <c r="BG199" s="527">
        <f t="shared" si="280"/>
        <v>11664.100747772545</v>
      </c>
      <c r="BH199" s="527">
        <f t="shared" si="280"/>
        <v>15838.470464699607</v>
      </c>
      <c r="BI199" s="527">
        <f t="shared" si="280"/>
        <v>15838.470464699607</v>
      </c>
      <c r="BJ199" s="527">
        <f t="shared" si="280"/>
        <v>15838.470464699607</v>
      </c>
      <c r="BK199" s="527">
        <f t="shared" si="280"/>
        <v>15838.470464699607</v>
      </c>
      <c r="BL199" s="527">
        <f t="shared" si="280"/>
        <v>15838.470464699607</v>
      </c>
      <c r="BM199" s="527">
        <f t="shared" si="280"/>
        <v>15838.470464699607</v>
      </c>
      <c r="BN199" s="527">
        <f t="shared" si="280"/>
        <v>12633.508166009344</v>
      </c>
      <c r="BO199" s="527">
        <f t="shared" si="280"/>
        <v>12633.508166009344</v>
      </c>
      <c r="BP199" s="527">
        <f t="shared" si="280"/>
        <v>12633.508166009344</v>
      </c>
      <c r="BQ199" s="527">
        <f t="shared" si="280"/>
        <v>12633.508166009344</v>
      </c>
      <c r="BR199" s="527">
        <f t="shared" si="280"/>
        <v>12633.508166009344</v>
      </c>
      <c r="BS199" s="527">
        <f t="shared" si="280"/>
        <v>12633.508166009344</v>
      </c>
      <c r="BT199" s="527">
        <f t="shared" si="280"/>
        <v>16974.852671613495</v>
      </c>
      <c r="BU199" s="527">
        <f t="shared" si="280"/>
        <v>16974.852671613495</v>
      </c>
      <c r="BV199" s="527">
        <f t="shared" si="280"/>
        <v>16974.852671613495</v>
      </c>
      <c r="BW199" s="527">
        <f t="shared" si="280"/>
        <v>16974.852671613495</v>
      </c>
      <c r="BX199" s="527">
        <f t="shared" si="280"/>
        <v>16974.852671613495</v>
      </c>
      <c r="BY199" s="527">
        <f t="shared" si="280"/>
        <v>16974.852671613495</v>
      </c>
    </row>
    <row r="200" spans="1:77" x14ac:dyDescent="0.3">
      <c r="A200" s="551"/>
      <c r="B200" s="548"/>
      <c r="C200" s="525"/>
      <c r="D200" s="525"/>
      <c r="E200" s="616" t="str">
        <f>"Drinks net comm. uplift due to capex: "&amp;E$158</f>
        <v>Drinks net comm. uplift due to capex: FY30 Tranche</v>
      </c>
      <c r="F200" s="525"/>
      <c r="G200" s="525"/>
      <c r="H200" s="525"/>
      <c r="I200" s="525"/>
      <c r="J200" s="525"/>
      <c r="K200" s="525"/>
      <c r="L200" s="525"/>
      <c r="M200" s="525"/>
      <c r="N200" s="525"/>
      <c r="O200" s="525"/>
      <c r="P200" s="565"/>
      <c r="Q200" s="525"/>
      <c r="R200" s="527">
        <f t="shared" ref="R200:AW200" si="281">R188*$AE158</f>
        <v>0</v>
      </c>
      <c r="S200" s="527">
        <f t="shared" si="281"/>
        <v>0</v>
      </c>
      <c r="T200" s="527">
        <f t="shared" si="281"/>
        <v>0</v>
      </c>
      <c r="U200" s="527">
        <f t="shared" si="281"/>
        <v>0</v>
      </c>
      <c r="V200" s="527">
        <f t="shared" si="281"/>
        <v>0</v>
      </c>
      <c r="W200" s="527">
        <f t="shared" si="281"/>
        <v>0</v>
      </c>
      <c r="X200" s="527">
        <f t="shared" si="281"/>
        <v>0</v>
      </c>
      <c r="Y200" s="527">
        <f t="shared" si="281"/>
        <v>0</v>
      </c>
      <c r="Z200" s="527">
        <f t="shared" si="281"/>
        <v>0</v>
      </c>
      <c r="AA200" s="527">
        <f t="shared" si="281"/>
        <v>0</v>
      </c>
      <c r="AB200" s="527">
        <f t="shared" si="281"/>
        <v>0</v>
      </c>
      <c r="AC200" s="527">
        <f t="shared" si="281"/>
        <v>0</v>
      </c>
      <c r="AD200" s="527">
        <f t="shared" si="281"/>
        <v>0</v>
      </c>
      <c r="AE200" s="527">
        <f t="shared" si="281"/>
        <v>0</v>
      </c>
      <c r="AF200" s="527">
        <f t="shared" si="281"/>
        <v>0</v>
      </c>
      <c r="AG200" s="527">
        <f t="shared" si="281"/>
        <v>0</v>
      </c>
      <c r="AH200" s="527">
        <f t="shared" si="281"/>
        <v>0</v>
      </c>
      <c r="AI200" s="527">
        <f t="shared" si="281"/>
        <v>0</v>
      </c>
      <c r="AJ200" s="527">
        <f t="shared" si="281"/>
        <v>0</v>
      </c>
      <c r="AK200" s="527">
        <f t="shared" si="281"/>
        <v>0</v>
      </c>
      <c r="AL200" s="527">
        <f t="shared" si="281"/>
        <v>0</v>
      </c>
      <c r="AM200" s="527">
        <f t="shared" si="281"/>
        <v>0</v>
      </c>
      <c r="AN200" s="527">
        <f t="shared" si="281"/>
        <v>0</v>
      </c>
      <c r="AO200" s="527">
        <f t="shared" si="281"/>
        <v>0</v>
      </c>
      <c r="AP200" s="527">
        <f t="shared" si="281"/>
        <v>0</v>
      </c>
      <c r="AQ200" s="527">
        <f t="shared" si="281"/>
        <v>0</v>
      </c>
      <c r="AR200" s="527">
        <f t="shared" si="281"/>
        <v>0</v>
      </c>
      <c r="AS200" s="527">
        <f t="shared" si="281"/>
        <v>0</v>
      </c>
      <c r="AT200" s="527">
        <f t="shared" si="281"/>
        <v>0</v>
      </c>
      <c r="AU200" s="527">
        <f t="shared" si="281"/>
        <v>0</v>
      </c>
      <c r="AV200" s="527">
        <f t="shared" si="281"/>
        <v>0</v>
      </c>
      <c r="AW200" s="527">
        <f t="shared" si="281"/>
        <v>0</v>
      </c>
      <c r="AX200" s="527">
        <f t="shared" ref="AX200:BY200" si="282">AX188*$AE158</f>
        <v>0</v>
      </c>
      <c r="AY200" s="527">
        <f t="shared" si="282"/>
        <v>0</v>
      </c>
      <c r="AZ200" s="527">
        <f t="shared" si="282"/>
        <v>0</v>
      </c>
      <c r="BA200" s="527">
        <f t="shared" si="282"/>
        <v>0</v>
      </c>
      <c r="BB200" s="527">
        <f t="shared" si="282"/>
        <v>0</v>
      </c>
      <c r="BC200" s="527">
        <f t="shared" si="282"/>
        <v>0</v>
      </c>
      <c r="BD200" s="527">
        <f t="shared" si="282"/>
        <v>0</v>
      </c>
      <c r="BE200" s="527">
        <f t="shared" si="282"/>
        <v>0</v>
      </c>
      <c r="BF200" s="527">
        <f t="shared" si="282"/>
        <v>0</v>
      </c>
      <c r="BG200" s="527">
        <f t="shared" si="282"/>
        <v>0</v>
      </c>
      <c r="BH200" s="527">
        <f t="shared" si="282"/>
        <v>15141.456212643872</v>
      </c>
      <c r="BI200" s="527">
        <f t="shared" si="282"/>
        <v>15141.456212643872</v>
      </c>
      <c r="BJ200" s="527">
        <f t="shared" si="282"/>
        <v>15141.456212643872</v>
      </c>
      <c r="BK200" s="527">
        <f t="shared" si="282"/>
        <v>15141.456212643872</v>
      </c>
      <c r="BL200" s="527">
        <f t="shared" si="282"/>
        <v>15141.456212643872</v>
      </c>
      <c r="BM200" s="527">
        <f t="shared" si="282"/>
        <v>15141.456212643872</v>
      </c>
      <c r="BN200" s="527">
        <f t="shared" si="282"/>
        <v>11936.493913953609</v>
      </c>
      <c r="BO200" s="527">
        <f t="shared" si="282"/>
        <v>11936.493913953609</v>
      </c>
      <c r="BP200" s="527">
        <f t="shared" si="282"/>
        <v>11936.493913953609</v>
      </c>
      <c r="BQ200" s="527">
        <f t="shared" si="282"/>
        <v>11936.493913953609</v>
      </c>
      <c r="BR200" s="527">
        <f t="shared" si="282"/>
        <v>11936.493913953609</v>
      </c>
      <c r="BS200" s="527">
        <f t="shared" si="282"/>
        <v>11936.493913953609</v>
      </c>
      <c r="BT200" s="527">
        <f t="shared" si="282"/>
        <v>16249.957849475521</v>
      </c>
      <c r="BU200" s="527">
        <f t="shared" si="282"/>
        <v>16249.957849475521</v>
      </c>
      <c r="BV200" s="527">
        <f t="shared" si="282"/>
        <v>16249.957849475521</v>
      </c>
      <c r="BW200" s="527">
        <f t="shared" si="282"/>
        <v>16249.957849475521</v>
      </c>
      <c r="BX200" s="527">
        <f t="shared" si="282"/>
        <v>16249.957849475521</v>
      </c>
      <c r="BY200" s="527">
        <f t="shared" si="282"/>
        <v>16249.957849475521</v>
      </c>
    </row>
    <row r="201" spans="1:77" x14ac:dyDescent="0.3">
      <c r="A201" s="551"/>
      <c r="B201" s="548"/>
      <c r="C201" s="525"/>
      <c r="D201" s="525"/>
      <c r="E201" s="616" t="str">
        <f>"Drinks net comm. uplift due to capex: "&amp;E$159</f>
        <v>Drinks net comm. uplift due to capex: FY31 Tranche</v>
      </c>
      <c r="F201" s="525"/>
      <c r="G201" s="525"/>
      <c r="H201" s="525"/>
      <c r="I201" s="525"/>
      <c r="J201" s="525"/>
      <c r="K201" s="525"/>
      <c r="L201" s="525"/>
      <c r="M201" s="525"/>
      <c r="N201" s="525"/>
      <c r="O201" s="525"/>
      <c r="P201" s="565"/>
      <c r="Q201" s="525"/>
      <c r="R201" s="527">
        <f t="shared" ref="R201:AW201" si="283">R189*$AE159</f>
        <v>0</v>
      </c>
      <c r="S201" s="527">
        <f t="shared" si="283"/>
        <v>0</v>
      </c>
      <c r="T201" s="527">
        <f t="shared" si="283"/>
        <v>0</v>
      </c>
      <c r="U201" s="527">
        <f t="shared" si="283"/>
        <v>0</v>
      </c>
      <c r="V201" s="527">
        <f t="shared" si="283"/>
        <v>0</v>
      </c>
      <c r="W201" s="527">
        <f t="shared" si="283"/>
        <v>0</v>
      </c>
      <c r="X201" s="527">
        <f t="shared" si="283"/>
        <v>0</v>
      </c>
      <c r="Y201" s="527">
        <f t="shared" si="283"/>
        <v>0</v>
      </c>
      <c r="Z201" s="527">
        <f t="shared" si="283"/>
        <v>0</v>
      </c>
      <c r="AA201" s="527">
        <f t="shared" si="283"/>
        <v>0</v>
      </c>
      <c r="AB201" s="527">
        <f t="shared" si="283"/>
        <v>0</v>
      </c>
      <c r="AC201" s="527">
        <f t="shared" si="283"/>
        <v>0</v>
      </c>
      <c r="AD201" s="527">
        <f t="shared" si="283"/>
        <v>0</v>
      </c>
      <c r="AE201" s="527">
        <f t="shared" si="283"/>
        <v>0</v>
      </c>
      <c r="AF201" s="527">
        <f t="shared" si="283"/>
        <v>0</v>
      </c>
      <c r="AG201" s="527">
        <f t="shared" si="283"/>
        <v>0</v>
      </c>
      <c r="AH201" s="527">
        <f t="shared" si="283"/>
        <v>0</v>
      </c>
      <c r="AI201" s="527">
        <f t="shared" si="283"/>
        <v>0</v>
      </c>
      <c r="AJ201" s="527">
        <f t="shared" si="283"/>
        <v>0</v>
      </c>
      <c r="AK201" s="527">
        <f t="shared" si="283"/>
        <v>0</v>
      </c>
      <c r="AL201" s="527">
        <f t="shared" si="283"/>
        <v>0</v>
      </c>
      <c r="AM201" s="527">
        <f t="shared" si="283"/>
        <v>0</v>
      </c>
      <c r="AN201" s="527">
        <f t="shared" si="283"/>
        <v>0</v>
      </c>
      <c r="AO201" s="527">
        <f t="shared" si="283"/>
        <v>0</v>
      </c>
      <c r="AP201" s="527">
        <f t="shared" si="283"/>
        <v>0</v>
      </c>
      <c r="AQ201" s="527">
        <f t="shared" si="283"/>
        <v>0</v>
      </c>
      <c r="AR201" s="527">
        <f t="shared" si="283"/>
        <v>0</v>
      </c>
      <c r="AS201" s="527">
        <f t="shared" si="283"/>
        <v>0</v>
      </c>
      <c r="AT201" s="527">
        <f t="shared" si="283"/>
        <v>0</v>
      </c>
      <c r="AU201" s="527">
        <f t="shared" si="283"/>
        <v>0</v>
      </c>
      <c r="AV201" s="527">
        <f t="shared" si="283"/>
        <v>0</v>
      </c>
      <c r="AW201" s="527">
        <f t="shared" si="283"/>
        <v>0</v>
      </c>
      <c r="AX201" s="527">
        <f t="shared" ref="AX201:BY201" si="284">AX189*$AE159</f>
        <v>0</v>
      </c>
      <c r="AY201" s="527">
        <f t="shared" si="284"/>
        <v>0</v>
      </c>
      <c r="AZ201" s="527">
        <f t="shared" si="284"/>
        <v>0</v>
      </c>
      <c r="BA201" s="527">
        <f t="shared" si="284"/>
        <v>0</v>
      </c>
      <c r="BB201" s="527">
        <f t="shared" si="284"/>
        <v>0</v>
      </c>
      <c r="BC201" s="527">
        <f t="shared" si="284"/>
        <v>0</v>
      </c>
      <c r="BD201" s="527">
        <f t="shared" si="284"/>
        <v>0</v>
      </c>
      <c r="BE201" s="527">
        <f t="shared" si="284"/>
        <v>0</v>
      </c>
      <c r="BF201" s="527">
        <f t="shared" si="284"/>
        <v>0</v>
      </c>
      <c r="BG201" s="527">
        <f t="shared" si="284"/>
        <v>0</v>
      </c>
      <c r="BH201" s="527">
        <f t="shared" si="284"/>
        <v>0</v>
      </c>
      <c r="BI201" s="527">
        <f t="shared" si="284"/>
        <v>0</v>
      </c>
      <c r="BJ201" s="527">
        <f t="shared" si="284"/>
        <v>0</v>
      </c>
      <c r="BK201" s="527">
        <f t="shared" si="284"/>
        <v>0</v>
      </c>
      <c r="BL201" s="527">
        <f t="shared" si="284"/>
        <v>0</v>
      </c>
      <c r="BM201" s="527">
        <f t="shared" si="284"/>
        <v>0</v>
      </c>
      <c r="BN201" s="527">
        <f t="shared" si="284"/>
        <v>0</v>
      </c>
      <c r="BO201" s="527">
        <f t="shared" si="284"/>
        <v>0</v>
      </c>
      <c r="BP201" s="527">
        <f t="shared" si="284"/>
        <v>0</v>
      </c>
      <c r="BQ201" s="527">
        <f t="shared" si="284"/>
        <v>0</v>
      </c>
      <c r="BR201" s="527">
        <f t="shared" si="284"/>
        <v>0</v>
      </c>
      <c r="BS201" s="527">
        <f t="shared" si="284"/>
        <v>0</v>
      </c>
      <c r="BT201" s="527">
        <f t="shared" si="284"/>
        <v>15436.956524518597</v>
      </c>
      <c r="BU201" s="527">
        <f t="shared" si="284"/>
        <v>15436.956524518597</v>
      </c>
      <c r="BV201" s="527">
        <f t="shared" si="284"/>
        <v>15436.956524518597</v>
      </c>
      <c r="BW201" s="527">
        <f t="shared" si="284"/>
        <v>15436.956524518597</v>
      </c>
      <c r="BX201" s="527">
        <f t="shared" si="284"/>
        <v>15436.956524518597</v>
      </c>
      <c r="BY201" s="527">
        <f t="shared" si="284"/>
        <v>15436.956524518597</v>
      </c>
    </row>
    <row r="202" spans="1:77" x14ac:dyDescent="0.3">
      <c r="A202" s="551"/>
      <c r="B202" s="548"/>
      <c r="C202" s="525"/>
      <c r="D202" s="525"/>
      <c r="E202" s="616" t="str">
        <f>"Drinks net comm. uplift due to capex: "&amp;E$160</f>
        <v>Drinks net comm. uplift due to capex: Uninvested Tranche</v>
      </c>
      <c r="F202" s="525"/>
      <c r="G202" s="525"/>
      <c r="H202" s="525"/>
      <c r="I202" s="525"/>
      <c r="J202" s="525"/>
      <c r="K202" s="525"/>
      <c r="L202" s="525"/>
      <c r="M202" s="525"/>
      <c r="N202" s="525"/>
      <c r="O202" s="525"/>
      <c r="P202" s="565"/>
      <c r="Q202" s="525"/>
      <c r="R202" s="527">
        <f t="shared" ref="R202:AW202" si="285">R190*$AE160</f>
        <v>0</v>
      </c>
      <c r="S202" s="527">
        <f t="shared" si="285"/>
        <v>0</v>
      </c>
      <c r="T202" s="527">
        <f t="shared" si="285"/>
        <v>0</v>
      </c>
      <c r="U202" s="527">
        <f t="shared" si="285"/>
        <v>0</v>
      </c>
      <c r="V202" s="527">
        <f t="shared" si="285"/>
        <v>0</v>
      </c>
      <c r="W202" s="527">
        <f t="shared" si="285"/>
        <v>0</v>
      </c>
      <c r="X202" s="527">
        <f t="shared" si="285"/>
        <v>0</v>
      </c>
      <c r="Y202" s="527">
        <f t="shared" si="285"/>
        <v>0</v>
      </c>
      <c r="Z202" s="527">
        <f t="shared" si="285"/>
        <v>0</v>
      </c>
      <c r="AA202" s="527">
        <f t="shared" si="285"/>
        <v>0</v>
      </c>
      <c r="AB202" s="527">
        <f t="shared" si="285"/>
        <v>0</v>
      </c>
      <c r="AC202" s="527">
        <f t="shared" si="285"/>
        <v>0</v>
      </c>
      <c r="AD202" s="527">
        <f t="shared" si="285"/>
        <v>0</v>
      </c>
      <c r="AE202" s="527">
        <f t="shared" si="285"/>
        <v>0</v>
      </c>
      <c r="AF202" s="527">
        <f t="shared" si="285"/>
        <v>0</v>
      </c>
      <c r="AG202" s="527">
        <f t="shared" si="285"/>
        <v>0</v>
      </c>
      <c r="AH202" s="527">
        <f t="shared" si="285"/>
        <v>0</v>
      </c>
      <c r="AI202" s="527">
        <f t="shared" si="285"/>
        <v>0</v>
      </c>
      <c r="AJ202" s="527">
        <f t="shared" si="285"/>
        <v>0</v>
      </c>
      <c r="AK202" s="527">
        <f t="shared" si="285"/>
        <v>0</v>
      </c>
      <c r="AL202" s="527">
        <f t="shared" si="285"/>
        <v>0</v>
      </c>
      <c r="AM202" s="527">
        <f t="shared" si="285"/>
        <v>0</v>
      </c>
      <c r="AN202" s="527">
        <f t="shared" si="285"/>
        <v>0</v>
      </c>
      <c r="AO202" s="527">
        <f t="shared" si="285"/>
        <v>0</v>
      </c>
      <c r="AP202" s="527">
        <f t="shared" si="285"/>
        <v>0</v>
      </c>
      <c r="AQ202" s="527">
        <f t="shared" si="285"/>
        <v>0</v>
      </c>
      <c r="AR202" s="527">
        <f t="shared" si="285"/>
        <v>0</v>
      </c>
      <c r="AS202" s="527">
        <f t="shared" si="285"/>
        <v>0</v>
      </c>
      <c r="AT202" s="527">
        <f t="shared" si="285"/>
        <v>0</v>
      </c>
      <c r="AU202" s="527">
        <f t="shared" si="285"/>
        <v>0</v>
      </c>
      <c r="AV202" s="527">
        <f t="shared" si="285"/>
        <v>0</v>
      </c>
      <c r="AW202" s="527">
        <f t="shared" si="285"/>
        <v>0</v>
      </c>
      <c r="AX202" s="527">
        <f t="shared" ref="AX202:BY202" si="286">AX190*$AE160</f>
        <v>0</v>
      </c>
      <c r="AY202" s="527">
        <f t="shared" si="286"/>
        <v>0</v>
      </c>
      <c r="AZ202" s="527">
        <f t="shared" si="286"/>
        <v>0</v>
      </c>
      <c r="BA202" s="527">
        <f t="shared" si="286"/>
        <v>0</v>
      </c>
      <c r="BB202" s="527">
        <f t="shared" si="286"/>
        <v>0</v>
      </c>
      <c r="BC202" s="527">
        <f t="shared" si="286"/>
        <v>0</v>
      </c>
      <c r="BD202" s="527">
        <f t="shared" si="286"/>
        <v>0</v>
      </c>
      <c r="BE202" s="527">
        <f t="shared" si="286"/>
        <v>0</v>
      </c>
      <c r="BF202" s="527">
        <f t="shared" si="286"/>
        <v>0</v>
      </c>
      <c r="BG202" s="527">
        <f t="shared" si="286"/>
        <v>0</v>
      </c>
      <c r="BH202" s="527">
        <f t="shared" si="286"/>
        <v>0</v>
      </c>
      <c r="BI202" s="527">
        <f t="shared" si="286"/>
        <v>0</v>
      </c>
      <c r="BJ202" s="527">
        <f t="shared" si="286"/>
        <v>0</v>
      </c>
      <c r="BK202" s="527">
        <f t="shared" si="286"/>
        <v>0</v>
      </c>
      <c r="BL202" s="527">
        <f t="shared" si="286"/>
        <v>0</v>
      </c>
      <c r="BM202" s="527">
        <f t="shared" si="286"/>
        <v>0</v>
      </c>
      <c r="BN202" s="527">
        <f t="shared" si="286"/>
        <v>0</v>
      </c>
      <c r="BO202" s="527">
        <f t="shared" si="286"/>
        <v>0</v>
      </c>
      <c r="BP202" s="527">
        <f t="shared" si="286"/>
        <v>0</v>
      </c>
      <c r="BQ202" s="527">
        <f t="shared" si="286"/>
        <v>0</v>
      </c>
      <c r="BR202" s="527">
        <f t="shared" si="286"/>
        <v>0</v>
      </c>
      <c r="BS202" s="527">
        <f t="shared" si="286"/>
        <v>0</v>
      </c>
      <c r="BT202" s="527">
        <f t="shared" si="286"/>
        <v>0</v>
      </c>
      <c r="BU202" s="527">
        <f t="shared" si="286"/>
        <v>0</v>
      </c>
      <c r="BV202" s="527">
        <f t="shared" si="286"/>
        <v>0</v>
      </c>
      <c r="BW202" s="527">
        <f t="shared" si="286"/>
        <v>0</v>
      </c>
      <c r="BX202" s="527">
        <f t="shared" si="286"/>
        <v>0</v>
      </c>
      <c r="BY202" s="527">
        <f t="shared" si="286"/>
        <v>0</v>
      </c>
    </row>
    <row r="203" spans="1:77" x14ac:dyDescent="0.3">
      <c r="A203" s="551"/>
      <c r="B203" s="548"/>
      <c r="C203" s="525"/>
      <c r="D203" s="525"/>
      <c r="E203" s="572" t="s">
        <v>36</v>
      </c>
      <c r="F203" s="572"/>
      <c r="G203" s="572"/>
      <c r="H203" s="572"/>
      <c r="I203" s="572"/>
      <c r="J203" s="572"/>
      <c r="K203" s="572"/>
      <c r="L203" s="572"/>
      <c r="M203" s="572"/>
      <c r="N203" s="572"/>
      <c r="O203" s="572"/>
      <c r="P203" s="612"/>
      <c r="Q203" s="572"/>
      <c r="R203" s="532">
        <f t="shared" ref="R203:AW203" si="287">SUM(R197:R202)</f>
        <v>0</v>
      </c>
      <c r="S203" s="532">
        <f t="shared" si="287"/>
        <v>0</v>
      </c>
      <c r="T203" s="532">
        <f t="shared" si="287"/>
        <v>0</v>
      </c>
      <c r="U203" s="532">
        <f t="shared" si="287"/>
        <v>0</v>
      </c>
      <c r="V203" s="532">
        <f t="shared" si="287"/>
        <v>0</v>
      </c>
      <c r="W203" s="532">
        <f t="shared" si="287"/>
        <v>0</v>
      </c>
      <c r="X203" s="532">
        <f t="shared" si="287"/>
        <v>14168.178370855805</v>
      </c>
      <c r="Y203" s="532">
        <f t="shared" si="287"/>
        <v>14168.178370855805</v>
      </c>
      <c r="Z203" s="532">
        <f t="shared" si="287"/>
        <v>14168.178370855805</v>
      </c>
      <c r="AA203" s="532">
        <f t="shared" si="287"/>
        <v>14168.178370855805</v>
      </c>
      <c r="AB203" s="532">
        <f t="shared" si="287"/>
        <v>14168.178370855805</v>
      </c>
      <c r="AC203" s="532">
        <f t="shared" si="287"/>
        <v>14168.178370855805</v>
      </c>
      <c r="AD203" s="532">
        <f t="shared" si="287"/>
        <v>10838.726285600764</v>
      </c>
      <c r="AE203" s="532">
        <f t="shared" si="287"/>
        <v>10838.726285600764</v>
      </c>
      <c r="AF203" s="532">
        <f t="shared" si="287"/>
        <v>10838.726285600764</v>
      </c>
      <c r="AG203" s="532">
        <f t="shared" si="287"/>
        <v>10838.726285600764</v>
      </c>
      <c r="AH203" s="532">
        <f t="shared" si="287"/>
        <v>10838.726285600764</v>
      </c>
      <c r="AI203" s="532">
        <f t="shared" si="287"/>
        <v>10838.726285600764</v>
      </c>
      <c r="AJ203" s="532">
        <f t="shared" si="287"/>
        <v>29230.100370523316</v>
      </c>
      <c r="AK203" s="532">
        <f t="shared" si="287"/>
        <v>29230.100370523316</v>
      </c>
      <c r="AL203" s="532">
        <f t="shared" si="287"/>
        <v>29230.100370523316</v>
      </c>
      <c r="AM203" s="532">
        <f t="shared" si="287"/>
        <v>29230.100370523316</v>
      </c>
      <c r="AN203" s="532">
        <f t="shared" si="287"/>
        <v>29230.100370523316</v>
      </c>
      <c r="AO203" s="532">
        <f t="shared" si="287"/>
        <v>29230.100370523316</v>
      </c>
      <c r="AP203" s="532">
        <f t="shared" si="287"/>
        <v>22626.273851283186</v>
      </c>
      <c r="AQ203" s="532">
        <f t="shared" si="287"/>
        <v>22626.273851283186</v>
      </c>
      <c r="AR203" s="532">
        <f t="shared" si="287"/>
        <v>22626.273851283186</v>
      </c>
      <c r="AS203" s="532">
        <f t="shared" si="287"/>
        <v>22626.273851283186</v>
      </c>
      <c r="AT203" s="532">
        <f t="shared" si="287"/>
        <v>22626.273851283186</v>
      </c>
      <c r="AU203" s="532">
        <f t="shared" si="287"/>
        <v>22626.273851283186</v>
      </c>
      <c r="AV203" s="532">
        <f t="shared" si="287"/>
        <v>45527.997066424439</v>
      </c>
      <c r="AW203" s="532">
        <f t="shared" si="287"/>
        <v>45527.997066424439</v>
      </c>
      <c r="AX203" s="532">
        <f t="shared" ref="AX203:BY203" si="288">SUM(AX197:AX202)</f>
        <v>45527.997066424439</v>
      </c>
      <c r="AY203" s="532">
        <f t="shared" si="288"/>
        <v>45527.997066424439</v>
      </c>
      <c r="AZ203" s="532">
        <f t="shared" si="288"/>
        <v>45527.997066424439</v>
      </c>
      <c r="BA203" s="532">
        <f t="shared" si="288"/>
        <v>45527.997066424439</v>
      </c>
      <c r="BB203" s="532">
        <f t="shared" si="288"/>
        <v>36016.170525277492</v>
      </c>
      <c r="BC203" s="532">
        <f t="shared" si="288"/>
        <v>36016.170525277492</v>
      </c>
      <c r="BD203" s="532">
        <f t="shared" si="288"/>
        <v>36016.170525277492</v>
      </c>
      <c r="BE203" s="532">
        <f t="shared" si="288"/>
        <v>36016.170525277492</v>
      </c>
      <c r="BF203" s="532">
        <f t="shared" si="288"/>
        <v>36016.170525277492</v>
      </c>
      <c r="BG203" s="532">
        <f t="shared" si="288"/>
        <v>36016.170525277492</v>
      </c>
      <c r="BH203" s="532">
        <f t="shared" si="288"/>
        <v>63721.690619980931</v>
      </c>
      <c r="BI203" s="532">
        <f t="shared" si="288"/>
        <v>63721.690619980931</v>
      </c>
      <c r="BJ203" s="532">
        <f t="shared" si="288"/>
        <v>63721.690619980931</v>
      </c>
      <c r="BK203" s="532">
        <f t="shared" si="288"/>
        <v>63721.690619980931</v>
      </c>
      <c r="BL203" s="532">
        <f t="shared" si="288"/>
        <v>63721.690619980931</v>
      </c>
      <c r="BM203" s="532">
        <f t="shared" si="288"/>
        <v>63721.690619980931</v>
      </c>
      <c r="BN203" s="532">
        <f t="shared" si="288"/>
        <v>50901.841425219878</v>
      </c>
      <c r="BO203" s="532">
        <f t="shared" si="288"/>
        <v>50901.841425219878</v>
      </c>
      <c r="BP203" s="532">
        <f t="shared" si="288"/>
        <v>50901.841425219878</v>
      </c>
      <c r="BQ203" s="532">
        <f t="shared" si="288"/>
        <v>50901.841425219878</v>
      </c>
      <c r="BR203" s="532">
        <f t="shared" si="288"/>
        <v>50901.841425219878</v>
      </c>
      <c r="BS203" s="532">
        <f t="shared" si="288"/>
        <v>50901.841425219878</v>
      </c>
      <c r="BT203" s="532">
        <f t="shared" si="288"/>
        <v>83718.888322602332</v>
      </c>
      <c r="BU203" s="532">
        <f t="shared" si="288"/>
        <v>83718.888322602332</v>
      </c>
      <c r="BV203" s="532">
        <f t="shared" si="288"/>
        <v>83718.888322602332</v>
      </c>
      <c r="BW203" s="532">
        <f t="shared" si="288"/>
        <v>83718.888322602332</v>
      </c>
      <c r="BX203" s="532">
        <f t="shared" si="288"/>
        <v>83718.888322602332</v>
      </c>
      <c r="BY203" s="532">
        <f t="shared" si="288"/>
        <v>83718.888322602332</v>
      </c>
    </row>
    <row r="204" spans="1:77" x14ac:dyDescent="0.3">
      <c r="A204" s="551"/>
      <c r="B204" s="548"/>
      <c r="C204" s="525"/>
      <c r="D204" s="525"/>
      <c r="E204" s="525"/>
      <c r="F204" s="525"/>
      <c r="G204" s="525"/>
      <c r="H204" s="525"/>
      <c r="I204" s="525"/>
      <c r="J204" s="525"/>
      <c r="K204" s="525"/>
      <c r="L204" s="525"/>
      <c r="M204" s="525"/>
      <c r="N204" s="525"/>
      <c r="O204" s="525"/>
      <c r="P204" s="565"/>
      <c r="Q204" s="525"/>
      <c r="R204" s="525"/>
      <c r="S204" s="525"/>
      <c r="T204" s="525"/>
      <c r="U204" s="525"/>
      <c r="V204" s="525"/>
      <c r="W204" s="525"/>
      <c r="X204" s="525"/>
      <c r="Y204" s="525"/>
      <c r="Z204" s="525"/>
      <c r="AA204" s="525"/>
      <c r="AB204" s="525"/>
      <c r="AC204" s="525"/>
      <c r="AD204" s="525"/>
      <c r="AE204" s="525"/>
      <c r="AF204" s="525"/>
      <c r="AG204" s="525"/>
      <c r="AH204" s="525"/>
      <c r="AI204" s="525"/>
      <c r="AJ204" s="525"/>
      <c r="AK204" s="525"/>
      <c r="AL204" s="525"/>
      <c r="AM204" s="525"/>
      <c r="AN204" s="525"/>
      <c r="AO204" s="525"/>
      <c r="AP204" s="525"/>
      <c r="AQ204" s="525"/>
      <c r="AR204" s="525"/>
      <c r="AS204" s="525"/>
      <c r="AT204" s="525"/>
      <c r="AU204" s="525"/>
      <c r="AV204" s="525"/>
      <c r="AW204" s="525"/>
      <c r="AX204" s="525"/>
      <c r="AY204" s="525"/>
      <c r="AZ204" s="525"/>
      <c r="BA204" s="525"/>
      <c r="BB204" s="525"/>
      <c r="BC204" s="525"/>
      <c r="BD204" s="525"/>
      <c r="BE204" s="525"/>
      <c r="BF204" s="525"/>
      <c r="BG204" s="525"/>
      <c r="BH204" s="525"/>
      <c r="BI204" s="525"/>
      <c r="BJ204" s="525"/>
      <c r="BK204" s="525"/>
      <c r="BL204" s="525"/>
      <c r="BM204" s="525"/>
      <c r="BN204" s="525"/>
      <c r="BO204" s="525"/>
      <c r="BP204" s="525"/>
      <c r="BQ204" s="525"/>
      <c r="BR204" s="525"/>
      <c r="BS204" s="525"/>
      <c r="BT204" s="525"/>
      <c r="BU204" s="525"/>
      <c r="BV204" s="525"/>
      <c r="BW204" s="525"/>
      <c r="BX204" s="525"/>
      <c r="BY204" s="525"/>
    </row>
    <row r="205" spans="1:77" x14ac:dyDescent="0.3">
      <c r="A205" s="551"/>
      <c r="B205" s="548"/>
      <c r="C205" s="525"/>
      <c r="D205" s="525"/>
      <c r="E205" s="617" t="str">
        <f>"BCF net comm. uplift due to capex: "&amp;E$155</f>
        <v>BCF net comm. uplift due to capex: FY27 Tranche</v>
      </c>
      <c r="F205" s="525"/>
      <c r="G205" s="525"/>
      <c r="H205" s="525"/>
      <c r="I205" s="525"/>
      <c r="J205" s="525"/>
      <c r="K205" s="525"/>
      <c r="L205" s="525"/>
      <c r="M205" s="525"/>
      <c r="N205" s="525"/>
      <c r="O205" s="525"/>
      <c r="P205" s="565"/>
      <c r="Q205" s="525"/>
      <c r="R205" s="527">
        <f t="shared" ref="R205:AW205" si="289">IFERROR(R197*(R$581/SUM(R$581,R$590)),0)</f>
        <v>0</v>
      </c>
      <c r="S205" s="527">
        <f t="shared" si="289"/>
        <v>0</v>
      </c>
      <c r="T205" s="527">
        <f t="shared" si="289"/>
        <v>0</v>
      </c>
      <c r="U205" s="527">
        <f t="shared" si="289"/>
        <v>0</v>
      </c>
      <c r="V205" s="527">
        <f t="shared" si="289"/>
        <v>0</v>
      </c>
      <c r="W205" s="527">
        <f t="shared" si="289"/>
        <v>0</v>
      </c>
      <c r="X205" s="527">
        <f t="shared" si="289"/>
        <v>13233.753304965549</v>
      </c>
      <c r="Y205" s="527">
        <f t="shared" si="289"/>
        <v>13233.753304965549</v>
      </c>
      <c r="Z205" s="527">
        <f t="shared" si="289"/>
        <v>13233.753304965549</v>
      </c>
      <c r="AA205" s="527">
        <f t="shared" si="289"/>
        <v>13233.753304965549</v>
      </c>
      <c r="AB205" s="527">
        <f t="shared" si="289"/>
        <v>13233.753304965549</v>
      </c>
      <c r="AC205" s="527">
        <f t="shared" si="289"/>
        <v>13233.753304965549</v>
      </c>
      <c r="AD205" s="527">
        <f t="shared" si="289"/>
        <v>10158.569642695675</v>
      </c>
      <c r="AE205" s="527">
        <f t="shared" si="289"/>
        <v>10158.569642695675</v>
      </c>
      <c r="AF205" s="527">
        <f t="shared" si="289"/>
        <v>10158.569642695675</v>
      </c>
      <c r="AG205" s="527">
        <f t="shared" si="289"/>
        <v>10158.569642695675</v>
      </c>
      <c r="AH205" s="527">
        <f t="shared" si="289"/>
        <v>10158.569642695675</v>
      </c>
      <c r="AI205" s="527">
        <f t="shared" si="289"/>
        <v>10158.569642695675</v>
      </c>
      <c r="AJ205" s="527">
        <f t="shared" si="289"/>
        <v>13797.39000063471</v>
      </c>
      <c r="AK205" s="527">
        <f t="shared" si="289"/>
        <v>13797.39000063471</v>
      </c>
      <c r="AL205" s="527">
        <f t="shared" si="289"/>
        <v>13797.39000063471</v>
      </c>
      <c r="AM205" s="527">
        <f t="shared" si="289"/>
        <v>13797.39000063471</v>
      </c>
      <c r="AN205" s="527">
        <f t="shared" si="289"/>
        <v>13797.39000063471</v>
      </c>
      <c r="AO205" s="527">
        <f t="shared" si="289"/>
        <v>13797.39000063471</v>
      </c>
      <c r="AP205" s="527">
        <f t="shared" si="289"/>
        <v>10735.781302367712</v>
      </c>
      <c r="AQ205" s="527">
        <f t="shared" si="289"/>
        <v>10735.781302367712</v>
      </c>
      <c r="AR205" s="527">
        <f t="shared" si="289"/>
        <v>10735.781302367712</v>
      </c>
      <c r="AS205" s="527">
        <f t="shared" si="289"/>
        <v>10735.781302367712</v>
      </c>
      <c r="AT205" s="527">
        <f t="shared" si="289"/>
        <v>10735.781302367712</v>
      </c>
      <c r="AU205" s="527">
        <f t="shared" si="289"/>
        <v>10735.781302367712</v>
      </c>
      <c r="AV205" s="527">
        <f t="shared" si="289"/>
        <v>14531.858841292264</v>
      </c>
      <c r="AW205" s="527">
        <f t="shared" si="289"/>
        <v>14531.858841292264</v>
      </c>
      <c r="AX205" s="527">
        <f t="shared" ref="AX205:BY205" si="290">IFERROR(AX197*(AX$581/SUM(AX$581,AX$590)),0)</f>
        <v>14531.858841292264</v>
      </c>
      <c r="AY205" s="527">
        <f t="shared" si="290"/>
        <v>14531.858841292264</v>
      </c>
      <c r="AZ205" s="527">
        <f t="shared" si="290"/>
        <v>14531.858841292264</v>
      </c>
      <c r="BA205" s="527">
        <f t="shared" si="290"/>
        <v>14531.858841292264</v>
      </c>
      <c r="BB205" s="527">
        <f t="shared" si="290"/>
        <v>11583.192598946493</v>
      </c>
      <c r="BC205" s="527">
        <f t="shared" si="290"/>
        <v>11583.192598946493</v>
      </c>
      <c r="BD205" s="527">
        <f t="shared" si="290"/>
        <v>11583.192598946493</v>
      </c>
      <c r="BE205" s="527">
        <f t="shared" si="290"/>
        <v>11583.192598946493</v>
      </c>
      <c r="BF205" s="527">
        <f t="shared" si="290"/>
        <v>11583.192598946493</v>
      </c>
      <c r="BG205" s="527">
        <f t="shared" si="290"/>
        <v>11583.192598946493</v>
      </c>
      <c r="BH205" s="527">
        <f t="shared" si="290"/>
        <v>15542.108293806563</v>
      </c>
      <c r="BI205" s="527">
        <f t="shared" si="290"/>
        <v>15542.108293806563</v>
      </c>
      <c r="BJ205" s="527">
        <f t="shared" si="290"/>
        <v>15542.108293806563</v>
      </c>
      <c r="BK205" s="527">
        <f t="shared" si="290"/>
        <v>15542.108293806563</v>
      </c>
      <c r="BL205" s="527">
        <f t="shared" si="290"/>
        <v>15542.108293806563</v>
      </c>
      <c r="BM205" s="527">
        <f t="shared" si="290"/>
        <v>15542.108293806563</v>
      </c>
      <c r="BN205" s="527">
        <f t="shared" si="290"/>
        <v>12553.573133091091</v>
      </c>
      <c r="BO205" s="527">
        <f t="shared" si="290"/>
        <v>12553.573133091091</v>
      </c>
      <c r="BP205" s="527">
        <f t="shared" si="290"/>
        <v>12553.573133091091</v>
      </c>
      <c r="BQ205" s="527">
        <f t="shared" si="290"/>
        <v>12553.573133091091</v>
      </c>
      <c r="BR205" s="527">
        <f t="shared" si="290"/>
        <v>12553.573133091091</v>
      </c>
      <c r="BS205" s="527">
        <f t="shared" si="290"/>
        <v>12553.573133091091</v>
      </c>
      <c r="BT205" s="527">
        <f t="shared" si="290"/>
        <v>16681.693857094058</v>
      </c>
      <c r="BU205" s="527">
        <f t="shared" si="290"/>
        <v>16681.693857094058</v>
      </c>
      <c r="BV205" s="527">
        <f t="shared" si="290"/>
        <v>16681.693857094058</v>
      </c>
      <c r="BW205" s="527">
        <f t="shared" si="290"/>
        <v>16681.693857094058</v>
      </c>
      <c r="BX205" s="527">
        <f t="shared" si="290"/>
        <v>16681.693857094058</v>
      </c>
      <c r="BY205" s="527">
        <f t="shared" si="290"/>
        <v>16681.693857094058</v>
      </c>
    </row>
    <row r="206" spans="1:77" x14ac:dyDescent="0.3">
      <c r="A206" s="551"/>
      <c r="B206" s="548"/>
      <c r="C206" s="525"/>
      <c r="D206" s="525"/>
      <c r="E206" s="617" t="str">
        <f>"BCF net comm. uplift due to capex: "&amp;E$156</f>
        <v>BCF net comm. uplift due to capex: FY28 Tranche</v>
      </c>
      <c r="F206" s="525"/>
      <c r="G206" s="525"/>
      <c r="H206" s="525"/>
      <c r="I206" s="525"/>
      <c r="J206" s="525"/>
      <c r="K206" s="525"/>
      <c r="L206" s="525"/>
      <c r="M206" s="525"/>
      <c r="N206" s="525"/>
      <c r="O206" s="525"/>
      <c r="P206" s="565"/>
      <c r="Q206" s="525"/>
      <c r="R206" s="527">
        <f t="shared" ref="R206:AW206" si="291">IFERROR(R198*(R$581/SUM(R$581,R$590)),0)</f>
        <v>0</v>
      </c>
      <c r="S206" s="527">
        <f t="shared" si="291"/>
        <v>0</v>
      </c>
      <c r="T206" s="527">
        <f t="shared" si="291"/>
        <v>0</v>
      </c>
      <c r="U206" s="527">
        <f t="shared" si="291"/>
        <v>0</v>
      </c>
      <c r="V206" s="527">
        <f t="shared" si="291"/>
        <v>0</v>
      </c>
      <c r="W206" s="527">
        <f t="shared" si="291"/>
        <v>0</v>
      </c>
      <c r="X206" s="527">
        <f t="shared" si="291"/>
        <v>0</v>
      </c>
      <c r="Y206" s="527">
        <f t="shared" si="291"/>
        <v>0</v>
      </c>
      <c r="Z206" s="527">
        <f t="shared" si="291"/>
        <v>0</v>
      </c>
      <c r="AA206" s="527">
        <f t="shared" si="291"/>
        <v>0</v>
      </c>
      <c r="AB206" s="527">
        <f t="shared" si="291"/>
        <v>0</v>
      </c>
      <c r="AC206" s="527">
        <f t="shared" si="291"/>
        <v>0</v>
      </c>
      <c r="AD206" s="527">
        <f t="shared" si="291"/>
        <v>0</v>
      </c>
      <c r="AE206" s="527">
        <f t="shared" si="291"/>
        <v>0</v>
      </c>
      <c r="AF206" s="527">
        <f t="shared" si="291"/>
        <v>0</v>
      </c>
      <c r="AG206" s="527">
        <f t="shared" si="291"/>
        <v>0</v>
      </c>
      <c r="AH206" s="527">
        <f t="shared" si="291"/>
        <v>0</v>
      </c>
      <c r="AI206" s="527">
        <f t="shared" si="291"/>
        <v>0</v>
      </c>
      <c r="AJ206" s="527">
        <f t="shared" si="291"/>
        <v>13598.449921204161</v>
      </c>
      <c r="AK206" s="527">
        <f t="shared" si="291"/>
        <v>13598.449921204161</v>
      </c>
      <c r="AL206" s="527">
        <f t="shared" si="291"/>
        <v>13598.449921204161</v>
      </c>
      <c r="AM206" s="527">
        <f t="shared" si="291"/>
        <v>13598.449921204161</v>
      </c>
      <c r="AN206" s="527">
        <f t="shared" si="291"/>
        <v>13598.449921204161</v>
      </c>
      <c r="AO206" s="527">
        <f t="shared" si="291"/>
        <v>13598.449921204161</v>
      </c>
      <c r="AP206" s="527">
        <f t="shared" si="291"/>
        <v>10536.225938046211</v>
      </c>
      <c r="AQ206" s="527">
        <f t="shared" si="291"/>
        <v>10536.225938046211</v>
      </c>
      <c r="AR206" s="527">
        <f t="shared" si="291"/>
        <v>10536.225938046211</v>
      </c>
      <c r="AS206" s="527">
        <f t="shared" si="291"/>
        <v>10536.225938046211</v>
      </c>
      <c r="AT206" s="527">
        <f t="shared" si="291"/>
        <v>10536.225938046211</v>
      </c>
      <c r="AU206" s="527">
        <f t="shared" si="291"/>
        <v>10536.225938046211</v>
      </c>
      <c r="AV206" s="527">
        <f t="shared" si="291"/>
        <v>14324.321262397905</v>
      </c>
      <c r="AW206" s="527">
        <f t="shared" si="291"/>
        <v>14324.321262397905</v>
      </c>
      <c r="AX206" s="527">
        <f t="shared" ref="AX206:BY206" si="292">IFERROR(AX198*(AX$581/SUM(AX$581,AX$590)),0)</f>
        <v>14324.321262397905</v>
      </c>
      <c r="AY206" s="527">
        <f t="shared" si="292"/>
        <v>14324.321262397905</v>
      </c>
      <c r="AZ206" s="527">
        <f t="shared" si="292"/>
        <v>14324.321262397905</v>
      </c>
      <c r="BA206" s="527">
        <f t="shared" si="292"/>
        <v>14324.321262397905</v>
      </c>
      <c r="BB206" s="527">
        <f t="shared" si="292"/>
        <v>11375.077022880119</v>
      </c>
      <c r="BC206" s="527">
        <f t="shared" si="292"/>
        <v>11375.077022880119</v>
      </c>
      <c r="BD206" s="527">
        <f t="shared" si="292"/>
        <v>11375.077022880119</v>
      </c>
      <c r="BE206" s="527">
        <f t="shared" si="292"/>
        <v>11375.077022880119</v>
      </c>
      <c r="BF206" s="527">
        <f t="shared" si="292"/>
        <v>11375.077022880119</v>
      </c>
      <c r="BG206" s="527">
        <f t="shared" si="292"/>
        <v>11375.077022880119</v>
      </c>
      <c r="BH206" s="527">
        <f t="shared" si="292"/>
        <v>15325.66809469753</v>
      </c>
      <c r="BI206" s="527">
        <f t="shared" si="292"/>
        <v>15325.66809469753</v>
      </c>
      <c r="BJ206" s="527">
        <f t="shared" si="292"/>
        <v>15325.66809469753</v>
      </c>
      <c r="BK206" s="527">
        <f t="shared" si="292"/>
        <v>15325.66809469753</v>
      </c>
      <c r="BL206" s="527">
        <f t="shared" si="292"/>
        <v>15325.66809469753</v>
      </c>
      <c r="BM206" s="527">
        <f t="shared" si="292"/>
        <v>15325.66809469753</v>
      </c>
      <c r="BN206" s="527">
        <f t="shared" si="292"/>
        <v>12336.562646188615</v>
      </c>
      <c r="BO206" s="527">
        <f t="shared" si="292"/>
        <v>12336.562646188615</v>
      </c>
      <c r="BP206" s="527">
        <f t="shared" si="292"/>
        <v>12336.562646188615</v>
      </c>
      <c r="BQ206" s="527">
        <f t="shared" si="292"/>
        <v>12336.562646188615</v>
      </c>
      <c r="BR206" s="527">
        <f t="shared" si="292"/>
        <v>12336.562646188615</v>
      </c>
      <c r="BS206" s="527">
        <f t="shared" si="292"/>
        <v>12336.562646188615</v>
      </c>
      <c r="BT206" s="527">
        <f t="shared" si="292"/>
        <v>16456.002950715487</v>
      </c>
      <c r="BU206" s="527">
        <f t="shared" si="292"/>
        <v>16456.002950715487</v>
      </c>
      <c r="BV206" s="527">
        <f t="shared" si="292"/>
        <v>16456.002950715487</v>
      </c>
      <c r="BW206" s="527">
        <f t="shared" si="292"/>
        <v>16456.002950715487</v>
      </c>
      <c r="BX206" s="527">
        <f t="shared" si="292"/>
        <v>16456.002950715487</v>
      </c>
      <c r="BY206" s="527">
        <f t="shared" si="292"/>
        <v>16456.002950715487</v>
      </c>
    </row>
    <row r="207" spans="1:77" x14ac:dyDescent="0.3">
      <c r="A207" s="551"/>
      <c r="B207" s="548"/>
      <c r="C207" s="525"/>
      <c r="D207" s="525"/>
      <c r="E207" s="617" t="str">
        <f>"BCF net comm. uplift due to capex: "&amp;E$157</f>
        <v>BCF net comm. uplift due to capex: FY29 Tranche</v>
      </c>
      <c r="F207" s="525"/>
      <c r="G207" s="525"/>
      <c r="H207" s="525"/>
      <c r="I207" s="525"/>
      <c r="J207" s="525"/>
      <c r="K207" s="525"/>
      <c r="L207" s="525"/>
      <c r="M207" s="525"/>
      <c r="N207" s="525"/>
      <c r="O207" s="525"/>
      <c r="P207" s="565"/>
      <c r="Q207" s="525"/>
      <c r="R207" s="527">
        <f t="shared" ref="R207:AW207" si="293">IFERROR(R199*(R$581/SUM(R$581,R$590)),0)</f>
        <v>0</v>
      </c>
      <c r="S207" s="527">
        <f t="shared" si="293"/>
        <v>0</v>
      </c>
      <c r="T207" s="527">
        <f t="shared" si="293"/>
        <v>0</v>
      </c>
      <c r="U207" s="527">
        <f t="shared" si="293"/>
        <v>0</v>
      </c>
      <c r="V207" s="527">
        <f t="shared" si="293"/>
        <v>0</v>
      </c>
      <c r="W207" s="527">
        <f t="shared" si="293"/>
        <v>0</v>
      </c>
      <c r="X207" s="527">
        <f t="shared" si="293"/>
        <v>0</v>
      </c>
      <c r="Y207" s="527">
        <f t="shared" si="293"/>
        <v>0</v>
      </c>
      <c r="Z207" s="527">
        <f t="shared" si="293"/>
        <v>0</v>
      </c>
      <c r="AA207" s="527">
        <f t="shared" si="293"/>
        <v>0</v>
      </c>
      <c r="AB207" s="527">
        <f t="shared" si="293"/>
        <v>0</v>
      </c>
      <c r="AC207" s="527">
        <f t="shared" si="293"/>
        <v>0</v>
      </c>
      <c r="AD207" s="527">
        <f t="shared" si="293"/>
        <v>0</v>
      </c>
      <c r="AE207" s="527">
        <f t="shared" si="293"/>
        <v>0</v>
      </c>
      <c r="AF207" s="527">
        <f t="shared" si="293"/>
        <v>0</v>
      </c>
      <c r="AG207" s="527">
        <f t="shared" si="293"/>
        <v>0</v>
      </c>
      <c r="AH207" s="527">
        <f t="shared" si="293"/>
        <v>0</v>
      </c>
      <c r="AI207" s="527">
        <f t="shared" si="293"/>
        <v>0</v>
      </c>
      <c r="AJ207" s="527">
        <f t="shared" si="293"/>
        <v>0</v>
      </c>
      <c r="AK207" s="527">
        <f t="shared" si="293"/>
        <v>0</v>
      </c>
      <c r="AL207" s="527">
        <f t="shared" si="293"/>
        <v>0</v>
      </c>
      <c r="AM207" s="527">
        <f t="shared" si="293"/>
        <v>0</v>
      </c>
      <c r="AN207" s="527">
        <f t="shared" si="293"/>
        <v>0</v>
      </c>
      <c r="AO207" s="527">
        <f t="shared" si="293"/>
        <v>0</v>
      </c>
      <c r="AP207" s="527">
        <f t="shared" si="293"/>
        <v>0</v>
      </c>
      <c r="AQ207" s="527">
        <f t="shared" si="293"/>
        <v>0</v>
      </c>
      <c r="AR207" s="527">
        <f t="shared" si="293"/>
        <v>0</v>
      </c>
      <c r="AS207" s="527">
        <f t="shared" si="293"/>
        <v>0</v>
      </c>
      <c r="AT207" s="527">
        <f t="shared" si="293"/>
        <v>0</v>
      </c>
      <c r="AU207" s="527">
        <f t="shared" si="293"/>
        <v>0</v>
      </c>
      <c r="AV207" s="527">
        <f t="shared" si="293"/>
        <v>13946.797072492122</v>
      </c>
      <c r="AW207" s="527">
        <f t="shared" si="293"/>
        <v>13946.797072492122</v>
      </c>
      <c r="AX207" s="527">
        <f t="shared" ref="AX207:BY207" si="294">IFERROR(AX199*(AX$581/SUM(AX$581,AX$590)),0)</f>
        <v>13946.797072492122</v>
      </c>
      <c r="AY207" s="527">
        <f t="shared" si="294"/>
        <v>13946.797072492122</v>
      </c>
      <c r="AZ207" s="527">
        <f t="shared" si="294"/>
        <v>13946.797072492122</v>
      </c>
      <c r="BA207" s="527">
        <f t="shared" si="294"/>
        <v>13946.797072492122</v>
      </c>
      <c r="BB207" s="527">
        <f t="shared" si="294"/>
        <v>10996.501418983218</v>
      </c>
      <c r="BC207" s="527">
        <f t="shared" si="294"/>
        <v>10996.501418983218</v>
      </c>
      <c r="BD207" s="527">
        <f t="shared" si="294"/>
        <v>10996.501418983218</v>
      </c>
      <c r="BE207" s="527">
        <f t="shared" si="294"/>
        <v>10996.501418983218</v>
      </c>
      <c r="BF207" s="527">
        <f t="shared" si="294"/>
        <v>10996.501418983218</v>
      </c>
      <c r="BG207" s="527">
        <f t="shared" si="294"/>
        <v>10996.501418983218</v>
      </c>
      <c r="BH207" s="527">
        <f t="shared" si="294"/>
        <v>14931.949466644761</v>
      </c>
      <c r="BI207" s="527">
        <f t="shared" si="294"/>
        <v>14931.949466644761</v>
      </c>
      <c r="BJ207" s="527">
        <f t="shared" si="294"/>
        <v>14931.949466644761</v>
      </c>
      <c r="BK207" s="527">
        <f t="shared" si="294"/>
        <v>14931.949466644761</v>
      </c>
      <c r="BL207" s="527">
        <f t="shared" si="294"/>
        <v>14931.949466644761</v>
      </c>
      <c r="BM207" s="527">
        <f t="shared" si="294"/>
        <v>14931.949466644761</v>
      </c>
      <c r="BN207" s="527">
        <f t="shared" si="294"/>
        <v>11941.806627999664</v>
      </c>
      <c r="BO207" s="527">
        <f t="shared" si="294"/>
        <v>11941.806627999664</v>
      </c>
      <c r="BP207" s="527">
        <f t="shared" si="294"/>
        <v>11941.806627999664</v>
      </c>
      <c r="BQ207" s="527">
        <f t="shared" si="294"/>
        <v>11941.806627999664</v>
      </c>
      <c r="BR207" s="527">
        <f t="shared" si="294"/>
        <v>11941.806627999664</v>
      </c>
      <c r="BS207" s="527">
        <f t="shared" si="294"/>
        <v>11941.806627999664</v>
      </c>
      <c r="BT207" s="527">
        <f t="shared" si="294"/>
        <v>16045.456691798992</v>
      </c>
      <c r="BU207" s="527">
        <f t="shared" si="294"/>
        <v>16045.456691798992</v>
      </c>
      <c r="BV207" s="527">
        <f t="shared" si="294"/>
        <v>16045.456691798992</v>
      </c>
      <c r="BW207" s="527">
        <f t="shared" si="294"/>
        <v>16045.456691798992</v>
      </c>
      <c r="BX207" s="527">
        <f t="shared" si="294"/>
        <v>16045.456691798992</v>
      </c>
      <c r="BY207" s="527">
        <f t="shared" si="294"/>
        <v>16045.456691798992</v>
      </c>
    </row>
    <row r="208" spans="1:77" x14ac:dyDescent="0.3">
      <c r="A208" s="551"/>
      <c r="B208" s="548"/>
      <c r="C208" s="525"/>
      <c r="D208" s="525"/>
      <c r="E208" s="617" t="str">
        <f>"BCF net comm. uplift due to capex: "&amp;E$158</f>
        <v>BCF net comm. uplift due to capex: FY30 Tranche</v>
      </c>
      <c r="F208" s="525"/>
      <c r="G208" s="525"/>
      <c r="H208" s="525"/>
      <c r="I208" s="525"/>
      <c r="J208" s="525"/>
      <c r="K208" s="525"/>
      <c r="L208" s="525"/>
      <c r="M208" s="525"/>
      <c r="N208" s="525"/>
      <c r="O208" s="525"/>
      <c r="P208" s="565"/>
      <c r="Q208" s="525"/>
      <c r="R208" s="527">
        <f t="shared" ref="R208:AW208" si="295">IFERROR(R200*(R$581/SUM(R$581,R$590)),0)</f>
        <v>0</v>
      </c>
      <c r="S208" s="527">
        <f t="shared" si="295"/>
        <v>0</v>
      </c>
      <c r="T208" s="527">
        <f t="shared" si="295"/>
        <v>0</v>
      </c>
      <c r="U208" s="527">
        <f t="shared" si="295"/>
        <v>0</v>
      </c>
      <c r="V208" s="527">
        <f t="shared" si="295"/>
        <v>0</v>
      </c>
      <c r="W208" s="527">
        <f t="shared" si="295"/>
        <v>0</v>
      </c>
      <c r="X208" s="527">
        <f t="shared" si="295"/>
        <v>0</v>
      </c>
      <c r="Y208" s="527">
        <f t="shared" si="295"/>
        <v>0</v>
      </c>
      <c r="Z208" s="527">
        <f t="shared" si="295"/>
        <v>0</v>
      </c>
      <c r="AA208" s="527">
        <f t="shared" si="295"/>
        <v>0</v>
      </c>
      <c r="AB208" s="527">
        <f t="shared" si="295"/>
        <v>0</v>
      </c>
      <c r="AC208" s="527">
        <f t="shared" si="295"/>
        <v>0</v>
      </c>
      <c r="AD208" s="527">
        <f t="shared" si="295"/>
        <v>0</v>
      </c>
      <c r="AE208" s="527">
        <f t="shared" si="295"/>
        <v>0</v>
      </c>
      <c r="AF208" s="527">
        <f t="shared" si="295"/>
        <v>0</v>
      </c>
      <c r="AG208" s="527">
        <f t="shared" si="295"/>
        <v>0</v>
      </c>
      <c r="AH208" s="527">
        <f t="shared" si="295"/>
        <v>0</v>
      </c>
      <c r="AI208" s="527">
        <f t="shared" si="295"/>
        <v>0</v>
      </c>
      <c r="AJ208" s="527">
        <f t="shared" si="295"/>
        <v>0</v>
      </c>
      <c r="AK208" s="527">
        <f t="shared" si="295"/>
        <v>0</v>
      </c>
      <c r="AL208" s="527">
        <f t="shared" si="295"/>
        <v>0</v>
      </c>
      <c r="AM208" s="527">
        <f t="shared" si="295"/>
        <v>0</v>
      </c>
      <c r="AN208" s="527">
        <f t="shared" si="295"/>
        <v>0</v>
      </c>
      <c r="AO208" s="527">
        <f t="shared" si="295"/>
        <v>0</v>
      </c>
      <c r="AP208" s="527">
        <f t="shared" si="295"/>
        <v>0</v>
      </c>
      <c r="AQ208" s="527">
        <f t="shared" si="295"/>
        <v>0</v>
      </c>
      <c r="AR208" s="527">
        <f t="shared" si="295"/>
        <v>0</v>
      </c>
      <c r="AS208" s="527">
        <f t="shared" si="295"/>
        <v>0</v>
      </c>
      <c r="AT208" s="527">
        <f t="shared" si="295"/>
        <v>0</v>
      </c>
      <c r="AU208" s="527">
        <f t="shared" si="295"/>
        <v>0</v>
      </c>
      <c r="AV208" s="527">
        <f t="shared" si="295"/>
        <v>0</v>
      </c>
      <c r="AW208" s="527">
        <f t="shared" si="295"/>
        <v>0</v>
      </c>
      <c r="AX208" s="527">
        <f t="shared" ref="AX208:BY208" si="296">IFERROR(AX200*(AX$581/SUM(AX$581,AX$590)),0)</f>
        <v>0</v>
      </c>
      <c r="AY208" s="527">
        <f t="shared" si="296"/>
        <v>0</v>
      </c>
      <c r="AZ208" s="527">
        <f t="shared" si="296"/>
        <v>0</v>
      </c>
      <c r="BA208" s="527">
        <f t="shared" si="296"/>
        <v>0</v>
      </c>
      <c r="BB208" s="527">
        <f t="shared" si="296"/>
        <v>0</v>
      </c>
      <c r="BC208" s="527">
        <f t="shared" si="296"/>
        <v>0</v>
      </c>
      <c r="BD208" s="527">
        <f t="shared" si="296"/>
        <v>0</v>
      </c>
      <c r="BE208" s="527">
        <f t="shared" si="296"/>
        <v>0</v>
      </c>
      <c r="BF208" s="527">
        <f t="shared" si="296"/>
        <v>0</v>
      </c>
      <c r="BG208" s="527">
        <f t="shared" si="296"/>
        <v>0</v>
      </c>
      <c r="BH208" s="527">
        <f t="shared" si="296"/>
        <v>14274.829095556906</v>
      </c>
      <c r="BI208" s="527">
        <f t="shared" si="296"/>
        <v>14274.829095556906</v>
      </c>
      <c r="BJ208" s="527">
        <f t="shared" si="296"/>
        <v>14274.829095556906</v>
      </c>
      <c r="BK208" s="527">
        <f t="shared" si="296"/>
        <v>14274.829095556906</v>
      </c>
      <c r="BL208" s="527">
        <f t="shared" si="296"/>
        <v>14274.829095556906</v>
      </c>
      <c r="BM208" s="527">
        <f t="shared" si="296"/>
        <v>14274.829095556906</v>
      </c>
      <c r="BN208" s="527">
        <f t="shared" si="296"/>
        <v>11282.954842285526</v>
      </c>
      <c r="BO208" s="527">
        <f t="shared" si="296"/>
        <v>11282.954842285526</v>
      </c>
      <c r="BP208" s="527">
        <f t="shared" si="296"/>
        <v>11282.954842285526</v>
      </c>
      <c r="BQ208" s="527">
        <f t="shared" si="296"/>
        <v>11282.954842285526</v>
      </c>
      <c r="BR208" s="527">
        <f t="shared" si="296"/>
        <v>11282.954842285526</v>
      </c>
      <c r="BS208" s="527">
        <f t="shared" si="296"/>
        <v>11282.954842285526</v>
      </c>
      <c r="BT208" s="527">
        <f t="shared" si="296"/>
        <v>15360.250834656279</v>
      </c>
      <c r="BU208" s="527">
        <f t="shared" si="296"/>
        <v>15360.250834656279</v>
      </c>
      <c r="BV208" s="527">
        <f t="shared" si="296"/>
        <v>15360.250834656279</v>
      </c>
      <c r="BW208" s="527">
        <f t="shared" si="296"/>
        <v>15360.250834656279</v>
      </c>
      <c r="BX208" s="527">
        <f t="shared" si="296"/>
        <v>15360.250834656279</v>
      </c>
      <c r="BY208" s="527">
        <f t="shared" si="296"/>
        <v>15360.250834656279</v>
      </c>
    </row>
    <row r="209" spans="1:77" x14ac:dyDescent="0.3">
      <c r="A209" s="551"/>
      <c r="B209" s="548"/>
      <c r="C209" s="525"/>
      <c r="D209" s="525"/>
      <c r="E209" s="617" t="str">
        <f>"BCF net comm. uplift due to capex: "&amp;E$159</f>
        <v>BCF net comm. uplift due to capex: FY31 Tranche</v>
      </c>
      <c r="F209" s="525"/>
      <c r="G209" s="525"/>
      <c r="H209" s="525"/>
      <c r="I209" s="525"/>
      <c r="J209" s="525"/>
      <c r="K209" s="525"/>
      <c r="L209" s="525"/>
      <c r="M209" s="525"/>
      <c r="N209" s="525"/>
      <c r="O209" s="525"/>
      <c r="P209" s="565"/>
      <c r="Q209" s="525"/>
      <c r="R209" s="527">
        <f t="shared" ref="R209:AW209" si="297">IFERROR(R201*(R$581/SUM(R$581,R$590)),0)</f>
        <v>0</v>
      </c>
      <c r="S209" s="527">
        <f t="shared" si="297"/>
        <v>0</v>
      </c>
      <c r="T209" s="527">
        <f t="shared" si="297"/>
        <v>0</v>
      </c>
      <c r="U209" s="527">
        <f t="shared" si="297"/>
        <v>0</v>
      </c>
      <c r="V209" s="527">
        <f t="shared" si="297"/>
        <v>0</v>
      </c>
      <c r="W209" s="527">
        <f t="shared" si="297"/>
        <v>0</v>
      </c>
      <c r="X209" s="527">
        <f t="shared" si="297"/>
        <v>0</v>
      </c>
      <c r="Y209" s="527">
        <f t="shared" si="297"/>
        <v>0</v>
      </c>
      <c r="Z209" s="527">
        <f t="shared" si="297"/>
        <v>0</v>
      </c>
      <c r="AA209" s="527">
        <f t="shared" si="297"/>
        <v>0</v>
      </c>
      <c r="AB209" s="527">
        <f t="shared" si="297"/>
        <v>0</v>
      </c>
      <c r="AC209" s="527">
        <f t="shared" si="297"/>
        <v>0</v>
      </c>
      <c r="AD209" s="527">
        <f t="shared" si="297"/>
        <v>0</v>
      </c>
      <c r="AE209" s="527">
        <f t="shared" si="297"/>
        <v>0</v>
      </c>
      <c r="AF209" s="527">
        <f t="shared" si="297"/>
        <v>0</v>
      </c>
      <c r="AG209" s="527">
        <f t="shared" si="297"/>
        <v>0</v>
      </c>
      <c r="AH209" s="527">
        <f t="shared" si="297"/>
        <v>0</v>
      </c>
      <c r="AI209" s="527">
        <f t="shared" si="297"/>
        <v>0</v>
      </c>
      <c r="AJ209" s="527">
        <f t="shared" si="297"/>
        <v>0</v>
      </c>
      <c r="AK209" s="527">
        <f t="shared" si="297"/>
        <v>0</v>
      </c>
      <c r="AL209" s="527">
        <f t="shared" si="297"/>
        <v>0</v>
      </c>
      <c r="AM209" s="527">
        <f t="shared" si="297"/>
        <v>0</v>
      </c>
      <c r="AN209" s="527">
        <f t="shared" si="297"/>
        <v>0</v>
      </c>
      <c r="AO209" s="527">
        <f t="shared" si="297"/>
        <v>0</v>
      </c>
      <c r="AP209" s="527">
        <f t="shared" si="297"/>
        <v>0</v>
      </c>
      <c r="AQ209" s="527">
        <f t="shared" si="297"/>
        <v>0</v>
      </c>
      <c r="AR209" s="527">
        <f t="shared" si="297"/>
        <v>0</v>
      </c>
      <c r="AS209" s="527">
        <f t="shared" si="297"/>
        <v>0</v>
      </c>
      <c r="AT209" s="527">
        <f t="shared" si="297"/>
        <v>0</v>
      </c>
      <c r="AU209" s="527">
        <f t="shared" si="297"/>
        <v>0</v>
      </c>
      <c r="AV209" s="527">
        <f t="shared" si="297"/>
        <v>0</v>
      </c>
      <c r="AW209" s="527">
        <f t="shared" si="297"/>
        <v>0</v>
      </c>
      <c r="AX209" s="527">
        <f t="shared" ref="AX209:BY209" si="298">IFERROR(AX201*(AX$581/SUM(AX$581,AX$590)),0)</f>
        <v>0</v>
      </c>
      <c r="AY209" s="527">
        <f t="shared" si="298"/>
        <v>0</v>
      </c>
      <c r="AZ209" s="527">
        <f t="shared" si="298"/>
        <v>0</v>
      </c>
      <c r="BA209" s="527">
        <f t="shared" si="298"/>
        <v>0</v>
      </c>
      <c r="BB209" s="527">
        <f t="shared" si="298"/>
        <v>0</v>
      </c>
      <c r="BC209" s="527">
        <f t="shared" si="298"/>
        <v>0</v>
      </c>
      <c r="BD209" s="527">
        <f t="shared" si="298"/>
        <v>0</v>
      </c>
      <c r="BE209" s="527">
        <f t="shared" si="298"/>
        <v>0</v>
      </c>
      <c r="BF209" s="527">
        <f t="shared" si="298"/>
        <v>0</v>
      </c>
      <c r="BG209" s="527">
        <f t="shared" si="298"/>
        <v>0</v>
      </c>
      <c r="BH209" s="527">
        <f t="shared" si="298"/>
        <v>0</v>
      </c>
      <c r="BI209" s="527">
        <f t="shared" si="298"/>
        <v>0</v>
      </c>
      <c r="BJ209" s="527">
        <f t="shared" si="298"/>
        <v>0</v>
      </c>
      <c r="BK209" s="527">
        <f t="shared" si="298"/>
        <v>0</v>
      </c>
      <c r="BL209" s="527">
        <f t="shared" si="298"/>
        <v>0</v>
      </c>
      <c r="BM209" s="527">
        <f t="shared" si="298"/>
        <v>0</v>
      </c>
      <c r="BN209" s="527">
        <f t="shared" si="298"/>
        <v>0</v>
      </c>
      <c r="BO209" s="527">
        <f t="shared" si="298"/>
        <v>0</v>
      </c>
      <c r="BP209" s="527">
        <f t="shared" si="298"/>
        <v>0</v>
      </c>
      <c r="BQ209" s="527">
        <f t="shared" si="298"/>
        <v>0</v>
      </c>
      <c r="BR209" s="527">
        <f t="shared" si="298"/>
        <v>0</v>
      </c>
      <c r="BS209" s="527">
        <f t="shared" si="298"/>
        <v>0</v>
      </c>
      <c r="BT209" s="527">
        <f t="shared" si="298"/>
        <v>14591.762424044844</v>
      </c>
      <c r="BU209" s="527">
        <f t="shared" si="298"/>
        <v>14591.762424044844</v>
      </c>
      <c r="BV209" s="527">
        <f t="shared" si="298"/>
        <v>14591.762424044844</v>
      </c>
      <c r="BW209" s="527">
        <f t="shared" si="298"/>
        <v>14591.762424044844</v>
      </c>
      <c r="BX209" s="527">
        <f t="shared" si="298"/>
        <v>14591.762424044844</v>
      </c>
      <c r="BY209" s="527">
        <f t="shared" si="298"/>
        <v>14591.762424044844</v>
      </c>
    </row>
    <row r="210" spans="1:77" x14ac:dyDescent="0.3">
      <c r="A210" s="551"/>
      <c r="B210" s="548"/>
      <c r="C210" s="525"/>
      <c r="D210" s="525"/>
      <c r="E210" s="617" t="str">
        <f>"BCF net comm. uplift due to capex: "&amp;E$160</f>
        <v>BCF net comm. uplift due to capex: Uninvested Tranche</v>
      </c>
      <c r="F210" s="525"/>
      <c r="G210" s="525"/>
      <c r="H210" s="525"/>
      <c r="I210" s="525"/>
      <c r="J210" s="525"/>
      <c r="K210" s="525"/>
      <c r="L210" s="525"/>
      <c r="M210" s="525"/>
      <c r="N210" s="525"/>
      <c r="O210" s="525"/>
      <c r="P210" s="565"/>
      <c r="Q210" s="525"/>
      <c r="R210" s="527">
        <f t="shared" ref="R210:AW210" si="299">IFERROR(R202*(R$581/SUM(R$581,R$590)),0)</f>
        <v>0</v>
      </c>
      <c r="S210" s="527">
        <f t="shared" si="299"/>
        <v>0</v>
      </c>
      <c r="T210" s="527">
        <f t="shared" si="299"/>
        <v>0</v>
      </c>
      <c r="U210" s="527">
        <f t="shared" si="299"/>
        <v>0</v>
      </c>
      <c r="V210" s="527">
        <f t="shared" si="299"/>
        <v>0</v>
      </c>
      <c r="W210" s="527">
        <f t="shared" si="299"/>
        <v>0</v>
      </c>
      <c r="X210" s="527">
        <f t="shared" si="299"/>
        <v>0</v>
      </c>
      <c r="Y210" s="527">
        <f t="shared" si="299"/>
        <v>0</v>
      </c>
      <c r="Z210" s="527">
        <f t="shared" si="299"/>
        <v>0</v>
      </c>
      <c r="AA210" s="527">
        <f t="shared" si="299"/>
        <v>0</v>
      </c>
      <c r="AB210" s="527">
        <f t="shared" si="299"/>
        <v>0</v>
      </c>
      <c r="AC210" s="527">
        <f t="shared" si="299"/>
        <v>0</v>
      </c>
      <c r="AD210" s="527">
        <f t="shared" si="299"/>
        <v>0</v>
      </c>
      <c r="AE210" s="527">
        <f t="shared" si="299"/>
        <v>0</v>
      </c>
      <c r="AF210" s="527">
        <f t="shared" si="299"/>
        <v>0</v>
      </c>
      <c r="AG210" s="527">
        <f t="shared" si="299"/>
        <v>0</v>
      </c>
      <c r="AH210" s="527">
        <f t="shared" si="299"/>
        <v>0</v>
      </c>
      <c r="AI210" s="527">
        <f t="shared" si="299"/>
        <v>0</v>
      </c>
      <c r="AJ210" s="527">
        <f t="shared" si="299"/>
        <v>0</v>
      </c>
      <c r="AK210" s="527">
        <f t="shared" si="299"/>
        <v>0</v>
      </c>
      <c r="AL210" s="527">
        <f t="shared" si="299"/>
        <v>0</v>
      </c>
      <c r="AM210" s="527">
        <f t="shared" si="299"/>
        <v>0</v>
      </c>
      <c r="AN210" s="527">
        <f t="shared" si="299"/>
        <v>0</v>
      </c>
      <c r="AO210" s="527">
        <f t="shared" si="299"/>
        <v>0</v>
      </c>
      <c r="AP210" s="527">
        <f t="shared" si="299"/>
        <v>0</v>
      </c>
      <c r="AQ210" s="527">
        <f t="shared" si="299"/>
        <v>0</v>
      </c>
      <c r="AR210" s="527">
        <f t="shared" si="299"/>
        <v>0</v>
      </c>
      <c r="AS210" s="527">
        <f t="shared" si="299"/>
        <v>0</v>
      </c>
      <c r="AT210" s="527">
        <f t="shared" si="299"/>
        <v>0</v>
      </c>
      <c r="AU210" s="527">
        <f t="shared" si="299"/>
        <v>0</v>
      </c>
      <c r="AV210" s="527">
        <f t="shared" si="299"/>
        <v>0</v>
      </c>
      <c r="AW210" s="527">
        <f t="shared" si="299"/>
        <v>0</v>
      </c>
      <c r="AX210" s="527">
        <f t="shared" ref="AX210:BY210" si="300">IFERROR(AX202*(AX$581/SUM(AX$581,AX$590)),0)</f>
        <v>0</v>
      </c>
      <c r="AY210" s="527">
        <f t="shared" si="300"/>
        <v>0</v>
      </c>
      <c r="AZ210" s="527">
        <f t="shared" si="300"/>
        <v>0</v>
      </c>
      <c r="BA210" s="527">
        <f t="shared" si="300"/>
        <v>0</v>
      </c>
      <c r="BB210" s="527">
        <f t="shared" si="300"/>
        <v>0</v>
      </c>
      <c r="BC210" s="527">
        <f t="shared" si="300"/>
        <v>0</v>
      </c>
      <c r="BD210" s="527">
        <f t="shared" si="300"/>
        <v>0</v>
      </c>
      <c r="BE210" s="527">
        <f t="shared" si="300"/>
        <v>0</v>
      </c>
      <c r="BF210" s="527">
        <f t="shared" si="300"/>
        <v>0</v>
      </c>
      <c r="BG210" s="527">
        <f t="shared" si="300"/>
        <v>0</v>
      </c>
      <c r="BH210" s="527">
        <f t="shared" si="300"/>
        <v>0</v>
      </c>
      <c r="BI210" s="527">
        <f t="shared" si="300"/>
        <v>0</v>
      </c>
      <c r="BJ210" s="527">
        <f t="shared" si="300"/>
        <v>0</v>
      </c>
      <c r="BK210" s="527">
        <f t="shared" si="300"/>
        <v>0</v>
      </c>
      <c r="BL210" s="527">
        <f t="shared" si="300"/>
        <v>0</v>
      </c>
      <c r="BM210" s="527">
        <f t="shared" si="300"/>
        <v>0</v>
      </c>
      <c r="BN210" s="527">
        <f t="shared" si="300"/>
        <v>0</v>
      </c>
      <c r="BO210" s="527">
        <f t="shared" si="300"/>
        <v>0</v>
      </c>
      <c r="BP210" s="527">
        <f t="shared" si="300"/>
        <v>0</v>
      </c>
      <c r="BQ210" s="527">
        <f t="shared" si="300"/>
        <v>0</v>
      </c>
      <c r="BR210" s="527">
        <f t="shared" si="300"/>
        <v>0</v>
      </c>
      <c r="BS210" s="527">
        <f t="shared" si="300"/>
        <v>0</v>
      </c>
      <c r="BT210" s="527">
        <f t="shared" si="300"/>
        <v>0</v>
      </c>
      <c r="BU210" s="527">
        <f t="shared" si="300"/>
        <v>0</v>
      </c>
      <c r="BV210" s="527">
        <f t="shared" si="300"/>
        <v>0</v>
      </c>
      <c r="BW210" s="527">
        <f t="shared" si="300"/>
        <v>0</v>
      </c>
      <c r="BX210" s="527">
        <f t="shared" si="300"/>
        <v>0</v>
      </c>
      <c r="BY210" s="527">
        <f t="shared" si="300"/>
        <v>0</v>
      </c>
    </row>
    <row r="211" spans="1:77" x14ac:dyDescent="0.3">
      <c r="A211" s="551"/>
      <c r="B211" s="548"/>
      <c r="C211" s="525"/>
      <c r="D211" s="525"/>
      <c r="E211" s="572" t="s">
        <v>36</v>
      </c>
      <c r="F211" s="572"/>
      <c r="G211" s="572"/>
      <c r="H211" s="572"/>
      <c r="I211" s="572"/>
      <c r="J211" s="572"/>
      <c r="K211" s="572"/>
      <c r="L211" s="572"/>
      <c r="M211" s="572"/>
      <c r="N211" s="572"/>
      <c r="O211" s="572"/>
      <c r="P211" s="612"/>
      <c r="Q211" s="572"/>
      <c r="R211" s="532">
        <f t="shared" ref="R211:AW211" si="301">SUM(R205:R210)</f>
        <v>0</v>
      </c>
      <c r="S211" s="532">
        <f t="shared" si="301"/>
        <v>0</v>
      </c>
      <c r="T211" s="532">
        <f t="shared" si="301"/>
        <v>0</v>
      </c>
      <c r="U211" s="532">
        <f t="shared" si="301"/>
        <v>0</v>
      </c>
      <c r="V211" s="532">
        <f t="shared" si="301"/>
        <v>0</v>
      </c>
      <c r="W211" s="532">
        <f t="shared" si="301"/>
        <v>0</v>
      </c>
      <c r="X211" s="532">
        <f t="shared" si="301"/>
        <v>13233.753304965549</v>
      </c>
      <c r="Y211" s="532">
        <f t="shared" si="301"/>
        <v>13233.753304965549</v>
      </c>
      <c r="Z211" s="532">
        <f t="shared" si="301"/>
        <v>13233.753304965549</v>
      </c>
      <c r="AA211" s="532">
        <f t="shared" si="301"/>
        <v>13233.753304965549</v>
      </c>
      <c r="AB211" s="532">
        <f t="shared" si="301"/>
        <v>13233.753304965549</v>
      </c>
      <c r="AC211" s="532">
        <f t="shared" si="301"/>
        <v>13233.753304965549</v>
      </c>
      <c r="AD211" s="532">
        <f t="shared" si="301"/>
        <v>10158.569642695675</v>
      </c>
      <c r="AE211" s="532">
        <f t="shared" si="301"/>
        <v>10158.569642695675</v>
      </c>
      <c r="AF211" s="532">
        <f t="shared" si="301"/>
        <v>10158.569642695675</v>
      </c>
      <c r="AG211" s="532">
        <f t="shared" si="301"/>
        <v>10158.569642695675</v>
      </c>
      <c r="AH211" s="532">
        <f t="shared" si="301"/>
        <v>10158.569642695675</v>
      </c>
      <c r="AI211" s="532">
        <f t="shared" si="301"/>
        <v>10158.569642695675</v>
      </c>
      <c r="AJ211" s="532">
        <f t="shared" si="301"/>
        <v>27395.839921838873</v>
      </c>
      <c r="AK211" s="532">
        <f t="shared" si="301"/>
        <v>27395.839921838873</v>
      </c>
      <c r="AL211" s="532">
        <f t="shared" si="301"/>
        <v>27395.839921838873</v>
      </c>
      <c r="AM211" s="532">
        <f t="shared" si="301"/>
        <v>27395.839921838873</v>
      </c>
      <c r="AN211" s="532">
        <f t="shared" si="301"/>
        <v>27395.839921838873</v>
      </c>
      <c r="AO211" s="532">
        <f t="shared" si="301"/>
        <v>27395.839921838873</v>
      </c>
      <c r="AP211" s="532">
        <f t="shared" si="301"/>
        <v>21272.007240413921</v>
      </c>
      <c r="AQ211" s="532">
        <f t="shared" si="301"/>
        <v>21272.007240413921</v>
      </c>
      <c r="AR211" s="532">
        <f t="shared" si="301"/>
        <v>21272.007240413921</v>
      </c>
      <c r="AS211" s="532">
        <f t="shared" si="301"/>
        <v>21272.007240413921</v>
      </c>
      <c r="AT211" s="532">
        <f t="shared" si="301"/>
        <v>21272.007240413921</v>
      </c>
      <c r="AU211" s="532">
        <f t="shared" si="301"/>
        <v>21272.007240413921</v>
      </c>
      <c r="AV211" s="532">
        <f t="shared" si="301"/>
        <v>42802.977176182292</v>
      </c>
      <c r="AW211" s="532">
        <f t="shared" si="301"/>
        <v>42802.977176182292</v>
      </c>
      <c r="AX211" s="532">
        <f t="shared" ref="AX211:BY211" si="302">SUM(AX205:AX210)</f>
        <v>42802.977176182292</v>
      </c>
      <c r="AY211" s="532">
        <f t="shared" si="302"/>
        <v>42802.977176182292</v>
      </c>
      <c r="AZ211" s="532">
        <f t="shared" si="302"/>
        <v>42802.977176182292</v>
      </c>
      <c r="BA211" s="532">
        <f t="shared" si="302"/>
        <v>42802.977176182292</v>
      </c>
      <c r="BB211" s="532">
        <f t="shared" si="302"/>
        <v>33954.771040809836</v>
      </c>
      <c r="BC211" s="532">
        <f t="shared" si="302"/>
        <v>33954.771040809836</v>
      </c>
      <c r="BD211" s="532">
        <f t="shared" si="302"/>
        <v>33954.771040809836</v>
      </c>
      <c r="BE211" s="532">
        <f t="shared" si="302"/>
        <v>33954.771040809836</v>
      </c>
      <c r="BF211" s="532">
        <f t="shared" si="302"/>
        <v>33954.771040809836</v>
      </c>
      <c r="BG211" s="532">
        <f t="shared" si="302"/>
        <v>33954.771040809836</v>
      </c>
      <c r="BH211" s="532">
        <f t="shared" si="302"/>
        <v>60074.554950705759</v>
      </c>
      <c r="BI211" s="532">
        <f t="shared" si="302"/>
        <v>60074.554950705759</v>
      </c>
      <c r="BJ211" s="532">
        <f t="shared" si="302"/>
        <v>60074.554950705759</v>
      </c>
      <c r="BK211" s="532">
        <f t="shared" si="302"/>
        <v>60074.554950705759</v>
      </c>
      <c r="BL211" s="532">
        <f t="shared" si="302"/>
        <v>60074.554950705759</v>
      </c>
      <c r="BM211" s="532">
        <f t="shared" si="302"/>
        <v>60074.554950705759</v>
      </c>
      <c r="BN211" s="532">
        <f t="shared" si="302"/>
        <v>48114.897249564892</v>
      </c>
      <c r="BO211" s="532">
        <f t="shared" si="302"/>
        <v>48114.897249564892</v>
      </c>
      <c r="BP211" s="532">
        <f t="shared" si="302"/>
        <v>48114.897249564892</v>
      </c>
      <c r="BQ211" s="532">
        <f t="shared" si="302"/>
        <v>48114.897249564892</v>
      </c>
      <c r="BR211" s="532">
        <f t="shared" si="302"/>
        <v>48114.897249564892</v>
      </c>
      <c r="BS211" s="532">
        <f t="shared" si="302"/>
        <v>48114.897249564892</v>
      </c>
      <c r="BT211" s="532">
        <f t="shared" si="302"/>
        <v>79135.166758309671</v>
      </c>
      <c r="BU211" s="532">
        <f t="shared" si="302"/>
        <v>79135.166758309671</v>
      </c>
      <c r="BV211" s="532">
        <f t="shared" si="302"/>
        <v>79135.166758309671</v>
      </c>
      <c r="BW211" s="532">
        <f t="shared" si="302"/>
        <v>79135.166758309671</v>
      </c>
      <c r="BX211" s="532">
        <f t="shared" si="302"/>
        <v>79135.166758309671</v>
      </c>
      <c r="BY211" s="532">
        <f t="shared" si="302"/>
        <v>79135.166758309671</v>
      </c>
    </row>
    <row r="212" spans="1:77" x14ac:dyDescent="0.3">
      <c r="A212" s="551"/>
      <c r="B212" s="548"/>
      <c r="C212" s="525"/>
      <c r="D212" s="525"/>
      <c r="E212" s="525"/>
      <c r="F212" s="525"/>
      <c r="G212" s="525"/>
      <c r="H212" s="525"/>
      <c r="I212" s="525"/>
      <c r="J212" s="525"/>
      <c r="K212" s="525"/>
      <c r="L212" s="525"/>
      <c r="M212" s="525"/>
      <c r="N212" s="525"/>
      <c r="O212" s="525"/>
      <c r="P212" s="565"/>
      <c r="Q212" s="525"/>
      <c r="R212" s="525"/>
      <c r="S212" s="525"/>
      <c r="T212" s="525"/>
      <c r="U212" s="525"/>
      <c r="V212" s="525"/>
      <c r="W212" s="525"/>
      <c r="X212" s="525"/>
      <c r="Y212" s="525"/>
      <c r="Z212" s="525"/>
      <c r="AA212" s="525"/>
      <c r="AB212" s="525"/>
      <c r="AC212" s="525"/>
      <c r="AD212" s="525"/>
      <c r="AE212" s="525"/>
      <c r="AF212" s="525"/>
      <c r="AG212" s="525"/>
      <c r="AH212" s="525"/>
      <c r="AI212" s="525"/>
      <c r="AJ212" s="525"/>
      <c r="AK212" s="525"/>
      <c r="AL212" s="525"/>
      <c r="AM212" s="525"/>
      <c r="AN212" s="525"/>
      <c r="AO212" s="525"/>
      <c r="AP212" s="525"/>
      <c r="AQ212" s="525"/>
      <c r="AR212" s="525"/>
      <c r="AS212" s="525"/>
      <c r="AT212" s="525"/>
      <c r="AU212" s="525"/>
      <c r="AV212" s="525"/>
      <c r="AW212" s="525"/>
      <c r="AX212" s="525"/>
      <c r="AY212" s="525"/>
      <c r="AZ212" s="525"/>
      <c r="BA212" s="525"/>
      <c r="BB212" s="525"/>
      <c r="BC212" s="525"/>
      <c r="BD212" s="525"/>
      <c r="BE212" s="525"/>
      <c r="BF212" s="525"/>
      <c r="BG212" s="525"/>
      <c r="BH212" s="525"/>
      <c r="BI212" s="525"/>
      <c r="BJ212" s="525"/>
      <c r="BK212" s="525"/>
      <c r="BL212" s="525"/>
      <c r="BM212" s="525"/>
      <c r="BN212" s="525"/>
      <c r="BO212" s="525"/>
      <c r="BP212" s="525"/>
      <c r="BQ212" s="525"/>
      <c r="BR212" s="525"/>
      <c r="BS212" s="525"/>
      <c r="BT212" s="525"/>
      <c r="BU212" s="525"/>
      <c r="BV212" s="525"/>
      <c r="BW212" s="525"/>
      <c r="BX212" s="525"/>
      <c r="BY212" s="525"/>
    </row>
    <row r="213" spans="1:77" x14ac:dyDescent="0.3">
      <c r="A213" s="551"/>
      <c r="B213" s="548"/>
      <c r="C213" s="525"/>
      <c r="D213" s="525"/>
      <c r="E213" s="618" t="str">
        <f>"WSM net comm. uplift due to capex: "&amp;E$155</f>
        <v>WSM net comm. uplift due to capex: FY27 Tranche</v>
      </c>
      <c r="F213" s="525"/>
      <c r="G213" s="525"/>
      <c r="H213" s="525"/>
      <c r="I213" s="525"/>
      <c r="J213" s="525"/>
      <c r="K213" s="525"/>
      <c r="L213" s="525"/>
      <c r="M213" s="525"/>
      <c r="N213" s="525"/>
      <c r="O213" s="525"/>
      <c r="P213" s="565"/>
      <c r="Q213" s="525"/>
      <c r="R213" s="527">
        <f t="shared" ref="R213:AW213" si="303">IFERROR(R197*(R$590/SUM(R$581,R$590)),0)</f>
        <v>0</v>
      </c>
      <c r="S213" s="527">
        <f t="shared" si="303"/>
        <v>0</v>
      </c>
      <c r="T213" s="527">
        <f t="shared" si="303"/>
        <v>0</v>
      </c>
      <c r="U213" s="527">
        <f t="shared" si="303"/>
        <v>0</v>
      </c>
      <c r="V213" s="527">
        <f t="shared" si="303"/>
        <v>0</v>
      </c>
      <c r="W213" s="527">
        <f t="shared" si="303"/>
        <v>0</v>
      </c>
      <c r="X213" s="527">
        <f t="shared" si="303"/>
        <v>934.42506589025527</v>
      </c>
      <c r="Y213" s="527">
        <f t="shared" si="303"/>
        <v>934.42506589025527</v>
      </c>
      <c r="Z213" s="527">
        <f t="shared" si="303"/>
        <v>934.42506589025527</v>
      </c>
      <c r="AA213" s="527">
        <f t="shared" si="303"/>
        <v>934.42506589025527</v>
      </c>
      <c r="AB213" s="527">
        <f t="shared" si="303"/>
        <v>934.42506589025527</v>
      </c>
      <c r="AC213" s="527">
        <f t="shared" si="303"/>
        <v>934.42506589025527</v>
      </c>
      <c r="AD213" s="527">
        <f t="shared" si="303"/>
        <v>680.15664290508812</v>
      </c>
      <c r="AE213" s="527">
        <f t="shared" si="303"/>
        <v>680.15664290508812</v>
      </c>
      <c r="AF213" s="527">
        <f t="shared" si="303"/>
        <v>680.15664290508812</v>
      </c>
      <c r="AG213" s="527">
        <f t="shared" si="303"/>
        <v>680.15664290508812</v>
      </c>
      <c r="AH213" s="527">
        <f t="shared" si="303"/>
        <v>680.15664290508812</v>
      </c>
      <c r="AI213" s="527">
        <f t="shared" si="303"/>
        <v>680.15664290508812</v>
      </c>
      <c r="AJ213" s="527">
        <f t="shared" si="303"/>
        <v>923.79013913948017</v>
      </c>
      <c r="AK213" s="527">
        <f t="shared" si="303"/>
        <v>923.79013913948017</v>
      </c>
      <c r="AL213" s="527">
        <f t="shared" si="303"/>
        <v>923.79013913948017</v>
      </c>
      <c r="AM213" s="527">
        <f t="shared" si="303"/>
        <v>923.79013913948017</v>
      </c>
      <c r="AN213" s="527">
        <f t="shared" si="303"/>
        <v>923.79013913948017</v>
      </c>
      <c r="AO213" s="527">
        <f t="shared" si="303"/>
        <v>923.79013913948017</v>
      </c>
      <c r="AP213" s="527">
        <f t="shared" si="303"/>
        <v>683.48557778641577</v>
      </c>
      <c r="AQ213" s="527">
        <f t="shared" si="303"/>
        <v>683.48557778641577</v>
      </c>
      <c r="AR213" s="527">
        <f t="shared" si="303"/>
        <v>683.48557778641577</v>
      </c>
      <c r="AS213" s="527">
        <f t="shared" si="303"/>
        <v>683.48557778641577</v>
      </c>
      <c r="AT213" s="527">
        <f t="shared" si="303"/>
        <v>683.48557778641577</v>
      </c>
      <c r="AU213" s="527">
        <f t="shared" si="303"/>
        <v>683.48557778641577</v>
      </c>
      <c r="AV213" s="527">
        <f t="shared" si="303"/>
        <v>925.16004720222509</v>
      </c>
      <c r="AW213" s="527">
        <f t="shared" si="303"/>
        <v>925.16004720222509</v>
      </c>
      <c r="AX213" s="527">
        <f t="shared" ref="AX213:BY213" si="304">IFERROR(AX197*(AX$590/SUM(AX$581,AX$590)),0)</f>
        <v>925.16004720222509</v>
      </c>
      <c r="AY213" s="527">
        <f t="shared" si="304"/>
        <v>925.16004720222509</v>
      </c>
      <c r="AZ213" s="527">
        <f t="shared" si="304"/>
        <v>925.16004720222509</v>
      </c>
      <c r="BA213" s="527">
        <f t="shared" si="304"/>
        <v>925.16004720222509</v>
      </c>
      <c r="BB213" s="527">
        <f t="shared" si="304"/>
        <v>703.21744249901496</v>
      </c>
      <c r="BC213" s="527">
        <f t="shared" si="304"/>
        <v>703.21744249901496</v>
      </c>
      <c r="BD213" s="527">
        <f t="shared" si="304"/>
        <v>703.21744249901496</v>
      </c>
      <c r="BE213" s="527">
        <f t="shared" si="304"/>
        <v>703.21744249901496</v>
      </c>
      <c r="BF213" s="527">
        <f t="shared" si="304"/>
        <v>703.21744249901496</v>
      </c>
      <c r="BG213" s="527">
        <f t="shared" si="304"/>
        <v>703.21744249901496</v>
      </c>
      <c r="BH213" s="527">
        <f t="shared" si="304"/>
        <v>943.56383631292056</v>
      </c>
      <c r="BI213" s="527">
        <f t="shared" si="304"/>
        <v>943.56383631292056</v>
      </c>
      <c r="BJ213" s="527">
        <f t="shared" si="304"/>
        <v>943.56383631292056</v>
      </c>
      <c r="BK213" s="527">
        <f t="shared" si="304"/>
        <v>943.56383631292056</v>
      </c>
      <c r="BL213" s="527">
        <f t="shared" si="304"/>
        <v>943.56383631292056</v>
      </c>
      <c r="BM213" s="527">
        <f t="shared" si="304"/>
        <v>943.56383631292056</v>
      </c>
      <c r="BN213" s="527">
        <f t="shared" si="304"/>
        <v>727.1366983381314</v>
      </c>
      <c r="BO213" s="527">
        <f t="shared" si="304"/>
        <v>727.1366983381314</v>
      </c>
      <c r="BP213" s="527">
        <f t="shared" si="304"/>
        <v>727.1366983381314</v>
      </c>
      <c r="BQ213" s="527">
        <f t="shared" si="304"/>
        <v>727.1366983381314</v>
      </c>
      <c r="BR213" s="527">
        <f t="shared" si="304"/>
        <v>727.1366983381314</v>
      </c>
      <c r="BS213" s="527">
        <f t="shared" si="304"/>
        <v>727.1366983381314</v>
      </c>
      <c r="BT213" s="527">
        <f t="shared" si="304"/>
        <v>966.24854655609113</v>
      </c>
      <c r="BU213" s="527">
        <f t="shared" si="304"/>
        <v>966.24854655609113</v>
      </c>
      <c r="BV213" s="527">
        <f t="shared" si="304"/>
        <v>966.24854655609113</v>
      </c>
      <c r="BW213" s="527">
        <f t="shared" si="304"/>
        <v>966.24854655609113</v>
      </c>
      <c r="BX213" s="527">
        <f t="shared" si="304"/>
        <v>966.24854655609113</v>
      </c>
      <c r="BY213" s="527">
        <f t="shared" si="304"/>
        <v>966.24854655609113</v>
      </c>
    </row>
    <row r="214" spans="1:77" x14ac:dyDescent="0.3">
      <c r="A214" s="551"/>
      <c r="B214" s="548"/>
      <c r="C214" s="525"/>
      <c r="D214" s="525"/>
      <c r="E214" s="618" t="str">
        <f>"WSM net comm. uplift due to capex: "&amp;E$156</f>
        <v>WSM net comm. uplift due to capex: FY28 Tranche</v>
      </c>
      <c r="F214" s="525"/>
      <c r="G214" s="525"/>
      <c r="H214" s="525"/>
      <c r="I214" s="525"/>
      <c r="J214" s="525"/>
      <c r="K214" s="525"/>
      <c r="L214" s="525"/>
      <c r="M214" s="525"/>
      <c r="N214" s="525"/>
      <c r="O214" s="525"/>
      <c r="P214" s="565"/>
      <c r="Q214" s="525"/>
      <c r="R214" s="527">
        <f t="shared" ref="R214:AW214" si="305">IFERROR(R198*(R$590/SUM(R$581,R$590)),0)</f>
        <v>0</v>
      </c>
      <c r="S214" s="527">
        <f t="shared" si="305"/>
        <v>0</v>
      </c>
      <c r="T214" s="527">
        <f t="shared" si="305"/>
        <v>0</v>
      </c>
      <c r="U214" s="527">
        <f t="shared" si="305"/>
        <v>0</v>
      </c>
      <c r="V214" s="527">
        <f t="shared" si="305"/>
        <v>0</v>
      </c>
      <c r="W214" s="527">
        <f t="shared" si="305"/>
        <v>0</v>
      </c>
      <c r="X214" s="527">
        <f t="shared" si="305"/>
        <v>0</v>
      </c>
      <c r="Y214" s="527">
        <f t="shared" si="305"/>
        <v>0</v>
      </c>
      <c r="Z214" s="527">
        <f t="shared" si="305"/>
        <v>0</v>
      </c>
      <c r="AA214" s="527">
        <f t="shared" si="305"/>
        <v>0</v>
      </c>
      <c r="AB214" s="527">
        <f t="shared" si="305"/>
        <v>0</v>
      </c>
      <c r="AC214" s="527">
        <f t="shared" si="305"/>
        <v>0</v>
      </c>
      <c r="AD214" s="527">
        <f t="shared" si="305"/>
        <v>0</v>
      </c>
      <c r="AE214" s="527">
        <f t="shared" si="305"/>
        <v>0</v>
      </c>
      <c r="AF214" s="527">
        <f t="shared" si="305"/>
        <v>0</v>
      </c>
      <c r="AG214" s="527">
        <f t="shared" si="305"/>
        <v>0</v>
      </c>
      <c r="AH214" s="527">
        <f t="shared" si="305"/>
        <v>0</v>
      </c>
      <c r="AI214" s="527">
        <f t="shared" si="305"/>
        <v>0</v>
      </c>
      <c r="AJ214" s="527">
        <f t="shared" si="305"/>
        <v>910.47030954496176</v>
      </c>
      <c r="AK214" s="527">
        <f t="shared" si="305"/>
        <v>910.47030954496176</v>
      </c>
      <c r="AL214" s="527">
        <f t="shared" si="305"/>
        <v>910.47030954496176</v>
      </c>
      <c r="AM214" s="527">
        <f t="shared" si="305"/>
        <v>910.47030954496176</v>
      </c>
      <c r="AN214" s="527">
        <f t="shared" si="305"/>
        <v>910.47030954496176</v>
      </c>
      <c r="AO214" s="527">
        <f t="shared" si="305"/>
        <v>910.47030954496176</v>
      </c>
      <c r="AP214" s="527">
        <f t="shared" si="305"/>
        <v>670.7810330828479</v>
      </c>
      <c r="AQ214" s="527">
        <f t="shared" si="305"/>
        <v>670.7810330828479</v>
      </c>
      <c r="AR214" s="527">
        <f t="shared" si="305"/>
        <v>670.7810330828479</v>
      </c>
      <c r="AS214" s="527">
        <f t="shared" si="305"/>
        <v>670.7810330828479</v>
      </c>
      <c r="AT214" s="527">
        <f t="shared" si="305"/>
        <v>670.7810330828479</v>
      </c>
      <c r="AU214" s="527">
        <f t="shared" si="305"/>
        <v>670.7810330828479</v>
      </c>
      <c r="AV214" s="527">
        <f t="shared" si="305"/>
        <v>911.94732071051453</v>
      </c>
      <c r="AW214" s="527">
        <f t="shared" si="305"/>
        <v>911.94732071051453</v>
      </c>
      <c r="AX214" s="527">
        <f t="shared" ref="AX214:BY214" si="306">IFERROR(AX198*(AX$590/SUM(AX$581,AX$590)),0)</f>
        <v>911.94732071051453</v>
      </c>
      <c r="AY214" s="527">
        <f t="shared" si="306"/>
        <v>911.94732071051453</v>
      </c>
      <c r="AZ214" s="527">
        <f t="shared" si="306"/>
        <v>911.94732071051453</v>
      </c>
      <c r="BA214" s="527">
        <f t="shared" si="306"/>
        <v>911.94732071051453</v>
      </c>
      <c r="BB214" s="527">
        <f t="shared" si="306"/>
        <v>690.58271317931826</v>
      </c>
      <c r="BC214" s="527">
        <f t="shared" si="306"/>
        <v>690.58271317931826</v>
      </c>
      <c r="BD214" s="527">
        <f t="shared" si="306"/>
        <v>690.58271317931826</v>
      </c>
      <c r="BE214" s="527">
        <f t="shared" si="306"/>
        <v>690.58271317931826</v>
      </c>
      <c r="BF214" s="527">
        <f t="shared" si="306"/>
        <v>690.58271317931826</v>
      </c>
      <c r="BG214" s="527">
        <f t="shared" si="306"/>
        <v>690.58271317931826</v>
      </c>
      <c r="BH214" s="527">
        <f t="shared" si="306"/>
        <v>930.42371782043563</v>
      </c>
      <c r="BI214" s="527">
        <f t="shared" si="306"/>
        <v>930.42371782043563</v>
      </c>
      <c r="BJ214" s="527">
        <f t="shared" si="306"/>
        <v>930.42371782043563</v>
      </c>
      <c r="BK214" s="527">
        <f t="shared" si="306"/>
        <v>930.42371782043563</v>
      </c>
      <c r="BL214" s="527">
        <f t="shared" si="306"/>
        <v>930.42371782043563</v>
      </c>
      <c r="BM214" s="527">
        <f t="shared" si="306"/>
        <v>930.42371782043563</v>
      </c>
      <c r="BN214" s="527">
        <f t="shared" si="306"/>
        <v>714.56686763908783</v>
      </c>
      <c r="BO214" s="527">
        <f t="shared" si="306"/>
        <v>714.56686763908783</v>
      </c>
      <c r="BP214" s="527">
        <f t="shared" si="306"/>
        <v>714.56686763908783</v>
      </c>
      <c r="BQ214" s="527">
        <f t="shared" si="306"/>
        <v>714.56686763908783</v>
      </c>
      <c r="BR214" s="527">
        <f t="shared" si="306"/>
        <v>714.56686763908783</v>
      </c>
      <c r="BS214" s="527">
        <f t="shared" si="306"/>
        <v>714.56686763908783</v>
      </c>
      <c r="BT214" s="527">
        <f t="shared" si="306"/>
        <v>953.1759226290859</v>
      </c>
      <c r="BU214" s="527">
        <f t="shared" si="306"/>
        <v>953.1759226290859</v>
      </c>
      <c r="BV214" s="527">
        <f t="shared" si="306"/>
        <v>953.1759226290859</v>
      </c>
      <c r="BW214" s="527">
        <f t="shared" si="306"/>
        <v>953.1759226290859</v>
      </c>
      <c r="BX214" s="527">
        <f t="shared" si="306"/>
        <v>953.1759226290859</v>
      </c>
      <c r="BY214" s="527">
        <f t="shared" si="306"/>
        <v>953.1759226290859</v>
      </c>
    </row>
    <row r="215" spans="1:77" x14ac:dyDescent="0.3">
      <c r="A215" s="551"/>
      <c r="B215" s="548"/>
      <c r="C215" s="525"/>
      <c r="D215" s="525"/>
      <c r="E215" s="618" t="str">
        <f>"WSM net comm. uplift due to capex: "&amp;E$157</f>
        <v>WSM net comm. uplift due to capex: FY29 Tranche</v>
      </c>
      <c r="F215" s="525"/>
      <c r="G215" s="525"/>
      <c r="H215" s="525"/>
      <c r="I215" s="525"/>
      <c r="J215" s="525"/>
      <c r="K215" s="525"/>
      <c r="L215" s="525"/>
      <c r="M215" s="525"/>
      <c r="N215" s="525"/>
      <c r="O215" s="525"/>
      <c r="P215" s="565"/>
      <c r="Q215" s="525"/>
      <c r="R215" s="527">
        <f t="shared" ref="R215:AW215" si="307">IFERROR(R199*(R$590/SUM(R$581,R$590)),0)</f>
        <v>0</v>
      </c>
      <c r="S215" s="527">
        <f t="shared" si="307"/>
        <v>0</v>
      </c>
      <c r="T215" s="527">
        <f t="shared" si="307"/>
        <v>0</v>
      </c>
      <c r="U215" s="527">
        <f t="shared" si="307"/>
        <v>0</v>
      </c>
      <c r="V215" s="527">
        <f t="shared" si="307"/>
        <v>0</v>
      </c>
      <c r="W215" s="527">
        <f t="shared" si="307"/>
        <v>0</v>
      </c>
      <c r="X215" s="527">
        <f t="shared" si="307"/>
        <v>0</v>
      </c>
      <c r="Y215" s="527">
        <f t="shared" si="307"/>
        <v>0</v>
      </c>
      <c r="Z215" s="527">
        <f t="shared" si="307"/>
        <v>0</v>
      </c>
      <c r="AA215" s="527">
        <f t="shared" si="307"/>
        <v>0</v>
      </c>
      <c r="AB215" s="527">
        <f t="shared" si="307"/>
        <v>0</v>
      </c>
      <c r="AC215" s="527">
        <f t="shared" si="307"/>
        <v>0</v>
      </c>
      <c r="AD215" s="527">
        <f t="shared" si="307"/>
        <v>0</v>
      </c>
      <c r="AE215" s="527">
        <f t="shared" si="307"/>
        <v>0</v>
      </c>
      <c r="AF215" s="527">
        <f t="shared" si="307"/>
        <v>0</v>
      </c>
      <c r="AG215" s="527">
        <f t="shared" si="307"/>
        <v>0</v>
      </c>
      <c r="AH215" s="527">
        <f t="shared" si="307"/>
        <v>0</v>
      </c>
      <c r="AI215" s="527">
        <f t="shared" si="307"/>
        <v>0</v>
      </c>
      <c r="AJ215" s="527">
        <f t="shared" si="307"/>
        <v>0</v>
      </c>
      <c r="AK215" s="527">
        <f t="shared" si="307"/>
        <v>0</v>
      </c>
      <c r="AL215" s="527">
        <f t="shared" si="307"/>
        <v>0</v>
      </c>
      <c r="AM215" s="527">
        <f t="shared" si="307"/>
        <v>0</v>
      </c>
      <c r="AN215" s="527">
        <f t="shared" si="307"/>
        <v>0</v>
      </c>
      <c r="AO215" s="527">
        <f t="shared" si="307"/>
        <v>0</v>
      </c>
      <c r="AP215" s="527">
        <f t="shared" si="307"/>
        <v>0</v>
      </c>
      <c r="AQ215" s="527">
        <f t="shared" si="307"/>
        <v>0</v>
      </c>
      <c r="AR215" s="527">
        <f t="shared" si="307"/>
        <v>0</v>
      </c>
      <c r="AS215" s="527">
        <f t="shared" si="307"/>
        <v>0</v>
      </c>
      <c r="AT215" s="527">
        <f t="shared" si="307"/>
        <v>0</v>
      </c>
      <c r="AU215" s="527">
        <f t="shared" si="307"/>
        <v>0</v>
      </c>
      <c r="AV215" s="527">
        <f t="shared" si="307"/>
        <v>887.91252232940406</v>
      </c>
      <c r="AW215" s="527">
        <f t="shared" si="307"/>
        <v>887.91252232940406</v>
      </c>
      <c r="AX215" s="527">
        <f t="shared" ref="AX215:BY215" si="308">IFERROR(AX199*(AX$590/SUM(AX$581,AX$590)),0)</f>
        <v>887.91252232940406</v>
      </c>
      <c r="AY215" s="527">
        <f t="shared" si="308"/>
        <v>887.91252232940406</v>
      </c>
      <c r="AZ215" s="527">
        <f t="shared" si="308"/>
        <v>887.91252232940406</v>
      </c>
      <c r="BA215" s="527">
        <f t="shared" si="308"/>
        <v>887.91252232940406</v>
      </c>
      <c r="BB215" s="527">
        <f t="shared" si="308"/>
        <v>667.59932878932614</v>
      </c>
      <c r="BC215" s="527">
        <f t="shared" si="308"/>
        <v>667.59932878932614</v>
      </c>
      <c r="BD215" s="527">
        <f t="shared" si="308"/>
        <v>667.59932878932614</v>
      </c>
      <c r="BE215" s="527">
        <f t="shared" si="308"/>
        <v>667.59932878932614</v>
      </c>
      <c r="BF215" s="527">
        <f t="shared" si="308"/>
        <v>667.59932878932614</v>
      </c>
      <c r="BG215" s="527">
        <f t="shared" si="308"/>
        <v>667.59932878932614</v>
      </c>
      <c r="BH215" s="527">
        <f t="shared" si="308"/>
        <v>906.52099805484431</v>
      </c>
      <c r="BI215" s="527">
        <f t="shared" si="308"/>
        <v>906.52099805484431</v>
      </c>
      <c r="BJ215" s="527">
        <f t="shared" si="308"/>
        <v>906.52099805484431</v>
      </c>
      <c r="BK215" s="527">
        <f t="shared" si="308"/>
        <v>906.52099805484431</v>
      </c>
      <c r="BL215" s="527">
        <f t="shared" si="308"/>
        <v>906.52099805484431</v>
      </c>
      <c r="BM215" s="527">
        <f t="shared" si="308"/>
        <v>906.52099805484431</v>
      </c>
      <c r="BN215" s="527">
        <f t="shared" si="308"/>
        <v>691.70153800967876</v>
      </c>
      <c r="BO215" s="527">
        <f t="shared" si="308"/>
        <v>691.70153800967876</v>
      </c>
      <c r="BP215" s="527">
        <f t="shared" si="308"/>
        <v>691.70153800967876</v>
      </c>
      <c r="BQ215" s="527">
        <f t="shared" si="308"/>
        <v>691.70153800967876</v>
      </c>
      <c r="BR215" s="527">
        <f t="shared" si="308"/>
        <v>691.70153800967876</v>
      </c>
      <c r="BS215" s="527">
        <f t="shared" si="308"/>
        <v>691.70153800967876</v>
      </c>
      <c r="BT215" s="527">
        <f t="shared" si="308"/>
        <v>929.3959798145014</v>
      </c>
      <c r="BU215" s="527">
        <f t="shared" si="308"/>
        <v>929.3959798145014</v>
      </c>
      <c r="BV215" s="527">
        <f t="shared" si="308"/>
        <v>929.3959798145014</v>
      </c>
      <c r="BW215" s="527">
        <f t="shared" si="308"/>
        <v>929.3959798145014</v>
      </c>
      <c r="BX215" s="527">
        <f t="shared" si="308"/>
        <v>929.3959798145014</v>
      </c>
      <c r="BY215" s="527">
        <f t="shared" si="308"/>
        <v>929.3959798145014</v>
      </c>
    </row>
    <row r="216" spans="1:77" x14ac:dyDescent="0.3">
      <c r="A216" s="551"/>
      <c r="B216" s="548"/>
      <c r="C216" s="525"/>
      <c r="D216" s="525"/>
      <c r="E216" s="618" t="str">
        <f>"WSM net comm. uplift due to capex: "&amp;E$158</f>
        <v>WSM net comm. uplift due to capex: FY30 Tranche</v>
      </c>
      <c r="F216" s="525"/>
      <c r="G216" s="525"/>
      <c r="H216" s="525"/>
      <c r="I216" s="525"/>
      <c r="J216" s="525"/>
      <c r="K216" s="525"/>
      <c r="L216" s="525"/>
      <c r="M216" s="525"/>
      <c r="N216" s="525"/>
      <c r="O216" s="525"/>
      <c r="P216" s="565"/>
      <c r="Q216" s="525"/>
      <c r="R216" s="527">
        <f t="shared" ref="R216:AW216" si="309">IFERROR(R200*(R$590/SUM(R$581,R$590)),0)</f>
        <v>0</v>
      </c>
      <c r="S216" s="527">
        <f t="shared" si="309"/>
        <v>0</v>
      </c>
      <c r="T216" s="527">
        <f t="shared" si="309"/>
        <v>0</v>
      </c>
      <c r="U216" s="527">
        <f t="shared" si="309"/>
        <v>0</v>
      </c>
      <c r="V216" s="527">
        <f t="shared" si="309"/>
        <v>0</v>
      </c>
      <c r="W216" s="527">
        <f t="shared" si="309"/>
        <v>0</v>
      </c>
      <c r="X216" s="527">
        <f t="shared" si="309"/>
        <v>0</v>
      </c>
      <c r="Y216" s="527">
        <f t="shared" si="309"/>
        <v>0</v>
      </c>
      <c r="Z216" s="527">
        <f t="shared" si="309"/>
        <v>0</v>
      </c>
      <c r="AA216" s="527">
        <f t="shared" si="309"/>
        <v>0</v>
      </c>
      <c r="AB216" s="527">
        <f t="shared" si="309"/>
        <v>0</v>
      </c>
      <c r="AC216" s="527">
        <f t="shared" si="309"/>
        <v>0</v>
      </c>
      <c r="AD216" s="527">
        <f t="shared" si="309"/>
        <v>0</v>
      </c>
      <c r="AE216" s="527">
        <f t="shared" si="309"/>
        <v>0</v>
      </c>
      <c r="AF216" s="527">
        <f t="shared" si="309"/>
        <v>0</v>
      </c>
      <c r="AG216" s="527">
        <f t="shared" si="309"/>
        <v>0</v>
      </c>
      <c r="AH216" s="527">
        <f t="shared" si="309"/>
        <v>0</v>
      </c>
      <c r="AI216" s="527">
        <f t="shared" si="309"/>
        <v>0</v>
      </c>
      <c r="AJ216" s="527">
        <f t="shared" si="309"/>
        <v>0</v>
      </c>
      <c r="AK216" s="527">
        <f t="shared" si="309"/>
        <v>0</v>
      </c>
      <c r="AL216" s="527">
        <f t="shared" si="309"/>
        <v>0</v>
      </c>
      <c r="AM216" s="527">
        <f t="shared" si="309"/>
        <v>0</v>
      </c>
      <c r="AN216" s="527">
        <f t="shared" si="309"/>
        <v>0</v>
      </c>
      <c r="AO216" s="527">
        <f t="shared" si="309"/>
        <v>0</v>
      </c>
      <c r="AP216" s="527">
        <f t="shared" si="309"/>
        <v>0</v>
      </c>
      <c r="AQ216" s="527">
        <f t="shared" si="309"/>
        <v>0</v>
      </c>
      <c r="AR216" s="527">
        <f t="shared" si="309"/>
        <v>0</v>
      </c>
      <c r="AS216" s="527">
        <f t="shared" si="309"/>
        <v>0</v>
      </c>
      <c r="AT216" s="527">
        <f t="shared" si="309"/>
        <v>0</v>
      </c>
      <c r="AU216" s="527">
        <f t="shared" si="309"/>
        <v>0</v>
      </c>
      <c r="AV216" s="527">
        <f t="shared" si="309"/>
        <v>0</v>
      </c>
      <c r="AW216" s="527">
        <f t="shared" si="309"/>
        <v>0</v>
      </c>
      <c r="AX216" s="527">
        <f t="shared" ref="AX216:BY216" si="310">IFERROR(AX200*(AX$590/SUM(AX$581,AX$590)),0)</f>
        <v>0</v>
      </c>
      <c r="AY216" s="527">
        <f t="shared" si="310"/>
        <v>0</v>
      </c>
      <c r="AZ216" s="527">
        <f t="shared" si="310"/>
        <v>0</v>
      </c>
      <c r="BA216" s="527">
        <f t="shared" si="310"/>
        <v>0</v>
      </c>
      <c r="BB216" s="527">
        <f t="shared" si="310"/>
        <v>0</v>
      </c>
      <c r="BC216" s="527">
        <f t="shared" si="310"/>
        <v>0</v>
      </c>
      <c r="BD216" s="527">
        <f t="shared" si="310"/>
        <v>0</v>
      </c>
      <c r="BE216" s="527">
        <f t="shared" si="310"/>
        <v>0</v>
      </c>
      <c r="BF216" s="527">
        <f t="shared" si="310"/>
        <v>0</v>
      </c>
      <c r="BG216" s="527">
        <f t="shared" si="310"/>
        <v>0</v>
      </c>
      <c r="BH216" s="527">
        <f t="shared" si="310"/>
        <v>866.62711708696395</v>
      </c>
      <c r="BI216" s="527">
        <f t="shared" si="310"/>
        <v>866.62711708696395</v>
      </c>
      <c r="BJ216" s="527">
        <f t="shared" si="310"/>
        <v>866.62711708696395</v>
      </c>
      <c r="BK216" s="527">
        <f t="shared" si="310"/>
        <v>866.62711708696395</v>
      </c>
      <c r="BL216" s="527">
        <f t="shared" si="310"/>
        <v>866.62711708696395</v>
      </c>
      <c r="BM216" s="527">
        <f t="shared" si="310"/>
        <v>866.62711708696395</v>
      </c>
      <c r="BN216" s="527">
        <f t="shared" si="310"/>
        <v>653.5390716680821</v>
      </c>
      <c r="BO216" s="527">
        <f t="shared" si="310"/>
        <v>653.5390716680821</v>
      </c>
      <c r="BP216" s="527">
        <f t="shared" si="310"/>
        <v>653.5390716680821</v>
      </c>
      <c r="BQ216" s="527">
        <f t="shared" si="310"/>
        <v>653.5390716680821</v>
      </c>
      <c r="BR216" s="527">
        <f t="shared" si="310"/>
        <v>653.5390716680821</v>
      </c>
      <c r="BS216" s="527">
        <f t="shared" si="310"/>
        <v>653.5390716680821</v>
      </c>
      <c r="BT216" s="527">
        <f t="shared" si="310"/>
        <v>889.70701481924038</v>
      </c>
      <c r="BU216" s="527">
        <f t="shared" si="310"/>
        <v>889.70701481924038</v>
      </c>
      <c r="BV216" s="527">
        <f t="shared" si="310"/>
        <v>889.70701481924038</v>
      </c>
      <c r="BW216" s="527">
        <f t="shared" si="310"/>
        <v>889.70701481924038</v>
      </c>
      <c r="BX216" s="527">
        <f t="shared" si="310"/>
        <v>889.70701481924038</v>
      </c>
      <c r="BY216" s="527">
        <f t="shared" si="310"/>
        <v>889.70701481924038</v>
      </c>
    </row>
    <row r="217" spans="1:77" x14ac:dyDescent="0.3">
      <c r="A217" s="551"/>
      <c r="B217" s="548"/>
      <c r="C217" s="525"/>
      <c r="D217" s="525"/>
      <c r="E217" s="618" t="str">
        <f>"WSM net comm. uplift due to capex: "&amp;E$159</f>
        <v>WSM net comm. uplift due to capex: FY31 Tranche</v>
      </c>
      <c r="F217" s="525"/>
      <c r="G217" s="525"/>
      <c r="H217" s="525"/>
      <c r="I217" s="525"/>
      <c r="J217" s="525"/>
      <c r="K217" s="525"/>
      <c r="L217" s="525"/>
      <c r="M217" s="525"/>
      <c r="N217" s="525"/>
      <c r="O217" s="525"/>
      <c r="P217" s="565"/>
      <c r="Q217" s="525"/>
      <c r="R217" s="527">
        <f t="shared" ref="R217:AW217" si="311">IFERROR(R201*(R$590/SUM(R$581,R$590)),0)</f>
        <v>0</v>
      </c>
      <c r="S217" s="527">
        <f t="shared" si="311"/>
        <v>0</v>
      </c>
      <c r="T217" s="527">
        <f t="shared" si="311"/>
        <v>0</v>
      </c>
      <c r="U217" s="527">
        <f t="shared" si="311"/>
        <v>0</v>
      </c>
      <c r="V217" s="527">
        <f t="shared" si="311"/>
        <v>0</v>
      </c>
      <c r="W217" s="527">
        <f t="shared" si="311"/>
        <v>0</v>
      </c>
      <c r="X217" s="527">
        <f t="shared" si="311"/>
        <v>0</v>
      </c>
      <c r="Y217" s="527">
        <f t="shared" si="311"/>
        <v>0</v>
      </c>
      <c r="Z217" s="527">
        <f t="shared" si="311"/>
        <v>0</v>
      </c>
      <c r="AA217" s="527">
        <f t="shared" si="311"/>
        <v>0</v>
      </c>
      <c r="AB217" s="527">
        <f t="shared" si="311"/>
        <v>0</v>
      </c>
      <c r="AC217" s="527">
        <f t="shared" si="311"/>
        <v>0</v>
      </c>
      <c r="AD217" s="527">
        <f t="shared" si="311"/>
        <v>0</v>
      </c>
      <c r="AE217" s="527">
        <f t="shared" si="311"/>
        <v>0</v>
      </c>
      <c r="AF217" s="527">
        <f t="shared" si="311"/>
        <v>0</v>
      </c>
      <c r="AG217" s="527">
        <f t="shared" si="311"/>
        <v>0</v>
      </c>
      <c r="AH217" s="527">
        <f t="shared" si="311"/>
        <v>0</v>
      </c>
      <c r="AI217" s="527">
        <f t="shared" si="311"/>
        <v>0</v>
      </c>
      <c r="AJ217" s="527">
        <f t="shared" si="311"/>
        <v>0</v>
      </c>
      <c r="AK217" s="527">
        <f t="shared" si="311"/>
        <v>0</v>
      </c>
      <c r="AL217" s="527">
        <f t="shared" si="311"/>
        <v>0</v>
      </c>
      <c r="AM217" s="527">
        <f t="shared" si="311"/>
        <v>0</v>
      </c>
      <c r="AN217" s="527">
        <f t="shared" si="311"/>
        <v>0</v>
      </c>
      <c r="AO217" s="527">
        <f t="shared" si="311"/>
        <v>0</v>
      </c>
      <c r="AP217" s="527">
        <f t="shared" si="311"/>
        <v>0</v>
      </c>
      <c r="AQ217" s="527">
        <f t="shared" si="311"/>
        <v>0</v>
      </c>
      <c r="AR217" s="527">
        <f t="shared" si="311"/>
        <v>0</v>
      </c>
      <c r="AS217" s="527">
        <f t="shared" si="311"/>
        <v>0</v>
      </c>
      <c r="AT217" s="527">
        <f t="shared" si="311"/>
        <v>0</v>
      </c>
      <c r="AU217" s="527">
        <f t="shared" si="311"/>
        <v>0</v>
      </c>
      <c r="AV217" s="527">
        <f t="shared" si="311"/>
        <v>0</v>
      </c>
      <c r="AW217" s="527">
        <f t="shared" si="311"/>
        <v>0</v>
      </c>
      <c r="AX217" s="527">
        <f t="shared" ref="AX217:BY217" si="312">IFERROR(AX201*(AX$590/SUM(AX$581,AX$590)),0)</f>
        <v>0</v>
      </c>
      <c r="AY217" s="527">
        <f t="shared" si="312"/>
        <v>0</v>
      </c>
      <c r="AZ217" s="527">
        <f t="shared" si="312"/>
        <v>0</v>
      </c>
      <c r="BA217" s="527">
        <f t="shared" si="312"/>
        <v>0</v>
      </c>
      <c r="BB217" s="527">
        <f t="shared" si="312"/>
        <v>0</v>
      </c>
      <c r="BC217" s="527">
        <f t="shared" si="312"/>
        <v>0</v>
      </c>
      <c r="BD217" s="527">
        <f t="shared" si="312"/>
        <v>0</v>
      </c>
      <c r="BE217" s="527">
        <f t="shared" si="312"/>
        <v>0</v>
      </c>
      <c r="BF217" s="527">
        <f t="shared" si="312"/>
        <v>0</v>
      </c>
      <c r="BG217" s="527">
        <f t="shared" si="312"/>
        <v>0</v>
      </c>
      <c r="BH217" s="527">
        <f t="shared" si="312"/>
        <v>0</v>
      </c>
      <c r="BI217" s="527">
        <f t="shared" si="312"/>
        <v>0</v>
      </c>
      <c r="BJ217" s="527">
        <f t="shared" si="312"/>
        <v>0</v>
      </c>
      <c r="BK217" s="527">
        <f t="shared" si="312"/>
        <v>0</v>
      </c>
      <c r="BL217" s="527">
        <f t="shared" si="312"/>
        <v>0</v>
      </c>
      <c r="BM217" s="527">
        <f t="shared" si="312"/>
        <v>0</v>
      </c>
      <c r="BN217" s="527">
        <f t="shared" si="312"/>
        <v>0</v>
      </c>
      <c r="BO217" s="527">
        <f t="shared" si="312"/>
        <v>0</v>
      </c>
      <c r="BP217" s="527">
        <f t="shared" si="312"/>
        <v>0</v>
      </c>
      <c r="BQ217" s="527">
        <f t="shared" si="312"/>
        <v>0</v>
      </c>
      <c r="BR217" s="527">
        <f t="shared" si="312"/>
        <v>0</v>
      </c>
      <c r="BS217" s="527">
        <f t="shared" si="312"/>
        <v>0</v>
      </c>
      <c r="BT217" s="527">
        <f t="shared" si="312"/>
        <v>845.19410047375129</v>
      </c>
      <c r="BU217" s="527">
        <f t="shared" si="312"/>
        <v>845.19410047375129</v>
      </c>
      <c r="BV217" s="527">
        <f t="shared" si="312"/>
        <v>845.19410047375129</v>
      </c>
      <c r="BW217" s="527">
        <f t="shared" si="312"/>
        <v>845.19410047375129</v>
      </c>
      <c r="BX217" s="527">
        <f t="shared" si="312"/>
        <v>845.19410047375129</v>
      </c>
      <c r="BY217" s="527">
        <f t="shared" si="312"/>
        <v>845.19410047375129</v>
      </c>
    </row>
    <row r="218" spans="1:77" x14ac:dyDescent="0.3">
      <c r="A218" s="551"/>
      <c r="B218" s="548"/>
      <c r="C218" s="525"/>
      <c r="D218" s="525"/>
      <c r="E218" s="618" t="str">
        <f>"WSM net comm. uplift due to capex: "&amp;E$160</f>
        <v>WSM net comm. uplift due to capex: Uninvested Tranche</v>
      </c>
      <c r="F218" s="525"/>
      <c r="G218" s="525"/>
      <c r="H218" s="525"/>
      <c r="I218" s="525"/>
      <c r="J218" s="525"/>
      <c r="K218" s="525"/>
      <c r="L218" s="525"/>
      <c r="M218" s="525"/>
      <c r="N218" s="525"/>
      <c r="O218" s="525"/>
      <c r="P218" s="565"/>
      <c r="Q218" s="525"/>
      <c r="R218" s="527">
        <f t="shared" ref="R218:AW218" si="313">IFERROR(R202*(R$590/SUM(R$581,R$590)),0)</f>
        <v>0</v>
      </c>
      <c r="S218" s="527">
        <f t="shared" si="313"/>
        <v>0</v>
      </c>
      <c r="T218" s="527">
        <f t="shared" si="313"/>
        <v>0</v>
      </c>
      <c r="U218" s="527">
        <f t="shared" si="313"/>
        <v>0</v>
      </c>
      <c r="V218" s="527">
        <f t="shared" si="313"/>
        <v>0</v>
      </c>
      <c r="W218" s="527">
        <f t="shared" si="313"/>
        <v>0</v>
      </c>
      <c r="X218" s="527">
        <f t="shared" si="313"/>
        <v>0</v>
      </c>
      <c r="Y218" s="527">
        <f t="shared" si="313"/>
        <v>0</v>
      </c>
      <c r="Z218" s="527">
        <f t="shared" si="313"/>
        <v>0</v>
      </c>
      <c r="AA218" s="527">
        <f t="shared" si="313"/>
        <v>0</v>
      </c>
      <c r="AB218" s="527">
        <f t="shared" si="313"/>
        <v>0</v>
      </c>
      <c r="AC218" s="527">
        <f t="shared" si="313"/>
        <v>0</v>
      </c>
      <c r="AD218" s="527">
        <f t="shared" si="313"/>
        <v>0</v>
      </c>
      <c r="AE218" s="527">
        <f t="shared" si="313"/>
        <v>0</v>
      </c>
      <c r="AF218" s="527">
        <f t="shared" si="313"/>
        <v>0</v>
      </c>
      <c r="AG218" s="527">
        <f t="shared" si="313"/>
        <v>0</v>
      </c>
      <c r="AH218" s="527">
        <f t="shared" si="313"/>
        <v>0</v>
      </c>
      <c r="AI218" s="527">
        <f t="shared" si="313"/>
        <v>0</v>
      </c>
      <c r="AJ218" s="527">
        <f t="shared" si="313"/>
        <v>0</v>
      </c>
      <c r="AK218" s="527">
        <f t="shared" si="313"/>
        <v>0</v>
      </c>
      <c r="AL218" s="527">
        <f t="shared" si="313"/>
        <v>0</v>
      </c>
      <c r="AM218" s="527">
        <f t="shared" si="313"/>
        <v>0</v>
      </c>
      <c r="AN218" s="527">
        <f t="shared" si="313"/>
        <v>0</v>
      </c>
      <c r="AO218" s="527">
        <f t="shared" si="313"/>
        <v>0</v>
      </c>
      <c r="AP218" s="527">
        <f t="shared" si="313"/>
        <v>0</v>
      </c>
      <c r="AQ218" s="527">
        <f t="shared" si="313"/>
        <v>0</v>
      </c>
      <c r="AR218" s="527">
        <f t="shared" si="313"/>
        <v>0</v>
      </c>
      <c r="AS218" s="527">
        <f t="shared" si="313"/>
        <v>0</v>
      </c>
      <c r="AT218" s="527">
        <f t="shared" si="313"/>
        <v>0</v>
      </c>
      <c r="AU218" s="527">
        <f t="shared" si="313"/>
        <v>0</v>
      </c>
      <c r="AV218" s="527">
        <f t="shared" si="313"/>
        <v>0</v>
      </c>
      <c r="AW218" s="527">
        <f t="shared" si="313"/>
        <v>0</v>
      </c>
      <c r="AX218" s="527">
        <f t="shared" ref="AX218:BY218" si="314">IFERROR(AX202*(AX$590/SUM(AX$581,AX$590)),0)</f>
        <v>0</v>
      </c>
      <c r="AY218" s="527">
        <f t="shared" si="314"/>
        <v>0</v>
      </c>
      <c r="AZ218" s="527">
        <f t="shared" si="314"/>
        <v>0</v>
      </c>
      <c r="BA218" s="527">
        <f t="shared" si="314"/>
        <v>0</v>
      </c>
      <c r="BB218" s="527">
        <f t="shared" si="314"/>
        <v>0</v>
      </c>
      <c r="BC218" s="527">
        <f t="shared" si="314"/>
        <v>0</v>
      </c>
      <c r="BD218" s="527">
        <f t="shared" si="314"/>
        <v>0</v>
      </c>
      <c r="BE218" s="527">
        <f t="shared" si="314"/>
        <v>0</v>
      </c>
      <c r="BF218" s="527">
        <f t="shared" si="314"/>
        <v>0</v>
      </c>
      <c r="BG218" s="527">
        <f t="shared" si="314"/>
        <v>0</v>
      </c>
      <c r="BH218" s="527">
        <f t="shared" si="314"/>
        <v>0</v>
      </c>
      <c r="BI218" s="527">
        <f t="shared" si="314"/>
        <v>0</v>
      </c>
      <c r="BJ218" s="527">
        <f t="shared" si="314"/>
        <v>0</v>
      </c>
      <c r="BK218" s="527">
        <f t="shared" si="314"/>
        <v>0</v>
      </c>
      <c r="BL218" s="527">
        <f t="shared" si="314"/>
        <v>0</v>
      </c>
      <c r="BM218" s="527">
        <f t="shared" si="314"/>
        <v>0</v>
      </c>
      <c r="BN218" s="527">
        <f t="shared" si="314"/>
        <v>0</v>
      </c>
      <c r="BO218" s="527">
        <f t="shared" si="314"/>
        <v>0</v>
      </c>
      <c r="BP218" s="527">
        <f t="shared" si="314"/>
        <v>0</v>
      </c>
      <c r="BQ218" s="527">
        <f t="shared" si="314"/>
        <v>0</v>
      </c>
      <c r="BR218" s="527">
        <f t="shared" si="314"/>
        <v>0</v>
      </c>
      <c r="BS218" s="527">
        <f t="shared" si="314"/>
        <v>0</v>
      </c>
      <c r="BT218" s="527">
        <f t="shared" si="314"/>
        <v>0</v>
      </c>
      <c r="BU218" s="527">
        <f t="shared" si="314"/>
        <v>0</v>
      </c>
      <c r="BV218" s="527">
        <f t="shared" si="314"/>
        <v>0</v>
      </c>
      <c r="BW218" s="527">
        <f t="shared" si="314"/>
        <v>0</v>
      </c>
      <c r="BX218" s="527">
        <f t="shared" si="314"/>
        <v>0</v>
      </c>
      <c r="BY218" s="527">
        <f t="shared" si="314"/>
        <v>0</v>
      </c>
    </row>
    <row r="219" spans="1:77" x14ac:dyDescent="0.3">
      <c r="A219" s="551"/>
      <c r="B219" s="548"/>
      <c r="C219" s="525"/>
      <c r="D219" s="525"/>
      <c r="E219" s="572" t="s">
        <v>36</v>
      </c>
      <c r="F219" s="572"/>
      <c r="G219" s="572"/>
      <c r="H219" s="572"/>
      <c r="I219" s="572"/>
      <c r="J219" s="572"/>
      <c r="K219" s="572"/>
      <c r="L219" s="572"/>
      <c r="M219" s="572"/>
      <c r="N219" s="572"/>
      <c r="O219" s="572"/>
      <c r="P219" s="612"/>
      <c r="Q219" s="572"/>
      <c r="R219" s="532">
        <f t="shared" ref="R219:AW219" si="315">SUM(R213:R218)</f>
        <v>0</v>
      </c>
      <c r="S219" s="532">
        <f t="shared" si="315"/>
        <v>0</v>
      </c>
      <c r="T219" s="532">
        <f t="shared" si="315"/>
        <v>0</v>
      </c>
      <c r="U219" s="532">
        <f t="shared" si="315"/>
        <v>0</v>
      </c>
      <c r="V219" s="532">
        <f t="shared" si="315"/>
        <v>0</v>
      </c>
      <c r="W219" s="532">
        <f t="shared" si="315"/>
        <v>0</v>
      </c>
      <c r="X219" s="532">
        <f t="shared" si="315"/>
        <v>934.42506589025527</v>
      </c>
      <c r="Y219" s="532">
        <f t="shared" si="315"/>
        <v>934.42506589025527</v>
      </c>
      <c r="Z219" s="532">
        <f t="shared" si="315"/>
        <v>934.42506589025527</v>
      </c>
      <c r="AA219" s="532">
        <f t="shared" si="315"/>
        <v>934.42506589025527</v>
      </c>
      <c r="AB219" s="532">
        <f t="shared" si="315"/>
        <v>934.42506589025527</v>
      </c>
      <c r="AC219" s="532">
        <f t="shared" si="315"/>
        <v>934.42506589025527</v>
      </c>
      <c r="AD219" s="532">
        <f t="shared" si="315"/>
        <v>680.15664290508812</v>
      </c>
      <c r="AE219" s="532">
        <f t="shared" si="315"/>
        <v>680.15664290508812</v>
      </c>
      <c r="AF219" s="532">
        <f t="shared" si="315"/>
        <v>680.15664290508812</v>
      </c>
      <c r="AG219" s="532">
        <f t="shared" si="315"/>
        <v>680.15664290508812</v>
      </c>
      <c r="AH219" s="532">
        <f t="shared" si="315"/>
        <v>680.15664290508812</v>
      </c>
      <c r="AI219" s="532">
        <f t="shared" si="315"/>
        <v>680.15664290508812</v>
      </c>
      <c r="AJ219" s="532">
        <f t="shared" si="315"/>
        <v>1834.2604486844421</v>
      </c>
      <c r="AK219" s="532">
        <f t="shared" si="315"/>
        <v>1834.2604486844421</v>
      </c>
      <c r="AL219" s="532">
        <f t="shared" si="315"/>
        <v>1834.2604486844421</v>
      </c>
      <c r="AM219" s="532">
        <f t="shared" si="315"/>
        <v>1834.2604486844421</v>
      </c>
      <c r="AN219" s="532">
        <f t="shared" si="315"/>
        <v>1834.2604486844421</v>
      </c>
      <c r="AO219" s="532">
        <f t="shared" si="315"/>
        <v>1834.2604486844421</v>
      </c>
      <c r="AP219" s="532">
        <f t="shared" si="315"/>
        <v>1354.2666108692638</v>
      </c>
      <c r="AQ219" s="532">
        <f t="shared" si="315"/>
        <v>1354.2666108692638</v>
      </c>
      <c r="AR219" s="532">
        <f t="shared" si="315"/>
        <v>1354.2666108692638</v>
      </c>
      <c r="AS219" s="532">
        <f t="shared" si="315"/>
        <v>1354.2666108692638</v>
      </c>
      <c r="AT219" s="532">
        <f t="shared" si="315"/>
        <v>1354.2666108692638</v>
      </c>
      <c r="AU219" s="532">
        <f t="shared" si="315"/>
        <v>1354.2666108692638</v>
      </c>
      <c r="AV219" s="532">
        <f t="shared" si="315"/>
        <v>2725.0198902421434</v>
      </c>
      <c r="AW219" s="532">
        <f t="shared" si="315"/>
        <v>2725.0198902421434</v>
      </c>
      <c r="AX219" s="532">
        <f t="shared" ref="AX219:BY219" si="316">SUM(AX213:AX218)</f>
        <v>2725.0198902421434</v>
      </c>
      <c r="AY219" s="532">
        <f t="shared" si="316"/>
        <v>2725.0198902421434</v>
      </c>
      <c r="AZ219" s="532">
        <f t="shared" si="316"/>
        <v>2725.0198902421434</v>
      </c>
      <c r="BA219" s="532">
        <f t="shared" si="316"/>
        <v>2725.0198902421434</v>
      </c>
      <c r="BB219" s="532">
        <f t="shared" si="316"/>
        <v>2061.3994844676595</v>
      </c>
      <c r="BC219" s="532">
        <f t="shared" si="316"/>
        <v>2061.3994844676595</v>
      </c>
      <c r="BD219" s="532">
        <f t="shared" si="316"/>
        <v>2061.3994844676595</v>
      </c>
      <c r="BE219" s="532">
        <f t="shared" si="316"/>
        <v>2061.3994844676595</v>
      </c>
      <c r="BF219" s="532">
        <f t="shared" si="316"/>
        <v>2061.3994844676595</v>
      </c>
      <c r="BG219" s="532">
        <f t="shared" si="316"/>
        <v>2061.3994844676595</v>
      </c>
      <c r="BH219" s="532">
        <f t="shared" si="316"/>
        <v>3647.1356692751647</v>
      </c>
      <c r="BI219" s="532">
        <f t="shared" si="316"/>
        <v>3647.1356692751647</v>
      </c>
      <c r="BJ219" s="532">
        <f t="shared" si="316"/>
        <v>3647.1356692751647</v>
      </c>
      <c r="BK219" s="532">
        <f t="shared" si="316"/>
        <v>3647.1356692751647</v>
      </c>
      <c r="BL219" s="532">
        <f t="shared" si="316"/>
        <v>3647.1356692751647</v>
      </c>
      <c r="BM219" s="532">
        <f t="shared" si="316"/>
        <v>3647.1356692751647</v>
      </c>
      <c r="BN219" s="532">
        <f t="shared" si="316"/>
        <v>2786.94417565498</v>
      </c>
      <c r="BO219" s="532">
        <f t="shared" si="316"/>
        <v>2786.94417565498</v>
      </c>
      <c r="BP219" s="532">
        <f t="shared" si="316"/>
        <v>2786.94417565498</v>
      </c>
      <c r="BQ219" s="532">
        <f t="shared" si="316"/>
        <v>2786.94417565498</v>
      </c>
      <c r="BR219" s="532">
        <f t="shared" si="316"/>
        <v>2786.94417565498</v>
      </c>
      <c r="BS219" s="532">
        <f t="shared" si="316"/>
        <v>2786.94417565498</v>
      </c>
      <c r="BT219" s="532">
        <f t="shared" si="316"/>
        <v>4583.7215642926694</v>
      </c>
      <c r="BU219" s="532">
        <f t="shared" si="316"/>
        <v>4583.7215642926694</v>
      </c>
      <c r="BV219" s="532">
        <f t="shared" si="316"/>
        <v>4583.7215642926694</v>
      </c>
      <c r="BW219" s="532">
        <f t="shared" si="316"/>
        <v>4583.7215642926694</v>
      </c>
      <c r="BX219" s="532">
        <f t="shared" si="316"/>
        <v>4583.7215642926694</v>
      </c>
      <c r="BY219" s="532">
        <f t="shared" si="316"/>
        <v>4583.7215642926694</v>
      </c>
    </row>
    <row r="220" spans="1:77" x14ac:dyDescent="0.3">
      <c r="A220" s="551"/>
      <c r="B220" s="548"/>
      <c r="C220" s="525"/>
      <c r="D220" s="525"/>
      <c r="E220" s="525"/>
      <c r="F220" s="525"/>
      <c r="G220" s="525"/>
      <c r="H220" s="525"/>
      <c r="I220" s="525"/>
      <c r="J220" s="525"/>
      <c r="K220" s="525"/>
      <c r="L220" s="525"/>
      <c r="M220" s="525"/>
      <c r="N220" s="525"/>
      <c r="O220" s="525"/>
      <c r="P220" s="565"/>
      <c r="Q220" s="525"/>
      <c r="R220" s="529"/>
      <c r="S220" s="529"/>
      <c r="T220" s="529"/>
      <c r="U220" s="529"/>
      <c r="V220" s="529"/>
      <c r="W220" s="529"/>
      <c r="X220" s="529"/>
      <c r="Y220" s="529"/>
      <c r="Z220" s="529"/>
      <c r="AA220" s="529"/>
      <c r="AB220" s="529"/>
      <c r="AC220" s="529"/>
      <c r="AD220" s="529"/>
      <c r="AE220" s="529"/>
      <c r="AF220" s="529"/>
      <c r="AG220" s="529"/>
      <c r="AH220" s="529"/>
      <c r="AI220" s="529"/>
      <c r="AJ220" s="529"/>
      <c r="AK220" s="529"/>
      <c r="AL220" s="529"/>
      <c r="AM220" s="529"/>
      <c r="AN220" s="529"/>
      <c r="AO220" s="529"/>
      <c r="AP220" s="529"/>
      <c r="AQ220" s="529"/>
      <c r="AR220" s="529"/>
      <c r="AS220" s="529"/>
      <c r="AT220" s="529"/>
      <c r="AU220" s="529"/>
      <c r="AV220" s="529"/>
      <c r="AW220" s="529"/>
      <c r="AX220" s="529"/>
      <c r="AY220" s="529"/>
      <c r="AZ220" s="529"/>
      <c r="BA220" s="529"/>
      <c r="BB220" s="529"/>
      <c r="BC220" s="529"/>
      <c r="BD220" s="529"/>
      <c r="BE220" s="529"/>
      <c r="BF220" s="529"/>
      <c r="BG220" s="529"/>
      <c r="BH220" s="529"/>
      <c r="BI220" s="529"/>
      <c r="BJ220" s="529"/>
      <c r="BK220" s="529"/>
      <c r="BL220" s="529"/>
      <c r="BM220" s="529"/>
      <c r="BN220" s="529"/>
      <c r="BO220" s="529"/>
      <c r="BP220" s="529"/>
      <c r="BQ220" s="529"/>
      <c r="BR220" s="529"/>
      <c r="BS220" s="529"/>
      <c r="BT220" s="529"/>
      <c r="BU220" s="529"/>
      <c r="BV220" s="529"/>
      <c r="BW220" s="529"/>
      <c r="BX220" s="529"/>
      <c r="BY220" s="529"/>
    </row>
    <row r="221" spans="1:77" x14ac:dyDescent="0.3">
      <c r="A221" s="551"/>
      <c r="B221" s="548"/>
      <c r="C221" s="525"/>
      <c r="D221" s="525"/>
      <c r="E221" s="614" t="s">
        <v>97</v>
      </c>
      <c r="F221" s="539"/>
      <c r="G221" s="539"/>
      <c r="H221" s="539"/>
      <c r="I221" s="539"/>
      <c r="J221" s="539"/>
      <c r="K221" s="539"/>
      <c r="L221" s="539"/>
      <c r="M221" s="539"/>
      <c r="N221" s="539"/>
      <c r="O221" s="539"/>
      <c r="P221" s="615"/>
      <c r="Q221" s="539"/>
      <c r="R221" s="539"/>
      <c r="S221" s="539"/>
      <c r="T221" s="539"/>
      <c r="U221" s="539"/>
      <c r="V221" s="539"/>
      <c r="W221" s="539"/>
      <c r="X221" s="539"/>
      <c r="Y221" s="539"/>
      <c r="Z221" s="539"/>
      <c r="AA221" s="539"/>
      <c r="AB221" s="539"/>
      <c r="AC221" s="539"/>
      <c r="AD221" s="539"/>
      <c r="AE221" s="539"/>
      <c r="AF221" s="539"/>
      <c r="AG221" s="539"/>
      <c r="AH221" s="539"/>
      <c r="AI221" s="539"/>
      <c r="AJ221" s="539"/>
      <c r="AK221" s="539"/>
      <c r="AL221" s="539"/>
      <c r="AM221" s="539"/>
      <c r="AN221" s="539"/>
      <c r="AO221" s="539"/>
      <c r="AP221" s="539"/>
      <c r="AQ221" s="539"/>
      <c r="AR221" s="539"/>
      <c r="AS221" s="539"/>
      <c r="AT221" s="539"/>
      <c r="AU221" s="539"/>
      <c r="AV221" s="539"/>
      <c r="AW221" s="539"/>
      <c r="AX221" s="539"/>
      <c r="AY221" s="539"/>
      <c r="AZ221" s="539"/>
      <c r="BA221" s="539"/>
      <c r="BB221" s="539"/>
      <c r="BC221" s="539"/>
      <c r="BD221" s="539"/>
      <c r="BE221" s="539"/>
      <c r="BF221" s="539"/>
      <c r="BG221" s="539"/>
      <c r="BH221" s="539"/>
      <c r="BI221" s="539"/>
      <c r="BJ221" s="539"/>
      <c r="BK221" s="539"/>
      <c r="BL221" s="539"/>
      <c r="BM221" s="539"/>
      <c r="BN221" s="539"/>
      <c r="BO221" s="539"/>
      <c r="BP221" s="539"/>
      <c r="BQ221" s="539"/>
      <c r="BR221" s="539"/>
      <c r="BS221" s="539"/>
      <c r="BT221" s="539"/>
      <c r="BU221" s="539"/>
      <c r="BV221" s="539"/>
      <c r="BW221" s="539"/>
      <c r="BX221" s="539"/>
      <c r="BY221" s="539"/>
    </row>
    <row r="222" spans="1:77" x14ac:dyDescent="0.3">
      <c r="A222" s="551"/>
      <c r="B222" s="548"/>
      <c r="C222" s="525"/>
      <c r="D222" s="525"/>
      <c r="E222" s="525"/>
      <c r="F222" s="525"/>
      <c r="G222" s="525"/>
      <c r="H222" s="525"/>
      <c r="I222" s="525"/>
      <c r="J222" s="525"/>
      <c r="K222" s="525"/>
      <c r="L222" s="525"/>
      <c r="M222" s="525"/>
      <c r="N222" s="525"/>
      <c r="O222" s="525"/>
      <c r="P222" s="565"/>
      <c r="Q222" s="525"/>
      <c r="R222" s="525"/>
      <c r="S222" s="525"/>
      <c r="T222" s="525"/>
      <c r="U222" s="525"/>
      <c r="V222" s="525"/>
      <c r="W222" s="525"/>
      <c r="X222" s="525"/>
      <c r="Y222" s="525"/>
      <c r="Z222" s="525"/>
      <c r="AA222" s="525"/>
      <c r="AB222" s="525"/>
      <c r="AC222" s="525"/>
      <c r="AD222" s="525"/>
      <c r="AE222" s="525"/>
      <c r="AF222" s="525"/>
      <c r="AG222" s="525"/>
      <c r="AH222" s="525"/>
      <c r="AI222" s="525"/>
      <c r="AJ222" s="525"/>
      <c r="AK222" s="525"/>
      <c r="AL222" s="525"/>
      <c r="AM222" s="525"/>
      <c r="AN222" s="525"/>
      <c r="AO222" s="525"/>
      <c r="AP222" s="525"/>
      <c r="AQ222" s="525"/>
      <c r="AR222" s="525"/>
      <c r="AS222" s="525"/>
      <c r="AT222" s="525"/>
      <c r="AU222" s="525"/>
      <c r="AV222" s="525"/>
      <c r="AW222" s="525"/>
      <c r="AX222" s="525"/>
      <c r="AY222" s="525"/>
      <c r="AZ222" s="525"/>
      <c r="BA222" s="525"/>
      <c r="BB222" s="525"/>
      <c r="BC222" s="525"/>
      <c r="BD222" s="525"/>
      <c r="BE222" s="525"/>
      <c r="BF222" s="525"/>
      <c r="BG222" s="525"/>
      <c r="BH222" s="525"/>
      <c r="BI222" s="525"/>
      <c r="BJ222" s="525"/>
      <c r="BK222" s="525"/>
      <c r="BL222" s="525"/>
      <c r="BM222" s="525"/>
      <c r="BN222" s="525"/>
      <c r="BO222" s="525"/>
      <c r="BP222" s="525"/>
      <c r="BQ222" s="525"/>
      <c r="BR222" s="525"/>
      <c r="BS222" s="525"/>
      <c r="BT222" s="525"/>
      <c r="BU222" s="525"/>
      <c r="BV222" s="525"/>
      <c r="BW222" s="525"/>
      <c r="BX222" s="525"/>
      <c r="BY222" s="525"/>
    </row>
    <row r="223" spans="1:77" x14ac:dyDescent="0.3">
      <c r="A223" s="537"/>
      <c r="B223" s="525"/>
      <c r="C223" s="525"/>
      <c r="D223" s="525"/>
      <c r="E223" s="525" t="s">
        <v>98</v>
      </c>
      <c r="F223" s="525"/>
      <c r="G223" s="525"/>
      <c r="H223" s="525"/>
      <c r="I223" s="525"/>
      <c r="J223" s="525"/>
      <c r="K223" s="525"/>
      <c r="L223" s="525"/>
      <c r="M223" s="525"/>
      <c r="N223" s="525"/>
      <c r="O223" s="525"/>
      <c r="P223" s="565"/>
      <c r="Q223" s="525"/>
      <c r="R223" s="540">
        <f t="shared" ref="R223:BY223" si="317">IFERROR(R581/R576,0)</f>
        <v>0.42375246735071864</v>
      </c>
      <c r="S223" s="540">
        <f t="shared" si="317"/>
        <v>0.42375246735071864</v>
      </c>
      <c r="T223" s="540">
        <f t="shared" si="317"/>
        <v>0.42375246735071864</v>
      </c>
      <c r="U223" s="540">
        <f t="shared" si="317"/>
        <v>0.42375246735071864</v>
      </c>
      <c r="V223" s="540">
        <f t="shared" si="317"/>
        <v>0.42375246735071864</v>
      </c>
      <c r="W223" s="540">
        <f t="shared" si="317"/>
        <v>0.42375246735071864</v>
      </c>
      <c r="X223" s="540">
        <f t="shared" si="317"/>
        <v>0.42375246735071864</v>
      </c>
      <c r="Y223" s="540">
        <f t="shared" si="317"/>
        <v>0.42375246735071864</v>
      </c>
      <c r="Z223" s="540">
        <f t="shared" si="317"/>
        <v>0.42375246735071864</v>
      </c>
      <c r="AA223" s="540">
        <f t="shared" si="317"/>
        <v>0.42375246735071864</v>
      </c>
      <c r="AB223" s="540">
        <f t="shared" si="317"/>
        <v>0.42375246735071864</v>
      </c>
      <c r="AC223" s="540">
        <f t="shared" si="317"/>
        <v>0.42375246735071864</v>
      </c>
      <c r="AD223" s="540">
        <f t="shared" si="317"/>
        <v>0.43114700219849733</v>
      </c>
      <c r="AE223" s="540">
        <f t="shared" si="317"/>
        <v>0.43114700219849733</v>
      </c>
      <c r="AF223" s="540">
        <f t="shared" si="317"/>
        <v>0.43114700219849733</v>
      </c>
      <c r="AG223" s="540">
        <f t="shared" si="317"/>
        <v>0.43114700219849733</v>
      </c>
      <c r="AH223" s="540">
        <f t="shared" si="317"/>
        <v>0.43114700219849733</v>
      </c>
      <c r="AI223" s="540">
        <f t="shared" si="317"/>
        <v>0.43114700219849733</v>
      </c>
      <c r="AJ223" s="540">
        <f t="shared" si="317"/>
        <v>0.43114700219849733</v>
      </c>
      <c r="AK223" s="540">
        <f t="shared" si="317"/>
        <v>0.43114700219849733</v>
      </c>
      <c r="AL223" s="540">
        <f t="shared" si="317"/>
        <v>0.43114700219849733</v>
      </c>
      <c r="AM223" s="540">
        <f t="shared" si="317"/>
        <v>0.43114700219849733</v>
      </c>
      <c r="AN223" s="540">
        <f t="shared" si="317"/>
        <v>0.43114700219849733</v>
      </c>
      <c r="AO223" s="540">
        <f t="shared" si="317"/>
        <v>0.43114700219849733</v>
      </c>
      <c r="AP223" s="540">
        <f t="shared" si="317"/>
        <v>0.43797650789111675</v>
      </c>
      <c r="AQ223" s="540">
        <f t="shared" si="317"/>
        <v>0.43797650789111675</v>
      </c>
      <c r="AR223" s="540">
        <f t="shared" si="317"/>
        <v>0.43797650789111675</v>
      </c>
      <c r="AS223" s="540">
        <f t="shared" si="317"/>
        <v>0.43797650789111675</v>
      </c>
      <c r="AT223" s="540">
        <f t="shared" si="317"/>
        <v>0.43797650789111675</v>
      </c>
      <c r="AU223" s="540">
        <f t="shared" si="317"/>
        <v>0.43797650789111675</v>
      </c>
      <c r="AV223" s="540">
        <f t="shared" si="317"/>
        <v>0.43797650789111675</v>
      </c>
      <c r="AW223" s="540">
        <f t="shared" si="317"/>
        <v>0.43797650789111675</v>
      </c>
      <c r="AX223" s="540">
        <f t="shared" si="317"/>
        <v>0.43797650789111675</v>
      </c>
      <c r="AY223" s="540">
        <f t="shared" si="317"/>
        <v>0.43797650789111675</v>
      </c>
      <c r="AZ223" s="540">
        <f t="shared" si="317"/>
        <v>0.43797650789111675</v>
      </c>
      <c r="BA223" s="540">
        <f t="shared" si="317"/>
        <v>0.43797650789111675</v>
      </c>
      <c r="BB223" s="540">
        <f t="shared" si="317"/>
        <v>0.44422866297688923</v>
      </c>
      <c r="BC223" s="540">
        <f t="shared" si="317"/>
        <v>0.44422866297688923</v>
      </c>
      <c r="BD223" s="540">
        <f t="shared" si="317"/>
        <v>0.44422866297688923</v>
      </c>
      <c r="BE223" s="540">
        <f t="shared" si="317"/>
        <v>0.44422866297688923</v>
      </c>
      <c r="BF223" s="540">
        <f t="shared" si="317"/>
        <v>0.44422866297688923</v>
      </c>
      <c r="BG223" s="540">
        <f t="shared" si="317"/>
        <v>0.44422866297688923</v>
      </c>
      <c r="BH223" s="540">
        <f t="shared" si="317"/>
        <v>0.44422866297688923</v>
      </c>
      <c r="BI223" s="540">
        <f t="shared" si="317"/>
        <v>0.44422866297688923</v>
      </c>
      <c r="BJ223" s="540">
        <f t="shared" si="317"/>
        <v>0.44422866297688923</v>
      </c>
      <c r="BK223" s="540">
        <f t="shared" si="317"/>
        <v>0.44422866297688923</v>
      </c>
      <c r="BL223" s="540">
        <f t="shared" si="317"/>
        <v>0.44422866297688923</v>
      </c>
      <c r="BM223" s="540">
        <f t="shared" si="317"/>
        <v>0.44422866297688923</v>
      </c>
      <c r="BN223" s="540">
        <f t="shared" si="317"/>
        <v>0.45033311408393395</v>
      </c>
      <c r="BO223" s="540">
        <f t="shared" si="317"/>
        <v>0.45033311408393395</v>
      </c>
      <c r="BP223" s="540">
        <f t="shared" si="317"/>
        <v>0.45033311408393395</v>
      </c>
      <c r="BQ223" s="540">
        <f t="shared" si="317"/>
        <v>0.45033311408393395</v>
      </c>
      <c r="BR223" s="540">
        <f t="shared" si="317"/>
        <v>0.45033311408393395</v>
      </c>
      <c r="BS223" s="540">
        <f t="shared" si="317"/>
        <v>0.45033311408393395</v>
      </c>
      <c r="BT223" s="540">
        <f t="shared" si="317"/>
        <v>0.45033311408393395</v>
      </c>
      <c r="BU223" s="540">
        <f t="shared" si="317"/>
        <v>0.45033311408393395</v>
      </c>
      <c r="BV223" s="540">
        <f t="shared" si="317"/>
        <v>0.45033311408393395</v>
      </c>
      <c r="BW223" s="540">
        <f t="shared" si="317"/>
        <v>0.45033311408393395</v>
      </c>
      <c r="BX223" s="540">
        <f t="shared" si="317"/>
        <v>0.45033311408393395</v>
      </c>
      <c r="BY223" s="540">
        <f t="shared" si="317"/>
        <v>0.45033311408393395</v>
      </c>
    </row>
    <row r="224" spans="1:77" x14ac:dyDescent="0.3">
      <c r="A224" s="537"/>
      <c r="B224" s="525"/>
      <c r="C224" s="525"/>
      <c r="D224" s="525"/>
      <c r="E224" s="525" t="s">
        <v>99</v>
      </c>
      <c r="F224" s="525"/>
      <c r="G224" s="525"/>
      <c r="H224" s="525"/>
      <c r="I224" s="525"/>
      <c r="J224" s="525"/>
      <c r="K224" s="525"/>
      <c r="L224" s="525"/>
      <c r="M224" s="525"/>
      <c r="N224" s="525"/>
      <c r="O224" s="525"/>
      <c r="P224" s="565"/>
      <c r="Q224" s="525"/>
      <c r="R224" s="540">
        <f t="shared" ref="R224:BY224" si="318">IFERROR(R590/R585,0)</f>
        <v>0.38807300305959985</v>
      </c>
      <c r="S224" s="540">
        <f t="shared" si="318"/>
        <v>0.38807300305959985</v>
      </c>
      <c r="T224" s="540">
        <f t="shared" si="318"/>
        <v>0.38807300305959985</v>
      </c>
      <c r="U224" s="540">
        <f t="shared" si="318"/>
        <v>0.38807300305959985</v>
      </c>
      <c r="V224" s="540">
        <f t="shared" si="318"/>
        <v>0.38807300305959985</v>
      </c>
      <c r="W224" s="540">
        <f t="shared" si="318"/>
        <v>0.38807300305959985</v>
      </c>
      <c r="X224" s="540">
        <f t="shared" si="318"/>
        <v>0.38807300305959985</v>
      </c>
      <c r="Y224" s="540">
        <f t="shared" si="318"/>
        <v>0.38807300305959985</v>
      </c>
      <c r="Z224" s="540">
        <f t="shared" si="318"/>
        <v>0.38807300305959985</v>
      </c>
      <c r="AA224" s="540">
        <f t="shared" si="318"/>
        <v>0.38807300305959985</v>
      </c>
      <c r="AB224" s="540">
        <f t="shared" si="318"/>
        <v>0.38807300305959985</v>
      </c>
      <c r="AC224" s="540">
        <f t="shared" si="318"/>
        <v>0.38807300305959985</v>
      </c>
      <c r="AD224" s="540">
        <f t="shared" si="318"/>
        <v>0.38807300305959985</v>
      </c>
      <c r="AE224" s="540">
        <f t="shared" si="318"/>
        <v>0.38807300305959985</v>
      </c>
      <c r="AF224" s="540">
        <f t="shared" si="318"/>
        <v>0.38807300305959985</v>
      </c>
      <c r="AG224" s="540">
        <f t="shared" si="318"/>
        <v>0.38807300305959985</v>
      </c>
      <c r="AH224" s="540">
        <f t="shared" si="318"/>
        <v>0.38807300305959985</v>
      </c>
      <c r="AI224" s="540">
        <f t="shared" si="318"/>
        <v>0.38807300305959985</v>
      </c>
      <c r="AJ224" s="540">
        <f t="shared" si="318"/>
        <v>0.38807300305959985</v>
      </c>
      <c r="AK224" s="540">
        <f t="shared" si="318"/>
        <v>0.38807300305959985</v>
      </c>
      <c r="AL224" s="540">
        <f t="shared" si="318"/>
        <v>0.38807300305959985</v>
      </c>
      <c r="AM224" s="540">
        <f t="shared" si="318"/>
        <v>0.38807300305959985</v>
      </c>
      <c r="AN224" s="540">
        <f t="shared" si="318"/>
        <v>0.38807300305959985</v>
      </c>
      <c r="AO224" s="540">
        <f t="shared" si="318"/>
        <v>0.38807300305959985</v>
      </c>
      <c r="AP224" s="540">
        <f t="shared" si="318"/>
        <v>0.38807300305959985</v>
      </c>
      <c r="AQ224" s="540">
        <f t="shared" si="318"/>
        <v>0.38807300305959985</v>
      </c>
      <c r="AR224" s="540">
        <f t="shared" si="318"/>
        <v>0.38807300305959985</v>
      </c>
      <c r="AS224" s="540">
        <f t="shared" si="318"/>
        <v>0.38807300305959985</v>
      </c>
      <c r="AT224" s="540">
        <f t="shared" si="318"/>
        <v>0.38807300305959985</v>
      </c>
      <c r="AU224" s="540">
        <f t="shared" si="318"/>
        <v>0.38807300305959985</v>
      </c>
      <c r="AV224" s="540">
        <f t="shared" si="318"/>
        <v>0.38807300305959985</v>
      </c>
      <c r="AW224" s="540">
        <f t="shared" si="318"/>
        <v>0.38807300305959985</v>
      </c>
      <c r="AX224" s="540">
        <f t="shared" si="318"/>
        <v>0.38807300305959985</v>
      </c>
      <c r="AY224" s="540">
        <f t="shared" si="318"/>
        <v>0.38807300305959985</v>
      </c>
      <c r="AZ224" s="540">
        <f t="shared" si="318"/>
        <v>0.38807300305959985</v>
      </c>
      <c r="BA224" s="540">
        <f t="shared" si="318"/>
        <v>0.38807300305959985</v>
      </c>
      <c r="BB224" s="540">
        <f t="shared" si="318"/>
        <v>0.38807300305959985</v>
      </c>
      <c r="BC224" s="540">
        <f t="shared" si="318"/>
        <v>0.38807300305959985</v>
      </c>
      <c r="BD224" s="540">
        <f t="shared" si="318"/>
        <v>0.38807300305959985</v>
      </c>
      <c r="BE224" s="540">
        <f t="shared" si="318"/>
        <v>0.38807300305959985</v>
      </c>
      <c r="BF224" s="540">
        <f t="shared" si="318"/>
        <v>0.38807300305959985</v>
      </c>
      <c r="BG224" s="540">
        <f t="shared" si="318"/>
        <v>0.38807300305959985</v>
      </c>
      <c r="BH224" s="540">
        <f t="shared" si="318"/>
        <v>0.38807300305959985</v>
      </c>
      <c r="BI224" s="540">
        <f t="shared" si="318"/>
        <v>0.38807300305959985</v>
      </c>
      <c r="BJ224" s="540">
        <f t="shared" si="318"/>
        <v>0.38807300305959985</v>
      </c>
      <c r="BK224" s="540">
        <f t="shared" si="318"/>
        <v>0.38807300305959985</v>
      </c>
      <c r="BL224" s="540">
        <f t="shared" si="318"/>
        <v>0.38807300305959985</v>
      </c>
      <c r="BM224" s="540">
        <f t="shared" si="318"/>
        <v>0.38807300305959985</v>
      </c>
      <c r="BN224" s="540">
        <f t="shared" si="318"/>
        <v>0.38807300305959985</v>
      </c>
      <c r="BO224" s="540">
        <f t="shared" si="318"/>
        <v>0.38807300305959985</v>
      </c>
      <c r="BP224" s="540">
        <f t="shared" si="318"/>
        <v>0.38807300305959985</v>
      </c>
      <c r="BQ224" s="540">
        <f t="shared" si="318"/>
        <v>0.38807300305959985</v>
      </c>
      <c r="BR224" s="540">
        <f t="shared" si="318"/>
        <v>0.38807300305959985</v>
      </c>
      <c r="BS224" s="540">
        <f t="shared" si="318"/>
        <v>0.38807300305959985</v>
      </c>
      <c r="BT224" s="540">
        <f t="shared" si="318"/>
        <v>0.38807300305959985</v>
      </c>
      <c r="BU224" s="540">
        <f t="shared" si="318"/>
        <v>0.38807300305959985</v>
      </c>
      <c r="BV224" s="540">
        <f t="shared" si="318"/>
        <v>0.38807300305959985</v>
      </c>
      <c r="BW224" s="540">
        <f t="shared" si="318"/>
        <v>0.38807300305959985</v>
      </c>
      <c r="BX224" s="540">
        <f t="shared" si="318"/>
        <v>0.38807300305959985</v>
      </c>
      <c r="BY224" s="540">
        <f t="shared" si="318"/>
        <v>0.38807300305959985</v>
      </c>
    </row>
    <row r="225" spans="1:77" x14ac:dyDescent="0.3">
      <c r="A225" s="551"/>
      <c r="B225" s="548"/>
      <c r="C225" s="525"/>
      <c r="D225" s="525"/>
      <c r="E225" s="525"/>
      <c r="F225" s="525"/>
      <c r="G225" s="525"/>
      <c r="H225" s="525"/>
      <c r="I225" s="525"/>
      <c r="J225" s="525"/>
      <c r="K225" s="525"/>
      <c r="L225" s="525"/>
      <c r="M225" s="525"/>
      <c r="N225" s="525"/>
      <c r="O225" s="525"/>
      <c r="P225" s="565"/>
      <c r="Q225" s="525"/>
      <c r="R225" s="525"/>
      <c r="S225" s="525"/>
      <c r="T225" s="525"/>
      <c r="U225" s="525"/>
      <c r="V225" s="525"/>
      <c r="W225" s="525"/>
      <c r="X225" s="525"/>
      <c r="Y225" s="525"/>
      <c r="Z225" s="525"/>
      <c r="AA225" s="525"/>
      <c r="AB225" s="525"/>
      <c r="AC225" s="525"/>
      <c r="AD225" s="525"/>
      <c r="AE225" s="525"/>
      <c r="AF225" s="525"/>
      <c r="AG225" s="525"/>
      <c r="AH225" s="525"/>
      <c r="AI225" s="525"/>
      <c r="AJ225" s="525"/>
      <c r="AK225" s="525"/>
      <c r="AL225" s="525"/>
      <c r="AM225" s="525"/>
      <c r="AN225" s="525"/>
      <c r="AO225" s="525"/>
      <c r="AP225" s="525"/>
      <c r="AQ225" s="525"/>
      <c r="AR225" s="525"/>
      <c r="AS225" s="525"/>
      <c r="AT225" s="525"/>
      <c r="AU225" s="525"/>
      <c r="AV225" s="525"/>
      <c r="AW225" s="525"/>
      <c r="AX225" s="525"/>
      <c r="AY225" s="525"/>
      <c r="AZ225" s="525"/>
      <c r="BA225" s="525"/>
      <c r="BB225" s="525"/>
      <c r="BC225" s="525"/>
      <c r="BD225" s="525"/>
      <c r="BE225" s="525"/>
      <c r="BF225" s="525"/>
      <c r="BG225" s="525"/>
      <c r="BH225" s="525"/>
      <c r="BI225" s="525"/>
      <c r="BJ225" s="525"/>
      <c r="BK225" s="525"/>
      <c r="BL225" s="525"/>
      <c r="BM225" s="525"/>
      <c r="BN225" s="525"/>
      <c r="BO225" s="525"/>
      <c r="BP225" s="525"/>
      <c r="BQ225" s="525"/>
      <c r="BR225" s="525"/>
      <c r="BS225" s="525"/>
      <c r="BT225" s="525"/>
      <c r="BU225" s="525"/>
      <c r="BV225" s="525"/>
      <c r="BW225" s="525"/>
      <c r="BX225" s="525"/>
      <c r="BY225" s="525"/>
    </row>
    <row r="226" spans="1:77" x14ac:dyDescent="0.3">
      <c r="A226" s="551"/>
      <c r="B226" s="548"/>
      <c r="C226" s="525"/>
      <c r="D226" s="525"/>
      <c r="E226" s="614" t="s">
        <v>100</v>
      </c>
      <c r="F226" s="539"/>
      <c r="G226" s="539"/>
      <c r="H226" s="539"/>
      <c r="I226" s="539"/>
      <c r="J226" s="539"/>
      <c r="K226" s="539"/>
      <c r="L226" s="539"/>
      <c r="M226" s="539"/>
      <c r="N226" s="539"/>
      <c r="O226" s="539"/>
      <c r="P226" s="615"/>
      <c r="Q226" s="539"/>
      <c r="R226" s="539"/>
      <c r="S226" s="539"/>
      <c r="T226" s="539"/>
      <c r="U226" s="539"/>
      <c r="V226" s="539"/>
      <c r="W226" s="539"/>
      <c r="X226" s="539"/>
      <c r="Y226" s="539"/>
      <c r="Z226" s="539"/>
      <c r="AA226" s="539"/>
      <c r="AB226" s="539"/>
      <c r="AC226" s="539"/>
      <c r="AD226" s="539"/>
      <c r="AE226" s="539"/>
      <c r="AF226" s="539"/>
      <c r="AG226" s="539"/>
      <c r="AH226" s="539"/>
      <c r="AI226" s="539"/>
      <c r="AJ226" s="539"/>
      <c r="AK226" s="539"/>
      <c r="AL226" s="539"/>
      <c r="AM226" s="539"/>
      <c r="AN226" s="539"/>
      <c r="AO226" s="539"/>
      <c r="AP226" s="539"/>
      <c r="AQ226" s="539"/>
      <c r="AR226" s="539"/>
      <c r="AS226" s="539"/>
      <c r="AT226" s="539"/>
      <c r="AU226" s="539"/>
      <c r="AV226" s="539"/>
      <c r="AW226" s="539"/>
      <c r="AX226" s="539"/>
      <c r="AY226" s="539"/>
      <c r="AZ226" s="539"/>
      <c r="BA226" s="539"/>
      <c r="BB226" s="539"/>
      <c r="BC226" s="539"/>
      <c r="BD226" s="539"/>
      <c r="BE226" s="539"/>
      <c r="BF226" s="539"/>
      <c r="BG226" s="539"/>
      <c r="BH226" s="539"/>
      <c r="BI226" s="539"/>
      <c r="BJ226" s="539"/>
      <c r="BK226" s="539"/>
      <c r="BL226" s="539"/>
      <c r="BM226" s="539"/>
      <c r="BN226" s="539"/>
      <c r="BO226" s="539"/>
      <c r="BP226" s="539"/>
      <c r="BQ226" s="539"/>
      <c r="BR226" s="539"/>
      <c r="BS226" s="539"/>
      <c r="BT226" s="539"/>
      <c r="BU226" s="539"/>
      <c r="BV226" s="539"/>
      <c r="BW226" s="539"/>
      <c r="BX226" s="539"/>
      <c r="BY226" s="539"/>
    </row>
    <row r="227" spans="1:77" x14ac:dyDescent="0.3">
      <c r="A227" s="551"/>
      <c r="B227" s="548"/>
      <c r="C227" s="525"/>
      <c r="D227" s="525"/>
      <c r="E227" s="525"/>
      <c r="F227" s="525"/>
      <c r="G227" s="525"/>
      <c r="H227" s="525"/>
      <c r="I227" s="525"/>
      <c r="J227" s="525"/>
      <c r="K227" s="525"/>
      <c r="L227" s="525"/>
      <c r="M227" s="525"/>
      <c r="N227" s="525"/>
      <c r="O227" s="525"/>
      <c r="P227" s="565"/>
      <c r="Q227" s="525"/>
      <c r="R227" s="525"/>
      <c r="S227" s="525"/>
      <c r="T227" s="525"/>
      <c r="U227" s="525"/>
      <c r="V227" s="525"/>
      <c r="W227" s="525"/>
      <c r="X227" s="525"/>
      <c r="Y227" s="525"/>
      <c r="Z227" s="525"/>
      <c r="AA227" s="525"/>
      <c r="AB227" s="525"/>
      <c r="AC227" s="525"/>
      <c r="AD227" s="525"/>
      <c r="AE227" s="525"/>
      <c r="AF227" s="525"/>
      <c r="AG227" s="525"/>
      <c r="AH227" s="525"/>
      <c r="AI227" s="525"/>
      <c r="AJ227" s="525"/>
      <c r="AK227" s="525"/>
      <c r="AL227" s="525"/>
      <c r="AM227" s="525"/>
      <c r="AN227" s="525"/>
      <c r="AO227" s="525"/>
      <c r="AP227" s="525"/>
      <c r="AQ227" s="525"/>
      <c r="AR227" s="525"/>
      <c r="AS227" s="525"/>
      <c r="AT227" s="525"/>
      <c r="AU227" s="525"/>
      <c r="AV227" s="525"/>
      <c r="AW227" s="525"/>
      <c r="AX227" s="525"/>
      <c r="AY227" s="525"/>
      <c r="AZ227" s="525"/>
      <c r="BA227" s="525"/>
      <c r="BB227" s="525"/>
      <c r="BC227" s="525"/>
      <c r="BD227" s="525"/>
      <c r="BE227" s="525"/>
      <c r="BF227" s="525"/>
      <c r="BG227" s="525"/>
      <c r="BH227" s="525"/>
      <c r="BI227" s="525"/>
      <c r="BJ227" s="525"/>
      <c r="BK227" s="525"/>
      <c r="BL227" s="525"/>
      <c r="BM227" s="525"/>
      <c r="BN227" s="525"/>
      <c r="BO227" s="525"/>
      <c r="BP227" s="525"/>
      <c r="BQ227" s="525"/>
      <c r="BR227" s="525"/>
      <c r="BS227" s="525"/>
      <c r="BT227" s="525"/>
      <c r="BU227" s="525"/>
      <c r="BV227" s="525"/>
      <c r="BW227" s="525"/>
      <c r="BX227" s="525"/>
      <c r="BY227" s="525"/>
    </row>
    <row r="228" spans="1:77" x14ac:dyDescent="0.3">
      <c r="A228" s="537"/>
      <c r="B228" s="525"/>
      <c r="C228" s="525"/>
      <c r="D228" s="525"/>
      <c r="E228" s="525" t="s">
        <v>101</v>
      </c>
      <c r="F228" s="525"/>
      <c r="G228" s="525"/>
      <c r="H228" s="525"/>
      <c r="I228" s="525"/>
      <c r="J228" s="525"/>
      <c r="K228" s="525"/>
      <c r="L228" s="525"/>
      <c r="M228" s="525"/>
      <c r="N228" s="525"/>
      <c r="O228" s="525"/>
      <c r="P228" s="565"/>
      <c r="Q228" s="525"/>
      <c r="R228" s="540">
        <f t="shared" ref="R228:BY228" si="319">IFERROR(R577/SUM(R577,R578,R580),0)</f>
        <v>0.53647717873798417</v>
      </c>
      <c r="S228" s="540">
        <f t="shared" si="319"/>
        <v>0.53647717873798417</v>
      </c>
      <c r="T228" s="540">
        <f t="shared" si="319"/>
        <v>0.53647717873798417</v>
      </c>
      <c r="U228" s="540">
        <f t="shared" si="319"/>
        <v>0.53647717873798417</v>
      </c>
      <c r="V228" s="540">
        <f t="shared" si="319"/>
        <v>0.53647717873798417</v>
      </c>
      <c r="W228" s="540">
        <f t="shared" si="319"/>
        <v>0.53647717873798417</v>
      </c>
      <c r="X228" s="540">
        <f t="shared" si="319"/>
        <v>0.53647717873798417</v>
      </c>
      <c r="Y228" s="540">
        <f t="shared" si="319"/>
        <v>0.53647717873798417</v>
      </c>
      <c r="Z228" s="540">
        <f t="shared" si="319"/>
        <v>0.53647717873798417</v>
      </c>
      <c r="AA228" s="540">
        <f t="shared" si="319"/>
        <v>0.53647717873798417</v>
      </c>
      <c r="AB228" s="540">
        <f t="shared" si="319"/>
        <v>0.53647717873798417</v>
      </c>
      <c r="AC228" s="540">
        <f t="shared" si="319"/>
        <v>0.53647717873798417</v>
      </c>
      <c r="AD228" s="540">
        <f t="shared" si="319"/>
        <v>0.52955843484424325</v>
      </c>
      <c r="AE228" s="540">
        <f t="shared" si="319"/>
        <v>0.52955843484424325</v>
      </c>
      <c r="AF228" s="540">
        <f t="shared" si="319"/>
        <v>0.52955843484424325</v>
      </c>
      <c r="AG228" s="540">
        <f t="shared" si="319"/>
        <v>0.52955843484424325</v>
      </c>
      <c r="AH228" s="540">
        <f t="shared" si="319"/>
        <v>0.52955843484424325</v>
      </c>
      <c r="AI228" s="540">
        <f t="shared" si="319"/>
        <v>0.52955843484424325</v>
      </c>
      <c r="AJ228" s="540">
        <f t="shared" si="319"/>
        <v>0.52955843484424325</v>
      </c>
      <c r="AK228" s="540">
        <f t="shared" si="319"/>
        <v>0.52955843484424325</v>
      </c>
      <c r="AL228" s="540">
        <f t="shared" si="319"/>
        <v>0.52955843484424325</v>
      </c>
      <c r="AM228" s="540">
        <f t="shared" si="319"/>
        <v>0.52955843484424325</v>
      </c>
      <c r="AN228" s="540">
        <f t="shared" si="319"/>
        <v>0.52955843484424325</v>
      </c>
      <c r="AO228" s="540">
        <f t="shared" si="319"/>
        <v>0.52955843484424325</v>
      </c>
      <c r="AP228" s="540">
        <f t="shared" si="319"/>
        <v>0.52296466785809248</v>
      </c>
      <c r="AQ228" s="540">
        <f t="shared" si="319"/>
        <v>0.52296466785809248</v>
      </c>
      <c r="AR228" s="540">
        <f t="shared" si="319"/>
        <v>0.52296466785809248</v>
      </c>
      <c r="AS228" s="540">
        <f t="shared" si="319"/>
        <v>0.52296466785809248</v>
      </c>
      <c r="AT228" s="540">
        <f t="shared" si="319"/>
        <v>0.52296466785809248</v>
      </c>
      <c r="AU228" s="540">
        <f t="shared" si="319"/>
        <v>0.52296466785809248</v>
      </c>
      <c r="AV228" s="540">
        <f t="shared" si="319"/>
        <v>0.52296466785809248</v>
      </c>
      <c r="AW228" s="540">
        <f t="shared" si="319"/>
        <v>0.52296466785809248</v>
      </c>
      <c r="AX228" s="540">
        <f t="shared" si="319"/>
        <v>0.52296466785809248</v>
      </c>
      <c r="AY228" s="540">
        <f t="shared" si="319"/>
        <v>0.52296466785809248</v>
      </c>
      <c r="AZ228" s="540">
        <f t="shared" si="319"/>
        <v>0.52296466785809248</v>
      </c>
      <c r="BA228" s="540">
        <f t="shared" si="319"/>
        <v>0.52296466785809248</v>
      </c>
      <c r="BB228" s="540">
        <f t="shared" si="319"/>
        <v>0.51672891180813618</v>
      </c>
      <c r="BC228" s="540">
        <f t="shared" si="319"/>
        <v>0.51672891180813618</v>
      </c>
      <c r="BD228" s="540">
        <f t="shared" si="319"/>
        <v>0.51672891180813618</v>
      </c>
      <c r="BE228" s="540">
        <f t="shared" si="319"/>
        <v>0.51672891180813618</v>
      </c>
      <c r="BF228" s="540">
        <f t="shared" si="319"/>
        <v>0.51672891180813618</v>
      </c>
      <c r="BG228" s="540">
        <f t="shared" si="319"/>
        <v>0.51672891180813618</v>
      </c>
      <c r="BH228" s="540">
        <f t="shared" si="319"/>
        <v>0.51672891180813618</v>
      </c>
      <c r="BI228" s="540">
        <f t="shared" si="319"/>
        <v>0.51672891180813618</v>
      </c>
      <c r="BJ228" s="540">
        <f t="shared" si="319"/>
        <v>0.51672891180813618</v>
      </c>
      <c r="BK228" s="540">
        <f t="shared" si="319"/>
        <v>0.51672891180813618</v>
      </c>
      <c r="BL228" s="540">
        <f t="shared" si="319"/>
        <v>0.51672891180813618</v>
      </c>
      <c r="BM228" s="540">
        <f t="shared" si="319"/>
        <v>0.51672891180813618</v>
      </c>
      <c r="BN228" s="540">
        <f t="shared" si="319"/>
        <v>0.51053696831943662</v>
      </c>
      <c r="BO228" s="540">
        <f t="shared" si="319"/>
        <v>0.51053696831943662</v>
      </c>
      <c r="BP228" s="540">
        <f t="shared" si="319"/>
        <v>0.51053696831943662</v>
      </c>
      <c r="BQ228" s="540">
        <f t="shared" si="319"/>
        <v>0.51053696831943662</v>
      </c>
      <c r="BR228" s="540">
        <f t="shared" si="319"/>
        <v>0.51053696831943662</v>
      </c>
      <c r="BS228" s="540">
        <f t="shared" si="319"/>
        <v>0.51053696831943662</v>
      </c>
      <c r="BT228" s="540">
        <f t="shared" si="319"/>
        <v>0.51053696831943662</v>
      </c>
      <c r="BU228" s="540">
        <f t="shared" si="319"/>
        <v>0.51053696831943662</v>
      </c>
      <c r="BV228" s="540">
        <f t="shared" si="319"/>
        <v>0.51053696831943662</v>
      </c>
      <c r="BW228" s="540">
        <f t="shared" si="319"/>
        <v>0.51053696831943662</v>
      </c>
      <c r="BX228" s="540">
        <f t="shared" si="319"/>
        <v>0.51053696831943662</v>
      </c>
      <c r="BY228" s="540">
        <f t="shared" si="319"/>
        <v>0.51053696831943662</v>
      </c>
    </row>
    <row r="229" spans="1:77" x14ac:dyDescent="0.3">
      <c r="A229" s="537"/>
      <c r="B229" s="525"/>
      <c r="C229" s="525"/>
      <c r="D229" s="525"/>
      <c r="E229" s="525" t="s">
        <v>102</v>
      </c>
      <c r="F229" s="525"/>
      <c r="G229" s="525"/>
      <c r="H229" s="525"/>
      <c r="I229" s="525"/>
      <c r="J229" s="525"/>
      <c r="K229" s="525"/>
      <c r="L229" s="525"/>
      <c r="M229" s="525"/>
      <c r="N229" s="525"/>
      <c r="O229" s="525"/>
      <c r="P229" s="565"/>
      <c r="Q229" s="525"/>
      <c r="R229" s="540">
        <f t="shared" ref="R229:BY229" si="320">IFERROR(R578/SUM(R577,R578,R580),0)</f>
        <v>9.3907027276924862E-2</v>
      </c>
      <c r="S229" s="540">
        <f t="shared" si="320"/>
        <v>9.3907027276924862E-2</v>
      </c>
      <c r="T229" s="540">
        <f t="shared" si="320"/>
        <v>9.3907027276924862E-2</v>
      </c>
      <c r="U229" s="540">
        <f t="shared" si="320"/>
        <v>9.3907027276924862E-2</v>
      </c>
      <c r="V229" s="540">
        <f t="shared" si="320"/>
        <v>9.3907027276924862E-2</v>
      </c>
      <c r="W229" s="540">
        <f t="shared" si="320"/>
        <v>9.3907027276924862E-2</v>
      </c>
      <c r="X229" s="540">
        <f t="shared" si="320"/>
        <v>9.3907027276924862E-2</v>
      </c>
      <c r="Y229" s="540">
        <f t="shared" si="320"/>
        <v>9.3907027276924862E-2</v>
      </c>
      <c r="Z229" s="540">
        <f t="shared" si="320"/>
        <v>9.3907027276924862E-2</v>
      </c>
      <c r="AA229" s="540">
        <f t="shared" si="320"/>
        <v>9.3907027276924862E-2</v>
      </c>
      <c r="AB229" s="540">
        <f t="shared" si="320"/>
        <v>9.3907027276924862E-2</v>
      </c>
      <c r="AC229" s="540">
        <f t="shared" si="320"/>
        <v>9.3907027276924862E-2</v>
      </c>
      <c r="AD229" s="540">
        <f t="shared" si="320"/>
        <v>9.3612826758694492E-2</v>
      </c>
      <c r="AE229" s="540">
        <f t="shared" si="320"/>
        <v>9.3612826758694492E-2</v>
      </c>
      <c r="AF229" s="540">
        <f t="shared" si="320"/>
        <v>9.3612826758694492E-2</v>
      </c>
      <c r="AG229" s="540">
        <f t="shared" si="320"/>
        <v>9.3612826758694492E-2</v>
      </c>
      <c r="AH229" s="540">
        <f t="shared" si="320"/>
        <v>9.3612826758694492E-2</v>
      </c>
      <c r="AI229" s="540">
        <f t="shared" si="320"/>
        <v>9.3612826758694492E-2</v>
      </c>
      <c r="AJ229" s="540">
        <f t="shared" si="320"/>
        <v>9.3612826758694492E-2</v>
      </c>
      <c r="AK229" s="540">
        <f t="shared" si="320"/>
        <v>9.3612826758694492E-2</v>
      </c>
      <c r="AL229" s="540">
        <f t="shared" si="320"/>
        <v>9.3612826758694492E-2</v>
      </c>
      <c r="AM229" s="540">
        <f t="shared" si="320"/>
        <v>9.3612826758694492E-2</v>
      </c>
      <c r="AN229" s="540">
        <f t="shared" si="320"/>
        <v>9.3612826758694492E-2</v>
      </c>
      <c r="AO229" s="540">
        <f t="shared" si="320"/>
        <v>9.3612826758694492E-2</v>
      </c>
      <c r="AP229" s="540">
        <f t="shared" si="320"/>
        <v>9.3352483527478283E-2</v>
      </c>
      <c r="AQ229" s="540">
        <f t="shared" si="320"/>
        <v>9.3352483527478283E-2</v>
      </c>
      <c r="AR229" s="540">
        <f t="shared" si="320"/>
        <v>9.3352483527478283E-2</v>
      </c>
      <c r="AS229" s="540">
        <f t="shared" si="320"/>
        <v>9.3352483527478283E-2</v>
      </c>
      <c r="AT229" s="540">
        <f t="shared" si="320"/>
        <v>9.3352483527478283E-2</v>
      </c>
      <c r="AU229" s="540">
        <f t="shared" si="320"/>
        <v>9.3352483527478283E-2</v>
      </c>
      <c r="AV229" s="540">
        <f t="shared" si="320"/>
        <v>9.3352483527478283E-2</v>
      </c>
      <c r="AW229" s="540">
        <f t="shared" si="320"/>
        <v>9.3352483527478283E-2</v>
      </c>
      <c r="AX229" s="540">
        <f t="shared" si="320"/>
        <v>9.3352483527478283E-2</v>
      </c>
      <c r="AY229" s="540">
        <f t="shared" si="320"/>
        <v>9.3352483527478283E-2</v>
      </c>
      <c r="AZ229" s="540">
        <f t="shared" si="320"/>
        <v>9.3352483527478283E-2</v>
      </c>
      <c r="BA229" s="540">
        <f t="shared" si="320"/>
        <v>9.3352483527478283E-2</v>
      </c>
      <c r="BB229" s="540">
        <f t="shared" si="320"/>
        <v>9.3133471315045527E-2</v>
      </c>
      <c r="BC229" s="540">
        <f t="shared" si="320"/>
        <v>9.3133471315045527E-2</v>
      </c>
      <c r="BD229" s="540">
        <f t="shared" si="320"/>
        <v>9.3133471315045527E-2</v>
      </c>
      <c r="BE229" s="540">
        <f t="shared" si="320"/>
        <v>9.3133471315045527E-2</v>
      </c>
      <c r="BF229" s="540">
        <f t="shared" si="320"/>
        <v>9.3133471315045527E-2</v>
      </c>
      <c r="BG229" s="540">
        <f t="shared" si="320"/>
        <v>9.3133471315045527E-2</v>
      </c>
      <c r="BH229" s="540">
        <f t="shared" si="320"/>
        <v>9.3133471315045527E-2</v>
      </c>
      <c r="BI229" s="540">
        <f t="shared" si="320"/>
        <v>9.3133471315045527E-2</v>
      </c>
      <c r="BJ229" s="540">
        <f t="shared" si="320"/>
        <v>9.3133471315045527E-2</v>
      </c>
      <c r="BK229" s="540">
        <f t="shared" si="320"/>
        <v>9.3133471315045527E-2</v>
      </c>
      <c r="BL229" s="540">
        <f t="shared" si="320"/>
        <v>9.3133471315045527E-2</v>
      </c>
      <c r="BM229" s="540">
        <f t="shared" si="320"/>
        <v>9.3133471315045527E-2</v>
      </c>
      <c r="BN229" s="540">
        <f t="shared" si="320"/>
        <v>9.2900315519408264E-2</v>
      </c>
      <c r="BO229" s="540">
        <f t="shared" si="320"/>
        <v>9.2900315519408264E-2</v>
      </c>
      <c r="BP229" s="540">
        <f t="shared" si="320"/>
        <v>9.2900315519408264E-2</v>
      </c>
      <c r="BQ229" s="540">
        <f t="shared" si="320"/>
        <v>9.2900315519408264E-2</v>
      </c>
      <c r="BR229" s="540">
        <f t="shared" si="320"/>
        <v>9.2900315519408264E-2</v>
      </c>
      <c r="BS229" s="540">
        <f t="shared" si="320"/>
        <v>9.2900315519408264E-2</v>
      </c>
      <c r="BT229" s="540">
        <f t="shared" si="320"/>
        <v>9.2900315519408264E-2</v>
      </c>
      <c r="BU229" s="540">
        <f t="shared" si="320"/>
        <v>9.2900315519408264E-2</v>
      </c>
      <c r="BV229" s="540">
        <f t="shared" si="320"/>
        <v>9.2900315519408264E-2</v>
      </c>
      <c r="BW229" s="540">
        <f t="shared" si="320"/>
        <v>9.2900315519408264E-2</v>
      </c>
      <c r="BX229" s="540">
        <f t="shared" si="320"/>
        <v>9.2900315519408264E-2</v>
      </c>
      <c r="BY229" s="540">
        <f t="shared" si="320"/>
        <v>9.2900315519408264E-2</v>
      </c>
    </row>
    <row r="230" spans="1:77" x14ac:dyDescent="0.3">
      <c r="A230" s="537"/>
      <c r="B230" s="525"/>
      <c r="C230" s="525"/>
      <c r="D230" s="525"/>
      <c r="E230" s="525" t="s">
        <v>103</v>
      </c>
      <c r="F230" s="525"/>
      <c r="G230" s="525"/>
      <c r="H230" s="525"/>
      <c r="I230" s="525"/>
      <c r="J230" s="525"/>
      <c r="K230" s="525"/>
      <c r="L230" s="525"/>
      <c r="M230" s="525"/>
      <c r="N230" s="525"/>
      <c r="O230" s="525"/>
      <c r="P230" s="565"/>
      <c r="Q230" s="525"/>
      <c r="R230" s="540">
        <f t="shared" ref="R230:BY230" si="321">IFERROR(R580/SUM(R577,R578,R580),0)</f>
        <v>0.36961579398509087</v>
      </c>
      <c r="S230" s="540">
        <f t="shared" si="321"/>
        <v>0.36961579398509087</v>
      </c>
      <c r="T230" s="540">
        <f t="shared" si="321"/>
        <v>0.36961579398509087</v>
      </c>
      <c r="U230" s="540">
        <f t="shared" si="321"/>
        <v>0.36961579398509087</v>
      </c>
      <c r="V230" s="540">
        <f t="shared" si="321"/>
        <v>0.36961579398509087</v>
      </c>
      <c r="W230" s="540">
        <f t="shared" si="321"/>
        <v>0.36961579398509087</v>
      </c>
      <c r="X230" s="540">
        <f t="shared" si="321"/>
        <v>0.36961579398509087</v>
      </c>
      <c r="Y230" s="540">
        <f t="shared" si="321"/>
        <v>0.36961579398509087</v>
      </c>
      <c r="Z230" s="540">
        <f t="shared" si="321"/>
        <v>0.36961579398509087</v>
      </c>
      <c r="AA230" s="540">
        <f t="shared" si="321"/>
        <v>0.36961579398509087</v>
      </c>
      <c r="AB230" s="540">
        <f t="shared" si="321"/>
        <v>0.36961579398509087</v>
      </c>
      <c r="AC230" s="540">
        <f t="shared" si="321"/>
        <v>0.36961579398509087</v>
      </c>
      <c r="AD230" s="540">
        <f t="shared" si="321"/>
        <v>0.37682873839706216</v>
      </c>
      <c r="AE230" s="540">
        <f t="shared" si="321"/>
        <v>0.37682873839706216</v>
      </c>
      <c r="AF230" s="540">
        <f t="shared" si="321"/>
        <v>0.37682873839706216</v>
      </c>
      <c r="AG230" s="540">
        <f t="shared" si="321"/>
        <v>0.37682873839706216</v>
      </c>
      <c r="AH230" s="540">
        <f t="shared" si="321"/>
        <v>0.37682873839706216</v>
      </c>
      <c r="AI230" s="540">
        <f t="shared" si="321"/>
        <v>0.37682873839706216</v>
      </c>
      <c r="AJ230" s="540">
        <f t="shared" si="321"/>
        <v>0.37682873839706216</v>
      </c>
      <c r="AK230" s="540">
        <f t="shared" si="321"/>
        <v>0.37682873839706216</v>
      </c>
      <c r="AL230" s="540">
        <f t="shared" si="321"/>
        <v>0.37682873839706216</v>
      </c>
      <c r="AM230" s="540">
        <f t="shared" si="321"/>
        <v>0.37682873839706216</v>
      </c>
      <c r="AN230" s="540">
        <f t="shared" si="321"/>
        <v>0.37682873839706216</v>
      </c>
      <c r="AO230" s="540">
        <f t="shared" si="321"/>
        <v>0.37682873839706216</v>
      </c>
      <c r="AP230" s="540">
        <f t="shared" si="321"/>
        <v>0.38368284861442919</v>
      </c>
      <c r="AQ230" s="540">
        <f t="shared" si="321"/>
        <v>0.38368284861442919</v>
      </c>
      <c r="AR230" s="540">
        <f t="shared" si="321"/>
        <v>0.38368284861442919</v>
      </c>
      <c r="AS230" s="540">
        <f t="shared" si="321"/>
        <v>0.38368284861442919</v>
      </c>
      <c r="AT230" s="540">
        <f t="shared" si="321"/>
        <v>0.38368284861442919</v>
      </c>
      <c r="AU230" s="540">
        <f t="shared" si="321"/>
        <v>0.38368284861442919</v>
      </c>
      <c r="AV230" s="540">
        <f t="shared" si="321"/>
        <v>0.38368284861442919</v>
      </c>
      <c r="AW230" s="540">
        <f t="shared" si="321"/>
        <v>0.38368284861442919</v>
      </c>
      <c r="AX230" s="540">
        <f t="shared" si="321"/>
        <v>0.38368284861442919</v>
      </c>
      <c r="AY230" s="540">
        <f t="shared" si="321"/>
        <v>0.38368284861442919</v>
      </c>
      <c r="AZ230" s="540">
        <f t="shared" si="321"/>
        <v>0.38368284861442919</v>
      </c>
      <c r="BA230" s="540">
        <f t="shared" si="321"/>
        <v>0.38368284861442919</v>
      </c>
      <c r="BB230" s="540">
        <f t="shared" si="321"/>
        <v>0.39013761687681825</v>
      </c>
      <c r="BC230" s="540">
        <f t="shared" si="321"/>
        <v>0.39013761687681825</v>
      </c>
      <c r="BD230" s="540">
        <f t="shared" si="321"/>
        <v>0.39013761687681825</v>
      </c>
      <c r="BE230" s="540">
        <f t="shared" si="321"/>
        <v>0.39013761687681825</v>
      </c>
      <c r="BF230" s="540">
        <f t="shared" si="321"/>
        <v>0.39013761687681825</v>
      </c>
      <c r="BG230" s="540">
        <f t="shared" si="321"/>
        <v>0.39013761687681825</v>
      </c>
      <c r="BH230" s="540">
        <f t="shared" si="321"/>
        <v>0.39013761687681825</v>
      </c>
      <c r="BI230" s="540">
        <f t="shared" si="321"/>
        <v>0.39013761687681825</v>
      </c>
      <c r="BJ230" s="540">
        <f t="shared" si="321"/>
        <v>0.39013761687681825</v>
      </c>
      <c r="BK230" s="540">
        <f t="shared" si="321"/>
        <v>0.39013761687681825</v>
      </c>
      <c r="BL230" s="540">
        <f t="shared" si="321"/>
        <v>0.39013761687681825</v>
      </c>
      <c r="BM230" s="540">
        <f t="shared" si="321"/>
        <v>0.39013761687681825</v>
      </c>
      <c r="BN230" s="540">
        <f t="shared" si="321"/>
        <v>0.39656271616115513</v>
      </c>
      <c r="BO230" s="540">
        <f t="shared" si="321"/>
        <v>0.39656271616115513</v>
      </c>
      <c r="BP230" s="540">
        <f t="shared" si="321"/>
        <v>0.39656271616115513</v>
      </c>
      <c r="BQ230" s="540">
        <f t="shared" si="321"/>
        <v>0.39656271616115513</v>
      </c>
      <c r="BR230" s="540">
        <f t="shared" si="321"/>
        <v>0.39656271616115513</v>
      </c>
      <c r="BS230" s="540">
        <f t="shared" si="321"/>
        <v>0.39656271616115513</v>
      </c>
      <c r="BT230" s="540">
        <f t="shared" si="321"/>
        <v>0.39656271616115513</v>
      </c>
      <c r="BU230" s="540">
        <f t="shared" si="321"/>
        <v>0.39656271616115513</v>
      </c>
      <c r="BV230" s="540">
        <f t="shared" si="321"/>
        <v>0.39656271616115513</v>
      </c>
      <c r="BW230" s="540">
        <f t="shared" si="321"/>
        <v>0.39656271616115513</v>
      </c>
      <c r="BX230" s="540">
        <f t="shared" si="321"/>
        <v>0.39656271616115513</v>
      </c>
      <c r="BY230" s="540">
        <f t="shared" si="321"/>
        <v>0.39656271616115513</v>
      </c>
    </row>
    <row r="231" spans="1:77" x14ac:dyDescent="0.3">
      <c r="A231" s="537"/>
      <c r="B231" s="525"/>
      <c r="C231" s="525"/>
      <c r="D231" s="525"/>
      <c r="E231" s="525"/>
      <c r="F231" s="525"/>
      <c r="G231" s="525"/>
      <c r="H231" s="525"/>
      <c r="I231" s="525"/>
      <c r="J231" s="525"/>
      <c r="K231" s="525"/>
      <c r="L231" s="525"/>
      <c r="M231" s="525"/>
      <c r="N231" s="525"/>
      <c r="O231" s="525"/>
      <c r="P231" s="565"/>
      <c r="Q231" s="525"/>
      <c r="R231" s="525"/>
      <c r="S231" s="525"/>
      <c r="T231" s="525"/>
      <c r="U231" s="525"/>
      <c r="V231" s="525"/>
      <c r="W231" s="525"/>
      <c r="X231" s="525"/>
      <c r="Y231" s="525"/>
      <c r="Z231" s="525"/>
      <c r="AA231" s="525"/>
      <c r="AB231" s="525"/>
      <c r="AC231" s="525"/>
      <c r="AD231" s="525"/>
      <c r="AE231" s="525"/>
      <c r="AF231" s="525"/>
      <c r="AG231" s="525"/>
      <c r="AH231" s="525"/>
      <c r="AI231" s="525"/>
      <c r="AJ231" s="525"/>
      <c r="AK231" s="525"/>
      <c r="AL231" s="525"/>
      <c r="AM231" s="525"/>
      <c r="AN231" s="525"/>
      <c r="AO231" s="525"/>
      <c r="AP231" s="525"/>
      <c r="AQ231" s="525"/>
      <c r="AR231" s="525"/>
      <c r="AS231" s="525"/>
      <c r="AT231" s="525"/>
      <c r="AU231" s="525"/>
      <c r="AV231" s="525"/>
      <c r="AW231" s="525"/>
      <c r="AX231" s="525"/>
      <c r="AY231" s="525"/>
      <c r="AZ231" s="525"/>
      <c r="BA231" s="525"/>
      <c r="BB231" s="525"/>
      <c r="BC231" s="525"/>
      <c r="BD231" s="525"/>
      <c r="BE231" s="525"/>
      <c r="BF231" s="525"/>
      <c r="BG231" s="525"/>
      <c r="BH231" s="525"/>
      <c r="BI231" s="525"/>
      <c r="BJ231" s="525"/>
      <c r="BK231" s="525"/>
      <c r="BL231" s="525"/>
      <c r="BM231" s="525"/>
      <c r="BN231" s="525"/>
      <c r="BO231" s="525"/>
      <c r="BP231" s="525"/>
      <c r="BQ231" s="525"/>
      <c r="BR231" s="525"/>
      <c r="BS231" s="525"/>
      <c r="BT231" s="525"/>
      <c r="BU231" s="525"/>
      <c r="BV231" s="525"/>
      <c r="BW231" s="525"/>
      <c r="BX231" s="525"/>
      <c r="BY231" s="525"/>
    </row>
    <row r="232" spans="1:77" x14ac:dyDescent="0.3">
      <c r="A232" s="537"/>
      <c r="B232" s="525"/>
      <c r="C232" s="525"/>
      <c r="D232" s="525"/>
      <c r="E232" s="525" t="s">
        <v>104</v>
      </c>
      <c r="F232" s="525"/>
      <c r="G232" s="525"/>
      <c r="H232" s="525"/>
      <c r="I232" s="525"/>
      <c r="J232" s="525"/>
      <c r="K232" s="525"/>
      <c r="L232" s="525"/>
      <c r="M232" s="525"/>
      <c r="N232" s="525"/>
      <c r="O232" s="525"/>
      <c r="P232" s="565"/>
      <c r="Q232" s="525"/>
      <c r="R232" s="540">
        <f t="shared" ref="R232:BY232" si="322">IFERROR(R586/SUM(R586,R587,R589),0)</f>
        <v>0.8257113925926679</v>
      </c>
      <c r="S232" s="540">
        <f t="shared" si="322"/>
        <v>0.8257113925926679</v>
      </c>
      <c r="T232" s="540">
        <f t="shared" si="322"/>
        <v>0.8257113925926679</v>
      </c>
      <c r="U232" s="540">
        <f t="shared" si="322"/>
        <v>0.8257113925926679</v>
      </c>
      <c r="V232" s="540">
        <f t="shared" si="322"/>
        <v>0.8257113925926679</v>
      </c>
      <c r="W232" s="540">
        <f t="shared" si="322"/>
        <v>0.8257113925926679</v>
      </c>
      <c r="X232" s="540">
        <f t="shared" si="322"/>
        <v>0.8257113925926679</v>
      </c>
      <c r="Y232" s="540">
        <f t="shared" si="322"/>
        <v>0.8257113925926679</v>
      </c>
      <c r="Z232" s="540">
        <f t="shared" si="322"/>
        <v>0.8257113925926679</v>
      </c>
      <c r="AA232" s="540">
        <f t="shared" si="322"/>
        <v>0.8257113925926679</v>
      </c>
      <c r="AB232" s="540">
        <f t="shared" si="322"/>
        <v>0.8257113925926679</v>
      </c>
      <c r="AC232" s="540">
        <f t="shared" si="322"/>
        <v>0.8257113925926679</v>
      </c>
      <c r="AD232" s="540">
        <f t="shared" si="322"/>
        <v>0.8257113925926679</v>
      </c>
      <c r="AE232" s="540">
        <f t="shared" si="322"/>
        <v>0.8257113925926679</v>
      </c>
      <c r="AF232" s="540">
        <f t="shared" si="322"/>
        <v>0.8257113925926679</v>
      </c>
      <c r="AG232" s="540">
        <f t="shared" si="322"/>
        <v>0.8257113925926679</v>
      </c>
      <c r="AH232" s="540">
        <f t="shared" si="322"/>
        <v>0.8257113925926679</v>
      </c>
      <c r="AI232" s="540">
        <f t="shared" si="322"/>
        <v>0.8257113925926679</v>
      </c>
      <c r="AJ232" s="540">
        <f t="shared" si="322"/>
        <v>0.8257113925926679</v>
      </c>
      <c r="AK232" s="540">
        <f t="shared" si="322"/>
        <v>0.8257113925926679</v>
      </c>
      <c r="AL232" s="540">
        <f t="shared" si="322"/>
        <v>0.8257113925926679</v>
      </c>
      <c r="AM232" s="540">
        <f t="shared" si="322"/>
        <v>0.8257113925926679</v>
      </c>
      <c r="AN232" s="540">
        <f t="shared" si="322"/>
        <v>0.8257113925926679</v>
      </c>
      <c r="AO232" s="540">
        <f t="shared" si="322"/>
        <v>0.8257113925926679</v>
      </c>
      <c r="AP232" s="540">
        <f t="shared" si="322"/>
        <v>0.8257113925926679</v>
      </c>
      <c r="AQ232" s="540">
        <f t="shared" si="322"/>
        <v>0.8257113925926679</v>
      </c>
      <c r="AR232" s="540">
        <f t="shared" si="322"/>
        <v>0.8257113925926679</v>
      </c>
      <c r="AS232" s="540">
        <f t="shared" si="322"/>
        <v>0.8257113925926679</v>
      </c>
      <c r="AT232" s="540">
        <f t="shared" si="322"/>
        <v>0.8257113925926679</v>
      </c>
      <c r="AU232" s="540">
        <f t="shared" si="322"/>
        <v>0.8257113925926679</v>
      </c>
      <c r="AV232" s="540">
        <f t="shared" si="322"/>
        <v>0.8257113925926679</v>
      </c>
      <c r="AW232" s="540">
        <f t="shared" si="322"/>
        <v>0.8257113925926679</v>
      </c>
      <c r="AX232" s="540">
        <f t="shared" si="322"/>
        <v>0.8257113925926679</v>
      </c>
      <c r="AY232" s="540">
        <f t="shared" si="322"/>
        <v>0.8257113925926679</v>
      </c>
      <c r="AZ232" s="540">
        <f t="shared" si="322"/>
        <v>0.8257113925926679</v>
      </c>
      <c r="BA232" s="540">
        <f t="shared" si="322"/>
        <v>0.8257113925926679</v>
      </c>
      <c r="BB232" s="540">
        <f t="shared" si="322"/>
        <v>0.8257113925926679</v>
      </c>
      <c r="BC232" s="540">
        <f t="shared" si="322"/>
        <v>0.8257113925926679</v>
      </c>
      <c r="BD232" s="540">
        <f t="shared" si="322"/>
        <v>0.8257113925926679</v>
      </c>
      <c r="BE232" s="540">
        <f t="shared" si="322"/>
        <v>0.8257113925926679</v>
      </c>
      <c r="BF232" s="540">
        <f t="shared" si="322"/>
        <v>0.8257113925926679</v>
      </c>
      <c r="BG232" s="540">
        <f t="shared" si="322"/>
        <v>0.8257113925926679</v>
      </c>
      <c r="BH232" s="540">
        <f t="shared" si="322"/>
        <v>0.8257113925926679</v>
      </c>
      <c r="BI232" s="540">
        <f t="shared" si="322"/>
        <v>0.8257113925926679</v>
      </c>
      <c r="BJ232" s="540">
        <f t="shared" si="322"/>
        <v>0.8257113925926679</v>
      </c>
      <c r="BK232" s="540">
        <f t="shared" si="322"/>
        <v>0.8257113925926679</v>
      </c>
      <c r="BL232" s="540">
        <f t="shared" si="322"/>
        <v>0.8257113925926679</v>
      </c>
      <c r="BM232" s="540">
        <f t="shared" si="322"/>
        <v>0.8257113925926679</v>
      </c>
      <c r="BN232" s="540">
        <f t="shared" si="322"/>
        <v>0.8257113925926679</v>
      </c>
      <c r="BO232" s="540">
        <f t="shared" si="322"/>
        <v>0.8257113925926679</v>
      </c>
      <c r="BP232" s="540">
        <f t="shared" si="322"/>
        <v>0.8257113925926679</v>
      </c>
      <c r="BQ232" s="540">
        <f t="shared" si="322"/>
        <v>0.8257113925926679</v>
      </c>
      <c r="BR232" s="540">
        <f t="shared" si="322"/>
        <v>0.8257113925926679</v>
      </c>
      <c r="BS232" s="540">
        <f t="shared" si="322"/>
        <v>0.8257113925926679</v>
      </c>
      <c r="BT232" s="540">
        <f t="shared" si="322"/>
        <v>0.8257113925926679</v>
      </c>
      <c r="BU232" s="540">
        <f t="shared" si="322"/>
        <v>0.8257113925926679</v>
      </c>
      <c r="BV232" s="540">
        <f t="shared" si="322"/>
        <v>0.8257113925926679</v>
      </c>
      <c r="BW232" s="540">
        <f t="shared" si="322"/>
        <v>0.8257113925926679</v>
      </c>
      <c r="BX232" s="540">
        <f t="shared" si="322"/>
        <v>0.8257113925926679</v>
      </c>
      <c r="BY232" s="540">
        <f t="shared" si="322"/>
        <v>0.8257113925926679</v>
      </c>
    </row>
    <row r="233" spans="1:77" x14ac:dyDescent="0.3">
      <c r="A233" s="537"/>
      <c r="B233" s="525"/>
      <c r="C233" s="525"/>
      <c r="D233" s="525"/>
      <c r="E233" s="525" t="s">
        <v>105</v>
      </c>
      <c r="F233" s="525"/>
      <c r="G233" s="525"/>
      <c r="H233" s="525"/>
      <c r="I233" s="525"/>
      <c r="J233" s="525"/>
      <c r="K233" s="525"/>
      <c r="L233" s="525"/>
      <c r="M233" s="525"/>
      <c r="N233" s="525"/>
      <c r="O233" s="525"/>
      <c r="P233" s="565"/>
      <c r="Q233" s="525"/>
      <c r="R233" s="540">
        <f t="shared" ref="R233:BY233" si="323">IFERROR(R587/SUM(R586,R587,R589),0)</f>
        <v>9.9846478386199686E-2</v>
      </c>
      <c r="S233" s="540">
        <f t="shared" si="323"/>
        <v>9.9846478386199686E-2</v>
      </c>
      <c r="T233" s="540">
        <f t="shared" si="323"/>
        <v>9.9846478386199686E-2</v>
      </c>
      <c r="U233" s="540">
        <f t="shared" si="323"/>
        <v>9.9846478386199686E-2</v>
      </c>
      <c r="V233" s="540">
        <f t="shared" si="323"/>
        <v>9.9846478386199686E-2</v>
      </c>
      <c r="W233" s="540">
        <f t="shared" si="323"/>
        <v>9.9846478386199686E-2</v>
      </c>
      <c r="X233" s="540">
        <f t="shared" si="323"/>
        <v>9.9846478386199686E-2</v>
      </c>
      <c r="Y233" s="540">
        <f t="shared" si="323"/>
        <v>9.9846478386199686E-2</v>
      </c>
      <c r="Z233" s="540">
        <f t="shared" si="323"/>
        <v>9.9846478386199686E-2</v>
      </c>
      <c r="AA233" s="540">
        <f t="shared" si="323"/>
        <v>9.9846478386199686E-2</v>
      </c>
      <c r="AB233" s="540">
        <f t="shared" si="323"/>
        <v>9.9846478386199686E-2</v>
      </c>
      <c r="AC233" s="540">
        <f t="shared" si="323"/>
        <v>9.9846478386199686E-2</v>
      </c>
      <c r="AD233" s="540">
        <f t="shared" si="323"/>
        <v>9.9846478386199686E-2</v>
      </c>
      <c r="AE233" s="540">
        <f t="shared" si="323"/>
        <v>9.9846478386199686E-2</v>
      </c>
      <c r="AF233" s="540">
        <f t="shared" si="323"/>
        <v>9.9846478386199686E-2</v>
      </c>
      <c r="AG233" s="540">
        <f t="shared" si="323"/>
        <v>9.9846478386199686E-2</v>
      </c>
      <c r="AH233" s="540">
        <f t="shared" si="323"/>
        <v>9.9846478386199686E-2</v>
      </c>
      <c r="AI233" s="540">
        <f t="shared" si="323"/>
        <v>9.9846478386199686E-2</v>
      </c>
      <c r="AJ233" s="540">
        <f t="shared" si="323"/>
        <v>9.9846478386199686E-2</v>
      </c>
      <c r="AK233" s="540">
        <f t="shared" si="323"/>
        <v>9.9846478386199686E-2</v>
      </c>
      <c r="AL233" s="540">
        <f t="shared" si="323"/>
        <v>9.9846478386199686E-2</v>
      </c>
      <c r="AM233" s="540">
        <f t="shared" si="323"/>
        <v>9.9846478386199686E-2</v>
      </c>
      <c r="AN233" s="540">
        <f t="shared" si="323"/>
        <v>9.9846478386199686E-2</v>
      </c>
      <c r="AO233" s="540">
        <f t="shared" si="323"/>
        <v>9.9846478386199686E-2</v>
      </c>
      <c r="AP233" s="540">
        <f t="shared" si="323"/>
        <v>9.9846478386199686E-2</v>
      </c>
      <c r="AQ233" s="540">
        <f t="shared" si="323"/>
        <v>9.9846478386199686E-2</v>
      </c>
      <c r="AR233" s="540">
        <f t="shared" si="323"/>
        <v>9.9846478386199686E-2</v>
      </c>
      <c r="AS233" s="540">
        <f t="shared" si="323"/>
        <v>9.9846478386199686E-2</v>
      </c>
      <c r="AT233" s="540">
        <f t="shared" si="323"/>
        <v>9.9846478386199686E-2</v>
      </c>
      <c r="AU233" s="540">
        <f t="shared" si="323"/>
        <v>9.9846478386199686E-2</v>
      </c>
      <c r="AV233" s="540">
        <f t="shared" si="323"/>
        <v>9.9846478386199686E-2</v>
      </c>
      <c r="AW233" s="540">
        <f t="shared" si="323"/>
        <v>9.9846478386199686E-2</v>
      </c>
      <c r="AX233" s="540">
        <f t="shared" si="323"/>
        <v>9.9846478386199686E-2</v>
      </c>
      <c r="AY233" s="540">
        <f t="shared" si="323"/>
        <v>9.9846478386199686E-2</v>
      </c>
      <c r="AZ233" s="540">
        <f t="shared" si="323"/>
        <v>9.9846478386199686E-2</v>
      </c>
      <c r="BA233" s="540">
        <f t="shared" si="323"/>
        <v>9.9846478386199686E-2</v>
      </c>
      <c r="BB233" s="540">
        <f t="shared" si="323"/>
        <v>9.9846478386199686E-2</v>
      </c>
      <c r="BC233" s="540">
        <f t="shared" si="323"/>
        <v>9.9846478386199686E-2</v>
      </c>
      <c r="BD233" s="540">
        <f t="shared" si="323"/>
        <v>9.9846478386199686E-2</v>
      </c>
      <c r="BE233" s="540">
        <f t="shared" si="323"/>
        <v>9.9846478386199686E-2</v>
      </c>
      <c r="BF233" s="540">
        <f t="shared" si="323"/>
        <v>9.9846478386199686E-2</v>
      </c>
      <c r="BG233" s="540">
        <f t="shared" si="323"/>
        <v>9.9846478386199686E-2</v>
      </c>
      <c r="BH233" s="540">
        <f t="shared" si="323"/>
        <v>9.9846478386199686E-2</v>
      </c>
      <c r="BI233" s="540">
        <f t="shared" si="323"/>
        <v>9.9846478386199686E-2</v>
      </c>
      <c r="BJ233" s="540">
        <f t="shared" si="323"/>
        <v>9.9846478386199686E-2</v>
      </c>
      <c r="BK233" s="540">
        <f t="shared" si="323"/>
        <v>9.9846478386199686E-2</v>
      </c>
      <c r="BL233" s="540">
        <f t="shared" si="323"/>
        <v>9.9846478386199686E-2</v>
      </c>
      <c r="BM233" s="540">
        <f t="shared" si="323"/>
        <v>9.9846478386199686E-2</v>
      </c>
      <c r="BN233" s="540">
        <f t="shared" si="323"/>
        <v>9.9846478386199686E-2</v>
      </c>
      <c r="BO233" s="540">
        <f t="shared" si="323"/>
        <v>9.9846478386199686E-2</v>
      </c>
      <c r="BP233" s="540">
        <f t="shared" si="323"/>
        <v>9.9846478386199686E-2</v>
      </c>
      <c r="BQ233" s="540">
        <f t="shared" si="323"/>
        <v>9.9846478386199686E-2</v>
      </c>
      <c r="BR233" s="540">
        <f t="shared" si="323"/>
        <v>9.9846478386199686E-2</v>
      </c>
      <c r="BS233" s="540">
        <f t="shared" si="323"/>
        <v>9.9846478386199686E-2</v>
      </c>
      <c r="BT233" s="540">
        <f t="shared" si="323"/>
        <v>9.9846478386199686E-2</v>
      </c>
      <c r="BU233" s="540">
        <f t="shared" si="323"/>
        <v>9.9846478386199686E-2</v>
      </c>
      <c r="BV233" s="540">
        <f t="shared" si="323"/>
        <v>9.9846478386199686E-2</v>
      </c>
      <c r="BW233" s="540">
        <f t="shared" si="323"/>
        <v>9.9846478386199686E-2</v>
      </c>
      <c r="BX233" s="540">
        <f t="shared" si="323"/>
        <v>9.9846478386199686E-2</v>
      </c>
      <c r="BY233" s="540">
        <f t="shared" si="323"/>
        <v>9.9846478386199686E-2</v>
      </c>
    </row>
    <row r="234" spans="1:77" x14ac:dyDescent="0.3">
      <c r="A234" s="537"/>
      <c r="B234" s="525"/>
      <c r="C234" s="525"/>
      <c r="D234" s="525"/>
      <c r="E234" s="525" t="s">
        <v>106</v>
      </c>
      <c r="F234" s="525"/>
      <c r="G234" s="525"/>
      <c r="H234" s="525"/>
      <c r="I234" s="525"/>
      <c r="J234" s="525"/>
      <c r="K234" s="525"/>
      <c r="L234" s="525"/>
      <c r="M234" s="525"/>
      <c r="N234" s="525"/>
      <c r="O234" s="525"/>
      <c r="P234" s="565"/>
      <c r="Q234" s="525"/>
      <c r="R234" s="540">
        <f t="shared" ref="R234:BY234" si="324">IFERROR(R589/SUM(R586,R587,R589),0)</f>
        <v>7.444212902113255E-2</v>
      </c>
      <c r="S234" s="540">
        <f t="shared" si="324"/>
        <v>7.444212902113255E-2</v>
      </c>
      <c r="T234" s="540">
        <f t="shared" si="324"/>
        <v>7.444212902113255E-2</v>
      </c>
      <c r="U234" s="540">
        <f t="shared" si="324"/>
        <v>7.444212902113255E-2</v>
      </c>
      <c r="V234" s="540">
        <f t="shared" si="324"/>
        <v>7.444212902113255E-2</v>
      </c>
      <c r="W234" s="540">
        <f t="shared" si="324"/>
        <v>7.444212902113255E-2</v>
      </c>
      <c r="X234" s="540">
        <f t="shared" si="324"/>
        <v>7.444212902113255E-2</v>
      </c>
      <c r="Y234" s="540">
        <f t="shared" si="324"/>
        <v>7.444212902113255E-2</v>
      </c>
      <c r="Z234" s="540">
        <f t="shared" si="324"/>
        <v>7.444212902113255E-2</v>
      </c>
      <c r="AA234" s="540">
        <f t="shared" si="324"/>
        <v>7.444212902113255E-2</v>
      </c>
      <c r="AB234" s="540">
        <f t="shared" si="324"/>
        <v>7.444212902113255E-2</v>
      </c>
      <c r="AC234" s="540">
        <f t="shared" si="324"/>
        <v>7.444212902113255E-2</v>
      </c>
      <c r="AD234" s="540">
        <f t="shared" si="324"/>
        <v>7.444212902113255E-2</v>
      </c>
      <c r="AE234" s="540">
        <f t="shared" si="324"/>
        <v>7.444212902113255E-2</v>
      </c>
      <c r="AF234" s="540">
        <f t="shared" si="324"/>
        <v>7.444212902113255E-2</v>
      </c>
      <c r="AG234" s="540">
        <f t="shared" si="324"/>
        <v>7.444212902113255E-2</v>
      </c>
      <c r="AH234" s="540">
        <f t="shared" si="324"/>
        <v>7.444212902113255E-2</v>
      </c>
      <c r="AI234" s="540">
        <f t="shared" si="324"/>
        <v>7.444212902113255E-2</v>
      </c>
      <c r="AJ234" s="540">
        <f t="shared" si="324"/>
        <v>7.444212902113255E-2</v>
      </c>
      <c r="AK234" s="540">
        <f t="shared" si="324"/>
        <v>7.444212902113255E-2</v>
      </c>
      <c r="AL234" s="540">
        <f t="shared" si="324"/>
        <v>7.444212902113255E-2</v>
      </c>
      <c r="AM234" s="540">
        <f t="shared" si="324"/>
        <v>7.444212902113255E-2</v>
      </c>
      <c r="AN234" s="540">
        <f t="shared" si="324"/>
        <v>7.444212902113255E-2</v>
      </c>
      <c r="AO234" s="540">
        <f t="shared" si="324"/>
        <v>7.444212902113255E-2</v>
      </c>
      <c r="AP234" s="540">
        <f t="shared" si="324"/>
        <v>7.444212902113255E-2</v>
      </c>
      <c r="AQ234" s="540">
        <f t="shared" si="324"/>
        <v>7.444212902113255E-2</v>
      </c>
      <c r="AR234" s="540">
        <f t="shared" si="324"/>
        <v>7.444212902113255E-2</v>
      </c>
      <c r="AS234" s="540">
        <f t="shared" si="324"/>
        <v>7.444212902113255E-2</v>
      </c>
      <c r="AT234" s="540">
        <f t="shared" si="324"/>
        <v>7.444212902113255E-2</v>
      </c>
      <c r="AU234" s="540">
        <f t="shared" si="324"/>
        <v>7.444212902113255E-2</v>
      </c>
      <c r="AV234" s="540">
        <f t="shared" si="324"/>
        <v>7.444212902113255E-2</v>
      </c>
      <c r="AW234" s="540">
        <f t="shared" si="324"/>
        <v>7.444212902113255E-2</v>
      </c>
      <c r="AX234" s="540">
        <f t="shared" si="324"/>
        <v>7.444212902113255E-2</v>
      </c>
      <c r="AY234" s="540">
        <f t="shared" si="324"/>
        <v>7.444212902113255E-2</v>
      </c>
      <c r="AZ234" s="540">
        <f t="shared" si="324"/>
        <v>7.444212902113255E-2</v>
      </c>
      <c r="BA234" s="540">
        <f t="shared" si="324"/>
        <v>7.444212902113255E-2</v>
      </c>
      <c r="BB234" s="540">
        <f t="shared" si="324"/>
        <v>7.444212902113255E-2</v>
      </c>
      <c r="BC234" s="540">
        <f t="shared" si="324"/>
        <v>7.444212902113255E-2</v>
      </c>
      <c r="BD234" s="540">
        <f t="shared" si="324"/>
        <v>7.444212902113255E-2</v>
      </c>
      <c r="BE234" s="540">
        <f t="shared" si="324"/>
        <v>7.444212902113255E-2</v>
      </c>
      <c r="BF234" s="540">
        <f t="shared" si="324"/>
        <v>7.444212902113255E-2</v>
      </c>
      <c r="BG234" s="540">
        <f t="shared" si="324"/>
        <v>7.444212902113255E-2</v>
      </c>
      <c r="BH234" s="540">
        <f t="shared" si="324"/>
        <v>7.444212902113255E-2</v>
      </c>
      <c r="BI234" s="540">
        <f t="shared" si="324"/>
        <v>7.444212902113255E-2</v>
      </c>
      <c r="BJ234" s="540">
        <f t="shared" si="324"/>
        <v>7.444212902113255E-2</v>
      </c>
      <c r="BK234" s="540">
        <f t="shared" si="324"/>
        <v>7.444212902113255E-2</v>
      </c>
      <c r="BL234" s="540">
        <f t="shared" si="324"/>
        <v>7.444212902113255E-2</v>
      </c>
      <c r="BM234" s="540">
        <f t="shared" si="324"/>
        <v>7.444212902113255E-2</v>
      </c>
      <c r="BN234" s="540">
        <f t="shared" si="324"/>
        <v>7.444212902113255E-2</v>
      </c>
      <c r="BO234" s="540">
        <f t="shared" si="324"/>
        <v>7.444212902113255E-2</v>
      </c>
      <c r="BP234" s="540">
        <f t="shared" si="324"/>
        <v>7.444212902113255E-2</v>
      </c>
      <c r="BQ234" s="540">
        <f t="shared" si="324"/>
        <v>7.444212902113255E-2</v>
      </c>
      <c r="BR234" s="540">
        <f t="shared" si="324"/>
        <v>7.444212902113255E-2</v>
      </c>
      <c r="BS234" s="540">
        <f t="shared" si="324"/>
        <v>7.444212902113255E-2</v>
      </c>
      <c r="BT234" s="540">
        <f t="shared" si="324"/>
        <v>7.444212902113255E-2</v>
      </c>
      <c r="BU234" s="540">
        <f t="shared" si="324"/>
        <v>7.444212902113255E-2</v>
      </c>
      <c r="BV234" s="540">
        <f t="shared" si="324"/>
        <v>7.444212902113255E-2</v>
      </c>
      <c r="BW234" s="540">
        <f t="shared" si="324"/>
        <v>7.444212902113255E-2</v>
      </c>
      <c r="BX234" s="540">
        <f t="shared" si="324"/>
        <v>7.444212902113255E-2</v>
      </c>
      <c r="BY234" s="540">
        <f t="shared" si="324"/>
        <v>7.444212902113255E-2</v>
      </c>
    </row>
    <row r="235" spans="1:77" x14ac:dyDescent="0.3">
      <c r="A235" s="551"/>
      <c r="B235" s="548"/>
      <c r="C235" s="525"/>
      <c r="D235" s="525"/>
      <c r="E235" s="525"/>
      <c r="F235" s="525"/>
      <c r="G235" s="525"/>
      <c r="H235" s="525"/>
      <c r="I235" s="525"/>
      <c r="J235" s="525"/>
      <c r="K235" s="525"/>
      <c r="L235" s="525"/>
      <c r="M235" s="525"/>
      <c r="N235" s="525"/>
      <c r="O235" s="525"/>
      <c r="P235" s="565"/>
      <c r="Q235" s="525"/>
      <c r="R235" s="525"/>
      <c r="S235" s="525"/>
      <c r="T235" s="525"/>
      <c r="U235" s="525"/>
      <c r="V235" s="525"/>
      <c r="W235" s="525"/>
      <c r="X235" s="525"/>
      <c r="Y235" s="525"/>
      <c r="Z235" s="525"/>
      <c r="AA235" s="525"/>
      <c r="AB235" s="525"/>
      <c r="AC235" s="525"/>
      <c r="AD235" s="525"/>
      <c r="AE235" s="525"/>
      <c r="AF235" s="525"/>
      <c r="AG235" s="525"/>
      <c r="AH235" s="525"/>
      <c r="AI235" s="525"/>
      <c r="AJ235" s="525"/>
      <c r="AK235" s="525"/>
      <c r="AL235" s="525"/>
      <c r="AM235" s="525"/>
      <c r="AN235" s="525"/>
      <c r="AO235" s="525"/>
      <c r="AP235" s="525"/>
      <c r="AQ235" s="525"/>
      <c r="AR235" s="525"/>
      <c r="AS235" s="525"/>
      <c r="AT235" s="525"/>
      <c r="AU235" s="525"/>
      <c r="AV235" s="525"/>
      <c r="AW235" s="525"/>
      <c r="AX235" s="525"/>
      <c r="AY235" s="525"/>
      <c r="AZ235" s="525"/>
      <c r="BA235" s="525"/>
      <c r="BB235" s="525"/>
      <c r="BC235" s="525"/>
      <c r="BD235" s="525"/>
      <c r="BE235" s="525"/>
      <c r="BF235" s="525"/>
      <c r="BG235" s="525"/>
      <c r="BH235" s="525"/>
      <c r="BI235" s="525"/>
      <c r="BJ235" s="525"/>
      <c r="BK235" s="525"/>
      <c r="BL235" s="525"/>
      <c r="BM235" s="525"/>
      <c r="BN235" s="525"/>
      <c r="BO235" s="525"/>
      <c r="BP235" s="525"/>
      <c r="BQ235" s="525"/>
      <c r="BR235" s="525"/>
      <c r="BS235" s="525"/>
      <c r="BT235" s="525"/>
      <c r="BU235" s="525"/>
      <c r="BV235" s="525"/>
      <c r="BW235" s="525"/>
      <c r="BX235" s="525"/>
      <c r="BY235" s="525"/>
    </row>
    <row r="236" spans="1:77" x14ac:dyDescent="0.3">
      <c r="A236" s="551"/>
      <c r="B236" s="548"/>
      <c r="C236" s="525"/>
      <c r="D236" s="525"/>
      <c r="E236" s="614" t="s">
        <v>107</v>
      </c>
      <c r="F236" s="539"/>
      <c r="G236" s="539"/>
      <c r="H236" s="539"/>
      <c r="I236" s="539"/>
      <c r="J236" s="539"/>
      <c r="K236" s="539"/>
      <c r="L236" s="539"/>
      <c r="M236" s="539"/>
      <c r="N236" s="539"/>
      <c r="O236" s="539"/>
      <c r="P236" s="615"/>
      <c r="Q236" s="539"/>
      <c r="R236" s="539"/>
      <c r="S236" s="539"/>
      <c r="T236" s="539"/>
      <c r="U236" s="539"/>
      <c r="V236" s="539"/>
      <c r="W236" s="539"/>
      <c r="X236" s="539"/>
      <c r="Y236" s="539"/>
      <c r="Z236" s="539"/>
      <c r="AA236" s="539"/>
      <c r="AB236" s="539"/>
      <c r="AC236" s="539"/>
      <c r="AD236" s="539"/>
      <c r="AE236" s="539"/>
      <c r="AF236" s="539"/>
      <c r="AG236" s="539"/>
      <c r="AH236" s="539"/>
      <c r="AI236" s="539"/>
      <c r="AJ236" s="539"/>
      <c r="AK236" s="539"/>
      <c r="AL236" s="539"/>
      <c r="AM236" s="539"/>
      <c r="AN236" s="539"/>
      <c r="AO236" s="539"/>
      <c r="AP236" s="539"/>
      <c r="AQ236" s="539"/>
      <c r="AR236" s="539"/>
      <c r="AS236" s="539"/>
      <c r="AT236" s="539"/>
      <c r="AU236" s="539"/>
      <c r="AV236" s="539"/>
      <c r="AW236" s="539"/>
      <c r="AX236" s="539"/>
      <c r="AY236" s="539"/>
      <c r="AZ236" s="539"/>
      <c r="BA236" s="539"/>
      <c r="BB236" s="539"/>
      <c r="BC236" s="539"/>
      <c r="BD236" s="539"/>
      <c r="BE236" s="539"/>
      <c r="BF236" s="539"/>
      <c r="BG236" s="539"/>
      <c r="BH236" s="539"/>
      <c r="BI236" s="539"/>
      <c r="BJ236" s="539"/>
      <c r="BK236" s="539"/>
      <c r="BL236" s="539"/>
      <c r="BM236" s="539"/>
      <c r="BN236" s="539"/>
      <c r="BO236" s="539"/>
      <c r="BP236" s="539"/>
      <c r="BQ236" s="539"/>
      <c r="BR236" s="539"/>
      <c r="BS236" s="539"/>
      <c r="BT236" s="539"/>
      <c r="BU236" s="539"/>
      <c r="BV236" s="539"/>
      <c r="BW236" s="539"/>
      <c r="BX236" s="539"/>
      <c r="BY236" s="539"/>
    </row>
    <row r="237" spans="1:77" x14ac:dyDescent="0.3">
      <c r="A237" s="551"/>
      <c r="B237" s="548"/>
      <c r="C237" s="525"/>
      <c r="D237" s="525"/>
      <c r="E237" s="525"/>
      <c r="F237" s="525"/>
      <c r="G237" s="525"/>
      <c r="H237" s="525"/>
      <c r="I237" s="525"/>
      <c r="J237" s="525"/>
      <c r="K237" s="525"/>
      <c r="L237" s="525"/>
      <c r="M237" s="525"/>
      <c r="N237" s="525"/>
      <c r="O237" s="525"/>
      <c r="P237" s="565"/>
      <c r="Q237" s="525"/>
      <c r="R237" s="525"/>
      <c r="S237" s="525"/>
      <c r="T237" s="525"/>
      <c r="U237" s="525"/>
      <c r="V237" s="525"/>
      <c r="W237" s="525"/>
      <c r="X237" s="525"/>
      <c r="Y237" s="525"/>
      <c r="Z237" s="525"/>
      <c r="AA237" s="525"/>
      <c r="AB237" s="525"/>
      <c r="AC237" s="525"/>
      <c r="AD237" s="525"/>
      <c r="AE237" s="525"/>
      <c r="AF237" s="525"/>
      <c r="AG237" s="525"/>
      <c r="AH237" s="525"/>
      <c r="AI237" s="525"/>
      <c r="AJ237" s="525"/>
      <c r="AK237" s="525"/>
      <c r="AL237" s="525"/>
      <c r="AM237" s="525"/>
      <c r="AN237" s="525"/>
      <c r="AO237" s="525"/>
      <c r="AP237" s="525"/>
      <c r="AQ237" s="525"/>
      <c r="AR237" s="525"/>
      <c r="AS237" s="525"/>
      <c r="AT237" s="525"/>
      <c r="AU237" s="525"/>
      <c r="AV237" s="525"/>
      <c r="AW237" s="525"/>
      <c r="AX237" s="525"/>
      <c r="AY237" s="525"/>
      <c r="AZ237" s="525"/>
      <c r="BA237" s="525"/>
      <c r="BB237" s="525"/>
      <c r="BC237" s="525"/>
      <c r="BD237" s="525"/>
      <c r="BE237" s="525"/>
      <c r="BF237" s="525"/>
      <c r="BG237" s="525"/>
      <c r="BH237" s="525"/>
      <c r="BI237" s="525"/>
      <c r="BJ237" s="525"/>
      <c r="BK237" s="525"/>
      <c r="BL237" s="525"/>
      <c r="BM237" s="525"/>
      <c r="BN237" s="525"/>
      <c r="BO237" s="525"/>
      <c r="BP237" s="525"/>
      <c r="BQ237" s="525"/>
      <c r="BR237" s="525"/>
      <c r="BS237" s="525"/>
      <c r="BT237" s="525"/>
      <c r="BU237" s="525"/>
      <c r="BV237" s="525"/>
      <c r="BW237" s="525"/>
      <c r="BX237" s="525"/>
      <c r="BY237" s="525"/>
    </row>
    <row r="238" spans="1:77" x14ac:dyDescent="0.3">
      <c r="A238" s="551"/>
      <c r="B238" s="548"/>
      <c r="C238" s="525"/>
      <c r="D238" s="525"/>
      <c r="E238" s="619" t="str">
        <f>"BCF net comm.: "&amp;E$155</f>
        <v>BCF net comm.: FY27 Tranche</v>
      </c>
      <c r="F238" s="525"/>
      <c r="G238" s="525"/>
      <c r="H238" s="525"/>
      <c r="I238" s="525"/>
      <c r="J238" s="525"/>
      <c r="K238" s="525"/>
      <c r="L238" s="525"/>
      <c r="M238" s="525"/>
      <c r="N238" s="525"/>
      <c r="O238" s="525"/>
      <c r="P238" s="565"/>
      <c r="Q238" s="525"/>
      <c r="R238" s="527">
        <f t="shared" ref="R238:AW238" si="325">($R155*R$581*R490)+((($R155*R$581)+R205)*R482)</f>
        <v>83960.269920463761</v>
      </c>
      <c r="S238" s="527">
        <f t="shared" si="325"/>
        <v>83960.269920463761</v>
      </c>
      <c r="T238" s="527">
        <f t="shared" si="325"/>
        <v>83960.269920463761</v>
      </c>
      <c r="U238" s="527">
        <f t="shared" si="325"/>
        <v>83960.269920463761</v>
      </c>
      <c r="V238" s="527">
        <f t="shared" si="325"/>
        <v>83960.269920463761</v>
      </c>
      <c r="W238" s="527">
        <f t="shared" si="325"/>
        <v>83960.269920463761</v>
      </c>
      <c r="X238" s="527">
        <f t="shared" si="325"/>
        <v>97194.023225429308</v>
      </c>
      <c r="Y238" s="527">
        <f t="shared" si="325"/>
        <v>97194.023225429308</v>
      </c>
      <c r="Z238" s="527">
        <f t="shared" si="325"/>
        <v>97194.023225429308</v>
      </c>
      <c r="AA238" s="527">
        <f t="shared" si="325"/>
        <v>97194.023225429308</v>
      </c>
      <c r="AB238" s="527">
        <f t="shared" si="325"/>
        <v>97194.023225429308</v>
      </c>
      <c r="AC238" s="527">
        <f t="shared" si="325"/>
        <v>97194.023225429308</v>
      </c>
      <c r="AD238" s="527">
        <f t="shared" si="325"/>
        <v>98702.519115211617</v>
      </c>
      <c r="AE238" s="527">
        <f t="shared" si="325"/>
        <v>98702.519115211617</v>
      </c>
      <c r="AF238" s="527">
        <f t="shared" si="325"/>
        <v>98702.519115211617</v>
      </c>
      <c r="AG238" s="527">
        <f t="shared" si="325"/>
        <v>98702.519115211617</v>
      </c>
      <c r="AH238" s="527">
        <f t="shared" si="325"/>
        <v>98702.519115211617</v>
      </c>
      <c r="AI238" s="527">
        <f t="shared" si="325"/>
        <v>98702.519115211617</v>
      </c>
      <c r="AJ238" s="527">
        <f t="shared" si="325"/>
        <v>102341.33947315066</v>
      </c>
      <c r="AK238" s="527">
        <f t="shared" si="325"/>
        <v>102341.33947315066</v>
      </c>
      <c r="AL238" s="527">
        <f t="shared" si="325"/>
        <v>102341.33947315066</v>
      </c>
      <c r="AM238" s="527">
        <f t="shared" si="325"/>
        <v>102341.33947315066</v>
      </c>
      <c r="AN238" s="527">
        <f t="shared" si="325"/>
        <v>102341.33947315066</v>
      </c>
      <c r="AO238" s="527">
        <f t="shared" si="325"/>
        <v>102341.33947315066</v>
      </c>
      <c r="AP238" s="527">
        <f t="shared" si="325"/>
        <v>103855.05337738877</v>
      </c>
      <c r="AQ238" s="527">
        <f t="shared" si="325"/>
        <v>103855.05337738877</v>
      </c>
      <c r="AR238" s="527">
        <f t="shared" si="325"/>
        <v>103855.05337738877</v>
      </c>
      <c r="AS238" s="527">
        <f t="shared" si="325"/>
        <v>103855.05337738877</v>
      </c>
      <c r="AT238" s="527">
        <f t="shared" si="325"/>
        <v>103855.05337738877</v>
      </c>
      <c r="AU238" s="527">
        <f t="shared" si="325"/>
        <v>103855.05337738877</v>
      </c>
      <c r="AV238" s="527">
        <f t="shared" si="325"/>
        <v>107651.13091631333</v>
      </c>
      <c r="AW238" s="527">
        <f t="shared" si="325"/>
        <v>107651.13091631333</v>
      </c>
      <c r="AX238" s="527">
        <f t="shared" ref="AX238:BY238" si="326">($R155*AX$581*AX490)+((($R155*AX$581)+AX205)*AX482)</f>
        <v>107651.13091631333</v>
      </c>
      <c r="AY238" s="527">
        <f t="shared" si="326"/>
        <v>107651.13091631333</v>
      </c>
      <c r="AZ238" s="527">
        <f t="shared" si="326"/>
        <v>107651.13091631333</v>
      </c>
      <c r="BA238" s="527">
        <f t="shared" si="326"/>
        <v>107651.13091631333</v>
      </c>
      <c r="BB238" s="527">
        <f t="shared" si="326"/>
        <v>109233.56742517919</v>
      </c>
      <c r="BC238" s="527">
        <f t="shared" si="326"/>
        <v>109233.56742517919</v>
      </c>
      <c r="BD238" s="527">
        <f t="shared" si="326"/>
        <v>109233.56742517919</v>
      </c>
      <c r="BE238" s="527">
        <f t="shared" si="326"/>
        <v>109233.56742517919</v>
      </c>
      <c r="BF238" s="527">
        <f t="shared" si="326"/>
        <v>109233.56742517919</v>
      </c>
      <c r="BG238" s="527">
        <f t="shared" si="326"/>
        <v>109233.56742517919</v>
      </c>
      <c r="BH238" s="527">
        <f t="shared" si="326"/>
        <v>113192.48312003927</v>
      </c>
      <c r="BI238" s="527">
        <f t="shared" si="326"/>
        <v>113192.48312003927</v>
      </c>
      <c r="BJ238" s="527">
        <f t="shared" si="326"/>
        <v>113192.48312003927</v>
      </c>
      <c r="BK238" s="527">
        <f t="shared" si="326"/>
        <v>113192.48312003927</v>
      </c>
      <c r="BL238" s="527">
        <f t="shared" si="326"/>
        <v>113192.48312003927</v>
      </c>
      <c r="BM238" s="527">
        <f t="shared" si="326"/>
        <v>113192.48312003927</v>
      </c>
      <c r="BN238" s="527">
        <f t="shared" si="326"/>
        <v>114903.27088729988</v>
      </c>
      <c r="BO238" s="527">
        <f t="shared" si="326"/>
        <v>114903.27088729988</v>
      </c>
      <c r="BP238" s="527">
        <f t="shared" si="326"/>
        <v>114903.27088729988</v>
      </c>
      <c r="BQ238" s="527">
        <f t="shared" si="326"/>
        <v>114903.27088729988</v>
      </c>
      <c r="BR238" s="527">
        <f t="shared" si="326"/>
        <v>114903.27088729988</v>
      </c>
      <c r="BS238" s="527">
        <f t="shared" si="326"/>
        <v>114903.27088729988</v>
      </c>
      <c r="BT238" s="527">
        <f t="shared" si="326"/>
        <v>119031.39161130284</v>
      </c>
      <c r="BU238" s="527">
        <f t="shared" si="326"/>
        <v>119031.39161130284</v>
      </c>
      <c r="BV238" s="527">
        <f t="shared" si="326"/>
        <v>119031.39161130284</v>
      </c>
      <c r="BW238" s="527">
        <f t="shared" si="326"/>
        <v>119031.39161130284</v>
      </c>
      <c r="BX238" s="527">
        <f t="shared" si="326"/>
        <v>119031.39161130284</v>
      </c>
      <c r="BY238" s="527">
        <f t="shared" si="326"/>
        <v>119031.39161130284</v>
      </c>
    </row>
    <row r="239" spans="1:77" x14ac:dyDescent="0.3">
      <c r="A239" s="551"/>
      <c r="B239" s="548"/>
      <c r="C239" s="525"/>
      <c r="D239" s="525"/>
      <c r="E239" s="619" t="str">
        <f>"BCF net comm.: "&amp;E$156</f>
        <v>BCF net comm.: FY28 Tranche</v>
      </c>
      <c r="F239" s="525"/>
      <c r="G239" s="525"/>
      <c r="H239" s="525"/>
      <c r="I239" s="525"/>
      <c r="J239" s="525"/>
      <c r="K239" s="525"/>
      <c r="L239" s="525"/>
      <c r="M239" s="525"/>
      <c r="N239" s="525"/>
      <c r="O239" s="525"/>
      <c r="P239" s="565"/>
      <c r="Q239" s="525"/>
      <c r="R239" s="527">
        <f t="shared" ref="R239:AW239" si="327">($R156*R$581*R491)+((($R156*R$581)+R206)*R483)</f>
        <v>83960.269920463761</v>
      </c>
      <c r="S239" s="527">
        <f t="shared" si="327"/>
        <v>83960.269920463761</v>
      </c>
      <c r="T239" s="527">
        <f t="shared" si="327"/>
        <v>83960.269920463761</v>
      </c>
      <c r="U239" s="527">
        <f t="shared" si="327"/>
        <v>83960.269920463761</v>
      </c>
      <c r="V239" s="527">
        <f t="shared" si="327"/>
        <v>83960.269920463761</v>
      </c>
      <c r="W239" s="527">
        <f t="shared" si="327"/>
        <v>83960.269920463761</v>
      </c>
      <c r="X239" s="527">
        <f t="shared" si="327"/>
        <v>83960.269920463761</v>
      </c>
      <c r="Y239" s="527">
        <f t="shared" si="327"/>
        <v>83960.269920463761</v>
      </c>
      <c r="Z239" s="527">
        <f t="shared" si="327"/>
        <v>83960.269920463761</v>
      </c>
      <c r="AA239" s="527">
        <f t="shared" si="327"/>
        <v>83960.269920463761</v>
      </c>
      <c r="AB239" s="527">
        <f t="shared" si="327"/>
        <v>83960.269920463761</v>
      </c>
      <c r="AC239" s="527">
        <f t="shared" si="327"/>
        <v>83960.269920463761</v>
      </c>
      <c r="AD239" s="527">
        <f t="shared" si="327"/>
        <v>88543.949472515946</v>
      </c>
      <c r="AE239" s="527">
        <f t="shared" si="327"/>
        <v>88543.949472515946</v>
      </c>
      <c r="AF239" s="527">
        <f t="shared" si="327"/>
        <v>88543.949472515946</v>
      </c>
      <c r="AG239" s="527">
        <f t="shared" si="327"/>
        <v>88543.949472515946</v>
      </c>
      <c r="AH239" s="527">
        <f t="shared" si="327"/>
        <v>88543.949472515946</v>
      </c>
      <c r="AI239" s="527">
        <f t="shared" si="327"/>
        <v>88543.949472515946</v>
      </c>
      <c r="AJ239" s="527">
        <f t="shared" si="327"/>
        <v>102142.3993937201</v>
      </c>
      <c r="AK239" s="527">
        <f t="shared" si="327"/>
        <v>102142.3993937201</v>
      </c>
      <c r="AL239" s="527">
        <f t="shared" si="327"/>
        <v>102142.3993937201</v>
      </c>
      <c r="AM239" s="527">
        <f t="shared" si="327"/>
        <v>102142.3993937201</v>
      </c>
      <c r="AN239" s="527">
        <f t="shared" si="327"/>
        <v>102142.3993937201</v>
      </c>
      <c r="AO239" s="527">
        <f t="shared" si="327"/>
        <v>102142.3993937201</v>
      </c>
      <c r="AP239" s="527">
        <f t="shared" si="327"/>
        <v>103655.49801306726</v>
      </c>
      <c r="AQ239" s="527">
        <f t="shared" si="327"/>
        <v>103655.49801306726</v>
      </c>
      <c r="AR239" s="527">
        <f t="shared" si="327"/>
        <v>103655.49801306726</v>
      </c>
      <c r="AS239" s="527">
        <f t="shared" si="327"/>
        <v>103655.49801306726</v>
      </c>
      <c r="AT239" s="527">
        <f t="shared" si="327"/>
        <v>103655.49801306726</v>
      </c>
      <c r="AU239" s="527">
        <f t="shared" si="327"/>
        <v>103655.49801306726</v>
      </c>
      <c r="AV239" s="527">
        <f t="shared" si="327"/>
        <v>107443.59333741896</v>
      </c>
      <c r="AW239" s="527">
        <f t="shared" si="327"/>
        <v>107443.59333741896</v>
      </c>
      <c r="AX239" s="527">
        <f t="shared" ref="AX239:BY239" si="328">($R156*AX$581*AX491)+((($R156*AX$581)+AX206)*AX483)</f>
        <v>107443.59333741896</v>
      </c>
      <c r="AY239" s="527">
        <f t="shared" si="328"/>
        <v>107443.59333741896</v>
      </c>
      <c r="AZ239" s="527">
        <f t="shared" si="328"/>
        <v>107443.59333741896</v>
      </c>
      <c r="BA239" s="527">
        <f t="shared" si="328"/>
        <v>107443.59333741896</v>
      </c>
      <c r="BB239" s="527">
        <f t="shared" si="328"/>
        <v>109025.45184911281</v>
      </c>
      <c r="BC239" s="527">
        <f t="shared" si="328"/>
        <v>109025.45184911281</v>
      </c>
      <c r="BD239" s="527">
        <f t="shared" si="328"/>
        <v>109025.45184911281</v>
      </c>
      <c r="BE239" s="527">
        <f t="shared" si="328"/>
        <v>109025.45184911281</v>
      </c>
      <c r="BF239" s="527">
        <f t="shared" si="328"/>
        <v>109025.45184911281</v>
      </c>
      <c r="BG239" s="527">
        <f t="shared" si="328"/>
        <v>109025.45184911281</v>
      </c>
      <c r="BH239" s="527">
        <f t="shared" si="328"/>
        <v>112976.04292093022</v>
      </c>
      <c r="BI239" s="527">
        <f t="shared" si="328"/>
        <v>112976.04292093022</v>
      </c>
      <c r="BJ239" s="527">
        <f t="shared" si="328"/>
        <v>112976.04292093022</v>
      </c>
      <c r="BK239" s="527">
        <f t="shared" si="328"/>
        <v>112976.04292093022</v>
      </c>
      <c r="BL239" s="527">
        <f t="shared" si="328"/>
        <v>112976.04292093022</v>
      </c>
      <c r="BM239" s="527">
        <f t="shared" si="328"/>
        <v>112976.04292093022</v>
      </c>
      <c r="BN239" s="527">
        <f t="shared" si="328"/>
        <v>114686.2604003974</v>
      </c>
      <c r="BO239" s="527">
        <f t="shared" si="328"/>
        <v>114686.2604003974</v>
      </c>
      <c r="BP239" s="527">
        <f t="shared" si="328"/>
        <v>114686.2604003974</v>
      </c>
      <c r="BQ239" s="527">
        <f t="shared" si="328"/>
        <v>114686.2604003974</v>
      </c>
      <c r="BR239" s="527">
        <f t="shared" si="328"/>
        <v>114686.2604003974</v>
      </c>
      <c r="BS239" s="527">
        <f t="shared" si="328"/>
        <v>114686.2604003974</v>
      </c>
      <c r="BT239" s="527">
        <f t="shared" si="328"/>
        <v>118805.70070492427</v>
      </c>
      <c r="BU239" s="527">
        <f t="shared" si="328"/>
        <v>118805.70070492427</v>
      </c>
      <c r="BV239" s="527">
        <f t="shared" si="328"/>
        <v>118805.70070492427</v>
      </c>
      <c r="BW239" s="527">
        <f t="shared" si="328"/>
        <v>118805.70070492427</v>
      </c>
      <c r="BX239" s="527">
        <f t="shared" si="328"/>
        <v>118805.70070492427</v>
      </c>
      <c r="BY239" s="527">
        <f t="shared" si="328"/>
        <v>118805.70070492427</v>
      </c>
    </row>
    <row r="240" spans="1:77" x14ac:dyDescent="0.3">
      <c r="A240" s="551"/>
      <c r="B240" s="548"/>
      <c r="C240" s="525"/>
      <c r="D240" s="525"/>
      <c r="E240" s="619" t="str">
        <f>"BCF net comm.: "&amp;E$157</f>
        <v>BCF net comm.: FY29 Tranche</v>
      </c>
      <c r="F240" s="525"/>
      <c r="G240" s="525"/>
      <c r="H240" s="525"/>
      <c r="I240" s="525"/>
      <c r="J240" s="525"/>
      <c r="K240" s="525"/>
      <c r="L240" s="525"/>
      <c r="M240" s="525"/>
      <c r="N240" s="525"/>
      <c r="O240" s="525"/>
      <c r="P240" s="565"/>
      <c r="Q240" s="525"/>
      <c r="R240" s="527">
        <f t="shared" ref="R240:AW240" si="329">($R157*R$581*R492)+((($R157*R$581)+R207)*R484)</f>
        <v>83960.269920463761</v>
      </c>
      <c r="S240" s="527">
        <f t="shared" si="329"/>
        <v>83960.269920463761</v>
      </c>
      <c r="T240" s="527">
        <f t="shared" si="329"/>
        <v>83960.269920463761</v>
      </c>
      <c r="U240" s="527">
        <f t="shared" si="329"/>
        <v>83960.269920463761</v>
      </c>
      <c r="V240" s="527">
        <f t="shared" si="329"/>
        <v>83960.269920463761</v>
      </c>
      <c r="W240" s="527">
        <f t="shared" si="329"/>
        <v>83960.269920463761</v>
      </c>
      <c r="X240" s="527">
        <f t="shared" si="329"/>
        <v>83960.269920463761</v>
      </c>
      <c r="Y240" s="527">
        <f t="shared" si="329"/>
        <v>83960.269920463761</v>
      </c>
      <c r="Z240" s="527">
        <f t="shared" si="329"/>
        <v>83960.269920463761</v>
      </c>
      <c r="AA240" s="527">
        <f t="shared" si="329"/>
        <v>83960.269920463761</v>
      </c>
      <c r="AB240" s="527">
        <f t="shared" si="329"/>
        <v>83960.269920463761</v>
      </c>
      <c r="AC240" s="527">
        <f t="shared" si="329"/>
        <v>83960.269920463761</v>
      </c>
      <c r="AD240" s="527">
        <f t="shared" si="329"/>
        <v>88543.949472515946</v>
      </c>
      <c r="AE240" s="527">
        <f t="shared" si="329"/>
        <v>88543.949472515946</v>
      </c>
      <c r="AF240" s="527">
        <f t="shared" si="329"/>
        <v>88543.949472515946</v>
      </c>
      <c r="AG240" s="527">
        <f t="shared" si="329"/>
        <v>88543.949472515946</v>
      </c>
      <c r="AH240" s="527">
        <f t="shared" si="329"/>
        <v>88543.949472515946</v>
      </c>
      <c r="AI240" s="527">
        <f t="shared" si="329"/>
        <v>88543.949472515946</v>
      </c>
      <c r="AJ240" s="527">
        <f t="shared" si="329"/>
        <v>88543.949472515946</v>
      </c>
      <c r="AK240" s="527">
        <f t="shared" si="329"/>
        <v>88543.949472515946</v>
      </c>
      <c r="AL240" s="527">
        <f t="shared" si="329"/>
        <v>88543.949472515946</v>
      </c>
      <c r="AM240" s="527">
        <f t="shared" si="329"/>
        <v>88543.949472515946</v>
      </c>
      <c r="AN240" s="527">
        <f t="shared" si="329"/>
        <v>88543.949472515946</v>
      </c>
      <c r="AO240" s="527">
        <f t="shared" si="329"/>
        <v>88543.949472515946</v>
      </c>
      <c r="AP240" s="527">
        <f t="shared" si="329"/>
        <v>93119.272075021057</v>
      </c>
      <c r="AQ240" s="527">
        <f t="shared" si="329"/>
        <v>93119.272075021057</v>
      </c>
      <c r="AR240" s="527">
        <f t="shared" si="329"/>
        <v>93119.272075021057</v>
      </c>
      <c r="AS240" s="527">
        <f t="shared" si="329"/>
        <v>93119.272075021057</v>
      </c>
      <c r="AT240" s="527">
        <f t="shared" si="329"/>
        <v>93119.272075021057</v>
      </c>
      <c r="AU240" s="527">
        <f t="shared" si="329"/>
        <v>93119.272075021057</v>
      </c>
      <c r="AV240" s="527">
        <f t="shared" si="329"/>
        <v>107066.06914751318</v>
      </c>
      <c r="AW240" s="527">
        <f t="shared" si="329"/>
        <v>107066.06914751318</v>
      </c>
      <c r="AX240" s="527">
        <f t="shared" ref="AX240:BY240" si="330">($R157*AX$581*AX492)+((($R157*AX$581)+AX207)*AX484)</f>
        <v>107066.06914751318</v>
      </c>
      <c r="AY240" s="527">
        <f t="shared" si="330"/>
        <v>107066.06914751318</v>
      </c>
      <c r="AZ240" s="527">
        <f t="shared" si="330"/>
        <v>107066.06914751318</v>
      </c>
      <c r="BA240" s="527">
        <f t="shared" si="330"/>
        <v>107066.06914751318</v>
      </c>
      <c r="BB240" s="527">
        <f t="shared" si="330"/>
        <v>108646.87624521591</v>
      </c>
      <c r="BC240" s="527">
        <f t="shared" si="330"/>
        <v>108646.87624521591</v>
      </c>
      <c r="BD240" s="527">
        <f t="shared" si="330"/>
        <v>108646.87624521591</v>
      </c>
      <c r="BE240" s="527">
        <f t="shared" si="330"/>
        <v>108646.87624521591</v>
      </c>
      <c r="BF240" s="527">
        <f t="shared" si="330"/>
        <v>108646.87624521591</v>
      </c>
      <c r="BG240" s="527">
        <f t="shared" si="330"/>
        <v>108646.87624521591</v>
      </c>
      <c r="BH240" s="527">
        <f t="shared" si="330"/>
        <v>112582.32429287746</v>
      </c>
      <c r="BI240" s="527">
        <f t="shared" si="330"/>
        <v>112582.32429287746</v>
      </c>
      <c r="BJ240" s="527">
        <f t="shared" si="330"/>
        <v>112582.32429287746</v>
      </c>
      <c r="BK240" s="527">
        <f t="shared" si="330"/>
        <v>112582.32429287746</v>
      </c>
      <c r="BL240" s="527">
        <f t="shared" si="330"/>
        <v>112582.32429287746</v>
      </c>
      <c r="BM240" s="527">
        <f t="shared" si="330"/>
        <v>112582.32429287746</v>
      </c>
      <c r="BN240" s="527">
        <f t="shared" si="330"/>
        <v>114291.50438220846</v>
      </c>
      <c r="BO240" s="527">
        <f t="shared" si="330"/>
        <v>114291.50438220846</v>
      </c>
      <c r="BP240" s="527">
        <f t="shared" si="330"/>
        <v>114291.50438220846</v>
      </c>
      <c r="BQ240" s="527">
        <f t="shared" si="330"/>
        <v>114291.50438220846</v>
      </c>
      <c r="BR240" s="527">
        <f t="shared" si="330"/>
        <v>114291.50438220846</v>
      </c>
      <c r="BS240" s="527">
        <f t="shared" si="330"/>
        <v>114291.50438220846</v>
      </c>
      <c r="BT240" s="527">
        <f t="shared" si="330"/>
        <v>118395.15444600777</v>
      </c>
      <c r="BU240" s="527">
        <f t="shared" si="330"/>
        <v>118395.15444600777</v>
      </c>
      <c r="BV240" s="527">
        <f t="shared" si="330"/>
        <v>118395.15444600777</v>
      </c>
      <c r="BW240" s="527">
        <f t="shared" si="330"/>
        <v>118395.15444600777</v>
      </c>
      <c r="BX240" s="527">
        <f t="shared" si="330"/>
        <v>118395.15444600777</v>
      </c>
      <c r="BY240" s="527">
        <f t="shared" si="330"/>
        <v>118395.15444600777</v>
      </c>
    </row>
    <row r="241" spans="1:77" x14ac:dyDescent="0.3">
      <c r="A241" s="551"/>
      <c r="B241" s="548"/>
      <c r="C241" s="525"/>
      <c r="D241" s="525"/>
      <c r="E241" s="619" t="str">
        <f>"BCF net comm.: "&amp;E$158</f>
        <v>BCF net comm.: FY30 Tranche</v>
      </c>
      <c r="F241" s="525"/>
      <c r="G241" s="525"/>
      <c r="H241" s="525"/>
      <c r="I241" s="525"/>
      <c r="J241" s="525"/>
      <c r="K241" s="525"/>
      <c r="L241" s="525"/>
      <c r="M241" s="525"/>
      <c r="N241" s="525"/>
      <c r="O241" s="525"/>
      <c r="P241" s="565"/>
      <c r="Q241" s="525"/>
      <c r="R241" s="527">
        <f t="shared" ref="R241:AW241" si="331">($R158*R$581*R493)+((($R158*R$581)+R208)*R485)</f>
        <v>83960.269920463761</v>
      </c>
      <c r="S241" s="527">
        <f t="shared" si="331"/>
        <v>83960.269920463761</v>
      </c>
      <c r="T241" s="527">
        <f t="shared" si="331"/>
        <v>83960.269920463761</v>
      </c>
      <c r="U241" s="527">
        <f t="shared" si="331"/>
        <v>83960.269920463761</v>
      </c>
      <c r="V241" s="527">
        <f t="shared" si="331"/>
        <v>83960.269920463761</v>
      </c>
      <c r="W241" s="527">
        <f t="shared" si="331"/>
        <v>83960.269920463761</v>
      </c>
      <c r="X241" s="527">
        <f t="shared" si="331"/>
        <v>83960.269920463761</v>
      </c>
      <c r="Y241" s="527">
        <f t="shared" si="331"/>
        <v>83960.269920463761</v>
      </c>
      <c r="Z241" s="527">
        <f t="shared" si="331"/>
        <v>83960.269920463761</v>
      </c>
      <c r="AA241" s="527">
        <f t="shared" si="331"/>
        <v>83960.269920463761</v>
      </c>
      <c r="AB241" s="527">
        <f t="shared" si="331"/>
        <v>83960.269920463761</v>
      </c>
      <c r="AC241" s="527">
        <f t="shared" si="331"/>
        <v>83960.269920463761</v>
      </c>
      <c r="AD241" s="527">
        <f t="shared" si="331"/>
        <v>88543.949472515946</v>
      </c>
      <c r="AE241" s="527">
        <f t="shared" si="331"/>
        <v>88543.949472515946</v>
      </c>
      <c r="AF241" s="527">
        <f t="shared" si="331"/>
        <v>88543.949472515946</v>
      </c>
      <c r="AG241" s="527">
        <f t="shared" si="331"/>
        <v>88543.949472515946</v>
      </c>
      <c r="AH241" s="527">
        <f t="shared" si="331"/>
        <v>88543.949472515946</v>
      </c>
      <c r="AI241" s="527">
        <f t="shared" si="331"/>
        <v>88543.949472515946</v>
      </c>
      <c r="AJ241" s="527">
        <f t="shared" si="331"/>
        <v>88543.949472515946</v>
      </c>
      <c r="AK241" s="527">
        <f t="shared" si="331"/>
        <v>88543.949472515946</v>
      </c>
      <c r="AL241" s="527">
        <f t="shared" si="331"/>
        <v>88543.949472515946</v>
      </c>
      <c r="AM241" s="527">
        <f t="shared" si="331"/>
        <v>88543.949472515946</v>
      </c>
      <c r="AN241" s="527">
        <f t="shared" si="331"/>
        <v>88543.949472515946</v>
      </c>
      <c r="AO241" s="527">
        <f t="shared" si="331"/>
        <v>88543.949472515946</v>
      </c>
      <c r="AP241" s="527">
        <f t="shared" si="331"/>
        <v>93119.272075021057</v>
      </c>
      <c r="AQ241" s="527">
        <f t="shared" si="331"/>
        <v>93119.272075021057</v>
      </c>
      <c r="AR241" s="527">
        <f t="shared" si="331"/>
        <v>93119.272075021057</v>
      </c>
      <c r="AS241" s="527">
        <f t="shared" si="331"/>
        <v>93119.272075021057</v>
      </c>
      <c r="AT241" s="527">
        <f t="shared" si="331"/>
        <v>93119.272075021057</v>
      </c>
      <c r="AU241" s="527">
        <f t="shared" si="331"/>
        <v>93119.272075021057</v>
      </c>
      <c r="AV241" s="527">
        <f t="shared" si="331"/>
        <v>93119.272075021057</v>
      </c>
      <c r="AW241" s="527">
        <f t="shared" si="331"/>
        <v>93119.272075021057</v>
      </c>
      <c r="AX241" s="527">
        <f t="shared" ref="AX241:BY241" si="332">($R158*AX$581*AX493)+((($R158*AX$581)+AX208)*AX485)</f>
        <v>93119.272075021057</v>
      </c>
      <c r="AY241" s="527">
        <f t="shared" si="332"/>
        <v>93119.272075021057</v>
      </c>
      <c r="AZ241" s="527">
        <f t="shared" si="332"/>
        <v>93119.272075021057</v>
      </c>
      <c r="BA241" s="527">
        <f t="shared" si="332"/>
        <v>93119.272075021057</v>
      </c>
      <c r="BB241" s="527">
        <f t="shared" si="332"/>
        <v>97650.374826232699</v>
      </c>
      <c r="BC241" s="527">
        <f t="shared" si="332"/>
        <v>97650.374826232699</v>
      </c>
      <c r="BD241" s="527">
        <f t="shared" si="332"/>
        <v>97650.374826232699</v>
      </c>
      <c r="BE241" s="527">
        <f t="shared" si="332"/>
        <v>97650.374826232699</v>
      </c>
      <c r="BF241" s="527">
        <f t="shared" si="332"/>
        <v>97650.374826232699</v>
      </c>
      <c r="BG241" s="527">
        <f t="shared" si="332"/>
        <v>97650.374826232699</v>
      </c>
      <c r="BH241" s="527">
        <f t="shared" si="332"/>
        <v>111925.20392178961</v>
      </c>
      <c r="BI241" s="527">
        <f t="shared" si="332"/>
        <v>111925.20392178961</v>
      </c>
      <c r="BJ241" s="527">
        <f t="shared" si="332"/>
        <v>111925.20392178961</v>
      </c>
      <c r="BK241" s="527">
        <f t="shared" si="332"/>
        <v>111925.20392178961</v>
      </c>
      <c r="BL241" s="527">
        <f t="shared" si="332"/>
        <v>111925.20392178961</v>
      </c>
      <c r="BM241" s="527">
        <f t="shared" si="332"/>
        <v>111925.20392178961</v>
      </c>
      <c r="BN241" s="527">
        <f t="shared" si="332"/>
        <v>113632.65259649431</v>
      </c>
      <c r="BO241" s="527">
        <f t="shared" si="332"/>
        <v>113632.65259649431</v>
      </c>
      <c r="BP241" s="527">
        <f t="shared" si="332"/>
        <v>113632.65259649431</v>
      </c>
      <c r="BQ241" s="527">
        <f t="shared" si="332"/>
        <v>113632.65259649431</v>
      </c>
      <c r="BR241" s="527">
        <f t="shared" si="332"/>
        <v>113632.65259649431</v>
      </c>
      <c r="BS241" s="527">
        <f t="shared" si="332"/>
        <v>113632.65259649431</v>
      </c>
      <c r="BT241" s="527">
        <f t="shared" si="332"/>
        <v>117709.94858886507</v>
      </c>
      <c r="BU241" s="527">
        <f t="shared" si="332"/>
        <v>117709.94858886507</v>
      </c>
      <c r="BV241" s="527">
        <f t="shared" si="332"/>
        <v>117709.94858886507</v>
      </c>
      <c r="BW241" s="527">
        <f t="shared" si="332"/>
        <v>117709.94858886507</v>
      </c>
      <c r="BX241" s="527">
        <f t="shared" si="332"/>
        <v>117709.94858886507</v>
      </c>
      <c r="BY241" s="527">
        <f t="shared" si="332"/>
        <v>117709.94858886507</v>
      </c>
    </row>
    <row r="242" spans="1:77" x14ac:dyDescent="0.3">
      <c r="A242" s="551"/>
      <c r="B242" s="548"/>
      <c r="C242" s="525"/>
      <c r="D242" s="525"/>
      <c r="E242" s="619" t="str">
        <f>"BCF net comm.: "&amp;E$159</f>
        <v>BCF net comm.: FY31 Tranche</v>
      </c>
      <c r="F242" s="525"/>
      <c r="G242" s="525"/>
      <c r="H242" s="525"/>
      <c r="I242" s="525"/>
      <c r="J242" s="525"/>
      <c r="K242" s="525"/>
      <c r="L242" s="525"/>
      <c r="M242" s="525"/>
      <c r="N242" s="525"/>
      <c r="O242" s="525"/>
      <c r="P242" s="565"/>
      <c r="Q242" s="525"/>
      <c r="R242" s="527">
        <f t="shared" ref="R242:AW242" si="333">($R159*R$581*R494)+((($R159*R$581)+R209)*R486)</f>
        <v>83960.269920463761</v>
      </c>
      <c r="S242" s="527">
        <f t="shared" si="333"/>
        <v>83960.269920463761</v>
      </c>
      <c r="T242" s="527">
        <f t="shared" si="333"/>
        <v>83960.269920463761</v>
      </c>
      <c r="U242" s="527">
        <f t="shared" si="333"/>
        <v>83960.269920463761</v>
      </c>
      <c r="V242" s="527">
        <f t="shared" si="333"/>
        <v>83960.269920463761</v>
      </c>
      <c r="W242" s="527">
        <f t="shared" si="333"/>
        <v>83960.269920463761</v>
      </c>
      <c r="X242" s="527">
        <f t="shared" si="333"/>
        <v>83960.269920463761</v>
      </c>
      <c r="Y242" s="527">
        <f t="shared" si="333"/>
        <v>83960.269920463761</v>
      </c>
      <c r="Z242" s="527">
        <f t="shared" si="333"/>
        <v>83960.269920463761</v>
      </c>
      <c r="AA242" s="527">
        <f t="shared" si="333"/>
        <v>83960.269920463761</v>
      </c>
      <c r="AB242" s="527">
        <f t="shared" si="333"/>
        <v>83960.269920463761</v>
      </c>
      <c r="AC242" s="527">
        <f t="shared" si="333"/>
        <v>83960.269920463761</v>
      </c>
      <c r="AD242" s="527">
        <f t="shared" si="333"/>
        <v>88543.949472515946</v>
      </c>
      <c r="AE242" s="527">
        <f t="shared" si="333"/>
        <v>88543.949472515946</v>
      </c>
      <c r="AF242" s="527">
        <f t="shared" si="333"/>
        <v>88543.949472515946</v>
      </c>
      <c r="AG242" s="527">
        <f t="shared" si="333"/>
        <v>88543.949472515946</v>
      </c>
      <c r="AH242" s="527">
        <f t="shared" si="333"/>
        <v>88543.949472515946</v>
      </c>
      <c r="AI242" s="527">
        <f t="shared" si="333"/>
        <v>88543.949472515946</v>
      </c>
      <c r="AJ242" s="527">
        <f t="shared" si="333"/>
        <v>88543.949472515946</v>
      </c>
      <c r="AK242" s="527">
        <f t="shared" si="333"/>
        <v>88543.949472515946</v>
      </c>
      <c r="AL242" s="527">
        <f t="shared" si="333"/>
        <v>88543.949472515946</v>
      </c>
      <c r="AM242" s="527">
        <f t="shared" si="333"/>
        <v>88543.949472515946</v>
      </c>
      <c r="AN242" s="527">
        <f t="shared" si="333"/>
        <v>88543.949472515946</v>
      </c>
      <c r="AO242" s="527">
        <f t="shared" si="333"/>
        <v>88543.949472515946</v>
      </c>
      <c r="AP242" s="527">
        <f t="shared" si="333"/>
        <v>93119.272075021057</v>
      </c>
      <c r="AQ242" s="527">
        <f t="shared" si="333"/>
        <v>93119.272075021057</v>
      </c>
      <c r="AR242" s="527">
        <f t="shared" si="333"/>
        <v>93119.272075021057</v>
      </c>
      <c r="AS242" s="527">
        <f t="shared" si="333"/>
        <v>93119.272075021057</v>
      </c>
      <c r="AT242" s="527">
        <f t="shared" si="333"/>
        <v>93119.272075021057</v>
      </c>
      <c r="AU242" s="527">
        <f t="shared" si="333"/>
        <v>93119.272075021057</v>
      </c>
      <c r="AV242" s="527">
        <f t="shared" si="333"/>
        <v>93119.272075021057</v>
      </c>
      <c r="AW242" s="527">
        <f t="shared" si="333"/>
        <v>93119.272075021057</v>
      </c>
      <c r="AX242" s="527">
        <f t="shared" ref="AX242:BY242" si="334">($R159*AX$581*AX494)+((($R159*AX$581)+AX209)*AX486)</f>
        <v>93119.272075021057</v>
      </c>
      <c r="AY242" s="527">
        <f t="shared" si="334"/>
        <v>93119.272075021057</v>
      </c>
      <c r="AZ242" s="527">
        <f t="shared" si="334"/>
        <v>93119.272075021057</v>
      </c>
      <c r="BA242" s="527">
        <f t="shared" si="334"/>
        <v>93119.272075021057</v>
      </c>
      <c r="BB242" s="527">
        <f t="shared" si="334"/>
        <v>97650.374826232699</v>
      </c>
      <c r="BC242" s="527">
        <f t="shared" si="334"/>
        <v>97650.374826232699</v>
      </c>
      <c r="BD242" s="527">
        <f t="shared" si="334"/>
        <v>97650.374826232699</v>
      </c>
      <c r="BE242" s="527">
        <f t="shared" si="334"/>
        <v>97650.374826232699</v>
      </c>
      <c r="BF242" s="527">
        <f t="shared" si="334"/>
        <v>97650.374826232699</v>
      </c>
      <c r="BG242" s="527">
        <f t="shared" si="334"/>
        <v>97650.374826232699</v>
      </c>
      <c r="BH242" s="527">
        <f t="shared" si="334"/>
        <v>97650.374826232699</v>
      </c>
      <c r="BI242" s="527">
        <f t="shared" si="334"/>
        <v>97650.374826232699</v>
      </c>
      <c r="BJ242" s="527">
        <f t="shared" si="334"/>
        <v>97650.374826232699</v>
      </c>
      <c r="BK242" s="527">
        <f t="shared" si="334"/>
        <v>97650.374826232699</v>
      </c>
      <c r="BL242" s="527">
        <f t="shared" si="334"/>
        <v>97650.374826232699</v>
      </c>
      <c r="BM242" s="527">
        <f t="shared" si="334"/>
        <v>97650.374826232699</v>
      </c>
      <c r="BN242" s="527">
        <f t="shared" si="334"/>
        <v>102349.69775420878</v>
      </c>
      <c r="BO242" s="527">
        <f t="shared" si="334"/>
        <v>102349.69775420878</v>
      </c>
      <c r="BP242" s="527">
        <f t="shared" si="334"/>
        <v>102349.69775420878</v>
      </c>
      <c r="BQ242" s="527">
        <f t="shared" si="334"/>
        <v>102349.69775420878</v>
      </c>
      <c r="BR242" s="527">
        <f t="shared" si="334"/>
        <v>102349.69775420878</v>
      </c>
      <c r="BS242" s="527">
        <f t="shared" si="334"/>
        <v>102349.69775420878</v>
      </c>
      <c r="BT242" s="527">
        <f t="shared" si="334"/>
        <v>116941.46017825363</v>
      </c>
      <c r="BU242" s="527">
        <f t="shared" si="334"/>
        <v>116941.46017825363</v>
      </c>
      <c r="BV242" s="527">
        <f t="shared" si="334"/>
        <v>116941.46017825363</v>
      </c>
      <c r="BW242" s="527">
        <f t="shared" si="334"/>
        <v>116941.46017825363</v>
      </c>
      <c r="BX242" s="527">
        <f t="shared" si="334"/>
        <v>116941.46017825363</v>
      </c>
      <c r="BY242" s="527">
        <f t="shared" si="334"/>
        <v>116941.46017825363</v>
      </c>
    </row>
    <row r="243" spans="1:77" x14ac:dyDescent="0.3">
      <c r="A243" s="551"/>
      <c r="B243" s="548"/>
      <c r="C243" s="525"/>
      <c r="D243" s="525"/>
      <c r="E243" s="619" t="str">
        <f>"BCF net comm.: "&amp;E$160</f>
        <v>BCF net comm.: Uninvested Tranche</v>
      </c>
      <c r="F243" s="525"/>
      <c r="G243" s="525"/>
      <c r="H243" s="525"/>
      <c r="I243" s="525"/>
      <c r="J243" s="525"/>
      <c r="K243" s="525"/>
      <c r="L243" s="525"/>
      <c r="M243" s="525"/>
      <c r="N243" s="525"/>
      <c r="O243" s="525"/>
      <c r="P243" s="565"/>
      <c r="Q243" s="525"/>
      <c r="R243" s="527">
        <f t="shared" ref="R243:AW243" si="335">($R160*R$581*R495)+((($R160*R$581)+R210)*R487)</f>
        <v>187675.89746927191</v>
      </c>
      <c r="S243" s="527">
        <f t="shared" si="335"/>
        <v>187675.89746927191</v>
      </c>
      <c r="T243" s="527">
        <f t="shared" si="335"/>
        <v>187675.89746927191</v>
      </c>
      <c r="U243" s="527">
        <f t="shared" si="335"/>
        <v>187675.89746927191</v>
      </c>
      <c r="V243" s="527">
        <f t="shared" si="335"/>
        <v>187675.89746927191</v>
      </c>
      <c r="W243" s="527">
        <f t="shared" si="335"/>
        <v>187675.89746927191</v>
      </c>
      <c r="X243" s="527">
        <f t="shared" si="335"/>
        <v>187675.89746927191</v>
      </c>
      <c r="Y243" s="527">
        <f t="shared" si="335"/>
        <v>187675.89746927191</v>
      </c>
      <c r="Z243" s="527">
        <f t="shared" si="335"/>
        <v>187675.89746927191</v>
      </c>
      <c r="AA243" s="527">
        <f t="shared" si="335"/>
        <v>187675.89746927191</v>
      </c>
      <c r="AB243" s="527">
        <f t="shared" si="335"/>
        <v>187675.89746927191</v>
      </c>
      <c r="AC243" s="527">
        <f t="shared" si="335"/>
        <v>187675.89746927191</v>
      </c>
      <c r="AD243" s="527">
        <f t="shared" si="335"/>
        <v>197921.76940915329</v>
      </c>
      <c r="AE243" s="527">
        <f t="shared" si="335"/>
        <v>197921.76940915329</v>
      </c>
      <c r="AF243" s="527">
        <f t="shared" si="335"/>
        <v>197921.76940915329</v>
      </c>
      <c r="AG243" s="527">
        <f t="shared" si="335"/>
        <v>197921.76940915329</v>
      </c>
      <c r="AH243" s="527">
        <f t="shared" si="335"/>
        <v>197921.76940915329</v>
      </c>
      <c r="AI243" s="527">
        <f t="shared" si="335"/>
        <v>197921.76940915329</v>
      </c>
      <c r="AJ243" s="527">
        <f t="shared" si="335"/>
        <v>197921.76940915329</v>
      </c>
      <c r="AK243" s="527">
        <f t="shared" si="335"/>
        <v>197921.76940915329</v>
      </c>
      <c r="AL243" s="527">
        <f t="shared" si="335"/>
        <v>197921.76940915329</v>
      </c>
      <c r="AM243" s="527">
        <f t="shared" si="335"/>
        <v>197921.76940915329</v>
      </c>
      <c r="AN243" s="527">
        <f t="shared" si="335"/>
        <v>197921.76940915329</v>
      </c>
      <c r="AO243" s="527">
        <f t="shared" si="335"/>
        <v>197921.76940915329</v>
      </c>
      <c r="AP243" s="527">
        <f t="shared" si="335"/>
        <v>208148.96110887063</v>
      </c>
      <c r="AQ243" s="527">
        <f t="shared" si="335"/>
        <v>208148.96110887063</v>
      </c>
      <c r="AR243" s="527">
        <f t="shared" si="335"/>
        <v>208148.96110887063</v>
      </c>
      <c r="AS243" s="527">
        <f t="shared" si="335"/>
        <v>208148.96110887063</v>
      </c>
      <c r="AT243" s="527">
        <f t="shared" si="335"/>
        <v>208148.96110887063</v>
      </c>
      <c r="AU243" s="527">
        <f t="shared" si="335"/>
        <v>208148.96110887063</v>
      </c>
      <c r="AV243" s="527">
        <f t="shared" si="335"/>
        <v>208148.96110887063</v>
      </c>
      <c r="AW243" s="527">
        <f t="shared" si="335"/>
        <v>208148.96110887063</v>
      </c>
      <c r="AX243" s="527">
        <f t="shared" ref="AX243:BY243" si="336">($R160*AX$581*AX495)+((($R160*AX$581)+AX210)*AX487)</f>
        <v>208148.96110887063</v>
      </c>
      <c r="AY243" s="527">
        <f t="shared" si="336"/>
        <v>208148.96110887063</v>
      </c>
      <c r="AZ243" s="527">
        <f t="shared" si="336"/>
        <v>208148.96110887063</v>
      </c>
      <c r="BA243" s="527">
        <f t="shared" si="336"/>
        <v>208148.96110887063</v>
      </c>
      <c r="BB243" s="527">
        <f t="shared" si="336"/>
        <v>218277.30843510837</v>
      </c>
      <c r="BC243" s="527">
        <f t="shared" si="336"/>
        <v>218277.30843510837</v>
      </c>
      <c r="BD243" s="527">
        <f t="shared" si="336"/>
        <v>218277.30843510837</v>
      </c>
      <c r="BE243" s="527">
        <f t="shared" si="336"/>
        <v>218277.30843510837</v>
      </c>
      <c r="BF243" s="527">
        <f t="shared" si="336"/>
        <v>218277.30843510837</v>
      </c>
      <c r="BG243" s="527">
        <f t="shared" si="336"/>
        <v>218277.30843510837</v>
      </c>
      <c r="BH243" s="527">
        <f t="shared" si="336"/>
        <v>218277.30843510837</v>
      </c>
      <c r="BI243" s="527">
        <f t="shared" si="336"/>
        <v>218277.30843510837</v>
      </c>
      <c r="BJ243" s="527">
        <f t="shared" si="336"/>
        <v>218277.30843510837</v>
      </c>
      <c r="BK243" s="527">
        <f t="shared" si="336"/>
        <v>218277.30843510837</v>
      </c>
      <c r="BL243" s="527">
        <f t="shared" si="336"/>
        <v>218277.30843510837</v>
      </c>
      <c r="BM243" s="527">
        <f t="shared" si="336"/>
        <v>218277.30843510837</v>
      </c>
      <c r="BN243" s="527">
        <f t="shared" si="336"/>
        <v>228781.67733293725</v>
      </c>
      <c r="BO243" s="527">
        <f t="shared" si="336"/>
        <v>228781.67733293725</v>
      </c>
      <c r="BP243" s="527">
        <f t="shared" si="336"/>
        <v>228781.67733293725</v>
      </c>
      <c r="BQ243" s="527">
        <f t="shared" si="336"/>
        <v>228781.67733293725</v>
      </c>
      <c r="BR243" s="527">
        <f t="shared" si="336"/>
        <v>228781.67733293725</v>
      </c>
      <c r="BS243" s="527">
        <f t="shared" si="336"/>
        <v>228781.67733293725</v>
      </c>
      <c r="BT243" s="527">
        <f t="shared" si="336"/>
        <v>228781.67733293725</v>
      </c>
      <c r="BU243" s="527">
        <f t="shared" si="336"/>
        <v>228781.67733293725</v>
      </c>
      <c r="BV243" s="527">
        <f t="shared" si="336"/>
        <v>228781.67733293725</v>
      </c>
      <c r="BW243" s="527">
        <f t="shared" si="336"/>
        <v>228781.67733293725</v>
      </c>
      <c r="BX243" s="527">
        <f t="shared" si="336"/>
        <v>228781.67733293725</v>
      </c>
      <c r="BY243" s="527">
        <f t="shared" si="336"/>
        <v>228781.67733293725</v>
      </c>
    </row>
    <row r="244" spans="1:77" x14ac:dyDescent="0.3">
      <c r="A244" s="551"/>
      <c r="B244" s="548"/>
      <c r="C244" s="525"/>
      <c r="D244" s="525"/>
      <c r="E244" s="572" t="s">
        <v>36</v>
      </c>
      <c r="F244" s="572"/>
      <c r="G244" s="572"/>
      <c r="H244" s="572"/>
      <c r="I244" s="572"/>
      <c r="J244" s="572"/>
      <c r="K244" s="572"/>
      <c r="L244" s="572"/>
      <c r="M244" s="572"/>
      <c r="N244" s="572"/>
      <c r="O244" s="572"/>
      <c r="P244" s="612"/>
      <c r="Q244" s="572"/>
      <c r="R244" s="530">
        <f t="shared" ref="R244:AW244" si="337">SUM(R238:R243)</f>
        <v>607477.24707159074</v>
      </c>
      <c r="S244" s="530">
        <f t="shared" si="337"/>
        <v>607477.24707159074</v>
      </c>
      <c r="T244" s="530">
        <f t="shared" si="337"/>
        <v>607477.24707159074</v>
      </c>
      <c r="U244" s="530">
        <f t="shared" si="337"/>
        <v>607477.24707159074</v>
      </c>
      <c r="V244" s="530">
        <f t="shared" si="337"/>
        <v>607477.24707159074</v>
      </c>
      <c r="W244" s="530">
        <f t="shared" si="337"/>
        <v>607477.24707159074</v>
      </c>
      <c r="X244" s="530">
        <f t="shared" si="337"/>
        <v>620711.0003765563</v>
      </c>
      <c r="Y244" s="530">
        <f t="shared" si="337"/>
        <v>620711.0003765563</v>
      </c>
      <c r="Z244" s="530">
        <f t="shared" si="337"/>
        <v>620711.0003765563</v>
      </c>
      <c r="AA244" s="530">
        <f t="shared" si="337"/>
        <v>620711.0003765563</v>
      </c>
      <c r="AB244" s="530">
        <f t="shared" si="337"/>
        <v>620711.0003765563</v>
      </c>
      <c r="AC244" s="530">
        <f t="shared" si="337"/>
        <v>620711.0003765563</v>
      </c>
      <c r="AD244" s="530">
        <f t="shared" si="337"/>
        <v>650800.08641442878</v>
      </c>
      <c r="AE244" s="530">
        <f t="shared" si="337"/>
        <v>650800.08641442878</v>
      </c>
      <c r="AF244" s="530">
        <f t="shared" si="337"/>
        <v>650800.08641442878</v>
      </c>
      <c r="AG244" s="530">
        <f t="shared" si="337"/>
        <v>650800.08641442878</v>
      </c>
      <c r="AH244" s="530">
        <f t="shared" si="337"/>
        <v>650800.08641442878</v>
      </c>
      <c r="AI244" s="530">
        <f t="shared" si="337"/>
        <v>650800.08641442878</v>
      </c>
      <c r="AJ244" s="530">
        <f t="shared" si="337"/>
        <v>668037.3566935719</v>
      </c>
      <c r="AK244" s="530">
        <f t="shared" si="337"/>
        <v>668037.3566935719</v>
      </c>
      <c r="AL244" s="530">
        <f t="shared" si="337"/>
        <v>668037.3566935719</v>
      </c>
      <c r="AM244" s="530">
        <f t="shared" si="337"/>
        <v>668037.3566935719</v>
      </c>
      <c r="AN244" s="530">
        <f t="shared" si="337"/>
        <v>668037.3566935719</v>
      </c>
      <c r="AO244" s="530">
        <f t="shared" si="337"/>
        <v>668037.3566935719</v>
      </c>
      <c r="AP244" s="530">
        <f t="shared" si="337"/>
        <v>695017.3287243899</v>
      </c>
      <c r="AQ244" s="530">
        <f t="shared" si="337"/>
        <v>695017.3287243899</v>
      </c>
      <c r="AR244" s="530">
        <f t="shared" si="337"/>
        <v>695017.3287243899</v>
      </c>
      <c r="AS244" s="530">
        <f t="shared" si="337"/>
        <v>695017.3287243899</v>
      </c>
      <c r="AT244" s="530">
        <f t="shared" si="337"/>
        <v>695017.3287243899</v>
      </c>
      <c r="AU244" s="530">
        <f t="shared" si="337"/>
        <v>695017.3287243899</v>
      </c>
      <c r="AV244" s="530">
        <f t="shared" si="337"/>
        <v>716548.29866015818</v>
      </c>
      <c r="AW244" s="530">
        <f t="shared" si="337"/>
        <v>716548.29866015818</v>
      </c>
      <c r="AX244" s="530">
        <f t="shared" ref="AX244:BY244" si="338">SUM(AX238:AX243)</f>
        <v>716548.29866015818</v>
      </c>
      <c r="AY244" s="530">
        <f t="shared" si="338"/>
        <v>716548.29866015818</v>
      </c>
      <c r="AZ244" s="530">
        <f t="shared" si="338"/>
        <v>716548.29866015818</v>
      </c>
      <c r="BA244" s="530">
        <f t="shared" si="338"/>
        <v>716548.29866015818</v>
      </c>
      <c r="BB244" s="530">
        <f t="shared" si="338"/>
        <v>740483.95360708167</v>
      </c>
      <c r="BC244" s="530">
        <f t="shared" si="338"/>
        <v>740483.95360708167</v>
      </c>
      <c r="BD244" s="530">
        <f t="shared" si="338"/>
        <v>740483.95360708167</v>
      </c>
      <c r="BE244" s="530">
        <f t="shared" si="338"/>
        <v>740483.95360708167</v>
      </c>
      <c r="BF244" s="530">
        <f t="shared" si="338"/>
        <v>740483.95360708167</v>
      </c>
      <c r="BG244" s="530">
        <f t="shared" si="338"/>
        <v>740483.95360708167</v>
      </c>
      <c r="BH244" s="530">
        <f t="shared" si="338"/>
        <v>766603.73751697759</v>
      </c>
      <c r="BI244" s="530">
        <f t="shared" si="338"/>
        <v>766603.73751697759</v>
      </c>
      <c r="BJ244" s="530">
        <f t="shared" si="338"/>
        <v>766603.73751697759</v>
      </c>
      <c r="BK244" s="530">
        <f t="shared" si="338"/>
        <v>766603.73751697759</v>
      </c>
      <c r="BL244" s="530">
        <f t="shared" si="338"/>
        <v>766603.73751697759</v>
      </c>
      <c r="BM244" s="530">
        <f t="shared" si="338"/>
        <v>766603.73751697759</v>
      </c>
      <c r="BN244" s="530">
        <f t="shared" si="338"/>
        <v>788645.06335354608</v>
      </c>
      <c r="BO244" s="530">
        <f t="shared" si="338"/>
        <v>788645.06335354608</v>
      </c>
      <c r="BP244" s="530">
        <f t="shared" si="338"/>
        <v>788645.06335354608</v>
      </c>
      <c r="BQ244" s="530">
        <f t="shared" si="338"/>
        <v>788645.06335354608</v>
      </c>
      <c r="BR244" s="530">
        <f t="shared" si="338"/>
        <v>788645.06335354608</v>
      </c>
      <c r="BS244" s="530">
        <f t="shared" si="338"/>
        <v>788645.06335354608</v>
      </c>
      <c r="BT244" s="530">
        <f t="shared" si="338"/>
        <v>819665.33286229079</v>
      </c>
      <c r="BU244" s="530">
        <f t="shared" si="338"/>
        <v>819665.33286229079</v>
      </c>
      <c r="BV244" s="530">
        <f t="shared" si="338"/>
        <v>819665.33286229079</v>
      </c>
      <c r="BW244" s="530">
        <f t="shared" si="338"/>
        <v>819665.33286229079</v>
      </c>
      <c r="BX244" s="530">
        <f t="shared" si="338"/>
        <v>819665.33286229079</v>
      </c>
      <c r="BY244" s="530">
        <f t="shared" si="338"/>
        <v>819665.33286229079</v>
      </c>
    </row>
    <row r="245" spans="1:77" x14ac:dyDescent="0.3">
      <c r="A245" s="551"/>
      <c r="B245" s="548"/>
      <c r="C245" s="525"/>
      <c r="D245" s="525"/>
      <c r="E245" s="525"/>
      <c r="F245" s="525"/>
      <c r="G245" s="525"/>
      <c r="H245" s="525"/>
      <c r="I245" s="525"/>
      <c r="J245" s="525"/>
      <c r="K245" s="525"/>
      <c r="L245" s="525"/>
      <c r="M245" s="525"/>
      <c r="N245" s="525"/>
      <c r="O245" s="525"/>
      <c r="P245" s="565"/>
      <c r="Q245" s="525"/>
      <c r="R245" s="525"/>
      <c r="S245" s="525"/>
      <c r="T245" s="525"/>
      <c r="U245" s="525"/>
      <c r="V245" s="525"/>
      <c r="W245" s="525"/>
      <c r="X245" s="525"/>
      <c r="Y245" s="525"/>
      <c r="Z245" s="525"/>
      <c r="AA245" s="525"/>
      <c r="AB245" s="525"/>
      <c r="AC245" s="525"/>
      <c r="AD245" s="525"/>
      <c r="AE245" s="525"/>
      <c r="AF245" s="525"/>
      <c r="AG245" s="525"/>
      <c r="AH245" s="525"/>
      <c r="AI245" s="525"/>
      <c r="AJ245" s="525"/>
      <c r="AK245" s="525"/>
      <c r="AL245" s="525"/>
      <c r="AM245" s="525"/>
      <c r="AN245" s="525"/>
      <c r="AO245" s="525"/>
      <c r="AP245" s="525"/>
      <c r="AQ245" s="525"/>
      <c r="AR245" s="525"/>
      <c r="AS245" s="525"/>
      <c r="AT245" s="525"/>
      <c r="AU245" s="525"/>
      <c r="AV245" s="525"/>
      <c r="AW245" s="525"/>
      <c r="AX245" s="525"/>
      <c r="AY245" s="525"/>
      <c r="AZ245" s="525"/>
      <c r="BA245" s="525"/>
      <c r="BB245" s="525"/>
      <c r="BC245" s="525"/>
      <c r="BD245" s="525"/>
      <c r="BE245" s="525"/>
      <c r="BF245" s="525"/>
      <c r="BG245" s="525"/>
      <c r="BH245" s="525"/>
      <c r="BI245" s="525"/>
      <c r="BJ245" s="525"/>
      <c r="BK245" s="525"/>
      <c r="BL245" s="525"/>
      <c r="BM245" s="525"/>
      <c r="BN245" s="525"/>
      <c r="BO245" s="525"/>
      <c r="BP245" s="525"/>
      <c r="BQ245" s="525"/>
      <c r="BR245" s="525"/>
      <c r="BS245" s="525"/>
      <c r="BT245" s="525"/>
      <c r="BU245" s="525"/>
      <c r="BV245" s="525"/>
      <c r="BW245" s="525"/>
      <c r="BX245" s="525"/>
      <c r="BY245" s="525"/>
    </row>
    <row r="246" spans="1:77" x14ac:dyDescent="0.3">
      <c r="A246" s="551"/>
      <c r="B246" s="548"/>
      <c r="C246" s="525"/>
      <c r="D246" s="525"/>
      <c r="E246" s="620" t="str">
        <f>"BCF gross sales: "&amp;E$155</f>
        <v>BCF gross sales: FY27 Tranche</v>
      </c>
      <c r="F246" s="525"/>
      <c r="G246" s="525"/>
      <c r="H246" s="525"/>
      <c r="I246" s="525"/>
      <c r="J246" s="525"/>
      <c r="K246" s="525"/>
      <c r="L246" s="525"/>
      <c r="M246" s="525"/>
      <c r="N246" s="525"/>
      <c r="O246" s="525"/>
      <c r="P246" s="565"/>
      <c r="Q246" s="525"/>
      <c r="R246" s="527">
        <f t="shared" ref="R246:AW246" si="339">IFERROR(R238/R$223,0)</f>
        <v>198135.17652269872</v>
      </c>
      <c r="S246" s="527">
        <f t="shared" si="339"/>
        <v>198135.17652269872</v>
      </c>
      <c r="T246" s="527">
        <f t="shared" si="339"/>
        <v>198135.17652269872</v>
      </c>
      <c r="U246" s="527">
        <f t="shared" si="339"/>
        <v>198135.17652269872</v>
      </c>
      <c r="V246" s="527">
        <f t="shared" si="339"/>
        <v>198135.17652269872</v>
      </c>
      <c r="W246" s="527">
        <f t="shared" si="339"/>
        <v>198135.17652269872</v>
      </c>
      <c r="X246" s="527">
        <f t="shared" si="339"/>
        <v>229365.0909765363</v>
      </c>
      <c r="Y246" s="527">
        <f t="shared" si="339"/>
        <v>229365.0909765363</v>
      </c>
      <c r="Z246" s="527">
        <f t="shared" si="339"/>
        <v>229365.0909765363</v>
      </c>
      <c r="AA246" s="527">
        <f t="shared" si="339"/>
        <v>229365.0909765363</v>
      </c>
      <c r="AB246" s="527">
        <f t="shared" si="339"/>
        <v>229365.0909765363</v>
      </c>
      <c r="AC246" s="527">
        <f t="shared" si="339"/>
        <v>229365.0909765363</v>
      </c>
      <c r="AD246" s="527">
        <f t="shared" si="339"/>
        <v>228930.08327069291</v>
      </c>
      <c r="AE246" s="527">
        <f t="shared" si="339"/>
        <v>228930.08327069291</v>
      </c>
      <c r="AF246" s="527">
        <f t="shared" si="339"/>
        <v>228930.08327069291</v>
      </c>
      <c r="AG246" s="527">
        <f t="shared" si="339"/>
        <v>228930.08327069291</v>
      </c>
      <c r="AH246" s="527">
        <f t="shared" si="339"/>
        <v>228930.08327069291</v>
      </c>
      <c r="AI246" s="527">
        <f t="shared" si="339"/>
        <v>228930.08327069291</v>
      </c>
      <c r="AJ246" s="527">
        <f t="shared" si="339"/>
        <v>237369.94331699738</v>
      </c>
      <c r="AK246" s="527">
        <f t="shared" si="339"/>
        <v>237369.94331699738</v>
      </c>
      <c r="AL246" s="527">
        <f t="shared" si="339"/>
        <v>237369.94331699738</v>
      </c>
      <c r="AM246" s="527">
        <f t="shared" si="339"/>
        <v>237369.94331699738</v>
      </c>
      <c r="AN246" s="527">
        <f t="shared" si="339"/>
        <v>237369.94331699738</v>
      </c>
      <c r="AO246" s="527">
        <f t="shared" si="339"/>
        <v>237369.94331699738</v>
      </c>
      <c r="AP246" s="527">
        <f t="shared" si="339"/>
        <v>237124.71218480897</v>
      </c>
      <c r="AQ246" s="527">
        <f t="shared" si="339"/>
        <v>237124.71218480897</v>
      </c>
      <c r="AR246" s="527">
        <f t="shared" si="339"/>
        <v>237124.71218480897</v>
      </c>
      <c r="AS246" s="527">
        <f t="shared" si="339"/>
        <v>237124.71218480897</v>
      </c>
      <c r="AT246" s="527">
        <f t="shared" si="339"/>
        <v>237124.71218480897</v>
      </c>
      <c r="AU246" s="527">
        <f t="shared" si="339"/>
        <v>237124.71218480897</v>
      </c>
      <c r="AV246" s="527">
        <f t="shared" si="339"/>
        <v>245792.02075166086</v>
      </c>
      <c r="AW246" s="527">
        <f t="shared" si="339"/>
        <v>245792.02075166086</v>
      </c>
      <c r="AX246" s="527">
        <f t="shared" ref="AX246:BY246" si="340">IFERROR(AX238/AX$223,0)</f>
        <v>245792.02075166086</v>
      </c>
      <c r="AY246" s="527">
        <f t="shared" si="340"/>
        <v>245792.02075166086</v>
      </c>
      <c r="AZ246" s="527">
        <f t="shared" si="340"/>
        <v>245792.02075166086</v>
      </c>
      <c r="BA246" s="527">
        <f t="shared" si="340"/>
        <v>245792.02075166086</v>
      </c>
      <c r="BB246" s="527">
        <f t="shared" si="340"/>
        <v>245894.91072723063</v>
      </c>
      <c r="BC246" s="527">
        <f t="shared" si="340"/>
        <v>245894.91072723063</v>
      </c>
      <c r="BD246" s="527">
        <f t="shared" si="340"/>
        <v>245894.91072723063</v>
      </c>
      <c r="BE246" s="527">
        <f t="shared" si="340"/>
        <v>245894.91072723063</v>
      </c>
      <c r="BF246" s="527">
        <f t="shared" si="340"/>
        <v>245894.91072723063</v>
      </c>
      <c r="BG246" s="527">
        <f t="shared" si="340"/>
        <v>245894.91072723063</v>
      </c>
      <c r="BH246" s="527">
        <f t="shared" si="340"/>
        <v>254806.79783584349</v>
      </c>
      <c r="BI246" s="527">
        <f t="shared" si="340"/>
        <v>254806.79783584349</v>
      </c>
      <c r="BJ246" s="527">
        <f t="shared" si="340"/>
        <v>254806.79783584349</v>
      </c>
      <c r="BK246" s="527">
        <f t="shared" si="340"/>
        <v>254806.79783584349</v>
      </c>
      <c r="BL246" s="527">
        <f t="shared" si="340"/>
        <v>254806.79783584349</v>
      </c>
      <c r="BM246" s="527">
        <f t="shared" si="340"/>
        <v>254806.79783584349</v>
      </c>
      <c r="BN246" s="527">
        <f t="shared" si="340"/>
        <v>255151.7250092428</v>
      </c>
      <c r="BO246" s="527">
        <f t="shared" si="340"/>
        <v>255151.7250092428</v>
      </c>
      <c r="BP246" s="527">
        <f t="shared" si="340"/>
        <v>255151.7250092428</v>
      </c>
      <c r="BQ246" s="527">
        <f t="shared" si="340"/>
        <v>255151.7250092428</v>
      </c>
      <c r="BR246" s="527">
        <f t="shared" si="340"/>
        <v>255151.7250092428</v>
      </c>
      <c r="BS246" s="527">
        <f t="shared" si="340"/>
        <v>255151.7250092428</v>
      </c>
      <c r="BT246" s="527">
        <f t="shared" si="340"/>
        <v>264318.54085044598</v>
      </c>
      <c r="BU246" s="527">
        <f t="shared" si="340"/>
        <v>264318.54085044598</v>
      </c>
      <c r="BV246" s="527">
        <f t="shared" si="340"/>
        <v>264318.54085044598</v>
      </c>
      <c r="BW246" s="527">
        <f t="shared" si="340"/>
        <v>264318.54085044598</v>
      </c>
      <c r="BX246" s="527">
        <f t="shared" si="340"/>
        <v>264318.54085044598</v>
      </c>
      <c r="BY246" s="527">
        <f t="shared" si="340"/>
        <v>264318.54085044598</v>
      </c>
    </row>
    <row r="247" spans="1:77" x14ac:dyDescent="0.3">
      <c r="A247" s="551"/>
      <c r="B247" s="548"/>
      <c r="C247" s="525"/>
      <c r="D247" s="525"/>
      <c r="E247" s="620" t="str">
        <f>"BCF gross sales: "&amp;E$156</f>
        <v>BCF gross sales: FY28 Tranche</v>
      </c>
      <c r="F247" s="525"/>
      <c r="G247" s="525"/>
      <c r="H247" s="525"/>
      <c r="I247" s="525"/>
      <c r="J247" s="525"/>
      <c r="K247" s="525"/>
      <c r="L247" s="525"/>
      <c r="M247" s="525"/>
      <c r="N247" s="525"/>
      <c r="O247" s="525"/>
      <c r="P247" s="565"/>
      <c r="Q247" s="525"/>
      <c r="R247" s="527">
        <f t="shared" ref="R247:AW247" si="341">IFERROR(R239/R$223,0)</f>
        <v>198135.17652269872</v>
      </c>
      <c r="S247" s="527">
        <f t="shared" si="341"/>
        <v>198135.17652269872</v>
      </c>
      <c r="T247" s="527">
        <f t="shared" si="341"/>
        <v>198135.17652269872</v>
      </c>
      <c r="U247" s="527">
        <f t="shared" si="341"/>
        <v>198135.17652269872</v>
      </c>
      <c r="V247" s="527">
        <f t="shared" si="341"/>
        <v>198135.17652269872</v>
      </c>
      <c r="W247" s="527">
        <f t="shared" si="341"/>
        <v>198135.17652269872</v>
      </c>
      <c r="X247" s="527">
        <f t="shared" si="341"/>
        <v>198135.17652269872</v>
      </c>
      <c r="Y247" s="527">
        <f t="shared" si="341"/>
        <v>198135.17652269872</v>
      </c>
      <c r="Z247" s="527">
        <f t="shared" si="341"/>
        <v>198135.17652269872</v>
      </c>
      <c r="AA247" s="527">
        <f t="shared" si="341"/>
        <v>198135.17652269872</v>
      </c>
      <c r="AB247" s="527">
        <f t="shared" si="341"/>
        <v>198135.17652269872</v>
      </c>
      <c r="AC247" s="527">
        <f t="shared" si="341"/>
        <v>198135.17652269872</v>
      </c>
      <c r="AD247" s="527">
        <f t="shared" si="341"/>
        <v>205368.35237404917</v>
      </c>
      <c r="AE247" s="527">
        <f t="shared" si="341"/>
        <v>205368.35237404917</v>
      </c>
      <c r="AF247" s="527">
        <f t="shared" si="341"/>
        <v>205368.35237404917</v>
      </c>
      <c r="AG247" s="527">
        <f t="shared" si="341"/>
        <v>205368.35237404917</v>
      </c>
      <c r="AH247" s="527">
        <f t="shared" si="341"/>
        <v>205368.35237404917</v>
      </c>
      <c r="AI247" s="527">
        <f t="shared" si="341"/>
        <v>205368.35237404917</v>
      </c>
      <c r="AJ247" s="527">
        <f t="shared" si="341"/>
        <v>236908.52278428784</v>
      </c>
      <c r="AK247" s="527">
        <f t="shared" si="341"/>
        <v>236908.52278428784</v>
      </c>
      <c r="AL247" s="527">
        <f t="shared" si="341"/>
        <v>236908.52278428784</v>
      </c>
      <c r="AM247" s="527">
        <f t="shared" si="341"/>
        <v>236908.52278428784</v>
      </c>
      <c r="AN247" s="527">
        <f t="shared" si="341"/>
        <v>236908.52278428784</v>
      </c>
      <c r="AO247" s="527">
        <f t="shared" si="341"/>
        <v>236908.52278428784</v>
      </c>
      <c r="AP247" s="527">
        <f t="shared" si="341"/>
        <v>236669.08189248489</v>
      </c>
      <c r="AQ247" s="527">
        <f t="shared" si="341"/>
        <v>236669.08189248489</v>
      </c>
      <c r="AR247" s="527">
        <f t="shared" si="341"/>
        <v>236669.08189248489</v>
      </c>
      <c r="AS247" s="527">
        <f t="shared" si="341"/>
        <v>236669.08189248489</v>
      </c>
      <c r="AT247" s="527">
        <f t="shared" si="341"/>
        <v>236669.08189248489</v>
      </c>
      <c r="AU247" s="527">
        <f t="shared" si="341"/>
        <v>236669.08189248489</v>
      </c>
      <c r="AV247" s="527">
        <f t="shared" si="341"/>
        <v>245318.16524764383</v>
      </c>
      <c r="AW247" s="527">
        <f t="shared" si="341"/>
        <v>245318.16524764383</v>
      </c>
      <c r="AX247" s="527">
        <f t="shared" ref="AX247:BY247" si="342">IFERROR(AX239/AX$223,0)</f>
        <v>245318.16524764383</v>
      </c>
      <c r="AY247" s="527">
        <f t="shared" si="342"/>
        <v>245318.16524764383</v>
      </c>
      <c r="AZ247" s="527">
        <f t="shared" si="342"/>
        <v>245318.16524764383</v>
      </c>
      <c r="BA247" s="527">
        <f t="shared" si="342"/>
        <v>245318.16524764383</v>
      </c>
      <c r="BB247" s="527">
        <f t="shared" si="342"/>
        <v>245426.42322651026</v>
      </c>
      <c r="BC247" s="527">
        <f t="shared" si="342"/>
        <v>245426.42322651026</v>
      </c>
      <c r="BD247" s="527">
        <f t="shared" si="342"/>
        <v>245426.42322651026</v>
      </c>
      <c r="BE247" s="527">
        <f t="shared" si="342"/>
        <v>245426.42322651026</v>
      </c>
      <c r="BF247" s="527">
        <f t="shared" si="342"/>
        <v>245426.42322651026</v>
      </c>
      <c r="BG247" s="527">
        <f t="shared" si="342"/>
        <v>245426.42322651026</v>
      </c>
      <c r="BH247" s="527">
        <f t="shared" si="342"/>
        <v>254319.57083509432</v>
      </c>
      <c r="BI247" s="527">
        <f t="shared" si="342"/>
        <v>254319.57083509432</v>
      </c>
      <c r="BJ247" s="527">
        <f t="shared" si="342"/>
        <v>254319.57083509432</v>
      </c>
      <c r="BK247" s="527">
        <f t="shared" si="342"/>
        <v>254319.57083509432</v>
      </c>
      <c r="BL247" s="527">
        <f t="shared" si="342"/>
        <v>254319.57083509432</v>
      </c>
      <c r="BM247" s="527">
        <f t="shared" si="342"/>
        <v>254319.57083509432</v>
      </c>
      <c r="BN247" s="527">
        <f t="shared" si="342"/>
        <v>254669.83620267807</v>
      </c>
      <c r="BO247" s="527">
        <f t="shared" si="342"/>
        <v>254669.83620267807</v>
      </c>
      <c r="BP247" s="527">
        <f t="shared" si="342"/>
        <v>254669.83620267807</v>
      </c>
      <c r="BQ247" s="527">
        <f t="shared" si="342"/>
        <v>254669.83620267807</v>
      </c>
      <c r="BR247" s="527">
        <f t="shared" si="342"/>
        <v>254669.83620267807</v>
      </c>
      <c r="BS247" s="527">
        <f t="shared" si="342"/>
        <v>254669.83620267807</v>
      </c>
      <c r="BT247" s="527">
        <f t="shared" si="342"/>
        <v>263817.37649161869</v>
      </c>
      <c r="BU247" s="527">
        <f t="shared" si="342"/>
        <v>263817.37649161869</v>
      </c>
      <c r="BV247" s="527">
        <f t="shared" si="342"/>
        <v>263817.37649161869</v>
      </c>
      <c r="BW247" s="527">
        <f t="shared" si="342"/>
        <v>263817.37649161869</v>
      </c>
      <c r="BX247" s="527">
        <f t="shared" si="342"/>
        <v>263817.37649161869</v>
      </c>
      <c r="BY247" s="527">
        <f t="shared" si="342"/>
        <v>263817.37649161869</v>
      </c>
    </row>
    <row r="248" spans="1:77" x14ac:dyDescent="0.3">
      <c r="A248" s="551"/>
      <c r="B248" s="548"/>
      <c r="C248" s="525"/>
      <c r="D248" s="525"/>
      <c r="E248" s="620" t="str">
        <f>"BCF gross sales: "&amp;E$157</f>
        <v>BCF gross sales: FY29 Tranche</v>
      </c>
      <c r="F248" s="525"/>
      <c r="G248" s="525"/>
      <c r="H248" s="525"/>
      <c r="I248" s="525"/>
      <c r="J248" s="525"/>
      <c r="K248" s="525"/>
      <c r="L248" s="525"/>
      <c r="M248" s="525"/>
      <c r="N248" s="525"/>
      <c r="O248" s="525"/>
      <c r="P248" s="565"/>
      <c r="Q248" s="525"/>
      <c r="R248" s="527">
        <f t="shared" ref="R248:AW248" si="343">IFERROR(R240/R$223,0)</f>
        <v>198135.17652269872</v>
      </c>
      <c r="S248" s="527">
        <f t="shared" si="343"/>
        <v>198135.17652269872</v>
      </c>
      <c r="T248" s="527">
        <f t="shared" si="343"/>
        <v>198135.17652269872</v>
      </c>
      <c r="U248" s="527">
        <f t="shared" si="343"/>
        <v>198135.17652269872</v>
      </c>
      <c r="V248" s="527">
        <f t="shared" si="343"/>
        <v>198135.17652269872</v>
      </c>
      <c r="W248" s="527">
        <f t="shared" si="343"/>
        <v>198135.17652269872</v>
      </c>
      <c r="X248" s="527">
        <f t="shared" si="343"/>
        <v>198135.17652269872</v>
      </c>
      <c r="Y248" s="527">
        <f t="shared" si="343"/>
        <v>198135.17652269872</v>
      </c>
      <c r="Z248" s="527">
        <f t="shared" si="343"/>
        <v>198135.17652269872</v>
      </c>
      <c r="AA248" s="527">
        <f t="shared" si="343"/>
        <v>198135.17652269872</v>
      </c>
      <c r="AB248" s="527">
        <f t="shared" si="343"/>
        <v>198135.17652269872</v>
      </c>
      <c r="AC248" s="527">
        <f t="shared" si="343"/>
        <v>198135.17652269872</v>
      </c>
      <c r="AD248" s="527">
        <f t="shared" si="343"/>
        <v>205368.35237404917</v>
      </c>
      <c r="AE248" s="527">
        <f t="shared" si="343"/>
        <v>205368.35237404917</v>
      </c>
      <c r="AF248" s="527">
        <f t="shared" si="343"/>
        <v>205368.35237404917</v>
      </c>
      <c r="AG248" s="527">
        <f t="shared" si="343"/>
        <v>205368.35237404917</v>
      </c>
      <c r="AH248" s="527">
        <f t="shared" si="343"/>
        <v>205368.35237404917</v>
      </c>
      <c r="AI248" s="527">
        <f t="shared" si="343"/>
        <v>205368.35237404917</v>
      </c>
      <c r="AJ248" s="527">
        <f t="shared" si="343"/>
        <v>205368.35237404917</v>
      </c>
      <c r="AK248" s="527">
        <f t="shared" si="343"/>
        <v>205368.35237404917</v>
      </c>
      <c r="AL248" s="527">
        <f t="shared" si="343"/>
        <v>205368.35237404917</v>
      </c>
      <c r="AM248" s="527">
        <f t="shared" si="343"/>
        <v>205368.35237404917</v>
      </c>
      <c r="AN248" s="527">
        <f t="shared" si="343"/>
        <v>205368.35237404917</v>
      </c>
      <c r="AO248" s="527">
        <f t="shared" si="343"/>
        <v>205368.35237404917</v>
      </c>
      <c r="AP248" s="527">
        <f t="shared" si="343"/>
        <v>212612.48125703353</v>
      </c>
      <c r="AQ248" s="527">
        <f t="shared" si="343"/>
        <v>212612.48125703353</v>
      </c>
      <c r="AR248" s="527">
        <f t="shared" si="343"/>
        <v>212612.48125703353</v>
      </c>
      <c r="AS248" s="527">
        <f t="shared" si="343"/>
        <v>212612.48125703353</v>
      </c>
      <c r="AT248" s="527">
        <f t="shared" si="343"/>
        <v>212612.48125703353</v>
      </c>
      <c r="AU248" s="527">
        <f t="shared" si="343"/>
        <v>212612.48125703353</v>
      </c>
      <c r="AV248" s="527">
        <f t="shared" si="343"/>
        <v>244456.1916415169</v>
      </c>
      <c r="AW248" s="527">
        <f t="shared" si="343"/>
        <v>244456.1916415169</v>
      </c>
      <c r="AX248" s="527">
        <f t="shared" ref="AX248:BY248" si="344">IFERROR(AX240/AX$223,0)</f>
        <v>244456.1916415169</v>
      </c>
      <c r="AY248" s="527">
        <f t="shared" si="344"/>
        <v>244456.1916415169</v>
      </c>
      <c r="AZ248" s="527">
        <f t="shared" si="344"/>
        <v>244456.1916415169</v>
      </c>
      <c r="BA248" s="527">
        <f t="shared" si="344"/>
        <v>244456.1916415169</v>
      </c>
      <c r="BB248" s="527">
        <f t="shared" si="344"/>
        <v>244574.21436326409</v>
      </c>
      <c r="BC248" s="527">
        <f t="shared" si="344"/>
        <v>244574.21436326409</v>
      </c>
      <c r="BD248" s="527">
        <f t="shared" si="344"/>
        <v>244574.21436326409</v>
      </c>
      <c r="BE248" s="527">
        <f t="shared" si="344"/>
        <v>244574.21436326409</v>
      </c>
      <c r="BF248" s="527">
        <f t="shared" si="344"/>
        <v>244574.21436326409</v>
      </c>
      <c r="BG248" s="527">
        <f t="shared" si="344"/>
        <v>244574.21436326409</v>
      </c>
      <c r="BH248" s="527">
        <f t="shared" si="344"/>
        <v>253433.27361731834</v>
      </c>
      <c r="BI248" s="527">
        <f t="shared" si="344"/>
        <v>253433.27361731834</v>
      </c>
      <c r="BJ248" s="527">
        <f t="shared" si="344"/>
        <v>253433.27361731834</v>
      </c>
      <c r="BK248" s="527">
        <f t="shared" si="344"/>
        <v>253433.27361731834</v>
      </c>
      <c r="BL248" s="527">
        <f t="shared" si="344"/>
        <v>253433.27361731834</v>
      </c>
      <c r="BM248" s="527">
        <f t="shared" si="344"/>
        <v>253433.27361731834</v>
      </c>
      <c r="BN248" s="527">
        <f t="shared" si="344"/>
        <v>253793.24950309246</v>
      </c>
      <c r="BO248" s="527">
        <f t="shared" si="344"/>
        <v>253793.24950309246</v>
      </c>
      <c r="BP248" s="527">
        <f t="shared" si="344"/>
        <v>253793.24950309246</v>
      </c>
      <c r="BQ248" s="527">
        <f t="shared" si="344"/>
        <v>253793.24950309246</v>
      </c>
      <c r="BR248" s="527">
        <f t="shared" si="344"/>
        <v>253793.24950309246</v>
      </c>
      <c r="BS248" s="527">
        <f t="shared" si="344"/>
        <v>253793.24950309246</v>
      </c>
      <c r="BT248" s="527">
        <f t="shared" si="344"/>
        <v>262905.72632404964</v>
      </c>
      <c r="BU248" s="527">
        <f t="shared" si="344"/>
        <v>262905.72632404964</v>
      </c>
      <c r="BV248" s="527">
        <f t="shared" si="344"/>
        <v>262905.72632404964</v>
      </c>
      <c r="BW248" s="527">
        <f t="shared" si="344"/>
        <v>262905.72632404964</v>
      </c>
      <c r="BX248" s="527">
        <f t="shared" si="344"/>
        <v>262905.72632404964</v>
      </c>
      <c r="BY248" s="527">
        <f t="shared" si="344"/>
        <v>262905.72632404964</v>
      </c>
    </row>
    <row r="249" spans="1:77" x14ac:dyDescent="0.3">
      <c r="A249" s="551"/>
      <c r="B249" s="548"/>
      <c r="C249" s="525"/>
      <c r="D249" s="525"/>
      <c r="E249" s="620" t="str">
        <f>"BCF gross sales: "&amp;E$158</f>
        <v>BCF gross sales: FY30 Tranche</v>
      </c>
      <c r="F249" s="525"/>
      <c r="G249" s="525"/>
      <c r="H249" s="525"/>
      <c r="I249" s="525"/>
      <c r="J249" s="525"/>
      <c r="K249" s="525"/>
      <c r="L249" s="525"/>
      <c r="M249" s="525"/>
      <c r="N249" s="525"/>
      <c r="O249" s="525"/>
      <c r="P249" s="565"/>
      <c r="Q249" s="525"/>
      <c r="R249" s="527">
        <f t="shared" ref="R249:AW249" si="345">IFERROR(R241/R$223,0)</f>
        <v>198135.17652269872</v>
      </c>
      <c r="S249" s="527">
        <f t="shared" si="345"/>
        <v>198135.17652269872</v>
      </c>
      <c r="T249" s="527">
        <f t="shared" si="345"/>
        <v>198135.17652269872</v>
      </c>
      <c r="U249" s="527">
        <f t="shared" si="345"/>
        <v>198135.17652269872</v>
      </c>
      <c r="V249" s="527">
        <f t="shared" si="345"/>
        <v>198135.17652269872</v>
      </c>
      <c r="W249" s="527">
        <f t="shared" si="345"/>
        <v>198135.17652269872</v>
      </c>
      <c r="X249" s="527">
        <f t="shared" si="345"/>
        <v>198135.17652269872</v>
      </c>
      <c r="Y249" s="527">
        <f t="shared" si="345"/>
        <v>198135.17652269872</v>
      </c>
      <c r="Z249" s="527">
        <f t="shared" si="345"/>
        <v>198135.17652269872</v>
      </c>
      <c r="AA249" s="527">
        <f t="shared" si="345"/>
        <v>198135.17652269872</v>
      </c>
      <c r="AB249" s="527">
        <f t="shared" si="345"/>
        <v>198135.17652269872</v>
      </c>
      <c r="AC249" s="527">
        <f t="shared" si="345"/>
        <v>198135.17652269872</v>
      </c>
      <c r="AD249" s="527">
        <f t="shared" si="345"/>
        <v>205368.35237404917</v>
      </c>
      <c r="AE249" s="527">
        <f t="shared" si="345"/>
        <v>205368.35237404917</v>
      </c>
      <c r="AF249" s="527">
        <f t="shared" si="345"/>
        <v>205368.35237404917</v>
      </c>
      <c r="AG249" s="527">
        <f t="shared" si="345"/>
        <v>205368.35237404917</v>
      </c>
      <c r="AH249" s="527">
        <f t="shared" si="345"/>
        <v>205368.35237404917</v>
      </c>
      <c r="AI249" s="527">
        <f t="shared" si="345"/>
        <v>205368.35237404917</v>
      </c>
      <c r="AJ249" s="527">
        <f t="shared" si="345"/>
        <v>205368.35237404917</v>
      </c>
      <c r="AK249" s="527">
        <f t="shared" si="345"/>
        <v>205368.35237404917</v>
      </c>
      <c r="AL249" s="527">
        <f t="shared" si="345"/>
        <v>205368.35237404917</v>
      </c>
      <c r="AM249" s="527">
        <f t="shared" si="345"/>
        <v>205368.35237404917</v>
      </c>
      <c r="AN249" s="527">
        <f t="shared" si="345"/>
        <v>205368.35237404917</v>
      </c>
      <c r="AO249" s="527">
        <f t="shared" si="345"/>
        <v>205368.35237404917</v>
      </c>
      <c r="AP249" s="527">
        <f t="shared" si="345"/>
        <v>212612.48125703353</v>
      </c>
      <c r="AQ249" s="527">
        <f t="shared" si="345"/>
        <v>212612.48125703353</v>
      </c>
      <c r="AR249" s="527">
        <f t="shared" si="345"/>
        <v>212612.48125703353</v>
      </c>
      <c r="AS249" s="527">
        <f t="shared" si="345"/>
        <v>212612.48125703353</v>
      </c>
      <c r="AT249" s="527">
        <f t="shared" si="345"/>
        <v>212612.48125703353</v>
      </c>
      <c r="AU249" s="527">
        <f t="shared" si="345"/>
        <v>212612.48125703353</v>
      </c>
      <c r="AV249" s="527">
        <f t="shared" si="345"/>
        <v>212612.48125703353</v>
      </c>
      <c r="AW249" s="527">
        <f t="shared" si="345"/>
        <v>212612.48125703353</v>
      </c>
      <c r="AX249" s="527">
        <f t="shared" ref="AX249:BY249" si="346">IFERROR(AX241/AX$223,0)</f>
        <v>212612.48125703353</v>
      </c>
      <c r="AY249" s="527">
        <f t="shared" si="346"/>
        <v>212612.48125703353</v>
      </c>
      <c r="AZ249" s="527">
        <f t="shared" si="346"/>
        <v>212612.48125703353</v>
      </c>
      <c r="BA249" s="527">
        <f t="shared" si="346"/>
        <v>212612.48125703353</v>
      </c>
      <c r="BB249" s="527">
        <f t="shared" si="346"/>
        <v>219820.06782689955</v>
      </c>
      <c r="BC249" s="527">
        <f t="shared" si="346"/>
        <v>219820.06782689955</v>
      </c>
      <c r="BD249" s="527">
        <f t="shared" si="346"/>
        <v>219820.06782689955</v>
      </c>
      <c r="BE249" s="527">
        <f t="shared" si="346"/>
        <v>219820.06782689955</v>
      </c>
      <c r="BF249" s="527">
        <f t="shared" si="346"/>
        <v>219820.06782689955</v>
      </c>
      <c r="BG249" s="527">
        <f t="shared" si="346"/>
        <v>219820.06782689955</v>
      </c>
      <c r="BH249" s="527">
        <f t="shared" si="346"/>
        <v>251954.0345995469</v>
      </c>
      <c r="BI249" s="527">
        <f t="shared" si="346"/>
        <v>251954.0345995469</v>
      </c>
      <c r="BJ249" s="527">
        <f t="shared" si="346"/>
        <v>251954.0345995469</v>
      </c>
      <c r="BK249" s="527">
        <f t="shared" si="346"/>
        <v>251954.0345995469</v>
      </c>
      <c r="BL249" s="527">
        <f t="shared" si="346"/>
        <v>251954.0345995469</v>
      </c>
      <c r="BM249" s="527">
        <f t="shared" si="346"/>
        <v>251954.0345995469</v>
      </c>
      <c r="BN249" s="527">
        <f t="shared" si="346"/>
        <v>252330.2174383633</v>
      </c>
      <c r="BO249" s="527">
        <f t="shared" si="346"/>
        <v>252330.2174383633</v>
      </c>
      <c r="BP249" s="527">
        <f t="shared" si="346"/>
        <v>252330.2174383633</v>
      </c>
      <c r="BQ249" s="527">
        <f t="shared" si="346"/>
        <v>252330.2174383633</v>
      </c>
      <c r="BR249" s="527">
        <f t="shared" si="346"/>
        <v>252330.2174383633</v>
      </c>
      <c r="BS249" s="527">
        <f t="shared" si="346"/>
        <v>252330.2174383633</v>
      </c>
      <c r="BT249" s="527">
        <f t="shared" si="346"/>
        <v>261384.17297673132</v>
      </c>
      <c r="BU249" s="527">
        <f t="shared" si="346"/>
        <v>261384.17297673132</v>
      </c>
      <c r="BV249" s="527">
        <f t="shared" si="346"/>
        <v>261384.17297673132</v>
      </c>
      <c r="BW249" s="527">
        <f t="shared" si="346"/>
        <v>261384.17297673132</v>
      </c>
      <c r="BX249" s="527">
        <f t="shared" si="346"/>
        <v>261384.17297673132</v>
      </c>
      <c r="BY249" s="527">
        <f t="shared" si="346"/>
        <v>261384.17297673132</v>
      </c>
    </row>
    <row r="250" spans="1:77" x14ac:dyDescent="0.3">
      <c r="A250" s="551"/>
      <c r="B250" s="548"/>
      <c r="C250" s="525"/>
      <c r="D250" s="525"/>
      <c r="E250" s="620" t="str">
        <f>"BCF gross sales: "&amp;E$159</f>
        <v>BCF gross sales: FY31 Tranche</v>
      </c>
      <c r="F250" s="525"/>
      <c r="G250" s="525"/>
      <c r="H250" s="525"/>
      <c r="I250" s="525"/>
      <c r="J250" s="525"/>
      <c r="K250" s="525"/>
      <c r="L250" s="525"/>
      <c r="M250" s="525"/>
      <c r="N250" s="525"/>
      <c r="O250" s="525"/>
      <c r="P250" s="565"/>
      <c r="Q250" s="525"/>
      <c r="R250" s="527">
        <f t="shared" ref="R250:AW250" si="347">IFERROR(R242/R$223,0)</f>
        <v>198135.17652269872</v>
      </c>
      <c r="S250" s="527">
        <f t="shared" si="347"/>
        <v>198135.17652269872</v>
      </c>
      <c r="T250" s="527">
        <f t="shared" si="347"/>
        <v>198135.17652269872</v>
      </c>
      <c r="U250" s="527">
        <f t="shared" si="347"/>
        <v>198135.17652269872</v>
      </c>
      <c r="V250" s="527">
        <f t="shared" si="347"/>
        <v>198135.17652269872</v>
      </c>
      <c r="W250" s="527">
        <f t="shared" si="347"/>
        <v>198135.17652269872</v>
      </c>
      <c r="X250" s="527">
        <f t="shared" si="347"/>
        <v>198135.17652269872</v>
      </c>
      <c r="Y250" s="527">
        <f t="shared" si="347"/>
        <v>198135.17652269872</v>
      </c>
      <c r="Z250" s="527">
        <f t="shared" si="347"/>
        <v>198135.17652269872</v>
      </c>
      <c r="AA250" s="527">
        <f t="shared" si="347"/>
        <v>198135.17652269872</v>
      </c>
      <c r="AB250" s="527">
        <f t="shared" si="347"/>
        <v>198135.17652269872</v>
      </c>
      <c r="AC250" s="527">
        <f t="shared" si="347"/>
        <v>198135.17652269872</v>
      </c>
      <c r="AD250" s="527">
        <f t="shared" si="347"/>
        <v>205368.35237404917</v>
      </c>
      <c r="AE250" s="527">
        <f t="shared" si="347"/>
        <v>205368.35237404917</v>
      </c>
      <c r="AF250" s="527">
        <f t="shared" si="347"/>
        <v>205368.35237404917</v>
      </c>
      <c r="AG250" s="527">
        <f t="shared" si="347"/>
        <v>205368.35237404917</v>
      </c>
      <c r="AH250" s="527">
        <f t="shared" si="347"/>
        <v>205368.35237404917</v>
      </c>
      <c r="AI250" s="527">
        <f t="shared" si="347"/>
        <v>205368.35237404917</v>
      </c>
      <c r="AJ250" s="527">
        <f t="shared" si="347"/>
        <v>205368.35237404917</v>
      </c>
      <c r="AK250" s="527">
        <f t="shared" si="347"/>
        <v>205368.35237404917</v>
      </c>
      <c r="AL250" s="527">
        <f t="shared" si="347"/>
        <v>205368.35237404917</v>
      </c>
      <c r="AM250" s="527">
        <f t="shared" si="347"/>
        <v>205368.35237404917</v>
      </c>
      <c r="AN250" s="527">
        <f t="shared" si="347"/>
        <v>205368.35237404917</v>
      </c>
      <c r="AO250" s="527">
        <f t="shared" si="347"/>
        <v>205368.35237404917</v>
      </c>
      <c r="AP250" s="527">
        <f t="shared" si="347"/>
        <v>212612.48125703353</v>
      </c>
      <c r="AQ250" s="527">
        <f t="shared" si="347"/>
        <v>212612.48125703353</v>
      </c>
      <c r="AR250" s="527">
        <f t="shared" si="347"/>
        <v>212612.48125703353</v>
      </c>
      <c r="AS250" s="527">
        <f t="shared" si="347"/>
        <v>212612.48125703353</v>
      </c>
      <c r="AT250" s="527">
        <f t="shared" si="347"/>
        <v>212612.48125703353</v>
      </c>
      <c r="AU250" s="527">
        <f t="shared" si="347"/>
        <v>212612.48125703353</v>
      </c>
      <c r="AV250" s="527">
        <f t="shared" si="347"/>
        <v>212612.48125703353</v>
      </c>
      <c r="AW250" s="527">
        <f t="shared" si="347"/>
        <v>212612.48125703353</v>
      </c>
      <c r="AX250" s="527">
        <f t="shared" ref="AX250:BY250" si="348">IFERROR(AX242/AX$223,0)</f>
        <v>212612.48125703353</v>
      </c>
      <c r="AY250" s="527">
        <f t="shared" si="348"/>
        <v>212612.48125703353</v>
      </c>
      <c r="AZ250" s="527">
        <f t="shared" si="348"/>
        <v>212612.48125703353</v>
      </c>
      <c r="BA250" s="527">
        <f t="shared" si="348"/>
        <v>212612.48125703353</v>
      </c>
      <c r="BB250" s="527">
        <f t="shared" si="348"/>
        <v>219820.06782689955</v>
      </c>
      <c r="BC250" s="527">
        <f t="shared" si="348"/>
        <v>219820.06782689955</v>
      </c>
      <c r="BD250" s="527">
        <f t="shared" si="348"/>
        <v>219820.06782689955</v>
      </c>
      <c r="BE250" s="527">
        <f t="shared" si="348"/>
        <v>219820.06782689955</v>
      </c>
      <c r="BF250" s="527">
        <f t="shared" si="348"/>
        <v>219820.06782689955</v>
      </c>
      <c r="BG250" s="527">
        <f t="shared" si="348"/>
        <v>219820.06782689955</v>
      </c>
      <c r="BH250" s="527">
        <f t="shared" si="348"/>
        <v>219820.06782689955</v>
      </c>
      <c r="BI250" s="527">
        <f t="shared" si="348"/>
        <v>219820.06782689955</v>
      </c>
      <c r="BJ250" s="527">
        <f t="shared" si="348"/>
        <v>219820.06782689955</v>
      </c>
      <c r="BK250" s="527">
        <f t="shared" si="348"/>
        <v>219820.06782689955</v>
      </c>
      <c r="BL250" s="527">
        <f t="shared" si="348"/>
        <v>219820.06782689955</v>
      </c>
      <c r="BM250" s="527">
        <f t="shared" si="348"/>
        <v>219820.06782689955</v>
      </c>
      <c r="BN250" s="527">
        <f t="shared" si="348"/>
        <v>227275.53127512769</v>
      </c>
      <c r="BO250" s="527">
        <f t="shared" si="348"/>
        <v>227275.53127512769</v>
      </c>
      <c r="BP250" s="527">
        <f t="shared" si="348"/>
        <v>227275.53127512769</v>
      </c>
      <c r="BQ250" s="527">
        <f t="shared" si="348"/>
        <v>227275.53127512769</v>
      </c>
      <c r="BR250" s="527">
        <f t="shared" si="348"/>
        <v>227275.53127512769</v>
      </c>
      <c r="BS250" s="527">
        <f t="shared" si="348"/>
        <v>227275.53127512769</v>
      </c>
      <c r="BT250" s="527">
        <f t="shared" si="348"/>
        <v>259677.68418748319</v>
      </c>
      <c r="BU250" s="527">
        <f t="shared" si="348"/>
        <v>259677.68418748319</v>
      </c>
      <c r="BV250" s="527">
        <f t="shared" si="348"/>
        <v>259677.68418748319</v>
      </c>
      <c r="BW250" s="527">
        <f t="shared" si="348"/>
        <v>259677.68418748319</v>
      </c>
      <c r="BX250" s="527">
        <f t="shared" si="348"/>
        <v>259677.68418748319</v>
      </c>
      <c r="BY250" s="527">
        <f t="shared" si="348"/>
        <v>259677.68418748319</v>
      </c>
    </row>
    <row r="251" spans="1:77" x14ac:dyDescent="0.3">
      <c r="A251" s="551"/>
      <c r="B251" s="548"/>
      <c r="C251" s="525"/>
      <c r="D251" s="525"/>
      <c r="E251" s="620" t="str">
        <f>"BCF gross sales: "&amp;E$160</f>
        <v>BCF gross sales: Uninvested Tranche</v>
      </c>
      <c r="F251" s="525"/>
      <c r="G251" s="525"/>
      <c r="H251" s="525"/>
      <c r="I251" s="525"/>
      <c r="J251" s="525"/>
      <c r="K251" s="525"/>
      <c r="L251" s="525"/>
      <c r="M251" s="525"/>
      <c r="N251" s="525"/>
      <c r="O251" s="525"/>
      <c r="P251" s="565"/>
      <c r="Q251" s="525"/>
      <c r="R251" s="527">
        <f t="shared" ref="R251:AW251" si="349">IFERROR(R243/R$223,0)</f>
        <v>442890.39458014996</v>
      </c>
      <c r="S251" s="527">
        <f t="shared" si="349"/>
        <v>442890.39458014996</v>
      </c>
      <c r="T251" s="527">
        <f t="shared" si="349"/>
        <v>442890.39458014996</v>
      </c>
      <c r="U251" s="527">
        <f t="shared" si="349"/>
        <v>442890.39458014996</v>
      </c>
      <c r="V251" s="527">
        <f t="shared" si="349"/>
        <v>442890.39458014996</v>
      </c>
      <c r="W251" s="527">
        <f t="shared" si="349"/>
        <v>442890.39458014996</v>
      </c>
      <c r="X251" s="527">
        <f t="shared" si="349"/>
        <v>442890.39458014996</v>
      </c>
      <c r="Y251" s="527">
        <f t="shared" si="349"/>
        <v>442890.39458014996</v>
      </c>
      <c r="Z251" s="527">
        <f t="shared" si="349"/>
        <v>442890.39458014996</v>
      </c>
      <c r="AA251" s="527">
        <f t="shared" si="349"/>
        <v>442890.39458014996</v>
      </c>
      <c r="AB251" s="527">
        <f t="shared" si="349"/>
        <v>442890.39458014996</v>
      </c>
      <c r="AC251" s="527">
        <f t="shared" si="349"/>
        <v>442890.39458014996</v>
      </c>
      <c r="AD251" s="527">
        <f t="shared" si="349"/>
        <v>459058.67001258046</v>
      </c>
      <c r="AE251" s="527">
        <f t="shared" si="349"/>
        <v>459058.67001258046</v>
      </c>
      <c r="AF251" s="527">
        <f t="shared" si="349"/>
        <v>459058.67001258046</v>
      </c>
      <c r="AG251" s="527">
        <f t="shared" si="349"/>
        <v>459058.67001258046</v>
      </c>
      <c r="AH251" s="527">
        <f t="shared" si="349"/>
        <v>459058.67001258046</v>
      </c>
      <c r="AI251" s="527">
        <f t="shared" si="349"/>
        <v>459058.67001258046</v>
      </c>
      <c r="AJ251" s="527">
        <f t="shared" si="349"/>
        <v>459058.67001258046</v>
      </c>
      <c r="AK251" s="527">
        <f t="shared" si="349"/>
        <v>459058.67001258046</v>
      </c>
      <c r="AL251" s="527">
        <f t="shared" si="349"/>
        <v>459058.67001258046</v>
      </c>
      <c r="AM251" s="527">
        <f t="shared" si="349"/>
        <v>459058.67001258046</v>
      </c>
      <c r="AN251" s="527">
        <f t="shared" si="349"/>
        <v>459058.67001258046</v>
      </c>
      <c r="AO251" s="527">
        <f t="shared" si="349"/>
        <v>459058.67001258046</v>
      </c>
      <c r="AP251" s="527">
        <f t="shared" si="349"/>
        <v>475251.42869219265</v>
      </c>
      <c r="AQ251" s="527">
        <f t="shared" si="349"/>
        <v>475251.42869219265</v>
      </c>
      <c r="AR251" s="527">
        <f t="shared" si="349"/>
        <v>475251.42869219265</v>
      </c>
      <c r="AS251" s="527">
        <f t="shared" si="349"/>
        <v>475251.42869219265</v>
      </c>
      <c r="AT251" s="527">
        <f t="shared" si="349"/>
        <v>475251.42869219265</v>
      </c>
      <c r="AU251" s="527">
        <f t="shared" si="349"/>
        <v>475251.42869219265</v>
      </c>
      <c r="AV251" s="527">
        <f t="shared" si="349"/>
        <v>475251.42869219265</v>
      </c>
      <c r="AW251" s="527">
        <f t="shared" si="349"/>
        <v>475251.42869219265</v>
      </c>
      <c r="AX251" s="527">
        <f t="shared" ref="AX251:BY251" si="350">IFERROR(AX243/AX$223,0)</f>
        <v>475251.42869219265</v>
      </c>
      <c r="AY251" s="527">
        <f t="shared" si="350"/>
        <v>475251.42869219265</v>
      </c>
      <c r="AZ251" s="527">
        <f t="shared" si="350"/>
        <v>475251.42869219265</v>
      </c>
      <c r="BA251" s="527">
        <f t="shared" si="350"/>
        <v>475251.42869219265</v>
      </c>
      <c r="BB251" s="527">
        <f t="shared" si="350"/>
        <v>491362.50455424603</v>
      </c>
      <c r="BC251" s="527">
        <f t="shared" si="350"/>
        <v>491362.50455424603</v>
      </c>
      <c r="BD251" s="527">
        <f t="shared" si="350"/>
        <v>491362.50455424603</v>
      </c>
      <c r="BE251" s="527">
        <f t="shared" si="350"/>
        <v>491362.50455424603</v>
      </c>
      <c r="BF251" s="527">
        <f t="shared" si="350"/>
        <v>491362.50455424603</v>
      </c>
      <c r="BG251" s="527">
        <f t="shared" si="350"/>
        <v>491362.50455424603</v>
      </c>
      <c r="BH251" s="527">
        <f t="shared" si="350"/>
        <v>491362.50455424603</v>
      </c>
      <c r="BI251" s="527">
        <f t="shared" si="350"/>
        <v>491362.50455424603</v>
      </c>
      <c r="BJ251" s="527">
        <f t="shared" si="350"/>
        <v>491362.50455424603</v>
      </c>
      <c r="BK251" s="527">
        <f t="shared" si="350"/>
        <v>491362.50455424603</v>
      </c>
      <c r="BL251" s="527">
        <f t="shared" si="350"/>
        <v>491362.50455424603</v>
      </c>
      <c r="BM251" s="527">
        <f t="shared" si="350"/>
        <v>491362.50455424603</v>
      </c>
      <c r="BN251" s="527">
        <f t="shared" si="350"/>
        <v>508027.65814440302</v>
      </c>
      <c r="BO251" s="527">
        <f t="shared" si="350"/>
        <v>508027.65814440302</v>
      </c>
      <c r="BP251" s="527">
        <f t="shared" si="350"/>
        <v>508027.65814440302</v>
      </c>
      <c r="BQ251" s="527">
        <f t="shared" si="350"/>
        <v>508027.65814440302</v>
      </c>
      <c r="BR251" s="527">
        <f t="shared" si="350"/>
        <v>508027.65814440302</v>
      </c>
      <c r="BS251" s="527">
        <f t="shared" si="350"/>
        <v>508027.65814440302</v>
      </c>
      <c r="BT251" s="527">
        <f t="shared" si="350"/>
        <v>508027.65814440302</v>
      </c>
      <c r="BU251" s="527">
        <f t="shared" si="350"/>
        <v>508027.65814440302</v>
      </c>
      <c r="BV251" s="527">
        <f t="shared" si="350"/>
        <v>508027.65814440302</v>
      </c>
      <c r="BW251" s="527">
        <f t="shared" si="350"/>
        <v>508027.65814440302</v>
      </c>
      <c r="BX251" s="527">
        <f t="shared" si="350"/>
        <v>508027.65814440302</v>
      </c>
      <c r="BY251" s="527">
        <f t="shared" si="350"/>
        <v>508027.65814440302</v>
      </c>
    </row>
    <row r="252" spans="1:77" x14ac:dyDescent="0.3">
      <c r="A252" s="551"/>
      <c r="B252" s="548"/>
      <c r="C252" s="525"/>
      <c r="D252" s="525"/>
      <c r="E252" s="572" t="s">
        <v>36</v>
      </c>
      <c r="F252" s="572"/>
      <c r="G252" s="572"/>
      <c r="H252" s="572"/>
      <c r="I252" s="572"/>
      <c r="J252" s="572"/>
      <c r="K252" s="572"/>
      <c r="L252" s="572"/>
      <c r="M252" s="572"/>
      <c r="N252" s="572"/>
      <c r="O252" s="572"/>
      <c r="P252" s="612"/>
      <c r="Q252" s="572"/>
      <c r="R252" s="530">
        <f t="shared" ref="R252:AW252" si="351">SUM(R246:R251)</f>
        <v>1433566.2771936436</v>
      </c>
      <c r="S252" s="530">
        <f t="shared" si="351"/>
        <v>1433566.2771936436</v>
      </c>
      <c r="T252" s="530">
        <f t="shared" si="351"/>
        <v>1433566.2771936436</v>
      </c>
      <c r="U252" s="530">
        <f t="shared" si="351"/>
        <v>1433566.2771936436</v>
      </c>
      <c r="V252" s="530">
        <f t="shared" si="351"/>
        <v>1433566.2771936436</v>
      </c>
      <c r="W252" s="530">
        <f t="shared" si="351"/>
        <v>1433566.2771936436</v>
      </c>
      <c r="X252" s="530">
        <f t="shared" si="351"/>
        <v>1464796.1916474812</v>
      </c>
      <c r="Y252" s="530">
        <f t="shared" si="351"/>
        <v>1464796.1916474812</v>
      </c>
      <c r="Z252" s="530">
        <f t="shared" si="351"/>
        <v>1464796.1916474812</v>
      </c>
      <c r="AA252" s="530">
        <f t="shared" si="351"/>
        <v>1464796.1916474812</v>
      </c>
      <c r="AB252" s="530">
        <f t="shared" si="351"/>
        <v>1464796.1916474812</v>
      </c>
      <c r="AC252" s="530">
        <f t="shared" si="351"/>
        <v>1464796.1916474812</v>
      </c>
      <c r="AD252" s="530">
        <f t="shared" si="351"/>
        <v>1509462.16277947</v>
      </c>
      <c r="AE252" s="530">
        <f t="shared" si="351"/>
        <v>1509462.16277947</v>
      </c>
      <c r="AF252" s="530">
        <f t="shared" si="351"/>
        <v>1509462.16277947</v>
      </c>
      <c r="AG252" s="530">
        <f t="shared" si="351"/>
        <v>1509462.16277947</v>
      </c>
      <c r="AH252" s="530">
        <f t="shared" si="351"/>
        <v>1509462.16277947</v>
      </c>
      <c r="AI252" s="530">
        <f t="shared" si="351"/>
        <v>1509462.16277947</v>
      </c>
      <c r="AJ252" s="530">
        <f t="shared" si="351"/>
        <v>1549442.1932360132</v>
      </c>
      <c r="AK252" s="530">
        <f t="shared" si="351"/>
        <v>1549442.1932360132</v>
      </c>
      <c r="AL252" s="530">
        <f t="shared" si="351"/>
        <v>1549442.1932360132</v>
      </c>
      <c r="AM252" s="530">
        <f t="shared" si="351"/>
        <v>1549442.1932360132</v>
      </c>
      <c r="AN252" s="530">
        <f t="shared" si="351"/>
        <v>1549442.1932360132</v>
      </c>
      <c r="AO252" s="530">
        <f t="shared" si="351"/>
        <v>1549442.1932360132</v>
      </c>
      <c r="AP252" s="530">
        <f t="shared" si="351"/>
        <v>1586882.6665405873</v>
      </c>
      <c r="AQ252" s="530">
        <f t="shared" si="351"/>
        <v>1586882.6665405873</v>
      </c>
      <c r="AR252" s="530">
        <f t="shared" si="351"/>
        <v>1586882.6665405873</v>
      </c>
      <c r="AS252" s="530">
        <f t="shared" si="351"/>
        <v>1586882.6665405873</v>
      </c>
      <c r="AT252" s="530">
        <f t="shared" si="351"/>
        <v>1586882.6665405873</v>
      </c>
      <c r="AU252" s="530">
        <f t="shared" si="351"/>
        <v>1586882.6665405873</v>
      </c>
      <c r="AV252" s="530">
        <f t="shared" si="351"/>
        <v>1636042.7688470813</v>
      </c>
      <c r="AW252" s="530">
        <f t="shared" si="351"/>
        <v>1636042.7688470813</v>
      </c>
      <c r="AX252" s="530">
        <f t="shared" ref="AX252:BY252" si="352">SUM(AX246:AX251)</f>
        <v>1636042.7688470813</v>
      </c>
      <c r="AY252" s="530">
        <f t="shared" si="352"/>
        <v>1636042.7688470813</v>
      </c>
      <c r="AZ252" s="530">
        <f t="shared" si="352"/>
        <v>1636042.7688470813</v>
      </c>
      <c r="BA252" s="530">
        <f t="shared" si="352"/>
        <v>1636042.7688470813</v>
      </c>
      <c r="BB252" s="530">
        <f t="shared" si="352"/>
        <v>1666898.1885250502</v>
      </c>
      <c r="BC252" s="530">
        <f t="shared" si="352"/>
        <v>1666898.1885250502</v>
      </c>
      <c r="BD252" s="530">
        <f t="shared" si="352"/>
        <v>1666898.1885250502</v>
      </c>
      <c r="BE252" s="530">
        <f t="shared" si="352"/>
        <v>1666898.1885250502</v>
      </c>
      <c r="BF252" s="530">
        <f t="shared" si="352"/>
        <v>1666898.1885250502</v>
      </c>
      <c r="BG252" s="530">
        <f t="shared" si="352"/>
        <v>1666898.1885250502</v>
      </c>
      <c r="BH252" s="530">
        <f t="shared" si="352"/>
        <v>1725696.2492689488</v>
      </c>
      <c r="BI252" s="530">
        <f t="shared" si="352"/>
        <v>1725696.2492689488</v>
      </c>
      <c r="BJ252" s="530">
        <f t="shared" si="352"/>
        <v>1725696.2492689488</v>
      </c>
      <c r="BK252" s="530">
        <f t="shared" si="352"/>
        <v>1725696.2492689488</v>
      </c>
      <c r="BL252" s="530">
        <f t="shared" si="352"/>
        <v>1725696.2492689488</v>
      </c>
      <c r="BM252" s="530">
        <f t="shared" si="352"/>
        <v>1725696.2492689488</v>
      </c>
      <c r="BN252" s="530">
        <f t="shared" si="352"/>
        <v>1751248.2175729075</v>
      </c>
      <c r="BO252" s="530">
        <f t="shared" si="352"/>
        <v>1751248.2175729075</v>
      </c>
      <c r="BP252" s="530">
        <f t="shared" si="352"/>
        <v>1751248.2175729075</v>
      </c>
      <c r="BQ252" s="530">
        <f t="shared" si="352"/>
        <v>1751248.2175729075</v>
      </c>
      <c r="BR252" s="530">
        <f t="shared" si="352"/>
        <v>1751248.2175729075</v>
      </c>
      <c r="BS252" s="530">
        <f t="shared" si="352"/>
        <v>1751248.2175729075</v>
      </c>
      <c r="BT252" s="530">
        <f t="shared" si="352"/>
        <v>1820131.1589747318</v>
      </c>
      <c r="BU252" s="530">
        <f t="shared" si="352"/>
        <v>1820131.1589747318</v>
      </c>
      <c r="BV252" s="530">
        <f t="shared" si="352"/>
        <v>1820131.1589747318</v>
      </c>
      <c r="BW252" s="530">
        <f t="shared" si="352"/>
        <v>1820131.1589747318</v>
      </c>
      <c r="BX252" s="530">
        <f t="shared" si="352"/>
        <v>1820131.1589747318</v>
      </c>
      <c r="BY252" s="530">
        <f t="shared" si="352"/>
        <v>1820131.1589747318</v>
      </c>
    </row>
    <row r="253" spans="1:77" x14ac:dyDescent="0.3">
      <c r="A253" s="551"/>
      <c r="B253" s="548"/>
      <c r="C253" s="525"/>
      <c r="D253" s="525"/>
      <c r="E253" s="525"/>
      <c r="F253" s="525"/>
      <c r="G253" s="525"/>
      <c r="H253" s="525"/>
      <c r="I253" s="525"/>
      <c r="J253" s="525"/>
      <c r="K253" s="525"/>
      <c r="L253" s="525"/>
      <c r="M253" s="525"/>
      <c r="N253" s="525"/>
      <c r="O253" s="525"/>
      <c r="P253" s="565"/>
      <c r="Q253" s="525"/>
      <c r="R253" s="525"/>
      <c r="S253" s="525"/>
      <c r="T253" s="525"/>
      <c r="U253" s="525"/>
      <c r="V253" s="525"/>
      <c r="W253" s="525"/>
      <c r="X253" s="525"/>
      <c r="Y253" s="525"/>
      <c r="Z253" s="525"/>
      <c r="AA253" s="525"/>
      <c r="AB253" s="525"/>
      <c r="AC253" s="525"/>
      <c r="AD253" s="525"/>
      <c r="AE253" s="525"/>
      <c r="AF253" s="525"/>
      <c r="AG253" s="525"/>
      <c r="AH253" s="525"/>
      <c r="AI253" s="525"/>
      <c r="AJ253" s="525"/>
      <c r="AK253" s="525"/>
      <c r="AL253" s="525"/>
      <c r="AM253" s="525"/>
      <c r="AN253" s="525"/>
      <c r="AO253" s="525"/>
      <c r="AP253" s="525"/>
      <c r="AQ253" s="525"/>
      <c r="AR253" s="525"/>
      <c r="AS253" s="525"/>
      <c r="AT253" s="525"/>
      <c r="AU253" s="525"/>
      <c r="AV253" s="525"/>
      <c r="AW253" s="525"/>
      <c r="AX253" s="525"/>
      <c r="AY253" s="525"/>
      <c r="AZ253" s="525"/>
      <c r="BA253" s="525"/>
      <c r="BB253" s="525"/>
      <c r="BC253" s="525"/>
      <c r="BD253" s="525"/>
      <c r="BE253" s="525"/>
      <c r="BF253" s="525"/>
      <c r="BG253" s="525"/>
      <c r="BH253" s="525"/>
      <c r="BI253" s="525"/>
      <c r="BJ253" s="525"/>
      <c r="BK253" s="525"/>
      <c r="BL253" s="525"/>
      <c r="BM253" s="525"/>
      <c r="BN253" s="525"/>
      <c r="BO253" s="525"/>
      <c r="BP253" s="525"/>
      <c r="BQ253" s="525"/>
      <c r="BR253" s="525"/>
      <c r="BS253" s="525"/>
      <c r="BT253" s="525"/>
      <c r="BU253" s="525"/>
      <c r="BV253" s="525"/>
      <c r="BW253" s="525"/>
      <c r="BX253" s="525"/>
      <c r="BY253" s="525"/>
    </row>
    <row r="254" spans="1:77" x14ac:dyDescent="0.3">
      <c r="A254" s="551"/>
      <c r="B254" s="548"/>
      <c r="C254" s="525"/>
      <c r="D254" s="525"/>
      <c r="E254" s="621" t="str">
        <f>"BCF cost of sales: "&amp;E$155</f>
        <v>BCF cost of sales: FY27 Tranche</v>
      </c>
      <c r="F254" s="525"/>
      <c r="G254" s="525"/>
      <c r="H254" s="525"/>
      <c r="I254" s="525"/>
      <c r="J254" s="525"/>
      <c r="K254" s="525"/>
      <c r="L254" s="525"/>
      <c r="M254" s="525"/>
      <c r="N254" s="525"/>
      <c r="O254" s="525"/>
      <c r="P254" s="565"/>
      <c r="Q254" s="525"/>
      <c r="R254" s="527">
        <f t="shared" ref="R254:AW254" si="353">(R238-R246)*R$228</f>
        <v>-61252.231776639856</v>
      </c>
      <c r="S254" s="527">
        <f t="shared" si="353"/>
        <v>-61252.231776639856</v>
      </c>
      <c r="T254" s="527">
        <f t="shared" si="353"/>
        <v>-61252.231776639856</v>
      </c>
      <c r="U254" s="527">
        <f t="shared" si="353"/>
        <v>-61252.231776639856</v>
      </c>
      <c r="V254" s="527">
        <f t="shared" si="353"/>
        <v>-61252.231776639856</v>
      </c>
      <c r="W254" s="527">
        <f t="shared" si="353"/>
        <v>-61252.231776639856</v>
      </c>
      <c r="X254" s="527">
        <f t="shared" si="353"/>
        <v>-70906.761537900835</v>
      </c>
      <c r="Y254" s="527">
        <f t="shared" si="353"/>
        <v>-70906.761537900835</v>
      </c>
      <c r="Z254" s="527">
        <f t="shared" si="353"/>
        <v>-70906.761537900835</v>
      </c>
      <c r="AA254" s="527">
        <f t="shared" si="353"/>
        <v>-70906.761537900835</v>
      </c>
      <c r="AB254" s="527">
        <f t="shared" si="353"/>
        <v>-70906.761537900835</v>
      </c>
      <c r="AC254" s="527">
        <f t="shared" si="353"/>
        <v>-70906.761537900835</v>
      </c>
      <c r="AD254" s="527">
        <f t="shared" si="353"/>
        <v>-68963.105047754943</v>
      </c>
      <c r="AE254" s="527">
        <f t="shared" si="353"/>
        <v>-68963.105047754943</v>
      </c>
      <c r="AF254" s="527">
        <f t="shared" si="353"/>
        <v>-68963.105047754943</v>
      </c>
      <c r="AG254" s="527">
        <f t="shared" si="353"/>
        <v>-68963.105047754943</v>
      </c>
      <c r="AH254" s="527">
        <f t="shared" si="353"/>
        <v>-68963.105047754943</v>
      </c>
      <c r="AI254" s="527">
        <f t="shared" si="353"/>
        <v>-68963.105047754943</v>
      </c>
      <c r="AJ254" s="527">
        <f t="shared" si="353"/>
        <v>-71505.536110750836</v>
      </c>
      <c r="AK254" s="527">
        <f t="shared" si="353"/>
        <v>-71505.536110750836</v>
      </c>
      <c r="AL254" s="527">
        <f t="shared" si="353"/>
        <v>-71505.536110750836</v>
      </c>
      <c r="AM254" s="527">
        <f t="shared" si="353"/>
        <v>-71505.536110750836</v>
      </c>
      <c r="AN254" s="527">
        <f t="shared" si="353"/>
        <v>-71505.536110750836</v>
      </c>
      <c r="AO254" s="527">
        <f t="shared" si="353"/>
        <v>-71505.536110750836</v>
      </c>
      <c r="AP254" s="527">
        <f t="shared" si="353"/>
        <v>-69695.322853783815</v>
      </c>
      <c r="AQ254" s="527">
        <f t="shared" si="353"/>
        <v>-69695.322853783815</v>
      </c>
      <c r="AR254" s="527">
        <f t="shared" si="353"/>
        <v>-69695.322853783815</v>
      </c>
      <c r="AS254" s="527">
        <f t="shared" si="353"/>
        <v>-69695.322853783815</v>
      </c>
      <c r="AT254" s="527">
        <f t="shared" si="353"/>
        <v>-69695.322853783815</v>
      </c>
      <c r="AU254" s="527">
        <f t="shared" si="353"/>
        <v>-69695.322853783815</v>
      </c>
      <c r="AV254" s="527">
        <f t="shared" si="353"/>
        <v>-72242.804570363864</v>
      </c>
      <c r="AW254" s="527">
        <f t="shared" si="353"/>
        <v>-72242.804570363864</v>
      </c>
      <c r="AX254" s="527">
        <f t="shared" ref="AX254:BY254" si="354">(AX238-AX246)*AX$228</f>
        <v>-72242.804570363864</v>
      </c>
      <c r="AY254" s="527">
        <f t="shared" si="354"/>
        <v>-72242.804570363864</v>
      </c>
      <c r="AZ254" s="527">
        <f t="shared" si="354"/>
        <v>-72242.804570363864</v>
      </c>
      <c r="BA254" s="527">
        <f t="shared" si="354"/>
        <v>-72242.804570363864</v>
      </c>
      <c r="BB254" s="527">
        <f t="shared" si="354"/>
        <v>-70616.867210707147</v>
      </c>
      <c r="BC254" s="527">
        <f t="shared" si="354"/>
        <v>-70616.867210707147</v>
      </c>
      <c r="BD254" s="527">
        <f t="shared" si="354"/>
        <v>-70616.867210707147</v>
      </c>
      <c r="BE254" s="527">
        <f t="shared" si="354"/>
        <v>-70616.867210707147</v>
      </c>
      <c r="BF254" s="527">
        <f t="shared" si="354"/>
        <v>-70616.867210707147</v>
      </c>
      <c r="BG254" s="527">
        <f t="shared" si="354"/>
        <v>-70616.867210707147</v>
      </c>
      <c r="BH254" s="527">
        <f t="shared" si="354"/>
        <v>-73176.210739552451</v>
      </c>
      <c r="BI254" s="527">
        <f t="shared" si="354"/>
        <v>-73176.210739552451</v>
      </c>
      <c r="BJ254" s="527">
        <f t="shared" si="354"/>
        <v>-73176.210739552451</v>
      </c>
      <c r="BK254" s="527">
        <f t="shared" si="354"/>
        <v>-73176.210739552451</v>
      </c>
      <c r="BL254" s="527">
        <f t="shared" si="354"/>
        <v>-73176.210739552451</v>
      </c>
      <c r="BM254" s="527">
        <f t="shared" si="354"/>
        <v>-73176.210739552451</v>
      </c>
      <c r="BN254" s="527">
        <f t="shared" si="354"/>
        <v>-71602.020578904339</v>
      </c>
      <c r="BO254" s="527">
        <f t="shared" si="354"/>
        <v>-71602.020578904339</v>
      </c>
      <c r="BP254" s="527">
        <f t="shared" si="354"/>
        <v>-71602.020578904339</v>
      </c>
      <c r="BQ254" s="527">
        <f t="shared" si="354"/>
        <v>-71602.020578904339</v>
      </c>
      <c r="BR254" s="527">
        <f t="shared" si="354"/>
        <v>-71602.020578904339</v>
      </c>
      <c r="BS254" s="527">
        <f t="shared" si="354"/>
        <v>-71602.020578904339</v>
      </c>
      <c r="BT254" s="527">
        <f t="shared" si="354"/>
        <v>-74174.460708325671</v>
      </c>
      <c r="BU254" s="527">
        <f t="shared" si="354"/>
        <v>-74174.460708325671</v>
      </c>
      <c r="BV254" s="527">
        <f t="shared" si="354"/>
        <v>-74174.460708325671</v>
      </c>
      <c r="BW254" s="527">
        <f t="shared" si="354"/>
        <v>-74174.460708325671</v>
      </c>
      <c r="BX254" s="527">
        <f t="shared" si="354"/>
        <v>-74174.460708325671</v>
      </c>
      <c r="BY254" s="527">
        <f t="shared" si="354"/>
        <v>-74174.460708325671</v>
      </c>
    </row>
    <row r="255" spans="1:77" x14ac:dyDescent="0.3">
      <c r="A255" s="551"/>
      <c r="B255" s="548"/>
      <c r="C255" s="525"/>
      <c r="D255" s="525"/>
      <c r="E255" s="621" t="str">
        <f>"BCF cost of sales: "&amp;E$156</f>
        <v>BCF cost of sales: FY28 Tranche</v>
      </c>
      <c r="F255" s="525"/>
      <c r="G255" s="525"/>
      <c r="H255" s="525"/>
      <c r="I255" s="525"/>
      <c r="J255" s="525"/>
      <c r="K255" s="525"/>
      <c r="L255" s="525"/>
      <c r="M255" s="525"/>
      <c r="N255" s="525"/>
      <c r="O255" s="525"/>
      <c r="P255" s="565"/>
      <c r="Q255" s="525"/>
      <c r="R255" s="527">
        <f t="shared" ref="R255:AW255" si="355">(R239-R247)*R$228</f>
        <v>-61252.231776639856</v>
      </c>
      <c r="S255" s="527">
        <f t="shared" si="355"/>
        <v>-61252.231776639856</v>
      </c>
      <c r="T255" s="527">
        <f t="shared" si="355"/>
        <v>-61252.231776639856</v>
      </c>
      <c r="U255" s="527">
        <f t="shared" si="355"/>
        <v>-61252.231776639856</v>
      </c>
      <c r="V255" s="527">
        <f t="shared" si="355"/>
        <v>-61252.231776639856</v>
      </c>
      <c r="W255" s="527">
        <f t="shared" si="355"/>
        <v>-61252.231776639856</v>
      </c>
      <c r="X255" s="527">
        <f t="shared" si="355"/>
        <v>-61252.231776639856</v>
      </c>
      <c r="Y255" s="527">
        <f t="shared" si="355"/>
        <v>-61252.231776639856</v>
      </c>
      <c r="Z255" s="527">
        <f t="shared" si="355"/>
        <v>-61252.231776639856</v>
      </c>
      <c r="AA255" s="527">
        <f t="shared" si="355"/>
        <v>-61252.231776639856</v>
      </c>
      <c r="AB255" s="527">
        <f t="shared" si="355"/>
        <v>-61252.231776639856</v>
      </c>
      <c r="AC255" s="527">
        <f t="shared" si="355"/>
        <v>-61252.231776639856</v>
      </c>
      <c r="AD255" s="527">
        <f t="shared" si="355"/>
        <v>-61865.347952149205</v>
      </c>
      <c r="AE255" s="527">
        <f t="shared" si="355"/>
        <v>-61865.347952149205</v>
      </c>
      <c r="AF255" s="527">
        <f t="shared" si="355"/>
        <v>-61865.347952149205</v>
      </c>
      <c r="AG255" s="527">
        <f t="shared" si="355"/>
        <v>-61865.347952149205</v>
      </c>
      <c r="AH255" s="527">
        <f t="shared" si="355"/>
        <v>-61865.347952149205</v>
      </c>
      <c r="AI255" s="527">
        <f t="shared" si="355"/>
        <v>-61865.347952149205</v>
      </c>
      <c r="AJ255" s="527">
        <f t="shared" si="355"/>
        <v>-71366.537372735198</v>
      </c>
      <c r="AK255" s="527">
        <f t="shared" si="355"/>
        <v>-71366.537372735198</v>
      </c>
      <c r="AL255" s="527">
        <f t="shared" si="355"/>
        <v>-71366.537372735198</v>
      </c>
      <c r="AM255" s="527">
        <f t="shared" si="355"/>
        <v>-71366.537372735198</v>
      </c>
      <c r="AN255" s="527">
        <f t="shared" si="355"/>
        <v>-71366.537372735198</v>
      </c>
      <c r="AO255" s="527">
        <f t="shared" si="355"/>
        <v>-71366.537372735198</v>
      </c>
      <c r="AP255" s="527">
        <f t="shared" si="355"/>
        <v>-69561.404714114164</v>
      </c>
      <c r="AQ255" s="527">
        <f t="shared" si="355"/>
        <v>-69561.404714114164</v>
      </c>
      <c r="AR255" s="527">
        <f t="shared" si="355"/>
        <v>-69561.404714114164</v>
      </c>
      <c r="AS255" s="527">
        <f t="shared" si="355"/>
        <v>-69561.404714114164</v>
      </c>
      <c r="AT255" s="527">
        <f t="shared" si="355"/>
        <v>-69561.404714114164</v>
      </c>
      <c r="AU255" s="527">
        <f t="shared" si="355"/>
        <v>-69561.404714114164</v>
      </c>
      <c r="AV255" s="527">
        <f t="shared" si="355"/>
        <v>-72103.52970510743</v>
      </c>
      <c r="AW255" s="527">
        <f t="shared" si="355"/>
        <v>-72103.52970510743</v>
      </c>
      <c r="AX255" s="527">
        <f t="shared" ref="AX255:BY255" si="356">(AX239-AX247)*AX$228</f>
        <v>-72103.52970510743</v>
      </c>
      <c r="AY255" s="527">
        <f t="shared" si="356"/>
        <v>-72103.52970510743</v>
      </c>
      <c r="AZ255" s="527">
        <f t="shared" si="356"/>
        <v>-72103.52970510743</v>
      </c>
      <c r="BA255" s="527">
        <f t="shared" si="356"/>
        <v>-72103.52970510743</v>
      </c>
      <c r="BB255" s="527">
        <f t="shared" si="356"/>
        <v>-70482.325509415314</v>
      </c>
      <c r="BC255" s="527">
        <f t="shared" si="356"/>
        <v>-70482.325509415314</v>
      </c>
      <c r="BD255" s="527">
        <f t="shared" si="356"/>
        <v>-70482.325509415314</v>
      </c>
      <c r="BE255" s="527">
        <f t="shared" si="356"/>
        <v>-70482.325509415314</v>
      </c>
      <c r="BF255" s="527">
        <f t="shared" si="356"/>
        <v>-70482.325509415314</v>
      </c>
      <c r="BG255" s="527">
        <f t="shared" si="356"/>
        <v>-70482.325509415314</v>
      </c>
      <c r="BH255" s="527">
        <f t="shared" si="356"/>
        <v>-73036.287370208927</v>
      </c>
      <c r="BI255" s="527">
        <f t="shared" si="356"/>
        <v>-73036.287370208927</v>
      </c>
      <c r="BJ255" s="527">
        <f t="shared" si="356"/>
        <v>-73036.287370208927</v>
      </c>
      <c r="BK255" s="527">
        <f t="shared" si="356"/>
        <v>-73036.287370208927</v>
      </c>
      <c r="BL255" s="527">
        <f t="shared" si="356"/>
        <v>-73036.287370208927</v>
      </c>
      <c r="BM255" s="527">
        <f t="shared" si="356"/>
        <v>-73036.287370208927</v>
      </c>
      <c r="BN255" s="527">
        <f t="shared" si="356"/>
        <v>-71466.790404610423</v>
      </c>
      <c r="BO255" s="527">
        <f t="shared" si="356"/>
        <v>-71466.790404610423</v>
      </c>
      <c r="BP255" s="527">
        <f t="shared" si="356"/>
        <v>-71466.790404610423</v>
      </c>
      <c r="BQ255" s="527">
        <f t="shared" si="356"/>
        <v>-71466.790404610423</v>
      </c>
      <c r="BR255" s="527">
        <f t="shared" si="356"/>
        <v>-71466.790404610423</v>
      </c>
      <c r="BS255" s="527">
        <f t="shared" si="356"/>
        <v>-71466.790404610423</v>
      </c>
      <c r="BT255" s="527">
        <f t="shared" si="356"/>
        <v>-74033.821327060024</v>
      </c>
      <c r="BU255" s="527">
        <f t="shared" si="356"/>
        <v>-74033.821327060024</v>
      </c>
      <c r="BV255" s="527">
        <f t="shared" si="356"/>
        <v>-74033.821327060024</v>
      </c>
      <c r="BW255" s="527">
        <f t="shared" si="356"/>
        <v>-74033.821327060024</v>
      </c>
      <c r="BX255" s="527">
        <f t="shared" si="356"/>
        <v>-74033.821327060024</v>
      </c>
      <c r="BY255" s="527">
        <f t="shared" si="356"/>
        <v>-74033.821327060024</v>
      </c>
    </row>
    <row r="256" spans="1:77" x14ac:dyDescent="0.3">
      <c r="A256" s="551"/>
      <c r="B256" s="548"/>
      <c r="C256" s="525"/>
      <c r="D256" s="525"/>
      <c r="E256" s="621" t="str">
        <f>"BCF cost of sales: "&amp;E$157</f>
        <v>BCF cost of sales: FY29 Tranche</v>
      </c>
      <c r="F256" s="525"/>
      <c r="G256" s="525"/>
      <c r="H256" s="525"/>
      <c r="I256" s="525"/>
      <c r="J256" s="525"/>
      <c r="K256" s="525"/>
      <c r="L256" s="525"/>
      <c r="M256" s="525"/>
      <c r="N256" s="525"/>
      <c r="O256" s="525"/>
      <c r="P256" s="565"/>
      <c r="Q256" s="525"/>
      <c r="R256" s="527">
        <f t="shared" ref="R256:AW256" si="357">(R240-R248)*R$228</f>
        <v>-61252.231776639856</v>
      </c>
      <c r="S256" s="527">
        <f t="shared" si="357"/>
        <v>-61252.231776639856</v>
      </c>
      <c r="T256" s="527">
        <f t="shared" si="357"/>
        <v>-61252.231776639856</v>
      </c>
      <c r="U256" s="527">
        <f t="shared" si="357"/>
        <v>-61252.231776639856</v>
      </c>
      <c r="V256" s="527">
        <f t="shared" si="357"/>
        <v>-61252.231776639856</v>
      </c>
      <c r="W256" s="527">
        <f t="shared" si="357"/>
        <v>-61252.231776639856</v>
      </c>
      <c r="X256" s="527">
        <f t="shared" si="357"/>
        <v>-61252.231776639856</v>
      </c>
      <c r="Y256" s="527">
        <f t="shared" si="357"/>
        <v>-61252.231776639856</v>
      </c>
      <c r="Z256" s="527">
        <f t="shared" si="357"/>
        <v>-61252.231776639856</v>
      </c>
      <c r="AA256" s="527">
        <f t="shared" si="357"/>
        <v>-61252.231776639856</v>
      </c>
      <c r="AB256" s="527">
        <f t="shared" si="357"/>
        <v>-61252.231776639856</v>
      </c>
      <c r="AC256" s="527">
        <f t="shared" si="357"/>
        <v>-61252.231776639856</v>
      </c>
      <c r="AD256" s="527">
        <f t="shared" si="357"/>
        <v>-61865.347952149205</v>
      </c>
      <c r="AE256" s="527">
        <f t="shared" si="357"/>
        <v>-61865.347952149205</v>
      </c>
      <c r="AF256" s="527">
        <f t="shared" si="357"/>
        <v>-61865.347952149205</v>
      </c>
      <c r="AG256" s="527">
        <f t="shared" si="357"/>
        <v>-61865.347952149205</v>
      </c>
      <c r="AH256" s="527">
        <f t="shared" si="357"/>
        <v>-61865.347952149205</v>
      </c>
      <c r="AI256" s="527">
        <f t="shared" si="357"/>
        <v>-61865.347952149205</v>
      </c>
      <c r="AJ256" s="527">
        <f t="shared" si="357"/>
        <v>-61865.347952149205</v>
      </c>
      <c r="AK256" s="527">
        <f t="shared" si="357"/>
        <v>-61865.347952149205</v>
      </c>
      <c r="AL256" s="527">
        <f t="shared" si="357"/>
        <v>-61865.347952149205</v>
      </c>
      <c r="AM256" s="527">
        <f t="shared" si="357"/>
        <v>-61865.347952149205</v>
      </c>
      <c r="AN256" s="527">
        <f t="shared" si="357"/>
        <v>-61865.347952149205</v>
      </c>
      <c r="AO256" s="527">
        <f t="shared" si="357"/>
        <v>-61865.347952149205</v>
      </c>
      <c r="AP256" s="527">
        <f t="shared" si="357"/>
        <v>-62490.726451168724</v>
      </c>
      <c r="AQ256" s="527">
        <f t="shared" si="357"/>
        <v>-62490.726451168724</v>
      </c>
      <c r="AR256" s="527">
        <f t="shared" si="357"/>
        <v>-62490.726451168724</v>
      </c>
      <c r="AS256" s="527">
        <f t="shared" si="357"/>
        <v>-62490.726451168724</v>
      </c>
      <c r="AT256" s="527">
        <f t="shared" si="357"/>
        <v>-62490.726451168724</v>
      </c>
      <c r="AU256" s="527">
        <f t="shared" si="357"/>
        <v>-62490.726451168724</v>
      </c>
      <c r="AV256" s="527">
        <f t="shared" si="357"/>
        <v>-71850.179777059311</v>
      </c>
      <c r="AW256" s="527">
        <f t="shared" si="357"/>
        <v>-71850.179777059311</v>
      </c>
      <c r="AX256" s="527">
        <f t="shared" ref="AX256:BY256" si="358">(AX240-AX248)*AX$228</f>
        <v>-71850.179777059311</v>
      </c>
      <c r="AY256" s="527">
        <f t="shared" si="358"/>
        <v>-71850.179777059311</v>
      </c>
      <c r="AZ256" s="527">
        <f t="shared" si="358"/>
        <v>-71850.179777059311</v>
      </c>
      <c r="BA256" s="527">
        <f t="shared" si="358"/>
        <v>-71850.179777059311</v>
      </c>
      <c r="BB256" s="527">
        <f t="shared" si="358"/>
        <v>-70237.585510715624</v>
      </c>
      <c r="BC256" s="527">
        <f t="shared" si="358"/>
        <v>-70237.585510715624</v>
      </c>
      <c r="BD256" s="527">
        <f t="shared" si="358"/>
        <v>-70237.585510715624</v>
      </c>
      <c r="BE256" s="527">
        <f t="shared" si="358"/>
        <v>-70237.585510715624</v>
      </c>
      <c r="BF256" s="527">
        <f t="shared" si="358"/>
        <v>-70237.585510715624</v>
      </c>
      <c r="BG256" s="527">
        <f t="shared" si="358"/>
        <v>-70237.585510715624</v>
      </c>
      <c r="BH256" s="527">
        <f t="shared" si="358"/>
        <v>-72781.757771561272</v>
      </c>
      <c r="BI256" s="527">
        <f t="shared" si="358"/>
        <v>-72781.757771561272</v>
      </c>
      <c r="BJ256" s="527">
        <f t="shared" si="358"/>
        <v>-72781.757771561272</v>
      </c>
      <c r="BK256" s="527">
        <f t="shared" si="358"/>
        <v>-72781.757771561272</v>
      </c>
      <c r="BL256" s="527">
        <f t="shared" si="358"/>
        <v>-72781.757771561272</v>
      </c>
      <c r="BM256" s="527">
        <f t="shared" si="358"/>
        <v>-72781.757771561272</v>
      </c>
      <c r="BN256" s="527">
        <f t="shared" si="358"/>
        <v>-71220.798029286874</v>
      </c>
      <c r="BO256" s="527">
        <f t="shared" si="358"/>
        <v>-71220.798029286874</v>
      </c>
      <c r="BP256" s="527">
        <f t="shared" si="358"/>
        <v>-71220.798029286874</v>
      </c>
      <c r="BQ256" s="527">
        <f t="shared" si="358"/>
        <v>-71220.798029286874</v>
      </c>
      <c r="BR256" s="527">
        <f t="shared" si="358"/>
        <v>-71220.798029286874</v>
      </c>
      <c r="BS256" s="527">
        <f t="shared" si="358"/>
        <v>-71220.798029286874</v>
      </c>
      <c r="BT256" s="527">
        <f t="shared" si="358"/>
        <v>-73777.989256723537</v>
      </c>
      <c r="BU256" s="527">
        <f t="shared" si="358"/>
        <v>-73777.989256723537</v>
      </c>
      <c r="BV256" s="527">
        <f t="shared" si="358"/>
        <v>-73777.989256723537</v>
      </c>
      <c r="BW256" s="527">
        <f t="shared" si="358"/>
        <v>-73777.989256723537</v>
      </c>
      <c r="BX256" s="527">
        <f t="shared" si="358"/>
        <v>-73777.989256723537</v>
      </c>
      <c r="BY256" s="527">
        <f t="shared" si="358"/>
        <v>-73777.989256723537</v>
      </c>
    </row>
    <row r="257" spans="1:77" x14ac:dyDescent="0.3">
      <c r="A257" s="551"/>
      <c r="B257" s="548"/>
      <c r="C257" s="525"/>
      <c r="D257" s="525"/>
      <c r="E257" s="621" t="str">
        <f>"BCF cost of sales: "&amp;E$158</f>
        <v>BCF cost of sales: FY30 Tranche</v>
      </c>
      <c r="F257" s="525"/>
      <c r="G257" s="525"/>
      <c r="H257" s="525"/>
      <c r="I257" s="525"/>
      <c r="J257" s="525"/>
      <c r="K257" s="525"/>
      <c r="L257" s="525"/>
      <c r="M257" s="525"/>
      <c r="N257" s="525"/>
      <c r="O257" s="525"/>
      <c r="P257" s="565"/>
      <c r="Q257" s="525"/>
      <c r="R257" s="527">
        <f t="shared" ref="R257:AW257" si="359">(R241-R249)*R$228</f>
        <v>-61252.231776639856</v>
      </c>
      <c r="S257" s="527">
        <f t="shared" si="359"/>
        <v>-61252.231776639856</v>
      </c>
      <c r="T257" s="527">
        <f t="shared" si="359"/>
        <v>-61252.231776639856</v>
      </c>
      <c r="U257" s="527">
        <f t="shared" si="359"/>
        <v>-61252.231776639856</v>
      </c>
      <c r="V257" s="527">
        <f t="shared" si="359"/>
        <v>-61252.231776639856</v>
      </c>
      <c r="W257" s="527">
        <f t="shared" si="359"/>
        <v>-61252.231776639856</v>
      </c>
      <c r="X257" s="527">
        <f t="shared" si="359"/>
        <v>-61252.231776639856</v>
      </c>
      <c r="Y257" s="527">
        <f t="shared" si="359"/>
        <v>-61252.231776639856</v>
      </c>
      <c r="Z257" s="527">
        <f t="shared" si="359"/>
        <v>-61252.231776639856</v>
      </c>
      <c r="AA257" s="527">
        <f t="shared" si="359"/>
        <v>-61252.231776639856</v>
      </c>
      <c r="AB257" s="527">
        <f t="shared" si="359"/>
        <v>-61252.231776639856</v>
      </c>
      <c r="AC257" s="527">
        <f t="shared" si="359"/>
        <v>-61252.231776639856</v>
      </c>
      <c r="AD257" s="527">
        <f t="shared" si="359"/>
        <v>-61865.347952149205</v>
      </c>
      <c r="AE257" s="527">
        <f t="shared" si="359"/>
        <v>-61865.347952149205</v>
      </c>
      <c r="AF257" s="527">
        <f t="shared" si="359"/>
        <v>-61865.347952149205</v>
      </c>
      <c r="AG257" s="527">
        <f t="shared" si="359"/>
        <v>-61865.347952149205</v>
      </c>
      <c r="AH257" s="527">
        <f t="shared" si="359"/>
        <v>-61865.347952149205</v>
      </c>
      <c r="AI257" s="527">
        <f t="shared" si="359"/>
        <v>-61865.347952149205</v>
      </c>
      <c r="AJ257" s="527">
        <f t="shared" si="359"/>
        <v>-61865.347952149205</v>
      </c>
      <c r="AK257" s="527">
        <f t="shared" si="359"/>
        <v>-61865.347952149205</v>
      </c>
      <c r="AL257" s="527">
        <f t="shared" si="359"/>
        <v>-61865.347952149205</v>
      </c>
      <c r="AM257" s="527">
        <f t="shared" si="359"/>
        <v>-61865.347952149205</v>
      </c>
      <c r="AN257" s="527">
        <f t="shared" si="359"/>
        <v>-61865.347952149205</v>
      </c>
      <c r="AO257" s="527">
        <f t="shared" si="359"/>
        <v>-61865.347952149205</v>
      </c>
      <c r="AP257" s="527">
        <f t="shared" si="359"/>
        <v>-62490.726451168724</v>
      </c>
      <c r="AQ257" s="527">
        <f t="shared" si="359"/>
        <v>-62490.726451168724</v>
      </c>
      <c r="AR257" s="527">
        <f t="shared" si="359"/>
        <v>-62490.726451168724</v>
      </c>
      <c r="AS257" s="527">
        <f t="shared" si="359"/>
        <v>-62490.726451168724</v>
      </c>
      <c r="AT257" s="527">
        <f t="shared" si="359"/>
        <v>-62490.726451168724</v>
      </c>
      <c r="AU257" s="527">
        <f t="shared" si="359"/>
        <v>-62490.726451168724</v>
      </c>
      <c r="AV257" s="527">
        <f t="shared" si="359"/>
        <v>-62490.726451168724</v>
      </c>
      <c r="AW257" s="527">
        <f t="shared" si="359"/>
        <v>-62490.726451168724</v>
      </c>
      <c r="AX257" s="527">
        <f t="shared" ref="AX257:BY257" si="360">(AX241-AX249)*AX$228</f>
        <v>-62490.726451168724</v>
      </c>
      <c r="AY257" s="527">
        <f t="shared" si="360"/>
        <v>-62490.726451168724</v>
      </c>
      <c r="AZ257" s="527">
        <f t="shared" si="360"/>
        <v>-62490.726451168724</v>
      </c>
      <c r="BA257" s="527">
        <f t="shared" si="360"/>
        <v>-62490.726451168724</v>
      </c>
      <c r="BB257" s="527">
        <f t="shared" si="360"/>
        <v>-63128.612520168659</v>
      </c>
      <c r="BC257" s="527">
        <f t="shared" si="360"/>
        <v>-63128.612520168659</v>
      </c>
      <c r="BD257" s="527">
        <f t="shared" si="360"/>
        <v>-63128.612520168659</v>
      </c>
      <c r="BE257" s="527">
        <f t="shared" si="360"/>
        <v>-63128.612520168659</v>
      </c>
      <c r="BF257" s="527">
        <f t="shared" si="360"/>
        <v>-63128.612520168659</v>
      </c>
      <c r="BG257" s="527">
        <f t="shared" si="360"/>
        <v>-63128.612520168659</v>
      </c>
      <c r="BH257" s="527">
        <f t="shared" si="360"/>
        <v>-72356.945297883271</v>
      </c>
      <c r="BI257" s="527">
        <f t="shared" si="360"/>
        <v>-72356.945297883271</v>
      </c>
      <c r="BJ257" s="527">
        <f t="shared" si="360"/>
        <v>-72356.945297883271</v>
      </c>
      <c r="BK257" s="527">
        <f t="shared" si="360"/>
        <v>-72356.945297883271</v>
      </c>
      <c r="BL257" s="527">
        <f t="shared" si="360"/>
        <v>-72356.945297883271</v>
      </c>
      <c r="BM257" s="527">
        <f t="shared" si="360"/>
        <v>-72356.945297883271</v>
      </c>
      <c r="BN257" s="527">
        <f t="shared" si="360"/>
        <v>-70810.234267656284</v>
      </c>
      <c r="BO257" s="527">
        <f t="shared" si="360"/>
        <v>-70810.234267656284</v>
      </c>
      <c r="BP257" s="527">
        <f t="shared" si="360"/>
        <v>-70810.234267656284</v>
      </c>
      <c r="BQ257" s="527">
        <f t="shared" si="360"/>
        <v>-70810.234267656284</v>
      </c>
      <c r="BR257" s="527">
        <f t="shared" si="360"/>
        <v>-70810.234267656284</v>
      </c>
      <c r="BS257" s="527">
        <f t="shared" si="360"/>
        <v>-70810.234267656284</v>
      </c>
      <c r="BT257" s="527">
        <f t="shared" si="360"/>
        <v>-73351.002944627704</v>
      </c>
      <c r="BU257" s="527">
        <f t="shared" si="360"/>
        <v>-73351.002944627704</v>
      </c>
      <c r="BV257" s="527">
        <f t="shared" si="360"/>
        <v>-73351.002944627704</v>
      </c>
      <c r="BW257" s="527">
        <f t="shared" si="360"/>
        <v>-73351.002944627704</v>
      </c>
      <c r="BX257" s="527">
        <f t="shared" si="360"/>
        <v>-73351.002944627704</v>
      </c>
      <c r="BY257" s="527">
        <f t="shared" si="360"/>
        <v>-73351.002944627704</v>
      </c>
    </row>
    <row r="258" spans="1:77" x14ac:dyDescent="0.3">
      <c r="A258" s="551"/>
      <c r="B258" s="548"/>
      <c r="C258" s="525"/>
      <c r="D258" s="525"/>
      <c r="E258" s="621" t="str">
        <f>"BCF cost of sales: "&amp;E$159</f>
        <v>BCF cost of sales: FY31 Tranche</v>
      </c>
      <c r="F258" s="525"/>
      <c r="G258" s="525"/>
      <c r="H258" s="525"/>
      <c r="I258" s="525"/>
      <c r="J258" s="525"/>
      <c r="K258" s="525"/>
      <c r="L258" s="525"/>
      <c r="M258" s="525"/>
      <c r="N258" s="525"/>
      <c r="O258" s="525"/>
      <c r="P258" s="565"/>
      <c r="Q258" s="525"/>
      <c r="R258" s="527">
        <f t="shared" ref="R258:AW258" si="361">(R242-R250)*R$228</f>
        <v>-61252.231776639856</v>
      </c>
      <c r="S258" s="527">
        <f t="shared" si="361"/>
        <v>-61252.231776639856</v>
      </c>
      <c r="T258" s="527">
        <f t="shared" si="361"/>
        <v>-61252.231776639856</v>
      </c>
      <c r="U258" s="527">
        <f t="shared" si="361"/>
        <v>-61252.231776639856</v>
      </c>
      <c r="V258" s="527">
        <f t="shared" si="361"/>
        <v>-61252.231776639856</v>
      </c>
      <c r="W258" s="527">
        <f t="shared" si="361"/>
        <v>-61252.231776639856</v>
      </c>
      <c r="X258" s="527">
        <f t="shared" si="361"/>
        <v>-61252.231776639856</v>
      </c>
      <c r="Y258" s="527">
        <f t="shared" si="361"/>
        <v>-61252.231776639856</v>
      </c>
      <c r="Z258" s="527">
        <f t="shared" si="361"/>
        <v>-61252.231776639856</v>
      </c>
      <c r="AA258" s="527">
        <f t="shared" si="361"/>
        <v>-61252.231776639856</v>
      </c>
      <c r="AB258" s="527">
        <f t="shared" si="361"/>
        <v>-61252.231776639856</v>
      </c>
      <c r="AC258" s="527">
        <f t="shared" si="361"/>
        <v>-61252.231776639856</v>
      </c>
      <c r="AD258" s="527">
        <f t="shared" si="361"/>
        <v>-61865.347952149205</v>
      </c>
      <c r="AE258" s="527">
        <f t="shared" si="361"/>
        <v>-61865.347952149205</v>
      </c>
      <c r="AF258" s="527">
        <f t="shared" si="361"/>
        <v>-61865.347952149205</v>
      </c>
      <c r="AG258" s="527">
        <f t="shared" si="361"/>
        <v>-61865.347952149205</v>
      </c>
      <c r="AH258" s="527">
        <f t="shared" si="361"/>
        <v>-61865.347952149205</v>
      </c>
      <c r="AI258" s="527">
        <f t="shared" si="361"/>
        <v>-61865.347952149205</v>
      </c>
      <c r="AJ258" s="527">
        <f t="shared" si="361"/>
        <v>-61865.347952149205</v>
      </c>
      <c r="AK258" s="527">
        <f t="shared" si="361"/>
        <v>-61865.347952149205</v>
      </c>
      <c r="AL258" s="527">
        <f t="shared" si="361"/>
        <v>-61865.347952149205</v>
      </c>
      <c r="AM258" s="527">
        <f t="shared" si="361"/>
        <v>-61865.347952149205</v>
      </c>
      <c r="AN258" s="527">
        <f t="shared" si="361"/>
        <v>-61865.347952149205</v>
      </c>
      <c r="AO258" s="527">
        <f t="shared" si="361"/>
        <v>-61865.347952149205</v>
      </c>
      <c r="AP258" s="527">
        <f t="shared" si="361"/>
        <v>-62490.726451168724</v>
      </c>
      <c r="AQ258" s="527">
        <f t="shared" si="361"/>
        <v>-62490.726451168724</v>
      </c>
      <c r="AR258" s="527">
        <f t="shared" si="361"/>
        <v>-62490.726451168724</v>
      </c>
      <c r="AS258" s="527">
        <f t="shared" si="361"/>
        <v>-62490.726451168724</v>
      </c>
      <c r="AT258" s="527">
        <f t="shared" si="361"/>
        <v>-62490.726451168724</v>
      </c>
      <c r="AU258" s="527">
        <f t="shared" si="361"/>
        <v>-62490.726451168724</v>
      </c>
      <c r="AV258" s="527">
        <f t="shared" si="361"/>
        <v>-62490.726451168724</v>
      </c>
      <c r="AW258" s="527">
        <f t="shared" si="361"/>
        <v>-62490.726451168724</v>
      </c>
      <c r="AX258" s="527">
        <f t="shared" ref="AX258:BY258" si="362">(AX242-AX250)*AX$228</f>
        <v>-62490.726451168724</v>
      </c>
      <c r="AY258" s="527">
        <f t="shared" si="362"/>
        <v>-62490.726451168724</v>
      </c>
      <c r="AZ258" s="527">
        <f t="shared" si="362"/>
        <v>-62490.726451168724</v>
      </c>
      <c r="BA258" s="527">
        <f t="shared" si="362"/>
        <v>-62490.726451168724</v>
      </c>
      <c r="BB258" s="527">
        <f t="shared" si="362"/>
        <v>-63128.612520168659</v>
      </c>
      <c r="BC258" s="527">
        <f t="shared" si="362"/>
        <v>-63128.612520168659</v>
      </c>
      <c r="BD258" s="527">
        <f t="shared" si="362"/>
        <v>-63128.612520168659</v>
      </c>
      <c r="BE258" s="527">
        <f t="shared" si="362"/>
        <v>-63128.612520168659</v>
      </c>
      <c r="BF258" s="527">
        <f t="shared" si="362"/>
        <v>-63128.612520168659</v>
      </c>
      <c r="BG258" s="527">
        <f t="shared" si="362"/>
        <v>-63128.612520168659</v>
      </c>
      <c r="BH258" s="527">
        <f t="shared" si="362"/>
        <v>-63128.612520168659</v>
      </c>
      <c r="BI258" s="527">
        <f t="shared" si="362"/>
        <v>-63128.612520168659</v>
      </c>
      <c r="BJ258" s="527">
        <f t="shared" si="362"/>
        <v>-63128.612520168659</v>
      </c>
      <c r="BK258" s="527">
        <f t="shared" si="362"/>
        <v>-63128.612520168659</v>
      </c>
      <c r="BL258" s="527">
        <f t="shared" si="362"/>
        <v>-63128.612520168659</v>
      </c>
      <c r="BM258" s="527">
        <f t="shared" si="362"/>
        <v>-63128.612520168659</v>
      </c>
      <c r="BN258" s="527">
        <f t="shared" si="362"/>
        <v>-63779.25631054859</v>
      </c>
      <c r="BO258" s="527">
        <f t="shared" si="362"/>
        <v>-63779.25631054859</v>
      </c>
      <c r="BP258" s="527">
        <f t="shared" si="362"/>
        <v>-63779.25631054859</v>
      </c>
      <c r="BQ258" s="527">
        <f t="shared" si="362"/>
        <v>-63779.25631054859</v>
      </c>
      <c r="BR258" s="527">
        <f t="shared" si="362"/>
        <v>-63779.25631054859</v>
      </c>
      <c r="BS258" s="527">
        <f t="shared" si="362"/>
        <v>-63779.25631054859</v>
      </c>
      <c r="BT258" s="527">
        <f t="shared" si="362"/>
        <v>-72872.11907503604</v>
      </c>
      <c r="BU258" s="527">
        <f t="shared" si="362"/>
        <v>-72872.11907503604</v>
      </c>
      <c r="BV258" s="527">
        <f t="shared" si="362"/>
        <v>-72872.11907503604</v>
      </c>
      <c r="BW258" s="527">
        <f t="shared" si="362"/>
        <v>-72872.11907503604</v>
      </c>
      <c r="BX258" s="527">
        <f t="shared" si="362"/>
        <v>-72872.11907503604</v>
      </c>
      <c r="BY258" s="527">
        <f t="shared" si="362"/>
        <v>-72872.11907503604</v>
      </c>
    </row>
    <row r="259" spans="1:77" x14ac:dyDescent="0.3">
      <c r="A259" s="551"/>
      <c r="B259" s="548"/>
      <c r="C259" s="525"/>
      <c r="D259" s="525"/>
      <c r="E259" s="621" t="str">
        <f>"BCF cost of sales: "&amp;E$160</f>
        <v>BCF cost of sales: Uninvested Tranche</v>
      </c>
      <c r="F259" s="525"/>
      <c r="G259" s="525"/>
      <c r="H259" s="525"/>
      <c r="I259" s="525"/>
      <c r="J259" s="525"/>
      <c r="K259" s="525"/>
      <c r="L259" s="525"/>
      <c r="M259" s="525"/>
      <c r="N259" s="525"/>
      <c r="O259" s="525"/>
      <c r="P259" s="565"/>
      <c r="Q259" s="525"/>
      <c r="R259" s="527">
        <f t="shared" ref="R259:AW259" si="363">(R243-R251)*R$228</f>
        <v>-136916.75338307727</v>
      </c>
      <c r="S259" s="527">
        <f t="shared" si="363"/>
        <v>-136916.75338307727</v>
      </c>
      <c r="T259" s="527">
        <f t="shared" si="363"/>
        <v>-136916.75338307727</v>
      </c>
      <c r="U259" s="527">
        <f t="shared" si="363"/>
        <v>-136916.75338307727</v>
      </c>
      <c r="V259" s="527">
        <f t="shared" si="363"/>
        <v>-136916.75338307727</v>
      </c>
      <c r="W259" s="527">
        <f t="shared" si="363"/>
        <v>-136916.75338307727</v>
      </c>
      <c r="X259" s="527">
        <f t="shared" si="363"/>
        <v>-136916.75338307727</v>
      </c>
      <c r="Y259" s="527">
        <f t="shared" si="363"/>
        <v>-136916.75338307727</v>
      </c>
      <c r="Z259" s="527">
        <f t="shared" si="363"/>
        <v>-136916.75338307727</v>
      </c>
      <c r="AA259" s="527">
        <f t="shared" si="363"/>
        <v>-136916.75338307727</v>
      </c>
      <c r="AB259" s="527">
        <f t="shared" si="363"/>
        <v>-136916.75338307727</v>
      </c>
      <c r="AC259" s="527">
        <f t="shared" si="363"/>
        <v>-136916.75338307727</v>
      </c>
      <c r="AD259" s="527">
        <f t="shared" si="363"/>
        <v>-138287.24836362762</v>
      </c>
      <c r="AE259" s="527">
        <f t="shared" si="363"/>
        <v>-138287.24836362762</v>
      </c>
      <c r="AF259" s="527">
        <f t="shared" si="363"/>
        <v>-138287.24836362762</v>
      </c>
      <c r="AG259" s="527">
        <f t="shared" si="363"/>
        <v>-138287.24836362762</v>
      </c>
      <c r="AH259" s="527">
        <f t="shared" si="363"/>
        <v>-138287.24836362762</v>
      </c>
      <c r="AI259" s="527">
        <f t="shared" si="363"/>
        <v>-138287.24836362762</v>
      </c>
      <c r="AJ259" s="527">
        <f t="shared" si="363"/>
        <v>-138287.24836362762</v>
      </c>
      <c r="AK259" s="527">
        <f t="shared" si="363"/>
        <v>-138287.24836362762</v>
      </c>
      <c r="AL259" s="527">
        <f t="shared" si="363"/>
        <v>-138287.24836362762</v>
      </c>
      <c r="AM259" s="527">
        <f t="shared" si="363"/>
        <v>-138287.24836362762</v>
      </c>
      <c r="AN259" s="527">
        <f t="shared" si="363"/>
        <v>-138287.24836362762</v>
      </c>
      <c r="AO259" s="527">
        <f t="shared" si="363"/>
        <v>-138287.24836362762</v>
      </c>
      <c r="AP259" s="527">
        <f t="shared" si="363"/>
        <v>-139685.15324378893</v>
      </c>
      <c r="AQ259" s="527">
        <f t="shared" si="363"/>
        <v>-139685.15324378893</v>
      </c>
      <c r="AR259" s="527">
        <f t="shared" si="363"/>
        <v>-139685.15324378893</v>
      </c>
      <c r="AS259" s="527">
        <f t="shared" si="363"/>
        <v>-139685.15324378893</v>
      </c>
      <c r="AT259" s="527">
        <f t="shared" si="363"/>
        <v>-139685.15324378893</v>
      </c>
      <c r="AU259" s="527">
        <f t="shared" si="363"/>
        <v>-139685.15324378893</v>
      </c>
      <c r="AV259" s="527">
        <f t="shared" si="363"/>
        <v>-139685.15324378893</v>
      </c>
      <c r="AW259" s="527">
        <f t="shared" si="363"/>
        <v>-139685.15324378893</v>
      </c>
      <c r="AX259" s="527">
        <f t="shared" ref="AX259:BY259" si="364">(AX243-AX251)*AX$228</f>
        <v>-139685.15324378893</v>
      </c>
      <c r="AY259" s="527">
        <f t="shared" si="364"/>
        <v>-139685.15324378893</v>
      </c>
      <c r="AZ259" s="527">
        <f t="shared" si="364"/>
        <v>-139685.15324378893</v>
      </c>
      <c r="BA259" s="527">
        <f t="shared" si="364"/>
        <v>-139685.15324378893</v>
      </c>
      <c r="BB259" s="527">
        <f t="shared" si="364"/>
        <v>-141111.01622155347</v>
      </c>
      <c r="BC259" s="527">
        <f t="shared" si="364"/>
        <v>-141111.01622155347</v>
      </c>
      <c r="BD259" s="527">
        <f t="shared" si="364"/>
        <v>-141111.01622155347</v>
      </c>
      <c r="BE259" s="527">
        <f t="shared" si="364"/>
        <v>-141111.01622155347</v>
      </c>
      <c r="BF259" s="527">
        <f t="shared" si="364"/>
        <v>-141111.01622155347</v>
      </c>
      <c r="BG259" s="527">
        <f t="shared" si="364"/>
        <v>-141111.01622155347</v>
      </c>
      <c r="BH259" s="527">
        <f t="shared" si="364"/>
        <v>-141111.01622155347</v>
      </c>
      <c r="BI259" s="527">
        <f t="shared" si="364"/>
        <v>-141111.01622155347</v>
      </c>
      <c r="BJ259" s="527">
        <f t="shared" si="364"/>
        <v>-141111.01622155347</v>
      </c>
      <c r="BK259" s="527">
        <f t="shared" si="364"/>
        <v>-141111.01622155347</v>
      </c>
      <c r="BL259" s="527">
        <f t="shared" si="364"/>
        <v>-141111.01622155347</v>
      </c>
      <c r="BM259" s="527">
        <f t="shared" si="364"/>
        <v>-141111.01622155347</v>
      </c>
      <c r="BN259" s="527">
        <f t="shared" si="364"/>
        <v>-142565.39645887329</v>
      </c>
      <c r="BO259" s="527">
        <f t="shared" si="364"/>
        <v>-142565.39645887329</v>
      </c>
      <c r="BP259" s="527">
        <f t="shared" si="364"/>
        <v>-142565.39645887329</v>
      </c>
      <c r="BQ259" s="527">
        <f t="shared" si="364"/>
        <v>-142565.39645887329</v>
      </c>
      <c r="BR259" s="527">
        <f t="shared" si="364"/>
        <v>-142565.39645887329</v>
      </c>
      <c r="BS259" s="527">
        <f t="shared" si="364"/>
        <v>-142565.39645887329</v>
      </c>
      <c r="BT259" s="527">
        <f t="shared" si="364"/>
        <v>-142565.39645887329</v>
      </c>
      <c r="BU259" s="527">
        <f t="shared" si="364"/>
        <v>-142565.39645887329</v>
      </c>
      <c r="BV259" s="527">
        <f t="shared" si="364"/>
        <v>-142565.39645887329</v>
      </c>
      <c r="BW259" s="527">
        <f t="shared" si="364"/>
        <v>-142565.39645887329</v>
      </c>
      <c r="BX259" s="527">
        <f t="shared" si="364"/>
        <v>-142565.39645887329</v>
      </c>
      <c r="BY259" s="527">
        <f t="shared" si="364"/>
        <v>-142565.39645887329</v>
      </c>
    </row>
    <row r="260" spans="1:77" x14ac:dyDescent="0.3">
      <c r="A260" s="551"/>
      <c r="B260" s="548"/>
      <c r="C260" s="525"/>
      <c r="D260" s="525"/>
      <c r="E260" s="572" t="s">
        <v>36</v>
      </c>
      <c r="F260" s="572"/>
      <c r="G260" s="572"/>
      <c r="H260" s="572"/>
      <c r="I260" s="572"/>
      <c r="J260" s="572"/>
      <c r="K260" s="572"/>
      <c r="L260" s="572"/>
      <c r="M260" s="572"/>
      <c r="N260" s="572"/>
      <c r="O260" s="572"/>
      <c r="P260" s="612"/>
      <c r="Q260" s="572"/>
      <c r="R260" s="530">
        <f t="shared" ref="R260:AW260" si="365">SUM(R254:R259)</f>
        <v>-443177.91226627654</v>
      </c>
      <c r="S260" s="530">
        <f t="shared" si="365"/>
        <v>-443177.91226627654</v>
      </c>
      <c r="T260" s="530">
        <f t="shared" si="365"/>
        <v>-443177.91226627654</v>
      </c>
      <c r="U260" s="530">
        <f t="shared" si="365"/>
        <v>-443177.91226627654</v>
      </c>
      <c r="V260" s="530">
        <f t="shared" si="365"/>
        <v>-443177.91226627654</v>
      </c>
      <c r="W260" s="530">
        <f t="shared" si="365"/>
        <v>-443177.91226627654</v>
      </c>
      <c r="X260" s="530">
        <f t="shared" si="365"/>
        <v>-452832.4420275375</v>
      </c>
      <c r="Y260" s="530">
        <f t="shared" si="365"/>
        <v>-452832.4420275375</v>
      </c>
      <c r="Z260" s="530">
        <f t="shared" si="365"/>
        <v>-452832.4420275375</v>
      </c>
      <c r="AA260" s="530">
        <f t="shared" si="365"/>
        <v>-452832.4420275375</v>
      </c>
      <c r="AB260" s="530">
        <f t="shared" si="365"/>
        <v>-452832.4420275375</v>
      </c>
      <c r="AC260" s="530">
        <f t="shared" si="365"/>
        <v>-452832.4420275375</v>
      </c>
      <c r="AD260" s="530">
        <f t="shared" si="365"/>
        <v>-454711.74521997932</v>
      </c>
      <c r="AE260" s="530">
        <f t="shared" si="365"/>
        <v>-454711.74521997932</v>
      </c>
      <c r="AF260" s="530">
        <f t="shared" si="365"/>
        <v>-454711.74521997932</v>
      </c>
      <c r="AG260" s="530">
        <f t="shared" si="365"/>
        <v>-454711.74521997932</v>
      </c>
      <c r="AH260" s="530">
        <f t="shared" si="365"/>
        <v>-454711.74521997932</v>
      </c>
      <c r="AI260" s="530">
        <f t="shared" si="365"/>
        <v>-454711.74521997932</v>
      </c>
      <c r="AJ260" s="530">
        <f t="shared" si="365"/>
        <v>-466755.36570356123</v>
      </c>
      <c r="AK260" s="530">
        <f t="shared" si="365"/>
        <v>-466755.36570356123</v>
      </c>
      <c r="AL260" s="530">
        <f t="shared" si="365"/>
        <v>-466755.36570356123</v>
      </c>
      <c r="AM260" s="530">
        <f t="shared" si="365"/>
        <v>-466755.36570356123</v>
      </c>
      <c r="AN260" s="530">
        <f t="shared" si="365"/>
        <v>-466755.36570356123</v>
      </c>
      <c r="AO260" s="530">
        <f t="shared" si="365"/>
        <v>-466755.36570356123</v>
      </c>
      <c r="AP260" s="530">
        <f t="shared" si="365"/>
        <v>-466414.06016519305</v>
      </c>
      <c r="AQ260" s="530">
        <f t="shared" si="365"/>
        <v>-466414.06016519305</v>
      </c>
      <c r="AR260" s="530">
        <f t="shared" si="365"/>
        <v>-466414.06016519305</v>
      </c>
      <c r="AS260" s="530">
        <f t="shared" si="365"/>
        <v>-466414.06016519305</v>
      </c>
      <c r="AT260" s="530">
        <f t="shared" si="365"/>
        <v>-466414.06016519305</v>
      </c>
      <c r="AU260" s="530">
        <f t="shared" si="365"/>
        <v>-466414.06016519305</v>
      </c>
      <c r="AV260" s="530">
        <f t="shared" si="365"/>
        <v>-480863.12019865692</v>
      </c>
      <c r="AW260" s="530">
        <f t="shared" si="365"/>
        <v>-480863.12019865692</v>
      </c>
      <c r="AX260" s="530">
        <f t="shared" ref="AX260:BY260" si="366">SUM(AX254:AX259)</f>
        <v>-480863.12019865692</v>
      </c>
      <c r="AY260" s="530">
        <f t="shared" si="366"/>
        <v>-480863.12019865692</v>
      </c>
      <c r="AZ260" s="530">
        <f t="shared" si="366"/>
        <v>-480863.12019865692</v>
      </c>
      <c r="BA260" s="530">
        <f t="shared" si="366"/>
        <v>-480863.12019865692</v>
      </c>
      <c r="BB260" s="530">
        <f t="shared" si="366"/>
        <v>-478705.01949272887</v>
      </c>
      <c r="BC260" s="530">
        <f t="shared" si="366"/>
        <v>-478705.01949272887</v>
      </c>
      <c r="BD260" s="530">
        <f t="shared" si="366"/>
        <v>-478705.01949272887</v>
      </c>
      <c r="BE260" s="530">
        <f t="shared" si="366"/>
        <v>-478705.01949272887</v>
      </c>
      <c r="BF260" s="530">
        <f t="shared" si="366"/>
        <v>-478705.01949272887</v>
      </c>
      <c r="BG260" s="530">
        <f t="shared" si="366"/>
        <v>-478705.01949272887</v>
      </c>
      <c r="BH260" s="530">
        <f t="shared" si="366"/>
        <v>-495590.82992092799</v>
      </c>
      <c r="BI260" s="530">
        <f t="shared" si="366"/>
        <v>-495590.82992092799</v>
      </c>
      <c r="BJ260" s="530">
        <f t="shared" si="366"/>
        <v>-495590.82992092799</v>
      </c>
      <c r="BK260" s="530">
        <f t="shared" si="366"/>
        <v>-495590.82992092799</v>
      </c>
      <c r="BL260" s="530">
        <f t="shared" si="366"/>
        <v>-495590.82992092799</v>
      </c>
      <c r="BM260" s="530">
        <f t="shared" si="366"/>
        <v>-495590.82992092799</v>
      </c>
      <c r="BN260" s="530">
        <f t="shared" si="366"/>
        <v>-491444.49604987976</v>
      </c>
      <c r="BO260" s="530">
        <f t="shared" si="366"/>
        <v>-491444.49604987976</v>
      </c>
      <c r="BP260" s="530">
        <f t="shared" si="366"/>
        <v>-491444.49604987976</v>
      </c>
      <c r="BQ260" s="530">
        <f t="shared" si="366"/>
        <v>-491444.49604987976</v>
      </c>
      <c r="BR260" s="530">
        <f t="shared" si="366"/>
        <v>-491444.49604987976</v>
      </c>
      <c r="BS260" s="530">
        <f t="shared" si="366"/>
        <v>-491444.49604987976</v>
      </c>
      <c r="BT260" s="530">
        <f t="shared" si="366"/>
        <v>-510774.78977064625</v>
      </c>
      <c r="BU260" s="530">
        <f t="shared" si="366"/>
        <v>-510774.78977064625</v>
      </c>
      <c r="BV260" s="530">
        <f t="shared" si="366"/>
        <v>-510774.78977064625</v>
      </c>
      <c r="BW260" s="530">
        <f t="shared" si="366"/>
        <v>-510774.78977064625</v>
      </c>
      <c r="BX260" s="530">
        <f t="shared" si="366"/>
        <v>-510774.78977064625</v>
      </c>
      <c r="BY260" s="530">
        <f t="shared" si="366"/>
        <v>-510774.78977064625</v>
      </c>
    </row>
    <row r="261" spans="1:77" x14ac:dyDescent="0.3">
      <c r="A261" s="551"/>
      <c r="B261" s="548"/>
      <c r="C261" s="525"/>
      <c r="D261" s="525"/>
      <c r="E261" s="525"/>
      <c r="F261" s="525"/>
      <c r="G261" s="525"/>
      <c r="H261" s="525"/>
      <c r="I261" s="525"/>
      <c r="J261" s="525"/>
      <c r="K261" s="525"/>
      <c r="L261" s="525"/>
      <c r="M261" s="525"/>
      <c r="N261" s="525"/>
      <c r="O261" s="525"/>
      <c r="P261" s="565"/>
      <c r="Q261" s="525"/>
      <c r="R261" s="525"/>
      <c r="S261" s="525"/>
      <c r="T261" s="525"/>
      <c r="U261" s="525"/>
      <c r="V261" s="525"/>
      <c r="W261" s="525"/>
      <c r="X261" s="525"/>
      <c r="Y261" s="525"/>
      <c r="Z261" s="525"/>
      <c r="AA261" s="525"/>
      <c r="AB261" s="525"/>
      <c r="AC261" s="525"/>
      <c r="AD261" s="525"/>
      <c r="AE261" s="525"/>
      <c r="AF261" s="525"/>
      <c r="AG261" s="525"/>
      <c r="AH261" s="525"/>
      <c r="AI261" s="525"/>
      <c r="AJ261" s="525"/>
      <c r="AK261" s="525"/>
      <c r="AL261" s="525"/>
      <c r="AM261" s="525"/>
      <c r="AN261" s="525"/>
      <c r="AO261" s="525"/>
      <c r="AP261" s="525"/>
      <c r="AQ261" s="525"/>
      <c r="AR261" s="525"/>
      <c r="AS261" s="525"/>
      <c r="AT261" s="525"/>
      <c r="AU261" s="525"/>
      <c r="AV261" s="525"/>
      <c r="AW261" s="525"/>
      <c r="AX261" s="525"/>
      <c r="AY261" s="525"/>
      <c r="AZ261" s="525"/>
      <c r="BA261" s="525"/>
      <c r="BB261" s="525"/>
      <c r="BC261" s="525"/>
      <c r="BD261" s="525"/>
      <c r="BE261" s="525"/>
      <c r="BF261" s="525"/>
      <c r="BG261" s="525"/>
      <c r="BH261" s="525"/>
      <c r="BI261" s="525"/>
      <c r="BJ261" s="525"/>
      <c r="BK261" s="525"/>
      <c r="BL261" s="525"/>
      <c r="BM261" s="525"/>
      <c r="BN261" s="525"/>
      <c r="BO261" s="525"/>
      <c r="BP261" s="525"/>
      <c r="BQ261" s="525"/>
      <c r="BR261" s="525"/>
      <c r="BS261" s="525"/>
      <c r="BT261" s="525"/>
      <c r="BU261" s="525"/>
      <c r="BV261" s="525"/>
      <c r="BW261" s="525"/>
      <c r="BX261" s="525"/>
      <c r="BY261" s="525"/>
    </row>
    <row r="262" spans="1:77" x14ac:dyDescent="0.3">
      <c r="A262" s="551"/>
      <c r="B262" s="548"/>
      <c r="C262" s="525"/>
      <c r="D262" s="525"/>
      <c r="E262" s="622" t="str">
        <f>"BCF dist &amp; disp: "&amp;E$155</f>
        <v>BCF dist &amp; disp: FY27 Tranche</v>
      </c>
      <c r="F262" s="525"/>
      <c r="G262" s="525"/>
      <c r="H262" s="525"/>
      <c r="I262" s="525"/>
      <c r="J262" s="525"/>
      <c r="K262" s="525"/>
      <c r="L262" s="525"/>
      <c r="M262" s="525"/>
      <c r="N262" s="525"/>
      <c r="O262" s="525"/>
      <c r="P262" s="565"/>
      <c r="Q262" s="525"/>
      <c r="R262" s="527">
        <f t="shared" ref="R262:AW262" si="367">(R238-R246)*R$229</f>
        <v>-10721.826068636426</v>
      </c>
      <c r="S262" s="527">
        <f t="shared" si="367"/>
        <v>-10721.826068636426</v>
      </c>
      <c r="T262" s="527">
        <f t="shared" si="367"/>
        <v>-10721.826068636426</v>
      </c>
      <c r="U262" s="527">
        <f t="shared" si="367"/>
        <v>-10721.826068636426</v>
      </c>
      <c r="V262" s="527">
        <f t="shared" si="367"/>
        <v>-10721.826068636426</v>
      </c>
      <c r="W262" s="527">
        <f t="shared" si="367"/>
        <v>-10721.826068636426</v>
      </c>
      <c r="X262" s="527">
        <f t="shared" si="367"/>
        <v>-12411.792064523488</v>
      </c>
      <c r="Y262" s="527">
        <f t="shared" si="367"/>
        <v>-12411.792064523488</v>
      </c>
      <c r="Z262" s="527">
        <f t="shared" si="367"/>
        <v>-12411.792064523488</v>
      </c>
      <c r="AA262" s="527">
        <f t="shared" si="367"/>
        <v>-12411.792064523488</v>
      </c>
      <c r="AB262" s="527">
        <f t="shared" si="367"/>
        <v>-12411.792064523488</v>
      </c>
      <c r="AC262" s="527">
        <f t="shared" si="367"/>
        <v>-12411.792064523488</v>
      </c>
      <c r="AD262" s="527">
        <f t="shared" si="367"/>
        <v>-12190.970402493842</v>
      </c>
      <c r="AE262" s="527">
        <f t="shared" si="367"/>
        <v>-12190.970402493842</v>
      </c>
      <c r="AF262" s="527">
        <f t="shared" si="367"/>
        <v>-12190.970402493842</v>
      </c>
      <c r="AG262" s="527">
        <f t="shared" si="367"/>
        <v>-12190.970402493842</v>
      </c>
      <c r="AH262" s="527">
        <f t="shared" si="367"/>
        <v>-12190.970402493842</v>
      </c>
      <c r="AI262" s="527">
        <f t="shared" si="367"/>
        <v>-12190.970402493842</v>
      </c>
      <c r="AJ262" s="527">
        <f t="shared" si="367"/>
        <v>-12640.409299102412</v>
      </c>
      <c r="AK262" s="527">
        <f t="shared" si="367"/>
        <v>-12640.409299102412</v>
      </c>
      <c r="AL262" s="527">
        <f t="shared" si="367"/>
        <v>-12640.409299102412</v>
      </c>
      <c r="AM262" s="527">
        <f t="shared" si="367"/>
        <v>-12640.409299102412</v>
      </c>
      <c r="AN262" s="527">
        <f t="shared" si="367"/>
        <v>-12640.409299102412</v>
      </c>
      <c r="AO262" s="527">
        <f t="shared" si="367"/>
        <v>-12640.409299102412</v>
      </c>
      <c r="AP262" s="527">
        <f t="shared" si="367"/>
        <v>-12441.053628532345</v>
      </c>
      <c r="AQ262" s="527">
        <f t="shared" si="367"/>
        <v>-12441.053628532345</v>
      </c>
      <c r="AR262" s="527">
        <f t="shared" si="367"/>
        <v>-12441.053628532345</v>
      </c>
      <c r="AS262" s="527">
        <f t="shared" si="367"/>
        <v>-12441.053628532345</v>
      </c>
      <c r="AT262" s="527">
        <f t="shared" si="367"/>
        <v>-12441.053628532345</v>
      </c>
      <c r="AU262" s="527">
        <f t="shared" si="367"/>
        <v>-12441.053628532345</v>
      </c>
      <c r="AV262" s="527">
        <f t="shared" si="367"/>
        <v>-12895.795142825473</v>
      </c>
      <c r="AW262" s="527">
        <f t="shared" si="367"/>
        <v>-12895.795142825473</v>
      </c>
      <c r="AX262" s="527">
        <f t="shared" ref="AX262:BY262" si="368">(AX238-AX246)*AX$229</f>
        <v>-12895.795142825473</v>
      </c>
      <c r="AY262" s="527">
        <f t="shared" si="368"/>
        <v>-12895.795142825473</v>
      </c>
      <c r="AZ262" s="527">
        <f t="shared" si="368"/>
        <v>-12895.795142825473</v>
      </c>
      <c r="BA262" s="527">
        <f t="shared" si="368"/>
        <v>-12895.795142825473</v>
      </c>
      <c r="BB262" s="527">
        <f t="shared" si="368"/>
        <v>-12727.745296297195</v>
      </c>
      <c r="BC262" s="527">
        <f t="shared" si="368"/>
        <v>-12727.745296297195</v>
      </c>
      <c r="BD262" s="527">
        <f t="shared" si="368"/>
        <v>-12727.745296297195</v>
      </c>
      <c r="BE262" s="527">
        <f t="shared" si="368"/>
        <v>-12727.745296297195</v>
      </c>
      <c r="BF262" s="527">
        <f t="shared" si="368"/>
        <v>-12727.745296297195</v>
      </c>
      <c r="BG262" s="527">
        <f t="shared" si="368"/>
        <v>-12727.745296297195</v>
      </c>
      <c r="BH262" s="527">
        <f t="shared" si="368"/>
        <v>-13189.032717384183</v>
      </c>
      <c r="BI262" s="527">
        <f t="shared" si="368"/>
        <v>-13189.032717384183</v>
      </c>
      <c r="BJ262" s="527">
        <f t="shared" si="368"/>
        <v>-13189.032717384183</v>
      </c>
      <c r="BK262" s="527">
        <f t="shared" si="368"/>
        <v>-13189.032717384183</v>
      </c>
      <c r="BL262" s="527">
        <f t="shared" si="368"/>
        <v>-13189.032717384183</v>
      </c>
      <c r="BM262" s="527">
        <f t="shared" si="368"/>
        <v>-13189.032717384183</v>
      </c>
      <c r="BN262" s="527">
        <f t="shared" si="368"/>
        <v>-13029.125639037751</v>
      </c>
      <c r="BO262" s="527">
        <f t="shared" si="368"/>
        <v>-13029.125639037751</v>
      </c>
      <c r="BP262" s="527">
        <f t="shared" si="368"/>
        <v>-13029.125639037751</v>
      </c>
      <c r="BQ262" s="527">
        <f t="shared" si="368"/>
        <v>-13029.125639037751</v>
      </c>
      <c r="BR262" s="527">
        <f t="shared" si="368"/>
        <v>-13029.125639037751</v>
      </c>
      <c r="BS262" s="527">
        <f t="shared" si="368"/>
        <v>-13029.125639037751</v>
      </c>
      <c r="BT262" s="527">
        <f t="shared" si="368"/>
        <v>-13497.222005231752</v>
      </c>
      <c r="BU262" s="527">
        <f t="shared" si="368"/>
        <v>-13497.222005231752</v>
      </c>
      <c r="BV262" s="527">
        <f t="shared" si="368"/>
        <v>-13497.222005231752</v>
      </c>
      <c r="BW262" s="527">
        <f t="shared" si="368"/>
        <v>-13497.222005231752</v>
      </c>
      <c r="BX262" s="527">
        <f t="shared" si="368"/>
        <v>-13497.222005231752</v>
      </c>
      <c r="BY262" s="527">
        <f t="shared" si="368"/>
        <v>-13497.222005231752</v>
      </c>
    </row>
    <row r="263" spans="1:77" x14ac:dyDescent="0.3">
      <c r="A263" s="551"/>
      <c r="B263" s="548"/>
      <c r="C263" s="525"/>
      <c r="D263" s="525"/>
      <c r="E263" s="622" t="str">
        <f>"BCF dist &amp; disp: "&amp;E$156</f>
        <v>BCF dist &amp; disp: FY28 Tranche</v>
      </c>
      <c r="F263" s="525"/>
      <c r="G263" s="525"/>
      <c r="H263" s="525"/>
      <c r="I263" s="525"/>
      <c r="J263" s="525"/>
      <c r="K263" s="525"/>
      <c r="L263" s="525"/>
      <c r="M263" s="525"/>
      <c r="N263" s="525"/>
      <c r="O263" s="525"/>
      <c r="P263" s="565"/>
      <c r="Q263" s="525"/>
      <c r="R263" s="527">
        <f t="shared" ref="R263:AW263" si="369">(R239-R247)*R$229</f>
        <v>-10721.826068636426</v>
      </c>
      <c r="S263" s="527">
        <f t="shared" si="369"/>
        <v>-10721.826068636426</v>
      </c>
      <c r="T263" s="527">
        <f t="shared" si="369"/>
        <v>-10721.826068636426</v>
      </c>
      <c r="U263" s="527">
        <f t="shared" si="369"/>
        <v>-10721.826068636426</v>
      </c>
      <c r="V263" s="527">
        <f t="shared" si="369"/>
        <v>-10721.826068636426</v>
      </c>
      <c r="W263" s="527">
        <f t="shared" si="369"/>
        <v>-10721.826068636426</v>
      </c>
      <c r="X263" s="527">
        <f t="shared" si="369"/>
        <v>-10721.826068636426</v>
      </c>
      <c r="Y263" s="527">
        <f t="shared" si="369"/>
        <v>-10721.826068636426</v>
      </c>
      <c r="Z263" s="527">
        <f t="shared" si="369"/>
        <v>-10721.826068636426</v>
      </c>
      <c r="AA263" s="527">
        <f t="shared" si="369"/>
        <v>-10721.826068636426</v>
      </c>
      <c r="AB263" s="527">
        <f t="shared" si="369"/>
        <v>-10721.826068636426</v>
      </c>
      <c r="AC263" s="527">
        <f t="shared" si="369"/>
        <v>-10721.826068636426</v>
      </c>
      <c r="AD263" s="527">
        <f t="shared" si="369"/>
        <v>-10936.262590009155</v>
      </c>
      <c r="AE263" s="527">
        <f t="shared" si="369"/>
        <v>-10936.262590009155</v>
      </c>
      <c r="AF263" s="527">
        <f t="shared" si="369"/>
        <v>-10936.262590009155</v>
      </c>
      <c r="AG263" s="527">
        <f t="shared" si="369"/>
        <v>-10936.262590009155</v>
      </c>
      <c r="AH263" s="527">
        <f t="shared" si="369"/>
        <v>-10936.262590009155</v>
      </c>
      <c r="AI263" s="527">
        <f t="shared" si="369"/>
        <v>-10936.262590009155</v>
      </c>
      <c r="AJ263" s="527">
        <f t="shared" si="369"/>
        <v>-12615.837761902061</v>
      </c>
      <c r="AK263" s="527">
        <f t="shared" si="369"/>
        <v>-12615.837761902061</v>
      </c>
      <c r="AL263" s="527">
        <f t="shared" si="369"/>
        <v>-12615.837761902061</v>
      </c>
      <c r="AM263" s="527">
        <f t="shared" si="369"/>
        <v>-12615.837761902061</v>
      </c>
      <c r="AN263" s="527">
        <f t="shared" si="369"/>
        <v>-12615.837761902061</v>
      </c>
      <c r="AO263" s="527">
        <f t="shared" si="369"/>
        <v>-12615.837761902061</v>
      </c>
      <c r="AP263" s="527">
        <f t="shared" si="369"/>
        <v>-12417.148398034185</v>
      </c>
      <c r="AQ263" s="527">
        <f t="shared" si="369"/>
        <v>-12417.148398034185</v>
      </c>
      <c r="AR263" s="527">
        <f t="shared" si="369"/>
        <v>-12417.148398034185</v>
      </c>
      <c r="AS263" s="527">
        <f t="shared" si="369"/>
        <v>-12417.148398034185</v>
      </c>
      <c r="AT263" s="527">
        <f t="shared" si="369"/>
        <v>-12417.148398034185</v>
      </c>
      <c r="AU263" s="527">
        <f t="shared" si="369"/>
        <v>-12417.148398034185</v>
      </c>
      <c r="AV263" s="527">
        <f t="shared" si="369"/>
        <v>-12870.933703107386</v>
      </c>
      <c r="AW263" s="527">
        <f t="shared" si="369"/>
        <v>-12870.933703107386</v>
      </c>
      <c r="AX263" s="527">
        <f t="shared" ref="AX263:BY263" si="370">(AX239-AX247)*AX$229</f>
        <v>-12870.933703107386</v>
      </c>
      <c r="AY263" s="527">
        <f t="shared" si="370"/>
        <v>-12870.933703107386</v>
      </c>
      <c r="AZ263" s="527">
        <f t="shared" si="370"/>
        <v>-12870.933703107386</v>
      </c>
      <c r="BA263" s="527">
        <f t="shared" si="370"/>
        <v>-12870.933703107386</v>
      </c>
      <c r="BB263" s="527">
        <f t="shared" si="370"/>
        <v>-12703.495955121192</v>
      </c>
      <c r="BC263" s="527">
        <f t="shared" si="370"/>
        <v>-12703.495955121192</v>
      </c>
      <c r="BD263" s="527">
        <f t="shared" si="370"/>
        <v>-12703.495955121192</v>
      </c>
      <c r="BE263" s="527">
        <f t="shared" si="370"/>
        <v>-12703.495955121192</v>
      </c>
      <c r="BF263" s="527">
        <f t="shared" si="370"/>
        <v>-12703.495955121192</v>
      </c>
      <c r="BG263" s="527">
        <f t="shared" si="370"/>
        <v>-12703.495955121192</v>
      </c>
      <c r="BH263" s="527">
        <f t="shared" si="370"/>
        <v>-13163.813402561138</v>
      </c>
      <c r="BI263" s="527">
        <f t="shared" si="370"/>
        <v>-13163.813402561138</v>
      </c>
      <c r="BJ263" s="527">
        <f t="shared" si="370"/>
        <v>-13163.813402561138</v>
      </c>
      <c r="BK263" s="527">
        <f t="shared" si="370"/>
        <v>-13163.813402561138</v>
      </c>
      <c r="BL263" s="527">
        <f t="shared" si="370"/>
        <v>-13163.813402561138</v>
      </c>
      <c r="BM263" s="527">
        <f t="shared" si="370"/>
        <v>-13163.813402561138</v>
      </c>
      <c r="BN263" s="527">
        <f t="shared" si="370"/>
        <v>-13004.518359566879</v>
      </c>
      <c r="BO263" s="527">
        <f t="shared" si="370"/>
        <v>-13004.518359566879</v>
      </c>
      <c r="BP263" s="527">
        <f t="shared" si="370"/>
        <v>-13004.518359566879</v>
      </c>
      <c r="BQ263" s="527">
        <f t="shared" si="370"/>
        <v>-13004.518359566879</v>
      </c>
      <c r="BR263" s="527">
        <f t="shared" si="370"/>
        <v>-13004.518359566879</v>
      </c>
      <c r="BS263" s="527">
        <f t="shared" si="370"/>
        <v>-13004.518359566879</v>
      </c>
      <c r="BT263" s="527">
        <f t="shared" si="370"/>
        <v>-13471.630434582048</v>
      </c>
      <c r="BU263" s="527">
        <f t="shared" si="370"/>
        <v>-13471.630434582048</v>
      </c>
      <c r="BV263" s="527">
        <f t="shared" si="370"/>
        <v>-13471.630434582048</v>
      </c>
      <c r="BW263" s="527">
        <f t="shared" si="370"/>
        <v>-13471.630434582048</v>
      </c>
      <c r="BX263" s="527">
        <f t="shared" si="370"/>
        <v>-13471.630434582048</v>
      </c>
      <c r="BY263" s="527">
        <f t="shared" si="370"/>
        <v>-13471.630434582048</v>
      </c>
    </row>
    <row r="264" spans="1:77" x14ac:dyDescent="0.3">
      <c r="A264" s="551"/>
      <c r="B264" s="548"/>
      <c r="C264" s="525"/>
      <c r="D264" s="525"/>
      <c r="E264" s="622" t="str">
        <f>"BCF dist &amp; disp: "&amp;E$157</f>
        <v>BCF dist &amp; disp: FY29 Tranche</v>
      </c>
      <c r="F264" s="525"/>
      <c r="G264" s="525"/>
      <c r="H264" s="525"/>
      <c r="I264" s="525"/>
      <c r="J264" s="525"/>
      <c r="K264" s="525"/>
      <c r="L264" s="525"/>
      <c r="M264" s="525"/>
      <c r="N264" s="525"/>
      <c r="O264" s="525"/>
      <c r="P264" s="565"/>
      <c r="Q264" s="525"/>
      <c r="R264" s="527">
        <f t="shared" ref="R264:AW264" si="371">(R240-R248)*R$229</f>
        <v>-10721.826068636426</v>
      </c>
      <c r="S264" s="527">
        <f t="shared" si="371"/>
        <v>-10721.826068636426</v>
      </c>
      <c r="T264" s="527">
        <f t="shared" si="371"/>
        <v>-10721.826068636426</v>
      </c>
      <c r="U264" s="527">
        <f t="shared" si="371"/>
        <v>-10721.826068636426</v>
      </c>
      <c r="V264" s="527">
        <f t="shared" si="371"/>
        <v>-10721.826068636426</v>
      </c>
      <c r="W264" s="527">
        <f t="shared" si="371"/>
        <v>-10721.826068636426</v>
      </c>
      <c r="X264" s="527">
        <f t="shared" si="371"/>
        <v>-10721.826068636426</v>
      </c>
      <c r="Y264" s="527">
        <f t="shared" si="371"/>
        <v>-10721.826068636426</v>
      </c>
      <c r="Z264" s="527">
        <f t="shared" si="371"/>
        <v>-10721.826068636426</v>
      </c>
      <c r="AA264" s="527">
        <f t="shared" si="371"/>
        <v>-10721.826068636426</v>
      </c>
      <c r="AB264" s="527">
        <f t="shared" si="371"/>
        <v>-10721.826068636426</v>
      </c>
      <c r="AC264" s="527">
        <f t="shared" si="371"/>
        <v>-10721.826068636426</v>
      </c>
      <c r="AD264" s="527">
        <f t="shared" si="371"/>
        <v>-10936.262590009155</v>
      </c>
      <c r="AE264" s="527">
        <f t="shared" si="371"/>
        <v>-10936.262590009155</v>
      </c>
      <c r="AF264" s="527">
        <f t="shared" si="371"/>
        <v>-10936.262590009155</v>
      </c>
      <c r="AG264" s="527">
        <f t="shared" si="371"/>
        <v>-10936.262590009155</v>
      </c>
      <c r="AH264" s="527">
        <f t="shared" si="371"/>
        <v>-10936.262590009155</v>
      </c>
      <c r="AI264" s="527">
        <f t="shared" si="371"/>
        <v>-10936.262590009155</v>
      </c>
      <c r="AJ264" s="527">
        <f t="shared" si="371"/>
        <v>-10936.262590009155</v>
      </c>
      <c r="AK264" s="527">
        <f t="shared" si="371"/>
        <v>-10936.262590009155</v>
      </c>
      <c r="AL264" s="527">
        <f t="shared" si="371"/>
        <v>-10936.262590009155</v>
      </c>
      <c r="AM264" s="527">
        <f t="shared" si="371"/>
        <v>-10936.262590009155</v>
      </c>
      <c r="AN264" s="527">
        <f t="shared" si="371"/>
        <v>-10936.262590009155</v>
      </c>
      <c r="AO264" s="527">
        <f t="shared" si="371"/>
        <v>-10936.262590009155</v>
      </c>
      <c r="AP264" s="527">
        <f t="shared" si="371"/>
        <v>-11154.987841809336</v>
      </c>
      <c r="AQ264" s="527">
        <f t="shared" si="371"/>
        <v>-11154.987841809336</v>
      </c>
      <c r="AR264" s="527">
        <f t="shared" si="371"/>
        <v>-11154.987841809336</v>
      </c>
      <c r="AS264" s="527">
        <f t="shared" si="371"/>
        <v>-11154.987841809336</v>
      </c>
      <c r="AT264" s="527">
        <f t="shared" si="371"/>
        <v>-11154.987841809336</v>
      </c>
      <c r="AU264" s="527">
        <f t="shared" si="371"/>
        <v>-11154.987841809336</v>
      </c>
      <c r="AV264" s="527">
        <f t="shared" si="371"/>
        <v>-12825.709146959707</v>
      </c>
      <c r="AW264" s="527">
        <f t="shared" si="371"/>
        <v>-12825.709146959707</v>
      </c>
      <c r="AX264" s="527">
        <f t="shared" ref="AX264:BY264" si="372">(AX240-AX248)*AX$229</f>
        <v>-12825.709146959707</v>
      </c>
      <c r="AY264" s="527">
        <f t="shared" si="372"/>
        <v>-12825.709146959707</v>
      </c>
      <c r="AZ264" s="527">
        <f t="shared" si="372"/>
        <v>-12825.709146959707</v>
      </c>
      <c r="BA264" s="527">
        <f t="shared" si="372"/>
        <v>-12825.709146959707</v>
      </c>
      <c r="BB264" s="527">
        <f t="shared" si="372"/>
        <v>-12659.384845547735</v>
      </c>
      <c r="BC264" s="527">
        <f t="shared" si="372"/>
        <v>-12659.384845547735</v>
      </c>
      <c r="BD264" s="527">
        <f t="shared" si="372"/>
        <v>-12659.384845547735</v>
      </c>
      <c r="BE264" s="527">
        <f t="shared" si="372"/>
        <v>-12659.384845547735</v>
      </c>
      <c r="BF264" s="527">
        <f t="shared" si="372"/>
        <v>-12659.384845547735</v>
      </c>
      <c r="BG264" s="527">
        <f t="shared" si="372"/>
        <v>-12659.384845547735</v>
      </c>
      <c r="BH264" s="527">
        <f t="shared" si="372"/>
        <v>-13117.937848604746</v>
      </c>
      <c r="BI264" s="527">
        <f t="shared" si="372"/>
        <v>-13117.937848604746</v>
      </c>
      <c r="BJ264" s="527">
        <f t="shared" si="372"/>
        <v>-13117.937848604746</v>
      </c>
      <c r="BK264" s="527">
        <f t="shared" si="372"/>
        <v>-13117.937848604746</v>
      </c>
      <c r="BL264" s="527">
        <f t="shared" si="372"/>
        <v>-13117.937848604746</v>
      </c>
      <c r="BM264" s="527">
        <f t="shared" si="372"/>
        <v>-13117.937848604746</v>
      </c>
      <c r="BN264" s="527">
        <f t="shared" si="372"/>
        <v>-12959.756137238197</v>
      </c>
      <c r="BO264" s="527">
        <f t="shared" si="372"/>
        <v>-12959.756137238197</v>
      </c>
      <c r="BP264" s="527">
        <f t="shared" si="372"/>
        <v>-12959.756137238197</v>
      </c>
      <c r="BQ264" s="527">
        <f t="shared" si="372"/>
        <v>-12959.756137238197</v>
      </c>
      <c r="BR264" s="527">
        <f t="shared" si="372"/>
        <v>-12959.756137238197</v>
      </c>
      <c r="BS264" s="527">
        <f t="shared" si="372"/>
        <v>-12959.756137238197</v>
      </c>
      <c r="BT264" s="527">
        <f t="shared" si="372"/>
        <v>-13425.077723360217</v>
      </c>
      <c r="BU264" s="527">
        <f t="shared" si="372"/>
        <v>-13425.077723360217</v>
      </c>
      <c r="BV264" s="527">
        <f t="shared" si="372"/>
        <v>-13425.077723360217</v>
      </c>
      <c r="BW264" s="527">
        <f t="shared" si="372"/>
        <v>-13425.077723360217</v>
      </c>
      <c r="BX264" s="527">
        <f t="shared" si="372"/>
        <v>-13425.077723360217</v>
      </c>
      <c r="BY264" s="527">
        <f t="shared" si="372"/>
        <v>-13425.077723360217</v>
      </c>
    </row>
    <row r="265" spans="1:77" x14ac:dyDescent="0.3">
      <c r="A265" s="551"/>
      <c r="B265" s="548"/>
      <c r="C265" s="525"/>
      <c r="D265" s="525"/>
      <c r="E265" s="622" t="str">
        <f>"BCF dist &amp; disp: "&amp;E$158</f>
        <v>BCF dist &amp; disp: FY30 Tranche</v>
      </c>
      <c r="F265" s="525"/>
      <c r="G265" s="525"/>
      <c r="H265" s="525"/>
      <c r="I265" s="525"/>
      <c r="J265" s="525"/>
      <c r="K265" s="525"/>
      <c r="L265" s="525"/>
      <c r="M265" s="525"/>
      <c r="N265" s="525"/>
      <c r="O265" s="525"/>
      <c r="P265" s="565"/>
      <c r="Q265" s="525"/>
      <c r="R265" s="527">
        <f t="shared" ref="R265:AW265" si="373">(R241-R249)*R$229</f>
        <v>-10721.826068636426</v>
      </c>
      <c r="S265" s="527">
        <f t="shared" si="373"/>
        <v>-10721.826068636426</v>
      </c>
      <c r="T265" s="527">
        <f t="shared" si="373"/>
        <v>-10721.826068636426</v>
      </c>
      <c r="U265" s="527">
        <f t="shared" si="373"/>
        <v>-10721.826068636426</v>
      </c>
      <c r="V265" s="527">
        <f t="shared" si="373"/>
        <v>-10721.826068636426</v>
      </c>
      <c r="W265" s="527">
        <f t="shared" si="373"/>
        <v>-10721.826068636426</v>
      </c>
      <c r="X265" s="527">
        <f t="shared" si="373"/>
        <v>-10721.826068636426</v>
      </c>
      <c r="Y265" s="527">
        <f t="shared" si="373"/>
        <v>-10721.826068636426</v>
      </c>
      <c r="Z265" s="527">
        <f t="shared" si="373"/>
        <v>-10721.826068636426</v>
      </c>
      <c r="AA265" s="527">
        <f t="shared" si="373"/>
        <v>-10721.826068636426</v>
      </c>
      <c r="AB265" s="527">
        <f t="shared" si="373"/>
        <v>-10721.826068636426</v>
      </c>
      <c r="AC265" s="527">
        <f t="shared" si="373"/>
        <v>-10721.826068636426</v>
      </c>
      <c r="AD265" s="527">
        <f t="shared" si="373"/>
        <v>-10936.262590009155</v>
      </c>
      <c r="AE265" s="527">
        <f t="shared" si="373"/>
        <v>-10936.262590009155</v>
      </c>
      <c r="AF265" s="527">
        <f t="shared" si="373"/>
        <v>-10936.262590009155</v>
      </c>
      <c r="AG265" s="527">
        <f t="shared" si="373"/>
        <v>-10936.262590009155</v>
      </c>
      <c r="AH265" s="527">
        <f t="shared" si="373"/>
        <v>-10936.262590009155</v>
      </c>
      <c r="AI265" s="527">
        <f t="shared" si="373"/>
        <v>-10936.262590009155</v>
      </c>
      <c r="AJ265" s="527">
        <f t="shared" si="373"/>
        <v>-10936.262590009155</v>
      </c>
      <c r="AK265" s="527">
        <f t="shared" si="373"/>
        <v>-10936.262590009155</v>
      </c>
      <c r="AL265" s="527">
        <f t="shared" si="373"/>
        <v>-10936.262590009155</v>
      </c>
      <c r="AM265" s="527">
        <f t="shared" si="373"/>
        <v>-10936.262590009155</v>
      </c>
      <c r="AN265" s="527">
        <f t="shared" si="373"/>
        <v>-10936.262590009155</v>
      </c>
      <c r="AO265" s="527">
        <f t="shared" si="373"/>
        <v>-10936.262590009155</v>
      </c>
      <c r="AP265" s="527">
        <f t="shared" si="373"/>
        <v>-11154.987841809336</v>
      </c>
      <c r="AQ265" s="527">
        <f t="shared" si="373"/>
        <v>-11154.987841809336</v>
      </c>
      <c r="AR265" s="527">
        <f t="shared" si="373"/>
        <v>-11154.987841809336</v>
      </c>
      <c r="AS265" s="527">
        <f t="shared" si="373"/>
        <v>-11154.987841809336</v>
      </c>
      <c r="AT265" s="527">
        <f t="shared" si="373"/>
        <v>-11154.987841809336</v>
      </c>
      <c r="AU265" s="527">
        <f t="shared" si="373"/>
        <v>-11154.987841809336</v>
      </c>
      <c r="AV265" s="527">
        <f t="shared" si="373"/>
        <v>-11154.987841809336</v>
      </c>
      <c r="AW265" s="527">
        <f t="shared" si="373"/>
        <v>-11154.987841809336</v>
      </c>
      <c r="AX265" s="527">
        <f t="shared" ref="AX265:BY265" si="374">(AX241-AX249)*AX$229</f>
        <v>-11154.987841809336</v>
      </c>
      <c r="AY265" s="527">
        <f t="shared" si="374"/>
        <v>-11154.987841809336</v>
      </c>
      <c r="AZ265" s="527">
        <f t="shared" si="374"/>
        <v>-11154.987841809336</v>
      </c>
      <c r="BA265" s="527">
        <f t="shared" si="374"/>
        <v>-11154.987841809336</v>
      </c>
      <c r="BB265" s="527">
        <f t="shared" si="374"/>
        <v>-11378.087598645525</v>
      </c>
      <c r="BC265" s="527">
        <f t="shared" si="374"/>
        <v>-11378.087598645525</v>
      </c>
      <c r="BD265" s="527">
        <f t="shared" si="374"/>
        <v>-11378.087598645525</v>
      </c>
      <c r="BE265" s="527">
        <f t="shared" si="374"/>
        <v>-11378.087598645525</v>
      </c>
      <c r="BF265" s="527">
        <f t="shared" si="374"/>
        <v>-11378.087598645525</v>
      </c>
      <c r="BG265" s="527">
        <f t="shared" si="374"/>
        <v>-11378.087598645525</v>
      </c>
      <c r="BH265" s="527">
        <f t="shared" si="374"/>
        <v>-13041.371085206274</v>
      </c>
      <c r="BI265" s="527">
        <f t="shared" si="374"/>
        <v>-13041.371085206274</v>
      </c>
      <c r="BJ265" s="527">
        <f t="shared" si="374"/>
        <v>-13041.371085206274</v>
      </c>
      <c r="BK265" s="527">
        <f t="shared" si="374"/>
        <v>-13041.371085206274</v>
      </c>
      <c r="BL265" s="527">
        <f t="shared" si="374"/>
        <v>-13041.371085206274</v>
      </c>
      <c r="BM265" s="527">
        <f t="shared" si="374"/>
        <v>-13041.371085206274</v>
      </c>
      <c r="BN265" s="527">
        <f t="shared" si="374"/>
        <v>-12885.047535583217</v>
      </c>
      <c r="BO265" s="527">
        <f t="shared" si="374"/>
        <v>-12885.047535583217</v>
      </c>
      <c r="BP265" s="527">
        <f t="shared" si="374"/>
        <v>-12885.047535583217</v>
      </c>
      <c r="BQ265" s="527">
        <f t="shared" si="374"/>
        <v>-12885.047535583217</v>
      </c>
      <c r="BR265" s="527">
        <f t="shared" si="374"/>
        <v>-12885.047535583217</v>
      </c>
      <c r="BS265" s="527">
        <f t="shared" si="374"/>
        <v>-12885.047535583217</v>
      </c>
      <c r="BT265" s="527">
        <f t="shared" si="374"/>
        <v>-13347.380777639039</v>
      </c>
      <c r="BU265" s="527">
        <f t="shared" si="374"/>
        <v>-13347.380777639039</v>
      </c>
      <c r="BV265" s="527">
        <f t="shared" si="374"/>
        <v>-13347.380777639039</v>
      </c>
      <c r="BW265" s="527">
        <f t="shared" si="374"/>
        <v>-13347.380777639039</v>
      </c>
      <c r="BX265" s="527">
        <f t="shared" si="374"/>
        <v>-13347.380777639039</v>
      </c>
      <c r="BY265" s="527">
        <f t="shared" si="374"/>
        <v>-13347.380777639039</v>
      </c>
    </row>
    <row r="266" spans="1:77" x14ac:dyDescent="0.3">
      <c r="A266" s="551"/>
      <c r="B266" s="548"/>
      <c r="C266" s="525"/>
      <c r="D266" s="525"/>
      <c r="E266" s="622" t="str">
        <f>"BCF dist &amp; disp: "&amp;E$159</f>
        <v>BCF dist &amp; disp: FY31 Tranche</v>
      </c>
      <c r="F266" s="525"/>
      <c r="G266" s="525"/>
      <c r="H266" s="525"/>
      <c r="I266" s="525"/>
      <c r="J266" s="525"/>
      <c r="K266" s="525"/>
      <c r="L266" s="525"/>
      <c r="M266" s="525"/>
      <c r="N266" s="525"/>
      <c r="O266" s="525"/>
      <c r="P266" s="565"/>
      <c r="Q266" s="525"/>
      <c r="R266" s="527">
        <f t="shared" ref="R266:AW266" si="375">(R242-R250)*R$229</f>
        <v>-10721.826068636426</v>
      </c>
      <c r="S266" s="527">
        <f t="shared" si="375"/>
        <v>-10721.826068636426</v>
      </c>
      <c r="T266" s="527">
        <f t="shared" si="375"/>
        <v>-10721.826068636426</v>
      </c>
      <c r="U266" s="527">
        <f t="shared" si="375"/>
        <v>-10721.826068636426</v>
      </c>
      <c r="V266" s="527">
        <f t="shared" si="375"/>
        <v>-10721.826068636426</v>
      </c>
      <c r="W266" s="527">
        <f t="shared" si="375"/>
        <v>-10721.826068636426</v>
      </c>
      <c r="X266" s="527">
        <f t="shared" si="375"/>
        <v>-10721.826068636426</v>
      </c>
      <c r="Y266" s="527">
        <f t="shared" si="375"/>
        <v>-10721.826068636426</v>
      </c>
      <c r="Z266" s="527">
        <f t="shared" si="375"/>
        <v>-10721.826068636426</v>
      </c>
      <c r="AA266" s="527">
        <f t="shared" si="375"/>
        <v>-10721.826068636426</v>
      </c>
      <c r="AB266" s="527">
        <f t="shared" si="375"/>
        <v>-10721.826068636426</v>
      </c>
      <c r="AC266" s="527">
        <f t="shared" si="375"/>
        <v>-10721.826068636426</v>
      </c>
      <c r="AD266" s="527">
        <f t="shared" si="375"/>
        <v>-10936.262590009155</v>
      </c>
      <c r="AE266" s="527">
        <f t="shared" si="375"/>
        <v>-10936.262590009155</v>
      </c>
      <c r="AF266" s="527">
        <f t="shared" si="375"/>
        <v>-10936.262590009155</v>
      </c>
      <c r="AG266" s="527">
        <f t="shared" si="375"/>
        <v>-10936.262590009155</v>
      </c>
      <c r="AH266" s="527">
        <f t="shared" si="375"/>
        <v>-10936.262590009155</v>
      </c>
      <c r="AI266" s="527">
        <f t="shared" si="375"/>
        <v>-10936.262590009155</v>
      </c>
      <c r="AJ266" s="527">
        <f t="shared" si="375"/>
        <v>-10936.262590009155</v>
      </c>
      <c r="AK266" s="527">
        <f t="shared" si="375"/>
        <v>-10936.262590009155</v>
      </c>
      <c r="AL266" s="527">
        <f t="shared" si="375"/>
        <v>-10936.262590009155</v>
      </c>
      <c r="AM266" s="527">
        <f t="shared" si="375"/>
        <v>-10936.262590009155</v>
      </c>
      <c r="AN266" s="527">
        <f t="shared" si="375"/>
        <v>-10936.262590009155</v>
      </c>
      <c r="AO266" s="527">
        <f t="shared" si="375"/>
        <v>-10936.262590009155</v>
      </c>
      <c r="AP266" s="527">
        <f t="shared" si="375"/>
        <v>-11154.987841809336</v>
      </c>
      <c r="AQ266" s="527">
        <f t="shared" si="375"/>
        <v>-11154.987841809336</v>
      </c>
      <c r="AR266" s="527">
        <f t="shared" si="375"/>
        <v>-11154.987841809336</v>
      </c>
      <c r="AS266" s="527">
        <f t="shared" si="375"/>
        <v>-11154.987841809336</v>
      </c>
      <c r="AT266" s="527">
        <f t="shared" si="375"/>
        <v>-11154.987841809336</v>
      </c>
      <c r="AU266" s="527">
        <f t="shared" si="375"/>
        <v>-11154.987841809336</v>
      </c>
      <c r="AV266" s="527">
        <f t="shared" si="375"/>
        <v>-11154.987841809336</v>
      </c>
      <c r="AW266" s="527">
        <f t="shared" si="375"/>
        <v>-11154.987841809336</v>
      </c>
      <c r="AX266" s="527">
        <f t="shared" ref="AX266:BY266" si="376">(AX242-AX250)*AX$229</f>
        <v>-11154.987841809336</v>
      </c>
      <c r="AY266" s="527">
        <f t="shared" si="376"/>
        <v>-11154.987841809336</v>
      </c>
      <c r="AZ266" s="527">
        <f t="shared" si="376"/>
        <v>-11154.987841809336</v>
      </c>
      <c r="BA266" s="527">
        <f t="shared" si="376"/>
        <v>-11154.987841809336</v>
      </c>
      <c r="BB266" s="527">
        <f t="shared" si="376"/>
        <v>-11378.087598645525</v>
      </c>
      <c r="BC266" s="527">
        <f t="shared" si="376"/>
        <v>-11378.087598645525</v>
      </c>
      <c r="BD266" s="527">
        <f t="shared" si="376"/>
        <v>-11378.087598645525</v>
      </c>
      <c r="BE266" s="527">
        <f t="shared" si="376"/>
        <v>-11378.087598645525</v>
      </c>
      <c r="BF266" s="527">
        <f t="shared" si="376"/>
        <v>-11378.087598645525</v>
      </c>
      <c r="BG266" s="527">
        <f t="shared" si="376"/>
        <v>-11378.087598645525</v>
      </c>
      <c r="BH266" s="527">
        <f t="shared" si="376"/>
        <v>-11378.087598645525</v>
      </c>
      <c r="BI266" s="527">
        <f t="shared" si="376"/>
        <v>-11378.087598645525</v>
      </c>
      <c r="BJ266" s="527">
        <f t="shared" si="376"/>
        <v>-11378.087598645525</v>
      </c>
      <c r="BK266" s="527">
        <f t="shared" si="376"/>
        <v>-11378.087598645525</v>
      </c>
      <c r="BL266" s="527">
        <f t="shared" si="376"/>
        <v>-11378.087598645525</v>
      </c>
      <c r="BM266" s="527">
        <f t="shared" si="376"/>
        <v>-11378.087598645525</v>
      </c>
      <c r="BN266" s="527">
        <f t="shared" si="376"/>
        <v>-11605.649350618436</v>
      </c>
      <c r="BO266" s="527">
        <f t="shared" si="376"/>
        <v>-11605.649350618436</v>
      </c>
      <c r="BP266" s="527">
        <f t="shared" si="376"/>
        <v>-11605.649350618436</v>
      </c>
      <c r="BQ266" s="527">
        <f t="shared" si="376"/>
        <v>-11605.649350618436</v>
      </c>
      <c r="BR266" s="527">
        <f t="shared" si="376"/>
        <v>-11605.649350618436</v>
      </c>
      <c r="BS266" s="527">
        <f t="shared" si="376"/>
        <v>-11605.649350618436</v>
      </c>
      <c r="BT266" s="527">
        <f t="shared" si="376"/>
        <v>-13260.240246506364</v>
      </c>
      <c r="BU266" s="527">
        <f t="shared" si="376"/>
        <v>-13260.240246506364</v>
      </c>
      <c r="BV266" s="527">
        <f t="shared" si="376"/>
        <v>-13260.240246506364</v>
      </c>
      <c r="BW266" s="527">
        <f t="shared" si="376"/>
        <v>-13260.240246506364</v>
      </c>
      <c r="BX266" s="527">
        <f t="shared" si="376"/>
        <v>-13260.240246506364</v>
      </c>
      <c r="BY266" s="527">
        <f t="shared" si="376"/>
        <v>-13260.240246506364</v>
      </c>
    </row>
    <row r="267" spans="1:77" x14ac:dyDescent="0.3">
      <c r="A267" s="551"/>
      <c r="B267" s="548"/>
      <c r="C267" s="525"/>
      <c r="D267" s="525"/>
      <c r="E267" s="622" t="str">
        <f>"BCF dist &amp; disp: "&amp;E$160</f>
        <v>BCF dist &amp; disp: Uninvested Tranche</v>
      </c>
      <c r="F267" s="525"/>
      <c r="G267" s="525"/>
      <c r="H267" s="525"/>
      <c r="I267" s="525"/>
      <c r="J267" s="525"/>
      <c r="K267" s="525"/>
      <c r="L267" s="525"/>
      <c r="M267" s="525"/>
      <c r="N267" s="525"/>
      <c r="O267" s="525"/>
      <c r="P267" s="565"/>
      <c r="Q267" s="525"/>
      <c r="R267" s="527">
        <f t="shared" ref="R267:AW267" si="377">(R243-R251)*R$229</f>
        <v>-23966.434741657886</v>
      </c>
      <c r="S267" s="527">
        <f t="shared" si="377"/>
        <v>-23966.434741657886</v>
      </c>
      <c r="T267" s="527">
        <f t="shared" si="377"/>
        <v>-23966.434741657886</v>
      </c>
      <c r="U267" s="527">
        <f t="shared" si="377"/>
        <v>-23966.434741657886</v>
      </c>
      <c r="V267" s="527">
        <f t="shared" si="377"/>
        <v>-23966.434741657886</v>
      </c>
      <c r="W267" s="527">
        <f t="shared" si="377"/>
        <v>-23966.434741657886</v>
      </c>
      <c r="X267" s="527">
        <f t="shared" si="377"/>
        <v>-23966.434741657886</v>
      </c>
      <c r="Y267" s="527">
        <f t="shared" si="377"/>
        <v>-23966.434741657886</v>
      </c>
      <c r="Z267" s="527">
        <f t="shared" si="377"/>
        <v>-23966.434741657886</v>
      </c>
      <c r="AA267" s="527">
        <f t="shared" si="377"/>
        <v>-23966.434741657886</v>
      </c>
      <c r="AB267" s="527">
        <f t="shared" si="377"/>
        <v>-23966.434741657886</v>
      </c>
      <c r="AC267" s="527">
        <f t="shared" si="377"/>
        <v>-23966.434741657886</v>
      </c>
      <c r="AD267" s="527">
        <f t="shared" si="377"/>
        <v>-24445.763436491052</v>
      </c>
      <c r="AE267" s="527">
        <f t="shared" si="377"/>
        <v>-24445.763436491052</v>
      </c>
      <c r="AF267" s="527">
        <f t="shared" si="377"/>
        <v>-24445.763436491052</v>
      </c>
      <c r="AG267" s="527">
        <f t="shared" si="377"/>
        <v>-24445.763436491052</v>
      </c>
      <c r="AH267" s="527">
        <f t="shared" si="377"/>
        <v>-24445.763436491052</v>
      </c>
      <c r="AI267" s="527">
        <f t="shared" si="377"/>
        <v>-24445.763436491052</v>
      </c>
      <c r="AJ267" s="527">
        <f t="shared" si="377"/>
        <v>-24445.763436491052</v>
      </c>
      <c r="AK267" s="527">
        <f t="shared" si="377"/>
        <v>-24445.763436491052</v>
      </c>
      <c r="AL267" s="527">
        <f t="shared" si="377"/>
        <v>-24445.763436491052</v>
      </c>
      <c r="AM267" s="527">
        <f t="shared" si="377"/>
        <v>-24445.763436491052</v>
      </c>
      <c r="AN267" s="527">
        <f t="shared" si="377"/>
        <v>-24445.763436491052</v>
      </c>
      <c r="AO267" s="527">
        <f t="shared" si="377"/>
        <v>-24445.763436491052</v>
      </c>
      <c r="AP267" s="527">
        <f t="shared" si="377"/>
        <v>-24934.678705220871</v>
      </c>
      <c r="AQ267" s="527">
        <f t="shared" si="377"/>
        <v>-24934.678705220871</v>
      </c>
      <c r="AR267" s="527">
        <f t="shared" si="377"/>
        <v>-24934.678705220871</v>
      </c>
      <c r="AS267" s="527">
        <f t="shared" si="377"/>
        <v>-24934.678705220871</v>
      </c>
      <c r="AT267" s="527">
        <f t="shared" si="377"/>
        <v>-24934.678705220871</v>
      </c>
      <c r="AU267" s="527">
        <f t="shared" si="377"/>
        <v>-24934.678705220871</v>
      </c>
      <c r="AV267" s="527">
        <f t="shared" si="377"/>
        <v>-24934.678705220871</v>
      </c>
      <c r="AW267" s="527">
        <f t="shared" si="377"/>
        <v>-24934.678705220871</v>
      </c>
      <c r="AX267" s="527">
        <f t="shared" ref="AX267:BY267" si="378">(AX243-AX251)*AX$229</f>
        <v>-24934.678705220871</v>
      </c>
      <c r="AY267" s="527">
        <f t="shared" si="378"/>
        <v>-24934.678705220871</v>
      </c>
      <c r="AZ267" s="527">
        <f t="shared" si="378"/>
        <v>-24934.678705220871</v>
      </c>
      <c r="BA267" s="527">
        <f t="shared" si="378"/>
        <v>-24934.678705220871</v>
      </c>
      <c r="BB267" s="527">
        <f t="shared" si="378"/>
        <v>-25433.372279325293</v>
      </c>
      <c r="BC267" s="527">
        <f t="shared" si="378"/>
        <v>-25433.372279325293</v>
      </c>
      <c r="BD267" s="527">
        <f t="shared" si="378"/>
        <v>-25433.372279325293</v>
      </c>
      <c r="BE267" s="527">
        <f t="shared" si="378"/>
        <v>-25433.372279325293</v>
      </c>
      <c r="BF267" s="527">
        <f t="shared" si="378"/>
        <v>-25433.372279325293</v>
      </c>
      <c r="BG267" s="527">
        <f t="shared" si="378"/>
        <v>-25433.372279325293</v>
      </c>
      <c r="BH267" s="527">
        <f t="shared" si="378"/>
        <v>-25433.372279325293</v>
      </c>
      <c r="BI267" s="527">
        <f t="shared" si="378"/>
        <v>-25433.372279325293</v>
      </c>
      <c r="BJ267" s="527">
        <f t="shared" si="378"/>
        <v>-25433.372279325293</v>
      </c>
      <c r="BK267" s="527">
        <f t="shared" si="378"/>
        <v>-25433.372279325293</v>
      </c>
      <c r="BL267" s="527">
        <f t="shared" si="378"/>
        <v>-25433.372279325293</v>
      </c>
      <c r="BM267" s="527">
        <f t="shared" si="378"/>
        <v>-25433.372279325293</v>
      </c>
      <c r="BN267" s="527">
        <f t="shared" si="378"/>
        <v>-25942.039724911796</v>
      </c>
      <c r="BO267" s="527">
        <f t="shared" si="378"/>
        <v>-25942.039724911796</v>
      </c>
      <c r="BP267" s="527">
        <f t="shared" si="378"/>
        <v>-25942.039724911796</v>
      </c>
      <c r="BQ267" s="527">
        <f t="shared" si="378"/>
        <v>-25942.039724911796</v>
      </c>
      <c r="BR267" s="527">
        <f t="shared" si="378"/>
        <v>-25942.039724911796</v>
      </c>
      <c r="BS267" s="527">
        <f t="shared" si="378"/>
        <v>-25942.039724911796</v>
      </c>
      <c r="BT267" s="527">
        <f t="shared" si="378"/>
        <v>-25942.039724911796</v>
      </c>
      <c r="BU267" s="527">
        <f t="shared" si="378"/>
        <v>-25942.039724911796</v>
      </c>
      <c r="BV267" s="527">
        <f t="shared" si="378"/>
        <v>-25942.039724911796</v>
      </c>
      <c r="BW267" s="527">
        <f t="shared" si="378"/>
        <v>-25942.039724911796</v>
      </c>
      <c r="BX267" s="527">
        <f t="shared" si="378"/>
        <v>-25942.039724911796</v>
      </c>
      <c r="BY267" s="527">
        <f t="shared" si="378"/>
        <v>-25942.039724911796</v>
      </c>
    </row>
    <row r="268" spans="1:77" x14ac:dyDescent="0.3">
      <c r="A268" s="551"/>
      <c r="B268" s="548"/>
      <c r="C268" s="525"/>
      <c r="D268" s="525"/>
      <c r="E268" s="572" t="s">
        <v>36</v>
      </c>
      <c r="F268" s="572"/>
      <c r="G268" s="572"/>
      <c r="H268" s="572"/>
      <c r="I268" s="572"/>
      <c r="J268" s="572"/>
      <c r="K268" s="572"/>
      <c r="L268" s="572"/>
      <c r="M268" s="572"/>
      <c r="N268" s="572"/>
      <c r="O268" s="572"/>
      <c r="P268" s="612"/>
      <c r="Q268" s="572"/>
      <c r="R268" s="530">
        <f t="shared" ref="R268:AW268" si="379">SUM(R262:R267)</f>
        <v>-77575.565084840011</v>
      </c>
      <c r="S268" s="530">
        <f t="shared" si="379"/>
        <v>-77575.565084840011</v>
      </c>
      <c r="T268" s="530">
        <f t="shared" si="379"/>
        <v>-77575.565084840011</v>
      </c>
      <c r="U268" s="530">
        <f t="shared" si="379"/>
        <v>-77575.565084840011</v>
      </c>
      <c r="V268" s="530">
        <f t="shared" si="379"/>
        <v>-77575.565084840011</v>
      </c>
      <c r="W268" s="530">
        <f t="shared" si="379"/>
        <v>-77575.565084840011</v>
      </c>
      <c r="X268" s="530">
        <f t="shared" si="379"/>
        <v>-79265.531080727073</v>
      </c>
      <c r="Y268" s="530">
        <f t="shared" si="379"/>
        <v>-79265.531080727073</v>
      </c>
      <c r="Z268" s="530">
        <f t="shared" si="379"/>
        <v>-79265.531080727073</v>
      </c>
      <c r="AA268" s="530">
        <f t="shared" si="379"/>
        <v>-79265.531080727073</v>
      </c>
      <c r="AB268" s="530">
        <f t="shared" si="379"/>
        <v>-79265.531080727073</v>
      </c>
      <c r="AC268" s="530">
        <f t="shared" si="379"/>
        <v>-79265.531080727073</v>
      </c>
      <c r="AD268" s="530">
        <f t="shared" si="379"/>
        <v>-80381.784199021509</v>
      </c>
      <c r="AE268" s="530">
        <f t="shared" si="379"/>
        <v>-80381.784199021509</v>
      </c>
      <c r="AF268" s="530">
        <f t="shared" si="379"/>
        <v>-80381.784199021509</v>
      </c>
      <c r="AG268" s="530">
        <f t="shared" si="379"/>
        <v>-80381.784199021509</v>
      </c>
      <c r="AH268" s="530">
        <f t="shared" si="379"/>
        <v>-80381.784199021509</v>
      </c>
      <c r="AI268" s="530">
        <f t="shared" si="379"/>
        <v>-80381.784199021509</v>
      </c>
      <c r="AJ268" s="530">
        <f t="shared" si="379"/>
        <v>-82510.798267522987</v>
      </c>
      <c r="AK268" s="530">
        <f t="shared" si="379"/>
        <v>-82510.798267522987</v>
      </c>
      <c r="AL268" s="530">
        <f t="shared" si="379"/>
        <v>-82510.798267522987</v>
      </c>
      <c r="AM268" s="530">
        <f t="shared" si="379"/>
        <v>-82510.798267522987</v>
      </c>
      <c r="AN268" s="530">
        <f t="shared" si="379"/>
        <v>-82510.798267522987</v>
      </c>
      <c r="AO268" s="530">
        <f t="shared" si="379"/>
        <v>-82510.798267522987</v>
      </c>
      <c r="AP268" s="530">
        <f t="shared" si="379"/>
        <v>-83257.844257215402</v>
      </c>
      <c r="AQ268" s="530">
        <f t="shared" si="379"/>
        <v>-83257.844257215402</v>
      </c>
      <c r="AR268" s="530">
        <f t="shared" si="379"/>
        <v>-83257.844257215402</v>
      </c>
      <c r="AS268" s="530">
        <f t="shared" si="379"/>
        <v>-83257.844257215402</v>
      </c>
      <c r="AT268" s="530">
        <f t="shared" si="379"/>
        <v>-83257.844257215402</v>
      </c>
      <c r="AU268" s="530">
        <f t="shared" si="379"/>
        <v>-83257.844257215402</v>
      </c>
      <c r="AV268" s="530">
        <f t="shared" si="379"/>
        <v>-85837.092381732102</v>
      </c>
      <c r="AW268" s="530">
        <f t="shared" si="379"/>
        <v>-85837.092381732102</v>
      </c>
      <c r="AX268" s="530">
        <f t="shared" ref="AX268:BY268" si="380">SUM(AX262:AX267)</f>
        <v>-85837.092381732102</v>
      </c>
      <c r="AY268" s="530">
        <f t="shared" si="380"/>
        <v>-85837.092381732102</v>
      </c>
      <c r="AZ268" s="530">
        <f t="shared" si="380"/>
        <v>-85837.092381732102</v>
      </c>
      <c r="BA268" s="530">
        <f t="shared" si="380"/>
        <v>-85837.092381732102</v>
      </c>
      <c r="BB268" s="530">
        <f t="shared" si="380"/>
        <v>-86280.173573582462</v>
      </c>
      <c r="BC268" s="530">
        <f t="shared" si="380"/>
        <v>-86280.173573582462</v>
      </c>
      <c r="BD268" s="530">
        <f t="shared" si="380"/>
        <v>-86280.173573582462</v>
      </c>
      <c r="BE268" s="530">
        <f t="shared" si="380"/>
        <v>-86280.173573582462</v>
      </c>
      <c r="BF268" s="530">
        <f t="shared" si="380"/>
        <v>-86280.173573582462</v>
      </c>
      <c r="BG268" s="530">
        <f t="shared" si="380"/>
        <v>-86280.173573582462</v>
      </c>
      <c r="BH268" s="530">
        <f t="shared" si="380"/>
        <v>-89323.614931727163</v>
      </c>
      <c r="BI268" s="530">
        <f t="shared" si="380"/>
        <v>-89323.614931727163</v>
      </c>
      <c r="BJ268" s="530">
        <f t="shared" si="380"/>
        <v>-89323.614931727163</v>
      </c>
      <c r="BK268" s="530">
        <f t="shared" si="380"/>
        <v>-89323.614931727163</v>
      </c>
      <c r="BL268" s="530">
        <f t="shared" si="380"/>
        <v>-89323.614931727163</v>
      </c>
      <c r="BM268" s="530">
        <f t="shared" si="380"/>
        <v>-89323.614931727163</v>
      </c>
      <c r="BN268" s="530">
        <f t="shared" si="380"/>
        <v>-89426.136746956268</v>
      </c>
      <c r="BO268" s="530">
        <f t="shared" si="380"/>
        <v>-89426.136746956268</v>
      </c>
      <c r="BP268" s="530">
        <f t="shared" si="380"/>
        <v>-89426.136746956268</v>
      </c>
      <c r="BQ268" s="530">
        <f t="shared" si="380"/>
        <v>-89426.136746956268</v>
      </c>
      <c r="BR268" s="530">
        <f t="shared" si="380"/>
        <v>-89426.136746956268</v>
      </c>
      <c r="BS268" s="530">
        <f t="shared" si="380"/>
        <v>-89426.136746956268</v>
      </c>
      <c r="BT268" s="530">
        <f t="shared" si="380"/>
        <v>-92943.590912231215</v>
      </c>
      <c r="BU268" s="530">
        <f t="shared" si="380"/>
        <v>-92943.590912231215</v>
      </c>
      <c r="BV268" s="530">
        <f t="shared" si="380"/>
        <v>-92943.590912231215</v>
      </c>
      <c r="BW268" s="530">
        <f t="shared" si="380"/>
        <v>-92943.590912231215</v>
      </c>
      <c r="BX268" s="530">
        <f t="shared" si="380"/>
        <v>-92943.590912231215</v>
      </c>
      <c r="BY268" s="530">
        <f t="shared" si="380"/>
        <v>-92943.590912231215</v>
      </c>
    </row>
    <row r="269" spans="1:77" x14ac:dyDescent="0.3">
      <c r="A269" s="551"/>
      <c r="B269" s="548"/>
      <c r="C269" s="525"/>
      <c r="D269" s="525"/>
      <c r="E269" s="525"/>
      <c r="F269" s="525"/>
      <c r="G269" s="525"/>
      <c r="H269" s="525"/>
      <c r="I269" s="525"/>
      <c r="J269" s="525"/>
      <c r="K269" s="525"/>
      <c r="L269" s="525"/>
      <c r="M269" s="525"/>
      <c r="N269" s="525"/>
      <c r="O269" s="525"/>
      <c r="P269" s="565"/>
      <c r="Q269" s="525"/>
      <c r="R269" s="525"/>
      <c r="S269" s="525"/>
      <c r="T269" s="525"/>
      <c r="U269" s="525"/>
      <c r="V269" s="525"/>
      <c r="W269" s="525"/>
      <c r="X269" s="525"/>
      <c r="Y269" s="525"/>
      <c r="Z269" s="525"/>
      <c r="AA269" s="525"/>
      <c r="AB269" s="525"/>
      <c r="AC269" s="525"/>
      <c r="AD269" s="525"/>
      <c r="AE269" s="525"/>
      <c r="AF269" s="525"/>
      <c r="AG269" s="525"/>
      <c r="AH269" s="525"/>
      <c r="AI269" s="525"/>
      <c r="AJ269" s="525"/>
      <c r="AK269" s="525"/>
      <c r="AL269" s="525"/>
      <c r="AM269" s="525"/>
      <c r="AN269" s="525"/>
      <c r="AO269" s="525"/>
      <c r="AP269" s="525"/>
      <c r="AQ269" s="525"/>
      <c r="AR269" s="525"/>
      <c r="AS269" s="525"/>
      <c r="AT269" s="525"/>
      <c r="AU269" s="525"/>
      <c r="AV269" s="525"/>
      <c r="AW269" s="525"/>
      <c r="AX269" s="525"/>
      <c r="AY269" s="525"/>
      <c r="AZ269" s="525"/>
      <c r="BA269" s="525"/>
      <c r="BB269" s="525"/>
      <c r="BC269" s="525"/>
      <c r="BD269" s="525"/>
      <c r="BE269" s="525"/>
      <c r="BF269" s="525"/>
      <c r="BG269" s="525"/>
      <c r="BH269" s="525"/>
      <c r="BI269" s="525"/>
      <c r="BJ269" s="525"/>
      <c r="BK269" s="525"/>
      <c r="BL269" s="525"/>
      <c r="BM269" s="525"/>
      <c r="BN269" s="525"/>
      <c r="BO269" s="525"/>
      <c r="BP269" s="525"/>
      <c r="BQ269" s="525"/>
      <c r="BR269" s="525"/>
      <c r="BS269" s="525"/>
      <c r="BT269" s="525"/>
      <c r="BU269" s="525"/>
      <c r="BV269" s="525"/>
      <c r="BW269" s="525"/>
      <c r="BX269" s="525"/>
      <c r="BY269" s="525"/>
    </row>
    <row r="270" spans="1:77" x14ac:dyDescent="0.3">
      <c r="A270" s="551"/>
      <c r="B270" s="548"/>
      <c r="C270" s="525"/>
      <c r="D270" s="525"/>
      <c r="E270" s="623" t="str">
        <f>"BCF discounts: "&amp;E$155</f>
        <v>BCF discounts: FY27 Tranche</v>
      </c>
      <c r="F270" s="525"/>
      <c r="G270" s="525"/>
      <c r="H270" s="525"/>
      <c r="I270" s="525"/>
      <c r="J270" s="525"/>
      <c r="K270" s="525"/>
      <c r="L270" s="525"/>
      <c r="M270" s="525"/>
      <c r="N270" s="525"/>
      <c r="O270" s="525"/>
      <c r="P270" s="565"/>
      <c r="Q270" s="525"/>
      <c r="R270" s="527">
        <f t="shared" ref="R270:AW270" si="381">(R238-R246)*R$230</f>
        <v>-42200.848756958665</v>
      </c>
      <c r="S270" s="527">
        <f t="shared" si="381"/>
        <v>-42200.848756958665</v>
      </c>
      <c r="T270" s="527">
        <f t="shared" si="381"/>
        <v>-42200.848756958665</v>
      </c>
      <c r="U270" s="527">
        <f t="shared" si="381"/>
        <v>-42200.848756958665</v>
      </c>
      <c r="V270" s="527">
        <f t="shared" si="381"/>
        <v>-42200.848756958665</v>
      </c>
      <c r="W270" s="527">
        <f t="shared" si="381"/>
        <v>-42200.848756958665</v>
      </c>
      <c r="X270" s="527">
        <f t="shared" si="381"/>
        <v>-48852.514148682647</v>
      </c>
      <c r="Y270" s="527">
        <f t="shared" si="381"/>
        <v>-48852.514148682647</v>
      </c>
      <c r="Z270" s="527">
        <f t="shared" si="381"/>
        <v>-48852.514148682647</v>
      </c>
      <c r="AA270" s="527">
        <f t="shared" si="381"/>
        <v>-48852.514148682647</v>
      </c>
      <c r="AB270" s="527">
        <f t="shared" si="381"/>
        <v>-48852.514148682647</v>
      </c>
      <c r="AC270" s="527">
        <f t="shared" si="381"/>
        <v>-48852.514148682647</v>
      </c>
      <c r="AD270" s="527">
        <f t="shared" si="381"/>
        <v>-49073.488705232485</v>
      </c>
      <c r="AE270" s="527">
        <f t="shared" si="381"/>
        <v>-49073.488705232485</v>
      </c>
      <c r="AF270" s="527">
        <f t="shared" si="381"/>
        <v>-49073.488705232485</v>
      </c>
      <c r="AG270" s="527">
        <f t="shared" si="381"/>
        <v>-49073.488705232485</v>
      </c>
      <c r="AH270" s="527">
        <f t="shared" si="381"/>
        <v>-49073.488705232485</v>
      </c>
      <c r="AI270" s="527">
        <f t="shared" si="381"/>
        <v>-49073.488705232485</v>
      </c>
      <c r="AJ270" s="527">
        <f t="shared" si="381"/>
        <v>-50882.658433993456</v>
      </c>
      <c r="AK270" s="527">
        <f t="shared" si="381"/>
        <v>-50882.658433993456</v>
      </c>
      <c r="AL270" s="527">
        <f t="shared" si="381"/>
        <v>-50882.658433993456</v>
      </c>
      <c r="AM270" s="527">
        <f t="shared" si="381"/>
        <v>-50882.658433993456</v>
      </c>
      <c r="AN270" s="527">
        <f t="shared" si="381"/>
        <v>-50882.658433993456</v>
      </c>
      <c r="AO270" s="527">
        <f t="shared" si="381"/>
        <v>-50882.658433993456</v>
      </c>
      <c r="AP270" s="527">
        <f t="shared" si="381"/>
        <v>-51133.282325104032</v>
      </c>
      <c r="AQ270" s="527">
        <f t="shared" si="381"/>
        <v>-51133.282325104032</v>
      </c>
      <c r="AR270" s="527">
        <f t="shared" si="381"/>
        <v>-51133.282325104032</v>
      </c>
      <c r="AS270" s="527">
        <f t="shared" si="381"/>
        <v>-51133.282325104032</v>
      </c>
      <c r="AT270" s="527">
        <f t="shared" si="381"/>
        <v>-51133.282325104032</v>
      </c>
      <c r="AU270" s="527">
        <f t="shared" si="381"/>
        <v>-51133.282325104032</v>
      </c>
      <c r="AV270" s="527">
        <f t="shared" si="381"/>
        <v>-53002.290122158192</v>
      </c>
      <c r="AW270" s="527">
        <f t="shared" si="381"/>
        <v>-53002.290122158192</v>
      </c>
      <c r="AX270" s="527">
        <f t="shared" ref="AX270:BY270" si="382">(AX238-AX246)*AX$230</f>
        <v>-53002.290122158192</v>
      </c>
      <c r="AY270" s="527">
        <f t="shared" si="382"/>
        <v>-53002.290122158192</v>
      </c>
      <c r="AZ270" s="527">
        <f t="shared" si="382"/>
        <v>-53002.290122158192</v>
      </c>
      <c r="BA270" s="527">
        <f t="shared" si="382"/>
        <v>-53002.290122158192</v>
      </c>
      <c r="BB270" s="527">
        <f t="shared" si="382"/>
        <v>-53316.730795047071</v>
      </c>
      <c r="BC270" s="527">
        <f t="shared" si="382"/>
        <v>-53316.730795047071</v>
      </c>
      <c r="BD270" s="527">
        <f t="shared" si="382"/>
        <v>-53316.730795047071</v>
      </c>
      <c r="BE270" s="527">
        <f t="shared" si="382"/>
        <v>-53316.730795047071</v>
      </c>
      <c r="BF270" s="527">
        <f t="shared" si="382"/>
        <v>-53316.730795047071</v>
      </c>
      <c r="BG270" s="527">
        <f t="shared" si="382"/>
        <v>-53316.730795047071</v>
      </c>
      <c r="BH270" s="527">
        <f t="shared" si="382"/>
        <v>-55249.071258867603</v>
      </c>
      <c r="BI270" s="527">
        <f t="shared" si="382"/>
        <v>-55249.071258867603</v>
      </c>
      <c r="BJ270" s="527">
        <f t="shared" si="382"/>
        <v>-55249.071258867603</v>
      </c>
      <c r="BK270" s="527">
        <f t="shared" si="382"/>
        <v>-55249.071258867603</v>
      </c>
      <c r="BL270" s="527">
        <f t="shared" si="382"/>
        <v>-55249.071258867603</v>
      </c>
      <c r="BM270" s="527">
        <f t="shared" si="382"/>
        <v>-55249.071258867603</v>
      </c>
      <c r="BN270" s="527">
        <f t="shared" si="382"/>
        <v>-55617.307904000838</v>
      </c>
      <c r="BO270" s="527">
        <f t="shared" si="382"/>
        <v>-55617.307904000838</v>
      </c>
      <c r="BP270" s="527">
        <f t="shared" si="382"/>
        <v>-55617.307904000838</v>
      </c>
      <c r="BQ270" s="527">
        <f t="shared" si="382"/>
        <v>-55617.307904000838</v>
      </c>
      <c r="BR270" s="527">
        <f t="shared" si="382"/>
        <v>-55617.307904000838</v>
      </c>
      <c r="BS270" s="527">
        <f t="shared" si="382"/>
        <v>-55617.307904000838</v>
      </c>
      <c r="BT270" s="527">
        <f t="shared" si="382"/>
        <v>-57615.466525585696</v>
      </c>
      <c r="BU270" s="527">
        <f t="shared" si="382"/>
        <v>-57615.466525585696</v>
      </c>
      <c r="BV270" s="527">
        <f t="shared" si="382"/>
        <v>-57615.466525585696</v>
      </c>
      <c r="BW270" s="527">
        <f t="shared" si="382"/>
        <v>-57615.466525585696</v>
      </c>
      <c r="BX270" s="527">
        <f t="shared" si="382"/>
        <v>-57615.466525585696</v>
      </c>
      <c r="BY270" s="527">
        <f t="shared" si="382"/>
        <v>-57615.466525585696</v>
      </c>
    </row>
    <row r="271" spans="1:77" x14ac:dyDescent="0.3">
      <c r="A271" s="551"/>
      <c r="B271" s="548"/>
      <c r="C271" s="525"/>
      <c r="D271" s="525"/>
      <c r="E271" s="623" t="str">
        <f>"BCF discounts: "&amp;E$156</f>
        <v>BCF discounts: FY28 Tranche</v>
      </c>
      <c r="F271" s="525"/>
      <c r="G271" s="525"/>
      <c r="H271" s="525"/>
      <c r="I271" s="525"/>
      <c r="J271" s="525"/>
      <c r="K271" s="525"/>
      <c r="L271" s="525"/>
      <c r="M271" s="525"/>
      <c r="N271" s="525"/>
      <c r="O271" s="525"/>
      <c r="P271" s="565"/>
      <c r="Q271" s="525"/>
      <c r="R271" s="527">
        <f t="shared" ref="R271:AW271" si="383">(R239-R247)*R$230</f>
        <v>-42200.848756958665</v>
      </c>
      <c r="S271" s="527">
        <f t="shared" si="383"/>
        <v>-42200.848756958665</v>
      </c>
      <c r="T271" s="527">
        <f t="shared" si="383"/>
        <v>-42200.848756958665</v>
      </c>
      <c r="U271" s="527">
        <f t="shared" si="383"/>
        <v>-42200.848756958665</v>
      </c>
      <c r="V271" s="527">
        <f t="shared" si="383"/>
        <v>-42200.848756958665</v>
      </c>
      <c r="W271" s="527">
        <f t="shared" si="383"/>
        <v>-42200.848756958665</v>
      </c>
      <c r="X271" s="527">
        <f t="shared" si="383"/>
        <v>-42200.848756958665</v>
      </c>
      <c r="Y271" s="527">
        <f t="shared" si="383"/>
        <v>-42200.848756958665</v>
      </c>
      <c r="Z271" s="527">
        <f t="shared" si="383"/>
        <v>-42200.848756958665</v>
      </c>
      <c r="AA271" s="527">
        <f t="shared" si="383"/>
        <v>-42200.848756958665</v>
      </c>
      <c r="AB271" s="527">
        <f t="shared" si="383"/>
        <v>-42200.848756958665</v>
      </c>
      <c r="AC271" s="527">
        <f t="shared" si="383"/>
        <v>-42200.848756958665</v>
      </c>
      <c r="AD271" s="527">
        <f t="shared" si="383"/>
        <v>-44022.792359374849</v>
      </c>
      <c r="AE271" s="527">
        <f t="shared" si="383"/>
        <v>-44022.792359374849</v>
      </c>
      <c r="AF271" s="527">
        <f t="shared" si="383"/>
        <v>-44022.792359374849</v>
      </c>
      <c r="AG271" s="527">
        <f t="shared" si="383"/>
        <v>-44022.792359374849</v>
      </c>
      <c r="AH271" s="527">
        <f t="shared" si="383"/>
        <v>-44022.792359374849</v>
      </c>
      <c r="AI271" s="527">
        <f t="shared" si="383"/>
        <v>-44022.792359374849</v>
      </c>
      <c r="AJ271" s="527">
        <f t="shared" si="383"/>
        <v>-50783.748255930441</v>
      </c>
      <c r="AK271" s="527">
        <f t="shared" si="383"/>
        <v>-50783.748255930441</v>
      </c>
      <c r="AL271" s="527">
        <f t="shared" si="383"/>
        <v>-50783.748255930441</v>
      </c>
      <c r="AM271" s="527">
        <f t="shared" si="383"/>
        <v>-50783.748255930441</v>
      </c>
      <c r="AN271" s="527">
        <f t="shared" si="383"/>
        <v>-50783.748255930441</v>
      </c>
      <c r="AO271" s="527">
        <f t="shared" si="383"/>
        <v>-50783.748255930441</v>
      </c>
      <c r="AP271" s="527">
        <f t="shared" si="383"/>
        <v>-51035.030767269272</v>
      </c>
      <c r="AQ271" s="527">
        <f t="shared" si="383"/>
        <v>-51035.030767269272</v>
      </c>
      <c r="AR271" s="527">
        <f t="shared" si="383"/>
        <v>-51035.030767269272</v>
      </c>
      <c r="AS271" s="527">
        <f t="shared" si="383"/>
        <v>-51035.030767269272</v>
      </c>
      <c r="AT271" s="527">
        <f t="shared" si="383"/>
        <v>-51035.030767269272</v>
      </c>
      <c r="AU271" s="527">
        <f t="shared" si="383"/>
        <v>-51035.030767269272</v>
      </c>
      <c r="AV271" s="527">
        <f t="shared" si="383"/>
        <v>-52900.108502010036</v>
      </c>
      <c r="AW271" s="527">
        <f t="shared" si="383"/>
        <v>-52900.108502010036</v>
      </c>
      <c r="AX271" s="527">
        <f t="shared" ref="AX271:BY271" si="384">(AX239-AX247)*AX$230</f>
        <v>-52900.108502010036</v>
      </c>
      <c r="AY271" s="527">
        <f t="shared" si="384"/>
        <v>-52900.108502010036</v>
      </c>
      <c r="AZ271" s="527">
        <f t="shared" si="384"/>
        <v>-52900.108502010036</v>
      </c>
      <c r="BA271" s="527">
        <f t="shared" si="384"/>
        <v>-52900.108502010036</v>
      </c>
      <c r="BB271" s="527">
        <f t="shared" si="384"/>
        <v>-53215.149912860936</v>
      </c>
      <c r="BC271" s="527">
        <f t="shared" si="384"/>
        <v>-53215.149912860936</v>
      </c>
      <c r="BD271" s="527">
        <f t="shared" si="384"/>
        <v>-53215.149912860936</v>
      </c>
      <c r="BE271" s="527">
        <f t="shared" si="384"/>
        <v>-53215.149912860936</v>
      </c>
      <c r="BF271" s="527">
        <f t="shared" si="384"/>
        <v>-53215.149912860936</v>
      </c>
      <c r="BG271" s="527">
        <f t="shared" si="384"/>
        <v>-53215.149912860936</v>
      </c>
      <c r="BH271" s="527">
        <f t="shared" si="384"/>
        <v>-55143.427141394015</v>
      </c>
      <c r="BI271" s="527">
        <f t="shared" si="384"/>
        <v>-55143.427141394015</v>
      </c>
      <c r="BJ271" s="527">
        <f t="shared" si="384"/>
        <v>-55143.427141394015</v>
      </c>
      <c r="BK271" s="527">
        <f t="shared" si="384"/>
        <v>-55143.427141394015</v>
      </c>
      <c r="BL271" s="527">
        <f t="shared" si="384"/>
        <v>-55143.427141394015</v>
      </c>
      <c r="BM271" s="527">
        <f t="shared" si="384"/>
        <v>-55143.427141394015</v>
      </c>
      <c r="BN271" s="527">
        <f t="shared" si="384"/>
        <v>-55512.267038103375</v>
      </c>
      <c r="BO271" s="527">
        <f t="shared" si="384"/>
        <v>-55512.267038103375</v>
      </c>
      <c r="BP271" s="527">
        <f t="shared" si="384"/>
        <v>-55512.267038103375</v>
      </c>
      <c r="BQ271" s="527">
        <f t="shared" si="384"/>
        <v>-55512.267038103375</v>
      </c>
      <c r="BR271" s="527">
        <f t="shared" si="384"/>
        <v>-55512.267038103375</v>
      </c>
      <c r="BS271" s="527">
        <f t="shared" si="384"/>
        <v>-55512.267038103375</v>
      </c>
      <c r="BT271" s="527">
        <f t="shared" si="384"/>
        <v>-57506.224025052354</v>
      </c>
      <c r="BU271" s="527">
        <f t="shared" si="384"/>
        <v>-57506.224025052354</v>
      </c>
      <c r="BV271" s="527">
        <f t="shared" si="384"/>
        <v>-57506.224025052354</v>
      </c>
      <c r="BW271" s="527">
        <f t="shared" si="384"/>
        <v>-57506.224025052354</v>
      </c>
      <c r="BX271" s="527">
        <f t="shared" si="384"/>
        <v>-57506.224025052354</v>
      </c>
      <c r="BY271" s="527">
        <f t="shared" si="384"/>
        <v>-57506.224025052354</v>
      </c>
    </row>
    <row r="272" spans="1:77" x14ac:dyDescent="0.3">
      <c r="A272" s="551"/>
      <c r="B272" s="548"/>
      <c r="C272" s="525"/>
      <c r="D272" s="525"/>
      <c r="E272" s="623" t="str">
        <f>"BCF discounts: "&amp;E$157</f>
        <v>BCF discounts: FY29 Tranche</v>
      </c>
      <c r="F272" s="525"/>
      <c r="G272" s="525"/>
      <c r="H272" s="525"/>
      <c r="I272" s="525"/>
      <c r="J272" s="525"/>
      <c r="K272" s="525"/>
      <c r="L272" s="525"/>
      <c r="M272" s="525"/>
      <c r="N272" s="525"/>
      <c r="O272" s="525"/>
      <c r="P272" s="565"/>
      <c r="Q272" s="525"/>
      <c r="R272" s="527">
        <f t="shared" ref="R272:AW272" si="385">(R240-R248)*R$230</f>
        <v>-42200.848756958665</v>
      </c>
      <c r="S272" s="527">
        <f t="shared" si="385"/>
        <v>-42200.848756958665</v>
      </c>
      <c r="T272" s="527">
        <f t="shared" si="385"/>
        <v>-42200.848756958665</v>
      </c>
      <c r="U272" s="527">
        <f t="shared" si="385"/>
        <v>-42200.848756958665</v>
      </c>
      <c r="V272" s="527">
        <f t="shared" si="385"/>
        <v>-42200.848756958665</v>
      </c>
      <c r="W272" s="527">
        <f t="shared" si="385"/>
        <v>-42200.848756958665</v>
      </c>
      <c r="X272" s="527">
        <f t="shared" si="385"/>
        <v>-42200.848756958665</v>
      </c>
      <c r="Y272" s="527">
        <f t="shared" si="385"/>
        <v>-42200.848756958665</v>
      </c>
      <c r="Z272" s="527">
        <f t="shared" si="385"/>
        <v>-42200.848756958665</v>
      </c>
      <c r="AA272" s="527">
        <f t="shared" si="385"/>
        <v>-42200.848756958665</v>
      </c>
      <c r="AB272" s="527">
        <f t="shared" si="385"/>
        <v>-42200.848756958665</v>
      </c>
      <c r="AC272" s="527">
        <f t="shared" si="385"/>
        <v>-42200.848756958665</v>
      </c>
      <c r="AD272" s="527">
        <f t="shared" si="385"/>
        <v>-44022.792359374849</v>
      </c>
      <c r="AE272" s="527">
        <f t="shared" si="385"/>
        <v>-44022.792359374849</v>
      </c>
      <c r="AF272" s="527">
        <f t="shared" si="385"/>
        <v>-44022.792359374849</v>
      </c>
      <c r="AG272" s="527">
        <f t="shared" si="385"/>
        <v>-44022.792359374849</v>
      </c>
      <c r="AH272" s="527">
        <f t="shared" si="385"/>
        <v>-44022.792359374849</v>
      </c>
      <c r="AI272" s="527">
        <f t="shared" si="385"/>
        <v>-44022.792359374849</v>
      </c>
      <c r="AJ272" s="527">
        <f t="shared" si="385"/>
        <v>-44022.792359374849</v>
      </c>
      <c r="AK272" s="527">
        <f t="shared" si="385"/>
        <v>-44022.792359374849</v>
      </c>
      <c r="AL272" s="527">
        <f t="shared" si="385"/>
        <v>-44022.792359374849</v>
      </c>
      <c r="AM272" s="527">
        <f t="shared" si="385"/>
        <v>-44022.792359374849</v>
      </c>
      <c r="AN272" s="527">
        <f t="shared" si="385"/>
        <v>-44022.792359374849</v>
      </c>
      <c r="AO272" s="527">
        <f t="shared" si="385"/>
        <v>-44022.792359374849</v>
      </c>
      <c r="AP272" s="527">
        <f t="shared" si="385"/>
        <v>-45847.494889034417</v>
      </c>
      <c r="AQ272" s="527">
        <f t="shared" si="385"/>
        <v>-45847.494889034417</v>
      </c>
      <c r="AR272" s="527">
        <f t="shared" si="385"/>
        <v>-45847.494889034417</v>
      </c>
      <c r="AS272" s="527">
        <f t="shared" si="385"/>
        <v>-45847.494889034417</v>
      </c>
      <c r="AT272" s="527">
        <f t="shared" si="385"/>
        <v>-45847.494889034417</v>
      </c>
      <c r="AU272" s="527">
        <f t="shared" si="385"/>
        <v>-45847.494889034417</v>
      </c>
      <c r="AV272" s="527">
        <f t="shared" si="385"/>
        <v>-52714.233569984717</v>
      </c>
      <c r="AW272" s="527">
        <f t="shared" si="385"/>
        <v>-52714.233569984717</v>
      </c>
      <c r="AX272" s="527">
        <f t="shared" ref="AX272:BY272" si="386">(AX240-AX248)*AX$230</f>
        <v>-52714.233569984717</v>
      </c>
      <c r="AY272" s="527">
        <f t="shared" si="386"/>
        <v>-52714.233569984717</v>
      </c>
      <c r="AZ272" s="527">
        <f t="shared" si="386"/>
        <v>-52714.233569984717</v>
      </c>
      <c r="BA272" s="527">
        <f t="shared" si="386"/>
        <v>-52714.233569984717</v>
      </c>
      <c r="BB272" s="527">
        <f t="shared" si="386"/>
        <v>-53030.367761784815</v>
      </c>
      <c r="BC272" s="527">
        <f t="shared" si="386"/>
        <v>-53030.367761784815</v>
      </c>
      <c r="BD272" s="527">
        <f t="shared" si="386"/>
        <v>-53030.367761784815</v>
      </c>
      <c r="BE272" s="527">
        <f t="shared" si="386"/>
        <v>-53030.367761784815</v>
      </c>
      <c r="BF272" s="527">
        <f t="shared" si="386"/>
        <v>-53030.367761784815</v>
      </c>
      <c r="BG272" s="527">
        <f t="shared" si="386"/>
        <v>-53030.367761784815</v>
      </c>
      <c r="BH272" s="527">
        <f t="shared" si="386"/>
        <v>-54951.253704274859</v>
      </c>
      <c r="BI272" s="527">
        <f t="shared" si="386"/>
        <v>-54951.253704274859</v>
      </c>
      <c r="BJ272" s="527">
        <f t="shared" si="386"/>
        <v>-54951.253704274859</v>
      </c>
      <c r="BK272" s="527">
        <f t="shared" si="386"/>
        <v>-54951.253704274859</v>
      </c>
      <c r="BL272" s="527">
        <f t="shared" si="386"/>
        <v>-54951.253704274859</v>
      </c>
      <c r="BM272" s="527">
        <f t="shared" si="386"/>
        <v>-54951.253704274859</v>
      </c>
      <c r="BN272" s="527">
        <f t="shared" si="386"/>
        <v>-55321.190954358928</v>
      </c>
      <c r="BO272" s="527">
        <f t="shared" si="386"/>
        <v>-55321.190954358928</v>
      </c>
      <c r="BP272" s="527">
        <f t="shared" si="386"/>
        <v>-55321.190954358928</v>
      </c>
      <c r="BQ272" s="527">
        <f t="shared" si="386"/>
        <v>-55321.190954358928</v>
      </c>
      <c r="BR272" s="527">
        <f t="shared" si="386"/>
        <v>-55321.190954358928</v>
      </c>
      <c r="BS272" s="527">
        <f t="shared" si="386"/>
        <v>-55321.190954358928</v>
      </c>
      <c r="BT272" s="527">
        <f t="shared" si="386"/>
        <v>-57307.504897958126</v>
      </c>
      <c r="BU272" s="527">
        <f t="shared" si="386"/>
        <v>-57307.504897958126</v>
      </c>
      <c r="BV272" s="527">
        <f t="shared" si="386"/>
        <v>-57307.504897958126</v>
      </c>
      <c r="BW272" s="527">
        <f t="shared" si="386"/>
        <v>-57307.504897958126</v>
      </c>
      <c r="BX272" s="527">
        <f t="shared" si="386"/>
        <v>-57307.504897958126</v>
      </c>
      <c r="BY272" s="527">
        <f t="shared" si="386"/>
        <v>-57307.504897958126</v>
      </c>
    </row>
    <row r="273" spans="1:77" x14ac:dyDescent="0.3">
      <c r="A273" s="551"/>
      <c r="B273" s="548"/>
      <c r="C273" s="525"/>
      <c r="D273" s="525"/>
      <c r="E273" s="623" t="str">
        <f>"BCF discounts: "&amp;E$158</f>
        <v>BCF discounts: FY30 Tranche</v>
      </c>
      <c r="F273" s="525"/>
      <c r="G273" s="525"/>
      <c r="H273" s="525"/>
      <c r="I273" s="525"/>
      <c r="J273" s="525"/>
      <c r="K273" s="525"/>
      <c r="L273" s="525"/>
      <c r="M273" s="525"/>
      <c r="N273" s="525"/>
      <c r="O273" s="525"/>
      <c r="P273" s="565"/>
      <c r="Q273" s="525"/>
      <c r="R273" s="527">
        <f t="shared" ref="R273:AW273" si="387">(R241-R249)*R$230</f>
        <v>-42200.848756958665</v>
      </c>
      <c r="S273" s="527">
        <f t="shared" si="387"/>
        <v>-42200.848756958665</v>
      </c>
      <c r="T273" s="527">
        <f t="shared" si="387"/>
        <v>-42200.848756958665</v>
      </c>
      <c r="U273" s="527">
        <f t="shared" si="387"/>
        <v>-42200.848756958665</v>
      </c>
      <c r="V273" s="527">
        <f t="shared" si="387"/>
        <v>-42200.848756958665</v>
      </c>
      <c r="W273" s="527">
        <f t="shared" si="387"/>
        <v>-42200.848756958665</v>
      </c>
      <c r="X273" s="527">
        <f t="shared" si="387"/>
        <v>-42200.848756958665</v>
      </c>
      <c r="Y273" s="527">
        <f t="shared" si="387"/>
        <v>-42200.848756958665</v>
      </c>
      <c r="Z273" s="527">
        <f t="shared" si="387"/>
        <v>-42200.848756958665</v>
      </c>
      <c r="AA273" s="527">
        <f t="shared" si="387"/>
        <v>-42200.848756958665</v>
      </c>
      <c r="AB273" s="527">
        <f t="shared" si="387"/>
        <v>-42200.848756958665</v>
      </c>
      <c r="AC273" s="527">
        <f t="shared" si="387"/>
        <v>-42200.848756958665</v>
      </c>
      <c r="AD273" s="527">
        <f t="shared" si="387"/>
        <v>-44022.792359374849</v>
      </c>
      <c r="AE273" s="527">
        <f t="shared" si="387"/>
        <v>-44022.792359374849</v>
      </c>
      <c r="AF273" s="527">
        <f t="shared" si="387"/>
        <v>-44022.792359374849</v>
      </c>
      <c r="AG273" s="527">
        <f t="shared" si="387"/>
        <v>-44022.792359374849</v>
      </c>
      <c r="AH273" s="527">
        <f t="shared" si="387"/>
        <v>-44022.792359374849</v>
      </c>
      <c r="AI273" s="527">
        <f t="shared" si="387"/>
        <v>-44022.792359374849</v>
      </c>
      <c r="AJ273" s="527">
        <f t="shared" si="387"/>
        <v>-44022.792359374849</v>
      </c>
      <c r="AK273" s="527">
        <f t="shared" si="387"/>
        <v>-44022.792359374849</v>
      </c>
      <c r="AL273" s="527">
        <f t="shared" si="387"/>
        <v>-44022.792359374849</v>
      </c>
      <c r="AM273" s="527">
        <f t="shared" si="387"/>
        <v>-44022.792359374849</v>
      </c>
      <c r="AN273" s="527">
        <f t="shared" si="387"/>
        <v>-44022.792359374849</v>
      </c>
      <c r="AO273" s="527">
        <f t="shared" si="387"/>
        <v>-44022.792359374849</v>
      </c>
      <c r="AP273" s="527">
        <f t="shared" si="387"/>
        <v>-45847.494889034417</v>
      </c>
      <c r="AQ273" s="527">
        <f t="shared" si="387"/>
        <v>-45847.494889034417</v>
      </c>
      <c r="AR273" s="527">
        <f t="shared" si="387"/>
        <v>-45847.494889034417</v>
      </c>
      <c r="AS273" s="527">
        <f t="shared" si="387"/>
        <v>-45847.494889034417</v>
      </c>
      <c r="AT273" s="527">
        <f t="shared" si="387"/>
        <v>-45847.494889034417</v>
      </c>
      <c r="AU273" s="527">
        <f t="shared" si="387"/>
        <v>-45847.494889034417</v>
      </c>
      <c r="AV273" s="527">
        <f t="shared" si="387"/>
        <v>-45847.494889034417</v>
      </c>
      <c r="AW273" s="527">
        <f t="shared" si="387"/>
        <v>-45847.494889034417</v>
      </c>
      <c r="AX273" s="527">
        <f t="shared" ref="AX273:BY273" si="388">(AX241-AX249)*AX$230</f>
        <v>-45847.494889034417</v>
      </c>
      <c r="AY273" s="527">
        <f t="shared" si="388"/>
        <v>-45847.494889034417</v>
      </c>
      <c r="AZ273" s="527">
        <f t="shared" si="388"/>
        <v>-45847.494889034417</v>
      </c>
      <c r="BA273" s="527">
        <f t="shared" si="388"/>
        <v>-45847.494889034417</v>
      </c>
      <c r="BB273" s="527">
        <f t="shared" si="388"/>
        <v>-47662.992881852668</v>
      </c>
      <c r="BC273" s="527">
        <f t="shared" si="388"/>
        <v>-47662.992881852668</v>
      </c>
      <c r="BD273" s="527">
        <f t="shared" si="388"/>
        <v>-47662.992881852668</v>
      </c>
      <c r="BE273" s="527">
        <f t="shared" si="388"/>
        <v>-47662.992881852668</v>
      </c>
      <c r="BF273" s="527">
        <f t="shared" si="388"/>
        <v>-47662.992881852668</v>
      </c>
      <c r="BG273" s="527">
        <f t="shared" si="388"/>
        <v>-47662.992881852668</v>
      </c>
      <c r="BH273" s="527">
        <f t="shared" si="388"/>
        <v>-54630.514294667722</v>
      </c>
      <c r="BI273" s="527">
        <f t="shared" si="388"/>
        <v>-54630.514294667722</v>
      </c>
      <c r="BJ273" s="527">
        <f t="shared" si="388"/>
        <v>-54630.514294667722</v>
      </c>
      <c r="BK273" s="527">
        <f t="shared" si="388"/>
        <v>-54630.514294667722</v>
      </c>
      <c r="BL273" s="527">
        <f t="shared" si="388"/>
        <v>-54630.514294667722</v>
      </c>
      <c r="BM273" s="527">
        <f t="shared" si="388"/>
        <v>-54630.514294667722</v>
      </c>
      <c r="BN273" s="527">
        <f t="shared" si="388"/>
        <v>-55002.283038629503</v>
      </c>
      <c r="BO273" s="527">
        <f t="shared" si="388"/>
        <v>-55002.283038629503</v>
      </c>
      <c r="BP273" s="527">
        <f t="shared" si="388"/>
        <v>-55002.283038629503</v>
      </c>
      <c r="BQ273" s="527">
        <f t="shared" si="388"/>
        <v>-55002.283038629503</v>
      </c>
      <c r="BR273" s="527">
        <f t="shared" si="388"/>
        <v>-55002.283038629503</v>
      </c>
      <c r="BS273" s="527">
        <f t="shared" si="388"/>
        <v>-55002.283038629503</v>
      </c>
      <c r="BT273" s="527">
        <f t="shared" si="388"/>
        <v>-56975.84066559952</v>
      </c>
      <c r="BU273" s="527">
        <f t="shared" si="388"/>
        <v>-56975.84066559952</v>
      </c>
      <c r="BV273" s="527">
        <f t="shared" si="388"/>
        <v>-56975.84066559952</v>
      </c>
      <c r="BW273" s="527">
        <f t="shared" si="388"/>
        <v>-56975.84066559952</v>
      </c>
      <c r="BX273" s="527">
        <f t="shared" si="388"/>
        <v>-56975.84066559952</v>
      </c>
      <c r="BY273" s="527">
        <f t="shared" si="388"/>
        <v>-56975.84066559952</v>
      </c>
    </row>
    <row r="274" spans="1:77" x14ac:dyDescent="0.3">
      <c r="A274" s="551"/>
      <c r="B274" s="548"/>
      <c r="C274" s="525"/>
      <c r="D274" s="525"/>
      <c r="E274" s="623" t="str">
        <f>"BCF discounts: "&amp;E$159</f>
        <v>BCF discounts: FY31 Tranche</v>
      </c>
      <c r="F274" s="525"/>
      <c r="G274" s="525"/>
      <c r="H274" s="525"/>
      <c r="I274" s="525"/>
      <c r="J274" s="525"/>
      <c r="K274" s="525"/>
      <c r="L274" s="525"/>
      <c r="M274" s="525"/>
      <c r="N274" s="525"/>
      <c r="O274" s="525"/>
      <c r="P274" s="565"/>
      <c r="Q274" s="525"/>
      <c r="R274" s="527">
        <f t="shared" ref="R274:AW274" si="389">(R242-R250)*R$230</f>
        <v>-42200.848756958665</v>
      </c>
      <c r="S274" s="527">
        <f t="shared" si="389"/>
        <v>-42200.848756958665</v>
      </c>
      <c r="T274" s="527">
        <f t="shared" si="389"/>
        <v>-42200.848756958665</v>
      </c>
      <c r="U274" s="527">
        <f t="shared" si="389"/>
        <v>-42200.848756958665</v>
      </c>
      <c r="V274" s="527">
        <f t="shared" si="389"/>
        <v>-42200.848756958665</v>
      </c>
      <c r="W274" s="527">
        <f t="shared" si="389"/>
        <v>-42200.848756958665</v>
      </c>
      <c r="X274" s="527">
        <f t="shared" si="389"/>
        <v>-42200.848756958665</v>
      </c>
      <c r="Y274" s="527">
        <f t="shared" si="389"/>
        <v>-42200.848756958665</v>
      </c>
      <c r="Z274" s="527">
        <f t="shared" si="389"/>
        <v>-42200.848756958665</v>
      </c>
      <c r="AA274" s="527">
        <f t="shared" si="389"/>
        <v>-42200.848756958665</v>
      </c>
      <c r="AB274" s="527">
        <f t="shared" si="389"/>
        <v>-42200.848756958665</v>
      </c>
      <c r="AC274" s="527">
        <f t="shared" si="389"/>
        <v>-42200.848756958665</v>
      </c>
      <c r="AD274" s="527">
        <f t="shared" si="389"/>
        <v>-44022.792359374849</v>
      </c>
      <c r="AE274" s="527">
        <f t="shared" si="389"/>
        <v>-44022.792359374849</v>
      </c>
      <c r="AF274" s="527">
        <f t="shared" si="389"/>
        <v>-44022.792359374849</v>
      </c>
      <c r="AG274" s="527">
        <f t="shared" si="389"/>
        <v>-44022.792359374849</v>
      </c>
      <c r="AH274" s="527">
        <f t="shared" si="389"/>
        <v>-44022.792359374849</v>
      </c>
      <c r="AI274" s="527">
        <f t="shared" si="389"/>
        <v>-44022.792359374849</v>
      </c>
      <c r="AJ274" s="527">
        <f t="shared" si="389"/>
        <v>-44022.792359374849</v>
      </c>
      <c r="AK274" s="527">
        <f t="shared" si="389"/>
        <v>-44022.792359374849</v>
      </c>
      <c r="AL274" s="527">
        <f t="shared" si="389"/>
        <v>-44022.792359374849</v>
      </c>
      <c r="AM274" s="527">
        <f t="shared" si="389"/>
        <v>-44022.792359374849</v>
      </c>
      <c r="AN274" s="527">
        <f t="shared" si="389"/>
        <v>-44022.792359374849</v>
      </c>
      <c r="AO274" s="527">
        <f t="shared" si="389"/>
        <v>-44022.792359374849</v>
      </c>
      <c r="AP274" s="527">
        <f t="shared" si="389"/>
        <v>-45847.494889034417</v>
      </c>
      <c r="AQ274" s="527">
        <f t="shared" si="389"/>
        <v>-45847.494889034417</v>
      </c>
      <c r="AR274" s="527">
        <f t="shared" si="389"/>
        <v>-45847.494889034417</v>
      </c>
      <c r="AS274" s="527">
        <f t="shared" si="389"/>
        <v>-45847.494889034417</v>
      </c>
      <c r="AT274" s="527">
        <f t="shared" si="389"/>
        <v>-45847.494889034417</v>
      </c>
      <c r="AU274" s="527">
        <f t="shared" si="389"/>
        <v>-45847.494889034417</v>
      </c>
      <c r="AV274" s="527">
        <f t="shared" si="389"/>
        <v>-45847.494889034417</v>
      </c>
      <c r="AW274" s="527">
        <f t="shared" si="389"/>
        <v>-45847.494889034417</v>
      </c>
      <c r="AX274" s="527">
        <f t="shared" ref="AX274:BY274" si="390">(AX242-AX250)*AX$230</f>
        <v>-45847.494889034417</v>
      </c>
      <c r="AY274" s="527">
        <f t="shared" si="390"/>
        <v>-45847.494889034417</v>
      </c>
      <c r="AZ274" s="527">
        <f t="shared" si="390"/>
        <v>-45847.494889034417</v>
      </c>
      <c r="BA274" s="527">
        <f t="shared" si="390"/>
        <v>-45847.494889034417</v>
      </c>
      <c r="BB274" s="527">
        <f t="shared" si="390"/>
        <v>-47662.992881852668</v>
      </c>
      <c r="BC274" s="527">
        <f t="shared" si="390"/>
        <v>-47662.992881852668</v>
      </c>
      <c r="BD274" s="527">
        <f t="shared" si="390"/>
        <v>-47662.992881852668</v>
      </c>
      <c r="BE274" s="527">
        <f t="shared" si="390"/>
        <v>-47662.992881852668</v>
      </c>
      <c r="BF274" s="527">
        <f t="shared" si="390"/>
        <v>-47662.992881852668</v>
      </c>
      <c r="BG274" s="527">
        <f t="shared" si="390"/>
        <v>-47662.992881852668</v>
      </c>
      <c r="BH274" s="527">
        <f t="shared" si="390"/>
        <v>-47662.992881852668</v>
      </c>
      <c r="BI274" s="527">
        <f t="shared" si="390"/>
        <v>-47662.992881852668</v>
      </c>
      <c r="BJ274" s="527">
        <f t="shared" si="390"/>
        <v>-47662.992881852668</v>
      </c>
      <c r="BK274" s="527">
        <f t="shared" si="390"/>
        <v>-47662.992881852668</v>
      </c>
      <c r="BL274" s="527">
        <f t="shared" si="390"/>
        <v>-47662.992881852668</v>
      </c>
      <c r="BM274" s="527">
        <f t="shared" si="390"/>
        <v>-47662.992881852668</v>
      </c>
      <c r="BN274" s="527">
        <f t="shared" si="390"/>
        <v>-49540.927859751886</v>
      </c>
      <c r="BO274" s="527">
        <f t="shared" si="390"/>
        <v>-49540.927859751886</v>
      </c>
      <c r="BP274" s="527">
        <f t="shared" si="390"/>
        <v>-49540.927859751886</v>
      </c>
      <c r="BQ274" s="527">
        <f t="shared" si="390"/>
        <v>-49540.927859751886</v>
      </c>
      <c r="BR274" s="527">
        <f t="shared" si="390"/>
        <v>-49540.927859751886</v>
      </c>
      <c r="BS274" s="527">
        <f t="shared" si="390"/>
        <v>-49540.927859751886</v>
      </c>
      <c r="BT274" s="527">
        <f t="shared" si="390"/>
        <v>-56603.864687687164</v>
      </c>
      <c r="BU274" s="527">
        <f t="shared" si="390"/>
        <v>-56603.864687687164</v>
      </c>
      <c r="BV274" s="527">
        <f t="shared" si="390"/>
        <v>-56603.864687687164</v>
      </c>
      <c r="BW274" s="527">
        <f t="shared" si="390"/>
        <v>-56603.864687687164</v>
      </c>
      <c r="BX274" s="527">
        <f t="shared" si="390"/>
        <v>-56603.864687687164</v>
      </c>
      <c r="BY274" s="527">
        <f t="shared" si="390"/>
        <v>-56603.864687687164</v>
      </c>
    </row>
    <row r="275" spans="1:77" x14ac:dyDescent="0.3">
      <c r="A275" s="551"/>
      <c r="B275" s="548"/>
      <c r="C275" s="525"/>
      <c r="D275" s="525"/>
      <c r="E275" s="623" t="str">
        <f>"BCF discounts: "&amp;E$160</f>
        <v>BCF discounts: Uninvested Tranche</v>
      </c>
      <c r="F275" s="525"/>
      <c r="G275" s="525"/>
      <c r="H275" s="525"/>
      <c r="I275" s="525"/>
      <c r="J275" s="525"/>
      <c r="K275" s="525"/>
      <c r="L275" s="525"/>
      <c r="M275" s="525"/>
      <c r="N275" s="525"/>
      <c r="O275" s="525"/>
      <c r="P275" s="565"/>
      <c r="Q275" s="525"/>
      <c r="R275" s="527">
        <f t="shared" ref="R275:AW275" si="391">(R243-R251)*R$230</f>
        <v>-94331.308986142874</v>
      </c>
      <c r="S275" s="527">
        <f t="shared" si="391"/>
        <v>-94331.308986142874</v>
      </c>
      <c r="T275" s="527">
        <f t="shared" si="391"/>
        <v>-94331.308986142874</v>
      </c>
      <c r="U275" s="527">
        <f t="shared" si="391"/>
        <v>-94331.308986142874</v>
      </c>
      <c r="V275" s="527">
        <f t="shared" si="391"/>
        <v>-94331.308986142874</v>
      </c>
      <c r="W275" s="527">
        <f t="shared" si="391"/>
        <v>-94331.308986142874</v>
      </c>
      <c r="X275" s="527">
        <f t="shared" si="391"/>
        <v>-94331.308986142874</v>
      </c>
      <c r="Y275" s="527">
        <f t="shared" si="391"/>
        <v>-94331.308986142874</v>
      </c>
      <c r="Z275" s="527">
        <f t="shared" si="391"/>
        <v>-94331.308986142874</v>
      </c>
      <c r="AA275" s="527">
        <f t="shared" si="391"/>
        <v>-94331.308986142874</v>
      </c>
      <c r="AB275" s="527">
        <f t="shared" si="391"/>
        <v>-94331.308986142874</v>
      </c>
      <c r="AC275" s="527">
        <f t="shared" si="391"/>
        <v>-94331.308986142874</v>
      </c>
      <c r="AD275" s="527">
        <f t="shared" si="391"/>
        <v>-98403.88880330848</v>
      </c>
      <c r="AE275" s="527">
        <f t="shared" si="391"/>
        <v>-98403.88880330848</v>
      </c>
      <c r="AF275" s="527">
        <f t="shared" si="391"/>
        <v>-98403.88880330848</v>
      </c>
      <c r="AG275" s="527">
        <f t="shared" si="391"/>
        <v>-98403.88880330848</v>
      </c>
      <c r="AH275" s="527">
        <f t="shared" si="391"/>
        <v>-98403.88880330848</v>
      </c>
      <c r="AI275" s="527">
        <f t="shared" si="391"/>
        <v>-98403.88880330848</v>
      </c>
      <c r="AJ275" s="527">
        <f t="shared" si="391"/>
        <v>-98403.88880330848</v>
      </c>
      <c r="AK275" s="527">
        <f t="shared" si="391"/>
        <v>-98403.88880330848</v>
      </c>
      <c r="AL275" s="527">
        <f t="shared" si="391"/>
        <v>-98403.88880330848</v>
      </c>
      <c r="AM275" s="527">
        <f t="shared" si="391"/>
        <v>-98403.88880330848</v>
      </c>
      <c r="AN275" s="527">
        <f t="shared" si="391"/>
        <v>-98403.88880330848</v>
      </c>
      <c r="AO275" s="527">
        <f t="shared" si="391"/>
        <v>-98403.88880330848</v>
      </c>
      <c r="AP275" s="527">
        <f t="shared" si="391"/>
        <v>-102482.63563431223</v>
      </c>
      <c r="AQ275" s="527">
        <f t="shared" si="391"/>
        <v>-102482.63563431223</v>
      </c>
      <c r="AR275" s="527">
        <f t="shared" si="391"/>
        <v>-102482.63563431223</v>
      </c>
      <c r="AS275" s="527">
        <f t="shared" si="391"/>
        <v>-102482.63563431223</v>
      </c>
      <c r="AT275" s="527">
        <f t="shared" si="391"/>
        <v>-102482.63563431223</v>
      </c>
      <c r="AU275" s="527">
        <f t="shared" si="391"/>
        <v>-102482.63563431223</v>
      </c>
      <c r="AV275" s="527">
        <f t="shared" si="391"/>
        <v>-102482.63563431223</v>
      </c>
      <c r="AW275" s="527">
        <f t="shared" si="391"/>
        <v>-102482.63563431223</v>
      </c>
      <c r="AX275" s="527">
        <f t="shared" ref="AX275:BY275" si="392">(AX243-AX251)*AX$230</f>
        <v>-102482.63563431223</v>
      </c>
      <c r="AY275" s="527">
        <f t="shared" si="392"/>
        <v>-102482.63563431223</v>
      </c>
      <c r="AZ275" s="527">
        <f t="shared" si="392"/>
        <v>-102482.63563431223</v>
      </c>
      <c r="BA275" s="527">
        <f t="shared" si="392"/>
        <v>-102482.63563431223</v>
      </c>
      <c r="BB275" s="527">
        <f t="shared" si="392"/>
        <v>-106540.80761825891</v>
      </c>
      <c r="BC275" s="527">
        <f t="shared" si="392"/>
        <v>-106540.80761825891</v>
      </c>
      <c r="BD275" s="527">
        <f t="shared" si="392"/>
        <v>-106540.80761825891</v>
      </c>
      <c r="BE275" s="527">
        <f t="shared" si="392"/>
        <v>-106540.80761825891</v>
      </c>
      <c r="BF275" s="527">
        <f t="shared" si="392"/>
        <v>-106540.80761825891</v>
      </c>
      <c r="BG275" s="527">
        <f t="shared" si="392"/>
        <v>-106540.80761825891</v>
      </c>
      <c r="BH275" s="527">
        <f t="shared" si="392"/>
        <v>-106540.80761825891</v>
      </c>
      <c r="BI275" s="527">
        <f t="shared" si="392"/>
        <v>-106540.80761825891</v>
      </c>
      <c r="BJ275" s="527">
        <f t="shared" si="392"/>
        <v>-106540.80761825891</v>
      </c>
      <c r="BK275" s="527">
        <f t="shared" si="392"/>
        <v>-106540.80761825891</v>
      </c>
      <c r="BL275" s="527">
        <f t="shared" si="392"/>
        <v>-106540.80761825891</v>
      </c>
      <c r="BM275" s="527">
        <f t="shared" si="392"/>
        <v>-106540.80761825891</v>
      </c>
      <c r="BN275" s="527">
        <f t="shared" si="392"/>
        <v>-110738.54462768068</v>
      </c>
      <c r="BO275" s="527">
        <f t="shared" si="392"/>
        <v>-110738.54462768068</v>
      </c>
      <c r="BP275" s="527">
        <f t="shared" si="392"/>
        <v>-110738.54462768068</v>
      </c>
      <c r="BQ275" s="527">
        <f t="shared" si="392"/>
        <v>-110738.54462768068</v>
      </c>
      <c r="BR275" s="527">
        <f t="shared" si="392"/>
        <v>-110738.54462768068</v>
      </c>
      <c r="BS275" s="527">
        <f t="shared" si="392"/>
        <v>-110738.54462768068</v>
      </c>
      <c r="BT275" s="527">
        <f t="shared" si="392"/>
        <v>-110738.54462768068</v>
      </c>
      <c r="BU275" s="527">
        <f t="shared" si="392"/>
        <v>-110738.54462768068</v>
      </c>
      <c r="BV275" s="527">
        <f t="shared" si="392"/>
        <v>-110738.54462768068</v>
      </c>
      <c r="BW275" s="527">
        <f t="shared" si="392"/>
        <v>-110738.54462768068</v>
      </c>
      <c r="BX275" s="527">
        <f t="shared" si="392"/>
        <v>-110738.54462768068</v>
      </c>
      <c r="BY275" s="527">
        <f t="shared" si="392"/>
        <v>-110738.54462768068</v>
      </c>
    </row>
    <row r="276" spans="1:77" x14ac:dyDescent="0.3">
      <c r="A276" s="551"/>
      <c r="B276" s="548"/>
      <c r="C276" s="525"/>
      <c r="D276" s="525"/>
      <c r="E276" s="572" t="s">
        <v>36</v>
      </c>
      <c r="F276" s="572"/>
      <c r="G276" s="572"/>
      <c r="H276" s="572"/>
      <c r="I276" s="572"/>
      <c r="J276" s="572"/>
      <c r="K276" s="572"/>
      <c r="L276" s="572"/>
      <c r="M276" s="572"/>
      <c r="N276" s="572"/>
      <c r="O276" s="572"/>
      <c r="P276" s="612"/>
      <c r="Q276" s="572"/>
      <c r="R276" s="530">
        <f t="shared" ref="R276:AW276" si="393">SUM(R270:R275)</f>
        <v>-305335.55277093622</v>
      </c>
      <c r="S276" s="530">
        <f t="shared" si="393"/>
        <v>-305335.55277093622</v>
      </c>
      <c r="T276" s="530">
        <f t="shared" si="393"/>
        <v>-305335.55277093622</v>
      </c>
      <c r="U276" s="530">
        <f t="shared" si="393"/>
        <v>-305335.55277093622</v>
      </c>
      <c r="V276" s="530">
        <f t="shared" si="393"/>
        <v>-305335.55277093622</v>
      </c>
      <c r="W276" s="530">
        <f t="shared" si="393"/>
        <v>-305335.55277093622</v>
      </c>
      <c r="X276" s="530">
        <f t="shared" si="393"/>
        <v>-311987.2181626602</v>
      </c>
      <c r="Y276" s="530">
        <f t="shared" si="393"/>
        <v>-311987.2181626602</v>
      </c>
      <c r="Z276" s="530">
        <f t="shared" si="393"/>
        <v>-311987.2181626602</v>
      </c>
      <c r="AA276" s="530">
        <f t="shared" si="393"/>
        <v>-311987.2181626602</v>
      </c>
      <c r="AB276" s="530">
        <f t="shared" si="393"/>
        <v>-311987.2181626602</v>
      </c>
      <c r="AC276" s="530">
        <f t="shared" si="393"/>
        <v>-311987.2181626602</v>
      </c>
      <c r="AD276" s="530">
        <f t="shared" si="393"/>
        <v>-323568.54694604035</v>
      </c>
      <c r="AE276" s="530">
        <f t="shared" si="393"/>
        <v>-323568.54694604035</v>
      </c>
      <c r="AF276" s="530">
        <f t="shared" si="393"/>
        <v>-323568.54694604035</v>
      </c>
      <c r="AG276" s="530">
        <f t="shared" si="393"/>
        <v>-323568.54694604035</v>
      </c>
      <c r="AH276" s="530">
        <f t="shared" si="393"/>
        <v>-323568.54694604035</v>
      </c>
      <c r="AI276" s="530">
        <f t="shared" si="393"/>
        <v>-323568.54694604035</v>
      </c>
      <c r="AJ276" s="530">
        <f t="shared" si="393"/>
        <v>-332138.67257135687</v>
      </c>
      <c r="AK276" s="530">
        <f t="shared" si="393"/>
        <v>-332138.67257135687</v>
      </c>
      <c r="AL276" s="530">
        <f t="shared" si="393"/>
        <v>-332138.67257135687</v>
      </c>
      <c r="AM276" s="530">
        <f t="shared" si="393"/>
        <v>-332138.67257135687</v>
      </c>
      <c r="AN276" s="530">
        <f t="shared" si="393"/>
        <v>-332138.67257135687</v>
      </c>
      <c r="AO276" s="530">
        <f t="shared" si="393"/>
        <v>-332138.67257135687</v>
      </c>
      <c r="AP276" s="530">
        <f t="shared" si="393"/>
        <v>-342193.43339378882</v>
      </c>
      <c r="AQ276" s="530">
        <f t="shared" si="393"/>
        <v>-342193.43339378882</v>
      </c>
      <c r="AR276" s="530">
        <f t="shared" si="393"/>
        <v>-342193.43339378882</v>
      </c>
      <c r="AS276" s="530">
        <f t="shared" si="393"/>
        <v>-342193.43339378882</v>
      </c>
      <c r="AT276" s="530">
        <f t="shared" si="393"/>
        <v>-342193.43339378882</v>
      </c>
      <c r="AU276" s="530">
        <f t="shared" si="393"/>
        <v>-342193.43339378882</v>
      </c>
      <c r="AV276" s="530">
        <f t="shared" si="393"/>
        <v>-352794.25760653405</v>
      </c>
      <c r="AW276" s="530">
        <f t="shared" si="393"/>
        <v>-352794.25760653405</v>
      </c>
      <c r="AX276" s="530">
        <f t="shared" ref="AX276:BY276" si="394">SUM(AX270:AX275)</f>
        <v>-352794.25760653405</v>
      </c>
      <c r="AY276" s="530">
        <f t="shared" si="394"/>
        <v>-352794.25760653405</v>
      </c>
      <c r="AZ276" s="530">
        <f t="shared" si="394"/>
        <v>-352794.25760653405</v>
      </c>
      <c r="BA276" s="530">
        <f t="shared" si="394"/>
        <v>-352794.25760653405</v>
      </c>
      <c r="BB276" s="530">
        <f t="shared" si="394"/>
        <v>-361429.04185165709</v>
      </c>
      <c r="BC276" s="530">
        <f t="shared" si="394"/>
        <v>-361429.04185165709</v>
      </c>
      <c r="BD276" s="530">
        <f t="shared" si="394"/>
        <v>-361429.04185165709</v>
      </c>
      <c r="BE276" s="530">
        <f t="shared" si="394"/>
        <v>-361429.04185165709</v>
      </c>
      <c r="BF276" s="530">
        <f t="shared" si="394"/>
        <v>-361429.04185165709</v>
      </c>
      <c r="BG276" s="530">
        <f t="shared" si="394"/>
        <v>-361429.04185165709</v>
      </c>
      <c r="BH276" s="530">
        <f t="shared" si="394"/>
        <v>-374178.0668993158</v>
      </c>
      <c r="BI276" s="530">
        <f t="shared" si="394"/>
        <v>-374178.0668993158</v>
      </c>
      <c r="BJ276" s="530">
        <f t="shared" si="394"/>
        <v>-374178.0668993158</v>
      </c>
      <c r="BK276" s="530">
        <f t="shared" si="394"/>
        <v>-374178.0668993158</v>
      </c>
      <c r="BL276" s="530">
        <f t="shared" si="394"/>
        <v>-374178.0668993158</v>
      </c>
      <c r="BM276" s="530">
        <f t="shared" si="394"/>
        <v>-374178.0668993158</v>
      </c>
      <c r="BN276" s="530">
        <f t="shared" si="394"/>
        <v>-381732.52142252517</v>
      </c>
      <c r="BO276" s="530">
        <f t="shared" si="394"/>
        <v>-381732.52142252517</v>
      </c>
      <c r="BP276" s="530">
        <f t="shared" si="394"/>
        <v>-381732.52142252517</v>
      </c>
      <c r="BQ276" s="530">
        <f t="shared" si="394"/>
        <v>-381732.52142252517</v>
      </c>
      <c r="BR276" s="530">
        <f t="shared" si="394"/>
        <v>-381732.52142252517</v>
      </c>
      <c r="BS276" s="530">
        <f t="shared" si="394"/>
        <v>-381732.52142252517</v>
      </c>
      <c r="BT276" s="530">
        <f t="shared" si="394"/>
        <v>-396747.44542956352</v>
      </c>
      <c r="BU276" s="530">
        <f t="shared" si="394"/>
        <v>-396747.44542956352</v>
      </c>
      <c r="BV276" s="530">
        <f t="shared" si="394"/>
        <v>-396747.44542956352</v>
      </c>
      <c r="BW276" s="530">
        <f t="shared" si="394"/>
        <v>-396747.44542956352</v>
      </c>
      <c r="BX276" s="530">
        <f t="shared" si="394"/>
        <v>-396747.44542956352</v>
      </c>
      <c r="BY276" s="530">
        <f t="shared" si="394"/>
        <v>-396747.44542956352</v>
      </c>
    </row>
    <row r="277" spans="1:77" x14ac:dyDescent="0.3">
      <c r="A277" s="551"/>
      <c r="B277" s="548"/>
      <c r="C277" s="525"/>
      <c r="D277" s="525"/>
      <c r="E277" s="525"/>
      <c r="F277" s="525"/>
      <c r="G277" s="525"/>
      <c r="H277" s="525"/>
      <c r="I277" s="525"/>
      <c r="J277" s="525"/>
      <c r="K277" s="525"/>
      <c r="L277" s="525"/>
      <c r="M277" s="525"/>
      <c r="N277" s="525"/>
      <c r="O277" s="525"/>
      <c r="P277" s="565"/>
      <c r="Q277" s="525"/>
      <c r="R277" s="525"/>
      <c r="S277" s="525"/>
      <c r="T277" s="525"/>
      <c r="U277" s="525"/>
      <c r="V277" s="525"/>
      <c r="W277" s="525"/>
      <c r="X277" s="525"/>
      <c r="Y277" s="525"/>
      <c r="Z277" s="525"/>
      <c r="AA277" s="525"/>
      <c r="AB277" s="525"/>
      <c r="AC277" s="525"/>
      <c r="AD277" s="525"/>
      <c r="AE277" s="525"/>
      <c r="AF277" s="525"/>
      <c r="AG277" s="525"/>
      <c r="AH277" s="525"/>
      <c r="AI277" s="525"/>
      <c r="AJ277" s="525"/>
      <c r="AK277" s="525"/>
      <c r="AL277" s="525"/>
      <c r="AM277" s="525"/>
      <c r="AN277" s="525"/>
      <c r="AO277" s="525"/>
      <c r="AP277" s="525"/>
      <c r="AQ277" s="525"/>
      <c r="AR277" s="525"/>
      <c r="AS277" s="525"/>
      <c r="AT277" s="525"/>
      <c r="AU277" s="525"/>
      <c r="AV277" s="525"/>
      <c r="AW277" s="525"/>
      <c r="AX277" s="525"/>
      <c r="AY277" s="525"/>
      <c r="AZ277" s="525"/>
      <c r="BA277" s="525"/>
      <c r="BB277" s="525"/>
      <c r="BC277" s="525"/>
      <c r="BD277" s="525"/>
      <c r="BE277" s="525"/>
      <c r="BF277" s="525"/>
      <c r="BG277" s="525"/>
      <c r="BH277" s="525"/>
      <c r="BI277" s="525"/>
      <c r="BJ277" s="525"/>
      <c r="BK277" s="525"/>
      <c r="BL277" s="525"/>
      <c r="BM277" s="525"/>
      <c r="BN277" s="525"/>
      <c r="BO277" s="525"/>
      <c r="BP277" s="525"/>
      <c r="BQ277" s="525"/>
      <c r="BR277" s="525"/>
      <c r="BS277" s="525"/>
      <c r="BT277" s="525"/>
      <c r="BU277" s="525"/>
      <c r="BV277" s="525"/>
      <c r="BW277" s="525"/>
      <c r="BX277" s="525"/>
      <c r="BY277" s="525"/>
    </row>
    <row r="278" spans="1:77" x14ac:dyDescent="0.3">
      <c r="A278" s="551"/>
      <c r="B278" s="548"/>
      <c r="C278" s="525"/>
      <c r="D278" s="525"/>
      <c r="E278" s="624" t="s">
        <v>108</v>
      </c>
      <c r="F278" s="624"/>
      <c r="G278" s="624"/>
      <c r="H278" s="624"/>
      <c r="I278" s="624"/>
      <c r="J278" s="624"/>
      <c r="K278" s="624"/>
      <c r="L278" s="624"/>
      <c r="M278" s="624"/>
      <c r="N278" s="624"/>
      <c r="O278" s="624"/>
      <c r="P278" s="625"/>
      <c r="Q278" s="624"/>
      <c r="R278" s="541">
        <f t="shared" ref="R278:AW278" si="395">R252+R260+R268+R276-R244</f>
        <v>0</v>
      </c>
      <c r="S278" s="541">
        <f t="shared" si="395"/>
        <v>0</v>
      </c>
      <c r="T278" s="541">
        <f t="shared" si="395"/>
        <v>0</v>
      </c>
      <c r="U278" s="541">
        <f t="shared" si="395"/>
        <v>0</v>
      </c>
      <c r="V278" s="541">
        <f t="shared" si="395"/>
        <v>0</v>
      </c>
      <c r="W278" s="541">
        <f t="shared" si="395"/>
        <v>0</v>
      </c>
      <c r="X278" s="541">
        <f t="shared" si="395"/>
        <v>0</v>
      </c>
      <c r="Y278" s="541">
        <f t="shared" si="395"/>
        <v>0</v>
      </c>
      <c r="Z278" s="541">
        <f t="shared" si="395"/>
        <v>0</v>
      </c>
      <c r="AA278" s="541">
        <f t="shared" si="395"/>
        <v>0</v>
      </c>
      <c r="AB278" s="541">
        <f t="shared" si="395"/>
        <v>0</v>
      </c>
      <c r="AC278" s="541">
        <f t="shared" si="395"/>
        <v>0</v>
      </c>
      <c r="AD278" s="541">
        <f t="shared" si="395"/>
        <v>0</v>
      </c>
      <c r="AE278" s="541">
        <f t="shared" si="395"/>
        <v>0</v>
      </c>
      <c r="AF278" s="541">
        <f t="shared" si="395"/>
        <v>0</v>
      </c>
      <c r="AG278" s="541">
        <f t="shared" si="395"/>
        <v>0</v>
      </c>
      <c r="AH278" s="541">
        <f t="shared" si="395"/>
        <v>0</v>
      </c>
      <c r="AI278" s="541">
        <f t="shared" si="395"/>
        <v>0</v>
      </c>
      <c r="AJ278" s="541">
        <f t="shared" si="395"/>
        <v>0</v>
      </c>
      <c r="AK278" s="541">
        <f t="shared" si="395"/>
        <v>0</v>
      </c>
      <c r="AL278" s="541">
        <f t="shared" si="395"/>
        <v>0</v>
      </c>
      <c r="AM278" s="541">
        <f t="shared" si="395"/>
        <v>0</v>
      </c>
      <c r="AN278" s="541">
        <f t="shared" si="395"/>
        <v>0</v>
      </c>
      <c r="AO278" s="541">
        <f t="shared" si="395"/>
        <v>0</v>
      </c>
      <c r="AP278" s="541">
        <f t="shared" si="395"/>
        <v>0</v>
      </c>
      <c r="AQ278" s="541">
        <f t="shared" si="395"/>
        <v>0</v>
      </c>
      <c r="AR278" s="541">
        <f t="shared" si="395"/>
        <v>0</v>
      </c>
      <c r="AS278" s="541">
        <f t="shared" si="395"/>
        <v>0</v>
      </c>
      <c r="AT278" s="541">
        <f t="shared" si="395"/>
        <v>0</v>
      </c>
      <c r="AU278" s="541">
        <f t="shared" si="395"/>
        <v>0</v>
      </c>
      <c r="AV278" s="541">
        <f t="shared" si="395"/>
        <v>0</v>
      </c>
      <c r="AW278" s="541">
        <f t="shared" si="395"/>
        <v>0</v>
      </c>
      <c r="AX278" s="541">
        <f t="shared" ref="AX278:BY278" si="396">AX252+AX260+AX268+AX276-AX244</f>
        <v>0</v>
      </c>
      <c r="AY278" s="541">
        <f t="shared" si="396"/>
        <v>0</v>
      </c>
      <c r="AZ278" s="541">
        <f t="shared" si="396"/>
        <v>0</v>
      </c>
      <c r="BA278" s="541">
        <f t="shared" si="396"/>
        <v>0</v>
      </c>
      <c r="BB278" s="541">
        <f t="shared" si="396"/>
        <v>0</v>
      </c>
      <c r="BC278" s="541">
        <f t="shared" si="396"/>
        <v>0</v>
      </c>
      <c r="BD278" s="541">
        <f t="shared" si="396"/>
        <v>0</v>
      </c>
      <c r="BE278" s="541">
        <f t="shared" si="396"/>
        <v>0</v>
      </c>
      <c r="BF278" s="541">
        <f t="shared" si="396"/>
        <v>0</v>
      </c>
      <c r="BG278" s="541">
        <f t="shared" si="396"/>
        <v>0</v>
      </c>
      <c r="BH278" s="541">
        <f t="shared" si="396"/>
        <v>0</v>
      </c>
      <c r="BI278" s="541">
        <f t="shared" si="396"/>
        <v>0</v>
      </c>
      <c r="BJ278" s="541">
        <f t="shared" si="396"/>
        <v>0</v>
      </c>
      <c r="BK278" s="541">
        <f t="shared" si="396"/>
        <v>0</v>
      </c>
      <c r="BL278" s="541">
        <f t="shared" si="396"/>
        <v>0</v>
      </c>
      <c r="BM278" s="541">
        <f t="shared" si="396"/>
        <v>0</v>
      </c>
      <c r="BN278" s="541">
        <f t="shared" si="396"/>
        <v>0</v>
      </c>
      <c r="BO278" s="541">
        <f t="shared" si="396"/>
        <v>0</v>
      </c>
      <c r="BP278" s="541">
        <f t="shared" si="396"/>
        <v>0</v>
      </c>
      <c r="BQ278" s="541">
        <f t="shared" si="396"/>
        <v>0</v>
      </c>
      <c r="BR278" s="541">
        <f t="shared" si="396"/>
        <v>0</v>
      </c>
      <c r="BS278" s="541">
        <f t="shared" si="396"/>
        <v>0</v>
      </c>
      <c r="BT278" s="541">
        <f t="shared" si="396"/>
        <v>0</v>
      </c>
      <c r="BU278" s="541">
        <f t="shared" si="396"/>
        <v>0</v>
      </c>
      <c r="BV278" s="541">
        <f t="shared" si="396"/>
        <v>0</v>
      </c>
      <c r="BW278" s="541">
        <f t="shared" si="396"/>
        <v>0</v>
      </c>
      <c r="BX278" s="541">
        <f t="shared" si="396"/>
        <v>0</v>
      </c>
      <c r="BY278" s="541">
        <f t="shared" si="396"/>
        <v>0</v>
      </c>
    </row>
    <row r="279" spans="1:77" x14ac:dyDescent="0.3">
      <c r="A279" s="551"/>
      <c r="B279" s="548"/>
      <c r="C279" s="525"/>
      <c r="D279" s="525"/>
      <c r="E279" s="525"/>
      <c r="F279" s="525"/>
      <c r="G279" s="525"/>
      <c r="H279" s="525"/>
      <c r="I279" s="525"/>
      <c r="J279" s="525"/>
      <c r="K279" s="525"/>
      <c r="L279" s="525"/>
      <c r="M279" s="525"/>
      <c r="N279" s="525"/>
      <c r="O279" s="525"/>
      <c r="P279" s="565"/>
      <c r="Q279" s="525"/>
      <c r="R279" s="525"/>
      <c r="S279" s="525"/>
      <c r="T279" s="525"/>
      <c r="U279" s="525"/>
      <c r="V279" s="525"/>
      <c r="W279" s="525"/>
      <c r="X279" s="525"/>
      <c r="Y279" s="525"/>
      <c r="Z279" s="525"/>
      <c r="AA279" s="525"/>
      <c r="AB279" s="525"/>
      <c r="AC279" s="525"/>
      <c r="AD279" s="525"/>
      <c r="AE279" s="525"/>
      <c r="AF279" s="525"/>
      <c r="AG279" s="525"/>
      <c r="AH279" s="525"/>
      <c r="AI279" s="525"/>
      <c r="AJ279" s="525"/>
      <c r="AK279" s="525"/>
      <c r="AL279" s="525"/>
      <c r="AM279" s="525"/>
      <c r="AN279" s="525"/>
      <c r="AO279" s="525"/>
      <c r="AP279" s="525"/>
      <c r="AQ279" s="525"/>
      <c r="AR279" s="525"/>
      <c r="AS279" s="525"/>
      <c r="AT279" s="525"/>
      <c r="AU279" s="525"/>
      <c r="AV279" s="525"/>
      <c r="AW279" s="525"/>
      <c r="AX279" s="525"/>
      <c r="AY279" s="525"/>
      <c r="AZ279" s="525"/>
      <c r="BA279" s="525"/>
      <c r="BB279" s="525"/>
      <c r="BC279" s="525"/>
      <c r="BD279" s="525"/>
      <c r="BE279" s="525"/>
      <c r="BF279" s="525"/>
      <c r="BG279" s="525"/>
      <c r="BH279" s="525"/>
      <c r="BI279" s="525"/>
      <c r="BJ279" s="525"/>
      <c r="BK279" s="525"/>
      <c r="BL279" s="525"/>
      <c r="BM279" s="525"/>
      <c r="BN279" s="525"/>
      <c r="BO279" s="525"/>
      <c r="BP279" s="525"/>
      <c r="BQ279" s="525"/>
      <c r="BR279" s="525"/>
      <c r="BS279" s="525"/>
      <c r="BT279" s="525"/>
      <c r="BU279" s="525"/>
      <c r="BV279" s="525"/>
      <c r="BW279" s="525"/>
      <c r="BX279" s="525"/>
      <c r="BY279" s="525"/>
    </row>
    <row r="280" spans="1:77" x14ac:dyDescent="0.3">
      <c r="A280" s="551"/>
      <c r="B280" s="548"/>
      <c r="C280" s="525"/>
      <c r="D280" s="525"/>
      <c r="E280" s="614" t="s">
        <v>109</v>
      </c>
      <c r="F280" s="539"/>
      <c r="G280" s="539"/>
      <c r="H280" s="539"/>
      <c r="I280" s="539"/>
      <c r="J280" s="539"/>
      <c r="K280" s="539"/>
      <c r="L280" s="539"/>
      <c r="M280" s="539"/>
      <c r="N280" s="539"/>
      <c r="O280" s="539"/>
      <c r="P280" s="615"/>
      <c r="Q280" s="539"/>
      <c r="R280" s="539"/>
      <c r="S280" s="539"/>
      <c r="T280" s="539"/>
      <c r="U280" s="539"/>
      <c r="V280" s="539"/>
      <c r="W280" s="539"/>
      <c r="X280" s="539"/>
      <c r="Y280" s="539"/>
      <c r="Z280" s="539"/>
      <c r="AA280" s="539"/>
      <c r="AB280" s="539"/>
      <c r="AC280" s="539"/>
      <c r="AD280" s="539"/>
      <c r="AE280" s="539"/>
      <c r="AF280" s="539"/>
      <c r="AG280" s="539"/>
      <c r="AH280" s="539"/>
      <c r="AI280" s="539"/>
      <c r="AJ280" s="539"/>
      <c r="AK280" s="539"/>
      <c r="AL280" s="539"/>
      <c r="AM280" s="539"/>
      <c r="AN280" s="539"/>
      <c r="AO280" s="539"/>
      <c r="AP280" s="539"/>
      <c r="AQ280" s="539"/>
      <c r="AR280" s="539"/>
      <c r="AS280" s="539"/>
      <c r="AT280" s="539"/>
      <c r="AU280" s="539"/>
      <c r="AV280" s="539"/>
      <c r="AW280" s="539"/>
      <c r="AX280" s="539"/>
      <c r="AY280" s="539"/>
      <c r="AZ280" s="539"/>
      <c r="BA280" s="539"/>
      <c r="BB280" s="539"/>
      <c r="BC280" s="539"/>
      <c r="BD280" s="539"/>
      <c r="BE280" s="539"/>
      <c r="BF280" s="539"/>
      <c r="BG280" s="539"/>
      <c r="BH280" s="539"/>
      <c r="BI280" s="539"/>
      <c r="BJ280" s="539"/>
      <c r="BK280" s="539"/>
      <c r="BL280" s="539"/>
      <c r="BM280" s="539"/>
      <c r="BN280" s="539"/>
      <c r="BO280" s="539"/>
      <c r="BP280" s="539"/>
      <c r="BQ280" s="539"/>
      <c r="BR280" s="539"/>
      <c r="BS280" s="539"/>
      <c r="BT280" s="539"/>
      <c r="BU280" s="539"/>
      <c r="BV280" s="539"/>
      <c r="BW280" s="539"/>
      <c r="BX280" s="539"/>
      <c r="BY280" s="539"/>
    </row>
    <row r="281" spans="1:77" x14ac:dyDescent="0.3">
      <c r="A281" s="551"/>
      <c r="B281" s="548"/>
      <c r="C281" s="525"/>
      <c r="D281" s="525"/>
      <c r="E281" s="525"/>
      <c r="F281" s="525"/>
      <c r="G281" s="525"/>
      <c r="H281" s="525"/>
      <c r="I281" s="525"/>
      <c r="J281" s="525"/>
      <c r="K281" s="525"/>
      <c r="L281" s="525"/>
      <c r="M281" s="525"/>
      <c r="N281" s="525"/>
      <c r="O281" s="525"/>
      <c r="P281" s="565"/>
      <c r="Q281" s="525"/>
      <c r="R281" s="525"/>
      <c r="S281" s="525"/>
      <c r="T281" s="525"/>
      <c r="U281" s="525"/>
      <c r="V281" s="525"/>
      <c r="W281" s="525"/>
      <c r="X281" s="525"/>
      <c r="Y281" s="525"/>
      <c r="Z281" s="525"/>
      <c r="AA281" s="525"/>
      <c r="AB281" s="525"/>
      <c r="AC281" s="525"/>
      <c r="AD281" s="525"/>
      <c r="AE281" s="525"/>
      <c r="AF281" s="525"/>
      <c r="AG281" s="525"/>
      <c r="AH281" s="525"/>
      <c r="AI281" s="525"/>
      <c r="AJ281" s="525"/>
      <c r="AK281" s="525"/>
      <c r="AL281" s="525"/>
      <c r="AM281" s="525"/>
      <c r="AN281" s="525"/>
      <c r="AO281" s="525"/>
      <c r="AP281" s="525"/>
      <c r="AQ281" s="525"/>
      <c r="AR281" s="525"/>
      <c r="AS281" s="525"/>
      <c r="AT281" s="525"/>
      <c r="AU281" s="525"/>
      <c r="AV281" s="525"/>
      <c r="AW281" s="525"/>
      <c r="AX281" s="525"/>
      <c r="AY281" s="525"/>
      <c r="AZ281" s="525"/>
      <c r="BA281" s="525"/>
      <c r="BB281" s="525"/>
      <c r="BC281" s="525"/>
      <c r="BD281" s="525"/>
      <c r="BE281" s="525"/>
      <c r="BF281" s="525"/>
      <c r="BG281" s="525"/>
      <c r="BH281" s="525"/>
      <c r="BI281" s="525"/>
      <c r="BJ281" s="525"/>
      <c r="BK281" s="525"/>
      <c r="BL281" s="525"/>
      <c r="BM281" s="525"/>
      <c r="BN281" s="525"/>
      <c r="BO281" s="525"/>
      <c r="BP281" s="525"/>
      <c r="BQ281" s="525"/>
      <c r="BR281" s="525"/>
      <c r="BS281" s="525"/>
      <c r="BT281" s="525"/>
      <c r="BU281" s="525"/>
      <c r="BV281" s="525"/>
      <c r="BW281" s="525"/>
      <c r="BX281" s="525"/>
      <c r="BY281" s="525"/>
    </row>
    <row r="282" spans="1:77" x14ac:dyDescent="0.3">
      <c r="A282" s="551"/>
      <c r="B282" s="548"/>
      <c r="C282" s="525"/>
      <c r="D282" s="525"/>
      <c r="E282" s="626" t="str">
        <f>"WSM net comm.: "&amp;E$155</f>
        <v>WSM net comm.: FY27 Tranche</v>
      </c>
      <c r="F282" s="525"/>
      <c r="G282" s="525"/>
      <c r="H282" s="525"/>
      <c r="I282" s="525"/>
      <c r="J282" s="525"/>
      <c r="K282" s="525"/>
      <c r="L282" s="525"/>
      <c r="M282" s="525"/>
      <c r="N282" s="525"/>
      <c r="O282" s="525"/>
      <c r="P282" s="565"/>
      <c r="Q282" s="525"/>
      <c r="R282" s="527">
        <f t="shared" ref="R282:AW282" si="397">($R155*R$590*R490)+((($R155*R$590)+R213)*R482)</f>
        <v>5928.3695973957256</v>
      </c>
      <c r="S282" s="527">
        <f t="shared" si="397"/>
        <v>5928.3695973957256</v>
      </c>
      <c r="T282" s="527">
        <f t="shared" si="397"/>
        <v>5928.3695973957256</v>
      </c>
      <c r="U282" s="527">
        <f t="shared" si="397"/>
        <v>5928.3695973957256</v>
      </c>
      <c r="V282" s="527">
        <f t="shared" si="397"/>
        <v>5928.3695973957256</v>
      </c>
      <c r="W282" s="527">
        <f t="shared" si="397"/>
        <v>5928.3695973957256</v>
      </c>
      <c r="X282" s="527">
        <f t="shared" si="397"/>
        <v>6862.7946632859812</v>
      </c>
      <c r="Y282" s="527">
        <f t="shared" si="397"/>
        <v>6862.7946632859812</v>
      </c>
      <c r="Z282" s="527">
        <f t="shared" si="397"/>
        <v>6862.7946632859812</v>
      </c>
      <c r="AA282" s="527">
        <f t="shared" si="397"/>
        <v>6862.7946632859812</v>
      </c>
      <c r="AB282" s="527">
        <f t="shared" si="397"/>
        <v>6862.7946632859812</v>
      </c>
      <c r="AC282" s="527">
        <f t="shared" si="397"/>
        <v>6862.7946632859812</v>
      </c>
      <c r="AD282" s="527">
        <f t="shared" si="397"/>
        <v>6608.5262403008137</v>
      </c>
      <c r="AE282" s="527">
        <f t="shared" si="397"/>
        <v>6608.5262403008137</v>
      </c>
      <c r="AF282" s="527">
        <f t="shared" si="397"/>
        <v>6608.5262403008137</v>
      </c>
      <c r="AG282" s="527">
        <f t="shared" si="397"/>
        <v>6608.5262403008137</v>
      </c>
      <c r="AH282" s="527">
        <f t="shared" si="397"/>
        <v>6608.5262403008137</v>
      </c>
      <c r="AI282" s="527">
        <f t="shared" si="397"/>
        <v>6608.5262403008137</v>
      </c>
      <c r="AJ282" s="527">
        <f t="shared" si="397"/>
        <v>6852.1597365352054</v>
      </c>
      <c r="AK282" s="527">
        <f t="shared" si="397"/>
        <v>6852.1597365352054</v>
      </c>
      <c r="AL282" s="527">
        <f t="shared" si="397"/>
        <v>6852.1597365352054</v>
      </c>
      <c r="AM282" s="527">
        <f t="shared" si="397"/>
        <v>6852.1597365352054</v>
      </c>
      <c r="AN282" s="527">
        <f t="shared" si="397"/>
        <v>6852.1597365352054</v>
      </c>
      <c r="AO282" s="527">
        <f t="shared" si="397"/>
        <v>6852.1597365352054</v>
      </c>
      <c r="AP282" s="527">
        <f t="shared" si="397"/>
        <v>6611.8551751821415</v>
      </c>
      <c r="AQ282" s="527">
        <f t="shared" si="397"/>
        <v>6611.8551751821415</v>
      </c>
      <c r="AR282" s="527">
        <f t="shared" si="397"/>
        <v>6611.8551751821415</v>
      </c>
      <c r="AS282" s="527">
        <f t="shared" si="397"/>
        <v>6611.8551751821415</v>
      </c>
      <c r="AT282" s="527">
        <f t="shared" si="397"/>
        <v>6611.8551751821415</v>
      </c>
      <c r="AU282" s="527">
        <f t="shared" si="397"/>
        <v>6611.8551751821415</v>
      </c>
      <c r="AV282" s="527">
        <f t="shared" si="397"/>
        <v>6853.5296445979511</v>
      </c>
      <c r="AW282" s="527">
        <f t="shared" si="397"/>
        <v>6853.5296445979511</v>
      </c>
      <c r="AX282" s="527">
        <f t="shared" ref="AX282:BY282" si="398">($R155*AX$590*AX490)+((($R155*AX$590)+AX213)*AX482)</f>
        <v>6853.5296445979511</v>
      </c>
      <c r="AY282" s="527">
        <f t="shared" si="398"/>
        <v>6853.5296445979511</v>
      </c>
      <c r="AZ282" s="527">
        <f t="shared" si="398"/>
        <v>6853.5296445979511</v>
      </c>
      <c r="BA282" s="527">
        <f t="shared" si="398"/>
        <v>6853.5296445979511</v>
      </c>
      <c r="BB282" s="527">
        <f t="shared" si="398"/>
        <v>6631.5870398947409</v>
      </c>
      <c r="BC282" s="527">
        <f t="shared" si="398"/>
        <v>6631.5870398947409</v>
      </c>
      <c r="BD282" s="527">
        <f t="shared" si="398"/>
        <v>6631.5870398947409</v>
      </c>
      <c r="BE282" s="527">
        <f t="shared" si="398"/>
        <v>6631.5870398947409</v>
      </c>
      <c r="BF282" s="527">
        <f t="shared" si="398"/>
        <v>6631.5870398947409</v>
      </c>
      <c r="BG282" s="527">
        <f t="shared" si="398"/>
        <v>6631.5870398947409</v>
      </c>
      <c r="BH282" s="527">
        <f t="shared" si="398"/>
        <v>6871.9334337086457</v>
      </c>
      <c r="BI282" s="527">
        <f t="shared" si="398"/>
        <v>6871.9334337086457</v>
      </c>
      <c r="BJ282" s="527">
        <f t="shared" si="398"/>
        <v>6871.9334337086457</v>
      </c>
      <c r="BK282" s="527">
        <f t="shared" si="398"/>
        <v>6871.9334337086457</v>
      </c>
      <c r="BL282" s="527">
        <f t="shared" si="398"/>
        <v>6871.9334337086457</v>
      </c>
      <c r="BM282" s="527">
        <f t="shared" si="398"/>
        <v>6871.9334337086457</v>
      </c>
      <c r="BN282" s="527">
        <f t="shared" si="398"/>
        <v>6655.5062957338569</v>
      </c>
      <c r="BO282" s="527">
        <f t="shared" si="398"/>
        <v>6655.5062957338569</v>
      </c>
      <c r="BP282" s="527">
        <f t="shared" si="398"/>
        <v>6655.5062957338569</v>
      </c>
      <c r="BQ282" s="527">
        <f t="shared" si="398"/>
        <v>6655.5062957338569</v>
      </c>
      <c r="BR282" s="527">
        <f t="shared" si="398"/>
        <v>6655.5062957338569</v>
      </c>
      <c r="BS282" s="527">
        <f t="shared" si="398"/>
        <v>6655.5062957338569</v>
      </c>
      <c r="BT282" s="527">
        <f t="shared" si="398"/>
        <v>6894.6181439518168</v>
      </c>
      <c r="BU282" s="527">
        <f t="shared" si="398"/>
        <v>6894.6181439518168</v>
      </c>
      <c r="BV282" s="527">
        <f t="shared" si="398"/>
        <v>6894.6181439518168</v>
      </c>
      <c r="BW282" s="527">
        <f t="shared" si="398"/>
        <v>6894.6181439518168</v>
      </c>
      <c r="BX282" s="527">
        <f t="shared" si="398"/>
        <v>6894.6181439518168</v>
      </c>
      <c r="BY282" s="527">
        <f t="shared" si="398"/>
        <v>6894.6181439518168</v>
      </c>
    </row>
    <row r="283" spans="1:77" x14ac:dyDescent="0.3">
      <c r="A283" s="551"/>
      <c r="B283" s="548"/>
      <c r="C283" s="525"/>
      <c r="D283" s="525"/>
      <c r="E283" s="626" t="str">
        <f>"WSM net comm.: "&amp;E$156</f>
        <v>WSM net comm.: FY28 Tranche</v>
      </c>
      <c r="F283" s="525"/>
      <c r="G283" s="525"/>
      <c r="H283" s="525"/>
      <c r="I283" s="525"/>
      <c r="J283" s="525"/>
      <c r="K283" s="525"/>
      <c r="L283" s="525"/>
      <c r="M283" s="525"/>
      <c r="N283" s="525"/>
      <c r="O283" s="525"/>
      <c r="P283" s="565"/>
      <c r="Q283" s="525"/>
      <c r="R283" s="527">
        <f t="shared" ref="R283:AW283" si="399">($R156*R$590*R491)+((($R156*R$590)+R214)*R483)</f>
        <v>5928.3695973957256</v>
      </c>
      <c r="S283" s="527">
        <f t="shared" si="399"/>
        <v>5928.3695973957256</v>
      </c>
      <c r="T283" s="527">
        <f t="shared" si="399"/>
        <v>5928.3695973957256</v>
      </c>
      <c r="U283" s="527">
        <f t="shared" si="399"/>
        <v>5928.3695973957256</v>
      </c>
      <c r="V283" s="527">
        <f t="shared" si="399"/>
        <v>5928.3695973957256</v>
      </c>
      <c r="W283" s="527">
        <f t="shared" si="399"/>
        <v>5928.3695973957256</v>
      </c>
      <c r="X283" s="527">
        <f t="shared" si="399"/>
        <v>5928.3695973957256</v>
      </c>
      <c r="Y283" s="527">
        <f t="shared" si="399"/>
        <v>5928.3695973957256</v>
      </c>
      <c r="Z283" s="527">
        <f t="shared" si="399"/>
        <v>5928.3695973957256</v>
      </c>
      <c r="AA283" s="527">
        <f t="shared" si="399"/>
        <v>5928.3695973957256</v>
      </c>
      <c r="AB283" s="527">
        <f t="shared" si="399"/>
        <v>5928.3695973957256</v>
      </c>
      <c r="AC283" s="527">
        <f t="shared" si="399"/>
        <v>5928.3695973957256</v>
      </c>
      <c r="AD283" s="527">
        <f t="shared" si="399"/>
        <v>5928.3695973957256</v>
      </c>
      <c r="AE283" s="527">
        <f t="shared" si="399"/>
        <v>5928.3695973957256</v>
      </c>
      <c r="AF283" s="527">
        <f t="shared" si="399"/>
        <v>5928.3695973957256</v>
      </c>
      <c r="AG283" s="527">
        <f t="shared" si="399"/>
        <v>5928.3695973957256</v>
      </c>
      <c r="AH283" s="527">
        <f t="shared" si="399"/>
        <v>5928.3695973957256</v>
      </c>
      <c r="AI283" s="527">
        <f t="shared" si="399"/>
        <v>5928.3695973957256</v>
      </c>
      <c r="AJ283" s="527">
        <f t="shared" si="399"/>
        <v>6838.8399069406878</v>
      </c>
      <c r="AK283" s="527">
        <f t="shared" si="399"/>
        <v>6838.8399069406878</v>
      </c>
      <c r="AL283" s="527">
        <f t="shared" si="399"/>
        <v>6838.8399069406878</v>
      </c>
      <c r="AM283" s="527">
        <f t="shared" si="399"/>
        <v>6838.8399069406878</v>
      </c>
      <c r="AN283" s="527">
        <f t="shared" si="399"/>
        <v>6838.8399069406878</v>
      </c>
      <c r="AO283" s="527">
        <f t="shared" si="399"/>
        <v>6838.8399069406878</v>
      </c>
      <c r="AP283" s="527">
        <f t="shared" si="399"/>
        <v>6599.1506304785735</v>
      </c>
      <c r="AQ283" s="527">
        <f t="shared" si="399"/>
        <v>6599.1506304785735</v>
      </c>
      <c r="AR283" s="527">
        <f t="shared" si="399"/>
        <v>6599.1506304785735</v>
      </c>
      <c r="AS283" s="527">
        <f t="shared" si="399"/>
        <v>6599.1506304785735</v>
      </c>
      <c r="AT283" s="527">
        <f t="shared" si="399"/>
        <v>6599.1506304785735</v>
      </c>
      <c r="AU283" s="527">
        <f t="shared" si="399"/>
        <v>6599.1506304785735</v>
      </c>
      <c r="AV283" s="527">
        <f t="shared" si="399"/>
        <v>6840.3169181062403</v>
      </c>
      <c r="AW283" s="527">
        <f t="shared" si="399"/>
        <v>6840.3169181062403</v>
      </c>
      <c r="AX283" s="527">
        <f t="shared" ref="AX283:BY283" si="400">($R156*AX$590*AX491)+((($R156*AX$590)+AX214)*AX483)</f>
        <v>6840.3169181062403</v>
      </c>
      <c r="AY283" s="527">
        <f t="shared" si="400"/>
        <v>6840.3169181062403</v>
      </c>
      <c r="AZ283" s="527">
        <f t="shared" si="400"/>
        <v>6840.3169181062403</v>
      </c>
      <c r="BA283" s="527">
        <f t="shared" si="400"/>
        <v>6840.3169181062403</v>
      </c>
      <c r="BB283" s="527">
        <f t="shared" si="400"/>
        <v>6618.9523105750441</v>
      </c>
      <c r="BC283" s="527">
        <f t="shared" si="400"/>
        <v>6618.9523105750441</v>
      </c>
      <c r="BD283" s="527">
        <f t="shared" si="400"/>
        <v>6618.9523105750441</v>
      </c>
      <c r="BE283" s="527">
        <f t="shared" si="400"/>
        <v>6618.9523105750441</v>
      </c>
      <c r="BF283" s="527">
        <f t="shared" si="400"/>
        <v>6618.9523105750441</v>
      </c>
      <c r="BG283" s="527">
        <f t="shared" si="400"/>
        <v>6618.9523105750441</v>
      </c>
      <c r="BH283" s="527">
        <f t="shared" si="400"/>
        <v>6858.7933152161613</v>
      </c>
      <c r="BI283" s="527">
        <f t="shared" si="400"/>
        <v>6858.7933152161613</v>
      </c>
      <c r="BJ283" s="527">
        <f t="shared" si="400"/>
        <v>6858.7933152161613</v>
      </c>
      <c r="BK283" s="527">
        <f t="shared" si="400"/>
        <v>6858.7933152161613</v>
      </c>
      <c r="BL283" s="527">
        <f t="shared" si="400"/>
        <v>6858.7933152161613</v>
      </c>
      <c r="BM283" s="527">
        <f t="shared" si="400"/>
        <v>6858.7933152161613</v>
      </c>
      <c r="BN283" s="527">
        <f t="shared" si="400"/>
        <v>6642.9364650348134</v>
      </c>
      <c r="BO283" s="527">
        <f t="shared" si="400"/>
        <v>6642.9364650348134</v>
      </c>
      <c r="BP283" s="527">
        <f t="shared" si="400"/>
        <v>6642.9364650348134</v>
      </c>
      <c r="BQ283" s="527">
        <f t="shared" si="400"/>
        <v>6642.9364650348134</v>
      </c>
      <c r="BR283" s="527">
        <f t="shared" si="400"/>
        <v>6642.9364650348134</v>
      </c>
      <c r="BS283" s="527">
        <f t="shared" si="400"/>
        <v>6642.9364650348134</v>
      </c>
      <c r="BT283" s="527">
        <f t="shared" si="400"/>
        <v>6881.5455200248116</v>
      </c>
      <c r="BU283" s="527">
        <f t="shared" si="400"/>
        <v>6881.5455200248116</v>
      </c>
      <c r="BV283" s="527">
        <f t="shared" si="400"/>
        <v>6881.5455200248116</v>
      </c>
      <c r="BW283" s="527">
        <f t="shared" si="400"/>
        <v>6881.5455200248116</v>
      </c>
      <c r="BX283" s="527">
        <f t="shared" si="400"/>
        <v>6881.5455200248116</v>
      </c>
      <c r="BY283" s="527">
        <f t="shared" si="400"/>
        <v>6881.5455200248116</v>
      </c>
    </row>
    <row r="284" spans="1:77" x14ac:dyDescent="0.3">
      <c r="A284" s="551"/>
      <c r="B284" s="548"/>
      <c r="C284" s="525"/>
      <c r="D284" s="525"/>
      <c r="E284" s="626" t="str">
        <f>"WSM net comm.: "&amp;E$157</f>
        <v>WSM net comm.: FY29 Tranche</v>
      </c>
      <c r="F284" s="525"/>
      <c r="G284" s="525"/>
      <c r="H284" s="525"/>
      <c r="I284" s="525"/>
      <c r="J284" s="525"/>
      <c r="K284" s="525"/>
      <c r="L284" s="525"/>
      <c r="M284" s="525"/>
      <c r="N284" s="525"/>
      <c r="O284" s="525"/>
      <c r="P284" s="565"/>
      <c r="Q284" s="525"/>
      <c r="R284" s="527">
        <f t="shared" ref="R284:AW284" si="401">($R157*R$590*R492)+((($R157*R$590)+R215)*R484)</f>
        <v>5928.3695973957256</v>
      </c>
      <c r="S284" s="527">
        <f t="shared" si="401"/>
        <v>5928.3695973957256</v>
      </c>
      <c r="T284" s="527">
        <f t="shared" si="401"/>
        <v>5928.3695973957256</v>
      </c>
      <c r="U284" s="527">
        <f t="shared" si="401"/>
        <v>5928.3695973957256</v>
      </c>
      <c r="V284" s="527">
        <f t="shared" si="401"/>
        <v>5928.3695973957256</v>
      </c>
      <c r="W284" s="527">
        <f t="shared" si="401"/>
        <v>5928.3695973957256</v>
      </c>
      <c r="X284" s="527">
        <f t="shared" si="401"/>
        <v>5928.3695973957256</v>
      </c>
      <c r="Y284" s="527">
        <f t="shared" si="401"/>
        <v>5928.3695973957256</v>
      </c>
      <c r="Z284" s="527">
        <f t="shared" si="401"/>
        <v>5928.3695973957256</v>
      </c>
      <c r="AA284" s="527">
        <f t="shared" si="401"/>
        <v>5928.3695973957256</v>
      </c>
      <c r="AB284" s="527">
        <f t="shared" si="401"/>
        <v>5928.3695973957256</v>
      </c>
      <c r="AC284" s="527">
        <f t="shared" si="401"/>
        <v>5928.3695973957256</v>
      </c>
      <c r="AD284" s="527">
        <f t="shared" si="401"/>
        <v>5928.3695973957256</v>
      </c>
      <c r="AE284" s="527">
        <f t="shared" si="401"/>
        <v>5928.3695973957256</v>
      </c>
      <c r="AF284" s="527">
        <f t="shared" si="401"/>
        <v>5928.3695973957256</v>
      </c>
      <c r="AG284" s="527">
        <f t="shared" si="401"/>
        <v>5928.3695973957256</v>
      </c>
      <c r="AH284" s="527">
        <f t="shared" si="401"/>
        <v>5928.3695973957256</v>
      </c>
      <c r="AI284" s="527">
        <f t="shared" si="401"/>
        <v>5928.3695973957256</v>
      </c>
      <c r="AJ284" s="527">
        <f t="shared" si="401"/>
        <v>5928.3695973957256</v>
      </c>
      <c r="AK284" s="527">
        <f t="shared" si="401"/>
        <v>5928.3695973957256</v>
      </c>
      <c r="AL284" s="527">
        <f t="shared" si="401"/>
        <v>5928.3695973957256</v>
      </c>
      <c r="AM284" s="527">
        <f t="shared" si="401"/>
        <v>5928.3695973957256</v>
      </c>
      <c r="AN284" s="527">
        <f t="shared" si="401"/>
        <v>5928.3695973957256</v>
      </c>
      <c r="AO284" s="527">
        <f t="shared" si="401"/>
        <v>5928.3695973957256</v>
      </c>
      <c r="AP284" s="527">
        <f t="shared" si="401"/>
        <v>5928.3695973957256</v>
      </c>
      <c r="AQ284" s="527">
        <f t="shared" si="401"/>
        <v>5928.3695973957256</v>
      </c>
      <c r="AR284" s="527">
        <f t="shared" si="401"/>
        <v>5928.3695973957256</v>
      </c>
      <c r="AS284" s="527">
        <f t="shared" si="401"/>
        <v>5928.3695973957256</v>
      </c>
      <c r="AT284" s="527">
        <f t="shared" si="401"/>
        <v>5928.3695973957256</v>
      </c>
      <c r="AU284" s="527">
        <f t="shared" si="401"/>
        <v>5928.3695973957256</v>
      </c>
      <c r="AV284" s="527">
        <f t="shared" si="401"/>
        <v>6816.2821197251296</v>
      </c>
      <c r="AW284" s="527">
        <f t="shared" si="401"/>
        <v>6816.2821197251296</v>
      </c>
      <c r="AX284" s="527">
        <f t="shared" ref="AX284:BY284" si="402">($R157*AX$590*AX492)+((($R157*AX$590)+AX215)*AX484)</f>
        <v>6816.2821197251296</v>
      </c>
      <c r="AY284" s="527">
        <f t="shared" si="402"/>
        <v>6816.2821197251296</v>
      </c>
      <c r="AZ284" s="527">
        <f t="shared" si="402"/>
        <v>6816.2821197251296</v>
      </c>
      <c r="BA284" s="527">
        <f t="shared" si="402"/>
        <v>6816.2821197251296</v>
      </c>
      <c r="BB284" s="527">
        <f t="shared" si="402"/>
        <v>6595.9689261850517</v>
      </c>
      <c r="BC284" s="527">
        <f t="shared" si="402"/>
        <v>6595.9689261850517</v>
      </c>
      <c r="BD284" s="527">
        <f t="shared" si="402"/>
        <v>6595.9689261850517</v>
      </c>
      <c r="BE284" s="527">
        <f t="shared" si="402"/>
        <v>6595.9689261850517</v>
      </c>
      <c r="BF284" s="527">
        <f t="shared" si="402"/>
        <v>6595.9689261850517</v>
      </c>
      <c r="BG284" s="527">
        <f t="shared" si="402"/>
        <v>6595.9689261850517</v>
      </c>
      <c r="BH284" s="527">
        <f t="shared" si="402"/>
        <v>6834.8905954505699</v>
      </c>
      <c r="BI284" s="527">
        <f t="shared" si="402"/>
        <v>6834.8905954505699</v>
      </c>
      <c r="BJ284" s="527">
        <f t="shared" si="402"/>
        <v>6834.8905954505699</v>
      </c>
      <c r="BK284" s="527">
        <f t="shared" si="402"/>
        <v>6834.8905954505699</v>
      </c>
      <c r="BL284" s="527">
        <f t="shared" si="402"/>
        <v>6834.8905954505699</v>
      </c>
      <c r="BM284" s="527">
        <f t="shared" si="402"/>
        <v>6834.8905954505699</v>
      </c>
      <c r="BN284" s="527">
        <f t="shared" si="402"/>
        <v>6620.0711354054047</v>
      </c>
      <c r="BO284" s="527">
        <f t="shared" si="402"/>
        <v>6620.0711354054047</v>
      </c>
      <c r="BP284" s="527">
        <f t="shared" si="402"/>
        <v>6620.0711354054047</v>
      </c>
      <c r="BQ284" s="527">
        <f t="shared" si="402"/>
        <v>6620.0711354054047</v>
      </c>
      <c r="BR284" s="527">
        <f t="shared" si="402"/>
        <v>6620.0711354054047</v>
      </c>
      <c r="BS284" s="527">
        <f t="shared" si="402"/>
        <v>6620.0711354054047</v>
      </c>
      <c r="BT284" s="527">
        <f t="shared" si="402"/>
        <v>6857.7655772102271</v>
      </c>
      <c r="BU284" s="527">
        <f t="shared" si="402"/>
        <v>6857.7655772102271</v>
      </c>
      <c r="BV284" s="527">
        <f t="shared" si="402"/>
        <v>6857.7655772102271</v>
      </c>
      <c r="BW284" s="527">
        <f t="shared" si="402"/>
        <v>6857.7655772102271</v>
      </c>
      <c r="BX284" s="527">
        <f t="shared" si="402"/>
        <v>6857.7655772102271</v>
      </c>
      <c r="BY284" s="527">
        <f t="shared" si="402"/>
        <v>6857.7655772102271</v>
      </c>
    </row>
    <row r="285" spans="1:77" x14ac:dyDescent="0.3">
      <c r="A285" s="551"/>
      <c r="B285" s="548"/>
      <c r="C285" s="525"/>
      <c r="D285" s="525"/>
      <c r="E285" s="626" t="str">
        <f>"WSM net comm.: "&amp;E$158</f>
        <v>WSM net comm.: FY30 Tranche</v>
      </c>
      <c r="F285" s="525"/>
      <c r="G285" s="525"/>
      <c r="H285" s="525"/>
      <c r="I285" s="525"/>
      <c r="J285" s="525"/>
      <c r="K285" s="525"/>
      <c r="L285" s="525"/>
      <c r="M285" s="525"/>
      <c r="N285" s="525"/>
      <c r="O285" s="525"/>
      <c r="P285" s="565"/>
      <c r="Q285" s="525"/>
      <c r="R285" s="527">
        <f t="shared" ref="R285:AW285" si="403">($R158*R$590*R493)+((($R158*R$590)+R216)*R485)</f>
        <v>5928.3695973957256</v>
      </c>
      <c r="S285" s="527">
        <f t="shared" si="403"/>
        <v>5928.3695973957256</v>
      </c>
      <c r="T285" s="527">
        <f t="shared" si="403"/>
        <v>5928.3695973957256</v>
      </c>
      <c r="U285" s="527">
        <f t="shared" si="403"/>
        <v>5928.3695973957256</v>
      </c>
      <c r="V285" s="527">
        <f t="shared" si="403"/>
        <v>5928.3695973957256</v>
      </c>
      <c r="W285" s="527">
        <f t="shared" si="403"/>
        <v>5928.3695973957256</v>
      </c>
      <c r="X285" s="527">
        <f t="shared" si="403"/>
        <v>5928.3695973957256</v>
      </c>
      <c r="Y285" s="527">
        <f t="shared" si="403"/>
        <v>5928.3695973957256</v>
      </c>
      <c r="Z285" s="527">
        <f t="shared" si="403"/>
        <v>5928.3695973957256</v>
      </c>
      <c r="AA285" s="527">
        <f t="shared" si="403"/>
        <v>5928.3695973957256</v>
      </c>
      <c r="AB285" s="527">
        <f t="shared" si="403"/>
        <v>5928.3695973957256</v>
      </c>
      <c r="AC285" s="527">
        <f t="shared" si="403"/>
        <v>5928.3695973957256</v>
      </c>
      <c r="AD285" s="527">
        <f t="shared" si="403"/>
        <v>5928.3695973957256</v>
      </c>
      <c r="AE285" s="527">
        <f t="shared" si="403"/>
        <v>5928.3695973957256</v>
      </c>
      <c r="AF285" s="527">
        <f t="shared" si="403"/>
        <v>5928.3695973957256</v>
      </c>
      <c r="AG285" s="527">
        <f t="shared" si="403"/>
        <v>5928.3695973957256</v>
      </c>
      <c r="AH285" s="527">
        <f t="shared" si="403"/>
        <v>5928.3695973957256</v>
      </c>
      <c r="AI285" s="527">
        <f t="shared" si="403"/>
        <v>5928.3695973957256</v>
      </c>
      <c r="AJ285" s="527">
        <f t="shared" si="403"/>
        <v>5928.3695973957256</v>
      </c>
      <c r="AK285" s="527">
        <f t="shared" si="403"/>
        <v>5928.3695973957256</v>
      </c>
      <c r="AL285" s="527">
        <f t="shared" si="403"/>
        <v>5928.3695973957256</v>
      </c>
      <c r="AM285" s="527">
        <f t="shared" si="403"/>
        <v>5928.3695973957256</v>
      </c>
      <c r="AN285" s="527">
        <f t="shared" si="403"/>
        <v>5928.3695973957256</v>
      </c>
      <c r="AO285" s="527">
        <f t="shared" si="403"/>
        <v>5928.3695973957256</v>
      </c>
      <c r="AP285" s="527">
        <f t="shared" si="403"/>
        <v>5928.3695973957256</v>
      </c>
      <c r="AQ285" s="527">
        <f t="shared" si="403"/>
        <v>5928.3695973957256</v>
      </c>
      <c r="AR285" s="527">
        <f t="shared" si="403"/>
        <v>5928.3695973957256</v>
      </c>
      <c r="AS285" s="527">
        <f t="shared" si="403"/>
        <v>5928.3695973957256</v>
      </c>
      <c r="AT285" s="527">
        <f t="shared" si="403"/>
        <v>5928.3695973957256</v>
      </c>
      <c r="AU285" s="527">
        <f t="shared" si="403"/>
        <v>5928.3695973957256</v>
      </c>
      <c r="AV285" s="527">
        <f t="shared" si="403"/>
        <v>5928.3695973957256</v>
      </c>
      <c r="AW285" s="527">
        <f t="shared" si="403"/>
        <v>5928.3695973957256</v>
      </c>
      <c r="AX285" s="527">
        <f t="shared" ref="AX285:BY285" si="404">($R158*AX$590*AX493)+((($R158*AX$590)+AX216)*AX485)</f>
        <v>5928.3695973957256</v>
      </c>
      <c r="AY285" s="527">
        <f t="shared" si="404"/>
        <v>5928.3695973957256</v>
      </c>
      <c r="AZ285" s="527">
        <f t="shared" si="404"/>
        <v>5928.3695973957256</v>
      </c>
      <c r="BA285" s="527">
        <f t="shared" si="404"/>
        <v>5928.3695973957256</v>
      </c>
      <c r="BB285" s="527">
        <f t="shared" si="404"/>
        <v>5928.3695973957256</v>
      </c>
      <c r="BC285" s="527">
        <f t="shared" si="404"/>
        <v>5928.3695973957256</v>
      </c>
      <c r="BD285" s="527">
        <f t="shared" si="404"/>
        <v>5928.3695973957256</v>
      </c>
      <c r="BE285" s="527">
        <f t="shared" si="404"/>
        <v>5928.3695973957256</v>
      </c>
      <c r="BF285" s="527">
        <f t="shared" si="404"/>
        <v>5928.3695973957256</v>
      </c>
      <c r="BG285" s="527">
        <f t="shared" si="404"/>
        <v>5928.3695973957256</v>
      </c>
      <c r="BH285" s="527">
        <f t="shared" si="404"/>
        <v>6794.9967144826896</v>
      </c>
      <c r="BI285" s="527">
        <f t="shared" si="404"/>
        <v>6794.9967144826896</v>
      </c>
      <c r="BJ285" s="527">
        <f t="shared" si="404"/>
        <v>6794.9967144826896</v>
      </c>
      <c r="BK285" s="527">
        <f t="shared" si="404"/>
        <v>6794.9967144826896</v>
      </c>
      <c r="BL285" s="527">
        <f t="shared" si="404"/>
        <v>6794.9967144826896</v>
      </c>
      <c r="BM285" s="527">
        <f t="shared" si="404"/>
        <v>6794.9967144826896</v>
      </c>
      <c r="BN285" s="527">
        <f t="shared" si="404"/>
        <v>6581.9086690638078</v>
      </c>
      <c r="BO285" s="527">
        <f t="shared" si="404"/>
        <v>6581.9086690638078</v>
      </c>
      <c r="BP285" s="527">
        <f t="shared" si="404"/>
        <v>6581.9086690638078</v>
      </c>
      <c r="BQ285" s="527">
        <f t="shared" si="404"/>
        <v>6581.9086690638078</v>
      </c>
      <c r="BR285" s="527">
        <f t="shared" si="404"/>
        <v>6581.9086690638078</v>
      </c>
      <c r="BS285" s="527">
        <f t="shared" si="404"/>
        <v>6581.9086690638078</v>
      </c>
      <c r="BT285" s="527">
        <f t="shared" si="404"/>
        <v>6818.0766122149662</v>
      </c>
      <c r="BU285" s="527">
        <f t="shared" si="404"/>
        <v>6818.0766122149662</v>
      </c>
      <c r="BV285" s="527">
        <f t="shared" si="404"/>
        <v>6818.0766122149662</v>
      </c>
      <c r="BW285" s="527">
        <f t="shared" si="404"/>
        <v>6818.0766122149662</v>
      </c>
      <c r="BX285" s="527">
        <f t="shared" si="404"/>
        <v>6818.0766122149662</v>
      </c>
      <c r="BY285" s="527">
        <f t="shared" si="404"/>
        <v>6818.0766122149662</v>
      </c>
    </row>
    <row r="286" spans="1:77" x14ac:dyDescent="0.3">
      <c r="A286" s="551"/>
      <c r="B286" s="548"/>
      <c r="C286" s="525"/>
      <c r="D286" s="525"/>
      <c r="E286" s="626" t="str">
        <f>"WSM net comm.: "&amp;E$159</f>
        <v>WSM net comm.: FY31 Tranche</v>
      </c>
      <c r="F286" s="525"/>
      <c r="G286" s="525"/>
      <c r="H286" s="525"/>
      <c r="I286" s="525"/>
      <c r="J286" s="525"/>
      <c r="K286" s="525"/>
      <c r="L286" s="525"/>
      <c r="M286" s="525"/>
      <c r="N286" s="525"/>
      <c r="O286" s="525"/>
      <c r="P286" s="565"/>
      <c r="Q286" s="525"/>
      <c r="R286" s="527">
        <f t="shared" ref="R286:AW286" si="405">($R159*R$590*R494)+((($R159*R$590)+R217)*R486)</f>
        <v>5928.3695973957256</v>
      </c>
      <c r="S286" s="527">
        <f t="shared" si="405"/>
        <v>5928.3695973957256</v>
      </c>
      <c r="T286" s="527">
        <f t="shared" si="405"/>
        <v>5928.3695973957256</v>
      </c>
      <c r="U286" s="527">
        <f t="shared" si="405"/>
        <v>5928.3695973957256</v>
      </c>
      <c r="V286" s="527">
        <f t="shared" si="405"/>
        <v>5928.3695973957256</v>
      </c>
      <c r="W286" s="527">
        <f t="shared" si="405"/>
        <v>5928.3695973957256</v>
      </c>
      <c r="X286" s="527">
        <f t="shared" si="405"/>
        <v>5928.3695973957256</v>
      </c>
      <c r="Y286" s="527">
        <f t="shared" si="405"/>
        <v>5928.3695973957256</v>
      </c>
      <c r="Z286" s="527">
        <f t="shared" si="405"/>
        <v>5928.3695973957256</v>
      </c>
      <c r="AA286" s="527">
        <f t="shared" si="405"/>
        <v>5928.3695973957256</v>
      </c>
      <c r="AB286" s="527">
        <f t="shared" si="405"/>
        <v>5928.3695973957256</v>
      </c>
      <c r="AC286" s="527">
        <f t="shared" si="405"/>
        <v>5928.3695973957256</v>
      </c>
      <c r="AD286" s="527">
        <f t="shared" si="405"/>
        <v>5928.3695973957256</v>
      </c>
      <c r="AE286" s="527">
        <f t="shared" si="405"/>
        <v>5928.3695973957256</v>
      </c>
      <c r="AF286" s="527">
        <f t="shared" si="405"/>
        <v>5928.3695973957256</v>
      </c>
      <c r="AG286" s="527">
        <f t="shared" si="405"/>
        <v>5928.3695973957256</v>
      </c>
      <c r="AH286" s="527">
        <f t="shared" si="405"/>
        <v>5928.3695973957256</v>
      </c>
      <c r="AI286" s="527">
        <f t="shared" si="405"/>
        <v>5928.3695973957256</v>
      </c>
      <c r="AJ286" s="527">
        <f t="shared" si="405"/>
        <v>5928.3695973957256</v>
      </c>
      <c r="AK286" s="527">
        <f t="shared" si="405"/>
        <v>5928.3695973957256</v>
      </c>
      <c r="AL286" s="527">
        <f t="shared" si="405"/>
        <v>5928.3695973957256</v>
      </c>
      <c r="AM286" s="527">
        <f t="shared" si="405"/>
        <v>5928.3695973957256</v>
      </c>
      <c r="AN286" s="527">
        <f t="shared" si="405"/>
        <v>5928.3695973957256</v>
      </c>
      <c r="AO286" s="527">
        <f t="shared" si="405"/>
        <v>5928.3695973957256</v>
      </c>
      <c r="AP286" s="527">
        <f t="shared" si="405"/>
        <v>5928.3695973957256</v>
      </c>
      <c r="AQ286" s="527">
        <f t="shared" si="405"/>
        <v>5928.3695973957256</v>
      </c>
      <c r="AR286" s="527">
        <f t="shared" si="405"/>
        <v>5928.3695973957256</v>
      </c>
      <c r="AS286" s="527">
        <f t="shared" si="405"/>
        <v>5928.3695973957256</v>
      </c>
      <c r="AT286" s="527">
        <f t="shared" si="405"/>
        <v>5928.3695973957256</v>
      </c>
      <c r="AU286" s="527">
        <f t="shared" si="405"/>
        <v>5928.3695973957256</v>
      </c>
      <c r="AV286" s="527">
        <f t="shared" si="405"/>
        <v>5928.3695973957256</v>
      </c>
      <c r="AW286" s="527">
        <f t="shared" si="405"/>
        <v>5928.3695973957256</v>
      </c>
      <c r="AX286" s="527">
        <f t="shared" ref="AX286:BY286" si="406">($R159*AX$590*AX494)+((($R159*AX$590)+AX217)*AX486)</f>
        <v>5928.3695973957256</v>
      </c>
      <c r="AY286" s="527">
        <f t="shared" si="406"/>
        <v>5928.3695973957256</v>
      </c>
      <c r="AZ286" s="527">
        <f t="shared" si="406"/>
        <v>5928.3695973957256</v>
      </c>
      <c r="BA286" s="527">
        <f t="shared" si="406"/>
        <v>5928.3695973957256</v>
      </c>
      <c r="BB286" s="527">
        <f t="shared" si="406"/>
        <v>5928.3695973957256</v>
      </c>
      <c r="BC286" s="527">
        <f t="shared" si="406"/>
        <v>5928.3695973957256</v>
      </c>
      <c r="BD286" s="527">
        <f t="shared" si="406"/>
        <v>5928.3695973957256</v>
      </c>
      <c r="BE286" s="527">
        <f t="shared" si="406"/>
        <v>5928.3695973957256</v>
      </c>
      <c r="BF286" s="527">
        <f t="shared" si="406"/>
        <v>5928.3695973957256</v>
      </c>
      <c r="BG286" s="527">
        <f t="shared" si="406"/>
        <v>5928.3695973957256</v>
      </c>
      <c r="BH286" s="527">
        <f t="shared" si="406"/>
        <v>5928.3695973957256</v>
      </c>
      <c r="BI286" s="527">
        <f t="shared" si="406"/>
        <v>5928.3695973957256</v>
      </c>
      <c r="BJ286" s="527">
        <f t="shared" si="406"/>
        <v>5928.3695973957256</v>
      </c>
      <c r="BK286" s="527">
        <f t="shared" si="406"/>
        <v>5928.3695973957256</v>
      </c>
      <c r="BL286" s="527">
        <f t="shared" si="406"/>
        <v>5928.3695973957256</v>
      </c>
      <c r="BM286" s="527">
        <f t="shared" si="406"/>
        <v>5928.3695973957256</v>
      </c>
      <c r="BN286" s="527">
        <f t="shared" si="406"/>
        <v>5928.3695973957256</v>
      </c>
      <c r="BO286" s="527">
        <f t="shared" si="406"/>
        <v>5928.3695973957256</v>
      </c>
      <c r="BP286" s="527">
        <f t="shared" si="406"/>
        <v>5928.3695973957256</v>
      </c>
      <c r="BQ286" s="527">
        <f t="shared" si="406"/>
        <v>5928.3695973957256</v>
      </c>
      <c r="BR286" s="527">
        <f t="shared" si="406"/>
        <v>5928.3695973957256</v>
      </c>
      <c r="BS286" s="527">
        <f t="shared" si="406"/>
        <v>5928.3695973957256</v>
      </c>
      <c r="BT286" s="527">
        <f t="shared" si="406"/>
        <v>6773.5636978694765</v>
      </c>
      <c r="BU286" s="527">
        <f t="shared" si="406"/>
        <v>6773.5636978694765</v>
      </c>
      <c r="BV286" s="527">
        <f t="shared" si="406"/>
        <v>6773.5636978694765</v>
      </c>
      <c r="BW286" s="527">
        <f t="shared" si="406"/>
        <v>6773.5636978694765</v>
      </c>
      <c r="BX286" s="527">
        <f t="shared" si="406"/>
        <v>6773.5636978694765</v>
      </c>
      <c r="BY286" s="527">
        <f t="shared" si="406"/>
        <v>6773.5636978694765</v>
      </c>
    </row>
    <row r="287" spans="1:77" x14ac:dyDescent="0.3">
      <c r="A287" s="551"/>
      <c r="B287" s="548"/>
      <c r="C287" s="525"/>
      <c r="D287" s="525"/>
      <c r="E287" s="626" t="str">
        <f>"WSM net comm.: "&amp;E$160</f>
        <v>WSM net comm.: Uninvested Tranche</v>
      </c>
      <c r="F287" s="525"/>
      <c r="G287" s="525"/>
      <c r="H287" s="525"/>
      <c r="I287" s="525"/>
      <c r="J287" s="525"/>
      <c r="K287" s="525"/>
      <c r="L287" s="525"/>
      <c r="M287" s="525"/>
      <c r="N287" s="525"/>
      <c r="O287" s="525"/>
      <c r="P287" s="565"/>
      <c r="Q287" s="525"/>
      <c r="R287" s="527">
        <f t="shared" ref="R287:AW287" si="407">($R160*R$590*R495)+((($R160*R$590)+R218)*R487)</f>
        <v>13251.649688296327</v>
      </c>
      <c r="S287" s="527">
        <f t="shared" si="407"/>
        <v>13251.649688296327</v>
      </c>
      <c r="T287" s="527">
        <f t="shared" si="407"/>
        <v>13251.649688296327</v>
      </c>
      <c r="U287" s="527">
        <f t="shared" si="407"/>
        <v>13251.649688296327</v>
      </c>
      <c r="V287" s="527">
        <f t="shared" si="407"/>
        <v>13251.649688296327</v>
      </c>
      <c r="W287" s="527">
        <f t="shared" si="407"/>
        <v>13251.649688296327</v>
      </c>
      <c r="X287" s="527">
        <f t="shared" si="407"/>
        <v>13251.649688296327</v>
      </c>
      <c r="Y287" s="527">
        <f t="shared" si="407"/>
        <v>13251.649688296327</v>
      </c>
      <c r="Z287" s="527">
        <f t="shared" si="407"/>
        <v>13251.649688296327</v>
      </c>
      <c r="AA287" s="527">
        <f t="shared" si="407"/>
        <v>13251.649688296327</v>
      </c>
      <c r="AB287" s="527">
        <f t="shared" si="407"/>
        <v>13251.649688296327</v>
      </c>
      <c r="AC287" s="527">
        <f t="shared" si="407"/>
        <v>13251.649688296327</v>
      </c>
      <c r="AD287" s="527">
        <f t="shared" si="407"/>
        <v>13251.649688296327</v>
      </c>
      <c r="AE287" s="527">
        <f t="shared" si="407"/>
        <v>13251.649688296327</v>
      </c>
      <c r="AF287" s="527">
        <f t="shared" si="407"/>
        <v>13251.649688296327</v>
      </c>
      <c r="AG287" s="527">
        <f t="shared" si="407"/>
        <v>13251.649688296327</v>
      </c>
      <c r="AH287" s="527">
        <f t="shared" si="407"/>
        <v>13251.649688296327</v>
      </c>
      <c r="AI287" s="527">
        <f t="shared" si="407"/>
        <v>13251.649688296327</v>
      </c>
      <c r="AJ287" s="527">
        <f t="shared" si="407"/>
        <v>13251.649688296327</v>
      </c>
      <c r="AK287" s="527">
        <f t="shared" si="407"/>
        <v>13251.649688296327</v>
      </c>
      <c r="AL287" s="527">
        <f t="shared" si="407"/>
        <v>13251.649688296327</v>
      </c>
      <c r="AM287" s="527">
        <f t="shared" si="407"/>
        <v>13251.649688296327</v>
      </c>
      <c r="AN287" s="527">
        <f t="shared" si="407"/>
        <v>13251.649688296327</v>
      </c>
      <c r="AO287" s="527">
        <f t="shared" si="407"/>
        <v>13251.649688296327</v>
      </c>
      <c r="AP287" s="527">
        <f t="shared" si="407"/>
        <v>13251.649688296327</v>
      </c>
      <c r="AQ287" s="527">
        <f t="shared" si="407"/>
        <v>13251.649688296327</v>
      </c>
      <c r="AR287" s="527">
        <f t="shared" si="407"/>
        <v>13251.649688296327</v>
      </c>
      <c r="AS287" s="527">
        <f t="shared" si="407"/>
        <v>13251.649688296327</v>
      </c>
      <c r="AT287" s="527">
        <f t="shared" si="407"/>
        <v>13251.649688296327</v>
      </c>
      <c r="AU287" s="527">
        <f t="shared" si="407"/>
        <v>13251.649688296327</v>
      </c>
      <c r="AV287" s="527">
        <f t="shared" si="407"/>
        <v>13251.649688296327</v>
      </c>
      <c r="AW287" s="527">
        <f t="shared" si="407"/>
        <v>13251.649688296327</v>
      </c>
      <c r="AX287" s="527">
        <f t="shared" ref="AX287:BY287" si="408">($R160*AX$590*AX495)+((($R160*AX$590)+AX218)*AX487)</f>
        <v>13251.649688296327</v>
      </c>
      <c r="AY287" s="527">
        <f t="shared" si="408"/>
        <v>13251.649688296327</v>
      </c>
      <c r="AZ287" s="527">
        <f t="shared" si="408"/>
        <v>13251.649688296327</v>
      </c>
      <c r="BA287" s="527">
        <f t="shared" si="408"/>
        <v>13251.649688296327</v>
      </c>
      <c r="BB287" s="527">
        <f t="shared" si="408"/>
        <v>13251.649688296327</v>
      </c>
      <c r="BC287" s="527">
        <f t="shared" si="408"/>
        <v>13251.649688296327</v>
      </c>
      <c r="BD287" s="527">
        <f t="shared" si="408"/>
        <v>13251.649688296327</v>
      </c>
      <c r="BE287" s="527">
        <f t="shared" si="408"/>
        <v>13251.649688296327</v>
      </c>
      <c r="BF287" s="527">
        <f t="shared" si="408"/>
        <v>13251.649688296327</v>
      </c>
      <c r="BG287" s="527">
        <f t="shared" si="408"/>
        <v>13251.649688296327</v>
      </c>
      <c r="BH287" s="527">
        <f t="shared" si="408"/>
        <v>13251.649688296327</v>
      </c>
      <c r="BI287" s="527">
        <f t="shared" si="408"/>
        <v>13251.649688296327</v>
      </c>
      <c r="BJ287" s="527">
        <f t="shared" si="408"/>
        <v>13251.649688296327</v>
      </c>
      <c r="BK287" s="527">
        <f t="shared" si="408"/>
        <v>13251.649688296327</v>
      </c>
      <c r="BL287" s="527">
        <f t="shared" si="408"/>
        <v>13251.649688296327</v>
      </c>
      <c r="BM287" s="527">
        <f t="shared" si="408"/>
        <v>13251.649688296327</v>
      </c>
      <c r="BN287" s="527">
        <f t="shared" si="408"/>
        <v>13251.649688296327</v>
      </c>
      <c r="BO287" s="527">
        <f t="shared" si="408"/>
        <v>13251.649688296327</v>
      </c>
      <c r="BP287" s="527">
        <f t="shared" si="408"/>
        <v>13251.649688296327</v>
      </c>
      <c r="BQ287" s="527">
        <f t="shared" si="408"/>
        <v>13251.649688296327</v>
      </c>
      <c r="BR287" s="527">
        <f t="shared" si="408"/>
        <v>13251.649688296327</v>
      </c>
      <c r="BS287" s="527">
        <f t="shared" si="408"/>
        <v>13251.649688296327</v>
      </c>
      <c r="BT287" s="527">
        <f t="shared" si="408"/>
        <v>13251.649688296327</v>
      </c>
      <c r="BU287" s="527">
        <f t="shared" si="408"/>
        <v>13251.649688296327</v>
      </c>
      <c r="BV287" s="527">
        <f t="shared" si="408"/>
        <v>13251.649688296327</v>
      </c>
      <c r="BW287" s="527">
        <f t="shared" si="408"/>
        <v>13251.649688296327</v>
      </c>
      <c r="BX287" s="527">
        <f t="shared" si="408"/>
        <v>13251.649688296327</v>
      </c>
      <c r="BY287" s="527">
        <f t="shared" si="408"/>
        <v>13251.649688296327</v>
      </c>
    </row>
    <row r="288" spans="1:77" x14ac:dyDescent="0.3">
      <c r="A288" s="551"/>
      <c r="B288" s="548"/>
      <c r="C288" s="525"/>
      <c r="D288" s="525"/>
      <c r="E288" s="572" t="s">
        <v>36</v>
      </c>
      <c r="F288" s="572"/>
      <c r="G288" s="572"/>
      <c r="H288" s="572"/>
      <c r="I288" s="572"/>
      <c r="J288" s="572"/>
      <c r="K288" s="572"/>
      <c r="L288" s="572"/>
      <c r="M288" s="572"/>
      <c r="N288" s="572"/>
      <c r="O288" s="572"/>
      <c r="P288" s="612"/>
      <c r="Q288" s="572"/>
      <c r="R288" s="530">
        <f t="shared" ref="R288:AW288" si="409">SUM(R282:R287)</f>
        <v>42893.497675274957</v>
      </c>
      <c r="S288" s="530">
        <f t="shared" si="409"/>
        <v>42893.497675274957</v>
      </c>
      <c r="T288" s="530">
        <f t="shared" si="409"/>
        <v>42893.497675274957</v>
      </c>
      <c r="U288" s="530">
        <f t="shared" si="409"/>
        <v>42893.497675274957</v>
      </c>
      <c r="V288" s="530">
        <f t="shared" si="409"/>
        <v>42893.497675274957</v>
      </c>
      <c r="W288" s="530">
        <f t="shared" si="409"/>
        <v>42893.497675274957</v>
      </c>
      <c r="X288" s="530">
        <f t="shared" si="409"/>
        <v>43827.92274116521</v>
      </c>
      <c r="Y288" s="530">
        <f t="shared" si="409"/>
        <v>43827.92274116521</v>
      </c>
      <c r="Z288" s="530">
        <f t="shared" si="409"/>
        <v>43827.92274116521</v>
      </c>
      <c r="AA288" s="530">
        <f t="shared" si="409"/>
        <v>43827.92274116521</v>
      </c>
      <c r="AB288" s="530">
        <f t="shared" si="409"/>
        <v>43827.92274116521</v>
      </c>
      <c r="AC288" s="530">
        <f t="shared" si="409"/>
        <v>43827.92274116521</v>
      </c>
      <c r="AD288" s="530">
        <f t="shared" si="409"/>
        <v>43573.654318180044</v>
      </c>
      <c r="AE288" s="530">
        <f t="shared" si="409"/>
        <v>43573.654318180044</v>
      </c>
      <c r="AF288" s="530">
        <f t="shared" si="409"/>
        <v>43573.654318180044</v>
      </c>
      <c r="AG288" s="530">
        <f t="shared" si="409"/>
        <v>43573.654318180044</v>
      </c>
      <c r="AH288" s="530">
        <f t="shared" si="409"/>
        <v>43573.654318180044</v>
      </c>
      <c r="AI288" s="530">
        <f t="shared" si="409"/>
        <v>43573.654318180044</v>
      </c>
      <c r="AJ288" s="530">
        <f t="shared" si="409"/>
        <v>44727.7581239594</v>
      </c>
      <c r="AK288" s="530">
        <f t="shared" si="409"/>
        <v>44727.7581239594</v>
      </c>
      <c r="AL288" s="530">
        <f t="shared" si="409"/>
        <v>44727.7581239594</v>
      </c>
      <c r="AM288" s="530">
        <f t="shared" si="409"/>
        <v>44727.7581239594</v>
      </c>
      <c r="AN288" s="530">
        <f t="shared" si="409"/>
        <v>44727.7581239594</v>
      </c>
      <c r="AO288" s="530">
        <f t="shared" si="409"/>
        <v>44727.7581239594</v>
      </c>
      <c r="AP288" s="530">
        <f t="shared" si="409"/>
        <v>44247.764286144222</v>
      </c>
      <c r="AQ288" s="530">
        <f t="shared" si="409"/>
        <v>44247.764286144222</v>
      </c>
      <c r="AR288" s="530">
        <f t="shared" si="409"/>
        <v>44247.764286144222</v>
      </c>
      <c r="AS288" s="530">
        <f t="shared" si="409"/>
        <v>44247.764286144222</v>
      </c>
      <c r="AT288" s="530">
        <f t="shared" si="409"/>
        <v>44247.764286144222</v>
      </c>
      <c r="AU288" s="530">
        <f t="shared" si="409"/>
        <v>44247.764286144222</v>
      </c>
      <c r="AV288" s="530">
        <f t="shared" si="409"/>
        <v>45618.517565517097</v>
      </c>
      <c r="AW288" s="530">
        <f t="shared" si="409"/>
        <v>45618.517565517097</v>
      </c>
      <c r="AX288" s="530">
        <f t="shared" ref="AX288:BY288" si="410">SUM(AX282:AX287)</f>
        <v>45618.517565517097</v>
      </c>
      <c r="AY288" s="530">
        <f t="shared" si="410"/>
        <v>45618.517565517097</v>
      </c>
      <c r="AZ288" s="530">
        <f t="shared" si="410"/>
        <v>45618.517565517097</v>
      </c>
      <c r="BA288" s="530">
        <f t="shared" si="410"/>
        <v>45618.517565517097</v>
      </c>
      <c r="BB288" s="530">
        <f t="shared" si="410"/>
        <v>44954.897159742613</v>
      </c>
      <c r="BC288" s="530">
        <f t="shared" si="410"/>
        <v>44954.897159742613</v>
      </c>
      <c r="BD288" s="530">
        <f t="shared" si="410"/>
        <v>44954.897159742613</v>
      </c>
      <c r="BE288" s="530">
        <f t="shared" si="410"/>
        <v>44954.897159742613</v>
      </c>
      <c r="BF288" s="530">
        <f t="shared" si="410"/>
        <v>44954.897159742613</v>
      </c>
      <c r="BG288" s="530">
        <f t="shared" si="410"/>
        <v>44954.897159742613</v>
      </c>
      <c r="BH288" s="530">
        <f t="shared" si="410"/>
        <v>46540.633344550122</v>
      </c>
      <c r="BI288" s="530">
        <f t="shared" si="410"/>
        <v>46540.633344550122</v>
      </c>
      <c r="BJ288" s="530">
        <f t="shared" si="410"/>
        <v>46540.633344550122</v>
      </c>
      <c r="BK288" s="530">
        <f t="shared" si="410"/>
        <v>46540.633344550122</v>
      </c>
      <c r="BL288" s="530">
        <f t="shared" si="410"/>
        <v>46540.633344550122</v>
      </c>
      <c r="BM288" s="530">
        <f t="shared" si="410"/>
        <v>46540.633344550122</v>
      </c>
      <c r="BN288" s="530">
        <f t="shared" si="410"/>
        <v>45680.441850929936</v>
      </c>
      <c r="BO288" s="530">
        <f t="shared" si="410"/>
        <v>45680.441850929936</v>
      </c>
      <c r="BP288" s="530">
        <f t="shared" si="410"/>
        <v>45680.441850929936</v>
      </c>
      <c r="BQ288" s="530">
        <f t="shared" si="410"/>
        <v>45680.441850929936</v>
      </c>
      <c r="BR288" s="530">
        <f t="shared" si="410"/>
        <v>45680.441850929936</v>
      </c>
      <c r="BS288" s="530">
        <f t="shared" si="410"/>
        <v>45680.441850929936</v>
      </c>
      <c r="BT288" s="530">
        <f t="shared" si="410"/>
        <v>47477.219239567625</v>
      </c>
      <c r="BU288" s="530">
        <f t="shared" si="410"/>
        <v>47477.219239567625</v>
      </c>
      <c r="BV288" s="530">
        <f t="shared" si="410"/>
        <v>47477.219239567625</v>
      </c>
      <c r="BW288" s="530">
        <f t="shared" si="410"/>
        <v>47477.219239567625</v>
      </c>
      <c r="BX288" s="530">
        <f t="shared" si="410"/>
        <v>47477.219239567625</v>
      </c>
      <c r="BY288" s="530">
        <f t="shared" si="410"/>
        <v>47477.219239567625</v>
      </c>
    </row>
    <row r="289" spans="1:77" x14ac:dyDescent="0.3">
      <c r="A289" s="551"/>
      <c r="B289" s="548"/>
      <c r="C289" s="525"/>
      <c r="D289" s="525"/>
      <c r="E289" s="525"/>
      <c r="F289" s="525"/>
      <c r="G289" s="525"/>
      <c r="H289" s="525"/>
      <c r="I289" s="525"/>
      <c r="J289" s="525"/>
      <c r="K289" s="525"/>
      <c r="L289" s="525"/>
      <c r="M289" s="525"/>
      <c r="N289" s="525"/>
      <c r="O289" s="525"/>
      <c r="P289" s="565"/>
      <c r="Q289" s="525"/>
      <c r="R289" s="525"/>
      <c r="S289" s="525"/>
      <c r="T289" s="525"/>
      <c r="U289" s="525"/>
      <c r="V289" s="525"/>
      <c r="W289" s="525"/>
      <c r="X289" s="525"/>
      <c r="Y289" s="525"/>
      <c r="Z289" s="525"/>
      <c r="AA289" s="525"/>
      <c r="AB289" s="525"/>
      <c r="AC289" s="525"/>
      <c r="AD289" s="525"/>
      <c r="AE289" s="525"/>
      <c r="AF289" s="525"/>
      <c r="AG289" s="525"/>
      <c r="AH289" s="525"/>
      <c r="AI289" s="525"/>
      <c r="AJ289" s="525"/>
      <c r="AK289" s="525"/>
      <c r="AL289" s="525"/>
      <c r="AM289" s="525"/>
      <c r="AN289" s="525"/>
      <c r="AO289" s="525"/>
      <c r="AP289" s="525"/>
      <c r="AQ289" s="525"/>
      <c r="AR289" s="525"/>
      <c r="AS289" s="525"/>
      <c r="AT289" s="525"/>
      <c r="AU289" s="525"/>
      <c r="AV289" s="525"/>
      <c r="AW289" s="525"/>
      <c r="AX289" s="525"/>
      <c r="AY289" s="525"/>
      <c r="AZ289" s="525"/>
      <c r="BA289" s="525"/>
      <c r="BB289" s="525"/>
      <c r="BC289" s="525"/>
      <c r="BD289" s="525"/>
      <c r="BE289" s="525"/>
      <c r="BF289" s="525"/>
      <c r="BG289" s="525"/>
      <c r="BH289" s="525"/>
      <c r="BI289" s="525"/>
      <c r="BJ289" s="525"/>
      <c r="BK289" s="525"/>
      <c r="BL289" s="525"/>
      <c r="BM289" s="525"/>
      <c r="BN289" s="525"/>
      <c r="BO289" s="525"/>
      <c r="BP289" s="525"/>
      <c r="BQ289" s="525"/>
      <c r="BR289" s="525"/>
      <c r="BS289" s="525"/>
      <c r="BT289" s="525"/>
      <c r="BU289" s="525"/>
      <c r="BV289" s="525"/>
      <c r="BW289" s="525"/>
      <c r="BX289" s="525"/>
      <c r="BY289" s="525"/>
    </row>
    <row r="290" spans="1:77" x14ac:dyDescent="0.3">
      <c r="A290" s="551"/>
      <c r="B290" s="548"/>
      <c r="C290" s="525"/>
      <c r="D290" s="525"/>
      <c r="E290" s="627" t="str">
        <f>"WSM gross sales: "&amp;E$155</f>
        <v>WSM gross sales: FY27 Tranche</v>
      </c>
      <c r="F290" s="525"/>
      <c r="G290" s="525"/>
      <c r="H290" s="525"/>
      <c r="I290" s="525"/>
      <c r="J290" s="525"/>
      <c r="K290" s="525"/>
      <c r="L290" s="525"/>
      <c r="M290" s="525"/>
      <c r="N290" s="525"/>
      <c r="O290" s="525"/>
      <c r="P290" s="565"/>
      <c r="Q290" s="525"/>
      <c r="R290" s="527">
        <f t="shared" ref="R290:AW290" si="411">IFERROR(R282/R$224,0)</f>
        <v>15276.428792149844</v>
      </c>
      <c r="S290" s="527">
        <f t="shared" si="411"/>
        <v>15276.428792149844</v>
      </c>
      <c r="T290" s="527">
        <f t="shared" si="411"/>
        <v>15276.428792149844</v>
      </c>
      <c r="U290" s="527">
        <f t="shared" si="411"/>
        <v>15276.428792149844</v>
      </c>
      <c r="V290" s="527">
        <f t="shared" si="411"/>
        <v>15276.428792149844</v>
      </c>
      <c r="W290" s="527">
        <f t="shared" si="411"/>
        <v>15276.428792149844</v>
      </c>
      <c r="X290" s="527">
        <f t="shared" si="411"/>
        <v>17684.287773638302</v>
      </c>
      <c r="Y290" s="527">
        <f t="shared" si="411"/>
        <v>17684.287773638302</v>
      </c>
      <c r="Z290" s="527">
        <f t="shared" si="411"/>
        <v>17684.287773638302</v>
      </c>
      <c r="AA290" s="527">
        <f t="shared" si="411"/>
        <v>17684.287773638302</v>
      </c>
      <c r="AB290" s="527">
        <f t="shared" si="411"/>
        <v>17684.287773638302</v>
      </c>
      <c r="AC290" s="527">
        <f t="shared" si="411"/>
        <v>17684.287773638302</v>
      </c>
      <c r="AD290" s="527">
        <f t="shared" si="411"/>
        <v>17029.080065345031</v>
      </c>
      <c r="AE290" s="527">
        <f t="shared" si="411"/>
        <v>17029.080065345031</v>
      </c>
      <c r="AF290" s="527">
        <f t="shared" si="411"/>
        <v>17029.080065345031</v>
      </c>
      <c r="AG290" s="527">
        <f t="shared" si="411"/>
        <v>17029.080065345031</v>
      </c>
      <c r="AH290" s="527">
        <f t="shared" si="411"/>
        <v>17029.080065345031</v>
      </c>
      <c r="AI290" s="527">
        <f t="shared" si="411"/>
        <v>17029.080065345031</v>
      </c>
      <c r="AJ290" s="527">
        <f t="shared" si="411"/>
        <v>17656.883324818289</v>
      </c>
      <c r="AK290" s="527">
        <f t="shared" si="411"/>
        <v>17656.883324818289</v>
      </c>
      <c r="AL290" s="527">
        <f t="shared" si="411"/>
        <v>17656.883324818289</v>
      </c>
      <c r="AM290" s="527">
        <f t="shared" si="411"/>
        <v>17656.883324818289</v>
      </c>
      <c r="AN290" s="527">
        <f t="shared" si="411"/>
        <v>17656.883324818289</v>
      </c>
      <c r="AO290" s="527">
        <f t="shared" si="411"/>
        <v>17656.883324818289</v>
      </c>
      <c r="AP290" s="527">
        <f t="shared" si="411"/>
        <v>17037.658180429262</v>
      </c>
      <c r="AQ290" s="527">
        <f t="shared" si="411"/>
        <v>17037.658180429262</v>
      </c>
      <c r="AR290" s="527">
        <f t="shared" si="411"/>
        <v>17037.658180429262</v>
      </c>
      <c r="AS290" s="527">
        <f t="shared" si="411"/>
        <v>17037.658180429262</v>
      </c>
      <c r="AT290" s="527">
        <f t="shared" si="411"/>
        <v>17037.658180429262</v>
      </c>
      <c r="AU290" s="527">
        <f t="shared" si="411"/>
        <v>17037.658180429262</v>
      </c>
      <c r="AV290" s="527">
        <f t="shared" si="411"/>
        <v>17660.41335151931</v>
      </c>
      <c r="AW290" s="527">
        <f t="shared" si="411"/>
        <v>17660.41335151931</v>
      </c>
      <c r="AX290" s="527">
        <f t="shared" ref="AX290:BY290" si="412">IFERROR(AX282/AX$224,0)</f>
        <v>17660.41335151931</v>
      </c>
      <c r="AY290" s="527">
        <f t="shared" si="412"/>
        <v>17660.41335151931</v>
      </c>
      <c r="AZ290" s="527">
        <f t="shared" si="412"/>
        <v>17660.41335151931</v>
      </c>
      <c r="BA290" s="527">
        <f t="shared" si="412"/>
        <v>17660.41335151931</v>
      </c>
      <c r="BB290" s="527">
        <f t="shared" si="412"/>
        <v>17088.503935112098</v>
      </c>
      <c r="BC290" s="527">
        <f t="shared" si="412"/>
        <v>17088.503935112098</v>
      </c>
      <c r="BD290" s="527">
        <f t="shared" si="412"/>
        <v>17088.503935112098</v>
      </c>
      <c r="BE290" s="527">
        <f t="shared" si="412"/>
        <v>17088.503935112098</v>
      </c>
      <c r="BF290" s="527">
        <f t="shared" si="412"/>
        <v>17088.503935112098</v>
      </c>
      <c r="BG290" s="527">
        <f t="shared" si="412"/>
        <v>17088.503935112098</v>
      </c>
      <c r="BH290" s="527">
        <f t="shared" si="412"/>
        <v>17707.836874839915</v>
      </c>
      <c r="BI290" s="527">
        <f t="shared" si="412"/>
        <v>17707.836874839915</v>
      </c>
      <c r="BJ290" s="527">
        <f t="shared" si="412"/>
        <v>17707.836874839915</v>
      </c>
      <c r="BK290" s="527">
        <f t="shared" si="412"/>
        <v>17707.836874839915</v>
      </c>
      <c r="BL290" s="527">
        <f t="shared" si="412"/>
        <v>17707.836874839915</v>
      </c>
      <c r="BM290" s="527">
        <f t="shared" si="412"/>
        <v>17707.836874839915</v>
      </c>
      <c r="BN290" s="527">
        <f t="shared" si="412"/>
        <v>17150.139904763513</v>
      </c>
      <c r="BO290" s="527">
        <f t="shared" si="412"/>
        <v>17150.139904763513</v>
      </c>
      <c r="BP290" s="527">
        <f t="shared" si="412"/>
        <v>17150.139904763513</v>
      </c>
      <c r="BQ290" s="527">
        <f t="shared" si="412"/>
        <v>17150.139904763513</v>
      </c>
      <c r="BR290" s="527">
        <f t="shared" si="412"/>
        <v>17150.139904763513</v>
      </c>
      <c r="BS290" s="527">
        <f t="shared" si="412"/>
        <v>17150.139904763513</v>
      </c>
      <c r="BT290" s="527">
        <f t="shared" si="412"/>
        <v>17766.291624498674</v>
      </c>
      <c r="BU290" s="527">
        <f t="shared" si="412"/>
        <v>17766.291624498674</v>
      </c>
      <c r="BV290" s="527">
        <f t="shared" si="412"/>
        <v>17766.291624498674</v>
      </c>
      <c r="BW290" s="527">
        <f t="shared" si="412"/>
        <v>17766.291624498674</v>
      </c>
      <c r="BX290" s="527">
        <f t="shared" si="412"/>
        <v>17766.291624498674</v>
      </c>
      <c r="BY290" s="527">
        <f t="shared" si="412"/>
        <v>17766.291624498674</v>
      </c>
    </row>
    <row r="291" spans="1:77" x14ac:dyDescent="0.3">
      <c r="A291" s="551"/>
      <c r="B291" s="548"/>
      <c r="C291" s="525"/>
      <c r="D291" s="525"/>
      <c r="E291" s="627" t="str">
        <f>"WSM gross sales: "&amp;E$156</f>
        <v>WSM gross sales: FY28 Tranche</v>
      </c>
      <c r="F291" s="525"/>
      <c r="G291" s="525"/>
      <c r="H291" s="525"/>
      <c r="I291" s="525"/>
      <c r="J291" s="525"/>
      <c r="K291" s="525"/>
      <c r="L291" s="525"/>
      <c r="M291" s="525"/>
      <c r="N291" s="525"/>
      <c r="O291" s="525"/>
      <c r="P291" s="565"/>
      <c r="Q291" s="525"/>
      <c r="R291" s="527">
        <f t="shared" ref="R291:AW291" si="413">IFERROR(R283/R$224,0)</f>
        <v>15276.428792149844</v>
      </c>
      <c r="S291" s="527">
        <f t="shared" si="413"/>
        <v>15276.428792149844</v>
      </c>
      <c r="T291" s="527">
        <f t="shared" si="413"/>
        <v>15276.428792149844</v>
      </c>
      <c r="U291" s="527">
        <f t="shared" si="413"/>
        <v>15276.428792149844</v>
      </c>
      <c r="V291" s="527">
        <f t="shared" si="413"/>
        <v>15276.428792149844</v>
      </c>
      <c r="W291" s="527">
        <f t="shared" si="413"/>
        <v>15276.428792149844</v>
      </c>
      <c r="X291" s="527">
        <f t="shared" si="413"/>
        <v>15276.428792149844</v>
      </c>
      <c r="Y291" s="527">
        <f t="shared" si="413"/>
        <v>15276.428792149844</v>
      </c>
      <c r="Z291" s="527">
        <f t="shared" si="413"/>
        <v>15276.428792149844</v>
      </c>
      <c r="AA291" s="527">
        <f t="shared" si="413"/>
        <v>15276.428792149844</v>
      </c>
      <c r="AB291" s="527">
        <f t="shared" si="413"/>
        <v>15276.428792149844</v>
      </c>
      <c r="AC291" s="527">
        <f t="shared" si="413"/>
        <v>15276.428792149844</v>
      </c>
      <c r="AD291" s="527">
        <f t="shared" si="413"/>
        <v>15276.428792149844</v>
      </c>
      <c r="AE291" s="527">
        <f t="shared" si="413"/>
        <v>15276.428792149844</v>
      </c>
      <c r="AF291" s="527">
        <f t="shared" si="413"/>
        <v>15276.428792149844</v>
      </c>
      <c r="AG291" s="527">
        <f t="shared" si="413"/>
        <v>15276.428792149844</v>
      </c>
      <c r="AH291" s="527">
        <f t="shared" si="413"/>
        <v>15276.428792149844</v>
      </c>
      <c r="AI291" s="527">
        <f t="shared" si="413"/>
        <v>15276.428792149844</v>
      </c>
      <c r="AJ291" s="527">
        <f t="shared" si="413"/>
        <v>17622.560325048908</v>
      </c>
      <c r="AK291" s="527">
        <f t="shared" si="413"/>
        <v>17622.560325048908</v>
      </c>
      <c r="AL291" s="527">
        <f t="shared" si="413"/>
        <v>17622.560325048908</v>
      </c>
      <c r="AM291" s="527">
        <f t="shared" si="413"/>
        <v>17622.560325048908</v>
      </c>
      <c r="AN291" s="527">
        <f t="shared" si="413"/>
        <v>17622.560325048908</v>
      </c>
      <c r="AO291" s="527">
        <f t="shared" si="413"/>
        <v>17622.560325048908</v>
      </c>
      <c r="AP291" s="527">
        <f t="shared" si="413"/>
        <v>17004.920668148316</v>
      </c>
      <c r="AQ291" s="527">
        <f t="shared" si="413"/>
        <v>17004.920668148316</v>
      </c>
      <c r="AR291" s="527">
        <f t="shared" si="413"/>
        <v>17004.920668148316</v>
      </c>
      <c r="AS291" s="527">
        <f t="shared" si="413"/>
        <v>17004.920668148316</v>
      </c>
      <c r="AT291" s="527">
        <f t="shared" si="413"/>
        <v>17004.920668148316</v>
      </c>
      <c r="AU291" s="527">
        <f t="shared" si="413"/>
        <v>17004.920668148316</v>
      </c>
      <c r="AV291" s="527">
        <f t="shared" si="413"/>
        <v>17626.366338747124</v>
      </c>
      <c r="AW291" s="527">
        <f t="shared" si="413"/>
        <v>17626.366338747124</v>
      </c>
      <c r="AX291" s="527">
        <f t="shared" ref="AX291:BY291" si="414">IFERROR(AX283/AX$224,0)</f>
        <v>17626.366338747124</v>
      </c>
      <c r="AY291" s="527">
        <f t="shared" si="414"/>
        <v>17626.366338747124</v>
      </c>
      <c r="AZ291" s="527">
        <f t="shared" si="414"/>
        <v>17626.366338747124</v>
      </c>
      <c r="BA291" s="527">
        <f t="shared" si="414"/>
        <v>17626.366338747124</v>
      </c>
      <c r="BB291" s="527">
        <f t="shared" si="414"/>
        <v>17055.946325538425</v>
      </c>
      <c r="BC291" s="527">
        <f t="shared" si="414"/>
        <v>17055.946325538425</v>
      </c>
      <c r="BD291" s="527">
        <f t="shared" si="414"/>
        <v>17055.946325538425</v>
      </c>
      <c r="BE291" s="527">
        <f t="shared" si="414"/>
        <v>17055.946325538425</v>
      </c>
      <c r="BF291" s="527">
        <f t="shared" si="414"/>
        <v>17055.946325538425</v>
      </c>
      <c r="BG291" s="527">
        <f t="shared" si="414"/>
        <v>17055.946325538425</v>
      </c>
      <c r="BH291" s="527">
        <f t="shared" si="414"/>
        <v>17673.976960883298</v>
      </c>
      <c r="BI291" s="527">
        <f t="shared" si="414"/>
        <v>17673.976960883298</v>
      </c>
      <c r="BJ291" s="527">
        <f t="shared" si="414"/>
        <v>17673.976960883298</v>
      </c>
      <c r="BK291" s="527">
        <f t="shared" si="414"/>
        <v>17673.976960883298</v>
      </c>
      <c r="BL291" s="527">
        <f t="shared" si="414"/>
        <v>17673.976960883298</v>
      </c>
      <c r="BM291" s="527">
        <f t="shared" si="414"/>
        <v>17673.976960883298</v>
      </c>
      <c r="BN291" s="527">
        <f t="shared" si="414"/>
        <v>17117.749528210799</v>
      </c>
      <c r="BO291" s="527">
        <f t="shared" si="414"/>
        <v>17117.749528210799</v>
      </c>
      <c r="BP291" s="527">
        <f t="shared" si="414"/>
        <v>17117.749528210799</v>
      </c>
      <c r="BQ291" s="527">
        <f t="shared" si="414"/>
        <v>17117.749528210799</v>
      </c>
      <c r="BR291" s="527">
        <f t="shared" si="414"/>
        <v>17117.749528210799</v>
      </c>
      <c r="BS291" s="527">
        <f t="shared" si="414"/>
        <v>17117.749528210799</v>
      </c>
      <c r="BT291" s="527">
        <f t="shared" si="414"/>
        <v>17732.605632883849</v>
      </c>
      <c r="BU291" s="527">
        <f t="shared" si="414"/>
        <v>17732.605632883849</v>
      </c>
      <c r="BV291" s="527">
        <f t="shared" si="414"/>
        <v>17732.605632883849</v>
      </c>
      <c r="BW291" s="527">
        <f t="shared" si="414"/>
        <v>17732.605632883849</v>
      </c>
      <c r="BX291" s="527">
        <f t="shared" si="414"/>
        <v>17732.605632883849</v>
      </c>
      <c r="BY291" s="527">
        <f t="shared" si="414"/>
        <v>17732.605632883849</v>
      </c>
    </row>
    <row r="292" spans="1:77" x14ac:dyDescent="0.3">
      <c r="A292" s="551"/>
      <c r="B292" s="548"/>
      <c r="C292" s="525"/>
      <c r="D292" s="525"/>
      <c r="E292" s="627" t="str">
        <f>"WSM gross sales: "&amp;E$157</f>
        <v>WSM gross sales: FY29 Tranche</v>
      </c>
      <c r="F292" s="525"/>
      <c r="G292" s="525"/>
      <c r="H292" s="525"/>
      <c r="I292" s="525"/>
      <c r="J292" s="525"/>
      <c r="K292" s="525"/>
      <c r="L292" s="525"/>
      <c r="M292" s="525"/>
      <c r="N292" s="525"/>
      <c r="O292" s="525"/>
      <c r="P292" s="565"/>
      <c r="Q292" s="525"/>
      <c r="R292" s="527">
        <f t="shared" ref="R292:AW292" si="415">IFERROR(R284/R$224,0)</f>
        <v>15276.428792149844</v>
      </c>
      <c r="S292" s="527">
        <f t="shared" si="415"/>
        <v>15276.428792149844</v>
      </c>
      <c r="T292" s="527">
        <f t="shared" si="415"/>
        <v>15276.428792149844</v>
      </c>
      <c r="U292" s="527">
        <f t="shared" si="415"/>
        <v>15276.428792149844</v>
      </c>
      <c r="V292" s="527">
        <f t="shared" si="415"/>
        <v>15276.428792149844</v>
      </c>
      <c r="W292" s="527">
        <f t="shared" si="415"/>
        <v>15276.428792149844</v>
      </c>
      <c r="X292" s="527">
        <f t="shared" si="415"/>
        <v>15276.428792149844</v>
      </c>
      <c r="Y292" s="527">
        <f t="shared" si="415"/>
        <v>15276.428792149844</v>
      </c>
      <c r="Z292" s="527">
        <f t="shared" si="415"/>
        <v>15276.428792149844</v>
      </c>
      <c r="AA292" s="527">
        <f t="shared" si="415"/>
        <v>15276.428792149844</v>
      </c>
      <c r="AB292" s="527">
        <f t="shared" si="415"/>
        <v>15276.428792149844</v>
      </c>
      <c r="AC292" s="527">
        <f t="shared" si="415"/>
        <v>15276.428792149844</v>
      </c>
      <c r="AD292" s="527">
        <f t="shared" si="415"/>
        <v>15276.428792149844</v>
      </c>
      <c r="AE292" s="527">
        <f t="shared" si="415"/>
        <v>15276.428792149844</v>
      </c>
      <c r="AF292" s="527">
        <f t="shared" si="415"/>
        <v>15276.428792149844</v>
      </c>
      <c r="AG292" s="527">
        <f t="shared" si="415"/>
        <v>15276.428792149844</v>
      </c>
      <c r="AH292" s="527">
        <f t="shared" si="415"/>
        <v>15276.428792149844</v>
      </c>
      <c r="AI292" s="527">
        <f t="shared" si="415"/>
        <v>15276.428792149844</v>
      </c>
      <c r="AJ292" s="527">
        <f t="shared" si="415"/>
        <v>15276.428792149844</v>
      </c>
      <c r="AK292" s="527">
        <f t="shared" si="415"/>
        <v>15276.428792149844</v>
      </c>
      <c r="AL292" s="527">
        <f t="shared" si="415"/>
        <v>15276.428792149844</v>
      </c>
      <c r="AM292" s="527">
        <f t="shared" si="415"/>
        <v>15276.428792149844</v>
      </c>
      <c r="AN292" s="527">
        <f t="shared" si="415"/>
        <v>15276.428792149844</v>
      </c>
      <c r="AO292" s="527">
        <f t="shared" si="415"/>
        <v>15276.428792149844</v>
      </c>
      <c r="AP292" s="527">
        <f t="shared" si="415"/>
        <v>15276.428792149844</v>
      </c>
      <c r="AQ292" s="527">
        <f t="shared" si="415"/>
        <v>15276.428792149844</v>
      </c>
      <c r="AR292" s="527">
        <f t="shared" si="415"/>
        <v>15276.428792149844</v>
      </c>
      <c r="AS292" s="527">
        <f t="shared" si="415"/>
        <v>15276.428792149844</v>
      </c>
      <c r="AT292" s="527">
        <f t="shared" si="415"/>
        <v>15276.428792149844</v>
      </c>
      <c r="AU292" s="527">
        <f t="shared" si="415"/>
        <v>15276.428792149844</v>
      </c>
      <c r="AV292" s="527">
        <f t="shared" si="415"/>
        <v>17564.432635058336</v>
      </c>
      <c r="AW292" s="527">
        <f t="shared" si="415"/>
        <v>17564.432635058336</v>
      </c>
      <c r="AX292" s="527">
        <f t="shared" ref="AX292:BY292" si="416">IFERROR(AX284/AX$224,0)</f>
        <v>17564.432635058336</v>
      </c>
      <c r="AY292" s="527">
        <f t="shared" si="416"/>
        <v>17564.432635058336</v>
      </c>
      <c r="AZ292" s="527">
        <f t="shared" si="416"/>
        <v>17564.432635058336</v>
      </c>
      <c r="BA292" s="527">
        <f t="shared" si="416"/>
        <v>17564.432635058336</v>
      </c>
      <c r="BB292" s="527">
        <f t="shared" si="416"/>
        <v>16996.721941959073</v>
      </c>
      <c r="BC292" s="527">
        <f t="shared" si="416"/>
        <v>16996.721941959073</v>
      </c>
      <c r="BD292" s="527">
        <f t="shared" si="416"/>
        <v>16996.721941959073</v>
      </c>
      <c r="BE292" s="527">
        <f t="shared" si="416"/>
        <v>16996.721941959073</v>
      </c>
      <c r="BF292" s="527">
        <f t="shared" si="416"/>
        <v>16996.721941959073</v>
      </c>
      <c r="BG292" s="527">
        <f t="shared" si="416"/>
        <v>16996.721941959073</v>
      </c>
      <c r="BH292" s="527">
        <f t="shared" si="416"/>
        <v>17612.383601960773</v>
      </c>
      <c r="BI292" s="527">
        <f t="shared" si="416"/>
        <v>17612.383601960773</v>
      </c>
      <c r="BJ292" s="527">
        <f t="shared" si="416"/>
        <v>17612.383601960773</v>
      </c>
      <c r="BK292" s="527">
        <f t="shared" si="416"/>
        <v>17612.383601960773</v>
      </c>
      <c r="BL292" s="527">
        <f t="shared" si="416"/>
        <v>17612.383601960773</v>
      </c>
      <c r="BM292" s="527">
        <f t="shared" si="416"/>
        <v>17612.383601960773</v>
      </c>
      <c r="BN292" s="527">
        <f t="shared" si="416"/>
        <v>17058.829352240977</v>
      </c>
      <c r="BO292" s="527">
        <f t="shared" si="416"/>
        <v>17058.829352240977</v>
      </c>
      <c r="BP292" s="527">
        <f t="shared" si="416"/>
        <v>17058.829352240977</v>
      </c>
      <c r="BQ292" s="527">
        <f t="shared" si="416"/>
        <v>17058.829352240977</v>
      </c>
      <c r="BR292" s="527">
        <f t="shared" si="416"/>
        <v>17058.829352240977</v>
      </c>
      <c r="BS292" s="527">
        <f t="shared" si="416"/>
        <v>17058.829352240977</v>
      </c>
      <c r="BT292" s="527">
        <f t="shared" si="416"/>
        <v>17671.328649875235</v>
      </c>
      <c r="BU292" s="527">
        <f t="shared" si="416"/>
        <v>17671.328649875235</v>
      </c>
      <c r="BV292" s="527">
        <f t="shared" si="416"/>
        <v>17671.328649875235</v>
      </c>
      <c r="BW292" s="527">
        <f t="shared" si="416"/>
        <v>17671.328649875235</v>
      </c>
      <c r="BX292" s="527">
        <f t="shared" si="416"/>
        <v>17671.328649875235</v>
      </c>
      <c r="BY292" s="527">
        <f t="shared" si="416"/>
        <v>17671.328649875235</v>
      </c>
    </row>
    <row r="293" spans="1:77" x14ac:dyDescent="0.3">
      <c r="A293" s="551"/>
      <c r="B293" s="548"/>
      <c r="C293" s="525"/>
      <c r="D293" s="525"/>
      <c r="E293" s="627" t="str">
        <f>"WSM gross sales: "&amp;E$158</f>
        <v>WSM gross sales: FY30 Tranche</v>
      </c>
      <c r="F293" s="525"/>
      <c r="G293" s="525"/>
      <c r="H293" s="525"/>
      <c r="I293" s="525"/>
      <c r="J293" s="525"/>
      <c r="K293" s="525"/>
      <c r="L293" s="525"/>
      <c r="M293" s="525"/>
      <c r="N293" s="525"/>
      <c r="O293" s="525"/>
      <c r="P293" s="565"/>
      <c r="Q293" s="525"/>
      <c r="R293" s="527">
        <f t="shared" ref="R293:AW293" si="417">IFERROR(R285/R$224,0)</f>
        <v>15276.428792149844</v>
      </c>
      <c r="S293" s="527">
        <f t="shared" si="417"/>
        <v>15276.428792149844</v>
      </c>
      <c r="T293" s="527">
        <f t="shared" si="417"/>
        <v>15276.428792149844</v>
      </c>
      <c r="U293" s="527">
        <f t="shared" si="417"/>
        <v>15276.428792149844</v>
      </c>
      <c r="V293" s="527">
        <f t="shared" si="417"/>
        <v>15276.428792149844</v>
      </c>
      <c r="W293" s="527">
        <f t="shared" si="417"/>
        <v>15276.428792149844</v>
      </c>
      <c r="X293" s="527">
        <f t="shared" si="417"/>
        <v>15276.428792149844</v>
      </c>
      <c r="Y293" s="527">
        <f t="shared" si="417"/>
        <v>15276.428792149844</v>
      </c>
      <c r="Z293" s="527">
        <f t="shared" si="417"/>
        <v>15276.428792149844</v>
      </c>
      <c r="AA293" s="527">
        <f t="shared" si="417"/>
        <v>15276.428792149844</v>
      </c>
      <c r="AB293" s="527">
        <f t="shared" si="417"/>
        <v>15276.428792149844</v>
      </c>
      <c r="AC293" s="527">
        <f t="shared" si="417"/>
        <v>15276.428792149844</v>
      </c>
      <c r="AD293" s="527">
        <f t="shared" si="417"/>
        <v>15276.428792149844</v>
      </c>
      <c r="AE293" s="527">
        <f t="shared" si="417"/>
        <v>15276.428792149844</v>
      </c>
      <c r="AF293" s="527">
        <f t="shared" si="417"/>
        <v>15276.428792149844</v>
      </c>
      <c r="AG293" s="527">
        <f t="shared" si="417"/>
        <v>15276.428792149844</v>
      </c>
      <c r="AH293" s="527">
        <f t="shared" si="417"/>
        <v>15276.428792149844</v>
      </c>
      <c r="AI293" s="527">
        <f t="shared" si="417"/>
        <v>15276.428792149844</v>
      </c>
      <c r="AJ293" s="527">
        <f t="shared" si="417"/>
        <v>15276.428792149844</v>
      </c>
      <c r="AK293" s="527">
        <f t="shared" si="417"/>
        <v>15276.428792149844</v>
      </c>
      <c r="AL293" s="527">
        <f t="shared" si="417"/>
        <v>15276.428792149844</v>
      </c>
      <c r="AM293" s="527">
        <f t="shared" si="417"/>
        <v>15276.428792149844</v>
      </c>
      <c r="AN293" s="527">
        <f t="shared" si="417"/>
        <v>15276.428792149844</v>
      </c>
      <c r="AO293" s="527">
        <f t="shared" si="417"/>
        <v>15276.428792149844</v>
      </c>
      <c r="AP293" s="527">
        <f t="shared" si="417"/>
        <v>15276.428792149844</v>
      </c>
      <c r="AQ293" s="527">
        <f t="shared" si="417"/>
        <v>15276.428792149844</v>
      </c>
      <c r="AR293" s="527">
        <f t="shared" si="417"/>
        <v>15276.428792149844</v>
      </c>
      <c r="AS293" s="527">
        <f t="shared" si="417"/>
        <v>15276.428792149844</v>
      </c>
      <c r="AT293" s="527">
        <f t="shared" si="417"/>
        <v>15276.428792149844</v>
      </c>
      <c r="AU293" s="527">
        <f t="shared" si="417"/>
        <v>15276.428792149844</v>
      </c>
      <c r="AV293" s="527">
        <f t="shared" si="417"/>
        <v>15276.428792149844</v>
      </c>
      <c r="AW293" s="527">
        <f t="shared" si="417"/>
        <v>15276.428792149844</v>
      </c>
      <c r="AX293" s="527">
        <f t="shared" ref="AX293:BY293" si="418">IFERROR(AX285/AX$224,0)</f>
        <v>15276.428792149844</v>
      </c>
      <c r="AY293" s="527">
        <f t="shared" si="418"/>
        <v>15276.428792149844</v>
      </c>
      <c r="AZ293" s="527">
        <f t="shared" si="418"/>
        <v>15276.428792149844</v>
      </c>
      <c r="BA293" s="527">
        <f t="shared" si="418"/>
        <v>15276.428792149844</v>
      </c>
      <c r="BB293" s="527">
        <f t="shared" si="418"/>
        <v>15276.428792149844</v>
      </c>
      <c r="BC293" s="527">
        <f t="shared" si="418"/>
        <v>15276.428792149844</v>
      </c>
      <c r="BD293" s="527">
        <f t="shared" si="418"/>
        <v>15276.428792149844</v>
      </c>
      <c r="BE293" s="527">
        <f t="shared" si="418"/>
        <v>15276.428792149844</v>
      </c>
      <c r="BF293" s="527">
        <f t="shared" si="418"/>
        <v>15276.428792149844</v>
      </c>
      <c r="BG293" s="527">
        <f t="shared" si="418"/>
        <v>15276.428792149844</v>
      </c>
      <c r="BH293" s="527">
        <f t="shared" si="418"/>
        <v>17509.58366315196</v>
      </c>
      <c r="BI293" s="527">
        <f t="shared" si="418"/>
        <v>17509.58366315196</v>
      </c>
      <c r="BJ293" s="527">
        <f t="shared" si="418"/>
        <v>17509.58366315196</v>
      </c>
      <c r="BK293" s="527">
        <f t="shared" si="418"/>
        <v>17509.58366315196</v>
      </c>
      <c r="BL293" s="527">
        <f t="shared" si="418"/>
        <v>17509.58366315196</v>
      </c>
      <c r="BM293" s="527">
        <f t="shared" si="418"/>
        <v>17509.58366315196</v>
      </c>
      <c r="BN293" s="527">
        <f t="shared" si="418"/>
        <v>16960.490982808627</v>
      </c>
      <c r="BO293" s="527">
        <f t="shared" si="418"/>
        <v>16960.490982808627</v>
      </c>
      <c r="BP293" s="527">
        <f t="shared" si="418"/>
        <v>16960.490982808627</v>
      </c>
      <c r="BQ293" s="527">
        <f t="shared" si="418"/>
        <v>16960.490982808627</v>
      </c>
      <c r="BR293" s="527">
        <f t="shared" si="418"/>
        <v>16960.490982808627</v>
      </c>
      <c r="BS293" s="527">
        <f t="shared" si="418"/>
        <v>16960.490982808627</v>
      </c>
      <c r="BT293" s="527">
        <f t="shared" si="418"/>
        <v>17569.056745665592</v>
      </c>
      <c r="BU293" s="527">
        <f t="shared" si="418"/>
        <v>17569.056745665592</v>
      </c>
      <c r="BV293" s="527">
        <f t="shared" si="418"/>
        <v>17569.056745665592</v>
      </c>
      <c r="BW293" s="527">
        <f t="shared" si="418"/>
        <v>17569.056745665592</v>
      </c>
      <c r="BX293" s="527">
        <f t="shared" si="418"/>
        <v>17569.056745665592</v>
      </c>
      <c r="BY293" s="527">
        <f t="shared" si="418"/>
        <v>17569.056745665592</v>
      </c>
    </row>
    <row r="294" spans="1:77" x14ac:dyDescent="0.3">
      <c r="A294" s="551"/>
      <c r="B294" s="548"/>
      <c r="C294" s="525"/>
      <c r="D294" s="525"/>
      <c r="E294" s="627" t="str">
        <f>"WSM gross sales: "&amp;E$159</f>
        <v>WSM gross sales: FY31 Tranche</v>
      </c>
      <c r="F294" s="525"/>
      <c r="G294" s="525"/>
      <c r="H294" s="525"/>
      <c r="I294" s="525"/>
      <c r="J294" s="525"/>
      <c r="K294" s="525"/>
      <c r="L294" s="525"/>
      <c r="M294" s="525"/>
      <c r="N294" s="525"/>
      <c r="O294" s="525"/>
      <c r="P294" s="565"/>
      <c r="Q294" s="525"/>
      <c r="R294" s="527">
        <f t="shared" ref="R294:AW294" si="419">IFERROR(R286/R$224,0)</f>
        <v>15276.428792149844</v>
      </c>
      <c r="S294" s="527">
        <f t="shared" si="419"/>
        <v>15276.428792149844</v>
      </c>
      <c r="T294" s="527">
        <f t="shared" si="419"/>
        <v>15276.428792149844</v>
      </c>
      <c r="U294" s="527">
        <f t="shared" si="419"/>
        <v>15276.428792149844</v>
      </c>
      <c r="V294" s="527">
        <f t="shared" si="419"/>
        <v>15276.428792149844</v>
      </c>
      <c r="W294" s="527">
        <f t="shared" si="419"/>
        <v>15276.428792149844</v>
      </c>
      <c r="X294" s="527">
        <f t="shared" si="419"/>
        <v>15276.428792149844</v>
      </c>
      <c r="Y294" s="527">
        <f t="shared" si="419"/>
        <v>15276.428792149844</v>
      </c>
      <c r="Z294" s="527">
        <f t="shared" si="419"/>
        <v>15276.428792149844</v>
      </c>
      <c r="AA294" s="527">
        <f t="shared" si="419"/>
        <v>15276.428792149844</v>
      </c>
      <c r="AB294" s="527">
        <f t="shared" si="419"/>
        <v>15276.428792149844</v>
      </c>
      <c r="AC294" s="527">
        <f t="shared" si="419"/>
        <v>15276.428792149844</v>
      </c>
      <c r="AD294" s="527">
        <f t="shared" si="419"/>
        <v>15276.428792149844</v>
      </c>
      <c r="AE294" s="527">
        <f t="shared" si="419"/>
        <v>15276.428792149844</v>
      </c>
      <c r="AF294" s="527">
        <f t="shared" si="419"/>
        <v>15276.428792149844</v>
      </c>
      <c r="AG294" s="527">
        <f t="shared" si="419"/>
        <v>15276.428792149844</v>
      </c>
      <c r="AH294" s="527">
        <f t="shared" si="419"/>
        <v>15276.428792149844</v>
      </c>
      <c r="AI294" s="527">
        <f t="shared" si="419"/>
        <v>15276.428792149844</v>
      </c>
      <c r="AJ294" s="527">
        <f t="shared" si="419"/>
        <v>15276.428792149844</v>
      </c>
      <c r="AK294" s="527">
        <f t="shared" si="419"/>
        <v>15276.428792149844</v>
      </c>
      <c r="AL294" s="527">
        <f t="shared" si="419"/>
        <v>15276.428792149844</v>
      </c>
      <c r="AM294" s="527">
        <f t="shared" si="419"/>
        <v>15276.428792149844</v>
      </c>
      <c r="AN294" s="527">
        <f t="shared" si="419"/>
        <v>15276.428792149844</v>
      </c>
      <c r="AO294" s="527">
        <f t="shared" si="419"/>
        <v>15276.428792149844</v>
      </c>
      <c r="AP294" s="527">
        <f t="shared" si="419"/>
        <v>15276.428792149844</v>
      </c>
      <c r="AQ294" s="527">
        <f t="shared" si="419"/>
        <v>15276.428792149844</v>
      </c>
      <c r="AR294" s="527">
        <f t="shared" si="419"/>
        <v>15276.428792149844</v>
      </c>
      <c r="AS294" s="527">
        <f t="shared" si="419"/>
        <v>15276.428792149844</v>
      </c>
      <c r="AT294" s="527">
        <f t="shared" si="419"/>
        <v>15276.428792149844</v>
      </c>
      <c r="AU294" s="527">
        <f t="shared" si="419"/>
        <v>15276.428792149844</v>
      </c>
      <c r="AV294" s="527">
        <f t="shared" si="419"/>
        <v>15276.428792149844</v>
      </c>
      <c r="AW294" s="527">
        <f t="shared" si="419"/>
        <v>15276.428792149844</v>
      </c>
      <c r="AX294" s="527">
        <f t="shared" ref="AX294:BY294" si="420">IFERROR(AX286/AX$224,0)</f>
        <v>15276.428792149844</v>
      </c>
      <c r="AY294" s="527">
        <f t="shared" si="420"/>
        <v>15276.428792149844</v>
      </c>
      <c r="AZ294" s="527">
        <f t="shared" si="420"/>
        <v>15276.428792149844</v>
      </c>
      <c r="BA294" s="527">
        <f t="shared" si="420"/>
        <v>15276.428792149844</v>
      </c>
      <c r="BB294" s="527">
        <f t="shared" si="420"/>
        <v>15276.428792149844</v>
      </c>
      <c r="BC294" s="527">
        <f t="shared" si="420"/>
        <v>15276.428792149844</v>
      </c>
      <c r="BD294" s="527">
        <f t="shared" si="420"/>
        <v>15276.428792149844</v>
      </c>
      <c r="BE294" s="527">
        <f t="shared" si="420"/>
        <v>15276.428792149844</v>
      </c>
      <c r="BF294" s="527">
        <f t="shared" si="420"/>
        <v>15276.428792149844</v>
      </c>
      <c r="BG294" s="527">
        <f t="shared" si="420"/>
        <v>15276.428792149844</v>
      </c>
      <c r="BH294" s="527">
        <f t="shared" si="420"/>
        <v>15276.428792149844</v>
      </c>
      <c r="BI294" s="527">
        <f t="shared" si="420"/>
        <v>15276.428792149844</v>
      </c>
      <c r="BJ294" s="527">
        <f t="shared" si="420"/>
        <v>15276.428792149844</v>
      </c>
      <c r="BK294" s="527">
        <f t="shared" si="420"/>
        <v>15276.428792149844</v>
      </c>
      <c r="BL294" s="527">
        <f t="shared" si="420"/>
        <v>15276.428792149844</v>
      </c>
      <c r="BM294" s="527">
        <f t="shared" si="420"/>
        <v>15276.428792149844</v>
      </c>
      <c r="BN294" s="527">
        <f t="shared" si="420"/>
        <v>15276.428792149844</v>
      </c>
      <c r="BO294" s="527">
        <f t="shared" si="420"/>
        <v>15276.428792149844</v>
      </c>
      <c r="BP294" s="527">
        <f t="shared" si="420"/>
        <v>15276.428792149844</v>
      </c>
      <c r="BQ294" s="527">
        <f t="shared" si="420"/>
        <v>15276.428792149844</v>
      </c>
      <c r="BR294" s="527">
        <f t="shared" si="420"/>
        <v>15276.428792149844</v>
      </c>
      <c r="BS294" s="527">
        <f t="shared" si="420"/>
        <v>15276.428792149844</v>
      </c>
      <c r="BT294" s="527">
        <f t="shared" si="420"/>
        <v>17454.354321135808</v>
      </c>
      <c r="BU294" s="527">
        <f t="shared" si="420"/>
        <v>17454.354321135808</v>
      </c>
      <c r="BV294" s="527">
        <f t="shared" si="420"/>
        <v>17454.354321135808</v>
      </c>
      <c r="BW294" s="527">
        <f t="shared" si="420"/>
        <v>17454.354321135808</v>
      </c>
      <c r="BX294" s="527">
        <f t="shared" si="420"/>
        <v>17454.354321135808</v>
      </c>
      <c r="BY294" s="527">
        <f t="shared" si="420"/>
        <v>17454.354321135808</v>
      </c>
    </row>
    <row r="295" spans="1:77" x14ac:dyDescent="0.3">
      <c r="A295" s="551"/>
      <c r="B295" s="548"/>
      <c r="C295" s="525"/>
      <c r="D295" s="525"/>
      <c r="E295" s="627" t="str">
        <f>"WSM gross sales: "&amp;E$160</f>
        <v>WSM gross sales: Uninvested Tranche</v>
      </c>
      <c r="F295" s="525"/>
      <c r="G295" s="525"/>
      <c r="H295" s="525"/>
      <c r="I295" s="525"/>
      <c r="J295" s="525"/>
      <c r="K295" s="525"/>
      <c r="L295" s="525"/>
      <c r="M295" s="525"/>
      <c r="N295" s="525"/>
      <c r="O295" s="525"/>
      <c r="P295" s="565"/>
      <c r="Q295" s="525"/>
      <c r="R295" s="527">
        <f t="shared" ref="R295:AW295" si="421">IFERROR(R287/R$224,0)</f>
        <v>34147.311417746707</v>
      </c>
      <c r="S295" s="527">
        <f t="shared" si="421"/>
        <v>34147.311417746707</v>
      </c>
      <c r="T295" s="527">
        <f t="shared" si="421"/>
        <v>34147.311417746707</v>
      </c>
      <c r="U295" s="527">
        <f t="shared" si="421"/>
        <v>34147.311417746707</v>
      </c>
      <c r="V295" s="527">
        <f t="shared" si="421"/>
        <v>34147.311417746707</v>
      </c>
      <c r="W295" s="527">
        <f t="shared" si="421"/>
        <v>34147.311417746707</v>
      </c>
      <c r="X295" s="527">
        <f t="shared" si="421"/>
        <v>34147.311417746707</v>
      </c>
      <c r="Y295" s="527">
        <f t="shared" si="421"/>
        <v>34147.311417746707</v>
      </c>
      <c r="Z295" s="527">
        <f t="shared" si="421"/>
        <v>34147.311417746707</v>
      </c>
      <c r="AA295" s="527">
        <f t="shared" si="421"/>
        <v>34147.311417746707</v>
      </c>
      <c r="AB295" s="527">
        <f t="shared" si="421"/>
        <v>34147.311417746707</v>
      </c>
      <c r="AC295" s="527">
        <f t="shared" si="421"/>
        <v>34147.311417746707</v>
      </c>
      <c r="AD295" s="527">
        <f t="shared" si="421"/>
        <v>34147.311417746707</v>
      </c>
      <c r="AE295" s="527">
        <f t="shared" si="421"/>
        <v>34147.311417746707</v>
      </c>
      <c r="AF295" s="527">
        <f t="shared" si="421"/>
        <v>34147.311417746707</v>
      </c>
      <c r="AG295" s="527">
        <f t="shared" si="421"/>
        <v>34147.311417746707</v>
      </c>
      <c r="AH295" s="527">
        <f t="shared" si="421"/>
        <v>34147.311417746707</v>
      </c>
      <c r="AI295" s="527">
        <f t="shared" si="421"/>
        <v>34147.311417746707</v>
      </c>
      <c r="AJ295" s="527">
        <f t="shared" si="421"/>
        <v>34147.311417746707</v>
      </c>
      <c r="AK295" s="527">
        <f t="shared" si="421"/>
        <v>34147.311417746707</v>
      </c>
      <c r="AL295" s="527">
        <f t="shared" si="421"/>
        <v>34147.311417746707</v>
      </c>
      <c r="AM295" s="527">
        <f t="shared" si="421"/>
        <v>34147.311417746707</v>
      </c>
      <c r="AN295" s="527">
        <f t="shared" si="421"/>
        <v>34147.311417746707</v>
      </c>
      <c r="AO295" s="527">
        <f t="shared" si="421"/>
        <v>34147.311417746707</v>
      </c>
      <c r="AP295" s="527">
        <f t="shared" si="421"/>
        <v>34147.311417746707</v>
      </c>
      <c r="AQ295" s="527">
        <f t="shared" si="421"/>
        <v>34147.311417746707</v>
      </c>
      <c r="AR295" s="527">
        <f t="shared" si="421"/>
        <v>34147.311417746707</v>
      </c>
      <c r="AS295" s="527">
        <f t="shared" si="421"/>
        <v>34147.311417746707</v>
      </c>
      <c r="AT295" s="527">
        <f t="shared" si="421"/>
        <v>34147.311417746707</v>
      </c>
      <c r="AU295" s="527">
        <f t="shared" si="421"/>
        <v>34147.311417746707</v>
      </c>
      <c r="AV295" s="527">
        <f t="shared" si="421"/>
        <v>34147.311417746707</v>
      </c>
      <c r="AW295" s="527">
        <f t="shared" si="421"/>
        <v>34147.311417746707</v>
      </c>
      <c r="AX295" s="527">
        <f t="shared" ref="AX295:BY295" si="422">IFERROR(AX287/AX$224,0)</f>
        <v>34147.311417746707</v>
      </c>
      <c r="AY295" s="527">
        <f t="shared" si="422"/>
        <v>34147.311417746707</v>
      </c>
      <c r="AZ295" s="527">
        <f t="shared" si="422"/>
        <v>34147.311417746707</v>
      </c>
      <c r="BA295" s="527">
        <f t="shared" si="422"/>
        <v>34147.311417746707</v>
      </c>
      <c r="BB295" s="527">
        <f t="shared" si="422"/>
        <v>34147.311417746707</v>
      </c>
      <c r="BC295" s="527">
        <f t="shared" si="422"/>
        <v>34147.311417746707</v>
      </c>
      <c r="BD295" s="527">
        <f t="shared" si="422"/>
        <v>34147.311417746707</v>
      </c>
      <c r="BE295" s="527">
        <f t="shared" si="422"/>
        <v>34147.311417746707</v>
      </c>
      <c r="BF295" s="527">
        <f t="shared" si="422"/>
        <v>34147.311417746707</v>
      </c>
      <c r="BG295" s="527">
        <f t="shared" si="422"/>
        <v>34147.311417746707</v>
      </c>
      <c r="BH295" s="527">
        <f t="shared" si="422"/>
        <v>34147.311417746707</v>
      </c>
      <c r="BI295" s="527">
        <f t="shared" si="422"/>
        <v>34147.311417746707</v>
      </c>
      <c r="BJ295" s="527">
        <f t="shared" si="422"/>
        <v>34147.311417746707</v>
      </c>
      <c r="BK295" s="527">
        <f t="shared" si="422"/>
        <v>34147.311417746707</v>
      </c>
      <c r="BL295" s="527">
        <f t="shared" si="422"/>
        <v>34147.311417746707</v>
      </c>
      <c r="BM295" s="527">
        <f t="shared" si="422"/>
        <v>34147.311417746707</v>
      </c>
      <c r="BN295" s="527">
        <f t="shared" si="422"/>
        <v>34147.311417746707</v>
      </c>
      <c r="BO295" s="527">
        <f t="shared" si="422"/>
        <v>34147.311417746707</v>
      </c>
      <c r="BP295" s="527">
        <f t="shared" si="422"/>
        <v>34147.311417746707</v>
      </c>
      <c r="BQ295" s="527">
        <f t="shared" si="422"/>
        <v>34147.311417746707</v>
      </c>
      <c r="BR295" s="527">
        <f t="shared" si="422"/>
        <v>34147.311417746707</v>
      </c>
      <c r="BS295" s="527">
        <f t="shared" si="422"/>
        <v>34147.311417746707</v>
      </c>
      <c r="BT295" s="527">
        <f t="shared" si="422"/>
        <v>34147.311417746707</v>
      </c>
      <c r="BU295" s="527">
        <f t="shared" si="422"/>
        <v>34147.311417746707</v>
      </c>
      <c r="BV295" s="527">
        <f t="shared" si="422"/>
        <v>34147.311417746707</v>
      </c>
      <c r="BW295" s="527">
        <f t="shared" si="422"/>
        <v>34147.311417746707</v>
      </c>
      <c r="BX295" s="527">
        <f t="shared" si="422"/>
        <v>34147.311417746707</v>
      </c>
      <c r="BY295" s="527">
        <f t="shared" si="422"/>
        <v>34147.311417746707</v>
      </c>
    </row>
    <row r="296" spans="1:77" x14ac:dyDescent="0.3">
      <c r="A296" s="551"/>
      <c r="B296" s="548"/>
      <c r="C296" s="525"/>
      <c r="D296" s="525"/>
      <c r="E296" s="572" t="s">
        <v>36</v>
      </c>
      <c r="F296" s="572"/>
      <c r="G296" s="572"/>
      <c r="H296" s="572"/>
      <c r="I296" s="572"/>
      <c r="J296" s="572"/>
      <c r="K296" s="572"/>
      <c r="L296" s="572"/>
      <c r="M296" s="572"/>
      <c r="N296" s="572"/>
      <c r="O296" s="572"/>
      <c r="P296" s="612"/>
      <c r="Q296" s="572"/>
      <c r="R296" s="530">
        <f t="shared" ref="R296:AW296" si="423">SUM(R290:R295)</f>
        <v>110529.45537849593</v>
      </c>
      <c r="S296" s="530">
        <f t="shared" si="423"/>
        <v>110529.45537849593</v>
      </c>
      <c r="T296" s="530">
        <f t="shared" si="423"/>
        <v>110529.45537849593</v>
      </c>
      <c r="U296" s="530">
        <f t="shared" si="423"/>
        <v>110529.45537849593</v>
      </c>
      <c r="V296" s="530">
        <f t="shared" si="423"/>
        <v>110529.45537849593</v>
      </c>
      <c r="W296" s="530">
        <f t="shared" si="423"/>
        <v>110529.45537849593</v>
      </c>
      <c r="X296" s="530">
        <f t="shared" si="423"/>
        <v>112937.31435998439</v>
      </c>
      <c r="Y296" s="530">
        <f t="shared" si="423"/>
        <v>112937.31435998439</v>
      </c>
      <c r="Z296" s="530">
        <f t="shared" si="423"/>
        <v>112937.31435998439</v>
      </c>
      <c r="AA296" s="530">
        <f t="shared" si="423"/>
        <v>112937.31435998439</v>
      </c>
      <c r="AB296" s="530">
        <f t="shared" si="423"/>
        <v>112937.31435998439</v>
      </c>
      <c r="AC296" s="530">
        <f t="shared" si="423"/>
        <v>112937.31435998439</v>
      </c>
      <c r="AD296" s="530">
        <f t="shared" si="423"/>
        <v>112282.10665169112</v>
      </c>
      <c r="AE296" s="530">
        <f t="shared" si="423"/>
        <v>112282.10665169112</v>
      </c>
      <c r="AF296" s="530">
        <f t="shared" si="423"/>
        <v>112282.10665169112</v>
      </c>
      <c r="AG296" s="530">
        <f t="shared" si="423"/>
        <v>112282.10665169112</v>
      </c>
      <c r="AH296" s="530">
        <f t="shared" si="423"/>
        <v>112282.10665169112</v>
      </c>
      <c r="AI296" s="530">
        <f t="shared" si="423"/>
        <v>112282.10665169112</v>
      </c>
      <c r="AJ296" s="530">
        <f t="shared" si="423"/>
        <v>115256.04144406345</v>
      </c>
      <c r="AK296" s="530">
        <f t="shared" si="423"/>
        <v>115256.04144406345</v>
      </c>
      <c r="AL296" s="530">
        <f t="shared" si="423"/>
        <v>115256.04144406345</v>
      </c>
      <c r="AM296" s="530">
        <f t="shared" si="423"/>
        <v>115256.04144406345</v>
      </c>
      <c r="AN296" s="530">
        <f t="shared" si="423"/>
        <v>115256.04144406345</v>
      </c>
      <c r="AO296" s="530">
        <f t="shared" si="423"/>
        <v>115256.04144406345</v>
      </c>
      <c r="AP296" s="530">
        <f t="shared" si="423"/>
        <v>114019.17664277382</v>
      </c>
      <c r="AQ296" s="530">
        <f t="shared" si="423"/>
        <v>114019.17664277382</v>
      </c>
      <c r="AR296" s="530">
        <f t="shared" si="423"/>
        <v>114019.17664277382</v>
      </c>
      <c r="AS296" s="530">
        <f t="shared" si="423"/>
        <v>114019.17664277382</v>
      </c>
      <c r="AT296" s="530">
        <f t="shared" si="423"/>
        <v>114019.17664277382</v>
      </c>
      <c r="AU296" s="530">
        <f t="shared" si="423"/>
        <v>114019.17664277382</v>
      </c>
      <c r="AV296" s="530">
        <f t="shared" si="423"/>
        <v>117551.38132737117</v>
      </c>
      <c r="AW296" s="530">
        <f t="shared" si="423"/>
        <v>117551.38132737117</v>
      </c>
      <c r="AX296" s="530">
        <f t="shared" ref="AX296:BY296" si="424">SUM(AX290:AX295)</f>
        <v>117551.38132737117</v>
      </c>
      <c r="AY296" s="530">
        <f t="shared" si="424"/>
        <v>117551.38132737117</v>
      </c>
      <c r="AZ296" s="530">
        <f t="shared" si="424"/>
        <v>117551.38132737117</v>
      </c>
      <c r="BA296" s="530">
        <f t="shared" si="424"/>
        <v>117551.38132737117</v>
      </c>
      <c r="BB296" s="530">
        <f t="shared" si="424"/>
        <v>115841.341204656</v>
      </c>
      <c r="BC296" s="530">
        <f t="shared" si="424"/>
        <v>115841.341204656</v>
      </c>
      <c r="BD296" s="530">
        <f t="shared" si="424"/>
        <v>115841.341204656</v>
      </c>
      <c r="BE296" s="530">
        <f t="shared" si="424"/>
        <v>115841.341204656</v>
      </c>
      <c r="BF296" s="530">
        <f t="shared" si="424"/>
        <v>115841.341204656</v>
      </c>
      <c r="BG296" s="530">
        <f t="shared" si="424"/>
        <v>115841.341204656</v>
      </c>
      <c r="BH296" s="530">
        <f t="shared" si="424"/>
        <v>119927.5213107325</v>
      </c>
      <c r="BI296" s="530">
        <f t="shared" si="424"/>
        <v>119927.5213107325</v>
      </c>
      <c r="BJ296" s="530">
        <f t="shared" si="424"/>
        <v>119927.5213107325</v>
      </c>
      <c r="BK296" s="530">
        <f t="shared" si="424"/>
        <v>119927.5213107325</v>
      </c>
      <c r="BL296" s="530">
        <f t="shared" si="424"/>
        <v>119927.5213107325</v>
      </c>
      <c r="BM296" s="530">
        <f t="shared" si="424"/>
        <v>119927.5213107325</v>
      </c>
      <c r="BN296" s="530">
        <f t="shared" si="424"/>
        <v>117710.94997792046</v>
      </c>
      <c r="BO296" s="530">
        <f t="shared" si="424"/>
        <v>117710.94997792046</v>
      </c>
      <c r="BP296" s="530">
        <f t="shared" si="424"/>
        <v>117710.94997792046</v>
      </c>
      <c r="BQ296" s="530">
        <f t="shared" si="424"/>
        <v>117710.94997792046</v>
      </c>
      <c r="BR296" s="530">
        <f t="shared" si="424"/>
        <v>117710.94997792046</v>
      </c>
      <c r="BS296" s="530">
        <f t="shared" si="424"/>
        <v>117710.94997792046</v>
      </c>
      <c r="BT296" s="530">
        <f t="shared" si="424"/>
        <v>122340.94839180585</v>
      </c>
      <c r="BU296" s="530">
        <f t="shared" si="424"/>
        <v>122340.94839180585</v>
      </c>
      <c r="BV296" s="530">
        <f t="shared" si="424"/>
        <v>122340.94839180585</v>
      </c>
      <c r="BW296" s="530">
        <f t="shared" si="424"/>
        <v>122340.94839180585</v>
      </c>
      <c r="BX296" s="530">
        <f t="shared" si="424"/>
        <v>122340.94839180585</v>
      </c>
      <c r="BY296" s="530">
        <f t="shared" si="424"/>
        <v>122340.94839180585</v>
      </c>
    </row>
    <row r="297" spans="1:77" x14ac:dyDescent="0.3">
      <c r="A297" s="551"/>
      <c r="B297" s="548"/>
      <c r="C297" s="525"/>
      <c r="D297" s="525"/>
      <c r="E297" s="525"/>
      <c r="F297" s="525"/>
      <c r="G297" s="525"/>
      <c r="H297" s="525"/>
      <c r="I297" s="525"/>
      <c r="J297" s="525"/>
      <c r="K297" s="525"/>
      <c r="L297" s="525"/>
      <c r="M297" s="525"/>
      <c r="N297" s="525"/>
      <c r="O297" s="525"/>
      <c r="P297" s="565"/>
      <c r="Q297" s="525"/>
      <c r="R297" s="525"/>
      <c r="S297" s="525"/>
      <c r="T297" s="525"/>
      <c r="U297" s="525"/>
      <c r="V297" s="525"/>
      <c r="W297" s="525"/>
      <c r="X297" s="525"/>
      <c r="Y297" s="525"/>
      <c r="Z297" s="525"/>
      <c r="AA297" s="525"/>
      <c r="AB297" s="525"/>
      <c r="AC297" s="525"/>
      <c r="AD297" s="525"/>
      <c r="AE297" s="525"/>
      <c r="AF297" s="525"/>
      <c r="AG297" s="525"/>
      <c r="AH297" s="525"/>
      <c r="AI297" s="525"/>
      <c r="AJ297" s="525"/>
      <c r="AK297" s="525"/>
      <c r="AL297" s="525"/>
      <c r="AM297" s="525"/>
      <c r="AN297" s="525"/>
      <c r="AO297" s="525"/>
      <c r="AP297" s="525"/>
      <c r="AQ297" s="525"/>
      <c r="AR297" s="525"/>
      <c r="AS297" s="525"/>
      <c r="AT297" s="525"/>
      <c r="AU297" s="525"/>
      <c r="AV297" s="525"/>
      <c r="AW297" s="525"/>
      <c r="AX297" s="525"/>
      <c r="AY297" s="525"/>
      <c r="AZ297" s="525"/>
      <c r="BA297" s="525"/>
      <c r="BB297" s="525"/>
      <c r="BC297" s="525"/>
      <c r="BD297" s="525"/>
      <c r="BE297" s="525"/>
      <c r="BF297" s="525"/>
      <c r="BG297" s="525"/>
      <c r="BH297" s="525"/>
      <c r="BI297" s="525"/>
      <c r="BJ297" s="525"/>
      <c r="BK297" s="525"/>
      <c r="BL297" s="525"/>
      <c r="BM297" s="525"/>
      <c r="BN297" s="525"/>
      <c r="BO297" s="525"/>
      <c r="BP297" s="525"/>
      <c r="BQ297" s="525"/>
      <c r="BR297" s="525"/>
      <c r="BS297" s="525"/>
      <c r="BT297" s="525"/>
      <c r="BU297" s="525"/>
      <c r="BV297" s="525"/>
      <c r="BW297" s="525"/>
      <c r="BX297" s="525"/>
      <c r="BY297" s="525"/>
    </row>
    <row r="298" spans="1:77" x14ac:dyDescent="0.3">
      <c r="A298" s="551"/>
      <c r="B298" s="548"/>
      <c r="C298" s="525"/>
      <c r="D298" s="525"/>
      <c r="E298" s="628" t="str">
        <f>"WSM cost of sales: "&amp;E$155</f>
        <v>WSM cost of sales: FY27 Tranche</v>
      </c>
      <c r="F298" s="525"/>
      <c r="G298" s="525"/>
      <c r="H298" s="525"/>
      <c r="I298" s="525"/>
      <c r="J298" s="525"/>
      <c r="K298" s="525"/>
      <c r="L298" s="525"/>
      <c r="M298" s="525"/>
      <c r="N298" s="525"/>
      <c r="O298" s="525"/>
      <c r="P298" s="565"/>
      <c r="Q298" s="525"/>
      <c r="R298" s="527">
        <f t="shared" ref="R298:AW298" si="425">(R282-R290)*R$232</f>
        <v>-7718.798975739116</v>
      </c>
      <c r="S298" s="527">
        <f t="shared" si="425"/>
        <v>-7718.798975739116</v>
      </c>
      <c r="T298" s="527">
        <f t="shared" si="425"/>
        <v>-7718.798975739116</v>
      </c>
      <c r="U298" s="527">
        <f t="shared" si="425"/>
        <v>-7718.798975739116</v>
      </c>
      <c r="V298" s="527">
        <f t="shared" si="425"/>
        <v>-7718.798975739116</v>
      </c>
      <c r="W298" s="527">
        <f t="shared" si="425"/>
        <v>-7718.798975739116</v>
      </c>
      <c r="X298" s="527">
        <f t="shared" si="425"/>
        <v>-8935.4301460809747</v>
      </c>
      <c r="Y298" s="527">
        <f t="shared" si="425"/>
        <v>-8935.4301460809747</v>
      </c>
      <c r="Z298" s="527">
        <f t="shared" si="425"/>
        <v>-8935.4301460809747</v>
      </c>
      <c r="AA298" s="527">
        <f t="shared" si="425"/>
        <v>-8935.4301460809747</v>
      </c>
      <c r="AB298" s="527">
        <f t="shared" si="425"/>
        <v>-8935.4301460809747</v>
      </c>
      <c r="AC298" s="527">
        <f t="shared" si="425"/>
        <v>-8935.4301460809747</v>
      </c>
      <c r="AD298" s="527">
        <f t="shared" si="425"/>
        <v>-8604.3700104641139</v>
      </c>
      <c r="AE298" s="527">
        <f t="shared" si="425"/>
        <v>-8604.3700104641139</v>
      </c>
      <c r="AF298" s="527">
        <f t="shared" si="425"/>
        <v>-8604.3700104641139</v>
      </c>
      <c r="AG298" s="527">
        <f t="shared" si="425"/>
        <v>-8604.3700104641139</v>
      </c>
      <c r="AH298" s="527">
        <f t="shared" si="425"/>
        <v>-8604.3700104641139</v>
      </c>
      <c r="AI298" s="527">
        <f t="shared" si="425"/>
        <v>-8604.3700104641139</v>
      </c>
      <c r="AJ298" s="527">
        <f t="shared" si="425"/>
        <v>-8921.5833606600718</v>
      </c>
      <c r="AK298" s="527">
        <f t="shared" si="425"/>
        <v>-8921.5833606600718</v>
      </c>
      <c r="AL298" s="527">
        <f t="shared" si="425"/>
        <v>-8921.5833606600718</v>
      </c>
      <c r="AM298" s="527">
        <f t="shared" si="425"/>
        <v>-8921.5833606600718</v>
      </c>
      <c r="AN298" s="527">
        <f t="shared" si="425"/>
        <v>-8921.5833606600718</v>
      </c>
      <c r="AO298" s="527">
        <f t="shared" si="425"/>
        <v>-8921.5833606600718</v>
      </c>
      <c r="AP298" s="527">
        <f t="shared" si="425"/>
        <v>-8608.7043183594214</v>
      </c>
      <c r="AQ298" s="527">
        <f t="shared" si="425"/>
        <v>-8608.7043183594214</v>
      </c>
      <c r="AR298" s="527">
        <f t="shared" si="425"/>
        <v>-8608.7043183594214</v>
      </c>
      <c r="AS298" s="527">
        <f t="shared" si="425"/>
        <v>-8608.7043183594214</v>
      </c>
      <c r="AT298" s="527">
        <f t="shared" si="425"/>
        <v>-8608.7043183594214</v>
      </c>
      <c r="AU298" s="527">
        <f t="shared" si="425"/>
        <v>-8608.7043183594214</v>
      </c>
      <c r="AV298" s="527">
        <f t="shared" si="425"/>
        <v>-8923.3669952290475</v>
      </c>
      <c r="AW298" s="527">
        <f t="shared" si="425"/>
        <v>-8923.3669952290475</v>
      </c>
      <c r="AX298" s="527">
        <f t="shared" ref="AX298:BY298" si="426">(AX282-AX290)*AX$232</f>
        <v>-8923.3669952290475</v>
      </c>
      <c r="AY298" s="527">
        <f t="shared" si="426"/>
        <v>-8923.3669952290475</v>
      </c>
      <c r="AZ298" s="527">
        <f t="shared" si="426"/>
        <v>-8923.3669952290475</v>
      </c>
      <c r="BA298" s="527">
        <f t="shared" si="426"/>
        <v>-8923.3669952290475</v>
      </c>
      <c r="BB298" s="527">
        <f t="shared" si="426"/>
        <v>-8634.3954117757203</v>
      </c>
      <c r="BC298" s="527">
        <f t="shared" si="426"/>
        <v>-8634.3954117757203</v>
      </c>
      <c r="BD298" s="527">
        <f t="shared" si="426"/>
        <v>-8634.3954117757203</v>
      </c>
      <c r="BE298" s="527">
        <f t="shared" si="426"/>
        <v>-8634.3954117757203</v>
      </c>
      <c r="BF298" s="527">
        <f t="shared" si="426"/>
        <v>-8634.3954117757203</v>
      </c>
      <c r="BG298" s="527">
        <f t="shared" si="426"/>
        <v>-8634.3954117757203</v>
      </c>
      <c r="BH298" s="527">
        <f t="shared" si="426"/>
        <v>-8947.3289203761833</v>
      </c>
      <c r="BI298" s="527">
        <f t="shared" si="426"/>
        <v>-8947.3289203761833</v>
      </c>
      <c r="BJ298" s="527">
        <f t="shared" si="426"/>
        <v>-8947.3289203761833</v>
      </c>
      <c r="BK298" s="527">
        <f t="shared" si="426"/>
        <v>-8947.3289203761833</v>
      </c>
      <c r="BL298" s="527">
        <f t="shared" si="426"/>
        <v>-8947.3289203761833</v>
      </c>
      <c r="BM298" s="527">
        <f t="shared" si="426"/>
        <v>-8947.3289203761833</v>
      </c>
      <c r="BN298" s="527">
        <f t="shared" si="426"/>
        <v>-8665.5385320616952</v>
      </c>
      <c r="BO298" s="527">
        <f t="shared" si="426"/>
        <v>-8665.5385320616952</v>
      </c>
      <c r="BP298" s="527">
        <f t="shared" si="426"/>
        <v>-8665.5385320616952</v>
      </c>
      <c r="BQ298" s="527">
        <f t="shared" si="426"/>
        <v>-8665.5385320616952</v>
      </c>
      <c r="BR298" s="527">
        <f t="shared" si="426"/>
        <v>-8665.5385320616952</v>
      </c>
      <c r="BS298" s="527">
        <f t="shared" si="426"/>
        <v>-8665.5385320616952</v>
      </c>
      <c r="BT298" s="527">
        <f t="shared" si="426"/>
        <v>-8976.8646494351215</v>
      </c>
      <c r="BU298" s="527">
        <f t="shared" si="426"/>
        <v>-8976.8646494351215</v>
      </c>
      <c r="BV298" s="527">
        <f t="shared" si="426"/>
        <v>-8976.8646494351215</v>
      </c>
      <c r="BW298" s="527">
        <f t="shared" si="426"/>
        <v>-8976.8646494351215</v>
      </c>
      <c r="BX298" s="527">
        <f t="shared" si="426"/>
        <v>-8976.8646494351215</v>
      </c>
      <c r="BY298" s="527">
        <f t="shared" si="426"/>
        <v>-8976.8646494351215</v>
      </c>
    </row>
    <row r="299" spans="1:77" x14ac:dyDescent="0.3">
      <c r="A299" s="551"/>
      <c r="B299" s="548"/>
      <c r="C299" s="525"/>
      <c r="D299" s="525"/>
      <c r="E299" s="628" t="str">
        <f>"WSM cost of sales: "&amp;E$156</f>
        <v>WSM cost of sales: FY28 Tranche</v>
      </c>
      <c r="F299" s="525"/>
      <c r="G299" s="525"/>
      <c r="H299" s="525"/>
      <c r="I299" s="525"/>
      <c r="J299" s="525"/>
      <c r="K299" s="525"/>
      <c r="L299" s="525"/>
      <c r="M299" s="525"/>
      <c r="N299" s="525"/>
      <c r="O299" s="525"/>
      <c r="P299" s="565"/>
      <c r="Q299" s="525"/>
      <c r="R299" s="527">
        <f t="shared" ref="R299:AW299" si="427">(R283-R291)*R$232</f>
        <v>-7718.798975739116</v>
      </c>
      <c r="S299" s="527">
        <f t="shared" si="427"/>
        <v>-7718.798975739116</v>
      </c>
      <c r="T299" s="527">
        <f t="shared" si="427"/>
        <v>-7718.798975739116</v>
      </c>
      <c r="U299" s="527">
        <f t="shared" si="427"/>
        <v>-7718.798975739116</v>
      </c>
      <c r="V299" s="527">
        <f t="shared" si="427"/>
        <v>-7718.798975739116</v>
      </c>
      <c r="W299" s="527">
        <f t="shared" si="427"/>
        <v>-7718.798975739116</v>
      </c>
      <c r="X299" s="527">
        <f t="shared" si="427"/>
        <v>-7718.798975739116</v>
      </c>
      <c r="Y299" s="527">
        <f t="shared" si="427"/>
        <v>-7718.798975739116</v>
      </c>
      <c r="Z299" s="527">
        <f t="shared" si="427"/>
        <v>-7718.798975739116</v>
      </c>
      <c r="AA299" s="527">
        <f t="shared" si="427"/>
        <v>-7718.798975739116</v>
      </c>
      <c r="AB299" s="527">
        <f t="shared" si="427"/>
        <v>-7718.798975739116</v>
      </c>
      <c r="AC299" s="527">
        <f t="shared" si="427"/>
        <v>-7718.798975739116</v>
      </c>
      <c r="AD299" s="527">
        <f t="shared" si="427"/>
        <v>-7718.798975739116</v>
      </c>
      <c r="AE299" s="527">
        <f t="shared" si="427"/>
        <v>-7718.798975739116</v>
      </c>
      <c r="AF299" s="527">
        <f t="shared" si="427"/>
        <v>-7718.798975739116</v>
      </c>
      <c r="AG299" s="527">
        <f t="shared" si="427"/>
        <v>-7718.798975739116</v>
      </c>
      <c r="AH299" s="527">
        <f t="shared" si="427"/>
        <v>-7718.798975739116</v>
      </c>
      <c r="AI299" s="527">
        <f t="shared" si="427"/>
        <v>-7718.798975739116</v>
      </c>
      <c r="AJ299" s="527">
        <f t="shared" si="427"/>
        <v>-8904.2408037661244</v>
      </c>
      <c r="AK299" s="527">
        <f t="shared" si="427"/>
        <v>-8904.2408037661244</v>
      </c>
      <c r="AL299" s="527">
        <f t="shared" si="427"/>
        <v>-8904.2408037661244</v>
      </c>
      <c r="AM299" s="527">
        <f t="shared" si="427"/>
        <v>-8904.2408037661244</v>
      </c>
      <c r="AN299" s="527">
        <f t="shared" si="427"/>
        <v>-8904.2408037661244</v>
      </c>
      <c r="AO299" s="527">
        <f t="shared" si="427"/>
        <v>-8904.2408037661244</v>
      </c>
      <c r="AP299" s="527">
        <f t="shared" si="427"/>
        <v>-8592.1628688033416</v>
      </c>
      <c r="AQ299" s="527">
        <f t="shared" si="427"/>
        <v>-8592.1628688033416</v>
      </c>
      <c r="AR299" s="527">
        <f t="shared" si="427"/>
        <v>-8592.1628688033416</v>
      </c>
      <c r="AS299" s="527">
        <f t="shared" si="427"/>
        <v>-8592.1628688033416</v>
      </c>
      <c r="AT299" s="527">
        <f t="shared" si="427"/>
        <v>-8592.1628688033416</v>
      </c>
      <c r="AU299" s="527">
        <f t="shared" si="427"/>
        <v>-8592.1628688033416</v>
      </c>
      <c r="AV299" s="527">
        <f t="shared" si="427"/>
        <v>-8906.1638876907236</v>
      </c>
      <c r="AW299" s="527">
        <f t="shared" si="427"/>
        <v>-8906.1638876907236</v>
      </c>
      <c r="AX299" s="527">
        <f t="shared" ref="AX299:BY299" si="428">(AX283-AX291)*AX$232</f>
        <v>-8906.1638876907236</v>
      </c>
      <c r="AY299" s="527">
        <f t="shared" si="428"/>
        <v>-8906.1638876907236</v>
      </c>
      <c r="AZ299" s="527">
        <f t="shared" si="428"/>
        <v>-8906.1638876907236</v>
      </c>
      <c r="BA299" s="527">
        <f t="shared" si="428"/>
        <v>-8906.1638876907236</v>
      </c>
      <c r="BB299" s="527">
        <f t="shared" si="428"/>
        <v>-8617.9448625767527</v>
      </c>
      <c r="BC299" s="527">
        <f t="shared" si="428"/>
        <v>-8617.9448625767527</v>
      </c>
      <c r="BD299" s="527">
        <f t="shared" si="428"/>
        <v>-8617.9448625767527</v>
      </c>
      <c r="BE299" s="527">
        <f t="shared" si="428"/>
        <v>-8617.9448625767527</v>
      </c>
      <c r="BF299" s="527">
        <f t="shared" si="428"/>
        <v>-8617.9448625767527</v>
      </c>
      <c r="BG299" s="527">
        <f t="shared" si="428"/>
        <v>-8617.9448625767527</v>
      </c>
      <c r="BH299" s="527">
        <f t="shared" si="428"/>
        <v>-8930.2203492092594</v>
      </c>
      <c r="BI299" s="527">
        <f t="shared" si="428"/>
        <v>-8930.2203492092594</v>
      </c>
      <c r="BJ299" s="527">
        <f t="shared" si="428"/>
        <v>-8930.2203492092594</v>
      </c>
      <c r="BK299" s="527">
        <f t="shared" si="428"/>
        <v>-8930.2203492092594</v>
      </c>
      <c r="BL299" s="527">
        <f t="shared" si="428"/>
        <v>-8930.2203492092594</v>
      </c>
      <c r="BM299" s="527">
        <f t="shared" si="428"/>
        <v>-8930.2203492092594</v>
      </c>
      <c r="BN299" s="527">
        <f t="shared" si="428"/>
        <v>-8649.1724815429116</v>
      </c>
      <c r="BO299" s="527">
        <f t="shared" si="428"/>
        <v>-8649.1724815429116</v>
      </c>
      <c r="BP299" s="527">
        <f t="shared" si="428"/>
        <v>-8649.1724815429116</v>
      </c>
      <c r="BQ299" s="527">
        <f t="shared" si="428"/>
        <v>-8649.1724815429116</v>
      </c>
      <c r="BR299" s="527">
        <f t="shared" si="428"/>
        <v>-8649.1724815429116</v>
      </c>
      <c r="BS299" s="527">
        <f t="shared" si="428"/>
        <v>-8649.1724815429116</v>
      </c>
      <c r="BT299" s="527">
        <f t="shared" si="428"/>
        <v>-8959.8439568955891</v>
      </c>
      <c r="BU299" s="527">
        <f t="shared" si="428"/>
        <v>-8959.8439568955891</v>
      </c>
      <c r="BV299" s="527">
        <f t="shared" si="428"/>
        <v>-8959.8439568955891</v>
      </c>
      <c r="BW299" s="527">
        <f t="shared" si="428"/>
        <v>-8959.8439568955891</v>
      </c>
      <c r="BX299" s="527">
        <f t="shared" si="428"/>
        <v>-8959.8439568955891</v>
      </c>
      <c r="BY299" s="527">
        <f t="shared" si="428"/>
        <v>-8959.8439568955891</v>
      </c>
    </row>
    <row r="300" spans="1:77" x14ac:dyDescent="0.3">
      <c r="A300" s="551"/>
      <c r="B300" s="548"/>
      <c r="C300" s="525"/>
      <c r="D300" s="525"/>
      <c r="E300" s="628" t="str">
        <f>"WSM cost of sales: "&amp;E$157</f>
        <v>WSM cost of sales: FY29 Tranche</v>
      </c>
      <c r="F300" s="525"/>
      <c r="G300" s="525"/>
      <c r="H300" s="525"/>
      <c r="I300" s="525"/>
      <c r="J300" s="525"/>
      <c r="K300" s="525"/>
      <c r="L300" s="525"/>
      <c r="M300" s="525"/>
      <c r="N300" s="525"/>
      <c r="O300" s="525"/>
      <c r="P300" s="565"/>
      <c r="Q300" s="525"/>
      <c r="R300" s="527">
        <f t="shared" ref="R300:AW300" si="429">(R284-R292)*R$232</f>
        <v>-7718.798975739116</v>
      </c>
      <c r="S300" s="527">
        <f t="shared" si="429"/>
        <v>-7718.798975739116</v>
      </c>
      <c r="T300" s="527">
        <f t="shared" si="429"/>
        <v>-7718.798975739116</v>
      </c>
      <c r="U300" s="527">
        <f t="shared" si="429"/>
        <v>-7718.798975739116</v>
      </c>
      <c r="V300" s="527">
        <f t="shared" si="429"/>
        <v>-7718.798975739116</v>
      </c>
      <c r="W300" s="527">
        <f t="shared" si="429"/>
        <v>-7718.798975739116</v>
      </c>
      <c r="X300" s="527">
        <f t="shared" si="429"/>
        <v>-7718.798975739116</v>
      </c>
      <c r="Y300" s="527">
        <f t="shared" si="429"/>
        <v>-7718.798975739116</v>
      </c>
      <c r="Z300" s="527">
        <f t="shared" si="429"/>
        <v>-7718.798975739116</v>
      </c>
      <c r="AA300" s="527">
        <f t="shared" si="429"/>
        <v>-7718.798975739116</v>
      </c>
      <c r="AB300" s="527">
        <f t="shared" si="429"/>
        <v>-7718.798975739116</v>
      </c>
      <c r="AC300" s="527">
        <f t="shared" si="429"/>
        <v>-7718.798975739116</v>
      </c>
      <c r="AD300" s="527">
        <f t="shared" si="429"/>
        <v>-7718.798975739116</v>
      </c>
      <c r="AE300" s="527">
        <f t="shared" si="429"/>
        <v>-7718.798975739116</v>
      </c>
      <c r="AF300" s="527">
        <f t="shared" si="429"/>
        <v>-7718.798975739116</v>
      </c>
      <c r="AG300" s="527">
        <f t="shared" si="429"/>
        <v>-7718.798975739116</v>
      </c>
      <c r="AH300" s="527">
        <f t="shared" si="429"/>
        <v>-7718.798975739116</v>
      </c>
      <c r="AI300" s="527">
        <f t="shared" si="429"/>
        <v>-7718.798975739116</v>
      </c>
      <c r="AJ300" s="527">
        <f t="shared" si="429"/>
        <v>-7718.798975739116</v>
      </c>
      <c r="AK300" s="527">
        <f t="shared" si="429"/>
        <v>-7718.798975739116</v>
      </c>
      <c r="AL300" s="527">
        <f t="shared" si="429"/>
        <v>-7718.798975739116</v>
      </c>
      <c r="AM300" s="527">
        <f t="shared" si="429"/>
        <v>-7718.798975739116</v>
      </c>
      <c r="AN300" s="527">
        <f t="shared" si="429"/>
        <v>-7718.798975739116</v>
      </c>
      <c r="AO300" s="527">
        <f t="shared" si="429"/>
        <v>-7718.798975739116</v>
      </c>
      <c r="AP300" s="527">
        <f t="shared" si="429"/>
        <v>-7718.798975739116</v>
      </c>
      <c r="AQ300" s="527">
        <f t="shared" si="429"/>
        <v>-7718.798975739116</v>
      </c>
      <c r="AR300" s="527">
        <f t="shared" si="429"/>
        <v>-7718.798975739116</v>
      </c>
      <c r="AS300" s="527">
        <f t="shared" si="429"/>
        <v>-7718.798975739116</v>
      </c>
      <c r="AT300" s="527">
        <f t="shared" si="429"/>
        <v>-7718.798975739116</v>
      </c>
      <c r="AU300" s="527">
        <f t="shared" si="429"/>
        <v>-7718.798975739116</v>
      </c>
      <c r="AV300" s="527">
        <f t="shared" si="429"/>
        <v>-8874.8703298113833</v>
      </c>
      <c r="AW300" s="527">
        <f t="shared" si="429"/>
        <v>-8874.8703298113833</v>
      </c>
      <c r="AX300" s="527">
        <f t="shared" ref="AX300:BY300" si="430">(AX284-AX292)*AX$232</f>
        <v>-8874.8703298113833</v>
      </c>
      <c r="AY300" s="527">
        <f t="shared" si="430"/>
        <v>-8874.8703298113833</v>
      </c>
      <c r="AZ300" s="527">
        <f t="shared" si="430"/>
        <v>-8874.8703298113833</v>
      </c>
      <c r="BA300" s="527">
        <f t="shared" si="430"/>
        <v>-8874.8703298113833</v>
      </c>
      <c r="BB300" s="527">
        <f t="shared" si="430"/>
        <v>-8588.0202566671578</v>
      </c>
      <c r="BC300" s="527">
        <f t="shared" si="430"/>
        <v>-8588.0202566671578</v>
      </c>
      <c r="BD300" s="527">
        <f t="shared" si="430"/>
        <v>-8588.0202566671578</v>
      </c>
      <c r="BE300" s="527">
        <f t="shared" si="430"/>
        <v>-8588.0202566671578</v>
      </c>
      <c r="BF300" s="527">
        <f t="shared" si="430"/>
        <v>-8588.0202566671578</v>
      </c>
      <c r="BG300" s="527">
        <f t="shared" si="430"/>
        <v>-8588.0202566671578</v>
      </c>
      <c r="BH300" s="527">
        <f t="shared" si="430"/>
        <v>-8899.0987590632794</v>
      </c>
      <c r="BI300" s="527">
        <f t="shared" si="430"/>
        <v>-8899.0987590632794</v>
      </c>
      <c r="BJ300" s="527">
        <f t="shared" si="430"/>
        <v>-8899.0987590632794</v>
      </c>
      <c r="BK300" s="527">
        <f t="shared" si="430"/>
        <v>-8899.0987590632794</v>
      </c>
      <c r="BL300" s="527">
        <f t="shared" si="430"/>
        <v>-8899.0987590632794</v>
      </c>
      <c r="BM300" s="527">
        <f t="shared" si="430"/>
        <v>-8899.0987590632794</v>
      </c>
      <c r="BN300" s="527">
        <f t="shared" si="430"/>
        <v>-8619.4015841614564</v>
      </c>
      <c r="BO300" s="527">
        <f t="shared" si="430"/>
        <v>-8619.4015841614564</v>
      </c>
      <c r="BP300" s="527">
        <f t="shared" si="430"/>
        <v>-8619.4015841614564</v>
      </c>
      <c r="BQ300" s="527">
        <f t="shared" si="430"/>
        <v>-8619.4015841614564</v>
      </c>
      <c r="BR300" s="527">
        <f t="shared" si="430"/>
        <v>-8619.4015841614564</v>
      </c>
      <c r="BS300" s="527">
        <f t="shared" si="430"/>
        <v>-8619.4015841614564</v>
      </c>
      <c r="BT300" s="527">
        <f t="shared" si="430"/>
        <v>-8928.8822236188735</v>
      </c>
      <c r="BU300" s="527">
        <f t="shared" si="430"/>
        <v>-8928.8822236188735</v>
      </c>
      <c r="BV300" s="527">
        <f t="shared" si="430"/>
        <v>-8928.8822236188735</v>
      </c>
      <c r="BW300" s="527">
        <f t="shared" si="430"/>
        <v>-8928.8822236188735</v>
      </c>
      <c r="BX300" s="527">
        <f t="shared" si="430"/>
        <v>-8928.8822236188735</v>
      </c>
      <c r="BY300" s="527">
        <f t="shared" si="430"/>
        <v>-8928.8822236188735</v>
      </c>
    </row>
    <row r="301" spans="1:77" x14ac:dyDescent="0.3">
      <c r="A301" s="551"/>
      <c r="B301" s="548"/>
      <c r="C301" s="525"/>
      <c r="D301" s="525"/>
      <c r="E301" s="628" t="str">
        <f>"WSM cost of sales: "&amp;E$158</f>
        <v>WSM cost of sales: FY30 Tranche</v>
      </c>
      <c r="F301" s="525"/>
      <c r="G301" s="525"/>
      <c r="H301" s="525"/>
      <c r="I301" s="525"/>
      <c r="J301" s="525"/>
      <c r="K301" s="525"/>
      <c r="L301" s="525"/>
      <c r="M301" s="525"/>
      <c r="N301" s="525"/>
      <c r="O301" s="525"/>
      <c r="P301" s="565"/>
      <c r="Q301" s="525"/>
      <c r="R301" s="527">
        <f t="shared" ref="R301:AW301" si="431">(R285-R293)*R$232</f>
        <v>-7718.798975739116</v>
      </c>
      <c r="S301" s="527">
        <f t="shared" si="431"/>
        <v>-7718.798975739116</v>
      </c>
      <c r="T301" s="527">
        <f t="shared" si="431"/>
        <v>-7718.798975739116</v>
      </c>
      <c r="U301" s="527">
        <f t="shared" si="431"/>
        <v>-7718.798975739116</v>
      </c>
      <c r="V301" s="527">
        <f t="shared" si="431"/>
        <v>-7718.798975739116</v>
      </c>
      <c r="W301" s="527">
        <f t="shared" si="431"/>
        <v>-7718.798975739116</v>
      </c>
      <c r="X301" s="527">
        <f t="shared" si="431"/>
        <v>-7718.798975739116</v>
      </c>
      <c r="Y301" s="527">
        <f t="shared" si="431"/>
        <v>-7718.798975739116</v>
      </c>
      <c r="Z301" s="527">
        <f t="shared" si="431"/>
        <v>-7718.798975739116</v>
      </c>
      <c r="AA301" s="527">
        <f t="shared" si="431"/>
        <v>-7718.798975739116</v>
      </c>
      <c r="AB301" s="527">
        <f t="shared" si="431"/>
        <v>-7718.798975739116</v>
      </c>
      <c r="AC301" s="527">
        <f t="shared" si="431"/>
        <v>-7718.798975739116</v>
      </c>
      <c r="AD301" s="527">
        <f t="shared" si="431"/>
        <v>-7718.798975739116</v>
      </c>
      <c r="AE301" s="527">
        <f t="shared" si="431"/>
        <v>-7718.798975739116</v>
      </c>
      <c r="AF301" s="527">
        <f t="shared" si="431"/>
        <v>-7718.798975739116</v>
      </c>
      <c r="AG301" s="527">
        <f t="shared" si="431"/>
        <v>-7718.798975739116</v>
      </c>
      <c r="AH301" s="527">
        <f t="shared" si="431"/>
        <v>-7718.798975739116</v>
      </c>
      <c r="AI301" s="527">
        <f t="shared" si="431"/>
        <v>-7718.798975739116</v>
      </c>
      <c r="AJ301" s="527">
        <f t="shared" si="431"/>
        <v>-7718.798975739116</v>
      </c>
      <c r="AK301" s="527">
        <f t="shared" si="431"/>
        <v>-7718.798975739116</v>
      </c>
      <c r="AL301" s="527">
        <f t="shared" si="431"/>
        <v>-7718.798975739116</v>
      </c>
      <c r="AM301" s="527">
        <f t="shared" si="431"/>
        <v>-7718.798975739116</v>
      </c>
      <c r="AN301" s="527">
        <f t="shared" si="431"/>
        <v>-7718.798975739116</v>
      </c>
      <c r="AO301" s="527">
        <f t="shared" si="431"/>
        <v>-7718.798975739116</v>
      </c>
      <c r="AP301" s="527">
        <f t="shared" si="431"/>
        <v>-7718.798975739116</v>
      </c>
      <c r="AQ301" s="527">
        <f t="shared" si="431"/>
        <v>-7718.798975739116</v>
      </c>
      <c r="AR301" s="527">
        <f t="shared" si="431"/>
        <v>-7718.798975739116</v>
      </c>
      <c r="AS301" s="527">
        <f t="shared" si="431"/>
        <v>-7718.798975739116</v>
      </c>
      <c r="AT301" s="527">
        <f t="shared" si="431"/>
        <v>-7718.798975739116</v>
      </c>
      <c r="AU301" s="527">
        <f t="shared" si="431"/>
        <v>-7718.798975739116</v>
      </c>
      <c r="AV301" s="527">
        <f t="shared" si="431"/>
        <v>-7718.798975739116</v>
      </c>
      <c r="AW301" s="527">
        <f t="shared" si="431"/>
        <v>-7718.798975739116</v>
      </c>
      <c r="AX301" s="527">
        <f t="shared" ref="AX301:BY301" si="432">(AX285-AX293)*AX$232</f>
        <v>-7718.798975739116</v>
      </c>
      <c r="AY301" s="527">
        <f t="shared" si="432"/>
        <v>-7718.798975739116</v>
      </c>
      <c r="AZ301" s="527">
        <f t="shared" si="432"/>
        <v>-7718.798975739116</v>
      </c>
      <c r="BA301" s="527">
        <f t="shared" si="432"/>
        <v>-7718.798975739116</v>
      </c>
      <c r="BB301" s="527">
        <f t="shared" si="432"/>
        <v>-7718.798975739116</v>
      </c>
      <c r="BC301" s="527">
        <f t="shared" si="432"/>
        <v>-7718.798975739116</v>
      </c>
      <c r="BD301" s="527">
        <f t="shared" si="432"/>
        <v>-7718.798975739116</v>
      </c>
      <c r="BE301" s="527">
        <f t="shared" si="432"/>
        <v>-7718.798975739116</v>
      </c>
      <c r="BF301" s="527">
        <f t="shared" si="432"/>
        <v>-7718.798975739116</v>
      </c>
      <c r="BG301" s="527">
        <f t="shared" si="432"/>
        <v>-7718.798975739116</v>
      </c>
      <c r="BH301" s="527">
        <f t="shared" si="432"/>
        <v>-8847.1565104409274</v>
      </c>
      <c r="BI301" s="527">
        <f t="shared" si="432"/>
        <v>-8847.1565104409274</v>
      </c>
      <c r="BJ301" s="527">
        <f t="shared" si="432"/>
        <v>-8847.1565104409274</v>
      </c>
      <c r="BK301" s="527">
        <f t="shared" si="432"/>
        <v>-8847.1565104409274</v>
      </c>
      <c r="BL301" s="527">
        <f t="shared" si="432"/>
        <v>-8847.1565104409274</v>
      </c>
      <c r="BM301" s="527">
        <f t="shared" si="432"/>
        <v>-8847.1565104409274</v>
      </c>
      <c r="BN301" s="527">
        <f t="shared" si="432"/>
        <v>-8569.7136554198696</v>
      </c>
      <c r="BO301" s="527">
        <f t="shared" si="432"/>
        <v>-8569.7136554198696</v>
      </c>
      <c r="BP301" s="527">
        <f t="shared" si="432"/>
        <v>-8569.7136554198696</v>
      </c>
      <c r="BQ301" s="527">
        <f t="shared" si="432"/>
        <v>-8569.7136554198696</v>
      </c>
      <c r="BR301" s="527">
        <f t="shared" si="432"/>
        <v>-8569.7136554198696</v>
      </c>
      <c r="BS301" s="527">
        <f t="shared" si="432"/>
        <v>-8569.7136554198696</v>
      </c>
      <c r="BT301" s="527">
        <f t="shared" si="432"/>
        <v>-8877.2067777276243</v>
      </c>
      <c r="BU301" s="527">
        <f t="shared" si="432"/>
        <v>-8877.2067777276243</v>
      </c>
      <c r="BV301" s="527">
        <f t="shared" si="432"/>
        <v>-8877.2067777276243</v>
      </c>
      <c r="BW301" s="527">
        <f t="shared" si="432"/>
        <v>-8877.2067777276243</v>
      </c>
      <c r="BX301" s="527">
        <f t="shared" si="432"/>
        <v>-8877.2067777276243</v>
      </c>
      <c r="BY301" s="527">
        <f t="shared" si="432"/>
        <v>-8877.2067777276243</v>
      </c>
    </row>
    <row r="302" spans="1:77" x14ac:dyDescent="0.3">
      <c r="A302" s="551"/>
      <c r="B302" s="548"/>
      <c r="C302" s="525"/>
      <c r="D302" s="525"/>
      <c r="E302" s="628" t="str">
        <f>"WSM cost of sales: "&amp;E$159</f>
        <v>WSM cost of sales: FY31 Tranche</v>
      </c>
      <c r="F302" s="525"/>
      <c r="G302" s="525"/>
      <c r="H302" s="525"/>
      <c r="I302" s="525"/>
      <c r="J302" s="525"/>
      <c r="K302" s="525"/>
      <c r="L302" s="525"/>
      <c r="M302" s="525"/>
      <c r="N302" s="525"/>
      <c r="O302" s="525"/>
      <c r="P302" s="565"/>
      <c r="Q302" s="525"/>
      <c r="R302" s="527">
        <f t="shared" ref="R302:AW302" si="433">(R286-R294)*R$232</f>
        <v>-7718.798975739116</v>
      </c>
      <c r="S302" s="527">
        <f t="shared" si="433"/>
        <v>-7718.798975739116</v>
      </c>
      <c r="T302" s="527">
        <f t="shared" si="433"/>
        <v>-7718.798975739116</v>
      </c>
      <c r="U302" s="527">
        <f t="shared" si="433"/>
        <v>-7718.798975739116</v>
      </c>
      <c r="V302" s="527">
        <f t="shared" si="433"/>
        <v>-7718.798975739116</v>
      </c>
      <c r="W302" s="527">
        <f t="shared" si="433"/>
        <v>-7718.798975739116</v>
      </c>
      <c r="X302" s="527">
        <f t="shared" si="433"/>
        <v>-7718.798975739116</v>
      </c>
      <c r="Y302" s="527">
        <f t="shared" si="433"/>
        <v>-7718.798975739116</v>
      </c>
      <c r="Z302" s="527">
        <f t="shared" si="433"/>
        <v>-7718.798975739116</v>
      </c>
      <c r="AA302" s="527">
        <f t="shared" si="433"/>
        <v>-7718.798975739116</v>
      </c>
      <c r="AB302" s="527">
        <f t="shared" si="433"/>
        <v>-7718.798975739116</v>
      </c>
      <c r="AC302" s="527">
        <f t="shared" si="433"/>
        <v>-7718.798975739116</v>
      </c>
      <c r="AD302" s="527">
        <f t="shared" si="433"/>
        <v>-7718.798975739116</v>
      </c>
      <c r="AE302" s="527">
        <f t="shared" si="433"/>
        <v>-7718.798975739116</v>
      </c>
      <c r="AF302" s="527">
        <f t="shared" si="433"/>
        <v>-7718.798975739116</v>
      </c>
      <c r="AG302" s="527">
        <f t="shared" si="433"/>
        <v>-7718.798975739116</v>
      </c>
      <c r="AH302" s="527">
        <f t="shared" si="433"/>
        <v>-7718.798975739116</v>
      </c>
      <c r="AI302" s="527">
        <f t="shared" si="433"/>
        <v>-7718.798975739116</v>
      </c>
      <c r="AJ302" s="527">
        <f t="shared" si="433"/>
        <v>-7718.798975739116</v>
      </c>
      <c r="AK302" s="527">
        <f t="shared" si="433"/>
        <v>-7718.798975739116</v>
      </c>
      <c r="AL302" s="527">
        <f t="shared" si="433"/>
        <v>-7718.798975739116</v>
      </c>
      <c r="AM302" s="527">
        <f t="shared" si="433"/>
        <v>-7718.798975739116</v>
      </c>
      <c r="AN302" s="527">
        <f t="shared" si="433"/>
        <v>-7718.798975739116</v>
      </c>
      <c r="AO302" s="527">
        <f t="shared" si="433"/>
        <v>-7718.798975739116</v>
      </c>
      <c r="AP302" s="527">
        <f t="shared" si="433"/>
        <v>-7718.798975739116</v>
      </c>
      <c r="AQ302" s="527">
        <f t="shared" si="433"/>
        <v>-7718.798975739116</v>
      </c>
      <c r="AR302" s="527">
        <f t="shared" si="433"/>
        <v>-7718.798975739116</v>
      </c>
      <c r="AS302" s="527">
        <f t="shared" si="433"/>
        <v>-7718.798975739116</v>
      </c>
      <c r="AT302" s="527">
        <f t="shared" si="433"/>
        <v>-7718.798975739116</v>
      </c>
      <c r="AU302" s="527">
        <f t="shared" si="433"/>
        <v>-7718.798975739116</v>
      </c>
      <c r="AV302" s="527">
        <f t="shared" si="433"/>
        <v>-7718.798975739116</v>
      </c>
      <c r="AW302" s="527">
        <f t="shared" si="433"/>
        <v>-7718.798975739116</v>
      </c>
      <c r="AX302" s="527">
        <f t="shared" ref="AX302:BY302" si="434">(AX286-AX294)*AX$232</f>
        <v>-7718.798975739116</v>
      </c>
      <c r="AY302" s="527">
        <f t="shared" si="434"/>
        <v>-7718.798975739116</v>
      </c>
      <c r="AZ302" s="527">
        <f t="shared" si="434"/>
        <v>-7718.798975739116</v>
      </c>
      <c r="BA302" s="527">
        <f t="shared" si="434"/>
        <v>-7718.798975739116</v>
      </c>
      <c r="BB302" s="527">
        <f t="shared" si="434"/>
        <v>-7718.798975739116</v>
      </c>
      <c r="BC302" s="527">
        <f t="shared" si="434"/>
        <v>-7718.798975739116</v>
      </c>
      <c r="BD302" s="527">
        <f t="shared" si="434"/>
        <v>-7718.798975739116</v>
      </c>
      <c r="BE302" s="527">
        <f t="shared" si="434"/>
        <v>-7718.798975739116</v>
      </c>
      <c r="BF302" s="527">
        <f t="shared" si="434"/>
        <v>-7718.798975739116</v>
      </c>
      <c r="BG302" s="527">
        <f t="shared" si="434"/>
        <v>-7718.798975739116</v>
      </c>
      <c r="BH302" s="527">
        <f t="shared" si="434"/>
        <v>-7718.798975739116</v>
      </c>
      <c r="BI302" s="527">
        <f t="shared" si="434"/>
        <v>-7718.798975739116</v>
      </c>
      <c r="BJ302" s="527">
        <f t="shared" si="434"/>
        <v>-7718.798975739116</v>
      </c>
      <c r="BK302" s="527">
        <f t="shared" si="434"/>
        <v>-7718.798975739116</v>
      </c>
      <c r="BL302" s="527">
        <f t="shared" si="434"/>
        <v>-7718.798975739116</v>
      </c>
      <c r="BM302" s="527">
        <f t="shared" si="434"/>
        <v>-7718.798975739116</v>
      </c>
      <c r="BN302" s="527">
        <f t="shared" si="434"/>
        <v>-7718.798975739116</v>
      </c>
      <c r="BO302" s="527">
        <f t="shared" si="434"/>
        <v>-7718.798975739116</v>
      </c>
      <c r="BP302" s="527">
        <f t="shared" si="434"/>
        <v>-7718.798975739116</v>
      </c>
      <c r="BQ302" s="527">
        <f t="shared" si="434"/>
        <v>-7718.798975739116</v>
      </c>
      <c r="BR302" s="527">
        <f t="shared" si="434"/>
        <v>-7718.798975739116</v>
      </c>
      <c r="BS302" s="527">
        <f t="shared" si="434"/>
        <v>-7718.798975739116</v>
      </c>
      <c r="BT302" s="527">
        <f t="shared" si="434"/>
        <v>-8819.2504995279523</v>
      </c>
      <c r="BU302" s="527">
        <f t="shared" si="434"/>
        <v>-8819.2504995279523</v>
      </c>
      <c r="BV302" s="527">
        <f t="shared" si="434"/>
        <v>-8819.2504995279523</v>
      </c>
      <c r="BW302" s="527">
        <f t="shared" si="434"/>
        <v>-8819.2504995279523</v>
      </c>
      <c r="BX302" s="527">
        <f t="shared" si="434"/>
        <v>-8819.2504995279523</v>
      </c>
      <c r="BY302" s="527">
        <f t="shared" si="434"/>
        <v>-8819.2504995279523</v>
      </c>
    </row>
    <row r="303" spans="1:77" x14ac:dyDescent="0.3">
      <c r="A303" s="551"/>
      <c r="B303" s="548"/>
      <c r="C303" s="525"/>
      <c r="D303" s="525"/>
      <c r="E303" s="628" t="str">
        <f>"WSM cost of sales: "&amp;E$160</f>
        <v>WSM cost of sales: Uninvested Tranche</v>
      </c>
      <c r="F303" s="525"/>
      <c r="G303" s="525"/>
      <c r="H303" s="525"/>
      <c r="I303" s="525"/>
      <c r="J303" s="525"/>
      <c r="K303" s="525"/>
      <c r="L303" s="525"/>
      <c r="M303" s="525"/>
      <c r="N303" s="525"/>
      <c r="O303" s="525"/>
      <c r="P303" s="565"/>
      <c r="Q303" s="525"/>
      <c r="R303" s="527">
        <f t="shared" ref="R303:AW303" si="435">(R287-R295)*R$232</f>
        <v>-17253.785945769789</v>
      </c>
      <c r="S303" s="527">
        <f t="shared" si="435"/>
        <v>-17253.785945769789</v>
      </c>
      <c r="T303" s="527">
        <f t="shared" si="435"/>
        <v>-17253.785945769789</v>
      </c>
      <c r="U303" s="527">
        <f t="shared" si="435"/>
        <v>-17253.785945769789</v>
      </c>
      <c r="V303" s="527">
        <f t="shared" si="435"/>
        <v>-17253.785945769789</v>
      </c>
      <c r="W303" s="527">
        <f t="shared" si="435"/>
        <v>-17253.785945769789</v>
      </c>
      <c r="X303" s="527">
        <f t="shared" si="435"/>
        <v>-17253.785945769789</v>
      </c>
      <c r="Y303" s="527">
        <f t="shared" si="435"/>
        <v>-17253.785945769789</v>
      </c>
      <c r="Z303" s="527">
        <f t="shared" si="435"/>
        <v>-17253.785945769789</v>
      </c>
      <c r="AA303" s="527">
        <f t="shared" si="435"/>
        <v>-17253.785945769789</v>
      </c>
      <c r="AB303" s="527">
        <f t="shared" si="435"/>
        <v>-17253.785945769789</v>
      </c>
      <c r="AC303" s="527">
        <f t="shared" si="435"/>
        <v>-17253.785945769789</v>
      </c>
      <c r="AD303" s="527">
        <f t="shared" si="435"/>
        <v>-17253.785945769789</v>
      </c>
      <c r="AE303" s="527">
        <f t="shared" si="435"/>
        <v>-17253.785945769789</v>
      </c>
      <c r="AF303" s="527">
        <f t="shared" si="435"/>
        <v>-17253.785945769789</v>
      </c>
      <c r="AG303" s="527">
        <f t="shared" si="435"/>
        <v>-17253.785945769789</v>
      </c>
      <c r="AH303" s="527">
        <f t="shared" si="435"/>
        <v>-17253.785945769789</v>
      </c>
      <c r="AI303" s="527">
        <f t="shared" si="435"/>
        <v>-17253.785945769789</v>
      </c>
      <c r="AJ303" s="527">
        <f t="shared" si="435"/>
        <v>-17253.785945769789</v>
      </c>
      <c r="AK303" s="527">
        <f t="shared" si="435"/>
        <v>-17253.785945769789</v>
      </c>
      <c r="AL303" s="527">
        <f t="shared" si="435"/>
        <v>-17253.785945769789</v>
      </c>
      <c r="AM303" s="527">
        <f t="shared" si="435"/>
        <v>-17253.785945769789</v>
      </c>
      <c r="AN303" s="527">
        <f t="shared" si="435"/>
        <v>-17253.785945769789</v>
      </c>
      <c r="AO303" s="527">
        <f t="shared" si="435"/>
        <v>-17253.785945769789</v>
      </c>
      <c r="AP303" s="527">
        <f t="shared" si="435"/>
        <v>-17253.785945769789</v>
      </c>
      <c r="AQ303" s="527">
        <f t="shared" si="435"/>
        <v>-17253.785945769789</v>
      </c>
      <c r="AR303" s="527">
        <f t="shared" si="435"/>
        <v>-17253.785945769789</v>
      </c>
      <c r="AS303" s="527">
        <f t="shared" si="435"/>
        <v>-17253.785945769789</v>
      </c>
      <c r="AT303" s="527">
        <f t="shared" si="435"/>
        <v>-17253.785945769789</v>
      </c>
      <c r="AU303" s="527">
        <f t="shared" si="435"/>
        <v>-17253.785945769789</v>
      </c>
      <c r="AV303" s="527">
        <f t="shared" si="435"/>
        <v>-17253.785945769789</v>
      </c>
      <c r="AW303" s="527">
        <f t="shared" si="435"/>
        <v>-17253.785945769789</v>
      </c>
      <c r="AX303" s="527">
        <f t="shared" ref="AX303:BY303" si="436">(AX287-AX295)*AX$232</f>
        <v>-17253.785945769789</v>
      </c>
      <c r="AY303" s="527">
        <f t="shared" si="436"/>
        <v>-17253.785945769789</v>
      </c>
      <c r="AZ303" s="527">
        <f t="shared" si="436"/>
        <v>-17253.785945769789</v>
      </c>
      <c r="BA303" s="527">
        <f t="shared" si="436"/>
        <v>-17253.785945769789</v>
      </c>
      <c r="BB303" s="527">
        <f t="shared" si="436"/>
        <v>-17253.785945769789</v>
      </c>
      <c r="BC303" s="527">
        <f t="shared" si="436"/>
        <v>-17253.785945769789</v>
      </c>
      <c r="BD303" s="527">
        <f t="shared" si="436"/>
        <v>-17253.785945769789</v>
      </c>
      <c r="BE303" s="527">
        <f t="shared" si="436"/>
        <v>-17253.785945769789</v>
      </c>
      <c r="BF303" s="527">
        <f t="shared" si="436"/>
        <v>-17253.785945769789</v>
      </c>
      <c r="BG303" s="527">
        <f t="shared" si="436"/>
        <v>-17253.785945769789</v>
      </c>
      <c r="BH303" s="527">
        <f t="shared" si="436"/>
        <v>-17253.785945769789</v>
      </c>
      <c r="BI303" s="527">
        <f t="shared" si="436"/>
        <v>-17253.785945769789</v>
      </c>
      <c r="BJ303" s="527">
        <f t="shared" si="436"/>
        <v>-17253.785945769789</v>
      </c>
      <c r="BK303" s="527">
        <f t="shared" si="436"/>
        <v>-17253.785945769789</v>
      </c>
      <c r="BL303" s="527">
        <f t="shared" si="436"/>
        <v>-17253.785945769789</v>
      </c>
      <c r="BM303" s="527">
        <f t="shared" si="436"/>
        <v>-17253.785945769789</v>
      </c>
      <c r="BN303" s="527">
        <f t="shared" si="436"/>
        <v>-17253.785945769789</v>
      </c>
      <c r="BO303" s="527">
        <f t="shared" si="436"/>
        <v>-17253.785945769789</v>
      </c>
      <c r="BP303" s="527">
        <f t="shared" si="436"/>
        <v>-17253.785945769789</v>
      </c>
      <c r="BQ303" s="527">
        <f t="shared" si="436"/>
        <v>-17253.785945769789</v>
      </c>
      <c r="BR303" s="527">
        <f t="shared" si="436"/>
        <v>-17253.785945769789</v>
      </c>
      <c r="BS303" s="527">
        <f t="shared" si="436"/>
        <v>-17253.785945769789</v>
      </c>
      <c r="BT303" s="527">
        <f t="shared" si="436"/>
        <v>-17253.785945769789</v>
      </c>
      <c r="BU303" s="527">
        <f t="shared" si="436"/>
        <v>-17253.785945769789</v>
      </c>
      <c r="BV303" s="527">
        <f t="shared" si="436"/>
        <v>-17253.785945769789</v>
      </c>
      <c r="BW303" s="527">
        <f t="shared" si="436"/>
        <v>-17253.785945769789</v>
      </c>
      <c r="BX303" s="527">
        <f t="shared" si="436"/>
        <v>-17253.785945769789</v>
      </c>
      <c r="BY303" s="527">
        <f t="shared" si="436"/>
        <v>-17253.785945769789</v>
      </c>
    </row>
    <row r="304" spans="1:77" x14ac:dyDescent="0.3">
      <c r="A304" s="551"/>
      <c r="B304" s="548"/>
      <c r="C304" s="525"/>
      <c r="D304" s="525"/>
      <c r="E304" s="572" t="s">
        <v>36</v>
      </c>
      <c r="F304" s="572"/>
      <c r="G304" s="572"/>
      <c r="H304" s="572"/>
      <c r="I304" s="572"/>
      <c r="J304" s="572"/>
      <c r="K304" s="572"/>
      <c r="L304" s="572"/>
      <c r="M304" s="572"/>
      <c r="N304" s="572"/>
      <c r="O304" s="572"/>
      <c r="P304" s="612"/>
      <c r="Q304" s="572"/>
      <c r="R304" s="530">
        <f t="shared" ref="R304:AW304" si="437">SUM(R298:R303)</f>
        <v>-55847.780824465372</v>
      </c>
      <c r="S304" s="530">
        <f t="shared" si="437"/>
        <v>-55847.780824465372</v>
      </c>
      <c r="T304" s="530">
        <f t="shared" si="437"/>
        <v>-55847.780824465372</v>
      </c>
      <c r="U304" s="530">
        <f t="shared" si="437"/>
        <v>-55847.780824465372</v>
      </c>
      <c r="V304" s="530">
        <f t="shared" si="437"/>
        <v>-55847.780824465372</v>
      </c>
      <c r="W304" s="530">
        <f t="shared" si="437"/>
        <v>-55847.780824465372</v>
      </c>
      <c r="X304" s="530">
        <f t="shared" si="437"/>
        <v>-57064.411994807233</v>
      </c>
      <c r="Y304" s="530">
        <f t="shared" si="437"/>
        <v>-57064.411994807233</v>
      </c>
      <c r="Z304" s="530">
        <f t="shared" si="437"/>
        <v>-57064.411994807233</v>
      </c>
      <c r="AA304" s="530">
        <f t="shared" si="437"/>
        <v>-57064.411994807233</v>
      </c>
      <c r="AB304" s="530">
        <f t="shared" si="437"/>
        <v>-57064.411994807233</v>
      </c>
      <c r="AC304" s="530">
        <f t="shared" si="437"/>
        <v>-57064.411994807233</v>
      </c>
      <c r="AD304" s="530">
        <f t="shared" si="437"/>
        <v>-56733.35185919037</v>
      </c>
      <c r="AE304" s="530">
        <f t="shared" si="437"/>
        <v>-56733.35185919037</v>
      </c>
      <c r="AF304" s="530">
        <f t="shared" si="437"/>
        <v>-56733.35185919037</v>
      </c>
      <c r="AG304" s="530">
        <f t="shared" si="437"/>
        <v>-56733.35185919037</v>
      </c>
      <c r="AH304" s="530">
        <f t="shared" si="437"/>
        <v>-56733.35185919037</v>
      </c>
      <c r="AI304" s="530">
        <f t="shared" si="437"/>
        <v>-56733.35185919037</v>
      </c>
      <c r="AJ304" s="530">
        <f t="shared" si="437"/>
        <v>-58236.007037413336</v>
      </c>
      <c r="AK304" s="530">
        <f t="shared" si="437"/>
        <v>-58236.007037413336</v>
      </c>
      <c r="AL304" s="530">
        <f t="shared" si="437"/>
        <v>-58236.007037413336</v>
      </c>
      <c r="AM304" s="530">
        <f t="shared" si="437"/>
        <v>-58236.007037413336</v>
      </c>
      <c r="AN304" s="530">
        <f t="shared" si="437"/>
        <v>-58236.007037413336</v>
      </c>
      <c r="AO304" s="530">
        <f t="shared" si="437"/>
        <v>-58236.007037413336</v>
      </c>
      <c r="AP304" s="530">
        <f t="shared" si="437"/>
        <v>-57611.050060149893</v>
      </c>
      <c r="AQ304" s="530">
        <f t="shared" si="437"/>
        <v>-57611.050060149893</v>
      </c>
      <c r="AR304" s="530">
        <f t="shared" si="437"/>
        <v>-57611.050060149893</v>
      </c>
      <c r="AS304" s="530">
        <f t="shared" si="437"/>
        <v>-57611.050060149893</v>
      </c>
      <c r="AT304" s="530">
        <f t="shared" si="437"/>
        <v>-57611.050060149893</v>
      </c>
      <c r="AU304" s="530">
        <f t="shared" si="437"/>
        <v>-57611.050060149893</v>
      </c>
      <c r="AV304" s="530">
        <f t="shared" si="437"/>
        <v>-59395.785109979173</v>
      </c>
      <c r="AW304" s="530">
        <f t="shared" si="437"/>
        <v>-59395.785109979173</v>
      </c>
      <c r="AX304" s="530">
        <f t="shared" ref="AX304:BY304" si="438">SUM(AX298:AX303)</f>
        <v>-59395.785109979173</v>
      </c>
      <c r="AY304" s="530">
        <f t="shared" si="438"/>
        <v>-59395.785109979173</v>
      </c>
      <c r="AZ304" s="530">
        <f t="shared" si="438"/>
        <v>-59395.785109979173</v>
      </c>
      <c r="BA304" s="530">
        <f t="shared" si="438"/>
        <v>-59395.785109979173</v>
      </c>
      <c r="BB304" s="530">
        <f t="shared" si="438"/>
        <v>-58531.744428267659</v>
      </c>
      <c r="BC304" s="530">
        <f t="shared" si="438"/>
        <v>-58531.744428267659</v>
      </c>
      <c r="BD304" s="530">
        <f t="shared" si="438"/>
        <v>-58531.744428267659</v>
      </c>
      <c r="BE304" s="530">
        <f t="shared" si="438"/>
        <v>-58531.744428267659</v>
      </c>
      <c r="BF304" s="530">
        <f t="shared" si="438"/>
        <v>-58531.744428267659</v>
      </c>
      <c r="BG304" s="530">
        <f t="shared" si="438"/>
        <v>-58531.744428267659</v>
      </c>
      <c r="BH304" s="530">
        <f t="shared" si="438"/>
        <v>-60596.389460598555</v>
      </c>
      <c r="BI304" s="530">
        <f t="shared" si="438"/>
        <v>-60596.389460598555</v>
      </c>
      <c r="BJ304" s="530">
        <f t="shared" si="438"/>
        <v>-60596.389460598555</v>
      </c>
      <c r="BK304" s="530">
        <f t="shared" si="438"/>
        <v>-60596.389460598555</v>
      </c>
      <c r="BL304" s="530">
        <f t="shared" si="438"/>
        <v>-60596.389460598555</v>
      </c>
      <c r="BM304" s="530">
        <f t="shared" si="438"/>
        <v>-60596.389460598555</v>
      </c>
      <c r="BN304" s="530">
        <f t="shared" si="438"/>
        <v>-59476.411174694847</v>
      </c>
      <c r="BO304" s="530">
        <f t="shared" si="438"/>
        <v>-59476.411174694847</v>
      </c>
      <c r="BP304" s="530">
        <f t="shared" si="438"/>
        <v>-59476.411174694847</v>
      </c>
      <c r="BQ304" s="530">
        <f t="shared" si="438"/>
        <v>-59476.411174694847</v>
      </c>
      <c r="BR304" s="530">
        <f t="shared" si="438"/>
        <v>-59476.411174694847</v>
      </c>
      <c r="BS304" s="530">
        <f t="shared" si="438"/>
        <v>-59476.411174694847</v>
      </c>
      <c r="BT304" s="530">
        <f t="shared" si="438"/>
        <v>-61815.834052974955</v>
      </c>
      <c r="BU304" s="530">
        <f t="shared" si="438"/>
        <v>-61815.834052974955</v>
      </c>
      <c r="BV304" s="530">
        <f t="shared" si="438"/>
        <v>-61815.834052974955</v>
      </c>
      <c r="BW304" s="530">
        <f t="shared" si="438"/>
        <v>-61815.834052974955</v>
      </c>
      <c r="BX304" s="530">
        <f t="shared" si="438"/>
        <v>-61815.834052974955</v>
      </c>
      <c r="BY304" s="530">
        <f t="shared" si="438"/>
        <v>-61815.834052974955</v>
      </c>
    </row>
    <row r="305" spans="1:77" x14ac:dyDescent="0.3">
      <c r="A305" s="551"/>
      <c r="B305" s="548"/>
      <c r="C305" s="525"/>
      <c r="D305" s="525"/>
      <c r="E305" s="525"/>
      <c r="F305" s="525"/>
      <c r="G305" s="525"/>
      <c r="H305" s="525"/>
      <c r="I305" s="525"/>
      <c r="J305" s="525"/>
      <c r="K305" s="525"/>
      <c r="L305" s="525"/>
      <c r="M305" s="525"/>
      <c r="N305" s="525"/>
      <c r="O305" s="525"/>
      <c r="P305" s="565"/>
      <c r="Q305" s="525"/>
      <c r="R305" s="525"/>
      <c r="S305" s="525"/>
      <c r="T305" s="525"/>
      <c r="U305" s="525"/>
      <c r="V305" s="525"/>
      <c r="W305" s="525"/>
      <c r="X305" s="525"/>
      <c r="Y305" s="525"/>
      <c r="Z305" s="525"/>
      <c r="AA305" s="525"/>
      <c r="AB305" s="525"/>
      <c r="AC305" s="525"/>
      <c r="AD305" s="525"/>
      <c r="AE305" s="525"/>
      <c r="AF305" s="525"/>
      <c r="AG305" s="525"/>
      <c r="AH305" s="525"/>
      <c r="AI305" s="525"/>
      <c r="AJ305" s="525"/>
      <c r="AK305" s="525"/>
      <c r="AL305" s="525"/>
      <c r="AM305" s="525"/>
      <c r="AN305" s="525"/>
      <c r="AO305" s="525"/>
      <c r="AP305" s="525"/>
      <c r="AQ305" s="525"/>
      <c r="AR305" s="525"/>
      <c r="AS305" s="525"/>
      <c r="AT305" s="525"/>
      <c r="AU305" s="525"/>
      <c r="AV305" s="525"/>
      <c r="AW305" s="525"/>
      <c r="AX305" s="525"/>
      <c r="AY305" s="525"/>
      <c r="AZ305" s="525"/>
      <c r="BA305" s="525"/>
      <c r="BB305" s="525"/>
      <c r="BC305" s="525"/>
      <c r="BD305" s="525"/>
      <c r="BE305" s="525"/>
      <c r="BF305" s="525"/>
      <c r="BG305" s="525"/>
      <c r="BH305" s="525"/>
      <c r="BI305" s="525"/>
      <c r="BJ305" s="525"/>
      <c r="BK305" s="525"/>
      <c r="BL305" s="525"/>
      <c r="BM305" s="525"/>
      <c r="BN305" s="525"/>
      <c r="BO305" s="525"/>
      <c r="BP305" s="525"/>
      <c r="BQ305" s="525"/>
      <c r="BR305" s="525"/>
      <c r="BS305" s="525"/>
      <c r="BT305" s="525"/>
      <c r="BU305" s="525"/>
      <c r="BV305" s="525"/>
      <c r="BW305" s="525"/>
      <c r="BX305" s="525"/>
      <c r="BY305" s="525"/>
    </row>
    <row r="306" spans="1:77" x14ac:dyDescent="0.3">
      <c r="A306" s="551"/>
      <c r="B306" s="548"/>
      <c r="C306" s="525"/>
      <c r="D306" s="525"/>
      <c r="E306" s="629" t="str">
        <f>"WSM dist &amp; disp: "&amp;E$155</f>
        <v>WSM dist &amp; disp: FY27 Tranche</v>
      </c>
      <c r="F306" s="525"/>
      <c r="G306" s="525"/>
      <c r="H306" s="525"/>
      <c r="I306" s="525"/>
      <c r="J306" s="525"/>
      <c r="K306" s="525"/>
      <c r="L306" s="525"/>
      <c r="M306" s="525"/>
      <c r="N306" s="525"/>
      <c r="O306" s="525"/>
      <c r="P306" s="565"/>
      <c r="Q306" s="525"/>
      <c r="R306" s="527">
        <f t="shared" ref="R306:AW306" si="439">(R282-R290)*R$233</f>
        <v>-933.37079034193232</v>
      </c>
      <c r="S306" s="527">
        <f t="shared" si="439"/>
        <v>-933.37079034193232</v>
      </c>
      <c r="T306" s="527">
        <f t="shared" si="439"/>
        <v>-933.37079034193232</v>
      </c>
      <c r="U306" s="527">
        <f t="shared" si="439"/>
        <v>-933.37079034193232</v>
      </c>
      <c r="V306" s="527">
        <f t="shared" si="439"/>
        <v>-933.37079034193232</v>
      </c>
      <c r="W306" s="527">
        <f t="shared" si="439"/>
        <v>-933.37079034193232</v>
      </c>
      <c r="X306" s="527">
        <f t="shared" si="439"/>
        <v>-1080.4879779492016</v>
      </c>
      <c r="Y306" s="527">
        <f t="shared" si="439"/>
        <v>-1080.4879779492016</v>
      </c>
      <c r="Z306" s="527">
        <f t="shared" si="439"/>
        <v>-1080.4879779492016</v>
      </c>
      <c r="AA306" s="527">
        <f t="shared" si="439"/>
        <v>-1080.4879779492016</v>
      </c>
      <c r="AB306" s="527">
        <f t="shared" si="439"/>
        <v>-1080.4879779492016</v>
      </c>
      <c r="AC306" s="527">
        <f t="shared" si="439"/>
        <v>-1080.4879779492016</v>
      </c>
      <c r="AD306" s="527">
        <f t="shared" si="439"/>
        <v>-1040.4556022645081</v>
      </c>
      <c r="AE306" s="527">
        <f t="shared" si="439"/>
        <v>-1040.4556022645081</v>
      </c>
      <c r="AF306" s="527">
        <f t="shared" si="439"/>
        <v>-1040.4556022645081</v>
      </c>
      <c r="AG306" s="527">
        <f t="shared" si="439"/>
        <v>-1040.4556022645081</v>
      </c>
      <c r="AH306" s="527">
        <f t="shared" si="439"/>
        <v>-1040.4556022645081</v>
      </c>
      <c r="AI306" s="527">
        <f t="shared" si="439"/>
        <v>-1040.4556022645081</v>
      </c>
      <c r="AJ306" s="527">
        <f t="shared" si="439"/>
        <v>-1078.8136002263686</v>
      </c>
      <c r="AK306" s="527">
        <f t="shared" si="439"/>
        <v>-1078.8136002263686</v>
      </c>
      <c r="AL306" s="527">
        <f t="shared" si="439"/>
        <v>-1078.8136002263686</v>
      </c>
      <c r="AM306" s="527">
        <f t="shared" si="439"/>
        <v>-1078.8136002263686</v>
      </c>
      <c r="AN306" s="527">
        <f t="shared" si="439"/>
        <v>-1078.8136002263686</v>
      </c>
      <c r="AO306" s="527">
        <f t="shared" si="439"/>
        <v>-1078.8136002263686</v>
      </c>
      <c r="AP306" s="527">
        <f t="shared" si="439"/>
        <v>-1040.9797144221823</v>
      </c>
      <c r="AQ306" s="527">
        <f t="shared" si="439"/>
        <v>-1040.9797144221823</v>
      </c>
      <c r="AR306" s="527">
        <f t="shared" si="439"/>
        <v>-1040.9797144221823</v>
      </c>
      <c r="AS306" s="527">
        <f t="shared" si="439"/>
        <v>-1040.9797144221823</v>
      </c>
      <c r="AT306" s="527">
        <f t="shared" si="439"/>
        <v>-1040.9797144221823</v>
      </c>
      <c r="AU306" s="527">
        <f t="shared" si="439"/>
        <v>-1040.9797144221823</v>
      </c>
      <c r="AV306" s="527">
        <f t="shared" si="439"/>
        <v>-1079.029280465297</v>
      </c>
      <c r="AW306" s="527">
        <f t="shared" si="439"/>
        <v>-1079.029280465297</v>
      </c>
      <c r="AX306" s="527">
        <f t="shared" ref="AX306:BY306" si="440">(AX282-AX290)*AX$233</f>
        <v>-1079.029280465297</v>
      </c>
      <c r="AY306" s="527">
        <f t="shared" si="440"/>
        <v>-1079.029280465297</v>
      </c>
      <c r="AZ306" s="527">
        <f t="shared" si="440"/>
        <v>-1079.029280465297</v>
      </c>
      <c r="BA306" s="527">
        <f t="shared" si="440"/>
        <v>-1079.029280465297</v>
      </c>
      <c r="BB306" s="527">
        <f t="shared" si="440"/>
        <v>-1044.0863267646062</v>
      </c>
      <c r="BC306" s="527">
        <f t="shared" si="440"/>
        <v>-1044.0863267646062</v>
      </c>
      <c r="BD306" s="527">
        <f t="shared" si="440"/>
        <v>-1044.0863267646062</v>
      </c>
      <c r="BE306" s="527">
        <f t="shared" si="440"/>
        <v>-1044.0863267646062</v>
      </c>
      <c r="BF306" s="527">
        <f t="shared" si="440"/>
        <v>-1044.0863267646062</v>
      </c>
      <c r="BG306" s="527">
        <f t="shared" si="440"/>
        <v>-1044.0863267646062</v>
      </c>
      <c r="BH306" s="527">
        <f t="shared" si="440"/>
        <v>-1081.9267987298601</v>
      </c>
      <c r="BI306" s="527">
        <f t="shared" si="440"/>
        <v>-1081.9267987298601</v>
      </c>
      <c r="BJ306" s="527">
        <f t="shared" si="440"/>
        <v>-1081.9267987298601</v>
      </c>
      <c r="BK306" s="527">
        <f t="shared" si="440"/>
        <v>-1081.9267987298601</v>
      </c>
      <c r="BL306" s="527">
        <f t="shared" si="440"/>
        <v>-1081.9267987298601</v>
      </c>
      <c r="BM306" s="527">
        <f t="shared" si="440"/>
        <v>-1081.9267987298601</v>
      </c>
      <c r="BN306" s="527">
        <f t="shared" si="440"/>
        <v>-1047.8522078150645</v>
      </c>
      <c r="BO306" s="527">
        <f t="shared" si="440"/>
        <v>-1047.8522078150645</v>
      </c>
      <c r="BP306" s="527">
        <f t="shared" si="440"/>
        <v>-1047.8522078150645</v>
      </c>
      <c r="BQ306" s="527">
        <f t="shared" si="440"/>
        <v>-1047.8522078150645</v>
      </c>
      <c r="BR306" s="527">
        <f t="shared" si="440"/>
        <v>-1047.8522078150645</v>
      </c>
      <c r="BS306" s="527">
        <f t="shared" si="440"/>
        <v>-1047.8522078150645</v>
      </c>
      <c r="BT306" s="527">
        <f t="shared" si="440"/>
        <v>-1085.4983111972419</v>
      </c>
      <c r="BU306" s="527">
        <f t="shared" si="440"/>
        <v>-1085.4983111972419</v>
      </c>
      <c r="BV306" s="527">
        <f t="shared" si="440"/>
        <v>-1085.4983111972419</v>
      </c>
      <c r="BW306" s="527">
        <f t="shared" si="440"/>
        <v>-1085.4983111972419</v>
      </c>
      <c r="BX306" s="527">
        <f t="shared" si="440"/>
        <v>-1085.4983111972419</v>
      </c>
      <c r="BY306" s="527">
        <f t="shared" si="440"/>
        <v>-1085.4983111972419</v>
      </c>
    </row>
    <row r="307" spans="1:77" x14ac:dyDescent="0.3">
      <c r="A307" s="551"/>
      <c r="B307" s="548"/>
      <c r="C307" s="525"/>
      <c r="D307" s="525"/>
      <c r="E307" s="629" t="str">
        <f>"WSM dist &amp; disp: "&amp;E$156</f>
        <v>WSM dist &amp; disp: FY28 Tranche</v>
      </c>
      <c r="F307" s="525"/>
      <c r="G307" s="525"/>
      <c r="H307" s="525"/>
      <c r="I307" s="525"/>
      <c r="J307" s="525"/>
      <c r="K307" s="525"/>
      <c r="L307" s="525"/>
      <c r="M307" s="525"/>
      <c r="N307" s="525"/>
      <c r="O307" s="525"/>
      <c r="P307" s="565"/>
      <c r="Q307" s="525"/>
      <c r="R307" s="527">
        <f t="shared" ref="R307:AW307" si="441">(R283-R291)*R$233</f>
        <v>-933.37079034193232</v>
      </c>
      <c r="S307" s="527">
        <f t="shared" si="441"/>
        <v>-933.37079034193232</v>
      </c>
      <c r="T307" s="527">
        <f t="shared" si="441"/>
        <v>-933.37079034193232</v>
      </c>
      <c r="U307" s="527">
        <f t="shared" si="441"/>
        <v>-933.37079034193232</v>
      </c>
      <c r="V307" s="527">
        <f t="shared" si="441"/>
        <v>-933.37079034193232</v>
      </c>
      <c r="W307" s="527">
        <f t="shared" si="441"/>
        <v>-933.37079034193232</v>
      </c>
      <c r="X307" s="527">
        <f t="shared" si="441"/>
        <v>-933.37079034193232</v>
      </c>
      <c r="Y307" s="527">
        <f t="shared" si="441"/>
        <v>-933.37079034193232</v>
      </c>
      <c r="Z307" s="527">
        <f t="shared" si="441"/>
        <v>-933.37079034193232</v>
      </c>
      <c r="AA307" s="527">
        <f t="shared" si="441"/>
        <v>-933.37079034193232</v>
      </c>
      <c r="AB307" s="527">
        <f t="shared" si="441"/>
        <v>-933.37079034193232</v>
      </c>
      <c r="AC307" s="527">
        <f t="shared" si="441"/>
        <v>-933.37079034193232</v>
      </c>
      <c r="AD307" s="527">
        <f t="shared" si="441"/>
        <v>-933.37079034193232</v>
      </c>
      <c r="AE307" s="527">
        <f t="shared" si="441"/>
        <v>-933.37079034193232</v>
      </c>
      <c r="AF307" s="527">
        <f t="shared" si="441"/>
        <v>-933.37079034193232</v>
      </c>
      <c r="AG307" s="527">
        <f t="shared" si="441"/>
        <v>-933.37079034193232</v>
      </c>
      <c r="AH307" s="527">
        <f t="shared" si="441"/>
        <v>-933.37079034193232</v>
      </c>
      <c r="AI307" s="527">
        <f t="shared" si="441"/>
        <v>-933.37079034193232</v>
      </c>
      <c r="AJ307" s="527">
        <f t="shared" si="441"/>
        <v>-1076.7165076494625</v>
      </c>
      <c r="AK307" s="527">
        <f t="shared" si="441"/>
        <v>-1076.7165076494625</v>
      </c>
      <c r="AL307" s="527">
        <f t="shared" si="441"/>
        <v>-1076.7165076494625</v>
      </c>
      <c r="AM307" s="527">
        <f t="shared" si="441"/>
        <v>-1076.7165076494625</v>
      </c>
      <c r="AN307" s="527">
        <f t="shared" si="441"/>
        <v>-1076.7165076494625</v>
      </c>
      <c r="AO307" s="527">
        <f t="shared" si="441"/>
        <v>-1076.7165076494625</v>
      </c>
      <c r="AP307" s="527">
        <f t="shared" si="441"/>
        <v>-1038.9794931579563</v>
      </c>
      <c r="AQ307" s="527">
        <f t="shared" si="441"/>
        <v>-1038.9794931579563</v>
      </c>
      <c r="AR307" s="527">
        <f t="shared" si="441"/>
        <v>-1038.9794931579563</v>
      </c>
      <c r="AS307" s="527">
        <f t="shared" si="441"/>
        <v>-1038.9794931579563</v>
      </c>
      <c r="AT307" s="527">
        <f t="shared" si="441"/>
        <v>-1038.9794931579563</v>
      </c>
      <c r="AU307" s="527">
        <f t="shared" si="441"/>
        <v>-1038.9794931579563</v>
      </c>
      <c r="AV307" s="527">
        <f t="shared" si="441"/>
        <v>-1076.9490503505017</v>
      </c>
      <c r="AW307" s="527">
        <f t="shared" si="441"/>
        <v>-1076.9490503505017</v>
      </c>
      <c r="AX307" s="527">
        <f t="shared" ref="AX307:BY307" si="442">(AX283-AX291)*AX$233</f>
        <v>-1076.9490503505017</v>
      </c>
      <c r="AY307" s="527">
        <f t="shared" si="442"/>
        <v>-1076.9490503505017</v>
      </c>
      <c r="AZ307" s="527">
        <f t="shared" si="442"/>
        <v>-1076.9490503505017</v>
      </c>
      <c r="BA307" s="527">
        <f t="shared" si="442"/>
        <v>-1076.9490503505017</v>
      </c>
      <c r="BB307" s="527">
        <f t="shared" si="442"/>
        <v>-1042.0970973319365</v>
      </c>
      <c r="BC307" s="527">
        <f t="shared" si="442"/>
        <v>-1042.0970973319365</v>
      </c>
      <c r="BD307" s="527">
        <f t="shared" si="442"/>
        <v>-1042.0970973319365</v>
      </c>
      <c r="BE307" s="527">
        <f t="shared" si="442"/>
        <v>-1042.0970973319365</v>
      </c>
      <c r="BF307" s="527">
        <f t="shared" si="442"/>
        <v>-1042.0970973319365</v>
      </c>
      <c r="BG307" s="527">
        <f t="shared" si="442"/>
        <v>-1042.0970973319365</v>
      </c>
      <c r="BH307" s="527">
        <f t="shared" si="442"/>
        <v>-1079.8580001198841</v>
      </c>
      <c r="BI307" s="527">
        <f t="shared" si="442"/>
        <v>-1079.8580001198841</v>
      </c>
      <c r="BJ307" s="527">
        <f t="shared" si="442"/>
        <v>-1079.8580001198841</v>
      </c>
      <c r="BK307" s="527">
        <f t="shared" si="442"/>
        <v>-1079.8580001198841</v>
      </c>
      <c r="BL307" s="527">
        <f t="shared" si="442"/>
        <v>-1079.8580001198841</v>
      </c>
      <c r="BM307" s="527">
        <f t="shared" si="442"/>
        <v>-1079.8580001198841</v>
      </c>
      <c r="BN307" s="527">
        <f t="shared" si="442"/>
        <v>-1045.8731961118831</v>
      </c>
      <c r="BO307" s="527">
        <f t="shared" si="442"/>
        <v>-1045.8731961118831</v>
      </c>
      <c r="BP307" s="527">
        <f t="shared" si="442"/>
        <v>-1045.8731961118831</v>
      </c>
      <c r="BQ307" s="527">
        <f t="shared" si="442"/>
        <v>-1045.8731961118831</v>
      </c>
      <c r="BR307" s="527">
        <f t="shared" si="442"/>
        <v>-1045.8731961118831</v>
      </c>
      <c r="BS307" s="527">
        <f t="shared" si="442"/>
        <v>-1045.8731961118831</v>
      </c>
      <c r="BT307" s="527">
        <f t="shared" si="442"/>
        <v>-1083.4401390259336</v>
      </c>
      <c r="BU307" s="527">
        <f t="shared" si="442"/>
        <v>-1083.4401390259336</v>
      </c>
      <c r="BV307" s="527">
        <f t="shared" si="442"/>
        <v>-1083.4401390259336</v>
      </c>
      <c r="BW307" s="527">
        <f t="shared" si="442"/>
        <v>-1083.4401390259336</v>
      </c>
      <c r="BX307" s="527">
        <f t="shared" si="442"/>
        <v>-1083.4401390259336</v>
      </c>
      <c r="BY307" s="527">
        <f t="shared" si="442"/>
        <v>-1083.4401390259336</v>
      </c>
    </row>
    <row r="308" spans="1:77" x14ac:dyDescent="0.3">
      <c r="A308" s="551"/>
      <c r="B308" s="548"/>
      <c r="C308" s="525"/>
      <c r="D308" s="525"/>
      <c r="E308" s="629" t="str">
        <f>"WSM dist &amp; disp: "&amp;E$157</f>
        <v>WSM dist &amp; disp: FY29 Tranche</v>
      </c>
      <c r="F308" s="525"/>
      <c r="G308" s="525"/>
      <c r="H308" s="525"/>
      <c r="I308" s="525"/>
      <c r="J308" s="525"/>
      <c r="K308" s="525"/>
      <c r="L308" s="525"/>
      <c r="M308" s="525"/>
      <c r="N308" s="525"/>
      <c r="O308" s="525"/>
      <c r="P308" s="565"/>
      <c r="Q308" s="525"/>
      <c r="R308" s="527">
        <f t="shared" ref="R308:AW308" si="443">(R284-R292)*R$233</f>
        <v>-933.37079034193232</v>
      </c>
      <c r="S308" s="527">
        <f t="shared" si="443"/>
        <v>-933.37079034193232</v>
      </c>
      <c r="T308" s="527">
        <f t="shared" si="443"/>
        <v>-933.37079034193232</v>
      </c>
      <c r="U308" s="527">
        <f t="shared" si="443"/>
        <v>-933.37079034193232</v>
      </c>
      <c r="V308" s="527">
        <f t="shared" si="443"/>
        <v>-933.37079034193232</v>
      </c>
      <c r="W308" s="527">
        <f t="shared" si="443"/>
        <v>-933.37079034193232</v>
      </c>
      <c r="X308" s="527">
        <f t="shared" si="443"/>
        <v>-933.37079034193232</v>
      </c>
      <c r="Y308" s="527">
        <f t="shared" si="443"/>
        <v>-933.37079034193232</v>
      </c>
      <c r="Z308" s="527">
        <f t="shared" si="443"/>
        <v>-933.37079034193232</v>
      </c>
      <c r="AA308" s="527">
        <f t="shared" si="443"/>
        <v>-933.37079034193232</v>
      </c>
      <c r="AB308" s="527">
        <f t="shared" si="443"/>
        <v>-933.37079034193232</v>
      </c>
      <c r="AC308" s="527">
        <f t="shared" si="443"/>
        <v>-933.37079034193232</v>
      </c>
      <c r="AD308" s="527">
        <f t="shared" si="443"/>
        <v>-933.37079034193232</v>
      </c>
      <c r="AE308" s="527">
        <f t="shared" si="443"/>
        <v>-933.37079034193232</v>
      </c>
      <c r="AF308" s="527">
        <f t="shared" si="443"/>
        <v>-933.37079034193232</v>
      </c>
      <c r="AG308" s="527">
        <f t="shared" si="443"/>
        <v>-933.37079034193232</v>
      </c>
      <c r="AH308" s="527">
        <f t="shared" si="443"/>
        <v>-933.37079034193232</v>
      </c>
      <c r="AI308" s="527">
        <f t="shared" si="443"/>
        <v>-933.37079034193232</v>
      </c>
      <c r="AJ308" s="527">
        <f t="shared" si="443"/>
        <v>-933.37079034193232</v>
      </c>
      <c r="AK308" s="527">
        <f t="shared" si="443"/>
        <v>-933.37079034193232</v>
      </c>
      <c r="AL308" s="527">
        <f t="shared" si="443"/>
        <v>-933.37079034193232</v>
      </c>
      <c r="AM308" s="527">
        <f t="shared" si="443"/>
        <v>-933.37079034193232</v>
      </c>
      <c r="AN308" s="527">
        <f t="shared" si="443"/>
        <v>-933.37079034193232</v>
      </c>
      <c r="AO308" s="527">
        <f t="shared" si="443"/>
        <v>-933.37079034193232</v>
      </c>
      <c r="AP308" s="527">
        <f t="shared" si="443"/>
        <v>-933.37079034193232</v>
      </c>
      <c r="AQ308" s="527">
        <f t="shared" si="443"/>
        <v>-933.37079034193232</v>
      </c>
      <c r="AR308" s="527">
        <f t="shared" si="443"/>
        <v>-933.37079034193232</v>
      </c>
      <c r="AS308" s="527">
        <f t="shared" si="443"/>
        <v>-933.37079034193232</v>
      </c>
      <c r="AT308" s="527">
        <f t="shared" si="443"/>
        <v>-933.37079034193232</v>
      </c>
      <c r="AU308" s="527">
        <f t="shared" si="443"/>
        <v>-933.37079034193232</v>
      </c>
      <c r="AV308" s="527">
        <f t="shared" si="443"/>
        <v>-1073.164978120838</v>
      </c>
      <c r="AW308" s="527">
        <f t="shared" si="443"/>
        <v>-1073.164978120838</v>
      </c>
      <c r="AX308" s="527">
        <f t="shared" ref="AX308:BY308" si="444">(AX284-AX292)*AX$233</f>
        <v>-1073.164978120838</v>
      </c>
      <c r="AY308" s="527">
        <f t="shared" si="444"/>
        <v>-1073.164978120838</v>
      </c>
      <c r="AZ308" s="527">
        <f t="shared" si="444"/>
        <v>-1073.164978120838</v>
      </c>
      <c r="BA308" s="527">
        <f t="shared" si="444"/>
        <v>-1073.164978120838</v>
      </c>
      <c r="BB308" s="527">
        <f t="shared" si="444"/>
        <v>-1038.4785611896821</v>
      </c>
      <c r="BC308" s="527">
        <f t="shared" si="444"/>
        <v>-1038.4785611896821</v>
      </c>
      <c r="BD308" s="527">
        <f t="shared" si="444"/>
        <v>-1038.4785611896821</v>
      </c>
      <c r="BE308" s="527">
        <f t="shared" si="444"/>
        <v>-1038.4785611896821</v>
      </c>
      <c r="BF308" s="527">
        <f t="shared" si="444"/>
        <v>-1038.4785611896821</v>
      </c>
      <c r="BG308" s="527">
        <f t="shared" si="444"/>
        <v>-1038.4785611896821</v>
      </c>
      <c r="BH308" s="527">
        <f t="shared" si="444"/>
        <v>-1076.0947225319394</v>
      </c>
      <c r="BI308" s="527">
        <f t="shared" si="444"/>
        <v>-1076.0947225319394</v>
      </c>
      <c r="BJ308" s="527">
        <f t="shared" si="444"/>
        <v>-1076.0947225319394</v>
      </c>
      <c r="BK308" s="527">
        <f t="shared" si="444"/>
        <v>-1076.0947225319394</v>
      </c>
      <c r="BL308" s="527">
        <f t="shared" si="444"/>
        <v>-1076.0947225319394</v>
      </c>
      <c r="BM308" s="527">
        <f t="shared" si="444"/>
        <v>-1076.0947225319394</v>
      </c>
      <c r="BN308" s="527">
        <f t="shared" si="444"/>
        <v>-1042.2732466760374</v>
      </c>
      <c r="BO308" s="527">
        <f t="shared" si="444"/>
        <v>-1042.2732466760374</v>
      </c>
      <c r="BP308" s="527">
        <f t="shared" si="444"/>
        <v>-1042.2732466760374</v>
      </c>
      <c r="BQ308" s="527">
        <f t="shared" si="444"/>
        <v>-1042.2732466760374</v>
      </c>
      <c r="BR308" s="527">
        <f t="shared" si="444"/>
        <v>-1042.2732466760374</v>
      </c>
      <c r="BS308" s="527">
        <f t="shared" si="444"/>
        <v>-1042.2732466760374</v>
      </c>
      <c r="BT308" s="527">
        <f t="shared" si="444"/>
        <v>-1079.6961916126538</v>
      </c>
      <c r="BU308" s="527">
        <f t="shared" si="444"/>
        <v>-1079.6961916126538</v>
      </c>
      <c r="BV308" s="527">
        <f t="shared" si="444"/>
        <v>-1079.6961916126538</v>
      </c>
      <c r="BW308" s="527">
        <f t="shared" si="444"/>
        <v>-1079.6961916126538</v>
      </c>
      <c r="BX308" s="527">
        <f t="shared" si="444"/>
        <v>-1079.6961916126538</v>
      </c>
      <c r="BY308" s="527">
        <f t="shared" si="444"/>
        <v>-1079.6961916126538</v>
      </c>
    </row>
    <row r="309" spans="1:77" x14ac:dyDescent="0.3">
      <c r="A309" s="551"/>
      <c r="B309" s="548"/>
      <c r="C309" s="525"/>
      <c r="D309" s="525"/>
      <c r="E309" s="629" t="str">
        <f>"WSM dist &amp; disp: "&amp;E$158</f>
        <v>WSM dist &amp; disp: FY30 Tranche</v>
      </c>
      <c r="F309" s="525"/>
      <c r="G309" s="525"/>
      <c r="H309" s="525"/>
      <c r="I309" s="525"/>
      <c r="J309" s="525"/>
      <c r="K309" s="525"/>
      <c r="L309" s="525"/>
      <c r="M309" s="525"/>
      <c r="N309" s="525"/>
      <c r="O309" s="525"/>
      <c r="P309" s="565"/>
      <c r="Q309" s="525"/>
      <c r="R309" s="527">
        <f t="shared" ref="R309:AW309" si="445">(R285-R293)*R$233</f>
        <v>-933.37079034193232</v>
      </c>
      <c r="S309" s="527">
        <f t="shared" si="445"/>
        <v>-933.37079034193232</v>
      </c>
      <c r="T309" s="527">
        <f t="shared" si="445"/>
        <v>-933.37079034193232</v>
      </c>
      <c r="U309" s="527">
        <f t="shared" si="445"/>
        <v>-933.37079034193232</v>
      </c>
      <c r="V309" s="527">
        <f t="shared" si="445"/>
        <v>-933.37079034193232</v>
      </c>
      <c r="W309" s="527">
        <f t="shared" si="445"/>
        <v>-933.37079034193232</v>
      </c>
      <c r="X309" s="527">
        <f t="shared" si="445"/>
        <v>-933.37079034193232</v>
      </c>
      <c r="Y309" s="527">
        <f t="shared" si="445"/>
        <v>-933.37079034193232</v>
      </c>
      <c r="Z309" s="527">
        <f t="shared" si="445"/>
        <v>-933.37079034193232</v>
      </c>
      <c r="AA309" s="527">
        <f t="shared" si="445"/>
        <v>-933.37079034193232</v>
      </c>
      <c r="AB309" s="527">
        <f t="shared" si="445"/>
        <v>-933.37079034193232</v>
      </c>
      <c r="AC309" s="527">
        <f t="shared" si="445"/>
        <v>-933.37079034193232</v>
      </c>
      <c r="AD309" s="527">
        <f t="shared" si="445"/>
        <v>-933.37079034193232</v>
      </c>
      <c r="AE309" s="527">
        <f t="shared" si="445"/>
        <v>-933.37079034193232</v>
      </c>
      <c r="AF309" s="527">
        <f t="shared" si="445"/>
        <v>-933.37079034193232</v>
      </c>
      <c r="AG309" s="527">
        <f t="shared" si="445"/>
        <v>-933.37079034193232</v>
      </c>
      <c r="AH309" s="527">
        <f t="shared" si="445"/>
        <v>-933.37079034193232</v>
      </c>
      <c r="AI309" s="527">
        <f t="shared" si="445"/>
        <v>-933.37079034193232</v>
      </c>
      <c r="AJ309" s="527">
        <f t="shared" si="445"/>
        <v>-933.37079034193232</v>
      </c>
      <c r="AK309" s="527">
        <f t="shared" si="445"/>
        <v>-933.37079034193232</v>
      </c>
      <c r="AL309" s="527">
        <f t="shared" si="445"/>
        <v>-933.37079034193232</v>
      </c>
      <c r="AM309" s="527">
        <f t="shared" si="445"/>
        <v>-933.37079034193232</v>
      </c>
      <c r="AN309" s="527">
        <f t="shared" si="445"/>
        <v>-933.37079034193232</v>
      </c>
      <c r="AO309" s="527">
        <f t="shared" si="445"/>
        <v>-933.37079034193232</v>
      </c>
      <c r="AP309" s="527">
        <f t="shared" si="445"/>
        <v>-933.37079034193232</v>
      </c>
      <c r="AQ309" s="527">
        <f t="shared" si="445"/>
        <v>-933.37079034193232</v>
      </c>
      <c r="AR309" s="527">
        <f t="shared" si="445"/>
        <v>-933.37079034193232</v>
      </c>
      <c r="AS309" s="527">
        <f t="shared" si="445"/>
        <v>-933.37079034193232</v>
      </c>
      <c r="AT309" s="527">
        <f t="shared" si="445"/>
        <v>-933.37079034193232</v>
      </c>
      <c r="AU309" s="527">
        <f t="shared" si="445"/>
        <v>-933.37079034193232</v>
      </c>
      <c r="AV309" s="527">
        <f t="shared" si="445"/>
        <v>-933.37079034193232</v>
      </c>
      <c r="AW309" s="527">
        <f t="shared" si="445"/>
        <v>-933.37079034193232</v>
      </c>
      <c r="AX309" s="527">
        <f t="shared" ref="AX309:BY309" si="446">(AX285-AX293)*AX$233</f>
        <v>-933.37079034193232</v>
      </c>
      <c r="AY309" s="527">
        <f t="shared" si="446"/>
        <v>-933.37079034193232</v>
      </c>
      <c r="AZ309" s="527">
        <f t="shared" si="446"/>
        <v>-933.37079034193232</v>
      </c>
      <c r="BA309" s="527">
        <f t="shared" si="446"/>
        <v>-933.37079034193232</v>
      </c>
      <c r="BB309" s="527">
        <f t="shared" si="446"/>
        <v>-933.37079034193232</v>
      </c>
      <c r="BC309" s="527">
        <f t="shared" si="446"/>
        <v>-933.37079034193232</v>
      </c>
      <c r="BD309" s="527">
        <f t="shared" si="446"/>
        <v>-933.37079034193232</v>
      </c>
      <c r="BE309" s="527">
        <f t="shared" si="446"/>
        <v>-933.37079034193232</v>
      </c>
      <c r="BF309" s="527">
        <f t="shared" si="446"/>
        <v>-933.37079034193232</v>
      </c>
      <c r="BG309" s="527">
        <f t="shared" si="446"/>
        <v>-933.37079034193232</v>
      </c>
      <c r="BH309" s="527">
        <f t="shared" si="446"/>
        <v>-1069.8137741873636</v>
      </c>
      <c r="BI309" s="527">
        <f t="shared" si="446"/>
        <v>-1069.8137741873636</v>
      </c>
      <c r="BJ309" s="527">
        <f t="shared" si="446"/>
        <v>-1069.8137741873636</v>
      </c>
      <c r="BK309" s="527">
        <f t="shared" si="446"/>
        <v>-1069.8137741873636</v>
      </c>
      <c r="BL309" s="527">
        <f t="shared" si="446"/>
        <v>-1069.8137741873636</v>
      </c>
      <c r="BM309" s="527">
        <f t="shared" si="446"/>
        <v>-1069.8137741873636</v>
      </c>
      <c r="BN309" s="527">
        <f t="shared" si="446"/>
        <v>-1036.2648946687166</v>
      </c>
      <c r="BO309" s="527">
        <f t="shared" si="446"/>
        <v>-1036.2648946687166</v>
      </c>
      <c r="BP309" s="527">
        <f t="shared" si="446"/>
        <v>-1036.2648946687166</v>
      </c>
      <c r="BQ309" s="527">
        <f t="shared" si="446"/>
        <v>-1036.2648946687166</v>
      </c>
      <c r="BR309" s="527">
        <f t="shared" si="446"/>
        <v>-1036.2648946687166</v>
      </c>
      <c r="BS309" s="527">
        <f t="shared" si="446"/>
        <v>-1036.2648946687166</v>
      </c>
      <c r="BT309" s="527">
        <f t="shared" si="446"/>
        <v>-1073.4475055250402</v>
      </c>
      <c r="BU309" s="527">
        <f t="shared" si="446"/>
        <v>-1073.4475055250402</v>
      </c>
      <c r="BV309" s="527">
        <f t="shared" si="446"/>
        <v>-1073.4475055250402</v>
      </c>
      <c r="BW309" s="527">
        <f t="shared" si="446"/>
        <v>-1073.4475055250402</v>
      </c>
      <c r="BX309" s="527">
        <f t="shared" si="446"/>
        <v>-1073.4475055250402</v>
      </c>
      <c r="BY309" s="527">
        <f t="shared" si="446"/>
        <v>-1073.4475055250402</v>
      </c>
    </row>
    <row r="310" spans="1:77" x14ac:dyDescent="0.3">
      <c r="A310" s="551"/>
      <c r="B310" s="548"/>
      <c r="C310" s="525"/>
      <c r="D310" s="525"/>
      <c r="E310" s="629" t="str">
        <f>"WSM dist &amp; disp: "&amp;E$159</f>
        <v>WSM dist &amp; disp: FY31 Tranche</v>
      </c>
      <c r="F310" s="525"/>
      <c r="G310" s="525"/>
      <c r="H310" s="525"/>
      <c r="I310" s="525"/>
      <c r="J310" s="525"/>
      <c r="K310" s="525"/>
      <c r="L310" s="525"/>
      <c r="M310" s="525"/>
      <c r="N310" s="525"/>
      <c r="O310" s="525"/>
      <c r="P310" s="565"/>
      <c r="Q310" s="525"/>
      <c r="R310" s="527">
        <f t="shared" ref="R310:AW310" si="447">(R286-R294)*R$233</f>
        <v>-933.37079034193232</v>
      </c>
      <c r="S310" s="527">
        <f t="shared" si="447"/>
        <v>-933.37079034193232</v>
      </c>
      <c r="T310" s="527">
        <f t="shared" si="447"/>
        <v>-933.37079034193232</v>
      </c>
      <c r="U310" s="527">
        <f t="shared" si="447"/>
        <v>-933.37079034193232</v>
      </c>
      <c r="V310" s="527">
        <f t="shared" si="447"/>
        <v>-933.37079034193232</v>
      </c>
      <c r="W310" s="527">
        <f t="shared" si="447"/>
        <v>-933.37079034193232</v>
      </c>
      <c r="X310" s="527">
        <f t="shared" si="447"/>
        <v>-933.37079034193232</v>
      </c>
      <c r="Y310" s="527">
        <f t="shared" si="447"/>
        <v>-933.37079034193232</v>
      </c>
      <c r="Z310" s="527">
        <f t="shared" si="447"/>
        <v>-933.37079034193232</v>
      </c>
      <c r="AA310" s="527">
        <f t="shared" si="447"/>
        <v>-933.37079034193232</v>
      </c>
      <c r="AB310" s="527">
        <f t="shared" si="447"/>
        <v>-933.37079034193232</v>
      </c>
      <c r="AC310" s="527">
        <f t="shared" si="447"/>
        <v>-933.37079034193232</v>
      </c>
      <c r="AD310" s="527">
        <f t="shared" si="447"/>
        <v>-933.37079034193232</v>
      </c>
      <c r="AE310" s="527">
        <f t="shared" si="447"/>
        <v>-933.37079034193232</v>
      </c>
      <c r="AF310" s="527">
        <f t="shared" si="447"/>
        <v>-933.37079034193232</v>
      </c>
      <c r="AG310" s="527">
        <f t="shared" si="447"/>
        <v>-933.37079034193232</v>
      </c>
      <c r="AH310" s="527">
        <f t="shared" si="447"/>
        <v>-933.37079034193232</v>
      </c>
      <c r="AI310" s="527">
        <f t="shared" si="447"/>
        <v>-933.37079034193232</v>
      </c>
      <c r="AJ310" s="527">
        <f t="shared" si="447"/>
        <v>-933.37079034193232</v>
      </c>
      <c r="AK310" s="527">
        <f t="shared" si="447"/>
        <v>-933.37079034193232</v>
      </c>
      <c r="AL310" s="527">
        <f t="shared" si="447"/>
        <v>-933.37079034193232</v>
      </c>
      <c r="AM310" s="527">
        <f t="shared" si="447"/>
        <v>-933.37079034193232</v>
      </c>
      <c r="AN310" s="527">
        <f t="shared" si="447"/>
        <v>-933.37079034193232</v>
      </c>
      <c r="AO310" s="527">
        <f t="shared" si="447"/>
        <v>-933.37079034193232</v>
      </c>
      <c r="AP310" s="527">
        <f t="shared" si="447"/>
        <v>-933.37079034193232</v>
      </c>
      <c r="AQ310" s="527">
        <f t="shared" si="447"/>
        <v>-933.37079034193232</v>
      </c>
      <c r="AR310" s="527">
        <f t="shared" si="447"/>
        <v>-933.37079034193232</v>
      </c>
      <c r="AS310" s="527">
        <f t="shared" si="447"/>
        <v>-933.37079034193232</v>
      </c>
      <c r="AT310" s="527">
        <f t="shared" si="447"/>
        <v>-933.37079034193232</v>
      </c>
      <c r="AU310" s="527">
        <f t="shared" si="447"/>
        <v>-933.37079034193232</v>
      </c>
      <c r="AV310" s="527">
        <f t="shared" si="447"/>
        <v>-933.37079034193232</v>
      </c>
      <c r="AW310" s="527">
        <f t="shared" si="447"/>
        <v>-933.37079034193232</v>
      </c>
      <c r="AX310" s="527">
        <f t="shared" ref="AX310:BY310" si="448">(AX286-AX294)*AX$233</f>
        <v>-933.37079034193232</v>
      </c>
      <c r="AY310" s="527">
        <f t="shared" si="448"/>
        <v>-933.37079034193232</v>
      </c>
      <c r="AZ310" s="527">
        <f t="shared" si="448"/>
        <v>-933.37079034193232</v>
      </c>
      <c r="BA310" s="527">
        <f t="shared" si="448"/>
        <v>-933.37079034193232</v>
      </c>
      <c r="BB310" s="527">
        <f t="shared" si="448"/>
        <v>-933.37079034193232</v>
      </c>
      <c r="BC310" s="527">
        <f t="shared" si="448"/>
        <v>-933.37079034193232</v>
      </c>
      <c r="BD310" s="527">
        <f t="shared" si="448"/>
        <v>-933.37079034193232</v>
      </c>
      <c r="BE310" s="527">
        <f t="shared" si="448"/>
        <v>-933.37079034193232</v>
      </c>
      <c r="BF310" s="527">
        <f t="shared" si="448"/>
        <v>-933.37079034193232</v>
      </c>
      <c r="BG310" s="527">
        <f t="shared" si="448"/>
        <v>-933.37079034193232</v>
      </c>
      <c r="BH310" s="527">
        <f t="shared" si="448"/>
        <v>-933.37079034193232</v>
      </c>
      <c r="BI310" s="527">
        <f t="shared" si="448"/>
        <v>-933.37079034193232</v>
      </c>
      <c r="BJ310" s="527">
        <f t="shared" si="448"/>
        <v>-933.37079034193232</v>
      </c>
      <c r="BK310" s="527">
        <f t="shared" si="448"/>
        <v>-933.37079034193232</v>
      </c>
      <c r="BL310" s="527">
        <f t="shared" si="448"/>
        <v>-933.37079034193232</v>
      </c>
      <c r="BM310" s="527">
        <f t="shared" si="448"/>
        <v>-933.37079034193232</v>
      </c>
      <c r="BN310" s="527">
        <f t="shared" si="448"/>
        <v>-933.37079034193232</v>
      </c>
      <c r="BO310" s="527">
        <f t="shared" si="448"/>
        <v>-933.37079034193232</v>
      </c>
      <c r="BP310" s="527">
        <f t="shared" si="448"/>
        <v>-933.37079034193232</v>
      </c>
      <c r="BQ310" s="527">
        <f t="shared" si="448"/>
        <v>-933.37079034193232</v>
      </c>
      <c r="BR310" s="527">
        <f t="shared" si="448"/>
        <v>-933.37079034193232</v>
      </c>
      <c r="BS310" s="527">
        <f t="shared" si="448"/>
        <v>-933.37079034193232</v>
      </c>
      <c r="BT310" s="527">
        <f t="shared" si="448"/>
        <v>-1066.439330113486</v>
      </c>
      <c r="BU310" s="527">
        <f t="shared" si="448"/>
        <v>-1066.439330113486</v>
      </c>
      <c r="BV310" s="527">
        <f t="shared" si="448"/>
        <v>-1066.439330113486</v>
      </c>
      <c r="BW310" s="527">
        <f t="shared" si="448"/>
        <v>-1066.439330113486</v>
      </c>
      <c r="BX310" s="527">
        <f t="shared" si="448"/>
        <v>-1066.439330113486</v>
      </c>
      <c r="BY310" s="527">
        <f t="shared" si="448"/>
        <v>-1066.439330113486</v>
      </c>
    </row>
    <row r="311" spans="1:77" x14ac:dyDescent="0.3">
      <c r="A311" s="551"/>
      <c r="B311" s="548"/>
      <c r="C311" s="525"/>
      <c r="D311" s="525"/>
      <c r="E311" s="629" t="str">
        <f>"WSM dist &amp; disp: "&amp;E$160</f>
        <v>WSM dist &amp; disp: Uninvested Tranche</v>
      </c>
      <c r="F311" s="525"/>
      <c r="G311" s="525"/>
      <c r="H311" s="525"/>
      <c r="I311" s="525"/>
      <c r="J311" s="525"/>
      <c r="K311" s="525"/>
      <c r="L311" s="525"/>
      <c r="M311" s="525"/>
      <c r="N311" s="525"/>
      <c r="O311" s="525"/>
      <c r="P311" s="565"/>
      <c r="Q311" s="525"/>
      <c r="R311" s="527">
        <f t="shared" ref="R311:AW311" si="449">(R287-R295)*R$233</f>
        <v>-2086.3582372349074</v>
      </c>
      <c r="S311" s="527">
        <f t="shared" si="449"/>
        <v>-2086.3582372349074</v>
      </c>
      <c r="T311" s="527">
        <f t="shared" si="449"/>
        <v>-2086.3582372349074</v>
      </c>
      <c r="U311" s="527">
        <f t="shared" si="449"/>
        <v>-2086.3582372349074</v>
      </c>
      <c r="V311" s="527">
        <f t="shared" si="449"/>
        <v>-2086.3582372349074</v>
      </c>
      <c r="W311" s="527">
        <f t="shared" si="449"/>
        <v>-2086.3582372349074</v>
      </c>
      <c r="X311" s="527">
        <f t="shared" si="449"/>
        <v>-2086.3582372349074</v>
      </c>
      <c r="Y311" s="527">
        <f t="shared" si="449"/>
        <v>-2086.3582372349074</v>
      </c>
      <c r="Z311" s="527">
        <f t="shared" si="449"/>
        <v>-2086.3582372349074</v>
      </c>
      <c r="AA311" s="527">
        <f t="shared" si="449"/>
        <v>-2086.3582372349074</v>
      </c>
      <c r="AB311" s="527">
        <f t="shared" si="449"/>
        <v>-2086.3582372349074</v>
      </c>
      <c r="AC311" s="527">
        <f t="shared" si="449"/>
        <v>-2086.3582372349074</v>
      </c>
      <c r="AD311" s="527">
        <f t="shared" si="449"/>
        <v>-2086.3582372349074</v>
      </c>
      <c r="AE311" s="527">
        <f t="shared" si="449"/>
        <v>-2086.3582372349074</v>
      </c>
      <c r="AF311" s="527">
        <f t="shared" si="449"/>
        <v>-2086.3582372349074</v>
      </c>
      <c r="AG311" s="527">
        <f t="shared" si="449"/>
        <v>-2086.3582372349074</v>
      </c>
      <c r="AH311" s="527">
        <f t="shared" si="449"/>
        <v>-2086.3582372349074</v>
      </c>
      <c r="AI311" s="527">
        <f t="shared" si="449"/>
        <v>-2086.3582372349074</v>
      </c>
      <c r="AJ311" s="527">
        <f t="shared" si="449"/>
        <v>-2086.3582372349074</v>
      </c>
      <c r="AK311" s="527">
        <f t="shared" si="449"/>
        <v>-2086.3582372349074</v>
      </c>
      <c r="AL311" s="527">
        <f t="shared" si="449"/>
        <v>-2086.3582372349074</v>
      </c>
      <c r="AM311" s="527">
        <f t="shared" si="449"/>
        <v>-2086.3582372349074</v>
      </c>
      <c r="AN311" s="527">
        <f t="shared" si="449"/>
        <v>-2086.3582372349074</v>
      </c>
      <c r="AO311" s="527">
        <f t="shared" si="449"/>
        <v>-2086.3582372349074</v>
      </c>
      <c r="AP311" s="527">
        <f t="shared" si="449"/>
        <v>-2086.3582372349074</v>
      </c>
      <c r="AQ311" s="527">
        <f t="shared" si="449"/>
        <v>-2086.3582372349074</v>
      </c>
      <c r="AR311" s="527">
        <f t="shared" si="449"/>
        <v>-2086.3582372349074</v>
      </c>
      <c r="AS311" s="527">
        <f t="shared" si="449"/>
        <v>-2086.3582372349074</v>
      </c>
      <c r="AT311" s="527">
        <f t="shared" si="449"/>
        <v>-2086.3582372349074</v>
      </c>
      <c r="AU311" s="527">
        <f t="shared" si="449"/>
        <v>-2086.3582372349074</v>
      </c>
      <c r="AV311" s="527">
        <f t="shared" si="449"/>
        <v>-2086.3582372349074</v>
      </c>
      <c r="AW311" s="527">
        <f t="shared" si="449"/>
        <v>-2086.3582372349074</v>
      </c>
      <c r="AX311" s="527">
        <f t="shared" ref="AX311:BY311" si="450">(AX287-AX295)*AX$233</f>
        <v>-2086.3582372349074</v>
      </c>
      <c r="AY311" s="527">
        <f t="shared" si="450"/>
        <v>-2086.3582372349074</v>
      </c>
      <c r="AZ311" s="527">
        <f t="shared" si="450"/>
        <v>-2086.3582372349074</v>
      </c>
      <c r="BA311" s="527">
        <f t="shared" si="450"/>
        <v>-2086.3582372349074</v>
      </c>
      <c r="BB311" s="527">
        <f t="shared" si="450"/>
        <v>-2086.3582372349074</v>
      </c>
      <c r="BC311" s="527">
        <f t="shared" si="450"/>
        <v>-2086.3582372349074</v>
      </c>
      <c r="BD311" s="527">
        <f t="shared" si="450"/>
        <v>-2086.3582372349074</v>
      </c>
      <c r="BE311" s="527">
        <f t="shared" si="450"/>
        <v>-2086.3582372349074</v>
      </c>
      <c r="BF311" s="527">
        <f t="shared" si="450"/>
        <v>-2086.3582372349074</v>
      </c>
      <c r="BG311" s="527">
        <f t="shared" si="450"/>
        <v>-2086.3582372349074</v>
      </c>
      <c r="BH311" s="527">
        <f t="shared" si="450"/>
        <v>-2086.3582372349074</v>
      </c>
      <c r="BI311" s="527">
        <f t="shared" si="450"/>
        <v>-2086.3582372349074</v>
      </c>
      <c r="BJ311" s="527">
        <f t="shared" si="450"/>
        <v>-2086.3582372349074</v>
      </c>
      <c r="BK311" s="527">
        <f t="shared" si="450"/>
        <v>-2086.3582372349074</v>
      </c>
      <c r="BL311" s="527">
        <f t="shared" si="450"/>
        <v>-2086.3582372349074</v>
      </c>
      <c r="BM311" s="527">
        <f t="shared" si="450"/>
        <v>-2086.3582372349074</v>
      </c>
      <c r="BN311" s="527">
        <f t="shared" si="450"/>
        <v>-2086.3582372349074</v>
      </c>
      <c r="BO311" s="527">
        <f t="shared" si="450"/>
        <v>-2086.3582372349074</v>
      </c>
      <c r="BP311" s="527">
        <f t="shared" si="450"/>
        <v>-2086.3582372349074</v>
      </c>
      <c r="BQ311" s="527">
        <f t="shared" si="450"/>
        <v>-2086.3582372349074</v>
      </c>
      <c r="BR311" s="527">
        <f t="shared" si="450"/>
        <v>-2086.3582372349074</v>
      </c>
      <c r="BS311" s="527">
        <f t="shared" si="450"/>
        <v>-2086.3582372349074</v>
      </c>
      <c r="BT311" s="527">
        <f t="shared" si="450"/>
        <v>-2086.3582372349074</v>
      </c>
      <c r="BU311" s="527">
        <f t="shared" si="450"/>
        <v>-2086.3582372349074</v>
      </c>
      <c r="BV311" s="527">
        <f t="shared" si="450"/>
        <v>-2086.3582372349074</v>
      </c>
      <c r="BW311" s="527">
        <f t="shared" si="450"/>
        <v>-2086.3582372349074</v>
      </c>
      <c r="BX311" s="527">
        <f t="shared" si="450"/>
        <v>-2086.3582372349074</v>
      </c>
      <c r="BY311" s="527">
        <f t="shared" si="450"/>
        <v>-2086.3582372349074</v>
      </c>
    </row>
    <row r="312" spans="1:77" x14ac:dyDescent="0.3">
      <c r="A312" s="551"/>
      <c r="B312" s="548"/>
      <c r="C312" s="525"/>
      <c r="D312" s="525"/>
      <c r="E312" s="572" t="s">
        <v>36</v>
      </c>
      <c r="F312" s="572"/>
      <c r="G312" s="572"/>
      <c r="H312" s="572"/>
      <c r="I312" s="572"/>
      <c r="J312" s="572"/>
      <c r="K312" s="572"/>
      <c r="L312" s="572"/>
      <c r="M312" s="572"/>
      <c r="N312" s="572"/>
      <c r="O312" s="572"/>
      <c r="P312" s="612"/>
      <c r="Q312" s="572"/>
      <c r="R312" s="530">
        <f t="shared" ref="R312:AW312" si="451">SUM(R306:R311)</f>
        <v>-6753.2121889445689</v>
      </c>
      <c r="S312" s="530">
        <f t="shared" si="451"/>
        <v>-6753.2121889445689</v>
      </c>
      <c r="T312" s="530">
        <f t="shared" si="451"/>
        <v>-6753.2121889445689</v>
      </c>
      <c r="U312" s="530">
        <f t="shared" si="451"/>
        <v>-6753.2121889445689</v>
      </c>
      <c r="V312" s="530">
        <f t="shared" si="451"/>
        <v>-6753.2121889445689</v>
      </c>
      <c r="W312" s="530">
        <f t="shared" si="451"/>
        <v>-6753.2121889445689</v>
      </c>
      <c r="X312" s="530">
        <f t="shared" si="451"/>
        <v>-6900.3293765518383</v>
      </c>
      <c r="Y312" s="530">
        <f t="shared" si="451"/>
        <v>-6900.3293765518383</v>
      </c>
      <c r="Z312" s="530">
        <f t="shared" si="451"/>
        <v>-6900.3293765518383</v>
      </c>
      <c r="AA312" s="530">
        <f t="shared" si="451"/>
        <v>-6900.3293765518383</v>
      </c>
      <c r="AB312" s="530">
        <f t="shared" si="451"/>
        <v>-6900.3293765518383</v>
      </c>
      <c r="AC312" s="530">
        <f t="shared" si="451"/>
        <v>-6900.3293765518383</v>
      </c>
      <c r="AD312" s="530">
        <f t="shared" si="451"/>
        <v>-6860.2970008671446</v>
      </c>
      <c r="AE312" s="530">
        <f t="shared" si="451"/>
        <v>-6860.2970008671446</v>
      </c>
      <c r="AF312" s="530">
        <f t="shared" si="451"/>
        <v>-6860.2970008671446</v>
      </c>
      <c r="AG312" s="530">
        <f t="shared" si="451"/>
        <v>-6860.2970008671446</v>
      </c>
      <c r="AH312" s="530">
        <f t="shared" si="451"/>
        <v>-6860.2970008671446</v>
      </c>
      <c r="AI312" s="530">
        <f t="shared" si="451"/>
        <v>-6860.2970008671446</v>
      </c>
      <c r="AJ312" s="530">
        <f t="shared" si="451"/>
        <v>-7042.0007161365356</v>
      </c>
      <c r="AK312" s="530">
        <f t="shared" si="451"/>
        <v>-7042.0007161365356</v>
      </c>
      <c r="AL312" s="530">
        <f t="shared" si="451"/>
        <v>-7042.0007161365356</v>
      </c>
      <c r="AM312" s="530">
        <f t="shared" si="451"/>
        <v>-7042.0007161365356</v>
      </c>
      <c r="AN312" s="530">
        <f t="shared" si="451"/>
        <v>-7042.0007161365356</v>
      </c>
      <c r="AO312" s="530">
        <f t="shared" si="451"/>
        <v>-7042.0007161365356</v>
      </c>
      <c r="AP312" s="530">
        <f t="shared" si="451"/>
        <v>-6966.4298158408428</v>
      </c>
      <c r="AQ312" s="530">
        <f t="shared" si="451"/>
        <v>-6966.4298158408428</v>
      </c>
      <c r="AR312" s="530">
        <f t="shared" si="451"/>
        <v>-6966.4298158408428</v>
      </c>
      <c r="AS312" s="530">
        <f t="shared" si="451"/>
        <v>-6966.4298158408428</v>
      </c>
      <c r="AT312" s="530">
        <f t="shared" si="451"/>
        <v>-6966.4298158408428</v>
      </c>
      <c r="AU312" s="530">
        <f t="shared" si="451"/>
        <v>-6966.4298158408428</v>
      </c>
      <c r="AV312" s="530">
        <f t="shared" si="451"/>
        <v>-7182.2431268554092</v>
      </c>
      <c r="AW312" s="530">
        <f t="shared" si="451"/>
        <v>-7182.2431268554092</v>
      </c>
      <c r="AX312" s="530">
        <f t="shared" ref="AX312:BY312" si="452">SUM(AX306:AX311)</f>
        <v>-7182.2431268554092</v>
      </c>
      <c r="AY312" s="530">
        <f t="shared" si="452"/>
        <v>-7182.2431268554092</v>
      </c>
      <c r="AZ312" s="530">
        <f t="shared" si="452"/>
        <v>-7182.2431268554092</v>
      </c>
      <c r="BA312" s="530">
        <f t="shared" si="452"/>
        <v>-7182.2431268554092</v>
      </c>
      <c r="BB312" s="530">
        <f t="shared" si="452"/>
        <v>-7077.7618032049968</v>
      </c>
      <c r="BC312" s="530">
        <f t="shared" si="452"/>
        <v>-7077.7618032049968</v>
      </c>
      <c r="BD312" s="530">
        <f t="shared" si="452"/>
        <v>-7077.7618032049968</v>
      </c>
      <c r="BE312" s="530">
        <f t="shared" si="452"/>
        <v>-7077.7618032049968</v>
      </c>
      <c r="BF312" s="530">
        <f t="shared" si="452"/>
        <v>-7077.7618032049968</v>
      </c>
      <c r="BG312" s="530">
        <f t="shared" si="452"/>
        <v>-7077.7618032049968</v>
      </c>
      <c r="BH312" s="530">
        <f t="shared" si="452"/>
        <v>-7327.4223231458873</v>
      </c>
      <c r="BI312" s="530">
        <f t="shared" si="452"/>
        <v>-7327.4223231458873</v>
      </c>
      <c r="BJ312" s="530">
        <f t="shared" si="452"/>
        <v>-7327.4223231458873</v>
      </c>
      <c r="BK312" s="530">
        <f t="shared" si="452"/>
        <v>-7327.4223231458873</v>
      </c>
      <c r="BL312" s="530">
        <f t="shared" si="452"/>
        <v>-7327.4223231458873</v>
      </c>
      <c r="BM312" s="530">
        <f t="shared" si="452"/>
        <v>-7327.4223231458873</v>
      </c>
      <c r="BN312" s="530">
        <f t="shared" si="452"/>
        <v>-7191.9925728485414</v>
      </c>
      <c r="BO312" s="530">
        <f t="shared" si="452"/>
        <v>-7191.9925728485414</v>
      </c>
      <c r="BP312" s="530">
        <f t="shared" si="452"/>
        <v>-7191.9925728485414</v>
      </c>
      <c r="BQ312" s="530">
        <f t="shared" si="452"/>
        <v>-7191.9925728485414</v>
      </c>
      <c r="BR312" s="530">
        <f t="shared" si="452"/>
        <v>-7191.9925728485414</v>
      </c>
      <c r="BS312" s="530">
        <f t="shared" si="452"/>
        <v>-7191.9925728485414</v>
      </c>
      <c r="BT312" s="530">
        <f t="shared" si="452"/>
        <v>-7474.8797147092628</v>
      </c>
      <c r="BU312" s="530">
        <f t="shared" si="452"/>
        <v>-7474.8797147092628</v>
      </c>
      <c r="BV312" s="530">
        <f t="shared" si="452"/>
        <v>-7474.8797147092628</v>
      </c>
      <c r="BW312" s="530">
        <f t="shared" si="452"/>
        <v>-7474.8797147092628</v>
      </c>
      <c r="BX312" s="530">
        <f t="shared" si="452"/>
        <v>-7474.8797147092628</v>
      </c>
      <c r="BY312" s="530">
        <f t="shared" si="452"/>
        <v>-7474.8797147092628</v>
      </c>
    </row>
    <row r="313" spans="1:77" x14ac:dyDescent="0.3">
      <c r="A313" s="551"/>
      <c r="B313" s="548"/>
      <c r="C313" s="525"/>
      <c r="D313" s="525"/>
      <c r="E313" s="525"/>
      <c r="F313" s="525"/>
      <c r="G313" s="525"/>
      <c r="H313" s="525"/>
      <c r="I313" s="525"/>
      <c r="J313" s="525"/>
      <c r="K313" s="525"/>
      <c r="L313" s="525"/>
      <c r="M313" s="525"/>
      <c r="N313" s="525"/>
      <c r="O313" s="525"/>
      <c r="P313" s="565"/>
      <c r="Q313" s="525"/>
      <c r="R313" s="525"/>
      <c r="S313" s="525"/>
      <c r="T313" s="525"/>
      <c r="U313" s="525"/>
      <c r="V313" s="525"/>
      <c r="W313" s="525"/>
      <c r="X313" s="525"/>
      <c r="Y313" s="525"/>
      <c r="Z313" s="525"/>
      <c r="AA313" s="525"/>
      <c r="AB313" s="525"/>
      <c r="AC313" s="525"/>
      <c r="AD313" s="525"/>
      <c r="AE313" s="525"/>
      <c r="AF313" s="525"/>
      <c r="AG313" s="525"/>
      <c r="AH313" s="525"/>
      <c r="AI313" s="525"/>
      <c r="AJ313" s="525"/>
      <c r="AK313" s="525"/>
      <c r="AL313" s="525"/>
      <c r="AM313" s="525"/>
      <c r="AN313" s="525"/>
      <c r="AO313" s="525"/>
      <c r="AP313" s="525"/>
      <c r="AQ313" s="525"/>
      <c r="AR313" s="525"/>
      <c r="AS313" s="525"/>
      <c r="AT313" s="525"/>
      <c r="AU313" s="525"/>
      <c r="AV313" s="525"/>
      <c r="AW313" s="525"/>
      <c r="AX313" s="525"/>
      <c r="AY313" s="525"/>
      <c r="AZ313" s="525"/>
      <c r="BA313" s="525"/>
      <c r="BB313" s="525"/>
      <c r="BC313" s="525"/>
      <c r="BD313" s="525"/>
      <c r="BE313" s="525"/>
      <c r="BF313" s="525"/>
      <c r="BG313" s="525"/>
      <c r="BH313" s="525"/>
      <c r="BI313" s="525"/>
      <c r="BJ313" s="525"/>
      <c r="BK313" s="525"/>
      <c r="BL313" s="525"/>
      <c r="BM313" s="525"/>
      <c r="BN313" s="525"/>
      <c r="BO313" s="525"/>
      <c r="BP313" s="525"/>
      <c r="BQ313" s="525"/>
      <c r="BR313" s="525"/>
      <c r="BS313" s="525"/>
      <c r="BT313" s="525"/>
      <c r="BU313" s="525"/>
      <c r="BV313" s="525"/>
      <c r="BW313" s="525"/>
      <c r="BX313" s="525"/>
      <c r="BY313" s="525"/>
    </row>
    <row r="314" spans="1:77" x14ac:dyDescent="0.3">
      <c r="A314" s="551"/>
      <c r="B314" s="548"/>
      <c r="C314" s="525"/>
      <c r="D314" s="525"/>
      <c r="E314" s="630" t="str">
        <f>"WSM discounts: "&amp;E$155</f>
        <v>WSM discounts: FY27 Tranche</v>
      </c>
      <c r="F314" s="525"/>
      <c r="G314" s="525"/>
      <c r="H314" s="525"/>
      <c r="I314" s="525"/>
      <c r="J314" s="525"/>
      <c r="K314" s="525"/>
      <c r="L314" s="525"/>
      <c r="M314" s="525"/>
      <c r="N314" s="525"/>
      <c r="O314" s="525"/>
      <c r="P314" s="565"/>
      <c r="Q314" s="525"/>
      <c r="R314" s="527">
        <f t="shared" ref="R314:AW314" si="453">(R282-R290)*R$234</f>
        <v>-695.88942867307048</v>
      </c>
      <c r="S314" s="527">
        <f t="shared" si="453"/>
        <v>-695.88942867307048</v>
      </c>
      <c r="T314" s="527">
        <f t="shared" si="453"/>
        <v>-695.88942867307048</v>
      </c>
      <c r="U314" s="527">
        <f t="shared" si="453"/>
        <v>-695.88942867307048</v>
      </c>
      <c r="V314" s="527">
        <f t="shared" si="453"/>
        <v>-695.88942867307048</v>
      </c>
      <c r="W314" s="527">
        <f t="shared" si="453"/>
        <v>-695.88942867307048</v>
      </c>
      <c r="X314" s="527">
        <f t="shared" si="453"/>
        <v>-805.57498632214435</v>
      </c>
      <c r="Y314" s="527">
        <f t="shared" si="453"/>
        <v>-805.57498632214435</v>
      </c>
      <c r="Z314" s="527">
        <f t="shared" si="453"/>
        <v>-805.57498632214435</v>
      </c>
      <c r="AA314" s="527">
        <f t="shared" si="453"/>
        <v>-805.57498632214435</v>
      </c>
      <c r="AB314" s="527">
        <f t="shared" si="453"/>
        <v>-805.57498632214435</v>
      </c>
      <c r="AC314" s="527">
        <f t="shared" si="453"/>
        <v>-805.57498632214435</v>
      </c>
      <c r="AD314" s="527">
        <f t="shared" si="453"/>
        <v>-775.72821231559806</v>
      </c>
      <c r="AE314" s="527">
        <f t="shared" si="453"/>
        <v>-775.72821231559806</v>
      </c>
      <c r="AF314" s="527">
        <f t="shared" si="453"/>
        <v>-775.72821231559806</v>
      </c>
      <c r="AG314" s="527">
        <f t="shared" si="453"/>
        <v>-775.72821231559806</v>
      </c>
      <c r="AH314" s="527">
        <f t="shared" si="453"/>
        <v>-775.72821231559806</v>
      </c>
      <c r="AI314" s="527">
        <f t="shared" si="453"/>
        <v>-775.72821231559806</v>
      </c>
      <c r="AJ314" s="527">
        <f t="shared" si="453"/>
        <v>-804.32662739664352</v>
      </c>
      <c r="AK314" s="527">
        <f t="shared" si="453"/>
        <v>-804.32662739664352</v>
      </c>
      <c r="AL314" s="527">
        <f t="shared" si="453"/>
        <v>-804.32662739664352</v>
      </c>
      <c r="AM314" s="527">
        <f t="shared" si="453"/>
        <v>-804.32662739664352</v>
      </c>
      <c r="AN314" s="527">
        <f t="shared" si="453"/>
        <v>-804.32662739664352</v>
      </c>
      <c r="AO314" s="527">
        <f t="shared" si="453"/>
        <v>-804.32662739664352</v>
      </c>
      <c r="AP314" s="527">
        <f t="shared" si="453"/>
        <v>-776.11897246551757</v>
      </c>
      <c r="AQ314" s="527">
        <f t="shared" si="453"/>
        <v>-776.11897246551757</v>
      </c>
      <c r="AR314" s="527">
        <f t="shared" si="453"/>
        <v>-776.11897246551757</v>
      </c>
      <c r="AS314" s="527">
        <f t="shared" si="453"/>
        <v>-776.11897246551757</v>
      </c>
      <c r="AT314" s="527">
        <f t="shared" si="453"/>
        <v>-776.11897246551757</v>
      </c>
      <c r="AU314" s="527">
        <f t="shared" si="453"/>
        <v>-776.11897246551757</v>
      </c>
      <c r="AV314" s="527">
        <f t="shared" si="453"/>
        <v>-804.48743122701501</v>
      </c>
      <c r="AW314" s="527">
        <f t="shared" si="453"/>
        <v>-804.48743122701501</v>
      </c>
      <c r="AX314" s="527">
        <f t="shared" ref="AX314:BY314" si="454">(AX282-AX290)*AX$234</f>
        <v>-804.48743122701501</v>
      </c>
      <c r="AY314" s="527">
        <f t="shared" si="454"/>
        <v>-804.48743122701501</v>
      </c>
      <c r="AZ314" s="527">
        <f t="shared" si="454"/>
        <v>-804.48743122701501</v>
      </c>
      <c r="BA314" s="527">
        <f t="shared" si="454"/>
        <v>-804.48743122701501</v>
      </c>
      <c r="BB314" s="527">
        <f t="shared" si="454"/>
        <v>-778.43515667703127</v>
      </c>
      <c r="BC314" s="527">
        <f t="shared" si="454"/>
        <v>-778.43515667703127</v>
      </c>
      <c r="BD314" s="527">
        <f t="shared" si="454"/>
        <v>-778.43515667703127</v>
      </c>
      <c r="BE314" s="527">
        <f t="shared" si="454"/>
        <v>-778.43515667703127</v>
      </c>
      <c r="BF314" s="527">
        <f t="shared" si="454"/>
        <v>-778.43515667703127</v>
      </c>
      <c r="BG314" s="527">
        <f t="shared" si="454"/>
        <v>-778.43515667703127</v>
      </c>
      <c r="BH314" s="527">
        <f t="shared" si="454"/>
        <v>-806.64772202522818</v>
      </c>
      <c r="BI314" s="527">
        <f t="shared" si="454"/>
        <v>-806.64772202522818</v>
      </c>
      <c r="BJ314" s="527">
        <f t="shared" si="454"/>
        <v>-806.64772202522818</v>
      </c>
      <c r="BK314" s="527">
        <f t="shared" si="454"/>
        <v>-806.64772202522818</v>
      </c>
      <c r="BL314" s="527">
        <f t="shared" si="454"/>
        <v>-806.64772202522818</v>
      </c>
      <c r="BM314" s="527">
        <f t="shared" si="454"/>
        <v>-806.64772202522818</v>
      </c>
      <c r="BN314" s="527">
        <f t="shared" si="454"/>
        <v>-781.24286915289963</v>
      </c>
      <c r="BO314" s="527">
        <f t="shared" si="454"/>
        <v>-781.24286915289963</v>
      </c>
      <c r="BP314" s="527">
        <f t="shared" si="454"/>
        <v>-781.24286915289963</v>
      </c>
      <c r="BQ314" s="527">
        <f t="shared" si="454"/>
        <v>-781.24286915289963</v>
      </c>
      <c r="BR314" s="527">
        <f t="shared" si="454"/>
        <v>-781.24286915289963</v>
      </c>
      <c r="BS314" s="527">
        <f t="shared" si="454"/>
        <v>-781.24286915289963</v>
      </c>
      <c r="BT314" s="527">
        <f t="shared" si="454"/>
        <v>-809.31051991449431</v>
      </c>
      <c r="BU314" s="527">
        <f t="shared" si="454"/>
        <v>-809.31051991449431</v>
      </c>
      <c r="BV314" s="527">
        <f t="shared" si="454"/>
        <v>-809.31051991449431</v>
      </c>
      <c r="BW314" s="527">
        <f t="shared" si="454"/>
        <v>-809.31051991449431</v>
      </c>
      <c r="BX314" s="527">
        <f t="shared" si="454"/>
        <v>-809.31051991449431</v>
      </c>
      <c r="BY314" s="527">
        <f t="shared" si="454"/>
        <v>-809.31051991449431</v>
      </c>
    </row>
    <row r="315" spans="1:77" x14ac:dyDescent="0.3">
      <c r="A315" s="551"/>
      <c r="B315" s="548"/>
      <c r="C315" s="525"/>
      <c r="D315" s="525"/>
      <c r="E315" s="630" t="str">
        <f>"WSM discounts: "&amp;E$156</f>
        <v>WSM discounts: FY28 Tranche</v>
      </c>
      <c r="F315" s="525"/>
      <c r="G315" s="525"/>
      <c r="H315" s="525"/>
      <c r="I315" s="525"/>
      <c r="J315" s="525"/>
      <c r="K315" s="525"/>
      <c r="L315" s="525"/>
      <c r="M315" s="525"/>
      <c r="N315" s="525"/>
      <c r="O315" s="525"/>
      <c r="P315" s="565"/>
      <c r="Q315" s="525"/>
      <c r="R315" s="527">
        <f t="shared" ref="R315:AW315" si="455">(R283-R291)*R$234</f>
        <v>-695.88942867307048</v>
      </c>
      <c r="S315" s="527">
        <f t="shared" si="455"/>
        <v>-695.88942867307048</v>
      </c>
      <c r="T315" s="527">
        <f t="shared" si="455"/>
        <v>-695.88942867307048</v>
      </c>
      <c r="U315" s="527">
        <f t="shared" si="455"/>
        <v>-695.88942867307048</v>
      </c>
      <c r="V315" s="527">
        <f t="shared" si="455"/>
        <v>-695.88942867307048</v>
      </c>
      <c r="W315" s="527">
        <f t="shared" si="455"/>
        <v>-695.88942867307048</v>
      </c>
      <c r="X315" s="527">
        <f t="shared" si="455"/>
        <v>-695.88942867307048</v>
      </c>
      <c r="Y315" s="527">
        <f t="shared" si="455"/>
        <v>-695.88942867307048</v>
      </c>
      <c r="Z315" s="527">
        <f t="shared" si="455"/>
        <v>-695.88942867307048</v>
      </c>
      <c r="AA315" s="527">
        <f t="shared" si="455"/>
        <v>-695.88942867307048</v>
      </c>
      <c r="AB315" s="527">
        <f t="shared" si="455"/>
        <v>-695.88942867307048</v>
      </c>
      <c r="AC315" s="527">
        <f t="shared" si="455"/>
        <v>-695.88942867307048</v>
      </c>
      <c r="AD315" s="527">
        <f t="shared" si="455"/>
        <v>-695.88942867307048</v>
      </c>
      <c r="AE315" s="527">
        <f t="shared" si="455"/>
        <v>-695.88942867307048</v>
      </c>
      <c r="AF315" s="527">
        <f t="shared" si="455"/>
        <v>-695.88942867307048</v>
      </c>
      <c r="AG315" s="527">
        <f t="shared" si="455"/>
        <v>-695.88942867307048</v>
      </c>
      <c r="AH315" s="527">
        <f t="shared" si="455"/>
        <v>-695.88942867307048</v>
      </c>
      <c r="AI315" s="527">
        <f t="shared" si="455"/>
        <v>-695.88942867307048</v>
      </c>
      <c r="AJ315" s="527">
        <f t="shared" si="455"/>
        <v>-802.76310669263353</v>
      </c>
      <c r="AK315" s="527">
        <f t="shared" si="455"/>
        <v>-802.76310669263353</v>
      </c>
      <c r="AL315" s="527">
        <f t="shared" si="455"/>
        <v>-802.76310669263353</v>
      </c>
      <c r="AM315" s="527">
        <f t="shared" si="455"/>
        <v>-802.76310669263353</v>
      </c>
      <c r="AN315" s="527">
        <f t="shared" si="455"/>
        <v>-802.76310669263353</v>
      </c>
      <c r="AO315" s="527">
        <f t="shared" si="455"/>
        <v>-802.76310669263353</v>
      </c>
      <c r="AP315" s="527">
        <f t="shared" si="455"/>
        <v>-774.6276757084463</v>
      </c>
      <c r="AQ315" s="527">
        <f t="shared" si="455"/>
        <v>-774.6276757084463</v>
      </c>
      <c r="AR315" s="527">
        <f t="shared" si="455"/>
        <v>-774.6276757084463</v>
      </c>
      <c r="AS315" s="527">
        <f t="shared" si="455"/>
        <v>-774.6276757084463</v>
      </c>
      <c r="AT315" s="527">
        <f t="shared" si="455"/>
        <v>-774.6276757084463</v>
      </c>
      <c r="AU315" s="527">
        <f t="shared" si="455"/>
        <v>-774.6276757084463</v>
      </c>
      <c r="AV315" s="527">
        <f t="shared" si="455"/>
        <v>-802.93648259966062</v>
      </c>
      <c r="AW315" s="527">
        <f t="shared" si="455"/>
        <v>-802.93648259966062</v>
      </c>
      <c r="AX315" s="527">
        <f t="shared" ref="AX315:BY315" si="456">(AX283-AX291)*AX$234</f>
        <v>-802.93648259966062</v>
      </c>
      <c r="AY315" s="527">
        <f t="shared" si="456"/>
        <v>-802.93648259966062</v>
      </c>
      <c r="AZ315" s="527">
        <f t="shared" si="456"/>
        <v>-802.93648259966062</v>
      </c>
      <c r="BA315" s="527">
        <f t="shared" si="456"/>
        <v>-802.93648259966062</v>
      </c>
      <c r="BB315" s="527">
        <f t="shared" si="456"/>
        <v>-776.95205505469221</v>
      </c>
      <c r="BC315" s="527">
        <f t="shared" si="456"/>
        <v>-776.95205505469221</v>
      </c>
      <c r="BD315" s="527">
        <f t="shared" si="456"/>
        <v>-776.95205505469221</v>
      </c>
      <c r="BE315" s="527">
        <f t="shared" si="456"/>
        <v>-776.95205505469221</v>
      </c>
      <c r="BF315" s="527">
        <f t="shared" si="456"/>
        <v>-776.95205505469221</v>
      </c>
      <c r="BG315" s="527">
        <f t="shared" si="456"/>
        <v>-776.95205505469221</v>
      </c>
      <c r="BH315" s="527">
        <f t="shared" si="456"/>
        <v>-805.1052963379957</v>
      </c>
      <c r="BI315" s="527">
        <f t="shared" si="456"/>
        <v>-805.1052963379957</v>
      </c>
      <c r="BJ315" s="527">
        <f t="shared" si="456"/>
        <v>-805.1052963379957</v>
      </c>
      <c r="BK315" s="527">
        <f t="shared" si="456"/>
        <v>-805.1052963379957</v>
      </c>
      <c r="BL315" s="527">
        <f t="shared" si="456"/>
        <v>-805.1052963379957</v>
      </c>
      <c r="BM315" s="527">
        <f t="shared" si="456"/>
        <v>-805.1052963379957</v>
      </c>
      <c r="BN315" s="527">
        <f t="shared" si="456"/>
        <v>-779.76738552119139</v>
      </c>
      <c r="BO315" s="527">
        <f t="shared" si="456"/>
        <v>-779.76738552119139</v>
      </c>
      <c r="BP315" s="527">
        <f t="shared" si="456"/>
        <v>-779.76738552119139</v>
      </c>
      <c r="BQ315" s="527">
        <f t="shared" si="456"/>
        <v>-779.76738552119139</v>
      </c>
      <c r="BR315" s="527">
        <f t="shared" si="456"/>
        <v>-779.76738552119139</v>
      </c>
      <c r="BS315" s="527">
        <f t="shared" si="456"/>
        <v>-779.76738552119139</v>
      </c>
      <c r="BT315" s="527">
        <f t="shared" si="456"/>
        <v>-807.77601693751774</v>
      </c>
      <c r="BU315" s="527">
        <f t="shared" si="456"/>
        <v>-807.77601693751774</v>
      </c>
      <c r="BV315" s="527">
        <f t="shared" si="456"/>
        <v>-807.77601693751774</v>
      </c>
      <c r="BW315" s="527">
        <f t="shared" si="456"/>
        <v>-807.77601693751774</v>
      </c>
      <c r="BX315" s="527">
        <f t="shared" si="456"/>
        <v>-807.77601693751774</v>
      </c>
      <c r="BY315" s="527">
        <f t="shared" si="456"/>
        <v>-807.77601693751774</v>
      </c>
    </row>
    <row r="316" spans="1:77" x14ac:dyDescent="0.3">
      <c r="A316" s="551"/>
      <c r="B316" s="548"/>
      <c r="C316" s="525"/>
      <c r="D316" s="525"/>
      <c r="E316" s="630" t="str">
        <f>"WSM discounts: "&amp;E$157</f>
        <v>WSM discounts: FY29 Tranche</v>
      </c>
      <c r="F316" s="525"/>
      <c r="G316" s="525"/>
      <c r="H316" s="525"/>
      <c r="I316" s="525"/>
      <c r="J316" s="525"/>
      <c r="K316" s="525"/>
      <c r="L316" s="525"/>
      <c r="M316" s="525"/>
      <c r="N316" s="525"/>
      <c r="O316" s="525"/>
      <c r="P316" s="565"/>
      <c r="Q316" s="525"/>
      <c r="R316" s="527">
        <f t="shared" ref="R316:AW316" si="457">(R284-R292)*R$234</f>
        <v>-695.88942867307048</v>
      </c>
      <c r="S316" s="527">
        <f t="shared" si="457"/>
        <v>-695.88942867307048</v>
      </c>
      <c r="T316" s="527">
        <f t="shared" si="457"/>
        <v>-695.88942867307048</v>
      </c>
      <c r="U316" s="527">
        <f t="shared" si="457"/>
        <v>-695.88942867307048</v>
      </c>
      <c r="V316" s="527">
        <f t="shared" si="457"/>
        <v>-695.88942867307048</v>
      </c>
      <c r="W316" s="527">
        <f t="shared" si="457"/>
        <v>-695.88942867307048</v>
      </c>
      <c r="X316" s="527">
        <f t="shared" si="457"/>
        <v>-695.88942867307048</v>
      </c>
      <c r="Y316" s="527">
        <f t="shared" si="457"/>
        <v>-695.88942867307048</v>
      </c>
      <c r="Z316" s="527">
        <f t="shared" si="457"/>
        <v>-695.88942867307048</v>
      </c>
      <c r="AA316" s="527">
        <f t="shared" si="457"/>
        <v>-695.88942867307048</v>
      </c>
      <c r="AB316" s="527">
        <f t="shared" si="457"/>
        <v>-695.88942867307048</v>
      </c>
      <c r="AC316" s="527">
        <f t="shared" si="457"/>
        <v>-695.88942867307048</v>
      </c>
      <c r="AD316" s="527">
        <f t="shared" si="457"/>
        <v>-695.88942867307048</v>
      </c>
      <c r="AE316" s="527">
        <f t="shared" si="457"/>
        <v>-695.88942867307048</v>
      </c>
      <c r="AF316" s="527">
        <f t="shared" si="457"/>
        <v>-695.88942867307048</v>
      </c>
      <c r="AG316" s="527">
        <f t="shared" si="457"/>
        <v>-695.88942867307048</v>
      </c>
      <c r="AH316" s="527">
        <f t="shared" si="457"/>
        <v>-695.88942867307048</v>
      </c>
      <c r="AI316" s="527">
        <f t="shared" si="457"/>
        <v>-695.88942867307048</v>
      </c>
      <c r="AJ316" s="527">
        <f t="shared" si="457"/>
        <v>-695.88942867307048</v>
      </c>
      <c r="AK316" s="527">
        <f t="shared" si="457"/>
        <v>-695.88942867307048</v>
      </c>
      <c r="AL316" s="527">
        <f t="shared" si="457"/>
        <v>-695.88942867307048</v>
      </c>
      <c r="AM316" s="527">
        <f t="shared" si="457"/>
        <v>-695.88942867307048</v>
      </c>
      <c r="AN316" s="527">
        <f t="shared" si="457"/>
        <v>-695.88942867307048</v>
      </c>
      <c r="AO316" s="527">
        <f t="shared" si="457"/>
        <v>-695.88942867307048</v>
      </c>
      <c r="AP316" s="527">
        <f t="shared" si="457"/>
        <v>-695.88942867307048</v>
      </c>
      <c r="AQ316" s="527">
        <f t="shared" si="457"/>
        <v>-695.88942867307048</v>
      </c>
      <c r="AR316" s="527">
        <f t="shared" si="457"/>
        <v>-695.88942867307048</v>
      </c>
      <c r="AS316" s="527">
        <f t="shared" si="457"/>
        <v>-695.88942867307048</v>
      </c>
      <c r="AT316" s="527">
        <f t="shared" si="457"/>
        <v>-695.88942867307048</v>
      </c>
      <c r="AU316" s="527">
        <f t="shared" si="457"/>
        <v>-695.88942867307048</v>
      </c>
      <c r="AV316" s="527">
        <f t="shared" si="457"/>
        <v>-800.11520740098695</v>
      </c>
      <c r="AW316" s="527">
        <f t="shared" si="457"/>
        <v>-800.11520740098695</v>
      </c>
      <c r="AX316" s="527">
        <f t="shared" ref="AX316:BY316" si="458">(AX284-AX292)*AX$234</f>
        <v>-800.11520740098695</v>
      </c>
      <c r="AY316" s="527">
        <f t="shared" si="458"/>
        <v>-800.11520740098695</v>
      </c>
      <c r="AZ316" s="527">
        <f t="shared" si="458"/>
        <v>-800.11520740098695</v>
      </c>
      <c r="BA316" s="527">
        <f t="shared" si="458"/>
        <v>-800.11520740098695</v>
      </c>
      <c r="BB316" s="527">
        <f t="shared" si="458"/>
        <v>-774.25419791718321</v>
      </c>
      <c r="BC316" s="527">
        <f t="shared" si="458"/>
        <v>-774.25419791718321</v>
      </c>
      <c r="BD316" s="527">
        <f t="shared" si="458"/>
        <v>-774.25419791718321</v>
      </c>
      <c r="BE316" s="527">
        <f t="shared" si="458"/>
        <v>-774.25419791718321</v>
      </c>
      <c r="BF316" s="527">
        <f t="shared" si="458"/>
        <v>-774.25419791718321</v>
      </c>
      <c r="BG316" s="527">
        <f t="shared" si="458"/>
        <v>-774.25419791718321</v>
      </c>
      <c r="BH316" s="527">
        <f t="shared" si="458"/>
        <v>-802.29952491498636</v>
      </c>
      <c r="BI316" s="527">
        <f t="shared" si="458"/>
        <v>-802.29952491498636</v>
      </c>
      <c r="BJ316" s="527">
        <f t="shared" si="458"/>
        <v>-802.29952491498636</v>
      </c>
      <c r="BK316" s="527">
        <f t="shared" si="458"/>
        <v>-802.29952491498636</v>
      </c>
      <c r="BL316" s="527">
        <f t="shared" si="458"/>
        <v>-802.29952491498636</v>
      </c>
      <c r="BM316" s="527">
        <f t="shared" si="458"/>
        <v>-802.29952491498636</v>
      </c>
      <c r="BN316" s="527">
        <f t="shared" si="458"/>
        <v>-777.08338599808133</v>
      </c>
      <c r="BO316" s="527">
        <f t="shared" si="458"/>
        <v>-777.08338599808133</v>
      </c>
      <c r="BP316" s="527">
        <f t="shared" si="458"/>
        <v>-777.08338599808133</v>
      </c>
      <c r="BQ316" s="527">
        <f t="shared" si="458"/>
        <v>-777.08338599808133</v>
      </c>
      <c r="BR316" s="527">
        <f t="shared" si="458"/>
        <v>-777.08338599808133</v>
      </c>
      <c r="BS316" s="527">
        <f t="shared" si="458"/>
        <v>-777.08338599808133</v>
      </c>
      <c r="BT316" s="527">
        <f t="shared" si="458"/>
        <v>-804.98465743348311</v>
      </c>
      <c r="BU316" s="527">
        <f t="shared" si="458"/>
        <v>-804.98465743348311</v>
      </c>
      <c r="BV316" s="527">
        <f t="shared" si="458"/>
        <v>-804.98465743348311</v>
      </c>
      <c r="BW316" s="527">
        <f t="shared" si="458"/>
        <v>-804.98465743348311</v>
      </c>
      <c r="BX316" s="527">
        <f t="shared" si="458"/>
        <v>-804.98465743348311</v>
      </c>
      <c r="BY316" s="527">
        <f t="shared" si="458"/>
        <v>-804.98465743348311</v>
      </c>
    </row>
    <row r="317" spans="1:77" x14ac:dyDescent="0.3">
      <c r="A317" s="551"/>
      <c r="B317" s="548"/>
      <c r="C317" s="525"/>
      <c r="D317" s="525"/>
      <c r="E317" s="630" t="str">
        <f>"WSM discounts: "&amp;E$158</f>
        <v>WSM discounts: FY30 Tranche</v>
      </c>
      <c r="F317" s="525"/>
      <c r="G317" s="525"/>
      <c r="H317" s="525"/>
      <c r="I317" s="525"/>
      <c r="J317" s="525"/>
      <c r="K317" s="525"/>
      <c r="L317" s="525"/>
      <c r="M317" s="525"/>
      <c r="N317" s="525"/>
      <c r="O317" s="525"/>
      <c r="P317" s="565"/>
      <c r="Q317" s="525"/>
      <c r="R317" s="527">
        <f t="shared" ref="R317:AW317" si="459">(R285-R293)*R$234</f>
        <v>-695.88942867307048</v>
      </c>
      <c r="S317" s="527">
        <f t="shared" si="459"/>
        <v>-695.88942867307048</v>
      </c>
      <c r="T317" s="527">
        <f t="shared" si="459"/>
        <v>-695.88942867307048</v>
      </c>
      <c r="U317" s="527">
        <f t="shared" si="459"/>
        <v>-695.88942867307048</v>
      </c>
      <c r="V317" s="527">
        <f t="shared" si="459"/>
        <v>-695.88942867307048</v>
      </c>
      <c r="W317" s="527">
        <f t="shared" si="459"/>
        <v>-695.88942867307048</v>
      </c>
      <c r="X317" s="527">
        <f t="shared" si="459"/>
        <v>-695.88942867307048</v>
      </c>
      <c r="Y317" s="527">
        <f t="shared" si="459"/>
        <v>-695.88942867307048</v>
      </c>
      <c r="Z317" s="527">
        <f t="shared" si="459"/>
        <v>-695.88942867307048</v>
      </c>
      <c r="AA317" s="527">
        <f t="shared" si="459"/>
        <v>-695.88942867307048</v>
      </c>
      <c r="AB317" s="527">
        <f t="shared" si="459"/>
        <v>-695.88942867307048</v>
      </c>
      <c r="AC317" s="527">
        <f t="shared" si="459"/>
        <v>-695.88942867307048</v>
      </c>
      <c r="AD317" s="527">
        <f t="shared" si="459"/>
        <v>-695.88942867307048</v>
      </c>
      <c r="AE317" s="527">
        <f t="shared" si="459"/>
        <v>-695.88942867307048</v>
      </c>
      <c r="AF317" s="527">
        <f t="shared" si="459"/>
        <v>-695.88942867307048</v>
      </c>
      <c r="AG317" s="527">
        <f t="shared" si="459"/>
        <v>-695.88942867307048</v>
      </c>
      <c r="AH317" s="527">
        <f t="shared" si="459"/>
        <v>-695.88942867307048</v>
      </c>
      <c r="AI317" s="527">
        <f t="shared" si="459"/>
        <v>-695.88942867307048</v>
      </c>
      <c r="AJ317" s="527">
        <f t="shared" si="459"/>
        <v>-695.88942867307048</v>
      </c>
      <c r="AK317" s="527">
        <f t="shared" si="459"/>
        <v>-695.88942867307048</v>
      </c>
      <c r="AL317" s="527">
        <f t="shared" si="459"/>
        <v>-695.88942867307048</v>
      </c>
      <c r="AM317" s="527">
        <f t="shared" si="459"/>
        <v>-695.88942867307048</v>
      </c>
      <c r="AN317" s="527">
        <f t="shared" si="459"/>
        <v>-695.88942867307048</v>
      </c>
      <c r="AO317" s="527">
        <f t="shared" si="459"/>
        <v>-695.88942867307048</v>
      </c>
      <c r="AP317" s="527">
        <f t="shared" si="459"/>
        <v>-695.88942867307048</v>
      </c>
      <c r="AQ317" s="527">
        <f t="shared" si="459"/>
        <v>-695.88942867307048</v>
      </c>
      <c r="AR317" s="527">
        <f t="shared" si="459"/>
        <v>-695.88942867307048</v>
      </c>
      <c r="AS317" s="527">
        <f t="shared" si="459"/>
        <v>-695.88942867307048</v>
      </c>
      <c r="AT317" s="527">
        <f t="shared" si="459"/>
        <v>-695.88942867307048</v>
      </c>
      <c r="AU317" s="527">
        <f t="shared" si="459"/>
        <v>-695.88942867307048</v>
      </c>
      <c r="AV317" s="527">
        <f t="shared" si="459"/>
        <v>-695.88942867307048</v>
      </c>
      <c r="AW317" s="527">
        <f t="shared" si="459"/>
        <v>-695.88942867307048</v>
      </c>
      <c r="AX317" s="527">
        <f t="shared" ref="AX317:BY317" si="460">(AX285-AX293)*AX$234</f>
        <v>-695.88942867307048</v>
      </c>
      <c r="AY317" s="527">
        <f t="shared" si="460"/>
        <v>-695.88942867307048</v>
      </c>
      <c r="AZ317" s="527">
        <f t="shared" si="460"/>
        <v>-695.88942867307048</v>
      </c>
      <c r="BA317" s="527">
        <f t="shared" si="460"/>
        <v>-695.88942867307048</v>
      </c>
      <c r="BB317" s="527">
        <f t="shared" si="460"/>
        <v>-695.88942867307048</v>
      </c>
      <c r="BC317" s="527">
        <f t="shared" si="460"/>
        <v>-695.88942867307048</v>
      </c>
      <c r="BD317" s="527">
        <f t="shared" si="460"/>
        <v>-695.88942867307048</v>
      </c>
      <c r="BE317" s="527">
        <f t="shared" si="460"/>
        <v>-695.88942867307048</v>
      </c>
      <c r="BF317" s="527">
        <f t="shared" si="460"/>
        <v>-695.88942867307048</v>
      </c>
      <c r="BG317" s="527">
        <f t="shared" si="460"/>
        <v>-695.88942867307048</v>
      </c>
      <c r="BH317" s="527">
        <f t="shared" si="460"/>
        <v>-797.61666404098071</v>
      </c>
      <c r="BI317" s="527">
        <f t="shared" si="460"/>
        <v>-797.61666404098071</v>
      </c>
      <c r="BJ317" s="527">
        <f t="shared" si="460"/>
        <v>-797.61666404098071</v>
      </c>
      <c r="BK317" s="527">
        <f t="shared" si="460"/>
        <v>-797.61666404098071</v>
      </c>
      <c r="BL317" s="527">
        <f t="shared" si="460"/>
        <v>-797.61666404098071</v>
      </c>
      <c r="BM317" s="527">
        <f t="shared" si="460"/>
        <v>-797.61666404098071</v>
      </c>
      <c r="BN317" s="527">
        <f t="shared" si="460"/>
        <v>-772.60376365623631</v>
      </c>
      <c r="BO317" s="527">
        <f t="shared" si="460"/>
        <v>-772.60376365623631</v>
      </c>
      <c r="BP317" s="527">
        <f t="shared" si="460"/>
        <v>-772.60376365623631</v>
      </c>
      <c r="BQ317" s="527">
        <f t="shared" si="460"/>
        <v>-772.60376365623631</v>
      </c>
      <c r="BR317" s="527">
        <f t="shared" si="460"/>
        <v>-772.60376365623631</v>
      </c>
      <c r="BS317" s="527">
        <f t="shared" si="460"/>
        <v>-772.60376365623631</v>
      </c>
      <c r="BT317" s="527">
        <f t="shared" si="460"/>
        <v>-800.32585019796443</v>
      </c>
      <c r="BU317" s="527">
        <f t="shared" si="460"/>
        <v>-800.32585019796443</v>
      </c>
      <c r="BV317" s="527">
        <f t="shared" si="460"/>
        <v>-800.32585019796443</v>
      </c>
      <c r="BW317" s="527">
        <f t="shared" si="460"/>
        <v>-800.32585019796443</v>
      </c>
      <c r="BX317" s="527">
        <f t="shared" si="460"/>
        <v>-800.32585019796443</v>
      </c>
      <c r="BY317" s="527">
        <f t="shared" si="460"/>
        <v>-800.32585019796443</v>
      </c>
    </row>
    <row r="318" spans="1:77" x14ac:dyDescent="0.3">
      <c r="A318" s="551"/>
      <c r="B318" s="548"/>
      <c r="C318" s="525"/>
      <c r="D318" s="525"/>
      <c r="E318" s="630" t="str">
        <f>"WSM discounts: "&amp;E$159</f>
        <v>WSM discounts: FY31 Tranche</v>
      </c>
      <c r="F318" s="525"/>
      <c r="G318" s="525"/>
      <c r="H318" s="525"/>
      <c r="I318" s="525"/>
      <c r="J318" s="525"/>
      <c r="K318" s="525"/>
      <c r="L318" s="525"/>
      <c r="M318" s="525"/>
      <c r="N318" s="525"/>
      <c r="O318" s="525"/>
      <c r="P318" s="565"/>
      <c r="Q318" s="525"/>
      <c r="R318" s="527">
        <f t="shared" ref="R318:AW318" si="461">(R286-R294)*R$234</f>
        <v>-695.88942867307048</v>
      </c>
      <c r="S318" s="527">
        <f t="shared" si="461"/>
        <v>-695.88942867307048</v>
      </c>
      <c r="T318" s="527">
        <f t="shared" si="461"/>
        <v>-695.88942867307048</v>
      </c>
      <c r="U318" s="527">
        <f t="shared" si="461"/>
        <v>-695.88942867307048</v>
      </c>
      <c r="V318" s="527">
        <f t="shared" si="461"/>
        <v>-695.88942867307048</v>
      </c>
      <c r="W318" s="527">
        <f t="shared" si="461"/>
        <v>-695.88942867307048</v>
      </c>
      <c r="X318" s="527">
        <f t="shared" si="461"/>
        <v>-695.88942867307048</v>
      </c>
      <c r="Y318" s="527">
        <f t="shared" si="461"/>
        <v>-695.88942867307048</v>
      </c>
      <c r="Z318" s="527">
        <f t="shared" si="461"/>
        <v>-695.88942867307048</v>
      </c>
      <c r="AA318" s="527">
        <f t="shared" si="461"/>
        <v>-695.88942867307048</v>
      </c>
      <c r="AB318" s="527">
        <f t="shared" si="461"/>
        <v>-695.88942867307048</v>
      </c>
      <c r="AC318" s="527">
        <f t="shared" si="461"/>
        <v>-695.88942867307048</v>
      </c>
      <c r="AD318" s="527">
        <f t="shared" si="461"/>
        <v>-695.88942867307048</v>
      </c>
      <c r="AE318" s="527">
        <f t="shared" si="461"/>
        <v>-695.88942867307048</v>
      </c>
      <c r="AF318" s="527">
        <f t="shared" si="461"/>
        <v>-695.88942867307048</v>
      </c>
      <c r="AG318" s="527">
        <f t="shared" si="461"/>
        <v>-695.88942867307048</v>
      </c>
      <c r="AH318" s="527">
        <f t="shared" si="461"/>
        <v>-695.88942867307048</v>
      </c>
      <c r="AI318" s="527">
        <f t="shared" si="461"/>
        <v>-695.88942867307048</v>
      </c>
      <c r="AJ318" s="527">
        <f t="shared" si="461"/>
        <v>-695.88942867307048</v>
      </c>
      <c r="AK318" s="527">
        <f t="shared" si="461"/>
        <v>-695.88942867307048</v>
      </c>
      <c r="AL318" s="527">
        <f t="shared" si="461"/>
        <v>-695.88942867307048</v>
      </c>
      <c r="AM318" s="527">
        <f t="shared" si="461"/>
        <v>-695.88942867307048</v>
      </c>
      <c r="AN318" s="527">
        <f t="shared" si="461"/>
        <v>-695.88942867307048</v>
      </c>
      <c r="AO318" s="527">
        <f t="shared" si="461"/>
        <v>-695.88942867307048</v>
      </c>
      <c r="AP318" s="527">
        <f t="shared" si="461"/>
        <v>-695.88942867307048</v>
      </c>
      <c r="AQ318" s="527">
        <f t="shared" si="461"/>
        <v>-695.88942867307048</v>
      </c>
      <c r="AR318" s="527">
        <f t="shared" si="461"/>
        <v>-695.88942867307048</v>
      </c>
      <c r="AS318" s="527">
        <f t="shared" si="461"/>
        <v>-695.88942867307048</v>
      </c>
      <c r="AT318" s="527">
        <f t="shared" si="461"/>
        <v>-695.88942867307048</v>
      </c>
      <c r="AU318" s="527">
        <f t="shared" si="461"/>
        <v>-695.88942867307048</v>
      </c>
      <c r="AV318" s="527">
        <f t="shared" si="461"/>
        <v>-695.88942867307048</v>
      </c>
      <c r="AW318" s="527">
        <f t="shared" si="461"/>
        <v>-695.88942867307048</v>
      </c>
      <c r="AX318" s="527">
        <f t="shared" ref="AX318:BY318" si="462">(AX286-AX294)*AX$234</f>
        <v>-695.88942867307048</v>
      </c>
      <c r="AY318" s="527">
        <f t="shared" si="462"/>
        <v>-695.88942867307048</v>
      </c>
      <c r="AZ318" s="527">
        <f t="shared" si="462"/>
        <v>-695.88942867307048</v>
      </c>
      <c r="BA318" s="527">
        <f t="shared" si="462"/>
        <v>-695.88942867307048</v>
      </c>
      <c r="BB318" s="527">
        <f t="shared" si="462"/>
        <v>-695.88942867307048</v>
      </c>
      <c r="BC318" s="527">
        <f t="shared" si="462"/>
        <v>-695.88942867307048</v>
      </c>
      <c r="BD318" s="527">
        <f t="shared" si="462"/>
        <v>-695.88942867307048</v>
      </c>
      <c r="BE318" s="527">
        <f t="shared" si="462"/>
        <v>-695.88942867307048</v>
      </c>
      <c r="BF318" s="527">
        <f t="shared" si="462"/>
        <v>-695.88942867307048</v>
      </c>
      <c r="BG318" s="527">
        <f t="shared" si="462"/>
        <v>-695.88942867307048</v>
      </c>
      <c r="BH318" s="527">
        <f t="shared" si="462"/>
        <v>-695.88942867307048</v>
      </c>
      <c r="BI318" s="527">
        <f t="shared" si="462"/>
        <v>-695.88942867307048</v>
      </c>
      <c r="BJ318" s="527">
        <f t="shared" si="462"/>
        <v>-695.88942867307048</v>
      </c>
      <c r="BK318" s="527">
        <f t="shared" si="462"/>
        <v>-695.88942867307048</v>
      </c>
      <c r="BL318" s="527">
        <f t="shared" si="462"/>
        <v>-695.88942867307048</v>
      </c>
      <c r="BM318" s="527">
        <f t="shared" si="462"/>
        <v>-695.88942867307048</v>
      </c>
      <c r="BN318" s="527">
        <f t="shared" si="462"/>
        <v>-695.88942867307048</v>
      </c>
      <c r="BO318" s="527">
        <f t="shared" si="462"/>
        <v>-695.88942867307048</v>
      </c>
      <c r="BP318" s="527">
        <f t="shared" si="462"/>
        <v>-695.88942867307048</v>
      </c>
      <c r="BQ318" s="527">
        <f t="shared" si="462"/>
        <v>-695.88942867307048</v>
      </c>
      <c r="BR318" s="527">
        <f t="shared" si="462"/>
        <v>-695.88942867307048</v>
      </c>
      <c r="BS318" s="527">
        <f t="shared" si="462"/>
        <v>-695.88942867307048</v>
      </c>
      <c r="BT318" s="527">
        <f t="shared" si="462"/>
        <v>-795.100793624895</v>
      </c>
      <c r="BU318" s="527">
        <f t="shared" si="462"/>
        <v>-795.100793624895</v>
      </c>
      <c r="BV318" s="527">
        <f t="shared" si="462"/>
        <v>-795.100793624895</v>
      </c>
      <c r="BW318" s="527">
        <f t="shared" si="462"/>
        <v>-795.100793624895</v>
      </c>
      <c r="BX318" s="527">
        <f t="shared" si="462"/>
        <v>-795.100793624895</v>
      </c>
      <c r="BY318" s="527">
        <f t="shared" si="462"/>
        <v>-795.100793624895</v>
      </c>
    </row>
    <row r="319" spans="1:77" x14ac:dyDescent="0.3">
      <c r="A319" s="551"/>
      <c r="B319" s="548"/>
      <c r="C319" s="525"/>
      <c r="D319" s="525"/>
      <c r="E319" s="630" t="str">
        <f>"WSM discounts: "&amp;E$160</f>
        <v>WSM discounts: Uninvested Tranche</v>
      </c>
      <c r="F319" s="525"/>
      <c r="G319" s="525"/>
      <c r="H319" s="525"/>
      <c r="I319" s="525"/>
      <c r="J319" s="525"/>
      <c r="K319" s="525"/>
      <c r="L319" s="525"/>
      <c r="M319" s="525"/>
      <c r="N319" s="525"/>
      <c r="O319" s="525"/>
      <c r="P319" s="565"/>
      <c r="Q319" s="525"/>
      <c r="R319" s="527">
        <f t="shared" ref="R319:AW319" si="463">(R287-R295)*R$234</f>
        <v>-1555.517546445687</v>
      </c>
      <c r="S319" s="527">
        <f t="shared" si="463"/>
        <v>-1555.517546445687</v>
      </c>
      <c r="T319" s="527">
        <f t="shared" si="463"/>
        <v>-1555.517546445687</v>
      </c>
      <c r="U319" s="527">
        <f t="shared" si="463"/>
        <v>-1555.517546445687</v>
      </c>
      <c r="V319" s="527">
        <f t="shared" si="463"/>
        <v>-1555.517546445687</v>
      </c>
      <c r="W319" s="527">
        <f t="shared" si="463"/>
        <v>-1555.517546445687</v>
      </c>
      <c r="X319" s="527">
        <f t="shared" si="463"/>
        <v>-1555.517546445687</v>
      </c>
      <c r="Y319" s="527">
        <f t="shared" si="463"/>
        <v>-1555.517546445687</v>
      </c>
      <c r="Z319" s="527">
        <f t="shared" si="463"/>
        <v>-1555.517546445687</v>
      </c>
      <c r="AA319" s="527">
        <f t="shared" si="463"/>
        <v>-1555.517546445687</v>
      </c>
      <c r="AB319" s="527">
        <f t="shared" si="463"/>
        <v>-1555.517546445687</v>
      </c>
      <c r="AC319" s="527">
        <f t="shared" si="463"/>
        <v>-1555.517546445687</v>
      </c>
      <c r="AD319" s="527">
        <f t="shared" si="463"/>
        <v>-1555.517546445687</v>
      </c>
      <c r="AE319" s="527">
        <f t="shared" si="463"/>
        <v>-1555.517546445687</v>
      </c>
      <c r="AF319" s="527">
        <f t="shared" si="463"/>
        <v>-1555.517546445687</v>
      </c>
      <c r="AG319" s="527">
        <f t="shared" si="463"/>
        <v>-1555.517546445687</v>
      </c>
      <c r="AH319" s="527">
        <f t="shared" si="463"/>
        <v>-1555.517546445687</v>
      </c>
      <c r="AI319" s="527">
        <f t="shared" si="463"/>
        <v>-1555.517546445687</v>
      </c>
      <c r="AJ319" s="527">
        <f t="shared" si="463"/>
        <v>-1555.517546445687</v>
      </c>
      <c r="AK319" s="527">
        <f t="shared" si="463"/>
        <v>-1555.517546445687</v>
      </c>
      <c r="AL319" s="527">
        <f t="shared" si="463"/>
        <v>-1555.517546445687</v>
      </c>
      <c r="AM319" s="527">
        <f t="shared" si="463"/>
        <v>-1555.517546445687</v>
      </c>
      <c r="AN319" s="527">
        <f t="shared" si="463"/>
        <v>-1555.517546445687</v>
      </c>
      <c r="AO319" s="527">
        <f t="shared" si="463"/>
        <v>-1555.517546445687</v>
      </c>
      <c r="AP319" s="527">
        <f t="shared" si="463"/>
        <v>-1555.517546445687</v>
      </c>
      <c r="AQ319" s="527">
        <f t="shared" si="463"/>
        <v>-1555.517546445687</v>
      </c>
      <c r="AR319" s="527">
        <f t="shared" si="463"/>
        <v>-1555.517546445687</v>
      </c>
      <c r="AS319" s="527">
        <f t="shared" si="463"/>
        <v>-1555.517546445687</v>
      </c>
      <c r="AT319" s="527">
        <f t="shared" si="463"/>
        <v>-1555.517546445687</v>
      </c>
      <c r="AU319" s="527">
        <f t="shared" si="463"/>
        <v>-1555.517546445687</v>
      </c>
      <c r="AV319" s="527">
        <f t="shared" si="463"/>
        <v>-1555.517546445687</v>
      </c>
      <c r="AW319" s="527">
        <f t="shared" si="463"/>
        <v>-1555.517546445687</v>
      </c>
      <c r="AX319" s="527">
        <f t="shared" ref="AX319:BY319" si="464">(AX287-AX295)*AX$234</f>
        <v>-1555.517546445687</v>
      </c>
      <c r="AY319" s="527">
        <f t="shared" si="464"/>
        <v>-1555.517546445687</v>
      </c>
      <c r="AZ319" s="527">
        <f t="shared" si="464"/>
        <v>-1555.517546445687</v>
      </c>
      <c r="BA319" s="527">
        <f t="shared" si="464"/>
        <v>-1555.517546445687</v>
      </c>
      <c r="BB319" s="527">
        <f t="shared" si="464"/>
        <v>-1555.517546445687</v>
      </c>
      <c r="BC319" s="527">
        <f t="shared" si="464"/>
        <v>-1555.517546445687</v>
      </c>
      <c r="BD319" s="527">
        <f t="shared" si="464"/>
        <v>-1555.517546445687</v>
      </c>
      <c r="BE319" s="527">
        <f t="shared" si="464"/>
        <v>-1555.517546445687</v>
      </c>
      <c r="BF319" s="527">
        <f t="shared" si="464"/>
        <v>-1555.517546445687</v>
      </c>
      <c r="BG319" s="527">
        <f t="shared" si="464"/>
        <v>-1555.517546445687</v>
      </c>
      <c r="BH319" s="527">
        <f t="shared" si="464"/>
        <v>-1555.517546445687</v>
      </c>
      <c r="BI319" s="527">
        <f t="shared" si="464"/>
        <v>-1555.517546445687</v>
      </c>
      <c r="BJ319" s="527">
        <f t="shared" si="464"/>
        <v>-1555.517546445687</v>
      </c>
      <c r="BK319" s="527">
        <f t="shared" si="464"/>
        <v>-1555.517546445687</v>
      </c>
      <c r="BL319" s="527">
        <f t="shared" si="464"/>
        <v>-1555.517546445687</v>
      </c>
      <c r="BM319" s="527">
        <f t="shared" si="464"/>
        <v>-1555.517546445687</v>
      </c>
      <c r="BN319" s="527">
        <f t="shared" si="464"/>
        <v>-1555.517546445687</v>
      </c>
      <c r="BO319" s="527">
        <f t="shared" si="464"/>
        <v>-1555.517546445687</v>
      </c>
      <c r="BP319" s="527">
        <f t="shared" si="464"/>
        <v>-1555.517546445687</v>
      </c>
      <c r="BQ319" s="527">
        <f t="shared" si="464"/>
        <v>-1555.517546445687</v>
      </c>
      <c r="BR319" s="527">
        <f t="shared" si="464"/>
        <v>-1555.517546445687</v>
      </c>
      <c r="BS319" s="527">
        <f t="shared" si="464"/>
        <v>-1555.517546445687</v>
      </c>
      <c r="BT319" s="527">
        <f t="shared" si="464"/>
        <v>-1555.517546445687</v>
      </c>
      <c r="BU319" s="527">
        <f t="shared" si="464"/>
        <v>-1555.517546445687</v>
      </c>
      <c r="BV319" s="527">
        <f t="shared" si="464"/>
        <v>-1555.517546445687</v>
      </c>
      <c r="BW319" s="527">
        <f t="shared" si="464"/>
        <v>-1555.517546445687</v>
      </c>
      <c r="BX319" s="527">
        <f t="shared" si="464"/>
        <v>-1555.517546445687</v>
      </c>
      <c r="BY319" s="527">
        <f t="shared" si="464"/>
        <v>-1555.517546445687</v>
      </c>
    </row>
    <row r="320" spans="1:77" x14ac:dyDescent="0.3">
      <c r="A320" s="551"/>
      <c r="B320" s="548"/>
      <c r="C320" s="525"/>
      <c r="D320" s="525"/>
      <c r="E320" s="572" t="s">
        <v>36</v>
      </c>
      <c r="F320" s="572"/>
      <c r="G320" s="572"/>
      <c r="H320" s="572"/>
      <c r="I320" s="572"/>
      <c r="J320" s="572"/>
      <c r="K320" s="572"/>
      <c r="L320" s="572"/>
      <c r="M320" s="572"/>
      <c r="N320" s="572"/>
      <c r="O320" s="572"/>
      <c r="P320" s="612"/>
      <c r="Q320" s="572"/>
      <c r="R320" s="530">
        <f t="shared" ref="R320:AW320" si="465">SUM(R314:R319)</f>
        <v>-5034.9646898110395</v>
      </c>
      <c r="S320" s="530">
        <f t="shared" si="465"/>
        <v>-5034.9646898110395</v>
      </c>
      <c r="T320" s="530">
        <f t="shared" si="465"/>
        <v>-5034.9646898110395</v>
      </c>
      <c r="U320" s="530">
        <f t="shared" si="465"/>
        <v>-5034.9646898110395</v>
      </c>
      <c r="V320" s="530">
        <f t="shared" si="465"/>
        <v>-5034.9646898110395</v>
      </c>
      <c r="W320" s="530">
        <f t="shared" si="465"/>
        <v>-5034.9646898110395</v>
      </c>
      <c r="X320" s="530">
        <f t="shared" si="465"/>
        <v>-5144.650247460113</v>
      </c>
      <c r="Y320" s="530">
        <f t="shared" si="465"/>
        <v>-5144.650247460113</v>
      </c>
      <c r="Z320" s="530">
        <f t="shared" si="465"/>
        <v>-5144.650247460113</v>
      </c>
      <c r="AA320" s="530">
        <f t="shared" si="465"/>
        <v>-5144.650247460113</v>
      </c>
      <c r="AB320" s="530">
        <f t="shared" si="465"/>
        <v>-5144.650247460113</v>
      </c>
      <c r="AC320" s="530">
        <f t="shared" si="465"/>
        <v>-5144.650247460113</v>
      </c>
      <c r="AD320" s="530">
        <f t="shared" si="465"/>
        <v>-5114.8034734535668</v>
      </c>
      <c r="AE320" s="530">
        <f t="shared" si="465"/>
        <v>-5114.8034734535668</v>
      </c>
      <c r="AF320" s="530">
        <f t="shared" si="465"/>
        <v>-5114.8034734535668</v>
      </c>
      <c r="AG320" s="530">
        <f t="shared" si="465"/>
        <v>-5114.8034734535668</v>
      </c>
      <c r="AH320" s="530">
        <f t="shared" si="465"/>
        <v>-5114.8034734535668</v>
      </c>
      <c r="AI320" s="530">
        <f t="shared" si="465"/>
        <v>-5114.8034734535668</v>
      </c>
      <c r="AJ320" s="530">
        <f t="shared" si="465"/>
        <v>-5250.2755665541754</v>
      </c>
      <c r="AK320" s="530">
        <f t="shared" si="465"/>
        <v>-5250.2755665541754</v>
      </c>
      <c r="AL320" s="530">
        <f t="shared" si="465"/>
        <v>-5250.2755665541754</v>
      </c>
      <c r="AM320" s="530">
        <f t="shared" si="465"/>
        <v>-5250.2755665541754</v>
      </c>
      <c r="AN320" s="530">
        <f t="shared" si="465"/>
        <v>-5250.2755665541754</v>
      </c>
      <c r="AO320" s="530">
        <f t="shared" si="465"/>
        <v>-5250.2755665541754</v>
      </c>
      <c r="AP320" s="530">
        <f t="shared" si="465"/>
        <v>-5193.9324806388631</v>
      </c>
      <c r="AQ320" s="530">
        <f t="shared" si="465"/>
        <v>-5193.9324806388631</v>
      </c>
      <c r="AR320" s="530">
        <f t="shared" si="465"/>
        <v>-5193.9324806388631</v>
      </c>
      <c r="AS320" s="530">
        <f t="shared" si="465"/>
        <v>-5193.9324806388631</v>
      </c>
      <c r="AT320" s="530">
        <f t="shared" si="465"/>
        <v>-5193.9324806388631</v>
      </c>
      <c r="AU320" s="530">
        <f t="shared" si="465"/>
        <v>-5193.9324806388631</v>
      </c>
      <c r="AV320" s="530">
        <f t="shared" si="465"/>
        <v>-5354.8355250194909</v>
      </c>
      <c r="AW320" s="530">
        <f t="shared" si="465"/>
        <v>-5354.8355250194909</v>
      </c>
      <c r="AX320" s="530">
        <f t="shared" ref="AX320:BY320" si="466">SUM(AX314:AX319)</f>
        <v>-5354.8355250194909</v>
      </c>
      <c r="AY320" s="530">
        <f t="shared" si="466"/>
        <v>-5354.8355250194909</v>
      </c>
      <c r="AZ320" s="530">
        <f t="shared" si="466"/>
        <v>-5354.8355250194909</v>
      </c>
      <c r="BA320" s="530">
        <f t="shared" si="466"/>
        <v>-5354.8355250194909</v>
      </c>
      <c r="BB320" s="530">
        <f t="shared" si="466"/>
        <v>-5276.9378134407343</v>
      </c>
      <c r="BC320" s="530">
        <f t="shared" si="466"/>
        <v>-5276.9378134407343</v>
      </c>
      <c r="BD320" s="530">
        <f t="shared" si="466"/>
        <v>-5276.9378134407343</v>
      </c>
      <c r="BE320" s="530">
        <f t="shared" si="466"/>
        <v>-5276.9378134407343</v>
      </c>
      <c r="BF320" s="530">
        <f t="shared" si="466"/>
        <v>-5276.9378134407343</v>
      </c>
      <c r="BG320" s="530">
        <f t="shared" si="466"/>
        <v>-5276.9378134407343</v>
      </c>
      <c r="BH320" s="530">
        <f t="shared" si="466"/>
        <v>-5463.0761824379479</v>
      </c>
      <c r="BI320" s="530">
        <f t="shared" si="466"/>
        <v>-5463.0761824379479</v>
      </c>
      <c r="BJ320" s="530">
        <f t="shared" si="466"/>
        <v>-5463.0761824379479</v>
      </c>
      <c r="BK320" s="530">
        <f t="shared" si="466"/>
        <v>-5463.0761824379479</v>
      </c>
      <c r="BL320" s="530">
        <f t="shared" si="466"/>
        <v>-5463.0761824379479</v>
      </c>
      <c r="BM320" s="530">
        <f t="shared" si="466"/>
        <v>-5463.0761824379479</v>
      </c>
      <c r="BN320" s="530">
        <f t="shared" si="466"/>
        <v>-5362.1043794471661</v>
      </c>
      <c r="BO320" s="530">
        <f t="shared" si="466"/>
        <v>-5362.1043794471661</v>
      </c>
      <c r="BP320" s="530">
        <f t="shared" si="466"/>
        <v>-5362.1043794471661</v>
      </c>
      <c r="BQ320" s="530">
        <f t="shared" si="466"/>
        <v>-5362.1043794471661</v>
      </c>
      <c r="BR320" s="530">
        <f t="shared" si="466"/>
        <v>-5362.1043794471661</v>
      </c>
      <c r="BS320" s="530">
        <f t="shared" si="466"/>
        <v>-5362.1043794471661</v>
      </c>
      <c r="BT320" s="530">
        <f t="shared" si="466"/>
        <v>-5573.0153845540417</v>
      </c>
      <c r="BU320" s="530">
        <f t="shared" si="466"/>
        <v>-5573.0153845540417</v>
      </c>
      <c r="BV320" s="530">
        <f t="shared" si="466"/>
        <v>-5573.0153845540417</v>
      </c>
      <c r="BW320" s="530">
        <f t="shared" si="466"/>
        <v>-5573.0153845540417</v>
      </c>
      <c r="BX320" s="530">
        <f t="shared" si="466"/>
        <v>-5573.0153845540417</v>
      </c>
      <c r="BY320" s="530">
        <f t="shared" si="466"/>
        <v>-5573.0153845540417</v>
      </c>
    </row>
    <row r="321" spans="1:77" x14ac:dyDescent="0.3">
      <c r="A321" s="551"/>
      <c r="B321" s="548"/>
      <c r="C321" s="525"/>
      <c r="D321" s="525"/>
      <c r="E321" s="525"/>
      <c r="F321" s="525"/>
      <c r="G321" s="525"/>
      <c r="H321" s="525"/>
      <c r="I321" s="525"/>
      <c r="J321" s="525"/>
      <c r="K321" s="525"/>
      <c r="L321" s="525"/>
      <c r="M321" s="525"/>
      <c r="N321" s="525"/>
      <c r="O321" s="525"/>
      <c r="P321" s="565"/>
      <c r="Q321" s="525"/>
      <c r="R321" s="525"/>
      <c r="S321" s="525"/>
      <c r="T321" s="525"/>
      <c r="U321" s="525"/>
      <c r="V321" s="525"/>
      <c r="W321" s="525"/>
      <c r="X321" s="525"/>
      <c r="Y321" s="525"/>
      <c r="Z321" s="525"/>
      <c r="AA321" s="525"/>
      <c r="AB321" s="525"/>
      <c r="AC321" s="525"/>
      <c r="AD321" s="525"/>
      <c r="AE321" s="525"/>
      <c r="AF321" s="525"/>
      <c r="AG321" s="525"/>
      <c r="AH321" s="525"/>
      <c r="AI321" s="525"/>
      <c r="AJ321" s="525"/>
      <c r="AK321" s="525"/>
      <c r="AL321" s="525"/>
      <c r="AM321" s="525"/>
      <c r="AN321" s="525"/>
      <c r="AO321" s="525"/>
      <c r="AP321" s="525"/>
      <c r="AQ321" s="525"/>
      <c r="AR321" s="525"/>
      <c r="AS321" s="525"/>
      <c r="AT321" s="525"/>
      <c r="AU321" s="525"/>
      <c r="AV321" s="525"/>
      <c r="AW321" s="525"/>
      <c r="AX321" s="525"/>
      <c r="AY321" s="525"/>
      <c r="AZ321" s="525"/>
      <c r="BA321" s="525"/>
      <c r="BB321" s="525"/>
      <c r="BC321" s="525"/>
      <c r="BD321" s="525"/>
      <c r="BE321" s="525"/>
      <c r="BF321" s="525"/>
      <c r="BG321" s="525"/>
      <c r="BH321" s="525"/>
      <c r="BI321" s="525"/>
      <c r="BJ321" s="525"/>
      <c r="BK321" s="525"/>
      <c r="BL321" s="525"/>
      <c r="BM321" s="525"/>
      <c r="BN321" s="525"/>
      <c r="BO321" s="525"/>
      <c r="BP321" s="525"/>
      <c r="BQ321" s="525"/>
      <c r="BR321" s="525"/>
      <c r="BS321" s="525"/>
      <c r="BT321" s="525"/>
      <c r="BU321" s="525"/>
      <c r="BV321" s="525"/>
      <c r="BW321" s="525"/>
      <c r="BX321" s="525"/>
      <c r="BY321" s="525"/>
    </row>
    <row r="322" spans="1:77" x14ac:dyDescent="0.3">
      <c r="A322" s="551"/>
      <c r="B322" s="548"/>
      <c r="C322" s="525"/>
      <c r="D322" s="525"/>
      <c r="E322" s="624" t="s">
        <v>108</v>
      </c>
      <c r="F322" s="624"/>
      <c r="G322" s="624"/>
      <c r="H322" s="624"/>
      <c r="I322" s="624"/>
      <c r="J322" s="624"/>
      <c r="K322" s="624"/>
      <c r="L322" s="624"/>
      <c r="M322" s="624"/>
      <c r="N322" s="624"/>
      <c r="O322" s="624"/>
      <c r="P322" s="625"/>
      <c r="Q322" s="624"/>
      <c r="R322" s="541">
        <f t="shared" ref="R322:AW322" si="467">R296+R304+R312+R320-R288</f>
        <v>0</v>
      </c>
      <c r="S322" s="541">
        <f t="shared" si="467"/>
        <v>0</v>
      </c>
      <c r="T322" s="541">
        <f t="shared" si="467"/>
        <v>0</v>
      </c>
      <c r="U322" s="541">
        <f t="shared" si="467"/>
        <v>0</v>
      </c>
      <c r="V322" s="541">
        <f t="shared" si="467"/>
        <v>0</v>
      </c>
      <c r="W322" s="541">
        <f t="shared" si="467"/>
        <v>0</v>
      </c>
      <c r="X322" s="541">
        <f t="shared" si="467"/>
        <v>0</v>
      </c>
      <c r="Y322" s="541">
        <f t="shared" si="467"/>
        <v>0</v>
      </c>
      <c r="Z322" s="541">
        <f t="shared" si="467"/>
        <v>0</v>
      </c>
      <c r="AA322" s="541">
        <f t="shared" si="467"/>
        <v>0</v>
      </c>
      <c r="AB322" s="541">
        <f t="shared" si="467"/>
        <v>0</v>
      </c>
      <c r="AC322" s="541">
        <f t="shared" si="467"/>
        <v>0</v>
      </c>
      <c r="AD322" s="541">
        <f t="shared" si="467"/>
        <v>0</v>
      </c>
      <c r="AE322" s="541">
        <f t="shared" si="467"/>
        <v>0</v>
      </c>
      <c r="AF322" s="541">
        <f t="shared" si="467"/>
        <v>0</v>
      </c>
      <c r="AG322" s="541">
        <f t="shared" si="467"/>
        <v>0</v>
      </c>
      <c r="AH322" s="541">
        <f t="shared" si="467"/>
        <v>0</v>
      </c>
      <c r="AI322" s="541">
        <f t="shared" si="467"/>
        <v>0</v>
      </c>
      <c r="AJ322" s="541">
        <f t="shared" si="467"/>
        <v>0</v>
      </c>
      <c r="AK322" s="541">
        <f t="shared" si="467"/>
        <v>0</v>
      </c>
      <c r="AL322" s="541">
        <f t="shared" si="467"/>
        <v>0</v>
      </c>
      <c r="AM322" s="541">
        <f t="shared" si="467"/>
        <v>0</v>
      </c>
      <c r="AN322" s="541">
        <f t="shared" si="467"/>
        <v>0</v>
      </c>
      <c r="AO322" s="541">
        <f t="shared" si="467"/>
        <v>0</v>
      </c>
      <c r="AP322" s="541">
        <f t="shared" si="467"/>
        <v>0</v>
      </c>
      <c r="AQ322" s="541">
        <f t="shared" si="467"/>
        <v>0</v>
      </c>
      <c r="AR322" s="541">
        <f t="shared" si="467"/>
        <v>0</v>
      </c>
      <c r="AS322" s="541">
        <f t="shared" si="467"/>
        <v>0</v>
      </c>
      <c r="AT322" s="541">
        <f t="shared" si="467"/>
        <v>0</v>
      </c>
      <c r="AU322" s="541">
        <f t="shared" si="467"/>
        <v>0</v>
      </c>
      <c r="AV322" s="541">
        <f t="shared" si="467"/>
        <v>0</v>
      </c>
      <c r="AW322" s="541">
        <f t="shared" si="467"/>
        <v>0</v>
      </c>
      <c r="AX322" s="541">
        <f t="shared" ref="AX322:BY322" si="468">AX296+AX304+AX312+AX320-AX288</f>
        <v>0</v>
      </c>
      <c r="AY322" s="541">
        <f t="shared" si="468"/>
        <v>0</v>
      </c>
      <c r="AZ322" s="541">
        <f t="shared" si="468"/>
        <v>0</v>
      </c>
      <c r="BA322" s="541">
        <f t="shared" si="468"/>
        <v>0</v>
      </c>
      <c r="BB322" s="541">
        <f t="shared" si="468"/>
        <v>0</v>
      </c>
      <c r="BC322" s="541">
        <f t="shared" si="468"/>
        <v>0</v>
      </c>
      <c r="BD322" s="541">
        <f t="shared" si="468"/>
        <v>0</v>
      </c>
      <c r="BE322" s="541">
        <f t="shared" si="468"/>
        <v>0</v>
      </c>
      <c r="BF322" s="541">
        <f t="shared" si="468"/>
        <v>0</v>
      </c>
      <c r="BG322" s="541">
        <f t="shared" si="468"/>
        <v>0</v>
      </c>
      <c r="BH322" s="541">
        <f t="shared" si="468"/>
        <v>0</v>
      </c>
      <c r="BI322" s="541">
        <f t="shared" si="468"/>
        <v>0</v>
      </c>
      <c r="BJ322" s="541">
        <f t="shared" si="468"/>
        <v>0</v>
      </c>
      <c r="BK322" s="541">
        <f t="shared" si="468"/>
        <v>0</v>
      </c>
      <c r="BL322" s="541">
        <f t="shared" si="468"/>
        <v>0</v>
      </c>
      <c r="BM322" s="541">
        <f t="shared" si="468"/>
        <v>0</v>
      </c>
      <c r="BN322" s="541">
        <f t="shared" si="468"/>
        <v>0</v>
      </c>
      <c r="BO322" s="541">
        <f t="shared" si="468"/>
        <v>0</v>
      </c>
      <c r="BP322" s="541">
        <f t="shared" si="468"/>
        <v>0</v>
      </c>
      <c r="BQ322" s="541">
        <f t="shared" si="468"/>
        <v>0</v>
      </c>
      <c r="BR322" s="541">
        <f t="shared" si="468"/>
        <v>0</v>
      </c>
      <c r="BS322" s="541">
        <f t="shared" si="468"/>
        <v>0</v>
      </c>
      <c r="BT322" s="541">
        <f t="shared" si="468"/>
        <v>0</v>
      </c>
      <c r="BU322" s="541">
        <f t="shared" si="468"/>
        <v>0</v>
      </c>
      <c r="BV322" s="541">
        <f t="shared" si="468"/>
        <v>0</v>
      </c>
      <c r="BW322" s="541">
        <f t="shared" si="468"/>
        <v>0</v>
      </c>
      <c r="BX322" s="541">
        <f t="shared" si="468"/>
        <v>0</v>
      </c>
      <c r="BY322" s="541">
        <f t="shared" si="468"/>
        <v>0</v>
      </c>
    </row>
    <row r="323" spans="1:77" x14ac:dyDescent="0.3">
      <c r="A323" s="551"/>
      <c r="B323" s="548"/>
      <c r="C323" s="525"/>
      <c r="D323" s="525"/>
      <c r="E323" s="525"/>
      <c r="F323" s="525"/>
      <c r="G323" s="525"/>
      <c r="H323" s="525"/>
      <c r="I323" s="525"/>
      <c r="J323" s="525"/>
      <c r="K323" s="525"/>
      <c r="L323" s="525"/>
      <c r="M323" s="525"/>
      <c r="N323" s="525"/>
      <c r="O323" s="525"/>
      <c r="P323" s="565"/>
      <c r="Q323" s="525"/>
      <c r="R323" s="525"/>
      <c r="S323" s="525"/>
      <c r="T323" s="525"/>
      <c r="U323" s="525"/>
      <c r="V323" s="525"/>
      <c r="W323" s="525"/>
      <c r="X323" s="525"/>
      <c r="Y323" s="525"/>
      <c r="Z323" s="525"/>
      <c r="AA323" s="525"/>
      <c r="AB323" s="525"/>
      <c r="AC323" s="525"/>
      <c r="AD323" s="525"/>
      <c r="AE323" s="525"/>
      <c r="AF323" s="525"/>
      <c r="AG323" s="525"/>
      <c r="AH323" s="525"/>
      <c r="AI323" s="525"/>
      <c r="AJ323" s="525"/>
      <c r="AK323" s="525"/>
      <c r="AL323" s="525"/>
      <c r="AM323" s="525"/>
      <c r="AN323" s="525"/>
      <c r="AO323" s="525"/>
      <c r="AP323" s="525"/>
      <c r="AQ323" s="525"/>
      <c r="AR323" s="525"/>
      <c r="AS323" s="525"/>
      <c r="AT323" s="525"/>
      <c r="AU323" s="525"/>
      <c r="AV323" s="525"/>
      <c r="AW323" s="525"/>
      <c r="AX323" s="525"/>
      <c r="AY323" s="525"/>
      <c r="AZ323" s="525"/>
      <c r="BA323" s="525"/>
      <c r="BB323" s="525"/>
      <c r="BC323" s="525"/>
      <c r="BD323" s="525"/>
      <c r="BE323" s="525"/>
      <c r="BF323" s="525"/>
      <c r="BG323" s="525"/>
      <c r="BH323" s="525"/>
      <c r="BI323" s="525"/>
      <c r="BJ323" s="525"/>
      <c r="BK323" s="525"/>
      <c r="BL323" s="525"/>
      <c r="BM323" s="525"/>
      <c r="BN323" s="525"/>
      <c r="BO323" s="525"/>
      <c r="BP323" s="525"/>
      <c r="BQ323" s="525"/>
      <c r="BR323" s="525"/>
      <c r="BS323" s="525"/>
      <c r="BT323" s="525"/>
      <c r="BU323" s="525"/>
      <c r="BV323" s="525"/>
      <c r="BW323" s="525"/>
      <c r="BX323" s="525"/>
      <c r="BY323" s="525"/>
    </row>
    <row r="324" spans="1:77" x14ac:dyDescent="0.3">
      <c r="A324" s="551"/>
      <c r="B324" s="548"/>
      <c r="C324" s="584" t="s">
        <v>37</v>
      </c>
      <c r="D324" s="525"/>
      <c r="E324" s="538" t="s">
        <v>25</v>
      </c>
      <c r="F324" s="538"/>
      <c r="G324" s="538"/>
      <c r="H324" s="538"/>
      <c r="I324" s="538"/>
      <c r="J324" s="538"/>
      <c r="K324" s="538"/>
      <c r="L324" s="538"/>
      <c r="M324" s="538"/>
      <c r="N324" s="538"/>
      <c r="O324" s="538"/>
      <c r="P324" s="584"/>
      <c r="Q324" s="538"/>
      <c r="R324" s="538"/>
      <c r="S324" s="538"/>
      <c r="T324" s="538"/>
      <c r="U324" s="538"/>
      <c r="V324" s="538"/>
      <c r="W324" s="538"/>
      <c r="X324" s="538"/>
      <c r="Y324" s="538"/>
      <c r="Z324" s="538"/>
      <c r="AA324" s="538"/>
      <c r="AB324" s="538"/>
      <c r="AC324" s="538"/>
      <c r="AD324" s="538"/>
      <c r="AE324" s="538"/>
      <c r="AF324" s="538"/>
      <c r="AG324" s="538"/>
      <c r="AH324" s="538"/>
      <c r="AI324" s="538"/>
      <c r="AJ324" s="538"/>
      <c r="AK324" s="538"/>
      <c r="AL324" s="538"/>
      <c r="AM324" s="538"/>
      <c r="AN324" s="538"/>
      <c r="AO324" s="538"/>
      <c r="AP324" s="538"/>
      <c r="AQ324" s="538"/>
      <c r="AR324" s="538"/>
      <c r="AS324" s="538"/>
      <c r="AT324" s="538"/>
      <c r="AU324" s="538"/>
      <c r="AV324" s="538"/>
      <c r="AW324" s="538"/>
      <c r="AX324" s="538"/>
      <c r="AY324" s="538"/>
      <c r="AZ324" s="538"/>
      <c r="BA324" s="538"/>
      <c r="BB324" s="538"/>
      <c r="BC324" s="538"/>
      <c r="BD324" s="538"/>
      <c r="BE324" s="538"/>
      <c r="BF324" s="538"/>
      <c r="BG324" s="538"/>
      <c r="BH324" s="538"/>
      <c r="BI324" s="538"/>
      <c r="BJ324" s="538"/>
      <c r="BK324" s="538"/>
      <c r="BL324" s="538"/>
      <c r="BM324" s="538"/>
      <c r="BN324" s="538"/>
      <c r="BO324" s="538"/>
      <c r="BP324" s="538"/>
      <c r="BQ324" s="538"/>
      <c r="BR324" s="538"/>
      <c r="BS324" s="538"/>
      <c r="BT324" s="538"/>
      <c r="BU324" s="538"/>
      <c r="BV324" s="538"/>
      <c r="BW324" s="538"/>
      <c r="BX324" s="538"/>
      <c r="BY324" s="538"/>
    </row>
    <row r="325" spans="1:77" x14ac:dyDescent="0.3">
      <c r="A325" s="551"/>
      <c r="B325" s="548"/>
      <c r="C325" s="525"/>
      <c r="D325" s="525"/>
      <c r="E325" s="525"/>
      <c r="F325" s="525"/>
      <c r="G325" s="525"/>
      <c r="H325" s="525"/>
      <c r="I325" s="525"/>
      <c r="J325" s="525"/>
      <c r="K325" s="525"/>
      <c r="L325" s="525"/>
      <c r="M325" s="525"/>
      <c r="N325" s="525"/>
      <c r="O325" s="525"/>
      <c r="P325" s="565"/>
      <c r="Q325" s="525"/>
      <c r="R325" s="525"/>
      <c r="S325" s="525"/>
      <c r="T325" s="525"/>
      <c r="U325" s="525"/>
      <c r="V325" s="525"/>
      <c r="W325" s="525"/>
      <c r="X325" s="525"/>
      <c r="Y325" s="525"/>
      <c r="Z325" s="525"/>
      <c r="AA325" s="525"/>
      <c r="AB325" s="525"/>
      <c r="AC325" s="525"/>
      <c r="AD325" s="525"/>
      <c r="AE325" s="525"/>
      <c r="AF325" s="525"/>
      <c r="AG325" s="525"/>
      <c r="AH325" s="525"/>
      <c r="AI325" s="525"/>
      <c r="AJ325" s="525"/>
      <c r="AK325" s="525"/>
      <c r="AL325" s="525"/>
      <c r="AM325" s="525"/>
      <c r="AN325" s="525"/>
      <c r="AO325" s="525"/>
      <c r="AP325" s="525"/>
      <c r="AQ325" s="525"/>
      <c r="AR325" s="525"/>
      <c r="AS325" s="525"/>
      <c r="AT325" s="525"/>
      <c r="AU325" s="525"/>
      <c r="AV325" s="525"/>
      <c r="AW325" s="525"/>
      <c r="AX325" s="525"/>
      <c r="AY325" s="525"/>
      <c r="AZ325" s="525"/>
      <c r="BA325" s="525"/>
      <c r="BB325" s="525"/>
      <c r="BC325" s="525"/>
      <c r="BD325" s="525"/>
      <c r="BE325" s="525"/>
      <c r="BF325" s="525"/>
      <c r="BG325" s="525"/>
      <c r="BH325" s="525"/>
      <c r="BI325" s="525"/>
      <c r="BJ325" s="525"/>
      <c r="BK325" s="525"/>
      <c r="BL325" s="525"/>
      <c r="BM325" s="525"/>
      <c r="BN325" s="525"/>
      <c r="BO325" s="525"/>
      <c r="BP325" s="525"/>
      <c r="BQ325" s="525"/>
      <c r="BR325" s="525"/>
      <c r="BS325" s="525"/>
      <c r="BT325" s="525"/>
      <c r="BU325" s="525"/>
      <c r="BV325" s="525"/>
      <c r="BW325" s="525"/>
      <c r="BX325" s="525"/>
      <c r="BY325" s="525"/>
    </row>
    <row r="326" spans="1:77" x14ac:dyDescent="0.3">
      <c r="A326" s="551"/>
      <c r="B326" s="548"/>
      <c r="C326" s="525"/>
      <c r="D326" s="525"/>
      <c r="E326" s="614" t="s">
        <v>96</v>
      </c>
      <c r="F326" s="539"/>
      <c r="G326" s="539"/>
      <c r="H326" s="539"/>
      <c r="I326" s="539"/>
      <c r="J326" s="539"/>
      <c r="K326" s="539"/>
      <c r="L326" s="539"/>
      <c r="M326" s="539"/>
      <c r="N326" s="539"/>
      <c r="O326" s="539"/>
      <c r="P326" s="615"/>
      <c r="Q326" s="539"/>
      <c r="R326" s="539"/>
      <c r="S326" s="539"/>
      <c r="T326" s="539"/>
      <c r="U326" s="539"/>
      <c r="V326" s="539"/>
      <c r="W326" s="539"/>
      <c r="X326" s="539"/>
      <c r="Y326" s="539"/>
      <c r="Z326" s="539"/>
      <c r="AA326" s="539"/>
      <c r="AB326" s="539"/>
      <c r="AC326" s="539"/>
      <c r="AD326" s="539"/>
      <c r="AE326" s="539"/>
      <c r="AF326" s="539"/>
      <c r="AG326" s="539"/>
      <c r="AH326" s="539"/>
      <c r="AI326" s="539"/>
      <c r="AJ326" s="539"/>
      <c r="AK326" s="539"/>
      <c r="AL326" s="539"/>
      <c r="AM326" s="539"/>
      <c r="AN326" s="539"/>
      <c r="AO326" s="539"/>
      <c r="AP326" s="539"/>
      <c r="AQ326" s="539"/>
      <c r="AR326" s="539"/>
      <c r="AS326" s="539"/>
      <c r="AT326" s="539"/>
      <c r="AU326" s="539"/>
      <c r="AV326" s="539"/>
      <c r="AW326" s="539"/>
      <c r="AX326" s="539"/>
      <c r="AY326" s="539"/>
      <c r="AZ326" s="539"/>
      <c r="BA326" s="539"/>
      <c r="BB326" s="539"/>
      <c r="BC326" s="539"/>
      <c r="BD326" s="539"/>
      <c r="BE326" s="539"/>
      <c r="BF326" s="539"/>
      <c r="BG326" s="539"/>
      <c r="BH326" s="539"/>
      <c r="BI326" s="539"/>
      <c r="BJ326" s="539"/>
      <c r="BK326" s="539"/>
      <c r="BL326" s="539"/>
      <c r="BM326" s="539"/>
      <c r="BN326" s="539"/>
      <c r="BO326" s="539"/>
      <c r="BP326" s="539"/>
      <c r="BQ326" s="539"/>
      <c r="BR326" s="539"/>
      <c r="BS326" s="539"/>
      <c r="BT326" s="539"/>
      <c r="BU326" s="539"/>
      <c r="BV326" s="539"/>
      <c r="BW326" s="539"/>
      <c r="BX326" s="539"/>
      <c r="BY326" s="539"/>
    </row>
    <row r="327" spans="1:77" x14ac:dyDescent="0.3">
      <c r="A327" s="551"/>
      <c r="B327" s="548"/>
      <c r="C327" s="525"/>
      <c r="D327" s="525"/>
      <c r="E327" s="525"/>
      <c r="F327" s="525"/>
      <c r="G327" s="525"/>
      <c r="H327" s="525"/>
      <c r="I327" s="525"/>
      <c r="J327" s="525"/>
      <c r="K327" s="525"/>
      <c r="L327" s="525"/>
      <c r="M327" s="525"/>
      <c r="N327" s="525"/>
      <c r="O327" s="525"/>
      <c r="P327" s="565"/>
      <c r="Q327" s="525"/>
      <c r="R327" s="525"/>
      <c r="S327" s="525"/>
      <c r="T327" s="525"/>
      <c r="U327" s="525"/>
      <c r="V327" s="525"/>
      <c r="W327" s="525"/>
      <c r="X327" s="525"/>
      <c r="Y327" s="525"/>
      <c r="Z327" s="525"/>
      <c r="AA327" s="525"/>
      <c r="AB327" s="525"/>
      <c r="AC327" s="525"/>
      <c r="AD327" s="525"/>
      <c r="AE327" s="525"/>
      <c r="AF327" s="525"/>
      <c r="AG327" s="525"/>
      <c r="AH327" s="525"/>
      <c r="AI327" s="525"/>
      <c r="AJ327" s="525"/>
      <c r="AK327" s="525"/>
      <c r="AL327" s="525"/>
      <c r="AM327" s="525"/>
      <c r="AN327" s="525"/>
      <c r="AO327" s="525"/>
      <c r="AP327" s="525"/>
      <c r="AQ327" s="525"/>
      <c r="AR327" s="525"/>
      <c r="AS327" s="525"/>
      <c r="AT327" s="525"/>
      <c r="AU327" s="525"/>
      <c r="AV327" s="525"/>
      <c r="AW327" s="525"/>
      <c r="AX327" s="525"/>
      <c r="AY327" s="525"/>
      <c r="AZ327" s="525"/>
      <c r="BA327" s="525"/>
      <c r="BB327" s="525"/>
      <c r="BC327" s="525"/>
      <c r="BD327" s="525"/>
      <c r="BE327" s="525"/>
      <c r="BF327" s="525"/>
      <c r="BG327" s="525"/>
      <c r="BH327" s="525"/>
      <c r="BI327" s="525"/>
      <c r="BJ327" s="525"/>
      <c r="BK327" s="525"/>
      <c r="BL327" s="525"/>
      <c r="BM327" s="525"/>
      <c r="BN327" s="525"/>
      <c r="BO327" s="525"/>
      <c r="BP327" s="525"/>
      <c r="BQ327" s="525"/>
      <c r="BR327" s="525"/>
      <c r="BS327" s="525"/>
      <c r="BT327" s="525"/>
      <c r="BU327" s="525"/>
      <c r="BV327" s="525"/>
      <c r="BW327" s="525"/>
      <c r="BX327" s="525"/>
      <c r="BY327" s="525"/>
    </row>
    <row r="328" spans="1:77" x14ac:dyDescent="0.3">
      <c r="A328" s="551"/>
      <c r="B328" s="548"/>
      <c r="C328" s="525"/>
      <c r="D328" s="525"/>
      <c r="E328" s="631" t="str">
        <f>"Rental income uplift due to capex: "&amp;E$155</f>
        <v>Rental income uplift due to capex: FY27 Tranche</v>
      </c>
      <c r="F328" s="525"/>
      <c r="G328" s="525"/>
      <c r="H328" s="525"/>
      <c r="I328" s="525"/>
      <c r="J328" s="525"/>
      <c r="K328" s="525"/>
      <c r="L328" s="525"/>
      <c r="M328" s="525"/>
      <c r="N328" s="525"/>
      <c r="O328" s="525"/>
      <c r="P328" s="565"/>
      <c r="Q328" s="525"/>
      <c r="R328" s="527">
        <f t="shared" ref="R328:AW328" si="469">R185*$AF155</f>
        <v>0</v>
      </c>
      <c r="S328" s="527">
        <f t="shared" si="469"/>
        <v>0</v>
      </c>
      <c r="T328" s="527">
        <f t="shared" si="469"/>
        <v>0</v>
      </c>
      <c r="U328" s="527">
        <f t="shared" si="469"/>
        <v>0</v>
      </c>
      <c r="V328" s="527">
        <f t="shared" si="469"/>
        <v>0</v>
      </c>
      <c r="W328" s="527">
        <f t="shared" si="469"/>
        <v>0</v>
      </c>
      <c r="X328" s="527">
        <f t="shared" si="469"/>
        <v>11592.145939791111</v>
      </c>
      <c r="Y328" s="527">
        <f t="shared" si="469"/>
        <v>11592.145939791111</v>
      </c>
      <c r="Z328" s="527">
        <f t="shared" si="469"/>
        <v>11592.145939791111</v>
      </c>
      <c r="AA328" s="527">
        <f t="shared" si="469"/>
        <v>11592.145939791111</v>
      </c>
      <c r="AB328" s="527">
        <f t="shared" si="469"/>
        <v>11592.145939791111</v>
      </c>
      <c r="AC328" s="527">
        <f t="shared" si="469"/>
        <v>11592.145939791111</v>
      </c>
      <c r="AD328" s="527">
        <f t="shared" si="469"/>
        <v>8868.0487791278956</v>
      </c>
      <c r="AE328" s="527">
        <f t="shared" si="469"/>
        <v>8868.0487791278956</v>
      </c>
      <c r="AF328" s="527">
        <f t="shared" si="469"/>
        <v>8868.0487791278956</v>
      </c>
      <c r="AG328" s="527">
        <f t="shared" si="469"/>
        <v>8868.0487791278956</v>
      </c>
      <c r="AH328" s="527">
        <f t="shared" si="469"/>
        <v>8868.0487791278956</v>
      </c>
      <c r="AI328" s="527">
        <f t="shared" si="469"/>
        <v>8868.0487791278956</v>
      </c>
      <c r="AJ328" s="527">
        <f t="shared" si="469"/>
        <v>12044.601932542519</v>
      </c>
      <c r="AK328" s="527">
        <f t="shared" si="469"/>
        <v>12044.601932542519</v>
      </c>
      <c r="AL328" s="527">
        <f t="shared" si="469"/>
        <v>12044.601932542519</v>
      </c>
      <c r="AM328" s="527">
        <f t="shared" si="469"/>
        <v>12044.601932542519</v>
      </c>
      <c r="AN328" s="527">
        <f t="shared" si="469"/>
        <v>12044.601932542519</v>
      </c>
      <c r="AO328" s="527">
        <f t="shared" si="469"/>
        <v>12044.601932542519</v>
      </c>
      <c r="AP328" s="527">
        <f t="shared" si="469"/>
        <v>9343.0365383079206</v>
      </c>
      <c r="AQ328" s="527">
        <f t="shared" si="469"/>
        <v>9343.0365383079206</v>
      </c>
      <c r="AR328" s="527">
        <f t="shared" si="469"/>
        <v>9343.0365383079206</v>
      </c>
      <c r="AS328" s="527">
        <f t="shared" si="469"/>
        <v>9343.0365383079206</v>
      </c>
      <c r="AT328" s="527">
        <f t="shared" si="469"/>
        <v>9343.0365383079206</v>
      </c>
      <c r="AU328" s="527">
        <f t="shared" si="469"/>
        <v>9343.0365383079206</v>
      </c>
      <c r="AV328" s="527">
        <f t="shared" si="469"/>
        <v>12646.651817859127</v>
      </c>
      <c r="AW328" s="527">
        <f t="shared" si="469"/>
        <v>12646.651817859127</v>
      </c>
      <c r="AX328" s="527">
        <f t="shared" ref="AX328:BY328" si="470">AX185*$AF155</f>
        <v>12646.651817859127</v>
      </c>
      <c r="AY328" s="527">
        <f t="shared" si="470"/>
        <v>12646.651817859127</v>
      </c>
      <c r="AZ328" s="527">
        <f t="shared" si="470"/>
        <v>12646.651817859127</v>
      </c>
      <c r="BA328" s="527">
        <f t="shared" si="470"/>
        <v>12646.651817859127</v>
      </c>
      <c r="BB328" s="527">
        <f t="shared" si="470"/>
        <v>10052.517306637232</v>
      </c>
      <c r="BC328" s="527">
        <f t="shared" si="470"/>
        <v>10052.517306637232</v>
      </c>
      <c r="BD328" s="527">
        <f t="shared" si="470"/>
        <v>10052.517306637232</v>
      </c>
      <c r="BE328" s="527">
        <f t="shared" si="470"/>
        <v>10052.517306637232</v>
      </c>
      <c r="BF328" s="527">
        <f t="shared" si="470"/>
        <v>10052.517306637232</v>
      </c>
      <c r="BG328" s="527">
        <f t="shared" si="470"/>
        <v>10052.517306637232</v>
      </c>
      <c r="BH328" s="527">
        <f t="shared" si="470"/>
        <v>13488.277197370486</v>
      </c>
      <c r="BI328" s="527">
        <f t="shared" si="470"/>
        <v>13488.277197370486</v>
      </c>
      <c r="BJ328" s="527">
        <f t="shared" si="470"/>
        <v>13488.277197370486</v>
      </c>
      <c r="BK328" s="527">
        <f t="shared" si="470"/>
        <v>13488.277197370486</v>
      </c>
      <c r="BL328" s="527">
        <f t="shared" si="470"/>
        <v>13488.277197370486</v>
      </c>
      <c r="BM328" s="527">
        <f t="shared" si="470"/>
        <v>13488.277197370486</v>
      </c>
      <c r="BN328" s="527">
        <f t="shared" si="470"/>
        <v>10866.035316623907</v>
      </c>
      <c r="BO328" s="527">
        <f t="shared" si="470"/>
        <v>10866.035316623907</v>
      </c>
      <c r="BP328" s="527">
        <f t="shared" si="470"/>
        <v>10866.035316623907</v>
      </c>
      <c r="BQ328" s="527">
        <f t="shared" si="470"/>
        <v>10866.035316623907</v>
      </c>
      <c r="BR328" s="527">
        <f t="shared" si="470"/>
        <v>10866.035316623907</v>
      </c>
      <c r="BS328" s="527">
        <f t="shared" si="470"/>
        <v>10866.035316623907</v>
      </c>
      <c r="BT328" s="527">
        <f t="shared" si="470"/>
        <v>14439.225602986486</v>
      </c>
      <c r="BU328" s="527">
        <f t="shared" si="470"/>
        <v>14439.225602986486</v>
      </c>
      <c r="BV328" s="527">
        <f t="shared" si="470"/>
        <v>14439.225602986486</v>
      </c>
      <c r="BW328" s="527">
        <f t="shared" si="470"/>
        <v>14439.225602986486</v>
      </c>
      <c r="BX328" s="527">
        <f t="shared" si="470"/>
        <v>14439.225602986486</v>
      </c>
      <c r="BY328" s="527">
        <f t="shared" si="470"/>
        <v>14439.225602986486</v>
      </c>
    </row>
    <row r="329" spans="1:77" x14ac:dyDescent="0.3">
      <c r="A329" s="551"/>
      <c r="B329" s="548"/>
      <c r="C329" s="525"/>
      <c r="D329" s="525"/>
      <c r="E329" s="631" t="str">
        <f>"Rental income uplift due to capex: "&amp;E$156</f>
        <v>Rental income uplift due to capex: FY28 Tranche</v>
      </c>
      <c r="F329" s="525"/>
      <c r="G329" s="525"/>
      <c r="H329" s="525"/>
      <c r="I329" s="525"/>
      <c r="J329" s="525"/>
      <c r="K329" s="525"/>
      <c r="L329" s="525"/>
      <c r="M329" s="525"/>
      <c r="N329" s="525"/>
      <c r="O329" s="525"/>
      <c r="P329" s="565"/>
      <c r="Q329" s="525"/>
      <c r="R329" s="527">
        <f t="shared" ref="R329:AW329" si="471">R186*$AF156</f>
        <v>0</v>
      </c>
      <c r="S329" s="527">
        <f t="shared" si="471"/>
        <v>0</v>
      </c>
      <c r="T329" s="527">
        <f t="shared" si="471"/>
        <v>0</v>
      </c>
      <c r="U329" s="527">
        <f t="shared" si="471"/>
        <v>0</v>
      </c>
      <c r="V329" s="527">
        <f t="shared" si="471"/>
        <v>0</v>
      </c>
      <c r="W329" s="527">
        <f t="shared" si="471"/>
        <v>0</v>
      </c>
      <c r="X329" s="527">
        <f t="shared" si="471"/>
        <v>0</v>
      </c>
      <c r="Y329" s="527">
        <f t="shared" si="471"/>
        <v>0</v>
      </c>
      <c r="Z329" s="527">
        <f t="shared" si="471"/>
        <v>0</v>
      </c>
      <c r="AA329" s="527">
        <f t="shared" si="471"/>
        <v>0</v>
      </c>
      <c r="AB329" s="527">
        <f t="shared" si="471"/>
        <v>0</v>
      </c>
      <c r="AC329" s="527">
        <f t="shared" si="471"/>
        <v>0</v>
      </c>
      <c r="AD329" s="527">
        <f t="shared" si="471"/>
        <v>0</v>
      </c>
      <c r="AE329" s="527">
        <f t="shared" si="471"/>
        <v>0</v>
      </c>
      <c r="AF329" s="527">
        <f t="shared" si="471"/>
        <v>0</v>
      </c>
      <c r="AG329" s="527">
        <f t="shared" si="471"/>
        <v>0</v>
      </c>
      <c r="AH329" s="527">
        <f t="shared" si="471"/>
        <v>0</v>
      </c>
      <c r="AI329" s="527">
        <f t="shared" si="471"/>
        <v>0</v>
      </c>
      <c r="AJ329" s="527">
        <f t="shared" si="471"/>
        <v>11870.934734249282</v>
      </c>
      <c r="AK329" s="527">
        <f t="shared" si="471"/>
        <v>11870.934734249282</v>
      </c>
      <c r="AL329" s="527">
        <f t="shared" si="471"/>
        <v>11870.934734249282</v>
      </c>
      <c r="AM329" s="527">
        <f t="shared" si="471"/>
        <v>11870.934734249282</v>
      </c>
      <c r="AN329" s="527">
        <f t="shared" si="471"/>
        <v>11870.934734249282</v>
      </c>
      <c r="AO329" s="527">
        <f t="shared" si="471"/>
        <v>11870.934734249282</v>
      </c>
      <c r="AP329" s="527">
        <f t="shared" si="471"/>
        <v>9169.369340014684</v>
      </c>
      <c r="AQ329" s="527">
        <f t="shared" si="471"/>
        <v>9169.369340014684</v>
      </c>
      <c r="AR329" s="527">
        <f t="shared" si="471"/>
        <v>9169.369340014684</v>
      </c>
      <c r="AS329" s="527">
        <f t="shared" si="471"/>
        <v>9169.369340014684</v>
      </c>
      <c r="AT329" s="527">
        <f t="shared" si="471"/>
        <v>9169.369340014684</v>
      </c>
      <c r="AU329" s="527">
        <f t="shared" si="471"/>
        <v>9169.369340014684</v>
      </c>
      <c r="AV329" s="527">
        <f t="shared" si="471"/>
        <v>12466.03793163416</v>
      </c>
      <c r="AW329" s="527">
        <f t="shared" si="471"/>
        <v>12466.03793163416</v>
      </c>
      <c r="AX329" s="527">
        <f t="shared" ref="AX329:BY329" si="472">AX186*$AF156</f>
        <v>12466.03793163416</v>
      </c>
      <c r="AY329" s="527">
        <f t="shared" si="472"/>
        <v>12466.03793163416</v>
      </c>
      <c r="AZ329" s="527">
        <f t="shared" si="472"/>
        <v>12466.03793163416</v>
      </c>
      <c r="BA329" s="527">
        <f t="shared" si="472"/>
        <v>12466.03793163416</v>
      </c>
      <c r="BB329" s="527">
        <f t="shared" si="472"/>
        <v>9871.9034204122654</v>
      </c>
      <c r="BC329" s="527">
        <f t="shared" si="472"/>
        <v>9871.9034204122654</v>
      </c>
      <c r="BD329" s="527">
        <f t="shared" si="472"/>
        <v>9871.9034204122654</v>
      </c>
      <c r="BE329" s="527">
        <f t="shared" si="472"/>
        <v>9871.9034204122654</v>
      </c>
      <c r="BF329" s="527">
        <f t="shared" si="472"/>
        <v>9871.9034204122654</v>
      </c>
      <c r="BG329" s="527">
        <f t="shared" si="472"/>
        <v>9871.9034204122654</v>
      </c>
      <c r="BH329" s="527">
        <f t="shared" si="472"/>
        <v>13300.438755696516</v>
      </c>
      <c r="BI329" s="527">
        <f t="shared" si="472"/>
        <v>13300.438755696516</v>
      </c>
      <c r="BJ329" s="527">
        <f t="shared" si="472"/>
        <v>13300.438755696516</v>
      </c>
      <c r="BK329" s="527">
        <f t="shared" si="472"/>
        <v>13300.438755696516</v>
      </c>
      <c r="BL329" s="527">
        <f t="shared" si="472"/>
        <v>13300.438755696516</v>
      </c>
      <c r="BM329" s="527">
        <f t="shared" si="472"/>
        <v>13300.438755696516</v>
      </c>
      <c r="BN329" s="527">
        <f t="shared" si="472"/>
        <v>10678.196874949937</v>
      </c>
      <c r="BO329" s="527">
        <f t="shared" si="472"/>
        <v>10678.196874949937</v>
      </c>
      <c r="BP329" s="527">
        <f t="shared" si="472"/>
        <v>10678.196874949937</v>
      </c>
      <c r="BQ329" s="527">
        <f t="shared" si="472"/>
        <v>10678.196874949937</v>
      </c>
      <c r="BR329" s="527">
        <f t="shared" si="472"/>
        <v>10678.196874949937</v>
      </c>
      <c r="BS329" s="527">
        <f t="shared" si="472"/>
        <v>10678.196874949937</v>
      </c>
      <c r="BT329" s="527">
        <f t="shared" si="472"/>
        <v>14243.873623645557</v>
      </c>
      <c r="BU329" s="527">
        <f t="shared" si="472"/>
        <v>14243.873623645557</v>
      </c>
      <c r="BV329" s="527">
        <f t="shared" si="472"/>
        <v>14243.873623645557</v>
      </c>
      <c r="BW329" s="527">
        <f t="shared" si="472"/>
        <v>14243.873623645557</v>
      </c>
      <c r="BX329" s="527">
        <f t="shared" si="472"/>
        <v>14243.873623645557</v>
      </c>
      <c r="BY329" s="527">
        <f t="shared" si="472"/>
        <v>14243.873623645557</v>
      </c>
    </row>
    <row r="330" spans="1:77" x14ac:dyDescent="0.3">
      <c r="A330" s="551"/>
      <c r="B330" s="548"/>
      <c r="C330" s="525"/>
      <c r="D330" s="525"/>
      <c r="E330" s="631" t="str">
        <f>"Rental income uplift due to capex: "&amp;E$157</f>
        <v>Rental income uplift due to capex: FY29 Tranche</v>
      </c>
      <c r="F330" s="525"/>
      <c r="G330" s="525"/>
      <c r="H330" s="525"/>
      <c r="I330" s="525"/>
      <c r="J330" s="525"/>
      <c r="K330" s="525"/>
      <c r="L330" s="525"/>
      <c r="M330" s="525"/>
      <c r="N330" s="525"/>
      <c r="O330" s="525"/>
      <c r="P330" s="565"/>
      <c r="Q330" s="525"/>
      <c r="R330" s="527">
        <f t="shared" ref="R330:AW330" si="473">R187*$AF157</f>
        <v>0</v>
      </c>
      <c r="S330" s="527">
        <f t="shared" si="473"/>
        <v>0</v>
      </c>
      <c r="T330" s="527">
        <f t="shared" si="473"/>
        <v>0</v>
      </c>
      <c r="U330" s="527">
        <f t="shared" si="473"/>
        <v>0</v>
      </c>
      <c r="V330" s="527">
        <f t="shared" si="473"/>
        <v>0</v>
      </c>
      <c r="W330" s="527">
        <f t="shared" si="473"/>
        <v>0</v>
      </c>
      <c r="X330" s="527">
        <f t="shared" si="473"/>
        <v>0</v>
      </c>
      <c r="Y330" s="527">
        <f t="shared" si="473"/>
        <v>0</v>
      </c>
      <c r="Z330" s="527">
        <f t="shared" si="473"/>
        <v>0</v>
      </c>
      <c r="AA330" s="527">
        <f t="shared" si="473"/>
        <v>0</v>
      </c>
      <c r="AB330" s="527">
        <f t="shared" si="473"/>
        <v>0</v>
      </c>
      <c r="AC330" s="527">
        <f t="shared" si="473"/>
        <v>0</v>
      </c>
      <c r="AD330" s="527">
        <f t="shared" si="473"/>
        <v>0</v>
      </c>
      <c r="AE330" s="527">
        <f t="shared" si="473"/>
        <v>0</v>
      </c>
      <c r="AF330" s="527">
        <f t="shared" si="473"/>
        <v>0</v>
      </c>
      <c r="AG330" s="527">
        <f t="shared" si="473"/>
        <v>0</v>
      </c>
      <c r="AH330" s="527">
        <f t="shared" si="473"/>
        <v>0</v>
      </c>
      <c r="AI330" s="527">
        <f t="shared" si="473"/>
        <v>0</v>
      </c>
      <c r="AJ330" s="527">
        <f t="shared" si="473"/>
        <v>0</v>
      </c>
      <c r="AK330" s="527">
        <f t="shared" si="473"/>
        <v>0</v>
      </c>
      <c r="AL330" s="527">
        <f t="shared" si="473"/>
        <v>0</v>
      </c>
      <c r="AM330" s="527">
        <f t="shared" si="473"/>
        <v>0</v>
      </c>
      <c r="AN330" s="527">
        <f t="shared" si="473"/>
        <v>0</v>
      </c>
      <c r="AO330" s="527">
        <f t="shared" si="473"/>
        <v>0</v>
      </c>
      <c r="AP330" s="527">
        <f t="shared" si="473"/>
        <v>0</v>
      </c>
      <c r="AQ330" s="527">
        <f t="shared" si="473"/>
        <v>0</v>
      </c>
      <c r="AR330" s="527">
        <f t="shared" si="473"/>
        <v>0</v>
      </c>
      <c r="AS330" s="527">
        <f t="shared" si="473"/>
        <v>0</v>
      </c>
      <c r="AT330" s="527">
        <f t="shared" si="473"/>
        <v>0</v>
      </c>
      <c r="AU330" s="527">
        <f t="shared" si="473"/>
        <v>0</v>
      </c>
      <c r="AV330" s="527">
        <f t="shared" si="473"/>
        <v>12137.489668490338</v>
      </c>
      <c r="AW330" s="527">
        <f t="shared" si="473"/>
        <v>12137.489668490338</v>
      </c>
      <c r="AX330" s="527">
        <f t="shared" ref="AX330:BY330" si="474">AX187*$AF157</f>
        <v>12137.489668490338</v>
      </c>
      <c r="AY330" s="527">
        <f t="shared" si="474"/>
        <v>12137.489668490338</v>
      </c>
      <c r="AZ330" s="527">
        <f t="shared" si="474"/>
        <v>12137.489668490338</v>
      </c>
      <c r="BA330" s="527">
        <f t="shared" si="474"/>
        <v>12137.489668490338</v>
      </c>
      <c r="BB330" s="527">
        <f t="shared" si="474"/>
        <v>9543.3551572684428</v>
      </c>
      <c r="BC330" s="527">
        <f t="shared" si="474"/>
        <v>9543.3551572684428</v>
      </c>
      <c r="BD330" s="527">
        <f t="shared" si="474"/>
        <v>9543.3551572684428</v>
      </c>
      <c r="BE330" s="527">
        <f t="shared" si="474"/>
        <v>9543.3551572684428</v>
      </c>
      <c r="BF330" s="527">
        <f t="shared" si="474"/>
        <v>9543.3551572684428</v>
      </c>
      <c r="BG330" s="527">
        <f t="shared" si="474"/>
        <v>9543.3551572684428</v>
      </c>
      <c r="BH330" s="527">
        <f t="shared" si="474"/>
        <v>12958.748562026947</v>
      </c>
      <c r="BI330" s="527">
        <f t="shared" si="474"/>
        <v>12958.748562026947</v>
      </c>
      <c r="BJ330" s="527">
        <f t="shared" si="474"/>
        <v>12958.748562026947</v>
      </c>
      <c r="BK330" s="527">
        <f t="shared" si="474"/>
        <v>12958.748562026947</v>
      </c>
      <c r="BL330" s="527">
        <f t="shared" si="474"/>
        <v>12958.748562026947</v>
      </c>
      <c r="BM330" s="527">
        <f t="shared" si="474"/>
        <v>12958.748562026947</v>
      </c>
      <c r="BN330" s="527">
        <f t="shared" si="474"/>
        <v>10336.506681280369</v>
      </c>
      <c r="BO330" s="527">
        <f t="shared" si="474"/>
        <v>10336.506681280369</v>
      </c>
      <c r="BP330" s="527">
        <f t="shared" si="474"/>
        <v>10336.506681280369</v>
      </c>
      <c r="BQ330" s="527">
        <f t="shared" si="474"/>
        <v>10336.506681280369</v>
      </c>
      <c r="BR330" s="527">
        <f t="shared" si="474"/>
        <v>10336.506681280369</v>
      </c>
      <c r="BS330" s="527">
        <f t="shared" si="474"/>
        <v>10336.506681280369</v>
      </c>
      <c r="BT330" s="527">
        <f t="shared" si="474"/>
        <v>13888.515822229221</v>
      </c>
      <c r="BU330" s="527">
        <f t="shared" si="474"/>
        <v>13888.515822229221</v>
      </c>
      <c r="BV330" s="527">
        <f t="shared" si="474"/>
        <v>13888.515822229221</v>
      </c>
      <c r="BW330" s="527">
        <f t="shared" si="474"/>
        <v>13888.515822229221</v>
      </c>
      <c r="BX330" s="527">
        <f t="shared" si="474"/>
        <v>13888.515822229221</v>
      </c>
      <c r="BY330" s="527">
        <f t="shared" si="474"/>
        <v>13888.515822229221</v>
      </c>
    </row>
    <row r="331" spans="1:77" x14ac:dyDescent="0.3">
      <c r="A331" s="551"/>
      <c r="B331" s="548"/>
      <c r="C331" s="525"/>
      <c r="D331" s="525"/>
      <c r="E331" s="631" t="str">
        <f>"Rental income uplift due to capex: "&amp;E$158</f>
        <v>Rental income uplift due to capex: FY30 Tranche</v>
      </c>
      <c r="F331" s="525"/>
      <c r="G331" s="525"/>
      <c r="H331" s="525"/>
      <c r="I331" s="525"/>
      <c r="J331" s="525"/>
      <c r="K331" s="525"/>
      <c r="L331" s="525"/>
      <c r="M331" s="525"/>
      <c r="N331" s="525"/>
      <c r="O331" s="525"/>
      <c r="P331" s="565"/>
      <c r="Q331" s="525"/>
      <c r="R331" s="527">
        <f t="shared" ref="R331:AW331" si="475">R188*$AF158</f>
        <v>0</v>
      </c>
      <c r="S331" s="527">
        <f t="shared" si="475"/>
        <v>0</v>
      </c>
      <c r="T331" s="527">
        <f t="shared" si="475"/>
        <v>0</v>
      </c>
      <c r="U331" s="527">
        <f t="shared" si="475"/>
        <v>0</v>
      </c>
      <c r="V331" s="527">
        <f t="shared" si="475"/>
        <v>0</v>
      </c>
      <c r="W331" s="527">
        <f t="shared" si="475"/>
        <v>0</v>
      </c>
      <c r="X331" s="527">
        <f t="shared" si="475"/>
        <v>0</v>
      </c>
      <c r="Y331" s="527">
        <f t="shared" si="475"/>
        <v>0</v>
      </c>
      <c r="Z331" s="527">
        <f t="shared" si="475"/>
        <v>0</v>
      </c>
      <c r="AA331" s="527">
        <f t="shared" si="475"/>
        <v>0</v>
      </c>
      <c r="AB331" s="527">
        <f t="shared" si="475"/>
        <v>0</v>
      </c>
      <c r="AC331" s="527">
        <f t="shared" si="475"/>
        <v>0</v>
      </c>
      <c r="AD331" s="527">
        <f t="shared" si="475"/>
        <v>0</v>
      </c>
      <c r="AE331" s="527">
        <f t="shared" si="475"/>
        <v>0</v>
      </c>
      <c r="AF331" s="527">
        <f t="shared" si="475"/>
        <v>0</v>
      </c>
      <c r="AG331" s="527">
        <f t="shared" si="475"/>
        <v>0</v>
      </c>
      <c r="AH331" s="527">
        <f t="shared" si="475"/>
        <v>0</v>
      </c>
      <c r="AI331" s="527">
        <f t="shared" si="475"/>
        <v>0</v>
      </c>
      <c r="AJ331" s="527">
        <f t="shared" si="475"/>
        <v>0</v>
      </c>
      <c r="AK331" s="527">
        <f t="shared" si="475"/>
        <v>0</v>
      </c>
      <c r="AL331" s="527">
        <f t="shared" si="475"/>
        <v>0</v>
      </c>
      <c r="AM331" s="527">
        <f t="shared" si="475"/>
        <v>0</v>
      </c>
      <c r="AN331" s="527">
        <f t="shared" si="475"/>
        <v>0</v>
      </c>
      <c r="AO331" s="527">
        <f t="shared" si="475"/>
        <v>0</v>
      </c>
      <c r="AP331" s="527">
        <f t="shared" si="475"/>
        <v>0</v>
      </c>
      <c r="AQ331" s="527">
        <f t="shared" si="475"/>
        <v>0</v>
      </c>
      <c r="AR331" s="527">
        <f t="shared" si="475"/>
        <v>0</v>
      </c>
      <c r="AS331" s="527">
        <f t="shared" si="475"/>
        <v>0</v>
      </c>
      <c r="AT331" s="527">
        <f t="shared" si="475"/>
        <v>0</v>
      </c>
      <c r="AU331" s="527">
        <f t="shared" si="475"/>
        <v>0</v>
      </c>
      <c r="AV331" s="527">
        <f t="shared" si="475"/>
        <v>0</v>
      </c>
      <c r="AW331" s="527">
        <f t="shared" si="475"/>
        <v>0</v>
      </c>
      <c r="AX331" s="527">
        <f t="shared" ref="AX331:BY331" si="476">AX188*$AF158</f>
        <v>0</v>
      </c>
      <c r="AY331" s="527">
        <f t="shared" si="476"/>
        <v>0</v>
      </c>
      <c r="AZ331" s="527">
        <f t="shared" si="476"/>
        <v>0</v>
      </c>
      <c r="BA331" s="527">
        <f t="shared" si="476"/>
        <v>0</v>
      </c>
      <c r="BB331" s="527">
        <f t="shared" si="476"/>
        <v>0</v>
      </c>
      <c r="BC331" s="527">
        <f t="shared" si="476"/>
        <v>0</v>
      </c>
      <c r="BD331" s="527">
        <f t="shared" si="476"/>
        <v>0</v>
      </c>
      <c r="BE331" s="527">
        <f t="shared" si="476"/>
        <v>0</v>
      </c>
      <c r="BF331" s="527">
        <f t="shared" si="476"/>
        <v>0</v>
      </c>
      <c r="BG331" s="527">
        <f t="shared" si="476"/>
        <v>0</v>
      </c>
      <c r="BH331" s="527">
        <f t="shared" si="476"/>
        <v>12388.464173981349</v>
      </c>
      <c r="BI331" s="527">
        <f t="shared" si="476"/>
        <v>12388.464173981349</v>
      </c>
      <c r="BJ331" s="527">
        <f t="shared" si="476"/>
        <v>12388.464173981349</v>
      </c>
      <c r="BK331" s="527">
        <f t="shared" si="476"/>
        <v>12388.464173981349</v>
      </c>
      <c r="BL331" s="527">
        <f t="shared" si="476"/>
        <v>12388.464173981349</v>
      </c>
      <c r="BM331" s="527">
        <f t="shared" si="476"/>
        <v>12388.464173981349</v>
      </c>
      <c r="BN331" s="527">
        <f t="shared" si="476"/>
        <v>9766.2222932347704</v>
      </c>
      <c r="BO331" s="527">
        <f t="shared" si="476"/>
        <v>9766.2222932347704</v>
      </c>
      <c r="BP331" s="527">
        <f t="shared" si="476"/>
        <v>9766.2222932347704</v>
      </c>
      <c r="BQ331" s="527">
        <f t="shared" si="476"/>
        <v>9766.2222932347704</v>
      </c>
      <c r="BR331" s="527">
        <f t="shared" si="476"/>
        <v>9766.2222932347704</v>
      </c>
      <c r="BS331" s="527">
        <f t="shared" si="476"/>
        <v>9766.2222932347704</v>
      </c>
      <c r="BT331" s="527">
        <f t="shared" si="476"/>
        <v>13295.420058661786</v>
      </c>
      <c r="BU331" s="527">
        <f t="shared" si="476"/>
        <v>13295.420058661786</v>
      </c>
      <c r="BV331" s="527">
        <f t="shared" si="476"/>
        <v>13295.420058661786</v>
      </c>
      <c r="BW331" s="527">
        <f t="shared" si="476"/>
        <v>13295.420058661786</v>
      </c>
      <c r="BX331" s="527">
        <f t="shared" si="476"/>
        <v>13295.420058661786</v>
      </c>
      <c r="BY331" s="527">
        <f t="shared" si="476"/>
        <v>13295.420058661786</v>
      </c>
    </row>
    <row r="332" spans="1:77" x14ac:dyDescent="0.3">
      <c r="A332" s="551"/>
      <c r="B332" s="548"/>
      <c r="C332" s="525"/>
      <c r="D332" s="525"/>
      <c r="E332" s="631" t="str">
        <f>"Rental income uplift due to capex: "&amp;E$159</f>
        <v>Rental income uplift due to capex: FY31 Tranche</v>
      </c>
      <c r="F332" s="525"/>
      <c r="G332" s="525"/>
      <c r="H332" s="525"/>
      <c r="I332" s="525"/>
      <c r="J332" s="525"/>
      <c r="K332" s="525"/>
      <c r="L332" s="525"/>
      <c r="M332" s="525"/>
      <c r="N332" s="525"/>
      <c r="O332" s="525"/>
      <c r="P332" s="565"/>
      <c r="Q332" s="525"/>
      <c r="R332" s="527">
        <f t="shared" ref="R332:AW332" si="477">R189*$AF159</f>
        <v>0</v>
      </c>
      <c r="S332" s="527">
        <f t="shared" si="477"/>
        <v>0</v>
      </c>
      <c r="T332" s="527">
        <f t="shared" si="477"/>
        <v>0</v>
      </c>
      <c r="U332" s="527">
        <f t="shared" si="477"/>
        <v>0</v>
      </c>
      <c r="V332" s="527">
        <f t="shared" si="477"/>
        <v>0</v>
      </c>
      <c r="W332" s="527">
        <f t="shared" si="477"/>
        <v>0</v>
      </c>
      <c r="X332" s="527">
        <f t="shared" si="477"/>
        <v>0</v>
      </c>
      <c r="Y332" s="527">
        <f t="shared" si="477"/>
        <v>0</v>
      </c>
      <c r="Z332" s="527">
        <f t="shared" si="477"/>
        <v>0</v>
      </c>
      <c r="AA332" s="527">
        <f t="shared" si="477"/>
        <v>0</v>
      </c>
      <c r="AB332" s="527">
        <f t="shared" si="477"/>
        <v>0</v>
      </c>
      <c r="AC332" s="527">
        <f t="shared" si="477"/>
        <v>0</v>
      </c>
      <c r="AD332" s="527">
        <f t="shared" si="477"/>
        <v>0</v>
      </c>
      <c r="AE332" s="527">
        <f t="shared" si="477"/>
        <v>0</v>
      </c>
      <c r="AF332" s="527">
        <f t="shared" si="477"/>
        <v>0</v>
      </c>
      <c r="AG332" s="527">
        <f t="shared" si="477"/>
        <v>0</v>
      </c>
      <c r="AH332" s="527">
        <f t="shared" si="477"/>
        <v>0</v>
      </c>
      <c r="AI332" s="527">
        <f t="shared" si="477"/>
        <v>0</v>
      </c>
      <c r="AJ332" s="527">
        <f t="shared" si="477"/>
        <v>0</v>
      </c>
      <c r="AK332" s="527">
        <f t="shared" si="477"/>
        <v>0</v>
      </c>
      <c r="AL332" s="527">
        <f t="shared" si="477"/>
        <v>0</v>
      </c>
      <c r="AM332" s="527">
        <f t="shared" si="477"/>
        <v>0</v>
      </c>
      <c r="AN332" s="527">
        <f t="shared" si="477"/>
        <v>0</v>
      </c>
      <c r="AO332" s="527">
        <f t="shared" si="477"/>
        <v>0</v>
      </c>
      <c r="AP332" s="527">
        <f t="shared" si="477"/>
        <v>0</v>
      </c>
      <c r="AQ332" s="527">
        <f t="shared" si="477"/>
        <v>0</v>
      </c>
      <c r="AR332" s="527">
        <f t="shared" si="477"/>
        <v>0</v>
      </c>
      <c r="AS332" s="527">
        <f t="shared" si="477"/>
        <v>0</v>
      </c>
      <c r="AT332" s="527">
        <f t="shared" si="477"/>
        <v>0</v>
      </c>
      <c r="AU332" s="527">
        <f t="shared" si="477"/>
        <v>0</v>
      </c>
      <c r="AV332" s="527">
        <f t="shared" si="477"/>
        <v>0</v>
      </c>
      <c r="AW332" s="527">
        <f t="shared" si="477"/>
        <v>0</v>
      </c>
      <c r="AX332" s="527">
        <f t="shared" ref="AX332:BY332" si="478">AX189*$AF159</f>
        <v>0</v>
      </c>
      <c r="AY332" s="527">
        <f t="shared" si="478"/>
        <v>0</v>
      </c>
      <c r="AZ332" s="527">
        <f t="shared" si="478"/>
        <v>0</v>
      </c>
      <c r="BA332" s="527">
        <f t="shared" si="478"/>
        <v>0</v>
      </c>
      <c r="BB332" s="527">
        <f t="shared" si="478"/>
        <v>0</v>
      </c>
      <c r="BC332" s="527">
        <f t="shared" si="478"/>
        <v>0</v>
      </c>
      <c r="BD332" s="527">
        <f t="shared" si="478"/>
        <v>0</v>
      </c>
      <c r="BE332" s="527">
        <f t="shared" si="478"/>
        <v>0</v>
      </c>
      <c r="BF332" s="527">
        <f t="shared" si="478"/>
        <v>0</v>
      </c>
      <c r="BG332" s="527">
        <f t="shared" si="478"/>
        <v>0</v>
      </c>
      <c r="BH332" s="527">
        <f t="shared" si="478"/>
        <v>0</v>
      </c>
      <c r="BI332" s="527">
        <f t="shared" si="478"/>
        <v>0</v>
      </c>
      <c r="BJ332" s="527">
        <f t="shared" si="478"/>
        <v>0</v>
      </c>
      <c r="BK332" s="527">
        <f t="shared" si="478"/>
        <v>0</v>
      </c>
      <c r="BL332" s="527">
        <f t="shared" si="478"/>
        <v>0</v>
      </c>
      <c r="BM332" s="527">
        <f t="shared" si="478"/>
        <v>0</v>
      </c>
      <c r="BN332" s="527">
        <f t="shared" si="478"/>
        <v>0</v>
      </c>
      <c r="BO332" s="527">
        <f t="shared" si="478"/>
        <v>0</v>
      </c>
      <c r="BP332" s="527">
        <f t="shared" si="478"/>
        <v>0</v>
      </c>
      <c r="BQ332" s="527">
        <f t="shared" si="478"/>
        <v>0</v>
      </c>
      <c r="BR332" s="527">
        <f t="shared" si="478"/>
        <v>0</v>
      </c>
      <c r="BS332" s="527">
        <f t="shared" si="478"/>
        <v>0</v>
      </c>
      <c r="BT332" s="527">
        <f t="shared" si="478"/>
        <v>12630.237156424306</v>
      </c>
      <c r="BU332" s="527">
        <f t="shared" si="478"/>
        <v>12630.237156424306</v>
      </c>
      <c r="BV332" s="527">
        <f t="shared" si="478"/>
        <v>12630.237156424306</v>
      </c>
      <c r="BW332" s="527">
        <f t="shared" si="478"/>
        <v>12630.237156424306</v>
      </c>
      <c r="BX332" s="527">
        <f t="shared" si="478"/>
        <v>12630.237156424306</v>
      </c>
      <c r="BY332" s="527">
        <f t="shared" si="478"/>
        <v>12630.237156424306</v>
      </c>
    </row>
    <row r="333" spans="1:77" x14ac:dyDescent="0.3">
      <c r="A333" s="551"/>
      <c r="B333" s="548"/>
      <c r="C333" s="525"/>
      <c r="D333" s="525"/>
      <c r="E333" s="631" t="str">
        <f>"Rental income uplift due to capex: "&amp;E$160</f>
        <v>Rental income uplift due to capex: Uninvested Tranche</v>
      </c>
      <c r="F333" s="525"/>
      <c r="G333" s="525"/>
      <c r="H333" s="525"/>
      <c r="I333" s="525"/>
      <c r="J333" s="525"/>
      <c r="K333" s="525"/>
      <c r="L333" s="525"/>
      <c r="M333" s="525"/>
      <c r="N333" s="525"/>
      <c r="O333" s="525"/>
      <c r="P333" s="565"/>
      <c r="Q333" s="525"/>
      <c r="R333" s="527">
        <f t="shared" ref="R333:AW333" si="479">R190*$AF160</f>
        <v>0</v>
      </c>
      <c r="S333" s="527">
        <f t="shared" si="479"/>
        <v>0</v>
      </c>
      <c r="T333" s="527">
        <f t="shared" si="479"/>
        <v>0</v>
      </c>
      <c r="U333" s="527">
        <f t="shared" si="479"/>
        <v>0</v>
      </c>
      <c r="V333" s="527">
        <f t="shared" si="479"/>
        <v>0</v>
      </c>
      <c r="W333" s="527">
        <f t="shared" si="479"/>
        <v>0</v>
      </c>
      <c r="X333" s="527">
        <f t="shared" si="479"/>
        <v>0</v>
      </c>
      <c r="Y333" s="527">
        <f t="shared" si="479"/>
        <v>0</v>
      </c>
      <c r="Z333" s="527">
        <f t="shared" si="479"/>
        <v>0</v>
      </c>
      <c r="AA333" s="527">
        <f t="shared" si="479"/>
        <v>0</v>
      </c>
      <c r="AB333" s="527">
        <f t="shared" si="479"/>
        <v>0</v>
      </c>
      <c r="AC333" s="527">
        <f t="shared" si="479"/>
        <v>0</v>
      </c>
      <c r="AD333" s="527">
        <f t="shared" si="479"/>
        <v>0</v>
      </c>
      <c r="AE333" s="527">
        <f t="shared" si="479"/>
        <v>0</v>
      </c>
      <c r="AF333" s="527">
        <f t="shared" si="479"/>
        <v>0</v>
      </c>
      <c r="AG333" s="527">
        <f t="shared" si="479"/>
        <v>0</v>
      </c>
      <c r="AH333" s="527">
        <f t="shared" si="479"/>
        <v>0</v>
      </c>
      <c r="AI333" s="527">
        <f t="shared" si="479"/>
        <v>0</v>
      </c>
      <c r="AJ333" s="527">
        <f t="shared" si="479"/>
        <v>0</v>
      </c>
      <c r="AK333" s="527">
        <f t="shared" si="479"/>
        <v>0</v>
      </c>
      <c r="AL333" s="527">
        <f t="shared" si="479"/>
        <v>0</v>
      </c>
      <c r="AM333" s="527">
        <f t="shared" si="479"/>
        <v>0</v>
      </c>
      <c r="AN333" s="527">
        <f t="shared" si="479"/>
        <v>0</v>
      </c>
      <c r="AO333" s="527">
        <f t="shared" si="479"/>
        <v>0</v>
      </c>
      <c r="AP333" s="527">
        <f t="shared" si="479"/>
        <v>0</v>
      </c>
      <c r="AQ333" s="527">
        <f t="shared" si="479"/>
        <v>0</v>
      </c>
      <c r="AR333" s="527">
        <f t="shared" si="479"/>
        <v>0</v>
      </c>
      <c r="AS333" s="527">
        <f t="shared" si="479"/>
        <v>0</v>
      </c>
      <c r="AT333" s="527">
        <f t="shared" si="479"/>
        <v>0</v>
      </c>
      <c r="AU333" s="527">
        <f t="shared" si="479"/>
        <v>0</v>
      </c>
      <c r="AV333" s="527">
        <f t="shared" si="479"/>
        <v>0</v>
      </c>
      <c r="AW333" s="527">
        <f t="shared" si="479"/>
        <v>0</v>
      </c>
      <c r="AX333" s="527">
        <f t="shared" ref="AX333:BY333" si="480">AX190*$AF160</f>
        <v>0</v>
      </c>
      <c r="AY333" s="527">
        <f t="shared" si="480"/>
        <v>0</v>
      </c>
      <c r="AZ333" s="527">
        <f t="shared" si="480"/>
        <v>0</v>
      </c>
      <c r="BA333" s="527">
        <f t="shared" si="480"/>
        <v>0</v>
      </c>
      <c r="BB333" s="527">
        <f t="shared" si="480"/>
        <v>0</v>
      </c>
      <c r="BC333" s="527">
        <f t="shared" si="480"/>
        <v>0</v>
      </c>
      <c r="BD333" s="527">
        <f t="shared" si="480"/>
        <v>0</v>
      </c>
      <c r="BE333" s="527">
        <f t="shared" si="480"/>
        <v>0</v>
      </c>
      <c r="BF333" s="527">
        <f t="shared" si="480"/>
        <v>0</v>
      </c>
      <c r="BG333" s="527">
        <f t="shared" si="480"/>
        <v>0</v>
      </c>
      <c r="BH333" s="527">
        <f t="shared" si="480"/>
        <v>0</v>
      </c>
      <c r="BI333" s="527">
        <f t="shared" si="480"/>
        <v>0</v>
      </c>
      <c r="BJ333" s="527">
        <f t="shared" si="480"/>
        <v>0</v>
      </c>
      <c r="BK333" s="527">
        <f t="shared" si="480"/>
        <v>0</v>
      </c>
      <c r="BL333" s="527">
        <f t="shared" si="480"/>
        <v>0</v>
      </c>
      <c r="BM333" s="527">
        <f t="shared" si="480"/>
        <v>0</v>
      </c>
      <c r="BN333" s="527">
        <f t="shared" si="480"/>
        <v>0</v>
      </c>
      <c r="BO333" s="527">
        <f t="shared" si="480"/>
        <v>0</v>
      </c>
      <c r="BP333" s="527">
        <f t="shared" si="480"/>
        <v>0</v>
      </c>
      <c r="BQ333" s="527">
        <f t="shared" si="480"/>
        <v>0</v>
      </c>
      <c r="BR333" s="527">
        <f t="shared" si="480"/>
        <v>0</v>
      </c>
      <c r="BS333" s="527">
        <f t="shared" si="480"/>
        <v>0</v>
      </c>
      <c r="BT333" s="527">
        <f t="shared" si="480"/>
        <v>0</v>
      </c>
      <c r="BU333" s="527">
        <f t="shared" si="480"/>
        <v>0</v>
      </c>
      <c r="BV333" s="527">
        <f t="shared" si="480"/>
        <v>0</v>
      </c>
      <c r="BW333" s="527">
        <f t="shared" si="480"/>
        <v>0</v>
      </c>
      <c r="BX333" s="527">
        <f t="shared" si="480"/>
        <v>0</v>
      </c>
      <c r="BY333" s="527">
        <f t="shared" si="480"/>
        <v>0</v>
      </c>
    </row>
    <row r="334" spans="1:77" x14ac:dyDescent="0.3">
      <c r="A334" s="551"/>
      <c r="B334" s="548"/>
      <c r="C334" s="525"/>
      <c r="D334" s="525"/>
      <c r="E334" s="572" t="s">
        <v>36</v>
      </c>
      <c r="F334" s="572"/>
      <c r="G334" s="572"/>
      <c r="H334" s="572"/>
      <c r="I334" s="572"/>
      <c r="J334" s="572"/>
      <c r="K334" s="572"/>
      <c r="L334" s="572"/>
      <c r="M334" s="572"/>
      <c r="N334" s="572"/>
      <c r="O334" s="572"/>
      <c r="P334" s="612"/>
      <c r="Q334" s="572"/>
      <c r="R334" s="532">
        <f t="shared" ref="R334:AW334" si="481">SUM(R328:R333)</f>
        <v>0</v>
      </c>
      <c r="S334" s="532">
        <f t="shared" si="481"/>
        <v>0</v>
      </c>
      <c r="T334" s="532">
        <f t="shared" si="481"/>
        <v>0</v>
      </c>
      <c r="U334" s="532">
        <f t="shared" si="481"/>
        <v>0</v>
      </c>
      <c r="V334" s="532">
        <f t="shared" si="481"/>
        <v>0</v>
      </c>
      <c r="W334" s="532">
        <f t="shared" si="481"/>
        <v>0</v>
      </c>
      <c r="X334" s="532">
        <f t="shared" si="481"/>
        <v>11592.145939791111</v>
      </c>
      <c r="Y334" s="532">
        <f t="shared" si="481"/>
        <v>11592.145939791111</v>
      </c>
      <c r="Z334" s="532">
        <f t="shared" si="481"/>
        <v>11592.145939791111</v>
      </c>
      <c r="AA334" s="532">
        <f t="shared" si="481"/>
        <v>11592.145939791111</v>
      </c>
      <c r="AB334" s="532">
        <f t="shared" si="481"/>
        <v>11592.145939791111</v>
      </c>
      <c r="AC334" s="532">
        <f t="shared" si="481"/>
        <v>11592.145939791111</v>
      </c>
      <c r="AD334" s="532">
        <f t="shared" si="481"/>
        <v>8868.0487791278956</v>
      </c>
      <c r="AE334" s="532">
        <f t="shared" si="481"/>
        <v>8868.0487791278956</v>
      </c>
      <c r="AF334" s="532">
        <f t="shared" si="481"/>
        <v>8868.0487791278956</v>
      </c>
      <c r="AG334" s="532">
        <f t="shared" si="481"/>
        <v>8868.0487791278956</v>
      </c>
      <c r="AH334" s="532">
        <f t="shared" si="481"/>
        <v>8868.0487791278956</v>
      </c>
      <c r="AI334" s="532">
        <f t="shared" si="481"/>
        <v>8868.0487791278956</v>
      </c>
      <c r="AJ334" s="532">
        <f t="shared" si="481"/>
        <v>23915.536666791799</v>
      </c>
      <c r="AK334" s="532">
        <f t="shared" si="481"/>
        <v>23915.536666791799</v>
      </c>
      <c r="AL334" s="532">
        <f t="shared" si="481"/>
        <v>23915.536666791799</v>
      </c>
      <c r="AM334" s="532">
        <f t="shared" si="481"/>
        <v>23915.536666791799</v>
      </c>
      <c r="AN334" s="532">
        <f t="shared" si="481"/>
        <v>23915.536666791799</v>
      </c>
      <c r="AO334" s="532">
        <f t="shared" si="481"/>
        <v>23915.536666791799</v>
      </c>
      <c r="AP334" s="532">
        <f t="shared" si="481"/>
        <v>18512.405878322606</v>
      </c>
      <c r="AQ334" s="532">
        <f t="shared" si="481"/>
        <v>18512.405878322606</v>
      </c>
      <c r="AR334" s="532">
        <f t="shared" si="481"/>
        <v>18512.405878322606</v>
      </c>
      <c r="AS334" s="532">
        <f t="shared" si="481"/>
        <v>18512.405878322606</v>
      </c>
      <c r="AT334" s="532">
        <f t="shared" si="481"/>
        <v>18512.405878322606</v>
      </c>
      <c r="AU334" s="532">
        <f t="shared" si="481"/>
        <v>18512.405878322606</v>
      </c>
      <c r="AV334" s="532">
        <f t="shared" si="481"/>
        <v>37250.179417983622</v>
      </c>
      <c r="AW334" s="532">
        <f t="shared" si="481"/>
        <v>37250.179417983622</v>
      </c>
      <c r="AX334" s="532">
        <f t="shared" ref="AX334:BY334" si="482">SUM(AX328:AX333)</f>
        <v>37250.179417983622</v>
      </c>
      <c r="AY334" s="532">
        <f t="shared" si="482"/>
        <v>37250.179417983622</v>
      </c>
      <c r="AZ334" s="532">
        <f t="shared" si="482"/>
        <v>37250.179417983622</v>
      </c>
      <c r="BA334" s="532">
        <f t="shared" si="482"/>
        <v>37250.179417983622</v>
      </c>
      <c r="BB334" s="532">
        <f t="shared" si="482"/>
        <v>29467.77588431794</v>
      </c>
      <c r="BC334" s="532">
        <f t="shared" si="482"/>
        <v>29467.77588431794</v>
      </c>
      <c r="BD334" s="532">
        <f t="shared" si="482"/>
        <v>29467.77588431794</v>
      </c>
      <c r="BE334" s="532">
        <f t="shared" si="482"/>
        <v>29467.77588431794</v>
      </c>
      <c r="BF334" s="532">
        <f t="shared" si="482"/>
        <v>29467.77588431794</v>
      </c>
      <c r="BG334" s="532">
        <f t="shared" si="482"/>
        <v>29467.77588431794</v>
      </c>
      <c r="BH334" s="532">
        <f t="shared" si="482"/>
        <v>52135.928689075299</v>
      </c>
      <c r="BI334" s="532">
        <f t="shared" si="482"/>
        <v>52135.928689075299</v>
      </c>
      <c r="BJ334" s="532">
        <f t="shared" si="482"/>
        <v>52135.928689075299</v>
      </c>
      <c r="BK334" s="532">
        <f t="shared" si="482"/>
        <v>52135.928689075299</v>
      </c>
      <c r="BL334" s="532">
        <f t="shared" si="482"/>
        <v>52135.928689075299</v>
      </c>
      <c r="BM334" s="532">
        <f t="shared" si="482"/>
        <v>52135.928689075299</v>
      </c>
      <c r="BN334" s="532">
        <f t="shared" si="482"/>
        <v>41646.961166088986</v>
      </c>
      <c r="BO334" s="532">
        <f t="shared" si="482"/>
        <v>41646.961166088986</v>
      </c>
      <c r="BP334" s="532">
        <f t="shared" si="482"/>
        <v>41646.961166088986</v>
      </c>
      <c r="BQ334" s="532">
        <f t="shared" si="482"/>
        <v>41646.961166088986</v>
      </c>
      <c r="BR334" s="532">
        <f t="shared" si="482"/>
        <v>41646.961166088986</v>
      </c>
      <c r="BS334" s="532">
        <f t="shared" si="482"/>
        <v>41646.961166088986</v>
      </c>
      <c r="BT334" s="532">
        <f t="shared" si="482"/>
        <v>68497.27226394735</v>
      </c>
      <c r="BU334" s="532">
        <f t="shared" si="482"/>
        <v>68497.27226394735</v>
      </c>
      <c r="BV334" s="532">
        <f t="shared" si="482"/>
        <v>68497.27226394735</v>
      </c>
      <c r="BW334" s="532">
        <f t="shared" si="482"/>
        <v>68497.27226394735</v>
      </c>
      <c r="BX334" s="532">
        <f t="shared" si="482"/>
        <v>68497.27226394735</v>
      </c>
      <c r="BY334" s="532">
        <f t="shared" si="482"/>
        <v>68497.27226394735</v>
      </c>
    </row>
    <row r="335" spans="1:77" x14ac:dyDescent="0.3">
      <c r="A335" s="551"/>
      <c r="B335" s="548"/>
      <c r="C335" s="525"/>
      <c r="D335" s="525"/>
      <c r="E335" s="525"/>
      <c r="F335" s="525"/>
      <c r="G335" s="525"/>
      <c r="H335" s="525"/>
      <c r="I335" s="525"/>
      <c r="J335" s="525"/>
      <c r="K335" s="525"/>
      <c r="L335" s="525"/>
      <c r="M335" s="525"/>
      <c r="N335" s="525"/>
      <c r="O335" s="525"/>
      <c r="P335" s="565"/>
      <c r="Q335" s="525"/>
      <c r="R335" s="525"/>
      <c r="S335" s="525"/>
      <c r="T335" s="525"/>
      <c r="U335" s="525"/>
      <c r="V335" s="525"/>
      <c r="W335" s="525"/>
      <c r="X335" s="525"/>
      <c r="Y335" s="525"/>
      <c r="Z335" s="525"/>
      <c r="AA335" s="525"/>
      <c r="AB335" s="525"/>
      <c r="AC335" s="525"/>
      <c r="AD335" s="525"/>
      <c r="AE335" s="525"/>
      <c r="AF335" s="525"/>
      <c r="AG335" s="525"/>
      <c r="AH335" s="525"/>
      <c r="AI335" s="525"/>
      <c r="AJ335" s="525"/>
      <c r="AK335" s="525"/>
      <c r="AL335" s="525"/>
      <c r="AM335" s="525"/>
      <c r="AN335" s="525"/>
      <c r="AO335" s="525"/>
      <c r="AP335" s="525"/>
      <c r="AQ335" s="525"/>
      <c r="AR335" s="525"/>
      <c r="AS335" s="525"/>
      <c r="AT335" s="525"/>
      <c r="AU335" s="525"/>
      <c r="AV335" s="525"/>
      <c r="AW335" s="525"/>
      <c r="AX335" s="525"/>
      <c r="AY335" s="525"/>
      <c r="AZ335" s="525"/>
      <c r="BA335" s="525"/>
      <c r="BB335" s="525"/>
      <c r="BC335" s="525"/>
      <c r="BD335" s="525"/>
      <c r="BE335" s="525"/>
      <c r="BF335" s="525"/>
      <c r="BG335" s="525"/>
      <c r="BH335" s="525"/>
      <c r="BI335" s="525"/>
      <c r="BJ335" s="525"/>
      <c r="BK335" s="525"/>
      <c r="BL335" s="525"/>
      <c r="BM335" s="525"/>
      <c r="BN335" s="525"/>
      <c r="BO335" s="525"/>
      <c r="BP335" s="525"/>
      <c r="BQ335" s="525"/>
      <c r="BR335" s="525"/>
      <c r="BS335" s="525"/>
      <c r="BT335" s="525"/>
      <c r="BU335" s="525"/>
      <c r="BV335" s="525"/>
      <c r="BW335" s="525"/>
      <c r="BX335" s="525"/>
      <c r="BY335" s="525"/>
    </row>
    <row r="336" spans="1:77" x14ac:dyDescent="0.3">
      <c r="A336" s="551"/>
      <c r="B336" s="548"/>
      <c r="C336" s="525"/>
      <c r="D336" s="525"/>
      <c r="E336" s="614" t="s">
        <v>110</v>
      </c>
      <c r="F336" s="539"/>
      <c r="G336" s="539"/>
      <c r="H336" s="539"/>
      <c r="I336" s="539"/>
      <c r="J336" s="539"/>
      <c r="K336" s="539"/>
      <c r="L336" s="539"/>
      <c r="M336" s="539"/>
      <c r="N336" s="539"/>
      <c r="O336" s="539"/>
      <c r="P336" s="615"/>
      <c r="Q336" s="539"/>
      <c r="R336" s="539"/>
      <c r="S336" s="539"/>
      <c r="T336" s="539"/>
      <c r="U336" s="539"/>
      <c r="V336" s="539"/>
      <c r="W336" s="539"/>
      <c r="X336" s="539"/>
      <c r="Y336" s="539"/>
      <c r="Z336" s="539"/>
      <c r="AA336" s="539"/>
      <c r="AB336" s="539"/>
      <c r="AC336" s="539"/>
      <c r="AD336" s="539"/>
      <c r="AE336" s="539"/>
      <c r="AF336" s="539"/>
      <c r="AG336" s="539"/>
      <c r="AH336" s="539"/>
      <c r="AI336" s="539"/>
      <c r="AJ336" s="539"/>
      <c r="AK336" s="539"/>
      <c r="AL336" s="539"/>
      <c r="AM336" s="539"/>
      <c r="AN336" s="539"/>
      <c r="AO336" s="539"/>
      <c r="AP336" s="539"/>
      <c r="AQ336" s="539"/>
      <c r="AR336" s="539"/>
      <c r="AS336" s="539"/>
      <c r="AT336" s="539"/>
      <c r="AU336" s="539"/>
      <c r="AV336" s="539"/>
      <c r="AW336" s="539"/>
      <c r="AX336" s="539"/>
      <c r="AY336" s="539"/>
      <c r="AZ336" s="539"/>
      <c r="BA336" s="539"/>
      <c r="BB336" s="539"/>
      <c r="BC336" s="539"/>
      <c r="BD336" s="539"/>
      <c r="BE336" s="539"/>
      <c r="BF336" s="539"/>
      <c r="BG336" s="539"/>
      <c r="BH336" s="539"/>
      <c r="BI336" s="539"/>
      <c r="BJ336" s="539"/>
      <c r="BK336" s="539"/>
      <c r="BL336" s="539"/>
      <c r="BM336" s="539"/>
      <c r="BN336" s="539"/>
      <c r="BO336" s="539"/>
      <c r="BP336" s="539"/>
      <c r="BQ336" s="539"/>
      <c r="BR336" s="539"/>
      <c r="BS336" s="539"/>
      <c r="BT336" s="539"/>
      <c r="BU336" s="539"/>
      <c r="BV336" s="539"/>
      <c r="BW336" s="539"/>
      <c r="BX336" s="539"/>
      <c r="BY336" s="539"/>
    </row>
    <row r="337" spans="1:77" x14ac:dyDescent="0.3">
      <c r="A337" s="551"/>
      <c r="B337" s="548"/>
      <c r="C337" s="525"/>
      <c r="D337" s="525"/>
      <c r="E337" s="525"/>
      <c r="F337" s="525"/>
      <c r="G337" s="525"/>
      <c r="H337" s="525"/>
      <c r="I337" s="525"/>
      <c r="J337" s="525"/>
      <c r="K337" s="525"/>
      <c r="L337" s="525"/>
      <c r="M337" s="525"/>
      <c r="N337" s="525"/>
      <c r="O337" s="525"/>
      <c r="P337" s="565"/>
      <c r="Q337" s="525"/>
      <c r="R337" s="525"/>
      <c r="S337" s="525"/>
      <c r="T337" s="525"/>
      <c r="U337" s="525"/>
      <c r="V337" s="525"/>
      <c r="W337" s="525"/>
      <c r="X337" s="525"/>
      <c r="Y337" s="525"/>
      <c r="Z337" s="525"/>
      <c r="AA337" s="525"/>
      <c r="AB337" s="525"/>
      <c r="AC337" s="525"/>
      <c r="AD337" s="525"/>
      <c r="AE337" s="525"/>
      <c r="AF337" s="525"/>
      <c r="AG337" s="525"/>
      <c r="AH337" s="525"/>
      <c r="AI337" s="525"/>
      <c r="AJ337" s="525"/>
      <c r="AK337" s="525"/>
      <c r="AL337" s="525"/>
      <c r="AM337" s="525"/>
      <c r="AN337" s="525"/>
      <c r="AO337" s="525"/>
      <c r="AP337" s="525"/>
      <c r="AQ337" s="525"/>
      <c r="AR337" s="525"/>
      <c r="AS337" s="525"/>
      <c r="AT337" s="525"/>
      <c r="AU337" s="525"/>
      <c r="AV337" s="525"/>
      <c r="AW337" s="525"/>
      <c r="AX337" s="525"/>
      <c r="AY337" s="525"/>
      <c r="AZ337" s="525"/>
      <c r="BA337" s="525"/>
      <c r="BB337" s="525"/>
      <c r="BC337" s="525"/>
      <c r="BD337" s="525"/>
      <c r="BE337" s="525"/>
      <c r="BF337" s="525"/>
      <c r="BG337" s="525"/>
      <c r="BH337" s="525"/>
      <c r="BI337" s="525"/>
      <c r="BJ337" s="525"/>
      <c r="BK337" s="525"/>
      <c r="BL337" s="525"/>
      <c r="BM337" s="525"/>
      <c r="BN337" s="525"/>
      <c r="BO337" s="525"/>
      <c r="BP337" s="525"/>
      <c r="BQ337" s="525"/>
      <c r="BR337" s="525"/>
      <c r="BS337" s="525"/>
      <c r="BT337" s="525"/>
      <c r="BU337" s="525"/>
      <c r="BV337" s="525"/>
      <c r="BW337" s="525"/>
      <c r="BX337" s="525"/>
      <c r="BY337" s="525"/>
    </row>
    <row r="338" spans="1:77" x14ac:dyDescent="0.3">
      <c r="A338" s="551"/>
      <c r="B338" s="548"/>
      <c r="C338" s="525"/>
      <c r="D338" s="525"/>
      <c r="E338" s="632" t="str">
        <f>"Rental income: "&amp;E$155</f>
        <v>Rental income: FY27 Tranche</v>
      </c>
      <c r="F338" s="525"/>
      <c r="G338" s="525"/>
      <c r="H338" s="525"/>
      <c r="I338" s="525"/>
      <c r="J338" s="525"/>
      <c r="K338" s="525"/>
      <c r="L338" s="525"/>
      <c r="M338" s="525"/>
      <c r="N338" s="525"/>
      <c r="O338" s="525"/>
      <c r="P338" s="565"/>
      <c r="Q338" s="525"/>
      <c r="R338" s="527">
        <f t="shared" ref="R338:AW338" si="483">($R155*R$597*R490)+((($R155*R$597)+R328)*R482)</f>
        <v>46827.329624065635</v>
      </c>
      <c r="S338" s="527">
        <f t="shared" si="483"/>
        <v>46827.329624065635</v>
      </c>
      <c r="T338" s="527">
        <f t="shared" si="483"/>
        <v>46827.329624065635</v>
      </c>
      <c r="U338" s="527">
        <f t="shared" si="483"/>
        <v>46827.329624065635</v>
      </c>
      <c r="V338" s="527">
        <f t="shared" si="483"/>
        <v>46827.329624065635</v>
      </c>
      <c r="W338" s="527">
        <f t="shared" si="483"/>
        <v>46827.329624065635</v>
      </c>
      <c r="X338" s="527">
        <f t="shared" si="483"/>
        <v>58419.475563856744</v>
      </c>
      <c r="Y338" s="527">
        <f t="shared" si="483"/>
        <v>58419.475563856744</v>
      </c>
      <c r="Z338" s="527">
        <f t="shared" si="483"/>
        <v>58419.475563856744</v>
      </c>
      <c r="AA338" s="527">
        <f t="shared" si="483"/>
        <v>58419.475563856744</v>
      </c>
      <c r="AB338" s="527">
        <f t="shared" si="483"/>
        <v>58419.475563856744</v>
      </c>
      <c r="AC338" s="527">
        <f t="shared" si="483"/>
        <v>58419.475563856744</v>
      </c>
      <c r="AD338" s="527">
        <f t="shared" si="483"/>
        <v>56998.04900174652</v>
      </c>
      <c r="AE338" s="527">
        <f t="shared" si="483"/>
        <v>56998.04900174652</v>
      </c>
      <c r="AF338" s="527">
        <f t="shared" si="483"/>
        <v>56998.04900174652</v>
      </c>
      <c r="AG338" s="527">
        <f t="shared" si="483"/>
        <v>56998.04900174652</v>
      </c>
      <c r="AH338" s="527">
        <f t="shared" si="483"/>
        <v>56998.04900174652</v>
      </c>
      <c r="AI338" s="527">
        <f t="shared" si="483"/>
        <v>56998.04900174652</v>
      </c>
      <c r="AJ338" s="527">
        <f t="shared" si="483"/>
        <v>60174.602155161148</v>
      </c>
      <c r="AK338" s="527">
        <f t="shared" si="483"/>
        <v>60174.602155161148</v>
      </c>
      <c r="AL338" s="527">
        <f t="shared" si="483"/>
        <v>60174.602155161148</v>
      </c>
      <c r="AM338" s="527">
        <f t="shared" si="483"/>
        <v>60174.602155161148</v>
      </c>
      <c r="AN338" s="527">
        <f t="shared" si="483"/>
        <v>60174.602155161148</v>
      </c>
      <c r="AO338" s="527">
        <f t="shared" si="483"/>
        <v>60174.602155161148</v>
      </c>
      <c r="AP338" s="527">
        <f t="shared" si="483"/>
        <v>58737.354458120943</v>
      </c>
      <c r="AQ338" s="527">
        <f t="shared" si="483"/>
        <v>58737.354458120943</v>
      </c>
      <c r="AR338" s="527">
        <f t="shared" si="483"/>
        <v>58737.354458120943</v>
      </c>
      <c r="AS338" s="527">
        <f t="shared" si="483"/>
        <v>58737.354458120943</v>
      </c>
      <c r="AT338" s="527">
        <f t="shared" si="483"/>
        <v>58737.354458120943</v>
      </c>
      <c r="AU338" s="527">
        <f t="shared" si="483"/>
        <v>58737.354458120943</v>
      </c>
      <c r="AV338" s="527">
        <f t="shared" si="483"/>
        <v>62040.969737672152</v>
      </c>
      <c r="AW338" s="527">
        <f t="shared" si="483"/>
        <v>62040.969737672152</v>
      </c>
      <c r="AX338" s="527">
        <f t="shared" ref="AX338:BY338" si="484">($R155*AX$597*AX490)+((($R155*AX$597)+AX328)*AX482)</f>
        <v>62040.969737672152</v>
      </c>
      <c r="AY338" s="527">
        <f t="shared" si="484"/>
        <v>62040.969737672152</v>
      </c>
      <c r="AZ338" s="527">
        <f t="shared" si="484"/>
        <v>62040.969737672152</v>
      </c>
      <c r="BA338" s="527">
        <f t="shared" si="484"/>
        <v>62040.969737672152</v>
      </c>
      <c r="BB338" s="527">
        <f t="shared" si="484"/>
        <v>60556.149750659002</v>
      </c>
      <c r="BC338" s="527">
        <f t="shared" si="484"/>
        <v>60556.149750659002</v>
      </c>
      <c r="BD338" s="527">
        <f t="shared" si="484"/>
        <v>60556.149750659002</v>
      </c>
      <c r="BE338" s="527">
        <f t="shared" si="484"/>
        <v>60556.149750659002</v>
      </c>
      <c r="BF338" s="527">
        <f t="shared" si="484"/>
        <v>60556.149750659002</v>
      </c>
      <c r="BG338" s="527">
        <f t="shared" si="484"/>
        <v>60556.149750659002</v>
      </c>
      <c r="BH338" s="527">
        <f t="shared" si="484"/>
        <v>63991.90964139226</v>
      </c>
      <c r="BI338" s="527">
        <f t="shared" si="484"/>
        <v>63991.90964139226</v>
      </c>
      <c r="BJ338" s="527">
        <f t="shared" si="484"/>
        <v>63991.90964139226</v>
      </c>
      <c r="BK338" s="527">
        <f t="shared" si="484"/>
        <v>63991.90964139226</v>
      </c>
      <c r="BL338" s="527">
        <f t="shared" si="484"/>
        <v>63991.90964139226</v>
      </c>
      <c r="BM338" s="527">
        <f t="shared" si="484"/>
        <v>63991.90964139226</v>
      </c>
      <c r="BN338" s="527">
        <f t="shared" si="484"/>
        <v>62401.473339176162</v>
      </c>
      <c r="BO338" s="527">
        <f t="shared" si="484"/>
        <v>62401.473339176162</v>
      </c>
      <c r="BP338" s="527">
        <f t="shared" si="484"/>
        <v>62401.473339176162</v>
      </c>
      <c r="BQ338" s="527">
        <f t="shared" si="484"/>
        <v>62401.473339176162</v>
      </c>
      <c r="BR338" s="527">
        <f t="shared" si="484"/>
        <v>62401.473339176162</v>
      </c>
      <c r="BS338" s="527">
        <f t="shared" si="484"/>
        <v>62401.473339176162</v>
      </c>
      <c r="BT338" s="527">
        <f t="shared" si="484"/>
        <v>65974.663625538742</v>
      </c>
      <c r="BU338" s="527">
        <f t="shared" si="484"/>
        <v>65974.663625538742</v>
      </c>
      <c r="BV338" s="527">
        <f t="shared" si="484"/>
        <v>65974.663625538742</v>
      </c>
      <c r="BW338" s="527">
        <f t="shared" si="484"/>
        <v>65974.663625538742</v>
      </c>
      <c r="BX338" s="527">
        <f t="shared" si="484"/>
        <v>65974.663625538742</v>
      </c>
      <c r="BY338" s="527">
        <f t="shared" si="484"/>
        <v>65974.663625538742</v>
      </c>
    </row>
    <row r="339" spans="1:77" x14ac:dyDescent="0.3">
      <c r="A339" s="551"/>
      <c r="B339" s="548"/>
      <c r="C339" s="525"/>
      <c r="D339" s="525"/>
      <c r="E339" s="632" t="str">
        <f>"Rental income: "&amp;E$156</f>
        <v>Rental income: FY28 Tranche</v>
      </c>
      <c r="F339" s="525"/>
      <c r="G339" s="525"/>
      <c r="H339" s="525"/>
      <c r="I339" s="525"/>
      <c r="J339" s="525"/>
      <c r="K339" s="525"/>
      <c r="L339" s="525"/>
      <c r="M339" s="525"/>
      <c r="N339" s="525"/>
      <c r="O339" s="525"/>
      <c r="P339" s="565"/>
      <c r="Q339" s="525"/>
      <c r="R339" s="527">
        <f t="shared" ref="R339:AW339" si="485">($R156*R$597*R491)+((($R156*R$597)+R329)*R483)</f>
        <v>46827.329624065635</v>
      </c>
      <c r="S339" s="527">
        <f t="shared" si="485"/>
        <v>46827.329624065635</v>
      </c>
      <c r="T339" s="527">
        <f t="shared" si="485"/>
        <v>46827.329624065635</v>
      </c>
      <c r="U339" s="527">
        <f t="shared" si="485"/>
        <v>46827.329624065635</v>
      </c>
      <c r="V339" s="527">
        <f t="shared" si="485"/>
        <v>46827.329624065635</v>
      </c>
      <c r="W339" s="527">
        <f t="shared" si="485"/>
        <v>46827.329624065635</v>
      </c>
      <c r="X339" s="527">
        <f t="shared" si="485"/>
        <v>46827.329624065635</v>
      </c>
      <c r="Y339" s="527">
        <f t="shared" si="485"/>
        <v>46827.329624065635</v>
      </c>
      <c r="Z339" s="527">
        <f t="shared" si="485"/>
        <v>46827.329624065635</v>
      </c>
      <c r="AA339" s="527">
        <f t="shared" si="485"/>
        <v>46827.329624065635</v>
      </c>
      <c r="AB339" s="527">
        <f t="shared" si="485"/>
        <v>46827.329624065635</v>
      </c>
      <c r="AC339" s="527">
        <f t="shared" si="485"/>
        <v>46827.329624065635</v>
      </c>
      <c r="AD339" s="527">
        <f t="shared" si="485"/>
        <v>48130.000222618626</v>
      </c>
      <c r="AE339" s="527">
        <f t="shared" si="485"/>
        <v>48130.000222618626</v>
      </c>
      <c r="AF339" s="527">
        <f t="shared" si="485"/>
        <v>48130.000222618626</v>
      </c>
      <c r="AG339" s="527">
        <f t="shared" si="485"/>
        <v>48130.000222618626</v>
      </c>
      <c r="AH339" s="527">
        <f t="shared" si="485"/>
        <v>48130.000222618626</v>
      </c>
      <c r="AI339" s="527">
        <f t="shared" si="485"/>
        <v>48130.000222618626</v>
      </c>
      <c r="AJ339" s="527">
        <f t="shared" si="485"/>
        <v>60000.93495686791</v>
      </c>
      <c r="AK339" s="527">
        <f t="shared" si="485"/>
        <v>60000.93495686791</v>
      </c>
      <c r="AL339" s="527">
        <f t="shared" si="485"/>
        <v>60000.93495686791</v>
      </c>
      <c r="AM339" s="527">
        <f t="shared" si="485"/>
        <v>60000.93495686791</v>
      </c>
      <c r="AN339" s="527">
        <f t="shared" si="485"/>
        <v>60000.93495686791</v>
      </c>
      <c r="AO339" s="527">
        <f t="shared" si="485"/>
        <v>60000.93495686791</v>
      </c>
      <c r="AP339" s="527">
        <f t="shared" si="485"/>
        <v>58563.687259827711</v>
      </c>
      <c r="AQ339" s="527">
        <f t="shared" si="485"/>
        <v>58563.687259827711</v>
      </c>
      <c r="AR339" s="527">
        <f t="shared" si="485"/>
        <v>58563.687259827711</v>
      </c>
      <c r="AS339" s="527">
        <f t="shared" si="485"/>
        <v>58563.687259827711</v>
      </c>
      <c r="AT339" s="527">
        <f t="shared" si="485"/>
        <v>58563.687259827711</v>
      </c>
      <c r="AU339" s="527">
        <f t="shared" si="485"/>
        <v>58563.687259827711</v>
      </c>
      <c r="AV339" s="527">
        <f t="shared" si="485"/>
        <v>61860.355851447181</v>
      </c>
      <c r="AW339" s="527">
        <f t="shared" si="485"/>
        <v>61860.355851447181</v>
      </c>
      <c r="AX339" s="527">
        <f t="shared" ref="AX339:BY339" si="486">($R156*AX$597*AX491)+((($R156*AX$597)+AX329)*AX483)</f>
        <v>61860.355851447181</v>
      </c>
      <c r="AY339" s="527">
        <f t="shared" si="486"/>
        <v>61860.355851447181</v>
      </c>
      <c r="AZ339" s="527">
        <f t="shared" si="486"/>
        <v>61860.355851447181</v>
      </c>
      <c r="BA339" s="527">
        <f t="shared" si="486"/>
        <v>61860.355851447181</v>
      </c>
      <c r="BB339" s="527">
        <f t="shared" si="486"/>
        <v>60375.535864434038</v>
      </c>
      <c r="BC339" s="527">
        <f t="shared" si="486"/>
        <v>60375.535864434038</v>
      </c>
      <c r="BD339" s="527">
        <f t="shared" si="486"/>
        <v>60375.535864434038</v>
      </c>
      <c r="BE339" s="527">
        <f t="shared" si="486"/>
        <v>60375.535864434038</v>
      </c>
      <c r="BF339" s="527">
        <f t="shared" si="486"/>
        <v>60375.535864434038</v>
      </c>
      <c r="BG339" s="527">
        <f t="shared" si="486"/>
        <v>60375.535864434038</v>
      </c>
      <c r="BH339" s="527">
        <f t="shared" si="486"/>
        <v>63804.071199718288</v>
      </c>
      <c r="BI339" s="527">
        <f t="shared" si="486"/>
        <v>63804.071199718288</v>
      </c>
      <c r="BJ339" s="527">
        <f t="shared" si="486"/>
        <v>63804.071199718288</v>
      </c>
      <c r="BK339" s="527">
        <f t="shared" si="486"/>
        <v>63804.071199718288</v>
      </c>
      <c r="BL339" s="527">
        <f t="shared" si="486"/>
        <v>63804.071199718288</v>
      </c>
      <c r="BM339" s="527">
        <f t="shared" si="486"/>
        <v>63804.071199718288</v>
      </c>
      <c r="BN339" s="527">
        <f t="shared" si="486"/>
        <v>62213.63489750219</v>
      </c>
      <c r="BO339" s="527">
        <f t="shared" si="486"/>
        <v>62213.63489750219</v>
      </c>
      <c r="BP339" s="527">
        <f t="shared" si="486"/>
        <v>62213.63489750219</v>
      </c>
      <c r="BQ339" s="527">
        <f t="shared" si="486"/>
        <v>62213.63489750219</v>
      </c>
      <c r="BR339" s="527">
        <f t="shared" si="486"/>
        <v>62213.63489750219</v>
      </c>
      <c r="BS339" s="527">
        <f t="shared" si="486"/>
        <v>62213.63489750219</v>
      </c>
      <c r="BT339" s="527">
        <f t="shared" si="486"/>
        <v>65779.311646197806</v>
      </c>
      <c r="BU339" s="527">
        <f t="shared" si="486"/>
        <v>65779.311646197806</v>
      </c>
      <c r="BV339" s="527">
        <f t="shared" si="486"/>
        <v>65779.311646197806</v>
      </c>
      <c r="BW339" s="527">
        <f t="shared" si="486"/>
        <v>65779.311646197806</v>
      </c>
      <c r="BX339" s="527">
        <f t="shared" si="486"/>
        <v>65779.311646197806</v>
      </c>
      <c r="BY339" s="527">
        <f t="shared" si="486"/>
        <v>65779.311646197806</v>
      </c>
    </row>
    <row r="340" spans="1:77" x14ac:dyDescent="0.3">
      <c r="A340" s="551"/>
      <c r="B340" s="548"/>
      <c r="C340" s="525"/>
      <c r="D340" s="525"/>
      <c r="E340" s="632" t="str">
        <f>"Rental income: "&amp;E$157</f>
        <v>Rental income: FY29 Tranche</v>
      </c>
      <c r="F340" s="525"/>
      <c r="G340" s="525"/>
      <c r="H340" s="525"/>
      <c r="I340" s="525"/>
      <c r="J340" s="525"/>
      <c r="K340" s="525"/>
      <c r="L340" s="525"/>
      <c r="M340" s="525"/>
      <c r="N340" s="525"/>
      <c r="O340" s="525"/>
      <c r="P340" s="565"/>
      <c r="Q340" s="525"/>
      <c r="R340" s="527">
        <f t="shared" ref="R340:AW340" si="487">($R157*R$597*R492)+((($R157*R$597)+R330)*R484)</f>
        <v>46827.329624065635</v>
      </c>
      <c r="S340" s="527">
        <f t="shared" si="487"/>
        <v>46827.329624065635</v>
      </c>
      <c r="T340" s="527">
        <f t="shared" si="487"/>
        <v>46827.329624065635</v>
      </c>
      <c r="U340" s="527">
        <f t="shared" si="487"/>
        <v>46827.329624065635</v>
      </c>
      <c r="V340" s="527">
        <f t="shared" si="487"/>
        <v>46827.329624065635</v>
      </c>
      <c r="W340" s="527">
        <f t="shared" si="487"/>
        <v>46827.329624065635</v>
      </c>
      <c r="X340" s="527">
        <f t="shared" si="487"/>
        <v>46827.329624065635</v>
      </c>
      <c r="Y340" s="527">
        <f t="shared" si="487"/>
        <v>46827.329624065635</v>
      </c>
      <c r="Z340" s="527">
        <f t="shared" si="487"/>
        <v>46827.329624065635</v>
      </c>
      <c r="AA340" s="527">
        <f t="shared" si="487"/>
        <v>46827.329624065635</v>
      </c>
      <c r="AB340" s="527">
        <f t="shared" si="487"/>
        <v>46827.329624065635</v>
      </c>
      <c r="AC340" s="527">
        <f t="shared" si="487"/>
        <v>46827.329624065635</v>
      </c>
      <c r="AD340" s="527">
        <f t="shared" si="487"/>
        <v>48130.000222618626</v>
      </c>
      <c r="AE340" s="527">
        <f t="shared" si="487"/>
        <v>48130.000222618626</v>
      </c>
      <c r="AF340" s="527">
        <f t="shared" si="487"/>
        <v>48130.000222618626</v>
      </c>
      <c r="AG340" s="527">
        <f t="shared" si="487"/>
        <v>48130.000222618626</v>
      </c>
      <c r="AH340" s="527">
        <f t="shared" si="487"/>
        <v>48130.000222618626</v>
      </c>
      <c r="AI340" s="527">
        <f t="shared" si="487"/>
        <v>48130.000222618626</v>
      </c>
      <c r="AJ340" s="527">
        <f t="shared" si="487"/>
        <v>48130.000222618626</v>
      </c>
      <c r="AK340" s="527">
        <f t="shared" si="487"/>
        <v>48130.000222618626</v>
      </c>
      <c r="AL340" s="527">
        <f t="shared" si="487"/>
        <v>48130.000222618626</v>
      </c>
      <c r="AM340" s="527">
        <f t="shared" si="487"/>
        <v>48130.000222618626</v>
      </c>
      <c r="AN340" s="527">
        <f t="shared" si="487"/>
        <v>48130.000222618626</v>
      </c>
      <c r="AO340" s="527">
        <f t="shared" si="487"/>
        <v>48130.000222618626</v>
      </c>
      <c r="AP340" s="527">
        <f t="shared" si="487"/>
        <v>49394.317919813024</v>
      </c>
      <c r="AQ340" s="527">
        <f t="shared" si="487"/>
        <v>49394.317919813024</v>
      </c>
      <c r="AR340" s="527">
        <f t="shared" si="487"/>
        <v>49394.317919813024</v>
      </c>
      <c r="AS340" s="527">
        <f t="shared" si="487"/>
        <v>49394.317919813024</v>
      </c>
      <c r="AT340" s="527">
        <f t="shared" si="487"/>
        <v>49394.317919813024</v>
      </c>
      <c r="AU340" s="527">
        <f t="shared" si="487"/>
        <v>49394.317919813024</v>
      </c>
      <c r="AV340" s="527">
        <f t="shared" si="487"/>
        <v>61531.80758830336</v>
      </c>
      <c r="AW340" s="527">
        <f t="shared" si="487"/>
        <v>61531.80758830336</v>
      </c>
      <c r="AX340" s="527">
        <f t="shared" ref="AX340:BY340" si="488">($R157*AX$597*AX492)+((($R157*AX$597)+AX330)*AX484)</f>
        <v>61531.80758830336</v>
      </c>
      <c r="AY340" s="527">
        <f t="shared" si="488"/>
        <v>61531.80758830336</v>
      </c>
      <c r="AZ340" s="527">
        <f t="shared" si="488"/>
        <v>61531.80758830336</v>
      </c>
      <c r="BA340" s="527">
        <f t="shared" si="488"/>
        <v>61531.80758830336</v>
      </c>
      <c r="BB340" s="527">
        <f t="shared" si="488"/>
        <v>60046.987601290217</v>
      </c>
      <c r="BC340" s="527">
        <f t="shared" si="488"/>
        <v>60046.987601290217</v>
      </c>
      <c r="BD340" s="527">
        <f t="shared" si="488"/>
        <v>60046.987601290217</v>
      </c>
      <c r="BE340" s="527">
        <f t="shared" si="488"/>
        <v>60046.987601290217</v>
      </c>
      <c r="BF340" s="527">
        <f t="shared" si="488"/>
        <v>60046.987601290217</v>
      </c>
      <c r="BG340" s="527">
        <f t="shared" si="488"/>
        <v>60046.987601290217</v>
      </c>
      <c r="BH340" s="527">
        <f t="shared" si="488"/>
        <v>63462.381006048716</v>
      </c>
      <c r="BI340" s="527">
        <f t="shared" si="488"/>
        <v>63462.381006048716</v>
      </c>
      <c r="BJ340" s="527">
        <f t="shared" si="488"/>
        <v>63462.381006048716</v>
      </c>
      <c r="BK340" s="527">
        <f t="shared" si="488"/>
        <v>63462.381006048716</v>
      </c>
      <c r="BL340" s="527">
        <f t="shared" si="488"/>
        <v>63462.381006048716</v>
      </c>
      <c r="BM340" s="527">
        <f t="shared" si="488"/>
        <v>63462.381006048716</v>
      </c>
      <c r="BN340" s="527">
        <f t="shared" si="488"/>
        <v>61871.944703832625</v>
      </c>
      <c r="BO340" s="527">
        <f t="shared" si="488"/>
        <v>61871.944703832625</v>
      </c>
      <c r="BP340" s="527">
        <f t="shared" si="488"/>
        <v>61871.944703832625</v>
      </c>
      <c r="BQ340" s="527">
        <f t="shared" si="488"/>
        <v>61871.944703832625</v>
      </c>
      <c r="BR340" s="527">
        <f t="shared" si="488"/>
        <v>61871.944703832625</v>
      </c>
      <c r="BS340" s="527">
        <f t="shared" si="488"/>
        <v>61871.944703832625</v>
      </c>
      <c r="BT340" s="527">
        <f t="shared" si="488"/>
        <v>65423.953844781478</v>
      </c>
      <c r="BU340" s="527">
        <f t="shared" si="488"/>
        <v>65423.953844781478</v>
      </c>
      <c r="BV340" s="527">
        <f t="shared" si="488"/>
        <v>65423.953844781478</v>
      </c>
      <c r="BW340" s="527">
        <f t="shared" si="488"/>
        <v>65423.953844781478</v>
      </c>
      <c r="BX340" s="527">
        <f t="shared" si="488"/>
        <v>65423.953844781478</v>
      </c>
      <c r="BY340" s="527">
        <f t="shared" si="488"/>
        <v>65423.953844781478</v>
      </c>
    </row>
    <row r="341" spans="1:77" x14ac:dyDescent="0.3">
      <c r="A341" s="551"/>
      <c r="B341" s="548"/>
      <c r="C341" s="525"/>
      <c r="D341" s="525"/>
      <c r="E341" s="632" t="str">
        <f>"Rental income: "&amp;E$158</f>
        <v>Rental income: FY30 Tranche</v>
      </c>
      <c r="F341" s="525"/>
      <c r="G341" s="525"/>
      <c r="H341" s="525"/>
      <c r="I341" s="525"/>
      <c r="J341" s="525"/>
      <c r="K341" s="525"/>
      <c r="L341" s="525"/>
      <c r="M341" s="525"/>
      <c r="N341" s="525"/>
      <c r="O341" s="525"/>
      <c r="P341" s="565"/>
      <c r="Q341" s="525"/>
      <c r="R341" s="527">
        <f t="shared" ref="R341:AW341" si="489">($R158*R$597*R493)+((($R158*R$597)+R331)*R485)</f>
        <v>46827.329624065635</v>
      </c>
      <c r="S341" s="527">
        <f t="shared" si="489"/>
        <v>46827.329624065635</v>
      </c>
      <c r="T341" s="527">
        <f t="shared" si="489"/>
        <v>46827.329624065635</v>
      </c>
      <c r="U341" s="527">
        <f t="shared" si="489"/>
        <v>46827.329624065635</v>
      </c>
      <c r="V341" s="527">
        <f t="shared" si="489"/>
        <v>46827.329624065635</v>
      </c>
      <c r="W341" s="527">
        <f t="shared" si="489"/>
        <v>46827.329624065635</v>
      </c>
      <c r="X341" s="527">
        <f t="shared" si="489"/>
        <v>46827.329624065635</v>
      </c>
      <c r="Y341" s="527">
        <f t="shared" si="489"/>
        <v>46827.329624065635</v>
      </c>
      <c r="Z341" s="527">
        <f t="shared" si="489"/>
        <v>46827.329624065635</v>
      </c>
      <c r="AA341" s="527">
        <f t="shared" si="489"/>
        <v>46827.329624065635</v>
      </c>
      <c r="AB341" s="527">
        <f t="shared" si="489"/>
        <v>46827.329624065635</v>
      </c>
      <c r="AC341" s="527">
        <f t="shared" si="489"/>
        <v>46827.329624065635</v>
      </c>
      <c r="AD341" s="527">
        <f t="shared" si="489"/>
        <v>48130.000222618626</v>
      </c>
      <c r="AE341" s="527">
        <f t="shared" si="489"/>
        <v>48130.000222618626</v>
      </c>
      <c r="AF341" s="527">
        <f t="shared" si="489"/>
        <v>48130.000222618626</v>
      </c>
      <c r="AG341" s="527">
        <f t="shared" si="489"/>
        <v>48130.000222618626</v>
      </c>
      <c r="AH341" s="527">
        <f t="shared" si="489"/>
        <v>48130.000222618626</v>
      </c>
      <c r="AI341" s="527">
        <f t="shared" si="489"/>
        <v>48130.000222618626</v>
      </c>
      <c r="AJ341" s="527">
        <f t="shared" si="489"/>
        <v>48130.000222618626</v>
      </c>
      <c r="AK341" s="527">
        <f t="shared" si="489"/>
        <v>48130.000222618626</v>
      </c>
      <c r="AL341" s="527">
        <f t="shared" si="489"/>
        <v>48130.000222618626</v>
      </c>
      <c r="AM341" s="527">
        <f t="shared" si="489"/>
        <v>48130.000222618626</v>
      </c>
      <c r="AN341" s="527">
        <f t="shared" si="489"/>
        <v>48130.000222618626</v>
      </c>
      <c r="AO341" s="527">
        <f t="shared" si="489"/>
        <v>48130.000222618626</v>
      </c>
      <c r="AP341" s="527">
        <f t="shared" si="489"/>
        <v>49394.317919813024</v>
      </c>
      <c r="AQ341" s="527">
        <f t="shared" si="489"/>
        <v>49394.317919813024</v>
      </c>
      <c r="AR341" s="527">
        <f t="shared" si="489"/>
        <v>49394.317919813024</v>
      </c>
      <c r="AS341" s="527">
        <f t="shared" si="489"/>
        <v>49394.317919813024</v>
      </c>
      <c r="AT341" s="527">
        <f t="shared" si="489"/>
        <v>49394.317919813024</v>
      </c>
      <c r="AU341" s="527">
        <f t="shared" si="489"/>
        <v>49394.317919813024</v>
      </c>
      <c r="AV341" s="527">
        <f t="shared" si="489"/>
        <v>49394.317919813024</v>
      </c>
      <c r="AW341" s="527">
        <f t="shared" si="489"/>
        <v>49394.317919813024</v>
      </c>
      <c r="AX341" s="527">
        <f t="shared" ref="AX341:BY341" si="490">($R158*AX$597*AX493)+((($R158*AX$597)+AX331)*AX485)</f>
        <v>49394.317919813024</v>
      </c>
      <c r="AY341" s="527">
        <f t="shared" si="490"/>
        <v>49394.317919813024</v>
      </c>
      <c r="AZ341" s="527">
        <f t="shared" si="490"/>
        <v>49394.317919813024</v>
      </c>
      <c r="BA341" s="527">
        <f t="shared" si="490"/>
        <v>49394.317919813024</v>
      </c>
      <c r="BB341" s="527">
        <f t="shared" si="490"/>
        <v>50503.632444021772</v>
      </c>
      <c r="BC341" s="527">
        <f t="shared" si="490"/>
        <v>50503.632444021772</v>
      </c>
      <c r="BD341" s="527">
        <f t="shared" si="490"/>
        <v>50503.632444021772</v>
      </c>
      <c r="BE341" s="527">
        <f t="shared" si="490"/>
        <v>50503.632444021772</v>
      </c>
      <c r="BF341" s="527">
        <f t="shared" si="490"/>
        <v>50503.632444021772</v>
      </c>
      <c r="BG341" s="527">
        <f t="shared" si="490"/>
        <v>50503.632444021772</v>
      </c>
      <c r="BH341" s="527">
        <f t="shared" si="490"/>
        <v>62892.096618003125</v>
      </c>
      <c r="BI341" s="527">
        <f t="shared" si="490"/>
        <v>62892.096618003125</v>
      </c>
      <c r="BJ341" s="527">
        <f t="shared" si="490"/>
        <v>62892.096618003125</v>
      </c>
      <c r="BK341" s="527">
        <f t="shared" si="490"/>
        <v>62892.096618003125</v>
      </c>
      <c r="BL341" s="527">
        <f t="shared" si="490"/>
        <v>62892.096618003125</v>
      </c>
      <c r="BM341" s="527">
        <f t="shared" si="490"/>
        <v>62892.096618003125</v>
      </c>
      <c r="BN341" s="527">
        <f t="shared" si="490"/>
        <v>61301.660315787027</v>
      </c>
      <c r="BO341" s="527">
        <f t="shared" si="490"/>
        <v>61301.660315787027</v>
      </c>
      <c r="BP341" s="527">
        <f t="shared" si="490"/>
        <v>61301.660315787027</v>
      </c>
      <c r="BQ341" s="527">
        <f t="shared" si="490"/>
        <v>61301.660315787027</v>
      </c>
      <c r="BR341" s="527">
        <f t="shared" si="490"/>
        <v>61301.660315787027</v>
      </c>
      <c r="BS341" s="527">
        <f t="shared" si="490"/>
        <v>61301.660315787027</v>
      </c>
      <c r="BT341" s="527">
        <f t="shared" si="490"/>
        <v>64830.858081214043</v>
      </c>
      <c r="BU341" s="527">
        <f t="shared" si="490"/>
        <v>64830.858081214043</v>
      </c>
      <c r="BV341" s="527">
        <f t="shared" si="490"/>
        <v>64830.858081214043</v>
      </c>
      <c r="BW341" s="527">
        <f t="shared" si="490"/>
        <v>64830.858081214043</v>
      </c>
      <c r="BX341" s="527">
        <f t="shared" si="490"/>
        <v>64830.858081214043</v>
      </c>
      <c r="BY341" s="527">
        <f t="shared" si="490"/>
        <v>64830.858081214043</v>
      </c>
    </row>
    <row r="342" spans="1:77" x14ac:dyDescent="0.3">
      <c r="A342" s="551"/>
      <c r="B342" s="548"/>
      <c r="C342" s="525"/>
      <c r="D342" s="525"/>
      <c r="E342" s="632" t="str">
        <f>"Rental income: "&amp;E$159</f>
        <v>Rental income: FY31 Tranche</v>
      </c>
      <c r="F342" s="525"/>
      <c r="G342" s="525"/>
      <c r="H342" s="525"/>
      <c r="I342" s="525"/>
      <c r="J342" s="525"/>
      <c r="K342" s="525"/>
      <c r="L342" s="525"/>
      <c r="M342" s="525"/>
      <c r="N342" s="525"/>
      <c r="O342" s="525"/>
      <c r="P342" s="565"/>
      <c r="Q342" s="525"/>
      <c r="R342" s="527">
        <f t="shared" ref="R342:AW342" si="491">($R159*R$597*R494)+((($R159*R$597)+R332)*R486)</f>
        <v>46827.329624065635</v>
      </c>
      <c r="S342" s="527">
        <f t="shared" si="491"/>
        <v>46827.329624065635</v>
      </c>
      <c r="T342" s="527">
        <f t="shared" si="491"/>
        <v>46827.329624065635</v>
      </c>
      <c r="U342" s="527">
        <f t="shared" si="491"/>
        <v>46827.329624065635</v>
      </c>
      <c r="V342" s="527">
        <f t="shared" si="491"/>
        <v>46827.329624065635</v>
      </c>
      <c r="W342" s="527">
        <f t="shared" si="491"/>
        <v>46827.329624065635</v>
      </c>
      <c r="X342" s="527">
        <f t="shared" si="491"/>
        <v>46827.329624065635</v>
      </c>
      <c r="Y342" s="527">
        <f t="shared" si="491"/>
        <v>46827.329624065635</v>
      </c>
      <c r="Z342" s="527">
        <f t="shared" si="491"/>
        <v>46827.329624065635</v>
      </c>
      <c r="AA342" s="527">
        <f t="shared" si="491"/>
        <v>46827.329624065635</v>
      </c>
      <c r="AB342" s="527">
        <f t="shared" si="491"/>
        <v>46827.329624065635</v>
      </c>
      <c r="AC342" s="527">
        <f t="shared" si="491"/>
        <v>46827.329624065635</v>
      </c>
      <c r="AD342" s="527">
        <f t="shared" si="491"/>
        <v>48130.000222618626</v>
      </c>
      <c r="AE342" s="527">
        <f t="shared" si="491"/>
        <v>48130.000222618626</v>
      </c>
      <c r="AF342" s="527">
        <f t="shared" si="491"/>
        <v>48130.000222618626</v>
      </c>
      <c r="AG342" s="527">
        <f t="shared" si="491"/>
        <v>48130.000222618626</v>
      </c>
      <c r="AH342" s="527">
        <f t="shared" si="491"/>
        <v>48130.000222618626</v>
      </c>
      <c r="AI342" s="527">
        <f t="shared" si="491"/>
        <v>48130.000222618626</v>
      </c>
      <c r="AJ342" s="527">
        <f t="shared" si="491"/>
        <v>48130.000222618626</v>
      </c>
      <c r="AK342" s="527">
        <f t="shared" si="491"/>
        <v>48130.000222618626</v>
      </c>
      <c r="AL342" s="527">
        <f t="shared" si="491"/>
        <v>48130.000222618626</v>
      </c>
      <c r="AM342" s="527">
        <f t="shared" si="491"/>
        <v>48130.000222618626</v>
      </c>
      <c r="AN342" s="527">
        <f t="shared" si="491"/>
        <v>48130.000222618626</v>
      </c>
      <c r="AO342" s="527">
        <f t="shared" si="491"/>
        <v>48130.000222618626</v>
      </c>
      <c r="AP342" s="527">
        <f t="shared" si="491"/>
        <v>49394.317919813024</v>
      </c>
      <c r="AQ342" s="527">
        <f t="shared" si="491"/>
        <v>49394.317919813024</v>
      </c>
      <c r="AR342" s="527">
        <f t="shared" si="491"/>
        <v>49394.317919813024</v>
      </c>
      <c r="AS342" s="527">
        <f t="shared" si="491"/>
        <v>49394.317919813024</v>
      </c>
      <c r="AT342" s="527">
        <f t="shared" si="491"/>
        <v>49394.317919813024</v>
      </c>
      <c r="AU342" s="527">
        <f t="shared" si="491"/>
        <v>49394.317919813024</v>
      </c>
      <c r="AV342" s="527">
        <f t="shared" si="491"/>
        <v>49394.317919813024</v>
      </c>
      <c r="AW342" s="527">
        <f t="shared" si="491"/>
        <v>49394.317919813024</v>
      </c>
      <c r="AX342" s="527">
        <f t="shared" ref="AX342:BY342" si="492">($R159*AX$597*AX494)+((($R159*AX$597)+AX332)*AX486)</f>
        <v>49394.317919813024</v>
      </c>
      <c r="AY342" s="527">
        <f t="shared" si="492"/>
        <v>49394.317919813024</v>
      </c>
      <c r="AZ342" s="527">
        <f t="shared" si="492"/>
        <v>49394.317919813024</v>
      </c>
      <c r="BA342" s="527">
        <f t="shared" si="492"/>
        <v>49394.317919813024</v>
      </c>
      <c r="BB342" s="527">
        <f t="shared" si="492"/>
        <v>50503.632444021772</v>
      </c>
      <c r="BC342" s="527">
        <f t="shared" si="492"/>
        <v>50503.632444021772</v>
      </c>
      <c r="BD342" s="527">
        <f t="shared" si="492"/>
        <v>50503.632444021772</v>
      </c>
      <c r="BE342" s="527">
        <f t="shared" si="492"/>
        <v>50503.632444021772</v>
      </c>
      <c r="BF342" s="527">
        <f t="shared" si="492"/>
        <v>50503.632444021772</v>
      </c>
      <c r="BG342" s="527">
        <f t="shared" si="492"/>
        <v>50503.632444021772</v>
      </c>
      <c r="BH342" s="527">
        <f t="shared" si="492"/>
        <v>50503.632444021772</v>
      </c>
      <c r="BI342" s="527">
        <f t="shared" si="492"/>
        <v>50503.632444021772</v>
      </c>
      <c r="BJ342" s="527">
        <f t="shared" si="492"/>
        <v>50503.632444021772</v>
      </c>
      <c r="BK342" s="527">
        <f t="shared" si="492"/>
        <v>50503.632444021772</v>
      </c>
      <c r="BL342" s="527">
        <f t="shared" si="492"/>
        <v>50503.632444021772</v>
      </c>
      <c r="BM342" s="527">
        <f t="shared" si="492"/>
        <v>50503.632444021772</v>
      </c>
      <c r="BN342" s="527">
        <f t="shared" si="492"/>
        <v>51535.438022552255</v>
      </c>
      <c r="BO342" s="527">
        <f t="shared" si="492"/>
        <v>51535.438022552255</v>
      </c>
      <c r="BP342" s="527">
        <f t="shared" si="492"/>
        <v>51535.438022552255</v>
      </c>
      <c r="BQ342" s="527">
        <f t="shared" si="492"/>
        <v>51535.438022552255</v>
      </c>
      <c r="BR342" s="527">
        <f t="shared" si="492"/>
        <v>51535.438022552255</v>
      </c>
      <c r="BS342" s="527">
        <f t="shared" si="492"/>
        <v>51535.438022552255</v>
      </c>
      <c r="BT342" s="527">
        <f t="shared" si="492"/>
        <v>64165.675178976562</v>
      </c>
      <c r="BU342" s="527">
        <f t="shared" si="492"/>
        <v>64165.675178976562</v>
      </c>
      <c r="BV342" s="527">
        <f t="shared" si="492"/>
        <v>64165.675178976562</v>
      </c>
      <c r="BW342" s="527">
        <f t="shared" si="492"/>
        <v>64165.675178976562</v>
      </c>
      <c r="BX342" s="527">
        <f t="shared" si="492"/>
        <v>64165.675178976562</v>
      </c>
      <c r="BY342" s="527">
        <f t="shared" si="492"/>
        <v>64165.675178976562</v>
      </c>
    </row>
    <row r="343" spans="1:77" x14ac:dyDescent="0.3">
      <c r="A343" s="551"/>
      <c r="B343" s="548"/>
      <c r="C343" s="525"/>
      <c r="D343" s="525"/>
      <c r="E343" s="632" t="str">
        <f>"Rental income: "&amp;E$160</f>
        <v>Rental income: Uninvested Tranche</v>
      </c>
      <c r="F343" s="525"/>
      <c r="G343" s="525"/>
      <c r="H343" s="525"/>
      <c r="I343" s="525"/>
      <c r="J343" s="525"/>
      <c r="K343" s="525"/>
      <c r="L343" s="525"/>
      <c r="M343" s="525"/>
      <c r="N343" s="525"/>
      <c r="O343" s="525"/>
      <c r="P343" s="565"/>
      <c r="Q343" s="525"/>
      <c r="R343" s="527">
        <f t="shared" ref="R343:AW343" si="493">($R160*R$597*R495)+((($R160*R$597)+R333)*R487)</f>
        <v>104672.85445379376</v>
      </c>
      <c r="S343" s="527">
        <f t="shared" si="493"/>
        <v>104672.85445379376</v>
      </c>
      <c r="T343" s="527">
        <f t="shared" si="493"/>
        <v>104672.85445379376</v>
      </c>
      <c r="U343" s="527">
        <f t="shared" si="493"/>
        <v>104672.85445379376</v>
      </c>
      <c r="V343" s="527">
        <f t="shared" si="493"/>
        <v>104672.85445379376</v>
      </c>
      <c r="W343" s="527">
        <f t="shared" si="493"/>
        <v>104672.85445379376</v>
      </c>
      <c r="X343" s="527">
        <f t="shared" si="493"/>
        <v>104672.85445379376</v>
      </c>
      <c r="Y343" s="527">
        <f t="shared" si="493"/>
        <v>104672.85445379376</v>
      </c>
      <c r="Z343" s="527">
        <f t="shared" si="493"/>
        <v>104672.85445379376</v>
      </c>
      <c r="AA343" s="527">
        <f t="shared" si="493"/>
        <v>104672.85445379376</v>
      </c>
      <c r="AB343" s="527">
        <f t="shared" si="493"/>
        <v>104672.85445379376</v>
      </c>
      <c r="AC343" s="527">
        <f t="shared" si="493"/>
        <v>104672.85445379376</v>
      </c>
      <c r="AD343" s="527">
        <f t="shared" si="493"/>
        <v>107584.70637997104</v>
      </c>
      <c r="AE343" s="527">
        <f t="shared" si="493"/>
        <v>107584.70637997104</v>
      </c>
      <c r="AF343" s="527">
        <f t="shared" si="493"/>
        <v>107584.70637997104</v>
      </c>
      <c r="AG343" s="527">
        <f t="shared" si="493"/>
        <v>107584.70637997104</v>
      </c>
      <c r="AH343" s="527">
        <f t="shared" si="493"/>
        <v>107584.70637997104</v>
      </c>
      <c r="AI343" s="527">
        <f t="shared" si="493"/>
        <v>107584.70637997104</v>
      </c>
      <c r="AJ343" s="527">
        <f t="shared" si="493"/>
        <v>107584.70637997104</v>
      </c>
      <c r="AK343" s="527">
        <f t="shared" si="493"/>
        <v>107584.70637997104</v>
      </c>
      <c r="AL343" s="527">
        <f t="shared" si="493"/>
        <v>107584.70637997104</v>
      </c>
      <c r="AM343" s="527">
        <f t="shared" si="493"/>
        <v>107584.70637997104</v>
      </c>
      <c r="AN343" s="527">
        <f t="shared" si="493"/>
        <v>107584.70637997104</v>
      </c>
      <c r="AO343" s="527">
        <f t="shared" si="493"/>
        <v>107584.70637997104</v>
      </c>
      <c r="AP343" s="527">
        <f t="shared" si="493"/>
        <v>110410.82829134676</v>
      </c>
      <c r="AQ343" s="527">
        <f t="shared" si="493"/>
        <v>110410.82829134676</v>
      </c>
      <c r="AR343" s="527">
        <f t="shared" si="493"/>
        <v>110410.82829134676</v>
      </c>
      <c r="AS343" s="527">
        <f t="shared" si="493"/>
        <v>110410.82829134676</v>
      </c>
      <c r="AT343" s="527">
        <f t="shared" si="493"/>
        <v>110410.82829134676</v>
      </c>
      <c r="AU343" s="527">
        <f t="shared" si="493"/>
        <v>110410.82829134676</v>
      </c>
      <c r="AV343" s="527">
        <f t="shared" si="493"/>
        <v>110410.82829134676</v>
      </c>
      <c r="AW343" s="527">
        <f t="shared" si="493"/>
        <v>110410.82829134676</v>
      </c>
      <c r="AX343" s="527">
        <f t="shared" ref="AX343:BY343" si="494">($R160*AX$597*AX495)+((($R160*AX$597)+AX333)*AX487)</f>
        <v>110410.82829134676</v>
      </c>
      <c r="AY343" s="527">
        <f t="shared" si="494"/>
        <v>110410.82829134676</v>
      </c>
      <c r="AZ343" s="527">
        <f t="shared" si="494"/>
        <v>110410.82829134676</v>
      </c>
      <c r="BA343" s="527">
        <f t="shared" si="494"/>
        <v>110410.82829134676</v>
      </c>
      <c r="BB343" s="527">
        <f t="shared" si="494"/>
        <v>112890.47252193102</v>
      </c>
      <c r="BC343" s="527">
        <f t="shared" si="494"/>
        <v>112890.47252193102</v>
      </c>
      <c r="BD343" s="527">
        <f t="shared" si="494"/>
        <v>112890.47252193102</v>
      </c>
      <c r="BE343" s="527">
        <f t="shared" si="494"/>
        <v>112890.47252193102</v>
      </c>
      <c r="BF343" s="527">
        <f t="shared" si="494"/>
        <v>112890.47252193102</v>
      </c>
      <c r="BG343" s="527">
        <f t="shared" si="494"/>
        <v>112890.47252193102</v>
      </c>
      <c r="BH343" s="527">
        <f t="shared" si="494"/>
        <v>112890.47252193102</v>
      </c>
      <c r="BI343" s="527">
        <f t="shared" si="494"/>
        <v>112890.47252193102</v>
      </c>
      <c r="BJ343" s="527">
        <f t="shared" si="494"/>
        <v>112890.47252193102</v>
      </c>
      <c r="BK343" s="527">
        <f t="shared" si="494"/>
        <v>112890.47252193102</v>
      </c>
      <c r="BL343" s="527">
        <f t="shared" si="494"/>
        <v>112890.47252193102</v>
      </c>
      <c r="BM343" s="527">
        <f t="shared" si="494"/>
        <v>112890.47252193102</v>
      </c>
      <c r="BN343" s="527">
        <f t="shared" si="494"/>
        <v>115196.86146217563</v>
      </c>
      <c r="BO343" s="527">
        <f t="shared" si="494"/>
        <v>115196.86146217563</v>
      </c>
      <c r="BP343" s="527">
        <f t="shared" si="494"/>
        <v>115196.86146217563</v>
      </c>
      <c r="BQ343" s="527">
        <f t="shared" si="494"/>
        <v>115196.86146217563</v>
      </c>
      <c r="BR343" s="527">
        <f t="shared" si="494"/>
        <v>115196.86146217563</v>
      </c>
      <c r="BS343" s="527">
        <f t="shared" si="494"/>
        <v>115196.86146217563</v>
      </c>
      <c r="BT343" s="527">
        <f t="shared" si="494"/>
        <v>115196.86146217563</v>
      </c>
      <c r="BU343" s="527">
        <f t="shared" si="494"/>
        <v>115196.86146217563</v>
      </c>
      <c r="BV343" s="527">
        <f t="shared" si="494"/>
        <v>115196.86146217563</v>
      </c>
      <c r="BW343" s="527">
        <f t="shared" si="494"/>
        <v>115196.86146217563</v>
      </c>
      <c r="BX343" s="527">
        <f t="shared" si="494"/>
        <v>115196.86146217563</v>
      </c>
      <c r="BY343" s="527">
        <f t="shared" si="494"/>
        <v>115196.86146217563</v>
      </c>
    </row>
    <row r="344" spans="1:77" x14ac:dyDescent="0.3">
      <c r="A344" s="551"/>
      <c r="B344" s="548"/>
      <c r="C344" s="525"/>
      <c r="D344" s="525"/>
      <c r="E344" s="572" t="s">
        <v>36</v>
      </c>
      <c r="F344" s="572"/>
      <c r="G344" s="572"/>
      <c r="H344" s="572"/>
      <c r="I344" s="572"/>
      <c r="J344" s="572"/>
      <c r="K344" s="572"/>
      <c r="L344" s="572"/>
      <c r="M344" s="572"/>
      <c r="N344" s="572"/>
      <c r="O344" s="572"/>
      <c r="P344" s="612"/>
      <c r="Q344" s="572"/>
      <c r="R344" s="530">
        <f t="shared" ref="R344:AW344" si="495">SUM(R338:R343)</f>
        <v>338809.50257412193</v>
      </c>
      <c r="S344" s="530">
        <f t="shared" si="495"/>
        <v>338809.50257412193</v>
      </c>
      <c r="T344" s="530">
        <f t="shared" si="495"/>
        <v>338809.50257412193</v>
      </c>
      <c r="U344" s="530">
        <f t="shared" si="495"/>
        <v>338809.50257412193</v>
      </c>
      <c r="V344" s="530">
        <f t="shared" si="495"/>
        <v>338809.50257412193</v>
      </c>
      <c r="W344" s="530">
        <f t="shared" si="495"/>
        <v>338809.50257412193</v>
      </c>
      <c r="X344" s="530">
        <f t="shared" si="495"/>
        <v>350401.64851391304</v>
      </c>
      <c r="Y344" s="530">
        <f t="shared" si="495"/>
        <v>350401.64851391304</v>
      </c>
      <c r="Z344" s="530">
        <f t="shared" si="495"/>
        <v>350401.64851391304</v>
      </c>
      <c r="AA344" s="530">
        <f t="shared" si="495"/>
        <v>350401.64851391304</v>
      </c>
      <c r="AB344" s="530">
        <f t="shared" si="495"/>
        <v>350401.64851391304</v>
      </c>
      <c r="AC344" s="530">
        <f t="shared" si="495"/>
        <v>350401.64851391304</v>
      </c>
      <c r="AD344" s="530">
        <f t="shared" si="495"/>
        <v>357102.75627219211</v>
      </c>
      <c r="AE344" s="530">
        <f t="shared" si="495"/>
        <v>357102.75627219211</v>
      </c>
      <c r="AF344" s="530">
        <f t="shared" si="495"/>
        <v>357102.75627219211</v>
      </c>
      <c r="AG344" s="530">
        <f t="shared" si="495"/>
        <v>357102.75627219211</v>
      </c>
      <c r="AH344" s="530">
        <f t="shared" si="495"/>
        <v>357102.75627219211</v>
      </c>
      <c r="AI344" s="530">
        <f t="shared" si="495"/>
        <v>357102.75627219211</v>
      </c>
      <c r="AJ344" s="530">
        <f t="shared" si="495"/>
        <v>372150.244159856</v>
      </c>
      <c r="AK344" s="530">
        <f t="shared" si="495"/>
        <v>372150.244159856</v>
      </c>
      <c r="AL344" s="530">
        <f t="shared" si="495"/>
        <v>372150.244159856</v>
      </c>
      <c r="AM344" s="530">
        <f t="shared" si="495"/>
        <v>372150.244159856</v>
      </c>
      <c r="AN344" s="530">
        <f t="shared" si="495"/>
        <v>372150.244159856</v>
      </c>
      <c r="AO344" s="530">
        <f t="shared" si="495"/>
        <v>372150.244159856</v>
      </c>
      <c r="AP344" s="530">
        <f t="shared" si="495"/>
        <v>375894.82376873447</v>
      </c>
      <c r="AQ344" s="530">
        <f t="shared" si="495"/>
        <v>375894.82376873447</v>
      </c>
      <c r="AR344" s="530">
        <f t="shared" si="495"/>
        <v>375894.82376873447</v>
      </c>
      <c r="AS344" s="530">
        <f t="shared" si="495"/>
        <v>375894.82376873447</v>
      </c>
      <c r="AT344" s="530">
        <f t="shared" si="495"/>
        <v>375894.82376873447</v>
      </c>
      <c r="AU344" s="530">
        <f t="shared" si="495"/>
        <v>375894.82376873447</v>
      </c>
      <c r="AV344" s="530">
        <f t="shared" si="495"/>
        <v>394632.59730839555</v>
      </c>
      <c r="AW344" s="530">
        <f t="shared" si="495"/>
        <v>394632.59730839555</v>
      </c>
      <c r="AX344" s="530">
        <f t="shared" ref="AX344:BY344" si="496">SUM(AX338:AX343)</f>
        <v>394632.59730839555</v>
      </c>
      <c r="AY344" s="530">
        <f t="shared" si="496"/>
        <v>394632.59730839555</v>
      </c>
      <c r="AZ344" s="530">
        <f t="shared" si="496"/>
        <v>394632.59730839555</v>
      </c>
      <c r="BA344" s="530">
        <f t="shared" si="496"/>
        <v>394632.59730839555</v>
      </c>
      <c r="BB344" s="530">
        <f t="shared" si="496"/>
        <v>394876.41062635777</v>
      </c>
      <c r="BC344" s="530">
        <f t="shared" si="496"/>
        <v>394876.41062635777</v>
      </c>
      <c r="BD344" s="530">
        <f t="shared" si="496"/>
        <v>394876.41062635777</v>
      </c>
      <c r="BE344" s="530">
        <f t="shared" si="496"/>
        <v>394876.41062635777</v>
      </c>
      <c r="BF344" s="530">
        <f t="shared" si="496"/>
        <v>394876.41062635777</v>
      </c>
      <c r="BG344" s="530">
        <f t="shared" si="496"/>
        <v>394876.41062635777</v>
      </c>
      <c r="BH344" s="530">
        <f t="shared" si="496"/>
        <v>417544.56343111524</v>
      </c>
      <c r="BI344" s="530">
        <f t="shared" si="496"/>
        <v>417544.56343111524</v>
      </c>
      <c r="BJ344" s="530">
        <f t="shared" si="496"/>
        <v>417544.56343111524</v>
      </c>
      <c r="BK344" s="530">
        <f t="shared" si="496"/>
        <v>417544.56343111524</v>
      </c>
      <c r="BL344" s="530">
        <f t="shared" si="496"/>
        <v>417544.56343111524</v>
      </c>
      <c r="BM344" s="530">
        <f t="shared" si="496"/>
        <v>417544.56343111524</v>
      </c>
      <c r="BN344" s="530">
        <f t="shared" si="496"/>
        <v>414521.01274102583</v>
      </c>
      <c r="BO344" s="530">
        <f t="shared" si="496"/>
        <v>414521.01274102583</v>
      </c>
      <c r="BP344" s="530">
        <f t="shared" si="496"/>
        <v>414521.01274102583</v>
      </c>
      <c r="BQ344" s="530">
        <f t="shared" si="496"/>
        <v>414521.01274102583</v>
      </c>
      <c r="BR344" s="530">
        <f t="shared" si="496"/>
        <v>414521.01274102583</v>
      </c>
      <c r="BS344" s="530">
        <f t="shared" si="496"/>
        <v>414521.01274102583</v>
      </c>
      <c r="BT344" s="530">
        <f t="shared" si="496"/>
        <v>441371.32383888424</v>
      </c>
      <c r="BU344" s="530">
        <f t="shared" si="496"/>
        <v>441371.32383888424</v>
      </c>
      <c r="BV344" s="530">
        <f t="shared" si="496"/>
        <v>441371.32383888424</v>
      </c>
      <c r="BW344" s="530">
        <f t="shared" si="496"/>
        <v>441371.32383888424</v>
      </c>
      <c r="BX344" s="530">
        <f t="shared" si="496"/>
        <v>441371.32383888424</v>
      </c>
      <c r="BY344" s="530">
        <f t="shared" si="496"/>
        <v>441371.32383888424</v>
      </c>
    </row>
    <row r="345" spans="1:77" x14ac:dyDescent="0.3">
      <c r="A345" s="551"/>
      <c r="B345" s="548"/>
      <c r="C345" s="525"/>
      <c r="D345" s="525"/>
      <c r="E345" s="525"/>
      <c r="F345" s="525"/>
      <c r="G345" s="525"/>
      <c r="H345" s="525"/>
      <c r="I345" s="525"/>
      <c r="J345" s="525"/>
      <c r="K345" s="525"/>
      <c r="L345" s="525"/>
      <c r="M345" s="525"/>
      <c r="N345" s="525"/>
      <c r="O345" s="525"/>
      <c r="P345" s="565"/>
      <c r="Q345" s="525"/>
      <c r="R345" s="525"/>
      <c r="S345" s="525"/>
      <c r="T345" s="525"/>
      <c r="U345" s="525"/>
      <c r="V345" s="525"/>
      <c r="W345" s="525"/>
      <c r="X345" s="525"/>
      <c r="Y345" s="525"/>
      <c r="Z345" s="525"/>
      <c r="AA345" s="525"/>
      <c r="AB345" s="525"/>
      <c r="AC345" s="525"/>
      <c r="AD345" s="525"/>
      <c r="AE345" s="525"/>
      <c r="AF345" s="525"/>
      <c r="AG345" s="525"/>
      <c r="AH345" s="525"/>
      <c r="AI345" s="525"/>
      <c r="AJ345" s="525"/>
      <c r="AK345" s="525"/>
      <c r="AL345" s="525"/>
      <c r="AM345" s="525"/>
      <c r="AN345" s="525"/>
      <c r="AO345" s="525"/>
      <c r="AP345" s="525"/>
      <c r="AQ345" s="525"/>
      <c r="AR345" s="525"/>
      <c r="AS345" s="525"/>
      <c r="AT345" s="525"/>
      <c r="AU345" s="525"/>
      <c r="AV345" s="525"/>
      <c r="AW345" s="525"/>
      <c r="AX345" s="525"/>
      <c r="AY345" s="525"/>
      <c r="AZ345" s="525"/>
      <c r="BA345" s="525"/>
      <c r="BB345" s="525"/>
      <c r="BC345" s="525"/>
      <c r="BD345" s="525"/>
      <c r="BE345" s="525"/>
      <c r="BF345" s="525"/>
      <c r="BG345" s="525"/>
      <c r="BH345" s="525"/>
      <c r="BI345" s="525"/>
      <c r="BJ345" s="525"/>
      <c r="BK345" s="525"/>
      <c r="BL345" s="525"/>
      <c r="BM345" s="525"/>
      <c r="BN345" s="525"/>
      <c r="BO345" s="525"/>
      <c r="BP345" s="525"/>
      <c r="BQ345" s="525"/>
      <c r="BR345" s="525"/>
      <c r="BS345" s="525"/>
      <c r="BT345" s="525"/>
      <c r="BU345" s="525"/>
      <c r="BV345" s="525"/>
      <c r="BW345" s="525"/>
      <c r="BX345" s="525"/>
      <c r="BY345" s="525"/>
    </row>
    <row r="346" spans="1:77" x14ac:dyDescent="0.3">
      <c r="A346" s="551"/>
      <c r="B346" s="548"/>
      <c r="C346" s="525"/>
      <c r="D346" s="525"/>
      <c r="E346" s="633" t="str">
        <f>"Tie release fees: "&amp;E$155</f>
        <v>Tie release fees: FY27 Tranche</v>
      </c>
      <c r="F346" s="525"/>
      <c r="G346" s="525"/>
      <c r="H346" s="525"/>
      <c r="I346" s="525"/>
      <c r="J346" s="525"/>
      <c r="K346" s="525"/>
      <c r="L346" s="525"/>
      <c r="M346" s="525"/>
      <c r="N346" s="525"/>
      <c r="O346" s="525"/>
      <c r="P346" s="565"/>
      <c r="Q346" s="525"/>
      <c r="R346" s="527">
        <f t="shared" ref="R346:AW346" si="497">R$598*$R155</f>
        <v>7023.8291983864065</v>
      </c>
      <c r="S346" s="527">
        <f t="shared" si="497"/>
        <v>7023.8291983864065</v>
      </c>
      <c r="T346" s="527">
        <f t="shared" si="497"/>
        <v>7023.8291983864065</v>
      </c>
      <c r="U346" s="527">
        <f t="shared" si="497"/>
        <v>7023.8291983864065</v>
      </c>
      <c r="V346" s="527">
        <f t="shared" si="497"/>
        <v>7023.8291983864065</v>
      </c>
      <c r="W346" s="527">
        <f t="shared" si="497"/>
        <v>7023.8291983864065</v>
      </c>
      <c r="X346" s="527">
        <f t="shared" si="497"/>
        <v>7023.8291983864065</v>
      </c>
      <c r="Y346" s="527">
        <f t="shared" si="497"/>
        <v>7023.8291983864065</v>
      </c>
      <c r="Z346" s="527">
        <f t="shared" si="497"/>
        <v>7023.8291983864065</v>
      </c>
      <c r="AA346" s="527">
        <f t="shared" si="497"/>
        <v>7023.8291983864065</v>
      </c>
      <c r="AB346" s="527">
        <f t="shared" si="497"/>
        <v>7023.8291983864065</v>
      </c>
      <c r="AC346" s="527">
        <f t="shared" si="497"/>
        <v>7023.8291983864065</v>
      </c>
      <c r="AD346" s="527">
        <f t="shared" si="497"/>
        <v>7257.0030087419336</v>
      </c>
      <c r="AE346" s="527">
        <f t="shared" si="497"/>
        <v>7257.0030087419336</v>
      </c>
      <c r="AF346" s="527">
        <f t="shared" si="497"/>
        <v>7257.0030087419336</v>
      </c>
      <c r="AG346" s="527">
        <f t="shared" si="497"/>
        <v>7257.0030087419336</v>
      </c>
      <c r="AH346" s="527">
        <f t="shared" si="497"/>
        <v>7257.0030087419336</v>
      </c>
      <c r="AI346" s="527">
        <f t="shared" si="497"/>
        <v>7257.0030087419336</v>
      </c>
      <c r="AJ346" s="527">
        <f t="shared" si="497"/>
        <v>7257.0030087419336</v>
      </c>
      <c r="AK346" s="527">
        <f t="shared" si="497"/>
        <v>7257.0030087419336</v>
      </c>
      <c r="AL346" s="527">
        <f t="shared" si="497"/>
        <v>7257.0030087419336</v>
      </c>
      <c r="AM346" s="527">
        <f t="shared" si="497"/>
        <v>7257.0030087419336</v>
      </c>
      <c r="AN346" s="527">
        <f t="shared" si="497"/>
        <v>7257.0030087419336</v>
      </c>
      <c r="AO346" s="527">
        <f t="shared" si="497"/>
        <v>7257.0030087419336</v>
      </c>
      <c r="AP346" s="527">
        <f t="shared" si="497"/>
        <v>7488.1355722403614</v>
      </c>
      <c r="AQ346" s="527">
        <f t="shared" si="497"/>
        <v>7488.1355722403614</v>
      </c>
      <c r="AR346" s="527">
        <f t="shared" si="497"/>
        <v>7488.1355722403614</v>
      </c>
      <c r="AS346" s="527">
        <f t="shared" si="497"/>
        <v>7488.1355722403614</v>
      </c>
      <c r="AT346" s="527">
        <f t="shared" si="497"/>
        <v>7488.1355722403614</v>
      </c>
      <c r="AU346" s="527">
        <f t="shared" si="497"/>
        <v>7488.1355722403614</v>
      </c>
      <c r="AV346" s="527">
        <f t="shared" si="497"/>
        <v>7488.1355722403614</v>
      </c>
      <c r="AW346" s="527">
        <f t="shared" si="497"/>
        <v>7488.1355722403614</v>
      </c>
      <c r="AX346" s="527">
        <f t="shared" ref="AX346:BY346" si="498">AX$598*$R155</f>
        <v>7488.1355722403614</v>
      </c>
      <c r="AY346" s="527">
        <f t="shared" si="498"/>
        <v>7488.1355722403614</v>
      </c>
      <c r="AZ346" s="527">
        <f t="shared" si="498"/>
        <v>7488.1355722403614</v>
      </c>
      <c r="BA346" s="527">
        <f t="shared" si="498"/>
        <v>7488.1355722403614</v>
      </c>
      <c r="BB346" s="527">
        <f t="shared" si="498"/>
        <v>7681.1017486210058</v>
      </c>
      <c r="BC346" s="527">
        <f t="shared" si="498"/>
        <v>7681.1017486210058</v>
      </c>
      <c r="BD346" s="527">
        <f t="shared" si="498"/>
        <v>7681.1017486210058</v>
      </c>
      <c r="BE346" s="527">
        <f t="shared" si="498"/>
        <v>7681.1017486210058</v>
      </c>
      <c r="BF346" s="527">
        <f t="shared" si="498"/>
        <v>7681.1017486210058</v>
      </c>
      <c r="BG346" s="527">
        <f t="shared" si="498"/>
        <v>7681.1017486210058</v>
      </c>
      <c r="BH346" s="527">
        <f t="shared" si="498"/>
        <v>7681.1017486210058</v>
      </c>
      <c r="BI346" s="527">
        <f t="shared" si="498"/>
        <v>7681.1017486210058</v>
      </c>
      <c r="BJ346" s="527">
        <f t="shared" si="498"/>
        <v>7681.1017486210058</v>
      </c>
      <c r="BK346" s="527">
        <f t="shared" si="498"/>
        <v>7681.1017486210058</v>
      </c>
      <c r="BL346" s="527">
        <f t="shared" si="498"/>
        <v>7681.1017486210058</v>
      </c>
      <c r="BM346" s="527">
        <f t="shared" si="498"/>
        <v>7681.1017486210058</v>
      </c>
      <c r="BN346" s="527">
        <f t="shared" si="498"/>
        <v>7847.1903169520101</v>
      </c>
      <c r="BO346" s="527">
        <f t="shared" si="498"/>
        <v>7847.1903169520101</v>
      </c>
      <c r="BP346" s="527">
        <f t="shared" si="498"/>
        <v>7847.1903169520101</v>
      </c>
      <c r="BQ346" s="527">
        <f t="shared" si="498"/>
        <v>7847.1903169520101</v>
      </c>
      <c r="BR346" s="527">
        <f t="shared" si="498"/>
        <v>7847.1903169520101</v>
      </c>
      <c r="BS346" s="527">
        <f t="shared" si="498"/>
        <v>7847.1903169520101</v>
      </c>
      <c r="BT346" s="527">
        <f t="shared" si="498"/>
        <v>7847.1903169520101</v>
      </c>
      <c r="BU346" s="527">
        <f t="shared" si="498"/>
        <v>7847.1903169520101</v>
      </c>
      <c r="BV346" s="527">
        <f t="shared" si="498"/>
        <v>7847.1903169520101</v>
      </c>
      <c r="BW346" s="527">
        <f t="shared" si="498"/>
        <v>7847.1903169520101</v>
      </c>
      <c r="BX346" s="527">
        <f t="shared" si="498"/>
        <v>7847.1903169520101</v>
      </c>
      <c r="BY346" s="527">
        <f t="shared" si="498"/>
        <v>7847.1903169520101</v>
      </c>
    </row>
    <row r="347" spans="1:77" x14ac:dyDescent="0.3">
      <c r="A347" s="551"/>
      <c r="B347" s="548"/>
      <c r="C347" s="525"/>
      <c r="D347" s="525"/>
      <c r="E347" s="633" t="str">
        <f>"Tie release fees: "&amp;E$156</f>
        <v>Tie release fees: FY28 Tranche</v>
      </c>
      <c r="F347" s="525"/>
      <c r="G347" s="525"/>
      <c r="H347" s="525"/>
      <c r="I347" s="525"/>
      <c r="J347" s="525"/>
      <c r="K347" s="525"/>
      <c r="L347" s="525"/>
      <c r="M347" s="525"/>
      <c r="N347" s="525"/>
      <c r="O347" s="525"/>
      <c r="P347" s="565"/>
      <c r="Q347" s="525"/>
      <c r="R347" s="527">
        <f t="shared" ref="R347:AW347" si="499">R$598*$R156</f>
        <v>7023.8291983864065</v>
      </c>
      <c r="S347" s="527">
        <f t="shared" si="499"/>
        <v>7023.8291983864065</v>
      </c>
      <c r="T347" s="527">
        <f t="shared" si="499"/>
        <v>7023.8291983864065</v>
      </c>
      <c r="U347" s="527">
        <f t="shared" si="499"/>
        <v>7023.8291983864065</v>
      </c>
      <c r="V347" s="527">
        <f t="shared" si="499"/>
        <v>7023.8291983864065</v>
      </c>
      <c r="W347" s="527">
        <f t="shared" si="499"/>
        <v>7023.8291983864065</v>
      </c>
      <c r="X347" s="527">
        <f t="shared" si="499"/>
        <v>7023.8291983864065</v>
      </c>
      <c r="Y347" s="527">
        <f t="shared" si="499"/>
        <v>7023.8291983864065</v>
      </c>
      <c r="Z347" s="527">
        <f t="shared" si="499"/>
        <v>7023.8291983864065</v>
      </c>
      <c r="AA347" s="527">
        <f t="shared" si="499"/>
        <v>7023.8291983864065</v>
      </c>
      <c r="AB347" s="527">
        <f t="shared" si="499"/>
        <v>7023.8291983864065</v>
      </c>
      <c r="AC347" s="527">
        <f t="shared" si="499"/>
        <v>7023.8291983864065</v>
      </c>
      <c r="AD347" s="527">
        <f t="shared" si="499"/>
        <v>7257.0030087419336</v>
      </c>
      <c r="AE347" s="527">
        <f t="shared" si="499"/>
        <v>7257.0030087419336</v>
      </c>
      <c r="AF347" s="527">
        <f t="shared" si="499"/>
        <v>7257.0030087419336</v>
      </c>
      <c r="AG347" s="527">
        <f t="shared" si="499"/>
        <v>7257.0030087419336</v>
      </c>
      <c r="AH347" s="527">
        <f t="shared" si="499"/>
        <v>7257.0030087419336</v>
      </c>
      <c r="AI347" s="527">
        <f t="shared" si="499"/>
        <v>7257.0030087419336</v>
      </c>
      <c r="AJ347" s="527">
        <f t="shared" si="499"/>
        <v>7257.0030087419336</v>
      </c>
      <c r="AK347" s="527">
        <f t="shared" si="499"/>
        <v>7257.0030087419336</v>
      </c>
      <c r="AL347" s="527">
        <f t="shared" si="499"/>
        <v>7257.0030087419336</v>
      </c>
      <c r="AM347" s="527">
        <f t="shared" si="499"/>
        <v>7257.0030087419336</v>
      </c>
      <c r="AN347" s="527">
        <f t="shared" si="499"/>
        <v>7257.0030087419336</v>
      </c>
      <c r="AO347" s="527">
        <f t="shared" si="499"/>
        <v>7257.0030087419336</v>
      </c>
      <c r="AP347" s="527">
        <f t="shared" si="499"/>
        <v>7488.1355722403614</v>
      </c>
      <c r="AQ347" s="527">
        <f t="shared" si="499"/>
        <v>7488.1355722403614</v>
      </c>
      <c r="AR347" s="527">
        <f t="shared" si="499"/>
        <v>7488.1355722403614</v>
      </c>
      <c r="AS347" s="527">
        <f t="shared" si="499"/>
        <v>7488.1355722403614</v>
      </c>
      <c r="AT347" s="527">
        <f t="shared" si="499"/>
        <v>7488.1355722403614</v>
      </c>
      <c r="AU347" s="527">
        <f t="shared" si="499"/>
        <v>7488.1355722403614</v>
      </c>
      <c r="AV347" s="527">
        <f t="shared" si="499"/>
        <v>7488.1355722403614</v>
      </c>
      <c r="AW347" s="527">
        <f t="shared" si="499"/>
        <v>7488.1355722403614</v>
      </c>
      <c r="AX347" s="527">
        <f t="shared" ref="AX347:BY347" si="500">AX$598*$R156</f>
        <v>7488.1355722403614</v>
      </c>
      <c r="AY347" s="527">
        <f t="shared" si="500"/>
        <v>7488.1355722403614</v>
      </c>
      <c r="AZ347" s="527">
        <f t="shared" si="500"/>
        <v>7488.1355722403614</v>
      </c>
      <c r="BA347" s="527">
        <f t="shared" si="500"/>
        <v>7488.1355722403614</v>
      </c>
      <c r="BB347" s="527">
        <f t="shared" si="500"/>
        <v>7681.1017486210058</v>
      </c>
      <c r="BC347" s="527">
        <f t="shared" si="500"/>
        <v>7681.1017486210058</v>
      </c>
      <c r="BD347" s="527">
        <f t="shared" si="500"/>
        <v>7681.1017486210058</v>
      </c>
      <c r="BE347" s="527">
        <f t="shared" si="500"/>
        <v>7681.1017486210058</v>
      </c>
      <c r="BF347" s="527">
        <f t="shared" si="500"/>
        <v>7681.1017486210058</v>
      </c>
      <c r="BG347" s="527">
        <f t="shared" si="500"/>
        <v>7681.1017486210058</v>
      </c>
      <c r="BH347" s="527">
        <f t="shared" si="500"/>
        <v>7681.1017486210058</v>
      </c>
      <c r="BI347" s="527">
        <f t="shared" si="500"/>
        <v>7681.1017486210058</v>
      </c>
      <c r="BJ347" s="527">
        <f t="shared" si="500"/>
        <v>7681.1017486210058</v>
      </c>
      <c r="BK347" s="527">
        <f t="shared" si="500"/>
        <v>7681.1017486210058</v>
      </c>
      <c r="BL347" s="527">
        <f t="shared" si="500"/>
        <v>7681.1017486210058</v>
      </c>
      <c r="BM347" s="527">
        <f t="shared" si="500"/>
        <v>7681.1017486210058</v>
      </c>
      <c r="BN347" s="527">
        <f t="shared" si="500"/>
        <v>7847.1903169520101</v>
      </c>
      <c r="BO347" s="527">
        <f t="shared" si="500"/>
        <v>7847.1903169520101</v>
      </c>
      <c r="BP347" s="527">
        <f t="shared" si="500"/>
        <v>7847.1903169520101</v>
      </c>
      <c r="BQ347" s="527">
        <f t="shared" si="500"/>
        <v>7847.1903169520101</v>
      </c>
      <c r="BR347" s="527">
        <f t="shared" si="500"/>
        <v>7847.1903169520101</v>
      </c>
      <c r="BS347" s="527">
        <f t="shared" si="500"/>
        <v>7847.1903169520101</v>
      </c>
      <c r="BT347" s="527">
        <f t="shared" si="500"/>
        <v>7847.1903169520101</v>
      </c>
      <c r="BU347" s="527">
        <f t="shared" si="500"/>
        <v>7847.1903169520101</v>
      </c>
      <c r="BV347" s="527">
        <f t="shared" si="500"/>
        <v>7847.1903169520101</v>
      </c>
      <c r="BW347" s="527">
        <f t="shared" si="500"/>
        <v>7847.1903169520101</v>
      </c>
      <c r="BX347" s="527">
        <f t="shared" si="500"/>
        <v>7847.1903169520101</v>
      </c>
      <c r="BY347" s="527">
        <f t="shared" si="500"/>
        <v>7847.1903169520101</v>
      </c>
    </row>
    <row r="348" spans="1:77" x14ac:dyDescent="0.3">
      <c r="A348" s="551"/>
      <c r="B348" s="548"/>
      <c r="C348" s="525"/>
      <c r="D348" s="525"/>
      <c r="E348" s="633" t="str">
        <f>"Tie release fees: "&amp;E$157</f>
        <v>Tie release fees: FY29 Tranche</v>
      </c>
      <c r="F348" s="525"/>
      <c r="G348" s="525"/>
      <c r="H348" s="525"/>
      <c r="I348" s="525"/>
      <c r="J348" s="525"/>
      <c r="K348" s="525"/>
      <c r="L348" s="525"/>
      <c r="M348" s="525"/>
      <c r="N348" s="525"/>
      <c r="O348" s="525"/>
      <c r="P348" s="565"/>
      <c r="Q348" s="525"/>
      <c r="R348" s="527">
        <f t="shared" ref="R348:AW348" si="501">R$598*$R157</f>
        <v>7023.8291983864065</v>
      </c>
      <c r="S348" s="527">
        <f t="shared" si="501"/>
        <v>7023.8291983864065</v>
      </c>
      <c r="T348" s="527">
        <f t="shared" si="501"/>
        <v>7023.8291983864065</v>
      </c>
      <c r="U348" s="527">
        <f t="shared" si="501"/>
        <v>7023.8291983864065</v>
      </c>
      <c r="V348" s="527">
        <f t="shared" si="501"/>
        <v>7023.8291983864065</v>
      </c>
      <c r="W348" s="527">
        <f t="shared" si="501"/>
        <v>7023.8291983864065</v>
      </c>
      <c r="X348" s="527">
        <f t="shared" si="501"/>
        <v>7023.8291983864065</v>
      </c>
      <c r="Y348" s="527">
        <f t="shared" si="501"/>
        <v>7023.8291983864065</v>
      </c>
      <c r="Z348" s="527">
        <f t="shared" si="501"/>
        <v>7023.8291983864065</v>
      </c>
      <c r="AA348" s="527">
        <f t="shared" si="501"/>
        <v>7023.8291983864065</v>
      </c>
      <c r="AB348" s="527">
        <f t="shared" si="501"/>
        <v>7023.8291983864065</v>
      </c>
      <c r="AC348" s="527">
        <f t="shared" si="501"/>
        <v>7023.8291983864065</v>
      </c>
      <c r="AD348" s="527">
        <f t="shared" si="501"/>
        <v>7257.0030087419336</v>
      </c>
      <c r="AE348" s="527">
        <f t="shared" si="501"/>
        <v>7257.0030087419336</v>
      </c>
      <c r="AF348" s="527">
        <f t="shared" si="501"/>
        <v>7257.0030087419336</v>
      </c>
      <c r="AG348" s="527">
        <f t="shared" si="501"/>
        <v>7257.0030087419336</v>
      </c>
      <c r="AH348" s="527">
        <f t="shared" si="501"/>
        <v>7257.0030087419336</v>
      </c>
      <c r="AI348" s="527">
        <f t="shared" si="501"/>
        <v>7257.0030087419336</v>
      </c>
      <c r="AJ348" s="527">
        <f t="shared" si="501"/>
        <v>7257.0030087419336</v>
      </c>
      <c r="AK348" s="527">
        <f t="shared" si="501"/>
        <v>7257.0030087419336</v>
      </c>
      <c r="AL348" s="527">
        <f t="shared" si="501"/>
        <v>7257.0030087419336</v>
      </c>
      <c r="AM348" s="527">
        <f t="shared" si="501"/>
        <v>7257.0030087419336</v>
      </c>
      <c r="AN348" s="527">
        <f t="shared" si="501"/>
        <v>7257.0030087419336</v>
      </c>
      <c r="AO348" s="527">
        <f t="shared" si="501"/>
        <v>7257.0030087419336</v>
      </c>
      <c r="AP348" s="527">
        <f t="shared" si="501"/>
        <v>7488.1355722403614</v>
      </c>
      <c r="AQ348" s="527">
        <f t="shared" si="501"/>
        <v>7488.1355722403614</v>
      </c>
      <c r="AR348" s="527">
        <f t="shared" si="501"/>
        <v>7488.1355722403614</v>
      </c>
      <c r="AS348" s="527">
        <f t="shared" si="501"/>
        <v>7488.1355722403614</v>
      </c>
      <c r="AT348" s="527">
        <f t="shared" si="501"/>
        <v>7488.1355722403614</v>
      </c>
      <c r="AU348" s="527">
        <f t="shared" si="501"/>
        <v>7488.1355722403614</v>
      </c>
      <c r="AV348" s="527">
        <f t="shared" si="501"/>
        <v>7488.1355722403614</v>
      </c>
      <c r="AW348" s="527">
        <f t="shared" si="501"/>
        <v>7488.1355722403614</v>
      </c>
      <c r="AX348" s="527">
        <f t="shared" ref="AX348:BY348" si="502">AX$598*$R157</f>
        <v>7488.1355722403614</v>
      </c>
      <c r="AY348" s="527">
        <f t="shared" si="502"/>
        <v>7488.1355722403614</v>
      </c>
      <c r="AZ348" s="527">
        <f t="shared" si="502"/>
        <v>7488.1355722403614</v>
      </c>
      <c r="BA348" s="527">
        <f t="shared" si="502"/>
        <v>7488.1355722403614</v>
      </c>
      <c r="BB348" s="527">
        <f t="shared" si="502"/>
        <v>7681.1017486210058</v>
      </c>
      <c r="BC348" s="527">
        <f t="shared" si="502"/>
        <v>7681.1017486210058</v>
      </c>
      <c r="BD348" s="527">
        <f t="shared" si="502"/>
        <v>7681.1017486210058</v>
      </c>
      <c r="BE348" s="527">
        <f t="shared" si="502"/>
        <v>7681.1017486210058</v>
      </c>
      <c r="BF348" s="527">
        <f t="shared" si="502"/>
        <v>7681.1017486210058</v>
      </c>
      <c r="BG348" s="527">
        <f t="shared" si="502"/>
        <v>7681.1017486210058</v>
      </c>
      <c r="BH348" s="527">
        <f t="shared" si="502"/>
        <v>7681.1017486210058</v>
      </c>
      <c r="BI348" s="527">
        <f t="shared" si="502"/>
        <v>7681.1017486210058</v>
      </c>
      <c r="BJ348" s="527">
        <f t="shared" si="502"/>
        <v>7681.1017486210058</v>
      </c>
      <c r="BK348" s="527">
        <f t="shared" si="502"/>
        <v>7681.1017486210058</v>
      </c>
      <c r="BL348" s="527">
        <f t="shared" si="502"/>
        <v>7681.1017486210058</v>
      </c>
      <c r="BM348" s="527">
        <f t="shared" si="502"/>
        <v>7681.1017486210058</v>
      </c>
      <c r="BN348" s="527">
        <f t="shared" si="502"/>
        <v>7847.1903169520101</v>
      </c>
      <c r="BO348" s="527">
        <f t="shared" si="502"/>
        <v>7847.1903169520101</v>
      </c>
      <c r="BP348" s="527">
        <f t="shared" si="502"/>
        <v>7847.1903169520101</v>
      </c>
      <c r="BQ348" s="527">
        <f t="shared" si="502"/>
        <v>7847.1903169520101</v>
      </c>
      <c r="BR348" s="527">
        <f t="shared" si="502"/>
        <v>7847.1903169520101</v>
      </c>
      <c r="BS348" s="527">
        <f t="shared" si="502"/>
        <v>7847.1903169520101</v>
      </c>
      <c r="BT348" s="527">
        <f t="shared" si="502"/>
        <v>7847.1903169520101</v>
      </c>
      <c r="BU348" s="527">
        <f t="shared" si="502"/>
        <v>7847.1903169520101</v>
      </c>
      <c r="BV348" s="527">
        <f t="shared" si="502"/>
        <v>7847.1903169520101</v>
      </c>
      <c r="BW348" s="527">
        <f t="shared" si="502"/>
        <v>7847.1903169520101</v>
      </c>
      <c r="BX348" s="527">
        <f t="shared" si="502"/>
        <v>7847.1903169520101</v>
      </c>
      <c r="BY348" s="527">
        <f t="shared" si="502"/>
        <v>7847.1903169520101</v>
      </c>
    </row>
    <row r="349" spans="1:77" x14ac:dyDescent="0.3">
      <c r="A349" s="551"/>
      <c r="B349" s="548"/>
      <c r="C349" s="525"/>
      <c r="D349" s="525"/>
      <c r="E349" s="633" t="str">
        <f>"Tie release fees: "&amp;E$158</f>
        <v>Tie release fees: FY30 Tranche</v>
      </c>
      <c r="F349" s="525"/>
      <c r="G349" s="525"/>
      <c r="H349" s="525"/>
      <c r="I349" s="525"/>
      <c r="J349" s="525"/>
      <c r="K349" s="525"/>
      <c r="L349" s="525"/>
      <c r="M349" s="525"/>
      <c r="N349" s="525"/>
      <c r="O349" s="525"/>
      <c r="P349" s="565"/>
      <c r="Q349" s="525"/>
      <c r="R349" s="527">
        <f t="shared" ref="R349:AW349" si="503">R$598*$R158</f>
        <v>7023.8291983864065</v>
      </c>
      <c r="S349" s="527">
        <f t="shared" si="503"/>
        <v>7023.8291983864065</v>
      </c>
      <c r="T349" s="527">
        <f t="shared" si="503"/>
        <v>7023.8291983864065</v>
      </c>
      <c r="U349" s="527">
        <f t="shared" si="503"/>
        <v>7023.8291983864065</v>
      </c>
      <c r="V349" s="527">
        <f t="shared" si="503"/>
        <v>7023.8291983864065</v>
      </c>
      <c r="W349" s="527">
        <f t="shared" si="503"/>
        <v>7023.8291983864065</v>
      </c>
      <c r="X349" s="527">
        <f t="shared" si="503"/>
        <v>7023.8291983864065</v>
      </c>
      <c r="Y349" s="527">
        <f t="shared" si="503"/>
        <v>7023.8291983864065</v>
      </c>
      <c r="Z349" s="527">
        <f t="shared" si="503"/>
        <v>7023.8291983864065</v>
      </c>
      <c r="AA349" s="527">
        <f t="shared" si="503"/>
        <v>7023.8291983864065</v>
      </c>
      <c r="AB349" s="527">
        <f t="shared" si="503"/>
        <v>7023.8291983864065</v>
      </c>
      <c r="AC349" s="527">
        <f t="shared" si="503"/>
        <v>7023.8291983864065</v>
      </c>
      <c r="AD349" s="527">
        <f t="shared" si="503"/>
        <v>7257.0030087419336</v>
      </c>
      <c r="AE349" s="527">
        <f t="shared" si="503"/>
        <v>7257.0030087419336</v>
      </c>
      <c r="AF349" s="527">
        <f t="shared" si="503"/>
        <v>7257.0030087419336</v>
      </c>
      <c r="AG349" s="527">
        <f t="shared" si="503"/>
        <v>7257.0030087419336</v>
      </c>
      <c r="AH349" s="527">
        <f t="shared" si="503"/>
        <v>7257.0030087419336</v>
      </c>
      <c r="AI349" s="527">
        <f t="shared" si="503"/>
        <v>7257.0030087419336</v>
      </c>
      <c r="AJ349" s="527">
        <f t="shared" si="503"/>
        <v>7257.0030087419336</v>
      </c>
      <c r="AK349" s="527">
        <f t="shared" si="503"/>
        <v>7257.0030087419336</v>
      </c>
      <c r="AL349" s="527">
        <f t="shared" si="503"/>
        <v>7257.0030087419336</v>
      </c>
      <c r="AM349" s="527">
        <f t="shared" si="503"/>
        <v>7257.0030087419336</v>
      </c>
      <c r="AN349" s="527">
        <f t="shared" si="503"/>
        <v>7257.0030087419336</v>
      </c>
      <c r="AO349" s="527">
        <f t="shared" si="503"/>
        <v>7257.0030087419336</v>
      </c>
      <c r="AP349" s="527">
        <f t="shared" si="503"/>
        <v>7488.1355722403614</v>
      </c>
      <c r="AQ349" s="527">
        <f t="shared" si="503"/>
        <v>7488.1355722403614</v>
      </c>
      <c r="AR349" s="527">
        <f t="shared" si="503"/>
        <v>7488.1355722403614</v>
      </c>
      <c r="AS349" s="527">
        <f t="shared" si="503"/>
        <v>7488.1355722403614</v>
      </c>
      <c r="AT349" s="527">
        <f t="shared" si="503"/>
        <v>7488.1355722403614</v>
      </c>
      <c r="AU349" s="527">
        <f t="shared" si="503"/>
        <v>7488.1355722403614</v>
      </c>
      <c r="AV349" s="527">
        <f t="shared" si="503"/>
        <v>7488.1355722403614</v>
      </c>
      <c r="AW349" s="527">
        <f t="shared" si="503"/>
        <v>7488.1355722403614</v>
      </c>
      <c r="AX349" s="527">
        <f t="shared" ref="AX349:BY349" si="504">AX$598*$R158</f>
        <v>7488.1355722403614</v>
      </c>
      <c r="AY349" s="527">
        <f t="shared" si="504"/>
        <v>7488.1355722403614</v>
      </c>
      <c r="AZ349" s="527">
        <f t="shared" si="504"/>
        <v>7488.1355722403614</v>
      </c>
      <c r="BA349" s="527">
        <f t="shared" si="504"/>
        <v>7488.1355722403614</v>
      </c>
      <c r="BB349" s="527">
        <f t="shared" si="504"/>
        <v>7681.1017486210058</v>
      </c>
      <c r="BC349" s="527">
        <f t="shared" si="504"/>
        <v>7681.1017486210058</v>
      </c>
      <c r="BD349" s="527">
        <f t="shared" si="504"/>
        <v>7681.1017486210058</v>
      </c>
      <c r="BE349" s="527">
        <f t="shared" si="504"/>
        <v>7681.1017486210058</v>
      </c>
      <c r="BF349" s="527">
        <f t="shared" si="504"/>
        <v>7681.1017486210058</v>
      </c>
      <c r="BG349" s="527">
        <f t="shared" si="504"/>
        <v>7681.1017486210058</v>
      </c>
      <c r="BH349" s="527">
        <f t="shared" si="504"/>
        <v>7681.1017486210058</v>
      </c>
      <c r="BI349" s="527">
        <f t="shared" si="504"/>
        <v>7681.1017486210058</v>
      </c>
      <c r="BJ349" s="527">
        <f t="shared" si="504"/>
        <v>7681.1017486210058</v>
      </c>
      <c r="BK349" s="527">
        <f t="shared" si="504"/>
        <v>7681.1017486210058</v>
      </c>
      <c r="BL349" s="527">
        <f t="shared" si="504"/>
        <v>7681.1017486210058</v>
      </c>
      <c r="BM349" s="527">
        <f t="shared" si="504"/>
        <v>7681.1017486210058</v>
      </c>
      <c r="BN349" s="527">
        <f t="shared" si="504"/>
        <v>7847.1903169520101</v>
      </c>
      <c r="BO349" s="527">
        <f t="shared" si="504"/>
        <v>7847.1903169520101</v>
      </c>
      <c r="BP349" s="527">
        <f t="shared" si="504"/>
        <v>7847.1903169520101</v>
      </c>
      <c r="BQ349" s="527">
        <f t="shared" si="504"/>
        <v>7847.1903169520101</v>
      </c>
      <c r="BR349" s="527">
        <f t="shared" si="504"/>
        <v>7847.1903169520101</v>
      </c>
      <c r="BS349" s="527">
        <f t="shared" si="504"/>
        <v>7847.1903169520101</v>
      </c>
      <c r="BT349" s="527">
        <f t="shared" si="504"/>
        <v>7847.1903169520101</v>
      </c>
      <c r="BU349" s="527">
        <f t="shared" si="504"/>
        <v>7847.1903169520101</v>
      </c>
      <c r="BV349" s="527">
        <f t="shared" si="504"/>
        <v>7847.1903169520101</v>
      </c>
      <c r="BW349" s="527">
        <f t="shared" si="504"/>
        <v>7847.1903169520101</v>
      </c>
      <c r="BX349" s="527">
        <f t="shared" si="504"/>
        <v>7847.1903169520101</v>
      </c>
      <c r="BY349" s="527">
        <f t="shared" si="504"/>
        <v>7847.1903169520101</v>
      </c>
    </row>
    <row r="350" spans="1:77" x14ac:dyDescent="0.3">
      <c r="A350" s="551"/>
      <c r="B350" s="548"/>
      <c r="C350" s="525"/>
      <c r="D350" s="525"/>
      <c r="E350" s="633" t="str">
        <f>"Tie release fees: "&amp;E$159</f>
        <v>Tie release fees: FY31 Tranche</v>
      </c>
      <c r="F350" s="525"/>
      <c r="G350" s="525"/>
      <c r="H350" s="525"/>
      <c r="I350" s="525"/>
      <c r="J350" s="525"/>
      <c r="K350" s="525"/>
      <c r="L350" s="525"/>
      <c r="M350" s="525"/>
      <c r="N350" s="525"/>
      <c r="O350" s="525"/>
      <c r="P350" s="565"/>
      <c r="Q350" s="525"/>
      <c r="R350" s="527">
        <f t="shared" ref="R350:AW350" si="505">R$598*$R159</f>
        <v>7023.8291983864065</v>
      </c>
      <c r="S350" s="527">
        <f t="shared" si="505"/>
        <v>7023.8291983864065</v>
      </c>
      <c r="T350" s="527">
        <f t="shared" si="505"/>
        <v>7023.8291983864065</v>
      </c>
      <c r="U350" s="527">
        <f t="shared" si="505"/>
        <v>7023.8291983864065</v>
      </c>
      <c r="V350" s="527">
        <f t="shared" si="505"/>
        <v>7023.8291983864065</v>
      </c>
      <c r="W350" s="527">
        <f t="shared" si="505"/>
        <v>7023.8291983864065</v>
      </c>
      <c r="X350" s="527">
        <f t="shared" si="505"/>
        <v>7023.8291983864065</v>
      </c>
      <c r="Y350" s="527">
        <f t="shared" si="505"/>
        <v>7023.8291983864065</v>
      </c>
      <c r="Z350" s="527">
        <f t="shared" si="505"/>
        <v>7023.8291983864065</v>
      </c>
      <c r="AA350" s="527">
        <f t="shared" si="505"/>
        <v>7023.8291983864065</v>
      </c>
      <c r="AB350" s="527">
        <f t="shared" si="505"/>
        <v>7023.8291983864065</v>
      </c>
      <c r="AC350" s="527">
        <f t="shared" si="505"/>
        <v>7023.8291983864065</v>
      </c>
      <c r="AD350" s="527">
        <f t="shared" si="505"/>
        <v>7257.0030087419336</v>
      </c>
      <c r="AE350" s="527">
        <f t="shared" si="505"/>
        <v>7257.0030087419336</v>
      </c>
      <c r="AF350" s="527">
        <f t="shared" si="505"/>
        <v>7257.0030087419336</v>
      </c>
      <c r="AG350" s="527">
        <f t="shared" si="505"/>
        <v>7257.0030087419336</v>
      </c>
      <c r="AH350" s="527">
        <f t="shared" si="505"/>
        <v>7257.0030087419336</v>
      </c>
      <c r="AI350" s="527">
        <f t="shared" si="505"/>
        <v>7257.0030087419336</v>
      </c>
      <c r="AJ350" s="527">
        <f t="shared" si="505"/>
        <v>7257.0030087419336</v>
      </c>
      <c r="AK350" s="527">
        <f t="shared" si="505"/>
        <v>7257.0030087419336</v>
      </c>
      <c r="AL350" s="527">
        <f t="shared" si="505"/>
        <v>7257.0030087419336</v>
      </c>
      <c r="AM350" s="527">
        <f t="shared" si="505"/>
        <v>7257.0030087419336</v>
      </c>
      <c r="AN350" s="527">
        <f t="shared" si="505"/>
        <v>7257.0030087419336</v>
      </c>
      <c r="AO350" s="527">
        <f t="shared" si="505"/>
        <v>7257.0030087419336</v>
      </c>
      <c r="AP350" s="527">
        <f t="shared" si="505"/>
        <v>7488.1355722403614</v>
      </c>
      <c r="AQ350" s="527">
        <f t="shared" si="505"/>
        <v>7488.1355722403614</v>
      </c>
      <c r="AR350" s="527">
        <f t="shared" si="505"/>
        <v>7488.1355722403614</v>
      </c>
      <c r="AS350" s="527">
        <f t="shared" si="505"/>
        <v>7488.1355722403614</v>
      </c>
      <c r="AT350" s="527">
        <f t="shared" si="505"/>
        <v>7488.1355722403614</v>
      </c>
      <c r="AU350" s="527">
        <f t="shared" si="505"/>
        <v>7488.1355722403614</v>
      </c>
      <c r="AV350" s="527">
        <f t="shared" si="505"/>
        <v>7488.1355722403614</v>
      </c>
      <c r="AW350" s="527">
        <f t="shared" si="505"/>
        <v>7488.1355722403614</v>
      </c>
      <c r="AX350" s="527">
        <f t="shared" ref="AX350:BY350" si="506">AX$598*$R159</f>
        <v>7488.1355722403614</v>
      </c>
      <c r="AY350" s="527">
        <f t="shared" si="506"/>
        <v>7488.1355722403614</v>
      </c>
      <c r="AZ350" s="527">
        <f t="shared" si="506"/>
        <v>7488.1355722403614</v>
      </c>
      <c r="BA350" s="527">
        <f t="shared" si="506"/>
        <v>7488.1355722403614</v>
      </c>
      <c r="BB350" s="527">
        <f t="shared" si="506"/>
        <v>7681.1017486210058</v>
      </c>
      <c r="BC350" s="527">
        <f t="shared" si="506"/>
        <v>7681.1017486210058</v>
      </c>
      <c r="BD350" s="527">
        <f t="shared" si="506"/>
        <v>7681.1017486210058</v>
      </c>
      <c r="BE350" s="527">
        <f t="shared" si="506"/>
        <v>7681.1017486210058</v>
      </c>
      <c r="BF350" s="527">
        <f t="shared" si="506"/>
        <v>7681.1017486210058</v>
      </c>
      <c r="BG350" s="527">
        <f t="shared" si="506"/>
        <v>7681.1017486210058</v>
      </c>
      <c r="BH350" s="527">
        <f t="shared" si="506"/>
        <v>7681.1017486210058</v>
      </c>
      <c r="BI350" s="527">
        <f t="shared" si="506"/>
        <v>7681.1017486210058</v>
      </c>
      <c r="BJ350" s="527">
        <f t="shared" si="506"/>
        <v>7681.1017486210058</v>
      </c>
      <c r="BK350" s="527">
        <f t="shared" si="506"/>
        <v>7681.1017486210058</v>
      </c>
      <c r="BL350" s="527">
        <f t="shared" si="506"/>
        <v>7681.1017486210058</v>
      </c>
      <c r="BM350" s="527">
        <f t="shared" si="506"/>
        <v>7681.1017486210058</v>
      </c>
      <c r="BN350" s="527">
        <f t="shared" si="506"/>
        <v>7847.1903169520101</v>
      </c>
      <c r="BO350" s="527">
        <f t="shared" si="506"/>
        <v>7847.1903169520101</v>
      </c>
      <c r="BP350" s="527">
        <f t="shared" si="506"/>
        <v>7847.1903169520101</v>
      </c>
      <c r="BQ350" s="527">
        <f t="shared" si="506"/>
        <v>7847.1903169520101</v>
      </c>
      <c r="BR350" s="527">
        <f t="shared" si="506"/>
        <v>7847.1903169520101</v>
      </c>
      <c r="BS350" s="527">
        <f t="shared" si="506"/>
        <v>7847.1903169520101</v>
      </c>
      <c r="BT350" s="527">
        <f t="shared" si="506"/>
        <v>7847.1903169520101</v>
      </c>
      <c r="BU350" s="527">
        <f t="shared" si="506"/>
        <v>7847.1903169520101</v>
      </c>
      <c r="BV350" s="527">
        <f t="shared" si="506"/>
        <v>7847.1903169520101</v>
      </c>
      <c r="BW350" s="527">
        <f t="shared" si="506"/>
        <v>7847.1903169520101</v>
      </c>
      <c r="BX350" s="527">
        <f t="shared" si="506"/>
        <v>7847.1903169520101</v>
      </c>
      <c r="BY350" s="527">
        <f t="shared" si="506"/>
        <v>7847.1903169520101</v>
      </c>
    </row>
    <row r="351" spans="1:77" x14ac:dyDescent="0.3">
      <c r="A351" s="551"/>
      <c r="B351" s="548"/>
      <c r="C351" s="525"/>
      <c r="D351" s="525"/>
      <c r="E351" s="633" t="str">
        <f>"Tie release fees: "&amp;E$160</f>
        <v>Tie release fees: Uninvested Tranche</v>
      </c>
      <c r="F351" s="525"/>
      <c r="G351" s="525"/>
      <c r="H351" s="525"/>
      <c r="I351" s="525"/>
      <c r="J351" s="525"/>
      <c r="K351" s="525"/>
      <c r="L351" s="525"/>
      <c r="M351" s="525"/>
      <c r="N351" s="525"/>
      <c r="O351" s="525"/>
      <c r="P351" s="565"/>
      <c r="Q351" s="525"/>
      <c r="R351" s="527">
        <f t="shared" ref="R351:AW351" si="507">R$598*$R160</f>
        <v>15700.32409051079</v>
      </c>
      <c r="S351" s="527">
        <f t="shared" si="507"/>
        <v>15700.32409051079</v>
      </c>
      <c r="T351" s="527">
        <f t="shared" si="507"/>
        <v>15700.32409051079</v>
      </c>
      <c r="U351" s="527">
        <f t="shared" si="507"/>
        <v>15700.32409051079</v>
      </c>
      <c r="V351" s="527">
        <f t="shared" si="507"/>
        <v>15700.32409051079</v>
      </c>
      <c r="W351" s="527">
        <f t="shared" si="507"/>
        <v>15700.32409051079</v>
      </c>
      <c r="X351" s="527">
        <f t="shared" si="507"/>
        <v>15700.32409051079</v>
      </c>
      <c r="Y351" s="527">
        <f t="shared" si="507"/>
        <v>15700.32409051079</v>
      </c>
      <c r="Z351" s="527">
        <f t="shared" si="507"/>
        <v>15700.32409051079</v>
      </c>
      <c r="AA351" s="527">
        <f t="shared" si="507"/>
        <v>15700.32409051079</v>
      </c>
      <c r="AB351" s="527">
        <f t="shared" si="507"/>
        <v>15700.32409051079</v>
      </c>
      <c r="AC351" s="527">
        <f t="shared" si="507"/>
        <v>15700.32409051079</v>
      </c>
      <c r="AD351" s="527">
        <f t="shared" si="507"/>
        <v>16221.536137187852</v>
      </c>
      <c r="AE351" s="527">
        <f t="shared" si="507"/>
        <v>16221.536137187852</v>
      </c>
      <c r="AF351" s="527">
        <f t="shared" si="507"/>
        <v>16221.536137187852</v>
      </c>
      <c r="AG351" s="527">
        <f t="shared" si="507"/>
        <v>16221.536137187852</v>
      </c>
      <c r="AH351" s="527">
        <f t="shared" si="507"/>
        <v>16221.536137187852</v>
      </c>
      <c r="AI351" s="527">
        <f t="shared" si="507"/>
        <v>16221.536137187852</v>
      </c>
      <c r="AJ351" s="527">
        <f t="shared" si="507"/>
        <v>16221.536137187852</v>
      </c>
      <c r="AK351" s="527">
        <f t="shared" si="507"/>
        <v>16221.536137187852</v>
      </c>
      <c r="AL351" s="527">
        <f t="shared" si="507"/>
        <v>16221.536137187852</v>
      </c>
      <c r="AM351" s="527">
        <f t="shared" si="507"/>
        <v>16221.536137187852</v>
      </c>
      <c r="AN351" s="527">
        <f t="shared" si="507"/>
        <v>16221.536137187852</v>
      </c>
      <c r="AO351" s="527">
        <f t="shared" si="507"/>
        <v>16221.536137187852</v>
      </c>
      <c r="AP351" s="527">
        <f t="shared" si="507"/>
        <v>16738.185396772573</v>
      </c>
      <c r="AQ351" s="527">
        <f t="shared" si="507"/>
        <v>16738.185396772573</v>
      </c>
      <c r="AR351" s="527">
        <f t="shared" si="507"/>
        <v>16738.185396772573</v>
      </c>
      <c r="AS351" s="527">
        <f t="shared" si="507"/>
        <v>16738.185396772573</v>
      </c>
      <c r="AT351" s="527">
        <f t="shared" si="507"/>
        <v>16738.185396772573</v>
      </c>
      <c r="AU351" s="527">
        <f t="shared" si="507"/>
        <v>16738.185396772573</v>
      </c>
      <c r="AV351" s="527">
        <f t="shared" si="507"/>
        <v>16738.185396772573</v>
      </c>
      <c r="AW351" s="527">
        <f t="shared" si="507"/>
        <v>16738.185396772573</v>
      </c>
      <c r="AX351" s="527">
        <f t="shared" ref="AX351:BY351" si="508">AX$598*$R160</f>
        <v>16738.185396772573</v>
      </c>
      <c r="AY351" s="527">
        <f t="shared" si="508"/>
        <v>16738.185396772573</v>
      </c>
      <c r="AZ351" s="527">
        <f t="shared" si="508"/>
        <v>16738.185396772573</v>
      </c>
      <c r="BA351" s="527">
        <f t="shared" si="508"/>
        <v>16738.185396772573</v>
      </c>
      <c r="BB351" s="527">
        <f t="shared" si="508"/>
        <v>17169.521555741074</v>
      </c>
      <c r="BC351" s="527">
        <f t="shared" si="508"/>
        <v>17169.521555741074</v>
      </c>
      <c r="BD351" s="527">
        <f t="shared" si="508"/>
        <v>17169.521555741074</v>
      </c>
      <c r="BE351" s="527">
        <f t="shared" si="508"/>
        <v>17169.521555741074</v>
      </c>
      <c r="BF351" s="527">
        <f t="shared" si="508"/>
        <v>17169.521555741074</v>
      </c>
      <c r="BG351" s="527">
        <f t="shared" si="508"/>
        <v>17169.521555741074</v>
      </c>
      <c r="BH351" s="527">
        <f t="shared" si="508"/>
        <v>17169.521555741074</v>
      </c>
      <c r="BI351" s="527">
        <f t="shared" si="508"/>
        <v>17169.521555741074</v>
      </c>
      <c r="BJ351" s="527">
        <f t="shared" si="508"/>
        <v>17169.521555741074</v>
      </c>
      <c r="BK351" s="527">
        <f t="shared" si="508"/>
        <v>17169.521555741074</v>
      </c>
      <c r="BL351" s="527">
        <f t="shared" si="508"/>
        <v>17169.521555741074</v>
      </c>
      <c r="BM351" s="527">
        <f t="shared" si="508"/>
        <v>17169.521555741074</v>
      </c>
      <c r="BN351" s="527">
        <f t="shared" si="508"/>
        <v>17540.778355539787</v>
      </c>
      <c r="BO351" s="527">
        <f t="shared" si="508"/>
        <v>17540.778355539787</v>
      </c>
      <c r="BP351" s="527">
        <f t="shared" si="508"/>
        <v>17540.778355539787</v>
      </c>
      <c r="BQ351" s="527">
        <f t="shared" si="508"/>
        <v>17540.778355539787</v>
      </c>
      <c r="BR351" s="527">
        <f t="shared" si="508"/>
        <v>17540.778355539787</v>
      </c>
      <c r="BS351" s="527">
        <f t="shared" si="508"/>
        <v>17540.778355539787</v>
      </c>
      <c r="BT351" s="527">
        <f t="shared" si="508"/>
        <v>17540.778355539787</v>
      </c>
      <c r="BU351" s="527">
        <f t="shared" si="508"/>
        <v>17540.778355539787</v>
      </c>
      <c r="BV351" s="527">
        <f t="shared" si="508"/>
        <v>17540.778355539787</v>
      </c>
      <c r="BW351" s="527">
        <f t="shared" si="508"/>
        <v>17540.778355539787</v>
      </c>
      <c r="BX351" s="527">
        <f t="shared" si="508"/>
        <v>17540.778355539787</v>
      </c>
      <c r="BY351" s="527">
        <f t="shared" si="508"/>
        <v>17540.778355539787</v>
      </c>
    </row>
    <row r="352" spans="1:77" x14ac:dyDescent="0.3">
      <c r="A352" s="551"/>
      <c r="B352" s="548"/>
      <c r="C352" s="525"/>
      <c r="D352" s="525"/>
      <c r="E352" s="572" t="s">
        <v>36</v>
      </c>
      <c r="F352" s="572"/>
      <c r="G352" s="572"/>
      <c r="H352" s="572"/>
      <c r="I352" s="572"/>
      <c r="J352" s="572"/>
      <c r="K352" s="572"/>
      <c r="L352" s="572"/>
      <c r="M352" s="572"/>
      <c r="N352" s="572"/>
      <c r="O352" s="572"/>
      <c r="P352" s="612"/>
      <c r="Q352" s="572"/>
      <c r="R352" s="530">
        <f t="shared" ref="R352:AW352" si="509">SUM(R346:R351)</f>
        <v>50819.470082442822</v>
      </c>
      <c r="S352" s="530">
        <f t="shared" si="509"/>
        <v>50819.470082442822</v>
      </c>
      <c r="T352" s="530">
        <f t="shared" si="509"/>
        <v>50819.470082442822</v>
      </c>
      <c r="U352" s="530">
        <f t="shared" si="509"/>
        <v>50819.470082442822</v>
      </c>
      <c r="V352" s="530">
        <f t="shared" si="509"/>
        <v>50819.470082442822</v>
      </c>
      <c r="W352" s="530">
        <f t="shared" si="509"/>
        <v>50819.470082442822</v>
      </c>
      <c r="X352" s="530">
        <f t="shared" si="509"/>
        <v>50819.470082442822</v>
      </c>
      <c r="Y352" s="530">
        <f t="shared" si="509"/>
        <v>50819.470082442822</v>
      </c>
      <c r="Z352" s="530">
        <f t="shared" si="509"/>
        <v>50819.470082442822</v>
      </c>
      <c r="AA352" s="530">
        <f t="shared" si="509"/>
        <v>50819.470082442822</v>
      </c>
      <c r="AB352" s="530">
        <f t="shared" si="509"/>
        <v>50819.470082442822</v>
      </c>
      <c r="AC352" s="530">
        <f t="shared" si="509"/>
        <v>50819.470082442822</v>
      </c>
      <c r="AD352" s="530">
        <f t="shared" si="509"/>
        <v>52506.551180897521</v>
      </c>
      <c r="AE352" s="530">
        <f t="shared" si="509"/>
        <v>52506.551180897521</v>
      </c>
      <c r="AF352" s="530">
        <f t="shared" si="509"/>
        <v>52506.551180897521</v>
      </c>
      <c r="AG352" s="530">
        <f t="shared" si="509"/>
        <v>52506.551180897521</v>
      </c>
      <c r="AH352" s="530">
        <f t="shared" si="509"/>
        <v>52506.551180897521</v>
      </c>
      <c r="AI352" s="530">
        <f t="shared" si="509"/>
        <v>52506.551180897521</v>
      </c>
      <c r="AJ352" s="530">
        <f t="shared" si="509"/>
        <v>52506.551180897521</v>
      </c>
      <c r="AK352" s="530">
        <f t="shared" si="509"/>
        <v>52506.551180897521</v>
      </c>
      <c r="AL352" s="530">
        <f t="shared" si="509"/>
        <v>52506.551180897521</v>
      </c>
      <c r="AM352" s="530">
        <f t="shared" si="509"/>
        <v>52506.551180897521</v>
      </c>
      <c r="AN352" s="530">
        <f t="shared" si="509"/>
        <v>52506.551180897521</v>
      </c>
      <c r="AO352" s="530">
        <f t="shared" si="509"/>
        <v>52506.551180897521</v>
      </c>
      <c r="AP352" s="530">
        <f t="shared" si="509"/>
        <v>54178.863257974386</v>
      </c>
      <c r="AQ352" s="530">
        <f t="shared" si="509"/>
        <v>54178.863257974386</v>
      </c>
      <c r="AR352" s="530">
        <f t="shared" si="509"/>
        <v>54178.863257974386</v>
      </c>
      <c r="AS352" s="530">
        <f t="shared" si="509"/>
        <v>54178.863257974386</v>
      </c>
      <c r="AT352" s="530">
        <f t="shared" si="509"/>
        <v>54178.863257974386</v>
      </c>
      <c r="AU352" s="530">
        <f t="shared" si="509"/>
        <v>54178.863257974386</v>
      </c>
      <c r="AV352" s="530">
        <f t="shared" si="509"/>
        <v>54178.863257974386</v>
      </c>
      <c r="AW352" s="530">
        <f t="shared" si="509"/>
        <v>54178.863257974386</v>
      </c>
      <c r="AX352" s="530">
        <f t="shared" ref="AX352:BY352" si="510">SUM(AX346:AX351)</f>
        <v>54178.863257974386</v>
      </c>
      <c r="AY352" s="530">
        <f t="shared" si="510"/>
        <v>54178.863257974386</v>
      </c>
      <c r="AZ352" s="530">
        <f t="shared" si="510"/>
        <v>54178.863257974386</v>
      </c>
      <c r="BA352" s="530">
        <f t="shared" si="510"/>
        <v>54178.863257974386</v>
      </c>
      <c r="BB352" s="530">
        <f t="shared" si="510"/>
        <v>55575.030298846104</v>
      </c>
      <c r="BC352" s="530">
        <f t="shared" si="510"/>
        <v>55575.030298846104</v>
      </c>
      <c r="BD352" s="530">
        <f t="shared" si="510"/>
        <v>55575.030298846104</v>
      </c>
      <c r="BE352" s="530">
        <f t="shared" si="510"/>
        <v>55575.030298846104</v>
      </c>
      <c r="BF352" s="530">
        <f t="shared" si="510"/>
        <v>55575.030298846104</v>
      </c>
      <c r="BG352" s="530">
        <f t="shared" si="510"/>
        <v>55575.030298846104</v>
      </c>
      <c r="BH352" s="530">
        <f t="shared" si="510"/>
        <v>55575.030298846104</v>
      </c>
      <c r="BI352" s="530">
        <f t="shared" si="510"/>
        <v>55575.030298846104</v>
      </c>
      <c r="BJ352" s="530">
        <f t="shared" si="510"/>
        <v>55575.030298846104</v>
      </c>
      <c r="BK352" s="530">
        <f t="shared" si="510"/>
        <v>55575.030298846104</v>
      </c>
      <c r="BL352" s="530">
        <f t="shared" si="510"/>
        <v>55575.030298846104</v>
      </c>
      <c r="BM352" s="530">
        <f t="shared" si="510"/>
        <v>55575.030298846104</v>
      </c>
      <c r="BN352" s="530">
        <f t="shared" si="510"/>
        <v>56776.729940299832</v>
      </c>
      <c r="BO352" s="530">
        <f t="shared" si="510"/>
        <v>56776.729940299832</v>
      </c>
      <c r="BP352" s="530">
        <f t="shared" si="510"/>
        <v>56776.729940299832</v>
      </c>
      <c r="BQ352" s="530">
        <f t="shared" si="510"/>
        <v>56776.729940299832</v>
      </c>
      <c r="BR352" s="530">
        <f t="shared" si="510"/>
        <v>56776.729940299832</v>
      </c>
      <c r="BS352" s="530">
        <f t="shared" si="510"/>
        <v>56776.729940299832</v>
      </c>
      <c r="BT352" s="530">
        <f t="shared" si="510"/>
        <v>56776.729940299832</v>
      </c>
      <c r="BU352" s="530">
        <f t="shared" si="510"/>
        <v>56776.729940299832</v>
      </c>
      <c r="BV352" s="530">
        <f t="shared" si="510"/>
        <v>56776.729940299832</v>
      </c>
      <c r="BW352" s="530">
        <f t="shared" si="510"/>
        <v>56776.729940299832</v>
      </c>
      <c r="BX352" s="530">
        <f t="shared" si="510"/>
        <v>56776.729940299832</v>
      </c>
      <c r="BY352" s="530">
        <f t="shared" si="510"/>
        <v>56776.729940299832</v>
      </c>
    </row>
    <row r="353" spans="1:77" x14ac:dyDescent="0.3">
      <c r="A353" s="551"/>
      <c r="B353" s="548"/>
      <c r="C353" s="525"/>
      <c r="D353" s="525"/>
      <c r="E353" s="525"/>
      <c r="F353" s="525"/>
      <c r="G353" s="525"/>
      <c r="H353" s="525"/>
      <c r="I353" s="525"/>
      <c r="J353" s="525"/>
      <c r="K353" s="525"/>
      <c r="L353" s="525"/>
      <c r="M353" s="525"/>
      <c r="N353" s="525"/>
      <c r="O353" s="525"/>
      <c r="P353" s="565"/>
      <c r="Q353" s="525"/>
      <c r="R353" s="634"/>
      <c r="S353" s="525"/>
      <c r="T353" s="525"/>
      <c r="U353" s="525"/>
      <c r="V353" s="525"/>
      <c r="W353" s="525"/>
      <c r="X353" s="525"/>
      <c r="Y353" s="525"/>
      <c r="Z353" s="525"/>
      <c r="AA353" s="525"/>
      <c r="AB353" s="525"/>
      <c r="AC353" s="525"/>
      <c r="AD353" s="525"/>
      <c r="AE353" s="525"/>
      <c r="AF353" s="525"/>
      <c r="AG353" s="525"/>
      <c r="AH353" s="525"/>
      <c r="AI353" s="525"/>
      <c r="AJ353" s="525"/>
      <c r="AK353" s="525"/>
      <c r="AL353" s="525"/>
      <c r="AM353" s="525"/>
      <c r="AN353" s="525"/>
      <c r="AO353" s="525"/>
      <c r="AP353" s="525"/>
      <c r="AQ353" s="525"/>
      <c r="AR353" s="525"/>
      <c r="AS353" s="525"/>
      <c r="AT353" s="525"/>
      <c r="AU353" s="525"/>
      <c r="AV353" s="525"/>
      <c r="AW353" s="525"/>
      <c r="AX353" s="525"/>
      <c r="AY353" s="525"/>
      <c r="AZ353" s="525"/>
      <c r="BA353" s="525"/>
      <c r="BB353" s="525"/>
      <c r="BC353" s="525"/>
      <c r="BD353" s="525"/>
      <c r="BE353" s="525"/>
      <c r="BF353" s="525"/>
      <c r="BG353" s="525"/>
      <c r="BH353" s="525"/>
      <c r="BI353" s="525"/>
      <c r="BJ353" s="525"/>
      <c r="BK353" s="525"/>
      <c r="BL353" s="525"/>
      <c r="BM353" s="525"/>
      <c r="BN353" s="525"/>
      <c r="BO353" s="525"/>
      <c r="BP353" s="525"/>
      <c r="BQ353" s="525"/>
      <c r="BR353" s="525"/>
      <c r="BS353" s="525"/>
      <c r="BT353" s="525"/>
      <c r="BU353" s="525"/>
      <c r="BV353" s="525"/>
      <c r="BW353" s="525"/>
      <c r="BX353" s="525"/>
      <c r="BY353" s="525"/>
    </row>
    <row r="354" spans="1:77" x14ac:dyDescent="0.3">
      <c r="A354" s="551"/>
      <c r="B354" s="548"/>
      <c r="C354" s="584" t="s">
        <v>37</v>
      </c>
      <c r="D354" s="525"/>
      <c r="E354" s="538" t="s">
        <v>27</v>
      </c>
      <c r="F354" s="538"/>
      <c r="G354" s="538"/>
      <c r="H354" s="538"/>
      <c r="I354" s="538"/>
      <c r="J354" s="538"/>
      <c r="K354" s="538"/>
      <c r="L354" s="538"/>
      <c r="M354" s="538"/>
      <c r="N354" s="538"/>
      <c r="O354" s="538"/>
      <c r="P354" s="584"/>
      <c r="Q354" s="538"/>
      <c r="R354" s="538"/>
      <c r="S354" s="538"/>
      <c r="T354" s="538"/>
      <c r="U354" s="538"/>
      <c r="V354" s="538"/>
      <c r="W354" s="538"/>
      <c r="X354" s="538"/>
      <c r="Y354" s="538"/>
      <c r="Z354" s="538"/>
      <c r="AA354" s="538"/>
      <c r="AB354" s="538"/>
      <c r="AC354" s="538"/>
      <c r="AD354" s="538"/>
      <c r="AE354" s="538"/>
      <c r="AF354" s="538"/>
      <c r="AG354" s="538"/>
      <c r="AH354" s="538"/>
      <c r="AI354" s="538"/>
      <c r="AJ354" s="538"/>
      <c r="AK354" s="538"/>
      <c r="AL354" s="538"/>
      <c r="AM354" s="538"/>
      <c r="AN354" s="538"/>
      <c r="AO354" s="538"/>
      <c r="AP354" s="538"/>
      <c r="AQ354" s="538"/>
      <c r="AR354" s="538"/>
      <c r="AS354" s="538"/>
      <c r="AT354" s="538"/>
      <c r="AU354" s="538"/>
      <c r="AV354" s="538"/>
      <c r="AW354" s="538"/>
      <c r="AX354" s="538"/>
      <c r="AY354" s="538"/>
      <c r="AZ354" s="538"/>
      <c r="BA354" s="538"/>
      <c r="BB354" s="538"/>
      <c r="BC354" s="538"/>
      <c r="BD354" s="538"/>
      <c r="BE354" s="538"/>
      <c r="BF354" s="538"/>
      <c r="BG354" s="538"/>
      <c r="BH354" s="538"/>
      <c r="BI354" s="538"/>
      <c r="BJ354" s="538"/>
      <c r="BK354" s="538"/>
      <c r="BL354" s="538"/>
      <c r="BM354" s="538"/>
      <c r="BN354" s="538"/>
      <c r="BO354" s="538"/>
      <c r="BP354" s="538"/>
      <c r="BQ354" s="538"/>
      <c r="BR354" s="538"/>
      <c r="BS354" s="538"/>
      <c r="BT354" s="538"/>
      <c r="BU354" s="538"/>
      <c r="BV354" s="538"/>
      <c r="BW354" s="538"/>
      <c r="BX354" s="538"/>
      <c r="BY354" s="538"/>
    </row>
    <row r="355" spans="1:77" x14ac:dyDescent="0.3">
      <c r="A355" s="551"/>
      <c r="B355" s="548"/>
      <c r="C355" s="525"/>
      <c r="D355" s="525"/>
      <c r="E355" s="525"/>
      <c r="F355" s="525"/>
      <c r="G355" s="525"/>
      <c r="H355" s="525"/>
      <c r="I355" s="525"/>
      <c r="J355" s="525"/>
      <c r="K355" s="525"/>
      <c r="L355" s="525"/>
      <c r="M355" s="525"/>
      <c r="N355" s="525"/>
      <c r="O355" s="525"/>
      <c r="P355" s="565"/>
      <c r="Q355" s="525"/>
      <c r="R355" s="525"/>
      <c r="S355" s="525"/>
      <c r="T355" s="525"/>
      <c r="U355" s="525"/>
      <c r="V355" s="525"/>
      <c r="W355" s="525"/>
      <c r="X355" s="525"/>
      <c r="Y355" s="525"/>
      <c r="Z355" s="525"/>
      <c r="AA355" s="525"/>
      <c r="AB355" s="525"/>
      <c r="AC355" s="525"/>
      <c r="AD355" s="525"/>
      <c r="AE355" s="525"/>
      <c r="AF355" s="525"/>
      <c r="AG355" s="525"/>
      <c r="AH355" s="525"/>
      <c r="AI355" s="525"/>
      <c r="AJ355" s="525"/>
      <c r="AK355" s="525"/>
      <c r="AL355" s="525"/>
      <c r="AM355" s="525"/>
      <c r="AN355" s="525"/>
      <c r="AO355" s="525"/>
      <c r="AP355" s="525"/>
      <c r="AQ355" s="525"/>
      <c r="AR355" s="525"/>
      <c r="AS355" s="525"/>
      <c r="AT355" s="525"/>
      <c r="AU355" s="525"/>
      <c r="AV355" s="525"/>
      <c r="AW355" s="525"/>
      <c r="AX355" s="525"/>
      <c r="AY355" s="525"/>
      <c r="AZ355" s="525"/>
      <c r="BA355" s="525"/>
      <c r="BB355" s="525"/>
      <c r="BC355" s="525"/>
      <c r="BD355" s="525"/>
      <c r="BE355" s="525"/>
      <c r="BF355" s="525"/>
      <c r="BG355" s="525"/>
      <c r="BH355" s="525"/>
      <c r="BI355" s="525"/>
      <c r="BJ355" s="525"/>
      <c r="BK355" s="525"/>
      <c r="BL355" s="525"/>
      <c r="BM355" s="525"/>
      <c r="BN355" s="525"/>
      <c r="BO355" s="525"/>
      <c r="BP355" s="525"/>
      <c r="BQ355" s="525"/>
      <c r="BR355" s="525"/>
      <c r="BS355" s="525"/>
      <c r="BT355" s="525"/>
      <c r="BU355" s="525"/>
      <c r="BV355" s="525"/>
      <c r="BW355" s="525"/>
      <c r="BX355" s="525"/>
      <c r="BY355" s="525"/>
    </row>
    <row r="356" spans="1:77" x14ac:dyDescent="0.3">
      <c r="A356" s="551"/>
      <c r="B356" s="548"/>
      <c r="C356" s="525"/>
      <c r="D356" s="525"/>
      <c r="E356" s="614" t="s">
        <v>110</v>
      </c>
      <c r="F356" s="539"/>
      <c r="G356" s="539"/>
      <c r="H356" s="539"/>
      <c r="I356" s="539"/>
      <c r="J356" s="539"/>
      <c r="K356" s="539"/>
      <c r="L356" s="539"/>
      <c r="M356" s="539"/>
      <c r="N356" s="539"/>
      <c r="O356" s="539"/>
      <c r="P356" s="615"/>
      <c r="Q356" s="539"/>
      <c r="R356" s="539"/>
      <c r="S356" s="539"/>
      <c r="T356" s="539"/>
      <c r="U356" s="539"/>
      <c r="V356" s="539"/>
      <c r="W356" s="539"/>
      <c r="X356" s="539"/>
      <c r="Y356" s="539"/>
      <c r="Z356" s="539"/>
      <c r="AA356" s="539"/>
      <c r="AB356" s="539"/>
      <c r="AC356" s="539"/>
      <c r="AD356" s="539"/>
      <c r="AE356" s="539"/>
      <c r="AF356" s="539"/>
      <c r="AG356" s="539"/>
      <c r="AH356" s="539"/>
      <c r="AI356" s="539"/>
      <c r="AJ356" s="539"/>
      <c r="AK356" s="539"/>
      <c r="AL356" s="539"/>
      <c r="AM356" s="539"/>
      <c r="AN356" s="539"/>
      <c r="AO356" s="539"/>
      <c r="AP356" s="539"/>
      <c r="AQ356" s="539"/>
      <c r="AR356" s="539"/>
      <c r="AS356" s="539"/>
      <c r="AT356" s="539"/>
      <c r="AU356" s="539"/>
      <c r="AV356" s="539"/>
      <c r="AW356" s="539"/>
      <c r="AX356" s="539"/>
      <c r="AY356" s="539"/>
      <c r="AZ356" s="539"/>
      <c r="BA356" s="539"/>
      <c r="BB356" s="539"/>
      <c r="BC356" s="539"/>
      <c r="BD356" s="539"/>
      <c r="BE356" s="539"/>
      <c r="BF356" s="539"/>
      <c r="BG356" s="539"/>
      <c r="BH356" s="539"/>
      <c r="BI356" s="539"/>
      <c r="BJ356" s="539"/>
      <c r="BK356" s="539"/>
      <c r="BL356" s="539"/>
      <c r="BM356" s="539"/>
      <c r="BN356" s="539"/>
      <c r="BO356" s="539"/>
      <c r="BP356" s="539"/>
      <c r="BQ356" s="539"/>
      <c r="BR356" s="539"/>
      <c r="BS356" s="539"/>
      <c r="BT356" s="539"/>
      <c r="BU356" s="539"/>
      <c r="BV356" s="539"/>
      <c r="BW356" s="539"/>
      <c r="BX356" s="539"/>
      <c r="BY356" s="539"/>
    </row>
    <row r="357" spans="1:77" x14ac:dyDescent="0.3">
      <c r="A357" s="551"/>
      <c r="B357" s="548"/>
      <c r="C357" s="525"/>
      <c r="D357" s="525"/>
      <c r="E357" s="525"/>
      <c r="F357" s="525"/>
      <c r="G357" s="525"/>
      <c r="H357" s="525"/>
      <c r="I357" s="525"/>
      <c r="J357" s="525"/>
      <c r="K357" s="525"/>
      <c r="L357" s="525"/>
      <c r="M357" s="525"/>
      <c r="N357" s="525"/>
      <c r="O357" s="525"/>
      <c r="P357" s="565"/>
      <c r="Q357" s="525"/>
      <c r="R357" s="525"/>
      <c r="S357" s="525"/>
      <c r="T357" s="525"/>
      <c r="U357" s="525"/>
      <c r="V357" s="525"/>
      <c r="W357" s="525"/>
      <c r="X357" s="525"/>
      <c r="Y357" s="525"/>
      <c r="Z357" s="525"/>
      <c r="AA357" s="525"/>
      <c r="AB357" s="525"/>
      <c r="AC357" s="525"/>
      <c r="AD357" s="525"/>
      <c r="AE357" s="525"/>
      <c r="AF357" s="525"/>
      <c r="AG357" s="525"/>
      <c r="AH357" s="525"/>
      <c r="AI357" s="525"/>
      <c r="AJ357" s="525"/>
      <c r="AK357" s="525"/>
      <c r="AL357" s="525"/>
      <c r="AM357" s="525"/>
      <c r="AN357" s="525"/>
      <c r="AO357" s="525"/>
      <c r="AP357" s="525"/>
      <c r="AQ357" s="525"/>
      <c r="AR357" s="525"/>
      <c r="AS357" s="525"/>
      <c r="AT357" s="525"/>
      <c r="AU357" s="525"/>
      <c r="AV357" s="525"/>
      <c r="AW357" s="525"/>
      <c r="AX357" s="525"/>
      <c r="AY357" s="525"/>
      <c r="AZ357" s="525"/>
      <c r="BA357" s="525"/>
      <c r="BB357" s="525"/>
      <c r="BC357" s="525"/>
      <c r="BD357" s="525"/>
      <c r="BE357" s="525"/>
      <c r="BF357" s="525"/>
      <c r="BG357" s="525"/>
      <c r="BH357" s="525"/>
      <c r="BI357" s="525"/>
      <c r="BJ357" s="525"/>
      <c r="BK357" s="525"/>
      <c r="BL357" s="525"/>
      <c r="BM357" s="525"/>
      <c r="BN357" s="525"/>
      <c r="BO357" s="525"/>
      <c r="BP357" s="525"/>
      <c r="BQ357" s="525"/>
      <c r="BR357" s="525"/>
      <c r="BS357" s="525"/>
      <c r="BT357" s="525"/>
      <c r="BU357" s="525"/>
      <c r="BV357" s="525"/>
      <c r="BW357" s="525"/>
      <c r="BX357" s="525"/>
      <c r="BY357" s="525"/>
    </row>
    <row r="358" spans="1:77" x14ac:dyDescent="0.3">
      <c r="A358" s="551"/>
      <c r="B358" s="548"/>
      <c r="C358" s="525"/>
      <c r="D358" s="525"/>
      <c r="E358" s="635" t="str">
        <f>"Other income: "&amp;E$155</f>
        <v>Other income: FY27 Tranche</v>
      </c>
      <c r="F358" s="525"/>
      <c r="G358" s="525"/>
      <c r="H358" s="525"/>
      <c r="I358" s="525"/>
      <c r="J358" s="525"/>
      <c r="K358" s="525"/>
      <c r="L358" s="525"/>
      <c r="M358" s="525"/>
      <c r="N358" s="525"/>
      <c r="O358" s="525"/>
      <c r="P358" s="565"/>
      <c r="Q358" s="525"/>
      <c r="R358" s="527">
        <f t="shared" ref="R358:AW358" si="511">R$602*$R155</f>
        <v>5.9922696476964754</v>
      </c>
      <c r="S358" s="527">
        <f t="shared" si="511"/>
        <v>5.9922696476964754</v>
      </c>
      <c r="T358" s="527">
        <f t="shared" si="511"/>
        <v>5.9922696476964754</v>
      </c>
      <c r="U358" s="527">
        <f t="shared" si="511"/>
        <v>5.9922696476964754</v>
      </c>
      <c r="V358" s="527">
        <f t="shared" si="511"/>
        <v>5.9922696476964754</v>
      </c>
      <c r="W358" s="527">
        <f t="shared" si="511"/>
        <v>5.9922696476964754</v>
      </c>
      <c r="X358" s="527">
        <f t="shared" si="511"/>
        <v>5.9922696476964754</v>
      </c>
      <c r="Y358" s="527">
        <f t="shared" si="511"/>
        <v>5.9922696476964754</v>
      </c>
      <c r="Z358" s="527">
        <f t="shared" si="511"/>
        <v>5.9922696476964754</v>
      </c>
      <c r="AA358" s="527">
        <f t="shared" si="511"/>
        <v>5.9922696476964754</v>
      </c>
      <c r="AB358" s="527">
        <f t="shared" si="511"/>
        <v>5.9922696476964754</v>
      </c>
      <c r="AC358" s="527">
        <f t="shared" si="511"/>
        <v>5.9922696476964754</v>
      </c>
      <c r="AD358" s="527">
        <f t="shared" si="511"/>
        <v>5.9922696476964754</v>
      </c>
      <c r="AE358" s="527">
        <f t="shared" si="511"/>
        <v>5.9922696476964754</v>
      </c>
      <c r="AF358" s="527">
        <f t="shared" si="511"/>
        <v>5.9922696476964754</v>
      </c>
      <c r="AG358" s="527">
        <f t="shared" si="511"/>
        <v>5.9922696476964754</v>
      </c>
      <c r="AH358" s="527">
        <f t="shared" si="511"/>
        <v>5.9922696476964754</v>
      </c>
      <c r="AI358" s="527">
        <f t="shared" si="511"/>
        <v>5.9922696476964754</v>
      </c>
      <c r="AJ358" s="527">
        <f t="shared" si="511"/>
        <v>5.9922696476964754</v>
      </c>
      <c r="AK358" s="527">
        <f t="shared" si="511"/>
        <v>5.9922696476964754</v>
      </c>
      <c r="AL358" s="527">
        <f t="shared" si="511"/>
        <v>5.9922696476964754</v>
      </c>
      <c r="AM358" s="527">
        <f t="shared" si="511"/>
        <v>5.9922696476964754</v>
      </c>
      <c r="AN358" s="527">
        <f t="shared" si="511"/>
        <v>5.9922696476964754</v>
      </c>
      <c r="AO358" s="527">
        <f t="shared" si="511"/>
        <v>5.9922696476964754</v>
      </c>
      <c r="AP358" s="527">
        <f t="shared" si="511"/>
        <v>5.9922696476964754</v>
      </c>
      <c r="AQ358" s="527">
        <f t="shared" si="511"/>
        <v>5.9922696476964754</v>
      </c>
      <c r="AR358" s="527">
        <f t="shared" si="511"/>
        <v>5.9922696476964754</v>
      </c>
      <c r="AS358" s="527">
        <f t="shared" si="511"/>
        <v>5.9922696476964754</v>
      </c>
      <c r="AT358" s="527">
        <f t="shared" si="511"/>
        <v>5.9922696476964754</v>
      </c>
      <c r="AU358" s="527">
        <f t="shared" si="511"/>
        <v>5.9922696476964754</v>
      </c>
      <c r="AV358" s="527">
        <f t="shared" si="511"/>
        <v>5.9922696476964754</v>
      </c>
      <c r="AW358" s="527">
        <f t="shared" si="511"/>
        <v>5.9922696476964754</v>
      </c>
      <c r="AX358" s="527">
        <f t="shared" ref="AX358:BY358" si="512">AX$602*$R155</f>
        <v>5.9922696476964754</v>
      </c>
      <c r="AY358" s="527">
        <f t="shared" si="512"/>
        <v>5.9922696476964754</v>
      </c>
      <c r="AZ358" s="527">
        <f t="shared" si="512"/>
        <v>5.9922696476964754</v>
      </c>
      <c r="BA358" s="527">
        <f t="shared" si="512"/>
        <v>5.9922696476964754</v>
      </c>
      <c r="BB358" s="527">
        <f t="shared" si="512"/>
        <v>5.9922696476964754</v>
      </c>
      <c r="BC358" s="527">
        <f t="shared" si="512"/>
        <v>5.9922696476964754</v>
      </c>
      <c r="BD358" s="527">
        <f t="shared" si="512"/>
        <v>5.9922696476964754</v>
      </c>
      <c r="BE358" s="527">
        <f t="shared" si="512"/>
        <v>5.9922696476964754</v>
      </c>
      <c r="BF358" s="527">
        <f t="shared" si="512"/>
        <v>5.9922696476964754</v>
      </c>
      <c r="BG358" s="527">
        <f t="shared" si="512"/>
        <v>5.9922696476964754</v>
      </c>
      <c r="BH358" s="527">
        <f t="shared" si="512"/>
        <v>5.9922696476964754</v>
      </c>
      <c r="BI358" s="527">
        <f t="shared" si="512"/>
        <v>5.9922696476964754</v>
      </c>
      <c r="BJ358" s="527">
        <f t="shared" si="512"/>
        <v>5.9922696476964754</v>
      </c>
      <c r="BK358" s="527">
        <f t="shared" si="512"/>
        <v>5.9922696476964754</v>
      </c>
      <c r="BL358" s="527">
        <f t="shared" si="512"/>
        <v>5.9922696476964754</v>
      </c>
      <c r="BM358" s="527">
        <f t="shared" si="512"/>
        <v>5.9922696476964754</v>
      </c>
      <c r="BN358" s="527">
        <f t="shared" si="512"/>
        <v>5.9922696476964754</v>
      </c>
      <c r="BO358" s="527">
        <f t="shared" si="512"/>
        <v>5.9922696476964754</v>
      </c>
      <c r="BP358" s="527">
        <f t="shared" si="512"/>
        <v>5.9922696476964754</v>
      </c>
      <c r="BQ358" s="527">
        <f t="shared" si="512"/>
        <v>5.9922696476964754</v>
      </c>
      <c r="BR358" s="527">
        <f t="shared" si="512"/>
        <v>5.9922696476964754</v>
      </c>
      <c r="BS358" s="527">
        <f t="shared" si="512"/>
        <v>5.9922696476964754</v>
      </c>
      <c r="BT358" s="527">
        <f t="shared" si="512"/>
        <v>5.9922696476964754</v>
      </c>
      <c r="BU358" s="527">
        <f t="shared" si="512"/>
        <v>5.9922696476964754</v>
      </c>
      <c r="BV358" s="527">
        <f t="shared" si="512"/>
        <v>5.9922696476964754</v>
      </c>
      <c r="BW358" s="527">
        <f t="shared" si="512"/>
        <v>5.9922696476964754</v>
      </c>
      <c r="BX358" s="527">
        <f t="shared" si="512"/>
        <v>5.9922696476964754</v>
      </c>
      <c r="BY358" s="527">
        <f t="shared" si="512"/>
        <v>5.9922696476964754</v>
      </c>
    </row>
    <row r="359" spans="1:77" x14ac:dyDescent="0.3">
      <c r="A359" s="551"/>
      <c r="B359" s="548"/>
      <c r="C359" s="525"/>
      <c r="D359" s="525"/>
      <c r="E359" s="635" t="str">
        <f>"Other income: "&amp;E$156</f>
        <v>Other income: FY28 Tranche</v>
      </c>
      <c r="F359" s="525"/>
      <c r="G359" s="525"/>
      <c r="H359" s="525"/>
      <c r="I359" s="525"/>
      <c r="J359" s="525"/>
      <c r="K359" s="525"/>
      <c r="L359" s="525"/>
      <c r="M359" s="525"/>
      <c r="N359" s="525"/>
      <c r="O359" s="525"/>
      <c r="P359" s="565"/>
      <c r="Q359" s="525"/>
      <c r="R359" s="527">
        <f t="shared" ref="R359:AW359" si="513">R$602*$R156</f>
        <v>5.9922696476964754</v>
      </c>
      <c r="S359" s="527">
        <f t="shared" si="513"/>
        <v>5.9922696476964754</v>
      </c>
      <c r="T359" s="527">
        <f t="shared" si="513"/>
        <v>5.9922696476964754</v>
      </c>
      <c r="U359" s="527">
        <f t="shared" si="513"/>
        <v>5.9922696476964754</v>
      </c>
      <c r="V359" s="527">
        <f t="shared" si="513"/>
        <v>5.9922696476964754</v>
      </c>
      <c r="W359" s="527">
        <f t="shared" si="513"/>
        <v>5.9922696476964754</v>
      </c>
      <c r="X359" s="527">
        <f t="shared" si="513"/>
        <v>5.9922696476964754</v>
      </c>
      <c r="Y359" s="527">
        <f t="shared" si="513"/>
        <v>5.9922696476964754</v>
      </c>
      <c r="Z359" s="527">
        <f t="shared" si="513"/>
        <v>5.9922696476964754</v>
      </c>
      <c r="AA359" s="527">
        <f t="shared" si="513"/>
        <v>5.9922696476964754</v>
      </c>
      <c r="AB359" s="527">
        <f t="shared" si="513"/>
        <v>5.9922696476964754</v>
      </c>
      <c r="AC359" s="527">
        <f t="shared" si="513"/>
        <v>5.9922696476964754</v>
      </c>
      <c r="AD359" s="527">
        <f t="shared" si="513"/>
        <v>5.9922696476964754</v>
      </c>
      <c r="AE359" s="527">
        <f t="shared" si="513"/>
        <v>5.9922696476964754</v>
      </c>
      <c r="AF359" s="527">
        <f t="shared" si="513"/>
        <v>5.9922696476964754</v>
      </c>
      <c r="AG359" s="527">
        <f t="shared" si="513"/>
        <v>5.9922696476964754</v>
      </c>
      <c r="AH359" s="527">
        <f t="shared" si="513"/>
        <v>5.9922696476964754</v>
      </c>
      <c r="AI359" s="527">
        <f t="shared" si="513"/>
        <v>5.9922696476964754</v>
      </c>
      <c r="AJ359" s="527">
        <f t="shared" si="513"/>
        <v>5.9922696476964754</v>
      </c>
      <c r="AK359" s="527">
        <f t="shared" si="513"/>
        <v>5.9922696476964754</v>
      </c>
      <c r="AL359" s="527">
        <f t="shared" si="513"/>
        <v>5.9922696476964754</v>
      </c>
      <c r="AM359" s="527">
        <f t="shared" si="513"/>
        <v>5.9922696476964754</v>
      </c>
      <c r="AN359" s="527">
        <f t="shared" si="513"/>
        <v>5.9922696476964754</v>
      </c>
      <c r="AO359" s="527">
        <f t="shared" si="513"/>
        <v>5.9922696476964754</v>
      </c>
      <c r="AP359" s="527">
        <f t="shared" si="513"/>
        <v>5.9922696476964754</v>
      </c>
      <c r="AQ359" s="527">
        <f t="shared" si="513"/>
        <v>5.9922696476964754</v>
      </c>
      <c r="AR359" s="527">
        <f t="shared" si="513"/>
        <v>5.9922696476964754</v>
      </c>
      <c r="AS359" s="527">
        <f t="shared" si="513"/>
        <v>5.9922696476964754</v>
      </c>
      <c r="AT359" s="527">
        <f t="shared" si="513"/>
        <v>5.9922696476964754</v>
      </c>
      <c r="AU359" s="527">
        <f t="shared" si="513"/>
        <v>5.9922696476964754</v>
      </c>
      <c r="AV359" s="527">
        <f t="shared" si="513"/>
        <v>5.9922696476964754</v>
      </c>
      <c r="AW359" s="527">
        <f t="shared" si="513"/>
        <v>5.9922696476964754</v>
      </c>
      <c r="AX359" s="527">
        <f t="shared" ref="AX359:BY359" si="514">AX$602*$R156</f>
        <v>5.9922696476964754</v>
      </c>
      <c r="AY359" s="527">
        <f t="shared" si="514"/>
        <v>5.9922696476964754</v>
      </c>
      <c r="AZ359" s="527">
        <f t="shared" si="514"/>
        <v>5.9922696476964754</v>
      </c>
      <c r="BA359" s="527">
        <f t="shared" si="514"/>
        <v>5.9922696476964754</v>
      </c>
      <c r="BB359" s="527">
        <f t="shared" si="514"/>
        <v>5.9922696476964754</v>
      </c>
      <c r="BC359" s="527">
        <f t="shared" si="514"/>
        <v>5.9922696476964754</v>
      </c>
      <c r="BD359" s="527">
        <f t="shared" si="514"/>
        <v>5.9922696476964754</v>
      </c>
      <c r="BE359" s="527">
        <f t="shared" si="514"/>
        <v>5.9922696476964754</v>
      </c>
      <c r="BF359" s="527">
        <f t="shared" si="514"/>
        <v>5.9922696476964754</v>
      </c>
      <c r="BG359" s="527">
        <f t="shared" si="514"/>
        <v>5.9922696476964754</v>
      </c>
      <c r="BH359" s="527">
        <f t="shared" si="514"/>
        <v>5.9922696476964754</v>
      </c>
      <c r="BI359" s="527">
        <f t="shared" si="514"/>
        <v>5.9922696476964754</v>
      </c>
      <c r="BJ359" s="527">
        <f t="shared" si="514"/>
        <v>5.9922696476964754</v>
      </c>
      <c r="BK359" s="527">
        <f t="shared" si="514"/>
        <v>5.9922696476964754</v>
      </c>
      <c r="BL359" s="527">
        <f t="shared" si="514"/>
        <v>5.9922696476964754</v>
      </c>
      <c r="BM359" s="527">
        <f t="shared" si="514"/>
        <v>5.9922696476964754</v>
      </c>
      <c r="BN359" s="527">
        <f t="shared" si="514"/>
        <v>5.9922696476964754</v>
      </c>
      <c r="BO359" s="527">
        <f t="shared" si="514"/>
        <v>5.9922696476964754</v>
      </c>
      <c r="BP359" s="527">
        <f t="shared" si="514"/>
        <v>5.9922696476964754</v>
      </c>
      <c r="BQ359" s="527">
        <f t="shared" si="514"/>
        <v>5.9922696476964754</v>
      </c>
      <c r="BR359" s="527">
        <f t="shared" si="514"/>
        <v>5.9922696476964754</v>
      </c>
      <c r="BS359" s="527">
        <f t="shared" si="514"/>
        <v>5.9922696476964754</v>
      </c>
      <c r="BT359" s="527">
        <f t="shared" si="514"/>
        <v>5.9922696476964754</v>
      </c>
      <c r="BU359" s="527">
        <f t="shared" si="514"/>
        <v>5.9922696476964754</v>
      </c>
      <c r="BV359" s="527">
        <f t="shared" si="514"/>
        <v>5.9922696476964754</v>
      </c>
      <c r="BW359" s="527">
        <f t="shared" si="514"/>
        <v>5.9922696476964754</v>
      </c>
      <c r="BX359" s="527">
        <f t="shared" si="514"/>
        <v>5.9922696476964754</v>
      </c>
      <c r="BY359" s="527">
        <f t="shared" si="514"/>
        <v>5.9922696476964754</v>
      </c>
    </row>
    <row r="360" spans="1:77" x14ac:dyDescent="0.3">
      <c r="A360" s="551"/>
      <c r="B360" s="548"/>
      <c r="C360" s="525"/>
      <c r="D360" s="525"/>
      <c r="E360" s="635" t="str">
        <f>"Other income: "&amp;E$157</f>
        <v>Other income: FY29 Tranche</v>
      </c>
      <c r="F360" s="525"/>
      <c r="G360" s="525"/>
      <c r="H360" s="525"/>
      <c r="I360" s="525"/>
      <c r="J360" s="525"/>
      <c r="K360" s="525"/>
      <c r="L360" s="525"/>
      <c r="M360" s="525"/>
      <c r="N360" s="525"/>
      <c r="O360" s="525"/>
      <c r="P360" s="565"/>
      <c r="Q360" s="525"/>
      <c r="R360" s="527">
        <f t="shared" ref="R360:AW360" si="515">R$602*$R157</f>
        <v>5.9922696476964754</v>
      </c>
      <c r="S360" s="527">
        <f t="shared" si="515"/>
        <v>5.9922696476964754</v>
      </c>
      <c r="T360" s="527">
        <f t="shared" si="515"/>
        <v>5.9922696476964754</v>
      </c>
      <c r="U360" s="527">
        <f t="shared" si="515"/>
        <v>5.9922696476964754</v>
      </c>
      <c r="V360" s="527">
        <f t="shared" si="515"/>
        <v>5.9922696476964754</v>
      </c>
      <c r="W360" s="527">
        <f t="shared" si="515"/>
        <v>5.9922696476964754</v>
      </c>
      <c r="X360" s="527">
        <f t="shared" si="515"/>
        <v>5.9922696476964754</v>
      </c>
      <c r="Y360" s="527">
        <f t="shared" si="515"/>
        <v>5.9922696476964754</v>
      </c>
      <c r="Z360" s="527">
        <f t="shared" si="515"/>
        <v>5.9922696476964754</v>
      </c>
      <c r="AA360" s="527">
        <f t="shared" si="515"/>
        <v>5.9922696476964754</v>
      </c>
      <c r="AB360" s="527">
        <f t="shared" si="515"/>
        <v>5.9922696476964754</v>
      </c>
      <c r="AC360" s="527">
        <f t="shared" si="515"/>
        <v>5.9922696476964754</v>
      </c>
      <c r="AD360" s="527">
        <f t="shared" si="515"/>
        <v>5.9922696476964754</v>
      </c>
      <c r="AE360" s="527">
        <f t="shared" si="515"/>
        <v>5.9922696476964754</v>
      </c>
      <c r="AF360" s="527">
        <f t="shared" si="515"/>
        <v>5.9922696476964754</v>
      </c>
      <c r="AG360" s="527">
        <f t="shared" si="515"/>
        <v>5.9922696476964754</v>
      </c>
      <c r="AH360" s="527">
        <f t="shared" si="515"/>
        <v>5.9922696476964754</v>
      </c>
      <c r="AI360" s="527">
        <f t="shared" si="515"/>
        <v>5.9922696476964754</v>
      </c>
      <c r="AJ360" s="527">
        <f t="shared" si="515"/>
        <v>5.9922696476964754</v>
      </c>
      <c r="AK360" s="527">
        <f t="shared" si="515"/>
        <v>5.9922696476964754</v>
      </c>
      <c r="AL360" s="527">
        <f t="shared" si="515"/>
        <v>5.9922696476964754</v>
      </c>
      <c r="AM360" s="527">
        <f t="shared" si="515"/>
        <v>5.9922696476964754</v>
      </c>
      <c r="AN360" s="527">
        <f t="shared" si="515"/>
        <v>5.9922696476964754</v>
      </c>
      <c r="AO360" s="527">
        <f t="shared" si="515"/>
        <v>5.9922696476964754</v>
      </c>
      <c r="AP360" s="527">
        <f t="shared" si="515"/>
        <v>5.9922696476964754</v>
      </c>
      <c r="AQ360" s="527">
        <f t="shared" si="515"/>
        <v>5.9922696476964754</v>
      </c>
      <c r="AR360" s="527">
        <f t="shared" si="515"/>
        <v>5.9922696476964754</v>
      </c>
      <c r="AS360" s="527">
        <f t="shared" si="515"/>
        <v>5.9922696476964754</v>
      </c>
      <c r="AT360" s="527">
        <f t="shared" si="515"/>
        <v>5.9922696476964754</v>
      </c>
      <c r="AU360" s="527">
        <f t="shared" si="515"/>
        <v>5.9922696476964754</v>
      </c>
      <c r="AV360" s="527">
        <f t="shared" si="515"/>
        <v>5.9922696476964754</v>
      </c>
      <c r="AW360" s="527">
        <f t="shared" si="515"/>
        <v>5.9922696476964754</v>
      </c>
      <c r="AX360" s="527">
        <f t="shared" ref="AX360:BY360" si="516">AX$602*$R157</f>
        <v>5.9922696476964754</v>
      </c>
      <c r="AY360" s="527">
        <f t="shared" si="516"/>
        <v>5.9922696476964754</v>
      </c>
      <c r="AZ360" s="527">
        <f t="shared" si="516"/>
        <v>5.9922696476964754</v>
      </c>
      <c r="BA360" s="527">
        <f t="shared" si="516"/>
        <v>5.9922696476964754</v>
      </c>
      <c r="BB360" s="527">
        <f t="shared" si="516"/>
        <v>5.9922696476964754</v>
      </c>
      <c r="BC360" s="527">
        <f t="shared" si="516"/>
        <v>5.9922696476964754</v>
      </c>
      <c r="BD360" s="527">
        <f t="shared" si="516"/>
        <v>5.9922696476964754</v>
      </c>
      <c r="BE360" s="527">
        <f t="shared" si="516"/>
        <v>5.9922696476964754</v>
      </c>
      <c r="BF360" s="527">
        <f t="shared" si="516"/>
        <v>5.9922696476964754</v>
      </c>
      <c r="BG360" s="527">
        <f t="shared" si="516"/>
        <v>5.9922696476964754</v>
      </c>
      <c r="BH360" s="527">
        <f t="shared" si="516"/>
        <v>5.9922696476964754</v>
      </c>
      <c r="BI360" s="527">
        <f t="shared" si="516"/>
        <v>5.9922696476964754</v>
      </c>
      <c r="BJ360" s="527">
        <f t="shared" si="516"/>
        <v>5.9922696476964754</v>
      </c>
      <c r="BK360" s="527">
        <f t="shared" si="516"/>
        <v>5.9922696476964754</v>
      </c>
      <c r="BL360" s="527">
        <f t="shared" si="516"/>
        <v>5.9922696476964754</v>
      </c>
      <c r="BM360" s="527">
        <f t="shared" si="516"/>
        <v>5.9922696476964754</v>
      </c>
      <c r="BN360" s="527">
        <f t="shared" si="516"/>
        <v>5.9922696476964754</v>
      </c>
      <c r="BO360" s="527">
        <f t="shared" si="516"/>
        <v>5.9922696476964754</v>
      </c>
      <c r="BP360" s="527">
        <f t="shared" si="516"/>
        <v>5.9922696476964754</v>
      </c>
      <c r="BQ360" s="527">
        <f t="shared" si="516"/>
        <v>5.9922696476964754</v>
      </c>
      <c r="BR360" s="527">
        <f t="shared" si="516"/>
        <v>5.9922696476964754</v>
      </c>
      <c r="BS360" s="527">
        <f t="shared" si="516"/>
        <v>5.9922696476964754</v>
      </c>
      <c r="BT360" s="527">
        <f t="shared" si="516"/>
        <v>5.9922696476964754</v>
      </c>
      <c r="BU360" s="527">
        <f t="shared" si="516"/>
        <v>5.9922696476964754</v>
      </c>
      <c r="BV360" s="527">
        <f t="shared" si="516"/>
        <v>5.9922696476964754</v>
      </c>
      <c r="BW360" s="527">
        <f t="shared" si="516"/>
        <v>5.9922696476964754</v>
      </c>
      <c r="BX360" s="527">
        <f t="shared" si="516"/>
        <v>5.9922696476964754</v>
      </c>
      <c r="BY360" s="527">
        <f t="shared" si="516"/>
        <v>5.9922696476964754</v>
      </c>
    </row>
    <row r="361" spans="1:77" x14ac:dyDescent="0.3">
      <c r="A361" s="551"/>
      <c r="B361" s="548"/>
      <c r="C361" s="525"/>
      <c r="D361" s="525"/>
      <c r="E361" s="635" t="str">
        <f>"Other income: "&amp;E$158</f>
        <v>Other income: FY30 Tranche</v>
      </c>
      <c r="F361" s="525"/>
      <c r="G361" s="525"/>
      <c r="H361" s="525"/>
      <c r="I361" s="525"/>
      <c r="J361" s="525"/>
      <c r="K361" s="525"/>
      <c r="L361" s="525"/>
      <c r="M361" s="525"/>
      <c r="N361" s="525"/>
      <c r="O361" s="525"/>
      <c r="P361" s="565"/>
      <c r="Q361" s="525"/>
      <c r="R361" s="527">
        <f t="shared" ref="R361:AW361" si="517">R$602*$R158</f>
        <v>5.9922696476964754</v>
      </c>
      <c r="S361" s="527">
        <f t="shared" si="517"/>
        <v>5.9922696476964754</v>
      </c>
      <c r="T361" s="527">
        <f t="shared" si="517"/>
        <v>5.9922696476964754</v>
      </c>
      <c r="U361" s="527">
        <f t="shared" si="517"/>
        <v>5.9922696476964754</v>
      </c>
      <c r="V361" s="527">
        <f t="shared" si="517"/>
        <v>5.9922696476964754</v>
      </c>
      <c r="W361" s="527">
        <f t="shared" si="517"/>
        <v>5.9922696476964754</v>
      </c>
      <c r="X361" s="527">
        <f t="shared" si="517"/>
        <v>5.9922696476964754</v>
      </c>
      <c r="Y361" s="527">
        <f t="shared" si="517"/>
        <v>5.9922696476964754</v>
      </c>
      <c r="Z361" s="527">
        <f t="shared" si="517"/>
        <v>5.9922696476964754</v>
      </c>
      <c r="AA361" s="527">
        <f t="shared" si="517"/>
        <v>5.9922696476964754</v>
      </c>
      <c r="AB361" s="527">
        <f t="shared" si="517"/>
        <v>5.9922696476964754</v>
      </c>
      <c r="AC361" s="527">
        <f t="shared" si="517"/>
        <v>5.9922696476964754</v>
      </c>
      <c r="AD361" s="527">
        <f t="shared" si="517"/>
        <v>5.9922696476964754</v>
      </c>
      <c r="AE361" s="527">
        <f t="shared" si="517"/>
        <v>5.9922696476964754</v>
      </c>
      <c r="AF361" s="527">
        <f t="shared" si="517"/>
        <v>5.9922696476964754</v>
      </c>
      <c r="AG361" s="527">
        <f t="shared" si="517"/>
        <v>5.9922696476964754</v>
      </c>
      <c r="AH361" s="527">
        <f t="shared" si="517"/>
        <v>5.9922696476964754</v>
      </c>
      <c r="AI361" s="527">
        <f t="shared" si="517"/>
        <v>5.9922696476964754</v>
      </c>
      <c r="AJ361" s="527">
        <f t="shared" si="517"/>
        <v>5.9922696476964754</v>
      </c>
      <c r="AK361" s="527">
        <f t="shared" si="517"/>
        <v>5.9922696476964754</v>
      </c>
      <c r="AL361" s="527">
        <f t="shared" si="517"/>
        <v>5.9922696476964754</v>
      </c>
      <c r="AM361" s="527">
        <f t="shared" si="517"/>
        <v>5.9922696476964754</v>
      </c>
      <c r="AN361" s="527">
        <f t="shared" si="517"/>
        <v>5.9922696476964754</v>
      </c>
      <c r="AO361" s="527">
        <f t="shared" si="517"/>
        <v>5.9922696476964754</v>
      </c>
      <c r="AP361" s="527">
        <f t="shared" si="517"/>
        <v>5.9922696476964754</v>
      </c>
      <c r="AQ361" s="527">
        <f t="shared" si="517"/>
        <v>5.9922696476964754</v>
      </c>
      <c r="AR361" s="527">
        <f t="shared" si="517"/>
        <v>5.9922696476964754</v>
      </c>
      <c r="AS361" s="527">
        <f t="shared" si="517"/>
        <v>5.9922696476964754</v>
      </c>
      <c r="AT361" s="527">
        <f t="shared" si="517"/>
        <v>5.9922696476964754</v>
      </c>
      <c r="AU361" s="527">
        <f t="shared" si="517"/>
        <v>5.9922696476964754</v>
      </c>
      <c r="AV361" s="527">
        <f t="shared" si="517"/>
        <v>5.9922696476964754</v>
      </c>
      <c r="AW361" s="527">
        <f t="shared" si="517"/>
        <v>5.9922696476964754</v>
      </c>
      <c r="AX361" s="527">
        <f t="shared" ref="AX361:BY361" si="518">AX$602*$R158</f>
        <v>5.9922696476964754</v>
      </c>
      <c r="AY361" s="527">
        <f t="shared" si="518"/>
        <v>5.9922696476964754</v>
      </c>
      <c r="AZ361" s="527">
        <f t="shared" si="518"/>
        <v>5.9922696476964754</v>
      </c>
      <c r="BA361" s="527">
        <f t="shared" si="518"/>
        <v>5.9922696476964754</v>
      </c>
      <c r="BB361" s="527">
        <f t="shared" si="518"/>
        <v>5.9922696476964754</v>
      </c>
      <c r="BC361" s="527">
        <f t="shared" si="518"/>
        <v>5.9922696476964754</v>
      </c>
      <c r="BD361" s="527">
        <f t="shared" si="518"/>
        <v>5.9922696476964754</v>
      </c>
      <c r="BE361" s="527">
        <f t="shared" si="518"/>
        <v>5.9922696476964754</v>
      </c>
      <c r="BF361" s="527">
        <f t="shared" si="518"/>
        <v>5.9922696476964754</v>
      </c>
      <c r="BG361" s="527">
        <f t="shared" si="518"/>
        <v>5.9922696476964754</v>
      </c>
      <c r="BH361" s="527">
        <f t="shared" si="518"/>
        <v>5.9922696476964754</v>
      </c>
      <c r="BI361" s="527">
        <f t="shared" si="518"/>
        <v>5.9922696476964754</v>
      </c>
      <c r="BJ361" s="527">
        <f t="shared" si="518"/>
        <v>5.9922696476964754</v>
      </c>
      <c r="BK361" s="527">
        <f t="shared" si="518"/>
        <v>5.9922696476964754</v>
      </c>
      <c r="BL361" s="527">
        <f t="shared" si="518"/>
        <v>5.9922696476964754</v>
      </c>
      <c r="BM361" s="527">
        <f t="shared" si="518"/>
        <v>5.9922696476964754</v>
      </c>
      <c r="BN361" s="527">
        <f t="shared" si="518"/>
        <v>5.9922696476964754</v>
      </c>
      <c r="BO361" s="527">
        <f t="shared" si="518"/>
        <v>5.9922696476964754</v>
      </c>
      <c r="BP361" s="527">
        <f t="shared" si="518"/>
        <v>5.9922696476964754</v>
      </c>
      <c r="BQ361" s="527">
        <f t="shared" si="518"/>
        <v>5.9922696476964754</v>
      </c>
      <c r="BR361" s="527">
        <f t="shared" si="518"/>
        <v>5.9922696476964754</v>
      </c>
      <c r="BS361" s="527">
        <f t="shared" si="518"/>
        <v>5.9922696476964754</v>
      </c>
      <c r="BT361" s="527">
        <f t="shared" si="518"/>
        <v>5.9922696476964754</v>
      </c>
      <c r="BU361" s="527">
        <f t="shared" si="518"/>
        <v>5.9922696476964754</v>
      </c>
      <c r="BV361" s="527">
        <f t="shared" si="518"/>
        <v>5.9922696476964754</v>
      </c>
      <c r="BW361" s="527">
        <f t="shared" si="518"/>
        <v>5.9922696476964754</v>
      </c>
      <c r="BX361" s="527">
        <f t="shared" si="518"/>
        <v>5.9922696476964754</v>
      </c>
      <c r="BY361" s="527">
        <f t="shared" si="518"/>
        <v>5.9922696476964754</v>
      </c>
    </row>
    <row r="362" spans="1:77" x14ac:dyDescent="0.3">
      <c r="A362" s="551"/>
      <c r="B362" s="548"/>
      <c r="C362" s="525"/>
      <c r="D362" s="525"/>
      <c r="E362" s="635" t="str">
        <f>"Other income: "&amp;E$159</f>
        <v>Other income: FY31 Tranche</v>
      </c>
      <c r="F362" s="525"/>
      <c r="G362" s="525"/>
      <c r="H362" s="525"/>
      <c r="I362" s="525"/>
      <c r="J362" s="525"/>
      <c r="K362" s="525"/>
      <c r="L362" s="525"/>
      <c r="M362" s="525"/>
      <c r="N362" s="525"/>
      <c r="O362" s="525"/>
      <c r="P362" s="565"/>
      <c r="Q362" s="525"/>
      <c r="R362" s="527">
        <f t="shared" ref="R362:AW362" si="519">R$602*$R159</f>
        <v>5.9922696476964754</v>
      </c>
      <c r="S362" s="527">
        <f t="shared" si="519"/>
        <v>5.9922696476964754</v>
      </c>
      <c r="T362" s="527">
        <f t="shared" si="519"/>
        <v>5.9922696476964754</v>
      </c>
      <c r="U362" s="527">
        <f t="shared" si="519"/>
        <v>5.9922696476964754</v>
      </c>
      <c r="V362" s="527">
        <f t="shared" si="519"/>
        <v>5.9922696476964754</v>
      </c>
      <c r="W362" s="527">
        <f t="shared" si="519"/>
        <v>5.9922696476964754</v>
      </c>
      <c r="X362" s="527">
        <f t="shared" si="519"/>
        <v>5.9922696476964754</v>
      </c>
      <c r="Y362" s="527">
        <f t="shared" si="519"/>
        <v>5.9922696476964754</v>
      </c>
      <c r="Z362" s="527">
        <f t="shared" si="519"/>
        <v>5.9922696476964754</v>
      </c>
      <c r="AA362" s="527">
        <f t="shared" si="519"/>
        <v>5.9922696476964754</v>
      </c>
      <c r="AB362" s="527">
        <f t="shared" si="519"/>
        <v>5.9922696476964754</v>
      </c>
      <c r="AC362" s="527">
        <f t="shared" si="519"/>
        <v>5.9922696476964754</v>
      </c>
      <c r="AD362" s="527">
        <f t="shared" si="519"/>
        <v>5.9922696476964754</v>
      </c>
      <c r="AE362" s="527">
        <f t="shared" si="519"/>
        <v>5.9922696476964754</v>
      </c>
      <c r="AF362" s="527">
        <f t="shared" si="519"/>
        <v>5.9922696476964754</v>
      </c>
      <c r="AG362" s="527">
        <f t="shared" si="519"/>
        <v>5.9922696476964754</v>
      </c>
      <c r="AH362" s="527">
        <f t="shared" si="519"/>
        <v>5.9922696476964754</v>
      </c>
      <c r="AI362" s="527">
        <f t="shared" si="519"/>
        <v>5.9922696476964754</v>
      </c>
      <c r="AJ362" s="527">
        <f t="shared" si="519"/>
        <v>5.9922696476964754</v>
      </c>
      <c r="AK362" s="527">
        <f t="shared" si="519"/>
        <v>5.9922696476964754</v>
      </c>
      <c r="AL362" s="527">
        <f t="shared" si="519"/>
        <v>5.9922696476964754</v>
      </c>
      <c r="AM362" s="527">
        <f t="shared" si="519"/>
        <v>5.9922696476964754</v>
      </c>
      <c r="AN362" s="527">
        <f t="shared" si="519"/>
        <v>5.9922696476964754</v>
      </c>
      <c r="AO362" s="527">
        <f t="shared" si="519"/>
        <v>5.9922696476964754</v>
      </c>
      <c r="AP362" s="527">
        <f t="shared" si="519"/>
        <v>5.9922696476964754</v>
      </c>
      <c r="AQ362" s="527">
        <f t="shared" si="519"/>
        <v>5.9922696476964754</v>
      </c>
      <c r="AR362" s="527">
        <f t="shared" si="519"/>
        <v>5.9922696476964754</v>
      </c>
      <c r="AS362" s="527">
        <f t="shared" si="519"/>
        <v>5.9922696476964754</v>
      </c>
      <c r="AT362" s="527">
        <f t="shared" si="519"/>
        <v>5.9922696476964754</v>
      </c>
      <c r="AU362" s="527">
        <f t="shared" si="519"/>
        <v>5.9922696476964754</v>
      </c>
      <c r="AV362" s="527">
        <f t="shared" si="519"/>
        <v>5.9922696476964754</v>
      </c>
      <c r="AW362" s="527">
        <f t="shared" si="519"/>
        <v>5.9922696476964754</v>
      </c>
      <c r="AX362" s="527">
        <f t="shared" ref="AX362:BY362" si="520">AX$602*$R159</f>
        <v>5.9922696476964754</v>
      </c>
      <c r="AY362" s="527">
        <f t="shared" si="520"/>
        <v>5.9922696476964754</v>
      </c>
      <c r="AZ362" s="527">
        <f t="shared" si="520"/>
        <v>5.9922696476964754</v>
      </c>
      <c r="BA362" s="527">
        <f t="shared" si="520"/>
        <v>5.9922696476964754</v>
      </c>
      <c r="BB362" s="527">
        <f t="shared" si="520"/>
        <v>5.9922696476964754</v>
      </c>
      <c r="BC362" s="527">
        <f t="shared" si="520"/>
        <v>5.9922696476964754</v>
      </c>
      <c r="BD362" s="527">
        <f t="shared" si="520"/>
        <v>5.9922696476964754</v>
      </c>
      <c r="BE362" s="527">
        <f t="shared" si="520"/>
        <v>5.9922696476964754</v>
      </c>
      <c r="BF362" s="527">
        <f t="shared" si="520"/>
        <v>5.9922696476964754</v>
      </c>
      <c r="BG362" s="527">
        <f t="shared" si="520"/>
        <v>5.9922696476964754</v>
      </c>
      <c r="BH362" s="527">
        <f t="shared" si="520"/>
        <v>5.9922696476964754</v>
      </c>
      <c r="BI362" s="527">
        <f t="shared" si="520"/>
        <v>5.9922696476964754</v>
      </c>
      <c r="BJ362" s="527">
        <f t="shared" si="520"/>
        <v>5.9922696476964754</v>
      </c>
      <c r="BK362" s="527">
        <f t="shared" si="520"/>
        <v>5.9922696476964754</v>
      </c>
      <c r="BL362" s="527">
        <f t="shared" si="520"/>
        <v>5.9922696476964754</v>
      </c>
      <c r="BM362" s="527">
        <f t="shared" si="520"/>
        <v>5.9922696476964754</v>
      </c>
      <c r="BN362" s="527">
        <f t="shared" si="520"/>
        <v>5.9922696476964754</v>
      </c>
      <c r="BO362" s="527">
        <f t="shared" si="520"/>
        <v>5.9922696476964754</v>
      </c>
      <c r="BP362" s="527">
        <f t="shared" si="520"/>
        <v>5.9922696476964754</v>
      </c>
      <c r="BQ362" s="527">
        <f t="shared" si="520"/>
        <v>5.9922696476964754</v>
      </c>
      <c r="BR362" s="527">
        <f t="shared" si="520"/>
        <v>5.9922696476964754</v>
      </c>
      <c r="BS362" s="527">
        <f t="shared" si="520"/>
        <v>5.9922696476964754</v>
      </c>
      <c r="BT362" s="527">
        <f t="shared" si="520"/>
        <v>5.9922696476964754</v>
      </c>
      <c r="BU362" s="527">
        <f t="shared" si="520"/>
        <v>5.9922696476964754</v>
      </c>
      <c r="BV362" s="527">
        <f t="shared" si="520"/>
        <v>5.9922696476964754</v>
      </c>
      <c r="BW362" s="527">
        <f t="shared" si="520"/>
        <v>5.9922696476964754</v>
      </c>
      <c r="BX362" s="527">
        <f t="shared" si="520"/>
        <v>5.9922696476964754</v>
      </c>
      <c r="BY362" s="527">
        <f t="shared" si="520"/>
        <v>5.9922696476964754</v>
      </c>
    </row>
    <row r="363" spans="1:77" x14ac:dyDescent="0.3">
      <c r="A363" s="551"/>
      <c r="B363" s="548"/>
      <c r="C363" s="525"/>
      <c r="D363" s="525"/>
      <c r="E363" s="635" t="str">
        <f>"Other income: "&amp;E$160</f>
        <v>Other income: Uninvested Tranche</v>
      </c>
      <c r="F363" s="525"/>
      <c r="G363" s="525"/>
      <c r="H363" s="525"/>
      <c r="I363" s="525"/>
      <c r="J363" s="525"/>
      <c r="K363" s="525"/>
      <c r="L363" s="525"/>
      <c r="M363" s="525"/>
      <c r="N363" s="525"/>
      <c r="O363" s="525"/>
      <c r="P363" s="565"/>
      <c r="Q363" s="525"/>
      <c r="R363" s="527">
        <f t="shared" ref="R363:AW363" si="521">R$602*$R160</f>
        <v>13.394485094850946</v>
      </c>
      <c r="S363" s="527">
        <f t="shared" si="521"/>
        <v>13.394485094850946</v>
      </c>
      <c r="T363" s="527">
        <f t="shared" si="521"/>
        <v>13.394485094850946</v>
      </c>
      <c r="U363" s="527">
        <f t="shared" si="521"/>
        <v>13.394485094850946</v>
      </c>
      <c r="V363" s="527">
        <f t="shared" si="521"/>
        <v>13.394485094850946</v>
      </c>
      <c r="W363" s="527">
        <f t="shared" si="521"/>
        <v>13.394485094850946</v>
      </c>
      <c r="X363" s="527">
        <f t="shared" si="521"/>
        <v>13.394485094850946</v>
      </c>
      <c r="Y363" s="527">
        <f t="shared" si="521"/>
        <v>13.394485094850946</v>
      </c>
      <c r="Z363" s="527">
        <f t="shared" si="521"/>
        <v>13.394485094850946</v>
      </c>
      <c r="AA363" s="527">
        <f t="shared" si="521"/>
        <v>13.394485094850946</v>
      </c>
      <c r="AB363" s="527">
        <f t="shared" si="521"/>
        <v>13.394485094850946</v>
      </c>
      <c r="AC363" s="527">
        <f t="shared" si="521"/>
        <v>13.394485094850946</v>
      </c>
      <c r="AD363" s="527">
        <f t="shared" si="521"/>
        <v>13.394485094850946</v>
      </c>
      <c r="AE363" s="527">
        <f t="shared" si="521"/>
        <v>13.394485094850946</v>
      </c>
      <c r="AF363" s="527">
        <f t="shared" si="521"/>
        <v>13.394485094850946</v>
      </c>
      <c r="AG363" s="527">
        <f t="shared" si="521"/>
        <v>13.394485094850946</v>
      </c>
      <c r="AH363" s="527">
        <f t="shared" si="521"/>
        <v>13.394485094850946</v>
      </c>
      <c r="AI363" s="527">
        <f t="shared" si="521"/>
        <v>13.394485094850946</v>
      </c>
      <c r="AJ363" s="527">
        <f t="shared" si="521"/>
        <v>13.394485094850946</v>
      </c>
      <c r="AK363" s="527">
        <f t="shared" si="521"/>
        <v>13.394485094850946</v>
      </c>
      <c r="AL363" s="527">
        <f t="shared" si="521"/>
        <v>13.394485094850946</v>
      </c>
      <c r="AM363" s="527">
        <f t="shared" si="521"/>
        <v>13.394485094850946</v>
      </c>
      <c r="AN363" s="527">
        <f t="shared" si="521"/>
        <v>13.394485094850946</v>
      </c>
      <c r="AO363" s="527">
        <f t="shared" si="521"/>
        <v>13.394485094850946</v>
      </c>
      <c r="AP363" s="527">
        <f t="shared" si="521"/>
        <v>13.394485094850946</v>
      </c>
      <c r="AQ363" s="527">
        <f t="shared" si="521"/>
        <v>13.394485094850946</v>
      </c>
      <c r="AR363" s="527">
        <f t="shared" si="521"/>
        <v>13.394485094850946</v>
      </c>
      <c r="AS363" s="527">
        <f t="shared" si="521"/>
        <v>13.394485094850946</v>
      </c>
      <c r="AT363" s="527">
        <f t="shared" si="521"/>
        <v>13.394485094850946</v>
      </c>
      <c r="AU363" s="527">
        <f t="shared" si="521"/>
        <v>13.394485094850946</v>
      </c>
      <c r="AV363" s="527">
        <f t="shared" si="521"/>
        <v>13.394485094850946</v>
      </c>
      <c r="AW363" s="527">
        <f t="shared" si="521"/>
        <v>13.394485094850946</v>
      </c>
      <c r="AX363" s="527">
        <f t="shared" ref="AX363:BY363" si="522">AX$602*$R160</f>
        <v>13.394485094850946</v>
      </c>
      <c r="AY363" s="527">
        <f t="shared" si="522"/>
        <v>13.394485094850946</v>
      </c>
      <c r="AZ363" s="527">
        <f t="shared" si="522"/>
        <v>13.394485094850946</v>
      </c>
      <c r="BA363" s="527">
        <f t="shared" si="522"/>
        <v>13.394485094850946</v>
      </c>
      <c r="BB363" s="527">
        <f t="shared" si="522"/>
        <v>13.394485094850946</v>
      </c>
      <c r="BC363" s="527">
        <f t="shared" si="522"/>
        <v>13.394485094850946</v>
      </c>
      <c r="BD363" s="527">
        <f t="shared" si="522"/>
        <v>13.394485094850946</v>
      </c>
      <c r="BE363" s="527">
        <f t="shared" si="522"/>
        <v>13.394485094850946</v>
      </c>
      <c r="BF363" s="527">
        <f t="shared" si="522"/>
        <v>13.394485094850946</v>
      </c>
      <c r="BG363" s="527">
        <f t="shared" si="522"/>
        <v>13.394485094850946</v>
      </c>
      <c r="BH363" s="527">
        <f t="shared" si="522"/>
        <v>13.394485094850946</v>
      </c>
      <c r="BI363" s="527">
        <f t="shared" si="522"/>
        <v>13.394485094850946</v>
      </c>
      <c r="BJ363" s="527">
        <f t="shared" si="522"/>
        <v>13.394485094850946</v>
      </c>
      <c r="BK363" s="527">
        <f t="shared" si="522"/>
        <v>13.394485094850946</v>
      </c>
      <c r="BL363" s="527">
        <f t="shared" si="522"/>
        <v>13.394485094850946</v>
      </c>
      <c r="BM363" s="527">
        <f t="shared" si="522"/>
        <v>13.394485094850946</v>
      </c>
      <c r="BN363" s="527">
        <f t="shared" si="522"/>
        <v>13.394485094850946</v>
      </c>
      <c r="BO363" s="527">
        <f t="shared" si="522"/>
        <v>13.394485094850946</v>
      </c>
      <c r="BP363" s="527">
        <f t="shared" si="522"/>
        <v>13.394485094850946</v>
      </c>
      <c r="BQ363" s="527">
        <f t="shared" si="522"/>
        <v>13.394485094850946</v>
      </c>
      <c r="BR363" s="527">
        <f t="shared" si="522"/>
        <v>13.394485094850946</v>
      </c>
      <c r="BS363" s="527">
        <f t="shared" si="522"/>
        <v>13.394485094850946</v>
      </c>
      <c r="BT363" s="527">
        <f t="shared" si="522"/>
        <v>13.394485094850946</v>
      </c>
      <c r="BU363" s="527">
        <f t="shared" si="522"/>
        <v>13.394485094850946</v>
      </c>
      <c r="BV363" s="527">
        <f t="shared" si="522"/>
        <v>13.394485094850946</v>
      </c>
      <c r="BW363" s="527">
        <f t="shared" si="522"/>
        <v>13.394485094850946</v>
      </c>
      <c r="BX363" s="527">
        <f t="shared" si="522"/>
        <v>13.394485094850946</v>
      </c>
      <c r="BY363" s="527">
        <f t="shared" si="522"/>
        <v>13.394485094850946</v>
      </c>
    </row>
    <row r="364" spans="1:77" x14ac:dyDescent="0.3">
      <c r="A364" s="551"/>
      <c r="B364" s="548"/>
      <c r="C364" s="525"/>
      <c r="D364" s="525"/>
      <c r="E364" s="572" t="s">
        <v>36</v>
      </c>
      <c r="F364" s="572"/>
      <c r="G364" s="572"/>
      <c r="H364" s="572"/>
      <c r="I364" s="572"/>
      <c r="J364" s="572"/>
      <c r="K364" s="572"/>
      <c r="L364" s="572"/>
      <c r="M364" s="572"/>
      <c r="N364" s="572"/>
      <c r="O364" s="572"/>
      <c r="P364" s="612"/>
      <c r="Q364" s="572"/>
      <c r="R364" s="530">
        <f t="shared" ref="R364:AW364" si="523">SUM(R358:R363)</f>
        <v>43.355833333333322</v>
      </c>
      <c r="S364" s="530">
        <f t="shared" si="523"/>
        <v>43.355833333333322</v>
      </c>
      <c r="T364" s="530">
        <f t="shared" si="523"/>
        <v>43.355833333333322</v>
      </c>
      <c r="U364" s="530">
        <f t="shared" si="523"/>
        <v>43.355833333333322</v>
      </c>
      <c r="V364" s="530">
        <f t="shared" si="523"/>
        <v>43.355833333333322</v>
      </c>
      <c r="W364" s="530">
        <f t="shared" si="523"/>
        <v>43.355833333333322</v>
      </c>
      <c r="X364" s="530">
        <f t="shared" si="523"/>
        <v>43.355833333333322</v>
      </c>
      <c r="Y364" s="530">
        <f t="shared" si="523"/>
        <v>43.355833333333322</v>
      </c>
      <c r="Z364" s="530">
        <f t="shared" si="523"/>
        <v>43.355833333333322</v>
      </c>
      <c r="AA364" s="530">
        <f t="shared" si="523"/>
        <v>43.355833333333322</v>
      </c>
      <c r="AB364" s="530">
        <f t="shared" si="523"/>
        <v>43.355833333333322</v>
      </c>
      <c r="AC364" s="530">
        <f t="shared" si="523"/>
        <v>43.355833333333322</v>
      </c>
      <c r="AD364" s="530">
        <f t="shared" si="523"/>
        <v>43.355833333333322</v>
      </c>
      <c r="AE364" s="530">
        <f t="shared" si="523"/>
        <v>43.355833333333322</v>
      </c>
      <c r="AF364" s="530">
        <f t="shared" si="523"/>
        <v>43.355833333333322</v>
      </c>
      <c r="AG364" s="530">
        <f t="shared" si="523"/>
        <v>43.355833333333322</v>
      </c>
      <c r="AH364" s="530">
        <f t="shared" si="523"/>
        <v>43.355833333333322</v>
      </c>
      <c r="AI364" s="530">
        <f t="shared" si="523"/>
        <v>43.355833333333322</v>
      </c>
      <c r="AJ364" s="530">
        <f t="shared" si="523"/>
        <v>43.355833333333322</v>
      </c>
      <c r="AK364" s="530">
        <f t="shared" si="523"/>
        <v>43.355833333333322</v>
      </c>
      <c r="AL364" s="530">
        <f t="shared" si="523"/>
        <v>43.355833333333322</v>
      </c>
      <c r="AM364" s="530">
        <f t="shared" si="523"/>
        <v>43.355833333333322</v>
      </c>
      <c r="AN364" s="530">
        <f t="shared" si="523"/>
        <v>43.355833333333322</v>
      </c>
      <c r="AO364" s="530">
        <f t="shared" si="523"/>
        <v>43.355833333333322</v>
      </c>
      <c r="AP364" s="530">
        <f t="shared" si="523"/>
        <v>43.355833333333322</v>
      </c>
      <c r="AQ364" s="530">
        <f t="shared" si="523"/>
        <v>43.355833333333322</v>
      </c>
      <c r="AR364" s="530">
        <f t="shared" si="523"/>
        <v>43.355833333333322</v>
      </c>
      <c r="AS364" s="530">
        <f t="shared" si="523"/>
        <v>43.355833333333322</v>
      </c>
      <c r="AT364" s="530">
        <f t="shared" si="523"/>
        <v>43.355833333333322</v>
      </c>
      <c r="AU364" s="530">
        <f t="shared" si="523"/>
        <v>43.355833333333322</v>
      </c>
      <c r="AV364" s="530">
        <f t="shared" si="523"/>
        <v>43.355833333333322</v>
      </c>
      <c r="AW364" s="530">
        <f t="shared" si="523"/>
        <v>43.355833333333322</v>
      </c>
      <c r="AX364" s="530">
        <f t="shared" ref="AX364:BY364" si="524">SUM(AX358:AX363)</f>
        <v>43.355833333333322</v>
      </c>
      <c r="AY364" s="530">
        <f t="shared" si="524"/>
        <v>43.355833333333322</v>
      </c>
      <c r="AZ364" s="530">
        <f t="shared" si="524"/>
        <v>43.355833333333322</v>
      </c>
      <c r="BA364" s="530">
        <f t="shared" si="524"/>
        <v>43.355833333333322</v>
      </c>
      <c r="BB364" s="530">
        <f t="shared" si="524"/>
        <v>43.355833333333322</v>
      </c>
      <c r="BC364" s="530">
        <f t="shared" si="524"/>
        <v>43.355833333333322</v>
      </c>
      <c r="BD364" s="530">
        <f t="shared" si="524"/>
        <v>43.355833333333322</v>
      </c>
      <c r="BE364" s="530">
        <f t="shared" si="524"/>
        <v>43.355833333333322</v>
      </c>
      <c r="BF364" s="530">
        <f t="shared" si="524"/>
        <v>43.355833333333322</v>
      </c>
      <c r="BG364" s="530">
        <f t="shared" si="524"/>
        <v>43.355833333333322</v>
      </c>
      <c r="BH364" s="530">
        <f t="shared" si="524"/>
        <v>43.355833333333322</v>
      </c>
      <c r="BI364" s="530">
        <f t="shared" si="524"/>
        <v>43.355833333333322</v>
      </c>
      <c r="BJ364" s="530">
        <f t="shared" si="524"/>
        <v>43.355833333333322</v>
      </c>
      <c r="BK364" s="530">
        <f t="shared" si="524"/>
        <v>43.355833333333322</v>
      </c>
      <c r="BL364" s="530">
        <f t="shared" si="524"/>
        <v>43.355833333333322</v>
      </c>
      <c r="BM364" s="530">
        <f t="shared" si="524"/>
        <v>43.355833333333322</v>
      </c>
      <c r="BN364" s="530">
        <f t="shared" si="524"/>
        <v>43.355833333333322</v>
      </c>
      <c r="BO364" s="530">
        <f t="shared" si="524"/>
        <v>43.355833333333322</v>
      </c>
      <c r="BP364" s="530">
        <f t="shared" si="524"/>
        <v>43.355833333333322</v>
      </c>
      <c r="BQ364" s="530">
        <f t="shared" si="524"/>
        <v>43.355833333333322</v>
      </c>
      <c r="BR364" s="530">
        <f t="shared" si="524"/>
        <v>43.355833333333322</v>
      </c>
      <c r="BS364" s="530">
        <f t="shared" si="524"/>
        <v>43.355833333333322</v>
      </c>
      <c r="BT364" s="530">
        <f t="shared" si="524"/>
        <v>43.355833333333322</v>
      </c>
      <c r="BU364" s="530">
        <f t="shared" si="524"/>
        <v>43.355833333333322</v>
      </c>
      <c r="BV364" s="530">
        <f t="shared" si="524"/>
        <v>43.355833333333322</v>
      </c>
      <c r="BW364" s="530">
        <f t="shared" si="524"/>
        <v>43.355833333333322</v>
      </c>
      <c r="BX364" s="530">
        <f t="shared" si="524"/>
        <v>43.355833333333322</v>
      </c>
      <c r="BY364" s="530">
        <f t="shared" si="524"/>
        <v>43.355833333333322</v>
      </c>
    </row>
    <row r="365" spans="1:77" x14ac:dyDescent="0.3">
      <c r="A365" s="551"/>
      <c r="B365" s="548"/>
      <c r="C365" s="525"/>
      <c r="D365" s="525"/>
      <c r="E365" s="525"/>
      <c r="F365" s="525"/>
      <c r="G365" s="525"/>
      <c r="H365" s="525"/>
      <c r="I365" s="525"/>
      <c r="J365" s="525"/>
      <c r="K365" s="525"/>
      <c r="L365" s="525"/>
      <c r="M365" s="525"/>
      <c r="N365" s="525"/>
      <c r="O365" s="525"/>
      <c r="P365" s="565"/>
      <c r="Q365" s="525"/>
      <c r="R365" s="525"/>
      <c r="S365" s="525"/>
      <c r="T365" s="525"/>
      <c r="U365" s="525"/>
      <c r="V365" s="525"/>
      <c r="W365" s="525"/>
      <c r="X365" s="525"/>
      <c r="Y365" s="525"/>
      <c r="Z365" s="525"/>
      <c r="AA365" s="525"/>
      <c r="AB365" s="525"/>
      <c r="AC365" s="525"/>
      <c r="AD365" s="525"/>
      <c r="AE365" s="525"/>
      <c r="AF365" s="525"/>
      <c r="AG365" s="525"/>
      <c r="AH365" s="525"/>
      <c r="AI365" s="525"/>
      <c r="AJ365" s="525"/>
      <c r="AK365" s="525"/>
      <c r="AL365" s="525"/>
      <c r="AM365" s="525"/>
      <c r="AN365" s="525"/>
      <c r="AO365" s="525"/>
      <c r="AP365" s="525"/>
      <c r="AQ365" s="525"/>
      <c r="AR365" s="525"/>
      <c r="AS365" s="525"/>
      <c r="AT365" s="525"/>
      <c r="AU365" s="525"/>
      <c r="AV365" s="525"/>
      <c r="AW365" s="525"/>
      <c r="AX365" s="525"/>
      <c r="AY365" s="525"/>
      <c r="AZ365" s="525"/>
      <c r="BA365" s="525"/>
      <c r="BB365" s="525"/>
      <c r="BC365" s="525"/>
      <c r="BD365" s="525"/>
      <c r="BE365" s="525"/>
      <c r="BF365" s="525"/>
      <c r="BG365" s="525"/>
      <c r="BH365" s="525"/>
      <c r="BI365" s="525"/>
      <c r="BJ365" s="525"/>
      <c r="BK365" s="525"/>
      <c r="BL365" s="525"/>
      <c r="BM365" s="525"/>
      <c r="BN365" s="525"/>
      <c r="BO365" s="525"/>
      <c r="BP365" s="525"/>
      <c r="BQ365" s="525"/>
      <c r="BR365" s="525"/>
      <c r="BS365" s="525"/>
      <c r="BT365" s="525"/>
      <c r="BU365" s="525"/>
      <c r="BV365" s="525"/>
      <c r="BW365" s="525"/>
      <c r="BX365" s="525"/>
      <c r="BY365" s="525"/>
    </row>
    <row r="366" spans="1:77" x14ac:dyDescent="0.3">
      <c r="A366" s="551"/>
      <c r="B366" s="548"/>
      <c r="C366" s="525"/>
      <c r="D366" s="525"/>
      <c r="E366" s="636" t="str">
        <f>"Machines income: "&amp;E$155</f>
        <v>Machines income: FY27 Tranche</v>
      </c>
      <c r="F366" s="525"/>
      <c r="G366" s="525"/>
      <c r="H366" s="525"/>
      <c r="I366" s="525"/>
      <c r="J366" s="525"/>
      <c r="K366" s="525"/>
      <c r="L366" s="525"/>
      <c r="M366" s="525"/>
      <c r="N366" s="525"/>
      <c r="O366" s="525"/>
      <c r="P366" s="565"/>
      <c r="Q366" s="525"/>
      <c r="R366" s="527">
        <f t="shared" ref="R366:AW366" si="525">R$603*$R155</f>
        <v>3875.0082122846684</v>
      </c>
      <c r="S366" s="527">
        <f t="shared" si="525"/>
        <v>3875.0082122846684</v>
      </c>
      <c r="T366" s="527">
        <f t="shared" si="525"/>
        <v>3875.0082122846684</v>
      </c>
      <c r="U366" s="527">
        <f t="shared" si="525"/>
        <v>3875.0082122846684</v>
      </c>
      <c r="V366" s="527">
        <f t="shared" si="525"/>
        <v>3875.0082122846684</v>
      </c>
      <c r="W366" s="527">
        <f t="shared" si="525"/>
        <v>3875.0082122846684</v>
      </c>
      <c r="X366" s="527">
        <f t="shared" si="525"/>
        <v>3875.0082122846684</v>
      </c>
      <c r="Y366" s="527">
        <f t="shared" si="525"/>
        <v>3875.0082122846684</v>
      </c>
      <c r="Z366" s="527">
        <f t="shared" si="525"/>
        <v>3875.0082122846684</v>
      </c>
      <c r="AA366" s="527">
        <f t="shared" si="525"/>
        <v>3875.0082122846684</v>
      </c>
      <c r="AB366" s="527">
        <f t="shared" si="525"/>
        <v>3875.0082122846684</v>
      </c>
      <c r="AC366" s="527">
        <f t="shared" si="525"/>
        <v>3875.0082122846684</v>
      </c>
      <c r="AD366" s="527">
        <f t="shared" si="525"/>
        <v>3875.0082122846684</v>
      </c>
      <c r="AE366" s="527">
        <f t="shared" si="525"/>
        <v>3875.0082122846684</v>
      </c>
      <c r="AF366" s="527">
        <f t="shared" si="525"/>
        <v>3875.0082122846684</v>
      </c>
      <c r="AG366" s="527">
        <f t="shared" si="525"/>
        <v>3875.0082122846684</v>
      </c>
      <c r="AH366" s="527">
        <f t="shared" si="525"/>
        <v>3875.0082122846684</v>
      </c>
      <c r="AI366" s="527">
        <f t="shared" si="525"/>
        <v>3875.0082122846684</v>
      </c>
      <c r="AJ366" s="527">
        <f t="shared" si="525"/>
        <v>3875.0082122846684</v>
      </c>
      <c r="AK366" s="527">
        <f t="shared" si="525"/>
        <v>3875.0082122846684</v>
      </c>
      <c r="AL366" s="527">
        <f t="shared" si="525"/>
        <v>3875.0082122846684</v>
      </c>
      <c r="AM366" s="527">
        <f t="shared" si="525"/>
        <v>3875.0082122846684</v>
      </c>
      <c r="AN366" s="527">
        <f t="shared" si="525"/>
        <v>3875.0082122846684</v>
      </c>
      <c r="AO366" s="527">
        <f t="shared" si="525"/>
        <v>3875.0082122846684</v>
      </c>
      <c r="AP366" s="527">
        <f t="shared" si="525"/>
        <v>3875.0082122846684</v>
      </c>
      <c r="AQ366" s="527">
        <f t="shared" si="525"/>
        <v>3875.0082122846684</v>
      </c>
      <c r="AR366" s="527">
        <f t="shared" si="525"/>
        <v>3875.0082122846684</v>
      </c>
      <c r="AS366" s="527">
        <f t="shared" si="525"/>
        <v>3875.0082122846684</v>
      </c>
      <c r="AT366" s="527">
        <f t="shared" si="525"/>
        <v>3875.0082122846684</v>
      </c>
      <c r="AU366" s="527">
        <f t="shared" si="525"/>
        <v>3875.0082122846684</v>
      </c>
      <c r="AV366" s="527">
        <f t="shared" si="525"/>
        <v>3875.0082122846684</v>
      </c>
      <c r="AW366" s="527">
        <f t="shared" si="525"/>
        <v>3875.0082122846684</v>
      </c>
      <c r="AX366" s="527">
        <f t="shared" ref="AX366:BY366" si="526">AX$603*$R155</f>
        <v>3875.0082122846684</v>
      </c>
      <c r="AY366" s="527">
        <f t="shared" si="526"/>
        <v>3875.0082122846684</v>
      </c>
      <c r="AZ366" s="527">
        <f t="shared" si="526"/>
        <v>3875.0082122846684</v>
      </c>
      <c r="BA366" s="527">
        <f t="shared" si="526"/>
        <v>3875.0082122846684</v>
      </c>
      <c r="BB366" s="527">
        <f t="shared" si="526"/>
        <v>3875.0082122846684</v>
      </c>
      <c r="BC366" s="527">
        <f t="shared" si="526"/>
        <v>3875.0082122846684</v>
      </c>
      <c r="BD366" s="527">
        <f t="shared" si="526"/>
        <v>3875.0082122846684</v>
      </c>
      <c r="BE366" s="527">
        <f t="shared" si="526"/>
        <v>3875.0082122846684</v>
      </c>
      <c r="BF366" s="527">
        <f t="shared" si="526"/>
        <v>3875.0082122846684</v>
      </c>
      <c r="BG366" s="527">
        <f t="shared" si="526"/>
        <v>3875.0082122846684</v>
      </c>
      <c r="BH366" s="527">
        <f t="shared" si="526"/>
        <v>3875.0082122846684</v>
      </c>
      <c r="BI366" s="527">
        <f t="shared" si="526"/>
        <v>3875.0082122846684</v>
      </c>
      <c r="BJ366" s="527">
        <f t="shared" si="526"/>
        <v>3875.0082122846684</v>
      </c>
      <c r="BK366" s="527">
        <f t="shared" si="526"/>
        <v>3875.0082122846684</v>
      </c>
      <c r="BL366" s="527">
        <f t="shared" si="526"/>
        <v>3875.0082122846684</v>
      </c>
      <c r="BM366" s="527">
        <f t="shared" si="526"/>
        <v>3875.0082122846684</v>
      </c>
      <c r="BN366" s="527">
        <f t="shared" si="526"/>
        <v>3875.0082122846684</v>
      </c>
      <c r="BO366" s="527">
        <f t="shared" si="526"/>
        <v>3875.0082122846684</v>
      </c>
      <c r="BP366" s="527">
        <f t="shared" si="526"/>
        <v>3875.0082122846684</v>
      </c>
      <c r="BQ366" s="527">
        <f t="shared" si="526"/>
        <v>3875.0082122846684</v>
      </c>
      <c r="BR366" s="527">
        <f t="shared" si="526"/>
        <v>3875.0082122846684</v>
      </c>
      <c r="BS366" s="527">
        <f t="shared" si="526"/>
        <v>3875.0082122846684</v>
      </c>
      <c r="BT366" s="527">
        <f t="shared" si="526"/>
        <v>3875.0082122846684</v>
      </c>
      <c r="BU366" s="527">
        <f t="shared" si="526"/>
        <v>3875.0082122846684</v>
      </c>
      <c r="BV366" s="527">
        <f t="shared" si="526"/>
        <v>3875.0082122846684</v>
      </c>
      <c r="BW366" s="527">
        <f t="shared" si="526"/>
        <v>3875.0082122846684</v>
      </c>
      <c r="BX366" s="527">
        <f t="shared" si="526"/>
        <v>3875.0082122846684</v>
      </c>
      <c r="BY366" s="527">
        <f t="shared" si="526"/>
        <v>3875.0082122846684</v>
      </c>
    </row>
    <row r="367" spans="1:77" x14ac:dyDescent="0.3">
      <c r="A367" s="551"/>
      <c r="B367" s="548"/>
      <c r="C367" s="525"/>
      <c r="D367" s="525"/>
      <c r="E367" s="636" t="str">
        <f>"Machines income: "&amp;E$156</f>
        <v>Machines income: FY28 Tranche</v>
      </c>
      <c r="F367" s="525"/>
      <c r="G367" s="525"/>
      <c r="H367" s="525"/>
      <c r="I367" s="525"/>
      <c r="J367" s="525"/>
      <c r="K367" s="525"/>
      <c r="L367" s="525"/>
      <c r="M367" s="525"/>
      <c r="N367" s="525"/>
      <c r="O367" s="525"/>
      <c r="P367" s="565"/>
      <c r="Q367" s="525"/>
      <c r="R367" s="527">
        <f t="shared" ref="R367:AW367" si="527">R$603*$R156</f>
        <v>3875.0082122846684</v>
      </c>
      <c r="S367" s="527">
        <f t="shared" si="527"/>
        <v>3875.0082122846684</v>
      </c>
      <c r="T367" s="527">
        <f t="shared" si="527"/>
        <v>3875.0082122846684</v>
      </c>
      <c r="U367" s="527">
        <f t="shared" si="527"/>
        <v>3875.0082122846684</v>
      </c>
      <c r="V367" s="527">
        <f t="shared" si="527"/>
        <v>3875.0082122846684</v>
      </c>
      <c r="W367" s="527">
        <f t="shared" si="527"/>
        <v>3875.0082122846684</v>
      </c>
      <c r="X367" s="527">
        <f t="shared" si="527"/>
        <v>3875.0082122846684</v>
      </c>
      <c r="Y367" s="527">
        <f t="shared" si="527"/>
        <v>3875.0082122846684</v>
      </c>
      <c r="Z367" s="527">
        <f t="shared" si="527"/>
        <v>3875.0082122846684</v>
      </c>
      <c r="AA367" s="527">
        <f t="shared" si="527"/>
        <v>3875.0082122846684</v>
      </c>
      <c r="AB367" s="527">
        <f t="shared" si="527"/>
        <v>3875.0082122846684</v>
      </c>
      <c r="AC367" s="527">
        <f t="shared" si="527"/>
        <v>3875.0082122846684</v>
      </c>
      <c r="AD367" s="527">
        <f t="shared" si="527"/>
        <v>3875.0082122846684</v>
      </c>
      <c r="AE367" s="527">
        <f t="shared" si="527"/>
        <v>3875.0082122846684</v>
      </c>
      <c r="AF367" s="527">
        <f t="shared" si="527"/>
        <v>3875.0082122846684</v>
      </c>
      <c r="AG367" s="527">
        <f t="shared" si="527"/>
        <v>3875.0082122846684</v>
      </c>
      <c r="AH367" s="527">
        <f t="shared" si="527"/>
        <v>3875.0082122846684</v>
      </c>
      <c r="AI367" s="527">
        <f t="shared" si="527"/>
        <v>3875.0082122846684</v>
      </c>
      <c r="AJ367" s="527">
        <f t="shared" si="527"/>
        <v>3875.0082122846684</v>
      </c>
      <c r="AK367" s="527">
        <f t="shared" si="527"/>
        <v>3875.0082122846684</v>
      </c>
      <c r="AL367" s="527">
        <f t="shared" si="527"/>
        <v>3875.0082122846684</v>
      </c>
      <c r="AM367" s="527">
        <f t="shared" si="527"/>
        <v>3875.0082122846684</v>
      </c>
      <c r="AN367" s="527">
        <f t="shared" si="527"/>
        <v>3875.0082122846684</v>
      </c>
      <c r="AO367" s="527">
        <f t="shared" si="527"/>
        <v>3875.0082122846684</v>
      </c>
      <c r="AP367" s="527">
        <f t="shared" si="527"/>
        <v>3875.0082122846684</v>
      </c>
      <c r="AQ367" s="527">
        <f t="shared" si="527"/>
        <v>3875.0082122846684</v>
      </c>
      <c r="AR367" s="527">
        <f t="shared" si="527"/>
        <v>3875.0082122846684</v>
      </c>
      <c r="AS367" s="527">
        <f t="shared" si="527"/>
        <v>3875.0082122846684</v>
      </c>
      <c r="AT367" s="527">
        <f t="shared" si="527"/>
        <v>3875.0082122846684</v>
      </c>
      <c r="AU367" s="527">
        <f t="shared" si="527"/>
        <v>3875.0082122846684</v>
      </c>
      <c r="AV367" s="527">
        <f t="shared" si="527"/>
        <v>3875.0082122846684</v>
      </c>
      <c r="AW367" s="527">
        <f t="shared" si="527"/>
        <v>3875.0082122846684</v>
      </c>
      <c r="AX367" s="527">
        <f t="shared" ref="AX367:BY367" si="528">AX$603*$R156</f>
        <v>3875.0082122846684</v>
      </c>
      <c r="AY367" s="527">
        <f t="shared" si="528"/>
        <v>3875.0082122846684</v>
      </c>
      <c r="AZ367" s="527">
        <f t="shared" si="528"/>
        <v>3875.0082122846684</v>
      </c>
      <c r="BA367" s="527">
        <f t="shared" si="528"/>
        <v>3875.0082122846684</v>
      </c>
      <c r="BB367" s="527">
        <f t="shared" si="528"/>
        <v>3875.0082122846684</v>
      </c>
      <c r="BC367" s="527">
        <f t="shared" si="528"/>
        <v>3875.0082122846684</v>
      </c>
      <c r="BD367" s="527">
        <f t="shared" si="528"/>
        <v>3875.0082122846684</v>
      </c>
      <c r="BE367" s="527">
        <f t="shared" si="528"/>
        <v>3875.0082122846684</v>
      </c>
      <c r="BF367" s="527">
        <f t="shared" si="528"/>
        <v>3875.0082122846684</v>
      </c>
      <c r="BG367" s="527">
        <f t="shared" si="528"/>
        <v>3875.0082122846684</v>
      </c>
      <c r="BH367" s="527">
        <f t="shared" si="528"/>
        <v>3875.0082122846684</v>
      </c>
      <c r="BI367" s="527">
        <f t="shared" si="528"/>
        <v>3875.0082122846684</v>
      </c>
      <c r="BJ367" s="527">
        <f t="shared" si="528"/>
        <v>3875.0082122846684</v>
      </c>
      <c r="BK367" s="527">
        <f t="shared" si="528"/>
        <v>3875.0082122846684</v>
      </c>
      <c r="BL367" s="527">
        <f t="shared" si="528"/>
        <v>3875.0082122846684</v>
      </c>
      <c r="BM367" s="527">
        <f t="shared" si="528"/>
        <v>3875.0082122846684</v>
      </c>
      <c r="BN367" s="527">
        <f t="shared" si="528"/>
        <v>3875.0082122846684</v>
      </c>
      <c r="BO367" s="527">
        <f t="shared" si="528"/>
        <v>3875.0082122846684</v>
      </c>
      <c r="BP367" s="527">
        <f t="shared" si="528"/>
        <v>3875.0082122846684</v>
      </c>
      <c r="BQ367" s="527">
        <f t="shared" si="528"/>
        <v>3875.0082122846684</v>
      </c>
      <c r="BR367" s="527">
        <f t="shared" si="528"/>
        <v>3875.0082122846684</v>
      </c>
      <c r="BS367" s="527">
        <f t="shared" si="528"/>
        <v>3875.0082122846684</v>
      </c>
      <c r="BT367" s="527">
        <f t="shared" si="528"/>
        <v>3875.0082122846684</v>
      </c>
      <c r="BU367" s="527">
        <f t="shared" si="528"/>
        <v>3875.0082122846684</v>
      </c>
      <c r="BV367" s="527">
        <f t="shared" si="528"/>
        <v>3875.0082122846684</v>
      </c>
      <c r="BW367" s="527">
        <f t="shared" si="528"/>
        <v>3875.0082122846684</v>
      </c>
      <c r="BX367" s="527">
        <f t="shared" si="528"/>
        <v>3875.0082122846684</v>
      </c>
      <c r="BY367" s="527">
        <f t="shared" si="528"/>
        <v>3875.0082122846684</v>
      </c>
    </row>
    <row r="368" spans="1:77" x14ac:dyDescent="0.3">
      <c r="A368" s="551"/>
      <c r="B368" s="548"/>
      <c r="C368" s="525"/>
      <c r="D368" s="525"/>
      <c r="E368" s="636" t="str">
        <f>"Machines income: "&amp;E$157</f>
        <v>Machines income: FY29 Tranche</v>
      </c>
      <c r="F368" s="525"/>
      <c r="G368" s="525"/>
      <c r="H368" s="525"/>
      <c r="I368" s="525"/>
      <c r="J368" s="525"/>
      <c r="K368" s="525"/>
      <c r="L368" s="525"/>
      <c r="M368" s="525"/>
      <c r="N368" s="525"/>
      <c r="O368" s="525"/>
      <c r="P368" s="565"/>
      <c r="Q368" s="525"/>
      <c r="R368" s="527">
        <f t="shared" ref="R368:AW368" si="529">R$603*$R157</f>
        <v>3875.0082122846684</v>
      </c>
      <c r="S368" s="527">
        <f t="shared" si="529"/>
        <v>3875.0082122846684</v>
      </c>
      <c r="T368" s="527">
        <f t="shared" si="529"/>
        <v>3875.0082122846684</v>
      </c>
      <c r="U368" s="527">
        <f t="shared" si="529"/>
        <v>3875.0082122846684</v>
      </c>
      <c r="V368" s="527">
        <f t="shared" si="529"/>
        <v>3875.0082122846684</v>
      </c>
      <c r="W368" s="527">
        <f t="shared" si="529"/>
        <v>3875.0082122846684</v>
      </c>
      <c r="X368" s="527">
        <f t="shared" si="529"/>
        <v>3875.0082122846684</v>
      </c>
      <c r="Y368" s="527">
        <f t="shared" si="529"/>
        <v>3875.0082122846684</v>
      </c>
      <c r="Z368" s="527">
        <f t="shared" si="529"/>
        <v>3875.0082122846684</v>
      </c>
      <c r="AA368" s="527">
        <f t="shared" si="529"/>
        <v>3875.0082122846684</v>
      </c>
      <c r="AB368" s="527">
        <f t="shared" si="529"/>
        <v>3875.0082122846684</v>
      </c>
      <c r="AC368" s="527">
        <f t="shared" si="529"/>
        <v>3875.0082122846684</v>
      </c>
      <c r="AD368" s="527">
        <f t="shared" si="529"/>
        <v>3875.0082122846684</v>
      </c>
      <c r="AE368" s="527">
        <f t="shared" si="529"/>
        <v>3875.0082122846684</v>
      </c>
      <c r="AF368" s="527">
        <f t="shared" si="529"/>
        <v>3875.0082122846684</v>
      </c>
      <c r="AG368" s="527">
        <f t="shared" si="529"/>
        <v>3875.0082122846684</v>
      </c>
      <c r="AH368" s="527">
        <f t="shared" si="529"/>
        <v>3875.0082122846684</v>
      </c>
      <c r="AI368" s="527">
        <f t="shared" si="529"/>
        <v>3875.0082122846684</v>
      </c>
      <c r="AJ368" s="527">
        <f t="shared" si="529"/>
        <v>3875.0082122846684</v>
      </c>
      <c r="AK368" s="527">
        <f t="shared" si="529"/>
        <v>3875.0082122846684</v>
      </c>
      <c r="AL368" s="527">
        <f t="shared" si="529"/>
        <v>3875.0082122846684</v>
      </c>
      <c r="AM368" s="527">
        <f t="shared" si="529"/>
        <v>3875.0082122846684</v>
      </c>
      <c r="AN368" s="527">
        <f t="shared" si="529"/>
        <v>3875.0082122846684</v>
      </c>
      <c r="AO368" s="527">
        <f t="shared" si="529"/>
        <v>3875.0082122846684</v>
      </c>
      <c r="AP368" s="527">
        <f t="shared" si="529"/>
        <v>3875.0082122846684</v>
      </c>
      <c r="AQ368" s="527">
        <f t="shared" si="529"/>
        <v>3875.0082122846684</v>
      </c>
      <c r="AR368" s="527">
        <f t="shared" si="529"/>
        <v>3875.0082122846684</v>
      </c>
      <c r="AS368" s="527">
        <f t="shared" si="529"/>
        <v>3875.0082122846684</v>
      </c>
      <c r="AT368" s="527">
        <f t="shared" si="529"/>
        <v>3875.0082122846684</v>
      </c>
      <c r="AU368" s="527">
        <f t="shared" si="529"/>
        <v>3875.0082122846684</v>
      </c>
      <c r="AV368" s="527">
        <f t="shared" si="529"/>
        <v>3875.0082122846684</v>
      </c>
      <c r="AW368" s="527">
        <f t="shared" si="529"/>
        <v>3875.0082122846684</v>
      </c>
      <c r="AX368" s="527">
        <f t="shared" ref="AX368:BY368" si="530">AX$603*$R157</f>
        <v>3875.0082122846684</v>
      </c>
      <c r="AY368" s="527">
        <f t="shared" si="530"/>
        <v>3875.0082122846684</v>
      </c>
      <c r="AZ368" s="527">
        <f t="shared" si="530"/>
        <v>3875.0082122846684</v>
      </c>
      <c r="BA368" s="527">
        <f t="shared" si="530"/>
        <v>3875.0082122846684</v>
      </c>
      <c r="BB368" s="527">
        <f t="shared" si="530"/>
        <v>3875.0082122846684</v>
      </c>
      <c r="BC368" s="527">
        <f t="shared" si="530"/>
        <v>3875.0082122846684</v>
      </c>
      <c r="BD368" s="527">
        <f t="shared" si="530"/>
        <v>3875.0082122846684</v>
      </c>
      <c r="BE368" s="527">
        <f t="shared" si="530"/>
        <v>3875.0082122846684</v>
      </c>
      <c r="BF368" s="527">
        <f t="shared" si="530"/>
        <v>3875.0082122846684</v>
      </c>
      <c r="BG368" s="527">
        <f t="shared" si="530"/>
        <v>3875.0082122846684</v>
      </c>
      <c r="BH368" s="527">
        <f t="shared" si="530"/>
        <v>3875.0082122846684</v>
      </c>
      <c r="BI368" s="527">
        <f t="shared" si="530"/>
        <v>3875.0082122846684</v>
      </c>
      <c r="BJ368" s="527">
        <f t="shared" si="530"/>
        <v>3875.0082122846684</v>
      </c>
      <c r="BK368" s="527">
        <f t="shared" si="530"/>
        <v>3875.0082122846684</v>
      </c>
      <c r="BL368" s="527">
        <f t="shared" si="530"/>
        <v>3875.0082122846684</v>
      </c>
      <c r="BM368" s="527">
        <f t="shared" si="530"/>
        <v>3875.0082122846684</v>
      </c>
      <c r="BN368" s="527">
        <f t="shared" si="530"/>
        <v>3875.0082122846684</v>
      </c>
      <c r="BO368" s="527">
        <f t="shared" si="530"/>
        <v>3875.0082122846684</v>
      </c>
      <c r="BP368" s="527">
        <f t="shared" si="530"/>
        <v>3875.0082122846684</v>
      </c>
      <c r="BQ368" s="527">
        <f t="shared" si="530"/>
        <v>3875.0082122846684</v>
      </c>
      <c r="BR368" s="527">
        <f t="shared" si="530"/>
        <v>3875.0082122846684</v>
      </c>
      <c r="BS368" s="527">
        <f t="shared" si="530"/>
        <v>3875.0082122846684</v>
      </c>
      <c r="BT368" s="527">
        <f t="shared" si="530"/>
        <v>3875.0082122846684</v>
      </c>
      <c r="BU368" s="527">
        <f t="shared" si="530"/>
        <v>3875.0082122846684</v>
      </c>
      <c r="BV368" s="527">
        <f t="shared" si="530"/>
        <v>3875.0082122846684</v>
      </c>
      <c r="BW368" s="527">
        <f t="shared" si="530"/>
        <v>3875.0082122846684</v>
      </c>
      <c r="BX368" s="527">
        <f t="shared" si="530"/>
        <v>3875.0082122846684</v>
      </c>
      <c r="BY368" s="527">
        <f t="shared" si="530"/>
        <v>3875.0082122846684</v>
      </c>
    </row>
    <row r="369" spans="1:77" x14ac:dyDescent="0.3">
      <c r="A369" s="551"/>
      <c r="B369" s="548"/>
      <c r="C369" s="525"/>
      <c r="D369" s="525"/>
      <c r="E369" s="636" t="str">
        <f>"Machines income: "&amp;E$158</f>
        <v>Machines income: FY30 Tranche</v>
      </c>
      <c r="F369" s="525"/>
      <c r="G369" s="525"/>
      <c r="H369" s="525"/>
      <c r="I369" s="525"/>
      <c r="J369" s="525"/>
      <c r="K369" s="525"/>
      <c r="L369" s="525"/>
      <c r="M369" s="525"/>
      <c r="N369" s="525"/>
      <c r="O369" s="525"/>
      <c r="P369" s="565"/>
      <c r="Q369" s="525"/>
      <c r="R369" s="527">
        <f t="shared" ref="R369:AW369" si="531">R$603*$R158</f>
        <v>3875.0082122846684</v>
      </c>
      <c r="S369" s="527">
        <f t="shared" si="531"/>
        <v>3875.0082122846684</v>
      </c>
      <c r="T369" s="527">
        <f t="shared" si="531"/>
        <v>3875.0082122846684</v>
      </c>
      <c r="U369" s="527">
        <f t="shared" si="531"/>
        <v>3875.0082122846684</v>
      </c>
      <c r="V369" s="527">
        <f t="shared" si="531"/>
        <v>3875.0082122846684</v>
      </c>
      <c r="W369" s="527">
        <f t="shared" si="531"/>
        <v>3875.0082122846684</v>
      </c>
      <c r="X369" s="527">
        <f t="shared" si="531"/>
        <v>3875.0082122846684</v>
      </c>
      <c r="Y369" s="527">
        <f t="shared" si="531"/>
        <v>3875.0082122846684</v>
      </c>
      <c r="Z369" s="527">
        <f t="shared" si="531"/>
        <v>3875.0082122846684</v>
      </c>
      <c r="AA369" s="527">
        <f t="shared" si="531"/>
        <v>3875.0082122846684</v>
      </c>
      <c r="AB369" s="527">
        <f t="shared" si="531"/>
        <v>3875.0082122846684</v>
      </c>
      <c r="AC369" s="527">
        <f t="shared" si="531"/>
        <v>3875.0082122846684</v>
      </c>
      <c r="AD369" s="527">
        <f t="shared" si="531"/>
        <v>3875.0082122846684</v>
      </c>
      <c r="AE369" s="527">
        <f t="shared" si="531"/>
        <v>3875.0082122846684</v>
      </c>
      <c r="AF369" s="527">
        <f t="shared" si="531"/>
        <v>3875.0082122846684</v>
      </c>
      <c r="AG369" s="527">
        <f t="shared" si="531"/>
        <v>3875.0082122846684</v>
      </c>
      <c r="AH369" s="527">
        <f t="shared" si="531"/>
        <v>3875.0082122846684</v>
      </c>
      <c r="AI369" s="527">
        <f t="shared" si="531"/>
        <v>3875.0082122846684</v>
      </c>
      <c r="AJ369" s="527">
        <f t="shared" si="531"/>
        <v>3875.0082122846684</v>
      </c>
      <c r="AK369" s="527">
        <f t="shared" si="531"/>
        <v>3875.0082122846684</v>
      </c>
      <c r="AL369" s="527">
        <f t="shared" si="531"/>
        <v>3875.0082122846684</v>
      </c>
      <c r="AM369" s="527">
        <f t="shared" si="531"/>
        <v>3875.0082122846684</v>
      </c>
      <c r="AN369" s="527">
        <f t="shared" si="531"/>
        <v>3875.0082122846684</v>
      </c>
      <c r="AO369" s="527">
        <f t="shared" si="531"/>
        <v>3875.0082122846684</v>
      </c>
      <c r="AP369" s="527">
        <f t="shared" si="531"/>
        <v>3875.0082122846684</v>
      </c>
      <c r="AQ369" s="527">
        <f t="shared" si="531"/>
        <v>3875.0082122846684</v>
      </c>
      <c r="AR369" s="527">
        <f t="shared" si="531"/>
        <v>3875.0082122846684</v>
      </c>
      <c r="AS369" s="527">
        <f t="shared" si="531"/>
        <v>3875.0082122846684</v>
      </c>
      <c r="AT369" s="527">
        <f t="shared" si="531"/>
        <v>3875.0082122846684</v>
      </c>
      <c r="AU369" s="527">
        <f t="shared" si="531"/>
        <v>3875.0082122846684</v>
      </c>
      <c r="AV369" s="527">
        <f t="shared" si="531"/>
        <v>3875.0082122846684</v>
      </c>
      <c r="AW369" s="527">
        <f t="shared" si="531"/>
        <v>3875.0082122846684</v>
      </c>
      <c r="AX369" s="527">
        <f t="shared" ref="AX369:BY369" si="532">AX$603*$R158</f>
        <v>3875.0082122846684</v>
      </c>
      <c r="AY369" s="527">
        <f t="shared" si="532"/>
        <v>3875.0082122846684</v>
      </c>
      <c r="AZ369" s="527">
        <f t="shared" si="532"/>
        <v>3875.0082122846684</v>
      </c>
      <c r="BA369" s="527">
        <f t="shared" si="532"/>
        <v>3875.0082122846684</v>
      </c>
      <c r="BB369" s="527">
        <f t="shared" si="532"/>
        <v>3875.0082122846684</v>
      </c>
      <c r="BC369" s="527">
        <f t="shared" si="532"/>
        <v>3875.0082122846684</v>
      </c>
      <c r="BD369" s="527">
        <f t="shared" si="532"/>
        <v>3875.0082122846684</v>
      </c>
      <c r="BE369" s="527">
        <f t="shared" si="532"/>
        <v>3875.0082122846684</v>
      </c>
      <c r="BF369" s="527">
        <f t="shared" si="532"/>
        <v>3875.0082122846684</v>
      </c>
      <c r="BG369" s="527">
        <f t="shared" si="532"/>
        <v>3875.0082122846684</v>
      </c>
      <c r="BH369" s="527">
        <f t="shared" si="532"/>
        <v>3875.0082122846684</v>
      </c>
      <c r="BI369" s="527">
        <f t="shared" si="532"/>
        <v>3875.0082122846684</v>
      </c>
      <c r="BJ369" s="527">
        <f t="shared" si="532"/>
        <v>3875.0082122846684</v>
      </c>
      <c r="BK369" s="527">
        <f t="shared" si="532"/>
        <v>3875.0082122846684</v>
      </c>
      <c r="BL369" s="527">
        <f t="shared" si="532"/>
        <v>3875.0082122846684</v>
      </c>
      <c r="BM369" s="527">
        <f t="shared" si="532"/>
        <v>3875.0082122846684</v>
      </c>
      <c r="BN369" s="527">
        <f t="shared" si="532"/>
        <v>3875.0082122846684</v>
      </c>
      <c r="BO369" s="527">
        <f t="shared" si="532"/>
        <v>3875.0082122846684</v>
      </c>
      <c r="BP369" s="527">
        <f t="shared" si="532"/>
        <v>3875.0082122846684</v>
      </c>
      <c r="BQ369" s="527">
        <f t="shared" si="532"/>
        <v>3875.0082122846684</v>
      </c>
      <c r="BR369" s="527">
        <f t="shared" si="532"/>
        <v>3875.0082122846684</v>
      </c>
      <c r="BS369" s="527">
        <f t="shared" si="532"/>
        <v>3875.0082122846684</v>
      </c>
      <c r="BT369" s="527">
        <f t="shared" si="532"/>
        <v>3875.0082122846684</v>
      </c>
      <c r="BU369" s="527">
        <f t="shared" si="532"/>
        <v>3875.0082122846684</v>
      </c>
      <c r="BV369" s="527">
        <f t="shared" si="532"/>
        <v>3875.0082122846684</v>
      </c>
      <c r="BW369" s="527">
        <f t="shared" si="532"/>
        <v>3875.0082122846684</v>
      </c>
      <c r="BX369" s="527">
        <f t="shared" si="532"/>
        <v>3875.0082122846684</v>
      </c>
      <c r="BY369" s="527">
        <f t="shared" si="532"/>
        <v>3875.0082122846684</v>
      </c>
    </row>
    <row r="370" spans="1:77" x14ac:dyDescent="0.3">
      <c r="A370" s="551"/>
      <c r="B370" s="548"/>
      <c r="C370" s="525"/>
      <c r="D370" s="525"/>
      <c r="E370" s="636" t="str">
        <f>"Machines income: "&amp;E$159</f>
        <v>Machines income: FY31 Tranche</v>
      </c>
      <c r="F370" s="525"/>
      <c r="G370" s="525"/>
      <c r="H370" s="525"/>
      <c r="I370" s="525"/>
      <c r="J370" s="525"/>
      <c r="K370" s="525"/>
      <c r="L370" s="525"/>
      <c r="M370" s="525"/>
      <c r="N370" s="525"/>
      <c r="O370" s="525"/>
      <c r="P370" s="565"/>
      <c r="Q370" s="525"/>
      <c r="R370" s="527">
        <f t="shared" ref="R370:AW370" si="533">R$603*$R159</f>
        <v>3875.0082122846684</v>
      </c>
      <c r="S370" s="527">
        <f t="shared" si="533"/>
        <v>3875.0082122846684</v>
      </c>
      <c r="T370" s="527">
        <f t="shared" si="533"/>
        <v>3875.0082122846684</v>
      </c>
      <c r="U370" s="527">
        <f t="shared" si="533"/>
        <v>3875.0082122846684</v>
      </c>
      <c r="V370" s="527">
        <f t="shared" si="533"/>
        <v>3875.0082122846684</v>
      </c>
      <c r="W370" s="527">
        <f t="shared" si="533"/>
        <v>3875.0082122846684</v>
      </c>
      <c r="X370" s="527">
        <f t="shared" si="533"/>
        <v>3875.0082122846684</v>
      </c>
      <c r="Y370" s="527">
        <f t="shared" si="533"/>
        <v>3875.0082122846684</v>
      </c>
      <c r="Z370" s="527">
        <f t="shared" si="533"/>
        <v>3875.0082122846684</v>
      </c>
      <c r="AA370" s="527">
        <f t="shared" si="533"/>
        <v>3875.0082122846684</v>
      </c>
      <c r="AB370" s="527">
        <f t="shared" si="533"/>
        <v>3875.0082122846684</v>
      </c>
      <c r="AC370" s="527">
        <f t="shared" si="533"/>
        <v>3875.0082122846684</v>
      </c>
      <c r="AD370" s="527">
        <f t="shared" si="533"/>
        <v>3875.0082122846684</v>
      </c>
      <c r="AE370" s="527">
        <f t="shared" si="533"/>
        <v>3875.0082122846684</v>
      </c>
      <c r="AF370" s="527">
        <f t="shared" si="533"/>
        <v>3875.0082122846684</v>
      </c>
      <c r="AG370" s="527">
        <f t="shared" si="533"/>
        <v>3875.0082122846684</v>
      </c>
      <c r="AH370" s="527">
        <f t="shared" si="533"/>
        <v>3875.0082122846684</v>
      </c>
      <c r="AI370" s="527">
        <f t="shared" si="533"/>
        <v>3875.0082122846684</v>
      </c>
      <c r="AJ370" s="527">
        <f t="shared" si="533"/>
        <v>3875.0082122846684</v>
      </c>
      <c r="AK370" s="527">
        <f t="shared" si="533"/>
        <v>3875.0082122846684</v>
      </c>
      <c r="AL370" s="527">
        <f t="shared" si="533"/>
        <v>3875.0082122846684</v>
      </c>
      <c r="AM370" s="527">
        <f t="shared" si="533"/>
        <v>3875.0082122846684</v>
      </c>
      <c r="AN370" s="527">
        <f t="shared" si="533"/>
        <v>3875.0082122846684</v>
      </c>
      <c r="AO370" s="527">
        <f t="shared" si="533"/>
        <v>3875.0082122846684</v>
      </c>
      <c r="AP370" s="527">
        <f t="shared" si="533"/>
        <v>3875.0082122846684</v>
      </c>
      <c r="AQ370" s="527">
        <f t="shared" si="533"/>
        <v>3875.0082122846684</v>
      </c>
      <c r="AR370" s="527">
        <f t="shared" si="533"/>
        <v>3875.0082122846684</v>
      </c>
      <c r="AS370" s="527">
        <f t="shared" si="533"/>
        <v>3875.0082122846684</v>
      </c>
      <c r="AT370" s="527">
        <f t="shared" si="533"/>
        <v>3875.0082122846684</v>
      </c>
      <c r="AU370" s="527">
        <f t="shared" si="533"/>
        <v>3875.0082122846684</v>
      </c>
      <c r="AV370" s="527">
        <f t="shared" si="533"/>
        <v>3875.0082122846684</v>
      </c>
      <c r="AW370" s="527">
        <f t="shared" si="533"/>
        <v>3875.0082122846684</v>
      </c>
      <c r="AX370" s="527">
        <f t="shared" ref="AX370:BY370" si="534">AX$603*$R159</f>
        <v>3875.0082122846684</v>
      </c>
      <c r="AY370" s="527">
        <f t="shared" si="534"/>
        <v>3875.0082122846684</v>
      </c>
      <c r="AZ370" s="527">
        <f t="shared" si="534"/>
        <v>3875.0082122846684</v>
      </c>
      <c r="BA370" s="527">
        <f t="shared" si="534"/>
        <v>3875.0082122846684</v>
      </c>
      <c r="BB370" s="527">
        <f t="shared" si="534"/>
        <v>3875.0082122846684</v>
      </c>
      <c r="BC370" s="527">
        <f t="shared" si="534"/>
        <v>3875.0082122846684</v>
      </c>
      <c r="BD370" s="527">
        <f t="shared" si="534"/>
        <v>3875.0082122846684</v>
      </c>
      <c r="BE370" s="527">
        <f t="shared" si="534"/>
        <v>3875.0082122846684</v>
      </c>
      <c r="BF370" s="527">
        <f t="shared" si="534"/>
        <v>3875.0082122846684</v>
      </c>
      <c r="BG370" s="527">
        <f t="shared" si="534"/>
        <v>3875.0082122846684</v>
      </c>
      <c r="BH370" s="527">
        <f t="shared" si="534"/>
        <v>3875.0082122846684</v>
      </c>
      <c r="BI370" s="527">
        <f t="shared" si="534"/>
        <v>3875.0082122846684</v>
      </c>
      <c r="BJ370" s="527">
        <f t="shared" si="534"/>
        <v>3875.0082122846684</v>
      </c>
      <c r="BK370" s="527">
        <f t="shared" si="534"/>
        <v>3875.0082122846684</v>
      </c>
      <c r="BL370" s="527">
        <f t="shared" si="534"/>
        <v>3875.0082122846684</v>
      </c>
      <c r="BM370" s="527">
        <f t="shared" si="534"/>
        <v>3875.0082122846684</v>
      </c>
      <c r="BN370" s="527">
        <f t="shared" si="534"/>
        <v>3875.0082122846684</v>
      </c>
      <c r="BO370" s="527">
        <f t="shared" si="534"/>
        <v>3875.0082122846684</v>
      </c>
      <c r="BP370" s="527">
        <f t="shared" si="534"/>
        <v>3875.0082122846684</v>
      </c>
      <c r="BQ370" s="527">
        <f t="shared" si="534"/>
        <v>3875.0082122846684</v>
      </c>
      <c r="BR370" s="527">
        <f t="shared" si="534"/>
        <v>3875.0082122846684</v>
      </c>
      <c r="BS370" s="527">
        <f t="shared" si="534"/>
        <v>3875.0082122846684</v>
      </c>
      <c r="BT370" s="527">
        <f t="shared" si="534"/>
        <v>3875.0082122846684</v>
      </c>
      <c r="BU370" s="527">
        <f t="shared" si="534"/>
        <v>3875.0082122846684</v>
      </c>
      <c r="BV370" s="527">
        <f t="shared" si="534"/>
        <v>3875.0082122846684</v>
      </c>
      <c r="BW370" s="527">
        <f t="shared" si="534"/>
        <v>3875.0082122846684</v>
      </c>
      <c r="BX370" s="527">
        <f t="shared" si="534"/>
        <v>3875.0082122846684</v>
      </c>
      <c r="BY370" s="527">
        <f t="shared" si="534"/>
        <v>3875.0082122846684</v>
      </c>
    </row>
    <row r="371" spans="1:77" x14ac:dyDescent="0.3">
      <c r="A371" s="551"/>
      <c r="B371" s="548"/>
      <c r="C371" s="525"/>
      <c r="D371" s="525"/>
      <c r="E371" s="636" t="str">
        <f>"Machines income: "&amp;E$160</f>
        <v>Machines income: Uninvested Tranche</v>
      </c>
      <c r="F371" s="525"/>
      <c r="G371" s="525"/>
      <c r="H371" s="525"/>
      <c r="I371" s="525"/>
      <c r="J371" s="525"/>
      <c r="K371" s="525"/>
      <c r="L371" s="525"/>
      <c r="M371" s="525"/>
      <c r="N371" s="525"/>
      <c r="O371" s="525"/>
      <c r="P371" s="565"/>
      <c r="Q371" s="525"/>
      <c r="R371" s="527">
        <f t="shared" ref="R371:AW371" si="535">R$603*$R160</f>
        <v>8661.7830627539643</v>
      </c>
      <c r="S371" s="527">
        <f t="shared" si="535"/>
        <v>8661.7830627539643</v>
      </c>
      <c r="T371" s="527">
        <f t="shared" si="535"/>
        <v>8661.7830627539643</v>
      </c>
      <c r="U371" s="527">
        <f t="shared" si="535"/>
        <v>8661.7830627539643</v>
      </c>
      <c r="V371" s="527">
        <f t="shared" si="535"/>
        <v>8661.7830627539643</v>
      </c>
      <c r="W371" s="527">
        <f t="shared" si="535"/>
        <v>8661.7830627539643</v>
      </c>
      <c r="X371" s="527">
        <f t="shared" si="535"/>
        <v>8661.7830627539643</v>
      </c>
      <c r="Y371" s="527">
        <f t="shared" si="535"/>
        <v>8661.7830627539643</v>
      </c>
      <c r="Z371" s="527">
        <f t="shared" si="535"/>
        <v>8661.7830627539643</v>
      </c>
      <c r="AA371" s="527">
        <f t="shared" si="535"/>
        <v>8661.7830627539643</v>
      </c>
      <c r="AB371" s="527">
        <f t="shared" si="535"/>
        <v>8661.7830627539643</v>
      </c>
      <c r="AC371" s="527">
        <f t="shared" si="535"/>
        <v>8661.7830627539643</v>
      </c>
      <c r="AD371" s="527">
        <f t="shared" si="535"/>
        <v>8661.7830627539643</v>
      </c>
      <c r="AE371" s="527">
        <f t="shared" si="535"/>
        <v>8661.7830627539643</v>
      </c>
      <c r="AF371" s="527">
        <f t="shared" si="535"/>
        <v>8661.7830627539643</v>
      </c>
      <c r="AG371" s="527">
        <f t="shared" si="535"/>
        <v>8661.7830627539643</v>
      </c>
      <c r="AH371" s="527">
        <f t="shared" si="535"/>
        <v>8661.7830627539643</v>
      </c>
      <c r="AI371" s="527">
        <f t="shared" si="535"/>
        <v>8661.7830627539643</v>
      </c>
      <c r="AJ371" s="527">
        <f t="shared" si="535"/>
        <v>8661.7830627539643</v>
      </c>
      <c r="AK371" s="527">
        <f t="shared" si="535"/>
        <v>8661.7830627539643</v>
      </c>
      <c r="AL371" s="527">
        <f t="shared" si="535"/>
        <v>8661.7830627539643</v>
      </c>
      <c r="AM371" s="527">
        <f t="shared" si="535"/>
        <v>8661.7830627539643</v>
      </c>
      <c r="AN371" s="527">
        <f t="shared" si="535"/>
        <v>8661.7830627539643</v>
      </c>
      <c r="AO371" s="527">
        <f t="shared" si="535"/>
        <v>8661.7830627539643</v>
      </c>
      <c r="AP371" s="527">
        <f t="shared" si="535"/>
        <v>8661.7830627539643</v>
      </c>
      <c r="AQ371" s="527">
        <f t="shared" si="535"/>
        <v>8661.7830627539643</v>
      </c>
      <c r="AR371" s="527">
        <f t="shared" si="535"/>
        <v>8661.7830627539643</v>
      </c>
      <c r="AS371" s="527">
        <f t="shared" si="535"/>
        <v>8661.7830627539643</v>
      </c>
      <c r="AT371" s="527">
        <f t="shared" si="535"/>
        <v>8661.7830627539643</v>
      </c>
      <c r="AU371" s="527">
        <f t="shared" si="535"/>
        <v>8661.7830627539643</v>
      </c>
      <c r="AV371" s="527">
        <f t="shared" si="535"/>
        <v>8661.7830627539643</v>
      </c>
      <c r="AW371" s="527">
        <f t="shared" si="535"/>
        <v>8661.7830627539643</v>
      </c>
      <c r="AX371" s="527">
        <f t="shared" ref="AX371:BY371" si="536">AX$603*$R160</f>
        <v>8661.7830627539643</v>
      </c>
      <c r="AY371" s="527">
        <f t="shared" si="536"/>
        <v>8661.7830627539643</v>
      </c>
      <c r="AZ371" s="527">
        <f t="shared" si="536"/>
        <v>8661.7830627539643</v>
      </c>
      <c r="BA371" s="527">
        <f t="shared" si="536"/>
        <v>8661.7830627539643</v>
      </c>
      <c r="BB371" s="527">
        <f t="shared" si="536"/>
        <v>8661.7830627539643</v>
      </c>
      <c r="BC371" s="527">
        <f t="shared" si="536"/>
        <v>8661.7830627539643</v>
      </c>
      <c r="BD371" s="527">
        <f t="shared" si="536"/>
        <v>8661.7830627539643</v>
      </c>
      <c r="BE371" s="527">
        <f t="shared" si="536"/>
        <v>8661.7830627539643</v>
      </c>
      <c r="BF371" s="527">
        <f t="shared" si="536"/>
        <v>8661.7830627539643</v>
      </c>
      <c r="BG371" s="527">
        <f t="shared" si="536"/>
        <v>8661.7830627539643</v>
      </c>
      <c r="BH371" s="527">
        <f t="shared" si="536"/>
        <v>8661.7830627539643</v>
      </c>
      <c r="BI371" s="527">
        <f t="shared" si="536"/>
        <v>8661.7830627539643</v>
      </c>
      <c r="BJ371" s="527">
        <f t="shared" si="536"/>
        <v>8661.7830627539643</v>
      </c>
      <c r="BK371" s="527">
        <f t="shared" si="536"/>
        <v>8661.7830627539643</v>
      </c>
      <c r="BL371" s="527">
        <f t="shared" si="536"/>
        <v>8661.7830627539643</v>
      </c>
      <c r="BM371" s="527">
        <f t="shared" si="536"/>
        <v>8661.7830627539643</v>
      </c>
      <c r="BN371" s="527">
        <f t="shared" si="536"/>
        <v>8661.7830627539643</v>
      </c>
      <c r="BO371" s="527">
        <f t="shared" si="536"/>
        <v>8661.7830627539643</v>
      </c>
      <c r="BP371" s="527">
        <f t="shared" si="536"/>
        <v>8661.7830627539643</v>
      </c>
      <c r="BQ371" s="527">
        <f t="shared" si="536"/>
        <v>8661.7830627539643</v>
      </c>
      <c r="BR371" s="527">
        <f t="shared" si="536"/>
        <v>8661.7830627539643</v>
      </c>
      <c r="BS371" s="527">
        <f t="shared" si="536"/>
        <v>8661.7830627539643</v>
      </c>
      <c r="BT371" s="527">
        <f t="shared" si="536"/>
        <v>8661.7830627539643</v>
      </c>
      <c r="BU371" s="527">
        <f t="shared" si="536"/>
        <v>8661.7830627539643</v>
      </c>
      <c r="BV371" s="527">
        <f t="shared" si="536"/>
        <v>8661.7830627539643</v>
      </c>
      <c r="BW371" s="527">
        <f t="shared" si="536"/>
        <v>8661.7830627539643</v>
      </c>
      <c r="BX371" s="527">
        <f t="shared" si="536"/>
        <v>8661.7830627539643</v>
      </c>
      <c r="BY371" s="527">
        <f t="shared" si="536"/>
        <v>8661.7830627539643</v>
      </c>
    </row>
    <row r="372" spans="1:77" x14ac:dyDescent="0.3">
      <c r="A372" s="551"/>
      <c r="B372" s="548"/>
      <c r="C372" s="525"/>
      <c r="D372" s="525"/>
      <c r="E372" s="572" t="s">
        <v>36</v>
      </c>
      <c r="F372" s="572"/>
      <c r="G372" s="572"/>
      <c r="H372" s="572"/>
      <c r="I372" s="572"/>
      <c r="J372" s="572"/>
      <c r="K372" s="572"/>
      <c r="L372" s="572"/>
      <c r="M372" s="572"/>
      <c r="N372" s="572"/>
      <c r="O372" s="572"/>
      <c r="P372" s="612"/>
      <c r="Q372" s="572"/>
      <c r="R372" s="530">
        <f t="shared" ref="R372:AW372" si="537">SUM(R366:R371)</f>
        <v>28036.824124177307</v>
      </c>
      <c r="S372" s="530">
        <f t="shared" si="537"/>
        <v>28036.824124177307</v>
      </c>
      <c r="T372" s="530">
        <f t="shared" si="537"/>
        <v>28036.824124177307</v>
      </c>
      <c r="U372" s="530">
        <f t="shared" si="537"/>
        <v>28036.824124177307</v>
      </c>
      <c r="V372" s="530">
        <f t="shared" si="537"/>
        <v>28036.824124177307</v>
      </c>
      <c r="W372" s="530">
        <f t="shared" si="537"/>
        <v>28036.824124177307</v>
      </c>
      <c r="X372" s="530">
        <f t="shared" si="537"/>
        <v>28036.824124177307</v>
      </c>
      <c r="Y372" s="530">
        <f t="shared" si="537"/>
        <v>28036.824124177307</v>
      </c>
      <c r="Z372" s="530">
        <f t="shared" si="537"/>
        <v>28036.824124177307</v>
      </c>
      <c r="AA372" s="530">
        <f t="shared" si="537"/>
        <v>28036.824124177307</v>
      </c>
      <c r="AB372" s="530">
        <f t="shared" si="537"/>
        <v>28036.824124177307</v>
      </c>
      <c r="AC372" s="530">
        <f t="shared" si="537"/>
        <v>28036.824124177307</v>
      </c>
      <c r="AD372" s="530">
        <f t="shared" si="537"/>
        <v>28036.824124177307</v>
      </c>
      <c r="AE372" s="530">
        <f t="shared" si="537"/>
        <v>28036.824124177307</v>
      </c>
      <c r="AF372" s="530">
        <f t="shared" si="537"/>
        <v>28036.824124177307</v>
      </c>
      <c r="AG372" s="530">
        <f t="shared" si="537"/>
        <v>28036.824124177307</v>
      </c>
      <c r="AH372" s="530">
        <f t="shared" si="537"/>
        <v>28036.824124177307</v>
      </c>
      <c r="AI372" s="530">
        <f t="shared" si="537"/>
        <v>28036.824124177307</v>
      </c>
      <c r="AJ372" s="530">
        <f t="shared" si="537"/>
        <v>28036.824124177307</v>
      </c>
      <c r="AK372" s="530">
        <f t="shared" si="537"/>
        <v>28036.824124177307</v>
      </c>
      <c r="AL372" s="530">
        <f t="shared" si="537"/>
        <v>28036.824124177307</v>
      </c>
      <c r="AM372" s="530">
        <f t="shared" si="537"/>
        <v>28036.824124177307</v>
      </c>
      <c r="AN372" s="530">
        <f t="shared" si="537"/>
        <v>28036.824124177307</v>
      </c>
      <c r="AO372" s="530">
        <f t="shared" si="537"/>
        <v>28036.824124177307</v>
      </c>
      <c r="AP372" s="530">
        <f t="shared" si="537"/>
        <v>28036.824124177307</v>
      </c>
      <c r="AQ372" s="530">
        <f t="shared" si="537"/>
        <v>28036.824124177307</v>
      </c>
      <c r="AR372" s="530">
        <f t="shared" si="537"/>
        <v>28036.824124177307</v>
      </c>
      <c r="AS372" s="530">
        <f t="shared" si="537"/>
        <v>28036.824124177307</v>
      </c>
      <c r="AT372" s="530">
        <f t="shared" si="537"/>
        <v>28036.824124177307</v>
      </c>
      <c r="AU372" s="530">
        <f t="shared" si="537"/>
        <v>28036.824124177307</v>
      </c>
      <c r="AV372" s="530">
        <f t="shared" si="537"/>
        <v>28036.824124177307</v>
      </c>
      <c r="AW372" s="530">
        <f t="shared" si="537"/>
        <v>28036.824124177307</v>
      </c>
      <c r="AX372" s="530">
        <f t="shared" ref="AX372:BY372" si="538">SUM(AX366:AX371)</f>
        <v>28036.824124177307</v>
      </c>
      <c r="AY372" s="530">
        <f t="shared" si="538"/>
        <v>28036.824124177307</v>
      </c>
      <c r="AZ372" s="530">
        <f t="shared" si="538"/>
        <v>28036.824124177307</v>
      </c>
      <c r="BA372" s="530">
        <f t="shared" si="538"/>
        <v>28036.824124177307</v>
      </c>
      <c r="BB372" s="530">
        <f t="shared" si="538"/>
        <v>28036.824124177307</v>
      </c>
      <c r="BC372" s="530">
        <f t="shared" si="538"/>
        <v>28036.824124177307</v>
      </c>
      <c r="BD372" s="530">
        <f t="shared" si="538"/>
        <v>28036.824124177307</v>
      </c>
      <c r="BE372" s="530">
        <f t="shared" si="538"/>
        <v>28036.824124177307</v>
      </c>
      <c r="BF372" s="530">
        <f t="shared" si="538"/>
        <v>28036.824124177307</v>
      </c>
      <c r="BG372" s="530">
        <f t="shared" si="538"/>
        <v>28036.824124177307</v>
      </c>
      <c r="BH372" s="530">
        <f t="shared" si="538"/>
        <v>28036.824124177307</v>
      </c>
      <c r="BI372" s="530">
        <f t="shared" si="538"/>
        <v>28036.824124177307</v>
      </c>
      <c r="BJ372" s="530">
        <f t="shared" si="538"/>
        <v>28036.824124177307</v>
      </c>
      <c r="BK372" s="530">
        <f t="shared" si="538"/>
        <v>28036.824124177307</v>
      </c>
      <c r="BL372" s="530">
        <f t="shared" si="538"/>
        <v>28036.824124177307</v>
      </c>
      <c r="BM372" s="530">
        <f t="shared" si="538"/>
        <v>28036.824124177307</v>
      </c>
      <c r="BN372" s="530">
        <f t="shared" si="538"/>
        <v>28036.824124177307</v>
      </c>
      <c r="BO372" s="530">
        <f t="shared" si="538"/>
        <v>28036.824124177307</v>
      </c>
      <c r="BP372" s="530">
        <f t="shared" si="538"/>
        <v>28036.824124177307</v>
      </c>
      <c r="BQ372" s="530">
        <f t="shared" si="538"/>
        <v>28036.824124177307</v>
      </c>
      <c r="BR372" s="530">
        <f t="shared" si="538"/>
        <v>28036.824124177307</v>
      </c>
      <c r="BS372" s="530">
        <f t="shared" si="538"/>
        <v>28036.824124177307</v>
      </c>
      <c r="BT372" s="530">
        <f t="shared" si="538"/>
        <v>28036.824124177307</v>
      </c>
      <c r="BU372" s="530">
        <f t="shared" si="538"/>
        <v>28036.824124177307</v>
      </c>
      <c r="BV372" s="530">
        <f t="shared" si="538"/>
        <v>28036.824124177307</v>
      </c>
      <c r="BW372" s="530">
        <f t="shared" si="538"/>
        <v>28036.824124177307</v>
      </c>
      <c r="BX372" s="530">
        <f t="shared" si="538"/>
        <v>28036.824124177307</v>
      </c>
      <c r="BY372" s="530">
        <f t="shared" si="538"/>
        <v>28036.824124177307</v>
      </c>
    </row>
    <row r="373" spans="1:77" x14ac:dyDescent="0.3">
      <c r="A373" s="551"/>
      <c r="B373" s="548"/>
      <c r="C373" s="525"/>
      <c r="D373" s="525"/>
      <c r="E373" s="525"/>
      <c r="F373" s="525"/>
      <c r="G373" s="525"/>
      <c r="H373" s="525"/>
      <c r="I373" s="525"/>
      <c r="J373" s="525"/>
      <c r="K373" s="525"/>
      <c r="L373" s="525"/>
      <c r="M373" s="525"/>
      <c r="N373" s="525"/>
      <c r="O373" s="525"/>
      <c r="P373" s="565"/>
      <c r="Q373" s="525"/>
      <c r="R373" s="525"/>
      <c r="S373" s="525"/>
      <c r="T373" s="525"/>
      <c r="U373" s="525"/>
      <c r="V373" s="525"/>
      <c r="W373" s="525"/>
      <c r="X373" s="525"/>
      <c r="Y373" s="525"/>
      <c r="Z373" s="525"/>
      <c r="AA373" s="525"/>
      <c r="AB373" s="525"/>
      <c r="AC373" s="525"/>
      <c r="AD373" s="525"/>
      <c r="AE373" s="525"/>
      <c r="AF373" s="525"/>
      <c r="AG373" s="525"/>
      <c r="AH373" s="525"/>
      <c r="AI373" s="525"/>
      <c r="AJ373" s="525"/>
      <c r="AK373" s="525"/>
      <c r="AL373" s="525"/>
      <c r="AM373" s="525"/>
      <c r="AN373" s="525"/>
      <c r="AO373" s="525"/>
      <c r="AP373" s="525"/>
      <c r="AQ373" s="525"/>
      <c r="AR373" s="525"/>
      <c r="AS373" s="525"/>
      <c r="AT373" s="525"/>
      <c r="AU373" s="525"/>
      <c r="AV373" s="525"/>
      <c r="AW373" s="525"/>
      <c r="AX373" s="525"/>
      <c r="AY373" s="525"/>
      <c r="AZ373" s="525"/>
      <c r="BA373" s="525"/>
      <c r="BB373" s="525"/>
      <c r="BC373" s="525"/>
      <c r="BD373" s="525"/>
      <c r="BE373" s="525"/>
      <c r="BF373" s="525"/>
      <c r="BG373" s="525"/>
      <c r="BH373" s="525"/>
      <c r="BI373" s="525"/>
      <c r="BJ373" s="525"/>
      <c r="BK373" s="525"/>
      <c r="BL373" s="525"/>
      <c r="BM373" s="525"/>
      <c r="BN373" s="525"/>
      <c r="BO373" s="525"/>
      <c r="BP373" s="525"/>
      <c r="BQ373" s="525"/>
      <c r="BR373" s="525"/>
      <c r="BS373" s="525"/>
      <c r="BT373" s="525"/>
      <c r="BU373" s="525"/>
      <c r="BV373" s="525"/>
      <c r="BW373" s="525"/>
      <c r="BX373" s="525"/>
      <c r="BY373" s="525"/>
    </row>
    <row r="374" spans="1:77" x14ac:dyDescent="0.3">
      <c r="A374" s="551"/>
      <c r="B374" s="548"/>
      <c r="C374" s="525"/>
      <c r="D374" s="525"/>
      <c r="E374" s="637" t="str">
        <f>"F&amp;F income: "&amp;E$155</f>
        <v>F&amp;F income: FY27 Tranche</v>
      </c>
      <c r="F374" s="525"/>
      <c r="G374" s="525"/>
      <c r="H374" s="525"/>
      <c r="I374" s="525"/>
      <c r="J374" s="525"/>
      <c r="K374" s="525"/>
      <c r="L374" s="525"/>
      <c r="M374" s="525"/>
      <c r="N374" s="525"/>
      <c r="O374" s="525"/>
      <c r="P374" s="565"/>
      <c r="Q374" s="525"/>
      <c r="R374" s="527">
        <f t="shared" ref="R374:AW374" si="539">R$604*$R155</f>
        <v>1877.562005420054</v>
      </c>
      <c r="S374" s="527">
        <f t="shared" si="539"/>
        <v>1877.562005420054</v>
      </c>
      <c r="T374" s="527">
        <f t="shared" si="539"/>
        <v>1877.562005420054</v>
      </c>
      <c r="U374" s="527">
        <f t="shared" si="539"/>
        <v>1877.562005420054</v>
      </c>
      <c r="V374" s="527">
        <f t="shared" si="539"/>
        <v>1877.562005420054</v>
      </c>
      <c r="W374" s="527">
        <f t="shared" si="539"/>
        <v>1877.562005420054</v>
      </c>
      <c r="X374" s="527">
        <f t="shared" si="539"/>
        <v>1877.562005420054</v>
      </c>
      <c r="Y374" s="527">
        <f t="shared" si="539"/>
        <v>1877.562005420054</v>
      </c>
      <c r="Z374" s="527">
        <f t="shared" si="539"/>
        <v>1877.562005420054</v>
      </c>
      <c r="AA374" s="527">
        <f t="shared" si="539"/>
        <v>1877.562005420054</v>
      </c>
      <c r="AB374" s="527">
        <f t="shared" si="539"/>
        <v>1877.562005420054</v>
      </c>
      <c r="AC374" s="527">
        <f t="shared" si="539"/>
        <v>1877.562005420054</v>
      </c>
      <c r="AD374" s="527">
        <f t="shared" si="539"/>
        <v>1877.562005420054</v>
      </c>
      <c r="AE374" s="527">
        <f t="shared" si="539"/>
        <v>1877.562005420054</v>
      </c>
      <c r="AF374" s="527">
        <f t="shared" si="539"/>
        <v>1877.562005420054</v>
      </c>
      <c r="AG374" s="527">
        <f t="shared" si="539"/>
        <v>1877.562005420054</v>
      </c>
      <c r="AH374" s="527">
        <f t="shared" si="539"/>
        <v>1877.562005420054</v>
      </c>
      <c r="AI374" s="527">
        <f t="shared" si="539"/>
        <v>1877.562005420054</v>
      </c>
      <c r="AJ374" s="527">
        <f t="shared" si="539"/>
        <v>1877.562005420054</v>
      </c>
      <c r="AK374" s="527">
        <f t="shared" si="539"/>
        <v>1877.562005420054</v>
      </c>
      <c r="AL374" s="527">
        <f t="shared" si="539"/>
        <v>1877.562005420054</v>
      </c>
      <c r="AM374" s="527">
        <f t="shared" si="539"/>
        <v>1877.562005420054</v>
      </c>
      <c r="AN374" s="527">
        <f t="shared" si="539"/>
        <v>1877.562005420054</v>
      </c>
      <c r="AO374" s="527">
        <f t="shared" si="539"/>
        <v>1877.562005420054</v>
      </c>
      <c r="AP374" s="527">
        <f t="shared" si="539"/>
        <v>1877.562005420054</v>
      </c>
      <c r="AQ374" s="527">
        <f t="shared" si="539"/>
        <v>1877.562005420054</v>
      </c>
      <c r="AR374" s="527">
        <f t="shared" si="539"/>
        <v>1877.562005420054</v>
      </c>
      <c r="AS374" s="527">
        <f t="shared" si="539"/>
        <v>1877.562005420054</v>
      </c>
      <c r="AT374" s="527">
        <f t="shared" si="539"/>
        <v>1877.562005420054</v>
      </c>
      <c r="AU374" s="527">
        <f t="shared" si="539"/>
        <v>1877.562005420054</v>
      </c>
      <c r="AV374" s="527">
        <f t="shared" si="539"/>
        <v>1877.562005420054</v>
      </c>
      <c r="AW374" s="527">
        <f t="shared" si="539"/>
        <v>1877.562005420054</v>
      </c>
      <c r="AX374" s="527">
        <f t="shared" ref="AX374:BY374" si="540">AX$604*$R155</f>
        <v>1877.562005420054</v>
      </c>
      <c r="AY374" s="527">
        <f t="shared" si="540"/>
        <v>1877.562005420054</v>
      </c>
      <c r="AZ374" s="527">
        <f t="shared" si="540"/>
        <v>1877.562005420054</v>
      </c>
      <c r="BA374" s="527">
        <f t="shared" si="540"/>
        <v>1877.562005420054</v>
      </c>
      <c r="BB374" s="527">
        <f t="shared" si="540"/>
        <v>1877.562005420054</v>
      </c>
      <c r="BC374" s="527">
        <f t="shared" si="540"/>
        <v>1877.562005420054</v>
      </c>
      <c r="BD374" s="527">
        <f t="shared" si="540"/>
        <v>1877.562005420054</v>
      </c>
      <c r="BE374" s="527">
        <f t="shared" si="540"/>
        <v>1877.562005420054</v>
      </c>
      <c r="BF374" s="527">
        <f t="shared" si="540"/>
        <v>1877.562005420054</v>
      </c>
      <c r="BG374" s="527">
        <f t="shared" si="540"/>
        <v>1877.562005420054</v>
      </c>
      <c r="BH374" s="527">
        <f t="shared" si="540"/>
        <v>1877.562005420054</v>
      </c>
      <c r="BI374" s="527">
        <f t="shared" si="540"/>
        <v>1877.562005420054</v>
      </c>
      <c r="BJ374" s="527">
        <f t="shared" si="540"/>
        <v>1877.562005420054</v>
      </c>
      <c r="BK374" s="527">
        <f t="shared" si="540"/>
        <v>1877.562005420054</v>
      </c>
      <c r="BL374" s="527">
        <f t="shared" si="540"/>
        <v>1877.562005420054</v>
      </c>
      <c r="BM374" s="527">
        <f t="shared" si="540"/>
        <v>1877.562005420054</v>
      </c>
      <c r="BN374" s="527">
        <f t="shared" si="540"/>
        <v>1877.562005420054</v>
      </c>
      <c r="BO374" s="527">
        <f t="shared" si="540"/>
        <v>1877.562005420054</v>
      </c>
      <c r="BP374" s="527">
        <f t="shared" si="540"/>
        <v>1877.562005420054</v>
      </c>
      <c r="BQ374" s="527">
        <f t="shared" si="540"/>
        <v>1877.562005420054</v>
      </c>
      <c r="BR374" s="527">
        <f t="shared" si="540"/>
        <v>1877.562005420054</v>
      </c>
      <c r="BS374" s="527">
        <f t="shared" si="540"/>
        <v>1877.562005420054</v>
      </c>
      <c r="BT374" s="527">
        <f t="shared" si="540"/>
        <v>1877.562005420054</v>
      </c>
      <c r="BU374" s="527">
        <f t="shared" si="540"/>
        <v>1877.562005420054</v>
      </c>
      <c r="BV374" s="527">
        <f t="shared" si="540"/>
        <v>1877.562005420054</v>
      </c>
      <c r="BW374" s="527">
        <f t="shared" si="540"/>
        <v>1877.562005420054</v>
      </c>
      <c r="BX374" s="527">
        <f t="shared" si="540"/>
        <v>1877.562005420054</v>
      </c>
      <c r="BY374" s="527">
        <f t="shared" si="540"/>
        <v>1877.562005420054</v>
      </c>
    </row>
    <row r="375" spans="1:77" x14ac:dyDescent="0.3">
      <c r="A375" s="551"/>
      <c r="B375" s="548"/>
      <c r="C375" s="525"/>
      <c r="D375" s="525"/>
      <c r="E375" s="637" t="str">
        <f>"F&amp;F income: "&amp;E$156</f>
        <v>F&amp;F income: FY28 Tranche</v>
      </c>
      <c r="F375" s="525"/>
      <c r="G375" s="525"/>
      <c r="H375" s="525"/>
      <c r="I375" s="525"/>
      <c r="J375" s="525"/>
      <c r="K375" s="525"/>
      <c r="L375" s="525"/>
      <c r="M375" s="525"/>
      <c r="N375" s="525"/>
      <c r="O375" s="525"/>
      <c r="P375" s="565"/>
      <c r="Q375" s="525"/>
      <c r="R375" s="527">
        <f t="shared" ref="R375:AW375" si="541">R$604*$R156</f>
        <v>1877.562005420054</v>
      </c>
      <c r="S375" s="527">
        <f t="shared" si="541"/>
        <v>1877.562005420054</v>
      </c>
      <c r="T375" s="527">
        <f t="shared" si="541"/>
        <v>1877.562005420054</v>
      </c>
      <c r="U375" s="527">
        <f t="shared" si="541"/>
        <v>1877.562005420054</v>
      </c>
      <c r="V375" s="527">
        <f t="shared" si="541"/>
        <v>1877.562005420054</v>
      </c>
      <c r="W375" s="527">
        <f t="shared" si="541"/>
        <v>1877.562005420054</v>
      </c>
      <c r="X375" s="527">
        <f t="shared" si="541"/>
        <v>1877.562005420054</v>
      </c>
      <c r="Y375" s="527">
        <f t="shared" si="541"/>
        <v>1877.562005420054</v>
      </c>
      <c r="Z375" s="527">
        <f t="shared" si="541"/>
        <v>1877.562005420054</v>
      </c>
      <c r="AA375" s="527">
        <f t="shared" si="541"/>
        <v>1877.562005420054</v>
      </c>
      <c r="AB375" s="527">
        <f t="shared" si="541"/>
        <v>1877.562005420054</v>
      </c>
      <c r="AC375" s="527">
        <f t="shared" si="541"/>
        <v>1877.562005420054</v>
      </c>
      <c r="AD375" s="527">
        <f t="shared" si="541"/>
        <v>1877.562005420054</v>
      </c>
      <c r="AE375" s="527">
        <f t="shared" si="541"/>
        <v>1877.562005420054</v>
      </c>
      <c r="AF375" s="527">
        <f t="shared" si="541"/>
        <v>1877.562005420054</v>
      </c>
      <c r="AG375" s="527">
        <f t="shared" si="541"/>
        <v>1877.562005420054</v>
      </c>
      <c r="AH375" s="527">
        <f t="shared" si="541"/>
        <v>1877.562005420054</v>
      </c>
      <c r="AI375" s="527">
        <f t="shared" si="541"/>
        <v>1877.562005420054</v>
      </c>
      <c r="AJ375" s="527">
        <f t="shared" si="541"/>
        <v>1877.562005420054</v>
      </c>
      <c r="AK375" s="527">
        <f t="shared" si="541"/>
        <v>1877.562005420054</v>
      </c>
      <c r="AL375" s="527">
        <f t="shared" si="541"/>
        <v>1877.562005420054</v>
      </c>
      <c r="AM375" s="527">
        <f t="shared" si="541"/>
        <v>1877.562005420054</v>
      </c>
      <c r="AN375" s="527">
        <f t="shared" si="541"/>
        <v>1877.562005420054</v>
      </c>
      <c r="AO375" s="527">
        <f t="shared" si="541"/>
        <v>1877.562005420054</v>
      </c>
      <c r="AP375" s="527">
        <f t="shared" si="541"/>
        <v>1877.562005420054</v>
      </c>
      <c r="AQ375" s="527">
        <f t="shared" si="541"/>
        <v>1877.562005420054</v>
      </c>
      <c r="AR375" s="527">
        <f t="shared" si="541"/>
        <v>1877.562005420054</v>
      </c>
      <c r="AS375" s="527">
        <f t="shared" si="541"/>
        <v>1877.562005420054</v>
      </c>
      <c r="AT375" s="527">
        <f t="shared" si="541"/>
        <v>1877.562005420054</v>
      </c>
      <c r="AU375" s="527">
        <f t="shared" si="541"/>
        <v>1877.562005420054</v>
      </c>
      <c r="AV375" s="527">
        <f t="shared" si="541"/>
        <v>1877.562005420054</v>
      </c>
      <c r="AW375" s="527">
        <f t="shared" si="541"/>
        <v>1877.562005420054</v>
      </c>
      <c r="AX375" s="527">
        <f t="shared" ref="AX375:BY375" si="542">AX$604*$R156</f>
        <v>1877.562005420054</v>
      </c>
      <c r="AY375" s="527">
        <f t="shared" si="542"/>
        <v>1877.562005420054</v>
      </c>
      <c r="AZ375" s="527">
        <f t="shared" si="542"/>
        <v>1877.562005420054</v>
      </c>
      <c r="BA375" s="527">
        <f t="shared" si="542"/>
        <v>1877.562005420054</v>
      </c>
      <c r="BB375" s="527">
        <f t="shared" si="542"/>
        <v>1877.562005420054</v>
      </c>
      <c r="BC375" s="527">
        <f t="shared" si="542"/>
        <v>1877.562005420054</v>
      </c>
      <c r="BD375" s="527">
        <f t="shared" si="542"/>
        <v>1877.562005420054</v>
      </c>
      <c r="BE375" s="527">
        <f t="shared" si="542"/>
        <v>1877.562005420054</v>
      </c>
      <c r="BF375" s="527">
        <f t="shared" si="542"/>
        <v>1877.562005420054</v>
      </c>
      <c r="BG375" s="527">
        <f t="shared" si="542"/>
        <v>1877.562005420054</v>
      </c>
      <c r="BH375" s="527">
        <f t="shared" si="542"/>
        <v>1877.562005420054</v>
      </c>
      <c r="BI375" s="527">
        <f t="shared" si="542"/>
        <v>1877.562005420054</v>
      </c>
      <c r="BJ375" s="527">
        <f t="shared" si="542"/>
        <v>1877.562005420054</v>
      </c>
      <c r="BK375" s="527">
        <f t="shared" si="542"/>
        <v>1877.562005420054</v>
      </c>
      <c r="BL375" s="527">
        <f t="shared" si="542"/>
        <v>1877.562005420054</v>
      </c>
      <c r="BM375" s="527">
        <f t="shared" si="542"/>
        <v>1877.562005420054</v>
      </c>
      <c r="BN375" s="527">
        <f t="shared" si="542"/>
        <v>1877.562005420054</v>
      </c>
      <c r="BO375" s="527">
        <f t="shared" si="542"/>
        <v>1877.562005420054</v>
      </c>
      <c r="BP375" s="527">
        <f t="shared" si="542"/>
        <v>1877.562005420054</v>
      </c>
      <c r="BQ375" s="527">
        <f t="shared" si="542"/>
        <v>1877.562005420054</v>
      </c>
      <c r="BR375" s="527">
        <f t="shared" si="542"/>
        <v>1877.562005420054</v>
      </c>
      <c r="BS375" s="527">
        <f t="shared" si="542"/>
        <v>1877.562005420054</v>
      </c>
      <c r="BT375" s="527">
        <f t="shared" si="542"/>
        <v>1877.562005420054</v>
      </c>
      <c r="BU375" s="527">
        <f t="shared" si="542"/>
        <v>1877.562005420054</v>
      </c>
      <c r="BV375" s="527">
        <f t="shared" si="542"/>
        <v>1877.562005420054</v>
      </c>
      <c r="BW375" s="527">
        <f t="shared" si="542"/>
        <v>1877.562005420054</v>
      </c>
      <c r="BX375" s="527">
        <f t="shared" si="542"/>
        <v>1877.562005420054</v>
      </c>
      <c r="BY375" s="527">
        <f t="shared" si="542"/>
        <v>1877.562005420054</v>
      </c>
    </row>
    <row r="376" spans="1:77" x14ac:dyDescent="0.3">
      <c r="A376" s="551"/>
      <c r="B376" s="548"/>
      <c r="C376" s="525"/>
      <c r="D376" s="525"/>
      <c r="E376" s="637" t="str">
        <f>"F&amp;F income: "&amp;E$157</f>
        <v>F&amp;F income: FY29 Tranche</v>
      </c>
      <c r="F376" s="525"/>
      <c r="G376" s="525"/>
      <c r="H376" s="525"/>
      <c r="I376" s="525"/>
      <c r="J376" s="525"/>
      <c r="K376" s="525"/>
      <c r="L376" s="525"/>
      <c r="M376" s="525"/>
      <c r="N376" s="525"/>
      <c r="O376" s="525"/>
      <c r="P376" s="565"/>
      <c r="Q376" s="525"/>
      <c r="R376" s="527">
        <f t="shared" ref="R376:AW376" si="543">R$604*$R157</f>
        <v>1877.562005420054</v>
      </c>
      <c r="S376" s="527">
        <f t="shared" si="543"/>
        <v>1877.562005420054</v>
      </c>
      <c r="T376" s="527">
        <f t="shared" si="543"/>
        <v>1877.562005420054</v>
      </c>
      <c r="U376" s="527">
        <f t="shared" si="543"/>
        <v>1877.562005420054</v>
      </c>
      <c r="V376" s="527">
        <f t="shared" si="543"/>
        <v>1877.562005420054</v>
      </c>
      <c r="W376" s="527">
        <f t="shared" si="543"/>
        <v>1877.562005420054</v>
      </c>
      <c r="X376" s="527">
        <f t="shared" si="543"/>
        <v>1877.562005420054</v>
      </c>
      <c r="Y376" s="527">
        <f t="shared" si="543"/>
        <v>1877.562005420054</v>
      </c>
      <c r="Z376" s="527">
        <f t="shared" si="543"/>
        <v>1877.562005420054</v>
      </c>
      <c r="AA376" s="527">
        <f t="shared" si="543"/>
        <v>1877.562005420054</v>
      </c>
      <c r="AB376" s="527">
        <f t="shared" si="543"/>
        <v>1877.562005420054</v>
      </c>
      <c r="AC376" s="527">
        <f t="shared" si="543"/>
        <v>1877.562005420054</v>
      </c>
      <c r="AD376" s="527">
        <f t="shared" si="543"/>
        <v>1877.562005420054</v>
      </c>
      <c r="AE376" s="527">
        <f t="shared" si="543"/>
        <v>1877.562005420054</v>
      </c>
      <c r="AF376" s="527">
        <f t="shared" si="543"/>
        <v>1877.562005420054</v>
      </c>
      <c r="AG376" s="527">
        <f t="shared" si="543"/>
        <v>1877.562005420054</v>
      </c>
      <c r="AH376" s="527">
        <f t="shared" si="543"/>
        <v>1877.562005420054</v>
      </c>
      <c r="AI376" s="527">
        <f t="shared" si="543"/>
        <v>1877.562005420054</v>
      </c>
      <c r="AJ376" s="527">
        <f t="shared" si="543"/>
        <v>1877.562005420054</v>
      </c>
      <c r="AK376" s="527">
        <f t="shared" si="543"/>
        <v>1877.562005420054</v>
      </c>
      <c r="AL376" s="527">
        <f t="shared" si="543"/>
        <v>1877.562005420054</v>
      </c>
      <c r="AM376" s="527">
        <f t="shared" si="543"/>
        <v>1877.562005420054</v>
      </c>
      <c r="AN376" s="527">
        <f t="shared" si="543"/>
        <v>1877.562005420054</v>
      </c>
      <c r="AO376" s="527">
        <f t="shared" si="543"/>
        <v>1877.562005420054</v>
      </c>
      <c r="AP376" s="527">
        <f t="shared" si="543"/>
        <v>1877.562005420054</v>
      </c>
      <c r="AQ376" s="527">
        <f t="shared" si="543"/>
        <v>1877.562005420054</v>
      </c>
      <c r="AR376" s="527">
        <f t="shared" si="543"/>
        <v>1877.562005420054</v>
      </c>
      <c r="AS376" s="527">
        <f t="shared" si="543"/>
        <v>1877.562005420054</v>
      </c>
      <c r="AT376" s="527">
        <f t="shared" si="543"/>
        <v>1877.562005420054</v>
      </c>
      <c r="AU376" s="527">
        <f t="shared" si="543"/>
        <v>1877.562005420054</v>
      </c>
      <c r="AV376" s="527">
        <f t="shared" si="543"/>
        <v>1877.562005420054</v>
      </c>
      <c r="AW376" s="527">
        <f t="shared" si="543"/>
        <v>1877.562005420054</v>
      </c>
      <c r="AX376" s="527">
        <f t="shared" ref="AX376:BY376" si="544">AX$604*$R157</f>
        <v>1877.562005420054</v>
      </c>
      <c r="AY376" s="527">
        <f t="shared" si="544"/>
        <v>1877.562005420054</v>
      </c>
      <c r="AZ376" s="527">
        <f t="shared" si="544"/>
        <v>1877.562005420054</v>
      </c>
      <c r="BA376" s="527">
        <f t="shared" si="544"/>
        <v>1877.562005420054</v>
      </c>
      <c r="BB376" s="527">
        <f t="shared" si="544"/>
        <v>1877.562005420054</v>
      </c>
      <c r="BC376" s="527">
        <f t="shared" si="544"/>
        <v>1877.562005420054</v>
      </c>
      <c r="BD376" s="527">
        <f t="shared" si="544"/>
        <v>1877.562005420054</v>
      </c>
      <c r="BE376" s="527">
        <f t="shared" si="544"/>
        <v>1877.562005420054</v>
      </c>
      <c r="BF376" s="527">
        <f t="shared" si="544"/>
        <v>1877.562005420054</v>
      </c>
      <c r="BG376" s="527">
        <f t="shared" si="544"/>
        <v>1877.562005420054</v>
      </c>
      <c r="BH376" s="527">
        <f t="shared" si="544"/>
        <v>1877.562005420054</v>
      </c>
      <c r="BI376" s="527">
        <f t="shared" si="544"/>
        <v>1877.562005420054</v>
      </c>
      <c r="BJ376" s="527">
        <f t="shared" si="544"/>
        <v>1877.562005420054</v>
      </c>
      <c r="BK376" s="527">
        <f t="shared" si="544"/>
        <v>1877.562005420054</v>
      </c>
      <c r="BL376" s="527">
        <f t="shared" si="544"/>
        <v>1877.562005420054</v>
      </c>
      <c r="BM376" s="527">
        <f t="shared" si="544"/>
        <v>1877.562005420054</v>
      </c>
      <c r="BN376" s="527">
        <f t="shared" si="544"/>
        <v>1877.562005420054</v>
      </c>
      <c r="BO376" s="527">
        <f t="shared" si="544"/>
        <v>1877.562005420054</v>
      </c>
      <c r="BP376" s="527">
        <f t="shared" si="544"/>
        <v>1877.562005420054</v>
      </c>
      <c r="BQ376" s="527">
        <f t="shared" si="544"/>
        <v>1877.562005420054</v>
      </c>
      <c r="BR376" s="527">
        <f t="shared" si="544"/>
        <v>1877.562005420054</v>
      </c>
      <c r="BS376" s="527">
        <f t="shared" si="544"/>
        <v>1877.562005420054</v>
      </c>
      <c r="BT376" s="527">
        <f t="shared" si="544"/>
        <v>1877.562005420054</v>
      </c>
      <c r="BU376" s="527">
        <f t="shared" si="544"/>
        <v>1877.562005420054</v>
      </c>
      <c r="BV376" s="527">
        <f t="shared" si="544"/>
        <v>1877.562005420054</v>
      </c>
      <c r="BW376" s="527">
        <f t="shared" si="544"/>
        <v>1877.562005420054</v>
      </c>
      <c r="BX376" s="527">
        <f t="shared" si="544"/>
        <v>1877.562005420054</v>
      </c>
      <c r="BY376" s="527">
        <f t="shared" si="544"/>
        <v>1877.562005420054</v>
      </c>
    </row>
    <row r="377" spans="1:77" x14ac:dyDescent="0.3">
      <c r="A377" s="551"/>
      <c r="B377" s="548"/>
      <c r="C377" s="525"/>
      <c r="D377" s="525"/>
      <c r="E377" s="637" t="str">
        <f>"F&amp;F income: "&amp;E$158</f>
        <v>F&amp;F income: FY30 Tranche</v>
      </c>
      <c r="F377" s="525"/>
      <c r="G377" s="525"/>
      <c r="H377" s="525"/>
      <c r="I377" s="525"/>
      <c r="J377" s="525"/>
      <c r="K377" s="525"/>
      <c r="L377" s="525"/>
      <c r="M377" s="525"/>
      <c r="N377" s="525"/>
      <c r="O377" s="525"/>
      <c r="P377" s="565"/>
      <c r="Q377" s="525"/>
      <c r="R377" s="527">
        <f t="shared" ref="R377:AW377" si="545">R$604*$R158</f>
        <v>1877.562005420054</v>
      </c>
      <c r="S377" s="527">
        <f t="shared" si="545"/>
        <v>1877.562005420054</v>
      </c>
      <c r="T377" s="527">
        <f t="shared" si="545"/>
        <v>1877.562005420054</v>
      </c>
      <c r="U377" s="527">
        <f t="shared" si="545"/>
        <v>1877.562005420054</v>
      </c>
      <c r="V377" s="527">
        <f t="shared" si="545"/>
        <v>1877.562005420054</v>
      </c>
      <c r="W377" s="527">
        <f t="shared" si="545"/>
        <v>1877.562005420054</v>
      </c>
      <c r="X377" s="527">
        <f t="shared" si="545"/>
        <v>1877.562005420054</v>
      </c>
      <c r="Y377" s="527">
        <f t="shared" si="545"/>
        <v>1877.562005420054</v>
      </c>
      <c r="Z377" s="527">
        <f t="shared" si="545"/>
        <v>1877.562005420054</v>
      </c>
      <c r="AA377" s="527">
        <f t="shared" si="545"/>
        <v>1877.562005420054</v>
      </c>
      <c r="AB377" s="527">
        <f t="shared" si="545"/>
        <v>1877.562005420054</v>
      </c>
      <c r="AC377" s="527">
        <f t="shared" si="545"/>
        <v>1877.562005420054</v>
      </c>
      <c r="AD377" s="527">
        <f t="shared" si="545"/>
        <v>1877.562005420054</v>
      </c>
      <c r="AE377" s="527">
        <f t="shared" si="545"/>
        <v>1877.562005420054</v>
      </c>
      <c r="AF377" s="527">
        <f t="shared" si="545"/>
        <v>1877.562005420054</v>
      </c>
      <c r="AG377" s="527">
        <f t="shared" si="545"/>
        <v>1877.562005420054</v>
      </c>
      <c r="AH377" s="527">
        <f t="shared" si="545"/>
        <v>1877.562005420054</v>
      </c>
      <c r="AI377" s="527">
        <f t="shared" si="545"/>
        <v>1877.562005420054</v>
      </c>
      <c r="AJ377" s="527">
        <f t="shared" si="545"/>
        <v>1877.562005420054</v>
      </c>
      <c r="AK377" s="527">
        <f t="shared" si="545"/>
        <v>1877.562005420054</v>
      </c>
      <c r="AL377" s="527">
        <f t="shared" si="545"/>
        <v>1877.562005420054</v>
      </c>
      <c r="AM377" s="527">
        <f t="shared" si="545"/>
        <v>1877.562005420054</v>
      </c>
      <c r="AN377" s="527">
        <f t="shared" si="545"/>
        <v>1877.562005420054</v>
      </c>
      <c r="AO377" s="527">
        <f t="shared" si="545"/>
        <v>1877.562005420054</v>
      </c>
      <c r="AP377" s="527">
        <f t="shared" si="545"/>
        <v>1877.562005420054</v>
      </c>
      <c r="AQ377" s="527">
        <f t="shared" si="545"/>
        <v>1877.562005420054</v>
      </c>
      <c r="AR377" s="527">
        <f t="shared" si="545"/>
        <v>1877.562005420054</v>
      </c>
      <c r="AS377" s="527">
        <f t="shared" si="545"/>
        <v>1877.562005420054</v>
      </c>
      <c r="AT377" s="527">
        <f t="shared" si="545"/>
        <v>1877.562005420054</v>
      </c>
      <c r="AU377" s="527">
        <f t="shared" si="545"/>
        <v>1877.562005420054</v>
      </c>
      <c r="AV377" s="527">
        <f t="shared" si="545"/>
        <v>1877.562005420054</v>
      </c>
      <c r="AW377" s="527">
        <f t="shared" si="545"/>
        <v>1877.562005420054</v>
      </c>
      <c r="AX377" s="527">
        <f t="shared" ref="AX377:BY377" si="546">AX$604*$R158</f>
        <v>1877.562005420054</v>
      </c>
      <c r="AY377" s="527">
        <f t="shared" si="546"/>
        <v>1877.562005420054</v>
      </c>
      <c r="AZ377" s="527">
        <f t="shared" si="546"/>
        <v>1877.562005420054</v>
      </c>
      <c r="BA377" s="527">
        <f t="shared" si="546"/>
        <v>1877.562005420054</v>
      </c>
      <c r="BB377" s="527">
        <f t="shared" si="546"/>
        <v>1877.562005420054</v>
      </c>
      <c r="BC377" s="527">
        <f t="shared" si="546"/>
        <v>1877.562005420054</v>
      </c>
      <c r="BD377" s="527">
        <f t="shared" si="546"/>
        <v>1877.562005420054</v>
      </c>
      <c r="BE377" s="527">
        <f t="shared" si="546"/>
        <v>1877.562005420054</v>
      </c>
      <c r="BF377" s="527">
        <f t="shared" si="546"/>
        <v>1877.562005420054</v>
      </c>
      <c r="BG377" s="527">
        <f t="shared" si="546"/>
        <v>1877.562005420054</v>
      </c>
      <c r="BH377" s="527">
        <f t="shared" si="546"/>
        <v>1877.562005420054</v>
      </c>
      <c r="BI377" s="527">
        <f t="shared" si="546"/>
        <v>1877.562005420054</v>
      </c>
      <c r="BJ377" s="527">
        <f t="shared" si="546"/>
        <v>1877.562005420054</v>
      </c>
      <c r="BK377" s="527">
        <f t="shared" si="546"/>
        <v>1877.562005420054</v>
      </c>
      <c r="BL377" s="527">
        <f t="shared" si="546"/>
        <v>1877.562005420054</v>
      </c>
      <c r="BM377" s="527">
        <f t="shared" si="546"/>
        <v>1877.562005420054</v>
      </c>
      <c r="BN377" s="527">
        <f t="shared" si="546"/>
        <v>1877.562005420054</v>
      </c>
      <c r="BO377" s="527">
        <f t="shared" si="546"/>
        <v>1877.562005420054</v>
      </c>
      <c r="BP377" s="527">
        <f t="shared" si="546"/>
        <v>1877.562005420054</v>
      </c>
      <c r="BQ377" s="527">
        <f t="shared" si="546"/>
        <v>1877.562005420054</v>
      </c>
      <c r="BR377" s="527">
        <f t="shared" si="546"/>
        <v>1877.562005420054</v>
      </c>
      <c r="BS377" s="527">
        <f t="shared" si="546"/>
        <v>1877.562005420054</v>
      </c>
      <c r="BT377" s="527">
        <f t="shared" si="546"/>
        <v>1877.562005420054</v>
      </c>
      <c r="BU377" s="527">
        <f t="shared" si="546"/>
        <v>1877.562005420054</v>
      </c>
      <c r="BV377" s="527">
        <f t="shared" si="546"/>
        <v>1877.562005420054</v>
      </c>
      <c r="BW377" s="527">
        <f t="shared" si="546"/>
        <v>1877.562005420054</v>
      </c>
      <c r="BX377" s="527">
        <f t="shared" si="546"/>
        <v>1877.562005420054</v>
      </c>
      <c r="BY377" s="527">
        <f t="shared" si="546"/>
        <v>1877.562005420054</v>
      </c>
    </row>
    <row r="378" spans="1:77" x14ac:dyDescent="0.3">
      <c r="A378" s="551"/>
      <c r="B378" s="548"/>
      <c r="C378" s="525"/>
      <c r="D378" s="525"/>
      <c r="E378" s="637" t="str">
        <f>"F&amp;F income: "&amp;E$159</f>
        <v>F&amp;F income: FY31 Tranche</v>
      </c>
      <c r="F378" s="525"/>
      <c r="G378" s="525"/>
      <c r="H378" s="525"/>
      <c r="I378" s="525"/>
      <c r="J378" s="525"/>
      <c r="K378" s="525"/>
      <c r="L378" s="525"/>
      <c r="M378" s="525"/>
      <c r="N378" s="525"/>
      <c r="O378" s="525"/>
      <c r="P378" s="565"/>
      <c r="Q378" s="525"/>
      <c r="R378" s="527">
        <f t="shared" ref="R378:AW378" si="547">R$604*$R159</f>
        <v>1877.562005420054</v>
      </c>
      <c r="S378" s="527">
        <f t="shared" si="547"/>
        <v>1877.562005420054</v>
      </c>
      <c r="T378" s="527">
        <f t="shared" si="547"/>
        <v>1877.562005420054</v>
      </c>
      <c r="U378" s="527">
        <f t="shared" si="547"/>
        <v>1877.562005420054</v>
      </c>
      <c r="V378" s="527">
        <f t="shared" si="547"/>
        <v>1877.562005420054</v>
      </c>
      <c r="W378" s="527">
        <f t="shared" si="547"/>
        <v>1877.562005420054</v>
      </c>
      <c r="X378" s="527">
        <f t="shared" si="547"/>
        <v>1877.562005420054</v>
      </c>
      <c r="Y378" s="527">
        <f t="shared" si="547"/>
        <v>1877.562005420054</v>
      </c>
      <c r="Z378" s="527">
        <f t="shared" si="547"/>
        <v>1877.562005420054</v>
      </c>
      <c r="AA378" s="527">
        <f t="shared" si="547"/>
        <v>1877.562005420054</v>
      </c>
      <c r="AB378" s="527">
        <f t="shared" si="547"/>
        <v>1877.562005420054</v>
      </c>
      <c r="AC378" s="527">
        <f t="shared" si="547"/>
        <v>1877.562005420054</v>
      </c>
      <c r="AD378" s="527">
        <f t="shared" si="547"/>
        <v>1877.562005420054</v>
      </c>
      <c r="AE378" s="527">
        <f t="shared" si="547"/>
        <v>1877.562005420054</v>
      </c>
      <c r="AF378" s="527">
        <f t="shared" si="547"/>
        <v>1877.562005420054</v>
      </c>
      <c r="AG378" s="527">
        <f t="shared" si="547"/>
        <v>1877.562005420054</v>
      </c>
      <c r="AH378" s="527">
        <f t="shared" si="547"/>
        <v>1877.562005420054</v>
      </c>
      <c r="AI378" s="527">
        <f t="shared" si="547"/>
        <v>1877.562005420054</v>
      </c>
      <c r="AJ378" s="527">
        <f t="shared" si="547"/>
        <v>1877.562005420054</v>
      </c>
      <c r="AK378" s="527">
        <f t="shared" si="547"/>
        <v>1877.562005420054</v>
      </c>
      <c r="AL378" s="527">
        <f t="shared" si="547"/>
        <v>1877.562005420054</v>
      </c>
      <c r="AM378" s="527">
        <f t="shared" si="547"/>
        <v>1877.562005420054</v>
      </c>
      <c r="AN378" s="527">
        <f t="shared" si="547"/>
        <v>1877.562005420054</v>
      </c>
      <c r="AO378" s="527">
        <f t="shared" si="547"/>
        <v>1877.562005420054</v>
      </c>
      <c r="AP378" s="527">
        <f t="shared" si="547"/>
        <v>1877.562005420054</v>
      </c>
      <c r="AQ378" s="527">
        <f t="shared" si="547"/>
        <v>1877.562005420054</v>
      </c>
      <c r="AR378" s="527">
        <f t="shared" si="547"/>
        <v>1877.562005420054</v>
      </c>
      <c r="AS378" s="527">
        <f t="shared" si="547"/>
        <v>1877.562005420054</v>
      </c>
      <c r="AT378" s="527">
        <f t="shared" si="547"/>
        <v>1877.562005420054</v>
      </c>
      <c r="AU378" s="527">
        <f t="shared" si="547"/>
        <v>1877.562005420054</v>
      </c>
      <c r="AV378" s="527">
        <f t="shared" si="547"/>
        <v>1877.562005420054</v>
      </c>
      <c r="AW378" s="527">
        <f t="shared" si="547"/>
        <v>1877.562005420054</v>
      </c>
      <c r="AX378" s="527">
        <f t="shared" ref="AX378:BY378" si="548">AX$604*$R159</f>
        <v>1877.562005420054</v>
      </c>
      <c r="AY378" s="527">
        <f t="shared" si="548"/>
        <v>1877.562005420054</v>
      </c>
      <c r="AZ378" s="527">
        <f t="shared" si="548"/>
        <v>1877.562005420054</v>
      </c>
      <c r="BA378" s="527">
        <f t="shared" si="548"/>
        <v>1877.562005420054</v>
      </c>
      <c r="BB378" s="527">
        <f t="shared" si="548"/>
        <v>1877.562005420054</v>
      </c>
      <c r="BC378" s="527">
        <f t="shared" si="548"/>
        <v>1877.562005420054</v>
      </c>
      <c r="BD378" s="527">
        <f t="shared" si="548"/>
        <v>1877.562005420054</v>
      </c>
      <c r="BE378" s="527">
        <f t="shared" si="548"/>
        <v>1877.562005420054</v>
      </c>
      <c r="BF378" s="527">
        <f t="shared" si="548"/>
        <v>1877.562005420054</v>
      </c>
      <c r="BG378" s="527">
        <f t="shared" si="548"/>
        <v>1877.562005420054</v>
      </c>
      <c r="BH378" s="527">
        <f t="shared" si="548"/>
        <v>1877.562005420054</v>
      </c>
      <c r="BI378" s="527">
        <f t="shared" si="548"/>
        <v>1877.562005420054</v>
      </c>
      <c r="BJ378" s="527">
        <f t="shared" si="548"/>
        <v>1877.562005420054</v>
      </c>
      <c r="BK378" s="527">
        <f t="shared" si="548"/>
        <v>1877.562005420054</v>
      </c>
      <c r="BL378" s="527">
        <f t="shared" si="548"/>
        <v>1877.562005420054</v>
      </c>
      <c r="BM378" s="527">
        <f t="shared" si="548"/>
        <v>1877.562005420054</v>
      </c>
      <c r="BN378" s="527">
        <f t="shared" si="548"/>
        <v>1877.562005420054</v>
      </c>
      <c r="BO378" s="527">
        <f t="shared" si="548"/>
        <v>1877.562005420054</v>
      </c>
      <c r="BP378" s="527">
        <f t="shared" si="548"/>
        <v>1877.562005420054</v>
      </c>
      <c r="BQ378" s="527">
        <f t="shared" si="548"/>
        <v>1877.562005420054</v>
      </c>
      <c r="BR378" s="527">
        <f t="shared" si="548"/>
        <v>1877.562005420054</v>
      </c>
      <c r="BS378" s="527">
        <f t="shared" si="548"/>
        <v>1877.562005420054</v>
      </c>
      <c r="BT378" s="527">
        <f t="shared" si="548"/>
        <v>1877.562005420054</v>
      </c>
      <c r="BU378" s="527">
        <f t="shared" si="548"/>
        <v>1877.562005420054</v>
      </c>
      <c r="BV378" s="527">
        <f t="shared" si="548"/>
        <v>1877.562005420054</v>
      </c>
      <c r="BW378" s="527">
        <f t="shared" si="548"/>
        <v>1877.562005420054</v>
      </c>
      <c r="BX378" s="527">
        <f t="shared" si="548"/>
        <v>1877.562005420054</v>
      </c>
      <c r="BY378" s="527">
        <f t="shared" si="548"/>
        <v>1877.562005420054</v>
      </c>
    </row>
    <row r="379" spans="1:77" x14ac:dyDescent="0.3">
      <c r="A379" s="551"/>
      <c r="B379" s="548"/>
      <c r="C379" s="525"/>
      <c r="D379" s="525"/>
      <c r="E379" s="637" t="str">
        <f>"F&amp;F income: "&amp;E$160</f>
        <v>F&amp;F income: Uninvested Tranche</v>
      </c>
      <c r="F379" s="525"/>
      <c r="G379" s="525"/>
      <c r="H379" s="525"/>
      <c r="I379" s="525"/>
      <c r="J379" s="525"/>
      <c r="K379" s="525"/>
      <c r="L379" s="525"/>
      <c r="M379" s="525"/>
      <c r="N379" s="525"/>
      <c r="O379" s="525"/>
      <c r="P379" s="565"/>
      <c r="Q379" s="525"/>
      <c r="R379" s="527">
        <f t="shared" ref="R379:AW379" si="549">R$604*$R160</f>
        <v>4196.9033062330618</v>
      </c>
      <c r="S379" s="527">
        <f t="shared" si="549"/>
        <v>4196.9033062330618</v>
      </c>
      <c r="T379" s="527">
        <f t="shared" si="549"/>
        <v>4196.9033062330618</v>
      </c>
      <c r="U379" s="527">
        <f t="shared" si="549"/>
        <v>4196.9033062330618</v>
      </c>
      <c r="V379" s="527">
        <f t="shared" si="549"/>
        <v>4196.9033062330618</v>
      </c>
      <c r="W379" s="527">
        <f t="shared" si="549"/>
        <v>4196.9033062330618</v>
      </c>
      <c r="X379" s="527">
        <f t="shared" si="549"/>
        <v>4196.9033062330618</v>
      </c>
      <c r="Y379" s="527">
        <f t="shared" si="549"/>
        <v>4196.9033062330618</v>
      </c>
      <c r="Z379" s="527">
        <f t="shared" si="549"/>
        <v>4196.9033062330618</v>
      </c>
      <c r="AA379" s="527">
        <f t="shared" si="549"/>
        <v>4196.9033062330618</v>
      </c>
      <c r="AB379" s="527">
        <f t="shared" si="549"/>
        <v>4196.9033062330618</v>
      </c>
      <c r="AC379" s="527">
        <f t="shared" si="549"/>
        <v>4196.9033062330618</v>
      </c>
      <c r="AD379" s="527">
        <f t="shared" si="549"/>
        <v>4196.9033062330618</v>
      </c>
      <c r="AE379" s="527">
        <f t="shared" si="549"/>
        <v>4196.9033062330618</v>
      </c>
      <c r="AF379" s="527">
        <f t="shared" si="549"/>
        <v>4196.9033062330618</v>
      </c>
      <c r="AG379" s="527">
        <f t="shared" si="549"/>
        <v>4196.9033062330618</v>
      </c>
      <c r="AH379" s="527">
        <f t="shared" si="549"/>
        <v>4196.9033062330618</v>
      </c>
      <c r="AI379" s="527">
        <f t="shared" si="549"/>
        <v>4196.9033062330618</v>
      </c>
      <c r="AJ379" s="527">
        <f t="shared" si="549"/>
        <v>4196.9033062330618</v>
      </c>
      <c r="AK379" s="527">
        <f t="shared" si="549"/>
        <v>4196.9033062330618</v>
      </c>
      <c r="AL379" s="527">
        <f t="shared" si="549"/>
        <v>4196.9033062330618</v>
      </c>
      <c r="AM379" s="527">
        <f t="shared" si="549"/>
        <v>4196.9033062330618</v>
      </c>
      <c r="AN379" s="527">
        <f t="shared" si="549"/>
        <v>4196.9033062330618</v>
      </c>
      <c r="AO379" s="527">
        <f t="shared" si="549"/>
        <v>4196.9033062330618</v>
      </c>
      <c r="AP379" s="527">
        <f t="shared" si="549"/>
        <v>4196.9033062330618</v>
      </c>
      <c r="AQ379" s="527">
        <f t="shared" si="549"/>
        <v>4196.9033062330618</v>
      </c>
      <c r="AR379" s="527">
        <f t="shared" si="549"/>
        <v>4196.9033062330618</v>
      </c>
      <c r="AS379" s="527">
        <f t="shared" si="549"/>
        <v>4196.9033062330618</v>
      </c>
      <c r="AT379" s="527">
        <f t="shared" si="549"/>
        <v>4196.9033062330618</v>
      </c>
      <c r="AU379" s="527">
        <f t="shared" si="549"/>
        <v>4196.9033062330618</v>
      </c>
      <c r="AV379" s="527">
        <f t="shared" si="549"/>
        <v>4196.9033062330618</v>
      </c>
      <c r="AW379" s="527">
        <f t="shared" si="549"/>
        <v>4196.9033062330618</v>
      </c>
      <c r="AX379" s="527">
        <f t="shared" ref="AX379:BY379" si="550">AX$604*$R160</f>
        <v>4196.9033062330618</v>
      </c>
      <c r="AY379" s="527">
        <f t="shared" si="550"/>
        <v>4196.9033062330618</v>
      </c>
      <c r="AZ379" s="527">
        <f t="shared" si="550"/>
        <v>4196.9033062330618</v>
      </c>
      <c r="BA379" s="527">
        <f t="shared" si="550"/>
        <v>4196.9033062330618</v>
      </c>
      <c r="BB379" s="527">
        <f t="shared" si="550"/>
        <v>4196.9033062330618</v>
      </c>
      <c r="BC379" s="527">
        <f t="shared" si="550"/>
        <v>4196.9033062330618</v>
      </c>
      <c r="BD379" s="527">
        <f t="shared" si="550"/>
        <v>4196.9033062330618</v>
      </c>
      <c r="BE379" s="527">
        <f t="shared" si="550"/>
        <v>4196.9033062330618</v>
      </c>
      <c r="BF379" s="527">
        <f t="shared" si="550"/>
        <v>4196.9033062330618</v>
      </c>
      <c r="BG379" s="527">
        <f t="shared" si="550"/>
        <v>4196.9033062330618</v>
      </c>
      <c r="BH379" s="527">
        <f t="shared" si="550"/>
        <v>4196.9033062330618</v>
      </c>
      <c r="BI379" s="527">
        <f t="shared" si="550"/>
        <v>4196.9033062330618</v>
      </c>
      <c r="BJ379" s="527">
        <f t="shared" si="550"/>
        <v>4196.9033062330618</v>
      </c>
      <c r="BK379" s="527">
        <f t="shared" si="550"/>
        <v>4196.9033062330618</v>
      </c>
      <c r="BL379" s="527">
        <f t="shared" si="550"/>
        <v>4196.9033062330618</v>
      </c>
      <c r="BM379" s="527">
        <f t="shared" si="550"/>
        <v>4196.9033062330618</v>
      </c>
      <c r="BN379" s="527">
        <f t="shared" si="550"/>
        <v>4196.9033062330618</v>
      </c>
      <c r="BO379" s="527">
        <f t="shared" si="550"/>
        <v>4196.9033062330618</v>
      </c>
      <c r="BP379" s="527">
        <f t="shared" si="550"/>
        <v>4196.9033062330618</v>
      </c>
      <c r="BQ379" s="527">
        <f t="shared" si="550"/>
        <v>4196.9033062330618</v>
      </c>
      <c r="BR379" s="527">
        <f t="shared" si="550"/>
        <v>4196.9033062330618</v>
      </c>
      <c r="BS379" s="527">
        <f t="shared" si="550"/>
        <v>4196.9033062330618</v>
      </c>
      <c r="BT379" s="527">
        <f t="shared" si="550"/>
        <v>4196.9033062330618</v>
      </c>
      <c r="BU379" s="527">
        <f t="shared" si="550"/>
        <v>4196.9033062330618</v>
      </c>
      <c r="BV379" s="527">
        <f t="shared" si="550"/>
        <v>4196.9033062330618</v>
      </c>
      <c r="BW379" s="527">
        <f t="shared" si="550"/>
        <v>4196.9033062330618</v>
      </c>
      <c r="BX379" s="527">
        <f t="shared" si="550"/>
        <v>4196.9033062330618</v>
      </c>
      <c r="BY379" s="527">
        <f t="shared" si="550"/>
        <v>4196.9033062330618</v>
      </c>
    </row>
    <row r="380" spans="1:77" x14ac:dyDescent="0.3">
      <c r="A380" s="551"/>
      <c r="B380" s="548"/>
      <c r="C380" s="525"/>
      <c r="D380" s="525"/>
      <c r="E380" s="572" t="s">
        <v>36</v>
      </c>
      <c r="F380" s="572"/>
      <c r="G380" s="572"/>
      <c r="H380" s="572"/>
      <c r="I380" s="572"/>
      <c r="J380" s="572"/>
      <c r="K380" s="572"/>
      <c r="L380" s="572"/>
      <c r="M380" s="572"/>
      <c r="N380" s="572"/>
      <c r="O380" s="572"/>
      <c r="P380" s="612"/>
      <c r="Q380" s="572"/>
      <c r="R380" s="530">
        <f t="shared" ref="R380:AW380" si="551">SUM(R374:R379)</f>
        <v>13584.713333333331</v>
      </c>
      <c r="S380" s="530">
        <f t="shared" si="551"/>
        <v>13584.713333333331</v>
      </c>
      <c r="T380" s="530">
        <f t="shared" si="551"/>
        <v>13584.713333333331</v>
      </c>
      <c r="U380" s="530">
        <f t="shared" si="551"/>
        <v>13584.713333333331</v>
      </c>
      <c r="V380" s="530">
        <f t="shared" si="551"/>
        <v>13584.713333333331</v>
      </c>
      <c r="W380" s="530">
        <f t="shared" si="551"/>
        <v>13584.713333333331</v>
      </c>
      <c r="X380" s="530">
        <f t="shared" si="551"/>
        <v>13584.713333333331</v>
      </c>
      <c r="Y380" s="530">
        <f t="shared" si="551"/>
        <v>13584.713333333331</v>
      </c>
      <c r="Z380" s="530">
        <f t="shared" si="551"/>
        <v>13584.713333333331</v>
      </c>
      <c r="AA380" s="530">
        <f t="shared" si="551"/>
        <v>13584.713333333331</v>
      </c>
      <c r="AB380" s="530">
        <f t="shared" si="551"/>
        <v>13584.713333333331</v>
      </c>
      <c r="AC380" s="530">
        <f t="shared" si="551"/>
        <v>13584.713333333331</v>
      </c>
      <c r="AD380" s="530">
        <f t="shared" si="551"/>
        <v>13584.713333333331</v>
      </c>
      <c r="AE380" s="530">
        <f t="shared" si="551"/>
        <v>13584.713333333331</v>
      </c>
      <c r="AF380" s="530">
        <f t="shared" si="551"/>
        <v>13584.713333333331</v>
      </c>
      <c r="AG380" s="530">
        <f t="shared" si="551"/>
        <v>13584.713333333331</v>
      </c>
      <c r="AH380" s="530">
        <f t="shared" si="551"/>
        <v>13584.713333333331</v>
      </c>
      <c r="AI380" s="530">
        <f t="shared" si="551"/>
        <v>13584.713333333331</v>
      </c>
      <c r="AJ380" s="530">
        <f t="shared" si="551"/>
        <v>13584.713333333331</v>
      </c>
      <c r="AK380" s="530">
        <f t="shared" si="551"/>
        <v>13584.713333333331</v>
      </c>
      <c r="AL380" s="530">
        <f t="shared" si="551"/>
        <v>13584.713333333331</v>
      </c>
      <c r="AM380" s="530">
        <f t="shared" si="551"/>
        <v>13584.713333333331</v>
      </c>
      <c r="AN380" s="530">
        <f t="shared" si="551"/>
        <v>13584.713333333331</v>
      </c>
      <c r="AO380" s="530">
        <f t="shared" si="551"/>
        <v>13584.713333333331</v>
      </c>
      <c r="AP380" s="530">
        <f t="shared" si="551"/>
        <v>13584.713333333331</v>
      </c>
      <c r="AQ380" s="530">
        <f t="shared" si="551"/>
        <v>13584.713333333331</v>
      </c>
      <c r="AR380" s="530">
        <f t="shared" si="551"/>
        <v>13584.713333333331</v>
      </c>
      <c r="AS380" s="530">
        <f t="shared" si="551"/>
        <v>13584.713333333331</v>
      </c>
      <c r="AT380" s="530">
        <f t="shared" si="551"/>
        <v>13584.713333333331</v>
      </c>
      <c r="AU380" s="530">
        <f t="shared" si="551"/>
        <v>13584.713333333331</v>
      </c>
      <c r="AV380" s="530">
        <f t="shared" si="551"/>
        <v>13584.713333333331</v>
      </c>
      <c r="AW380" s="530">
        <f t="shared" si="551"/>
        <v>13584.713333333331</v>
      </c>
      <c r="AX380" s="530">
        <f t="shared" ref="AX380:BY380" si="552">SUM(AX374:AX379)</f>
        <v>13584.713333333331</v>
      </c>
      <c r="AY380" s="530">
        <f t="shared" si="552"/>
        <v>13584.713333333331</v>
      </c>
      <c r="AZ380" s="530">
        <f t="shared" si="552"/>
        <v>13584.713333333331</v>
      </c>
      <c r="BA380" s="530">
        <f t="shared" si="552"/>
        <v>13584.713333333331</v>
      </c>
      <c r="BB380" s="530">
        <f t="shared" si="552"/>
        <v>13584.713333333331</v>
      </c>
      <c r="BC380" s="530">
        <f t="shared" si="552"/>
        <v>13584.713333333331</v>
      </c>
      <c r="BD380" s="530">
        <f t="shared" si="552"/>
        <v>13584.713333333331</v>
      </c>
      <c r="BE380" s="530">
        <f t="shared" si="552"/>
        <v>13584.713333333331</v>
      </c>
      <c r="BF380" s="530">
        <f t="shared" si="552"/>
        <v>13584.713333333331</v>
      </c>
      <c r="BG380" s="530">
        <f t="shared" si="552"/>
        <v>13584.713333333331</v>
      </c>
      <c r="BH380" s="530">
        <f t="shared" si="552"/>
        <v>13584.713333333331</v>
      </c>
      <c r="BI380" s="530">
        <f t="shared" si="552"/>
        <v>13584.713333333331</v>
      </c>
      <c r="BJ380" s="530">
        <f t="shared" si="552"/>
        <v>13584.713333333331</v>
      </c>
      <c r="BK380" s="530">
        <f t="shared" si="552"/>
        <v>13584.713333333331</v>
      </c>
      <c r="BL380" s="530">
        <f t="shared" si="552"/>
        <v>13584.713333333331</v>
      </c>
      <c r="BM380" s="530">
        <f t="shared" si="552"/>
        <v>13584.713333333331</v>
      </c>
      <c r="BN380" s="530">
        <f t="shared" si="552"/>
        <v>13584.713333333331</v>
      </c>
      <c r="BO380" s="530">
        <f t="shared" si="552"/>
        <v>13584.713333333331</v>
      </c>
      <c r="BP380" s="530">
        <f t="shared" si="552"/>
        <v>13584.713333333331</v>
      </c>
      <c r="BQ380" s="530">
        <f t="shared" si="552"/>
        <v>13584.713333333331</v>
      </c>
      <c r="BR380" s="530">
        <f t="shared" si="552"/>
        <v>13584.713333333331</v>
      </c>
      <c r="BS380" s="530">
        <f t="shared" si="552"/>
        <v>13584.713333333331</v>
      </c>
      <c r="BT380" s="530">
        <f t="shared" si="552"/>
        <v>13584.713333333331</v>
      </c>
      <c r="BU380" s="530">
        <f t="shared" si="552"/>
        <v>13584.713333333331</v>
      </c>
      <c r="BV380" s="530">
        <f t="shared" si="552"/>
        <v>13584.713333333331</v>
      </c>
      <c r="BW380" s="530">
        <f t="shared" si="552"/>
        <v>13584.713333333331</v>
      </c>
      <c r="BX380" s="530">
        <f t="shared" si="552"/>
        <v>13584.713333333331</v>
      </c>
      <c r="BY380" s="530">
        <f t="shared" si="552"/>
        <v>13584.713333333331</v>
      </c>
    </row>
    <row r="381" spans="1:77" x14ac:dyDescent="0.3">
      <c r="A381" s="551"/>
      <c r="B381" s="548"/>
      <c r="C381" s="525"/>
      <c r="D381" s="525"/>
      <c r="E381" s="525"/>
      <c r="F381" s="525"/>
      <c r="G381" s="525"/>
      <c r="H381" s="525"/>
      <c r="I381" s="525"/>
      <c r="J381" s="525"/>
      <c r="K381" s="525"/>
      <c r="L381" s="525"/>
      <c r="M381" s="525"/>
      <c r="N381" s="525"/>
      <c r="O381" s="525"/>
      <c r="P381" s="565"/>
      <c r="Q381" s="525"/>
      <c r="R381" s="525"/>
      <c r="S381" s="525"/>
      <c r="T381" s="525"/>
      <c r="U381" s="525"/>
      <c r="V381" s="525"/>
      <c r="W381" s="525"/>
      <c r="X381" s="525"/>
      <c r="Y381" s="525"/>
      <c r="Z381" s="525"/>
      <c r="AA381" s="525"/>
      <c r="AB381" s="525"/>
      <c r="AC381" s="525"/>
      <c r="AD381" s="525"/>
      <c r="AE381" s="525"/>
      <c r="AF381" s="525"/>
      <c r="AG381" s="525"/>
      <c r="AH381" s="525"/>
      <c r="AI381" s="525"/>
      <c r="AJ381" s="525"/>
      <c r="AK381" s="525"/>
      <c r="AL381" s="525"/>
      <c r="AM381" s="525"/>
      <c r="AN381" s="525"/>
      <c r="AO381" s="525"/>
      <c r="AP381" s="525"/>
      <c r="AQ381" s="525"/>
      <c r="AR381" s="525"/>
      <c r="AS381" s="525"/>
      <c r="AT381" s="525"/>
      <c r="AU381" s="525"/>
      <c r="AV381" s="525"/>
      <c r="AW381" s="525"/>
      <c r="AX381" s="525"/>
      <c r="AY381" s="525"/>
      <c r="AZ381" s="525"/>
      <c r="BA381" s="525"/>
      <c r="BB381" s="525"/>
      <c r="BC381" s="525"/>
      <c r="BD381" s="525"/>
      <c r="BE381" s="525"/>
      <c r="BF381" s="525"/>
      <c r="BG381" s="525"/>
      <c r="BH381" s="525"/>
      <c r="BI381" s="525"/>
      <c r="BJ381" s="525"/>
      <c r="BK381" s="525"/>
      <c r="BL381" s="525"/>
      <c r="BM381" s="525"/>
      <c r="BN381" s="525"/>
      <c r="BO381" s="525"/>
      <c r="BP381" s="525"/>
      <c r="BQ381" s="525"/>
      <c r="BR381" s="525"/>
      <c r="BS381" s="525"/>
      <c r="BT381" s="525"/>
      <c r="BU381" s="525"/>
      <c r="BV381" s="525"/>
      <c r="BW381" s="525"/>
      <c r="BX381" s="525"/>
      <c r="BY381" s="525"/>
    </row>
    <row r="382" spans="1:77" x14ac:dyDescent="0.3">
      <c r="A382" s="551"/>
      <c r="B382" s="548"/>
      <c r="C382" s="525"/>
      <c r="D382" s="525"/>
      <c r="E382" s="638" t="str">
        <f>"Insurance income: "&amp;E$155</f>
        <v>Insurance income: FY27 Tranche</v>
      </c>
      <c r="F382" s="525"/>
      <c r="G382" s="525"/>
      <c r="H382" s="525"/>
      <c r="I382" s="525"/>
      <c r="J382" s="525"/>
      <c r="K382" s="525"/>
      <c r="L382" s="525"/>
      <c r="M382" s="525"/>
      <c r="N382" s="525"/>
      <c r="O382" s="525"/>
      <c r="P382" s="565"/>
      <c r="Q382" s="525"/>
      <c r="R382" s="527">
        <f t="shared" ref="R382:AW382" si="553">R$605*$R155</f>
        <v>4515.2258035121922</v>
      </c>
      <c r="S382" s="527">
        <f t="shared" si="553"/>
        <v>4515.2258035121922</v>
      </c>
      <c r="T382" s="527">
        <f t="shared" si="553"/>
        <v>4515.2258035121922</v>
      </c>
      <c r="U382" s="527">
        <f t="shared" si="553"/>
        <v>4515.2258035121922</v>
      </c>
      <c r="V382" s="527">
        <f t="shared" si="553"/>
        <v>4515.2258035121922</v>
      </c>
      <c r="W382" s="527">
        <f t="shared" si="553"/>
        <v>4515.2258035121922</v>
      </c>
      <c r="X382" s="527">
        <f t="shared" si="553"/>
        <v>4515.2258035121922</v>
      </c>
      <c r="Y382" s="527">
        <f t="shared" si="553"/>
        <v>4515.2258035121922</v>
      </c>
      <c r="Z382" s="527">
        <f t="shared" si="553"/>
        <v>4515.2258035121922</v>
      </c>
      <c r="AA382" s="527">
        <f t="shared" si="553"/>
        <v>4515.2258035121922</v>
      </c>
      <c r="AB382" s="527">
        <f t="shared" si="553"/>
        <v>4515.2258035121922</v>
      </c>
      <c r="AC382" s="527">
        <f t="shared" si="553"/>
        <v>4515.2258035121922</v>
      </c>
      <c r="AD382" s="527">
        <f t="shared" si="553"/>
        <v>4515.2258035121922</v>
      </c>
      <c r="AE382" s="527">
        <f t="shared" si="553"/>
        <v>4515.2258035121922</v>
      </c>
      <c r="AF382" s="527">
        <f t="shared" si="553"/>
        <v>4515.2258035121922</v>
      </c>
      <c r="AG382" s="527">
        <f t="shared" si="553"/>
        <v>4515.2258035121922</v>
      </c>
      <c r="AH382" s="527">
        <f t="shared" si="553"/>
        <v>4515.2258035121922</v>
      </c>
      <c r="AI382" s="527">
        <f t="shared" si="553"/>
        <v>4515.2258035121922</v>
      </c>
      <c r="AJ382" s="527">
        <f t="shared" si="553"/>
        <v>4515.2258035121922</v>
      </c>
      <c r="AK382" s="527">
        <f t="shared" si="553"/>
        <v>4515.2258035121922</v>
      </c>
      <c r="AL382" s="527">
        <f t="shared" si="553"/>
        <v>4515.2258035121922</v>
      </c>
      <c r="AM382" s="527">
        <f t="shared" si="553"/>
        <v>4515.2258035121922</v>
      </c>
      <c r="AN382" s="527">
        <f t="shared" si="553"/>
        <v>4515.2258035121922</v>
      </c>
      <c r="AO382" s="527">
        <f t="shared" si="553"/>
        <v>4515.2258035121922</v>
      </c>
      <c r="AP382" s="527">
        <f t="shared" si="553"/>
        <v>4515.2258035121922</v>
      </c>
      <c r="AQ382" s="527">
        <f t="shared" si="553"/>
        <v>4515.2258035121922</v>
      </c>
      <c r="AR382" s="527">
        <f t="shared" si="553"/>
        <v>4515.2258035121922</v>
      </c>
      <c r="AS382" s="527">
        <f t="shared" si="553"/>
        <v>4515.2258035121922</v>
      </c>
      <c r="AT382" s="527">
        <f t="shared" si="553"/>
        <v>4515.2258035121922</v>
      </c>
      <c r="AU382" s="527">
        <f t="shared" si="553"/>
        <v>4515.2258035121922</v>
      </c>
      <c r="AV382" s="527">
        <f t="shared" si="553"/>
        <v>4515.2258035121922</v>
      </c>
      <c r="AW382" s="527">
        <f t="shared" si="553"/>
        <v>4515.2258035121922</v>
      </c>
      <c r="AX382" s="527">
        <f t="shared" ref="AX382:BY382" si="554">AX$605*$R155</f>
        <v>4515.2258035121922</v>
      </c>
      <c r="AY382" s="527">
        <f t="shared" si="554"/>
        <v>4515.2258035121922</v>
      </c>
      <c r="AZ382" s="527">
        <f t="shared" si="554"/>
        <v>4515.2258035121922</v>
      </c>
      <c r="BA382" s="527">
        <f t="shared" si="554"/>
        <v>4515.2258035121922</v>
      </c>
      <c r="BB382" s="527">
        <f t="shared" si="554"/>
        <v>4515.2258035121922</v>
      </c>
      <c r="BC382" s="527">
        <f t="shared" si="554"/>
        <v>4515.2258035121922</v>
      </c>
      <c r="BD382" s="527">
        <f t="shared" si="554"/>
        <v>4515.2258035121922</v>
      </c>
      <c r="BE382" s="527">
        <f t="shared" si="554"/>
        <v>4515.2258035121922</v>
      </c>
      <c r="BF382" s="527">
        <f t="shared" si="554"/>
        <v>4515.2258035121922</v>
      </c>
      <c r="BG382" s="527">
        <f t="shared" si="554"/>
        <v>4515.2258035121922</v>
      </c>
      <c r="BH382" s="527">
        <f t="shared" si="554"/>
        <v>4515.2258035121922</v>
      </c>
      <c r="BI382" s="527">
        <f t="shared" si="554"/>
        <v>4515.2258035121922</v>
      </c>
      <c r="BJ382" s="527">
        <f t="shared" si="554"/>
        <v>4515.2258035121922</v>
      </c>
      <c r="BK382" s="527">
        <f t="shared" si="554"/>
        <v>4515.2258035121922</v>
      </c>
      <c r="BL382" s="527">
        <f t="shared" si="554"/>
        <v>4515.2258035121922</v>
      </c>
      <c r="BM382" s="527">
        <f t="shared" si="554"/>
        <v>4515.2258035121922</v>
      </c>
      <c r="BN382" s="527">
        <f t="shared" si="554"/>
        <v>4515.2258035121922</v>
      </c>
      <c r="BO382" s="527">
        <f t="shared" si="554"/>
        <v>4515.2258035121922</v>
      </c>
      <c r="BP382" s="527">
        <f t="shared" si="554"/>
        <v>4515.2258035121922</v>
      </c>
      <c r="BQ382" s="527">
        <f t="shared" si="554"/>
        <v>4515.2258035121922</v>
      </c>
      <c r="BR382" s="527">
        <f t="shared" si="554"/>
        <v>4515.2258035121922</v>
      </c>
      <c r="BS382" s="527">
        <f t="shared" si="554"/>
        <v>4515.2258035121922</v>
      </c>
      <c r="BT382" s="527">
        <f t="shared" si="554"/>
        <v>4515.2258035121922</v>
      </c>
      <c r="BU382" s="527">
        <f t="shared" si="554"/>
        <v>4515.2258035121922</v>
      </c>
      <c r="BV382" s="527">
        <f t="shared" si="554"/>
        <v>4515.2258035121922</v>
      </c>
      <c r="BW382" s="527">
        <f t="shared" si="554"/>
        <v>4515.2258035121922</v>
      </c>
      <c r="BX382" s="527">
        <f t="shared" si="554"/>
        <v>4515.2258035121922</v>
      </c>
      <c r="BY382" s="527">
        <f t="shared" si="554"/>
        <v>4515.2258035121922</v>
      </c>
    </row>
    <row r="383" spans="1:77" x14ac:dyDescent="0.3">
      <c r="A383" s="551"/>
      <c r="B383" s="548"/>
      <c r="C383" s="525"/>
      <c r="D383" s="525"/>
      <c r="E383" s="638" t="str">
        <f>"Insurance income: "&amp;E$156</f>
        <v>Insurance income: FY28 Tranche</v>
      </c>
      <c r="F383" s="525"/>
      <c r="G383" s="525"/>
      <c r="H383" s="525"/>
      <c r="I383" s="525"/>
      <c r="J383" s="525"/>
      <c r="K383" s="525"/>
      <c r="L383" s="525"/>
      <c r="M383" s="525"/>
      <c r="N383" s="525"/>
      <c r="O383" s="525"/>
      <c r="P383" s="565"/>
      <c r="Q383" s="525"/>
      <c r="R383" s="527">
        <f t="shared" ref="R383:AW383" si="555">R$605*$R156</f>
        <v>4515.2258035121922</v>
      </c>
      <c r="S383" s="527">
        <f t="shared" si="555"/>
        <v>4515.2258035121922</v>
      </c>
      <c r="T383" s="527">
        <f t="shared" si="555"/>
        <v>4515.2258035121922</v>
      </c>
      <c r="U383" s="527">
        <f t="shared" si="555"/>
        <v>4515.2258035121922</v>
      </c>
      <c r="V383" s="527">
        <f t="shared" si="555"/>
        <v>4515.2258035121922</v>
      </c>
      <c r="W383" s="527">
        <f t="shared" si="555"/>
        <v>4515.2258035121922</v>
      </c>
      <c r="X383" s="527">
        <f t="shared" si="555"/>
        <v>4515.2258035121922</v>
      </c>
      <c r="Y383" s="527">
        <f t="shared" si="555"/>
        <v>4515.2258035121922</v>
      </c>
      <c r="Z383" s="527">
        <f t="shared" si="555"/>
        <v>4515.2258035121922</v>
      </c>
      <c r="AA383" s="527">
        <f t="shared" si="555"/>
        <v>4515.2258035121922</v>
      </c>
      <c r="AB383" s="527">
        <f t="shared" si="555"/>
        <v>4515.2258035121922</v>
      </c>
      <c r="AC383" s="527">
        <f t="shared" si="555"/>
        <v>4515.2258035121922</v>
      </c>
      <c r="AD383" s="527">
        <f t="shared" si="555"/>
        <v>4515.2258035121922</v>
      </c>
      <c r="AE383" s="527">
        <f t="shared" si="555"/>
        <v>4515.2258035121922</v>
      </c>
      <c r="AF383" s="527">
        <f t="shared" si="555"/>
        <v>4515.2258035121922</v>
      </c>
      <c r="AG383" s="527">
        <f t="shared" si="555"/>
        <v>4515.2258035121922</v>
      </c>
      <c r="AH383" s="527">
        <f t="shared" si="555"/>
        <v>4515.2258035121922</v>
      </c>
      <c r="AI383" s="527">
        <f t="shared" si="555"/>
        <v>4515.2258035121922</v>
      </c>
      <c r="AJ383" s="527">
        <f t="shared" si="555"/>
        <v>4515.2258035121922</v>
      </c>
      <c r="AK383" s="527">
        <f t="shared" si="555"/>
        <v>4515.2258035121922</v>
      </c>
      <c r="AL383" s="527">
        <f t="shared" si="555"/>
        <v>4515.2258035121922</v>
      </c>
      <c r="AM383" s="527">
        <f t="shared" si="555"/>
        <v>4515.2258035121922</v>
      </c>
      <c r="AN383" s="527">
        <f t="shared" si="555"/>
        <v>4515.2258035121922</v>
      </c>
      <c r="AO383" s="527">
        <f t="shared" si="555"/>
        <v>4515.2258035121922</v>
      </c>
      <c r="AP383" s="527">
        <f t="shared" si="555"/>
        <v>4515.2258035121922</v>
      </c>
      <c r="AQ383" s="527">
        <f t="shared" si="555"/>
        <v>4515.2258035121922</v>
      </c>
      <c r="AR383" s="527">
        <f t="shared" si="555"/>
        <v>4515.2258035121922</v>
      </c>
      <c r="AS383" s="527">
        <f t="shared" si="555"/>
        <v>4515.2258035121922</v>
      </c>
      <c r="AT383" s="527">
        <f t="shared" si="555"/>
        <v>4515.2258035121922</v>
      </c>
      <c r="AU383" s="527">
        <f t="shared" si="555"/>
        <v>4515.2258035121922</v>
      </c>
      <c r="AV383" s="527">
        <f t="shared" si="555"/>
        <v>4515.2258035121922</v>
      </c>
      <c r="AW383" s="527">
        <f t="shared" si="555"/>
        <v>4515.2258035121922</v>
      </c>
      <c r="AX383" s="527">
        <f t="shared" ref="AX383:BY383" si="556">AX$605*$R156</f>
        <v>4515.2258035121922</v>
      </c>
      <c r="AY383" s="527">
        <f t="shared" si="556"/>
        <v>4515.2258035121922</v>
      </c>
      <c r="AZ383" s="527">
        <f t="shared" si="556"/>
        <v>4515.2258035121922</v>
      </c>
      <c r="BA383" s="527">
        <f t="shared" si="556"/>
        <v>4515.2258035121922</v>
      </c>
      <c r="BB383" s="527">
        <f t="shared" si="556"/>
        <v>4515.2258035121922</v>
      </c>
      <c r="BC383" s="527">
        <f t="shared" si="556"/>
        <v>4515.2258035121922</v>
      </c>
      <c r="BD383" s="527">
        <f t="shared" si="556"/>
        <v>4515.2258035121922</v>
      </c>
      <c r="BE383" s="527">
        <f t="shared" si="556"/>
        <v>4515.2258035121922</v>
      </c>
      <c r="BF383" s="527">
        <f t="shared" si="556"/>
        <v>4515.2258035121922</v>
      </c>
      <c r="BG383" s="527">
        <f t="shared" si="556"/>
        <v>4515.2258035121922</v>
      </c>
      <c r="BH383" s="527">
        <f t="shared" si="556"/>
        <v>4515.2258035121922</v>
      </c>
      <c r="BI383" s="527">
        <f t="shared" si="556"/>
        <v>4515.2258035121922</v>
      </c>
      <c r="BJ383" s="527">
        <f t="shared" si="556"/>
        <v>4515.2258035121922</v>
      </c>
      <c r="BK383" s="527">
        <f t="shared" si="556"/>
        <v>4515.2258035121922</v>
      </c>
      <c r="BL383" s="527">
        <f t="shared" si="556"/>
        <v>4515.2258035121922</v>
      </c>
      <c r="BM383" s="527">
        <f t="shared" si="556"/>
        <v>4515.2258035121922</v>
      </c>
      <c r="BN383" s="527">
        <f t="shared" si="556"/>
        <v>4515.2258035121922</v>
      </c>
      <c r="BO383" s="527">
        <f t="shared" si="556"/>
        <v>4515.2258035121922</v>
      </c>
      <c r="BP383" s="527">
        <f t="shared" si="556"/>
        <v>4515.2258035121922</v>
      </c>
      <c r="BQ383" s="527">
        <f t="shared" si="556"/>
        <v>4515.2258035121922</v>
      </c>
      <c r="BR383" s="527">
        <f t="shared" si="556"/>
        <v>4515.2258035121922</v>
      </c>
      <c r="BS383" s="527">
        <f t="shared" si="556"/>
        <v>4515.2258035121922</v>
      </c>
      <c r="BT383" s="527">
        <f t="shared" si="556"/>
        <v>4515.2258035121922</v>
      </c>
      <c r="BU383" s="527">
        <f t="shared" si="556"/>
        <v>4515.2258035121922</v>
      </c>
      <c r="BV383" s="527">
        <f t="shared" si="556"/>
        <v>4515.2258035121922</v>
      </c>
      <c r="BW383" s="527">
        <f t="shared" si="556"/>
        <v>4515.2258035121922</v>
      </c>
      <c r="BX383" s="527">
        <f t="shared" si="556"/>
        <v>4515.2258035121922</v>
      </c>
      <c r="BY383" s="527">
        <f t="shared" si="556"/>
        <v>4515.2258035121922</v>
      </c>
    </row>
    <row r="384" spans="1:77" x14ac:dyDescent="0.3">
      <c r="A384" s="551"/>
      <c r="B384" s="548"/>
      <c r="C384" s="525"/>
      <c r="D384" s="525"/>
      <c r="E384" s="638" t="str">
        <f>"Insurance income: "&amp;E$157</f>
        <v>Insurance income: FY29 Tranche</v>
      </c>
      <c r="F384" s="525"/>
      <c r="G384" s="525"/>
      <c r="H384" s="525"/>
      <c r="I384" s="525"/>
      <c r="J384" s="525"/>
      <c r="K384" s="525"/>
      <c r="L384" s="525"/>
      <c r="M384" s="525"/>
      <c r="N384" s="525"/>
      <c r="O384" s="525"/>
      <c r="P384" s="565"/>
      <c r="Q384" s="525"/>
      <c r="R384" s="527">
        <f t="shared" ref="R384:AW384" si="557">R$605*$R157</f>
        <v>4515.2258035121922</v>
      </c>
      <c r="S384" s="527">
        <f t="shared" si="557"/>
        <v>4515.2258035121922</v>
      </c>
      <c r="T384" s="527">
        <f t="shared" si="557"/>
        <v>4515.2258035121922</v>
      </c>
      <c r="U384" s="527">
        <f t="shared" si="557"/>
        <v>4515.2258035121922</v>
      </c>
      <c r="V384" s="527">
        <f t="shared" si="557"/>
        <v>4515.2258035121922</v>
      </c>
      <c r="W384" s="527">
        <f t="shared" si="557"/>
        <v>4515.2258035121922</v>
      </c>
      <c r="X384" s="527">
        <f t="shared" si="557"/>
        <v>4515.2258035121922</v>
      </c>
      <c r="Y384" s="527">
        <f t="shared" si="557"/>
        <v>4515.2258035121922</v>
      </c>
      <c r="Z384" s="527">
        <f t="shared" si="557"/>
        <v>4515.2258035121922</v>
      </c>
      <c r="AA384" s="527">
        <f t="shared" si="557"/>
        <v>4515.2258035121922</v>
      </c>
      <c r="AB384" s="527">
        <f t="shared" si="557"/>
        <v>4515.2258035121922</v>
      </c>
      <c r="AC384" s="527">
        <f t="shared" si="557"/>
        <v>4515.2258035121922</v>
      </c>
      <c r="AD384" s="527">
        <f t="shared" si="557"/>
        <v>4515.2258035121922</v>
      </c>
      <c r="AE384" s="527">
        <f t="shared" si="557"/>
        <v>4515.2258035121922</v>
      </c>
      <c r="AF384" s="527">
        <f t="shared" si="557"/>
        <v>4515.2258035121922</v>
      </c>
      <c r="AG384" s="527">
        <f t="shared" si="557"/>
        <v>4515.2258035121922</v>
      </c>
      <c r="AH384" s="527">
        <f t="shared" si="557"/>
        <v>4515.2258035121922</v>
      </c>
      <c r="AI384" s="527">
        <f t="shared" si="557"/>
        <v>4515.2258035121922</v>
      </c>
      <c r="AJ384" s="527">
        <f t="shared" si="557"/>
        <v>4515.2258035121922</v>
      </c>
      <c r="AK384" s="527">
        <f t="shared" si="557"/>
        <v>4515.2258035121922</v>
      </c>
      <c r="AL384" s="527">
        <f t="shared" si="557"/>
        <v>4515.2258035121922</v>
      </c>
      <c r="AM384" s="527">
        <f t="shared" si="557"/>
        <v>4515.2258035121922</v>
      </c>
      <c r="AN384" s="527">
        <f t="shared" si="557"/>
        <v>4515.2258035121922</v>
      </c>
      <c r="AO384" s="527">
        <f t="shared" si="557"/>
        <v>4515.2258035121922</v>
      </c>
      <c r="AP384" s="527">
        <f t="shared" si="557"/>
        <v>4515.2258035121922</v>
      </c>
      <c r="AQ384" s="527">
        <f t="shared" si="557"/>
        <v>4515.2258035121922</v>
      </c>
      <c r="AR384" s="527">
        <f t="shared" si="557"/>
        <v>4515.2258035121922</v>
      </c>
      <c r="AS384" s="527">
        <f t="shared" si="557"/>
        <v>4515.2258035121922</v>
      </c>
      <c r="AT384" s="527">
        <f t="shared" si="557"/>
        <v>4515.2258035121922</v>
      </c>
      <c r="AU384" s="527">
        <f t="shared" si="557"/>
        <v>4515.2258035121922</v>
      </c>
      <c r="AV384" s="527">
        <f t="shared" si="557"/>
        <v>4515.2258035121922</v>
      </c>
      <c r="AW384" s="527">
        <f t="shared" si="557"/>
        <v>4515.2258035121922</v>
      </c>
      <c r="AX384" s="527">
        <f t="shared" ref="AX384:BY384" si="558">AX$605*$R157</f>
        <v>4515.2258035121922</v>
      </c>
      <c r="AY384" s="527">
        <f t="shared" si="558"/>
        <v>4515.2258035121922</v>
      </c>
      <c r="AZ384" s="527">
        <f t="shared" si="558"/>
        <v>4515.2258035121922</v>
      </c>
      <c r="BA384" s="527">
        <f t="shared" si="558"/>
        <v>4515.2258035121922</v>
      </c>
      <c r="BB384" s="527">
        <f t="shared" si="558"/>
        <v>4515.2258035121922</v>
      </c>
      <c r="BC384" s="527">
        <f t="shared" si="558"/>
        <v>4515.2258035121922</v>
      </c>
      <c r="BD384" s="527">
        <f t="shared" si="558"/>
        <v>4515.2258035121922</v>
      </c>
      <c r="BE384" s="527">
        <f t="shared" si="558"/>
        <v>4515.2258035121922</v>
      </c>
      <c r="BF384" s="527">
        <f t="shared" si="558"/>
        <v>4515.2258035121922</v>
      </c>
      <c r="BG384" s="527">
        <f t="shared" si="558"/>
        <v>4515.2258035121922</v>
      </c>
      <c r="BH384" s="527">
        <f t="shared" si="558"/>
        <v>4515.2258035121922</v>
      </c>
      <c r="BI384" s="527">
        <f t="shared" si="558"/>
        <v>4515.2258035121922</v>
      </c>
      <c r="BJ384" s="527">
        <f t="shared" si="558"/>
        <v>4515.2258035121922</v>
      </c>
      <c r="BK384" s="527">
        <f t="shared" si="558"/>
        <v>4515.2258035121922</v>
      </c>
      <c r="BL384" s="527">
        <f t="shared" si="558"/>
        <v>4515.2258035121922</v>
      </c>
      <c r="BM384" s="527">
        <f t="shared" si="558"/>
        <v>4515.2258035121922</v>
      </c>
      <c r="BN384" s="527">
        <f t="shared" si="558"/>
        <v>4515.2258035121922</v>
      </c>
      <c r="BO384" s="527">
        <f t="shared" si="558"/>
        <v>4515.2258035121922</v>
      </c>
      <c r="BP384" s="527">
        <f t="shared" si="558"/>
        <v>4515.2258035121922</v>
      </c>
      <c r="BQ384" s="527">
        <f t="shared" si="558"/>
        <v>4515.2258035121922</v>
      </c>
      <c r="BR384" s="527">
        <f t="shared" si="558"/>
        <v>4515.2258035121922</v>
      </c>
      <c r="BS384" s="527">
        <f t="shared" si="558"/>
        <v>4515.2258035121922</v>
      </c>
      <c r="BT384" s="527">
        <f t="shared" si="558"/>
        <v>4515.2258035121922</v>
      </c>
      <c r="BU384" s="527">
        <f t="shared" si="558"/>
        <v>4515.2258035121922</v>
      </c>
      <c r="BV384" s="527">
        <f t="shared" si="558"/>
        <v>4515.2258035121922</v>
      </c>
      <c r="BW384" s="527">
        <f t="shared" si="558"/>
        <v>4515.2258035121922</v>
      </c>
      <c r="BX384" s="527">
        <f t="shared" si="558"/>
        <v>4515.2258035121922</v>
      </c>
      <c r="BY384" s="527">
        <f t="shared" si="558"/>
        <v>4515.2258035121922</v>
      </c>
    </row>
    <row r="385" spans="1:77" x14ac:dyDescent="0.3">
      <c r="A385" s="551"/>
      <c r="B385" s="548"/>
      <c r="C385" s="525"/>
      <c r="D385" s="525"/>
      <c r="E385" s="638" t="str">
        <f>"Insurance income: "&amp;E$158</f>
        <v>Insurance income: FY30 Tranche</v>
      </c>
      <c r="F385" s="525"/>
      <c r="G385" s="525"/>
      <c r="H385" s="525"/>
      <c r="I385" s="525"/>
      <c r="J385" s="525"/>
      <c r="K385" s="525"/>
      <c r="L385" s="525"/>
      <c r="M385" s="525"/>
      <c r="N385" s="525"/>
      <c r="O385" s="525"/>
      <c r="P385" s="565"/>
      <c r="Q385" s="525"/>
      <c r="R385" s="527">
        <f t="shared" ref="R385:AW385" si="559">R$605*$R158</f>
        <v>4515.2258035121922</v>
      </c>
      <c r="S385" s="527">
        <f t="shared" si="559"/>
        <v>4515.2258035121922</v>
      </c>
      <c r="T385" s="527">
        <f t="shared" si="559"/>
        <v>4515.2258035121922</v>
      </c>
      <c r="U385" s="527">
        <f t="shared" si="559"/>
        <v>4515.2258035121922</v>
      </c>
      <c r="V385" s="527">
        <f t="shared" si="559"/>
        <v>4515.2258035121922</v>
      </c>
      <c r="W385" s="527">
        <f t="shared" si="559"/>
        <v>4515.2258035121922</v>
      </c>
      <c r="X385" s="527">
        <f t="shared" si="559"/>
        <v>4515.2258035121922</v>
      </c>
      <c r="Y385" s="527">
        <f t="shared" si="559"/>
        <v>4515.2258035121922</v>
      </c>
      <c r="Z385" s="527">
        <f t="shared" si="559"/>
        <v>4515.2258035121922</v>
      </c>
      <c r="AA385" s="527">
        <f t="shared" si="559"/>
        <v>4515.2258035121922</v>
      </c>
      <c r="AB385" s="527">
        <f t="shared" si="559"/>
        <v>4515.2258035121922</v>
      </c>
      <c r="AC385" s="527">
        <f t="shared" si="559"/>
        <v>4515.2258035121922</v>
      </c>
      <c r="AD385" s="527">
        <f t="shared" si="559"/>
        <v>4515.2258035121922</v>
      </c>
      <c r="AE385" s="527">
        <f t="shared" si="559"/>
        <v>4515.2258035121922</v>
      </c>
      <c r="AF385" s="527">
        <f t="shared" si="559"/>
        <v>4515.2258035121922</v>
      </c>
      <c r="AG385" s="527">
        <f t="shared" si="559"/>
        <v>4515.2258035121922</v>
      </c>
      <c r="AH385" s="527">
        <f t="shared" si="559"/>
        <v>4515.2258035121922</v>
      </c>
      <c r="AI385" s="527">
        <f t="shared" si="559"/>
        <v>4515.2258035121922</v>
      </c>
      <c r="AJ385" s="527">
        <f t="shared" si="559"/>
        <v>4515.2258035121922</v>
      </c>
      <c r="AK385" s="527">
        <f t="shared" si="559"/>
        <v>4515.2258035121922</v>
      </c>
      <c r="AL385" s="527">
        <f t="shared" si="559"/>
        <v>4515.2258035121922</v>
      </c>
      <c r="AM385" s="527">
        <f t="shared" si="559"/>
        <v>4515.2258035121922</v>
      </c>
      <c r="AN385" s="527">
        <f t="shared" si="559"/>
        <v>4515.2258035121922</v>
      </c>
      <c r="AO385" s="527">
        <f t="shared" si="559"/>
        <v>4515.2258035121922</v>
      </c>
      <c r="AP385" s="527">
        <f t="shared" si="559"/>
        <v>4515.2258035121922</v>
      </c>
      <c r="AQ385" s="527">
        <f t="shared" si="559"/>
        <v>4515.2258035121922</v>
      </c>
      <c r="AR385" s="527">
        <f t="shared" si="559"/>
        <v>4515.2258035121922</v>
      </c>
      <c r="AS385" s="527">
        <f t="shared" si="559"/>
        <v>4515.2258035121922</v>
      </c>
      <c r="AT385" s="527">
        <f t="shared" si="559"/>
        <v>4515.2258035121922</v>
      </c>
      <c r="AU385" s="527">
        <f t="shared" si="559"/>
        <v>4515.2258035121922</v>
      </c>
      <c r="AV385" s="527">
        <f t="shared" si="559"/>
        <v>4515.2258035121922</v>
      </c>
      <c r="AW385" s="527">
        <f t="shared" si="559"/>
        <v>4515.2258035121922</v>
      </c>
      <c r="AX385" s="527">
        <f t="shared" ref="AX385:BY385" si="560">AX$605*$R158</f>
        <v>4515.2258035121922</v>
      </c>
      <c r="AY385" s="527">
        <f t="shared" si="560"/>
        <v>4515.2258035121922</v>
      </c>
      <c r="AZ385" s="527">
        <f t="shared" si="560"/>
        <v>4515.2258035121922</v>
      </c>
      <c r="BA385" s="527">
        <f t="shared" si="560"/>
        <v>4515.2258035121922</v>
      </c>
      <c r="BB385" s="527">
        <f t="shared" si="560"/>
        <v>4515.2258035121922</v>
      </c>
      <c r="BC385" s="527">
        <f t="shared" si="560"/>
        <v>4515.2258035121922</v>
      </c>
      <c r="BD385" s="527">
        <f t="shared" si="560"/>
        <v>4515.2258035121922</v>
      </c>
      <c r="BE385" s="527">
        <f t="shared" si="560"/>
        <v>4515.2258035121922</v>
      </c>
      <c r="BF385" s="527">
        <f t="shared" si="560"/>
        <v>4515.2258035121922</v>
      </c>
      <c r="BG385" s="527">
        <f t="shared" si="560"/>
        <v>4515.2258035121922</v>
      </c>
      <c r="BH385" s="527">
        <f t="shared" si="560"/>
        <v>4515.2258035121922</v>
      </c>
      <c r="BI385" s="527">
        <f t="shared" si="560"/>
        <v>4515.2258035121922</v>
      </c>
      <c r="BJ385" s="527">
        <f t="shared" si="560"/>
        <v>4515.2258035121922</v>
      </c>
      <c r="BK385" s="527">
        <f t="shared" si="560"/>
        <v>4515.2258035121922</v>
      </c>
      <c r="BL385" s="527">
        <f t="shared" si="560"/>
        <v>4515.2258035121922</v>
      </c>
      <c r="BM385" s="527">
        <f t="shared" si="560"/>
        <v>4515.2258035121922</v>
      </c>
      <c r="BN385" s="527">
        <f t="shared" si="560"/>
        <v>4515.2258035121922</v>
      </c>
      <c r="BO385" s="527">
        <f t="shared" si="560"/>
        <v>4515.2258035121922</v>
      </c>
      <c r="BP385" s="527">
        <f t="shared" si="560"/>
        <v>4515.2258035121922</v>
      </c>
      <c r="BQ385" s="527">
        <f t="shared" si="560"/>
        <v>4515.2258035121922</v>
      </c>
      <c r="BR385" s="527">
        <f t="shared" si="560"/>
        <v>4515.2258035121922</v>
      </c>
      <c r="BS385" s="527">
        <f t="shared" si="560"/>
        <v>4515.2258035121922</v>
      </c>
      <c r="BT385" s="527">
        <f t="shared" si="560"/>
        <v>4515.2258035121922</v>
      </c>
      <c r="BU385" s="527">
        <f t="shared" si="560"/>
        <v>4515.2258035121922</v>
      </c>
      <c r="BV385" s="527">
        <f t="shared" si="560"/>
        <v>4515.2258035121922</v>
      </c>
      <c r="BW385" s="527">
        <f t="shared" si="560"/>
        <v>4515.2258035121922</v>
      </c>
      <c r="BX385" s="527">
        <f t="shared" si="560"/>
        <v>4515.2258035121922</v>
      </c>
      <c r="BY385" s="527">
        <f t="shared" si="560"/>
        <v>4515.2258035121922</v>
      </c>
    </row>
    <row r="386" spans="1:77" x14ac:dyDescent="0.3">
      <c r="A386" s="551"/>
      <c r="B386" s="548"/>
      <c r="C386" s="525"/>
      <c r="D386" s="525"/>
      <c r="E386" s="638" t="str">
        <f>"Insurance income: "&amp;E$159</f>
        <v>Insurance income: FY31 Tranche</v>
      </c>
      <c r="F386" s="525"/>
      <c r="G386" s="525"/>
      <c r="H386" s="525"/>
      <c r="I386" s="525"/>
      <c r="J386" s="525"/>
      <c r="K386" s="525"/>
      <c r="L386" s="525"/>
      <c r="M386" s="525"/>
      <c r="N386" s="525"/>
      <c r="O386" s="525"/>
      <c r="P386" s="565"/>
      <c r="Q386" s="525"/>
      <c r="R386" s="527">
        <f t="shared" ref="R386:AW386" si="561">R$605*$R159</f>
        <v>4515.2258035121922</v>
      </c>
      <c r="S386" s="527">
        <f t="shared" si="561"/>
        <v>4515.2258035121922</v>
      </c>
      <c r="T386" s="527">
        <f t="shared" si="561"/>
        <v>4515.2258035121922</v>
      </c>
      <c r="U386" s="527">
        <f t="shared" si="561"/>
        <v>4515.2258035121922</v>
      </c>
      <c r="V386" s="527">
        <f t="shared" si="561"/>
        <v>4515.2258035121922</v>
      </c>
      <c r="W386" s="527">
        <f t="shared" si="561"/>
        <v>4515.2258035121922</v>
      </c>
      <c r="X386" s="527">
        <f t="shared" si="561"/>
        <v>4515.2258035121922</v>
      </c>
      <c r="Y386" s="527">
        <f t="shared" si="561"/>
        <v>4515.2258035121922</v>
      </c>
      <c r="Z386" s="527">
        <f t="shared" si="561"/>
        <v>4515.2258035121922</v>
      </c>
      <c r="AA386" s="527">
        <f t="shared" si="561"/>
        <v>4515.2258035121922</v>
      </c>
      <c r="AB386" s="527">
        <f t="shared" si="561"/>
        <v>4515.2258035121922</v>
      </c>
      <c r="AC386" s="527">
        <f t="shared" si="561"/>
        <v>4515.2258035121922</v>
      </c>
      <c r="AD386" s="527">
        <f t="shared" si="561"/>
        <v>4515.2258035121922</v>
      </c>
      <c r="AE386" s="527">
        <f t="shared" si="561"/>
        <v>4515.2258035121922</v>
      </c>
      <c r="AF386" s="527">
        <f t="shared" si="561"/>
        <v>4515.2258035121922</v>
      </c>
      <c r="AG386" s="527">
        <f t="shared" si="561"/>
        <v>4515.2258035121922</v>
      </c>
      <c r="AH386" s="527">
        <f t="shared" si="561"/>
        <v>4515.2258035121922</v>
      </c>
      <c r="AI386" s="527">
        <f t="shared" si="561"/>
        <v>4515.2258035121922</v>
      </c>
      <c r="AJ386" s="527">
        <f t="shared" si="561"/>
        <v>4515.2258035121922</v>
      </c>
      <c r="AK386" s="527">
        <f t="shared" si="561"/>
        <v>4515.2258035121922</v>
      </c>
      <c r="AL386" s="527">
        <f t="shared" si="561"/>
        <v>4515.2258035121922</v>
      </c>
      <c r="AM386" s="527">
        <f t="shared" si="561"/>
        <v>4515.2258035121922</v>
      </c>
      <c r="AN386" s="527">
        <f t="shared" si="561"/>
        <v>4515.2258035121922</v>
      </c>
      <c r="AO386" s="527">
        <f t="shared" si="561"/>
        <v>4515.2258035121922</v>
      </c>
      <c r="AP386" s="527">
        <f t="shared" si="561"/>
        <v>4515.2258035121922</v>
      </c>
      <c r="AQ386" s="527">
        <f t="shared" si="561"/>
        <v>4515.2258035121922</v>
      </c>
      <c r="AR386" s="527">
        <f t="shared" si="561"/>
        <v>4515.2258035121922</v>
      </c>
      <c r="AS386" s="527">
        <f t="shared" si="561"/>
        <v>4515.2258035121922</v>
      </c>
      <c r="AT386" s="527">
        <f t="shared" si="561"/>
        <v>4515.2258035121922</v>
      </c>
      <c r="AU386" s="527">
        <f t="shared" si="561"/>
        <v>4515.2258035121922</v>
      </c>
      <c r="AV386" s="527">
        <f t="shared" si="561"/>
        <v>4515.2258035121922</v>
      </c>
      <c r="AW386" s="527">
        <f t="shared" si="561"/>
        <v>4515.2258035121922</v>
      </c>
      <c r="AX386" s="527">
        <f t="shared" ref="AX386:BY386" si="562">AX$605*$R159</f>
        <v>4515.2258035121922</v>
      </c>
      <c r="AY386" s="527">
        <f t="shared" si="562"/>
        <v>4515.2258035121922</v>
      </c>
      <c r="AZ386" s="527">
        <f t="shared" si="562"/>
        <v>4515.2258035121922</v>
      </c>
      <c r="BA386" s="527">
        <f t="shared" si="562"/>
        <v>4515.2258035121922</v>
      </c>
      <c r="BB386" s="527">
        <f t="shared" si="562"/>
        <v>4515.2258035121922</v>
      </c>
      <c r="BC386" s="527">
        <f t="shared" si="562"/>
        <v>4515.2258035121922</v>
      </c>
      <c r="BD386" s="527">
        <f t="shared" si="562"/>
        <v>4515.2258035121922</v>
      </c>
      <c r="BE386" s="527">
        <f t="shared" si="562"/>
        <v>4515.2258035121922</v>
      </c>
      <c r="BF386" s="527">
        <f t="shared" si="562"/>
        <v>4515.2258035121922</v>
      </c>
      <c r="BG386" s="527">
        <f t="shared" si="562"/>
        <v>4515.2258035121922</v>
      </c>
      <c r="BH386" s="527">
        <f t="shared" si="562"/>
        <v>4515.2258035121922</v>
      </c>
      <c r="BI386" s="527">
        <f t="shared" si="562"/>
        <v>4515.2258035121922</v>
      </c>
      <c r="BJ386" s="527">
        <f t="shared" si="562"/>
        <v>4515.2258035121922</v>
      </c>
      <c r="BK386" s="527">
        <f t="shared" si="562"/>
        <v>4515.2258035121922</v>
      </c>
      <c r="BL386" s="527">
        <f t="shared" si="562"/>
        <v>4515.2258035121922</v>
      </c>
      <c r="BM386" s="527">
        <f t="shared" si="562"/>
        <v>4515.2258035121922</v>
      </c>
      <c r="BN386" s="527">
        <f t="shared" si="562"/>
        <v>4515.2258035121922</v>
      </c>
      <c r="BO386" s="527">
        <f t="shared" si="562"/>
        <v>4515.2258035121922</v>
      </c>
      <c r="BP386" s="527">
        <f t="shared" si="562"/>
        <v>4515.2258035121922</v>
      </c>
      <c r="BQ386" s="527">
        <f t="shared" si="562"/>
        <v>4515.2258035121922</v>
      </c>
      <c r="BR386" s="527">
        <f t="shared" si="562"/>
        <v>4515.2258035121922</v>
      </c>
      <c r="BS386" s="527">
        <f t="shared" si="562"/>
        <v>4515.2258035121922</v>
      </c>
      <c r="BT386" s="527">
        <f t="shared" si="562"/>
        <v>4515.2258035121922</v>
      </c>
      <c r="BU386" s="527">
        <f t="shared" si="562"/>
        <v>4515.2258035121922</v>
      </c>
      <c r="BV386" s="527">
        <f t="shared" si="562"/>
        <v>4515.2258035121922</v>
      </c>
      <c r="BW386" s="527">
        <f t="shared" si="562"/>
        <v>4515.2258035121922</v>
      </c>
      <c r="BX386" s="527">
        <f t="shared" si="562"/>
        <v>4515.2258035121922</v>
      </c>
      <c r="BY386" s="527">
        <f t="shared" si="562"/>
        <v>4515.2258035121922</v>
      </c>
    </row>
    <row r="387" spans="1:77" x14ac:dyDescent="0.3">
      <c r="A387" s="551"/>
      <c r="B387" s="548"/>
      <c r="C387" s="525"/>
      <c r="D387" s="525"/>
      <c r="E387" s="638" t="str">
        <f>"Insurance income: "&amp;E$160</f>
        <v>Insurance income: Uninvested Tranche</v>
      </c>
      <c r="F387" s="525"/>
      <c r="G387" s="525"/>
      <c r="H387" s="525"/>
      <c r="I387" s="525"/>
      <c r="J387" s="525"/>
      <c r="K387" s="525"/>
      <c r="L387" s="525"/>
      <c r="M387" s="525"/>
      <c r="N387" s="525"/>
      <c r="O387" s="525"/>
      <c r="P387" s="565"/>
      <c r="Q387" s="525"/>
      <c r="R387" s="527">
        <f t="shared" ref="R387:AW387" si="563">R$605*$R160</f>
        <v>10092.857678439019</v>
      </c>
      <c r="S387" s="527">
        <f t="shared" si="563"/>
        <v>10092.857678439019</v>
      </c>
      <c r="T387" s="527">
        <f t="shared" si="563"/>
        <v>10092.857678439019</v>
      </c>
      <c r="U387" s="527">
        <f t="shared" si="563"/>
        <v>10092.857678439019</v>
      </c>
      <c r="V387" s="527">
        <f t="shared" si="563"/>
        <v>10092.857678439019</v>
      </c>
      <c r="W387" s="527">
        <f t="shared" si="563"/>
        <v>10092.857678439019</v>
      </c>
      <c r="X387" s="527">
        <f t="shared" si="563"/>
        <v>10092.857678439019</v>
      </c>
      <c r="Y387" s="527">
        <f t="shared" si="563"/>
        <v>10092.857678439019</v>
      </c>
      <c r="Z387" s="527">
        <f t="shared" si="563"/>
        <v>10092.857678439019</v>
      </c>
      <c r="AA387" s="527">
        <f t="shared" si="563"/>
        <v>10092.857678439019</v>
      </c>
      <c r="AB387" s="527">
        <f t="shared" si="563"/>
        <v>10092.857678439019</v>
      </c>
      <c r="AC387" s="527">
        <f t="shared" si="563"/>
        <v>10092.857678439019</v>
      </c>
      <c r="AD387" s="527">
        <f t="shared" si="563"/>
        <v>10092.857678439019</v>
      </c>
      <c r="AE387" s="527">
        <f t="shared" si="563"/>
        <v>10092.857678439019</v>
      </c>
      <c r="AF387" s="527">
        <f t="shared" si="563"/>
        <v>10092.857678439019</v>
      </c>
      <c r="AG387" s="527">
        <f t="shared" si="563"/>
        <v>10092.857678439019</v>
      </c>
      <c r="AH387" s="527">
        <f t="shared" si="563"/>
        <v>10092.857678439019</v>
      </c>
      <c r="AI387" s="527">
        <f t="shared" si="563"/>
        <v>10092.857678439019</v>
      </c>
      <c r="AJ387" s="527">
        <f t="shared" si="563"/>
        <v>10092.857678439019</v>
      </c>
      <c r="AK387" s="527">
        <f t="shared" si="563"/>
        <v>10092.857678439019</v>
      </c>
      <c r="AL387" s="527">
        <f t="shared" si="563"/>
        <v>10092.857678439019</v>
      </c>
      <c r="AM387" s="527">
        <f t="shared" si="563"/>
        <v>10092.857678439019</v>
      </c>
      <c r="AN387" s="527">
        <f t="shared" si="563"/>
        <v>10092.857678439019</v>
      </c>
      <c r="AO387" s="527">
        <f t="shared" si="563"/>
        <v>10092.857678439019</v>
      </c>
      <c r="AP387" s="527">
        <f t="shared" si="563"/>
        <v>10092.857678439019</v>
      </c>
      <c r="AQ387" s="527">
        <f t="shared" si="563"/>
        <v>10092.857678439019</v>
      </c>
      <c r="AR387" s="527">
        <f t="shared" si="563"/>
        <v>10092.857678439019</v>
      </c>
      <c r="AS387" s="527">
        <f t="shared" si="563"/>
        <v>10092.857678439019</v>
      </c>
      <c r="AT387" s="527">
        <f t="shared" si="563"/>
        <v>10092.857678439019</v>
      </c>
      <c r="AU387" s="527">
        <f t="shared" si="563"/>
        <v>10092.857678439019</v>
      </c>
      <c r="AV387" s="527">
        <f t="shared" si="563"/>
        <v>10092.857678439019</v>
      </c>
      <c r="AW387" s="527">
        <f t="shared" si="563"/>
        <v>10092.857678439019</v>
      </c>
      <c r="AX387" s="527">
        <f t="shared" ref="AX387:BY387" si="564">AX$605*$R160</f>
        <v>10092.857678439019</v>
      </c>
      <c r="AY387" s="527">
        <f t="shared" si="564"/>
        <v>10092.857678439019</v>
      </c>
      <c r="AZ387" s="527">
        <f t="shared" si="564"/>
        <v>10092.857678439019</v>
      </c>
      <c r="BA387" s="527">
        <f t="shared" si="564"/>
        <v>10092.857678439019</v>
      </c>
      <c r="BB387" s="527">
        <f t="shared" si="564"/>
        <v>10092.857678439019</v>
      </c>
      <c r="BC387" s="527">
        <f t="shared" si="564"/>
        <v>10092.857678439019</v>
      </c>
      <c r="BD387" s="527">
        <f t="shared" si="564"/>
        <v>10092.857678439019</v>
      </c>
      <c r="BE387" s="527">
        <f t="shared" si="564"/>
        <v>10092.857678439019</v>
      </c>
      <c r="BF387" s="527">
        <f t="shared" si="564"/>
        <v>10092.857678439019</v>
      </c>
      <c r="BG387" s="527">
        <f t="shared" si="564"/>
        <v>10092.857678439019</v>
      </c>
      <c r="BH387" s="527">
        <f t="shared" si="564"/>
        <v>10092.857678439019</v>
      </c>
      <c r="BI387" s="527">
        <f t="shared" si="564"/>
        <v>10092.857678439019</v>
      </c>
      <c r="BJ387" s="527">
        <f t="shared" si="564"/>
        <v>10092.857678439019</v>
      </c>
      <c r="BK387" s="527">
        <f t="shared" si="564"/>
        <v>10092.857678439019</v>
      </c>
      <c r="BL387" s="527">
        <f t="shared" si="564"/>
        <v>10092.857678439019</v>
      </c>
      <c r="BM387" s="527">
        <f t="shared" si="564"/>
        <v>10092.857678439019</v>
      </c>
      <c r="BN387" s="527">
        <f t="shared" si="564"/>
        <v>10092.857678439019</v>
      </c>
      <c r="BO387" s="527">
        <f t="shared" si="564"/>
        <v>10092.857678439019</v>
      </c>
      <c r="BP387" s="527">
        <f t="shared" si="564"/>
        <v>10092.857678439019</v>
      </c>
      <c r="BQ387" s="527">
        <f t="shared" si="564"/>
        <v>10092.857678439019</v>
      </c>
      <c r="BR387" s="527">
        <f t="shared" si="564"/>
        <v>10092.857678439019</v>
      </c>
      <c r="BS387" s="527">
        <f t="shared" si="564"/>
        <v>10092.857678439019</v>
      </c>
      <c r="BT387" s="527">
        <f t="shared" si="564"/>
        <v>10092.857678439019</v>
      </c>
      <c r="BU387" s="527">
        <f t="shared" si="564"/>
        <v>10092.857678439019</v>
      </c>
      <c r="BV387" s="527">
        <f t="shared" si="564"/>
        <v>10092.857678439019</v>
      </c>
      <c r="BW387" s="527">
        <f t="shared" si="564"/>
        <v>10092.857678439019</v>
      </c>
      <c r="BX387" s="527">
        <f t="shared" si="564"/>
        <v>10092.857678439019</v>
      </c>
      <c r="BY387" s="527">
        <f t="shared" si="564"/>
        <v>10092.857678439019</v>
      </c>
    </row>
    <row r="388" spans="1:77" x14ac:dyDescent="0.3">
      <c r="A388" s="551"/>
      <c r="B388" s="548"/>
      <c r="C388" s="525"/>
      <c r="D388" s="525"/>
      <c r="E388" s="572" t="s">
        <v>36</v>
      </c>
      <c r="F388" s="572"/>
      <c r="G388" s="572"/>
      <c r="H388" s="572"/>
      <c r="I388" s="572"/>
      <c r="J388" s="572"/>
      <c r="K388" s="572"/>
      <c r="L388" s="572"/>
      <c r="M388" s="572"/>
      <c r="N388" s="572"/>
      <c r="O388" s="572"/>
      <c r="P388" s="612"/>
      <c r="Q388" s="572"/>
      <c r="R388" s="530">
        <f t="shared" ref="R388:AW388" si="565">SUM(R382:R387)</f>
        <v>32668.986695999978</v>
      </c>
      <c r="S388" s="530">
        <f t="shared" si="565"/>
        <v>32668.986695999978</v>
      </c>
      <c r="T388" s="530">
        <f t="shared" si="565"/>
        <v>32668.986695999978</v>
      </c>
      <c r="U388" s="530">
        <f t="shared" si="565"/>
        <v>32668.986695999978</v>
      </c>
      <c r="V388" s="530">
        <f t="shared" si="565"/>
        <v>32668.986695999978</v>
      </c>
      <c r="W388" s="530">
        <f t="shared" si="565"/>
        <v>32668.986695999978</v>
      </c>
      <c r="X388" s="530">
        <f t="shared" si="565"/>
        <v>32668.986695999978</v>
      </c>
      <c r="Y388" s="530">
        <f t="shared" si="565"/>
        <v>32668.986695999978</v>
      </c>
      <c r="Z388" s="530">
        <f t="shared" si="565"/>
        <v>32668.986695999978</v>
      </c>
      <c r="AA388" s="530">
        <f t="shared" si="565"/>
        <v>32668.986695999978</v>
      </c>
      <c r="AB388" s="530">
        <f t="shared" si="565"/>
        <v>32668.986695999978</v>
      </c>
      <c r="AC388" s="530">
        <f t="shared" si="565"/>
        <v>32668.986695999978</v>
      </c>
      <c r="AD388" s="530">
        <f t="shared" si="565"/>
        <v>32668.986695999978</v>
      </c>
      <c r="AE388" s="530">
        <f t="shared" si="565"/>
        <v>32668.986695999978</v>
      </c>
      <c r="AF388" s="530">
        <f t="shared" si="565"/>
        <v>32668.986695999978</v>
      </c>
      <c r="AG388" s="530">
        <f t="shared" si="565"/>
        <v>32668.986695999978</v>
      </c>
      <c r="AH388" s="530">
        <f t="shared" si="565"/>
        <v>32668.986695999978</v>
      </c>
      <c r="AI388" s="530">
        <f t="shared" si="565"/>
        <v>32668.986695999978</v>
      </c>
      <c r="AJ388" s="530">
        <f t="shared" si="565"/>
        <v>32668.986695999978</v>
      </c>
      <c r="AK388" s="530">
        <f t="shared" si="565"/>
        <v>32668.986695999978</v>
      </c>
      <c r="AL388" s="530">
        <f t="shared" si="565"/>
        <v>32668.986695999978</v>
      </c>
      <c r="AM388" s="530">
        <f t="shared" si="565"/>
        <v>32668.986695999978</v>
      </c>
      <c r="AN388" s="530">
        <f t="shared" si="565"/>
        <v>32668.986695999978</v>
      </c>
      <c r="AO388" s="530">
        <f t="shared" si="565"/>
        <v>32668.986695999978</v>
      </c>
      <c r="AP388" s="530">
        <f t="shared" si="565"/>
        <v>32668.986695999978</v>
      </c>
      <c r="AQ388" s="530">
        <f t="shared" si="565"/>
        <v>32668.986695999978</v>
      </c>
      <c r="AR388" s="530">
        <f t="shared" si="565"/>
        <v>32668.986695999978</v>
      </c>
      <c r="AS388" s="530">
        <f t="shared" si="565"/>
        <v>32668.986695999978</v>
      </c>
      <c r="AT388" s="530">
        <f t="shared" si="565"/>
        <v>32668.986695999978</v>
      </c>
      <c r="AU388" s="530">
        <f t="shared" si="565"/>
        <v>32668.986695999978</v>
      </c>
      <c r="AV388" s="530">
        <f t="shared" si="565"/>
        <v>32668.986695999978</v>
      </c>
      <c r="AW388" s="530">
        <f t="shared" si="565"/>
        <v>32668.986695999978</v>
      </c>
      <c r="AX388" s="530">
        <f t="shared" ref="AX388:BY388" si="566">SUM(AX382:AX387)</f>
        <v>32668.986695999978</v>
      </c>
      <c r="AY388" s="530">
        <f t="shared" si="566"/>
        <v>32668.986695999978</v>
      </c>
      <c r="AZ388" s="530">
        <f t="shared" si="566"/>
        <v>32668.986695999978</v>
      </c>
      <c r="BA388" s="530">
        <f t="shared" si="566"/>
        <v>32668.986695999978</v>
      </c>
      <c r="BB388" s="530">
        <f t="shared" si="566"/>
        <v>32668.986695999978</v>
      </c>
      <c r="BC388" s="530">
        <f t="shared" si="566"/>
        <v>32668.986695999978</v>
      </c>
      <c r="BD388" s="530">
        <f t="shared" si="566"/>
        <v>32668.986695999978</v>
      </c>
      <c r="BE388" s="530">
        <f t="shared" si="566"/>
        <v>32668.986695999978</v>
      </c>
      <c r="BF388" s="530">
        <f t="shared" si="566"/>
        <v>32668.986695999978</v>
      </c>
      <c r="BG388" s="530">
        <f t="shared" si="566"/>
        <v>32668.986695999978</v>
      </c>
      <c r="BH388" s="530">
        <f t="shared" si="566"/>
        <v>32668.986695999978</v>
      </c>
      <c r="BI388" s="530">
        <f t="shared" si="566"/>
        <v>32668.986695999978</v>
      </c>
      <c r="BJ388" s="530">
        <f t="shared" si="566"/>
        <v>32668.986695999978</v>
      </c>
      <c r="BK388" s="530">
        <f t="shared" si="566"/>
        <v>32668.986695999978</v>
      </c>
      <c r="BL388" s="530">
        <f t="shared" si="566"/>
        <v>32668.986695999978</v>
      </c>
      <c r="BM388" s="530">
        <f t="shared" si="566"/>
        <v>32668.986695999978</v>
      </c>
      <c r="BN388" s="530">
        <f t="shared" si="566"/>
        <v>32668.986695999978</v>
      </c>
      <c r="BO388" s="530">
        <f t="shared" si="566"/>
        <v>32668.986695999978</v>
      </c>
      <c r="BP388" s="530">
        <f t="shared" si="566"/>
        <v>32668.986695999978</v>
      </c>
      <c r="BQ388" s="530">
        <f t="shared" si="566"/>
        <v>32668.986695999978</v>
      </c>
      <c r="BR388" s="530">
        <f t="shared" si="566"/>
        <v>32668.986695999978</v>
      </c>
      <c r="BS388" s="530">
        <f t="shared" si="566"/>
        <v>32668.986695999978</v>
      </c>
      <c r="BT388" s="530">
        <f t="shared" si="566"/>
        <v>32668.986695999978</v>
      </c>
      <c r="BU388" s="530">
        <f t="shared" si="566"/>
        <v>32668.986695999978</v>
      </c>
      <c r="BV388" s="530">
        <f t="shared" si="566"/>
        <v>32668.986695999978</v>
      </c>
      <c r="BW388" s="530">
        <f t="shared" si="566"/>
        <v>32668.986695999978</v>
      </c>
      <c r="BX388" s="530">
        <f t="shared" si="566"/>
        <v>32668.986695999978</v>
      </c>
      <c r="BY388" s="530">
        <f t="shared" si="566"/>
        <v>32668.986695999978</v>
      </c>
    </row>
    <row r="389" spans="1:77" x14ac:dyDescent="0.3">
      <c r="A389" s="551"/>
      <c r="B389" s="548"/>
      <c r="C389" s="525"/>
      <c r="D389" s="525"/>
      <c r="E389" s="525"/>
      <c r="F389" s="525"/>
      <c r="G389" s="525"/>
      <c r="H389" s="525"/>
      <c r="I389" s="525"/>
      <c r="J389" s="525"/>
      <c r="K389" s="525"/>
      <c r="L389" s="525"/>
      <c r="M389" s="525"/>
      <c r="N389" s="525"/>
      <c r="O389" s="525"/>
      <c r="P389" s="565"/>
      <c r="Q389" s="525"/>
      <c r="R389" s="525"/>
      <c r="S389" s="525"/>
      <c r="T389" s="525"/>
      <c r="U389" s="525"/>
      <c r="V389" s="525"/>
      <c r="W389" s="525"/>
      <c r="X389" s="525"/>
      <c r="Y389" s="525"/>
      <c r="Z389" s="525"/>
      <c r="AA389" s="525"/>
      <c r="AB389" s="525"/>
      <c r="AC389" s="525"/>
      <c r="AD389" s="525"/>
      <c r="AE389" s="525"/>
      <c r="AF389" s="525"/>
      <c r="AG389" s="525"/>
      <c r="AH389" s="525"/>
      <c r="AI389" s="525"/>
      <c r="AJ389" s="525"/>
      <c r="AK389" s="525"/>
      <c r="AL389" s="525"/>
      <c r="AM389" s="525"/>
      <c r="AN389" s="525"/>
      <c r="AO389" s="525"/>
      <c r="AP389" s="525"/>
      <c r="AQ389" s="525"/>
      <c r="AR389" s="525"/>
      <c r="AS389" s="525"/>
      <c r="AT389" s="525"/>
      <c r="AU389" s="525"/>
      <c r="AV389" s="525"/>
      <c r="AW389" s="525"/>
      <c r="AX389" s="525"/>
      <c r="AY389" s="525"/>
      <c r="AZ389" s="525"/>
      <c r="BA389" s="525"/>
      <c r="BB389" s="525"/>
      <c r="BC389" s="525"/>
      <c r="BD389" s="525"/>
      <c r="BE389" s="525"/>
      <c r="BF389" s="525"/>
      <c r="BG389" s="525"/>
      <c r="BH389" s="525"/>
      <c r="BI389" s="525"/>
      <c r="BJ389" s="525"/>
      <c r="BK389" s="525"/>
      <c r="BL389" s="525"/>
      <c r="BM389" s="525"/>
      <c r="BN389" s="525"/>
      <c r="BO389" s="525"/>
      <c r="BP389" s="525"/>
      <c r="BQ389" s="525"/>
      <c r="BR389" s="525"/>
      <c r="BS389" s="525"/>
      <c r="BT389" s="525"/>
      <c r="BU389" s="525"/>
      <c r="BV389" s="525"/>
      <c r="BW389" s="525"/>
      <c r="BX389" s="525"/>
      <c r="BY389" s="525"/>
    </row>
    <row r="390" spans="1:77" x14ac:dyDescent="0.3">
      <c r="A390" s="551"/>
      <c r="B390" s="548"/>
      <c r="C390" s="584" t="s">
        <v>37</v>
      </c>
      <c r="D390" s="525"/>
      <c r="E390" s="538" t="s">
        <v>51</v>
      </c>
      <c r="F390" s="538"/>
      <c r="G390" s="538"/>
      <c r="H390" s="538"/>
      <c r="I390" s="538"/>
      <c r="J390" s="538"/>
      <c r="K390" s="538"/>
      <c r="L390" s="538"/>
      <c r="M390" s="538"/>
      <c r="N390" s="538"/>
      <c r="O390" s="538"/>
      <c r="P390" s="584"/>
      <c r="Q390" s="538"/>
      <c r="R390" s="538"/>
      <c r="S390" s="538"/>
      <c r="T390" s="538"/>
      <c r="U390" s="538"/>
      <c r="V390" s="538"/>
      <c r="W390" s="538"/>
      <c r="X390" s="538"/>
      <c r="Y390" s="538"/>
      <c r="Z390" s="538"/>
      <c r="AA390" s="538"/>
      <c r="AB390" s="538"/>
      <c r="AC390" s="538"/>
      <c r="AD390" s="538"/>
      <c r="AE390" s="538"/>
      <c r="AF390" s="538"/>
      <c r="AG390" s="538"/>
      <c r="AH390" s="538"/>
      <c r="AI390" s="538"/>
      <c r="AJ390" s="538"/>
      <c r="AK390" s="538"/>
      <c r="AL390" s="538"/>
      <c r="AM390" s="538"/>
      <c r="AN390" s="538"/>
      <c r="AO390" s="538"/>
      <c r="AP390" s="538"/>
      <c r="AQ390" s="538"/>
      <c r="AR390" s="538"/>
      <c r="AS390" s="538"/>
      <c r="AT390" s="538"/>
      <c r="AU390" s="538"/>
      <c r="AV390" s="538"/>
      <c r="AW390" s="538"/>
      <c r="AX390" s="538"/>
      <c r="AY390" s="538"/>
      <c r="AZ390" s="538"/>
      <c r="BA390" s="538"/>
      <c r="BB390" s="538"/>
      <c r="BC390" s="538"/>
      <c r="BD390" s="538"/>
      <c r="BE390" s="538"/>
      <c r="BF390" s="538"/>
      <c r="BG390" s="538"/>
      <c r="BH390" s="538"/>
      <c r="BI390" s="538"/>
      <c r="BJ390" s="538"/>
      <c r="BK390" s="538"/>
      <c r="BL390" s="538"/>
      <c r="BM390" s="538"/>
      <c r="BN390" s="538"/>
      <c r="BO390" s="538"/>
      <c r="BP390" s="538"/>
      <c r="BQ390" s="538"/>
      <c r="BR390" s="538"/>
      <c r="BS390" s="538"/>
      <c r="BT390" s="538"/>
      <c r="BU390" s="538"/>
      <c r="BV390" s="538"/>
      <c r="BW390" s="538"/>
      <c r="BX390" s="538"/>
      <c r="BY390" s="538"/>
    </row>
    <row r="391" spans="1:77" x14ac:dyDescent="0.3">
      <c r="A391" s="551"/>
      <c r="B391" s="548"/>
      <c r="C391" s="525"/>
      <c r="D391" s="525"/>
      <c r="E391" s="525"/>
      <c r="F391" s="525"/>
      <c r="G391" s="525"/>
      <c r="H391" s="525"/>
      <c r="I391" s="525"/>
      <c r="J391" s="525"/>
      <c r="K391" s="525"/>
      <c r="L391" s="525"/>
      <c r="M391" s="525"/>
      <c r="N391" s="525"/>
      <c r="O391" s="525"/>
      <c r="P391" s="565"/>
      <c r="Q391" s="525"/>
      <c r="R391" s="525"/>
      <c r="S391" s="525"/>
      <c r="T391" s="525"/>
      <c r="U391" s="525"/>
      <c r="V391" s="525"/>
      <c r="W391" s="525"/>
      <c r="X391" s="525"/>
      <c r="Y391" s="525"/>
      <c r="Z391" s="525"/>
      <c r="AA391" s="525"/>
      <c r="AB391" s="525"/>
      <c r="AC391" s="525"/>
      <c r="AD391" s="525"/>
      <c r="AE391" s="525"/>
      <c r="AF391" s="525"/>
      <c r="AG391" s="525"/>
      <c r="AH391" s="525"/>
      <c r="AI391" s="525"/>
      <c r="AJ391" s="525"/>
      <c r="AK391" s="525"/>
      <c r="AL391" s="525"/>
      <c r="AM391" s="525"/>
      <c r="AN391" s="525"/>
      <c r="AO391" s="525"/>
      <c r="AP391" s="525"/>
      <c r="AQ391" s="525"/>
      <c r="AR391" s="525"/>
      <c r="AS391" s="525"/>
      <c r="AT391" s="525"/>
      <c r="AU391" s="525"/>
      <c r="AV391" s="525"/>
      <c r="AW391" s="525"/>
      <c r="AX391" s="525"/>
      <c r="AY391" s="525"/>
      <c r="AZ391" s="525"/>
      <c r="BA391" s="525"/>
      <c r="BB391" s="525"/>
      <c r="BC391" s="525"/>
      <c r="BD391" s="525"/>
      <c r="BE391" s="525"/>
      <c r="BF391" s="525"/>
      <c r="BG391" s="525"/>
      <c r="BH391" s="525"/>
      <c r="BI391" s="525"/>
      <c r="BJ391" s="525"/>
      <c r="BK391" s="525"/>
      <c r="BL391" s="525"/>
      <c r="BM391" s="525"/>
      <c r="BN391" s="525"/>
      <c r="BO391" s="525"/>
      <c r="BP391" s="525"/>
      <c r="BQ391" s="525"/>
      <c r="BR391" s="525"/>
      <c r="BS391" s="525"/>
      <c r="BT391" s="525"/>
      <c r="BU391" s="525"/>
      <c r="BV391" s="525"/>
      <c r="BW391" s="525"/>
      <c r="BX391" s="525"/>
      <c r="BY391" s="525"/>
    </row>
    <row r="392" spans="1:77" x14ac:dyDescent="0.3">
      <c r="A392" s="551"/>
      <c r="B392" s="548"/>
      <c r="C392" s="525"/>
      <c r="D392" s="525"/>
      <c r="E392" s="614" t="s">
        <v>110</v>
      </c>
      <c r="F392" s="539"/>
      <c r="G392" s="539"/>
      <c r="H392" s="539"/>
      <c r="I392" s="539"/>
      <c r="J392" s="539"/>
      <c r="K392" s="539"/>
      <c r="L392" s="539"/>
      <c r="M392" s="539"/>
      <c r="N392" s="539"/>
      <c r="O392" s="539"/>
      <c r="P392" s="615"/>
      <c r="Q392" s="539"/>
      <c r="R392" s="539"/>
      <c r="S392" s="539"/>
      <c r="T392" s="539"/>
      <c r="U392" s="539"/>
      <c r="V392" s="539"/>
      <c r="W392" s="539"/>
      <c r="X392" s="539"/>
      <c r="Y392" s="539"/>
      <c r="Z392" s="539"/>
      <c r="AA392" s="539"/>
      <c r="AB392" s="539"/>
      <c r="AC392" s="539"/>
      <c r="AD392" s="539"/>
      <c r="AE392" s="539"/>
      <c r="AF392" s="539"/>
      <c r="AG392" s="539"/>
      <c r="AH392" s="539"/>
      <c r="AI392" s="539"/>
      <c r="AJ392" s="539"/>
      <c r="AK392" s="539"/>
      <c r="AL392" s="539"/>
      <c r="AM392" s="539"/>
      <c r="AN392" s="539"/>
      <c r="AO392" s="539"/>
      <c r="AP392" s="539"/>
      <c r="AQ392" s="539"/>
      <c r="AR392" s="539"/>
      <c r="AS392" s="539"/>
      <c r="AT392" s="539"/>
      <c r="AU392" s="539"/>
      <c r="AV392" s="539"/>
      <c r="AW392" s="539"/>
      <c r="AX392" s="539"/>
      <c r="AY392" s="539"/>
      <c r="AZ392" s="539"/>
      <c r="BA392" s="539"/>
      <c r="BB392" s="539"/>
      <c r="BC392" s="539"/>
      <c r="BD392" s="539"/>
      <c r="BE392" s="539"/>
      <c r="BF392" s="539"/>
      <c r="BG392" s="539"/>
      <c r="BH392" s="539"/>
      <c r="BI392" s="539"/>
      <c r="BJ392" s="539"/>
      <c r="BK392" s="539"/>
      <c r="BL392" s="539"/>
      <c r="BM392" s="539"/>
      <c r="BN392" s="539"/>
      <c r="BO392" s="539"/>
      <c r="BP392" s="539"/>
      <c r="BQ392" s="539"/>
      <c r="BR392" s="539"/>
      <c r="BS392" s="539"/>
      <c r="BT392" s="539"/>
      <c r="BU392" s="539"/>
      <c r="BV392" s="539"/>
      <c r="BW392" s="539"/>
      <c r="BX392" s="539"/>
      <c r="BY392" s="539"/>
    </row>
    <row r="393" spans="1:77" x14ac:dyDescent="0.3">
      <c r="A393" s="551"/>
      <c r="B393" s="548"/>
      <c r="C393" s="525"/>
      <c r="D393" s="525"/>
      <c r="E393" s="525"/>
      <c r="F393" s="525"/>
      <c r="G393" s="525"/>
      <c r="H393" s="525"/>
      <c r="I393" s="525"/>
      <c r="J393" s="525"/>
      <c r="K393" s="525"/>
      <c r="L393" s="525"/>
      <c r="M393" s="525"/>
      <c r="N393" s="525"/>
      <c r="O393" s="525"/>
      <c r="P393" s="565"/>
      <c r="Q393" s="525"/>
      <c r="R393" s="525"/>
      <c r="S393" s="525"/>
      <c r="T393" s="525"/>
      <c r="U393" s="525"/>
      <c r="V393" s="525"/>
      <c r="W393" s="525"/>
      <c r="X393" s="525"/>
      <c r="Y393" s="525"/>
      <c r="Z393" s="525"/>
      <c r="AA393" s="525"/>
      <c r="AB393" s="525"/>
      <c r="AC393" s="525"/>
      <c r="AD393" s="525"/>
      <c r="AE393" s="525"/>
      <c r="AF393" s="525"/>
      <c r="AG393" s="525"/>
      <c r="AH393" s="525"/>
      <c r="AI393" s="525"/>
      <c r="AJ393" s="525"/>
      <c r="AK393" s="525"/>
      <c r="AL393" s="525"/>
      <c r="AM393" s="525"/>
      <c r="AN393" s="525"/>
      <c r="AO393" s="525"/>
      <c r="AP393" s="525"/>
      <c r="AQ393" s="525"/>
      <c r="AR393" s="525"/>
      <c r="AS393" s="525"/>
      <c r="AT393" s="525"/>
      <c r="AU393" s="525"/>
      <c r="AV393" s="525"/>
      <c r="AW393" s="525"/>
      <c r="AX393" s="525"/>
      <c r="AY393" s="525"/>
      <c r="AZ393" s="525"/>
      <c r="BA393" s="525"/>
      <c r="BB393" s="525"/>
      <c r="BC393" s="525"/>
      <c r="BD393" s="525"/>
      <c r="BE393" s="525"/>
      <c r="BF393" s="525"/>
      <c r="BG393" s="525"/>
      <c r="BH393" s="525"/>
      <c r="BI393" s="525"/>
      <c r="BJ393" s="525"/>
      <c r="BK393" s="525"/>
      <c r="BL393" s="525"/>
      <c r="BM393" s="525"/>
      <c r="BN393" s="525"/>
      <c r="BO393" s="525"/>
      <c r="BP393" s="525"/>
      <c r="BQ393" s="525"/>
      <c r="BR393" s="525"/>
      <c r="BS393" s="525"/>
      <c r="BT393" s="525"/>
      <c r="BU393" s="525"/>
      <c r="BV393" s="525"/>
      <c r="BW393" s="525"/>
      <c r="BX393" s="525"/>
      <c r="BY393" s="525"/>
    </row>
    <row r="394" spans="1:77" x14ac:dyDescent="0.3">
      <c r="A394" s="551"/>
      <c r="B394" s="548"/>
      <c r="C394" s="525"/>
      <c r="D394" s="525"/>
      <c r="E394" s="639" t="str">
        <f>"R&amp;M: "&amp;E$155</f>
        <v>R&amp;M: FY27 Tranche</v>
      </c>
      <c r="F394" s="525"/>
      <c r="G394" s="525"/>
      <c r="H394" s="525"/>
      <c r="I394" s="525"/>
      <c r="J394" s="525"/>
      <c r="K394" s="525"/>
      <c r="L394" s="525"/>
      <c r="M394" s="525"/>
      <c r="N394" s="525"/>
      <c r="O394" s="525"/>
      <c r="P394" s="565"/>
      <c r="Q394" s="525"/>
      <c r="R394" s="527">
        <f t="shared" ref="R394:AW394" si="567">R$611*$R155</f>
        <v>-2804.9899733170737</v>
      </c>
      <c r="S394" s="527">
        <f t="shared" si="567"/>
        <v>-2804.9899733170737</v>
      </c>
      <c r="T394" s="527">
        <f t="shared" si="567"/>
        <v>-2804.9899733170737</v>
      </c>
      <c r="U394" s="527">
        <f t="shared" si="567"/>
        <v>-2804.9899733170737</v>
      </c>
      <c r="V394" s="527">
        <f t="shared" si="567"/>
        <v>-2804.9899733170737</v>
      </c>
      <c r="W394" s="527">
        <f t="shared" si="567"/>
        <v>-2804.9899733170737</v>
      </c>
      <c r="X394" s="527">
        <f t="shared" si="567"/>
        <v>-2804.9899733170737</v>
      </c>
      <c r="Y394" s="527">
        <f t="shared" si="567"/>
        <v>-2804.9899733170737</v>
      </c>
      <c r="Z394" s="527">
        <f t="shared" si="567"/>
        <v>-2804.9899733170737</v>
      </c>
      <c r="AA394" s="527">
        <f t="shared" si="567"/>
        <v>-2804.9899733170737</v>
      </c>
      <c r="AB394" s="527">
        <f t="shared" si="567"/>
        <v>-2804.9899733170737</v>
      </c>
      <c r="AC394" s="527">
        <f t="shared" si="567"/>
        <v>-2804.9899733170737</v>
      </c>
      <c r="AD394" s="527">
        <f t="shared" si="567"/>
        <v>-2861.0897727834154</v>
      </c>
      <c r="AE394" s="527">
        <f t="shared" si="567"/>
        <v>-2861.0897727834154</v>
      </c>
      <c r="AF394" s="527">
        <f t="shared" si="567"/>
        <v>-2861.0897727834154</v>
      </c>
      <c r="AG394" s="527">
        <f t="shared" si="567"/>
        <v>-2861.0897727834154</v>
      </c>
      <c r="AH394" s="527">
        <f t="shared" si="567"/>
        <v>-2861.0897727834154</v>
      </c>
      <c r="AI394" s="527">
        <f t="shared" si="567"/>
        <v>-2861.0897727834154</v>
      </c>
      <c r="AJ394" s="527">
        <f t="shared" si="567"/>
        <v>-2861.0897727834154</v>
      </c>
      <c r="AK394" s="527">
        <f t="shared" si="567"/>
        <v>-2861.0897727834154</v>
      </c>
      <c r="AL394" s="527">
        <f t="shared" si="567"/>
        <v>-2861.0897727834154</v>
      </c>
      <c r="AM394" s="527">
        <f t="shared" si="567"/>
        <v>-2861.0897727834154</v>
      </c>
      <c r="AN394" s="527">
        <f t="shared" si="567"/>
        <v>-2861.0897727834154</v>
      </c>
      <c r="AO394" s="527">
        <f t="shared" si="567"/>
        <v>-2861.0897727834154</v>
      </c>
      <c r="AP394" s="527">
        <f t="shared" si="567"/>
        <v>-2918.3115682390835</v>
      </c>
      <c r="AQ394" s="527">
        <f t="shared" si="567"/>
        <v>-2918.3115682390835</v>
      </c>
      <c r="AR394" s="527">
        <f t="shared" si="567"/>
        <v>-2918.3115682390835</v>
      </c>
      <c r="AS394" s="527">
        <f t="shared" si="567"/>
        <v>-2918.3115682390835</v>
      </c>
      <c r="AT394" s="527">
        <f t="shared" si="567"/>
        <v>-2918.3115682390835</v>
      </c>
      <c r="AU394" s="527">
        <f t="shared" si="567"/>
        <v>-2918.3115682390835</v>
      </c>
      <c r="AV394" s="527">
        <f t="shared" si="567"/>
        <v>-2918.3115682390835</v>
      </c>
      <c r="AW394" s="527">
        <f t="shared" si="567"/>
        <v>-2918.3115682390835</v>
      </c>
      <c r="AX394" s="527">
        <f t="shared" ref="AX394:BY394" si="568">AX$611*$R155</f>
        <v>-2918.3115682390835</v>
      </c>
      <c r="AY394" s="527">
        <f t="shared" si="568"/>
        <v>-2918.3115682390835</v>
      </c>
      <c r="AZ394" s="527">
        <f t="shared" si="568"/>
        <v>-2918.3115682390835</v>
      </c>
      <c r="BA394" s="527">
        <f t="shared" si="568"/>
        <v>-2918.3115682390835</v>
      </c>
      <c r="BB394" s="527">
        <f t="shared" si="568"/>
        <v>-2976.677799603865</v>
      </c>
      <c r="BC394" s="527">
        <f t="shared" si="568"/>
        <v>-2976.677799603865</v>
      </c>
      <c r="BD394" s="527">
        <f t="shared" si="568"/>
        <v>-2976.677799603865</v>
      </c>
      <c r="BE394" s="527">
        <f t="shared" si="568"/>
        <v>-2976.677799603865</v>
      </c>
      <c r="BF394" s="527">
        <f t="shared" si="568"/>
        <v>-2976.677799603865</v>
      </c>
      <c r="BG394" s="527">
        <f t="shared" si="568"/>
        <v>-2976.677799603865</v>
      </c>
      <c r="BH394" s="527">
        <f t="shared" si="568"/>
        <v>-2976.677799603865</v>
      </c>
      <c r="BI394" s="527">
        <f t="shared" si="568"/>
        <v>-2976.677799603865</v>
      </c>
      <c r="BJ394" s="527">
        <f t="shared" si="568"/>
        <v>-2976.677799603865</v>
      </c>
      <c r="BK394" s="527">
        <f t="shared" si="568"/>
        <v>-2976.677799603865</v>
      </c>
      <c r="BL394" s="527">
        <f t="shared" si="568"/>
        <v>-2976.677799603865</v>
      </c>
      <c r="BM394" s="527">
        <f t="shared" si="568"/>
        <v>-2976.677799603865</v>
      </c>
      <c r="BN394" s="527">
        <f t="shared" si="568"/>
        <v>-3036.2113555959427</v>
      </c>
      <c r="BO394" s="527">
        <f t="shared" si="568"/>
        <v>-3036.2113555959427</v>
      </c>
      <c r="BP394" s="527">
        <f t="shared" si="568"/>
        <v>-3036.2113555959427</v>
      </c>
      <c r="BQ394" s="527">
        <f t="shared" si="568"/>
        <v>-3036.2113555959427</v>
      </c>
      <c r="BR394" s="527">
        <f t="shared" si="568"/>
        <v>-3036.2113555959427</v>
      </c>
      <c r="BS394" s="527">
        <f t="shared" si="568"/>
        <v>-3036.2113555959427</v>
      </c>
      <c r="BT394" s="527">
        <f t="shared" si="568"/>
        <v>-3036.2113555959427</v>
      </c>
      <c r="BU394" s="527">
        <f t="shared" si="568"/>
        <v>-3036.2113555959427</v>
      </c>
      <c r="BV394" s="527">
        <f t="shared" si="568"/>
        <v>-3036.2113555959427</v>
      </c>
      <c r="BW394" s="527">
        <f t="shared" si="568"/>
        <v>-3036.2113555959427</v>
      </c>
      <c r="BX394" s="527">
        <f t="shared" si="568"/>
        <v>-3036.2113555959427</v>
      </c>
      <c r="BY394" s="527">
        <f t="shared" si="568"/>
        <v>-3036.2113555959427</v>
      </c>
    </row>
    <row r="395" spans="1:77" x14ac:dyDescent="0.3">
      <c r="A395" s="551"/>
      <c r="B395" s="548"/>
      <c r="C395" s="525"/>
      <c r="D395" s="525"/>
      <c r="E395" s="639" t="str">
        <f>"R&amp;M: "&amp;E$156</f>
        <v>R&amp;M: FY28 Tranche</v>
      </c>
      <c r="F395" s="525"/>
      <c r="G395" s="525"/>
      <c r="H395" s="525"/>
      <c r="I395" s="525"/>
      <c r="J395" s="525"/>
      <c r="K395" s="525"/>
      <c r="L395" s="525"/>
      <c r="M395" s="525"/>
      <c r="N395" s="525"/>
      <c r="O395" s="525"/>
      <c r="P395" s="565"/>
      <c r="Q395" s="525"/>
      <c r="R395" s="527">
        <f t="shared" ref="R395:AW395" si="569">R$611*$R156</f>
        <v>-2804.9899733170737</v>
      </c>
      <c r="S395" s="527">
        <f t="shared" si="569"/>
        <v>-2804.9899733170737</v>
      </c>
      <c r="T395" s="527">
        <f t="shared" si="569"/>
        <v>-2804.9899733170737</v>
      </c>
      <c r="U395" s="527">
        <f t="shared" si="569"/>
        <v>-2804.9899733170737</v>
      </c>
      <c r="V395" s="527">
        <f t="shared" si="569"/>
        <v>-2804.9899733170737</v>
      </c>
      <c r="W395" s="527">
        <f t="shared" si="569"/>
        <v>-2804.9899733170737</v>
      </c>
      <c r="X395" s="527">
        <f t="shared" si="569"/>
        <v>-2804.9899733170737</v>
      </c>
      <c r="Y395" s="527">
        <f t="shared" si="569"/>
        <v>-2804.9899733170737</v>
      </c>
      <c r="Z395" s="527">
        <f t="shared" si="569"/>
        <v>-2804.9899733170737</v>
      </c>
      <c r="AA395" s="527">
        <f t="shared" si="569"/>
        <v>-2804.9899733170737</v>
      </c>
      <c r="AB395" s="527">
        <f t="shared" si="569"/>
        <v>-2804.9899733170737</v>
      </c>
      <c r="AC395" s="527">
        <f t="shared" si="569"/>
        <v>-2804.9899733170737</v>
      </c>
      <c r="AD395" s="527">
        <f t="shared" si="569"/>
        <v>-2861.0897727834154</v>
      </c>
      <c r="AE395" s="527">
        <f t="shared" si="569"/>
        <v>-2861.0897727834154</v>
      </c>
      <c r="AF395" s="527">
        <f t="shared" si="569"/>
        <v>-2861.0897727834154</v>
      </c>
      <c r="AG395" s="527">
        <f t="shared" si="569"/>
        <v>-2861.0897727834154</v>
      </c>
      <c r="AH395" s="527">
        <f t="shared" si="569"/>
        <v>-2861.0897727834154</v>
      </c>
      <c r="AI395" s="527">
        <f t="shared" si="569"/>
        <v>-2861.0897727834154</v>
      </c>
      <c r="AJ395" s="527">
        <f t="shared" si="569"/>
        <v>-2861.0897727834154</v>
      </c>
      <c r="AK395" s="527">
        <f t="shared" si="569"/>
        <v>-2861.0897727834154</v>
      </c>
      <c r="AL395" s="527">
        <f t="shared" si="569"/>
        <v>-2861.0897727834154</v>
      </c>
      <c r="AM395" s="527">
        <f t="shared" si="569"/>
        <v>-2861.0897727834154</v>
      </c>
      <c r="AN395" s="527">
        <f t="shared" si="569"/>
        <v>-2861.0897727834154</v>
      </c>
      <c r="AO395" s="527">
        <f t="shared" si="569"/>
        <v>-2861.0897727834154</v>
      </c>
      <c r="AP395" s="527">
        <f t="shared" si="569"/>
        <v>-2918.3115682390835</v>
      </c>
      <c r="AQ395" s="527">
        <f t="shared" si="569"/>
        <v>-2918.3115682390835</v>
      </c>
      <c r="AR395" s="527">
        <f t="shared" si="569"/>
        <v>-2918.3115682390835</v>
      </c>
      <c r="AS395" s="527">
        <f t="shared" si="569"/>
        <v>-2918.3115682390835</v>
      </c>
      <c r="AT395" s="527">
        <f t="shared" si="569"/>
        <v>-2918.3115682390835</v>
      </c>
      <c r="AU395" s="527">
        <f t="shared" si="569"/>
        <v>-2918.3115682390835</v>
      </c>
      <c r="AV395" s="527">
        <f t="shared" si="569"/>
        <v>-2918.3115682390835</v>
      </c>
      <c r="AW395" s="527">
        <f t="shared" si="569"/>
        <v>-2918.3115682390835</v>
      </c>
      <c r="AX395" s="527">
        <f t="shared" ref="AX395:BY395" si="570">AX$611*$R156</f>
        <v>-2918.3115682390835</v>
      </c>
      <c r="AY395" s="527">
        <f t="shared" si="570"/>
        <v>-2918.3115682390835</v>
      </c>
      <c r="AZ395" s="527">
        <f t="shared" si="570"/>
        <v>-2918.3115682390835</v>
      </c>
      <c r="BA395" s="527">
        <f t="shared" si="570"/>
        <v>-2918.3115682390835</v>
      </c>
      <c r="BB395" s="527">
        <f t="shared" si="570"/>
        <v>-2976.677799603865</v>
      </c>
      <c r="BC395" s="527">
        <f t="shared" si="570"/>
        <v>-2976.677799603865</v>
      </c>
      <c r="BD395" s="527">
        <f t="shared" si="570"/>
        <v>-2976.677799603865</v>
      </c>
      <c r="BE395" s="527">
        <f t="shared" si="570"/>
        <v>-2976.677799603865</v>
      </c>
      <c r="BF395" s="527">
        <f t="shared" si="570"/>
        <v>-2976.677799603865</v>
      </c>
      <c r="BG395" s="527">
        <f t="shared" si="570"/>
        <v>-2976.677799603865</v>
      </c>
      <c r="BH395" s="527">
        <f t="shared" si="570"/>
        <v>-2976.677799603865</v>
      </c>
      <c r="BI395" s="527">
        <f t="shared" si="570"/>
        <v>-2976.677799603865</v>
      </c>
      <c r="BJ395" s="527">
        <f t="shared" si="570"/>
        <v>-2976.677799603865</v>
      </c>
      <c r="BK395" s="527">
        <f t="shared" si="570"/>
        <v>-2976.677799603865</v>
      </c>
      <c r="BL395" s="527">
        <f t="shared" si="570"/>
        <v>-2976.677799603865</v>
      </c>
      <c r="BM395" s="527">
        <f t="shared" si="570"/>
        <v>-2976.677799603865</v>
      </c>
      <c r="BN395" s="527">
        <f t="shared" si="570"/>
        <v>-3036.2113555959427</v>
      </c>
      <c r="BO395" s="527">
        <f t="shared" si="570"/>
        <v>-3036.2113555959427</v>
      </c>
      <c r="BP395" s="527">
        <f t="shared" si="570"/>
        <v>-3036.2113555959427</v>
      </c>
      <c r="BQ395" s="527">
        <f t="shared" si="570"/>
        <v>-3036.2113555959427</v>
      </c>
      <c r="BR395" s="527">
        <f t="shared" si="570"/>
        <v>-3036.2113555959427</v>
      </c>
      <c r="BS395" s="527">
        <f t="shared" si="570"/>
        <v>-3036.2113555959427</v>
      </c>
      <c r="BT395" s="527">
        <f t="shared" si="570"/>
        <v>-3036.2113555959427</v>
      </c>
      <c r="BU395" s="527">
        <f t="shared" si="570"/>
        <v>-3036.2113555959427</v>
      </c>
      <c r="BV395" s="527">
        <f t="shared" si="570"/>
        <v>-3036.2113555959427</v>
      </c>
      <c r="BW395" s="527">
        <f t="shared" si="570"/>
        <v>-3036.2113555959427</v>
      </c>
      <c r="BX395" s="527">
        <f t="shared" si="570"/>
        <v>-3036.2113555959427</v>
      </c>
      <c r="BY395" s="527">
        <f t="shared" si="570"/>
        <v>-3036.2113555959427</v>
      </c>
    </row>
    <row r="396" spans="1:77" x14ac:dyDescent="0.3">
      <c r="A396" s="551"/>
      <c r="B396" s="548"/>
      <c r="C396" s="525"/>
      <c r="D396" s="525"/>
      <c r="E396" s="639" t="str">
        <f>"R&amp;M: "&amp;E$157</f>
        <v>R&amp;M: FY29 Tranche</v>
      </c>
      <c r="F396" s="525"/>
      <c r="G396" s="525"/>
      <c r="H396" s="525"/>
      <c r="I396" s="525"/>
      <c r="J396" s="525"/>
      <c r="K396" s="525"/>
      <c r="L396" s="525"/>
      <c r="M396" s="525"/>
      <c r="N396" s="525"/>
      <c r="O396" s="525"/>
      <c r="P396" s="565"/>
      <c r="Q396" s="525"/>
      <c r="R396" s="527">
        <f t="shared" ref="R396:AW396" si="571">R$611*$R157</f>
        <v>-2804.9899733170737</v>
      </c>
      <c r="S396" s="527">
        <f t="shared" si="571"/>
        <v>-2804.9899733170737</v>
      </c>
      <c r="T396" s="527">
        <f t="shared" si="571"/>
        <v>-2804.9899733170737</v>
      </c>
      <c r="U396" s="527">
        <f t="shared" si="571"/>
        <v>-2804.9899733170737</v>
      </c>
      <c r="V396" s="527">
        <f t="shared" si="571"/>
        <v>-2804.9899733170737</v>
      </c>
      <c r="W396" s="527">
        <f t="shared" si="571"/>
        <v>-2804.9899733170737</v>
      </c>
      <c r="X396" s="527">
        <f t="shared" si="571"/>
        <v>-2804.9899733170737</v>
      </c>
      <c r="Y396" s="527">
        <f t="shared" si="571"/>
        <v>-2804.9899733170737</v>
      </c>
      <c r="Z396" s="527">
        <f t="shared" si="571"/>
        <v>-2804.9899733170737</v>
      </c>
      <c r="AA396" s="527">
        <f t="shared" si="571"/>
        <v>-2804.9899733170737</v>
      </c>
      <c r="AB396" s="527">
        <f t="shared" si="571"/>
        <v>-2804.9899733170737</v>
      </c>
      <c r="AC396" s="527">
        <f t="shared" si="571"/>
        <v>-2804.9899733170737</v>
      </c>
      <c r="AD396" s="527">
        <f t="shared" si="571"/>
        <v>-2861.0897727834154</v>
      </c>
      <c r="AE396" s="527">
        <f t="shared" si="571"/>
        <v>-2861.0897727834154</v>
      </c>
      <c r="AF396" s="527">
        <f t="shared" si="571"/>
        <v>-2861.0897727834154</v>
      </c>
      <c r="AG396" s="527">
        <f t="shared" si="571"/>
        <v>-2861.0897727834154</v>
      </c>
      <c r="AH396" s="527">
        <f t="shared" si="571"/>
        <v>-2861.0897727834154</v>
      </c>
      <c r="AI396" s="527">
        <f t="shared" si="571"/>
        <v>-2861.0897727834154</v>
      </c>
      <c r="AJ396" s="527">
        <f t="shared" si="571"/>
        <v>-2861.0897727834154</v>
      </c>
      <c r="AK396" s="527">
        <f t="shared" si="571"/>
        <v>-2861.0897727834154</v>
      </c>
      <c r="AL396" s="527">
        <f t="shared" si="571"/>
        <v>-2861.0897727834154</v>
      </c>
      <c r="AM396" s="527">
        <f t="shared" si="571"/>
        <v>-2861.0897727834154</v>
      </c>
      <c r="AN396" s="527">
        <f t="shared" si="571"/>
        <v>-2861.0897727834154</v>
      </c>
      <c r="AO396" s="527">
        <f t="shared" si="571"/>
        <v>-2861.0897727834154</v>
      </c>
      <c r="AP396" s="527">
        <f t="shared" si="571"/>
        <v>-2918.3115682390835</v>
      </c>
      <c r="AQ396" s="527">
        <f t="shared" si="571"/>
        <v>-2918.3115682390835</v>
      </c>
      <c r="AR396" s="527">
        <f t="shared" si="571"/>
        <v>-2918.3115682390835</v>
      </c>
      <c r="AS396" s="527">
        <f t="shared" si="571"/>
        <v>-2918.3115682390835</v>
      </c>
      <c r="AT396" s="527">
        <f t="shared" si="571"/>
        <v>-2918.3115682390835</v>
      </c>
      <c r="AU396" s="527">
        <f t="shared" si="571"/>
        <v>-2918.3115682390835</v>
      </c>
      <c r="AV396" s="527">
        <f t="shared" si="571"/>
        <v>-2918.3115682390835</v>
      </c>
      <c r="AW396" s="527">
        <f t="shared" si="571"/>
        <v>-2918.3115682390835</v>
      </c>
      <c r="AX396" s="527">
        <f t="shared" ref="AX396:BY396" si="572">AX$611*$R157</f>
        <v>-2918.3115682390835</v>
      </c>
      <c r="AY396" s="527">
        <f t="shared" si="572"/>
        <v>-2918.3115682390835</v>
      </c>
      <c r="AZ396" s="527">
        <f t="shared" si="572"/>
        <v>-2918.3115682390835</v>
      </c>
      <c r="BA396" s="527">
        <f t="shared" si="572"/>
        <v>-2918.3115682390835</v>
      </c>
      <c r="BB396" s="527">
        <f t="shared" si="572"/>
        <v>-2976.677799603865</v>
      </c>
      <c r="BC396" s="527">
        <f t="shared" si="572"/>
        <v>-2976.677799603865</v>
      </c>
      <c r="BD396" s="527">
        <f t="shared" si="572"/>
        <v>-2976.677799603865</v>
      </c>
      <c r="BE396" s="527">
        <f t="shared" si="572"/>
        <v>-2976.677799603865</v>
      </c>
      <c r="BF396" s="527">
        <f t="shared" si="572"/>
        <v>-2976.677799603865</v>
      </c>
      <c r="BG396" s="527">
        <f t="shared" si="572"/>
        <v>-2976.677799603865</v>
      </c>
      <c r="BH396" s="527">
        <f t="shared" si="572"/>
        <v>-2976.677799603865</v>
      </c>
      <c r="BI396" s="527">
        <f t="shared" si="572"/>
        <v>-2976.677799603865</v>
      </c>
      <c r="BJ396" s="527">
        <f t="shared" si="572"/>
        <v>-2976.677799603865</v>
      </c>
      <c r="BK396" s="527">
        <f t="shared" si="572"/>
        <v>-2976.677799603865</v>
      </c>
      <c r="BL396" s="527">
        <f t="shared" si="572"/>
        <v>-2976.677799603865</v>
      </c>
      <c r="BM396" s="527">
        <f t="shared" si="572"/>
        <v>-2976.677799603865</v>
      </c>
      <c r="BN396" s="527">
        <f t="shared" si="572"/>
        <v>-3036.2113555959427</v>
      </c>
      <c r="BO396" s="527">
        <f t="shared" si="572"/>
        <v>-3036.2113555959427</v>
      </c>
      <c r="BP396" s="527">
        <f t="shared" si="572"/>
        <v>-3036.2113555959427</v>
      </c>
      <c r="BQ396" s="527">
        <f t="shared" si="572"/>
        <v>-3036.2113555959427</v>
      </c>
      <c r="BR396" s="527">
        <f t="shared" si="572"/>
        <v>-3036.2113555959427</v>
      </c>
      <c r="BS396" s="527">
        <f t="shared" si="572"/>
        <v>-3036.2113555959427</v>
      </c>
      <c r="BT396" s="527">
        <f t="shared" si="572"/>
        <v>-3036.2113555959427</v>
      </c>
      <c r="BU396" s="527">
        <f t="shared" si="572"/>
        <v>-3036.2113555959427</v>
      </c>
      <c r="BV396" s="527">
        <f t="shared" si="572"/>
        <v>-3036.2113555959427</v>
      </c>
      <c r="BW396" s="527">
        <f t="shared" si="572"/>
        <v>-3036.2113555959427</v>
      </c>
      <c r="BX396" s="527">
        <f t="shared" si="572"/>
        <v>-3036.2113555959427</v>
      </c>
      <c r="BY396" s="527">
        <f t="shared" si="572"/>
        <v>-3036.2113555959427</v>
      </c>
    </row>
    <row r="397" spans="1:77" x14ac:dyDescent="0.3">
      <c r="A397" s="551"/>
      <c r="B397" s="548"/>
      <c r="C397" s="525"/>
      <c r="D397" s="525"/>
      <c r="E397" s="639" t="str">
        <f>"R&amp;M: "&amp;E$158</f>
        <v>R&amp;M: FY30 Tranche</v>
      </c>
      <c r="F397" s="525"/>
      <c r="G397" s="525"/>
      <c r="H397" s="525"/>
      <c r="I397" s="525"/>
      <c r="J397" s="525"/>
      <c r="K397" s="525"/>
      <c r="L397" s="525"/>
      <c r="M397" s="525"/>
      <c r="N397" s="525"/>
      <c r="O397" s="525"/>
      <c r="P397" s="565"/>
      <c r="Q397" s="525"/>
      <c r="R397" s="527">
        <f t="shared" ref="R397:AW397" si="573">R$611*$R158</f>
        <v>-2804.9899733170737</v>
      </c>
      <c r="S397" s="527">
        <f t="shared" si="573"/>
        <v>-2804.9899733170737</v>
      </c>
      <c r="T397" s="527">
        <f t="shared" si="573"/>
        <v>-2804.9899733170737</v>
      </c>
      <c r="U397" s="527">
        <f t="shared" si="573"/>
        <v>-2804.9899733170737</v>
      </c>
      <c r="V397" s="527">
        <f t="shared" si="573"/>
        <v>-2804.9899733170737</v>
      </c>
      <c r="W397" s="527">
        <f t="shared" si="573"/>
        <v>-2804.9899733170737</v>
      </c>
      <c r="X397" s="527">
        <f t="shared" si="573"/>
        <v>-2804.9899733170737</v>
      </c>
      <c r="Y397" s="527">
        <f t="shared" si="573"/>
        <v>-2804.9899733170737</v>
      </c>
      <c r="Z397" s="527">
        <f t="shared" si="573"/>
        <v>-2804.9899733170737</v>
      </c>
      <c r="AA397" s="527">
        <f t="shared" si="573"/>
        <v>-2804.9899733170737</v>
      </c>
      <c r="AB397" s="527">
        <f t="shared" si="573"/>
        <v>-2804.9899733170737</v>
      </c>
      <c r="AC397" s="527">
        <f t="shared" si="573"/>
        <v>-2804.9899733170737</v>
      </c>
      <c r="AD397" s="527">
        <f t="shared" si="573"/>
        <v>-2861.0897727834154</v>
      </c>
      <c r="AE397" s="527">
        <f t="shared" si="573"/>
        <v>-2861.0897727834154</v>
      </c>
      <c r="AF397" s="527">
        <f t="shared" si="573"/>
        <v>-2861.0897727834154</v>
      </c>
      <c r="AG397" s="527">
        <f t="shared" si="573"/>
        <v>-2861.0897727834154</v>
      </c>
      <c r="AH397" s="527">
        <f t="shared" si="573"/>
        <v>-2861.0897727834154</v>
      </c>
      <c r="AI397" s="527">
        <f t="shared" si="573"/>
        <v>-2861.0897727834154</v>
      </c>
      <c r="AJ397" s="527">
        <f t="shared" si="573"/>
        <v>-2861.0897727834154</v>
      </c>
      <c r="AK397" s="527">
        <f t="shared" si="573"/>
        <v>-2861.0897727834154</v>
      </c>
      <c r="AL397" s="527">
        <f t="shared" si="573"/>
        <v>-2861.0897727834154</v>
      </c>
      <c r="AM397" s="527">
        <f t="shared" si="573"/>
        <v>-2861.0897727834154</v>
      </c>
      <c r="AN397" s="527">
        <f t="shared" si="573"/>
        <v>-2861.0897727834154</v>
      </c>
      <c r="AO397" s="527">
        <f t="shared" si="573"/>
        <v>-2861.0897727834154</v>
      </c>
      <c r="AP397" s="527">
        <f t="shared" si="573"/>
        <v>-2918.3115682390835</v>
      </c>
      <c r="AQ397" s="527">
        <f t="shared" si="573"/>
        <v>-2918.3115682390835</v>
      </c>
      <c r="AR397" s="527">
        <f t="shared" si="573"/>
        <v>-2918.3115682390835</v>
      </c>
      <c r="AS397" s="527">
        <f t="shared" si="573"/>
        <v>-2918.3115682390835</v>
      </c>
      <c r="AT397" s="527">
        <f t="shared" si="573"/>
        <v>-2918.3115682390835</v>
      </c>
      <c r="AU397" s="527">
        <f t="shared" si="573"/>
        <v>-2918.3115682390835</v>
      </c>
      <c r="AV397" s="527">
        <f t="shared" si="573"/>
        <v>-2918.3115682390835</v>
      </c>
      <c r="AW397" s="527">
        <f t="shared" si="573"/>
        <v>-2918.3115682390835</v>
      </c>
      <c r="AX397" s="527">
        <f t="shared" ref="AX397:BY397" si="574">AX$611*$R158</f>
        <v>-2918.3115682390835</v>
      </c>
      <c r="AY397" s="527">
        <f t="shared" si="574"/>
        <v>-2918.3115682390835</v>
      </c>
      <c r="AZ397" s="527">
        <f t="shared" si="574"/>
        <v>-2918.3115682390835</v>
      </c>
      <c r="BA397" s="527">
        <f t="shared" si="574"/>
        <v>-2918.3115682390835</v>
      </c>
      <c r="BB397" s="527">
        <f t="shared" si="574"/>
        <v>-2976.677799603865</v>
      </c>
      <c r="BC397" s="527">
        <f t="shared" si="574"/>
        <v>-2976.677799603865</v>
      </c>
      <c r="BD397" s="527">
        <f t="shared" si="574"/>
        <v>-2976.677799603865</v>
      </c>
      <c r="BE397" s="527">
        <f t="shared" si="574"/>
        <v>-2976.677799603865</v>
      </c>
      <c r="BF397" s="527">
        <f t="shared" si="574"/>
        <v>-2976.677799603865</v>
      </c>
      <c r="BG397" s="527">
        <f t="shared" si="574"/>
        <v>-2976.677799603865</v>
      </c>
      <c r="BH397" s="527">
        <f t="shared" si="574"/>
        <v>-2976.677799603865</v>
      </c>
      <c r="BI397" s="527">
        <f t="shared" si="574"/>
        <v>-2976.677799603865</v>
      </c>
      <c r="BJ397" s="527">
        <f t="shared" si="574"/>
        <v>-2976.677799603865</v>
      </c>
      <c r="BK397" s="527">
        <f t="shared" si="574"/>
        <v>-2976.677799603865</v>
      </c>
      <c r="BL397" s="527">
        <f t="shared" si="574"/>
        <v>-2976.677799603865</v>
      </c>
      <c r="BM397" s="527">
        <f t="shared" si="574"/>
        <v>-2976.677799603865</v>
      </c>
      <c r="BN397" s="527">
        <f t="shared" si="574"/>
        <v>-3036.2113555959427</v>
      </c>
      <c r="BO397" s="527">
        <f t="shared" si="574"/>
        <v>-3036.2113555959427</v>
      </c>
      <c r="BP397" s="527">
        <f t="shared" si="574"/>
        <v>-3036.2113555959427</v>
      </c>
      <c r="BQ397" s="527">
        <f t="shared" si="574"/>
        <v>-3036.2113555959427</v>
      </c>
      <c r="BR397" s="527">
        <f t="shared" si="574"/>
        <v>-3036.2113555959427</v>
      </c>
      <c r="BS397" s="527">
        <f t="shared" si="574"/>
        <v>-3036.2113555959427</v>
      </c>
      <c r="BT397" s="527">
        <f t="shared" si="574"/>
        <v>-3036.2113555959427</v>
      </c>
      <c r="BU397" s="527">
        <f t="shared" si="574"/>
        <v>-3036.2113555959427</v>
      </c>
      <c r="BV397" s="527">
        <f t="shared" si="574"/>
        <v>-3036.2113555959427</v>
      </c>
      <c r="BW397" s="527">
        <f t="shared" si="574"/>
        <v>-3036.2113555959427</v>
      </c>
      <c r="BX397" s="527">
        <f t="shared" si="574"/>
        <v>-3036.2113555959427</v>
      </c>
      <c r="BY397" s="527">
        <f t="shared" si="574"/>
        <v>-3036.2113555959427</v>
      </c>
    </row>
    <row r="398" spans="1:77" x14ac:dyDescent="0.3">
      <c r="A398" s="551"/>
      <c r="B398" s="548"/>
      <c r="C398" s="525"/>
      <c r="D398" s="525"/>
      <c r="E398" s="639" t="str">
        <f>"R&amp;M: "&amp;E$159</f>
        <v>R&amp;M: FY31 Tranche</v>
      </c>
      <c r="F398" s="525"/>
      <c r="G398" s="525"/>
      <c r="H398" s="525"/>
      <c r="I398" s="525"/>
      <c r="J398" s="525"/>
      <c r="K398" s="525"/>
      <c r="L398" s="525"/>
      <c r="M398" s="525"/>
      <c r="N398" s="525"/>
      <c r="O398" s="525"/>
      <c r="P398" s="565"/>
      <c r="Q398" s="525"/>
      <c r="R398" s="527">
        <f t="shared" ref="R398:AW398" si="575">R$611*$R159</f>
        <v>-2804.9899733170737</v>
      </c>
      <c r="S398" s="527">
        <f t="shared" si="575"/>
        <v>-2804.9899733170737</v>
      </c>
      <c r="T398" s="527">
        <f t="shared" si="575"/>
        <v>-2804.9899733170737</v>
      </c>
      <c r="U398" s="527">
        <f t="shared" si="575"/>
        <v>-2804.9899733170737</v>
      </c>
      <c r="V398" s="527">
        <f t="shared" si="575"/>
        <v>-2804.9899733170737</v>
      </c>
      <c r="W398" s="527">
        <f t="shared" si="575"/>
        <v>-2804.9899733170737</v>
      </c>
      <c r="X398" s="527">
        <f t="shared" si="575"/>
        <v>-2804.9899733170737</v>
      </c>
      <c r="Y398" s="527">
        <f t="shared" si="575"/>
        <v>-2804.9899733170737</v>
      </c>
      <c r="Z398" s="527">
        <f t="shared" si="575"/>
        <v>-2804.9899733170737</v>
      </c>
      <c r="AA398" s="527">
        <f t="shared" si="575"/>
        <v>-2804.9899733170737</v>
      </c>
      <c r="AB398" s="527">
        <f t="shared" si="575"/>
        <v>-2804.9899733170737</v>
      </c>
      <c r="AC398" s="527">
        <f t="shared" si="575"/>
        <v>-2804.9899733170737</v>
      </c>
      <c r="AD398" s="527">
        <f t="shared" si="575"/>
        <v>-2861.0897727834154</v>
      </c>
      <c r="AE398" s="527">
        <f t="shared" si="575"/>
        <v>-2861.0897727834154</v>
      </c>
      <c r="AF398" s="527">
        <f t="shared" si="575"/>
        <v>-2861.0897727834154</v>
      </c>
      <c r="AG398" s="527">
        <f t="shared" si="575"/>
        <v>-2861.0897727834154</v>
      </c>
      <c r="AH398" s="527">
        <f t="shared" si="575"/>
        <v>-2861.0897727834154</v>
      </c>
      <c r="AI398" s="527">
        <f t="shared" si="575"/>
        <v>-2861.0897727834154</v>
      </c>
      <c r="AJ398" s="527">
        <f t="shared" si="575"/>
        <v>-2861.0897727834154</v>
      </c>
      <c r="AK398" s="527">
        <f t="shared" si="575"/>
        <v>-2861.0897727834154</v>
      </c>
      <c r="AL398" s="527">
        <f t="shared" si="575"/>
        <v>-2861.0897727834154</v>
      </c>
      <c r="AM398" s="527">
        <f t="shared" si="575"/>
        <v>-2861.0897727834154</v>
      </c>
      <c r="AN398" s="527">
        <f t="shared" si="575"/>
        <v>-2861.0897727834154</v>
      </c>
      <c r="AO398" s="527">
        <f t="shared" si="575"/>
        <v>-2861.0897727834154</v>
      </c>
      <c r="AP398" s="527">
        <f t="shared" si="575"/>
        <v>-2918.3115682390835</v>
      </c>
      <c r="AQ398" s="527">
        <f t="shared" si="575"/>
        <v>-2918.3115682390835</v>
      </c>
      <c r="AR398" s="527">
        <f t="shared" si="575"/>
        <v>-2918.3115682390835</v>
      </c>
      <c r="AS398" s="527">
        <f t="shared" si="575"/>
        <v>-2918.3115682390835</v>
      </c>
      <c r="AT398" s="527">
        <f t="shared" si="575"/>
        <v>-2918.3115682390835</v>
      </c>
      <c r="AU398" s="527">
        <f t="shared" si="575"/>
        <v>-2918.3115682390835</v>
      </c>
      <c r="AV398" s="527">
        <f t="shared" si="575"/>
        <v>-2918.3115682390835</v>
      </c>
      <c r="AW398" s="527">
        <f t="shared" si="575"/>
        <v>-2918.3115682390835</v>
      </c>
      <c r="AX398" s="527">
        <f t="shared" ref="AX398:BY398" si="576">AX$611*$R159</f>
        <v>-2918.3115682390835</v>
      </c>
      <c r="AY398" s="527">
        <f t="shared" si="576"/>
        <v>-2918.3115682390835</v>
      </c>
      <c r="AZ398" s="527">
        <f t="shared" si="576"/>
        <v>-2918.3115682390835</v>
      </c>
      <c r="BA398" s="527">
        <f t="shared" si="576"/>
        <v>-2918.3115682390835</v>
      </c>
      <c r="BB398" s="527">
        <f t="shared" si="576"/>
        <v>-2976.677799603865</v>
      </c>
      <c r="BC398" s="527">
        <f t="shared" si="576"/>
        <v>-2976.677799603865</v>
      </c>
      <c r="BD398" s="527">
        <f t="shared" si="576"/>
        <v>-2976.677799603865</v>
      </c>
      <c r="BE398" s="527">
        <f t="shared" si="576"/>
        <v>-2976.677799603865</v>
      </c>
      <c r="BF398" s="527">
        <f t="shared" si="576"/>
        <v>-2976.677799603865</v>
      </c>
      <c r="BG398" s="527">
        <f t="shared" si="576"/>
        <v>-2976.677799603865</v>
      </c>
      <c r="BH398" s="527">
        <f t="shared" si="576"/>
        <v>-2976.677799603865</v>
      </c>
      <c r="BI398" s="527">
        <f t="shared" si="576"/>
        <v>-2976.677799603865</v>
      </c>
      <c r="BJ398" s="527">
        <f t="shared" si="576"/>
        <v>-2976.677799603865</v>
      </c>
      <c r="BK398" s="527">
        <f t="shared" si="576"/>
        <v>-2976.677799603865</v>
      </c>
      <c r="BL398" s="527">
        <f t="shared" si="576"/>
        <v>-2976.677799603865</v>
      </c>
      <c r="BM398" s="527">
        <f t="shared" si="576"/>
        <v>-2976.677799603865</v>
      </c>
      <c r="BN398" s="527">
        <f t="shared" si="576"/>
        <v>-3036.2113555959427</v>
      </c>
      <c r="BO398" s="527">
        <f t="shared" si="576"/>
        <v>-3036.2113555959427</v>
      </c>
      <c r="BP398" s="527">
        <f t="shared" si="576"/>
        <v>-3036.2113555959427</v>
      </c>
      <c r="BQ398" s="527">
        <f t="shared" si="576"/>
        <v>-3036.2113555959427</v>
      </c>
      <c r="BR398" s="527">
        <f t="shared" si="576"/>
        <v>-3036.2113555959427</v>
      </c>
      <c r="BS398" s="527">
        <f t="shared" si="576"/>
        <v>-3036.2113555959427</v>
      </c>
      <c r="BT398" s="527">
        <f t="shared" si="576"/>
        <v>-3036.2113555959427</v>
      </c>
      <c r="BU398" s="527">
        <f t="shared" si="576"/>
        <v>-3036.2113555959427</v>
      </c>
      <c r="BV398" s="527">
        <f t="shared" si="576"/>
        <v>-3036.2113555959427</v>
      </c>
      <c r="BW398" s="527">
        <f t="shared" si="576"/>
        <v>-3036.2113555959427</v>
      </c>
      <c r="BX398" s="527">
        <f t="shared" si="576"/>
        <v>-3036.2113555959427</v>
      </c>
      <c r="BY398" s="527">
        <f t="shared" si="576"/>
        <v>-3036.2113555959427</v>
      </c>
    </row>
    <row r="399" spans="1:77" x14ac:dyDescent="0.3">
      <c r="A399" s="551"/>
      <c r="B399" s="548"/>
      <c r="C399" s="525"/>
      <c r="D399" s="525"/>
      <c r="E399" s="639" t="str">
        <f>"R&amp;M: "&amp;E$160</f>
        <v>R&amp;M: Uninvested Tranche</v>
      </c>
      <c r="F399" s="525"/>
      <c r="G399" s="525"/>
      <c r="H399" s="525"/>
      <c r="I399" s="525"/>
      <c r="J399" s="525"/>
      <c r="K399" s="525"/>
      <c r="L399" s="525"/>
      <c r="M399" s="525"/>
      <c r="N399" s="525"/>
      <c r="O399" s="525"/>
      <c r="P399" s="565"/>
      <c r="Q399" s="525"/>
      <c r="R399" s="527">
        <f t="shared" ref="R399:AW399" si="577">R$611*$R160</f>
        <v>-6269.9775874146353</v>
      </c>
      <c r="S399" s="527">
        <f t="shared" si="577"/>
        <v>-6269.9775874146353</v>
      </c>
      <c r="T399" s="527">
        <f t="shared" si="577"/>
        <v>-6269.9775874146353</v>
      </c>
      <c r="U399" s="527">
        <f t="shared" si="577"/>
        <v>-6269.9775874146353</v>
      </c>
      <c r="V399" s="527">
        <f t="shared" si="577"/>
        <v>-6269.9775874146353</v>
      </c>
      <c r="W399" s="527">
        <f t="shared" si="577"/>
        <v>-6269.9775874146353</v>
      </c>
      <c r="X399" s="527">
        <f t="shared" si="577"/>
        <v>-6269.9775874146353</v>
      </c>
      <c r="Y399" s="527">
        <f t="shared" si="577"/>
        <v>-6269.9775874146353</v>
      </c>
      <c r="Z399" s="527">
        <f t="shared" si="577"/>
        <v>-6269.9775874146353</v>
      </c>
      <c r="AA399" s="527">
        <f t="shared" si="577"/>
        <v>-6269.9775874146353</v>
      </c>
      <c r="AB399" s="527">
        <f t="shared" si="577"/>
        <v>-6269.9775874146353</v>
      </c>
      <c r="AC399" s="527">
        <f t="shared" si="577"/>
        <v>-6269.9775874146353</v>
      </c>
      <c r="AD399" s="527">
        <f t="shared" si="577"/>
        <v>-6395.377139162928</v>
      </c>
      <c r="AE399" s="527">
        <f t="shared" si="577"/>
        <v>-6395.377139162928</v>
      </c>
      <c r="AF399" s="527">
        <f t="shared" si="577"/>
        <v>-6395.377139162928</v>
      </c>
      <c r="AG399" s="527">
        <f t="shared" si="577"/>
        <v>-6395.377139162928</v>
      </c>
      <c r="AH399" s="527">
        <f t="shared" si="577"/>
        <v>-6395.377139162928</v>
      </c>
      <c r="AI399" s="527">
        <f t="shared" si="577"/>
        <v>-6395.377139162928</v>
      </c>
      <c r="AJ399" s="527">
        <f t="shared" si="577"/>
        <v>-6395.377139162928</v>
      </c>
      <c r="AK399" s="527">
        <f t="shared" si="577"/>
        <v>-6395.377139162928</v>
      </c>
      <c r="AL399" s="527">
        <f t="shared" si="577"/>
        <v>-6395.377139162928</v>
      </c>
      <c r="AM399" s="527">
        <f t="shared" si="577"/>
        <v>-6395.377139162928</v>
      </c>
      <c r="AN399" s="527">
        <f t="shared" si="577"/>
        <v>-6395.377139162928</v>
      </c>
      <c r="AO399" s="527">
        <f t="shared" si="577"/>
        <v>-6395.377139162928</v>
      </c>
      <c r="AP399" s="527">
        <f t="shared" si="577"/>
        <v>-6523.2846819461865</v>
      </c>
      <c r="AQ399" s="527">
        <f t="shared" si="577"/>
        <v>-6523.2846819461865</v>
      </c>
      <c r="AR399" s="527">
        <f t="shared" si="577"/>
        <v>-6523.2846819461865</v>
      </c>
      <c r="AS399" s="527">
        <f t="shared" si="577"/>
        <v>-6523.2846819461865</v>
      </c>
      <c r="AT399" s="527">
        <f t="shared" si="577"/>
        <v>-6523.2846819461865</v>
      </c>
      <c r="AU399" s="527">
        <f t="shared" si="577"/>
        <v>-6523.2846819461865</v>
      </c>
      <c r="AV399" s="527">
        <f t="shared" si="577"/>
        <v>-6523.2846819461865</v>
      </c>
      <c r="AW399" s="527">
        <f t="shared" si="577"/>
        <v>-6523.2846819461865</v>
      </c>
      <c r="AX399" s="527">
        <f t="shared" ref="AX399:BY399" si="578">AX$611*$R160</f>
        <v>-6523.2846819461865</v>
      </c>
      <c r="AY399" s="527">
        <f t="shared" si="578"/>
        <v>-6523.2846819461865</v>
      </c>
      <c r="AZ399" s="527">
        <f t="shared" si="578"/>
        <v>-6523.2846819461865</v>
      </c>
      <c r="BA399" s="527">
        <f t="shared" si="578"/>
        <v>-6523.2846819461865</v>
      </c>
      <c r="BB399" s="527">
        <f t="shared" si="578"/>
        <v>-6653.7503755851103</v>
      </c>
      <c r="BC399" s="527">
        <f t="shared" si="578"/>
        <v>-6653.7503755851103</v>
      </c>
      <c r="BD399" s="527">
        <f t="shared" si="578"/>
        <v>-6653.7503755851103</v>
      </c>
      <c r="BE399" s="527">
        <f t="shared" si="578"/>
        <v>-6653.7503755851103</v>
      </c>
      <c r="BF399" s="527">
        <f t="shared" si="578"/>
        <v>-6653.7503755851103</v>
      </c>
      <c r="BG399" s="527">
        <f t="shared" si="578"/>
        <v>-6653.7503755851103</v>
      </c>
      <c r="BH399" s="527">
        <f t="shared" si="578"/>
        <v>-6653.7503755851103</v>
      </c>
      <c r="BI399" s="527">
        <f t="shared" si="578"/>
        <v>-6653.7503755851103</v>
      </c>
      <c r="BJ399" s="527">
        <f t="shared" si="578"/>
        <v>-6653.7503755851103</v>
      </c>
      <c r="BK399" s="527">
        <f t="shared" si="578"/>
        <v>-6653.7503755851103</v>
      </c>
      <c r="BL399" s="527">
        <f t="shared" si="578"/>
        <v>-6653.7503755851103</v>
      </c>
      <c r="BM399" s="527">
        <f t="shared" si="578"/>
        <v>-6653.7503755851103</v>
      </c>
      <c r="BN399" s="527">
        <f t="shared" si="578"/>
        <v>-6786.8253830968133</v>
      </c>
      <c r="BO399" s="527">
        <f t="shared" si="578"/>
        <v>-6786.8253830968133</v>
      </c>
      <c r="BP399" s="527">
        <f t="shared" si="578"/>
        <v>-6786.8253830968133</v>
      </c>
      <c r="BQ399" s="527">
        <f t="shared" si="578"/>
        <v>-6786.8253830968133</v>
      </c>
      <c r="BR399" s="527">
        <f t="shared" si="578"/>
        <v>-6786.8253830968133</v>
      </c>
      <c r="BS399" s="527">
        <f t="shared" si="578"/>
        <v>-6786.8253830968133</v>
      </c>
      <c r="BT399" s="527">
        <f t="shared" si="578"/>
        <v>-6786.8253830968133</v>
      </c>
      <c r="BU399" s="527">
        <f t="shared" si="578"/>
        <v>-6786.8253830968133</v>
      </c>
      <c r="BV399" s="527">
        <f t="shared" si="578"/>
        <v>-6786.8253830968133</v>
      </c>
      <c r="BW399" s="527">
        <f t="shared" si="578"/>
        <v>-6786.8253830968133</v>
      </c>
      <c r="BX399" s="527">
        <f t="shared" si="578"/>
        <v>-6786.8253830968133</v>
      </c>
      <c r="BY399" s="527">
        <f t="shared" si="578"/>
        <v>-6786.8253830968133</v>
      </c>
    </row>
    <row r="400" spans="1:77" x14ac:dyDescent="0.3">
      <c r="A400" s="551"/>
      <c r="B400" s="548"/>
      <c r="C400" s="525"/>
      <c r="D400" s="525"/>
      <c r="E400" s="572" t="s">
        <v>36</v>
      </c>
      <c r="F400" s="572"/>
      <c r="G400" s="572"/>
      <c r="H400" s="572"/>
      <c r="I400" s="572"/>
      <c r="J400" s="572"/>
      <c r="K400" s="572"/>
      <c r="L400" s="572"/>
      <c r="M400" s="572"/>
      <c r="N400" s="572"/>
      <c r="O400" s="572"/>
      <c r="P400" s="612"/>
      <c r="Q400" s="572"/>
      <c r="R400" s="530">
        <f t="shared" ref="R400:AW400" si="579">SUM(R394:R399)</f>
        <v>-20294.927454000004</v>
      </c>
      <c r="S400" s="530">
        <f t="shared" si="579"/>
        <v>-20294.927454000004</v>
      </c>
      <c r="T400" s="530">
        <f t="shared" si="579"/>
        <v>-20294.927454000004</v>
      </c>
      <c r="U400" s="530">
        <f t="shared" si="579"/>
        <v>-20294.927454000004</v>
      </c>
      <c r="V400" s="530">
        <f t="shared" si="579"/>
        <v>-20294.927454000004</v>
      </c>
      <c r="W400" s="530">
        <f t="shared" si="579"/>
        <v>-20294.927454000004</v>
      </c>
      <c r="X400" s="530">
        <f t="shared" si="579"/>
        <v>-20294.927454000004</v>
      </c>
      <c r="Y400" s="530">
        <f t="shared" si="579"/>
        <v>-20294.927454000004</v>
      </c>
      <c r="Z400" s="530">
        <f t="shared" si="579"/>
        <v>-20294.927454000004</v>
      </c>
      <c r="AA400" s="530">
        <f t="shared" si="579"/>
        <v>-20294.927454000004</v>
      </c>
      <c r="AB400" s="530">
        <f t="shared" si="579"/>
        <v>-20294.927454000004</v>
      </c>
      <c r="AC400" s="530">
        <f t="shared" si="579"/>
        <v>-20294.927454000004</v>
      </c>
      <c r="AD400" s="530">
        <f t="shared" si="579"/>
        <v>-20700.826003080005</v>
      </c>
      <c r="AE400" s="530">
        <f t="shared" si="579"/>
        <v>-20700.826003080005</v>
      </c>
      <c r="AF400" s="530">
        <f t="shared" si="579"/>
        <v>-20700.826003080005</v>
      </c>
      <c r="AG400" s="530">
        <f t="shared" si="579"/>
        <v>-20700.826003080005</v>
      </c>
      <c r="AH400" s="530">
        <f t="shared" si="579"/>
        <v>-20700.826003080005</v>
      </c>
      <c r="AI400" s="530">
        <f t="shared" si="579"/>
        <v>-20700.826003080005</v>
      </c>
      <c r="AJ400" s="530">
        <f t="shared" si="579"/>
        <v>-20700.826003080005</v>
      </c>
      <c r="AK400" s="530">
        <f t="shared" si="579"/>
        <v>-20700.826003080005</v>
      </c>
      <c r="AL400" s="530">
        <f t="shared" si="579"/>
        <v>-20700.826003080005</v>
      </c>
      <c r="AM400" s="530">
        <f t="shared" si="579"/>
        <v>-20700.826003080005</v>
      </c>
      <c r="AN400" s="530">
        <f t="shared" si="579"/>
        <v>-20700.826003080005</v>
      </c>
      <c r="AO400" s="530">
        <f t="shared" si="579"/>
        <v>-20700.826003080005</v>
      </c>
      <c r="AP400" s="530">
        <f t="shared" si="579"/>
        <v>-21114.842523141604</v>
      </c>
      <c r="AQ400" s="530">
        <f t="shared" si="579"/>
        <v>-21114.842523141604</v>
      </c>
      <c r="AR400" s="530">
        <f t="shared" si="579"/>
        <v>-21114.842523141604</v>
      </c>
      <c r="AS400" s="530">
        <f t="shared" si="579"/>
        <v>-21114.842523141604</v>
      </c>
      <c r="AT400" s="530">
        <f t="shared" si="579"/>
        <v>-21114.842523141604</v>
      </c>
      <c r="AU400" s="530">
        <f t="shared" si="579"/>
        <v>-21114.842523141604</v>
      </c>
      <c r="AV400" s="530">
        <f t="shared" si="579"/>
        <v>-21114.842523141604</v>
      </c>
      <c r="AW400" s="530">
        <f t="shared" si="579"/>
        <v>-21114.842523141604</v>
      </c>
      <c r="AX400" s="530">
        <f t="shared" ref="AX400:BY400" si="580">SUM(AX394:AX399)</f>
        <v>-21114.842523141604</v>
      </c>
      <c r="AY400" s="530">
        <f t="shared" si="580"/>
        <v>-21114.842523141604</v>
      </c>
      <c r="AZ400" s="530">
        <f t="shared" si="580"/>
        <v>-21114.842523141604</v>
      </c>
      <c r="BA400" s="530">
        <f t="shared" si="580"/>
        <v>-21114.842523141604</v>
      </c>
      <c r="BB400" s="530">
        <f t="shared" si="580"/>
        <v>-21537.139373604434</v>
      </c>
      <c r="BC400" s="530">
        <f t="shared" si="580"/>
        <v>-21537.139373604434</v>
      </c>
      <c r="BD400" s="530">
        <f t="shared" si="580"/>
        <v>-21537.139373604434</v>
      </c>
      <c r="BE400" s="530">
        <f t="shared" si="580"/>
        <v>-21537.139373604434</v>
      </c>
      <c r="BF400" s="530">
        <f t="shared" si="580"/>
        <v>-21537.139373604434</v>
      </c>
      <c r="BG400" s="530">
        <f t="shared" si="580"/>
        <v>-21537.139373604434</v>
      </c>
      <c r="BH400" s="530">
        <f t="shared" si="580"/>
        <v>-21537.139373604434</v>
      </c>
      <c r="BI400" s="530">
        <f t="shared" si="580"/>
        <v>-21537.139373604434</v>
      </c>
      <c r="BJ400" s="530">
        <f t="shared" si="580"/>
        <v>-21537.139373604434</v>
      </c>
      <c r="BK400" s="530">
        <f t="shared" si="580"/>
        <v>-21537.139373604434</v>
      </c>
      <c r="BL400" s="530">
        <f t="shared" si="580"/>
        <v>-21537.139373604434</v>
      </c>
      <c r="BM400" s="530">
        <f t="shared" si="580"/>
        <v>-21537.139373604434</v>
      </c>
      <c r="BN400" s="530">
        <f t="shared" si="580"/>
        <v>-21967.882161076526</v>
      </c>
      <c r="BO400" s="530">
        <f t="shared" si="580"/>
        <v>-21967.882161076526</v>
      </c>
      <c r="BP400" s="530">
        <f t="shared" si="580"/>
        <v>-21967.882161076526</v>
      </c>
      <c r="BQ400" s="530">
        <f t="shared" si="580"/>
        <v>-21967.882161076526</v>
      </c>
      <c r="BR400" s="530">
        <f t="shared" si="580"/>
        <v>-21967.882161076526</v>
      </c>
      <c r="BS400" s="530">
        <f t="shared" si="580"/>
        <v>-21967.882161076526</v>
      </c>
      <c r="BT400" s="530">
        <f t="shared" si="580"/>
        <v>-21967.882161076526</v>
      </c>
      <c r="BU400" s="530">
        <f t="shared" si="580"/>
        <v>-21967.882161076526</v>
      </c>
      <c r="BV400" s="530">
        <f t="shared" si="580"/>
        <v>-21967.882161076526</v>
      </c>
      <c r="BW400" s="530">
        <f t="shared" si="580"/>
        <v>-21967.882161076526</v>
      </c>
      <c r="BX400" s="530">
        <f t="shared" si="580"/>
        <v>-21967.882161076526</v>
      </c>
      <c r="BY400" s="530">
        <f t="shared" si="580"/>
        <v>-21967.882161076526</v>
      </c>
    </row>
    <row r="401" spans="1:77" x14ac:dyDescent="0.3">
      <c r="A401" s="551"/>
      <c r="B401" s="548"/>
      <c r="C401" s="525"/>
      <c r="D401" s="525"/>
      <c r="E401" s="525"/>
      <c r="F401" s="525"/>
      <c r="G401" s="525"/>
      <c r="H401" s="525"/>
      <c r="I401" s="525"/>
      <c r="J401" s="525"/>
      <c r="K401" s="525"/>
      <c r="L401" s="525"/>
      <c r="M401" s="525"/>
      <c r="N401" s="525"/>
      <c r="O401" s="525"/>
      <c r="P401" s="565"/>
      <c r="Q401" s="525"/>
      <c r="R401" s="525"/>
      <c r="S401" s="525"/>
      <c r="T401" s="525"/>
      <c r="U401" s="525"/>
      <c r="V401" s="525"/>
      <c r="W401" s="525"/>
      <c r="X401" s="525"/>
      <c r="Y401" s="525"/>
      <c r="Z401" s="525"/>
      <c r="AA401" s="525"/>
      <c r="AB401" s="525"/>
      <c r="AC401" s="525"/>
      <c r="AD401" s="525"/>
      <c r="AE401" s="525"/>
      <c r="AF401" s="525"/>
      <c r="AG401" s="525"/>
      <c r="AH401" s="525"/>
      <c r="AI401" s="525"/>
      <c r="AJ401" s="525"/>
      <c r="AK401" s="525"/>
      <c r="AL401" s="525"/>
      <c r="AM401" s="525"/>
      <c r="AN401" s="525"/>
      <c r="AO401" s="525"/>
      <c r="AP401" s="525"/>
      <c r="AQ401" s="525"/>
      <c r="AR401" s="525"/>
      <c r="AS401" s="525"/>
      <c r="AT401" s="525"/>
      <c r="AU401" s="525"/>
      <c r="AV401" s="525"/>
      <c r="AW401" s="525"/>
      <c r="AX401" s="525"/>
      <c r="AY401" s="525"/>
      <c r="AZ401" s="525"/>
      <c r="BA401" s="525"/>
      <c r="BB401" s="525"/>
      <c r="BC401" s="525"/>
      <c r="BD401" s="525"/>
      <c r="BE401" s="525"/>
      <c r="BF401" s="525"/>
      <c r="BG401" s="525"/>
      <c r="BH401" s="525"/>
      <c r="BI401" s="525"/>
      <c r="BJ401" s="525"/>
      <c r="BK401" s="525"/>
      <c r="BL401" s="525"/>
      <c r="BM401" s="525"/>
      <c r="BN401" s="525"/>
      <c r="BO401" s="525"/>
      <c r="BP401" s="525"/>
      <c r="BQ401" s="525"/>
      <c r="BR401" s="525"/>
      <c r="BS401" s="525"/>
      <c r="BT401" s="525"/>
      <c r="BU401" s="525"/>
      <c r="BV401" s="525"/>
      <c r="BW401" s="525"/>
      <c r="BX401" s="525"/>
      <c r="BY401" s="525"/>
    </row>
    <row r="402" spans="1:77" x14ac:dyDescent="0.3">
      <c r="A402" s="551"/>
      <c r="B402" s="548"/>
      <c r="C402" s="525"/>
      <c r="D402" s="525"/>
      <c r="E402" s="640" t="str">
        <f>"Marketing support: "&amp;E$155</f>
        <v>Marketing support: FY27 Tranche</v>
      </c>
      <c r="F402" s="525"/>
      <c r="G402" s="525"/>
      <c r="H402" s="525"/>
      <c r="I402" s="525"/>
      <c r="J402" s="525"/>
      <c r="K402" s="525"/>
      <c r="L402" s="525"/>
      <c r="M402" s="525"/>
      <c r="N402" s="525"/>
      <c r="O402" s="525"/>
      <c r="P402" s="565"/>
      <c r="Q402" s="525"/>
      <c r="R402" s="527">
        <f t="shared" ref="R402:AW402" si="581">R$612*$R155</f>
        <v>-493.74577880487828</v>
      </c>
      <c r="S402" s="527">
        <f t="shared" si="581"/>
        <v>-493.74577880487828</v>
      </c>
      <c r="T402" s="527">
        <f t="shared" si="581"/>
        <v>-493.74577880487828</v>
      </c>
      <c r="U402" s="527">
        <f t="shared" si="581"/>
        <v>-493.74577880487828</v>
      </c>
      <c r="V402" s="527">
        <f t="shared" si="581"/>
        <v>-493.74577880487828</v>
      </c>
      <c r="W402" s="527">
        <f t="shared" si="581"/>
        <v>-493.74577880487828</v>
      </c>
      <c r="X402" s="527">
        <f t="shared" si="581"/>
        <v>-493.74577880487828</v>
      </c>
      <c r="Y402" s="527">
        <f t="shared" si="581"/>
        <v>-493.74577880487828</v>
      </c>
      <c r="Z402" s="527">
        <f t="shared" si="581"/>
        <v>-493.74577880487828</v>
      </c>
      <c r="AA402" s="527">
        <f t="shared" si="581"/>
        <v>-493.74577880487828</v>
      </c>
      <c r="AB402" s="527">
        <f t="shared" si="581"/>
        <v>-493.74577880487828</v>
      </c>
      <c r="AC402" s="527">
        <f t="shared" si="581"/>
        <v>-493.74577880487828</v>
      </c>
      <c r="AD402" s="527">
        <f t="shared" si="581"/>
        <v>-503.62069438097581</v>
      </c>
      <c r="AE402" s="527">
        <f t="shared" si="581"/>
        <v>-503.62069438097581</v>
      </c>
      <c r="AF402" s="527">
        <f t="shared" si="581"/>
        <v>-503.62069438097581</v>
      </c>
      <c r="AG402" s="527">
        <f t="shared" si="581"/>
        <v>-503.62069438097581</v>
      </c>
      <c r="AH402" s="527">
        <f t="shared" si="581"/>
        <v>-503.62069438097581</v>
      </c>
      <c r="AI402" s="527">
        <f t="shared" si="581"/>
        <v>-503.62069438097581</v>
      </c>
      <c r="AJ402" s="527">
        <f t="shared" si="581"/>
        <v>-503.62069438097581</v>
      </c>
      <c r="AK402" s="527">
        <f t="shared" si="581"/>
        <v>-503.62069438097581</v>
      </c>
      <c r="AL402" s="527">
        <f t="shared" si="581"/>
        <v>-503.62069438097581</v>
      </c>
      <c r="AM402" s="527">
        <f t="shared" si="581"/>
        <v>-503.62069438097581</v>
      </c>
      <c r="AN402" s="527">
        <f t="shared" si="581"/>
        <v>-503.62069438097581</v>
      </c>
      <c r="AO402" s="527">
        <f t="shared" si="581"/>
        <v>-503.62069438097581</v>
      </c>
      <c r="AP402" s="527">
        <f t="shared" si="581"/>
        <v>-513.69310826859544</v>
      </c>
      <c r="AQ402" s="527">
        <f t="shared" si="581"/>
        <v>-513.69310826859544</v>
      </c>
      <c r="AR402" s="527">
        <f t="shared" si="581"/>
        <v>-513.69310826859544</v>
      </c>
      <c r="AS402" s="527">
        <f t="shared" si="581"/>
        <v>-513.69310826859544</v>
      </c>
      <c r="AT402" s="527">
        <f t="shared" si="581"/>
        <v>-513.69310826859544</v>
      </c>
      <c r="AU402" s="527">
        <f t="shared" si="581"/>
        <v>-513.69310826859544</v>
      </c>
      <c r="AV402" s="527">
        <f t="shared" si="581"/>
        <v>-513.69310826859544</v>
      </c>
      <c r="AW402" s="527">
        <f t="shared" si="581"/>
        <v>-513.69310826859544</v>
      </c>
      <c r="AX402" s="527">
        <f t="shared" ref="AX402:BY402" si="582">AX$612*$R155</f>
        <v>-513.69310826859544</v>
      </c>
      <c r="AY402" s="527">
        <f t="shared" si="582"/>
        <v>-513.69310826859544</v>
      </c>
      <c r="AZ402" s="527">
        <f t="shared" si="582"/>
        <v>-513.69310826859544</v>
      </c>
      <c r="BA402" s="527">
        <f t="shared" si="582"/>
        <v>-513.69310826859544</v>
      </c>
      <c r="BB402" s="527">
        <f t="shared" si="582"/>
        <v>-523.96697043396728</v>
      </c>
      <c r="BC402" s="527">
        <f t="shared" si="582"/>
        <v>-523.96697043396728</v>
      </c>
      <c r="BD402" s="527">
        <f t="shared" si="582"/>
        <v>-523.96697043396728</v>
      </c>
      <c r="BE402" s="527">
        <f t="shared" si="582"/>
        <v>-523.96697043396728</v>
      </c>
      <c r="BF402" s="527">
        <f t="shared" si="582"/>
        <v>-523.96697043396728</v>
      </c>
      <c r="BG402" s="527">
        <f t="shared" si="582"/>
        <v>-523.96697043396728</v>
      </c>
      <c r="BH402" s="527">
        <f t="shared" si="582"/>
        <v>-523.96697043396728</v>
      </c>
      <c r="BI402" s="527">
        <f t="shared" si="582"/>
        <v>-523.96697043396728</v>
      </c>
      <c r="BJ402" s="527">
        <f t="shared" si="582"/>
        <v>-523.96697043396728</v>
      </c>
      <c r="BK402" s="527">
        <f t="shared" si="582"/>
        <v>-523.96697043396728</v>
      </c>
      <c r="BL402" s="527">
        <f t="shared" si="582"/>
        <v>-523.96697043396728</v>
      </c>
      <c r="BM402" s="527">
        <f t="shared" si="582"/>
        <v>-523.96697043396728</v>
      </c>
      <c r="BN402" s="527">
        <f t="shared" si="582"/>
        <v>-534.44630984264666</v>
      </c>
      <c r="BO402" s="527">
        <f t="shared" si="582"/>
        <v>-534.44630984264666</v>
      </c>
      <c r="BP402" s="527">
        <f t="shared" si="582"/>
        <v>-534.44630984264666</v>
      </c>
      <c r="BQ402" s="527">
        <f t="shared" si="582"/>
        <v>-534.44630984264666</v>
      </c>
      <c r="BR402" s="527">
        <f t="shared" si="582"/>
        <v>-534.44630984264666</v>
      </c>
      <c r="BS402" s="527">
        <f t="shared" si="582"/>
        <v>-534.44630984264666</v>
      </c>
      <c r="BT402" s="527">
        <f t="shared" si="582"/>
        <v>-534.44630984264666</v>
      </c>
      <c r="BU402" s="527">
        <f t="shared" si="582"/>
        <v>-534.44630984264666</v>
      </c>
      <c r="BV402" s="527">
        <f t="shared" si="582"/>
        <v>-534.44630984264666</v>
      </c>
      <c r="BW402" s="527">
        <f t="shared" si="582"/>
        <v>-534.44630984264666</v>
      </c>
      <c r="BX402" s="527">
        <f t="shared" si="582"/>
        <v>-534.44630984264666</v>
      </c>
      <c r="BY402" s="527">
        <f t="shared" si="582"/>
        <v>-534.44630984264666</v>
      </c>
    </row>
    <row r="403" spans="1:77" x14ac:dyDescent="0.3">
      <c r="A403" s="551"/>
      <c r="B403" s="548"/>
      <c r="C403" s="525"/>
      <c r="D403" s="525"/>
      <c r="E403" s="640" t="str">
        <f>"Marketing support: "&amp;E$156</f>
        <v>Marketing support: FY28 Tranche</v>
      </c>
      <c r="F403" s="525"/>
      <c r="G403" s="525"/>
      <c r="H403" s="525"/>
      <c r="I403" s="525"/>
      <c r="J403" s="525"/>
      <c r="K403" s="525"/>
      <c r="L403" s="525"/>
      <c r="M403" s="525"/>
      <c r="N403" s="525"/>
      <c r="O403" s="525"/>
      <c r="P403" s="565"/>
      <c r="Q403" s="525"/>
      <c r="R403" s="527">
        <f t="shared" ref="R403:AW403" si="583">R$612*$R156</f>
        <v>-493.74577880487828</v>
      </c>
      <c r="S403" s="527">
        <f t="shared" si="583"/>
        <v>-493.74577880487828</v>
      </c>
      <c r="T403" s="527">
        <f t="shared" si="583"/>
        <v>-493.74577880487828</v>
      </c>
      <c r="U403" s="527">
        <f t="shared" si="583"/>
        <v>-493.74577880487828</v>
      </c>
      <c r="V403" s="527">
        <f t="shared" si="583"/>
        <v>-493.74577880487828</v>
      </c>
      <c r="W403" s="527">
        <f t="shared" si="583"/>
        <v>-493.74577880487828</v>
      </c>
      <c r="X403" s="527">
        <f t="shared" si="583"/>
        <v>-493.74577880487828</v>
      </c>
      <c r="Y403" s="527">
        <f t="shared" si="583"/>
        <v>-493.74577880487828</v>
      </c>
      <c r="Z403" s="527">
        <f t="shared" si="583"/>
        <v>-493.74577880487828</v>
      </c>
      <c r="AA403" s="527">
        <f t="shared" si="583"/>
        <v>-493.74577880487828</v>
      </c>
      <c r="AB403" s="527">
        <f t="shared" si="583"/>
        <v>-493.74577880487828</v>
      </c>
      <c r="AC403" s="527">
        <f t="shared" si="583"/>
        <v>-493.74577880487828</v>
      </c>
      <c r="AD403" s="527">
        <f t="shared" si="583"/>
        <v>-503.62069438097581</v>
      </c>
      <c r="AE403" s="527">
        <f t="shared" si="583"/>
        <v>-503.62069438097581</v>
      </c>
      <c r="AF403" s="527">
        <f t="shared" si="583"/>
        <v>-503.62069438097581</v>
      </c>
      <c r="AG403" s="527">
        <f t="shared" si="583"/>
        <v>-503.62069438097581</v>
      </c>
      <c r="AH403" s="527">
        <f t="shared" si="583"/>
        <v>-503.62069438097581</v>
      </c>
      <c r="AI403" s="527">
        <f t="shared" si="583"/>
        <v>-503.62069438097581</v>
      </c>
      <c r="AJ403" s="527">
        <f t="shared" si="583"/>
        <v>-503.62069438097581</v>
      </c>
      <c r="AK403" s="527">
        <f t="shared" si="583"/>
        <v>-503.62069438097581</v>
      </c>
      <c r="AL403" s="527">
        <f t="shared" si="583"/>
        <v>-503.62069438097581</v>
      </c>
      <c r="AM403" s="527">
        <f t="shared" si="583"/>
        <v>-503.62069438097581</v>
      </c>
      <c r="AN403" s="527">
        <f t="shared" si="583"/>
        <v>-503.62069438097581</v>
      </c>
      <c r="AO403" s="527">
        <f t="shared" si="583"/>
        <v>-503.62069438097581</v>
      </c>
      <c r="AP403" s="527">
        <f t="shared" si="583"/>
        <v>-513.69310826859544</v>
      </c>
      <c r="AQ403" s="527">
        <f t="shared" si="583"/>
        <v>-513.69310826859544</v>
      </c>
      <c r="AR403" s="527">
        <f t="shared" si="583"/>
        <v>-513.69310826859544</v>
      </c>
      <c r="AS403" s="527">
        <f t="shared" si="583"/>
        <v>-513.69310826859544</v>
      </c>
      <c r="AT403" s="527">
        <f t="shared" si="583"/>
        <v>-513.69310826859544</v>
      </c>
      <c r="AU403" s="527">
        <f t="shared" si="583"/>
        <v>-513.69310826859544</v>
      </c>
      <c r="AV403" s="527">
        <f t="shared" si="583"/>
        <v>-513.69310826859544</v>
      </c>
      <c r="AW403" s="527">
        <f t="shared" si="583"/>
        <v>-513.69310826859544</v>
      </c>
      <c r="AX403" s="527">
        <f t="shared" ref="AX403:BY403" si="584">AX$612*$R156</f>
        <v>-513.69310826859544</v>
      </c>
      <c r="AY403" s="527">
        <f t="shared" si="584"/>
        <v>-513.69310826859544</v>
      </c>
      <c r="AZ403" s="527">
        <f t="shared" si="584"/>
        <v>-513.69310826859544</v>
      </c>
      <c r="BA403" s="527">
        <f t="shared" si="584"/>
        <v>-513.69310826859544</v>
      </c>
      <c r="BB403" s="527">
        <f t="shared" si="584"/>
        <v>-523.96697043396728</v>
      </c>
      <c r="BC403" s="527">
        <f t="shared" si="584"/>
        <v>-523.96697043396728</v>
      </c>
      <c r="BD403" s="527">
        <f t="shared" si="584"/>
        <v>-523.96697043396728</v>
      </c>
      <c r="BE403" s="527">
        <f t="shared" si="584"/>
        <v>-523.96697043396728</v>
      </c>
      <c r="BF403" s="527">
        <f t="shared" si="584"/>
        <v>-523.96697043396728</v>
      </c>
      <c r="BG403" s="527">
        <f t="shared" si="584"/>
        <v>-523.96697043396728</v>
      </c>
      <c r="BH403" s="527">
        <f t="shared" si="584"/>
        <v>-523.96697043396728</v>
      </c>
      <c r="BI403" s="527">
        <f t="shared" si="584"/>
        <v>-523.96697043396728</v>
      </c>
      <c r="BJ403" s="527">
        <f t="shared" si="584"/>
        <v>-523.96697043396728</v>
      </c>
      <c r="BK403" s="527">
        <f t="shared" si="584"/>
        <v>-523.96697043396728</v>
      </c>
      <c r="BL403" s="527">
        <f t="shared" si="584"/>
        <v>-523.96697043396728</v>
      </c>
      <c r="BM403" s="527">
        <f t="shared" si="584"/>
        <v>-523.96697043396728</v>
      </c>
      <c r="BN403" s="527">
        <f t="shared" si="584"/>
        <v>-534.44630984264666</v>
      </c>
      <c r="BO403" s="527">
        <f t="shared" si="584"/>
        <v>-534.44630984264666</v>
      </c>
      <c r="BP403" s="527">
        <f t="shared" si="584"/>
        <v>-534.44630984264666</v>
      </c>
      <c r="BQ403" s="527">
        <f t="shared" si="584"/>
        <v>-534.44630984264666</v>
      </c>
      <c r="BR403" s="527">
        <f t="shared" si="584"/>
        <v>-534.44630984264666</v>
      </c>
      <c r="BS403" s="527">
        <f t="shared" si="584"/>
        <v>-534.44630984264666</v>
      </c>
      <c r="BT403" s="527">
        <f t="shared" si="584"/>
        <v>-534.44630984264666</v>
      </c>
      <c r="BU403" s="527">
        <f t="shared" si="584"/>
        <v>-534.44630984264666</v>
      </c>
      <c r="BV403" s="527">
        <f t="shared" si="584"/>
        <v>-534.44630984264666</v>
      </c>
      <c r="BW403" s="527">
        <f t="shared" si="584"/>
        <v>-534.44630984264666</v>
      </c>
      <c r="BX403" s="527">
        <f t="shared" si="584"/>
        <v>-534.44630984264666</v>
      </c>
      <c r="BY403" s="527">
        <f t="shared" si="584"/>
        <v>-534.44630984264666</v>
      </c>
    </row>
    <row r="404" spans="1:77" x14ac:dyDescent="0.3">
      <c r="A404" s="551"/>
      <c r="B404" s="548"/>
      <c r="C404" s="525"/>
      <c r="D404" s="525"/>
      <c r="E404" s="640" t="str">
        <f>"Marketing support: "&amp;E$157</f>
        <v>Marketing support: FY29 Tranche</v>
      </c>
      <c r="F404" s="525"/>
      <c r="G404" s="525"/>
      <c r="H404" s="525"/>
      <c r="I404" s="525"/>
      <c r="J404" s="525"/>
      <c r="K404" s="525"/>
      <c r="L404" s="525"/>
      <c r="M404" s="525"/>
      <c r="N404" s="525"/>
      <c r="O404" s="525"/>
      <c r="P404" s="565"/>
      <c r="Q404" s="525"/>
      <c r="R404" s="527">
        <f t="shared" ref="R404:AW404" si="585">R$612*$R157</f>
        <v>-493.74577880487828</v>
      </c>
      <c r="S404" s="527">
        <f t="shared" si="585"/>
        <v>-493.74577880487828</v>
      </c>
      <c r="T404" s="527">
        <f t="shared" si="585"/>
        <v>-493.74577880487828</v>
      </c>
      <c r="U404" s="527">
        <f t="shared" si="585"/>
        <v>-493.74577880487828</v>
      </c>
      <c r="V404" s="527">
        <f t="shared" si="585"/>
        <v>-493.74577880487828</v>
      </c>
      <c r="W404" s="527">
        <f t="shared" si="585"/>
        <v>-493.74577880487828</v>
      </c>
      <c r="X404" s="527">
        <f t="shared" si="585"/>
        <v>-493.74577880487828</v>
      </c>
      <c r="Y404" s="527">
        <f t="shared" si="585"/>
        <v>-493.74577880487828</v>
      </c>
      <c r="Z404" s="527">
        <f t="shared" si="585"/>
        <v>-493.74577880487828</v>
      </c>
      <c r="AA404" s="527">
        <f t="shared" si="585"/>
        <v>-493.74577880487828</v>
      </c>
      <c r="AB404" s="527">
        <f t="shared" si="585"/>
        <v>-493.74577880487828</v>
      </c>
      <c r="AC404" s="527">
        <f t="shared" si="585"/>
        <v>-493.74577880487828</v>
      </c>
      <c r="AD404" s="527">
        <f t="shared" si="585"/>
        <v>-503.62069438097581</v>
      </c>
      <c r="AE404" s="527">
        <f t="shared" si="585"/>
        <v>-503.62069438097581</v>
      </c>
      <c r="AF404" s="527">
        <f t="shared" si="585"/>
        <v>-503.62069438097581</v>
      </c>
      <c r="AG404" s="527">
        <f t="shared" si="585"/>
        <v>-503.62069438097581</v>
      </c>
      <c r="AH404" s="527">
        <f t="shared" si="585"/>
        <v>-503.62069438097581</v>
      </c>
      <c r="AI404" s="527">
        <f t="shared" si="585"/>
        <v>-503.62069438097581</v>
      </c>
      <c r="AJ404" s="527">
        <f t="shared" si="585"/>
        <v>-503.62069438097581</v>
      </c>
      <c r="AK404" s="527">
        <f t="shared" si="585"/>
        <v>-503.62069438097581</v>
      </c>
      <c r="AL404" s="527">
        <f t="shared" si="585"/>
        <v>-503.62069438097581</v>
      </c>
      <c r="AM404" s="527">
        <f t="shared" si="585"/>
        <v>-503.62069438097581</v>
      </c>
      <c r="AN404" s="527">
        <f t="shared" si="585"/>
        <v>-503.62069438097581</v>
      </c>
      <c r="AO404" s="527">
        <f t="shared" si="585"/>
        <v>-503.62069438097581</v>
      </c>
      <c r="AP404" s="527">
        <f t="shared" si="585"/>
        <v>-513.69310826859544</v>
      </c>
      <c r="AQ404" s="527">
        <f t="shared" si="585"/>
        <v>-513.69310826859544</v>
      </c>
      <c r="AR404" s="527">
        <f t="shared" si="585"/>
        <v>-513.69310826859544</v>
      </c>
      <c r="AS404" s="527">
        <f t="shared" si="585"/>
        <v>-513.69310826859544</v>
      </c>
      <c r="AT404" s="527">
        <f t="shared" si="585"/>
        <v>-513.69310826859544</v>
      </c>
      <c r="AU404" s="527">
        <f t="shared" si="585"/>
        <v>-513.69310826859544</v>
      </c>
      <c r="AV404" s="527">
        <f t="shared" si="585"/>
        <v>-513.69310826859544</v>
      </c>
      <c r="AW404" s="527">
        <f t="shared" si="585"/>
        <v>-513.69310826859544</v>
      </c>
      <c r="AX404" s="527">
        <f t="shared" ref="AX404:BY404" si="586">AX$612*$R157</f>
        <v>-513.69310826859544</v>
      </c>
      <c r="AY404" s="527">
        <f t="shared" si="586"/>
        <v>-513.69310826859544</v>
      </c>
      <c r="AZ404" s="527">
        <f t="shared" si="586"/>
        <v>-513.69310826859544</v>
      </c>
      <c r="BA404" s="527">
        <f t="shared" si="586"/>
        <v>-513.69310826859544</v>
      </c>
      <c r="BB404" s="527">
        <f t="shared" si="586"/>
        <v>-523.96697043396728</v>
      </c>
      <c r="BC404" s="527">
        <f t="shared" si="586"/>
        <v>-523.96697043396728</v>
      </c>
      <c r="BD404" s="527">
        <f t="shared" si="586"/>
        <v>-523.96697043396728</v>
      </c>
      <c r="BE404" s="527">
        <f t="shared" si="586"/>
        <v>-523.96697043396728</v>
      </c>
      <c r="BF404" s="527">
        <f t="shared" si="586"/>
        <v>-523.96697043396728</v>
      </c>
      <c r="BG404" s="527">
        <f t="shared" si="586"/>
        <v>-523.96697043396728</v>
      </c>
      <c r="BH404" s="527">
        <f t="shared" si="586"/>
        <v>-523.96697043396728</v>
      </c>
      <c r="BI404" s="527">
        <f t="shared" si="586"/>
        <v>-523.96697043396728</v>
      </c>
      <c r="BJ404" s="527">
        <f t="shared" si="586"/>
        <v>-523.96697043396728</v>
      </c>
      <c r="BK404" s="527">
        <f t="shared" si="586"/>
        <v>-523.96697043396728</v>
      </c>
      <c r="BL404" s="527">
        <f t="shared" si="586"/>
        <v>-523.96697043396728</v>
      </c>
      <c r="BM404" s="527">
        <f t="shared" si="586"/>
        <v>-523.96697043396728</v>
      </c>
      <c r="BN404" s="527">
        <f t="shared" si="586"/>
        <v>-534.44630984264666</v>
      </c>
      <c r="BO404" s="527">
        <f t="shared" si="586"/>
        <v>-534.44630984264666</v>
      </c>
      <c r="BP404" s="527">
        <f t="shared" si="586"/>
        <v>-534.44630984264666</v>
      </c>
      <c r="BQ404" s="527">
        <f t="shared" si="586"/>
        <v>-534.44630984264666</v>
      </c>
      <c r="BR404" s="527">
        <f t="shared" si="586"/>
        <v>-534.44630984264666</v>
      </c>
      <c r="BS404" s="527">
        <f t="shared" si="586"/>
        <v>-534.44630984264666</v>
      </c>
      <c r="BT404" s="527">
        <f t="shared" si="586"/>
        <v>-534.44630984264666</v>
      </c>
      <c r="BU404" s="527">
        <f t="shared" si="586"/>
        <v>-534.44630984264666</v>
      </c>
      <c r="BV404" s="527">
        <f t="shared" si="586"/>
        <v>-534.44630984264666</v>
      </c>
      <c r="BW404" s="527">
        <f t="shared" si="586"/>
        <v>-534.44630984264666</v>
      </c>
      <c r="BX404" s="527">
        <f t="shared" si="586"/>
        <v>-534.44630984264666</v>
      </c>
      <c r="BY404" s="527">
        <f t="shared" si="586"/>
        <v>-534.44630984264666</v>
      </c>
    </row>
    <row r="405" spans="1:77" x14ac:dyDescent="0.3">
      <c r="A405" s="551"/>
      <c r="B405" s="548"/>
      <c r="C405" s="525"/>
      <c r="D405" s="525"/>
      <c r="E405" s="640" t="str">
        <f>"Marketing support: "&amp;E$158</f>
        <v>Marketing support: FY30 Tranche</v>
      </c>
      <c r="F405" s="525"/>
      <c r="G405" s="525"/>
      <c r="H405" s="525"/>
      <c r="I405" s="525"/>
      <c r="J405" s="525"/>
      <c r="K405" s="525"/>
      <c r="L405" s="525"/>
      <c r="M405" s="525"/>
      <c r="N405" s="525"/>
      <c r="O405" s="525"/>
      <c r="P405" s="565"/>
      <c r="Q405" s="525"/>
      <c r="R405" s="527">
        <f t="shared" ref="R405:AW405" si="587">R$612*$R158</f>
        <v>-493.74577880487828</v>
      </c>
      <c r="S405" s="527">
        <f t="shared" si="587"/>
        <v>-493.74577880487828</v>
      </c>
      <c r="T405" s="527">
        <f t="shared" si="587"/>
        <v>-493.74577880487828</v>
      </c>
      <c r="U405" s="527">
        <f t="shared" si="587"/>
        <v>-493.74577880487828</v>
      </c>
      <c r="V405" s="527">
        <f t="shared" si="587"/>
        <v>-493.74577880487828</v>
      </c>
      <c r="W405" s="527">
        <f t="shared" si="587"/>
        <v>-493.74577880487828</v>
      </c>
      <c r="X405" s="527">
        <f t="shared" si="587"/>
        <v>-493.74577880487828</v>
      </c>
      <c r="Y405" s="527">
        <f t="shared" si="587"/>
        <v>-493.74577880487828</v>
      </c>
      <c r="Z405" s="527">
        <f t="shared" si="587"/>
        <v>-493.74577880487828</v>
      </c>
      <c r="AA405" s="527">
        <f t="shared" si="587"/>
        <v>-493.74577880487828</v>
      </c>
      <c r="AB405" s="527">
        <f t="shared" si="587"/>
        <v>-493.74577880487828</v>
      </c>
      <c r="AC405" s="527">
        <f t="shared" si="587"/>
        <v>-493.74577880487828</v>
      </c>
      <c r="AD405" s="527">
        <f t="shared" si="587"/>
        <v>-503.62069438097581</v>
      </c>
      <c r="AE405" s="527">
        <f t="shared" si="587"/>
        <v>-503.62069438097581</v>
      </c>
      <c r="AF405" s="527">
        <f t="shared" si="587"/>
        <v>-503.62069438097581</v>
      </c>
      <c r="AG405" s="527">
        <f t="shared" si="587"/>
        <v>-503.62069438097581</v>
      </c>
      <c r="AH405" s="527">
        <f t="shared" si="587"/>
        <v>-503.62069438097581</v>
      </c>
      <c r="AI405" s="527">
        <f t="shared" si="587"/>
        <v>-503.62069438097581</v>
      </c>
      <c r="AJ405" s="527">
        <f t="shared" si="587"/>
        <v>-503.62069438097581</v>
      </c>
      <c r="AK405" s="527">
        <f t="shared" si="587"/>
        <v>-503.62069438097581</v>
      </c>
      <c r="AL405" s="527">
        <f t="shared" si="587"/>
        <v>-503.62069438097581</v>
      </c>
      <c r="AM405" s="527">
        <f t="shared" si="587"/>
        <v>-503.62069438097581</v>
      </c>
      <c r="AN405" s="527">
        <f t="shared" si="587"/>
        <v>-503.62069438097581</v>
      </c>
      <c r="AO405" s="527">
        <f t="shared" si="587"/>
        <v>-503.62069438097581</v>
      </c>
      <c r="AP405" s="527">
        <f t="shared" si="587"/>
        <v>-513.69310826859544</v>
      </c>
      <c r="AQ405" s="527">
        <f t="shared" si="587"/>
        <v>-513.69310826859544</v>
      </c>
      <c r="AR405" s="527">
        <f t="shared" si="587"/>
        <v>-513.69310826859544</v>
      </c>
      <c r="AS405" s="527">
        <f t="shared" si="587"/>
        <v>-513.69310826859544</v>
      </c>
      <c r="AT405" s="527">
        <f t="shared" si="587"/>
        <v>-513.69310826859544</v>
      </c>
      <c r="AU405" s="527">
        <f t="shared" si="587"/>
        <v>-513.69310826859544</v>
      </c>
      <c r="AV405" s="527">
        <f t="shared" si="587"/>
        <v>-513.69310826859544</v>
      </c>
      <c r="AW405" s="527">
        <f t="shared" si="587"/>
        <v>-513.69310826859544</v>
      </c>
      <c r="AX405" s="527">
        <f t="shared" ref="AX405:BY405" si="588">AX$612*$R158</f>
        <v>-513.69310826859544</v>
      </c>
      <c r="AY405" s="527">
        <f t="shared" si="588"/>
        <v>-513.69310826859544</v>
      </c>
      <c r="AZ405" s="527">
        <f t="shared" si="588"/>
        <v>-513.69310826859544</v>
      </c>
      <c r="BA405" s="527">
        <f t="shared" si="588"/>
        <v>-513.69310826859544</v>
      </c>
      <c r="BB405" s="527">
        <f t="shared" si="588"/>
        <v>-523.96697043396728</v>
      </c>
      <c r="BC405" s="527">
        <f t="shared" si="588"/>
        <v>-523.96697043396728</v>
      </c>
      <c r="BD405" s="527">
        <f t="shared" si="588"/>
        <v>-523.96697043396728</v>
      </c>
      <c r="BE405" s="527">
        <f t="shared" si="588"/>
        <v>-523.96697043396728</v>
      </c>
      <c r="BF405" s="527">
        <f t="shared" si="588"/>
        <v>-523.96697043396728</v>
      </c>
      <c r="BG405" s="527">
        <f t="shared" si="588"/>
        <v>-523.96697043396728</v>
      </c>
      <c r="BH405" s="527">
        <f t="shared" si="588"/>
        <v>-523.96697043396728</v>
      </c>
      <c r="BI405" s="527">
        <f t="shared" si="588"/>
        <v>-523.96697043396728</v>
      </c>
      <c r="BJ405" s="527">
        <f t="shared" si="588"/>
        <v>-523.96697043396728</v>
      </c>
      <c r="BK405" s="527">
        <f t="shared" si="588"/>
        <v>-523.96697043396728</v>
      </c>
      <c r="BL405" s="527">
        <f t="shared" si="588"/>
        <v>-523.96697043396728</v>
      </c>
      <c r="BM405" s="527">
        <f t="shared" si="588"/>
        <v>-523.96697043396728</v>
      </c>
      <c r="BN405" s="527">
        <f t="shared" si="588"/>
        <v>-534.44630984264666</v>
      </c>
      <c r="BO405" s="527">
        <f t="shared" si="588"/>
        <v>-534.44630984264666</v>
      </c>
      <c r="BP405" s="527">
        <f t="shared" si="588"/>
        <v>-534.44630984264666</v>
      </c>
      <c r="BQ405" s="527">
        <f t="shared" si="588"/>
        <v>-534.44630984264666</v>
      </c>
      <c r="BR405" s="527">
        <f t="shared" si="588"/>
        <v>-534.44630984264666</v>
      </c>
      <c r="BS405" s="527">
        <f t="shared" si="588"/>
        <v>-534.44630984264666</v>
      </c>
      <c r="BT405" s="527">
        <f t="shared" si="588"/>
        <v>-534.44630984264666</v>
      </c>
      <c r="BU405" s="527">
        <f t="shared" si="588"/>
        <v>-534.44630984264666</v>
      </c>
      <c r="BV405" s="527">
        <f t="shared" si="588"/>
        <v>-534.44630984264666</v>
      </c>
      <c r="BW405" s="527">
        <f t="shared" si="588"/>
        <v>-534.44630984264666</v>
      </c>
      <c r="BX405" s="527">
        <f t="shared" si="588"/>
        <v>-534.44630984264666</v>
      </c>
      <c r="BY405" s="527">
        <f t="shared" si="588"/>
        <v>-534.44630984264666</v>
      </c>
    </row>
    <row r="406" spans="1:77" x14ac:dyDescent="0.3">
      <c r="A406" s="551"/>
      <c r="B406" s="548"/>
      <c r="C406" s="525"/>
      <c r="D406" s="525"/>
      <c r="E406" s="640" t="str">
        <f>"Marketing support: "&amp;E$159</f>
        <v>Marketing support: FY31 Tranche</v>
      </c>
      <c r="F406" s="525"/>
      <c r="G406" s="525"/>
      <c r="H406" s="525"/>
      <c r="I406" s="525"/>
      <c r="J406" s="525"/>
      <c r="K406" s="525"/>
      <c r="L406" s="525"/>
      <c r="M406" s="525"/>
      <c r="N406" s="525"/>
      <c r="O406" s="525"/>
      <c r="P406" s="565"/>
      <c r="Q406" s="525"/>
      <c r="R406" s="527">
        <f t="shared" ref="R406:AW406" si="589">R$612*$R159</f>
        <v>-493.74577880487828</v>
      </c>
      <c r="S406" s="527">
        <f t="shared" si="589"/>
        <v>-493.74577880487828</v>
      </c>
      <c r="T406" s="527">
        <f t="shared" si="589"/>
        <v>-493.74577880487828</v>
      </c>
      <c r="U406" s="527">
        <f t="shared" si="589"/>
        <v>-493.74577880487828</v>
      </c>
      <c r="V406" s="527">
        <f t="shared" si="589"/>
        <v>-493.74577880487828</v>
      </c>
      <c r="W406" s="527">
        <f t="shared" si="589"/>
        <v>-493.74577880487828</v>
      </c>
      <c r="X406" s="527">
        <f t="shared" si="589"/>
        <v>-493.74577880487828</v>
      </c>
      <c r="Y406" s="527">
        <f t="shared" si="589"/>
        <v>-493.74577880487828</v>
      </c>
      <c r="Z406" s="527">
        <f t="shared" si="589"/>
        <v>-493.74577880487828</v>
      </c>
      <c r="AA406" s="527">
        <f t="shared" si="589"/>
        <v>-493.74577880487828</v>
      </c>
      <c r="AB406" s="527">
        <f t="shared" si="589"/>
        <v>-493.74577880487828</v>
      </c>
      <c r="AC406" s="527">
        <f t="shared" si="589"/>
        <v>-493.74577880487828</v>
      </c>
      <c r="AD406" s="527">
        <f t="shared" si="589"/>
        <v>-503.62069438097581</v>
      </c>
      <c r="AE406" s="527">
        <f t="shared" si="589"/>
        <v>-503.62069438097581</v>
      </c>
      <c r="AF406" s="527">
        <f t="shared" si="589"/>
        <v>-503.62069438097581</v>
      </c>
      <c r="AG406" s="527">
        <f t="shared" si="589"/>
        <v>-503.62069438097581</v>
      </c>
      <c r="AH406" s="527">
        <f t="shared" si="589"/>
        <v>-503.62069438097581</v>
      </c>
      <c r="AI406" s="527">
        <f t="shared" si="589"/>
        <v>-503.62069438097581</v>
      </c>
      <c r="AJ406" s="527">
        <f t="shared" si="589"/>
        <v>-503.62069438097581</v>
      </c>
      <c r="AK406" s="527">
        <f t="shared" si="589"/>
        <v>-503.62069438097581</v>
      </c>
      <c r="AL406" s="527">
        <f t="shared" si="589"/>
        <v>-503.62069438097581</v>
      </c>
      <c r="AM406" s="527">
        <f t="shared" si="589"/>
        <v>-503.62069438097581</v>
      </c>
      <c r="AN406" s="527">
        <f t="shared" si="589"/>
        <v>-503.62069438097581</v>
      </c>
      <c r="AO406" s="527">
        <f t="shared" si="589"/>
        <v>-503.62069438097581</v>
      </c>
      <c r="AP406" s="527">
        <f t="shared" si="589"/>
        <v>-513.69310826859544</v>
      </c>
      <c r="AQ406" s="527">
        <f t="shared" si="589"/>
        <v>-513.69310826859544</v>
      </c>
      <c r="AR406" s="527">
        <f t="shared" si="589"/>
        <v>-513.69310826859544</v>
      </c>
      <c r="AS406" s="527">
        <f t="shared" si="589"/>
        <v>-513.69310826859544</v>
      </c>
      <c r="AT406" s="527">
        <f t="shared" si="589"/>
        <v>-513.69310826859544</v>
      </c>
      <c r="AU406" s="527">
        <f t="shared" si="589"/>
        <v>-513.69310826859544</v>
      </c>
      <c r="AV406" s="527">
        <f t="shared" si="589"/>
        <v>-513.69310826859544</v>
      </c>
      <c r="AW406" s="527">
        <f t="shared" si="589"/>
        <v>-513.69310826859544</v>
      </c>
      <c r="AX406" s="527">
        <f t="shared" ref="AX406:BY406" si="590">AX$612*$R159</f>
        <v>-513.69310826859544</v>
      </c>
      <c r="AY406" s="527">
        <f t="shared" si="590"/>
        <v>-513.69310826859544</v>
      </c>
      <c r="AZ406" s="527">
        <f t="shared" si="590"/>
        <v>-513.69310826859544</v>
      </c>
      <c r="BA406" s="527">
        <f t="shared" si="590"/>
        <v>-513.69310826859544</v>
      </c>
      <c r="BB406" s="527">
        <f t="shared" si="590"/>
        <v>-523.96697043396728</v>
      </c>
      <c r="BC406" s="527">
        <f t="shared" si="590"/>
        <v>-523.96697043396728</v>
      </c>
      <c r="BD406" s="527">
        <f t="shared" si="590"/>
        <v>-523.96697043396728</v>
      </c>
      <c r="BE406" s="527">
        <f t="shared" si="590"/>
        <v>-523.96697043396728</v>
      </c>
      <c r="BF406" s="527">
        <f t="shared" si="590"/>
        <v>-523.96697043396728</v>
      </c>
      <c r="BG406" s="527">
        <f t="shared" si="590"/>
        <v>-523.96697043396728</v>
      </c>
      <c r="BH406" s="527">
        <f t="shared" si="590"/>
        <v>-523.96697043396728</v>
      </c>
      <c r="BI406" s="527">
        <f t="shared" si="590"/>
        <v>-523.96697043396728</v>
      </c>
      <c r="BJ406" s="527">
        <f t="shared" si="590"/>
        <v>-523.96697043396728</v>
      </c>
      <c r="BK406" s="527">
        <f t="shared" si="590"/>
        <v>-523.96697043396728</v>
      </c>
      <c r="BL406" s="527">
        <f t="shared" si="590"/>
        <v>-523.96697043396728</v>
      </c>
      <c r="BM406" s="527">
        <f t="shared" si="590"/>
        <v>-523.96697043396728</v>
      </c>
      <c r="BN406" s="527">
        <f t="shared" si="590"/>
        <v>-534.44630984264666</v>
      </c>
      <c r="BO406" s="527">
        <f t="shared" si="590"/>
        <v>-534.44630984264666</v>
      </c>
      <c r="BP406" s="527">
        <f t="shared" si="590"/>
        <v>-534.44630984264666</v>
      </c>
      <c r="BQ406" s="527">
        <f t="shared" si="590"/>
        <v>-534.44630984264666</v>
      </c>
      <c r="BR406" s="527">
        <f t="shared" si="590"/>
        <v>-534.44630984264666</v>
      </c>
      <c r="BS406" s="527">
        <f t="shared" si="590"/>
        <v>-534.44630984264666</v>
      </c>
      <c r="BT406" s="527">
        <f t="shared" si="590"/>
        <v>-534.44630984264666</v>
      </c>
      <c r="BU406" s="527">
        <f t="shared" si="590"/>
        <v>-534.44630984264666</v>
      </c>
      <c r="BV406" s="527">
        <f t="shared" si="590"/>
        <v>-534.44630984264666</v>
      </c>
      <c r="BW406" s="527">
        <f t="shared" si="590"/>
        <v>-534.44630984264666</v>
      </c>
      <c r="BX406" s="527">
        <f t="shared" si="590"/>
        <v>-534.44630984264666</v>
      </c>
      <c r="BY406" s="527">
        <f t="shared" si="590"/>
        <v>-534.44630984264666</v>
      </c>
    </row>
    <row r="407" spans="1:77" x14ac:dyDescent="0.3">
      <c r="A407" s="551"/>
      <c r="B407" s="548"/>
      <c r="C407" s="525"/>
      <c r="D407" s="525"/>
      <c r="E407" s="640" t="str">
        <f>"Marketing support: "&amp;E$160</f>
        <v>Marketing support: Uninvested Tranche</v>
      </c>
      <c r="F407" s="525"/>
      <c r="G407" s="525"/>
      <c r="H407" s="525"/>
      <c r="I407" s="525"/>
      <c r="J407" s="525"/>
      <c r="K407" s="525"/>
      <c r="L407" s="525"/>
      <c r="M407" s="525"/>
      <c r="N407" s="525"/>
      <c r="O407" s="525"/>
      <c r="P407" s="565"/>
      <c r="Q407" s="525"/>
      <c r="R407" s="527">
        <f t="shared" ref="R407:AW407" si="591">R$612*$R160</f>
        <v>-1103.6670349756102</v>
      </c>
      <c r="S407" s="527">
        <f t="shared" si="591"/>
        <v>-1103.6670349756102</v>
      </c>
      <c r="T407" s="527">
        <f t="shared" si="591"/>
        <v>-1103.6670349756102</v>
      </c>
      <c r="U407" s="527">
        <f t="shared" si="591"/>
        <v>-1103.6670349756102</v>
      </c>
      <c r="V407" s="527">
        <f t="shared" si="591"/>
        <v>-1103.6670349756102</v>
      </c>
      <c r="W407" s="527">
        <f t="shared" si="591"/>
        <v>-1103.6670349756102</v>
      </c>
      <c r="X407" s="527">
        <f t="shared" si="591"/>
        <v>-1103.6670349756102</v>
      </c>
      <c r="Y407" s="527">
        <f t="shared" si="591"/>
        <v>-1103.6670349756102</v>
      </c>
      <c r="Z407" s="527">
        <f t="shared" si="591"/>
        <v>-1103.6670349756102</v>
      </c>
      <c r="AA407" s="527">
        <f t="shared" si="591"/>
        <v>-1103.6670349756102</v>
      </c>
      <c r="AB407" s="527">
        <f t="shared" si="591"/>
        <v>-1103.6670349756102</v>
      </c>
      <c r="AC407" s="527">
        <f t="shared" si="591"/>
        <v>-1103.6670349756102</v>
      </c>
      <c r="AD407" s="527">
        <f t="shared" si="591"/>
        <v>-1125.7403756751223</v>
      </c>
      <c r="AE407" s="527">
        <f t="shared" si="591"/>
        <v>-1125.7403756751223</v>
      </c>
      <c r="AF407" s="527">
        <f t="shared" si="591"/>
        <v>-1125.7403756751223</v>
      </c>
      <c r="AG407" s="527">
        <f t="shared" si="591"/>
        <v>-1125.7403756751223</v>
      </c>
      <c r="AH407" s="527">
        <f t="shared" si="591"/>
        <v>-1125.7403756751223</v>
      </c>
      <c r="AI407" s="527">
        <f t="shared" si="591"/>
        <v>-1125.7403756751223</v>
      </c>
      <c r="AJ407" s="527">
        <f t="shared" si="591"/>
        <v>-1125.7403756751223</v>
      </c>
      <c r="AK407" s="527">
        <f t="shared" si="591"/>
        <v>-1125.7403756751223</v>
      </c>
      <c r="AL407" s="527">
        <f t="shared" si="591"/>
        <v>-1125.7403756751223</v>
      </c>
      <c r="AM407" s="527">
        <f t="shared" si="591"/>
        <v>-1125.7403756751223</v>
      </c>
      <c r="AN407" s="527">
        <f t="shared" si="591"/>
        <v>-1125.7403756751223</v>
      </c>
      <c r="AO407" s="527">
        <f t="shared" si="591"/>
        <v>-1125.7403756751223</v>
      </c>
      <c r="AP407" s="527">
        <f t="shared" si="591"/>
        <v>-1148.2551831886251</v>
      </c>
      <c r="AQ407" s="527">
        <f t="shared" si="591"/>
        <v>-1148.2551831886251</v>
      </c>
      <c r="AR407" s="527">
        <f t="shared" si="591"/>
        <v>-1148.2551831886251</v>
      </c>
      <c r="AS407" s="527">
        <f t="shared" si="591"/>
        <v>-1148.2551831886251</v>
      </c>
      <c r="AT407" s="527">
        <f t="shared" si="591"/>
        <v>-1148.2551831886251</v>
      </c>
      <c r="AU407" s="527">
        <f t="shared" si="591"/>
        <v>-1148.2551831886251</v>
      </c>
      <c r="AV407" s="527">
        <f t="shared" si="591"/>
        <v>-1148.2551831886251</v>
      </c>
      <c r="AW407" s="527">
        <f t="shared" si="591"/>
        <v>-1148.2551831886251</v>
      </c>
      <c r="AX407" s="527">
        <f t="shared" ref="AX407:BY407" si="592">AX$612*$R160</f>
        <v>-1148.2551831886251</v>
      </c>
      <c r="AY407" s="527">
        <f t="shared" si="592"/>
        <v>-1148.2551831886251</v>
      </c>
      <c r="AZ407" s="527">
        <f t="shared" si="592"/>
        <v>-1148.2551831886251</v>
      </c>
      <c r="BA407" s="527">
        <f t="shared" si="592"/>
        <v>-1148.2551831886251</v>
      </c>
      <c r="BB407" s="527">
        <f t="shared" si="592"/>
        <v>-1171.2202868523975</v>
      </c>
      <c r="BC407" s="527">
        <f t="shared" si="592"/>
        <v>-1171.2202868523975</v>
      </c>
      <c r="BD407" s="527">
        <f t="shared" si="592"/>
        <v>-1171.2202868523975</v>
      </c>
      <c r="BE407" s="527">
        <f t="shared" si="592"/>
        <v>-1171.2202868523975</v>
      </c>
      <c r="BF407" s="527">
        <f t="shared" si="592"/>
        <v>-1171.2202868523975</v>
      </c>
      <c r="BG407" s="527">
        <f t="shared" si="592"/>
        <v>-1171.2202868523975</v>
      </c>
      <c r="BH407" s="527">
        <f t="shared" si="592"/>
        <v>-1171.2202868523975</v>
      </c>
      <c r="BI407" s="527">
        <f t="shared" si="592"/>
        <v>-1171.2202868523975</v>
      </c>
      <c r="BJ407" s="527">
        <f t="shared" si="592"/>
        <v>-1171.2202868523975</v>
      </c>
      <c r="BK407" s="527">
        <f t="shared" si="592"/>
        <v>-1171.2202868523975</v>
      </c>
      <c r="BL407" s="527">
        <f t="shared" si="592"/>
        <v>-1171.2202868523975</v>
      </c>
      <c r="BM407" s="527">
        <f t="shared" si="592"/>
        <v>-1171.2202868523975</v>
      </c>
      <c r="BN407" s="527">
        <f t="shared" si="592"/>
        <v>-1194.6446925894454</v>
      </c>
      <c r="BO407" s="527">
        <f t="shared" si="592"/>
        <v>-1194.6446925894454</v>
      </c>
      <c r="BP407" s="527">
        <f t="shared" si="592"/>
        <v>-1194.6446925894454</v>
      </c>
      <c r="BQ407" s="527">
        <f t="shared" si="592"/>
        <v>-1194.6446925894454</v>
      </c>
      <c r="BR407" s="527">
        <f t="shared" si="592"/>
        <v>-1194.6446925894454</v>
      </c>
      <c r="BS407" s="527">
        <f t="shared" si="592"/>
        <v>-1194.6446925894454</v>
      </c>
      <c r="BT407" s="527">
        <f t="shared" si="592"/>
        <v>-1194.6446925894454</v>
      </c>
      <c r="BU407" s="527">
        <f t="shared" si="592"/>
        <v>-1194.6446925894454</v>
      </c>
      <c r="BV407" s="527">
        <f t="shared" si="592"/>
        <v>-1194.6446925894454</v>
      </c>
      <c r="BW407" s="527">
        <f t="shared" si="592"/>
        <v>-1194.6446925894454</v>
      </c>
      <c r="BX407" s="527">
        <f t="shared" si="592"/>
        <v>-1194.6446925894454</v>
      </c>
      <c r="BY407" s="527">
        <f t="shared" si="592"/>
        <v>-1194.6446925894454</v>
      </c>
    </row>
    <row r="408" spans="1:77" x14ac:dyDescent="0.3">
      <c r="A408" s="551"/>
      <c r="B408" s="548"/>
      <c r="C408" s="525"/>
      <c r="D408" s="525"/>
      <c r="E408" s="572" t="s">
        <v>36</v>
      </c>
      <c r="F408" s="572"/>
      <c r="G408" s="572"/>
      <c r="H408" s="572"/>
      <c r="I408" s="572"/>
      <c r="J408" s="572"/>
      <c r="K408" s="572"/>
      <c r="L408" s="572"/>
      <c r="M408" s="572"/>
      <c r="N408" s="572"/>
      <c r="O408" s="572"/>
      <c r="P408" s="612"/>
      <c r="Q408" s="572"/>
      <c r="R408" s="530">
        <f t="shared" ref="R408:AW408" si="593">SUM(R402:R407)</f>
        <v>-3572.3959290000021</v>
      </c>
      <c r="S408" s="530">
        <f t="shared" si="593"/>
        <v>-3572.3959290000021</v>
      </c>
      <c r="T408" s="530">
        <f t="shared" si="593"/>
        <v>-3572.3959290000021</v>
      </c>
      <c r="U408" s="530">
        <f t="shared" si="593"/>
        <v>-3572.3959290000021</v>
      </c>
      <c r="V408" s="530">
        <f t="shared" si="593"/>
        <v>-3572.3959290000021</v>
      </c>
      <c r="W408" s="530">
        <f t="shared" si="593"/>
        <v>-3572.3959290000021</v>
      </c>
      <c r="X408" s="530">
        <f t="shared" si="593"/>
        <v>-3572.3959290000021</v>
      </c>
      <c r="Y408" s="530">
        <f t="shared" si="593"/>
        <v>-3572.3959290000021</v>
      </c>
      <c r="Z408" s="530">
        <f t="shared" si="593"/>
        <v>-3572.3959290000021</v>
      </c>
      <c r="AA408" s="530">
        <f t="shared" si="593"/>
        <v>-3572.3959290000021</v>
      </c>
      <c r="AB408" s="530">
        <f t="shared" si="593"/>
        <v>-3572.3959290000021</v>
      </c>
      <c r="AC408" s="530">
        <f t="shared" si="593"/>
        <v>-3572.3959290000021</v>
      </c>
      <c r="AD408" s="530">
        <f t="shared" si="593"/>
        <v>-3643.8438475800012</v>
      </c>
      <c r="AE408" s="530">
        <f t="shared" si="593"/>
        <v>-3643.8438475800012</v>
      </c>
      <c r="AF408" s="530">
        <f t="shared" si="593"/>
        <v>-3643.8438475800012</v>
      </c>
      <c r="AG408" s="530">
        <f t="shared" si="593"/>
        <v>-3643.8438475800012</v>
      </c>
      <c r="AH408" s="530">
        <f t="shared" si="593"/>
        <v>-3643.8438475800012</v>
      </c>
      <c r="AI408" s="530">
        <f t="shared" si="593"/>
        <v>-3643.8438475800012</v>
      </c>
      <c r="AJ408" s="530">
        <f t="shared" si="593"/>
        <v>-3643.8438475800012</v>
      </c>
      <c r="AK408" s="530">
        <f t="shared" si="593"/>
        <v>-3643.8438475800012</v>
      </c>
      <c r="AL408" s="530">
        <f t="shared" si="593"/>
        <v>-3643.8438475800012</v>
      </c>
      <c r="AM408" s="530">
        <f t="shared" si="593"/>
        <v>-3643.8438475800012</v>
      </c>
      <c r="AN408" s="530">
        <f t="shared" si="593"/>
        <v>-3643.8438475800012</v>
      </c>
      <c r="AO408" s="530">
        <f t="shared" si="593"/>
        <v>-3643.8438475800012</v>
      </c>
      <c r="AP408" s="530">
        <f t="shared" si="593"/>
        <v>-3716.7207245316022</v>
      </c>
      <c r="AQ408" s="530">
        <f t="shared" si="593"/>
        <v>-3716.7207245316022</v>
      </c>
      <c r="AR408" s="530">
        <f t="shared" si="593"/>
        <v>-3716.7207245316022</v>
      </c>
      <c r="AS408" s="530">
        <f t="shared" si="593"/>
        <v>-3716.7207245316022</v>
      </c>
      <c r="AT408" s="530">
        <f t="shared" si="593"/>
        <v>-3716.7207245316022</v>
      </c>
      <c r="AU408" s="530">
        <f t="shared" si="593"/>
        <v>-3716.7207245316022</v>
      </c>
      <c r="AV408" s="530">
        <f t="shared" si="593"/>
        <v>-3716.7207245316022</v>
      </c>
      <c r="AW408" s="530">
        <f t="shared" si="593"/>
        <v>-3716.7207245316022</v>
      </c>
      <c r="AX408" s="530">
        <f t="shared" ref="AX408:BY408" si="594">SUM(AX402:AX407)</f>
        <v>-3716.7207245316022</v>
      </c>
      <c r="AY408" s="530">
        <f t="shared" si="594"/>
        <v>-3716.7207245316022</v>
      </c>
      <c r="AZ408" s="530">
        <f t="shared" si="594"/>
        <v>-3716.7207245316022</v>
      </c>
      <c r="BA408" s="530">
        <f t="shared" si="594"/>
        <v>-3716.7207245316022</v>
      </c>
      <c r="BB408" s="530">
        <f t="shared" si="594"/>
        <v>-3791.0551390222336</v>
      </c>
      <c r="BC408" s="530">
        <f t="shared" si="594"/>
        <v>-3791.0551390222336</v>
      </c>
      <c r="BD408" s="530">
        <f t="shared" si="594"/>
        <v>-3791.0551390222336</v>
      </c>
      <c r="BE408" s="530">
        <f t="shared" si="594"/>
        <v>-3791.0551390222336</v>
      </c>
      <c r="BF408" s="530">
        <f t="shared" si="594"/>
        <v>-3791.0551390222336</v>
      </c>
      <c r="BG408" s="530">
        <f t="shared" si="594"/>
        <v>-3791.0551390222336</v>
      </c>
      <c r="BH408" s="530">
        <f t="shared" si="594"/>
        <v>-3791.0551390222336</v>
      </c>
      <c r="BI408" s="530">
        <f t="shared" si="594"/>
        <v>-3791.0551390222336</v>
      </c>
      <c r="BJ408" s="530">
        <f t="shared" si="594"/>
        <v>-3791.0551390222336</v>
      </c>
      <c r="BK408" s="530">
        <f t="shared" si="594"/>
        <v>-3791.0551390222336</v>
      </c>
      <c r="BL408" s="530">
        <f t="shared" si="594"/>
        <v>-3791.0551390222336</v>
      </c>
      <c r="BM408" s="530">
        <f t="shared" si="594"/>
        <v>-3791.0551390222336</v>
      </c>
      <c r="BN408" s="530">
        <f t="shared" si="594"/>
        <v>-3866.876241802679</v>
      </c>
      <c r="BO408" s="530">
        <f t="shared" si="594"/>
        <v>-3866.876241802679</v>
      </c>
      <c r="BP408" s="530">
        <f t="shared" si="594"/>
        <v>-3866.876241802679</v>
      </c>
      <c r="BQ408" s="530">
        <f t="shared" si="594"/>
        <v>-3866.876241802679</v>
      </c>
      <c r="BR408" s="530">
        <f t="shared" si="594"/>
        <v>-3866.876241802679</v>
      </c>
      <c r="BS408" s="530">
        <f t="shared" si="594"/>
        <v>-3866.876241802679</v>
      </c>
      <c r="BT408" s="530">
        <f t="shared" si="594"/>
        <v>-3866.876241802679</v>
      </c>
      <c r="BU408" s="530">
        <f t="shared" si="594"/>
        <v>-3866.876241802679</v>
      </c>
      <c r="BV408" s="530">
        <f t="shared" si="594"/>
        <v>-3866.876241802679</v>
      </c>
      <c r="BW408" s="530">
        <f t="shared" si="594"/>
        <v>-3866.876241802679</v>
      </c>
      <c r="BX408" s="530">
        <f t="shared" si="594"/>
        <v>-3866.876241802679</v>
      </c>
      <c r="BY408" s="530">
        <f t="shared" si="594"/>
        <v>-3866.876241802679</v>
      </c>
    </row>
    <row r="409" spans="1:77" x14ac:dyDescent="0.3">
      <c r="A409" s="551"/>
      <c r="B409" s="548"/>
      <c r="C409" s="525"/>
      <c r="D409" s="525"/>
      <c r="E409" s="525"/>
      <c r="F409" s="525"/>
      <c r="G409" s="525"/>
      <c r="H409" s="525"/>
      <c r="I409" s="525"/>
      <c r="J409" s="525"/>
      <c r="K409" s="525"/>
      <c r="L409" s="525"/>
      <c r="M409" s="525"/>
      <c r="N409" s="525"/>
      <c r="O409" s="525"/>
      <c r="P409" s="565"/>
      <c r="Q409" s="525"/>
      <c r="R409" s="525"/>
      <c r="S409" s="525"/>
      <c r="T409" s="525"/>
      <c r="U409" s="525"/>
      <c r="V409" s="525"/>
      <c r="W409" s="525"/>
      <c r="X409" s="525"/>
      <c r="Y409" s="525"/>
      <c r="Z409" s="525"/>
      <c r="AA409" s="525"/>
      <c r="AB409" s="525"/>
      <c r="AC409" s="525"/>
      <c r="AD409" s="525"/>
      <c r="AE409" s="525"/>
      <c r="AF409" s="525"/>
      <c r="AG409" s="525"/>
      <c r="AH409" s="525"/>
      <c r="AI409" s="525"/>
      <c r="AJ409" s="525"/>
      <c r="AK409" s="525"/>
      <c r="AL409" s="525"/>
      <c r="AM409" s="525"/>
      <c r="AN409" s="525"/>
      <c r="AO409" s="525"/>
      <c r="AP409" s="525"/>
      <c r="AQ409" s="525"/>
      <c r="AR409" s="525"/>
      <c r="AS409" s="525"/>
      <c r="AT409" s="525"/>
      <c r="AU409" s="525"/>
      <c r="AV409" s="525"/>
      <c r="AW409" s="525"/>
      <c r="AX409" s="525"/>
      <c r="AY409" s="525"/>
      <c r="AZ409" s="525"/>
      <c r="BA409" s="525"/>
      <c r="BB409" s="525"/>
      <c r="BC409" s="525"/>
      <c r="BD409" s="525"/>
      <c r="BE409" s="525"/>
      <c r="BF409" s="525"/>
      <c r="BG409" s="525"/>
      <c r="BH409" s="525"/>
      <c r="BI409" s="525"/>
      <c r="BJ409" s="525"/>
      <c r="BK409" s="525"/>
      <c r="BL409" s="525"/>
      <c r="BM409" s="525"/>
      <c r="BN409" s="525"/>
      <c r="BO409" s="525"/>
      <c r="BP409" s="525"/>
      <c r="BQ409" s="525"/>
      <c r="BR409" s="525"/>
      <c r="BS409" s="525"/>
      <c r="BT409" s="525"/>
      <c r="BU409" s="525"/>
      <c r="BV409" s="525"/>
      <c r="BW409" s="525"/>
      <c r="BX409" s="525"/>
      <c r="BY409" s="525"/>
    </row>
    <row r="410" spans="1:77" x14ac:dyDescent="0.3">
      <c r="A410" s="551"/>
      <c r="B410" s="548"/>
      <c r="C410" s="584" t="s">
        <v>37</v>
      </c>
      <c r="D410" s="525"/>
      <c r="E410" s="538" t="s">
        <v>91</v>
      </c>
      <c r="F410" s="538"/>
      <c r="G410" s="538"/>
      <c r="H410" s="538"/>
      <c r="I410" s="538"/>
      <c r="J410" s="538"/>
      <c r="K410" s="538"/>
      <c r="L410" s="538"/>
      <c r="M410" s="538"/>
      <c r="N410" s="538"/>
      <c r="O410" s="538"/>
      <c r="P410" s="584"/>
      <c r="Q410" s="538"/>
      <c r="R410" s="538"/>
      <c r="S410" s="538"/>
      <c r="T410" s="538"/>
      <c r="U410" s="538"/>
      <c r="V410" s="538"/>
      <c r="W410" s="538"/>
      <c r="X410" s="538"/>
      <c r="Y410" s="538"/>
      <c r="Z410" s="538"/>
      <c r="AA410" s="538"/>
      <c r="AB410" s="538"/>
      <c r="AC410" s="538"/>
      <c r="AD410" s="538"/>
      <c r="AE410" s="538"/>
      <c r="AF410" s="538"/>
      <c r="AG410" s="538"/>
      <c r="AH410" s="538"/>
      <c r="AI410" s="538"/>
      <c r="AJ410" s="538"/>
      <c r="AK410" s="538"/>
      <c r="AL410" s="538"/>
      <c r="AM410" s="538"/>
      <c r="AN410" s="538"/>
      <c r="AO410" s="538"/>
      <c r="AP410" s="538"/>
      <c r="AQ410" s="538"/>
      <c r="AR410" s="538"/>
      <c r="AS410" s="538"/>
      <c r="AT410" s="538"/>
      <c r="AU410" s="538"/>
      <c r="AV410" s="538"/>
      <c r="AW410" s="538"/>
      <c r="AX410" s="538"/>
      <c r="AY410" s="538"/>
      <c r="AZ410" s="538"/>
      <c r="BA410" s="538"/>
      <c r="BB410" s="538"/>
      <c r="BC410" s="538"/>
      <c r="BD410" s="538"/>
      <c r="BE410" s="538"/>
      <c r="BF410" s="538"/>
      <c r="BG410" s="538"/>
      <c r="BH410" s="538"/>
      <c r="BI410" s="538"/>
      <c r="BJ410" s="538"/>
      <c r="BK410" s="538"/>
      <c r="BL410" s="538"/>
      <c r="BM410" s="538"/>
      <c r="BN410" s="538"/>
      <c r="BO410" s="538"/>
      <c r="BP410" s="538"/>
      <c r="BQ410" s="538"/>
      <c r="BR410" s="538"/>
      <c r="BS410" s="538"/>
      <c r="BT410" s="538"/>
      <c r="BU410" s="538"/>
      <c r="BV410" s="538"/>
      <c r="BW410" s="538"/>
      <c r="BX410" s="538"/>
      <c r="BY410" s="538"/>
    </row>
    <row r="411" spans="1:77" x14ac:dyDescent="0.3">
      <c r="A411" s="551"/>
      <c r="B411" s="548"/>
      <c r="C411" s="525"/>
      <c r="D411" s="525"/>
      <c r="E411" s="525"/>
      <c r="F411" s="525"/>
      <c r="G411" s="525"/>
      <c r="H411" s="525"/>
      <c r="I411" s="525"/>
      <c r="J411" s="525"/>
      <c r="K411" s="525"/>
      <c r="L411" s="525"/>
      <c r="M411" s="525"/>
      <c r="N411" s="525"/>
      <c r="O411" s="525"/>
      <c r="P411" s="565"/>
      <c r="Q411" s="525"/>
      <c r="R411" s="525"/>
      <c r="S411" s="525"/>
      <c r="T411" s="525"/>
      <c r="U411" s="525"/>
      <c r="V411" s="525"/>
      <c r="W411" s="525"/>
      <c r="X411" s="525"/>
      <c r="Y411" s="525"/>
      <c r="Z411" s="525"/>
      <c r="AA411" s="525"/>
      <c r="AB411" s="525"/>
      <c r="AC411" s="525"/>
      <c r="AD411" s="525"/>
      <c r="AE411" s="525"/>
      <c r="AF411" s="525"/>
      <c r="AG411" s="525"/>
      <c r="AH411" s="525"/>
      <c r="AI411" s="525"/>
      <c r="AJ411" s="525"/>
      <c r="AK411" s="525"/>
      <c r="AL411" s="525"/>
      <c r="AM411" s="525"/>
      <c r="AN411" s="525"/>
      <c r="AO411" s="525"/>
      <c r="AP411" s="525"/>
      <c r="AQ411" s="525"/>
      <c r="AR411" s="525"/>
      <c r="AS411" s="525"/>
      <c r="AT411" s="525"/>
      <c r="AU411" s="525"/>
      <c r="AV411" s="525"/>
      <c r="AW411" s="525"/>
      <c r="AX411" s="525"/>
      <c r="AY411" s="525"/>
      <c r="AZ411" s="525"/>
      <c r="BA411" s="525"/>
      <c r="BB411" s="525"/>
      <c r="BC411" s="525"/>
      <c r="BD411" s="525"/>
      <c r="BE411" s="525"/>
      <c r="BF411" s="525"/>
      <c r="BG411" s="525"/>
      <c r="BH411" s="525"/>
      <c r="BI411" s="525"/>
      <c r="BJ411" s="525"/>
      <c r="BK411" s="525"/>
      <c r="BL411" s="525"/>
      <c r="BM411" s="525"/>
      <c r="BN411" s="525"/>
      <c r="BO411" s="525"/>
      <c r="BP411" s="525"/>
      <c r="BQ411" s="525"/>
      <c r="BR411" s="525"/>
      <c r="BS411" s="525"/>
      <c r="BT411" s="525"/>
      <c r="BU411" s="525"/>
      <c r="BV411" s="525"/>
      <c r="BW411" s="525"/>
      <c r="BX411" s="525"/>
      <c r="BY411" s="525"/>
    </row>
    <row r="412" spans="1:77" x14ac:dyDescent="0.3">
      <c r="A412" s="551"/>
      <c r="B412" s="548"/>
      <c r="C412" s="525"/>
      <c r="D412" s="525"/>
      <c r="E412" s="641" t="str">
        <f>"Implied EBITDA: "&amp;E$155</f>
        <v>Implied EBITDA: FY27 Tranche</v>
      </c>
      <c r="F412" s="525"/>
      <c r="G412" s="525"/>
      <c r="H412" s="525"/>
      <c r="I412" s="525"/>
      <c r="J412" s="525"/>
      <c r="K412" s="525"/>
      <c r="L412" s="525"/>
      <c r="M412" s="525"/>
      <c r="N412" s="525"/>
      <c r="O412" s="525"/>
      <c r="P412" s="565"/>
      <c r="Q412" s="525"/>
      <c r="R412" s="527">
        <f t="shared" ref="R412:AW412" si="595">R246+R254+R262+R270+R290+R298+R306+R314+R338+R346+R358+R366+R374+R382+R394+R402</f>
        <v>150714.85087905423</v>
      </c>
      <c r="S412" s="527">
        <f t="shared" si="595"/>
        <v>150714.85087905423</v>
      </c>
      <c r="T412" s="527">
        <f t="shared" si="595"/>
        <v>150714.85087905423</v>
      </c>
      <c r="U412" s="527">
        <f t="shared" si="595"/>
        <v>150714.85087905423</v>
      </c>
      <c r="V412" s="527">
        <f t="shared" si="595"/>
        <v>150714.85087905423</v>
      </c>
      <c r="W412" s="527">
        <f t="shared" si="595"/>
        <v>150714.85087905423</v>
      </c>
      <c r="X412" s="527">
        <f t="shared" si="595"/>
        <v>176475.17518970108</v>
      </c>
      <c r="Y412" s="527">
        <f t="shared" si="595"/>
        <v>176475.17518970108</v>
      </c>
      <c r="Z412" s="527">
        <f t="shared" si="595"/>
        <v>176475.17518970108</v>
      </c>
      <c r="AA412" s="527">
        <f t="shared" si="595"/>
        <v>176475.17518970108</v>
      </c>
      <c r="AB412" s="527">
        <f t="shared" si="595"/>
        <v>176475.17518970108</v>
      </c>
      <c r="AC412" s="527">
        <f t="shared" si="595"/>
        <v>176475.17518970108</v>
      </c>
      <c r="AD412" s="527">
        <f t="shared" si="595"/>
        <v>176475.17518970108</v>
      </c>
      <c r="AE412" s="527">
        <f t="shared" si="595"/>
        <v>176475.17518970108</v>
      </c>
      <c r="AF412" s="527">
        <f t="shared" si="595"/>
        <v>176475.17518970108</v>
      </c>
      <c r="AG412" s="527">
        <f t="shared" si="595"/>
        <v>176475.17518970108</v>
      </c>
      <c r="AH412" s="527">
        <f t="shared" si="595"/>
        <v>176475.17518970108</v>
      </c>
      <c r="AI412" s="527">
        <f t="shared" si="595"/>
        <v>176475.17518970108</v>
      </c>
      <c r="AJ412" s="527">
        <f t="shared" si="595"/>
        <v>183534.18219728919</v>
      </c>
      <c r="AK412" s="527">
        <f t="shared" si="595"/>
        <v>183534.18219728919</v>
      </c>
      <c r="AL412" s="527">
        <f t="shared" si="595"/>
        <v>183534.18219728919</v>
      </c>
      <c r="AM412" s="527">
        <f t="shared" si="595"/>
        <v>183534.18219728919</v>
      </c>
      <c r="AN412" s="527">
        <f t="shared" si="595"/>
        <v>183534.18219728919</v>
      </c>
      <c r="AO412" s="527">
        <f t="shared" si="595"/>
        <v>183534.18219728919</v>
      </c>
      <c r="AP412" s="527">
        <f t="shared" si="595"/>
        <v>183534.18219728916</v>
      </c>
      <c r="AQ412" s="527">
        <f t="shared" si="595"/>
        <v>183534.18219728916</v>
      </c>
      <c r="AR412" s="527">
        <f t="shared" si="595"/>
        <v>183534.18219728916</v>
      </c>
      <c r="AS412" s="527">
        <f t="shared" si="595"/>
        <v>183534.18219728916</v>
      </c>
      <c r="AT412" s="527">
        <f t="shared" si="595"/>
        <v>183534.18219728916</v>
      </c>
      <c r="AU412" s="527">
        <f t="shared" si="595"/>
        <v>183534.18219728916</v>
      </c>
      <c r="AV412" s="527">
        <f t="shared" si="595"/>
        <v>190875.54948518073</v>
      </c>
      <c r="AW412" s="527">
        <f t="shared" si="595"/>
        <v>190875.54948518073</v>
      </c>
      <c r="AX412" s="527">
        <f t="shared" ref="AX412:BY412" si="596">AX246+AX254+AX262+AX270+AX290+AX298+AX306+AX314+AX338+AX346+AX358+AX366+AX374+AX382+AX394+AX402</f>
        <v>190875.54948518073</v>
      </c>
      <c r="AY412" s="527">
        <f t="shared" si="596"/>
        <v>190875.54948518073</v>
      </c>
      <c r="AZ412" s="527">
        <f t="shared" si="596"/>
        <v>190875.54948518073</v>
      </c>
      <c r="BA412" s="527">
        <f t="shared" si="596"/>
        <v>190875.54948518073</v>
      </c>
      <c r="BB412" s="527">
        <f t="shared" si="596"/>
        <v>190875.5494851807</v>
      </c>
      <c r="BC412" s="527">
        <f t="shared" si="596"/>
        <v>190875.5494851807</v>
      </c>
      <c r="BD412" s="527">
        <f t="shared" si="596"/>
        <v>190875.5494851807</v>
      </c>
      <c r="BE412" s="527">
        <f t="shared" si="596"/>
        <v>190875.5494851807</v>
      </c>
      <c r="BF412" s="527">
        <f t="shared" si="596"/>
        <v>190875.5494851807</v>
      </c>
      <c r="BG412" s="527">
        <f t="shared" si="596"/>
        <v>190875.5494851807</v>
      </c>
      <c r="BH412" s="527">
        <f t="shared" si="596"/>
        <v>198510.57146458788</v>
      </c>
      <c r="BI412" s="527">
        <f t="shared" si="596"/>
        <v>198510.57146458788</v>
      </c>
      <c r="BJ412" s="527">
        <f t="shared" si="596"/>
        <v>198510.57146458788</v>
      </c>
      <c r="BK412" s="527">
        <f t="shared" si="596"/>
        <v>198510.57146458788</v>
      </c>
      <c r="BL412" s="527">
        <f t="shared" si="596"/>
        <v>198510.57146458788</v>
      </c>
      <c r="BM412" s="527">
        <f t="shared" si="596"/>
        <v>198510.57146458788</v>
      </c>
      <c r="BN412" s="527">
        <f t="shared" si="596"/>
        <v>198510.57146458791</v>
      </c>
      <c r="BO412" s="527">
        <f t="shared" si="596"/>
        <v>198510.57146458791</v>
      </c>
      <c r="BP412" s="527">
        <f t="shared" si="596"/>
        <v>198510.57146458791</v>
      </c>
      <c r="BQ412" s="527">
        <f t="shared" si="596"/>
        <v>198510.57146458791</v>
      </c>
      <c r="BR412" s="527">
        <f t="shared" si="596"/>
        <v>198510.57146458791</v>
      </c>
      <c r="BS412" s="527">
        <f t="shared" si="596"/>
        <v>198510.57146458791</v>
      </c>
      <c r="BT412" s="527">
        <f t="shared" si="596"/>
        <v>206450.99432317147</v>
      </c>
      <c r="BU412" s="527">
        <f t="shared" si="596"/>
        <v>206450.99432317147</v>
      </c>
      <c r="BV412" s="527">
        <f t="shared" si="596"/>
        <v>206450.99432317147</v>
      </c>
      <c r="BW412" s="527">
        <f t="shared" si="596"/>
        <v>206450.99432317147</v>
      </c>
      <c r="BX412" s="527">
        <f t="shared" si="596"/>
        <v>206450.99432317147</v>
      </c>
      <c r="BY412" s="527">
        <f t="shared" si="596"/>
        <v>206450.99432317147</v>
      </c>
    </row>
    <row r="413" spans="1:77" x14ac:dyDescent="0.3">
      <c r="A413" s="551"/>
      <c r="B413" s="548"/>
      <c r="C413" s="525"/>
      <c r="D413" s="525"/>
      <c r="E413" s="641" t="str">
        <f>"Implied EBITDA: "&amp;E$156</f>
        <v>Implied EBITDA: FY28 Tranche</v>
      </c>
      <c r="F413" s="525"/>
      <c r="G413" s="525"/>
      <c r="H413" s="525"/>
      <c r="I413" s="525"/>
      <c r="J413" s="525"/>
      <c r="K413" s="525"/>
      <c r="L413" s="525"/>
      <c r="M413" s="525"/>
      <c r="N413" s="525"/>
      <c r="O413" s="525"/>
      <c r="P413" s="565"/>
      <c r="Q413" s="525"/>
      <c r="R413" s="527">
        <f t="shared" ref="R413:AW413" si="597">R247+R255+R263+R271+R291+R299+R307+R315+R339+R347+R359+R367+R375+R383+R395+R403</f>
        <v>150714.85087905423</v>
      </c>
      <c r="S413" s="527">
        <f t="shared" si="597"/>
        <v>150714.85087905423</v>
      </c>
      <c r="T413" s="527">
        <f t="shared" si="597"/>
        <v>150714.85087905423</v>
      </c>
      <c r="U413" s="527">
        <f t="shared" si="597"/>
        <v>150714.85087905423</v>
      </c>
      <c r="V413" s="527">
        <f t="shared" si="597"/>
        <v>150714.85087905423</v>
      </c>
      <c r="W413" s="527">
        <f t="shared" si="597"/>
        <v>150714.85087905423</v>
      </c>
      <c r="X413" s="527">
        <f t="shared" si="597"/>
        <v>150714.85087905423</v>
      </c>
      <c r="Y413" s="527">
        <f t="shared" si="597"/>
        <v>150714.85087905423</v>
      </c>
      <c r="Z413" s="527">
        <f t="shared" si="597"/>
        <v>150714.85087905423</v>
      </c>
      <c r="AA413" s="527">
        <f t="shared" si="597"/>
        <v>150714.85087905423</v>
      </c>
      <c r="AB413" s="527">
        <f t="shared" si="597"/>
        <v>150714.85087905423</v>
      </c>
      <c r="AC413" s="527">
        <f t="shared" si="597"/>
        <v>150714.85087905423</v>
      </c>
      <c r="AD413" s="527">
        <f t="shared" si="597"/>
        <v>156768.40012497245</v>
      </c>
      <c r="AE413" s="527">
        <f t="shared" si="597"/>
        <v>156768.40012497245</v>
      </c>
      <c r="AF413" s="527">
        <f t="shared" si="597"/>
        <v>156768.40012497245</v>
      </c>
      <c r="AG413" s="527">
        <f t="shared" si="597"/>
        <v>156768.40012497245</v>
      </c>
      <c r="AH413" s="527">
        <f t="shared" si="597"/>
        <v>156768.40012497245</v>
      </c>
      <c r="AI413" s="527">
        <f t="shared" si="597"/>
        <v>156768.40012497245</v>
      </c>
      <c r="AJ413" s="527">
        <f t="shared" si="597"/>
        <v>183148.25508997089</v>
      </c>
      <c r="AK413" s="527">
        <f t="shared" si="597"/>
        <v>183148.25508997089</v>
      </c>
      <c r="AL413" s="527">
        <f t="shared" si="597"/>
        <v>183148.25508997089</v>
      </c>
      <c r="AM413" s="527">
        <f t="shared" si="597"/>
        <v>183148.25508997089</v>
      </c>
      <c r="AN413" s="527">
        <f t="shared" si="597"/>
        <v>183148.25508997089</v>
      </c>
      <c r="AO413" s="527">
        <f t="shared" si="597"/>
        <v>183148.25508997089</v>
      </c>
      <c r="AP413" s="527">
        <f t="shared" si="597"/>
        <v>183148.2550899708</v>
      </c>
      <c r="AQ413" s="527">
        <f t="shared" si="597"/>
        <v>183148.2550899708</v>
      </c>
      <c r="AR413" s="527">
        <f t="shared" si="597"/>
        <v>183148.2550899708</v>
      </c>
      <c r="AS413" s="527">
        <f t="shared" si="597"/>
        <v>183148.2550899708</v>
      </c>
      <c r="AT413" s="527">
        <f t="shared" si="597"/>
        <v>183148.2550899708</v>
      </c>
      <c r="AU413" s="527">
        <f t="shared" si="597"/>
        <v>183148.2550899708</v>
      </c>
      <c r="AV413" s="527">
        <f t="shared" si="597"/>
        <v>190474.18529356967</v>
      </c>
      <c r="AW413" s="527">
        <f t="shared" si="597"/>
        <v>190474.18529356967</v>
      </c>
      <c r="AX413" s="527">
        <f t="shared" ref="AX413:BY413" si="598">AX247+AX255+AX263+AX271+AX291+AX299+AX307+AX315+AX339+AX347+AX359+AX367+AX375+AX383+AX395+AX403</f>
        <v>190474.18529356967</v>
      </c>
      <c r="AY413" s="527">
        <f t="shared" si="598"/>
        <v>190474.18529356967</v>
      </c>
      <c r="AZ413" s="527">
        <f t="shared" si="598"/>
        <v>190474.18529356967</v>
      </c>
      <c r="BA413" s="527">
        <f t="shared" si="598"/>
        <v>190474.18529356967</v>
      </c>
      <c r="BB413" s="527">
        <f t="shared" si="598"/>
        <v>190474.18529356964</v>
      </c>
      <c r="BC413" s="527">
        <f t="shared" si="598"/>
        <v>190474.18529356964</v>
      </c>
      <c r="BD413" s="527">
        <f t="shared" si="598"/>
        <v>190474.18529356964</v>
      </c>
      <c r="BE413" s="527">
        <f t="shared" si="598"/>
        <v>190474.18529356964</v>
      </c>
      <c r="BF413" s="527">
        <f t="shared" si="598"/>
        <v>190474.18529356964</v>
      </c>
      <c r="BG413" s="527">
        <f t="shared" si="598"/>
        <v>190474.18529356964</v>
      </c>
      <c r="BH413" s="527">
        <f t="shared" si="598"/>
        <v>198093.15270531242</v>
      </c>
      <c r="BI413" s="527">
        <f t="shared" si="598"/>
        <v>198093.15270531242</v>
      </c>
      <c r="BJ413" s="527">
        <f t="shared" si="598"/>
        <v>198093.15270531242</v>
      </c>
      <c r="BK413" s="527">
        <f t="shared" si="598"/>
        <v>198093.15270531242</v>
      </c>
      <c r="BL413" s="527">
        <f t="shared" si="598"/>
        <v>198093.15270531242</v>
      </c>
      <c r="BM413" s="527">
        <f t="shared" si="598"/>
        <v>198093.15270531242</v>
      </c>
      <c r="BN413" s="527">
        <f t="shared" si="598"/>
        <v>198093.15270531244</v>
      </c>
      <c r="BO413" s="527">
        <f t="shared" si="598"/>
        <v>198093.15270531244</v>
      </c>
      <c r="BP413" s="527">
        <f t="shared" si="598"/>
        <v>198093.15270531244</v>
      </c>
      <c r="BQ413" s="527">
        <f t="shared" si="598"/>
        <v>198093.15270531244</v>
      </c>
      <c r="BR413" s="527">
        <f t="shared" si="598"/>
        <v>198093.15270531244</v>
      </c>
      <c r="BS413" s="527">
        <f t="shared" si="598"/>
        <v>198093.15270531244</v>
      </c>
      <c r="BT413" s="527">
        <f t="shared" si="598"/>
        <v>206016.87881352493</v>
      </c>
      <c r="BU413" s="527">
        <f t="shared" si="598"/>
        <v>206016.87881352493</v>
      </c>
      <c r="BV413" s="527">
        <f t="shared" si="598"/>
        <v>206016.87881352493</v>
      </c>
      <c r="BW413" s="527">
        <f t="shared" si="598"/>
        <v>206016.87881352493</v>
      </c>
      <c r="BX413" s="527">
        <f t="shared" si="598"/>
        <v>206016.87881352493</v>
      </c>
      <c r="BY413" s="527">
        <f t="shared" si="598"/>
        <v>206016.87881352493</v>
      </c>
    </row>
    <row r="414" spans="1:77" x14ac:dyDescent="0.3">
      <c r="A414" s="551"/>
      <c r="B414" s="548"/>
      <c r="C414" s="525"/>
      <c r="D414" s="525"/>
      <c r="E414" s="641" t="str">
        <f>"Implied EBITDA: "&amp;E$157</f>
        <v>Implied EBITDA: FY29 Tranche</v>
      </c>
      <c r="F414" s="525"/>
      <c r="G414" s="525"/>
      <c r="H414" s="525"/>
      <c r="I414" s="525"/>
      <c r="J414" s="525"/>
      <c r="K414" s="525"/>
      <c r="L414" s="525"/>
      <c r="M414" s="525"/>
      <c r="N414" s="525"/>
      <c r="O414" s="525"/>
      <c r="P414" s="565"/>
      <c r="Q414" s="525"/>
      <c r="R414" s="527">
        <f t="shared" ref="R414:AW414" si="599">R248+R256+R264+R272+R292+R300+R308+R316+R340+R348+R360+R368+R376+R384+R396+R404</f>
        <v>150714.85087905423</v>
      </c>
      <c r="S414" s="527">
        <f t="shared" si="599"/>
        <v>150714.85087905423</v>
      </c>
      <c r="T414" s="527">
        <f t="shared" si="599"/>
        <v>150714.85087905423</v>
      </c>
      <c r="U414" s="527">
        <f t="shared" si="599"/>
        <v>150714.85087905423</v>
      </c>
      <c r="V414" s="527">
        <f t="shared" si="599"/>
        <v>150714.85087905423</v>
      </c>
      <c r="W414" s="527">
        <f t="shared" si="599"/>
        <v>150714.85087905423</v>
      </c>
      <c r="X414" s="527">
        <f t="shared" si="599"/>
        <v>150714.85087905423</v>
      </c>
      <c r="Y414" s="527">
        <f t="shared" si="599"/>
        <v>150714.85087905423</v>
      </c>
      <c r="Z414" s="527">
        <f t="shared" si="599"/>
        <v>150714.85087905423</v>
      </c>
      <c r="AA414" s="527">
        <f t="shared" si="599"/>
        <v>150714.85087905423</v>
      </c>
      <c r="AB414" s="527">
        <f t="shared" si="599"/>
        <v>150714.85087905423</v>
      </c>
      <c r="AC414" s="527">
        <f t="shared" si="599"/>
        <v>150714.85087905423</v>
      </c>
      <c r="AD414" s="527">
        <f t="shared" si="599"/>
        <v>156768.40012497245</v>
      </c>
      <c r="AE414" s="527">
        <f t="shared" si="599"/>
        <v>156768.40012497245</v>
      </c>
      <c r="AF414" s="527">
        <f t="shared" si="599"/>
        <v>156768.40012497245</v>
      </c>
      <c r="AG414" s="527">
        <f t="shared" si="599"/>
        <v>156768.40012497245</v>
      </c>
      <c r="AH414" s="527">
        <f t="shared" si="599"/>
        <v>156768.40012497245</v>
      </c>
      <c r="AI414" s="527">
        <f t="shared" si="599"/>
        <v>156768.40012497245</v>
      </c>
      <c r="AJ414" s="527">
        <f t="shared" si="599"/>
        <v>156768.40012497245</v>
      </c>
      <c r="AK414" s="527">
        <f t="shared" si="599"/>
        <v>156768.40012497245</v>
      </c>
      <c r="AL414" s="527">
        <f t="shared" si="599"/>
        <v>156768.40012497245</v>
      </c>
      <c r="AM414" s="527">
        <f t="shared" si="599"/>
        <v>156768.40012497245</v>
      </c>
      <c r="AN414" s="527">
        <f t="shared" si="599"/>
        <v>156768.40012497245</v>
      </c>
      <c r="AO414" s="527">
        <f t="shared" si="599"/>
        <v>156768.40012497245</v>
      </c>
      <c r="AP414" s="527">
        <f t="shared" si="599"/>
        <v>162771.87877882706</v>
      </c>
      <c r="AQ414" s="527">
        <f t="shared" si="599"/>
        <v>162771.87877882706</v>
      </c>
      <c r="AR414" s="527">
        <f t="shared" si="599"/>
        <v>162771.87877882706</v>
      </c>
      <c r="AS414" s="527">
        <f t="shared" si="599"/>
        <v>162771.87877882706</v>
      </c>
      <c r="AT414" s="527">
        <f t="shared" si="599"/>
        <v>162771.87877882706</v>
      </c>
      <c r="AU414" s="527">
        <f t="shared" si="599"/>
        <v>162771.87877882706</v>
      </c>
      <c r="AV414" s="527">
        <f t="shared" si="599"/>
        <v>189744.07804213892</v>
      </c>
      <c r="AW414" s="527">
        <f t="shared" si="599"/>
        <v>189744.07804213892</v>
      </c>
      <c r="AX414" s="527">
        <f t="shared" ref="AX414:BY414" si="600">AX248+AX256+AX264+AX272+AX292+AX300+AX308+AX316+AX340+AX348+AX360+AX368+AX376+AX384+AX396+AX404</f>
        <v>189744.07804213892</v>
      </c>
      <c r="AY414" s="527">
        <f t="shared" si="600"/>
        <v>189744.07804213892</v>
      </c>
      <c r="AZ414" s="527">
        <f t="shared" si="600"/>
        <v>189744.07804213892</v>
      </c>
      <c r="BA414" s="527">
        <f t="shared" si="600"/>
        <v>189744.07804213892</v>
      </c>
      <c r="BB414" s="527">
        <f t="shared" si="600"/>
        <v>189744.07804213895</v>
      </c>
      <c r="BC414" s="527">
        <f t="shared" si="600"/>
        <v>189744.07804213895</v>
      </c>
      <c r="BD414" s="527">
        <f t="shared" si="600"/>
        <v>189744.07804213895</v>
      </c>
      <c r="BE414" s="527">
        <f t="shared" si="600"/>
        <v>189744.07804213895</v>
      </c>
      <c r="BF414" s="527">
        <f t="shared" si="600"/>
        <v>189744.07804213895</v>
      </c>
      <c r="BG414" s="527">
        <f t="shared" si="600"/>
        <v>189744.07804213895</v>
      </c>
      <c r="BH414" s="527">
        <f t="shared" si="600"/>
        <v>197333.84116382449</v>
      </c>
      <c r="BI414" s="527">
        <f t="shared" si="600"/>
        <v>197333.84116382449</v>
      </c>
      <c r="BJ414" s="527">
        <f t="shared" si="600"/>
        <v>197333.84116382449</v>
      </c>
      <c r="BK414" s="527">
        <f t="shared" si="600"/>
        <v>197333.84116382449</v>
      </c>
      <c r="BL414" s="527">
        <f t="shared" si="600"/>
        <v>197333.84116382449</v>
      </c>
      <c r="BM414" s="527">
        <f t="shared" si="600"/>
        <v>197333.84116382449</v>
      </c>
      <c r="BN414" s="527">
        <f t="shared" si="600"/>
        <v>197333.84116382452</v>
      </c>
      <c r="BO414" s="527">
        <f t="shared" si="600"/>
        <v>197333.84116382452</v>
      </c>
      <c r="BP414" s="527">
        <f t="shared" si="600"/>
        <v>197333.84116382452</v>
      </c>
      <c r="BQ414" s="527">
        <f t="shared" si="600"/>
        <v>197333.84116382452</v>
      </c>
      <c r="BR414" s="527">
        <f t="shared" si="600"/>
        <v>197333.84116382452</v>
      </c>
      <c r="BS414" s="527">
        <f t="shared" si="600"/>
        <v>197333.84116382452</v>
      </c>
      <c r="BT414" s="527">
        <f t="shared" si="600"/>
        <v>205227.19481037746</v>
      </c>
      <c r="BU414" s="527">
        <f t="shared" si="600"/>
        <v>205227.19481037746</v>
      </c>
      <c r="BV414" s="527">
        <f t="shared" si="600"/>
        <v>205227.19481037746</v>
      </c>
      <c r="BW414" s="527">
        <f t="shared" si="600"/>
        <v>205227.19481037746</v>
      </c>
      <c r="BX414" s="527">
        <f t="shared" si="600"/>
        <v>205227.19481037746</v>
      </c>
      <c r="BY414" s="527">
        <f t="shared" si="600"/>
        <v>205227.19481037746</v>
      </c>
    </row>
    <row r="415" spans="1:77" x14ac:dyDescent="0.3">
      <c r="A415" s="551"/>
      <c r="B415" s="548"/>
      <c r="C415" s="525"/>
      <c r="D415" s="525"/>
      <c r="E415" s="641" t="str">
        <f>"Implied EBITDA: "&amp;E$158</f>
        <v>Implied EBITDA: FY30 Tranche</v>
      </c>
      <c r="F415" s="525"/>
      <c r="G415" s="525"/>
      <c r="H415" s="525"/>
      <c r="I415" s="525"/>
      <c r="J415" s="525"/>
      <c r="K415" s="525"/>
      <c r="L415" s="525"/>
      <c r="M415" s="525"/>
      <c r="N415" s="525"/>
      <c r="O415" s="525"/>
      <c r="P415" s="565"/>
      <c r="Q415" s="525"/>
      <c r="R415" s="527">
        <f t="shared" ref="R415:AW415" si="601">R249+R257+R265+R273+R293+R301+R309+R317+R341+R349+R361+R369+R377+R385+R397+R405</f>
        <v>150714.85087905423</v>
      </c>
      <c r="S415" s="527">
        <f t="shared" si="601"/>
        <v>150714.85087905423</v>
      </c>
      <c r="T415" s="527">
        <f t="shared" si="601"/>
        <v>150714.85087905423</v>
      </c>
      <c r="U415" s="527">
        <f t="shared" si="601"/>
        <v>150714.85087905423</v>
      </c>
      <c r="V415" s="527">
        <f t="shared" si="601"/>
        <v>150714.85087905423</v>
      </c>
      <c r="W415" s="527">
        <f t="shared" si="601"/>
        <v>150714.85087905423</v>
      </c>
      <c r="X415" s="527">
        <f t="shared" si="601"/>
        <v>150714.85087905423</v>
      </c>
      <c r="Y415" s="527">
        <f t="shared" si="601"/>
        <v>150714.85087905423</v>
      </c>
      <c r="Z415" s="527">
        <f t="shared" si="601"/>
        <v>150714.85087905423</v>
      </c>
      <c r="AA415" s="527">
        <f t="shared" si="601"/>
        <v>150714.85087905423</v>
      </c>
      <c r="AB415" s="527">
        <f t="shared" si="601"/>
        <v>150714.85087905423</v>
      </c>
      <c r="AC415" s="527">
        <f t="shared" si="601"/>
        <v>150714.85087905423</v>
      </c>
      <c r="AD415" s="527">
        <f t="shared" si="601"/>
        <v>156768.40012497245</v>
      </c>
      <c r="AE415" s="527">
        <f t="shared" si="601"/>
        <v>156768.40012497245</v>
      </c>
      <c r="AF415" s="527">
        <f t="shared" si="601"/>
        <v>156768.40012497245</v>
      </c>
      <c r="AG415" s="527">
        <f t="shared" si="601"/>
        <v>156768.40012497245</v>
      </c>
      <c r="AH415" s="527">
        <f t="shared" si="601"/>
        <v>156768.40012497245</v>
      </c>
      <c r="AI415" s="527">
        <f t="shared" si="601"/>
        <v>156768.40012497245</v>
      </c>
      <c r="AJ415" s="527">
        <f t="shared" si="601"/>
        <v>156768.40012497245</v>
      </c>
      <c r="AK415" s="527">
        <f t="shared" si="601"/>
        <v>156768.40012497245</v>
      </c>
      <c r="AL415" s="527">
        <f t="shared" si="601"/>
        <v>156768.40012497245</v>
      </c>
      <c r="AM415" s="527">
        <f t="shared" si="601"/>
        <v>156768.40012497245</v>
      </c>
      <c r="AN415" s="527">
        <f t="shared" si="601"/>
        <v>156768.40012497245</v>
      </c>
      <c r="AO415" s="527">
        <f t="shared" si="601"/>
        <v>156768.40012497245</v>
      </c>
      <c r="AP415" s="527">
        <f t="shared" si="601"/>
        <v>162771.87877882706</v>
      </c>
      <c r="AQ415" s="527">
        <f t="shared" si="601"/>
        <v>162771.87877882706</v>
      </c>
      <c r="AR415" s="527">
        <f t="shared" si="601"/>
        <v>162771.87877882706</v>
      </c>
      <c r="AS415" s="527">
        <f t="shared" si="601"/>
        <v>162771.87877882706</v>
      </c>
      <c r="AT415" s="527">
        <f t="shared" si="601"/>
        <v>162771.87877882706</v>
      </c>
      <c r="AU415" s="527">
        <f t="shared" si="601"/>
        <v>162771.87877882706</v>
      </c>
      <c r="AV415" s="527">
        <f t="shared" si="601"/>
        <v>162771.87877882706</v>
      </c>
      <c r="AW415" s="527">
        <f t="shared" si="601"/>
        <v>162771.87877882706</v>
      </c>
      <c r="AX415" s="527">
        <f t="shared" ref="AX415:BY415" si="602">AX249+AX257+AX265+AX273+AX293+AX301+AX309+AX317+AX341+AX349+AX361+AX369+AX377+AX385+AX397+AX405</f>
        <v>162771.87877882706</v>
      </c>
      <c r="AY415" s="527">
        <f t="shared" si="602"/>
        <v>162771.87877882706</v>
      </c>
      <c r="AZ415" s="527">
        <f t="shared" si="602"/>
        <v>162771.87877882706</v>
      </c>
      <c r="BA415" s="527">
        <f t="shared" si="602"/>
        <v>162771.87877882706</v>
      </c>
      <c r="BB415" s="527">
        <f t="shared" si="602"/>
        <v>168536.62213709793</v>
      </c>
      <c r="BC415" s="527">
        <f t="shared" si="602"/>
        <v>168536.62213709793</v>
      </c>
      <c r="BD415" s="527">
        <f t="shared" si="602"/>
        <v>168536.62213709793</v>
      </c>
      <c r="BE415" s="527">
        <f t="shared" si="602"/>
        <v>168536.62213709793</v>
      </c>
      <c r="BF415" s="527">
        <f t="shared" si="602"/>
        <v>168536.62213709793</v>
      </c>
      <c r="BG415" s="527">
        <f t="shared" si="602"/>
        <v>168536.62213709793</v>
      </c>
      <c r="BH415" s="527">
        <f t="shared" si="602"/>
        <v>196066.54252372321</v>
      </c>
      <c r="BI415" s="527">
        <f t="shared" si="602"/>
        <v>196066.54252372321</v>
      </c>
      <c r="BJ415" s="527">
        <f t="shared" si="602"/>
        <v>196066.54252372321</v>
      </c>
      <c r="BK415" s="527">
        <f t="shared" si="602"/>
        <v>196066.54252372321</v>
      </c>
      <c r="BL415" s="527">
        <f t="shared" si="602"/>
        <v>196066.54252372321</v>
      </c>
      <c r="BM415" s="527">
        <f t="shared" si="602"/>
        <v>196066.54252372321</v>
      </c>
      <c r="BN415" s="527">
        <f t="shared" si="602"/>
        <v>196066.54252372318</v>
      </c>
      <c r="BO415" s="527">
        <f t="shared" si="602"/>
        <v>196066.54252372318</v>
      </c>
      <c r="BP415" s="527">
        <f t="shared" si="602"/>
        <v>196066.54252372318</v>
      </c>
      <c r="BQ415" s="527">
        <f t="shared" si="602"/>
        <v>196066.54252372318</v>
      </c>
      <c r="BR415" s="527">
        <f t="shared" si="602"/>
        <v>196066.54252372318</v>
      </c>
      <c r="BS415" s="527">
        <f t="shared" si="602"/>
        <v>196066.54252372318</v>
      </c>
      <c r="BT415" s="527">
        <f t="shared" si="602"/>
        <v>203909.20422467208</v>
      </c>
      <c r="BU415" s="527">
        <f t="shared" si="602"/>
        <v>203909.20422467208</v>
      </c>
      <c r="BV415" s="527">
        <f t="shared" si="602"/>
        <v>203909.20422467208</v>
      </c>
      <c r="BW415" s="527">
        <f t="shared" si="602"/>
        <v>203909.20422467208</v>
      </c>
      <c r="BX415" s="527">
        <f t="shared" si="602"/>
        <v>203909.20422467208</v>
      </c>
      <c r="BY415" s="527">
        <f t="shared" si="602"/>
        <v>203909.20422467208</v>
      </c>
    </row>
    <row r="416" spans="1:77" x14ac:dyDescent="0.3">
      <c r="A416" s="551"/>
      <c r="B416" s="548"/>
      <c r="C416" s="525"/>
      <c r="D416" s="525"/>
      <c r="E416" s="641" t="str">
        <f>"Implied EBITDA: "&amp;E$159</f>
        <v>Implied EBITDA: FY31 Tranche</v>
      </c>
      <c r="F416" s="525"/>
      <c r="G416" s="525"/>
      <c r="H416" s="525"/>
      <c r="I416" s="525"/>
      <c r="J416" s="525"/>
      <c r="K416" s="525"/>
      <c r="L416" s="525"/>
      <c r="M416" s="525"/>
      <c r="N416" s="525"/>
      <c r="O416" s="525"/>
      <c r="P416" s="565"/>
      <c r="Q416" s="525"/>
      <c r="R416" s="527">
        <f t="shared" ref="R416:AW416" si="603">R250+R258+R266+R274+R294+R302+R310+R318+R342+R350+R362+R370+R378+R386+R398+R406</f>
        <v>150714.85087905423</v>
      </c>
      <c r="S416" s="527">
        <f t="shared" si="603"/>
        <v>150714.85087905423</v>
      </c>
      <c r="T416" s="527">
        <f t="shared" si="603"/>
        <v>150714.85087905423</v>
      </c>
      <c r="U416" s="527">
        <f t="shared" si="603"/>
        <v>150714.85087905423</v>
      </c>
      <c r="V416" s="527">
        <f t="shared" si="603"/>
        <v>150714.85087905423</v>
      </c>
      <c r="W416" s="527">
        <f t="shared" si="603"/>
        <v>150714.85087905423</v>
      </c>
      <c r="X416" s="527">
        <f t="shared" si="603"/>
        <v>150714.85087905423</v>
      </c>
      <c r="Y416" s="527">
        <f t="shared" si="603"/>
        <v>150714.85087905423</v>
      </c>
      <c r="Z416" s="527">
        <f t="shared" si="603"/>
        <v>150714.85087905423</v>
      </c>
      <c r="AA416" s="527">
        <f t="shared" si="603"/>
        <v>150714.85087905423</v>
      </c>
      <c r="AB416" s="527">
        <f t="shared" si="603"/>
        <v>150714.85087905423</v>
      </c>
      <c r="AC416" s="527">
        <f t="shared" si="603"/>
        <v>150714.85087905423</v>
      </c>
      <c r="AD416" s="527">
        <f t="shared" si="603"/>
        <v>156768.40012497245</v>
      </c>
      <c r="AE416" s="527">
        <f t="shared" si="603"/>
        <v>156768.40012497245</v>
      </c>
      <c r="AF416" s="527">
        <f t="shared" si="603"/>
        <v>156768.40012497245</v>
      </c>
      <c r="AG416" s="527">
        <f t="shared" si="603"/>
        <v>156768.40012497245</v>
      </c>
      <c r="AH416" s="527">
        <f t="shared" si="603"/>
        <v>156768.40012497245</v>
      </c>
      <c r="AI416" s="527">
        <f t="shared" si="603"/>
        <v>156768.40012497245</v>
      </c>
      <c r="AJ416" s="527">
        <f t="shared" si="603"/>
        <v>156768.40012497245</v>
      </c>
      <c r="AK416" s="527">
        <f t="shared" si="603"/>
        <v>156768.40012497245</v>
      </c>
      <c r="AL416" s="527">
        <f t="shared" si="603"/>
        <v>156768.40012497245</v>
      </c>
      <c r="AM416" s="527">
        <f t="shared" si="603"/>
        <v>156768.40012497245</v>
      </c>
      <c r="AN416" s="527">
        <f t="shared" si="603"/>
        <v>156768.40012497245</v>
      </c>
      <c r="AO416" s="527">
        <f t="shared" si="603"/>
        <v>156768.40012497245</v>
      </c>
      <c r="AP416" s="527">
        <f t="shared" si="603"/>
        <v>162771.87877882706</v>
      </c>
      <c r="AQ416" s="527">
        <f t="shared" si="603"/>
        <v>162771.87877882706</v>
      </c>
      <c r="AR416" s="527">
        <f t="shared" si="603"/>
        <v>162771.87877882706</v>
      </c>
      <c r="AS416" s="527">
        <f t="shared" si="603"/>
        <v>162771.87877882706</v>
      </c>
      <c r="AT416" s="527">
        <f t="shared" si="603"/>
        <v>162771.87877882706</v>
      </c>
      <c r="AU416" s="527">
        <f t="shared" si="603"/>
        <v>162771.87877882706</v>
      </c>
      <c r="AV416" s="527">
        <f t="shared" si="603"/>
        <v>162771.87877882706</v>
      </c>
      <c r="AW416" s="527">
        <f t="shared" si="603"/>
        <v>162771.87877882706</v>
      </c>
      <c r="AX416" s="527">
        <f t="shared" ref="AX416:BY416" si="604">AX250+AX258+AX266+AX274+AX294+AX302+AX310+AX318+AX342+AX350+AX362+AX370+AX378+AX386+AX398+AX406</f>
        <v>162771.87877882706</v>
      </c>
      <c r="AY416" s="527">
        <f t="shared" si="604"/>
        <v>162771.87877882706</v>
      </c>
      <c r="AZ416" s="527">
        <f t="shared" si="604"/>
        <v>162771.87877882706</v>
      </c>
      <c r="BA416" s="527">
        <f t="shared" si="604"/>
        <v>162771.87877882706</v>
      </c>
      <c r="BB416" s="527">
        <f t="shared" si="604"/>
        <v>168536.62213709793</v>
      </c>
      <c r="BC416" s="527">
        <f t="shared" si="604"/>
        <v>168536.62213709793</v>
      </c>
      <c r="BD416" s="527">
        <f t="shared" si="604"/>
        <v>168536.62213709793</v>
      </c>
      <c r="BE416" s="527">
        <f t="shared" si="604"/>
        <v>168536.62213709793</v>
      </c>
      <c r="BF416" s="527">
        <f t="shared" si="604"/>
        <v>168536.62213709793</v>
      </c>
      <c r="BG416" s="527">
        <f t="shared" si="604"/>
        <v>168536.62213709793</v>
      </c>
      <c r="BH416" s="527">
        <f t="shared" si="604"/>
        <v>168536.62213709793</v>
      </c>
      <c r="BI416" s="527">
        <f t="shared" si="604"/>
        <v>168536.62213709793</v>
      </c>
      <c r="BJ416" s="527">
        <f t="shared" si="604"/>
        <v>168536.62213709793</v>
      </c>
      <c r="BK416" s="527">
        <f t="shared" si="604"/>
        <v>168536.62213709793</v>
      </c>
      <c r="BL416" s="527">
        <f t="shared" si="604"/>
        <v>168536.62213709793</v>
      </c>
      <c r="BM416" s="527">
        <f t="shared" si="604"/>
        <v>168536.62213709793</v>
      </c>
      <c r="BN416" s="527">
        <f t="shared" si="604"/>
        <v>174363.8263165348</v>
      </c>
      <c r="BO416" s="527">
        <f t="shared" si="604"/>
        <v>174363.8263165348</v>
      </c>
      <c r="BP416" s="527">
        <f t="shared" si="604"/>
        <v>174363.8263165348</v>
      </c>
      <c r="BQ416" s="527">
        <f t="shared" si="604"/>
        <v>174363.8263165348</v>
      </c>
      <c r="BR416" s="527">
        <f t="shared" si="604"/>
        <v>174363.8263165348</v>
      </c>
      <c r="BS416" s="527">
        <f t="shared" si="604"/>
        <v>174363.8263165348</v>
      </c>
      <c r="BT416" s="527">
        <f t="shared" si="604"/>
        <v>202431.01999747768</v>
      </c>
      <c r="BU416" s="527">
        <f t="shared" si="604"/>
        <v>202431.01999747768</v>
      </c>
      <c r="BV416" s="527">
        <f t="shared" si="604"/>
        <v>202431.01999747768</v>
      </c>
      <c r="BW416" s="527">
        <f t="shared" si="604"/>
        <v>202431.01999747768</v>
      </c>
      <c r="BX416" s="527">
        <f t="shared" si="604"/>
        <v>202431.01999747768</v>
      </c>
      <c r="BY416" s="527">
        <f t="shared" si="604"/>
        <v>202431.01999747768</v>
      </c>
    </row>
    <row r="417" spans="1:77" x14ac:dyDescent="0.3">
      <c r="A417" s="551"/>
      <c r="B417" s="548"/>
      <c r="C417" s="525"/>
      <c r="D417" s="525"/>
      <c r="E417" s="641" t="str">
        <f>"Implied EBITDA: "&amp;E$160</f>
        <v>Implied EBITDA: Uninvested Tranche</v>
      </c>
      <c r="F417" s="525"/>
      <c r="G417" s="525"/>
      <c r="H417" s="525"/>
      <c r="I417" s="525"/>
      <c r="J417" s="525"/>
      <c r="K417" s="525"/>
      <c r="L417" s="525"/>
      <c r="M417" s="525"/>
      <c r="N417" s="525"/>
      <c r="O417" s="525"/>
      <c r="P417" s="565"/>
      <c r="Q417" s="525"/>
      <c r="R417" s="527">
        <f t="shared" ref="R417:AW417" si="605">R251+R259+R267+R275+R295+R303+R311+R319+R343+R351+R363+R371+R379+R387+R399+R407</f>
        <v>336892.01961200353</v>
      </c>
      <c r="S417" s="527">
        <f t="shared" si="605"/>
        <v>336892.01961200353</v>
      </c>
      <c r="T417" s="527">
        <f t="shared" si="605"/>
        <v>336892.01961200353</v>
      </c>
      <c r="U417" s="527">
        <f t="shared" si="605"/>
        <v>336892.01961200353</v>
      </c>
      <c r="V417" s="527">
        <f t="shared" si="605"/>
        <v>336892.01961200353</v>
      </c>
      <c r="W417" s="527">
        <f t="shared" si="605"/>
        <v>336892.01961200353</v>
      </c>
      <c r="X417" s="527">
        <f t="shared" si="605"/>
        <v>336892.01961200353</v>
      </c>
      <c r="Y417" s="527">
        <f t="shared" si="605"/>
        <v>336892.01961200353</v>
      </c>
      <c r="Z417" s="527">
        <f t="shared" si="605"/>
        <v>336892.01961200353</v>
      </c>
      <c r="AA417" s="527">
        <f t="shared" si="605"/>
        <v>336892.01961200353</v>
      </c>
      <c r="AB417" s="527">
        <f t="shared" si="605"/>
        <v>336892.01961200353</v>
      </c>
      <c r="AC417" s="527">
        <f t="shared" si="605"/>
        <v>336892.01961200353</v>
      </c>
      <c r="AD417" s="527">
        <f t="shared" si="605"/>
        <v>350423.48263229139</v>
      </c>
      <c r="AE417" s="527">
        <f t="shared" si="605"/>
        <v>350423.48263229139</v>
      </c>
      <c r="AF417" s="527">
        <f t="shared" si="605"/>
        <v>350423.48263229139</v>
      </c>
      <c r="AG417" s="527">
        <f t="shared" si="605"/>
        <v>350423.48263229139</v>
      </c>
      <c r="AH417" s="527">
        <f t="shared" si="605"/>
        <v>350423.48263229139</v>
      </c>
      <c r="AI417" s="527">
        <f t="shared" si="605"/>
        <v>350423.48263229139</v>
      </c>
      <c r="AJ417" s="527">
        <f t="shared" si="605"/>
        <v>350423.48263229139</v>
      </c>
      <c r="AK417" s="527">
        <f t="shared" si="605"/>
        <v>350423.48263229139</v>
      </c>
      <c r="AL417" s="527">
        <f t="shared" si="605"/>
        <v>350423.48263229139</v>
      </c>
      <c r="AM417" s="527">
        <f t="shared" si="605"/>
        <v>350423.48263229139</v>
      </c>
      <c r="AN417" s="527">
        <f t="shared" si="605"/>
        <v>350423.48263229139</v>
      </c>
      <c r="AO417" s="527">
        <f t="shared" si="605"/>
        <v>350423.48263229139</v>
      </c>
      <c r="AP417" s="527">
        <f t="shared" si="605"/>
        <v>363843.02315267234</v>
      </c>
      <c r="AQ417" s="527">
        <f t="shared" si="605"/>
        <v>363843.02315267234</v>
      </c>
      <c r="AR417" s="527">
        <f t="shared" si="605"/>
        <v>363843.02315267234</v>
      </c>
      <c r="AS417" s="527">
        <f t="shared" si="605"/>
        <v>363843.02315267234</v>
      </c>
      <c r="AT417" s="527">
        <f t="shared" si="605"/>
        <v>363843.02315267234</v>
      </c>
      <c r="AU417" s="527">
        <f t="shared" si="605"/>
        <v>363843.02315267234</v>
      </c>
      <c r="AV417" s="527">
        <f t="shared" si="605"/>
        <v>363843.02315267234</v>
      </c>
      <c r="AW417" s="527">
        <f t="shared" si="605"/>
        <v>363843.02315267234</v>
      </c>
      <c r="AX417" s="527">
        <f t="shared" ref="AX417:BY417" si="606">AX251+AX259+AX267+AX275+AX295+AX303+AX311+AX319+AX343+AX351+AX363+AX371+AX379+AX387+AX399+AX407</f>
        <v>363843.02315267234</v>
      </c>
      <c r="AY417" s="527">
        <f t="shared" si="606"/>
        <v>363843.02315267234</v>
      </c>
      <c r="AZ417" s="527">
        <f t="shared" si="606"/>
        <v>363843.02315267234</v>
      </c>
      <c r="BA417" s="527">
        <f t="shared" si="606"/>
        <v>363843.02315267234</v>
      </c>
      <c r="BB417" s="527">
        <f t="shared" si="606"/>
        <v>376728.92007116019</v>
      </c>
      <c r="BC417" s="527">
        <f t="shared" si="606"/>
        <v>376728.92007116019</v>
      </c>
      <c r="BD417" s="527">
        <f t="shared" si="606"/>
        <v>376728.92007116019</v>
      </c>
      <c r="BE417" s="527">
        <f t="shared" si="606"/>
        <v>376728.92007116019</v>
      </c>
      <c r="BF417" s="527">
        <f t="shared" si="606"/>
        <v>376728.92007116019</v>
      </c>
      <c r="BG417" s="527">
        <f t="shared" si="606"/>
        <v>376728.92007116019</v>
      </c>
      <c r="BH417" s="527">
        <f t="shared" si="606"/>
        <v>376728.92007116019</v>
      </c>
      <c r="BI417" s="527">
        <f t="shared" si="606"/>
        <v>376728.92007116019</v>
      </c>
      <c r="BJ417" s="527">
        <f t="shared" si="606"/>
        <v>376728.92007116019</v>
      </c>
      <c r="BK417" s="527">
        <f t="shared" si="606"/>
        <v>376728.92007116019</v>
      </c>
      <c r="BL417" s="527">
        <f t="shared" si="606"/>
        <v>376728.92007116019</v>
      </c>
      <c r="BM417" s="527">
        <f t="shared" si="606"/>
        <v>376728.92007116019</v>
      </c>
      <c r="BN417" s="527">
        <f t="shared" si="606"/>
        <v>389754.43529578362</v>
      </c>
      <c r="BO417" s="527">
        <f t="shared" si="606"/>
        <v>389754.43529578362</v>
      </c>
      <c r="BP417" s="527">
        <f t="shared" si="606"/>
        <v>389754.43529578362</v>
      </c>
      <c r="BQ417" s="527">
        <f t="shared" si="606"/>
        <v>389754.43529578362</v>
      </c>
      <c r="BR417" s="527">
        <f t="shared" si="606"/>
        <v>389754.43529578362</v>
      </c>
      <c r="BS417" s="527">
        <f t="shared" si="606"/>
        <v>389754.43529578362</v>
      </c>
      <c r="BT417" s="527">
        <f t="shared" si="606"/>
        <v>389754.43529578362</v>
      </c>
      <c r="BU417" s="527">
        <f t="shared" si="606"/>
        <v>389754.43529578362</v>
      </c>
      <c r="BV417" s="527">
        <f t="shared" si="606"/>
        <v>389754.43529578362</v>
      </c>
      <c r="BW417" s="527">
        <f t="shared" si="606"/>
        <v>389754.43529578362</v>
      </c>
      <c r="BX417" s="527">
        <f t="shared" si="606"/>
        <v>389754.43529578362</v>
      </c>
      <c r="BY417" s="527">
        <f t="shared" si="606"/>
        <v>389754.43529578362</v>
      </c>
    </row>
    <row r="418" spans="1:77" x14ac:dyDescent="0.3">
      <c r="A418" s="551"/>
      <c r="B418" s="548"/>
      <c r="C418" s="525"/>
      <c r="D418" s="525"/>
      <c r="E418" s="572" t="s">
        <v>36</v>
      </c>
      <c r="F418" s="572"/>
      <c r="G418" s="572"/>
      <c r="H418" s="572"/>
      <c r="I418" s="572"/>
      <c r="J418" s="572"/>
      <c r="K418" s="572"/>
      <c r="L418" s="572"/>
      <c r="M418" s="572"/>
      <c r="N418" s="572"/>
      <c r="O418" s="572"/>
      <c r="P418" s="612"/>
      <c r="Q418" s="572"/>
      <c r="R418" s="530">
        <f t="shared" ref="R418:AW418" si="607">SUM(R412:R417)</f>
        <v>1090466.2740072748</v>
      </c>
      <c r="S418" s="530">
        <f t="shared" si="607"/>
        <v>1090466.2740072748</v>
      </c>
      <c r="T418" s="530">
        <f t="shared" si="607"/>
        <v>1090466.2740072748</v>
      </c>
      <c r="U418" s="530">
        <f t="shared" si="607"/>
        <v>1090466.2740072748</v>
      </c>
      <c r="V418" s="530">
        <f t="shared" si="607"/>
        <v>1090466.2740072748</v>
      </c>
      <c r="W418" s="530">
        <f t="shared" si="607"/>
        <v>1090466.2740072748</v>
      </c>
      <c r="X418" s="530">
        <f t="shared" si="607"/>
        <v>1116226.5983179216</v>
      </c>
      <c r="Y418" s="530">
        <f t="shared" si="607"/>
        <v>1116226.5983179216</v>
      </c>
      <c r="Z418" s="530">
        <f t="shared" si="607"/>
        <v>1116226.5983179216</v>
      </c>
      <c r="AA418" s="530">
        <f t="shared" si="607"/>
        <v>1116226.5983179216</v>
      </c>
      <c r="AB418" s="530">
        <f t="shared" si="607"/>
        <v>1116226.5983179216</v>
      </c>
      <c r="AC418" s="530">
        <f t="shared" si="607"/>
        <v>1116226.5983179216</v>
      </c>
      <c r="AD418" s="530">
        <f t="shared" si="607"/>
        <v>1153972.2583218822</v>
      </c>
      <c r="AE418" s="530">
        <f t="shared" si="607"/>
        <v>1153972.2583218822</v>
      </c>
      <c r="AF418" s="530">
        <f t="shared" si="607"/>
        <v>1153972.2583218822</v>
      </c>
      <c r="AG418" s="530">
        <f t="shared" si="607"/>
        <v>1153972.2583218822</v>
      </c>
      <c r="AH418" s="530">
        <f t="shared" si="607"/>
        <v>1153972.2583218822</v>
      </c>
      <c r="AI418" s="530">
        <f t="shared" si="607"/>
        <v>1153972.2583218822</v>
      </c>
      <c r="AJ418" s="530">
        <f t="shared" si="607"/>
        <v>1187411.1202944689</v>
      </c>
      <c r="AK418" s="530">
        <f t="shared" si="607"/>
        <v>1187411.1202944689</v>
      </c>
      <c r="AL418" s="530">
        <f t="shared" si="607"/>
        <v>1187411.1202944689</v>
      </c>
      <c r="AM418" s="530">
        <f t="shared" si="607"/>
        <v>1187411.1202944689</v>
      </c>
      <c r="AN418" s="530">
        <f t="shared" si="607"/>
        <v>1187411.1202944689</v>
      </c>
      <c r="AO418" s="530">
        <f t="shared" si="607"/>
        <v>1187411.1202944689</v>
      </c>
      <c r="AP418" s="530">
        <f t="shared" si="607"/>
        <v>1218841.0967764133</v>
      </c>
      <c r="AQ418" s="530">
        <f t="shared" si="607"/>
        <v>1218841.0967764133</v>
      </c>
      <c r="AR418" s="530">
        <f t="shared" si="607"/>
        <v>1218841.0967764133</v>
      </c>
      <c r="AS418" s="530">
        <f t="shared" si="607"/>
        <v>1218841.0967764133</v>
      </c>
      <c r="AT418" s="530">
        <f t="shared" si="607"/>
        <v>1218841.0967764133</v>
      </c>
      <c r="AU418" s="530">
        <f t="shared" si="607"/>
        <v>1218841.0967764133</v>
      </c>
      <c r="AV418" s="530">
        <f t="shared" si="607"/>
        <v>1260480.5935312156</v>
      </c>
      <c r="AW418" s="530">
        <f t="shared" si="607"/>
        <v>1260480.5935312156</v>
      </c>
      <c r="AX418" s="530">
        <f t="shared" ref="AX418:BY418" si="608">SUM(AX412:AX417)</f>
        <v>1260480.5935312156</v>
      </c>
      <c r="AY418" s="530">
        <f t="shared" si="608"/>
        <v>1260480.5935312156</v>
      </c>
      <c r="AZ418" s="530">
        <f t="shared" si="608"/>
        <v>1260480.5935312156</v>
      </c>
      <c r="BA418" s="530">
        <f t="shared" si="608"/>
        <v>1260480.5935312156</v>
      </c>
      <c r="BB418" s="530">
        <f t="shared" si="608"/>
        <v>1284895.9771662452</v>
      </c>
      <c r="BC418" s="530">
        <f t="shared" si="608"/>
        <v>1284895.9771662452</v>
      </c>
      <c r="BD418" s="530">
        <f t="shared" si="608"/>
        <v>1284895.9771662452</v>
      </c>
      <c r="BE418" s="530">
        <f t="shared" si="608"/>
        <v>1284895.9771662452</v>
      </c>
      <c r="BF418" s="530">
        <f t="shared" si="608"/>
        <v>1284895.9771662452</v>
      </c>
      <c r="BG418" s="530">
        <f t="shared" si="608"/>
        <v>1284895.9771662452</v>
      </c>
      <c r="BH418" s="530">
        <f t="shared" si="608"/>
        <v>1335269.6500657061</v>
      </c>
      <c r="BI418" s="530">
        <f t="shared" si="608"/>
        <v>1335269.6500657061</v>
      </c>
      <c r="BJ418" s="530">
        <f t="shared" si="608"/>
        <v>1335269.6500657061</v>
      </c>
      <c r="BK418" s="530">
        <f t="shared" si="608"/>
        <v>1335269.6500657061</v>
      </c>
      <c r="BL418" s="530">
        <f t="shared" si="608"/>
        <v>1335269.6500657061</v>
      </c>
      <c r="BM418" s="530">
        <f t="shared" si="608"/>
        <v>1335269.6500657061</v>
      </c>
      <c r="BN418" s="530">
        <f t="shared" si="608"/>
        <v>1354122.3694697665</v>
      </c>
      <c r="BO418" s="530">
        <f t="shared" si="608"/>
        <v>1354122.3694697665</v>
      </c>
      <c r="BP418" s="530">
        <f t="shared" si="608"/>
        <v>1354122.3694697665</v>
      </c>
      <c r="BQ418" s="530">
        <f t="shared" si="608"/>
        <v>1354122.3694697665</v>
      </c>
      <c r="BR418" s="530">
        <f t="shared" si="608"/>
        <v>1354122.3694697665</v>
      </c>
      <c r="BS418" s="530">
        <f t="shared" si="608"/>
        <v>1354122.3694697665</v>
      </c>
      <c r="BT418" s="530">
        <f t="shared" si="608"/>
        <v>1413789.7274650072</v>
      </c>
      <c r="BU418" s="530">
        <f t="shared" si="608"/>
        <v>1413789.7274650072</v>
      </c>
      <c r="BV418" s="530">
        <f t="shared" si="608"/>
        <v>1413789.7274650072</v>
      </c>
      <c r="BW418" s="530">
        <f t="shared" si="608"/>
        <v>1413789.7274650072</v>
      </c>
      <c r="BX418" s="530">
        <f t="shared" si="608"/>
        <v>1413789.7274650072</v>
      </c>
      <c r="BY418" s="530">
        <f t="shared" si="608"/>
        <v>1413789.7274650072</v>
      </c>
    </row>
    <row r="419" spans="1:77" x14ac:dyDescent="0.3">
      <c r="A419" s="551"/>
      <c r="B419" s="548"/>
      <c r="C419" s="525"/>
      <c r="D419" s="525"/>
      <c r="E419" s="525"/>
      <c r="F419" s="525"/>
      <c r="G419" s="525"/>
      <c r="H419" s="525"/>
      <c r="I419" s="525"/>
      <c r="J419" s="525"/>
      <c r="K419" s="525"/>
      <c r="L419" s="525"/>
      <c r="M419" s="525"/>
      <c r="N419" s="525"/>
      <c r="O419" s="525"/>
      <c r="P419" s="565"/>
      <c r="Q419" s="525"/>
      <c r="R419" s="525"/>
      <c r="S419" s="525"/>
      <c r="T419" s="525"/>
      <c r="U419" s="525"/>
      <c r="V419" s="525"/>
      <c r="W419" s="525"/>
      <c r="X419" s="525"/>
      <c r="Y419" s="525"/>
      <c r="Z419" s="525"/>
      <c r="AA419" s="525"/>
      <c r="AB419" s="525"/>
      <c r="AC419" s="525"/>
      <c r="AD419" s="525"/>
      <c r="AE419" s="525"/>
      <c r="AF419" s="525"/>
      <c r="AG419" s="525"/>
      <c r="AH419" s="525"/>
      <c r="AI419" s="525"/>
      <c r="AJ419" s="525"/>
      <c r="AK419" s="525"/>
      <c r="AL419" s="525"/>
      <c r="AM419" s="525"/>
      <c r="AN419" s="525"/>
      <c r="AO419" s="525"/>
      <c r="AP419" s="525"/>
      <c r="AQ419" s="525"/>
      <c r="AR419" s="525"/>
      <c r="AS419" s="525"/>
      <c r="AT419" s="525"/>
      <c r="AU419" s="525"/>
      <c r="AV419" s="525"/>
      <c r="AW419" s="525"/>
      <c r="AX419" s="525"/>
      <c r="AY419" s="525"/>
      <c r="AZ419" s="525"/>
      <c r="BA419" s="525"/>
      <c r="BB419" s="525"/>
      <c r="BC419" s="525"/>
      <c r="BD419" s="525"/>
      <c r="BE419" s="525"/>
      <c r="BF419" s="525"/>
      <c r="BG419" s="525"/>
      <c r="BH419" s="525"/>
      <c r="BI419" s="525"/>
      <c r="BJ419" s="525"/>
      <c r="BK419" s="525"/>
      <c r="BL419" s="525"/>
      <c r="BM419" s="525"/>
      <c r="BN419" s="525"/>
      <c r="BO419" s="525"/>
      <c r="BP419" s="525"/>
      <c r="BQ419" s="525"/>
      <c r="BR419" s="525"/>
      <c r="BS419" s="525"/>
      <c r="BT419" s="525"/>
      <c r="BU419" s="525"/>
      <c r="BV419" s="525"/>
      <c r="BW419" s="525"/>
      <c r="BX419" s="525"/>
      <c r="BY419" s="525"/>
    </row>
    <row r="420" spans="1:77" x14ac:dyDescent="0.3">
      <c r="A420" s="551"/>
      <c r="B420" s="548"/>
      <c r="C420" s="525"/>
      <c r="D420" s="525"/>
      <c r="E420" s="642" t="str">
        <f>"EBITDA uplift: "&amp;E$155</f>
        <v>EBITDA uplift: FY27 Tranche</v>
      </c>
      <c r="F420" s="525"/>
      <c r="G420" s="525"/>
      <c r="H420" s="525"/>
      <c r="I420" s="525"/>
      <c r="J420" s="525"/>
      <c r="K420" s="525"/>
      <c r="L420" s="525"/>
      <c r="M420" s="525"/>
      <c r="N420" s="525"/>
      <c r="O420" s="525"/>
      <c r="P420" s="565"/>
      <c r="Q420" s="525"/>
      <c r="R420" s="643">
        <f t="shared" ref="R420:R425" si="609">IFERROR((INDEX(R412:BY412,MATCH(EOMONTH(V155,1),$R$4:$BY$4,0))/(INDEX(R412:BY412,MATCH(T155,$R$4:$BY$4,0))))-1,"n/a")</f>
        <v>0.17092094216593834</v>
      </c>
      <c r="S420" s="525"/>
      <c r="T420" s="525"/>
      <c r="U420" s="525"/>
      <c r="V420" s="525"/>
      <c r="W420" s="525"/>
      <c r="X420" s="525"/>
      <c r="Y420" s="525"/>
      <c r="Z420" s="525"/>
      <c r="AA420" s="525"/>
      <c r="AB420" s="525"/>
      <c r="AC420" s="525"/>
      <c r="AD420" s="525"/>
      <c r="AE420" s="525"/>
      <c r="AF420" s="525"/>
      <c r="AG420" s="525"/>
      <c r="AH420" s="525"/>
      <c r="AI420" s="525"/>
      <c r="AJ420" s="525"/>
      <c r="AK420" s="525"/>
      <c r="AL420" s="525"/>
      <c r="AM420" s="525"/>
      <c r="AN420" s="525"/>
      <c r="AO420" s="525"/>
      <c r="AP420" s="525"/>
      <c r="AQ420" s="525"/>
      <c r="AR420" s="525"/>
      <c r="AS420" s="525"/>
      <c r="AT420" s="525"/>
      <c r="AU420" s="525"/>
      <c r="AV420" s="525"/>
      <c r="AW420" s="525"/>
      <c r="AX420" s="525"/>
      <c r="AY420" s="525"/>
      <c r="AZ420" s="525"/>
      <c r="BA420" s="525"/>
      <c r="BB420" s="525"/>
      <c r="BC420" s="525"/>
      <c r="BD420" s="525"/>
      <c r="BE420" s="525"/>
      <c r="BF420" s="525"/>
      <c r="BG420" s="525"/>
      <c r="BH420" s="525"/>
      <c r="BI420" s="525"/>
      <c r="BJ420" s="525"/>
      <c r="BK420" s="525"/>
      <c r="BL420" s="525"/>
      <c r="BM420" s="525"/>
      <c r="BN420" s="525"/>
      <c r="BO420" s="525"/>
      <c r="BP420" s="525"/>
      <c r="BQ420" s="525"/>
      <c r="BR420" s="525"/>
      <c r="BS420" s="525"/>
      <c r="BT420" s="525"/>
      <c r="BU420" s="525"/>
      <c r="BV420" s="525"/>
      <c r="BW420" s="525"/>
      <c r="BX420" s="525"/>
      <c r="BY420" s="525"/>
    </row>
    <row r="421" spans="1:77" x14ac:dyDescent="0.3">
      <c r="A421" s="551"/>
      <c r="B421" s="548"/>
      <c r="C421" s="525"/>
      <c r="D421" s="525"/>
      <c r="E421" s="642" t="str">
        <f>"EBITDA uplift: "&amp;E$156</f>
        <v>EBITDA uplift: FY28 Tranche</v>
      </c>
      <c r="F421" s="525"/>
      <c r="G421" s="525"/>
      <c r="H421" s="525"/>
      <c r="I421" s="525"/>
      <c r="J421" s="525"/>
      <c r="K421" s="525"/>
      <c r="L421" s="525"/>
      <c r="M421" s="525"/>
      <c r="N421" s="525"/>
      <c r="O421" s="525"/>
      <c r="P421" s="565"/>
      <c r="Q421" s="525"/>
      <c r="R421" s="643">
        <f t="shared" si="609"/>
        <v>0.16827278293309722</v>
      </c>
      <c r="S421" s="525"/>
      <c r="T421" s="525"/>
      <c r="U421" s="525"/>
      <c r="V421" s="525"/>
      <c r="W421" s="525"/>
      <c r="X421" s="525"/>
      <c r="Y421" s="525"/>
      <c r="Z421" s="525"/>
      <c r="AA421" s="525"/>
      <c r="AB421" s="525"/>
      <c r="AC421" s="525"/>
      <c r="AD421" s="525"/>
      <c r="AE421" s="525"/>
      <c r="AF421" s="525"/>
      <c r="AG421" s="525"/>
      <c r="AH421" s="525"/>
      <c r="AI421" s="525"/>
      <c r="AJ421" s="525"/>
      <c r="AK421" s="525"/>
      <c r="AL421" s="525"/>
      <c r="AM421" s="525"/>
      <c r="AN421" s="525"/>
      <c r="AO421" s="525"/>
      <c r="AP421" s="525"/>
      <c r="AQ421" s="525"/>
      <c r="AR421" s="525"/>
      <c r="AS421" s="525"/>
      <c r="AT421" s="525"/>
      <c r="AU421" s="525"/>
      <c r="AV421" s="525"/>
      <c r="AW421" s="525"/>
      <c r="AX421" s="525"/>
      <c r="AY421" s="525"/>
      <c r="AZ421" s="525"/>
      <c r="BA421" s="525"/>
      <c r="BB421" s="525"/>
      <c r="BC421" s="525"/>
      <c r="BD421" s="525"/>
      <c r="BE421" s="525"/>
      <c r="BF421" s="525"/>
      <c r="BG421" s="525"/>
      <c r="BH421" s="525"/>
      <c r="BI421" s="525"/>
      <c r="BJ421" s="525"/>
      <c r="BK421" s="525"/>
      <c r="BL421" s="525"/>
      <c r="BM421" s="525"/>
      <c r="BN421" s="525"/>
      <c r="BO421" s="525"/>
      <c r="BP421" s="525"/>
      <c r="BQ421" s="525"/>
      <c r="BR421" s="525"/>
      <c r="BS421" s="525"/>
      <c r="BT421" s="525"/>
      <c r="BU421" s="525"/>
      <c r="BV421" s="525"/>
      <c r="BW421" s="525"/>
      <c r="BX421" s="525"/>
      <c r="BY421" s="525"/>
    </row>
    <row r="422" spans="1:77" x14ac:dyDescent="0.3">
      <c r="A422" s="551"/>
      <c r="B422" s="548"/>
      <c r="C422" s="525"/>
      <c r="D422" s="525"/>
      <c r="E422" s="642" t="str">
        <f>"EBITDA uplift: "&amp;E$157</f>
        <v>EBITDA uplift: FY29 Tranche</v>
      </c>
      <c r="F422" s="525"/>
      <c r="G422" s="525"/>
      <c r="H422" s="525"/>
      <c r="I422" s="525"/>
      <c r="J422" s="525"/>
      <c r="K422" s="525"/>
      <c r="L422" s="525"/>
      <c r="M422" s="525"/>
      <c r="N422" s="525"/>
      <c r="O422" s="525"/>
      <c r="P422" s="565"/>
      <c r="Q422" s="525"/>
      <c r="R422" s="643">
        <f t="shared" si="609"/>
        <v>0.16570552275778194</v>
      </c>
      <c r="S422" s="525"/>
      <c r="T422" s="525"/>
      <c r="U422" s="525"/>
      <c r="V422" s="525"/>
      <c r="W422" s="525"/>
      <c r="X422" s="525"/>
      <c r="Y422" s="525"/>
      <c r="Z422" s="525"/>
      <c r="AA422" s="525"/>
      <c r="AB422" s="525"/>
      <c r="AC422" s="525"/>
      <c r="AD422" s="525"/>
      <c r="AE422" s="525"/>
      <c r="AF422" s="525"/>
      <c r="AG422" s="525"/>
      <c r="AH422" s="525"/>
      <c r="AI422" s="525"/>
      <c r="AJ422" s="525"/>
      <c r="AK422" s="525"/>
      <c r="AL422" s="525"/>
      <c r="AM422" s="525"/>
      <c r="AN422" s="525"/>
      <c r="AO422" s="525"/>
      <c r="AP422" s="525"/>
      <c r="AQ422" s="525"/>
      <c r="AR422" s="525"/>
      <c r="AS422" s="525"/>
      <c r="AT422" s="525"/>
      <c r="AU422" s="525"/>
      <c r="AV422" s="525"/>
      <c r="AW422" s="525"/>
      <c r="AX422" s="525"/>
      <c r="AY422" s="525"/>
      <c r="AZ422" s="525"/>
      <c r="BA422" s="525"/>
      <c r="BB422" s="525"/>
      <c r="BC422" s="525"/>
      <c r="BD422" s="525"/>
      <c r="BE422" s="525"/>
      <c r="BF422" s="525"/>
      <c r="BG422" s="525"/>
      <c r="BH422" s="525"/>
      <c r="BI422" s="525"/>
      <c r="BJ422" s="525"/>
      <c r="BK422" s="525"/>
      <c r="BL422" s="525"/>
      <c r="BM422" s="525"/>
      <c r="BN422" s="525"/>
      <c r="BO422" s="525"/>
      <c r="BP422" s="525"/>
      <c r="BQ422" s="525"/>
      <c r="BR422" s="525"/>
      <c r="BS422" s="525"/>
      <c r="BT422" s="525"/>
      <c r="BU422" s="525"/>
      <c r="BV422" s="525"/>
      <c r="BW422" s="525"/>
      <c r="BX422" s="525"/>
      <c r="BY422" s="525"/>
    </row>
    <row r="423" spans="1:77" x14ac:dyDescent="0.3">
      <c r="A423" s="551"/>
      <c r="B423" s="548"/>
      <c r="C423" s="525"/>
      <c r="D423" s="525"/>
      <c r="E423" s="642" t="str">
        <f>"EBITDA uplift: "&amp;E$158</f>
        <v>EBITDA uplift: FY30 Tranche</v>
      </c>
      <c r="F423" s="525"/>
      <c r="G423" s="525"/>
      <c r="H423" s="525"/>
      <c r="I423" s="525"/>
      <c r="J423" s="525"/>
      <c r="K423" s="525"/>
      <c r="L423" s="525"/>
      <c r="M423" s="525"/>
      <c r="N423" s="525"/>
      <c r="O423" s="525"/>
      <c r="P423" s="565"/>
      <c r="Q423" s="525"/>
      <c r="R423" s="643">
        <f t="shared" si="609"/>
        <v>0.16334681470138146</v>
      </c>
      <c r="S423" s="525"/>
      <c r="T423" s="525"/>
      <c r="U423" s="525"/>
      <c r="V423" s="525"/>
      <c r="W423" s="525"/>
      <c r="X423" s="525"/>
      <c r="Y423" s="525"/>
      <c r="Z423" s="525"/>
      <c r="AA423" s="525"/>
      <c r="AB423" s="525"/>
      <c r="AC423" s="525"/>
      <c r="AD423" s="525"/>
      <c r="AE423" s="525"/>
      <c r="AF423" s="525"/>
      <c r="AG423" s="525"/>
      <c r="AH423" s="525"/>
      <c r="AI423" s="525"/>
      <c r="AJ423" s="525"/>
      <c r="AK423" s="525"/>
      <c r="AL423" s="525"/>
      <c r="AM423" s="525"/>
      <c r="AN423" s="525"/>
      <c r="AO423" s="525"/>
      <c r="AP423" s="525"/>
      <c r="AQ423" s="525"/>
      <c r="AR423" s="525"/>
      <c r="AS423" s="525"/>
      <c r="AT423" s="525"/>
      <c r="AU423" s="525"/>
      <c r="AV423" s="525"/>
      <c r="AW423" s="525"/>
      <c r="AX423" s="525"/>
      <c r="AY423" s="525"/>
      <c r="AZ423" s="525"/>
      <c r="BA423" s="525"/>
      <c r="BB423" s="525"/>
      <c r="BC423" s="525"/>
      <c r="BD423" s="525"/>
      <c r="BE423" s="525"/>
      <c r="BF423" s="525"/>
      <c r="BG423" s="525"/>
      <c r="BH423" s="525"/>
      <c r="BI423" s="525"/>
      <c r="BJ423" s="525"/>
      <c r="BK423" s="525"/>
      <c r="BL423" s="525"/>
      <c r="BM423" s="525"/>
      <c r="BN423" s="525"/>
      <c r="BO423" s="525"/>
      <c r="BP423" s="525"/>
      <c r="BQ423" s="525"/>
      <c r="BR423" s="525"/>
      <c r="BS423" s="525"/>
      <c r="BT423" s="525"/>
      <c r="BU423" s="525"/>
      <c r="BV423" s="525"/>
      <c r="BW423" s="525"/>
      <c r="BX423" s="525"/>
      <c r="BY423" s="525"/>
    </row>
    <row r="424" spans="1:77" x14ac:dyDescent="0.3">
      <c r="A424" s="551"/>
      <c r="B424" s="548"/>
      <c r="C424" s="525"/>
      <c r="D424" s="525"/>
      <c r="E424" s="642" t="str">
        <f>"EBITDA uplift: "&amp;E$159</f>
        <v>EBITDA uplift: FY31 Tranche</v>
      </c>
      <c r="F424" s="525"/>
      <c r="G424" s="525"/>
      <c r="H424" s="525"/>
      <c r="I424" s="525"/>
      <c r="J424" s="525"/>
      <c r="K424" s="525"/>
      <c r="L424" s="525"/>
      <c r="M424" s="525"/>
      <c r="N424" s="525"/>
      <c r="O424" s="525"/>
      <c r="P424" s="565"/>
      <c r="Q424" s="525"/>
      <c r="R424" s="643">
        <f t="shared" si="609"/>
        <v>0.16096913146417502</v>
      </c>
      <c r="S424" s="525"/>
      <c r="T424" s="525"/>
      <c r="U424" s="525"/>
      <c r="V424" s="525"/>
      <c r="W424" s="525"/>
      <c r="X424" s="525"/>
      <c r="Y424" s="525"/>
      <c r="Z424" s="525"/>
      <c r="AA424" s="525"/>
      <c r="AB424" s="525"/>
      <c r="AC424" s="525"/>
      <c r="AD424" s="525"/>
      <c r="AE424" s="525"/>
      <c r="AF424" s="525"/>
      <c r="AG424" s="525"/>
      <c r="AH424" s="525"/>
      <c r="AI424" s="525"/>
      <c r="AJ424" s="525"/>
      <c r="AK424" s="525"/>
      <c r="AL424" s="525"/>
      <c r="AM424" s="525"/>
      <c r="AN424" s="525"/>
      <c r="AO424" s="525"/>
      <c r="AP424" s="525"/>
      <c r="AQ424" s="525"/>
      <c r="AR424" s="525"/>
      <c r="AS424" s="525"/>
      <c r="AT424" s="525"/>
      <c r="AU424" s="525"/>
      <c r="AV424" s="525"/>
      <c r="AW424" s="525"/>
      <c r="AX424" s="525"/>
      <c r="AY424" s="525"/>
      <c r="AZ424" s="525"/>
      <c r="BA424" s="525"/>
      <c r="BB424" s="525"/>
      <c r="BC424" s="525"/>
      <c r="BD424" s="525"/>
      <c r="BE424" s="525"/>
      <c r="BF424" s="525"/>
      <c r="BG424" s="525"/>
      <c r="BH424" s="525"/>
      <c r="BI424" s="525"/>
      <c r="BJ424" s="525"/>
      <c r="BK424" s="525"/>
      <c r="BL424" s="525"/>
      <c r="BM424" s="525"/>
      <c r="BN424" s="525"/>
      <c r="BO424" s="525"/>
      <c r="BP424" s="525"/>
      <c r="BQ424" s="525"/>
      <c r="BR424" s="525"/>
      <c r="BS424" s="525"/>
      <c r="BT424" s="525"/>
      <c r="BU424" s="525"/>
      <c r="BV424" s="525"/>
      <c r="BW424" s="525"/>
      <c r="BX424" s="525"/>
      <c r="BY424" s="525"/>
    </row>
    <row r="425" spans="1:77" x14ac:dyDescent="0.3">
      <c r="A425" s="551"/>
      <c r="B425" s="548"/>
      <c r="C425" s="525"/>
      <c r="D425" s="525"/>
      <c r="E425" s="642" t="str">
        <f>"EBITDA uplift: "&amp;E$160</f>
        <v>EBITDA uplift: Uninvested Tranche</v>
      </c>
      <c r="F425" s="525"/>
      <c r="G425" s="525"/>
      <c r="H425" s="525"/>
      <c r="I425" s="525"/>
      <c r="J425" s="525"/>
      <c r="K425" s="525"/>
      <c r="L425" s="525"/>
      <c r="M425" s="525"/>
      <c r="N425" s="525"/>
      <c r="O425" s="525"/>
      <c r="P425" s="565"/>
      <c r="Q425" s="525"/>
      <c r="R425" s="644" t="str">
        <f t="shared" si="609"/>
        <v>n/a</v>
      </c>
      <c r="S425" s="525"/>
      <c r="T425" s="525"/>
      <c r="U425" s="525"/>
      <c r="V425" s="525"/>
      <c r="W425" s="525"/>
      <c r="X425" s="525"/>
      <c r="Y425" s="525"/>
      <c r="Z425" s="525"/>
      <c r="AA425" s="525"/>
      <c r="AB425" s="525"/>
      <c r="AC425" s="525"/>
      <c r="AD425" s="525"/>
      <c r="AE425" s="525"/>
      <c r="AF425" s="525"/>
      <c r="AG425" s="525"/>
      <c r="AH425" s="525"/>
      <c r="AI425" s="525"/>
      <c r="AJ425" s="525"/>
      <c r="AK425" s="525"/>
      <c r="AL425" s="525"/>
      <c r="AM425" s="525"/>
      <c r="AN425" s="525"/>
      <c r="AO425" s="525"/>
      <c r="AP425" s="525"/>
      <c r="AQ425" s="525"/>
      <c r="AR425" s="525"/>
      <c r="AS425" s="525"/>
      <c r="AT425" s="525"/>
      <c r="AU425" s="525"/>
      <c r="AV425" s="525"/>
      <c r="AW425" s="525"/>
      <c r="AX425" s="525"/>
      <c r="AY425" s="525"/>
      <c r="AZ425" s="525"/>
      <c r="BA425" s="525"/>
      <c r="BB425" s="525"/>
      <c r="BC425" s="525"/>
      <c r="BD425" s="525"/>
      <c r="BE425" s="525"/>
      <c r="BF425" s="525"/>
      <c r="BG425" s="525"/>
      <c r="BH425" s="525"/>
      <c r="BI425" s="525"/>
      <c r="BJ425" s="525"/>
      <c r="BK425" s="525"/>
      <c r="BL425" s="525"/>
      <c r="BM425" s="525"/>
      <c r="BN425" s="525"/>
      <c r="BO425" s="525"/>
      <c r="BP425" s="525"/>
      <c r="BQ425" s="525"/>
      <c r="BR425" s="525"/>
      <c r="BS425" s="525"/>
      <c r="BT425" s="525"/>
      <c r="BU425" s="525"/>
      <c r="BV425" s="525"/>
      <c r="BW425" s="525"/>
      <c r="BX425" s="525"/>
      <c r="BY425" s="525"/>
    </row>
    <row r="426" spans="1:77" x14ac:dyDescent="0.3">
      <c r="A426" s="551"/>
      <c r="B426" s="548"/>
      <c r="C426" s="525"/>
      <c r="D426" s="525"/>
      <c r="E426" s="525"/>
      <c r="F426" s="525"/>
      <c r="G426" s="525"/>
      <c r="H426" s="525"/>
      <c r="I426" s="525"/>
      <c r="J426" s="525"/>
      <c r="K426" s="525"/>
      <c r="L426" s="525"/>
      <c r="M426" s="525"/>
      <c r="N426" s="525"/>
      <c r="O426" s="525"/>
      <c r="P426" s="565"/>
      <c r="Q426" s="525"/>
      <c r="R426" s="525"/>
      <c r="S426" s="525"/>
      <c r="T426" s="525"/>
      <c r="U426" s="525"/>
      <c r="V426" s="525"/>
      <c r="W426" s="525"/>
      <c r="X426" s="525"/>
      <c r="Y426" s="525"/>
      <c r="Z426" s="525"/>
      <c r="AA426" s="525"/>
      <c r="AB426" s="525"/>
      <c r="AC426" s="525"/>
      <c r="AD426" s="525"/>
      <c r="AE426" s="525"/>
      <c r="AF426" s="525"/>
      <c r="AG426" s="525"/>
      <c r="AH426" s="525"/>
      <c r="AI426" s="525"/>
      <c r="AJ426" s="525"/>
      <c r="AK426" s="525"/>
      <c r="AL426" s="525"/>
      <c r="AM426" s="525"/>
      <c r="AN426" s="525"/>
      <c r="AO426" s="525"/>
      <c r="AP426" s="525"/>
      <c r="AQ426" s="525"/>
      <c r="AR426" s="525"/>
      <c r="AS426" s="525"/>
      <c r="AT426" s="525"/>
      <c r="AU426" s="525"/>
      <c r="AV426" s="525"/>
      <c r="AW426" s="525"/>
      <c r="AX426" s="525"/>
      <c r="AY426" s="525"/>
      <c r="AZ426" s="525"/>
      <c r="BA426" s="525"/>
      <c r="BB426" s="525"/>
      <c r="BC426" s="525"/>
      <c r="BD426" s="525"/>
      <c r="BE426" s="525"/>
      <c r="BF426" s="525"/>
      <c r="BG426" s="525"/>
      <c r="BH426" s="525"/>
      <c r="BI426" s="525"/>
      <c r="BJ426" s="525"/>
      <c r="BK426" s="525"/>
      <c r="BL426" s="525"/>
      <c r="BM426" s="525"/>
      <c r="BN426" s="525"/>
      <c r="BO426" s="525"/>
      <c r="BP426" s="525"/>
      <c r="BQ426" s="525"/>
      <c r="BR426" s="525"/>
      <c r="BS426" s="525"/>
      <c r="BT426" s="525"/>
      <c r="BU426" s="525"/>
      <c r="BV426" s="525"/>
      <c r="BW426" s="525"/>
      <c r="BX426" s="525"/>
      <c r="BY426" s="525"/>
    </row>
    <row r="427" spans="1:77" x14ac:dyDescent="0.3">
      <c r="A427" s="551"/>
      <c r="B427" s="548"/>
      <c r="C427" s="584" t="s">
        <v>37</v>
      </c>
      <c r="D427" s="525"/>
      <c r="E427" s="538" t="s">
        <v>111</v>
      </c>
      <c r="F427" s="538"/>
      <c r="G427" s="538"/>
      <c r="H427" s="538"/>
      <c r="I427" s="538"/>
      <c r="J427" s="538"/>
      <c r="K427" s="538"/>
      <c r="L427" s="538"/>
      <c r="M427" s="538"/>
      <c r="N427" s="538"/>
      <c r="O427" s="538"/>
      <c r="P427" s="584"/>
      <c r="Q427" s="538"/>
      <c r="R427" s="538"/>
      <c r="S427" s="538"/>
      <c r="T427" s="538"/>
      <c r="U427" s="538"/>
      <c r="V427" s="538"/>
      <c r="W427" s="538"/>
      <c r="X427" s="538"/>
      <c r="Y427" s="538"/>
      <c r="Z427" s="538"/>
      <c r="AA427" s="538"/>
      <c r="AB427" s="538"/>
      <c r="AC427" s="538"/>
      <c r="AD427" s="538"/>
      <c r="AE427" s="538"/>
      <c r="AF427" s="538"/>
      <c r="AG427" s="538"/>
      <c r="AH427" s="538"/>
      <c r="AI427" s="538"/>
      <c r="AJ427" s="538"/>
      <c r="AK427" s="538"/>
      <c r="AL427" s="538"/>
      <c r="AM427" s="538"/>
      <c r="AN427" s="538"/>
      <c r="AO427" s="538"/>
      <c r="AP427" s="538"/>
      <c r="AQ427" s="538"/>
      <c r="AR427" s="538"/>
      <c r="AS427" s="538"/>
      <c r="AT427" s="538"/>
      <c r="AU427" s="538"/>
      <c r="AV427" s="538"/>
      <c r="AW427" s="538"/>
      <c r="AX427" s="538"/>
      <c r="AY427" s="538"/>
      <c r="AZ427" s="538"/>
      <c r="BA427" s="538"/>
      <c r="BB427" s="538"/>
      <c r="BC427" s="538"/>
      <c r="BD427" s="538"/>
      <c r="BE427" s="538"/>
      <c r="BF427" s="538"/>
      <c r="BG427" s="538"/>
      <c r="BH427" s="538"/>
      <c r="BI427" s="538"/>
      <c r="BJ427" s="538"/>
      <c r="BK427" s="538"/>
      <c r="BL427" s="538"/>
      <c r="BM427" s="538"/>
      <c r="BN427" s="538"/>
      <c r="BO427" s="538"/>
      <c r="BP427" s="538"/>
      <c r="BQ427" s="538"/>
      <c r="BR427" s="538"/>
      <c r="BS427" s="538"/>
      <c r="BT427" s="538"/>
      <c r="BU427" s="538"/>
      <c r="BV427" s="538"/>
      <c r="BW427" s="538"/>
      <c r="BX427" s="538"/>
      <c r="BY427" s="538"/>
    </row>
    <row r="428" spans="1:77" x14ac:dyDescent="0.3">
      <c r="A428" s="551"/>
      <c r="B428" s="548"/>
      <c r="C428" s="525"/>
      <c r="D428" s="525"/>
      <c r="E428" s="525"/>
      <c r="F428" s="525"/>
      <c r="G428" s="525"/>
      <c r="H428" s="525"/>
      <c r="I428" s="525"/>
      <c r="J428" s="525"/>
      <c r="K428" s="525"/>
      <c r="L428" s="525"/>
      <c r="M428" s="525"/>
      <c r="N428" s="525"/>
      <c r="O428" s="525"/>
      <c r="P428" s="565"/>
      <c r="Q428" s="525"/>
      <c r="R428" s="525"/>
      <c r="S428" s="525"/>
      <c r="T428" s="525"/>
      <c r="U428" s="525"/>
      <c r="V428" s="525"/>
      <c r="W428" s="525"/>
      <c r="X428" s="525"/>
      <c r="Y428" s="525"/>
      <c r="Z428" s="525"/>
      <c r="AA428" s="525"/>
      <c r="AB428" s="525"/>
      <c r="AC428" s="525"/>
      <c r="AD428" s="525"/>
      <c r="AE428" s="525"/>
      <c r="AF428" s="525"/>
      <c r="AG428" s="525"/>
      <c r="AH428" s="525"/>
      <c r="AI428" s="525"/>
      <c r="AJ428" s="525"/>
      <c r="AK428" s="525"/>
      <c r="AL428" s="525"/>
      <c r="AM428" s="525"/>
      <c r="AN428" s="525"/>
      <c r="AO428" s="525"/>
      <c r="AP428" s="525"/>
      <c r="AQ428" s="525"/>
      <c r="AR428" s="525"/>
      <c r="AS428" s="525"/>
      <c r="AT428" s="525"/>
      <c r="AU428" s="525"/>
      <c r="AV428" s="525"/>
      <c r="AW428" s="525"/>
      <c r="AX428" s="525"/>
      <c r="AY428" s="525"/>
      <c r="AZ428" s="525"/>
      <c r="BA428" s="525"/>
      <c r="BB428" s="525"/>
      <c r="BC428" s="525"/>
      <c r="BD428" s="525"/>
      <c r="BE428" s="525"/>
      <c r="BF428" s="525"/>
      <c r="BG428" s="525"/>
      <c r="BH428" s="525"/>
      <c r="BI428" s="525"/>
      <c r="BJ428" s="525"/>
      <c r="BK428" s="525"/>
      <c r="BL428" s="525"/>
      <c r="BM428" s="525"/>
      <c r="BN428" s="525"/>
      <c r="BO428" s="525"/>
      <c r="BP428" s="525"/>
      <c r="BQ428" s="525"/>
      <c r="BR428" s="525"/>
      <c r="BS428" s="525"/>
      <c r="BT428" s="525"/>
      <c r="BU428" s="525"/>
      <c r="BV428" s="525"/>
      <c r="BW428" s="525"/>
      <c r="BX428" s="525"/>
      <c r="BY428" s="525"/>
    </row>
    <row r="429" spans="1:77" x14ac:dyDescent="0.3">
      <c r="A429" s="551"/>
      <c r="B429" s="548"/>
      <c r="C429" s="525"/>
      <c r="D429" s="525"/>
      <c r="E429" s="614" t="s">
        <v>110</v>
      </c>
      <c r="F429" s="539"/>
      <c r="G429" s="539"/>
      <c r="H429" s="539"/>
      <c r="I429" s="539"/>
      <c r="J429" s="539"/>
      <c r="K429" s="539"/>
      <c r="L429" s="539"/>
      <c r="M429" s="539"/>
      <c r="N429" s="539"/>
      <c r="O429" s="539"/>
      <c r="P429" s="615"/>
      <c r="Q429" s="539"/>
      <c r="R429" s="539"/>
      <c r="S429" s="539"/>
      <c r="T429" s="539"/>
      <c r="U429" s="539"/>
      <c r="V429" s="539"/>
      <c r="W429" s="539"/>
      <c r="X429" s="539"/>
      <c r="Y429" s="539"/>
      <c r="Z429" s="539"/>
      <c r="AA429" s="539"/>
      <c r="AB429" s="539"/>
      <c r="AC429" s="539"/>
      <c r="AD429" s="539"/>
      <c r="AE429" s="539"/>
      <c r="AF429" s="539"/>
      <c r="AG429" s="539"/>
      <c r="AH429" s="539"/>
      <c r="AI429" s="539"/>
      <c r="AJ429" s="539"/>
      <c r="AK429" s="539"/>
      <c r="AL429" s="539"/>
      <c r="AM429" s="539"/>
      <c r="AN429" s="539"/>
      <c r="AO429" s="539"/>
      <c r="AP429" s="539"/>
      <c r="AQ429" s="539"/>
      <c r="AR429" s="539"/>
      <c r="AS429" s="539"/>
      <c r="AT429" s="539"/>
      <c r="AU429" s="539"/>
      <c r="AV429" s="539"/>
      <c r="AW429" s="539"/>
      <c r="AX429" s="539"/>
      <c r="AY429" s="539"/>
      <c r="AZ429" s="539"/>
      <c r="BA429" s="539"/>
      <c r="BB429" s="539"/>
      <c r="BC429" s="539"/>
      <c r="BD429" s="539"/>
      <c r="BE429" s="539"/>
      <c r="BF429" s="539"/>
      <c r="BG429" s="539"/>
      <c r="BH429" s="539"/>
      <c r="BI429" s="539"/>
      <c r="BJ429" s="539"/>
      <c r="BK429" s="539"/>
      <c r="BL429" s="539"/>
      <c r="BM429" s="539"/>
      <c r="BN429" s="539"/>
      <c r="BO429" s="539"/>
      <c r="BP429" s="539"/>
      <c r="BQ429" s="539"/>
      <c r="BR429" s="539"/>
      <c r="BS429" s="539"/>
      <c r="BT429" s="539"/>
      <c r="BU429" s="539"/>
      <c r="BV429" s="539"/>
      <c r="BW429" s="539"/>
      <c r="BX429" s="539"/>
      <c r="BY429" s="539"/>
    </row>
    <row r="430" spans="1:77" x14ac:dyDescent="0.3">
      <c r="A430" s="551"/>
      <c r="B430" s="548"/>
      <c r="C430" s="525"/>
      <c r="D430" s="525"/>
      <c r="E430" s="525"/>
      <c r="F430" s="525"/>
      <c r="G430" s="525"/>
      <c r="H430" s="525"/>
      <c r="I430" s="525"/>
      <c r="J430" s="525"/>
      <c r="K430" s="525"/>
      <c r="L430" s="525"/>
      <c r="M430" s="525"/>
      <c r="N430" s="525"/>
      <c r="O430" s="525"/>
      <c r="P430" s="565"/>
      <c r="Q430" s="525"/>
      <c r="R430" s="525"/>
      <c r="S430" s="525"/>
      <c r="T430" s="525"/>
      <c r="U430" s="525"/>
      <c r="V430" s="525"/>
      <c r="W430" s="525"/>
      <c r="X430" s="525"/>
      <c r="Y430" s="525"/>
      <c r="Z430" s="525"/>
      <c r="AA430" s="525"/>
      <c r="AB430" s="525"/>
      <c r="AC430" s="525"/>
      <c r="AD430" s="525"/>
      <c r="AE430" s="525"/>
      <c r="AF430" s="525"/>
      <c r="AG430" s="525"/>
      <c r="AH430" s="525"/>
      <c r="AI430" s="525"/>
      <c r="AJ430" s="525"/>
      <c r="AK430" s="525"/>
      <c r="AL430" s="525"/>
      <c r="AM430" s="525"/>
      <c r="AN430" s="525"/>
      <c r="AO430" s="525"/>
      <c r="AP430" s="525"/>
      <c r="AQ430" s="525"/>
      <c r="AR430" s="525"/>
      <c r="AS430" s="525"/>
      <c r="AT430" s="525"/>
      <c r="AU430" s="525"/>
      <c r="AV430" s="525"/>
      <c r="AW430" s="525"/>
      <c r="AX430" s="525"/>
      <c r="AY430" s="525"/>
      <c r="AZ430" s="525"/>
      <c r="BA430" s="525"/>
      <c r="BB430" s="525"/>
      <c r="BC430" s="525"/>
      <c r="BD430" s="525"/>
      <c r="BE430" s="525"/>
      <c r="BF430" s="525"/>
      <c r="BG430" s="525"/>
      <c r="BH430" s="525"/>
      <c r="BI430" s="525"/>
      <c r="BJ430" s="525"/>
      <c r="BK430" s="525"/>
      <c r="BL430" s="525"/>
      <c r="BM430" s="525"/>
      <c r="BN430" s="525"/>
      <c r="BO430" s="525"/>
      <c r="BP430" s="525"/>
      <c r="BQ430" s="525"/>
      <c r="BR430" s="525"/>
      <c r="BS430" s="525"/>
      <c r="BT430" s="525"/>
      <c r="BU430" s="525"/>
      <c r="BV430" s="525"/>
      <c r="BW430" s="525"/>
      <c r="BX430" s="525"/>
      <c r="BY430" s="525"/>
    </row>
    <row r="431" spans="1:77" x14ac:dyDescent="0.3">
      <c r="A431" s="551"/>
      <c r="B431" s="548"/>
      <c r="C431" s="525"/>
      <c r="D431" s="525"/>
      <c r="E431" s="645" t="str">
        <f>"Growth Capex: "&amp;E$155</f>
        <v>Growth Capex: FY27 Tranche</v>
      </c>
      <c r="F431" s="525"/>
      <c r="G431" s="525"/>
      <c r="H431" s="525"/>
      <c r="I431" s="525"/>
      <c r="J431" s="525"/>
      <c r="K431" s="525"/>
      <c r="L431" s="525"/>
      <c r="M431" s="525"/>
      <c r="N431" s="525"/>
      <c r="O431" s="525"/>
      <c r="P431" s="565"/>
      <c r="Q431" s="525"/>
      <c r="R431" s="527">
        <f t="shared" ref="R431:AW431" si="610">R474*-$W155*$R155</f>
        <v>0</v>
      </c>
      <c r="S431" s="527">
        <f t="shared" si="610"/>
        <v>0</v>
      </c>
      <c r="T431" s="527">
        <f t="shared" si="610"/>
        <v>0</v>
      </c>
      <c r="U431" s="527">
        <f t="shared" si="610"/>
        <v>0</v>
      </c>
      <c r="V431" s="527">
        <f t="shared" si="610"/>
        <v>0</v>
      </c>
      <c r="W431" s="527">
        <f t="shared" si="610"/>
        <v>-686941.98161725083</v>
      </c>
      <c r="X431" s="527">
        <f t="shared" si="610"/>
        <v>0</v>
      </c>
      <c r="Y431" s="527">
        <f t="shared" si="610"/>
        <v>0</v>
      </c>
      <c r="Z431" s="527">
        <f t="shared" si="610"/>
        <v>0</v>
      </c>
      <c r="AA431" s="527">
        <f t="shared" si="610"/>
        <v>0</v>
      </c>
      <c r="AB431" s="527">
        <f t="shared" si="610"/>
        <v>0</v>
      </c>
      <c r="AC431" s="527">
        <f t="shared" si="610"/>
        <v>0</v>
      </c>
      <c r="AD431" s="527">
        <f t="shared" si="610"/>
        <v>0</v>
      </c>
      <c r="AE431" s="527">
        <f t="shared" si="610"/>
        <v>0</v>
      </c>
      <c r="AF431" s="527">
        <f t="shared" si="610"/>
        <v>0</v>
      </c>
      <c r="AG431" s="527">
        <f t="shared" si="610"/>
        <v>0</v>
      </c>
      <c r="AH431" s="527">
        <f t="shared" si="610"/>
        <v>0</v>
      </c>
      <c r="AI431" s="527">
        <f t="shared" si="610"/>
        <v>0</v>
      </c>
      <c r="AJ431" s="527">
        <f t="shared" si="610"/>
        <v>0</v>
      </c>
      <c r="AK431" s="527">
        <f t="shared" si="610"/>
        <v>0</v>
      </c>
      <c r="AL431" s="527">
        <f t="shared" si="610"/>
        <v>0</v>
      </c>
      <c r="AM431" s="527">
        <f t="shared" si="610"/>
        <v>0</v>
      </c>
      <c r="AN431" s="527">
        <f t="shared" si="610"/>
        <v>0</v>
      </c>
      <c r="AO431" s="527">
        <f t="shared" si="610"/>
        <v>0</v>
      </c>
      <c r="AP431" s="527">
        <f t="shared" si="610"/>
        <v>0</v>
      </c>
      <c r="AQ431" s="527">
        <f t="shared" si="610"/>
        <v>0</v>
      </c>
      <c r="AR431" s="527">
        <f t="shared" si="610"/>
        <v>0</v>
      </c>
      <c r="AS431" s="527">
        <f t="shared" si="610"/>
        <v>0</v>
      </c>
      <c r="AT431" s="527">
        <f t="shared" si="610"/>
        <v>0</v>
      </c>
      <c r="AU431" s="527">
        <f t="shared" si="610"/>
        <v>0</v>
      </c>
      <c r="AV431" s="527">
        <f t="shared" si="610"/>
        <v>0</v>
      </c>
      <c r="AW431" s="527">
        <f t="shared" si="610"/>
        <v>0</v>
      </c>
      <c r="AX431" s="527">
        <f t="shared" ref="AX431:BY431" si="611">AX474*-$W155*$R155</f>
        <v>0</v>
      </c>
      <c r="AY431" s="527">
        <f t="shared" si="611"/>
        <v>0</v>
      </c>
      <c r="AZ431" s="527">
        <f t="shared" si="611"/>
        <v>0</v>
      </c>
      <c r="BA431" s="527">
        <f t="shared" si="611"/>
        <v>0</v>
      </c>
      <c r="BB431" s="527">
        <f t="shared" si="611"/>
        <v>0</v>
      </c>
      <c r="BC431" s="527">
        <f t="shared" si="611"/>
        <v>0</v>
      </c>
      <c r="BD431" s="527">
        <f t="shared" si="611"/>
        <v>0</v>
      </c>
      <c r="BE431" s="527">
        <f t="shared" si="611"/>
        <v>0</v>
      </c>
      <c r="BF431" s="527">
        <f t="shared" si="611"/>
        <v>0</v>
      </c>
      <c r="BG431" s="527">
        <f t="shared" si="611"/>
        <v>0</v>
      </c>
      <c r="BH431" s="527">
        <f t="shared" si="611"/>
        <v>0</v>
      </c>
      <c r="BI431" s="527">
        <f t="shared" si="611"/>
        <v>0</v>
      </c>
      <c r="BJ431" s="527">
        <f t="shared" si="611"/>
        <v>0</v>
      </c>
      <c r="BK431" s="527">
        <f t="shared" si="611"/>
        <v>0</v>
      </c>
      <c r="BL431" s="527">
        <f t="shared" si="611"/>
        <v>0</v>
      </c>
      <c r="BM431" s="527">
        <f t="shared" si="611"/>
        <v>0</v>
      </c>
      <c r="BN431" s="527">
        <f t="shared" si="611"/>
        <v>0</v>
      </c>
      <c r="BO431" s="527">
        <f t="shared" si="611"/>
        <v>0</v>
      </c>
      <c r="BP431" s="527">
        <f t="shared" si="611"/>
        <v>0</v>
      </c>
      <c r="BQ431" s="527">
        <f t="shared" si="611"/>
        <v>0</v>
      </c>
      <c r="BR431" s="527">
        <f t="shared" si="611"/>
        <v>0</v>
      </c>
      <c r="BS431" s="527">
        <f t="shared" si="611"/>
        <v>0</v>
      </c>
      <c r="BT431" s="527">
        <f t="shared" si="611"/>
        <v>0</v>
      </c>
      <c r="BU431" s="527">
        <f t="shared" si="611"/>
        <v>0</v>
      </c>
      <c r="BV431" s="527">
        <f t="shared" si="611"/>
        <v>0</v>
      </c>
      <c r="BW431" s="527">
        <f t="shared" si="611"/>
        <v>0</v>
      </c>
      <c r="BX431" s="527">
        <f t="shared" si="611"/>
        <v>0</v>
      </c>
      <c r="BY431" s="527">
        <f t="shared" si="611"/>
        <v>0</v>
      </c>
    </row>
    <row r="432" spans="1:77" x14ac:dyDescent="0.3">
      <c r="A432" s="551"/>
      <c r="B432" s="548"/>
      <c r="C432" s="525"/>
      <c r="D432" s="525"/>
      <c r="E432" s="645" t="str">
        <f>"Growth Capex: "&amp;E$156</f>
        <v>Growth Capex: FY28 Tranche</v>
      </c>
      <c r="F432" s="525"/>
      <c r="G432" s="525"/>
      <c r="H432" s="525"/>
      <c r="I432" s="525"/>
      <c r="J432" s="525"/>
      <c r="K432" s="525"/>
      <c r="L432" s="525"/>
      <c r="M432" s="525"/>
      <c r="N432" s="525"/>
      <c r="O432" s="525"/>
      <c r="P432" s="565"/>
      <c r="Q432" s="525"/>
      <c r="R432" s="527">
        <f t="shared" ref="R432:AW432" si="612">R475*-$W156*$R156</f>
        <v>0</v>
      </c>
      <c r="S432" s="527">
        <f t="shared" si="612"/>
        <v>0</v>
      </c>
      <c r="T432" s="527">
        <f t="shared" si="612"/>
        <v>0</v>
      </c>
      <c r="U432" s="527">
        <f t="shared" si="612"/>
        <v>0</v>
      </c>
      <c r="V432" s="527">
        <f t="shared" si="612"/>
        <v>0</v>
      </c>
      <c r="W432" s="527">
        <f t="shared" si="612"/>
        <v>0</v>
      </c>
      <c r="X432" s="527">
        <f t="shared" si="612"/>
        <v>0</v>
      </c>
      <c r="Y432" s="527">
        <f t="shared" si="612"/>
        <v>0</v>
      </c>
      <c r="Z432" s="527">
        <f t="shared" si="612"/>
        <v>0</v>
      </c>
      <c r="AA432" s="527">
        <f t="shared" si="612"/>
        <v>0</v>
      </c>
      <c r="AB432" s="527">
        <f t="shared" si="612"/>
        <v>0</v>
      </c>
      <c r="AC432" s="527">
        <f t="shared" si="612"/>
        <v>0</v>
      </c>
      <c r="AD432" s="527">
        <f t="shared" si="612"/>
        <v>0</v>
      </c>
      <c r="AE432" s="527">
        <f t="shared" si="612"/>
        <v>0</v>
      </c>
      <c r="AF432" s="527">
        <f t="shared" si="612"/>
        <v>0</v>
      </c>
      <c r="AG432" s="527">
        <f t="shared" si="612"/>
        <v>0</v>
      </c>
      <c r="AH432" s="527">
        <f t="shared" si="612"/>
        <v>0</v>
      </c>
      <c r="AI432" s="527">
        <f t="shared" si="612"/>
        <v>-703462.79906662356</v>
      </c>
      <c r="AJ432" s="527">
        <f t="shared" si="612"/>
        <v>0</v>
      </c>
      <c r="AK432" s="527">
        <f t="shared" si="612"/>
        <v>0</v>
      </c>
      <c r="AL432" s="527">
        <f t="shared" si="612"/>
        <v>0</v>
      </c>
      <c r="AM432" s="527">
        <f t="shared" si="612"/>
        <v>0</v>
      </c>
      <c r="AN432" s="527">
        <f t="shared" si="612"/>
        <v>0</v>
      </c>
      <c r="AO432" s="527">
        <f t="shared" si="612"/>
        <v>0</v>
      </c>
      <c r="AP432" s="527">
        <f t="shared" si="612"/>
        <v>0</v>
      </c>
      <c r="AQ432" s="527">
        <f t="shared" si="612"/>
        <v>0</v>
      </c>
      <c r="AR432" s="527">
        <f t="shared" si="612"/>
        <v>0</v>
      </c>
      <c r="AS432" s="527">
        <f t="shared" si="612"/>
        <v>0</v>
      </c>
      <c r="AT432" s="527">
        <f t="shared" si="612"/>
        <v>0</v>
      </c>
      <c r="AU432" s="527">
        <f t="shared" si="612"/>
        <v>0</v>
      </c>
      <c r="AV432" s="527">
        <f t="shared" si="612"/>
        <v>0</v>
      </c>
      <c r="AW432" s="527">
        <f t="shared" si="612"/>
        <v>0</v>
      </c>
      <c r="AX432" s="527">
        <f t="shared" ref="AX432:BY432" si="613">AX475*-$W156*$R156</f>
        <v>0</v>
      </c>
      <c r="AY432" s="527">
        <f t="shared" si="613"/>
        <v>0</v>
      </c>
      <c r="AZ432" s="527">
        <f t="shared" si="613"/>
        <v>0</v>
      </c>
      <c r="BA432" s="527">
        <f t="shared" si="613"/>
        <v>0</v>
      </c>
      <c r="BB432" s="527">
        <f t="shared" si="613"/>
        <v>0</v>
      </c>
      <c r="BC432" s="527">
        <f t="shared" si="613"/>
        <v>0</v>
      </c>
      <c r="BD432" s="527">
        <f t="shared" si="613"/>
        <v>0</v>
      </c>
      <c r="BE432" s="527">
        <f t="shared" si="613"/>
        <v>0</v>
      </c>
      <c r="BF432" s="527">
        <f t="shared" si="613"/>
        <v>0</v>
      </c>
      <c r="BG432" s="527">
        <f t="shared" si="613"/>
        <v>0</v>
      </c>
      <c r="BH432" s="527">
        <f t="shared" si="613"/>
        <v>0</v>
      </c>
      <c r="BI432" s="527">
        <f t="shared" si="613"/>
        <v>0</v>
      </c>
      <c r="BJ432" s="527">
        <f t="shared" si="613"/>
        <v>0</v>
      </c>
      <c r="BK432" s="527">
        <f t="shared" si="613"/>
        <v>0</v>
      </c>
      <c r="BL432" s="527">
        <f t="shared" si="613"/>
        <v>0</v>
      </c>
      <c r="BM432" s="527">
        <f t="shared" si="613"/>
        <v>0</v>
      </c>
      <c r="BN432" s="527">
        <f t="shared" si="613"/>
        <v>0</v>
      </c>
      <c r="BO432" s="527">
        <f t="shared" si="613"/>
        <v>0</v>
      </c>
      <c r="BP432" s="527">
        <f t="shared" si="613"/>
        <v>0</v>
      </c>
      <c r="BQ432" s="527">
        <f t="shared" si="613"/>
        <v>0</v>
      </c>
      <c r="BR432" s="527">
        <f t="shared" si="613"/>
        <v>0</v>
      </c>
      <c r="BS432" s="527">
        <f t="shared" si="613"/>
        <v>0</v>
      </c>
      <c r="BT432" s="527">
        <f t="shared" si="613"/>
        <v>0</v>
      </c>
      <c r="BU432" s="527">
        <f t="shared" si="613"/>
        <v>0</v>
      </c>
      <c r="BV432" s="527">
        <f t="shared" si="613"/>
        <v>0</v>
      </c>
      <c r="BW432" s="527">
        <f t="shared" si="613"/>
        <v>0</v>
      </c>
      <c r="BX432" s="527">
        <f t="shared" si="613"/>
        <v>0</v>
      </c>
      <c r="BY432" s="527">
        <f t="shared" si="613"/>
        <v>0</v>
      </c>
    </row>
    <row r="433" spans="1:77" x14ac:dyDescent="0.3">
      <c r="A433" s="551"/>
      <c r="B433" s="548"/>
      <c r="C433" s="525"/>
      <c r="D433" s="525"/>
      <c r="E433" s="645" t="str">
        <f>"Growth Capex: "&amp;E$157</f>
        <v>Growth Capex: FY29 Tranche</v>
      </c>
      <c r="F433" s="525"/>
      <c r="G433" s="525"/>
      <c r="H433" s="525"/>
      <c r="I433" s="525"/>
      <c r="J433" s="525"/>
      <c r="K433" s="525"/>
      <c r="L433" s="525"/>
      <c r="M433" s="525"/>
      <c r="N433" s="525"/>
      <c r="O433" s="525"/>
      <c r="P433" s="565"/>
      <c r="Q433" s="525"/>
      <c r="R433" s="527">
        <f t="shared" ref="R433:AW433" si="614">R476*-$W157*$R157</f>
        <v>0</v>
      </c>
      <c r="S433" s="527">
        <f t="shared" si="614"/>
        <v>0</v>
      </c>
      <c r="T433" s="527">
        <f t="shared" si="614"/>
        <v>0</v>
      </c>
      <c r="U433" s="527">
        <f t="shared" si="614"/>
        <v>0</v>
      </c>
      <c r="V433" s="527">
        <f t="shared" si="614"/>
        <v>0</v>
      </c>
      <c r="W433" s="527">
        <f t="shared" si="614"/>
        <v>0</v>
      </c>
      <c r="X433" s="527">
        <f t="shared" si="614"/>
        <v>0</v>
      </c>
      <c r="Y433" s="527">
        <f t="shared" si="614"/>
        <v>0</v>
      </c>
      <c r="Z433" s="527">
        <f t="shared" si="614"/>
        <v>0</v>
      </c>
      <c r="AA433" s="527">
        <f t="shared" si="614"/>
        <v>0</v>
      </c>
      <c r="AB433" s="527">
        <f t="shared" si="614"/>
        <v>0</v>
      </c>
      <c r="AC433" s="527">
        <f t="shared" si="614"/>
        <v>0</v>
      </c>
      <c r="AD433" s="527">
        <f t="shared" si="614"/>
        <v>0</v>
      </c>
      <c r="AE433" s="527">
        <f t="shared" si="614"/>
        <v>0</v>
      </c>
      <c r="AF433" s="527">
        <f t="shared" si="614"/>
        <v>0</v>
      </c>
      <c r="AG433" s="527">
        <f t="shared" si="614"/>
        <v>0</v>
      </c>
      <c r="AH433" s="527">
        <f t="shared" si="614"/>
        <v>0</v>
      </c>
      <c r="AI433" s="527">
        <f t="shared" si="614"/>
        <v>0</v>
      </c>
      <c r="AJ433" s="527">
        <f t="shared" si="614"/>
        <v>0</v>
      </c>
      <c r="AK433" s="527">
        <f t="shared" si="614"/>
        <v>0</v>
      </c>
      <c r="AL433" s="527">
        <f t="shared" si="614"/>
        <v>0</v>
      </c>
      <c r="AM433" s="527">
        <f t="shared" si="614"/>
        <v>0</v>
      </c>
      <c r="AN433" s="527">
        <f t="shared" si="614"/>
        <v>0</v>
      </c>
      <c r="AO433" s="527">
        <f t="shared" si="614"/>
        <v>0</v>
      </c>
      <c r="AP433" s="527">
        <f t="shared" si="614"/>
        <v>0</v>
      </c>
      <c r="AQ433" s="527">
        <f t="shared" si="614"/>
        <v>0</v>
      </c>
      <c r="AR433" s="527">
        <f t="shared" si="614"/>
        <v>0</v>
      </c>
      <c r="AS433" s="527">
        <f t="shared" si="614"/>
        <v>0</v>
      </c>
      <c r="AT433" s="527">
        <f t="shared" si="614"/>
        <v>0</v>
      </c>
      <c r="AU433" s="527">
        <f t="shared" si="614"/>
        <v>-719258.64702164987</v>
      </c>
      <c r="AV433" s="527">
        <f t="shared" si="614"/>
        <v>0</v>
      </c>
      <c r="AW433" s="527">
        <f t="shared" si="614"/>
        <v>0</v>
      </c>
      <c r="AX433" s="527">
        <f t="shared" ref="AX433:BY433" si="615">AX476*-$W157*$R157</f>
        <v>0</v>
      </c>
      <c r="AY433" s="527">
        <f t="shared" si="615"/>
        <v>0</v>
      </c>
      <c r="AZ433" s="527">
        <f t="shared" si="615"/>
        <v>0</v>
      </c>
      <c r="BA433" s="527">
        <f t="shared" si="615"/>
        <v>0</v>
      </c>
      <c r="BB433" s="527">
        <f t="shared" si="615"/>
        <v>0</v>
      </c>
      <c r="BC433" s="527">
        <f t="shared" si="615"/>
        <v>0</v>
      </c>
      <c r="BD433" s="527">
        <f t="shared" si="615"/>
        <v>0</v>
      </c>
      <c r="BE433" s="527">
        <f t="shared" si="615"/>
        <v>0</v>
      </c>
      <c r="BF433" s="527">
        <f t="shared" si="615"/>
        <v>0</v>
      </c>
      <c r="BG433" s="527">
        <f t="shared" si="615"/>
        <v>0</v>
      </c>
      <c r="BH433" s="527">
        <f t="shared" si="615"/>
        <v>0</v>
      </c>
      <c r="BI433" s="527">
        <f t="shared" si="615"/>
        <v>0</v>
      </c>
      <c r="BJ433" s="527">
        <f t="shared" si="615"/>
        <v>0</v>
      </c>
      <c r="BK433" s="527">
        <f t="shared" si="615"/>
        <v>0</v>
      </c>
      <c r="BL433" s="527">
        <f t="shared" si="615"/>
        <v>0</v>
      </c>
      <c r="BM433" s="527">
        <f t="shared" si="615"/>
        <v>0</v>
      </c>
      <c r="BN433" s="527">
        <f t="shared" si="615"/>
        <v>0</v>
      </c>
      <c r="BO433" s="527">
        <f t="shared" si="615"/>
        <v>0</v>
      </c>
      <c r="BP433" s="527">
        <f t="shared" si="615"/>
        <v>0</v>
      </c>
      <c r="BQ433" s="527">
        <f t="shared" si="615"/>
        <v>0</v>
      </c>
      <c r="BR433" s="527">
        <f t="shared" si="615"/>
        <v>0</v>
      </c>
      <c r="BS433" s="527">
        <f t="shared" si="615"/>
        <v>0</v>
      </c>
      <c r="BT433" s="527">
        <f t="shared" si="615"/>
        <v>0</v>
      </c>
      <c r="BU433" s="527">
        <f t="shared" si="615"/>
        <v>0</v>
      </c>
      <c r="BV433" s="527">
        <f t="shared" si="615"/>
        <v>0</v>
      </c>
      <c r="BW433" s="527">
        <f t="shared" si="615"/>
        <v>0</v>
      </c>
      <c r="BX433" s="527">
        <f t="shared" si="615"/>
        <v>0</v>
      </c>
      <c r="BY433" s="527">
        <f t="shared" si="615"/>
        <v>0</v>
      </c>
    </row>
    <row r="434" spans="1:77" x14ac:dyDescent="0.3">
      <c r="A434" s="551"/>
      <c r="B434" s="548"/>
      <c r="C434" s="525"/>
      <c r="D434" s="525"/>
      <c r="E434" s="645" t="str">
        <f>"Growth Capex: "&amp;E$158</f>
        <v>Growth Capex: FY30 Tranche</v>
      </c>
      <c r="F434" s="525"/>
      <c r="G434" s="525"/>
      <c r="H434" s="525"/>
      <c r="I434" s="525"/>
      <c r="J434" s="525"/>
      <c r="K434" s="525"/>
      <c r="L434" s="525"/>
      <c r="M434" s="525"/>
      <c r="N434" s="525"/>
      <c r="O434" s="525"/>
      <c r="P434" s="565"/>
      <c r="Q434" s="525"/>
      <c r="R434" s="527">
        <f t="shared" ref="R434:AW434" si="616">R477*-$W158*$R158</f>
        <v>0</v>
      </c>
      <c r="S434" s="527">
        <f t="shared" si="616"/>
        <v>0</v>
      </c>
      <c r="T434" s="527">
        <f t="shared" si="616"/>
        <v>0</v>
      </c>
      <c r="U434" s="527">
        <f t="shared" si="616"/>
        <v>0</v>
      </c>
      <c r="V434" s="527">
        <f t="shared" si="616"/>
        <v>0</v>
      </c>
      <c r="W434" s="527">
        <f t="shared" si="616"/>
        <v>0</v>
      </c>
      <c r="X434" s="527">
        <f t="shared" si="616"/>
        <v>0</v>
      </c>
      <c r="Y434" s="527">
        <f t="shared" si="616"/>
        <v>0</v>
      </c>
      <c r="Z434" s="527">
        <f t="shared" si="616"/>
        <v>0</v>
      </c>
      <c r="AA434" s="527">
        <f t="shared" si="616"/>
        <v>0</v>
      </c>
      <c r="AB434" s="527">
        <f t="shared" si="616"/>
        <v>0</v>
      </c>
      <c r="AC434" s="527">
        <f t="shared" si="616"/>
        <v>0</v>
      </c>
      <c r="AD434" s="527">
        <f t="shared" si="616"/>
        <v>0</v>
      </c>
      <c r="AE434" s="527">
        <f t="shared" si="616"/>
        <v>0</v>
      </c>
      <c r="AF434" s="527">
        <f t="shared" si="616"/>
        <v>0</v>
      </c>
      <c r="AG434" s="527">
        <f t="shared" si="616"/>
        <v>0</v>
      </c>
      <c r="AH434" s="527">
        <f t="shared" si="616"/>
        <v>0</v>
      </c>
      <c r="AI434" s="527">
        <f t="shared" si="616"/>
        <v>0</v>
      </c>
      <c r="AJ434" s="527">
        <f t="shared" si="616"/>
        <v>0</v>
      </c>
      <c r="AK434" s="527">
        <f t="shared" si="616"/>
        <v>0</v>
      </c>
      <c r="AL434" s="527">
        <f t="shared" si="616"/>
        <v>0</v>
      </c>
      <c r="AM434" s="527">
        <f t="shared" si="616"/>
        <v>0</v>
      </c>
      <c r="AN434" s="527">
        <f t="shared" si="616"/>
        <v>0</v>
      </c>
      <c r="AO434" s="527">
        <f t="shared" si="616"/>
        <v>0</v>
      </c>
      <c r="AP434" s="527">
        <f t="shared" si="616"/>
        <v>0</v>
      </c>
      <c r="AQ434" s="527">
        <f t="shared" si="616"/>
        <v>0</v>
      </c>
      <c r="AR434" s="527">
        <f t="shared" si="616"/>
        <v>0</v>
      </c>
      <c r="AS434" s="527">
        <f t="shared" si="616"/>
        <v>0</v>
      </c>
      <c r="AT434" s="527">
        <f t="shared" si="616"/>
        <v>0</v>
      </c>
      <c r="AU434" s="527">
        <f t="shared" si="616"/>
        <v>0</v>
      </c>
      <c r="AV434" s="527">
        <f t="shared" si="616"/>
        <v>0</v>
      </c>
      <c r="AW434" s="527">
        <f t="shared" si="616"/>
        <v>0</v>
      </c>
      <c r="AX434" s="527">
        <f t="shared" ref="AX434:BY434" si="617">AX477*-$W158*$R158</f>
        <v>0</v>
      </c>
      <c r="AY434" s="527">
        <f t="shared" si="617"/>
        <v>0</v>
      </c>
      <c r="AZ434" s="527">
        <f t="shared" si="617"/>
        <v>0</v>
      </c>
      <c r="BA434" s="527">
        <f t="shared" si="617"/>
        <v>0</v>
      </c>
      <c r="BB434" s="527">
        <f t="shared" si="617"/>
        <v>0</v>
      </c>
      <c r="BC434" s="527">
        <f t="shared" si="617"/>
        <v>0</v>
      </c>
      <c r="BD434" s="527">
        <f t="shared" si="617"/>
        <v>0</v>
      </c>
      <c r="BE434" s="527">
        <f t="shared" si="617"/>
        <v>0</v>
      </c>
      <c r="BF434" s="527">
        <f t="shared" si="617"/>
        <v>0</v>
      </c>
      <c r="BG434" s="527">
        <f t="shared" si="617"/>
        <v>-734131.21031000605</v>
      </c>
      <c r="BH434" s="527">
        <f t="shared" si="617"/>
        <v>0</v>
      </c>
      <c r="BI434" s="527">
        <f t="shared" si="617"/>
        <v>0</v>
      </c>
      <c r="BJ434" s="527">
        <f t="shared" si="617"/>
        <v>0</v>
      </c>
      <c r="BK434" s="527">
        <f t="shared" si="617"/>
        <v>0</v>
      </c>
      <c r="BL434" s="527">
        <f t="shared" si="617"/>
        <v>0</v>
      </c>
      <c r="BM434" s="527">
        <f t="shared" si="617"/>
        <v>0</v>
      </c>
      <c r="BN434" s="527">
        <f t="shared" si="617"/>
        <v>0</v>
      </c>
      <c r="BO434" s="527">
        <f t="shared" si="617"/>
        <v>0</v>
      </c>
      <c r="BP434" s="527">
        <f t="shared" si="617"/>
        <v>0</v>
      </c>
      <c r="BQ434" s="527">
        <f t="shared" si="617"/>
        <v>0</v>
      </c>
      <c r="BR434" s="527">
        <f t="shared" si="617"/>
        <v>0</v>
      </c>
      <c r="BS434" s="527">
        <f t="shared" si="617"/>
        <v>0</v>
      </c>
      <c r="BT434" s="527">
        <f t="shared" si="617"/>
        <v>0</v>
      </c>
      <c r="BU434" s="527">
        <f t="shared" si="617"/>
        <v>0</v>
      </c>
      <c r="BV434" s="527">
        <f t="shared" si="617"/>
        <v>0</v>
      </c>
      <c r="BW434" s="527">
        <f t="shared" si="617"/>
        <v>0</v>
      </c>
      <c r="BX434" s="527">
        <f t="shared" si="617"/>
        <v>0</v>
      </c>
      <c r="BY434" s="527">
        <f t="shared" si="617"/>
        <v>0</v>
      </c>
    </row>
    <row r="435" spans="1:77" x14ac:dyDescent="0.3">
      <c r="A435" s="551"/>
      <c r="B435" s="548"/>
      <c r="C435" s="525"/>
      <c r="D435" s="525"/>
      <c r="E435" s="645" t="str">
        <f>"Growth Capex: "&amp;E$159</f>
        <v>Growth Capex: FY31 Tranche</v>
      </c>
      <c r="F435" s="525"/>
      <c r="G435" s="525"/>
      <c r="H435" s="525"/>
      <c r="I435" s="525"/>
      <c r="J435" s="525"/>
      <c r="K435" s="525"/>
      <c r="L435" s="525"/>
      <c r="M435" s="525"/>
      <c r="N435" s="525"/>
      <c r="O435" s="525"/>
      <c r="P435" s="565"/>
      <c r="Q435" s="525"/>
      <c r="R435" s="527">
        <f t="shared" ref="R435:AW435" si="618">R478*-$W159*$R159</f>
        <v>0</v>
      </c>
      <c r="S435" s="527">
        <f t="shared" si="618"/>
        <v>0</v>
      </c>
      <c r="T435" s="527">
        <f t="shared" si="618"/>
        <v>0</v>
      </c>
      <c r="U435" s="527">
        <f t="shared" si="618"/>
        <v>0</v>
      </c>
      <c r="V435" s="527">
        <f t="shared" si="618"/>
        <v>0</v>
      </c>
      <c r="W435" s="527">
        <f t="shared" si="618"/>
        <v>0</v>
      </c>
      <c r="X435" s="527">
        <f t="shared" si="618"/>
        <v>0</v>
      </c>
      <c r="Y435" s="527">
        <f t="shared" si="618"/>
        <v>0</v>
      </c>
      <c r="Z435" s="527">
        <f t="shared" si="618"/>
        <v>0</v>
      </c>
      <c r="AA435" s="527">
        <f t="shared" si="618"/>
        <v>0</v>
      </c>
      <c r="AB435" s="527">
        <f t="shared" si="618"/>
        <v>0</v>
      </c>
      <c r="AC435" s="527">
        <f t="shared" si="618"/>
        <v>0</v>
      </c>
      <c r="AD435" s="527">
        <f t="shared" si="618"/>
        <v>0</v>
      </c>
      <c r="AE435" s="527">
        <f t="shared" si="618"/>
        <v>0</v>
      </c>
      <c r="AF435" s="527">
        <f t="shared" si="618"/>
        <v>0</v>
      </c>
      <c r="AG435" s="527">
        <f t="shared" si="618"/>
        <v>0</v>
      </c>
      <c r="AH435" s="527">
        <f t="shared" si="618"/>
        <v>0</v>
      </c>
      <c r="AI435" s="527">
        <f t="shared" si="618"/>
        <v>0</v>
      </c>
      <c r="AJ435" s="527">
        <f t="shared" si="618"/>
        <v>0</v>
      </c>
      <c r="AK435" s="527">
        <f t="shared" si="618"/>
        <v>0</v>
      </c>
      <c r="AL435" s="527">
        <f t="shared" si="618"/>
        <v>0</v>
      </c>
      <c r="AM435" s="527">
        <f t="shared" si="618"/>
        <v>0</v>
      </c>
      <c r="AN435" s="527">
        <f t="shared" si="618"/>
        <v>0</v>
      </c>
      <c r="AO435" s="527">
        <f t="shared" si="618"/>
        <v>0</v>
      </c>
      <c r="AP435" s="527">
        <f t="shared" si="618"/>
        <v>0</v>
      </c>
      <c r="AQ435" s="527">
        <f t="shared" si="618"/>
        <v>0</v>
      </c>
      <c r="AR435" s="527">
        <f t="shared" si="618"/>
        <v>0</v>
      </c>
      <c r="AS435" s="527">
        <f t="shared" si="618"/>
        <v>0</v>
      </c>
      <c r="AT435" s="527">
        <f t="shared" si="618"/>
        <v>0</v>
      </c>
      <c r="AU435" s="527">
        <f t="shared" si="618"/>
        <v>0</v>
      </c>
      <c r="AV435" s="527">
        <f t="shared" si="618"/>
        <v>0</v>
      </c>
      <c r="AW435" s="527">
        <f t="shared" si="618"/>
        <v>0</v>
      </c>
      <c r="AX435" s="527">
        <f t="shared" ref="AX435:BY435" si="619">AX478*-$W159*$R159</f>
        <v>0</v>
      </c>
      <c r="AY435" s="527">
        <f t="shared" si="619"/>
        <v>0</v>
      </c>
      <c r="AZ435" s="527">
        <f t="shared" si="619"/>
        <v>0</v>
      </c>
      <c r="BA435" s="527">
        <f t="shared" si="619"/>
        <v>0</v>
      </c>
      <c r="BB435" s="527">
        <f t="shared" si="619"/>
        <v>0</v>
      </c>
      <c r="BC435" s="527">
        <f t="shared" si="619"/>
        <v>0</v>
      </c>
      <c r="BD435" s="527">
        <f t="shared" si="619"/>
        <v>0</v>
      </c>
      <c r="BE435" s="527">
        <f t="shared" si="619"/>
        <v>0</v>
      </c>
      <c r="BF435" s="527">
        <f t="shared" si="619"/>
        <v>0</v>
      </c>
      <c r="BG435" s="527">
        <f t="shared" si="619"/>
        <v>0</v>
      </c>
      <c r="BH435" s="527">
        <f t="shared" si="619"/>
        <v>0</v>
      </c>
      <c r="BI435" s="527">
        <f t="shared" si="619"/>
        <v>0</v>
      </c>
      <c r="BJ435" s="527">
        <f t="shared" si="619"/>
        <v>0</v>
      </c>
      <c r="BK435" s="527">
        <f t="shared" si="619"/>
        <v>0</v>
      </c>
      <c r="BL435" s="527">
        <f t="shared" si="619"/>
        <v>0</v>
      </c>
      <c r="BM435" s="527">
        <f t="shared" si="619"/>
        <v>0</v>
      </c>
      <c r="BN435" s="527">
        <f t="shared" si="619"/>
        <v>0</v>
      </c>
      <c r="BO435" s="527">
        <f t="shared" si="619"/>
        <v>0</v>
      </c>
      <c r="BP435" s="527">
        <f t="shared" si="619"/>
        <v>0</v>
      </c>
      <c r="BQ435" s="527">
        <f t="shared" si="619"/>
        <v>0</v>
      </c>
      <c r="BR435" s="527">
        <f t="shared" si="619"/>
        <v>0</v>
      </c>
      <c r="BS435" s="527">
        <f t="shared" si="619"/>
        <v>-748458.49815847725</v>
      </c>
      <c r="BT435" s="527">
        <f t="shared" si="619"/>
        <v>0</v>
      </c>
      <c r="BU435" s="527">
        <f t="shared" si="619"/>
        <v>0</v>
      </c>
      <c r="BV435" s="527">
        <f t="shared" si="619"/>
        <v>0</v>
      </c>
      <c r="BW435" s="527">
        <f t="shared" si="619"/>
        <v>0</v>
      </c>
      <c r="BX435" s="527">
        <f t="shared" si="619"/>
        <v>0</v>
      </c>
      <c r="BY435" s="527">
        <f t="shared" si="619"/>
        <v>0</v>
      </c>
    </row>
    <row r="436" spans="1:77" x14ac:dyDescent="0.3">
      <c r="A436" s="551"/>
      <c r="B436" s="548"/>
      <c r="C436" s="525"/>
      <c r="D436" s="525"/>
      <c r="E436" s="645" t="str">
        <f>"Growth Capex: "&amp;E$160</f>
        <v>Growth Capex: Uninvested Tranche</v>
      </c>
      <c r="F436" s="525"/>
      <c r="G436" s="525"/>
      <c r="H436" s="525"/>
      <c r="I436" s="525"/>
      <c r="J436" s="525"/>
      <c r="K436" s="525"/>
      <c r="L436" s="525"/>
      <c r="M436" s="525"/>
      <c r="N436" s="525"/>
      <c r="O436" s="525"/>
      <c r="P436" s="565"/>
      <c r="Q436" s="525"/>
      <c r="R436" s="527">
        <f t="shared" ref="R436:AW436" si="620">R479*-$W160*$R160</f>
        <v>0</v>
      </c>
      <c r="S436" s="527">
        <f t="shared" si="620"/>
        <v>0</v>
      </c>
      <c r="T436" s="527">
        <f t="shared" si="620"/>
        <v>0</v>
      </c>
      <c r="U436" s="527">
        <f t="shared" si="620"/>
        <v>0</v>
      </c>
      <c r="V436" s="527">
        <f t="shared" si="620"/>
        <v>0</v>
      </c>
      <c r="W436" s="527">
        <f t="shared" si="620"/>
        <v>0</v>
      </c>
      <c r="X436" s="527">
        <f t="shared" si="620"/>
        <v>0</v>
      </c>
      <c r="Y436" s="527">
        <f t="shared" si="620"/>
        <v>0</v>
      </c>
      <c r="Z436" s="527">
        <f t="shared" si="620"/>
        <v>0</v>
      </c>
      <c r="AA436" s="527">
        <f t="shared" si="620"/>
        <v>0</v>
      </c>
      <c r="AB436" s="527">
        <f t="shared" si="620"/>
        <v>0</v>
      </c>
      <c r="AC436" s="527">
        <f t="shared" si="620"/>
        <v>0</v>
      </c>
      <c r="AD436" s="527">
        <f t="shared" si="620"/>
        <v>0</v>
      </c>
      <c r="AE436" s="527">
        <f t="shared" si="620"/>
        <v>0</v>
      </c>
      <c r="AF436" s="527">
        <f t="shared" si="620"/>
        <v>0</v>
      </c>
      <c r="AG436" s="527">
        <f t="shared" si="620"/>
        <v>0</v>
      </c>
      <c r="AH436" s="527">
        <f t="shared" si="620"/>
        <v>0</v>
      </c>
      <c r="AI436" s="527">
        <f t="shared" si="620"/>
        <v>0</v>
      </c>
      <c r="AJ436" s="527">
        <f t="shared" si="620"/>
        <v>0</v>
      </c>
      <c r="AK436" s="527">
        <f t="shared" si="620"/>
        <v>0</v>
      </c>
      <c r="AL436" s="527">
        <f t="shared" si="620"/>
        <v>0</v>
      </c>
      <c r="AM436" s="527">
        <f t="shared" si="620"/>
        <v>0</v>
      </c>
      <c r="AN436" s="527">
        <f t="shared" si="620"/>
        <v>0</v>
      </c>
      <c r="AO436" s="527">
        <f t="shared" si="620"/>
        <v>0</v>
      </c>
      <c r="AP436" s="527">
        <f t="shared" si="620"/>
        <v>0</v>
      </c>
      <c r="AQ436" s="527">
        <f t="shared" si="620"/>
        <v>0</v>
      </c>
      <c r="AR436" s="527">
        <f t="shared" si="620"/>
        <v>0</v>
      </c>
      <c r="AS436" s="527">
        <f t="shared" si="620"/>
        <v>0</v>
      </c>
      <c r="AT436" s="527">
        <f t="shared" si="620"/>
        <v>0</v>
      </c>
      <c r="AU436" s="527">
        <f t="shared" si="620"/>
        <v>0</v>
      </c>
      <c r="AV436" s="527">
        <f t="shared" si="620"/>
        <v>0</v>
      </c>
      <c r="AW436" s="527">
        <f t="shared" si="620"/>
        <v>0</v>
      </c>
      <c r="AX436" s="527">
        <f t="shared" ref="AX436:BY436" si="621">AX479*-$W160*$R160</f>
        <v>0</v>
      </c>
      <c r="AY436" s="527">
        <f t="shared" si="621"/>
        <v>0</v>
      </c>
      <c r="AZ436" s="527">
        <f t="shared" si="621"/>
        <v>0</v>
      </c>
      <c r="BA436" s="527">
        <f t="shared" si="621"/>
        <v>0</v>
      </c>
      <c r="BB436" s="527">
        <f t="shared" si="621"/>
        <v>0</v>
      </c>
      <c r="BC436" s="527">
        <f t="shared" si="621"/>
        <v>0</v>
      </c>
      <c r="BD436" s="527">
        <f t="shared" si="621"/>
        <v>0</v>
      </c>
      <c r="BE436" s="527">
        <f t="shared" si="621"/>
        <v>0</v>
      </c>
      <c r="BF436" s="527">
        <f t="shared" si="621"/>
        <v>0</v>
      </c>
      <c r="BG436" s="527">
        <f t="shared" si="621"/>
        <v>0</v>
      </c>
      <c r="BH436" s="527">
        <f t="shared" si="621"/>
        <v>0</v>
      </c>
      <c r="BI436" s="527">
        <f t="shared" si="621"/>
        <v>0</v>
      </c>
      <c r="BJ436" s="527">
        <f t="shared" si="621"/>
        <v>0</v>
      </c>
      <c r="BK436" s="527">
        <f t="shared" si="621"/>
        <v>0</v>
      </c>
      <c r="BL436" s="527">
        <f t="shared" si="621"/>
        <v>0</v>
      </c>
      <c r="BM436" s="527">
        <f t="shared" si="621"/>
        <v>0</v>
      </c>
      <c r="BN436" s="527">
        <f t="shared" si="621"/>
        <v>0</v>
      </c>
      <c r="BO436" s="527">
        <f t="shared" si="621"/>
        <v>0</v>
      </c>
      <c r="BP436" s="527">
        <f t="shared" si="621"/>
        <v>0</v>
      </c>
      <c r="BQ436" s="527">
        <f t="shared" si="621"/>
        <v>0</v>
      </c>
      <c r="BR436" s="527">
        <f t="shared" si="621"/>
        <v>0</v>
      </c>
      <c r="BS436" s="527">
        <f t="shared" si="621"/>
        <v>0</v>
      </c>
      <c r="BT436" s="527">
        <f t="shared" si="621"/>
        <v>0</v>
      </c>
      <c r="BU436" s="527">
        <f t="shared" si="621"/>
        <v>0</v>
      </c>
      <c r="BV436" s="527">
        <f t="shared" si="621"/>
        <v>0</v>
      </c>
      <c r="BW436" s="527">
        <f t="shared" si="621"/>
        <v>0</v>
      </c>
      <c r="BX436" s="527">
        <f t="shared" si="621"/>
        <v>0</v>
      </c>
      <c r="BY436" s="527">
        <f t="shared" si="621"/>
        <v>0</v>
      </c>
    </row>
    <row r="437" spans="1:77" x14ac:dyDescent="0.3">
      <c r="A437" s="551"/>
      <c r="B437" s="548"/>
      <c r="C437" s="525"/>
      <c r="D437" s="525"/>
      <c r="E437" s="572" t="s">
        <v>36</v>
      </c>
      <c r="F437" s="572"/>
      <c r="G437" s="572"/>
      <c r="H437" s="572"/>
      <c r="I437" s="572"/>
      <c r="J437" s="572"/>
      <c r="K437" s="572"/>
      <c r="L437" s="572"/>
      <c r="M437" s="572"/>
      <c r="N437" s="572"/>
      <c r="O437" s="572"/>
      <c r="P437" s="612"/>
      <c r="Q437" s="572"/>
      <c r="R437" s="530">
        <f t="shared" ref="R437:AW437" si="622">SUM(R431:R436)</f>
        <v>0</v>
      </c>
      <c r="S437" s="530">
        <f t="shared" si="622"/>
        <v>0</v>
      </c>
      <c r="T437" s="530">
        <f t="shared" si="622"/>
        <v>0</v>
      </c>
      <c r="U437" s="530">
        <f t="shared" si="622"/>
        <v>0</v>
      </c>
      <c r="V437" s="530">
        <f t="shared" si="622"/>
        <v>0</v>
      </c>
      <c r="W437" s="530">
        <f t="shared" si="622"/>
        <v>-686941.98161725083</v>
      </c>
      <c r="X437" s="530">
        <f t="shared" si="622"/>
        <v>0</v>
      </c>
      <c r="Y437" s="530">
        <f t="shared" si="622"/>
        <v>0</v>
      </c>
      <c r="Z437" s="530">
        <f t="shared" si="622"/>
        <v>0</v>
      </c>
      <c r="AA437" s="530">
        <f t="shared" si="622"/>
        <v>0</v>
      </c>
      <c r="AB437" s="530">
        <f t="shared" si="622"/>
        <v>0</v>
      </c>
      <c r="AC437" s="530">
        <f t="shared" si="622"/>
        <v>0</v>
      </c>
      <c r="AD437" s="530">
        <f t="shared" si="622"/>
        <v>0</v>
      </c>
      <c r="AE437" s="530">
        <f t="shared" si="622"/>
        <v>0</v>
      </c>
      <c r="AF437" s="530">
        <f t="shared" si="622"/>
        <v>0</v>
      </c>
      <c r="AG437" s="530">
        <f t="shared" si="622"/>
        <v>0</v>
      </c>
      <c r="AH437" s="530">
        <f t="shared" si="622"/>
        <v>0</v>
      </c>
      <c r="AI437" s="530">
        <f t="shared" si="622"/>
        <v>-703462.79906662356</v>
      </c>
      <c r="AJ437" s="530">
        <f t="shared" si="622"/>
        <v>0</v>
      </c>
      <c r="AK437" s="530">
        <f t="shared" si="622"/>
        <v>0</v>
      </c>
      <c r="AL437" s="530">
        <f t="shared" si="622"/>
        <v>0</v>
      </c>
      <c r="AM437" s="530">
        <f t="shared" si="622"/>
        <v>0</v>
      </c>
      <c r="AN437" s="530">
        <f t="shared" si="622"/>
        <v>0</v>
      </c>
      <c r="AO437" s="530">
        <f t="shared" si="622"/>
        <v>0</v>
      </c>
      <c r="AP437" s="530">
        <f t="shared" si="622"/>
        <v>0</v>
      </c>
      <c r="AQ437" s="530">
        <f t="shared" si="622"/>
        <v>0</v>
      </c>
      <c r="AR437" s="530">
        <f t="shared" si="622"/>
        <v>0</v>
      </c>
      <c r="AS437" s="530">
        <f t="shared" si="622"/>
        <v>0</v>
      </c>
      <c r="AT437" s="530">
        <f t="shared" si="622"/>
        <v>0</v>
      </c>
      <c r="AU437" s="530">
        <f t="shared" si="622"/>
        <v>-719258.64702164987</v>
      </c>
      <c r="AV437" s="530">
        <f t="shared" si="622"/>
        <v>0</v>
      </c>
      <c r="AW437" s="530">
        <f t="shared" si="622"/>
        <v>0</v>
      </c>
      <c r="AX437" s="530">
        <f t="shared" ref="AX437:BY437" si="623">SUM(AX431:AX436)</f>
        <v>0</v>
      </c>
      <c r="AY437" s="530">
        <f t="shared" si="623"/>
        <v>0</v>
      </c>
      <c r="AZ437" s="530">
        <f t="shared" si="623"/>
        <v>0</v>
      </c>
      <c r="BA437" s="530">
        <f t="shared" si="623"/>
        <v>0</v>
      </c>
      <c r="BB437" s="530">
        <f t="shared" si="623"/>
        <v>0</v>
      </c>
      <c r="BC437" s="530">
        <f t="shared" si="623"/>
        <v>0</v>
      </c>
      <c r="BD437" s="530">
        <f t="shared" si="623"/>
        <v>0</v>
      </c>
      <c r="BE437" s="530">
        <f t="shared" si="623"/>
        <v>0</v>
      </c>
      <c r="BF437" s="530">
        <f t="shared" si="623"/>
        <v>0</v>
      </c>
      <c r="BG437" s="530">
        <f t="shared" si="623"/>
        <v>-734131.21031000605</v>
      </c>
      <c r="BH437" s="530">
        <f t="shared" si="623"/>
        <v>0</v>
      </c>
      <c r="BI437" s="530">
        <f t="shared" si="623"/>
        <v>0</v>
      </c>
      <c r="BJ437" s="530">
        <f t="shared" si="623"/>
        <v>0</v>
      </c>
      <c r="BK437" s="530">
        <f t="shared" si="623"/>
        <v>0</v>
      </c>
      <c r="BL437" s="530">
        <f t="shared" si="623"/>
        <v>0</v>
      </c>
      <c r="BM437" s="530">
        <f t="shared" si="623"/>
        <v>0</v>
      </c>
      <c r="BN437" s="530">
        <f t="shared" si="623"/>
        <v>0</v>
      </c>
      <c r="BO437" s="530">
        <f t="shared" si="623"/>
        <v>0</v>
      </c>
      <c r="BP437" s="530">
        <f t="shared" si="623"/>
        <v>0</v>
      </c>
      <c r="BQ437" s="530">
        <f t="shared" si="623"/>
        <v>0</v>
      </c>
      <c r="BR437" s="530">
        <f t="shared" si="623"/>
        <v>0</v>
      </c>
      <c r="BS437" s="530">
        <f t="shared" si="623"/>
        <v>-748458.49815847725</v>
      </c>
      <c r="BT437" s="530">
        <f t="shared" si="623"/>
        <v>0</v>
      </c>
      <c r="BU437" s="530">
        <f t="shared" si="623"/>
        <v>0</v>
      </c>
      <c r="BV437" s="530">
        <f t="shared" si="623"/>
        <v>0</v>
      </c>
      <c r="BW437" s="530">
        <f t="shared" si="623"/>
        <v>0</v>
      </c>
      <c r="BX437" s="530">
        <f t="shared" si="623"/>
        <v>0</v>
      </c>
      <c r="BY437" s="530">
        <f t="shared" si="623"/>
        <v>0</v>
      </c>
    </row>
    <row r="438" spans="1:77" x14ac:dyDescent="0.3">
      <c r="A438" s="551"/>
      <c r="B438" s="548"/>
      <c r="C438" s="525"/>
      <c r="D438" s="525"/>
      <c r="E438" s="525"/>
      <c r="F438" s="525"/>
      <c r="G438" s="525"/>
      <c r="H438" s="525"/>
      <c r="I438" s="525"/>
      <c r="J438" s="525"/>
      <c r="K438" s="525"/>
      <c r="L438" s="525"/>
      <c r="M438" s="525"/>
      <c r="N438" s="525"/>
      <c r="O438" s="525"/>
      <c r="P438" s="565"/>
      <c r="Q438" s="525"/>
      <c r="R438" s="525"/>
      <c r="S438" s="525"/>
      <c r="T438" s="525"/>
      <c r="U438" s="525"/>
      <c r="V438" s="525"/>
      <c r="W438" s="525"/>
      <c r="X438" s="525"/>
      <c r="Y438" s="525"/>
      <c r="Z438" s="525"/>
      <c r="AA438" s="525"/>
      <c r="AB438" s="525"/>
      <c r="AC438" s="525"/>
      <c r="AD438" s="525"/>
      <c r="AE438" s="525"/>
      <c r="AF438" s="525"/>
      <c r="AG438" s="525"/>
      <c r="AH438" s="525"/>
      <c r="AI438" s="525"/>
      <c r="AJ438" s="525"/>
      <c r="AK438" s="525"/>
      <c r="AL438" s="525"/>
      <c r="AM438" s="525"/>
      <c r="AN438" s="525"/>
      <c r="AO438" s="525"/>
      <c r="AP438" s="525"/>
      <c r="AQ438" s="525"/>
      <c r="AR438" s="525"/>
      <c r="AS438" s="525"/>
      <c r="AT438" s="525"/>
      <c r="AU438" s="525"/>
      <c r="AV438" s="525"/>
      <c r="AW438" s="525"/>
      <c r="AX438" s="525"/>
      <c r="AY438" s="525"/>
      <c r="AZ438" s="525"/>
      <c r="BA438" s="525"/>
      <c r="BB438" s="525"/>
      <c r="BC438" s="525"/>
      <c r="BD438" s="525"/>
      <c r="BE438" s="525"/>
      <c r="BF438" s="525"/>
      <c r="BG438" s="525"/>
      <c r="BH438" s="525"/>
      <c r="BI438" s="525"/>
      <c r="BJ438" s="525"/>
      <c r="BK438" s="525"/>
      <c r="BL438" s="525"/>
      <c r="BM438" s="525"/>
      <c r="BN438" s="525"/>
      <c r="BO438" s="525"/>
      <c r="BP438" s="525"/>
      <c r="BQ438" s="525"/>
      <c r="BR438" s="525"/>
      <c r="BS438" s="525"/>
      <c r="BT438" s="525"/>
      <c r="BU438" s="525"/>
      <c r="BV438" s="525"/>
      <c r="BW438" s="525"/>
      <c r="BX438" s="525"/>
      <c r="BY438" s="525"/>
    </row>
    <row r="439" spans="1:77" x14ac:dyDescent="0.3">
      <c r="A439" s="551"/>
      <c r="B439" s="548"/>
      <c r="C439" s="525"/>
      <c r="D439" s="525"/>
      <c r="E439" s="646" t="str">
        <f>"Maintenance capex: "&amp;E$155</f>
        <v>Maintenance capex: FY27 Tranche</v>
      </c>
      <c r="F439" s="525"/>
      <c r="G439" s="525"/>
      <c r="H439" s="525"/>
      <c r="I439" s="525"/>
      <c r="J439" s="525"/>
      <c r="K439" s="525"/>
      <c r="L439" s="525"/>
      <c r="M439" s="525"/>
      <c r="N439" s="525"/>
      <c r="O439" s="525"/>
      <c r="P439" s="565"/>
      <c r="Q439" s="525"/>
      <c r="R439" s="527">
        <f t="shared" ref="R439:AW439" si="624">(R$622*$R155)</f>
        <v>-11560</v>
      </c>
      <c r="S439" s="527">
        <f t="shared" si="624"/>
        <v>-11560</v>
      </c>
      <c r="T439" s="527">
        <f t="shared" si="624"/>
        <v>-11560</v>
      </c>
      <c r="U439" s="527">
        <f t="shared" si="624"/>
        <v>-11560</v>
      </c>
      <c r="V439" s="527">
        <f t="shared" si="624"/>
        <v>-11560</v>
      </c>
      <c r="W439" s="527">
        <f t="shared" si="624"/>
        <v>-11560</v>
      </c>
      <c r="X439" s="527">
        <f t="shared" si="624"/>
        <v>-11560</v>
      </c>
      <c r="Y439" s="527">
        <f t="shared" si="624"/>
        <v>-11560</v>
      </c>
      <c r="Z439" s="527">
        <f t="shared" si="624"/>
        <v>-11560</v>
      </c>
      <c r="AA439" s="527">
        <f t="shared" si="624"/>
        <v>-11560</v>
      </c>
      <c r="AB439" s="527">
        <f t="shared" si="624"/>
        <v>-11560</v>
      </c>
      <c r="AC439" s="527">
        <f t="shared" si="624"/>
        <v>-11560</v>
      </c>
      <c r="AD439" s="527">
        <f t="shared" si="624"/>
        <v>-11791.2</v>
      </c>
      <c r="AE439" s="527">
        <f t="shared" si="624"/>
        <v>-11791.2</v>
      </c>
      <c r="AF439" s="527">
        <f t="shared" si="624"/>
        <v>-11791.2</v>
      </c>
      <c r="AG439" s="527">
        <f t="shared" si="624"/>
        <v>-11791.2</v>
      </c>
      <c r="AH439" s="527">
        <f t="shared" si="624"/>
        <v>-11791.2</v>
      </c>
      <c r="AI439" s="527">
        <f t="shared" si="624"/>
        <v>-11791.2</v>
      </c>
      <c r="AJ439" s="527">
        <f t="shared" si="624"/>
        <v>-11791.2</v>
      </c>
      <c r="AK439" s="527">
        <f t="shared" si="624"/>
        <v>-11791.2</v>
      </c>
      <c r="AL439" s="527">
        <f t="shared" si="624"/>
        <v>-11791.2</v>
      </c>
      <c r="AM439" s="527">
        <f t="shared" si="624"/>
        <v>-11791.2</v>
      </c>
      <c r="AN439" s="527">
        <f t="shared" si="624"/>
        <v>-11791.2</v>
      </c>
      <c r="AO439" s="527">
        <f t="shared" si="624"/>
        <v>-11791.2</v>
      </c>
      <c r="AP439" s="527">
        <f t="shared" si="624"/>
        <v>-12027.023999999999</v>
      </c>
      <c r="AQ439" s="527">
        <f t="shared" si="624"/>
        <v>-12027.023999999999</v>
      </c>
      <c r="AR439" s="527">
        <f t="shared" si="624"/>
        <v>-12027.023999999999</v>
      </c>
      <c r="AS439" s="527">
        <f t="shared" si="624"/>
        <v>-12027.023999999999</v>
      </c>
      <c r="AT439" s="527">
        <f t="shared" si="624"/>
        <v>-12027.023999999999</v>
      </c>
      <c r="AU439" s="527">
        <f t="shared" si="624"/>
        <v>-12027.023999999999</v>
      </c>
      <c r="AV439" s="527">
        <f t="shared" si="624"/>
        <v>-12027.023999999999</v>
      </c>
      <c r="AW439" s="527">
        <f t="shared" si="624"/>
        <v>-12027.023999999999</v>
      </c>
      <c r="AX439" s="527">
        <f t="shared" ref="AX439:BY439" si="625">(AX$622*$R155)</f>
        <v>-12027.023999999999</v>
      </c>
      <c r="AY439" s="527">
        <f t="shared" si="625"/>
        <v>-12027.023999999999</v>
      </c>
      <c r="AZ439" s="527">
        <f t="shared" si="625"/>
        <v>-12027.023999999999</v>
      </c>
      <c r="BA439" s="527">
        <f t="shared" si="625"/>
        <v>-12027.023999999999</v>
      </c>
      <c r="BB439" s="527">
        <f t="shared" si="625"/>
        <v>-12267.564480000001</v>
      </c>
      <c r="BC439" s="527">
        <f t="shared" si="625"/>
        <v>-12267.564480000001</v>
      </c>
      <c r="BD439" s="527">
        <f t="shared" si="625"/>
        <v>-12267.564480000001</v>
      </c>
      <c r="BE439" s="527">
        <f t="shared" si="625"/>
        <v>-12267.564480000001</v>
      </c>
      <c r="BF439" s="527">
        <f t="shared" si="625"/>
        <v>-12267.564480000001</v>
      </c>
      <c r="BG439" s="527">
        <f t="shared" si="625"/>
        <v>-12267.564480000001</v>
      </c>
      <c r="BH439" s="527">
        <f t="shared" si="625"/>
        <v>-12267.564480000001</v>
      </c>
      <c r="BI439" s="527">
        <f t="shared" si="625"/>
        <v>-12267.564480000001</v>
      </c>
      <c r="BJ439" s="527">
        <f t="shared" si="625"/>
        <v>-12267.564480000001</v>
      </c>
      <c r="BK439" s="527">
        <f t="shared" si="625"/>
        <v>-12267.564480000001</v>
      </c>
      <c r="BL439" s="527">
        <f t="shared" si="625"/>
        <v>-12267.564480000001</v>
      </c>
      <c r="BM439" s="527">
        <f t="shared" si="625"/>
        <v>-12267.564480000001</v>
      </c>
      <c r="BN439" s="527">
        <f t="shared" si="625"/>
        <v>-12512.9157696</v>
      </c>
      <c r="BO439" s="527">
        <f t="shared" si="625"/>
        <v>-12512.9157696</v>
      </c>
      <c r="BP439" s="527">
        <f t="shared" si="625"/>
        <v>-12512.9157696</v>
      </c>
      <c r="BQ439" s="527">
        <f t="shared" si="625"/>
        <v>-12512.9157696</v>
      </c>
      <c r="BR439" s="527">
        <f t="shared" si="625"/>
        <v>-12512.9157696</v>
      </c>
      <c r="BS439" s="527">
        <f t="shared" si="625"/>
        <v>-12512.9157696</v>
      </c>
      <c r="BT439" s="527">
        <f t="shared" si="625"/>
        <v>-12512.9157696</v>
      </c>
      <c r="BU439" s="527">
        <f t="shared" si="625"/>
        <v>-12512.9157696</v>
      </c>
      <c r="BV439" s="527">
        <f t="shared" si="625"/>
        <v>-12512.9157696</v>
      </c>
      <c r="BW439" s="527">
        <f t="shared" si="625"/>
        <v>-12512.9157696</v>
      </c>
      <c r="BX439" s="527">
        <f t="shared" si="625"/>
        <v>-12512.9157696</v>
      </c>
      <c r="BY439" s="527">
        <f t="shared" si="625"/>
        <v>-12512.9157696</v>
      </c>
    </row>
    <row r="440" spans="1:77" x14ac:dyDescent="0.3">
      <c r="A440" s="551"/>
      <c r="B440" s="548"/>
      <c r="C440" s="525"/>
      <c r="D440" s="525"/>
      <c r="E440" s="646" t="str">
        <f>"Maintenance capex: "&amp;E$156</f>
        <v>Maintenance capex: FY28 Tranche</v>
      </c>
      <c r="F440" s="525"/>
      <c r="G440" s="525"/>
      <c r="H440" s="525"/>
      <c r="I440" s="525"/>
      <c r="J440" s="525"/>
      <c r="K440" s="525"/>
      <c r="L440" s="525"/>
      <c r="M440" s="525"/>
      <c r="N440" s="525"/>
      <c r="O440" s="525"/>
      <c r="P440" s="565"/>
      <c r="Q440" s="525"/>
      <c r="R440" s="527">
        <f t="shared" ref="R440:AW440" si="626">(R$622*$R156)</f>
        <v>-11560</v>
      </c>
      <c r="S440" s="527">
        <f t="shared" si="626"/>
        <v>-11560</v>
      </c>
      <c r="T440" s="527">
        <f t="shared" si="626"/>
        <v>-11560</v>
      </c>
      <c r="U440" s="527">
        <f t="shared" si="626"/>
        <v>-11560</v>
      </c>
      <c r="V440" s="527">
        <f t="shared" si="626"/>
        <v>-11560</v>
      </c>
      <c r="W440" s="527">
        <f t="shared" si="626"/>
        <v>-11560</v>
      </c>
      <c r="X440" s="527">
        <f t="shared" si="626"/>
        <v>-11560</v>
      </c>
      <c r="Y440" s="527">
        <f t="shared" si="626"/>
        <v>-11560</v>
      </c>
      <c r="Z440" s="527">
        <f t="shared" si="626"/>
        <v>-11560</v>
      </c>
      <c r="AA440" s="527">
        <f t="shared" si="626"/>
        <v>-11560</v>
      </c>
      <c r="AB440" s="527">
        <f t="shared" si="626"/>
        <v>-11560</v>
      </c>
      <c r="AC440" s="527">
        <f t="shared" si="626"/>
        <v>-11560</v>
      </c>
      <c r="AD440" s="527">
        <f t="shared" si="626"/>
        <v>-11791.2</v>
      </c>
      <c r="AE440" s="527">
        <f t="shared" si="626"/>
        <v>-11791.2</v>
      </c>
      <c r="AF440" s="527">
        <f t="shared" si="626"/>
        <v>-11791.2</v>
      </c>
      <c r="AG440" s="527">
        <f t="shared" si="626"/>
        <v>-11791.2</v>
      </c>
      <c r="AH440" s="527">
        <f t="shared" si="626"/>
        <v>-11791.2</v>
      </c>
      <c r="AI440" s="527">
        <f t="shared" si="626"/>
        <v>-11791.2</v>
      </c>
      <c r="AJ440" s="527">
        <f t="shared" si="626"/>
        <v>-11791.2</v>
      </c>
      <c r="AK440" s="527">
        <f t="shared" si="626"/>
        <v>-11791.2</v>
      </c>
      <c r="AL440" s="527">
        <f t="shared" si="626"/>
        <v>-11791.2</v>
      </c>
      <c r="AM440" s="527">
        <f t="shared" si="626"/>
        <v>-11791.2</v>
      </c>
      <c r="AN440" s="527">
        <f t="shared" si="626"/>
        <v>-11791.2</v>
      </c>
      <c r="AO440" s="527">
        <f t="shared" si="626"/>
        <v>-11791.2</v>
      </c>
      <c r="AP440" s="527">
        <f t="shared" si="626"/>
        <v>-12027.023999999999</v>
      </c>
      <c r="AQ440" s="527">
        <f t="shared" si="626"/>
        <v>-12027.023999999999</v>
      </c>
      <c r="AR440" s="527">
        <f t="shared" si="626"/>
        <v>-12027.023999999999</v>
      </c>
      <c r="AS440" s="527">
        <f t="shared" si="626"/>
        <v>-12027.023999999999</v>
      </c>
      <c r="AT440" s="527">
        <f t="shared" si="626"/>
        <v>-12027.023999999999</v>
      </c>
      <c r="AU440" s="527">
        <f t="shared" si="626"/>
        <v>-12027.023999999999</v>
      </c>
      <c r="AV440" s="527">
        <f t="shared" si="626"/>
        <v>-12027.023999999999</v>
      </c>
      <c r="AW440" s="527">
        <f t="shared" si="626"/>
        <v>-12027.023999999999</v>
      </c>
      <c r="AX440" s="527">
        <f t="shared" ref="AX440:BY440" si="627">(AX$622*$R156)</f>
        <v>-12027.023999999999</v>
      </c>
      <c r="AY440" s="527">
        <f t="shared" si="627"/>
        <v>-12027.023999999999</v>
      </c>
      <c r="AZ440" s="527">
        <f t="shared" si="627"/>
        <v>-12027.023999999999</v>
      </c>
      <c r="BA440" s="527">
        <f t="shared" si="627"/>
        <v>-12027.023999999999</v>
      </c>
      <c r="BB440" s="527">
        <f t="shared" si="627"/>
        <v>-12267.564480000001</v>
      </c>
      <c r="BC440" s="527">
        <f t="shared" si="627"/>
        <v>-12267.564480000001</v>
      </c>
      <c r="BD440" s="527">
        <f t="shared" si="627"/>
        <v>-12267.564480000001</v>
      </c>
      <c r="BE440" s="527">
        <f t="shared" si="627"/>
        <v>-12267.564480000001</v>
      </c>
      <c r="BF440" s="527">
        <f t="shared" si="627"/>
        <v>-12267.564480000001</v>
      </c>
      <c r="BG440" s="527">
        <f t="shared" si="627"/>
        <v>-12267.564480000001</v>
      </c>
      <c r="BH440" s="527">
        <f t="shared" si="627"/>
        <v>-12267.564480000001</v>
      </c>
      <c r="BI440" s="527">
        <f t="shared" si="627"/>
        <v>-12267.564480000001</v>
      </c>
      <c r="BJ440" s="527">
        <f t="shared" si="627"/>
        <v>-12267.564480000001</v>
      </c>
      <c r="BK440" s="527">
        <f t="shared" si="627"/>
        <v>-12267.564480000001</v>
      </c>
      <c r="BL440" s="527">
        <f t="shared" si="627"/>
        <v>-12267.564480000001</v>
      </c>
      <c r="BM440" s="527">
        <f t="shared" si="627"/>
        <v>-12267.564480000001</v>
      </c>
      <c r="BN440" s="527">
        <f t="shared" si="627"/>
        <v>-12512.9157696</v>
      </c>
      <c r="BO440" s="527">
        <f t="shared" si="627"/>
        <v>-12512.9157696</v>
      </c>
      <c r="BP440" s="527">
        <f t="shared" si="627"/>
        <v>-12512.9157696</v>
      </c>
      <c r="BQ440" s="527">
        <f t="shared" si="627"/>
        <v>-12512.9157696</v>
      </c>
      <c r="BR440" s="527">
        <f t="shared" si="627"/>
        <v>-12512.9157696</v>
      </c>
      <c r="BS440" s="527">
        <f t="shared" si="627"/>
        <v>-12512.9157696</v>
      </c>
      <c r="BT440" s="527">
        <f t="shared" si="627"/>
        <v>-12512.9157696</v>
      </c>
      <c r="BU440" s="527">
        <f t="shared" si="627"/>
        <v>-12512.9157696</v>
      </c>
      <c r="BV440" s="527">
        <f t="shared" si="627"/>
        <v>-12512.9157696</v>
      </c>
      <c r="BW440" s="527">
        <f t="shared" si="627"/>
        <v>-12512.9157696</v>
      </c>
      <c r="BX440" s="527">
        <f t="shared" si="627"/>
        <v>-12512.9157696</v>
      </c>
      <c r="BY440" s="527">
        <f t="shared" si="627"/>
        <v>-12512.9157696</v>
      </c>
    </row>
    <row r="441" spans="1:77" x14ac:dyDescent="0.3">
      <c r="A441" s="551"/>
      <c r="B441" s="548"/>
      <c r="C441" s="525"/>
      <c r="D441" s="525"/>
      <c r="E441" s="646" t="str">
        <f>"Maintenance capex: "&amp;E$157</f>
        <v>Maintenance capex: FY29 Tranche</v>
      </c>
      <c r="F441" s="525"/>
      <c r="G441" s="525"/>
      <c r="H441" s="525"/>
      <c r="I441" s="525"/>
      <c r="J441" s="525"/>
      <c r="K441" s="525"/>
      <c r="L441" s="525"/>
      <c r="M441" s="525"/>
      <c r="N441" s="525"/>
      <c r="O441" s="525"/>
      <c r="P441" s="565"/>
      <c r="Q441" s="525"/>
      <c r="R441" s="527">
        <f t="shared" ref="R441:AW441" si="628">(R$622*$R157)</f>
        <v>-11560</v>
      </c>
      <c r="S441" s="527">
        <f t="shared" si="628"/>
        <v>-11560</v>
      </c>
      <c r="T441" s="527">
        <f t="shared" si="628"/>
        <v>-11560</v>
      </c>
      <c r="U441" s="527">
        <f t="shared" si="628"/>
        <v>-11560</v>
      </c>
      <c r="V441" s="527">
        <f t="shared" si="628"/>
        <v>-11560</v>
      </c>
      <c r="W441" s="527">
        <f t="shared" si="628"/>
        <v>-11560</v>
      </c>
      <c r="X441" s="527">
        <f t="shared" si="628"/>
        <v>-11560</v>
      </c>
      <c r="Y441" s="527">
        <f t="shared" si="628"/>
        <v>-11560</v>
      </c>
      <c r="Z441" s="527">
        <f t="shared" si="628"/>
        <v>-11560</v>
      </c>
      <c r="AA441" s="527">
        <f t="shared" si="628"/>
        <v>-11560</v>
      </c>
      <c r="AB441" s="527">
        <f t="shared" si="628"/>
        <v>-11560</v>
      </c>
      <c r="AC441" s="527">
        <f t="shared" si="628"/>
        <v>-11560</v>
      </c>
      <c r="AD441" s="527">
        <f t="shared" si="628"/>
        <v>-11791.2</v>
      </c>
      <c r="AE441" s="527">
        <f t="shared" si="628"/>
        <v>-11791.2</v>
      </c>
      <c r="AF441" s="527">
        <f t="shared" si="628"/>
        <v>-11791.2</v>
      </c>
      <c r="AG441" s="527">
        <f t="shared" si="628"/>
        <v>-11791.2</v>
      </c>
      <c r="AH441" s="527">
        <f t="shared" si="628"/>
        <v>-11791.2</v>
      </c>
      <c r="AI441" s="527">
        <f t="shared" si="628"/>
        <v>-11791.2</v>
      </c>
      <c r="AJ441" s="527">
        <f t="shared" si="628"/>
        <v>-11791.2</v>
      </c>
      <c r="AK441" s="527">
        <f t="shared" si="628"/>
        <v>-11791.2</v>
      </c>
      <c r="AL441" s="527">
        <f t="shared" si="628"/>
        <v>-11791.2</v>
      </c>
      <c r="AM441" s="527">
        <f t="shared" si="628"/>
        <v>-11791.2</v>
      </c>
      <c r="AN441" s="527">
        <f t="shared" si="628"/>
        <v>-11791.2</v>
      </c>
      <c r="AO441" s="527">
        <f t="shared" si="628"/>
        <v>-11791.2</v>
      </c>
      <c r="AP441" s="527">
        <f t="shared" si="628"/>
        <v>-12027.023999999999</v>
      </c>
      <c r="AQ441" s="527">
        <f t="shared" si="628"/>
        <v>-12027.023999999999</v>
      </c>
      <c r="AR441" s="527">
        <f t="shared" si="628"/>
        <v>-12027.023999999999</v>
      </c>
      <c r="AS441" s="527">
        <f t="shared" si="628"/>
        <v>-12027.023999999999</v>
      </c>
      <c r="AT441" s="527">
        <f t="shared" si="628"/>
        <v>-12027.023999999999</v>
      </c>
      <c r="AU441" s="527">
        <f t="shared" si="628"/>
        <v>-12027.023999999999</v>
      </c>
      <c r="AV441" s="527">
        <f t="shared" si="628"/>
        <v>-12027.023999999999</v>
      </c>
      <c r="AW441" s="527">
        <f t="shared" si="628"/>
        <v>-12027.023999999999</v>
      </c>
      <c r="AX441" s="527">
        <f t="shared" ref="AX441:BY441" si="629">(AX$622*$R157)</f>
        <v>-12027.023999999999</v>
      </c>
      <c r="AY441" s="527">
        <f t="shared" si="629"/>
        <v>-12027.023999999999</v>
      </c>
      <c r="AZ441" s="527">
        <f t="shared" si="629"/>
        <v>-12027.023999999999</v>
      </c>
      <c r="BA441" s="527">
        <f t="shared" si="629"/>
        <v>-12027.023999999999</v>
      </c>
      <c r="BB441" s="527">
        <f t="shared" si="629"/>
        <v>-12267.564480000001</v>
      </c>
      <c r="BC441" s="527">
        <f t="shared" si="629"/>
        <v>-12267.564480000001</v>
      </c>
      <c r="BD441" s="527">
        <f t="shared" si="629"/>
        <v>-12267.564480000001</v>
      </c>
      <c r="BE441" s="527">
        <f t="shared" si="629"/>
        <v>-12267.564480000001</v>
      </c>
      <c r="BF441" s="527">
        <f t="shared" si="629"/>
        <v>-12267.564480000001</v>
      </c>
      <c r="BG441" s="527">
        <f t="shared" si="629"/>
        <v>-12267.564480000001</v>
      </c>
      <c r="BH441" s="527">
        <f t="shared" si="629"/>
        <v>-12267.564480000001</v>
      </c>
      <c r="BI441" s="527">
        <f t="shared" si="629"/>
        <v>-12267.564480000001</v>
      </c>
      <c r="BJ441" s="527">
        <f t="shared" si="629"/>
        <v>-12267.564480000001</v>
      </c>
      <c r="BK441" s="527">
        <f t="shared" si="629"/>
        <v>-12267.564480000001</v>
      </c>
      <c r="BL441" s="527">
        <f t="shared" si="629"/>
        <v>-12267.564480000001</v>
      </c>
      <c r="BM441" s="527">
        <f t="shared" si="629"/>
        <v>-12267.564480000001</v>
      </c>
      <c r="BN441" s="527">
        <f t="shared" si="629"/>
        <v>-12512.9157696</v>
      </c>
      <c r="BO441" s="527">
        <f t="shared" si="629"/>
        <v>-12512.9157696</v>
      </c>
      <c r="BP441" s="527">
        <f t="shared" si="629"/>
        <v>-12512.9157696</v>
      </c>
      <c r="BQ441" s="527">
        <f t="shared" si="629"/>
        <v>-12512.9157696</v>
      </c>
      <c r="BR441" s="527">
        <f t="shared" si="629"/>
        <v>-12512.9157696</v>
      </c>
      <c r="BS441" s="527">
        <f t="shared" si="629"/>
        <v>-12512.9157696</v>
      </c>
      <c r="BT441" s="527">
        <f t="shared" si="629"/>
        <v>-12512.9157696</v>
      </c>
      <c r="BU441" s="527">
        <f t="shared" si="629"/>
        <v>-12512.9157696</v>
      </c>
      <c r="BV441" s="527">
        <f t="shared" si="629"/>
        <v>-12512.9157696</v>
      </c>
      <c r="BW441" s="527">
        <f t="shared" si="629"/>
        <v>-12512.9157696</v>
      </c>
      <c r="BX441" s="527">
        <f t="shared" si="629"/>
        <v>-12512.9157696</v>
      </c>
      <c r="BY441" s="527">
        <f t="shared" si="629"/>
        <v>-12512.9157696</v>
      </c>
    </row>
    <row r="442" spans="1:77" x14ac:dyDescent="0.3">
      <c r="A442" s="551"/>
      <c r="B442" s="548"/>
      <c r="C442" s="525"/>
      <c r="D442" s="525"/>
      <c r="E442" s="646" t="str">
        <f>"Maintenance capex: "&amp;E$158</f>
        <v>Maintenance capex: FY30 Tranche</v>
      </c>
      <c r="F442" s="525"/>
      <c r="G442" s="525"/>
      <c r="H442" s="525"/>
      <c r="I442" s="525"/>
      <c r="J442" s="525"/>
      <c r="K442" s="525"/>
      <c r="L442" s="525"/>
      <c r="M442" s="525"/>
      <c r="N442" s="525"/>
      <c r="O442" s="525"/>
      <c r="P442" s="565"/>
      <c r="Q442" s="525"/>
      <c r="R442" s="527">
        <f t="shared" ref="R442:AW442" si="630">(R$622*$R158)</f>
        <v>-11560</v>
      </c>
      <c r="S442" s="527">
        <f t="shared" si="630"/>
        <v>-11560</v>
      </c>
      <c r="T442" s="527">
        <f t="shared" si="630"/>
        <v>-11560</v>
      </c>
      <c r="U442" s="527">
        <f t="shared" si="630"/>
        <v>-11560</v>
      </c>
      <c r="V442" s="527">
        <f t="shared" si="630"/>
        <v>-11560</v>
      </c>
      <c r="W442" s="527">
        <f t="shared" si="630"/>
        <v>-11560</v>
      </c>
      <c r="X442" s="527">
        <f t="shared" si="630"/>
        <v>-11560</v>
      </c>
      <c r="Y442" s="527">
        <f t="shared" si="630"/>
        <v>-11560</v>
      </c>
      <c r="Z442" s="527">
        <f t="shared" si="630"/>
        <v>-11560</v>
      </c>
      <c r="AA442" s="527">
        <f t="shared" si="630"/>
        <v>-11560</v>
      </c>
      <c r="AB442" s="527">
        <f t="shared" si="630"/>
        <v>-11560</v>
      </c>
      <c r="AC442" s="527">
        <f t="shared" si="630"/>
        <v>-11560</v>
      </c>
      <c r="AD442" s="527">
        <f t="shared" si="630"/>
        <v>-11791.2</v>
      </c>
      <c r="AE442" s="527">
        <f t="shared" si="630"/>
        <v>-11791.2</v>
      </c>
      <c r="AF442" s="527">
        <f t="shared" si="630"/>
        <v>-11791.2</v>
      </c>
      <c r="AG442" s="527">
        <f t="shared" si="630"/>
        <v>-11791.2</v>
      </c>
      <c r="AH442" s="527">
        <f t="shared" si="630"/>
        <v>-11791.2</v>
      </c>
      <c r="AI442" s="527">
        <f t="shared" si="630"/>
        <v>-11791.2</v>
      </c>
      <c r="AJ442" s="527">
        <f t="shared" si="630"/>
        <v>-11791.2</v>
      </c>
      <c r="AK442" s="527">
        <f t="shared" si="630"/>
        <v>-11791.2</v>
      </c>
      <c r="AL442" s="527">
        <f t="shared" si="630"/>
        <v>-11791.2</v>
      </c>
      <c r="AM442" s="527">
        <f t="shared" si="630"/>
        <v>-11791.2</v>
      </c>
      <c r="AN442" s="527">
        <f t="shared" si="630"/>
        <v>-11791.2</v>
      </c>
      <c r="AO442" s="527">
        <f t="shared" si="630"/>
        <v>-11791.2</v>
      </c>
      <c r="AP442" s="527">
        <f t="shared" si="630"/>
        <v>-12027.023999999999</v>
      </c>
      <c r="AQ442" s="527">
        <f t="shared" si="630"/>
        <v>-12027.023999999999</v>
      </c>
      <c r="AR442" s="527">
        <f t="shared" si="630"/>
        <v>-12027.023999999999</v>
      </c>
      <c r="AS442" s="527">
        <f t="shared" si="630"/>
        <v>-12027.023999999999</v>
      </c>
      <c r="AT442" s="527">
        <f t="shared" si="630"/>
        <v>-12027.023999999999</v>
      </c>
      <c r="AU442" s="527">
        <f t="shared" si="630"/>
        <v>-12027.023999999999</v>
      </c>
      <c r="AV442" s="527">
        <f t="shared" si="630"/>
        <v>-12027.023999999999</v>
      </c>
      <c r="AW442" s="527">
        <f t="shared" si="630"/>
        <v>-12027.023999999999</v>
      </c>
      <c r="AX442" s="527">
        <f t="shared" ref="AX442:BY442" si="631">(AX$622*$R158)</f>
        <v>-12027.023999999999</v>
      </c>
      <c r="AY442" s="527">
        <f t="shared" si="631"/>
        <v>-12027.023999999999</v>
      </c>
      <c r="AZ442" s="527">
        <f t="shared" si="631"/>
        <v>-12027.023999999999</v>
      </c>
      <c r="BA442" s="527">
        <f t="shared" si="631"/>
        <v>-12027.023999999999</v>
      </c>
      <c r="BB442" s="527">
        <f t="shared" si="631"/>
        <v>-12267.564480000001</v>
      </c>
      <c r="BC442" s="527">
        <f t="shared" si="631"/>
        <v>-12267.564480000001</v>
      </c>
      <c r="BD442" s="527">
        <f t="shared" si="631"/>
        <v>-12267.564480000001</v>
      </c>
      <c r="BE442" s="527">
        <f t="shared" si="631"/>
        <v>-12267.564480000001</v>
      </c>
      <c r="BF442" s="527">
        <f t="shared" si="631"/>
        <v>-12267.564480000001</v>
      </c>
      <c r="BG442" s="527">
        <f t="shared" si="631"/>
        <v>-12267.564480000001</v>
      </c>
      <c r="BH442" s="527">
        <f t="shared" si="631"/>
        <v>-12267.564480000001</v>
      </c>
      <c r="BI442" s="527">
        <f t="shared" si="631"/>
        <v>-12267.564480000001</v>
      </c>
      <c r="BJ442" s="527">
        <f t="shared" si="631"/>
        <v>-12267.564480000001</v>
      </c>
      <c r="BK442" s="527">
        <f t="shared" si="631"/>
        <v>-12267.564480000001</v>
      </c>
      <c r="BL442" s="527">
        <f t="shared" si="631"/>
        <v>-12267.564480000001</v>
      </c>
      <c r="BM442" s="527">
        <f t="shared" si="631"/>
        <v>-12267.564480000001</v>
      </c>
      <c r="BN442" s="527">
        <f t="shared" si="631"/>
        <v>-12512.9157696</v>
      </c>
      <c r="BO442" s="527">
        <f t="shared" si="631"/>
        <v>-12512.9157696</v>
      </c>
      <c r="BP442" s="527">
        <f t="shared" si="631"/>
        <v>-12512.9157696</v>
      </c>
      <c r="BQ442" s="527">
        <f t="shared" si="631"/>
        <v>-12512.9157696</v>
      </c>
      <c r="BR442" s="527">
        <f t="shared" si="631"/>
        <v>-12512.9157696</v>
      </c>
      <c r="BS442" s="527">
        <f t="shared" si="631"/>
        <v>-12512.9157696</v>
      </c>
      <c r="BT442" s="527">
        <f t="shared" si="631"/>
        <v>-12512.9157696</v>
      </c>
      <c r="BU442" s="527">
        <f t="shared" si="631"/>
        <v>-12512.9157696</v>
      </c>
      <c r="BV442" s="527">
        <f t="shared" si="631"/>
        <v>-12512.9157696</v>
      </c>
      <c r="BW442" s="527">
        <f t="shared" si="631"/>
        <v>-12512.9157696</v>
      </c>
      <c r="BX442" s="527">
        <f t="shared" si="631"/>
        <v>-12512.9157696</v>
      </c>
      <c r="BY442" s="527">
        <f t="shared" si="631"/>
        <v>-12512.9157696</v>
      </c>
    </row>
    <row r="443" spans="1:77" x14ac:dyDescent="0.3">
      <c r="A443" s="551"/>
      <c r="B443" s="548"/>
      <c r="C443" s="525"/>
      <c r="D443" s="525"/>
      <c r="E443" s="646" t="str">
        <f>"Maintenance capex: "&amp;E$159</f>
        <v>Maintenance capex: FY31 Tranche</v>
      </c>
      <c r="F443" s="525"/>
      <c r="G443" s="525"/>
      <c r="H443" s="525"/>
      <c r="I443" s="525"/>
      <c r="J443" s="525"/>
      <c r="K443" s="525"/>
      <c r="L443" s="525"/>
      <c r="M443" s="525"/>
      <c r="N443" s="525"/>
      <c r="O443" s="525"/>
      <c r="P443" s="565"/>
      <c r="Q443" s="525"/>
      <c r="R443" s="527">
        <f t="shared" ref="R443:AW443" si="632">(R$622*$R159)</f>
        <v>-11560</v>
      </c>
      <c r="S443" s="527">
        <f t="shared" si="632"/>
        <v>-11560</v>
      </c>
      <c r="T443" s="527">
        <f t="shared" si="632"/>
        <v>-11560</v>
      </c>
      <c r="U443" s="527">
        <f t="shared" si="632"/>
        <v>-11560</v>
      </c>
      <c r="V443" s="527">
        <f t="shared" si="632"/>
        <v>-11560</v>
      </c>
      <c r="W443" s="527">
        <f t="shared" si="632"/>
        <v>-11560</v>
      </c>
      <c r="X443" s="527">
        <f t="shared" si="632"/>
        <v>-11560</v>
      </c>
      <c r="Y443" s="527">
        <f t="shared" si="632"/>
        <v>-11560</v>
      </c>
      <c r="Z443" s="527">
        <f t="shared" si="632"/>
        <v>-11560</v>
      </c>
      <c r="AA443" s="527">
        <f t="shared" si="632"/>
        <v>-11560</v>
      </c>
      <c r="AB443" s="527">
        <f t="shared" si="632"/>
        <v>-11560</v>
      </c>
      <c r="AC443" s="527">
        <f t="shared" si="632"/>
        <v>-11560</v>
      </c>
      <c r="AD443" s="527">
        <f t="shared" si="632"/>
        <v>-11791.2</v>
      </c>
      <c r="AE443" s="527">
        <f t="shared" si="632"/>
        <v>-11791.2</v>
      </c>
      <c r="AF443" s="527">
        <f t="shared" si="632"/>
        <v>-11791.2</v>
      </c>
      <c r="AG443" s="527">
        <f t="shared" si="632"/>
        <v>-11791.2</v>
      </c>
      <c r="AH443" s="527">
        <f t="shared" si="632"/>
        <v>-11791.2</v>
      </c>
      <c r="AI443" s="527">
        <f t="shared" si="632"/>
        <v>-11791.2</v>
      </c>
      <c r="AJ443" s="527">
        <f t="shared" si="632"/>
        <v>-11791.2</v>
      </c>
      <c r="AK443" s="527">
        <f t="shared" si="632"/>
        <v>-11791.2</v>
      </c>
      <c r="AL443" s="527">
        <f t="shared" si="632"/>
        <v>-11791.2</v>
      </c>
      <c r="AM443" s="527">
        <f t="shared" si="632"/>
        <v>-11791.2</v>
      </c>
      <c r="AN443" s="527">
        <f t="shared" si="632"/>
        <v>-11791.2</v>
      </c>
      <c r="AO443" s="527">
        <f t="shared" si="632"/>
        <v>-11791.2</v>
      </c>
      <c r="AP443" s="527">
        <f t="shared" si="632"/>
        <v>-12027.023999999999</v>
      </c>
      <c r="AQ443" s="527">
        <f t="shared" si="632"/>
        <v>-12027.023999999999</v>
      </c>
      <c r="AR443" s="527">
        <f t="shared" si="632"/>
        <v>-12027.023999999999</v>
      </c>
      <c r="AS443" s="527">
        <f t="shared" si="632"/>
        <v>-12027.023999999999</v>
      </c>
      <c r="AT443" s="527">
        <f t="shared" si="632"/>
        <v>-12027.023999999999</v>
      </c>
      <c r="AU443" s="527">
        <f t="shared" si="632"/>
        <v>-12027.023999999999</v>
      </c>
      <c r="AV443" s="527">
        <f t="shared" si="632"/>
        <v>-12027.023999999999</v>
      </c>
      <c r="AW443" s="527">
        <f t="shared" si="632"/>
        <v>-12027.023999999999</v>
      </c>
      <c r="AX443" s="527">
        <f t="shared" ref="AX443:BY443" si="633">(AX$622*$R159)</f>
        <v>-12027.023999999999</v>
      </c>
      <c r="AY443" s="527">
        <f t="shared" si="633"/>
        <v>-12027.023999999999</v>
      </c>
      <c r="AZ443" s="527">
        <f t="shared" si="633"/>
        <v>-12027.023999999999</v>
      </c>
      <c r="BA443" s="527">
        <f t="shared" si="633"/>
        <v>-12027.023999999999</v>
      </c>
      <c r="BB443" s="527">
        <f t="shared" si="633"/>
        <v>-12267.564480000001</v>
      </c>
      <c r="BC443" s="527">
        <f t="shared" si="633"/>
        <v>-12267.564480000001</v>
      </c>
      <c r="BD443" s="527">
        <f t="shared" si="633"/>
        <v>-12267.564480000001</v>
      </c>
      <c r="BE443" s="527">
        <f t="shared" si="633"/>
        <v>-12267.564480000001</v>
      </c>
      <c r="BF443" s="527">
        <f t="shared" si="633"/>
        <v>-12267.564480000001</v>
      </c>
      <c r="BG443" s="527">
        <f t="shared" si="633"/>
        <v>-12267.564480000001</v>
      </c>
      <c r="BH443" s="527">
        <f t="shared" si="633"/>
        <v>-12267.564480000001</v>
      </c>
      <c r="BI443" s="527">
        <f t="shared" si="633"/>
        <v>-12267.564480000001</v>
      </c>
      <c r="BJ443" s="527">
        <f t="shared" si="633"/>
        <v>-12267.564480000001</v>
      </c>
      <c r="BK443" s="527">
        <f t="shared" si="633"/>
        <v>-12267.564480000001</v>
      </c>
      <c r="BL443" s="527">
        <f t="shared" si="633"/>
        <v>-12267.564480000001</v>
      </c>
      <c r="BM443" s="527">
        <f t="shared" si="633"/>
        <v>-12267.564480000001</v>
      </c>
      <c r="BN443" s="527">
        <f t="shared" si="633"/>
        <v>-12512.9157696</v>
      </c>
      <c r="BO443" s="527">
        <f t="shared" si="633"/>
        <v>-12512.9157696</v>
      </c>
      <c r="BP443" s="527">
        <f t="shared" si="633"/>
        <v>-12512.9157696</v>
      </c>
      <c r="BQ443" s="527">
        <f t="shared" si="633"/>
        <v>-12512.9157696</v>
      </c>
      <c r="BR443" s="527">
        <f t="shared" si="633"/>
        <v>-12512.9157696</v>
      </c>
      <c r="BS443" s="527">
        <f t="shared" si="633"/>
        <v>-12512.9157696</v>
      </c>
      <c r="BT443" s="527">
        <f t="shared" si="633"/>
        <v>-12512.9157696</v>
      </c>
      <c r="BU443" s="527">
        <f t="shared" si="633"/>
        <v>-12512.9157696</v>
      </c>
      <c r="BV443" s="527">
        <f t="shared" si="633"/>
        <v>-12512.9157696</v>
      </c>
      <c r="BW443" s="527">
        <f t="shared" si="633"/>
        <v>-12512.9157696</v>
      </c>
      <c r="BX443" s="527">
        <f t="shared" si="633"/>
        <v>-12512.9157696</v>
      </c>
      <c r="BY443" s="527">
        <f t="shared" si="633"/>
        <v>-12512.9157696</v>
      </c>
    </row>
    <row r="444" spans="1:77" x14ac:dyDescent="0.3">
      <c r="A444" s="551"/>
      <c r="B444" s="548"/>
      <c r="C444" s="525"/>
      <c r="D444" s="525"/>
      <c r="E444" s="646" t="str">
        <f>"Maintenance capex: "&amp;E$160</f>
        <v>Maintenance capex: Uninvested Tranche</v>
      </c>
      <c r="F444" s="525"/>
      <c r="G444" s="525"/>
      <c r="H444" s="525"/>
      <c r="I444" s="525"/>
      <c r="J444" s="525"/>
      <c r="K444" s="525"/>
      <c r="L444" s="525"/>
      <c r="M444" s="525"/>
      <c r="N444" s="525"/>
      <c r="O444" s="525"/>
      <c r="P444" s="565"/>
      <c r="Q444" s="525"/>
      <c r="R444" s="527">
        <f t="shared" ref="R444:AW444" si="634">(R$622*$R160)</f>
        <v>-25840</v>
      </c>
      <c r="S444" s="527">
        <f t="shared" si="634"/>
        <v>-25840</v>
      </c>
      <c r="T444" s="527">
        <f t="shared" si="634"/>
        <v>-25840</v>
      </c>
      <c r="U444" s="527">
        <f t="shared" si="634"/>
        <v>-25840</v>
      </c>
      <c r="V444" s="527">
        <f t="shared" si="634"/>
        <v>-25840</v>
      </c>
      <c r="W444" s="527">
        <f t="shared" si="634"/>
        <v>-25840</v>
      </c>
      <c r="X444" s="527">
        <f t="shared" si="634"/>
        <v>-25840</v>
      </c>
      <c r="Y444" s="527">
        <f t="shared" si="634"/>
        <v>-25840</v>
      </c>
      <c r="Z444" s="527">
        <f t="shared" si="634"/>
        <v>-25840</v>
      </c>
      <c r="AA444" s="527">
        <f t="shared" si="634"/>
        <v>-25840</v>
      </c>
      <c r="AB444" s="527">
        <f t="shared" si="634"/>
        <v>-25840</v>
      </c>
      <c r="AC444" s="527">
        <f t="shared" si="634"/>
        <v>-25840</v>
      </c>
      <c r="AD444" s="527">
        <f t="shared" si="634"/>
        <v>-26356.799999999999</v>
      </c>
      <c r="AE444" s="527">
        <f t="shared" si="634"/>
        <v>-26356.799999999999</v>
      </c>
      <c r="AF444" s="527">
        <f t="shared" si="634"/>
        <v>-26356.799999999999</v>
      </c>
      <c r="AG444" s="527">
        <f t="shared" si="634"/>
        <v>-26356.799999999999</v>
      </c>
      <c r="AH444" s="527">
        <f t="shared" si="634"/>
        <v>-26356.799999999999</v>
      </c>
      <c r="AI444" s="527">
        <f t="shared" si="634"/>
        <v>-26356.799999999999</v>
      </c>
      <c r="AJ444" s="527">
        <f t="shared" si="634"/>
        <v>-26356.799999999999</v>
      </c>
      <c r="AK444" s="527">
        <f t="shared" si="634"/>
        <v>-26356.799999999999</v>
      </c>
      <c r="AL444" s="527">
        <f t="shared" si="634"/>
        <v>-26356.799999999999</v>
      </c>
      <c r="AM444" s="527">
        <f t="shared" si="634"/>
        <v>-26356.799999999999</v>
      </c>
      <c r="AN444" s="527">
        <f t="shared" si="634"/>
        <v>-26356.799999999999</v>
      </c>
      <c r="AO444" s="527">
        <f t="shared" si="634"/>
        <v>-26356.799999999999</v>
      </c>
      <c r="AP444" s="527">
        <f t="shared" si="634"/>
        <v>-26883.935999999998</v>
      </c>
      <c r="AQ444" s="527">
        <f t="shared" si="634"/>
        <v>-26883.935999999998</v>
      </c>
      <c r="AR444" s="527">
        <f t="shared" si="634"/>
        <v>-26883.935999999998</v>
      </c>
      <c r="AS444" s="527">
        <f t="shared" si="634"/>
        <v>-26883.935999999998</v>
      </c>
      <c r="AT444" s="527">
        <f t="shared" si="634"/>
        <v>-26883.935999999998</v>
      </c>
      <c r="AU444" s="527">
        <f t="shared" si="634"/>
        <v>-26883.935999999998</v>
      </c>
      <c r="AV444" s="527">
        <f t="shared" si="634"/>
        <v>-26883.935999999998</v>
      </c>
      <c r="AW444" s="527">
        <f t="shared" si="634"/>
        <v>-26883.935999999998</v>
      </c>
      <c r="AX444" s="527">
        <f t="shared" ref="AX444:BY444" si="635">(AX$622*$R160)</f>
        <v>-26883.935999999998</v>
      </c>
      <c r="AY444" s="527">
        <f t="shared" si="635"/>
        <v>-26883.935999999998</v>
      </c>
      <c r="AZ444" s="527">
        <f t="shared" si="635"/>
        <v>-26883.935999999998</v>
      </c>
      <c r="BA444" s="527">
        <f t="shared" si="635"/>
        <v>-26883.935999999998</v>
      </c>
      <c r="BB444" s="527">
        <f t="shared" si="635"/>
        <v>-27421.614720000001</v>
      </c>
      <c r="BC444" s="527">
        <f t="shared" si="635"/>
        <v>-27421.614720000001</v>
      </c>
      <c r="BD444" s="527">
        <f t="shared" si="635"/>
        <v>-27421.614720000001</v>
      </c>
      <c r="BE444" s="527">
        <f t="shared" si="635"/>
        <v>-27421.614720000001</v>
      </c>
      <c r="BF444" s="527">
        <f t="shared" si="635"/>
        <v>-27421.614720000001</v>
      </c>
      <c r="BG444" s="527">
        <f t="shared" si="635"/>
        <v>-27421.614720000001</v>
      </c>
      <c r="BH444" s="527">
        <f t="shared" si="635"/>
        <v>-27421.614720000001</v>
      </c>
      <c r="BI444" s="527">
        <f t="shared" si="635"/>
        <v>-27421.614720000001</v>
      </c>
      <c r="BJ444" s="527">
        <f t="shared" si="635"/>
        <v>-27421.614720000001</v>
      </c>
      <c r="BK444" s="527">
        <f t="shared" si="635"/>
        <v>-27421.614720000001</v>
      </c>
      <c r="BL444" s="527">
        <f t="shared" si="635"/>
        <v>-27421.614720000001</v>
      </c>
      <c r="BM444" s="527">
        <f t="shared" si="635"/>
        <v>-27421.614720000001</v>
      </c>
      <c r="BN444" s="527">
        <f t="shared" si="635"/>
        <v>-27970.047014400003</v>
      </c>
      <c r="BO444" s="527">
        <f t="shared" si="635"/>
        <v>-27970.047014400003</v>
      </c>
      <c r="BP444" s="527">
        <f t="shared" si="635"/>
        <v>-27970.047014400003</v>
      </c>
      <c r="BQ444" s="527">
        <f t="shared" si="635"/>
        <v>-27970.047014400003</v>
      </c>
      <c r="BR444" s="527">
        <f t="shared" si="635"/>
        <v>-27970.047014400003</v>
      </c>
      <c r="BS444" s="527">
        <f t="shared" si="635"/>
        <v>-27970.047014400003</v>
      </c>
      <c r="BT444" s="527">
        <f t="shared" si="635"/>
        <v>-27970.047014400003</v>
      </c>
      <c r="BU444" s="527">
        <f t="shared" si="635"/>
        <v>-27970.047014400003</v>
      </c>
      <c r="BV444" s="527">
        <f t="shared" si="635"/>
        <v>-27970.047014400003</v>
      </c>
      <c r="BW444" s="527">
        <f t="shared" si="635"/>
        <v>-27970.047014400003</v>
      </c>
      <c r="BX444" s="527">
        <f t="shared" si="635"/>
        <v>-27970.047014400003</v>
      </c>
      <c r="BY444" s="527">
        <f t="shared" si="635"/>
        <v>-27970.047014400003</v>
      </c>
    </row>
    <row r="445" spans="1:77" x14ac:dyDescent="0.3">
      <c r="A445" s="551"/>
      <c r="B445" s="548"/>
      <c r="C445" s="525"/>
      <c r="D445" s="525"/>
      <c r="E445" s="572" t="s">
        <v>36</v>
      </c>
      <c r="F445" s="572"/>
      <c r="G445" s="572"/>
      <c r="H445" s="572"/>
      <c r="I445" s="572"/>
      <c r="J445" s="572"/>
      <c r="K445" s="572"/>
      <c r="L445" s="572"/>
      <c r="M445" s="572"/>
      <c r="N445" s="572"/>
      <c r="O445" s="572"/>
      <c r="P445" s="612"/>
      <c r="Q445" s="572"/>
      <c r="R445" s="530">
        <f t="shared" ref="R445:AW445" si="636">SUM(R439:R444)</f>
        <v>-83640</v>
      </c>
      <c r="S445" s="530">
        <f t="shared" si="636"/>
        <v>-83640</v>
      </c>
      <c r="T445" s="530">
        <f t="shared" si="636"/>
        <v>-83640</v>
      </c>
      <c r="U445" s="530">
        <f t="shared" si="636"/>
        <v>-83640</v>
      </c>
      <c r="V445" s="530">
        <f t="shared" si="636"/>
        <v>-83640</v>
      </c>
      <c r="W445" s="530">
        <f t="shared" si="636"/>
        <v>-83640</v>
      </c>
      <c r="X445" s="530">
        <f t="shared" si="636"/>
        <v>-83640</v>
      </c>
      <c r="Y445" s="530">
        <f t="shared" si="636"/>
        <v>-83640</v>
      </c>
      <c r="Z445" s="530">
        <f t="shared" si="636"/>
        <v>-83640</v>
      </c>
      <c r="AA445" s="530">
        <f t="shared" si="636"/>
        <v>-83640</v>
      </c>
      <c r="AB445" s="530">
        <f t="shared" si="636"/>
        <v>-83640</v>
      </c>
      <c r="AC445" s="530">
        <f t="shared" si="636"/>
        <v>-83640</v>
      </c>
      <c r="AD445" s="530">
        <f t="shared" si="636"/>
        <v>-85312.8</v>
      </c>
      <c r="AE445" s="530">
        <f t="shared" si="636"/>
        <v>-85312.8</v>
      </c>
      <c r="AF445" s="530">
        <f t="shared" si="636"/>
        <v>-85312.8</v>
      </c>
      <c r="AG445" s="530">
        <f t="shared" si="636"/>
        <v>-85312.8</v>
      </c>
      <c r="AH445" s="530">
        <f t="shared" si="636"/>
        <v>-85312.8</v>
      </c>
      <c r="AI445" s="530">
        <f t="shared" si="636"/>
        <v>-85312.8</v>
      </c>
      <c r="AJ445" s="530">
        <f t="shared" si="636"/>
        <v>-85312.8</v>
      </c>
      <c r="AK445" s="530">
        <f t="shared" si="636"/>
        <v>-85312.8</v>
      </c>
      <c r="AL445" s="530">
        <f t="shared" si="636"/>
        <v>-85312.8</v>
      </c>
      <c r="AM445" s="530">
        <f t="shared" si="636"/>
        <v>-85312.8</v>
      </c>
      <c r="AN445" s="530">
        <f t="shared" si="636"/>
        <v>-85312.8</v>
      </c>
      <c r="AO445" s="530">
        <f t="shared" si="636"/>
        <v>-85312.8</v>
      </c>
      <c r="AP445" s="530">
        <f t="shared" si="636"/>
        <v>-87019.055999999997</v>
      </c>
      <c r="AQ445" s="530">
        <f t="shared" si="636"/>
        <v>-87019.055999999997</v>
      </c>
      <c r="AR445" s="530">
        <f t="shared" si="636"/>
        <v>-87019.055999999997</v>
      </c>
      <c r="AS445" s="530">
        <f t="shared" si="636"/>
        <v>-87019.055999999997</v>
      </c>
      <c r="AT445" s="530">
        <f t="shared" si="636"/>
        <v>-87019.055999999997</v>
      </c>
      <c r="AU445" s="530">
        <f t="shared" si="636"/>
        <v>-87019.055999999997</v>
      </c>
      <c r="AV445" s="530">
        <f t="shared" si="636"/>
        <v>-87019.055999999997</v>
      </c>
      <c r="AW445" s="530">
        <f t="shared" si="636"/>
        <v>-87019.055999999997</v>
      </c>
      <c r="AX445" s="530">
        <f t="shared" ref="AX445:BY445" si="637">SUM(AX439:AX444)</f>
        <v>-87019.055999999997</v>
      </c>
      <c r="AY445" s="530">
        <f t="shared" si="637"/>
        <v>-87019.055999999997</v>
      </c>
      <c r="AZ445" s="530">
        <f t="shared" si="637"/>
        <v>-87019.055999999997</v>
      </c>
      <c r="BA445" s="530">
        <f t="shared" si="637"/>
        <v>-87019.055999999997</v>
      </c>
      <c r="BB445" s="530">
        <f t="shared" si="637"/>
        <v>-88759.437120000002</v>
      </c>
      <c r="BC445" s="530">
        <f t="shared" si="637"/>
        <v>-88759.437120000002</v>
      </c>
      <c r="BD445" s="530">
        <f t="shared" si="637"/>
        <v>-88759.437120000002</v>
      </c>
      <c r="BE445" s="530">
        <f t="shared" si="637"/>
        <v>-88759.437120000002</v>
      </c>
      <c r="BF445" s="530">
        <f t="shared" si="637"/>
        <v>-88759.437120000002</v>
      </c>
      <c r="BG445" s="530">
        <f t="shared" si="637"/>
        <v>-88759.437120000002</v>
      </c>
      <c r="BH445" s="530">
        <f t="shared" si="637"/>
        <v>-88759.437120000002</v>
      </c>
      <c r="BI445" s="530">
        <f t="shared" si="637"/>
        <v>-88759.437120000002</v>
      </c>
      <c r="BJ445" s="530">
        <f t="shared" si="637"/>
        <v>-88759.437120000002</v>
      </c>
      <c r="BK445" s="530">
        <f t="shared" si="637"/>
        <v>-88759.437120000002</v>
      </c>
      <c r="BL445" s="530">
        <f t="shared" si="637"/>
        <v>-88759.437120000002</v>
      </c>
      <c r="BM445" s="530">
        <f t="shared" si="637"/>
        <v>-88759.437120000002</v>
      </c>
      <c r="BN445" s="530">
        <f t="shared" si="637"/>
        <v>-90534.625862400004</v>
      </c>
      <c r="BO445" s="530">
        <f t="shared" si="637"/>
        <v>-90534.625862400004</v>
      </c>
      <c r="BP445" s="530">
        <f t="shared" si="637"/>
        <v>-90534.625862400004</v>
      </c>
      <c r="BQ445" s="530">
        <f t="shared" si="637"/>
        <v>-90534.625862400004</v>
      </c>
      <c r="BR445" s="530">
        <f t="shared" si="637"/>
        <v>-90534.625862400004</v>
      </c>
      <c r="BS445" s="530">
        <f t="shared" si="637"/>
        <v>-90534.625862400004</v>
      </c>
      <c r="BT445" s="530">
        <f t="shared" si="637"/>
        <v>-90534.625862400004</v>
      </c>
      <c r="BU445" s="530">
        <f t="shared" si="637"/>
        <v>-90534.625862400004</v>
      </c>
      <c r="BV445" s="530">
        <f t="shared" si="637"/>
        <v>-90534.625862400004</v>
      </c>
      <c r="BW445" s="530">
        <f t="shared" si="637"/>
        <v>-90534.625862400004</v>
      </c>
      <c r="BX445" s="530">
        <f t="shared" si="637"/>
        <v>-90534.625862400004</v>
      </c>
      <c r="BY445" s="530">
        <f t="shared" si="637"/>
        <v>-90534.625862400004</v>
      </c>
    </row>
    <row r="446" spans="1:77" x14ac:dyDescent="0.3">
      <c r="A446" s="551"/>
      <c r="B446" s="548"/>
      <c r="C446" s="525"/>
      <c r="D446" s="525"/>
      <c r="E446" s="525"/>
      <c r="F446" s="525"/>
      <c r="G446" s="525"/>
      <c r="H446" s="525"/>
      <c r="I446" s="525"/>
      <c r="J446" s="525"/>
      <c r="K446" s="525"/>
      <c r="L446" s="525"/>
      <c r="M446" s="525"/>
      <c r="N446" s="525"/>
      <c r="O446" s="525"/>
      <c r="P446" s="565"/>
      <c r="Q446" s="525"/>
      <c r="R446" s="525"/>
      <c r="S446" s="525"/>
      <c r="T446" s="525"/>
      <c r="U446" s="525"/>
      <c r="V446" s="525"/>
      <c r="W446" s="525"/>
      <c r="X446" s="525"/>
      <c r="Y446" s="525"/>
      <c r="Z446" s="525"/>
      <c r="AA446" s="525"/>
      <c r="AB446" s="525"/>
      <c r="AC446" s="525"/>
      <c r="AD446" s="525"/>
      <c r="AE446" s="525"/>
      <c r="AF446" s="525"/>
      <c r="AG446" s="525"/>
      <c r="AH446" s="525"/>
      <c r="AI446" s="525"/>
      <c r="AJ446" s="525"/>
      <c r="AK446" s="525"/>
      <c r="AL446" s="525"/>
      <c r="AM446" s="525"/>
      <c r="AN446" s="525"/>
      <c r="AO446" s="525"/>
      <c r="AP446" s="525"/>
      <c r="AQ446" s="525"/>
      <c r="AR446" s="525"/>
      <c r="AS446" s="525"/>
      <c r="AT446" s="525"/>
      <c r="AU446" s="525"/>
      <c r="AV446" s="525"/>
      <c r="AW446" s="525"/>
      <c r="AX446" s="525"/>
      <c r="AY446" s="525"/>
      <c r="AZ446" s="525"/>
      <c r="BA446" s="525"/>
      <c r="BB446" s="525"/>
      <c r="BC446" s="525"/>
      <c r="BD446" s="525"/>
      <c r="BE446" s="525"/>
      <c r="BF446" s="525"/>
      <c r="BG446" s="525"/>
      <c r="BH446" s="525"/>
      <c r="BI446" s="525"/>
      <c r="BJ446" s="525"/>
      <c r="BK446" s="525"/>
      <c r="BL446" s="525"/>
      <c r="BM446" s="525"/>
      <c r="BN446" s="525"/>
      <c r="BO446" s="525"/>
      <c r="BP446" s="525"/>
      <c r="BQ446" s="525"/>
      <c r="BR446" s="525"/>
      <c r="BS446" s="525"/>
      <c r="BT446" s="525"/>
      <c r="BU446" s="525"/>
      <c r="BV446" s="525"/>
      <c r="BW446" s="525"/>
      <c r="BX446" s="525"/>
      <c r="BY446" s="525"/>
    </row>
    <row r="447" spans="1:77" x14ac:dyDescent="0.3">
      <c r="A447" s="551"/>
      <c r="B447" s="548"/>
      <c r="C447" s="584" t="s">
        <v>37</v>
      </c>
      <c r="D447" s="525"/>
      <c r="E447" s="538" t="s">
        <v>69</v>
      </c>
      <c r="F447" s="538"/>
      <c r="G447" s="538"/>
      <c r="H447" s="538"/>
      <c r="I447" s="538"/>
      <c r="J447" s="538"/>
      <c r="K447" s="538"/>
      <c r="L447" s="538"/>
      <c r="M447" s="538"/>
      <c r="N447" s="538"/>
      <c r="O447" s="538"/>
      <c r="P447" s="584"/>
      <c r="Q447" s="538"/>
      <c r="R447" s="538"/>
      <c r="S447" s="538"/>
      <c r="T447" s="538"/>
      <c r="U447" s="538"/>
      <c r="V447" s="538"/>
      <c r="W447" s="538"/>
      <c r="X447" s="538"/>
      <c r="Y447" s="538"/>
      <c r="Z447" s="538"/>
      <c r="AA447" s="538"/>
      <c r="AB447" s="538"/>
      <c r="AC447" s="538"/>
      <c r="AD447" s="538"/>
      <c r="AE447" s="538"/>
      <c r="AF447" s="538"/>
      <c r="AG447" s="538"/>
      <c r="AH447" s="538"/>
      <c r="AI447" s="538"/>
      <c r="AJ447" s="538"/>
      <c r="AK447" s="538"/>
      <c r="AL447" s="538"/>
      <c r="AM447" s="538"/>
      <c r="AN447" s="538"/>
      <c r="AO447" s="538"/>
      <c r="AP447" s="538"/>
      <c r="AQ447" s="538"/>
      <c r="AR447" s="538"/>
      <c r="AS447" s="538"/>
      <c r="AT447" s="538"/>
      <c r="AU447" s="538"/>
      <c r="AV447" s="538"/>
      <c r="AW447" s="538"/>
      <c r="AX447" s="538"/>
      <c r="AY447" s="538"/>
      <c r="AZ447" s="538"/>
      <c r="BA447" s="538"/>
      <c r="BB447" s="538"/>
      <c r="BC447" s="538"/>
      <c r="BD447" s="538"/>
      <c r="BE447" s="538"/>
      <c r="BF447" s="538"/>
      <c r="BG447" s="538"/>
      <c r="BH447" s="538"/>
      <c r="BI447" s="538"/>
      <c r="BJ447" s="538"/>
      <c r="BK447" s="538"/>
      <c r="BL447" s="538"/>
      <c r="BM447" s="538"/>
      <c r="BN447" s="538"/>
      <c r="BO447" s="538"/>
      <c r="BP447" s="538"/>
      <c r="BQ447" s="538"/>
      <c r="BR447" s="538"/>
      <c r="BS447" s="538"/>
      <c r="BT447" s="538"/>
      <c r="BU447" s="538"/>
      <c r="BV447" s="538"/>
      <c r="BW447" s="538"/>
      <c r="BX447" s="538"/>
      <c r="BY447" s="538"/>
    </row>
    <row r="448" spans="1:77" x14ac:dyDescent="0.3">
      <c r="A448" s="551"/>
      <c r="B448" s="548"/>
      <c r="C448" s="525"/>
      <c r="D448" s="525"/>
      <c r="E448" s="525"/>
      <c r="F448" s="525"/>
      <c r="G448" s="525"/>
      <c r="H448" s="525"/>
      <c r="I448" s="525"/>
      <c r="J448" s="525"/>
      <c r="K448" s="525"/>
      <c r="L448" s="525"/>
      <c r="M448" s="525"/>
      <c r="N448" s="525"/>
      <c r="O448" s="525"/>
      <c r="P448" s="565"/>
      <c r="Q448" s="525"/>
      <c r="R448" s="525"/>
      <c r="S448" s="525"/>
      <c r="T448" s="525"/>
      <c r="U448" s="525"/>
      <c r="V448" s="525"/>
      <c r="W448" s="525"/>
      <c r="X448" s="525"/>
      <c r="Y448" s="525"/>
      <c r="Z448" s="525"/>
      <c r="AA448" s="525"/>
      <c r="AB448" s="525"/>
      <c r="AC448" s="525"/>
      <c r="AD448" s="525"/>
      <c r="AE448" s="525"/>
      <c r="AF448" s="525"/>
      <c r="AG448" s="525"/>
      <c r="AH448" s="525"/>
      <c r="AI448" s="525"/>
      <c r="AJ448" s="525"/>
      <c r="AK448" s="525"/>
      <c r="AL448" s="525"/>
      <c r="AM448" s="525"/>
      <c r="AN448" s="525"/>
      <c r="AO448" s="525"/>
      <c r="AP448" s="525"/>
      <c r="AQ448" s="525"/>
      <c r="AR448" s="525"/>
      <c r="AS448" s="525"/>
      <c r="AT448" s="525"/>
      <c r="AU448" s="525"/>
      <c r="AV448" s="525"/>
      <c r="AW448" s="525"/>
      <c r="AX448" s="525"/>
      <c r="AY448" s="525"/>
      <c r="AZ448" s="525"/>
      <c r="BA448" s="525"/>
      <c r="BB448" s="525"/>
      <c r="BC448" s="525"/>
      <c r="BD448" s="525"/>
      <c r="BE448" s="525"/>
      <c r="BF448" s="525"/>
      <c r="BG448" s="525"/>
      <c r="BH448" s="525"/>
      <c r="BI448" s="525"/>
      <c r="BJ448" s="525"/>
      <c r="BK448" s="525"/>
      <c r="BL448" s="525"/>
      <c r="BM448" s="525"/>
      <c r="BN448" s="525"/>
      <c r="BO448" s="525"/>
      <c r="BP448" s="525"/>
      <c r="BQ448" s="525"/>
      <c r="BR448" s="525"/>
      <c r="BS448" s="525"/>
      <c r="BT448" s="525"/>
      <c r="BU448" s="525"/>
      <c r="BV448" s="525"/>
      <c r="BW448" s="525"/>
      <c r="BX448" s="525"/>
      <c r="BY448" s="525"/>
    </row>
    <row r="449" spans="1:77" x14ac:dyDescent="0.3">
      <c r="A449" s="551"/>
      <c r="B449" s="548"/>
      <c r="C449" s="525"/>
      <c r="D449" s="525"/>
      <c r="E449" s="614" t="s">
        <v>110</v>
      </c>
      <c r="F449" s="539"/>
      <c r="G449" s="539"/>
      <c r="H449" s="539"/>
      <c r="I449" s="539"/>
      <c r="J449" s="539"/>
      <c r="K449" s="539"/>
      <c r="L449" s="539"/>
      <c r="M449" s="539"/>
      <c r="N449" s="539"/>
      <c r="O449" s="539"/>
      <c r="P449" s="615"/>
      <c r="Q449" s="539"/>
      <c r="R449" s="539"/>
      <c r="S449" s="539"/>
      <c r="T449" s="539"/>
      <c r="U449" s="539"/>
      <c r="V449" s="539"/>
      <c r="W449" s="539"/>
      <c r="X449" s="539"/>
      <c r="Y449" s="539"/>
      <c r="Z449" s="539"/>
      <c r="AA449" s="539"/>
      <c r="AB449" s="539"/>
      <c r="AC449" s="539"/>
      <c r="AD449" s="539"/>
      <c r="AE449" s="539"/>
      <c r="AF449" s="539"/>
      <c r="AG449" s="539"/>
      <c r="AH449" s="539"/>
      <c r="AI449" s="539"/>
      <c r="AJ449" s="539"/>
      <c r="AK449" s="539"/>
      <c r="AL449" s="539"/>
      <c r="AM449" s="539"/>
      <c r="AN449" s="539"/>
      <c r="AO449" s="539"/>
      <c r="AP449" s="539"/>
      <c r="AQ449" s="539"/>
      <c r="AR449" s="539"/>
      <c r="AS449" s="539"/>
      <c r="AT449" s="539"/>
      <c r="AU449" s="539"/>
      <c r="AV449" s="539"/>
      <c r="AW449" s="539"/>
      <c r="AX449" s="539"/>
      <c r="AY449" s="539"/>
      <c r="AZ449" s="539"/>
      <c r="BA449" s="539"/>
      <c r="BB449" s="539"/>
      <c r="BC449" s="539"/>
      <c r="BD449" s="539"/>
      <c r="BE449" s="539"/>
      <c r="BF449" s="539"/>
      <c r="BG449" s="539"/>
      <c r="BH449" s="539"/>
      <c r="BI449" s="539"/>
      <c r="BJ449" s="539"/>
      <c r="BK449" s="539"/>
      <c r="BL449" s="539"/>
      <c r="BM449" s="539"/>
      <c r="BN449" s="539"/>
      <c r="BO449" s="539"/>
      <c r="BP449" s="539"/>
      <c r="BQ449" s="539"/>
      <c r="BR449" s="539"/>
      <c r="BS449" s="539"/>
      <c r="BT449" s="539"/>
      <c r="BU449" s="539"/>
      <c r="BV449" s="539"/>
      <c r="BW449" s="539"/>
      <c r="BX449" s="539"/>
      <c r="BY449" s="539"/>
    </row>
    <row r="450" spans="1:77" x14ac:dyDescent="0.3">
      <c r="A450" s="551"/>
      <c r="B450" s="647"/>
      <c r="C450" s="647"/>
      <c r="D450" s="647"/>
      <c r="E450" s="525"/>
      <c r="F450" s="525"/>
      <c r="G450" s="525"/>
      <c r="H450" s="525"/>
      <c r="I450" s="525"/>
      <c r="J450" s="525"/>
      <c r="K450" s="525"/>
      <c r="L450" s="525"/>
      <c r="M450" s="525"/>
      <c r="N450" s="525"/>
      <c r="O450" s="525"/>
      <c r="P450" s="565"/>
      <c r="Q450" s="525"/>
      <c r="R450" s="525"/>
      <c r="S450" s="525"/>
      <c r="T450" s="525"/>
      <c r="U450" s="525"/>
      <c r="V450" s="525"/>
      <c r="W450" s="525"/>
      <c r="X450" s="525"/>
      <c r="Y450" s="525"/>
      <c r="Z450" s="525"/>
      <c r="AA450" s="525"/>
      <c r="AB450" s="525"/>
      <c r="AC450" s="525"/>
      <c r="AD450" s="525"/>
      <c r="AE450" s="525"/>
      <c r="AF450" s="525"/>
      <c r="AG450" s="525"/>
      <c r="AH450" s="525"/>
      <c r="AI450" s="525"/>
      <c r="AJ450" s="525"/>
      <c r="AK450" s="525"/>
      <c r="AL450" s="525"/>
      <c r="AM450" s="525"/>
      <c r="AN450" s="525"/>
      <c r="AO450" s="525"/>
      <c r="AP450" s="525"/>
      <c r="AQ450" s="525"/>
      <c r="AR450" s="525"/>
      <c r="AS450" s="525"/>
      <c r="AT450" s="525"/>
      <c r="AU450" s="525"/>
      <c r="AV450" s="525"/>
      <c r="AW450" s="525"/>
      <c r="AX450" s="525"/>
      <c r="AY450" s="525"/>
      <c r="AZ450" s="525"/>
      <c r="BA450" s="525"/>
      <c r="BB450" s="525"/>
      <c r="BC450" s="525"/>
      <c r="BD450" s="525"/>
      <c r="BE450" s="525"/>
      <c r="BF450" s="525"/>
      <c r="BG450" s="525"/>
      <c r="BH450" s="525"/>
      <c r="BI450" s="525"/>
      <c r="BJ450" s="525"/>
      <c r="BK450" s="525"/>
      <c r="BL450" s="525"/>
      <c r="BM450" s="525"/>
      <c r="BN450" s="525"/>
      <c r="BO450" s="525"/>
      <c r="BP450" s="525"/>
      <c r="BQ450" s="525"/>
      <c r="BR450" s="525"/>
      <c r="BS450" s="525"/>
      <c r="BT450" s="525"/>
      <c r="BU450" s="525"/>
      <c r="BV450" s="525"/>
      <c r="BW450" s="525"/>
      <c r="BX450" s="525"/>
      <c r="BY450" s="525"/>
    </row>
    <row r="451" spans="1:77" x14ac:dyDescent="0.3">
      <c r="A451" s="648"/>
      <c r="B451" s="648" t="s">
        <v>53</v>
      </c>
      <c r="C451" s="648">
        <f t="shared" ref="C451:C456" si="638">$C$559</f>
        <v>20</v>
      </c>
      <c r="D451" s="647"/>
      <c r="E451" s="649" t="str">
        <f>"Bad debts: "&amp;E$155</f>
        <v>Bad debts: FY27 Tranche</v>
      </c>
      <c r="F451" s="525"/>
      <c r="G451" s="525"/>
      <c r="H451" s="525"/>
      <c r="I451" s="525"/>
      <c r="J451" s="525"/>
      <c r="K451" s="525"/>
      <c r="L451" s="525"/>
      <c r="M451" s="525"/>
      <c r="N451" s="525"/>
      <c r="O451" s="525"/>
      <c r="P451" s="565"/>
      <c r="Q451" s="525"/>
      <c r="R451" s="527" cm="1">
        <f t="array" ref="R451">R412*(INDEX(('Detailed Assumptions'!$D$59:$J$79,'Detailed Assumptions'!$L$59:$R$79,'Detailed Assumptions'!$T$59:$Z$79,'Detailed Assumptions'!$AB$59:$AH$79),$C451,2,$C$506))</f>
        <v>-2260.7227631858132</v>
      </c>
      <c r="S451" s="527" cm="1">
        <f t="array" ref="S451">S412*(INDEX(('Detailed Assumptions'!$D$59:$J$79,'Detailed Assumptions'!$L$59:$R$79,'Detailed Assumptions'!$T$59:$Z$79,'Detailed Assumptions'!$AB$59:$AH$79),$C451,2,$C$506))</f>
        <v>-2260.7227631858132</v>
      </c>
      <c r="T451" s="527" cm="1">
        <f t="array" ref="T451">T412*(INDEX(('Detailed Assumptions'!$D$59:$J$79,'Detailed Assumptions'!$L$59:$R$79,'Detailed Assumptions'!$T$59:$Z$79,'Detailed Assumptions'!$AB$59:$AH$79),$C451,2,$C$506))</f>
        <v>-2260.7227631858132</v>
      </c>
      <c r="U451" s="527" cm="1">
        <f t="array" ref="U451">U412*(INDEX(('Detailed Assumptions'!$D$59:$J$79,'Detailed Assumptions'!$L$59:$R$79,'Detailed Assumptions'!$T$59:$Z$79,'Detailed Assumptions'!$AB$59:$AH$79),$C451,2,$C$506))</f>
        <v>-2260.7227631858132</v>
      </c>
      <c r="V451" s="527" cm="1">
        <f t="array" ref="V451">V412*(INDEX(('Detailed Assumptions'!$D$59:$J$79,'Detailed Assumptions'!$L$59:$R$79,'Detailed Assumptions'!$T$59:$Z$79,'Detailed Assumptions'!$AB$59:$AH$79),$C451,2,$C$506))</f>
        <v>-2260.7227631858132</v>
      </c>
      <c r="W451" s="527" cm="1">
        <f t="array" ref="W451">W412*(INDEX(('Detailed Assumptions'!$D$59:$J$79,'Detailed Assumptions'!$L$59:$R$79,'Detailed Assumptions'!$T$59:$Z$79,'Detailed Assumptions'!$AB$59:$AH$79),$C451,2,$C$506))</f>
        <v>-2260.7227631858132</v>
      </c>
      <c r="X451" s="527" cm="1">
        <f t="array" ref="X451">X412*(INDEX(('Detailed Assumptions'!$D$59:$J$79,'Detailed Assumptions'!$L$59:$R$79,'Detailed Assumptions'!$T$59:$Z$79,'Detailed Assumptions'!$AB$59:$AH$79),$C451,2,$C$506))</f>
        <v>-2647.1276278455161</v>
      </c>
      <c r="Y451" s="527" cm="1">
        <f t="array" ref="Y451">Y412*(INDEX(('Detailed Assumptions'!$D$59:$J$79,'Detailed Assumptions'!$L$59:$R$79,'Detailed Assumptions'!$T$59:$Z$79,'Detailed Assumptions'!$AB$59:$AH$79),$C451,2,$C$506))</f>
        <v>-2647.1276278455161</v>
      </c>
      <c r="Z451" s="527" cm="1">
        <f t="array" ref="Z451">Z412*(INDEX(('Detailed Assumptions'!$D$59:$J$79,'Detailed Assumptions'!$L$59:$R$79,'Detailed Assumptions'!$T$59:$Z$79,'Detailed Assumptions'!$AB$59:$AH$79),$C451,2,$C$506))</f>
        <v>-2647.1276278455161</v>
      </c>
      <c r="AA451" s="527" cm="1">
        <f t="array" ref="AA451">AA412*(INDEX(('Detailed Assumptions'!$D$59:$J$79,'Detailed Assumptions'!$L$59:$R$79,'Detailed Assumptions'!$T$59:$Z$79,'Detailed Assumptions'!$AB$59:$AH$79),$C451,2,$C$506))</f>
        <v>-2647.1276278455161</v>
      </c>
      <c r="AB451" s="527" cm="1">
        <f t="array" ref="AB451">AB412*(INDEX(('Detailed Assumptions'!$D$59:$J$79,'Detailed Assumptions'!$L$59:$R$79,'Detailed Assumptions'!$T$59:$Z$79,'Detailed Assumptions'!$AB$59:$AH$79),$C451,2,$C$506))</f>
        <v>-2647.1276278455161</v>
      </c>
      <c r="AC451" s="527" cm="1">
        <f t="array" ref="AC451">AC412*(INDEX(('Detailed Assumptions'!$D$59:$J$79,'Detailed Assumptions'!$L$59:$R$79,'Detailed Assumptions'!$T$59:$Z$79,'Detailed Assumptions'!$AB$59:$AH$79),$C451,2,$C$506))</f>
        <v>-2647.1276278455161</v>
      </c>
      <c r="AD451" s="527" cm="1">
        <f t="array" ref="AD451">AD412*(INDEX(('Detailed Assumptions'!$D$59:$J$79,'Detailed Assumptions'!$L$59:$R$79,'Detailed Assumptions'!$T$59:$Z$79,'Detailed Assumptions'!$AB$59:$AH$79),$C451,2,$C$506))</f>
        <v>-2647.1276278455161</v>
      </c>
      <c r="AE451" s="527" cm="1">
        <f t="array" ref="AE451">AE412*(INDEX(('Detailed Assumptions'!$D$59:$J$79,'Detailed Assumptions'!$L$59:$R$79,'Detailed Assumptions'!$T$59:$Z$79,'Detailed Assumptions'!$AB$59:$AH$79),$C451,2,$C$506))</f>
        <v>-2647.1276278455161</v>
      </c>
      <c r="AF451" s="527" cm="1">
        <f t="array" ref="AF451">AF412*(INDEX(('Detailed Assumptions'!$D$59:$J$79,'Detailed Assumptions'!$L$59:$R$79,'Detailed Assumptions'!$T$59:$Z$79,'Detailed Assumptions'!$AB$59:$AH$79),$C451,2,$C$506))</f>
        <v>-2647.1276278455161</v>
      </c>
      <c r="AG451" s="527" cm="1">
        <f t="array" ref="AG451">AG412*(INDEX(('Detailed Assumptions'!$D$59:$J$79,'Detailed Assumptions'!$L$59:$R$79,'Detailed Assumptions'!$T$59:$Z$79,'Detailed Assumptions'!$AB$59:$AH$79),$C451,2,$C$506))</f>
        <v>-2647.1276278455161</v>
      </c>
      <c r="AH451" s="527" cm="1">
        <f t="array" ref="AH451">AH412*(INDEX(('Detailed Assumptions'!$D$59:$J$79,'Detailed Assumptions'!$L$59:$R$79,'Detailed Assumptions'!$T$59:$Z$79,'Detailed Assumptions'!$AB$59:$AH$79),$C451,2,$C$506))</f>
        <v>-2647.1276278455161</v>
      </c>
      <c r="AI451" s="527" cm="1">
        <f t="array" ref="AI451">AI412*(INDEX(('Detailed Assumptions'!$D$59:$J$79,'Detailed Assumptions'!$L$59:$R$79,'Detailed Assumptions'!$T$59:$Z$79,'Detailed Assumptions'!$AB$59:$AH$79),$C451,2,$C$506))</f>
        <v>-2647.1276278455161</v>
      </c>
      <c r="AJ451" s="527" cm="1">
        <f t="array" ref="AJ451">AJ412*(INDEX(('Detailed Assumptions'!$D$59:$J$79,'Detailed Assumptions'!$L$59:$R$79,'Detailed Assumptions'!$T$59:$Z$79,'Detailed Assumptions'!$AB$59:$AH$79),$C451,2,$C$506))</f>
        <v>-2753.0127329593379</v>
      </c>
      <c r="AK451" s="527" cm="1">
        <f t="array" ref="AK451">AK412*(INDEX(('Detailed Assumptions'!$D$59:$J$79,'Detailed Assumptions'!$L$59:$R$79,'Detailed Assumptions'!$T$59:$Z$79,'Detailed Assumptions'!$AB$59:$AH$79),$C451,2,$C$506))</f>
        <v>-2753.0127329593379</v>
      </c>
      <c r="AL451" s="527" cm="1">
        <f t="array" ref="AL451">AL412*(INDEX(('Detailed Assumptions'!$D$59:$J$79,'Detailed Assumptions'!$L$59:$R$79,'Detailed Assumptions'!$T$59:$Z$79,'Detailed Assumptions'!$AB$59:$AH$79),$C451,2,$C$506))</f>
        <v>-2753.0127329593379</v>
      </c>
      <c r="AM451" s="527" cm="1">
        <f t="array" ref="AM451">AM412*(INDEX(('Detailed Assumptions'!$D$59:$J$79,'Detailed Assumptions'!$L$59:$R$79,'Detailed Assumptions'!$T$59:$Z$79,'Detailed Assumptions'!$AB$59:$AH$79),$C451,2,$C$506))</f>
        <v>-2753.0127329593379</v>
      </c>
      <c r="AN451" s="527" cm="1">
        <f t="array" ref="AN451">AN412*(INDEX(('Detailed Assumptions'!$D$59:$J$79,'Detailed Assumptions'!$L$59:$R$79,'Detailed Assumptions'!$T$59:$Z$79,'Detailed Assumptions'!$AB$59:$AH$79),$C451,2,$C$506))</f>
        <v>-2753.0127329593379</v>
      </c>
      <c r="AO451" s="527" cm="1">
        <f t="array" ref="AO451">AO412*(INDEX(('Detailed Assumptions'!$D$59:$J$79,'Detailed Assumptions'!$L$59:$R$79,'Detailed Assumptions'!$T$59:$Z$79,'Detailed Assumptions'!$AB$59:$AH$79),$C451,2,$C$506))</f>
        <v>-2753.0127329593379</v>
      </c>
      <c r="AP451" s="527" cm="1">
        <f t="array" ref="AP451">AP412*(INDEX(('Detailed Assumptions'!$D$59:$J$79,'Detailed Assumptions'!$L$59:$R$79,'Detailed Assumptions'!$T$59:$Z$79,'Detailed Assumptions'!$AB$59:$AH$79),$C451,2,$C$506))</f>
        <v>-2753.0127329593374</v>
      </c>
      <c r="AQ451" s="527" cm="1">
        <f t="array" ref="AQ451">AQ412*(INDEX(('Detailed Assumptions'!$D$59:$J$79,'Detailed Assumptions'!$L$59:$R$79,'Detailed Assumptions'!$T$59:$Z$79,'Detailed Assumptions'!$AB$59:$AH$79),$C451,2,$C$506))</f>
        <v>-2753.0127329593374</v>
      </c>
      <c r="AR451" s="527" cm="1">
        <f t="array" ref="AR451">AR412*(INDEX(('Detailed Assumptions'!$D$59:$J$79,'Detailed Assumptions'!$L$59:$R$79,'Detailed Assumptions'!$T$59:$Z$79,'Detailed Assumptions'!$AB$59:$AH$79),$C451,2,$C$506))</f>
        <v>-2753.0127329593374</v>
      </c>
      <c r="AS451" s="527" cm="1">
        <f t="array" ref="AS451">AS412*(INDEX(('Detailed Assumptions'!$D$59:$J$79,'Detailed Assumptions'!$L$59:$R$79,'Detailed Assumptions'!$T$59:$Z$79,'Detailed Assumptions'!$AB$59:$AH$79),$C451,2,$C$506))</f>
        <v>-2753.0127329593374</v>
      </c>
      <c r="AT451" s="527" cm="1">
        <f t="array" ref="AT451">AT412*(INDEX(('Detailed Assumptions'!$D$59:$J$79,'Detailed Assumptions'!$L$59:$R$79,'Detailed Assumptions'!$T$59:$Z$79,'Detailed Assumptions'!$AB$59:$AH$79),$C451,2,$C$506))</f>
        <v>-2753.0127329593374</v>
      </c>
      <c r="AU451" s="527" cm="1">
        <f t="array" ref="AU451">AU412*(INDEX(('Detailed Assumptions'!$D$59:$J$79,'Detailed Assumptions'!$L$59:$R$79,'Detailed Assumptions'!$T$59:$Z$79,'Detailed Assumptions'!$AB$59:$AH$79),$C451,2,$C$506))</f>
        <v>-2753.0127329593374</v>
      </c>
      <c r="AV451" s="527" cm="1">
        <f t="array" ref="AV451">AV412*(INDEX(('Detailed Assumptions'!$D$59:$J$79,'Detailed Assumptions'!$L$59:$R$79,'Detailed Assumptions'!$T$59:$Z$79,'Detailed Assumptions'!$AB$59:$AH$79),$C451,2,$C$506))</f>
        <v>-2863.1332422777109</v>
      </c>
      <c r="AW451" s="527" cm="1">
        <f t="array" ref="AW451">AW412*(INDEX(('Detailed Assumptions'!$D$59:$J$79,'Detailed Assumptions'!$L$59:$R$79,'Detailed Assumptions'!$T$59:$Z$79,'Detailed Assumptions'!$AB$59:$AH$79),$C451,2,$C$506))</f>
        <v>-2863.1332422777109</v>
      </c>
      <c r="AX451" s="527" cm="1">
        <f t="array" ref="AX451">AX412*(INDEX(('Detailed Assumptions'!$D$59:$J$79,'Detailed Assumptions'!$L$59:$R$79,'Detailed Assumptions'!$T$59:$Z$79,'Detailed Assumptions'!$AB$59:$AH$79),$C451,2,$C$506))</f>
        <v>-2863.1332422777109</v>
      </c>
      <c r="AY451" s="527" cm="1">
        <f t="array" ref="AY451">AY412*(INDEX(('Detailed Assumptions'!$D$59:$J$79,'Detailed Assumptions'!$L$59:$R$79,'Detailed Assumptions'!$T$59:$Z$79,'Detailed Assumptions'!$AB$59:$AH$79),$C451,2,$C$506))</f>
        <v>-2863.1332422777109</v>
      </c>
      <c r="AZ451" s="527" cm="1">
        <f t="array" ref="AZ451">AZ412*(INDEX(('Detailed Assumptions'!$D$59:$J$79,'Detailed Assumptions'!$L$59:$R$79,'Detailed Assumptions'!$T$59:$Z$79,'Detailed Assumptions'!$AB$59:$AH$79),$C451,2,$C$506))</f>
        <v>-2863.1332422777109</v>
      </c>
      <c r="BA451" s="527" cm="1">
        <f t="array" ref="BA451">BA412*(INDEX(('Detailed Assumptions'!$D$59:$J$79,'Detailed Assumptions'!$L$59:$R$79,'Detailed Assumptions'!$T$59:$Z$79,'Detailed Assumptions'!$AB$59:$AH$79),$C451,2,$C$506))</f>
        <v>-2863.1332422777109</v>
      </c>
      <c r="BB451" s="527" cm="1">
        <f t="array" ref="BB451">BB412*(INDEX(('Detailed Assumptions'!$D$59:$J$79,'Detailed Assumptions'!$L$59:$R$79,'Detailed Assumptions'!$T$59:$Z$79,'Detailed Assumptions'!$AB$59:$AH$79),$C451,2,$C$506))</f>
        <v>-2863.1332422777105</v>
      </c>
      <c r="BC451" s="527" cm="1">
        <f t="array" ref="BC451">BC412*(INDEX(('Detailed Assumptions'!$D$59:$J$79,'Detailed Assumptions'!$L$59:$R$79,'Detailed Assumptions'!$T$59:$Z$79,'Detailed Assumptions'!$AB$59:$AH$79),$C451,2,$C$506))</f>
        <v>-2863.1332422777105</v>
      </c>
      <c r="BD451" s="527" cm="1">
        <f t="array" ref="BD451">BD412*(INDEX(('Detailed Assumptions'!$D$59:$J$79,'Detailed Assumptions'!$L$59:$R$79,'Detailed Assumptions'!$T$59:$Z$79,'Detailed Assumptions'!$AB$59:$AH$79),$C451,2,$C$506))</f>
        <v>-2863.1332422777105</v>
      </c>
      <c r="BE451" s="527" cm="1">
        <f t="array" ref="BE451">BE412*(INDEX(('Detailed Assumptions'!$D$59:$J$79,'Detailed Assumptions'!$L$59:$R$79,'Detailed Assumptions'!$T$59:$Z$79,'Detailed Assumptions'!$AB$59:$AH$79),$C451,2,$C$506))</f>
        <v>-2863.1332422777105</v>
      </c>
      <c r="BF451" s="527" cm="1">
        <f t="array" ref="BF451">BF412*(INDEX(('Detailed Assumptions'!$D$59:$J$79,'Detailed Assumptions'!$L$59:$R$79,'Detailed Assumptions'!$T$59:$Z$79,'Detailed Assumptions'!$AB$59:$AH$79),$C451,2,$C$506))</f>
        <v>-2863.1332422777105</v>
      </c>
      <c r="BG451" s="527" cm="1">
        <f t="array" ref="BG451">BG412*(INDEX(('Detailed Assumptions'!$D$59:$J$79,'Detailed Assumptions'!$L$59:$R$79,'Detailed Assumptions'!$T$59:$Z$79,'Detailed Assumptions'!$AB$59:$AH$79),$C451,2,$C$506))</f>
        <v>-2863.1332422777105</v>
      </c>
      <c r="BH451" s="527" cm="1">
        <f t="array" ref="BH451">BH412*(INDEX(('Detailed Assumptions'!$D$59:$J$79,'Detailed Assumptions'!$L$59:$R$79,'Detailed Assumptions'!$T$59:$Z$79,'Detailed Assumptions'!$AB$59:$AH$79),$C451,2,$C$506))</f>
        <v>-2977.6585719688183</v>
      </c>
      <c r="BI451" s="527" cm="1">
        <f t="array" ref="BI451">BI412*(INDEX(('Detailed Assumptions'!$D$59:$J$79,'Detailed Assumptions'!$L$59:$R$79,'Detailed Assumptions'!$T$59:$Z$79,'Detailed Assumptions'!$AB$59:$AH$79),$C451,2,$C$506))</f>
        <v>-2977.6585719688183</v>
      </c>
      <c r="BJ451" s="527" cm="1">
        <f t="array" ref="BJ451">BJ412*(INDEX(('Detailed Assumptions'!$D$59:$J$79,'Detailed Assumptions'!$L$59:$R$79,'Detailed Assumptions'!$T$59:$Z$79,'Detailed Assumptions'!$AB$59:$AH$79),$C451,2,$C$506))</f>
        <v>-2977.6585719688183</v>
      </c>
      <c r="BK451" s="527" cm="1">
        <f t="array" ref="BK451">BK412*(INDEX(('Detailed Assumptions'!$D$59:$J$79,'Detailed Assumptions'!$L$59:$R$79,'Detailed Assumptions'!$T$59:$Z$79,'Detailed Assumptions'!$AB$59:$AH$79),$C451,2,$C$506))</f>
        <v>-2977.6585719688183</v>
      </c>
      <c r="BL451" s="527" cm="1">
        <f t="array" ref="BL451">BL412*(INDEX(('Detailed Assumptions'!$D$59:$J$79,'Detailed Assumptions'!$L$59:$R$79,'Detailed Assumptions'!$T$59:$Z$79,'Detailed Assumptions'!$AB$59:$AH$79),$C451,2,$C$506))</f>
        <v>-2977.6585719688183</v>
      </c>
      <c r="BM451" s="527" cm="1">
        <f t="array" ref="BM451">BM412*(INDEX(('Detailed Assumptions'!$D$59:$J$79,'Detailed Assumptions'!$L$59:$R$79,'Detailed Assumptions'!$T$59:$Z$79,'Detailed Assumptions'!$AB$59:$AH$79),$C451,2,$C$506))</f>
        <v>-2977.6585719688183</v>
      </c>
      <c r="BN451" s="527" cm="1">
        <f t="array" ref="BN451">BN412*(INDEX(('Detailed Assumptions'!$D$59:$J$79,'Detailed Assumptions'!$L$59:$R$79,'Detailed Assumptions'!$T$59:$Z$79,'Detailed Assumptions'!$AB$59:$AH$79),$C451,2,$C$506))</f>
        <v>-2977.6585719688183</v>
      </c>
      <c r="BO451" s="527" cm="1">
        <f t="array" ref="BO451">BO412*(INDEX(('Detailed Assumptions'!$D$59:$J$79,'Detailed Assumptions'!$L$59:$R$79,'Detailed Assumptions'!$T$59:$Z$79,'Detailed Assumptions'!$AB$59:$AH$79),$C451,2,$C$506))</f>
        <v>-2977.6585719688183</v>
      </c>
      <c r="BP451" s="527" cm="1">
        <f t="array" ref="BP451">BP412*(INDEX(('Detailed Assumptions'!$D$59:$J$79,'Detailed Assumptions'!$L$59:$R$79,'Detailed Assumptions'!$T$59:$Z$79,'Detailed Assumptions'!$AB$59:$AH$79),$C451,2,$C$506))</f>
        <v>-2977.6585719688183</v>
      </c>
      <c r="BQ451" s="527" cm="1">
        <f t="array" ref="BQ451">BQ412*(INDEX(('Detailed Assumptions'!$D$59:$J$79,'Detailed Assumptions'!$L$59:$R$79,'Detailed Assumptions'!$T$59:$Z$79,'Detailed Assumptions'!$AB$59:$AH$79),$C451,2,$C$506))</f>
        <v>-2977.6585719688183</v>
      </c>
      <c r="BR451" s="527" cm="1">
        <f t="array" ref="BR451">BR412*(INDEX(('Detailed Assumptions'!$D$59:$J$79,'Detailed Assumptions'!$L$59:$R$79,'Detailed Assumptions'!$T$59:$Z$79,'Detailed Assumptions'!$AB$59:$AH$79),$C451,2,$C$506))</f>
        <v>-2977.6585719688183</v>
      </c>
      <c r="BS451" s="527" cm="1">
        <f t="array" ref="BS451">BS412*(INDEX(('Detailed Assumptions'!$D$59:$J$79,'Detailed Assumptions'!$L$59:$R$79,'Detailed Assumptions'!$T$59:$Z$79,'Detailed Assumptions'!$AB$59:$AH$79),$C451,2,$C$506))</f>
        <v>-2977.6585719688183</v>
      </c>
      <c r="BT451" s="527" cm="1">
        <f t="array" ref="BT451">BT412*(INDEX(('Detailed Assumptions'!$D$59:$J$79,'Detailed Assumptions'!$L$59:$R$79,'Detailed Assumptions'!$T$59:$Z$79,'Detailed Assumptions'!$AB$59:$AH$79),$C451,2,$C$506))</f>
        <v>-3096.7649148475721</v>
      </c>
      <c r="BU451" s="527" cm="1">
        <f t="array" ref="BU451">BU412*(INDEX(('Detailed Assumptions'!$D$59:$J$79,'Detailed Assumptions'!$L$59:$R$79,'Detailed Assumptions'!$T$59:$Z$79,'Detailed Assumptions'!$AB$59:$AH$79),$C451,2,$C$506))</f>
        <v>-3096.7649148475721</v>
      </c>
      <c r="BV451" s="527" cm="1">
        <f t="array" ref="BV451">BV412*(INDEX(('Detailed Assumptions'!$D$59:$J$79,'Detailed Assumptions'!$L$59:$R$79,'Detailed Assumptions'!$T$59:$Z$79,'Detailed Assumptions'!$AB$59:$AH$79),$C451,2,$C$506))</f>
        <v>-3096.7649148475721</v>
      </c>
      <c r="BW451" s="527" cm="1">
        <f t="array" ref="BW451">BW412*(INDEX(('Detailed Assumptions'!$D$59:$J$79,'Detailed Assumptions'!$L$59:$R$79,'Detailed Assumptions'!$T$59:$Z$79,'Detailed Assumptions'!$AB$59:$AH$79),$C451,2,$C$506))</f>
        <v>-3096.7649148475721</v>
      </c>
      <c r="BX451" s="527" cm="1">
        <f t="array" ref="BX451">BX412*(INDEX(('Detailed Assumptions'!$D$59:$J$79,'Detailed Assumptions'!$L$59:$R$79,'Detailed Assumptions'!$T$59:$Z$79,'Detailed Assumptions'!$AB$59:$AH$79),$C451,2,$C$506))</f>
        <v>-3096.7649148475721</v>
      </c>
      <c r="BY451" s="527" cm="1">
        <f t="array" ref="BY451">BY412*(INDEX(('Detailed Assumptions'!$D$59:$J$79,'Detailed Assumptions'!$L$59:$R$79,'Detailed Assumptions'!$T$59:$Z$79,'Detailed Assumptions'!$AB$59:$AH$79),$C451,2,$C$506))</f>
        <v>-3096.7649148475721</v>
      </c>
    </row>
    <row r="452" spans="1:77" x14ac:dyDescent="0.3">
      <c r="A452" s="648"/>
      <c r="B452" s="648" t="s">
        <v>53</v>
      </c>
      <c r="C452" s="648">
        <f t="shared" si="638"/>
        <v>20</v>
      </c>
      <c r="D452" s="647"/>
      <c r="E452" s="649" t="str">
        <f>"Bad debts: "&amp;E$156</f>
        <v>Bad debts: FY28 Tranche</v>
      </c>
      <c r="F452" s="525"/>
      <c r="G452" s="525"/>
      <c r="H452" s="525"/>
      <c r="I452" s="525"/>
      <c r="J452" s="525"/>
      <c r="K452" s="525"/>
      <c r="L452" s="525"/>
      <c r="M452" s="525"/>
      <c r="N452" s="525"/>
      <c r="O452" s="525"/>
      <c r="P452" s="565"/>
      <c r="Q452" s="525"/>
      <c r="R452" s="527" cm="1">
        <f t="array" ref="R452">R413*(INDEX(('Detailed Assumptions'!$D$59:$J$79,'Detailed Assumptions'!$L$59:$R$79,'Detailed Assumptions'!$T$59:$Z$79,'Detailed Assumptions'!$AB$59:$AH$79),$C452,2,$C$506))</f>
        <v>-2260.7227631858132</v>
      </c>
      <c r="S452" s="527" cm="1">
        <f t="array" ref="S452">S413*(INDEX(('Detailed Assumptions'!$D$59:$J$79,'Detailed Assumptions'!$L$59:$R$79,'Detailed Assumptions'!$T$59:$Z$79,'Detailed Assumptions'!$AB$59:$AH$79),$C452,2,$C$506))</f>
        <v>-2260.7227631858132</v>
      </c>
      <c r="T452" s="527" cm="1">
        <f t="array" ref="T452">T413*(INDEX(('Detailed Assumptions'!$D$59:$J$79,'Detailed Assumptions'!$L$59:$R$79,'Detailed Assumptions'!$T$59:$Z$79,'Detailed Assumptions'!$AB$59:$AH$79),$C452,2,$C$506))</f>
        <v>-2260.7227631858132</v>
      </c>
      <c r="U452" s="527" cm="1">
        <f t="array" ref="U452">U413*(INDEX(('Detailed Assumptions'!$D$59:$J$79,'Detailed Assumptions'!$L$59:$R$79,'Detailed Assumptions'!$T$59:$Z$79,'Detailed Assumptions'!$AB$59:$AH$79),$C452,2,$C$506))</f>
        <v>-2260.7227631858132</v>
      </c>
      <c r="V452" s="527" cm="1">
        <f t="array" ref="V452">V413*(INDEX(('Detailed Assumptions'!$D$59:$J$79,'Detailed Assumptions'!$L$59:$R$79,'Detailed Assumptions'!$T$59:$Z$79,'Detailed Assumptions'!$AB$59:$AH$79),$C452,2,$C$506))</f>
        <v>-2260.7227631858132</v>
      </c>
      <c r="W452" s="527" cm="1">
        <f t="array" ref="W452">W413*(INDEX(('Detailed Assumptions'!$D$59:$J$79,'Detailed Assumptions'!$L$59:$R$79,'Detailed Assumptions'!$T$59:$Z$79,'Detailed Assumptions'!$AB$59:$AH$79),$C452,2,$C$506))</f>
        <v>-2260.7227631858132</v>
      </c>
      <c r="X452" s="527" cm="1">
        <f t="array" ref="X452">X413*(INDEX(('Detailed Assumptions'!$D$59:$J$79,'Detailed Assumptions'!$L$59:$R$79,'Detailed Assumptions'!$T$59:$Z$79,'Detailed Assumptions'!$AB$59:$AH$79),$C452,2,$C$506))</f>
        <v>-2260.7227631858132</v>
      </c>
      <c r="Y452" s="527" cm="1">
        <f t="array" ref="Y452">Y413*(INDEX(('Detailed Assumptions'!$D$59:$J$79,'Detailed Assumptions'!$L$59:$R$79,'Detailed Assumptions'!$T$59:$Z$79,'Detailed Assumptions'!$AB$59:$AH$79),$C452,2,$C$506))</f>
        <v>-2260.7227631858132</v>
      </c>
      <c r="Z452" s="527" cm="1">
        <f t="array" ref="Z452">Z413*(INDEX(('Detailed Assumptions'!$D$59:$J$79,'Detailed Assumptions'!$L$59:$R$79,'Detailed Assumptions'!$T$59:$Z$79,'Detailed Assumptions'!$AB$59:$AH$79),$C452,2,$C$506))</f>
        <v>-2260.7227631858132</v>
      </c>
      <c r="AA452" s="527" cm="1">
        <f t="array" ref="AA452">AA413*(INDEX(('Detailed Assumptions'!$D$59:$J$79,'Detailed Assumptions'!$L$59:$R$79,'Detailed Assumptions'!$T$59:$Z$79,'Detailed Assumptions'!$AB$59:$AH$79),$C452,2,$C$506))</f>
        <v>-2260.7227631858132</v>
      </c>
      <c r="AB452" s="527" cm="1">
        <f t="array" ref="AB452">AB413*(INDEX(('Detailed Assumptions'!$D$59:$J$79,'Detailed Assumptions'!$L$59:$R$79,'Detailed Assumptions'!$T$59:$Z$79,'Detailed Assumptions'!$AB$59:$AH$79),$C452,2,$C$506))</f>
        <v>-2260.7227631858132</v>
      </c>
      <c r="AC452" s="527" cm="1">
        <f t="array" ref="AC452">AC413*(INDEX(('Detailed Assumptions'!$D$59:$J$79,'Detailed Assumptions'!$L$59:$R$79,'Detailed Assumptions'!$T$59:$Z$79,'Detailed Assumptions'!$AB$59:$AH$79),$C452,2,$C$506))</f>
        <v>-2260.7227631858132</v>
      </c>
      <c r="AD452" s="527" cm="1">
        <f t="array" ref="AD452">AD413*(INDEX(('Detailed Assumptions'!$D$59:$J$79,'Detailed Assumptions'!$L$59:$R$79,'Detailed Assumptions'!$T$59:$Z$79,'Detailed Assumptions'!$AB$59:$AH$79),$C452,2,$C$506))</f>
        <v>-2351.5260018745867</v>
      </c>
      <c r="AE452" s="527" cm="1">
        <f t="array" ref="AE452">AE413*(INDEX(('Detailed Assumptions'!$D$59:$J$79,'Detailed Assumptions'!$L$59:$R$79,'Detailed Assumptions'!$T$59:$Z$79,'Detailed Assumptions'!$AB$59:$AH$79),$C452,2,$C$506))</f>
        <v>-2351.5260018745867</v>
      </c>
      <c r="AF452" s="527" cm="1">
        <f t="array" ref="AF452">AF413*(INDEX(('Detailed Assumptions'!$D$59:$J$79,'Detailed Assumptions'!$L$59:$R$79,'Detailed Assumptions'!$T$59:$Z$79,'Detailed Assumptions'!$AB$59:$AH$79),$C452,2,$C$506))</f>
        <v>-2351.5260018745867</v>
      </c>
      <c r="AG452" s="527" cm="1">
        <f t="array" ref="AG452">AG413*(INDEX(('Detailed Assumptions'!$D$59:$J$79,'Detailed Assumptions'!$L$59:$R$79,'Detailed Assumptions'!$T$59:$Z$79,'Detailed Assumptions'!$AB$59:$AH$79),$C452,2,$C$506))</f>
        <v>-2351.5260018745867</v>
      </c>
      <c r="AH452" s="527" cm="1">
        <f t="array" ref="AH452">AH413*(INDEX(('Detailed Assumptions'!$D$59:$J$79,'Detailed Assumptions'!$L$59:$R$79,'Detailed Assumptions'!$T$59:$Z$79,'Detailed Assumptions'!$AB$59:$AH$79),$C452,2,$C$506))</f>
        <v>-2351.5260018745867</v>
      </c>
      <c r="AI452" s="527" cm="1">
        <f t="array" ref="AI452">AI413*(INDEX(('Detailed Assumptions'!$D$59:$J$79,'Detailed Assumptions'!$L$59:$R$79,'Detailed Assumptions'!$T$59:$Z$79,'Detailed Assumptions'!$AB$59:$AH$79),$C452,2,$C$506))</f>
        <v>-2351.5260018745867</v>
      </c>
      <c r="AJ452" s="527" cm="1">
        <f t="array" ref="AJ452">AJ413*(INDEX(('Detailed Assumptions'!$D$59:$J$79,'Detailed Assumptions'!$L$59:$R$79,'Detailed Assumptions'!$T$59:$Z$79,'Detailed Assumptions'!$AB$59:$AH$79),$C452,2,$C$506))</f>
        <v>-2747.2238263495633</v>
      </c>
      <c r="AK452" s="527" cm="1">
        <f t="array" ref="AK452">AK413*(INDEX(('Detailed Assumptions'!$D$59:$J$79,'Detailed Assumptions'!$L$59:$R$79,'Detailed Assumptions'!$T$59:$Z$79,'Detailed Assumptions'!$AB$59:$AH$79),$C452,2,$C$506))</f>
        <v>-2747.2238263495633</v>
      </c>
      <c r="AL452" s="527" cm="1">
        <f t="array" ref="AL452">AL413*(INDEX(('Detailed Assumptions'!$D$59:$J$79,'Detailed Assumptions'!$L$59:$R$79,'Detailed Assumptions'!$T$59:$Z$79,'Detailed Assumptions'!$AB$59:$AH$79),$C452,2,$C$506))</f>
        <v>-2747.2238263495633</v>
      </c>
      <c r="AM452" s="527" cm="1">
        <f t="array" ref="AM452">AM413*(INDEX(('Detailed Assumptions'!$D$59:$J$79,'Detailed Assumptions'!$L$59:$R$79,'Detailed Assumptions'!$T$59:$Z$79,'Detailed Assumptions'!$AB$59:$AH$79),$C452,2,$C$506))</f>
        <v>-2747.2238263495633</v>
      </c>
      <c r="AN452" s="527" cm="1">
        <f t="array" ref="AN452">AN413*(INDEX(('Detailed Assumptions'!$D$59:$J$79,'Detailed Assumptions'!$L$59:$R$79,'Detailed Assumptions'!$T$59:$Z$79,'Detailed Assumptions'!$AB$59:$AH$79),$C452,2,$C$506))</f>
        <v>-2747.2238263495633</v>
      </c>
      <c r="AO452" s="527" cm="1">
        <f t="array" ref="AO452">AO413*(INDEX(('Detailed Assumptions'!$D$59:$J$79,'Detailed Assumptions'!$L$59:$R$79,'Detailed Assumptions'!$T$59:$Z$79,'Detailed Assumptions'!$AB$59:$AH$79),$C452,2,$C$506))</f>
        <v>-2747.2238263495633</v>
      </c>
      <c r="AP452" s="527" cm="1">
        <f t="array" ref="AP452">AP413*(INDEX(('Detailed Assumptions'!$D$59:$J$79,'Detailed Assumptions'!$L$59:$R$79,'Detailed Assumptions'!$T$59:$Z$79,'Detailed Assumptions'!$AB$59:$AH$79),$C452,2,$C$506))</f>
        <v>-2747.2238263495619</v>
      </c>
      <c r="AQ452" s="527" cm="1">
        <f t="array" ref="AQ452">AQ413*(INDEX(('Detailed Assumptions'!$D$59:$J$79,'Detailed Assumptions'!$L$59:$R$79,'Detailed Assumptions'!$T$59:$Z$79,'Detailed Assumptions'!$AB$59:$AH$79),$C452,2,$C$506))</f>
        <v>-2747.2238263495619</v>
      </c>
      <c r="AR452" s="527" cm="1">
        <f t="array" ref="AR452">AR413*(INDEX(('Detailed Assumptions'!$D$59:$J$79,'Detailed Assumptions'!$L$59:$R$79,'Detailed Assumptions'!$T$59:$Z$79,'Detailed Assumptions'!$AB$59:$AH$79),$C452,2,$C$506))</f>
        <v>-2747.2238263495619</v>
      </c>
      <c r="AS452" s="527" cm="1">
        <f t="array" ref="AS452">AS413*(INDEX(('Detailed Assumptions'!$D$59:$J$79,'Detailed Assumptions'!$L$59:$R$79,'Detailed Assumptions'!$T$59:$Z$79,'Detailed Assumptions'!$AB$59:$AH$79),$C452,2,$C$506))</f>
        <v>-2747.2238263495619</v>
      </c>
      <c r="AT452" s="527" cm="1">
        <f t="array" ref="AT452">AT413*(INDEX(('Detailed Assumptions'!$D$59:$J$79,'Detailed Assumptions'!$L$59:$R$79,'Detailed Assumptions'!$T$59:$Z$79,'Detailed Assumptions'!$AB$59:$AH$79),$C452,2,$C$506))</f>
        <v>-2747.2238263495619</v>
      </c>
      <c r="AU452" s="527" cm="1">
        <f t="array" ref="AU452">AU413*(INDEX(('Detailed Assumptions'!$D$59:$J$79,'Detailed Assumptions'!$L$59:$R$79,'Detailed Assumptions'!$T$59:$Z$79,'Detailed Assumptions'!$AB$59:$AH$79),$C452,2,$C$506))</f>
        <v>-2747.2238263495619</v>
      </c>
      <c r="AV452" s="527" cm="1">
        <f t="array" ref="AV452">AV413*(INDEX(('Detailed Assumptions'!$D$59:$J$79,'Detailed Assumptions'!$L$59:$R$79,'Detailed Assumptions'!$T$59:$Z$79,'Detailed Assumptions'!$AB$59:$AH$79),$C452,2,$C$506))</f>
        <v>-2857.1127794035447</v>
      </c>
      <c r="AW452" s="527" cm="1">
        <f t="array" ref="AW452">AW413*(INDEX(('Detailed Assumptions'!$D$59:$J$79,'Detailed Assumptions'!$L$59:$R$79,'Detailed Assumptions'!$T$59:$Z$79,'Detailed Assumptions'!$AB$59:$AH$79),$C452,2,$C$506))</f>
        <v>-2857.1127794035447</v>
      </c>
      <c r="AX452" s="527" cm="1">
        <f t="array" ref="AX452">AX413*(INDEX(('Detailed Assumptions'!$D$59:$J$79,'Detailed Assumptions'!$L$59:$R$79,'Detailed Assumptions'!$T$59:$Z$79,'Detailed Assumptions'!$AB$59:$AH$79),$C452,2,$C$506))</f>
        <v>-2857.1127794035447</v>
      </c>
      <c r="AY452" s="527" cm="1">
        <f t="array" ref="AY452">AY413*(INDEX(('Detailed Assumptions'!$D$59:$J$79,'Detailed Assumptions'!$L$59:$R$79,'Detailed Assumptions'!$T$59:$Z$79,'Detailed Assumptions'!$AB$59:$AH$79),$C452,2,$C$506))</f>
        <v>-2857.1127794035447</v>
      </c>
      <c r="AZ452" s="527" cm="1">
        <f t="array" ref="AZ452">AZ413*(INDEX(('Detailed Assumptions'!$D$59:$J$79,'Detailed Assumptions'!$L$59:$R$79,'Detailed Assumptions'!$T$59:$Z$79,'Detailed Assumptions'!$AB$59:$AH$79),$C452,2,$C$506))</f>
        <v>-2857.1127794035447</v>
      </c>
      <c r="BA452" s="527" cm="1">
        <f t="array" ref="BA452">BA413*(INDEX(('Detailed Assumptions'!$D$59:$J$79,'Detailed Assumptions'!$L$59:$R$79,'Detailed Assumptions'!$T$59:$Z$79,'Detailed Assumptions'!$AB$59:$AH$79),$C452,2,$C$506))</f>
        <v>-2857.1127794035447</v>
      </c>
      <c r="BB452" s="527" cm="1">
        <f t="array" ref="BB452">BB413*(INDEX(('Detailed Assumptions'!$D$59:$J$79,'Detailed Assumptions'!$L$59:$R$79,'Detailed Assumptions'!$T$59:$Z$79,'Detailed Assumptions'!$AB$59:$AH$79),$C452,2,$C$506))</f>
        <v>-2857.1127794035447</v>
      </c>
      <c r="BC452" s="527" cm="1">
        <f t="array" ref="BC452">BC413*(INDEX(('Detailed Assumptions'!$D$59:$J$79,'Detailed Assumptions'!$L$59:$R$79,'Detailed Assumptions'!$T$59:$Z$79,'Detailed Assumptions'!$AB$59:$AH$79),$C452,2,$C$506))</f>
        <v>-2857.1127794035447</v>
      </c>
      <c r="BD452" s="527" cm="1">
        <f t="array" ref="BD452">BD413*(INDEX(('Detailed Assumptions'!$D$59:$J$79,'Detailed Assumptions'!$L$59:$R$79,'Detailed Assumptions'!$T$59:$Z$79,'Detailed Assumptions'!$AB$59:$AH$79),$C452,2,$C$506))</f>
        <v>-2857.1127794035447</v>
      </c>
      <c r="BE452" s="527" cm="1">
        <f t="array" ref="BE452">BE413*(INDEX(('Detailed Assumptions'!$D$59:$J$79,'Detailed Assumptions'!$L$59:$R$79,'Detailed Assumptions'!$T$59:$Z$79,'Detailed Assumptions'!$AB$59:$AH$79),$C452,2,$C$506))</f>
        <v>-2857.1127794035447</v>
      </c>
      <c r="BF452" s="527" cm="1">
        <f t="array" ref="BF452">BF413*(INDEX(('Detailed Assumptions'!$D$59:$J$79,'Detailed Assumptions'!$L$59:$R$79,'Detailed Assumptions'!$T$59:$Z$79,'Detailed Assumptions'!$AB$59:$AH$79),$C452,2,$C$506))</f>
        <v>-2857.1127794035447</v>
      </c>
      <c r="BG452" s="527" cm="1">
        <f t="array" ref="BG452">BG413*(INDEX(('Detailed Assumptions'!$D$59:$J$79,'Detailed Assumptions'!$L$59:$R$79,'Detailed Assumptions'!$T$59:$Z$79,'Detailed Assumptions'!$AB$59:$AH$79),$C452,2,$C$506))</f>
        <v>-2857.1127794035447</v>
      </c>
      <c r="BH452" s="527" cm="1">
        <f t="array" ref="BH452">BH413*(INDEX(('Detailed Assumptions'!$D$59:$J$79,'Detailed Assumptions'!$L$59:$R$79,'Detailed Assumptions'!$T$59:$Z$79,'Detailed Assumptions'!$AB$59:$AH$79),$C452,2,$C$506))</f>
        <v>-2971.3972905796863</v>
      </c>
      <c r="BI452" s="527" cm="1">
        <f t="array" ref="BI452">BI413*(INDEX(('Detailed Assumptions'!$D$59:$J$79,'Detailed Assumptions'!$L$59:$R$79,'Detailed Assumptions'!$T$59:$Z$79,'Detailed Assumptions'!$AB$59:$AH$79),$C452,2,$C$506))</f>
        <v>-2971.3972905796863</v>
      </c>
      <c r="BJ452" s="527" cm="1">
        <f t="array" ref="BJ452">BJ413*(INDEX(('Detailed Assumptions'!$D$59:$J$79,'Detailed Assumptions'!$L$59:$R$79,'Detailed Assumptions'!$T$59:$Z$79,'Detailed Assumptions'!$AB$59:$AH$79),$C452,2,$C$506))</f>
        <v>-2971.3972905796863</v>
      </c>
      <c r="BK452" s="527" cm="1">
        <f t="array" ref="BK452">BK413*(INDEX(('Detailed Assumptions'!$D$59:$J$79,'Detailed Assumptions'!$L$59:$R$79,'Detailed Assumptions'!$T$59:$Z$79,'Detailed Assumptions'!$AB$59:$AH$79),$C452,2,$C$506))</f>
        <v>-2971.3972905796863</v>
      </c>
      <c r="BL452" s="527" cm="1">
        <f t="array" ref="BL452">BL413*(INDEX(('Detailed Assumptions'!$D$59:$J$79,'Detailed Assumptions'!$L$59:$R$79,'Detailed Assumptions'!$T$59:$Z$79,'Detailed Assumptions'!$AB$59:$AH$79),$C452,2,$C$506))</f>
        <v>-2971.3972905796863</v>
      </c>
      <c r="BM452" s="527" cm="1">
        <f t="array" ref="BM452">BM413*(INDEX(('Detailed Assumptions'!$D$59:$J$79,'Detailed Assumptions'!$L$59:$R$79,'Detailed Assumptions'!$T$59:$Z$79,'Detailed Assumptions'!$AB$59:$AH$79),$C452,2,$C$506))</f>
        <v>-2971.3972905796863</v>
      </c>
      <c r="BN452" s="527" cm="1">
        <f t="array" ref="BN452">BN413*(INDEX(('Detailed Assumptions'!$D$59:$J$79,'Detailed Assumptions'!$L$59:$R$79,'Detailed Assumptions'!$T$59:$Z$79,'Detailed Assumptions'!$AB$59:$AH$79),$C452,2,$C$506))</f>
        <v>-2971.3972905796863</v>
      </c>
      <c r="BO452" s="527" cm="1">
        <f t="array" ref="BO452">BO413*(INDEX(('Detailed Assumptions'!$D$59:$J$79,'Detailed Assumptions'!$L$59:$R$79,'Detailed Assumptions'!$T$59:$Z$79,'Detailed Assumptions'!$AB$59:$AH$79),$C452,2,$C$506))</f>
        <v>-2971.3972905796863</v>
      </c>
      <c r="BP452" s="527" cm="1">
        <f t="array" ref="BP452">BP413*(INDEX(('Detailed Assumptions'!$D$59:$J$79,'Detailed Assumptions'!$L$59:$R$79,'Detailed Assumptions'!$T$59:$Z$79,'Detailed Assumptions'!$AB$59:$AH$79),$C452,2,$C$506))</f>
        <v>-2971.3972905796863</v>
      </c>
      <c r="BQ452" s="527" cm="1">
        <f t="array" ref="BQ452">BQ413*(INDEX(('Detailed Assumptions'!$D$59:$J$79,'Detailed Assumptions'!$L$59:$R$79,'Detailed Assumptions'!$T$59:$Z$79,'Detailed Assumptions'!$AB$59:$AH$79),$C452,2,$C$506))</f>
        <v>-2971.3972905796863</v>
      </c>
      <c r="BR452" s="527" cm="1">
        <f t="array" ref="BR452">BR413*(INDEX(('Detailed Assumptions'!$D$59:$J$79,'Detailed Assumptions'!$L$59:$R$79,'Detailed Assumptions'!$T$59:$Z$79,'Detailed Assumptions'!$AB$59:$AH$79),$C452,2,$C$506))</f>
        <v>-2971.3972905796863</v>
      </c>
      <c r="BS452" s="527" cm="1">
        <f t="array" ref="BS452">BS413*(INDEX(('Detailed Assumptions'!$D$59:$J$79,'Detailed Assumptions'!$L$59:$R$79,'Detailed Assumptions'!$T$59:$Z$79,'Detailed Assumptions'!$AB$59:$AH$79),$C452,2,$C$506))</f>
        <v>-2971.3972905796863</v>
      </c>
      <c r="BT452" s="527" cm="1">
        <f t="array" ref="BT452">BT413*(INDEX(('Detailed Assumptions'!$D$59:$J$79,'Detailed Assumptions'!$L$59:$R$79,'Detailed Assumptions'!$T$59:$Z$79,'Detailed Assumptions'!$AB$59:$AH$79),$C452,2,$C$506))</f>
        <v>-3090.2531822028741</v>
      </c>
      <c r="BU452" s="527" cm="1">
        <f t="array" ref="BU452">BU413*(INDEX(('Detailed Assumptions'!$D$59:$J$79,'Detailed Assumptions'!$L$59:$R$79,'Detailed Assumptions'!$T$59:$Z$79,'Detailed Assumptions'!$AB$59:$AH$79),$C452,2,$C$506))</f>
        <v>-3090.2531822028741</v>
      </c>
      <c r="BV452" s="527" cm="1">
        <f t="array" ref="BV452">BV413*(INDEX(('Detailed Assumptions'!$D$59:$J$79,'Detailed Assumptions'!$L$59:$R$79,'Detailed Assumptions'!$T$59:$Z$79,'Detailed Assumptions'!$AB$59:$AH$79),$C452,2,$C$506))</f>
        <v>-3090.2531822028741</v>
      </c>
      <c r="BW452" s="527" cm="1">
        <f t="array" ref="BW452">BW413*(INDEX(('Detailed Assumptions'!$D$59:$J$79,'Detailed Assumptions'!$L$59:$R$79,'Detailed Assumptions'!$T$59:$Z$79,'Detailed Assumptions'!$AB$59:$AH$79),$C452,2,$C$506))</f>
        <v>-3090.2531822028741</v>
      </c>
      <c r="BX452" s="527" cm="1">
        <f t="array" ref="BX452">BX413*(INDEX(('Detailed Assumptions'!$D$59:$J$79,'Detailed Assumptions'!$L$59:$R$79,'Detailed Assumptions'!$T$59:$Z$79,'Detailed Assumptions'!$AB$59:$AH$79),$C452,2,$C$506))</f>
        <v>-3090.2531822028741</v>
      </c>
      <c r="BY452" s="527" cm="1">
        <f t="array" ref="BY452">BY413*(INDEX(('Detailed Assumptions'!$D$59:$J$79,'Detailed Assumptions'!$L$59:$R$79,'Detailed Assumptions'!$T$59:$Z$79,'Detailed Assumptions'!$AB$59:$AH$79),$C452,2,$C$506))</f>
        <v>-3090.2531822028741</v>
      </c>
    </row>
    <row r="453" spans="1:77" x14ac:dyDescent="0.3">
      <c r="A453" s="648"/>
      <c r="B453" s="648" t="s">
        <v>53</v>
      </c>
      <c r="C453" s="648">
        <f t="shared" si="638"/>
        <v>20</v>
      </c>
      <c r="D453" s="647"/>
      <c r="E453" s="649" t="str">
        <f>"Bad debts: "&amp;E$157</f>
        <v>Bad debts: FY29 Tranche</v>
      </c>
      <c r="F453" s="525"/>
      <c r="G453" s="525"/>
      <c r="H453" s="525"/>
      <c r="I453" s="525"/>
      <c r="J453" s="525"/>
      <c r="K453" s="525"/>
      <c r="L453" s="525"/>
      <c r="M453" s="525"/>
      <c r="N453" s="525"/>
      <c r="O453" s="525"/>
      <c r="P453" s="565"/>
      <c r="Q453" s="525"/>
      <c r="R453" s="527" cm="1">
        <f t="array" ref="R453">R414*(INDEX(('Detailed Assumptions'!$D$59:$J$79,'Detailed Assumptions'!$L$59:$R$79,'Detailed Assumptions'!$T$59:$Z$79,'Detailed Assumptions'!$AB$59:$AH$79),$C453,2,$C$506))</f>
        <v>-2260.7227631858132</v>
      </c>
      <c r="S453" s="527" cm="1">
        <f t="array" ref="S453">S414*(INDEX(('Detailed Assumptions'!$D$59:$J$79,'Detailed Assumptions'!$L$59:$R$79,'Detailed Assumptions'!$T$59:$Z$79,'Detailed Assumptions'!$AB$59:$AH$79),$C453,2,$C$506))</f>
        <v>-2260.7227631858132</v>
      </c>
      <c r="T453" s="527" cm="1">
        <f t="array" ref="T453">T414*(INDEX(('Detailed Assumptions'!$D$59:$J$79,'Detailed Assumptions'!$L$59:$R$79,'Detailed Assumptions'!$T$59:$Z$79,'Detailed Assumptions'!$AB$59:$AH$79),$C453,2,$C$506))</f>
        <v>-2260.7227631858132</v>
      </c>
      <c r="U453" s="527" cm="1">
        <f t="array" ref="U453">U414*(INDEX(('Detailed Assumptions'!$D$59:$J$79,'Detailed Assumptions'!$L$59:$R$79,'Detailed Assumptions'!$T$59:$Z$79,'Detailed Assumptions'!$AB$59:$AH$79),$C453,2,$C$506))</f>
        <v>-2260.7227631858132</v>
      </c>
      <c r="V453" s="527" cm="1">
        <f t="array" ref="V453">V414*(INDEX(('Detailed Assumptions'!$D$59:$J$79,'Detailed Assumptions'!$L$59:$R$79,'Detailed Assumptions'!$T$59:$Z$79,'Detailed Assumptions'!$AB$59:$AH$79),$C453,2,$C$506))</f>
        <v>-2260.7227631858132</v>
      </c>
      <c r="W453" s="527" cm="1">
        <f t="array" ref="W453">W414*(INDEX(('Detailed Assumptions'!$D$59:$J$79,'Detailed Assumptions'!$L$59:$R$79,'Detailed Assumptions'!$T$59:$Z$79,'Detailed Assumptions'!$AB$59:$AH$79),$C453,2,$C$506))</f>
        <v>-2260.7227631858132</v>
      </c>
      <c r="X453" s="527" cm="1">
        <f t="array" ref="X453">X414*(INDEX(('Detailed Assumptions'!$D$59:$J$79,'Detailed Assumptions'!$L$59:$R$79,'Detailed Assumptions'!$T$59:$Z$79,'Detailed Assumptions'!$AB$59:$AH$79),$C453,2,$C$506))</f>
        <v>-2260.7227631858132</v>
      </c>
      <c r="Y453" s="527" cm="1">
        <f t="array" ref="Y453">Y414*(INDEX(('Detailed Assumptions'!$D$59:$J$79,'Detailed Assumptions'!$L$59:$R$79,'Detailed Assumptions'!$T$59:$Z$79,'Detailed Assumptions'!$AB$59:$AH$79),$C453,2,$C$506))</f>
        <v>-2260.7227631858132</v>
      </c>
      <c r="Z453" s="527" cm="1">
        <f t="array" ref="Z453">Z414*(INDEX(('Detailed Assumptions'!$D$59:$J$79,'Detailed Assumptions'!$L$59:$R$79,'Detailed Assumptions'!$T$59:$Z$79,'Detailed Assumptions'!$AB$59:$AH$79),$C453,2,$C$506))</f>
        <v>-2260.7227631858132</v>
      </c>
      <c r="AA453" s="527" cm="1">
        <f t="array" ref="AA453">AA414*(INDEX(('Detailed Assumptions'!$D$59:$J$79,'Detailed Assumptions'!$L$59:$R$79,'Detailed Assumptions'!$T$59:$Z$79,'Detailed Assumptions'!$AB$59:$AH$79),$C453,2,$C$506))</f>
        <v>-2260.7227631858132</v>
      </c>
      <c r="AB453" s="527" cm="1">
        <f t="array" ref="AB453">AB414*(INDEX(('Detailed Assumptions'!$D$59:$J$79,'Detailed Assumptions'!$L$59:$R$79,'Detailed Assumptions'!$T$59:$Z$79,'Detailed Assumptions'!$AB$59:$AH$79),$C453,2,$C$506))</f>
        <v>-2260.7227631858132</v>
      </c>
      <c r="AC453" s="527" cm="1">
        <f t="array" ref="AC453">AC414*(INDEX(('Detailed Assumptions'!$D$59:$J$79,'Detailed Assumptions'!$L$59:$R$79,'Detailed Assumptions'!$T$59:$Z$79,'Detailed Assumptions'!$AB$59:$AH$79),$C453,2,$C$506))</f>
        <v>-2260.7227631858132</v>
      </c>
      <c r="AD453" s="527" cm="1">
        <f t="array" ref="AD453">AD414*(INDEX(('Detailed Assumptions'!$D$59:$J$79,'Detailed Assumptions'!$L$59:$R$79,'Detailed Assumptions'!$T$59:$Z$79,'Detailed Assumptions'!$AB$59:$AH$79),$C453,2,$C$506))</f>
        <v>-2351.5260018745867</v>
      </c>
      <c r="AE453" s="527" cm="1">
        <f t="array" ref="AE453">AE414*(INDEX(('Detailed Assumptions'!$D$59:$J$79,'Detailed Assumptions'!$L$59:$R$79,'Detailed Assumptions'!$T$59:$Z$79,'Detailed Assumptions'!$AB$59:$AH$79),$C453,2,$C$506))</f>
        <v>-2351.5260018745867</v>
      </c>
      <c r="AF453" s="527" cm="1">
        <f t="array" ref="AF453">AF414*(INDEX(('Detailed Assumptions'!$D$59:$J$79,'Detailed Assumptions'!$L$59:$R$79,'Detailed Assumptions'!$T$59:$Z$79,'Detailed Assumptions'!$AB$59:$AH$79),$C453,2,$C$506))</f>
        <v>-2351.5260018745867</v>
      </c>
      <c r="AG453" s="527" cm="1">
        <f t="array" ref="AG453">AG414*(INDEX(('Detailed Assumptions'!$D$59:$J$79,'Detailed Assumptions'!$L$59:$R$79,'Detailed Assumptions'!$T$59:$Z$79,'Detailed Assumptions'!$AB$59:$AH$79),$C453,2,$C$506))</f>
        <v>-2351.5260018745867</v>
      </c>
      <c r="AH453" s="527" cm="1">
        <f t="array" ref="AH453">AH414*(INDEX(('Detailed Assumptions'!$D$59:$J$79,'Detailed Assumptions'!$L$59:$R$79,'Detailed Assumptions'!$T$59:$Z$79,'Detailed Assumptions'!$AB$59:$AH$79),$C453,2,$C$506))</f>
        <v>-2351.5260018745867</v>
      </c>
      <c r="AI453" s="527" cm="1">
        <f t="array" ref="AI453">AI414*(INDEX(('Detailed Assumptions'!$D$59:$J$79,'Detailed Assumptions'!$L$59:$R$79,'Detailed Assumptions'!$T$59:$Z$79,'Detailed Assumptions'!$AB$59:$AH$79),$C453,2,$C$506))</f>
        <v>-2351.5260018745867</v>
      </c>
      <c r="AJ453" s="527" cm="1">
        <f t="array" ref="AJ453">AJ414*(INDEX(('Detailed Assumptions'!$D$59:$J$79,'Detailed Assumptions'!$L$59:$R$79,'Detailed Assumptions'!$T$59:$Z$79,'Detailed Assumptions'!$AB$59:$AH$79),$C453,2,$C$506))</f>
        <v>-2351.5260018745867</v>
      </c>
      <c r="AK453" s="527" cm="1">
        <f t="array" ref="AK453">AK414*(INDEX(('Detailed Assumptions'!$D$59:$J$79,'Detailed Assumptions'!$L$59:$R$79,'Detailed Assumptions'!$T$59:$Z$79,'Detailed Assumptions'!$AB$59:$AH$79),$C453,2,$C$506))</f>
        <v>-2351.5260018745867</v>
      </c>
      <c r="AL453" s="527" cm="1">
        <f t="array" ref="AL453">AL414*(INDEX(('Detailed Assumptions'!$D$59:$J$79,'Detailed Assumptions'!$L$59:$R$79,'Detailed Assumptions'!$T$59:$Z$79,'Detailed Assumptions'!$AB$59:$AH$79),$C453,2,$C$506))</f>
        <v>-2351.5260018745867</v>
      </c>
      <c r="AM453" s="527" cm="1">
        <f t="array" ref="AM453">AM414*(INDEX(('Detailed Assumptions'!$D$59:$J$79,'Detailed Assumptions'!$L$59:$R$79,'Detailed Assumptions'!$T$59:$Z$79,'Detailed Assumptions'!$AB$59:$AH$79),$C453,2,$C$506))</f>
        <v>-2351.5260018745867</v>
      </c>
      <c r="AN453" s="527" cm="1">
        <f t="array" ref="AN453">AN414*(INDEX(('Detailed Assumptions'!$D$59:$J$79,'Detailed Assumptions'!$L$59:$R$79,'Detailed Assumptions'!$T$59:$Z$79,'Detailed Assumptions'!$AB$59:$AH$79),$C453,2,$C$506))</f>
        <v>-2351.5260018745867</v>
      </c>
      <c r="AO453" s="527" cm="1">
        <f t="array" ref="AO453">AO414*(INDEX(('Detailed Assumptions'!$D$59:$J$79,'Detailed Assumptions'!$L$59:$R$79,'Detailed Assumptions'!$T$59:$Z$79,'Detailed Assumptions'!$AB$59:$AH$79),$C453,2,$C$506))</f>
        <v>-2351.5260018745867</v>
      </c>
      <c r="AP453" s="527" cm="1">
        <f t="array" ref="AP453">AP414*(INDEX(('Detailed Assumptions'!$D$59:$J$79,'Detailed Assumptions'!$L$59:$R$79,'Detailed Assumptions'!$T$59:$Z$79,'Detailed Assumptions'!$AB$59:$AH$79),$C453,2,$C$506))</f>
        <v>-2441.5781816824056</v>
      </c>
      <c r="AQ453" s="527" cm="1">
        <f t="array" ref="AQ453">AQ414*(INDEX(('Detailed Assumptions'!$D$59:$J$79,'Detailed Assumptions'!$L$59:$R$79,'Detailed Assumptions'!$T$59:$Z$79,'Detailed Assumptions'!$AB$59:$AH$79),$C453,2,$C$506))</f>
        <v>-2441.5781816824056</v>
      </c>
      <c r="AR453" s="527" cm="1">
        <f t="array" ref="AR453">AR414*(INDEX(('Detailed Assumptions'!$D$59:$J$79,'Detailed Assumptions'!$L$59:$R$79,'Detailed Assumptions'!$T$59:$Z$79,'Detailed Assumptions'!$AB$59:$AH$79),$C453,2,$C$506))</f>
        <v>-2441.5781816824056</v>
      </c>
      <c r="AS453" s="527" cm="1">
        <f t="array" ref="AS453">AS414*(INDEX(('Detailed Assumptions'!$D$59:$J$79,'Detailed Assumptions'!$L$59:$R$79,'Detailed Assumptions'!$T$59:$Z$79,'Detailed Assumptions'!$AB$59:$AH$79),$C453,2,$C$506))</f>
        <v>-2441.5781816824056</v>
      </c>
      <c r="AT453" s="527" cm="1">
        <f t="array" ref="AT453">AT414*(INDEX(('Detailed Assumptions'!$D$59:$J$79,'Detailed Assumptions'!$L$59:$R$79,'Detailed Assumptions'!$T$59:$Z$79,'Detailed Assumptions'!$AB$59:$AH$79),$C453,2,$C$506))</f>
        <v>-2441.5781816824056</v>
      </c>
      <c r="AU453" s="527" cm="1">
        <f t="array" ref="AU453">AU414*(INDEX(('Detailed Assumptions'!$D$59:$J$79,'Detailed Assumptions'!$L$59:$R$79,'Detailed Assumptions'!$T$59:$Z$79,'Detailed Assumptions'!$AB$59:$AH$79),$C453,2,$C$506))</f>
        <v>-2441.5781816824056</v>
      </c>
      <c r="AV453" s="527" cm="1">
        <f t="array" ref="AV453">AV414*(INDEX(('Detailed Assumptions'!$D$59:$J$79,'Detailed Assumptions'!$L$59:$R$79,'Detailed Assumptions'!$T$59:$Z$79,'Detailed Assumptions'!$AB$59:$AH$79),$C453,2,$C$506))</f>
        <v>-2846.1611706320837</v>
      </c>
      <c r="AW453" s="527" cm="1">
        <f t="array" ref="AW453">AW414*(INDEX(('Detailed Assumptions'!$D$59:$J$79,'Detailed Assumptions'!$L$59:$R$79,'Detailed Assumptions'!$T$59:$Z$79,'Detailed Assumptions'!$AB$59:$AH$79),$C453,2,$C$506))</f>
        <v>-2846.1611706320837</v>
      </c>
      <c r="AX453" s="527" cm="1">
        <f t="array" ref="AX453">AX414*(INDEX(('Detailed Assumptions'!$D$59:$J$79,'Detailed Assumptions'!$L$59:$R$79,'Detailed Assumptions'!$T$59:$Z$79,'Detailed Assumptions'!$AB$59:$AH$79),$C453,2,$C$506))</f>
        <v>-2846.1611706320837</v>
      </c>
      <c r="AY453" s="527" cm="1">
        <f t="array" ref="AY453">AY414*(INDEX(('Detailed Assumptions'!$D$59:$J$79,'Detailed Assumptions'!$L$59:$R$79,'Detailed Assumptions'!$T$59:$Z$79,'Detailed Assumptions'!$AB$59:$AH$79),$C453,2,$C$506))</f>
        <v>-2846.1611706320837</v>
      </c>
      <c r="AZ453" s="527" cm="1">
        <f t="array" ref="AZ453">AZ414*(INDEX(('Detailed Assumptions'!$D$59:$J$79,'Detailed Assumptions'!$L$59:$R$79,'Detailed Assumptions'!$T$59:$Z$79,'Detailed Assumptions'!$AB$59:$AH$79),$C453,2,$C$506))</f>
        <v>-2846.1611706320837</v>
      </c>
      <c r="BA453" s="527" cm="1">
        <f t="array" ref="BA453">BA414*(INDEX(('Detailed Assumptions'!$D$59:$J$79,'Detailed Assumptions'!$L$59:$R$79,'Detailed Assumptions'!$T$59:$Z$79,'Detailed Assumptions'!$AB$59:$AH$79),$C453,2,$C$506))</f>
        <v>-2846.1611706320837</v>
      </c>
      <c r="BB453" s="527" cm="1">
        <f t="array" ref="BB453">BB414*(INDEX(('Detailed Assumptions'!$D$59:$J$79,'Detailed Assumptions'!$L$59:$R$79,'Detailed Assumptions'!$T$59:$Z$79,'Detailed Assumptions'!$AB$59:$AH$79),$C453,2,$C$506))</f>
        <v>-2846.1611706320841</v>
      </c>
      <c r="BC453" s="527" cm="1">
        <f t="array" ref="BC453">BC414*(INDEX(('Detailed Assumptions'!$D$59:$J$79,'Detailed Assumptions'!$L$59:$R$79,'Detailed Assumptions'!$T$59:$Z$79,'Detailed Assumptions'!$AB$59:$AH$79),$C453,2,$C$506))</f>
        <v>-2846.1611706320841</v>
      </c>
      <c r="BD453" s="527" cm="1">
        <f t="array" ref="BD453">BD414*(INDEX(('Detailed Assumptions'!$D$59:$J$79,'Detailed Assumptions'!$L$59:$R$79,'Detailed Assumptions'!$T$59:$Z$79,'Detailed Assumptions'!$AB$59:$AH$79),$C453,2,$C$506))</f>
        <v>-2846.1611706320841</v>
      </c>
      <c r="BE453" s="527" cm="1">
        <f t="array" ref="BE453">BE414*(INDEX(('Detailed Assumptions'!$D$59:$J$79,'Detailed Assumptions'!$L$59:$R$79,'Detailed Assumptions'!$T$59:$Z$79,'Detailed Assumptions'!$AB$59:$AH$79),$C453,2,$C$506))</f>
        <v>-2846.1611706320841</v>
      </c>
      <c r="BF453" s="527" cm="1">
        <f t="array" ref="BF453">BF414*(INDEX(('Detailed Assumptions'!$D$59:$J$79,'Detailed Assumptions'!$L$59:$R$79,'Detailed Assumptions'!$T$59:$Z$79,'Detailed Assumptions'!$AB$59:$AH$79),$C453,2,$C$506))</f>
        <v>-2846.1611706320841</v>
      </c>
      <c r="BG453" s="527" cm="1">
        <f t="array" ref="BG453">BG414*(INDEX(('Detailed Assumptions'!$D$59:$J$79,'Detailed Assumptions'!$L$59:$R$79,'Detailed Assumptions'!$T$59:$Z$79,'Detailed Assumptions'!$AB$59:$AH$79),$C453,2,$C$506))</f>
        <v>-2846.1611706320841</v>
      </c>
      <c r="BH453" s="527" cm="1">
        <f t="array" ref="BH453">BH414*(INDEX(('Detailed Assumptions'!$D$59:$J$79,'Detailed Assumptions'!$L$59:$R$79,'Detailed Assumptions'!$T$59:$Z$79,'Detailed Assumptions'!$AB$59:$AH$79),$C453,2,$C$506))</f>
        <v>-2960.0076174573674</v>
      </c>
      <c r="BI453" s="527" cm="1">
        <f t="array" ref="BI453">BI414*(INDEX(('Detailed Assumptions'!$D$59:$J$79,'Detailed Assumptions'!$L$59:$R$79,'Detailed Assumptions'!$T$59:$Z$79,'Detailed Assumptions'!$AB$59:$AH$79),$C453,2,$C$506))</f>
        <v>-2960.0076174573674</v>
      </c>
      <c r="BJ453" s="527" cm="1">
        <f t="array" ref="BJ453">BJ414*(INDEX(('Detailed Assumptions'!$D$59:$J$79,'Detailed Assumptions'!$L$59:$R$79,'Detailed Assumptions'!$T$59:$Z$79,'Detailed Assumptions'!$AB$59:$AH$79),$C453,2,$C$506))</f>
        <v>-2960.0076174573674</v>
      </c>
      <c r="BK453" s="527" cm="1">
        <f t="array" ref="BK453">BK414*(INDEX(('Detailed Assumptions'!$D$59:$J$79,'Detailed Assumptions'!$L$59:$R$79,'Detailed Assumptions'!$T$59:$Z$79,'Detailed Assumptions'!$AB$59:$AH$79),$C453,2,$C$506))</f>
        <v>-2960.0076174573674</v>
      </c>
      <c r="BL453" s="527" cm="1">
        <f t="array" ref="BL453">BL414*(INDEX(('Detailed Assumptions'!$D$59:$J$79,'Detailed Assumptions'!$L$59:$R$79,'Detailed Assumptions'!$T$59:$Z$79,'Detailed Assumptions'!$AB$59:$AH$79),$C453,2,$C$506))</f>
        <v>-2960.0076174573674</v>
      </c>
      <c r="BM453" s="527" cm="1">
        <f t="array" ref="BM453">BM414*(INDEX(('Detailed Assumptions'!$D$59:$J$79,'Detailed Assumptions'!$L$59:$R$79,'Detailed Assumptions'!$T$59:$Z$79,'Detailed Assumptions'!$AB$59:$AH$79),$C453,2,$C$506))</f>
        <v>-2960.0076174573674</v>
      </c>
      <c r="BN453" s="527" cm="1">
        <f t="array" ref="BN453">BN414*(INDEX(('Detailed Assumptions'!$D$59:$J$79,'Detailed Assumptions'!$L$59:$R$79,'Detailed Assumptions'!$T$59:$Z$79,'Detailed Assumptions'!$AB$59:$AH$79),$C453,2,$C$506))</f>
        <v>-2960.0076174573678</v>
      </c>
      <c r="BO453" s="527" cm="1">
        <f t="array" ref="BO453">BO414*(INDEX(('Detailed Assumptions'!$D$59:$J$79,'Detailed Assumptions'!$L$59:$R$79,'Detailed Assumptions'!$T$59:$Z$79,'Detailed Assumptions'!$AB$59:$AH$79),$C453,2,$C$506))</f>
        <v>-2960.0076174573678</v>
      </c>
      <c r="BP453" s="527" cm="1">
        <f t="array" ref="BP453">BP414*(INDEX(('Detailed Assumptions'!$D$59:$J$79,'Detailed Assumptions'!$L$59:$R$79,'Detailed Assumptions'!$T$59:$Z$79,'Detailed Assumptions'!$AB$59:$AH$79),$C453,2,$C$506))</f>
        <v>-2960.0076174573678</v>
      </c>
      <c r="BQ453" s="527" cm="1">
        <f t="array" ref="BQ453">BQ414*(INDEX(('Detailed Assumptions'!$D$59:$J$79,'Detailed Assumptions'!$L$59:$R$79,'Detailed Assumptions'!$T$59:$Z$79,'Detailed Assumptions'!$AB$59:$AH$79),$C453,2,$C$506))</f>
        <v>-2960.0076174573678</v>
      </c>
      <c r="BR453" s="527" cm="1">
        <f t="array" ref="BR453">BR414*(INDEX(('Detailed Assumptions'!$D$59:$J$79,'Detailed Assumptions'!$L$59:$R$79,'Detailed Assumptions'!$T$59:$Z$79,'Detailed Assumptions'!$AB$59:$AH$79),$C453,2,$C$506))</f>
        <v>-2960.0076174573678</v>
      </c>
      <c r="BS453" s="527" cm="1">
        <f t="array" ref="BS453">BS414*(INDEX(('Detailed Assumptions'!$D$59:$J$79,'Detailed Assumptions'!$L$59:$R$79,'Detailed Assumptions'!$T$59:$Z$79,'Detailed Assumptions'!$AB$59:$AH$79),$C453,2,$C$506))</f>
        <v>-2960.0076174573678</v>
      </c>
      <c r="BT453" s="527" cm="1">
        <f t="array" ref="BT453">BT414*(INDEX(('Detailed Assumptions'!$D$59:$J$79,'Detailed Assumptions'!$L$59:$R$79,'Detailed Assumptions'!$T$59:$Z$79,'Detailed Assumptions'!$AB$59:$AH$79),$C453,2,$C$506))</f>
        <v>-3078.4079221556617</v>
      </c>
      <c r="BU453" s="527" cm="1">
        <f t="array" ref="BU453">BU414*(INDEX(('Detailed Assumptions'!$D$59:$J$79,'Detailed Assumptions'!$L$59:$R$79,'Detailed Assumptions'!$T$59:$Z$79,'Detailed Assumptions'!$AB$59:$AH$79),$C453,2,$C$506))</f>
        <v>-3078.4079221556617</v>
      </c>
      <c r="BV453" s="527" cm="1">
        <f t="array" ref="BV453">BV414*(INDEX(('Detailed Assumptions'!$D$59:$J$79,'Detailed Assumptions'!$L$59:$R$79,'Detailed Assumptions'!$T$59:$Z$79,'Detailed Assumptions'!$AB$59:$AH$79),$C453,2,$C$506))</f>
        <v>-3078.4079221556617</v>
      </c>
      <c r="BW453" s="527" cm="1">
        <f t="array" ref="BW453">BW414*(INDEX(('Detailed Assumptions'!$D$59:$J$79,'Detailed Assumptions'!$L$59:$R$79,'Detailed Assumptions'!$T$59:$Z$79,'Detailed Assumptions'!$AB$59:$AH$79),$C453,2,$C$506))</f>
        <v>-3078.4079221556617</v>
      </c>
      <c r="BX453" s="527" cm="1">
        <f t="array" ref="BX453">BX414*(INDEX(('Detailed Assumptions'!$D$59:$J$79,'Detailed Assumptions'!$L$59:$R$79,'Detailed Assumptions'!$T$59:$Z$79,'Detailed Assumptions'!$AB$59:$AH$79),$C453,2,$C$506))</f>
        <v>-3078.4079221556617</v>
      </c>
      <c r="BY453" s="527" cm="1">
        <f t="array" ref="BY453">BY414*(INDEX(('Detailed Assumptions'!$D$59:$J$79,'Detailed Assumptions'!$L$59:$R$79,'Detailed Assumptions'!$T$59:$Z$79,'Detailed Assumptions'!$AB$59:$AH$79),$C453,2,$C$506))</f>
        <v>-3078.4079221556617</v>
      </c>
    </row>
    <row r="454" spans="1:77" x14ac:dyDescent="0.3">
      <c r="A454" s="648"/>
      <c r="B454" s="648" t="s">
        <v>53</v>
      </c>
      <c r="C454" s="648">
        <f t="shared" si="638"/>
        <v>20</v>
      </c>
      <c r="D454" s="647"/>
      <c r="E454" s="649" t="str">
        <f>"Bad debts: "&amp;E$158</f>
        <v>Bad debts: FY30 Tranche</v>
      </c>
      <c r="F454" s="525"/>
      <c r="G454" s="525"/>
      <c r="H454" s="525"/>
      <c r="I454" s="525"/>
      <c r="J454" s="525"/>
      <c r="K454" s="525"/>
      <c r="L454" s="525"/>
      <c r="M454" s="525"/>
      <c r="N454" s="525"/>
      <c r="O454" s="525"/>
      <c r="P454" s="565"/>
      <c r="Q454" s="525"/>
      <c r="R454" s="527" cm="1">
        <f t="array" ref="R454">R415*(INDEX(('Detailed Assumptions'!$D$59:$J$79,'Detailed Assumptions'!$L$59:$R$79,'Detailed Assumptions'!$T$59:$Z$79,'Detailed Assumptions'!$AB$59:$AH$79),$C454,2,$C$506))</f>
        <v>-2260.7227631858132</v>
      </c>
      <c r="S454" s="527" cm="1">
        <f t="array" ref="S454">S415*(INDEX(('Detailed Assumptions'!$D$59:$J$79,'Detailed Assumptions'!$L$59:$R$79,'Detailed Assumptions'!$T$59:$Z$79,'Detailed Assumptions'!$AB$59:$AH$79),$C454,2,$C$506))</f>
        <v>-2260.7227631858132</v>
      </c>
      <c r="T454" s="527" cm="1">
        <f t="array" ref="T454">T415*(INDEX(('Detailed Assumptions'!$D$59:$J$79,'Detailed Assumptions'!$L$59:$R$79,'Detailed Assumptions'!$T$59:$Z$79,'Detailed Assumptions'!$AB$59:$AH$79),$C454,2,$C$506))</f>
        <v>-2260.7227631858132</v>
      </c>
      <c r="U454" s="527" cm="1">
        <f t="array" ref="U454">U415*(INDEX(('Detailed Assumptions'!$D$59:$J$79,'Detailed Assumptions'!$L$59:$R$79,'Detailed Assumptions'!$T$59:$Z$79,'Detailed Assumptions'!$AB$59:$AH$79),$C454,2,$C$506))</f>
        <v>-2260.7227631858132</v>
      </c>
      <c r="V454" s="527" cm="1">
        <f t="array" ref="V454">V415*(INDEX(('Detailed Assumptions'!$D$59:$J$79,'Detailed Assumptions'!$L$59:$R$79,'Detailed Assumptions'!$T$59:$Z$79,'Detailed Assumptions'!$AB$59:$AH$79),$C454,2,$C$506))</f>
        <v>-2260.7227631858132</v>
      </c>
      <c r="W454" s="527" cm="1">
        <f t="array" ref="W454">W415*(INDEX(('Detailed Assumptions'!$D$59:$J$79,'Detailed Assumptions'!$L$59:$R$79,'Detailed Assumptions'!$T$59:$Z$79,'Detailed Assumptions'!$AB$59:$AH$79),$C454,2,$C$506))</f>
        <v>-2260.7227631858132</v>
      </c>
      <c r="X454" s="527" cm="1">
        <f t="array" ref="X454">X415*(INDEX(('Detailed Assumptions'!$D$59:$J$79,'Detailed Assumptions'!$L$59:$R$79,'Detailed Assumptions'!$T$59:$Z$79,'Detailed Assumptions'!$AB$59:$AH$79),$C454,2,$C$506))</f>
        <v>-2260.7227631858132</v>
      </c>
      <c r="Y454" s="527" cm="1">
        <f t="array" ref="Y454">Y415*(INDEX(('Detailed Assumptions'!$D$59:$J$79,'Detailed Assumptions'!$L$59:$R$79,'Detailed Assumptions'!$T$59:$Z$79,'Detailed Assumptions'!$AB$59:$AH$79),$C454,2,$C$506))</f>
        <v>-2260.7227631858132</v>
      </c>
      <c r="Z454" s="527" cm="1">
        <f t="array" ref="Z454">Z415*(INDEX(('Detailed Assumptions'!$D$59:$J$79,'Detailed Assumptions'!$L$59:$R$79,'Detailed Assumptions'!$T$59:$Z$79,'Detailed Assumptions'!$AB$59:$AH$79),$C454,2,$C$506))</f>
        <v>-2260.7227631858132</v>
      </c>
      <c r="AA454" s="527" cm="1">
        <f t="array" ref="AA454">AA415*(INDEX(('Detailed Assumptions'!$D$59:$J$79,'Detailed Assumptions'!$L$59:$R$79,'Detailed Assumptions'!$T$59:$Z$79,'Detailed Assumptions'!$AB$59:$AH$79),$C454,2,$C$506))</f>
        <v>-2260.7227631858132</v>
      </c>
      <c r="AB454" s="527" cm="1">
        <f t="array" ref="AB454">AB415*(INDEX(('Detailed Assumptions'!$D$59:$J$79,'Detailed Assumptions'!$L$59:$R$79,'Detailed Assumptions'!$T$59:$Z$79,'Detailed Assumptions'!$AB$59:$AH$79),$C454,2,$C$506))</f>
        <v>-2260.7227631858132</v>
      </c>
      <c r="AC454" s="527" cm="1">
        <f t="array" ref="AC454">AC415*(INDEX(('Detailed Assumptions'!$D$59:$J$79,'Detailed Assumptions'!$L$59:$R$79,'Detailed Assumptions'!$T$59:$Z$79,'Detailed Assumptions'!$AB$59:$AH$79),$C454,2,$C$506))</f>
        <v>-2260.7227631858132</v>
      </c>
      <c r="AD454" s="527" cm="1">
        <f t="array" ref="AD454">AD415*(INDEX(('Detailed Assumptions'!$D$59:$J$79,'Detailed Assumptions'!$L$59:$R$79,'Detailed Assumptions'!$T$59:$Z$79,'Detailed Assumptions'!$AB$59:$AH$79),$C454,2,$C$506))</f>
        <v>-2351.5260018745867</v>
      </c>
      <c r="AE454" s="527" cm="1">
        <f t="array" ref="AE454">AE415*(INDEX(('Detailed Assumptions'!$D$59:$J$79,'Detailed Assumptions'!$L$59:$R$79,'Detailed Assumptions'!$T$59:$Z$79,'Detailed Assumptions'!$AB$59:$AH$79),$C454,2,$C$506))</f>
        <v>-2351.5260018745867</v>
      </c>
      <c r="AF454" s="527" cm="1">
        <f t="array" ref="AF454">AF415*(INDEX(('Detailed Assumptions'!$D$59:$J$79,'Detailed Assumptions'!$L$59:$R$79,'Detailed Assumptions'!$T$59:$Z$79,'Detailed Assumptions'!$AB$59:$AH$79),$C454,2,$C$506))</f>
        <v>-2351.5260018745867</v>
      </c>
      <c r="AG454" s="527" cm="1">
        <f t="array" ref="AG454">AG415*(INDEX(('Detailed Assumptions'!$D$59:$J$79,'Detailed Assumptions'!$L$59:$R$79,'Detailed Assumptions'!$T$59:$Z$79,'Detailed Assumptions'!$AB$59:$AH$79),$C454,2,$C$506))</f>
        <v>-2351.5260018745867</v>
      </c>
      <c r="AH454" s="527" cm="1">
        <f t="array" ref="AH454">AH415*(INDEX(('Detailed Assumptions'!$D$59:$J$79,'Detailed Assumptions'!$L$59:$R$79,'Detailed Assumptions'!$T$59:$Z$79,'Detailed Assumptions'!$AB$59:$AH$79),$C454,2,$C$506))</f>
        <v>-2351.5260018745867</v>
      </c>
      <c r="AI454" s="527" cm="1">
        <f t="array" ref="AI454">AI415*(INDEX(('Detailed Assumptions'!$D$59:$J$79,'Detailed Assumptions'!$L$59:$R$79,'Detailed Assumptions'!$T$59:$Z$79,'Detailed Assumptions'!$AB$59:$AH$79),$C454,2,$C$506))</f>
        <v>-2351.5260018745867</v>
      </c>
      <c r="AJ454" s="527" cm="1">
        <f t="array" ref="AJ454">AJ415*(INDEX(('Detailed Assumptions'!$D$59:$J$79,'Detailed Assumptions'!$L$59:$R$79,'Detailed Assumptions'!$T$59:$Z$79,'Detailed Assumptions'!$AB$59:$AH$79),$C454,2,$C$506))</f>
        <v>-2351.5260018745867</v>
      </c>
      <c r="AK454" s="527" cm="1">
        <f t="array" ref="AK454">AK415*(INDEX(('Detailed Assumptions'!$D$59:$J$79,'Detailed Assumptions'!$L$59:$R$79,'Detailed Assumptions'!$T$59:$Z$79,'Detailed Assumptions'!$AB$59:$AH$79),$C454,2,$C$506))</f>
        <v>-2351.5260018745867</v>
      </c>
      <c r="AL454" s="527" cm="1">
        <f t="array" ref="AL454">AL415*(INDEX(('Detailed Assumptions'!$D$59:$J$79,'Detailed Assumptions'!$L$59:$R$79,'Detailed Assumptions'!$T$59:$Z$79,'Detailed Assumptions'!$AB$59:$AH$79),$C454,2,$C$506))</f>
        <v>-2351.5260018745867</v>
      </c>
      <c r="AM454" s="527" cm="1">
        <f t="array" ref="AM454">AM415*(INDEX(('Detailed Assumptions'!$D$59:$J$79,'Detailed Assumptions'!$L$59:$R$79,'Detailed Assumptions'!$T$59:$Z$79,'Detailed Assumptions'!$AB$59:$AH$79),$C454,2,$C$506))</f>
        <v>-2351.5260018745867</v>
      </c>
      <c r="AN454" s="527" cm="1">
        <f t="array" ref="AN454">AN415*(INDEX(('Detailed Assumptions'!$D$59:$J$79,'Detailed Assumptions'!$L$59:$R$79,'Detailed Assumptions'!$T$59:$Z$79,'Detailed Assumptions'!$AB$59:$AH$79),$C454,2,$C$506))</f>
        <v>-2351.5260018745867</v>
      </c>
      <c r="AO454" s="527" cm="1">
        <f t="array" ref="AO454">AO415*(INDEX(('Detailed Assumptions'!$D$59:$J$79,'Detailed Assumptions'!$L$59:$R$79,'Detailed Assumptions'!$T$59:$Z$79,'Detailed Assumptions'!$AB$59:$AH$79),$C454,2,$C$506))</f>
        <v>-2351.5260018745867</v>
      </c>
      <c r="AP454" s="527" cm="1">
        <f t="array" ref="AP454">AP415*(INDEX(('Detailed Assumptions'!$D$59:$J$79,'Detailed Assumptions'!$L$59:$R$79,'Detailed Assumptions'!$T$59:$Z$79,'Detailed Assumptions'!$AB$59:$AH$79),$C454,2,$C$506))</f>
        <v>-2441.5781816824056</v>
      </c>
      <c r="AQ454" s="527" cm="1">
        <f t="array" ref="AQ454">AQ415*(INDEX(('Detailed Assumptions'!$D$59:$J$79,'Detailed Assumptions'!$L$59:$R$79,'Detailed Assumptions'!$T$59:$Z$79,'Detailed Assumptions'!$AB$59:$AH$79),$C454,2,$C$506))</f>
        <v>-2441.5781816824056</v>
      </c>
      <c r="AR454" s="527" cm="1">
        <f t="array" ref="AR454">AR415*(INDEX(('Detailed Assumptions'!$D$59:$J$79,'Detailed Assumptions'!$L$59:$R$79,'Detailed Assumptions'!$T$59:$Z$79,'Detailed Assumptions'!$AB$59:$AH$79),$C454,2,$C$506))</f>
        <v>-2441.5781816824056</v>
      </c>
      <c r="AS454" s="527" cm="1">
        <f t="array" ref="AS454">AS415*(INDEX(('Detailed Assumptions'!$D$59:$J$79,'Detailed Assumptions'!$L$59:$R$79,'Detailed Assumptions'!$T$59:$Z$79,'Detailed Assumptions'!$AB$59:$AH$79),$C454,2,$C$506))</f>
        <v>-2441.5781816824056</v>
      </c>
      <c r="AT454" s="527" cm="1">
        <f t="array" ref="AT454">AT415*(INDEX(('Detailed Assumptions'!$D$59:$J$79,'Detailed Assumptions'!$L$59:$R$79,'Detailed Assumptions'!$T$59:$Z$79,'Detailed Assumptions'!$AB$59:$AH$79),$C454,2,$C$506))</f>
        <v>-2441.5781816824056</v>
      </c>
      <c r="AU454" s="527" cm="1">
        <f t="array" ref="AU454">AU415*(INDEX(('Detailed Assumptions'!$D$59:$J$79,'Detailed Assumptions'!$L$59:$R$79,'Detailed Assumptions'!$T$59:$Z$79,'Detailed Assumptions'!$AB$59:$AH$79),$C454,2,$C$506))</f>
        <v>-2441.5781816824056</v>
      </c>
      <c r="AV454" s="527" cm="1">
        <f t="array" ref="AV454">AV415*(INDEX(('Detailed Assumptions'!$D$59:$J$79,'Detailed Assumptions'!$L$59:$R$79,'Detailed Assumptions'!$T$59:$Z$79,'Detailed Assumptions'!$AB$59:$AH$79),$C454,2,$C$506))</f>
        <v>-2441.5781816824056</v>
      </c>
      <c r="AW454" s="527" cm="1">
        <f t="array" ref="AW454">AW415*(INDEX(('Detailed Assumptions'!$D$59:$J$79,'Detailed Assumptions'!$L$59:$R$79,'Detailed Assumptions'!$T$59:$Z$79,'Detailed Assumptions'!$AB$59:$AH$79),$C454,2,$C$506))</f>
        <v>-2441.5781816824056</v>
      </c>
      <c r="AX454" s="527" cm="1">
        <f t="array" ref="AX454">AX415*(INDEX(('Detailed Assumptions'!$D$59:$J$79,'Detailed Assumptions'!$L$59:$R$79,'Detailed Assumptions'!$T$59:$Z$79,'Detailed Assumptions'!$AB$59:$AH$79),$C454,2,$C$506))</f>
        <v>-2441.5781816824056</v>
      </c>
      <c r="AY454" s="527" cm="1">
        <f t="array" ref="AY454">AY415*(INDEX(('Detailed Assumptions'!$D$59:$J$79,'Detailed Assumptions'!$L$59:$R$79,'Detailed Assumptions'!$T$59:$Z$79,'Detailed Assumptions'!$AB$59:$AH$79),$C454,2,$C$506))</f>
        <v>-2441.5781816824056</v>
      </c>
      <c r="AZ454" s="527" cm="1">
        <f t="array" ref="AZ454">AZ415*(INDEX(('Detailed Assumptions'!$D$59:$J$79,'Detailed Assumptions'!$L$59:$R$79,'Detailed Assumptions'!$T$59:$Z$79,'Detailed Assumptions'!$AB$59:$AH$79),$C454,2,$C$506))</f>
        <v>-2441.5781816824056</v>
      </c>
      <c r="BA454" s="527" cm="1">
        <f t="array" ref="BA454">BA415*(INDEX(('Detailed Assumptions'!$D$59:$J$79,'Detailed Assumptions'!$L$59:$R$79,'Detailed Assumptions'!$T$59:$Z$79,'Detailed Assumptions'!$AB$59:$AH$79),$C454,2,$C$506))</f>
        <v>-2441.5781816824056</v>
      </c>
      <c r="BB454" s="527" cm="1">
        <f t="array" ref="BB454">BB415*(INDEX(('Detailed Assumptions'!$D$59:$J$79,'Detailed Assumptions'!$L$59:$R$79,'Detailed Assumptions'!$T$59:$Z$79,'Detailed Assumptions'!$AB$59:$AH$79),$C454,2,$C$506))</f>
        <v>-2528.0493320564688</v>
      </c>
      <c r="BC454" s="527" cm="1">
        <f t="array" ref="BC454">BC415*(INDEX(('Detailed Assumptions'!$D$59:$J$79,'Detailed Assumptions'!$L$59:$R$79,'Detailed Assumptions'!$T$59:$Z$79,'Detailed Assumptions'!$AB$59:$AH$79),$C454,2,$C$506))</f>
        <v>-2528.0493320564688</v>
      </c>
      <c r="BD454" s="527" cm="1">
        <f t="array" ref="BD454">BD415*(INDEX(('Detailed Assumptions'!$D$59:$J$79,'Detailed Assumptions'!$L$59:$R$79,'Detailed Assumptions'!$T$59:$Z$79,'Detailed Assumptions'!$AB$59:$AH$79),$C454,2,$C$506))</f>
        <v>-2528.0493320564688</v>
      </c>
      <c r="BE454" s="527" cm="1">
        <f t="array" ref="BE454">BE415*(INDEX(('Detailed Assumptions'!$D$59:$J$79,'Detailed Assumptions'!$L$59:$R$79,'Detailed Assumptions'!$T$59:$Z$79,'Detailed Assumptions'!$AB$59:$AH$79),$C454,2,$C$506))</f>
        <v>-2528.0493320564688</v>
      </c>
      <c r="BF454" s="527" cm="1">
        <f t="array" ref="BF454">BF415*(INDEX(('Detailed Assumptions'!$D$59:$J$79,'Detailed Assumptions'!$L$59:$R$79,'Detailed Assumptions'!$T$59:$Z$79,'Detailed Assumptions'!$AB$59:$AH$79),$C454,2,$C$506))</f>
        <v>-2528.0493320564688</v>
      </c>
      <c r="BG454" s="527" cm="1">
        <f t="array" ref="BG454">BG415*(INDEX(('Detailed Assumptions'!$D$59:$J$79,'Detailed Assumptions'!$L$59:$R$79,'Detailed Assumptions'!$T$59:$Z$79,'Detailed Assumptions'!$AB$59:$AH$79),$C454,2,$C$506))</f>
        <v>-2528.0493320564688</v>
      </c>
      <c r="BH454" s="527" cm="1">
        <f t="array" ref="BH454">BH415*(INDEX(('Detailed Assumptions'!$D$59:$J$79,'Detailed Assumptions'!$L$59:$R$79,'Detailed Assumptions'!$T$59:$Z$79,'Detailed Assumptions'!$AB$59:$AH$79),$C454,2,$C$506))</f>
        <v>-2940.9981378558482</v>
      </c>
      <c r="BI454" s="527" cm="1">
        <f t="array" ref="BI454">BI415*(INDEX(('Detailed Assumptions'!$D$59:$J$79,'Detailed Assumptions'!$L$59:$R$79,'Detailed Assumptions'!$T$59:$Z$79,'Detailed Assumptions'!$AB$59:$AH$79),$C454,2,$C$506))</f>
        <v>-2940.9981378558482</v>
      </c>
      <c r="BJ454" s="527" cm="1">
        <f t="array" ref="BJ454">BJ415*(INDEX(('Detailed Assumptions'!$D$59:$J$79,'Detailed Assumptions'!$L$59:$R$79,'Detailed Assumptions'!$T$59:$Z$79,'Detailed Assumptions'!$AB$59:$AH$79),$C454,2,$C$506))</f>
        <v>-2940.9981378558482</v>
      </c>
      <c r="BK454" s="527" cm="1">
        <f t="array" ref="BK454">BK415*(INDEX(('Detailed Assumptions'!$D$59:$J$79,'Detailed Assumptions'!$L$59:$R$79,'Detailed Assumptions'!$T$59:$Z$79,'Detailed Assumptions'!$AB$59:$AH$79),$C454,2,$C$506))</f>
        <v>-2940.9981378558482</v>
      </c>
      <c r="BL454" s="527" cm="1">
        <f t="array" ref="BL454">BL415*(INDEX(('Detailed Assumptions'!$D$59:$J$79,'Detailed Assumptions'!$L$59:$R$79,'Detailed Assumptions'!$T$59:$Z$79,'Detailed Assumptions'!$AB$59:$AH$79),$C454,2,$C$506))</f>
        <v>-2940.9981378558482</v>
      </c>
      <c r="BM454" s="527" cm="1">
        <f t="array" ref="BM454">BM415*(INDEX(('Detailed Assumptions'!$D$59:$J$79,'Detailed Assumptions'!$L$59:$R$79,'Detailed Assumptions'!$T$59:$Z$79,'Detailed Assumptions'!$AB$59:$AH$79),$C454,2,$C$506))</f>
        <v>-2940.9981378558482</v>
      </c>
      <c r="BN454" s="527" cm="1">
        <f t="array" ref="BN454">BN415*(INDEX(('Detailed Assumptions'!$D$59:$J$79,'Detailed Assumptions'!$L$59:$R$79,'Detailed Assumptions'!$T$59:$Z$79,'Detailed Assumptions'!$AB$59:$AH$79),$C454,2,$C$506))</f>
        <v>-2940.9981378558477</v>
      </c>
      <c r="BO454" s="527" cm="1">
        <f t="array" ref="BO454">BO415*(INDEX(('Detailed Assumptions'!$D$59:$J$79,'Detailed Assumptions'!$L$59:$R$79,'Detailed Assumptions'!$T$59:$Z$79,'Detailed Assumptions'!$AB$59:$AH$79),$C454,2,$C$506))</f>
        <v>-2940.9981378558477</v>
      </c>
      <c r="BP454" s="527" cm="1">
        <f t="array" ref="BP454">BP415*(INDEX(('Detailed Assumptions'!$D$59:$J$79,'Detailed Assumptions'!$L$59:$R$79,'Detailed Assumptions'!$T$59:$Z$79,'Detailed Assumptions'!$AB$59:$AH$79),$C454,2,$C$506))</f>
        <v>-2940.9981378558477</v>
      </c>
      <c r="BQ454" s="527" cm="1">
        <f t="array" ref="BQ454">BQ415*(INDEX(('Detailed Assumptions'!$D$59:$J$79,'Detailed Assumptions'!$L$59:$R$79,'Detailed Assumptions'!$T$59:$Z$79,'Detailed Assumptions'!$AB$59:$AH$79),$C454,2,$C$506))</f>
        <v>-2940.9981378558477</v>
      </c>
      <c r="BR454" s="527" cm="1">
        <f t="array" ref="BR454">BR415*(INDEX(('Detailed Assumptions'!$D$59:$J$79,'Detailed Assumptions'!$L$59:$R$79,'Detailed Assumptions'!$T$59:$Z$79,'Detailed Assumptions'!$AB$59:$AH$79),$C454,2,$C$506))</f>
        <v>-2940.9981378558477</v>
      </c>
      <c r="BS454" s="527" cm="1">
        <f t="array" ref="BS454">BS415*(INDEX(('Detailed Assumptions'!$D$59:$J$79,'Detailed Assumptions'!$L$59:$R$79,'Detailed Assumptions'!$T$59:$Z$79,'Detailed Assumptions'!$AB$59:$AH$79),$C454,2,$C$506))</f>
        <v>-2940.9981378558477</v>
      </c>
      <c r="BT454" s="527" cm="1">
        <f t="array" ref="BT454">BT415*(INDEX(('Detailed Assumptions'!$D$59:$J$79,'Detailed Assumptions'!$L$59:$R$79,'Detailed Assumptions'!$T$59:$Z$79,'Detailed Assumptions'!$AB$59:$AH$79),$C454,2,$C$506))</f>
        <v>-3058.638063370081</v>
      </c>
      <c r="BU454" s="527" cm="1">
        <f t="array" ref="BU454">BU415*(INDEX(('Detailed Assumptions'!$D$59:$J$79,'Detailed Assumptions'!$L$59:$R$79,'Detailed Assumptions'!$T$59:$Z$79,'Detailed Assumptions'!$AB$59:$AH$79),$C454,2,$C$506))</f>
        <v>-3058.638063370081</v>
      </c>
      <c r="BV454" s="527" cm="1">
        <f t="array" ref="BV454">BV415*(INDEX(('Detailed Assumptions'!$D$59:$J$79,'Detailed Assumptions'!$L$59:$R$79,'Detailed Assumptions'!$T$59:$Z$79,'Detailed Assumptions'!$AB$59:$AH$79),$C454,2,$C$506))</f>
        <v>-3058.638063370081</v>
      </c>
      <c r="BW454" s="527" cm="1">
        <f t="array" ref="BW454">BW415*(INDEX(('Detailed Assumptions'!$D$59:$J$79,'Detailed Assumptions'!$L$59:$R$79,'Detailed Assumptions'!$T$59:$Z$79,'Detailed Assumptions'!$AB$59:$AH$79),$C454,2,$C$506))</f>
        <v>-3058.638063370081</v>
      </c>
      <c r="BX454" s="527" cm="1">
        <f t="array" ref="BX454">BX415*(INDEX(('Detailed Assumptions'!$D$59:$J$79,'Detailed Assumptions'!$L$59:$R$79,'Detailed Assumptions'!$T$59:$Z$79,'Detailed Assumptions'!$AB$59:$AH$79),$C454,2,$C$506))</f>
        <v>-3058.638063370081</v>
      </c>
      <c r="BY454" s="527" cm="1">
        <f t="array" ref="BY454">BY415*(INDEX(('Detailed Assumptions'!$D$59:$J$79,'Detailed Assumptions'!$L$59:$R$79,'Detailed Assumptions'!$T$59:$Z$79,'Detailed Assumptions'!$AB$59:$AH$79),$C454,2,$C$506))</f>
        <v>-3058.638063370081</v>
      </c>
    </row>
    <row r="455" spans="1:77" x14ac:dyDescent="0.3">
      <c r="A455" s="648"/>
      <c r="B455" s="648" t="s">
        <v>53</v>
      </c>
      <c r="C455" s="648">
        <f t="shared" si="638"/>
        <v>20</v>
      </c>
      <c r="D455" s="647"/>
      <c r="E455" s="649" t="str">
        <f>"Bad debts: "&amp;E$159</f>
        <v>Bad debts: FY31 Tranche</v>
      </c>
      <c r="F455" s="525"/>
      <c r="G455" s="525"/>
      <c r="H455" s="525"/>
      <c r="I455" s="525"/>
      <c r="J455" s="525"/>
      <c r="K455" s="525"/>
      <c r="L455" s="525"/>
      <c r="M455" s="525"/>
      <c r="N455" s="525"/>
      <c r="O455" s="525"/>
      <c r="P455" s="565"/>
      <c r="Q455" s="525"/>
      <c r="R455" s="527" cm="1">
        <f t="array" ref="R455">R416*(INDEX(('Detailed Assumptions'!$D$59:$J$79,'Detailed Assumptions'!$L$59:$R$79,'Detailed Assumptions'!$T$59:$Z$79,'Detailed Assumptions'!$AB$59:$AH$79),$C455,2,$C$506))</f>
        <v>-2260.7227631858132</v>
      </c>
      <c r="S455" s="527" cm="1">
        <f t="array" ref="S455">S416*(INDEX(('Detailed Assumptions'!$D$59:$J$79,'Detailed Assumptions'!$L$59:$R$79,'Detailed Assumptions'!$T$59:$Z$79,'Detailed Assumptions'!$AB$59:$AH$79),$C455,2,$C$506))</f>
        <v>-2260.7227631858132</v>
      </c>
      <c r="T455" s="527" cm="1">
        <f t="array" ref="T455">T416*(INDEX(('Detailed Assumptions'!$D$59:$J$79,'Detailed Assumptions'!$L$59:$R$79,'Detailed Assumptions'!$T$59:$Z$79,'Detailed Assumptions'!$AB$59:$AH$79),$C455,2,$C$506))</f>
        <v>-2260.7227631858132</v>
      </c>
      <c r="U455" s="527" cm="1">
        <f t="array" ref="U455">U416*(INDEX(('Detailed Assumptions'!$D$59:$J$79,'Detailed Assumptions'!$L$59:$R$79,'Detailed Assumptions'!$T$59:$Z$79,'Detailed Assumptions'!$AB$59:$AH$79),$C455,2,$C$506))</f>
        <v>-2260.7227631858132</v>
      </c>
      <c r="V455" s="527" cm="1">
        <f t="array" ref="V455">V416*(INDEX(('Detailed Assumptions'!$D$59:$J$79,'Detailed Assumptions'!$L$59:$R$79,'Detailed Assumptions'!$T$59:$Z$79,'Detailed Assumptions'!$AB$59:$AH$79),$C455,2,$C$506))</f>
        <v>-2260.7227631858132</v>
      </c>
      <c r="W455" s="527" cm="1">
        <f t="array" ref="W455">W416*(INDEX(('Detailed Assumptions'!$D$59:$J$79,'Detailed Assumptions'!$L$59:$R$79,'Detailed Assumptions'!$T$59:$Z$79,'Detailed Assumptions'!$AB$59:$AH$79),$C455,2,$C$506))</f>
        <v>-2260.7227631858132</v>
      </c>
      <c r="X455" s="527" cm="1">
        <f t="array" ref="X455">X416*(INDEX(('Detailed Assumptions'!$D$59:$J$79,'Detailed Assumptions'!$L$59:$R$79,'Detailed Assumptions'!$T$59:$Z$79,'Detailed Assumptions'!$AB$59:$AH$79),$C455,2,$C$506))</f>
        <v>-2260.7227631858132</v>
      </c>
      <c r="Y455" s="527" cm="1">
        <f t="array" ref="Y455">Y416*(INDEX(('Detailed Assumptions'!$D$59:$J$79,'Detailed Assumptions'!$L$59:$R$79,'Detailed Assumptions'!$T$59:$Z$79,'Detailed Assumptions'!$AB$59:$AH$79),$C455,2,$C$506))</f>
        <v>-2260.7227631858132</v>
      </c>
      <c r="Z455" s="527" cm="1">
        <f t="array" ref="Z455">Z416*(INDEX(('Detailed Assumptions'!$D$59:$J$79,'Detailed Assumptions'!$L$59:$R$79,'Detailed Assumptions'!$T$59:$Z$79,'Detailed Assumptions'!$AB$59:$AH$79),$C455,2,$C$506))</f>
        <v>-2260.7227631858132</v>
      </c>
      <c r="AA455" s="527" cm="1">
        <f t="array" ref="AA455">AA416*(INDEX(('Detailed Assumptions'!$D$59:$J$79,'Detailed Assumptions'!$L$59:$R$79,'Detailed Assumptions'!$T$59:$Z$79,'Detailed Assumptions'!$AB$59:$AH$79),$C455,2,$C$506))</f>
        <v>-2260.7227631858132</v>
      </c>
      <c r="AB455" s="527" cm="1">
        <f t="array" ref="AB455">AB416*(INDEX(('Detailed Assumptions'!$D$59:$J$79,'Detailed Assumptions'!$L$59:$R$79,'Detailed Assumptions'!$T$59:$Z$79,'Detailed Assumptions'!$AB$59:$AH$79),$C455,2,$C$506))</f>
        <v>-2260.7227631858132</v>
      </c>
      <c r="AC455" s="527" cm="1">
        <f t="array" ref="AC455">AC416*(INDEX(('Detailed Assumptions'!$D$59:$J$79,'Detailed Assumptions'!$L$59:$R$79,'Detailed Assumptions'!$T$59:$Z$79,'Detailed Assumptions'!$AB$59:$AH$79),$C455,2,$C$506))</f>
        <v>-2260.7227631858132</v>
      </c>
      <c r="AD455" s="527" cm="1">
        <f t="array" ref="AD455">AD416*(INDEX(('Detailed Assumptions'!$D$59:$J$79,'Detailed Assumptions'!$L$59:$R$79,'Detailed Assumptions'!$T$59:$Z$79,'Detailed Assumptions'!$AB$59:$AH$79),$C455,2,$C$506))</f>
        <v>-2351.5260018745867</v>
      </c>
      <c r="AE455" s="527" cm="1">
        <f t="array" ref="AE455">AE416*(INDEX(('Detailed Assumptions'!$D$59:$J$79,'Detailed Assumptions'!$L$59:$R$79,'Detailed Assumptions'!$T$59:$Z$79,'Detailed Assumptions'!$AB$59:$AH$79),$C455,2,$C$506))</f>
        <v>-2351.5260018745867</v>
      </c>
      <c r="AF455" s="527" cm="1">
        <f t="array" ref="AF455">AF416*(INDEX(('Detailed Assumptions'!$D$59:$J$79,'Detailed Assumptions'!$L$59:$R$79,'Detailed Assumptions'!$T$59:$Z$79,'Detailed Assumptions'!$AB$59:$AH$79),$C455,2,$C$506))</f>
        <v>-2351.5260018745867</v>
      </c>
      <c r="AG455" s="527" cm="1">
        <f t="array" ref="AG455">AG416*(INDEX(('Detailed Assumptions'!$D$59:$J$79,'Detailed Assumptions'!$L$59:$R$79,'Detailed Assumptions'!$T$59:$Z$79,'Detailed Assumptions'!$AB$59:$AH$79),$C455,2,$C$506))</f>
        <v>-2351.5260018745867</v>
      </c>
      <c r="AH455" s="527" cm="1">
        <f t="array" ref="AH455">AH416*(INDEX(('Detailed Assumptions'!$D$59:$J$79,'Detailed Assumptions'!$L$59:$R$79,'Detailed Assumptions'!$T$59:$Z$79,'Detailed Assumptions'!$AB$59:$AH$79),$C455,2,$C$506))</f>
        <v>-2351.5260018745867</v>
      </c>
      <c r="AI455" s="527" cm="1">
        <f t="array" ref="AI455">AI416*(INDEX(('Detailed Assumptions'!$D$59:$J$79,'Detailed Assumptions'!$L$59:$R$79,'Detailed Assumptions'!$T$59:$Z$79,'Detailed Assumptions'!$AB$59:$AH$79),$C455,2,$C$506))</f>
        <v>-2351.5260018745867</v>
      </c>
      <c r="AJ455" s="527" cm="1">
        <f t="array" ref="AJ455">AJ416*(INDEX(('Detailed Assumptions'!$D$59:$J$79,'Detailed Assumptions'!$L$59:$R$79,'Detailed Assumptions'!$T$59:$Z$79,'Detailed Assumptions'!$AB$59:$AH$79),$C455,2,$C$506))</f>
        <v>-2351.5260018745867</v>
      </c>
      <c r="AK455" s="527" cm="1">
        <f t="array" ref="AK455">AK416*(INDEX(('Detailed Assumptions'!$D$59:$J$79,'Detailed Assumptions'!$L$59:$R$79,'Detailed Assumptions'!$T$59:$Z$79,'Detailed Assumptions'!$AB$59:$AH$79),$C455,2,$C$506))</f>
        <v>-2351.5260018745867</v>
      </c>
      <c r="AL455" s="527" cm="1">
        <f t="array" ref="AL455">AL416*(INDEX(('Detailed Assumptions'!$D$59:$J$79,'Detailed Assumptions'!$L$59:$R$79,'Detailed Assumptions'!$T$59:$Z$79,'Detailed Assumptions'!$AB$59:$AH$79),$C455,2,$C$506))</f>
        <v>-2351.5260018745867</v>
      </c>
      <c r="AM455" s="527" cm="1">
        <f t="array" ref="AM455">AM416*(INDEX(('Detailed Assumptions'!$D$59:$J$79,'Detailed Assumptions'!$L$59:$R$79,'Detailed Assumptions'!$T$59:$Z$79,'Detailed Assumptions'!$AB$59:$AH$79),$C455,2,$C$506))</f>
        <v>-2351.5260018745867</v>
      </c>
      <c r="AN455" s="527" cm="1">
        <f t="array" ref="AN455">AN416*(INDEX(('Detailed Assumptions'!$D$59:$J$79,'Detailed Assumptions'!$L$59:$R$79,'Detailed Assumptions'!$T$59:$Z$79,'Detailed Assumptions'!$AB$59:$AH$79),$C455,2,$C$506))</f>
        <v>-2351.5260018745867</v>
      </c>
      <c r="AO455" s="527" cm="1">
        <f t="array" ref="AO455">AO416*(INDEX(('Detailed Assumptions'!$D$59:$J$79,'Detailed Assumptions'!$L$59:$R$79,'Detailed Assumptions'!$T$59:$Z$79,'Detailed Assumptions'!$AB$59:$AH$79),$C455,2,$C$506))</f>
        <v>-2351.5260018745867</v>
      </c>
      <c r="AP455" s="527" cm="1">
        <f t="array" ref="AP455">AP416*(INDEX(('Detailed Assumptions'!$D$59:$J$79,'Detailed Assumptions'!$L$59:$R$79,'Detailed Assumptions'!$T$59:$Z$79,'Detailed Assumptions'!$AB$59:$AH$79),$C455,2,$C$506))</f>
        <v>-2441.5781816824056</v>
      </c>
      <c r="AQ455" s="527" cm="1">
        <f t="array" ref="AQ455">AQ416*(INDEX(('Detailed Assumptions'!$D$59:$J$79,'Detailed Assumptions'!$L$59:$R$79,'Detailed Assumptions'!$T$59:$Z$79,'Detailed Assumptions'!$AB$59:$AH$79),$C455,2,$C$506))</f>
        <v>-2441.5781816824056</v>
      </c>
      <c r="AR455" s="527" cm="1">
        <f t="array" ref="AR455">AR416*(INDEX(('Detailed Assumptions'!$D$59:$J$79,'Detailed Assumptions'!$L$59:$R$79,'Detailed Assumptions'!$T$59:$Z$79,'Detailed Assumptions'!$AB$59:$AH$79),$C455,2,$C$506))</f>
        <v>-2441.5781816824056</v>
      </c>
      <c r="AS455" s="527" cm="1">
        <f t="array" ref="AS455">AS416*(INDEX(('Detailed Assumptions'!$D$59:$J$79,'Detailed Assumptions'!$L$59:$R$79,'Detailed Assumptions'!$T$59:$Z$79,'Detailed Assumptions'!$AB$59:$AH$79),$C455,2,$C$506))</f>
        <v>-2441.5781816824056</v>
      </c>
      <c r="AT455" s="527" cm="1">
        <f t="array" ref="AT455">AT416*(INDEX(('Detailed Assumptions'!$D$59:$J$79,'Detailed Assumptions'!$L$59:$R$79,'Detailed Assumptions'!$T$59:$Z$79,'Detailed Assumptions'!$AB$59:$AH$79),$C455,2,$C$506))</f>
        <v>-2441.5781816824056</v>
      </c>
      <c r="AU455" s="527" cm="1">
        <f t="array" ref="AU455">AU416*(INDEX(('Detailed Assumptions'!$D$59:$J$79,'Detailed Assumptions'!$L$59:$R$79,'Detailed Assumptions'!$T$59:$Z$79,'Detailed Assumptions'!$AB$59:$AH$79),$C455,2,$C$506))</f>
        <v>-2441.5781816824056</v>
      </c>
      <c r="AV455" s="527" cm="1">
        <f t="array" ref="AV455">AV416*(INDEX(('Detailed Assumptions'!$D$59:$J$79,'Detailed Assumptions'!$L$59:$R$79,'Detailed Assumptions'!$T$59:$Z$79,'Detailed Assumptions'!$AB$59:$AH$79),$C455,2,$C$506))</f>
        <v>-2441.5781816824056</v>
      </c>
      <c r="AW455" s="527" cm="1">
        <f t="array" ref="AW455">AW416*(INDEX(('Detailed Assumptions'!$D$59:$J$79,'Detailed Assumptions'!$L$59:$R$79,'Detailed Assumptions'!$T$59:$Z$79,'Detailed Assumptions'!$AB$59:$AH$79),$C455,2,$C$506))</f>
        <v>-2441.5781816824056</v>
      </c>
      <c r="AX455" s="527" cm="1">
        <f t="array" ref="AX455">AX416*(INDEX(('Detailed Assumptions'!$D$59:$J$79,'Detailed Assumptions'!$L$59:$R$79,'Detailed Assumptions'!$T$59:$Z$79,'Detailed Assumptions'!$AB$59:$AH$79),$C455,2,$C$506))</f>
        <v>-2441.5781816824056</v>
      </c>
      <c r="AY455" s="527" cm="1">
        <f t="array" ref="AY455">AY416*(INDEX(('Detailed Assumptions'!$D$59:$J$79,'Detailed Assumptions'!$L$59:$R$79,'Detailed Assumptions'!$T$59:$Z$79,'Detailed Assumptions'!$AB$59:$AH$79),$C455,2,$C$506))</f>
        <v>-2441.5781816824056</v>
      </c>
      <c r="AZ455" s="527" cm="1">
        <f t="array" ref="AZ455">AZ416*(INDEX(('Detailed Assumptions'!$D$59:$J$79,'Detailed Assumptions'!$L$59:$R$79,'Detailed Assumptions'!$T$59:$Z$79,'Detailed Assumptions'!$AB$59:$AH$79),$C455,2,$C$506))</f>
        <v>-2441.5781816824056</v>
      </c>
      <c r="BA455" s="527" cm="1">
        <f t="array" ref="BA455">BA416*(INDEX(('Detailed Assumptions'!$D$59:$J$79,'Detailed Assumptions'!$L$59:$R$79,'Detailed Assumptions'!$T$59:$Z$79,'Detailed Assumptions'!$AB$59:$AH$79),$C455,2,$C$506))</f>
        <v>-2441.5781816824056</v>
      </c>
      <c r="BB455" s="527" cm="1">
        <f t="array" ref="BB455">BB416*(INDEX(('Detailed Assumptions'!$D$59:$J$79,'Detailed Assumptions'!$L$59:$R$79,'Detailed Assumptions'!$T$59:$Z$79,'Detailed Assumptions'!$AB$59:$AH$79),$C455,2,$C$506))</f>
        <v>-2528.0493320564688</v>
      </c>
      <c r="BC455" s="527" cm="1">
        <f t="array" ref="BC455">BC416*(INDEX(('Detailed Assumptions'!$D$59:$J$79,'Detailed Assumptions'!$L$59:$R$79,'Detailed Assumptions'!$T$59:$Z$79,'Detailed Assumptions'!$AB$59:$AH$79),$C455,2,$C$506))</f>
        <v>-2528.0493320564688</v>
      </c>
      <c r="BD455" s="527" cm="1">
        <f t="array" ref="BD455">BD416*(INDEX(('Detailed Assumptions'!$D$59:$J$79,'Detailed Assumptions'!$L$59:$R$79,'Detailed Assumptions'!$T$59:$Z$79,'Detailed Assumptions'!$AB$59:$AH$79),$C455,2,$C$506))</f>
        <v>-2528.0493320564688</v>
      </c>
      <c r="BE455" s="527" cm="1">
        <f t="array" ref="BE455">BE416*(INDEX(('Detailed Assumptions'!$D$59:$J$79,'Detailed Assumptions'!$L$59:$R$79,'Detailed Assumptions'!$T$59:$Z$79,'Detailed Assumptions'!$AB$59:$AH$79),$C455,2,$C$506))</f>
        <v>-2528.0493320564688</v>
      </c>
      <c r="BF455" s="527" cm="1">
        <f t="array" ref="BF455">BF416*(INDEX(('Detailed Assumptions'!$D$59:$J$79,'Detailed Assumptions'!$L$59:$R$79,'Detailed Assumptions'!$T$59:$Z$79,'Detailed Assumptions'!$AB$59:$AH$79),$C455,2,$C$506))</f>
        <v>-2528.0493320564688</v>
      </c>
      <c r="BG455" s="527" cm="1">
        <f t="array" ref="BG455">BG416*(INDEX(('Detailed Assumptions'!$D$59:$J$79,'Detailed Assumptions'!$L$59:$R$79,'Detailed Assumptions'!$T$59:$Z$79,'Detailed Assumptions'!$AB$59:$AH$79),$C455,2,$C$506))</f>
        <v>-2528.0493320564688</v>
      </c>
      <c r="BH455" s="527" cm="1">
        <f t="array" ref="BH455">BH416*(INDEX(('Detailed Assumptions'!$D$59:$J$79,'Detailed Assumptions'!$L$59:$R$79,'Detailed Assumptions'!$T$59:$Z$79,'Detailed Assumptions'!$AB$59:$AH$79),$C455,2,$C$506))</f>
        <v>-2528.0493320564688</v>
      </c>
      <c r="BI455" s="527" cm="1">
        <f t="array" ref="BI455">BI416*(INDEX(('Detailed Assumptions'!$D$59:$J$79,'Detailed Assumptions'!$L$59:$R$79,'Detailed Assumptions'!$T$59:$Z$79,'Detailed Assumptions'!$AB$59:$AH$79),$C455,2,$C$506))</f>
        <v>-2528.0493320564688</v>
      </c>
      <c r="BJ455" s="527" cm="1">
        <f t="array" ref="BJ455">BJ416*(INDEX(('Detailed Assumptions'!$D$59:$J$79,'Detailed Assumptions'!$L$59:$R$79,'Detailed Assumptions'!$T$59:$Z$79,'Detailed Assumptions'!$AB$59:$AH$79),$C455,2,$C$506))</f>
        <v>-2528.0493320564688</v>
      </c>
      <c r="BK455" s="527" cm="1">
        <f t="array" ref="BK455">BK416*(INDEX(('Detailed Assumptions'!$D$59:$J$79,'Detailed Assumptions'!$L$59:$R$79,'Detailed Assumptions'!$T$59:$Z$79,'Detailed Assumptions'!$AB$59:$AH$79),$C455,2,$C$506))</f>
        <v>-2528.0493320564688</v>
      </c>
      <c r="BL455" s="527" cm="1">
        <f t="array" ref="BL455">BL416*(INDEX(('Detailed Assumptions'!$D$59:$J$79,'Detailed Assumptions'!$L$59:$R$79,'Detailed Assumptions'!$T$59:$Z$79,'Detailed Assumptions'!$AB$59:$AH$79),$C455,2,$C$506))</f>
        <v>-2528.0493320564688</v>
      </c>
      <c r="BM455" s="527" cm="1">
        <f t="array" ref="BM455">BM416*(INDEX(('Detailed Assumptions'!$D$59:$J$79,'Detailed Assumptions'!$L$59:$R$79,'Detailed Assumptions'!$T$59:$Z$79,'Detailed Assumptions'!$AB$59:$AH$79),$C455,2,$C$506))</f>
        <v>-2528.0493320564688</v>
      </c>
      <c r="BN455" s="527" cm="1">
        <f t="array" ref="BN455">BN416*(INDEX(('Detailed Assumptions'!$D$59:$J$79,'Detailed Assumptions'!$L$59:$R$79,'Detailed Assumptions'!$T$59:$Z$79,'Detailed Assumptions'!$AB$59:$AH$79),$C455,2,$C$506))</f>
        <v>-2615.4573947480221</v>
      </c>
      <c r="BO455" s="527" cm="1">
        <f t="array" ref="BO455">BO416*(INDEX(('Detailed Assumptions'!$D$59:$J$79,'Detailed Assumptions'!$L$59:$R$79,'Detailed Assumptions'!$T$59:$Z$79,'Detailed Assumptions'!$AB$59:$AH$79),$C455,2,$C$506))</f>
        <v>-2615.4573947480221</v>
      </c>
      <c r="BP455" s="527" cm="1">
        <f t="array" ref="BP455">BP416*(INDEX(('Detailed Assumptions'!$D$59:$J$79,'Detailed Assumptions'!$L$59:$R$79,'Detailed Assumptions'!$T$59:$Z$79,'Detailed Assumptions'!$AB$59:$AH$79),$C455,2,$C$506))</f>
        <v>-2615.4573947480221</v>
      </c>
      <c r="BQ455" s="527" cm="1">
        <f t="array" ref="BQ455">BQ416*(INDEX(('Detailed Assumptions'!$D$59:$J$79,'Detailed Assumptions'!$L$59:$R$79,'Detailed Assumptions'!$T$59:$Z$79,'Detailed Assumptions'!$AB$59:$AH$79),$C455,2,$C$506))</f>
        <v>-2615.4573947480221</v>
      </c>
      <c r="BR455" s="527" cm="1">
        <f t="array" ref="BR455">BR416*(INDEX(('Detailed Assumptions'!$D$59:$J$79,'Detailed Assumptions'!$L$59:$R$79,'Detailed Assumptions'!$T$59:$Z$79,'Detailed Assumptions'!$AB$59:$AH$79),$C455,2,$C$506))</f>
        <v>-2615.4573947480221</v>
      </c>
      <c r="BS455" s="527" cm="1">
        <f t="array" ref="BS455">BS416*(INDEX(('Detailed Assumptions'!$D$59:$J$79,'Detailed Assumptions'!$L$59:$R$79,'Detailed Assumptions'!$T$59:$Z$79,'Detailed Assumptions'!$AB$59:$AH$79),$C455,2,$C$506))</f>
        <v>-2615.4573947480221</v>
      </c>
      <c r="BT455" s="527" cm="1">
        <f t="array" ref="BT455">BT416*(INDEX(('Detailed Assumptions'!$D$59:$J$79,'Detailed Assumptions'!$L$59:$R$79,'Detailed Assumptions'!$T$59:$Z$79,'Detailed Assumptions'!$AB$59:$AH$79),$C455,2,$C$506))</f>
        <v>-3036.4652999621649</v>
      </c>
      <c r="BU455" s="527" cm="1">
        <f t="array" ref="BU455">BU416*(INDEX(('Detailed Assumptions'!$D$59:$J$79,'Detailed Assumptions'!$L$59:$R$79,'Detailed Assumptions'!$T$59:$Z$79,'Detailed Assumptions'!$AB$59:$AH$79),$C455,2,$C$506))</f>
        <v>-3036.4652999621649</v>
      </c>
      <c r="BV455" s="527" cm="1">
        <f t="array" ref="BV455">BV416*(INDEX(('Detailed Assumptions'!$D$59:$J$79,'Detailed Assumptions'!$L$59:$R$79,'Detailed Assumptions'!$T$59:$Z$79,'Detailed Assumptions'!$AB$59:$AH$79),$C455,2,$C$506))</f>
        <v>-3036.4652999621649</v>
      </c>
      <c r="BW455" s="527" cm="1">
        <f t="array" ref="BW455">BW416*(INDEX(('Detailed Assumptions'!$D$59:$J$79,'Detailed Assumptions'!$L$59:$R$79,'Detailed Assumptions'!$T$59:$Z$79,'Detailed Assumptions'!$AB$59:$AH$79),$C455,2,$C$506))</f>
        <v>-3036.4652999621649</v>
      </c>
      <c r="BX455" s="527" cm="1">
        <f t="array" ref="BX455">BX416*(INDEX(('Detailed Assumptions'!$D$59:$J$79,'Detailed Assumptions'!$L$59:$R$79,'Detailed Assumptions'!$T$59:$Z$79,'Detailed Assumptions'!$AB$59:$AH$79),$C455,2,$C$506))</f>
        <v>-3036.4652999621649</v>
      </c>
      <c r="BY455" s="527" cm="1">
        <f t="array" ref="BY455">BY416*(INDEX(('Detailed Assumptions'!$D$59:$J$79,'Detailed Assumptions'!$L$59:$R$79,'Detailed Assumptions'!$T$59:$Z$79,'Detailed Assumptions'!$AB$59:$AH$79),$C455,2,$C$506))</f>
        <v>-3036.4652999621649</v>
      </c>
    </row>
    <row r="456" spans="1:77" x14ac:dyDescent="0.3">
      <c r="A456" s="648"/>
      <c r="B456" s="648" t="s">
        <v>53</v>
      </c>
      <c r="C456" s="648">
        <f t="shared" si="638"/>
        <v>20</v>
      </c>
      <c r="D456" s="647"/>
      <c r="E456" s="649" t="str">
        <f>"Bad debts: "&amp;E$160</f>
        <v>Bad debts: Uninvested Tranche</v>
      </c>
      <c r="F456" s="525"/>
      <c r="G456" s="525"/>
      <c r="H456" s="525"/>
      <c r="I456" s="525"/>
      <c r="J456" s="525"/>
      <c r="K456" s="525"/>
      <c r="L456" s="525"/>
      <c r="M456" s="525"/>
      <c r="N456" s="525"/>
      <c r="O456" s="525"/>
      <c r="P456" s="565"/>
      <c r="Q456" s="525"/>
      <c r="R456" s="527" cm="1">
        <f t="array" ref="R456">R417*(INDEX(('Detailed Assumptions'!$D$59:$J$79,'Detailed Assumptions'!$L$59:$R$79,'Detailed Assumptions'!$T$59:$Z$79,'Detailed Assumptions'!$AB$59:$AH$79),$C456,2,$C$506))</f>
        <v>-5053.3802941800523</v>
      </c>
      <c r="S456" s="527" cm="1">
        <f t="array" ref="S456">S417*(INDEX(('Detailed Assumptions'!$D$59:$J$79,'Detailed Assumptions'!$L$59:$R$79,'Detailed Assumptions'!$T$59:$Z$79,'Detailed Assumptions'!$AB$59:$AH$79),$C456,2,$C$506))</f>
        <v>-5053.3802941800523</v>
      </c>
      <c r="T456" s="527" cm="1">
        <f t="array" ref="T456">T417*(INDEX(('Detailed Assumptions'!$D$59:$J$79,'Detailed Assumptions'!$L$59:$R$79,'Detailed Assumptions'!$T$59:$Z$79,'Detailed Assumptions'!$AB$59:$AH$79),$C456,2,$C$506))</f>
        <v>-5053.3802941800523</v>
      </c>
      <c r="U456" s="527" cm="1">
        <f t="array" ref="U456">U417*(INDEX(('Detailed Assumptions'!$D$59:$J$79,'Detailed Assumptions'!$L$59:$R$79,'Detailed Assumptions'!$T$59:$Z$79,'Detailed Assumptions'!$AB$59:$AH$79),$C456,2,$C$506))</f>
        <v>-5053.3802941800523</v>
      </c>
      <c r="V456" s="527" cm="1">
        <f t="array" ref="V456">V417*(INDEX(('Detailed Assumptions'!$D$59:$J$79,'Detailed Assumptions'!$L$59:$R$79,'Detailed Assumptions'!$T$59:$Z$79,'Detailed Assumptions'!$AB$59:$AH$79),$C456,2,$C$506))</f>
        <v>-5053.3802941800523</v>
      </c>
      <c r="W456" s="527" cm="1">
        <f t="array" ref="W456">W417*(INDEX(('Detailed Assumptions'!$D$59:$J$79,'Detailed Assumptions'!$L$59:$R$79,'Detailed Assumptions'!$T$59:$Z$79,'Detailed Assumptions'!$AB$59:$AH$79),$C456,2,$C$506))</f>
        <v>-5053.3802941800523</v>
      </c>
      <c r="X456" s="527" cm="1">
        <f t="array" ref="X456">X417*(INDEX(('Detailed Assumptions'!$D$59:$J$79,'Detailed Assumptions'!$L$59:$R$79,'Detailed Assumptions'!$T$59:$Z$79,'Detailed Assumptions'!$AB$59:$AH$79),$C456,2,$C$506))</f>
        <v>-5053.3802941800523</v>
      </c>
      <c r="Y456" s="527" cm="1">
        <f t="array" ref="Y456">Y417*(INDEX(('Detailed Assumptions'!$D$59:$J$79,'Detailed Assumptions'!$L$59:$R$79,'Detailed Assumptions'!$T$59:$Z$79,'Detailed Assumptions'!$AB$59:$AH$79),$C456,2,$C$506))</f>
        <v>-5053.3802941800523</v>
      </c>
      <c r="Z456" s="527" cm="1">
        <f t="array" ref="Z456">Z417*(INDEX(('Detailed Assumptions'!$D$59:$J$79,'Detailed Assumptions'!$L$59:$R$79,'Detailed Assumptions'!$T$59:$Z$79,'Detailed Assumptions'!$AB$59:$AH$79),$C456,2,$C$506))</f>
        <v>-5053.3802941800523</v>
      </c>
      <c r="AA456" s="527" cm="1">
        <f t="array" ref="AA456">AA417*(INDEX(('Detailed Assumptions'!$D$59:$J$79,'Detailed Assumptions'!$L$59:$R$79,'Detailed Assumptions'!$T$59:$Z$79,'Detailed Assumptions'!$AB$59:$AH$79),$C456,2,$C$506))</f>
        <v>-5053.3802941800523</v>
      </c>
      <c r="AB456" s="527" cm="1">
        <f t="array" ref="AB456">AB417*(INDEX(('Detailed Assumptions'!$D$59:$J$79,'Detailed Assumptions'!$L$59:$R$79,'Detailed Assumptions'!$T$59:$Z$79,'Detailed Assumptions'!$AB$59:$AH$79),$C456,2,$C$506))</f>
        <v>-5053.3802941800523</v>
      </c>
      <c r="AC456" s="527" cm="1">
        <f t="array" ref="AC456">AC417*(INDEX(('Detailed Assumptions'!$D$59:$J$79,'Detailed Assumptions'!$L$59:$R$79,'Detailed Assumptions'!$T$59:$Z$79,'Detailed Assumptions'!$AB$59:$AH$79),$C456,2,$C$506))</f>
        <v>-5053.3802941800523</v>
      </c>
      <c r="AD456" s="527" cm="1">
        <f t="array" ref="AD456">AD417*(INDEX(('Detailed Assumptions'!$D$59:$J$79,'Detailed Assumptions'!$L$59:$R$79,'Detailed Assumptions'!$T$59:$Z$79,'Detailed Assumptions'!$AB$59:$AH$79),$C456,2,$C$506))</f>
        <v>-5256.3522394843703</v>
      </c>
      <c r="AE456" s="527" cm="1">
        <f t="array" ref="AE456">AE417*(INDEX(('Detailed Assumptions'!$D$59:$J$79,'Detailed Assumptions'!$L$59:$R$79,'Detailed Assumptions'!$T$59:$Z$79,'Detailed Assumptions'!$AB$59:$AH$79),$C456,2,$C$506))</f>
        <v>-5256.3522394843703</v>
      </c>
      <c r="AF456" s="527" cm="1">
        <f t="array" ref="AF456">AF417*(INDEX(('Detailed Assumptions'!$D$59:$J$79,'Detailed Assumptions'!$L$59:$R$79,'Detailed Assumptions'!$T$59:$Z$79,'Detailed Assumptions'!$AB$59:$AH$79),$C456,2,$C$506))</f>
        <v>-5256.3522394843703</v>
      </c>
      <c r="AG456" s="527" cm="1">
        <f t="array" ref="AG456">AG417*(INDEX(('Detailed Assumptions'!$D$59:$J$79,'Detailed Assumptions'!$L$59:$R$79,'Detailed Assumptions'!$T$59:$Z$79,'Detailed Assumptions'!$AB$59:$AH$79),$C456,2,$C$506))</f>
        <v>-5256.3522394843703</v>
      </c>
      <c r="AH456" s="527" cm="1">
        <f t="array" ref="AH456">AH417*(INDEX(('Detailed Assumptions'!$D$59:$J$79,'Detailed Assumptions'!$L$59:$R$79,'Detailed Assumptions'!$T$59:$Z$79,'Detailed Assumptions'!$AB$59:$AH$79),$C456,2,$C$506))</f>
        <v>-5256.3522394843703</v>
      </c>
      <c r="AI456" s="527" cm="1">
        <f t="array" ref="AI456">AI417*(INDEX(('Detailed Assumptions'!$D$59:$J$79,'Detailed Assumptions'!$L$59:$R$79,'Detailed Assumptions'!$T$59:$Z$79,'Detailed Assumptions'!$AB$59:$AH$79),$C456,2,$C$506))</f>
        <v>-5256.3522394843703</v>
      </c>
      <c r="AJ456" s="527" cm="1">
        <f t="array" ref="AJ456">AJ417*(INDEX(('Detailed Assumptions'!$D$59:$J$79,'Detailed Assumptions'!$L$59:$R$79,'Detailed Assumptions'!$T$59:$Z$79,'Detailed Assumptions'!$AB$59:$AH$79),$C456,2,$C$506))</f>
        <v>-5256.3522394843703</v>
      </c>
      <c r="AK456" s="527" cm="1">
        <f t="array" ref="AK456">AK417*(INDEX(('Detailed Assumptions'!$D$59:$J$79,'Detailed Assumptions'!$L$59:$R$79,'Detailed Assumptions'!$T$59:$Z$79,'Detailed Assumptions'!$AB$59:$AH$79),$C456,2,$C$506))</f>
        <v>-5256.3522394843703</v>
      </c>
      <c r="AL456" s="527" cm="1">
        <f t="array" ref="AL456">AL417*(INDEX(('Detailed Assumptions'!$D$59:$J$79,'Detailed Assumptions'!$L$59:$R$79,'Detailed Assumptions'!$T$59:$Z$79,'Detailed Assumptions'!$AB$59:$AH$79),$C456,2,$C$506))</f>
        <v>-5256.3522394843703</v>
      </c>
      <c r="AM456" s="527" cm="1">
        <f t="array" ref="AM456">AM417*(INDEX(('Detailed Assumptions'!$D$59:$J$79,'Detailed Assumptions'!$L$59:$R$79,'Detailed Assumptions'!$T$59:$Z$79,'Detailed Assumptions'!$AB$59:$AH$79),$C456,2,$C$506))</f>
        <v>-5256.3522394843703</v>
      </c>
      <c r="AN456" s="527" cm="1">
        <f t="array" ref="AN456">AN417*(INDEX(('Detailed Assumptions'!$D$59:$J$79,'Detailed Assumptions'!$L$59:$R$79,'Detailed Assumptions'!$T$59:$Z$79,'Detailed Assumptions'!$AB$59:$AH$79),$C456,2,$C$506))</f>
        <v>-5256.3522394843703</v>
      </c>
      <c r="AO456" s="527" cm="1">
        <f t="array" ref="AO456">AO417*(INDEX(('Detailed Assumptions'!$D$59:$J$79,'Detailed Assumptions'!$L$59:$R$79,'Detailed Assumptions'!$T$59:$Z$79,'Detailed Assumptions'!$AB$59:$AH$79),$C456,2,$C$506))</f>
        <v>-5256.3522394843703</v>
      </c>
      <c r="AP456" s="527" cm="1">
        <f t="array" ref="AP456">AP417*(INDEX(('Detailed Assumptions'!$D$59:$J$79,'Detailed Assumptions'!$L$59:$R$79,'Detailed Assumptions'!$T$59:$Z$79,'Detailed Assumptions'!$AB$59:$AH$79),$C456,2,$C$506))</f>
        <v>-5457.6453472900848</v>
      </c>
      <c r="AQ456" s="527" cm="1">
        <f t="array" ref="AQ456">AQ417*(INDEX(('Detailed Assumptions'!$D$59:$J$79,'Detailed Assumptions'!$L$59:$R$79,'Detailed Assumptions'!$T$59:$Z$79,'Detailed Assumptions'!$AB$59:$AH$79),$C456,2,$C$506))</f>
        <v>-5457.6453472900848</v>
      </c>
      <c r="AR456" s="527" cm="1">
        <f t="array" ref="AR456">AR417*(INDEX(('Detailed Assumptions'!$D$59:$J$79,'Detailed Assumptions'!$L$59:$R$79,'Detailed Assumptions'!$T$59:$Z$79,'Detailed Assumptions'!$AB$59:$AH$79),$C456,2,$C$506))</f>
        <v>-5457.6453472900848</v>
      </c>
      <c r="AS456" s="527" cm="1">
        <f t="array" ref="AS456">AS417*(INDEX(('Detailed Assumptions'!$D$59:$J$79,'Detailed Assumptions'!$L$59:$R$79,'Detailed Assumptions'!$T$59:$Z$79,'Detailed Assumptions'!$AB$59:$AH$79),$C456,2,$C$506))</f>
        <v>-5457.6453472900848</v>
      </c>
      <c r="AT456" s="527" cm="1">
        <f t="array" ref="AT456">AT417*(INDEX(('Detailed Assumptions'!$D$59:$J$79,'Detailed Assumptions'!$L$59:$R$79,'Detailed Assumptions'!$T$59:$Z$79,'Detailed Assumptions'!$AB$59:$AH$79),$C456,2,$C$506))</f>
        <v>-5457.6453472900848</v>
      </c>
      <c r="AU456" s="527" cm="1">
        <f t="array" ref="AU456">AU417*(INDEX(('Detailed Assumptions'!$D$59:$J$79,'Detailed Assumptions'!$L$59:$R$79,'Detailed Assumptions'!$T$59:$Z$79,'Detailed Assumptions'!$AB$59:$AH$79),$C456,2,$C$506))</f>
        <v>-5457.6453472900848</v>
      </c>
      <c r="AV456" s="527" cm="1">
        <f t="array" ref="AV456">AV417*(INDEX(('Detailed Assumptions'!$D$59:$J$79,'Detailed Assumptions'!$L$59:$R$79,'Detailed Assumptions'!$T$59:$Z$79,'Detailed Assumptions'!$AB$59:$AH$79),$C456,2,$C$506))</f>
        <v>-5457.6453472900848</v>
      </c>
      <c r="AW456" s="527" cm="1">
        <f t="array" ref="AW456">AW417*(INDEX(('Detailed Assumptions'!$D$59:$J$79,'Detailed Assumptions'!$L$59:$R$79,'Detailed Assumptions'!$T$59:$Z$79,'Detailed Assumptions'!$AB$59:$AH$79),$C456,2,$C$506))</f>
        <v>-5457.6453472900848</v>
      </c>
      <c r="AX456" s="527" cm="1">
        <f t="array" ref="AX456">AX417*(INDEX(('Detailed Assumptions'!$D$59:$J$79,'Detailed Assumptions'!$L$59:$R$79,'Detailed Assumptions'!$T$59:$Z$79,'Detailed Assumptions'!$AB$59:$AH$79),$C456,2,$C$506))</f>
        <v>-5457.6453472900848</v>
      </c>
      <c r="AY456" s="527" cm="1">
        <f t="array" ref="AY456">AY417*(INDEX(('Detailed Assumptions'!$D$59:$J$79,'Detailed Assumptions'!$L$59:$R$79,'Detailed Assumptions'!$T$59:$Z$79,'Detailed Assumptions'!$AB$59:$AH$79),$C456,2,$C$506))</f>
        <v>-5457.6453472900848</v>
      </c>
      <c r="AZ456" s="527" cm="1">
        <f t="array" ref="AZ456">AZ417*(INDEX(('Detailed Assumptions'!$D$59:$J$79,'Detailed Assumptions'!$L$59:$R$79,'Detailed Assumptions'!$T$59:$Z$79,'Detailed Assumptions'!$AB$59:$AH$79),$C456,2,$C$506))</f>
        <v>-5457.6453472900848</v>
      </c>
      <c r="BA456" s="527" cm="1">
        <f t="array" ref="BA456">BA417*(INDEX(('Detailed Assumptions'!$D$59:$J$79,'Detailed Assumptions'!$L$59:$R$79,'Detailed Assumptions'!$T$59:$Z$79,'Detailed Assumptions'!$AB$59:$AH$79),$C456,2,$C$506))</f>
        <v>-5457.6453472900848</v>
      </c>
      <c r="BB456" s="527" cm="1">
        <f t="array" ref="BB456">BB417*(INDEX(('Detailed Assumptions'!$D$59:$J$79,'Detailed Assumptions'!$L$59:$R$79,'Detailed Assumptions'!$T$59:$Z$79,'Detailed Assumptions'!$AB$59:$AH$79),$C456,2,$C$506))</f>
        <v>-5650.9338010674028</v>
      </c>
      <c r="BC456" s="527" cm="1">
        <f t="array" ref="BC456">BC417*(INDEX(('Detailed Assumptions'!$D$59:$J$79,'Detailed Assumptions'!$L$59:$R$79,'Detailed Assumptions'!$T$59:$Z$79,'Detailed Assumptions'!$AB$59:$AH$79),$C456,2,$C$506))</f>
        <v>-5650.9338010674028</v>
      </c>
      <c r="BD456" s="527" cm="1">
        <f t="array" ref="BD456">BD417*(INDEX(('Detailed Assumptions'!$D$59:$J$79,'Detailed Assumptions'!$L$59:$R$79,'Detailed Assumptions'!$T$59:$Z$79,'Detailed Assumptions'!$AB$59:$AH$79),$C456,2,$C$506))</f>
        <v>-5650.9338010674028</v>
      </c>
      <c r="BE456" s="527" cm="1">
        <f t="array" ref="BE456">BE417*(INDEX(('Detailed Assumptions'!$D$59:$J$79,'Detailed Assumptions'!$L$59:$R$79,'Detailed Assumptions'!$T$59:$Z$79,'Detailed Assumptions'!$AB$59:$AH$79),$C456,2,$C$506))</f>
        <v>-5650.9338010674028</v>
      </c>
      <c r="BF456" s="527" cm="1">
        <f t="array" ref="BF456">BF417*(INDEX(('Detailed Assumptions'!$D$59:$J$79,'Detailed Assumptions'!$L$59:$R$79,'Detailed Assumptions'!$T$59:$Z$79,'Detailed Assumptions'!$AB$59:$AH$79),$C456,2,$C$506))</f>
        <v>-5650.9338010674028</v>
      </c>
      <c r="BG456" s="527" cm="1">
        <f t="array" ref="BG456">BG417*(INDEX(('Detailed Assumptions'!$D$59:$J$79,'Detailed Assumptions'!$L$59:$R$79,'Detailed Assumptions'!$T$59:$Z$79,'Detailed Assumptions'!$AB$59:$AH$79),$C456,2,$C$506))</f>
        <v>-5650.9338010674028</v>
      </c>
      <c r="BH456" s="527" cm="1">
        <f t="array" ref="BH456">BH417*(INDEX(('Detailed Assumptions'!$D$59:$J$79,'Detailed Assumptions'!$L$59:$R$79,'Detailed Assumptions'!$T$59:$Z$79,'Detailed Assumptions'!$AB$59:$AH$79),$C456,2,$C$506))</f>
        <v>-5650.9338010674028</v>
      </c>
      <c r="BI456" s="527" cm="1">
        <f t="array" ref="BI456">BI417*(INDEX(('Detailed Assumptions'!$D$59:$J$79,'Detailed Assumptions'!$L$59:$R$79,'Detailed Assumptions'!$T$59:$Z$79,'Detailed Assumptions'!$AB$59:$AH$79),$C456,2,$C$506))</f>
        <v>-5650.9338010674028</v>
      </c>
      <c r="BJ456" s="527" cm="1">
        <f t="array" ref="BJ456">BJ417*(INDEX(('Detailed Assumptions'!$D$59:$J$79,'Detailed Assumptions'!$L$59:$R$79,'Detailed Assumptions'!$T$59:$Z$79,'Detailed Assumptions'!$AB$59:$AH$79),$C456,2,$C$506))</f>
        <v>-5650.9338010674028</v>
      </c>
      <c r="BK456" s="527" cm="1">
        <f t="array" ref="BK456">BK417*(INDEX(('Detailed Assumptions'!$D$59:$J$79,'Detailed Assumptions'!$L$59:$R$79,'Detailed Assumptions'!$T$59:$Z$79,'Detailed Assumptions'!$AB$59:$AH$79),$C456,2,$C$506))</f>
        <v>-5650.9338010674028</v>
      </c>
      <c r="BL456" s="527" cm="1">
        <f t="array" ref="BL456">BL417*(INDEX(('Detailed Assumptions'!$D$59:$J$79,'Detailed Assumptions'!$L$59:$R$79,'Detailed Assumptions'!$T$59:$Z$79,'Detailed Assumptions'!$AB$59:$AH$79),$C456,2,$C$506))</f>
        <v>-5650.9338010674028</v>
      </c>
      <c r="BM456" s="527" cm="1">
        <f t="array" ref="BM456">BM417*(INDEX(('Detailed Assumptions'!$D$59:$J$79,'Detailed Assumptions'!$L$59:$R$79,'Detailed Assumptions'!$T$59:$Z$79,'Detailed Assumptions'!$AB$59:$AH$79),$C456,2,$C$506))</f>
        <v>-5650.9338010674028</v>
      </c>
      <c r="BN456" s="527" cm="1">
        <f t="array" ref="BN456">BN417*(INDEX(('Detailed Assumptions'!$D$59:$J$79,'Detailed Assumptions'!$L$59:$R$79,'Detailed Assumptions'!$T$59:$Z$79,'Detailed Assumptions'!$AB$59:$AH$79),$C456,2,$C$506))</f>
        <v>-5846.3165294367545</v>
      </c>
      <c r="BO456" s="527" cm="1">
        <f t="array" ref="BO456">BO417*(INDEX(('Detailed Assumptions'!$D$59:$J$79,'Detailed Assumptions'!$L$59:$R$79,'Detailed Assumptions'!$T$59:$Z$79,'Detailed Assumptions'!$AB$59:$AH$79),$C456,2,$C$506))</f>
        <v>-5846.3165294367545</v>
      </c>
      <c r="BP456" s="527" cm="1">
        <f t="array" ref="BP456">BP417*(INDEX(('Detailed Assumptions'!$D$59:$J$79,'Detailed Assumptions'!$L$59:$R$79,'Detailed Assumptions'!$T$59:$Z$79,'Detailed Assumptions'!$AB$59:$AH$79),$C456,2,$C$506))</f>
        <v>-5846.3165294367545</v>
      </c>
      <c r="BQ456" s="527" cm="1">
        <f t="array" ref="BQ456">BQ417*(INDEX(('Detailed Assumptions'!$D$59:$J$79,'Detailed Assumptions'!$L$59:$R$79,'Detailed Assumptions'!$T$59:$Z$79,'Detailed Assumptions'!$AB$59:$AH$79),$C456,2,$C$506))</f>
        <v>-5846.3165294367545</v>
      </c>
      <c r="BR456" s="527" cm="1">
        <f t="array" ref="BR456">BR417*(INDEX(('Detailed Assumptions'!$D$59:$J$79,'Detailed Assumptions'!$L$59:$R$79,'Detailed Assumptions'!$T$59:$Z$79,'Detailed Assumptions'!$AB$59:$AH$79),$C456,2,$C$506))</f>
        <v>-5846.3165294367545</v>
      </c>
      <c r="BS456" s="527" cm="1">
        <f t="array" ref="BS456">BS417*(INDEX(('Detailed Assumptions'!$D$59:$J$79,'Detailed Assumptions'!$L$59:$R$79,'Detailed Assumptions'!$T$59:$Z$79,'Detailed Assumptions'!$AB$59:$AH$79),$C456,2,$C$506))</f>
        <v>-5846.3165294367545</v>
      </c>
      <c r="BT456" s="527" cm="1">
        <f t="array" ref="BT456">BT417*(INDEX(('Detailed Assumptions'!$D$59:$J$79,'Detailed Assumptions'!$L$59:$R$79,'Detailed Assumptions'!$T$59:$Z$79,'Detailed Assumptions'!$AB$59:$AH$79),$C456,2,$C$506))</f>
        <v>-5846.3165294367545</v>
      </c>
      <c r="BU456" s="527" cm="1">
        <f t="array" ref="BU456">BU417*(INDEX(('Detailed Assumptions'!$D$59:$J$79,'Detailed Assumptions'!$L$59:$R$79,'Detailed Assumptions'!$T$59:$Z$79,'Detailed Assumptions'!$AB$59:$AH$79),$C456,2,$C$506))</f>
        <v>-5846.3165294367545</v>
      </c>
      <c r="BV456" s="527" cm="1">
        <f t="array" ref="BV456">BV417*(INDEX(('Detailed Assumptions'!$D$59:$J$79,'Detailed Assumptions'!$L$59:$R$79,'Detailed Assumptions'!$T$59:$Z$79,'Detailed Assumptions'!$AB$59:$AH$79),$C456,2,$C$506))</f>
        <v>-5846.3165294367545</v>
      </c>
      <c r="BW456" s="527" cm="1">
        <f t="array" ref="BW456">BW417*(INDEX(('Detailed Assumptions'!$D$59:$J$79,'Detailed Assumptions'!$L$59:$R$79,'Detailed Assumptions'!$T$59:$Z$79,'Detailed Assumptions'!$AB$59:$AH$79),$C456,2,$C$506))</f>
        <v>-5846.3165294367545</v>
      </c>
      <c r="BX456" s="527" cm="1">
        <f t="array" ref="BX456">BX417*(INDEX(('Detailed Assumptions'!$D$59:$J$79,'Detailed Assumptions'!$L$59:$R$79,'Detailed Assumptions'!$T$59:$Z$79,'Detailed Assumptions'!$AB$59:$AH$79),$C456,2,$C$506))</f>
        <v>-5846.3165294367545</v>
      </c>
      <c r="BY456" s="527" cm="1">
        <f t="array" ref="BY456">BY417*(INDEX(('Detailed Assumptions'!$D$59:$J$79,'Detailed Assumptions'!$L$59:$R$79,'Detailed Assumptions'!$T$59:$Z$79,'Detailed Assumptions'!$AB$59:$AH$79),$C456,2,$C$506))</f>
        <v>-5846.3165294367545</v>
      </c>
    </row>
    <row r="457" spans="1:77" x14ac:dyDescent="0.3">
      <c r="A457" s="551"/>
      <c r="B457" s="647"/>
      <c r="C457" s="647"/>
      <c r="D457" s="647"/>
      <c r="E457" s="572" t="s">
        <v>36</v>
      </c>
      <c r="F457" s="572"/>
      <c r="G457" s="572"/>
      <c r="H457" s="572"/>
      <c r="I457" s="572"/>
      <c r="J457" s="572"/>
      <c r="K457" s="572"/>
      <c r="L457" s="572"/>
      <c r="M457" s="572"/>
      <c r="N457" s="572"/>
      <c r="O457" s="572"/>
      <c r="P457" s="612"/>
      <c r="Q457" s="572"/>
      <c r="R457" s="530">
        <f t="shared" ref="R457:AW457" si="639">SUM(R451:R456)</f>
        <v>-16356.994110109117</v>
      </c>
      <c r="S457" s="530">
        <f t="shared" si="639"/>
        <v>-16356.994110109117</v>
      </c>
      <c r="T457" s="530">
        <f t="shared" si="639"/>
        <v>-16356.994110109117</v>
      </c>
      <c r="U457" s="530">
        <f t="shared" si="639"/>
        <v>-16356.994110109117</v>
      </c>
      <c r="V457" s="530">
        <f t="shared" si="639"/>
        <v>-16356.994110109117</v>
      </c>
      <c r="W457" s="530">
        <f t="shared" si="639"/>
        <v>-16356.994110109117</v>
      </c>
      <c r="X457" s="530">
        <f t="shared" si="639"/>
        <v>-16743.398974768821</v>
      </c>
      <c r="Y457" s="530">
        <f t="shared" si="639"/>
        <v>-16743.398974768821</v>
      </c>
      <c r="Z457" s="530">
        <f t="shared" si="639"/>
        <v>-16743.398974768821</v>
      </c>
      <c r="AA457" s="530">
        <f t="shared" si="639"/>
        <v>-16743.398974768821</v>
      </c>
      <c r="AB457" s="530">
        <f t="shared" si="639"/>
        <v>-16743.398974768821</v>
      </c>
      <c r="AC457" s="530">
        <f t="shared" si="639"/>
        <v>-16743.398974768821</v>
      </c>
      <c r="AD457" s="530">
        <f t="shared" si="639"/>
        <v>-17309.583874828233</v>
      </c>
      <c r="AE457" s="530">
        <f t="shared" si="639"/>
        <v>-17309.583874828233</v>
      </c>
      <c r="AF457" s="530">
        <f t="shared" si="639"/>
        <v>-17309.583874828233</v>
      </c>
      <c r="AG457" s="530">
        <f t="shared" si="639"/>
        <v>-17309.583874828233</v>
      </c>
      <c r="AH457" s="530">
        <f t="shared" si="639"/>
        <v>-17309.583874828233</v>
      </c>
      <c r="AI457" s="530">
        <f t="shared" si="639"/>
        <v>-17309.583874828233</v>
      </c>
      <c r="AJ457" s="530">
        <f t="shared" si="639"/>
        <v>-17811.166804417033</v>
      </c>
      <c r="AK457" s="530">
        <f t="shared" si="639"/>
        <v>-17811.166804417033</v>
      </c>
      <c r="AL457" s="530">
        <f t="shared" si="639"/>
        <v>-17811.166804417033</v>
      </c>
      <c r="AM457" s="530">
        <f t="shared" si="639"/>
        <v>-17811.166804417033</v>
      </c>
      <c r="AN457" s="530">
        <f t="shared" si="639"/>
        <v>-17811.166804417033</v>
      </c>
      <c r="AO457" s="530">
        <f t="shared" si="639"/>
        <v>-17811.166804417033</v>
      </c>
      <c r="AP457" s="530">
        <f t="shared" si="639"/>
        <v>-18282.616451646201</v>
      </c>
      <c r="AQ457" s="530">
        <f t="shared" si="639"/>
        <v>-18282.616451646201</v>
      </c>
      <c r="AR457" s="530">
        <f t="shared" si="639"/>
        <v>-18282.616451646201</v>
      </c>
      <c r="AS457" s="530">
        <f t="shared" si="639"/>
        <v>-18282.616451646201</v>
      </c>
      <c r="AT457" s="530">
        <f t="shared" si="639"/>
        <v>-18282.616451646201</v>
      </c>
      <c r="AU457" s="530">
        <f t="shared" si="639"/>
        <v>-18282.616451646201</v>
      </c>
      <c r="AV457" s="530">
        <f t="shared" si="639"/>
        <v>-18907.208902968236</v>
      </c>
      <c r="AW457" s="530">
        <f t="shared" si="639"/>
        <v>-18907.208902968236</v>
      </c>
      <c r="AX457" s="530">
        <f t="shared" ref="AX457:BY457" si="640">SUM(AX451:AX456)</f>
        <v>-18907.208902968236</v>
      </c>
      <c r="AY457" s="530">
        <f t="shared" si="640"/>
        <v>-18907.208902968236</v>
      </c>
      <c r="AZ457" s="530">
        <f t="shared" si="640"/>
        <v>-18907.208902968236</v>
      </c>
      <c r="BA457" s="530">
        <f t="shared" si="640"/>
        <v>-18907.208902968236</v>
      </c>
      <c r="BB457" s="530">
        <f t="shared" si="640"/>
        <v>-19273.43965749368</v>
      </c>
      <c r="BC457" s="530">
        <f t="shared" si="640"/>
        <v>-19273.43965749368</v>
      </c>
      <c r="BD457" s="530">
        <f t="shared" si="640"/>
        <v>-19273.43965749368</v>
      </c>
      <c r="BE457" s="530">
        <f t="shared" si="640"/>
        <v>-19273.43965749368</v>
      </c>
      <c r="BF457" s="530">
        <f t="shared" si="640"/>
        <v>-19273.43965749368</v>
      </c>
      <c r="BG457" s="530">
        <f t="shared" si="640"/>
        <v>-19273.43965749368</v>
      </c>
      <c r="BH457" s="530">
        <f t="shared" si="640"/>
        <v>-20029.044750985591</v>
      </c>
      <c r="BI457" s="530">
        <f t="shared" si="640"/>
        <v>-20029.044750985591</v>
      </c>
      <c r="BJ457" s="530">
        <f t="shared" si="640"/>
        <v>-20029.044750985591</v>
      </c>
      <c r="BK457" s="530">
        <f t="shared" si="640"/>
        <v>-20029.044750985591</v>
      </c>
      <c r="BL457" s="530">
        <f t="shared" si="640"/>
        <v>-20029.044750985591</v>
      </c>
      <c r="BM457" s="530">
        <f t="shared" si="640"/>
        <v>-20029.044750985591</v>
      </c>
      <c r="BN457" s="530">
        <f t="shared" si="640"/>
        <v>-20311.835542046498</v>
      </c>
      <c r="BO457" s="530">
        <f t="shared" si="640"/>
        <v>-20311.835542046498</v>
      </c>
      <c r="BP457" s="530">
        <f t="shared" si="640"/>
        <v>-20311.835542046498</v>
      </c>
      <c r="BQ457" s="530">
        <f t="shared" si="640"/>
        <v>-20311.835542046498</v>
      </c>
      <c r="BR457" s="530">
        <f t="shared" si="640"/>
        <v>-20311.835542046498</v>
      </c>
      <c r="BS457" s="530">
        <f t="shared" si="640"/>
        <v>-20311.835542046498</v>
      </c>
      <c r="BT457" s="530">
        <f t="shared" si="640"/>
        <v>-21206.84591197511</v>
      </c>
      <c r="BU457" s="530">
        <f t="shared" si="640"/>
        <v>-21206.84591197511</v>
      </c>
      <c r="BV457" s="530">
        <f t="shared" si="640"/>
        <v>-21206.84591197511</v>
      </c>
      <c r="BW457" s="530">
        <f t="shared" si="640"/>
        <v>-21206.84591197511</v>
      </c>
      <c r="BX457" s="530">
        <f t="shared" si="640"/>
        <v>-21206.84591197511</v>
      </c>
      <c r="BY457" s="530">
        <f t="shared" si="640"/>
        <v>-21206.84591197511</v>
      </c>
    </row>
    <row r="458" spans="1:77" x14ac:dyDescent="0.3">
      <c r="A458" s="551"/>
      <c r="B458" s="647"/>
      <c r="C458" s="647"/>
      <c r="D458" s="647"/>
      <c r="E458" s="525"/>
      <c r="F458" s="525"/>
      <c r="G458" s="525"/>
      <c r="H458" s="525"/>
      <c r="I458" s="525"/>
      <c r="J458" s="525"/>
      <c r="K458" s="525"/>
      <c r="L458" s="525"/>
      <c r="M458" s="525"/>
      <c r="N458" s="525"/>
      <c r="O458" s="525"/>
      <c r="P458" s="565"/>
      <c r="Q458" s="525"/>
      <c r="R458" s="525"/>
      <c r="S458" s="525"/>
      <c r="T458" s="525"/>
      <c r="U458" s="525"/>
      <c r="V458" s="525"/>
      <c r="W458" s="525"/>
      <c r="X458" s="525"/>
      <c r="Y458" s="525"/>
      <c r="Z458" s="525"/>
      <c r="AA458" s="525"/>
      <c r="AB458" s="525"/>
      <c r="AC458" s="525"/>
      <c r="AD458" s="525"/>
      <c r="AE458" s="525"/>
      <c r="AF458" s="525"/>
      <c r="AG458" s="525"/>
      <c r="AH458" s="525"/>
      <c r="AI458" s="525"/>
      <c r="AJ458" s="525"/>
      <c r="AK458" s="525"/>
      <c r="AL458" s="525"/>
      <c r="AM458" s="525"/>
      <c r="AN458" s="525"/>
      <c r="AO458" s="525"/>
      <c r="AP458" s="525"/>
      <c r="AQ458" s="525"/>
      <c r="AR458" s="525"/>
      <c r="AS458" s="525"/>
      <c r="AT458" s="525"/>
      <c r="AU458" s="525"/>
      <c r="AV458" s="525"/>
      <c r="AW458" s="525"/>
      <c r="AX458" s="525"/>
      <c r="AY458" s="525"/>
      <c r="AZ458" s="525"/>
      <c r="BA458" s="525"/>
      <c r="BB458" s="525"/>
      <c r="BC458" s="525"/>
      <c r="BD458" s="525"/>
      <c r="BE458" s="525"/>
      <c r="BF458" s="525"/>
      <c r="BG458" s="525"/>
      <c r="BH458" s="525"/>
      <c r="BI458" s="525"/>
      <c r="BJ458" s="525"/>
      <c r="BK458" s="525"/>
      <c r="BL458" s="525"/>
      <c r="BM458" s="525"/>
      <c r="BN458" s="525"/>
      <c r="BO458" s="525"/>
      <c r="BP458" s="525"/>
      <c r="BQ458" s="525"/>
      <c r="BR458" s="525"/>
      <c r="BS458" s="525"/>
      <c r="BT458" s="525"/>
      <c r="BU458" s="525"/>
      <c r="BV458" s="525"/>
      <c r="BW458" s="525"/>
      <c r="BX458" s="525"/>
      <c r="BY458" s="525"/>
    </row>
    <row r="459" spans="1:77" x14ac:dyDescent="0.3">
      <c r="A459" s="551"/>
      <c r="B459" s="548"/>
      <c r="C459" s="584" t="s">
        <v>37</v>
      </c>
      <c r="D459" s="525"/>
      <c r="E459" s="538" t="s">
        <v>373</v>
      </c>
      <c r="F459" s="538"/>
      <c r="G459" s="538"/>
      <c r="H459" s="538"/>
      <c r="I459" s="538"/>
      <c r="J459" s="538"/>
      <c r="K459" s="538"/>
      <c r="L459" s="538"/>
      <c r="M459" s="538"/>
      <c r="N459" s="538"/>
      <c r="O459" s="538"/>
      <c r="P459" s="584"/>
      <c r="Q459" s="538"/>
      <c r="R459" s="538"/>
      <c r="S459" s="538"/>
      <c r="T459" s="538"/>
      <c r="U459" s="538"/>
      <c r="V459" s="538"/>
      <c r="W459" s="538"/>
      <c r="X459" s="538"/>
      <c r="Y459" s="538"/>
      <c r="Z459" s="538"/>
      <c r="AA459" s="538"/>
      <c r="AB459" s="538"/>
      <c r="AC459" s="538"/>
      <c r="AD459" s="538"/>
      <c r="AE459" s="538"/>
      <c r="AF459" s="538"/>
      <c r="AG459" s="538"/>
      <c r="AH459" s="538"/>
      <c r="AI459" s="538"/>
      <c r="AJ459" s="538"/>
      <c r="AK459" s="538"/>
      <c r="AL459" s="538"/>
      <c r="AM459" s="538"/>
      <c r="AN459" s="538"/>
      <c r="AO459" s="538"/>
      <c r="AP459" s="538"/>
      <c r="AQ459" s="538"/>
      <c r="AR459" s="538"/>
      <c r="AS459" s="538"/>
      <c r="AT459" s="538"/>
      <c r="AU459" s="538"/>
      <c r="AV459" s="538"/>
      <c r="AW459" s="538"/>
      <c r="AX459" s="538"/>
      <c r="AY459" s="538"/>
      <c r="AZ459" s="538"/>
      <c r="BA459" s="538"/>
      <c r="BB459" s="538"/>
      <c r="BC459" s="538"/>
      <c r="BD459" s="538"/>
      <c r="BE459" s="538"/>
      <c r="BF459" s="538"/>
      <c r="BG459" s="538"/>
      <c r="BH459" s="538"/>
      <c r="BI459" s="538"/>
      <c r="BJ459" s="538"/>
      <c r="BK459" s="538"/>
      <c r="BL459" s="538"/>
      <c r="BM459" s="538"/>
      <c r="BN459" s="538"/>
      <c r="BO459" s="538"/>
      <c r="BP459" s="538"/>
      <c r="BQ459" s="538"/>
      <c r="BR459" s="538"/>
      <c r="BS459" s="538"/>
      <c r="BT459" s="538"/>
      <c r="BU459" s="538"/>
      <c r="BV459" s="538"/>
      <c r="BW459" s="538"/>
      <c r="BX459" s="538"/>
      <c r="BY459" s="538"/>
    </row>
    <row r="460" spans="1:77" x14ac:dyDescent="0.3">
      <c r="A460" s="551"/>
      <c r="B460" s="548"/>
      <c r="C460" s="525"/>
      <c r="D460" s="525"/>
      <c r="E460" s="525"/>
      <c r="F460" s="525"/>
      <c r="G460" s="525"/>
      <c r="H460" s="525"/>
      <c r="I460" s="525"/>
      <c r="J460" s="525"/>
      <c r="K460" s="525"/>
      <c r="L460" s="525"/>
      <c r="M460" s="525"/>
      <c r="N460" s="525"/>
      <c r="O460" s="525"/>
      <c r="P460" s="565"/>
      <c r="Q460" s="525"/>
      <c r="R460" s="525"/>
      <c r="S460" s="525"/>
      <c r="T460" s="525"/>
      <c r="U460" s="525"/>
      <c r="V460" s="525"/>
      <c r="W460" s="525"/>
      <c r="X460" s="525"/>
      <c r="Y460" s="525"/>
      <c r="Z460" s="525"/>
      <c r="AA460" s="525"/>
      <c r="AB460" s="525"/>
      <c r="AC460" s="525"/>
      <c r="AD460" s="525"/>
      <c r="AE460" s="525"/>
      <c r="AF460" s="525"/>
      <c r="AG460" s="525"/>
      <c r="AH460" s="525"/>
      <c r="AI460" s="525"/>
      <c r="AJ460" s="525"/>
      <c r="AK460" s="525"/>
      <c r="AL460" s="525"/>
      <c r="AM460" s="525"/>
      <c r="AN460" s="525"/>
      <c r="AO460" s="525"/>
      <c r="AP460" s="525"/>
      <c r="AQ460" s="525"/>
      <c r="AR460" s="525"/>
      <c r="AS460" s="525"/>
      <c r="AT460" s="525"/>
      <c r="AU460" s="525"/>
      <c r="AV460" s="525"/>
      <c r="AW460" s="525"/>
      <c r="AX460" s="525"/>
      <c r="AY460" s="525"/>
      <c r="AZ460" s="525"/>
      <c r="BA460" s="525"/>
      <c r="BB460" s="525"/>
      <c r="BC460" s="525"/>
      <c r="BD460" s="525"/>
      <c r="BE460" s="525"/>
      <c r="BF460" s="525"/>
      <c r="BG460" s="525"/>
      <c r="BH460" s="525"/>
      <c r="BI460" s="525"/>
      <c r="BJ460" s="525"/>
      <c r="BK460" s="525"/>
      <c r="BL460" s="525"/>
      <c r="BM460" s="525"/>
      <c r="BN460" s="525"/>
      <c r="BO460" s="525"/>
      <c r="BP460" s="525"/>
      <c r="BQ460" s="525"/>
      <c r="BR460" s="525"/>
      <c r="BS460" s="525"/>
      <c r="BT460" s="525"/>
      <c r="BU460" s="525"/>
      <c r="BV460" s="525"/>
      <c r="BW460" s="525"/>
      <c r="BX460" s="525"/>
      <c r="BY460" s="525"/>
    </row>
    <row r="461" spans="1:77" x14ac:dyDescent="0.3">
      <c r="A461" s="551"/>
      <c r="B461" s="548"/>
      <c r="C461" s="525"/>
      <c r="D461" s="525"/>
      <c r="E461" s="614" t="s">
        <v>110</v>
      </c>
      <c r="F461" s="539"/>
      <c r="G461" s="539"/>
      <c r="H461" s="539"/>
      <c r="I461" s="539"/>
      <c r="J461" s="539"/>
      <c r="K461" s="539"/>
      <c r="L461" s="539"/>
      <c r="M461" s="539"/>
      <c r="N461" s="539"/>
      <c r="O461" s="539"/>
      <c r="P461" s="615"/>
      <c r="Q461" s="539"/>
      <c r="R461" s="539"/>
      <c r="S461" s="539"/>
      <c r="T461" s="539"/>
      <c r="U461" s="539"/>
      <c r="V461" s="539"/>
      <c r="W461" s="539"/>
      <c r="X461" s="539"/>
      <c r="Y461" s="539"/>
      <c r="Z461" s="539"/>
      <c r="AA461" s="539"/>
      <c r="AB461" s="539"/>
      <c r="AC461" s="539"/>
      <c r="AD461" s="539"/>
      <c r="AE461" s="539"/>
      <c r="AF461" s="539"/>
      <c r="AG461" s="539"/>
      <c r="AH461" s="539"/>
      <c r="AI461" s="539"/>
      <c r="AJ461" s="539"/>
      <c r="AK461" s="539"/>
      <c r="AL461" s="539"/>
      <c r="AM461" s="539"/>
      <c r="AN461" s="539"/>
      <c r="AO461" s="539"/>
      <c r="AP461" s="539"/>
      <c r="AQ461" s="539"/>
      <c r="AR461" s="539"/>
      <c r="AS461" s="539"/>
      <c r="AT461" s="539"/>
      <c r="AU461" s="539"/>
      <c r="AV461" s="539"/>
      <c r="AW461" s="539"/>
      <c r="AX461" s="539"/>
      <c r="AY461" s="539"/>
      <c r="AZ461" s="539"/>
      <c r="BA461" s="539"/>
      <c r="BB461" s="539"/>
      <c r="BC461" s="539"/>
      <c r="BD461" s="539"/>
      <c r="BE461" s="539"/>
      <c r="BF461" s="539"/>
      <c r="BG461" s="539"/>
      <c r="BH461" s="539"/>
      <c r="BI461" s="539"/>
      <c r="BJ461" s="539"/>
      <c r="BK461" s="539"/>
      <c r="BL461" s="539"/>
      <c r="BM461" s="539"/>
      <c r="BN461" s="539"/>
      <c r="BO461" s="539"/>
      <c r="BP461" s="539"/>
      <c r="BQ461" s="539"/>
      <c r="BR461" s="539"/>
      <c r="BS461" s="539"/>
      <c r="BT461" s="539"/>
      <c r="BU461" s="539"/>
      <c r="BV461" s="539"/>
      <c r="BW461" s="539"/>
      <c r="BX461" s="539"/>
      <c r="BY461" s="539"/>
    </row>
    <row r="462" spans="1:77" x14ac:dyDescent="0.3">
      <c r="A462" s="551"/>
      <c r="B462" s="548"/>
      <c r="C462" s="525"/>
      <c r="D462" s="525"/>
      <c r="E462" s="525"/>
      <c r="F462" s="525"/>
      <c r="G462" s="525"/>
      <c r="H462" s="525"/>
      <c r="I462" s="525"/>
      <c r="J462" s="525"/>
      <c r="K462" s="525"/>
      <c r="L462" s="525"/>
      <c r="M462" s="525"/>
      <c r="N462" s="525"/>
      <c r="O462" s="525"/>
      <c r="P462" s="565"/>
      <c r="Q462" s="525"/>
      <c r="R462" s="525"/>
      <c r="S462" s="525"/>
      <c r="T462" s="525"/>
      <c r="U462" s="525"/>
      <c r="V462" s="525"/>
      <c r="W462" s="525"/>
      <c r="X462" s="525"/>
      <c r="Y462" s="525"/>
      <c r="Z462" s="525"/>
      <c r="AA462" s="525"/>
      <c r="AB462" s="525"/>
      <c r="AC462" s="525"/>
      <c r="AD462" s="525"/>
      <c r="AE462" s="525"/>
      <c r="AF462" s="525"/>
      <c r="AG462" s="525"/>
      <c r="AH462" s="525"/>
      <c r="AI462" s="525"/>
      <c r="AJ462" s="525"/>
      <c r="AK462" s="525"/>
      <c r="AL462" s="525"/>
      <c r="AM462" s="525"/>
      <c r="AN462" s="525"/>
      <c r="AO462" s="525"/>
      <c r="AP462" s="525"/>
      <c r="AQ462" s="525"/>
      <c r="AR462" s="525"/>
      <c r="AS462" s="525"/>
      <c r="AT462" s="525"/>
      <c r="AU462" s="525"/>
      <c r="AV462" s="525"/>
      <c r="AW462" s="525"/>
      <c r="AX462" s="525"/>
      <c r="AY462" s="525"/>
      <c r="AZ462" s="525"/>
      <c r="BA462" s="525"/>
      <c r="BB462" s="525"/>
      <c r="BC462" s="525"/>
      <c r="BD462" s="525"/>
      <c r="BE462" s="525"/>
      <c r="BF462" s="525"/>
      <c r="BG462" s="525"/>
      <c r="BH462" s="525"/>
      <c r="BI462" s="525"/>
      <c r="BJ462" s="525"/>
      <c r="BK462" s="525"/>
      <c r="BL462" s="525"/>
      <c r="BM462" s="525"/>
      <c r="BN462" s="525"/>
      <c r="BO462" s="525"/>
      <c r="BP462" s="525"/>
      <c r="BQ462" s="525"/>
      <c r="BR462" s="525"/>
      <c r="BS462" s="525"/>
      <c r="BT462" s="525"/>
      <c r="BU462" s="525"/>
      <c r="BV462" s="525"/>
      <c r="BW462" s="525"/>
      <c r="BX462" s="525"/>
      <c r="BY462" s="525"/>
    </row>
    <row r="463" spans="1:77" x14ac:dyDescent="0.3">
      <c r="A463" s="551"/>
      <c r="B463" s="548"/>
      <c r="C463" s="525"/>
      <c r="D463" s="525"/>
      <c r="E463" s="650" t="str">
        <f>"Volumes: "&amp;E$155</f>
        <v>Volumes: FY27 Tranche</v>
      </c>
      <c r="F463" s="525"/>
      <c r="G463" s="525"/>
      <c r="H463" s="525"/>
      <c r="I463" s="525"/>
      <c r="J463" s="525"/>
      <c r="K463" s="525"/>
      <c r="L463" s="525"/>
      <c r="M463" s="525"/>
      <c r="N463" s="525"/>
      <c r="O463" s="525"/>
      <c r="P463" s="565"/>
      <c r="Q463" s="525"/>
      <c r="R463" s="527">
        <f t="shared" ref="R463:AW463" si="641">R246/R$509</f>
        <v>244.77138400938051</v>
      </c>
      <c r="S463" s="527">
        <f t="shared" si="641"/>
        <v>244.77138400938051</v>
      </c>
      <c r="T463" s="527">
        <f t="shared" si="641"/>
        <v>244.77138400938051</v>
      </c>
      <c r="U463" s="527">
        <f t="shared" si="641"/>
        <v>244.77138400938051</v>
      </c>
      <c r="V463" s="527">
        <f t="shared" si="641"/>
        <v>244.77138400938051</v>
      </c>
      <c r="W463" s="527">
        <f t="shared" si="641"/>
        <v>244.77138400938051</v>
      </c>
      <c r="X463" s="527">
        <f t="shared" si="641"/>
        <v>283.35206169376255</v>
      </c>
      <c r="Y463" s="527">
        <f t="shared" si="641"/>
        <v>283.35206169376255</v>
      </c>
      <c r="Z463" s="527">
        <f t="shared" si="641"/>
        <v>283.35206169376255</v>
      </c>
      <c r="AA463" s="527">
        <f t="shared" si="641"/>
        <v>283.35206169376255</v>
      </c>
      <c r="AB463" s="527">
        <f t="shared" si="641"/>
        <v>283.35206169376255</v>
      </c>
      <c r="AC463" s="527">
        <f t="shared" si="641"/>
        <v>283.35206169376255</v>
      </c>
      <c r="AD463" s="527">
        <f t="shared" si="641"/>
        <v>272.8537901569639</v>
      </c>
      <c r="AE463" s="527">
        <f t="shared" si="641"/>
        <v>272.8537901569639</v>
      </c>
      <c r="AF463" s="527">
        <f t="shared" si="641"/>
        <v>272.8537901569639</v>
      </c>
      <c r="AG463" s="527">
        <f t="shared" si="641"/>
        <v>272.8537901569639</v>
      </c>
      <c r="AH463" s="527">
        <f t="shared" si="641"/>
        <v>272.8537901569639</v>
      </c>
      <c r="AI463" s="527">
        <f t="shared" si="641"/>
        <v>272.8537901569639</v>
      </c>
      <c r="AJ463" s="527">
        <f t="shared" si="641"/>
        <v>282.91296529518962</v>
      </c>
      <c r="AK463" s="527">
        <f t="shared" si="641"/>
        <v>282.91296529518962</v>
      </c>
      <c r="AL463" s="527">
        <f t="shared" si="641"/>
        <v>282.91296529518962</v>
      </c>
      <c r="AM463" s="527">
        <f t="shared" si="641"/>
        <v>282.91296529518962</v>
      </c>
      <c r="AN463" s="527">
        <f t="shared" si="641"/>
        <v>282.91296529518962</v>
      </c>
      <c r="AO463" s="527">
        <f t="shared" si="641"/>
        <v>282.91296529518962</v>
      </c>
      <c r="AP463" s="527">
        <f t="shared" si="641"/>
        <v>272.99123570329715</v>
      </c>
      <c r="AQ463" s="527">
        <f t="shared" si="641"/>
        <v>272.99123570329715</v>
      </c>
      <c r="AR463" s="527">
        <f t="shared" si="641"/>
        <v>272.99123570329715</v>
      </c>
      <c r="AS463" s="527">
        <f t="shared" si="641"/>
        <v>272.99123570329715</v>
      </c>
      <c r="AT463" s="527">
        <f t="shared" si="641"/>
        <v>272.99123570329715</v>
      </c>
      <c r="AU463" s="527">
        <f t="shared" si="641"/>
        <v>272.99123570329715</v>
      </c>
      <c r="AV463" s="527">
        <f t="shared" si="641"/>
        <v>282.96952625802686</v>
      </c>
      <c r="AW463" s="527">
        <f t="shared" si="641"/>
        <v>282.96952625802686</v>
      </c>
      <c r="AX463" s="527">
        <f t="shared" ref="AX463:BY463" si="642">AX246/AX$509</f>
        <v>282.96952625802686</v>
      </c>
      <c r="AY463" s="527">
        <f t="shared" si="642"/>
        <v>282.96952625802686</v>
      </c>
      <c r="AZ463" s="527">
        <f t="shared" si="642"/>
        <v>282.96952625802686</v>
      </c>
      <c r="BA463" s="527">
        <f t="shared" si="642"/>
        <v>282.96952625802686</v>
      </c>
      <c r="BB463" s="527">
        <f t="shared" si="642"/>
        <v>273.80592779619747</v>
      </c>
      <c r="BC463" s="527">
        <f t="shared" si="642"/>
        <v>273.80592779619747</v>
      </c>
      <c r="BD463" s="527">
        <f t="shared" si="642"/>
        <v>273.80592779619747</v>
      </c>
      <c r="BE463" s="527">
        <f t="shared" si="642"/>
        <v>273.80592779619747</v>
      </c>
      <c r="BF463" s="527">
        <f t="shared" si="642"/>
        <v>273.80592779619747</v>
      </c>
      <c r="BG463" s="527">
        <f t="shared" si="642"/>
        <v>273.80592779619747</v>
      </c>
      <c r="BH463" s="527">
        <f t="shared" si="642"/>
        <v>283.72938457280208</v>
      </c>
      <c r="BI463" s="527">
        <f t="shared" si="642"/>
        <v>283.72938457280208</v>
      </c>
      <c r="BJ463" s="527">
        <f t="shared" si="642"/>
        <v>283.72938457280208</v>
      </c>
      <c r="BK463" s="527">
        <f t="shared" si="642"/>
        <v>283.72938457280208</v>
      </c>
      <c r="BL463" s="527">
        <f t="shared" si="642"/>
        <v>283.72938457280208</v>
      </c>
      <c r="BM463" s="527">
        <f t="shared" si="642"/>
        <v>283.72938457280208</v>
      </c>
      <c r="BN463" s="527">
        <f t="shared" si="642"/>
        <v>274.79350950142504</v>
      </c>
      <c r="BO463" s="527">
        <f t="shared" si="642"/>
        <v>274.79350950142504</v>
      </c>
      <c r="BP463" s="527">
        <f t="shared" si="642"/>
        <v>274.79350950142504</v>
      </c>
      <c r="BQ463" s="527">
        <f t="shared" si="642"/>
        <v>274.79350950142504</v>
      </c>
      <c r="BR463" s="527">
        <f t="shared" si="642"/>
        <v>274.79350950142504</v>
      </c>
      <c r="BS463" s="527">
        <f t="shared" si="642"/>
        <v>274.79350950142504</v>
      </c>
      <c r="BT463" s="527">
        <f t="shared" si="642"/>
        <v>284.66599418035958</v>
      </c>
      <c r="BU463" s="527">
        <f t="shared" si="642"/>
        <v>284.66599418035958</v>
      </c>
      <c r="BV463" s="527">
        <f t="shared" si="642"/>
        <v>284.66599418035958</v>
      </c>
      <c r="BW463" s="527">
        <f t="shared" si="642"/>
        <v>284.66599418035958</v>
      </c>
      <c r="BX463" s="527">
        <f t="shared" si="642"/>
        <v>284.66599418035958</v>
      </c>
      <c r="BY463" s="527">
        <f t="shared" si="642"/>
        <v>284.66599418035958</v>
      </c>
    </row>
    <row r="464" spans="1:77" x14ac:dyDescent="0.3">
      <c r="A464" s="551"/>
      <c r="B464" s="548"/>
      <c r="C464" s="525"/>
      <c r="D464" s="525"/>
      <c r="E464" s="650" t="str">
        <f>"Volumes: "&amp;E$156</f>
        <v>Volumes: FY28 Tranche</v>
      </c>
      <c r="F464" s="525"/>
      <c r="G464" s="525"/>
      <c r="H464" s="525"/>
      <c r="I464" s="525"/>
      <c r="J464" s="525"/>
      <c r="K464" s="525"/>
      <c r="L464" s="525"/>
      <c r="M464" s="525"/>
      <c r="N464" s="525"/>
      <c r="O464" s="525"/>
      <c r="P464" s="565"/>
      <c r="Q464" s="525"/>
      <c r="R464" s="527">
        <f t="shared" ref="R464:AW464" si="643">R247/R$509</f>
        <v>244.77138400938051</v>
      </c>
      <c r="S464" s="527">
        <f t="shared" si="643"/>
        <v>244.77138400938051</v>
      </c>
      <c r="T464" s="527">
        <f t="shared" si="643"/>
        <v>244.77138400938051</v>
      </c>
      <c r="U464" s="527">
        <f t="shared" si="643"/>
        <v>244.77138400938051</v>
      </c>
      <c r="V464" s="527">
        <f t="shared" si="643"/>
        <v>244.77138400938051</v>
      </c>
      <c r="W464" s="527">
        <f t="shared" si="643"/>
        <v>244.77138400938051</v>
      </c>
      <c r="X464" s="527">
        <f t="shared" si="643"/>
        <v>244.77138400938051</v>
      </c>
      <c r="Y464" s="527">
        <f t="shared" si="643"/>
        <v>244.77138400938051</v>
      </c>
      <c r="Z464" s="527">
        <f t="shared" si="643"/>
        <v>244.77138400938051</v>
      </c>
      <c r="AA464" s="527">
        <f t="shared" si="643"/>
        <v>244.77138400938051</v>
      </c>
      <c r="AB464" s="527">
        <f t="shared" si="643"/>
        <v>244.77138400938051</v>
      </c>
      <c r="AC464" s="527">
        <f t="shared" si="643"/>
        <v>244.77138400938051</v>
      </c>
      <c r="AD464" s="527">
        <f t="shared" si="643"/>
        <v>244.77138400938048</v>
      </c>
      <c r="AE464" s="527">
        <f t="shared" si="643"/>
        <v>244.77138400938048</v>
      </c>
      <c r="AF464" s="527">
        <f t="shared" si="643"/>
        <v>244.77138400938048</v>
      </c>
      <c r="AG464" s="527">
        <f t="shared" si="643"/>
        <v>244.77138400938048</v>
      </c>
      <c r="AH464" s="527">
        <f t="shared" si="643"/>
        <v>244.77138400938048</v>
      </c>
      <c r="AI464" s="527">
        <f t="shared" si="643"/>
        <v>244.77138400938048</v>
      </c>
      <c r="AJ464" s="527">
        <f t="shared" si="643"/>
        <v>282.36301423848568</v>
      </c>
      <c r="AK464" s="527">
        <f t="shared" si="643"/>
        <v>282.36301423848568</v>
      </c>
      <c r="AL464" s="527">
        <f t="shared" si="643"/>
        <v>282.36301423848568</v>
      </c>
      <c r="AM464" s="527">
        <f t="shared" si="643"/>
        <v>282.36301423848568</v>
      </c>
      <c r="AN464" s="527">
        <f t="shared" si="643"/>
        <v>282.36301423848568</v>
      </c>
      <c r="AO464" s="527">
        <f t="shared" si="643"/>
        <v>282.36301423848568</v>
      </c>
      <c r="AP464" s="527">
        <f t="shared" si="643"/>
        <v>272.46668861843466</v>
      </c>
      <c r="AQ464" s="527">
        <f t="shared" si="643"/>
        <v>272.46668861843466</v>
      </c>
      <c r="AR464" s="527">
        <f t="shared" si="643"/>
        <v>272.46668861843466</v>
      </c>
      <c r="AS464" s="527">
        <f t="shared" si="643"/>
        <v>272.46668861843466</v>
      </c>
      <c r="AT464" s="527">
        <f t="shared" si="643"/>
        <v>272.46668861843466</v>
      </c>
      <c r="AU464" s="527">
        <f t="shared" si="643"/>
        <v>272.46668861843466</v>
      </c>
      <c r="AV464" s="527">
        <f t="shared" si="643"/>
        <v>282.42399728976983</v>
      </c>
      <c r="AW464" s="527">
        <f t="shared" si="643"/>
        <v>282.42399728976983</v>
      </c>
      <c r="AX464" s="527">
        <f t="shared" ref="AX464:BY464" si="644">AX247/AX$509</f>
        <v>282.42399728976983</v>
      </c>
      <c r="AY464" s="527">
        <f t="shared" si="644"/>
        <v>282.42399728976983</v>
      </c>
      <c r="AZ464" s="527">
        <f t="shared" si="644"/>
        <v>282.42399728976983</v>
      </c>
      <c r="BA464" s="527">
        <f t="shared" si="644"/>
        <v>282.42399728976983</v>
      </c>
      <c r="BB464" s="527">
        <f t="shared" si="644"/>
        <v>273.28426325903285</v>
      </c>
      <c r="BC464" s="527">
        <f t="shared" si="644"/>
        <v>273.28426325903285</v>
      </c>
      <c r="BD464" s="527">
        <f t="shared" si="644"/>
        <v>273.28426325903285</v>
      </c>
      <c r="BE464" s="527">
        <f t="shared" si="644"/>
        <v>273.28426325903285</v>
      </c>
      <c r="BF464" s="527">
        <f t="shared" si="644"/>
        <v>273.28426325903285</v>
      </c>
      <c r="BG464" s="527">
        <f t="shared" si="644"/>
        <v>273.28426325903285</v>
      </c>
      <c r="BH464" s="527">
        <f t="shared" si="644"/>
        <v>283.18685345415088</v>
      </c>
      <c r="BI464" s="527">
        <f t="shared" si="644"/>
        <v>283.18685345415088</v>
      </c>
      <c r="BJ464" s="527">
        <f t="shared" si="644"/>
        <v>283.18685345415088</v>
      </c>
      <c r="BK464" s="527">
        <f t="shared" si="644"/>
        <v>283.18685345415088</v>
      </c>
      <c r="BL464" s="527">
        <f t="shared" si="644"/>
        <v>283.18685345415088</v>
      </c>
      <c r="BM464" s="527">
        <f t="shared" si="644"/>
        <v>283.18685345415088</v>
      </c>
      <c r="BN464" s="527">
        <f t="shared" si="644"/>
        <v>274.27452450792526</v>
      </c>
      <c r="BO464" s="527">
        <f t="shared" si="644"/>
        <v>274.27452450792526</v>
      </c>
      <c r="BP464" s="527">
        <f t="shared" si="644"/>
        <v>274.27452450792526</v>
      </c>
      <c r="BQ464" s="527">
        <f t="shared" si="644"/>
        <v>274.27452450792526</v>
      </c>
      <c r="BR464" s="527">
        <f t="shared" si="644"/>
        <v>274.27452450792526</v>
      </c>
      <c r="BS464" s="527">
        <f t="shared" si="644"/>
        <v>274.27452450792526</v>
      </c>
      <c r="BT464" s="527">
        <f t="shared" si="644"/>
        <v>284.12624978711989</v>
      </c>
      <c r="BU464" s="527">
        <f t="shared" si="644"/>
        <v>284.12624978711989</v>
      </c>
      <c r="BV464" s="527">
        <f t="shared" si="644"/>
        <v>284.12624978711989</v>
      </c>
      <c r="BW464" s="527">
        <f t="shared" si="644"/>
        <v>284.12624978711989</v>
      </c>
      <c r="BX464" s="527">
        <f t="shared" si="644"/>
        <v>284.12624978711989</v>
      </c>
      <c r="BY464" s="527">
        <f t="shared" si="644"/>
        <v>284.12624978711989</v>
      </c>
    </row>
    <row r="465" spans="1:77" x14ac:dyDescent="0.3">
      <c r="A465" s="551"/>
      <c r="B465" s="548"/>
      <c r="C465" s="525"/>
      <c r="D465" s="525"/>
      <c r="E465" s="650" t="str">
        <f>"Volumes: "&amp;E$157</f>
        <v>Volumes: FY29 Tranche</v>
      </c>
      <c r="F465" s="525"/>
      <c r="G465" s="525"/>
      <c r="H465" s="525"/>
      <c r="I465" s="525"/>
      <c r="J465" s="525"/>
      <c r="K465" s="525"/>
      <c r="L465" s="525"/>
      <c r="M465" s="525"/>
      <c r="N465" s="525"/>
      <c r="O465" s="525"/>
      <c r="P465" s="565"/>
      <c r="Q465" s="525"/>
      <c r="R465" s="527">
        <f t="shared" ref="R465:AW465" si="645">R248/R$509</f>
        <v>244.77138400938051</v>
      </c>
      <c r="S465" s="527">
        <f t="shared" si="645"/>
        <v>244.77138400938051</v>
      </c>
      <c r="T465" s="527">
        <f t="shared" si="645"/>
        <v>244.77138400938051</v>
      </c>
      <c r="U465" s="527">
        <f t="shared" si="645"/>
        <v>244.77138400938051</v>
      </c>
      <c r="V465" s="527">
        <f t="shared" si="645"/>
        <v>244.77138400938051</v>
      </c>
      <c r="W465" s="527">
        <f t="shared" si="645"/>
        <v>244.77138400938051</v>
      </c>
      <c r="X465" s="527">
        <f t="shared" si="645"/>
        <v>244.77138400938051</v>
      </c>
      <c r="Y465" s="527">
        <f t="shared" si="645"/>
        <v>244.77138400938051</v>
      </c>
      <c r="Z465" s="527">
        <f t="shared" si="645"/>
        <v>244.77138400938051</v>
      </c>
      <c r="AA465" s="527">
        <f t="shared" si="645"/>
        <v>244.77138400938051</v>
      </c>
      <c r="AB465" s="527">
        <f t="shared" si="645"/>
        <v>244.77138400938051</v>
      </c>
      <c r="AC465" s="527">
        <f t="shared" si="645"/>
        <v>244.77138400938051</v>
      </c>
      <c r="AD465" s="527">
        <f t="shared" si="645"/>
        <v>244.77138400938048</v>
      </c>
      <c r="AE465" s="527">
        <f t="shared" si="645"/>
        <v>244.77138400938048</v>
      </c>
      <c r="AF465" s="527">
        <f t="shared" si="645"/>
        <v>244.77138400938048</v>
      </c>
      <c r="AG465" s="527">
        <f t="shared" si="645"/>
        <v>244.77138400938048</v>
      </c>
      <c r="AH465" s="527">
        <f t="shared" si="645"/>
        <v>244.77138400938048</v>
      </c>
      <c r="AI465" s="527">
        <f t="shared" si="645"/>
        <v>244.77138400938048</v>
      </c>
      <c r="AJ465" s="527">
        <f t="shared" si="645"/>
        <v>244.77138400938048</v>
      </c>
      <c r="AK465" s="527">
        <f t="shared" si="645"/>
        <v>244.77138400938048</v>
      </c>
      <c r="AL465" s="527">
        <f t="shared" si="645"/>
        <v>244.77138400938048</v>
      </c>
      <c r="AM465" s="527">
        <f t="shared" si="645"/>
        <v>244.77138400938048</v>
      </c>
      <c r="AN465" s="527">
        <f t="shared" si="645"/>
        <v>244.77138400938048</v>
      </c>
      <c r="AO465" s="527">
        <f t="shared" si="645"/>
        <v>244.77138400938048</v>
      </c>
      <c r="AP465" s="527">
        <f t="shared" si="645"/>
        <v>244.77138400938045</v>
      </c>
      <c r="AQ465" s="527">
        <f t="shared" si="645"/>
        <v>244.77138400938045</v>
      </c>
      <c r="AR465" s="527">
        <f t="shared" si="645"/>
        <v>244.77138400938045</v>
      </c>
      <c r="AS465" s="527">
        <f t="shared" si="645"/>
        <v>244.77138400938045</v>
      </c>
      <c r="AT465" s="527">
        <f t="shared" si="645"/>
        <v>244.77138400938045</v>
      </c>
      <c r="AU465" s="527">
        <f t="shared" si="645"/>
        <v>244.77138400938045</v>
      </c>
      <c r="AV465" s="527">
        <f t="shared" si="645"/>
        <v>281.43164504730584</v>
      </c>
      <c r="AW465" s="527">
        <f t="shared" si="645"/>
        <v>281.43164504730584</v>
      </c>
      <c r="AX465" s="527">
        <f t="shared" ref="AX465:BY465" si="646">AX248/AX$509</f>
        <v>281.43164504730584</v>
      </c>
      <c r="AY465" s="527">
        <f t="shared" si="646"/>
        <v>281.43164504730584</v>
      </c>
      <c r="AZ465" s="527">
        <f t="shared" si="646"/>
        <v>281.43164504730584</v>
      </c>
      <c r="BA465" s="527">
        <f t="shared" si="646"/>
        <v>281.43164504730584</v>
      </c>
      <c r="BB465" s="527">
        <f t="shared" si="646"/>
        <v>272.33532194997053</v>
      </c>
      <c r="BC465" s="527">
        <f t="shared" si="646"/>
        <v>272.33532194997053</v>
      </c>
      <c r="BD465" s="527">
        <f t="shared" si="646"/>
        <v>272.33532194997053</v>
      </c>
      <c r="BE465" s="527">
        <f t="shared" si="646"/>
        <v>272.33532194997053</v>
      </c>
      <c r="BF465" s="527">
        <f t="shared" si="646"/>
        <v>272.33532194997053</v>
      </c>
      <c r="BG465" s="527">
        <f t="shared" si="646"/>
        <v>272.33532194997053</v>
      </c>
      <c r="BH465" s="527">
        <f t="shared" si="646"/>
        <v>282.19995449272608</v>
      </c>
      <c r="BI465" s="527">
        <f t="shared" si="646"/>
        <v>282.19995449272608</v>
      </c>
      <c r="BJ465" s="527">
        <f t="shared" si="646"/>
        <v>282.19995449272608</v>
      </c>
      <c r="BK465" s="527">
        <f t="shared" si="646"/>
        <v>282.19995449272608</v>
      </c>
      <c r="BL465" s="527">
        <f t="shared" si="646"/>
        <v>282.19995449272608</v>
      </c>
      <c r="BM465" s="527">
        <f t="shared" si="646"/>
        <v>282.19995449272608</v>
      </c>
      <c r="BN465" s="527">
        <f t="shared" si="646"/>
        <v>273.33045746094496</v>
      </c>
      <c r="BO465" s="527">
        <f t="shared" si="646"/>
        <v>273.33045746094496</v>
      </c>
      <c r="BP465" s="527">
        <f t="shared" si="646"/>
        <v>273.33045746094496</v>
      </c>
      <c r="BQ465" s="527">
        <f t="shared" si="646"/>
        <v>273.33045746094496</v>
      </c>
      <c r="BR465" s="527">
        <f t="shared" si="646"/>
        <v>273.33045746094496</v>
      </c>
      <c r="BS465" s="527">
        <f t="shared" si="646"/>
        <v>273.33045746094496</v>
      </c>
      <c r="BT465" s="527">
        <f t="shared" si="646"/>
        <v>283.14442005826038</v>
      </c>
      <c r="BU465" s="527">
        <f t="shared" si="646"/>
        <v>283.14442005826038</v>
      </c>
      <c r="BV465" s="527">
        <f t="shared" si="646"/>
        <v>283.14442005826038</v>
      </c>
      <c r="BW465" s="527">
        <f t="shared" si="646"/>
        <v>283.14442005826038</v>
      </c>
      <c r="BX465" s="527">
        <f t="shared" si="646"/>
        <v>283.14442005826038</v>
      </c>
      <c r="BY465" s="527">
        <f t="shared" si="646"/>
        <v>283.14442005826038</v>
      </c>
    </row>
    <row r="466" spans="1:77" x14ac:dyDescent="0.3">
      <c r="A466" s="551"/>
      <c r="B466" s="548"/>
      <c r="C466" s="525"/>
      <c r="D466" s="525"/>
      <c r="E466" s="650" t="str">
        <f>"Volumes: "&amp;E$158</f>
        <v>Volumes: FY30 Tranche</v>
      </c>
      <c r="F466" s="525"/>
      <c r="G466" s="525"/>
      <c r="H466" s="525"/>
      <c r="I466" s="525"/>
      <c r="J466" s="525"/>
      <c r="K466" s="525"/>
      <c r="L466" s="525"/>
      <c r="M466" s="525"/>
      <c r="N466" s="525"/>
      <c r="O466" s="525"/>
      <c r="P466" s="565"/>
      <c r="Q466" s="525"/>
      <c r="R466" s="527">
        <f t="shared" ref="R466:AW466" si="647">R249/R$509</f>
        <v>244.77138400938051</v>
      </c>
      <c r="S466" s="527">
        <f t="shared" si="647"/>
        <v>244.77138400938051</v>
      </c>
      <c r="T466" s="527">
        <f t="shared" si="647"/>
        <v>244.77138400938051</v>
      </c>
      <c r="U466" s="527">
        <f t="shared" si="647"/>
        <v>244.77138400938051</v>
      </c>
      <c r="V466" s="527">
        <f t="shared" si="647"/>
        <v>244.77138400938051</v>
      </c>
      <c r="W466" s="527">
        <f t="shared" si="647"/>
        <v>244.77138400938051</v>
      </c>
      <c r="X466" s="527">
        <f t="shared" si="647"/>
        <v>244.77138400938051</v>
      </c>
      <c r="Y466" s="527">
        <f t="shared" si="647"/>
        <v>244.77138400938051</v>
      </c>
      <c r="Z466" s="527">
        <f t="shared" si="647"/>
        <v>244.77138400938051</v>
      </c>
      <c r="AA466" s="527">
        <f t="shared" si="647"/>
        <v>244.77138400938051</v>
      </c>
      <c r="AB466" s="527">
        <f t="shared" si="647"/>
        <v>244.77138400938051</v>
      </c>
      <c r="AC466" s="527">
        <f t="shared" si="647"/>
        <v>244.77138400938051</v>
      </c>
      <c r="AD466" s="527">
        <f t="shared" si="647"/>
        <v>244.77138400938048</v>
      </c>
      <c r="AE466" s="527">
        <f t="shared" si="647"/>
        <v>244.77138400938048</v>
      </c>
      <c r="AF466" s="527">
        <f t="shared" si="647"/>
        <v>244.77138400938048</v>
      </c>
      <c r="AG466" s="527">
        <f t="shared" si="647"/>
        <v>244.77138400938048</v>
      </c>
      <c r="AH466" s="527">
        <f t="shared" si="647"/>
        <v>244.77138400938048</v>
      </c>
      <c r="AI466" s="527">
        <f t="shared" si="647"/>
        <v>244.77138400938048</v>
      </c>
      <c r="AJ466" s="527">
        <f t="shared" si="647"/>
        <v>244.77138400938048</v>
      </c>
      <c r="AK466" s="527">
        <f t="shared" si="647"/>
        <v>244.77138400938048</v>
      </c>
      <c r="AL466" s="527">
        <f t="shared" si="647"/>
        <v>244.77138400938048</v>
      </c>
      <c r="AM466" s="527">
        <f t="shared" si="647"/>
        <v>244.77138400938048</v>
      </c>
      <c r="AN466" s="527">
        <f t="shared" si="647"/>
        <v>244.77138400938048</v>
      </c>
      <c r="AO466" s="527">
        <f t="shared" si="647"/>
        <v>244.77138400938048</v>
      </c>
      <c r="AP466" s="527">
        <f t="shared" si="647"/>
        <v>244.77138400938045</v>
      </c>
      <c r="AQ466" s="527">
        <f t="shared" si="647"/>
        <v>244.77138400938045</v>
      </c>
      <c r="AR466" s="527">
        <f t="shared" si="647"/>
        <v>244.77138400938045</v>
      </c>
      <c r="AS466" s="527">
        <f t="shared" si="647"/>
        <v>244.77138400938045</v>
      </c>
      <c r="AT466" s="527">
        <f t="shared" si="647"/>
        <v>244.77138400938045</v>
      </c>
      <c r="AU466" s="527">
        <f t="shared" si="647"/>
        <v>244.77138400938045</v>
      </c>
      <c r="AV466" s="527">
        <f t="shared" si="647"/>
        <v>244.77138400938045</v>
      </c>
      <c r="AW466" s="527">
        <f t="shared" si="647"/>
        <v>244.77138400938045</v>
      </c>
      <c r="AX466" s="527">
        <f t="shared" ref="AX466:BY466" si="648">AX249/AX$509</f>
        <v>244.77138400938045</v>
      </c>
      <c r="AY466" s="527">
        <f t="shared" si="648"/>
        <v>244.77138400938045</v>
      </c>
      <c r="AZ466" s="527">
        <f t="shared" si="648"/>
        <v>244.77138400938045</v>
      </c>
      <c r="BA466" s="527">
        <f t="shared" si="648"/>
        <v>244.77138400938045</v>
      </c>
      <c r="BB466" s="527">
        <f t="shared" si="648"/>
        <v>244.77138400938045</v>
      </c>
      <c r="BC466" s="527">
        <f t="shared" si="648"/>
        <v>244.77138400938045</v>
      </c>
      <c r="BD466" s="527">
        <f t="shared" si="648"/>
        <v>244.77138400938045</v>
      </c>
      <c r="BE466" s="527">
        <f t="shared" si="648"/>
        <v>244.77138400938045</v>
      </c>
      <c r="BF466" s="527">
        <f t="shared" si="648"/>
        <v>244.77138400938045</v>
      </c>
      <c r="BG466" s="527">
        <f t="shared" si="648"/>
        <v>244.77138400938045</v>
      </c>
      <c r="BH466" s="527">
        <f t="shared" si="648"/>
        <v>280.55281014762602</v>
      </c>
      <c r="BI466" s="527">
        <f t="shared" si="648"/>
        <v>280.55281014762602</v>
      </c>
      <c r="BJ466" s="527">
        <f t="shared" si="648"/>
        <v>280.55281014762602</v>
      </c>
      <c r="BK466" s="527">
        <f t="shared" si="648"/>
        <v>280.55281014762602</v>
      </c>
      <c r="BL466" s="527">
        <f t="shared" si="648"/>
        <v>280.55281014762602</v>
      </c>
      <c r="BM466" s="527">
        <f t="shared" si="648"/>
        <v>280.55281014762602</v>
      </c>
      <c r="BN466" s="527">
        <f t="shared" si="648"/>
        <v>271.75480001412393</v>
      </c>
      <c r="BO466" s="527">
        <f t="shared" si="648"/>
        <v>271.75480001412393</v>
      </c>
      <c r="BP466" s="527">
        <f t="shared" si="648"/>
        <v>271.75480001412393</v>
      </c>
      <c r="BQ466" s="527">
        <f t="shared" si="648"/>
        <v>271.75480001412393</v>
      </c>
      <c r="BR466" s="527">
        <f t="shared" si="648"/>
        <v>271.75480001412393</v>
      </c>
      <c r="BS466" s="527">
        <f t="shared" si="648"/>
        <v>271.75480001412393</v>
      </c>
      <c r="BT466" s="527">
        <f t="shared" si="648"/>
        <v>281.5057363135665</v>
      </c>
      <c r="BU466" s="527">
        <f t="shared" si="648"/>
        <v>281.5057363135665</v>
      </c>
      <c r="BV466" s="527">
        <f t="shared" si="648"/>
        <v>281.5057363135665</v>
      </c>
      <c r="BW466" s="527">
        <f t="shared" si="648"/>
        <v>281.5057363135665</v>
      </c>
      <c r="BX466" s="527">
        <f t="shared" si="648"/>
        <v>281.5057363135665</v>
      </c>
      <c r="BY466" s="527">
        <f t="shared" si="648"/>
        <v>281.5057363135665</v>
      </c>
    </row>
    <row r="467" spans="1:77" x14ac:dyDescent="0.3">
      <c r="A467" s="551"/>
      <c r="B467" s="548"/>
      <c r="C467" s="525"/>
      <c r="D467" s="525"/>
      <c r="E467" s="650" t="str">
        <f>"Volumes: "&amp;E$159</f>
        <v>Volumes: FY31 Tranche</v>
      </c>
      <c r="F467" s="525"/>
      <c r="G467" s="525"/>
      <c r="H467" s="525"/>
      <c r="I467" s="525"/>
      <c r="J467" s="525"/>
      <c r="K467" s="525"/>
      <c r="L467" s="525"/>
      <c r="M467" s="525"/>
      <c r="N467" s="525"/>
      <c r="O467" s="525"/>
      <c r="P467" s="565"/>
      <c r="Q467" s="525"/>
      <c r="R467" s="527">
        <f t="shared" ref="R467:AW467" si="649">R250/R$509</f>
        <v>244.77138400938051</v>
      </c>
      <c r="S467" s="527">
        <f t="shared" si="649"/>
        <v>244.77138400938051</v>
      </c>
      <c r="T467" s="527">
        <f t="shared" si="649"/>
        <v>244.77138400938051</v>
      </c>
      <c r="U467" s="527">
        <f t="shared" si="649"/>
        <v>244.77138400938051</v>
      </c>
      <c r="V467" s="527">
        <f t="shared" si="649"/>
        <v>244.77138400938051</v>
      </c>
      <c r="W467" s="527">
        <f t="shared" si="649"/>
        <v>244.77138400938051</v>
      </c>
      <c r="X467" s="527">
        <f t="shared" si="649"/>
        <v>244.77138400938051</v>
      </c>
      <c r="Y467" s="527">
        <f t="shared" si="649"/>
        <v>244.77138400938051</v>
      </c>
      <c r="Z467" s="527">
        <f t="shared" si="649"/>
        <v>244.77138400938051</v>
      </c>
      <c r="AA467" s="527">
        <f t="shared" si="649"/>
        <v>244.77138400938051</v>
      </c>
      <c r="AB467" s="527">
        <f t="shared" si="649"/>
        <v>244.77138400938051</v>
      </c>
      <c r="AC467" s="527">
        <f t="shared" si="649"/>
        <v>244.77138400938051</v>
      </c>
      <c r="AD467" s="527">
        <f t="shared" si="649"/>
        <v>244.77138400938048</v>
      </c>
      <c r="AE467" s="527">
        <f t="shared" si="649"/>
        <v>244.77138400938048</v>
      </c>
      <c r="AF467" s="527">
        <f t="shared" si="649"/>
        <v>244.77138400938048</v>
      </c>
      <c r="AG467" s="527">
        <f t="shared" si="649"/>
        <v>244.77138400938048</v>
      </c>
      <c r="AH467" s="527">
        <f t="shared" si="649"/>
        <v>244.77138400938048</v>
      </c>
      <c r="AI467" s="527">
        <f t="shared" si="649"/>
        <v>244.77138400938048</v>
      </c>
      <c r="AJ467" s="527">
        <f t="shared" si="649"/>
        <v>244.77138400938048</v>
      </c>
      <c r="AK467" s="527">
        <f t="shared" si="649"/>
        <v>244.77138400938048</v>
      </c>
      <c r="AL467" s="527">
        <f t="shared" si="649"/>
        <v>244.77138400938048</v>
      </c>
      <c r="AM467" s="527">
        <f t="shared" si="649"/>
        <v>244.77138400938048</v>
      </c>
      <c r="AN467" s="527">
        <f t="shared" si="649"/>
        <v>244.77138400938048</v>
      </c>
      <c r="AO467" s="527">
        <f t="shared" si="649"/>
        <v>244.77138400938048</v>
      </c>
      <c r="AP467" s="527">
        <f t="shared" si="649"/>
        <v>244.77138400938045</v>
      </c>
      <c r="AQ467" s="527">
        <f t="shared" si="649"/>
        <v>244.77138400938045</v>
      </c>
      <c r="AR467" s="527">
        <f t="shared" si="649"/>
        <v>244.77138400938045</v>
      </c>
      <c r="AS467" s="527">
        <f t="shared" si="649"/>
        <v>244.77138400938045</v>
      </c>
      <c r="AT467" s="527">
        <f t="shared" si="649"/>
        <v>244.77138400938045</v>
      </c>
      <c r="AU467" s="527">
        <f t="shared" si="649"/>
        <v>244.77138400938045</v>
      </c>
      <c r="AV467" s="527">
        <f t="shared" si="649"/>
        <v>244.77138400938045</v>
      </c>
      <c r="AW467" s="527">
        <f t="shared" si="649"/>
        <v>244.77138400938045</v>
      </c>
      <c r="AX467" s="527">
        <f t="shared" ref="AX467:BY467" si="650">AX250/AX$509</f>
        <v>244.77138400938045</v>
      </c>
      <c r="AY467" s="527">
        <f t="shared" si="650"/>
        <v>244.77138400938045</v>
      </c>
      <c r="AZ467" s="527">
        <f t="shared" si="650"/>
        <v>244.77138400938045</v>
      </c>
      <c r="BA467" s="527">
        <f t="shared" si="650"/>
        <v>244.77138400938045</v>
      </c>
      <c r="BB467" s="527">
        <f t="shared" si="650"/>
        <v>244.77138400938045</v>
      </c>
      <c r="BC467" s="527">
        <f t="shared" si="650"/>
        <v>244.77138400938045</v>
      </c>
      <c r="BD467" s="527">
        <f t="shared" si="650"/>
        <v>244.77138400938045</v>
      </c>
      <c r="BE467" s="527">
        <f t="shared" si="650"/>
        <v>244.77138400938045</v>
      </c>
      <c r="BF467" s="527">
        <f t="shared" si="650"/>
        <v>244.77138400938045</v>
      </c>
      <c r="BG467" s="527">
        <f t="shared" si="650"/>
        <v>244.77138400938045</v>
      </c>
      <c r="BH467" s="527">
        <f t="shared" si="650"/>
        <v>244.77138400938045</v>
      </c>
      <c r="BI467" s="527">
        <f t="shared" si="650"/>
        <v>244.77138400938045</v>
      </c>
      <c r="BJ467" s="527">
        <f t="shared" si="650"/>
        <v>244.77138400938045</v>
      </c>
      <c r="BK467" s="527">
        <f t="shared" si="650"/>
        <v>244.77138400938045</v>
      </c>
      <c r="BL467" s="527">
        <f t="shared" si="650"/>
        <v>244.77138400938045</v>
      </c>
      <c r="BM467" s="527">
        <f t="shared" si="650"/>
        <v>244.77138400938045</v>
      </c>
      <c r="BN467" s="527">
        <f t="shared" si="650"/>
        <v>244.77138400938048</v>
      </c>
      <c r="BO467" s="527">
        <f t="shared" si="650"/>
        <v>244.77138400938048</v>
      </c>
      <c r="BP467" s="527">
        <f t="shared" si="650"/>
        <v>244.77138400938048</v>
      </c>
      <c r="BQ467" s="527">
        <f t="shared" si="650"/>
        <v>244.77138400938048</v>
      </c>
      <c r="BR467" s="527">
        <f t="shared" si="650"/>
        <v>244.77138400938048</v>
      </c>
      <c r="BS467" s="527">
        <f t="shared" si="650"/>
        <v>244.77138400938048</v>
      </c>
      <c r="BT467" s="527">
        <f t="shared" si="650"/>
        <v>279.66788064825465</v>
      </c>
      <c r="BU467" s="527">
        <f t="shared" si="650"/>
        <v>279.66788064825465</v>
      </c>
      <c r="BV467" s="527">
        <f t="shared" si="650"/>
        <v>279.66788064825465</v>
      </c>
      <c r="BW467" s="527">
        <f t="shared" si="650"/>
        <v>279.66788064825465</v>
      </c>
      <c r="BX467" s="527">
        <f t="shared" si="650"/>
        <v>279.66788064825465</v>
      </c>
      <c r="BY467" s="527">
        <f t="shared" si="650"/>
        <v>279.66788064825465</v>
      </c>
    </row>
    <row r="468" spans="1:77" x14ac:dyDescent="0.3">
      <c r="A468" s="551"/>
      <c r="B468" s="548"/>
      <c r="C468" s="525"/>
      <c r="D468" s="525"/>
      <c r="E468" s="650" t="str">
        <f>"Volumes: "&amp;E$160</f>
        <v>Volumes: Uninvested Tranche</v>
      </c>
      <c r="F468" s="525"/>
      <c r="G468" s="525"/>
      <c r="H468" s="525"/>
      <c r="I468" s="525"/>
      <c r="J468" s="525"/>
      <c r="K468" s="525"/>
      <c r="L468" s="525"/>
      <c r="M468" s="525"/>
      <c r="N468" s="525"/>
      <c r="O468" s="525"/>
      <c r="P468" s="565"/>
      <c r="Q468" s="525"/>
      <c r="R468" s="527">
        <f t="shared" ref="R468:AW468" si="651">R251/R$509</f>
        <v>547.13603484449743</v>
      </c>
      <c r="S468" s="527">
        <f t="shared" si="651"/>
        <v>547.13603484449743</v>
      </c>
      <c r="T468" s="527">
        <f t="shared" si="651"/>
        <v>547.13603484449743</v>
      </c>
      <c r="U468" s="527">
        <f t="shared" si="651"/>
        <v>547.13603484449743</v>
      </c>
      <c r="V468" s="527">
        <f t="shared" si="651"/>
        <v>547.13603484449743</v>
      </c>
      <c r="W468" s="527">
        <f t="shared" si="651"/>
        <v>547.13603484449743</v>
      </c>
      <c r="X468" s="527">
        <f t="shared" si="651"/>
        <v>547.13603484449743</v>
      </c>
      <c r="Y468" s="527">
        <f t="shared" si="651"/>
        <v>547.13603484449743</v>
      </c>
      <c r="Z468" s="527">
        <f t="shared" si="651"/>
        <v>547.13603484449743</v>
      </c>
      <c r="AA468" s="527">
        <f t="shared" si="651"/>
        <v>547.13603484449743</v>
      </c>
      <c r="AB468" s="527">
        <f t="shared" si="651"/>
        <v>547.13603484449743</v>
      </c>
      <c r="AC468" s="527">
        <f t="shared" si="651"/>
        <v>547.13603484449743</v>
      </c>
      <c r="AD468" s="527">
        <f t="shared" si="651"/>
        <v>547.13603484449754</v>
      </c>
      <c r="AE468" s="527">
        <f t="shared" si="651"/>
        <v>547.13603484449754</v>
      </c>
      <c r="AF468" s="527">
        <f t="shared" si="651"/>
        <v>547.13603484449754</v>
      </c>
      <c r="AG468" s="527">
        <f t="shared" si="651"/>
        <v>547.13603484449754</v>
      </c>
      <c r="AH468" s="527">
        <f t="shared" si="651"/>
        <v>547.13603484449754</v>
      </c>
      <c r="AI468" s="527">
        <f t="shared" si="651"/>
        <v>547.13603484449754</v>
      </c>
      <c r="AJ468" s="527">
        <f t="shared" si="651"/>
        <v>547.13603484449754</v>
      </c>
      <c r="AK468" s="527">
        <f t="shared" si="651"/>
        <v>547.13603484449754</v>
      </c>
      <c r="AL468" s="527">
        <f t="shared" si="651"/>
        <v>547.13603484449754</v>
      </c>
      <c r="AM468" s="527">
        <f t="shared" si="651"/>
        <v>547.13603484449754</v>
      </c>
      <c r="AN468" s="527">
        <f t="shared" si="651"/>
        <v>547.13603484449754</v>
      </c>
      <c r="AO468" s="527">
        <f t="shared" si="651"/>
        <v>547.13603484449754</v>
      </c>
      <c r="AP468" s="527">
        <f t="shared" si="651"/>
        <v>547.13603484449754</v>
      </c>
      <c r="AQ468" s="527">
        <f t="shared" si="651"/>
        <v>547.13603484449754</v>
      </c>
      <c r="AR468" s="527">
        <f t="shared" si="651"/>
        <v>547.13603484449754</v>
      </c>
      <c r="AS468" s="527">
        <f t="shared" si="651"/>
        <v>547.13603484449754</v>
      </c>
      <c r="AT468" s="527">
        <f t="shared" si="651"/>
        <v>547.13603484449754</v>
      </c>
      <c r="AU468" s="527">
        <f t="shared" si="651"/>
        <v>547.13603484449754</v>
      </c>
      <c r="AV468" s="527">
        <f t="shared" si="651"/>
        <v>547.13603484449754</v>
      </c>
      <c r="AW468" s="527">
        <f t="shared" si="651"/>
        <v>547.13603484449754</v>
      </c>
      <c r="AX468" s="527">
        <f t="shared" ref="AX468:BY468" si="652">AX251/AX$509</f>
        <v>547.13603484449754</v>
      </c>
      <c r="AY468" s="527">
        <f t="shared" si="652"/>
        <v>547.13603484449754</v>
      </c>
      <c r="AZ468" s="527">
        <f t="shared" si="652"/>
        <v>547.13603484449754</v>
      </c>
      <c r="BA468" s="527">
        <f t="shared" si="652"/>
        <v>547.13603484449754</v>
      </c>
      <c r="BB468" s="527">
        <f t="shared" si="652"/>
        <v>547.13603484449743</v>
      </c>
      <c r="BC468" s="527">
        <f t="shared" si="652"/>
        <v>547.13603484449743</v>
      </c>
      <c r="BD468" s="527">
        <f t="shared" si="652"/>
        <v>547.13603484449743</v>
      </c>
      <c r="BE468" s="527">
        <f t="shared" si="652"/>
        <v>547.13603484449743</v>
      </c>
      <c r="BF468" s="527">
        <f t="shared" si="652"/>
        <v>547.13603484449743</v>
      </c>
      <c r="BG468" s="527">
        <f t="shared" si="652"/>
        <v>547.13603484449743</v>
      </c>
      <c r="BH468" s="527">
        <f t="shared" si="652"/>
        <v>547.13603484449743</v>
      </c>
      <c r="BI468" s="527">
        <f t="shared" si="652"/>
        <v>547.13603484449743</v>
      </c>
      <c r="BJ468" s="527">
        <f t="shared" si="652"/>
        <v>547.13603484449743</v>
      </c>
      <c r="BK468" s="527">
        <f t="shared" si="652"/>
        <v>547.13603484449743</v>
      </c>
      <c r="BL468" s="527">
        <f t="shared" si="652"/>
        <v>547.13603484449743</v>
      </c>
      <c r="BM468" s="527">
        <f t="shared" si="652"/>
        <v>547.13603484449743</v>
      </c>
      <c r="BN468" s="527">
        <f t="shared" si="652"/>
        <v>547.13603484449743</v>
      </c>
      <c r="BO468" s="527">
        <f t="shared" si="652"/>
        <v>547.13603484449743</v>
      </c>
      <c r="BP468" s="527">
        <f t="shared" si="652"/>
        <v>547.13603484449743</v>
      </c>
      <c r="BQ468" s="527">
        <f t="shared" si="652"/>
        <v>547.13603484449743</v>
      </c>
      <c r="BR468" s="527">
        <f t="shared" si="652"/>
        <v>547.13603484449743</v>
      </c>
      <c r="BS468" s="527">
        <f t="shared" si="652"/>
        <v>547.13603484449743</v>
      </c>
      <c r="BT468" s="527">
        <f t="shared" si="652"/>
        <v>547.13603484449743</v>
      </c>
      <c r="BU468" s="527">
        <f t="shared" si="652"/>
        <v>547.13603484449743</v>
      </c>
      <c r="BV468" s="527">
        <f t="shared" si="652"/>
        <v>547.13603484449743</v>
      </c>
      <c r="BW468" s="527">
        <f t="shared" si="652"/>
        <v>547.13603484449743</v>
      </c>
      <c r="BX468" s="527">
        <f t="shared" si="652"/>
        <v>547.13603484449743</v>
      </c>
      <c r="BY468" s="527">
        <f t="shared" si="652"/>
        <v>547.13603484449743</v>
      </c>
    </row>
    <row r="469" spans="1:77" x14ac:dyDescent="0.3">
      <c r="A469" s="551"/>
      <c r="B469" s="548"/>
      <c r="C469" s="525"/>
      <c r="D469" s="525"/>
      <c r="E469" s="572" t="s">
        <v>36</v>
      </c>
      <c r="F469" s="572"/>
      <c r="G469" s="572"/>
      <c r="H469" s="572"/>
      <c r="I469" s="572"/>
      <c r="J469" s="572"/>
      <c r="K469" s="572"/>
      <c r="L469" s="572"/>
      <c r="M469" s="572"/>
      <c r="N469" s="572"/>
      <c r="O469" s="572"/>
      <c r="P469" s="612"/>
      <c r="Q469" s="572"/>
      <c r="R469" s="530">
        <f t="shared" ref="R469:AW469" si="653">R252/R$509</f>
        <v>1770.9929548914001</v>
      </c>
      <c r="S469" s="530">
        <f t="shared" si="653"/>
        <v>1770.9929548914001</v>
      </c>
      <c r="T469" s="530">
        <f t="shared" si="653"/>
        <v>1770.9929548914001</v>
      </c>
      <c r="U469" s="530">
        <f t="shared" si="653"/>
        <v>1770.9929548914001</v>
      </c>
      <c r="V469" s="530">
        <f t="shared" si="653"/>
        <v>1770.9929548914001</v>
      </c>
      <c r="W469" s="530">
        <f t="shared" si="653"/>
        <v>1770.9929548914001</v>
      </c>
      <c r="X469" s="530">
        <f t="shared" si="653"/>
        <v>1809.5736325757821</v>
      </c>
      <c r="Y469" s="530">
        <f t="shared" si="653"/>
        <v>1809.5736325757821</v>
      </c>
      <c r="Z469" s="530">
        <f t="shared" si="653"/>
        <v>1809.5736325757821</v>
      </c>
      <c r="AA469" s="530">
        <f t="shared" si="653"/>
        <v>1809.5736325757821</v>
      </c>
      <c r="AB469" s="530">
        <f t="shared" si="653"/>
        <v>1809.5736325757821</v>
      </c>
      <c r="AC469" s="530">
        <f t="shared" si="653"/>
        <v>1809.5736325757821</v>
      </c>
      <c r="AD469" s="530">
        <f t="shared" si="653"/>
        <v>1799.0753610389834</v>
      </c>
      <c r="AE469" s="530">
        <f t="shared" si="653"/>
        <v>1799.0753610389834</v>
      </c>
      <c r="AF469" s="530">
        <f t="shared" si="653"/>
        <v>1799.0753610389834</v>
      </c>
      <c r="AG469" s="530">
        <f t="shared" si="653"/>
        <v>1799.0753610389834</v>
      </c>
      <c r="AH469" s="530">
        <f t="shared" si="653"/>
        <v>1799.0753610389834</v>
      </c>
      <c r="AI469" s="530">
        <f t="shared" si="653"/>
        <v>1799.0753610389834</v>
      </c>
      <c r="AJ469" s="530">
        <f t="shared" si="653"/>
        <v>1846.7261664063144</v>
      </c>
      <c r="AK469" s="530">
        <f t="shared" si="653"/>
        <v>1846.7261664063144</v>
      </c>
      <c r="AL469" s="530">
        <f t="shared" si="653"/>
        <v>1846.7261664063144</v>
      </c>
      <c r="AM469" s="530">
        <f t="shared" si="653"/>
        <v>1846.7261664063144</v>
      </c>
      <c r="AN469" s="530">
        <f t="shared" si="653"/>
        <v>1846.7261664063144</v>
      </c>
      <c r="AO469" s="530">
        <f t="shared" si="653"/>
        <v>1846.7261664063144</v>
      </c>
      <c r="AP469" s="530">
        <f t="shared" si="653"/>
        <v>1826.9081111943708</v>
      </c>
      <c r="AQ469" s="530">
        <f t="shared" si="653"/>
        <v>1826.9081111943708</v>
      </c>
      <c r="AR469" s="530">
        <f t="shared" si="653"/>
        <v>1826.9081111943708</v>
      </c>
      <c r="AS469" s="530">
        <f t="shared" si="653"/>
        <v>1826.9081111943708</v>
      </c>
      <c r="AT469" s="530">
        <f t="shared" si="653"/>
        <v>1826.9081111943708</v>
      </c>
      <c r="AU469" s="530">
        <f t="shared" si="653"/>
        <v>1826.9081111943708</v>
      </c>
      <c r="AV469" s="530">
        <f t="shared" si="653"/>
        <v>1883.5039714583609</v>
      </c>
      <c r="AW469" s="530">
        <f t="shared" si="653"/>
        <v>1883.5039714583609</v>
      </c>
      <c r="AX469" s="530">
        <f t="shared" ref="AX469:BY469" si="654">AX252/AX$509</f>
        <v>1883.5039714583609</v>
      </c>
      <c r="AY469" s="530">
        <f t="shared" si="654"/>
        <v>1883.5039714583609</v>
      </c>
      <c r="AZ469" s="530">
        <f t="shared" si="654"/>
        <v>1883.5039714583609</v>
      </c>
      <c r="BA469" s="530">
        <f t="shared" si="654"/>
        <v>1883.5039714583609</v>
      </c>
      <c r="BB469" s="530">
        <f t="shared" si="654"/>
        <v>1856.1043158684593</v>
      </c>
      <c r="BC469" s="530">
        <f t="shared" si="654"/>
        <v>1856.1043158684593</v>
      </c>
      <c r="BD469" s="530">
        <f t="shared" si="654"/>
        <v>1856.1043158684593</v>
      </c>
      <c r="BE469" s="530">
        <f t="shared" si="654"/>
        <v>1856.1043158684593</v>
      </c>
      <c r="BF469" s="530">
        <f t="shared" si="654"/>
        <v>1856.1043158684593</v>
      </c>
      <c r="BG469" s="530">
        <f t="shared" si="654"/>
        <v>1856.1043158684593</v>
      </c>
      <c r="BH469" s="530">
        <f t="shared" si="654"/>
        <v>1921.5764215211832</v>
      </c>
      <c r="BI469" s="530">
        <f t="shared" si="654"/>
        <v>1921.5764215211832</v>
      </c>
      <c r="BJ469" s="530">
        <f t="shared" si="654"/>
        <v>1921.5764215211832</v>
      </c>
      <c r="BK469" s="530">
        <f t="shared" si="654"/>
        <v>1921.5764215211832</v>
      </c>
      <c r="BL469" s="530">
        <f t="shared" si="654"/>
        <v>1921.5764215211832</v>
      </c>
      <c r="BM469" s="530">
        <f t="shared" si="654"/>
        <v>1921.5764215211832</v>
      </c>
      <c r="BN469" s="530">
        <f t="shared" si="654"/>
        <v>1886.0607103382972</v>
      </c>
      <c r="BO469" s="530">
        <f t="shared" si="654"/>
        <v>1886.0607103382972</v>
      </c>
      <c r="BP469" s="530">
        <f t="shared" si="654"/>
        <v>1886.0607103382972</v>
      </c>
      <c r="BQ469" s="530">
        <f t="shared" si="654"/>
        <v>1886.0607103382972</v>
      </c>
      <c r="BR469" s="530">
        <f t="shared" si="654"/>
        <v>1886.0607103382972</v>
      </c>
      <c r="BS469" s="530">
        <f t="shared" si="654"/>
        <v>1886.0607103382972</v>
      </c>
      <c r="BT469" s="530">
        <f t="shared" si="654"/>
        <v>1960.2463158320584</v>
      </c>
      <c r="BU469" s="530">
        <f t="shared" si="654"/>
        <v>1960.2463158320584</v>
      </c>
      <c r="BV469" s="530">
        <f t="shared" si="654"/>
        <v>1960.2463158320584</v>
      </c>
      <c r="BW469" s="530">
        <f t="shared" si="654"/>
        <v>1960.2463158320584</v>
      </c>
      <c r="BX469" s="530">
        <f t="shared" si="654"/>
        <v>1960.2463158320584</v>
      </c>
      <c r="BY469" s="530">
        <f t="shared" si="654"/>
        <v>1960.2463158320584</v>
      </c>
    </row>
    <row r="470" spans="1:77" x14ac:dyDescent="0.3">
      <c r="A470" s="551"/>
      <c r="B470" s="548"/>
      <c r="C470" s="525"/>
      <c r="D470" s="525"/>
      <c r="E470" s="525"/>
      <c r="F470" s="525"/>
      <c r="G470" s="525"/>
      <c r="H470" s="525"/>
      <c r="I470" s="525"/>
      <c r="J470" s="525"/>
      <c r="K470" s="525"/>
      <c r="L470" s="525"/>
      <c r="M470" s="525"/>
      <c r="N470" s="525"/>
      <c r="O470" s="525"/>
      <c r="P470" s="565"/>
      <c r="Q470" s="525"/>
      <c r="R470" s="525"/>
      <c r="S470" s="525"/>
      <c r="T470" s="525"/>
      <c r="U470" s="525"/>
      <c r="V470" s="525"/>
      <c r="W470" s="525"/>
      <c r="X470" s="525"/>
      <c r="Y470" s="525"/>
      <c r="Z470" s="525"/>
      <c r="AA470" s="525"/>
      <c r="AB470" s="525"/>
      <c r="AC470" s="525"/>
      <c r="AD470" s="525"/>
      <c r="AE470" s="525"/>
      <c r="AF470" s="525"/>
      <c r="AG470" s="525"/>
      <c r="AH470" s="525"/>
      <c r="AI470" s="525"/>
      <c r="AJ470" s="525"/>
      <c r="AK470" s="525"/>
      <c r="AL470" s="525"/>
      <c r="AM470" s="525"/>
      <c r="AN470" s="525"/>
      <c r="AO470" s="525"/>
      <c r="AP470" s="525"/>
      <c r="AQ470" s="525"/>
      <c r="AR470" s="525"/>
      <c r="AS470" s="525"/>
      <c r="AT470" s="525"/>
      <c r="AU470" s="525"/>
      <c r="AV470" s="525"/>
      <c r="AW470" s="525"/>
      <c r="AX470" s="525"/>
      <c r="AY470" s="525"/>
      <c r="AZ470" s="525"/>
      <c r="BA470" s="525"/>
      <c r="BB470" s="525"/>
      <c r="BC470" s="525"/>
      <c r="BD470" s="525"/>
      <c r="BE470" s="525"/>
      <c r="BF470" s="525"/>
      <c r="BG470" s="525"/>
      <c r="BH470" s="525"/>
      <c r="BI470" s="525"/>
      <c r="BJ470" s="525"/>
      <c r="BK470" s="525"/>
      <c r="BL470" s="525"/>
      <c r="BM470" s="525"/>
      <c r="BN470" s="525"/>
      <c r="BO470" s="525"/>
      <c r="BP470" s="525"/>
      <c r="BQ470" s="525"/>
      <c r="BR470" s="525"/>
      <c r="BS470" s="525"/>
      <c r="BT470" s="525"/>
      <c r="BU470" s="525"/>
      <c r="BV470" s="525"/>
      <c r="BW470" s="525"/>
      <c r="BX470" s="525"/>
      <c r="BY470" s="525"/>
    </row>
    <row r="471" spans="1:77" x14ac:dyDescent="0.3">
      <c r="A471" s="551"/>
      <c r="B471" s="548"/>
      <c r="C471" s="560" t="s">
        <v>37</v>
      </c>
      <c r="D471" s="561"/>
      <c r="E471" s="526" t="s">
        <v>112</v>
      </c>
      <c r="F471" s="526"/>
      <c r="G471" s="526"/>
      <c r="H471" s="526"/>
      <c r="I471" s="526"/>
      <c r="J471" s="526"/>
      <c r="K471" s="526"/>
      <c r="L471" s="526"/>
      <c r="M471" s="526"/>
      <c r="N471" s="526"/>
      <c r="O471" s="526"/>
      <c r="P471" s="560"/>
      <c r="Q471" s="526"/>
      <c r="R471" s="526"/>
      <c r="S471" s="526"/>
      <c r="T471" s="526"/>
      <c r="U471" s="526"/>
      <c r="V471" s="526"/>
      <c r="W471" s="526"/>
      <c r="X471" s="526"/>
      <c r="Y471" s="526"/>
      <c r="Z471" s="526"/>
      <c r="AA471" s="526"/>
      <c r="AB471" s="526"/>
      <c r="AC471" s="526"/>
      <c r="AD471" s="526"/>
      <c r="AE471" s="526"/>
      <c r="AF471" s="526"/>
      <c r="AG471" s="526"/>
      <c r="AH471" s="526"/>
      <c r="AI471" s="526"/>
      <c r="AJ471" s="526"/>
      <c r="AK471" s="526"/>
      <c r="AL471" s="526"/>
      <c r="AM471" s="526"/>
      <c r="AN471" s="526"/>
      <c r="AO471" s="526"/>
      <c r="AP471" s="526"/>
      <c r="AQ471" s="526"/>
      <c r="AR471" s="526"/>
      <c r="AS471" s="526"/>
      <c r="AT471" s="526"/>
      <c r="AU471" s="526"/>
      <c r="AV471" s="526"/>
      <c r="AW471" s="526"/>
      <c r="AX471" s="526"/>
      <c r="AY471" s="526"/>
      <c r="AZ471" s="526"/>
      <c r="BA471" s="526"/>
      <c r="BB471" s="526"/>
      <c r="BC471" s="526"/>
      <c r="BD471" s="526"/>
      <c r="BE471" s="526"/>
      <c r="BF471" s="526"/>
      <c r="BG471" s="526"/>
      <c r="BH471" s="526"/>
      <c r="BI471" s="526"/>
      <c r="BJ471" s="526"/>
      <c r="BK471" s="526"/>
      <c r="BL471" s="526"/>
      <c r="BM471" s="526"/>
      <c r="BN471" s="526"/>
      <c r="BO471" s="526"/>
      <c r="BP471" s="526"/>
      <c r="BQ471" s="526"/>
      <c r="BR471" s="526"/>
      <c r="BS471" s="526"/>
      <c r="BT471" s="526"/>
      <c r="BU471" s="526"/>
      <c r="BV471" s="526"/>
      <c r="BW471" s="526"/>
      <c r="BX471" s="526"/>
      <c r="BY471" s="526"/>
    </row>
    <row r="472" spans="1:77" x14ac:dyDescent="0.3">
      <c r="A472" s="551"/>
      <c r="B472" s="548"/>
      <c r="C472" s="525"/>
      <c r="D472" s="525"/>
      <c r="E472" s="525"/>
      <c r="F472" s="525"/>
      <c r="G472" s="525"/>
      <c r="H472" s="525"/>
      <c r="I472" s="525"/>
      <c r="J472" s="525"/>
      <c r="K472" s="525"/>
      <c r="L472" s="525"/>
      <c r="M472" s="525"/>
      <c r="N472" s="525"/>
      <c r="O472" s="525"/>
      <c r="P472" s="565"/>
      <c r="Q472" s="525"/>
      <c r="R472" s="525"/>
      <c r="S472" s="525"/>
      <c r="T472" s="525"/>
      <c r="U472" s="525"/>
      <c r="V472" s="525"/>
      <c r="W472" s="525"/>
      <c r="X472" s="525"/>
      <c r="Y472" s="525"/>
      <c r="Z472" s="525"/>
      <c r="AA472" s="525"/>
      <c r="AB472" s="525"/>
      <c r="AC472" s="525"/>
      <c r="AD472" s="525"/>
      <c r="AE472" s="525"/>
      <c r="AF472" s="525"/>
      <c r="AG472" s="525"/>
      <c r="AH472" s="525"/>
      <c r="AI472" s="525"/>
      <c r="AJ472" s="525"/>
      <c r="AK472" s="525"/>
      <c r="AL472" s="525"/>
      <c r="AM472" s="525"/>
      <c r="AN472" s="525"/>
      <c r="AO472" s="525"/>
      <c r="AP472" s="525"/>
      <c r="AQ472" s="525"/>
      <c r="AR472" s="525"/>
      <c r="AS472" s="525"/>
      <c r="AT472" s="525"/>
      <c r="AU472" s="525"/>
      <c r="AV472" s="525"/>
      <c r="AW472" s="525"/>
      <c r="AX472" s="525"/>
      <c r="AY472" s="525"/>
      <c r="AZ472" s="525"/>
      <c r="BA472" s="525"/>
      <c r="BB472" s="525"/>
      <c r="BC472" s="525"/>
      <c r="BD472" s="525"/>
      <c r="BE472" s="525"/>
      <c r="BF472" s="525"/>
      <c r="BG472" s="525"/>
      <c r="BH472" s="525"/>
      <c r="BI472" s="525"/>
      <c r="BJ472" s="525"/>
      <c r="BK472" s="525"/>
      <c r="BL472" s="525"/>
      <c r="BM472" s="525"/>
      <c r="BN472" s="525"/>
      <c r="BO472" s="525"/>
      <c r="BP472" s="525"/>
      <c r="BQ472" s="525"/>
      <c r="BR472" s="525"/>
      <c r="BS472" s="525"/>
      <c r="BT472" s="525"/>
      <c r="BU472" s="525"/>
      <c r="BV472" s="525"/>
      <c r="BW472" s="525"/>
      <c r="BX472" s="525"/>
      <c r="BY472" s="525"/>
    </row>
    <row r="473" spans="1:77" x14ac:dyDescent="0.3">
      <c r="A473" s="551"/>
      <c r="B473" s="548"/>
      <c r="C473" s="525"/>
      <c r="D473" s="525"/>
      <c r="E473" s="570" t="s">
        <v>113</v>
      </c>
      <c r="F473" s="525"/>
      <c r="G473" s="525"/>
      <c r="H473" s="525"/>
      <c r="I473" s="525"/>
      <c r="J473" s="525"/>
      <c r="K473" s="525"/>
      <c r="L473" s="525"/>
      <c r="M473" s="525"/>
      <c r="N473" s="525"/>
      <c r="O473" s="525"/>
      <c r="P473" s="565"/>
      <c r="Q473" s="525"/>
      <c r="R473" s="525"/>
      <c r="S473" s="525"/>
      <c r="T473" s="525"/>
      <c r="U473" s="525"/>
      <c r="V473" s="525"/>
      <c r="W473" s="525"/>
      <c r="X473" s="525"/>
      <c r="Y473" s="525"/>
      <c r="Z473" s="525"/>
      <c r="AA473" s="525"/>
      <c r="AB473" s="525"/>
      <c r="AC473" s="525"/>
      <c r="AD473" s="525"/>
      <c r="AE473" s="525"/>
      <c r="AF473" s="525"/>
      <c r="AG473" s="525"/>
      <c r="AH473" s="525"/>
      <c r="AI473" s="525"/>
      <c r="AJ473" s="525"/>
      <c r="AK473" s="525"/>
      <c r="AL473" s="525"/>
      <c r="AM473" s="525"/>
      <c r="AN473" s="525"/>
      <c r="AO473" s="525"/>
      <c r="AP473" s="525"/>
      <c r="AQ473" s="525"/>
      <c r="AR473" s="525"/>
      <c r="AS473" s="525"/>
      <c r="AT473" s="525"/>
      <c r="AU473" s="525"/>
      <c r="AV473" s="525"/>
      <c r="AW473" s="525"/>
      <c r="AX473" s="525"/>
      <c r="AY473" s="525"/>
      <c r="AZ473" s="525"/>
      <c r="BA473" s="525"/>
      <c r="BB473" s="525"/>
      <c r="BC473" s="525"/>
      <c r="BD473" s="525"/>
      <c r="BE473" s="525"/>
      <c r="BF473" s="525"/>
      <c r="BG473" s="525"/>
      <c r="BH473" s="525"/>
      <c r="BI473" s="525"/>
      <c r="BJ473" s="525"/>
      <c r="BK473" s="525"/>
      <c r="BL473" s="525"/>
      <c r="BM473" s="525"/>
      <c r="BN473" s="525"/>
      <c r="BO473" s="525"/>
      <c r="BP473" s="525"/>
      <c r="BQ473" s="525"/>
      <c r="BR473" s="525"/>
      <c r="BS473" s="525"/>
      <c r="BT473" s="525"/>
      <c r="BU473" s="525"/>
      <c r="BV473" s="525"/>
      <c r="BW473" s="525"/>
      <c r="BX473" s="525"/>
      <c r="BY473" s="525"/>
    </row>
    <row r="474" spans="1:77" x14ac:dyDescent="0.3">
      <c r="A474" s="551"/>
      <c r="B474" s="548"/>
      <c r="C474" s="525"/>
      <c r="D474" s="525"/>
      <c r="E474" s="651" t="str">
        <f>"Flag - capex period: "&amp;E$155</f>
        <v>Flag - capex period: FY27 Tranche</v>
      </c>
      <c r="F474" s="525"/>
      <c r="G474" s="525"/>
      <c r="H474" s="525"/>
      <c r="I474" s="525"/>
      <c r="J474" s="525"/>
      <c r="K474" s="525"/>
      <c r="L474" s="525"/>
      <c r="M474" s="525"/>
      <c r="N474" s="525"/>
      <c r="O474" s="525"/>
      <c r="P474" s="565"/>
      <c r="Q474" s="525"/>
      <c r="R474" s="542">
        <f>IF(AND(R$4&gt;$T155,R$4&lt;=$V155),1,0)*'Detailed Assumptions'!$E$6</f>
        <v>0</v>
      </c>
      <c r="S474" s="542">
        <f>IF(AND(S$4&gt;$T155,S$4&lt;=$V155),1,0)*'Detailed Assumptions'!$E$6</f>
        <v>0</v>
      </c>
      <c r="T474" s="542">
        <f>IF(AND(T$4&gt;$T155,T$4&lt;=$V155),1,0)*'Detailed Assumptions'!$E$6</f>
        <v>0</v>
      </c>
      <c r="U474" s="542">
        <f>IF(AND(U$4&gt;$T155,U$4&lt;=$V155),1,0)*'Detailed Assumptions'!$E$6</f>
        <v>0</v>
      </c>
      <c r="V474" s="542">
        <f>IF(AND(V$4&gt;$T155,V$4&lt;=$V155),1,0)*'Detailed Assumptions'!$E$6</f>
        <v>0</v>
      </c>
      <c r="W474" s="542">
        <f>IF(AND(W$4&gt;$T155,W$4&lt;=$V155),1,0)*'Detailed Assumptions'!$E$6</f>
        <v>1</v>
      </c>
      <c r="X474" s="542">
        <f>IF(AND(X$4&gt;$T155,X$4&lt;=$V155),1,0)*'Detailed Assumptions'!$E$6</f>
        <v>0</v>
      </c>
      <c r="Y474" s="542">
        <f>IF(AND(Y$4&gt;$T155,Y$4&lt;=$V155),1,0)*'Detailed Assumptions'!$E$6</f>
        <v>0</v>
      </c>
      <c r="Z474" s="542">
        <f>IF(AND(Z$4&gt;$T155,Z$4&lt;=$V155),1,0)*'Detailed Assumptions'!$E$6</f>
        <v>0</v>
      </c>
      <c r="AA474" s="542">
        <f>IF(AND(AA$4&gt;$T155,AA$4&lt;=$V155),1,0)*'Detailed Assumptions'!$E$6</f>
        <v>0</v>
      </c>
      <c r="AB474" s="542">
        <f>IF(AND(AB$4&gt;$T155,AB$4&lt;=$V155),1,0)*'Detailed Assumptions'!$E$6</f>
        <v>0</v>
      </c>
      <c r="AC474" s="542">
        <f>IF(AND(AC$4&gt;$T155,AC$4&lt;=$V155),1,0)*'Detailed Assumptions'!$E$6</f>
        <v>0</v>
      </c>
      <c r="AD474" s="542">
        <f>IF(AND(AD$4&gt;$T155,AD$4&lt;=$V155),1,0)*'Detailed Assumptions'!$E$6</f>
        <v>0</v>
      </c>
      <c r="AE474" s="542">
        <f>IF(AND(AE$4&gt;$T155,AE$4&lt;=$V155),1,0)*'Detailed Assumptions'!$E$6</f>
        <v>0</v>
      </c>
      <c r="AF474" s="542">
        <f>IF(AND(AF$4&gt;$T155,AF$4&lt;=$V155),1,0)*'Detailed Assumptions'!$E$6</f>
        <v>0</v>
      </c>
      <c r="AG474" s="542">
        <f>IF(AND(AG$4&gt;$T155,AG$4&lt;=$V155),1,0)*'Detailed Assumptions'!$E$6</f>
        <v>0</v>
      </c>
      <c r="AH474" s="542">
        <f>IF(AND(AH$4&gt;$T155,AH$4&lt;=$V155),1,0)*'Detailed Assumptions'!$E$6</f>
        <v>0</v>
      </c>
      <c r="AI474" s="542">
        <f>IF(AND(AI$4&gt;$T155,AI$4&lt;=$V155),1,0)*'Detailed Assumptions'!$E$6</f>
        <v>0</v>
      </c>
      <c r="AJ474" s="542">
        <f>IF(AND(AJ$4&gt;$T155,AJ$4&lt;=$V155),1,0)*'Detailed Assumptions'!$E$6</f>
        <v>0</v>
      </c>
      <c r="AK474" s="542">
        <f>IF(AND(AK$4&gt;$T155,AK$4&lt;=$V155),1,0)*'Detailed Assumptions'!$E$6</f>
        <v>0</v>
      </c>
      <c r="AL474" s="542">
        <f>IF(AND(AL$4&gt;$T155,AL$4&lt;=$V155),1,0)*'Detailed Assumptions'!$E$6</f>
        <v>0</v>
      </c>
      <c r="AM474" s="542">
        <f>IF(AND(AM$4&gt;$T155,AM$4&lt;=$V155),1,0)*'Detailed Assumptions'!$E$6</f>
        <v>0</v>
      </c>
      <c r="AN474" s="542">
        <f>IF(AND(AN$4&gt;$T155,AN$4&lt;=$V155),1,0)*'Detailed Assumptions'!$E$6</f>
        <v>0</v>
      </c>
      <c r="AO474" s="542">
        <f>IF(AND(AO$4&gt;$T155,AO$4&lt;=$V155),1,0)*'Detailed Assumptions'!$E$6</f>
        <v>0</v>
      </c>
      <c r="AP474" s="542">
        <f>IF(AND(AP$4&gt;$T155,AP$4&lt;=$V155),1,0)*'Detailed Assumptions'!$E$6</f>
        <v>0</v>
      </c>
      <c r="AQ474" s="542">
        <f>IF(AND(AQ$4&gt;$T155,AQ$4&lt;=$V155),1,0)*'Detailed Assumptions'!$E$6</f>
        <v>0</v>
      </c>
      <c r="AR474" s="542">
        <f>IF(AND(AR$4&gt;$T155,AR$4&lt;=$V155),1,0)*'Detailed Assumptions'!$E$6</f>
        <v>0</v>
      </c>
      <c r="AS474" s="542">
        <f>IF(AND(AS$4&gt;$T155,AS$4&lt;=$V155),1,0)*'Detailed Assumptions'!$E$6</f>
        <v>0</v>
      </c>
      <c r="AT474" s="542">
        <f>IF(AND(AT$4&gt;$T155,AT$4&lt;=$V155),1,0)*'Detailed Assumptions'!$E$6</f>
        <v>0</v>
      </c>
      <c r="AU474" s="542">
        <f>IF(AND(AU$4&gt;$T155,AU$4&lt;=$V155),1,0)*'Detailed Assumptions'!$E$6</f>
        <v>0</v>
      </c>
      <c r="AV474" s="542">
        <f>IF(AND(AV$4&gt;$T155,AV$4&lt;=$V155),1,0)*'Detailed Assumptions'!$E$6</f>
        <v>0</v>
      </c>
      <c r="AW474" s="542">
        <f>IF(AND(AW$4&gt;$T155,AW$4&lt;=$V155),1,0)*'Detailed Assumptions'!$E$6</f>
        <v>0</v>
      </c>
      <c r="AX474" s="542">
        <f>IF(AND(AX$4&gt;$T155,AX$4&lt;=$V155),1,0)*'Detailed Assumptions'!$E$6</f>
        <v>0</v>
      </c>
      <c r="AY474" s="542">
        <f>IF(AND(AY$4&gt;$T155,AY$4&lt;=$V155),1,0)*'Detailed Assumptions'!$E$6</f>
        <v>0</v>
      </c>
      <c r="AZ474" s="542">
        <f>IF(AND(AZ$4&gt;$T155,AZ$4&lt;=$V155),1,0)*'Detailed Assumptions'!$E$6</f>
        <v>0</v>
      </c>
      <c r="BA474" s="542">
        <f>IF(AND(BA$4&gt;$T155,BA$4&lt;=$V155),1,0)*'Detailed Assumptions'!$E$6</f>
        <v>0</v>
      </c>
      <c r="BB474" s="542">
        <f>IF(AND(BB$4&gt;$T155,BB$4&lt;=$V155),1,0)*'Detailed Assumptions'!$E$6</f>
        <v>0</v>
      </c>
      <c r="BC474" s="542">
        <f>IF(AND(BC$4&gt;$T155,BC$4&lt;=$V155),1,0)*'Detailed Assumptions'!$E$6</f>
        <v>0</v>
      </c>
      <c r="BD474" s="542">
        <f>IF(AND(BD$4&gt;$T155,BD$4&lt;=$V155),1,0)*'Detailed Assumptions'!$E$6</f>
        <v>0</v>
      </c>
      <c r="BE474" s="542">
        <f>IF(AND(BE$4&gt;$T155,BE$4&lt;=$V155),1,0)*'Detailed Assumptions'!$E$6</f>
        <v>0</v>
      </c>
      <c r="BF474" s="542">
        <f>IF(AND(BF$4&gt;$T155,BF$4&lt;=$V155),1,0)*'Detailed Assumptions'!$E$6</f>
        <v>0</v>
      </c>
      <c r="BG474" s="542">
        <f>IF(AND(BG$4&gt;$T155,BG$4&lt;=$V155),1,0)*'Detailed Assumptions'!$E$6</f>
        <v>0</v>
      </c>
      <c r="BH474" s="542">
        <f>IF(AND(BH$4&gt;$T155,BH$4&lt;=$V155),1,0)*'Detailed Assumptions'!$E$6</f>
        <v>0</v>
      </c>
      <c r="BI474" s="542">
        <f>IF(AND(BI$4&gt;$T155,BI$4&lt;=$V155),1,0)*'Detailed Assumptions'!$E$6</f>
        <v>0</v>
      </c>
      <c r="BJ474" s="542">
        <f>IF(AND(BJ$4&gt;$T155,BJ$4&lt;=$V155),1,0)*'Detailed Assumptions'!$E$6</f>
        <v>0</v>
      </c>
      <c r="BK474" s="542">
        <f>IF(AND(BK$4&gt;$T155,BK$4&lt;=$V155),1,0)*'Detailed Assumptions'!$E$6</f>
        <v>0</v>
      </c>
      <c r="BL474" s="542">
        <f>IF(AND(BL$4&gt;$T155,BL$4&lt;=$V155),1,0)*'Detailed Assumptions'!$E$6</f>
        <v>0</v>
      </c>
      <c r="BM474" s="542">
        <f>IF(AND(BM$4&gt;$T155,BM$4&lt;=$V155),1,0)*'Detailed Assumptions'!$E$6</f>
        <v>0</v>
      </c>
      <c r="BN474" s="542">
        <f>IF(AND(BN$4&gt;$T155,BN$4&lt;=$V155),1,0)*'Detailed Assumptions'!$E$6</f>
        <v>0</v>
      </c>
      <c r="BO474" s="542">
        <f>IF(AND(BO$4&gt;$T155,BO$4&lt;=$V155),1,0)*'Detailed Assumptions'!$E$6</f>
        <v>0</v>
      </c>
      <c r="BP474" s="542">
        <f>IF(AND(BP$4&gt;$T155,BP$4&lt;=$V155),1,0)*'Detailed Assumptions'!$E$6</f>
        <v>0</v>
      </c>
      <c r="BQ474" s="542">
        <f>IF(AND(BQ$4&gt;$T155,BQ$4&lt;=$V155),1,0)*'Detailed Assumptions'!$E$6</f>
        <v>0</v>
      </c>
      <c r="BR474" s="542">
        <f>IF(AND(BR$4&gt;$T155,BR$4&lt;=$V155),1,0)*'Detailed Assumptions'!$E$6</f>
        <v>0</v>
      </c>
      <c r="BS474" s="542">
        <f>IF(AND(BS$4&gt;$T155,BS$4&lt;=$V155),1,0)*'Detailed Assumptions'!$E$6</f>
        <v>0</v>
      </c>
      <c r="BT474" s="542">
        <f>IF(AND(BT$4&gt;$T155,BT$4&lt;=$V155),1,0)*'Detailed Assumptions'!$E$6</f>
        <v>0</v>
      </c>
      <c r="BU474" s="542">
        <f>IF(AND(BU$4&gt;$T155,BU$4&lt;=$V155),1,0)*'Detailed Assumptions'!$E$6</f>
        <v>0</v>
      </c>
      <c r="BV474" s="542">
        <f>IF(AND(BV$4&gt;$T155,BV$4&lt;=$V155),1,0)*'Detailed Assumptions'!$E$6</f>
        <v>0</v>
      </c>
      <c r="BW474" s="542">
        <f>IF(AND(BW$4&gt;$T155,BW$4&lt;=$V155),1,0)*'Detailed Assumptions'!$E$6</f>
        <v>0</v>
      </c>
      <c r="BX474" s="542">
        <f>IF(AND(BX$4&gt;$T155,BX$4&lt;=$V155),1,0)*'Detailed Assumptions'!$E$6</f>
        <v>0</v>
      </c>
      <c r="BY474" s="542">
        <f>IF(AND(BY$4&gt;$T155,BY$4&lt;=$V155),1,0)*'Detailed Assumptions'!$E$6</f>
        <v>0</v>
      </c>
    </row>
    <row r="475" spans="1:77" x14ac:dyDescent="0.3">
      <c r="A475" s="551"/>
      <c r="B475" s="548"/>
      <c r="C475" s="525"/>
      <c r="D475" s="525"/>
      <c r="E475" s="651" t="str">
        <f>"Flag - capex period: "&amp;E$156</f>
        <v>Flag - capex period: FY28 Tranche</v>
      </c>
      <c r="F475" s="525"/>
      <c r="G475" s="525"/>
      <c r="H475" s="525"/>
      <c r="I475" s="525"/>
      <c r="J475" s="525"/>
      <c r="K475" s="525"/>
      <c r="L475" s="525"/>
      <c r="M475" s="525"/>
      <c r="N475" s="525"/>
      <c r="O475" s="525"/>
      <c r="P475" s="565"/>
      <c r="Q475" s="525"/>
      <c r="R475" s="542">
        <f>IF(AND(R$4&gt;$T156,R$4&lt;=$V156),1,0)*'Detailed Assumptions'!$E$6</f>
        <v>0</v>
      </c>
      <c r="S475" s="542">
        <f>IF(AND(S$4&gt;$T156,S$4&lt;=$V156),1,0)*'Detailed Assumptions'!$E$6</f>
        <v>0</v>
      </c>
      <c r="T475" s="542">
        <f>IF(AND(T$4&gt;$T156,T$4&lt;=$V156),1,0)*'Detailed Assumptions'!$E$6</f>
        <v>0</v>
      </c>
      <c r="U475" s="542">
        <f>IF(AND(U$4&gt;$T156,U$4&lt;=$V156),1,0)*'Detailed Assumptions'!$E$6</f>
        <v>0</v>
      </c>
      <c r="V475" s="542">
        <f>IF(AND(V$4&gt;$T156,V$4&lt;=$V156),1,0)*'Detailed Assumptions'!$E$6</f>
        <v>0</v>
      </c>
      <c r="W475" s="542">
        <f>IF(AND(W$4&gt;$T156,W$4&lt;=$V156),1,0)*'Detailed Assumptions'!$E$6</f>
        <v>0</v>
      </c>
      <c r="X475" s="542">
        <f>IF(AND(X$4&gt;$T156,X$4&lt;=$V156),1,0)*'Detailed Assumptions'!$E$6</f>
        <v>0</v>
      </c>
      <c r="Y475" s="542">
        <f>IF(AND(Y$4&gt;$T156,Y$4&lt;=$V156),1,0)*'Detailed Assumptions'!$E$6</f>
        <v>0</v>
      </c>
      <c r="Z475" s="542">
        <f>IF(AND(Z$4&gt;$T156,Z$4&lt;=$V156),1,0)*'Detailed Assumptions'!$E$6</f>
        <v>0</v>
      </c>
      <c r="AA475" s="542">
        <f>IF(AND(AA$4&gt;$T156,AA$4&lt;=$V156),1,0)*'Detailed Assumptions'!$E$6</f>
        <v>0</v>
      </c>
      <c r="AB475" s="542">
        <f>IF(AND(AB$4&gt;$T156,AB$4&lt;=$V156),1,0)*'Detailed Assumptions'!$E$6</f>
        <v>0</v>
      </c>
      <c r="AC475" s="542">
        <f>IF(AND(AC$4&gt;$T156,AC$4&lt;=$V156),1,0)*'Detailed Assumptions'!$E$6</f>
        <v>0</v>
      </c>
      <c r="AD475" s="542">
        <f>IF(AND(AD$4&gt;$T156,AD$4&lt;=$V156),1,0)*'Detailed Assumptions'!$E$6</f>
        <v>0</v>
      </c>
      <c r="AE475" s="542">
        <f>IF(AND(AE$4&gt;$T156,AE$4&lt;=$V156),1,0)*'Detailed Assumptions'!$E$6</f>
        <v>0</v>
      </c>
      <c r="AF475" s="542">
        <f>IF(AND(AF$4&gt;$T156,AF$4&lt;=$V156),1,0)*'Detailed Assumptions'!$E$6</f>
        <v>0</v>
      </c>
      <c r="AG475" s="542">
        <f>IF(AND(AG$4&gt;$T156,AG$4&lt;=$V156),1,0)*'Detailed Assumptions'!$E$6</f>
        <v>0</v>
      </c>
      <c r="AH475" s="542">
        <f>IF(AND(AH$4&gt;$T156,AH$4&lt;=$V156),1,0)*'Detailed Assumptions'!$E$6</f>
        <v>0</v>
      </c>
      <c r="AI475" s="542">
        <f>IF(AND(AI$4&gt;$T156,AI$4&lt;=$V156),1,0)*'Detailed Assumptions'!$E$6</f>
        <v>1</v>
      </c>
      <c r="AJ475" s="542">
        <f>IF(AND(AJ$4&gt;$T156,AJ$4&lt;=$V156),1,0)*'Detailed Assumptions'!$E$6</f>
        <v>0</v>
      </c>
      <c r="AK475" s="542">
        <f>IF(AND(AK$4&gt;$T156,AK$4&lt;=$V156),1,0)*'Detailed Assumptions'!$E$6</f>
        <v>0</v>
      </c>
      <c r="AL475" s="542">
        <f>IF(AND(AL$4&gt;$T156,AL$4&lt;=$V156),1,0)*'Detailed Assumptions'!$E$6</f>
        <v>0</v>
      </c>
      <c r="AM475" s="542">
        <f>IF(AND(AM$4&gt;$T156,AM$4&lt;=$V156),1,0)*'Detailed Assumptions'!$E$6</f>
        <v>0</v>
      </c>
      <c r="AN475" s="542">
        <f>IF(AND(AN$4&gt;$T156,AN$4&lt;=$V156),1,0)*'Detailed Assumptions'!$E$6</f>
        <v>0</v>
      </c>
      <c r="AO475" s="542">
        <f>IF(AND(AO$4&gt;$T156,AO$4&lt;=$V156),1,0)*'Detailed Assumptions'!$E$6</f>
        <v>0</v>
      </c>
      <c r="AP475" s="542">
        <f>IF(AND(AP$4&gt;$T156,AP$4&lt;=$V156),1,0)*'Detailed Assumptions'!$E$6</f>
        <v>0</v>
      </c>
      <c r="AQ475" s="542">
        <f>IF(AND(AQ$4&gt;$T156,AQ$4&lt;=$V156),1,0)*'Detailed Assumptions'!$E$6</f>
        <v>0</v>
      </c>
      <c r="AR475" s="542">
        <f>IF(AND(AR$4&gt;$T156,AR$4&lt;=$V156),1,0)*'Detailed Assumptions'!$E$6</f>
        <v>0</v>
      </c>
      <c r="AS475" s="542">
        <f>IF(AND(AS$4&gt;$T156,AS$4&lt;=$V156),1,0)*'Detailed Assumptions'!$E$6</f>
        <v>0</v>
      </c>
      <c r="AT475" s="542">
        <f>IF(AND(AT$4&gt;$T156,AT$4&lt;=$V156),1,0)*'Detailed Assumptions'!$E$6</f>
        <v>0</v>
      </c>
      <c r="AU475" s="542">
        <f>IF(AND(AU$4&gt;$T156,AU$4&lt;=$V156),1,0)*'Detailed Assumptions'!$E$6</f>
        <v>0</v>
      </c>
      <c r="AV475" s="542">
        <f>IF(AND(AV$4&gt;$T156,AV$4&lt;=$V156),1,0)*'Detailed Assumptions'!$E$6</f>
        <v>0</v>
      </c>
      <c r="AW475" s="542">
        <f>IF(AND(AW$4&gt;$T156,AW$4&lt;=$V156),1,0)*'Detailed Assumptions'!$E$6</f>
        <v>0</v>
      </c>
      <c r="AX475" s="542">
        <f>IF(AND(AX$4&gt;$T156,AX$4&lt;=$V156),1,0)*'Detailed Assumptions'!$E$6</f>
        <v>0</v>
      </c>
      <c r="AY475" s="542">
        <f>IF(AND(AY$4&gt;$T156,AY$4&lt;=$V156),1,0)*'Detailed Assumptions'!$E$6</f>
        <v>0</v>
      </c>
      <c r="AZ475" s="542">
        <f>IF(AND(AZ$4&gt;$T156,AZ$4&lt;=$V156),1,0)*'Detailed Assumptions'!$E$6</f>
        <v>0</v>
      </c>
      <c r="BA475" s="542">
        <f>IF(AND(BA$4&gt;$T156,BA$4&lt;=$V156),1,0)*'Detailed Assumptions'!$E$6</f>
        <v>0</v>
      </c>
      <c r="BB475" s="542">
        <f>IF(AND(BB$4&gt;$T156,BB$4&lt;=$V156),1,0)*'Detailed Assumptions'!$E$6</f>
        <v>0</v>
      </c>
      <c r="BC475" s="542">
        <f>IF(AND(BC$4&gt;$T156,BC$4&lt;=$V156),1,0)*'Detailed Assumptions'!$E$6</f>
        <v>0</v>
      </c>
      <c r="BD475" s="542">
        <f>IF(AND(BD$4&gt;$T156,BD$4&lt;=$V156),1,0)*'Detailed Assumptions'!$E$6</f>
        <v>0</v>
      </c>
      <c r="BE475" s="542">
        <f>IF(AND(BE$4&gt;$T156,BE$4&lt;=$V156),1,0)*'Detailed Assumptions'!$E$6</f>
        <v>0</v>
      </c>
      <c r="BF475" s="542">
        <f>IF(AND(BF$4&gt;$T156,BF$4&lt;=$V156),1,0)*'Detailed Assumptions'!$E$6</f>
        <v>0</v>
      </c>
      <c r="BG475" s="542">
        <f>IF(AND(BG$4&gt;$T156,BG$4&lt;=$V156),1,0)*'Detailed Assumptions'!$E$6</f>
        <v>0</v>
      </c>
      <c r="BH475" s="542">
        <f>IF(AND(BH$4&gt;$T156,BH$4&lt;=$V156),1,0)*'Detailed Assumptions'!$E$6</f>
        <v>0</v>
      </c>
      <c r="BI475" s="542">
        <f>IF(AND(BI$4&gt;$T156,BI$4&lt;=$V156),1,0)*'Detailed Assumptions'!$E$6</f>
        <v>0</v>
      </c>
      <c r="BJ475" s="542">
        <f>IF(AND(BJ$4&gt;$T156,BJ$4&lt;=$V156),1,0)*'Detailed Assumptions'!$E$6</f>
        <v>0</v>
      </c>
      <c r="BK475" s="542">
        <f>IF(AND(BK$4&gt;$T156,BK$4&lt;=$V156),1,0)*'Detailed Assumptions'!$E$6</f>
        <v>0</v>
      </c>
      <c r="BL475" s="542">
        <f>IF(AND(BL$4&gt;$T156,BL$4&lt;=$V156),1,0)*'Detailed Assumptions'!$E$6</f>
        <v>0</v>
      </c>
      <c r="BM475" s="542">
        <f>IF(AND(BM$4&gt;$T156,BM$4&lt;=$V156),1,0)*'Detailed Assumptions'!$E$6</f>
        <v>0</v>
      </c>
      <c r="BN475" s="542">
        <f>IF(AND(BN$4&gt;$T156,BN$4&lt;=$V156),1,0)*'Detailed Assumptions'!$E$6</f>
        <v>0</v>
      </c>
      <c r="BO475" s="542">
        <f>IF(AND(BO$4&gt;$T156,BO$4&lt;=$V156),1,0)*'Detailed Assumptions'!$E$6</f>
        <v>0</v>
      </c>
      <c r="BP475" s="542">
        <f>IF(AND(BP$4&gt;$T156,BP$4&lt;=$V156),1,0)*'Detailed Assumptions'!$E$6</f>
        <v>0</v>
      </c>
      <c r="BQ475" s="542">
        <f>IF(AND(BQ$4&gt;$T156,BQ$4&lt;=$V156),1,0)*'Detailed Assumptions'!$E$6</f>
        <v>0</v>
      </c>
      <c r="BR475" s="542">
        <f>IF(AND(BR$4&gt;$T156,BR$4&lt;=$V156),1,0)*'Detailed Assumptions'!$E$6</f>
        <v>0</v>
      </c>
      <c r="BS475" s="542">
        <f>IF(AND(BS$4&gt;$T156,BS$4&lt;=$V156),1,0)*'Detailed Assumptions'!$E$6</f>
        <v>0</v>
      </c>
      <c r="BT475" s="542">
        <f>IF(AND(BT$4&gt;$T156,BT$4&lt;=$V156),1,0)*'Detailed Assumptions'!$E$6</f>
        <v>0</v>
      </c>
      <c r="BU475" s="542">
        <f>IF(AND(BU$4&gt;$T156,BU$4&lt;=$V156),1,0)*'Detailed Assumptions'!$E$6</f>
        <v>0</v>
      </c>
      <c r="BV475" s="542">
        <f>IF(AND(BV$4&gt;$T156,BV$4&lt;=$V156),1,0)*'Detailed Assumptions'!$E$6</f>
        <v>0</v>
      </c>
      <c r="BW475" s="542">
        <f>IF(AND(BW$4&gt;$T156,BW$4&lt;=$V156),1,0)*'Detailed Assumptions'!$E$6</f>
        <v>0</v>
      </c>
      <c r="BX475" s="542">
        <f>IF(AND(BX$4&gt;$T156,BX$4&lt;=$V156),1,0)*'Detailed Assumptions'!$E$6</f>
        <v>0</v>
      </c>
      <c r="BY475" s="542">
        <f>IF(AND(BY$4&gt;$T156,BY$4&lt;=$V156),1,0)*'Detailed Assumptions'!$E$6</f>
        <v>0</v>
      </c>
    </row>
    <row r="476" spans="1:77" x14ac:dyDescent="0.3">
      <c r="A476" s="551"/>
      <c r="B476" s="548"/>
      <c r="C476" s="525"/>
      <c r="D476" s="525"/>
      <c r="E476" s="651" t="str">
        <f>"Flag - capex period: "&amp;E$157</f>
        <v>Flag - capex period: FY29 Tranche</v>
      </c>
      <c r="F476" s="525"/>
      <c r="G476" s="525"/>
      <c r="H476" s="525"/>
      <c r="I476" s="525"/>
      <c r="J476" s="525"/>
      <c r="K476" s="525"/>
      <c r="L476" s="525"/>
      <c r="M476" s="525"/>
      <c r="N476" s="525"/>
      <c r="O476" s="525"/>
      <c r="P476" s="565"/>
      <c r="Q476" s="525"/>
      <c r="R476" s="542">
        <f>IF(AND(R$4&gt;$T157,R$4&lt;=$V157),1,0)*'Detailed Assumptions'!$E$6</f>
        <v>0</v>
      </c>
      <c r="S476" s="542">
        <f>IF(AND(S$4&gt;$T157,S$4&lt;=$V157),1,0)*'Detailed Assumptions'!$E$6</f>
        <v>0</v>
      </c>
      <c r="T476" s="542">
        <f>IF(AND(T$4&gt;$T157,T$4&lt;=$V157),1,0)*'Detailed Assumptions'!$E$6</f>
        <v>0</v>
      </c>
      <c r="U476" s="542">
        <f>IF(AND(U$4&gt;$T157,U$4&lt;=$V157),1,0)*'Detailed Assumptions'!$E$6</f>
        <v>0</v>
      </c>
      <c r="V476" s="542">
        <f>IF(AND(V$4&gt;$T157,V$4&lt;=$V157),1,0)*'Detailed Assumptions'!$E$6</f>
        <v>0</v>
      </c>
      <c r="W476" s="542">
        <f>IF(AND(W$4&gt;$T157,W$4&lt;=$V157),1,0)*'Detailed Assumptions'!$E$6</f>
        <v>0</v>
      </c>
      <c r="X476" s="542">
        <f>IF(AND(X$4&gt;$T157,X$4&lt;=$V157),1,0)*'Detailed Assumptions'!$E$6</f>
        <v>0</v>
      </c>
      <c r="Y476" s="542">
        <f>IF(AND(Y$4&gt;$T157,Y$4&lt;=$V157),1,0)*'Detailed Assumptions'!$E$6</f>
        <v>0</v>
      </c>
      <c r="Z476" s="542">
        <f>IF(AND(Z$4&gt;$T157,Z$4&lt;=$V157),1,0)*'Detailed Assumptions'!$E$6</f>
        <v>0</v>
      </c>
      <c r="AA476" s="542">
        <f>IF(AND(AA$4&gt;$T157,AA$4&lt;=$V157),1,0)*'Detailed Assumptions'!$E$6</f>
        <v>0</v>
      </c>
      <c r="AB476" s="542">
        <f>IF(AND(AB$4&gt;$T157,AB$4&lt;=$V157),1,0)*'Detailed Assumptions'!$E$6</f>
        <v>0</v>
      </c>
      <c r="AC476" s="542">
        <f>IF(AND(AC$4&gt;$T157,AC$4&lt;=$V157),1,0)*'Detailed Assumptions'!$E$6</f>
        <v>0</v>
      </c>
      <c r="AD476" s="542">
        <f>IF(AND(AD$4&gt;$T157,AD$4&lt;=$V157),1,0)*'Detailed Assumptions'!$E$6</f>
        <v>0</v>
      </c>
      <c r="AE476" s="542">
        <f>IF(AND(AE$4&gt;$T157,AE$4&lt;=$V157),1,0)*'Detailed Assumptions'!$E$6</f>
        <v>0</v>
      </c>
      <c r="AF476" s="542">
        <f>IF(AND(AF$4&gt;$T157,AF$4&lt;=$V157),1,0)*'Detailed Assumptions'!$E$6</f>
        <v>0</v>
      </c>
      <c r="AG476" s="542">
        <f>IF(AND(AG$4&gt;$T157,AG$4&lt;=$V157),1,0)*'Detailed Assumptions'!$E$6</f>
        <v>0</v>
      </c>
      <c r="AH476" s="542">
        <f>IF(AND(AH$4&gt;$T157,AH$4&lt;=$V157),1,0)*'Detailed Assumptions'!$E$6</f>
        <v>0</v>
      </c>
      <c r="AI476" s="542">
        <f>IF(AND(AI$4&gt;$T157,AI$4&lt;=$V157),1,0)*'Detailed Assumptions'!$E$6</f>
        <v>0</v>
      </c>
      <c r="AJ476" s="542">
        <f>IF(AND(AJ$4&gt;$T157,AJ$4&lt;=$V157),1,0)*'Detailed Assumptions'!$E$6</f>
        <v>0</v>
      </c>
      <c r="AK476" s="542">
        <f>IF(AND(AK$4&gt;$T157,AK$4&lt;=$V157),1,0)*'Detailed Assumptions'!$E$6</f>
        <v>0</v>
      </c>
      <c r="AL476" s="542">
        <f>IF(AND(AL$4&gt;$T157,AL$4&lt;=$V157),1,0)*'Detailed Assumptions'!$E$6</f>
        <v>0</v>
      </c>
      <c r="AM476" s="542">
        <f>IF(AND(AM$4&gt;$T157,AM$4&lt;=$V157),1,0)*'Detailed Assumptions'!$E$6</f>
        <v>0</v>
      </c>
      <c r="AN476" s="542">
        <f>IF(AND(AN$4&gt;$T157,AN$4&lt;=$V157),1,0)*'Detailed Assumptions'!$E$6</f>
        <v>0</v>
      </c>
      <c r="AO476" s="542">
        <f>IF(AND(AO$4&gt;$T157,AO$4&lt;=$V157),1,0)*'Detailed Assumptions'!$E$6</f>
        <v>0</v>
      </c>
      <c r="AP476" s="542">
        <f>IF(AND(AP$4&gt;$T157,AP$4&lt;=$V157),1,0)*'Detailed Assumptions'!$E$6</f>
        <v>0</v>
      </c>
      <c r="AQ476" s="542">
        <f>IF(AND(AQ$4&gt;$T157,AQ$4&lt;=$V157),1,0)*'Detailed Assumptions'!$E$6</f>
        <v>0</v>
      </c>
      <c r="AR476" s="542">
        <f>IF(AND(AR$4&gt;$T157,AR$4&lt;=$V157),1,0)*'Detailed Assumptions'!$E$6</f>
        <v>0</v>
      </c>
      <c r="AS476" s="542">
        <f>IF(AND(AS$4&gt;$T157,AS$4&lt;=$V157),1,0)*'Detailed Assumptions'!$E$6</f>
        <v>0</v>
      </c>
      <c r="AT476" s="542">
        <f>IF(AND(AT$4&gt;$T157,AT$4&lt;=$V157),1,0)*'Detailed Assumptions'!$E$6</f>
        <v>0</v>
      </c>
      <c r="AU476" s="542">
        <f>IF(AND(AU$4&gt;$T157,AU$4&lt;=$V157),1,0)*'Detailed Assumptions'!$E$6</f>
        <v>1</v>
      </c>
      <c r="AV476" s="542">
        <f>IF(AND(AV$4&gt;$T157,AV$4&lt;=$V157),1,0)*'Detailed Assumptions'!$E$6</f>
        <v>0</v>
      </c>
      <c r="AW476" s="542">
        <f>IF(AND(AW$4&gt;$T157,AW$4&lt;=$V157),1,0)*'Detailed Assumptions'!$E$6</f>
        <v>0</v>
      </c>
      <c r="AX476" s="542">
        <f>IF(AND(AX$4&gt;$T157,AX$4&lt;=$V157),1,0)*'Detailed Assumptions'!$E$6</f>
        <v>0</v>
      </c>
      <c r="AY476" s="542">
        <f>IF(AND(AY$4&gt;$T157,AY$4&lt;=$V157),1,0)*'Detailed Assumptions'!$E$6</f>
        <v>0</v>
      </c>
      <c r="AZ476" s="542">
        <f>IF(AND(AZ$4&gt;$T157,AZ$4&lt;=$V157),1,0)*'Detailed Assumptions'!$E$6</f>
        <v>0</v>
      </c>
      <c r="BA476" s="542">
        <f>IF(AND(BA$4&gt;$T157,BA$4&lt;=$V157),1,0)*'Detailed Assumptions'!$E$6</f>
        <v>0</v>
      </c>
      <c r="BB476" s="542">
        <f>IF(AND(BB$4&gt;$T157,BB$4&lt;=$V157),1,0)*'Detailed Assumptions'!$E$6</f>
        <v>0</v>
      </c>
      <c r="BC476" s="542">
        <f>IF(AND(BC$4&gt;$T157,BC$4&lt;=$V157),1,0)*'Detailed Assumptions'!$E$6</f>
        <v>0</v>
      </c>
      <c r="BD476" s="542">
        <f>IF(AND(BD$4&gt;$T157,BD$4&lt;=$V157),1,0)*'Detailed Assumptions'!$E$6</f>
        <v>0</v>
      </c>
      <c r="BE476" s="542">
        <f>IF(AND(BE$4&gt;$T157,BE$4&lt;=$V157),1,0)*'Detailed Assumptions'!$E$6</f>
        <v>0</v>
      </c>
      <c r="BF476" s="542">
        <f>IF(AND(BF$4&gt;$T157,BF$4&lt;=$V157),1,0)*'Detailed Assumptions'!$E$6</f>
        <v>0</v>
      </c>
      <c r="BG476" s="542">
        <f>IF(AND(BG$4&gt;$T157,BG$4&lt;=$V157),1,0)*'Detailed Assumptions'!$E$6</f>
        <v>0</v>
      </c>
      <c r="BH476" s="542">
        <f>IF(AND(BH$4&gt;$T157,BH$4&lt;=$V157),1,0)*'Detailed Assumptions'!$E$6</f>
        <v>0</v>
      </c>
      <c r="BI476" s="542">
        <f>IF(AND(BI$4&gt;$T157,BI$4&lt;=$V157),1,0)*'Detailed Assumptions'!$E$6</f>
        <v>0</v>
      </c>
      <c r="BJ476" s="542">
        <f>IF(AND(BJ$4&gt;$T157,BJ$4&lt;=$V157),1,0)*'Detailed Assumptions'!$E$6</f>
        <v>0</v>
      </c>
      <c r="BK476" s="542">
        <f>IF(AND(BK$4&gt;$T157,BK$4&lt;=$V157),1,0)*'Detailed Assumptions'!$E$6</f>
        <v>0</v>
      </c>
      <c r="BL476" s="542">
        <f>IF(AND(BL$4&gt;$T157,BL$4&lt;=$V157),1,0)*'Detailed Assumptions'!$E$6</f>
        <v>0</v>
      </c>
      <c r="BM476" s="542">
        <f>IF(AND(BM$4&gt;$T157,BM$4&lt;=$V157),1,0)*'Detailed Assumptions'!$E$6</f>
        <v>0</v>
      </c>
      <c r="BN476" s="542">
        <f>IF(AND(BN$4&gt;$T157,BN$4&lt;=$V157),1,0)*'Detailed Assumptions'!$E$6</f>
        <v>0</v>
      </c>
      <c r="BO476" s="542">
        <f>IF(AND(BO$4&gt;$T157,BO$4&lt;=$V157),1,0)*'Detailed Assumptions'!$E$6</f>
        <v>0</v>
      </c>
      <c r="BP476" s="542">
        <f>IF(AND(BP$4&gt;$T157,BP$4&lt;=$V157),1,0)*'Detailed Assumptions'!$E$6</f>
        <v>0</v>
      </c>
      <c r="BQ476" s="542">
        <f>IF(AND(BQ$4&gt;$T157,BQ$4&lt;=$V157),1,0)*'Detailed Assumptions'!$E$6</f>
        <v>0</v>
      </c>
      <c r="BR476" s="542">
        <f>IF(AND(BR$4&gt;$T157,BR$4&lt;=$V157),1,0)*'Detailed Assumptions'!$E$6</f>
        <v>0</v>
      </c>
      <c r="BS476" s="542">
        <f>IF(AND(BS$4&gt;$T157,BS$4&lt;=$V157),1,0)*'Detailed Assumptions'!$E$6</f>
        <v>0</v>
      </c>
      <c r="BT476" s="542">
        <f>IF(AND(BT$4&gt;$T157,BT$4&lt;=$V157),1,0)*'Detailed Assumptions'!$E$6</f>
        <v>0</v>
      </c>
      <c r="BU476" s="542">
        <f>IF(AND(BU$4&gt;$T157,BU$4&lt;=$V157),1,0)*'Detailed Assumptions'!$E$6</f>
        <v>0</v>
      </c>
      <c r="BV476" s="542">
        <f>IF(AND(BV$4&gt;$T157,BV$4&lt;=$V157),1,0)*'Detailed Assumptions'!$E$6</f>
        <v>0</v>
      </c>
      <c r="BW476" s="542">
        <f>IF(AND(BW$4&gt;$T157,BW$4&lt;=$V157),1,0)*'Detailed Assumptions'!$E$6</f>
        <v>0</v>
      </c>
      <c r="BX476" s="542">
        <f>IF(AND(BX$4&gt;$T157,BX$4&lt;=$V157),1,0)*'Detailed Assumptions'!$E$6</f>
        <v>0</v>
      </c>
      <c r="BY476" s="542">
        <f>IF(AND(BY$4&gt;$T157,BY$4&lt;=$V157),1,0)*'Detailed Assumptions'!$E$6</f>
        <v>0</v>
      </c>
    </row>
    <row r="477" spans="1:77" x14ac:dyDescent="0.3">
      <c r="A477" s="551"/>
      <c r="B477" s="548"/>
      <c r="C477" s="525"/>
      <c r="D477" s="525"/>
      <c r="E477" s="651" t="str">
        <f>"Flag - capex period: "&amp;E$158</f>
        <v>Flag - capex period: FY30 Tranche</v>
      </c>
      <c r="F477" s="525"/>
      <c r="G477" s="525"/>
      <c r="H477" s="525"/>
      <c r="I477" s="525"/>
      <c r="J477" s="525"/>
      <c r="K477" s="525"/>
      <c r="L477" s="525"/>
      <c r="M477" s="525"/>
      <c r="N477" s="525"/>
      <c r="O477" s="525"/>
      <c r="P477" s="565"/>
      <c r="Q477" s="525"/>
      <c r="R477" s="542">
        <f>IF(AND(R$4&gt;$T158,R$4&lt;=$V158),1,0)*'Detailed Assumptions'!$E$6</f>
        <v>0</v>
      </c>
      <c r="S477" s="542">
        <f>IF(AND(S$4&gt;$T158,S$4&lt;=$V158),1,0)*'Detailed Assumptions'!$E$6</f>
        <v>0</v>
      </c>
      <c r="T477" s="542">
        <f>IF(AND(T$4&gt;$T158,T$4&lt;=$V158),1,0)*'Detailed Assumptions'!$E$6</f>
        <v>0</v>
      </c>
      <c r="U477" s="542">
        <f>IF(AND(U$4&gt;$T158,U$4&lt;=$V158),1,0)*'Detailed Assumptions'!$E$6</f>
        <v>0</v>
      </c>
      <c r="V477" s="542">
        <f>IF(AND(V$4&gt;$T158,V$4&lt;=$V158),1,0)*'Detailed Assumptions'!$E$6</f>
        <v>0</v>
      </c>
      <c r="W477" s="542">
        <f>IF(AND(W$4&gt;$T158,W$4&lt;=$V158),1,0)*'Detailed Assumptions'!$E$6</f>
        <v>0</v>
      </c>
      <c r="X477" s="542">
        <f>IF(AND(X$4&gt;$T158,X$4&lt;=$V158),1,0)*'Detailed Assumptions'!$E$6</f>
        <v>0</v>
      </c>
      <c r="Y477" s="542">
        <f>IF(AND(Y$4&gt;$T158,Y$4&lt;=$V158),1,0)*'Detailed Assumptions'!$E$6</f>
        <v>0</v>
      </c>
      <c r="Z477" s="542">
        <f>IF(AND(Z$4&gt;$T158,Z$4&lt;=$V158),1,0)*'Detailed Assumptions'!$E$6</f>
        <v>0</v>
      </c>
      <c r="AA477" s="542">
        <f>IF(AND(AA$4&gt;$T158,AA$4&lt;=$V158),1,0)*'Detailed Assumptions'!$E$6</f>
        <v>0</v>
      </c>
      <c r="AB477" s="542">
        <f>IF(AND(AB$4&gt;$T158,AB$4&lt;=$V158),1,0)*'Detailed Assumptions'!$E$6</f>
        <v>0</v>
      </c>
      <c r="AC477" s="542">
        <f>IF(AND(AC$4&gt;$T158,AC$4&lt;=$V158),1,0)*'Detailed Assumptions'!$E$6</f>
        <v>0</v>
      </c>
      <c r="AD477" s="542">
        <f>IF(AND(AD$4&gt;$T158,AD$4&lt;=$V158),1,0)*'Detailed Assumptions'!$E$6</f>
        <v>0</v>
      </c>
      <c r="AE477" s="542">
        <f>IF(AND(AE$4&gt;$T158,AE$4&lt;=$V158),1,0)*'Detailed Assumptions'!$E$6</f>
        <v>0</v>
      </c>
      <c r="AF477" s="542">
        <f>IF(AND(AF$4&gt;$T158,AF$4&lt;=$V158),1,0)*'Detailed Assumptions'!$E$6</f>
        <v>0</v>
      </c>
      <c r="AG477" s="542">
        <f>IF(AND(AG$4&gt;$T158,AG$4&lt;=$V158),1,0)*'Detailed Assumptions'!$E$6</f>
        <v>0</v>
      </c>
      <c r="AH477" s="542">
        <f>IF(AND(AH$4&gt;$T158,AH$4&lt;=$V158),1,0)*'Detailed Assumptions'!$E$6</f>
        <v>0</v>
      </c>
      <c r="AI477" s="542">
        <f>IF(AND(AI$4&gt;$T158,AI$4&lt;=$V158),1,0)*'Detailed Assumptions'!$E$6</f>
        <v>0</v>
      </c>
      <c r="AJ477" s="542">
        <f>IF(AND(AJ$4&gt;$T158,AJ$4&lt;=$V158),1,0)*'Detailed Assumptions'!$E$6</f>
        <v>0</v>
      </c>
      <c r="AK477" s="542">
        <f>IF(AND(AK$4&gt;$T158,AK$4&lt;=$V158),1,0)*'Detailed Assumptions'!$E$6</f>
        <v>0</v>
      </c>
      <c r="AL477" s="542">
        <f>IF(AND(AL$4&gt;$T158,AL$4&lt;=$V158),1,0)*'Detailed Assumptions'!$E$6</f>
        <v>0</v>
      </c>
      <c r="AM477" s="542">
        <f>IF(AND(AM$4&gt;$T158,AM$4&lt;=$V158),1,0)*'Detailed Assumptions'!$E$6</f>
        <v>0</v>
      </c>
      <c r="AN477" s="542">
        <f>IF(AND(AN$4&gt;$T158,AN$4&lt;=$V158),1,0)*'Detailed Assumptions'!$E$6</f>
        <v>0</v>
      </c>
      <c r="AO477" s="542">
        <f>IF(AND(AO$4&gt;$T158,AO$4&lt;=$V158),1,0)*'Detailed Assumptions'!$E$6</f>
        <v>0</v>
      </c>
      <c r="AP477" s="542">
        <f>IF(AND(AP$4&gt;$T158,AP$4&lt;=$V158),1,0)*'Detailed Assumptions'!$E$6</f>
        <v>0</v>
      </c>
      <c r="AQ477" s="542">
        <f>IF(AND(AQ$4&gt;$T158,AQ$4&lt;=$V158),1,0)*'Detailed Assumptions'!$E$6</f>
        <v>0</v>
      </c>
      <c r="AR477" s="542">
        <f>IF(AND(AR$4&gt;$T158,AR$4&lt;=$V158),1,0)*'Detailed Assumptions'!$E$6</f>
        <v>0</v>
      </c>
      <c r="AS477" s="542">
        <f>IF(AND(AS$4&gt;$T158,AS$4&lt;=$V158),1,0)*'Detailed Assumptions'!$E$6</f>
        <v>0</v>
      </c>
      <c r="AT477" s="542">
        <f>IF(AND(AT$4&gt;$T158,AT$4&lt;=$V158),1,0)*'Detailed Assumptions'!$E$6</f>
        <v>0</v>
      </c>
      <c r="AU477" s="542">
        <f>IF(AND(AU$4&gt;$T158,AU$4&lt;=$V158),1,0)*'Detailed Assumptions'!$E$6</f>
        <v>0</v>
      </c>
      <c r="AV477" s="542">
        <f>IF(AND(AV$4&gt;$T158,AV$4&lt;=$V158),1,0)*'Detailed Assumptions'!$E$6</f>
        <v>0</v>
      </c>
      <c r="AW477" s="542">
        <f>IF(AND(AW$4&gt;$T158,AW$4&lt;=$V158),1,0)*'Detailed Assumptions'!$E$6</f>
        <v>0</v>
      </c>
      <c r="AX477" s="542">
        <f>IF(AND(AX$4&gt;$T158,AX$4&lt;=$V158),1,0)*'Detailed Assumptions'!$E$6</f>
        <v>0</v>
      </c>
      <c r="AY477" s="542">
        <f>IF(AND(AY$4&gt;$T158,AY$4&lt;=$V158),1,0)*'Detailed Assumptions'!$E$6</f>
        <v>0</v>
      </c>
      <c r="AZ477" s="542">
        <f>IF(AND(AZ$4&gt;$T158,AZ$4&lt;=$V158),1,0)*'Detailed Assumptions'!$E$6</f>
        <v>0</v>
      </c>
      <c r="BA477" s="542">
        <f>IF(AND(BA$4&gt;$T158,BA$4&lt;=$V158),1,0)*'Detailed Assumptions'!$E$6</f>
        <v>0</v>
      </c>
      <c r="BB477" s="542">
        <f>IF(AND(BB$4&gt;$T158,BB$4&lt;=$V158),1,0)*'Detailed Assumptions'!$E$6</f>
        <v>0</v>
      </c>
      <c r="BC477" s="542">
        <f>IF(AND(BC$4&gt;$T158,BC$4&lt;=$V158),1,0)*'Detailed Assumptions'!$E$6</f>
        <v>0</v>
      </c>
      <c r="BD477" s="542">
        <f>IF(AND(BD$4&gt;$T158,BD$4&lt;=$V158),1,0)*'Detailed Assumptions'!$E$6</f>
        <v>0</v>
      </c>
      <c r="BE477" s="542">
        <f>IF(AND(BE$4&gt;$T158,BE$4&lt;=$V158),1,0)*'Detailed Assumptions'!$E$6</f>
        <v>0</v>
      </c>
      <c r="BF477" s="542">
        <f>IF(AND(BF$4&gt;$T158,BF$4&lt;=$V158),1,0)*'Detailed Assumptions'!$E$6</f>
        <v>0</v>
      </c>
      <c r="BG477" s="542">
        <f>IF(AND(BG$4&gt;$T158,BG$4&lt;=$V158),1,0)*'Detailed Assumptions'!$E$6</f>
        <v>1</v>
      </c>
      <c r="BH477" s="542">
        <f>IF(AND(BH$4&gt;$T158,BH$4&lt;=$V158),1,0)*'Detailed Assumptions'!$E$6</f>
        <v>0</v>
      </c>
      <c r="BI477" s="542">
        <f>IF(AND(BI$4&gt;$T158,BI$4&lt;=$V158),1,0)*'Detailed Assumptions'!$E$6</f>
        <v>0</v>
      </c>
      <c r="BJ477" s="542">
        <f>IF(AND(BJ$4&gt;$T158,BJ$4&lt;=$V158),1,0)*'Detailed Assumptions'!$E$6</f>
        <v>0</v>
      </c>
      <c r="BK477" s="542">
        <f>IF(AND(BK$4&gt;$T158,BK$4&lt;=$V158),1,0)*'Detailed Assumptions'!$E$6</f>
        <v>0</v>
      </c>
      <c r="BL477" s="542">
        <f>IF(AND(BL$4&gt;$T158,BL$4&lt;=$V158),1,0)*'Detailed Assumptions'!$E$6</f>
        <v>0</v>
      </c>
      <c r="BM477" s="542">
        <f>IF(AND(BM$4&gt;$T158,BM$4&lt;=$V158),1,0)*'Detailed Assumptions'!$E$6</f>
        <v>0</v>
      </c>
      <c r="BN477" s="542">
        <f>IF(AND(BN$4&gt;$T158,BN$4&lt;=$V158),1,0)*'Detailed Assumptions'!$E$6</f>
        <v>0</v>
      </c>
      <c r="BO477" s="542">
        <f>IF(AND(BO$4&gt;$T158,BO$4&lt;=$V158),1,0)*'Detailed Assumptions'!$E$6</f>
        <v>0</v>
      </c>
      <c r="BP477" s="542">
        <f>IF(AND(BP$4&gt;$T158,BP$4&lt;=$V158),1,0)*'Detailed Assumptions'!$E$6</f>
        <v>0</v>
      </c>
      <c r="BQ477" s="542">
        <f>IF(AND(BQ$4&gt;$T158,BQ$4&lt;=$V158),1,0)*'Detailed Assumptions'!$E$6</f>
        <v>0</v>
      </c>
      <c r="BR477" s="542">
        <f>IF(AND(BR$4&gt;$T158,BR$4&lt;=$V158),1,0)*'Detailed Assumptions'!$E$6</f>
        <v>0</v>
      </c>
      <c r="BS477" s="542">
        <f>IF(AND(BS$4&gt;$T158,BS$4&lt;=$V158),1,0)*'Detailed Assumptions'!$E$6</f>
        <v>0</v>
      </c>
      <c r="BT477" s="542">
        <f>IF(AND(BT$4&gt;$T158,BT$4&lt;=$V158),1,0)*'Detailed Assumptions'!$E$6</f>
        <v>0</v>
      </c>
      <c r="BU477" s="542">
        <f>IF(AND(BU$4&gt;$T158,BU$4&lt;=$V158),1,0)*'Detailed Assumptions'!$E$6</f>
        <v>0</v>
      </c>
      <c r="BV477" s="542">
        <f>IF(AND(BV$4&gt;$T158,BV$4&lt;=$V158),1,0)*'Detailed Assumptions'!$E$6</f>
        <v>0</v>
      </c>
      <c r="BW477" s="542">
        <f>IF(AND(BW$4&gt;$T158,BW$4&lt;=$V158),1,0)*'Detailed Assumptions'!$E$6</f>
        <v>0</v>
      </c>
      <c r="BX477" s="542">
        <f>IF(AND(BX$4&gt;$T158,BX$4&lt;=$V158),1,0)*'Detailed Assumptions'!$E$6</f>
        <v>0</v>
      </c>
      <c r="BY477" s="542">
        <f>IF(AND(BY$4&gt;$T158,BY$4&lt;=$V158),1,0)*'Detailed Assumptions'!$E$6</f>
        <v>0</v>
      </c>
    </row>
    <row r="478" spans="1:77" x14ac:dyDescent="0.3">
      <c r="A478" s="551"/>
      <c r="B478" s="548"/>
      <c r="C478" s="525"/>
      <c r="D478" s="525"/>
      <c r="E478" s="651" t="str">
        <f>"Flag - capex period: "&amp;E$159</f>
        <v>Flag - capex period: FY31 Tranche</v>
      </c>
      <c r="F478" s="525"/>
      <c r="G478" s="525"/>
      <c r="H478" s="525"/>
      <c r="I478" s="525"/>
      <c r="J478" s="525"/>
      <c r="K478" s="525"/>
      <c r="L478" s="525"/>
      <c r="M478" s="525"/>
      <c r="N478" s="525"/>
      <c r="O478" s="525"/>
      <c r="P478" s="565"/>
      <c r="Q478" s="525"/>
      <c r="R478" s="542">
        <f>IF(AND(R$4&gt;$T159,R$4&lt;=$V159),1,0)*'Detailed Assumptions'!$E$6</f>
        <v>0</v>
      </c>
      <c r="S478" s="542">
        <f>IF(AND(S$4&gt;$T159,S$4&lt;=$V159),1,0)*'Detailed Assumptions'!$E$6</f>
        <v>0</v>
      </c>
      <c r="T478" s="542">
        <f>IF(AND(T$4&gt;$T159,T$4&lt;=$V159),1,0)*'Detailed Assumptions'!$E$6</f>
        <v>0</v>
      </c>
      <c r="U478" s="542">
        <f>IF(AND(U$4&gt;$T159,U$4&lt;=$V159),1,0)*'Detailed Assumptions'!$E$6</f>
        <v>0</v>
      </c>
      <c r="V478" s="542">
        <f>IF(AND(V$4&gt;$T159,V$4&lt;=$V159),1,0)*'Detailed Assumptions'!$E$6</f>
        <v>0</v>
      </c>
      <c r="W478" s="542">
        <f>IF(AND(W$4&gt;$T159,W$4&lt;=$V159),1,0)*'Detailed Assumptions'!$E$6</f>
        <v>0</v>
      </c>
      <c r="X478" s="542">
        <f>IF(AND(X$4&gt;$T159,X$4&lt;=$V159),1,0)*'Detailed Assumptions'!$E$6</f>
        <v>0</v>
      </c>
      <c r="Y478" s="542">
        <f>IF(AND(Y$4&gt;$T159,Y$4&lt;=$V159),1,0)*'Detailed Assumptions'!$E$6</f>
        <v>0</v>
      </c>
      <c r="Z478" s="542">
        <f>IF(AND(Z$4&gt;$T159,Z$4&lt;=$V159),1,0)*'Detailed Assumptions'!$E$6</f>
        <v>0</v>
      </c>
      <c r="AA478" s="542">
        <f>IF(AND(AA$4&gt;$T159,AA$4&lt;=$V159),1,0)*'Detailed Assumptions'!$E$6</f>
        <v>0</v>
      </c>
      <c r="AB478" s="542">
        <f>IF(AND(AB$4&gt;$T159,AB$4&lt;=$V159),1,0)*'Detailed Assumptions'!$E$6</f>
        <v>0</v>
      </c>
      <c r="AC478" s="542">
        <f>IF(AND(AC$4&gt;$T159,AC$4&lt;=$V159),1,0)*'Detailed Assumptions'!$E$6</f>
        <v>0</v>
      </c>
      <c r="AD478" s="542">
        <f>IF(AND(AD$4&gt;$T159,AD$4&lt;=$V159),1,0)*'Detailed Assumptions'!$E$6</f>
        <v>0</v>
      </c>
      <c r="AE478" s="542">
        <f>IF(AND(AE$4&gt;$T159,AE$4&lt;=$V159),1,0)*'Detailed Assumptions'!$E$6</f>
        <v>0</v>
      </c>
      <c r="AF478" s="542">
        <f>IF(AND(AF$4&gt;$T159,AF$4&lt;=$V159),1,0)*'Detailed Assumptions'!$E$6</f>
        <v>0</v>
      </c>
      <c r="AG478" s="542">
        <f>IF(AND(AG$4&gt;$T159,AG$4&lt;=$V159),1,0)*'Detailed Assumptions'!$E$6</f>
        <v>0</v>
      </c>
      <c r="AH478" s="542">
        <f>IF(AND(AH$4&gt;$T159,AH$4&lt;=$V159),1,0)*'Detailed Assumptions'!$E$6</f>
        <v>0</v>
      </c>
      <c r="AI478" s="542">
        <f>IF(AND(AI$4&gt;$T159,AI$4&lt;=$V159),1,0)*'Detailed Assumptions'!$E$6</f>
        <v>0</v>
      </c>
      <c r="AJ478" s="542">
        <f>IF(AND(AJ$4&gt;$T159,AJ$4&lt;=$V159),1,0)*'Detailed Assumptions'!$E$6</f>
        <v>0</v>
      </c>
      <c r="AK478" s="542">
        <f>IF(AND(AK$4&gt;$T159,AK$4&lt;=$V159),1,0)*'Detailed Assumptions'!$E$6</f>
        <v>0</v>
      </c>
      <c r="AL478" s="542">
        <f>IF(AND(AL$4&gt;$T159,AL$4&lt;=$V159),1,0)*'Detailed Assumptions'!$E$6</f>
        <v>0</v>
      </c>
      <c r="AM478" s="542">
        <f>IF(AND(AM$4&gt;$T159,AM$4&lt;=$V159),1,0)*'Detailed Assumptions'!$E$6</f>
        <v>0</v>
      </c>
      <c r="AN478" s="542">
        <f>IF(AND(AN$4&gt;$T159,AN$4&lt;=$V159),1,0)*'Detailed Assumptions'!$E$6</f>
        <v>0</v>
      </c>
      <c r="AO478" s="542">
        <f>IF(AND(AO$4&gt;$T159,AO$4&lt;=$V159),1,0)*'Detailed Assumptions'!$E$6</f>
        <v>0</v>
      </c>
      <c r="AP478" s="542">
        <f>IF(AND(AP$4&gt;$T159,AP$4&lt;=$V159),1,0)*'Detailed Assumptions'!$E$6</f>
        <v>0</v>
      </c>
      <c r="AQ478" s="542">
        <f>IF(AND(AQ$4&gt;$T159,AQ$4&lt;=$V159),1,0)*'Detailed Assumptions'!$E$6</f>
        <v>0</v>
      </c>
      <c r="AR478" s="542">
        <f>IF(AND(AR$4&gt;$T159,AR$4&lt;=$V159),1,0)*'Detailed Assumptions'!$E$6</f>
        <v>0</v>
      </c>
      <c r="AS478" s="542">
        <f>IF(AND(AS$4&gt;$T159,AS$4&lt;=$V159),1,0)*'Detailed Assumptions'!$E$6</f>
        <v>0</v>
      </c>
      <c r="AT478" s="542">
        <f>IF(AND(AT$4&gt;$T159,AT$4&lt;=$V159),1,0)*'Detailed Assumptions'!$E$6</f>
        <v>0</v>
      </c>
      <c r="AU478" s="542">
        <f>IF(AND(AU$4&gt;$T159,AU$4&lt;=$V159),1,0)*'Detailed Assumptions'!$E$6</f>
        <v>0</v>
      </c>
      <c r="AV478" s="542">
        <f>IF(AND(AV$4&gt;$T159,AV$4&lt;=$V159),1,0)*'Detailed Assumptions'!$E$6</f>
        <v>0</v>
      </c>
      <c r="AW478" s="542">
        <f>IF(AND(AW$4&gt;$T159,AW$4&lt;=$V159),1,0)*'Detailed Assumptions'!$E$6</f>
        <v>0</v>
      </c>
      <c r="AX478" s="542">
        <f>IF(AND(AX$4&gt;$T159,AX$4&lt;=$V159),1,0)*'Detailed Assumptions'!$E$6</f>
        <v>0</v>
      </c>
      <c r="AY478" s="542">
        <f>IF(AND(AY$4&gt;$T159,AY$4&lt;=$V159),1,0)*'Detailed Assumptions'!$E$6</f>
        <v>0</v>
      </c>
      <c r="AZ478" s="542">
        <f>IF(AND(AZ$4&gt;$T159,AZ$4&lt;=$V159),1,0)*'Detailed Assumptions'!$E$6</f>
        <v>0</v>
      </c>
      <c r="BA478" s="542">
        <f>IF(AND(BA$4&gt;$T159,BA$4&lt;=$V159),1,0)*'Detailed Assumptions'!$E$6</f>
        <v>0</v>
      </c>
      <c r="BB478" s="542">
        <f>IF(AND(BB$4&gt;$T159,BB$4&lt;=$V159),1,0)*'Detailed Assumptions'!$E$6</f>
        <v>0</v>
      </c>
      <c r="BC478" s="542">
        <f>IF(AND(BC$4&gt;$T159,BC$4&lt;=$V159),1,0)*'Detailed Assumptions'!$E$6</f>
        <v>0</v>
      </c>
      <c r="BD478" s="542">
        <f>IF(AND(BD$4&gt;$T159,BD$4&lt;=$V159),1,0)*'Detailed Assumptions'!$E$6</f>
        <v>0</v>
      </c>
      <c r="BE478" s="542">
        <f>IF(AND(BE$4&gt;$T159,BE$4&lt;=$V159),1,0)*'Detailed Assumptions'!$E$6</f>
        <v>0</v>
      </c>
      <c r="BF478" s="542">
        <f>IF(AND(BF$4&gt;$T159,BF$4&lt;=$V159),1,0)*'Detailed Assumptions'!$E$6</f>
        <v>0</v>
      </c>
      <c r="BG478" s="542">
        <f>IF(AND(BG$4&gt;$T159,BG$4&lt;=$V159),1,0)*'Detailed Assumptions'!$E$6</f>
        <v>0</v>
      </c>
      <c r="BH478" s="542">
        <f>IF(AND(BH$4&gt;$T159,BH$4&lt;=$V159),1,0)*'Detailed Assumptions'!$E$6</f>
        <v>0</v>
      </c>
      <c r="BI478" s="542">
        <f>IF(AND(BI$4&gt;$T159,BI$4&lt;=$V159),1,0)*'Detailed Assumptions'!$E$6</f>
        <v>0</v>
      </c>
      <c r="BJ478" s="542">
        <f>IF(AND(BJ$4&gt;$T159,BJ$4&lt;=$V159),1,0)*'Detailed Assumptions'!$E$6</f>
        <v>0</v>
      </c>
      <c r="BK478" s="542">
        <f>IF(AND(BK$4&gt;$T159,BK$4&lt;=$V159),1,0)*'Detailed Assumptions'!$E$6</f>
        <v>0</v>
      </c>
      <c r="BL478" s="542">
        <f>IF(AND(BL$4&gt;$T159,BL$4&lt;=$V159),1,0)*'Detailed Assumptions'!$E$6</f>
        <v>0</v>
      </c>
      <c r="BM478" s="542">
        <f>IF(AND(BM$4&gt;$T159,BM$4&lt;=$V159),1,0)*'Detailed Assumptions'!$E$6</f>
        <v>0</v>
      </c>
      <c r="BN478" s="542">
        <f>IF(AND(BN$4&gt;$T159,BN$4&lt;=$V159),1,0)*'Detailed Assumptions'!$E$6</f>
        <v>0</v>
      </c>
      <c r="BO478" s="542">
        <f>IF(AND(BO$4&gt;$T159,BO$4&lt;=$V159),1,0)*'Detailed Assumptions'!$E$6</f>
        <v>0</v>
      </c>
      <c r="BP478" s="542">
        <f>IF(AND(BP$4&gt;$T159,BP$4&lt;=$V159),1,0)*'Detailed Assumptions'!$E$6</f>
        <v>0</v>
      </c>
      <c r="BQ478" s="542">
        <f>IF(AND(BQ$4&gt;$T159,BQ$4&lt;=$V159),1,0)*'Detailed Assumptions'!$E$6</f>
        <v>0</v>
      </c>
      <c r="BR478" s="542">
        <f>IF(AND(BR$4&gt;$T159,BR$4&lt;=$V159),1,0)*'Detailed Assumptions'!$E$6</f>
        <v>0</v>
      </c>
      <c r="BS478" s="542">
        <f>IF(AND(BS$4&gt;$T159,BS$4&lt;=$V159),1,0)*'Detailed Assumptions'!$E$6</f>
        <v>1</v>
      </c>
      <c r="BT478" s="542">
        <f>IF(AND(BT$4&gt;$T159,BT$4&lt;=$V159),1,0)*'Detailed Assumptions'!$E$6</f>
        <v>0</v>
      </c>
      <c r="BU478" s="542">
        <f>IF(AND(BU$4&gt;$T159,BU$4&lt;=$V159),1,0)*'Detailed Assumptions'!$E$6</f>
        <v>0</v>
      </c>
      <c r="BV478" s="542">
        <f>IF(AND(BV$4&gt;$T159,BV$4&lt;=$V159),1,0)*'Detailed Assumptions'!$E$6</f>
        <v>0</v>
      </c>
      <c r="BW478" s="542">
        <f>IF(AND(BW$4&gt;$T159,BW$4&lt;=$V159),1,0)*'Detailed Assumptions'!$E$6</f>
        <v>0</v>
      </c>
      <c r="BX478" s="542">
        <f>IF(AND(BX$4&gt;$T159,BX$4&lt;=$V159),1,0)*'Detailed Assumptions'!$E$6</f>
        <v>0</v>
      </c>
      <c r="BY478" s="542">
        <f>IF(AND(BY$4&gt;$T159,BY$4&lt;=$V159),1,0)*'Detailed Assumptions'!$E$6</f>
        <v>0</v>
      </c>
    </row>
    <row r="479" spans="1:77" x14ac:dyDescent="0.3">
      <c r="A479" s="551"/>
      <c r="B479" s="548"/>
      <c r="C479" s="525"/>
      <c r="D479" s="525"/>
      <c r="E479" s="651" t="str">
        <f>"Flag - capex period: "&amp;E$160</f>
        <v>Flag - capex period: Uninvested Tranche</v>
      </c>
      <c r="F479" s="525"/>
      <c r="G479" s="525"/>
      <c r="H479" s="525"/>
      <c r="I479" s="525"/>
      <c r="J479" s="525"/>
      <c r="K479" s="525"/>
      <c r="L479" s="525"/>
      <c r="M479" s="525"/>
      <c r="N479" s="525"/>
      <c r="O479" s="525"/>
      <c r="P479" s="565"/>
      <c r="Q479" s="525"/>
      <c r="R479" s="542">
        <f>IF(AND(R$4&gt;$T160,R$4&lt;=$V160),1,0)*'Detailed Assumptions'!$E$6</f>
        <v>0</v>
      </c>
      <c r="S479" s="542">
        <f>IF(AND(S$4&gt;$T160,S$4&lt;=$V160),1,0)*'Detailed Assumptions'!$E$6</f>
        <v>0</v>
      </c>
      <c r="T479" s="542">
        <f>IF(AND(T$4&gt;$T160,T$4&lt;=$V160),1,0)*'Detailed Assumptions'!$E$6</f>
        <v>0</v>
      </c>
      <c r="U479" s="542">
        <f>IF(AND(U$4&gt;$T160,U$4&lt;=$V160),1,0)*'Detailed Assumptions'!$E$6</f>
        <v>0</v>
      </c>
      <c r="V479" s="542">
        <f>IF(AND(V$4&gt;$T160,V$4&lt;=$V160),1,0)*'Detailed Assumptions'!$E$6</f>
        <v>0</v>
      </c>
      <c r="W479" s="542">
        <f>IF(AND(W$4&gt;$T160,W$4&lt;=$V160),1,0)*'Detailed Assumptions'!$E$6</f>
        <v>0</v>
      </c>
      <c r="X479" s="542">
        <f>IF(AND(X$4&gt;$T160,X$4&lt;=$V160),1,0)*'Detailed Assumptions'!$E$6</f>
        <v>0</v>
      </c>
      <c r="Y479" s="542">
        <f>IF(AND(Y$4&gt;$T160,Y$4&lt;=$V160),1,0)*'Detailed Assumptions'!$E$6</f>
        <v>0</v>
      </c>
      <c r="Z479" s="542">
        <f>IF(AND(Z$4&gt;$T160,Z$4&lt;=$V160),1,0)*'Detailed Assumptions'!$E$6</f>
        <v>0</v>
      </c>
      <c r="AA479" s="542">
        <f>IF(AND(AA$4&gt;$T160,AA$4&lt;=$V160),1,0)*'Detailed Assumptions'!$E$6</f>
        <v>0</v>
      </c>
      <c r="AB479" s="542">
        <f>IF(AND(AB$4&gt;$T160,AB$4&lt;=$V160),1,0)*'Detailed Assumptions'!$E$6</f>
        <v>0</v>
      </c>
      <c r="AC479" s="542">
        <f>IF(AND(AC$4&gt;$T160,AC$4&lt;=$V160),1,0)*'Detailed Assumptions'!$E$6</f>
        <v>0</v>
      </c>
      <c r="AD479" s="542">
        <f>IF(AND(AD$4&gt;$T160,AD$4&lt;=$V160),1,0)*'Detailed Assumptions'!$E$6</f>
        <v>0</v>
      </c>
      <c r="AE479" s="542">
        <f>IF(AND(AE$4&gt;$T160,AE$4&lt;=$V160),1,0)*'Detailed Assumptions'!$E$6</f>
        <v>0</v>
      </c>
      <c r="AF479" s="542">
        <f>IF(AND(AF$4&gt;$T160,AF$4&lt;=$V160),1,0)*'Detailed Assumptions'!$E$6</f>
        <v>0</v>
      </c>
      <c r="AG479" s="542">
        <f>IF(AND(AG$4&gt;$T160,AG$4&lt;=$V160),1,0)*'Detailed Assumptions'!$E$6</f>
        <v>0</v>
      </c>
      <c r="AH479" s="542">
        <f>IF(AND(AH$4&gt;$T160,AH$4&lt;=$V160),1,0)*'Detailed Assumptions'!$E$6</f>
        <v>0</v>
      </c>
      <c r="AI479" s="542">
        <f>IF(AND(AI$4&gt;$T160,AI$4&lt;=$V160),1,0)*'Detailed Assumptions'!$E$6</f>
        <v>0</v>
      </c>
      <c r="AJ479" s="542">
        <f>IF(AND(AJ$4&gt;$T160,AJ$4&lt;=$V160),1,0)*'Detailed Assumptions'!$E$6</f>
        <v>0</v>
      </c>
      <c r="AK479" s="542">
        <f>IF(AND(AK$4&gt;$T160,AK$4&lt;=$V160),1,0)*'Detailed Assumptions'!$E$6</f>
        <v>0</v>
      </c>
      <c r="AL479" s="542">
        <f>IF(AND(AL$4&gt;$T160,AL$4&lt;=$V160),1,0)*'Detailed Assumptions'!$E$6</f>
        <v>0</v>
      </c>
      <c r="AM479" s="542">
        <f>IF(AND(AM$4&gt;$T160,AM$4&lt;=$V160),1,0)*'Detailed Assumptions'!$E$6</f>
        <v>0</v>
      </c>
      <c r="AN479" s="542">
        <f>IF(AND(AN$4&gt;$T160,AN$4&lt;=$V160),1,0)*'Detailed Assumptions'!$E$6</f>
        <v>0</v>
      </c>
      <c r="AO479" s="542">
        <f>IF(AND(AO$4&gt;$T160,AO$4&lt;=$V160),1,0)*'Detailed Assumptions'!$E$6</f>
        <v>0</v>
      </c>
      <c r="AP479" s="542">
        <f>IF(AND(AP$4&gt;$T160,AP$4&lt;=$V160),1,0)*'Detailed Assumptions'!$E$6</f>
        <v>0</v>
      </c>
      <c r="AQ479" s="542">
        <f>IF(AND(AQ$4&gt;$T160,AQ$4&lt;=$V160),1,0)*'Detailed Assumptions'!$E$6</f>
        <v>0</v>
      </c>
      <c r="AR479" s="542">
        <f>IF(AND(AR$4&gt;$T160,AR$4&lt;=$V160),1,0)*'Detailed Assumptions'!$E$6</f>
        <v>0</v>
      </c>
      <c r="AS479" s="542">
        <f>IF(AND(AS$4&gt;$T160,AS$4&lt;=$V160),1,0)*'Detailed Assumptions'!$E$6</f>
        <v>0</v>
      </c>
      <c r="AT479" s="542">
        <f>IF(AND(AT$4&gt;$T160,AT$4&lt;=$V160),1,0)*'Detailed Assumptions'!$E$6</f>
        <v>0</v>
      </c>
      <c r="AU479" s="542">
        <f>IF(AND(AU$4&gt;$T160,AU$4&lt;=$V160),1,0)*'Detailed Assumptions'!$E$6</f>
        <v>0</v>
      </c>
      <c r="AV479" s="542">
        <f>IF(AND(AV$4&gt;$T160,AV$4&lt;=$V160),1,0)*'Detailed Assumptions'!$E$6</f>
        <v>0</v>
      </c>
      <c r="AW479" s="542">
        <f>IF(AND(AW$4&gt;$T160,AW$4&lt;=$V160),1,0)*'Detailed Assumptions'!$E$6</f>
        <v>0</v>
      </c>
      <c r="AX479" s="542">
        <f>IF(AND(AX$4&gt;$T160,AX$4&lt;=$V160),1,0)*'Detailed Assumptions'!$E$6</f>
        <v>0</v>
      </c>
      <c r="AY479" s="542">
        <f>IF(AND(AY$4&gt;$T160,AY$4&lt;=$V160),1,0)*'Detailed Assumptions'!$E$6</f>
        <v>0</v>
      </c>
      <c r="AZ479" s="542">
        <f>IF(AND(AZ$4&gt;$T160,AZ$4&lt;=$V160),1,0)*'Detailed Assumptions'!$E$6</f>
        <v>0</v>
      </c>
      <c r="BA479" s="542">
        <f>IF(AND(BA$4&gt;$T160,BA$4&lt;=$V160),1,0)*'Detailed Assumptions'!$E$6</f>
        <v>0</v>
      </c>
      <c r="BB479" s="542">
        <f>IF(AND(BB$4&gt;$T160,BB$4&lt;=$V160),1,0)*'Detailed Assumptions'!$E$6</f>
        <v>0</v>
      </c>
      <c r="BC479" s="542">
        <f>IF(AND(BC$4&gt;$T160,BC$4&lt;=$V160),1,0)*'Detailed Assumptions'!$E$6</f>
        <v>0</v>
      </c>
      <c r="BD479" s="542">
        <f>IF(AND(BD$4&gt;$T160,BD$4&lt;=$V160),1,0)*'Detailed Assumptions'!$E$6</f>
        <v>0</v>
      </c>
      <c r="BE479" s="542">
        <f>IF(AND(BE$4&gt;$T160,BE$4&lt;=$V160),1,0)*'Detailed Assumptions'!$E$6</f>
        <v>0</v>
      </c>
      <c r="BF479" s="542">
        <f>IF(AND(BF$4&gt;$T160,BF$4&lt;=$V160),1,0)*'Detailed Assumptions'!$E$6</f>
        <v>0</v>
      </c>
      <c r="BG479" s="542">
        <f>IF(AND(BG$4&gt;$T160,BG$4&lt;=$V160),1,0)*'Detailed Assumptions'!$E$6</f>
        <v>0</v>
      </c>
      <c r="BH479" s="542">
        <f>IF(AND(BH$4&gt;$T160,BH$4&lt;=$V160),1,0)*'Detailed Assumptions'!$E$6</f>
        <v>0</v>
      </c>
      <c r="BI479" s="542">
        <f>IF(AND(BI$4&gt;$T160,BI$4&lt;=$V160),1,0)*'Detailed Assumptions'!$E$6</f>
        <v>0</v>
      </c>
      <c r="BJ479" s="542">
        <f>IF(AND(BJ$4&gt;$T160,BJ$4&lt;=$V160),1,0)*'Detailed Assumptions'!$E$6</f>
        <v>0</v>
      </c>
      <c r="BK479" s="542">
        <f>IF(AND(BK$4&gt;$T160,BK$4&lt;=$V160),1,0)*'Detailed Assumptions'!$E$6</f>
        <v>0</v>
      </c>
      <c r="BL479" s="542">
        <f>IF(AND(BL$4&gt;$T160,BL$4&lt;=$V160),1,0)*'Detailed Assumptions'!$E$6</f>
        <v>0</v>
      </c>
      <c r="BM479" s="542">
        <f>IF(AND(BM$4&gt;$T160,BM$4&lt;=$V160),1,0)*'Detailed Assumptions'!$E$6</f>
        <v>0</v>
      </c>
      <c r="BN479" s="542">
        <f>IF(AND(BN$4&gt;$T160,BN$4&lt;=$V160),1,0)*'Detailed Assumptions'!$E$6</f>
        <v>0</v>
      </c>
      <c r="BO479" s="542">
        <f>IF(AND(BO$4&gt;$T160,BO$4&lt;=$V160),1,0)*'Detailed Assumptions'!$E$6</f>
        <v>0</v>
      </c>
      <c r="BP479" s="542">
        <f>IF(AND(BP$4&gt;$T160,BP$4&lt;=$V160),1,0)*'Detailed Assumptions'!$E$6</f>
        <v>0</v>
      </c>
      <c r="BQ479" s="542">
        <f>IF(AND(BQ$4&gt;$T160,BQ$4&lt;=$V160),1,0)*'Detailed Assumptions'!$E$6</f>
        <v>0</v>
      </c>
      <c r="BR479" s="542">
        <f>IF(AND(BR$4&gt;$T160,BR$4&lt;=$V160),1,0)*'Detailed Assumptions'!$E$6</f>
        <v>0</v>
      </c>
      <c r="BS479" s="542">
        <f>IF(AND(BS$4&gt;$T160,BS$4&lt;=$V160),1,0)*'Detailed Assumptions'!$E$6</f>
        <v>0</v>
      </c>
      <c r="BT479" s="542">
        <f>IF(AND(BT$4&gt;$T160,BT$4&lt;=$V160),1,0)*'Detailed Assumptions'!$E$6</f>
        <v>0</v>
      </c>
      <c r="BU479" s="542">
        <f>IF(AND(BU$4&gt;$T160,BU$4&lt;=$V160),1,0)*'Detailed Assumptions'!$E$6</f>
        <v>0</v>
      </c>
      <c r="BV479" s="542">
        <f>IF(AND(BV$4&gt;$T160,BV$4&lt;=$V160),1,0)*'Detailed Assumptions'!$E$6</f>
        <v>0</v>
      </c>
      <c r="BW479" s="542">
        <f>IF(AND(BW$4&gt;$T160,BW$4&lt;=$V160),1,0)*'Detailed Assumptions'!$E$6</f>
        <v>0</v>
      </c>
      <c r="BX479" s="542">
        <f>IF(AND(BX$4&gt;$T160,BX$4&lt;=$V160),1,0)*'Detailed Assumptions'!$E$6</f>
        <v>0</v>
      </c>
      <c r="BY479" s="542">
        <f>IF(AND(BY$4&gt;$T160,BY$4&lt;=$V160),1,0)*'Detailed Assumptions'!$E$6</f>
        <v>0</v>
      </c>
    </row>
    <row r="480" spans="1:77" x14ac:dyDescent="0.3">
      <c r="A480" s="551"/>
      <c r="B480" s="548"/>
      <c r="C480" s="525"/>
      <c r="D480" s="525"/>
      <c r="E480" s="525"/>
      <c r="F480" s="525"/>
      <c r="G480" s="525"/>
      <c r="H480" s="525"/>
      <c r="I480" s="525"/>
      <c r="J480" s="525"/>
      <c r="K480" s="525"/>
      <c r="L480" s="525"/>
      <c r="M480" s="525"/>
      <c r="N480" s="525"/>
      <c r="O480" s="525"/>
      <c r="P480" s="565"/>
      <c r="Q480" s="525"/>
      <c r="R480" s="525"/>
      <c r="S480" s="525"/>
      <c r="T480" s="525"/>
      <c r="U480" s="525"/>
      <c r="V480" s="525"/>
      <c r="W480" s="525"/>
      <c r="X480" s="525"/>
      <c r="Y480" s="525"/>
      <c r="Z480" s="525"/>
      <c r="AA480" s="525"/>
      <c r="AB480" s="525"/>
      <c r="AC480" s="525"/>
      <c r="AD480" s="525"/>
      <c r="AE480" s="525"/>
      <c r="AF480" s="525"/>
      <c r="AG480" s="525"/>
      <c r="AH480" s="525"/>
      <c r="AI480" s="525"/>
      <c r="AJ480" s="525"/>
      <c r="AK480" s="525"/>
      <c r="AL480" s="525"/>
      <c r="AM480" s="525"/>
      <c r="AN480" s="525"/>
      <c r="AO480" s="525"/>
      <c r="AP480" s="525"/>
      <c r="AQ480" s="525"/>
      <c r="AR480" s="525"/>
      <c r="AS480" s="525"/>
      <c r="AT480" s="525"/>
      <c r="AU480" s="525"/>
      <c r="AV480" s="525"/>
      <c r="AW480" s="525"/>
      <c r="AX480" s="525"/>
      <c r="AY480" s="525"/>
      <c r="AZ480" s="525"/>
      <c r="BA480" s="525"/>
      <c r="BB480" s="525"/>
      <c r="BC480" s="525"/>
      <c r="BD480" s="525"/>
      <c r="BE480" s="525"/>
      <c r="BF480" s="525"/>
      <c r="BG480" s="525"/>
      <c r="BH480" s="525"/>
      <c r="BI480" s="525"/>
      <c r="BJ480" s="525"/>
      <c r="BK480" s="525"/>
      <c r="BL480" s="525"/>
      <c r="BM480" s="525"/>
      <c r="BN480" s="525"/>
      <c r="BO480" s="525"/>
      <c r="BP480" s="525"/>
      <c r="BQ480" s="525"/>
      <c r="BR480" s="525"/>
      <c r="BS480" s="525"/>
      <c r="BT480" s="525"/>
      <c r="BU480" s="525"/>
      <c r="BV480" s="525"/>
      <c r="BW480" s="525"/>
      <c r="BX480" s="525"/>
      <c r="BY480" s="525"/>
    </row>
    <row r="481" spans="1:77" x14ac:dyDescent="0.3">
      <c r="A481" s="551"/>
      <c r="B481" s="548"/>
      <c r="C481" s="525"/>
      <c r="D481" s="525"/>
      <c r="E481" s="570" t="s">
        <v>114</v>
      </c>
      <c r="F481" s="525"/>
      <c r="G481" s="525"/>
      <c r="H481" s="525"/>
      <c r="I481" s="525"/>
      <c r="J481" s="525"/>
      <c r="K481" s="525"/>
      <c r="L481" s="525"/>
      <c r="M481" s="525"/>
      <c r="N481" s="525"/>
      <c r="O481" s="525"/>
      <c r="P481" s="565"/>
      <c r="Q481" s="525"/>
      <c r="R481" s="525"/>
      <c r="S481" s="525"/>
      <c r="T481" s="525"/>
      <c r="U481" s="525"/>
      <c r="V481" s="525"/>
      <c r="W481" s="525"/>
      <c r="X481" s="525"/>
      <c r="Y481" s="525"/>
      <c r="Z481" s="525"/>
      <c r="AA481" s="525"/>
      <c r="AB481" s="525"/>
      <c r="AC481" s="525"/>
      <c r="AD481" s="525"/>
      <c r="AE481" s="525"/>
      <c r="AF481" s="525"/>
      <c r="AG481" s="525"/>
      <c r="AH481" s="525"/>
      <c r="AI481" s="525"/>
      <c r="AJ481" s="525"/>
      <c r="AK481" s="525"/>
      <c r="AL481" s="525"/>
      <c r="AM481" s="525"/>
      <c r="AN481" s="525"/>
      <c r="AO481" s="525"/>
      <c r="AP481" s="525"/>
      <c r="AQ481" s="525"/>
      <c r="AR481" s="525"/>
      <c r="AS481" s="525"/>
      <c r="AT481" s="525"/>
      <c r="AU481" s="525"/>
      <c r="AV481" s="525"/>
      <c r="AW481" s="525"/>
      <c r="AX481" s="525"/>
      <c r="AY481" s="525"/>
      <c r="AZ481" s="525"/>
      <c r="BA481" s="525"/>
      <c r="BB481" s="525"/>
      <c r="BC481" s="525"/>
      <c r="BD481" s="525"/>
      <c r="BE481" s="525"/>
      <c r="BF481" s="525"/>
      <c r="BG481" s="525"/>
      <c r="BH481" s="525"/>
      <c r="BI481" s="525"/>
      <c r="BJ481" s="525"/>
      <c r="BK481" s="525"/>
      <c r="BL481" s="525"/>
      <c r="BM481" s="525"/>
      <c r="BN481" s="525"/>
      <c r="BO481" s="525"/>
      <c r="BP481" s="525"/>
      <c r="BQ481" s="525"/>
      <c r="BR481" s="525"/>
      <c r="BS481" s="525"/>
      <c r="BT481" s="525"/>
      <c r="BU481" s="525"/>
      <c r="BV481" s="525"/>
      <c r="BW481" s="525"/>
      <c r="BX481" s="525"/>
      <c r="BY481" s="525"/>
    </row>
    <row r="482" spans="1:77" x14ac:dyDescent="0.3">
      <c r="A482" s="551"/>
      <c r="B482" s="548"/>
      <c r="C482" s="548"/>
      <c r="D482" s="525"/>
      <c r="E482" s="652" t="str">
        <f>"Pre vs post capex: "&amp;E$155</f>
        <v>Pre vs post capex: FY27 Tranche</v>
      </c>
      <c r="F482" s="574"/>
      <c r="G482" s="574"/>
      <c r="H482" s="574"/>
      <c r="I482" s="574"/>
      <c r="J482" s="574"/>
      <c r="K482" s="574"/>
      <c r="L482" s="574"/>
      <c r="M482" s="574"/>
      <c r="N482" s="574"/>
      <c r="O482" s="574"/>
      <c r="P482" s="653"/>
      <c r="Q482" s="574"/>
      <c r="R482" s="543">
        <f t="shared" ref="R482:BY486" si="655">IF(R498=0,0,1)</f>
        <v>0</v>
      </c>
      <c r="S482" s="543">
        <f t="shared" si="655"/>
        <v>0</v>
      </c>
      <c r="T482" s="543">
        <f t="shared" si="655"/>
        <v>0</v>
      </c>
      <c r="U482" s="543">
        <f t="shared" si="655"/>
        <v>0</v>
      </c>
      <c r="V482" s="543">
        <f t="shared" si="655"/>
        <v>0</v>
      </c>
      <c r="W482" s="543">
        <f t="shared" si="655"/>
        <v>0</v>
      </c>
      <c r="X482" s="543">
        <f t="shared" si="655"/>
        <v>1</v>
      </c>
      <c r="Y482" s="543">
        <f t="shared" si="655"/>
        <v>1</v>
      </c>
      <c r="Z482" s="543">
        <f t="shared" si="655"/>
        <v>1</v>
      </c>
      <c r="AA482" s="543">
        <f t="shared" si="655"/>
        <v>1</v>
      </c>
      <c r="AB482" s="543">
        <f t="shared" si="655"/>
        <v>1</v>
      </c>
      <c r="AC482" s="543">
        <f t="shared" si="655"/>
        <v>1</v>
      </c>
      <c r="AD482" s="543">
        <f t="shared" si="655"/>
        <v>1</v>
      </c>
      <c r="AE482" s="543">
        <f t="shared" si="655"/>
        <v>1</v>
      </c>
      <c r="AF482" s="543">
        <f t="shared" si="655"/>
        <v>1</v>
      </c>
      <c r="AG482" s="543">
        <f t="shared" si="655"/>
        <v>1</v>
      </c>
      <c r="AH482" s="543">
        <f t="shared" si="655"/>
        <v>1</v>
      </c>
      <c r="AI482" s="543">
        <f t="shared" si="655"/>
        <v>1</v>
      </c>
      <c r="AJ482" s="543">
        <f t="shared" si="655"/>
        <v>1</v>
      </c>
      <c r="AK482" s="543">
        <f t="shared" si="655"/>
        <v>1</v>
      </c>
      <c r="AL482" s="543">
        <f t="shared" si="655"/>
        <v>1</v>
      </c>
      <c r="AM482" s="543">
        <f t="shared" si="655"/>
        <v>1</v>
      </c>
      <c r="AN482" s="543">
        <f t="shared" si="655"/>
        <v>1</v>
      </c>
      <c r="AO482" s="543">
        <f t="shared" si="655"/>
        <v>1</v>
      </c>
      <c r="AP482" s="543">
        <f t="shared" si="655"/>
        <v>1</v>
      </c>
      <c r="AQ482" s="543">
        <f t="shared" si="655"/>
        <v>1</v>
      </c>
      <c r="AR482" s="543">
        <f t="shared" si="655"/>
        <v>1</v>
      </c>
      <c r="AS482" s="543">
        <f t="shared" si="655"/>
        <v>1</v>
      </c>
      <c r="AT482" s="543">
        <f t="shared" si="655"/>
        <v>1</v>
      </c>
      <c r="AU482" s="543">
        <f t="shared" si="655"/>
        <v>1</v>
      </c>
      <c r="AV482" s="543">
        <f t="shared" si="655"/>
        <v>1</v>
      </c>
      <c r="AW482" s="543">
        <f t="shared" si="655"/>
        <v>1</v>
      </c>
      <c r="AX482" s="543">
        <f t="shared" si="655"/>
        <v>1</v>
      </c>
      <c r="AY482" s="543">
        <f t="shared" si="655"/>
        <v>1</v>
      </c>
      <c r="AZ482" s="543">
        <f t="shared" si="655"/>
        <v>1</v>
      </c>
      <c r="BA482" s="543">
        <f t="shared" si="655"/>
        <v>1</v>
      </c>
      <c r="BB482" s="543">
        <f t="shared" si="655"/>
        <v>1</v>
      </c>
      <c r="BC482" s="543">
        <f t="shared" si="655"/>
        <v>1</v>
      </c>
      <c r="BD482" s="543">
        <f t="shared" si="655"/>
        <v>1</v>
      </c>
      <c r="BE482" s="543">
        <f t="shared" si="655"/>
        <v>1</v>
      </c>
      <c r="BF482" s="543">
        <f t="shared" si="655"/>
        <v>1</v>
      </c>
      <c r="BG482" s="543">
        <f t="shared" si="655"/>
        <v>1</v>
      </c>
      <c r="BH482" s="543">
        <f t="shared" si="655"/>
        <v>1</v>
      </c>
      <c r="BI482" s="543">
        <f t="shared" si="655"/>
        <v>1</v>
      </c>
      <c r="BJ482" s="543">
        <f t="shared" si="655"/>
        <v>1</v>
      </c>
      <c r="BK482" s="543">
        <f t="shared" si="655"/>
        <v>1</v>
      </c>
      <c r="BL482" s="543">
        <f t="shared" si="655"/>
        <v>1</v>
      </c>
      <c r="BM482" s="543">
        <f t="shared" si="655"/>
        <v>1</v>
      </c>
      <c r="BN482" s="543">
        <f t="shared" si="655"/>
        <v>1</v>
      </c>
      <c r="BO482" s="543">
        <f t="shared" si="655"/>
        <v>1</v>
      </c>
      <c r="BP482" s="543">
        <f t="shared" si="655"/>
        <v>1</v>
      </c>
      <c r="BQ482" s="543">
        <f t="shared" si="655"/>
        <v>1</v>
      </c>
      <c r="BR482" s="543">
        <f t="shared" si="655"/>
        <v>1</v>
      </c>
      <c r="BS482" s="543">
        <f t="shared" si="655"/>
        <v>1</v>
      </c>
      <c r="BT482" s="543">
        <f t="shared" si="655"/>
        <v>1</v>
      </c>
      <c r="BU482" s="543">
        <f t="shared" si="655"/>
        <v>1</v>
      </c>
      <c r="BV482" s="543">
        <f t="shared" si="655"/>
        <v>1</v>
      </c>
      <c r="BW482" s="543">
        <f t="shared" si="655"/>
        <v>1</v>
      </c>
      <c r="BX482" s="543">
        <f t="shared" si="655"/>
        <v>1</v>
      </c>
      <c r="BY482" s="543">
        <f t="shared" si="655"/>
        <v>1</v>
      </c>
    </row>
    <row r="483" spans="1:77" x14ac:dyDescent="0.3">
      <c r="A483" s="551"/>
      <c r="B483" s="548"/>
      <c r="C483" s="548"/>
      <c r="D483" s="525"/>
      <c r="E483" s="652" t="str">
        <f>"Pre vs post capex: "&amp;E$156</f>
        <v>Pre vs post capex: FY28 Tranche</v>
      </c>
      <c r="F483" s="574"/>
      <c r="G483" s="574"/>
      <c r="H483" s="574"/>
      <c r="I483" s="574"/>
      <c r="J483" s="574"/>
      <c r="K483" s="574"/>
      <c r="L483" s="574"/>
      <c r="M483" s="574"/>
      <c r="N483" s="574"/>
      <c r="O483" s="574"/>
      <c r="P483" s="653"/>
      <c r="Q483" s="574"/>
      <c r="R483" s="543">
        <f t="shared" si="655"/>
        <v>0</v>
      </c>
      <c r="S483" s="543">
        <f t="shared" si="655"/>
        <v>0</v>
      </c>
      <c r="T483" s="543">
        <f t="shared" si="655"/>
        <v>0</v>
      </c>
      <c r="U483" s="543">
        <f t="shared" si="655"/>
        <v>0</v>
      </c>
      <c r="V483" s="543">
        <f t="shared" si="655"/>
        <v>0</v>
      </c>
      <c r="W483" s="543">
        <f t="shared" si="655"/>
        <v>0</v>
      </c>
      <c r="X483" s="543">
        <f t="shared" si="655"/>
        <v>0</v>
      </c>
      <c r="Y483" s="543">
        <f t="shared" si="655"/>
        <v>0</v>
      </c>
      <c r="Z483" s="543">
        <f t="shared" si="655"/>
        <v>0</v>
      </c>
      <c r="AA483" s="543">
        <f t="shared" si="655"/>
        <v>0</v>
      </c>
      <c r="AB483" s="543">
        <f t="shared" si="655"/>
        <v>0</v>
      </c>
      <c r="AC483" s="543">
        <f t="shared" si="655"/>
        <v>0</v>
      </c>
      <c r="AD483" s="543">
        <f t="shared" si="655"/>
        <v>0</v>
      </c>
      <c r="AE483" s="543">
        <f t="shared" si="655"/>
        <v>0</v>
      </c>
      <c r="AF483" s="543">
        <f t="shared" si="655"/>
        <v>0</v>
      </c>
      <c r="AG483" s="543">
        <f t="shared" si="655"/>
        <v>0</v>
      </c>
      <c r="AH483" s="543">
        <f t="shared" si="655"/>
        <v>0</v>
      </c>
      <c r="AI483" s="543">
        <f t="shared" si="655"/>
        <v>0</v>
      </c>
      <c r="AJ483" s="543">
        <f t="shared" si="655"/>
        <v>1</v>
      </c>
      <c r="AK483" s="543">
        <f t="shared" si="655"/>
        <v>1</v>
      </c>
      <c r="AL483" s="543">
        <f t="shared" si="655"/>
        <v>1</v>
      </c>
      <c r="AM483" s="543">
        <f t="shared" si="655"/>
        <v>1</v>
      </c>
      <c r="AN483" s="543">
        <f t="shared" si="655"/>
        <v>1</v>
      </c>
      <c r="AO483" s="543">
        <f t="shared" si="655"/>
        <v>1</v>
      </c>
      <c r="AP483" s="543">
        <f t="shared" si="655"/>
        <v>1</v>
      </c>
      <c r="AQ483" s="543">
        <f t="shared" si="655"/>
        <v>1</v>
      </c>
      <c r="AR483" s="543">
        <f t="shared" si="655"/>
        <v>1</v>
      </c>
      <c r="AS483" s="543">
        <f t="shared" si="655"/>
        <v>1</v>
      </c>
      <c r="AT483" s="543">
        <f t="shared" si="655"/>
        <v>1</v>
      </c>
      <c r="AU483" s="543">
        <f t="shared" si="655"/>
        <v>1</v>
      </c>
      <c r="AV483" s="543">
        <f t="shared" si="655"/>
        <v>1</v>
      </c>
      <c r="AW483" s="543">
        <f t="shared" si="655"/>
        <v>1</v>
      </c>
      <c r="AX483" s="543">
        <f t="shared" si="655"/>
        <v>1</v>
      </c>
      <c r="AY483" s="543">
        <f t="shared" si="655"/>
        <v>1</v>
      </c>
      <c r="AZ483" s="543">
        <f t="shared" si="655"/>
        <v>1</v>
      </c>
      <c r="BA483" s="543">
        <f t="shared" si="655"/>
        <v>1</v>
      </c>
      <c r="BB483" s="543">
        <f t="shared" si="655"/>
        <v>1</v>
      </c>
      <c r="BC483" s="543">
        <f t="shared" si="655"/>
        <v>1</v>
      </c>
      <c r="BD483" s="543">
        <f t="shared" si="655"/>
        <v>1</v>
      </c>
      <c r="BE483" s="543">
        <f t="shared" si="655"/>
        <v>1</v>
      </c>
      <c r="BF483" s="543">
        <f t="shared" si="655"/>
        <v>1</v>
      </c>
      <c r="BG483" s="543">
        <f t="shared" si="655"/>
        <v>1</v>
      </c>
      <c r="BH483" s="543">
        <f t="shared" si="655"/>
        <v>1</v>
      </c>
      <c r="BI483" s="543">
        <f t="shared" si="655"/>
        <v>1</v>
      </c>
      <c r="BJ483" s="543">
        <f t="shared" si="655"/>
        <v>1</v>
      </c>
      <c r="BK483" s="543">
        <f t="shared" si="655"/>
        <v>1</v>
      </c>
      <c r="BL483" s="543">
        <f t="shared" si="655"/>
        <v>1</v>
      </c>
      <c r="BM483" s="543">
        <f t="shared" si="655"/>
        <v>1</v>
      </c>
      <c r="BN483" s="543">
        <f t="shared" si="655"/>
        <v>1</v>
      </c>
      <c r="BO483" s="543">
        <f t="shared" si="655"/>
        <v>1</v>
      </c>
      <c r="BP483" s="543">
        <f t="shared" si="655"/>
        <v>1</v>
      </c>
      <c r="BQ483" s="543">
        <f t="shared" si="655"/>
        <v>1</v>
      </c>
      <c r="BR483" s="543">
        <f t="shared" si="655"/>
        <v>1</v>
      </c>
      <c r="BS483" s="543">
        <f t="shared" si="655"/>
        <v>1</v>
      </c>
      <c r="BT483" s="543">
        <f t="shared" si="655"/>
        <v>1</v>
      </c>
      <c r="BU483" s="543">
        <f t="shared" si="655"/>
        <v>1</v>
      </c>
      <c r="BV483" s="543">
        <f t="shared" si="655"/>
        <v>1</v>
      </c>
      <c r="BW483" s="543">
        <f t="shared" si="655"/>
        <v>1</v>
      </c>
      <c r="BX483" s="543">
        <f t="shared" si="655"/>
        <v>1</v>
      </c>
      <c r="BY483" s="543">
        <f t="shared" si="655"/>
        <v>1</v>
      </c>
    </row>
    <row r="484" spans="1:77" x14ac:dyDescent="0.3">
      <c r="A484" s="551"/>
      <c r="B484" s="548"/>
      <c r="C484" s="548"/>
      <c r="D484" s="525"/>
      <c r="E484" s="652" t="str">
        <f>"Pre vs post capex: "&amp;E$157</f>
        <v>Pre vs post capex: FY29 Tranche</v>
      </c>
      <c r="F484" s="574"/>
      <c r="G484" s="574"/>
      <c r="H484" s="574"/>
      <c r="I484" s="574"/>
      <c r="J484" s="574"/>
      <c r="K484" s="574"/>
      <c r="L484" s="574"/>
      <c r="M484" s="574"/>
      <c r="N484" s="574"/>
      <c r="O484" s="574"/>
      <c r="P484" s="653"/>
      <c r="Q484" s="574"/>
      <c r="R484" s="543">
        <f t="shared" si="655"/>
        <v>0</v>
      </c>
      <c r="S484" s="543">
        <f t="shared" si="655"/>
        <v>0</v>
      </c>
      <c r="T484" s="543">
        <f t="shared" si="655"/>
        <v>0</v>
      </c>
      <c r="U484" s="543">
        <f t="shared" si="655"/>
        <v>0</v>
      </c>
      <c r="V484" s="543">
        <f t="shared" si="655"/>
        <v>0</v>
      </c>
      <c r="W484" s="543">
        <f t="shared" si="655"/>
        <v>0</v>
      </c>
      <c r="X484" s="543">
        <f t="shared" si="655"/>
        <v>0</v>
      </c>
      <c r="Y484" s="543">
        <f t="shared" si="655"/>
        <v>0</v>
      </c>
      <c r="Z484" s="543">
        <f t="shared" si="655"/>
        <v>0</v>
      </c>
      <c r="AA484" s="543">
        <f t="shared" si="655"/>
        <v>0</v>
      </c>
      <c r="AB484" s="543">
        <f t="shared" si="655"/>
        <v>0</v>
      </c>
      <c r="AC484" s="543">
        <f t="shared" si="655"/>
        <v>0</v>
      </c>
      <c r="AD484" s="543">
        <f t="shared" si="655"/>
        <v>0</v>
      </c>
      <c r="AE484" s="543">
        <f t="shared" si="655"/>
        <v>0</v>
      </c>
      <c r="AF484" s="543">
        <f t="shared" si="655"/>
        <v>0</v>
      </c>
      <c r="AG484" s="543">
        <f t="shared" si="655"/>
        <v>0</v>
      </c>
      <c r="AH484" s="543">
        <f t="shared" si="655"/>
        <v>0</v>
      </c>
      <c r="AI484" s="543">
        <f t="shared" si="655"/>
        <v>0</v>
      </c>
      <c r="AJ484" s="543">
        <f t="shared" si="655"/>
        <v>0</v>
      </c>
      <c r="AK484" s="543">
        <f t="shared" si="655"/>
        <v>0</v>
      </c>
      <c r="AL484" s="543">
        <f t="shared" si="655"/>
        <v>0</v>
      </c>
      <c r="AM484" s="543">
        <f t="shared" si="655"/>
        <v>0</v>
      </c>
      <c r="AN484" s="543">
        <f t="shared" si="655"/>
        <v>0</v>
      </c>
      <c r="AO484" s="543">
        <f t="shared" si="655"/>
        <v>0</v>
      </c>
      <c r="AP484" s="543">
        <f t="shared" si="655"/>
        <v>0</v>
      </c>
      <c r="AQ484" s="543">
        <f t="shared" si="655"/>
        <v>0</v>
      </c>
      <c r="AR484" s="543">
        <f t="shared" si="655"/>
        <v>0</v>
      </c>
      <c r="AS484" s="543">
        <f t="shared" si="655"/>
        <v>0</v>
      </c>
      <c r="AT484" s="543">
        <f t="shared" si="655"/>
        <v>0</v>
      </c>
      <c r="AU484" s="543">
        <f t="shared" si="655"/>
        <v>0</v>
      </c>
      <c r="AV484" s="543">
        <f t="shared" si="655"/>
        <v>1</v>
      </c>
      <c r="AW484" s="543">
        <f t="shared" si="655"/>
        <v>1</v>
      </c>
      <c r="AX484" s="543">
        <f t="shared" si="655"/>
        <v>1</v>
      </c>
      <c r="AY484" s="543">
        <f t="shared" si="655"/>
        <v>1</v>
      </c>
      <c r="AZ484" s="543">
        <f t="shared" si="655"/>
        <v>1</v>
      </c>
      <c r="BA484" s="543">
        <f t="shared" si="655"/>
        <v>1</v>
      </c>
      <c r="BB484" s="543">
        <f t="shared" si="655"/>
        <v>1</v>
      </c>
      <c r="BC484" s="543">
        <f t="shared" si="655"/>
        <v>1</v>
      </c>
      <c r="BD484" s="543">
        <f t="shared" si="655"/>
        <v>1</v>
      </c>
      <c r="BE484" s="543">
        <f t="shared" si="655"/>
        <v>1</v>
      </c>
      <c r="BF484" s="543">
        <f t="shared" si="655"/>
        <v>1</v>
      </c>
      <c r="BG484" s="543">
        <f t="shared" si="655"/>
        <v>1</v>
      </c>
      <c r="BH484" s="543">
        <f t="shared" si="655"/>
        <v>1</v>
      </c>
      <c r="BI484" s="543">
        <f t="shared" si="655"/>
        <v>1</v>
      </c>
      <c r="BJ484" s="543">
        <f t="shared" si="655"/>
        <v>1</v>
      </c>
      <c r="BK484" s="543">
        <f t="shared" si="655"/>
        <v>1</v>
      </c>
      <c r="BL484" s="543">
        <f t="shared" si="655"/>
        <v>1</v>
      </c>
      <c r="BM484" s="543">
        <f t="shared" si="655"/>
        <v>1</v>
      </c>
      <c r="BN484" s="543">
        <f t="shared" si="655"/>
        <v>1</v>
      </c>
      <c r="BO484" s="543">
        <f t="shared" si="655"/>
        <v>1</v>
      </c>
      <c r="BP484" s="543">
        <f t="shared" si="655"/>
        <v>1</v>
      </c>
      <c r="BQ484" s="543">
        <f t="shared" si="655"/>
        <v>1</v>
      </c>
      <c r="BR484" s="543">
        <f t="shared" si="655"/>
        <v>1</v>
      </c>
      <c r="BS484" s="543">
        <f t="shared" si="655"/>
        <v>1</v>
      </c>
      <c r="BT484" s="543">
        <f t="shared" si="655"/>
        <v>1</v>
      </c>
      <c r="BU484" s="543">
        <f t="shared" si="655"/>
        <v>1</v>
      </c>
      <c r="BV484" s="543">
        <f t="shared" si="655"/>
        <v>1</v>
      </c>
      <c r="BW484" s="543">
        <f t="shared" si="655"/>
        <v>1</v>
      </c>
      <c r="BX484" s="543">
        <f t="shared" si="655"/>
        <v>1</v>
      </c>
      <c r="BY484" s="543">
        <f t="shared" si="655"/>
        <v>1</v>
      </c>
    </row>
    <row r="485" spans="1:77" x14ac:dyDescent="0.3">
      <c r="A485" s="551"/>
      <c r="B485" s="548"/>
      <c r="C485" s="548"/>
      <c r="D485" s="525"/>
      <c r="E485" s="652" t="str">
        <f>"Pre vs post capex: "&amp;E$158</f>
        <v>Pre vs post capex: FY30 Tranche</v>
      </c>
      <c r="F485" s="574"/>
      <c r="G485" s="574"/>
      <c r="H485" s="574"/>
      <c r="I485" s="574"/>
      <c r="J485" s="574"/>
      <c r="K485" s="574"/>
      <c r="L485" s="574"/>
      <c r="M485" s="574"/>
      <c r="N485" s="574"/>
      <c r="O485" s="574"/>
      <c r="P485" s="653"/>
      <c r="Q485" s="574"/>
      <c r="R485" s="543">
        <f t="shared" si="655"/>
        <v>0</v>
      </c>
      <c r="S485" s="543">
        <f t="shared" si="655"/>
        <v>0</v>
      </c>
      <c r="T485" s="543">
        <f t="shared" si="655"/>
        <v>0</v>
      </c>
      <c r="U485" s="543">
        <f t="shared" si="655"/>
        <v>0</v>
      </c>
      <c r="V485" s="543">
        <f t="shared" si="655"/>
        <v>0</v>
      </c>
      <c r="W485" s="543">
        <f t="shared" si="655"/>
        <v>0</v>
      </c>
      <c r="X485" s="543">
        <f t="shared" si="655"/>
        <v>0</v>
      </c>
      <c r="Y485" s="543">
        <f t="shared" si="655"/>
        <v>0</v>
      </c>
      <c r="Z485" s="543">
        <f t="shared" si="655"/>
        <v>0</v>
      </c>
      <c r="AA485" s="543">
        <f t="shared" si="655"/>
        <v>0</v>
      </c>
      <c r="AB485" s="543">
        <f t="shared" si="655"/>
        <v>0</v>
      </c>
      <c r="AC485" s="543">
        <f t="shared" si="655"/>
        <v>0</v>
      </c>
      <c r="AD485" s="543">
        <f t="shared" si="655"/>
        <v>0</v>
      </c>
      <c r="AE485" s="543">
        <f t="shared" si="655"/>
        <v>0</v>
      </c>
      <c r="AF485" s="543">
        <f t="shared" si="655"/>
        <v>0</v>
      </c>
      <c r="AG485" s="543">
        <f t="shared" si="655"/>
        <v>0</v>
      </c>
      <c r="AH485" s="543">
        <f t="shared" si="655"/>
        <v>0</v>
      </c>
      <c r="AI485" s="543">
        <f t="shared" si="655"/>
        <v>0</v>
      </c>
      <c r="AJ485" s="543">
        <f t="shared" si="655"/>
        <v>0</v>
      </c>
      <c r="AK485" s="543">
        <f t="shared" si="655"/>
        <v>0</v>
      </c>
      <c r="AL485" s="543">
        <f t="shared" si="655"/>
        <v>0</v>
      </c>
      <c r="AM485" s="543">
        <f t="shared" si="655"/>
        <v>0</v>
      </c>
      <c r="AN485" s="543">
        <f t="shared" si="655"/>
        <v>0</v>
      </c>
      <c r="AO485" s="543">
        <f t="shared" si="655"/>
        <v>0</v>
      </c>
      <c r="AP485" s="543">
        <f t="shared" si="655"/>
        <v>0</v>
      </c>
      <c r="AQ485" s="543">
        <f t="shared" si="655"/>
        <v>0</v>
      </c>
      <c r="AR485" s="543">
        <f t="shared" si="655"/>
        <v>0</v>
      </c>
      <c r="AS485" s="543">
        <f t="shared" si="655"/>
        <v>0</v>
      </c>
      <c r="AT485" s="543">
        <f t="shared" si="655"/>
        <v>0</v>
      </c>
      <c r="AU485" s="543">
        <f t="shared" si="655"/>
        <v>0</v>
      </c>
      <c r="AV485" s="543">
        <f t="shared" si="655"/>
        <v>0</v>
      </c>
      <c r="AW485" s="543">
        <f t="shared" si="655"/>
        <v>0</v>
      </c>
      <c r="AX485" s="543">
        <f t="shared" si="655"/>
        <v>0</v>
      </c>
      <c r="AY485" s="543">
        <f t="shared" si="655"/>
        <v>0</v>
      </c>
      <c r="AZ485" s="543">
        <f t="shared" si="655"/>
        <v>0</v>
      </c>
      <c r="BA485" s="543">
        <f t="shared" si="655"/>
        <v>0</v>
      </c>
      <c r="BB485" s="543">
        <f t="shared" si="655"/>
        <v>0</v>
      </c>
      <c r="BC485" s="543">
        <f t="shared" si="655"/>
        <v>0</v>
      </c>
      <c r="BD485" s="543">
        <f t="shared" si="655"/>
        <v>0</v>
      </c>
      <c r="BE485" s="543">
        <f t="shared" si="655"/>
        <v>0</v>
      </c>
      <c r="BF485" s="543">
        <f t="shared" si="655"/>
        <v>0</v>
      </c>
      <c r="BG485" s="543">
        <f t="shared" si="655"/>
        <v>0</v>
      </c>
      <c r="BH485" s="543">
        <f t="shared" si="655"/>
        <v>1</v>
      </c>
      <c r="BI485" s="543">
        <f t="shared" si="655"/>
        <v>1</v>
      </c>
      <c r="BJ485" s="543">
        <f t="shared" si="655"/>
        <v>1</v>
      </c>
      <c r="BK485" s="543">
        <f t="shared" si="655"/>
        <v>1</v>
      </c>
      <c r="BL485" s="543">
        <f t="shared" si="655"/>
        <v>1</v>
      </c>
      <c r="BM485" s="543">
        <f t="shared" si="655"/>
        <v>1</v>
      </c>
      <c r="BN485" s="543">
        <f t="shared" si="655"/>
        <v>1</v>
      </c>
      <c r="BO485" s="543">
        <f t="shared" si="655"/>
        <v>1</v>
      </c>
      <c r="BP485" s="543">
        <f t="shared" si="655"/>
        <v>1</v>
      </c>
      <c r="BQ485" s="543">
        <f t="shared" si="655"/>
        <v>1</v>
      </c>
      <c r="BR485" s="543">
        <f t="shared" si="655"/>
        <v>1</v>
      </c>
      <c r="BS485" s="543">
        <f t="shared" si="655"/>
        <v>1</v>
      </c>
      <c r="BT485" s="543">
        <f t="shared" si="655"/>
        <v>1</v>
      </c>
      <c r="BU485" s="543">
        <f t="shared" si="655"/>
        <v>1</v>
      </c>
      <c r="BV485" s="543">
        <f t="shared" si="655"/>
        <v>1</v>
      </c>
      <c r="BW485" s="543">
        <f t="shared" si="655"/>
        <v>1</v>
      </c>
      <c r="BX485" s="543">
        <f t="shared" si="655"/>
        <v>1</v>
      </c>
      <c r="BY485" s="543">
        <f t="shared" si="655"/>
        <v>1</v>
      </c>
    </row>
    <row r="486" spans="1:77" x14ac:dyDescent="0.3">
      <c r="A486" s="551"/>
      <c r="B486" s="548"/>
      <c r="C486" s="548"/>
      <c r="D486" s="525"/>
      <c r="E486" s="652" t="str">
        <f>"Pre vs post capex: "&amp;E$159</f>
        <v>Pre vs post capex: FY31 Tranche</v>
      </c>
      <c r="F486" s="574"/>
      <c r="G486" s="574"/>
      <c r="H486" s="574"/>
      <c r="I486" s="574"/>
      <c r="J486" s="574"/>
      <c r="K486" s="574"/>
      <c r="L486" s="574"/>
      <c r="M486" s="574"/>
      <c r="N486" s="574"/>
      <c r="O486" s="574"/>
      <c r="P486" s="653"/>
      <c r="Q486" s="574"/>
      <c r="R486" s="543">
        <f t="shared" si="655"/>
        <v>0</v>
      </c>
      <c r="S486" s="543">
        <f t="shared" si="655"/>
        <v>0</v>
      </c>
      <c r="T486" s="543">
        <f t="shared" si="655"/>
        <v>0</v>
      </c>
      <c r="U486" s="543">
        <f t="shared" si="655"/>
        <v>0</v>
      </c>
      <c r="V486" s="543">
        <f t="shared" si="655"/>
        <v>0</v>
      </c>
      <c r="W486" s="543">
        <f t="shared" si="655"/>
        <v>0</v>
      </c>
      <c r="X486" s="543">
        <f t="shared" si="655"/>
        <v>0</v>
      </c>
      <c r="Y486" s="543">
        <f t="shared" si="655"/>
        <v>0</v>
      </c>
      <c r="Z486" s="543">
        <f t="shared" si="655"/>
        <v>0</v>
      </c>
      <c r="AA486" s="543">
        <f t="shared" si="655"/>
        <v>0</v>
      </c>
      <c r="AB486" s="543">
        <f t="shared" si="655"/>
        <v>0</v>
      </c>
      <c r="AC486" s="543">
        <f t="shared" si="655"/>
        <v>0</v>
      </c>
      <c r="AD486" s="543">
        <f t="shared" si="655"/>
        <v>0</v>
      </c>
      <c r="AE486" s="543">
        <f t="shared" si="655"/>
        <v>0</v>
      </c>
      <c r="AF486" s="543">
        <f t="shared" si="655"/>
        <v>0</v>
      </c>
      <c r="AG486" s="543">
        <f t="shared" ref="AG486:BY486" si="656">IF(AG502=0,0,1)</f>
        <v>0</v>
      </c>
      <c r="AH486" s="543">
        <f t="shared" si="656"/>
        <v>0</v>
      </c>
      <c r="AI486" s="543">
        <f t="shared" si="656"/>
        <v>0</v>
      </c>
      <c r="AJ486" s="543">
        <f t="shared" si="656"/>
        <v>0</v>
      </c>
      <c r="AK486" s="543">
        <f t="shared" si="656"/>
        <v>0</v>
      </c>
      <c r="AL486" s="543">
        <f t="shared" si="656"/>
        <v>0</v>
      </c>
      <c r="AM486" s="543">
        <f t="shared" si="656"/>
        <v>0</v>
      </c>
      <c r="AN486" s="543">
        <f t="shared" si="656"/>
        <v>0</v>
      </c>
      <c r="AO486" s="543">
        <f t="shared" si="656"/>
        <v>0</v>
      </c>
      <c r="AP486" s="543">
        <f t="shared" si="656"/>
        <v>0</v>
      </c>
      <c r="AQ486" s="543">
        <f t="shared" si="656"/>
        <v>0</v>
      </c>
      <c r="AR486" s="543">
        <f t="shared" si="656"/>
        <v>0</v>
      </c>
      <c r="AS486" s="543">
        <f t="shared" si="656"/>
        <v>0</v>
      </c>
      <c r="AT486" s="543">
        <f t="shared" si="656"/>
        <v>0</v>
      </c>
      <c r="AU486" s="543">
        <f t="shared" si="656"/>
        <v>0</v>
      </c>
      <c r="AV486" s="543">
        <f t="shared" si="656"/>
        <v>0</v>
      </c>
      <c r="AW486" s="543">
        <f t="shared" si="656"/>
        <v>0</v>
      </c>
      <c r="AX486" s="543">
        <f t="shared" si="656"/>
        <v>0</v>
      </c>
      <c r="AY486" s="543">
        <f t="shared" si="656"/>
        <v>0</v>
      </c>
      <c r="AZ486" s="543">
        <f t="shared" si="656"/>
        <v>0</v>
      </c>
      <c r="BA486" s="543">
        <f t="shared" si="656"/>
        <v>0</v>
      </c>
      <c r="BB486" s="543">
        <f t="shared" si="656"/>
        <v>0</v>
      </c>
      <c r="BC486" s="543">
        <f t="shared" si="656"/>
        <v>0</v>
      </c>
      <c r="BD486" s="543">
        <f t="shared" si="656"/>
        <v>0</v>
      </c>
      <c r="BE486" s="543">
        <f t="shared" si="656"/>
        <v>0</v>
      </c>
      <c r="BF486" s="543">
        <f t="shared" si="656"/>
        <v>0</v>
      </c>
      <c r="BG486" s="543">
        <f t="shared" si="656"/>
        <v>0</v>
      </c>
      <c r="BH486" s="543">
        <f t="shared" si="656"/>
        <v>0</v>
      </c>
      <c r="BI486" s="543">
        <f t="shared" si="656"/>
        <v>0</v>
      </c>
      <c r="BJ486" s="543">
        <f t="shared" si="656"/>
        <v>0</v>
      </c>
      <c r="BK486" s="543">
        <f t="shared" si="656"/>
        <v>0</v>
      </c>
      <c r="BL486" s="543">
        <f t="shared" si="656"/>
        <v>0</v>
      </c>
      <c r="BM486" s="543">
        <f t="shared" si="656"/>
        <v>0</v>
      </c>
      <c r="BN486" s="543">
        <f t="shared" si="656"/>
        <v>0</v>
      </c>
      <c r="BO486" s="543">
        <f t="shared" si="656"/>
        <v>0</v>
      </c>
      <c r="BP486" s="543">
        <f t="shared" si="656"/>
        <v>0</v>
      </c>
      <c r="BQ486" s="543">
        <f t="shared" si="656"/>
        <v>0</v>
      </c>
      <c r="BR486" s="543">
        <f t="shared" si="656"/>
        <v>0</v>
      </c>
      <c r="BS486" s="543">
        <f t="shared" si="656"/>
        <v>0</v>
      </c>
      <c r="BT486" s="543">
        <f t="shared" si="656"/>
        <v>1</v>
      </c>
      <c r="BU486" s="543">
        <f t="shared" si="656"/>
        <v>1</v>
      </c>
      <c r="BV486" s="543">
        <f t="shared" si="656"/>
        <v>1</v>
      </c>
      <c r="BW486" s="543">
        <f t="shared" si="656"/>
        <v>1</v>
      </c>
      <c r="BX486" s="543">
        <f t="shared" si="656"/>
        <v>1</v>
      </c>
      <c r="BY486" s="543">
        <f t="shared" si="656"/>
        <v>1</v>
      </c>
    </row>
    <row r="487" spans="1:77" x14ac:dyDescent="0.3">
      <c r="A487" s="551"/>
      <c r="B487" s="548"/>
      <c r="C487" s="548"/>
      <c r="D487" s="525"/>
      <c r="E487" s="652" t="str">
        <f>"Pre vs post capex: "&amp;E$160</f>
        <v>Pre vs post capex: Uninvested Tranche</v>
      </c>
      <c r="F487" s="574"/>
      <c r="G487" s="574"/>
      <c r="H487" s="574"/>
      <c r="I487" s="574"/>
      <c r="J487" s="574"/>
      <c r="K487" s="574"/>
      <c r="L487" s="574"/>
      <c r="M487" s="574"/>
      <c r="N487" s="574"/>
      <c r="O487" s="574"/>
      <c r="P487" s="653"/>
      <c r="Q487" s="574"/>
      <c r="R487" s="543">
        <f t="shared" ref="R487:AF487" si="657">IF(R503=0,0,1)</f>
        <v>0</v>
      </c>
      <c r="S487" s="543">
        <f t="shared" si="657"/>
        <v>0</v>
      </c>
      <c r="T487" s="543">
        <f t="shared" si="657"/>
        <v>0</v>
      </c>
      <c r="U487" s="543">
        <f t="shared" si="657"/>
        <v>0</v>
      </c>
      <c r="V487" s="543">
        <f t="shared" si="657"/>
        <v>0</v>
      </c>
      <c r="W487" s="543">
        <f t="shared" si="657"/>
        <v>0</v>
      </c>
      <c r="X487" s="543">
        <f t="shared" si="657"/>
        <v>0</v>
      </c>
      <c r="Y487" s="543">
        <f t="shared" si="657"/>
        <v>0</v>
      </c>
      <c r="Z487" s="543">
        <f t="shared" si="657"/>
        <v>0</v>
      </c>
      <c r="AA487" s="543">
        <f t="shared" si="657"/>
        <v>0</v>
      </c>
      <c r="AB487" s="543">
        <f t="shared" si="657"/>
        <v>0</v>
      </c>
      <c r="AC487" s="543">
        <f t="shared" si="657"/>
        <v>0</v>
      </c>
      <c r="AD487" s="543">
        <f t="shared" si="657"/>
        <v>0</v>
      </c>
      <c r="AE487" s="543">
        <f t="shared" si="657"/>
        <v>0</v>
      </c>
      <c r="AF487" s="543">
        <f t="shared" si="657"/>
        <v>0</v>
      </c>
      <c r="AG487" s="543">
        <f t="shared" ref="AG487:BY487" si="658">IF(AG503=0,0,1)</f>
        <v>0</v>
      </c>
      <c r="AH487" s="543">
        <f t="shared" si="658"/>
        <v>0</v>
      </c>
      <c r="AI487" s="543">
        <f t="shared" si="658"/>
        <v>0</v>
      </c>
      <c r="AJ487" s="543">
        <f t="shared" si="658"/>
        <v>0</v>
      </c>
      <c r="AK487" s="543">
        <f t="shared" si="658"/>
        <v>0</v>
      </c>
      <c r="AL487" s="543">
        <f t="shared" si="658"/>
        <v>0</v>
      </c>
      <c r="AM487" s="543">
        <f t="shared" si="658"/>
        <v>0</v>
      </c>
      <c r="AN487" s="543">
        <f t="shared" si="658"/>
        <v>0</v>
      </c>
      <c r="AO487" s="543">
        <f t="shared" si="658"/>
        <v>0</v>
      </c>
      <c r="AP487" s="543">
        <f t="shared" si="658"/>
        <v>0</v>
      </c>
      <c r="AQ487" s="543">
        <f t="shared" si="658"/>
        <v>0</v>
      </c>
      <c r="AR487" s="543">
        <f t="shared" si="658"/>
        <v>0</v>
      </c>
      <c r="AS487" s="543">
        <f t="shared" si="658"/>
        <v>0</v>
      </c>
      <c r="AT487" s="543">
        <f t="shared" si="658"/>
        <v>0</v>
      </c>
      <c r="AU487" s="543">
        <f t="shared" si="658"/>
        <v>0</v>
      </c>
      <c r="AV487" s="543">
        <f t="shared" si="658"/>
        <v>0</v>
      </c>
      <c r="AW487" s="543">
        <f t="shared" si="658"/>
        <v>0</v>
      </c>
      <c r="AX487" s="543">
        <f t="shared" si="658"/>
        <v>0</v>
      </c>
      <c r="AY487" s="543">
        <f t="shared" si="658"/>
        <v>0</v>
      </c>
      <c r="AZ487" s="543">
        <f t="shared" si="658"/>
        <v>0</v>
      </c>
      <c r="BA487" s="543">
        <f t="shared" si="658"/>
        <v>0</v>
      </c>
      <c r="BB487" s="543">
        <f t="shared" si="658"/>
        <v>0</v>
      </c>
      <c r="BC487" s="543">
        <f t="shared" si="658"/>
        <v>0</v>
      </c>
      <c r="BD487" s="543">
        <f t="shared" si="658"/>
        <v>0</v>
      </c>
      <c r="BE487" s="543">
        <f t="shared" si="658"/>
        <v>0</v>
      </c>
      <c r="BF487" s="543">
        <f t="shared" si="658"/>
        <v>0</v>
      </c>
      <c r="BG487" s="543">
        <f t="shared" si="658"/>
        <v>0</v>
      </c>
      <c r="BH487" s="543">
        <f t="shared" si="658"/>
        <v>0</v>
      </c>
      <c r="BI487" s="543">
        <f t="shared" si="658"/>
        <v>0</v>
      </c>
      <c r="BJ487" s="543">
        <f t="shared" si="658"/>
        <v>0</v>
      </c>
      <c r="BK487" s="543">
        <f t="shared" si="658"/>
        <v>0</v>
      </c>
      <c r="BL487" s="543">
        <f t="shared" si="658"/>
        <v>0</v>
      </c>
      <c r="BM487" s="543">
        <f t="shared" si="658"/>
        <v>0</v>
      </c>
      <c r="BN487" s="543">
        <f t="shared" si="658"/>
        <v>0</v>
      </c>
      <c r="BO487" s="543">
        <f t="shared" si="658"/>
        <v>0</v>
      </c>
      <c r="BP487" s="543">
        <f t="shared" si="658"/>
        <v>0</v>
      </c>
      <c r="BQ487" s="543">
        <f t="shared" si="658"/>
        <v>0</v>
      </c>
      <c r="BR487" s="543">
        <f t="shared" si="658"/>
        <v>0</v>
      </c>
      <c r="BS487" s="543">
        <f t="shared" si="658"/>
        <v>0</v>
      </c>
      <c r="BT487" s="543">
        <f t="shared" si="658"/>
        <v>0</v>
      </c>
      <c r="BU487" s="543">
        <f t="shared" si="658"/>
        <v>0</v>
      </c>
      <c r="BV487" s="543">
        <f t="shared" si="658"/>
        <v>0</v>
      </c>
      <c r="BW487" s="543">
        <f t="shared" si="658"/>
        <v>0</v>
      </c>
      <c r="BX487" s="543">
        <f t="shared" si="658"/>
        <v>0</v>
      </c>
      <c r="BY487" s="543">
        <f t="shared" si="658"/>
        <v>0</v>
      </c>
    </row>
    <row r="488" spans="1:77" x14ac:dyDescent="0.3">
      <c r="A488" s="551"/>
      <c r="B488" s="548"/>
      <c r="C488" s="525"/>
      <c r="D488" s="525"/>
      <c r="E488" s="525"/>
      <c r="F488" s="525"/>
      <c r="G488" s="525"/>
      <c r="H488" s="525"/>
      <c r="I488" s="525"/>
      <c r="J488" s="525"/>
      <c r="K488" s="525"/>
      <c r="L488" s="525"/>
      <c r="M488" s="525"/>
      <c r="N488" s="525"/>
      <c r="O488" s="525"/>
      <c r="P488" s="565"/>
      <c r="Q488" s="525"/>
      <c r="R488" s="525"/>
      <c r="S488" s="525"/>
      <c r="T488" s="525"/>
      <c r="U488" s="525"/>
      <c r="V488" s="525"/>
      <c r="W488" s="525"/>
      <c r="X488" s="525"/>
      <c r="Y488" s="525"/>
      <c r="Z488" s="525"/>
      <c r="AA488" s="525"/>
      <c r="AB488" s="525"/>
      <c r="AC488" s="525"/>
      <c r="AD488" s="525"/>
      <c r="AE488" s="525"/>
      <c r="AF488" s="525"/>
      <c r="AG488" s="525"/>
      <c r="AH488" s="525"/>
      <c r="AI488" s="525"/>
      <c r="AJ488" s="525"/>
      <c r="AK488" s="525"/>
      <c r="AL488" s="525"/>
      <c r="AM488" s="525"/>
      <c r="AN488" s="525"/>
      <c r="AO488" s="525"/>
      <c r="AP488" s="525"/>
      <c r="AQ488" s="525"/>
      <c r="AR488" s="525"/>
      <c r="AS488" s="525"/>
      <c r="AT488" s="525"/>
      <c r="AU488" s="525"/>
      <c r="AV488" s="525"/>
      <c r="AW488" s="525"/>
      <c r="AX488" s="525"/>
      <c r="AY488" s="525"/>
      <c r="AZ488" s="525"/>
      <c r="BA488" s="525"/>
      <c r="BB488" s="525"/>
      <c r="BC488" s="525"/>
      <c r="BD488" s="525"/>
      <c r="BE488" s="525"/>
      <c r="BF488" s="525"/>
      <c r="BG488" s="525"/>
      <c r="BH488" s="525"/>
      <c r="BI488" s="525"/>
      <c r="BJ488" s="525"/>
      <c r="BK488" s="525"/>
      <c r="BL488" s="525"/>
      <c r="BM488" s="525"/>
      <c r="BN488" s="525"/>
      <c r="BO488" s="525"/>
      <c r="BP488" s="525"/>
      <c r="BQ488" s="525"/>
      <c r="BR488" s="525"/>
      <c r="BS488" s="525"/>
      <c r="BT488" s="525"/>
      <c r="BU488" s="525"/>
      <c r="BV488" s="525"/>
      <c r="BW488" s="525"/>
      <c r="BX488" s="525"/>
      <c r="BY488" s="525"/>
    </row>
    <row r="489" spans="1:77" x14ac:dyDescent="0.3">
      <c r="A489" s="551"/>
      <c r="B489" s="548"/>
      <c r="C489" s="525"/>
      <c r="D489" s="525"/>
      <c r="E489" s="570" t="s">
        <v>115</v>
      </c>
      <c r="F489" s="525"/>
      <c r="G489" s="525"/>
      <c r="H489" s="525"/>
      <c r="I489" s="525"/>
      <c r="J489" s="525"/>
      <c r="K489" s="525"/>
      <c r="L489" s="525"/>
      <c r="M489" s="525"/>
      <c r="N489" s="525"/>
      <c r="O489" s="525"/>
      <c r="P489" s="565"/>
      <c r="Q489" s="525"/>
      <c r="R489" s="525"/>
      <c r="S489" s="525"/>
      <c r="T489" s="525"/>
      <c r="U489" s="525"/>
      <c r="V489" s="525"/>
      <c r="W489" s="525"/>
      <c r="X489" s="525"/>
      <c r="Y489" s="525"/>
      <c r="Z489" s="525"/>
      <c r="AA489" s="525"/>
      <c r="AB489" s="525"/>
      <c r="AC489" s="525"/>
      <c r="AD489" s="525"/>
      <c r="AE489" s="525"/>
      <c r="AF489" s="525"/>
      <c r="AG489" s="525"/>
      <c r="AH489" s="525"/>
      <c r="AI489" s="525"/>
      <c r="AJ489" s="525"/>
      <c r="AK489" s="525"/>
      <c r="AL489" s="525"/>
      <c r="AM489" s="525"/>
      <c r="AN489" s="525"/>
      <c r="AO489" s="525"/>
      <c r="AP489" s="525"/>
      <c r="AQ489" s="525"/>
      <c r="AR489" s="525"/>
      <c r="AS489" s="525"/>
      <c r="AT489" s="525"/>
      <c r="AU489" s="525"/>
      <c r="AV489" s="525"/>
      <c r="AW489" s="525"/>
      <c r="AX489" s="525"/>
      <c r="AY489" s="525"/>
      <c r="AZ489" s="525"/>
      <c r="BA489" s="525"/>
      <c r="BB489" s="525"/>
      <c r="BC489" s="525"/>
      <c r="BD489" s="525"/>
      <c r="BE489" s="525"/>
      <c r="BF489" s="525"/>
      <c r="BG489" s="525"/>
      <c r="BH489" s="525"/>
      <c r="BI489" s="525"/>
      <c r="BJ489" s="525"/>
      <c r="BK489" s="525"/>
      <c r="BL489" s="525"/>
      <c r="BM489" s="525"/>
      <c r="BN489" s="525"/>
      <c r="BO489" s="525"/>
      <c r="BP489" s="525"/>
      <c r="BQ489" s="525"/>
      <c r="BR489" s="525"/>
      <c r="BS489" s="525"/>
      <c r="BT489" s="525"/>
      <c r="BU489" s="525"/>
      <c r="BV489" s="525"/>
      <c r="BW489" s="525"/>
      <c r="BX489" s="525"/>
      <c r="BY489" s="525"/>
    </row>
    <row r="490" spans="1:77" x14ac:dyDescent="0.3">
      <c r="A490" s="551"/>
      <c r="B490" s="548"/>
      <c r="C490" s="548"/>
      <c r="D490" s="525"/>
      <c r="E490" s="652" t="str">
        <f>"Pre vs post capex: "&amp;E$155</f>
        <v>Pre vs post capex: FY27 Tranche</v>
      </c>
      <c r="F490" s="574"/>
      <c r="G490" s="574"/>
      <c r="H490" s="574"/>
      <c r="I490" s="574"/>
      <c r="J490" s="574"/>
      <c r="K490" s="574"/>
      <c r="L490" s="574"/>
      <c r="M490" s="574"/>
      <c r="N490" s="574"/>
      <c r="O490" s="574"/>
      <c r="P490" s="653"/>
      <c r="Q490" s="574"/>
      <c r="R490" s="543">
        <f t="shared" ref="R490:AW490" si="659">IF(R482=1,0,1)</f>
        <v>1</v>
      </c>
      <c r="S490" s="543">
        <f t="shared" si="659"/>
        <v>1</v>
      </c>
      <c r="T490" s="543">
        <f t="shared" si="659"/>
        <v>1</v>
      </c>
      <c r="U490" s="543">
        <f t="shared" si="659"/>
        <v>1</v>
      </c>
      <c r="V490" s="543">
        <f t="shared" si="659"/>
        <v>1</v>
      </c>
      <c r="W490" s="543">
        <f t="shared" si="659"/>
        <v>1</v>
      </c>
      <c r="X490" s="543">
        <f t="shared" si="659"/>
        <v>0</v>
      </c>
      <c r="Y490" s="543">
        <f t="shared" si="659"/>
        <v>0</v>
      </c>
      <c r="Z490" s="543">
        <f t="shared" si="659"/>
        <v>0</v>
      </c>
      <c r="AA490" s="543">
        <f t="shared" si="659"/>
        <v>0</v>
      </c>
      <c r="AB490" s="543">
        <f t="shared" si="659"/>
        <v>0</v>
      </c>
      <c r="AC490" s="543">
        <f t="shared" si="659"/>
        <v>0</v>
      </c>
      <c r="AD490" s="543">
        <f t="shared" si="659"/>
        <v>0</v>
      </c>
      <c r="AE490" s="543">
        <f t="shared" si="659"/>
        <v>0</v>
      </c>
      <c r="AF490" s="543">
        <f t="shared" si="659"/>
        <v>0</v>
      </c>
      <c r="AG490" s="543">
        <f t="shared" si="659"/>
        <v>0</v>
      </c>
      <c r="AH490" s="543">
        <f t="shared" si="659"/>
        <v>0</v>
      </c>
      <c r="AI490" s="543">
        <f t="shared" si="659"/>
        <v>0</v>
      </c>
      <c r="AJ490" s="543">
        <f t="shared" si="659"/>
        <v>0</v>
      </c>
      <c r="AK490" s="543">
        <f t="shared" si="659"/>
        <v>0</v>
      </c>
      <c r="AL490" s="543">
        <f t="shared" si="659"/>
        <v>0</v>
      </c>
      <c r="AM490" s="543">
        <f t="shared" si="659"/>
        <v>0</v>
      </c>
      <c r="AN490" s="543">
        <f t="shared" si="659"/>
        <v>0</v>
      </c>
      <c r="AO490" s="543">
        <f t="shared" si="659"/>
        <v>0</v>
      </c>
      <c r="AP490" s="543">
        <f t="shared" si="659"/>
        <v>0</v>
      </c>
      <c r="AQ490" s="543">
        <f t="shared" si="659"/>
        <v>0</v>
      </c>
      <c r="AR490" s="543">
        <f t="shared" si="659"/>
        <v>0</v>
      </c>
      <c r="AS490" s="543">
        <f t="shared" si="659"/>
        <v>0</v>
      </c>
      <c r="AT490" s="543">
        <f t="shared" si="659"/>
        <v>0</v>
      </c>
      <c r="AU490" s="543">
        <f t="shared" si="659"/>
        <v>0</v>
      </c>
      <c r="AV490" s="543">
        <f t="shared" si="659"/>
        <v>0</v>
      </c>
      <c r="AW490" s="543">
        <f t="shared" si="659"/>
        <v>0</v>
      </c>
      <c r="AX490" s="543">
        <f t="shared" ref="AX490:BY490" si="660">IF(AX482=1,0,1)</f>
        <v>0</v>
      </c>
      <c r="AY490" s="543">
        <f t="shared" si="660"/>
        <v>0</v>
      </c>
      <c r="AZ490" s="543">
        <f t="shared" si="660"/>
        <v>0</v>
      </c>
      <c r="BA490" s="543">
        <f t="shared" si="660"/>
        <v>0</v>
      </c>
      <c r="BB490" s="543">
        <f t="shared" si="660"/>
        <v>0</v>
      </c>
      <c r="BC490" s="543">
        <f t="shared" si="660"/>
        <v>0</v>
      </c>
      <c r="BD490" s="543">
        <f t="shared" si="660"/>
        <v>0</v>
      </c>
      <c r="BE490" s="543">
        <f t="shared" si="660"/>
        <v>0</v>
      </c>
      <c r="BF490" s="543">
        <f t="shared" si="660"/>
        <v>0</v>
      </c>
      <c r="BG490" s="543">
        <f t="shared" si="660"/>
        <v>0</v>
      </c>
      <c r="BH490" s="543">
        <f t="shared" si="660"/>
        <v>0</v>
      </c>
      <c r="BI490" s="543">
        <f t="shared" si="660"/>
        <v>0</v>
      </c>
      <c r="BJ490" s="543">
        <f t="shared" si="660"/>
        <v>0</v>
      </c>
      <c r="BK490" s="543">
        <f t="shared" si="660"/>
        <v>0</v>
      </c>
      <c r="BL490" s="543">
        <f t="shared" si="660"/>
        <v>0</v>
      </c>
      <c r="BM490" s="543">
        <f t="shared" si="660"/>
        <v>0</v>
      </c>
      <c r="BN490" s="543">
        <f t="shared" si="660"/>
        <v>0</v>
      </c>
      <c r="BO490" s="543">
        <f t="shared" si="660"/>
        <v>0</v>
      </c>
      <c r="BP490" s="543">
        <f t="shared" si="660"/>
        <v>0</v>
      </c>
      <c r="BQ490" s="543">
        <f t="shared" si="660"/>
        <v>0</v>
      </c>
      <c r="BR490" s="543">
        <f t="shared" si="660"/>
        <v>0</v>
      </c>
      <c r="BS490" s="543">
        <f t="shared" si="660"/>
        <v>0</v>
      </c>
      <c r="BT490" s="543">
        <f t="shared" si="660"/>
        <v>0</v>
      </c>
      <c r="BU490" s="543">
        <f t="shared" si="660"/>
        <v>0</v>
      </c>
      <c r="BV490" s="543">
        <f t="shared" si="660"/>
        <v>0</v>
      </c>
      <c r="BW490" s="543">
        <f t="shared" si="660"/>
        <v>0</v>
      </c>
      <c r="BX490" s="543">
        <f t="shared" si="660"/>
        <v>0</v>
      </c>
      <c r="BY490" s="543">
        <f t="shared" si="660"/>
        <v>0</v>
      </c>
    </row>
    <row r="491" spans="1:77" x14ac:dyDescent="0.3">
      <c r="A491" s="551"/>
      <c r="B491" s="548"/>
      <c r="C491" s="548"/>
      <c r="D491" s="525"/>
      <c r="E491" s="652" t="str">
        <f>"Pre vs post capex: "&amp;E$156</f>
        <v>Pre vs post capex: FY28 Tranche</v>
      </c>
      <c r="F491" s="574"/>
      <c r="G491" s="574"/>
      <c r="H491" s="574"/>
      <c r="I491" s="574"/>
      <c r="J491" s="574"/>
      <c r="K491" s="574"/>
      <c r="L491" s="574"/>
      <c r="M491" s="574"/>
      <c r="N491" s="574"/>
      <c r="O491" s="574"/>
      <c r="P491" s="653"/>
      <c r="Q491" s="574"/>
      <c r="R491" s="543">
        <f t="shared" ref="R491:AW491" si="661">IF(R483=1,0,1)</f>
        <v>1</v>
      </c>
      <c r="S491" s="543">
        <f t="shared" si="661"/>
        <v>1</v>
      </c>
      <c r="T491" s="543">
        <f t="shared" si="661"/>
        <v>1</v>
      </c>
      <c r="U491" s="543">
        <f t="shared" si="661"/>
        <v>1</v>
      </c>
      <c r="V491" s="543">
        <f t="shared" si="661"/>
        <v>1</v>
      </c>
      <c r="W491" s="543">
        <f t="shared" si="661"/>
        <v>1</v>
      </c>
      <c r="X491" s="543">
        <f t="shared" si="661"/>
        <v>1</v>
      </c>
      <c r="Y491" s="543">
        <f t="shared" si="661"/>
        <v>1</v>
      </c>
      <c r="Z491" s="543">
        <f t="shared" si="661"/>
        <v>1</v>
      </c>
      <c r="AA491" s="543">
        <f t="shared" si="661"/>
        <v>1</v>
      </c>
      <c r="AB491" s="543">
        <f t="shared" si="661"/>
        <v>1</v>
      </c>
      <c r="AC491" s="543">
        <f t="shared" si="661"/>
        <v>1</v>
      </c>
      <c r="AD491" s="543">
        <f t="shared" si="661"/>
        <v>1</v>
      </c>
      <c r="AE491" s="543">
        <f t="shared" si="661"/>
        <v>1</v>
      </c>
      <c r="AF491" s="543">
        <f t="shared" si="661"/>
        <v>1</v>
      </c>
      <c r="AG491" s="543">
        <f t="shared" si="661"/>
        <v>1</v>
      </c>
      <c r="AH491" s="543">
        <f t="shared" si="661"/>
        <v>1</v>
      </c>
      <c r="AI491" s="543">
        <f t="shared" si="661"/>
        <v>1</v>
      </c>
      <c r="AJ491" s="543">
        <f t="shared" si="661"/>
        <v>0</v>
      </c>
      <c r="AK491" s="543">
        <f t="shared" si="661"/>
        <v>0</v>
      </c>
      <c r="AL491" s="543">
        <f t="shared" si="661"/>
        <v>0</v>
      </c>
      <c r="AM491" s="543">
        <f t="shared" si="661"/>
        <v>0</v>
      </c>
      <c r="AN491" s="543">
        <f t="shared" si="661"/>
        <v>0</v>
      </c>
      <c r="AO491" s="543">
        <f t="shared" si="661"/>
        <v>0</v>
      </c>
      <c r="AP491" s="543">
        <f t="shared" si="661"/>
        <v>0</v>
      </c>
      <c r="AQ491" s="543">
        <f t="shared" si="661"/>
        <v>0</v>
      </c>
      <c r="AR491" s="543">
        <f t="shared" si="661"/>
        <v>0</v>
      </c>
      <c r="AS491" s="543">
        <f t="shared" si="661"/>
        <v>0</v>
      </c>
      <c r="AT491" s="543">
        <f t="shared" si="661"/>
        <v>0</v>
      </c>
      <c r="AU491" s="543">
        <f t="shared" si="661"/>
        <v>0</v>
      </c>
      <c r="AV491" s="543">
        <f t="shared" si="661"/>
        <v>0</v>
      </c>
      <c r="AW491" s="543">
        <f t="shared" si="661"/>
        <v>0</v>
      </c>
      <c r="AX491" s="543">
        <f t="shared" ref="AX491:BY491" si="662">IF(AX483=1,0,1)</f>
        <v>0</v>
      </c>
      <c r="AY491" s="543">
        <f t="shared" si="662"/>
        <v>0</v>
      </c>
      <c r="AZ491" s="543">
        <f t="shared" si="662"/>
        <v>0</v>
      </c>
      <c r="BA491" s="543">
        <f t="shared" si="662"/>
        <v>0</v>
      </c>
      <c r="BB491" s="543">
        <f t="shared" si="662"/>
        <v>0</v>
      </c>
      <c r="BC491" s="543">
        <f t="shared" si="662"/>
        <v>0</v>
      </c>
      <c r="BD491" s="543">
        <f t="shared" si="662"/>
        <v>0</v>
      </c>
      <c r="BE491" s="543">
        <f t="shared" si="662"/>
        <v>0</v>
      </c>
      <c r="BF491" s="543">
        <f t="shared" si="662"/>
        <v>0</v>
      </c>
      <c r="BG491" s="543">
        <f t="shared" si="662"/>
        <v>0</v>
      </c>
      <c r="BH491" s="543">
        <f t="shared" si="662"/>
        <v>0</v>
      </c>
      <c r="BI491" s="543">
        <f t="shared" si="662"/>
        <v>0</v>
      </c>
      <c r="BJ491" s="543">
        <f t="shared" si="662"/>
        <v>0</v>
      </c>
      <c r="BK491" s="543">
        <f t="shared" si="662"/>
        <v>0</v>
      </c>
      <c r="BL491" s="543">
        <f t="shared" si="662"/>
        <v>0</v>
      </c>
      <c r="BM491" s="543">
        <f t="shared" si="662"/>
        <v>0</v>
      </c>
      <c r="BN491" s="543">
        <f t="shared" si="662"/>
        <v>0</v>
      </c>
      <c r="BO491" s="543">
        <f t="shared" si="662"/>
        <v>0</v>
      </c>
      <c r="BP491" s="543">
        <f t="shared" si="662"/>
        <v>0</v>
      </c>
      <c r="BQ491" s="543">
        <f t="shared" si="662"/>
        <v>0</v>
      </c>
      <c r="BR491" s="543">
        <f t="shared" si="662"/>
        <v>0</v>
      </c>
      <c r="BS491" s="543">
        <f t="shared" si="662"/>
        <v>0</v>
      </c>
      <c r="BT491" s="543">
        <f t="shared" si="662"/>
        <v>0</v>
      </c>
      <c r="BU491" s="543">
        <f t="shared" si="662"/>
        <v>0</v>
      </c>
      <c r="BV491" s="543">
        <f t="shared" si="662"/>
        <v>0</v>
      </c>
      <c r="BW491" s="543">
        <f t="shared" si="662"/>
        <v>0</v>
      </c>
      <c r="BX491" s="543">
        <f t="shared" si="662"/>
        <v>0</v>
      </c>
      <c r="BY491" s="543">
        <f t="shared" si="662"/>
        <v>0</v>
      </c>
    </row>
    <row r="492" spans="1:77" x14ac:dyDescent="0.3">
      <c r="A492" s="551"/>
      <c r="B492" s="548"/>
      <c r="C492" s="548"/>
      <c r="D492" s="525"/>
      <c r="E492" s="652" t="str">
        <f>"Pre vs post capex: "&amp;E$157</f>
        <v>Pre vs post capex: FY29 Tranche</v>
      </c>
      <c r="F492" s="574"/>
      <c r="G492" s="574"/>
      <c r="H492" s="574"/>
      <c r="I492" s="574"/>
      <c r="J492" s="574"/>
      <c r="K492" s="574"/>
      <c r="L492" s="574"/>
      <c r="M492" s="574"/>
      <c r="N492" s="574"/>
      <c r="O492" s="574"/>
      <c r="P492" s="653"/>
      <c r="Q492" s="574"/>
      <c r="R492" s="543">
        <f t="shared" ref="R492:AW492" si="663">IF(R484=1,0,1)</f>
        <v>1</v>
      </c>
      <c r="S492" s="543">
        <f t="shared" si="663"/>
        <v>1</v>
      </c>
      <c r="T492" s="543">
        <f t="shared" si="663"/>
        <v>1</v>
      </c>
      <c r="U492" s="543">
        <f t="shared" si="663"/>
        <v>1</v>
      </c>
      <c r="V492" s="543">
        <f t="shared" si="663"/>
        <v>1</v>
      </c>
      <c r="W492" s="543">
        <f t="shared" si="663"/>
        <v>1</v>
      </c>
      <c r="X492" s="543">
        <f t="shared" si="663"/>
        <v>1</v>
      </c>
      <c r="Y492" s="543">
        <f t="shared" si="663"/>
        <v>1</v>
      </c>
      <c r="Z492" s="543">
        <f t="shared" si="663"/>
        <v>1</v>
      </c>
      <c r="AA492" s="543">
        <f t="shared" si="663"/>
        <v>1</v>
      </c>
      <c r="AB492" s="543">
        <f t="shared" si="663"/>
        <v>1</v>
      </c>
      <c r="AC492" s="543">
        <f t="shared" si="663"/>
        <v>1</v>
      </c>
      <c r="AD492" s="543">
        <f t="shared" si="663"/>
        <v>1</v>
      </c>
      <c r="AE492" s="543">
        <f t="shared" si="663"/>
        <v>1</v>
      </c>
      <c r="AF492" s="543">
        <f t="shared" si="663"/>
        <v>1</v>
      </c>
      <c r="AG492" s="543">
        <f t="shared" si="663"/>
        <v>1</v>
      </c>
      <c r="AH492" s="543">
        <f t="shared" si="663"/>
        <v>1</v>
      </c>
      <c r="AI492" s="543">
        <f t="shared" si="663"/>
        <v>1</v>
      </c>
      <c r="AJ492" s="543">
        <f t="shared" si="663"/>
        <v>1</v>
      </c>
      <c r="AK492" s="543">
        <f t="shared" si="663"/>
        <v>1</v>
      </c>
      <c r="AL492" s="543">
        <f t="shared" si="663"/>
        <v>1</v>
      </c>
      <c r="AM492" s="543">
        <f t="shared" si="663"/>
        <v>1</v>
      </c>
      <c r="AN492" s="543">
        <f t="shared" si="663"/>
        <v>1</v>
      </c>
      <c r="AO492" s="543">
        <f t="shared" si="663"/>
        <v>1</v>
      </c>
      <c r="AP492" s="543">
        <f t="shared" si="663"/>
        <v>1</v>
      </c>
      <c r="AQ492" s="543">
        <f t="shared" si="663"/>
        <v>1</v>
      </c>
      <c r="AR492" s="543">
        <f t="shared" si="663"/>
        <v>1</v>
      </c>
      <c r="AS492" s="543">
        <f t="shared" si="663"/>
        <v>1</v>
      </c>
      <c r="AT492" s="543">
        <f t="shared" si="663"/>
        <v>1</v>
      </c>
      <c r="AU492" s="543">
        <f t="shared" si="663"/>
        <v>1</v>
      </c>
      <c r="AV492" s="543">
        <f t="shared" si="663"/>
        <v>0</v>
      </c>
      <c r="AW492" s="543">
        <f t="shared" si="663"/>
        <v>0</v>
      </c>
      <c r="AX492" s="543">
        <f t="shared" ref="AX492:BY492" si="664">IF(AX484=1,0,1)</f>
        <v>0</v>
      </c>
      <c r="AY492" s="543">
        <f t="shared" si="664"/>
        <v>0</v>
      </c>
      <c r="AZ492" s="543">
        <f t="shared" si="664"/>
        <v>0</v>
      </c>
      <c r="BA492" s="543">
        <f t="shared" si="664"/>
        <v>0</v>
      </c>
      <c r="BB492" s="543">
        <f t="shared" si="664"/>
        <v>0</v>
      </c>
      <c r="BC492" s="543">
        <f t="shared" si="664"/>
        <v>0</v>
      </c>
      <c r="BD492" s="543">
        <f t="shared" si="664"/>
        <v>0</v>
      </c>
      <c r="BE492" s="543">
        <f t="shared" si="664"/>
        <v>0</v>
      </c>
      <c r="BF492" s="543">
        <f t="shared" si="664"/>
        <v>0</v>
      </c>
      <c r="BG492" s="543">
        <f t="shared" si="664"/>
        <v>0</v>
      </c>
      <c r="BH492" s="543">
        <f t="shared" si="664"/>
        <v>0</v>
      </c>
      <c r="BI492" s="543">
        <f t="shared" si="664"/>
        <v>0</v>
      </c>
      <c r="BJ492" s="543">
        <f t="shared" si="664"/>
        <v>0</v>
      </c>
      <c r="BK492" s="543">
        <f t="shared" si="664"/>
        <v>0</v>
      </c>
      <c r="BL492" s="543">
        <f t="shared" si="664"/>
        <v>0</v>
      </c>
      <c r="BM492" s="543">
        <f t="shared" si="664"/>
        <v>0</v>
      </c>
      <c r="BN492" s="543">
        <f t="shared" si="664"/>
        <v>0</v>
      </c>
      <c r="BO492" s="543">
        <f t="shared" si="664"/>
        <v>0</v>
      </c>
      <c r="BP492" s="543">
        <f t="shared" si="664"/>
        <v>0</v>
      </c>
      <c r="BQ492" s="543">
        <f t="shared" si="664"/>
        <v>0</v>
      </c>
      <c r="BR492" s="543">
        <f t="shared" si="664"/>
        <v>0</v>
      </c>
      <c r="BS492" s="543">
        <f t="shared" si="664"/>
        <v>0</v>
      </c>
      <c r="BT492" s="543">
        <f t="shared" si="664"/>
        <v>0</v>
      </c>
      <c r="BU492" s="543">
        <f t="shared" si="664"/>
        <v>0</v>
      </c>
      <c r="BV492" s="543">
        <f t="shared" si="664"/>
        <v>0</v>
      </c>
      <c r="BW492" s="543">
        <f t="shared" si="664"/>
        <v>0</v>
      </c>
      <c r="BX492" s="543">
        <f t="shared" si="664"/>
        <v>0</v>
      </c>
      <c r="BY492" s="543">
        <f t="shared" si="664"/>
        <v>0</v>
      </c>
    </row>
    <row r="493" spans="1:77" x14ac:dyDescent="0.3">
      <c r="A493" s="551"/>
      <c r="B493" s="548"/>
      <c r="C493" s="548"/>
      <c r="D493" s="525"/>
      <c r="E493" s="652" t="str">
        <f>"Pre vs post capex: "&amp;E$158</f>
        <v>Pre vs post capex: FY30 Tranche</v>
      </c>
      <c r="F493" s="574"/>
      <c r="G493" s="574"/>
      <c r="H493" s="574"/>
      <c r="I493" s="574"/>
      <c r="J493" s="574"/>
      <c r="K493" s="574"/>
      <c r="L493" s="574"/>
      <c r="M493" s="574"/>
      <c r="N493" s="574"/>
      <c r="O493" s="574"/>
      <c r="P493" s="653"/>
      <c r="Q493" s="574"/>
      <c r="R493" s="543">
        <f t="shared" ref="R493:AW493" si="665">IF(R485=1,0,1)</f>
        <v>1</v>
      </c>
      <c r="S493" s="543">
        <f t="shared" si="665"/>
        <v>1</v>
      </c>
      <c r="T493" s="543">
        <f t="shared" si="665"/>
        <v>1</v>
      </c>
      <c r="U493" s="543">
        <f t="shared" si="665"/>
        <v>1</v>
      </c>
      <c r="V493" s="543">
        <f t="shared" si="665"/>
        <v>1</v>
      </c>
      <c r="W493" s="543">
        <f t="shared" si="665"/>
        <v>1</v>
      </c>
      <c r="X493" s="543">
        <f t="shared" si="665"/>
        <v>1</v>
      </c>
      <c r="Y493" s="543">
        <f t="shared" si="665"/>
        <v>1</v>
      </c>
      <c r="Z493" s="543">
        <f t="shared" si="665"/>
        <v>1</v>
      </c>
      <c r="AA493" s="543">
        <f t="shared" si="665"/>
        <v>1</v>
      </c>
      <c r="AB493" s="543">
        <f t="shared" si="665"/>
        <v>1</v>
      </c>
      <c r="AC493" s="543">
        <f t="shared" si="665"/>
        <v>1</v>
      </c>
      <c r="AD493" s="543">
        <f t="shared" si="665"/>
        <v>1</v>
      </c>
      <c r="AE493" s="543">
        <f t="shared" si="665"/>
        <v>1</v>
      </c>
      <c r="AF493" s="543">
        <f t="shared" si="665"/>
        <v>1</v>
      </c>
      <c r="AG493" s="543">
        <f t="shared" si="665"/>
        <v>1</v>
      </c>
      <c r="AH493" s="543">
        <f t="shared" si="665"/>
        <v>1</v>
      </c>
      <c r="AI493" s="543">
        <f t="shared" si="665"/>
        <v>1</v>
      </c>
      <c r="AJ493" s="543">
        <f t="shared" si="665"/>
        <v>1</v>
      </c>
      <c r="AK493" s="543">
        <f t="shared" si="665"/>
        <v>1</v>
      </c>
      <c r="AL493" s="543">
        <f t="shared" si="665"/>
        <v>1</v>
      </c>
      <c r="AM493" s="543">
        <f t="shared" si="665"/>
        <v>1</v>
      </c>
      <c r="AN493" s="543">
        <f t="shared" si="665"/>
        <v>1</v>
      </c>
      <c r="AO493" s="543">
        <f t="shared" si="665"/>
        <v>1</v>
      </c>
      <c r="AP493" s="543">
        <f t="shared" si="665"/>
        <v>1</v>
      </c>
      <c r="AQ493" s="543">
        <f t="shared" si="665"/>
        <v>1</v>
      </c>
      <c r="AR493" s="543">
        <f t="shared" si="665"/>
        <v>1</v>
      </c>
      <c r="AS493" s="543">
        <f t="shared" si="665"/>
        <v>1</v>
      </c>
      <c r="AT493" s="543">
        <f t="shared" si="665"/>
        <v>1</v>
      </c>
      <c r="AU493" s="543">
        <f t="shared" si="665"/>
        <v>1</v>
      </c>
      <c r="AV493" s="543">
        <f t="shared" si="665"/>
        <v>1</v>
      </c>
      <c r="AW493" s="543">
        <f t="shared" si="665"/>
        <v>1</v>
      </c>
      <c r="AX493" s="543">
        <f t="shared" ref="AX493:BY493" si="666">IF(AX485=1,0,1)</f>
        <v>1</v>
      </c>
      <c r="AY493" s="543">
        <f t="shared" si="666"/>
        <v>1</v>
      </c>
      <c r="AZ493" s="543">
        <f t="shared" si="666"/>
        <v>1</v>
      </c>
      <c r="BA493" s="543">
        <f t="shared" si="666"/>
        <v>1</v>
      </c>
      <c r="BB493" s="543">
        <f t="shared" si="666"/>
        <v>1</v>
      </c>
      <c r="BC493" s="543">
        <f t="shared" si="666"/>
        <v>1</v>
      </c>
      <c r="BD493" s="543">
        <f t="shared" si="666"/>
        <v>1</v>
      </c>
      <c r="BE493" s="543">
        <f t="shared" si="666"/>
        <v>1</v>
      </c>
      <c r="BF493" s="543">
        <f t="shared" si="666"/>
        <v>1</v>
      </c>
      <c r="BG493" s="543">
        <f t="shared" si="666"/>
        <v>1</v>
      </c>
      <c r="BH493" s="543">
        <f t="shared" si="666"/>
        <v>0</v>
      </c>
      <c r="BI493" s="543">
        <f t="shared" si="666"/>
        <v>0</v>
      </c>
      <c r="BJ493" s="543">
        <f t="shared" si="666"/>
        <v>0</v>
      </c>
      <c r="BK493" s="543">
        <f t="shared" si="666"/>
        <v>0</v>
      </c>
      <c r="BL493" s="543">
        <f t="shared" si="666"/>
        <v>0</v>
      </c>
      <c r="BM493" s="543">
        <f t="shared" si="666"/>
        <v>0</v>
      </c>
      <c r="BN493" s="543">
        <f t="shared" si="666"/>
        <v>0</v>
      </c>
      <c r="BO493" s="543">
        <f t="shared" si="666"/>
        <v>0</v>
      </c>
      <c r="BP493" s="543">
        <f t="shared" si="666"/>
        <v>0</v>
      </c>
      <c r="BQ493" s="543">
        <f t="shared" si="666"/>
        <v>0</v>
      </c>
      <c r="BR493" s="543">
        <f t="shared" si="666"/>
        <v>0</v>
      </c>
      <c r="BS493" s="543">
        <f t="shared" si="666"/>
        <v>0</v>
      </c>
      <c r="BT493" s="543">
        <f t="shared" si="666"/>
        <v>0</v>
      </c>
      <c r="BU493" s="543">
        <f t="shared" si="666"/>
        <v>0</v>
      </c>
      <c r="BV493" s="543">
        <f t="shared" si="666"/>
        <v>0</v>
      </c>
      <c r="BW493" s="543">
        <f t="shared" si="666"/>
        <v>0</v>
      </c>
      <c r="BX493" s="543">
        <f t="shared" si="666"/>
        <v>0</v>
      </c>
      <c r="BY493" s="543">
        <f t="shared" si="666"/>
        <v>0</v>
      </c>
    </row>
    <row r="494" spans="1:77" x14ac:dyDescent="0.3">
      <c r="A494" s="551"/>
      <c r="B494" s="548"/>
      <c r="C494" s="548"/>
      <c r="D494" s="525"/>
      <c r="E494" s="652" t="str">
        <f>"Pre vs post capex: "&amp;E$159</f>
        <v>Pre vs post capex: FY31 Tranche</v>
      </c>
      <c r="F494" s="574"/>
      <c r="G494" s="574"/>
      <c r="H494" s="574"/>
      <c r="I494" s="574"/>
      <c r="J494" s="574"/>
      <c r="K494" s="574"/>
      <c r="L494" s="574"/>
      <c r="M494" s="574"/>
      <c r="N494" s="574"/>
      <c r="O494" s="574"/>
      <c r="P494" s="653"/>
      <c r="Q494" s="574"/>
      <c r="R494" s="543">
        <f t="shared" ref="R494:AW494" si="667">IF(R486=1,0,1)</f>
        <v>1</v>
      </c>
      <c r="S494" s="543">
        <f t="shared" si="667"/>
        <v>1</v>
      </c>
      <c r="T494" s="543">
        <f t="shared" si="667"/>
        <v>1</v>
      </c>
      <c r="U494" s="543">
        <f t="shared" si="667"/>
        <v>1</v>
      </c>
      <c r="V494" s="543">
        <f t="shared" si="667"/>
        <v>1</v>
      </c>
      <c r="W494" s="543">
        <f t="shared" si="667"/>
        <v>1</v>
      </c>
      <c r="X494" s="543">
        <f t="shared" si="667"/>
        <v>1</v>
      </c>
      <c r="Y494" s="543">
        <f t="shared" si="667"/>
        <v>1</v>
      </c>
      <c r="Z494" s="543">
        <f t="shared" si="667"/>
        <v>1</v>
      </c>
      <c r="AA494" s="543">
        <f t="shared" si="667"/>
        <v>1</v>
      </c>
      <c r="AB494" s="543">
        <f t="shared" si="667"/>
        <v>1</v>
      </c>
      <c r="AC494" s="543">
        <f t="shared" si="667"/>
        <v>1</v>
      </c>
      <c r="AD494" s="543">
        <f t="shared" si="667"/>
        <v>1</v>
      </c>
      <c r="AE494" s="543">
        <f t="shared" si="667"/>
        <v>1</v>
      </c>
      <c r="AF494" s="543">
        <f t="shared" si="667"/>
        <v>1</v>
      </c>
      <c r="AG494" s="543">
        <f t="shared" si="667"/>
        <v>1</v>
      </c>
      <c r="AH494" s="543">
        <f t="shared" si="667"/>
        <v>1</v>
      </c>
      <c r="AI494" s="543">
        <f t="shared" si="667"/>
        <v>1</v>
      </c>
      <c r="AJ494" s="543">
        <f t="shared" si="667"/>
        <v>1</v>
      </c>
      <c r="AK494" s="543">
        <f t="shared" si="667"/>
        <v>1</v>
      </c>
      <c r="AL494" s="543">
        <f t="shared" si="667"/>
        <v>1</v>
      </c>
      <c r="AM494" s="543">
        <f t="shared" si="667"/>
        <v>1</v>
      </c>
      <c r="AN494" s="543">
        <f t="shared" si="667"/>
        <v>1</v>
      </c>
      <c r="AO494" s="543">
        <f t="shared" si="667"/>
        <v>1</v>
      </c>
      <c r="AP494" s="543">
        <f t="shared" si="667"/>
        <v>1</v>
      </c>
      <c r="AQ494" s="543">
        <f t="shared" si="667"/>
        <v>1</v>
      </c>
      <c r="AR494" s="543">
        <f t="shared" si="667"/>
        <v>1</v>
      </c>
      <c r="AS494" s="543">
        <f t="shared" si="667"/>
        <v>1</v>
      </c>
      <c r="AT494" s="543">
        <f t="shared" si="667"/>
        <v>1</v>
      </c>
      <c r="AU494" s="543">
        <f t="shared" si="667"/>
        <v>1</v>
      </c>
      <c r="AV494" s="543">
        <f t="shared" si="667"/>
        <v>1</v>
      </c>
      <c r="AW494" s="543">
        <f t="shared" si="667"/>
        <v>1</v>
      </c>
      <c r="AX494" s="543">
        <f t="shared" ref="AX494:BY494" si="668">IF(AX486=1,0,1)</f>
        <v>1</v>
      </c>
      <c r="AY494" s="543">
        <f t="shared" si="668"/>
        <v>1</v>
      </c>
      <c r="AZ494" s="543">
        <f t="shared" si="668"/>
        <v>1</v>
      </c>
      <c r="BA494" s="543">
        <f t="shared" si="668"/>
        <v>1</v>
      </c>
      <c r="BB494" s="543">
        <f t="shared" si="668"/>
        <v>1</v>
      </c>
      <c r="BC494" s="543">
        <f t="shared" si="668"/>
        <v>1</v>
      </c>
      <c r="BD494" s="543">
        <f t="shared" si="668"/>
        <v>1</v>
      </c>
      <c r="BE494" s="543">
        <f t="shared" si="668"/>
        <v>1</v>
      </c>
      <c r="BF494" s="543">
        <f t="shared" si="668"/>
        <v>1</v>
      </c>
      <c r="BG494" s="543">
        <f t="shared" si="668"/>
        <v>1</v>
      </c>
      <c r="BH494" s="543">
        <f t="shared" si="668"/>
        <v>1</v>
      </c>
      <c r="BI494" s="543">
        <f t="shared" si="668"/>
        <v>1</v>
      </c>
      <c r="BJ494" s="543">
        <f t="shared" si="668"/>
        <v>1</v>
      </c>
      <c r="BK494" s="543">
        <f t="shared" si="668"/>
        <v>1</v>
      </c>
      <c r="BL494" s="543">
        <f t="shared" si="668"/>
        <v>1</v>
      </c>
      <c r="BM494" s="543">
        <f t="shared" si="668"/>
        <v>1</v>
      </c>
      <c r="BN494" s="543">
        <f t="shared" si="668"/>
        <v>1</v>
      </c>
      <c r="BO494" s="543">
        <f t="shared" si="668"/>
        <v>1</v>
      </c>
      <c r="BP494" s="543">
        <f t="shared" si="668"/>
        <v>1</v>
      </c>
      <c r="BQ494" s="543">
        <f t="shared" si="668"/>
        <v>1</v>
      </c>
      <c r="BR494" s="543">
        <f t="shared" si="668"/>
        <v>1</v>
      </c>
      <c r="BS494" s="543">
        <f t="shared" si="668"/>
        <v>1</v>
      </c>
      <c r="BT494" s="543">
        <f t="shared" si="668"/>
        <v>0</v>
      </c>
      <c r="BU494" s="543">
        <f t="shared" si="668"/>
        <v>0</v>
      </c>
      <c r="BV494" s="543">
        <f t="shared" si="668"/>
        <v>0</v>
      </c>
      <c r="BW494" s="543">
        <f t="shared" si="668"/>
        <v>0</v>
      </c>
      <c r="BX494" s="543">
        <f t="shared" si="668"/>
        <v>0</v>
      </c>
      <c r="BY494" s="543">
        <f t="shared" si="668"/>
        <v>0</v>
      </c>
    </row>
    <row r="495" spans="1:77" x14ac:dyDescent="0.3">
      <c r="A495" s="551"/>
      <c r="B495" s="548"/>
      <c r="C495" s="548"/>
      <c r="D495" s="525"/>
      <c r="E495" s="652" t="str">
        <f>"Pre vs post capex: "&amp;E$160</f>
        <v>Pre vs post capex: Uninvested Tranche</v>
      </c>
      <c r="F495" s="574"/>
      <c r="G495" s="574"/>
      <c r="H495" s="574"/>
      <c r="I495" s="574"/>
      <c r="J495" s="574"/>
      <c r="K495" s="574"/>
      <c r="L495" s="574"/>
      <c r="M495" s="574"/>
      <c r="N495" s="574"/>
      <c r="O495" s="574"/>
      <c r="P495" s="653"/>
      <c r="Q495" s="574"/>
      <c r="R495" s="543">
        <f t="shared" ref="R495:AW495" si="669">IF(R487=1,0,1)</f>
        <v>1</v>
      </c>
      <c r="S495" s="543">
        <f t="shared" si="669"/>
        <v>1</v>
      </c>
      <c r="T495" s="543">
        <f t="shared" si="669"/>
        <v>1</v>
      </c>
      <c r="U495" s="543">
        <f t="shared" si="669"/>
        <v>1</v>
      </c>
      <c r="V495" s="543">
        <f t="shared" si="669"/>
        <v>1</v>
      </c>
      <c r="W495" s="543">
        <f t="shared" si="669"/>
        <v>1</v>
      </c>
      <c r="X495" s="543">
        <f t="shared" si="669"/>
        <v>1</v>
      </c>
      <c r="Y495" s="543">
        <f t="shared" si="669"/>
        <v>1</v>
      </c>
      <c r="Z495" s="543">
        <f t="shared" si="669"/>
        <v>1</v>
      </c>
      <c r="AA495" s="543">
        <f t="shared" si="669"/>
        <v>1</v>
      </c>
      <c r="AB495" s="543">
        <f t="shared" si="669"/>
        <v>1</v>
      </c>
      <c r="AC495" s="543">
        <f t="shared" si="669"/>
        <v>1</v>
      </c>
      <c r="AD495" s="543">
        <f t="shared" si="669"/>
        <v>1</v>
      </c>
      <c r="AE495" s="543">
        <f t="shared" si="669"/>
        <v>1</v>
      </c>
      <c r="AF495" s="543">
        <f t="shared" si="669"/>
        <v>1</v>
      </c>
      <c r="AG495" s="543">
        <f t="shared" si="669"/>
        <v>1</v>
      </c>
      <c r="AH495" s="543">
        <f t="shared" si="669"/>
        <v>1</v>
      </c>
      <c r="AI495" s="543">
        <f t="shared" si="669"/>
        <v>1</v>
      </c>
      <c r="AJ495" s="543">
        <f t="shared" si="669"/>
        <v>1</v>
      </c>
      <c r="AK495" s="543">
        <f t="shared" si="669"/>
        <v>1</v>
      </c>
      <c r="AL495" s="543">
        <f t="shared" si="669"/>
        <v>1</v>
      </c>
      <c r="AM495" s="543">
        <f t="shared" si="669"/>
        <v>1</v>
      </c>
      <c r="AN495" s="543">
        <f t="shared" si="669"/>
        <v>1</v>
      </c>
      <c r="AO495" s="543">
        <f t="shared" si="669"/>
        <v>1</v>
      </c>
      <c r="AP495" s="543">
        <f t="shared" si="669"/>
        <v>1</v>
      </c>
      <c r="AQ495" s="543">
        <f t="shared" si="669"/>
        <v>1</v>
      </c>
      <c r="AR495" s="543">
        <f t="shared" si="669"/>
        <v>1</v>
      </c>
      <c r="AS495" s="543">
        <f t="shared" si="669"/>
        <v>1</v>
      </c>
      <c r="AT495" s="543">
        <f t="shared" si="669"/>
        <v>1</v>
      </c>
      <c r="AU495" s="543">
        <f t="shared" si="669"/>
        <v>1</v>
      </c>
      <c r="AV495" s="543">
        <f t="shared" si="669"/>
        <v>1</v>
      </c>
      <c r="AW495" s="543">
        <f t="shared" si="669"/>
        <v>1</v>
      </c>
      <c r="AX495" s="543">
        <f t="shared" ref="AX495:BY495" si="670">IF(AX487=1,0,1)</f>
        <v>1</v>
      </c>
      <c r="AY495" s="543">
        <f t="shared" si="670"/>
        <v>1</v>
      </c>
      <c r="AZ495" s="543">
        <f t="shared" si="670"/>
        <v>1</v>
      </c>
      <c r="BA495" s="543">
        <f t="shared" si="670"/>
        <v>1</v>
      </c>
      <c r="BB495" s="543">
        <f t="shared" si="670"/>
        <v>1</v>
      </c>
      <c r="BC495" s="543">
        <f t="shared" si="670"/>
        <v>1</v>
      </c>
      <c r="BD495" s="543">
        <f t="shared" si="670"/>
        <v>1</v>
      </c>
      <c r="BE495" s="543">
        <f t="shared" si="670"/>
        <v>1</v>
      </c>
      <c r="BF495" s="543">
        <f t="shared" si="670"/>
        <v>1</v>
      </c>
      <c r="BG495" s="543">
        <f t="shared" si="670"/>
        <v>1</v>
      </c>
      <c r="BH495" s="543">
        <f t="shared" si="670"/>
        <v>1</v>
      </c>
      <c r="BI495" s="543">
        <f t="shared" si="670"/>
        <v>1</v>
      </c>
      <c r="BJ495" s="543">
        <f t="shared" si="670"/>
        <v>1</v>
      </c>
      <c r="BK495" s="543">
        <f t="shared" si="670"/>
        <v>1</v>
      </c>
      <c r="BL495" s="543">
        <f t="shared" si="670"/>
        <v>1</v>
      </c>
      <c r="BM495" s="543">
        <f t="shared" si="670"/>
        <v>1</v>
      </c>
      <c r="BN495" s="543">
        <f t="shared" si="670"/>
        <v>1</v>
      </c>
      <c r="BO495" s="543">
        <f t="shared" si="670"/>
        <v>1</v>
      </c>
      <c r="BP495" s="543">
        <f t="shared" si="670"/>
        <v>1</v>
      </c>
      <c r="BQ495" s="543">
        <f t="shared" si="670"/>
        <v>1</v>
      </c>
      <c r="BR495" s="543">
        <f t="shared" si="670"/>
        <v>1</v>
      </c>
      <c r="BS495" s="543">
        <f t="shared" si="670"/>
        <v>1</v>
      </c>
      <c r="BT495" s="543">
        <f t="shared" si="670"/>
        <v>1</v>
      </c>
      <c r="BU495" s="543">
        <f t="shared" si="670"/>
        <v>1</v>
      </c>
      <c r="BV495" s="543">
        <f t="shared" si="670"/>
        <v>1</v>
      </c>
      <c r="BW495" s="543">
        <f t="shared" si="670"/>
        <v>1</v>
      </c>
      <c r="BX495" s="543">
        <f t="shared" si="670"/>
        <v>1</v>
      </c>
      <c r="BY495" s="543">
        <f t="shared" si="670"/>
        <v>1</v>
      </c>
    </row>
    <row r="496" spans="1:77" x14ac:dyDescent="0.3">
      <c r="A496" s="551"/>
      <c r="B496" s="548"/>
      <c r="C496" s="525"/>
      <c r="D496" s="525"/>
      <c r="E496" s="525"/>
      <c r="F496" s="525"/>
      <c r="G496" s="525"/>
      <c r="H496" s="525"/>
      <c r="I496" s="525"/>
      <c r="J496" s="525"/>
      <c r="K496" s="525"/>
      <c r="L496" s="654"/>
      <c r="M496" s="525"/>
      <c r="N496" s="525"/>
      <c r="O496" s="525"/>
      <c r="P496" s="565"/>
      <c r="Q496" s="525"/>
      <c r="R496" s="525"/>
      <c r="S496" s="525"/>
      <c r="T496" s="525"/>
      <c r="U496" s="525"/>
      <c r="V496" s="525"/>
      <c r="W496" s="525"/>
      <c r="X496" s="525"/>
      <c r="Y496" s="525"/>
      <c r="Z496" s="525"/>
      <c r="AA496" s="525"/>
      <c r="AB496" s="525"/>
      <c r="AC496" s="525"/>
      <c r="AD496" s="525"/>
      <c r="AE496" s="525"/>
      <c r="AF496" s="525"/>
      <c r="AG496" s="525"/>
      <c r="AH496" s="525"/>
      <c r="AI496" s="525"/>
      <c r="AJ496" s="525"/>
      <c r="AK496" s="525"/>
      <c r="AL496" s="525"/>
      <c r="AM496" s="525"/>
      <c r="AN496" s="525"/>
      <c r="AO496" s="525"/>
      <c r="AP496" s="525"/>
      <c r="AQ496" s="525"/>
      <c r="AR496" s="525"/>
      <c r="AS496" s="525"/>
      <c r="AT496" s="525"/>
      <c r="AU496" s="525"/>
      <c r="AV496" s="525"/>
      <c r="AW496" s="525"/>
      <c r="AX496" s="525"/>
      <c r="AY496" s="525"/>
      <c r="AZ496" s="525"/>
      <c r="BA496" s="525"/>
      <c r="BB496" s="525"/>
      <c r="BC496" s="525"/>
      <c r="BD496" s="525"/>
      <c r="BE496" s="525"/>
      <c r="BF496" s="525"/>
      <c r="BG496" s="525"/>
      <c r="BH496" s="525"/>
      <c r="BI496" s="525"/>
      <c r="BJ496" s="525"/>
      <c r="BK496" s="525"/>
      <c r="BL496" s="525"/>
      <c r="BM496" s="525"/>
      <c r="BN496" s="525"/>
      <c r="BO496" s="525"/>
      <c r="BP496" s="525"/>
      <c r="BQ496" s="525"/>
      <c r="BR496" s="525"/>
      <c r="BS496" s="525"/>
      <c r="BT496" s="525"/>
      <c r="BU496" s="525"/>
      <c r="BV496" s="525"/>
      <c r="BW496" s="525"/>
      <c r="BX496" s="525"/>
      <c r="BY496" s="525"/>
    </row>
    <row r="497" spans="1:80" x14ac:dyDescent="0.3">
      <c r="A497" s="551"/>
      <c r="B497" s="548"/>
      <c r="C497" s="525"/>
      <c r="D497" s="525"/>
      <c r="E497" s="570" t="s">
        <v>116</v>
      </c>
      <c r="F497" s="525"/>
      <c r="G497" s="525"/>
      <c r="H497" s="525"/>
      <c r="I497" s="525"/>
      <c r="J497" s="525"/>
      <c r="K497" s="525"/>
      <c r="L497" s="525"/>
      <c r="M497" s="525"/>
      <c r="N497" s="525"/>
      <c r="O497" s="525"/>
      <c r="P497" s="565"/>
      <c r="Q497" s="525"/>
      <c r="R497" s="525"/>
      <c r="S497" s="525"/>
      <c r="T497" s="525"/>
      <c r="U497" s="525"/>
      <c r="V497" s="525"/>
      <c r="W497" s="525"/>
      <c r="X497" s="525"/>
      <c r="Y497" s="525"/>
      <c r="Z497" s="525"/>
      <c r="AA497" s="525"/>
      <c r="AB497" s="525"/>
      <c r="AC497" s="525"/>
      <c r="AD497" s="525"/>
      <c r="AE497" s="525"/>
      <c r="AF497" s="525"/>
      <c r="AG497" s="525"/>
      <c r="AH497" s="525"/>
      <c r="AI497" s="525"/>
      <c r="AJ497" s="525"/>
      <c r="AK497" s="525"/>
      <c r="AL497" s="525"/>
      <c r="AM497" s="525"/>
      <c r="AN497" s="525"/>
      <c r="AO497" s="525"/>
      <c r="AP497" s="525"/>
      <c r="AQ497" s="525"/>
      <c r="AR497" s="525"/>
      <c r="AS497" s="525"/>
      <c r="AT497" s="525"/>
      <c r="AU497" s="525"/>
      <c r="AV497" s="525"/>
      <c r="AW497" s="525"/>
      <c r="AX497" s="525"/>
      <c r="AY497" s="525"/>
      <c r="AZ497" s="525"/>
      <c r="BA497" s="525"/>
      <c r="BB497" s="525"/>
      <c r="BC497" s="525"/>
      <c r="BD497" s="525"/>
      <c r="BE497" s="525"/>
      <c r="BF497" s="525"/>
      <c r="BG497" s="525"/>
      <c r="BH497" s="525"/>
      <c r="BI497" s="525"/>
      <c r="BJ497" s="525"/>
      <c r="BK497" s="525"/>
      <c r="BL497" s="525"/>
      <c r="BM497" s="525"/>
      <c r="BN497" s="525"/>
      <c r="BO497" s="525"/>
      <c r="BP497" s="525"/>
      <c r="BQ497" s="525"/>
      <c r="BR497" s="525"/>
      <c r="BS497" s="525"/>
      <c r="BT497" s="525"/>
      <c r="BU497" s="525"/>
      <c r="BV497" s="525"/>
      <c r="BW497" s="525"/>
      <c r="BX497" s="525"/>
      <c r="BY497" s="525"/>
      <c r="BZ497" s="537"/>
      <c r="CA497" s="537"/>
      <c r="CB497" s="537"/>
    </row>
    <row r="498" spans="1:80" x14ac:dyDescent="0.3">
      <c r="A498" s="551"/>
      <c r="B498" s="548"/>
      <c r="C498" s="548"/>
      <c r="D498" s="525"/>
      <c r="E498" s="655" t="str">
        <f>"EBITDA growth post capex: "&amp;E$155</f>
        <v>EBITDA growth post capex: FY27 Tranche</v>
      </c>
      <c r="F498" s="574"/>
      <c r="G498" s="574"/>
      <c r="H498" s="574"/>
      <c r="I498" s="574"/>
      <c r="J498" s="574"/>
      <c r="K498" s="574"/>
      <c r="L498" s="574"/>
      <c r="M498" s="574"/>
      <c r="N498" s="574"/>
      <c r="O498" s="574"/>
      <c r="P498" s="653"/>
      <c r="Q498" s="574"/>
      <c r="R498" s="543">
        <f>IF(AND(R$4&lt;=$AH155,R$4&gt;$V155),1,IF(AND(R$4&lt;=$AI155,R$4&gt;$AH155),2,IF(AND(R$4&lt;=$AJ155,R$4&gt;$AI155),3,IF(AND(R$4&lt;=$AK155,R$4&gt;$AJ155),4,IF(AND(R$4&lt;=$AL155,R$4&gt;$AK155),5,0)))))*'Detailed Assumptions'!$E$6</f>
        <v>0</v>
      </c>
      <c r="S498" s="543">
        <f>IF(AND(S$4&lt;=$AH155,S$4&gt;$V155),1,IF(AND(S$4&lt;=$AI155,S$4&gt;$AH155),2,IF(AND(S$4&lt;=$AJ155,S$4&gt;$AI155),3,IF(AND(S$4&lt;=$AK155,S$4&gt;$AJ155),4,IF(AND(S$4&lt;=$AL155,S$4&gt;$AK155),5,0)))))*'Detailed Assumptions'!$E$6</f>
        <v>0</v>
      </c>
      <c r="T498" s="543">
        <f>IF(AND(T$4&lt;=$AH155,T$4&gt;$V155),1,IF(AND(T$4&lt;=$AI155,T$4&gt;$AH155),2,IF(AND(T$4&lt;=$AJ155,T$4&gt;$AI155),3,IF(AND(T$4&lt;=$AK155,T$4&gt;$AJ155),4,IF(AND(T$4&lt;=$AL155,T$4&gt;$AK155),5,0)))))*'Detailed Assumptions'!$E$6</f>
        <v>0</v>
      </c>
      <c r="U498" s="543">
        <f>IF(AND(U$4&lt;=$AH155,U$4&gt;$V155),1,IF(AND(U$4&lt;=$AI155,U$4&gt;$AH155),2,IF(AND(U$4&lt;=$AJ155,U$4&gt;$AI155),3,IF(AND(U$4&lt;=$AK155,U$4&gt;$AJ155),4,IF(AND(U$4&lt;=$AL155,U$4&gt;$AK155),5,0)))))*'Detailed Assumptions'!$E$6</f>
        <v>0</v>
      </c>
      <c r="V498" s="543">
        <f>IF(AND(V$4&lt;=$AH155,V$4&gt;$V155),1,IF(AND(V$4&lt;=$AI155,V$4&gt;$AH155),2,IF(AND(V$4&lt;=$AJ155,V$4&gt;$AI155),3,IF(AND(V$4&lt;=$AK155,V$4&gt;$AJ155),4,IF(AND(V$4&lt;=$AL155,V$4&gt;$AK155),5,0)))))*'Detailed Assumptions'!$E$6</f>
        <v>0</v>
      </c>
      <c r="W498" s="543">
        <f>IF(AND(W$4&lt;=$AH155,W$4&gt;$V155),1,IF(AND(W$4&lt;=$AI155,W$4&gt;$AH155),2,IF(AND(W$4&lt;=$AJ155,W$4&gt;$AI155),3,IF(AND(W$4&lt;=$AK155,W$4&gt;$AJ155),4,IF(AND(W$4&lt;=$AL155,W$4&gt;$AK155),5,0)))))*'Detailed Assumptions'!$E$6</f>
        <v>0</v>
      </c>
      <c r="X498" s="543">
        <f>IF(AND(X$4&lt;=$AH155,X$4&gt;$V155),1,IF(AND(X$4&lt;=$AI155,X$4&gt;$AH155),2,IF(AND(X$4&lt;=$AJ155,X$4&gt;$AI155),3,IF(AND(X$4&lt;=$AK155,X$4&gt;$AJ155),4,IF(AND(X$4&lt;=$AL155,X$4&gt;$AK155),5,0)))))*'Detailed Assumptions'!$E$6</f>
        <v>1</v>
      </c>
      <c r="Y498" s="543">
        <f>IF(AND(Y$4&lt;=$AH155,Y$4&gt;$V155),1,IF(AND(Y$4&lt;=$AI155,Y$4&gt;$AH155),2,IF(AND(Y$4&lt;=$AJ155,Y$4&gt;$AI155),3,IF(AND(Y$4&lt;=$AK155,Y$4&gt;$AJ155),4,IF(AND(Y$4&lt;=$AL155,Y$4&gt;$AK155),5,0)))))*'Detailed Assumptions'!$E$6</f>
        <v>1</v>
      </c>
      <c r="Z498" s="543">
        <f>IF(AND(Z$4&lt;=$AH155,Z$4&gt;$V155),1,IF(AND(Z$4&lt;=$AI155,Z$4&gt;$AH155),2,IF(AND(Z$4&lt;=$AJ155,Z$4&gt;$AI155),3,IF(AND(Z$4&lt;=$AK155,Z$4&gt;$AJ155),4,IF(AND(Z$4&lt;=$AL155,Z$4&gt;$AK155),5,0)))))*'Detailed Assumptions'!$E$6</f>
        <v>1</v>
      </c>
      <c r="AA498" s="543">
        <f>IF(AND(AA$4&lt;=$AH155,AA$4&gt;$V155),1,IF(AND(AA$4&lt;=$AI155,AA$4&gt;$AH155),2,IF(AND(AA$4&lt;=$AJ155,AA$4&gt;$AI155),3,IF(AND(AA$4&lt;=$AK155,AA$4&gt;$AJ155),4,IF(AND(AA$4&lt;=$AL155,AA$4&gt;$AK155),5,0)))))*'Detailed Assumptions'!$E$6</f>
        <v>1</v>
      </c>
      <c r="AB498" s="543">
        <f>IF(AND(AB$4&lt;=$AH155,AB$4&gt;$V155),1,IF(AND(AB$4&lt;=$AI155,AB$4&gt;$AH155),2,IF(AND(AB$4&lt;=$AJ155,AB$4&gt;$AI155),3,IF(AND(AB$4&lt;=$AK155,AB$4&gt;$AJ155),4,IF(AND(AB$4&lt;=$AL155,AB$4&gt;$AK155),5,0)))))*'Detailed Assumptions'!$E$6</f>
        <v>1</v>
      </c>
      <c r="AC498" s="543">
        <f>IF(AND(AC$4&lt;=$AH155,AC$4&gt;$V155),1,IF(AND(AC$4&lt;=$AI155,AC$4&gt;$AH155),2,IF(AND(AC$4&lt;=$AJ155,AC$4&gt;$AI155),3,IF(AND(AC$4&lt;=$AK155,AC$4&gt;$AJ155),4,IF(AND(AC$4&lt;=$AL155,AC$4&gt;$AK155),5,0)))))*'Detailed Assumptions'!$E$6</f>
        <v>1</v>
      </c>
      <c r="AD498" s="543">
        <f>IF(AND(AD$4&lt;=$AH155,AD$4&gt;$V155),1,IF(AND(AD$4&lt;=$AI155,AD$4&gt;$AH155),2,IF(AND(AD$4&lt;=$AJ155,AD$4&gt;$AI155),3,IF(AND(AD$4&lt;=$AK155,AD$4&gt;$AJ155),4,IF(AND(AD$4&lt;=$AL155,AD$4&gt;$AK155),5,0)))))*'Detailed Assumptions'!$E$6</f>
        <v>1</v>
      </c>
      <c r="AE498" s="543">
        <f>IF(AND(AE$4&lt;=$AH155,AE$4&gt;$V155),1,IF(AND(AE$4&lt;=$AI155,AE$4&gt;$AH155),2,IF(AND(AE$4&lt;=$AJ155,AE$4&gt;$AI155),3,IF(AND(AE$4&lt;=$AK155,AE$4&gt;$AJ155),4,IF(AND(AE$4&lt;=$AL155,AE$4&gt;$AK155),5,0)))))*'Detailed Assumptions'!$E$6</f>
        <v>1</v>
      </c>
      <c r="AF498" s="543">
        <f>IF(AND(AF$4&lt;=$AH155,AF$4&gt;$V155),1,IF(AND(AF$4&lt;=$AI155,AF$4&gt;$AH155),2,IF(AND(AF$4&lt;=$AJ155,AF$4&gt;$AI155),3,IF(AND(AF$4&lt;=$AK155,AF$4&gt;$AJ155),4,IF(AND(AF$4&lt;=$AL155,AF$4&gt;$AK155),5,0)))))*'Detailed Assumptions'!$E$6</f>
        <v>1</v>
      </c>
      <c r="AG498" s="543">
        <f>IF(AND(AG$4&lt;=$AH155,AG$4&gt;$V155),1,IF(AND(AG$4&lt;=$AI155,AG$4&gt;$AH155),2,IF(AND(AG$4&lt;=$AJ155,AG$4&gt;$AI155),3,IF(AND(AG$4&lt;=$AK155,AG$4&gt;$AJ155),4,IF(AND(AG$4&lt;=$AL155,AG$4&gt;$AK155),5,0)))))*'Detailed Assumptions'!$E$6</f>
        <v>1</v>
      </c>
      <c r="AH498" s="543">
        <f>IF(AND(AH$4&lt;=$AH155,AH$4&gt;$V155),1,IF(AND(AH$4&lt;=$AI155,AH$4&gt;$AH155),2,IF(AND(AH$4&lt;=$AJ155,AH$4&gt;$AI155),3,IF(AND(AH$4&lt;=$AK155,AH$4&gt;$AJ155),4,IF(AND(AH$4&lt;=$AL155,AH$4&gt;$AK155),5,0)))))*'Detailed Assumptions'!$E$6</f>
        <v>1</v>
      </c>
      <c r="AI498" s="543">
        <f>IF(AND(AI$4&lt;=$AH155,AI$4&gt;$V155),1,IF(AND(AI$4&lt;=$AI155,AI$4&gt;$AH155),2,IF(AND(AI$4&lt;=$AJ155,AI$4&gt;$AI155),3,IF(AND(AI$4&lt;=$AK155,AI$4&gt;$AJ155),4,IF(AND(AI$4&lt;=$AL155,AI$4&gt;$AK155),5,0)))))*'Detailed Assumptions'!$E$6</f>
        <v>1</v>
      </c>
      <c r="AJ498" s="543">
        <f>IF(AND(AJ$4&lt;=$AH155,AJ$4&gt;$V155),1,IF(AND(AJ$4&lt;=$AI155,AJ$4&gt;$AH155),2,IF(AND(AJ$4&lt;=$AJ155,AJ$4&gt;$AI155),3,IF(AND(AJ$4&lt;=$AK155,AJ$4&gt;$AJ155),4,IF(AND(AJ$4&lt;=$AL155,AJ$4&gt;$AK155),5,0)))))*'Detailed Assumptions'!$E$6</f>
        <v>2</v>
      </c>
      <c r="AK498" s="543">
        <f>IF(AND(AK$4&lt;=$AH155,AK$4&gt;$V155),1,IF(AND(AK$4&lt;=$AI155,AK$4&gt;$AH155),2,IF(AND(AK$4&lt;=$AJ155,AK$4&gt;$AI155),3,IF(AND(AK$4&lt;=$AK155,AK$4&gt;$AJ155),4,IF(AND(AK$4&lt;=$AL155,AK$4&gt;$AK155),5,0)))))*'Detailed Assumptions'!$E$6</f>
        <v>2</v>
      </c>
      <c r="AL498" s="543">
        <f>IF(AND(AL$4&lt;=$AH155,AL$4&gt;$V155),1,IF(AND(AL$4&lt;=$AI155,AL$4&gt;$AH155),2,IF(AND(AL$4&lt;=$AJ155,AL$4&gt;$AI155),3,IF(AND(AL$4&lt;=$AK155,AL$4&gt;$AJ155),4,IF(AND(AL$4&lt;=$AL155,AL$4&gt;$AK155),5,0)))))*'Detailed Assumptions'!$E$6</f>
        <v>2</v>
      </c>
      <c r="AM498" s="543">
        <f>IF(AND(AM$4&lt;=$AH155,AM$4&gt;$V155),1,IF(AND(AM$4&lt;=$AI155,AM$4&gt;$AH155),2,IF(AND(AM$4&lt;=$AJ155,AM$4&gt;$AI155),3,IF(AND(AM$4&lt;=$AK155,AM$4&gt;$AJ155),4,IF(AND(AM$4&lt;=$AL155,AM$4&gt;$AK155),5,0)))))*'Detailed Assumptions'!$E$6</f>
        <v>2</v>
      </c>
      <c r="AN498" s="543">
        <f>IF(AND(AN$4&lt;=$AH155,AN$4&gt;$V155),1,IF(AND(AN$4&lt;=$AI155,AN$4&gt;$AH155),2,IF(AND(AN$4&lt;=$AJ155,AN$4&gt;$AI155),3,IF(AND(AN$4&lt;=$AK155,AN$4&gt;$AJ155),4,IF(AND(AN$4&lt;=$AL155,AN$4&gt;$AK155),5,0)))))*'Detailed Assumptions'!$E$6</f>
        <v>2</v>
      </c>
      <c r="AO498" s="543">
        <f>IF(AND(AO$4&lt;=$AH155,AO$4&gt;$V155),1,IF(AND(AO$4&lt;=$AI155,AO$4&gt;$AH155),2,IF(AND(AO$4&lt;=$AJ155,AO$4&gt;$AI155),3,IF(AND(AO$4&lt;=$AK155,AO$4&gt;$AJ155),4,IF(AND(AO$4&lt;=$AL155,AO$4&gt;$AK155),5,0)))))*'Detailed Assumptions'!$E$6</f>
        <v>2</v>
      </c>
      <c r="AP498" s="543">
        <f>IF(AND(AP$4&lt;=$AH155,AP$4&gt;$V155),1,IF(AND(AP$4&lt;=$AI155,AP$4&gt;$AH155),2,IF(AND(AP$4&lt;=$AJ155,AP$4&gt;$AI155),3,IF(AND(AP$4&lt;=$AK155,AP$4&gt;$AJ155),4,IF(AND(AP$4&lt;=$AL155,AP$4&gt;$AK155),5,0)))))*'Detailed Assumptions'!$E$6</f>
        <v>2</v>
      </c>
      <c r="AQ498" s="543">
        <f>IF(AND(AQ$4&lt;=$AH155,AQ$4&gt;$V155),1,IF(AND(AQ$4&lt;=$AI155,AQ$4&gt;$AH155),2,IF(AND(AQ$4&lt;=$AJ155,AQ$4&gt;$AI155),3,IF(AND(AQ$4&lt;=$AK155,AQ$4&gt;$AJ155),4,IF(AND(AQ$4&lt;=$AL155,AQ$4&gt;$AK155),5,0)))))*'Detailed Assumptions'!$E$6</f>
        <v>2</v>
      </c>
      <c r="AR498" s="543">
        <f>IF(AND(AR$4&lt;=$AH155,AR$4&gt;$V155),1,IF(AND(AR$4&lt;=$AI155,AR$4&gt;$AH155),2,IF(AND(AR$4&lt;=$AJ155,AR$4&gt;$AI155),3,IF(AND(AR$4&lt;=$AK155,AR$4&gt;$AJ155),4,IF(AND(AR$4&lt;=$AL155,AR$4&gt;$AK155),5,0)))))*'Detailed Assumptions'!$E$6</f>
        <v>2</v>
      </c>
      <c r="AS498" s="543">
        <f>IF(AND(AS$4&lt;=$AH155,AS$4&gt;$V155),1,IF(AND(AS$4&lt;=$AI155,AS$4&gt;$AH155),2,IF(AND(AS$4&lt;=$AJ155,AS$4&gt;$AI155),3,IF(AND(AS$4&lt;=$AK155,AS$4&gt;$AJ155),4,IF(AND(AS$4&lt;=$AL155,AS$4&gt;$AK155),5,0)))))*'Detailed Assumptions'!$E$6</f>
        <v>2</v>
      </c>
      <c r="AT498" s="543">
        <f>IF(AND(AT$4&lt;=$AH155,AT$4&gt;$V155),1,IF(AND(AT$4&lt;=$AI155,AT$4&gt;$AH155),2,IF(AND(AT$4&lt;=$AJ155,AT$4&gt;$AI155),3,IF(AND(AT$4&lt;=$AK155,AT$4&gt;$AJ155),4,IF(AND(AT$4&lt;=$AL155,AT$4&gt;$AK155),5,0)))))*'Detailed Assumptions'!$E$6</f>
        <v>2</v>
      </c>
      <c r="AU498" s="543">
        <f>IF(AND(AU$4&lt;=$AH155,AU$4&gt;$V155),1,IF(AND(AU$4&lt;=$AI155,AU$4&gt;$AH155),2,IF(AND(AU$4&lt;=$AJ155,AU$4&gt;$AI155),3,IF(AND(AU$4&lt;=$AK155,AU$4&gt;$AJ155),4,IF(AND(AU$4&lt;=$AL155,AU$4&gt;$AK155),5,0)))))*'Detailed Assumptions'!$E$6</f>
        <v>2</v>
      </c>
      <c r="AV498" s="543">
        <f>IF(AND(AV$4&lt;=$AH155,AV$4&gt;$V155),1,IF(AND(AV$4&lt;=$AI155,AV$4&gt;$AH155),2,IF(AND(AV$4&lt;=$AJ155,AV$4&gt;$AI155),3,IF(AND(AV$4&lt;=$AK155,AV$4&gt;$AJ155),4,IF(AND(AV$4&lt;=$AL155,AV$4&gt;$AK155),5,0)))))*'Detailed Assumptions'!$E$6</f>
        <v>3</v>
      </c>
      <c r="AW498" s="543">
        <f>IF(AND(AW$4&lt;=$AH155,AW$4&gt;$V155),1,IF(AND(AW$4&lt;=$AI155,AW$4&gt;$AH155),2,IF(AND(AW$4&lt;=$AJ155,AW$4&gt;$AI155),3,IF(AND(AW$4&lt;=$AK155,AW$4&gt;$AJ155),4,IF(AND(AW$4&lt;=$AL155,AW$4&gt;$AK155),5,0)))))*'Detailed Assumptions'!$E$6</f>
        <v>3</v>
      </c>
      <c r="AX498" s="543">
        <f>IF(AND(AX$4&lt;=$AH155,AX$4&gt;$V155),1,IF(AND(AX$4&lt;=$AI155,AX$4&gt;$AH155),2,IF(AND(AX$4&lt;=$AJ155,AX$4&gt;$AI155),3,IF(AND(AX$4&lt;=$AK155,AX$4&gt;$AJ155),4,IF(AND(AX$4&lt;=$AL155,AX$4&gt;$AK155),5,0)))))*'Detailed Assumptions'!$E$6</f>
        <v>3</v>
      </c>
      <c r="AY498" s="543">
        <f>IF(AND(AY$4&lt;=$AH155,AY$4&gt;$V155),1,IF(AND(AY$4&lt;=$AI155,AY$4&gt;$AH155),2,IF(AND(AY$4&lt;=$AJ155,AY$4&gt;$AI155),3,IF(AND(AY$4&lt;=$AK155,AY$4&gt;$AJ155),4,IF(AND(AY$4&lt;=$AL155,AY$4&gt;$AK155),5,0)))))*'Detailed Assumptions'!$E$6</f>
        <v>3</v>
      </c>
      <c r="AZ498" s="543">
        <f>IF(AND(AZ$4&lt;=$AH155,AZ$4&gt;$V155),1,IF(AND(AZ$4&lt;=$AI155,AZ$4&gt;$AH155),2,IF(AND(AZ$4&lt;=$AJ155,AZ$4&gt;$AI155),3,IF(AND(AZ$4&lt;=$AK155,AZ$4&gt;$AJ155),4,IF(AND(AZ$4&lt;=$AL155,AZ$4&gt;$AK155),5,0)))))*'Detailed Assumptions'!$E$6</f>
        <v>3</v>
      </c>
      <c r="BA498" s="543">
        <f>IF(AND(BA$4&lt;=$AH155,BA$4&gt;$V155),1,IF(AND(BA$4&lt;=$AI155,BA$4&gt;$AH155),2,IF(AND(BA$4&lt;=$AJ155,BA$4&gt;$AI155),3,IF(AND(BA$4&lt;=$AK155,BA$4&gt;$AJ155),4,IF(AND(BA$4&lt;=$AL155,BA$4&gt;$AK155),5,0)))))*'Detailed Assumptions'!$E$6</f>
        <v>3</v>
      </c>
      <c r="BB498" s="543">
        <f>IF(AND(BB$4&lt;=$AH155,BB$4&gt;$V155),1,IF(AND(BB$4&lt;=$AI155,BB$4&gt;$AH155),2,IF(AND(BB$4&lt;=$AJ155,BB$4&gt;$AI155),3,IF(AND(BB$4&lt;=$AK155,BB$4&gt;$AJ155),4,IF(AND(BB$4&lt;=$AL155,BB$4&gt;$AK155),5,0)))))*'Detailed Assumptions'!$E$6</f>
        <v>3</v>
      </c>
      <c r="BC498" s="543">
        <f>IF(AND(BC$4&lt;=$AH155,BC$4&gt;$V155),1,IF(AND(BC$4&lt;=$AI155,BC$4&gt;$AH155),2,IF(AND(BC$4&lt;=$AJ155,BC$4&gt;$AI155),3,IF(AND(BC$4&lt;=$AK155,BC$4&gt;$AJ155),4,IF(AND(BC$4&lt;=$AL155,BC$4&gt;$AK155),5,0)))))*'Detailed Assumptions'!$E$6</f>
        <v>3</v>
      </c>
      <c r="BD498" s="543">
        <f>IF(AND(BD$4&lt;=$AH155,BD$4&gt;$V155),1,IF(AND(BD$4&lt;=$AI155,BD$4&gt;$AH155),2,IF(AND(BD$4&lt;=$AJ155,BD$4&gt;$AI155),3,IF(AND(BD$4&lt;=$AK155,BD$4&gt;$AJ155),4,IF(AND(BD$4&lt;=$AL155,BD$4&gt;$AK155),5,0)))))*'Detailed Assumptions'!$E$6</f>
        <v>3</v>
      </c>
      <c r="BE498" s="543">
        <f>IF(AND(BE$4&lt;=$AH155,BE$4&gt;$V155),1,IF(AND(BE$4&lt;=$AI155,BE$4&gt;$AH155),2,IF(AND(BE$4&lt;=$AJ155,BE$4&gt;$AI155),3,IF(AND(BE$4&lt;=$AK155,BE$4&gt;$AJ155),4,IF(AND(BE$4&lt;=$AL155,BE$4&gt;$AK155),5,0)))))*'Detailed Assumptions'!$E$6</f>
        <v>3</v>
      </c>
      <c r="BF498" s="543">
        <f>IF(AND(BF$4&lt;=$AH155,BF$4&gt;$V155),1,IF(AND(BF$4&lt;=$AI155,BF$4&gt;$AH155),2,IF(AND(BF$4&lt;=$AJ155,BF$4&gt;$AI155),3,IF(AND(BF$4&lt;=$AK155,BF$4&gt;$AJ155),4,IF(AND(BF$4&lt;=$AL155,BF$4&gt;$AK155),5,0)))))*'Detailed Assumptions'!$E$6</f>
        <v>3</v>
      </c>
      <c r="BG498" s="543">
        <f>IF(AND(BG$4&lt;=$AH155,BG$4&gt;$V155),1,IF(AND(BG$4&lt;=$AI155,BG$4&gt;$AH155),2,IF(AND(BG$4&lt;=$AJ155,BG$4&gt;$AI155),3,IF(AND(BG$4&lt;=$AK155,BG$4&gt;$AJ155),4,IF(AND(BG$4&lt;=$AL155,BG$4&gt;$AK155),5,0)))))*'Detailed Assumptions'!$E$6</f>
        <v>3</v>
      </c>
      <c r="BH498" s="543">
        <f>IF(AND(BH$4&lt;=$AH155,BH$4&gt;$V155),1,IF(AND(BH$4&lt;=$AI155,BH$4&gt;$AH155),2,IF(AND(BH$4&lt;=$AJ155,BH$4&gt;$AI155),3,IF(AND(BH$4&lt;=$AK155,BH$4&gt;$AJ155),4,IF(AND(BH$4&lt;=$AL155,BH$4&gt;$AK155),5,0)))))*'Detailed Assumptions'!$E$6</f>
        <v>4</v>
      </c>
      <c r="BI498" s="543">
        <f>IF(AND(BI$4&lt;=$AH155,BI$4&gt;$V155),1,IF(AND(BI$4&lt;=$AI155,BI$4&gt;$AH155),2,IF(AND(BI$4&lt;=$AJ155,BI$4&gt;$AI155),3,IF(AND(BI$4&lt;=$AK155,BI$4&gt;$AJ155),4,IF(AND(BI$4&lt;=$AL155,BI$4&gt;$AK155),5,0)))))*'Detailed Assumptions'!$E$6</f>
        <v>4</v>
      </c>
      <c r="BJ498" s="543">
        <f>IF(AND(BJ$4&lt;=$AH155,BJ$4&gt;$V155),1,IF(AND(BJ$4&lt;=$AI155,BJ$4&gt;$AH155),2,IF(AND(BJ$4&lt;=$AJ155,BJ$4&gt;$AI155),3,IF(AND(BJ$4&lt;=$AK155,BJ$4&gt;$AJ155),4,IF(AND(BJ$4&lt;=$AL155,BJ$4&gt;$AK155),5,0)))))*'Detailed Assumptions'!$E$6</f>
        <v>4</v>
      </c>
      <c r="BK498" s="543">
        <f>IF(AND(BK$4&lt;=$AH155,BK$4&gt;$V155),1,IF(AND(BK$4&lt;=$AI155,BK$4&gt;$AH155),2,IF(AND(BK$4&lt;=$AJ155,BK$4&gt;$AI155),3,IF(AND(BK$4&lt;=$AK155,BK$4&gt;$AJ155),4,IF(AND(BK$4&lt;=$AL155,BK$4&gt;$AK155),5,0)))))*'Detailed Assumptions'!$E$6</f>
        <v>4</v>
      </c>
      <c r="BL498" s="543">
        <f>IF(AND(BL$4&lt;=$AH155,BL$4&gt;$V155),1,IF(AND(BL$4&lt;=$AI155,BL$4&gt;$AH155),2,IF(AND(BL$4&lt;=$AJ155,BL$4&gt;$AI155),3,IF(AND(BL$4&lt;=$AK155,BL$4&gt;$AJ155),4,IF(AND(BL$4&lt;=$AL155,BL$4&gt;$AK155),5,0)))))*'Detailed Assumptions'!$E$6</f>
        <v>4</v>
      </c>
      <c r="BM498" s="543">
        <f>IF(AND(BM$4&lt;=$AH155,BM$4&gt;$V155),1,IF(AND(BM$4&lt;=$AI155,BM$4&gt;$AH155),2,IF(AND(BM$4&lt;=$AJ155,BM$4&gt;$AI155),3,IF(AND(BM$4&lt;=$AK155,BM$4&gt;$AJ155),4,IF(AND(BM$4&lt;=$AL155,BM$4&gt;$AK155),5,0)))))*'Detailed Assumptions'!$E$6</f>
        <v>4</v>
      </c>
      <c r="BN498" s="543">
        <f>IF(AND(BN$4&lt;=$AH155,BN$4&gt;$V155),1,IF(AND(BN$4&lt;=$AI155,BN$4&gt;$AH155),2,IF(AND(BN$4&lt;=$AJ155,BN$4&gt;$AI155),3,IF(AND(BN$4&lt;=$AK155,BN$4&gt;$AJ155),4,IF(AND(BN$4&lt;=$AL155,BN$4&gt;$AK155),5,0)))))*'Detailed Assumptions'!$E$6</f>
        <v>4</v>
      </c>
      <c r="BO498" s="543">
        <f>IF(AND(BO$4&lt;=$AH155,BO$4&gt;$V155),1,IF(AND(BO$4&lt;=$AI155,BO$4&gt;$AH155),2,IF(AND(BO$4&lt;=$AJ155,BO$4&gt;$AI155),3,IF(AND(BO$4&lt;=$AK155,BO$4&gt;$AJ155),4,IF(AND(BO$4&lt;=$AL155,BO$4&gt;$AK155),5,0)))))*'Detailed Assumptions'!$E$6</f>
        <v>4</v>
      </c>
      <c r="BP498" s="543">
        <f>IF(AND(BP$4&lt;=$AH155,BP$4&gt;$V155),1,IF(AND(BP$4&lt;=$AI155,BP$4&gt;$AH155),2,IF(AND(BP$4&lt;=$AJ155,BP$4&gt;$AI155),3,IF(AND(BP$4&lt;=$AK155,BP$4&gt;$AJ155),4,IF(AND(BP$4&lt;=$AL155,BP$4&gt;$AK155),5,0)))))*'Detailed Assumptions'!$E$6</f>
        <v>4</v>
      </c>
      <c r="BQ498" s="543">
        <f>IF(AND(BQ$4&lt;=$AH155,BQ$4&gt;$V155),1,IF(AND(BQ$4&lt;=$AI155,BQ$4&gt;$AH155),2,IF(AND(BQ$4&lt;=$AJ155,BQ$4&gt;$AI155),3,IF(AND(BQ$4&lt;=$AK155,BQ$4&gt;$AJ155),4,IF(AND(BQ$4&lt;=$AL155,BQ$4&gt;$AK155),5,0)))))*'Detailed Assumptions'!$E$6</f>
        <v>4</v>
      </c>
      <c r="BR498" s="543">
        <f>IF(AND(BR$4&lt;=$AH155,BR$4&gt;$V155),1,IF(AND(BR$4&lt;=$AI155,BR$4&gt;$AH155),2,IF(AND(BR$4&lt;=$AJ155,BR$4&gt;$AI155),3,IF(AND(BR$4&lt;=$AK155,BR$4&gt;$AJ155),4,IF(AND(BR$4&lt;=$AL155,BR$4&gt;$AK155),5,0)))))*'Detailed Assumptions'!$E$6</f>
        <v>4</v>
      </c>
      <c r="BS498" s="543">
        <f>IF(AND(BS$4&lt;=$AH155,BS$4&gt;$V155),1,IF(AND(BS$4&lt;=$AI155,BS$4&gt;$AH155),2,IF(AND(BS$4&lt;=$AJ155,BS$4&gt;$AI155),3,IF(AND(BS$4&lt;=$AK155,BS$4&gt;$AJ155),4,IF(AND(BS$4&lt;=$AL155,BS$4&gt;$AK155),5,0)))))*'Detailed Assumptions'!$E$6</f>
        <v>4</v>
      </c>
      <c r="BT498" s="543">
        <f>IF(AND(BT$4&lt;=$AH155,BT$4&gt;$V155),1,IF(AND(BT$4&lt;=$AI155,BT$4&gt;$AH155),2,IF(AND(BT$4&lt;=$AJ155,BT$4&gt;$AI155),3,IF(AND(BT$4&lt;=$AK155,BT$4&gt;$AJ155),4,IF(AND(BT$4&lt;=$AL155,BT$4&gt;$AK155),5,0)))))*'Detailed Assumptions'!$E$6</f>
        <v>5</v>
      </c>
      <c r="BU498" s="543">
        <f>IF(AND(BU$4&lt;=$AH155,BU$4&gt;$V155),1,IF(AND(BU$4&lt;=$AI155,BU$4&gt;$AH155),2,IF(AND(BU$4&lt;=$AJ155,BU$4&gt;$AI155),3,IF(AND(BU$4&lt;=$AK155,BU$4&gt;$AJ155),4,IF(AND(BU$4&lt;=$AL155,BU$4&gt;$AK155),5,0)))))*'Detailed Assumptions'!$E$6</f>
        <v>5</v>
      </c>
      <c r="BV498" s="543">
        <f>IF(AND(BV$4&lt;=$AH155,BV$4&gt;$V155),1,IF(AND(BV$4&lt;=$AI155,BV$4&gt;$AH155),2,IF(AND(BV$4&lt;=$AJ155,BV$4&gt;$AI155),3,IF(AND(BV$4&lt;=$AK155,BV$4&gt;$AJ155),4,IF(AND(BV$4&lt;=$AL155,BV$4&gt;$AK155),5,0)))))*'Detailed Assumptions'!$E$6</f>
        <v>5</v>
      </c>
      <c r="BW498" s="543">
        <f>IF(AND(BW$4&lt;=$AH155,BW$4&gt;$V155),1,IF(AND(BW$4&lt;=$AI155,BW$4&gt;$AH155),2,IF(AND(BW$4&lt;=$AJ155,BW$4&gt;$AI155),3,IF(AND(BW$4&lt;=$AK155,BW$4&gt;$AJ155),4,IF(AND(BW$4&lt;=$AL155,BW$4&gt;$AK155),5,0)))))*'Detailed Assumptions'!$E$6</f>
        <v>5</v>
      </c>
      <c r="BX498" s="543">
        <f>IF(AND(BX$4&lt;=$AH155,BX$4&gt;$V155),1,IF(AND(BX$4&lt;=$AI155,BX$4&gt;$AH155),2,IF(AND(BX$4&lt;=$AJ155,BX$4&gt;$AI155),3,IF(AND(BX$4&lt;=$AK155,BX$4&gt;$AJ155),4,IF(AND(BX$4&lt;=$AL155,BX$4&gt;$AK155),5,0)))))*'Detailed Assumptions'!$E$6</f>
        <v>5</v>
      </c>
      <c r="BY498" s="543">
        <f>IF(AND(BY$4&lt;=$AH155,BY$4&gt;$V155),1,IF(AND(BY$4&lt;=$AI155,BY$4&gt;$AH155),2,IF(AND(BY$4&lt;=$AJ155,BY$4&gt;$AI155),3,IF(AND(BY$4&lt;=$AK155,BY$4&gt;$AJ155),4,IF(AND(BY$4&lt;=$AL155,BY$4&gt;$AK155),5,0)))))*'Detailed Assumptions'!$E$6</f>
        <v>5</v>
      </c>
      <c r="BZ498" s="537"/>
      <c r="CA498" s="537"/>
      <c r="CB498" s="537"/>
    </row>
    <row r="499" spans="1:80" x14ac:dyDescent="0.3">
      <c r="A499" s="551"/>
      <c r="B499" s="548"/>
      <c r="C499" s="548"/>
      <c r="D499" s="525"/>
      <c r="E499" s="655" t="str">
        <f>"EBITDA growth post capex: "&amp;E$156</f>
        <v>EBITDA growth post capex: FY28 Tranche</v>
      </c>
      <c r="F499" s="574"/>
      <c r="G499" s="574"/>
      <c r="H499" s="574"/>
      <c r="I499" s="574"/>
      <c r="J499" s="574"/>
      <c r="K499" s="574"/>
      <c r="L499" s="574"/>
      <c r="M499" s="574"/>
      <c r="N499" s="574"/>
      <c r="O499" s="574"/>
      <c r="P499" s="653"/>
      <c r="Q499" s="574"/>
      <c r="R499" s="543">
        <f>IF(AND(R$4&lt;=$AH156,R$4&gt;$V156),1,IF(AND(R$4&lt;=$AI156,R$4&gt;$AH156),2,IF(AND(R$4&lt;=$AJ156,R$4&gt;$AI156),3,IF(AND(R$4&lt;=$AK156,R$4&gt;$AJ156),4,IF(AND(R$4&lt;=$AL156,R$4&gt;$AK156),5,0)))))*'Detailed Assumptions'!$E$6</f>
        <v>0</v>
      </c>
      <c r="S499" s="543">
        <f>IF(AND(S$4&lt;=$AH156,S$4&gt;$V156),1,IF(AND(S$4&lt;=$AI156,S$4&gt;$AH156),2,IF(AND(S$4&lt;=$AJ156,S$4&gt;$AI156),3,IF(AND(S$4&lt;=$AK156,S$4&gt;$AJ156),4,IF(AND(S$4&lt;=$AL156,S$4&gt;$AK156),5,0)))))*'Detailed Assumptions'!$E$6</f>
        <v>0</v>
      </c>
      <c r="T499" s="543">
        <f>IF(AND(T$4&lt;=$AH156,T$4&gt;$V156),1,IF(AND(T$4&lt;=$AI156,T$4&gt;$AH156),2,IF(AND(T$4&lt;=$AJ156,T$4&gt;$AI156),3,IF(AND(T$4&lt;=$AK156,T$4&gt;$AJ156),4,IF(AND(T$4&lt;=$AL156,T$4&gt;$AK156),5,0)))))*'Detailed Assumptions'!$E$6</f>
        <v>0</v>
      </c>
      <c r="U499" s="543">
        <f>IF(AND(U$4&lt;=$AH156,U$4&gt;$V156),1,IF(AND(U$4&lt;=$AI156,U$4&gt;$AH156),2,IF(AND(U$4&lt;=$AJ156,U$4&gt;$AI156),3,IF(AND(U$4&lt;=$AK156,U$4&gt;$AJ156),4,IF(AND(U$4&lt;=$AL156,U$4&gt;$AK156),5,0)))))*'Detailed Assumptions'!$E$6</f>
        <v>0</v>
      </c>
      <c r="V499" s="543">
        <f>IF(AND(V$4&lt;=$AH156,V$4&gt;$V156),1,IF(AND(V$4&lt;=$AI156,V$4&gt;$AH156),2,IF(AND(V$4&lt;=$AJ156,V$4&gt;$AI156),3,IF(AND(V$4&lt;=$AK156,V$4&gt;$AJ156),4,IF(AND(V$4&lt;=$AL156,V$4&gt;$AK156),5,0)))))*'Detailed Assumptions'!$E$6</f>
        <v>0</v>
      </c>
      <c r="W499" s="543">
        <f>IF(AND(W$4&lt;=$AH156,W$4&gt;$V156),1,IF(AND(W$4&lt;=$AI156,W$4&gt;$AH156),2,IF(AND(W$4&lt;=$AJ156,W$4&gt;$AI156),3,IF(AND(W$4&lt;=$AK156,W$4&gt;$AJ156),4,IF(AND(W$4&lt;=$AL156,W$4&gt;$AK156),5,0)))))*'Detailed Assumptions'!$E$6</f>
        <v>0</v>
      </c>
      <c r="X499" s="543">
        <f>IF(AND(X$4&lt;=$AH156,X$4&gt;$V156),1,IF(AND(X$4&lt;=$AI156,X$4&gt;$AH156),2,IF(AND(X$4&lt;=$AJ156,X$4&gt;$AI156),3,IF(AND(X$4&lt;=$AK156,X$4&gt;$AJ156),4,IF(AND(X$4&lt;=$AL156,X$4&gt;$AK156),5,0)))))*'Detailed Assumptions'!$E$6</f>
        <v>0</v>
      </c>
      <c r="Y499" s="543">
        <f>IF(AND(Y$4&lt;=$AH156,Y$4&gt;$V156),1,IF(AND(Y$4&lt;=$AI156,Y$4&gt;$AH156),2,IF(AND(Y$4&lt;=$AJ156,Y$4&gt;$AI156),3,IF(AND(Y$4&lt;=$AK156,Y$4&gt;$AJ156),4,IF(AND(Y$4&lt;=$AL156,Y$4&gt;$AK156),5,0)))))*'Detailed Assumptions'!$E$6</f>
        <v>0</v>
      </c>
      <c r="Z499" s="543">
        <f>IF(AND(Z$4&lt;=$AH156,Z$4&gt;$V156),1,IF(AND(Z$4&lt;=$AI156,Z$4&gt;$AH156),2,IF(AND(Z$4&lt;=$AJ156,Z$4&gt;$AI156),3,IF(AND(Z$4&lt;=$AK156,Z$4&gt;$AJ156),4,IF(AND(Z$4&lt;=$AL156,Z$4&gt;$AK156),5,0)))))*'Detailed Assumptions'!$E$6</f>
        <v>0</v>
      </c>
      <c r="AA499" s="543">
        <f>IF(AND(AA$4&lt;=$AH156,AA$4&gt;$V156),1,IF(AND(AA$4&lt;=$AI156,AA$4&gt;$AH156),2,IF(AND(AA$4&lt;=$AJ156,AA$4&gt;$AI156),3,IF(AND(AA$4&lt;=$AK156,AA$4&gt;$AJ156),4,IF(AND(AA$4&lt;=$AL156,AA$4&gt;$AK156),5,0)))))*'Detailed Assumptions'!$E$6</f>
        <v>0</v>
      </c>
      <c r="AB499" s="543">
        <f>IF(AND(AB$4&lt;=$AH156,AB$4&gt;$V156),1,IF(AND(AB$4&lt;=$AI156,AB$4&gt;$AH156),2,IF(AND(AB$4&lt;=$AJ156,AB$4&gt;$AI156),3,IF(AND(AB$4&lt;=$AK156,AB$4&gt;$AJ156),4,IF(AND(AB$4&lt;=$AL156,AB$4&gt;$AK156),5,0)))))*'Detailed Assumptions'!$E$6</f>
        <v>0</v>
      </c>
      <c r="AC499" s="543">
        <f>IF(AND(AC$4&lt;=$AH156,AC$4&gt;$V156),1,IF(AND(AC$4&lt;=$AI156,AC$4&gt;$AH156),2,IF(AND(AC$4&lt;=$AJ156,AC$4&gt;$AI156),3,IF(AND(AC$4&lt;=$AK156,AC$4&gt;$AJ156),4,IF(AND(AC$4&lt;=$AL156,AC$4&gt;$AK156),5,0)))))*'Detailed Assumptions'!$E$6</f>
        <v>0</v>
      </c>
      <c r="AD499" s="543">
        <f>IF(AND(AD$4&lt;=$AH156,AD$4&gt;$V156),1,IF(AND(AD$4&lt;=$AI156,AD$4&gt;$AH156),2,IF(AND(AD$4&lt;=$AJ156,AD$4&gt;$AI156),3,IF(AND(AD$4&lt;=$AK156,AD$4&gt;$AJ156),4,IF(AND(AD$4&lt;=$AL156,AD$4&gt;$AK156),5,0)))))*'Detailed Assumptions'!$E$6</f>
        <v>0</v>
      </c>
      <c r="AE499" s="543">
        <f>IF(AND(AE$4&lt;=$AH156,AE$4&gt;$V156),1,IF(AND(AE$4&lt;=$AI156,AE$4&gt;$AH156),2,IF(AND(AE$4&lt;=$AJ156,AE$4&gt;$AI156),3,IF(AND(AE$4&lt;=$AK156,AE$4&gt;$AJ156),4,IF(AND(AE$4&lt;=$AL156,AE$4&gt;$AK156),5,0)))))*'Detailed Assumptions'!$E$6</f>
        <v>0</v>
      </c>
      <c r="AF499" s="543">
        <f>IF(AND(AF$4&lt;=$AH156,AF$4&gt;$V156),1,IF(AND(AF$4&lt;=$AI156,AF$4&gt;$AH156),2,IF(AND(AF$4&lt;=$AJ156,AF$4&gt;$AI156),3,IF(AND(AF$4&lt;=$AK156,AF$4&gt;$AJ156),4,IF(AND(AF$4&lt;=$AL156,AF$4&gt;$AK156),5,0)))))*'Detailed Assumptions'!$E$6</f>
        <v>0</v>
      </c>
      <c r="AG499" s="543">
        <f>IF(AND(AG$4&lt;=$AH156,AG$4&gt;$V156),1,IF(AND(AG$4&lt;=$AI156,AG$4&gt;$AH156),2,IF(AND(AG$4&lt;=$AJ156,AG$4&gt;$AI156),3,IF(AND(AG$4&lt;=$AK156,AG$4&gt;$AJ156),4,IF(AND(AG$4&lt;=$AL156,AG$4&gt;$AK156),5,0)))))*'Detailed Assumptions'!$E$6</f>
        <v>0</v>
      </c>
      <c r="AH499" s="543">
        <f>IF(AND(AH$4&lt;=$AH156,AH$4&gt;$V156),1,IF(AND(AH$4&lt;=$AI156,AH$4&gt;$AH156),2,IF(AND(AH$4&lt;=$AJ156,AH$4&gt;$AI156),3,IF(AND(AH$4&lt;=$AK156,AH$4&gt;$AJ156),4,IF(AND(AH$4&lt;=$AL156,AH$4&gt;$AK156),5,0)))))*'Detailed Assumptions'!$E$6</f>
        <v>0</v>
      </c>
      <c r="AI499" s="543">
        <f>IF(AND(AI$4&lt;=$AH156,AI$4&gt;$V156),1,IF(AND(AI$4&lt;=$AI156,AI$4&gt;$AH156),2,IF(AND(AI$4&lt;=$AJ156,AI$4&gt;$AI156),3,IF(AND(AI$4&lt;=$AK156,AI$4&gt;$AJ156),4,IF(AND(AI$4&lt;=$AL156,AI$4&gt;$AK156),5,0)))))*'Detailed Assumptions'!$E$6</f>
        <v>0</v>
      </c>
      <c r="AJ499" s="543">
        <f>IF(AND(AJ$4&lt;=$AH156,AJ$4&gt;$V156),1,IF(AND(AJ$4&lt;=$AI156,AJ$4&gt;$AH156),2,IF(AND(AJ$4&lt;=$AJ156,AJ$4&gt;$AI156),3,IF(AND(AJ$4&lt;=$AK156,AJ$4&gt;$AJ156),4,IF(AND(AJ$4&lt;=$AL156,AJ$4&gt;$AK156),5,0)))))*'Detailed Assumptions'!$E$6</f>
        <v>1</v>
      </c>
      <c r="AK499" s="543">
        <f>IF(AND(AK$4&lt;=$AH156,AK$4&gt;$V156),1,IF(AND(AK$4&lt;=$AI156,AK$4&gt;$AH156),2,IF(AND(AK$4&lt;=$AJ156,AK$4&gt;$AI156),3,IF(AND(AK$4&lt;=$AK156,AK$4&gt;$AJ156),4,IF(AND(AK$4&lt;=$AL156,AK$4&gt;$AK156),5,0)))))*'Detailed Assumptions'!$E$6</f>
        <v>1</v>
      </c>
      <c r="AL499" s="543">
        <f>IF(AND(AL$4&lt;=$AH156,AL$4&gt;$V156),1,IF(AND(AL$4&lt;=$AI156,AL$4&gt;$AH156),2,IF(AND(AL$4&lt;=$AJ156,AL$4&gt;$AI156),3,IF(AND(AL$4&lt;=$AK156,AL$4&gt;$AJ156),4,IF(AND(AL$4&lt;=$AL156,AL$4&gt;$AK156),5,0)))))*'Detailed Assumptions'!$E$6</f>
        <v>1</v>
      </c>
      <c r="AM499" s="543">
        <f>IF(AND(AM$4&lt;=$AH156,AM$4&gt;$V156),1,IF(AND(AM$4&lt;=$AI156,AM$4&gt;$AH156),2,IF(AND(AM$4&lt;=$AJ156,AM$4&gt;$AI156),3,IF(AND(AM$4&lt;=$AK156,AM$4&gt;$AJ156),4,IF(AND(AM$4&lt;=$AL156,AM$4&gt;$AK156),5,0)))))*'Detailed Assumptions'!$E$6</f>
        <v>1</v>
      </c>
      <c r="AN499" s="543">
        <f>IF(AND(AN$4&lt;=$AH156,AN$4&gt;$V156),1,IF(AND(AN$4&lt;=$AI156,AN$4&gt;$AH156),2,IF(AND(AN$4&lt;=$AJ156,AN$4&gt;$AI156),3,IF(AND(AN$4&lt;=$AK156,AN$4&gt;$AJ156),4,IF(AND(AN$4&lt;=$AL156,AN$4&gt;$AK156),5,0)))))*'Detailed Assumptions'!$E$6</f>
        <v>1</v>
      </c>
      <c r="AO499" s="543">
        <f>IF(AND(AO$4&lt;=$AH156,AO$4&gt;$V156),1,IF(AND(AO$4&lt;=$AI156,AO$4&gt;$AH156),2,IF(AND(AO$4&lt;=$AJ156,AO$4&gt;$AI156),3,IF(AND(AO$4&lt;=$AK156,AO$4&gt;$AJ156),4,IF(AND(AO$4&lt;=$AL156,AO$4&gt;$AK156),5,0)))))*'Detailed Assumptions'!$E$6</f>
        <v>1</v>
      </c>
      <c r="AP499" s="543">
        <f>IF(AND(AP$4&lt;=$AH156,AP$4&gt;$V156),1,IF(AND(AP$4&lt;=$AI156,AP$4&gt;$AH156),2,IF(AND(AP$4&lt;=$AJ156,AP$4&gt;$AI156),3,IF(AND(AP$4&lt;=$AK156,AP$4&gt;$AJ156),4,IF(AND(AP$4&lt;=$AL156,AP$4&gt;$AK156),5,0)))))*'Detailed Assumptions'!$E$6</f>
        <v>1</v>
      </c>
      <c r="AQ499" s="543">
        <f>IF(AND(AQ$4&lt;=$AH156,AQ$4&gt;$V156),1,IF(AND(AQ$4&lt;=$AI156,AQ$4&gt;$AH156),2,IF(AND(AQ$4&lt;=$AJ156,AQ$4&gt;$AI156),3,IF(AND(AQ$4&lt;=$AK156,AQ$4&gt;$AJ156),4,IF(AND(AQ$4&lt;=$AL156,AQ$4&gt;$AK156),5,0)))))*'Detailed Assumptions'!$E$6</f>
        <v>1</v>
      </c>
      <c r="AR499" s="543">
        <f>IF(AND(AR$4&lt;=$AH156,AR$4&gt;$V156),1,IF(AND(AR$4&lt;=$AI156,AR$4&gt;$AH156),2,IF(AND(AR$4&lt;=$AJ156,AR$4&gt;$AI156),3,IF(AND(AR$4&lt;=$AK156,AR$4&gt;$AJ156),4,IF(AND(AR$4&lt;=$AL156,AR$4&gt;$AK156),5,0)))))*'Detailed Assumptions'!$E$6</f>
        <v>1</v>
      </c>
      <c r="AS499" s="543">
        <f>IF(AND(AS$4&lt;=$AH156,AS$4&gt;$V156),1,IF(AND(AS$4&lt;=$AI156,AS$4&gt;$AH156),2,IF(AND(AS$4&lt;=$AJ156,AS$4&gt;$AI156),3,IF(AND(AS$4&lt;=$AK156,AS$4&gt;$AJ156),4,IF(AND(AS$4&lt;=$AL156,AS$4&gt;$AK156),5,0)))))*'Detailed Assumptions'!$E$6</f>
        <v>1</v>
      </c>
      <c r="AT499" s="543">
        <f>IF(AND(AT$4&lt;=$AH156,AT$4&gt;$V156),1,IF(AND(AT$4&lt;=$AI156,AT$4&gt;$AH156),2,IF(AND(AT$4&lt;=$AJ156,AT$4&gt;$AI156),3,IF(AND(AT$4&lt;=$AK156,AT$4&gt;$AJ156),4,IF(AND(AT$4&lt;=$AL156,AT$4&gt;$AK156),5,0)))))*'Detailed Assumptions'!$E$6</f>
        <v>1</v>
      </c>
      <c r="AU499" s="543">
        <f>IF(AND(AU$4&lt;=$AH156,AU$4&gt;$V156),1,IF(AND(AU$4&lt;=$AI156,AU$4&gt;$AH156),2,IF(AND(AU$4&lt;=$AJ156,AU$4&gt;$AI156),3,IF(AND(AU$4&lt;=$AK156,AU$4&gt;$AJ156),4,IF(AND(AU$4&lt;=$AL156,AU$4&gt;$AK156),5,0)))))*'Detailed Assumptions'!$E$6</f>
        <v>1</v>
      </c>
      <c r="AV499" s="543">
        <f>IF(AND(AV$4&lt;=$AH156,AV$4&gt;$V156),1,IF(AND(AV$4&lt;=$AI156,AV$4&gt;$AH156),2,IF(AND(AV$4&lt;=$AJ156,AV$4&gt;$AI156),3,IF(AND(AV$4&lt;=$AK156,AV$4&gt;$AJ156),4,IF(AND(AV$4&lt;=$AL156,AV$4&gt;$AK156),5,0)))))*'Detailed Assumptions'!$E$6</f>
        <v>2</v>
      </c>
      <c r="AW499" s="543">
        <f>IF(AND(AW$4&lt;=$AH156,AW$4&gt;$V156),1,IF(AND(AW$4&lt;=$AI156,AW$4&gt;$AH156),2,IF(AND(AW$4&lt;=$AJ156,AW$4&gt;$AI156),3,IF(AND(AW$4&lt;=$AK156,AW$4&gt;$AJ156),4,IF(AND(AW$4&lt;=$AL156,AW$4&gt;$AK156),5,0)))))*'Detailed Assumptions'!$E$6</f>
        <v>2</v>
      </c>
      <c r="AX499" s="543">
        <f>IF(AND(AX$4&lt;=$AH156,AX$4&gt;$V156),1,IF(AND(AX$4&lt;=$AI156,AX$4&gt;$AH156),2,IF(AND(AX$4&lt;=$AJ156,AX$4&gt;$AI156),3,IF(AND(AX$4&lt;=$AK156,AX$4&gt;$AJ156),4,IF(AND(AX$4&lt;=$AL156,AX$4&gt;$AK156),5,0)))))*'Detailed Assumptions'!$E$6</f>
        <v>2</v>
      </c>
      <c r="AY499" s="543">
        <f>IF(AND(AY$4&lt;=$AH156,AY$4&gt;$V156),1,IF(AND(AY$4&lt;=$AI156,AY$4&gt;$AH156),2,IF(AND(AY$4&lt;=$AJ156,AY$4&gt;$AI156),3,IF(AND(AY$4&lt;=$AK156,AY$4&gt;$AJ156),4,IF(AND(AY$4&lt;=$AL156,AY$4&gt;$AK156),5,0)))))*'Detailed Assumptions'!$E$6</f>
        <v>2</v>
      </c>
      <c r="AZ499" s="543">
        <f>IF(AND(AZ$4&lt;=$AH156,AZ$4&gt;$V156),1,IF(AND(AZ$4&lt;=$AI156,AZ$4&gt;$AH156),2,IF(AND(AZ$4&lt;=$AJ156,AZ$4&gt;$AI156),3,IF(AND(AZ$4&lt;=$AK156,AZ$4&gt;$AJ156),4,IF(AND(AZ$4&lt;=$AL156,AZ$4&gt;$AK156),5,0)))))*'Detailed Assumptions'!$E$6</f>
        <v>2</v>
      </c>
      <c r="BA499" s="543">
        <f>IF(AND(BA$4&lt;=$AH156,BA$4&gt;$V156),1,IF(AND(BA$4&lt;=$AI156,BA$4&gt;$AH156),2,IF(AND(BA$4&lt;=$AJ156,BA$4&gt;$AI156),3,IF(AND(BA$4&lt;=$AK156,BA$4&gt;$AJ156),4,IF(AND(BA$4&lt;=$AL156,BA$4&gt;$AK156),5,0)))))*'Detailed Assumptions'!$E$6</f>
        <v>2</v>
      </c>
      <c r="BB499" s="543">
        <f>IF(AND(BB$4&lt;=$AH156,BB$4&gt;$V156),1,IF(AND(BB$4&lt;=$AI156,BB$4&gt;$AH156),2,IF(AND(BB$4&lt;=$AJ156,BB$4&gt;$AI156),3,IF(AND(BB$4&lt;=$AK156,BB$4&gt;$AJ156),4,IF(AND(BB$4&lt;=$AL156,BB$4&gt;$AK156),5,0)))))*'Detailed Assumptions'!$E$6</f>
        <v>2</v>
      </c>
      <c r="BC499" s="543">
        <f>IF(AND(BC$4&lt;=$AH156,BC$4&gt;$V156),1,IF(AND(BC$4&lt;=$AI156,BC$4&gt;$AH156),2,IF(AND(BC$4&lt;=$AJ156,BC$4&gt;$AI156),3,IF(AND(BC$4&lt;=$AK156,BC$4&gt;$AJ156),4,IF(AND(BC$4&lt;=$AL156,BC$4&gt;$AK156),5,0)))))*'Detailed Assumptions'!$E$6</f>
        <v>2</v>
      </c>
      <c r="BD499" s="543">
        <f>IF(AND(BD$4&lt;=$AH156,BD$4&gt;$V156),1,IF(AND(BD$4&lt;=$AI156,BD$4&gt;$AH156),2,IF(AND(BD$4&lt;=$AJ156,BD$4&gt;$AI156),3,IF(AND(BD$4&lt;=$AK156,BD$4&gt;$AJ156),4,IF(AND(BD$4&lt;=$AL156,BD$4&gt;$AK156),5,0)))))*'Detailed Assumptions'!$E$6</f>
        <v>2</v>
      </c>
      <c r="BE499" s="543">
        <f>IF(AND(BE$4&lt;=$AH156,BE$4&gt;$V156),1,IF(AND(BE$4&lt;=$AI156,BE$4&gt;$AH156),2,IF(AND(BE$4&lt;=$AJ156,BE$4&gt;$AI156),3,IF(AND(BE$4&lt;=$AK156,BE$4&gt;$AJ156),4,IF(AND(BE$4&lt;=$AL156,BE$4&gt;$AK156),5,0)))))*'Detailed Assumptions'!$E$6</f>
        <v>2</v>
      </c>
      <c r="BF499" s="543">
        <f>IF(AND(BF$4&lt;=$AH156,BF$4&gt;$V156),1,IF(AND(BF$4&lt;=$AI156,BF$4&gt;$AH156),2,IF(AND(BF$4&lt;=$AJ156,BF$4&gt;$AI156),3,IF(AND(BF$4&lt;=$AK156,BF$4&gt;$AJ156),4,IF(AND(BF$4&lt;=$AL156,BF$4&gt;$AK156),5,0)))))*'Detailed Assumptions'!$E$6</f>
        <v>2</v>
      </c>
      <c r="BG499" s="543">
        <f>IF(AND(BG$4&lt;=$AH156,BG$4&gt;$V156),1,IF(AND(BG$4&lt;=$AI156,BG$4&gt;$AH156),2,IF(AND(BG$4&lt;=$AJ156,BG$4&gt;$AI156),3,IF(AND(BG$4&lt;=$AK156,BG$4&gt;$AJ156),4,IF(AND(BG$4&lt;=$AL156,BG$4&gt;$AK156),5,0)))))*'Detailed Assumptions'!$E$6</f>
        <v>2</v>
      </c>
      <c r="BH499" s="543">
        <f>IF(AND(BH$4&lt;=$AH156,BH$4&gt;$V156),1,IF(AND(BH$4&lt;=$AI156,BH$4&gt;$AH156),2,IF(AND(BH$4&lt;=$AJ156,BH$4&gt;$AI156),3,IF(AND(BH$4&lt;=$AK156,BH$4&gt;$AJ156),4,IF(AND(BH$4&lt;=$AL156,BH$4&gt;$AK156),5,0)))))*'Detailed Assumptions'!$E$6</f>
        <v>3</v>
      </c>
      <c r="BI499" s="543">
        <f>IF(AND(BI$4&lt;=$AH156,BI$4&gt;$V156),1,IF(AND(BI$4&lt;=$AI156,BI$4&gt;$AH156),2,IF(AND(BI$4&lt;=$AJ156,BI$4&gt;$AI156),3,IF(AND(BI$4&lt;=$AK156,BI$4&gt;$AJ156),4,IF(AND(BI$4&lt;=$AL156,BI$4&gt;$AK156),5,0)))))*'Detailed Assumptions'!$E$6</f>
        <v>3</v>
      </c>
      <c r="BJ499" s="543">
        <f>IF(AND(BJ$4&lt;=$AH156,BJ$4&gt;$V156),1,IF(AND(BJ$4&lt;=$AI156,BJ$4&gt;$AH156),2,IF(AND(BJ$4&lt;=$AJ156,BJ$4&gt;$AI156),3,IF(AND(BJ$4&lt;=$AK156,BJ$4&gt;$AJ156),4,IF(AND(BJ$4&lt;=$AL156,BJ$4&gt;$AK156),5,0)))))*'Detailed Assumptions'!$E$6</f>
        <v>3</v>
      </c>
      <c r="BK499" s="543">
        <f>IF(AND(BK$4&lt;=$AH156,BK$4&gt;$V156),1,IF(AND(BK$4&lt;=$AI156,BK$4&gt;$AH156),2,IF(AND(BK$4&lt;=$AJ156,BK$4&gt;$AI156),3,IF(AND(BK$4&lt;=$AK156,BK$4&gt;$AJ156),4,IF(AND(BK$4&lt;=$AL156,BK$4&gt;$AK156),5,0)))))*'Detailed Assumptions'!$E$6</f>
        <v>3</v>
      </c>
      <c r="BL499" s="543">
        <f>IF(AND(BL$4&lt;=$AH156,BL$4&gt;$V156),1,IF(AND(BL$4&lt;=$AI156,BL$4&gt;$AH156),2,IF(AND(BL$4&lt;=$AJ156,BL$4&gt;$AI156),3,IF(AND(BL$4&lt;=$AK156,BL$4&gt;$AJ156),4,IF(AND(BL$4&lt;=$AL156,BL$4&gt;$AK156),5,0)))))*'Detailed Assumptions'!$E$6</f>
        <v>3</v>
      </c>
      <c r="BM499" s="543">
        <f>IF(AND(BM$4&lt;=$AH156,BM$4&gt;$V156),1,IF(AND(BM$4&lt;=$AI156,BM$4&gt;$AH156),2,IF(AND(BM$4&lt;=$AJ156,BM$4&gt;$AI156),3,IF(AND(BM$4&lt;=$AK156,BM$4&gt;$AJ156),4,IF(AND(BM$4&lt;=$AL156,BM$4&gt;$AK156),5,0)))))*'Detailed Assumptions'!$E$6</f>
        <v>3</v>
      </c>
      <c r="BN499" s="543">
        <f>IF(AND(BN$4&lt;=$AH156,BN$4&gt;$V156),1,IF(AND(BN$4&lt;=$AI156,BN$4&gt;$AH156),2,IF(AND(BN$4&lt;=$AJ156,BN$4&gt;$AI156),3,IF(AND(BN$4&lt;=$AK156,BN$4&gt;$AJ156),4,IF(AND(BN$4&lt;=$AL156,BN$4&gt;$AK156),5,0)))))*'Detailed Assumptions'!$E$6</f>
        <v>3</v>
      </c>
      <c r="BO499" s="543">
        <f>IF(AND(BO$4&lt;=$AH156,BO$4&gt;$V156),1,IF(AND(BO$4&lt;=$AI156,BO$4&gt;$AH156),2,IF(AND(BO$4&lt;=$AJ156,BO$4&gt;$AI156),3,IF(AND(BO$4&lt;=$AK156,BO$4&gt;$AJ156),4,IF(AND(BO$4&lt;=$AL156,BO$4&gt;$AK156),5,0)))))*'Detailed Assumptions'!$E$6</f>
        <v>3</v>
      </c>
      <c r="BP499" s="543">
        <f>IF(AND(BP$4&lt;=$AH156,BP$4&gt;$V156),1,IF(AND(BP$4&lt;=$AI156,BP$4&gt;$AH156),2,IF(AND(BP$4&lt;=$AJ156,BP$4&gt;$AI156),3,IF(AND(BP$4&lt;=$AK156,BP$4&gt;$AJ156),4,IF(AND(BP$4&lt;=$AL156,BP$4&gt;$AK156),5,0)))))*'Detailed Assumptions'!$E$6</f>
        <v>3</v>
      </c>
      <c r="BQ499" s="543">
        <f>IF(AND(BQ$4&lt;=$AH156,BQ$4&gt;$V156),1,IF(AND(BQ$4&lt;=$AI156,BQ$4&gt;$AH156),2,IF(AND(BQ$4&lt;=$AJ156,BQ$4&gt;$AI156),3,IF(AND(BQ$4&lt;=$AK156,BQ$4&gt;$AJ156),4,IF(AND(BQ$4&lt;=$AL156,BQ$4&gt;$AK156),5,0)))))*'Detailed Assumptions'!$E$6</f>
        <v>3</v>
      </c>
      <c r="BR499" s="543">
        <f>IF(AND(BR$4&lt;=$AH156,BR$4&gt;$V156),1,IF(AND(BR$4&lt;=$AI156,BR$4&gt;$AH156),2,IF(AND(BR$4&lt;=$AJ156,BR$4&gt;$AI156),3,IF(AND(BR$4&lt;=$AK156,BR$4&gt;$AJ156),4,IF(AND(BR$4&lt;=$AL156,BR$4&gt;$AK156),5,0)))))*'Detailed Assumptions'!$E$6</f>
        <v>3</v>
      </c>
      <c r="BS499" s="543">
        <f>IF(AND(BS$4&lt;=$AH156,BS$4&gt;$V156),1,IF(AND(BS$4&lt;=$AI156,BS$4&gt;$AH156),2,IF(AND(BS$4&lt;=$AJ156,BS$4&gt;$AI156),3,IF(AND(BS$4&lt;=$AK156,BS$4&gt;$AJ156),4,IF(AND(BS$4&lt;=$AL156,BS$4&gt;$AK156),5,0)))))*'Detailed Assumptions'!$E$6</f>
        <v>3</v>
      </c>
      <c r="BT499" s="543">
        <f>IF(AND(BT$4&lt;=$AH156,BT$4&gt;$V156),1,IF(AND(BT$4&lt;=$AI156,BT$4&gt;$AH156),2,IF(AND(BT$4&lt;=$AJ156,BT$4&gt;$AI156),3,IF(AND(BT$4&lt;=$AK156,BT$4&gt;$AJ156),4,IF(AND(BT$4&lt;=$AL156,BT$4&gt;$AK156),5,0)))))*'Detailed Assumptions'!$E$6</f>
        <v>4</v>
      </c>
      <c r="BU499" s="543">
        <f>IF(AND(BU$4&lt;=$AH156,BU$4&gt;$V156),1,IF(AND(BU$4&lt;=$AI156,BU$4&gt;$AH156),2,IF(AND(BU$4&lt;=$AJ156,BU$4&gt;$AI156),3,IF(AND(BU$4&lt;=$AK156,BU$4&gt;$AJ156),4,IF(AND(BU$4&lt;=$AL156,BU$4&gt;$AK156),5,0)))))*'Detailed Assumptions'!$E$6</f>
        <v>4</v>
      </c>
      <c r="BV499" s="543">
        <f>IF(AND(BV$4&lt;=$AH156,BV$4&gt;$V156),1,IF(AND(BV$4&lt;=$AI156,BV$4&gt;$AH156),2,IF(AND(BV$4&lt;=$AJ156,BV$4&gt;$AI156),3,IF(AND(BV$4&lt;=$AK156,BV$4&gt;$AJ156),4,IF(AND(BV$4&lt;=$AL156,BV$4&gt;$AK156),5,0)))))*'Detailed Assumptions'!$E$6</f>
        <v>4</v>
      </c>
      <c r="BW499" s="543">
        <f>IF(AND(BW$4&lt;=$AH156,BW$4&gt;$V156),1,IF(AND(BW$4&lt;=$AI156,BW$4&gt;$AH156),2,IF(AND(BW$4&lt;=$AJ156,BW$4&gt;$AI156),3,IF(AND(BW$4&lt;=$AK156,BW$4&gt;$AJ156),4,IF(AND(BW$4&lt;=$AL156,BW$4&gt;$AK156),5,0)))))*'Detailed Assumptions'!$E$6</f>
        <v>4</v>
      </c>
      <c r="BX499" s="543">
        <f>IF(AND(BX$4&lt;=$AH156,BX$4&gt;$V156),1,IF(AND(BX$4&lt;=$AI156,BX$4&gt;$AH156),2,IF(AND(BX$4&lt;=$AJ156,BX$4&gt;$AI156),3,IF(AND(BX$4&lt;=$AK156,BX$4&gt;$AJ156),4,IF(AND(BX$4&lt;=$AL156,BX$4&gt;$AK156),5,0)))))*'Detailed Assumptions'!$E$6</f>
        <v>4</v>
      </c>
      <c r="BY499" s="543">
        <f>IF(AND(BY$4&lt;=$AH156,BY$4&gt;$V156),1,IF(AND(BY$4&lt;=$AI156,BY$4&gt;$AH156),2,IF(AND(BY$4&lt;=$AJ156,BY$4&gt;$AI156),3,IF(AND(BY$4&lt;=$AK156,BY$4&gt;$AJ156),4,IF(AND(BY$4&lt;=$AL156,BY$4&gt;$AK156),5,0)))))*'Detailed Assumptions'!$E$6</f>
        <v>4</v>
      </c>
      <c r="BZ499" s="537"/>
      <c r="CA499" s="537"/>
      <c r="CB499" s="537"/>
    </row>
    <row r="500" spans="1:80" x14ac:dyDescent="0.3">
      <c r="A500" s="551"/>
      <c r="B500" s="548"/>
      <c r="C500" s="548"/>
      <c r="D500" s="525"/>
      <c r="E500" s="655" t="str">
        <f>"EBITDA growth post capex: "&amp;E$157</f>
        <v>EBITDA growth post capex: FY29 Tranche</v>
      </c>
      <c r="F500" s="574"/>
      <c r="G500" s="574"/>
      <c r="H500" s="574"/>
      <c r="I500" s="574"/>
      <c r="J500" s="574"/>
      <c r="K500" s="574"/>
      <c r="L500" s="574"/>
      <c r="M500" s="574"/>
      <c r="N500" s="574"/>
      <c r="O500" s="574"/>
      <c r="P500" s="653"/>
      <c r="Q500" s="574"/>
      <c r="R500" s="543">
        <f>IF(AND(R$4&lt;=$AH157,R$4&gt;$V157),1,IF(AND(R$4&lt;=$AI157,R$4&gt;$AH157),2,IF(AND(R$4&lt;=$AJ157,R$4&gt;$AI157),3,IF(AND(R$4&lt;=$AK157,R$4&gt;$AJ157),4,IF(AND(R$4&lt;=$AL157,R$4&gt;$AK157),5,0)))))*'Detailed Assumptions'!$E$6</f>
        <v>0</v>
      </c>
      <c r="S500" s="543">
        <f>IF(AND(S$4&lt;=$AH157,S$4&gt;$V157),1,IF(AND(S$4&lt;=$AI157,S$4&gt;$AH157),2,IF(AND(S$4&lt;=$AJ157,S$4&gt;$AI157),3,IF(AND(S$4&lt;=$AK157,S$4&gt;$AJ157),4,IF(AND(S$4&lt;=$AL157,S$4&gt;$AK157),5,0)))))*'Detailed Assumptions'!$E$6</f>
        <v>0</v>
      </c>
      <c r="T500" s="543">
        <f>IF(AND(T$4&lt;=$AH157,T$4&gt;$V157),1,IF(AND(T$4&lt;=$AI157,T$4&gt;$AH157),2,IF(AND(T$4&lt;=$AJ157,T$4&gt;$AI157),3,IF(AND(T$4&lt;=$AK157,T$4&gt;$AJ157),4,IF(AND(T$4&lt;=$AL157,T$4&gt;$AK157),5,0)))))*'Detailed Assumptions'!$E$6</f>
        <v>0</v>
      </c>
      <c r="U500" s="543">
        <f>IF(AND(U$4&lt;=$AH157,U$4&gt;$V157),1,IF(AND(U$4&lt;=$AI157,U$4&gt;$AH157),2,IF(AND(U$4&lt;=$AJ157,U$4&gt;$AI157),3,IF(AND(U$4&lt;=$AK157,U$4&gt;$AJ157),4,IF(AND(U$4&lt;=$AL157,U$4&gt;$AK157),5,0)))))*'Detailed Assumptions'!$E$6</f>
        <v>0</v>
      </c>
      <c r="V500" s="543">
        <f>IF(AND(V$4&lt;=$AH157,V$4&gt;$V157),1,IF(AND(V$4&lt;=$AI157,V$4&gt;$AH157),2,IF(AND(V$4&lt;=$AJ157,V$4&gt;$AI157),3,IF(AND(V$4&lt;=$AK157,V$4&gt;$AJ157),4,IF(AND(V$4&lt;=$AL157,V$4&gt;$AK157),5,0)))))*'Detailed Assumptions'!$E$6</f>
        <v>0</v>
      </c>
      <c r="W500" s="543">
        <f>IF(AND(W$4&lt;=$AH157,W$4&gt;$V157),1,IF(AND(W$4&lt;=$AI157,W$4&gt;$AH157),2,IF(AND(W$4&lt;=$AJ157,W$4&gt;$AI157),3,IF(AND(W$4&lt;=$AK157,W$4&gt;$AJ157),4,IF(AND(W$4&lt;=$AL157,W$4&gt;$AK157),5,0)))))*'Detailed Assumptions'!$E$6</f>
        <v>0</v>
      </c>
      <c r="X500" s="543">
        <f>IF(AND(X$4&lt;=$AH157,X$4&gt;$V157),1,IF(AND(X$4&lt;=$AI157,X$4&gt;$AH157),2,IF(AND(X$4&lt;=$AJ157,X$4&gt;$AI157),3,IF(AND(X$4&lt;=$AK157,X$4&gt;$AJ157),4,IF(AND(X$4&lt;=$AL157,X$4&gt;$AK157),5,0)))))*'Detailed Assumptions'!$E$6</f>
        <v>0</v>
      </c>
      <c r="Y500" s="543">
        <f>IF(AND(Y$4&lt;=$AH157,Y$4&gt;$V157),1,IF(AND(Y$4&lt;=$AI157,Y$4&gt;$AH157),2,IF(AND(Y$4&lt;=$AJ157,Y$4&gt;$AI157),3,IF(AND(Y$4&lt;=$AK157,Y$4&gt;$AJ157),4,IF(AND(Y$4&lt;=$AL157,Y$4&gt;$AK157),5,0)))))*'Detailed Assumptions'!$E$6</f>
        <v>0</v>
      </c>
      <c r="Z500" s="543">
        <f>IF(AND(Z$4&lt;=$AH157,Z$4&gt;$V157),1,IF(AND(Z$4&lt;=$AI157,Z$4&gt;$AH157),2,IF(AND(Z$4&lt;=$AJ157,Z$4&gt;$AI157),3,IF(AND(Z$4&lt;=$AK157,Z$4&gt;$AJ157),4,IF(AND(Z$4&lt;=$AL157,Z$4&gt;$AK157),5,0)))))*'Detailed Assumptions'!$E$6</f>
        <v>0</v>
      </c>
      <c r="AA500" s="543">
        <f>IF(AND(AA$4&lt;=$AH157,AA$4&gt;$V157),1,IF(AND(AA$4&lt;=$AI157,AA$4&gt;$AH157),2,IF(AND(AA$4&lt;=$AJ157,AA$4&gt;$AI157),3,IF(AND(AA$4&lt;=$AK157,AA$4&gt;$AJ157),4,IF(AND(AA$4&lt;=$AL157,AA$4&gt;$AK157),5,0)))))*'Detailed Assumptions'!$E$6</f>
        <v>0</v>
      </c>
      <c r="AB500" s="543">
        <f>IF(AND(AB$4&lt;=$AH157,AB$4&gt;$V157),1,IF(AND(AB$4&lt;=$AI157,AB$4&gt;$AH157),2,IF(AND(AB$4&lt;=$AJ157,AB$4&gt;$AI157),3,IF(AND(AB$4&lt;=$AK157,AB$4&gt;$AJ157),4,IF(AND(AB$4&lt;=$AL157,AB$4&gt;$AK157),5,0)))))*'Detailed Assumptions'!$E$6</f>
        <v>0</v>
      </c>
      <c r="AC500" s="543">
        <f>IF(AND(AC$4&lt;=$AH157,AC$4&gt;$V157),1,IF(AND(AC$4&lt;=$AI157,AC$4&gt;$AH157),2,IF(AND(AC$4&lt;=$AJ157,AC$4&gt;$AI157),3,IF(AND(AC$4&lt;=$AK157,AC$4&gt;$AJ157),4,IF(AND(AC$4&lt;=$AL157,AC$4&gt;$AK157),5,0)))))*'Detailed Assumptions'!$E$6</f>
        <v>0</v>
      </c>
      <c r="AD500" s="543">
        <f>IF(AND(AD$4&lt;=$AH157,AD$4&gt;$V157),1,IF(AND(AD$4&lt;=$AI157,AD$4&gt;$AH157),2,IF(AND(AD$4&lt;=$AJ157,AD$4&gt;$AI157),3,IF(AND(AD$4&lt;=$AK157,AD$4&gt;$AJ157),4,IF(AND(AD$4&lt;=$AL157,AD$4&gt;$AK157),5,0)))))*'Detailed Assumptions'!$E$6</f>
        <v>0</v>
      </c>
      <c r="AE500" s="543">
        <f>IF(AND(AE$4&lt;=$AH157,AE$4&gt;$V157),1,IF(AND(AE$4&lt;=$AI157,AE$4&gt;$AH157),2,IF(AND(AE$4&lt;=$AJ157,AE$4&gt;$AI157),3,IF(AND(AE$4&lt;=$AK157,AE$4&gt;$AJ157),4,IF(AND(AE$4&lt;=$AL157,AE$4&gt;$AK157),5,0)))))*'Detailed Assumptions'!$E$6</f>
        <v>0</v>
      </c>
      <c r="AF500" s="543">
        <f>IF(AND(AF$4&lt;=$AH157,AF$4&gt;$V157),1,IF(AND(AF$4&lt;=$AI157,AF$4&gt;$AH157),2,IF(AND(AF$4&lt;=$AJ157,AF$4&gt;$AI157),3,IF(AND(AF$4&lt;=$AK157,AF$4&gt;$AJ157),4,IF(AND(AF$4&lt;=$AL157,AF$4&gt;$AK157),5,0)))))*'Detailed Assumptions'!$E$6</f>
        <v>0</v>
      </c>
      <c r="AG500" s="543">
        <f>IF(AND(AG$4&lt;=$AH157,AG$4&gt;$V157),1,IF(AND(AG$4&lt;=$AI157,AG$4&gt;$AH157),2,IF(AND(AG$4&lt;=$AJ157,AG$4&gt;$AI157),3,IF(AND(AG$4&lt;=$AK157,AG$4&gt;$AJ157),4,IF(AND(AG$4&lt;=$AL157,AG$4&gt;$AK157),5,0)))))*'Detailed Assumptions'!$E$6</f>
        <v>0</v>
      </c>
      <c r="AH500" s="543">
        <f>IF(AND(AH$4&lt;=$AH157,AH$4&gt;$V157),1,IF(AND(AH$4&lt;=$AI157,AH$4&gt;$AH157),2,IF(AND(AH$4&lt;=$AJ157,AH$4&gt;$AI157),3,IF(AND(AH$4&lt;=$AK157,AH$4&gt;$AJ157),4,IF(AND(AH$4&lt;=$AL157,AH$4&gt;$AK157),5,0)))))*'Detailed Assumptions'!$E$6</f>
        <v>0</v>
      </c>
      <c r="AI500" s="543">
        <f>IF(AND(AI$4&lt;=$AH157,AI$4&gt;$V157),1,IF(AND(AI$4&lt;=$AI157,AI$4&gt;$AH157),2,IF(AND(AI$4&lt;=$AJ157,AI$4&gt;$AI157),3,IF(AND(AI$4&lt;=$AK157,AI$4&gt;$AJ157),4,IF(AND(AI$4&lt;=$AL157,AI$4&gt;$AK157),5,0)))))*'Detailed Assumptions'!$E$6</f>
        <v>0</v>
      </c>
      <c r="AJ500" s="543">
        <f>IF(AND(AJ$4&lt;=$AH157,AJ$4&gt;$V157),1,IF(AND(AJ$4&lt;=$AI157,AJ$4&gt;$AH157),2,IF(AND(AJ$4&lt;=$AJ157,AJ$4&gt;$AI157),3,IF(AND(AJ$4&lt;=$AK157,AJ$4&gt;$AJ157),4,IF(AND(AJ$4&lt;=$AL157,AJ$4&gt;$AK157),5,0)))))*'Detailed Assumptions'!$E$6</f>
        <v>0</v>
      </c>
      <c r="AK500" s="543">
        <f>IF(AND(AK$4&lt;=$AH157,AK$4&gt;$V157),1,IF(AND(AK$4&lt;=$AI157,AK$4&gt;$AH157),2,IF(AND(AK$4&lt;=$AJ157,AK$4&gt;$AI157),3,IF(AND(AK$4&lt;=$AK157,AK$4&gt;$AJ157),4,IF(AND(AK$4&lt;=$AL157,AK$4&gt;$AK157),5,0)))))*'Detailed Assumptions'!$E$6</f>
        <v>0</v>
      </c>
      <c r="AL500" s="543">
        <f>IF(AND(AL$4&lt;=$AH157,AL$4&gt;$V157),1,IF(AND(AL$4&lt;=$AI157,AL$4&gt;$AH157),2,IF(AND(AL$4&lt;=$AJ157,AL$4&gt;$AI157),3,IF(AND(AL$4&lt;=$AK157,AL$4&gt;$AJ157),4,IF(AND(AL$4&lt;=$AL157,AL$4&gt;$AK157),5,0)))))*'Detailed Assumptions'!$E$6</f>
        <v>0</v>
      </c>
      <c r="AM500" s="543">
        <f>IF(AND(AM$4&lt;=$AH157,AM$4&gt;$V157),1,IF(AND(AM$4&lt;=$AI157,AM$4&gt;$AH157),2,IF(AND(AM$4&lt;=$AJ157,AM$4&gt;$AI157),3,IF(AND(AM$4&lt;=$AK157,AM$4&gt;$AJ157),4,IF(AND(AM$4&lt;=$AL157,AM$4&gt;$AK157),5,0)))))*'Detailed Assumptions'!$E$6</f>
        <v>0</v>
      </c>
      <c r="AN500" s="543">
        <f>IF(AND(AN$4&lt;=$AH157,AN$4&gt;$V157),1,IF(AND(AN$4&lt;=$AI157,AN$4&gt;$AH157),2,IF(AND(AN$4&lt;=$AJ157,AN$4&gt;$AI157),3,IF(AND(AN$4&lt;=$AK157,AN$4&gt;$AJ157),4,IF(AND(AN$4&lt;=$AL157,AN$4&gt;$AK157),5,0)))))*'Detailed Assumptions'!$E$6</f>
        <v>0</v>
      </c>
      <c r="AO500" s="543">
        <f>IF(AND(AO$4&lt;=$AH157,AO$4&gt;$V157),1,IF(AND(AO$4&lt;=$AI157,AO$4&gt;$AH157),2,IF(AND(AO$4&lt;=$AJ157,AO$4&gt;$AI157),3,IF(AND(AO$4&lt;=$AK157,AO$4&gt;$AJ157),4,IF(AND(AO$4&lt;=$AL157,AO$4&gt;$AK157),5,0)))))*'Detailed Assumptions'!$E$6</f>
        <v>0</v>
      </c>
      <c r="AP500" s="543">
        <f>IF(AND(AP$4&lt;=$AH157,AP$4&gt;$V157),1,IF(AND(AP$4&lt;=$AI157,AP$4&gt;$AH157),2,IF(AND(AP$4&lt;=$AJ157,AP$4&gt;$AI157),3,IF(AND(AP$4&lt;=$AK157,AP$4&gt;$AJ157),4,IF(AND(AP$4&lt;=$AL157,AP$4&gt;$AK157),5,0)))))*'Detailed Assumptions'!$E$6</f>
        <v>0</v>
      </c>
      <c r="AQ500" s="543">
        <f>IF(AND(AQ$4&lt;=$AH157,AQ$4&gt;$V157),1,IF(AND(AQ$4&lt;=$AI157,AQ$4&gt;$AH157),2,IF(AND(AQ$4&lt;=$AJ157,AQ$4&gt;$AI157),3,IF(AND(AQ$4&lt;=$AK157,AQ$4&gt;$AJ157),4,IF(AND(AQ$4&lt;=$AL157,AQ$4&gt;$AK157),5,0)))))*'Detailed Assumptions'!$E$6</f>
        <v>0</v>
      </c>
      <c r="AR500" s="543">
        <f>IF(AND(AR$4&lt;=$AH157,AR$4&gt;$V157),1,IF(AND(AR$4&lt;=$AI157,AR$4&gt;$AH157),2,IF(AND(AR$4&lt;=$AJ157,AR$4&gt;$AI157),3,IF(AND(AR$4&lt;=$AK157,AR$4&gt;$AJ157),4,IF(AND(AR$4&lt;=$AL157,AR$4&gt;$AK157),5,0)))))*'Detailed Assumptions'!$E$6</f>
        <v>0</v>
      </c>
      <c r="AS500" s="543">
        <f>IF(AND(AS$4&lt;=$AH157,AS$4&gt;$V157),1,IF(AND(AS$4&lt;=$AI157,AS$4&gt;$AH157),2,IF(AND(AS$4&lt;=$AJ157,AS$4&gt;$AI157),3,IF(AND(AS$4&lt;=$AK157,AS$4&gt;$AJ157),4,IF(AND(AS$4&lt;=$AL157,AS$4&gt;$AK157),5,0)))))*'Detailed Assumptions'!$E$6</f>
        <v>0</v>
      </c>
      <c r="AT500" s="543">
        <f>IF(AND(AT$4&lt;=$AH157,AT$4&gt;$V157),1,IF(AND(AT$4&lt;=$AI157,AT$4&gt;$AH157),2,IF(AND(AT$4&lt;=$AJ157,AT$4&gt;$AI157),3,IF(AND(AT$4&lt;=$AK157,AT$4&gt;$AJ157),4,IF(AND(AT$4&lt;=$AL157,AT$4&gt;$AK157),5,0)))))*'Detailed Assumptions'!$E$6</f>
        <v>0</v>
      </c>
      <c r="AU500" s="543">
        <f>IF(AND(AU$4&lt;=$AH157,AU$4&gt;$V157),1,IF(AND(AU$4&lt;=$AI157,AU$4&gt;$AH157),2,IF(AND(AU$4&lt;=$AJ157,AU$4&gt;$AI157),3,IF(AND(AU$4&lt;=$AK157,AU$4&gt;$AJ157),4,IF(AND(AU$4&lt;=$AL157,AU$4&gt;$AK157),5,0)))))*'Detailed Assumptions'!$E$6</f>
        <v>0</v>
      </c>
      <c r="AV500" s="543">
        <f>IF(AND(AV$4&lt;=$AH157,AV$4&gt;$V157),1,IF(AND(AV$4&lt;=$AI157,AV$4&gt;$AH157),2,IF(AND(AV$4&lt;=$AJ157,AV$4&gt;$AI157),3,IF(AND(AV$4&lt;=$AK157,AV$4&gt;$AJ157),4,IF(AND(AV$4&lt;=$AL157,AV$4&gt;$AK157),5,0)))))*'Detailed Assumptions'!$E$6</f>
        <v>1</v>
      </c>
      <c r="AW500" s="543">
        <f>IF(AND(AW$4&lt;=$AH157,AW$4&gt;$V157),1,IF(AND(AW$4&lt;=$AI157,AW$4&gt;$AH157),2,IF(AND(AW$4&lt;=$AJ157,AW$4&gt;$AI157),3,IF(AND(AW$4&lt;=$AK157,AW$4&gt;$AJ157),4,IF(AND(AW$4&lt;=$AL157,AW$4&gt;$AK157),5,0)))))*'Detailed Assumptions'!$E$6</f>
        <v>1</v>
      </c>
      <c r="AX500" s="543">
        <f>IF(AND(AX$4&lt;=$AH157,AX$4&gt;$V157),1,IF(AND(AX$4&lt;=$AI157,AX$4&gt;$AH157),2,IF(AND(AX$4&lt;=$AJ157,AX$4&gt;$AI157),3,IF(AND(AX$4&lt;=$AK157,AX$4&gt;$AJ157),4,IF(AND(AX$4&lt;=$AL157,AX$4&gt;$AK157),5,0)))))*'Detailed Assumptions'!$E$6</f>
        <v>1</v>
      </c>
      <c r="AY500" s="543">
        <f>IF(AND(AY$4&lt;=$AH157,AY$4&gt;$V157),1,IF(AND(AY$4&lt;=$AI157,AY$4&gt;$AH157),2,IF(AND(AY$4&lt;=$AJ157,AY$4&gt;$AI157),3,IF(AND(AY$4&lt;=$AK157,AY$4&gt;$AJ157),4,IF(AND(AY$4&lt;=$AL157,AY$4&gt;$AK157),5,0)))))*'Detailed Assumptions'!$E$6</f>
        <v>1</v>
      </c>
      <c r="AZ500" s="543">
        <f>IF(AND(AZ$4&lt;=$AH157,AZ$4&gt;$V157),1,IF(AND(AZ$4&lt;=$AI157,AZ$4&gt;$AH157),2,IF(AND(AZ$4&lt;=$AJ157,AZ$4&gt;$AI157),3,IF(AND(AZ$4&lt;=$AK157,AZ$4&gt;$AJ157),4,IF(AND(AZ$4&lt;=$AL157,AZ$4&gt;$AK157),5,0)))))*'Detailed Assumptions'!$E$6</f>
        <v>1</v>
      </c>
      <c r="BA500" s="543">
        <f>IF(AND(BA$4&lt;=$AH157,BA$4&gt;$V157),1,IF(AND(BA$4&lt;=$AI157,BA$4&gt;$AH157),2,IF(AND(BA$4&lt;=$AJ157,BA$4&gt;$AI157),3,IF(AND(BA$4&lt;=$AK157,BA$4&gt;$AJ157),4,IF(AND(BA$4&lt;=$AL157,BA$4&gt;$AK157),5,0)))))*'Detailed Assumptions'!$E$6</f>
        <v>1</v>
      </c>
      <c r="BB500" s="543">
        <f>IF(AND(BB$4&lt;=$AH157,BB$4&gt;$V157),1,IF(AND(BB$4&lt;=$AI157,BB$4&gt;$AH157),2,IF(AND(BB$4&lt;=$AJ157,BB$4&gt;$AI157),3,IF(AND(BB$4&lt;=$AK157,BB$4&gt;$AJ157),4,IF(AND(BB$4&lt;=$AL157,BB$4&gt;$AK157),5,0)))))*'Detailed Assumptions'!$E$6</f>
        <v>1</v>
      </c>
      <c r="BC500" s="543">
        <f>IF(AND(BC$4&lt;=$AH157,BC$4&gt;$V157),1,IF(AND(BC$4&lt;=$AI157,BC$4&gt;$AH157),2,IF(AND(BC$4&lt;=$AJ157,BC$4&gt;$AI157),3,IF(AND(BC$4&lt;=$AK157,BC$4&gt;$AJ157),4,IF(AND(BC$4&lt;=$AL157,BC$4&gt;$AK157),5,0)))))*'Detailed Assumptions'!$E$6</f>
        <v>1</v>
      </c>
      <c r="BD500" s="543">
        <f>IF(AND(BD$4&lt;=$AH157,BD$4&gt;$V157),1,IF(AND(BD$4&lt;=$AI157,BD$4&gt;$AH157),2,IF(AND(BD$4&lt;=$AJ157,BD$4&gt;$AI157),3,IF(AND(BD$4&lt;=$AK157,BD$4&gt;$AJ157),4,IF(AND(BD$4&lt;=$AL157,BD$4&gt;$AK157),5,0)))))*'Detailed Assumptions'!$E$6</f>
        <v>1</v>
      </c>
      <c r="BE500" s="543">
        <f>IF(AND(BE$4&lt;=$AH157,BE$4&gt;$V157),1,IF(AND(BE$4&lt;=$AI157,BE$4&gt;$AH157),2,IF(AND(BE$4&lt;=$AJ157,BE$4&gt;$AI157),3,IF(AND(BE$4&lt;=$AK157,BE$4&gt;$AJ157),4,IF(AND(BE$4&lt;=$AL157,BE$4&gt;$AK157),5,0)))))*'Detailed Assumptions'!$E$6</f>
        <v>1</v>
      </c>
      <c r="BF500" s="543">
        <f>IF(AND(BF$4&lt;=$AH157,BF$4&gt;$V157),1,IF(AND(BF$4&lt;=$AI157,BF$4&gt;$AH157),2,IF(AND(BF$4&lt;=$AJ157,BF$4&gt;$AI157),3,IF(AND(BF$4&lt;=$AK157,BF$4&gt;$AJ157),4,IF(AND(BF$4&lt;=$AL157,BF$4&gt;$AK157),5,0)))))*'Detailed Assumptions'!$E$6</f>
        <v>1</v>
      </c>
      <c r="BG500" s="543">
        <f>IF(AND(BG$4&lt;=$AH157,BG$4&gt;$V157),1,IF(AND(BG$4&lt;=$AI157,BG$4&gt;$AH157),2,IF(AND(BG$4&lt;=$AJ157,BG$4&gt;$AI157),3,IF(AND(BG$4&lt;=$AK157,BG$4&gt;$AJ157),4,IF(AND(BG$4&lt;=$AL157,BG$4&gt;$AK157),5,0)))))*'Detailed Assumptions'!$E$6</f>
        <v>1</v>
      </c>
      <c r="BH500" s="543">
        <f>IF(AND(BH$4&lt;=$AH157,BH$4&gt;$V157),1,IF(AND(BH$4&lt;=$AI157,BH$4&gt;$AH157),2,IF(AND(BH$4&lt;=$AJ157,BH$4&gt;$AI157),3,IF(AND(BH$4&lt;=$AK157,BH$4&gt;$AJ157),4,IF(AND(BH$4&lt;=$AL157,BH$4&gt;$AK157),5,0)))))*'Detailed Assumptions'!$E$6</f>
        <v>2</v>
      </c>
      <c r="BI500" s="543">
        <f>IF(AND(BI$4&lt;=$AH157,BI$4&gt;$V157),1,IF(AND(BI$4&lt;=$AI157,BI$4&gt;$AH157),2,IF(AND(BI$4&lt;=$AJ157,BI$4&gt;$AI157),3,IF(AND(BI$4&lt;=$AK157,BI$4&gt;$AJ157),4,IF(AND(BI$4&lt;=$AL157,BI$4&gt;$AK157),5,0)))))*'Detailed Assumptions'!$E$6</f>
        <v>2</v>
      </c>
      <c r="BJ500" s="543">
        <f>IF(AND(BJ$4&lt;=$AH157,BJ$4&gt;$V157),1,IF(AND(BJ$4&lt;=$AI157,BJ$4&gt;$AH157),2,IF(AND(BJ$4&lt;=$AJ157,BJ$4&gt;$AI157),3,IF(AND(BJ$4&lt;=$AK157,BJ$4&gt;$AJ157),4,IF(AND(BJ$4&lt;=$AL157,BJ$4&gt;$AK157),5,0)))))*'Detailed Assumptions'!$E$6</f>
        <v>2</v>
      </c>
      <c r="BK500" s="543">
        <f>IF(AND(BK$4&lt;=$AH157,BK$4&gt;$V157),1,IF(AND(BK$4&lt;=$AI157,BK$4&gt;$AH157),2,IF(AND(BK$4&lt;=$AJ157,BK$4&gt;$AI157),3,IF(AND(BK$4&lt;=$AK157,BK$4&gt;$AJ157),4,IF(AND(BK$4&lt;=$AL157,BK$4&gt;$AK157),5,0)))))*'Detailed Assumptions'!$E$6</f>
        <v>2</v>
      </c>
      <c r="BL500" s="543">
        <f>IF(AND(BL$4&lt;=$AH157,BL$4&gt;$V157),1,IF(AND(BL$4&lt;=$AI157,BL$4&gt;$AH157),2,IF(AND(BL$4&lt;=$AJ157,BL$4&gt;$AI157),3,IF(AND(BL$4&lt;=$AK157,BL$4&gt;$AJ157),4,IF(AND(BL$4&lt;=$AL157,BL$4&gt;$AK157),5,0)))))*'Detailed Assumptions'!$E$6</f>
        <v>2</v>
      </c>
      <c r="BM500" s="543">
        <f>IF(AND(BM$4&lt;=$AH157,BM$4&gt;$V157),1,IF(AND(BM$4&lt;=$AI157,BM$4&gt;$AH157),2,IF(AND(BM$4&lt;=$AJ157,BM$4&gt;$AI157),3,IF(AND(BM$4&lt;=$AK157,BM$4&gt;$AJ157),4,IF(AND(BM$4&lt;=$AL157,BM$4&gt;$AK157),5,0)))))*'Detailed Assumptions'!$E$6</f>
        <v>2</v>
      </c>
      <c r="BN500" s="543">
        <f>IF(AND(BN$4&lt;=$AH157,BN$4&gt;$V157),1,IF(AND(BN$4&lt;=$AI157,BN$4&gt;$AH157),2,IF(AND(BN$4&lt;=$AJ157,BN$4&gt;$AI157),3,IF(AND(BN$4&lt;=$AK157,BN$4&gt;$AJ157),4,IF(AND(BN$4&lt;=$AL157,BN$4&gt;$AK157),5,0)))))*'Detailed Assumptions'!$E$6</f>
        <v>2</v>
      </c>
      <c r="BO500" s="543">
        <f>IF(AND(BO$4&lt;=$AH157,BO$4&gt;$V157),1,IF(AND(BO$4&lt;=$AI157,BO$4&gt;$AH157),2,IF(AND(BO$4&lt;=$AJ157,BO$4&gt;$AI157),3,IF(AND(BO$4&lt;=$AK157,BO$4&gt;$AJ157),4,IF(AND(BO$4&lt;=$AL157,BO$4&gt;$AK157),5,0)))))*'Detailed Assumptions'!$E$6</f>
        <v>2</v>
      </c>
      <c r="BP500" s="543">
        <f>IF(AND(BP$4&lt;=$AH157,BP$4&gt;$V157),1,IF(AND(BP$4&lt;=$AI157,BP$4&gt;$AH157),2,IF(AND(BP$4&lt;=$AJ157,BP$4&gt;$AI157),3,IF(AND(BP$4&lt;=$AK157,BP$4&gt;$AJ157),4,IF(AND(BP$4&lt;=$AL157,BP$4&gt;$AK157),5,0)))))*'Detailed Assumptions'!$E$6</f>
        <v>2</v>
      </c>
      <c r="BQ500" s="543">
        <f>IF(AND(BQ$4&lt;=$AH157,BQ$4&gt;$V157),1,IF(AND(BQ$4&lt;=$AI157,BQ$4&gt;$AH157),2,IF(AND(BQ$4&lt;=$AJ157,BQ$4&gt;$AI157),3,IF(AND(BQ$4&lt;=$AK157,BQ$4&gt;$AJ157),4,IF(AND(BQ$4&lt;=$AL157,BQ$4&gt;$AK157),5,0)))))*'Detailed Assumptions'!$E$6</f>
        <v>2</v>
      </c>
      <c r="BR500" s="543">
        <f>IF(AND(BR$4&lt;=$AH157,BR$4&gt;$V157),1,IF(AND(BR$4&lt;=$AI157,BR$4&gt;$AH157),2,IF(AND(BR$4&lt;=$AJ157,BR$4&gt;$AI157),3,IF(AND(BR$4&lt;=$AK157,BR$4&gt;$AJ157),4,IF(AND(BR$4&lt;=$AL157,BR$4&gt;$AK157),5,0)))))*'Detailed Assumptions'!$E$6</f>
        <v>2</v>
      </c>
      <c r="BS500" s="543">
        <f>IF(AND(BS$4&lt;=$AH157,BS$4&gt;$V157),1,IF(AND(BS$4&lt;=$AI157,BS$4&gt;$AH157),2,IF(AND(BS$4&lt;=$AJ157,BS$4&gt;$AI157),3,IF(AND(BS$4&lt;=$AK157,BS$4&gt;$AJ157),4,IF(AND(BS$4&lt;=$AL157,BS$4&gt;$AK157),5,0)))))*'Detailed Assumptions'!$E$6</f>
        <v>2</v>
      </c>
      <c r="BT500" s="543">
        <f>IF(AND(BT$4&lt;=$AH157,BT$4&gt;$V157),1,IF(AND(BT$4&lt;=$AI157,BT$4&gt;$AH157),2,IF(AND(BT$4&lt;=$AJ157,BT$4&gt;$AI157),3,IF(AND(BT$4&lt;=$AK157,BT$4&gt;$AJ157),4,IF(AND(BT$4&lt;=$AL157,BT$4&gt;$AK157),5,0)))))*'Detailed Assumptions'!$E$6</f>
        <v>3</v>
      </c>
      <c r="BU500" s="543">
        <f>IF(AND(BU$4&lt;=$AH157,BU$4&gt;$V157),1,IF(AND(BU$4&lt;=$AI157,BU$4&gt;$AH157),2,IF(AND(BU$4&lt;=$AJ157,BU$4&gt;$AI157),3,IF(AND(BU$4&lt;=$AK157,BU$4&gt;$AJ157),4,IF(AND(BU$4&lt;=$AL157,BU$4&gt;$AK157),5,0)))))*'Detailed Assumptions'!$E$6</f>
        <v>3</v>
      </c>
      <c r="BV500" s="543">
        <f>IF(AND(BV$4&lt;=$AH157,BV$4&gt;$V157),1,IF(AND(BV$4&lt;=$AI157,BV$4&gt;$AH157),2,IF(AND(BV$4&lt;=$AJ157,BV$4&gt;$AI157),3,IF(AND(BV$4&lt;=$AK157,BV$4&gt;$AJ157),4,IF(AND(BV$4&lt;=$AL157,BV$4&gt;$AK157),5,0)))))*'Detailed Assumptions'!$E$6</f>
        <v>3</v>
      </c>
      <c r="BW500" s="543">
        <f>IF(AND(BW$4&lt;=$AH157,BW$4&gt;$V157),1,IF(AND(BW$4&lt;=$AI157,BW$4&gt;$AH157),2,IF(AND(BW$4&lt;=$AJ157,BW$4&gt;$AI157),3,IF(AND(BW$4&lt;=$AK157,BW$4&gt;$AJ157),4,IF(AND(BW$4&lt;=$AL157,BW$4&gt;$AK157),5,0)))))*'Detailed Assumptions'!$E$6</f>
        <v>3</v>
      </c>
      <c r="BX500" s="543">
        <f>IF(AND(BX$4&lt;=$AH157,BX$4&gt;$V157),1,IF(AND(BX$4&lt;=$AI157,BX$4&gt;$AH157),2,IF(AND(BX$4&lt;=$AJ157,BX$4&gt;$AI157),3,IF(AND(BX$4&lt;=$AK157,BX$4&gt;$AJ157),4,IF(AND(BX$4&lt;=$AL157,BX$4&gt;$AK157),5,0)))))*'Detailed Assumptions'!$E$6</f>
        <v>3</v>
      </c>
      <c r="BY500" s="543">
        <f>IF(AND(BY$4&lt;=$AH157,BY$4&gt;$V157),1,IF(AND(BY$4&lt;=$AI157,BY$4&gt;$AH157),2,IF(AND(BY$4&lt;=$AJ157,BY$4&gt;$AI157),3,IF(AND(BY$4&lt;=$AK157,BY$4&gt;$AJ157),4,IF(AND(BY$4&lt;=$AL157,BY$4&gt;$AK157),5,0)))))*'Detailed Assumptions'!$E$6</f>
        <v>3</v>
      </c>
      <c r="BZ500" s="537"/>
      <c r="CA500" s="537"/>
      <c r="CB500" s="537"/>
    </row>
    <row r="501" spans="1:80" x14ac:dyDescent="0.3">
      <c r="A501" s="551"/>
      <c r="B501" s="548"/>
      <c r="C501" s="548"/>
      <c r="D501" s="525"/>
      <c r="E501" s="655" t="str">
        <f>"EBITDA growth post capex: "&amp;E$158</f>
        <v>EBITDA growth post capex: FY30 Tranche</v>
      </c>
      <c r="F501" s="574"/>
      <c r="G501" s="574"/>
      <c r="H501" s="574"/>
      <c r="I501" s="574"/>
      <c r="J501" s="574"/>
      <c r="K501" s="574"/>
      <c r="L501" s="574"/>
      <c r="M501" s="574"/>
      <c r="N501" s="574"/>
      <c r="O501" s="574"/>
      <c r="P501" s="653"/>
      <c r="Q501" s="574"/>
      <c r="R501" s="543">
        <f>IF(AND(R$4&lt;=$AH158,R$4&gt;$V158),1,IF(AND(R$4&lt;=$AI158,R$4&gt;$AH158),2,IF(AND(R$4&lt;=$AJ158,R$4&gt;$AI158),3,IF(AND(R$4&lt;=$AK158,R$4&gt;$AJ158),4,IF(AND(R$4&lt;=$AL158,R$4&gt;$AK158),5,0)))))*'Detailed Assumptions'!$E$6</f>
        <v>0</v>
      </c>
      <c r="S501" s="543">
        <f>IF(AND(S$4&lt;=$AH158,S$4&gt;$V158),1,IF(AND(S$4&lt;=$AI158,S$4&gt;$AH158),2,IF(AND(S$4&lt;=$AJ158,S$4&gt;$AI158),3,IF(AND(S$4&lt;=$AK158,S$4&gt;$AJ158),4,IF(AND(S$4&lt;=$AL158,S$4&gt;$AK158),5,0)))))*'Detailed Assumptions'!$E$6</f>
        <v>0</v>
      </c>
      <c r="T501" s="543">
        <f>IF(AND(T$4&lt;=$AH158,T$4&gt;$V158),1,IF(AND(T$4&lt;=$AI158,T$4&gt;$AH158),2,IF(AND(T$4&lt;=$AJ158,T$4&gt;$AI158),3,IF(AND(T$4&lt;=$AK158,T$4&gt;$AJ158),4,IF(AND(T$4&lt;=$AL158,T$4&gt;$AK158),5,0)))))*'Detailed Assumptions'!$E$6</f>
        <v>0</v>
      </c>
      <c r="U501" s="543">
        <f>IF(AND(U$4&lt;=$AH158,U$4&gt;$V158),1,IF(AND(U$4&lt;=$AI158,U$4&gt;$AH158),2,IF(AND(U$4&lt;=$AJ158,U$4&gt;$AI158),3,IF(AND(U$4&lt;=$AK158,U$4&gt;$AJ158),4,IF(AND(U$4&lt;=$AL158,U$4&gt;$AK158),5,0)))))*'Detailed Assumptions'!$E$6</f>
        <v>0</v>
      </c>
      <c r="V501" s="543">
        <f>IF(AND(V$4&lt;=$AH158,V$4&gt;$V158),1,IF(AND(V$4&lt;=$AI158,V$4&gt;$AH158),2,IF(AND(V$4&lt;=$AJ158,V$4&gt;$AI158),3,IF(AND(V$4&lt;=$AK158,V$4&gt;$AJ158),4,IF(AND(V$4&lt;=$AL158,V$4&gt;$AK158),5,0)))))*'Detailed Assumptions'!$E$6</f>
        <v>0</v>
      </c>
      <c r="W501" s="543">
        <f>IF(AND(W$4&lt;=$AH158,W$4&gt;$V158),1,IF(AND(W$4&lt;=$AI158,W$4&gt;$AH158),2,IF(AND(W$4&lt;=$AJ158,W$4&gt;$AI158),3,IF(AND(W$4&lt;=$AK158,W$4&gt;$AJ158),4,IF(AND(W$4&lt;=$AL158,W$4&gt;$AK158),5,0)))))*'Detailed Assumptions'!$E$6</f>
        <v>0</v>
      </c>
      <c r="X501" s="543">
        <f>IF(AND(X$4&lt;=$AH158,X$4&gt;$V158),1,IF(AND(X$4&lt;=$AI158,X$4&gt;$AH158),2,IF(AND(X$4&lt;=$AJ158,X$4&gt;$AI158),3,IF(AND(X$4&lt;=$AK158,X$4&gt;$AJ158),4,IF(AND(X$4&lt;=$AL158,X$4&gt;$AK158),5,0)))))*'Detailed Assumptions'!$E$6</f>
        <v>0</v>
      </c>
      <c r="Y501" s="543">
        <f>IF(AND(Y$4&lt;=$AH158,Y$4&gt;$V158),1,IF(AND(Y$4&lt;=$AI158,Y$4&gt;$AH158),2,IF(AND(Y$4&lt;=$AJ158,Y$4&gt;$AI158),3,IF(AND(Y$4&lt;=$AK158,Y$4&gt;$AJ158),4,IF(AND(Y$4&lt;=$AL158,Y$4&gt;$AK158),5,0)))))*'Detailed Assumptions'!$E$6</f>
        <v>0</v>
      </c>
      <c r="Z501" s="543">
        <f>IF(AND(Z$4&lt;=$AH158,Z$4&gt;$V158),1,IF(AND(Z$4&lt;=$AI158,Z$4&gt;$AH158),2,IF(AND(Z$4&lt;=$AJ158,Z$4&gt;$AI158),3,IF(AND(Z$4&lt;=$AK158,Z$4&gt;$AJ158),4,IF(AND(Z$4&lt;=$AL158,Z$4&gt;$AK158),5,0)))))*'Detailed Assumptions'!$E$6</f>
        <v>0</v>
      </c>
      <c r="AA501" s="543">
        <f>IF(AND(AA$4&lt;=$AH158,AA$4&gt;$V158),1,IF(AND(AA$4&lt;=$AI158,AA$4&gt;$AH158),2,IF(AND(AA$4&lt;=$AJ158,AA$4&gt;$AI158),3,IF(AND(AA$4&lt;=$AK158,AA$4&gt;$AJ158),4,IF(AND(AA$4&lt;=$AL158,AA$4&gt;$AK158),5,0)))))*'Detailed Assumptions'!$E$6</f>
        <v>0</v>
      </c>
      <c r="AB501" s="543">
        <f>IF(AND(AB$4&lt;=$AH158,AB$4&gt;$V158),1,IF(AND(AB$4&lt;=$AI158,AB$4&gt;$AH158),2,IF(AND(AB$4&lt;=$AJ158,AB$4&gt;$AI158),3,IF(AND(AB$4&lt;=$AK158,AB$4&gt;$AJ158),4,IF(AND(AB$4&lt;=$AL158,AB$4&gt;$AK158),5,0)))))*'Detailed Assumptions'!$E$6</f>
        <v>0</v>
      </c>
      <c r="AC501" s="543">
        <f>IF(AND(AC$4&lt;=$AH158,AC$4&gt;$V158),1,IF(AND(AC$4&lt;=$AI158,AC$4&gt;$AH158),2,IF(AND(AC$4&lt;=$AJ158,AC$4&gt;$AI158),3,IF(AND(AC$4&lt;=$AK158,AC$4&gt;$AJ158),4,IF(AND(AC$4&lt;=$AL158,AC$4&gt;$AK158),5,0)))))*'Detailed Assumptions'!$E$6</f>
        <v>0</v>
      </c>
      <c r="AD501" s="543">
        <f>IF(AND(AD$4&lt;=$AH158,AD$4&gt;$V158),1,IF(AND(AD$4&lt;=$AI158,AD$4&gt;$AH158),2,IF(AND(AD$4&lt;=$AJ158,AD$4&gt;$AI158),3,IF(AND(AD$4&lt;=$AK158,AD$4&gt;$AJ158),4,IF(AND(AD$4&lt;=$AL158,AD$4&gt;$AK158),5,0)))))*'Detailed Assumptions'!$E$6</f>
        <v>0</v>
      </c>
      <c r="AE501" s="543">
        <f>IF(AND(AE$4&lt;=$AH158,AE$4&gt;$V158),1,IF(AND(AE$4&lt;=$AI158,AE$4&gt;$AH158),2,IF(AND(AE$4&lt;=$AJ158,AE$4&gt;$AI158),3,IF(AND(AE$4&lt;=$AK158,AE$4&gt;$AJ158),4,IF(AND(AE$4&lt;=$AL158,AE$4&gt;$AK158),5,0)))))*'Detailed Assumptions'!$E$6</f>
        <v>0</v>
      </c>
      <c r="AF501" s="543">
        <f>IF(AND(AF$4&lt;=$AH158,AF$4&gt;$V158),1,IF(AND(AF$4&lt;=$AI158,AF$4&gt;$AH158),2,IF(AND(AF$4&lt;=$AJ158,AF$4&gt;$AI158),3,IF(AND(AF$4&lt;=$AK158,AF$4&gt;$AJ158),4,IF(AND(AF$4&lt;=$AL158,AF$4&gt;$AK158),5,0)))))*'Detailed Assumptions'!$E$6</f>
        <v>0</v>
      </c>
      <c r="AG501" s="543">
        <f>IF(AND(AG$4&lt;=$AH158,AG$4&gt;$V158),1,IF(AND(AG$4&lt;=$AI158,AG$4&gt;$AH158),2,IF(AND(AG$4&lt;=$AJ158,AG$4&gt;$AI158),3,IF(AND(AG$4&lt;=$AK158,AG$4&gt;$AJ158),4,IF(AND(AG$4&lt;=$AL158,AG$4&gt;$AK158),5,0)))))*'Detailed Assumptions'!$E$6</f>
        <v>0</v>
      </c>
      <c r="AH501" s="543">
        <f>IF(AND(AH$4&lt;=$AH158,AH$4&gt;$V158),1,IF(AND(AH$4&lt;=$AI158,AH$4&gt;$AH158),2,IF(AND(AH$4&lt;=$AJ158,AH$4&gt;$AI158),3,IF(AND(AH$4&lt;=$AK158,AH$4&gt;$AJ158),4,IF(AND(AH$4&lt;=$AL158,AH$4&gt;$AK158),5,0)))))*'Detailed Assumptions'!$E$6</f>
        <v>0</v>
      </c>
      <c r="AI501" s="543">
        <f>IF(AND(AI$4&lt;=$AH158,AI$4&gt;$V158),1,IF(AND(AI$4&lt;=$AI158,AI$4&gt;$AH158),2,IF(AND(AI$4&lt;=$AJ158,AI$4&gt;$AI158),3,IF(AND(AI$4&lt;=$AK158,AI$4&gt;$AJ158),4,IF(AND(AI$4&lt;=$AL158,AI$4&gt;$AK158),5,0)))))*'Detailed Assumptions'!$E$6</f>
        <v>0</v>
      </c>
      <c r="AJ501" s="543">
        <f>IF(AND(AJ$4&lt;=$AH158,AJ$4&gt;$V158),1,IF(AND(AJ$4&lt;=$AI158,AJ$4&gt;$AH158),2,IF(AND(AJ$4&lt;=$AJ158,AJ$4&gt;$AI158),3,IF(AND(AJ$4&lt;=$AK158,AJ$4&gt;$AJ158),4,IF(AND(AJ$4&lt;=$AL158,AJ$4&gt;$AK158),5,0)))))*'Detailed Assumptions'!$E$6</f>
        <v>0</v>
      </c>
      <c r="AK501" s="543">
        <f>IF(AND(AK$4&lt;=$AH158,AK$4&gt;$V158),1,IF(AND(AK$4&lt;=$AI158,AK$4&gt;$AH158),2,IF(AND(AK$4&lt;=$AJ158,AK$4&gt;$AI158),3,IF(AND(AK$4&lt;=$AK158,AK$4&gt;$AJ158),4,IF(AND(AK$4&lt;=$AL158,AK$4&gt;$AK158),5,0)))))*'Detailed Assumptions'!$E$6</f>
        <v>0</v>
      </c>
      <c r="AL501" s="543">
        <f>IF(AND(AL$4&lt;=$AH158,AL$4&gt;$V158),1,IF(AND(AL$4&lt;=$AI158,AL$4&gt;$AH158),2,IF(AND(AL$4&lt;=$AJ158,AL$4&gt;$AI158),3,IF(AND(AL$4&lt;=$AK158,AL$4&gt;$AJ158),4,IF(AND(AL$4&lt;=$AL158,AL$4&gt;$AK158),5,0)))))*'Detailed Assumptions'!$E$6</f>
        <v>0</v>
      </c>
      <c r="AM501" s="543">
        <f>IF(AND(AM$4&lt;=$AH158,AM$4&gt;$V158),1,IF(AND(AM$4&lt;=$AI158,AM$4&gt;$AH158),2,IF(AND(AM$4&lt;=$AJ158,AM$4&gt;$AI158),3,IF(AND(AM$4&lt;=$AK158,AM$4&gt;$AJ158),4,IF(AND(AM$4&lt;=$AL158,AM$4&gt;$AK158),5,0)))))*'Detailed Assumptions'!$E$6</f>
        <v>0</v>
      </c>
      <c r="AN501" s="543">
        <f>IF(AND(AN$4&lt;=$AH158,AN$4&gt;$V158),1,IF(AND(AN$4&lt;=$AI158,AN$4&gt;$AH158),2,IF(AND(AN$4&lt;=$AJ158,AN$4&gt;$AI158),3,IF(AND(AN$4&lt;=$AK158,AN$4&gt;$AJ158),4,IF(AND(AN$4&lt;=$AL158,AN$4&gt;$AK158),5,0)))))*'Detailed Assumptions'!$E$6</f>
        <v>0</v>
      </c>
      <c r="AO501" s="543">
        <f>IF(AND(AO$4&lt;=$AH158,AO$4&gt;$V158),1,IF(AND(AO$4&lt;=$AI158,AO$4&gt;$AH158),2,IF(AND(AO$4&lt;=$AJ158,AO$4&gt;$AI158),3,IF(AND(AO$4&lt;=$AK158,AO$4&gt;$AJ158),4,IF(AND(AO$4&lt;=$AL158,AO$4&gt;$AK158),5,0)))))*'Detailed Assumptions'!$E$6</f>
        <v>0</v>
      </c>
      <c r="AP501" s="543">
        <f>IF(AND(AP$4&lt;=$AH158,AP$4&gt;$V158),1,IF(AND(AP$4&lt;=$AI158,AP$4&gt;$AH158),2,IF(AND(AP$4&lt;=$AJ158,AP$4&gt;$AI158),3,IF(AND(AP$4&lt;=$AK158,AP$4&gt;$AJ158),4,IF(AND(AP$4&lt;=$AL158,AP$4&gt;$AK158),5,0)))))*'Detailed Assumptions'!$E$6</f>
        <v>0</v>
      </c>
      <c r="AQ501" s="543">
        <f>IF(AND(AQ$4&lt;=$AH158,AQ$4&gt;$V158),1,IF(AND(AQ$4&lt;=$AI158,AQ$4&gt;$AH158),2,IF(AND(AQ$4&lt;=$AJ158,AQ$4&gt;$AI158),3,IF(AND(AQ$4&lt;=$AK158,AQ$4&gt;$AJ158),4,IF(AND(AQ$4&lt;=$AL158,AQ$4&gt;$AK158),5,0)))))*'Detailed Assumptions'!$E$6</f>
        <v>0</v>
      </c>
      <c r="AR501" s="543">
        <f>IF(AND(AR$4&lt;=$AH158,AR$4&gt;$V158),1,IF(AND(AR$4&lt;=$AI158,AR$4&gt;$AH158),2,IF(AND(AR$4&lt;=$AJ158,AR$4&gt;$AI158),3,IF(AND(AR$4&lt;=$AK158,AR$4&gt;$AJ158),4,IF(AND(AR$4&lt;=$AL158,AR$4&gt;$AK158),5,0)))))*'Detailed Assumptions'!$E$6</f>
        <v>0</v>
      </c>
      <c r="AS501" s="543">
        <f>IF(AND(AS$4&lt;=$AH158,AS$4&gt;$V158),1,IF(AND(AS$4&lt;=$AI158,AS$4&gt;$AH158),2,IF(AND(AS$4&lt;=$AJ158,AS$4&gt;$AI158),3,IF(AND(AS$4&lt;=$AK158,AS$4&gt;$AJ158),4,IF(AND(AS$4&lt;=$AL158,AS$4&gt;$AK158),5,0)))))*'Detailed Assumptions'!$E$6</f>
        <v>0</v>
      </c>
      <c r="AT501" s="543">
        <f>IF(AND(AT$4&lt;=$AH158,AT$4&gt;$V158),1,IF(AND(AT$4&lt;=$AI158,AT$4&gt;$AH158),2,IF(AND(AT$4&lt;=$AJ158,AT$4&gt;$AI158),3,IF(AND(AT$4&lt;=$AK158,AT$4&gt;$AJ158),4,IF(AND(AT$4&lt;=$AL158,AT$4&gt;$AK158),5,0)))))*'Detailed Assumptions'!$E$6</f>
        <v>0</v>
      </c>
      <c r="AU501" s="543">
        <f>IF(AND(AU$4&lt;=$AH158,AU$4&gt;$V158),1,IF(AND(AU$4&lt;=$AI158,AU$4&gt;$AH158),2,IF(AND(AU$4&lt;=$AJ158,AU$4&gt;$AI158),3,IF(AND(AU$4&lt;=$AK158,AU$4&gt;$AJ158),4,IF(AND(AU$4&lt;=$AL158,AU$4&gt;$AK158),5,0)))))*'Detailed Assumptions'!$E$6</f>
        <v>0</v>
      </c>
      <c r="AV501" s="543">
        <f>IF(AND(AV$4&lt;=$AH158,AV$4&gt;$V158),1,IF(AND(AV$4&lt;=$AI158,AV$4&gt;$AH158),2,IF(AND(AV$4&lt;=$AJ158,AV$4&gt;$AI158),3,IF(AND(AV$4&lt;=$AK158,AV$4&gt;$AJ158),4,IF(AND(AV$4&lt;=$AL158,AV$4&gt;$AK158),5,0)))))*'Detailed Assumptions'!$E$6</f>
        <v>0</v>
      </c>
      <c r="AW501" s="543">
        <f>IF(AND(AW$4&lt;=$AH158,AW$4&gt;$V158),1,IF(AND(AW$4&lt;=$AI158,AW$4&gt;$AH158),2,IF(AND(AW$4&lt;=$AJ158,AW$4&gt;$AI158),3,IF(AND(AW$4&lt;=$AK158,AW$4&gt;$AJ158),4,IF(AND(AW$4&lt;=$AL158,AW$4&gt;$AK158),5,0)))))*'Detailed Assumptions'!$E$6</f>
        <v>0</v>
      </c>
      <c r="AX501" s="543">
        <f>IF(AND(AX$4&lt;=$AH158,AX$4&gt;$V158),1,IF(AND(AX$4&lt;=$AI158,AX$4&gt;$AH158),2,IF(AND(AX$4&lt;=$AJ158,AX$4&gt;$AI158),3,IF(AND(AX$4&lt;=$AK158,AX$4&gt;$AJ158),4,IF(AND(AX$4&lt;=$AL158,AX$4&gt;$AK158),5,0)))))*'Detailed Assumptions'!$E$6</f>
        <v>0</v>
      </c>
      <c r="AY501" s="543">
        <f>IF(AND(AY$4&lt;=$AH158,AY$4&gt;$V158),1,IF(AND(AY$4&lt;=$AI158,AY$4&gt;$AH158),2,IF(AND(AY$4&lt;=$AJ158,AY$4&gt;$AI158),3,IF(AND(AY$4&lt;=$AK158,AY$4&gt;$AJ158),4,IF(AND(AY$4&lt;=$AL158,AY$4&gt;$AK158),5,0)))))*'Detailed Assumptions'!$E$6</f>
        <v>0</v>
      </c>
      <c r="AZ501" s="543">
        <f>IF(AND(AZ$4&lt;=$AH158,AZ$4&gt;$V158),1,IF(AND(AZ$4&lt;=$AI158,AZ$4&gt;$AH158),2,IF(AND(AZ$4&lt;=$AJ158,AZ$4&gt;$AI158),3,IF(AND(AZ$4&lt;=$AK158,AZ$4&gt;$AJ158),4,IF(AND(AZ$4&lt;=$AL158,AZ$4&gt;$AK158),5,0)))))*'Detailed Assumptions'!$E$6</f>
        <v>0</v>
      </c>
      <c r="BA501" s="543">
        <f>IF(AND(BA$4&lt;=$AH158,BA$4&gt;$V158),1,IF(AND(BA$4&lt;=$AI158,BA$4&gt;$AH158),2,IF(AND(BA$4&lt;=$AJ158,BA$4&gt;$AI158),3,IF(AND(BA$4&lt;=$AK158,BA$4&gt;$AJ158),4,IF(AND(BA$4&lt;=$AL158,BA$4&gt;$AK158),5,0)))))*'Detailed Assumptions'!$E$6</f>
        <v>0</v>
      </c>
      <c r="BB501" s="543">
        <f>IF(AND(BB$4&lt;=$AH158,BB$4&gt;$V158),1,IF(AND(BB$4&lt;=$AI158,BB$4&gt;$AH158),2,IF(AND(BB$4&lt;=$AJ158,BB$4&gt;$AI158),3,IF(AND(BB$4&lt;=$AK158,BB$4&gt;$AJ158),4,IF(AND(BB$4&lt;=$AL158,BB$4&gt;$AK158),5,0)))))*'Detailed Assumptions'!$E$6</f>
        <v>0</v>
      </c>
      <c r="BC501" s="543">
        <f>IF(AND(BC$4&lt;=$AH158,BC$4&gt;$V158),1,IF(AND(BC$4&lt;=$AI158,BC$4&gt;$AH158),2,IF(AND(BC$4&lt;=$AJ158,BC$4&gt;$AI158),3,IF(AND(BC$4&lt;=$AK158,BC$4&gt;$AJ158),4,IF(AND(BC$4&lt;=$AL158,BC$4&gt;$AK158),5,0)))))*'Detailed Assumptions'!$E$6</f>
        <v>0</v>
      </c>
      <c r="BD501" s="543">
        <f>IF(AND(BD$4&lt;=$AH158,BD$4&gt;$V158),1,IF(AND(BD$4&lt;=$AI158,BD$4&gt;$AH158),2,IF(AND(BD$4&lt;=$AJ158,BD$4&gt;$AI158),3,IF(AND(BD$4&lt;=$AK158,BD$4&gt;$AJ158),4,IF(AND(BD$4&lt;=$AL158,BD$4&gt;$AK158),5,0)))))*'Detailed Assumptions'!$E$6</f>
        <v>0</v>
      </c>
      <c r="BE501" s="543">
        <f>IF(AND(BE$4&lt;=$AH158,BE$4&gt;$V158),1,IF(AND(BE$4&lt;=$AI158,BE$4&gt;$AH158),2,IF(AND(BE$4&lt;=$AJ158,BE$4&gt;$AI158),3,IF(AND(BE$4&lt;=$AK158,BE$4&gt;$AJ158),4,IF(AND(BE$4&lt;=$AL158,BE$4&gt;$AK158),5,0)))))*'Detailed Assumptions'!$E$6</f>
        <v>0</v>
      </c>
      <c r="BF501" s="543">
        <f>IF(AND(BF$4&lt;=$AH158,BF$4&gt;$V158),1,IF(AND(BF$4&lt;=$AI158,BF$4&gt;$AH158),2,IF(AND(BF$4&lt;=$AJ158,BF$4&gt;$AI158),3,IF(AND(BF$4&lt;=$AK158,BF$4&gt;$AJ158),4,IF(AND(BF$4&lt;=$AL158,BF$4&gt;$AK158),5,0)))))*'Detailed Assumptions'!$E$6</f>
        <v>0</v>
      </c>
      <c r="BG501" s="543">
        <f>IF(AND(BG$4&lt;=$AH158,BG$4&gt;$V158),1,IF(AND(BG$4&lt;=$AI158,BG$4&gt;$AH158),2,IF(AND(BG$4&lt;=$AJ158,BG$4&gt;$AI158),3,IF(AND(BG$4&lt;=$AK158,BG$4&gt;$AJ158),4,IF(AND(BG$4&lt;=$AL158,BG$4&gt;$AK158),5,0)))))*'Detailed Assumptions'!$E$6</f>
        <v>0</v>
      </c>
      <c r="BH501" s="543">
        <f>IF(AND(BH$4&lt;=$AH158,BH$4&gt;$V158),1,IF(AND(BH$4&lt;=$AI158,BH$4&gt;$AH158),2,IF(AND(BH$4&lt;=$AJ158,BH$4&gt;$AI158),3,IF(AND(BH$4&lt;=$AK158,BH$4&gt;$AJ158),4,IF(AND(BH$4&lt;=$AL158,BH$4&gt;$AK158),5,0)))))*'Detailed Assumptions'!$E$6</f>
        <v>1</v>
      </c>
      <c r="BI501" s="543">
        <f>IF(AND(BI$4&lt;=$AH158,BI$4&gt;$V158),1,IF(AND(BI$4&lt;=$AI158,BI$4&gt;$AH158),2,IF(AND(BI$4&lt;=$AJ158,BI$4&gt;$AI158),3,IF(AND(BI$4&lt;=$AK158,BI$4&gt;$AJ158),4,IF(AND(BI$4&lt;=$AL158,BI$4&gt;$AK158),5,0)))))*'Detailed Assumptions'!$E$6</f>
        <v>1</v>
      </c>
      <c r="BJ501" s="543">
        <f>IF(AND(BJ$4&lt;=$AH158,BJ$4&gt;$V158),1,IF(AND(BJ$4&lt;=$AI158,BJ$4&gt;$AH158),2,IF(AND(BJ$4&lt;=$AJ158,BJ$4&gt;$AI158),3,IF(AND(BJ$4&lt;=$AK158,BJ$4&gt;$AJ158),4,IF(AND(BJ$4&lt;=$AL158,BJ$4&gt;$AK158),5,0)))))*'Detailed Assumptions'!$E$6</f>
        <v>1</v>
      </c>
      <c r="BK501" s="543">
        <f>IF(AND(BK$4&lt;=$AH158,BK$4&gt;$V158),1,IF(AND(BK$4&lt;=$AI158,BK$4&gt;$AH158),2,IF(AND(BK$4&lt;=$AJ158,BK$4&gt;$AI158),3,IF(AND(BK$4&lt;=$AK158,BK$4&gt;$AJ158),4,IF(AND(BK$4&lt;=$AL158,BK$4&gt;$AK158),5,0)))))*'Detailed Assumptions'!$E$6</f>
        <v>1</v>
      </c>
      <c r="BL501" s="543">
        <f>IF(AND(BL$4&lt;=$AH158,BL$4&gt;$V158),1,IF(AND(BL$4&lt;=$AI158,BL$4&gt;$AH158),2,IF(AND(BL$4&lt;=$AJ158,BL$4&gt;$AI158),3,IF(AND(BL$4&lt;=$AK158,BL$4&gt;$AJ158),4,IF(AND(BL$4&lt;=$AL158,BL$4&gt;$AK158),5,0)))))*'Detailed Assumptions'!$E$6</f>
        <v>1</v>
      </c>
      <c r="BM501" s="543">
        <f>IF(AND(BM$4&lt;=$AH158,BM$4&gt;$V158),1,IF(AND(BM$4&lt;=$AI158,BM$4&gt;$AH158),2,IF(AND(BM$4&lt;=$AJ158,BM$4&gt;$AI158),3,IF(AND(BM$4&lt;=$AK158,BM$4&gt;$AJ158),4,IF(AND(BM$4&lt;=$AL158,BM$4&gt;$AK158),5,0)))))*'Detailed Assumptions'!$E$6</f>
        <v>1</v>
      </c>
      <c r="BN501" s="543">
        <f>IF(AND(BN$4&lt;=$AH158,BN$4&gt;$V158),1,IF(AND(BN$4&lt;=$AI158,BN$4&gt;$AH158),2,IF(AND(BN$4&lt;=$AJ158,BN$4&gt;$AI158),3,IF(AND(BN$4&lt;=$AK158,BN$4&gt;$AJ158),4,IF(AND(BN$4&lt;=$AL158,BN$4&gt;$AK158),5,0)))))*'Detailed Assumptions'!$E$6</f>
        <v>1</v>
      </c>
      <c r="BO501" s="543">
        <f>IF(AND(BO$4&lt;=$AH158,BO$4&gt;$V158),1,IF(AND(BO$4&lt;=$AI158,BO$4&gt;$AH158),2,IF(AND(BO$4&lt;=$AJ158,BO$4&gt;$AI158),3,IF(AND(BO$4&lt;=$AK158,BO$4&gt;$AJ158),4,IF(AND(BO$4&lt;=$AL158,BO$4&gt;$AK158),5,0)))))*'Detailed Assumptions'!$E$6</f>
        <v>1</v>
      </c>
      <c r="BP501" s="543">
        <f>IF(AND(BP$4&lt;=$AH158,BP$4&gt;$V158),1,IF(AND(BP$4&lt;=$AI158,BP$4&gt;$AH158),2,IF(AND(BP$4&lt;=$AJ158,BP$4&gt;$AI158),3,IF(AND(BP$4&lt;=$AK158,BP$4&gt;$AJ158),4,IF(AND(BP$4&lt;=$AL158,BP$4&gt;$AK158),5,0)))))*'Detailed Assumptions'!$E$6</f>
        <v>1</v>
      </c>
      <c r="BQ501" s="543">
        <f>IF(AND(BQ$4&lt;=$AH158,BQ$4&gt;$V158),1,IF(AND(BQ$4&lt;=$AI158,BQ$4&gt;$AH158),2,IF(AND(BQ$4&lt;=$AJ158,BQ$4&gt;$AI158),3,IF(AND(BQ$4&lt;=$AK158,BQ$4&gt;$AJ158),4,IF(AND(BQ$4&lt;=$AL158,BQ$4&gt;$AK158),5,0)))))*'Detailed Assumptions'!$E$6</f>
        <v>1</v>
      </c>
      <c r="BR501" s="543">
        <f>IF(AND(BR$4&lt;=$AH158,BR$4&gt;$V158),1,IF(AND(BR$4&lt;=$AI158,BR$4&gt;$AH158),2,IF(AND(BR$4&lt;=$AJ158,BR$4&gt;$AI158),3,IF(AND(BR$4&lt;=$AK158,BR$4&gt;$AJ158),4,IF(AND(BR$4&lt;=$AL158,BR$4&gt;$AK158),5,0)))))*'Detailed Assumptions'!$E$6</f>
        <v>1</v>
      </c>
      <c r="BS501" s="543">
        <f>IF(AND(BS$4&lt;=$AH158,BS$4&gt;$V158),1,IF(AND(BS$4&lt;=$AI158,BS$4&gt;$AH158),2,IF(AND(BS$4&lt;=$AJ158,BS$4&gt;$AI158),3,IF(AND(BS$4&lt;=$AK158,BS$4&gt;$AJ158),4,IF(AND(BS$4&lt;=$AL158,BS$4&gt;$AK158),5,0)))))*'Detailed Assumptions'!$E$6</f>
        <v>1</v>
      </c>
      <c r="BT501" s="543">
        <f>IF(AND(BT$4&lt;=$AH158,BT$4&gt;$V158),1,IF(AND(BT$4&lt;=$AI158,BT$4&gt;$AH158),2,IF(AND(BT$4&lt;=$AJ158,BT$4&gt;$AI158),3,IF(AND(BT$4&lt;=$AK158,BT$4&gt;$AJ158),4,IF(AND(BT$4&lt;=$AL158,BT$4&gt;$AK158),5,0)))))*'Detailed Assumptions'!$E$6</f>
        <v>2</v>
      </c>
      <c r="BU501" s="543">
        <f>IF(AND(BU$4&lt;=$AH158,BU$4&gt;$V158),1,IF(AND(BU$4&lt;=$AI158,BU$4&gt;$AH158),2,IF(AND(BU$4&lt;=$AJ158,BU$4&gt;$AI158),3,IF(AND(BU$4&lt;=$AK158,BU$4&gt;$AJ158),4,IF(AND(BU$4&lt;=$AL158,BU$4&gt;$AK158),5,0)))))*'Detailed Assumptions'!$E$6</f>
        <v>2</v>
      </c>
      <c r="BV501" s="543">
        <f>IF(AND(BV$4&lt;=$AH158,BV$4&gt;$V158),1,IF(AND(BV$4&lt;=$AI158,BV$4&gt;$AH158),2,IF(AND(BV$4&lt;=$AJ158,BV$4&gt;$AI158),3,IF(AND(BV$4&lt;=$AK158,BV$4&gt;$AJ158),4,IF(AND(BV$4&lt;=$AL158,BV$4&gt;$AK158),5,0)))))*'Detailed Assumptions'!$E$6</f>
        <v>2</v>
      </c>
      <c r="BW501" s="543">
        <f>IF(AND(BW$4&lt;=$AH158,BW$4&gt;$V158),1,IF(AND(BW$4&lt;=$AI158,BW$4&gt;$AH158),2,IF(AND(BW$4&lt;=$AJ158,BW$4&gt;$AI158),3,IF(AND(BW$4&lt;=$AK158,BW$4&gt;$AJ158),4,IF(AND(BW$4&lt;=$AL158,BW$4&gt;$AK158),5,0)))))*'Detailed Assumptions'!$E$6</f>
        <v>2</v>
      </c>
      <c r="BX501" s="543">
        <f>IF(AND(BX$4&lt;=$AH158,BX$4&gt;$V158),1,IF(AND(BX$4&lt;=$AI158,BX$4&gt;$AH158),2,IF(AND(BX$4&lt;=$AJ158,BX$4&gt;$AI158),3,IF(AND(BX$4&lt;=$AK158,BX$4&gt;$AJ158),4,IF(AND(BX$4&lt;=$AL158,BX$4&gt;$AK158),5,0)))))*'Detailed Assumptions'!$E$6</f>
        <v>2</v>
      </c>
      <c r="BY501" s="543">
        <f>IF(AND(BY$4&lt;=$AH158,BY$4&gt;$V158),1,IF(AND(BY$4&lt;=$AI158,BY$4&gt;$AH158),2,IF(AND(BY$4&lt;=$AJ158,BY$4&gt;$AI158),3,IF(AND(BY$4&lt;=$AK158,BY$4&gt;$AJ158),4,IF(AND(BY$4&lt;=$AL158,BY$4&gt;$AK158),5,0)))))*'Detailed Assumptions'!$E$6</f>
        <v>2</v>
      </c>
      <c r="BZ501" s="537"/>
      <c r="CA501" s="537"/>
      <c r="CB501" s="537"/>
    </row>
    <row r="502" spans="1:80" x14ac:dyDescent="0.3">
      <c r="A502" s="551"/>
      <c r="B502" s="548"/>
      <c r="C502" s="548"/>
      <c r="D502" s="525"/>
      <c r="E502" s="655" t="str">
        <f>"EBITDA growth post capex: "&amp;E$159</f>
        <v>EBITDA growth post capex: FY31 Tranche</v>
      </c>
      <c r="F502" s="574"/>
      <c r="G502" s="574"/>
      <c r="H502" s="574"/>
      <c r="I502" s="574"/>
      <c r="J502" s="574"/>
      <c r="K502" s="574"/>
      <c r="L502" s="574"/>
      <c r="M502" s="574"/>
      <c r="N502" s="574"/>
      <c r="O502" s="574"/>
      <c r="P502" s="653"/>
      <c r="Q502" s="574"/>
      <c r="R502" s="543">
        <f>IF(AND(R$4&lt;=$AH159,R$4&gt;$V159),1,IF(AND(R$4&lt;=$AI159,R$4&gt;$AH159),2,IF(AND(R$4&lt;=$AJ159,R$4&gt;$AI159),3,IF(AND(R$4&lt;=$AK159,R$4&gt;$AJ159),4,IF(AND(R$4&lt;=$AL159,R$4&gt;$AK159),5,0)))))*'Detailed Assumptions'!$E$6</f>
        <v>0</v>
      </c>
      <c r="S502" s="543">
        <f>IF(AND(S$4&lt;=$AH159,S$4&gt;$V159),1,IF(AND(S$4&lt;=$AI159,S$4&gt;$AH159),2,IF(AND(S$4&lt;=$AJ159,S$4&gt;$AI159),3,IF(AND(S$4&lt;=$AK159,S$4&gt;$AJ159),4,IF(AND(S$4&lt;=$AL159,S$4&gt;$AK159),5,0)))))*'Detailed Assumptions'!$E$6</f>
        <v>0</v>
      </c>
      <c r="T502" s="543">
        <f>IF(AND(T$4&lt;=$AH159,T$4&gt;$V159),1,IF(AND(T$4&lt;=$AI159,T$4&gt;$AH159),2,IF(AND(T$4&lt;=$AJ159,T$4&gt;$AI159),3,IF(AND(T$4&lt;=$AK159,T$4&gt;$AJ159),4,IF(AND(T$4&lt;=$AL159,T$4&gt;$AK159),5,0)))))*'Detailed Assumptions'!$E$6</f>
        <v>0</v>
      </c>
      <c r="U502" s="543">
        <f>IF(AND(U$4&lt;=$AH159,U$4&gt;$V159),1,IF(AND(U$4&lt;=$AI159,U$4&gt;$AH159),2,IF(AND(U$4&lt;=$AJ159,U$4&gt;$AI159),3,IF(AND(U$4&lt;=$AK159,U$4&gt;$AJ159),4,IF(AND(U$4&lt;=$AL159,U$4&gt;$AK159),5,0)))))*'Detailed Assumptions'!$E$6</f>
        <v>0</v>
      </c>
      <c r="V502" s="543">
        <f>IF(AND(V$4&lt;=$AH159,V$4&gt;$V159),1,IF(AND(V$4&lt;=$AI159,V$4&gt;$AH159),2,IF(AND(V$4&lt;=$AJ159,V$4&gt;$AI159),3,IF(AND(V$4&lt;=$AK159,V$4&gt;$AJ159),4,IF(AND(V$4&lt;=$AL159,V$4&gt;$AK159),5,0)))))*'Detailed Assumptions'!$E$6</f>
        <v>0</v>
      </c>
      <c r="W502" s="543">
        <f>IF(AND(W$4&lt;=$AH159,W$4&gt;$V159),1,IF(AND(W$4&lt;=$AI159,W$4&gt;$AH159),2,IF(AND(W$4&lt;=$AJ159,W$4&gt;$AI159),3,IF(AND(W$4&lt;=$AK159,W$4&gt;$AJ159),4,IF(AND(W$4&lt;=$AL159,W$4&gt;$AK159),5,0)))))*'Detailed Assumptions'!$E$6</f>
        <v>0</v>
      </c>
      <c r="X502" s="543">
        <f>IF(AND(X$4&lt;=$AH159,X$4&gt;$V159),1,IF(AND(X$4&lt;=$AI159,X$4&gt;$AH159),2,IF(AND(X$4&lt;=$AJ159,X$4&gt;$AI159),3,IF(AND(X$4&lt;=$AK159,X$4&gt;$AJ159),4,IF(AND(X$4&lt;=$AL159,X$4&gt;$AK159),5,0)))))*'Detailed Assumptions'!$E$6</f>
        <v>0</v>
      </c>
      <c r="Y502" s="543">
        <f>IF(AND(Y$4&lt;=$AH159,Y$4&gt;$V159),1,IF(AND(Y$4&lt;=$AI159,Y$4&gt;$AH159),2,IF(AND(Y$4&lt;=$AJ159,Y$4&gt;$AI159),3,IF(AND(Y$4&lt;=$AK159,Y$4&gt;$AJ159),4,IF(AND(Y$4&lt;=$AL159,Y$4&gt;$AK159),5,0)))))*'Detailed Assumptions'!$E$6</f>
        <v>0</v>
      </c>
      <c r="Z502" s="543">
        <f>IF(AND(Z$4&lt;=$AH159,Z$4&gt;$V159),1,IF(AND(Z$4&lt;=$AI159,Z$4&gt;$AH159),2,IF(AND(Z$4&lt;=$AJ159,Z$4&gt;$AI159),3,IF(AND(Z$4&lt;=$AK159,Z$4&gt;$AJ159),4,IF(AND(Z$4&lt;=$AL159,Z$4&gt;$AK159),5,0)))))*'Detailed Assumptions'!$E$6</f>
        <v>0</v>
      </c>
      <c r="AA502" s="543">
        <f>IF(AND(AA$4&lt;=$AH159,AA$4&gt;$V159),1,IF(AND(AA$4&lt;=$AI159,AA$4&gt;$AH159),2,IF(AND(AA$4&lt;=$AJ159,AA$4&gt;$AI159),3,IF(AND(AA$4&lt;=$AK159,AA$4&gt;$AJ159),4,IF(AND(AA$4&lt;=$AL159,AA$4&gt;$AK159),5,0)))))*'Detailed Assumptions'!$E$6</f>
        <v>0</v>
      </c>
      <c r="AB502" s="543">
        <f>IF(AND(AB$4&lt;=$AH159,AB$4&gt;$V159),1,IF(AND(AB$4&lt;=$AI159,AB$4&gt;$AH159),2,IF(AND(AB$4&lt;=$AJ159,AB$4&gt;$AI159),3,IF(AND(AB$4&lt;=$AK159,AB$4&gt;$AJ159),4,IF(AND(AB$4&lt;=$AL159,AB$4&gt;$AK159),5,0)))))*'Detailed Assumptions'!$E$6</f>
        <v>0</v>
      </c>
      <c r="AC502" s="543">
        <f>IF(AND(AC$4&lt;=$AH159,AC$4&gt;$V159),1,IF(AND(AC$4&lt;=$AI159,AC$4&gt;$AH159),2,IF(AND(AC$4&lt;=$AJ159,AC$4&gt;$AI159),3,IF(AND(AC$4&lt;=$AK159,AC$4&gt;$AJ159),4,IF(AND(AC$4&lt;=$AL159,AC$4&gt;$AK159),5,0)))))*'Detailed Assumptions'!$E$6</f>
        <v>0</v>
      </c>
      <c r="AD502" s="543">
        <f>IF(AND(AD$4&lt;=$AH159,AD$4&gt;$V159),1,IF(AND(AD$4&lt;=$AI159,AD$4&gt;$AH159),2,IF(AND(AD$4&lt;=$AJ159,AD$4&gt;$AI159),3,IF(AND(AD$4&lt;=$AK159,AD$4&gt;$AJ159),4,IF(AND(AD$4&lt;=$AL159,AD$4&gt;$AK159),5,0)))))*'Detailed Assumptions'!$E$6</f>
        <v>0</v>
      </c>
      <c r="AE502" s="543">
        <f>IF(AND(AE$4&lt;=$AH159,AE$4&gt;$V159),1,IF(AND(AE$4&lt;=$AI159,AE$4&gt;$AH159),2,IF(AND(AE$4&lt;=$AJ159,AE$4&gt;$AI159),3,IF(AND(AE$4&lt;=$AK159,AE$4&gt;$AJ159),4,IF(AND(AE$4&lt;=$AL159,AE$4&gt;$AK159),5,0)))))*'Detailed Assumptions'!$E$6</f>
        <v>0</v>
      </c>
      <c r="AF502" s="543">
        <f>IF(AND(AF$4&lt;=$AH159,AF$4&gt;$V159),1,IF(AND(AF$4&lt;=$AI159,AF$4&gt;$AH159),2,IF(AND(AF$4&lt;=$AJ159,AF$4&gt;$AI159),3,IF(AND(AF$4&lt;=$AK159,AF$4&gt;$AJ159),4,IF(AND(AF$4&lt;=$AL159,AF$4&gt;$AK159),5,0)))))*'Detailed Assumptions'!$E$6</f>
        <v>0</v>
      </c>
      <c r="AG502" s="543">
        <f>IF(AND(AG$4&lt;=$AH159,AG$4&gt;$V159),1,IF(AND(AG$4&lt;=$AI159,AG$4&gt;$AH159),2,IF(AND(AG$4&lt;=$AJ159,AG$4&gt;$AI159),3,IF(AND(AG$4&lt;=$AK159,AG$4&gt;$AJ159),4,IF(AND(AG$4&lt;=$AL159,AG$4&gt;$AK159),5,0)))))*'Detailed Assumptions'!$E$6</f>
        <v>0</v>
      </c>
      <c r="AH502" s="543">
        <f>IF(AND(AH$4&lt;=$AH159,AH$4&gt;$V159),1,IF(AND(AH$4&lt;=$AI159,AH$4&gt;$AH159),2,IF(AND(AH$4&lt;=$AJ159,AH$4&gt;$AI159),3,IF(AND(AH$4&lt;=$AK159,AH$4&gt;$AJ159),4,IF(AND(AH$4&lt;=$AL159,AH$4&gt;$AK159),5,0)))))*'Detailed Assumptions'!$E$6</f>
        <v>0</v>
      </c>
      <c r="AI502" s="543">
        <f>IF(AND(AI$4&lt;=$AH159,AI$4&gt;$V159),1,IF(AND(AI$4&lt;=$AI159,AI$4&gt;$AH159),2,IF(AND(AI$4&lt;=$AJ159,AI$4&gt;$AI159),3,IF(AND(AI$4&lt;=$AK159,AI$4&gt;$AJ159),4,IF(AND(AI$4&lt;=$AL159,AI$4&gt;$AK159),5,0)))))*'Detailed Assumptions'!$E$6</f>
        <v>0</v>
      </c>
      <c r="AJ502" s="543">
        <f>IF(AND(AJ$4&lt;=$AH159,AJ$4&gt;$V159),1,IF(AND(AJ$4&lt;=$AI159,AJ$4&gt;$AH159),2,IF(AND(AJ$4&lt;=$AJ159,AJ$4&gt;$AI159),3,IF(AND(AJ$4&lt;=$AK159,AJ$4&gt;$AJ159),4,IF(AND(AJ$4&lt;=$AL159,AJ$4&gt;$AK159),5,0)))))*'Detailed Assumptions'!$E$6</f>
        <v>0</v>
      </c>
      <c r="AK502" s="543">
        <f>IF(AND(AK$4&lt;=$AH159,AK$4&gt;$V159),1,IF(AND(AK$4&lt;=$AI159,AK$4&gt;$AH159),2,IF(AND(AK$4&lt;=$AJ159,AK$4&gt;$AI159),3,IF(AND(AK$4&lt;=$AK159,AK$4&gt;$AJ159),4,IF(AND(AK$4&lt;=$AL159,AK$4&gt;$AK159),5,0)))))*'Detailed Assumptions'!$E$6</f>
        <v>0</v>
      </c>
      <c r="AL502" s="543">
        <f>IF(AND(AL$4&lt;=$AH159,AL$4&gt;$V159),1,IF(AND(AL$4&lt;=$AI159,AL$4&gt;$AH159),2,IF(AND(AL$4&lt;=$AJ159,AL$4&gt;$AI159),3,IF(AND(AL$4&lt;=$AK159,AL$4&gt;$AJ159),4,IF(AND(AL$4&lt;=$AL159,AL$4&gt;$AK159),5,0)))))*'Detailed Assumptions'!$E$6</f>
        <v>0</v>
      </c>
      <c r="AM502" s="543">
        <f>IF(AND(AM$4&lt;=$AH159,AM$4&gt;$V159),1,IF(AND(AM$4&lt;=$AI159,AM$4&gt;$AH159),2,IF(AND(AM$4&lt;=$AJ159,AM$4&gt;$AI159),3,IF(AND(AM$4&lt;=$AK159,AM$4&gt;$AJ159),4,IF(AND(AM$4&lt;=$AL159,AM$4&gt;$AK159),5,0)))))*'Detailed Assumptions'!$E$6</f>
        <v>0</v>
      </c>
      <c r="AN502" s="543">
        <f>IF(AND(AN$4&lt;=$AH159,AN$4&gt;$V159),1,IF(AND(AN$4&lt;=$AI159,AN$4&gt;$AH159),2,IF(AND(AN$4&lt;=$AJ159,AN$4&gt;$AI159),3,IF(AND(AN$4&lt;=$AK159,AN$4&gt;$AJ159),4,IF(AND(AN$4&lt;=$AL159,AN$4&gt;$AK159),5,0)))))*'Detailed Assumptions'!$E$6</f>
        <v>0</v>
      </c>
      <c r="AO502" s="543">
        <f>IF(AND(AO$4&lt;=$AH159,AO$4&gt;$V159),1,IF(AND(AO$4&lt;=$AI159,AO$4&gt;$AH159),2,IF(AND(AO$4&lt;=$AJ159,AO$4&gt;$AI159),3,IF(AND(AO$4&lt;=$AK159,AO$4&gt;$AJ159),4,IF(AND(AO$4&lt;=$AL159,AO$4&gt;$AK159),5,0)))))*'Detailed Assumptions'!$E$6</f>
        <v>0</v>
      </c>
      <c r="AP502" s="543">
        <f>IF(AND(AP$4&lt;=$AH159,AP$4&gt;$V159),1,IF(AND(AP$4&lt;=$AI159,AP$4&gt;$AH159),2,IF(AND(AP$4&lt;=$AJ159,AP$4&gt;$AI159),3,IF(AND(AP$4&lt;=$AK159,AP$4&gt;$AJ159),4,IF(AND(AP$4&lt;=$AL159,AP$4&gt;$AK159),5,0)))))*'Detailed Assumptions'!$E$6</f>
        <v>0</v>
      </c>
      <c r="AQ502" s="543">
        <f>IF(AND(AQ$4&lt;=$AH159,AQ$4&gt;$V159),1,IF(AND(AQ$4&lt;=$AI159,AQ$4&gt;$AH159),2,IF(AND(AQ$4&lt;=$AJ159,AQ$4&gt;$AI159),3,IF(AND(AQ$4&lt;=$AK159,AQ$4&gt;$AJ159),4,IF(AND(AQ$4&lt;=$AL159,AQ$4&gt;$AK159),5,0)))))*'Detailed Assumptions'!$E$6</f>
        <v>0</v>
      </c>
      <c r="AR502" s="543">
        <f>IF(AND(AR$4&lt;=$AH159,AR$4&gt;$V159),1,IF(AND(AR$4&lt;=$AI159,AR$4&gt;$AH159),2,IF(AND(AR$4&lt;=$AJ159,AR$4&gt;$AI159),3,IF(AND(AR$4&lt;=$AK159,AR$4&gt;$AJ159),4,IF(AND(AR$4&lt;=$AL159,AR$4&gt;$AK159),5,0)))))*'Detailed Assumptions'!$E$6</f>
        <v>0</v>
      </c>
      <c r="AS502" s="543">
        <f>IF(AND(AS$4&lt;=$AH159,AS$4&gt;$V159),1,IF(AND(AS$4&lt;=$AI159,AS$4&gt;$AH159),2,IF(AND(AS$4&lt;=$AJ159,AS$4&gt;$AI159),3,IF(AND(AS$4&lt;=$AK159,AS$4&gt;$AJ159),4,IF(AND(AS$4&lt;=$AL159,AS$4&gt;$AK159),5,0)))))*'Detailed Assumptions'!$E$6</f>
        <v>0</v>
      </c>
      <c r="AT502" s="543">
        <f>IF(AND(AT$4&lt;=$AH159,AT$4&gt;$V159),1,IF(AND(AT$4&lt;=$AI159,AT$4&gt;$AH159),2,IF(AND(AT$4&lt;=$AJ159,AT$4&gt;$AI159),3,IF(AND(AT$4&lt;=$AK159,AT$4&gt;$AJ159),4,IF(AND(AT$4&lt;=$AL159,AT$4&gt;$AK159),5,0)))))*'Detailed Assumptions'!$E$6</f>
        <v>0</v>
      </c>
      <c r="AU502" s="543">
        <f>IF(AND(AU$4&lt;=$AH159,AU$4&gt;$V159),1,IF(AND(AU$4&lt;=$AI159,AU$4&gt;$AH159),2,IF(AND(AU$4&lt;=$AJ159,AU$4&gt;$AI159),3,IF(AND(AU$4&lt;=$AK159,AU$4&gt;$AJ159),4,IF(AND(AU$4&lt;=$AL159,AU$4&gt;$AK159),5,0)))))*'Detailed Assumptions'!$E$6</f>
        <v>0</v>
      </c>
      <c r="AV502" s="543">
        <f>IF(AND(AV$4&lt;=$AH159,AV$4&gt;$V159),1,IF(AND(AV$4&lt;=$AI159,AV$4&gt;$AH159),2,IF(AND(AV$4&lt;=$AJ159,AV$4&gt;$AI159),3,IF(AND(AV$4&lt;=$AK159,AV$4&gt;$AJ159),4,IF(AND(AV$4&lt;=$AL159,AV$4&gt;$AK159),5,0)))))*'Detailed Assumptions'!$E$6</f>
        <v>0</v>
      </c>
      <c r="AW502" s="543">
        <f>IF(AND(AW$4&lt;=$AH159,AW$4&gt;$V159),1,IF(AND(AW$4&lt;=$AI159,AW$4&gt;$AH159),2,IF(AND(AW$4&lt;=$AJ159,AW$4&gt;$AI159),3,IF(AND(AW$4&lt;=$AK159,AW$4&gt;$AJ159),4,IF(AND(AW$4&lt;=$AL159,AW$4&gt;$AK159),5,0)))))*'Detailed Assumptions'!$E$6</f>
        <v>0</v>
      </c>
      <c r="AX502" s="543">
        <f>IF(AND(AX$4&lt;=$AH159,AX$4&gt;$V159),1,IF(AND(AX$4&lt;=$AI159,AX$4&gt;$AH159),2,IF(AND(AX$4&lt;=$AJ159,AX$4&gt;$AI159),3,IF(AND(AX$4&lt;=$AK159,AX$4&gt;$AJ159),4,IF(AND(AX$4&lt;=$AL159,AX$4&gt;$AK159),5,0)))))*'Detailed Assumptions'!$E$6</f>
        <v>0</v>
      </c>
      <c r="AY502" s="543">
        <f>IF(AND(AY$4&lt;=$AH159,AY$4&gt;$V159),1,IF(AND(AY$4&lt;=$AI159,AY$4&gt;$AH159),2,IF(AND(AY$4&lt;=$AJ159,AY$4&gt;$AI159),3,IF(AND(AY$4&lt;=$AK159,AY$4&gt;$AJ159),4,IF(AND(AY$4&lt;=$AL159,AY$4&gt;$AK159),5,0)))))*'Detailed Assumptions'!$E$6</f>
        <v>0</v>
      </c>
      <c r="AZ502" s="543">
        <f>IF(AND(AZ$4&lt;=$AH159,AZ$4&gt;$V159),1,IF(AND(AZ$4&lt;=$AI159,AZ$4&gt;$AH159),2,IF(AND(AZ$4&lt;=$AJ159,AZ$4&gt;$AI159),3,IF(AND(AZ$4&lt;=$AK159,AZ$4&gt;$AJ159),4,IF(AND(AZ$4&lt;=$AL159,AZ$4&gt;$AK159),5,0)))))*'Detailed Assumptions'!$E$6</f>
        <v>0</v>
      </c>
      <c r="BA502" s="543">
        <f>IF(AND(BA$4&lt;=$AH159,BA$4&gt;$V159),1,IF(AND(BA$4&lt;=$AI159,BA$4&gt;$AH159),2,IF(AND(BA$4&lt;=$AJ159,BA$4&gt;$AI159),3,IF(AND(BA$4&lt;=$AK159,BA$4&gt;$AJ159),4,IF(AND(BA$4&lt;=$AL159,BA$4&gt;$AK159),5,0)))))*'Detailed Assumptions'!$E$6</f>
        <v>0</v>
      </c>
      <c r="BB502" s="543">
        <f>IF(AND(BB$4&lt;=$AH159,BB$4&gt;$V159),1,IF(AND(BB$4&lt;=$AI159,BB$4&gt;$AH159),2,IF(AND(BB$4&lt;=$AJ159,BB$4&gt;$AI159),3,IF(AND(BB$4&lt;=$AK159,BB$4&gt;$AJ159),4,IF(AND(BB$4&lt;=$AL159,BB$4&gt;$AK159),5,0)))))*'Detailed Assumptions'!$E$6</f>
        <v>0</v>
      </c>
      <c r="BC502" s="543">
        <f>IF(AND(BC$4&lt;=$AH159,BC$4&gt;$V159),1,IF(AND(BC$4&lt;=$AI159,BC$4&gt;$AH159),2,IF(AND(BC$4&lt;=$AJ159,BC$4&gt;$AI159),3,IF(AND(BC$4&lt;=$AK159,BC$4&gt;$AJ159),4,IF(AND(BC$4&lt;=$AL159,BC$4&gt;$AK159),5,0)))))*'Detailed Assumptions'!$E$6</f>
        <v>0</v>
      </c>
      <c r="BD502" s="543">
        <f>IF(AND(BD$4&lt;=$AH159,BD$4&gt;$V159),1,IF(AND(BD$4&lt;=$AI159,BD$4&gt;$AH159),2,IF(AND(BD$4&lt;=$AJ159,BD$4&gt;$AI159),3,IF(AND(BD$4&lt;=$AK159,BD$4&gt;$AJ159),4,IF(AND(BD$4&lt;=$AL159,BD$4&gt;$AK159),5,0)))))*'Detailed Assumptions'!$E$6</f>
        <v>0</v>
      </c>
      <c r="BE502" s="543">
        <f>IF(AND(BE$4&lt;=$AH159,BE$4&gt;$V159),1,IF(AND(BE$4&lt;=$AI159,BE$4&gt;$AH159),2,IF(AND(BE$4&lt;=$AJ159,BE$4&gt;$AI159),3,IF(AND(BE$4&lt;=$AK159,BE$4&gt;$AJ159),4,IF(AND(BE$4&lt;=$AL159,BE$4&gt;$AK159),5,0)))))*'Detailed Assumptions'!$E$6</f>
        <v>0</v>
      </c>
      <c r="BF502" s="543">
        <f>IF(AND(BF$4&lt;=$AH159,BF$4&gt;$V159),1,IF(AND(BF$4&lt;=$AI159,BF$4&gt;$AH159),2,IF(AND(BF$4&lt;=$AJ159,BF$4&gt;$AI159),3,IF(AND(BF$4&lt;=$AK159,BF$4&gt;$AJ159),4,IF(AND(BF$4&lt;=$AL159,BF$4&gt;$AK159),5,0)))))*'Detailed Assumptions'!$E$6</f>
        <v>0</v>
      </c>
      <c r="BG502" s="543">
        <f>IF(AND(BG$4&lt;=$AH159,BG$4&gt;$V159),1,IF(AND(BG$4&lt;=$AI159,BG$4&gt;$AH159),2,IF(AND(BG$4&lt;=$AJ159,BG$4&gt;$AI159),3,IF(AND(BG$4&lt;=$AK159,BG$4&gt;$AJ159),4,IF(AND(BG$4&lt;=$AL159,BG$4&gt;$AK159),5,0)))))*'Detailed Assumptions'!$E$6</f>
        <v>0</v>
      </c>
      <c r="BH502" s="543">
        <f>IF(AND(BH$4&lt;=$AH159,BH$4&gt;$V159),1,IF(AND(BH$4&lt;=$AI159,BH$4&gt;$AH159),2,IF(AND(BH$4&lt;=$AJ159,BH$4&gt;$AI159),3,IF(AND(BH$4&lt;=$AK159,BH$4&gt;$AJ159),4,IF(AND(BH$4&lt;=$AL159,BH$4&gt;$AK159),5,0)))))*'Detailed Assumptions'!$E$6</f>
        <v>0</v>
      </c>
      <c r="BI502" s="543">
        <f>IF(AND(BI$4&lt;=$AH159,BI$4&gt;$V159),1,IF(AND(BI$4&lt;=$AI159,BI$4&gt;$AH159),2,IF(AND(BI$4&lt;=$AJ159,BI$4&gt;$AI159),3,IF(AND(BI$4&lt;=$AK159,BI$4&gt;$AJ159),4,IF(AND(BI$4&lt;=$AL159,BI$4&gt;$AK159),5,0)))))*'Detailed Assumptions'!$E$6</f>
        <v>0</v>
      </c>
      <c r="BJ502" s="543">
        <f>IF(AND(BJ$4&lt;=$AH159,BJ$4&gt;$V159),1,IF(AND(BJ$4&lt;=$AI159,BJ$4&gt;$AH159),2,IF(AND(BJ$4&lt;=$AJ159,BJ$4&gt;$AI159),3,IF(AND(BJ$4&lt;=$AK159,BJ$4&gt;$AJ159),4,IF(AND(BJ$4&lt;=$AL159,BJ$4&gt;$AK159),5,0)))))*'Detailed Assumptions'!$E$6</f>
        <v>0</v>
      </c>
      <c r="BK502" s="543">
        <f>IF(AND(BK$4&lt;=$AH159,BK$4&gt;$V159),1,IF(AND(BK$4&lt;=$AI159,BK$4&gt;$AH159),2,IF(AND(BK$4&lt;=$AJ159,BK$4&gt;$AI159),3,IF(AND(BK$4&lt;=$AK159,BK$4&gt;$AJ159),4,IF(AND(BK$4&lt;=$AL159,BK$4&gt;$AK159),5,0)))))*'Detailed Assumptions'!$E$6</f>
        <v>0</v>
      </c>
      <c r="BL502" s="543">
        <f>IF(AND(BL$4&lt;=$AH159,BL$4&gt;$V159),1,IF(AND(BL$4&lt;=$AI159,BL$4&gt;$AH159),2,IF(AND(BL$4&lt;=$AJ159,BL$4&gt;$AI159),3,IF(AND(BL$4&lt;=$AK159,BL$4&gt;$AJ159),4,IF(AND(BL$4&lt;=$AL159,BL$4&gt;$AK159),5,0)))))*'Detailed Assumptions'!$E$6</f>
        <v>0</v>
      </c>
      <c r="BM502" s="543">
        <f>IF(AND(BM$4&lt;=$AH159,BM$4&gt;$V159),1,IF(AND(BM$4&lt;=$AI159,BM$4&gt;$AH159),2,IF(AND(BM$4&lt;=$AJ159,BM$4&gt;$AI159),3,IF(AND(BM$4&lt;=$AK159,BM$4&gt;$AJ159),4,IF(AND(BM$4&lt;=$AL159,BM$4&gt;$AK159),5,0)))))*'Detailed Assumptions'!$E$6</f>
        <v>0</v>
      </c>
      <c r="BN502" s="543">
        <f>IF(AND(BN$4&lt;=$AH159,BN$4&gt;$V159),1,IF(AND(BN$4&lt;=$AI159,BN$4&gt;$AH159),2,IF(AND(BN$4&lt;=$AJ159,BN$4&gt;$AI159),3,IF(AND(BN$4&lt;=$AK159,BN$4&gt;$AJ159),4,IF(AND(BN$4&lt;=$AL159,BN$4&gt;$AK159),5,0)))))*'Detailed Assumptions'!$E$6</f>
        <v>0</v>
      </c>
      <c r="BO502" s="543">
        <f>IF(AND(BO$4&lt;=$AH159,BO$4&gt;$V159),1,IF(AND(BO$4&lt;=$AI159,BO$4&gt;$AH159),2,IF(AND(BO$4&lt;=$AJ159,BO$4&gt;$AI159),3,IF(AND(BO$4&lt;=$AK159,BO$4&gt;$AJ159),4,IF(AND(BO$4&lt;=$AL159,BO$4&gt;$AK159),5,0)))))*'Detailed Assumptions'!$E$6</f>
        <v>0</v>
      </c>
      <c r="BP502" s="543">
        <f>IF(AND(BP$4&lt;=$AH159,BP$4&gt;$V159),1,IF(AND(BP$4&lt;=$AI159,BP$4&gt;$AH159),2,IF(AND(BP$4&lt;=$AJ159,BP$4&gt;$AI159),3,IF(AND(BP$4&lt;=$AK159,BP$4&gt;$AJ159),4,IF(AND(BP$4&lt;=$AL159,BP$4&gt;$AK159),5,0)))))*'Detailed Assumptions'!$E$6</f>
        <v>0</v>
      </c>
      <c r="BQ502" s="543">
        <f>IF(AND(BQ$4&lt;=$AH159,BQ$4&gt;$V159),1,IF(AND(BQ$4&lt;=$AI159,BQ$4&gt;$AH159),2,IF(AND(BQ$4&lt;=$AJ159,BQ$4&gt;$AI159),3,IF(AND(BQ$4&lt;=$AK159,BQ$4&gt;$AJ159),4,IF(AND(BQ$4&lt;=$AL159,BQ$4&gt;$AK159),5,0)))))*'Detailed Assumptions'!$E$6</f>
        <v>0</v>
      </c>
      <c r="BR502" s="543">
        <f>IF(AND(BR$4&lt;=$AH159,BR$4&gt;$V159),1,IF(AND(BR$4&lt;=$AI159,BR$4&gt;$AH159),2,IF(AND(BR$4&lt;=$AJ159,BR$4&gt;$AI159),3,IF(AND(BR$4&lt;=$AK159,BR$4&gt;$AJ159),4,IF(AND(BR$4&lt;=$AL159,BR$4&gt;$AK159),5,0)))))*'Detailed Assumptions'!$E$6</f>
        <v>0</v>
      </c>
      <c r="BS502" s="543">
        <f>IF(AND(BS$4&lt;=$AH159,BS$4&gt;$V159),1,IF(AND(BS$4&lt;=$AI159,BS$4&gt;$AH159),2,IF(AND(BS$4&lt;=$AJ159,BS$4&gt;$AI159),3,IF(AND(BS$4&lt;=$AK159,BS$4&gt;$AJ159),4,IF(AND(BS$4&lt;=$AL159,BS$4&gt;$AK159),5,0)))))*'Detailed Assumptions'!$E$6</f>
        <v>0</v>
      </c>
      <c r="BT502" s="543">
        <f>IF(AND(BT$4&lt;=$AH159,BT$4&gt;$V159),1,IF(AND(BT$4&lt;=$AI159,BT$4&gt;$AH159),2,IF(AND(BT$4&lt;=$AJ159,BT$4&gt;$AI159),3,IF(AND(BT$4&lt;=$AK159,BT$4&gt;$AJ159),4,IF(AND(BT$4&lt;=$AL159,BT$4&gt;$AK159),5,0)))))*'Detailed Assumptions'!$E$6</f>
        <v>1</v>
      </c>
      <c r="BU502" s="543">
        <f>IF(AND(BU$4&lt;=$AH159,BU$4&gt;$V159),1,IF(AND(BU$4&lt;=$AI159,BU$4&gt;$AH159),2,IF(AND(BU$4&lt;=$AJ159,BU$4&gt;$AI159),3,IF(AND(BU$4&lt;=$AK159,BU$4&gt;$AJ159),4,IF(AND(BU$4&lt;=$AL159,BU$4&gt;$AK159),5,0)))))*'Detailed Assumptions'!$E$6</f>
        <v>1</v>
      </c>
      <c r="BV502" s="543">
        <f>IF(AND(BV$4&lt;=$AH159,BV$4&gt;$V159),1,IF(AND(BV$4&lt;=$AI159,BV$4&gt;$AH159),2,IF(AND(BV$4&lt;=$AJ159,BV$4&gt;$AI159),3,IF(AND(BV$4&lt;=$AK159,BV$4&gt;$AJ159),4,IF(AND(BV$4&lt;=$AL159,BV$4&gt;$AK159),5,0)))))*'Detailed Assumptions'!$E$6</f>
        <v>1</v>
      </c>
      <c r="BW502" s="543">
        <f>IF(AND(BW$4&lt;=$AH159,BW$4&gt;$V159),1,IF(AND(BW$4&lt;=$AI159,BW$4&gt;$AH159),2,IF(AND(BW$4&lt;=$AJ159,BW$4&gt;$AI159),3,IF(AND(BW$4&lt;=$AK159,BW$4&gt;$AJ159),4,IF(AND(BW$4&lt;=$AL159,BW$4&gt;$AK159),5,0)))))*'Detailed Assumptions'!$E$6</f>
        <v>1</v>
      </c>
      <c r="BX502" s="543">
        <f>IF(AND(BX$4&lt;=$AH159,BX$4&gt;$V159),1,IF(AND(BX$4&lt;=$AI159,BX$4&gt;$AH159),2,IF(AND(BX$4&lt;=$AJ159,BX$4&gt;$AI159),3,IF(AND(BX$4&lt;=$AK159,BX$4&gt;$AJ159),4,IF(AND(BX$4&lt;=$AL159,BX$4&gt;$AK159),5,0)))))*'Detailed Assumptions'!$E$6</f>
        <v>1</v>
      </c>
      <c r="BY502" s="543">
        <f>IF(AND(BY$4&lt;=$AH159,BY$4&gt;$V159),1,IF(AND(BY$4&lt;=$AI159,BY$4&gt;$AH159),2,IF(AND(BY$4&lt;=$AJ159,BY$4&gt;$AI159),3,IF(AND(BY$4&lt;=$AK159,BY$4&gt;$AJ159),4,IF(AND(BY$4&lt;=$AL159,BY$4&gt;$AK159),5,0)))))*'Detailed Assumptions'!$E$6</f>
        <v>1</v>
      </c>
      <c r="BZ502" s="537"/>
      <c r="CA502" s="537"/>
      <c r="CB502" s="537"/>
    </row>
    <row r="503" spans="1:80" x14ac:dyDescent="0.3">
      <c r="A503" s="551"/>
      <c r="B503" s="548"/>
      <c r="C503" s="548"/>
      <c r="D503" s="525"/>
      <c r="E503" s="655" t="str">
        <f>"EBITDA growth post capex: "&amp;E$160</f>
        <v>EBITDA growth post capex: Uninvested Tranche</v>
      </c>
      <c r="F503" s="574"/>
      <c r="G503" s="574"/>
      <c r="H503" s="574"/>
      <c r="I503" s="574"/>
      <c r="J503" s="574"/>
      <c r="K503" s="574"/>
      <c r="L503" s="574"/>
      <c r="M503" s="574"/>
      <c r="N503" s="574"/>
      <c r="O503" s="574"/>
      <c r="P503" s="653"/>
      <c r="Q503" s="574"/>
      <c r="R503" s="543">
        <f>IF(AND(R$4&lt;=$AH160,R$4&gt;$V160),1,IF(AND(R$4&lt;=$AI160,R$4&gt;$AH160),2,IF(AND(R$4&lt;=$AJ160,R$4&gt;$AI160),3,IF(AND(R$4&lt;=$AK160,R$4&gt;$AJ160),4,IF(AND(R$4&lt;=$AL160,R$4&gt;$AK160),5,0)))))*'Detailed Assumptions'!$E$6</f>
        <v>0</v>
      </c>
      <c r="S503" s="543">
        <f>IF(AND(S$4&lt;=$AH160,S$4&gt;$V160),1,IF(AND(S$4&lt;=$AI160,S$4&gt;$AH160),2,IF(AND(S$4&lt;=$AJ160,S$4&gt;$AI160),3,IF(AND(S$4&lt;=$AK160,S$4&gt;$AJ160),4,IF(AND(S$4&lt;=$AL160,S$4&gt;$AK160),5,0)))))*'Detailed Assumptions'!$E$6</f>
        <v>0</v>
      </c>
      <c r="T503" s="543">
        <f>IF(AND(T$4&lt;=$AH160,T$4&gt;$V160),1,IF(AND(T$4&lt;=$AI160,T$4&gt;$AH160),2,IF(AND(T$4&lt;=$AJ160,T$4&gt;$AI160),3,IF(AND(T$4&lt;=$AK160,T$4&gt;$AJ160),4,IF(AND(T$4&lt;=$AL160,T$4&gt;$AK160),5,0)))))*'Detailed Assumptions'!$E$6</f>
        <v>0</v>
      </c>
      <c r="U503" s="543">
        <f>IF(AND(U$4&lt;=$AH160,U$4&gt;$V160),1,IF(AND(U$4&lt;=$AI160,U$4&gt;$AH160),2,IF(AND(U$4&lt;=$AJ160,U$4&gt;$AI160),3,IF(AND(U$4&lt;=$AK160,U$4&gt;$AJ160),4,IF(AND(U$4&lt;=$AL160,U$4&gt;$AK160),5,0)))))*'Detailed Assumptions'!$E$6</f>
        <v>0</v>
      </c>
      <c r="V503" s="543">
        <f>IF(AND(V$4&lt;=$AH160,V$4&gt;$V160),1,IF(AND(V$4&lt;=$AI160,V$4&gt;$AH160),2,IF(AND(V$4&lt;=$AJ160,V$4&gt;$AI160),3,IF(AND(V$4&lt;=$AK160,V$4&gt;$AJ160),4,IF(AND(V$4&lt;=$AL160,V$4&gt;$AK160),5,0)))))*'Detailed Assumptions'!$E$6</f>
        <v>0</v>
      </c>
      <c r="W503" s="543">
        <f>IF(AND(W$4&lt;=$AH160,W$4&gt;$V160),1,IF(AND(W$4&lt;=$AI160,W$4&gt;$AH160),2,IF(AND(W$4&lt;=$AJ160,W$4&gt;$AI160),3,IF(AND(W$4&lt;=$AK160,W$4&gt;$AJ160),4,IF(AND(W$4&lt;=$AL160,W$4&gt;$AK160),5,0)))))*'Detailed Assumptions'!$E$6</f>
        <v>0</v>
      </c>
      <c r="X503" s="543">
        <f>IF(AND(X$4&lt;=$AH160,X$4&gt;$V160),1,IF(AND(X$4&lt;=$AI160,X$4&gt;$AH160),2,IF(AND(X$4&lt;=$AJ160,X$4&gt;$AI160),3,IF(AND(X$4&lt;=$AK160,X$4&gt;$AJ160),4,IF(AND(X$4&lt;=$AL160,X$4&gt;$AK160),5,0)))))*'Detailed Assumptions'!$E$6</f>
        <v>0</v>
      </c>
      <c r="Y503" s="543">
        <f>IF(AND(Y$4&lt;=$AH160,Y$4&gt;$V160),1,IF(AND(Y$4&lt;=$AI160,Y$4&gt;$AH160),2,IF(AND(Y$4&lt;=$AJ160,Y$4&gt;$AI160),3,IF(AND(Y$4&lt;=$AK160,Y$4&gt;$AJ160),4,IF(AND(Y$4&lt;=$AL160,Y$4&gt;$AK160),5,0)))))*'Detailed Assumptions'!$E$6</f>
        <v>0</v>
      </c>
      <c r="Z503" s="543">
        <f>IF(AND(Z$4&lt;=$AH160,Z$4&gt;$V160),1,IF(AND(Z$4&lt;=$AI160,Z$4&gt;$AH160),2,IF(AND(Z$4&lt;=$AJ160,Z$4&gt;$AI160),3,IF(AND(Z$4&lt;=$AK160,Z$4&gt;$AJ160),4,IF(AND(Z$4&lt;=$AL160,Z$4&gt;$AK160),5,0)))))*'Detailed Assumptions'!$E$6</f>
        <v>0</v>
      </c>
      <c r="AA503" s="543">
        <f>IF(AND(AA$4&lt;=$AH160,AA$4&gt;$V160),1,IF(AND(AA$4&lt;=$AI160,AA$4&gt;$AH160),2,IF(AND(AA$4&lt;=$AJ160,AA$4&gt;$AI160),3,IF(AND(AA$4&lt;=$AK160,AA$4&gt;$AJ160),4,IF(AND(AA$4&lt;=$AL160,AA$4&gt;$AK160),5,0)))))*'Detailed Assumptions'!$E$6</f>
        <v>0</v>
      </c>
      <c r="AB503" s="543">
        <f>IF(AND(AB$4&lt;=$AH160,AB$4&gt;$V160),1,IF(AND(AB$4&lt;=$AI160,AB$4&gt;$AH160),2,IF(AND(AB$4&lt;=$AJ160,AB$4&gt;$AI160),3,IF(AND(AB$4&lt;=$AK160,AB$4&gt;$AJ160),4,IF(AND(AB$4&lt;=$AL160,AB$4&gt;$AK160),5,0)))))*'Detailed Assumptions'!$E$6</f>
        <v>0</v>
      </c>
      <c r="AC503" s="543">
        <f>IF(AND(AC$4&lt;=$AH160,AC$4&gt;$V160),1,IF(AND(AC$4&lt;=$AI160,AC$4&gt;$AH160),2,IF(AND(AC$4&lt;=$AJ160,AC$4&gt;$AI160),3,IF(AND(AC$4&lt;=$AK160,AC$4&gt;$AJ160),4,IF(AND(AC$4&lt;=$AL160,AC$4&gt;$AK160),5,0)))))*'Detailed Assumptions'!$E$6</f>
        <v>0</v>
      </c>
      <c r="AD503" s="543">
        <f>IF(AND(AD$4&lt;=$AH160,AD$4&gt;$V160),1,IF(AND(AD$4&lt;=$AI160,AD$4&gt;$AH160),2,IF(AND(AD$4&lt;=$AJ160,AD$4&gt;$AI160),3,IF(AND(AD$4&lt;=$AK160,AD$4&gt;$AJ160),4,IF(AND(AD$4&lt;=$AL160,AD$4&gt;$AK160),5,0)))))*'Detailed Assumptions'!$E$6</f>
        <v>0</v>
      </c>
      <c r="AE503" s="543">
        <f>IF(AND(AE$4&lt;=$AH160,AE$4&gt;$V160),1,IF(AND(AE$4&lt;=$AI160,AE$4&gt;$AH160),2,IF(AND(AE$4&lt;=$AJ160,AE$4&gt;$AI160),3,IF(AND(AE$4&lt;=$AK160,AE$4&gt;$AJ160),4,IF(AND(AE$4&lt;=$AL160,AE$4&gt;$AK160),5,0)))))*'Detailed Assumptions'!$E$6</f>
        <v>0</v>
      </c>
      <c r="AF503" s="543">
        <f>IF(AND(AF$4&lt;=$AH160,AF$4&gt;$V160),1,IF(AND(AF$4&lt;=$AI160,AF$4&gt;$AH160),2,IF(AND(AF$4&lt;=$AJ160,AF$4&gt;$AI160),3,IF(AND(AF$4&lt;=$AK160,AF$4&gt;$AJ160),4,IF(AND(AF$4&lt;=$AL160,AF$4&gt;$AK160),5,0)))))*'Detailed Assumptions'!$E$6</f>
        <v>0</v>
      </c>
      <c r="AG503" s="543">
        <f>IF(AND(AG$4&lt;=$AH160,AG$4&gt;$V160),1,IF(AND(AG$4&lt;=$AI160,AG$4&gt;$AH160),2,IF(AND(AG$4&lt;=$AJ160,AG$4&gt;$AI160),3,IF(AND(AG$4&lt;=$AK160,AG$4&gt;$AJ160),4,IF(AND(AG$4&lt;=$AL160,AG$4&gt;$AK160),5,0)))))*'Detailed Assumptions'!$E$6</f>
        <v>0</v>
      </c>
      <c r="AH503" s="543">
        <f>IF(AND(AH$4&lt;=$AH160,AH$4&gt;$V160),1,IF(AND(AH$4&lt;=$AI160,AH$4&gt;$AH160),2,IF(AND(AH$4&lt;=$AJ160,AH$4&gt;$AI160),3,IF(AND(AH$4&lt;=$AK160,AH$4&gt;$AJ160),4,IF(AND(AH$4&lt;=$AL160,AH$4&gt;$AK160),5,0)))))*'Detailed Assumptions'!$E$6</f>
        <v>0</v>
      </c>
      <c r="AI503" s="543">
        <f>IF(AND(AI$4&lt;=$AH160,AI$4&gt;$V160),1,IF(AND(AI$4&lt;=$AI160,AI$4&gt;$AH160),2,IF(AND(AI$4&lt;=$AJ160,AI$4&gt;$AI160),3,IF(AND(AI$4&lt;=$AK160,AI$4&gt;$AJ160),4,IF(AND(AI$4&lt;=$AL160,AI$4&gt;$AK160),5,0)))))*'Detailed Assumptions'!$E$6</f>
        <v>0</v>
      </c>
      <c r="AJ503" s="543">
        <f>IF(AND(AJ$4&lt;=$AH160,AJ$4&gt;$V160),1,IF(AND(AJ$4&lt;=$AI160,AJ$4&gt;$AH160),2,IF(AND(AJ$4&lt;=$AJ160,AJ$4&gt;$AI160),3,IF(AND(AJ$4&lt;=$AK160,AJ$4&gt;$AJ160),4,IF(AND(AJ$4&lt;=$AL160,AJ$4&gt;$AK160),5,0)))))*'Detailed Assumptions'!$E$6</f>
        <v>0</v>
      </c>
      <c r="AK503" s="543">
        <f>IF(AND(AK$4&lt;=$AH160,AK$4&gt;$V160),1,IF(AND(AK$4&lt;=$AI160,AK$4&gt;$AH160),2,IF(AND(AK$4&lt;=$AJ160,AK$4&gt;$AI160),3,IF(AND(AK$4&lt;=$AK160,AK$4&gt;$AJ160),4,IF(AND(AK$4&lt;=$AL160,AK$4&gt;$AK160),5,0)))))*'Detailed Assumptions'!$E$6</f>
        <v>0</v>
      </c>
      <c r="AL503" s="543">
        <f>IF(AND(AL$4&lt;=$AH160,AL$4&gt;$V160),1,IF(AND(AL$4&lt;=$AI160,AL$4&gt;$AH160),2,IF(AND(AL$4&lt;=$AJ160,AL$4&gt;$AI160),3,IF(AND(AL$4&lt;=$AK160,AL$4&gt;$AJ160),4,IF(AND(AL$4&lt;=$AL160,AL$4&gt;$AK160),5,0)))))*'Detailed Assumptions'!$E$6</f>
        <v>0</v>
      </c>
      <c r="AM503" s="543">
        <f>IF(AND(AM$4&lt;=$AH160,AM$4&gt;$V160),1,IF(AND(AM$4&lt;=$AI160,AM$4&gt;$AH160),2,IF(AND(AM$4&lt;=$AJ160,AM$4&gt;$AI160),3,IF(AND(AM$4&lt;=$AK160,AM$4&gt;$AJ160),4,IF(AND(AM$4&lt;=$AL160,AM$4&gt;$AK160),5,0)))))*'Detailed Assumptions'!$E$6</f>
        <v>0</v>
      </c>
      <c r="AN503" s="543">
        <f>IF(AND(AN$4&lt;=$AH160,AN$4&gt;$V160),1,IF(AND(AN$4&lt;=$AI160,AN$4&gt;$AH160),2,IF(AND(AN$4&lt;=$AJ160,AN$4&gt;$AI160),3,IF(AND(AN$4&lt;=$AK160,AN$4&gt;$AJ160),4,IF(AND(AN$4&lt;=$AL160,AN$4&gt;$AK160),5,0)))))*'Detailed Assumptions'!$E$6</f>
        <v>0</v>
      </c>
      <c r="AO503" s="543">
        <f>IF(AND(AO$4&lt;=$AH160,AO$4&gt;$V160),1,IF(AND(AO$4&lt;=$AI160,AO$4&gt;$AH160),2,IF(AND(AO$4&lt;=$AJ160,AO$4&gt;$AI160),3,IF(AND(AO$4&lt;=$AK160,AO$4&gt;$AJ160),4,IF(AND(AO$4&lt;=$AL160,AO$4&gt;$AK160),5,0)))))*'Detailed Assumptions'!$E$6</f>
        <v>0</v>
      </c>
      <c r="AP503" s="543">
        <f>IF(AND(AP$4&lt;=$AH160,AP$4&gt;$V160),1,IF(AND(AP$4&lt;=$AI160,AP$4&gt;$AH160),2,IF(AND(AP$4&lt;=$AJ160,AP$4&gt;$AI160),3,IF(AND(AP$4&lt;=$AK160,AP$4&gt;$AJ160),4,IF(AND(AP$4&lt;=$AL160,AP$4&gt;$AK160),5,0)))))*'Detailed Assumptions'!$E$6</f>
        <v>0</v>
      </c>
      <c r="AQ503" s="543">
        <f>IF(AND(AQ$4&lt;=$AH160,AQ$4&gt;$V160),1,IF(AND(AQ$4&lt;=$AI160,AQ$4&gt;$AH160),2,IF(AND(AQ$4&lt;=$AJ160,AQ$4&gt;$AI160),3,IF(AND(AQ$4&lt;=$AK160,AQ$4&gt;$AJ160),4,IF(AND(AQ$4&lt;=$AL160,AQ$4&gt;$AK160),5,0)))))*'Detailed Assumptions'!$E$6</f>
        <v>0</v>
      </c>
      <c r="AR503" s="543">
        <f>IF(AND(AR$4&lt;=$AH160,AR$4&gt;$V160),1,IF(AND(AR$4&lt;=$AI160,AR$4&gt;$AH160),2,IF(AND(AR$4&lt;=$AJ160,AR$4&gt;$AI160),3,IF(AND(AR$4&lt;=$AK160,AR$4&gt;$AJ160),4,IF(AND(AR$4&lt;=$AL160,AR$4&gt;$AK160),5,0)))))*'Detailed Assumptions'!$E$6</f>
        <v>0</v>
      </c>
      <c r="AS503" s="543">
        <f>IF(AND(AS$4&lt;=$AH160,AS$4&gt;$V160),1,IF(AND(AS$4&lt;=$AI160,AS$4&gt;$AH160),2,IF(AND(AS$4&lt;=$AJ160,AS$4&gt;$AI160),3,IF(AND(AS$4&lt;=$AK160,AS$4&gt;$AJ160),4,IF(AND(AS$4&lt;=$AL160,AS$4&gt;$AK160),5,0)))))*'Detailed Assumptions'!$E$6</f>
        <v>0</v>
      </c>
      <c r="AT503" s="543">
        <f>IF(AND(AT$4&lt;=$AH160,AT$4&gt;$V160),1,IF(AND(AT$4&lt;=$AI160,AT$4&gt;$AH160),2,IF(AND(AT$4&lt;=$AJ160,AT$4&gt;$AI160),3,IF(AND(AT$4&lt;=$AK160,AT$4&gt;$AJ160),4,IF(AND(AT$4&lt;=$AL160,AT$4&gt;$AK160),5,0)))))*'Detailed Assumptions'!$E$6</f>
        <v>0</v>
      </c>
      <c r="AU503" s="543">
        <f>IF(AND(AU$4&lt;=$AH160,AU$4&gt;$V160),1,IF(AND(AU$4&lt;=$AI160,AU$4&gt;$AH160),2,IF(AND(AU$4&lt;=$AJ160,AU$4&gt;$AI160),3,IF(AND(AU$4&lt;=$AK160,AU$4&gt;$AJ160),4,IF(AND(AU$4&lt;=$AL160,AU$4&gt;$AK160),5,0)))))*'Detailed Assumptions'!$E$6</f>
        <v>0</v>
      </c>
      <c r="AV503" s="543">
        <f>IF(AND(AV$4&lt;=$AH160,AV$4&gt;$V160),1,IF(AND(AV$4&lt;=$AI160,AV$4&gt;$AH160),2,IF(AND(AV$4&lt;=$AJ160,AV$4&gt;$AI160),3,IF(AND(AV$4&lt;=$AK160,AV$4&gt;$AJ160),4,IF(AND(AV$4&lt;=$AL160,AV$4&gt;$AK160),5,0)))))*'Detailed Assumptions'!$E$6</f>
        <v>0</v>
      </c>
      <c r="AW503" s="543">
        <f>IF(AND(AW$4&lt;=$AH160,AW$4&gt;$V160),1,IF(AND(AW$4&lt;=$AI160,AW$4&gt;$AH160),2,IF(AND(AW$4&lt;=$AJ160,AW$4&gt;$AI160),3,IF(AND(AW$4&lt;=$AK160,AW$4&gt;$AJ160),4,IF(AND(AW$4&lt;=$AL160,AW$4&gt;$AK160),5,0)))))*'Detailed Assumptions'!$E$6</f>
        <v>0</v>
      </c>
      <c r="AX503" s="543">
        <f>IF(AND(AX$4&lt;=$AH160,AX$4&gt;$V160),1,IF(AND(AX$4&lt;=$AI160,AX$4&gt;$AH160),2,IF(AND(AX$4&lt;=$AJ160,AX$4&gt;$AI160),3,IF(AND(AX$4&lt;=$AK160,AX$4&gt;$AJ160),4,IF(AND(AX$4&lt;=$AL160,AX$4&gt;$AK160),5,0)))))*'Detailed Assumptions'!$E$6</f>
        <v>0</v>
      </c>
      <c r="AY503" s="543">
        <f>IF(AND(AY$4&lt;=$AH160,AY$4&gt;$V160),1,IF(AND(AY$4&lt;=$AI160,AY$4&gt;$AH160),2,IF(AND(AY$4&lt;=$AJ160,AY$4&gt;$AI160),3,IF(AND(AY$4&lt;=$AK160,AY$4&gt;$AJ160),4,IF(AND(AY$4&lt;=$AL160,AY$4&gt;$AK160),5,0)))))*'Detailed Assumptions'!$E$6</f>
        <v>0</v>
      </c>
      <c r="AZ503" s="543">
        <f>IF(AND(AZ$4&lt;=$AH160,AZ$4&gt;$V160),1,IF(AND(AZ$4&lt;=$AI160,AZ$4&gt;$AH160),2,IF(AND(AZ$4&lt;=$AJ160,AZ$4&gt;$AI160),3,IF(AND(AZ$4&lt;=$AK160,AZ$4&gt;$AJ160),4,IF(AND(AZ$4&lt;=$AL160,AZ$4&gt;$AK160),5,0)))))*'Detailed Assumptions'!$E$6</f>
        <v>0</v>
      </c>
      <c r="BA503" s="543">
        <f>IF(AND(BA$4&lt;=$AH160,BA$4&gt;$V160),1,IF(AND(BA$4&lt;=$AI160,BA$4&gt;$AH160),2,IF(AND(BA$4&lt;=$AJ160,BA$4&gt;$AI160),3,IF(AND(BA$4&lt;=$AK160,BA$4&gt;$AJ160),4,IF(AND(BA$4&lt;=$AL160,BA$4&gt;$AK160),5,0)))))*'Detailed Assumptions'!$E$6</f>
        <v>0</v>
      </c>
      <c r="BB503" s="543">
        <f>IF(AND(BB$4&lt;=$AH160,BB$4&gt;$V160),1,IF(AND(BB$4&lt;=$AI160,BB$4&gt;$AH160),2,IF(AND(BB$4&lt;=$AJ160,BB$4&gt;$AI160),3,IF(AND(BB$4&lt;=$AK160,BB$4&gt;$AJ160),4,IF(AND(BB$4&lt;=$AL160,BB$4&gt;$AK160),5,0)))))*'Detailed Assumptions'!$E$6</f>
        <v>0</v>
      </c>
      <c r="BC503" s="543">
        <f>IF(AND(BC$4&lt;=$AH160,BC$4&gt;$V160),1,IF(AND(BC$4&lt;=$AI160,BC$4&gt;$AH160),2,IF(AND(BC$4&lt;=$AJ160,BC$4&gt;$AI160),3,IF(AND(BC$4&lt;=$AK160,BC$4&gt;$AJ160),4,IF(AND(BC$4&lt;=$AL160,BC$4&gt;$AK160),5,0)))))*'Detailed Assumptions'!$E$6</f>
        <v>0</v>
      </c>
      <c r="BD503" s="543">
        <f>IF(AND(BD$4&lt;=$AH160,BD$4&gt;$V160),1,IF(AND(BD$4&lt;=$AI160,BD$4&gt;$AH160),2,IF(AND(BD$4&lt;=$AJ160,BD$4&gt;$AI160),3,IF(AND(BD$4&lt;=$AK160,BD$4&gt;$AJ160),4,IF(AND(BD$4&lt;=$AL160,BD$4&gt;$AK160),5,0)))))*'Detailed Assumptions'!$E$6</f>
        <v>0</v>
      </c>
      <c r="BE503" s="543">
        <f>IF(AND(BE$4&lt;=$AH160,BE$4&gt;$V160),1,IF(AND(BE$4&lt;=$AI160,BE$4&gt;$AH160),2,IF(AND(BE$4&lt;=$AJ160,BE$4&gt;$AI160),3,IF(AND(BE$4&lt;=$AK160,BE$4&gt;$AJ160),4,IF(AND(BE$4&lt;=$AL160,BE$4&gt;$AK160),5,0)))))*'Detailed Assumptions'!$E$6</f>
        <v>0</v>
      </c>
      <c r="BF503" s="543">
        <f>IF(AND(BF$4&lt;=$AH160,BF$4&gt;$V160),1,IF(AND(BF$4&lt;=$AI160,BF$4&gt;$AH160),2,IF(AND(BF$4&lt;=$AJ160,BF$4&gt;$AI160),3,IF(AND(BF$4&lt;=$AK160,BF$4&gt;$AJ160),4,IF(AND(BF$4&lt;=$AL160,BF$4&gt;$AK160),5,0)))))*'Detailed Assumptions'!$E$6</f>
        <v>0</v>
      </c>
      <c r="BG503" s="543">
        <f>IF(AND(BG$4&lt;=$AH160,BG$4&gt;$V160),1,IF(AND(BG$4&lt;=$AI160,BG$4&gt;$AH160),2,IF(AND(BG$4&lt;=$AJ160,BG$4&gt;$AI160),3,IF(AND(BG$4&lt;=$AK160,BG$4&gt;$AJ160),4,IF(AND(BG$4&lt;=$AL160,BG$4&gt;$AK160),5,0)))))*'Detailed Assumptions'!$E$6</f>
        <v>0</v>
      </c>
      <c r="BH503" s="543">
        <f>IF(AND(BH$4&lt;=$AH160,BH$4&gt;$V160),1,IF(AND(BH$4&lt;=$AI160,BH$4&gt;$AH160),2,IF(AND(BH$4&lt;=$AJ160,BH$4&gt;$AI160),3,IF(AND(BH$4&lt;=$AK160,BH$4&gt;$AJ160),4,IF(AND(BH$4&lt;=$AL160,BH$4&gt;$AK160),5,0)))))*'Detailed Assumptions'!$E$6</f>
        <v>0</v>
      </c>
      <c r="BI503" s="543">
        <f>IF(AND(BI$4&lt;=$AH160,BI$4&gt;$V160),1,IF(AND(BI$4&lt;=$AI160,BI$4&gt;$AH160),2,IF(AND(BI$4&lt;=$AJ160,BI$4&gt;$AI160),3,IF(AND(BI$4&lt;=$AK160,BI$4&gt;$AJ160),4,IF(AND(BI$4&lt;=$AL160,BI$4&gt;$AK160),5,0)))))*'Detailed Assumptions'!$E$6</f>
        <v>0</v>
      </c>
      <c r="BJ503" s="543">
        <f>IF(AND(BJ$4&lt;=$AH160,BJ$4&gt;$V160),1,IF(AND(BJ$4&lt;=$AI160,BJ$4&gt;$AH160),2,IF(AND(BJ$4&lt;=$AJ160,BJ$4&gt;$AI160),3,IF(AND(BJ$4&lt;=$AK160,BJ$4&gt;$AJ160),4,IF(AND(BJ$4&lt;=$AL160,BJ$4&gt;$AK160),5,0)))))*'Detailed Assumptions'!$E$6</f>
        <v>0</v>
      </c>
      <c r="BK503" s="543">
        <f>IF(AND(BK$4&lt;=$AH160,BK$4&gt;$V160),1,IF(AND(BK$4&lt;=$AI160,BK$4&gt;$AH160),2,IF(AND(BK$4&lt;=$AJ160,BK$4&gt;$AI160),3,IF(AND(BK$4&lt;=$AK160,BK$4&gt;$AJ160),4,IF(AND(BK$4&lt;=$AL160,BK$4&gt;$AK160),5,0)))))*'Detailed Assumptions'!$E$6</f>
        <v>0</v>
      </c>
      <c r="BL503" s="543">
        <f>IF(AND(BL$4&lt;=$AH160,BL$4&gt;$V160),1,IF(AND(BL$4&lt;=$AI160,BL$4&gt;$AH160),2,IF(AND(BL$4&lt;=$AJ160,BL$4&gt;$AI160),3,IF(AND(BL$4&lt;=$AK160,BL$4&gt;$AJ160),4,IF(AND(BL$4&lt;=$AL160,BL$4&gt;$AK160),5,0)))))*'Detailed Assumptions'!$E$6</f>
        <v>0</v>
      </c>
      <c r="BM503" s="543">
        <f>IF(AND(BM$4&lt;=$AH160,BM$4&gt;$V160),1,IF(AND(BM$4&lt;=$AI160,BM$4&gt;$AH160),2,IF(AND(BM$4&lt;=$AJ160,BM$4&gt;$AI160),3,IF(AND(BM$4&lt;=$AK160,BM$4&gt;$AJ160),4,IF(AND(BM$4&lt;=$AL160,BM$4&gt;$AK160),5,0)))))*'Detailed Assumptions'!$E$6</f>
        <v>0</v>
      </c>
      <c r="BN503" s="543">
        <f>IF(AND(BN$4&lt;=$AH160,BN$4&gt;$V160),1,IF(AND(BN$4&lt;=$AI160,BN$4&gt;$AH160),2,IF(AND(BN$4&lt;=$AJ160,BN$4&gt;$AI160),3,IF(AND(BN$4&lt;=$AK160,BN$4&gt;$AJ160),4,IF(AND(BN$4&lt;=$AL160,BN$4&gt;$AK160),5,0)))))*'Detailed Assumptions'!$E$6</f>
        <v>0</v>
      </c>
      <c r="BO503" s="543">
        <f>IF(AND(BO$4&lt;=$AH160,BO$4&gt;$V160),1,IF(AND(BO$4&lt;=$AI160,BO$4&gt;$AH160),2,IF(AND(BO$4&lt;=$AJ160,BO$4&gt;$AI160),3,IF(AND(BO$4&lt;=$AK160,BO$4&gt;$AJ160),4,IF(AND(BO$4&lt;=$AL160,BO$4&gt;$AK160),5,0)))))*'Detailed Assumptions'!$E$6</f>
        <v>0</v>
      </c>
      <c r="BP503" s="543">
        <f>IF(AND(BP$4&lt;=$AH160,BP$4&gt;$V160),1,IF(AND(BP$4&lt;=$AI160,BP$4&gt;$AH160),2,IF(AND(BP$4&lt;=$AJ160,BP$4&gt;$AI160),3,IF(AND(BP$4&lt;=$AK160,BP$4&gt;$AJ160),4,IF(AND(BP$4&lt;=$AL160,BP$4&gt;$AK160),5,0)))))*'Detailed Assumptions'!$E$6</f>
        <v>0</v>
      </c>
      <c r="BQ503" s="543">
        <f>IF(AND(BQ$4&lt;=$AH160,BQ$4&gt;$V160),1,IF(AND(BQ$4&lt;=$AI160,BQ$4&gt;$AH160),2,IF(AND(BQ$4&lt;=$AJ160,BQ$4&gt;$AI160),3,IF(AND(BQ$4&lt;=$AK160,BQ$4&gt;$AJ160),4,IF(AND(BQ$4&lt;=$AL160,BQ$4&gt;$AK160),5,0)))))*'Detailed Assumptions'!$E$6</f>
        <v>0</v>
      </c>
      <c r="BR503" s="543">
        <f>IF(AND(BR$4&lt;=$AH160,BR$4&gt;$V160),1,IF(AND(BR$4&lt;=$AI160,BR$4&gt;$AH160),2,IF(AND(BR$4&lt;=$AJ160,BR$4&gt;$AI160),3,IF(AND(BR$4&lt;=$AK160,BR$4&gt;$AJ160),4,IF(AND(BR$4&lt;=$AL160,BR$4&gt;$AK160),5,0)))))*'Detailed Assumptions'!$E$6</f>
        <v>0</v>
      </c>
      <c r="BS503" s="543">
        <f>IF(AND(BS$4&lt;=$AH160,BS$4&gt;$V160),1,IF(AND(BS$4&lt;=$AI160,BS$4&gt;$AH160),2,IF(AND(BS$4&lt;=$AJ160,BS$4&gt;$AI160),3,IF(AND(BS$4&lt;=$AK160,BS$4&gt;$AJ160),4,IF(AND(BS$4&lt;=$AL160,BS$4&gt;$AK160),5,0)))))*'Detailed Assumptions'!$E$6</f>
        <v>0</v>
      </c>
      <c r="BT503" s="543">
        <f>IF(AND(BT$4&lt;=$AH160,BT$4&gt;$V160),1,IF(AND(BT$4&lt;=$AI160,BT$4&gt;$AH160),2,IF(AND(BT$4&lt;=$AJ160,BT$4&gt;$AI160),3,IF(AND(BT$4&lt;=$AK160,BT$4&gt;$AJ160),4,IF(AND(BT$4&lt;=$AL160,BT$4&gt;$AK160),5,0)))))*'Detailed Assumptions'!$E$6</f>
        <v>0</v>
      </c>
      <c r="BU503" s="543">
        <f>IF(AND(BU$4&lt;=$AH160,BU$4&gt;$V160),1,IF(AND(BU$4&lt;=$AI160,BU$4&gt;$AH160),2,IF(AND(BU$4&lt;=$AJ160,BU$4&gt;$AI160),3,IF(AND(BU$4&lt;=$AK160,BU$4&gt;$AJ160),4,IF(AND(BU$4&lt;=$AL160,BU$4&gt;$AK160),5,0)))))*'Detailed Assumptions'!$E$6</f>
        <v>0</v>
      </c>
      <c r="BV503" s="543">
        <f>IF(AND(BV$4&lt;=$AH160,BV$4&gt;$V160),1,IF(AND(BV$4&lt;=$AI160,BV$4&gt;$AH160),2,IF(AND(BV$4&lt;=$AJ160,BV$4&gt;$AI160),3,IF(AND(BV$4&lt;=$AK160,BV$4&gt;$AJ160),4,IF(AND(BV$4&lt;=$AL160,BV$4&gt;$AK160),5,0)))))*'Detailed Assumptions'!$E$6</f>
        <v>0</v>
      </c>
      <c r="BW503" s="543">
        <f>IF(AND(BW$4&lt;=$AH160,BW$4&gt;$V160),1,IF(AND(BW$4&lt;=$AI160,BW$4&gt;$AH160),2,IF(AND(BW$4&lt;=$AJ160,BW$4&gt;$AI160),3,IF(AND(BW$4&lt;=$AK160,BW$4&gt;$AJ160),4,IF(AND(BW$4&lt;=$AL160,BW$4&gt;$AK160),5,0)))))*'Detailed Assumptions'!$E$6</f>
        <v>0</v>
      </c>
      <c r="BX503" s="543">
        <f>IF(AND(BX$4&lt;=$AH160,BX$4&gt;$V160),1,IF(AND(BX$4&lt;=$AI160,BX$4&gt;$AH160),2,IF(AND(BX$4&lt;=$AJ160,BX$4&gt;$AI160),3,IF(AND(BX$4&lt;=$AK160,BX$4&gt;$AJ160),4,IF(AND(BX$4&lt;=$AL160,BX$4&gt;$AK160),5,0)))))*'Detailed Assumptions'!$E$6</f>
        <v>0</v>
      </c>
      <c r="BY503" s="543">
        <f>IF(AND(BY$4&lt;=$AH160,BY$4&gt;$V160),1,IF(AND(BY$4&lt;=$AI160,BY$4&gt;$AH160),2,IF(AND(BY$4&lt;=$AJ160,BY$4&gt;$AI160),3,IF(AND(BY$4&lt;=$AK160,BY$4&gt;$AJ160),4,IF(AND(BY$4&lt;=$AL160,BY$4&gt;$AK160),5,0)))))*'Detailed Assumptions'!$E$6</f>
        <v>0</v>
      </c>
      <c r="BZ503" s="537"/>
      <c r="CA503" s="537"/>
      <c r="CB503" s="537"/>
    </row>
    <row r="504" spans="1:80" x14ac:dyDescent="0.3">
      <c r="A504" s="551"/>
      <c r="B504" s="548"/>
      <c r="C504" s="525"/>
      <c r="D504" s="525"/>
      <c r="E504" s="525"/>
      <c r="F504" s="525"/>
      <c r="G504" s="525"/>
      <c r="H504" s="525"/>
      <c r="I504" s="537"/>
      <c r="J504" s="537"/>
      <c r="K504" s="537"/>
      <c r="L504" s="537"/>
      <c r="M504" s="537"/>
      <c r="N504" s="537"/>
      <c r="O504" s="537"/>
      <c r="P504" s="547"/>
      <c r="Q504" s="537"/>
      <c r="R504" s="525"/>
      <c r="S504" s="525"/>
      <c r="T504" s="525"/>
      <c r="U504" s="525"/>
      <c r="V504" s="525"/>
      <c r="W504" s="525"/>
      <c r="X504" s="525"/>
      <c r="Y504" s="525"/>
      <c r="Z504" s="525"/>
      <c r="AA504" s="525"/>
      <c r="AB504" s="525"/>
      <c r="AC504" s="525"/>
      <c r="AD504" s="525"/>
      <c r="AE504" s="525"/>
      <c r="AF504" s="525"/>
      <c r="AG504" s="525"/>
      <c r="AH504" s="525"/>
      <c r="AI504" s="525"/>
      <c r="AJ504" s="525"/>
      <c r="AK504" s="525"/>
      <c r="AL504" s="525"/>
      <c r="AM504" s="525"/>
      <c r="AN504" s="525"/>
      <c r="AO504" s="525"/>
      <c r="AP504" s="525"/>
      <c r="AQ504" s="525"/>
      <c r="AR504" s="525"/>
      <c r="AS504" s="525"/>
      <c r="AT504" s="525"/>
      <c r="AU504" s="525"/>
      <c r="AV504" s="525"/>
      <c r="AW504" s="525"/>
      <c r="AX504" s="525"/>
      <c r="AY504" s="525"/>
      <c r="AZ504" s="525"/>
      <c r="BA504" s="525"/>
      <c r="BB504" s="525"/>
      <c r="BC504" s="525"/>
      <c r="BD504" s="525"/>
      <c r="BE504" s="525"/>
      <c r="BF504" s="525"/>
      <c r="BG504" s="525"/>
      <c r="BH504" s="525"/>
      <c r="BI504" s="525"/>
      <c r="BJ504" s="525"/>
      <c r="BK504" s="525"/>
      <c r="BL504" s="525"/>
      <c r="BM504" s="525"/>
      <c r="BN504" s="525"/>
      <c r="BO504" s="525"/>
      <c r="BP504" s="525"/>
      <c r="BQ504" s="525"/>
      <c r="BR504" s="525"/>
      <c r="BS504" s="525"/>
      <c r="BT504" s="525"/>
      <c r="BU504" s="525"/>
      <c r="BV504" s="525"/>
      <c r="BW504" s="525"/>
      <c r="BX504" s="525"/>
      <c r="BY504" s="525"/>
      <c r="BZ504" s="537"/>
      <c r="CA504" s="537"/>
      <c r="CB504" s="537"/>
    </row>
    <row r="505" spans="1:80" x14ac:dyDescent="0.3">
      <c r="A505" s="537"/>
      <c r="B505" s="548"/>
      <c r="C505" s="560" t="s">
        <v>37</v>
      </c>
      <c r="D505" s="537"/>
      <c r="E505" s="526" t="s">
        <v>118</v>
      </c>
      <c r="F505" s="526"/>
      <c r="G505" s="526"/>
      <c r="H505" s="554"/>
      <c r="I505" s="526"/>
      <c r="J505" s="526"/>
      <c r="K505" s="526"/>
      <c r="L505" s="526"/>
      <c r="M505" s="526"/>
      <c r="N505" s="526"/>
      <c r="O505" s="526"/>
      <c r="P505" s="560"/>
      <c r="Q505" s="560"/>
      <c r="R505" s="526"/>
      <c r="S505" s="526"/>
      <c r="T505" s="526"/>
      <c r="U505" s="526"/>
      <c r="V505" s="526"/>
      <c r="W505" s="526"/>
      <c r="X505" s="526"/>
      <c r="Y505" s="526"/>
      <c r="Z505" s="526"/>
      <c r="AA505" s="526"/>
      <c r="AB505" s="526"/>
      <c r="AC505" s="526"/>
      <c r="AD505" s="526"/>
      <c r="AE505" s="526"/>
      <c r="AF505" s="526"/>
      <c r="AG505" s="526"/>
      <c r="AH505" s="526"/>
      <c r="AI505" s="526"/>
      <c r="AJ505" s="526"/>
      <c r="AK505" s="526"/>
      <c r="AL505" s="526"/>
      <c r="AM505" s="526"/>
      <c r="AN505" s="526"/>
      <c r="AO505" s="526"/>
      <c r="AP505" s="526"/>
      <c r="AQ505" s="526"/>
      <c r="AR505" s="526"/>
      <c r="AS505" s="526"/>
      <c r="AT505" s="526"/>
      <c r="AU505" s="526"/>
      <c r="AV505" s="526"/>
      <c r="AW505" s="526"/>
      <c r="AX505" s="526"/>
      <c r="AY505" s="526"/>
      <c r="AZ505" s="526"/>
      <c r="BA505" s="526"/>
      <c r="BB505" s="526"/>
      <c r="BC505" s="526"/>
      <c r="BD505" s="526"/>
      <c r="BE505" s="526"/>
      <c r="BF505" s="526"/>
      <c r="BG505" s="526"/>
      <c r="BH505" s="526"/>
      <c r="BI505" s="526"/>
      <c r="BJ505" s="526"/>
      <c r="BK505" s="526"/>
      <c r="BL505" s="526"/>
      <c r="BM505" s="526"/>
      <c r="BN505" s="526"/>
      <c r="BO505" s="526"/>
      <c r="BP505" s="526"/>
      <c r="BQ505" s="526"/>
      <c r="BR505" s="526"/>
      <c r="BS505" s="526"/>
      <c r="BT505" s="526"/>
      <c r="BU505" s="526"/>
      <c r="BV505" s="526"/>
      <c r="BW505" s="526"/>
      <c r="BX505" s="526"/>
      <c r="BY505" s="526"/>
      <c r="BZ505" s="537"/>
      <c r="CA505" s="537"/>
      <c r="CB505" s="554"/>
    </row>
    <row r="506" spans="1:80" x14ac:dyDescent="0.3">
      <c r="A506" s="648"/>
      <c r="B506" s="648"/>
      <c r="C506" s="648">
        <f>INDEX(Index_Tab!$E$27:$E$30,MATCH($B$4,Index_Tab!$D$27:$D$30,0))</f>
        <v>2</v>
      </c>
      <c r="D506" s="648"/>
      <c r="E506" s="525"/>
      <c r="F506" s="525"/>
      <c r="G506" s="525"/>
      <c r="H506" s="554"/>
      <c r="I506" s="525"/>
      <c r="J506" s="525"/>
      <c r="K506" s="525"/>
      <c r="L506" s="525"/>
      <c r="M506" s="525"/>
      <c r="N506" s="525"/>
      <c r="O506" s="525"/>
      <c r="P506" s="565"/>
      <c r="Q506" s="554"/>
      <c r="R506" s="525"/>
      <c r="S506" s="525"/>
      <c r="T506" s="525"/>
      <c r="U506" s="525"/>
      <c r="V506" s="525"/>
      <c r="W506" s="525"/>
      <c r="X506" s="525"/>
      <c r="Y506" s="525"/>
      <c r="Z506" s="525"/>
      <c r="AA506" s="525"/>
      <c r="AB506" s="525"/>
      <c r="AC506" s="525"/>
      <c r="AD506" s="525"/>
      <c r="AE506" s="525"/>
      <c r="AF506" s="525"/>
      <c r="AG506" s="525"/>
      <c r="AH506" s="525"/>
      <c r="AI506" s="525"/>
      <c r="AJ506" s="525"/>
      <c r="AK506" s="525"/>
      <c r="AL506" s="525"/>
      <c r="AM506" s="525"/>
      <c r="AN506" s="525"/>
      <c r="AO506" s="525"/>
      <c r="AP506" s="525"/>
      <c r="AQ506" s="525"/>
      <c r="AR506" s="525"/>
      <c r="AS506" s="525"/>
      <c r="AT506" s="525"/>
      <c r="AU506" s="525"/>
      <c r="AV506" s="525"/>
      <c r="AW506" s="525"/>
      <c r="AX506" s="525"/>
      <c r="AY506" s="525"/>
      <c r="AZ506" s="525"/>
      <c r="BA506" s="525"/>
      <c r="BB506" s="525"/>
      <c r="BC506" s="525"/>
      <c r="BD506" s="525"/>
      <c r="BE506" s="525"/>
      <c r="BF506" s="525"/>
      <c r="BG506" s="525"/>
      <c r="BH506" s="525"/>
      <c r="BI506" s="525"/>
      <c r="BJ506" s="525"/>
      <c r="BK506" s="525"/>
      <c r="BL506" s="525"/>
      <c r="BM506" s="525"/>
      <c r="BN506" s="525"/>
      <c r="BO506" s="525"/>
      <c r="BP506" s="525"/>
      <c r="BQ506" s="525"/>
      <c r="BR506" s="525"/>
      <c r="BS506" s="525"/>
      <c r="BT506" s="525"/>
      <c r="BU506" s="525"/>
      <c r="BV506" s="525"/>
      <c r="BW506" s="525"/>
      <c r="BX506" s="525"/>
      <c r="BY506" s="525"/>
      <c r="BZ506" s="537"/>
      <c r="CA506" s="537"/>
      <c r="CB506" s="554"/>
    </row>
    <row r="507" spans="1:80" x14ac:dyDescent="0.3">
      <c r="A507" s="648"/>
      <c r="B507" s="648" t="s">
        <v>48</v>
      </c>
      <c r="C507" s="648" cm="1">
        <f t="array" ref="C507">SUMPRODUCT((Index_Tab!$D$36:$D$45=$B507)*(Index_Tab!$E$35:$F$35=$B$3)*Index_Tab!$E$36:$F$45)</f>
        <v>3</v>
      </c>
      <c r="D507" s="648"/>
      <c r="E507" s="525" t="s">
        <v>373</v>
      </c>
      <c r="F507" s="567"/>
      <c r="G507" s="567"/>
      <c r="H507" s="529"/>
      <c r="I507" s="656">
        <v>21251.9154586968</v>
      </c>
      <c r="J507" s="657" cm="1">
        <f t="array" ref="J507">I507*(1+INDEX(('Detailed Assumptions'!$D$59:$J$79,'Detailed Assumptions'!$L$59:$R$79,'Detailed Assumptions'!$T$59:$Z$79,'Detailed Assumptions'!$AB$59:$AH$79),$C507,J$2,$C$506))</f>
        <v>21251.9154586968</v>
      </c>
      <c r="K507" s="657" cm="1">
        <f t="array" ref="K507">J507*(1+INDEX(('Detailed Assumptions'!$D$59:$J$79,'Detailed Assumptions'!$L$59:$R$79,'Detailed Assumptions'!$T$59:$Z$79,'Detailed Assumptions'!$AB$59:$AH$79),$C507,K$2,$C$506))</f>
        <v>21251.9154586968</v>
      </c>
      <c r="L507" s="657" cm="1">
        <f t="array" ref="L507">K507*(1+INDEX(('Detailed Assumptions'!$D$59:$J$79,'Detailed Assumptions'!$L$59:$R$79,'Detailed Assumptions'!$T$59:$Z$79,'Detailed Assumptions'!$AB$59:$AH$79),$C507,L$2,$C$506))</f>
        <v>21251.9154586968</v>
      </c>
      <c r="M507" s="657" cm="1">
        <f t="array" ref="M507">L507*(1+INDEX(('Detailed Assumptions'!$D$59:$J$79,'Detailed Assumptions'!$L$59:$R$79,'Detailed Assumptions'!$T$59:$Z$79,'Detailed Assumptions'!$AB$59:$AH$79),$C507,M$2,$C$506))</f>
        <v>21251.9154586968</v>
      </c>
      <c r="N507" s="657" cm="1">
        <f t="array" ref="N507">M507*(1+INDEX(('Detailed Assumptions'!$D$59:$J$79,'Detailed Assumptions'!$L$59:$R$79,'Detailed Assumptions'!$T$59:$Z$79,'Detailed Assumptions'!$AB$59:$AH$79),$C507,N$2,$C$506))</f>
        <v>21251.9154586968</v>
      </c>
      <c r="O507" s="574"/>
      <c r="P507" s="568">
        <f>IFERROR(((N507/I507)^(1/5))-1,0)</f>
        <v>0</v>
      </c>
      <c r="Q507" s="537"/>
      <c r="R507" s="543">
        <f t="shared" ref="R507:BY507" si="671">(INDEX($I507:$N507,MATCH(R$2,$I$3:$N$3,0)))/12</f>
        <v>1770.9929548913999</v>
      </c>
      <c r="S507" s="543">
        <f t="shared" si="671"/>
        <v>1770.9929548913999</v>
      </c>
      <c r="T507" s="543">
        <f t="shared" si="671"/>
        <v>1770.9929548913999</v>
      </c>
      <c r="U507" s="543">
        <f t="shared" si="671"/>
        <v>1770.9929548913999</v>
      </c>
      <c r="V507" s="543">
        <f t="shared" si="671"/>
        <v>1770.9929548913999</v>
      </c>
      <c r="W507" s="543">
        <f t="shared" si="671"/>
        <v>1770.9929548913999</v>
      </c>
      <c r="X507" s="543">
        <f t="shared" si="671"/>
        <v>1770.9929548913999</v>
      </c>
      <c r="Y507" s="543">
        <f t="shared" si="671"/>
        <v>1770.9929548913999</v>
      </c>
      <c r="Z507" s="543">
        <f t="shared" si="671"/>
        <v>1770.9929548913999</v>
      </c>
      <c r="AA507" s="543">
        <f t="shared" si="671"/>
        <v>1770.9929548913999</v>
      </c>
      <c r="AB507" s="543">
        <f t="shared" si="671"/>
        <v>1770.9929548913999</v>
      </c>
      <c r="AC507" s="543">
        <f t="shared" si="671"/>
        <v>1770.9929548913999</v>
      </c>
      <c r="AD507" s="543">
        <f t="shared" si="671"/>
        <v>1770.9929548913999</v>
      </c>
      <c r="AE507" s="543">
        <f t="shared" si="671"/>
        <v>1770.9929548913999</v>
      </c>
      <c r="AF507" s="543">
        <f t="shared" si="671"/>
        <v>1770.9929548913999</v>
      </c>
      <c r="AG507" s="543">
        <f t="shared" si="671"/>
        <v>1770.9929548913999</v>
      </c>
      <c r="AH507" s="543">
        <f t="shared" si="671"/>
        <v>1770.9929548913999</v>
      </c>
      <c r="AI507" s="543">
        <f t="shared" si="671"/>
        <v>1770.9929548913999</v>
      </c>
      <c r="AJ507" s="543">
        <f t="shared" si="671"/>
        <v>1770.9929548913999</v>
      </c>
      <c r="AK507" s="543">
        <f t="shared" si="671"/>
        <v>1770.9929548913999</v>
      </c>
      <c r="AL507" s="543">
        <f t="shared" si="671"/>
        <v>1770.9929548913999</v>
      </c>
      <c r="AM507" s="543">
        <f t="shared" si="671"/>
        <v>1770.9929548913999</v>
      </c>
      <c r="AN507" s="543">
        <f t="shared" si="671"/>
        <v>1770.9929548913999</v>
      </c>
      <c r="AO507" s="543">
        <f t="shared" si="671"/>
        <v>1770.9929548913999</v>
      </c>
      <c r="AP507" s="543">
        <f t="shared" si="671"/>
        <v>1770.9929548913999</v>
      </c>
      <c r="AQ507" s="543">
        <f t="shared" si="671"/>
        <v>1770.9929548913999</v>
      </c>
      <c r="AR507" s="543">
        <f t="shared" si="671"/>
        <v>1770.9929548913999</v>
      </c>
      <c r="AS507" s="543">
        <f t="shared" si="671"/>
        <v>1770.9929548913999</v>
      </c>
      <c r="AT507" s="543">
        <f t="shared" si="671"/>
        <v>1770.9929548913999</v>
      </c>
      <c r="AU507" s="543">
        <f t="shared" si="671"/>
        <v>1770.9929548913999</v>
      </c>
      <c r="AV507" s="543">
        <f t="shared" si="671"/>
        <v>1770.9929548913999</v>
      </c>
      <c r="AW507" s="543">
        <f t="shared" si="671"/>
        <v>1770.9929548913999</v>
      </c>
      <c r="AX507" s="543">
        <f t="shared" si="671"/>
        <v>1770.9929548913999</v>
      </c>
      <c r="AY507" s="543">
        <f t="shared" si="671"/>
        <v>1770.9929548913999</v>
      </c>
      <c r="AZ507" s="543">
        <f t="shared" si="671"/>
        <v>1770.9929548913999</v>
      </c>
      <c r="BA507" s="543">
        <f t="shared" si="671"/>
        <v>1770.9929548913999</v>
      </c>
      <c r="BB507" s="543">
        <f t="shared" si="671"/>
        <v>1770.9929548913999</v>
      </c>
      <c r="BC507" s="543">
        <f t="shared" si="671"/>
        <v>1770.9929548913999</v>
      </c>
      <c r="BD507" s="543">
        <f t="shared" si="671"/>
        <v>1770.9929548913999</v>
      </c>
      <c r="BE507" s="543">
        <f t="shared" si="671"/>
        <v>1770.9929548913999</v>
      </c>
      <c r="BF507" s="543">
        <f t="shared" si="671"/>
        <v>1770.9929548913999</v>
      </c>
      <c r="BG507" s="543">
        <f t="shared" si="671"/>
        <v>1770.9929548913999</v>
      </c>
      <c r="BH507" s="543">
        <f t="shared" si="671"/>
        <v>1770.9929548913999</v>
      </c>
      <c r="BI507" s="543">
        <f t="shared" si="671"/>
        <v>1770.9929548913999</v>
      </c>
      <c r="BJ507" s="543">
        <f t="shared" si="671"/>
        <v>1770.9929548913999</v>
      </c>
      <c r="BK507" s="543">
        <f t="shared" si="671"/>
        <v>1770.9929548913999</v>
      </c>
      <c r="BL507" s="543">
        <f t="shared" si="671"/>
        <v>1770.9929548913999</v>
      </c>
      <c r="BM507" s="543">
        <f t="shared" si="671"/>
        <v>1770.9929548913999</v>
      </c>
      <c r="BN507" s="543">
        <f t="shared" si="671"/>
        <v>1770.9929548913999</v>
      </c>
      <c r="BO507" s="543">
        <f t="shared" si="671"/>
        <v>1770.9929548913999</v>
      </c>
      <c r="BP507" s="543">
        <f t="shared" si="671"/>
        <v>1770.9929548913999</v>
      </c>
      <c r="BQ507" s="543">
        <f t="shared" si="671"/>
        <v>1770.9929548913999</v>
      </c>
      <c r="BR507" s="543">
        <f t="shared" si="671"/>
        <v>1770.9929548913999</v>
      </c>
      <c r="BS507" s="543">
        <f t="shared" si="671"/>
        <v>1770.9929548913999</v>
      </c>
      <c r="BT507" s="543">
        <f t="shared" si="671"/>
        <v>1770.9929548913999</v>
      </c>
      <c r="BU507" s="543">
        <f t="shared" si="671"/>
        <v>1770.9929548913999</v>
      </c>
      <c r="BV507" s="543">
        <f t="shared" si="671"/>
        <v>1770.9929548913999</v>
      </c>
      <c r="BW507" s="543">
        <f t="shared" si="671"/>
        <v>1770.9929548913999</v>
      </c>
      <c r="BX507" s="543">
        <f t="shared" si="671"/>
        <v>1770.9929548913999</v>
      </c>
      <c r="BY507" s="543">
        <f t="shared" si="671"/>
        <v>1770.9929548913999</v>
      </c>
      <c r="BZ507" s="537"/>
      <c r="CA507" s="537"/>
      <c r="CB507" s="529"/>
    </row>
    <row r="508" spans="1:80" x14ac:dyDescent="0.3">
      <c r="A508" s="648"/>
      <c r="B508" s="648"/>
      <c r="C508" s="648" cm="1">
        <f t="array" ref="C508">SUMPRODUCT((Index_Tab!$D$36:$D$45=$B508)*(Index_Tab!$E$35:$F$35=$B$3)*Index_Tab!$E$36:$F$45)</f>
        <v>0</v>
      </c>
      <c r="D508" s="648"/>
      <c r="E508" s="525"/>
      <c r="F508" s="567"/>
      <c r="G508" s="567"/>
      <c r="H508" s="529"/>
      <c r="I508" s="529"/>
      <c r="J508" s="529"/>
      <c r="K508" s="529"/>
      <c r="L508" s="529"/>
      <c r="M508" s="529"/>
      <c r="N508" s="529"/>
      <c r="O508" s="529"/>
      <c r="P508" s="562"/>
      <c r="Q508" s="529"/>
      <c r="R508" s="529"/>
      <c r="S508" s="529"/>
      <c r="T508" s="529"/>
      <c r="U508" s="529"/>
      <c r="V508" s="529"/>
      <c r="W508" s="529"/>
      <c r="X508" s="529"/>
      <c r="Y508" s="529"/>
      <c r="Z508" s="529"/>
      <c r="AA508" s="529"/>
      <c r="AB508" s="529"/>
      <c r="AC508" s="529"/>
      <c r="AD508" s="529"/>
      <c r="AE508" s="529"/>
      <c r="AF508" s="529"/>
      <c r="AG508" s="529"/>
      <c r="AH508" s="529"/>
      <c r="AI508" s="529"/>
      <c r="AJ508" s="529"/>
      <c r="AK508" s="529"/>
      <c r="AL508" s="529"/>
      <c r="AM508" s="529"/>
      <c r="AN508" s="529"/>
      <c r="AO508" s="529"/>
      <c r="AP508" s="529"/>
      <c r="AQ508" s="529"/>
      <c r="AR508" s="529"/>
      <c r="AS508" s="529"/>
      <c r="AT508" s="529"/>
      <c r="AU508" s="529"/>
      <c r="AV508" s="529"/>
      <c r="AW508" s="529"/>
      <c r="AX508" s="529"/>
      <c r="AY508" s="529"/>
      <c r="AZ508" s="529"/>
      <c r="BA508" s="529"/>
      <c r="BB508" s="529"/>
      <c r="BC508" s="529"/>
      <c r="BD508" s="529"/>
      <c r="BE508" s="529"/>
      <c r="BF508" s="529"/>
      <c r="BG508" s="529"/>
      <c r="BH508" s="529"/>
      <c r="BI508" s="529"/>
      <c r="BJ508" s="529"/>
      <c r="BK508" s="529"/>
      <c r="BL508" s="529"/>
      <c r="BM508" s="529"/>
      <c r="BN508" s="529"/>
      <c r="BO508" s="529"/>
      <c r="BP508" s="529"/>
      <c r="BQ508" s="529"/>
      <c r="BR508" s="529"/>
      <c r="BS508" s="529"/>
      <c r="BT508" s="529"/>
      <c r="BU508" s="529"/>
      <c r="BV508" s="529"/>
      <c r="BW508" s="529"/>
      <c r="BX508" s="529"/>
      <c r="BY508" s="529"/>
      <c r="BZ508" s="537"/>
      <c r="CA508" s="537"/>
      <c r="CB508" s="529"/>
    </row>
    <row r="509" spans="1:80" x14ac:dyDescent="0.3">
      <c r="A509" s="648"/>
      <c r="B509" s="648" t="s">
        <v>238</v>
      </c>
      <c r="C509" s="648" cm="1">
        <f t="array" ref="C509">SUMPRODUCT((Index_Tab!$D$36:$D$45=$B509)*(Index_Tab!$E$35:$F$35=$B$3)*Index_Tab!$E$36:$F$45)</f>
        <v>5</v>
      </c>
      <c r="D509" s="648"/>
      <c r="E509" s="525" t="s">
        <v>117</v>
      </c>
      <c r="F509" s="529"/>
      <c r="G509" s="529"/>
      <c r="H509" s="529"/>
      <c r="I509" s="527">
        <f>IFERROR(I512/I507,0)</f>
        <v>780.1984129318372</v>
      </c>
      <c r="J509" s="657" cm="1">
        <f t="array" ref="J509">(I509-'Detailed Assumptions'!$E$29)*(1+INDEX(('Detailed Assumptions'!$D$59:$J$79,'Detailed Assumptions'!$L$59:$R$79,'Detailed Assumptions'!$T$59:$Z$79,'Detailed Assumptions'!$AB$59:$AH$79),$C509,J$2,$C$506))+'Detailed Assumptions'!$E$29</f>
        <v>809.47034443824316</v>
      </c>
      <c r="K509" s="657" cm="1">
        <f t="array" ref="K509">(J509-'Detailed Assumptions'!$E$29)*(1+INDEX(('Detailed Assumptions'!$D$59:$J$79,'Detailed Assumptions'!$L$59:$R$79,'Detailed Assumptions'!$T$59:$Z$79,'Detailed Assumptions'!$AB$59:$AH$79),$C509,K$2,$C$506))+'Detailed Assumptions'!$E$29</f>
        <v>839.02108575804243</v>
      </c>
      <c r="L509" s="657" cm="1">
        <f t="array" ref="L509">(K509-'Detailed Assumptions'!$E$29)*(1+INDEX(('Detailed Assumptions'!$D$59:$J$79,'Detailed Assumptions'!$L$59:$R$79,'Detailed Assumptions'!$T$59:$Z$79,'Detailed Assumptions'!$AB$59:$AH$79),$C509,L$2,$C$506))+'Detailed Assumptions'!$E$29</f>
        <v>868.61657508495978</v>
      </c>
      <c r="M509" s="657" cm="1">
        <f t="array" ref="M509">(L509-'Detailed Assumptions'!$E$29)*(1+INDEX(('Detailed Assumptions'!$D$59:$J$79,'Detailed Assumptions'!$L$59:$R$79,'Detailed Assumptions'!$T$59:$Z$79,'Detailed Assumptions'!$AB$59:$AH$79),$C509,M$2,$C$506))+'Detailed Assumptions'!$E$29</f>
        <v>898.0627728054817</v>
      </c>
      <c r="N509" s="657" cm="1">
        <f t="array" ref="N509">(M509-'Detailed Assumptions'!$E$29)*(1+INDEX(('Detailed Assumptions'!$D$59:$J$79,'Detailed Assumptions'!$L$59:$R$79,'Detailed Assumptions'!$T$59:$Z$79,'Detailed Assumptions'!$AB$59:$AH$79),$C509,N$2,$C$506))+'Detailed Assumptions'!$E$29</f>
        <v>928.52165785203761</v>
      </c>
      <c r="O509" s="529"/>
      <c r="P509" s="568">
        <f>IFERROR(((N509/I509)^(1/5))-1,0)</f>
        <v>3.5422016117806487E-2</v>
      </c>
      <c r="Q509" s="529"/>
      <c r="R509" s="527">
        <f>(INDEX($I509:$N509,MATCH(R$2,$I$3:$N$3,0)))</f>
        <v>809.47034443824316</v>
      </c>
      <c r="S509" s="527">
        <f t="shared" ref="S509:BY509" si="672">(INDEX($I509:$N509,MATCH(S$2,$I$3:$N$3,0)))</f>
        <v>809.47034443824316</v>
      </c>
      <c r="T509" s="527">
        <f t="shared" si="672"/>
        <v>809.47034443824316</v>
      </c>
      <c r="U509" s="527">
        <f t="shared" si="672"/>
        <v>809.47034443824316</v>
      </c>
      <c r="V509" s="527">
        <f t="shared" si="672"/>
        <v>809.47034443824316</v>
      </c>
      <c r="W509" s="527">
        <f t="shared" si="672"/>
        <v>809.47034443824316</v>
      </c>
      <c r="X509" s="527">
        <f t="shared" si="672"/>
        <v>809.47034443824316</v>
      </c>
      <c r="Y509" s="527">
        <f t="shared" si="672"/>
        <v>809.47034443824316</v>
      </c>
      <c r="Z509" s="527">
        <f t="shared" si="672"/>
        <v>809.47034443824316</v>
      </c>
      <c r="AA509" s="527">
        <f t="shared" si="672"/>
        <v>809.47034443824316</v>
      </c>
      <c r="AB509" s="527">
        <f t="shared" si="672"/>
        <v>809.47034443824316</v>
      </c>
      <c r="AC509" s="527">
        <f t="shared" si="672"/>
        <v>809.47034443824316</v>
      </c>
      <c r="AD509" s="527">
        <f t="shared" si="672"/>
        <v>839.02108575804243</v>
      </c>
      <c r="AE509" s="527">
        <f t="shared" si="672"/>
        <v>839.02108575804243</v>
      </c>
      <c r="AF509" s="527">
        <f t="shared" si="672"/>
        <v>839.02108575804243</v>
      </c>
      <c r="AG509" s="527">
        <f t="shared" si="672"/>
        <v>839.02108575804243</v>
      </c>
      <c r="AH509" s="527">
        <f t="shared" si="672"/>
        <v>839.02108575804243</v>
      </c>
      <c r="AI509" s="527">
        <f t="shared" si="672"/>
        <v>839.02108575804243</v>
      </c>
      <c r="AJ509" s="527">
        <f t="shared" si="672"/>
        <v>839.02108575804243</v>
      </c>
      <c r="AK509" s="527">
        <f t="shared" si="672"/>
        <v>839.02108575804243</v>
      </c>
      <c r="AL509" s="527">
        <f t="shared" si="672"/>
        <v>839.02108575804243</v>
      </c>
      <c r="AM509" s="527">
        <f t="shared" si="672"/>
        <v>839.02108575804243</v>
      </c>
      <c r="AN509" s="527">
        <f t="shared" si="672"/>
        <v>839.02108575804243</v>
      </c>
      <c r="AO509" s="527">
        <f t="shared" si="672"/>
        <v>839.02108575804243</v>
      </c>
      <c r="AP509" s="527">
        <f t="shared" si="672"/>
        <v>868.61657508495978</v>
      </c>
      <c r="AQ509" s="527">
        <f t="shared" si="672"/>
        <v>868.61657508495978</v>
      </c>
      <c r="AR509" s="527">
        <f t="shared" si="672"/>
        <v>868.61657508495978</v>
      </c>
      <c r="AS509" s="527">
        <f t="shared" si="672"/>
        <v>868.61657508495978</v>
      </c>
      <c r="AT509" s="527">
        <f t="shared" si="672"/>
        <v>868.61657508495978</v>
      </c>
      <c r="AU509" s="527">
        <f t="shared" si="672"/>
        <v>868.61657508495978</v>
      </c>
      <c r="AV509" s="527">
        <f t="shared" si="672"/>
        <v>868.61657508495978</v>
      </c>
      <c r="AW509" s="527">
        <f t="shared" si="672"/>
        <v>868.61657508495978</v>
      </c>
      <c r="AX509" s="527">
        <f t="shared" si="672"/>
        <v>868.61657508495978</v>
      </c>
      <c r="AY509" s="527">
        <f t="shared" si="672"/>
        <v>868.61657508495978</v>
      </c>
      <c r="AZ509" s="527">
        <f t="shared" si="672"/>
        <v>868.61657508495978</v>
      </c>
      <c r="BA509" s="527">
        <f t="shared" si="672"/>
        <v>868.61657508495978</v>
      </c>
      <c r="BB509" s="527">
        <f t="shared" si="672"/>
        <v>898.0627728054817</v>
      </c>
      <c r="BC509" s="527">
        <f t="shared" si="672"/>
        <v>898.0627728054817</v>
      </c>
      <c r="BD509" s="527">
        <f t="shared" si="672"/>
        <v>898.0627728054817</v>
      </c>
      <c r="BE509" s="527">
        <f t="shared" si="672"/>
        <v>898.0627728054817</v>
      </c>
      <c r="BF509" s="527">
        <f t="shared" si="672"/>
        <v>898.0627728054817</v>
      </c>
      <c r="BG509" s="527">
        <f t="shared" si="672"/>
        <v>898.0627728054817</v>
      </c>
      <c r="BH509" s="527">
        <f t="shared" si="672"/>
        <v>898.0627728054817</v>
      </c>
      <c r="BI509" s="527">
        <f t="shared" si="672"/>
        <v>898.0627728054817</v>
      </c>
      <c r="BJ509" s="527">
        <f t="shared" si="672"/>
        <v>898.0627728054817</v>
      </c>
      <c r="BK509" s="527">
        <f t="shared" si="672"/>
        <v>898.0627728054817</v>
      </c>
      <c r="BL509" s="527">
        <f t="shared" si="672"/>
        <v>898.0627728054817</v>
      </c>
      <c r="BM509" s="527">
        <f t="shared" si="672"/>
        <v>898.0627728054817</v>
      </c>
      <c r="BN509" s="527">
        <f t="shared" si="672"/>
        <v>928.52165785203761</v>
      </c>
      <c r="BO509" s="527">
        <f t="shared" si="672"/>
        <v>928.52165785203761</v>
      </c>
      <c r="BP509" s="527">
        <f t="shared" si="672"/>
        <v>928.52165785203761</v>
      </c>
      <c r="BQ509" s="527">
        <f t="shared" si="672"/>
        <v>928.52165785203761</v>
      </c>
      <c r="BR509" s="527">
        <f t="shared" si="672"/>
        <v>928.52165785203761</v>
      </c>
      <c r="BS509" s="527">
        <f t="shared" si="672"/>
        <v>928.52165785203761</v>
      </c>
      <c r="BT509" s="527">
        <f t="shared" si="672"/>
        <v>928.52165785203761</v>
      </c>
      <c r="BU509" s="527">
        <f t="shared" si="672"/>
        <v>928.52165785203761</v>
      </c>
      <c r="BV509" s="527">
        <f t="shared" si="672"/>
        <v>928.52165785203761</v>
      </c>
      <c r="BW509" s="527">
        <f t="shared" si="672"/>
        <v>928.52165785203761</v>
      </c>
      <c r="BX509" s="527">
        <f t="shared" si="672"/>
        <v>928.52165785203761</v>
      </c>
      <c r="BY509" s="527">
        <f t="shared" si="672"/>
        <v>928.52165785203761</v>
      </c>
      <c r="BZ509" s="537"/>
      <c r="CA509" s="537"/>
      <c r="CB509" s="529"/>
    </row>
    <row r="510" spans="1:80" x14ac:dyDescent="0.3">
      <c r="A510" s="648"/>
      <c r="B510" s="648"/>
      <c r="C510" s="648" cm="1">
        <f t="array" ref="C510">SUMPRODUCT((Index_Tab!$D$36:$D$45=$B510)*(Index_Tab!$E$35:$F$35=$B$3)*Index_Tab!$E$36:$F$45)</f>
        <v>0</v>
      </c>
      <c r="D510" s="648"/>
      <c r="E510" s="525"/>
      <c r="F510" s="529"/>
      <c r="G510" s="529"/>
      <c r="H510" s="529"/>
      <c r="I510" s="529"/>
      <c r="J510" s="529"/>
      <c r="K510" s="529"/>
      <c r="L510" s="529"/>
      <c r="M510" s="529"/>
      <c r="N510" s="529"/>
      <c r="O510" s="529"/>
      <c r="P510" s="562"/>
      <c r="Q510" s="529"/>
      <c r="R510" s="529"/>
      <c r="S510" s="529"/>
      <c r="T510" s="529"/>
      <c r="U510" s="529"/>
      <c r="V510" s="529"/>
      <c r="W510" s="529"/>
      <c r="X510" s="529"/>
      <c r="Y510" s="529"/>
      <c r="Z510" s="529"/>
      <c r="AA510" s="529"/>
      <c r="AB510" s="529"/>
      <c r="AC510" s="529"/>
      <c r="AD510" s="529"/>
      <c r="AE510" s="529"/>
      <c r="AF510" s="529"/>
      <c r="AG510" s="529"/>
      <c r="AH510" s="529"/>
      <c r="AI510" s="529"/>
      <c r="AJ510" s="529"/>
      <c r="AK510" s="529"/>
      <c r="AL510" s="529"/>
      <c r="AM510" s="529"/>
      <c r="AN510" s="529"/>
      <c r="AO510" s="529"/>
      <c r="AP510" s="529"/>
      <c r="AQ510" s="529"/>
      <c r="AR510" s="529"/>
      <c r="AS510" s="529"/>
      <c r="AT510" s="529"/>
      <c r="AU510" s="529"/>
      <c r="AV510" s="529"/>
      <c r="AW510" s="529"/>
      <c r="AX510" s="529"/>
      <c r="AY510" s="529"/>
      <c r="AZ510" s="529"/>
      <c r="BA510" s="529"/>
      <c r="BB510" s="529"/>
      <c r="BC510" s="529"/>
      <c r="BD510" s="529"/>
      <c r="BE510" s="529"/>
      <c r="BF510" s="529"/>
      <c r="BG510" s="529"/>
      <c r="BH510" s="529"/>
      <c r="BI510" s="529"/>
      <c r="BJ510" s="529"/>
      <c r="BK510" s="529"/>
      <c r="BL510" s="529"/>
      <c r="BM510" s="529"/>
      <c r="BN510" s="529"/>
      <c r="BO510" s="529"/>
      <c r="BP510" s="529"/>
      <c r="BQ510" s="529"/>
      <c r="BR510" s="529"/>
      <c r="BS510" s="529"/>
      <c r="BT510" s="529"/>
      <c r="BU510" s="529"/>
      <c r="BV510" s="529"/>
      <c r="BW510" s="529"/>
      <c r="BX510" s="529"/>
      <c r="BY510" s="529"/>
      <c r="BZ510" s="537"/>
      <c r="CA510" s="537"/>
      <c r="CB510" s="529"/>
    </row>
    <row r="511" spans="1:80" x14ac:dyDescent="0.3">
      <c r="A511" s="648"/>
      <c r="B511" s="648"/>
      <c r="C511" s="648" cm="1">
        <f t="array" ref="C511">SUMPRODUCT((Index_Tab!$D$36:$D$45=$B511)*(Index_Tab!$E$35:$F$35=$B$3)*Index_Tab!$E$36:$F$45)</f>
        <v>0</v>
      </c>
      <c r="D511" s="648"/>
      <c r="E511" s="570" t="s">
        <v>22</v>
      </c>
      <c r="F511" s="529"/>
      <c r="G511" s="529"/>
      <c r="H511" s="529"/>
      <c r="I511" s="529"/>
      <c r="J511" s="576"/>
      <c r="K511" s="529"/>
      <c r="L511" s="529"/>
      <c r="M511" s="529"/>
      <c r="N511" s="529"/>
      <c r="O511" s="529"/>
      <c r="P511" s="562"/>
      <c r="Q511" s="529"/>
      <c r="R511" s="529"/>
      <c r="S511" s="529"/>
      <c r="T511" s="529"/>
      <c r="U511" s="529"/>
      <c r="V511" s="529"/>
      <c r="W511" s="529"/>
      <c r="X511" s="529"/>
      <c r="Y511" s="529"/>
      <c r="Z511" s="529"/>
      <c r="AA511" s="529"/>
      <c r="AB511" s="529"/>
      <c r="AC511" s="529"/>
      <c r="AD511" s="529"/>
      <c r="AE511" s="529"/>
      <c r="AF511" s="529"/>
      <c r="AG511" s="529"/>
      <c r="AH511" s="529"/>
      <c r="AI511" s="529"/>
      <c r="AJ511" s="529"/>
      <c r="AK511" s="529"/>
      <c r="AL511" s="529"/>
      <c r="AM511" s="529"/>
      <c r="AN511" s="529"/>
      <c r="AO511" s="529"/>
      <c r="AP511" s="529"/>
      <c r="AQ511" s="529"/>
      <c r="AR511" s="529"/>
      <c r="AS511" s="529"/>
      <c r="AT511" s="529"/>
      <c r="AU511" s="529"/>
      <c r="AV511" s="529"/>
      <c r="AW511" s="529"/>
      <c r="AX511" s="529"/>
      <c r="AY511" s="529"/>
      <c r="AZ511" s="529"/>
      <c r="BA511" s="529"/>
      <c r="BB511" s="529"/>
      <c r="BC511" s="529"/>
      <c r="BD511" s="529"/>
      <c r="BE511" s="529"/>
      <c r="BF511" s="529"/>
      <c r="BG511" s="529"/>
      <c r="BH511" s="529"/>
      <c r="BI511" s="529"/>
      <c r="BJ511" s="529"/>
      <c r="BK511" s="529"/>
      <c r="BL511" s="529"/>
      <c r="BM511" s="529"/>
      <c r="BN511" s="529"/>
      <c r="BO511" s="529"/>
      <c r="BP511" s="529"/>
      <c r="BQ511" s="529"/>
      <c r="BR511" s="529"/>
      <c r="BS511" s="529"/>
      <c r="BT511" s="529"/>
      <c r="BU511" s="529"/>
      <c r="BV511" s="529"/>
      <c r="BW511" s="529"/>
      <c r="BX511" s="529"/>
      <c r="BY511" s="529"/>
      <c r="BZ511" s="537"/>
      <c r="CA511" s="537"/>
      <c r="CB511" s="529"/>
    </row>
    <row r="512" spans="1:80" x14ac:dyDescent="0.3">
      <c r="A512" s="648"/>
      <c r="B512" s="648" t="s">
        <v>0</v>
      </c>
      <c r="C512" s="648" cm="1">
        <f t="array" ref="C512">SUMPRODUCT((Index_Tab!$D$36:$D$45=$B512)*(Index_Tab!$E$35:$F$35=$B$3)*Index_Tab!$E$36:$F$45)</f>
        <v>0</v>
      </c>
      <c r="D512" s="648"/>
      <c r="E512" s="572" t="s">
        <v>388</v>
      </c>
      <c r="F512" s="573"/>
      <c r="G512" s="573"/>
      <c r="H512" s="529"/>
      <c r="I512" s="658">
        <v>16580710.712636819</v>
      </c>
      <c r="J512" s="530">
        <f>J507*J509</f>
        <v>17202795.326323722</v>
      </c>
      <c r="K512" s="530">
        <f>K507*K509</f>
        <v>17830805.182593916</v>
      </c>
      <c r="L512" s="530">
        <f>L507*L509</f>
        <v>18459766.019728325</v>
      </c>
      <c r="M512" s="530">
        <f>M507*M509</f>
        <v>19085554.124264929</v>
      </c>
      <c r="N512" s="530">
        <f>N507*N509</f>
        <v>19732863.774240497</v>
      </c>
      <c r="O512" s="536"/>
      <c r="P512" s="568">
        <f>IFERROR(((N512/I512)^(1/5))-1,0)</f>
        <v>3.5422016117806487E-2</v>
      </c>
      <c r="Q512" s="529"/>
      <c r="R512" s="530">
        <f>R507*R509</f>
        <v>1433566.2771936436</v>
      </c>
      <c r="S512" s="530">
        <f t="shared" ref="S512:BY512" si="673">S507*S509</f>
        <v>1433566.2771936436</v>
      </c>
      <c r="T512" s="530">
        <f t="shared" si="673"/>
        <v>1433566.2771936436</v>
      </c>
      <c r="U512" s="530">
        <f t="shared" si="673"/>
        <v>1433566.2771936436</v>
      </c>
      <c r="V512" s="530">
        <f t="shared" si="673"/>
        <v>1433566.2771936436</v>
      </c>
      <c r="W512" s="530">
        <f t="shared" si="673"/>
        <v>1433566.2771936436</v>
      </c>
      <c r="X512" s="530">
        <f t="shared" si="673"/>
        <v>1433566.2771936436</v>
      </c>
      <c r="Y512" s="530">
        <f t="shared" si="673"/>
        <v>1433566.2771936436</v>
      </c>
      <c r="Z512" s="530">
        <f t="shared" si="673"/>
        <v>1433566.2771936436</v>
      </c>
      <c r="AA512" s="530">
        <f t="shared" si="673"/>
        <v>1433566.2771936436</v>
      </c>
      <c r="AB512" s="530">
        <f t="shared" si="673"/>
        <v>1433566.2771936436</v>
      </c>
      <c r="AC512" s="530">
        <f t="shared" si="673"/>
        <v>1433566.2771936436</v>
      </c>
      <c r="AD512" s="530">
        <f t="shared" si="673"/>
        <v>1485900.4318828261</v>
      </c>
      <c r="AE512" s="530">
        <f t="shared" si="673"/>
        <v>1485900.4318828261</v>
      </c>
      <c r="AF512" s="530">
        <f t="shared" si="673"/>
        <v>1485900.4318828261</v>
      </c>
      <c r="AG512" s="530">
        <f t="shared" si="673"/>
        <v>1485900.4318828261</v>
      </c>
      <c r="AH512" s="530">
        <f t="shared" si="673"/>
        <v>1485900.4318828261</v>
      </c>
      <c r="AI512" s="530">
        <f t="shared" si="673"/>
        <v>1485900.4318828261</v>
      </c>
      <c r="AJ512" s="530">
        <f t="shared" si="673"/>
        <v>1485900.4318828261</v>
      </c>
      <c r="AK512" s="530">
        <f t="shared" si="673"/>
        <v>1485900.4318828261</v>
      </c>
      <c r="AL512" s="530">
        <f t="shared" si="673"/>
        <v>1485900.4318828261</v>
      </c>
      <c r="AM512" s="530">
        <f t="shared" si="673"/>
        <v>1485900.4318828261</v>
      </c>
      <c r="AN512" s="530">
        <f t="shared" si="673"/>
        <v>1485900.4318828261</v>
      </c>
      <c r="AO512" s="530">
        <f t="shared" si="673"/>
        <v>1485900.4318828261</v>
      </c>
      <c r="AP512" s="530">
        <f t="shared" si="673"/>
        <v>1538313.8349773604</v>
      </c>
      <c r="AQ512" s="530">
        <f t="shared" si="673"/>
        <v>1538313.8349773604</v>
      </c>
      <c r="AR512" s="530">
        <f t="shared" si="673"/>
        <v>1538313.8349773604</v>
      </c>
      <c r="AS512" s="530">
        <f t="shared" si="673"/>
        <v>1538313.8349773604</v>
      </c>
      <c r="AT512" s="530">
        <f t="shared" si="673"/>
        <v>1538313.8349773604</v>
      </c>
      <c r="AU512" s="530">
        <f t="shared" si="673"/>
        <v>1538313.8349773604</v>
      </c>
      <c r="AV512" s="530">
        <f t="shared" si="673"/>
        <v>1538313.8349773604</v>
      </c>
      <c r="AW512" s="530">
        <f t="shared" si="673"/>
        <v>1538313.8349773604</v>
      </c>
      <c r="AX512" s="530">
        <f t="shared" si="673"/>
        <v>1538313.8349773604</v>
      </c>
      <c r="AY512" s="530">
        <f t="shared" si="673"/>
        <v>1538313.8349773604</v>
      </c>
      <c r="AZ512" s="530">
        <f t="shared" si="673"/>
        <v>1538313.8349773604</v>
      </c>
      <c r="BA512" s="530">
        <f t="shared" si="673"/>
        <v>1538313.8349773604</v>
      </c>
      <c r="BB512" s="530">
        <f t="shared" si="673"/>
        <v>1590462.8436887439</v>
      </c>
      <c r="BC512" s="530">
        <f t="shared" si="673"/>
        <v>1590462.8436887439</v>
      </c>
      <c r="BD512" s="530">
        <f t="shared" si="673"/>
        <v>1590462.8436887439</v>
      </c>
      <c r="BE512" s="530">
        <f t="shared" si="673"/>
        <v>1590462.8436887439</v>
      </c>
      <c r="BF512" s="530">
        <f t="shared" si="673"/>
        <v>1590462.8436887439</v>
      </c>
      <c r="BG512" s="530">
        <f t="shared" si="673"/>
        <v>1590462.8436887439</v>
      </c>
      <c r="BH512" s="530">
        <f t="shared" si="673"/>
        <v>1590462.8436887439</v>
      </c>
      <c r="BI512" s="530">
        <f t="shared" si="673"/>
        <v>1590462.8436887439</v>
      </c>
      <c r="BJ512" s="530">
        <f t="shared" si="673"/>
        <v>1590462.8436887439</v>
      </c>
      <c r="BK512" s="530">
        <f t="shared" si="673"/>
        <v>1590462.8436887439</v>
      </c>
      <c r="BL512" s="530">
        <f t="shared" si="673"/>
        <v>1590462.8436887439</v>
      </c>
      <c r="BM512" s="530">
        <f t="shared" si="673"/>
        <v>1590462.8436887439</v>
      </c>
      <c r="BN512" s="530">
        <f t="shared" si="673"/>
        <v>1644405.3145200415</v>
      </c>
      <c r="BO512" s="530">
        <f t="shared" si="673"/>
        <v>1644405.3145200415</v>
      </c>
      <c r="BP512" s="530">
        <f t="shared" si="673"/>
        <v>1644405.3145200415</v>
      </c>
      <c r="BQ512" s="530">
        <f t="shared" si="673"/>
        <v>1644405.3145200415</v>
      </c>
      <c r="BR512" s="530">
        <f t="shared" si="673"/>
        <v>1644405.3145200415</v>
      </c>
      <c r="BS512" s="530">
        <f t="shared" si="673"/>
        <v>1644405.3145200415</v>
      </c>
      <c r="BT512" s="530">
        <f t="shared" si="673"/>
        <v>1644405.3145200415</v>
      </c>
      <c r="BU512" s="530">
        <f t="shared" si="673"/>
        <v>1644405.3145200415</v>
      </c>
      <c r="BV512" s="530">
        <f t="shared" si="673"/>
        <v>1644405.3145200415</v>
      </c>
      <c r="BW512" s="530">
        <f t="shared" si="673"/>
        <v>1644405.3145200415</v>
      </c>
      <c r="BX512" s="530">
        <f t="shared" si="673"/>
        <v>1644405.3145200415</v>
      </c>
      <c r="BY512" s="530">
        <f t="shared" si="673"/>
        <v>1644405.3145200415</v>
      </c>
      <c r="BZ512" s="537"/>
      <c r="CA512" s="537"/>
      <c r="CB512" s="529"/>
    </row>
    <row r="513" spans="1:80" x14ac:dyDescent="0.3">
      <c r="A513" s="648"/>
      <c r="B513" s="648" t="s">
        <v>1</v>
      </c>
      <c r="C513" s="648" cm="1">
        <f t="array" ref="C513">SUMPRODUCT((Index_Tab!$D$36:$D$45=$B513)*(Index_Tab!$E$35:$F$35=$B$3)*Index_Tab!$E$36:$F$45)</f>
        <v>7</v>
      </c>
      <c r="D513" s="648"/>
      <c r="E513" s="525" t="s">
        <v>387</v>
      </c>
      <c r="F513" s="567"/>
      <c r="G513" s="567"/>
      <c r="H513" s="529"/>
      <c r="I513" s="544">
        <v>-5265945.8194530001</v>
      </c>
      <c r="J513" s="657" cm="1">
        <f t="array" ref="J513">((((I513/I$507+'Detailed Assumptions'!$E$29)*(1+INDEX(('Detailed Assumptions'!$D$59:$J$79,'Detailed Assumptions'!$L$59:$R$79,'Detailed Assumptions'!$T$59:$Z$79,'Detailed Assumptions'!$AB$59:$AH$79),$C513,J$2,$C$506))))-'Detailed Assumptions'!$E$29)*J$507</f>
        <v>-5318134.9471953185</v>
      </c>
      <c r="K513" s="657" cm="1">
        <f t="array" ref="K513">((((J513/J$507+'Detailed Assumptions'!$E$29)*(1+INDEX(('Detailed Assumptions'!$D$59:$J$79,'Detailed Assumptions'!$L$59:$R$79,'Detailed Assumptions'!$T$59:$Z$79,'Detailed Assumptions'!$AB$59:$AH$79),$C513,K$2,$C$506))))-'Detailed Assumptions'!$E$29)*K$507</f>
        <v>-5371367.8574924832</v>
      </c>
      <c r="L513" s="657" cm="1">
        <f t="array" ref="L513">((((K513/K$507+'Detailed Assumptions'!$E$29)*(1+INDEX(('Detailed Assumptions'!$D$59:$J$79,'Detailed Assumptions'!$L$59:$R$79,'Detailed Assumptions'!$T$59:$Z$79,'Detailed Assumptions'!$AB$59:$AH$79),$C513,L$2,$C$506))))-'Detailed Assumptions'!$E$29)*L$507</f>
        <v>-5425665.4259955911</v>
      </c>
      <c r="M513" s="657" cm="1">
        <f t="array" ref="M513">((((L513/L$507+'Detailed Assumptions'!$E$29)*(1+INDEX(('Detailed Assumptions'!$D$59:$J$79,'Detailed Assumptions'!$L$59:$R$79,'Detailed Assumptions'!$T$59:$Z$79,'Detailed Assumptions'!$AB$59:$AH$79),$C513,M$2,$C$506))))-'Detailed Assumptions'!$E$29)*M$507</f>
        <v>-5481048.9458687603</v>
      </c>
      <c r="N513" s="657" cm="1">
        <f t="array" ref="N513">((((M513/M$507+'Detailed Assumptions'!$E$29)*(1+INDEX(('Detailed Assumptions'!$D$59:$J$79,'Detailed Assumptions'!$L$59:$R$79,'Detailed Assumptions'!$T$59:$Z$79,'Detailed Assumptions'!$AB$59:$AH$79),$C513,N$2,$C$506))))-'Detailed Assumptions'!$E$29)*N$507</f>
        <v>-5537540.1361393938</v>
      </c>
      <c r="O513" s="529"/>
      <c r="P513" s="564">
        <f t="shared" ref="P513:P518" si="674">IFERROR(((N513/I513)^(1/5))-1,0)</f>
        <v>1.0108673133226498E-2</v>
      </c>
      <c r="Q513" s="529"/>
      <c r="R513" s="527">
        <f t="shared" ref="R513:AG514" si="675">(INDEX($I513:$N513,MATCH(R$2,$I$3:$N$3,0)))/12</f>
        <v>-443177.91226627654</v>
      </c>
      <c r="S513" s="527">
        <f t="shared" si="675"/>
        <v>-443177.91226627654</v>
      </c>
      <c r="T513" s="527">
        <f t="shared" si="675"/>
        <v>-443177.91226627654</v>
      </c>
      <c r="U513" s="527">
        <f t="shared" si="675"/>
        <v>-443177.91226627654</v>
      </c>
      <c r="V513" s="527">
        <f t="shared" si="675"/>
        <v>-443177.91226627654</v>
      </c>
      <c r="W513" s="527">
        <f t="shared" si="675"/>
        <v>-443177.91226627654</v>
      </c>
      <c r="X513" s="527">
        <f t="shared" si="675"/>
        <v>-443177.91226627654</v>
      </c>
      <c r="Y513" s="527">
        <f t="shared" si="675"/>
        <v>-443177.91226627654</v>
      </c>
      <c r="Z513" s="527">
        <f t="shared" si="675"/>
        <v>-443177.91226627654</v>
      </c>
      <c r="AA513" s="527">
        <f t="shared" si="675"/>
        <v>-443177.91226627654</v>
      </c>
      <c r="AB513" s="527">
        <f t="shared" si="675"/>
        <v>-443177.91226627654</v>
      </c>
      <c r="AC513" s="527">
        <f t="shared" si="675"/>
        <v>-443177.91226627654</v>
      </c>
      <c r="AD513" s="527">
        <f t="shared" si="675"/>
        <v>-447613.9881243736</v>
      </c>
      <c r="AE513" s="527">
        <f t="shared" si="675"/>
        <v>-447613.9881243736</v>
      </c>
      <c r="AF513" s="527">
        <f t="shared" si="675"/>
        <v>-447613.9881243736</v>
      </c>
      <c r="AG513" s="527">
        <f t="shared" si="675"/>
        <v>-447613.9881243736</v>
      </c>
      <c r="AH513" s="527">
        <f t="shared" ref="AH513:AW514" si="676">(INDEX($I513:$N513,MATCH(AH$2,$I$3:$N$3,0)))/12</f>
        <v>-447613.9881243736</v>
      </c>
      <c r="AI513" s="527">
        <f t="shared" si="676"/>
        <v>-447613.9881243736</v>
      </c>
      <c r="AJ513" s="527">
        <f t="shared" si="676"/>
        <v>-447613.9881243736</v>
      </c>
      <c r="AK513" s="527">
        <f t="shared" si="676"/>
        <v>-447613.9881243736</v>
      </c>
      <c r="AL513" s="527">
        <f t="shared" si="676"/>
        <v>-447613.9881243736</v>
      </c>
      <c r="AM513" s="527">
        <f t="shared" si="676"/>
        <v>-447613.9881243736</v>
      </c>
      <c r="AN513" s="527">
        <f t="shared" si="676"/>
        <v>-447613.9881243736</v>
      </c>
      <c r="AO513" s="527">
        <f t="shared" si="676"/>
        <v>-447613.9881243736</v>
      </c>
      <c r="AP513" s="527">
        <f t="shared" si="676"/>
        <v>-452138.78549963259</v>
      </c>
      <c r="AQ513" s="527">
        <f t="shared" si="676"/>
        <v>-452138.78549963259</v>
      </c>
      <c r="AR513" s="527">
        <f t="shared" si="676"/>
        <v>-452138.78549963259</v>
      </c>
      <c r="AS513" s="527">
        <f t="shared" si="676"/>
        <v>-452138.78549963259</v>
      </c>
      <c r="AT513" s="527">
        <f t="shared" si="676"/>
        <v>-452138.78549963259</v>
      </c>
      <c r="AU513" s="527">
        <f t="shared" si="676"/>
        <v>-452138.78549963259</v>
      </c>
      <c r="AV513" s="527">
        <f t="shared" si="676"/>
        <v>-452138.78549963259</v>
      </c>
      <c r="AW513" s="527">
        <f t="shared" si="676"/>
        <v>-452138.78549963259</v>
      </c>
      <c r="AX513" s="527">
        <f t="shared" ref="AX513:BM514" si="677">(INDEX($I513:$N513,MATCH(AX$2,$I$3:$N$3,0)))/12</f>
        <v>-452138.78549963259</v>
      </c>
      <c r="AY513" s="527">
        <f t="shared" si="677"/>
        <v>-452138.78549963259</v>
      </c>
      <c r="AZ513" s="527">
        <f t="shared" si="677"/>
        <v>-452138.78549963259</v>
      </c>
      <c r="BA513" s="527">
        <f t="shared" si="677"/>
        <v>-452138.78549963259</v>
      </c>
      <c r="BB513" s="527">
        <f t="shared" si="677"/>
        <v>-456754.0788223967</v>
      </c>
      <c r="BC513" s="527">
        <f t="shared" si="677"/>
        <v>-456754.0788223967</v>
      </c>
      <c r="BD513" s="527">
        <f t="shared" si="677"/>
        <v>-456754.0788223967</v>
      </c>
      <c r="BE513" s="527">
        <f t="shared" si="677"/>
        <v>-456754.0788223967</v>
      </c>
      <c r="BF513" s="527">
        <f t="shared" si="677"/>
        <v>-456754.0788223967</v>
      </c>
      <c r="BG513" s="527">
        <f t="shared" si="677"/>
        <v>-456754.0788223967</v>
      </c>
      <c r="BH513" s="527">
        <f t="shared" si="677"/>
        <v>-456754.0788223967</v>
      </c>
      <c r="BI513" s="527">
        <f t="shared" si="677"/>
        <v>-456754.0788223967</v>
      </c>
      <c r="BJ513" s="527">
        <f t="shared" si="677"/>
        <v>-456754.0788223967</v>
      </c>
      <c r="BK513" s="527">
        <f t="shared" si="677"/>
        <v>-456754.0788223967</v>
      </c>
      <c r="BL513" s="527">
        <f t="shared" si="677"/>
        <v>-456754.0788223967</v>
      </c>
      <c r="BM513" s="527">
        <f t="shared" si="677"/>
        <v>-456754.0788223967</v>
      </c>
      <c r="BN513" s="527">
        <f t="shared" ref="BN513:BY514" si="678">(INDEX($I513:$N513,MATCH(BN$2,$I$3:$N$3,0)))/12</f>
        <v>-461461.67801161617</v>
      </c>
      <c r="BO513" s="527">
        <f t="shared" si="678"/>
        <v>-461461.67801161617</v>
      </c>
      <c r="BP513" s="527">
        <f t="shared" si="678"/>
        <v>-461461.67801161617</v>
      </c>
      <c r="BQ513" s="527">
        <f t="shared" si="678"/>
        <v>-461461.67801161617</v>
      </c>
      <c r="BR513" s="527">
        <f t="shared" si="678"/>
        <v>-461461.67801161617</v>
      </c>
      <c r="BS513" s="527">
        <f t="shared" si="678"/>
        <v>-461461.67801161617</v>
      </c>
      <c r="BT513" s="527">
        <f t="shared" si="678"/>
        <v>-461461.67801161617</v>
      </c>
      <c r="BU513" s="527">
        <f t="shared" si="678"/>
        <v>-461461.67801161617</v>
      </c>
      <c r="BV513" s="527">
        <f t="shared" si="678"/>
        <v>-461461.67801161617</v>
      </c>
      <c r="BW513" s="527">
        <f t="shared" si="678"/>
        <v>-461461.67801161617</v>
      </c>
      <c r="BX513" s="527">
        <f t="shared" si="678"/>
        <v>-461461.67801161617</v>
      </c>
      <c r="BY513" s="527">
        <f t="shared" si="678"/>
        <v>-461461.67801161617</v>
      </c>
      <c r="BZ513" s="537"/>
      <c r="CA513" s="537"/>
      <c r="CB513" s="529"/>
    </row>
    <row r="514" spans="1:80" x14ac:dyDescent="0.3">
      <c r="A514" s="648"/>
      <c r="B514" s="648" t="s">
        <v>2</v>
      </c>
      <c r="C514" s="648" cm="1">
        <f t="array" ref="C514">SUMPRODUCT((Index_Tab!$D$36:$D$45=$B514)*(Index_Tab!$E$35:$F$35=$B$3)*Index_Tab!$E$36:$F$45)</f>
        <v>0</v>
      </c>
      <c r="D514" s="648"/>
      <c r="E514" s="525" t="s">
        <v>386</v>
      </c>
      <c r="F514" s="567"/>
      <c r="G514" s="567"/>
      <c r="H514" s="529"/>
      <c r="I514" s="544">
        <v>-912653.70688047085</v>
      </c>
      <c r="J514" s="657">
        <f>((I514/I$507)*(1+'Detailed Assumptions'!F$44))*J$507</f>
        <v>-930906.78101808031</v>
      </c>
      <c r="K514" s="657">
        <f>((J514/J$507)*(1+'Detailed Assumptions'!G$44))*K$507</f>
        <v>-949524.91663844185</v>
      </c>
      <c r="L514" s="657">
        <f>((K514/K$507)*(1+'Detailed Assumptions'!H$44))*L$507</f>
        <v>-968515.41497121076</v>
      </c>
      <c r="M514" s="657">
        <f>((L514/L$507)*(1+'Detailed Assumptions'!I$44))*M$507</f>
        <v>-987885.723270635</v>
      </c>
      <c r="N514" s="657">
        <f>((M514/M$507)*(1+'Detailed Assumptions'!J$44))*N$507</f>
        <v>-1007643.4377360477</v>
      </c>
      <c r="O514" s="529"/>
      <c r="P514" s="564">
        <f t="shared" si="674"/>
        <v>2.0000000000000018E-2</v>
      </c>
      <c r="Q514" s="529"/>
      <c r="R514" s="527">
        <f t="shared" si="675"/>
        <v>-77575.565084840026</v>
      </c>
      <c r="S514" s="527">
        <f t="shared" si="675"/>
        <v>-77575.565084840026</v>
      </c>
      <c r="T514" s="527">
        <f t="shared" si="675"/>
        <v>-77575.565084840026</v>
      </c>
      <c r="U514" s="527">
        <f t="shared" si="675"/>
        <v>-77575.565084840026</v>
      </c>
      <c r="V514" s="527">
        <f t="shared" si="675"/>
        <v>-77575.565084840026</v>
      </c>
      <c r="W514" s="527">
        <f t="shared" si="675"/>
        <v>-77575.565084840026</v>
      </c>
      <c r="X514" s="527">
        <f t="shared" si="675"/>
        <v>-77575.565084840026</v>
      </c>
      <c r="Y514" s="527">
        <f t="shared" si="675"/>
        <v>-77575.565084840026</v>
      </c>
      <c r="Z514" s="527">
        <f t="shared" si="675"/>
        <v>-77575.565084840026</v>
      </c>
      <c r="AA514" s="527">
        <f t="shared" si="675"/>
        <v>-77575.565084840026</v>
      </c>
      <c r="AB514" s="527">
        <f t="shared" si="675"/>
        <v>-77575.565084840026</v>
      </c>
      <c r="AC514" s="527">
        <f t="shared" si="675"/>
        <v>-77575.565084840026</v>
      </c>
      <c r="AD514" s="527">
        <f t="shared" si="675"/>
        <v>-79127.076386536821</v>
      </c>
      <c r="AE514" s="527">
        <f t="shared" si="675"/>
        <v>-79127.076386536821</v>
      </c>
      <c r="AF514" s="527">
        <f t="shared" si="675"/>
        <v>-79127.076386536821</v>
      </c>
      <c r="AG514" s="527">
        <f t="shared" si="675"/>
        <v>-79127.076386536821</v>
      </c>
      <c r="AH514" s="527">
        <f t="shared" si="676"/>
        <v>-79127.076386536821</v>
      </c>
      <c r="AI514" s="527">
        <f t="shared" si="676"/>
        <v>-79127.076386536821</v>
      </c>
      <c r="AJ514" s="527">
        <f t="shared" si="676"/>
        <v>-79127.076386536821</v>
      </c>
      <c r="AK514" s="527">
        <f t="shared" si="676"/>
        <v>-79127.076386536821</v>
      </c>
      <c r="AL514" s="527">
        <f t="shared" si="676"/>
        <v>-79127.076386536821</v>
      </c>
      <c r="AM514" s="527">
        <f t="shared" si="676"/>
        <v>-79127.076386536821</v>
      </c>
      <c r="AN514" s="527">
        <f t="shared" si="676"/>
        <v>-79127.076386536821</v>
      </c>
      <c r="AO514" s="527">
        <f t="shared" si="676"/>
        <v>-79127.076386536821</v>
      </c>
      <c r="AP514" s="527">
        <f t="shared" si="676"/>
        <v>-80709.617914267568</v>
      </c>
      <c r="AQ514" s="527">
        <f t="shared" si="676"/>
        <v>-80709.617914267568</v>
      </c>
      <c r="AR514" s="527">
        <f t="shared" si="676"/>
        <v>-80709.617914267568</v>
      </c>
      <c r="AS514" s="527">
        <f t="shared" si="676"/>
        <v>-80709.617914267568</v>
      </c>
      <c r="AT514" s="527">
        <f t="shared" si="676"/>
        <v>-80709.617914267568</v>
      </c>
      <c r="AU514" s="527">
        <f t="shared" si="676"/>
        <v>-80709.617914267568</v>
      </c>
      <c r="AV514" s="527">
        <f t="shared" si="676"/>
        <v>-80709.617914267568</v>
      </c>
      <c r="AW514" s="527">
        <f t="shared" si="676"/>
        <v>-80709.617914267568</v>
      </c>
      <c r="AX514" s="527">
        <f t="shared" si="677"/>
        <v>-80709.617914267568</v>
      </c>
      <c r="AY514" s="527">
        <f t="shared" si="677"/>
        <v>-80709.617914267568</v>
      </c>
      <c r="AZ514" s="527">
        <f t="shared" si="677"/>
        <v>-80709.617914267568</v>
      </c>
      <c r="BA514" s="527">
        <f t="shared" si="677"/>
        <v>-80709.617914267568</v>
      </c>
      <c r="BB514" s="527">
        <f t="shared" si="677"/>
        <v>-82323.810272552917</v>
      </c>
      <c r="BC514" s="527">
        <f t="shared" si="677"/>
        <v>-82323.810272552917</v>
      </c>
      <c r="BD514" s="527">
        <f t="shared" si="677"/>
        <v>-82323.810272552917</v>
      </c>
      <c r="BE514" s="527">
        <f t="shared" si="677"/>
        <v>-82323.810272552917</v>
      </c>
      <c r="BF514" s="527">
        <f t="shared" si="677"/>
        <v>-82323.810272552917</v>
      </c>
      <c r="BG514" s="527">
        <f t="shared" si="677"/>
        <v>-82323.810272552917</v>
      </c>
      <c r="BH514" s="527">
        <f t="shared" si="677"/>
        <v>-82323.810272552917</v>
      </c>
      <c r="BI514" s="527">
        <f t="shared" si="677"/>
        <v>-82323.810272552917</v>
      </c>
      <c r="BJ514" s="527">
        <f t="shared" si="677"/>
        <v>-82323.810272552917</v>
      </c>
      <c r="BK514" s="527">
        <f t="shared" si="677"/>
        <v>-82323.810272552917</v>
      </c>
      <c r="BL514" s="527">
        <f t="shared" si="677"/>
        <v>-82323.810272552917</v>
      </c>
      <c r="BM514" s="527">
        <f t="shared" si="677"/>
        <v>-82323.810272552917</v>
      </c>
      <c r="BN514" s="527">
        <f t="shared" si="678"/>
        <v>-83970.286478003967</v>
      </c>
      <c r="BO514" s="527">
        <f t="shared" si="678"/>
        <v>-83970.286478003967</v>
      </c>
      <c r="BP514" s="527">
        <f t="shared" si="678"/>
        <v>-83970.286478003967</v>
      </c>
      <c r="BQ514" s="527">
        <f t="shared" si="678"/>
        <v>-83970.286478003967</v>
      </c>
      <c r="BR514" s="527">
        <f t="shared" si="678"/>
        <v>-83970.286478003967</v>
      </c>
      <c r="BS514" s="527">
        <f t="shared" si="678"/>
        <v>-83970.286478003967</v>
      </c>
      <c r="BT514" s="527">
        <f t="shared" si="678"/>
        <v>-83970.286478003967</v>
      </c>
      <c r="BU514" s="527">
        <f t="shared" si="678"/>
        <v>-83970.286478003967</v>
      </c>
      <c r="BV514" s="527">
        <f t="shared" si="678"/>
        <v>-83970.286478003967</v>
      </c>
      <c r="BW514" s="527">
        <f t="shared" si="678"/>
        <v>-83970.286478003967</v>
      </c>
      <c r="BX514" s="527">
        <f t="shared" si="678"/>
        <v>-83970.286478003967</v>
      </c>
      <c r="BY514" s="527">
        <f t="shared" si="678"/>
        <v>-83970.286478003967</v>
      </c>
      <c r="BZ514" s="537"/>
      <c r="CA514" s="537"/>
      <c r="CB514" s="529"/>
    </row>
    <row r="515" spans="1:80" x14ac:dyDescent="0.3">
      <c r="A515" s="648"/>
      <c r="B515" s="648" t="s">
        <v>3</v>
      </c>
      <c r="C515" s="648" cm="1">
        <f t="array" ref="C515">SUMPRODUCT((Index_Tab!$D$36:$D$45=$B515)*(Index_Tab!$E$35:$F$35=$B$3)*Index_Tab!$E$36:$F$45)</f>
        <v>0</v>
      </c>
      <c r="D515" s="648"/>
      <c r="E515" s="572" t="s">
        <v>385</v>
      </c>
      <c r="F515" s="573"/>
      <c r="G515" s="573"/>
      <c r="H515" s="529"/>
      <c r="I515" s="659">
        <v>9811043.3499999996</v>
      </c>
      <c r="J515" s="532">
        <f>SUM(J512:J514)</f>
        <v>10953753.598110324</v>
      </c>
      <c r="K515" s="532">
        <f>SUM(K512:K514)</f>
        <v>11509912.40846299</v>
      </c>
      <c r="L515" s="532">
        <f>SUM(L512:L514)</f>
        <v>12065585.178761523</v>
      </c>
      <c r="M515" s="532">
        <f>SUM(M512:M514)</f>
        <v>12616619.455125535</v>
      </c>
      <c r="N515" s="530">
        <f>SUM(N512:N514)</f>
        <v>13187680.200365057</v>
      </c>
      <c r="O515" s="536"/>
      <c r="P515" s="568">
        <f t="shared" si="674"/>
        <v>6.0939557354884988E-2</v>
      </c>
      <c r="Q515" s="529"/>
      <c r="R515" s="532">
        <f>SUM(R512:R514)</f>
        <v>912812.79984252702</v>
      </c>
      <c r="S515" s="532">
        <f t="shared" ref="S515:BY515" si="679">SUM(S512:S514)</f>
        <v>912812.79984252702</v>
      </c>
      <c r="T515" s="532">
        <f t="shared" si="679"/>
        <v>912812.79984252702</v>
      </c>
      <c r="U515" s="532">
        <f t="shared" si="679"/>
        <v>912812.79984252702</v>
      </c>
      <c r="V515" s="532">
        <f t="shared" si="679"/>
        <v>912812.79984252702</v>
      </c>
      <c r="W515" s="532">
        <f t="shared" si="679"/>
        <v>912812.79984252702</v>
      </c>
      <c r="X515" s="532">
        <f t="shared" si="679"/>
        <v>912812.79984252702</v>
      </c>
      <c r="Y515" s="532">
        <f t="shared" si="679"/>
        <v>912812.79984252702</v>
      </c>
      <c r="Z515" s="532">
        <f t="shared" si="679"/>
        <v>912812.79984252702</v>
      </c>
      <c r="AA515" s="532">
        <f t="shared" si="679"/>
        <v>912812.79984252702</v>
      </c>
      <c r="AB515" s="532">
        <f t="shared" si="679"/>
        <v>912812.79984252702</v>
      </c>
      <c r="AC515" s="532">
        <f t="shared" si="679"/>
        <v>912812.79984252702</v>
      </c>
      <c r="AD515" s="532">
        <f t="shared" si="679"/>
        <v>959159.36737191572</v>
      </c>
      <c r="AE515" s="532">
        <f t="shared" si="679"/>
        <v>959159.36737191572</v>
      </c>
      <c r="AF515" s="532">
        <f t="shared" si="679"/>
        <v>959159.36737191572</v>
      </c>
      <c r="AG515" s="532">
        <f t="shared" si="679"/>
        <v>959159.36737191572</v>
      </c>
      <c r="AH515" s="532">
        <f t="shared" si="679"/>
        <v>959159.36737191572</v>
      </c>
      <c r="AI515" s="532">
        <f t="shared" si="679"/>
        <v>959159.36737191572</v>
      </c>
      <c r="AJ515" s="532">
        <f t="shared" si="679"/>
        <v>959159.36737191572</v>
      </c>
      <c r="AK515" s="532">
        <f t="shared" si="679"/>
        <v>959159.36737191572</v>
      </c>
      <c r="AL515" s="532">
        <f t="shared" si="679"/>
        <v>959159.36737191572</v>
      </c>
      <c r="AM515" s="532">
        <f t="shared" si="679"/>
        <v>959159.36737191572</v>
      </c>
      <c r="AN515" s="532">
        <f t="shared" si="679"/>
        <v>959159.36737191572</v>
      </c>
      <c r="AO515" s="532">
        <f t="shared" si="679"/>
        <v>959159.36737191572</v>
      </c>
      <c r="AP515" s="532">
        <f t="shared" si="679"/>
        <v>1005465.4315634603</v>
      </c>
      <c r="AQ515" s="532">
        <f t="shared" si="679"/>
        <v>1005465.4315634603</v>
      </c>
      <c r="AR515" s="532">
        <f t="shared" si="679"/>
        <v>1005465.4315634603</v>
      </c>
      <c r="AS515" s="532">
        <f t="shared" si="679"/>
        <v>1005465.4315634603</v>
      </c>
      <c r="AT515" s="532">
        <f t="shared" si="679"/>
        <v>1005465.4315634603</v>
      </c>
      <c r="AU515" s="532">
        <f t="shared" si="679"/>
        <v>1005465.4315634603</v>
      </c>
      <c r="AV515" s="532">
        <f t="shared" si="679"/>
        <v>1005465.4315634603</v>
      </c>
      <c r="AW515" s="532">
        <f t="shared" si="679"/>
        <v>1005465.4315634603</v>
      </c>
      <c r="AX515" s="532">
        <f t="shared" si="679"/>
        <v>1005465.4315634603</v>
      </c>
      <c r="AY515" s="532">
        <f t="shared" si="679"/>
        <v>1005465.4315634603</v>
      </c>
      <c r="AZ515" s="532">
        <f t="shared" si="679"/>
        <v>1005465.4315634603</v>
      </c>
      <c r="BA515" s="532">
        <f t="shared" si="679"/>
        <v>1005465.4315634603</v>
      </c>
      <c r="BB515" s="532">
        <f t="shared" si="679"/>
        <v>1051384.9545937942</v>
      </c>
      <c r="BC515" s="532">
        <f t="shared" si="679"/>
        <v>1051384.9545937942</v>
      </c>
      <c r="BD515" s="532">
        <f t="shared" si="679"/>
        <v>1051384.9545937942</v>
      </c>
      <c r="BE515" s="532">
        <f t="shared" si="679"/>
        <v>1051384.9545937942</v>
      </c>
      <c r="BF515" s="532">
        <f t="shared" si="679"/>
        <v>1051384.9545937942</v>
      </c>
      <c r="BG515" s="532">
        <f t="shared" si="679"/>
        <v>1051384.9545937942</v>
      </c>
      <c r="BH515" s="532">
        <f t="shared" si="679"/>
        <v>1051384.9545937942</v>
      </c>
      <c r="BI515" s="532">
        <f t="shared" si="679"/>
        <v>1051384.9545937942</v>
      </c>
      <c r="BJ515" s="532">
        <f t="shared" si="679"/>
        <v>1051384.9545937942</v>
      </c>
      <c r="BK515" s="532">
        <f t="shared" si="679"/>
        <v>1051384.9545937942</v>
      </c>
      <c r="BL515" s="532">
        <f t="shared" si="679"/>
        <v>1051384.9545937942</v>
      </c>
      <c r="BM515" s="532">
        <f t="shared" si="679"/>
        <v>1051384.9545937942</v>
      </c>
      <c r="BN515" s="532">
        <f t="shared" si="679"/>
        <v>1098973.3500304213</v>
      </c>
      <c r="BO515" s="532">
        <f t="shared" si="679"/>
        <v>1098973.3500304213</v>
      </c>
      <c r="BP515" s="532">
        <f t="shared" si="679"/>
        <v>1098973.3500304213</v>
      </c>
      <c r="BQ515" s="532">
        <f t="shared" si="679"/>
        <v>1098973.3500304213</v>
      </c>
      <c r="BR515" s="532">
        <f t="shared" si="679"/>
        <v>1098973.3500304213</v>
      </c>
      <c r="BS515" s="532">
        <f t="shared" si="679"/>
        <v>1098973.3500304213</v>
      </c>
      <c r="BT515" s="532">
        <f t="shared" si="679"/>
        <v>1098973.3500304213</v>
      </c>
      <c r="BU515" s="532">
        <f t="shared" si="679"/>
        <v>1098973.3500304213</v>
      </c>
      <c r="BV515" s="532">
        <f t="shared" si="679"/>
        <v>1098973.3500304213</v>
      </c>
      <c r="BW515" s="532">
        <f t="shared" si="679"/>
        <v>1098973.3500304213</v>
      </c>
      <c r="BX515" s="532">
        <f t="shared" si="679"/>
        <v>1098973.3500304213</v>
      </c>
      <c r="BY515" s="532">
        <f t="shared" si="679"/>
        <v>1098973.3500304213</v>
      </c>
      <c r="BZ515" s="537"/>
      <c r="CA515" s="537"/>
      <c r="CB515" s="529"/>
    </row>
    <row r="516" spans="1:80" x14ac:dyDescent="0.3">
      <c r="A516" s="648"/>
      <c r="B516" s="648" t="s">
        <v>4</v>
      </c>
      <c r="C516" s="648" cm="1">
        <f t="array" ref="C516">SUMPRODUCT((Index_Tab!$D$36:$D$45=$B516)*(Index_Tab!$E$35:$F$35=$B$3)*Index_Tab!$E$36:$F$45)</f>
        <v>8</v>
      </c>
      <c r="D516" s="648"/>
      <c r="E516" s="525" t="s">
        <v>389</v>
      </c>
      <c r="F516" s="567"/>
      <c r="G516" s="567"/>
      <c r="H516" s="529"/>
      <c r="I516" s="544">
        <v>-3507331.5514004612</v>
      </c>
      <c r="J516" s="657" cm="1">
        <f t="array" ref="J516">((I516/I$507)*(1+INDEX(('Detailed Assumptions'!$D$59:$J$79,'Detailed Assumptions'!$L$59:$R$79,'Detailed Assumptions'!$T$59:$Z$79,'Detailed Assumptions'!$AB$59:$AH$79),$C516,J$2,$C$506)))*J$507</f>
        <v>-3664026.6332512344</v>
      </c>
      <c r="K516" s="657" cm="1">
        <f t="array" ref="K516">((J516/J$507)*(1+INDEX(('Detailed Assumptions'!$D$59:$J$79,'Detailed Assumptions'!$L$59:$R$79,'Detailed Assumptions'!$T$59:$Z$79,'Detailed Assumptions'!$AB$59:$AH$79),$C516,K$2,$C$506)))*K$507</f>
        <v>-3822214.2072021924</v>
      </c>
      <c r="L516" s="657" cm="1">
        <f t="array" ref="L516">((K516/K$507)*(1+INDEX(('Detailed Assumptions'!$D$59:$J$79,'Detailed Assumptions'!$L$59:$R$79,'Detailed Assumptions'!$T$59:$Z$79,'Detailed Assumptions'!$AB$59:$AH$79),$C516,L$2,$C$506)))*L$507</f>
        <v>-3980641.320953812</v>
      </c>
      <c r="M516" s="657" cm="1">
        <f t="array" ref="M516">((L516/L$507)*(1+INDEX(('Detailed Assumptions'!$D$59:$J$79,'Detailed Assumptions'!$L$59:$R$79,'Detailed Assumptions'!$T$59:$Z$79,'Detailed Assumptions'!$AB$59:$AH$79),$C516,M$2,$C$506)))*M$507</f>
        <v>-4138269.264330267</v>
      </c>
      <c r="N516" s="657" cm="1">
        <f t="array" ref="N516">((M516/M$507)*(1+INDEX(('Detailed Assumptions'!$D$59:$J$79,'Detailed Assumptions'!$L$59:$R$79,'Detailed Assumptions'!$T$59:$Z$79,'Detailed Assumptions'!$AB$59:$AH$79),$C516,N$2,$C$506)))*N$507</f>
        <v>-4301318.20711728</v>
      </c>
      <c r="O516" s="529"/>
      <c r="P516" s="564">
        <f t="shared" si="674"/>
        <v>4.165751177604271E-2</v>
      </c>
      <c r="Q516" s="529"/>
      <c r="R516" s="527">
        <f t="shared" ref="R516:BY516" si="680">(INDEX($I516:$N516,MATCH(R$2,$I$3:$N$3,0)))/12</f>
        <v>-305335.55277093622</v>
      </c>
      <c r="S516" s="527">
        <f t="shared" si="680"/>
        <v>-305335.55277093622</v>
      </c>
      <c r="T516" s="527">
        <f t="shared" si="680"/>
        <v>-305335.55277093622</v>
      </c>
      <c r="U516" s="527">
        <f t="shared" si="680"/>
        <v>-305335.55277093622</v>
      </c>
      <c r="V516" s="527">
        <f t="shared" si="680"/>
        <v>-305335.55277093622</v>
      </c>
      <c r="W516" s="527">
        <f t="shared" si="680"/>
        <v>-305335.55277093622</v>
      </c>
      <c r="X516" s="527">
        <f t="shared" si="680"/>
        <v>-305335.55277093622</v>
      </c>
      <c r="Y516" s="527">
        <f t="shared" si="680"/>
        <v>-305335.55277093622</v>
      </c>
      <c r="Z516" s="527">
        <f t="shared" si="680"/>
        <v>-305335.55277093622</v>
      </c>
      <c r="AA516" s="527">
        <f t="shared" si="680"/>
        <v>-305335.55277093622</v>
      </c>
      <c r="AB516" s="527">
        <f t="shared" si="680"/>
        <v>-305335.55277093622</v>
      </c>
      <c r="AC516" s="527">
        <f t="shared" si="680"/>
        <v>-305335.55277093622</v>
      </c>
      <c r="AD516" s="527">
        <f t="shared" si="680"/>
        <v>-318517.85060018272</v>
      </c>
      <c r="AE516" s="527">
        <f t="shared" si="680"/>
        <v>-318517.85060018272</v>
      </c>
      <c r="AF516" s="527">
        <f t="shared" si="680"/>
        <v>-318517.85060018272</v>
      </c>
      <c r="AG516" s="527">
        <f t="shared" si="680"/>
        <v>-318517.85060018272</v>
      </c>
      <c r="AH516" s="527">
        <f t="shared" si="680"/>
        <v>-318517.85060018272</v>
      </c>
      <c r="AI516" s="527">
        <f t="shared" si="680"/>
        <v>-318517.85060018272</v>
      </c>
      <c r="AJ516" s="527">
        <f t="shared" si="680"/>
        <v>-318517.85060018272</v>
      </c>
      <c r="AK516" s="527">
        <f t="shared" si="680"/>
        <v>-318517.85060018272</v>
      </c>
      <c r="AL516" s="527">
        <f t="shared" si="680"/>
        <v>-318517.85060018272</v>
      </c>
      <c r="AM516" s="527">
        <f t="shared" si="680"/>
        <v>-318517.85060018272</v>
      </c>
      <c r="AN516" s="527">
        <f t="shared" si="680"/>
        <v>-318517.85060018272</v>
      </c>
      <c r="AO516" s="527">
        <f t="shared" si="680"/>
        <v>-318517.85060018272</v>
      </c>
      <c r="AP516" s="527">
        <f t="shared" si="680"/>
        <v>-331720.11007948435</v>
      </c>
      <c r="AQ516" s="527">
        <f t="shared" si="680"/>
        <v>-331720.11007948435</v>
      </c>
      <c r="AR516" s="527">
        <f t="shared" si="680"/>
        <v>-331720.11007948435</v>
      </c>
      <c r="AS516" s="527">
        <f t="shared" si="680"/>
        <v>-331720.11007948435</v>
      </c>
      <c r="AT516" s="527">
        <f t="shared" si="680"/>
        <v>-331720.11007948435</v>
      </c>
      <c r="AU516" s="527">
        <f t="shared" si="680"/>
        <v>-331720.11007948435</v>
      </c>
      <c r="AV516" s="527">
        <f t="shared" si="680"/>
        <v>-331720.11007948435</v>
      </c>
      <c r="AW516" s="527">
        <f t="shared" si="680"/>
        <v>-331720.11007948435</v>
      </c>
      <c r="AX516" s="527">
        <f t="shared" si="680"/>
        <v>-331720.11007948435</v>
      </c>
      <c r="AY516" s="527">
        <f t="shared" si="680"/>
        <v>-331720.11007948435</v>
      </c>
      <c r="AZ516" s="527">
        <f t="shared" si="680"/>
        <v>-331720.11007948435</v>
      </c>
      <c r="BA516" s="527">
        <f t="shared" si="680"/>
        <v>-331720.11007948435</v>
      </c>
      <c r="BB516" s="527">
        <f t="shared" si="680"/>
        <v>-344855.77202752227</v>
      </c>
      <c r="BC516" s="527">
        <f t="shared" si="680"/>
        <v>-344855.77202752227</v>
      </c>
      <c r="BD516" s="527">
        <f t="shared" si="680"/>
        <v>-344855.77202752227</v>
      </c>
      <c r="BE516" s="527">
        <f t="shared" si="680"/>
        <v>-344855.77202752227</v>
      </c>
      <c r="BF516" s="527">
        <f t="shared" si="680"/>
        <v>-344855.77202752227</v>
      </c>
      <c r="BG516" s="527">
        <f t="shared" si="680"/>
        <v>-344855.77202752227</v>
      </c>
      <c r="BH516" s="527">
        <f t="shared" si="680"/>
        <v>-344855.77202752227</v>
      </c>
      <c r="BI516" s="527">
        <f t="shared" si="680"/>
        <v>-344855.77202752227</v>
      </c>
      <c r="BJ516" s="527">
        <f t="shared" si="680"/>
        <v>-344855.77202752227</v>
      </c>
      <c r="BK516" s="527">
        <f t="shared" si="680"/>
        <v>-344855.77202752227</v>
      </c>
      <c r="BL516" s="527">
        <f t="shared" si="680"/>
        <v>-344855.77202752227</v>
      </c>
      <c r="BM516" s="527">
        <f t="shared" si="680"/>
        <v>-344855.77202752227</v>
      </c>
      <c r="BN516" s="527">
        <f t="shared" si="680"/>
        <v>-358443.18392644002</v>
      </c>
      <c r="BO516" s="527">
        <f t="shared" si="680"/>
        <v>-358443.18392644002</v>
      </c>
      <c r="BP516" s="527">
        <f t="shared" si="680"/>
        <v>-358443.18392644002</v>
      </c>
      <c r="BQ516" s="527">
        <f t="shared" si="680"/>
        <v>-358443.18392644002</v>
      </c>
      <c r="BR516" s="527">
        <f t="shared" si="680"/>
        <v>-358443.18392644002</v>
      </c>
      <c r="BS516" s="527">
        <f t="shared" si="680"/>
        <v>-358443.18392644002</v>
      </c>
      <c r="BT516" s="527">
        <f t="shared" si="680"/>
        <v>-358443.18392644002</v>
      </c>
      <c r="BU516" s="527">
        <f t="shared" si="680"/>
        <v>-358443.18392644002</v>
      </c>
      <c r="BV516" s="527">
        <f t="shared" si="680"/>
        <v>-358443.18392644002</v>
      </c>
      <c r="BW516" s="527">
        <f t="shared" si="680"/>
        <v>-358443.18392644002</v>
      </c>
      <c r="BX516" s="527">
        <f t="shared" si="680"/>
        <v>-358443.18392644002</v>
      </c>
      <c r="BY516" s="527">
        <f t="shared" si="680"/>
        <v>-358443.18392644002</v>
      </c>
      <c r="BZ516" s="537"/>
      <c r="CA516" s="537"/>
      <c r="CB516" s="529"/>
    </row>
    <row r="517" spans="1:80" x14ac:dyDescent="0.3">
      <c r="A517" s="648"/>
      <c r="B517" s="648" t="s">
        <v>5</v>
      </c>
      <c r="C517" s="648" cm="1">
        <f t="array" ref="C517">SUMPRODUCT((Index_Tab!$D$36:$D$45=$B517)*(Index_Tab!$E$35:$F$35=$B$3)*Index_Tab!$E$36:$F$45)</f>
        <v>0</v>
      </c>
      <c r="D517" s="648"/>
      <c r="E517" s="572" t="s">
        <v>390</v>
      </c>
      <c r="F517" s="573"/>
      <c r="G517" s="573"/>
      <c r="H517" s="529"/>
      <c r="I517" s="659">
        <v>6894779.6349028805</v>
      </c>
      <c r="J517" s="532">
        <f>SUM(J515:J516)</f>
        <v>7289726.9648590889</v>
      </c>
      <c r="K517" s="532">
        <f>SUM(K515:K516)</f>
        <v>7687698.2012607977</v>
      </c>
      <c r="L517" s="532">
        <f>SUM(L515:L516)</f>
        <v>8084943.8578077108</v>
      </c>
      <c r="M517" s="532">
        <f>SUM(M515:M516)</f>
        <v>8478350.1907952689</v>
      </c>
      <c r="N517" s="530">
        <f>SUM(N515:N516)</f>
        <v>8886361.9932477772</v>
      </c>
      <c r="O517" s="536"/>
      <c r="P517" s="568">
        <f t="shared" si="674"/>
        <v>5.2060516774376842E-2</v>
      </c>
      <c r="Q517" s="529"/>
      <c r="R517" s="532">
        <f t="shared" ref="R517:BX517" si="681">SUM(R515:R516)</f>
        <v>607477.24707159074</v>
      </c>
      <c r="S517" s="532">
        <f t="shared" si="681"/>
        <v>607477.24707159074</v>
      </c>
      <c r="T517" s="532">
        <f t="shared" si="681"/>
        <v>607477.24707159074</v>
      </c>
      <c r="U517" s="532">
        <f t="shared" si="681"/>
        <v>607477.24707159074</v>
      </c>
      <c r="V517" s="532">
        <f t="shared" si="681"/>
        <v>607477.24707159074</v>
      </c>
      <c r="W517" s="532">
        <f t="shared" si="681"/>
        <v>607477.24707159074</v>
      </c>
      <c r="X517" s="532">
        <f t="shared" si="681"/>
        <v>607477.24707159074</v>
      </c>
      <c r="Y517" s="532">
        <f t="shared" si="681"/>
        <v>607477.24707159074</v>
      </c>
      <c r="Z517" s="532">
        <f t="shared" si="681"/>
        <v>607477.24707159074</v>
      </c>
      <c r="AA517" s="532">
        <f t="shared" si="681"/>
        <v>607477.24707159074</v>
      </c>
      <c r="AB517" s="532">
        <f t="shared" si="681"/>
        <v>607477.24707159074</v>
      </c>
      <c r="AC517" s="532">
        <f t="shared" si="681"/>
        <v>607477.24707159074</v>
      </c>
      <c r="AD517" s="532">
        <f t="shared" si="681"/>
        <v>640641.51677173306</v>
      </c>
      <c r="AE517" s="532">
        <f t="shared" si="681"/>
        <v>640641.51677173306</v>
      </c>
      <c r="AF517" s="532">
        <f t="shared" si="681"/>
        <v>640641.51677173306</v>
      </c>
      <c r="AG517" s="532">
        <f t="shared" si="681"/>
        <v>640641.51677173306</v>
      </c>
      <c r="AH517" s="532">
        <f t="shared" si="681"/>
        <v>640641.51677173306</v>
      </c>
      <c r="AI517" s="532">
        <f t="shared" si="681"/>
        <v>640641.51677173306</v>
      </c>
      <c r="AJ517" s="532">
        <f t="shared" si="681"/>
        <v>640641.51677173306</v>
      </c>
      <c r="AK517" s="532">
        <f t="shared" si="681"/>
        <v>640641.51677173306</v>
      </c>
      <c r="AL517" s="532">
        <f t="shared" si="681"/>
        <v>640641.51677173306</v>
      </c>
      <c r="AM517" s="532">
        <f t="shared" si="681"/>
        <v>640641.51677173306</v>
      </c>
      <c r="AN517" s="532">
        <f t="shared" si="681"/>
        <v>640641.51677173306</v>
      </c>
      <c r="AO517" s="532">
        <f t="shared" si="681"/>
        <v>640641.51677173306</v>
      </c>
      <c r="AP517" s="532">
        <f t="shared" si="681"/>
        <v>673745.32148397597</v>
      </c>
      <c r="AQ517" s="532">
        <f t="shared" si="681"/>
        <v>673745.32148397597</v>
      </c>
      <c r="AR517" s="532">
        <f t="shared" si="681"/>
        <v>673745.32148397597</v>
      </c>
      <c r="AS517" s="532">
        <f t="shared" si="681"/>
        <v>673745.32148397597</v>
      </c>
      <c r="AT517" s="532">
        <f t="shared" si="681"/>
        <v>673745.32148397597</v>
      </c>
      <c r="AU517" s="532">
        <f t="shared" si="681"/>
        <v>673745.32148397597</v>
      </c>
      <c r="AV517" s="532">
        <f t="shared" si="681"/>
        <v>673745.32148397597</v>
      </c>
      <c r="AW517" s="532">
        <f t="shared" si="681"/>
        <v>673745.32148397597</v>
      </c>
      <c r="AX517" s="532">
        <f t="shared" si="681"/>
        <v>673745.32148397597</v>
      </c>
      <c r="AY517" s="532">
        <f t="shared" si="681"/>
        <v>673745.32148397597</v>
      </c>
      <c r="AZ517" s="532">
        <f t="shared" si="681"/>
        <v>673745.32148397597</v>
      </c>
      <c r="BA517" s="532">
        <f t="shared" si="681"/>
        <v>673745.32148397597</v>
      </c>
      <c r="BB517" s="532">
        <f t="shared" si="681"/>
        <v>706529.18256627186</v>
      </c>
      <c r="BC517" s="532">
        <f t="shared" si="681"/>
        <v>706529.18256627186</v>
      </c>
      <c r="BD517" s="532">
        <f t="shared" si="681"/>
        <v>706529.18256627186</v>
      </c>
      <c r="BE517" s="532">
        <f t="shared" si="681"/>
        <v>706529.18256627186</v>
      </c>
      <c r="BF517" s="532">
        <f t="shared" si="681"/>
        <v>706529.18256627186</v>
      </c>
      <c r="BG517" s="532">
        <f t="shared" si="681"/>
        <v>706529.18256627186</v>
      </c>
      <c r="BH517" s="532">
        <f t="shared" si="681"/>
        <v>706529.18256627186</v>
      </c>
      <c r="BI517" s="532">
        <f t="shared" si="681"/>
        <v>706529.18256627186</v>
      </c>
      <c r="BJ517" s="532">
        <f t="shared" si="681"/>
        <v>706529.18256627186</v>
      </c>
      <c r="BK517" s="532">
        <f t="shared" si="681"/>
        <v>706529.18256627186</v>
      </c>
      <c r="BL517" s="532">
        <f t="shared" si="681"/>
        <v>706529.18256627186</v>
      </c>
      <c r="BM517" s="532">
        <f t="shared" si="681"/>
        <v>706529.18256627186</v>
      </c>
      <c r="BN517" s="532">
        <f t="shared" si="681"/>
        <v>740530.1661039812</v>
      </c>
      <c r="BO517" s="532">
        <f t="shared" si="681"/>
        <v>740530.1661039812</v>
      </c>
      <c r="BP517" s="532">
        <f t="shared" si="681"/>
        <v>740530.1661039812</v>
      </c>
      <c r="BQ517" s="532">
        <f t="shared" si="681"/>
        <v>740530.1661039812</v>
      </c>
      <c r="BR517" s="532">
        <f t="shared" si="681"/>
        <v>740530.1661039812</v>
      </c>
      <c r="BS517" s="532">
        <f t="shared" si="681"/>
        <v>740530.1661039812</v>
      </c>
      <c r="BT517" s="532">
        <f t="shared" si="681"/>
        <v>740530.1661039812</v>
      </c>
      <c r="BU517" s="532">
        <f t="shared" si="681"/>
        <v>740530.1661039812</v>
      </c>
      <c r="BV517" s="532">
        <f t="shared" si="681"/>
        <v>740530.1661039812</v>
      </c>
      <c r="BW517" s="532">
        <f t="shared" si="681"/>
        <v>740530.1661039812</v>
      </c>
      <c r="BX517" s="532">
        <f t="shared" si="681"/>
        <v>740530.1661039812</v>
      </c>
      <c r="BY517" s="532">
        <f>SUM(BY515:BY516)</f>
        <v>740530.1661039812</v>
      </c>
      <c r="BZ517" s="537"/>
      <c r="CA517" s="537"/>
      <c r="CB517" s="529"/>
    </row>
    <row r="518" spans="1:80" x14ac:dyDescent="0.3">
      <c r="A518" s="648"/>
      <c r="B518" s="648"/>
      <c r="C518" s="648" cm="1">
        <f t="array" ref="C518">SUMPRODUCT((Index_Tab!$D$36:$D$45=$B518)*(Index_Tab!$E$35:$F$35=$B$3)*Index_Tab!$E$36:$F$45)</f>
        <v>0</v>
      </c>
      <c r="D518" s="648"/>
      <c r="E518" s="525" t="s">
        <v>175</v>
      </c>
      <c r="F518" s="575"/>
      <c r="G518" s="575"/>
      <c r="H518" s="529"/>
      <c r="I518" s="531">
        <f t="shared" ref="I518:N518" si="682">IFERROR(I517/I512,0)</f>
        <v>0.41583136901653406</v>
      </c>
      <c r="J518" s="531">
        <f t="shared" si="682"/>
        <v>0.4237524673507187</v>
      </c>
      <c r="K518" s="531">
        <f t="shared" si="682"/>
        <v>0.43114700219849739</v>
      </c>
      <c r="L518" s="531">
        <f t="shared" si="682"/>
        <v>0.4379765078911167</v>
      </c>
      <c r="M518" s="531">
        <f t="shared" si="682"/>
        <v>0.44422866297688951</v>
      </c>
      <c r="N518" s="531">
        <f t="shared" si="682"/>
        <v>0.45033311408393412</v>
      </c>
      <c r="O518" s="546"/>
      <c r="P518" s="564">
        <f t="shared" si="674"/>
        <v>1.6069293870101697E-2</v>
      </c>
      <c r="Q518" s="529"/>
      <c r="R518" s="531">
        <f t="shared" ref="R518:BY518" si="683">IFERROR(R517/R512,0)</f>
        <v>0.42375246735071864</v>
      </c>
      <c r="S518" s="531">
        <f t="shared" si="683"/>
        <v>0.42375246735071864</v>
      </c>
      <c r="T518" s="531">
        <f t="shared" si="683"/>
        <v>0.42375246735071864</v>
      </c>
      <c r="U518" s="531">
        <f t="shared" si="683"/>
        <v>0.42375246735071864</v>
      </c>
      <c r="V518" s="531">
        <f t="shared" si="683"/>
        <v>0.42375246735071864</v>
      </c>
      <c r="W518" s="531">
        <f t="shared" si="683"/>
        <v>0.42375246735071864</v>
      </c>
      <c r="X518" s="531">
        <f t="shared" si="683"/>
        <v>0.42375246735071864</v>
      </c>
      <c r="Y518" s="531">
        <f t="shared" si="683"/>
        <v>0.42375246735071864</v>
      </c>
      <c r="Z518" s="531">
        <f t="shared" si="683"/>
        <v>0.42375246735071864</v>
      </c>
      <c r="AA518" s="531">
        <f t="shared" si="683"/>
        <v>0.42375246735071864</v>
      </c>
      <c r="AB518" s="531">
        <f t="shared" si="683"/>
        <v>0.42375246735071864</v>
      </c>
      <c r="AC518" s="531">
        <f t="shared" si="683"/>
        <v>0.42375246735071864</v>
      </c>
      <c r="AD518" s="531">
        <f t="shared" si="683"/>
        <v>0.43114700219849739</v>
      </c>
      <c r="AE518" s="531">
        <f t="shared" si="683"/>
        <v>0.43114700219849739</v>
      </c>
      <c r="AF518" s="531">
        <f t="shared" si="683"/>
        <v>0.43114700219849739</v>
      </c>
      <c r="AG518" s="531">
        <f t="shared" si="683"/>
        <v>0.43114700219849739</v>
      </c>
      <c r="AH518" s="531">
        <f t="shared" si="683"/>
        <v>0.43114700219849739</v>
      </c>
      <c r="AI518" s="531">
        <f t="shared" si="683"/>
        <v>0.43114700219849739</v>
      </c>
      <c r="AJ518" s="531">
        <f t="shared" si="683"/>
        <v>0.43114700219849739</v>
      </c>
      <c r="AK518" s="531">
        <f t="shared" si="683"/>
        <v>0.43114700219849739</v>
      </c>
      <c r="AL518" s="531">
        <f t="shared" si="683"/>
        <v>0.43114700219849739</v>
      </c>
      <c r="AM518" s="531">
        <f t="shared" si="683"/>
        <v>0.43114700219849739</v>
      </c>
      <c r="AN518" s="531">
        <f t="shared" si="683"/>
        <v>0.43114700219849739</v>
      </c>
      <c r="AO518" s="531">
        <f t="shared" si="683"/>
        <v>0.43114700219849739</v>
      </c>
      <c r="AP518" s="531">
        <f t="shared" si="683"/>
        <v>0.43797650789111675</v>
      </c>
      <c r="AQ518" s="531">
        <f t="shared" si="683"/>
        <v>0.43797650789111675</v>
      </c>
      <c r="AR518" s="531">
        <f t="shared" si="683"/>
        <v>0.43797650789111675</v>
      </c>
      <c r="AS518" s="531">
        <f t="shared" si="683"/>
        <v>0.43797650789111675</v>
      </c>
      <c r="AT518" s="531">
        <f t="shared" si="683"/>
        <v>0.43797650789111675</v>
      </c>
      <c r="AU518" s="531">
        <f t="shared" si="683"/>
        <v>0.43797650789111675</v>
      </c>
      <c r="AV518" s="531">
        <f t="shared" si="683"/>
        <v>0.43797650789111675</v>
      </c>
      <c r="AW518" s="531">
        <f t="shared" si="683"/>
        <v>0.43797650789111675</v>
      </c>
      <c r="AX518" s="531">
        <f t="shared" si="683"/>
        <v>0.43797650789111675</v>
      </c>
      <c r="AY518" s="531">
        <f t="shared" si="683"/>
        <v>0.43797650789111675</v>
      </c>
      <c r="AZ518" s="531">
        <f t="shared" si="683"/>
        <v>0.43797650789111675</v>
      </c>
      <c r="BA518" s="531">
        <f t="shared" si="683"/>
        <v>0.43797650789111675</v>
      </c>
      <c r="BB518" s="531">
        <f t="shared" si="683"/>
        <v>0.44422866297688923</v>
      </c>
      <c r="BC518" s="531">
        <f t="shared" si="683"/>
        <v>0.44422866297688923</v>
      </c>
      <c r="BD518" s="531">
        <f t="shared" si="683"/>
        <v>0.44422866297688923</v>
      </c>
      <c r="BE518" s="531">
        <f t="shared" si="683"/>
        <v>0.44422866297688923</v>
      </c>
      <c r="BF518" s="531">
        <f t="shared" si="683"/>
        <v>0.44422866297688923</v>
      </c>
      <c r="BG518" s="531">
        <f t="shared" si="683"/>
        <v>0.44422866297688923</v>
      </c>
      <c r="BH518" s="531">
        <f t="shared" si="683"/>
        <v>0.44422866297688923</v>
      </c>
      <c r="BI518" s="531">
        <f t="shared" si="683"/>
        <v>0.44422866297688923</v>
      </c>
      <c r="BJ518" s="531">
        <f t="shared" si="683"/>
        <v>0.44422866297688923</v>
      </c>
      <c r="BK518" s="531">
        <f t="shared" si="683"/>
        <v>0.44422866297688923</v>
      </c>
      <c r="BL518" s="531">
        <f t="shared" si="683"/>
        <v>0.44422866297688923</v>
      </c>
      <c r="BM518" s="531">
        <f t="shared" si="683"/>
        <v>0.44422866297688923</v>
      </c>
      <c r="BN518" s="531">
        <f t="shared" si="683"/>
        <v>0.45033311408393401</v>
      </c>
      <c r="BO518" s="531">
        <f t="shared" si="683"/>
        <v>0.45033311408393401</v>
      </c>
      <c r="BP518" s="531">
        <f t="shared" si="683"/>
        <v>0.45033311408393401</v>
      </c>
      <c r="BQ518" s="531">
        <f t="shared" si="683"/>
        <v>0.45033311408393401</v>
      </c>
      <c r="BR518" s="531">
        <f t="shared" si="683"/>
        <v>0.45033311408393401</v>
      </c>
      <c r="BS518" s="531">
        <f t="shared" si="683"/>
        <v>0.45033311408393401</v>
      </c>
      <c r="BT518" s="531">
        <f t="shared" si="683"/>
        <v>0.45033311408393401</v>
      </c>
      <c r="BU518" s="531">
        <f t="shared" si="683"/>
        <v>0.45033311408393401</v>
      </c>
      <c r="BV518" s="531">
        <f t="shared" si="683"/>
        <v>0.45033311408393401</v>
      </c>
      <c r="BW518" s="531">
        <f t="shared" si="683"/>
        <v>0.45033311408393401</v>
      </c>
      <c r="BX518" s="531">
        <f t="shared" si="683"/>
        <v>0.45033311408393401</v>
      </c>
      <c r="BY518" s="531">
        <f t="shared" si="683"/>
        <v>0.45033311408393401</v>
      </c>
      <c r="BZ518" s="537"/>
      <c r="CA518" s="537"/>
      <c r="CB518" s="529"/>
    </row>
    <row r="519" spans="1:80" x14ac:dyDescent="0.3">
      <c r="A519" s="648"/>
      <c r="B519" s="648"/>
      <c r="C519" s="648" cm="1">
        <f t="array" ref="C519">SUMPRODUCT((Index_Tab!$D$36:$D$45=$B519)*(Index_Tab!$E$35:$F$35=$B$3)*Index_Tab!$E$36:$F$45)</f>
        <v>0</v>
      </c>
      <c r="D519" s="648"/>
      <c r="E519" s="525"/>
      <c r="F519" s="575"/>
      <c r="G519" s="575"/>
      <c r="H519" s="529"/>
      <c r="I519" s="529"/>
      <c r="J519" s="529"/>
      <c r="K519" s="529"/>
      <c r="L519" s="529"/>
      <c r="M519" s="529"/>
      <c r="N519" s="529"/>
      <c r="O519" s="529"/>
      <c r="P519" s="660"/>
      <c r="Q519" s="529"/>
      <c r="R519" s="529"/>
      <c r="S519" s="529"/>
      <c r="T519" s="529"/>
      <c r="U519" s="529"/>
      <c r="V519" s="529"/>
      <c r="W519" s="529"/>
      <c r="X519" s="529"/>
      <c r="Y519" s="529"/>
      <c r="Z519" s="529"/>
      <c r="AA519" s="529"/>
      <c r="AB519" s="529"/>
      <c r="AC519" s="529"/>
      <c r="AD519" s="529"/>
      <c r="AE519" s="529"/>
      <c r="AF519" s="529"/>
      <c r="AG519" s="529"/>
      <c r="AH519" s="529"/>
      <c r="AI519" s="529"/>
      <c r="AJ519" s="529"/>
      <c r="AK519" s="529"/>
      <c r="AL519" s="529"/>
      <c r="AM519" s="529"/>
      <c r="AN519" s="529"/>
      <c r="AO519" s="529"/>
      <c r="AP519" s="529"/>
      <c r="AQ519" s="529"/>
      <c r="AR519" s="529"/>
      <c r="AS519" s="529"/>
      <c r="AT519" s="529"/>
      <c r="AU519" s="529"/>
      <c r="AV519" s="529"/>
      <c r="AW519" s="529"/>
      <c r="AX519" s="529"/>
      <c r="AY519" s="529"/>
      <c r="AZ519" s="529"/>
      <c r="BA519" s="529"/>
      <c r="BB519" s="529"/>
      <c r="BC519" s="529"/>
      <c r="BD519" s="529"/>
      <c r="BE519" s="529"/>
      <c r="BF519" s="529"/>
      <c r="BG519" s="529"/>
      <c r="BH519" s="529"/>
      <c r="BI519" s="529"/>
      <c r="BJ519" s="529"/>
      <c r="BK519" s="529"/>
      <c r="BL519" s="529"/>
      <c r="BM519" s="529"/>
      <c r="BN519" s="529"/>
      <c r="BO519" s="529"/>
      <c r="BP519" s="529"/>
      <c r="BQ519" s="529"/>
      <c r="BR519" s="529"/>
      <c r="BS519" s="529"/>
      <c r="BT519" s="529"/>
      <c r="BU519" s="529"/>
      <c r="BV519" s="529"/>
      <c r="BW519" s="529"/>
      <c r="BX519" s="529"/>
      <c r="BY519" s="529"/>
      <c r="BZ519" s="537"/>
      <c r="CA519" s="537"/>
      <c r="CB519" s="529"/>
    </row>
    <row r="520" spans="1:80" x14ac:dyDescent="0.3">
      <c r="A520" s="648"/>
      <c r="B520" s="648"/>
      <c r="C520" s="648" cm="1">
        <f t="array" ref="C520">SUMPRODUCT((Index_Tab!$D$36:$D$45=$B520)*(Index_Tab!$E$35:$F$35=$B$3)*Index_Tab!$E$36:$F$45)</f>
        <v>0</v>
      </c>
      <c r="D520" s="648"/>
      <c r="E520" s="570" t="s">
        <v>23</v>
      </c>
      <c r="F520" s="529"/>
      <c r="G520" s="529"/>
      <c r="H520" s="529"/>
      <c r="I520" s="576"/>
      <c r="J520" s="576"/>
      <c r="K520" s="576"/>
      <c r="L520" s="576"/>
      <c r="M520" s="576"/>
      <c r="N520" s="576"/>
      <c r="O520" s="529"/>
      <c r="P520" s="660"/>
      <c r="Q520" s="529"/>
      <c r="R520" s="529"/>
      <c r="S520" s="529"/>
      <c r="T520" s="529"/>
      <c r="U520" s="529"/>
      <c r="V520" s="529"/>
      <c r="W520" s="529"/>
      <c r="X520" s="529"/>
      <c r="Y520" s="529"/>
      <c r="Z520" s="529"/>
      <c r="AA520" s="529"/>
      <c r="AB520" s="529"/>
      <c r="AC520" s="529"/>
      <c r="AD520" s="529"/>
      <c r="AE520" s="529"/>
      <c r="AF520" s="529"/>
      <c r="AG520" s="529"/>
      <c r="AH520" s="529"/>
      <c r="AI520" s="529"/>
      <c r="AJ520" s="529"/>
      <c r="AK520" s="529"/>
      <c r="AL520" s="529"/>
      <c r="AM520" s="529"/>
      <c r="AN520" s="529"/>
      <c r="AO520" s="529"/>
      <c r="AP520" s="529"/>
      <c r="AQ520" s="529"/>
      <c r="AR520" s="529"/>
      <c r="AS520" s="529"/>
      <c r="AT520" s="529"/>
      <c r="AU520" s="529"/>
      <c r="AV520" s="529"/>
      <c r="AW520" s="529"/>
      <c r="AX520" s="529"/>
      <c r="AY520" s="529"/>
      <c r="AZ520" s="529"/>
      <c r="BA520" s="529"/>
      <c r="BB520" s="529"/>
      <c r="BC520" s="529"/>
      <c r="BD520" s="529"/>
      <c r="BE520" s="529"/>
      <c r="BF520" s="529"/>
      <c r="BG520" s="529"/>
      <c r="BH520" s="529"/>
      <c r="BI520" s="529"/>
      <c r="BJ520" s="529"/>
      <c r="BK520" s="529"/>
      <c r="BL520" s="529"/>
      <c r="BM520" s="529"/>
      <c r="BN520" s="529"/>
      <c r="BO520" s="529"/>
      <c r="BP520" s="529"/>
      <c r="BQ520" s="529"/>
      <c r="BR520" s="529"/>
      <c r="BS520" s="529"/>
      <c r="BT520" s="529"/>
      <c r="BU520" s="529"/>
      <c r="BV520" s="529"/>
      <c r="BW520" s="529"/>
      <c r="BX520" s="529"/>
      <c r="BY520" s="529"/>
      <c r="BZ520" s="537"/>
      <c r="CA520" s="537"/>
      <c r="CB520" s="529"/>
    </row>
    <row r="521" spans="1:80" x14ac:dyDescent="0.3">
      <c r="A521" s="648"/>
      <c r="B521" s="648" t="s">
        <v>6</v>
      </c>
      <c r="C521" s="648" cm="1">
        <f t="array" ref="C521">SUMPRODUCT((Index_Tab!$D$36:$D$45=$B521)*(Index_Tab!$E$35:$F$35=$B$3)*Index_Tab!$E$36:$F$45)</f>
        <v>11</v>
      </c>
      <c r="D521" s="648"/>
      <c r="E521" s="572" t="s">
        <v>391</v>
      </c>
      <c r="F521" s="573"/>
      <c r="G521" s="573"/>
      <c r="H521" s="529"/>
      <c r="I521" s="658">
        <v>1326353.464541951</v>
      </c>
      <c r="J521" s="661" cm="1">
        <f t="array" ref="J521">I521*(1+INDEX(('Detailed Assumptions'!$D$59:$J$79,'Detailed Assumptions'!$L$59:$R$79,'Detailed Assumptions'!$T$59:$Z$79,'Detailed Assumptions'!$AB$59:$AH$79),$C521,J$2,$C$506))</f>
        <v>1326353.464541951</v>
      </c>
      <c r="K521" s="661" cm="1">
        <f t="array" ref="K521">J521*(1+INDEX(('Detailed Assumptions'!$D$59:$J$79,'Detailed Assumptions'!$L$59:$R$79,'Detailed Assumptions'!$T$59:$Z$79,'Detailed Assumptions'!$AB$59:$AH$79),$C521,K$2,$C$506))</f>
        <v>1326353.464541951</v>
      </c>
      <c r="L521" s="661" cm="1">
        <f t="array" ref="L521">K521*(1+INDEX(('Detailed Assumptions'!$D$59:$J$79,'Detailed Assumptions'!$L$59:$R$79,'Detailed Assumptions'!$T$59:$Z$79,'Detailed Assumptions'!$AB$59:$AH$79),$C521,L$2,$C$506))</f>
        <v>1326353.464541951</v>
      </c>
      <c r="M521" s="661" cm="1">
        <f t="array" ref="M521">L521*(1+INDEX(('Detailed Assumptions'!$D$59:$J$79,'Detailed Assumptions'!$L$59:$R$79,'Detailed Assumptions'!$T$59:$Z$79,'Detailed Assumptions'!$AB$59:$AH$79),$C521,M$2,$C$506))</f>
        <v>1326353.464541951</v>
      </c>
      <c r="N521" s="661" cm="1">
        <f t="array" ref="N521">M521*(1+INDEX(('Detailed Assumptions'!$D$59:$J$79,'Detailed Assumptions'!$L$59:$R$79,'Detailed Assumptions'!$T$59:$Z$79,'Detailed Assumptions'!$AB$59:$AH$79),$C521,N$2,$C$506))</f>
        <v>1326353.464541951</v>
      </c>
      <c r="O521" s="536"/>
      <c r="P521" s="568">
        <f t="shared" ref="P521:P527" si="684">IFERROR(((N521/I521)^(1/5))-1,0)</f>
        <v>0</v>
      </c>
      <c r="Q521" s="529"/>
      <c r="R521" s="532">
        <f t="shared" ref="R521:AG523" si="685">(INDEX($I521:$N521,MATCH(R$2,$I$3:$N$3,0)))/12</f>
        <v>110529.45537849591</v>
      </c>
      <c r="S521" s="532">
        <f t="shared" si="685"/>
        <v>110529.45537849591</v>
      </c>
      <c r="T521" s="532">
        <f t="shared" si="685"/>
        <v>110529.45537849591</v>
      </c>
      <c r="U521" s="532">
        <f t="shared" si="685"/>
        <v>110529.45537849591</v>
      </c>
      <c r="V521" s="532">
        <f t="shared" si="685"/>
        <v>110529.45537849591</v>
      </c>
      <c r="W521" s="532">
        <f t="shared" si="685"/>
        <v>110529.45537849591</v>
      </c>
      <c r="X521" s="532">
        <f t="shared" si="685"/>
        <v>110529.45537849591</v>
      </c>
      <c r="Y521" s="532">
        <f t="shared" si="685"/>
        <v>110529.45537849591</v>
      </c>
      <c r="Z521" s="532">
        <f t="shared" si="685"/>
        <v>110529.45537849591</v>
      </c>
      <c r="AA521" s="532">
        <f t="shared" si="685"/>
        <v>110529.45537849591</v>
      </c>
      <c r="AB521" s="532">
        <f t="shared" si="685"/>
        <v>110529.45537849591</v>
      </c>
      <c r="AC521" s="532">
        <f t="shared" si="685"/>
        <v>110529.45537849591</v>
      </c>
      <c r="AD521" s="532">
        <f t="shared" si="685"/>
        <v>110529.45537849591</v>
      </c>
      <c r="AE521" s="532">
        <f t="shared" si="685"/>
        <v>110529.45537849591</v>
      </c>
      <c r="AF521" s="532">
        <f t="shared" si="685"/>
        <v>110529.45537849591</v>
      </c>
      <c r="AG521" s="532">
        <f t="shared" si="685"/>
        <v>110529.45537849591</v>
      </c>
      <c r="AH521" s="532">
        <f t="shared" ref="AH521:AW523" si="686">(INDEX($I521:$N521,MATCH(AH$2,$I$3:$N$3,0)))/12</f>
        <v>110529.45537849591</v>
      </c>
      <c r="AI521" s="532">
        <f t="shared" si="686"/>
        <v>110529.45537849591</v>
      </c>
      <c r="AJ521" s="532">
        <f t="shared" si="686"/>
        <v>110529.45537849591</v>
      </c>
      <c r="AK521" s="532">
        <f t="shared" si="686"/>
        <v>110529.45537849591</v>
      </c>
      <c r="AL521" s="532">
        <f t="shared" si="686"/>
        <v>110529.45537849591</v>
      </c>
      <c r="AM521" s="532">
        <f t="shared" si="686"/>
        <v>110529.45537849591</v>
      </c>
      <c r="AN521" s="532">
        <f t="shared" si="686"/>
        <v>110529.45537849591</v>
      </c>
      <c r="AO521" s="532">
        <f t="shared" si="686"/>
        <v>110529.45537849591</v>
      </c>
      <c r="AP521" s="532">
        <f t="shared" si="686"/>
        <v>110529.45537849591</v>
      </c>
      <c r="AQ521" s="532">
        <f t="shared" si="686"/>
        <v>110529.45537849591</v>
      </c>
      <c r="AR521" s="532">
        <f t="shared" si="686"/>
        <v>110529.45537849591</v>
      </c>
      <c r="AS521" s="532">
        <f t="shared" si="686"/>
        <v>110529.45537849591</v>
      </c>
      <c r="AT521" s="532">
        <f t="shared" si="686"/>
        <v>110529.45537849591</v>
      </c>
      <c r="AU521" s="532">
        <f t="shared" si="686"/>
        <v>110529.45537849591</v>
      </c>
      <c r="AV521" s="532">
        <f t="shared" si="686"/>
        <v>110529.45537849591</v>
      </c>
      <c r="AW521" s="532">
        <f t="shared" si="686"/>
        <v>110529.45537849591</v>
      </c>
      <c r="AX521" s="532">
        <f t="shared" ref="AX521:BM523" si="687">(INDEX($I521:$N521,MATCH(AX$2,$I$3:$N$3,0)))/12</f>
        <v>110529.45537849591</v>
      </c>
      <c r="AY521" s="532">
        <f t="shared" si="687"/>
        <v>110529.45537849591</v>
      </c>
      <c r="AZ521" s="532">
        <f t="shared" si="687"/>
        <v>110529.45537849591</v>
      </c>
      <c r="BA521" s="532">
        <f t="shared" si="687"/>
        <v>110529.45537849591</v>
      </c>
      <c r="BB521" s="532">
        <f t="shared" si="687"/>
        <v>110529.45537849591</v>
      </c>
      <c r="BC521" s="532">
        <f t="shared" si="687"/>
        <v>110529.45537849591</v>
      </c>
      <c r="BD521" s="532">
        <f t="shared" si="687"/>
        <v>110529.45537849591</v>
      </c>
      <c r="BE521" s="532">
        <f t="shared" si="687"/>
        <v>110529.45537849591</v>
      </c>
      <c r="BF521" s="532">
        <f t="shared" si="687"/>
        <v>110529.45537849591</v>
      </c>
      <c r="BG521" s="532">
        <f t="shared" si="687"/>
        <v>110529.45537849591</v>
      </c>
      <c r="BH521" s="532">
        <f t="shared" si="687"/>
        <v>110529.45537849591</v>
      </c>
      <c r="BI521" s="532">
        <f t="shared" si="687"/>
        <v>110529.45537849591</v>
      </c>
      <c r="BJ521" s="532">
        <f t="shared" si="687"/>
        <v>110529.45537849591</v>
      </c>
      <c r="BK521" s="532">
        <f t="shared" si="687"/>
        <v>110529.45537849591</v>
      </c>
      <c r="BL521" s="532">
        <f t="shared" si="687"/>
        <v>110529.45537849591</v>
      </c>
      <c r="BM521" s="532">
        <f t="shared" si="687"/>
        <v>110529.45537849591</v>
      </c>
      <c r="BN521" s="532">
        <f t="shared" ref="BN521:BY523" si="688">(INDEX($I521:$N521,MATCH(BN$2,$I$3:$N$3,0)))/12</f>
        <v>110529.45537849591</v>
      </c>
      <c r="BO521" s="532">
        <f t="shared" si="688"/>
        <v>110529.45537849591</v>
      </c>
      <c r="BP521" s="532">
        <f t="shared" si="688"/>
        <v>110529.45537849591</v>
      </c>
      <c r="BQ521" s="532">
        <f t="shared" si="688"/>
        <v>110529.45537849591</v>
      </c>
      <c r="BR521" s="532">
        <f t="shared" si="688"/>
        <v>110529.45537849591</v>
      </c>
      <c r="BS521" s="532">
        <f t="shared" si="688"/>
        <v>110529.45537849591</v>
      </c>
      <c r="BT521" s="532">
        <f t="shared" si="688"/>
        <v>110529.45537849591</v>
      </c>
      <c r="BU521" s="532">
        <f t="shared" si="688"/>
        <v>110529.45537849591</v>
      </c>
      <c r="BV521" s="532">
        <f t="shared" si="688"/>
        <v>110529.45537849591</v>
      </c>
      <c r="BW521" s="532">
        <f t="shared" si="688"/>
        <v>110529.45537849591</v>
      </c>
      <c r="BX521" s="532">
        <f t="shared" si="688"/>
        <v>110529.45537849591</v>
      </c>
      <c r="BY521" s="532">
        <f t="shared" si="688"/>
        <v>110529.45537849591</v>
      </c>
      <c r="BZ521" s="537"/>
      <c r="CA521" s="537"/>
      <c r="CB521" s="529"/>
    </row>
    <row r="522" spans="1:80" x14ac:dyDescent="0.3">
      <c r="A522" s="648"/>
      <c r="B522" s="648" t="s">
        <v>7</v>
      </c>
      <c r="C522" s="648" cm="1">
        <f t="array" ref="C522">SUMPRODUCT((Index_Tab!$D$36:$D$45=$B522)*(Index_Tab!$E$35:$F$35=$B$3)*Index_Tab!$E$36:$F$45)</f>
        <v>12</v>
      </c>
      <c r="D522" s="648"/>
      <c r="E522" s="525" t="s">
        <v>392</v>
      </c>
      <c r="F522" s="567"/>
      <c r="G522" s="567"/>
      <c r="H522" s="529"/>
      <c r="I522" s="544">
        <v>-670173.36989358428</v>
      </c>
      <c r="J522" s="542" cm="1">
        <f t="array" ref="J522">I522*(1+INDEX(('Detailed Assumptions'!$D$59:$J$79,'Detailed Assumptions'!$L$59:$R$79,'Detailed Assumptions'!$T$59:$Z$79,'Detailed Assumptions'!$AB$59:$AH$79),$C522,J$2,$C$506))</f>
        <v>-670173.36989358428</v>
      </c>
      <c r="K522" s="542" cm="1">
        <f t="array" ref="K522">J522*(1+INDEX(('Detailed Assumptions'!$D$59:$J$79,'Detailed Assumptions'!$L$59:$R$79,'Detailed Assumptions'!$T$59:$Z$79,'Detailed Assumptions'!$AB$59:$AH$79),$C522,K$2,$C$506))</f>
        <v>-670173.36989358428</v>
      </c>
      <c r="L522" s="542" cm="1">
        <f t="array" ref="L522">K522*(1+INDEX(('Detailed Assumptions'!$D$59:$J$79,'Detailed Assumptions'!$L$59:$R$79,'Detailed Assumptions'!$T$59:$Z$79,'Detailed Assumptions'!$AB$59:$AH$79),$C522,L$2,$C$506))</f>
        <v>-670173.36989358428</v>
      </c>
      <c r="M522" s="542" cm="1">
        <f t="array" ref="M522">L522*(1+INDEX(('Detailed Assumptions'!$D$59:$J$79,'Detailed Assumptions'!$L$59:$R$79,'Detailed Assumptions'!$T$59:$Z$79,'Detailed Assumptions'!$AB$59:$AH$79),$C522,M$2,$C$506))</f>
        <v>-670173.36989358428</v>
      </c>
      <c r="N522" s="542" cm="1">
        <f t="array" ref="N522">M522*(1+INDEX(('Detailed Assumptions'!$D$59:$J$79,'Detailed Assumptions'!$L$59:$R$79,'Detailed Assumptions'!$T$59:$Z$79,'Detailed Assumptions'!$AB$59:$AH$79),$C522,N$2,$C$506))</f>
        <v>-670173.36989358428</v>
      </c>
      <c r="O522" s="529"/>
      <c r="P522" s="564">
        <f t="shared" si="684"/>
        <v>0</v>
      </c>
      <c r="Q522" s="529"/>
      <c r="R522" s="527">
        <f t="shared" si="685"/>
        <v>-55847.780824465357</v>
      </c>
      <c r="S522" s="527">
        <f t="shared" si="685"/>
        <v>-55847.780824465357</v>
      </c>
      <c r="T522" s="527">
        <f t="shared" si="685"/>
        <v>-55847.780824465357</v>
      </c>
      <c r="U522" s="527">
        <f t="shared" si="685"/>
        <v>-55847.780824465357</v>
      </c>
      <c r="V522" s="527">
        <f t="shared" si="685"/>
        <v>-55847.780824465357</v>
      </c>
      <c r="W522" s="527">
        <f t="shared" si="685"/>
        <v>-55847.780824465357</v>
      </c>
      <c r="X522" s="527">
        <f t="shared" si="685"/>
        <v>-55847.780824465357</v>
      </c>
      <c r="Y522" s="527">
        <f t="shared" si="685"/>
        <v>-55847.780824465357</v>
      </c>
      <c r="Z522" s="527">
        <f t="shared" si="685"/>
        <v>-55847.780824465357</v>
      </c>
      <c r="AA522" s="527">
        <f t="shared" si="685"/>
        <v>-55847.780824465357</v>
      </c>
      <c r="AB522" s="527">
        <f t="shared" si="685"/>
        <v>-55847.780824465357</v>
      </c>
      <c r="AC522" s="527">
        <f t="shared" si="685"/>
        <v>-55847.780824465357</v>
      </c>
      <c r="AD522" s="527">
        <f t="shared" si="685"/>
        <v>-55847.780824465357</v>
      </c>
      <c r="AE522" s="527">
        <f t="shared" si="685"/>
        <v>-55847.780824465357</v>
      </c>
      <c r="AF522" s="527">
        <f t="shared" si="685"/>
        <v>-55847.780824465357</v>
      </c>
      <c r="AG522" s="527">
        <f t="shared" si="685"/>
        <v>-55847.780824465357</v>
      </c>
      <c r="AH522" s="527">
        <f t="shared" si="686"/>
        <v>-55847.780824465357</v>
      </c>
      <c r="AI522" s="527">
        <f t="shared" si="686"/>
        <v>-55847.780824465357</v>
      </c>
      <c r="AJ522" s="527">
        <f t="shared" si="686"/>
        <v>-55847.780824465357</v>
      </c>
      <c r="AK522" s="527">
        <f t="shared" si="686"/>
        <v>-55847.780824465357</v>
      </c>
      <c r="AL522" s="527">
        <f t="shared" si="686"/>
        <v>-55847.780824465357</v>
      </c>
      <c r="AM522" s="527">
        <f t="shared" si="686"/>
        <v>-55847.780824465357</v>
      </c>
      <c r="AN522" s="527">
        <f t="shared" si="686"/>
        <v>-55847.780824465357</v>
      </c>
      <c r="AO522" s="527">
        <f t="shared" si="686"/>
        <v>-55847.780824465357</v>
      </c>
      <c r="AP522" s="527">
        <f t="shared" si="686"/>
        <v>-55847.780824465357</v>
      </c>
      <c r="AQ522" s="527">
        <f t="shared" si="686"/>
        <v>-55847.780824465357</v>
      </c>
      <c r="AR522" s="527">
        <f t="shared" si="686"/>
        <v>-55847.780824465357</v>
      </c>
      <c r="AS522" s="527">
        <f t="shared" si="686"/>
        <v>-55847.780824465357</v>
      </c>
      <c r="AT522" s="527">
        <f t="shared" si="686"/>
        <v>-55847.780824465357</v>
      </c>
      <c r="AU522" s="527">
        <f t="shared" si="686"/>
        <v>-55847.780824465357</v>
      </c>
      <c r="AV522" s="527">
        <f t="shared" si="686"/>
        <v>-55847.780824465357</v>
      </c>
      <c r="AW522" s="527">
        <f t="shared" si="686"/>
        <v>-55847.780824465357</v>
      </c>
      <c r="AX522" s="527">
        <f t="shared" si="687"/>
        <v>-55847.780824465357</v>
      </c>
      <c r="AY522" s="527">
        <f t="shared" si="687"/>
        <v>-55847.780824465357</v>
      </c>
      <c r="AZ522" s="527">
        <f t="shared" si="687"/>
        <v>-55847.780824465357</v>
      </c>
      <c r="BA522" s="527">
        <f t="shared" si="687"/>
        <v>-55847.780824465357</v>
      </c>
      <c r="BB522" s="527">
        <f t="shared" si="687"/>
        <v>-55847.780824465357</v>
      </c>
      <c r="BC522" s="527">
        <f t="shared" si="687"/>
        <v>-55847.780824465357</v>
      </c>
      <c r="BD522" s="527">
        <f t="shared" si="687"/>
        <v>-55847.780824465357</v>
      </c>
      <c r="BE522" s="527">
        <f t="shared" si="687"/>
        <v>-55847.780824465357</v>
      </c>
      <c r="BF522" s="527">
        <f t="shared" si="687"/>
        <v>-55847.780824465357</v>
      </c>
      <c r="BG522" s="527">
        <f t="shared" si="687"/>
        <v>-55847.780824465357</v>
      </c>
      <c r="BH522" s="527">
        <f t="shared" si="687"/>
        <v>-55847.780824465357</v>
      </c>
      <c r="BI522" s="527">
        <f t="shared" si="687"/>
        <v>-55847.780824465357</v>
      </c>
      <c r="BJ522" s="527">
        <f t="shared" si="687"/>
        <v>-55847.780824465357</v>
      </c>
      <c r="BK522" s="527">
        <f t="shared" si="687"/>
        <v>-55847.780824465357</v>
      </c>
      <c r="BL522" s="527">
        <f t="shared" si="687"/>
        <v>-55847.780824465357</v>
      </c>
      <c r="BM522" s="527">
        <f t="shared" si="687"/>
        <v>-55847.780824465357</v>
      </c>
      <c r="BN522" s="527">
        <f t="shared" si="688"/>
        <v>-55847.780824465357</v>
      </c>
      <c r="BO522" s="527">
        <f t="shared" si="688"/>
        <v>-55847.780824465357</v>
      </c>
      <c r="BP522" s="527">
        <f t="shared" si="688"/>
        <v>-55847.780824465357</v>
      </c>
      <c r="BQ522" s="527">
        <f t="shared" si="688"/>
        <v>-55847.780824465357</v>
      </c>
      <c r="BR522" s="527">
        <f t="shared" si="688"/>
        <v>-55847.780824465357</v>
      </c>
      <c r="BS522" s="527">
        <f t="shared" si="688"/>
        <v>-55847.780824465357</v>
      </c>
      <c r="BT522" s="527">
        <f t="shared" si="688"/>
        <v>-55847.780824465357</v>
      </c>
      <c r="BU522" s="527">
        <f t="shared" si="688"/>
        <v>-55847.780824465357</v>
      </c>
      <c r="BV522" s="527">
        <f t="shared" si="688"/>
        <v>-55847.780824465357</v>
      </c>
      <c r="BW522" s="527">
        <f t="shared" si="688"/>
        <v>-55847.780824465357</v>
      </c>
      <c r="BX522" s="527">
        <f t="shared" si="688"/>
        <v>-55847.780824465357</v>
      </c>
      <c r="BY522" s="527">
        <f t="shared" si="688"/>
        <v>-55847.780824465357</v>
      </c>
      <c r="BZ522" s="537"/>
      <c r="CA522" s="537"/>
      <c r="CB522" s="529"/>
    </row>
    <row r="523" spans="1:80" x14ac:dyDescent="0.3">
      <c r="A523" s="648"/>
      <c r="B523" s="648" t="s">
        <v>8</v>
      </c>
      <c r="C523" s="648" cm="1">
        <f t="array" ref="C523">SUMPRODUCT((Index_Tab!$D$36:$D$45=$B523)*(Index_Tab!$E$35:$F$35=$B$3)*Index_Tab!$E$36:$F$45)</f>
        <v>0</v>
      </c>
      <c r="D523" s="648"/>
      <c r="E523" s="525" t="s">
        <v>393</v>
      </c>
      <c r="F523" s="567"/>
      <c r="G523" s="567"/>
      <c r="H523" s="529"/>
      <c r="I523" s="544">
        <v>-81038.546267334808</v>
      </c>
      <c r="J523" s="542">
        <f>I523*(1+'Detailed Assumptions'!$E$35)</f>
        <v>-81038.546267334808</v>
      </c>
      <c r="K523" s="542">
        <f>J523*(1+'Detailed Assumptions'!$E$35)</f>
        <v>-81038.546267334808</v>
      </c>
      <c r="L523" s="542">
        <f>K523*(1+'Detailed Assumptions'!$E$35)</f>
        <v>-81038.546267334808</v>
      </c>
      <c r="M523" s="542">
        <f>L523*(1+'Detailed Assumptions'!$E$35)</f>
        <v>-81038.546267334808</v>
      </c>
      <c r="N523" s="542">
        <f>M523*(1+'Detailed Assumptions'!$E$35)</f>
        <v>-81038.546267334808</v>
      </c>
      <c r="O523" s="529"/>
      <c r="P523" s="564">
        <f t="shared" si="684"/>
        <v>0</v>
      </c>
      <c r="Q523" s="529"/>
      <c r="R523" s="527">
        <f t="shared" si="685"/>
        <v>-6753.2121889445671</v>
      </c>
      <c r="S523" s="527">
        <f t="shared" si="685"/>
        <v>-6753.2121889445671</v>
      </c>
      <c r="T523" s="527">
        <f t="shared" si="685"/>
        <v>-6753.2121889445671</v>
      </c>
      <c r="U523" s="527">
        <f t="shared" si="685"/>
        <v>-6753.2121889445671</v>
      </c>
      <c r="V523" s="527">
        <f t="shared" si="685"/>
        <v>-6753.2121889445671</v>
      </c>
      <c r="W523" s="527">
        <f t="shared" si="685"/>
        <v>-6753.2121889445671</v>
      </c>
      <c r="X523" s="527">
        <f t="shared" si="685"/>
        <v>-6753.2121889445671</v>
      </c>
      <c r="Y523" s="527">
        <f t="shared" si="685"/>
        <v>-6753.2121889445671</v>
      </c>
      <c r="Z523" s="527">
        <f t="shared" si="685"/>
        <v>-6753.2121889445671</v>
      </c>
      <c r="AA523" s="527">
        <f t="shared" si="685"/>
        <v>-6753.2121889445671</v>
      </c>
      <c r="AB523" s="527">
        <f t="shared" si="685"/>
        <v>-6753.2121889445671</v>
      </c>
      <c r="AC523" s="527">
        <f t="shared" si="685"/>
        <v>-6753.2121889445671</v>
      </c>
      <c r="AD523" s="527">
        <f t="shared" si="685"/>
        <v>-6753.2121889445671</v>
      </c>
      <c r="AE523" s="527">
        <f t="shared" si="685"/>
        <v>-6753.2121889445671</v>
      </c>
      <c r="AF523" s="527">
        <f t="shared" si="685"/>
        <v>-6753.2121889445671</v>
      </c>
      <c r="AG523" s="527">
        <f t="shared" si="685"/>
        <v>-6753.2121889445671</v>
      </c>
      <c r="AH523" s="527">
        <f t="shared" si="686"/>
        <v>-6753.2121889445671</v>
      </c>
      <c r="AI523" s="527">
        <f t="shared" si="686"/>
        <v>-6753.2121889445671</v>
      </c>
      <c r="AJ523" s="527">
        <f t="shared" si="686"/>
        <v>-6753.2121889445671</v>
      </c>
      <c r="AK523" s="527">
        <f t="shared" si="686"/>
        <v>-6753.2121889445671</v>
      </c>
      <c r="AL523" s="527">
        <f t="shared" si="686"/>
        <v>-6753.2121889445671</v>
      </c>
      <c r="AM523" s="527">
        <f t="shared" si="686"/>
        <v>-6753.2121889445671</v>
      </c>
      <c r="AN523" s="527">
        <f t="shared" si="686"/>
        <v>-6753.2121889445671</v>
      </c>
      <c r="AO523" s="527">
        <f t="shared" si="686"/>
        <v>-6753.2121889445671</v>
      </c>
      <c r="AP523" s="527">
        <f t="shared" si="686"/>
        <v>-6753.2121889445671</v>
      </c>
      <c r="AQ523" s="527">
        <f t="shared" si="686"/>
        <v>-6753.2121889445671</v>
      </c>
      <c r="AR523" s="527">
        <f t="shared" si="686"/>
        <v>-6753.2121889445671</v>
      </c>
      <c r="AS523" s="527">
        <f t="shared" si="686"/>
        <v>-6753.2121889445671</v>
      </c>
      <c r="AT523" s="527">
        <f t="shared" si="686"/>
        <v>-6753.2121889445671</v>
      </c>
      <c r="AU523" s="527">
        <f t="shared" si="686"/>
        <v>-6753.2121889445671</v>
      </c>
      <c r="AV523" s="527">
        <f t="shared" si="686"/>
        <v>-6753.2121889445671</v>
      </c>
      <c r="AW523" s="527">
        <f t="shared" si="686"/>
        <v>-6753.2121889445671</v>
      </c>
      <c r="AX523" s="527">
        <f t="shared" si="687"/>
        <v>-6753.2121889445671</v>
      </c>
      <c r="AY523" s="527">
        <f t="shared" si="687"/>
        <v>-6753.2121889445671</v>
      </c>
      <c r="AZ523" s="527">
        <f t="shared" si="687"/>
        <v>-6753.2121889445671</v>
      </c>
      <c r="BA523" s="527">
        <f t="shared" si="687"/>
        <v>-6753.2121889445671</v>
      </c>
      <c r="BB523" s="527">
        <f t="shared" si="687"/>
        <v>-6753.2121889445671</v>
      </c>
      <c r="BC523" s="527">
        <f t="shared" si="687"/>
        <v>-6753.2121889445671</v>
      </c>
      <c r="BD523" s="527">
        <f t="shared" si="687"/>
        <v>-6753.2121889445671</v>
      </c>
      <c r="BE523" s="527">
        <f t="shared" si="687"/>
        <v>-6753.2121889445671</v>
      </c>
      <c r="BF523" s="527">
        <f t="shared" si="687"/>
        <v>-6753.2121889445671</v>
      </c>
      <c r="BG523" s="527">
        <f t="shared" si="687"/>
        <v>-6753.2121889445671</v>
      </c>
      <c r="BH523" s="527">
        <f t="shared" si="687"/>
        <v>-6753.2121889445671</v>
      </c>
      <c r="BI523" s="527">
        <f t="shared" si="687"/>
        <v>-6753.2121889445671</v>
      </c>
      <c r="BJ523" s="527">
        <f t="shared" si="687"/>
        <v>-6753.2121889445671</v>
      </c>
      <c r="BK523" s="527">
        <f t="shared" si="687"/>
        <v>-6753.2121889445671</v>
      </c>
      <c r="BL523" s="527">
        <f t="shared" si="687"/>
        <v>-6753.2121889445671</v>
      </c>
      <c r="BM523" s="527">
        <f t="shared" si="687"/>
        <v>-6753.2121889445671</v>
      </c>
      <c r="BN523" s="527">
        <f t="shared" si="688"/>
        <v>-6753.2121889445671</v>
      </c>
      <c r="BO523" s="527">
        <f t="shared" si="688"/>
        <v>-6753.2121889445671</v>
      </c>
      <c r="BP523" s="527">
        <f t="shared" si="688"/>
        <v>-6753.2121889445671</v>
      </c>
      <c r="BQ523" s="527">
        <f t="shared" si="688"/>
        <v>-6753.2121889445671</v>
      </c>
      <c r="BR523" s="527">
        <f t="shared" si="688"/>
        <v>-6753.2121889445671</v>
      </c>
      <c r="BS523" s="527">
        <f t="shared" si="688"/>
        <v>-6753.2121889445671</v>
      </c>
      <c r="BT523" s="527">
        <f t="shared" si="688"/>
        <v>-6753.2121889445671</v>
      </c>
      <c r="BU523" s="527">
        <f t="shared" si="688"/>
        <v>-6753.2121889445671</v>
      </c>
      <c r="BV523" s="527">
        <f t="shared" si="688"/>
        <v>-6753.2121889445671</v>
      </c>
      <c r="BW523" s="527">
        <f t="shared" si="688"/>
        <v>-6753.2121889445671</v>
      </c>
      <c r="BX523" s="527">
        <f t="shared" si="688"/>
        <v>-6753.2121889445671</v>
      </c>
      <c r="BY523" s="527">
        <f t="shared" si="688"/>
        <v>-6753.2121889445671</v>
      </c>
      <c r="BZ523" s="537"/>
      <c r="CA523" s="537"/>
      <c r="CB523" s="529"/>
    </row>
    <row r="524" spans="1:80" x14ac:dyDescent="0.3">
      <c r="A524" s="648"/>
      <c r="B524" s="648" t="s">
        <v>9</v>
      </c>
      <c r="C524" s="648" cm="1">
        <f t="array" ref="C524">SUMPRODUCT((Index_Tab!$D$36:$D$45=$B524)*(Index_Tab!$E$35:$F$35=$B$3)*Index_Tab!$E$36:$F$45)</f>
        <v>0</v>
      </c>
      <c r="D524" s="648"/>
      <c r="E524" s="572" t="s">
        <v>394</v>
      </c>
      <c r="F524" s="573"/>
      <c r="G524" s="573"/>
      <c r="H524" s="529"/>
      <c r="I524" s="659">
        <v>512475.88000000006</v>
      </c>
      <c r="J524" s="532">
        <f>SUM(J521:J523)</f>
        <v>575141.54838103184</v>
      </c>
      <c r="K524" s="532">
        <f>SUM(K521:K523)</f>
        <v>575141.54838103184</v>
      </c>
      <c r="L524" s="532">
        <f>SUM(L521:L523)</f>
        <v>575141.54838103184</v>
      </c>
      <c r="M524" s="532">
        <f>SUM(M521:M523)</f>
        <v>575141.54838103184</v>
      </c>
      <c r="N524" s="532">
        <f>SUM(N521:N523)</f>
        <v>575141.54838103184</v>
      </c>
      <c r="O524" s="536"/>
      <c r="P524" s="568">
        <f t="shared" si="684"/>
        <v>2.3340736246417526E-2</v>
      </c>
      <c r="Q524" s="529"/>
      <c r="R524" s="532">
        <f t="shared" ref="R524:BX524" si="689">SUM(R521:R523)</f>
        <v>47928.462365085987</v>
      </c>
      <c r="S524" s="532">
        <f t="shared" si="689"/>
        <v>47928.462365085987</v>
      </c>
      <c r="T524" s="532">
        <f t="shared" si="689"/>
        <v>47928.462365085987</v>
      </c>
      <c r="U524" s="532">
        <f t="shared" si="689"/>
        <v>47928.462365085987</v>
      </c>
      <c r="V524" s="532">
        <f t="shared" si="689"/>
        <v>47928.462365085987</v>
      </c>
      <c r="W524" s="532">
        <f t="shared" si="689"/>
        <v>47928.462365085987</v>
      </c>
      <c r="X524" s="532">
        <f t="shared" si="689"/>
        <v>47928.462365085987</v>
      </c>
      <c r="Y524" s="532">
        <f t="shared" si="689"/>
        <v>47928.462365085987</v>
      </c>
      <c r="Z524" s="532">
        <f t="shared" si="689"/>
        <v>47928.462365085987</v>
      </c>
      <c r="AA524" s="532">
        <f t="shared" si="689"/>
        <v>47928.462365085987</v>
      </c>
      <c r="AB524" s="532">
        <f t="shared" si="689"/>
        <v>47928.462365085987</v>
      </c>
      <c r="AC524" s="532">
        <f t="shared" si="689"/>
        <v>47928.462365085987</v>
      </c>
      <c r="AD524" s="532">
        <f t="shared" si="689"/>
        <v>47928.462365085987</v>
      </c>
      <c r="AE524" s="532">
        <f t="shared" si="689"/>
        <v>47928.462365085987</v>
      </c>
      <c r="AF524" s="532">
        <f t="shared" si="689"/>
        <v>47928.462365085987</v>
      </c>
      <c r="AG524" s="532">
        <f t="shared" si="689"/>
        <v>47928.462365085987</v>
      </c>
      <c r="AH524" s="532">
        <f t="shared" si="689"/>
        <v>47928.462365085987</v>
      </c>
      <c r="AI524" s="532">
        <f t="shared" si="689"/>
        <v>47928.462365085987</v>
      </c>
      <c r="AJ524" s="532">
        <f t="shared" si="689"/>
        <v>47928.462365085987</v>
      </c>
      <c r="AK524" s="532">
        <f t="shared" si="689"/>
        <v>47928.462365085987</v>
      </c>
      <c r="AL524" s="532">
        <f t="shared" si="689"/>
        <v>47928.462365085987</v>
      </c>
      <c r="AM524" s="532">
        <f t="shared" si="689"/>
        <v>47928.462365085987</v>
      </c>
      <c r="AN524" s="532">
        <f t="shared" si="689"/>
        <v>47928.462365085987</v>
      </c>
      <c r="AO524" s="532">
        <f t="shared" si="689"/>
        <v>47928.462365085987</v>
      </c>
      <c r="AP524" s="532">
        <f t="shared" si="689"/>
        <v>47928.462365085987</v>
      </c>
      <c r="AQ524" s="532">
        <f t="shared" si="689"/>
        <v>47928.462365085987</v>
      </c>
      <c r="AR524" s="532">
        <f t="shared" si="689"/>
        <v>47928.462365085987</v>
      </c>
      <c r="AS524" s="532">
        <f t="shared" si="689"/>
        <v>47928.462365085987</v>
      </c>
      <c r="AT524" s="532">
        <f t="shared" si="689"/>
        <v>47928.462365085987</v>
      </c>
      <c r="AU524" s="532">
        <f t="shared" si="689"/>
        <v>47928.462365085987</v>
      </c>
      <c r="AV524" s="532">
        <f t="shared" si="689"/>
        <v>47928.462365085987</v>
      </c>
      <c r="AW524" s="532">
        <f t="shared" si="689"/>
        <v>47928.462365085987</v>
      </c>
      <c r="AX524" s="532">
        <f t="shared" si="689"/>
        <v>47928.462365085987</v>
      </c>
      <c r="AY524" s="532">
        <f t="shared" si="689"/>
        <v>47928.462365085987</v>
      </c>
      <c r="AZ524" s="532">
        <f t="shared" si="689"/>
        <v>47928.462365085987</v>
      </c>
      <c r="BA524" s="532">
        <f t="shared" si="689"/>
        <v>47928.462365085987</v>
      </c>
      <c r="BB524" s="532">
        <f t="shared" si="689"/>
        <v>47928.462365085987</v>
      </c>
      <c r="BC524" s="532">
        <f t="shared" si="689"/>
        <v>47928.462365085987</v>
      </c>
      <c r="BD524" s="532">
        <f t="shared" si="689"/>
        <v>47928.462365085987</v>
      </c>
      <c r="BE524" s="532">
        <f t="shared" si="689"/>
        <v>47928.462365085987</v>
      </c>
      <c r="BF524" s="532">
        <f t="shared" si="689"/>
        <v>47928.462365085987</v>
      </c>
      <c r="BG524" s="532">
        <f t="shared" si="689"/>
        <v>47928.462365085987</v>
      </c>
      <c r="BH524" s="532">
        <f t="shared" si="689"/>
        <v>47928.462365085987</v>
      </c>
      <c r="BI524" s="532">
        <f t="shared" si="689"/>
        <v>47928.462365085987</v>
      </c>
      <c r="BJ524" s="532">
        <f t="shared" si="689"/>
        <v>47928.462365085987</v>
      </c>
      <c r="BK524" s="532">
        <f t="shared" si="689"/>
        <v>47928.462365085987</v>
      </c>
      <c r="BL524" s="532">
        <f t="shared" si="689"/>
        <v>47928.462365085987</v>
      </c>
      <c r="BM524" s="532">
        <f t="shared" si="689"/>
        <v>47928.462365085987</v>
      </c>
      <c r="BN524" s="532">
        <f t="shared" si="689"/>
        <v>47928.462365085987</v>
      </c>
      <c r="BO524" s="532">
        <f t="shared" si="689"/>
        <v>47928.462365085987</v>
      </c>
      <c r="BP524" s="532">
        <f t="shared" si="689"/>
        <v>47928.462365085987</v>
      </c>
      <c r="BQ524" s="532">
        <f t="shared" si="689"/>
        <v>47928.462365085987</v>
      </c>
      <c r="BR524" s="532">
        <f t="shared" si="689"/>
        <v>47928.462365085987</v>
      </c>
      <c r="BS524" s="532">
        <f t="shared" si="689"/>
        <v>47928.462365085987</v>
      </c>
      <c r="BT524" s="532">
        <f t="shared" si="689"/>
        <v>47928.462365085987</v>
      </c>
      <c r="BU524" s="532">
        <f t="shared" si="689"/>
        <v>47928.462365085987</v>
      </c>
      <c r="BV524" s="532">
        <f t="shared" si="689"/>
        <v>47928.462365085987</v>
      </c>
      <c r="BW524" s="532">
        <f t="shared" si="689"/>
        <v>47928.462365085987</v>
      </c>
      <c r="BX524" s="532">
        <f t="shared" si="689"/>
        <v>47928.462365085987</v>
      </c>
      <c r="BY524" s="532">
        <f>SUM(BY521:BY523)</f>
        <v>47928.462365085987</v>
      </c>
      <c r="BZ524" s="537"/>
      <c r="CA524" s="537"/>
      <c r="CB524" s="529"/>
    </row>
    <row r="525" spans="1:80" x14ac:dyDescent="0.3">
      <c r="A525" s="648"/>
      <c r="B525" s="648" t="s">
        <v>10</v>
      </c>
      <c r="C525" s="648" cm="1">
        <f t="array" ref="C525">SUMPRODUCT((Index_Tab!$D$36:$D$45=$B525)*(Index_Tab!$E$35:$F$35=$B$3)*Index_Tab!$E$36:$F$45)</f>
        <v>13</v>
      </c>
      <c r="D525" s="648"/>
      <c r="E525" s="525" t="s">
        <v>395</v>
      </c>
      <c r="F525" s="567"/>
      <c r="G525" s="567"/>
      <c r="H525" s="529"/>
      <c r="I525" s="544">
        <v>-60419.576277732456</v>
      </c>
      <c r="J525" s="542" cm="1">
        <f t="array" ref="J525">I525*(1+INDEX(('Detailed Assumptions'!$D$59:$J$79,'Detailed Assumptions'!$L$59:$R$79,'Detailed Assumptions'!$T$59:$Z$79,'Detailed Assumptions'!$AB$59:$AH$79),$C525,J$2,$C$506))</f>
        <v>-60419.576277732456</v>
      </c>
      <c r="K525" s="542" cm="1">
        <f t="array" ref="K525">J525*(1+INDEX(('Detailed Assumptions'!$D$59:$J$79,'Detailed Assumptions'!$L$59:$R$79,'Detailed Assumptions'!$T$59:$Z$79,'Detailed Assumptions'!$AB$59:$AH$79),$C525,K$2,$C$506))</f>
        <v>-60419.576277732456</v>
      </c>
      <c r="L525" s="542" cm="1">
        <f t="array" ref="L525">K525*(1+INDEX(('Detailed Assumptions'!$D$59:$J$79,'Detailed Assumptions'!$L$59:$R$79,'Detailed Assumptions'!$T$59:$Z$79,'Detailed Assumptions'!$AB$59:$AH$79),$C525,L$2,$C$506))</f>
        <v>-60419.576277732456</v>
      </c>
      <c r="M525" s="542" cm="1">
        <f t="array" ref="M525">L525*(1+INDEX(('Detailed Assumptions'!$D$59:$J$79,'Detailed Assumptions'!$L$59:$R$79,'Detailed Assumptions'!$T$59:$Z$79,'Detailed Assumptions'!$AB$59:$AH$79),$C525,M$2,$C$506))</f>
        <v>-60419.576277732456</v>
      </c>
      <c r="N525" s="542" cm="1">
        <f t="array" ref="N525">M525*(1+INDEX(('Detailed Assumptions'!$D$59:$J$79,'Detailed Assumptions'!$L$59:$R$79,'Detailed Assumptions'!$T$59:$Z$79,'Detailed Assumptions'!$AB$59:$AH$79),$C525,N$2,$C$506))</f>
        <v>-60419.576277732456</v>
      </c>
      <c r="O525" s="529"/>
      <c r="P525" s="564">
        <f t="shared" si="684"/>
        <v>0</v>
      </c>
      <c r="Q525" s="529"/>
      <c r="R525" s="527">
        <f t="shared" ref="R525:BY525" si="690">(INDEX($I525:$N525,MATCH(R$2,$I$3:$N$3,0)))/12</f>
        <v>-5034.9646898110377</v>
      </c>
      <c r="S525" s="527">
        <f t="shared" si="690"/>
        <v>-5034.9646898110377</v>
      </c>
      <c r="T525" s="527">
        <f t="shared" si="690"/>
        <v>-5034.9646898110377</v>
      </c>
      <c r="U525" s="527">
        <f t="shared" si="690"/>
        <v>-5034.9646898110377</v>
      </c>
      <c r="V525" s="527">
        <f t="shared" si="690"/>
        <v>-5034.9646898110377</v>
      </c>
      <c r="W525" s="527">
        <f t="shared" si="690"/>
        <v>-5034.9646898110377</v>
      </c>
      <c r="X525" s="527">
        <f t="shared" si="690"/>
        <v>-5034.9646898110377</v>
      </c>
      <c r="Y525" s="527">
        <f t="shared" si="690"/>
        <v>-5034.9646898110377</v>
      </c>
      <c r="Z525" s="527">
        <f t="shared" si="690"/>
        <v>-5034.9646898110377</v>
      </c>
      <c r="AA525" s="527">
        <f t="shared" si="690"/>
        <v>-5034.9646898110377</v>
      </c>
      <c r="AB525" s="527">
        <f t="shared" si="690"/>
        <v>-5034.9646898110377</v>
      </c>
      <c r="AC525" s="527">
        <f t="shared" si="690"/>
        <v>-5034.9646898110377</v>
      </c>
      <c r="AD525" s="527">
        <f t="shared" si="690"/>
        <v>-5034.9646898110377</v>
      </c>
      <c r="AE525" s="527">
        <f t="shared" si="690"/>
        <v>-5034.9646898110377</v>
      </c>
      <c r="AF525" s="527">
        <f t="shared" si="690"/>
        <v>-5034.9646898110377</v>
      </c>
      <c r="AG525" s="527">
        <f t="shared" si="690"/>
        <v>-5034.9646898110377</v>
      </c>
      <c r="AH525" s="527">
        <f t="shared" si="690"/>
        <v>-5034.9646898110377</v>
      </c>
      <c r="AI525" s="527">
        <f t="shared" si="690"/>
        <v>-5034.9646898110377</v>
      </c>
      <c r="AJ525" s="527">
        <f t="shared" si="690"/>
        <v>-5034.9646898110377</v>
      </c>
      <c r="AK525" s="527">
        <f t="shared" si="690"/>
        <v>-5034.9646898110377</v>
      </c>
      <c r="AL525" s="527">
        <f t="shared" si="690"/>
        <v>-5034.9646898110377</v>
      </c>
      <c r="AM525" s="527">
        <f t="shared" si="690"/>
        <v>-5034.9646898110377</v>
      </c>
      <c r="AN525" s="527">
        <f t="shared" si="690"/>
        <v>-5034.9646898110377</v>
      </c>
      <c r="AO525" s="527">
        <f t="shared" si="690"/>
        <v>-5034.9646898110377</v>
      </c>
      <c r="AP525" s="527">
        <f t="shared" si="690"/>
        <v>-5034.9646898110377</v>
      </c>
      <c r="AQ525" s="527">
        <f t="shared" si="690"/>
        <v>-5034.9646898110377</v>
      </c>
      <c r="AR525" s="527">
        <f t="shared" si="690"/>
        <v>-5034.9646898110377</v>
      </c>
      <c r="AS525" s="527">
        <f t="shared" si="690"/>
        <v>-5034.9646898110377</v>
      </c>
      <c r="AT525" s="527">
        <f t="shared" si="690"/>
        <v>-5034.9646898110377</v>
      </c>
      <c r="AU525" s="527">
        <f t="shared" si="690"/>
        <v>-5034.9646898110377</v>
      </c>
      <c r="AV525" s="527">
        <f t="shared" si="690"/>
        <v>-5034.9646898110377</v>
      </c>
      <c r="AW525" s="527">
        <f t="shared" si="690"/>
        <v>-5034.9646898110377</v>
      </c>
      <c r="AX525" s="527">
        <f t="shared" si="690"/>
        <v>-5034.9646898110377</v>
      </c>
      <c r="AY525" s="527">
        <f t="shared" si="690"/>
        <v>-5034.9646898110377</v>
      </c>
      <c r="AZ525" s="527">
        <f t="shared" si="690"/>
        <v>-5034.9646898110377</v>
      </c>
      <c r="BA525" s="527">
        <f t="shared" si="690"/>
        <v>-5034.9646898110377</v>
      </c>
      <c r="BB525" s="527">
        <f t="shared" si="690"/>
        <v>-5034.9646898110377</v>
      </c>
      <c r="BC525" s="527">
        <f t="shared" si="690"/>
        <v>-5034.9646898110377</v>
      </c>
      <c r="BD525" s="527">
        <f t="shared" si="690"/>
        <v>-5034.9646898110377</v>
      </c>
      <c r="BE525" s="527">
        <f t="shared" si="690"/>
        <v>-5034.9646898110377</v>
      </c>
      <c r="BF525" s="527">
        <f t="shared" si="690"/>
        <v>-5034.9646898110377</v>
      </c>
      <c r="BG525" s="527">
        <f t="shared" si="690"/>
        <v>-5034.9646898110377</v>
      </c>
      <c r="BH525" s="527">
        <f t="shared" si="690"/>
        <v>-5034.9646898110377</v>
      </c>
      <c r="BI525" s="527">
        <f t="shared" si="690"/>
        <v>-5034.9646898110377</v>
      </c>
      <c r="BJ525" s="527">
        <f t="shared" si="690"/>
        <v>-5034.9646898110377</v>
      </c>
      <c r="BK525" s="527">
        <f t="shared" si="690"/>
        <v>-5034.9646898110377</v>
      </c>
      <c r="BL525" s="527">
        <f t="shared" si="690"/>
        <v>-5034.9646898110377</v>
      </c>
      <c r="BM525" s="527">
        <f t="shared" si="690"/>
        <v>-5034.9646898110377</v>
      </c>
      <c r="BN525" s="527">
        <f t="shared" si="690"/>
        <v>-5034.9646898110377</v>
      </c>
      <c r="BO525" s="527">
        <f t="shared" si="690"/>
        <v>-5034.9646898110377</v>
      </c>
      <c r="BP525" s="527">
        <f t="shared" si="690"/>
        <v>-5034.9646898110377</v>
      </c>
      <c r="BQ525" s="527">
        <f t="shared" si="690"/>
        <v>-5034.9646898110377</v>
      </c>
      <c r="BR525" s="527">
        <f t="shared" si="690"/>
        <v>-5034.9646898110377</v>
      </c>
      <c r="BS525" s="527">
        <f t="shared" si="690"/>
        <v>-5034.9646898110377</v>
      </c>
      <c r="BT525" s="527">
        <f t="shared" si="690"/>
        <v>-5034.9646898110377</v>
      </c>
      <c r="BU525" s="527">
        <f t="shared" si="690"/>
        <v>-5034.9646898110377</v>
      </c>
      <c r="BV525" s="527">
        <f t="shared" si="690"/>
        <v>-5034.9646898110377</v>
      </c>
      <c r="BW525" s="527">
        <f t="shared" si="690"/>
        <v>-5034.9646898110377</v>
      </c>
      <c r="BX525" s="527">
        <f t="shared" si="690"/>
        <v>-5034.9646898110377</v>
      </c>
      <c r="BY525" s="527">
        <f t="shared" si="690"/>
        <v>-5034.9646898110377</v>
      </c>
      <c r="BZ525" s="537"/>
      <c r="CA525" s="537"/>
      <c r="CB525" s="529"/>
    </row>
    <row r="526" spans="1:80" x14ac:dyDescent="0.3">
      <c r="A526" s="648"/>
      <c r="B526" s="648" t="s">
        <v>11</v>
      </c>
      <c r="C526" s="648" cm="1">
        <f t="array" ref="C526">SUMPRODUCT((Index_Tab!$D$36:$D$45=$B526)*(Index_Tab!$E$35:$F$35=$B$3)*Index_Tab!$E$36:$F$45)</f>
        <v>0</v>
      </c>
      <c r="D526" s="648"/>
      <c r="E526" s="572" t="s">
        <v>396</v>
      </c>
      <c r="F526" s="573"/>
      <c r="G526" s="573"/>
      <c r="H526" s="529"/>
      <c r="I526" s="659">
        <v>514721.97210329899</v>
      </c>
      <c r="J526" s="532">
        <f>SUM(J524:J525)</f>
        <v>514721.9721032994</v>
      </c>
      <c r="K526" s="532">
        <f>SUM(K524:K525)</f>
        <v>514721.9721032994</v>
      </c>
      <c r="L526" s="532">
        <f>SUM(L524:L525)</f>
        <v>514721.9721032994</v>
      </c>
      <c r="M526" s="532">
        <f>SUM(M524:M525)</f>
        <v>514721.9721032994</v>
      </c>
      <c r="N526" s="532">
        <f>SUM(N524:N525)</f>
        <v>514721.9721032994</v>
      </c>
      <c r="O526" s="536"/>
      <c r="P526" s="568">
        <f t="shared" si="684"/>
        <v>2.2204460492503131E-16</v>
      </c>
      <c r="Q526" s="529"/>
      <c r="R526" s="532">
        <f t="shared" ref="R526:BX526" si="691">SUM(R524:R525)</f>
        <v>42893.49767527495</v>
      </c>
      <c r="S526" s="532">
        <f t="shared" si="691"/>
        <v>42893.49767527495</v>
      </c>
      <c r="T526" s="532">
        <f t="shared" si="691"/>
        <v>42893.49767527495</v>
      </c>
      <c r="U526" s="532">
        <f t="shared" si="691"/>
        <v>42893.49767527495</v>
      </c>
      <c r="V526" s="532">
        <f t="shared" si="691"/>
        <v>42893.49767527495</v>
      </c>
      <c r="W526" s="532">
        <f t="shared" si="691"/>
        <v>42893.49767527495</v>
      </c>
      <c r="X526" s="532">
        <f t="shared" si="691"/>
        <v>42893.49767527495</v>
      </c>
      <c r="Y526" s="532">
        <f t="shared" si="691"/>
        <v>42893.49767527495</v>
      </c>
      <c r="Z526" s="532">
        <f t="shared" si="691"/>
        <v>42893.49767527495</v>
      </c>
      <c r="AA526" s="532">
        <f t="shared" si="691"/>
        <v>42893.49767527495</v>
      </c>
      <c r="AB526" s="532">
        <f t="shared" si="691"/>
        <v>42893.49767527495</v>
      </c>
      <c r="AC526" s="532">
        <f t="shared" si="691"/>
        <v>42893.49767527495</v>
      </c>
      <c r="AD526" s="532">
        <f t="shared" si="691"/>
        <v>42893.49767527495</v>
      </c>
      <c r="AE526" s="532">
        <f t="shared" si="691"/>
        <v>42893.49767527495</v>
      </c>
      <c r="AF526" s="532">
        <f t="shared" si="691"/>
        <v>42893.49767527495</v>
      </c>
      <c r="AG526" s="532">
        <f t="shared" si="691"/>
        <v>42893.49767527495</v>
      </c>
      <c r="AH526" s="532">
        <f t="shared" si="691"/>
        <v>42893.49767527495</v>
      </c>
      <c r="AI526" s="532">
        <f t="shared" si="691"/>
        <v>42893.49767527495</v>
      </c>
      <c r="AJ526" s="532">
        <f t="shared" si="691"/>
        <v>42893.49767527495</v>
      </c>
      <c r="AK526" s="532">
        <f t="shared" si="691"/>
        <v>42893.49767527495</v>
      </c>
      <c r="AL526" s="532">
        <f t="shared" si="691"/>
        <v>42893.49767527495</v>
      </c>
      <c r="AM526" s="532">
        <f t="shared" si="691"/>
        <v>42893.49767527495</v>
      </c>
      <c r="AN526" s="532">
        <f t="shared" si="691"/>
        <v>42893.49767527495</v>
      </c>
      <c r="AO526" s="532">
        <f t="shared" si="691"/>
        <v>42893.49767527495</v>
      </c>
      <c r="AP526" s="532">
        <f t="shared" si="691"/>
        <v>42893.49767527495</v>
      </c>
      <c r="AQ526" s="532">
        <f t="shared" si="691"/>
        <v>42893.49767527495</v>
      </c>
      <c r="AR526" s="532">
        <f t="shared" si="691"/>
        <v>42893.49767527495</v>
      </c>
      <c r="AS526" s="532">
        <f t="shared" si="691"/>
        <v>42893.49767527495</v>
      </c>
      <c r="AT526" s="532">
        <f t="shared" si="691"/>
        <v>42893.49767527495</v>
      </c>
      <c r="AU526" s="532">
        <f t="shared" si="691"/>
        <v>42893.49767527495</v>
      </c>
      <c r="AV526" s="532">
        <f t="shared" si="691"/>
        <v>42893.49767527495</v>
      </c>
      <c r="AW526" s="532">
        <f t="shared" si="691"/>
        <v>42893.49767527495</v>
      </c>
      <c r="AX526" s="532">
        <f t="shared" si="691"/>
        <v>42893.49767527495</v>
      </c>
      <c r="AY526" s="532">
        <f t="shared" si="691"/>
        <v>42893.49767527495</v>
      </c>
      <c r="AZ526" s="532">
        <f t="shared" si="691"/>
        <v>42893.49767527495</v>
      </c>
      <c r="BA526" s="532">
        <f t="shared" si="691"/>
        <v>42893.49767527495</v>
      </c>
      <c r="BB526" s="532">
        <f t="shared" si="691"/>
        <v>42893.49767527495</v>
      </c>
      <c r="BC526" s="532">
        <f t="shared" si="691"/>
        <v>42893.49767527495</v>
      </c>
      <c r="BD526" s="532">
        <f t="shared" si="691"/>
        <v>42893.49767527495</v>
      </c>
      <c r="BE526" s="532">
        <f t="shared" si="691"/>
        <v>42893.49767527495</v>
      </c>
      <c r="BF526" s="532">
        <f t="shared" si="691"/>
        <v>42893.49767527495</v>
      </c>
      <c r="BG526" s="532">
        <f t="shared" si="691"/>
        <v>42893.49767527495</v>
      </c>
      <c r="BH526" s="532">
        <f t="shared" si="691"/>
        <v>42893.49767527495</v>
      </c>
      <c r="BI526" s="532">
        <f t="shared" si="691"/>
        <v>42893.49767527495</v>
      </c>
      <c r="BJ526" s="532">
        <f t="shared" si="691"/>
        <v>42893.49767527495</v>
      </c>
      <c r="BK526" s="532">
        <f t="shared" si="691"/>
        <v>42893.49767527495</v>
      </c>
      <c r="BL526" s="532">
        <f t="shared" si="691"/>
        <v>42893.49767527495</v>
      </c>
      <c r="BM526" s="532">
        <f t="shared" si="691"/>
        <v>42893.49767527495</v>
      </c>
      <c r="BN526" s="532">
        <f t="shared" si="691"/>
        <v>42893.49767527495</v>
      </c>
      <c r="BO526" s="532">
        <f t="shared" si="691"/>
        <v>42893.49767527495</v>
      </c>
      <c r="BP526" s="532">
        <f t="shared" si="691"/>
        <v>42893.49767527495</v>
      </c>
      <c r="BQ526" s="532">
        <f t="shared" si="691"/>
        <v>42893.49767527495</v>
      </c>
      <c r="BR526" s="532">
        <f t="shared" si="691"/>
        <v>42893.49767527495</v>
      </c>
      <c r="BS526" s="532">
        <f t="shared" si="691"/>
        <v>42893.49767527495</v>
      </c>
      <c r="BT526" s="532">
        <f t="shared" si="691"/>
        <v>42893.49767527495</v>
      </c>
      <c r="BU526" s="532">
        <f t="shared" si="691"/>
        <v>42893.49767527495</v>
      </c>
      <c r="BV526" s="532">
        <f t="shared" si="691"/>
        <v>42893.49767527495</v>
      </c>
      <c r="BW526" s="532">
        <f t="shared" si="691"/>
        <v>42893.49767527495</v>
      </c>
      <c r="BX526" s="532">
        <f t="shared" si="691"/>
        <v>42893.49767527495</v>
      </c>
      <c r="BY526" s="532">
        <f>SUM(BY524:BY525)</f>
        <v>42893.49767527495</v>
      </c>
      <c r="BZ526" s="537"/>
      <c r="CA526" s="537"/>
      <c r="CB526" s="529"/>
    </row>
    <row r="527" spans="1:80" x14ac:dyDescent="0.3">
      <c r="A527" s="648"/>
      <c r="B527" s="648"/>
      <c r="C527" s="648" cm="1">
        <f t="array" ref="C527">SUMPRODUCT((Index_Tab!$D$36:$D$45=$B527)*(Index_Tab!$E$35:$F$35=$B$3)*Index_Tab!$E$36:$F$45)</f>
        <v>0</v>
      </c>
      <c r="D527" s="648"/>
      <c r="E527" s="525" t="s">
        <v>176</v>
      </c>
      <c r="F527" s="576"/>
      <c r="G527" s="576"/>
      <c r="H527" s="529"/>
      <c r="I527" s="531">
        <f t="shared" ref="I527:N527" si="692">IFERROR(I526/I521,0)</f>
        <v>0.38807300305959952</v>
      </c>
      <c r="J527" s="531">
        <f t="shared" si="692"/>
        <v>0.38807300305959985</v>
      </c>
      <c r="K527" s="531">
        <f t="shared" si="692"/>
        <v>0.38807300305959985</v>
      </c>
      <c r="L527" s="531">
        <f t="shared" si="692"/>
        <v>0.38807300305959985</v>
      </c>
      <c r="M527" s="531">
        <f t="shared" si="692"/>
        <v>0.38807300305959985</v>
      </c>
      <c r="N527" s="531">
        <f t="shared" si="692"/>
        <v>0.38807300305959985</v>
      </c>
      <c r="O527" s="546"/>
      <c r="P527" s="564">
        <f t="shared" si="684"/>
        <v>2.2204460492503131E-16</v>
      </c>
      <c r="Q527" s="529"/>
      <c r="R527" s="531">
        <f>IFERROR(J526/J521,0)</f>
        <v>0.38807300305959985</v>
      </c>
      <c r="S527" s="531">
        <f t="shared" ref="S527:BY527" si="693">IFERROR(K526/K521,0)</f>
        <v>0.38807300305959985</v>
      </c>
      <c r="T527" s="531">
        <f t="shared" si="693"/>
        <v>0.38807300305959985</v>
      </c>
      <c r="U527" s="531">
        <f t="shared" si="693"/>
        <v>0.38807300305959985</v>
      </c>
      <c r="V527" s="531">
        <f t="shared" si="693"/>
        <v>0.38807300305959985</v>
      </c>
      <c r="W527" s="531">
        <f t="shared" si="693"/>
        <v>0</v>
      </c>
      <c r="X527" s="531">
        <f t="shared" si="693"/>
        <v>0</v>
      </c>
      <c r="Y527" s="531">
        <f t="shared" si="693"/>
        <v>0</v>
      </c>
      <c r="Z527" s="531">
        <f t="shared" si="693"/>
        <v>0.38807300305959985</v>
      </c>
      <c r="AA527" s="531">
        <f t="shared" si="693"/>
        <v>0.38807300305959985</v>
      </c>
      <c r="AB527" s="531">
        <f t="shared" si="693"/>
        <v>0.38807300305959985</v>
      </c>
      <c r="AC527" s="531">
        <f t="shared" si="693"/>
        <v>0.38807300305959985</v>
      </c>
      <c r="AD527" s="531">
        <f t="shared" si="693"/>
        <v>0.38807300305959985</v>
      </c>
      <c r="AE527" s="531">
        <f t="shared" si="693"/>
        <v>0.38807300305959985</v>
      </c>
      <c r="AF527" s="531">
        <f t="shared" si="693"/>
        <v>0.38807300305959985</v>
      </c>
      <c r="AG527" s="531">
        <f t="shared" si="693"/>
        <v>0.38807300305959985</v>
      </c>
      <c r="AH527" s="531">
        <f t="shared" si="693"/>
        <v>0.38807300305959985</v>
      </c>
      <c r="AI527" s="531">
        <f t="shared" si="693"/>
        <v>0.38807300305959985</v>
      </c>
      <c r="AJ527" s="531">
        <f t="shared" si="693"/>
        <v>0.38807300305959985</v>
      </c>
      <c r="AK527" s="531">
        <f t="shared" si="693"/>
        <v>0.38807300305959985</v>
      </c>
      <c r="AL527" s="531">
        <f t="shared" si="693"/>
        <v>0.38807300305959985</v>
      </c>
      <c r="AM527" s="531">
        <f t="shared" si="693"/>
        <v>0.38807300305959985</v>
      </c>
      <c r="AN527" s="531">
        <f t="shared" si="693"/>
        <v>0.38807300305959985</v>
      </c>
      <c r="AO527" s="531">
        <f t="shared" si="693"/>
        <v>0.38807300305959985</v>
      </c>
      <c r="AP527" s="531">
        <f t="shared" si="693"/>
        <v>0.38807300305959985</v>
      </c>
      <c r="AQ527" s="531">
        <f t="shared" si="693"/>
        <v>0.38807300305959985</v>
      </c>
      <c r="AR527" s="531">
        <f t="shared" si="693"/>
        <v>0.38807300305959985</v>
      </c>
      <c r="AS527" s="531">
        <f t="shared" si="693"/>
        <v>0.38807300305959985</v>
      </c>
      <c r="AT527" s="531">
        <f t="shared" si="693"/>
        <v>0.38807300305959985</v>
      </c>
      <c r="AU527" s="531">
        <f t="shared" si="693"/>
        <v>0.38807300305959985</v>
      </c>
      <c r="AV527" s="531">
        <f t="shared" si="693"/>
        <v>0.38807300305959985</v>
      </c>
      <c r="AW527" s="531">
        <f t="shared" si="693"/>
        <v>0.38807300305959985</v>
      </c>
      <c r="AX527" s="531">
        <f t="shared" si="693"/>
        <v>0.38807300305959985</v>
      </c>
      <c r="AY527" s="531">
        <f t="shared" si="693"/>
        <v>0.38807300305959985</v>
      </c>
      <c r="AZ527" s="531">
        <f t="shared" si="693"/>
        <v>0.38807300305959985</v>
      </c>
      <c r="BA527" s="531">
        <f t="shared" si="693"/>
        <v>0.38807300305959985</v>
      </c>
      <c r="BB527" s="531">
        <f t="shared" si="693"/>
        <v>0.38807300305959985</v>
      </c>
      <c r="BC527" s="531">
        <f t="shared" si="693"/>
        <v>0.38807300305959985</v>
      </c>
      <c r="BD527" s="531">
        <f t="shared" si="693"/>
        <v>0.38807300305959985</v>
      </c>
      <c r="BE527" s="531">
        <f t="shared" si="693"/>
        <v>0.38807300305959985</v>
      </c>
      <c r="BF527" s="531">
        <f t="shared" si="693"/>
        <v>0.38807300305959985</v>
      </c>
      <c r="BG527" s="531">
        <f t="shared" si="693"/>
        <v>0.38807300305959985</v>
      </c>
      <c r="BH527" s="531">
        <f t="shared" si="693"/>
        <v>0.38807300305959985</v>
      </c>
      <c r="BI527" s="531">
        <f t="shared" si="693"/>
        <v>0.38807300305959985</v>
      </c>
      <c r="BJ527" s="531">
        <f t="shared" si="693"/>
        <v>0.38807300305959985</v>
      </c>
      <c r="BK527" s="531">
        <f t="shared" si="693"/>
        <v>0.38807300305959985</v>
      </c>
      <c r="BL527" s="531">
        <f t="shared" si="693"/>
        <v>0.38807300305959985</v>
      </c>
      <c r="BM527" s="531">
        <f t="shared" si="693"/>
        <v>0.38807300305959985</v>
      </c>
      <c r="BN527" s="531">
        <f t="shared" si="693"/>
        <v>0.38807300305959985</v>
      </c>
      <c r="BO527" s="531">
        <f t="shared" si="693"/>
        <v>0.38807300305959985</v>
      </c>
      <c r="BP527" s="531">
        <f t="shared" si="693"/>
        <v>0.38807300305959985</v>
      </c>
      <c r="BQ527" s="531">
        <f t="shared" si="693"/>
        <v>0.38807300305959985</v>
      </c>
      <c r="BR527" s="531">
        <f t="shared" si="693"/>
        <v>0.38807300305959985</v>
      </c>
      <c r="BS527" s="531">
        <f t="shared" si="693"/>
        <v>0.38807300305959985</v>
      </c>
      <c r="BT527" s="531">
        <f t="shared" si="693"/>
        <v>0.38807300305959985</v>
      </c>
      <c r="BU527" s="531">
        <f t="shared" si="693"/>
        <v>0.38807300305959985</v>
      </c>
      <c r="BV527" s="531">
        <f t="shared" si="693"/>
        <v>0.38807300305959985</v>
      </c>
      <c r="BW527" s="531">
        <f t="shared" si="693"/>
        <v>0.38807300305959985</v>
      </c>
      <c r="BX527" s="531">
        <f t="shared" si="693"/>
        <v>0.38807300305959985</v>
      </c>
      <c r="BY527" s="531">
        <f t="shared" si="693"/>
        <v>0.38807300305959985</v>
      </c>
      <c r="BZ527" s="537"/>
      <c r="CA527" s="537"/>
      <c r="CB527" s="529"/>
    </row>
    <row r="528" spans="1:80" x14ac:dyDescent="0.3">
      <c r="A528" s="648"/>
      <c r="B528" s="648"/>
      <c r="C528" s="648" cm="1">
        <f t="array" ref="C528">SUMPRODUCT((Index_Tab!$D$36:$D$45=$B528)*(Index_Tab!$E$35:$F$35=$B$3)*Index_Tab!$E$36:$F$45)</f>
        <v>0</v>
      </c>
      <c r="D528" s="648"/>
      <c r="E528" s="525"/>
      <c r="F528" s="576"/>
      <c r="G528" s="576"/>
      <c r="H528" s="529"/>
      <c r="I528" s="533"/>
      <c r="J528" s="533"/>
      <c r="K528" s="533"/>
      <c r="L528" s="533"/>
      <c r="M528" s="533"/>
      <c r="N528" s="533"/>
      <c r="O528" s="533"/>
      <c r="P528" s="662"/>
      <c r="Q528" s="529"/>
      <c r="R528" s="533"/>
      <c r="S528" s="533"/>
      <c r="T528" s="533"/>
      <c r="U528" s="533"/>
      <c r="V528" s="533"/>
      <c r="W528" s="533"/>
      <c r="X528" s="533"/>
      <c r="Y528" s="533"/>
      <c r="Z528" s="533"/>
      <c r="AA528" s="533"/>
      <c r="AB528" s="533"/>
      <c r="AC528" s="533"/>
      <c r="AD528" s="533"/>
      <c r="AE528" s="533"/>
      <c r="AF528" s="533"/>
      <c r="AG528" s="533"/>
      <c r="AH528" s="533"/>
      <c r="AI528" s="533"/>
      <c r="AJ528" s="533"/>
      <c r="AK528" s="533"/>
      <c r="AL528" s="533"/>
      <c r="AM528" s="533"/>
      <c r="AN528" s="533"/>
      <c r="AO528" s="533"/>
      <c r="AP528" s="533"/>
      <c r="AQ528" s="533"/>
      <c r="AR528" s="533"/>
      <c r="AS528" s="533"/>
      <c r="AT528" s="533"/>
      <c r="AU528" s="533"/>
      <c r="AV528" s="533"/>
      <c r="AW528" s="533"/>
      <c r="AX528" s="533"/>
      <c r="AY528" s="533"/>
      <c r="AZ528" s="533"/>
      <c r="BA528" s="533"/>
      <c r="BB528" s="533"/>
      <c r="BC528" s="533"/>
      <c r="BD528" s="533"/>
      <c r="BE528" s="533"/>
      <c r="BF528" s="533"/>
      <c r="BG528" s="533"/>
      <c r="BH528" s="533"/>
      <c r="BI528" s="533"/>
      <c r="BJ528" s="533"/>
      <c r="BK528" s="533"/>
      <c r="BL528" s="533"/>
      <c r="BM528" s="533"/>
      <c r="BN528" s="533"/>
      <c r="BO528" s="533"/>
      <c r="BP528" s="533"/>
      <c r="BQ528" s="533"/>
      <c r="BR528" s="533"/>
      <c r="BS528" s="533"/>
      <c r="BT528" s="533"/>
      <c r="BU528" s="533"/>
      <c r="BV528" s="533"/>
      <c r="BW528" s="533"/>
      <c r="BX528" s="533"/>
      <c r="BY528" s="533"/>
      <c r="BZ528" s="537"/>
      <c r="CA528" s="537"/>
      <c r="CB528" s="529"/>
    </row>
    <row r="529" spans="1:80" x14ac:dyDescent="0.3">
      <c r="A529" s="648"/>
      <c r="B529" s="648" t="s">
        <v>12</v>
      </c>
      <c r="C529" s="648" cm="1">
        <f t="array" ref="C529">SUMPRODUCT((Index_Tab!$D$36:$D$45=$B529)*(Index_Tab!$E$35:$F$35=$B$3)*Index_Tab!$E$36:$F$45)</f>
        <v>0</v>
      </c>
      <c r="D529" s="648"/>
      <c r="E529" s="578" t="s">
        <v>24</v>
      </c>
      <c r="F529" s="579"/>
      <c r="G529" s="579"/>
      <c r="H529" s="529"/>
      <c r="I529" s="534">
        <f t="shared" ref="I529:N529" si="694">SUM(I526,I517)</f>
        <v>7409501.6070061792</v>
      </c>
      <c r="J529" s="534">
        <f t="shared" si="694"/>
        <v>7804448.9369623885</v>
      </c>
      <c r="K529" s="534">
        <f t="shared" si="694"/>
        <v>8202420.1733640973</v>
      </c>
      <c r="L529" s="534">
        <f t="shared" si="694"/>
        <v>8599665.8299110103</v>
      </c>
      <c r="M529" s="534">
        <f t="shared" si="694"/>
        <v>8993072.1628985684</v>
      </c>
      <c r="N529" s="534">
        <f t="shared" si="694"/>
        <v>9401083.9653510768</v>
      </c>
      <c r="O529" s="536"/>
      <c r="P529" s="568">
        <f>IFERROR(((N529/I529)^(1/5))-1,0)</f>
        <v>4.8764037940223659E-2</v>
      </c>
      <c r="Q529" s="529"/>
      <c r="R529" s="534">
        <f t="shared" ref="R529:BY529" si="695">SUM(R526,R517)</f>
        <v>650370.7447468657</v>
      </c>
      <c r="S529" s="534">
        <f t="shared" si="695"/>
        <v>650370.7447468657</v>
      </c>
      <c r="T529" s="534">
        <f t="shared" si="695"/>
        <v>650370.7447468657</v>
      </c>
      <c r="U529" s="534">
        <f t="shared" si="695"/>
        <v>650370.7447468657</v>
      </c>
      <c r="V529" s="534">
        <f t="shared" si="695"/>
        <v>650370.7447468657</v>
      </c>
      <c r="W529" s="534">
        <f t="shared" si="695"/>
        <v>650370.7447468657</v>
      </c>
      <c r="X529" s="534">
        <f t="shared" si="695"/>
        <v>650370.7447468657</v>
      </c>
      <c r="Y529" s="534">
        <f t="shared" si="695"/>
        <v>650370.7447468657</v>
      </c>
      <c r="Z529" s="534">
        <f t="shared" si="695"/>
        <v>650370.7447468657</v>
      </c>
      <c r="AA529" s="534">
        <f t="shared" si="695"/>
        <v>650370.7447468657</v>
      </c>
      <c r="AB529" s="534">
        <f t="shared" si="695"/>
        <v>650370.7447468657</v>
      </c>
      <c r="AC529" s="534">
        <f t="shared" si="695"/>
        <v>650370.7447468657</v>
      </c>
      <c r="AD529" s="534">
        <f t="shared" si="695"/>
        <v>683535.01444700803</v>
      </c>
      <c r="AE529" s="534">
        <f t="shared" si="695"/>
        <v>683535.01444700803</v>
      </c>
      <c r="AF529" s="534">
        <f t="shared" si="695"/>
        <v>683535.01444700803</v>
      </c>
      <c r="AG529" s="534">
        <f t="shared" si="695"/>
        <v>683535.01444700803</v>
      </c>
      <c r="AH529" s="534">
        <f t="shared" si="695"/>
        <v>683535.01444700803</v>
      </c>
      <c r="AI529" s="534">
        <f t="shared" si="695"/>
        <v>683535.01444700803</v>
      </c>
      <c r="AJ529" s="534">
        <f t="shared" si="695"/>
        <v>683535.01444700803</v>
      </c>
      <c r="AK529" s="534">
        <f t="shared" si="695"/>
        <v>683535.01444700803</v>
      </c>
      <c r="AL529" s="534">
        <f t="shared" si="695"/>
        <v>683535.01444700803</v>
      </c>
      <c r="AM529" s="534">
        <f t="shared" si="695"/>
        <v>683535.01444700803</v>
      </c>
      <c r="AN529" s="534">
        <f t="shared" si="695"/>
        <v>683535.01444700803</v>
      </c>
      <c r="AO529" s="534">
        <f t="shared" si="695"/>
        <v>683535.01444700803</v>
      </c>
      <c r="AP529" s="534">
        <f t="shared" si="695"/>
        <v>716638.81915925094</v>
      </c>
      <c r="AQ529" s="534">
        <f t="shared" si="695"/>
        <v>716638.81915925094</v>
      </c>
      <c r="AR529" s="534">
        <f t="shared" si="695"/>
        <v>716638.81915925094</v>
      </c>
      <c r="AS529" s="534">
        <f t="shared" si="695"/>
        <v>716638.81915925094</v>
      </c>
      <c r="AT529" s="534">
        <f t="shared" si="695"/>
        <v>716638.81915925094</v>
      </c>
      <c r="AU529" s="534">
        <f t="shared" si="695"/>
        <v>716638.81915925094</v>
      </c>
      <c r="AV529" s="534">
        <f t="shared" si="695"/>
        <v>716638.81915925094</v>
      </c>
      <c r="AW529" s="534">
        <f t="shared" si="695"/>
        <v>716638.81915925094</v>
      </c>
      <c r="AX529" s="534">
        <f t="shared" si="695"/>
        <v>716638.81915925094</v>
      </c>
      <c r="AY529" s="534">
        <f t="shared" si="695"/>
        <v>716638.81915925094</v>
      </c>
      <c r="AZ529" s="534">
        <f t="shared" si="695"/>
        <v>716638.81915925094</v>
      </c>
      <c r="BA529" s="534">
        <f t="shared" si="695"/>
        <v>716638.81915925094</v>
      </c>
      <c r="BB529" s="534">
        <f t="shared" si="695"/>
        <v>749422.68024154683</v>
      </c>
      <c r="BC529" s="534">
        <f t="shared" si="695"/>
        <v>749422.68024154683</v>
      </c>
      <c r="BD529" s="534">
        <f t="shared" si="695"/>
        <v>749422.68024154683</v>
      </c>
      <c r="BE529" s="534">
        <f t="shared" si="695"/>
        <v>749422.68024154683</v>
      </c>
      <c r="BF529" s="534">
        <f t="shared" si="695"/>
        <v>749422.68024154683</v>
      </c>
      <c r="BG529" s="534">
        <f t="shared" si="695"/>
        <v>749422.68024154683</v>
      </c>
      <c r="BH529" s="534">
        <f t="shared" si="695"/>
        <v>749422.68024154683</v>
      </c>
      <c r="BI529" s="534">
        <f t="shared" si="695"/>
        <v>749422.68024154683</v>
      </c>
      <c r="BJ529" s="534">
        <f t="shared" si="695"/>
        <v>749422.68024154683</v>
      </c>
      <c r="BK529" s="534">
        <f t="shared" si="695"/>
        <v>749422.68024154683</v>
      </c>
      <c r="BL529" s="534">
        <f t="shared" si="695"/>
        <v>749422.68024154683</v>
      </c>
      <c r="BM529" s="534">
        <f t="shared" si="695"/>
        <v>749422.68024154683</v>
      </c>
      <c r="BN529" s="534">
        <f t="shared" si="695"/>
        <v>783423.66377925617</v>
      </c>
      <c r="BO529" s="534">
        <f t="shared" si="695"/>
        <v>783423.66377925617</v>
      </c>
      <c r="BP529" s="534">
        <f t="shared" si="695"/>
        <v>783423.66377925617</v>
      </c>
      <c r="BQ529" s="534">
        <f t="shared" si="695"/>
        <v>783423.66377925617</v>
      </c>
      <c r="BR529" s="534">
        <f t="shared" si="695"/>
        <v>783423.66377925617</v>
      </c>
      <c r="BS529" s="534">
        <f t="shared" si="695"/>
        <v>783423.66377925617</v>
      </c>
      <c r="BT529" s="534">
        <f t="shared" si="695"/>
        <v>783423.66377925617</v>
      </c>
      <c r="BU529" s="534">
        <f t="shared" si="695"/>
        <v>783423.66377925617</v>
      </c>
      <c r="BV529" s="534">
        <f t="shared" si="695"/>
        <v>783423.66377925617</v>
      </c>
      <c r="BW529" s="534">
        <f t="shared" si="695"/>
        <v>783423.66377925617</v>
      </c>
      <c r="BX529" s="534">
        <f t="shared" si="695"/>
        <v>783423.66377925617</v>
      </c>
      <c r="BY529" s="534">
        <f t="shared" si="695"/>
        <v>783423.66377925617</v>
      </c>
      <c r="BZ529" s="537"/>
      <c r="CA529" s="537"/>
      <c r="CB529" s="529"/>
    </row>
    <row r="530" spans="1:80" x14ac:dyDescent="0.3">
      <c r="A530" s="648"/>
      <c r="B530" s="648"/>
      <c r="C530" s="648" cm="1">
        <f t="array" ref="C530">SUMPRODUCT((Index_Tab!$D$36:$D$45=$B530)*(Index_Tab!$E$35:$F$35=$B$3)*Index_Tab!$E$36:$F$45)</f>
        <v>0</v>
      </c>
      <c r="D530" s="648"/>
      <c r="E530" s="525" t="s">
        <v>177</v>
      </c>
      <c r="F530" s="529"/>
      <c r="G530" s="529"/>
      <c r="H530" s="529"/>
      <c r="I530" s="531">
        <f t="shared" ref="I530:N530" si="696">IFERROR(I529/(I512+I521),0)</f>
        <v>0.41377534216072342</v>
      </c>
      <c r="J530" s="531">
        <f t="shared" si="696"/>
        <v>0.42119846006146561</v>
      </c>
      <c r="K530" s="531">
        <f t="shared" si="696"/>
        <v>0.42816475681222271</v>
      </c>
      <c r="L530" s="531">
        <f t="shared" si="696"/>
        <v>0.43463124928299562</v>
      </c>
      <c r="M530" s="531">
        <f t="shared" si="696"/>
        <v>0.44057970200835272</v>
      </c>
      <c r="N530" s="531">
        <f t="shared" si="696"/>
        <v>0.44641184231853276</v>
      </c>
      <c r="O530" s="546"/>
      <c r="P530" s="564">
        <f>IFERROR(((N530/I530)^(1/5))-1,0)</f>
        <v>1.5299611714937322E-2</v>
      </c>
      <c r="Q530" s="537"/>
      <c r="R530" s="531">
        <f t="shared" ref="R530:BY530" si="697">IFERROR(R529/(R512+R521),0)</f>
        <v>0.42119846006146555</v>
      </c>
      <c r="S530" s="531">
        <f t="shared" si="697"/>
        <v>0.42119846006146555</v>
      </c>
      <c r="T530" s="531">
        <f t="shared" si="697"/>
        <v>0.42119846006146555</v>
      </c>
      <c r="U530" s="531">
        <f t="shared" si="697"/>
        <v>0.42119846006146555</v>
      </c>
      <c r="V530" s="531">
        <f t="shared" si="697"/>
        <v>0.42119846006146555</v>
      </c>
      <c r="W530" s="531">
        <f t="shared" si="697"/>
        <v>0.42119846006146555</v>
      </c>
      <c r="X530" s="531">
        <f t="shared" si="697"/>
        <v>0.42119846006146555</v>
      </c>
      <c r="Y530" s="531">
        <f t="shared" si="697"/>
        <v>0.42119846006146555</v>
      </c>
      <c r="Z530" s="531">
        <f t="shared" si="697"/>
        <v>0.42119846006146555</v>
      </c>
      <c r="AA530" s="531">
        <f t="shared" si="697"/>
        <v>0.42119846006146555</v>
      </c>
      <c r="AB530" s="531">
        <f t="shared" si="697"/>
        <v>0.42119846006146555</v>
      </c>
      <c r="AC530" s="531">
        <f t="shared" si="697"/>
        <v>0.42119846006146555</v>
      </c>
      <c r="AD530" s="531">
        <f t="shared" si="697"/>
        <v>0.42816475681222271</v>
      </c>
      <c r="AE530" s="531">
        <f t="shared" si="697"/>
        <v>0.42816475681222271</v>
      </c>
      <c r="AF530" s="531">
        <f t="shared" si="697"/>
        <v>0.42816475681222271</v>
      </c>
      <c r="AG530" s="531">
        <f t="shared" si="697"/>
        <v>0.42816475681222271</v>
      </c>
      <c r="AH530" s="531">
        <f t="shared" si="697"/>
        <v>0.42816475681222271</v>
      </c>
      <c r="AI530" s="531">
        <f t="shared" si="697"/>
        <v>0.42816475681222271</v>
      </c>
      <c r="AJ530" s="531">
        <f t="shared" si="697"/>
        <v>0.42816475681222271</v>
      </c>
      <c r="AK530" s="531">
        <f t="shared" si="697"/>
        <v>0.42816475681222271</v>
      </c>
      <c r="AL530" s="531">
        <f t="shared" si="697"/>
        <v>0.42816475681222271</v>
      </c>
      <c r="AM530" s="531">
        <f t="shared" si="697"/>
        <v>0.42816475681222271</v>
      </c>
      <c r="AN530" s="531">
        <f t="shared" si="697"/>
        <v>0.42816475681222271</v>
      </c>
      <c r="AO530" s="531">
        <f t="shared" si="697"/>
        <v>0.42816475681222271</v>
      </c>
      <c r="AP530" s="531">
        <f t="shared" si="697"/>
        <v>0.43463124928299562</v>
      </c>
      <c r="AQ530" s="531">
        <f t="shared" si="697"/>
        <v>0.43463124928299562</v>
      </c>
      <c r="AR530" s="531">
        <f t="shared" si="697"/>
        <v>0.43463124928299562</v>
      </c>
      <c r="AS530" s="531">
        <f t="shared" si="697"/>
        <v>0.43463124928299562</v>
      </c>
      <c r="AT530" s="531">
        <f t="shared" si="697"/>
        <v>0.43463124928299562</v>
      </c>
      <c r="AU530" s="531">
        <f t="shared" si="697"/>
        <v>0.43463124928299562</v>
      </c>
      <c r="AV530" s="531">
        <f t="shared" si="697"/>
        <v>0.43463124928299562</v>
      </c>
      <c r="AW530" s="531">
        <f t="shared" si="697"/>
        <v>0.43463124928299562</v>
      </c>
      <c r="AX530" s="531">
        <f t="shared" si="697"/>
        <v>0.43463124928299562</v>
      </c>
      <c r="AY530" s="531">
        <f t="shared" si="697"/>
        <v>0.43463124928299562</v>
      </c>
      <c r="AZ530" s="531">
        <f t="shared" si="697"/>
        <v>0.43463124928299562</v>
      </c>
      <c r="BA530" s="531">
        <f t="shared" si="697"/>
        <v>0.43463124928299562</v>
      </c>
      <c r="BB530" s="531">
        <f t="shared" si="697"/>
        <v>0.44057970200835245</v>
      </c>
      <c r="BC530" s="531">
        <f t="shared" si="697"/>
        <v>0.44057970200835245</v>
      </c>
      <c r="BD530" s="531">
        <f t="shared" si="697"/>
        <v>0.44057970200835245</v>
      </c>
      <c r="BE530" s="531">
        <f t="shared" si="697"/>
        <v>0.44057970200835245</v>
      </c>
      <c r="BF530" s="531">
        <f t="shared" si="697"/>
        <v>0.44057970200835245</v>
      </c>
      <c r="BG530" s="531">
        <f t="shared" si="697"/>
        <v>0.44057970200835245</v>
      </c>
      <c r="BH530" s="531">
        <f t="shared" si="697"/>
        <v>0.44057970200835245</v>
      </c>
      <c r="BI530" s="531">
        <f t="shared" si="697"/>
        <v>0.44057970200835245</v>
      </c>
      <c r="BJ530" s="531">
        <f t="shared" si="697"/>
        <v>0.44057970200835245</v>
      </c>
      <c r="BK530" s="531">
        <f t="shared" si="697"/>
        <v>0.44057970200835245</v>
      </c>
      <c r="BL530" s="531">
        <f t="shared" si="697"/>
        <v>0.44057970200835245</v>
      </c>
      <c r="BM530" s="531">
        <f t="shared" si="697"/>
        <v>0.44057970200835245</v>
      </c>
      <c r="BN530" s="531">
        <f t="shared" si="697"/>
        <v>0.44641184231853265</v>
      </c>
      <c r="BO530" s="531">
        <f t="shared" si="697"/>
        <v>0.44641184231853265</v>
      </c>
      <c r="BP530" s="531">
        <f t="shared" si="697"/>
        <v>0.44641184231853265</v>
      </c>
      <c r="BQ530" s="531">
        <f t="shared" si="697"/>
        <v>0.44641184231853265</v>
      </c>
      <c r="BR530" s="531">
        <f t="shared" si="697"/>
        <v>0.44641184231853265</v>
      </c>
      <c r="BS530" s="531">
        <f t="shared" si="697"/>
        <v>0.44641184231853265</v>
      </c>
      <c r="BT530" s="531">
        <f t="shared" si="697"/>
        <v>0.44641184231853265</v>
      </c>
      <c r="BU530" s="531">
        <f t="shared" si="697"/>
        <v>0.44641184231853265</v>
      </c>
      <c r="BV530" s="531">
        <f t="shared" si="697"/>
        <v>0.44641184231853265</v>
      </c>
      <c r="BW530" s="531">
        <f t="shared" si="697"/>
        <v>0.44641184231853265</v>
      </c>
      <c r="BX530" s="531">
        <f t="shared" si="697"/>
        <v>0.44641184231853265</v>
      </c>
      <c r="BY530" s="531">
        <f t="shared" si="697"/>
        <v>0.44641184231853265</v>
      </c>
      <c r="BZ530" s="537"/>
      <c r="CA530" s="537"/>
      <c r="CB530" s="537"/>
    </row>
    <row r="531" spans="1:80" x14ac:dyDescent="0.3">
      <c r="A531" s="648"/>
      <c r="B531" s="648"/>
      <c r="C531" s="648" cm="1">
        <f t="array" ref="C531">SUMPRODUCT((Index_Tab!$D$36:$D$45=$B531)*(Index_Tab!$E$35:$F$35=$B$3)*Index_Tab!$E$36:$F$45)</f>
        <v>0</v>
      </c>
      <c r="D531" s="648"/>
      <c r="E531" s="525"/>
      <c r="F531" s="529"/>
      <c r="G531" s="529"/>
      <c r="H531" s="529"/>
      <c r="I531" s="529"/>
      <c r="J531" s="529"/>
      <c r="K531" s="529"/>
      <c r="L531" s="529"/>
      <c r="M531" s="529"/>
      <c r="N531" s="529"/>
      <c r="O531" s="529"/>
      <c r="P531" s="660"/>
      <c r="Q531" s="529"/>
      <c r="R531" s="529"/>
      <c r="S531" s="529"/>
      <c r="T531" s="529"/>
      <c r="U531" s="529"/>
      <c r="V531" s="529"/>
      <c r="W531" s="529"/>
      <c r="X531" s="529"/>
      <c r="Y531" s="529"/>
      <c r="Z531" s="529"/>
      <c r="AA531" s="529"/>
      <c r="AB531" s="529"/>
      <c r="AC531" s="529"/>
      <c r="AD531" s="529"/>
      <c r="AE531" s="529"/>
      <c r="AF531" s="529"/>
      <c r="AG531" s="529"/>
      <c r="AH531" s="529"/>
      <c r="AI531" s="529"/>
      <c r="AJ531" s="529"/>
      <c r="AK531" s="529"/>
      <c r="AL531" s="529"/>
      <c r="AM531" s="529"/>
      <c r="AN531" s="529"/>
      <c r="AO531" s="529"/>
      <c r="AP531" s="529"/>
      <c r="AQ531" s="529"/>
      <c r="AR531" s="529"/>
      <c r="AS531" s="529"/>
      <c r="AT531" s="529"/>
      <c r="AU531" s="529"/>
      <c r="AV531" s="529"/>
      <c r="AW531" s="529"/>
      <c r="AX531" s="529"/>
      <c r="AY531" s="529"/>
      <c r="AZ531" s="529"/>
      <c r="BA531" s="529"/>
      <c r="BB531" s="529"/>
      <c r="BC531" s="529"/>
      <c r="BD531" s="529"/>
      <c r="BE531" s="529"/>
      <c r="BF531" s="529"/>
      <c r="BG531" s="529"/>
      <c r="BH531" s="529"/>
      <c r="BI531" s="529"/>
      <c r="BJ531" s="529"/>
      <c r="BK531" s="529"/>
      <c r="BL531" s="529"/>
      <c r="BM531" s="529"/>
      <c r="BN531" s="529"/>
      <c r="BO531" s="529"/>
      <c r="BP531" s="529"/>
      <c r="BQ531" s="529"/>
      <c r="BR531" s="529"/>
      <c r="BS531" s="529"/>
      <c r="BT531" s="529"/>
      <c r="BU531" s="529"/>
      <c r="BV531" s="529"/>
      <c r="BW531" s="529"/>
      <c r="BX531" s="529"/>
      <c r="BY531" s="529"/>
      <c r="BZ531" s="537"/>
      <c r="CA531" s="537"/>
      <c r="CB531" s="529"/>
    </row>
    <row r="532" spans="1:80" x14ac:dyDescent="0.3">
      <c r="A532" s="648"/>
      <c r="B532" s="648"/>
      <c r="C532" s="648" cm="1">
        <f t="array" ref="C532">SUMPRODUCT((Index_Tab!$D$36:$D$45=$B532)*(Index_Tab!$E$35:$F$35=$B$3)*Index_Tab!$E$36:$F$45)</f>
        <v>0</v>
      </c>
      <c r="D532" s="648"/>
      <c r="E532" s="570" t="s">
        <v>25</v>
      </c>
      <c r="F532" s="529"/>
      <c r="G532" s="529"/>
      <c r="H532" s="529"/>
      <c r="I532" s="529"/>
      <c r="J532" s="663"/>
      <c r="K532" s="663"/>
      <c r="L532" s="663"/>
      <c r="M532" s="663"/>
      <c r="N532" s="663"/>
      <c r="O532" s="529"/>
      <c r="P532" s="660"/>
      <c r="Q532" s="529"/>
      <c r="R532" s="529"/>
      <c r="S532" s="529"/>
      <c r="T532" s="529"/>
      <c r="U532" s="529"/>
      <c r="V532" s="529"/>
      <c r="W532" s="529"/>
      <c r="X532" s="529"/>
      <c r="Y532" s="529"/>
      <c r="Z532" s="529"/>
      <c r="AA532" s="529"/>
      <c r="AB532" s="529"/>
      <c r="AC532" s="529"/>
      <c r="AD532" s="529"/>
      <c r="AE532" s="529"/>
      <c r="AF532" s="529"/>
      <c r="AG532" s="529"/>
      <c r="AH532" s="529"/>
      <c r="AI532" s="529"/>
      <c r="AJ532" s="529"/>
      <c r="AK532" s="529"/>
      <c r="AL532" s="529"/>
      <c r="AM532" s="529"/>
      <c r="AN532" s="529"/>
      <c r="AO532" s="529"/>
      <c r="AP532" s="529"/>
      <c r="AQ532" s="529"/>
      <c r="AR532" s="529"/>
      <c r="AS532" s="529"/>
      <c r="AT532" s="529"/>
      <c r="AU532" s="529"/>
      <c r="AV532" s="529"/>
      <c r="AW532" s="529"/>
      <c r="AX532" s="529"/>
      <c r="AY532" s="529"/>
      <c r="AZ532" s="529"/>
      <c r="BA532" s="529"/>
      <c r="BB532" s="529"/>
      <c r="BC532" s="529"/>
      <c r="BD532" s="529"/>
      <c r="BE532" s="529"/>
      <c r="BF532" s="529"/>
      <c r="BG532" s="529"/>
      <c r="BH532" s="529"/>
      <c r="BI532" s="529"/>
      <c r="BJ532" s="529"/>
      <c r="BK532" s="529"/>
      <c r="BL532" s="529"/>
      <c r="BM532" s="529"/>
      <c r="BN532" s="529"/>
      <c r="BO532" s="529"/>
      <c r="BP532" s="529"/>
      <c r="BQ532" s="529"/>
      <c r="BR532" s="529"/>
      <c r="BS532" s="529"/>
      <c r="BT532" s="529"/>
      <c r="BU532" s="529"/>
      <c r="BV532" s="529"/>
      <c r="BW532" s="529"/>
      <c r="BX532" s="529"/>
      <c r="BY532" s="529"/>
      <c r="BZ532" s="537"/>
      <c r="CA532" s="537"/>
      <c r="CB532" s="529"/>
    </row>
    <row r="533" spans="1:80" x14ac:dyDescent="0.3">
      <c r="A533" s="648"/>
      <c r="B533" s="648" t="s">
        <v>13</v>
      </c>
      <c r="C533" s="648" cm="1">
        <f t="array" ref="C533">SUMPRODUCT((Index_Tab!$D$36:$D$45=$B533)*(Index_Tab!$E$35:$F$35=$B$3)*Index_Tab!$E$36:$F$45)</f>
        <v>0</v>
      </c>
      <c r="D533" s="648"/>
      <c r="E533" s="525" t="s">
        <v>25</v>
      </c>
      <c r="F533" s="567"/>
      <c r="G533" s="567"/>
      <c r="H533" s="529"/>
      <c r="I533" s="544">
        <v>3949137.7025981541</v>
      </c>
      <c r="J533" s="542" cm="1">
        <f t="array" ref="J533">(I533*INDEX(Portfolio_Categorisation!$H$24:$H$27,MATCH($B$2,Portfolio_Categorisation!$C$24:$C$27,0),0)*(1+'Detailed Assumptions'!F$40))+(I533*INDEX(Portfolio_Categorisation!$I$24:$I$27,MATCH($B$2,Portfolio_Categorisation!$C$24:$C$27,0),0)*(1+'Detailed Assumptions'!F$39))</f>
        <v>4065714.0308894631</v>
      </c>
      <c r="K533" s="542" cm="1">
        <f t="array" ref="K533">(J533*INDEX(Portfolio_Categorisation!$H$24:$H$27,MATCH($B$2,Portfolio_Categorisation!$C$24:$C$27,0),0)*(1+'Detailed Assumptions'!G$40))+(J533*INDEX(Portfolio_Categorisation!$I$24:$I$27,MATCH($B$2,Portfolio_Categorisation!$C$24:$C$27,0),0)*(1+'Detailed Assumptions'!G$39))</f>
        <v>4178816.4899167698</v>
      </c>
      <c r="L533" s="542" cm="1">
        <f t="array" ref="L533">(K533*INDEX(Portfolio_Categorisation!$H$24:$H$27,MATCH($B$2,Portfolio_Categorisation!$C$24:$C$27,0),0)*(1+'Detailed Assumptions'!H$40))+(K533*INDEX(Portfolio_Categorisation!$I$24:$I$27,MATCH($B$2,Portfolio_Categorisation!$C$24:$C$27,0),0)*(1+'Detailed Assumptions'!H$39))</f>
        <v>4288589.0146849426</v>
      </c>
      <c r="M533" s="542" cm="1">
        <f t="array" ref="M533">(L533*INDEX(Portfolio_Categorisation!$H$24:$H$27,MATCH($B$2,Portfolio_Categorisation!$C$24:$C$27,0),0)*(1+'Detailed Assumptions'!I$40))+(L533*INDEX(Portfolio_Categorisation!$I$24:$I$27,MATCH($B$2,Portfolio_Categorisation!$C$24:$C$27,0),0)*(1+'Detailed Assumptions'!I$39))</f>
        <v>4384903.6169044785</v>
      </c>
      <c r="N533" s="542" cm="1">
        <f t="array" ref="N533">(M533*INDEX(Portfolio_Categorisation!$H$24:$H$27,MATCH($B$2,Portfolio_Categorisation!$C$24:$C$27,0),0)*(1+'Detailed Assumptions'!J$40))+(M533*INDEX(Portfolio_Categorisation!$I$24:$I$27,MATCH($B$2,Portfolio_Categorisation!$C$24:$C$27,0),0)*(1+'Detailed Assumptions'!J$39))</f>
        <v>4474488.618899243</v>
      </c>
      <c r="O533" s="529"/>
      <c r="P533" s="564">
        <f>IFERROR(((N533/I533)^(1/5))-1,0)</f>
        <v>2.5293551842822115E-2</v>
      </c>
      <c r="Q533" s="529"/>
      <c r="R533" s="527">
        <f t="shared" ref="R533:BY534" si="698">(INDEX($I533:$N533,MATCH(R$2,$I$3:$N$3,0)))/12</f>
        <v>338809.50257412193</v>
      </c>
      <c r="S533" s="527">
        <f t="shared" si="698"/>
        <v>338809.50257412193</v>
      </c>
      <c r="T533" s="527">
        <f t="shared" si="698"/>
        <v>338809.50257412193</v>
      </c>
      <c r="U533" s="527">
        <f t="shared" si="698"/>
        <v>338809.50257412193</v>
      </c>
      <c r="V533" s="527">
        <f t="shared" si="698"/>
        <v>338809.50257412193</v>
      </c>
      <c r="W533" s="527">
        <f t="shared" si="698"/>
        <v>338809.50257412193</v>
      </c>
      <c r="X533" s="527">
        <f t="shared" si="698"/>
        <v>338809.50257412193</v>
      </c>
      <c r="Y533" s="527">
        <f t="shared" si="698"/>
        <v>338809.50257412193</v>
      </c>
      <c r="Z533" s="527">
        <f t="shared" si="698"/>
        <v>338809.50257412193</v>
      </c>
      <c r="AA533" s="527">
        <f t="shared" si="698"/>
        <v>338809.50257412193</v>
      </c>
      <c r="AB533" s="527">
        <f t="shared" si="698"/>
        <v>338809.50257412193</v>
      </c>
      <c r="AC533" s="527">
        <f t="shared" si="698"/>
        <v>338809.50257412193</v>
      </c>
      <c r="AD533" s="527">
        <f t="shared" si="698"/>
        <v>348234.70749306417</v>
      </c>
      <c r="AE533" s="527">
        <f t="shared" si="698"/>
        <v>348234.70749306417</v>
      </c>
      <c r="AF533" s="527">
        <f t="shared" si="698"/>
        <v>348234.70749306417</v>
      </c>
      <c r="AG533" s="527">
        <f t="shared" si="698"/>
        <v>348234.70749306417</v>
      </c>
      <c r="AH533" s="527">
        <f t="shared" si="698"/>
        <v>348234.70749306417</v>
      </c>
      <c r="AI533" s="527">
        <f t="shared" si="698"/>
        <v>348234.70749306417</v>
      </c>
      <c r="AJ533" s="527">
        <f t="shared" si="698"/>
        <v>348234.70749306417</v>
      </c>
      <c r="AK533" s="527">
        <f t="shared" si="698"/>
        <v>348234.70749306417</v>
      </c>
      <c r="AL533" s="527">
        <f t="shared" si="698"/>
        <v>348234.70749306417</v>
      </c>
      <c r="AM533" s="527">
        <f t="shared" si="698"/>
        <v>348234.70749306417</v>
      </c>
      <c r="AN533" s="527">
        <f t="shared" si="698"/>
        <v>348234.70749306417</v>
      </c>
      <c r="AO533" s="527">
        <f t="shared" si="698"/>
        <v>348234.70749306417</v>
      </c>
      <c r="AP533" s="527">
        <f t="shared" si="698"/>
        <v>357382.41789041186</v>
      </c>
      <c r="AQ533" s="527">
        <f t="shared" si="698"/>
        <v>357382.41789041186</v>
      </c>
      <c r="AR533" s="527">
        <f t="shared" si="698"/>
        <v>357382.41789041186</v>
      </c>
      <c r="AS533" s="527">
        <f t="shared" si="698"/>
        <v>357382.41789041186</v>
      </c>
      <c r="AT533" s="527">
        <f t="shared" si="698"/>
        <v>357382.41789041186</v>
      </c>
      <c r="AU533" s="527">
        <f t="shared" si="698"/>
        <v>357382.41789041186</v>
      </c>
      <c r="AV533" s="527">
        <f t="shared" si="698"/>
        <v>357382.41789041186</v>
      </c>
      <c r="AW533" s="527">
        <f t="shared" si="698"/>
        <v>357382.41789041186</v>
      </c>
      <c r="AX533" s="527">
        <f t="shared" si="698"/>
        <v>357382.41789041186</v>
      </c>
      <c r="AY533" s="527">
        <f t="shared" si="698"/>
        <v>357382.41789041186</v>
      </c>
      <c r="AZ533" s="527">
        <f t="shared" si="698"/>
        <v>357382.41789041186</v>
      </c>
      <c r="BA533" s="527">
        <f t="shared" si="698"/>
        <v>357382.41789041186</v>
      </c>
      <c r="BB533" s="527">
        <f t="shared" si="698"/>
        <v>365408.6347420399</v>
      </c>
      <c r="BC533" s="527">
        <f t="shared" si="698"/>
        <v>365408.6347420399</v>
      </c>
      <c r="BD533" s="527">
        <f t="shared" si="698"/>
        <v>365408.6347420399</v>
      </c>
      <c r="BE533" s="527">
        <f t="shared" si="698"/>
        <v>365408.6347420399</v>
      </c>
      <c r="BF533" s="527">
        <f t="shared" si="698"/>
        <v>365408.6347420399</v>
      </c>
      <c r="BG533" s="527">
        <f t="shared" si="698"/>
        <v>365408.6347420399</v>
      </c>
      <c r="BH533" s="527">
        <f t="shared" si="698"/>
        <v>365408.6347420399</v>
      </c>
      <c r="BI533" s="527">
        <f t="shared" si="698"/>
        <v>365408.6347420399</v>
      </c>
      <c r="BJ533" s="527">
        <f t="shared" si="698"/>
        <v>365408.6347420399</v>
      </c>
      <c r="BK533" s="527">
        <f t="shared" si="698"/>
        <v>365408.6347420399</v>
      </c>
      <c r="BL533" s="527">
        <f t="shared" si="698"/>
        <v>365408.6347420399</v>
      </c>
      <c r="BM533" s="527">
        <f t="shared" si="698"/>
        <v>365408.6347420399</v>
      </c>
      <c r="BN533" s="527">
        <f t="shared" si="698"/>
        <v>372874.05157493689</v>
      </c>
      <c r="BO533" s="527">
        <f t="shared" si="698"/>
        <v>372874.05157493689</v>
      </c>
      <c r="BP533" s="527">
        <f t="shared" si="698"/>
        <v>372874.05157493689</v>
      </c>
      <c r="BQ533" s="527">
        <f t="shared" si="698"/>
        <v>372874.05157493689</v>
      </c>
      <c r="BR533" s="527">
        <f t="shared" si="698"/>
        <v>372874.05157493689</v>
      </c>
      <c r="BS533" s="527">
        <f t="shared" si="698"/>
        <v>372874.05157493689</v>
      </c>
      <c r="BT533" s="527">
        <f t="shared" si="698"/>
        <v>372874.05157493689</v>
      </c>
      <c r="BU533" s="527">
        <f t="shared" si="698"/>
        <v>372874.05157493689</v>
      </c>
      <c r="BV533" s="527">
        <f t="shared" si="698"/>
        <v>372874.05157493689</v>
      </c>
      <c r="BW533" s="527">
        <f t="shared" si="698"/>
        <v>372874.05157493689</v>
      </c>
      <c r="BX533" s="527">
        <f t="shared" si="698"/>
        <v>372874.05157493689</v>
      </c>
      <c r="BY533" s="527">
        <f t="shared" si="698"/>
        <v>372874.05157493689</v>
      </c>
      <c r="BZ533" s="537"/>
      <c r="CA533" s="537"/>
      <c r="CB533" s="529"/>
    </row>
    <row r="534" spans="1:80" x14ac:dyDescent="0.3">
      <c r="A534" s="648"/>
      <c r="B534" s="648" t="s">
        <v>14</v>
      </c>
      <c r="C534" s="648" cm="1">
        <f t="array" ref="C534">SUMPRODUCT((Index_Tab!$D$36:$D$45=$B534)*(Index_Tab!$E$35:$F$35=$B$3)*Index_Tab!$E$36:$F$45)</f>
        <v>0</v>
      </c>
      <c r="D534" s="648"/>
      <c r="E534" s="525" t="s">
        <v>14</v>
      </c>
      <c r="F534" s="567"/>
      <c r="G534" s="567"/>
      <c r="H534" s="529"/>
      <c r="I534" s="544">
        <v>589138.88668323052</v>
      </c>
      <c r="J534" s="542">
        <f>I534*(1+'Detailed Assumptions'!F$45)</f>
        <v>609833.64098931383</v>
      </c>
      <c r="K534" s="542">
        <f>J534*(1+'Detailed Assumptions'!G$45)</f>
        <v>630078.61417077028</v>
      </c>
      <c r="L534" s="542">
        <f>K534*(1+'Detailed Assumptions'!H$45)</f>
        <v>650146.35909569252</v>
      </c>
      <c r="M534" s="542">
        <f>L534*(1+'Detailed Assumptions'!I$45)</f>
        <v>666900.36358615325</v>
      </c>
      <c r="N534" s="542">
        <f>M534*(1+'Detailed Assumptions'!J$45)</f>
        <v>681320.75928359805</v>
      </c>
      <c r="O534" s="529"/>
      <c r="P534" s="564">
        <f>IFERROR(((N534/I534)^(1/5))-1,0)</f>
        <v>2.9501032242708725E-2</v>
      </c>
      <c r="Q534" s="529"/>
      <c r="R534" s="527">
        <f>(INDEX($I534:$N534,MATCH(R$2,$I$3:$N$3,0)))/12</f>
        <v>50819.470082442822</v>
      </c>
      <c r="S534" s="527">
        <f t="shared" si="698"/>
        <v>50819.470082442822</v>
      </c>
      <c r="T534" s="527">
        <f t="shared" si="698"/>
        <v>50819.470082442822</v>
      </c>
      <c r="U534" s="527">
        <f t="shared" si="698"/>
        <v>50819.470082442822</v>
      </c>
      <c r="V534" s="527">
        <f t="shared" si="698"/>
        <v>50819.470082442822</v>
      </c>
      <c r="W534" s="527">
        <f t="shared" si="698"/>
        <v>50819.470082442822</v>
      </c>
      <c r="X534" s="527">
        <f t="shared" si="698"/>
        <v>50819.470082442822</v>
      </c>
      <c r="Y534" s="527">
        <f t="shared" si="698"/>
        <v>50819.470082442822</v>
      </c>
      <c r="Z534" s="527">
        <f t="shared" si="698"/>
        <v>50819.470082442822</v>
      </c>
      <c r="AA534" s="527">
        <f t="shared" si="698"/>
        <v>50819.470082442822</v>
      </c>
      <c r="AB534" s="527">
        <f t="shared" si="698"/>
        <v>50819.470082442822</v>
      </c>
      <c r="AC534" s="527">
        <f t="shared" si="698"/>
        <v>50819.470082442822</v>
      </c>
      <c r="AD534" s="527">
        <f t="shared" si="698"/>
        <v>52506.551180897521</v>
      </c>
      <c r="AE534" s="527">
        <f t="shared" si="698"/>
        <v>52506.551180897521</v>
      </c>
      <c r="AF534" s="527">
        <f t="shared" si="698"/>
        <v>52506.551180897521</v>
      </c>
      <c r="AG534" s="527">
        <f t="shared" si="698"/>
        <v>52506.551180897521</v>
      </c>
      <c r="AH534" s="527">
        <f t="shared" si="698"/>
        <v>52506.551180897521</v>
      </c>
      <c r="AI534" s="527">
        <f t="shared" si="698"/>
        <v>52506.551180897521</v>
      </c>
      <c r="AJ534" s="527">
        <f t="shared" si="698"/>
        <v>52506.551180897521</v>
      </c>
      <c r="AK534" s="527">
        <f t="shared" si="698"/>
        <v>52506.551180897521</v>
      </c>
      <c r="AL534" s="527">
        <f t="shared" si="698"/>
        <v>52506.551180897521</v>
      </c>
      <c r="AM534" s="527">
        <f t="shared" si="698"/>
        <v>52506.551180897521</v>
      </c>
      <c r="AN534" s="527">
        <f t="shared" si="698"/>
        <v>52506.551180897521</v>
      </c>
      <c r="AO534" s="527">
        <f t="shared" si="698"/>
        <v>52506.551180897521</v>
      </c>
      <c r="AP534" s="527">
        <f t="shared" si="698"/>
        <v>54178.863257974379</v>
      </c>
      <c r="AQ534" s="527">
        <f t="shared" si="698"/>
        <v>54178.863257974379</v>
      </c>
      <c r="AR534" s="527">
        <f t="shared" si="698"/>
        <v>54178.863257974379</v>
      </c>
      <c r="AS534" s="527">
        <f t="shared" si="698"/>
        <v>54178.863257974379</v>
      </c>
      <c r="AT534" s="527">
        <f t="shared" si="698"/>
        <v>54178.863257974379</v>
      </c>
      <c r="AU534" s="527">
        <f t="shared" si="698"/>
        <v>54178.863257974379</v>
      </c>
      <c r="AV534" s="527">
        <f t="shared" si="698"/>
        <v>54178.863257974379</v>
      </c>
      <c r="AW534" s="527">
        <f t="shared" si="698"/>
        <v>54178.863257974379</v>
      </c>
      <c r="AX534" s="527">
        <f t="shared" si="698"/>
        <v>54178.863257974379</v>
      </c>
      <c r="AY534" s="527">
        <f t="shared" si="698"/>
        <v>54178.863257974379</v>
      </c>
      <c r="AZ534" s="527">
        <f t="shared" si="698"/>
        <v>54178.863257974379</v>
      </c>
      <c r="BA534" s="527">
        <f t="shared" si="698"/>
        <v>54178.863257974379</v>
      </c>
      <c r="BB534" s="527">
        <f t="shared" si="698"/>
        <v>55575.030298846104</v>
      </c>
      <c r="BC534" s="527">
        <f t="shared" si="698"/>
        <v>55575.030298846104</v>
      </c>
      <c r="BD534" s="527">
        <f t="shared" si="698"/>
        <v>55575.030298846104</v>
      </c>
      <c r="BE534" s="527">
        <f t="shared" si="698"/>
        <v>55575.030298846104</v>
      </c>
      <c r="BF534" s="527">
        <f t="shared" si="698"/>
        <v>55575.030298846104</v>
      </c>
      <c r="BG534" s="527">
        <f t="shared" si="698"/>
        <v>55575.030298846104</v>
      </c>
      <c r="BH534" s="527">
        <f t="shared" si="698"/>
        <v>55575.030298846104</v>
      </c>
      <c r="BI534" s="527">
        <f t="shared" si="698"/>
        <v>55575.030298846104</v>
      </c>
      <c r="BJ534" s="527">
        <f t="shared" si="698"/>
        <v>55575.030298846104</v>
      </c>
      <c r="BK534" s="527">
        <f t="shared" si="698"/>
        <v>55575.030298846104</v>
      </c>
      <c r="BL534" s="527">
        <f t="shared" si="698"/>
        <v>55575.030298846104</v>
      </c>
      <c r="BM534" s="527">
        <f t="shared" si="698"/>
        <v>55575.030298846104</v>
      </c>
      <c r="BN534" s="527">
        <f t="shared" si="698"/>
        <v>56776.72994029984</v>
      </c>
      <c r="BO534" s="527">
        <f t="shared" si="698"/>
        <v>56776.72994029984</v>
      </c>
      <c r="BP534" s="527">
        <f t="shared" si="698"/>
        <v>56776.72994029984</v>
      </c>
      <c r="BQ534" s="527">
        <f t="shared" si="698"/>
        <v>56776.72994029984</v>
      </c>
      <c r="BR534" s="527">
        <f t="shared" si="698"/>
        <v>56776.72994029984</v>
      </c>
      <c r="BS534" s="527">
        <f t="shared" si="698"/>
        <v>56776.72994029984</v>
      </c>
      <c r="BT534" s="527">
        <f t="shared" si="698"/>
        <v>56776.72994029984</v>
      </c>
      <c r="BU534" s="527">
        <f t="shared" si="698"/>
        <v>56776.72994029984</v>
      </c>
      <c r="BV534" s="527">
        <f t="shared" si="698"/>
        <v>56776.72994029984</v>
      </c>
      <c r="BW534" s="527">
        <f t="shared" si="698"/>
        <v>56776.72994029984</v>
      </c>
      <c r="BX534" s="527">
        <f t="shared" si="698"/>
        <v>56776.72994029984</v>
      </c>
      <c r="BY534" s="527">
        <f t="shared" si="698"/>
        <v>56776.72994029984</v>
      </c>
      <c r="BZ534" s="537"/>
      <c r="CA534" s="537"/>
      <c r="CB534" s="529"/>
    </row>
    <row r="535" spans="1:80" x14ac:dyDescent="0.3">
      <c r="A535" s="648"/>
      <c r="B535" s="648"/>
      <c r="C535" s="648" cm="1">
        <f t="array" ref="C535">SUMPRODUCT((Index_Tab!$D$36:$D$45=$B535)*(Index_Tab!$E$35:$F$35=$B$3)*Index_Tab!$E$36:$F$45)</f>
        <v>0</v>
      </c>
      <c r="D535" s="648"/>
      <c r="E535" s="572" t="s">
        <v>26</v>
      </c>
      <c r="F535" s="573"/>
      <c r="G535" s="573"/>
      <c r="H535" s="529"/>
      <c r="I535" s="532">
        <f>SUM(I533:I534)</f>
        <v>4538276.5892813848</v>
      </c>
      <c r="J535" s="532">
        <f>SUM(J533:J534)</f>
        <v>4675547.6718787774</v>
      </c>
      <c r="K535" s="532">
        <f t="shared" ref="K535:BX535" si="699">SUM(K533:K534)</f>
        <v>4808895.1040875399</v>
      </c>
      <c r="L535" s="532">
        <f t="shared" si="699"/>
        <v>4938735.3737806352</v>
      </c>
      <c r="M535" s="532">
        <f t="shared" si="699"/>
        <v>5051803.9804906314</v>
      </c>
      <c r="N535" s="532">
        <f t="shared" si="699"/>
        <v>5155809.3781828415</v>
      </c>
      <c r="O535" s="536"/>
      <c r="P535" s="568">
        <f>IFERROR(((N535/I535)^(1/5))-1,0)</f>
        <v>2.5843658886080867E-2</v>
      </c>
      <c r="Q535" s="529"/>
      <c r="R535" s="532">
        <f t="shared" si="699"/>
        <v>389628.97265656473</v>
      </c>
      <c r="S535" s="532">
        <f t="shared" si="699"/>
        <v>389628.97265656473</v>
      </c>
      <c r="T535" s="532">
        <f t="shared" si="699"/>
        <v>389628.97265656473</v>
      </c>
      <c r="U535" s="532">
        <f t="shared" si="699"/>
        <v>389628.97265656473</v>
      </c>
      <c r="V535" s="532">
        <f t="shared" si="699"/>
        <v>389628.97265656473</v>
      </c>
      <c r="W535" s="532">
        <f t="shared" si="699"/>
        <v>389628.97265656473</v>
      </c>
      <c r="X535" s="532">
        <f t="shared" si="699"/>
        <v>389628.97265656473</v>
      </c>
      <c r="Y535" s="532">
        <f t="shared" si="699"/>
        <v>389628.97265656473</v>
      </c>
      <c r="Z535" s="532">
        <f t="shared" si="699"/>
        <v>389628.97265656473</v>
      </c>
      <c r="AA535" s="532">
        <f t="shared" si="699"/>
        <v>389628.97265656473</v>
      </c>
      <c r="AB535" s="532">
        <f t="shared" si="699"/>
        <v>389628.97265656473</v>
      </c>
      <c r="AC535" s="532">
        <f t="shared" si="699"/>
        <v>389628.97265656473</v>
      </c>
      <c r="AD535" s="532">
        <f t="shared" si="699"/>
        <v>400741.25867396168</v>
      </c>
      <c r="AE535" s="532">
        <f t="shared" si="699"/>
        <v>400741.25867396168</v>
      </c>
      <c r="AF535" s="532">
        <f t="shared" si="699"/>
        <v>400741.25867396168</v>
      </c>
      <c r="AG535" s="532">
        <f t="shared" si="699"/>
        <v>400741.25867396168</v>
      </c>
      <c r="AH535" s="532">
        <f t="shared" si="699"/>
        <v>400741.25867396168</v>
      </c>
      <c r="AI535" s="532">
        <f t="shared" si="699"/>
        <v>400741.25867396168</v>
      </c>
      <c r="AJ535" s="532">
        <f t="shared" si="699"/>
        <v>400741.25867396168</v>
      </c>
      <c r="AK535" s="532">
        <f t="shared" si="699"/>
        <v>400741.25867396168</v>
      </c>
      <c r="AL535" s="532">
        <f t="shared" si="699"/>
        <v>400741.25867396168</v>
      </c>
      <c r="AM535" s="532">
        <f t="shared" si="699"/>
        <v>400741.25867396168</v>
      </c>
      <c r="AN535" s="532">
        <f t="shared" si="699"/>
        <v>400741.25867396168</v>
      </c>
      <c r="AO535" s="532">
        <f t="shared" si="699"/>
        <v>400741.25867396168</v>
      </c>
      <c r="AP535" s="532">
        <f t="shared" si="699"/>
        <v>411561.28114838625</v>
      </c>
      <c r="AQ535" s="532">
        <f t="shared" si="699"/>
        <v>411561.28114838625</v>
      </c>
      <c r="AR535" s="532">
        <f t="shared" si="699"/>
        <v>411561.28114838625</v>
      </c>
      <c r="AS535" s="532">
        <f t="shared" si="699"/>
        <v>411561.28114838625</v>
      </c>
      <c r="AT535" s="532">
        <f t="shared" si="699"/>
        <v>411561.28114838625</v>
      </c>
      <c r="AU535" s="532">
        <f t="shared" si="699"/>
        <v>411561.28114838625</v>
      </c>
      <c r="AV535" s="532">
        <f t="shared" si="699"/>
        <v>411561.28114838625</v>
      </c>
      <c r="AW535" s="532">
        <f t="shared" si="699"/>
        <v>411561.28114838625</v>
      </c>
      <c r="AX535" s="532">
        <f t="shared" si="699"/>
        <v>411561.28114838625</v>
      </c>
      <c r="AY535" s="532">
        <f t="shared" si="699"/>
        <v>411561.28114838625</v>
      </c>
      <c r="AZ535" s="532">
        <f t="shared" si="699"/>
        <v>411561.28114838625</v>
      </c>
      <c r="BA535" s="532">
        <f t="shared" si="699"/>
        <v>411561.28114838625</v>
      </c>
      <c r="BB535" s="532">
        <f t="shared" si="699"/>
        <v>420983.66504088603</v>
      </c>
      <c r="BC535" s="532">
        <f t="shared" si="699"/>
        <v>420983.66504088603</v>
      </c>
      <c r="BD535" s="532">
        <f t="shared" si="699"/>
        <v>420983.66504088603</v>
      </c>
      <c r="BE535" s="532">
        <f t="shared" si="699"/>
        <v>420983.66504088603</v>
      </c>
      <c r="BF535" s="532">
        <f t="shared" si="699"/>
        <v>420983.66504088603</v>
      </c>
      <c r="BG535" s="532">
        <f t="shared" si="699"/>
        <v>420983.66504088603</v>
      </c>
      <c r="BH535" s="532">
        <f t="shared" si="699"/>
        <v>420983.66504088603</v>
      </c>
      <c r="BI535" s="532">
        <f t="shared" si="699"/>
        <v>420983.66504088603</v>
      </c>
      <c r="BJ535" s="532">
        <f t="shared" si="699"/>
        <v>420983.66504088603</v>
      </c>
      <c r="BK535" s="532">
        <f t="shared" si="699"/>
        <v>420983.66504088603</v>
      </c>
      <c r="BL535" s="532">
        <f t="shared" si="699"/>
        <v>420983.66504088603</v>
      </c>
      <c r="BM535" s="532">
        <f t="shared" si="699"/>
        <v>420983.66504088603</v>
      </c>
      <c r="BN535" s="532">
        <f t="shared" si="699"/>
        <v>429650.78151523671</v>
      </c>
      <c r="BO535" s="532">
        <f t="shared" si="699"/>
        <v>429650.78151523671</v>
      </c>
      <c r="BP535" s="532">
        <f t="shared" si="699"/>
        <v>429650.78151523671</v>
      </c>
      <c r="BQ535" s="532">
        <f t="shared" si="699"/>
        <v>429650.78151523671</v>
      </c>
      <c r="BR535" s="532">
        <f t="shared" si="699"/>
        <v>429650.78151523671</v>
      </c>
      <c r="BS535" s="532">
        <f t="shared" si="699"/>
        <v>429650.78151523671</v>
      </c>
      <c r="BT535" s="532">
        <f t="shared" si="699"/>
        <v>429650.78151523671</v>
      </c>
      <c r="BU535" s="532">
        <f t="shared" si="699"/>
        <v>429650.78151523671</v>
      </c>
      <c r="BV535" s="532">
        <f t="shared" si="699"/>
        <v>429650.78151523671</v>
      </c>
      <c r="BW535" s="532">
        <f t="shared" si="699"/>
        <v>429650.78151523671</v>
      </c>
      <c r="BX535" s="532">
        <f t="shared" si="699"/>
        <v>429650.78151523671</v>
      </c>
      <c r="BY535" s="532">
        <f>SUM(BY533:BY534)</f>
        <v>429650.78151523671</v>
      </c>
      <c r="BZ535" s="537"/>
      <c r="CA535" s="537"/>
      <c r="CB535" s="529"/>
    </row>
    <row r="536" spans="1:80" x14ac:dyDescent="0.3">
      <c r="A536" s="648"/>
      <c r="B536" s="648"/>
      <c r="C536" s="648" cm="1">
        <f t="array" ref="C536">SUMPRODUCT((Index_Tab!$D$36:$D$45=$B536)*(Index_Tab!$E$35:$F$35=$B$3)*Index_Tab!$E$36:$F$45)</f>
        <v>0</v>
      </c>
      <c r="D536" s="648"/>
      <c r="E536" s="525"/>
      <c r="F536" s="529"/>
      <c r="G536" s="529"/>
      <c r="H536" s="529"/>
      <c r="I536" s="529"/>
      <c r="J536" s="529"/>
      <c r="K536" s="529"/>
      <c r="L536" s="529"/>
      <c r="M536" s="529"/>
      <c r="N536" s="529"/>
      <c r="O536" s="529"/>
      <c r="P536" s="660"/>
      <c r="Q536" s="529"/>
      <c r="R536" s="529"/>
      <c r="S536" s="529"/>
      <c r="T536" s="529"/>
      <c r="U536" s="529"/>
      <c r="V536" s="529"/>
      <c r="W536" s="529"/>
      <c r="X536" s="529"/>
      <c r="Y536" s="529"/>
      <c r="Z536" s="529"/>
      <c r="AA536" s="529"/>
      <c r="AB536" s="529"/>
      <c r="AC536" s="529"/>
      <c r="AD536" s="529"/>
      <c r="AE536" s="529"/>
      <c r="AF536" s="529"/>
      <c r="AG536" s="529"/>
      <c r="AH536" s="529"/>
      <c r="AI536" s="529"/>
      <c r="AJ536" s="529"/>
      <c r="AK536" s="529"/>
      <c r="AL536" s="529"/>
      <c r="AM536" s="529"/>
      <c r="AN536" s="529"/>
      <c r="AO536" s="529"/>
      <c r="AP536" s="529"/>
      <c r="AQ536" s="529"/>
      <c r="AR536" s="529"/>
      <c r="AS536" s="529"/>
      <c r="AT536" s="529"/>
      <c r="AU536" s="529"/>
      <c r="AV536" s="529"/>
      <c r="AW536" s="529"/>
      <c r="AX536" s="529"/>
      <c r="AY536" s="529"/>
      <c r="AZ536" s="529"/>
      <c r="BA536" s="529"/>
      <c r="BB536" s="529"/>
      <c r="BC536" s="529"/>
      <c r="BD536" s="529"/>
      <c r="BE536" s="529"/>
      <c r="BF536" s="529"/>
      <c r="BG536" s="529"/>
      <c r="BH536" s="529"/>
      <c r="BI536" s="529"/>
      <c r="BJ536" s="529"/>
      <c r="BK536" s="529"/>
      <c r="BL536" s="529"/>
      <c r="BM536" s="529"/>
      <c r="BN536" s="529"/>
      <c r="BO536" s="529"/>
      <c r="BP536" s="529"/>
      <c r="BQ536" s="529"/>
      <c r="BR536" s="529"/>
      <c r="BS536" s="529"/>
      <c r="BT536" s="529"/>
      <c r="BU536" s="529"/>
      <c r="BV536" s="529"/>
      <c r="BW536" s="529"/>
      <c r="BX536" s="529"/>
      <c r="BY536" s="529"/>
      <c r="BZ536" s="537"/>
      <c r="CA536" s="537"/>
      <c r="CB536" s="529"/>
    </row>
    <row r="537" spans="1:80" x14ac:dyDescent="0.3">
      <c r="A537" s="648"/>
      <c r="B537" s="648"/>
      <c r="C537" s="648" cm="1">
        <f t="array" ref="C537">SUMPRODUCT((Index_Tab!$D$36:$D$45=$B537)*(Index_Tab!$E$35:$F$35=$B$3)*Index_Tab!$E$36:$F$45)</f>
        <v>0</v>
      </c>
      <c r="D537" s="648"/>
      <c r="E537" s="570" t="s">
        <v>27</v>
      </c>
      <c r="F537" s="529"/>
      <c r="G537" s="529"/>
      <c r="H537" s="529"/>
      <c r="I537" s="529"/>
      <c r="J537" s="529"/>
      <c r="K537" s="529"/>
      <c r="L537" s="529"/>
      <c r="M537" s="529"/>
      <c r="N537" s="529"/>
      <c r="O537" s="529"/>
      <c r="P537" s="660"/>
      <c r="Q537" s="529"/>
      <c r="R537" s="529"/>
      <c r="S537" s="529"/>
      <c r="T537" s="529"/>
      <c r="U537" s="529"/>
      <c r="V537" s="529"/>
      <c r="W537" s="529"/>
      <c r="X537" s="529"/>
      <c r="Y537" s="529"/>
      <c r="Z537" s="529"/>
      <c r="AA537" s="529"/>
      <c r="AB537" s="529"/>
      <c r="AC537" s="529"/>
      <c r="AD537" s="529"/>
      <c r="AE537" s="529"/>
      <c r="AF537" s="529"/>
      <c r="AG537" s="529"/>
      <c r="AH537" s="529"/>
      <c r="AI537" s="529"/>
      <c r="AJ537" s="529"/>
      <c r="AK537" s="529"/>
      <c r="AL537" s="529"/>
      <c r="AM537" s="529"/>
      <c r="AN537" s="529"/>
      <c r="AO537" s="529"/>
      <c r="AP537" s="529"/>
      <c r="AQ537" s="529"/>
      <c r="AR537" s="529"/>
      <c r="AS537" s="529"/>
      <c r="AT537" s="529"/>
      <c r="AU537" s="529"/>
      <c r="AV537" s="529"/>
      <c r="AW537" s="529"/>
      <c r="AX537" s="529"/>
      <c r="AY537" s="529"/>
      <c r="AZ537" s="529"/>
      <c r="BA537" s="529"/>
      <c r="BB537" s="529"/>
      <c r="BC537" s="529"/>
      <c r="BD537" s="529"/>
      <c r="BE537" s="529"/>
      <c r="BF537" s="529"/>
      <c r="BG537" s="529"/>
      <c r="BH537" s="529"/>
      <c r="BI537" s="529"/>
      <c r="BJ537" s="529"/>
      <c r="BK537" s="529"/>
      <c r="BL537" s="529"/>
      <c r="BM537" s="529"/>
      <c r="BN537" s="529"/>
      <c r="BO537" s="529"/>
      <c r="BP537" s="529"/>
      <c r="BQ537" s="529"/>
      <c r="BR537" s="529"/>
      <c r="BS537" s="529"/>
      <c r="BT537" s="529"/>
      <c r="BU537" s="529"/>
      <c r="BV537" s="529"/>
      <c r="BW537" s="529"/>
      <c r="BX537" s="529"/>
      <c r="BY537" s="529"/>
      <c r="BZ537" s="537"/>
      <c r="CA537" s="537"/>
      <c r="CB537" s="529"/>
    </row>
    <row r="538" spans="1:80" x14ac:dyDescent="0.3">
      <c r="A538" s="648"/>
      <c r="B538" s="648" t="s">
        <v>15</v>
      </c>
      <c r="C538" s="648" cm="1">
        <f t="array" ref="C538">SUMPRODUCT((Index_Tab!$D$36:$D$45=$B538)*(Index_Tab!$E$35:$F$35=$B$3)*Index_Tab!$E$36:$F$45)</f>
        <v>0</v>
      </c>
      <c r="D538" s="648"/>
      <c r="E538" s="525" t="s">
        <v>28</v>
      </c>
      <c r="F538" s="567"/>
      <c r="G538" s="567"/>
      <c r="H538" s="529"/>
      <c r="I538" s="544">
        <v>520.26999999999987</v>
      </c>
      <c r="J538" s="542">
        <f>I538*(1+'Detailed Assumptions'!F$46)</f>
        <v>520.26999999999987</v>
      </c>
      <c r="K538" s="542">
        <f>J538*(1+'Detailed Assumptions'!G$46)</f>
        <v>520.26999999999987</v>
      </c>
      <c r="L538" s="542">
        <f>K538*(1+'Detailed Assumptions'!H$46)</f>
        <v>520.26999999999987</v>
      </c>
      <c r="M538" s="542">
        <f>L538*(1+'Detailed Assumptions'!I$46)</f>
        <v>520.26999999999987</v>
      </c>
      <c r="N538" s="542">
        <f>M538*(1+'Detailed Assumptions'!J$46)</f>
        <v>520.26999999999987</v>
      </c>
      <c r="O538" s="529"/>
      <c r="P538" s="564">
        <f>IFERROR(((N538/I538)^(1/5))-1,0)</f>
        <v>0</v>
      </c>
      <c r="Q538" s="529"/>
      <c r="R538" s="527">
        <f t="shared" ref="R538:AG541" si="700">(INDEX($I538:$N538,MATCH(R$2,$I$3:$N$3,0)))/12</f>
        <v>43.355833333333322</v>
      </c>
      <c r="S538" s="527">
        <f t="shared" si="700"/>
        <v>43.355833333333322</v>
      </c>
      <c r="T538" s="527">
        <f t="shared" si="700"/>
        <v>43.355833333333322</v>
      </c>
      <c r="U538" s="527">
        <f t="shared" si="700"/>
        <v>43.355833333333322</v>
      </c>
      <c r="V538" s="527">
        <f t="shared" si="700"/>
        <v>43.355833333333322</v>
      </c>
      <c r="W538" s="527">
        <f t="shared" si="700"/>
        <v>43.355833333333322</v>
      </c>
      <c r="X538" s="527">
        <f t="shared" si="700"/>
        <v>43.355833333333322</v>
      </c>
      <c r="Y538" s="527">
        <f t="shared" si="700"/>
        <v>43.355833333333322</v>
      </c>
      <c r="Z538" s="527">
        <f t="shared" si="700"/>
        <v>43.355833333333322</v>
      </c>
      <c r="AA538" s="527">
        <f t="shared" si="700"/>
        <v>43.355833333333322</v>
      </c>
      <c r="AB538" s="527">
        <f t="shared" si="700"/>
        <v>43.355833333333322</v>
      </c>
      <c r="AC538" s="527">
        <f t="shared" si="700"/>
        <v>43.355833333333322</v>
      </c>
      <c r="AD538" s="527">
        <f t="shared" si="700"/>
        <v>43.355833333333322</v>
      </c>
      <c r="AE538" s="527">
        <f t="shared" si="700"/>
        <v>43.355833333333322</v>
      </c>
      <c r="AF538" s="527">
        <f t="shared" si="700"/>
        <v>43.355833333333322</v>
      </c>
      <c r="AG538" s="527">
        <f t="shared" si="700"/>
        <v>43.355833333333322</v>
      </c>
      <c r="AH538" s="527">
        <f t="shared" ref="AH538:AW541" si="701">(INDEX($I538:$N538,MATCH(AH$2,$I$3:$N$3,0)))/12</f>
        <v>43.355833333333322</v>
      </c>
      <c r="AI538" s="527">
        <f t="shared" si="701"/>
        <v>43.355833333333322</v>
      </c>
      <c r="AJ538" s="527">
        <f t="shared" si="701"/>
        <v>43.355833333333322</v>
      </c>
      <c r="AK538" s="527">
        <f t="shared" si="701"/>
        <v>43.355833333333322</v>
      </c>
      <c r="AL538" s="527">
        <f t="shared" si="701"/>
        <v>43.355833333333322</v>
      </c>
      <c r="AM538" s="527">
        <f t="shared" si="701"/>
        <v>43.355833333333322</v>
      </c>
      <c r="AN538" s="527">
        <f t="shared" si="701"/>
        <v>43.355833333333322</v>
      </c>
      <c r="AO538" s="527">
        <f t="shared" si="701"/>
        <v>43.355833333333322</v>
      </c>
      <c r="AP538" s="527">
        <f t="shared" si="701"/>
        <v>43.355833333333322</v>
      </c>
      <c r="AQ538" s="527">
        <f t="shared" si="701"/>
        <v>43.355833333333322</v>
      </c>
      <c r="AR538" s="527">
        <f t="shared" si="701"/>
        <v>43.355833333333322</v>
      </c>
      <c r="AS538" s="527">
        <f t="shared" si="701"/>
        <v>43.355833333333322</v>
      </c>
      <c r="AT538" s="527">
        <f t="shared" si="701"/>
        <v>43.355833333333322</v>
      </c>
      <c r="AU538" s="527">
        <f t="shared" si="701"/>
        <v>43.355833333333322</v>
      </c>
      <c r="AV538" s="527">
        <f t="shared" si="701"/>
        <v>43.355833333333322</v>
      </c>
      <c r="AW538" s="527">
        <f t="shared" si="701"/>
        <v>43.355833333333322</v>
      </c>
      <c r="AX538" s="527">
        <f t="shared" ref="AX538:BM541" si="702">(INDEX($I538:$N538,MATCH(AX$2,$I$3:$N$3,0)))/12</f>
        <v>43.355833333333322</v>
      </c>
      <c r="AY538" s="527">
        <f t="shared" si="702"/>
        <v>43.355833333333322</v>
      </c>
      <c r="AZ538" s="527">
        <f t="shared" si="702"/>
        <v>43.355833333333322</v>
      </c>
      <c r="BA538" s="527">
        <f t="shared" si="702"/>
        <v>43.355833333333322</v>
      </c>
      <c r="BB538" s="527">
        <f t="shared" si="702"/>
        <v>43.355833333333322</v>
      </c>
      <c r="BC538" s="527">
        <f t="shared" si="702"/>
        <v>43.355833333333322</v>
      </c>
      <c r="BD538" s="527">
        <f t="shared" si="702"/>
        <v>43.355833333333322</v>
      </c>
      <c r="BE538" s="527">
        <f t="shared" si="702"/>
        <v>43.355833333333322</v>
      </c>
      <c r="BF538" s="527">
        <f t="shared" si="702"/>
        <v>43.355833333333322</v>
      </c>
      <c r="BG538" s="527">
        <f t="shared" si="702"/>
        <v>43.355833333333322</v>
      </c>
      <c r="BH538" s="527">
        <f t="shared" si="702"/>
        <v>43.355833333333322</v>
      </c>
      <c r="BI538" s="527">
        <f t="shared" si="702"/>
        <v>43.355833333333322</v>
      </c>
      <c r="BJ538" s="527">
        <f t="shared" si="702"/>
        <v>43.355833333333322</v>
      </c>
      <c r="BK538" s="527">
        <f t="shared" si="702"/>
        <v>43.355833333333322</v>
      </c>
      <c r="BL538" s="527">
        <f t="shared" si="702"/>
        <v>43.355833333333322</v>
      </c>
      <c r="BM538" s="527">
        <f t="shared" si="702"/>
        <v>43.355833333333322</v>
      </c>
      <c r="BN538" s="527">
        <f t="shared" ref="BN538:BY541" si="703">(INDEX($I538:$N538,MATCH(BN$2,$I$3:$N$3,0)))/12</f>
        <v>43.355833333333322</v>
      </c>
      <c r="BO538" s="527">
        <f t="shared" si="703"/>
        <v>43.355833333333322</v>
      </c>
      <c r="BP538" s="527">
        <f t="shared" si="703"/>
        <v>43.355833333333322</v>
      </c>
      <c r="BQ538" s="527">
        <f t="shared" si="703"/>
        <v>43.355833333333322</v>
      </c>
      <c r="BR538" s="527">
        <f t="shared" si="703"/>
        <v>43.355833333333322</v>
      </c>
      <c r="BS538" s="527">
        <f t="shared" si="703"/>
        <v>43.355833333333322</v>
      </c>
      <c r="BT538" s="527">
        <f t="shared" si="703"/>
        <v>43.355833333333322</v>
      </c>
      <c r="BU538" s="527">
        <f t="shared" si="703"/>
        <v>43.355833333333322</v>
      </c>
      <c r="BV538" s="527">
        <f t="shared" si="703"/>
        <v>43.355833333333322</v>
      </c>
      <c r="BW538" s="527">
        <f t="shared" si="703"/>
        <v>43.355833333333322</v>
      </c>
      <c r="BX538" s="527">
        <f t="shared" si="703"/>
        <v>43.355833333333322</v>
      </c>
      <c r="BY538" s="527">
        <f t="shared" si="703"/>
        <v>43.355833333333322</v>
      </c>
      <c r="BZ538" s="537"/>
      <c r="CA538" s="537"/>
      <c r="CB538" s="529"/>
    </row>
    <row r="539" spans="1:80" x14ac:dyDescent="0.3">
      <c r="A539" s="648"/>
      <c r="B539" s="648" t="s">
        <v>16</v>
      </c>
      <c r="C539" s="648" cm="1">
        <f t="array" ref="C539">SUMPRODUCT((Index_Tab!$D$36:$D$45=$B539)*(Index_Tab!$E$35:$F$35=$B$3)*Index_Tab!$E$36:$F$45)</f>
        <v>0</v>
      </c>
      <c r="D539" s="648"/>
      <c r="E539" s="525" t="s">
        <v>29</v>
      </c>
      <c r="F539" s="567"/>
      <c r="G539" s="567"/>
      <c r="H539" s="529"/>
      <c r="I539" s="544">
        <v>336441.88949012768</v>
      </c>
      <c r="J539" s="542">
        <f>I539*(1+'Detailed Assumptions'!F$46)</f>
        <v>336441.88949012768</v>
      </c>
      <c r="K539" s="542">
        <f>J539*(1+'Detailed Assumptions'!G$46)</f>
        <v>336441.88949012768</v>
      </c>
      <c r="L539" s="542">
        <f>K539*(1+'Detailed Assumptions'!H$46)</f>
        <v>336441.88949012768</v>
      </c>
      <c r="M539" s="542">
        <f>L539*(1+'Detailed Assumptions'!I$46)</f>
        <v>336441.88949012768</v>
      </c>
      <c r="N539" s="542">
        <f>M539*(1+'Detailed Assumptions'!J$46)</f>
        <v>336441.88949012768</v>
      </c>
      <c r="O539" s="529"/>
      <c r="P539" s="564">
        <f>IFERROR(((N539/I539)^(1/5))-1,0)</f>
        <v>0</v>
      </c>
      <c r="Q539" s="529"/>
      <c r="R539" s="527">
        <f t="shared" si="700"/>
        <v>28036.824124177307</v>
      </c>
      <c r="S539" s="527">
        <f t="shared" si="700"/>
        <v>28036.824124177307</v>
      </c>
      <c r="T539" s="527">
        <f t="shared" si="700"/>
        <v>28036.824124177307</v>
      </c>
      <c r="U539" s="527">
        <f t="shared" si="700"/>
        <v>28036.824124177307</v>
      </c>
      <c r="V539" s="527">
        <f t="shared" si="700"/>
        <v>28036.824124177307</v>
      </c>
      <c r="W539" s="527">
        <f t="shared" si="700"/>
        <v>28036.824124177307</v>
      </c>
      <c r="X539" s="527">
        <f t="shared" si="700"/>
        <v>28036.824124177307</v>
      </c>
      <c r="Y539" s="527">
        <f t="shared" si="700"/>
        <v>28036.824124177307</v>
      </c>
      <c r="Z539" s="527">
        <f t="shared" si="700"/>
        <v>28036.824124177307</v>
      </c>
      <c r="AA539" s="527">
        <f t="shared" si="700"/>
        <v>28036.824124177307</v>
      </c>
      <c r="AB539" s="527">
        <f t="shared" si="700"/>
        <v>28036.824124177307</v>
      </c>
      <c r="AC539" s="527">
        <f t="shared" si="700"/>
        <v>28036.824124177307</v>
      </c>
      <c r="AD539" s="527">
        <f t="shared" si="700"/>
        <v>28036.824124177307</v>
      </c>
      <c r="AE539" s="527">
        <f t="shared" si="700"/>
        <v>28036.824124177307</v>
      </c>
      <c r="AF539" s="527">
        <f t="shared" si="700"/>
        <v>28036.824124177307</v>
      </c>
      <c r="AG539" s="527">
        <f t="shared" si="700"/>
        <v>28036.824124177307</v>
      </c>
      <c r="AH539" s="527">
        <f t="shared" si="701"/>
        <v>28036.824124177307</v>
      </c>
      <c r="AI539" s="527">
        <f t="shared" si="701"/>
        <v>28036.824124177307</v>
      </c>
      <c r="AJ539" s="527">
        <f t="shared" si="701"/>
        <v>28036.824124177307</v>
      </c>
      <c r="AK539" s="527">
        <f t="shared" si="701"/>
        <v>28036.824124177307</v>
      </c>
      <c r="AL539" s="527">
        <f t="shared" si="701"/>
        <v>28036.824124177307</v>
      </c>
      <c r="AM539" s="527">
        <f t="shared" si="701"/>
        <v>28036.824124177307</v>
      </c>
      <c r="AN539" s="527">
        <f t="shared" si="701"/>
        <v>28036.824124177307</v>
      </c>
      <c r="AO539" s="527">
        <f t="shared" si="701"/>
        <v>28036.824124177307</v>
      </c>
      <c r="AP539" s="527">
        <f t="shared" si="701"/>
        <v>28036.824124177307</v>
      </c>
      <c r="AQ539" s="527">
        <f t="shared" si="701"/>
        <v>28036.824124177307</v>
      </c>
      <c r="AR539" s="527">
        <f t="shared" si="701"/>
        <v>28036.824124177307</v>
      </c>
      <c r="AS539" s="527">
        <f t="shared" si="701"/>
        <v>28036.824124177307</v>
      </c>
      <c r="AT539" s="527">
        <f t="shared" si="701"/>
        <v>28036.824124177307</v>
      </c>
      <c r="AU539" s="527">
        <f t="shared" si="701"/>
        <v>28036.824124177307</v>
      </c>
      <c r="AV539" s="527">
        <f t="shared" si="701"/>
        <v>28036.824124177307</v>
      </c>
      <c r="AW539" s="527">
        <f t="shared" si="701"/>
        <v>28036.824124177307</v>
      </c>
      <c r="AX539" s="527">
        <f t="shared" si="702"/>
        <v>28036.824124177307</v>
      </c>
      <c r="AY539" s="527">
        <f t="shared" si="702"/>
        <v>28036.824124177307</v>
      </c>
      <c r="AZ539" s="527">
        <f t="shared" si="702"/>
        <v>28036.824124177307</v>
      </c>
      <c r="BA539" s="527">
        <f t="shared" si="702"/>
        <v>28036.824124177307</v>
      </c>
      <c r="BB539" s="527">
        <f t="shared" si="702"/>
        <v>28036.824124177307</v>
      </c>
      <c r="BC539" s="527">
        <f t="shared" si="702"/>
        <v>28036.824124177307</v>
      </c>
      <c r="BD539" s="527">
        <f t="shared" si="702"/>
        <v>28036.824124177307</v>
      </c>
      <c r="BE539" s="527">
        <f t="shared" si="702"/>
        <v>28036.824124177307</v>
      </c>
      <c r="BF539" s="527">
        <f t="shared" si="702"/>
        <v>28036.824124177307</v>
      </c>
      <c r="BG539" s="527">
        <f t="shared" si="702"/>
        <v>28036.824124177307</v>
      </c>
      <c r="BH539" s="527">
        <f t="shared" si="702"/>
        <v>28036.824124177307</v>
      </c>
      <c r="BI539" s="527">
        <f t="shared" si="702"/>
        <v>28036.824124177307</v>
      </c>
      <c r="BJ539" s="527">
        <f t="shared" si="702"/>
        <v>28036.824124177307</v>
      </c>
      <c r="BK539" s="527">
        <f t="shared" si="702"/>
        <v>28036.824124177307</v>
      </c>
      <c r="BL539" s="527">
        <f t="shared" si="702"/>
        <v>28036.824124177307</v>
      </c>
      <c r="BM539" s="527">
        <f t="shared" si="702"/>
        <v>28036.824124177307</v>
      </c>
      <c r="BN539" s="527">
        <f t="shared" si="703"/>
        <v>28036.824124177307</v>
      </c>
      <c r="BO539" s="527">
        <f t="shared" si="703"/>
        <v>28036.824124177307</v>
      </c>
      <c r="BP539" s="527">
        <f t="shared" si="703"/>
        <v>28036.824124177307</v>
      </c>
      <c r="BQ539" s="527">
        <f t="shared" si="703"/>
        <v>28036.824124177307</v>
      </c>
      <c r="BR539" s="527">
        <f t="shared" si="703"/>
        <v>28036.824124177307</v>
      </c>
      <c r="BS539" s="527">
        <f t="shared" si="703"/>
        <v>28036.824124177307</v>
      </c>
      <c r="BT539" s="527">
        <f t="shared" si="703"/>
        <v>28036.824124177307</v>
      </c>
      <c r="BU539" s="527">
        <f t="shared" si="703"/>
        <v>28036.824124177307</v>
      </c>
      <c r="BV539" s="527">
        <f t="shared" si="703"/>
        <v>28036.824124177307</v>
      </c>
      <c r="BW539" s="527">
        <f t="shared" si="703"/>
        <v>28036.824124177307</v>
      </c>
      <c r="BX539" s="527">
        <f t="shared" si="703"/>
        <v>28036.824124177307</v>
      </c>
      <c r="BY539" s="527">
        <f t="shared" si="703"/>
        <v>28036.824124177307</v>
      </c>
      <c r="BZ539" s="537"/>
      <c r="CA539" s="537"/>
      <c r="CB539" s="529"/>
    </row>
    <row r="540" spans="1:80" x14ac:dyDescent="0.3">
      <c r="A540" s="648"/>
      <c r="B540" s="648" t="s">
        <v>17</v>
      </c>
      <c r="C540" s="648" cm="1">
        <f t="array" ref="C540">SUMPRODUCT((Index_Tab!$D$36:$D$45=$B540)*(Index_Tab!$E$35:$F$35=$B$3)*Index_Tab!$E$36:$F$45)</f>
        <v>0</v>
      </c>
      <c r="D540" s="648"/>
      <c r="E540" s="525" t="s">
        <v>30</v>
      </c>
      <c r="F540" s="567"/>
      <c r="G540" s="567"/>
      <c r="H540" s="529"/>
      <c r="I540" s="544">
        <v>163016.55999999997</v>
      </c>
      <c r="J540" s="542">
        <f>I540*(1+'Detailed Assumptions'!F$46)</f>
        <v>163016.55999999997</v>
      </c>
      <c r="K540" s="542">
        <f>J540*(1+'Detailed Assumptions'!G$46)</f>
        <v>163016.55999999997</v>
      </c>
      <c r="L540" s="542">
        <f>K540*(1+'Detailed Assumptions'!H$46)</f>
        <v>163016.55999999997</v>
      </c>
      <c r="M540" s="542">
        <f>L540*(1+'Detailed Assumptions'!I$46)</f>
        <v>163016.55999999997</v>
      </c>
      <c r="N540" s="542">
        <f>M540*(1+'Detailed Assumptions'!J$46)</f>
        <v>163016.55999999997</v>
      </c>
      <c r="O540" s="529"/>
      <c r="P540" s="564">
        <f>IFERROR(((N540/I540)^(1/5))-1,0)</f>
        <v>0</v>
      </c>
      <c r="Q540" s="529"/>
      <c r="R540" s="527">
        <f t="shared" si="700"/>
        <v>13584.713333333331</v>
      </c>
      <c r="S540" s="527">
        <f t="shared" si="700"/>
        <v>13584.713333333331</v>
      </c>
      <c r="T540" s="527">
        <f t="shared" si="700"/>
        <v>13584.713333333331</v>
      </c>
      <c r="U540" s="527">
        <f t="shared" si="700"/>
        <v>13584.713333333331</v>
      </c>
      <c r="V540" s="527">
        <f t="shared" si="700"/>
        <v>13584.713333333331</v>
      </c>
      <c r="W540" s="527">
        <f t="shared" si="700"/>
        <v>13584.713333333331</v>
      </c>
      <c r="X540" s="527">
        <f t="shared" si="700"/>
        <v>13584.713333333331</v>
      </c>
      <c r="Y540" s="527">
        <f t="shared" si="700"/>
        <v>13584.713333333331</v>
      </c>
      <c r="Z540" s="527">
        <f t="shared" si="700"/>
        <v>13584.713333333331</v>
      </c>
      <c r="AA540" s="527">
        <f t="shared" si="700"/>
        <v>13584.713333333331</v>
      </c>
      <c r="AB540" s="527">
        <f t="shared" si="700"/>
        <v>13584.713333333331</v>
      </c>
      <c r="AC540" s="527">
        <f t="shared" si="700"/>
        <v>13584.713333333331</v>
      </c>
      <c r="AD540" s="527">
        <f t="shared" si="700"/>
        <v>13584.713333333331</v>
      </c>
      <c r="AE540" s="527">
        <f t="shared" si="700"/>
        <v>13584.713333333331</v>
      </c>
      <c r="AF540" s="527">
        <f t="shared" si="700"/>
        <v>13584.713333333331</v>
      </c>
      <c r="AG540" s="527">
        <f t="shared" si="700"/>
        <v>13584.713333333331</v>
      </c>
      <c r="AH540" s="527">
        <f t="shared" si="701"/>
        <v>13584.713333333331</v>
      </c>
      <c r="AI540" s="527">
        <f t="shared" si="701"/>
        <v>13584.713333333331</v>
      </c>
      <c r="AJ540" s="527">
        <f t="shared" si="701"/>
        <v>13584.713333333331</v>
      </c>
      <c r="AK540" s="527">
        <f t="shared" si="701"/>
        <v>13584.713333333331</v>
      </c>
      <c r="AL540" s="527">
        <f t="shared" si="701"/>
        <v>13584.713333333331</v>
      </c>
      <c r="AM540" s="527">
        <f t="shared" si="701"/>
        <v>13584.713333333331</v>
      </c>
      <c r="AN540" s="527">
        <f t="shared" si="701"/>
        <v>13584.713333333331</v>
      </c>
      <c r="AO540" s="527">
        <f t="shared" si="701"/>
        <v>13584.713333333331</v>
      </c>
      <c r="AP540" s="527">
        <f t="shared" si="701"/>
        <v>13584.713333333331</v>
      </c>
      <c r="AQ540" s="527">
        <f t="shared" si="701"/>
        <v>13584.713333333331</v>
      </c>
      <c r="AR540" s="527">
        <f t="shared" si="701"/>
        <v>13584.713333333331</v>
      </c>
      <c r="AS540" s="527">
        <f t="shared" si="701"/>
        <v>13584.713333333331</v>
      </c>
      <c r="AT540" s="527">
        <f t="shared" si="701"/>
        <v>13584.713333333331</v>
      </c>
      <c r="AU540" s="527">
        <f t="shared" si="701"/>
        <v>13584.713333333331</v>
      </c>
      <c r="AV540" s="527">
        <f t="shared" si="701"/>
        <v>13584.713333333331</v>
      </c>
      <c r="AW540" s="527">
        <f t="shared" si="701"/>
        <v>13584.713333333331</v>
      </c>
      <c r="AX540" s="527">
        <f t="shared" si="702"/>
        <v>13584.713333333331</v>
      </c>
      <c r="AY540" s="527">
        <f t="shared" si="702"/>
        <v>13584.713333333331</v>
      </c>
      <c r="AZ540" s="527">
        <f t="shared" si="702"/>
        <v>13584.713333333331</v>
      </c>
      <c r="BA540" s="527">
        <f t="shared" si="702"/>
        <v>13584.713333333331</v>
      </c>
      <c r="BB540" s="527">
        <f t="shared" si="702"/>
        <v>13584.713333333331</v>
      </c>
      <c r="BC540" s="527">
        <f t="shared" si="702"/>
        <v>13584.713333333331</v>
      </c>
      <c r="BD540" s="527">
        <f t="shared" si="702"/>
        <v>13584.713333333331</v>
      </c>
      <c r="BE540" s="527">
        <f t="shared" si="702"/>
        <v>13584.713333333331</v>
      </c>
      <c r="BF540" s="527">
        <f t="shared" si="702"/>
        <v>13584.713333333331</v>
      </c>
      <c r="BG540" s="527">
        <f t="shared" si="702"/>
        <v>13584.713333333331</v>
      </c>
      <c r="BH540" s="527">
        <f t="shared" si="702"/>
        <v>13584.713333333331</v>
      </c>
      <c r="BI540" s="527">
        <f t="shared" si="702"/>
        <v>13584.713333333331</v>
      </c>
      <c r="BJ540" s="527">
        <f t="shared" si="702"/>
        <v>13584.713333333331</v>
      </c>
      <c r="BK540" s="527">
        <f t="shared" si="702"/>
        <v>13584.713333333331</v>
      </c>
      <c r="BL540" s="527">
        <f t="shared" si="702"/>
        <v>13584.713333333331</v>
      </c>
      <c r="BM540" s="527">
        <f t="shared" si="702"/>
        <v>13584.713333333331</v>
      </c>
      <c r="BN540" s="527">
        <f t="shared" si="703"/>
        <v>13584.713333333331</v>
      </c>
      <c r="BO540" s="527">
        <f t="shared" si="703"/>
        <v>13584.713333333331</v>
      </c>
      <c r="BP540" s="527">
        <f t="shared" si="703"/>
        <v>13584.713333333331</v>
      </c>
      <c r="BQ540" s="527">
        <f t="shared" si="703"/>
        <v>13584.713333333331</v>
      </c>
      <c r="BR540" s="527">
        <f t="shared" si="703"/>
        <v>13584.713333333331</v>
      </c>
      <c r="BS540" s="527">
        <f t="shared" si="703"/>
        <v>13584.713333333331</v>
      </c>
      <c r="BT540" s="527">
        <f t="shared" si="703"/>
        <v>13584.713333333331</v>
      </c>
      <c r="BU540" s="527">
        <f t="shared" si="703"/>
        <v>13584.713333333331</v>
      </c>
      <c r="BV540" s="527">
        <f t="shared" si="703"/>
        <v>13584.713333333331</v>
      </c>
      <c r="BW540" s="527">
        <f t="shared" si="703"/>
        <v>13584.713333333331</v>
      </c>
      <c r="BX540" s="527">
        <f t="shared" si="703"/>
        <v>13584.713333333331</v>
      </c>
      <c r="BY540" s="527">
        <f t="shared" si="703"/>
        <v>13584.713333333331</v>
      </c>
      <c r="BZ540" s="537"/>
      <c r="CA540" s="537"/>
      <c r="CB540" s="529"/>
    </row>
    <row r="541" spans="1:80" x14ac:dyDescent="0.3">
      <c r="A541" s="648"/>
      <c r="B541" s="648" t="s">
        <v>18</v>
      </c>
      <c r="C541" s="648" cm="1">
        <f t="array" ref="C541">SUMPRODUCT((Index_Tab!$D$36:$D$45=$B541)*(Index_Tab!$E$35:$F$35=$B$3)*Index_Tab!$E$36:$F$45)</f>
        <v>0</v>
      </c>
      <c r="D541" s="648"/>
      <c r="E541" s="525" t="s">
        <v>31</v>
      </c>
      <c r="F541" s="567"/>
      <c r="G541" s="567"/>
      <c r="H541" s="529"/>
      <c r="I541" s="544">
        <v>392027.8403519998</v>
      </c>
      <c r="J541" s="542">
        <f>I541*(1+'Detailed Assumptions'!F$46)</f>
        <v>392027.8403519998</v>
      </c>
      <c r="K541" s="542">
        <f>J541*(1+'Detailed Assumptions'!G$46)</f>
        <v>392027.8403519998</v>
      </c>
      <c r="L541" s="542">
        <f>K541*(1+'Detailed Assumptions'!H$46)</f>
        <v>392027.8403519998</v>
      </c>
      <c r="M541" s="542">
        <f>L541*(1+'Detailed Assumptions'!I$46)</f>
        <v>392027.8403519998</v>
      </c>
      <c r="N541" s="542">
        <f>M541*(1+'Detailed Assumptions'!J$46)</f>
        <v>392027.8403519998</v>
      </c>
      <c r="O541" s="529"/>
      <c r="P541" s="564">
        <f>IFERROR(((N541/I541)^(1/5))-1,0)</f>
        <v>0</v>
      </c>
      <c r="Q541" s="529"/>
      <c r="R541" s="527">
        <f t="shared" si="700"/>
        <v>32668.986695999982</v>
      </c>
      <c r="S541" s="527">
        <f t="shared" si="700"/>
        <v>32668.986695999982</v>
      </c>
      <c r="T541" s="527">
        <f t="shared" si="700"/>
        <v>32668.986695999982</v>
      </c>
      <c r="U541" s="527">
        <f t="shared" si="700"/>
        <v>32668.986695999982</v>
      </c>
      <c r="V541" s="527">
        <f t="shared" si="700"/>
        <v>32668.986695999982</v>
      </c>
      <c r="W541" s="527">
        <f t="shared" si="700"/>
        <v>32668.986695999982</v>
      </c>
      <c r="X541" s="527">
        <f t="shared" si="700"/>
        <v>32668.986695999982</v>
      </c>
      <c r="Y541" s="527">
        <f t="shared" si="700"/>
        <v>32668.986695999982</v>
      </c>
      <c r="Z541" s="527">
        <f t="shared" si="700"/>
        <v>32668.986695999982</v>
      </c>
      <c r="AA541" s="527">
        <f t="shared" si="700"/>
        <v>32668.986695999982</v>
      </c>
      <c r="AB541" s="527">
        <f t="shared" si="700"/>
        <v>32668.986695999982</v>
      </c>
      <c r="AC541" s="527">
        <f t="shared" si="700"/>
        <v>32668.986695999982</v>
      </c>
      <c r="AD541" s="527">
        <f t="shared" si="700"/>
        <v>32668.986695999982</v>
      </c>
      <c r="AE541" s="527">
        <f t="shared" si="700"/>
        <v>32668.986695999982</v>
      </c>
      <c r="AF541" s="527">
        <f t="shared" si="700"/>
        <v>32668.986695999982</v>
      </c>
      <c r="AG541" s="527">
        <f t="shared" si="700"/>
        <v>32668.986695999982</v>
      </c>
      <c r="AH541" s="527">
        <f t="shared" si="701"/>
        <v>32668.986695999982</v>
      </c>
      <c r="AI541" s="527">
        <f t="shared" si="701"/>
        <v>32668.986695999982</v>
      </c>
      <c r="AJ541" s="527">
        <f t="shared" si="701"/>
        <v>32668.986695999982</v>
      </c>
      <c r="AK541" s="527">
        <f t="shared" si="701"/>
        <v>32668.986695999982</v>
      </c>
      <c r="AL541" s="527">
        <f t="shared" si="701"/>
        <v>32668.986695999982</v>
      </c>
      <c r="AM541" s="527">
        <f t="shared" si="701"/>
        <v>32668.986695999982</v>
      </c>
      <c r="AN541" s="527">
        <f t="shared" si="701"/>
        <v>32668.986695999982</v>
      </c>
      <c r="AO541" s="527">
        <f t="shared" si="701"/>
        <v>32668.986695999982</v>
      </c>
      <c r="AP541" s="527">
        <f t="shared" si="701"/>
        <v>32668.986695999982</v>
      </c>
      <c r="AQ541" s="527">
        <f t="shared" si="701"/>
        <v>32668.986695999982</v>
      </c>
      <c r="AR541" s="527">
        <f t="shared" si="701"/>
        <v>32668.986695999982</v>
      </c>
      <c r="AS541" s="527">
        <f t="shared" si="701"/>
        <v>32668.986695999982</v>
      </c>
      <c r="AT541" s="527">
        <f t="shared" si="701"/>
        <v>32668.986695999982</v>
      </c>
      <c r="AU541" s="527">
        <f t="shared" si="701"/>
        <v>32668.986695999982</v>
      </c>
      <c r="AV541" s="527">
        <f t="shared" si="701"/>
        <v>32668.986695999982</v>
      </c>
      <c r="AW541" s="527">
        <f t="shared" si="701"/>
        <v>32668.986695999982</v>
      </c>
      <c r="AX541" s="527">
        <f t="shared" si="702"/>
        <v>32668.986695999982</v>
      </c>
      <c r="AY541" s="527">
        <f t="shared" si="702"/>
        <v>32668.986695999982</v>
      </c>
      <c r="AZ541" s="527">
        <f t="shared" si="702"/>
        <v>32668.986695999982</v>
      </c>
      <c r="BA541" s="527">
        <f t="shared" si="702"/>
        <v>32668.986695999982</v>
      </c>
      <c r="BB541" s="527">
        <f t="shared" si="702"/>
        <v>32668.986695999982</v>
      </c>
      <c r="BC541" s="527">
        <f t="shared" si="702"/>
        <v>32668.986695999982</v>
      </c>
      <c r="BD541" s="527">
        <f t="shared" si="702"/>
        <v>32668.986695999982</v>
      </c>
      <c r="BE541" s="527">
        <f t="shared" si="702"/>
        <v>32668.986695999982</v>
      </c>
      <c r="BF541" s="527">
        <f t="shared" si="702"/>
        <v>32668.986695999982</v>
      </c>
      <c r="BG541" s="527">
        <f t="shared" si="702"/>
        <v>32668.986695999982</v>
      </c>
      <c r="BH541" s="527">
        <f t="shared" si="702"/>
        <v>32668.986695999982</v>
      </c>
      <c r="BI541" s="527">
        <f t="shared" si="702"/>
        <v>32668.986695999982</v>
      </c>
      <c r="BJ541" s="527">
        <f t="shared" si="702"/>
        <v>32668.986695999982</v>
      </c>
      <c r="BK541" s="527">
        <f t="shared" si="702"/>
        <v>32668.986695999982</v>
      </c>
      <c r="BL541" s="527">
        <f t="shared" si="702"/>
        <v>32668.986695999982</v>
      </c>
      <c r="BM541" s="527">
        <f t="shared" si="702"/>
        <v>32668.986695999982</v>
      </c>
      <c r="BN541" s="527">
        <f t="shared" si="703"/>
        <v>32668.986695999982</v>
      </c>
      <c r="BO541" s="527">
        <f t="shared" si="703"/>
        <v>32668.986695999982</v>
      </c>
      <c r="BP541" s="527">
        <f t="shared" si="703"/>
        <v>32668.986695999982</v>
      </c>
      <c r="BQ541" s="527">
        <f t="shared" si="703"/>
        <v>32668.986695999982</v>
      </c>
      <c r="BR541" s="527">
        <f t="shared" si="703"/>
        <v>32668.986695999982</v>
      </c>
      <c r="BS541" s="527">
        <f t="shared" si="703"/>
        <v>32668.986695999982</v>
      </c>
      <c r="BT541" s="527">
        <f t="shared" si="703"/>
        <v>32668.986695999982</v>
      </c>
      <c r="BU541" s="527">
        <f t="shared" si="703"/>
        <v>32668.986695999982</v>
      </c>
      <c r="BV541" s="527">
        <f t="shared" si="703"/>
        <v>32668.986695999982</v>
      </c>
      <c r="BW541" s="527">
        <f t="shared" si="703"/>
        <v>32668.986695999982</v>
      </c>
      <c r="BX541" s="527">
        <f t="shared" si="703"/>
        <v>32668.986695999982</v>
      </c>
      <c r="BY541" s="527">
        <f t="shared" si="703"/>
        <v>32668.986695999982</v>
      </c>
      <c r="BZ541" s="537"/>
      <c r="CA541" s="537"/>
      <c r="CB541" s="529"/>
    </row>
    <row r="542" spans="1:80" x14ac:dyDescent="0.3">
      <c r="A542" s="648"/>
      <c r="B542" s="648"/>
      <c r="C542" s="648" cm="1">
        <f t="array" ref="C542">SUMPRODUCT((Index_Tab!$D$36:$D$45=$B542)*(Index_Tab!$E$35:$F$35=$B$3)*Index_Tab!$E$36:$F$45)</f>
        <v>0</v>
      </c>
      <c r="D542" s="648"/>
      <c r="E542" s="572" t="s">
        <v>32</v>
      </c>
      <c r="F542" s="573"/>
      <c r="G542" s="573"/>
      <c r="H542" s="529"/>
      <c r="I542" s="532">
        <f>SUM(I538:I541)</f>
        <v>892006.55984212738</v>
      </c>
      <c r="J542" s="532">
        <f>SUM(J538:J541)</f>
        <v>892006.55984212738</v>
      </c>
      <c r="K542" s="532">
        <f t="shared" ref="K542:BX542" si="704">SUM(K538:K541)</f>
        <v>892006.55984212738</v>
      </c>
      <c r="L542" s="532">
        <f t="shared" si="704"/>
        <v>892006.55984212738</v>
      </c>
      <c r="M542" s="532">
        <f t="shared" si="704"/>
        <v>892006.55984212738</v>
      </c>
      <c r="N542" s="532">
        <f t="shared" si="704"/>
        <v>892006.55984212738</v>
      </c>
      <c r="O542" s="536"/>
      <c r="P542" s="568">
        <f>IFERROR(((N542/I542)^(1/5))-1,0)</f>
        <v>0</v>
      </c>
      <c r="Q542" s="529"/>
      <c r="R542" s="532">
        <f t="shared" si="704"/>
        <v>74333.879986843953</v>
      </c>
      <c r="S542" s="532">
        <f t="shared" si="704"/>
        <v>74333.879986843953</v>
      </c>
      <c r="T542" s="532">
        <f t="shared" si="704"/>
        <v>74333.879986843953</v>
      </c>
      <c r="U542" s="532">
        <f t="shared" si="704"/>
        <v>74333.879986843953</v>
      </c>
      <c r="V542" s="532">
        <f t="shared" si="704"/>
        <v>74333.879986843953</v>
      </c>
      <c r="W542" s="532">
        <f t="shared" si="704"/>
        <v>74333.879986843953</v>
      </c>
      <c r="X542" s="532">
        <f t="shared" si="704"/>
        <v>74333.879986843953</v>
      </c>
      <c r="Y542" s="532">
        <f t="shared" si="704"/>
        <v>74333.879986843953</v>
      </c>
      <c r="Z542" s="532">
        <f t="shared" si="704"/>
        <v>74333.879986843953</v>
      </c>
      <c r="AA542" s="532">
        <f t="shared" si="704"/>
        <v>74333.879986843953</v>
      </c>
      <c r="AB542" s="532">
        <f t="shared" si="704"/>
        <v>74333.879986843953</v>
      </c>
      <c r="AC542" s="532">
        <f t="shared" si="704"/>
        <v>74333.879986843953</v>
      </c>
      <c r="AD542" s="532">
        <f t="shared" si="704"/>
        <v>74333.879986843953</v>
      </c>
      <c r="AE542" s="532">
        <f t="shared" si="704"/>
        <v>74333.879986843953</v>
      </c>
      <c r="AF542" s="532">
        <f t="shared" si="704"/>
        <v>74333.879986843953</v>
      </c>
      <c r="AG542" s="532">
        <f t="shared" si="704"/>
        <v>74333.879986843953</v>
      </c>
      <c r="AH542" s="532">
        <f t="shared" si="704"/>
        <v>74333.879986843953</v>
      </c>
      <c r="AI542" s="532">
        <f t="shared" si="704"/>
        <v>74333.879986843953</v>
      </c>
      <c r="AJ542" s="532">
        <f t="shared" si="704"/>
        <v>74333.879986843953</v>
      </c>
      <c r="AK542" s="532">
        <f t="shared" si="704"/>
        <v>74333.879986843953</v>
      </c>
      <c r="AL542" s="532">
        <f t="shared" si="704"/>
        <v>74333.879986843953</v>
      </c>
      <c r="AM542" s="532">
        <f t="shared" si="704"/>
        <v>74333.879986843953</v>
      </c>
      <c r="AN542" s="532">
        <f t="shared" si="704"/>
        <v>74333.879986843953</v>
      </c>
      <c r="AO542" s="532">
        <f t="shared" si="704"/>
        <v>74333.879986843953</v>
      </c>
      <c r="AP542" s="532">
        <f t="shared" si="704"/>
        <v>74333.879986843953</v>
      </c>
      <c r="AQ542" s="532">
        <f t="shared" si="704"/>
        <v>74333.879986843953</v>
      </c>
      <c r="AR542" s="532">
        <f t="shared" si="704"/>
        <v>74333.879986843953</v>
      </c>
      <c r="AS542" s="532">
        <f t="shared" si="704"/>
        <v>74333.879986843953</v>
      </c>
      <c r="AT542" s="532">
        <f t="shared" si="704"/>
        <v>74333.879986843953</v>
      </c>
      <c r="AU542" s="532">
        <f t="shared" si="704"/>
        <v>74333.879986843953</v>
      </c>
      <c r="AV542" s="532">
        <f t="shared" si="704"/>
        <v>74333.879986843953</v>
      </c>
      <c r="AW542" s="532">
        <f t="shared" si="704"/>
        <v>74333.879986843953</v>
      </c>
      <c r="AX542" s="532">
        <f t="shared" si="704"/>
        <v>74333.879986843953</v>
      </c>
      <c r="AY542" s="532">
        <f t="shared" si="704"/>
        <v>74333.879986843953</v>
      </c>
      <c r="AZ542" s="532">
        <f t="shared" si="704"/>
        <v>74333.879986843953</v>
      </c>
      <c r="BA542" s="532">
        <f t="shared" si="704"/>
        <v>74333.879986843953</v>
      </c>
      <c r="BB542" s="532">
        <f t="shared" si="704"/>
        <v>74333.879986843953</v>
      </c>
      <c r="BC542" s="532">
        <f t="shared" si="704"/>
        <v>74333.879986843953</v>
      </c>
      <c r="BD542" s="532">
        <f t="shared" si="704"/>
        <v>74333.879986843953</v>
      </c>
      <c r="BE542" s="532">
        <f t="shared" si="704"/>
        <v>74333.879986843953</v>
      </c>
      <c r="BF542" s="532">
        <f t="shared" si="704"/>
        <v>74333.879986843953</v>
      </c>
      <c r="BG542" s="532">
        <f t="shared" si="704"/>
        <v>74333.879986843953</v>
      </c>
      <c r="BH542" s="532">
        <f t="shared" si="704"/>
        <v>74333.879986843953</v>
      </c>
      <c r="BI542" s="532">
        <f t="shared" si="704"/>
        <v>74333.879986843953</v>
      </c>
      <c r="BJ542" s="532">
        <f t="shared" si="704"/>
        <v>74333.879986843953</v>
      </c>
      <c r="BK542" s="532">
        <f t="shared" si="704"/>
        <v>74333.879986843953</v>
      </c>
      <c r="BL542" s="532">
        <f t="shared" si="704"/>
        <v>74333.879986843953</v>
      </c>
      <c r="BM542" s="532">
        <f t="shared" si="704"/>
        <v>74333.879986843953</v>
      </c>
      <c r="BN542" s="532">
        <f t="shared" si="704"/>
        <v>74333.879986843953</v>
      </c>
      <c r="BO542" s="532">
        <f t="shared" si="704"/>
        <v>74333.879986843953</v>
      </c>
      <c r="BP542" s="532">
        <f t="shared" si="704"/>
        <v>74333.879986843953</v>
      </c>
      <c r="BQ542" s="532">
        <f t="shared" si="704"/>
        <v>74333.879986843953</v>
      </c>
      <c r="BR542" s="532">
        <f t="shared" si="704"/>
        <v>74333.879986843953</v>
      </c>
      <c r="BS542" s="532">
        <f t="shared" si="704"/>
        <v>74333.879986843953</v>
      </c>
      <c r="BT542" s="532">
        <f t="shared" si="704"/>
        <v>74333.879986843953</v>
      </c>
      <c r="BU542" s="532">
        <f t="shared" si="704"/>
        <v>74333.879986843953</v>
      </c>
      <c r="BV542" s="532">
        <f t="shared" si="704"/>
        <v>74333.879986843953</v>
      </c>
      <c r="BW542" s="532">
        <f t="shared" si="704"/>
        <v>74333.879986843953</v>
      </c>
      <c r="BX542" s="532">
        <f t="shared" si="704"/>
        <v>74333.879986843953</v>
      </c>
      <c r="BY542" s="532">
        <f>SUM(BY538:BY541)</f>
        <v>74333.879986843953</v>
      </c>
      <c r="BZ542" s="537"/>
      <c r="CA542" s="537"/>
      <c r="CB542" s="529"/>
    </row>
    <row r="543" spans="1:80" x14ac:dyDescent="0.3">
      <c r="A543" s="648"/>
      <c r="B543" s="648"/>
      <c r="C543" s="648" cm="1">
        <f t="array" ref="C543">SUMPRODUCT((Index_Tab!$D$36:$D$45=$B543)*(Index_Tab!$E$35:$F$35=$B$3)*Index_Tab!$E$36:$F$45)</f>
        <v>0</v>
      </c>
      <c r="D543" s="648"/>
      <c r="E543" s="525"/>
      <c r="F543" s="529"/>
      <c r="G543" s="529"/>
      <c r="H543" s="529"/>
      <c r="I543" s="529"/>
      <c r="J543" s="529"/>
      <c r="K543" s="529"/>
      <c r="L543" s="529"/>
      <c r="M543" s="529"/>
      <c r="N543" s="529"/>
      <c r="O543" s="529"/>
      <c r="P543" s="660"/>
      <c r="Q543" s="529"/>
      <c r="R543" s="529"/>
      <c r="S543" s="529"/>
      <c r="T543" s="529"/>
      <c r="U543" s="529"/>
      <c r="V543" s="529"/>
      <c r="W543" s="529"/>
      <c r="X543" s="529"/>
      <c r="Y543" s="529"/>
      <c r="Z543" s="529"/>
      <c r="AA543" s="529"/>
      <c r="AB543" s="529"/>
      <c r="AC543" s="529"/>
      <c r="AD543" s="529"/>
      <c r="AE543" s="529"/>
      <c r="AF543" s="529"/>
      <c r="AG543" s="529"/>
      <c r="AH543" s="529"/>
      <c r="AI543" s="529"/>
      <c r="AJ543" s="529"/>
      <c r="AK543" s="529"/>
      <c r="AL543" s="529"/>
      <c r="AM543" s="529"/>
      <c r="AN543" s="529"/>
      <c r="AO543" s="529"/>
      <c r="AP543" s="529"/>
      <c r="AQ543" s="529"/>
      <c r="AR543" s="529"/>
      <c r="AS543" s="529"/>
      <c r="AT543" s="529"/>
      <c r="AU543" s="529"/>
      <c r="AV543" s="529"/>
      <c r="AW543" s="529"/>
      <c r="AX543" s="529"/>
      <c r="AY543" s="529"/>
      <c r="AZ543" s="529"/>
      <c r="BA543" s="529"/>
      <c r="BB543" s="529"/>
      <c r="BC543" s="529"/>
      <c r="BD543" s="529"/>
      <c r="BE543" s="529"/>
      <c r="BF543" s="529"/>
      <c r="BG543" s="529"/>
      <c r="BH543" s="529"/>
      <c r="BI543" s="529"/>
      <c r="BJ543" s="529"/>
      <c r="BK543" s="529"/>
      <c r="BL543" s="529"/>
      <c r="BM543" s="529"/>
      <c r="BN543" s="529"/>
      <c r="BO543" s="529"/>
      <c r="BP543" s="529"/>
      <c r="BQ543" s="529"/>
      <c r="BR543" s="529"/>
      <c r="BS543" s="529"/>
      <c r="BT543" s="529"/>
      <c r="BU543" s="529"/>
      <c r="BV543" s="529"/>
      <c r="BW543" s="529"/>
      <c r="BX543" s="529"/>
      <c r="BY543" s="529"/>
      <c r="BZ543" s="537"/>
      <c r="CA543" s="537"/>
      <c r="CB543" s="529"/>
    </row>
    <row r="544" spans="1:80" x14ac:dyDescent="0.3">
      <c r="A544" s="648"/>
      <c r="B544" s="648"/>
      <c r="C544" s="648" cm="1">
        <f t="array" ref="C544">SUMPRODUCT((Index_Tab!$D$36:$D$45=$B544)*(Index_Tab!$E$35:$F$35=$B$3)*Index_Tab!$E$36:$F$45)</f>
        <v>0</v>
      </c>
      <c r="D544" s="648"/>
      <c r="E544" s="578" t="s">
        <v>33</v>
      </c>
      <c r="F544" s="579"/>
      <c r="G544" s="579"/>
      <c r="H544" s="529"/>
      <c r="I544" s="534">
        <f t="shared" ref="I544:N544" si="705">SUM(I542,I535,I529)</f>
        <v>12839784.756129691</v>
      </c>
      <c r="J544" s="534">
        <f t="shared" si="705"/>
        <v>13372003.168683294</v>
      </c>
      <c r="K544" s="534">
        <f t="shared" si="705"/>
        <v>13903321.837293765</v>
      </c>
      <c r="L544" s="534">
        <f t="shared" si="705"/>
        <v>14430407.763533773</v>
      </c>
      <c r="M544" s="534">
        <f t="shared" si="705"/>
        <v>14936882.703231327</v>
      </c>
      <c r="N544" s="534">
        <f t="shared" si="705"/>
        <v>15448899.903376047</v>
      </c>
      <c r="O544" s="536"/>
      <c r="P544" s="568">
        <f>IFERROR(((N544/I544)^(1/5))-1,0)</f>
        <v>3.7690792408001217E-2</v>
      </c>
      <c r="Q544" s="529"/>
      <c r="R544" s="534">
        <f t="shared" ref="R544:BY544" si="706">SUM(R542,R535,R529)</f>
        <v>1114333.5973902745</v>
      </c>
      <c r="S544" s="534">
        <f t="shared" si="706"/>
        <v>1114333.5973902745</v>
      </c>
      <c r="T544" s="534">
        <f t="shared" si="706"/>
        <v>1114333.5973902745</v>
      </c>
      <c r="U544" s="534">
        <f t="shared" si="706"/>
        <v>1114333.5973902745</v>
      </c>
      <c r="V544" s="534">
        <f t="shared" si="706"/>
        <v>1114333.5973902745</v>
      </c>
      <c r="W544" s="534">
        <f t="shared" si="706"/>
        <v>1114333.5973902745</v>
      </c>
      <c r="X544" s="534">
        <f t="shared" si="706"/>
        <v>1114333.5973902745</v>
      </c>
      <c r="Y544" s="534">
        <f t="shared" si="706"/>
        <v>1114333.5973902745</v>
      </c>
      <c r="Z544" s="534">
        <f t="shared" si="706"/>
        <v>1114333.5973902745</v>
      </c>
      <c r="AA544" s="534">
        <f t="shared" si="706"/>
        <v>1114333.5973902745</v>
      </c>
      <c r="AB544" s="534">
        <f t="shared" si="706"/>
        <v>1114333.5973902745</v>
      </c>
      <c r="AC544" s="534">
        <f t="shared" si="706"/>
        <v>1114333.5973902745</v>
      </c>
      <c r="AD544" s="534">
        <f t="shared" si="706"/>
        <v>1158610.1531078136</v>
      </c>
      <c r="AE544" s="534">
        <f t="shared" si="706"/>
        <v>1158610.1531078136</v>
      </c>
      <c r="AF544" s="534">
        <f t="shared" si="706"/>
        <v>1158610.1531078136</v>
      </c>
      <c r="AG544" s="534">
        <f t="shared" si="706"/>
        <v>1158610.1531078136</v>
      </c>
      <c r="AH544" s="534">
        <f t="shared" si="706"/>
        <v>1158610.1531078136</v>
      </c>
      <c r="AI544" s="534">
        <f t="shared" si="706"/>
        <v>1158610.1531078136</v>
      </c>
      <c r="AJ544" s="534">
        <f t="shared" si="706"/>
        <v>1158610.1531078136</v>
      </c>
      <c r="AK544" s="534">
        <f t="shared" si="706"/>
        <v>1158610.1531078136</v>
      </c>
      <c r="AL544" s="534">
        <f t="shared" si="706"/>
        <v>1158610.1531078136</v>
      </c>
      <c r="AM544" s="534">
        <f t="shared" si="706"/>
        <v>1158610.1531078136</v>
      </c>
      <c r="AN544" s="534">
        <f t="shared" si="706"/>
        <v>1158610.1531078136</v>
      </c>
      <c r="AO544" s="534">
        <f t="shared" si="706"/>
        <v>1158610.1531078136</v>
      </c>
      <c r="AP544" s="534">
        <f t="shared" si="706"/>
        <v>1202533.9802944812</v>
      </c>
      <c r="AQ544" s="534">
        <f t="shared" si="706"/>
        <v>1202533.9802944812</v>
      </c>
      <c r="AR544" s="534">
        <f t="shared" si="706"/>
        <v>1202533.9802944812</v>
      </c>
      <c r="AS544" s="534">
        <f t="shared" si="706"/>
        <v>1202533.9802944812</v>
      </c>
      <c r="AT544" s="534">
        <f t="shared" si="706"/>
        <v>1202533.9802944812</v>
      </c>
      <c r="AU544" s="534">
        <f t="shared" si="706"/>
        <v>1202533.9802944812</v>
      </c>
      <c r="AV544" s="534">
        <f t="shared" si="706"/>
        <v>1202533.9802944812</v>
      </c>
      <c r="AW544" s="534">
        <f t="shared" si="706"/>
        <v>1202533.9802944812</v>
      </c>
      <c r="AX544" s="534">
        <f t="shared" si="706"/>
        <v>1202533.9802944812</v>
      </c>
      <c r="AY544" s="534">
        <f t="shared" si="706"/>
        <v>1202533.9802944812</v>
      </c>
      <c r="AZ544" s="534">
        <f t="shared" si="706"/>
        <v>1202533.9802944812</v>
      </c>
      <c r="BA544" s="534">
        <f t="shared" si="706"/>
        <v>1202533.9802944812</v>
      </c>
      <c r="BB544" s="534">
        <f t="shared" si="706"/>
        <v>1244740.2252692769</v>
      </c>
      <c r="BC544" s="534">
        <f t="shared" si="706"/>
        <v>1244740.2252692769</v>
      </c>
      <c r="BD544" s="534">
        <f t="shared" si="706"/>
        <v>1244740.2252692769</v>
      </c>
      <c r="BE544" s="534">
        <f t="shared" si="706"/>
        <v>1244740.2252692769</v>
      </c>
      <c r="BF544" s="534">
        <f t="shared" si="706"/>
        <v>1244740.2252692769</v>
      </c>
      <c r="BG544" s="534">
        <f t="shared" si="706"/>
        <v>1244740.2252692769</v>
      </c>
      <c r="BH544" s="534">
        <f t="shared" si="706"/>
        <v>1244740.2252692769</v>
      </c>
      <c r="BI544" s="534">
        <f t="shared" si="706"/>
        <v>1244740.2252692769</v>
      </c>
      <c r="BJ544" s="534">
        <f t="shared" si="706"/>
        <v>1244740.2252692769</v>
      </c>
      <c r="BK544" s="534">
        <f t="shared" si="706"/>
        <v>1244740.2252692769</v>
      </c>
      <c r="BL544" s="534">
        <f t="shared" si="706"/>
        <v>1244740.2252692769</v>
      </c>
      <c r="BM544" s="534">
        <f t="shared" si="706"/>
        <v>1244740.2252692769</v>
      </c>
      <c r="BN544" s="534">
        <f t="shared" si="706"/>
        <v>1287408.3252813369</v>
      </c>
      <c r="BO544" s="534">
        <f t="shared" si="706"/>
        <v>1287408.3252813369</v>
      </c>
      <c r="BP544" s="534">
        <f t="shared" si="706"/>
        <v>1287408.3252813369</v>
      </c>
      <c r="BQ544" s="534">
        <f t="shared" si="706"/>
        <v>1287408.3252813369</v>
      </c>
      <c r="BR544" s="534">
        <f t="shared" si="706"/>
        <v>1287408.3252813369</v>
      </c>
      <c r="BS544" s="534">
        <f t="shared" si="706"/>
        <v>1287408.3252813369</v>
      </c>
      <c r="BT544" s="534">
        <f t="shared" si="706"/>
        <v>1287408.3252813369</v>
      </c>
      <c r="BU544" s="534">
        <f t="shared" si="706"/>
        <v>1287408.3252813369</v>
      </c>
      <c r="BV544" s="534">
        <f t="shared" si="706"/>
        <v>1287408.3252813369</v>
      </c>
      <c r="BW544" s="534">
        <f t="shared" si="706"/>
        <v>1287408.3252813369</v>
      </c>
      <c r="BX544" s="534">
        <f t="shared" si="706"/>
        <v>1287408.3252813369</v>
      </c>
      <c r="BY544" s="534">
        <f t="shared" si="706"/>
        <v>1287408.3252813369</v>
      </c>
      <c r="BZ544" s="537"/>
      <c r="CA544" s="537"/>
      <c r="CB544" s="529"/>
    </row>
    <row r="545" spans="1:80" x14ac:dyDescent="0.3">
      <c r="A545" s="648"/>
      <c r="B545" s="648"/>
      <c r="C545" s="648" cm="1">
        <f t="array" ref="C545">SUMPRODUCT((Index_Tab!$D$36:$D$45=$B545)*(Index_Tab!$E$35:$F$35=$B$3)*Index_Tab!$E$36:$F$45)</f>
        <v>0</v>
      </c>
      <c r="D545" s="648"/>
      <c r="E545" s="525"/>
      <c r="F545" s="529"/>
      <c r="G545" s="529"/>
      <c r="H545" s="529"/>
      <c r="I545" s="529"/>
      <c r="J545" s="529"/>
      <c r="K545" s="529"/>
      <c r="L545" s="529"/>
      <c r="M545" s="529"/>
      <c r="N545" s="529"/>
      <c r="O545" s="529"/>
      <c r="P545" s="660"/>
      <c r="Q545" s="529"/>
      <c r="R545" s="529"/>
      <c r="S545" s="529"/>
      <c r="T545" s="529"/>
      <c r="U545" s="529"/>
      <c r="V545" s="529"/>
      <c r="W545" s="529"/>
      <c r="X545" s="529"/>
      <c r="Y545" s="529"/>
      <c r="Z545" s="529"/>
      <c r="AA545" s="529"/>
      <c r="AB545" s="529"/>
      <c r="AC545" s="529"/>
      <c r="AD545" s="529"/>
      <c r="AE545" s="529"/>
      <c r="AF545" s="529"/>
      <c r="AG545" s="529"/>
      <c r="AH545" s="529"/>
      <c r="AI545" s="529"/>
      <c r="AJ545" s="529"/>
      <c r="AK545" s="529"/>
      <c r="AL545" s="529"/>
      <c r="AM545" s="529"/>
      <c r="AN545" s="529"/>
      <c r="AO545" s="529"/>
      <c r="AP545" s="529"/>
      <c r="AQ545" s="529"/>
      <c r="AR545" s="529"/>
      <c r="AS545" s="529"/>
      <c r="AT545" s="529"/>
      <c r="AU545" s="529"/>
      <c r="AV545" s="529"/>
      <c r="AW545" s="529"/>
      <c r="AX545" s="529"/>
      <c r="AY545" s="529"/>
      <c r="AZ545" s="529"/>
      <c r="BA545" s="529"/>
      <c r="BB545" s="529"/>
      <c r="BC545" s="529"/>
      <c r="BD545" s="529"/>
      <c r="BE545" s="529"/>
      <c r="BF545" s="529"/>
      <c r="BG545" s="529"/>
      <c r="BH545" s="529"/>
      <c r="BI545" s="529"/>
      <c r="BJ545" s="529"/>
      <c r="BK545" s="529"/>
      <c r="BL545" s="529"/>
      <c r="BM545" s="529"/>
      <c r="BN545" s="529"/>
      <c r="BO545" s="529"/>
      <c r="BP545" s="529"/>
      <c r="BQ545" s="529"/>
      <c r="BR545" s="529"/>
      <c r="BS545" s="529"/>
      <c r="BT545" s="529"/>
      <c r="BU545" s="529"/>
      <c r="BV545" s="529"/>
      <c r="BW545" s="529"/>
      <c r="BX545" s="529"/>
      <c r="BY545" s="529"/>
      <c r="BZ545" s="537"/>
      <c r="CA545" s="537"/>
      <c r="CB545" s="529"/>
    </row>
    <row r="546" spans="1:80" x14ac:dyDescent="0.3">
      <c r="A546" s="648"/>
      <c r="B546" s="648"/>
      <c r="C546" s="648" cm="1">
        <f t="array" ref="C546">SUMPRODUCT((Index_Tab!$D$36:$D$45=$B546)*(Index_Tab!$E$35:$F$35=$B$3)*Index_Tab!$E$36:$F$45)</f>
        <v>0</v>
      </c>
      <c r="D546" s="648"/>
      <c r="E546" s="570" t="s">
        <v>34</v>
      </c>
      <c r="F546" s="529"/>
      <c r="G546" s="529"/>
      <c r="H546" s="529"/>
      <c r="I546" s="529"/>
      <c r="J546" s="529"/>
      <c r="K546" s="529"/>
      <c r="L546" s="529"/>
      <c r="M546" s="529"/>
      <c r="N546" s="529"/>
      <c r="O546" s="529"/>
      <c r="P546" s="660"/>
      <c r="Q546" s="529"/>
      <c r="R546" s="529"/>
      <c r="S546" s="529"/>
      <c r="T546" s="529"/>
      <c r="U546" s="529"/>
      <c r="V546" s="529"/>
      <c r="W546" s="529"/>
      <c r="X546" s="529"/>
      <c r="Y546" s="529"/>
      <c r="Z546" s="529"/>
      <c r="AA546" s="529"/>
      <c r="AB546" s="529"/>
      <c r="AC546" s="529"/>
      <c r="AD546" s="529"/>
      <c r="AE546" s="529"/>
      <c r="AF546" s="529"/>
      <c r="AG546" s="529"/>
      <c r="AH546" s="529"/>
      <c r="AI546" s="529"/>
      <c r="AJ546" s="529"/>
      <c r="AK546" s="529"/>
      <c r="AL546" s="529"/>
      <c r="AM546" s="529"/>
      <c r="AN546" s="529"/>
      <c r="AO546" s="529"/>
      <c r="AP546" s="529"/>
      <c r="AQ546" s="529"/>
      <c r="AR546" s="529"/>
      <c r="AS546" s="529"/>
      <c r="AT546" s="529"/>
      <c r="AU546" s="529"/>
      <c r="AV546" s="529"/>
      <c r="AW546" s="529"/>
      <c r="AX546" s="529"/>
      <c r="AY546" s="529"/>
      <c r="AZ546" s="529"/>
      <c r="BA546" s="529"/>
      <c r="BB546" s="529"/>
      <c r="BC546" s="529"/>
      <c r="BD546" s="529"/>
      <c r="BE546" s="529"/>
      <c r="BF546" s="529"/>
      <c r="BG546" s="529"/>
      <c r="BH546" s="529"/>
      <c r="BI546" s="529"/>
      <c r="BJ546" s="529"/>
      <c r="BK546" s="529"/>
      <c r="BL546" s="529"/>
      <c r="BM546" s="529"/>
      <c r="BN546" s="529"/>
      <c r="BO546" s="529"/>
      <c r="BP546" s="529"/>
      <c r="BQ546" s="529"/>
      <c r="BR546" s="529"/>
      <c r="BS546" s="529"/>
      <c r="BT546" s="529"/>
      <c r="BU546" s="529"/>
      <c r="BV546" s="529"/>
      <c r="BW546" s="529"/>
      <c r="BX546" s="529"/>
      <c r="BY546" s="529"/>
      <c r="BZ546" s="537"/>
      <c r="CA546" s="537"/>
      <c r="CB546" s="529"/>
    </row>
    <row r="547" spans="1:80" x14ac:dyDescent="0.3">
      <c r="A547" s="648"/>
      <c r="B547" s="648" t="s">
        <v>19</v>
      </c>
      <c r="C547" s="648" cm="1">
        <f t="array" ref="C547">SUMPRODUCT((Index_Tab!$D$36:$D$45=$B547)*(Index_Tab!$E$35:$F$35=$B$3)*Index_Tab!$E$36:$F$45)</f>
        <v>0</v>
      </c>
      <c r="D547" s="648"/>
      <c r="E547" s="525" t="s">
        <v>19</v>
      </c>
      <c r="F547" s="567"/>
      <c r="G547" s="567"/>
      <c r="H547" s="529"/>
      <c r="I547" s="544">
        <v>-238763.85240000003</v>
      </c>
      <c r="J547" s="542">
        <f>I547*(1+'Detailed Assumptions'!F$47)</f>
        <v>-243539.12944800005</v>
      </c>
      <c r="K547" s="542">
        <f>J547*(1+'Detailed Assumptions'!G$47)</f>
        <v>-248409.91203696004</v>
      </c>
      <c r="L547" s="542">
        <f>K547*(1+'Detailed Assumptions'!H$47)</f>
        <v>-253378.11027769925</v>
      </c>
      <c r="M547" s="542">
        <f>L547*(1+'Detailed Assumptions'!I$47)</f>
        <v>-258445.67248325323</v>
      </c>
      <c r="N547" s="542">
        <f>M547*(1+'Detailed Assumptions'!J$47)</f>
        <v>-263614.5859329183</v>
      </c>
      <c r="O547" s="529"/>
      <c r="P547" s="564">
        <f>IFERROR(((N547/I547)^(1/5))-1,0)</f>
        <v>2.0000000000000018E-2</v>
      </c>
      <c r="Q547" s="529"/>
      <c r="R547" s="527">
        <f t="shared" ref="R547:AG548" si="707">(INDEX($I547:$N547,MATCH(R$2,$I$3:$N$3,0)))/12</f>
        <v>-20294.927454000004</v>
      </c>
      <c r="S547" s="527">
        <f t="shared" si="707"/>
        <v>-20294.927454000004</v>
      </c>
      <c r="T547" s="527">
        <f t="shared" si="707"/>
        <v>-20294.927454000004</v>
      </c>
      <c r="U547" s="527">
        <f t="shared" si="707"/>
        <v>-20294.927454000004</v>
      </c>
      <c r="V547" s="527">
        <f t="shared" si="707"/>
        <v>-20294.927454000004</v>
      </c>
      <c r="W547" s="527">
        <f t="shared" si="707"/>
        <v>-20294.927454000004</v>
      </c>
      <c r="X547" s="527">
        <f t="shared" si="707"/>
        <v>-20294.927454000004</v>
      </c>
      <c r="Y547" s="527">
        <f t="shared" si="707"/>
        <v>-20294.927454000004</v>
      </c>
      <c r="Z547" s="527">
        <f t="shared" si="707"/>
        <v>-20294.927454000004</v>
      </c>
      <c r="AA547" s="527">
        <f t="shared" si="707"/>
        <v>-20294.927454000004</v>
      </c>
      <c r="AB547" s="527">
        <f t="shared" si="707"/>
        <v>-20294.927454000004</v>
      </c>
      <c r="AC547" s="527">
        <f t="shared" si="707"/>
        <v>-20294.927454000004</v>
      </c>
      <c r="AD547" s="527">
        <f t="shared" si="707"/>
        <v>-20700.826003080005</v>
      </c>
      <c r="AE547" s="527">
        <f t="shared" si="707"/>
        <v>-20700.826003080005</v>
      </c>
      <c r="AF547" s="527">
        <f t="shared" si="707"/>
        <v>-20700.826003080005</v>
      </c>
      <c r="AG547" s="527">
        <f t="shared" si="707"/>
        <v>-20700.826003080005</v>
      </c>
      <c r="AH547" s="527">
        <f t="shared" ref="AH547:AW548" si="708">(INDEX($I547:$N547,MATCH(AH$2,$I$3:$N$3,0)))/12</f>
        <v>-20700.826003080005</v>
      </c>
      <c r="AI547" s="527">
        <f t="shared" si="708"/>
        <v>-20700.826003080005</v>
      </c>
      <c r="AJ547" s="527">
        <f t="shared" si="708"/>
        <v>-20700.826003080005</v>
      </c>
      <c r="AK547" s="527">
        <f t="shared" si="708"/>
        <v>-20700.826003080005</v>
      </c>
      <c r="AL547" s="527">
        <f t="shared" si="708"/>
        <v>-20700.826003080005</v>
      </c>
      <c r="AM547" s="527">
        <f t="shared" si="708"/>
        <v>-20700.826003080005</v>
      </c>
      <c r="AN547" s="527">
        <f t="shared" si="708"/>
        <v>-20700.826003080005</v>
      </c>
      <c r="AO547" s="527">
        <f t="shared" si="708"/>
        <v>-20700.826003080005</v>
      </c>
      <c r="AP547" s="527">
        <f t="shared" si="708"/>
        <v>-21114.842523141604</v>
      </c>
      <c r="AQ547" s="527">
        <f t="shared" si="708"/>
        <v>-21114.842523141604</v>
      </c>
      <c r="AR547" s="527">
        <f t="shared" si="708"/>
        <v>-21114.842523141604</v>
      </c>
      <c r="AS547" s="527">
        <f t="shared" si="708"/>
        <v>-21114.842523141604</v>
      </c>
      <c r="AT547" s="527">
        <f t="shared" si="708"/>
        <v>-21114.842523141604</v>
      </c>
      <c r="AU547" s="527">
        <f t="shared" si="708"/>
        <v>-21114.842523141604</v>
      </c>
      <c r="AV547" s="527">
        <f t="shared" si="708"/>
        <v>-21114.842523141604</v>
      </c>
      <c r="AW547" s="527">
        <f t="shared" si="708"/>
        <v>-21114.842523141604</v>
      </c>
      <c r="AX547" s="527">
        <f t="shared" ref="AX547:BM548" si="709">(INDEX($I547:$N547,MATCH(AX$2,$I$3:$N$3,0)))/12</f>
        <v>-21114.842523141604</v>
      </c>
      <c r="AY547" s="527">
        <f t="shared" si="709"/>
        <v>-21114.842523141604</v>
      </c>
      <c r="AZ547" s="527">
        <f t="shared" si="709"/>
        <v>-21114.842523141604</v>
      </c>
      <c r="BA547" s="527">
        <f t="shared" si="709"/>
        <v>-21114.842523141604</v>
      </c>
      <c r="BB547" s="527">
        <f t="shared" si="709"/>
        <v>-21537.139373604437</v>
      </c>
      <c r="BC547" s="527">
        <f t="shared" si="709"/>
        <v>-21537.139373604437</v>
      </c>
      <c r="BD547" s="527">
        <f t="shared" si="709"/>
        <v>-21537.139373604437</v>
      </c>
      <c r="BE547" s="527">
        <f t="shared" si="709"/>
        <v>-21537.139373604437</v>
      </c>
      <c r="BF547" s="527">
        <f t="shared" si="709"/>
        <v>-21537.139373604437</v>
      </c>
      <c r="BG547" s="527">
        <f t="shared" si="709"/>
        <v>-21537.139373604437</v>
      </c>
      <c r="BH547" s="527">
        <f t="shared" si="709"/>
        <v>-21537.139373604437</v>
      </c>
      <c r="BI547" s="527">
        <f t="shared" si="709"/>
        <v>-21537.139373604437</v>
      </c>
      <c r="BJ547" s="527">
        <f t="shared" si="709"/>
        <v>-21537.139373604437</v>
      </c>
      <c r="BK547" s="527">
        <f t="shared" si="709"/>
        <v>-21537.139373604437</v>
      </c>
      <c r="BL547" s="527">
        <f t="shared" si="709"/>
        <v>-21537.139373604437</v>
      </c>
      <c r="BM547" s="527">
        <f t="shared" si="709"/>
        <v>-21537.139373604437</v>
      </c>
      <c r="BN547" s="527">
        <f t="shared" ref="BN547:BY548" si="710">(INDEX($I547:$N547,MATCH(BN$2,$I$3:$N$3,0)))/12</f>
        <v>-21967.882161076526</v>
      </c>
      <c r="BO547" s="527">
        <f t="shared" si="710"/>
        <v>-21967.882161076526</v>
      </c>
      <c r="BP547" s="527">
        <f t="shared" si="710"/>
        <v>-21967.882161076526</v>
      </c>
      <c r="BQ547" s="527">
        <f t="shared" si="710"/>
        <v>-21967.882161076526</v>
      </c>
      <c r="BR547" s="527">
        <f t="shared" si="710"/>
        <v>-21967.882161076526</v>
      </c>
      <c r="BS547" s="527">
        <f t="shared" si="710"/>
        <v>-21967.882161076526</v>
      </c>
      <c r="BT547" s="527">
        <f t="shared" si="710"/>
        <v>-21967.882161076526</v>
      </c>
      <c r="BU547" s="527">
        <f t="shared" si="710"/>
        <v>-21967.882161076526</v>
      </c>
      <c r="BV547" s="527">
        <f t="shared" si="710"/>
        <v>-21967.882161076526</v>
      </c>
      <c r="BW547" s="527">
        <f t="shared" si="710"/>
        <v>-21967.882161076526</v>
      </c>
      <c r="BX547" s="527">
        <f t="shared" si="710"/>
        <v>-21967.882161076526</v>
      </c>
      <c r="BY547" s="527">
        <f t="shared" si="710"/>
        <v>-21967.882161076526</v>
      </c>
      <c r="BZ547" s="537"/>
      <c r="CA547" s="537"/>
      <c r="CB547" s="529"/>
    </row>
    <row r="548" spans="1:80" x14ac:dyDescent="0.3">
      <c r="A548" s="648"/>
      <c r="B548" s="648" t="s">
        <v>20</v>
      </c>
      <c r="C548" s="648" cm="1">
        <f t="array" ref="C548">SUMPRODUCT((Index_Tab!$D$36:$D$45=$B548)*(Index_Tab!$E$35:$F$35=$B$3)*Index_Tab!$E$36:$F$45)</f>
        <v>0</v>
      </c>
      <c r="D548" s="648"/>
      <c r="E548" s="525" t="s">
        <v>20</v>
      </c>
      <c r="F548" s="567"/>
      <c r="G548" s="567"/>
      <c r="H548" s="529"/>
      <c r="I548" s="544">
        <v>-42028.187400000017</v>
      </c>
      <c r="J548" s="542">
        <f>I548*(1+'Detailed Assumptions'!F$47)</f>
        <v>-42868.751148000018</v>
      </c>
      <c r="K548" s="542">
        <f>J548*(1+'Detailed Assumptions'!G$47)</f>
        <v>-43726.126170960022</v>
      </c>
      <c r="L548" s="542">
        <f>K548*(1+'Detailed Assumptions'!H$47)</f>
        <v>-44600.648694379226</v>
      </c>
      <c r="M548" s="542">
        <f>L548*(1+'Detailed Assumptions'!I$47)</f>
        <v>-45492.66166826681</v>
      </c>
      <c r="N548" s="542">
        <f>M548*(1+'Detailed Assumptions'!J$47)</f>
        <v>-46402.514901632145</v>
      </c>
      <c r="O548" s="529"/>
      <c r="P548" s="564">
        <f>IFERROR(((N548/I548)^(1/5))-1,0)</f>
        <v>2.0000000000000018E-2</v>
      </c>
      <c r="Q548" s="529"/>
      <c r="R548" s="527">
        <f t="shared" si="707"/>
        <v>-3572.3959290000016</v>
      </c>
      <c r="S548" s="527">
        <f t="shared" si="707"/>
        <v>-3572.3959290000016</v>
      </c>
      <c r="T548" s="527">
        <f t="shared" si="707"/>
        <v>-3572.3959290000016</v>
      </c>
      <c r="U548" s="527">
        <f t="shared" si="707"/>
        <v>-3572.3959290000016</v>
      </c>
      <c r="V548" s="527">
        <f t="shared" si="707"/>
        <v>-3572.3959290000016</v>
      </c>
      <c r="W548" s="527">
        <f t="shared" si="707"/>
        <v>-3572.3959290000016</v>
      </c>
      <c r="X548" s="527">
        <f t="shared" si="707"/>
        <v>-3572.3959290000016</v>
      </c>
      <c r="Y548" s="527">
        <f t="shared" si="707"/>
        <v>-3572.3959290000016</v>
      </c>
      <c r="Z548" s="527">
        <f t="shared" si="707"/>
        <v>-3572.3959290000016</v>
      </c>
      <c r="AA548" s="527">
        <f t="shared" si="707"/>
        <v>-3572.3959290000016</v>
      </c>
      <c r="AB548" s="527">
        <f t="shared" si="707"/>
        <v>-3572.3959290000016</v>
      </c>
      <c r="AC548" s="527">
        <f t="shared" si="707"/>
        <v>-3572.3959290000016</v>
      </c>
      <c r="AD548" s="527">
        <f t="shared" si="707"/>
        <v>-3643.8438475800017</v>
      </c>
      <c r="AE548" s="527">
        <f t="shared" si="707"/>
        <v>-3643.8438475800017</v>
      </c>
      <c r="AF548" s="527">
        <f t="shared" si="707"/>
        <v>-3643.8438475800017</v>
      </c>
      <c r="AG548" s="527">
        <f t="shared" si="707"/>
        <v>-3643.8438475800017</v>
      </c>
      <c r="AH548" s="527">
        <f t="shared" si="708"/>
        <v>-3643.8438475800017</v>
      </c>
      <c r="AI548" s="527">
        <f t="shared" si="708"/>
        <v>-3643.8438475800017</v>
      </c>
      <c r="AJ548" s="527">
        <f t="shared" si="708"/>
        <v>-3643.8438475800017</v>
      </c>
      <c r="AK548" s="527">
        <f t="shared" si="708"/>
        <v>-3643.8438475800017</v>
      </c>
      <c r="AL548" s="527">
        <f t="shared" si="708"/>
        <v>-3643.8438475800017</v>
      </c>
      <c r="AM548" s="527">
        <f t="shared" si="708"/>
        <v>-3643.8438475800017</v>
      </c>
      <c r="AN548" s="527">
        <f t="shared" si="708"/>
        <v>-3643.8438475800017</v>
      </c>
      <c r="AO548" s="527">
        <f t="shared" si="708"/>
        <v>-3643.8438475800017</v>
      </c>
      <c r="AP548" s="527">
        <f t="shared" si="708"/>
        <v>-3716.7207245316022</v>
      </c>
      <c r="AQ548" s="527">
        <f t="shared" si="708"/>
        <v>-3716.7207245316022</v>
      </c>
      <c r="AR548" s="527">
        <f t="shared" si="708"/>
        <v>-3716.7207245316022</v>
      </c>
      <c r="AS548" s="527">
        <f t="shared" si="708"/>
        <v>-3716.7207245316022</v>
      </c>
      <c r="AT548" s="527">
        <f t="shared" si="708"/>
        <v>-3716.7207245316022</v>
      </c>
      <c r="AU548" s="527">
        <f t="shared" si="708"/>
        <v>-3716.7207245316022</v>
      </c>
      <c r="AV548" s="527">
        <f t="shared" si="708"/>
        <v>-3716.7207245316022</v>
      </c>
      <c r="AW548" s="527">
        <f t="shared" si="708"/>
        <v>-3716.7207245316022</v>
      </c>
      <c r="AX548" s="527">
        <f t="shared" si="709"/>
        <v>-3716.7207245316022</v>
      </c>
      <c r="AY548" s="527">
        <f t="shared" si="709"/>
        <v>-3716.7207245316022</v>
      </c>
      <c r="AZ548" s="527">
        <f t="shared" si="709"/>
        <v>-3716.7207245316022</v>
      </c>
      <c r="BA548" s="527">
        <f t="shared" si="709"/>
        <v>-3716.7207245316022</v>
      </c>
      <c r="BB548" s="527">
        <f t="shared" si="709"/>
        <v>-3791.055139022234</v>
      </c>
      <c r="BC548" s="527">
        <f t="shared" si="709"/>
        <v>-3791.055139022234</v>
      </c>
      <c r="BD548" s="527">
        <f t="shared" si="709"/>
        <v>-3791.055139022234</v>
      </c>
      <c r="BE548" s="527">
        <f t="shared" si="709"/>
        <v>-3791.055139022234</v>
      </c>
      <c r="BF548" s="527">
        <f t="shared" si="709"/>
        <v>-3791.055139022234</v>
      </c>
      <c r="BG548" s="527">
        <f t="shared" si="709"/>
        <v>-3791.055139022234</v>
      </c>
      <c r="BH548" s="527">
        <f t="shared" si="709"/>
        <v>-3791.055139022234</v>
      </c>
      <c r="BI548" s="527">
        <f t="shared" si="709"/>
        <v>-3791.055139022234</v>
      </c>
      <c r="BJ548" s="527">
        <f t="shared" si="709"/>
        <v>-3791.055139022234</v>
      </c>
      <c r="BK548" s="527">
        <f t="shared" si="709"/>
        <v>-3791.055139022234</v>
      </c>
      <c r="BL548" s="527">
        <f t="shared" si="709"/>
        <v>-3791.055139022234</v>
      </c>
      <c r="BM548" s="527">
        <f t="shared" si="709"/>
        <v>-3791.055139022234</v>
      </c>
      <c r="BN548" s="527">
        <f t="shared" si="710"/>
        <v>-3866.8762418026786</v>
      </c>
      <c r="BO548" s="527">
        <f t="shared" si="710"/>
        <v>-3866.8762418026786</v>
      </c>
      <c r="BP548" s="527">
        <f t="shared" si="710"/>
        <v>-3866.8762418026786</v>
      </c>
      <c r="BQ548" s="527">
        <f t="shared" si="710"/>
        <v>-3866.8762418026786</v>
      </c>
      <c r="BR548" s="527">
        <f t="shared" si="710"/>
        <v>-3866.8762418026786</v>
      </c>
      <c r="BS548" s="527">
        <f t="shared" si="710"/>
        <v>-3866.8762418026786</v>
      </c>
      <c r="BT548" s="527">
        <f t="shared" si="710"/>
        <v>-3866.8762418026786</v>
      </c>
      <c r="BU548" s="527">
        <f t="shared" si="710"/>
        <v>-3866.8762418026786</v>
      </c>
      <c r="BV548" s="527">
        <f t="shared" si="710"/>
        <v>-3866.8762418026786</v>
      </c>
      <c r="BW548" s="527">
        <f t="shared" si="710"/>
        <v>-3866.8762418026786</v>
      </c>
      <c r="BX548" s="527">
        <f t="shared" si="710"/>
        <v>-3866.8762418026786</v>
      </c>
      <c r="BY548" s="527">
        <f t="shared" si="710"/>
        <v>-3866.8762418026786</v>
      </c>
      <c r="BZ548" s="537"/>
      <c r="CA548" s="537"/>
      <c r="CB548" s="529"/>
    </row>
    <row r="549" spans="1:80" x14ac:dyDescent="0.3">
      <c r="A549" s="648"/>
      <c r="B549" s="648"/>
      <c r="C549" s="648" cm="1">
        <f t="array" ref="C549">SUMPRODUCT((Index_Tab!$D$36:$D$45=$B549)*(Index_Tab!$E$35:$F$35=$B$3)*Index_Tab!$E$36:$F$45)</f>
        <v>0</v>
      </c>
      <c r="D549" s="648"/>
      <c r="E549" s="572" t="s">
        <v>35</v>
      </c>
      <c r="F549" s="573"/>
      <c r="G549" s="573"/>
      <c r="H549" s="529"/>
      <c r="I549" s="532">
        <f t="shared" ref="I549:N549" si="711">SUM(I547:I548)</f>
        <v>-280792.03980000003</v>
      </c>
      <c r="J549" s="532">
        <f t="shared" si="711"/>
        <v>-286407.88059600006</v>
      </c>
      <c r="K549" s="532">
        <f t="shared" si="711"/>
        <v>-292136.03820792004</v>
      </c>
      <c r="L549" s="532">
        <f t="shared" si="711"/>
        <v>-297978.75897207845</v>
      </c>
      <c r="M549" s="532">
        <f t="shared" si="711"/>
        <v>-303938.33415152004</v>
      </c>
      <c r="N549" s="532">
        <f t="shared" si="711"/>
        <v>-310017.10083455045</v>
      </c>
      <c r="O549" s="536"/>
      <c r="P549" s="568">
        <f>IFERROR(((N549/I549)^(1/5))-1,0)</f>
        <v>2.0000000000000018E-2</v>
      </c>
      <c r="Q549" s="529"/>
      <c r="R549" s="532">
        <f t="shared" ref="R549:AW549" si="712">SUM(R547:R548)</f>
        <v>-23867.323383000006</v>
      </c>
      <c r="S549" s="532">
        <f t="shared" si="712"/>
        <v>-23867.323383000006</v>
      </c>
      <c r="T549" s="532">
        <f t="shared" si="712"/>
        <v>-23867.323383000006</v>
      </c>
      <c r="U549" s="532">
        <f t="shared" si="712"/>
        <v>-23867.323383000006</v>
      </c>
      <c r="V549" s="532">
        <f t="shared" si="712"/>
        <v>-23867.323383000006</v>
      </c>
      <c r="W549" s="532">
        <f t="shared" si="712"/>
        <v>-23867.323383000006</v>
      </c>
      <c r="X549" s="532">
        <f t="shared" si="712"/>
        <v>-23867.323383000006</v>
      </c>
      <c r="Y549" s="532">
        <f t="shared" si="712"/>
        <v>-23867.323383000006</v>
      </c>
      <c r="Z549" s="532">
        <f t="shared" si="712"/>
        <v>-23867.323383000006</v>
      </c>
      <c r="AA549" s="532">
        <f t="shared" si="712"/>
        <v>-23867.323383000006</v>
      </c>
      <c r="AB549" s="532">
        <f t="shared" si="712"/>
        <v>-23867.323383000006</v>
      </c>
      <c r="AC549" s="532">
        <f t="shared" si="712"/>
        <v>-23867.323383000006</v>
      </c>
      <c r="AD549" s="532">
        <f t="shared" si="712"/>
        <v>-24344.669850660008</v>
      </c>
      <c r="AE549" s="532">
        <f t="shared" si="712"/>
        <v>-24344.669850660008</v>
      </c>
      <c r="AF549" s="532">
        <f t="shared" si="712"/>
        <v>-24344.669850660008</v>
      </c>
      <c r="AG549" s="532">
        <f t="shared" si="712"/>
        <v>-24344.669850660008</v>
      </c>
      <c r="AH549" s="532">
        <f t="shared" si="712"/>
        <v>-24344.669850660008</v>
      </c>
      <c r="AI549" s="532">
        <f t="shared" si="712"/>
        <v>-24344.669850660008</v>
      </c>
      <c r="AJ549" s="532">
        <f t="shared" si="712"/>
        <v>-24344.669850660008</v>
      </c>
      <c r="AK549" s="532">
        <f t="shared" si="712"/>
        <v>-24344.669850660008</v>
      </c>
      <c r="AL549" s="532">
        <f t="shared" si="712"/>
        <v>-24344.669850660008</v>
      </c>
      <c r="AM549" s="532">
        <f t="shared" si="712"/>
        <v>-24344.669850660008</v>
      </c>
      <c r="AN549" s="532">
        <f t="shared" si="712"/>
        <v>-24344.669850660008</v>
      </c>
      <c r="AO549" s="532">
        <f t="shared" si="712"/>
        <v>-24344.669850660008</v>
      </c>
      <c r="AP549" s="532">
        <f t="shared" si="712"/>
        <v>-24831.563247673206</v>
      </c>
      <c r="AQ549" s="532">
        <f t="shared" si="712"/>
        <v>-24831.563247673206</v>
      </c>
      <c r="AR549" s="532">
        <f t="shared" si="712"/>
        <v>-24831.563247673206</v>
      </c>
      <c r="AS549" s="532">
        <f t="shared" si="712"/>
        <v>-24831.563247673206</v>
      </c>
      <c r="AT549" s="532">
        <f t="shared" si="712"/>
        <v>-24831.563247673206</v>
      </c>
      <c r="AU549" s="532">
        <f t="shared" si="712"/>
        <v>-24831.563247673206</v>
      </c>
      <c r="AV549" s="532">
        <f t="shared" si="712"/>
        <v>-24831.563247673206</v>
      </c>
      <c r="AW549" s="532">
        <f t="shared" si="712"/>
        <v>-24831.563247673206</v>
      </c>
      <c r="AX549" s="532">
        <f t="shared" ref="AX549:BY549" si="713">SUM(AX547:AX548)</f>
        <v>-24831.563247673206</v>
      </c>
      <c r="AY549" s="532">
        <f t="shared" si="713"/>
        <v>-24831.563247673206</v>
      </c>
      <c r="AZ549" s="532">
        <f t="shared" si="713"/>
        <v>-24831.563247673206</v>
      </c>
      <c r="BA549" s="532">
        <f t="shared" si="713"/>
        <v>-24831.563247673206</v>
      </c>
      <c r="BB549" s="532">
        <f t="shared" si="713"/>
        <v>-25328.194512626673</v>
      </c>
      <c r="BC549" s="532">
        <f t="shared" si="713"/>
        <v>-25328.194512626673</v>
      </c>
      <c r="BD549" s="532">
        <f t="shared" si="713"/>
        <v>-25328.194512626673</v>
      </c>
      <c r="BE549" s="532">
        <f t="shared" si="713"/>
        <v>-25328.194512626673</v>
      </c>
      <c r="BF549" s="532">
        <f t="shared" si="713"/>
        <v>-25328.194512626673</v>
      </c>
      <c r="BG549" s="532">
        <f t="shared" si="713"/>
        <v>-25328.194512626673</v>
      </c>
      <c r="BH549" s="532">
        <f t="shared" si="713"/>
        <v>-25328.194512626673</v>
      </c>
      <c r="BI549" s="532">
        <f t="shared" si="713"/>
        <v>-25328.194512626673</v>
      </c>
      <c r="BJ549" s="532">
        <f t="shared" si="713"/>
        <v>-25328.194512626673</v>
      </c>
      <c r="BK549" s="532">
        <f t="shared" si="713"/>
        <v>-25328.194512626673</v>
      </c>
      <c r="BL549" s="532">
        <f t="shared" si="713"/>
        <v>-25328.194512626673</v>
      </c>
      <c r="BM549" s="532">
        <f t="shared" si="713"/>
        <v>-25328.194512626673</v>
      </c>
      <c r="BN549" s="532">
        <f t="shared" si="713"/>
        <v>-25834.758402879204</v>
      </c>
      <c r="BO549" s="532">
        <f t="shared" si="713"/>
        <v>-25834.758402879204</v>
      </c>
      <c r="BP549" s="532">
        <f t="shared" si="713"/>
        <v>-25834.758402879204</v>
      </c>
      <c r="BQ549" s="532">
        <f t="shared" si="713"/>
        <v>-25834.758402879204</v>
      </c>
      <c r="BR549" s="532">
        <f t="shared" si="713"/>
        <v>-25834.758402879204</v>
      </c>
      <c r="BS549" s="532">
        <f t="shared" si="713"/>
        <v>-25834.758402879204</v>
      </c>
      <c r="BT549" s="532">
        <f t="shared" si="713"/>
        <v>-25834.758402879204</v>
      </c>
      <c r="BU549" s="532">
        <f t="shared" si="713"/>
        <v>-25834.758402879204</v>
      </c>
      <c r="BV549" s="532">
        <f t="shared" si="713"/>
        <v>-25834.758402879204</v>
      </c>
      <c r="BW549" s="532">
        <f t="shared" si="713"/>
        <v>-25834.758402879204</v>
      </c>
      <c r="BX549" s="532">
        <f t="shared" si="713"/>
        <v>-25834.758402879204</v>
      </c>
      <c r="BY549" s="532">
        <f t="shared" si="713"/>
        <v>-25834.758402879204</v>
      </c>
      <c r="BZ549" s="537"/>
      <c r="CA549" s="537"/>
      <c r="CB549" s="529"/>
    </row>
    <row r="550" spans="1:80" x14ac:dyDescent="0.3">
      <c r="A550" s="648"/>
      <c r="B550" s="648"/>
      <c r="C550" s="648" cm="1">
        <f t="array" ref="C550">SUMPRODUCT((Index_Tab!$D$36:$D$45=$B550)*(Index_Tab!$E$35:$F$35=$B$3)*Index_Tab!$E$36:$F$45)</f>
        <v>0</v>
      </c>
      <c r="D550" s="648"/>
      <c r="E550" s="525"/>
      <c r="F550" s="529"/>
      <c r="G550" s="529"/>
      <c r="H550" s="529"/>
      <c r="I550" s="529"/>
      <c r="J550" s="529"/>
      <c r="K550" s="529"/>
      <c r="L550" s="529"/>
      <c r="M550" s="529"/>
      <c r="N550" s="529"/>
      <c r="O550" s="529"/>
      <c r="P550" s="660"/>
      <c r="Q550" s="529"/>
      <c r="R550" s="529"/>
      <c r="S550" s="529"/>
      <c r="T550" s="529"/>
      <c r="U550" s="529"/>
      <c r="V550" s="529"/>
      <c r="W550" s="529"/>
      <c r="X550" s="529"/>
      <c r="Y550" s="529"/>
      <c r="Z550" s="529"/>
      <c r="AA550" s="529"/>
      <c r="AB550" s="529"/>
      <c r="AC550" s="529"/>
      <c r="AD550" s="529"/>
      <c r="AE550" s="529"/>
      <c r="AF550" s="529"/>
      <c r="AG550" s="529"/>
      <c r="AH550" s="529"/>
      <c r="AI550" s="529"/>
      <c r="AJ550" s="529"/>
      <c r="AK550" s="529"/>
      <c r="AL550" s="529"/>
      <c r="AM550" s="529"/>
      <c r="AN550" s="529"/>
      <c r="AO550" s="529"/>
      <c r="AP550" s="529"/>
      <c r="AQ550" s="529"/>
      <c r="AR550" s="529"/>
      <c r="AS550" s="529"/>
      <c r="AT550" s="529"/>
      <c r="AU550" s="529"/>
      <c r="AV550" s="529"/>
      <c r="AW550" s="529"/>
      <c r="AX550" s="529"/>
      <c r="AY550" s="529"/>
      <c r="AZ550" s="529"/>
      <c r="BA550" s="529"/>
      <c r="BB550" s="529"/>
      <c r="BC550" s="529"/>
      <c r="BD550" s="529"/>
      <c r="BE550" s="529"/>
      <c r="BF550" s="529"/>
      <c r="BG550" s="529"/>
      <c r="BH550" s="529"/>
      <c r="BI550" s="529"/>
      <c r="BJ550" s="529"/>
      <c r="BK550" s="529"/>
      <c r="BL550" s="529"/>
      <c r="BM550" s="529"/>
      <c r="BN550" s="529"/>
      <c r="BO550" s="529"/>
      <c r="BP550" s="529"/>
      <c r="BQ550" s="529"/>
      <c r="BR550" s="529"/>
      <c r="BS550" s="529"/>
      <c r="BT550" s="529"/>
      <c r="BU550" s="529"/>
      <c r="BV550" s="529"/>
      <c r="BW550" s="529"/>
      <c r="BX550" s="529"/>
      <c r="BY550" s="529"/>
      <c r="BZ550" s="537"/>
      <c r="CA550" s="537"/>
      <c r="CB550" s="529"/>
    </row>
    <row r="551" spans="1:80" x14ac:dyDescent="0.3">
      <c r="A551" s="648"/>
      <c r="B551" s="648"/>
      <c r="C551" s="648" cm="1">
        <f t="array" ref="C551">SUMPRODUCT((Index_Tab!$D$36:$D$45=$B551)*(Index_Tab!$E$35:$F$35=$B$3)*Index_Tab!$E$36:$F$45)</f>
        <v>0</v>
      </c>
      <c r="D551" s="648"/>
      <c r="E551" s="62" t="s">
        <v>21</v>
      </c>
      <c r="F551" s="579"/>
      <c r="G551" s="579"/>
      <c r="H551" s="529"/>
      <c r="I551" s="535">
        <f t="shared" ref="I551:N551" si="714">SUM(I544,I549)</f>
        <v>12558992.716329692</v>
      </c>
      <c r="J551" s="535">
        <f t="shared" si="714"/>
        <v>13085595.288087294</v>
      </c>
      <c r="K551" s="535">
        <f t="shared" si="714"/>
        <v>13611185.799085844</v>
      </c>
      <c r="L551" s="535">
        <f t="shared" si="714"/>
        <v>14132429.004561694</v>
      </c>
      <c r="M551" s="535">
        <f t="shared" si="714"/>
        <v>14632944.369079808</v>
      </c>
      <c r="N551" s="535">
        <f t="shared" si="714"/>
        <v>15138882.802541496</v>
      </c>
      <c r="O551" s="536"/>
      <c r="P551" s="568">
        <f>IFERROR(((N551/I551)^(1/5))-1,0)</f>
        <v>3.8072780961309727E-2</v>
      </c>
      <c r="Q551" s="529"/>
      <c r="R551" s="535">
        <f t="shared" ref="R551:AW551" si="715">SUM(R544,R549)</f>
        <v>1090466.2740072745</v>
      </c>
      <c r="S551" s="535">
        <f t="shared" si="715"/>
        <v>1090466.2740072745</v>
      </c>
      <c r="T551" s="535">
        <f t="shared" si="715"/>
        <v>1090466.2740072745</v>
      </c>
      <c r="U551" s="535">
        <f t="shared" si="715"/>
        <v>1090466.2740072745</v>
      </c>
      <c r="V551" s="535">
        <f t="shared" si="715"/>
        <v>1090466.2740072745</v>
      </c>
      <c r="W551" s="535">
        <f t="shared" si="715"/>
        <v>1090466.2740072745</v>
      </c>
      <c r="X551" s="535">
        <f t="shared" si="715"/>
        <v>1090466.2740072745</v>
      </c>
      <c r="Y551" s="535">
        <f t="shared" si="715"/>
        <v>1090466.2740072745</v>
      </c>
      <c r="Z551" s="535">
        <f t="shared" si="715"/>
        <v>1090466.2740072745</v>
      </c>
      <c r="AA551" s="535">
        <f t="shared" si="715"/>
        <v>1090466.2740072745</v>
      </c>
      <c r="AB551" s="535">
        <f t="shared" si="715"/>
        <v>1090466.2740072745</v>
      </c>
      <c r="AC551" s="535">
        <f t="shared" si="715"/>
        <v>1090466.2740072745</v>
      </c>
      <c r="AD551" s="535">
        <f t="shared" si="715"/>
        <v>1134265.4832571535</v>
      </c>
      <c r="AE551" s="535">
        <f t="shared" si="715"/>
        <v>1134265.4832571535</v>
      </c>
      <c r="AF551" s="535">
        <f t="shared" si="715"/>
        <v>1134265.4832571535</v>
      </c>
      <c r="AG551" s="535">
        <f t="shared" si="715"/>
        <v>1134265.4832571535</v>
      </c>
      <c r="AH551" s="535">
        <f t="shared" si="715"/>
        <v>1134265.4832571535</v>
      </c>
      <c r="AI551" s="535">
        <f t="shared" si="715"/>
        <v>1134265.4832571535</v>
      </c>
      <c r="AJ551" s="535">
        <f t="shared" si="715"/>
        <v>1134265.4832571535</v>
      </c>
      <c r="AK551" s="535">
        <f t="shared" si="715"/>
        <v>1134265.4832571535</v>
      </c>
      <c r="AL551" s="535">
        <f t="shared" si="715"/>
        <v>1134265.4832571535</v>
      </c>
      <c r="AM551" s="535">
        <f t="shared" si="715"/>
        <v>1134265.4832571535</v>
      </c>
      <c r="AN551" s="535">
        <f t="shared" si="715"/>
        <v>1134265.4832571535</v>
      </c>
      <c r="AO551" s="535">
        <f t="shared" si="715"/>
        <v>1134265.4832571535</v>
      </c>
      <c r="AP551" s="535">
        <f t="shared" si="715"/>
        <v>1177702.4170468079</v>
      </c>
      <c r="AQ551" s="535">
        <f t="shared" si="715"/>
        <v>1177702.4170468079</v>
      </c>
      <c r="AR551" s="535">
        <f t="shared" si="715"/>
        <v>1177702.4170468079</v>
      </c>
      <c r="AS551" s="535">
        <f t="shared" si="715"/>
        <v>1177702.4170468079</v>
      </c>
      <c r="AT551" s="535">
        <f t="shared" si="715"/>
        <v>1177702.4170468079</v>
      </c>
      <c r="AU551" s="535">
        <f t="shared" si="715"/>
        <v>1177702.4170468079</v>
      </c>
      <c r="AV551" s="535">
        <f t="shared" si="715"/>
        <v>1177702.4170468079</v>
      </c>
      <c r="AW551" s="535">
        <f t="shared" si="715"/>
        <v>1177702.4170468079</v>
      </c>
      <c r="AX551" s="535">
        <f t="shared" ref="AX551:BY551" si="716">SUM(AX544,AX549)</f>
        <v>1177702.4170468079</v>
      </c>
      <c r="AY551" s="535">
        <f t="shared" si="716"/>
        <v>1177702.4170468079</v>
      </c>
      <c r="AZ551" s="535">
        <f t="shared" si="716"/>
        <v>1177702.4170468079</v>
      </c>
      <c r="BA551" s="535">
        <f t="shared" si="716"/>
        <v>1177702.4170468079</v>
      </c>
      <c r="BB551" s="535">
        <f t="shared" si="716"/>
        <v>1219412.0307566503</v>
      </c>
      <c r="BC551" s="535">
        <f t="shared" si="716"/>
        <v>1219412.0307566503</v>
      </c>
      <c r="BD551" s="535">
        <f t="shared" si="716"/>
        <v>1219412.0307566503</v>
      </c>
      <c r="BE551" s="535">
        <f t="shared" si="716"/>
        <v>1219412.0307566503</v>
      </c>
      <c r="BF551" s="535">
        <f t="shared" si="716"/>
        <v>1219412.0307566503</v>
      </c>
      <c r="BG551" s="535">
        <f t="shared" si="716"/>
        <v>1219412.0307566503</v>
      </c>
      <c r="BH551" s="535">
        <f t="shared" si="716"/>
        <v>1219412.0307566503</v>
      </c>
      <c r="BI551" s="535">
        <f t="shared" si="716"/>
        <v>1219412.0307566503</v>
      </c>
      <c r="BJ551" s="535">
        <f t="shared" si="716"/>
        <v>1219412.0307566503</v>
      </c>
      <c r="BK551" s="535">
        <f t="shared" si="716"/>
        <v>1219412.0307566503</v>
      </c>
      <c r="BL551" s="535">
        <f t="shared" si="716"/>
        <v>1219412.0307566503</v>
      </c>
      <c r="BM551" s="535">
        <f t="shared" si="716"/>
        <v>1219412.0307566503</v>
      </c>
      <c r="BN551" s="535">
        <f t="shared" si="716"/>
        <v>1261573.5668784578</v>
      </c>
      <c r="BO551" s="535">
        <f t="shared" si="716"/>
        <v>1261573.5668784578</v>
      </c>
      <c r="BP551" s="535">
        <f t="shared" si="716"/>
        <v>1261573.5668784578</v>
      </c>
      <c r="BQ551" s="535">
        <f t="shared" si="716"/>
        <v>1261573.5668784578</v>
      </c>
      <c r="BR551" s="535">
        <f t="shared" si="716"/>
        <v>1261573.5668784578</v>
      </c>
      <c r="BS551" s="535">
        <f t="shared" si="716"/>
        <v>1261573.5668784578</v>
      </c>
      <c r="BT551" s="535">
        <f t="shared" si="716"/>
        <v>1261573.5668784578</v>
      </c>
      <c r="BU551" s="535">
        <f t="shared" si="716"/>
        <v>1261573.5668784578</v>
      </c>
      <c r="BV551" s="535">
        <f t="shared" si="716"/>
        <v>1261573.5668784578</v>
      </c>
      <c r="BW551" s="535">
        <f t="shared" si="716"/>
        <v>1261573.5668784578</v>
      </c>
      <c r="BX551" s="535">
        <f t="shared" si="716"/>
        <v>1261573.5668784578</v>
      </c>
      <c r="BY551" s="535">
        <f t="shared" si="716"/>
        <v>1261573.5668784578</v>
      </c>
      <c r="BZ551" s="537"/>
      <c r="CA551" s="537"/>
      <c r="CB551" s="529"/>
    </row>
    <row r="552" spans="1:80" x14ac:dyDescent="0.3">
      <c r="A552" s="648"/>
      <c r="B552" s="648"/>
      <c r="C552" s="648" cm="1">
        <f t="array" ref="C552">SUMPRODUCT((Index_Tab!$D$36:$D$45=$B552)*(Index_Tab!$E$35:$F$35=$B$3)*Index_Tab!$E$36:$F$45)</f>
        <v>0</v>
      </c>
      <c r="D552" s="648"/>
      <c r="E552" s="2" t="s">
        <v>405</v>
      </c>
      <c r="F552" s="537"/>
      <c r="G552" s="537"/>
      <c r="H552" s="529"/>
      <c r="I552" s="531">
        <f t="shared" ref="I552:N552" si="717">I551/SUM(I512,I521,I535,I542)</f>
        <v>0.53814996797751391</v>
      </c>
      <c r="J552" s="531">
        <f t="shared" si="717"/>
        <v>0.54304504959959732</v>
      </c>
      <c r="K552" s="531">
        <f t="shared" si="717"/>
        <v>0.54755623040414148</v>
      </c>
      <c r="L552" s="531">
        <f t="shared" si="717"/>
        <v>0.55168464137805662</v>
      </c>
      <c r="M552" s="531">
        <f t="shared" si="717"/>
        <v>0.55520947285064504</v>
      </c>
      <c r="N552" s="531">
        <f t="shared" si="717"/>
        <v>0.55848541977268895</v>
      </c>
      <c r="O552" s="546"/>
      <c r="P552" s="564">
        <f>IFERROR(((N552/I552)^(1/5))-1,0)</f>
        <v>7.4458313493004358E-3</v>
      </c>
      <c r="Q552" s="537"/>
      <c r="R552" s="531">
        <f t="shared" ref="R552:AW552" si="718">R551/SUM(R512,R521,R535,R542)</f>
        <v>0.54304504959959732</v>
      </c>
      <c r="S552" s="531">
        <f t="shared" si="718"/>
        <v>0.54304504959959732</v>
      </c>
      <c r="T552" s="531">
        <f t="shared" si="718"/>
        <v>0.54304504959959732</v>
      </c>
      <c r="U552" s="531">
        <f t="shared" si="718"/>
        <v>0.54304504959959732</v>
      </c>
      <c r="V552" s="531">
        <f t="shared" si="718"/>
        <v>0.54304504959959732</v>
      </c>
      <c r="W552" s="531">
        <f t="shared" si="718"/>
        <v>0.54304504959959732</v>
      </c>
      <c r="X552" s="531">
        <f t="shared" si="718"/>
        <v>0.54304504959959732</v>
      </c>
      <c r="Y552" s="531">
        <f t="shared" si="718"/>
        <v>0.54304504959959732</v>
      </c>
      <c r="Z552" s="531">
        <f t="shared" si="718"/>
        <v>0.54304504959959732</v>
      </c>
      <c r="AA552" s="531">
        <f t="shared" si="718"/>
        <v>0.54304504959959732</v>
      </c>
      <c r="AB552" s="531">
        <f t="shared" si="718"/>
        <v>0.54304504959959732</v>
      </c>
      <c r="AC552" s="531">
        <f t="shared" si="718"/>
        <v>0.54304504959959732</v>
      </c>
      <c r="AD552" s="531">
        <f t="shared" si="718"/>
        <v>0.54755623040414148</v>
      </c>
      <c r="AE552" s="531">
        <f t="shared" si="718"/>
        <v>0.54755623040414148</v>
      </c>
      <c r="AF552" s="531">
        <f t="shared" si="718"/>
        <v>0.54755623040414148</v>
      </c>
      <c r="AG552" s="531">
        <f t="shared" si="718"/>
        <v>0.54755623040414148</v>
      </c>
      <c r="AH552" s="531">
        <f t="shared" si="718"/>
        <v>0.54755623040414148</v>
      </c>
      <c r="AI552" s="531">
        <f t="shared" si="718"/>
        <v>0.54755623040414148</v>
      </c>
      <c r="AJ552" s="531">
        <f t="shared" si="718"/>
        <v>0.54755623040414148</v>
      </c>
      <c r="AK552" s="531">
        <f t="shared" si="718"/>
        <v>0.54755623040414148</v>
      </c>
      <c r="AL552" s="531">
        <f t="shared" si="718"/>
        <v>0.54755623040414148</v>
      </c>
      <c r="AM552" s="531">
        <f t="shared" si="718"/>
        <v>0.54755623040414148</v>
      </c>
      <c r="AN552" s="531">
        <f t="shared" si="718"/>
        <v>0.54755623040414148</v>
      </c>
      <c r="AO552" s="531">
        <f t="shared" si="718"/>
        <v>0.54755623040414148</v>
      </c>
      <c r="AP552" s="531">
        <f t="shared" si="718"/>
        <v>0.55168464137805662</v>
      </c>
      <c r="AQ552" s="531">
        <f t="shared" si="718"/>
        <v>0.55168464137805662</v>
      </c>
      <c r="AR552" s="531">
        <f t="shared" si="718"/>
        <v>0.55168464137805662</v>
      </c>
      <c r="AS552" s="531">
        <f t="shared" si="718"/>
        <v>0.55168464137805662</v>
      </c>
      <c r="AT552" s="531">
        <f t="shared" si="718"/>
        <v>0.55168464137805662</v>
      </c>
      <c r="AU552" s="531">
        <f t="shared" si="718"/>
        <v>0.55168464137805662</v>
      </c>
      <c r="AV552" s="531">
        <f t="shared" si="718"/>
        <v>0.55168464137805662</v>
      </c>
      <c r="AW552" s="531">
        <f t="shared" si="718"/>
        <v>0.55168464137805662</v>
      </c>
      <c r="AX552" s="531">
        <f t="shared" ref="AX552:BY552" si="719">AX551/SUM(AX512,AX521,AX535,AX542)</f>
        <v>0.55168464137805662</v>
      </c>
      <c r="AY552" s="531">
        <f t="shared" si="719"/>
        <v>0.55168464137805662</v>
      </c>
      <c r="AZ552" s="531">
        <f t="shared" si="719"/>
        <v>0.55168464137805662</v>
      </c>
      <c r="BA552" s="531">
        <f t="shared" si="719"/>
        <v>0.55168464137805662</v>
      </c>
      <c r="BB552" s="531">
        <f t="shared" si="719"/>
        <v>0.55520947285064493</v>
      </c>
      <c r="BC552" s="531">
        <f t="shared" si="719"/>
        <v>0.55520947285064493</v>
      </c>
      <c r="BD552" s="531">
        <f t="shared" si="719"/>
        <v>0.55520947285064493</v>
      </c>
      <c r="BE552" s="531">
        <f t="shared" si="719"/>
        <v>0.55520947285064493</v>
      </c>
      <c r="BF552" s="531">
        <f t="shared" si="719"/>
        <v>0.55520947285064493</v>
      </c>
      <c r="BG552" s="531">
        <f t="shared" si="719"/>
        <v>0.55520947285064493</v>
      </c>
      <c r="BH552" s="531">
        <f t="shared" si="719"/>
        <v>0.55520947285064493</v>
      </c>
      <c r="BI552" s="531">
        <f t="shared" si="719"/>
        <v>0.55520947285064493</v>
      </c>
      <c r="BJ552" s="531">
        <f t="shared" si="719"/>
        <v>0.55520947285064493</v>
      </c>
      <c r="BK552" s="531">
        <f t="shared" si="719"/>
        <v>0.55520947285064493</v>
      </c>
      <c r="BL552" s="531">
        <f t="shared" si="719"/>
        <v>0.55520947285064493</v>
      </c>
      <c r="BM552" s="531">
        <f t="shared" si="719"/>
        <v>0.55520947285064493</v>
      </c>
      <c r="BN552" s="531">
        <f t="shared" si="719"/>
        <v>0.55848541977268884</v>
      </c>
      <c r="BO552" s="531">
        <f t="shared" si="719"/>
        <v>0.55848541977268884</v>
      </c>
      <c r="BP552" s="531">
        <f t="shared" si="719"/>
        <v>0.55848541977268884</v>
      </c>
      <c r="BQ552" s="531">
        <f t="shared" si="719"/>
        <v>0.55848541977268884</v>
      </c>
      <c r="BR552" s="531">
        <f t="shared" si="719"/>
        <v>0.55848541977268884</v>
      </c>
      <c r="BS552" s="531">
        <f t="shared" si="719"/>
        <v>0.55848541977268884</v>
      </c>
      <c r="BT552" s="531">
        <f t="shared" si="719"/>
        <v>0.55848541977268884</v>
      </c>
      <c r="BU552" s="531">
        <f t="shared" si="719"/>
        <v>0.55848541977268884</v>
      </c>
      <c r="BV552" s="531">
        <f t="shared" si="719"/>
        <v>0.55848541977268884</v>
      </c>
      <c r="BW552" s="531">
        <f t="shared" si="719"/>
        <v>0.55848541977268884</v>
      </c>
      <c r="BX552" s="531">
        <f t="shared" si="719"/>
        <v>0.55848541977268884</v>
      </c>
      <c r="BY552" s="531">
        <f t="shared" si="719"/>
        <v>0.55848541977268884</v>
      </c>
      <c r="BZ552" s="537"/>
      <c r="CA552" s="537"/>
      <c r="CB552" s="537"/>
    </row>
    <row r="553" spans="1:80" x14ac:dyDescent="0.3">
      <c r="A553" s="648"/>
      <c r="B553" s="648"/>
      <c r="C553" s="648" cm="1">
        <f t="array" ref="C553">SUMPRODUCT((Index_Tab!$D$36:$D$45=$B553)*(Index_Tab!$E$35:$F$35=$B$3)*Index_Tab!$E$36:$F$45)</f>
        <v>0</v>
      </c>
      <c r="D553" s="648"/>
      <c r="E553" s="2"/>
      <c r="F553" s="537"/>
      <c r="G553" s="537"/>
      <c r="H553" s="529"/>
      <c r="I553" s="537"/>
      <c r="J553" s="537"/>
      <c r="K553" s="537"/>
      <c r="L553" s="537"/>
      <c r="M553" s="537"/>
      <c r="N553" s="537"/>
      <c r="O553" s="525"/>
      <c r="P553" s="664"/>
      <c r="Q553" s="537"/>
      <c r="R553" s="537"/>
      <c r="S553" s="537"/>
      <c r="T553" s="537"/>
      <c r="U553" s="537"/>
      <c r="V553" s="537"/>
      <c r="W553" s="537"/>
      <c r="X553" s="537"/>
      <c r="Y553" s="537"/>
      <c r="Z553" s="537"/>
      <c r="AA553" s="537"/>
      <c r="AB553" s="537"/>
      <c r="AC553" s="537"/>
      <c r="AD553" s="537"/>
      <c r="AE553" s="537"/>
      <c r="AF553" s="537"/>
      <c r="AG553" s="537"/>
      <c r="AH553" s="537"/>
      <c r="AI553" s="537"/>
      <c r="AJ553" s="537"/>
      <c r="AK553" s="537"/>
      <c r="AL553" s="537"/>
      <c r="AM553" s="537"/>
      <c r="AN553" s="537"/>
      <c r="AO553" s="537"/>
      <c r="AP553" s="537"/>
      <c r="AQ553" s="537"/>
      <c r="AR553" s="537"/>
      <c r="AS553" s="537"/>
      <c r="AT553" s="537"/>
      <c r="AU553" s="537"/>
      <c r="AV553" s="537"/>
      <c r="AW553" s="537"/>
      <c r="AX553" s="537"/>
      <c r="AY553" s="537"/>
      <c r="AZ553" s="537"/>
      <c r="BA553" s="537"/>
      <c r="BB553" s="537"/>
      <c r="BC553" s="537"/>
      <c r="BD553" s="537"/>
      <c r="BE553" s="537"/>
      <c r="BF553" s="537"/>
      <c r="BG553" s="537"/>
      <c r="BH553" s="537"/>
      <c r="BI553" s="537"/>
      <c r="BJ553" s="537"/>
      <c r="BK553" s="537"/>
      <c r="BL553" s="537"/>
      <c r="BM553" s="537"/>
      <c r="BN553" s="537"/>
      <c r="BO553" s="537"/>
      <c r="BP553" s="537"/>
      <c r="BQ553" s="537"/>
      <c r="BR553" s="537"/>
      <c r="BS553" s="537"/>
      <c r="BT553" s="537"/>
      <c r="BU553" s="537"/>
      <c r="BV553" s="537"/>
      <c r="BW553" s="537"/>
      <c r="BX553" s="537"/>
      <c r="BY553" s="537"/>
      <c r="BZ553" s="537"/>
      <c r="CA553" s="537"/>
      <c r="CB553" s="537"/>
    </row>
    <row r="554" spans="1:80" x14ac:dyDescent="0.3">
      <c r="A554" s="648"/>
      <c r="B554" s="648"/>
      <c r="C554" s="648" cm="1">
        <f t="array" ref="C554">SUMPRODUCT((Index_Tab!$D$36:$D$45=$B554)*(Index_Tab!$E$35:$F$35=$B$3)*Index_Tab!$E$36:$F$45)</f>
        <v>0</v>
      </c>
      <c r="D554" s="648"/>
      <c r="E554" s="2" t="s">
        <v>129</v>
      </c>
      <c r="F554" s="537"/>
      <c r="G554" s="537"/>
      <c r="H554" s="529"/>
      <c r="I554" s="542">
        <f>'Detailed Assumptions'!$E$81*I571*-1</f>
        <v>-1070100</v>
      </c>
      <c r="J554" s="542">
        <f>I554*(1+'Detailed Assumptions'!F$49)</f>
        <v>-1096506.2566849315</v>
      </c>
      <c r="K554" s="542">
        <f>J554*(1+'Detailed Assumptions'!G$49)</f>
        <v>-1121915.7613980616</v>
      </c>
      <c r="L554" s="542">
        <f>K554*(1+'Detailed Assumptions'!H$49)</f>
        <v>-1145979.7786704157</v>
      </c>
      <c r="M554" s="542">
        <f>L554*(1+'Detailed Assumptions'!I$49)</f>
        <v>-1168439.4124970427</v>
      </c>
      <c r="N554" s="542">
        <f>M554*(1+'Detailed Assumptions'!J$49)</f>
        <v>-1191107.4572198722</v>
      </c>
      <c r="O554" s="537"/>
      <c r="P554" s="564">
        <f>IFERROR(((N554/I554)^(1/5))-1,0)</f>
        <v>2.1657472733383143E-2</v>
      </c>
      <c r="Q554" s="537"/>
      <c r="R554" s="527">
        <f t="shared" ref="R554:AW554" si="720">(INDEX($I554:$N554,MATCH(R$2,$I$3:$N$3,0)))/12</f>
        <v>-91375.521390410955</v>
      </c>
      <c r="S554" s="527">
        <f t="shared" si="720"/>
        <v>-91375.521390410955</v>
      </c>
      <c r="T554" s="527">
        <f t="shared" si="720"/>
        <v>-91375.521390410955</v>
      </c>
      <c r="U554" s="527">
        <f t="shared" si="720"/>
        <v>-91375.521390410955</v>
      </c>
      <c r="V554" s="527">
        <f t="shared" si="720"/>
        <v>-91375.521390410955</v>
      </c>
      <c r="W554" s="527">
        <f t="shared" si="720"/>
        <v>-91375.521390410955</v>
      </c>
      <c r="X554" s="527">
        <f t="shared" si="720"/>
        <v>-91375.521390410955</v>
      </c>
      <c r="Y554" s="527">
        <f t="shared" si="720"/>
        <v>-91375.521390410955</v>
      </c>
      <c r="Z554" s="527">
        <f t="shared" si="720"/>
        <v>-91375.521390410955</v>
      </c>
      <c r="AA554" s="527">
        <f t="shared" si="720"/>
        <v>-91375.521390410955</v>
      </c>
      <c r="AB554" s="527">
        <f t="shared" si="720"/>
        <v>-91375.521390410955</v>
      </c>
      <c r="AC554" s="527">
        <f t="shared" si="720"/>
        <v>-91375.521390410955</v>
      </c>
      <c r="AD554" s="527">
        <f t="shared" si="720"/>
        <v>-93492.980116505132</v>
      </c>
      <c r="AE554" s="527">
        <f t="shared" si="720"/>
        <v>-93492.980116505132</v>
      </c>
      <c r="AF554" s="527">
        <f t="shared" si="720"/>
        <v>-93492.980116505132</v>
      </c>
      <c r="AG554" s="527">
        <f t="shared" si="720"/>
        <v>-93492.980116505132</v>
      </c>
      <c r="AH554" s="527">
        <f t="shared" si="720"/>
        <v>-93492.980116505132</v>
      </c>
      <c r="AI554" s="527">
        <f t="shared" si="720"/>
        <v>-93492.980116505132</v>
      </c>
      <c r="AJ554" s="527">
        <f t="shared" si="720"/>
        <v>-93492.980116505132</v>
      </c>
      <c r="AK554" s="527">
        <f t="shared" si="720"/>
        <v>-93492.980116505132</v>
      </c>
      <c r="AL554" s="527">
        <f t="shared" si="720"/>
        <v>-93492.980116505132</v>
      </c>
      <c r="AM554" s="527">
        <f t="shared" si="720"/>
        <v>-93492.980116505132</v>
      </c>
      <c r="AN554" s="527">
        <f t="shared" si="720"/>
        <v>-93492.980116505132</v>
      </c>
      <c r="AO554" s="527">
        <f t="shared" si="720"/>
        <v>-93492.980116505132</v>
      </c>
      <c r="AP554" s="527">
        <f t="shared" si="720"/>
        <v>-95498.314889201312</v>
      </c>
      <c r="AQ554" s="527">
        <f t="shared" si="720"/>
        <v>-95498.314889201312</v>
      </c>
      <c r="AR554" s="527">
        <f t="shared" si="720"/>
        <v>-95498.314889201312</v>
      </c>
      <c r="AS554" s="527">
        <f t="shared" si="720"/>
        <v>-95498.314889201312</v>
      </c>
      <c r="AT554" s="527">
        <f t="shared" si="720"/>
        <v>-95498.314889201312</v>
      </c>
      <c r="AU554" s="527">
        <f t="shared" si="720"/>
        <v>-95498.314889201312</v>
      </c>
      <c r="AV554" s="527">
        <f t="shared" si="720"/>
        <v>-95498.314889201312</v>
      </c>
      <c r="AW554" s="527">
        <f t="shared" si="720"/>
        <v>-95498.314889201312</v>
      </c>
      <c r="AX554" s="527">
        <f t="shared" ref="AX554:BY554" si="721">(INDEX($I554:$N554,MATCH(AX$2,$I$3:$N$3,0)))/12</f>
        <v>-95498.314889201312</v>
      </c>
      <c r="AY554" s="527">
        <f t="shared" si="721"/>
        <v>-95498.314889201312</v>
      </c>
      <c r="AZ554" s="527">
        <f t="shared" si="721"/>
        <v>-95498.314889201312</v>
      </c>
      <c r="BA554" s="527">
        <f t="shared" si="721"/>
        <v>-95498.314889201312</v>
      </c>
      <c r="BB554" s="527">
        <f t="shared" si="721"/>
        <v>-97369.951041420223</v>
      </c>
      <c r="BC554" s="527">
        <f t="shared" si="721"/>
        <v>-97369.951041420223</v>
      </c>
      <c r="BD554" s="527">
        <f t="shared" si="721"/>
        <v>-97369.951041420223</v>
      </c>
      <c r="BE554" s="527">
        <f t="shared" si="721"/>
        <v>-97369.951041420223</v>
      </c>
      <c r="BF554" s="527">
        <f t="shared" si="721"/>
        <v>-97369.951041420223</v>
      </c>
      <c r="BG554" s="527">
        <f t="shared" si="721"/>
        <v>-97369.951041420223</v>
      </c>
      <c r="BH554" s="527">
        <f t="shared" si="721"/>
        <v>-97369.951041420223</v>
      </c>
      <c r="BI554" s="527">
        <f t="shared" si="721"/>
        <v>-97369.951041420223</v>
      </c>
      <c r="BJ554" s="527">
        <f t="shared" si="721"/>
        <v>-97369.951041420223</v>
      </c>
      <c r="BK554" s="527">
        <f t="shared" si="721"/>
        <v>-97369.951041420223</v>
      </c>
      <c r="BL554" s="527">
        <f t="shared" si="721"/>
        <v>-97369.951041420223</v>
      </c>
      <c r="BM554" s="527">
        <f t="shared" si="721"/>
        <v>-97369.951041420223</v>
      </c>
      <c r="BN554" s="527">
        <f t="shared" si="721"/>
        <v>-99258.954768322685</v>
      </c>
      <c r="BO554" s="527">
        <f t="shared" si="721"/>
        <v>-99258.954768322685</v>
      </c>
      <c r="BP554" s="527">
        <f t="shared" si="721"/>
        <v>-99258.954768322685</v>
      </c>
      <c r="BQ554" s="527">
        <f t="shared" si="721"/>
        <v>-99258.954768322685</v>
      </c>
      <c r="BR554" s="527">
        <f t="shared" si="721"/>
        <v>-99258.954768322685</v>
      </c>
      <c r="BS554" s="527">
        <f t="shared" si="721"/>
        <v>-99258.954768322685</v>
      </c>
      <c r="BT554" s="527">
        <f t="shared" si="721"/>
        <v>-99258.954768322685</v>
      </c>
      <c r="BU554" s="527">
        <f t="shared" si="721"/>
        <v>-99258.954768322685</v>
      </c>
      <c r="BV554" s="527">
        <f t="shared" si="721"/>
        <v>-99258.954768322685</v>
      </c>
      <c r="BW554" s="527">
        <f t="shared" si="721"/>
        <v>-99258.954768322685</v>
      </c>
      <c r="BX554" s="527">
        <f t="shared" si="721"/>
        <v>-99258.954768322685</v>
      </c>
      <c r="BY554" s="527">
        <f t="shared" si="721"/>
        <v>-99258.954768322685</v>
      </c>
      <c r="BZ554" s="537"/>
      <c r="CA554" s="537"/>
      <c r="CB554" s="537"/>
    </row>
    <row r="555" spans="1:80" x14ac:dyDescent="0.3">
      <c r="A555" s="648"/>
      <c r="B555" s="648"/>
      <c r="C555" s="648" cm="1">
        <f t="array" ref="C555">SUMPRODUCT((Index_Tab!$D$36:$D$45=$B555)*(Index_Tab!$E$35:$F$35=$B$3)*Index_Tab!$E$36:$F$45)</f>
        <v>0</v>
      </c>
      <c r="D555" s="648"/>
      <c r="E555" s="62" t="s">
        <v>292</v>
      </c>
      <c r="F555" s="579"/>
      <c r="G555" s="579"/>
      <c r="H555" s="537"/>
      <c r="I555" s="535">
        <f t="shared" ref="I555:N555" si="722">SUM(I551,I554)</f>
        <v>11488892.716329692</v>
      </c>
      <c r="J555" s="535">
        <f t="shared" si="722"/>
        <v>11989089.031402363</v>
      </c>
      <c r="K555" s="535">
        <f t="shared" si="722"/>
        <v>12489270.037687782</v>
      </c>
      <c r="L555" s="535">
        <f t="shared" si="722"/>
        <v>12986449.225891279</v>
      </c>
      <c r="M555" s="535">
        <f t="shared" si="722"/>
        <v>13464504.956582766</v>
      </c>
      <c r="N555" s="535">
        <f t="shared" si="722"/>
        <v>13947775.345321624</v>
      </c>
      <c r="O555" s="536"/>
      <c r="P555" s="568">
        <f>IFERROR(((N555/I555)^(1/5))-1,0)</f>
        <v>3.9549931011163109E-2</v>
      </c>
      <c r="Q555" s="537"/>
      <c r="R555" s="535">
        <f t="shared" ref="R555:AW555" si="723">SUM(R551,R554)</f>
        <v>999090.75261686358</v>
      </c>
      <c r="S555" s="535">
        <f t="shared" si="723"/>
        <v>999090.75261686358</v>
      </c>
      <c r="T555" s="535">
        <f t="shared" si="723"/>
        <v>999090.75261686358</v>
      </c>
      <c r="U555" s="535">
        <f t="shared" si="723"/>
        <v>999090.75261686358</v>
      </c>
      <c r="V555" s="535">
        <f t="shared" si="723"/>
        <v>999090.75261686358</v>
      </c>
      <c r="W555" s="535">
        <f t="shared" si="723"/>
        <v>999090.75261686358</v>
      </c>
      <c r="X555" s="535">
        <f t="shared" si="723"/>
        <v>999090.75261686358</v>
      </c>
      <c r="Y555" s="535">
        <f t="shared" si="723"/>
        <v>999090.75261686358</v>
      </c>
      <c r="Z555" s="535">
        <f t="shared" si="723"/>
        <v>999090.75261686358</v>
      </c>
      <c r="AA555" s="535">
        <f t="shared" si="723"/>
        <v>999090.75261686358</v>
      </c>
      <c r="AB555" s="535">
        <f t="shared" si="723"/>
        <v>999090.75261686358</v>
      </c>
      <c r="AC555" s="535">
        <f t="shared" si="723"/>
        <v>999090.75261686358</v>
      </c>
      <c r="AD555" s="535">
        <f t="shared" si="723"/>
        <v>1040772.5031406484</v>
      </c>
      <c r="AE555" s="535">
        <f t="shared" si="723"/>
        <v>1040772.5031406484</v>
      </c>
      <c r="AF555" s="535">
        <f t="shared" si="723"/>
        <v>1040772.5031406484</v>
      </c>
      <c r="AG555" s="535">
        <f t="shared" si="723"/>
        <v>1040772.5031406484</v>
      </c>
      <c r="AH555" s="535">
        <f t="shared" si="723"/>
        <v>1040772.5031406484</v>
      </c>
      <c r="AI555" s="535">
        <f t="shared" si="723"/>
        <v>1040772.5031406484</v>
      </c>
      <c r="AJ555" s="535">
        <f t="shared" si="723"/>
        <v>1040772.5031406484</v>
      </c>
      <c r="AK555" s="535">
        <f t="shared" si="723"/>
        <v>1040772.5031406484</v>
      </c>
      <c r="AL555" s="535">
        <f t="shared" si="723"/>
        <v>1040772.5031406484</v>
      </c>
      <c r="AM555" s="535">
        <f t="shared" si="723"/>
        <v>1040772.5031406484</v>
      </c>
      <c r="AN555" s="535">
        <f t="shared" si="723"/>
        <v>1040772.5031406484</v>
      </c>
      <c r="AO555" s="535">
        <f t="shared" si="723"/>
        <v>1040772.5031406484</v>
      </c>
      <c r="AP555" s="535">
        <f t="shared" si="723"/>
        <v>1082204.1021576067</v>
      </c>
      <c r="AQ555" s="535">
        <f t="shared" si="723"/>
        <v>1082204.1021576067</v>
      </c>
      <c r="AR555" s="535">
        <f t="shared" si="723"/>
        <v>1082204.1021576067</v>
      </c>
      <c r="AS555" s="535">
        <f t="shared" si="723"/>
        <v>1082204.1021576067</v>
      </c>
      <c r="AT555" s="535">
        <f t="shared" si="723"/>
        <v>1082204.1021576067</v>
      </c>
      <c r="AU555" s="535">
        <f t="shared" si="723"/>
        <v>1082204.1021576067</v>
      </c>
      <c r="AV555" s="535">
        <f t="shared" si="723"/>
        <v>1082204.1021576067</v>
      </c>
      <c r="AW555" s="535">
        <f t="shared" si="723"/>
        <v>1082204.1021576067</v>
      </c>
      <c r="AX555" s="535">
        <f t="shared" ref="AX555:BY555" si="724">SUM(AX551,AX554)</f>
        <v>1082204.1021576067</v>
      </c>
      <c r="AY555" s="535">
        <f t="shared" si="724"/>
        <v>1082204.1021576067</v>
      </c>
      <c r="AZ555" s="535">
        <f t="shared" si="724"/>
        <v>1082204.1021576067</v>
      </c>
      <c r="BA555" s="535">
        <f t="shared" si="724"/>
        <v>1082204.1021576067</v>
      </c>
      <c r="BB555" s="535">
        <f t="shared" si="724"/>
        <v>1122042.07971523</v>
      </c>
      <c r="BC555" s="535">
        <f t="shared" si="724"/>
        <v>1122042.07971523</v>
      </c>
      <c r="BD555" s="535">
        <f t="shared" si="724"/>
        <v>1122042.07971523</v>
      </c>
      <c r="BE555" s="535">
        <f t="shared" si="724"/>
        <v>1122042.07971523</v>
      </c>
      <c r="BF555" s="535">
        <f t="shared" si="724"/>
        <v>1122042.07971523</v>
      </c>
      <c r="BG555" s="535">
        <f t="shared" si="724"/>
        <v>1122042.07971523</v>
      </c>
      <c r="BH555" s="535">
        <f t="shared" si="724"/>
        <v>1122042.07971523</v>
      </c>
      <c r="BI555" s="535">
        <f t="shared" si="724"/>
        <v>1122042.07971523</v>
      </c>
      <c r="BJ555" s="535">
        <f t="shared" si="724"/>
        <v>1122042.07971523</v>
      </c>
      <c r="BK555" s="535">
        <f t="shared" si="724"/>
        <v>1122042.07971523</v>
      </c>
      <c r="BL555" s="535">
        <f t="shared" si="724"/>
        <v>1122042.07971523</v>
      </c>
      <c r="BM555" s="535">
        <f t="shared" si="724"/>
        <v>1122042.07971523</v>
      </c>
      <c r="BN555" s="535">
        <f t="shared" si="724"/>
        <v>1162314.6121101351</v>
      </c>
      <c r="BO555" s="535">
        <f t="shared" si="724"/>
        <v>1162314.6121101351</v>
      </c>
      <c r="BP555" s="535">
        <f t="shared" si="724"/>
        <v>1162314.6121101351</v>
      </c>
      <c r="BQ555" s="535">
        <f t="shared" si="724"/>
        <v>1162314.6121101351</v>
      </c>
      <c r="BR555" s="535">
        <f t="shared" si="724"/>
        <v>1162314.6121101351</v>
      </c>
      <c r="BS555" s="535">
        <f t="shared" si="724"/>
        <v>1162314.6121101351</v>
      </c>
      <c r="BT555" s="535">
        <f t="shared" si="724"/>
        <v>1162314.6121101351</v>
      </c>
      <c r="BU555" s="535">
        <f t="shared" si="724"/>
        <v>1162314.6121101351</v>
      </c>
      <c r="BV555" s="535">
        <f t="shared" si="724"/>
        <v>1162314.6121101351</v>
      </c>
      <c r="BW555" s="535">
        <f t="shared" si="724"/>
        <v>1162314.6121101351</v>
      </c>
      <c r="BX555" s="535">
        <f t="shared" si="724"/>
        <v>1162314.6121101351</v>
      </c>
      <c r="BY555" s="535">
        <f t="shared" si="724"/>
        <v>1162314.6121101351</v>
      </c>
      <c r="BZ555" s="537"/>
      <c r="CA555" s="537"/>
      <c r="CB555" s="537"/>
    </row>
    <row r="556" spans="1:80" x14ac:dyDescent="0.3">
      <c r="A556" s="648"/>
      <c r="B556" s="648"/>
      <c r="C556" s="648" cm="1">
        <f t="array" ref="C556">SUMPRODUCT((Index_Tab!$D$36:$D$45=$B556)*(Index_Tab!$E$35:$F$35=$B$3)*Index_Tab!$E$36:$F$45)</f>
        <v>0</v>
      </c>
      <c r="D556" s="648"/>
      <c r="E556" s="692" t="s">
        <v>406</v>
      </c>
      <c r="F556" s="537"/>
      <c r="G556" s="537"/>
      <c r="H556" s="529"/>
      <c r="I556" s="531">
        <f t="shared" ref="I556:N556" si="725">I555/I551</f>
        <v>0.91479412209479072</v>
      </c>
      <c r="J556" s="531">
        <f t="shared" si="725"/>
        <v>0.9162050917405985</v>
      </c>
      <c r="K556" s="531">
        <f t="shared" si="725"/>
        <v>0.91757398819187286</v>
      </c>
      <c r="L556" s="531">
        <f t="shared" si="725"/>
        <v>0.91891133659326973</v>
      </c>
      <c r="M556" s="531">
        <f t="shared" si="725"/>
        <v>0.92015008169059831</v>
      </c>
      <c r="N556" s="531">
        <f t="shared" si="725"/>
        <v>0.92132131064387979</v>
      </c>
      <c r="O556" s="546"/>
      <c r="P556" s="564">
        <f>IFERROR(((N556/I556)^(1/5))-1,0)</f>
        <v>1.422973491786772E-3</v>
      </c>
      <c r="Q556" s="537"/>
      <c r="R556" s="531">
        <f t="shared" ref="R556:AW556" si="726">R555/R551</f>
        <v>0.9162050917405985</v>
      </c>
      <c r="S556" s="531">
        <f t="shared" si="726"/>
        <v>0.9162050917405985</v>
      </c>
      <c r="T556" s="531">
        <f t="shared" si="726"/>
        <v>0.9162050917405985</v>
      </c>
      <c r="U556" s="531">
        <f t="shared" si="726"/>
        <v>0.9162050917405985</v>
      </c>
      <c r="V556" s="531">
        <f t="shared" si="726"/>
        <v>0.9162050917405985</v>
      </c>
      <c r="W556" s="531">
        <f t="shared" si="726"/>
        <v>0.9162050917405985</v>
      </c>
      <c r="X556" s="531">
        <f t="shared" si="726"/>
        <v>0.9162050917405985</v>
      </c>
      <c r="Y556" s="531">
        <f t="shared" si="726"/>
        <v>0.9162050917405985</v>
      </c>
      <c r="Z556" s="531">
        <f t="shared" si="726"/>
        <v>0.9162050917405985</v>
      </c>
      <c r="AA556" s="531">
        <f t="shared" si="726"/>
        <v>0.9162050917405985</v>
      </c>
      <c r="AB556" s="531">
        <f t="shared" si="726"/>
        <v>0.9162050917405985</v>
      </c>
      <c r="AC556" s="531">
        <f t="shared" si="726"/>
        <v>0.9162050917405985</v>
      </c>
      <c r="AD556" s="531">
        <f t="shared" si="726"/>
        <v>0.91757398819187286</v>
      </c>
      <c r="AE556" s="531">
        <f t="shared" si="726"/>
        <v>0.91757398819187286</v>
      </c>
      <c r="AF556" s="531">
        <f t="shared" si="726"/>
        <v>0.91757398819187286</v>
      </c>
      <c r="AG556" s="531">
        <f t="shared" si="726"/>
        <v>0.91757398819187286</v>
      </c>
      <c r="AH556" s="531">
        <f t="shared" si="726"/>
        <v>0.91757398819187286</v>
      </c>
      <c r="AI556" s="531">
        <f t="shared" si="726"/>
        <v>0.91757398819187286</v>
      </c>
      <c r="AJ556" s="531">
        <f t="shared" si="726"/>
        <v>0.91757398819187286</v>
      </c>
      <c r="AK556" s="531">
        <f t="shared" si="726"/>
        <v>0.91757398819187286</v>
      </c>
      <c r="AL556" s="531">
        <f t="shared" si="726"/>
        <v>0.91757398819187286</v>
      </c>
      <c r="AM556" s="531">
        <f t="shared" si="726"/>
        <v>0.91757398819187286</v>
      </c>
      <c r="AN556" s="531">
        <f t="shared" si="726"/>
        <v>0.91757398819187286</v>
      </c>
      <c r="AO556" s="531">
        <f t="shared" si="726"/>
        <v>0.91757398819187286</v>
      </c>
      <c r="AP556" s="531">
        <f t="shared" si="726"/>
        <v>0.91891133659326985</v>
      </c>
      <c r="AQ556" s="531">
        <f t="shared" si="726"/>
        <v>0.91891133659326985</v>
      </c>
      <c r="AR556" s="531">
        <f t="shared" si="726"/>
        <v>0.91891133659326985</v>
      </c>
      <c r="AS556" s="531">
        <f t="shared" si="726"/>
        <v>0.91891133659326985</v>
      </c>
      <c r="AT556" s="531">
        <f t="shared" si="726"/>
        <v>0.91891133659326985</v>
      </c>
      <c r="AU556" s="531">
        <f t="shared" si="726"/>
        <v>0.91891133659326985</v>
      </c>
      <c r="AV556" s="531">
        <f t="shared" si="726"/>
        <v>0.91891133659326985</v>
      </c>
      <c r="AW556" s="531">
        <f t="shared" si="726"/>
        <v>0.91891133659326985</v>
      </c>
      <c r="AX556" s="531">
        <f t="shared" ref="AX556:BY556" si="727">AX555/AX551</f>
        <v>0.91891133659326985</v>
      </c>
      <c r="AY556" s="531">
        <f t="shared" si="727"/>
        <v>0.91891133659326985</v>
      </c>
      <c r="AZ556" s="531">
        <f t="shared" si="727"/>
        <v>0.91891133659326985</v>
      </c>
      <c r="BA556" s="531">
        <f t="shared" si="727"/>
        <v>0.91891133659326985</v>
      </c>
      <c r="BB556" s="531">
        <f t="shared" si="727"/>
        <v>0.9201500816905982</v>
      </c>
      <c r="BC556" s="531">
        <f t="shared" si="727"/>
        <v>0.9201500816905982</v>
      </c>
      <c r="BD556" s="531">
        <f t="shared" si="727"/>
        <v>0.9201500816905982</v>
      </c>
      <c r="BE556" s="531">
        <f t="shared" si="727"/>
        <v>0.9201500816905982</v>
      </c>
      <c r="BF556" s="531">
        <f t="shared" si="727"/>
        <v>0.9201500816905982</v>
      </c>
      <c r="BG556" s="531">
        <f t="shared" si="727"/>
        <v>0.9201500816905982</v>
      </c>
      <c r="BH556" s="531">
        <f t="shared" si="727"/>
        <v>0.9201500816905982</v>
      </c>
      <c r="BI556" s="531">
        <f t="shared" si="727"/>
        <v>0.9201500816905982</v>
      </c>
      <c r="BJ556" s="531">
        <f t="shared" si="727"/>
        <v>0.9201500816905982</v>
      </c>
      <c r="BK556" s="531">
        <f t="shared" si="727"/>
        <v>0.9201500816905982</v>
      </c>
      <c r="BL556" s="531">
        <f t="shared" si="727"/>
        <v>0.9201500816905982</v>
      </c>
      <c r="BM556" s="531">
        <f t="shared" si="727"/>
        <v>0.9201500816905982</v>
      </c>
      <c r="BN556" s="531">
        <f t="shared" si="727"/>
        <v>0.9213213106438799</v>
      </c>
      <c r="BO556" s="531">
        <f t="shared" si="727"/>
        <v>0.9213213106438799</v>
      </c>
      <c r="BP556" s="531">
        <f t="shared" si="727"/>
        <v>0.9213213106438799</v>
      </c>
      <c r="BQ556" s="531">
        <f t="shared" si="727"/>
        <v>0.9213213106438799</v>
      </c>
      <c r="BR556" s="531">
        <f t="shared" si="727"/>
        <v>0.9213213106438799</v>
      </c>
      <c r="BS556" s="531">
        <f t="shared" si="727"/>
        <v>0.9213213106438799</v>
      </c>
      <c r="BT556" s="531">
        <f t="shared" si="727"/>
        <v>0.9213213106438799</v>
      </c>
      <c r="BU556" s="531">
        <f t="shared" si="727"/>
        <v>0.9213213106438799</v>
      </c>
      <c r="BV556" s="531">
        <f t="shared" si="727"/>
        <v>0.9213213106438799</v>
      </c>
      <c r="BW556" s="531">
        <f t="shared" si="727"/>
        <v>0.9213213106438799</v>
      </c>
      <c r="BX556" s="531">
        <f t="shared" si="727"/>
        <v>0.9213213106438799</v>
      </c>
      <c r="BY556" s="531">
        <f t="shared" si="727"/>
        <v>0.9213213106438799</v>
      </c>
      <c r="BZ556" s="537"/>
      <c r="CA556" s="537"/>
      <c r="CB556" s="537"/>
    </row>
    <row r="557" spans="1:80" x14ac:dyDescent="0.3">
      <c r="A557" s="648"/>
      <c r="B557" s="648"/>
      <c r="C557" s="648" cm="1">
        <f t="array" ref="C557">SUMPRODUCT((Index_Tab!$D$36:$D$45=$B557)*(Index_Tab!$E$35:$F$35=$B$3)*Index_Tab!$E$36:$F$45)</f>
        <v>0</v>
      </c>
      <c r="D557" s="648"/>
      <c r="E557" s="2"/>
      <c r="F557" s="537"/>
      <c r="G557" s="537"/>
      <c r="H557" s="529"/>
      <c r="I557" s="537"/>
      <c r="J557" s="537"/>
      <c r="K557" s="537"/>
      <c r="L557" s="537"/>
      <c r="M557" s="537"/>
      <c r="N557" s="537"/>
      <c r="O557" s="529"/>
      <c r="P557" s="660"/>
      <c r="Q557" s="537"/>
      <c r="R557" s="537"/>
      <c r="S557" s="537"/>
      <c r="T557" s="537"/>
      <c r="U557" s="537"/>
      <c r="V557" s="537"/>
      <c r="W557" s="537"/>
      <c r="X557" s="537"/>
      <c r="Y557" s="537"/>
      <c r="Z557" s="537"/>
      <c r="AA557" s="537"/>
      <c r="AB557" s="537"/>
      <c r="AC557" s="537"/>
      <c r="AD557" s="537"/>
      <c r="AE557" s="537"/>
      <c r="AF557" s="537"/>
      <c r="AG557" s="537"/>
      <c r="AH557" s="537"/>
      <c r="AI557" s="537"/>
      <c r="AJ557" s="537"/>
      <c r="AK557" s="537"/>
      <c r="AL557" s="537"/>
      <c r="AM557" s="537"/>
      <c r="AN557" s="537"/>
      <c r="AO557" s="537"/>
      <c r="AP557" s="537"/>
      <c r="AQ557" s="537"/>
      <c r="AR557" s="537"/>
      <c r="AS557" s="537"/>
      <c r="AT557" s="537"/>
      <c r="AU557" s="537"/>
      <c r="AV557" s="537"/>
      <c r="AW557" s="537"/>
      <c r="AX557" s="537"/>
      <c r="AY557" s="537"/>
      <c r="AZ557" s="537"/>
      <c r="BA557" s="537"/>
      <c r="BB557" s="537"/>
      <c r="BC557" s="537"/>
      <c r="BD557" s="537"/>
      <c r="BE557" s="537"/>
      <c r="BF557" s="537"/>
      <c r="BG557" s="537"/>
      <c r="BH557" s="537"/>
      <c r="BI557" s="537"/>
      <c r="BJ557" s="537"/>
      <c r="BK557" s="537"/>
      <c r="BL557" s="537"/>
      <c r="BM557" s="537"/>
      <c r="BN557" s="537"/>
      <c r="BO557" s="537"/>
      <c r="BP557" s="537"/>
      <c r="BQ557" s="537"/>
      <c r="BR557" s="537"/>
      <c r="BS557" s="537"/>
      <c r="BT557" s="537"/>
      <c r="BU557" s="537"/>
      <c r="BV557" s="537"/>
      <c r="BW557" s="537"/>
      <c r="BX557" s="537"/>
      <c r="BY557" s="537"/>
      <c r="BZ557" s="537"/>
      <c r="CA557" s="537"/>
      <c r="CB557" s="537"/>
    </row>
    <row r="558" spans="1:80" x14ac:dyDescent="0.3">
      <c r="A558" s="648"/>
      <c r="B558" s="648" t="s">
        <v>52</v>
      </c>
      <c r="C558" s="648" cm="1">
        <f t="array" ref="C558">SUMPRODUCT((Index_Tab!$D$36:$D$45=$B558)*(Index_Tab!$E$35:$F$35=$B$3)*Index_Tab!$E$36:$F$45)</f>
        <v>19</v>
      </c>
      <c r="D558" s="648"/>
      <c r="E558" s="2" t="s">
        <v>52</v>
      </c>
      <c r="F558" s="567"/>
      <c r="G558" s="567"/>
      <c r="H558" s="537"/>
      <c r="I558" s="544">
        <v>-1091257.0273839999</v>
      </c>
      <c r="J558" s="542">
        <f>(-'Detailed Assumptions'!$E$52*J571)*(1+'Detailed Assumptions'!F$48)</f>
        <v>-1003680</v>
      </c>
      <c r="K558" s="542">
        <f>J558*(1+'Detailed Assumptions'!G$48)</f>
        <v>-1023753.6</v>
      </c>
      <c r="L558" s="542">
        <f>K558*(1+'Detailed Assumptions'!H$48)</f>
        <v>-1044228.672</v>
      </c>
      <c r="M558" s="542">
        <f>L558*(1+'Detailed Assumptions'!I$48)</f>
        <v>-1065113.24544</v>
      </c>
      <c r="N558" s="542">
        <f>M558*(1+'Detailed Assumptions'!J$48)</f>
        <v>-1086415.5103488001</v>
      </c>
      <c r="O558" s="529"/>
      <c r="P558" s="564">
        <f>IFERROR(((N558/I558)^(1/5))-1,0)</f>
        <v>-8.8890735880575722E-4</v>
      </c>
      <c r="Q558" s="537"/>
      <c r="R558" s="527">
        <f t="shared" ref="R558:AW558" si="728">(INDEX($I558:$N558,MATCH(R$2,$I$3:$N$3,0)))/12</f>
        <v>-83640</v>
      </c>
      <c r="S558" s="527">
        <f t="shared" si="728"/>
        <v>-83640</v>
      </c>
      <c r="T558" s="527">
        <f t="shared" si="728"/>
        <v>-83640</v>
      </c>
      <c r="U558" s="527">
        <f t="shared" si="728"/>
        <v>-83640</v>
      </c>
      <c r="V558" s="527">
        <f t="shared" si="728"/>
        <v>-83640</v>
      </c>
      <c r="W558" s="527">
        <f t="shared" si="728"/>
        <v>-83640</v>
      </c>
      <c r="X558" s="527">
        <f t="shared" si="728"/>
        <v>-83640</v>
      </c>
      <c r="Y558" s="527">
        <f t="shared" si="728"/>
        <v>-83640</v>
      </c>
      <c r="Z558" s="527">
        <f t="shared" si="728"/>
        <v>-83640</v>
      </c>
      <c r="AA558" s="527">
        <f t="shared" si="728"/>
        <v>-83640</v>
      </c>
      <c r="AB558" s="527">
        <f t="shared" si="728"/>
        <v>-83640</v>
      </c>
      <c r="AC558" s="527">
        <f t="shared" si="728"/>
        <v>-83640</v>
      </c>
      <c r="AD558" s="527">
        <f t="shared" si="728"/>
        <v>-85312.8</v>
      </c>
      <c r="AE558" s="527">
        <f t="shared" si="728"/>
        <v>-85312.8</v>
      </c>
      <c r="AF558" s="527">
        <f t="shared" si="728"/>
        <v>-85312.8</v>
      </c>
      <c r="AG558" s="527">
        <f t="shared" si="728"/>
        <v>-85312.8</v>
      </c>
      <c r="AH558" s="527">
        <f t="shared" si="728"/>
        <v>-85312.8</v>
      </c>
      <c r="AI558" s="527">
        <f t="shared" si="728"/>
        <v>-85312.8</v>
      </c>
      <c r="AJ558" s="527">
        <f t="shared" si="728"/>
        <v>-85312.8</v>
      </c>
      <c r="AK558" s="527">
        <f t="shared" si="728"/>
        <v>-85312.8</v>
      </c>
      <c r="AL558" s="527">
        <f t="shared" si="728"/>
        <v>-85312.8</v>
      </c>
      <c r="AM558" s="527">
        <f t="shared" si="728"/>
        <v>-85312.8</v>
      </c>
      <c r="AN558" s="527">
        <f t="shared" si="728"/>
        <v>-85312.8</v>
      </c>
      <c r="AO558" s="527">
        <f t="shared" si="728"/>
        <v>-85312.8</v>
      </c>
      <c r="AP558" s="527">
        <f t="shared" si="728"/>
        <v>-87019.055999999997</v>
      </c>
      <c r="AQ558" s="527">
        <f t="shared" si="728"/>
        <v>-87019.055999999997</v>
      </c>
      <c r="AR558" s="527">
        <f t="shared" si="728"/>
        <v>-87019.055999999997</v>
      </c>
      <c r="AS558" s="527">
        <f t="shared" si="728"/>
        <v>-87019.055999999997</v>
      </c>
      <c r="AT558" s="527">
        <f t="shared" si="728"/>
        <v>-87019.055999999997</v>
      </c>
      <c r="AU558" s="527">
        <f t="shared" si="728"/>
        <v>-87019.055999999997</v>
      </c>
      <c r="AV558" s="527">
        <f t="shared" si="728"/>
        <v>-87019.055999999997</v>
      </c>
      <c r="AW558" s="527">
        <f t="shared" si="728"/>
        <v>-87019.055999999997</v>
      </c>
      <c r="AX558" s="527">
        <f t="shared" ref="AX558:BY558" si="729">(INDEX($I558:$N558,MATCH(AX$2,$I$3:$N$3,0)))/12</f>
        <v>-87019.055999999997</v>
      </c>
      <c r="AY558" s="527">
        <f t="shared" si="729"/>
        <v>-87019.055999999997</v>
      </c>
      <c r="AZ558" s="527">
        <f t="shared" si="729"/>
        <v>-87019.055999999997</v>
      </c>
      <c r="BA558" s="527">
        <f t="shared" si="729"/>
        <v>-87019.055999999997</v>
      </c>
      <c r="BB558" s="527">
        <f t="shared" si="729"/>
        <v>-88759.437120000002</v>
      </c>
      <c r="BC558" s="527">
        <f t="shared" si="729"/>
        <v>-88759.437120000002</v>
      </c>
      <c r="BD558" s="527">
        <f t="shared" si="729"/>
        <v>-88759.437120000002</v>
      </c>
      <c r="BE558" s="527">
        <f t="shared" si="729"/>
        <v>-88759.437120000002</v>
      </c>
      <c r="BF558" s="527">
        <f t="shared" si="729"/>
        <v>-88759.437120000002</v>
      </c>
      <c r="BG558" s="527">
        <f t="shared" si="729"/>
        <v>-88759.437120000002</v>
      </c>
      <c r="BH558" s="527">
        <f t="shared" si="729"/>
        <v>-88759.437120000002</v>
      </c>
      <c r="BI558" s="527">
        <f t="shared" si="729"/>
        <v>-88759.437120000002</v>
      </c>
      <c r="BJ558" s="527">
        <f t="shared" si="729"/>
        <v>-88759.437120000002</v>
      </c>
      <c r="BK558" s="527">
        <f t="shared" si="729"/>
        <v>-88759.437120000002</v>
      </c>
      <c r="BL558" s="527">
        <f t="shared" si="729"/>
        <v>-88759.437120000002</v>
      </c>
      <c r="BM558" s="527">
        <f t="shared" si="729"/>
        <v>-88759.437120000002</v>
      </c>
      <c r="BN558" s="527">
        <f t="shared" si="729"/>
        <v>-90534.625862400004</v>
      </c>
      <c r="BO558" s="527">
        <f t="shared" si="729"/>
        <v>-90534.625862400004</v>
      </c>
      <c r="BP558" s="527">
        <f t="shared" si="729"/>
        <v>-90534.625862400004</v>
      </c>
      <c r="BQ558" s="527">
        <f t="shared" si="729"/>
        <v>-90534.625862400004</v>
      </c>
      <c r="BR558" s="527">
        <f t="shared" si="729"/>
        <v>-90534.625862400004</v>
      </c>
      <c r="BS558" s="527">
        <f t="shared" si="729"/>
        <v>-90534.625862400004</v>
      </c>
      <c r="BT558" s="527">
        <f t="shared" si="729"/>
        <v>-90534.625862400004</v>
      </c>
      <c r="BU558" s="527">
        <f t="shared" si="729"/>
        <v>-90534.625862400004</v>
      </c>
      <c r="BV558" s="527">
        <f t="shared" si="729"/>
        <v>-90534.625862400004</v>
      </c>
      <c r="BW558" s="527">
        <f t="shared" si="729"/>
        <v>-90534.625862400004</v>
      </c>
      <c r="BX558" s="527">
        <f t="shared" si="729"/>
        <v>-90534.625862400004</v>
      </c>
      <c r="BY558" s="527">
        <f t="shared" si="729"/>
        <v>-90534.625862400004</v>
      </c>
      <c r="BZ558" s="537"/>
      <c r="CA558" s="537"/>
      <c r="CB558" s="537"/>
    </row>
    <row r="559" spans="1:80" x14ac:dyDescent="0.3">
      <c r="A559" s="648"/>
      <c r="B559" s="648" t="s">
        <v>53</v>
      </c>
      <c r="C559" s="648" cm="1">
        <f t="array" ref="C559">SUMPRODUCT((Index_Tab!$D$36:$D$45=$B559)*(Index_Tab!$E$35:$F$35=$B$3)*Index_Tab!$E$36:$F$45)</f>
        <v>20</v>
      </c>
      <c r="D559" s="648"/>
      <c r="E559" s="2" t="s">
        <v>69</v>
      </c>
      <c r="F559" s="567"/>
      <c r="G559" s="567"/>
      <c r="H559" s="537"/>
      <c r="I559" s="542" cm="1">
        <f t="array" ref="I559">I551*INDEX(('Detailed Assumptions'!$D$59:$J$79,'Detailed Assumptions'!$L$59:$R$79,'Detailed Assumptions'!$T$59:$Z$79,'Detailed Assumptions'!$AB$59:$AH$79),$C559,$I$2,$C$506)</f>
        <v>-188384.89074494538</v>
      </c>
      <c r="J559" s="527">
        <f>SUMIF($R$2:$BY$2,J$3,$R559:$BY559)</f>
        <v>-196283.92932130935</v>
      </c>
      <c r="K559" s="527">
        <f>SUMIF($R$2:$BY$2,K$3,$R559:$BY559)</f>
        <v>-204167.7869862876</v>
      </c>
      <c r="L559" s="527">
        <f>SUMIF($R$2:$BY$2,L$3,$R559:$BY559)</f>
        <v>-211986.4350684254</v>
      </c>
      <c r="M559" s="527">
        <f>SUMIF($R$2:$BY$2,M$3,$R559:$BY559)</f>
        <v>-219494.16553619702</v>
      </c>
      <c r="N559" s="527">
        <f>SUMIF($R$2:$BY$2,N$3,$R559:$BY559)</f>
        <v>-227083.24203812235</v>
      </c>
      <c r="O559" s="529"/>
      <c r="P559" s="564">
        <f>IFERROR(((N559/I559)^(1/5))-1,0)</f>
        <v>3.8072780961309505E-2</v>
      </c>
      <c r="Q559" s="537"/>
      <c r="R559" s="542" cm="1">
        <f t="array" ref="R559">R551*INDEX(('Detailed Assumptions'!$D$59:$J$79,'Detailed Assumptions'!$L$59:$R$79,'Detailed Assumptions'!$T$59:$Z$79,'Detailed Assumptions'!$AB$59:$AH$79),$C559,$I$2,$C$506)</f>
        <v>-16356.994110109117</v>
      </c>
      <c r="S559" s="542" cm="1">
        <f t="array" ref="S559">S551*INDEX(('Detailed Assumptions'!$D$59:$J$79,'Detailed Assumptions'!$L$59:$R$79,'Detailed Assumptions'!$T$59:$Z$79,'Detailed Assumptions'!$AB$59:$AH$79),$C559,$I$2,$C$506)</f>
        <v>-16356.994110109117</v>
      </c>
      <c r="T559" s="542" cm="1">
        <f t="array" ref="T559">T551*INDEX(('Detailed Assumptions'!$D$59:$J$79,'Detailed Assumptions'!$L$59:$R$79,'Detailed Assumptions'!$T$59:$Z$79,'Detailed Assumptions'!$AB$59:$AH$79),$C559,$I$2,$C$506)</f>
        <v>-16356.994110109117</v>
      </c>
      <c r="U559" s="542" cm="1">
        <f t="array" ref="U559">U551*INDEX(('Detailed Assumptions'!$D$59:$J$79,'Detailed Assumptions'!$L$59:$R$79,'Detailed Assumptions'!$T$59:$Z$79,'Detailed Assumptions'!$AB$59:$AH$79),$C559,$I$2,$C$506)</f>
        <v>-16356.994110109117</v>
      </c>
      <c r="V559" s="542" cm="1">
        <f t="array" ref="V559">V551*INDEX(('Detailed Assumptions'!$D$59:$J$79,'Detailed Assumptions'!$L$59:$R$79,'Detailed Assumptions'!$T$59:$Z$79,'Detailed Assumptions'!$AB$59:$AH$79),$C559,$I$2,$C$506)</f>
        <v>-16356.994110109117</v>
      </c>
      <c r="W559" s="542" cm="1">
        <f t="array" ref="W559">W551*INDEX(('Detailed Assumptions'!$D$59:$J$79,'Detailed Assumptions'!$L$59:$R$79,'Detailed Assumptions'!$T$59:$Z$79,'Detailed Assumptions'!$AB$59:$AH$79),$C559,$I$2,$C$506)</f>
        <v>-16356.994110109117</v>
      </c>
      <c r="X559" s="542" cm="1">
        <f t="array" ref="X559">X551*INDEX(('Detailed Assumptions'!$D$59:$J$79,'Detailed Assumptions'!$L$59:$R$79,'Detailed Assumptions'!$T$59:$Z$79,'Detailed Assumptions'!$AB$59:$AH$79),$C559,$I$2,$C$506)</f>
        <v>-16356.994110109117</v>
      </c>
      <c r="Y559" s="542" cm="1">
        <f t="array" ref="Y559">Y551*INDEX(('Detailed Assumptions'!$D$59:$J$79,'Detailed Assumptions'!$L$59:$R$79,'Detailed Assumptions'!$T$59:$Z$79,'Detailed Assumptions'!$AB$59:$AH$79),$C559,$I$2,$C$506)</f>
        <v>-16356.994110109117</v>
      </c>
      <c r="Z559" s="542" cm="1">
        <f t="array" ref="Z559">Z551*INDEX(('Detailed Assumptions'!$D$59:$J$79,'Detailed Assumptions'!$L$59:$R$79,'Detailed Assumptions'!$T$59:$Z$79,'Detailed Assumptions'!$AB$59:$AH$79),$C559,$I$2,$C$506)</f>
        <v>-16356.994110109117</v>
      </c>
      <c r="AA559" s="542" cm="1">
        <f t="array" ref="AA559">AA551*INDEX(('Detailed Assumptions'!$D$59:$J$79,'Detailed Assumptions'!$L$59:$R$79,'Detailed Assumptions'!$T$59:$Z$79,'Detailed Assumptions'!$AB$59:$AH$79),$C559,$I$2,$C$506)</f>
        <v>-16356.994110109117</v>
      </c>
      <c r="AB559" s="542" cm="1">
        <f t="array" ref="AB559">AB551*INDEX(('Detailed Assumptions'!$D$59:$J$79,'Detailed Assumptions'!$L$59:$R$79,'Detailed Assumptions'!$T$59:$Z$79,'Detailed Assumptions'!$AB$59:$AH$79),$C559,$I$2,$C$506)</f>
        <v>-16356.994110109117</v>
      </c>
      <c r="AC559" s="542" cm="1">
        <f t="array" ref="AC559">AC551*INDEX(('Detailed Assumptions'!$D$59:$J$79,'Detailed Assumptions'!$L$59:$R$79,'Detailed Assumptions'!$T$59:$Z$79,'Detailed Assumptions'!$AB$59:$AH$79),$C559,$I$2,$C$506)</f>
        <v>-16356.994110109117</v>
      </c>
      <c r="AD559" s="542" cm="1">
        <f t="array" ref="AD559">AD551*INDEX(('Detailed Assumptions'!$D$59:$J$79,'Detailed Assumptions'!$L$59:$R$79,'Detailed Assumptions'!$T$59:$Z$79,'Detailed Assumptions'!$AB$59:$AH$79),$C559,$I$2,$C$506)</f>
        <v>-17013.982248857301</v>
      </c>
      <c r="AE559" s="542" cm="1">
        <f t="array" ref="AE559">AE551*INDEX(('Detailed Assumptions'!$D$59:$J$79,'Detailed Assumptions'!$L$59:$R$79,'Detailed Assumptions'!$T$59:$Z$79,'Detailed Assumptions'!$AB$59:$AH$79),$C559,$I$2,$C$506)</f>
        <v>-17013.982248857301</v>
      </c>
      <c r="AF559" s="542" cm="1">
        <f t="array" ref="AF559">AF551*INDEX(('Detailed Assumptions'!$D$59:$J$79,'Detailed Assumptions'!$L$59:$R$79,'Detailed Assumptions'!$T$59:$Z$79,'Detailed Assumptions'!$AB$59:$AH$79),$C559,$I$2,$C$506)</f>
        <v>-17013.982248857301</v>
      </c>
      <c r="AG559" s="542" cm="1">
        <f t="array" ref="AG559">AG551*INDEX(('Detailed Assumptions'!$D$59:$J$79,'Detailed Assumptions'!$L$59:$R$79,'Detailed Assumptions'!$T$59:$Z$79,'Detailed Assumptions'!$AB$59:$AH$79),$C559,$I$2,$C$506)</f>
        <v>-17013.982248857301</v>
      </c>
      <c r="AH559" s="542" cm="1">
        <f t="array" ref="AH559">AH551*INDEX(('Detailed Assumptions'!$D$59:$J$79,'Detailed Assumptions'!$L$59:$R$79,'Detailed Assumptions'!$T$59:$Z$79,'Detailed Assumptions'!$AB$59:$AH$79),$C559,$I$2,$C$506)</f>
        <v>-17013.982248857301</v>
      </c>
      <c r="AI559" s="542" cm="1">
        <f t="array" ref="AI559">AI551*INDEX(('Detailed Assumptions'!$D$59:$J$79,'Detailed Assumptions'!$L$59:$R$79,'Detailed Assumptions'!$T$59:$Z$79,'Detailed Assumptions'!$AB$59:$AH$79),$C559,$I$2,$C$506)</f>
        <v>-17013.982248857301</v>
      </c>
      <c r="AJ559" s="542" cm="1">
        <f t="array" ref="AJ559">AJ551*INDEX(('Detailed Assumptions'!$D$59:$J$79,'Detailed Assumptions'!$L$59:$R$79,'Detailed Assumptions'!$T$59:$Z$79,'Detailed Assumptions'!$AB$59:$AH$79),$C559,$I$2,$C$506)</f>
        <v>-17013.982248857301</v>
      </c>
      <c r="AK559" s="542" cm="1">
        <f t="array" ref="AK559">AK551*INDEX(('Detailed Assumptions'!$D$59:$J$79,'Detailed Assumptions'!$L$59:$R$79,'Detailed Assumptions'!$T$59:$Z$79,'Detailed Assumptions'!$AB$59:$AH$79),$C559,$I$2,$C$506)</f>
        <v>-17013.982248857301</v>
      </c>
      <c r="AL559" s="542" cm="1">
        <f t="array" ref="AL559">AL551*INDEX(('Detailed Assumptions'!$D$59:$J$79,'Detailed Assumptions'!$L$59:$R$79,'Detailed Assumptions'!$T$59:$Z$79,'Detailed Assumptions'!$AB$59:$AH$79),$C559,$I$2,$C$506)</f>
        <v>-17013.982248857301</v>
      </c>
      <c r="AM559" s="542" cm="1">
        <f t="array" ref="AM559">AM551*INDEX(('Detailed Assumptions'!$D$59:$J$79,'Detailed Assumptions'!$L$59:$R$79,'Detailed Assumptions'!$T$59:$Z$79,'Detailed Assumptions'!$AB$59:$AH$79),$C559,$I$2,$C$506)</f>
        <v>-17013.982248857301</v>
      </c>
      <c r="AN559" s="542" cm="1">
        <f t="array" ref="AN559">AN551*INDEX(('Detailed Assumptions'!$D$59:$J$79,'Detailed Assumptions'!$L$59:$R$79,'Detailed Assumptions'!$T$59:$Z$79,'Detailed Assumptions'!$AB$59:$AH$79),$C559,$I$2,$C$506)</f>
        <v>-17013.982248857301</v>
      </c>
      <c r="AO559" s="542" cm="1">
        <f t="array" ref="AO559">AO551*INDEX(('Detailed Assumptions'!$D$59:$J$79,'Detailed Assumptions'!$L$59:$R$79,'Detailed Assumptions'!$T$59:$Z$79,'Detailed Assumptions'!$AB$59:$AH$79),$C559,$I$2,$C$506)</f>
        <v>-17013.982248857301</v>
      </c>
      <c r="AP559" s="542" cm="1">
        <f t="array" ref="AP559">AP551*INDEX(('Detailed Assumptions'!$D$59:$J$79,'Detailed Assumptions'!$L$59:$R$79,'Detailed Assumptions'!$T$59:$Z$79,'Detailed Assumptions'!$AB$59:$AH$79),$C559,$I$2,$C$506)</f>
        <v>-17665.536255702118</v>
      </c>
      <c r="AQ559" s="542" cm="1">
        <f t="array" ref="AQ559">AQ551*INDEX(('Detailed Assumptions'!$D$59:$J$79,'Detailed Assumptions'!$L$59:$R$79,'Detailed Assumptions'!$T$59:$Z$79,'Detailed Assumptions'!$AB$59:$AH$79),$C559,$I$2,$C$506)</f>
        <v>-17665.536255702118</v>
      </c>
      <c r="AR559" s="542" cm="1">
        <f t="array" ref="AR559">AR551*INDEX(('Detailed Assumptions'!$D$59:$J$79,'Detailed Assumptions'!$L$59:$R$79,'Detailed Assumptions'!$T$59:$Z$79,'Detailed Assumptions'!$AB$59:$AH$79),$C559,$I$2,$C$506)</f>
        <v>-17665.536255702118</v>
      </c>
      <c r="AS559" s="542" cm="1">
        <f t="array" ref="AS559">AS551*INDEX(('Detailed Assumptions'!$D$59:$J$79,'Detailed Assumptions'!$L$59:$R$79,'Detailed Assumptions'!$T$59:$Z$79,'Detailed Assumptions'!$AB$59:$AH$79),$C559,$I$2,$C$506)</f>
        <v>-17665.536255702118</v>
      </c>
      <c r="AT559" s="542" cm="1">
        <f t="array" ref="AT559">AT551*INDEX(('Detailed Assumptions'!$D$59:$J$79,'Detailed Assumptions'!$L$59:$R$79,'Detailed Assumptions'!$T$59:$Z$79,'Detailed Assumptions'!$AB$59:$AH$79),$C559,$I$2,$C$506)</f>
        <v>-17665.536255702118</v>
      </c>
      <c r="AU559" s="542" cm="1">
        <f t="array" ref="AU559">AU551*INDEX(('Detailed Assumptions'!$D$59:$J$79,'Detailed Assumptions'!$L$59:$R$79,'Detailed Assumptions'!$T$59:$Z$79,'Detailed Assumptions'!$AB$59:$AH$79),$C559,$I$2,$C$506)</f>
        <v>-17665.536255702118</v>
      </c>
      <c r="AV559" s="542" cm="1">
        <f t="array" ref="AV559">AV551*INDEX(('Detailed Assumptions'!$D$59:$J$79,'Detailed Assumptions'!$L$59:$R$79,'Detailed Assumptions'!$T$59:$Z$79,'Detailed Assumptions'!$AB$59:$AH$79),$C559,$I$2,$C$506)</f>
        <v>-17665.536255702118</v>
      </c>
      <c r="AW559" s="542" cm="1">
        <f t="array" ref="AW559">AW551*INDEX(('Detailed Assumptions'!$D$59:$J$79,'Detailed Assumptions'!$L$59:$R$79,'Detailed Assumptions'!$T$59:$Z$79,'Detailed Assumptions'!$AB$59:$AH$79),$C559,$I$2,$C$506)</f>
        <v>-17665.536255702118</v>
      </c>
      <c r="AX559" s="542" cm="1">
        <f t="array" ref="AX559">AX551*INDEX(('Detailed Assumptions'!$D$59:$J$79,'Detailed Assumptions'!$L$59:$R$79,'Detailed Assumptions'!$T$59:$Z$79,'Detailed Assumptions'!$AB$59:$AH$79),$C559,$I$2,$C$506)</f>
        <v>-17665.536255702118</v>
      </c>
      <c r="AY559" s="542" cm="1">
        <f t="array" ref="AY559">AY551*INDEX(('Detailed Assumptions'!$D$59:$J$79,'Detailed Assumptions'!$L$59:$R$79,'Detailed Assumptions'!$T$59:$Z$79,'Detailed Assumptions'!$AB$59:$AH$79),$C559,$I$2,$C$506)</f>
        <v>-17665.536255702118</v>
      </c>
      <c r="AZ559" s="542" cm="1">
        <f t="array" ref="AZ559">AZ551*INDEX(('Detailed Assumptions'!$D$59:$J$79,'Detailed Assumptions'!$L$59:$R$79,'Detailed Assumptions'!$T$59:$Z$79,'Detailed Assumptions'!$AB$59:$AH$79),$C559,$I$2,$C$506)</f>
        <v>-17665.536255702118</v>
      </c>
      <c r="BA559" s="542" cm="1">
        <f t="array" ref="BA559">BA551*INDEX(('Detailed Assumptions'!$D$59:$J$79,'Detailed Assumptions'!$L$59:$R$79,'Detailed Assumptions'!$T$59:$Z$79,'Detailed Assumptions'!$AB$59:$AH$79),$C559,$I$2,$C$506)</f>
        <v>-17665.536255702118</v>
      </c>
      <c r="BB559" s="542" cm="1">
        <f t="array" ref="BB559">BB551*INDEX(('Detailed Assumptions'!$D$59:$J$79,'Detailed Assumptions'!$L$59:$R$79,'Detailed Assumptions'!$T$59:$Z$79,'Detailed Assumptions'!$AB$59:$AH$79),$C559,$I$2,$C$506)</f>
        <v>-18291.180461349752</v>
      </c>
      <c r="BC559" s="542" cm="1">
        <f t="array" ref="BC559">BC551*INDEX(('Detailed Assumptions'!$D$59:$J$79,'Detailed Assumptions'!$L$59:$R$79,'Detailed Assumptions'!$T$59:$Z$79,'Detailed Assumptions'!$AB$59:$AH$79),$C559,$I$2,$C$506)</f>
        <v>-18291.180461349752</v>
      </c>
      <c r="BD559" s="542" cm="1">
        <f t="array" ref="BD559">BD551*INDEX(('Detailed Assumptions'!$D$59:$J$79,'Detailed Assumptions'!$L$59:$R$79,'Detailed Assumptions'!$T$59:$Z$79,'Detailed Assumptions'!$AB$59:$AH$79),$C559,$I$2,$C$506)</f>
        <v>-18291.180461349752</v>
      </c>
      <c r="BE559" s="542" cm="1">
        <f t="array" ref="BE559">BE551*INDEX(('Detailed Assumptions'!$D$59:$J$79,'Detailed Assumptions'!$L$59:$R$79,'Detailed Assumptions'!$T$59:$Z$79,'Detailed Assumptions'!$AB$59:$AH$79),$C559,$I$2,$C$506)</f>
        <v>-18291.180461349752</v>
      </c>
      <c r="BF559" s="542" cm="1">
        <f t="array" ref="BF559">BF551*INDEX(('Detailed Assumptions'!$D$59:$J$79,'Detailed Assumptions'!$L$59:$R$79,'Detailed Assumptions'!$T$59:$Z$79,'Detailed Assumptions'!$AB$59:$AH$79),$C559,$I$2,$C$506)</f>
        <v>-18291.180461349752</v>
      </c>
      <c r="BG559" s="542" cm="1">
        <f t="array" ref="BG559">BG551*INDEX(('Detailed Assumptions'!$D$59:$J$79,'Detailed Assumptions'!$L$59:$R$79,'Detailed Assumptions'!$T$59:$Z$79,'Detailed Assumptions'!$AB$59:$AH$79),$C559,$I$2,$C$506)</f>
        <v>-18291.180461349752</v>
      </c>
      <c r="BH559" s="542" cm="1">
        <f t="array" ref="BH559">BH551*INDEX(('Detailed Assumptions'!$D$59:$J$79,'Detailed Assumptions'!$L$59:$R$79,'Detailed Assumptions'!$T$59:$Z$79,'Detailed Assumptions'!$AB$59:$AH$79),$C559,$I$2,$C$506)</f>
        <v>-18291.180461349752</v>
      </c>
      <c r="BI559" s="542" cm="1">
        <f t="array" ref="BI559">BI551*INDEX(('Detailed Assumptions'!$D$59:$J$79,'Detailed Assumptions'!$L$59:$R$79,'Detailed Assumptions'!$T$59:$Z$79,'Detailed Assumptions'!$AB$59:$AH$79),$C559,$I$2,$C$506)</f>
        <v>-18291.180461349752</v>
      </c>
      <c r="BJ559" s="542" cm="1">
        <f t="array" ref="BJ559">BJ551*INDEX(('Detailed Assumptions'!$D$59:$J$79,'Detailed Assumptions'!$L$59:$R$79,'Detailed Assumptions'!$T$59:$Z$79,'Detailed Assumptions'!$AB$59:$AH$79),$C559,$I$2,$C$506)</f>
        <v>-18291.180461349752</v>
      </c>
      <c r="BK559" s="542" cm="1">
        <f t="array" ref="BK559">BK551*INDEX(('Detailed Assumptions'!$D$59:$J$79,'Detailed Assumptions'!$L$59:$R$79,'Detailed Assumptions'!$T$59:$Z$79,'Detailed Assumptions'!$AB$59:$AH$79),$C559,$I$2,$C$506)</f>
        <v>-18291.180461349752</v>
      </c>
      <c r="BL559" s="542" cm="1">
        <f t="array" ref="BL559">BL551*INDEX(('Detailed Assumptions'!$D$59:$J$79,'Detailed Assumptions'!$L$59:$R$79,'Detailed Assumptions'!$T$59:$Z$79,'Detailed Assumptions'!$AB$59:$AH$79),$C559,$I$2,$C$506)</f>
        <v>-18291.180461349752</v>
      </c>
      <c r="BM559" s="542" cm="1">
        <f t="array" ref="BM559">BM551*INDEX(('Detailed Assumptions'!$D$59:$J$79,'Detailed Assumptions'!$L$59:$R$79,'Detailed Assumptions'!$T$59:$Z$79,'Detailed Assumptions'!$AB$59:$AH$79),$C559,$I$2,$C$506)</f>
        <v>-18291.180461349752</v>
      </c>
      <c r="BN559" s="542" cm="1">
        <f t="array" ref="BN559">BN551*INDEX(('Detailed Assumptions'!$D$59:$J$79,'Detailed Assumptions'!$L$59:$R$79,'Detailed Assumptions'!$T$59:$Z$79,'Detailed Assumptions'!$AB$59:$AH$79),$C559,$I$2,$C$506)</f>
        <v>-18923.603503176866</v>
      </c>
      <c r="BO559" s="542" cm="1">
        <f t="array" ref="BO559">BO551*INDEX(('Detailed Assumptions'!$D$59:$J$79,'Detailed Assumptions'!$L$59:$R$79,'Detailed Assumptions'!$T$59:$Z$79,'Detailed Assumptions'!$AB$59:$AH$79),$C559,$I$2,$C$506)</f>
        <v>-18923.603503176866</v>
      </c>
      <c r="BP559" s="542" cm="1">
        <f t="array" ref="BP559">BP551*INDEX(('Detailed Assumptions'!$D$59:$J$79,'Detailed Assumptions'!$L$59:$R$79,'Detailed Assumptions'!$T$59:$Z$79,'Detailed Assumptions'!$AB$59:$AH$79),$C559,$I$2,$C$506)</f>
        <v>-18923.603503176866</v>
      </c>
      <c r="BQ559" s="542" cm="1">
        <f t="array" ref="BQ559">BQ551*INDEX(('Detailed Assumptions'!$D$59:$J$79,'Detailed Assumptions'!$L$59:$R$79,'Detailed Assumptions'!$T$59:$Z$79,'Detailed Assumptions'!$AB$59:$AH$79),$C559,$I$2,$C$506)</f>
        <v>-18923.603503176866</v>
      </c>
      <c r="BR559" s="542" cm="1">
        <f t="array" ref="BR559">BR551*INDEX(('Detailed Assumptions'!$D$59:$J$79,'Detailed Assumptions'!$L$59:$R$79,'Detailed Assumptions'!$T$59:$Z$79,'Detailed Assumptions'!$AB$59:$AH$79),$C559,$I$2,$C$506)</f>
        <v>-18923.603503176866</v>
      </c>
      <c r="BS559" s="542" cm="1">
        <f t="array" ref="BS559">BS551*INDEX(('Detailed Assumptions'!$D$59:$J$79,'Detailed Assumptions'!$L$59:$R$79,'Detailed Assumptions'!$T$59:$Z$79,'Detailed Assumptions'!$AB$59:$AH$79),$C559,$I$2,$C$506)</f>
        <v>-18923.603503176866</v>
      </c>
      <c r="BT559" s="542" cm="1">
        <f t="array" ref="BT559">BT551*INDEX(('Detailed Assumptions'!$D$59:$J$79,'Detailed Assumptions'!$L$59:$R$79,'Detailed Assumptions'!$T$59:$Z$79,'Detailed Assumptions'!$AB$59:$AH$79),$C559,$I$2,$C$506)</f>
        <v>-18923.603503176866</v>
      </c>
      <c r="BU559" s="542" cm="1">
        <f t="array" ref="BU559">BU551*INDEX(('Detailed Assumptions'!$D$59:$J$79,'Detailed Assumptions'!$L$59:$R$79,'Detailed Assumptions'!$T$59:$Z$79,'Detailed Assumptions'!$AB$59:$AH$79),$C559,$I$2,$C$506)</f>
        <v>-18923.603503176866</v>
      </c>
      <c r="BV559" s="542" cm="1">
        <f t="array" ref="BV559">BV551*INDEX(('Detailed Assumptions'!$D$59:$J$79,'Detailed Assumptions'!$L$59:$R$79,'Detailed Assumptions'!$T$59:$Z$79,'Detailed Assumptions'!$AB$59:$AH$79),$C559,$I$2,$C$506)</f>
        <v>-18923.603503176866</v>
      </c>
      <c r="BW559" s="542" cm="1">
        <f t="array" ref="BW559">BW551*INDEX(('Detailed Assumptions'!$D$59:$J$79,'Detailed Assumptions'!$L$59:$R$79,'Detailed Assumptions'!$T$59:$Z$79,'Detailed Assumptions'!$AB$59:$AH$79),$C559,$I$2,$C$506)</f>
        <v>-18923.603503176866</v>
      </c>
      <c r="BX559" s="542" cm="1">
        <f t="array" ref="BX559">BX551*INDEX(('Detailed Assumptions'!$D$59:$J$79,'Detailed Assumptions'!$L$59:$R$79,'Detailed Assumptions'!$T$59:$Z$79,'Detailed Assumptions'!$AB$59:$AH$79),$C559,$I$2,$C$506)</f>
        <v>-18923.603503176866</v>
      </c>
      <c r="BY559" s="542" cm="1">
        <f t="array" ref="BY559">BY551*INDEX(('Detailed Assumptions'!$D$59:$J$79,'Detailed Assumptions'!$L$59:$R$79,'Detailed Assumptions'!$T$59:$Z$79,'Detailed Assumptions'!$AB$59:$AH$79),$C559,$I$2,$C$506)</f>
        <v>-18923.603503176866</v>
      </c>
      <c r="BZ559" s="537"/>
      <c r="CA559" s="537"/>
      <c r="CB559" s="537"/>
    </row>
    <row r="560" spans="1:80" x14ac:dyDescent="0.3">
      <c r="A560" s="648"/>
      <c r="B560" s="648"/>
      <c r="C560" s="648" cm="1">
        <f t="array" ref="C560">SUMPRODUCT((Index_Tab!$D$36:$D$45=$B560)*(Index_Tab!$E$35:$F$35=$B$3)*Index_Tab!$E$36:$F$45)</f>
        <v>0</v>
      </c>
      <c r="D560" s="648"/>
      <c r="E560" s="2" t="s">
        <v>184</v>
      </c>
      <c r="F560" s="567"/>
      <c r="G560" s="567"/>
      <c r="H560" s="537"/>
      <c r="I560" s="528">
        <v>0</v>
      </c>
      <c r="J560" s="528">
        <v>0</v>
      </c>
      <c r="K560" s="528">
        <v>0</v>
      </c>
      <c r="L560" s="528">
        <v>0</v>
      </c>
      <c r="M560" s="528">
        <v>0</v>
      </c>
      <c r="N560" s="528">
        <v>0</v>
      </c>
      <c r="O560" s="544"/>
      <c r="P560" s="564">
        <f>IFERROR(((N560/I560)^(1/5))-1,0)</f>
        <v>0</v>
      </c>
      <c r="Q560" s="537"/>
      <c r="R560" s="528">
        <v>0</v>
      </c>
      <c r="S560" s="528">
        <v>0</v>
      </c>
      <c r="T560" s="528">
        <v>0</v>
      </c>
      <c r="U560" s="528">
        <v>0</v>
      </c>
      <c r="V560" s="528">
        <v>0</v>
      </c>
      <c r="W560" s="528">
        <v>0</v>
      </c>
      <c r="X560" s="528">
        <v>0</v>
      </c>
      <c r="Y560" s="528">
        <v>0</v>
      </c>
      <c r="Z560" s="528">
        <v>0</v>
      </c>
      <c r="AA560" s="528">
        <v>0</v>
      </c>
      <c r="AB560" s="528">
        <v>0</v>
      </c>
      <c r="AC560" s="528">
        <v>0</v>
      </c>
      <c r="AD560" s="528">
        <v>0</v>
      </c>
      <c r="AE560" s="528">
        <v>0</v>
      </c>
      <c r="AF560" s="528">
        <v>0</v>
      </c>
      <c r="AG560" s="528">
        <v>0</v>
      </c>
      <c r="AH560" s="528">
        <v>0</v>
      </c>
      <c r="AI560" s="528">
        <v>0</v>
      </c>
      <c r="AJ560" s="528">
        <v>0</v>
      </c>
      <c r="AK560" s="528">
        <v>0</v>
      </c>
      <c r="AL560" s="528">
        <v>0</v>
      </c>
      <c r="AM560" s="528">
        <v>0</v>
      </c>
      <c r="AN560" s="528">
        <v>0</v>
      </c>
      <c r="AO560" s="528">
        <v>0</v>
      </c>
      <c r="AP560" s="528">
        <v>0</v>
      </c>
      <c r="AQ560" s="528">
        <v>0</v>
      </c>
      <c r="AR560" s="528">
        <v>0</v>
      </c>
      <c r="AS560" s="528">
        <v>0</v>
      </c>
      <c r="AT560" s="528">
        <v>0</v>
      </c>
      <c r="AU560" s="528">
        <v>0</v>
      </c>
      <c r="AV560" s="528">
        <v>0</v>
      </c>
      <c r="AW560" s="528">
        <v>0</v>
      </c>
      <c r="AX560" s="528">
        <v>0</v>
      </c>
      <c r="AY560" s="528">
        <v>0</v>
      </c>
      <c r="AZ560" s="528">
        <v>0</v>
      </c>
      <c r="BA560" s="528">
        <v>0</v>
      </c>
      <c r="BB560" s="528">
        <v>0</v>
      </c>
      <c r="BC560" s="528">
        <v>0</v>
      </c>
      <c r="BD560" s="528">
        <v>0</v>
      </c>
      <c r="BE560" s="528">
        <v>0</v>
      </c>
      <c r="BF560" s="528">
        <v>0</v>
      </c>
      <c r="BG560" s="528">
        <v>0</v>
      </c>
      <c r="BH560" s="528">
        <v>0</v>
      </c>
      <c r="BI560" s="528">
        <v>0</v>
      </c>
      <c r="BJ560" s="528">
        <v>0</v>
      </c>
      <c r="BK560" s="528">
        <v>0</v>
      </c>
      <c r="BL560" s="528">
        <v>0</v>
      </c>
      <c r="BM560" s="528">
        <v>0</v>
      </c>
      <c r="BN560" s="528">
        <v>0</v>
      </c>
      <c r="BO560" s="528">
        <v>0</v>
      </c>
      <c r="BP560" s="528">
        <v>0</v>
      </c>
      <c r="BQ560" s="528">
        <v>0</v>
      </c>
      <c r="BR560" s="528">
        <v>0</v>
      </c>
      <c r="BS560" s="528">
        <v>0</v>
      </c>
      <c r="BT560" s="528">
        <v>0</v>
      </c>
      <c r="BU560" s="528">
        <v>0</v>
      </c>
      <c r="BV560" s="528">
        <v>0</v>
      </c>
      <c r="BW560" s="528">
        <v>0</v>
      </c>
      <c r="BX560" s="528">
        <v>0</v>
      </c>
      <c r="BY560" s="528">
        <v>0</v>
      </c>
      <c r="BZ560" s="537"/>
      <c r="CA560" s="537"/>
      <c r="CB560" s="537"/>
    </row>
    <row r="561" spans="1:77" x14ac:dyDescent="0.3">
      <c r="A561" s="648"/>
      <c r="B561" s="648"/>
      <c r="C561" s="648" cm="1">
        <f t="array" ref="C561">SUMPRODUCT((Index_Tab!$D$36:$D$45=$B561)*(Index_Tab!$E$35:$F$35=$B$3)*Index_Tab!$E$36:$F$45)</f>
        <v>0</v>
      </c>
      <c r="D561" s="648"/>
      <c r="E561" s="62" t="s">
        <v>293</v>
      </c>
      <c r="F561" s="579"/>
      <c r="G561" s="579"/>
      <c r="H561" s="537"/>
      <c r="I561" s="535">
        <f t="shared" ref="I561:N561" si="730">I555+SUM(I558:I560)</f>
        <v>10209250.798200747</v>
      </c>
      <c r="J561" s="535">
        <f t="shared" si="730"/>
        <v>10789125.102081053</v>
      </c>
      <c r="K561" s="535">
        <f t="shared" si="730"/>
        <v>11261348.650701495</v>
      </c>
      <c r="L561" s="535">
        <f t="shared" si="730"/>
        <v>11730234.118822854</v>
      </c>
      <c r="M561" s="535">
        <f t="shared" si="730"/>
        <v>12179897.545606568</v>
      </c>
      <c r="N561" s="535">
        <f t="shared" si="730"/>
        <v>12634276.592934702</v>
      </c>
      <c r="O561" s="544"/>
      <c r="P561" s="568">
        <f>IFERROR(((N561/I561)^(1/5))-1,0)</f>
        <v>4.3545288264569937E-2</v>
      </c>
      <c r="Q561" s="537"/>
      <c r="R561" s="535">
        <f t="shared" ref="R561:AW561" si="731">R555+SUM(R558:R560)</f>
        <v>899093.75850675441</v>
      </c>
      <c r="S561" s="535">
        <f t="shared" si="731"/>
        <v>899093.75850675441</v>
      </c>
      <c r="T561" s="535">
        <f t="shared" si="731"/>
        <v>899093.75850675441</v>
      </c>
      <c r="U561" s="535">
        <f t="shared" si="731"/>
        <v>899093.75850675441</v>
      </c>
      <c r="V561" s="535">
        <f t="shared" si="731"/>
        <v>899093.75850675441</v>
      </c>
      <c r="W561" s="535">
        <f t="shared" si="731"/>
        <v>899093.75850675441</v>
      </c>
      <c r="X561" s="535">
        <f t="shared" si="731"/>
        <v>899093.75850675441</v>
      </c>
      <c r="Y561" s="535">
        <f t="shared" si="731"/>
        <v>899093.75850675441</v>
      </c>
      <c r="Z561" s="535">
        <f t="shared" si="731"/>
        <v>899093.75850675441</v>
      </c>
      <c r="AA561" s="535">
        <f t="shared" si="731"/>
        <v>899093.75850675441</v>
      </c>
      <c r="AB561" s="535">
        <f t="shared" si="731"/>
        <v>899093.75850675441</v>
      </c>
      <c r="AC561" s="535">
        <f t="shared" si="731"/>
        <v>899093.75850675441</v>
      </c>
      <c r="AD561" s="535">
        <f t="shared" si="731"/>
        <v>938445.72089179105</v>
      </c>
      <c r="AE561" s="535">
        <f t="shared" si="731"/>
        <v>938445.72089179105</v>
      </c>
      <c r="AF561" s="535">
        <f t="shared" si="731"/>
        <v>938445.72089179105</v>
      </c>
      <c r="AG561" s="535">
        <f t="shared" si="731"/>
        <v>938445.72089179105</v>
      </c>
      <c r="AH561" s="535">
        <f t="shared" si="731"/>
        <v>938445.72089179105</v>
      </c>
      <c r="AI561" s="535">
        <f t="shared" si="731"/>
        <v>938445.72089179105</v>
      </c>
      <c r="AJ561" s="535">
        <f t="shared" si="731"/>
        <v>938445.72089179105</v>
      </c>
      <c r="AK561" s="535">
        <f t="shared" si="731"/>
        <v>938445.72089179105</v>
      </c>
      <c r="AL561" s="535">
        <f t="shared" si="731"/>
        <v>938445.72089179105</v>
      </c>
      <c r="AM561" s="535">
        <f t="shared" si="731"/>
        <v>938445.72089179105</v>
      </c>
      <c r="AN561" s="535">
        <f t="shared" si="731"/>
        <v>938445.72089179105</v>
      </c>
      <c r="AO561" s="535">
        <f t="shared" si="731"/>
        <v>938445.72089179105</v>
      </c>
      <c r="AP561" s="535">
        <f t="shared" si="731"/>
        <v>977519.50990190462</v>
      </c>
      <c r="AQ561" s="535">
        <f t="shared" si="731"/>
        <v>977519.50990190462</v>
      </c>
      <c r="AR561" s="535">
        <f t="shared" si="731"/>
        <v>977519.50990190462</v>
      </c>
      <c r="AS561" s="535">
        <f t="shared" si="731"/>
        <v>977519.50990190462</v>
      </c>
      <c r="AT561" s="535">
        <f t="shared" si="731"/>
        <v>977519.50990190462</v>
      </c>
      <c r="AU561" s="535">
        <f t="shared" si="731"/>
        <v>977519.50990190462</v>
      </c>
      <c r="AV561" s="535">
        <f t="shared" si="731"/>
        <v>977519.50990190462</v>
      </c>
      <c r="AW561" s="535">
        <f t="shared" si="731"/>
        <v>977519.50990190462</v>
      </c>
      <c r="AX561" s="535">
        <f t="shared" ref="AX561:BY561" si="732">AX555+SUM(AX558:AX560)</f>
        <v>977519.50990190462</v>
      </c>
      <c r="AY561" s="535">
        <f t="shared" si="732"/>
        <v>977519.50990190462</v>
      </c>
      <c r="AZ561" s="535">
        <f t="shared" si="732"/>
        <v>977519.50990190462</v>
      </c>
      <c r="BA561" s="535">
        <f t="shared" si="732"/>
        <v>977519.50990190462</v>
      </c>
      <c r="BB561" s="535">
        <f t="shared" si="732"/>
        <v>1014991.4621338802</v>
      </c>
      <c r="BC561" s="535">
        <f t="shared" si="732"/>
        <v>1014991.4621338802</v>
      </c>
      <c r="BD561" s="535">
        <f t="shared" si="732"/>
        <v>1014991.4621338802</v>
      </c>
      <c r="BE561" s="535">
        <f t="shared" si="732"/>
        <v>1014991.4621338802</v>
      </c>
      <c r="BF561" s="535">
        <f t="shared" si="732"/>
        <v>1014991.4621338802</v>
      </c>
      <c r="BG561" s="535">
        <f t="shared" si="732"/>
        <v>1014991.4621338802</v>
      </c>
      <c r="BH561" s="535">
        <f t="shared" si="732"/>
        <v>1014991.4621338802</v>
      </c>
      <c r="BI561" s="535">
        <f t="shared" si="732"/>
        <v>1014991.4621338802</v>
      </c>
      <c r="BJ561" s="535">
        <f t="shared" si="732"/>
        <v>1014991.4621338802</v>
      </c>
      <c r="BK561" s="535">
        <f t="shared" si="732"/>
        <v>1014991.4621338802</v>
      </c>
      <c r="BL561" s="535">
        <f t="shared" si="732"/>
        <v>1014991.4621338802</v>
      </c>
      <c r="BM561" s="535">
        <f t="shared" si="732"/>
        <v>1014991.4621338802</v>
      </c>
      <c r="BN561" s="535">
        <f t="shared" si="732"/>
        <v>1052856.3827445582</v>
      </c>
      <c r="BO561" s="535">
        <f t="shared" si="732"/>
        <v>1052856.3827445582</v>
      </c>
      <c r="BP561" s="535">
        <f t="shared" si="732"/>
        <v>1052856.3827445582</v>
      </c>
      <c r="BQ561" s="535">
        <f t="shared" si="732"/>
        <v>1052856.3827445582</v>
      </c>
      <c r="BR561" s="535">
        <f t="shared" si="732"/>
        <v>1052856.3827445582</v>
      </c>
      <c r="BS561" s="535">
        <f t="shared" si="732"/>
        <v>1052856.3827445582</v>
      </c>
      <c r="BT561" s="535">
        <f t="shared" si="732"/>
        <v>1052856.3827445582</v>
      </c>
      <c r="BU561" s="535">
        <f t="shared" si="732"/>
        <v>1052856.3827445582</v>
      </c>
      <c r="BV561" s="535">
        <f t="shared" si="732"/>
        <v>1052856.3827445582</v>
      </c>
      <c r="BW561" s="535">
        <f t="shared" si="732"/>
        <v>1052856.3827445582</v>
      </c>
      <c r="BX561" s="535">
        <f t="shared" si="732"/>
        <v>1052856.3827445582</v>
      </c>
      <c r="BY561" s="535">
        <f t="shared" si="732"/>
        <v>1052856.3827445582</v>
      </c>
    </row>
    <row r="562" spans="1:77" x14ac:dyDescent="0.3">
      <c r="A562" s="648"/>
      <c r="B562" s="648"/>
      <c r="C562" s="648" cm="1">
        <f t="array" ref="C562">SUMPRODUCT((Index_Tab!$D$36:$D$45=$B562)*(Index_Tab!$E$35:$F$35=$B$3)*Index_Tab!$E$36:$F$45)</f>
        <v>0</v>
      </c>
      <c r="D562" s="648"/>
      <c r="E562" s="2" t="s">
        <v>407</v>
      </c>
      <c r="F562" s="567"/>
      <c r="G562" s="567"/>
      <c r="H562" s="537"/>
      <c r="I562" s="531">
        <f t="shared" ref="I562:N562" si="733">I561/I551</f>
        <v>0.81290363238496677</v>
      </c>
      <c r="J562" s="531">
        <f t="shared" si="733"/>
        <v>0.82450395756187922</v>
      </c>
      <c r="K562" s="531">
        <f t="shared" si="733"/>
        <v>0.8273598507088068</v>
      </c>
      <c r="L562" s="531">
        <f t="shared" si="733"/>
        <v>0.8300225046265256</v>
      </c>
      <c r="M562" s="531">
        <f t="shared" si="733"/>
        <v>0.83236136476698031</v>
      </c>
      <c r="N562" s="531">
        <f t="shared" si="733"/>
        <v>0.83455805542095063</v>
      </c>
      <c r="O562" s="536"/>
      <c r="P562" s="564">
        <f>IFERROR(((N562/I562)^(1/5))-1,0)</f>
        <v>5.2717953920269345E-3</v>
      </c>
      <c r="Q562" s="537"/>
      <c r="R562" s="531">
        <f t="shared" ref="R562:AW562" si="734">R561/R551</f>
        <v>0.82450395756187922</v>
      </c>
      <c r="S562" s="531">
        <f t="shared" si="734"/>
        <v>0.82450395756187922</v>
      </c>
      <c r="T562" s="531">
        <f t="shared" si="734"/>
        <v>0.82450395756187922</v>
      </c>
      <c r="U562" s="531">
        <f t="shared" si="734"/>
        <v>0.82450395756187922</v>
      </c>
      <c r="V562" s="531">
        <f t="shared" si="734"/>
        <v>0.82450395756187922</v>
      </c>
      <c r="W562" s="531">
        <f t="shared" si="734"/>
        <v>0.82450395756187922</v>
      </c>
      <c r="X562" s="531">
        <f t="shared" si="734"/>
        <v>0.82450395756187922</v>
      </c>
      <c r="Y562" s="531">
        <f t="shared" si="734"/>
        <v>0.82450395756187922</v>
      </c>
      <c r="Z562" s="531">
        <f t="shared" si="734"/>
        <v>0.82450395756187922</v>
      </c>
      <c r="AA562" s="531">
        <f t="shared" si="734"/>
        <v>0.82450395756187922</v>
      </c>
      <c r="AB562" s="531">
        <f t="shared" si="734"/>
        <v>0.82450395756187922</v>
      </c>
      <c r="AC562" s="531">
        <f t="shared" si="734"/>
        <v>0.82450395756187922</v>
      </c>
      <c r="AD562" s="531">
        <f t="shared" si="734"/>
        <v>0.82735985070880669</v>
      </c>
      <c r="AE562" s="531">
        <f t="shared" si="734"/>
        <v>0.82735985070880669</v>
      </c>
      <c r="AF562" s="531">
        <f t="shared" si="734"/>
        <v>0.82735985070880669</v>
      </c>
      <c r="AG562" s="531">
        <f t="shared" si="734"/>
        <v>0.82735985070880669</v>
      </c>
      <c r="AH562" s="531">
        <f t="shared" si="734"/>
        <v>0.82735985070880669</v>
      </c>
      <c r="AI562" s="531">
        <f t="shared" si="734"/>
        <v>0.82735985070880669</v>
      </c>
      <c r="AJ562" s="531">
        <f t="shared" si="734"/>
        <v>0.82735985070880669</v>
      </c>
      <c r="AK562" s="531">
        <f t="shared" si="734"/>
        <v>0.82735985070880669</v>
      </c>
      <c r="AL562" s="531">
        <f t="shared" si="734"/>
        <v>0.82735985070880669</v>
      </c>
      <c r="AM562" s="531">
        <f t="shared" si="734"/>
        <v>0.82735985070880669</v>
      </c>
      <c r="AN562" s="531">
        <f t="shared" si="734"/>
        <v>0.82735985070880669</v>
      </c>
      <c r="AO562" s="531">
        <f t="shared" si="734"/>
        <v>0.82735985070880669</v>
      </c>
      <c r="AP562" s="531">
        <f t="shared" si="734"/>
        <v>0.83002250462652571</v>
      </c>
      <c r="AQ562" s="531">
        <f t="shared" si="734"/>
        <v>0.83002250462652571</v>
      </c>
      <c r="AR562" s="531">
        <f t="shared" si="734"/>
        <v>0.83002250462652571</v>
      </c>
      <c r="AS562" s="531">
        <f t="shared" si="734"/>
        <v>0.83002250462652571</v>
      </c>
      <c r="AT562" s="531">
        <f t="shared" si="734"/>
        <v>0.83002250462652571</v>
      </c>
      <c r="AU562" s="531">
        <f t="shared" si="734"/>
        <v>0.83002250462652571</v>
      </c>
      <c r="AV562" s="531">
        <f t="shared" si="734"/>
        <v>0.83002250462652571</v>
      </c>
      <c r="AW562" s="531">
        <f t="shared" si="734"/>
        <v>0.83002250462652571</v>
      </c>
      <c r="AX562" s="531">
        <f t="shared" ref="AX562:BY562" si="735">AX561/AX551</f>
        <v>0.83002250462652571</v>
      </c>
      <c r="AY562" s="531">
        <f t="shared" si="735"/>
        <v>0.83002250462652571</v>
      </c>
      <c r="AZ562" s="531">
        <f t="shared" si="735"/>
        <v>0.83002250462652571</v>
      </c>
      <c r="BA562" s="531">
        <f t="shared" si="735"/>
        <v>0.83002250462652571</v>
      </c>
      <c r="BB562" s="531">
        <f t="shared" si="735"/>
        <v>0.83236136476698019</v>
      </c>
      <c r="BC562" s="531">
        <f t="shared" si="735"/>
        <v>0.83236136476698019</v>
      </c>
      <c r="BD562" s="531">
        <f t="shared" si="735"/>
        <v>0.83236136476698019</v>
      </c>
      <c r="BE562" s="531">
        <f t="shared" si="735"/>
        <v>0.83236136476698019</v>
      </c>
      <c r="BF562" s="531">
        <f t="shared" si="735"/>
        <v>0.83236136476698019</v>
      </c>
      <c r="BG562" s="531">
        <f t="shared" si="735"/>
        <v>0.83236136476698019</v>
      </c>
      <c r="BH562" s="531">
        <f t="shared" si="735"/>
        <v>0.83236136476698019</v>
      </c>
      <c r="BI562" s="531">
        <f t="shared" si="735"/>
        <v>0.83236136476698019</v>
      </c>
      <c r="BJ562" s="531">
        <f t="shared" si="735"/>
        <v>0.83236136476698019</v>
      </c>
      <c r="BK562" s="531">
        <f t="shared" si="735"/>
        <v>0.83236136476698019</v>
      </c>
      <c r="BL562" s="531">
        <f t="shared" si="735"/>
        <v>0.83236136476698019</v>
      </c>
      <c r="BM562" s="531">
        <f t="shared" si="735"/>
        <v>0.83236136476698019</v>
      </c>
      <c r="BN562" s="531">
        <f t="shared" si="735"/>
        <v>0.83455805542095052</v>
      </c>
      <c r="BO562" s="531">
        <f t="shared" si="735"/>
        <v>0.83455805542095052</v>
      </c>
      <c r="BP562" s="531">
        <f t="shared" si="735"/>
        <v>0.83455805542095052</v>
      </c>
      <c r="BQ562" s="531">
        <f t="shared" si="735"/>
        <v>0.83455805542095052</v>
      </c>
      <c r="BR562" s="531">
        <f t="shared" si="735"/>
        <v>0.83455805542095052</v>
      </c>
      <c r="BS562" s="531">
        <f t="shared" si="735"/>
        <v>0.83455805542095052</v>
      </c>
      <c r="BT562" s="531">
        <f t="shared" si="735"/>
        <v>0.83455805542095052</v>
      </c>
      <c r="BU562" s="531">
        <f t="shared" si="735"/>
        <v>0.83455805542095052</v>
      </c>
      <c r="BV562" s="531">
        <f t="shared" si="735"/>
        <v>0.83455805542095052</v>
      </c>
      <c r="BW562" s="531">
        <f t="shared" si="735"/>
        <v>0.83455805542095052</v>
      </c>
      <c r="BX562" s="531">
        <f t="shared" si="735"/>
        <v>0.83455805542095052</v>
      </c>
      <c r="BY562" s="531">
        <f t="shared" si="735"/>
        <v>0.83455805542095052</v>
      </c>
    </row>
    <row r="563" spans="1:77" x14ac:dyDescent="0.3">
      <c r="A563" s="648"/>
      <c r="B563" s="648"/>
      <c r="C563" s="648" cm="1">
        <f t="array" ref="C563">SUMPRODUCT((Index_Tab!$D$36:$D$45=$B563)*(Index_Tab!$E$35:$F$35=$B$3)*Index_Tab!$E$36:$F$45)</f>
        <v>0</v>
      </c>
      <c r="D563" s="648"/>
      <c r="E563" s="525"/>
      <c r="F563" s="567"/>
      <c r="G563" s="567"/>
      <c r="H563" s="537"/>
      <c r="I563" s="544"/>
      <c r="J563" s="544"/>
      <c r="K563" s="544"/>
      <c r="L563" s="544"/>
      <c r="M563" s="544"/>
      <c r="N563" s="544"/>
      <c r="O563" s="529"/>
      <c r="P563" s="564"/>
      <c r="Q563" s="537"/>
      <c r="R563" s="544"/>
      <c r="S563" s="544"/>
      <c r="T563" s="544"/>
      <c r="U563" s="544"/>
      <c r="V563" s="544"/>
      <c r="W563" s="544"/>
      <c r="X563" s="544"/>
      <c r="Y563" s="544"/>
      <c r="Z563" s="544"/>
      <c r="AA563" s="544"/>
      <c r="AB563" s="544"/>
      <c r="AC563" s="544"/>
      <c r="AD563" s="544"/>
      <c r="AE563" s="544"/>
      <c r="AF563" s="544"/>
      <c r="AG563" s="544"/>
      <c r="AH563" s="544"/>
      <c r="AI563" s="544"/>
      <c r="AJ563" s="544"/>
      <c r="AK563" s="544"/>
      <c r="AL563" s="544"/>
      <c r="AM563" s="544"/>
      <c r="AN563" s="544"/>
      <c r="AO563" s="544"/>
      <c r="AP563" s="544"/>
      <c r="AQ563" s="544"/>
      <c r="AR563" s="544"/>
      <c r="AS563" s="544"/>
      <c r="AT563" s="544"/>
      <c r="AU563" s="544"/>
      <c r="AV563" s="544"/>
      <c r="AW563" s="544"/>
      <c r="AX563" s="544"/>
      <c r="AY563" s="544"/>
      <c r="AZ563" s="544"/>
      <c r="BA563" s="544"/>
      <c r="BB563" s="544"/>
      <c r="BC563" s="544"/>
      <c r="BD563" s="544"/>
      <c r="BE563" s="544"/>
      <c r="BF563" s="544"/>
      <c r="BG563" s="544"/>
      <c r="BH563" s="544"/>
      <c r="BI563" s="544"/>
      <c r="BJ563" s="544"/>
      <c r="BK563" s="544"/>
      <c r="BL563" s="544"/>
      <c r="BM563" s="544"/>
      <c r="BN563" s="544"/>
      <c r="BO563" s="544"/>
      <c r="BP563" s="544"/>
      <c r="BQ563" s="544"/>
      <c r="BR563" s="544"/>
      <c r="BS563" s="544"/>
      <c r="BT563" s="544"/>
      <c r="BU563" s="544"/>
      <c r="BV563" s="544"/>
      <c r="BW563" s="544"/>
      <c r="BX563" s="544"/>
      <c r="BY563" s="544"/>
    </row>
    <row r="564" spans="1:77" x14ac:dyDescent="0.3">
      <c r="A564" s="648"/>
      <c r="B564" s="648"/>
      <c r="C564" s="648" cm="1">
        <f t="array" ref="C564">SUMPRODUCT((Index_Tab!$D$36:$D$45=$B564)*(Index_Tab!$E$35:$F$35=$B$3)*Index_Tab!$E$36:$F$45)</f>
        <v>0</v>
      </c>
      <c r="D564" s="648"/>
      <c r="E564" s="525" t="s">
        <v>70</v>
      </c>
      <c r="F564" s="567"/>
      <c r="G564" s="567"/>
      <c r="H564" s="537"/>
      <c r="I564" s="544">
        <v>-676487</v>
      </c>
      <c r="J564" s="528">
        <v>0</v>
      </c>
      <c r="K564" s="528">
        <v>0</v>
      </c>
      <c r="L564" s="528">
        <v>0</v>
      </c>
      <c r="M564" s="528">
        <v>0</v>
      </c>
      <c r="N564" s="528">
        <v>0</v>
      </c>
      <c r="O564" s="529"/>
      <c r="P564" s="564">
        <f>IFERROR(((N564/I564)^(1/5))-1,0)</f>
        <v>-1</v>
      </c>
      <c r="Q564" s="537"/>
      <c r="R564" s="528">
        <v>0</v>
      </c>
      <c r="S564" s="528">
        <v>0</v>
      </c>
      <c r="T564" s="528">
        <v>0</v>
      </c>
      <c r="U564" s="528">
        <v>0</v>
      </c>
      <c r="V564" s="528">
        <v>0</v>
      </c>
      <c r="W564" s="528">
        <v>0</v>
      </c>
      <c r="X564" s="528">
        <v>0</v>
      </c>
      <c r="Y564" s="528">
        <v>0</v>
      </c>
      <c r="Z564" s="528">
        <v>0</v>
      </c>
      <c r="AA564" s="528">
        <v>0</v>
      </c>
      <c r="AB564" s="528">
        <v>0</v>
      </c>
      <c r="AC564" s="528">
        <v>0</v>
      </c>
      <c r="AD564" s="528">
        <v>0</v>
      </c>
      <c r="AE564" s="528">
        <v>0</v>
      </c>
      <c r="AF564" s="528">
        <v>0</v>
      </c>
      <c r="AG564" s="528">
        <v>0</v>
      </c>
      <c r="AH564" s="528">
        <v>0</v>
      </c>
      <c r="AI564" s="528">
        <v>0</v>
      </c>
      <c r="AJ564" s="528">
        <v>0</v>
      </c>
      <c r="AK564" s="528">
        <v>0</v>
      </c>
      <c r="AL564" s="528">
        <v>0</v>
      </c>
      <c r="AM564" s="528">
        <v>0</v>
      </c>
      <c r="AN564" s="528">
        <v>0</v>
      </c>
      <c r="AO564" s="528">
        <v>0</v>
      </c>
      <c r="AP564" s="528">
        <v>0</v>
      </c>
      <c r="AQ564" s="528">
        <v>0</v>
      </c>
      <c r="AR564" s="528">
        <v>0</v>
      </c>
      <c r="AS564" s="528">
        <v>0</v>
      </c>
      <c r="AT564" s="528">
        <v>0</v>
      </c>
      <c r="AU564" s="528">
        <v>0</v>
      </c>
      <c r="AV564" s="528">
        <v>0</v>
      </c>
      <c r="AW564" s="528">
        <v>0</v>
      </c>
      <c r="AX564" s="528">
        <v>0</v>
      </c>
      <c r="AY564" s="528">
        <v>0</v>
      </c>
      <c r="AZ564" s="528">
        <v>0</v>
      </c>
      <c r="BA564" s="528">
        <v>0</v>
      </c>
      <c r="BB564" s="528">
        <v>0</v>
      </c>
      <c r="BC564" s="528">
        <v>0</v>
      </c>
      <c r="BD564" s="528">
        <v>0</v>
      </c>
      <c r="BE564" s="528">
        <v>0</v>
      </c>
      <c r="BF564" s="528">
        <v>0</v>
      </c>
      <c r="BG564" s="528">
        <v>0</v>
      </c>
      <c r="BH564" s="528">
        <v>0</v>
      </c>
      <c r="BI564" s="528">
        <v>0</v>
      </c>
      <c r="BJ564" s="528">
        <v>0</v>
      </c>
      <c r="BK564" s="528">
        <v>0</v>
      </c>
      <c r="BL564" s="528">
        <v>0</v>
      </c>
      <c r="BM564" s="528">
        <v>0</v>
      </c>
      <c r="BN564" s="528">
        <v>0</v>
      </c>
      <c r="BO564" s="528">
        <v>0</v>
      </c>
      <c r="BP564" s="528">
        <v>0</v>
      </c>
      <c r="BQ564" s="528">
        <v>0</v>
      </c>
      <c r="BR564" s="528">
        <v>0</v>
      </c>
      <c r="BS564" s="528">
        <v>0</v>
      </c>
      <c r="BT564" s="528">
        <v>0</v>
      </c>
      <c r="BU564" s="528">
        <v>0</v>
      </c>
      <c r="BV564" s="528">
        <v>0</v>
      </c>
      <c r="BW564" s="528">
        <v>0</v>
      </c>
      <c r="BX564" s="528">
        <v>0</v>
      </c>
      <c r="BY564" s="528">
        <v>0</v>
      </c>
    </row>
    <row r="565" spans="1:77" x14ac:dyDescent="0.3">
      <c r="A565" s="648"/>
      <c r="B565" s="648"/>
      <c r="C565" s="648" cm="1">
        <f t="array" ref="C565">SUMPRODUCT((Index_Tab!$D$36:$D$45=$B565)*(Index_Tab!$E$35:$F$35=$B$3)*Index_Tab!$E$36:$F$45)</f>
        <v>0</v>
      </c>
      <c r="D565" s="648"/>
      <c r="E565" s="525" t="s">
        <v>185</v>
      </c>
      <c r="F565" s="567"/>
      <c r="G565" s="567"/>
      <c r="H565" s="537"/>
      <c r="I565" s="528">
        <v>0</v>
      </c>
      <c r="J565" s="528">
        <v>0</v>
      </c>
      <c r="K565" s="528">
        <v>0</v>
      </c>
      <c r="L565" s="528">
        <v>0</v>
      </c>
      <c r="M565" s="528">
        <v>0</v>
      </c>
      <c r="N565" s="528">
        <v>0</v>
      </c>
      <c r="O565" s="544"/>
      <c r="P565" s="564">
        <f>IFERROR(((N565/I565)^(1/5))-1,0)</f>
        <v>0</v>
      </c>
      <c r="Q565" s="537"/>
      <c r="R565" s="528">
        <v>0</v>
      </c>
      <c r="S565" s="528">
        <v>0</v>
      </c>
      <c r="T565" s="528">
        <v>0</v>
      </c>
      <c r="U565" s="528">
        <v>0</v>
      </c>
      <c r="V565" s="528">
        <v>0</v>
      </c>
      <c r="W565" s="528">
        <v>0</v>
      </c>
      <c r="X565" s="528">
        <v>0</v>
      </c>
      <c r="Y565" s="528">
        <v>0</v>
      </c>
      <c r="Z565" s="528">
        <v>0</v>
      </c>
      <c r="AA565" s="528">
        <v>0</v>
      </c>
      <c r="AB565" s="528">
        <v>0</v>
      </c>
      <c r="AC565" s="528">
        <v>0</v>
      </c>
      <c r="AD565" s="528">
        <v>0</v>
      </c>
      <c r="AE565" s="528">
        <v>0</v>
      </c>
      <c r="AF565" s="528">
        <v>0</v>
      </c>
      <c r="AG565" s="528">
        <v>0</v>
      </c>
      <c r="AH565" s="528">
        <v>0</v>
      </c>
      <c r="AI565" s="528">
        <v>0</v>
      </c>
      <c r="AJ565" s="528">
        <v>0</v>
      </c>
      <c r="AK565" s="528">
        <v>0</v>
      </c>
      <c r="AL565" s="528">
        <v>0</v>
      </c>
      <c r="AM565" s="528">
        <v>0</v>
      </c>
      <c r="AN565" s="528">
        <v>0</v>
      </c>
      <c r="AO565" s="528">
        <v>0</v>
      </c>
      <c r="AP565" s="528">
        <v>0</v>
      </c>
      <c r="AQ565" s="528">
        <v>0</v>
      </c>
      <c r="AR565" s="528">
        <v>0</v>
      </c>
      <c r="AS565" s="528">
        <v>0</v>
      </c>
      <c r="AT565" s="528">
        <v>0</v>
      </c>
      <c r="AU565" s="528">
        <v>0</v>
      </c>
      <c r="AV565" s="528">
        <v>0</v>
      </c>
      <c r="AW565" s="528">
        <v>0</v>
      </c>
      <c r="AX565" s="528">
        <v>0</v>
      </c>
      <c r="AY565" s="528">
        <v>0</v>
      </c>
      <c r="AZ565" s="528">
        <v>0</v>
      </c>
      <c r="BA565" s="528">
        <v>0</v>
      </c>
      <c r="BB565" s="528">
        <v>0</v>
      </c>
      <c r="BC565" s="528">
        <v>0</v>
      </c>
      <c r="BD565" s="528">
        <v>0</v>
      </c>
      <c r="BE565" s="528">
        <v>0</v>
      </c>
      <c r="BF565" s="528">
        <v>0</v>
      </c>
      <c r="BG565" s="528">
        <v>0</v>
      </c>
      <c r="BH565" s="528">
        <v>0</v>
      </c>
      <c r="BI565" s="528">
        <v>0</v>
      </c>
      <c r="BJ565" s="528">
        <v>0</v>
      </c>
      <c r="BK565" s="528">
        <v>0</v>
      </c>
      <c r="BL565" s="528">
        <v>0</v>
      </c>
      <c r="BM565" s="528">
        <v>0</v>
      </c>
      <c r="BN565" s="528">
        <v>0</v>
      </c>
      <c r="BO565" s="528">
        <v>0</v>
      </c>
      <c r="BP565" s="528">
        <v>0</v>
      </c>
      <c r="BQ565" s="528">
        <v>0</v>
      </c>
      <c r="BR565" s="528">
        <v>0</v>
      </c>
      <c r="BS565" s="528">
        <v>0</v>
      </c>
      <c r="BT565" s="528">
        <v>0</v>
      </c>
      <c r="BU565" s="528">
        <v>0</v>
      </c>
      <c r="BV565" s="528">
        <v>0</v>
      </c>
      <c r="BW565" s="528">
        <v>0</v>
      </c>
      <c r="BX565" s="528">
        <v>0</v>
      </c>
      <c r="BY565" s="528">
        <v>0</v>
      </c>
    </row>
    <row r="566" spans="1:77" x14ac:dyDescent="0.3">
      <c r="A566" s="648"/>
      <c r="B566" s="648"/>
      <c r="C566" s="648" cm="1">
        <f t="array" ref="C566">SUMPRODUCT((Index_Tab!$D$36:$D$45=$B566)*(Index_Tab!$E$35:$F$35=$B$3)*Index_Tab!$E$36:$F$45)</f>
        <v>0</v>
      </c>
      <c r="D566" s="648"/>
      <c r="E566" s="525" t="s">
        <v>370</v>
      </c>
      <c r="F566" s="567"/>
      <c r="G566" s="567"/>
      <c r="H566" s="537"/>
      <c r="I566" s="580">
        <v>0</v>
      </c>
      <c r="J566" s="528">
        <v>0</v>
      </c>
      <c r="K566" s="528">
        <v>0</v>
      </c>
      <c r="L566" s="528">
        <v>0</v>
      </c>
      <c r="M566" s="528">
        <v>0</v>
      </c>
      <c r="N566" s="528">
        <v>0</v>
      </c>
      <c r="O566" s="544"/>
      <c r="P566" s="564">
        <f>IFERROR(((N566/I566)^(1/5))-1,0)</f>
        <v>0</v>
      </c>
      <c r="Q566" s="537"/>
      <c r="R566" s="528">
        <v>0</v>
      </c>
      <c r="S566" s="528">
        <v>0</v>
      </c>
      <c r="T566" s="528">
        <v>0</v>
      </c>
      <c r="U566" s="528">
        <v>0</v>
      </c>
      <c r="V566" s="528">
        <v>0</v>
      </c>
      <c r="W566" s="528">
        <v>0</v>
      </c>
      <c r="X566" s="528">
        <v>0</v>
      </c>
      <c r="Y566" s="528">
        <v>0</v>
      </c>
      <c r="Z566" s="528">
        <v>0</v>
      </c>
      <c r="AA566" s="528">
        <v>0</v>
      </c>
      <c r="AB566" s="528">
        <v>0</v>
      </c>
      <c r="AC566" s="528">
        <v>0</v>
      </c>
      <c r="AD566" s="528">
        <v>0</v>
      </c>
      <c r="AE566" s="528">
        <v>0</v>
      </c>
      <c r="AF566" s="528">
        <v>0</v>
      </c>
      <c r="AG566" s="528">
        <v>0</v>
      </c>
      <c r="AH566" s="528">
        <v>0</v>
      </c>
      <c r="AI566" s="528">
        <v>0</v>
      </c>
      <c r="AJ566" s="528">
        <v>0</v>
      </c>
      <c r="AK566" s="528">
        <v>0</v>
      </c>
      <c r="AL566" s="528">
        <v>0</v>
      </c>
      <c r="AM566" s="528">
        <v>0</v>
      </c>
      <c r="AN566" s="528">
        <v>0</v>
      </c>
      <c r="AO566" s="528">
        <v>0</v>
      </c>
      <c r="AP566" s="528">
        <v>0</v>
      </c>
      <c r="AQ566" s="528">
        <v>0</v>
      </c>
      <c r="AR566" s="528">
        <v>0</v>
      </c>
      <c r="AS566" s="528">
        <v>0</v>
      </c>
      <c r="AT566" s="528">
        <v>0</v>
      </c>
      <c r="AU566" s="528">
        <v>0</v>
      </c>
      <c r="AV566" s="528">
        <v>0</v>
      </c>
      <c r="AW566" s="528">
        <v>0</v>
      </c>
      <c r="AX566" s="528">
        <v>0</v>
      </c>
      <c r="AY566" s="528">
        <v>0</v>
      </c>
      <c r="AZ566" s="528">
        <v>0</v>
      </c>
      <c r="BA566" s="528">
        <v>0</v>
      </c>
      <c r="BB566" s="528">
        <v>0</v>
      </c>
      <c r="BC566" s="528">
        <v>0</v>
      </c>
      <c r="BD566" s="528">
        <v>0</v>
      </c>
      <c r="BE566" s="528">
        <v>0</v>
      </c>
      <c r="BF566" s="528">
        <v>0</v>
      </c>
      <c r="BG566" s="528">
        <v>0</v>
      </c>
      <c r="BH566" s="528">
        <v>0</v>
      </c>
      <c r="BI566" s="528">
        <v>0</v>
      </c>
      <c r="BJ566" s="528">
        <v>0</v>
      </c>
      <c r="BK566" s="528">
        <v>0</v>
      </c>
      <c r="BL566" s="528">
        <v>0</v>
      </c>
      <c r="BM566" s="528">
        <v>0</v>
      </c>
      <c r="BN566" s="528">
        <v>0</v>
      </c>
      <c r="BO566" s="528">
        <v>0</v>
      </c>
      <c r="BP566" s="528">
        <v>0</v>
      </c>
      <c r="BQ566" s="528">
        <v>0</v>
      </c>
      <c r="BR566" s="528">
        <v>0</v>
      </c>
      <c r="BS566" s="528">
        <v>0</v>
      </c>
      <c r="BT566" s="528">
        <v>0</v>
      </c>
      <c r="BU566" s="528">
        <v>0</v>
      </c>
      <c r="BV566" s="528">
        <v>0</v>
      </c>
      <c r="BW566" s="528">
        <v>0</v>
      </c>
      <c r="BX566" s="528">
        <v>0</v>
      </c>
      <c r="BY566" s="528">
        <v>0</v>
      </c>
    </row>
    <row r="567" spans="1:77" x14ac:dyDescent="0.3">
      <c r="A567" s="648"/>
      <c r="B567" s="648"/>
      <c r="C567" s="648" cm="1">
        <f t="array" ref="C567">SUMPRODUCT((Index_Tab!$D$36:$D$45=$B567)*(Index_Tab!$E$35:$F$35=$B$3)*Index_Tab!$E$36:$F$45)</f>
        <v>0</v>
      </c>
      <c r="D567" s="648"/>
      <c r="E567" s="578" t="s">
        <v>71</v>
      </c>
      <c r="F567" s="579"/>
      <c r="G567" s="579"/>
      <c r="H567" s="537"/>
      <c r="I567" s="535">
        <f t="shared" ref="I567:N567" si="736">I561+SUM(I564:I566)</f>
        <v>9532763.798200747</v>
      </c>
      <c r="J567" s="535">
        <f t="shared" si="736"/>
        <v>10789125.102081053</v>
      </c>
      <c r="K567" s="535">
        <f t="shared" si="736"/>
        <v>11261348.650701495</v>
      </c>
      <c r="L567" s="535">
        <f t="shared" si="736"/>
        <v>11730234.118822854</v>
      </c>
      <c r="M567" s="535">
        <f t="shared" si="736"/>
        <v>12179897.545606568</v>
      </c>
      <c r="N567" s="535">
        <f t="shared" si="736"/>
        <v>12634276.592934702</v>
      </c>
      <c r="O567" s="544"/>
      <c r="P567" s="568">
        <f>IFERROR(((N567/I567)^(1/5))-1,0)</f>
        <v>5.795284215580887E-2</v>
      </c>
      <c r="Q567" s="537"/>
      <c r="R567" s="535">
        <f>R561+SUM(R564:R566)</f>
        <v>899093.75850675441</v>
      </c>
      <c r="S567" s="535">
        <f t="shared" ref="S567:BY567" si="737">S561+SUM(S564:S566)</f>
        <v>899093.75850675441</v>
      </c>
      <c r="T567" s="535">
        <f t="shared" si="737"/>
        <v>899093.75850675441</v>
      </c>
      <c r="U567" s="535">
        <f t="shared" si="737"/>
        <v>899093.75850675441</v>
      </c>
      <c r="V567" s="535">
        <f t="shared" si="737"/>
        <v>899093.75850675441</v>
      </c>
      <c r="W567" s="535">
        <f t="shared" si="737"/>
        <v>899093.75850675441</v>
      </c>
      <c r="X567" s="535">
        <f t="shared" si="737"/>
        <v>899093.75850675441</v>
      </c>
      <c r="Y567" s="535">
        <f t="shared" si="737"/>
        <v>899093.75850675441</v>
      </c>
      <c r="Z567" s="535">
        <f t="shared" si="737"/>
        <v>899093.75850675441</v>
      </c>
      <c r="AA567" s="535">
        <f t="shared" si="737"/>
        <v>899093.75850675441</v>
      </c>
      <c r="AB567" s="535">
        <f t="shared" si="737"/>
        <v>899093.75850675441</v>
      </c>
      <c r="AC567" s="535">
        <f t="shared" si="737"/>
        <v>899093.75850675441</v>
      </c>
      <c r="AD567" s="535">
        <f t="shared" si="737"/>
        <v>938445.72089179105</v>
      </c>
      <c r="AE567" s="535">
        <f t="shared" si="737"/>
        <v>938445.72089179105</v>
      </c>
      <c r="AF567" s="535">
        <f t="shared" si="737"/>
        <v>938445.72089179105</v>
      </c>
      <c r="AG567" s="535">
        <f t="shared" si="737"/>
        <v>938445.72089179105</v>
      </c>
      <c r="AH567" s="535">
        <f t="shared" si="737"/>
        <v>938445.72089179105</v>
      </c>
      <c r="AI567" s="535">
        <f t="shared" si="737"/>
        <v>938445.72089179105</v>
      </c>
      <c r="AJ567" s="535">
        <f t="shared" si="737"/>
        <v>938445.72089179105</v>
      </c>
      <c r="AK567" s="535">
        <f t="shared" si="737"/>
        <v>938445.72089179105</v>
      </c>
      <c r="AL567" s="535">
        <f t="shared" si="737"/>
        <v>938445.72089179105</v>
      </c>
      <c r="AM567" s="535">
        <f t="shared" si="737"/>
        <v>938445.72089179105</v>
      </c>
      <c r="AN567" s="535">
        <f t="shared" si="737"/>
        <v>938445.72089179105</v>
      </c>
      <c r="AO567" s="535">
        <f t="shared" si="737"/>
        <v>938445.72089179105</v>
      </c>
      <c r="AP567" s="535">
        <f t="shared" si="737"/>
        <v>977519.50990190462</v>
      </c>
      <c r="AQ567" s="535">
        <f t="shared" si="737"/>
        <v>977519.50990190462</v>
      </c>
      <c r="AR567" s="535">
        <f t="shared" si="737"/>
        <v>977519.50990190462</v>
      </c>
      <c r="AS567" s="535">
        <f t="shared" si="737"/>
        <v>977519.50990190462</v>
      </c>
      <c r="AT567" s="535">
        <f t="shared" si="737"/>
        <v>977519.50990190462</v>
      </c>
      <c r="AU567" s="535">
        <f t="shared" si="737"/>
        <v>977519.50990190462</v>
      </c>
      <c r="AV567" s="535">
        <f t="shared" si="737"/>
        <v>977519.50990190462</v>
      </c>
      <c r="AW567" s="535">
        <f t="shared" si="737"/>
        <v>977519.50990190462</v>
      </c>
      <c r="AX567" s="535">
        <f t="shared" si="737"/>
        <v>977519.50990190462</v>
      </c>
      <c r="AY567" s="535">
        <f t="shared" si="737"/>
        <v>977519.50990190462</v>
      </c>
      <c r="AZ567" s="535">
        <f t="shared" si="737"/>
        <v>977519.50990190462</v>
      </c>
      <c r="BA567" s="535">
        <f t="shared" si="737"/>
        <v>977519.50990190462</v>
      </c>
      <c r="BB567" s="535">
        <f t="shared" si="737"/>
        <v>1014991.4621338802</v>
      </c>
      <c r="BC567" s="535">
        <f t="shared" si="737"/>
        <v>1014991.4621338802</v>
      </c>
      <c r="BD567" s="535">
        <f t="shared" si="737"/>
        <v>1014991.4621338802</v>
      </c>
      <c r="BE567" s="535">
        <f t="shared" si="737"/>
        <v>1014991.4621338802</v>
      </c>
      <c r="BF567" s="535">
        <f t="shared" si="737"/>
        <v>1014991.4621338802</v>
      </c>
      <c r="BG567" s="535">
        <f t="shared" si="737"/>
        <v>1014991.4621338802</v>
      </c>
      <c r="BH567" s="535">
        <f t="shared" si="737"/>
        <v>1014991.4621338802</v>
      </c>
      <c r="BI567" s="535">
        <f t="shared" si="737"/>
        <v>1014991.4621338802</v>
      </c>
      <c r="BJ567" s="535">
        <f t="shared" si="737"/>
        <v>1014991.4621338802</v>
      </c>
      <c r="BK567" s="535">
        <f t="shared" si="737"/>
        <v>1014991.4621338802</v>
      </c>
      <c r="BL567" s="535">
        <f t="shared" si="737"/>
        <v>1014991.4621338802</v>
      </c>
      <c r="BM567" s="535">
        <f t="shared" si="737"/>
        <v>1014991.4621338802</v>
      </c>
      <c r="BN567" s="535">
        <f t="shared" si="737"/>
        <v>1052856.3827445582</v>
      </c>
      <c r="BO567" s="535">
        <f t="shared" si="737"/>
        <v>1052856.3827445582</v>
      </c>
      <c r="BP567" s="535">
        <f t="shared" si="737"/>
        <v>1052856.3827445582</v>
      </c>
      <c r="BQ567" s="535">
        <f t="shared" si="737"/>
        <v>1052856.3827445582</v>
      </c>
      <c r="BR567" s="535">
        <f t="shared" si="737"/>
        <v>1052856.3827445582</v>
      </c>
      <c r="BS567" s="535">
        <f t="shared" si="737"/>
        <v>1052856.3827445582</v>
      </c>
      <c r="BT567" s="535">
        <f t="shared" si="737"/>
        <v>1052856.3827445582</v>
      </c>
      <c r="BU567" s="535">
        <f t="shared" si="737"/>
        <v>1052856.3827445582</v>
      </c>
      <c r="BV567" s="535">
        <f t="shared" si="737"/>
        <v>1052856.3827445582</v>
      </c>
      <c r="BW567" s="535">
        <f t="shared" si="737"/>
        <v>1052856.3827445582</v>
      </c>
      <c r="BX567" s="535">
        <f t="shared" si="737"/>
        <v>1052856.3827445582</v>
      </c>
      <c r="BY567" s="535">
        <f t="shared" si="737"/>
        <v>1052856.3827445582</v>
      </c>
    </row>
    <row r="568" spans="1:77" x14ac:dyDescent="0.3">
      <c r="A568" s="648"/>
      <c r="B568" s="648"/>
      <c r="C568" s="648"/>
      <c r="D568" s="648"/>
      <c r="E568" s="537"/>
      <c r="F568" s="537"/>
      <c r="G568" s="537"/>
      <c r="H568" s="537"/>
      <c r="I568" s="537"/>
      <c r="J568" s="537"/>
      <c r="K568" s="537"/>
      <c r="L568" s="537"/>
      <c r="M568" s="537"/>
      <c r="N568" s="537"/>
      <c r="O568" s="537"/>
      <c r="P568" s="665"/>
      <c r="Q568" s="537"/>
      <c r="R568" s="537"/>
      <c r="S568" s="537"/>
      <c r="T568" s="537"/>
      <c r="U568" s="537"/>
      <c r="V568" s="537"/>
      <c r="W568" s="537"/>
      <c r="X568" s="537"/>
      <c r="Y568" s="537"/>
      <c r="Z568" s="537"/>
      <c r="AA568" s="537"/>
      <c r="AB568" s="537"/>
      <c r="AC568" s="537"/>
      <c r="AD568" s="537"/>
      <c r="AE568" s="537"/>
      <c r="AF568" s="537"/>
      <c r="AG568" s="537"/>
      <c r="AH568" s="537"/>
      <c r="AI568" s="537"/>
      <c r="AJ568" s="537"/>
      <c r="AK568" s="537"/>
      <c r="AL568" s="537"/>
      <c r="AM568" s="537"/>
      <c r="AN568" s="537"/>
      <c r="AO568" s="537"/>
      <c r="AP568" s="537"/>
      <c r="AQ568" s="537"/>
      <c r="AR568" s="537"/>
      <c r="AS568" s="537"/>
      <c r="AT568" s="537"/>
      <c r="AU568" s="537"/>
      <c r="AV568" s="537"/>
      <c r="AW568" s="537"/>
      <c r="AX568" s="537"/>
      <c r="AY568" s="537"/>
      <c r="AZ568" s="537"/>
      <c r="BA568" s="537"/>
      <c r="BB568" s="537"/>
      <c r="BC568" s="537"/>
      <c r="BD568" s="537"/>
      <c r="BE568" s="537"/>
      <c r="BF568" s="537"/>
      <c r="BG568" s="537"/>
      <c r="BH568" s="537"/>
      <c r="BI568" s="537"/>
      <c r="BJ568" s="537"/>
      <c r="BK568" s="537"/>
      <c r="BL568" s="537"/>
      <c r="BM568" s="537"/>
      <c r="BN568" s="537"/>
      <c r="BO568" s="537"/>
      <c r="BP568" s="537"/>
      <c r="BQ568" s="537"/>
      <c r="BR568" s="537"/>
      <c r="BS568" s="537"/>
      <c r="BT568" s="537"/>
      <c r="BU568" s="537"/>
      <c r="BV568" s="537"/>
      <c r="BW568" s="537"/>
      <c r="BX568" s="537"/>
      <c r="BY568" s="537"/>
    </row>
    <row r="569" spans="1:77" x14ac:dyDescent="0.3">
      <c r="A569" s="551"/>
      <c r="B569" s="522"/>
      <c r="C569" s="522"/>
      <c r="D569" s="522"/>
      <c r="E569" s="537"/>
      <c r="F569" s="537"/>
      <c r="G569" s="537"/>
      <c r="H569" s="529"/>
      <c r="I569" s="603"/>
      <c r="J569" s="603"/>
      <c r="K569" s="603"/>
      <c r="L569" s="603"/>
      <c r="M569" s="603"/>
      <c r="N569" s="603"/>
      <c r="O569" s="546"/>
      <c r="P569" s="564"/>
      <c r="Q569" s="537"/>
      <c r="R569" s="537"/>
      <c r="S569" s="537"/>
      <c r="T569" s="537"/>
      <c r="U569" s="537"/>
      <c r="V569" s="537"/>
      <c r="W569" s="537"/>
      <c r="X569" s="537"/>
      <c r="Y569" s="537"/>
      <c r="Z569" s="537"/>
      <c r="AA569" s="537"/>
      <c r="AB569" s="537"/>
      <c r="AC569" s="537"/>
      <c r="AD569" s="537"/>
      <c r="AE569" s="537"/>
      <c r="AF569" s="537"/>
      <c r="AG569" s="537"/>
      <c r="AH569" s="537"/>
      <c r="AI569" s="537"/>
      <c r="AJ569" s="537"/>
      <c r="AK569" s="537"/>
      <c r="AL569" s="537"/>
      <c r="AM569" s="537"/>
      <c r="AN569" s="537"/>
      <c r="AO569" s="537"/>
      <c r="AP569" s="537"/>
      <c r="AQ569" s="537"/>
      <c r="AR569" s="537"/>
      <c r="AS569" s="537"/>
      <c r="AT569" s="537"/>
      <c r="AU569" s="537"/>
      <c r="AV569" s="537"/>
      <c r="AW569" s="537"/>
      <c r="AX569" s="537"/>
      <c r="AY569" s="537"/>
      <c r="AZ569" s="537"/>
      <c r="BA569" s="537"/>
      <c r="BB569" s="537"/>
      <c r="BC569" s="537"/>
      <c r="BD569" s="537"/>
      <c r="BE569" s="537"/>
      <c r="BF569" s="537"/>
      <c r="BG569" s="537"/>
      <c r="BH569" s="537"/>
      <c r="BI569" s="537"/>
      <c r="BJ569" s="537"/>
      <c r="BK569" s="537"/>
      <c r="BL569" s="537"/>
      <c r="BM569" s="537"/>
      <c r="BN569" s="537"/>
      <c r="BO569" s="537"/>
      <c r="BP569" s="537"/>
      <c r="BQ569" s="537"/>
      <c r="BR569" s="537"/>
      <c r="BS569" s="537"/>
      <c r="BT569" s="537"/>
      <c r="BU569" s="537"/>
      <c r="BV569" s="537"/>
      <c r="BW569" s="537"/>
      <c r="BX569" s="537"/>
      <c r="BY569" s="537"/>
    </row>
    <row r="570" spans="1:77" x14ac:dyDescent="0.3">
      <c r="A570" s="551"/>
      <c r="B570" s="522"/>
      <c r="C570" s="522"/>
      <c r="D570" s="522"/>
      <c r="E570" s="538" t="s">
        <v>119</v>
      </c>
      <c r="F570" s="538"/>
      <c r="G570" s="538"/>
      <c r="H570" s="529"/>
      <c r="I570" s="538"/>
      <c r="J570" s="538"/>
      <c r="K570" s="538"/>
      <c r="L570" s="538"/>
      <c r="M570" s="538"/>
      <c r="N570" s="538"/>
      <c r="O570" s="538"/>
      <c r="P570" s="666"/>
      <c r="Q570" s="584"/>
      <c r="R570" s="538"/>
      <c r="S570" s="538"/>
      <c r="T570" s="538"/>
      <c r="U570" s="538"/>
      <c r="V570" s="538"/>
      <c r="W570" s="538"/>
      <c r="X570" s="538"/>
      <c r="Y570" s="538"/>
      <c r="Z570" s="538"/>
      <c r="AA570" s="538"/>
      <c r="AB570" s="538"/>
      <c r="AC570" s="538"/>
      <c r="AD570" s="538"/>
      <c r="AE570" s="538"/>
      <c r="AF570" s="538"/>
      <c r="AG570" s="538"/>
      <c r="AH570" s="538"/>
      <c r="AI570" s="538"/>
      <c r="AJ570" s="538"/>
      <c r="AK570" s="538"/>
      <c r="AL570" s="538"/>
      <c r="AM570" s="538"/>
      <c r="AN570" s="538"/>
      <c r="AO570" s="538"/>
      <c r="AP570" s="538"/>
      <c r="AQ570" s="538"/>
      <c r="AR570" s="538"/>
      <c r="AS570" s="538"/>
      <c r="AT570" s="538"/>
      <c r="AU570" s="538"/>
      <c r="AV570" s="538"/>
      <c r="AW570" s="538"/>
      <c r="AX570" s="538"/>
      <c r="AY570" s="538"/>
      <c r="AZ570" s="538"/>
      <c r="BA570" s="538"/>
      <c r="BB570" s="538"/>
      <c r="BC570" s="538"/>
      <c r="BD570" s="538"/>
      <c r="BE570" s="538"/>
      <c r="BF570" s="538"/>
      <c r="BG570" s="538"/>
      <c r="BH570" s="538"/>
      <c r="BI570" s="538"/>
      <c r="BJ570" s="538"/>
      <c r="BK570" s="538"/>
      <c r="BL570" s="538"/>
      <c r="BM570" s="538"/>
      <c r="BN570" s="538"/>
      <c r="BO570" s="538"/>
      <c r="BP570" s="538"/>
      <c r="BQ570" s="538"/>
      <c r="BR570" s="538"/>
      <c r="BS570" s="538"/>
      <c r="BT570" s="538"/>
      <c r="BU570" s="538"/>
      <c r="BV570" s="538"/>
      <c r="BW570" s="538"/>
      <c r="BX570" s="538"/>
      <c r="BY570" s="538"/>
    </row>
    <row r="571" spans="1:77" x14ac:dyDescent="0.3">
      <c r="A571" s="537"/>
      <c r="B571" s="522"/>
      <c r="C571" s="522"/>
      <c r="D571" s="522"/>
      <c r="E571" s="537" t="s">
        <v>57</v>
      </c>
      <c r="F571" s="537"/>
      <c r="G571" s="537"/>
      <c r="H571" s="529"/>
      <c r="I571" s="545">
        <f>INDEX(Portfolio_Categorisation!$E$12:$E$15,MATCH($B$2,Portfolio_Categorisation!$C$12:$C$15,0))</f>
        <v>123</v>
      </c>
      <c r="J571" s="545">
        <f>INDEX(Portfolio_Categorisation!$E$12:$E$15,MATCH($B$2,Portfolio_Categorisation!$C$12:$C$15,0))</f>
        <v>123</v>
      </c>
      <c r="K571" s="545">
        <f>INDEX(Portfolio_Categorisation!$E$12:$E$15,MATCH($B$2,Portfolio_Categorisation!$C$12:$C$15,0))</f>
        <v>123</v>
      </c>
      <c r="L571" s="545">
        <f>INDEX(Portfolio_Categorisation!$E$12:$E$15,MATCH($B$2,Portfolio_Categorisation!$C$12:$C$15,0))</f>
        <v>123</v>
      </c>
      <c r="M571" s="545">
        <f>INDEX(Portfolio_Categorisation!$E$12:$E$15,MATCH($B$2,Portfolio_Categorisation!$C$12:$C$15,0))</f>
        <v>123</v>
      </c>
      <c r="N571" s="545">
        <f>INDEX(Portfolio_Categorisation!$E$12:$E$15,MATCH($B$2,Portfolio_Categorisation!$C$12:$C$15,0))</f>
        <v>123</v>
      </c>
      <c r="O571" s="574"/>
      <c r="P571" s="568">
        <f>IFERROR(((N571/I571)^(1/5))-1,0)</f>
        <v>0</v>
      </c>
      <c r="Q571" s="537"/>
      <c r="R571" s="545">
        <f>INDEX(Portfolio_Categorisation!$E$12:$E$15,MATCH($B$2,Portfolio_Categorisation!$C$12:$C$15,0))</f>
        <v>123</v>
      </c>
      <c r="S571" s="545">
        <f>INDEX(Portfolio_Categorisation!$E$12:$E$15,MATCH($B$2,Portfolio_Categorisation!$C$12:$C$15,0))</f>
        <v>123</v>
      </c>
      <c r="T571" s="545">
        <f>INDEX(Portfolio_Categorisation!$E$12:$E$15,MATCH($B$2,Portfolio_Categorisation!$C$12:$C$15,0))</f>
        <v>123</v>
      </c>
      <c r="U571" s="545">
        <f>INDEX(Portfolio_Categorisation!$E$12:$E$15,MATCH($B$2,Portfolio_Categorisation!$C$12:$C$15,0))</f>
        <v>123</v>
      </c>
      <c r="V571" s="545">
        <f>INDEX(Portfolio_Categorisation!$E$12:$E$15,MATCH($B$2,Portfolio_Categorisation!$C$12:$C$15,0))</f>
        <v>123</v>
      </c>
      <c r="W571" s="545">
        <f>INDEX(Portfolio_Categorisation!$E$12:$E$15,MATCH($B$2,Portfolio_Categorisation!$C$12:$C$15,0))</f>
        <v>123</v>
      </c>
      <c r="X571" s="545">
        <f>INDEX(Portfolio_Categorisation!$E$12:$E$15,MATCH($B$2,Portfolio_Categorisation!$C$12:$C$15,0))</f>
        <v>123</v>
      </c>
      <c r="Y571" s="545">
        <f>INDEX(Portfolio_Categorisation!$E$12:$E$15,MATCH($B$2,Portfolio_Categorisation!$C$12:$C$15,0))</f>
        <v>123</v>
      </c>
      <c r="Z571" s="545">
        <f>INDEX(Portfolio_Categorisation!$E$12:$E$15,MATCH($B$2,Portfolio_Categorisation!$C$12:$C$15,0))</f>
        <v>123</v>
      </c>
      <c r="AA571" s="545">
        <f>INDEX(Portfolio_Categorisation!$E$12:$E$15,MATCH($B$2,Portfolio_Categorisation!$C$12:$C$15,0))</f>
        <v>123</v>
      </c>
      <c r="AB571" s="545">
        <f>INDEX(Portfolio_Categorisation!$E$12:$E$15,MATCH($B$2,Portfolio_Categorisation!$C$12:$C$15,0))</f>
        <v>123</v>
      </c>
      <c r="AC571" s="545">
        <f>INDEX(Portfolio_Categorisation!$E$12:$E$15,MATCH($B$2,Portfolio_Categorisation!$C$12:$C$15,0))</f>
        <v>123</v>
      </c>
      <c r="AD571" s="545">
        <f>INDEX(Portfolio_Categorisation!$E$12:$E$15,MATCH($B$2,Portfolio_Categorisation!$C$12:$C$15,0))</f>
        <v>123</v>
      </c>
      <c r="AE571" s="545">
        <f>INDEX(Portfolio_Categorisation!$E$12:$E$15,MATCH($B$2,Portfolio_Categorisation!$C$12:$C$15,0))</f>
        <v>123</v>
      </c>
      <c r="AF571" s="545">
        <f>INDEX(Portfolio_Categorisation!$E$12:$E$15,MATCH($B$2,Portfolio_Categorisation!$C$12:$C$15,0))</f>
        <v>123</v>
      </c>
      <c r="AG571" s="545">
        <f>INDEX(Portfolio_Categorisation!$E$12:$E$15,MATCH($B$2,Portfolio_Categorisation!$C$12:$C$15,0))</f>
        <v>123</v>
      </c>
      <c r="AH571" s="545">
        <f>INDEX(Portfolio_Categorisation!$E$12:$E$15,MATCH($B$2,Portfolio_Categorisation!$C$12:$C$15,0))</f>
        <v>123</v>
      </c>
      <c r="AI571" s="545">
        <f>INDEX(Portfolio_Categorisation!$E$12:$E$15,MATCH($B$2,Portfolio_Categorisation!$C$12:$C$15,0))</f>
        <v>123</v>
      </c>
      <c r="AJ571" s="545">
        <f>INDEX(Portfolio_Categorisation!$E$12:$E$15,MATCH($B$2,Portfolio_Categorisation!$C$12:$C$15,0))</f>
        <v>123</v>
      </c>
      <c r="AK571" s="545">
        <f>INDEX(Portfolio_Categorisation!$E$12:$E$15,MATCH($B$2,Portfolio_Categorisation!$C$12:$C$15,0))</f>
        <v>123</v>
      </c>
      <c r="AL571" s="545">
        <f>INDEX(Portfolio_Categorisation!$E$12:$E$15,MATCH($B$2,Portfolio_Categorisation!$C$12:$C$15,0))</f>
        <v>123</v>
      </c>
      <c r="AM571" s="545">
        <f>INDEX(Portfolio_Categorisation!$E$12:$E$15,MATCH($B$2,Portfolio_Categorisation!$C$12:$C$15,0))</f>
        <v>123</v>
      </c>
      <c r="AN571" s="545">
        <f>INDEX(Portfolio_Categorisation!$E$12:$E$15,MATCH($B$2,Portfolio_Categorisation!$C$12:$C$15,0))</f>
        <v>123</v>
      </c>
      <c r="AO571" s="545">
        <f>INDEX(Portfolio_Categorisation!$E$12:$E$15,MATCH($B$2,Portfolio_Categorisation!$C$12:$C$15,0))</f>
        <v>123</v>
      </c>
      <c r="AP571" s="545">
        <f>INDEX(Portfolio_Categorisation!$E$12:$E$15,MATCH($B$2,Portfolio_Categorisation!$C$12:$C$15,0))</f>
        <v>123</v>
      </c>
      <c r="AQ571" s="545">
        <f>INDEX(Portfolio_Categorisation!$E$12:$E$15,MATCH($B$2,Portfolio_Categorisation!$C$12:$C$15,0))</f>
        <v>123</v>
      </c>
      <c r="AR571" s="545">
        <f>INDEX(Portfolio_Categorisation!$E$12:$E$15,MATCH($B$2,Portfolio_Categorisation!$C$12:$C$15,0))</f>
        <v>123</v>
      </c>
      <c r="AS571" s="545">
        <f>INDEX(Portfolio_Categorisation!$E$12:$E$15,MATCH($B$2,Portfolio_Categorisation!$C$12:$C$15,0))</f>
        <v>123</v>
      </c>
      <c r="AT571" s="545">
        <f>INDEX(Portfolio_Categorisation!$E$12:$E$15,MATCH($B$2,Portfolio_Categorisation!$C$12:$C$15,0))</f>
        <v>123</v>
      </c>
      <c r="AU571" s="545">
        <f>INDEX(Portfolio_Categorisation!$E$12:$E$15,MATCH($B$2,Portfolio_Categorisation!$C$12:$C$15,0))</f>
        <v>123</v>
      </c>
      <c r="AV571" s="545">
        <f>INDEX(Portfolio_Categorisation!$E$12:$E$15,MATCH($B$2,Portfolio_Categorisation!$C$12:$C$15,0))</f>
        <v>123</v>
      </c>
      <c r="AW571" s="545">
        <f>INDEX(Portfolio_Categorisation!$E$12:$E$15,MATCH($B$2,Portfolio_Categorisation!$C$12:$C$15,0))</f>
        <v>123</v>
      </c>
      <c r="AX571" s="545">
        <f>INDEX(Portfolio_Categorisation!$E$12:$E$15,MATCH($B$2,Portfolio_Categorisation!$C$12:$C$15,0))</f>
        <v>123</v>
      </c>
      <c r="AY571" s="545">
        <f>INDEX(Portfolio_Categorisation!$E$12:$E$15,MATCH($B$2,Portfolio_Categorisation!$C$12:$C$15,0))</f>
        <v>123</v>
      </c>
      <c r="AZ571" s="545">
        <f>INDEX(Portfolio_Categorisation!$E$12:$E$15,MATCH($B$2,Portfolio_Categorisation!$C$12:$C$15,0))</f>
        <v>123</v>
      </c>
      <c r="BA571" s="545">
        <f>INDEX(Portfolio_Categorisation!$E$12:$E$15,MATCH($B$2,Portfolio_Categorisation!$C$12:$C$15,0))</f>
        <v>123</v>
      </c>
      <c r="BB571" s="545">
        <f>INDEX(Portfolio_Categorisation!$E$12:$E$15,MATCH($B$2,Portfolio_Categorisation!$C$12:$C$15,0))</f>
        <v>123</v>
      </c>
      <c r="BC571" s="545">
        <f>INDEX(Portfolio_Categorisation!$E$12:$E$15,MATCH($B$2,Portfolio_Categorisation!$C$12:$C$15,0))</f>
        <v>123</v>
      </c>
      <c r="BD571" s="545">
        <f>INDEX(Portfolio_Categorisation!$E$12:$E$15,MATCH($B$2,Portfolio_Categorisation!$C$12:$C$15,0))</f>
        <v>123</v>
      </c>
      <c r="BE571" s="545">
        <f>INDEX(Portfolio_Categorisation!$E$12:$E$15,MATCH($B$2,Portfolio_Categorisation!$C$12:$C$15,0))</f>
        <v>123</v>
      </c>
      <c r="BF571" s="545">
        <f>INDEX(Portfolio_Categorisation!$E$12:$E$15,MATCH($B$2,Portfolio_Categorisation!$C$12:$C$15,0))</f>
        <v>123</v>
      </c>
      <c r="BG571" s="545">
        <f>INDEX(Portfolio_Categorisation!$E$12:$E$15,MATCH($B$2,Portfolio_Categorisation!$C$12:$C$15,0))</f>
        <v>123</v>
      </c>
      <c r="BH571" s="545">
        <f>INDEX(Portfolio_Categorisation!$E$12:$E$15,MATCH($B$2,Portfolio_Categorisation!$C$12:$C$15,0))</f>
        <v>123</v>
      </c>
      <c r="BI571" s="545">
        <f>INDEX(Portfolio_Categorisation!$E$12:$E$15,MATCH($B$2,Portfolio_Categorisation!$C$12:$C$15,0))</f>
        <v>123</v>
      </c>
      <c r="BJ571" s="545">
        <f>INDEX(Portfolio_Categorisation!$E$12:$E$15,MATCH($B$2,Portfolio_Categorisation!$C$12:$C$15,0))</f>
        <v>123</v>
      </c>
      <c r="BK571" s="545">
        <f>INDEX(Portfolio_Categorisation!$E$12:$E$15,MATCH($B$2,Portfolio_Categorisation!$C$12:$C$15,0))</f>
        <v>123</v>
      </c>
      <c r="BL571" s="545">
        <f>INDEX(Portfolio_Categorisation!$E$12:$E$15,MATCH($B$2,Portfolio_Categorisation!$C$12:$C$15,0))</f>
        <v>123</v>
      </c>
      <c r="BM571" s="545">
        <f>INDEX(Portfolio_Categorisation!$E$12:$E$15,MATCH($B$2,Portfolio_Categorisation!$C$12:$C$15,0))</f>
        <v>123</v>
      </c>
      <c r="BN571" s="545">
        <f>INDEX(Portfolio_Categorisation!$E$12:$E$15,MATCH($B$2,Portfolio_Categorisation!$C$12:$C$15,0))</f>
        <v>123</v>
      </c>
      <c r="BO571" s="545">
        <f>INDEX(Portfolio_Categorisation!$E$12:$E$15,MATCH($B$2,Portfolio_Categorisation!$C$12:$C$15,0))</f>
        <v>123</v>
      </c>
      <c r="BP571" s="545">
        <f>INDEX(Portfolio_Categorisation!$E$12:$E$15,MATCH($B$2,Portfolio_Categorisation!$C$12:$C$15,0))</f>
        <v>123</v>
      </c>
      <c r="BQ571" s="545">
        <f>INDEX(Portfolio_Categorisation!$E$12:$E$15,MATCH($B$2,Portfolio_Categorisation!$C$12:$C$15,0))</f>
        <v>123</v>
      </c>
      <c r="BR571" s="545">
        <f>INDEX(Portfolio_Categorisation!$E$12:$E$15,MATCH($B$2,Portfolio_Categorisation!$C$12:$C$15,0))</f>
        <v>123</v>
      </c>
      <c r="BS571" s="545">
        <f>INDEX(Portfolio_Categorisation!$E$12:$E$15,MATCH($B$2,Portfolio_Categorisation!$C$12:$C$15,0))</f>
        <v>123</v>
      </c>
      <c r="BT571" s="545">
        <f>INDEX(Portfolio_Categorisation!$E$12:$E$15,MATCH($B$2,Portfolio_Categorisation!$C$12:$C$15,0))</f>
        <v>123</v>
      </c>
      <c r="BU571" s="545">
        <f>INDEX(Portfolio_Categorisation!$E$12:$E$15,MATCH($B$2,Portfolio_Categorisation!$C$12:$C$15,0))</f>
        <v>123</v>
      </c>
      <c r="BV571" s="545">
        <f>INDEX(Portfolio_Categorisation!$E$12:$E$15,MATCH($B$2,Portfolio_Categorisation!$C$12:$C$15,0))</f>
        <v>123</v>
      </c>
      <c r="BW571" s="545">
        <f>INDEX(Portfolio_Categorisation!$E$12:$E$15,MATCH($B$2,Portfolio_Categorisation!$C$12:$C$15,0))</f>
        <v>123</v>
      </c>
      <c r="BX571" s="545">
        <f>INDEX(Portfolio_Categorisation!$E$12:$E$15,MATCH($B$2,Portfolio_Categorisation!$C$12:$C$15,0))</f>
        <v>123</v>
      </c>
      <c r="BY571" s="545">
        <f>INDEX(Portfolio_Categorisation!$E$12:$E$15,MATCH($B$2,Portfolio_Categorisation!$C$12:$C$15,0))</f>
        <v>123</v>
      </c>
    </row>
    <row r="572" spans="1:77" x14ac:dyDescent="0.3">
      <c r="A572" s="537"/>
      <c r="B572" s="522"/>
      <c r="C572" s="522"/>
      <c r="D572" s="522"/>
      <c r="E572" s="537"/>
      <c r="F572" s="537"/>
      <c r="G572" s="537"/>
      <c r="H572" s="529"/>
      <c r="I572" s="537"/>
      <c r="J572" s="537"/>
      <c r="K572" s="537"/>
      <c r="L572" s="537"/>
      <c r="M572" s="537"/>
      <c r="N572" s="537"/>
      <c r="O572" s="529"/>
      <c r="P572" s="660"/>
      <c r="Q572" s="537"/>
      <c r="R572" s="537"/>
      <c r="S572" s="537"/>
      <c r="T572" s="537"/>
      <c r="U572" s="537"/>
      <c r="V572" s="537"/>
      <c r="W572" s="537"/>
      <c r="X572" s="537"/>
      <c r="Y572" s="537"/>
      <c r="Z572" s="537"/>
      <c r="AA572" s="537"/>
      <c r="AB572" s="537"/>
      <c r="AC572" s="537"/>
      <c r="AD572" s="537"/>
      <c r="AE572" s="537"/>
      <c r="AF572" s="537"/>
      <c r="AG572" s="537"/>
      <c r="AH572" s="537"/>
      <c r="AI572" s="537"/>
      <c r="AJ572" s="537"/>
      <c r="AK572" s="537"/>
      <c r="AL572" s="537"/>
      <c r="AM572" s="537"/>
      <c r="AN572" s="537"/>
      <c r="AO572" s="537"/>
      <c r="AP572" s="537"/>
      <c r="AQ572" s="537"/>
      <c r="AR572" s="537"/>
      <c r="AS572" s="537"/>
      <c r="AT572" s="537"/>
      <c r="AU572" s="537"/>
      <c r="AV572" s="537"/>
      <c r="AW572" s="537"/>
      <c r="AX572" s="537"/>
      <c r="AY572" s="537"/>
      <c r="AZ572" s="537"/>
      <c r="BA572" s="537"/>
      <c r="BB572" s="537"/>
      <c r="BC572" s="537"/>
      <c r="BD572" s="537"/>
      <c r="BE572" s="537"/>
      <c r="BF572" s="537"/>
      <c r="BG572" s="537"/>
      <c r="BH572" s="537"/>
      <c r="BI572" s="537"/>
      <c r="BJ572" s="537"/>
      <c r="BK572" s="537"/>
      <c r="BL572" s="537"/>
      <c r="BM572" s="537"/>
      <c r="BN572" s="537"/>
      <c r="BO572" s="537"/>
      <c r="BP572" s="537"/>
      <c r="BQ572" s="537"/>
      <c r="BR572" s="537"/>
      <c r="BS572" s="537"/>
      <c r="BT572" s="537"/>
      <c r="BU572" s="537"/>
      <c r="BV572" s="537"/>
      <c r="BW572" s="537"/>
      <c r="BX572" s="537"/>
      <c r="BY572" s="537"/>
    </row>
    <row r="573" spans="1:77" x14ac:dyDescent="0.3">
      <c r="A573" s="551"/>
      <c r="B573" s="522"/>
      <c r="C573" s="522"/>
      <c r="D573" s="522"/>
      <c r="E573" s="525" t="s">
        <v>373</v>
      </c>
      <c r="F573" s="567"/>
      <c r="G573" s="567"/>
      <c r="H573" s="529"/>
      <c r="I573" s="527">
        <f t="shared" ref="I573:N573" si="738">I507/I$571</f>
        <v>172.77980047720976</v>
      </c>
      <c r="J573" s="527">
        <f t="shared" si="738"/>
        <v>172.77980047720976</v>
      </c>
      <c r="K573" s="527">
        <f t="shared" si="738"/>
        <v>172.77980047720976</v>
      </c>
      <c r="L573" s="527">
        <f t="shared" si="738"/>
        <v>172.77980047720976</v>
      </c>
      <c r="M573" s="527">
        <f t="shared" si="738"/>
        <v>172.77980047720976</v>
      </c>
      <c r="N573" s="527">
        <f t="shared" si="738"/>
        <v>172.77980047720976</v>
      </c>
      <c r="O573" s="529"/>
      <c r="P573" s="568">
        <f>IFERROR(((N573/I573)^(1/5))-1,0)</f>
        <v>0</v>
      </c>
      <c r="Q573" s="537"/>
      <c r="R573" s="527">
        <f t="shared" ref="R573:AW573" si="739">R509/R$571</f>
        <v>6.5810597108800257</v>
      </c>
      <c r="S573" s="527">
        <f t="shared" si="739"/>
        <v>6.5810597108800257</v>
      </c>
      <c r="T573" s="527">
        <f t="shared" si="739"/>
        <v>6.5810597108800257</v>
      </c>
      <c r="U573" s="527">
        <f t="shared" si="739"/>
        <v>6.5810597108800257</v>
      </c>
      <c r="V573" s="527">
        <f t="shared" si="739"/>
        <v>6.5810597108800257</v>
      </c>
      <c r="W573" s="527">
        <f t="shared" si="739"/>
        <v>6.5810597108800257</v>
      </c>
      <c r="X573" s="527">
        <f t="shared" si="739"/>
        <v>6.5810597108800257</v>
      </c>
      <c r="Y573" s="527">
        <f t="shared" si="739"/>
        <v>6.5810597108800257</v>
      </c>
      <c r="Z573" s="527">
        <f t="shared" si="739"/>
        <v>6.5810597108800257</v>
      </c>
      <c r="AA573" s="527">
        <f t="shared" si="739"/>
        <v>6.5810597108800257</v>
      </c>
      <c r="AB573" s="527">
        <f t="shared" si="739"/>
        <v>6.5810597108800257</v>
      </c>
      <c r="AC573" s="527">
        <f t="shared" si="739"/>
        <v>6.5810597108800257</v>
      </c>
      <c r="AD573" s="527">
        <f t="shared" si="739"/>
        <v>6.8213096403092877</v>
      </c>
      <c r="AE573" s="527">
        <f t="shared" si="739"/>
        <v>6.8213096403092877</v>
      </c>
      <c r="AF573" s="527">
        <f t="shared" si="739"/>
        <v>6.8213096403092877</v>
      </c>
      <c r="AG573" s="527">
        <f t="shared" si="739"/>
        <v>6.8213096403092877</v>
      </c>
      <c r="AH573" s="527">
        <f t="shared" si="739"/>
        <v>6.8213096403092877</v>
      </c>
      <c r="AI573" s="527">
        <f t="shared" si="739"/>
        <v>6.8213096403092877</v>
      </c>
      <c r="AJ573" s="527">
        <f t="shared" si="739"/>
        <v>6.8213096403092877</v>
      </c>
      <c r="AK573" s="527">
        <f t="shared" si="739"/>
        <v>6.8213096403092877</v>
      </c>
      <c r="AL573" s="527">
        <f t="shared" si="739"/>
        <v>6.8213096403092877</v>
      </c>
      <c r="AM573" s="527">
        <f t="shared" si="739"/>
        <v>6.8213096403092877</v>
      </c>
      <c r="AN573" s="527">
        <f t="shared" si="739"/>
        <v>6.8213096403092877</v>
      </c>
      <c r="AO573" s="527">
        <f t="shared" si="739"/>
        <v>6.8213096403092877</v>
      </c>
      <c r="AP573" s="527">
        <f t="shared" si="739"/>
        <v>7.0619233746744694</v>
      </c>
      <c r="AQ573" s="527">
        <f t="shared" si="739"/>
        <v>7.0619233746744694</v>
      </c>
      <c r="AR573" s="527">
        <f t="shared" si="739"/>
        <v>7.0619233746744694</v>
      </c>
      <c r="AS573" s="527">
        <f t="shared" si="739"/>
        <v>7.0619233746744694</v>
      </c>
      <c r="AT573" s="527">
        <f t="shared" si="739"/>
        <v>7.0619233746744694</v>
      </c>
      <c r="AU573" s="527">
        <f t="shared" si="739"/>
        <v>7.0619233746744694</v>
      </c>
      <c r="AV573" s="527">
        <f t="shared" si="739"/>
        <v>7.0619233746744694</v>
      </c>
      <c r="AW573" s="527">
        <f t="shared" si="739"/>
        <v>7.0619233746744694</v>
      </c>
      <c r="AX573" s="527">
        <f t="shared" ref="AX573:BY573" si="740">AX509/AX$571</f>
        <v>7.0619233746744694</v>
      </c>
      <c r="AY573" s="527">
        <f t="shared" si="740"/>
        <v>7.0619233746744694</v>
      </c>
      <c r="AZ573" s="527">
        <f t="shared" si="740"/>
        <v>7.0619233746744694</v>
      </c>
      <c r="BA573" s="527">
        <f t="shared" si="740"/>
        <v>7.0619233746744694</v>
      </c>
      <c r="BB573" s="527">
        <f t="shared" si="740"/>
        <v>7.3013233561421274</v>
      </c>
      <c r="BC573" s="527">
        <f t="shared" si="740"/>
        <v>7.3013233561421274</v>
      </c>
      <c r="BD573" s="527">
        <f t="shared" si="740"/>
        <v>7.3013233561421274</v>
      </c>
      <c r="BE573" s="527">
        <f t="shared" si="740"/>
        <v>7.3013233561421274</v>
      </c>
      <c r="BF573" s="527">
        <f t="shared" si="740"/>
        <v>7.3013233561421274</v>
      </c>
      <c r="BG573" s="527">
        <f t="shared" si="740"/>
        <v>7.3013233561421274</v>
      </c>
      <c r="BH573" s="527">
        <f t="shared" si="740"/>
        <v>7.3013233561421274</v>
      </c>
      <c r="BI573" s="527">
        <f t="shared" si="740"/>
        <v>7.3013233561421274</v>
      </c>
      <c r="BJ573" s="527">
        <f t="shared" si="740"/>
        <v>7.3013233561421274</v>
      </c>
      <c r="BK573" s="527">
        <f t="shared" si="740"/>
        <v>7.3013233561421274</v>
      </c>
      <c r="BL573" s="527">
        <f t="shared" si="740"/>
        <v>7.3013233561421274</v>
      </c>
      <c r="BM573" s="527">
        <f t="shared" si="740"/>
        <v>7.3013233561421274</v>
      </c>
      <c r="BN573" s="527">
        <f t="shared" si="740"/>
        <v>7.5489565679027448</v>
      </c>
      <c r="BO573" s="527">
        <f t="shared" si="740"/>
        <v>7.5489565679027448</v>
      </c>
      <c r="BP573" s="527">
        <f t="shared" si="740"/>
        <v>7.5489565679027448</v>
      </c>
      <c r="BQ573" s="527">
        <f t="shared" si="740"/>
        <v>7.5489565679027448</v>
      </c>
      <c r="BR573" s="527">
        <f t="shared" si="740"/>
        <v>7.5489565679027448</v>
      </c>
      <c r="BS573" s="527">
        <f t="shared" si="740"/>
        <v>7.5489565679027448</v>
      </c>
      <c r="BT573" s="527">
        <f t="shared" si="740"/>
        <v>7.5489565679027448</v>
      </c>
      <c r="BU573" s="527">
        <f t="shared" si="740"/>
        <v>7.5489565679027448</v>
      </c>
      <c r="BV573" s="527">
        <f t="shared" si="740"/>
        <v>7.5489565679027448</v>
      </c>
      <c r="BW573" s="527">
        <f t="shared" si="740"/>
        <v>7.5489565679027448</v>
      </c>
      <c r="BX573" s="527">
        <f t="shared" si="740"/>
        <v>7.5489565679027448</v>
      </c>
      <c r="BY573" s="527">
        <f t="shared" si="740"/>
        <v>7.5489565679027448</v>
      </c>
    </row>
    <row r="574" spans="1:77" x14ac:dyDescent="0.3">
      <c r="A574" s="551"/>
      <c r="B574" s="522"/>
      <c r="C574" s="522"/>
      <c r="D574" s="522"/>
      <c r="E574" s="525"/>
      <c r="F574" s="529"/>
      <c r="G574" s="529"/>
      <c r="H574" s="537"/>
      <c r="I574" s="529"/>
      <c r="J574" s="667"/>
      <c r="K574" s="529"/>
      <c r="L574" s="529"/>
      <c r="M574" s="529"/>
      <c r="N574" s="529"/>
      <c r="O574" s="529"/>
      <c r="P574" s="660"/>
      <c r="Q574" s="537"/>
      <c r="R574" s="529"/>
      <c r="S574" s="529"/>
      <c r="T574" s="529"/>
      <c r="U574" s="529"/>
      <c r="V574" s="529"/>
      <c r="W574" s="529"/>
      <c r="X574" s="529"/>
      <c r="Y574" s="529"/>
      <c r="Z574" s="529"/>
      <c r="AA574" s="529"/>
      <c r="AB574" s="529"/>
      <c r="AC574" s="529"/>
      <c r="AD574" s="529"/>
      <c r="AE574" s="529"/>
      <c r="AF574" s="529"/>
      <c r="AG574" s="529"/>
      <c r="AH574" s="529"/>
      <c r="AI574" s="529"/>
      <c r="AJ574" s="529"/>
      <c r="AK574" s="529"/>
      <c r="AL574" s="529"/>
      <c r="AM574" s="529"/>
      <c r="AN574" s="529"/>
      <c r="AO574" s="529"/>
      <c r="AP574" s="529"/>
      <c r="AQ574" s="529"/>
      <c r="AR574" s="529"/>
      <c r="AS574" s="529"/>
      <c r="AT574" s="529"/>
      <c r="AU574" s="529"/>
      <c r="AV574" s="529"/>
      <c r="AW574" s="529"/>
      <c r="AX574" s="529"/>
      <c r="AY574" s="529"/>
      <c r="AZ574" s="529"/>
      <c r="BA574" s="529"/>
      <c r="BB574" s="529"/>
      <c r="BC574" s="529"/>
      <c r="BD574" s="529"/>
      <c r="BE574" s="529"/>
      <c r="BF574" s="529"/>
      <c r="BG574" s="529"/>
      <c r="BH574" s="529"/>
      <c r="BI574" s="529"/>
      <c r="BJ574" s="529"/>
      <c r="BK574" s="529"/>
      <c r="BL574" s="529"/>
      <c r="BM574" s="529"/>
      <c r="BN574" s="529"/>
      <c r="BO574" s="529"/>
      <c r="BP574" s="529"/>
      <c r="BQ574" s="529"/>
      <c r="BR574" s="529"/>
      <c r="BS574" s="529"/>
      <c r="BT574" s="529"/>
      <c r="BU574" s="529"/>
      <c r="BV574" s="529"/>
      <c r="BW574" s="529"/>
      <c r="BX574" s="529"/>
      <c r="BY574" s="529"/>
    </row>
    <row r="575" spans="1:77" x14ac:dyDescent="0.3">
      <c r="A575" s="551"/>
      <c r="B575" s="522"/>
      <c r="C575" s="522"/>
      <c r="D575" s="522"/>
      <c r="E575" s="570" t="s">
        <v>22</v>
      </c>
      <c r="F575" s="529"/>
      <c r="G575" s="529"/>
      <c r="H575" s="537"/>
      <c r="I575" s="529"/>
      <c r="J575" s="529"/>
      <c r="K575" s="529"/>
      <c r="L575" s="529"/>
      <c r="M575" s="529"/>
      <c r="N575" s="529"/>
      <c r="O575" s="529"/>
      <c r="P575" s="660"/>
      <c r="Q575" s="537"/>
      <c r="R575" s="529"/>
      <c r="S575" s="529"/>
      <c r="T575" s="529"/>
      <c r="U575" s="529"/>
      <c r="V575" s="529"/>
      <c r="W575" s="529"/>
      <c r="X575" s="529"/>
      <c r="Y575" s="529"/>
      <c r="Z575" s="529"/>
      <c r="AA575" s="529"/>
      <c r="AB575" s="529"/>
      <c r="AC575" s="529"/>
      <c r="AD575" s="529"/>
      <c r="AE575" s="529"/>
      <c r="AF575" s="529"/>
      <c r="AG575" s="529"/>
      <c r="AH575" s="529"/>
      <c r="AI575" s="529"/>
      <c r="AJ575" s="529"/>
      <c r="AK575" s="529"/>
      <c r="AL575" s="529"/>
      <c r="AM575" s="529"/>
      <c r="AN575" s="529"/>
      <c r="AO575" s="529"/>
      <c r="AP575" s="529"/>
      <c r="AQ575" s="529"/>
      <c r="AR575" s="529"/>
      <c r="AS575" s="529"/>
      <c r="AT575" s="529"/>
      <c r="AU575" s="529"/>
      <c r="AV575" s="529"/>
      <c r="AW575" s="529"/>
      <c r="AX575" s="529"/>
      <c r="AY575" s="529"/>
      <c r="AZ575" s="529"/>
      <c r="BA575" s="529"/>
      <c r="BB575" s="529"/>
      <c r="BC575" s="529"/>
      <c r="BD575" s="529"/>
      <c r="BE575" s="529"/>
      <c r="BF575" s="529"/>
      <c r="BG575" s="529"/>
      <c r="BH575" s="529"/>
      <c r="BI575" s="529"/>
      <c r="BJ575" s="529"/>
      <c r="BK575" s="529"/>
      <c r="BL575" s="529"/>
      <c r="BM575" s="529"/>
      <c r="BN575" s="529"/>
      <c r="BO575" s="529"/>
      <c r="BP575" s="529"/>
      <c r="BQ575" s="529"/>
      <c r="BR575" s="529"/>
      <c r="BS575" s="529"/>
      <c r="BT575" s="529"/>
      <c r="BU575" s="529"/>
      <c r="BV575" s="529"/>
      <c r="BW575" s="529"/>
      <c r="BX575" s="529"/>
      <c r="BY575" s="529"/>
    </row>
    <row r="576" spans="1:77" x14ac:dyDescent="0.3">
      <c r="A576" s="551"/>
      <c r="B576" s="522"/>
      <c r="C576" s="522"/>
      <c r="D576" s="522"/>
      <c r="E576" s="572" t="s">
        <v>388</v>
      </c>
      <c r="F576" s="573"/>
      <c r="G576" s="573"/>
      <c r="H576" s="537"/>
      <c r="I576" s="530">
        <f t="shared" ref="I576:N581" si="741">I512/I$571</f>
        <v>134802.52611899853</v>
      </c>
      <c r="J576" s="530">
        <f t="shared" si="741"/>
        <v>139860.1246042579</v>
      </c>
      <c r="K576" s="530">
        <f t="shared" si="741"/>
        <v>144965.89579344646</v>
      </c>
      <c r="L576" s="530">
        <f t="shared" si="741"/>
        <v>150079.39853437664</v>
      </c>
      <c r="M576" s="530">
        <f t="shared" si="741"/>
        <v>155167.10670134088</v>
      </c>
      <c r="N576" s="530">
        <f t="shared" si="741"/>
        <v>160429.78678244306</v>
      </c>
      <c r="O576" s="536"/>
      <c r="P576" s="568">
        <f>IFERROR(((N576/I576)^(1/5))-1,0)</f>
        <v>3.5422016117806487E-2</v>
      </c>
      <c r="Q576" s="537"/>
      <c r="R576" s="530">
        <f t="shared" ref="R576:AW576" si="742">R512/R$571</f>
        <v>11655.010383688159</v>
      </c>
      <c r="S576" s="530">
        <f t="shared" si="742"/>
        <v>11655.010383688159</v>
      </c>
      <c r="T576" s="530">
        <f t="shared" si="742"/>
        <v>11655.010383688159</v>
      </c>
      <c r="U576" s="530">
        <f t="shared" si="742"/>
        <v>11655.010383688159</v>
      </c>
      <c r="V576" s="530">
        <f t="shared" si="742"/>
        <v>11655.010383688159</v>
      </c>
      <c r="W576" s="530">
        <f t="shared" si="742"/>
        <v>11655.010383688159</v>
      </c>
      <c r="X576" s="530">
        <f t="shared" si="742"/>
        <v>11655.010383688159</v>
      </c>
      <c r="Y576" s="530">
        <f t="shared" si="742"/>
        <v>11655.010383688159</v>
      </c>
      <c r="Z576" s="530">
        <f t="shared" si="742"/>
        <v>11655.010383688159</v>
      </c>
      <c r="AA576" s="530">
        <f t="shared" si="742"/>
        <v>11655.010383688159</v>
      </c>
      <c r="AB576" s="530">
        <f t="shared" si="742"/>
        <v>11655.010383688159</v>
      </c>
      <c r="AC576" s="530">
        <f t="shared" si="742"/>
        <v>11655.010383688159</v>
      </c>
      <c r="AD576" s="530">
        <f t="shared" si="742"/>
        <v>12080.491316120539</v>
      </c>
      <c r="AE576" s="530">
        <f t="shared" si="742"/>
        <v>12080.491316120539</v>
      </c>
      <c r="AF576" s="530">
        <f t="shared" si="742"/>
        <v>12080.491316120539</v>
      </c>
      <c r="AG576" s="530">
        <f t="shared" si="742"/>
        <v>12080.491316120539</v>
      </c>
      <c r="AH576" s="530">
        <f t="shared" si="742"/>
        <v>12080.491316120539</v>
      </c>
      <c r="AI576" s="530">
        <f t="shared" si="742"/>
        <v>12080.491316120539</v>
      </c>
      <c r="AJ576" s="530">
        <f t="shared" si="742"/>
        <v>12080.491316120539</v>
      </c>
      <c r="AK576" s="530">
        <f t="shared" si="742"/>
        <v>12080.491316120539</v>
      </c>
      <c r="AL576" s="530">
        <f t="shared" si="742"/>
        <v>12080.491316120539</v>
      </c>
      <c r="AM576" s="530">
        <f t="shared" si="742"/>
        <v>12080.491316120539</v>
      </c>
      <c r="AN576" s="530">
        <f t="shared" si="742"/>
        <v>12080.491316120539</v>
      </c>
      <c r="AO576" s="530">
        <f t="shared" si="742"/>
        <v>12080.491316120539</v>
      </c>
      <c r="AP576" s="530">
        <f t="shared" si="742"/>
        <v>12506.616544531385</v>
      </c>
      <c r="AQ576" s="530">
        <f t="shared" si="742"/>
        <v>12506.616544531385</v>
      </c>
      <c r="AR576" s="530">
        <f t="shared" si="742"/>
        <v>12506.616544531385</v>
      </c>
      <c r="AS576" s="530">
        <f t="shared" si="742"/>
        <v>12506.616544531385</v>
      </c>
      <c r="AT576" s="530">
        <f t="shared" si="742"/>
        <v>12506.616544531385</v>
      </c>
      <c r="AU576" s="530">
        <f t="shared" si="742"/>
        <v>12506.616544531385</v>
      </c>
      <c r="AV576" s="530">
        <f t="shared" si="742"/>
        <v>12506.616544531385</v>
      </c>
      <c r="AW576" s="530">
        <f t="shared" si="742"/>
        <v>12506.616544531385</v>
      </c>
      <c r="AX576" s="530">
        <f t="shared" ref="AX576:BY576" si="743">AX512/AX$571</f>
        <v>12506.616544531385</v>
      </c>
      <c r="AY576" s="530">
        <f t="shared" si="743"/>
        <v>12506.616544531385</v>
      </c>
      <c r="AZ576" s="530">
        <f t="shared" si="743"/>
        <v>12506.616544531385</v>
      </c>
      <c r="BA576" s="530">
        <f t="shared" si="743"/>
        <v>12506.616544531385</v>
      </c>
      <c r="BB576" s="530">
        <f t="shared" si="743"/>
        <v>12930.592225111739</v>
      </c>
      <c r="BC576" s="530">
        <f t="shared" si="743"/>
        <v>12930.592225111739</v>
      </c>
      <c r="BD576" s="530">
        <f t="shared" si="743"/>
        <v>12930.592225111739</v>
      </c>
      <c r="BE576" s="530">
        <f t="shared" si="743"/>
        <v>12930.592225111739</v>
      </c>
      <c r="BF576" s="530">
        <f t="shared" si="743"/>
        <v>12930.592225111739</v>
      </c>
      <c r="BG576" s="530">
        <f t="shared" si="743"/>
        <v>12930.592225111739</v>
      </c>
      <c r="BH576" s="530">
        <f t="shared" si="743"/>
        <v>12930.592225111739</v>
      </c>
      <c r="BI576" s="530">
        <f t="shared" si="743"/>
        <v>12930.592225111739</v>
      </c>
      <c r="BJ576" s="530">
        <f t="shared" si="743"/>
        <v>12930.592225111739</v>
      </c>
      <c r="BK576" s="530">
        <f t="shared" si="743"/>
        <v>12930.592225111739</v>
      </c>
      <c r="BL576" s="530">
        <f t="shared" si="743"/>
        <v>12930.592225111739</v>
      </c>
      <c r="BM576" s="530">
        <f t="shared" si="743"/>
        <v>12930.592225111739</v>
      </c>
      <c r="BN576" s="530">
        <f t="shared" si="743"/>
        <v>13369.148898536923</v>
      </c>
      <c r="BO576" s="530">
        <f t="shared" si="743"/>
        <v>13369.148898536923</v>
      </c>
      <c r="BP576" s="530">
        <f t="shared" si="743"/>
        <v>13369.148898536923</v>
      </c>
      <c r="BQ576" s="530">
        <f t="shared" si="743"/>
        <v>13369.148898536923</v>
      </c>
      <c r="BR576" s="530">
        <f t="shared" si="743"/>
        <v>13369.148898536923</v>
      </c>
      <c r="BS576" s="530">
        <f t="shared" si="743"/>
        <v>13369.148898536923</v>
      </c>
      <c r="BT576" s="530">
        <f t="shared" si="743"/>
        <v>13369.148898536923</v>
      </c>
      <c r="BU576" s="530">
        <f t="shared" si="743"/>
        <v>13369.148898536923</v>
      </c>
      <c r="BV576" s="530">
        <f t="shared" si="743"/>
        <v>13369.148898536923</v>
      </c>
      <c r="BW576" s="530">
        <f t="shared" si="743"/>
        <v>13369.148898536923</v>
      </c>
      <c r="BX576" s="530">
        <f t="shared" si="743"/>
        <v>13369.148898536923</v>
      </c>
      <c r="BY576" s="530">
        <f t="shared" si="743"/>
        <v>13369.148898536923</v>
      </c>
    </row>
    <row r="577" spans="1:80" x14ac:dyDescent="0.3">
      <c r="A577" s="551"/>
      <c r="B577" s="522"/>
      <c r="C577" s="522"/>
      <c r="D577" s="522"/>
      <c r="E577" s="525" t="s">
        <v>387</v>
      </c>
      <c r="F577" s="567"/>
      <c r="G577" s="567"/>
      <c r="H577" s="537"/>
      <c r="I577" s="527">
        <f t="shared" si="741"/>
        <v>-42812.56763782927</v>
      </c>
      <c r="J577" s="527">
        <f t="shared" si="741"/>
        <v>-43236.869489392833</v>
      </c>
      <c r="K577" s="527">
        <f t="shared" si="741"/>
        <v>-43669.657377987671</v>
      </c>
      <c r="L577" s="527">
        <f t="shared" si="741"/>
        <v>-44111.101024354401</v>
      </c>
      <c r="M577" s="527">
        <f t="shared" si="741"/>
        <v>-44561.373543648457</v>
      </c>
      <c r="N577" s="527">
        <f t="shared" si="741"/>
        <v>-45020.651513328405</v>
      </c>
      <c r="O577" s="529"/>
      <c r="P577" s="564">
        <f t="shared" ref="P577:P582" si="744">IFERROR(((N577/I577)^(1/5))-1,0)</f>
        <v>1.0108673133226498E-2</v>
      </c>
      <c r="Q577" s="537"/>
      <c r="R577" s="527">
        <f t="shared" ref="R577:AW577" si="745">R513/R$571</f>
        <v>-3603.0724574494029</v>
      </c>
      <c r="S577" s="527">
        <f t="shared" si="745"/>
        <v>-3603.0724574494029</v>
      </c>
      <c r="T577" s="527">
        <f t="shared" si="745"/>
        <v>-3603.0724574494029</v>
      </c>
      <c r="U577" s="527">
        <f t="shared" si="745"/>
        <v>-3603.0724574494029</v>
      </c>
      <c r="V577" s="527">
        <f t="shared" si="745"/>
        <v>-3603.0724574494029</v>
      </c>
      <c r="W577" s="527">
        <f t="shared" si="745"/>
        <v>-3603.0724574494029</v>
      </c>
      <c r="X577" s="527">
        <f t="shared" si="745"/>
        <v>-3603.0724574494029</v>
      </c>
      <c r="Y577" s="527">
        <f t="shared" si="745"/>
        <v>-3603.0724574494029</v>
      </c>
      <c r="Z577" s="527">
        <f t="shared" si="745"/>
        <v>-3603.0724574494029</v>
      </c>
      <c r="AA577" s="527">
        <f t="shared" si="745"/>
        <v>-3603.0724574494029</v>
      </c>
      <c r="AB577" s="527">
        <f t="shared" si="745"/>
        <v>-3603.0724574494029</v>
      </c>
      <c r="AC577" s="527">
        <f t="shared" si="745"/>
        <v>-3603.0724574494029</v>
      </c>
      <c r="AD577" s="527">
        <f t="shared" si="745"/>
        <v>-3639.1381148323057</v>
      </c>
      <c r="AE577" s="527">
        <f t="shared" si="745"/>
        <v>-3639.1381148323057</v>
      </c>
      <c r="AF577" s="527">
        <f t="shared" si="745"/>
        <v>-3639.1381148323057</v>
      </c>
      <c r="AG577" s="527">
        <f t="shared" si="745"/>
        <v>-3639.1381148323057</v>
      </c>
      <c r="AH577" s="527">
        <f t="shared" si="745"/>
        <v>-3639.1381148323057</v>
      </c>
      <c r="AI577" s="527">
        <f t="shared" si="745"/>
        <v>-3639.1381148323057</v>
      </c>
      <c r="AJ577" s="527">
        <f t="shared" si="745"/>
        <v>-3639.1381148323057</v>
      </c>
      <c r="AK577" s="527">
        <f t="shared" si="745"/>
        <v>-3639.1381148323057</v>
      </c>
      <c r="AL577" s="527">
        <f t="shared" si="745"/>
        <v>-3639.1381148323057</v>
      </c>
      <c r="AM577" s="527">
        <f t="shared" si="745"/>
        <v>-3639.1381148323057</v>
      </c>
      <c r="AN577" s="527">
        <f t="shared" si="745"/>
        <v>-3639.1381148323057</v>
      </c>
      <c r="AO577" s="527">
        <f t="shared" si="745"/>
        <v>-3639.1381148323057</v>
      </c>
      <c r="AP577" s="527">
        <f t="shared" si="745"/>
        <v>-3675.9250853628664</v>
      </c>
      <c r="AQ577" s="527">
        <f t="shared" si="745"/>
        <v>-3675.9250853628664</v>
      </c>
      <c r="AR577" s="527">
        <f t="shared" si="745"/>
        <v>-3675.9250853628664</v>
      </c>
      <c r="AS577" s="527">
        <f t="shared" si="745"/>
        <v>-3675.9250853628664</v>
      </c>
      <c r="AT577" s="527">
        <f t="shared" si="745"/>
        <v>-3675.9250853628664</v>
      </c>
      <c r="AU577" s="527">
        <f t="shared" si="745"/>
        <v>-3675.9250853628664</v>
      </c>
      <c r="AV577" s="527">
        <f t="shared" si="745"/>
        <v>-3675.9250853628664</v>
      </c>
      <c r="AW577" s="527">
        <f t="shared" si="745"/>
        <v>-3675.9250853628664</v>
      </c>
      <c r="AX577" s="527">
        <f t="shared" ref="AX577:BY577" si="746">AX513/AX$571</f>
        <v>-3675.9250853628664</v>
      </c>
      <c r="AY577" s="527">
        <f t="shared" si="746"/>
        <v>-3675.9250853628664</v>
      </c>
      <c r="AZ577" s="527">
        <f t="shared" si="746"/>
        <v>-3675.9250853628664</v>
      </c>
      <c r="BA577" s="527">
        <f t="shared" si="746"/>
        <v>-3675.9250853628664</v>
      </c>
      <c r="BB577" s="527">
        <f t="shared" si="746"/>
        <v>-3713.4477953040382</v>
      </c>
      <c r="BC577" s="527">
        <f t="shared" si="746"/>
        <v>-3713.4477953040382</v>
      </c>
      <c r="BD577" s="527">
        <f t="shared" si="746"/>
        <v>-3713.4477953040382</v>
      </c>
      <c r="BE577" s="527">
        <f t="shared" si="746"/>
        <v>-3713.4477953040382</v>
      </c>
      <c r="BF577" s="527">
        <f t="shared" si="746"/>
        <v>-3713.4477953040382</v>
      </c>
      <c r="BG577" s="527">
        <f t="shared" si="746"/>
        <v>-3713.4477953040382</v>
      </c>
      <c r="BH577" s="527">
        <f t="shared" si="746"/>
        <v>-3713.4477953040382</v>
      </c>
      <c r="BI577" s="527">
        <f t="shared" si="746"/>
        <v>-3713.4477953040382</v>
      </c>
      <c r="BJ577" s="527">
        <f t="shared" si="746"/>
        <v>-3713.4477953040382</v>
      </c>
      <c r="BK577" s="527">
        <f t="shared" si="746"/>
        <v>-3713.4477953040382</v>
      </c>
      <c r="BL577" s="527">
        <f t="shared" si="746"/>
        <v>-3713.4477953040382</v>
      </c>
      <c r="BM577" s="527">
        <f t="shared" si="746"/>
        <v>-3713.4477953040382</v>
      </c>
      <c r="BN577" s="527">
        <f t="shared" si="746"/>
        <v>-3751.7209594440337</v>
      </c>
      <c r="BO577" s="527">
        <f t="shared" si="746"/>
        <v>-3751.7209594440337</v>
      </c>
      <c r="BP577" s="527">
        <f t="shared" si="746"/>
        <v>-3751.7209594440337</v>
      </c>
      <c r="BQ577" s="527">
        <f t="shared" si="746"/>
        <v>-3751.7209594440337</v>
      </c>
      <c r="BR577" s="527">
        <f t="shared" si="746"/>
        <v>-3751.7209594440337</v>
      </c>
      <c r="BS577" s="527">
        <f t="shared" si="746"/>
        <v>-3751.7209594440337</v>
      </c>
      <c r="BT577" s="527">
        <f t="shared" si="746"/>
        <v>-3751.7209594440337</v>
      </c>
      <c r="BU577" s="527">
        <f t="shared" si="746"/>
        <v>-3751.7209594440337</v>
      </c>
      <c r="BV577" s="527">
        <f t="shared" si="746"/>
        <v>-3751.7209594440337</v>
      </c>
      <c r="BW577" s="527">
        <f t="shared" si="746"/>
        <v>-3751.7209594440337</v>
      </c>
      <c r="BX577" s="527">
        <f t="shared" si="746"/>
        <v>-3751.7209594440337</v>
      </c>
      <c r="BY577" s="527">
        <f t="shared" si="746"/>
        <v>-3751.7209594440337</v>
      </c>
      <c r="BZ577" s="537"/>
      <c r="CA577" s="537"/>
      <c r="CB577" s="537"/>
    </row>
    <row r="578" spans="1:80" x14ac:dyDescent="0.3">
      <c r="A578" s="551"/>
      <c r="B578" s="522"/>
      <c r="C578" s="522"/>
      <c r="D578" s="522"/>
      <c r="E578" s="525" t="s">
        <v>386</v>
      </c>
      <c r="F578" s="567"/>
      <c r="G578" s="567"/>
      <c r="H578" s="537"/>
      <c r="I578" s="527">
        <f t="shared" si="741"/>
        <v>-7419.9488364265926</v>
      </c>
      <c r="J578" s="527">
        <f t="shared" si="741"/>
        <v>-7568.3478131551246</v>
      </c>
      <c r="K578" s="527">
        <f t="shared" si="741"/>
        <v>-7719.7147694182268</v>
      </c>
      <c r="L578" s="527">
        <f t="shared" si="741"/>
        <v>-7874.109064806592</v>
      </c>
      <c r="M578" s="527">
        <f t="shared" si="741"/>
        <v>-8031.5912461027237</v>
      </c>
      <c r="N578" s="527">
        <f t="shared" si="741"/>
        <v>-8192.2230710247786</v>
      </c>
      <c r="O578" s="529"/>
      <c r="P578" s="564">
        <f t="shared" si="744"/>
        <v>2.0000000000000018E-2</v>
      </c>
      <c r="Q578" s="537"/>
      <c r="R578" s="527">
        <f t="shared" ref="R578:AW578" si="747">R514/R$571</f>
        <v>-630.69565109626035</v>
      </c>
      <c r="S578" s="527">
        <f t="shared" si="747"/>
        <v>-630.69565109626035</v>
      </c>
      <c r="T578" s="527">
        <f t="shared" si="747"/>
        <v>-630.69565109626035</v>
      </c>
      <c r="U578" s="527">
        <f t="shared" si="747"/>
        <v>-630.69565109626035</v>
      </c>
      <c r="V578" s="527">
        <f t="shared" si="747"/>
        <v>-630.69565109626035</v>
      </c>
      <c r="W578" s="527">
        <f t="shared" si="747"/>
        <v>-630.69565109626035</v>
      </c>
      <c r="X578" s="527">
        <f t="shared" si="747"/>
        <v>-630.69565109626035</v>
      </c>
      <c r="Y578" s="527">
        <f t="shared" si="747"/>
        <v>-630.69565109626035</v>
      </c>
      <c r="Z578" s="527">
        <f t="shared" si="747"/>
        <v>-630.69565109626035</v>
      </c>
      <c r="AA578" s="527">
        <f t="shared" si="747"/>
        <v>-630.69565109626035</v>
      </c>
      <c r="AB578" s="527">
        <f t="shared" si="747"/>
        <v>-630.69565109626035</v>
      </c>
      <c r="AC578" s="527">
        <f t="shared" si="747"/>
        <v>-630.69565109626035</v>
      </c>
      <c r="AD578" s="527">
        <f t="shared" si="747"/>
        <v>-643.30956411818556</v>
      </c>
      <c r="AE578" s="527">
        <f t="shared" si="747"/>
        <v>-643.30956411818556</v>
      </c>
      <c r="AF578" s="527">
        <f t="shared" si="747"/>
        <v>-643.30956411818556</v>
      </c>
      <c r="AG578" s="527">
        <f t="shared" si="747"/>
        <v>-643.30956411818556</v>
      </c>
      <c r="AH578" s="527">
        <f t="shared" si="747"/>
        <v>-643.30956411818556</v>
      </c>
      <c r="AI578" s="527">
        <f t="shared" si="747"/>
        <v>-643.30956411818556</v>
      </c>
      <c r="AJ578" s="527">
        <f t="shared" si="747"/>
        <v>-643.30956411818556</v>
      </c>
      <c r="AK578" s="527">
        <f t="shared" si="747"/>
        <v>-643.30956411818556</v>
      </c>
      <c r="AL578" s="527">
        <f t="shared" si="747"/>
        <v>-643.30956411818556</v>
      </c>
      <c r="AM578" s="527">
        <f t="shared" si="747"/>
        <v>-643.30956411818556</v>
      </c>
      <c r="AN578" s="527">
        <f t="shared" si="747"/>
        <v>-643.30956411818556</v>
      </c>
      <c r="AO578" s="527">
        <f t="shared" si="747"/>
        <v>-643.30956411818556</v>
      </c>
      <c r="AP578" s="527">
        <f t="shared" si="747"/>
        <v>-656.17575540054929</v>
      </c>
      <c r="AQ578" s="527">
        <f t="shared" si="747"/>
        <v>-656.17575540054929</v>
      </c>
      <c r="AR578" s="527">
        <f t="shared" si="747"/>
        <v>-656.17575540054929</v>
      </c>
      <c r="AS578" s="527">
        <f t="shared" si="747"/>
        <v>-656.17575540054929</v>
      </c>
      <c r="AT578" s="527">
        <f t="shared" si="747"/>
        <v>-656.17575540054929</v>
      </c>
      <c r="AU578" s="527">
        <f t="shared" si="747"/>
        <v>-656.17575540054929</v>
      </c>
      <c r="AV578" s="527">
        <f t="shared" si="747"/>
        <v>-656.17575540054929</v>
      </c>
      <c r="AW578" s="527">
        <f t="shared" si="747"/>
        <v>-656.17575540054929</v>
      </c>
      <c r="AX578" s="527">
        <f t="shared" ref="AX578:BY578" si="748">AX514/AX$571</f>
        <v>-656.17575540054929</v>
      </c>
      <c r="AY578" s="527">
        <f t="shared" si="748"/>
        <v>-656.17575540054929</v>
      </c>
      <c r="AZ578" s="527">
        <f t="shared" si="748"/>
        <v>-656.17575540054929</v>
      </c>
      <c r="BA578" s="527">
        <f t="shared" si="748"/>
        <v>-656.17575540054929</v>
      </c>
      <c r="BB578" s="527">
        <f t="shared" si="748"/>
        <v>-669.29927050856031</v>
      </c>
      <c r="BC578" s="527">
        <f t="shared" si="748"/>
        <v>-669.29927050856031</v>
      </c>
      <c r="BD578" s="527">
        <f t="shared" si="748"/>
        <v>-669.29927050856031</v>
      </c>
      <c r="BE578" s="527">
        <f t="shared" si="748"/>
        <v>-669.29927050856031</v>
      </c>
      <c r="BF578" s="527">
        <f t="shared" si="748"/>
        <v>-669.29927050856031</v>
      </c>
      <c r="BG578" s="527">
        <f t="shared" si="748"/>
        <v>-669.29927050856031</v>
      </c>
      <c r="BH578" s="527">
        <f t="shared" si="748"/>
        <v>-669.29927050856031</v>
      </c>
      <c r="BI578" s="527">
        <f t="shared" si="748"/>
        <v>-669.29927050856031</v>
      </c>
      <c r="BJ578" s="527">
        <f t="shared" si="748"/>
        <v>-669.29927050856031</v>
      </c>
      <c r="BK578" s="527">
        <f t="shared" si="748"/>
        <v>-669.29927050856031</v>
      </c>
      <c r="BL578" s="527">
        <f t="shared" si="748"/>
        <v>-669.29927050856031</v>
      </c>
      <c r="BM578" s="527">
        <f t="shared" si="748"/>
        <v>-669.29927050856031</v>
      </c>
      <c r="BN578" s="527">
        <f t="shared" si="748"/>
        <v>-682.6852559187314</v>
      </c>
      <c r="BO578" s="527">
        <f t="shared" si="748"/>
        <v>-682.6852559187314</v>
      </c>
      <c r="BP578" s="527">
        <f t="shared" si="748"/>
        <v>-682.6852559187314</v>
      </c>
      <c r="BQ578" s="527">
        <f t="shared" si="748"/>
        <v>-682.6852559187314</v>
      </c>
      <c r="BR578" s="527">
        <f t="shared" si="748"/>
        <v>-682.6852559187314</v>
      </c>
      <c r="BS578" s="527">
        <f t="shared" si="748"/>
        <v>-682.6852559187314</v>
      </c>
      <c r="BT578" s="527">
        <f t="shared" si="748"/>
        <v>-682.6852559187314</v>
      </c>
      <c r="BU578" s="527">
        <f t="shared" si="748"/>
        <v>-682.6852559187314</v>
      </c>
      <c r="BV578" s="527">
        <f t="shared" si="748"/>
        <v>-682.6852559187314</v>
      </c>
      <c r="BW578" s="527">
        <f t="shared" si="748"/>
        <v>-682.6852559187314</v>
      </c>
      <c r="BX578" s="527">
        <f t="shared" si="748"/>
        <v>-682.6852559187314</v>
      </c>
      <c r="BY578" s="527">
        <f t="shared" si="748"/>
        <v>-682.6852559187314</v>
      </c>
      <c r="BZ578" s="537"/>
      <c r="CA578" s="537"/>
      <c r="CB578" s="537"/>
    </row>
    <row r="579" spans="1:80" x14ac:dyDescent="0.3">
      <c r="A579" s="551"/>
      <c r="B579" s="522"/>
      <c r="C579" s="522"/>
      <c r="D579" s="522"/>
      <c r="E579" s="572" t="s">
        <v>385</v>
      </c>
      <c r="F579" s="573"/>
      <c r="G579" s="573"/>
      <c r="H579" s="537"/>
      <c r="I579" s="532">
        <f t="shared" si="741"/>
        <v>79764.58008130081</v>
      </c>
      <c r="J579" s="532">
        <f t="shared" si="741"/>
        <v>89054.907301709944</v>
      </c>
      <c r="K579" s="532">
        <f t="shared" si="741"/>
        <v>93576.523646040572</v>
      </c>
      <c r="L579" s="532">
        <f t="shared" si="741"/>
        <v>98094.188445215637</v>
      </c>
      <c r="M579" s="532">
        <f t="shared" si="741"/>
        <v>102574.14191158972</v>
      </c>
      <c r="N579" s="532">
        <f t="shared" si="741"/>
        <v>107216.91219808989</v>
      </c>
      <c r="O579" s="536"/>
      <c r="P579" s="568">
        <f t="shared" si="744"/>
        <v>6.0939557354884988E-2</v>
      </c>
      <c r="Q579" s="537"/>
      <c r="R579" s="532">
        <f t="shared" ref="R579:AW579" si="749">R515/R$571</f>
        <v>7421.2422751424965</v>
      </c>
      <c r="S579" s="532">
        <f t="shared" si="749"/>
        <v>7421.2422751424965</v>
      </c>
      <c r="T579" s="532">
        <f t="shared" si="749"/>
        <v>7421.2422751424965</v>
      </c>
      <c r="U579" s="532">
        <f t="shared" si="749"/>
        <v>7421.2422751424965</v>
      </c>
      <c r="V579" s="532">
        <f t="shared" si="749"/>
        <v>7421.2422751424965</v>
      </c>
      <c r="W579" s="532">
        <f t="shared" si="749"/>
        <v>7421.2422751424965</v>
      </c>
      <c r="X579" s="532">
        <f t="shared" si="749"/>
        <v>7421.2422751424965</v>
      </c>
      <c r="Y579" s="532">
        <f t="shared" si="749"/>
        <v>7421.2422751424965</v>
      </c>
      <c r="Z579" s="532">
        <f t="shared" si="749"/>
        <v>7421.2422751424965</v>
      </c>
      <c r="AA579" s="532">
        <f t="shared" si="749"/>
        <v>7421.2422751424965</v>
      </c>
      <c r="AB579" s="532">
        <f t="shared" si="749"/>
        <v>7421.2422751424965</v>
      </c>
      <c r="AC579" s="532">
        <f t="shared" si="749"/>
        <v>7421.2422751424965</v>
      </c>
      <c r="AD579" s="532">
        <f t="shared" si="749"/>
        <v>7798.0436371700462</v>
      </c>
      <c r="AE579" s="532">
        <f t="shared" si="749"/>
        <v>7798.0436371700462</v>
      </c>
      <c r="AF579" s="532">
        <f t="shared" si="749"/>
        <v>7798.0436371700462</v>
      </c>
      <c r="AG579" s="532">
        <f t="shared" si="749"/>
        <v>7798.0436371700462</v>
      </c>
      <c r="AH579" s="532">
        <f t="shared" si="749"/>
        <v>7798.0436371700462</v>
      </c>
      <c r="AI579" s="532">
        <f t="shared" si="749"/>
        <v>7798.0436371700462</v>
      </c>
      <c r="AJ579" s="532">
        <f t="shared" si="749"/>
        <v>7798.0436371700462</v>
      </c>
      <c r="AK579" s="532">
        <f t="shared" si="749"/>
        <v>7798.0436371700462</v>
      </c>
      <c r="AL579" s="532">
        <f t="shared" si="749"/>
        <v>7798.0436371700462</v>
      </c>
      <c r="AM579" s="532">
        <f t="shared" si="749"/>
        <v>7798.0436371700462</v>
      </c>
      <c r="AN579" s="532">
        <f t="shared" si="749"/>
        <v>7798.0436371700462</v>
      </c>
      <c r="AO579" s="532">
        <f t="shared" si="749"/>
        <v>7798.0436371700462</v>
      </c>
      <c r="AP579" s="532">
        <f t="shared" si="749"/>
        <v>8174.5157037679701</v>
      </c>
      <c r="AQ579" s="532">
        <f t="shared" si="749"/>
        <v>8174.5157037679701</v>
      </c>
      <c r="AR579" s="532">
        <f t="shared" si="749"/>
        <v>8174.5157037679701</v>
      </c>
      <c r="AS579" s="532">
        <f t="shared" si="749"/>
        <v>8174.5157037679701</v>
      </c>
      <c r="AT579" s="532">
        <f t="shared" si="749"/>
        <v>8174.5157037679701</v>
      </c>
      <c r="AU579" s="532">
        <f t="shared" si="749"/>
        <v>8174.5157037679701</v>
      </c>
      <c r="AV579" s="532">
        <f t="shared" si="749"/>
        <v>8174.5157037679701</v>
      </c>
      <c r="AW579" s="532">
        <f t="shared" si="749"/>
        <v>8174.5157037679701</v>
      </c>
      <c r="AX579" s="532">
        <f t="shared" ref="AX579:BY579" si="750">AX515/AX$571</f>
        <v>8174.5157037679701</v>
      </c>
      <c r="AY579" s="532">
        <f t="shared" si="750"/>
        <v>8174.5157037679701</v>
      </c>
      <c r="AZ579" s="532">
        <f t="shared" si="750"/>
        <v>8174.5157037679701</v>
      </c>
      <c r="BA579" s="532">
        <f t="shared" si="750"/>
        <v>8174.5157037679701</v>
      </c>
      <c r="BB579" s="532">
        <f t="shared" si="750"/>
        <v>8547.8451592991405</v>
      </c>
      <c r="BC579" s="532">
        <f t="shared" si="750"/>
        <v>8547.8451592991405</v>
      </c>
      <c r="BD579" s="532">
        <f t="shared" si="750"/>
        <v>8547.8451592991405</v>
      </c>
      <c r="BE579" s="532">
        <f t="shared" si="750"/>
        <v>8547.8451592991405</v>
      </c>
      <c r="BF579" s="532">
        <f t="shared" si="750"/>
        <v>8547.8451592991405</v>
      </c>
      <c r="BG579" s="532">
        <f t="shared" si="750"/>
        <v>8547.8451592991405</v>
      </c>
      <c r="BH579" s="532">
        <f t="shared" si="750"/>
        <v>8547.8451592991405</v>
      </c>
      <c r="BI579" s="532">
        <f t="shared" si="750"/>
        <v>8547.8451592991405</v>
      </c>
      <c r="BJ579" s="532">
        <f t="shared" si="750"/>
        <v>8547.8451592991405</v>
      </c>
      <c r="BK579" s="532">
        <f t="shared" si="750"/>
        <v>8547.8451592991405</v>
      </c>
      <c r="BL579" s="532">
        <f t="shared" si="750"/>
        <v>8547.8451592991405</v>
      </c>
      <c r="BM579" s="532">
        <f t="shared" si="750"/>
        <v>8547.8451592991405</v>
      </c>
      <c r="BN579" s="532">
        <f t="shared" si="750"/>
        <v>8934.7426831741559</v>
      </c>
      <c r="BO579" s="532">
        <f t="shared" si="750"/>
        <v>8934.7426831741559</v>
      </c>
      <c r="BP579" s="532">
        <f t="shared" si="750"/>
        <v>8934.7426831741559</v>
      </c>
      <c r="BQ579" s="532">
        <f t="shared" si="750"/>
        <v>8934.7426831741559</v>
      </c>
      <c r="BR579" s="532">
        <f t="shared" si="750"/>
        <v>8934.7426831741559</v>
      </c>
      <c r="BS579" s="532">
        <f t="shared" si="750"/>
        <v>8934.7426831741559</v>
      </c>
      <c r="BT579" s="532">
        <f t="shared" si="750"/>
        <v>8934.7426831741559</v>
      </c>
      <c r="BU579" s="532">
        <f t="shared" si="750"/>
        <v>8934.7426831741559</v>
      </c>
      <c r="BV579" s="532">
        <f t="shared" si="750"/>
        <v>8934.7426831741559</v>
      </c>
      <c r="BW579" s="532">
        <f t="shared" si="750"/>
        <v>8934.7426831741559</v>
      </c>
      <c r="BX579" s="532">
        <f t="shared" si="750"/>
        <v>8934.7426831741559</v>
      </c>
      <c r="BY579" s="532">
        <f t="shared" si="750"/>
        <v>8934.7426831741559</v>
      </c>
      <c r="BZ579" s="537"/>
      <c r="CA579" s="537"/>
      <c r="CB579" s="537"/>
    </row>
    <row r="580" spans="1:80" x14ac:dyDescent="0.3">
      <c r="A580" s="551"/>
      <c r="B580" s="522"/>
      <c r="C580" s="522"/>
      <c r="D580" s="522"/>
      <c r="E580" s="525" t="s">
        <v>389</v>
      </c>
      <c r="F580" s="567"/>
      <c r="G580" s="567"/>
      <c r="H580" s="537"/>
      <c r="I580" s="527">
        <f t="shared" si="741"/>
        <v>-28514.890661792368</v>
      </c>
      <c r="J580" s="527">
        <f t="shared" si="741"/>
        <v>-29788.834416676702</v>
      </c>
      <c r="K580" s="527">
        <f t="shared" si="741"/>
        <v>-31074.912253676361</v>
      </c>
      <c r="L580" s="527">
        <f t="shared" si="741"/>
        <v>-32362.93756873018</v>
      </c>
      <c r="M580" s="527">
        <f t="shared" si="741"/>
        <v>-33644.465563660706</v>
      </c>
      <c r="N580" s="527">
        <f t="shared" si="741"/>
        <v>-34970.066724530734</v>
      </c>
      <c r="O580" s="529"/>
      <c r="P580" s="564">
        <f t="shared" si="744"/>
        <v>4.165751177604271E-2</v>
      </c>
      <c r="Q580" s="537"/>
      <c r="R580" s="527">
        <f t="shared" ref="R580:AW580" si="751">R516/R$571</f>
        <v>-2482.402868056392</v>
      </c>
      <c r="S580" s="527">
        <f t="shared" si="751"/>
        <v>-2482.402868056392</v>
      </c>
      <c r="T580" s="527">
        <f t="shared" si="751"/>
        <v>-2482.402868056392</v>
      </c>
      <c r="U580" s="527">
        <f t="shared" si="751"/>
        <v>-2482.402868056392</v>
      </c>
      <c r="V580" s="527">
        <f t="shared" si="751"/>
        <v>-2482.402868056392</v>
      </c>
      <c r="W580" s="527">
        <f t="shared" si="751"/>
        <v>-2482.402868056392</v>
      </c>
      <c r="X580" s="527">
        <f t="shared" si="751"/>
        <v>-2482.402868056392</v>
      </c>
      <c r="Y580" s="527">
        <f t="shared" si="751"/>
        <v>-2482.402868056392</v>
      </c>
      <c r="Z580" s="527">
        <f t="shared" si="751"/>
        <v>-2482.402868056392</v>
      </c>
      <c r="AA580" s="527">
        <f t="shared" si="751"/>
        <v>-2482.402868056392</v>
      </c>
      <c r="AB580" s="527">
        <f t="shared" si="751"/>
        <v>-2482.402868056392</v>
      </c>
      <c r="AC580" s="527">
        <f t="shared" si="751"/>
        <v>-2482.402868056392</v>
      </c>
      <c r="AD580" s="527">
        <f t="shared" si="751"/>
        <v>-2589.5760211396969</v>
      </c>
      <c r="AE580" s="527">
        <f t="shared" si="751"/>
        <v>-2589.5760211396969</v>
      </c>
      <c r="AF580" s="527">
        <f t="shared" si="751"/>
        <v>-2589.5760211396969</v>
      </c>
      <c r="AG580" s="527">
        <f t="shared" si="751"/>
        <v>-2589.5760211396969</v>
      </c>
      <c r="AH580" s="527">
        <f t="shared" si="751"/>
        <v>-2589.5760211396969</v>
      </c>
      <c r="AI580" s="527">
        <f t="shared" si="751"/>
        <v>-2589.5760211396969</v>
      </c>
      <c r="AJ580" s="527">
        <f t="shared" si="751"/>
        <v>-2589.5760211396969</v>
      </c>
      <c r="AK580" s="527">
        <f t="shared" si="751"/>
        <v>-2589.5760211396969</v>
      </c>
      <c r="AL580" s="527">
        <f t="shared" si="751"/>
        <v>-2589.5760211396969</v>
      </c>
      <c r="AM580" s="527">
        <f t="shared" si="751"/>
        <v>-2589.5760211396969</v>
      </c>
      <c r="AN580" s="527">
        <f t="shared" si="751"/>
        <v>-2589.5760211396969</v>
      </c>
      <c r="AO580" s="527">
        <f t="shared" si="751"/>
        <v>-2589.5760211396969</v>
      </c>
      <c r="AP580" s="527">
        <f t="shared" si="751"/>
        <v>-2696.9114640608482</v>
      </c>
      <c r="AQ580" s="527">
        <f t="shared" si="751"/>
        <v>-2696.9114640608482</v>
      </c>
      <c r="AR580" s="527">
        <f t="shared" si="751"/>
        <v>-2696.9114640608482</v>
      </c>
      <c r="AS580" s="527">
        <f t="shared" si="751"/>
        <v>-2696.9114640608482</v>
      </c>
      <c r="AT580" s="527">
        <f t="shared" si="751"/>
        <v>-2696.9114640608482</v>
      </c>
      <c r="AU580" s="527">
        <f t="shared" si="751"/>
        <v>-2696.9114640608482</v>
      </c>
      <c r="AV580" s="527">
        <f t="shared" si="751"/>
        <v>-2696.9114640608482</v>
      </c>
      <c r="AW580" s="527">
        <f t="shared" si="751"/>
        <v>-2696.9114640608482</v>
      </c>
      <c r="AX580" s="527">
        <f t="shared" ref="AX580:BY580" si="752">AX516/AX$571</f>
        <v>-2696.9114640608482</v>
      </c>
      <c r="AY580" s="527">
        <f t="shared" si="752"/>
        <v>-2696.9114640608482</v>
      </c>
      <c r="AZ580" s="527">
        <f t="shared" si="752"/>
        <v>-2696.9114640608482</v>
      </c>
      <c r="BA580" s="527">
        <f t="shared" si="752"/>
        <v>-2696.9114640608482</v>
      </c>
      <c r="BB580" s="527">
        <f t="shared" si="752"/>
        <v>-2803.7054636383923</v>
      </c>
      <c r="BC580" s="527">
        <f t="shared" si="752"/>
        <v>-2803.7054636383923</v>
      </c>
      <c r="BD580" s="527">
        <f t="shared" si="752"/>
        <v>-2803.7054636383923</v>
      </c>
      <c r="BE580" s="527">
        <f t="shared" si="752"/>
        <v>-2803.7054636383923</v>
      </c>
      <c r="BF580" s="527">
        <f t="shared" si="752"/>
        <v>-2803.7054636383923</v>
      </c>
      <c r="BG580" s="527">
        <f t="shared" si="752"/>
        <v>-2803.7054636383923</v>
      </c>
      <c r="BH580" s="527">
        <f t="shared" si="752"/>
        <v>-2803.7054636383923</v>
      </c>
      <c r="BI580" s="527">
        <f t="shared" si="752"/>
        <v>-2803.7054636383923</v>
      </c>
      <c r="BJ580" s="527">
        <f t="shared" si="752"/>
        <v>-2803.7054636383923</v>
      </c>
      <c r="BK580" s="527">
        <f t="shared" si="752"/>
        <v>-2803.7054636383923</v>
      </c>
      <c r="BL580" s="527">
        <f t="shared" si="752"/>
        <v>-2803.7054636383923</v>
      </c>
      <c r="BM580" s="527">
        <f t="shared" si="752"/>
        <v>-2803.7054636383923</v>
      </c>
      <c r="BN580" s="527">
        <f t="shared" si="752"/>
        <v>-2914.1722270442278</v>
      </c>
      <c r="BO580" s="527">
        <f t="shared" si="752"/>
        <v>-2914.1722270442278</v>
      </c>
      <c r="BP580" s="527">
        <f t="shared" si="752"/>
        <v>-2914.1722270442278</v>
      </c>
      <c r="BQ580" s="527">
        <f t="shared" si="752"/>
        <v>-2914.1722270442278</v>
      </c>
      <c r="BR580" s="527">
        <f t="shared" si="752"/>
        <v>-2914.1722270442278</v>
      </c>
      <c r="BS580" s="527">
        <f t="shared" si="752"/>
        <v>-2914.1722270442278</v>
      </c>
      <c r="BT580" s="527">
        <f t="shared" si="752"/>
        <v>-2914.1722270442278</v>
      </c>
      <c r="BU580" s="527">
        <f t="shared" si="752"/>
        <v>-2914.1722270442278</v>
      </c>
      <c r="BV580" s="527">
        <f t="shared" si="752"/>
        <v>-2914.1722270442278</v>
      </c>
      <c r="BW580" s="527">
        <f t="shared" si="752"/>
        <v>-2914.1722270442278</v>
      </c>
      <c r="BX580" s="527">
        <f t="shared" si="752"/>
        <v>-2914.1722270442278</v>
      </c>
      <c r="BY580" s="527">
        <f t="shared" si="752"/>
        <v>-2914.1722270442278</v>
      </c>
      <c r="BZ580" s="537"/>
      <c r="CA580" s="537"/>
      <c r="CB580" s="537"/>
    </row>
    <row r="581" spans="1:80" x14ac:dyDescent="0.3">
      <c r="A581" s="551"/>
      <c r="B581" s="522"/>
      <c r="C581" s="522"/>
      <c r="D581" s="522"/>
      <c r="E581" s="572" t="s">
        <v>390</v>
      </c>
      <c r="F581" s="573"/>
      <c r="G581" s="573"/>
      <c r="H581" s="537"/>
      <c r="I581" s="532">
        <f t="shared" si="741"/>
        <v>56055.118982950247</v>
      </c>
      <c r="J581" s="532">
        <f t="shared" si="741"/>
        <v>59266.072885033245</v>
      </c>
      <c r="K581" s="532">
        <f t="shared" si="741"/>
        <v>62501.611392364211</v>
      </c>
      <c r="L581" s="532">
        <f t="shared" si="741"/>
        <v>65731.250876485457</v>
      </c>
      <c r="M581" s="532">
        <f t="shared" si="741"/>
        <v>68929.676347929009</v>
      </c>
      <c r="N581" s="532">
        <f t="shared" si="741"/>
        <v>72246.845473559166</v>
      </c>
      <c r="O581" s="536"/>
      <c r="P581" s="568">
        <f t="shared" si="744"/>
        <v>5.2060516774376842E-2</v>
      </c>
      <c r="Q581" s="537"/>
      <c r="R581" s="530">
        <f t="shared" ref="R581:AW581" si="753">R517/R$571</f>
        <v>4938.8394070861032</v>
      </c>
      <c r="S581" s="532">
        <f t="shared" si="753"/>
        <v>4938.8394070861032</v>
      </c>
      <c r="T581" s="530">
        <f t="shared" si="753"/>
        <v>4938.8394070861032</v>
      </c>
      <c r="U581" s="532">
        <f t="shared" si="753"/>
        <v>4938.8394070861032</v>
      </c>
      <c r="V581" s="530">
        <f t="shared" si="753"/>
        <v>4938.8394070861032</v>
      </c>
      <c r="W581" s="530">
        <f t="shared" si="753"/>
        <v>4938.8394070861032</v>
      </c>
      <c r="X581" s="532">
        <f t="shared" si="753"/>
        <v>4938.8394070861032</v>
      </c>
      <c r="Y581" s="532">
        <f t="shared" si="753"/>
        <v>4938.8394070861032</v>
      </c>
      <c r="Z581" s="532">
        <f t="shared" si="753"/>
        <v>4938.8394070861032</v>
      </c>
      <c r="AA581" s="532">
        <f t="shared" si="753"/>
        <v>4938.8394070861032</v>
      </c>
      <c r="AB581" s="532">
        <f t="shared" si="753"/>
        <v>4938.8394070861032</v>
      </c>
      <c r="AC581" s="532">
        <f t="shared" si="753"/>
        <v>4938.8394070861032</v>
      </c>
      <c r="AD581" s="532">
        <f t="shared" si="753"/>
        <v>5208.4676160303497</v>
      </c>
      <c r="AE581" s="532">
        <f t="shared" si="753"/>
        <v>5208.4676160303497</v>
      </c>
      <c r="AF581" s="532">
        <f t="shared" si="753"/>
        <v>5208.4676160303497</v>
      </c>
      <c r="AG581" s="532">
        <f t="shared" si="753"/>
        <v>5208.4676160303497</v>
      </c>
      <c r="AH581" s="532">
        <f t="shared" si="753"/>
        <v>5208.4676160303497</v>
      </c>
      <c r="AI581" s="532">
        <f t="shared" si="753"/>
        <v>5208.4676160303497</v>
      </c>
      <c r="AJ581" s="532">
        <f t="shared" si="753"/>
        <v>5208.4676160303497</v>
      </c>
      <c r="AK581" s="532">
        <f t="shared" si="753"/>
        <v>5208.4676160303497</v>
      </c>
      <c r="AL581" s="532">
        <f t="shared" si="753"/>
        <v>5208.4676160303497</v>
      </c>
      <c r="AM581" s="532">
        <f t="shared" si="753"/>
        <v>5208.4676160303497</v>
      </c>
      <c r="AN581" s="532">
        <f t="shared" si="753"/>
        <v>5208.4676160303497</v>
      </c>
      <c r="AO581" s="532">
        <f t="shared" si="753"/>
        <v>5208.4676160303497</v>
      </c>
      <c r="AP581" s="532">
        <f t="shared" si="753"/>
        <v>5477.6042397071215</v>
      </c>
      <c r="AQ581" s="532">
        <f t="shared" si="753"/>
        <v>5477.6042397071215</v>
      </c>
      <c r="AR581" s="532">
        <f t="shared" si="753"/>
        <v>5477.6042397071215</v>
      </c>
      <c r="AS581" s="532">
        <f t="shared" si="753"/>
        <v>5477.6042397071215</v>
      </c>
      <c r="AT581" s="532">
        <f t="shared" si="753"/>
        <v>5477.6042397071215</v>
      </c>
      <c r="AU581" s="532">
        <f t="shared" si="753"/>
        <v>5477.6042397071215</v>
      </c>
      <c r="AV581" s="532">
        <f t="shared" si="753"/>
        <v>5477.6042397071215</v>
      </c>
      <c r="AW581" s="532">
        <f t="shared" si="753"/>
        <v>5477.6042397071215</v>
      </c>
      <c r="AX581" s="532">
        <f t="shared" ref="AX581:BY581" si="754">AX517/AX$571</f>
        <v>5477.6042397071215</v>
      </c>
      <c r="AY581" s="532">
        <f t="shared" si="754"/>
        <v>5477.6042397071215</v>
      </c>
      <c r="AZ581" s="532">
        <f t="shared" si="754"/>
        <v>5477.6042397071215</v>
      </c>
      <c r="BA581" s="532">
        <f t="shared" si="754"/>
        <v>5477.6042397071215</v>
      </c>
      <c r="BB581" s="532">
        <f t="shared" si="754"/>
        <v>5744.1396956607468</v>
      </c>
      <c r="BC581" s="532">
        <f t="shared" si="754"/>
        <v>5744.1396956607468</v>
      </c>
      <c r="BD581" s="532">
        <f t="shared" si="754"/>
        <v>5744.1396956607468</v>
      </c>
      <c r="BE581" s="532">
        <f t="shared" si="754"/>
        <v>5744.1396956607468</v>
      </c>
      <c r="BF581" s="532">
        <f t="shared" si="754"/>
        <v>5744.1396956607468</v>
      </c>
      <c r="BG581" s="532">
        <f t="shared" si="754"/>
        <v>5744.1396956607468</v>
      </c>
      <c r="BH581" s="532">
        <f t="shared" si="754"/>
        <v>5744.1396956607468</v>
      </c>
      <c r="BI581" s="532">
        <f t="shared" si="754"/>
        <v>5744.1396956607468</v>
      </c>
      <c r="BJ581" s="532">
        <f t="shared" si="754"/>
        <v>5744.1396956607468</v>
      </c>
      <c r="BK581" s="532">
        <f t="shared" si="754"/>
        <v>5744.1396956607468</v>
      </c>
      <c r="BL581" s="532">
        <f t="shared" si="754"/>
        <v>5744.1396956607468</v>
      </c>
      <c r="BM581" s="532">
        <f t="shared" si="754"/>
        <v>5744.1396956607468</v>
      </c>
      <c r="BN581" s="532">
        <f t="shared" si="754"/>
        <v>6020.5704561299281</v>
      </c>
      <c r="BO581" s="532">
        <f t="shared" si="754"/>
        <v>6020.5704561299281</v>
      </c>
      <c r="BP581" s="532">
        <f t="shared" si="754"/>
        <v>6020.5704561299281</v>
      </c>
      <c r="BQ581" s="532">
        <f t="shared" si="754"/>
        <v>6020.5704561299281</v>
      </c>
      <c r="BR581" s="532">
        <f t="shared" si="754"/>
        <v>6020.5704561299281</v>
      </c>
      <c r="BS581" s="532">
        <f t="shared" si="754"/>
        <v>6020.5704561299281</v>
      </c>
      <c r="BT581" s="532">
        <f t="shared" si="754"/>
        <v>6020.5704561299281</v>
      </c>
      <c r="BU581" s="532">
        <f t="shared" si="754"/>
        <v>6020.5704561299281</v>
      </c>
      <c r="BV581" s="532">
        <f t="shared" si="754"/>
        <v>6020.5704561299281</v>
      </c>
      <c r="BW581" s="532">
        <f t="shared" si="754"/>
        <v>6020.5704561299281</v>
      </c>
      <c r="BX581" s="532">
        <f t="shared" si="754"/>
        <v>6020.5704561299281</v>
      </c>
      <c r="BY581" s="532">
        <f t="shared" si="754"/>
        <v>6020.5704561299281</v>
      </c>
      <c r="BZ581" s="537"/>
      <c r="CA581" s="537"/>
      <c r="CB581" s="537"/>
    </row>
    <row r="582" spans="1:80" x14ac:dyDescent="0.3">
      <c r="A582" s="551"/>
      <c r="B582" s="522"/>
      <c r="C582" s="522"/>
      <c r="D582" s="522"/>
      <c r="E582" s="525" t="s">
        <v>175</v>
      </c>
      <c r="F582" s="575"/>
      <c r="G582" s="575"/>
      <c r="H582" s="529"/>
      <c r="I582" s="531">
        <f t="shared" ref="I582:N582" si="755">IFERROR(I581/I576,0)</f>
        <v>0.41583136901653406</v>
      </c>
      <c r="J582" s="531">
        <f t="shared" si="755"/>
        <v>0.4237524673507187</v>
      </c>
      <c r="K582" s="531">
        <f t="shared" si="755"/>
        <v>0.43114700219849744</v>
      </c>
      <c r="L582" s="531">
        <f t="shared" si="755"/>
        <v>0.4379765078911167</v>
      </c>
      <c r="M582" s="531">
        <f t="shared" si="755"/>
        <v>0.44422866297688951</v>
      </c>
      <c r="N582" s="531">
        <f t="shared" si="755"/>
        <v>0.45033311408393417</v>
      </c>
      <c r="O582" s="546"/>
      <c r="P582" s="564">
        <f t="shared" si="744"/>
        <v>1.6069293870101919E-2</v>
      </c>
      <c r="Q582" s="529"/>
      <c r="R582" s="531">
        <f t="shared" ref="R582:BY582" si="756">IFERROR(R581/R576,0)</f>
        <v>0.42375246735071864</v>
      </c>
      <c r="S582" s="531">
        <f t="shared" si="756"/>
        <v>0.42375246735071864</v>
      </c>
      <c r="T582" s="531">
        <f t="shared" si="756"/>
        <v>0.42375246735071864</v>
      </c>
      <c r="U582" s="531">
        <f t="shared" si="756"/>
        <v>0.42375246735071864</v>
      </c>
      <c r="V582" s="531">
        <f t="shared" si="756"/>
        <v>0.42375246735071864</v>
      </c>
      <c r="W582" s="531">
        <f t="shared" si="756"/>
        <v>0.42375246735071864</v>
      </c>
      <c r="X582" s="531">
        <f t="shared" si="756"/>
        <v>0.42375246735071864</v>
      </c>
      <c r="Y582" s="531">
        <f t="shared" si="756"/>
        <v>0.42375246735071864</v>
      </c>
      <c r="Z582" s="531">
        <f t="shared" si="756"/>
        <v>0.42375246735071864</v>
      </c>
      <c r="AA582" s="531">
        <f t="shared" si="756"/>
        <v>0.42375246735071864</v>
      </c>
      <c r="AB582" s="531">
        <f t="shared" si="756"/>
        <v>0.42375246735071864</v>
      </c>
      <c r="AC582" s="531">
        <f t="shared" si="756"/>
        <v>0.42375246735071864</v>
      </c>
      <c r="AD582" s="531">
        <f t="shared" si="756"/>
        <v>0.43114700219849733</v>
      </c>
      <c r="AE582" s="531">
        <f t="shared" si="756"/>
        <v>0.43114700219849733</v>
      </c>
      <c r="AF582" s="531">
        <f t="shared" si="756"/>
        <v>0.43114700219849733</v>
      </c>
      <c r="AG582" s="531">
        <f t="shared" si="756"/>
        <v>0.43114700219849733</v>
      </c>
      <c r="AH582" s="531">
        <f t="shared" si="756"/>
        <v>0.43114700219849733</v>
      </c>
      <c r="AI582" s="531">
        <f t="shared" si="756"/>
        <v>0.43114700219849733</v>
      </c>
      <c r="AJ582" s="531">
        <f t="shared" si="756"/>
        <v>0.43114700219849733</v>
      </c>
      <c r="AK582" s="531">
        <f t="shared" si="756"/>
        <v>0.43114700219849733</v>
      </c>
      <c r="AL582" s="531">
        <f t="shared" si="756"/>
        <v>0.43114700219849733</v>
      </c>
      <c r="AM582" s="531">
        <f t="shared" si="756"/>
        <v>0.43114700219849733</v>
      </c>
      <c r="AN582" s="531">
        <f t="shared" si="756"/>
        <v>0.43114700219849733</v>
      </c>
      <c r="AO582" s="531">
        <f t="shared" si="756"/>
        <v>0.43114700219849733</v>
      </c>
      <c r="AP582" s="531">
        <f t="shared" si="756"/>
        <v>0.43797650789111675</v>
      </c>
      <c r="AQ582" s="531">
        <f t="shared" si="756"/>
        <v>0.43797650789111675</v>
      </c>
      <c r="AR582" s="531">
        <f t="shared" si="756"/>
        <v>0.43797650789111675</v>
      </c>
      <c r="AS582" s="531">
        <f t="shared" si="756"/>
        <v>0.43797650789111675</v>
      </c>
      <c r="AT582" s="531">
        <f t="shared" si="756"/>
        <v>0.43797650789111675</v>
      </c>
      <c r="AU582" s="531">
        <f t="shared" si="756"/>
        <v>0.43797650789111675</v>
      </c>
      <c r="AV582" s="531">
        <f t="shared" si="756"/>
        <v>0.43797650789111675</v>
      </c>
      <c r="AW582" s="531">
        <f t="shared" si="756"/>
        <v>0.43797650789111675</v>
      </c>
      <c r="AX582" s="531">
        <f t="shared" si="756"/>
        <v>0.43797650789111675</v>
      </c>
      <c r="AY582" s="531">
        <f t="shared" si="756"/>
        <v>0.43797650789111675</v>
      </c>
      <c r="AZ582" s="531">
        <f t="shared" si="756"/>
        <v>0.43797650789111675</v>
      </c>
      <c r="BA582" s="531">
        <f t="shared" si="756"/>
        <v>0.43797650789111675</v>
      </c>
      <c r="BB582" s="531">
        <f t="shared" si="756"/>
        <v>0.44422866297688923</v>
      </c>
      <c r="BC582" s="531">
        <f t="shared" si="756"/>
        <v>0.44422866297688923</v>
      </c>
      <c r="BD582" s="531">
        <f t="shared" si="756"/>
        <v>0.44422866297688923</v>
      </c>
      <c r="BE582" s="531">
        <f t="shared" si="756"/>
        <v>0.44422866297688923</v>
      </c>
      <c r="BF582" s="531">
        <f t="shared" si="756"/>
        <v>0.44422866297688923</v>
      </c>
      <c r="BG582" s="531">
        <f t="shared" si="756"/>
        <v>0.44422866297688923</v>
      </c>
      <c r="BH582" s="531">
        <f t="shared" si="756"/>
        <v>0.44422866297688923</v>
      </c>
      <c r="BI582" s="531">
        <f t="shared" si="756"/>
        <v>0.44422866297688923</v>
      </c>
      <c r="BJ582" s="531">
        <f t="shared" si="756"/>
        <v>0.44422866297688923</v>
      </c>
      <c r="BK582" s="531">
        <f t="shared" si="756"/>
        <v>0.44422866297688923</v>
      </c>
      <c r="BL582" s="531">
        <f t="shared" si="756"/>
        <v>0.44422866297688923</v>
      </c>
      <c r="BM582" s="531">
        <f t="shared" si="756"/>
        <v>0.44422866297688923</v>
      </c>
      <c r="BN582" s="531">
        <f t="shared" si="756"/>
        <v>0.45033311408393395</v>
      </c>
      <c r="BO582" s="531">
        <f t="shared" si="756"/>
        <v>0.45033311408393395</v>
      </c>
      <c r="BP582" s="531">
        <f t="shared" si="756"/>
        <v>0.45033311408393395</v>
      </c>
      <c r="BQ582" s="531">
        <f t="shared" si="756"/>
        <v>0.45033311408393395</v>
      </c>
      <c r="BR582" s="531">
        <f t="shared" si="756"/>
        <v>0.45033311408393395</v>
      </c>
      <c r="BS582" s="531">
        <f t="shared" si="756"/>
        <v>0.45033311408393395</v>
      </c>
      <c r="BT582" s="531">
        <f t="shared" si="756"/>
        <v>0.45033311408393395</v>
      </c>
      <c r="BU582" s="531">
        <f t="shared" si="756"/>
        <v>0.45033311408393395</v>
      </c>
      <c r="BV582" s="531">
        <f t="shared" si="756"/>
        <v>0.45033311408393395</v>
      </c>
      <c r="BW582" s="531">
        <f t="shared" si="756"/>
        <v>0.45033311408393395</v>
      </c>
      <c r="BX582" s="531">
        <f t="shared" si="756"/>
        <v>0.45033311408393395</v>
      </c>
      <c r="BY582" s="531">
        <f t="shared" si="756"/>
        <v>0.45033311408393395</v>
      </c>
      <c r="BZ582" s="537"/>
      <c r="CA582" s="537"/>
      <c r="CB582" s="529"/>
    </row>
    <row r="583" spans="1:80" x14ac:dyDescent="0.3">
      <c r="A583" s="551"/>
      <c r="B583" s="522"/>
      <c r="C583" s="522"/>
      <c r="D583" s="522"/>
      <c r="E583" s="525"/>
      <c r="F583" s="575"/>
      <c r="G583" s="575"/>
      <c r="H583" s="537"/>
      <c r="I583" s="529"/>
      <c r="J583" s="529"/>
      <c r="K583" s="529"/>
      <c r="L583" s="529"/>
      <c r="M583" s="529"/>
      <c r="N583" s="529"/>
      <c r="O583" s="529"/>
      <c r="P583" s="660"/>
      <c r="Q583" s="537"/>
      <c r="R583" s="529"/>
      <c r="S583" s="529"/>
      <c r="T583" s="529"/>
      <c r="U583" s="529"/>
      <c r="V583" s="529"/>
      <c r="W583" s="529"/>
      <c r="X583" s="529"/>
      <c r="Y583" s="529"/>
      <c r="Z583" s="529"/>
      <c r="AA583" s="529"/>
      <c r="AB583" s="529"/>
      <c r="AC583" s="529"/>
      <c r="AD583" s="529"/>
      <c r="AE583" s="529"/>
      <c r="AF583" s="529"/>
      <c r="AG583" s="529"/>
      <c r="AH583" s="529"/>
      <c r="AI583" s="529"/>
      <c r="AJ583" s="529"/>
      <c r="AK583" s="529"/>
      <c r="AL583" s="529"/>
      <c r="AM583" s="529"/>
      <c r="AN583" s="529"/>
      <c r="AO583" s="529"/>
      <c r="AP583" s="529"/>
      <c r="AQ583" s="529"/>
      <c r="AR583" s="529"/>
      <c r="AS583" s="529"/>
      <c r="AT583" s="529"/>
      <c r="AU583" s="529"/>
      <c r="AV583" s="529"/>
      <c r="AW583" s="529"/>
      <c r="AX583" s="529"/>
      <c r="AY583" s="529"/>
      <c r="AZ583" s="529"/>
      <c r="BA583" s="529"/>
      <c r="BB583" s="529"/>
      <c r="BC583" s="529"/>
      <c r="BD583" s="529"/>
      <c r="BE583" s="529"/>
      <c r="BF583" s="529"/>
      <c r="BG583" s="529"/>
      <c r="BH583" s="529"/>
      <c r="BI583" s="529"/>
      <c r="BJ583" s="529"/>
      <c r="BK583" s="529"/>
      <c r="BL583" s="529"/>
      <c r="BM583" s="529"/>
      <c r="BN583" s="529"/>
      <c r="BO583" s="529"/>
      <c r="BP583" s="529"/>
      <c r="BQ583" s="529"/>
      <c r="BR583" s="529"/>
      <c r="BS583" s="529"/>
      <c r="BT583" s="529"/>
      <c r="BU583" s="529"/>
      <c r="BV583" s="529"/>
      <c r="BW583" s="529"/>
      <c r="BX583" s="529"/>
      <c r="BY583" s="529"/>
      <c r="BZ583" s="537"/>
      <c r="CA583" s="537"/>
      <c r="CB583" s="537"/>
    </row>
    <row r="584" spans="1:80" x14ac:dyDescent="0.3">
      <c r="A584" s="551"/>
      <c r="B584" s="522"/>
      <c r="C584" s="522"/>
      <c r="D584" s="522"/>
      <c r="E584" s="570" t="s">
        <v>23</v>
      </c>
      <c r="F584" s="529"/>
      <c r="G584" s="529"/>
      <c r="H584" s="537"/>
      <c r="I584" s="529"/>
      <c r="J584" s="529"/>
      <c r="K584" s="529"/>
      <c r="L584" s="529"/>
      <c r="M584" s="529"/>
      <c r="N584" s="529"/>
      <c r="O584" s="529"/>
      <c r="P584" s="660"/>
      <c r="Q584" s="537"/>
      <c r="R584" s="529"/>
      <c r="S584" s="529"/>
      <c r="T584" s="529"/>
      <c r="U584" s="529"/>
      <c r="V584" s="529"/>
      <c r="W584" s="529"/>
      <c r="X584" s="529"/>
      <c r="Y584" s="529"/>
      <c r="Z584" s="529"/>
      <c r="AA584" s="529"/>
      <c r="AB584" s="529"/>
      <c r="AC584" s="529"/>
      <c r="AD584" s="529"/>
      <c r="AE584" s="529"/>
      <c r="AF584" s="529"/>
      <c r="AG584" s="529"/>
      <c r="AH584" s="529"/>
      <c r="AI584" s="529"/>
      <c r="AJ584" s="529"/>
      <c r="AK584" s="529"/>
      <c r="AL584" s="529"/>
      <c r="AM584" s="529"/>
      <c r="AN584" s="529"/>
      <c r="AO584" s="529"/>
      <c r="AP584" s="529"/>
      <c r="AQ584" s="529"/>
      <c r="AR584" s="529"/>
      <c r="AS584" s="529"/>
      <c r="AT584" s="529"/>
      <c r="AU584" s="529"/>
      <c r="AV584" s="529"/>
      <c r="AW584" s="529"/>
      <c r="AX584" s="529"/>
      <c r="AY584" s="529"/>
      <c r="AZ584" s="529"/>
      <c r="BA584" s="529"/>
      <c r="BB584" s="529"/>
      <c r="BC584" s="529"/>
      <c r="BD584" s="529"/>
      <c r="BE584" s="529"/>
      <c r="BF584" s="529"/>
      <c r="BG584" s="529"/>
      <c r="BH584" s="529"/>
      <c r="BI584" s="529"/>
      <c r="BJ584" s="529"/>
      <c r="BK584" s="529"/>
      <c r="BL584" s="529"/>
      <c r="BM584" s="529"/>
      <c r="BN584" s="529"/>
      <c r="BO584" s="529"/>
      <c r="BP584" s="529"/>
      <c r="BQ584" s="529"/>
      <c r="BR584" s="529"/>
      <c r="BS584" s="529"/>
      <c r="BT584" s="529"/>
      <c r="BU584" s="529"/>
      <c r="BV584" s="529"/>
      <c r="BW584" s="529"/>
      <c r="BX584" s="529"/>
      <c r="BY584" s="529"/>
      <c r="BZ584" s="537"/>
      <c r="CA584" s="537"/>
      <c r="CB584" s="537"/>
    </row>
    <row r="585" spans="1:80" x14ac:dyDescent="0.3">
      <c r="A585" s="551"/>
      <c r="B585" s="522"/>
      <c r="C585" s="522"/>
      <c r="D585" s="522"/>
      <c r="E585" s="572" t="s">
        <v>391</v>
      </c>
      <c r="F585" s="573"/>
      <c r="G585" s="573"/>
      <c r="H585" s="537"/>
      <c r="I585" s="532">
        <f t="shared" ref="I585:N590" si="757">I521/I$571</f>
        <v>10783.361500341065</v>
      </c>
      <c r="J585" s="532">
        <f t="shared" si="757"/>
        <v>10783.361500341065</v>
      </c>
      <c r="K585" s="532">
        <f t="shared" si="757"/>
        <v>10783.361500341065</v>
      </c>
      <c r="L585" s="532">
        <f t="shared" si="757"/>
        <v>10783.361500341065</v>
      </c>
      <c r="M585" s="532">
        <f t="shared" si="757"/>
        <v>10783.361500341065</v>
      </c>
      <c r="N585" s="532">
        <f t="shared" si="757"/>
        <v>10783.361500341065</v>
      </c>
      <c r="O585" s="536"/>
      <c r="P585" s="568">
        <f t="shared" ref="P585:P591" si="758">IFERROR(((N585/I585)^(1/5))-1,0)</f>
        <v>0</v>
      </c>
      <c r="Q585" s="537"/>
      <c r="R585" s="530">
        <f t="shared" ref="R585:AW585" si="759">R521/R$571</f>
        <v>898.61345836175542</v>
      </c>
      <c r="S585" s="532">
        <f t="shared" si="759"/>
        <v>898.61345836175542</v>
      </c>
      <c r="T585" s="532">
        <f t="shared" si="759"/>
        <v>898.61345836175542</v>
      </c>
      <c r="U585" s="532">
        <f t="shared" si="759"/>
        <v>898.61345836175542</v>
      </c>
      <c r="V585" s="530">
        <f t="shared" si="759"/>
        <v>898.61345836175542</v>
      </c>
      <c r="W585" s="532">
        <f t="shared" si="759"/>
        <v>898.61345836175542</v>
      </c>
      <c r="X585" s="532">
        <f t="shared" si="759"/>
        <v>898.61345836175542</v>
      </c>
      <c r="Y585" s="532">
        <f t="shared" si="759"/>
        <v>898.61345836175542</v>
      </c>
      <c r="Z585" s="532">
        <f t="shared" si="759"/>
        <v>898.61345836175542</v>
      </c>
      <c r="AA585" s="532">
        <f t="shared" si="759"/>
        <v>898.61345836175542</v>
      </c>
      <c r="AB585" s="532">
        <f t="shared" si="759"/>
        <v>898.61345836175542</v>
      </c>
      <c r="AC585" s="532">
        <f t="shared" si="759"/>
        <v>898.61345836175542</v>
      </c>
      <c r="AD585" s="532">
        <f t="shared" si="759"/>
        <v>898.61345836175542</v>
      </c>
      <c r="AE585" s="532">
        <f t="shared" si="759"/>
        <v>898.61345836175542</v>
      </c>
      <c r="AF585" s="532">
        <f t="shared" si="759"/>
        <v>898.61345836175542</v>
      </c>
      <c r="AG585" s="532">
        <f t="shared" si="759"/>
        <v>898.61345836175542</v>
      </c>
      <c r="AH585" s="532">
        <f t="shared" si="759"/>
        <v>898.61345836175542</v>
      </c>
      <c r="AI585" s="532">
        <f t="shared" si="759"/>
        <v>898.61345836175542</v>
      </c>
      <c r="AJ585" s="532">
        <f t="shared" si="759"/>
        <v>898.61345836175542</v>
      </c>
      <c r="AK585" s="532">
        <f t="shared" si="759"/>
        <v>898.61345836175542</v>
      </c>
      <c r="AL585" s="532">
        <f t="shared" si="759"/>
        <v>898.61345836175542</v>
      </c>
      <c r="AM585" s="532">
        <f t="shared" si="759"/>
        <v>898.61345836175542</v>
      </c>
      <c r="AN585" s="532">
        <f t="shared" si="759"/>
        <v>898.61345836175542</v>
      </c>
      <c r="AO585" s="532">
        <f t="shared" si="759"/>
        <v>898.61345836175542</v>
      </c>
      <c r="AP585" s="532">
        <f t="shared" si="759"/>
        <v>898.61345836175542</v>
      </c>
      <c r="AQ585" s="532">
        <f t="shared" si="759"/>
        <v>898.61345836175542</v>
      </c>
      <c r="AR585" s="532">
        <f t="shared" si="759"/>
        <v>898.61345836175542</v>
      </c>
      <c r="AS585" s="532">
        <f t="shared" si="759"/>
        <v>898.61345836175542</v>
      </c>
      <c r="AT585" s="532">
        <f t="shared" si="759"/>
        <v>898.61345836175542</v>
      </c>
      <c r="AU585" s="532">
        <f t="shared" si="759"/>
        <v>898.61345836175542</v>
      </c>
      <c r="AV585" s="532">
        <f t="shared" si="759"/>
        <v>898.61345836175542</v>
      </c>
      <c r="AW585" s="532">
        <f t="shared" si="759"/>
        <v>898.61345836175542</v>
      </c>
      <c r="AX585" s="532">
        <f t="shared" ref="AX585:BY585" si="760">AX521/AX$571</f>
        <v>898.61345836175542</v>
      </c>
      <c r="AY585" s="532">
        <f t="shared" si="760"/>
        <v>898.61345836175542</v>
      </c>
      <c r="AZ585" s="532">
        <f t="shared" si="760"/>
        <v>898.61345836175542</v>
      </c>
      <c r="BA585" s="532">
        <f t="shared" si="760"/>
        <v>898.61345836175542</v>
      </c>
      <c r="BB585" s="532">
        <f t="shared" si="760"/>
        <v>898.61345836175542</v>
      </c>
      <c r="BC585" s="532">
        <f t="shared" si="760"/>
        <v>898.61345836175542</v>
      </c>
      <c r="BD585" s="532">
        <f t="shared" si="760"/>
        <v>898.61345836175542</v>
      </c>
      <c r="BE585" s="532">
        <f t="shared" si="760"/>
        <v>898.61345836175542</v>
      </c>
      <c r="BF585" s="532">
        <f t="shared" si="760"/>
        <v>898.61345836175542</v>
      </c>
      <c r="BG585" s="532">
        <f t="shared" si="760"/>
        <v>898.61345836175542</v>
      </c>
      <c r="BH585" s="532">
        <f t="shared" si="760"/>
        <v>898.61345836175542</v>
      </c>
      <c r="BI585" s="532">
        <f t="shared" si="760"/>
        <v>898.61345836175542</v>
      </c>
      <c r="BJ585" s="532">
        <f t="shared" si="760"/>
        <v>898.61345836175542</v>
      </c>
      <c r="BK585" s="532">
        <f t="shared" si="760"/>
        <v>898.61345836175542</v>
      </c>
      <c r="BL585" s="532">
        <f t="shared" si="760"/>
        <v>898.61345836175542</v>
      </c>
      <c r="BM585" s="532">
        <f t="shared" si="760"/>
        <v>898.61345836175542</v>
      </c>
      <c r="BN585" s="532">
        <f t="shared" si="760"/>
        <v>898.61345836175542</v>
      </c>
      <c r="BO585" s="532">
        <f t="shared" si="760"/>
        <v>898.61345836175542</v>
      </c>
      <c r="BP585" s="532">
        <f t="shared" si="760"/>
        <v>898.61345836175542</v>
      </c>
      <c r="BQ585" s="532">
        <f t="shared" si="760"/>
        <v>898.61345836175542</v>
      </c>
      <c r="BR585" s="532">
        <f t="shared" si="760"/>
        <v>898.61345836175542</v>
      </c>
      <c r="BS585" s="532">
        <f t="shared" si="760"/>
        <v>898.61345836175542</v>
      </c>
      <c r="BT585" s="532">
        <f t="shared" si="760"/>
        <v>898.61345836175542</v>
      </c>
      <c r="BU585" s="532">
        <f t="shared" si="760"/>
        <v>898.61345836175542</v>
      </c>
      <c r="BV585" s="532">
        <f t="shared" si="760"/>
        <v>898.61345836175542</v>
      </c>
      <c r="BW585" s="532">
        <f t="shared" si="760"/>
        <v>898.61345836175542</v>
      </c>
      <c r="BX585" s="532">
        <f t="shared" si="760"/>
        <v>898.61345836175542</v>
      </c>
      <c r="BY585" s="532">
        <f t="shared" si="760"/>
        <v>898.61345836175542</v>
      </c>
      <c r="BZ585" s="537"/>
      <c r="CA585" s="537"/>
      <c r="CB585" s="537"/>
    </row>
    <row r="586" spans="1:80" x14ac:dyDescent="0.3">
      <c r="A586" s="551"/>
      <c r="B586" s="522"/>
      <c r="C586" s="522"/>
      <c r="D586" s="522"/>
      <c r="E586" s="525" t="s">
        <v>392</v>
      </c>
      <c r="F586" s="567"/>
      <c r="G586" s="567"/>
      <c r="H586" s="537"/>
      <c r="I586" s="527">
        <f t="shared" si="757"/>
        <v>-5448.5639828746689</v>
      </c>
      <c r="J586" s="527">
        <f t="shared" si="757"/>
        <v>-5448.5639828746689</v>
      </c>
      <c r="K586" s="527">
        <f t="shared" si="757"/>
        <v>-5448.5639828746689</v>
      </c>
      <c r="L586" s="527">
        <f t="shared" si="757"/>
        <v>-5448.5639828746689</v>
      </c>
      <c r="M586" s="527">
        <f t="shared" si="757"/>
        <v>-5448.5639828746689</v>
      </c>
      <c r="N586" s="527">
        <f t="shared" si="757"/>
        <v>-5448.5639828746689</v>
      </c>
      <c r="O586" s="529"/>
      <c r="P586" s="564">
        <f t="shared" si="758"/>
        <v>0</v>
      </c>
      <c r="Q586" s="537"/>
      <c r="R586" s="527">
        <f t="shared" ref="R586:AW586" si="761">R522/R$571</f>
        <v>-454.04699857288909</v>
      </c>
      <c r="S586" s="527">
        <f t="shared" si="761"/>
        <v>-454.04699857288909</v>
      </c>
      <c r="T586" s="527">
        <f t="shared" si="761"/>
        <v>-454.04699857288909</v>
      </c>
      <c r="U586" s="527">
        <f t="shared" si="761"/>
        <v>-454.04699857288909</v>
      </c>
      <c r="V586" s="527">
        <f t="shared" si="761"/>
        <v>-454.04699857288909</v>
      </c>
      <c r="W586" s="527">
        <f t="shared" si="761"/>
        <v>-454.04699857288909</v>
      </c>
      <c r="X586" s="527">
        <f t="shared" si="761"/>
        <v>-454.04699857288909</v>
      </c>
      <c r="Y586" s="527">
        <f t="shared" si="761"/>
        <v>-454.04699857288909</v>
      </c>
      <c r="Z586" s="527">
        <f t="shared" si="761"/>
        <v>-454.04699857288909</v>
      </c>
      <c r="AA586" s="527">
        <f t="shared" si="761"/>
        <v>-454.04699857288909</v>
      </c>
      <c r="AB586" s="527">
        <f t="shared" si="761"/>
        <v>-454.04699857288909</v>
      </c>
      <c r="AC586" s="527">
        <f t="shared" si="761"/>
        <v>-454.04699857288909</v>
      </c>
      <c r="AD586" s="527">
        <f t="shared" si="761"/>
        <v>-454.04699857288909</v>
      </c>
      <c r="AE586" s="527">
        <f t="shared" si="761"/>
        <v>-454.04699857288909</v>
      </c>
      <c r="AF586" s="527">
        <f t="shared" si="761"/>
        <v>-454.04699857288909</v>
      </c>
      <c r="AG586" s="527">
        <f t="shared" si="761"/>
        <v>-454.04699857288909</v>
      </c>
      <c r="AH586" s="527">
        <f t="shared" si="761"/>
        <v>-454.04699857288909</v>
      </c>
      <c r="AI586" s="527">
        <f t="shared" si="761"/>
        <v>-454.04699857288909</v>
      </c>
      <c r="AJ586" s="527">
        <f t="shared" si="761"/>
        <v>-454.04699857288909</v>
      </c>
      <c r="AK586" s="527">
        <f t="shared" si="761"/>
        <v>-454.04699857288909</v>
      </c>
      <c r="AL586" s="527">
        <f t="shared" si="761"/>
        <v>-454.04699857288909</v>
      </c>
      <c r="AM586" s="527">
        <f t="shared" si="761"/>
        <v>-454.04699857288909</v>
      </c>
      <c r="AN586" s="527">
        <f t="shared" si="761"/>
        <v>-454.04699857288909</v>
      </c>
      <c r="AO586" s="527">
        <f t="shared" si="761"/>
        <v>-454.04699857288909</v>
      </c>
      <c r="AP586" s="527">
        <f t="shared" si="761"/>
        <v>-454.04699857288909</v>
      </c>
      <c r="AQ586" s="527">
        <f t="shared" si="761"/>
        <v>-454.04699857288909</v>
      </c>
      <c r="AR586" s="527">
        <f t="shared" si="761"/>
        <v>-454.04699857288909</v>
      </c>
      <c r="AS586" s="527">
        <f t="shared" si="761"/>
        <v>-454.04699857288909</v>
      </c>
      <c r="AT586" s="527">
        <f t="shared" si="761"/>
        <v>-454.04699857288909</v>
      </c>
      <c r="AU586" s="527">
        <f t="shared" si="761"/>
        <v>-454.04699857288909</v>
      </c>
      <c r="AV586" s="527">
        <f t="shared" si="761"/>
        <v>-454.04699857288909</v>
      </c>
      <c r="AW586" s="527">
        <f t="shared" si="761"/>
        <v>-454.04699857288909</v>
      </c>
      <c r="AX586" s="527">
        <f t="shared" ref="AX586:BY586" si="762">AX522/AX$571</f>
        <v>-454.04699857288909</v>
      </c>
      <c r="AY586" s="527">
        <f t="shared" si="762"/>
        <v>-454.04699857288909</v>
      </c>
      <c r="AZ586" s="527">
        <f t="shared" si="762"/>
        <v>-454.04699857288909</v>
      </c>
      <c r="BA586" s="527">
        <f t="shared" si="762"/>
        <v>-454.04699857288909</v>
      </c>
      <c r="BB586" s="527">
        <f t="shared" si="762"/>
        <v>-454.04699857288909</v>
      </c>
      <c r="BC586" s="527">
        <f t="shared" si="762"/>
        <v>-454.04699857288909</v>
      </c>
      <c r="BD586" s="527">
        <f t="shared" si="762"/>
        <v>-454.04699857288909</v>
      </c>
      <c r="BE586" s="527">
        <f t="shared" si="762"/>
        <v>-454.04699857288909</v>
      </c>
      <c r="BF586" s="527">
        <f t="shared" si="762"/>
        <v>-454.04699857288909</v>
      </c>
      <c r="BG586" s="527">
        <f t="shared" si="762"/>
        <v>-454.04699857288909</v>
      </c>
      <c r="BH586" s="527">
        <f t="shared" si="762"/>
        <v>-454.04699857288909</v>
      </c>
      <c r="BI586" s="527">
        <f t="shared" si="762"/>
        <v>-454.04699857288909</v>
      </c>
      <c r="BJ586" s="527">
        <f t="shared" si="762"/>
        <v>-454.04699857288909</v>
      </c>
      <c r="BK586" s="527">
        <f t="shared" si="762"/>
        <v>-454.04699857288909</v>
      </c>
      <c r="BL586" s="527">
        <f t="shared" si="762"/>
        <v>-454.04699857288909</v>
      </c>
      <c r="BM586" s="527">
        <f t="shared" si="762"/>
        <v>-454.04699857288909</v>
      </c>
      <c r="BN586" s="527">
        <f t="shared" si="762"/>
        <v>-454.04699857288909</v>
      </c>
      <c r="BO586" s="527">
        <f t="shared" si="762"/>
        <v>-454.04699857288909</v>
      </c>
      <c r="BP586" s="527">
        <f t="shared" si="762"/>
        <v>-454.04699857288909</v>
      </c>
      <c r="BQ586" s="527">
        <f t="shared" si="762"/>
        <v>-454.04699857288909</v>
      </c>
      <c r="BR586" s="527">
        <f t="shared" si="762"/>
        <v>-454.04699857288909</v>
      </c>
      <c r="BS586" s="527">
        <f t="shared" si="762"/>
        <v>-454.04699857288909</v>
      </c>
      <c r="BT586" s="527">
        <f t="shared" si="762"/>
        <v>-454.04699857288909</v>
      </c>
      <c r="BU586" s="527">
        <f t="shared" si="762"/>
        <v>-454.04699857288909</v>
      </c>
      <c r="BV586" s="527">
        <f t="shared" si="762"/>
        <v>-454.04699857288909</v>
      </c>
      <c r="BW586" s="527">
        <f t="shared" si="762"/>
        <v>-454.04699857288909</v>
      </c>
      <c r="BX586" s="527">
        <f t="shared" si="762"/>
        <v>-454.04699857288909</v>
      </c>
      <c r="BY586" s="527">
        <f t="shared" si="762"/>
        <v>-454.04699857288909</v>
      </c>
      <c r="BZ586" s="537"/>
      <c r="CA586" s="537"/>
      <c r="CB586" s="537"/>
    </row>
    <row r="587" spans="1:80" x14ac:dyDescent="0.3">
      <c r="A587" s="551"/>
      <c r="B587" s="522"/>
      <c r="C587" s="522"/>
      <c r="D587" s="537"/>
      <c r="E587" s="525" t="s">
        <v>393</v>
      </c>
      <c r="F587" s="567"/>
      <c r="G587" s="567"/>
      <c r="H587" s="537"/>
      <c r="I587" s="527">
        <f t="shared" si="757"/>
        <v>-658.84996965312848</v>
      </c>
      <c r="J587" s="527">
        <f t="shared" si="757"/>
        <v>-658.84996965312848</v>
      </c>
      <c r="K587" s="527">
        <f t="shared" si="757"/>
        <v>-658.84996965312848</v>
      </c>
      <c r="L587" s="527">
        <f t="shared" si="757"/>
        <v>-658.84996965312848</v>
      </c>
      <c r="M587" s="527">
        <f t="shared" si="757"/>
        <v>-658.84996965312848</v>
      </c>
      <c r="N587" s="527">
        <f t="shared" si="757"/>
        <v>-658.84996965312848</v>
      </c>
      <c r="O587" s="529"/>
      <c r="P587" s="564">
        <f t="shared" si="758"/>
        <v>0</v>
      </c>
      <c r="Q587" s="537"/>
      <c r="R587" s="527">
        <f t="shared" ref="R587:AW587" si="763">R523/R$571</f>
        <v>-54.904164137760709</v>
      </c>
      <c r="S587" s="527">
        <f t="shared" si="763"/>
        <v>-54.904164137760709</v>
      </c>
      <c r="T587" s="527">
        <f t="shared" si="763"/>
        <v>-54.904164137760709</v>
      </c>
      <c r="U587" s="527">
        <f t="shared" si="763"/>
        <v>-54.904164137760709</v>
      </c>
      <c r="V587" s="527">
        <f t="shared" si="763"/>
        <v>-54.904164137760709</v>
      </c>
      <c r="W587" s="527">
        <f t="shared" si="763"/>
        <v>-54.904164137760709</v>
      </c>
      <c r="X587" s="527">
        <f t="shared" si="763"/>
        <v>-54.904164137760709</v>
      </c>
      <c r="Y587" s="527">
        <f t="shared" si="763"/>
        <v>-54.904164137760709</v>
      </c>
      <c r="Z587" s="527">
        <f t="shared" si="763"/>
        <v>-54.904164137760709</v>
      </c>
      <c r="AA587" s="527">
        <f t="shared" si="763"/>
        <v>-54.904164137760709</v>
      </c>
      <c r="AB587" s="527">
        <f t="shared" si="763"/>
        <v>-54.904164137760709</v>
      </c>
      <c r="AC587" s="527">
        <f t="shared" si="763"/>
        <v>-54.904164137760709</v>
      </c>
      <c r="AD587" s="527">
        <f t="shared" si="763"/>
        <v>-54.904164137760709</v>
      </c>
      <c r="AE587" s="527">
        <f t="shared" si="763"/>
        <v>-54.904164137760709</v>
      </c>
      <c r="AF587" s="527">
        <f t="shared" si="763"/>
        <v>-54.904164137760709</v>
      </c>
      <c r="AG587" s="527">
        <f t="shared" si="763"/>
        <v>-54.904164137760709</v>
      </c>
      <c r="AH587" s="527">
        <f t="shared" si="763"/>
        <v>-54.904164137760709</v>
      </c>
      <c r="AI587" s="527">
        <f t="shared" si="763"/>
        <v>-54.904164137760709</v>
      </c>
      <c r="AJ587" s="527">
        <f t="shared" si="763"/>
        <v>-54.904164137760709</v>
      </c>
      <c r="AK587" s="527">
        <f t="shared" si="763"/>
        <v>-54.904164137760709</v>
      </c>
      <c r="AL587" s="527">
        <f t="shared" si="763"/>
        <v>-54.904164137760709</v>
      </c>
      <c r="AM587" s="527">
        <f t="shared" si="763"/>
        <v>-54.904164137760709</v>
      </c>
      <c r="AN587" s="527">
        <f t="shared" si="763"/>
        <v>-54.904164137760709</v>
      </c>
      <c r="AO587" s="527">
        <f t="shared" si="763"/>
        <v>-54.904164137760709</v>
      </c>
      <c r="AP587" s="527">
        <f t="shared" si="763"/>
        <v>-54.904164137760709</v>
      </c>
      <c r="AQ587" s="527">
        <f t="shared" si="763"/>
        <v>-54.904164137760709</v>
      </c>
      <c r="AR587" s="527">
        <f t="shared" si="763"/>
        <v>-54.904164137760709</v>
      </c>
      <c r="AS587" s="527">
        <f t="shared" si="763"/>
        <v>-54.904164137760709</v>
      </c>
      <c r="AT587" s="527">
        <f t="shared" si="763"/>
        <v>-54.904164137760709</v>
      </c>
      <c r="AU587" s="527">
        <f t="shared" si="763"/>
        <v>-54.904164137760709</v>
      </c>
      <c r="AV587" s="527">
        <f t="shared" si="763"/>
        <v>-54.904164137760709</v>
      </c>
      <c r="AW587" s="527">
        <f t="shared" si="763"/>
        <v>-54.904164137760709</v>
      </c>
      <c r="AX587" s="527">
        <f t="shared" ref="AX587:BY587" si="764">AX523/AX$571</f>
        <v>-54.904164137760709</v>
      </c>
      <c r="AY587" s="527">
        <f t="shared" si="764"/>
        <v>-54.904164137760709</v>
      </c>
      <c r="AZ587" s="527">
        <f t="shared" si="764"/>
        <v>-54.904164137760709</v>
      </c>
      <c r="BA587" s="527">
        <f t="shared" si="764"/>
        <v>-54.904164137760709</v>
      </c>
      <c r="BB587" s="527">
        <f t="shared" si="764"/>
        <v>-54.904164137760709</v>
      </c>
      <c r="BC587" s="527">
        <f t="shared" si="764"/>
        <v>-54.904164137760709</v>
      </c>
      <c r="BD587" s="527">
        <f t="shared" si="764"/>
        <v>-54.904164137760709</v>
      </c>
      <c r="BE587" s="527">
        <f t="shared" si="764"/>
        <v>-54.904164137760709</v>
      </c>
      <c r="BF587" s="527">
        <f t="shared" si="764"/>
        <v>-54.904164137760709</v>
      </c>
      <c r="BG587" s="527">
        <f t="shared" si="764"/>
        <v>-54.904164137760709</v>
      </c>
      <c r="BH587" s="527">
        <f t="shared" si="764"/>
        <v>-54.904164137760709</v>
      </c>
      <c r="BI587" s="527">
        <f t="shared" si="764"/>
        <v>-54.904164137760709</v>
      </c>
      <c r="BJ587" s="527">
        <f t="shared" si="764"/>
        <v>-54.904164137760709</v>
      </c>
      <c r="BK587" s="527">
        <f t="shared" si="764"/>
        <v>-54.904164137760709</v>
      </c>
      <c r="BL587" s="527">
        <f t="shared" si="764"/>
        <v>-54.904164137760709</v>
      </c>
      <c r="BM587" s="527">
        <f t="shared" si="764"/>
        <v>-54.904164137760709</v>
      </c>
      <c r="BN587" s="527">
        <f t="shared" si="764"/>
        <v>-54.904164137760709</v>
      </c>
      <c r="BO587" s="527">
        <f t="shared" si="764"/>
        <v>-54.904164137760709</v>
      </c>
      <c r="BP587" s="527">
        <f t="shared" si="764"/>
        <v>-54.904164137760709</v>
      </c>
      <c r="BQ587" s="527">
        <f t="shared" si="764"/>
        <v>-54.904164137760709</v>
      </c>
      <c r="BR587" s="527">
        <f t="shared" si="764"/>
        <v>-54.904164137760709</v>
      </c>
      <c r="BS587" s="527">
        <f t="shared" si="764"/>
        <v>-54.904164137760709</v>
      </c>
      <c r="BT587" s="527">
        <f t="shared" si="764"/>
        <v>-54.904164137760709</v>
      </c>
      <c r="BU587" s="527">
        <f t="shared" si="764"/>
        <v>-54.904164137760709</v>
      </c>
      <c r="BV587" s="527">
        <f t="shared" si="764"/>
        <v>-54.904164137760709</v>
      </c>
      <c r="BW587" s="527">
        <f t="shared" si="764"/>
        <v>-54.904164137760709</v>
      </c>
      <c r="BX587" s="527">
        <f t="shared" si="764"/>
        <v>-54.904164137760709</v>
      </c>
      <c r="BY587" s="527">
        <f t="shared" si="764"/>
        <v>-54.904164137760709</v>
      </c>
      <c r="BZ587" s="537"/>
      <c r="CA587" s="537"/>
      <c r="CB587" s="537"/>
    </row>
    <row r="588" spans="1:80" x14ac:dyDescent="0.3">
      <c r="A588" s="551"/>
      <c r="B588" s="522"/>
      <c r="C588" s="522"/>
      <c r="D588" s="537"/>
      <c r="E588" s="572" t="s">
        <v>394</v>
      </c>
      <c r="F588" s="573"/>
      <c r="G588" s="573"/>
      <c r="H588" s="537"/>
      <c r="I588" s="532">
        <f t="shared" si="757"/>
        <v>4166.4705691056915</v>
      </c>
      <c r="J588" s="532">
        <f t="shared" si="757"/>
        <v>4675.9475478132672</v>
      </c>
      <c r="K588" s="532">
        <f t="shared" si="757"/>
        <v>4675.9475478132672</v>
      </c>
      <c r="L588" s="532">
        <f t="shared" si="757"/>
        <v>4675.9475478132672</v>
      </c>
      <c r="M588" s="532">
        <f t="shared" si="757"/>
        <v>4675.9475478132672</v>
      </c>
      <c r="N588" s="532">
        <f t="shared" si="757"/>
        <v>4675.9475478132672</v>
      </c>
      <c r="O588" s="536"/>
      <c r="P588" s="568">
        <f t="shared" si="758"/>
        <v>2.3340736246417526E-2</v>
      </c>
      <c r="Q588" s="537"/>
      <c r="R588" s="532">
        <f t="shared" ref="R588:AW588" si="765">R524/R$571</f>
        <v>389.66229565110558</v>
      </c>
      <c r="S588" s="532">
        <f t="shared" si="765"/>
        <v>389.66229565110558</v>
      </c>
      <c r="T588" s="532">
        <f t="shared" si="765"/>
        <v>389.66229565110558</v>
      </c>
      <c r="U588" s="532">
        <f t="shared" si="765"/>
        <v>389.66229565110558</v>
      </c>
      <c r="V588" s="532">
        <f t="shared" si="765"/>
        <v>389.66229565110558</v>
      </c>
      <c r="W588" s="532">
        <f t="shared" si="765"/>
        <v>389.66229565110558</v>
      </c>
      <c r="X588" s="532">
        <f t="shared" si="765"/>
        <v>389.66229565110558</v>
      </c>
      <c r="Y588" s="532">
        <f t="shared" si="765"/>
        <v>389.66229565110558</v>
      </c>
      <c r="Z588" s="532">
        <f t="shared" si="765"/>
        <v>389.66229565110558</v>
      </c>
      <c r="AA588" s="532">
        <f t="shared" si="765"/>
        <v>389.66229565110558</v>
      </c>
      <c r="AB588" s="532">
        <f t="shared" si="765"/>
        <v>389.66229565110558</v>
      </c>
      <c r="AC588" s="532">
        <f t="shared" si="765"/>
        <v>389.66229565110558</v>
      </c>
      <c r="AD588" s="532">
        <f t="shared" si="765"/>
        <v>389.66229565110558</v>
      </c>
      <c r="AE588" s="532">
        <f t="shared" si="765"/>
        <v>389.66229565110558</v>
      </c>
      <c r="AF588" s="532">
        <f t="shared" si="765"/>
        <v>389.66229565110558</v>
      </c>
      <c r="AG588" s="532">
        <f t="shared" si="765"/>
        <v>389.66229565110558</v>
      </c>
      <c r="AH588" s="532">
        <f t="shared" si="765"/>
        <v>389.66229565110558</v>
      </c>
      <c r="AI588" s="532">
        <f t="shared" si="765"/>
        <v>389.66229565110558</v>
      </c>
      <c r="AJ588" s="532">
        <f t="shared" si="765"/>
        <v>389.66229565110558</v>
      </c>
      <c r="AK588" s="532">
        <f t="shared" si="765"/>
        <v>389.66229565110558</v>
      </c>
      <c r="AL588" s="532">
        <f t="shared" si="765"/>
        <v>389.66229565110558</v>
      </c>
      <c r="AM588" s="532">
        <f t="shared" si="765"/>
        <v>389.66229565110558</v>
      </c>
      <c r="AN588" s="532">
        <f t="shared" si="765"/>
        <v>389.66229565110558</v>
      </c>
      <c r="AO588" s="532">
        <f t="shared" si="765"/>
        <v>389.66229565110558</v>
      </c>
      <c r="AP588" s="532">
        <f t="shared" si="765"/>
        <v>389.66229565110558</v>
      </c>
      <c r="AQ588" s="532">
        <f t="shared" si="765"/>
        <v>389.66229565110558</v>
      </c>
      <c r="AR588" s="532">
        <f t="shared" si="765"/>
        <v>389.66229565110558</v>
      </c>
      <c r="AS588" s="532">
        <f t="shared" si="765"/>
        <v>389.66229565110558</v>
      </c>
      <c r="AT588" s="532">
        <f t="shared" si="765"/>
        <v>389.66229565110558</v>
      </c>
      <c r="AU588" s="532">
        <f t="shared" si="765"/>
        <v>389.66229565110558</v>
      </c>
      <c r="AV588" s="532">
        <f t="shared" si="765"/>
        <v>389.66229565110558</v>
      </c>
      <c r="AW588" s="532">
        <f t="shared" si="765"/>
        <v>389.66229565110558</v>
      </c>
      <c r="AX588" s="532">
        <f t="shared" ref="AX588:BY588" si="766">AX524/AX$571</f>
        <v>389.66229565110558</v>
      </c>
      <c r="AY588" s="532">
        <f t="shared" si="766"/>
        <v>389.66229565110558</v>
      </c>
      <c r="AZ588" s="532">
        <f t="shared" si="766"/>
        <v>389.66229565110558</v>
      </c>
      <c r="BA588" s="532">
        <f t="shared" si="766"/>
        <v>389.66229565110558</v>
      </c>
      <c r="BB588" s="532">
        <f t="shared" si="766"/>
        <v>389.66229565110558</v>
      </c>
      <c r="BC588" s="532">
        <f t="shared" si="766"/>
        <v>389.66229565110558</v>
      </c>
      <c r="BD588" s="532">
        <f t="shared" si="766"/>
        <v>389.66229565110558</v>
      </c>
      <c r="BE588" s="532">
        <f t="shared" si="766"/>
        <v>389.66229565110558</v>
      </c>
      <c r="BF588" s="532">
        <f t="shared" si="766"/>
        <v>389.66229565110558</v>
      </c>
      <c r="BG588" s="532">
        <f t="shared" si="766"/>
        <v>389.66229565110558</v>
      </c>
      <c r="BH588" s="532">
        <f t="shared" si="766"/>
        <v>389.66229565110558</v>
      </c>
      <c r="BI588" s="532">
        <f t="shared" si="766"/>
        <v>389.66229565110558</v>
      </c>
      <c r="BJ588" s="532">
        <f t="shared" si="766"/>
        <v>389.66229565110558</v>
      </c>
      <c r="BK588" s="532">
        <f t="shared" si="766"/>
        <v>389.66229565110558</v>
      </c>
      <c r="BL588" s="532">
        <f t="shared" si="766"/>
        <v>389.66229565110558</v>
      </c>
      <c r="BM588" s="532">
        <f t="shared" si="766"/>
        <v>389.66229565110558</v>
      </c>
      <c r="BN588" s="532">
        <f t="shared" si="766"/>
        <v>389.66229565110558</v>
      </c>
      <c r="BO588" s="532">
        <f t="shared" si="766"/>
        <v>389.66229565110558</v>
      </c>
      <c r="BP588" s="532">
        <f t="shared" si="766"/>
        <v>389.66229565110558</v>
      </c>
      <c r="BQ588" s="532">
        <f t="shared" si="766"/>
        <v>389.66229565110558</v>
      </c>
      <c r="BR588" s="532">
        <f t="shared" si="766"/>
        <v>389.66229565110558</v>
      </c>
      <c r="BS588" s="532">
        <f t="shared" si="766"/>
        <v>389.66229565110558</v>
      </c>
      <c r="BT588" s="532">
        <f t="shared" si="766"/>
        <v>389.66229565110558</v>
      </c>
      <c r="BU588" s="532">
        <f t="shared" si="766"/>
        <v>389.66229565110558</v>
      </c>
      <c r="BV588" s="532">
        <f t="shared" si="766"/>
        <v>389.66229565110558</v>
      </c>
      <c r="BW588" s="532">
        <f t="shared" si="766"/>
        <v>389.66229565110558</v>
      </c>
      <c r="BX588" s="532">
        <f t="shared" si="766"/>
        <v>389.66229565110558</v>
      </c>
      <c r="BY588" s="532">
        <f t="shared" si="766"/>
        <v>389.66229565110558</v>
      </c>
      <c r="BZ588" s="537"/>
      <c r="CA588" s="537"/>
      <c r="CB588" s="537"/>
    </row>
    <row r="589" spans="1:80" x14ac:dyDescent="0.3">
      <c r="A589" s="551"/>
      <c r="B589" s="522"/>
      <c r="C589" s="522"/>
      <c r="D589" s="537"/>
      <c r="E589" s="525" t="s">
        <v>395</v>
      </c>
      <c r="F589" s="567"/>
      <c r="G589" s="567"/>
      <c r="H589" s="537"/>
      <c r="I589" s="527">
        <f t="shared" si="757"/>
        <v>-491.21606729863788</v>
      </c>
      <c r="J589" s="527">
        <f t="shared" si="757"/>
        <v>-491.21606729863788</v>
      </c>
      <c r="K589" s="527">
        <f t="shared" si="757"/>
        <v>-491.21606729863788</v>
      </c>
      <c r="L589" s="527">
        <f t="shared" si="757"/>
        <v>-491.21606729863788</v>
      </c>
      <c r="M589" s="527">
        <f t="shared" si="757"/>
        <v>-491.21606729863788</v>
      </c>
      <c r="N589" s="527">
        <f t="shared" si="757"/>
        <v>-491.21606729863788</v>
      </c>
      <c r="O589" s="529"/>
      <c r="P589" s="564">
        <f t="shared" si="758"/>
        <v>0</v>
      </c>
      <c r="Q589" s="537"/>
      <c r="R589" s="527">
        <f t="shared" ref="R589:AW589" si="767">R525/R$571</f>
        <v>-40.934672274886488</v>
      </c>
      <c r="S589" s="527">
        <f t="shared" si="767"/>
        <v>-40.934672274886488</v>
      </c>
      <c r="T589" s="527">
        <f t="shared" si="767"/>
        <v>-40.934672274886488</v>
      </c>
      <c r="U589" s="527">
        <f t="shared" si="767"/>
        <v>-40.934672274886488</v>
      </c>
      <c r="V589" s="527">
        <f t="shared" si="767"/>
        <v>-40.934672274886488</v>
      </c>
      <c r="W589" s="527">
        <f t="shared" si="767"/>
        <v>-40.934672274886488</v>
      </c>
      <c r="X589" s="527">
        <f t="shared" si="767"/>
        <v>-40.934672274886488</v>
      </c>
      <c r="Y589" s="527">
        <f t="shared" si="767"/>
        <v>-40.934672274886488</v>
      </c>
      <c r="Z589" s="527">
        <f t="shared" si="767"/>
        <v>-40.934672274886488</v>
      </c>
      <c r="AA589" s="527">
        <f t="shared" si="767"/>
        <v>-40.934672274886488</v>
      </c>
      <c r="AB589" s="527">
        <f t="shared" si="767"/>
        <v>-40.934672274886488</v>
      </c>
      <c r="AC589" s="527">
        <f t="shared" si="767"/>
        <v>-40.934672274886488</v>
      </c>
      <c r="AD589" s="527">
        <f t="shared" si="767"/>
        <v>-40.934672274886488</v>
      </c>
      <c r="AE589" s="527">
        <f t="shared" si="767"/>
        <v>-40.934672274886488</v>
      </c>
      <c r="AF589" s="527">
        <f t="shared" si="767"/>
        <v>-40.934672274886488</v>
      </c>
      <c r="AG589" s="527">
        <f t="shared" si="767"/>
        <v>-40.934672274886488</v>
      </c>
      <c r="AH589" s="527">
        <f t="shared" si="767"/>
        <v>-40.934672274886488</v>
      </c>
      <c r="AI589" s="527">
        <f t="shared" si="767"/>
        <v>-40.934672274886488</v>
      </c>
      <c r="AJ589" s="527">
        <f t="shared" si="767"/>
        <v>-40.934672274886488</v>
      </c>
      <c r="AK589" s="527">
        <f t="shared" si="767"/>
        <v>-40.934672274886488</v>
      </c>
      <c r="AL589" s="527">
        <f t="shared" si="767"/>
        <v>-40.934672274886488</v>
      </c>
      <c r="AM589" s="527">
        <f t="shared" si="767"/>
        <v>-40.934672274886488</v>
      </c>
      <c r="AN589" s="527">
        <f t="shared" si="767"/>
        <v>-40.934672274886488</v>
      </c>
      <c r="AO589" s="527">
        <f t="shared" si="767"/>
        <v>-40.934672274886488</v>
      </c>
      <c r="AP589" s="527">
        <f t="shared" si="767"/>
        <v>-40.934672274886488</v>
      </c>
      <c r="AQ589" s="527">
        <f t="shared" si="767"/>
        <v>-40.934672274886488</v>
      </c>
      <c r="AR589" s="527">
        <f t="shared" si="767"/>
        <v>-40.934672274886488</v>
      </c>
      <c r="AS589" s="527">
        <f t="shared" si="767"/>
        <v>-40.934672274886488</v>
      </c>
      <c r="AT589" s="527">
        <f t="shared" si="767"/>
        <v>-40.934672274886488</v>
      </c>
      <c r="AU589" s="527">
        <f t="shared" si="767"/>
        <v>-40.934672274886488</v>
      </c>
      <c r="AV589" s="527">
        <f t="shared" si="767"/>
        <v>-40.934672274886488</v>
      </c>
      <c r="AW589" s="527">
        <f t="shared" si="767"/>
        <v>-40.934672274886488</v>
      </c>
      <c r="AX589" s="527">
        <f t="shared" ref="AX589:BY589" si="768">AX525/AX$571</f>
        <v>-40.934672274886488</v>
      </c>
      <c r="AY589" s="527">
        <f t="shared" si="768"/>
        <v>-40.934672274886488</v>
      </c>
      <c r="AZ589" s="527">
        <f t="shared" si="768"/>
        <v>-40.934672274886488</v>
      </c>
      <c r="BA589" s="527">
        <f t="shared" si="768"/>
        <v>-40.934672274886488</v>
      </c>
      <c r="BB589" s="527">
        <f t="shared" si="768"/>
        <v>-40.934672274886488</v>
      </c>
      <c r="BC589" s="527">
        <f t="shared" si="768"/>
        <v>-40.934672274886488</v>
      </c>
      <c r="BD589" s="527">
        <f t="shared" si="768"/>
        <v>-40.934672274886488</v>
      </c>
      <c r="BE589" s="527">
        <f t="shared" si="768"/>
        <v>-40.934672274886488</v>
      </c>
      <c r="BF589" s="527">
        <f t="shared" si="768"/>
        <v>-40.934672274886488</v>
      </c>
      <c r="BG589" s="527">
        <f t="shared" si="768"/>
        <v>-40.934672274886488</v>
      </c>
      <c r="BH589" s="527">
        <f t="shared" si="768"/>
        <v>-40.934672274886488</v>
      </c>
      <c r="BI589" s="527">
        <f t="shared" si="768"/>
        <v>-40.934672274886488</v>
      </c>
      <c r="BJ589" s="527">
        <f t="shared" si="768"/>
        <v>-40.934672274886488</v>
      </c>
      <c r="BK589" s="527">
        <f t="shared" si="768"/>
        <v>-40.934672274886488</v>
      </c>
      <c r="BL589" s="527">
        <f t="shared" si="768"/>
        <v>-40.934672274886488</v>
      </c>
      <c r="BM589" s="527">
        <f t="shared" si="768"/>
        <v>-40.934672274886488</v>
      </c>
      <c r="BN589" s="527">
        <f t="shared" si="768"/>
        <v>-40.934672274886488</v>
      </c>
      <c r="BO589" s="527">
        <f t="shared" si="768"/>
        <v>-40.934672274886488</v>
      </c>
      <c r="BP589" s="527">
        <f t="shared" si="768"/>
        <v>-40.934672274886488</v>
      </c>
      <c r="BQ589" s="527">
        <f t="shared" si="768"/>
        <v>-40.934672274886488</v>
      </c>
      <c r="BR589" s="527">
        <f t="shared" si="768"/>
        <v>-40.934672274886488</v>
      </c>
      <c r="BS589" s="527">
        <f t="shared" si="768"/>
        <v>-40.934672274886488</v>
      </c>
      <c r="BT589" s="527">
        <f t="shared" si="768"/>
        <v>-40.934672274886488</v>
      </c>
      <c r="BU589" s="527">
        <f t="shared" si="768"/>
        <v>-40.934672274886488</v>
      </c>
      <c r="BV589" s="527">
        <f t="shared" si="768"/>
        <v>-40.934672274886488</v>
      </c>
      <c r="BW589" s="527">
        <f t="shared" si="768"/>
        <v>-40.934672274886488</v>
      </c>
      <c r="BX589" s="527">
        <f t="shared" si="768"/>
        <v>-40.934672274886488</v>
      </c>
      <c r="BY589" s="527">
        <f t="shared" si="768"/>
        <v>-40.934672274886488</v>
      </c>
      <c r="BZ589" s="537"/>
      <c r="CA589" s="537"/>
      <c r="CB589" s="537"/>
    </row>
    <row r="590" spans="1:80" x14ac:dyDescent="0.3">
      <c r="A590" s="551"/>
      <c r="B590" s="522"/>
      <c r="C590" s="522"/>
      <c r="D590" s="537"/>
      <c r="E590" s="572" t="s">
        <v>396</v>
      </c>
      <c r="F590" s="573"/>
      <c r="G590" s="573"/>
      <c r="H590" s="537"/>
      <c r="I590" s="532">
        <f t="shared" si="757"/>
        <v>4184.7314805146261</v>
      </c>
      <c r="J590" s="532">
        <f t="shared" si="757"/>
        <v>4184.7314805146289</v>
      </c>
      <c r="K590" s="532">
        <f t="shared" si="757"/>
        <v>4184.7314805146289</v>
      </c>
      <c r="L590" s="532">
        <f t="shared" si="757"/>
        <v>4184.7314805146289</v>
      </c>
      <c r="M590" s="532">
        <f t="shared" si="757"/>
        <v>4184.7314805146289</v>
      </c>
      <c r="N590" s="532">
        <f t="shared" si="757"/>
        <v>4184.7314805146289</v>
      </c>
      <c r="O590" s="536"/>
      <c r="P590" s="568">
        <f t="shared" si="758"/>
        <v>2.2204460492503131E-16</v>
      </c>
      <c r="Q590" s="537"/>
      <c r="R590" s="530">
        <f t="shared" ref="R590:AW590" si="769">R526/R$571</f>
        <v>348.72762337621913</v>
      </c>
      <c r="S590" s="532">
        <f t="shared" si="769"/>
        <v>348.72762337621913</v>
      </c>
      <c r="T590" s="532">
        <f t="shared" si="769"/>
        <v>348.72762337621913</v>
      </c>
      <c r="U590" s="532">
        <f t="shared" si="769"/>
        <v>348.72762337621913</v>
      </c>
      <c r="V590" s="530">
        <f t="shared" si="769"/>
        <v>348.72762337621913</v>
      </c>
      <c r="W590" s="530">
        <f t="shared" si="769"/>
        <v>348.72762337621913</v>
      </c>
      <c r="X590" s="532">
        <f t="shared" si="769"/>
        <v>348.72762337621913</v>
      </c>
      <c r="Y590" s="532">
        <f t="shared" si="769"/>
        <v>348.72762337621913</v>
      </c>
      <c r="Z590" s="532">
        <f t="shared" si="769"/>
        <v>348.72762337621913</v>
      </c>
      <c r="AA590" s="532">
        <f t="shared" si="769"/>
        <v>348.72762337621913</v>
      </c>
      <c r="AB590" s="532">
        <f t="shared" si="769"/>
        <v>348.72762337621913</v>
      </c>
      <c r="AC590" s="532">
        <f t="shared" si="769"/>
        <v>348.72762337621913</v>
      </c>
      <c r="AD590" s="532">
        <f t="shared" si="769"/>
        <v>348.72762337621913</v>
      </c>
      <c r="AE590" s="532">
        <f t="shared" si="769"/>
        <v>348.72762337621913</v>
      </c>
      <c r="AF590" s="532">
        <f t="shared" si="769"/>
        <v>348.72762337621913</v>
      </c>
      <c r="AG590" s="532">
        <f t="shared" si="769"/>
        <v>348.72762337621913</v>
      </c>
      <c r="AH590" s="532">
        <f t="shared" si="769"/>
        <v>348.72762337621913</v>
      </c>
      <c r="AI590" s="532">
        <f t="shared" si="769"/>
        <v>348.72762337621913</v>
      </c>
      <c r="AJ590" s="532">
        <f t="shared" si="769"/>
        <v>348.72762337621913</v>
      </c>
      <c r="AK590" s="532">
        <f t="shared" si="769"/>
        <v>348.72762337621913</v>
      </c>
      <c r="AL590" s="532">
        <f t="shared" si="769"/>
        <v>348.72762337621913</v>
      </c>
      <c r="AM590" s="532">
        <f t="shared" si="769"/>
        <v>348.72762337621913</v>
      </c>
      <c r="AN590" s="532">
        <f t="shared" si="769"/>
        <v>348.72762337621913</v>
      </c>
      <c r="AO590" s="532">
        <f t="shared" si="769"/>
        <v>348.72762337621913</v>
      </c>
      <c r="AP590" s="532">
        <f t="shared" si="769"/>
        <v>348.72762337621913</v>
      </c>
      <c r="AQ590" s="532">
        <f t="shared" si="769"/>
        <v>348.72762337621913</v>
      </c>
      <c r="AR590" s="532">
        <f t="shared" si="769"/>
        <v>348.72762337621913</v>
      </c>
      <c r="AS590" s="532">
        <f t="shared" si="769"/>
        <v>348.72762337621913</v>
      </c>
      <c r="AT590" s="532">
        <f t="shared" si="769"/>
        <v>348.72762337621913</v>
      </c>
      <c r="AU590" s="532">
        <f t="shared" si="769"/>
        <v>348.72762337621913</v>
      </c>
      <c r="AV590" s="532">
        <f t="shared" si="769"/>
        <v>348.72762337621913</v>
      </c>
      <c r="AW590" s="532">
        <f t="shared" si="769"/>
        <v>348.72762337621913</v>
      </c>
      <c r="AX590" s="532">
        <f t="shared" ref="AX590:BY590" si="770">AX526/AX$571</f>
        <v>348.72762337621913</v>
      </c>
      <c r="AY590" s="532">
        <f t="shared" si="770"/>
        <v>348.72762337621913</v>
      </c>
      <c r="AZ590" s="532">
        <f t="shared" si="770"/>
        <v>348.72762337621913</v>
      </c>
      <c r="BA590" s="532">
        <f t="shared" si="770"/>
        <v>348.72762337621913</v>
      </c>
      <c r="BB590" s="532">
        <f t="shared" si="770"/>
        <v>348.72762337621913</v>
      </c>
      <c r="BC590" s="532">
        <f t="shared" si="770"/>
        <v>348.72762337621913</v>
      </c>
      <c r="BD590" s="532">
        <f t="shared" si="770"/>
        <v>348.72762337621913</v>
      </c>
      <c r="BE590" s="532">
        <f t="shared" si="770"/>
        <v>348.72762337621913</v>
      </c>
      <c r="BF590" s="532">
        <f t="shared" si="770"/>
        <v>348.72762337621913</v>
      </c>
      <c r="BG590" s="532">
        <f t="shared" si="770"/>
        <v>348.72762337621913</v>
      </c>
      <c r="BH590" s="532">
        <f t="shared" si="770"/>
        <v>348.72762337621913</v>
      </c>
      <c r="BI590" s="532">
        <f t="shared" si="770"/>
        <v>348.72762337621913</v>
      </c>
      <c r="BJ590" s="532">
        <f t="shared" si="770"/>
        <v>348.72762337621913</v>
      </c>
      <c r="BK590" s="532">
        <f t="shared" si="770"/>
        <v>348.72762337621913</v>
      </c>
      <c r="BL590" s="532">
        <f t="shared" si="770"/>
        <v>348.72762337621913</v>
      </c>
      <c r="BM590" s="532">
        <f t="shared" si="770"/>
        <v>348.72762337621913</v>
      </c>
      <c r="BN590" s="532">
        <f t="shared" si="770"/>
        <v>348.72762337621913</v>
      </c>
      <c r="BO590" s="532">
        <f t="shared" si="770"/>
        <v>348.72762337621913</v>
      </c>
      <c r="BP590" s="532">
        <f t="shared" si="770"/>
        <v>348.72762337621913</v>
      </c>
      <c r="BQ590" s="532">
        <f t="shared" si="770"/>
        <v>348.72762337621913</v>
      </c>
      <c r="BR590" s="532">
        <f t="shared" si="770"/>
        <v>348.72762337621913</v>
      </c>
      <c r="BS590" s="532">
        <f t="shared" si="770"/>
        <v>348.72762337621913</v>
      </c>
      <c r="BT590" s="532">
        <f t="shared" si="770"/>
        <v>348.72762337621913</v>
      </c>
      <c r="BU590" s="532">
        <f t="shared" si="770"/>
        <v>348.72762337621913</v>
      </c>
      <c r="BV590" s="532">
        <f t="shared" si="770"/>
        <v>348.72762337621913</v>
      </c>
      <c r="BW590" s="532">
        <f t="shared" si="770"/>
        <v>348.72762337621913</v>
      </c>
      <c r="BX590" s="532">
        <f t="shared" si="770"/>
        <v>348.72762337621913</v>
      </c>
      <c r="BY590" s="532">
        <f t="shared" si="770"/>
        <v>348.72762337621913</v>
      </c>
      <c r="BZ590" s="537"/>
      <c r="CA590" s="537"/>
      <c r="CB590" s="537"/>
    </row>
    <row r="591" spans="1:80" x14ac:dyDescent="0.3">
      <c r="A591" s="551"/>
      <c r="B591" s="522"/>
      <c r="C591" s="522"/>
      <c r="D591" s="537"/>
      <c r="E591" s="525" t="s">
        <v>176</v>
      </c>
      <c r="F591" s="576"/>
      <c r="G591" s="576"/>
      <c r="H591" s="529"/>
      <c r="I591" s="531">
        <f t="shared" ref="I591:N591" si="771">IFERROR(I590/I585,0)</f>
        <v>0.38807300305959957</v>
      </c>
      <c r="J591" s="531">
        <f t="shared" si="771"/>
        <v>0.3880730030595998</v>
      </c>
      <c r="K591" s="531">
        <f t="shared" si="771"/>
        <v>0.3880730030595998</v>
      </c>
      <c r="L591" s="531">
        <f t="shared" si="771"/>
        <v>0.3880730030595998</v>
      </c>
      <c r="M591" s="531">
        <f t="shared" si="771"/>
        <v>0.3880730030595998</v>
      </c>
      <c r="N591" s="531">
        <f t="shared" si="771"/>
        <v>0.3880730030595998</v>
      </c>
      <c r="O591" s="546"/>
      <c r="P591" s="564">
        <f t="shared" si="758"/>
        <v>2.2204460492503131E-16</v>
      </c>
      <c r="Q591" s="529"/>
      <c r="R591" s="531">
        <f t="shared" ref="R591:BY591" si="772">IFERROR(R590/R585,0)</f>
        <v>0.38807300305959985</v>
      </c>
      <c r="S591" s="531">
        <f t="shared" si="772"/>
        <v>0.38807300305959985</v>
      </c>
      <c r="T591" s="531">
        <f t="shared" si="772"/>
        <v>0.38807300305959985</v>
      </c>
      <c r="U591" s="531">
        <f t="shared" si="772"/>
        <v>0.38807300305959985</v>
      </c>
      <c r="V591" s="531">
        <f t="shared" si="772"/>
        <v>0.38807300305959985</v>
      </c>
      <c r="W591" s="531">
        <f t="shared" si="772"/>
        <v>0.38807300305959985</v>
      </c>
      <c r="X591" s="531">
        <f t="shared" si="772"/>
        <v>0.38807300305959985</v>
      </c>
      <c r="Y591" s="531">
        <f t="shared" si="772"/>
        <v>0.38807300305959985</v>
      </c>
      <c r="Z591" s="531">
        <f t="shared" si="772"/>
        <v>0.38807300305959985</v>
      </c>
      <c r="AA591" s="531">
        <f t="shared" si="772"/>
        <v>0.38807300305959985</v>
      </c>
      <c r="AB591" s="531">
        <f t="shared" si="772"/>
        <v>0.38807300305959985</v>
      </c>
      <c r="AC591" s="531">
        <f t="shared" si="772"/>
        <v>0.38807300305959985</v>
      </c>
      <c r="AD591" s="531">
        <f t="shared" si="772"/>
        <v>0.38807300305959985</v>
      </c>
      <c r="AE591" s="531">
        <f t="shared" si="772"/>
        <v>0.38807300305959985</v>
      </c>
      <c r="AF591" s="531">
        <f t="shared" si="772"/>
        <v>0.38807300305959985</v>
      </c>
      <c r="AG591" s="531">
        <f t="shared" si="772"/>
        <v>0.38807300305959985</v>
      </c>
      <c r="AH591" s="531">
        <f t="shared" si="772"/>
        <v>0.38807300305959985</v>
      </c>
      <c r="AI591" s="531">
        <f t="shared" si="772"/>
        <v>0.38807300305959985</v>
      </c>
      <c r="AJ591" s="531">
        <f t="shared" si="772"/>
        <v>0.38807300305959985</v>
      </c>
      <c r="AK591" s="531">
        <f t="shared" si="772"/>
        <v>0.38807300305959985</v>
      </c>
      <c r="AL591" s="531">
        <f t="shared" si="772"/>
        <v>0.38807300305959985</v>
      </c>
      <c r="AM591" s="531">
        <f t="shared" si="772"/>
        <v>0.38807300305959985</v>
      </c>
      <c r="AN591" s="531">
        <f t="shared" si="772"/>
        <v>0.38807300305959985</v>
      </c>
      <c r="AO591" s="531">
        <f t="shared" si="772"/>
        <v>0.38807300305959985</v>
      </c>
      <c r="AP591" s="531">
        <f t="shared" si="772"/>
        <v>0.38807300305959985</v>
      </c>
      <c r="AQ591" s="531">
        <f t="shared" si="772"/>
        <v>0.38807300305959985</v>
      </c>
      <c r="AR591" s="531">
        <f t="shared" si="772"/>
        <v>0.38807300305959985</v>
      </c>
      <c r="AS591" s="531">
        <f t="shared" si="772"/>
        <v>0.38807300305959985</v>
      </c>
      <c r="AT591" s="531">
        <f t="shared" si="772"/>
        <v>0.38807300305959985</v>
      </c>
      <c r="AU591" s="531">
        <f t="shared" si="772"/>
        <v>0.38807300305959985</v>
      </c>
      <c r="AV591" s="531">
        <f t="shared" si="772"/>
        <v>0.38807300305959985</v>
      </c>
      <c r="AW591" s="531">
        <f t="shared" si="772"/>
        <v>0.38807300305959985</v>
      </c>
      <c r="AX591" s="531">
        <f t="shared" si="772"/>
        <v>0.38807300305959985</v>
      </c>
      <c r="AY591" s="531">
        <f t="shared" si="772"/>
        <v>0.38807300305959985</v>
      </c>
      <c r="AZ591" s="531">
        <f t="shared" si="772"/>
        <v>0.38807300305959985</v>
      </c>
      <c r="BA591" s="531">
        <f t="shared" si="772"/>
        <v>0.38807300305959985</v>
      </c>
      <c r="BB591" s="531">
        <f t="shared" si="772"/>
        <v>0.38807300305959985</v>
      </c>
      <c r="BC591" s="531">
        <f t="shared" si="772"/>
        <v>0.38807300305959985</v>
      </c>
      <c r="BD591" s="531">
        <f t="shared" si="772"/>
        <v>0.38807300305959985</v>
      </c>
      <c r="BE591" s="531">
        <f t="shared" si="772"/>
        <v>0.38807300305959985</v>
      </c>
      <c r="BF591" s="531">
        <f t="shared" si="772"/>
        <v>0.38807300305959985</v>
      </c>
      <c r="BG591" s="531">
        <f t="shared" si="772"/>
        <v>0.38807300305959985</v>
      </c>
      <c r="BH591" s="531">
        <f t="shared" si="772"/>
        <v>0.38807300305959985</v>
      </c>
      <c r="BI591" s="531">
        <f t="shared" si="772"/>
        <v>0.38807300305959985</v>
      </c>
      <c r="BJ591" s="531">
        <f t="shared" si="772"/>
        <v>0.38807300305959985</v>
      </c>
      <c r="BK591" s="531">
        <f t="shared" si="772"/>
        <v>0.38807300305959985</v>
      </c>
      <c r="BL591" s="531">
        <f t="shared" si="772"/>
        <v>0.38807300305959985</v>
      </c>
      <c r="BM591" s="531">
        <f t="shared" si="772"/>
        <v>0.38807300305959985</v>
      </c>
      <c r="BN591" s="531">
        <f t="shared" si="772"/>
        <v>0.38807300305959985</v>
      </c>
      <c r="BO591" s="531">
        <f t="shared" si="772"/>
        <v>0.38807300305959985</v>
      </c>
      <c r="BP591" s="531">
        <f t="shared" si="772"/>
        <v>0.38807300305959985</v>
      </c>
      <c r="BQ591" s="531">
        <f t="shared" si="772"/>
        <v>0.38807300305959985</v>
      </c>
      <c r="BR591" s="531">
        <f t="shared" si="772"/>
        <v>0.38807300305959985</v>
      </c>
      <c r="BS591" s="531">
        <f t="shared" si="772"/>
        <v>0.38807300305959985</v>
      </c>
      <c r="BT591" s="531">
        <f t="shared" si="772"/>
        <v>0.38807300305959985</v>
      </c>
      <c r="BU591" s="531">
        <f t="shared" si="772"/>
        <v>0.38807300305959985</v>
      </c>
      <c r="BV591" s="531">
        <f t="shared" si="772"/>
        <v>0.38807300305959985</v>
      </c>
      <c r="BW591" s="531">
        <f t="shared" si="772"/>
        <v>0.38807300305959985</v>
      </c>
      <c r="BX591" s="531">
        <f t="shared" si="772"/>
        <v>0.38807300305959985</v>
      </c>
      <c r="BY591" s="531">
        <f t="shared" si="772"/>
        <v>0.38807300305959985</v>
      </c>
      <c r="BZ591" s="537"/>
      <c r="CA591" s="537"/>
      <c r="CB591" s="529"/>
    </row>
    <row r="592" spans="1:80" x14ac:dyDescent="0.3">
      <c r="A592" s="551"/>
      <c r="B592" s="522"/>
      <c r="C592" s="522"/>
      <c r="D592" s="537"/>
      <c r="E592" s="525"/>
      <c r="F592" s="576"/>
      <c r="G592" s="576"/>
      <c r="H592" s="537"/>
      <c r="I592" s="533"/>
      <c r="J592" s="533"/>
      <c r="K592" s="533"/>
      <c r="L592" s="533"/>
      <c r="M592" s="533"/>
      <c r="N592" s="533"/>
      <c r="O592" s="533"/>
      <c r="P592" s="662"/>
      <c r="Q592" s="537"/>
      <c r="R592" s="533"/>
      <c r="S592" s="533"/>
      <c r="T592" s="533"/>
      <c r="U592" s="533"/>
      <c r="V592" s="533"/>
      <c r="W592" s="533"/>
      <c r="X592" s="533"/>
      <c r="Y592" s="533"/>
      <c r="Z592" s="533"/>
      <c r="AA592" s="533"/>
      <c r="AB592" s="533"/>
      <c r="AC592" s="533"/>
      <c r="AD592" s="533"/>
      <c r="AE592" s="533"/>
      <c r="AF592" s="533"/>
      <c r="AG592" s="533"/>
      <c r="AH592" s="533"/>
      <c r="AI592" s="533"/>
      <c r="AJ592" s="533"/>
      <c r="AK592" s="533"/>
      <c r="AL592" s="533"/>
      <c r="AM592" s="533"/>
      <c r="AN592" s="533"/>
      <c r="AO592" s="533"/>
      <c r="AP592" s="533"/>
      <c r="AQ592" s="533"/>
      <c r="AR592" s="533"/>
      <c r="AS592" s="533"/>
      <c r="AT592" s="533"/>
      <c r="AU592" s="533"/>
      <c r="AV592" s="533"/>
      <c r="AW592" s="533"/>
      <c r="AX592" s="533"/>
      <c r="AY592" s="533"/>
      <c r="AZ592" s="533"/>
      <c r="BA592" s="533"/>
      <c r="BB592" s="533"/>
      <c r="BC592" s="533"/>
      <c r="BD592" s="533"/>
      <c r="BE592" s="533"/>
      <c r="BF592" s="533"/>
      <c r="BG592" s="533"/>
      <c r="BH592" s="533"/>
      <c r="BI592" s="533"/>
      <c r="BJ592" s="533"/>
      <c r="BK592" s="533"/>
      <c r="BL592" s="533"/>
      <c r="BM592" s="533"/>
      <c r="BN592" s="533"/>
      <c r="BO592" s="533"/>
      <c r="BP592" s="533"/>
      <c r="BQ592" s="533"/>
      <c r="BR592" s="533"/>
      <c r="BS592" s="533"/>
      <c r="BT592" s="533"/>
      <c r="BU592" s="533"/>
      <c r="BV592" s="533"/>
      <c r="BW592" s="533"/>
      <c r="BX592" s="533"/>
      <c r="BY592" s="533"/>
      <c r="BZ592" s="537"/>
      <c r="CA592" s="537"/>
      <c r="CB592" s="537"/>
    </row>
    <row r="593" spans="1:77" x14ac:dyDescent="0.3">
      <c r="A593" s="551"/>
      <c r="B593" s="522"/>
      <c r="C593" s="522"/>
      <c r="D593" s="537"/>
      <c r="E593" s="578" t="s">
        <v>24</v>
      </c>
      <c r="F593" s="579"/>
      <c r="G593" s="579"/>
      <c r="H593" s="537"/>
      <c r="I593" s="534">
        <f t="shared" ref="I593:N593" si="773">I529/I$571</f>
        <v>60239.850463464871</v>
      </c>
      <c r="J593" s="534">
        <f t="shared" si="773"/>
        <v>63450.804365547876</v>
      </c>
      <c r="K593" s="534">
        <f t="shared" si="773"/>
        <v>66686.342872878842</v>
      </c>
      <c r="L593" s="534">
        <f t="shared" si="773"/>
        <v>69915.982357000088</v>
      </c>
      <c r="M593" s="534">
        <f t="shared" si="773"/>
        <v>73114.40782844364</v>
      </c>
      <c r="N593" s="534">
        <f t="shared" si="773"/>
        <v>76431.576954073797</v>
      </c>
      <c r="O593" s="536"/>
      <c r="P593" s="568">
        <f>IFERROR(((N593/I593)^(1/5))-1,0)</f>
        <v>4.8764037940223659E-2</v>
      </c>
      <c r="Q593" s="537"/>
      <c r="R593" s="534">
        <f t="shared" ref="R593:AW593" si="774">R529/R$571</f>
        <v>5287.5670304623227</v>
      </c>
      <c r="S593" s="534">
        <f t="shared" si="774"/>
        <v>5287.5670304623227</v>
      </c>
      <c r="T593" s="534">
        <f t="shared" si="774"/>
        <v>5287.5670304623227</v>
      </c>
      <c r="U593" s="534">
        <f t="shared" si="774"/>
        <v>5287.5670304623227</v>
      </c>
      <c r="V593" s="534">
        <f t="shared" si="774"/>
        <v>5287.5670304623227</v>
      </c>
      <c r="W593" s="534">
        <f t="shared" si="774"/>
        <v>5287.5670304623227</v>
      </c>
      <c r="X593" s="534">
        <f t="shared" si="774"/>
        <v>5287.5670304623227</v>
      </c>
      <c r="Y593" s="534">
        <f t="shared" si="774"/>
        <v>5287.5670304623227</v>
      </c>
      <c r="Z593" s="534">
        <f t="shared" si="774"/>
        <v>5287.5670304623227</v>
      </c>
      <c r="AA593" s="534">
        <f t="shared" si="774"/>
        <v>5287.5670304623227</v>
      </c>
      <c r="AB593" s="534">
        <f t="shared" si="774"/>
        <v>5287.5670304623227</v>
      </c>
      <c r="AC593" s="534">
        <f t="shared" si="774"/>
        <v>5287.5670304623227</v>
      </c>
      <c r="AD593" s="534">
        <f t="shared" si="774"/>
        <v>5557.1952394065693</v>
      </c>
      <c r="AE593" s="534">
        <f t="shared" si="774"/>
        <v>5557.1952394065693</v>
      </c>
      <c r="AF593" s="534">
        <f t="shared" si="774"/>
        <v>5557.1952394065693</v>
      </c>
      <c r="AG593" s="534">
        <f t="shared" si="774"/>
        <v>5557.1952394065693</v>
      </c>
      <c r="AH593" s="534">
        <f t="shared" si="774"/>
        <v>5557.1952394065693</v>
      </c>
      <c r="AI593" s="534">
        <f t="shared" si="774"/>
        <v>5557.1952394065693</v>
      </c>
      <c r="AJ593" s="534">
        <f t="shared" si="774"/>
        <v>5557.1952394065693</v>
      </c>
      <c r="AK593" s="534">
        <f t="shared" si="774"/>
        <v>5557.1952394065693</v>
      </c>
      <c r="AL593" s="534">
        <f t="shared" si="774"/>
        <v>5557.1952394065693</v>
      </c>
      <c r="AM593" s="534">
        <f t="shared" si="774"/>
        <v>5557.1952394065693</v>
      </c>
      <c r="AN593" s="534">
        <f t="shared" si="774"/>
        <v>5557.1952394065693</v>
      </c>
      <c r="AO593" s="534">
        <f t="shared" si="774"/>
        <v>5557.1952394065693</v>
      </c>
      <c r="AP593" s="534">
        <f t="shared" si="774"/>
        <v>5826.331863083341</v>
      </c>
      <c r="AQ593" s="534">
        <f t="shared" si="774"/>
        <v>5826.331863083341</v>
      </c>
      <c r="AR593" s="534">
        <f t="shared" si="774"/>
        <v>5826.331863083341</v>
      </c>
      <c r="AS593" s="534">
        <f t="shared" si="774"/>
        <v>5826.331863083341</v>
      </c>
      <c r="AT593" s="534">
        <f t="shared" si="774"/>
        <v>5826.331863083341</v>
      </c>
      <c r="AU593" s="534">
        <f t="shared" si="774"/>
        <v>5826.331863083341</v>
      </c>
      <c r="AV593" s="534">
        <f t="shared" si="774"/>
        <v>5826.331863083341</v>
      </c>
      <c r="AW593" s="534">
        <f t="shared" si="774"/>
        <v>5826.331863083341</v>
      </c>
      <c r="AX593" s="534">
        <f t="shared" ref="AX593:BY593" si="775">AX529/AX$571</f>
        <v>5826.331863083341</v>
      </c>
      <c r="AY593" s="534">
        <f t="shared" si="775"/>
        <v>5826.331863083341</v>
      </c>
      <c r="AZ593" s="534">
        <f t="shared" si="775"/>
        <v>5826.331863083341</v>
      </c>
      <c r="BA593" s="534">
        <f t="shared" si="775"/>
        <v>5826.331863083341</v>
      </c>
      <c r="BB593" s="534">
        <f t="shared" si="775"/>
        <v>6092.8673190369664</v>
      </c>
      <c r="BC593" s="534">
        <f t="shared" si="775"/>
        <v>6092.8673190369664</v>
      </c>
      <c r="BD593" s="534">
        <f t="shared" si="775"/>
        <v>6092.8673190369664</v>
      </c>
      <c r="BE593" s="534">
        <f t="shared" si="775"/>
        <v>6092.8673190369664</v>
      </c>
      <c r="BF593" s="534">
        <f t="shared" si="775"/>
        <v>6092.8673190369664</v>
      </c>
      <c r="BG593" s="534">
        <f t="shared" si="775"/>
        <v>6092.8673190369664</v>
      </c>
      <c r="BH593" s="534">
        <f t="shared" si="775"/>
        <v>6092.8673190369664</v>
      </c>
      <c r="BI593" s="534">
        <f t="shared" si="775"/>
        <v>6092.8673190369664</v>
      </c>
      <c r="BJ593" s="534">
        <f t="shared" si="775"/>
        <v>6092.8673190369664</v>
      </c>
      <c r="BK593" s="534">
        <f t="shared" si="775"/>
        <v>6092.8673190369664</v>
      </c>
      <c r="BL593" s="534">
        <f t="shared" si="775"/>
        <v>6092.8673190369664</v>
      </c>
      <c r="BM593" s="534">
        <f t="shared" si="775"/>
        <v>6092.8673190369664</v>
      </c>
      <c r="BN593" s="534">
        <f t="shared" si="775"/>
        <v>6369.2980795061476</v>
      </c>
      <c r="BO593" s="534">
        <f t="shared" si="775"/>
        <v>6369.2980795061476</v>
      </c>
      <c r="BP593" s="534">
        <f t="shared" si="775"/>
        <v>6369.2980795061476</v>
      </c>
      <c r="BQ593" s="534">
        <f t="shared" si="775"/>
        <v>6369.2980795061476</v>
      </c>
      <c r="BR593" s="534">
        <f t="shared" si="775"/>
        <v>6369.2980795061476</v>
      </c>
      <c r="BS593" s="534">
        <f t="shared" si="775"/>
        <v>6369.2980795061476</v>
      </c>
      <c r="BT593" s="534">
        <f t="shared" si="775"/>
        <v>6369.2980795061476</v>
      </c>
      <c r="BU593" s="534">
        <f t="shared" si="775"/>
        <v>6369.2980795061476</v>
      </c>
      <c r="BV593" s="534">
        <f t="shared" si="775"/>
        <v>6369.2980795061476</v>
      </c>
      <c r="BW593" s="534">
        <f t="shared" si="775"/>
        <v>6369.2980795061476</v>
      </c>
      <c r="BX593" s="534">
        <f t="shared" si="775"/>
        <v>6369.2980795061476</v>
      </c>
      <c r="BY593" s="534">
        <f t="shared" si="775"/>
        <v>6369.2980795061476</v>
      </c>
    </row>
    <row r="594" spans="1:77" x14ac:dyDescent="0.3">
      <c r="A594" s="551"/>
      <c r="B594" s="522"/>
      <c r="C594" s="522"/>
      <c r="D594" s="525"/>
      <c r="E594" s="525" t="s">
        <v>177</v>
      </c>
      <c r="F594" s="529"/>
      <c r="G594" s="529"/>
      <c r="H594" s="529"/>
      <c r="I594" s="531">
        <f t="shared" ref="I594:N594" si="776">IFERROR(I593/(I576+I585),0)</f>
        <v>0.41377534216072342</v>
      </c>
      <c r="J594" s="531">
        <f t="shared" si="776"/>
        <v>0.42119846006146561</v>
      </c>
      <c r="K594" s="531">
        <f t="shared" si="776"/>
        <v>0.42816475681222271</v>
      </c>
      <c r="L594" s="531">
        <f t="shared" si="776"/>
        <v>0.43463124928299557</v>
      </c>
      <c r="M594" s="531">
        <f t="shared" si="776"/>
        <v>0.44057970200835267</v>
      </c>
      <c r="N594" s="531">
        <f t="shared" si="776"/>
        <v>0.44641184231853276</v>
      </c>
      <c r="O594" s="546"/>
      <c r="P594" s="564">
        <f>IFERROR(((N594/I594)^(1/5))-1,0)</f>
        <v>1.5299611714937322E-2</v>
      </c>
      <c r="Q594" s="537"/>
      <c r="R594" s="531">
        <f t="shared" ref="R594:BY594" si="777">IFERROR(R593/(R576+R585),0)</f>
        <v>0.42119846006146555</v>
      </c>
      <c r="S594" s="531">
        <f t="shared" si="777"/>
        <v>0.42119846006146555</v>
      </c>
      <c r="T594" s="531">
        <f t="shared" si="777"/>
        <v>0.42119846006146555</v>
      </c>
      <c r="U594" s="531">
        <f t="shared" si="777"/>
        <v>0.42119846006146555</v>
      </c>
      <c r="V594" s="531">
        <f t="shared" si="777"/>
        <v>0.42119846006146555</v>
      </c>
      <c r="W594" s="531">
        <f t="shared" si="777"/>
        <v>0.42119846006146555</v>
      </c>
      <c r="X594" s="531">
        <f t="shared" si="777"/>
        <v>0.42119846006146555</v>
      </c>
      <c r="Y594" s="531">
        <f t="shared" si="777"/>
        <v>0.42119846006146555</v>
      </c>
      <c r="Z594" s="531">
        <f t="shared" si="777"/>
        <v>0.42119846006146555</v>
      </c>
      <c r="AA594" s="531">
        <f t="shared" si="777"/>
        <v>0.42119846006146555</v>
      </c>
      <c r="AB594" s="531">
        <f t="shared" si="777"/>
        <v>0.42119846006146555</v>
      </c>
      <c r="AC594" s="531">
        <f t="shared" si="777"/>
        <v>0.42119846006146555</v>
      </c>
      <c r="AD594" s="531">
        <f t="shared" si="777"/>
        <v>0.42816475681222266</v>
      </c>
      <c r="AE594" s="531">
        <f t="shared" si="777"/>
        <v>0.42816475681222266</v>
      </c>
      <c r="AF594" s="531">
        <f t="shared" si="777"/>
        <v>0.42816475681222266</v>
      </c>
      <c r="AG594" s="531">
        <f t="shared" si="777"/>
        <v>0.42816475681222266</v>
      </c>
      <c r="AH594" s="531">
        <f t="shared" si="777"/>
        <v>0.42816475681222266</v>
      </c>
      <c r="AI594" s="531">
        <f t="shared" si="777"/>
        <v>0.42816475681222266</v>
      </c>
      <c r="AJ594" s="531">
        <f t="shared" si="777"/>
        <v>0.42816475681222266</v>
      </c>
      <c r="AK594" s="531">
        <f t="shared" si="777"/>
        <v>0.42816475681222266</v>
      </c>
      <c r="AL594" s="531">
        <f t="shared" si="777"/>
        <v>0.42816475681222266</v>
      </c>
      <c r="AM594" s="531">
        <f t="shared" si="777"/>
        <v>0.42816475681222266</v>
      </c>
      <c r="AN594" s="531">
        <f t="shared" si="777"/>
        <v>0.42816475681222266</v>
      </c>
      <c r="AO594" s="531">
        <f t="shared" si="777"/>
        <v>0.42816475681222266</v>
      </c>
      <c r="AP594" s="531">
        <f t="shared" si="777"/>
        <v>0.43463124928299562</v>
      </c>
      <c r="AQ594" s="531">
        <f t="shared" si="777"/>
        <v>0.43463124928299562</v>
      </c>
      <c r="AR594" s="531">
        <f t="shared" si="777"/>
        <v>0.43463124928299562</v>
      </c>
      <c r="AS594" s="531">
        <f t="shared" si="777"/>
        <v>0.43463124928299562</v>
      </c>
      <c r="AT594" s="531">
        <f t="shared" si="777"/>
        <v>0.43463124928299562</v>
      </c>
      <c r="AU594" s="531">
        <f t="shared" si="777"/>
        <v>0.43463124928299562</v>
      </c>
      <c r="AV594" s="531">
        <f t="shared" si="777"/>
        <v>0.43463124928299562</v>
      </c>
      <c r="AW594" s="531">
        <f t="shared" si="777"/>
        <v>0.43463124928299562</v>
      </c>
      <c r="AX594" s="531">
        <f t="shared" si="777"/>
        <v>0.43463124928299562</v>
      </c>
      <c r="AY594" s="531">
        <f t="shared" si="777"/>
        <v>0.43463124928299562</v>
      </c>
      <c r="AZ594" s="531">
        <f t="shared" si="777"/>
        <v>0.43463124928299562</v>
      </c>
      <c r="BA594" s="531">
        <f t="shared" si="777"/>
        <v>0.43463124928299562</v>
      </c>
      <c r="BB594" s="531">
        <f t="shared" si="777"/>
        <v>0.44057970200835245</v>
      </c>
      <c r="BC594" s="531">
        <f t="shared" si="777"/>
        <v>0.44057970200835245</v>
      </c>
      <c r="BD594" s="531">
        <f t="shared" si="777"/>
        <v>0.44057970200835245</v>
      </c>
      <c r="BE594" s="531">
        <f t="shared" si="777"/>
        <v>0.44057970200835245</v>
      </c>
      <c r="BF594" s="531">
        <f t="shared" si="777"/>
        <v>0.44057970200835245</v>
      </c>
      <c r="BG594" s="531">
        <f t="shared" si="777"/>
        <v>0.44057970200835245</v>
      </c>
      <c r="BH594" s="531">
        <f t="shared" si="777"/>
        <v>0.44057970200835245</v>
      </c>
      <c r="BI594" s="531">
        <f t="shared" si="777"/>
        <v>0.44057970200835245</v>
      </c>
      <c r="BJ594" s="531">
        <f t="shared" si="777"/>
        <v>0.44057970200835245</v>
      </c>
      <c r="BK594" s="531">
        <f t="shared" si="777"/>
        <v>0.44057970200835245</v>
      </c>
      <c r="BL594" s="531">
        <f t="shared" si="777"/>
        <v>0.44057970200835245</v>
      </c>
      <c r="BM594" s="531">
        <f t="shared" si="777"/>
        <v>0.44057970200835245</v>
      </c>
      <c r="BN594" s="531">
        <f t="shared" si="777"/>
        <v>0.44641184231853259</v>
      </c>
      <c r="BO594" s="531">
        <f t="shared" si="777"/>
        <v>0.44641184231853259</v>
      </c>
      <c r="BP594" s="531">
        <f t="shared" si="777"/>
        <v>0.44641184231853259</v>
      </c>
      <c r="BQ594" s="531">
        <f t="shared" si="777"/>
        <v>0.44641184231853259</v>
      </c>
      <c r="BR594" s="531">
        <f t="shared" si="777"/>
        <v>0.44641184231853259</v>
      </c>
      <c r="BS594" s="531">
        <f t="shared" si="777"/>
        <v>0.44641184231853259</v>
      </c>
      <c r="BT594" s="531">
        <f t="shared" si="777"/>
        <v>0.44641184231853259</v>
      </c>
      <c r="BU594" s="531">
        <f t="shared" si="777"/>
        <v>0.44641184231853259</v>
      </c>
      <c r="BV594" s="531">
        <f t="shared" si="777"/>
        <v>0.44641184231853259</v>
      </c>
      <c r="BW594" s="531">
        <f t="shared" si="777"/>
        <v>0.44641184231853259</v>
      </c>
      <c r="BX594" s="531">
        <f t="shared" si="777"/>
        <v>0.44641184231853259</v>
      </c>
      <c r="BY594" s="531">
        <f t="shared" si="777"/>
        <v>0.44641184231853259</v>
      </c>
    </row>
    <row r="595" spans="1:77" x14ac:dyDescent="0.3">
      <c r="A595" s="551"/>
      <c r="B595" s="522"/>
      <c r="C595" s="522"/>
      <c r="D595" s="537"/>
      <c r="E595" s="525"/>
      <c r="F595" s="529"/>
      <c r="G595" s="529"/>
      <c r="H595" s="537"/>
      <c r="I595" s="529"/>
      <c r="J595" s="529"/>
      <c r="K595" s="529"/>
      <c r="L595" s="529"/>
      <c r="M595" s="529"/>
      <c r="N595" s="529"/>
      <c r="O595" s="529"/>
      <c r="P595" s="660"/>
      <c r="Q595" s="537"/>
      <c r="R595" s="529"/>
      <c r="S595" s="529"/>
      <c r="T595" s="529"/>
      <c r="U595" s="529"/>
      <c r="V595" s="529"/>
      <c r="W595" s="529"/>
      <c r="X595" s="529"/>
      <c r="Y595" s="529"/>
      <c r="Z595" s="529"/>
      <c r="AA595" s="529"/>
      <c r="AB595" s="529"/>
      <c r="AC595" s="529"/>
      <c r="AD595" s="529"/>
      <c r="AE595" s="529"/>
      <c r="AF595" s="529"/>
      <c r="AG595" s="529"/>
      <c r="AH595" s="529"/>
      <c r="AI595" s="529"/>
      <c r="AJ595" s="529"/>
      <c r="AK595" s="529"/>
      <c r="AL595" s="529"/>
      <c r="AM595" s="529"/>
      <c r="AN595" s="529"/>
      <c r="AO595" s="529"/>
      <c r="AP595" s="529"/>
      <c r="AQ595" s="529"/>
      <c r="AR595" s="529"/>
      <c r="AS595" s="529"/>
      <c r="AT595" s="529"/>
      <c r="AU595" s="529"/>
      <c r="AV595" s="529"/>
      <c r="AW595" s="529"/>
      <c r="AX595" s="529"/>
      <c r="AY595" s="529"/>
      <c r="AZ595" s="529"/>
      <c r="BA595" s="529"/>
      <c r="BB595" s="529"/>
      <c r="BC595" s="529"/>
      <c r="BD595" s="529"/>
      <c r="BE595" s="529"/>
      <c r="BF595" s="529"/>
      <c r="BG595" s="529"/>
      <c r="BH595" s="529"/>
      <c r="BI595" s="529"/>
      <c r="BJ595" s="529"/>
      <c r="BK595" s="529"/>
      <c r="BL595" s="529"/>
      <c r="BM595" s="529"/>
      <c r="BN595" s="529"/>
      <c r="BO595" s="529"/>
      <c r="BP595" s="529"/>
      <c r="BQ595" s="529"/>
      <c r="BR595" s="529"/>
      <c r="BS595" s="529"/>
      <c r="BT595" s="529"/>
      <c r="BU595" s="529"/>
      <c r="BV595" s="529"/>
      <c r="BW595" s="529"/>
      <c r="BX595" s="529"/>
      <c r="BY595" s="529"/>
    </row>
    <row r="596" spans="1:77" x14ac:dyDescent="0.3">
      <c r="A596" s="551"/>
      <c r="B596" s="522"/>
      <c r="C596" s="522"/>
      <c r="D596" s="537"/>
      <c r="E596" s="570" t="s">
        <v>25</v>
      </c>
      <c r="F596" s="529"/>
      <c r="G596" s="529"/>
      <c r="H596" s="537"/>
      <c r="I596" s="529"/>
      <c r="J596" s="529"/>
      <c r="K596" s="529"/>
      <c r="L596" s="529"/>
      <c r="M596" s="529"/>
      <c r="N596" s="529"/>
      <c r="O596" s="529"/>
      <c r="P596" s="660"/>
      <c r="Q596" s="537"/>
      <c r="R596" s="529"/>
      <c r="S596" s="529"/>
      <c r="T596" s="529"/>
      <c r="U596" s="529"/>
      <c r="V596" s="529"/>
      <c r="W596" s="529"/>
      <c r="X596" s="529"/>
      <c r="Y596" s="529"/>
      <c r="Z596" s="529"/>
      <c r="AA596" s="529"/>
      <c r="AB596" s="529"/>
      <c r="AC596" s="529"/>
      <c r="AD596" s="529"/>
      <c r="AE596" s="529"/>
      <c r="AF596" s="529"/>
      <c r="AG596" s="529"/>
      <c r="AH596" s="529"/>
      <c r="AI596" s="529"/>
      <c r="AJ596" s="529"/>
      <c r="AK596" s="529"/>
      <c r="AL596" s="529"/>
      <c r="AM596" s="529"/>
      <c r="AN596" s="529"/>
      <c r="AO596" s="529"/>
      <c r="AP596" s="529"/>
      <c r="AQ596" s="529"/>
      <c r="AR596" s="529"/>
      <c r="AS596" s="529"/>
      <c r="AT596" s="529"/>
      <c r="AU596" s="529"/>
      <c r="AV596" s="529"/>
      <c r="AW596" s="529"/>
      <c r="AX596" s="529"/>
      <c r="AY596" s="529"/>
      <c r="AZ596" s="529"/>
      <c r="BA596" s="529"/>
      <c r="BB596" s="529"/>
      <c r="BC596" s="529"/>
      <c r="BD596" s="529"/>
      <c r="BE596" s="529"/>
      <c r="BF596" s="529"/>
      <c r="BG596" s="529"/>
      <c r="BH596" s="529"/>
      <c r="BI596" s="529"/>
      <c r="BJ596" s="529"/>
      <c r="BK596" s="529"/>
      <c r="BL596" s="529"/>
      <c r="BM596" s="529"/>
      <c r="BN596" s="529"/>
      <c r="BO596" s="529"/>
      <c r="BP596" s="529"/>
      <c r="BQ596" s="529"/>
      <c r="BR596" s="529"/>
      <c r="BS596" s="529"/>
      <c r="BT596" s="529"/>
      <c r="BU596" s="529"/>
      <c r="BV596" s="529"/>
      <c r="BW596" s="529"/>
      <c r="BX596" s="529"/>
      <c r="BY596" s="529"/>
    </row>
    <row r="597" spans="1:77" x14ac:dyDescent="0.3">
      <c r="A597" s="551"/>
      <c r="B597" s="647"/>
      <c r="C597" s="668"/>
      <c r="D597" s="537"/>
      <c r="E597" s="525" t="s">
        <v>25</v>
      </c>
      <c r="F597" s="567"/>
      <c r="G597" s="567"/>
      <c r="H597" s="537"/>
      <c r="I597" s="527">
        <f t="shared" ref="I597:N599" si="778">I533/I$571</f>
        <v>32106.810590228895</v>
      </c>
      <c r="J597" s="527">
        <f t="shared" si="778"/>
        <v>33054.585616987504</v>
      </c>
      <c r="K597" s="527">
        <f t="shared" si="778"/>
        <v>33974.117804201378</v>
      </c>
      <c r="L597" s="527">
        <f t="shared" si="778"/>
        <v>34866.577355162131</v>
      </c>
      <c r="M597" s="527">
        <f t="shared" si="778"/>
        <v>35649.622901662427</v>
      </c>
      <c r="N597" s="527">
        <f t="shared" si="778"/>
        <v>36377.956251213356</v>
      </c>
      <c r="O597" s="529"/>
      <c r="P597" s="564">
        <f>IFERROR(((N597/I597)^(1/5))-1,0)</f>
        <v>2.5293551842821893E-2</v>
      </c>
      <c r="Q597" s="537"/>
      <c r="R597" s="527">
        <f t="shared" ref="R597:AW597" si="779">R533/R$571</f>
        <v>2754.5488014156253</v>
      </c>
      <c r="S597" s="527">
        <f t="shared" si="779"/>
        <v>2754.5488014156253</v>
      </c>
      <c r="T597" s="527">
        <f t="shared" si="779"/>
        <v>2754.5488014156253</v>
      </c>
      <c r="U597" s="527">
        <f t="shared" si="779"/>
        <v>2754.5488014156253</v>
      </c>
      <c r="V597" s="527">
        <f t="shared" si="779"/>
        <v>2754.5488014156253</v>
      </c>
      <c r="W597" s="527">
        <f t="shared" si="779"/>
        <v>2754.5488014156253</v>
      </c>
      <c r="X597" s="527">
        <f t="shared" si="779"/>
        <v>2754.5488014156253</v>
      </c>
      <c r="Y597" s="527">
        <f t="shared" si="779"/>
        <v>2754.5488014156253</v>
      </c>
      <c r="Z597" s="527">
        <f t="shared" si="779"/>
        <v>2754.5488014156253</v>
      </c>
      <c r="AA597" s="527">
        <f t="shared" si="779"/>
        <v>2754.5488014156253</v>
      </c>
      <c r="AB597" s="527">
        <f t="shared" si="779"/>
        <v>2754.5488014156253</v>
      </c>
      <c r="AC597" s="527">
        <f t="shared" si="779"/>
        <v>2754.5488014156253</v>
      </c>
      <c r="AD597" s="527">
        <f t="shared" si="779"/>
        <v>2831.1764836834486</v>
      </c>
      <c r="AE597" s="527">
        <f t="shared" si="779"/>
        <v>2831.1764836834486</v>
      </c>
      <c r="AF597" s="527">
        <f t="shared" si="779"/>
        <v>2831.1764836834486</v>
      </c>
      <c r="AG597" s="527">
        <f t="shared" si="779"/>
        <v>2831.1764836834486</v>
      </c>
      <c r="AH597" s="527">
        <f t="shared" si="779"/>
        <v>2831.1764836834486</v>
      </c>
      <c r="AI597" s="527">
        <f t="shared" si="779"/>
        <v>2831.1764836834486</v>
      </c>
      <c r="AJ597" s="527">
        <f t="shared" si="779"/>
        <v>2831.1764836834486</v>
      </c>
      <c r="AK597" s="527">
        <f t="shared" si="779"/>
        <v>2831.1764836834486</v>
      </c>
      <c r="AL597" s="527">
        <f t="shared" si="779"/>
        <v>2831.1764836834486</v>
      </c>
      <c r="AM597" s="527">
        <f t="shared" si="779"/>
        <v>2831.1764836834486</v>
      </c>
      <c r="AN597" s="527">
        <f t="shared" si="779"/>
        <v>2831.1764836834486</v>
      </c>
      <c r="AO597" s="527">
        <f t="shared" si="779"/>
        <v>2831.1764836834486</v>
      </c>
      <c r="AP597" s="527">
        <f t="shared" si="779"/>
        <v>2905.5481129301779</v>
      </c>
      <c r="AQ597" s="527">
        <f t="shared" si="779"/>
        <v>2905.5481129301779</v>
      </c>
      <c r="AR597" s="527">
        <f t="shared" si="779"/>
        <v>2905.5481129301779</v>
      </c>
      <c r="AS597" s="527">
        <f t="shared" si="779"/>
        <v>2905.5481129301779</v>
      </c>
      <c r="AT597" s="527">
        <f t="shared" si="779"/>
        <v>2905.5481129301779</v>
      </c>
      <c r="AU597" s="527">
        <f t="shared" si="779"/>
        <v>2905.5481129301779</v>
      </c>
      <c r="AV597" s="527">
        <f t="shared" si="779"/>
        <v>2905.5481129301779</v>
      </c>
      <c r="AW597" s="527">
        <f t="shared" si="779"/>
        <v>2905.5481129301779</v>
      </c>
      <c r="AX597" s="527">
        <f t="shared" ref="AX597:BY597" si="780">AX533/AX$571</f>
        <v>2905.5481129301779</v>
      </c>
      <c r="AY597" s="527">
        <f t="shared" si="780"/>
        <v>2905.5481129301779</v>
      </c>
      <c r="AZ597" s="527">
        <f t="shared" si="780"/>
        <v>2905.5481129301779</v>
      </c>
      <c r="BA597" s="527">
        <f t="shared" si="780"/>
        <v>2905.5481129301779</v>
      </c>
      <c r="BB597" s="527">
        <f t="shared" si="780"/>
        <v>2970.801908471869</v>
      </c>
      <c r="BC597" s="527">
        <f t="shared" si="780"/>
        <v>2970.801908471869</v>
      </c>
      <c r="BD597" s="527">
        <f t="shared" si="780"/>
        <v>2970.801908471869</v>
      </c>
      <c r="BE597" s="527">
        <f t="shared" si="780"/>
        <v>2970.801908471869</v>
      </c>
      <c r="BF597" s="527">
        <f t="shared" si="780"/>
        <v>2970.801908471869</v>
      </c>
      <c r="BG597" s="527">
        <f t="shared" si="780"/>
        <v>2970.801908471869</v>
      </c>
      <c r="BH597" s="527">
        <f t="shared" si="780"/>
        <v>2970.801908471869</v>
      </c>
      <c r="BI597" s="527">
        <f t="shared" si="780"/>
        <v>2970.801908471869</v>
      </c>
      <c r="BJ597" s="527">
        <f t="shared" si="780"/>
        <v>2970.801908471869</v>
      </c>
      <c r="BK597" s="527">
        <f t="shared" si="780"/>
        <v>2970.801908471869</v>
      </c>
      <c r="BL597" s="527">
        <f t="shared" si="780"/>
        <v>2970.801908471869</v>
      </c>
      <c r="BM597" s="527">
        <f t="shared" si="780"/>
        <v>2970.801908471869</v>
      </c>
      <c r="BN597" s="527">
        <f t="shared" si="780"/>
        <v>3031.4963542677797</v>
      </c>
      <c r="BO597" s="527">
        <f t="shared" si="780"/>
        <v>3031.4963542677797</v>
      </c>
      <c r="BP597" s="527">
        <f t="shared" si="780"/>
        <v>3031.4963542677797</v>
      </c>
      <c r="BQ597" s="527">
        <f t="shared" si="780"/>
        <v>3031.4963542677797</v>
      </c>
      <c r="BR597" s="527">
        <f t="shared" si="780"/>
        <v>3031.4963542677797</v>
      </c>
      <c r="BS597" s="527">
        <f t="shared" si="780"/>
        <v>3031.4963542677797</v>
      </c>
      <c r="BT597" s="527">
        <f t="shared" si="780"/>
        <v>3031.4963542677797</v>
      </c>
      <c r="BU597" s="527">
        <f t="shared" si="780"/>
        <v>3031.4963542677797</v>
      </c>
      <c r="BV597" s="527">
        <f t="shared" si="780"/>
        <v>3031.4963542677797</v>
      </c>
      <c r="BW597" s="527">
        <f t="shared" si="780"/>
        <v>3031.4963542677797</v>
      </c>
      <c r="BX597" s="527">
        <f t="shared" si="780"/>
        <v>3031.4963542677797</v>
      </c>
      <c r="BY597" s="527">
        <f t="shared" si="780"/>
        <v>3031.4963542677797</v>
      </c>
    </row>
    <row r="598" spans="1:77" x14ac:dyDescent="0.3">
      <c r="A598" s="551"/>
      <c r="B598" s="647"/>
      <c r="C598" s="668"/>
      <c r="D598" s="537"/>
      <c r="E598" s="525" t="s">
        <v>14</v>
      </c>
      <c r="F598" s="567"/>
      <c r="G598" s="567"/>
      <c r="H598" s="537"/>
      <c r="I598" s="527">
        <f t="shared" si="778"/>
        <v>4789.747046205126</v>
      </c>
      <c r="J598" s="527">
        <f t="shared" si="778"/>
        <v>4957.9970812139336</v>
      </c>
      <c r="K598" s="527">
        <f t="shared" si="778"/>
        <v>5122.5903591119531</v>
      </c>
      <c r="L598" s="527">
        <f t="shared" si="778"/>
        <v>5285.7427568755493</v>
      </c>
      <c r="M598" s="527">
        <f t="shared" si="778"/>
        <v>5421.9541754971806</v>
      </c>
      <c r="N598" s="527">
        <f t="shared" si="778"/>
        <v>5539.1931649073013</v>
      </c>
      <c r="O598" s="529"/>
      <c r="P598" s="564">
        <f>IFERROR(((N598/I598)^(1/5))-1,0)</f>
        <v>2.9501032242708725E-2</v>
      </c>
      <c r="Q598" s="537"/>
      <c r="R598" s="527">
        <f t="shared" ref="R598:AW598" si="781">R534/R$571</f>
        <v>413.1664234344945</v>
      </c>
      <c r="S598" s="527">
        <f t="shared" si="781"/>
        <v>413.1664234344945</v>
      </c>
      <c r="T598" s="527">
        <f t="shared" si="781"/>
        <v>413.1664234344945</v>
      </c>
      <c r="U598" s="527">
        <f t="shared" si="781"/>
        <v>413.1664234344945</v>
      </c>
      <c r="V598" s="527">
        <f t="shared" si="781"/>
        <v>413.1664234344945</v>
      </c>
      <c r="W598" s="527">
        <f t="shared" si="781"/>
        <v>413.1664234344945</v>
      </c>
      <c r="X598" s="527">
        <f t="shared" si="781"/>
        <v>413.1664234344945</v>
      </c>
      <c r="Y598" s="527">
        <f t="shared" si="781"/>
        <v>413.1664234344945</v>
      </c>
      <c r="Z598" s="527">
        <f t="shared" si="781"/>
        <v>413.1664234344945</v>
      </c>
      <c r="AA598" s="527">
        <f t="shared" si="781"/>
        <v>413.1664234344945</v>
      </c>
      <c r="AB598" s="527">
        <f t="shared" si="781"/>
        <v>413.1664234344945</v>
      </c>
      <c r="AC598" s="527">
        <f t="shared" si="781"/>
        <v>413.1664234344945</v>
      </c>
      <c r="AD598" s="527">
        <f t="shared" si="781"/>
        <v>426.8825299259961</v>
      </c>
      <c r="AE598" s="527">
        <f t="shared" si="781"/>
        <v>426.8825299259961</v>
      </c>
      <c r="AF598" s="527">
        <f t="shared" si="781"/>
        <v>426.8825299259961</v>
      </c>
      <c r="AG598" s="527">
        <f t="shared" si="781"/>
        <v>426.8825299259961</v>
      </c>
      <c r="AH598" s="527">
        <f t="shared" si="781"/>
        <v>426.8825299259961</v>
      </c>
      <c r="AI598" s="527">
        <f t="shared" si="781"/>
        <v>426.8825299259961</v>
      </c>
      <c r="AJ598" s="527">
        <f t="shared" si="781"/>
        <v>426.8825299259961</v>
      </c>
      <c r="AK598" s="527">
        <f t="shared" si="781"/>
        <v>426.8825299259961</v>
      </c>
      <c r="AL598" s="527">
        <f t="shared" si="781"/>
        <v>426.8825299259961</v>
      </c>
      <c r="AM598" s="527">
        <f t="shared" si="781"/>
        <v>426.8825299259961</v>
      </c>
      <c r="AN598" s="527">
        <f t="shared" si="781"/>
        <v>426.8825299259961</v>
      </c>
      <c r="AO598" s="527">
        <f t="shared" si="781"/>
        <v>426.8825299259961</v>
      </c>
      <c r="AP598" s="527">
        <f t="shared" si="781"/>
        <v>440.47856307296246</v>
      </c>
      <c r="AQ598" s="527">
        <f t="shared" si="781"/>
        <v>440.47856307296246</v>
      </c>
      <c r="AR598" s="527">
        <f t="shared" si="781"/>
        <v>440.47856307296246</v>
      </c>
      <c r="AS598" s="527">
        <f t="shared" si="781"/>
        <v>440.47856307296246</v>
      </c>
      <c r="AT598" s="527">
        <f t="shared" si="781"/>
        <v>440.47856307296246</v>
      </c>
      <c r="AU598" s="527">
        <f t="shared" si="781"/>
        <v>440.47856307296246</v>
      </c>
      <c r="AV598" s="527">
        <f t="shared" si="781"/>
        <v>440.47856307296246</v>
      </c>
      <c r="AW598" s="527">
        <f t="shared" si="781"/>
        <v>440.47856307296246</v>
      </c>
      <c r="AX598" s="527">
        <f t="shared" ref="AX598:BY598" si="782">AX534/AX$571</f>
        <v>440.47856307296246</v>
      </c>
      <c r="AY598" s="527">
        <f t="shared" si="782"/>
        <v>440.47856307296246</v>
      </c>
      <c r="AZ598" s="527">
        <f t="shared" si="782"/>
        <v>440.47856307296246</v>
      </c>
      <c r="BA598" s="527">
        <f t="shared" si="782"/>
        <v>440.47856307296246</v>
      </c>
      <c r="BB598" s="527">
        <f t="shared" si="782"/>
        <v>451.82951462476507</v>
      </c>
      <c r="BC598" s="527">
        <f t="shared" si="782"/>
        <v>451.82951462476507</v>
      </c>
      <c r="BD598" s="527">
        <f t="shared" si="782"/>
        <v>451.82951462476507</v>
      </c>
      <c r="BE598" s="527">
        <f t="shared" si="782"/>
        <v>451.82951462476507</v>
      </c>
      <c r="BF598" s="527">
        <f t="shared" si="782"/>
        <v>451.82951462476507</v>
      </c>
      <c r="BG598" s="527">
        <f t="shared" si="782"/>
        <v>451.82951462476507</v>
      </c>
      <c r="BH598" s="527">
        <f t="shared" si="782"/>
        <v>451.82951462476507</v>
      </c>
      <c r="BI598" s="527">
        <f t="shared" si="782"/>
        <v>451.82951462476507</v>
      </c>
      <c r="BJ598" s="527">
        <f t="shared" si="782"/>
        <v>451.82951462476507</v>
      </c>
      <c r="BK598" s="527">
        <f t="shared" si="782"/>
        <v>451.82951462476507</v>
      </c>
      <c r="BL598" s="527">
        <f t="shared" si="782"/>
        <v>451.82951462476507</v>
      </c>
      <c r="BM598" s="527">
        <f t="shared" si="782"/>
        <v>451.82951462476507</v>
      </c>
      <c r="BN598" s="527">
        <f t="shared" si="782"/>
        <v>461.59943040894177</v>
      </c>
      <c r="BO598" s="527">
        <f t="shared" si="782"/>
        <v>461.59943040894177</v>
      </c>
      <c r="BP598" s="527">
        <f t="shared" si="782"/>
        <v>461.59943040894177</v>
      </c>
      <c r="BQ598" s="527">
        <f t="shared" si="782"/>
        <v>461.59943040894177</v>
      </c>
      <c r="BR598" s="527">
        <f t="shared" si="782"/>
        <v>461.59943040894177</v>
      </c>
      <c r="BS598" s="527">
        <f t="shared" si="782"/>
        <v>461.59943040894177</v>
      </c>
      <c r="BT598" s="527">
        <f t="shared" si="782"/>
        <v>461.59943040894177</v>
      </c>
      <c r="BU598" s="527">
        <f t="shared" si="782"/>
        <v>461.59943040894177</v>
      </c>
      <c r="BV598" s="527">
        <f t="shared" si="782"/>
        <v>461.59943040894177</v>
      </c>
      <c r="BW598" s="527">
        <f t="shared" si="782"/>
        <v>461.59943040894177</v>
      </c>
      <c r="BX598" s="527">
        <f t="shared" si="782"/>
        <v>461.59943040894177</v>
      </c>
      <c r="BY598" s="527">
        <f t="shared" si="782"/>
        <v>461.59943040894177</v>
      </c>
    </row>
    <row r="599" spans="1:77" x14ac:dyDescent="0.3">
      <c r="A599" s="551"/>
      <c r="B599" s="647"/>
      <c r="C599" s="668"/>
      <c r="D599" s="537"/>
      <c r="E599" s="572" t="s">
        <v>26</v>
      </c>
      <c r="F599" s="573"/>
      <c r="G599" s="573"/>
      <c r="H599" s="537"/>
      <c r="I599" s="532">
        <f t="shared" si="778"/>
        <v>36896.557636434023</v>
      </c>
      <c r="J599" s="532">
        <f t="shared" si="778"/>
        <v>38012.582698201441</v>
      </c>
      <c r="K599" s="532">
        <f t="shared" si="778"/>
        <v>39096.708163313335</v>
      </c>
      <c r="L599" s="532">
        <f t="shared" si="778"/>
        <v>40152.320112037683</v>
      </c>
      <c r="M599" s="532">
        <f t="shared" si="778"/>
        <v>41071.577077159607</v>
      </c>
      <c r="N599" s="532">
        <f t="shared" si="778"/>
        <v>41917.149416120665</v>
      </c>
      <c r="O599" s="536"/>
      <c r="P599" s="568">
        <f>IFERROR(((N599/I599)^(1/5))-1,0)</f>
        <v>2.5843658886080867E-2</v>
      </c>
      <c r="Q599" s="537"/>
      <c r="R599" s="532">
        <f t="shared" ref="R599:AW599" si="783">R535/R$571</f>
        <v>3167.7152248501197</v>
      </c>
      <c r="S599" s="532">
        <f t="shared" si="783"/>
        <v>3167.7152248501197</v>
      </c>
      <c r="T599" s="532">
        <f t="shared" si="783"/>
        <v>3167.7152248501197</v>
      </c>
      <c r="U599" s="532">
        <f t="shared" si="783"/>
        <v>3167.7152248501197</v>
      </c>
      <c r="V599" s="532">
        <f t="shared" si="783"/>
        <v>3167.7152248501197</v>
      </c>
      <c r="W599" s="532">
        <f t="shared" si="783"/>
        <v>3167.7152248501197</v>
      </c>
      <c r="X599" s="532">
        <f t="shared" si="783"/>
        <v>3167.7152248501197</v>
      </c>
      <c r="Y599" s="532">
        <f t="shared" si="783"/>
        <v>3167.7152248501197</v>
      </c>
      <c r="Z599" s="532">
        <f t="shared" si="783"/>
        <v>3167.7152248501197</v>
      </c>
      <c r="AA599" s="532">
        <f t="shared" si="783"/>
        <v>3167.7152248501197</v>
      </c>
      <c r="AB599" s="532">
        <f t="shared" si="783"/>
        <v>3167.7152248501197</v>
      </c>
      <c r="AC599" s="532">
        <f t="shared" si="783"/>
        <v>3167.7152248501197</v>
      </c>
      <c r="AD599" s="532">
        <f t="shared" si="783"/>
        <v>3258.0590136094447</v>
      </c>
      <c r="AE599" s="532">
        <f t="shared" si="783"/>
        <v>3258.0590136094447</v>
      </c>
      <c r="AF599" s="532">
        <f t="shared" si="783"/>
        <v>3258.0590136094447</v>
      </c>
      <c r="AG599" s="532">
        <f t="shared" si="783"/>
        <v>3258.0590136094447</v>
      </c>
      <c r="AH599" s="532">
        <f t="shared" si="783"/>
        <v>3258.0590136094447</v>
      </c>
      <c r="AI599" s="532">
        <f t="shared" si="783"/>
        <v>3258.0590136094447</v>
      </c>
      <c r="AJ599" s="532">
        <f t="shared" si="783"/>
        <v>3258.0590136094447</v>
      </c>
      <c r="AK599" s="532">
        <f t="shared" si="783"/>
        <v>3258.0590136094447</v>
      </c>
      <c r="AL599" s="532">
        <f t="shared" si="783"/>
        <v>3258.0590136094447</v>
      </c>
      <c r="AM599" s="532">
        <f t="shared" si="783"/>
        <v>3258.0590136094447</v>
      </c>
      <c r="AN599" s="532">
        <f t="shared" si="783"/>
        <v>3258.0590136094447</v>
      </c>
      <c r="AO599" s="532">
        <f t="shared" si="783"/>
        <v>3258.0590136094447</v>
      </c>
      <c r="AP599" s="532">
        <f t="shared" si="783"/>
        <v>3346.0266760031404</v>
      </c>
      <c r="AQ599" s="532">
        <f t="shared" si="783"/>
        <v>3346.0266760031404</v>
      </c>
      <c r="AR599" s="532">
        <f t="shared" si="783"/>
        <v>3346.0266760031404</v>
      </c>
      <c r="AS599" s="532">
        <f t="shared" si="783"/>
        <v>3346.0266760031404</v>
      </c>
      <c r="AT599" s="532">
        <f t="shared" si="783"/>
        <v>3346.0266760031404</v>
      </c>
      <c r="AU599" s="532">
        <f t="shared" si="783"/>
        <v>3346.0266760031404</v>
      </c>
      <c r="AV599" s="532">
        <f t="shared" si="783"/>
        <v>3346.0266760031404</v>
      </c>
      <c r="AW599" s="532">
        <f t="shared" si="783"/>
        <v>3346.0266760031404</v>
      </c>
      <c r="AX599" s="532">
        <f t="shared" ref="AX599:BY599" si="784">AX535/AX$571</f>
        <v>3346.0266760031404</v>
      </c>
      <c r="AY599" s="532">
        <f t="shared" si="784"/>
        <v>3346.0266760031404</v>
      </c>
      <c r="AZ599" s="532">
        <f t="shared" si="784"/>
        <v>3346.0266760031404</v>
      </c>
      <c r="BA599" s="532">
        <f t="shared" si="784"/>
        <v>3346.0266760031404</v>
      </c>
      <c r="BB599" s="532">
        <f t="shared" si="784"/>
        <v>3422.6314230966345</v>
      </c>
      <c r="BC599" s="532">
        <f t="shared" si="784"/>
        <v>3422.6314230966345</v>
      </c>
      <c r="BD599" s="532">
        <f t="shared" si="784"/>
        <v>3422.6314230966345</v>
      </c>
      <c r="BE599" s="532">
        <f t="shared" si="784"/>
        <v>3422.6314230966345</v>
      </c>
      <c r="BF599" s="532">
        <f t="shared" si="784"/>
        <v>3422.6314230966345</v>
      </c>
      <c r="BG599" s="532">
        <f t="shared" si="784"/>
        <v>3422.6314230966345</v>
      </c>
      <c r="BH599" s="532">
        <f t="shared" si="784"/>
        <v>3422.6314230966345</v>
      </c>
      <c r="BI599" s="532">
        <f t="shared" si="784"/>
        <v>3422.6314230966345</v>
      </c>
      <c r="BJ599" s="532">
        <f t="shared" si="784"/>
        <v>3422.6314230966345</v>
      </c>
      <c r="BK599" s="532">
        <f t="shared" si="784"/>
        <v>3422.6314230966345</v>
      </c>
      <c r="BL599" s="532">
        <f t="shared" si="784"/>
        <v>3422.6314230966345</v>
      </c>
      <c r="BM599" s="532">
        <f t="shared" si="784"/>
        <v>3422.6314230966345</v>
      </c>
      <c r="BN599" s="532">
        <f t="shared" si="784"/>
        <v>3493.0957846767215</v>
      </c>
      <c r="BO599" s="532">
        <f t="shared" si="784"/>
        <v>3493.0957846767215</v>
      </c>
      <c r="BP599" s="532">
        <f t="shared" si="784"/>
        <v>3493.0957846767215</v>
      </c>
      <c r="BQ599" s="532">
        <f t="shared" si="784"/>
        <v>3493.0957846767215</v>
      </c>
      <c r="BR599" s="532">
        <f t="shared" si="784"/>
        <v>3493.0957846767215</v>
      </c>
      <c r="BS599" s="532">
        <f t="shared" si="784"/>
        <v>3493.0957846767215</v>
      </c>
      <c r="BT599" s="532">
        <f t="shared" si="784"/>
        <v>3493.0957846767215</v>
      </c>
      <c r="BU599" s="532">
        <f t="shared" si="784"/>
        <v>3493.0957846767215</v>
      </c>
      <c r="BV599" s="532">
        <f t="shared" si="784"/>
        <v>3493.0957846767215</v>
      </c>
      <c r="BW599" s="532">
        <f t="shared" si="784"/>
        <v>3493.0957846767215</v>
      </c>
      <c r="BX599" s="532">
        <f t="shared" si="784"/>
        <v>3493.0957846767215</v>
      </c>
      <c r="BY599" s="532">
        <f t="shared" si="784"/>
        <v>3493.0957846767215</v>
      </c>
    </row>
    <row r="600" spans="1:77" x14ac:dyDescent="0.3">
      <c r="A600" s="551"/>
      <c r="B600" s="647"/>
      <c r="C600" s="668"/>
      <c r="D600" s="537"/>
      <c r="E600" s="525"/>
      <c r="F600" s="529"/>
      <c r="G600" s="529"/>
      <c r="H600" s="537"/>
      <c r="I600" s="529"/>
      <c r="J600" s="529"/>
      <c r="K600" s="529"/>
      <c r="L600" s="529"/>
      <c r="M600" s="529"/>
      <c r="N600" s="529"/>
      <c r="O600" s="529"/>
      <c r="P600" s="660"/>
      <c r="Q600" s="537"/>
      <c r="R600" s="529"/>
      <c r="S600" s="529"/>
      <c r="T600" s="529"/>
      <c r="U600" s="529"/>
      <c r="V600" s="529"/>
      <c r="W600" s="529"/>
      <c r="X600" s="529"/>
      <c r="Y600" s="529"/>
      <c r="Z600" s="529"/>
      <c r="AA600" s="529"/>
      <c r="AB600" s="529"/>
      <c r="AC600" s="529"/>
      <c r="AD600" s="529"/>
      <c r="AE600" s="529"/>
      <c r="AF600" s="529"/>
      <c r="AG600" s="529"/>
      <c r="AH600" s="529"/>
      <c r="AI600" s="529"/>
      <c r="AJ600" s="529"/>
      <c r="AK600" s="529"/>
      <c r="AL600" s="529"/>
      <c r="AM600" s="529"/>
      <c r="AN600" s="529"/>
      <c r="AO600" s="529"/>
      <c r="AP600" s="529"/>
      <c r="AQ600" s="529"/>
      <c r="AR600" s="529"/>
      <c r="AS600" s="529"/>
      <c r="AT600" s="529"/>
      <c r="AU600" s="529"/>
      <c r="AV600" s="529"/>
      <c r="AW600" s="529"/>
      <c r="AX600" s="529"/>
      <c r="AY600" s="529"/>
      <c r="AZ600" s="529"/>
      <c r="BA600" s="529"/>
      <c r="BB600" s="529"/>
      <c r="BC600" s="529"/>
      <c r="BD600" s="529"/>
      <c r="BE600" s="529"/>
      <c r="BF600" s="529"/>
      <c r="BG600" s="529"/>
      <c r="BH600" s="529"/>
      <c r="BI600" s="529"/>
      <c r="BJ600" s="529"/>
      <c r="BK600" s="529"/>
      <c r="BL600" s="529"/>
      <c r="BM600" s="529"/>
      <c r="BN600" s="529"/>
      <c r="BO600" s="529"/>
      <c r="BP600" s="529"/>
      <c r="BQ600" s="529"/>
      <c r="BR600" s="529"/>
      <c r="BS600" s="529"/>
      <c r="BT600" s="529"/>
      <c r="BU600" s="529"/>
      <c r="BV600" s="529"/>
      <c r="BW600" s="529"/>
      <c r="BX600" s="529"/>
      <c r="BY600" s="529"/>
    </row>
    <row r="601" spans="1:77" x14ac:dyDescent="0.3">
      <c r="A601" s="551"/>
      <c r="B601" s="647"/>
      <c r="C601" s="668"/>
      <c r="D601" s="537"/>
      <c r="E601" s="570" t="s">
        <v>27</v>
      </c>
      <c r="F601" s="529"/>
      <c r="G601" s="529"/>
      <c r="H601" s="537"/>
      <c r="I601" s="529"/>
      <c r="J601" s="529"/>
      <c r="K601" s="529"/>
      <c r="L601" s="529"/>
      <c r="M601" s="529"/>
      <c r="N601" s="529"/>
      <c r="O601" s="529"/>
      <c r="P601" s="660"/>
      <c r="Q601" s="537"/>
      <c r="R601" s="529"/>
      <c r="S601" s="529"/>
      <c r="T601" s="529"/>
      <c r="U601" s="529"/>
      <c r="V601" s="529"/>
      <c r="W601" s="529"/>
      <c r="X601" s="529"/>
      <c r="Y601" s="529"/>
      <c r="Z601" s="529"/>
      <c r="AA601" s="529"/>
      <c r="AB601" s="529"/>
      <c r="AC601" s="529"/>
      <c r="AD601" s="529"/>
      <c r="AE601" s="529"/>
      <c r="AF601" s="529"/>
      <c r="AG601" s="529"/>
      <c r="AH601" s="529"/>
      <c r="AI601" s="529"/>
      <c r="AJ601" s="529"/>
      <c r="AK601" s="529"/>
      <c r="AL601" s="529"/>
      <c r="AM601" s="529"/>
      <c r="AN601" s="529"/>
      <c r="AO601" s="529"/>
      <c r="AP601" s="529"/>
      <c r="AQ601" s="529"/>
      <c r="AR601" s="529"/>
      <c r="AS601" s="529"/>
      <c r="AT601" s="529"/>
      <c r="AU601" s="529"/>
      <c r="AV601" s="529"/>
      <c r="AW601" s="529"/>
      <c r="AX601" s="529"/>
      <c r="AY601" s="529"/>
      <c r="AZ601" s="529"/>
      <c r="BA601" s="529"/>
      <c r="BB601" s="529"/>
      <c r="BC601" s="529"/>
      <c r="BD601" s="529"/>
      <c r="BE601" s="529"/>
      <c r="BF601" s="529"/>
      <c r="BG601" s="529"/>
      <c r="BH601" s="529"/>
      <c r="BI601" s="529"/>
      <c r="BJ601" s="529"/>
      <c r="BK601" s="529"/>
      <c r="BL601" s="529"/>
      <c r="BM601" s="529"/>
      <c r="BN601" s="529"/>
      <c r="BO601" s="529"/>
      <c r="BP601" s="529"/>
      <c r="BQ601" s="529"/>
      <c r="BR601" s="529"/>
      <c r="BS601" s="529"/>
      <c r="BT601" s="529"/>
      <c r="BU601" s="529"/>
      <c r="BV601" s="529"/>
      <c r="BW601" s="529"/>
      <c r="BX601" s="529"/>
      <c r="BY601" s="529"/>
    </row>
    <row r="602" spans="1:77" x14ac:dyDescent="0.3">
      <c r="A602" s="551"/>
      <c r="B602" s="647"/>
      <c r="C602" s="668"/>
      <c r="D602" s="537"/>
      <c r="E602" s="525" t="s">
        <v>28</v>
      </c>
      <c r="F602" s="567"/>
      <c r="G602" s="567"/>
      <c r="H602" s="537"/>
      <c r="I602" s="527">
        <f t="shared" ref="I602:N606" si="785">I538/I$571</f>
        <v>4.2298373983739825</v>
      </c>
      <c r="J602" s="527">
        <f t="shared" si="785"/>
        <v>4.2298373983739825</v>
      </c>
      <c r="K602" s="527">
        <f t="shared" si="785"/>
        <v>4.2298373983739825</v>
      </c>
      <c r="L602" s="527">
        <f t="shared" si="785"/>
        <v>4.2298373983739825</v>
      </c>
      <c r="M602" s="527">
        <f t="shared" si="785"/>
        <v>4.2298373983739825</v>
      </c>
      <c r="N602" s="527">
        <f t="shared" si="785"/>
        <v>4.2298373983739825</v>
      </c>
      <c r="O602" s="529"/>
      <c r="P602" s="564">
        <f>IFERROR(((N602/I602)^(1/5))-1,0)</f>
        <v>0</v>
      </c>
      <c r="Q602" s="537"/>
      <c r="R602" s="527">
        <f t="shared" ref="R602:AW602" si="786">R538/R$571</f>
        <v>0.35248644986449856</v>
      </c>
      <c r="S602" s="527">
        <f t="shared" si="786"/>
        <v>0.35248644986449856</v>
      </c>
      <c r="T602" s="527">
        <f t="shared" si="786"/>
        <v>0.35248644986449856</v>
      </c>
      <c r="U602" s="527">
        <f t="shared" si="786"/>
        <v>0.35248644986449856</v>
      </c>
      <c r="V602" s="527">
        <f t="shared" si="786"/>
        <v>0.35248644986449856</v>
      </c>
      <c r="W602" s="527">
        <f t="shared" si="786"/>
        <v>0.35248644986449856</v>
      </c>
      <c r="X602" s="527">
        <f t="shared" si="786"/>
        <v>0.35248644986449856</v>
      </c>
      <c r="Y602" s="527">
        <f t="shared" si="786"/>
        <v>0.35248644986449856</v>
      </c>
      <c r="Z602" s="527">
        <f t="shared" si="786"/>
        <v>0.35248644986449856</v>
      </c>
      <c r="AA602" s="527">
        <f t="shared" si="786"/>
        <v>0.35248644986449856</v>
      </c>
      <c r="AB602" s="527">
        <f t="shared" si="786"/>
        <v>0.35248644986449856</v>
      </c>
      <c r="AC602" s="527">
        <f t="shared" si="786"/>
        <v>0.35248644986449856</v>
      </c>
      <c r="AD602" s="527">
        <f t="shared" si="786"/>
        <v>0.35248644986449856</v>
      </c>
      <c r="AE602" s="527">
        <f t="shared" si="786"/>
        <v>0.35248644986449856</v>
      </c>
      <c r="AF602" s="527">
        <f t="shared" si="786"/>
        <v>0.35248644986449856</v>
      </c>
      <c r="AG602" s="527">
        <f t="shared" si="786"/>
        <v>0.35248644986449856</v>
      </c>
      <c r="AH602" s="527">
        <f t="shared" si="786"/>
        <v>0.35248644986449856</v>
      </c>
      <c r="AI602" s="527">
        <f t="shared" si="786"/>
        <v>0.35248644986449856</v>
      </c>
      <c r="AJ602" s="527">
        <f t="shared" si="786"/>
        <v>0.35248644986449856</v>
      </c>
      <c r="AK602" s="527">
        <f t="shared" si="786"/>
        <v>0.35248644986449856</v>
      </c>
      <c r="AL602" s="527">
        <f t="shared" si="786"/>
        <v>0.35248644986449856</v>
      </c>
      <c r="AM602" s="527">
        <f t="shared" si="786"/>
        <v>0.35248644986449856</v>
      </c>
      <c r="AN602" s="527">
        <f t="shared" si="786"/>
        <v>0.35248644986449856</v>
      </c>
      <c r="AO602" s="527">
        <f t="shared" si="786"/>
        <v>0.35248644986449856</v>
      </c>
      <c r="AP602" s="527">
        <f t="shared" si="786"/>
        <v>0.35248644986449856</v>
      </c>
      <c r="AQ602" s="527">
        <f t="shared" si="786"/>
        <v>0.35248644986449856</v>
      </c>
      <c r="AR602" s="527">
        <f t="shared" si="786"/>
        <v>0.35248644986449856</v>
      </c>
      <c r="AS602" s="527">
        <f t="shared" si="786"/>
        <v>0.35248644986449856</v>
      </c>
      <c r="AT602" s="527">
        <f t="shared" si="786"/>
        <v>0.35248644986449856</v>
      </c>
      <c r="AU602" s="527">
        <f t="shared" si="786"/>
        <v>0.35248644986449856</v>
      </c>
      <c r="AV602" s="527">
        <f t="shared" si="786"/>
        <v>0.35248644986449856</v>
      </c>
      <c r="AW602" s="527">
        <f t="shared" si="786"/>
        <v>0.35248644986449856</v>
      </c>
      <c r="AX602" s="527">
        <f t="shared" ref="AX602:BY602" si="787">AX538/AX$571</f>
        <v>0.35248644986449856</v>
      </c>
      <c r="AY602" s="527">
        <f t="shared" si="787"/>
        <v>0.35248644986449856</v>
      </c>
      <c r="AZ602" s="527">
        <f t="shared" si="787"/>
        <v>0.35248644986449856</v>
      </c>
      <c r="BA602" s="527">
        <f t="shared" si="787"/>
        <v>0.35248644986449856</v>
      </c>
      <c r="BB602" s="527">
        <f t="shared" si="787"/>
        <v>0.35248644986449856</v>
      </c>
      <c r="BC602" s="527">
        <f t="shared" si="787"/>
        <v>0.35248644986449856</v>
      </c>
      <c r="BD602" s="527">
        <f t="shared" si="787"/>
        <v>0.35248644986449856</v>
      </c>
      <c r="BE602" s="527">
        <f t="shared" si="787"/>
        <v>0.35248644986449856</v>
      </c>
      <c r="BF602" s="527">
        <f t="shared" si="787"/>
        <v>0.35248644986449856</v>
      </c>
      <c r="BG602" s="527">
        <f t="shared" si="787"/>
        <v>0.35248644986449856</v>
      </c>
      <c r="BH602" s="527">
        <f t="shared" si="787"/>
        <v>0.35248644986449856</v>
      </c>
      <c r="BI602" s="527">
        <f t="shared" si="787"/>
        <v>0.35248644986449856</v>
      </c>
      <c r="BJ602" s="527">
        <f t="shared" si="787"/>
        <v>0.35248644986449856</v>
      </c>
      <c r="BK602" s="527">
        <f t="shared" si="787"/>
        <v>0.35248644986449856</v>
      </c>
      <c r="BL602" s="527">
        <f t="shared" si="787"/>
        <v>0.35248644986449856</v>
      </c>
      <c r="BM602" s="527">
        <f t="shared" si="787"/>
        <v>0.35248644986449856</v>
      </c>
      <c r="BN602" s="527">
        <f t="shared" si="787"/>
        <v>0.35248644986449856</v>
      </c>
      <c r="BO602" s="527">
        <f t="shared" si="787"/>
        <v>0.35248644986449856</v>
      </c>
      <c r="BP602" s="527">
        <f t="shared" si="787"/>
        <v>0.35248644986449856</v>
      </c>
      <c r="BQ602" s="527">
        <f t="shared" si="787"/>
        <v>0.35248644986449856</v>
      </c>
      <c r="BR602" s="527">
        <f t="shared" si="787"/>
        <v>0.35248644986449856</v>
      </c>
      <c r="BS602" s="527">
        <f t="shared" si="787"/>
        <v>0.35248644986449856</v>
      </c>
      <c r="BT602" s="527">
        <f t="shared" si="787"/>
        <v>0.35248644986449856</v>
      </c>
      <c r="BU602" s="527">
        <f t="shared" si="787"/>
        <v>0.35248644986449856</v>
      </c>
      <c r="BV602" s="527">
        <f t="shared" si="787"/>
        <v>0.35248644986449856</v>
      </c>
      <c r="BW602" s="527">
        <f t="shared" si="787"/>
        <v>0.35248644986449856</v>
      </c>
      <c r="BX602" s="527">
        <f t="shared" si="787"/>
        <v>0.35248644986449856</v>
      </c>
      <c r="BY602" s="527">
        <f t="shared" si="787"/>
        <v>0.35248644986449856</v>
      </c>
    </row>
    <row r="603" spans="1:77" x14ac:dyDescent="0.3">
      <c r="A603" s="551"/>
      <c r="B603" s="647"/>
      <c r="C603" s="668"/>
      <c r="D603" s="537"/>
      <c r="E603" s="525" t="s">
        <v>29</v>
      </c>
      <c r="F603" s="567"/>
      <c r="G603" s="567"/>
      <c r="H603" s="537"/>
      <c r="I603" s="527">
        <f t="shared" si="785"/>
        <v>2735.2999145538834</v>
      </c>
      <c r="J603" s="527">
        <f t="shared" si="785"/>
        <v>2735.2999145538834</v>
      </c>
      <c r="K603" s="527">
        <f t="shared" si="785"/>
        <v>2735.2999145538834</v>
      </c>
      <c r="L603" s="527">
        <f t="shared" si="785"/>
        <v>2735.2999145538834</v>
      </c>
      <c r="M603" s="527">
        <f t="shared" si="785"/>
        <v>2735.2999145538834</v>
      </c>
      <c r="N603" s="527">
        <f t="shared" si="785"/>
        <v>2735.2999145538834</v>
      </c>
      <c r="O603" s="529"/>
      <c r="P603" s="564">
        <f>IFERROR(((N603/I603)^(1/5))-1,0)</f>
        <v>0</v>
      </c>
      <c r="Q603" s="537"/>
      <c r="R603" s="527">
        <f t="shared" ref="R603:AW603" si="788">R539/R$571</f>
        <v>227.94165954615696</v>
      </c>
      <c r="S603" s="527">
        <f t="shared" si="788"/>
        <v>227.94165954615696</v>
      </c>
      <c r="T603" s="527">
        <f t="shared" si="788"/>
        <v>227.94165954615696</v>
      </c>
      <c r="U603" s="527">
        <f t="shared" si="788"/>
        <v>227.94165954615696</v>
      </c>
      <c r="V603" s="527">
        <f t="shared" si="788"/>
        <v>227.94165954615696</v>
      </c>
      <c r="W603" s="527">
        <f t="shared" si="788"/>
        <v>227.94165954615696</v>
      </c>
      <c r="X603" s="527">
        <f t="shared" si="788"/>
        <v>227.94165954615696</v>
      </c>
      <c r="Y603" s="527">
        <f t="shared" si="788"/>
        <v>227.94165954615696</v>
      </c>
      <c r="Z603" s="527">
        <f t="shared" si="788"/>
        <v>227.94165954615696</v>
      </c>
      <c r="AA603" s="527">
        <f t="shared" si="788"/>
        <v>227.94165954615696</v>
      </c>
      <c r="AB603" s="527">
        <f t="shared" si="788"/>
        <v>227.94165954615696</v>
      </c>
      <c r="AC603" s="527">
        <f t="shared" si="788"/>
        <v>227.94165954615696</v>
      </c>
      <c r="AD603" s="527">
        <f t="shared" si="788"/>
        <v>227.94165954615696</v>
      </c>
      <c r="AE603" s="527">
        <f t="shared" si="788"/>
        <v>227.94165954615696</v>
      </c>
      <c r="AF603" s="527">
        <f t="shared" si="788"/>
        <v>227.94165954615696</v>
      </c>
      <c r="AG603" s="527">
        <f t="shared" si="788"/>
        <v>227.94165954615696</v>
      </c>
      <c r="AH603" s="527">
        <f t="shared" si="788"/>
        <v>227.94165954615696</v>
      </c>
      <c r="AI603" s="527">
        <f t="shared" si="788"/>
        <v>227.94165954615696</v>
      </c>
      <c r="AJ603" s="527">
        <f t="shared" si="788"/>
        <v>227.94165954615696</v>
      </c>
      <c r="AK603" s="527">
        <f t="shared" si="788"/>
        <v>227.94165954615696</v>
      </c>
      <c r="AL603" s="527">
        <f t="shared" si="788"/>
        <v>227.94165954615696</v>
      </c>
      <c r="AM603" s="527">
        <f t="shared" si="788"/>
        <v>227.94165954615696</v>
      </c>
      <c r="AN603" s="527">
        <f t="shared" si="788"/>
        <v>227.94165954615696</v>
      </c>
      <c r="AO603" s="527">
        <f t="shared" si="788"/>
        <v>227.94165954615696</v>
      </c>
      <c r="AP603" s="527">
        <f t="shared" si="788"/>
        <v>227.94165954615696</v>
      </c>
      <c r="AQ603" s="527">
        <f t="shared" si="788"/>
        <v>227.94165954615696</v>
      </c>
      <c r="AR603" s="527">
        <f t="shared" si="788"/>
        <v>227.94165954615696</v>
      </c>
      <c r="AS603" s="527">
        <f t="shared" si="788"/>
        <v>227.94165954615696</v>
      </c>
      <c r="AT603" s="527">
        <f t="shared" si="788"/>
        <v>227.94165954615696</v>
      </c>
      <c r="AU603" s="527">
        <f t="shared" si="788"/>
        <v>227.94165954615696</v>
      </c>
      <c r="AV603" s="527">
        <f t="shared" si="788"/>
        <v>227.94165954615696</v>
      </c>
      <c r="AW603" s="527">
        <f t="shared" si="788"/>
        <v>227.94165954615696</v>
      </c>
      <c r="AX603" s="527">
        <f t="shared" ref="AX603:BY603" si="789">AX539/AX$571</f>
        <v>227.94165954615696</v>
      </c>
      <c r="AY603" s="527">
        <f t="shared" si="789"/>
        <v>227.94165954615696</v>
      </c>
      <c r="AZ603" s="527">
        <f t="shared" si="789"/>
        <v>227.94165954615696</v>
      </c>
      <c r="BA603" s="527">
        <f t="shared" si="789"/>
        <v>227.94165954615696</v>
      </c>
      <c r="BB603" s="527">
        <f t="shared" si="789"/>
        <v>227.94165954615696</v>
      </c>
      <c r="BC603" s="527">
        <f t="shared" si="789"/>
        <v>227.94165954615696</v>
      </c>
      <c r="BD603" s="527">
        <f t="shared" si="789"/>
        <v>227.94165954615696</v>
      </c>
      <c r="BE603" s="527">
        <f t="shared" si="789"/>
        <v>227.94165954615696</v>
      </c>
      <c r="BF603" s="527">
        <f t="shared" si="789"/>
        <v>227.94165954615696</v>
      </c>
      <c r="BG603" s="527">
        <f t="shared" si="789"/>
        <v>227.94165954615696</v>
      </c>
      <c r="BH603" s="527">
        <f t="shared" si="789"/>
        <v>227.94165954615696</v>
      </c>
      <c r="BI603" s="527">
        <f t="shared" si="789"/>
        <v>227.94165954615696</v>
      </c>
      <c r="BJ603" s="527">
        <f t="shared" si="789"/>
        <v>227.94165954615696</v>
      </c>
      <c r="BK603" s="527">
        <f t="shared" si="789"/>
        <v>227.94165954615696</v>
      </c>
      <c r="BL603" s="527">
        <f t="shared" si="789"/>
        <v>227.94165954615696</v>
      </c>
      <c r="BM603" s="527">
        <f t="shared" si="789"/>
        <v>227.94165954615696</v>
      </c>
      <c r="BN603" s="527">
        <f t="shared" si="789"/>
        <v>227.94165954615696</v>
      </c>
      <c r="BO603" s="527">
        <f t="shared" si="789"/>
        <v>227.94165954615696</v>
      </c>
      <c r="BP603" s="527">
        <f t="shared" si="789"/>
        <v>227.94165954615696</v>
      </c>
      <c r="BQ603" s="527">
        <f t="shared" si="789"/>
        <v>227.94165954615696</v>
      </c>
      <c r="BR603" s="527">
        <f t="shared" si="789"/>
        <v>227.94165954615696</v>
      </c>
      <c r="BS603" s="527">
        <f t="shared" si="789"/>
        <v>227.94165954615696</v>
      </c>
      <c r="BT603" s="527">
        <f t="shared" si="789"/>
        <v>227.94165954615696</v>
      </c>
      <c r="BU603" s="527">
        <f t="shared" si="789"/>
        <v>227.94165954615696</v>
      </c>
      <c r="BV603" s="527">
        <f t="shared" si="789"/>
        <v>227.94165954615696</v>
      </c>
      <c r="BW603" s="527">
        <f t="shared" si="789"/>
        <v>227.94165954615696</v>
      </c>
      <c r="BX603" s="527">
        <f t="shared" si="789"/>
        <v>227.94165954615696</v>
      </c>
      <c r="BY603" s="527">
        <f t="shared" si="789"/>
        <v>227.94165954615696</v>
      </c>
    </row>
    <row r="604" spans="1:77" x14ac:dyDescent="0.3">
      <c r="A604" s="551"/>
      <c r="B604" s="647"/>
      <c r="C604" s="668"/>
      <c r="D604" s="537"/>
      <c r="E604" s="525" t="s">
        <v>30</v>
      </c>
      <c r="F604" s="567"/>
      <c r="G604" s="567"/>
      <c r="H604" s="537"/>
      <c r="I604" s="527">
        <f t="shared" si="785"/>
        <v>1325.3378861788615</v>
      </c>
      <c r="J604" s="527">
        <f t="shared" si="785"/>
        <v>1325.3378861788615</v>
      </c>
      <c r="K604" s="527">
        <f t="shared" si="785"/>
        <v>1325.3378861788615</v>
      </c>
      <c r="L604" s="527">
        <f t="shared" si="785"/>
        <v>1325.3378861788615</v>
      </c>
      <c r="M604" s="527">
        <f t="shared" si="785"/>
        <v>1325.3378861788615</v>
      </c>
      <c r="N604" s="527">
        <f t="shared" si="785"/>
        <v>1325.3378861788615</v>
      </c>
      <c r="O604" s="529"/>
      <c r="P604" s="564">
        <f>IFERROR(((N604/I604)^(1/5))-1,0)</f>
        <v>0</v>
      </c>
      <c r="Q604" s="537"/>
      <c r="R604" s="527">
        <f t="shared" ref="R604:AW604" si="790">R540/R$571</f>
        <v>110.44482384823847</v>
      </c>
      <c r="S604" s="527">
        <f t="shared" si="790"/>
        <v>110.44482384823847</v>
      </c>
      <c r="T604" s="527">
        <f t="shared" si="790"/>
        <v>110.44482384823847</v>
      </c>
      <c r="U604" s="527">
        <f t="shared" si="790"/>
        <v>110.44482384823847</v>
      </c>
      <c r="V604" s="527">
        <f t="shared" si="790"/>
        <v>110.44482384823847</v>
      </c>
      <c r="W604" s="527">
        <f t="shared" si="790"/>
        <v>110.44482384823847</v>
      </c>
      <c r="X604" s="527">
        <f t="shared" si="790"/>
        <v>110.44482384823847</v>
      </c>
      <c r="Y604" s="527">
        <f t="shared" si="790"/>
        <v>110.44482384823847</v>
      </c>
      <c r="Z604" s="527">
        <f t="shared" si="790"/>
        <v>110.44482384823847</v>
      </c>
      <c r="AA604" s="527">
        <f t="shared" si="790"/>
        <v>110.44482384823847</v>
      </c>
      <c r="AB604" s="527">
        <f t="shared" si="790"/>
        <v>110.44482384823847</v>
      </c>
      <c r="AC604" s="527">
        <f t="shared" si="790"/>
        <v>110.44482384823847</v>
      </c>
      <c r="AD604" s="527">
        <f t="shared" si="790"/>
        <v>110.44482384823847</v>
      </c>
      <c r="AE604" s="527">
        <f t="shared" si="790"/>
        <v>110.44482384823847</v>
      </c>
      <c r="AF604" s="527">
        <f t="shared" si="790"/>
        <v>110.44482384823847</v>
      </c>
      <c r="AG604" s="527">
        <f t="shared" si="790"/>
        <v>110.44482384823847</v>
      </c>
      <c r="AH604" s="527">
        <f t="shared" si="790"/>
        <v>110.44482384823847</v>
      </c>
      <c r="AI604" s="527">
        <f t="shared" si="790"/>
        <v>110.44482384823847</v>
      </c>
      <c r="AJ604" s="527">
        <f t="shared" si="790"/>
        <v>110.44482384823847</v>
      </c>
      <c r="AK604" s="527">
        <f t="shared" si="790"/>
        <v>110.44482384823847</v>
      </c>
      <c r="AL604" s="527">
        <f t="shared" si="790"/>
        <v>110.44482384823847</v>
      </c>
      <c r="AM604" s="527">
        <f t="shared" si="790"/>
        <v>110.44482384823847</v>
      </c>
      <c r="AN604" s="527">
        <f t="shared" si="790"/>
        <v>110.44482384823847</v>
      </c>
      <c r="AO604" s="527">
        <f t="shared" si="790"/>
        <v>110.44482384823847</v>
      </c>
      <c r="AP604" s="527">
        <f t="shared" si="790"/>
        <v>110.44482384823847</v>
      </c>
      <c r="AQ604" s="527">
        <f t="shared" si="790"/>
        <v>110.44482384823847</v>
      </c>
      <c r="AR604" s="527">
        <f t="shared" si="790"/>
        <v>110.44482384823847</v>
      </c>
      <c r="AS604" s="527">
        <f t="shared" si="790"/>
        <v>110.44482384823847</v>
      </c>
      <c r="AT604" s="527">
        <f t="shared" si="790"/>
        <v>110.44482384823847</v>
      </c>
      <c r="AU604" s="527">
        <f t="shared" si="790"/>
        <v>110.44482384823847</v>
      </c>
      <c r="AV604" s="527">
        <f t="shared" si="790"/>
        <v>110.44482384823847</v>
      </c>
      <c r="AW604" s="527">
        <f t="shared" si="790"/>
        <v>110.44482384823847</v>
      </c>
      <c r="AX604" s="527">
        <f t="shared" ref="AX604:BY604" si="791">AX540/AX$571</f>
        <v>110.44482384823847</v>
      </c>
      <c r="AY604" s="527">
        <f t="shared" si="791"/>
        <v>110.44482384823847</v>
      </c>
      <c r="AZ604" s="527">
        <f t="shared" si="791"/>
        <v>110.44482384823847</v>
      </c>
      <c r="BA604" s="527">
        <f t="shared" si="791"/>
        <v>110.44482384823847</v>
      </c>
      <c r="BB604" s="527">
        <f t="shared" si="791"/>
        <v>110.44482384823847</v>
      </c>
      <c r="BC604" s="527">
        <f t="shared" si="791"/>
        <v>110.44482384823847</v>
      </c>
      <c r="BD604" s="527">
        <f t="shared" si="791"/>
        <v>110.44482384823847</v>
      </c>
      <c r="BE604" s="527">
        <f t="shared" si="791"/>
        <v>110.44482384823847</v>
      </c>
      <c r="BF604" s="527">
        <f t="shared" si="791"/>
        <v>110.44482384823847</v>
      </c>
      <c r="BG604" s="527">
        <f t="shared" si="791"/>
        <v>110.44482384823847</v>
      </c>
      <c r="BH604" s="527">
        <f t="shared" si="791"/>
        <v>110.44482384823847</v>
      </c>
      <c r="BI604" s="527">
        <f t="shared" si="791"/>
        <v>110.44482384823847</v>
      </c>
      <c r="BJ604" s="527">
        <f t="shared" si="791"/>
        <v>110.44482384823847</v>
      </c>
      <c r="BK604" s="527">
        <f t="shared" si="791"/>
        <v>110.44482384823847</v>
      </c>
      <c r="BL604" s="527">
        <f t="shared" si="791"/>
        <v>110.44482384823847</v>
      </c>
      <c r="BM604" s="527">
        <f t="shared" si="791"/>
        <v>110.44482384823847</v>
      </c>
      <c r="BN604" s="527">
        <f t="shared" si="791"/>
        <v>110.44482384823847</v>
      </c>
      <c r="BO604" s="527">
        <f t="shared" si="791"/>
        <v>110.44482384823847</v>
      </c>
      <c r="BP604" s="527">
        <f t="shared" si="791"/>
        <v>110.44482384823847</v>
      </c>
      <c r="BQ604" s="527">
        <f t="shared" si="791"/>
        <v>110.44482384823847</v>
      </c>
      <c r="BR604" s="527">
        <f t="shared" si="791"/>
        <v>110.44482384823847</v>
      </c>
      <c r="BS604" s="527">
        <f t="shared" si="791"/>
        <v>110.44482384823847</v>
      </c>
      <c r="BT604" s="527">
        <f t="shared" si="791"/>
        <v>110.44482384823847</v>
      </c>
      <c r="BU604" s="527">
        <f t="shared" si="791"/>
        <v>110.44482384823847</v>
      </c>
      <c r="BV604" s="527">
        <f t="shared" si="791"/>
        <v>110.44482384823847</v>
      </c>
      <c r="BW604" s="527">
        <f t="shared" si="791"/>
        <v>110.44482384823847</v>
      </c>
      <c r="BX604" s="527">
        <f t="shared" si="791"/>
        <v>110.44482384823847</v>
      </c>
      <c r="BY604" s="527">
        <f t="shared" si="791"/>
        <v>110.44482384823847</v>
      </c>
    </row>
    <row r="605" spans="1:77" x14ac:dyDescent="0.3">
      <c r="A605" s="551"/>
      <c r="B605" s="647"/>
      <c r="C605" s="668"/>
      <c r="D605" s="537"/>
      <c r="E605" s="525" t="s">
        <v>31</v>
      </c>
      <c r="F605" s="567"/>
      <c r="G605" s="567"/>
      <c r="H605" s="537"/>
      <c r="I605" s="527">
        <f t="shared" si="785"/>
        <v>3187.218214243901</v>
      </c>
      <c r="J605" s="527">
        <f t="shared" si="785"/>
        <v>3187.218214243901</v>
      </c>
      <c r="K605" s="527">
        <f t="shared" si="785"/>
        <v>3187.218214243901</v>
      </c>
      <c r="L605" s="527">
        <f t="shared" si="785"/>
        <v>3187.218214243901</v>
      </c>
      <c r="M605" s="527">
        <f t="shared" si="785"/>
        <v>3187.218214243901</v>
      </c>
      <c r="N605" s="527">
        <f t="shared" si="785"/>
        <v>3187.218214243901</v>
      </c>
      <c r="O605" s="529"/>
      <c r="P605" s="564">
        <f>IFERROR(((N605/I605)^(1/5))-1,0)</f>
        <v>0</v>
      </c>
      <c r="Q605" s="537"/>
      <c r="R605" s="527">
        <f t="shared" ref="R605:AW605" si="792">R541/R$571</f>
        <v>265.60151785365838</v>
      </c>
      <c r="S605" s="527">
        <f t="shared" si="792"/>
        <v>265.60151785365838</v>
      </c>
      <c r="T605" s="527">
        <f t="shared" si="792"/>
        <v>265.60151785365838</v>
      </c>
      <c r="U605" s="527">
        <f t="shared" si="792"/>
        <v>265.60151785365838</v>
      </c>
      <c r="V605" s="527">
        <f t="shared" si="792"/>
        <v>265.60151785365838</v>
      </c>
      <c r="W605" s="527">
        <f t="shared" si="792"/>
        <v>265.60151785365838</v>
      </c>
      <c r="X605" s="527">
        <f t="shared" si="792"/>
        <v>265.60151785365838</v>
      </c>
      <c r="Y605" s="527">
        <f t="shared" si="792"/>
        <v>265.60151785365838</v>
      </c>
      <c r="Z605" s="527">
        <f t="shared" si="792"/>
        <v>265.60151785365838</v>
      </c>
      <c r="AA605" s="527">
        <f t="shared" si="792"/>
        <v>265.60151785365838</v>
      </c>
      <c r="AB605" s="527">
        <f t="shared" si="792"/>
        <v>265.60151785365838</v>
      </c>
      <c r="AC605" s="527">
        <f t="shared" si="792"/>
        <v>265.60151785365838</v>
      </c>
      <c r="AD605" s="527">
        <f t="shared" si="792"/>
        <v>265.60151785365838</v>
      </c>
      <c r="AE605" s="527">
        <f t="shared" si="792"/>
        <v>265.60151785365838</v>
      </c>
      <c r="AF605" s="527">
        <f t="shared" si="792"/>
        <v>265.60151785365838</v>
      </c>
      <c r="AG605" s="527">
        <f t="shared" si="792"/>
        <v>265.60151785365838</v>
      </c>
      <c r="AH605" s="527">
        <f t="shared" si="792"/>
        <v>265.60151785365838</v>
      </c>
      <c r="AI605" s="527">
        <f t="shared" si="792"/>
        <v>265.60151785365838</v>
      </c>
      <c r="AJ605" s="527">
        <f t="shared" si="792"/>
        <v>265.60151785365838</v>
      </c>
      <c r="AK605" s="527">
        <f t="shared" si="792"/>
        <v>265.60151785365838</v>
      </c>
      <c r="AL605" s="527">
        <f t="shared" si="792"/>
        <v>265.60151785365838</v>
      </c>
      <c r="AM605" s="527">
        <f t="shared" si="792"/>
        <v>265.60151785365838</v>
      </c>
      <c r="AN605" s="527">
        <f t="shared" si="792"/>
        <v>265.60151785365838</v>
      </c>
      <c r="AO605" s="527">
        <f t="shared" si="792"/>
        <v>265.60151785365838</v>
      </c>
      <c r="AP605" s="527">
        <f t="shared" si="792"/>
        <v>265.60151785365838</v>
      </c>
      <c r="AQ605" s="527">
        <f t="shared" si="792"/>
        <v>265.60151785365838</v>
      </c>
      <c r="AR605" s="527">
        <f t="shared" si="792"/>
        <v>265.60151785365838</v>
      </c>
      <c r="AS605" s="527">
        <f t="shared" si="792"/>
        <v>265.60151785365838</v>
      </c>
      <c r="AT605" s="527">
        <f t="shared" si="792"/>
        <v>265.60151785365838</v>
      </c>
      <c r="AU605" s="527">
        <f t="shared" si="792"/>
        <v>265.60151785365838</v>
      </c>
      <c r="AV605" s="527">
        <f t="shared" si="792"/>
        <v>265.60151785365838</v>
      </c>
      <c r="AW605" s="527">
        <f t="shared" si="792"/>
        <v>265.60151785365838</v>
      </c>
      <c r="AX605" s="527">
        <f t="shared" ref="AX605:BY605" si="793">AX541/AX$571</f>
        <v>265.60151785365838</v>
      </c>
      <c r="AY605" s="527">
        <f t="shared" si="793"/>
        <v>265.60151785365838</v>
      </c>
      <c r="AZ605" s="527">
        <f t="shared" si="793"/>
        <v>265.60151785365838</v>
      </c>
      <c r="BA605" s="527">
        <f t="shared" si="793"/>
        <v>265.60151785365838</v>
      </c>
      <c r="BB605" s="527">
        <f t="shared" si="793"/>
        <v>265.60151785365838</v>
      </c>
      <c r="BC605" s="527">
        <f t="shared" si="793"/>
        <v>265.60151785365838</v>
      </c>
      <c r="BD605" s="527">
        <f t="shared" si="793"/>
        <v>265.60151785365838</v>
      </c>
      <c r="BE605" s="527">
        <f t="shared" si="793"/>
        <v>265.60151785365838</v>
      </c>
      <c r="BF605" s="527">
        <f t="shared" si="793"/>
        <v>265.60151785365838</v>
      </c>
      <c r="BG605" s="527">
        <f t="shared" si="793"/>
        <v>265.60151785365838</v>
      </c>
      <c r="BH605" s="527">
        <f t="shared" si="793"/>
        <v>265.60151785365838</v>
      </c>
      <c r="BI605" s="527">
        <f t="shared" si="793"/>
        <v>265.60151785365838</v>
      </c>
      <c r="BJ605" s="527">
        <f t="shared" si="793"/>
        <v>265.60151785365838</v>
      </c>
      <c r="BK605" s="527">
        <f t="shared" si="793"/>
        <v>265.60151785365838</v>
      </c>
      <c r="BL605" s="527">
        <f t="shared" si="793"/>
        <v>265.60151785365838</v>
      </c>
      <c r="BM605" s="527">
        <f t="shared" si="793"/>
        <v>265.60151785365838</v>
      </c>
      <c r="BN605" s="527">
        <f t="shared" si="793"/>
        <v>265.60151785365838</v>
      </c>
      <c r="BO605" s="527">
        <f t="shared" si="793"/>
        <v>265.60151785365838</v>
      </c>
      <c r="BP605" s="527">
        <f t="shared" si="793"/>
        <v>265.60151785365838</v>
      </c>
      <c r="BQ605" s="527">
        <f t="shared" si="793"/>
        <v>265.60151785365838</v>
      </c>
      <c r="BR605" s="527">
        <f t="shared" si="793"/>
        <v>265.60151785365838</v>
      </c>
      <c r="BS605" s="527">
        <f t="shared" si="793"/>
        <v>265.60151785365838</v>
      </c>
      <c r="BT605" s="527">
        <f t="shared" si="793"/>
        <v>265.60151785365838</v>
      </c>
      <c r="BU605" s="527">
        <f t="shared" si="793"/>
        <v>265.60151785365838</v>
      </c>
      <c r="BV605" s="527">
        <f t="shared" si="793"/>
        <v>265.60151785365838</v>
      </c>
      <c r="BW605" s="527">
        <f t="shared" si="793"/>
        <v>265.60151785365838</v>
      </c>
      <c r="BX605" s="527">
        <f t="shared" si="793"/>
        <v>265.60151785365838</v>
      </c>
      <c r="BY605" s="527">
        <f t="shared" si="793"/>
        <v>265.60151785365838</v>
      </c>
    </row>
    <row r="606" spans="1:77" x14ac:dyDescent="0.3">
      <c r="A606" s="551"/>
      <c r="B606" s="647"/>
      <c r="C606" s="668"/>
      <c r="D606" s="537"/>
      <c r="E606" s="572" t="s">
        <v>32</v>
      </c>
      <c r="F606" s="573"/>
      <c r="G606" s="573"/>
      <c r="H606" s="537"/>
      <c r="I606" s="532">
        <f t="shared" si="785"/>
        <v>7252.0858523750194</v>
      </c>
      <c r="J606" s="532">
        <f t="shared" si="785"/>
        <v>7252.0858523750194</v>
      </c>
      <c r="K606" s="532">
        <f t="shared" si="785"/>
        <v>7252.0858523750194</v>
      </c>
      <c r="L606" s="532">
        <f t="shared" si="785"/>
        <v>7252.0858523750194</v>
      </c>
      <c r="M606" s="532">
        <f t="shared" si="785"/>
        <v>7252.0858523750194</v>
      </c>
      <c r="N606" s="532">
        <f t="shared" si="785"/>
        <v>7252.0858523750194</v>
      </c>
      <c r="O606" s="536"/>
      <c r="P606" s="568">
        <f>IFERROR(((N606/I606)^(1/5))-1,0)</f>
        <v>0</v>
      </c>
      <c r="Q606" s="537"/>
      <c r="R606" s="532">
        <f t="shared" ref="R606:AW606" si="794">R542/R$571</f>
        <v>604.34048769791832</v>
      </c>
      <c r="S606" s="532">
        <f t="shared" si="794"/>
        <v>604.34048769791832</v>
      </c>
      <c r="T606" s="532">
        <f t="shared" si="794"/>
        <v>604.34048769791832</v>
      </c>
      <c r="U606" s="532">
        <f t="shared" si="794"/>
        <v>604.34048769791832</v>
      </c>
      <c r="V606" s="532">
        <f t="shared" si="794"/>
        <v>604.34048769791832</v>
      </c>
      <c r="W606" s="532">
        <f t="shared" si="794"/>
        <v>604.34048769791832</v>
      </c>
      <c r="X606" s="532">
        <f t="shared" si="794"/>
        <v>604.34048769791832</v>
      </c>
      <c r="Y606" s="532">
        <f t="shared" si="794"/>
        <v>604.34048769791832</v>
      </c>
      <c r="Z606" s="532">
        <f t="shared" si="794"/>
        <v>604.34048769791832</v>
      </c>
      <c r="AA606" s="532">
        <f t="shared" si="794"/>
        <v>604.34048769791832</v>
      </c>
      <c r="AB606" s="532">
        <f t="shared" si="794"/>
        <v>604.34048769791832</v>
      </c>
      <c r="AC606" s="532">
        <f t="shared" si="794"/>
        <v>604.34048769791832</v>
      </c>
      <c r="AD606" s="532">
        <f t="shared" si="794"/>
        <v>604.34048769791832</v>
      </c>
      <c r="AE606" s="532">
        <f t="shared" si="794"/>
        <v>604.34048769791832</v>
      </c>
      <c r="AF606" s="532">
        <f t="shared" si="794"/>
        <v>604.34048769791832</v>
      </c>
      <c r="AG606" s="532">
        <f t="shared" si="794"/>
        <v>604.34048769791832</v>
      </c>
      <c r="AH606" s="532">
        <f t="shared" si="794"/>
        <v>604.34048769791832</v>
      </c>
      <c r="AI606" s="532">
        <f t="shared" si="794"/>
        <v>604.34048769791832</v>
      </c>
      <c r="AJ606" s="532">
        <f t="shared" si="794"/>
        <v>604.34048769791832</v>
      </c>
      <c r="AK606" s="532">
        <f t="shared" si="794"/>
        <v>604.34048769791832</v>
      </c>
      <c r="AL606" s="532">
        <f t="shared" si="794"/>
        <v>604.34048769791832</v>
      </c>
      <c r="AM606" s="532">
        <f t="shared" si="794"/>
        <v>604.34048769791832</v>
      </c>
      <c r="AN606" s="532">
        <f t="shared" si="794"/>
        <v>604.34048769791832</v>
      </c>
      <c r="AO606" s="532">
        <f t="shared" si="794"/>
        <v>604.34048769791832</v>
      </c>
      <c r="AP606" s="532">
        <f t="shared" si="794"/>
        <v>604.34048769791832</v>
      </c>
      <c r="AQ606" s="532">
        <f t="shared" si="794"/>
        <v>604.34048769791832</v>
      </c>
      <c r="AR606" s="532">
        <f t="shared" si="794"/>
        <v>604.34048769791832</v>
      </c>
      <c r="AS606" s="532">
        <f t="shared" si="794"/>
        <v>604.34048769791832</v>
      </c>
      <c r="AT606" s="532">
        <f t="shared" si="794"/>
        <v>604.34048769791832</v>
      </c>
      <c r="AU606" s="532">
        <f t="shared" si="794"/>
        <v>604.34048769791832</v>
      </c>
      <c r="AV606" s="532">
        <f t="shared" si="794"/>
        <v>604.34048769791832</v>
      </c>
      <c r="AW606" s="532">
        <f t="shared" si="794"/>
        <v>604.34048769791832</v>
      </c>
      <c r="AX606" s="532">
        <f t="shared" ref="AX606:BY606" si="795">AX542/AX$571</f>
        <v>604.34048769791832</v>
      </c>
      <c r="AY606" s="532">
        <f t="shared" si="795"/>
        <v>604.34048769791832</v>
      </c>
      <c r="AZ606" s="532">
        <f t="shared" si="795"/>
        <v>604.34048769791832</v>
      </c>
      <c r="BA606" s="532">
        <f t="shared" si="795"/>
        <v>604.34048769791832</v>
      </c>
      <c r="BB606" s="532">
        <f t="shared" si="795"/>
        <v>604.34048769791832</v>
      </c>
      <c r="BC606" s="532">
        <f t="shared" si="795"/>
        <v>604.34048769791832</v>
      </c>
      <c r="BD606" s="532">
        <f t="shared" si="795"/>
        <v>604.34048769791832</v>
      </c>
      <c r="BE606" s="532">
        <f t="shared" si="795"/>
        <v>604.34048769791832</v>
      </c>
      <c r="BF606" s="532">
        <f t="shared" si="795"/>
        <v>604.34048769791832</v>
      </c>
      <c r="BG606" s="532">
        <f t="shared" si="795"/>
        <v>604.34048769791832</v>
      </c>
      <c r="BH606" s="532">
        <f t="shared" si="795"/>
        <v>604.34048769791832</v>
      </c>
      <c r="BI606" s="532">
        <f t="shared" si="795"/>
        <v>604.34048769791832</v>
      </c>
      <c r="BJ606" s="532">
        <f t="shared" si="795"/>
        <v>604.34048769791832</v>
      </c>
      <c r="BK606" s="532">
        <f t="shared" si="795"/>
        <v>604.34048769791832</v>
      </c>
      <c r="BL606" s="532">
        <f t="shared" si="795"/>
        <v>604.34048769791832</v>
      </c>
      <c r="BM606" s="532">
        <f t="shared" si="795"/>
        <v>604.34048769791832</v>
      </c>
      <c r="BN606" s="532">
        <f t="shared" si="795"/>
        <v>604.34048769791832</v>
      </c>
      <c r="BO606" s="532">
        <f t="shared" si="795"/>
        <v>604.34048769791832</v>
      </c>
      <c r="BP606" s="532">
        <f t="shared" si="795"/>
        <v>604.34048769791832</v>
      </c>
      <c r="BQ606" s="532">
        <f t="shared" si="795"/>
        <v>604.34048769791832</v>
      </c>
      <c r="BR606" s="532">
        <f t="shared" si="795"/>
        <v>604.34048769791832</v>
      </c>
      <c r="BS606" s="532">
        <f t="shared" si="795"/>
        <v>604.34048769791832</v>
      </c>
      <c r="BT606" s="532">
        <f t="shared" si="795"/>
        <v>604.34048769791832</v>
      </c>
      <c r="BU606" s="532">
        <f t="shared" si="795"/>
        <v>604.34048769791832</v>
      </c>
      <c r="BV606" s="532">
        <f t="shared" si="795"/>
        <v>604.34048769791832</v>
      </c>
      <c r="BW606" s="532">
        <f t="shared" si="795"/>
        <v>604.34048769791832</v>
      </c>
      <c r="BX606" s="532">
        <f t="shared" si="795"/>
        <v>604.34048769791832</v>
      </c>
      <c r="BY606" s="532">
        <f t="shared" si="795"/>
        <v>604.34048769791832</v>
      </c>
    </row>
    <row r="607" spans="1:77" x14ac:dyDescent="0.3">
      <c r="A607" s="551"/>
      <c r="B607" s="647"/>
      <c r="C607" s="668"/>
      <c r="D607" s="537"/>
      <c r="E607" s="525"/>
      <c r="F607" s="529"/>
      <c r="G607" s="529"/>
      <c r="H607" s="537"/>
      <c r="I607" s="529"/>
      <c r="J607" s="529"/>
      <c r="K607" s="529"/>
      <c r="L607" s="529"/>
      <c r="M607" s="529"/>
      <c r="N607" s="529"/>
      <c r="O607" s="529"/>
      <c r="P607" s="660"/>
      <c r="Q607" s="537"/>
      <c r="R607" s="529"/>
      <c r="S607" s="529"/>
      <c r="T607" s="529"/>
      <c r="U607" s="529"/>
      <c r="V607" s="529"/>
      <c r="W607" s="529"/>
      <c r="X607" s="529"/>
      <c r="Y607" s="529"/>
      <c r="Z607" s="529"/>
      <c r="AA607" s="529"/>
      <c r="AB607" s="529"/>
      <c r="AC607" s="529"/>
      <c r="AD607" s="529"/>
      <c r="AE607" s="529"/>
      <c r="AF607" s="529"/>
      <c r="AG607" s="529"/>
      <c r="AH607" s="529"/>
      <c r="AI607" s="529"/>
      <c r="AJ607" s="529"/>
      <c r="AK607" s="529"/>
      <c r="AL607" s="529"/>
      <c r="AM607" s="529"/>
      <c r="AN607" s="529"/>
      <c r="AO607" s="529"/>
      <c r="AP607" s="529"/>
      <c r="AQ607" s="529"/>
      <c r="AR607" s="529"/>
      <c r="AS607" s="529"/>
      <c r="AT607" s="529"/>
      <c r="AU607" s="529"/>
      <c r="AV607" s="529"/>
      <c r="AW607" s="529"/>
      <c r="AX607" s="529"/>
      <c r="AY607" s="529"/>
      <c r="AZ607" s="529"/>
      <c r="BA607" s="529"/>
      <c r="BB607" s="529"/>
      <c r="BC607" s="529"/>
      <c r="BD607" s="529"/>
      <c r="BE607" s="529"/>
      <c r="BF607" s="529"/>
      <c r="BG607" s="529"/>
      <c r="BH607" s="529"/>
      <c r="BI607" s="529"/>
      <c r="BJ607" s="529"/>
      <c r="BK607" s="529"/>
      <c r="BL607" s="529"/>
      <c r="BM607" s="529"/>
      <c r="BN607" s="529"/>
      <c r="BO607" s="529"/>
      <c r="BP607" s="529"/>
      <c r="BQ607" s="529"/>
      <c r="BR607" s="529"/>
      <c r="BS607" s="529"/>
      <c r="BT607" s="529"/>
      <c r="BU607" s="529"/>
      <c r="BV607" s="529"/>
      <c r="BW607" s="529"/>
      <c r="BX607" s="529"/>
      <c r="BY607" s="529"/>
    </row>
    <row r="608" spans="1:77" x14ac:dyDescent="0.3">
      <c r="A608" s="551"/>
      <c r="B608" s="647"/>
      <c r="C608" s="668"/>
      <c r="D608" s="537"/>
      <c r="E608" s="578" t="s">
        <v>33</v>
      </c>
      <c r="F608" s="579"/>
      <c r="G608" s="579"/>
      <c r="H608" s="537"/>
      <c r="I608" s="534">
        <f t="shared" ref="I608:N608" si="796">I544/I$571</f>
        <v>104388.49395227392</v>
      </c>
      <c r="J608" s="534">
        <f t="shared" si="796"/>
        <v>108715.47291612434</v>
      </c>
      <c r="K608" s="534">
        <f t="shared" si="796"/>
        <v>113035.1368885672</v>
      </c>
      <c r="L608" s="534">
        <f t="shared" si="796"/>
        <v>117320.38832141279</v>
      </c>
      <c r="M608" s="534">
        <f t="shared" si="796"/>
        <v>121438.07075797828</v>
      </c>
      <c r="N608" s="534">
        <f t="shared" si="796"/>
        <v>125600.81222256948</v>
      </c>
      <c r="O608" s="536"/>
      <c r="P608" s="568">
        <f>IFERROR(((N608/I608)^(1/5))-1,0)</f>
        <v>3.7690792408001217E-2</v>
      </c>
      <c r="Q608" s="537"/>
      <c r="R608" s="534">
        <f t="shared" ref="R608:AW608" si="797">R544/R$571</f>
        <v>9059.6227430103627</v>
      </c>
      <c r="S608" s="534">
        <f t="shared" si="797"/>
        <v>9059.6227430103627</v>
      </c>
      <c r="T608" s="534">
        <f t="shared" si="797"/>
        <v>9059.6227430103627</v>
      </c>
      <c r="U608" s="534">
        <f t="shared" si="797"/>
        <v>9059.6227430103627</v>
      </c>
      <c r="V608" s="534">
        <f t="shared" si="797"/>
        <v>9059.6227430103627</v>
      </c>
      <c r="W608" s="534">
        <f t="shared" si="797"/>
        <v>9059.6227430103627</v>
      </c>
      <c r="X608" s="534">
        <f t="shared" si="797"/>
        <v>9059.6227430103627</v>
      </c>
      <c r="Y608" s="534">
        <f t="shared" si="797"/>
        <v>9059.6227430103627</v>
      </c>
      <c r="Z608" s="534">
        <f t="shared" si="797"/>
        <v>9059.6227430103627</v>
      </c>
      <c r="AA608" s="534">
        <f t="shared" si="797"/>
        <v>9059.6227430103627</v>
      </c>
      <c r="AB608" s="534">
        <f t="shared" si="797"/>
        <v>9059.6227430103627</v>
      </c>
      <c r="AC608" s="534">
        <f t="shared" si="797"/>
        <v>9059.6227430103627</v>
      </c>
      <c r="AD608" s="534">
        <f t="shared" si="797"/>
        <v>9419.594740713932</v>
      </c>
      <c r="AE608" s="534">
        <f t="shared" si="797"/>
        <v>9419.594740713932</v>
      </c>
      <c r="AF608" s="534">
        <f t="shared" si="797"/>
        <v>9419.594740713932</v>
      </c>
      <c r="AG608" s="534">
        <f t="shared" si="797"/>
        <v>9419.594740713932</v>
      </c>
      <c r="AH608" s="534">
        <f t="shared" si="797"/>
        <v>9419.594740713932</v>
      </c>
      <c r="AI608" s="534">
        <f t="shared" si="797"/>
        <v>9419.594740713932</v>
      </c>
      <c r="AJ608" s="534">
        <f t="shared" si="797"/>
        <v>9419.594740713932</v>
      </c>
      <c r="AK608" s="534">
        <f t="shared" si="797"/>
        <v>9419.594740713932</v>
      </c>
      <c r="AL608" s="534">
        <f t="shared" si="797"/>
        <v>9419.594740713932</v>
      </c>
      <c r="AM608" s="534">
        <f t="shared" si="797"/>
        <v>9419.594740713932</v>
      </c>
      <c r="AN608" s="534">
        <f t="shared" si="797"/>
        <v>9419.594740713932</v>
      </c>
      <c r="AO608" s="534">
        <f t="shared" si="797"/>
        <v>9419.594740713932</v>
      </c>
      <c r="AP608" s="534">
        <f t="shared" si="797"/>
        <v>9776.6990267843994</v>
      </c>
      <c r="AQ608" s="534">
        <f t="shared" si="797"/>
        <v>9776.6990267843994</v>
      </c>
      <c r="AR608" s="534">
        <f t="shared" si="797"/>
        <v>9776.6990267843994</v>
      </c>
      <c r="AS608" s="534">
        <f t="shared" si="797"/>
        <v>9776.6990267843994</v>
      </c>
      <c r="AT608" s="534">
        <f t="shared" si="797"/>
        <v>9776.6990267843994</v>
      </c>
      <c r="AU608" s="534">
        <f t="shared" si="797"/>
        <v>9776.6990267843994</v>
      </c>
      <c r="AV608" s="534">
        <f t="shared" si="797"/>
        <v>9776.6990267843994</v>
      </c>
      <c r="AW608" s="534">
        <f t="shared" si="797"/>
        <v>9776.6990267843994</v>
      </c>
      <c r="AX608" s="534">
        <f t="shared" ref="AX608:BY608" si="798">AX544/AX$571</f>
        <v>9776.6990267843994</v>
      </c>
      <c r="AY608" s="534">
        <f t="shared" si="798"/>
        <v>9776.6990267843994</v>
      </c>
      <c r="AZ608" s="534">
        <f t="shared" si="798"/>
        <v>9776.6990267843994</v>
      </c>
      <c r="BA608" s="534">
        <f t="shared" si="798"/>
        <v>9776.6990267843994</v>
      </c>
      <c r="BB608" s="534">
        <f t="shared" si="798"/>
        <v>10119.839229831519</v>
      </c>
      <c r="BC608" s="534">
        <f t="shared" si="798"/>
        <v>10119.839229831519</v>
      </c>
      <c r="BD608" s="534">
        <f t="shared" si="798"/>
        <v>10119.839229831519</v>
      </c>
      <c r="BE608" s="534">
        <f t="shared" si="798"/>
        <v>10119.839229831519</v>
      </c>
      <c r="BF608" s="534">
        <f t="shared" si="798"/>
        <v>10119.839229831519</v>
      </c>
      <c r="BG608" s="534">
        <f t="shared" si="798"/>
        <v>10119.839229831519</v>
      </c>
      <c r="BH608" s="534">
        <f t="shared" si="798"/>
        <v>10119.839229831519</v>
      </c>
      <c r="BI608" s="534">
        <f t="shared" si="798"/>
        <v>10119.839229831519</v>
      </c>
      <c r="BJ608" s="534">
        <f t="shared" si="798"/>
        <v>10119.839229831519</v>
      </c>
      <c r="BK608" s="534">
        <f t="shared" si="798"/>
        <v>10119.839229831519</v>
      </c>
      <c r="BL608" s="534">
        <f t="shared" si="798"/>
        <v>10119.839229831519</v>
      </c>
      <c r="BM608" s="534">
        <f t="shared" si="798"/>
        <v>10119.839229831519</v>
      </c>
      <c r="BN608" s="534">
        <f t="shared" si="798"/>
        <v>10466.734351880788</v>
      </c>
      <c r="BO608" s="534">
        <f t="shared" si="798"/>
        <v>10466.734351880788</v>
      </c>
      <c r="BP608" s="534">
        <f t="shared" si="798"/>
        <v>10466.734351880788</v>
      </c>
      <c r="BQ608" s="534">
        <f t="shared" si="798"/>
        <v>10466.734351880788</v>
      </c>
      <c r="BR608" s="534">
        <f t="shared" si="798"/>
        <v>10466.734351880788</v>
      </c>
      <c r="BS608" s="534">
        <f t="shared" si="798"/>
        <v>10466.734351880788</v>
      </c>
      <c r="BT608" s="534">
        <f t="shared" si="798"/>
        <v>10466.734351880788</v>
      </c>
      <c r="BU608" s="534">
        <f t="shared" si="798"/>
        <v>10466.734351880788</v>
      </c>
      <c r="BV608" s="534">
        <f t="shared" si="798"/>
        <v>10466.734351880788</v>
      </c>
      <c r="BW608" s="534">
        <f t="shared" si="798"/>
        <v>10466.734351880788</v>
      </c>
      <c r="BX608" s="534">
        <f t="shared" si="798"/>
        <v>10466.734351880788</v>
      </c>
      <c r="BY608" s="534">
        <f t="shared" si="798"/>
        <v>10466.734351880788</v>
      </c>
    </row>
    <row r="609" spans="1:77" x14ac:dyDescent="0.3">
      <c r="A609" s="551"/>
      <c r="B609" s="647"/>
      <c r="C609" s="668"/>
      <c r="D609" s="537"/>
      <c r="E609" s="525"/>
      <c r="F609" s="529"/>
      <c r="G609" s="529"/>
      <c r="H609" s="537"/>
      <c r="I609" s="529"/>
      <c r="J609" s="529"/>
      <c r="K609" s="529"/>
      <c r="L609" s="529"/>
      <c r="M609" s="529"/>
      <c r="N609" s="529"/>
      <c r="O609" s="529"/>
      <c r="P609" s="660"/>
      <c r="Q609" s="537"/>
      <c r="R609" s="529"/>
      <c r="S609" s="529"/>
      <c r="T609" s="529"/>
      <c r="U609" s="529"/>
      <c r="V609" s="529"/>
      <c r="W609" s="529"/>
      <c r="X609" s="529"/>
      <c r="Y609" s="529"/>
      <c r="Z609" s="529"/>
      <c r="AA609" s="529"/>
      <c r="AB609" s="529"/>
      <c r="AC609" s="529"/>
      <c r="AD609" s="529"/>
      <c r="AE609" s="529"/>
      <c r="AF609" s="529"/>
      <c r="AG609" s="529"/>
      <c r="AH609" s="529"/>
      <c r="AI609" s="529"/>
      <c r="AJ609" s="529"/>
      <c r="AK609" s="529"/>
      <c r="AL609" s="529"/>
      <c r="AM609" s="529"/>
      <c r="AN609" s="529"/>
      <c r="AO609" s="529"/>
      <c r="AP609" s="529"/>
      <c r="AQ609" s="529"/>
      <c r="AR609" s="529"/>
      <c r="AS609" s="529"/>
      <c r="AT609" s="529"/>
      <c r="AU609" s="529"/>
      <c r="AV609" s="529"/>
      <c r="AW609" s="529"/>
      <c r="AX609" s="529"/>
      <c r="AY609" s="529"/>
      <c r="AZ609" s="529"/>
      <c r="BA609" s="529"/>
      <c r="BB609" s="529"/>
      <c r="BC609" s="529"/>
      <c r="BD609" s="529"/>
      <c r="BE609" s="529"/>
      <c r="BF609" s="529"/>
      <c r="BG609" s="529"/>
      <c r="BH609" s="529"/>
      <c r="BI609" s="529"/>
      <c r="BJ609" s="529"/>
      <c r="BK609" s="529"/>
      <c r="BL609" s="529"/>
      <c r="BM609" s="529"/>
      <c r="BN609" s="529"/>
      <c r="BO609" s="529"/>
      <c r="BP609" s="529"/>
      <c r="BQ609" s="529"/>
      <c r="BR609" s="529"/>
      <c r="BS609" s="529"/>
      <c r="BT609" s="529"/>
      <c r="BU609" s="529"/>
      <c r="BV609" s="529"/>
      <c r="BW609" s="529"/>
      <c r="BX609" s="529"/>
      <c r="BY609" s="529"/>
    </row>
    <row r="610" spans="1:77" x14ac:dyDescent="0.3">
      <c r="A610" s="551"/>
      <c r="B610" s="647"/>
      <c r="C610" s="668"/>
      <c r="D610" s="537"/>
      <c r="E610" s="570" t="s">
        <v>34</v>
      </c>
      <c r="F610" s="529"/>
      <c r="G610" s="529"/>
      <c r="H610" s="537"/>
      <c r="I610" s="529"/>
      <c r="J610" s="529"/>
      <c r="K610" s="529"/>
      <c r="L610" s="529"/>
      <c r="M610" s="529"/>
      <c r="N610" s="529"/>
      <c r="O610" s="529"/>
      <c r="P610" s="660"/>
      <c r="Q610" s="537"/>
      <c r="R610" s="529"/>
      <c r="S610" s="529"/>
      <c r="T610" s="529"/>
      <c r="U610" s="529"/>
      <c r="V610" s="529"/>
      <c r="W610" s="529"/>
      <c r="X610" s="529"/>
      <c r="Y610" s="529"/>
      <c r="Z610" s="529"/>
      <c r="AA610" s="529"/>
      <c r="AB610" s="529"/>
      <c r="AC610" s="529"/>
      <c r="AD610" s="529"/>
      <c r="AE610" s="529"/>
      <c r="AF610" s="529"/>
      <c r="AG610" s="529"/>
      <c r="AH610" s="529"/>
      <c r="AI610" s="529"/>
      <c r="AJ610" s="529"/>
      <c r="AK610" s="529"/>
      <c r="AL610" s="529"/>
      <c r="AM610" s="529"/>
      <c r="AN610" s="529"/>
      <c r="AO610" s="529"/>
      <c r="AP610" s="529"/>
      <c r="AQ610" s="529"/>
      <c r="AR610" s="529"/>
      <c r="AS610" s="529"/>
      <c r="AT610" s="529"/>
      <c r="AU610" s="529"/>
      <c r="AV610" s="529"/>
      <c r="AW610" s="529"/>
      <c r="AX610" s="529"/>
      <c r="AY610" s="529"/>
      <c r="AZ610" s="529"/>
      <c r="BA610" s="529"/>
      <c r="BB610" s="529"/>
      <c r="BC610" s="529"/>
      <c r="BD610" s="529"/>
      <c r="BE610" s="529"/>
      <c r="BF610" s="529"/>
      <c r="BG610" s="529"/>
      <c r="BH610" s="529"/>
      <c r="BI610" s="529"/>
      <c r="BJ610" s="529"/>
      <c r="BK610" s="529"/>
      <c r="BL610" s="529"/>
      <c r="BM610" s="529"/>
      <c r="BN610" s="529"/>
      <c r="BO610" s="529"/>
      <c r="BP610" s="529"/>
      <c r="BQ610" s="529"/>
      <c r="BR610" s="529"/>
      <c r="BS610" s="529"/>
      <c r="BT610" s="529"/>
      <c r="BU610" s="529"/>
      <c r="BV610" s="529"/>
      <c r="BW610" s="529"/>
      <c r="BX610" s="529"/>
      <c r="BY610" s="529"/>
    </row>
    <row r="611" spans="1:77" x14ac:dyDescent="0.3">
      <c r="A611" s="551"/>
      <c r="B611" s="647"/>
      <c r="C611" s="668"/>
      <c r="D611" s="537"/>
      <c r="E611" s="525" t="s">
        <v>19</v>
      </c>
      <c r="F611" s="567"/>
      <c r="G611" s="567"/>
      <c r="H611" s="537"/>
      <c r="I611" s="527">
        <f t="shared" ref="I611:N613" si="799">I547/I$571</f>
        <v>-1941.1695317073174</v>
      </c>
      <c r="J611" s="527">
        <f t="shared" si="799"/>
        <v>-1979.9929223414638</v>
      </c>
      <c r="K611" s="527">
        <f t="shared" si="799"/>
        <v>-2019.5927807882931</v>
      </c>
      <c r="L611" s="527">
        <f t="shared" si="799"/>
        <v>-2059.9846364040591</v>
      </c>
      <c r="M611" s="527">
        <f t="shared" si="799"/>
        <v>-2101.1843291321402</v>
      </c>
      <c r="N611" s="527">
        <f t="shared" si="799"/>
        <v>-2143.208015714783</v>
      </c>
      <c r="O611" s="529"/>
      <c r="P611" s="564">
        <f>IFERROR(((N611/I611)^(1/5))-1,0)</f>
        <v>2.0000000000000018E-2</v>
      </c>
      <c r="Q611" s="537"/>
      <c r="R611" s="527">
        <f t="shared" ref="R611:AW611" si="800">R547/R$571</f>
        <v>-164.99941019512198</v>
      </c>
      <c r="S611" s="527">
        <f t="shared" si="800"/>
        <v>-164.99941019512198</v>
      </c>
      <c r="T611" s="527">
        <f t="shared" si="800"/>
        <v>-164.99941019512198</v>
      </c>
      <c r="U611" s="527">
        <f t="shared" si="800"/>
        <v>-164.99941019512198</v>
      </c>
      <c r="V611" s="527">
        <f t="shared" si="800"/>
        <v>-164.99941019512198</v>
      </c>
      <c r="W611" s="527">
        <f t="shared" si="800"/>
        <v>-164.99941019512198</v>
      </c>
      <c r="X611" s="527">
        <f t="shared" si="800"/>
        <v>-164.99941019512198</v>
      </c>
      <c r="Y611" s="527">
        <f t="shared" si="800"/>
        <v>-164.99941019512198</v>
      </c>
      <c r="Z611" s="527">
        <f t="shared" si="800"/>
        <v>-164.99941019512198</v>
      </c>
      <c r="AA611" s="527">
        <f t="shared" si="800"/>
        <v>-164.99941019512198</v>
      </c>
      <c r="AB611" s="527">
        <f t="shared" si="800"/>
        <v>-164.99941019512198</v>
      </c>
      <c r="AC611" s="527">
        <f t="shared" si="800"/>
        <v>-164.99941019512198</v>
      </c>
      <c r="AD611" s="527">
        <f t="shared" si="800"/>
        <v>-168.29939839902443</v>
      </c>
      <c r="AE611" s="527">
        <f t="shared" si="800"/>
        <v>-168.29939839902443</v>
      </c>
      <c r="AF611" s="527">
        <f t="shared" si="800"/>
        <v>-168.29939839902443</v>
      </c>
      <c r="AG611" s="527">
        <f t="shared" si="800"/>
        <v>-168.29939839902443</v>
      </c>
      <c r="AH611" s="527">
        <f t="shared" si="800"/>
        <v>-168.29939839902443</v>
      </c>
      <c r="AI611" s="527">
        <f t="shared" si="800"/>
        <v>-168.29939839902443</v>
      </c>
      <c r="AJ611" s="527">
        <f t="shared" si="800"/>
        <v>-168.29939839902443</v>
      </c>
      <c r="AK611" s="527">
        <f t="shared" si="800"/>
        <v>-168.29939839902443</v>
      </c>
      <c r="AL611" s="527">
        <f t="shared" si="800"/>
        <v>-168.29939839902443</v>
      </c>
      <c r="AM611" s="527">
        <f t="shared" si="800"/>
        <v>-168.29939839902443</v>
      </c>
      <c r="AN611" s="527">
        <f t="shared" si="800"/>
        <v>-168.29939839902443</v>
      </c>
      <c r="AO611" s="527">
        <f t="shared" si="800"/>
        <v>-168.29939839902443</v>
      </c>
      <c r="AP611" s="527">
        <f t="shared" si="800"/>
        <v>-171.66538636700491</v>
      </c>
      <c r="AQ611" s="527">
        <f t="shared" si="800"/>
        <v>-171.66538636700491</v>
      </c>
      <c r="AR611" s="527">
        <f t="shared" si="800"/>
        <v>-171.66538636700491</v>
      </c>
      <c r="AS611" s="527">
        <f t="shared" si="800"/>
        <v>-171.66538636700491</v>
      </c>
      <c r="AT611" s="527">
        <f t="shared" si="800"/>
        <v>-171.66538636700491</v>
      </c>
      <c r="AU611" s="527">
        <f t="shared" si="800"/>
        <v>-171.66538636700491</v>
      </c>
      <c r="AV611" s="527">
        <f t="shared" si="800"/>
        <v>-171.66538636700491</v>
      </c>
      <c r="AW611" s="527">
        <f t="shared" si="800"/>
        <v>-171.66538636700491</v>
      </c>
      <c r="AX611" s="527">
        <f t="shared" ref="AX611:BY611" si="801">AX547/AX$571</f>
        <v>-171.66538636700491</v>
      </c>
      <c r="AY611" s="527">
        <f t="shared" si="801"/>
        <v>-171.66538636700491</v>
      </c>
      <c r="AZ611" s="527">
        <f t="shared" si="801"/>
        <v>-171.66538636700491</v>
      </c>
      <c r="BA611" s="527">
        <f t="shared" si="801"/>
        <v>-171.66538636700491</v>
      </c>
      <c r="BB611" s="527">
        <f t="shared" si="801"/>
        <v>-175.09869409434501</v>
      </c>
      <c r="BC611" s="527">
        <f t="shared" si="801"/>
        <v>-175.09869409434501</v>
      </c>
      <c r="BD611" s="527">
        <f t="shared" si="801"/>
        <v>-175.09869409434501</v>
      </c>
      <c r="BE611" s="527">
        <f t="shared" si="801"/>
        <v>-175.09869409434501</v>
      </c>
      <c r="BF611" s="527">
        <f t="shared" si="801"/>
        <v>-175.09869409434501</v>
      </c>
      <c r="BG611" s="527">
        <f t="shared" si="801"/>
        <v>-175.09869409434501</v>
      </c>
      <c r="BH611" s="527">
        <f t="shared" si="801"/>
        <v>-175.09869409434501</v>
      </c>
      <c r="BI611" s="527">
        <f t="shared" si="801"/>
        <v>-175.09869409434501</v>
      </c>
      <c r="BJ611" s="527">
        <f t="shared" si="801"/>
        <v>-175.09869409434501</v>
      </c>
      <c r="BK611" s="527">
        <f t="shared" si="801"/>
        <v>-175.09869409434501</v>
      </c>
      <c r="BL611" s="527">
        <f t="shared" si="801"/>
        <v>-175.09869409434501</v>
      </c>
      <c r="BM611" s="527">
        <f t="shared" si="801"/>
        <v>-175.09869409434501</v>
      </c>
      <c r="BN611" s="527">
        <f t="shared" si="801"/>
        <v>-178.60066797623193</v>
      </c>
      <c r="BO611" s="527">
        <f t="shared" si="801"/>
        <v>-178.60066797623193</v>
      </c>
      <c r="BP611" s="527">
        <f t="shared" si="801"/>
        <v>-178.60066797623193</v>
      </c>
      <c r="BQ611" s="527">
        <f t="shared" si="801"/>
        <v>-178.60066797623193</v>
      </c>
      <c r="BR611" s="527">
        <f t="shared" si="801"/>
        <v>-178.60066797623193</v>
      </c>
      <c r="BS611" s="527">
        <f t="shared" si="801"/>
        <v>-178.60066797623193</v>
      </c>
      <c r="BT611" s="527">
        <f t="shared" si="801"/>
        <v>-178.60066797623193</v>
      </c>
      <c r="BU611" s="527">
        <f t="shared" si="801"/>
        <v>-178.60066797623193</v>
      </c>
      <c r="BV611" s="527">
        <f t="shared" si="801"/>
        <v>-178.60066797623193</v>
      </c>
      <c r="BW611" s="527">
        <f t="shared" si="801"/>
        <v>-178.60066797623193</v>
      </c>
      <c r="BX611" s="527">
        <f t="shared" si="801"/>
        <v>-178.60066797623193</v>
      </c>
      <c r="BY611" s="527">
        <f t="shared" si="801"/>
        <v>-178.60066797623193</v>
      </c>
    </row>
    <row r="612" spans="1:77" x14ac:dyDescent="0.3">
      <c r="A612" s="551"/>
      <c r="B612" s="647"/>
      <c r="C612" s="668"/>
      <c r="D612" s="537"/>
      <c r="E612" s="525" t="s">
        <v>20</v>
      </c>
      <c r="F612" s="567"/>
      <c r="G612" s="567"/>
      <c r="H612" s="537"/>
      <c r="I612" s="527">
        <f t="shared" si="799"/>
        <v>-341.692580487805</v>
      </c>
      <c r="J612" s="527">
        <f t="shared" si="799"/>
        <v>-348.5264320975611</v>
      </c>
      <c r="K612" s="527">
        <f t="shared" si="799"/>
        <v>-355.49696073951236</v>
      </c>
      <c r="L612" s="527">
        <f t="shared" si="799"/>
        <v>-362.60689995430266</v>
      </c>
      <c r="M612" s="527">
        <f t="shared" si="799"/>
        <v>-369.85903795338868</v>
      </c>
      <c r="N612" s="527">
        <f t="shared" si="799"/>
        <v>-377.25621871245647</v>
      </c>
      <c r="O612" s="529"/>
      <c r="P612" s="564">
        <f>IFERROR(((N612/I612)^(1/5))-1,0)</f>
        <v>2.0000000000000018E-2</v>
      </c>
      <c r="Q612" s="537"/>
      <c r="R612" s="527">
        <f t="shared" ref="R612:AW612" si="802">R548/R$571</f>
        <v>-29.043869341463427</v>
      </c>
      <c r="S612" s="527">
        <f t="shared" si="802"/>
        <v>-29.043869341463427</v>
      </c>
      <c r="T612" s="527">
        <f t="shared" si="802"/>
        <v>-29.043869341463427</v>
      </c>
      <c r="U612" s="527">
        <f t="shared" si="802"/>
        <v>-29.043869341463427</v>
      </c>
      <c r="V612" s="527">
        <f t="shared" si="802"/>
        <v>-29.043869341463427</v>
      </c>
      <c r="W612" s="527">
        <f t="shared" si="802"/>
        <v>-29.043869341463427</v>
      </c>
      <c r="X612" s="527">
        <f t="shared" si="802"/>
        <v>-29.043869341463427</v>
      </c>
      <c r="Y612" s="527">
        <f t="shared" si="802"/>
        <v>-29.043869341463427</v>
      </c>
      <c r="Z612" s="527">
        <f t="shared" si="802"/>
        <v>-29.043869341463427</v>
      </c>
      <c r="AA612" s="527">
        <f t="shared" si="802"/>
        <v>-29.043869341463427</v>
      </c>
      <c r="AB612" s="527">
        <f t="shared" si="802"/>
        <v>-29.043869341463427</v>
      </c>
      <c r="AC612" s="527">
        <f t="shared" si="802"/>
        <v>-29.043869341463427</v>
      </c>
      <c r="AD612" s="527">
        <f t="shared" si="802"/>
        <v>-29.624746728292696</v>
      </c>
      <c r="AE612" s="527">
        <f t="shared" si="802"/>
        <v>-29.624746728292696</v>
      </c>
      <c r="AF612" s="527">
        <f t="shared" si="802"/>
        <v>-29.624746728292696</v>
      </c>
      <c r="AG612" s="527">
        <f t="shared" si="802"/>
        <v>-29.624746728292696</v>
      </c>
      <c r="AH612" s="527">
        <f t="shared" si="802"/>
        <v>-29.624746728292696</v>
      </c>
      <c r="AI612" s="527">
        <f t="shared" si="802"/>
        <v>-29.624746728292696</v>
      </c>
      <c r="AJ612" s="527">
        <f t="shared" si="802"/>
        <v>-29.624746728292696</v>
      </c>
      <c r="AK612" s="527">
        <f t="shared" si="802"/>
        <v>-29.624746728292696</v>
      </c>
      <c r="AL612" s="527">
        <f t="shared" si="802"/>
        <v>-29.624746728292696</v>
      </c>
      <c r="AM612" s="527">
        <f t="shared" si="802"/>
        <v>-29.624746728292696</v>
      </c>
      <c r="AN612" s="527">
        <f t="shared" si="802"/>
        <v>-29.624746728292696</v>
      </c>
      <c r="AO612" s="527">
        <f t="shared" si="802"/>
        <v>-29.624746728292696</v>
      </c>
      <c r="AP612" s="527">
        <f t="shared" si="802"/>
        <v>-30.217241662858555</v>
      </c>
      <c r="AQ612" s="527">
        <f t="shared" si="802"/>
        <v>-30.217241662858555</v>
      </c>
      <c r="AR612" s="527">
        <f t="shared" si="802"/>
        <v>-30.217241662858555</v>
      </c>
      <c r="AS612" s="527">
        <f t="shared" si="802"/>
        <v>-30.217241662858555</v>
      </c>
      <c r="AT612" s="527">
        <f t="shared" si="802"/>
        <v>-30.217241662858555</v>
      </c>
      <c r="AU612" s="527">
        <f t="shared" si="802"/>
        <v>-30.217241662858555</v>
      </c>
      <c r="AV612" s="527">
        <f t="shared" si="802"/>
        <v>-30.217241662858555</v>
      </c>
      <c r="AW612" s="527">
        <f t="shared" si="802"/>
        <v>-30.217241662858555</v>
      </c>
      <c r="AX612" s="527">
        <f t="shared" ref="AX612:BY612" si="803">AX548/AX$571</f>
        <v>-30.217241662858555</v>
      </c>
      <c r="AY612" s="527">
        <f t="shared" si="803"/>
        <v>-30.217241662858555</v>
      </c>
      <c r="AZ612" s="527">
        <f t="shared" si="803"/>
        <v>-30.217241662858555</v>
      </c>
      <c r="BA612" s="527">
        <f t="shared" si="803"/>
        <v>-30.217241662858555</v>
      </c>
      <c r="BB612" s="527">
        <f t="shared" si="803"/>
        <v>-30.821586496115724</v>
      </c>
      <c r="BC612" s="527">
        <f t="shared" si="803"/>
        <v>-30.821586496115724</v>
      </c>
      <c r="BD612" s="527">
        <f t="shared" si="803"/>
        <v>-30.821586496115724</v>
      </c>
      <c r="BE612" s="527">
        <f t="shared" si="803"/>
        <v>-30.821586496115724</v>
      </c>
      <c r="BF612" s="527">
        <f t="shared" si="803"/>
        <v>-30.821586496115724</v>
      </c>
      <c r="BG612" s="527">
        <f t="shared" si="803"/>
        <v>-30.821586496115724</v>
      </c>
      <c r="BH612" s="527">
        <f t="shared" si="803"/>
        <v>-30.821586496115724</v>
      </c>
      <c r="BI612" s="527">
        <f t="shared" si="803"/>
        <v>-30.821586496115724</v>
      </c>
      <c r="BJ612" s="527">
        <f t="shared" si="803"/>
        <v>-30.821586496115724</v>
      </c>
      <c r="BK612" s="527">
        <f t="shared" si="803"/>
        <v>-30.821586496115724</v>
      </c>
      <c r="BL612" s="527">
        <f t="shared" si="803"/>
        <v>-30.821586496115724</v>
      </c>
      <c r="BM612" s="527">
        <f t="shared" si="803"/>
        <v>-30.821586496115724</v>
      </c>
      <c r="BN612" s="527">
        <f t="shared" si="803"/>
        <v>-31.438018226038036</v>
      </c>
      <c r="BO612" s="527">
        <f t="shared" si="803"/>
        <v>-31.438018226038036</v>
      </c>
      <c r="BP612" s="527">
        <f t="shared" si="803"/>
        <v>-31.438018226038036</v>
      </c>
      <c r="BQ612" s="527">
        <f t="shared" si="803"/>
        <v>-31.438018226038036</v>
      </c>
      <c r="BR612" s="527">
        <f t="shared" si="803"/>
        <v>-31.438018226038036</v>
      </c>
      <c r="BS612" s="527">
        <f t="shared" si="803"/>
        <v>-31.438018226038036</v>
      </c>
      <c r="BT612" s="527">
        <f t="shared" si="803"/>
        <v>-31.438018226038036</v>
      </c>
      <c r="BU612" s="527">
        <f t="shared" si="803"/>
        <v>-31.438018226038036</v>
      </c>
      <c r="BV612" s="527">
        <f t="shared" si="803"/>
        <v>-31.438018226038036</v>
      </c>
      <c r="BW612" s="527">
        <f t="shared" si="803"/>
        <v>-31.438018226038036</v>
      </c>
      <c r="BX612" s="527">
        <f t="shared" si="803"/>
        <v>-31.438018226038036</v>
      </c>
      <c r="BY612" s="527">
        <f t="shared" si="803"/>
        <v>-31.438018226038036</v>
      </c>
    </row>
    <row r="613" spans="1:77" x14ac:dyDescent="0.3">
      <c r="A613" s="551"/>
      <c r="B613" s="647"/>
      <c r="C613" s="668"/>
      <c r="D613" s="537"/>
      <c r="E613" s="572" t="s">
        <v>35</v>
      </c>
      <c r="F613" s="573"/>
      <c r="G613" s="573"/>
      <c r="H613" s="537"/>
      <c r="I613" s="532">
        <f t="shared" si="799"/>
        <v>-2282.8621121951223</v>
      </c>
      <c r="J613" s="532">
        <f t="shared" si="799"/>
        <v>-2328.5193544390249</v>
      </c>
      <c r="K613" s="532">
        <f t="shared" si="799"/>
        <v>-2375.089741527805</v>
      </c>
      <c r="L613" s="532">
        <f t="shared" si="799"/>
        <v>-2422.5915363583613</v>
      </c>
      <c r="M613" s="532">
        <f t="shared" si="799"/>
        <v>-2471.0433670855286</v>
      </c>
      <c r="N613" s="532">
        <f t="shared" si="799"/>
        <v>-2520.4642344272393</v>
      </c>
      <c r="O613" s="536"/>
      <c r="P613" s="568">
        <f>IFERROR(((N613/I613)^(1/5))-1,0)</f>
        <v>2.0000000000000018E-2</v>
      </c>
      <c r="Q613" s="537"/>
      <c r="R613" s="532">
        <f t="shared" ref="R613:AW613" si="804">R549/R$571</f>
        <v>-194.04327953658543</v>
      </c>
      <c r="S613" s="532">
        <f t="shared" si="804"/>
        <v>-194.04327953658543</v>
      </c>
      <c r="T613" s="532">
        <f t="shared" si="804"/>
        <v>-194.04327953658543</v>
      </c>
      <c r="U613" s="532">
        <f t="shared" si="804"/>
        <v>-194.04327953658543</v>
      </c>
      <c r="V613" s="532">
        <f t="shared" si="804"/>
        <v>-194.04327953658543</v>
      </c>
      <c r="W613" s="532">
        <f t="shared" si="804"/>
        <v>-194.04327953658543</v>
      </c>
      <c r="X613" s="532">
        <f t="shared" si="804"/>
        <v>-194.04327953658543</v>
      </c>
      <c r="Y613" s="532">
        <f t="shared" si="804"/>
        <v>-194.04327953658543</v>
      </c>
      <c r="Z613" s="532">
        <f t="shared" si="804"/>
        <v>-194.04327953658543</v>
      </c>
      <c r="AA613" s="532">
        <f t="shared" si="804"/>
        <v>-194.04327953658543</v>
      </c>
      <c r="AB613" s="532">
        <f t="shared" si="804"/>
        <v>-194.04327953658543</v>
      </c>
      <c r="AC613" s="532">
        <f t="shared" si="804"/>
        <v>-194.04327953658543</v>
      </c>
      <c r="AD613" s="532">
        <f t="shared" si="804"/>
        <v>-197.92414512731713</v>
      </c>
      <c r="AE613" s="532">
        <f t="shared" si="804"/>
        <v>-197.92414512731713</v>
      </c>
      <c r="AF613" s="532">
        <f t="shared" si="804"/>
        <v>-197.92414512731713</v>
      </c>
      <c r="AG613" s="532">
        <f t="shared" si="804"/>
        <v>-197.92414512731713</v>
      </c>
      <c r="AH613" s="532">
        <f t="shared" si="804"/>
        <v>-197.92414512731713</v>
      </c>
      <c r="AI613" s="532">
        <f t="shared" si="804"/>
        <v>-197.92414512731713</v>
      </c>
      <c r="AJ613" s="532">
        <f t="shared" si="804"/>
        <v>-197.92414512731713</v>
      </c>
      <c r="AK613" s="532">
        <f t="shared" si="804"/>
        <v>-197.92414512731713</v>
      </c>
      <c r="AL613" s="532">
        <f t="shared" si="804"/>
        <v>-197.92414512731713</v>
      </c>
      <c r="AM613" s="532">
        <f t="shared" si="804"/>
        <v>-197.92414512731713</v>
      </c>
      <c r="AN613" s="532">
        <f t="shared" si="804"/>
        <v>-197.92414512731713</v>
      </c>
      <c r="AO613" s="532">
        <f t="shared" si="804"/>
        <v>-197.92414512731713</v>
      </c>
      <c r="AP613" s="532">
        <f t="shared" si="804"/>
        <v>-201.88262802986347</v>
      </c>
      <c r="AQ613" s="532">
        <f t="shared" si="804"/>
        <v>-201.88262802986347</v>
      </c>
      <c r="AR613" s="532">
        <f t="shared" si="804"/>
        <v>-201.88262802986347</v>
      </c>
      <c r="AS613" s="532">
        <f t="shared" si="804"/>
        <v>-201.88262802986347</v>
      </c>
      <c r="AT613" s="532">
        <f t="shared" si="804"/>
        <v>-201.88262802986347</v>
      </c>
      <c r="AU613" s="532">
        <f t="shared" si="804"/>
        <v>-201.88262802986347</v>
      </c>
      <c r="AV613" s="532">
        <f t="shared" si="804"/>
        <v>-201.88262802986347</v>
      </c>
      <c r="AW613" s="532">
        <f t="shared" si="804"/>
        <v>-201.88262802986347</v>
      </c>
      <c r="AX613" s="532">
        <f t="shared" ref="AX613:BY613" si="805">AX549/AX$571</f>
        <v>-201.88262802986347</v>
      </c>
      <c r="AY613" s="532">
        <f t="shared" si="805"/>
        <v>-201.88262802986347</v>
      </c>
      <c r="AZ613" s="532">
        <f t="shared" si="805"/>
        <v>-201.88262802986347</v>
      </c>
      <c r="BA613" s="532">
        <f t="shared" si="805"/>
        <v>-201.88262802986347</v>
      </c>
      <c r="BB613" s="532">
        <f t="shared" si="805"/>
        <v>-205.92028059046075</v>
      </c>
      <c r="BC613" s="532">
        <f t="shared" si="805"/>
        <v>-205.92028059046075</v>
      </c>
      <c r="BD613" s="532">
        <f t="shared" si="805"/>
        <v>-205.92028059046075</v>
      </c>
      <c r="BE613" s="532">
        <f t="shared" si="805"/>
        <v>-205.92028059046075</v>
      </c>
      <c r="BF613" s="532">
        <f t="shared" si="805"/>
        <v>-205.92028059046075</v>
      </c>
      <c r="BG613" s="532">
        <f t="shared" si="805"/>
        <v>-205.92028059046075</v>
      </c>
      <c r="BH613" s="532">
        <f t="shared" si="805"/>
        <v>-205.92028059046075</v>
      </c>
      <c r="BI613" s="532">
        <f t="shared" si="805"/>
        <v>-205.92028059046075</v>
      </c>
      <c r="BJ613" s="532">
        <f t="shared" si="805"/>
        <v>-205.92028059046075</v>
      </c>
      <c r="BK613" s="532">
        <f t="shared" si="805"/>
        <v>-205.92028059046075</v>
      </c>
      <c r="BL613" s="532">
        <f t="shared" si="805"/>
        <v>-205.92028059046075</v>
      </c>
      <c r="BM613" s="532">
        <f t="shared" si="805"/>
        <v>-205.92028059046075</v>
      </c>
      <c r="BN613" s="532">
        <f t="shared" si="805"/>
        <v>-210.03868620226996</v>
      </c>
      <c r="BO613" s="532">
        <f t="shared" si="805"/>
        <v>-210.03868620226996</v>
      </c>
      <c r="BP613" s="532">
        <f t="shared" si="805"/>
        <v>-210.03868620226996</v>
      </c>
      <c r="BQ613" s="532">
        <f t="shared" si="805"/>
        <v>-210.03868620226996</v>
      </c>
      <c r="BR613" s="532">
        <f t="shared" si="805"/>
        <v>-210.03868620226996</v>
      </c>
      <c r="BS613" s="532">
        <f t="shared" si="805"/>
        <v>-210.03868620226996</v>
      </c>
      <c r="BT613" s="532">
        <f t="shared" si="805"/>
        <v>-210.03868620226996</v>
      </c>
      <c r="BU613" s="532">
        <f t="shared" si="805"/>
        <v>-210.03868620226996</v>
      </c>
      <c r="BV613" s="532">
        <f t="shared" si="805"/>
        <v>-210.03868620226996</v>
      </c>
      <c r="BW613" s="532">
        <f t="shared" si="805"/>
        <v>-210.03868620226996</v>
      </c>
      <c r="BX613" s="532">
        <f t="shared" si="805"/>
        <v>-210.03868620226996</v>
      </c>
      <c r="BY613" s="532">
        <f t="shared" si="805"/>
        <v>-210.03868620226996</v>
      </c>
    </row>
    <row r="614" spans="1:77" x14ac:dyDescent="0.3">
      <c r="A614" s="551"/>
      <c r="B614" s="647"/>
      <c r="C614" s="668"/>
      <c r="D614" s="537"/>
      <c r="E614" s="525"/>
      <c r="F614" s="529"/>
      <c r="G614" s="529"/>
      <c r="H614" s="537"/>
      <c r="I614" s="529"/>
      <c r="J614" s="529"/>
      <c r="K614" s="529"/>
      <c r="L614" s="529"/>
      <c r="M614" s="529"/>
      <c r="N614" s="529"/>
      <c r="O614" s="529"/>
      <c r="P614" s="660"/>
      <c r="Q614" s="537"/>
      <c r="R614" s="529"/>
      <c r="S614" s="529"/>
      <c r="T614" s="529"/>
      <c r="U614" s="529"/>
      <c r="V614" s="529"/>
      <c r="W614" s="529"/>
      <c r="X614" s="529"/>
      <c r="Y614" s="529"/>
      <c r="Z614" s="529"/>
      <c r="AA614" s="529"/>
      <c r="AB614" s="529"/>
      <c r="AC614" s="529"/>
      <c r="AD614" s="529"/>
      <c r="AE614" s="529"/>
      <c r="AF614" s="529"/>
      <c r="AG614" s="529"/>
      <c r="AH614" s="529"/>
      <c r="AI614" s="529"/>
      <c r="AJ614" s="529"/>
      <c r="AK614" s="529"/>
      <c r="AL614" s="529"/>
      <c r="AM614" s="529"/>
      <c r="AN614" s="529"/>
      <c r="AO614" s="529"/>
      <c r="AP614" s="529"/>
      <c r="AQ614" s="529"/>
      <c r="AR614" s="529"/>
      <c r="AS614" s="529"/>
      <c r="AT614" s="529"/>
      <c r="AU614" s="529"/>
      <c r="AV614" s="529"/>
      <c r="AW614" s="529"/>
      <c r="AX614" s="529"/>
      <c r="AY614" s="529"/>
      <c r="AZ614" s="529"/>
      <c r="BA614" s="529"/>
      <c r="BB614" s="529"/>
      <c r="BC614" s="529"/>
      <c r="BD614" s="529"/>
      <c r="BE614" s="529"/>
      <c r="BF614" s="529"/>
      <c r="BG614" s="529"/>
      <c r="BH614" s="529"/>
      <c r="BI614" s="529"/>
      <c r="BJ614" s="529"/>
      <c r="BK614" s="529"/>
      <c r="BL614" s="529"/>
      <c r="BM614" s="529"/>
      <c r="BN614" s="529"/>
      <c r="BO614" s="529"/>
      <c r="BP614" s="529"/>
      <c r="BQ614" s="529"/>
      <c r="BR614" s="529"/>
      <c r="BS614" s="529"/>
      <c r="BT614" s="529"/>
      <c r="BU614" s="529"/>
      <c r="BV614" s="529"/>
      <c r="BW614" s="529"/>
      <c r="BX614" s="529"/>
      <c r="BY614" s="529"/>
    </row>
    <row r="615" spans="1:77" x14ac:dyDescent="0.3">
      <c r="A615" s="551"/>
      <c r="B615" s="647"/>
      <c r="C615" s="668"/>
      <c r="D615" s="537"/>
      <c r="E615" s="62" t="s">
        <v>21</v>
      </c>
      <c r="F615" s="579"/>
      <c r="G615" s="579"/>
      <c r="H615" s="537"/>
      <c r="I615" s="535">
        <f t="shared" ref="I615:N615" si="806">I551/I$571</f>
        <v>102105.6318400788</v>
      </c>
      <c r="J615" s="535">
        <f t="shared" si="806"/>
        <v>106386.95356168531</v>
      </c>
      <c r="K615" s="535">
        <f t="shared" si="806"/>
        <v>110660.04714703938</v>
      </c>
      <c r="L615" s="535">
        <f t="shared" si="806"/>
        <v>114897.79678505442</v>
      </c>
      <c r="M615" s="535">
        <f t="shared" si="806"/>
        <v>118967.02739089275</v>
      </c>
      <c r="N615" s="535">
        <f t="shared" si="806"/>
        <v>123080.34798814224</v>
      </c>
      <c r="O615" s="536"/>
      <c r="P615" s="568">
        <f>IFERROR(((N615/I615)^(1/5))-1,0)</f>
        <v>3.8072780961309727E-2</v>
      </c>
      <c r="Q615" s="537"/>
      <c r="R615" s="535">
        <f t="shared" ref="R615:AW615" si="807">R551/R$571</f>
        <v>8865.5794634737758</v>
      </c>
      <c r="S615" s="535">
        <f t="shared" si="807"/>
        <v>8865.5794634737758</v>
      </c>
      <c r="T615" s="535">
        <f t="shared" si="807"/>
        <v>8865.5794634737758</v>
      </c>
      <c r="U615" s="535">
        <f t="shared" si="807"/>
        <v>8865.5794634737758</v>
      </c>
      <c r="V615" s="535">
        <f t="shared" si="807"/>
        <v>8865.5794634737758</v>
      </c>
      <c r="W615" s="535">
        <f t="shared" si="807"/>
        <v>8865.5794634737758</v>
      </c>
      <c r="X615" s="535">
        <f t="shared" si="807"/>
        <v>8865.5794634737758</v>
      </c>
      <c r="Y615" s="535">
        <f t="shared" si="807"/>
        <v>8865.5794634737758</v>
      </c>
      <c r="Z615" s="535">
        <f t="shared" si="807"/>
        <v>8865.5794634737758</v>
      </c>
      <c r="AA615" s="535">
        <f t="shared" si="807"/>
        <v>8865.5794634737758</v>
      </c>
      <c r="AB615" s="535">
        <f t="shared" si="807"/>
        <v>8865.5794634737758</v>
      </c>
      <c r="AC615" s="535">
        <f t="shared" si="807"/>
        <v>8865.5794634737758</v>
      </c>
      <c r="AD615" s="535">
        <f t="shared" si="807"/>
        <v>9221.6705955866146</v>
      </c>
      <c r="AE615" s="535">
        <f t="shared" si="807"/>
        <v>9221.6705955866146</v>
      </c>
      <c r="AF615" s="535">
        <f t="shared" si="807"/>
        <v>9221.6705955866146</v>
      </c>
      <c r="AG615" s="535">
        <f t="shared" si="807"/>
        <v>9221.6705955866146</v>
      </c>
      <c r="AH615" s="535">
        <f t="shared" si="807"/>
        <v>9221.6705955866146</v>
      </c>
      <c r="AI615" s="535">
        <f t="shared" si="807"/>
        <v>9221.6705955866146</v>
      </c>
      <c r="AJ615" s="535">
        <f t="shared" si="807"/>
        <v>9221.6705955866146</v>
      </c>
      <c r="AK615" s="535">
        <f t="shared" si="807"/>
        <v>9221.6705955866146</v>
      </c>
      <c r="AL615" s="535">
        <f t="shared" si="807"/>
        <v>9221.6705955866146</v>
      </c>
      <c r="AM615" s="535">
        <f t="shared" si="807"/>
        <v>9221.6705955866146</v>
      </c>
      <c r="AN615" s="535">
        <f t="shared" si="807"/>
        <v>9221.6705955866146</v>
      </c>
      <c r="AO615" s="535">
        <f t="shared" si="807"/>
        <v>9221.6705955866146</v>
      </c>
      <c r="AP615" s="535">
        <f t="shared" si="807"/>
        <v>9574.8163987545358</v>
      </c>
      <c r="AQ615" s="535">
        <f t="shared" si="807"/>
        <v>9574.8163987545358</v>
      </c>
      <c r="AR615" s="535">
        <f t="shared" si="807"/>
        <v>9574.8163987545358</v>
      </c>
      <c r="AS615" s="535">
        <f t="shared" si="807"/>
        <v>9574.8163987545358</v>
      </c>
      <c r="AT615" s="535">
        <f t="shared" si="807"/>
        <v>9574.8163987545358</v>
      </c>
      <c r="AU615" s="535">
        <f t="shared" si="807"/>
        <v>9574.8163987545358</v>
      </c>
      <c r="AV615" s="535">
        <f t="shared" si="807"/>
        <v>9574.8163987545358</v>
      </c>
      <c r="AW615" s="535">
        <f t="shared" si="807"/>
        <v>9574.8163987545358</v>
      </c>
      <c r="AX615" s="535">
        <f t="shared" ref="AX615:BY615" si="808">AX551/AX$571</f>
        <v>9574.8163987545358</v>
      </c>
      <c r="AY615" s="535">
        <f t="shared" si="808"/>
        <v>9574.8163987545358</v>
      </c>
      <c r="AZ615" s="535">
        <f t="shared" si="808"/>
        <v>9574.8163987545358</v>
      </c>
      <c r="BA615" s="535">
        <f t="shared" si="808"/>
        <v>9574.8163987545358</v>
      </c>
      <c r="BB615" s="535">
        <f t="shared" si="808"/>
        <v>9913.9189492410587</v>
      </c>
      <c r="BC615" s="535">
        <f t="shared" si="808"/>
        <v>9913.9189492410587</v>
      </c>
      <c r="BD615" s="535">
        <f t="shared" si="808"/>
        <v>9913.9189492410587</v>
      </c>
      <c r="BE615" s="535">
        <f t="shared" si="808"/>
        <v>9913.9189492410587</v>
      </c>
      <c r="BF615" s="535">
        <f t="shared" si="808"/>
        <v>9913.9189492410587</v>
      </c>
      <c r="BG615" s="535">
        <f t="shared" si="808"/>
        <v>9913.9189492410587</v>
      </c>
      <c r="BH615" s="535">
        <f t="shared" si="808"/>
        <v>9913.9189492410587</v>
      </c>
      <c r="BI615" s="535">
        <f t="shared" si="808"/>
        <v>9913.9189492410587</v>
      </c>
      <c r="BJ615" s="535">
        <f t="shared" si="808"/>
        <v>9913.9189492410587</v>
      </c>
      <c r="BK615" s="535">
        <f t="shared" si="808"/>
        <v>9913.9189492410587</v>
      </c>
      <c r="BL615" s="535">
        <f t="shared" si="808"/>
        <v>9913.9189492410587</v>
      </c>
      <c r="BM615" s="535">
        <f t="shared" si="808"/>
        <v>9913.9189492410587</v>
      </c>
      <c r="BN615" s="535">
        <f t="shared" si="808"/>
        <v>10256.695665678519</v>
      </c>
      <c r="BO615" s="535">
        <f t="shared" si="808"/>
        <v>10256.695665678519</v>
      </c>
      <c r="BP615" s="535">
        <f t="shared" si="808"/>
        <v>10256.695665678519</v>
      </c>
      <c r="BQ615" s="535">
        <f t="shared" si="808"/>
        <v>10256.695665678519</v>
      </c>
      <c r="BR615" s="535">
        <f t="shared" si="808"/>
        <v>10256.695665678519</v>
      </c>
      <c r="BS615" s="535">
        <f t="shared" si="808"/>
        <v>10256.695665678519</v>
      </c>
      <c r="BT615" s="535">
        <f t="shared" si="808"/>
        <v>10256.695665678519</v>
      </c>
      <c r="BU615" s="535">
        <f t="shared" si="808"/>
        <v>10256.695665678519</v>
      </c>
      <c r="BV615" s="535">
        <f t="shared" si="808"/>
        <v>10256.695665678519</v>
      </c>
      <c r="BW615" s="535">
        <f t="shared" si="808"/>
        <v>10256.695665678519</v>
      </c>
      <c r="BX615" s="535">
        <f t="shared" si="808"/>
        <v>10256.695665678519</v>
      </c>
      <c r="BY615" s="535">
        <f t="shared" si="808"/>
        <v>10256.695665678519</v>
      </c>
    </row>
    <row r="616" spans="1:77" x14ac:dyDescent="0.3">
      <c r="A616" s="551"/>
      <c r="B616" s="647"/>
      <c r="C616" s="668"/>
      <c r="D616" s="537"/>
      <c r="E616" s="2" t="s">
        <v>405</v>
      </c>
      <c r="F616" s="537"/>
      <c r="G616" s="537"/>
      <c r="H616" s="529"/>
      <c r="I616" s="531">
        <f t="shared" ref="I616:N616" si="809">I615/SUM(I576,I585,I599,I606)</f>
        <v>0.53814996797751391</v>
      </c>
      <c r="J616" s="531">
        <f t="shared" si="809"/>
        <v>0.54304504959959721</v>
      </c>
      <c r="K616" s="531">
        <f t="shared" si="809"/>
        <v>0.54755623040414148</v>
      </c>
      <c r="L616" s="531">
        <f t="shared" si="809"/>
        <v>0.55168464137805651</v>
      </c>
      <c r="M616" s="531">
        <f t="shared" si="809"/>
        <v>0.55520947285064504</v>
      </c>
      <c r="N616" s="531">
        <f t="shared" si="809"/>
        <v>0.55848541977268895</v>
      </c>
      <c r="O616" s="546"/>
      <c r="P616" s="564">
        <f>IFERROR(((N616/I616)^(1/5))-1,0)</f>
        <v>7.4458313493004358E-3</v>
      </c>
      <c r="Q616" s="537"/>
      <c r="R616" s="531">
        <f t="shared" ref="R616:AW616" si="810">R615/SUM(R576,R585,R599,R606)</f>
        <v>0.54304504959959732</v>
      </c>
      <c r="S616" s="531">
        <f t="shared" si="810"/>
        <v>0.54304504959959732</v>
      </c>
      <c r="T616" s="531">
        <f t="shared" si="810"/>
        <v>0.54304504959959732</v>
      </c>
      <c r="U616" s="531">
        <f t="shared" si="810"/>
        <v>0.54304504959959732</v>
      </c>
      <c r="V616" s="531">
        <f t="shared" si="810"/>
        <v>0.54304504959959732</v>
      </c>
      <c r="W616" s="531">
        <f t="shared" si="810"/>
        <v>0.54304504959959732</v>
      </c>
      <c r="X616" s="531">
        <f t="shared" si="810"/>
        <v>0.54304504959959732</v>
      </c>
      <c r="Y616" s="531">
        <f t="shared" si="810"/>
        <v>0.54304504959959732</v>
      </c>
      <c r="Z616" s="531">
        <f t="shared" si="810"/>
        <v>0.54304504959959732</v>
      </c>
      <c r="AA616" s="531">
        <f t="shared" si="810"/>
        <v>0.54304504959959732</v>
      </c>
      <c r="AB616" s="531">
        <f t="shared" si="810"/>
        <v>0.54304504959959732</v>
      </c>
      <c r="AC616" s="531">
        <f t="shared" si="810"/>
        <v>0.54304504959959732</v>
      </c>
      <c r="AD616" s="531">
        <f t="shared" si="810"/>
        <v>0.54755623040414148</v>
      </c>
      <c r="AE616" s="531">
        <f t="shared" si="810"/>
        <v>0.54755623040414148</v>
      </c>
      <c r="AF616" s="531">
        <f t="shared" si="810"/>
        <v>0.54755623040414148</v>
      </c>
      <c r="AG616" s="531">
        <f t="shared" si="810"/>
        <v>0.54755623040414148</v>
      </c>
      <c r="AH616" s="531">
        <f t="shared" si="810"/>
        <v>0.54755623040414148</v>
      </c>
      <c r="AI616" s="531">
        <f t="shared" si="810"/>
        <v>0.54755623040414148</v>
      </c>
      <c r="AJ616" s="531">
        <f t="shared" si="810"/>
        <v>0.54755623040414148</v>
      </c>
      <c r="AK616" s="531">
        <f t="shared" si="810"/>
        <v>0.54755623040414148</v>
      </c>
      <c r="AL616" s="531">
        <f t="shared" si="810"/>
        <v>0.54755623040414148</v>
      </c>
      <c r="AM616" s="531">
        <f t="shared" si="810"/>
        <v>0.54755623040414148</v>
      </c>
      <c r="AN616" s="531">
        <f t="shared" si="810"/>
        <v>0.54755623040414148</v>
      </c>
      <c r="AO616" s="531">
        <f t="shared" si="810"/>
        <v>0.54755623040414148</v>
      </c>
      <c r="AP616" s="531">
        <f t="shared" si="810"/>
        <v>0.55168464137805662</v>
      </c>
      <c r="AQ616" s="531">
        <f t="shared" si="810"/>
        <v>0.55168464137805662</v>
      </c>
      <c r="AR616" s="531">
        <f t="shared" si="810"/>
        <v>0.55168464137805662</v>
      </c>
      <c r="AS616" s="531">
        <f t="shared" si="810"/>
        <v>0.55168464137805662</v>
      </c>
      <c r="AT616" s="531">
        <f t="shared" si="810"/>
        <v>0.55168464137805662</v>
      </c>
      <c r="AU616" s="531">
        <f t="shared" si="810"/>
        <v>0.55168464137805662</v>
      </c>
      <c r="AV616" s="531">
        <f t="shared" si="810"/>
        <v>0.55168464137805662</v>
      </c>
      <c r="AW616" s="531">
        <f t="shared" si="810"/>
        <v>0.55168464137805662</v>
      </c>
      <c r="AX616" s="531">
        <f t="shared" ref="AX616:BY616" si="811">AX615/SUM(AX576,AX585,AX599,AX606)</f>
        <v>0.55168464137805662</v>
      </c>
      <c r="AY616" s="531">
        <f t="shared" si="811"/>
        <v>0.55168464137805662</v>
      </c>
      <c r="AZ616" s="531">
        <f t="shared" si="811"/>
        <v>0.55168464137805662</v>
      </c>
      <c r="BA616" s="531">
        <f t="shared" si="811"/>
        <v>0.55168464137805662</v>
      </c>
      <c r="BB616" s="531">
        <f t="shared" si="811"/>
        <v>0.55520947285064493</v>
      </c>
      <c r="BC616" s="531">
        <f t="shared" si="811"/>
        <v>0.55520947285064493</v>
      </c>
      <c r="BD616" s="531">
        <f t="shared" si="811"/>
        <v>0.55520947285064493</v>
      </c>
      <c r="BE616" s="531">
        <f t="shared" si="811"/>
        <v>0.55520947285064493</v>
      </c>
      <c r="BF616" s="531">
        <f t="shared" si="811"/>
        <v>0.55520947285064493</v>
      </c>
      <c r="BG616" s="531">
        <f t="shared" si="811"/>
        <v>0.55520947285064493</v>
      </c>
      <c r="BH616" s="531">
        <f t="shared" si="811"/>
        <v>0.55520947285064493</v>
      </c>
      <c r="BI616" s="531">
        <f t="shared" si="811"/>
        <v>0.55520947285064493</v>
      </c>
      <c r="BJ616" s="531">
        <f t="shared" si="811"/>
        <v>0.55520947285064493</v>
      </c>
      <c r="BK616" s="531">
        <f t="shared" si="811"/>
        <v>0.55520947285064493</v>
      </c>
      <c r="BL616" s="531">
        <f t="shared" si="811"/>
        <v>0.55520947285064493</v>
      </c>
      <c r="BM616" s="531">
        <f t="shared" si="811"/>
        <v>0.55520947285064493</v>
      </c>
      <c r="BN616" s="531">
        <f t="shared" si="811"/>
        <v>0.55848541977268873</v>
      </c>
      <c r="BO616" s="531">
        <f t="shared" si="811"/>
        <v>0.55848541977268873</v>
      </c>
      <c r="BP616" s="531">
        <f t="shared" si="811"/>
        <v>0.55848541977268873</v>
      </c>
      <c r="BQ616" s="531">
        <f t="shared" si="811"/>
        <v>0.55848541977268873</v>
      </c>
      <c r="BR616" s="531">
        <f t="shared" si="811"/>
        <v>0.55848541977268873</v>
      </c>
      <c r="BS616" s="531">
        <f t="shared" si="811"/>
        <v>0.55848541977268873</v>
      </c>
      <c r="BT616" s="531">
        <f t="shared" si="811"/>
        <v>0.55848541977268873</v>
      </c>
      <c r="BU616" s="531">
        <f t="shared" si="811"/>
        <v>0.55848541977268873</v>
      </c>
      <c r="BV616" s="531">
        <f t="shared" si="811"/>
        <v>0.55848541977268873</v>
      </c>
      <c r="BW616" s="531">
        <f t="shared" si="811"/>
        <v>0.55848541977268873</v>
      </c>
      <c r="BX616" s="531">
        <f t="shared" si="811"/>
        <v>0.55848541977268873</v>
      </c>
      <c r="BY616" s="531">
        <f t="shared" si="811"/>
        <v>0.55848541977268873</v>
      </c>
    </row>
    <row r="617" spans="1:77" x14ac:dyDescent="0.3">
      <c r="A617" s="551"/>
      <c r="B617" s="647"/>
      <c r="C617" s="668"/>
      <c r="D617" s="537"/>
      <c r="E617" s="2"/>
      <c r="F617" s="537"/>
      <c r="G617" s="537"/>
      <c r="H617" s="537"/>
      <c r="I617" s="537"/>
      <c r="J617" s="537"/>
      <c r="K617" s="537"/>
      <c r="L617" s="537"/>
      <c r="M617" s="537"/>
      <c r="N617" s="537"/>
      <c r="O617" s="525"/>
      <c r="P617" s="664"/>
      <c r="Q617" s="537"/>
      <c r="R617" s="537"/>
      <c r="S617" s="537"/>
      <c r="T617" s="537"/>
      <c r="U617" s="537"/>
      <c r="V617" s="537"/>
      <c r="W617" s="537"/>
      <c r="X617" s="537"/>
      <c r="Y617" s="537"/>
      <c r="Z617" s="537"/>
      <c r="AA617" s="537"/>
      <c r="AB617" s="537"/>
      <c r="AC617" s="537"/>
      <c r="AD617" s="537"/>
      <c r="AE617" s="537"/>
      <c r="AF617" s="537"/>
      <c r="AG617" s="537"/>
      <c r="AH617" s="537"/>
      <c r="AI617" s="537"/>
      <c r="AJ617" s="537"/>
      <c r="AK617" s="537"/>
      <c r="AL617" s="537"/>
      <c r="AM617" s="537"/>
      <c r="AN617" s="537"/>
      <c r="AO617" s="537"/>
      <c r="AP617" s="537"/>
      <c r="AQ617" s="537"/>
      <c r="AR617" s="537"/>
      <c r="AS617" s="537"/>
      <c r="AT617" s="537"/>
      <c r="AU617" s="537"/>
      <c r="AV617" s="537"/>
      <c r="AW617" s="537"/>
      <c r="AX617" s="537"/>
      <c r="AY617" s="537"/>
      <c r="AZ617" s="537"/>
      <c r="BA617" s="537"/>
      <c r="BB617" s="537"/>
      <c r="BC617" s="537"/>
      <c r="BD617" s="537"/>
      <c r="BE617" s="537"/>
      <c r="BF617" s="537"/>
      <c r="BG617" s="537"/>
      <c r="BH617" s="537"/>
      <c r="BI617" s="537"/>
      <c r="BJ617" s="537"/>
      <c r="BK617" s="537"/>
      <c r="BL617" s="537"/>
      <c r="BM617" s="537"/>
      <c r="BN617" s="537"/>
      <c r="BO617" s="537"/>
      <c r="BP617" s="537"/>
      <c r="BQ617" s="537"/>
      <c r="BR617" s="537"/>
      <c r="BS617" s="537"/>
      <c r="BT617" s="537"/>
      <c r="BU617" s="537"/>
      <c r="BV617" s="537"/>
      <c r="BW617" s="537"/>
      <c r="BX617" s="537"/>
      <c r="BY617" s="537"/>
    </row>
    <row r="618" spans="1:77" x14ac:dyDescent="0.3">
      <c r="A618" s="551"/>
      <c r="B618" s="647"/>
      <c r="C618" s="668"/>
      <c r="D618" s="537"/>
      <c r="E618" s="2" t="s">
        <v>129</v>
      </c>
      <c r="F618" s="537"/>
      <c r="G618" s="537"/>
      <c r="H618" s="537"/>
      <c r="I618" s="527">
        <f t="shared" ref="I618:N619" si="812">I554/I$571</f>
        <v>-8700</v>
      </c>
      <c r="J618" s="527">
        <f t="shared" si="812"/>
        <v>-8914.6850136986304</v>
      </c>
      <c r="K618" s="527">
        <f t="shared" si="812"/>
        <v>-9121.2663528297689</v>
      </c>
      <c r="L618" s="527">
        <f t="shared" si="812"/>
        <v>-9316.9087696781771</v>
      </c>
      <c r="M618" s="527">
        <f t="shared" si="812"/>
        <v>-9499.5074186751444</v>
      </c>
      <c r="N618" s="527">
        <f t="shared" si="812"/>
        <v>-9683.8004652022119</v>
      </c>
      <c r="O618" s="537"/>
      <c r="P618" s="564">
        <f>IFERROR(((N618/I618)^(1/5))-1,0)</f>
        <v>2.1657472733383143E-2</v>
      </c>
      <c r="Q618" s="537"/>
      <c r="R618" s="527">
        <f t="shared" ref="R618:AW618" si="813">R554/R$571</f>
        <v>-742.89041780821913</v>
      </c>
      <c r="S618" s="527">
        <f t="shared" si="813"/>
        <v>-742.89041780821913</v>
      </c>
      <c r="T618" s="527">
        <f t="shared" si="813"/>
        <v>-742.89041780821913</v>
      </c>
      <c r="U618" s="527">
        <f t="shared" si="813"/>
        <v>-742.89041780821913</v>
      </c>
      <c r="V618" s="527">
        <f t="shared" si="813"/>
        <v>-742.89041780821913</v>
      </c>
      <c r="W618" s="527">
        <f t="shared" si="813"/>
        <v>-742.89041780821913</v>
      </c>
      <c r="X618" s="527">
        <f t="shared" si="813"/>
        <v>-742.89041780821913</v>
      </c>
      <c r="Y618" s="527">
        <f t="shared" si="813"/>
        <v>-742.89041780821913</v>
      </c>
      <c r="Z618" s="527">
        <f t="shared" si="813"/>
        <v>-742.89041780821913</v>
      </c>
      <c r="AA618" s="527">
        <f t="shared" si="813"/>
        <v>-742.89041780821913</v>
      </c>
      <c r="AB618" s="527">
        <f t="shared" si="813"/>
        <v>-742.89041780821913</v>
      </c>
      <c r="AC618" s="527">
        <f t="shared" si="813"/>
        <v>-742.89041780821913</v>
      </c>
      <c r="AD618" s="527">
        <f t="shared" si="813"/>
        <v>-760.10552940248078</v>
      </c>
      <c r="AE618" s="527">
        <f t="shared" si="813"/>
        <v>-760.10552940248078</v>
      </c>
      <c r="AF618" s="527">
        <f t="shared" si="813"/>
        <v>-760.10552940248078</v>
      </c>
      <c r="AG618" s="527">
        <f t="shared" si="813"/>
        <v>-760.10552940248078</v>
      </c>
      <c r="AH618" s="527">
        <f t="shared" si="813"/>
        <v>-760.10552940248078</v>
      </c>
      <c r="AI618" s="527">
        <f t="shared" si="813"/>
        <v>-760.10552940248078</v>
      </c>
      <c r="AJ618" s="527">
        <f t="shared" si="813"/>
        <v>-760.10552940248078</v>
      </c>
      <c r="AK618" s="527">
        <f t="shared" si="813"/>
        <v>-760.10552940248078</v>
      </c>
      <c r="AL618" s="527">
        <f t="shared" si="813"/>
        <v>-760.10552940248078</v>
      </c>
      <c r="AM618" s="527">
        <f t="shared" si="813"/>
        <v>-760.10552940248078</v>
      </c>
      <c r="AN618" s="527">
        <f t="shared" si="813"/>
        <v>-760.10552940248078</v>
      </c>
      <c r="AO618" s="527">
        <f t="shared" si="813"/>
        <v>-760.10552940248078</v>
      </c>
      <c r="AP618" s="527">
        <f t="shared" si="813"/>
        <v>-776.40906413984806</v>
      </c>
      <c r="AQ618" s="527">
        <f t="shared" si="813"/>
        <v>-776.40906413984806</v>
      </c>
      <c r="AR618" s="527">
        <f t="shared" si="813"/>
        <v>-776.40906413984806</v>
      </c>
      <c r="AS618" s="527">
        <f t="shared" si="813"/>
        <v>-776.40906413984806</v>
      </c>
      <c r="AT618" s="527">
        <f t="shared" si="813"/>
        <v>-776.40906413984806</v>
      </c>
      <c r="AU618" s="527">
        <f t="shared" si="813"/>
        <v>-776.40906413984806</v>
      </c>
      <c r="AV618" s="527">
        <f t="shared" si="813"/>
        <v>-776.40906413984806</v>
      </c>
      <c r="AW618" s="527">
        <f t="shared" si="813"/>
        <v>-776.40906413984806</v>
      </c>
      <c r="AX618" s="527">
        <f t="shared" ref="AX618:BY618" si="814">AX554/AX$571</f>
        <v>-776.40906413984806</v>
      </c>
      <c r="AY618" s="527">
        <f t="shared" si="814"/>
        <v>-776.40906413984806</v>
      </c>
      <c r="AZ618" s="527">
        <f t="shared" si="814"/>
        <v>-776.40906413984806</v>
      </c>
      <c r="BA618" s="527">
        <f t="shared" si="814"/>
        <v>-776.40906413984806</v>
      </c>
      <c r="BB618" s="527">
        <f t="shared" si="814"/>
        <v>-791.62561822292867</v>
      </c>
      <c r="BC618" s="527">
        <f t="shared" si="814"/>
        <v>-791.62561822292867</v>
      </c>
      <c r="BD618" s="527">
        <f t="shared" si="814"/>
        <v>-791.62561822292867</v>
      </c>
      <c r="BE618" s="527">
        <f t="shared" si="814"/>
        <v>-791.62561822292867</v>
      </c>
      <c r="BF618" s="527">
        <f t="shared" si="814"/>
        <v>-791.62561822292867</v>
      </c>
      <c r="BG618" s="527">
        <f t="shared" si="814"/>
        <v>-791.62561822292867</v>
      </c>
      <c r="BH618" s="527">
        <f t="shared" si="814"/>
        <v>-791.62561822292867</v>
      </c>
      <c r="BI618" s="527">
        <f t="shared" si="814"/>
        <v>-791.62561822292867</v>
      </c>
      <c r="BJ618" s="527">
        <f t="shared" si="814"/>
        <v>-791.62561822292867</v>
      </c>
      <c r="BK618" s="527">
        <f t="shared" si="814"/>
        <v>-791.62561822292867</v>
      </c>
      <c r="BL618" s="527">
        <f t="shared" si="814"/>
        <v>-791.62561822292867</v>
      </c>
      <c r="BM618" s="527">
        <f t="shared" si="814"/>
        <v>-791.62561822292867</v>
      </c>
      <c r="BN618" s="527">
        <f t="shared" si="814"/>
        <v>-806.9833721001844</v>
      </c>
      <c r="BO618" s="527">
        <f t="shared" si="814"/>
        <v>-806.9833721001844</v>
      </c>
      <c r="BP618" s="527">
        <f t="shared" si="814"/>
        <v>-806.9833721001844</v>
      </c>
      <c r="BQ618" s="527">
        <f t="shared" si="814"/>
        <v>-806.9833721001844</v>
      </c>
      <c r="BR618" s="527">
        <f t="shared" si="814"/>
        <v>-806.9833721001844</v>
      </c>
      <c r="BS618" s="527">
        <f t="shared" si="814"/>
        <v>-806.9833721001844</v>
      </c>
      <c r="BT618" s="527">
        <f t="shared" si="814"/>
        <v>-806.9833721001844</v>
      </c>
      <c r="BU618" s="527">
        <f t="shared" si="814"/>
        <v>-806.9833721001844</v>
      </c>
      <c r="BV618" s="527">
        <f t="shared" si="814"/>
        <v>-806.9833721001844</v>
      </c>
      <c r="BW618" s="527">
        <f t="shared" si="814"/>
        <v>-806.9833721001844</v>
      </c>
      <c r="BX618" s="527">
        <f t="shared" si="814"/>
        <v>-806.9833721001844</v>
      </c>
      <c r="BY618" s="527">
        <f t="shared" si="814"/>
        <v>-806.9833721001844</v>
      </c>
    </row>
    <row r="619" spans="1:77" x14ac:dyDescent="0.3">
      <c r="A619" s="551"/>
      <c r="B619" s="647"/>
      <c r="C619" s="668"/>
      <c r="D619" s="537"/>
      <c r="E619" s="62" t="s">
        <v>292</v>
      </c>
      <c r="F619" s="579"/>
      <c r="G619" s="579"/>
      <c r="H619" s="537"/>
      <c r="I619" s="535">
        <f t="shared" si="812"/>
        <v>93405.6318400788</v>
      </c>
      <c r="J619" s="535">
        <f t="shared" si="812"/>
        <v>97472.268547986692</v>
      </c>
      <c r="K619" s="535">
        <f t="shared" si="812"/>
        <v>101538.78079420961</v>
      </c>
      <c r="L619" s="535">
        <f t="shared" si="812"/>
        <v>105580.88801537626</v>
      </c>
      <c r="M619" s="535">
        <f t="shared" si="812"/>
        <v>109467.5199722176</v>
      </c>
      <c r="N619" s="535">
        <f t="shared" si="812"/>
        <v>113396.54752294003</v>
      </c>
      <c r="O619" s="536"/>
      <c r="P619" s="568">
        <f>IFERROR(((N619/I619)^(1/5))-1,0)</f>
        <v>3.9549931011163109E-2</v>
      </c>
      <c r="Q619" s="537"/>
      <c r="R619" s="535">
        <f t="shared" ref="R619:AW619" si="815">R555/R$571</f>
        <v>8122.6890456655574</v>
      </c>
      <c r="S619" s="535">
        <f t="shared" si="815"/>
        <v>8122.6890456655574</v>
      </c>
      <c r="T619" s="535">
        <f t="shared" si="815"/>
        <v>8122.6890456655574</v>
      </c>
      <c r="U619" s="535">
        <f t="shared" si="815"/>
        <v>8122.6890456655574</v>
      </c>
      <c r="V619" s="535">
        <f t="shared" si="815"/>
        <v>8122.6890456655574</v>
      </c>
      <c r="W619" s="535">
        <f t="shared" si="815"/>
        <v>8122.6890456655574</v>
      </c>
      <c r="X619" s="535">
        <f t="shared" si="815"/>
        <v>8122.6890456655574</v>
      </c>
      <c r="Y619" s="535">
        <f t="shared" si="815"/>
        <v>8122.6890456655574</v>
      </c>
      <c r="Z619" s="535">
        <f t="shared" si="815"/>
        <v>8122.6890456655574</v>
      </c>
      <c r="AA619" s="535">
        <f t="shared" si="815"/>
        <v>8122.6890456655574</v>
      </c>
      <c r="AB619" s="535">
        <f t="shared" si="815"/>
        <v>8122.6890456655574</v>
      </c>
      <c r="AC619" s="535">
        <f t="shared" si="815"/>
        <v>8122.6890456655574</v>
      </c>
      <c r="AD619" s="535">
        <f t="shared" si="815"/>
        <v>8461.5650661841337</v>
      </c>
      <c r="AE619" s="535">
        <f t="shared" si="815"/>
        <v>8461.5650661841337</v>
      </c>
      <c r="AF619" s="535">
        <f t="shared" si="815"/>
        <v>8461.5650661841337</v>
      </c>
      <c r="AG619" s="535">
        <f t="shared" si="815"/>
        <v>8461.5650661841337</v>
      </c>
      <c r="AH619" s="535">
        <f t="shared" si="815"/>
        <v>8461.5650661841337</v>
      </c>
      <c r="AI619" s="535">
        <f t="shared" si="815"/>
        <v>8461.5650661841337</v>
      </c>
      <c r="AJ619" s="535">
        <f t="shared" si="815"/>
        <v>8461.5650661841337</v>
      </c>
      <c r="AK619" s="535">
        <f t="shared" si="815"/>
        <v>8461.5650661841337</v>
      </c>
      <c r="AL619" s="535">
        <f t="shared" si="815"/>
        <v>8461.5650661841337</v>
      </c>
      <c r="AM619" s="535">
        <f t="shared" si="815"/>
        <v>8461.5650661841337</v>
      </c>
      <c r="AN619" s="535">
        <f t="shared" si="815"/>
        <v>8461.5650661841337</v>
      </c>
      <c r="AO619" s="535">
        <f t="shared" si="815"/>
        <v>8461.5650661841337</v>
      </c>
      <c r="AP619" s="535">
        <f t="shared" si="815"/>
        <v>8798.4073346146888</v>
      </c>
      <c r="AQ619" s="535">
        <f t="shared" si="815"/>
        <v>8798.4073346146888</v>
      </c>
      <c r="AR619" s="535">
        <f t="shared" si="815"/>
        <v>8798.4073346146888</v>
      </c>
      <c r="AS619" s="535">
        <f t="shared" si="815"/>
        <v>8798.4073346146888</v>
      </c>
      <c r="AT619" s="535">
        <f t="shared" si="815"/>
        <v>8798.4073346146888</v>
      </c>
      <c r="AU619" s="535">
        <f t="shared" si="815"/>
        <v>8798.4073346146888</v>
      </c>
      <c r="AV619" s="535">
        <f t="shared" si="815"/>
        <v>8798.4073346146888</v>
      </c>
      <c r="AW619" s="535">
        <f t="shared" si="815"/>
        <v>8798.4073346146888</v>
      </c>
      <c r="AX619" s="535">
        <f t="shared" ref="AX619:BY619" si="816">AX555/AX$571</f>
        <v>8798.4073346146888</v>
      </c>
      <c r="AY619" s="535">
        <f t="shared" si="816"/>
        <v>8798.4073346146888</v>
      </c>
      <c r="AZ619" s="535">
        <f t="shared" si="816"/>
        <v>8798.4073346146888</v>
      </c>
      <c r="BA619" s="535">
        <f t="shared" si="816"/>
        <v>8798.4073346146888</v>
      </c>
      <c r="BB619" s="535">
        <f t="shared" si="816"/>
        <v>9122.2933310181306</v>
      </c>
      <c r="BC619" s="535">
        <f t="shared" si="816"/>
        <v>9122.2933310181306</v>
      </c>
      <c r="BD619" s="535">
        <f t="shared" si="816"/>
        <v>9122.2933310181306</v>
      </c>
      <c r="BE619" s="535">
        <f t="shared" si="816"/>
        <v>9122.2933310181306</v>
      </c>
      <c r="BF619" s="535">
        <f t="shared" si="816"/>
        <v>9122.2933310181306</v>
      </c>
      <c r="BG619" s="535">
        <f t="shared" si="816"/>
        <v>9122.2933310181306</v>
      </c>
      <c r="BH619" s="535">
        <f t="shared" si="816"/>
        <v>9122.2933310181306</v>
      </c>
      <c r="BI619" s="535">
        <f t="shared" si="816"/>
        <v>9122.2933310181306</v>
      </c>
      <c r="BJ619" s="535">
        <f t="shared" si="816"/>
        <v>9122.2933310181306</v>
      </c>
      <c r="BK619" s="535">
        <f t="shared" si="816"/>
        <v>9122.2933310181306</v>
      </c>
      <c r="BL619" s="535">
        <f t="shared" si="816"/>
        <v>9122.2933310181306</v>
      </c>
      <c r="BM619" s="535">
        <f t="shared" si="816"/>
        <v>9122.2933310181306</v>
      </c>
      <c r="BN619" s="535">
        <f t="shared" si="816"/>
        <v>9449.7122935783336</v>
      </c>
      <c r="BO619" s="535">
        <f t="shared" si="816"/>
        <v>9449.7122935783336</v>
      </c>
      <c r="BP619" s="535">
        <f t="shared" si="816"/>
        <v>9449.7122935783336</v>
      </c>
      <c r="BQ619" s="535">
        <f t="shared" si="816"/>
        <v>9449.7122935783336</v>
      </c>
      <c r="BR619" s="535">
        <f t="shared" si="816"/>
        <v>9449.7122935783336</v>
      </c>
      <c r="BS619" s="535">
        <f t="shared" si="816"/>
        <v>9449.7122935783336</v>
      </c>
      <c r="BT619" s="535">
        <f t="shared" si="816"/>
        <v>9449.7122935783336</v>
      </c>
      <c r="BU619" s="535">
        <f t="shared" si="816"/>
        <v>9449.7122935783336</v>
      </c>
      <c r="BV619" s="535">
        <f t="shared" si="816"/>
        <v>9449.7122935783336</v>
      </c>
      <c r="BW619" s="535">
        <f t="shared" si="816"/>
        <v>9449.7122935783336</v>
      </c>
      <c r="BX619" s="535">
        <f t="shared" si="816"/>
        <v>9449.7122935783336</v>
      </c>
      <c r="BY619" s="535">
        <f t="shared" si="816"/>
        <v>9449.7122935783336</v>
      </c>
    </row>
    <row r="620" spans="1:77" x14ac:dyDescent="0.3">
      <c r="A620" s="551"/>
      <c r="B620" s="647"/>
      <c r="C620" s="668"/>
      <c r="D620" s="537"/>
      <c r="E620" s="692" t="s">
        <v>406</v>
      </c>
      <c r="F620" s="537"/>
      <c r="G620" s="537"/>
      <c r="H620" s="529"/>
      <c r="I620" s="531">
        <f t="shared" ref="I620:N620" si="817">I619/I615</f>
        <v>0.91479412209479072</v>
      </c>
      <c r="J620" s="531">
        <f t="shared" si="817"/>
        <v>0.91620509174059861</v>
      </c>
      <c r="K620" s="531">
        <f t="shared" si="817"/>
        <v>0.91757398819187286</v>
      </c>
      <c r="L620" s="531">
        <f t="shared" si="817"/>
        <v>0.91891133659326985</v>
      </c>
      <c r="M620" s="531">
        <f t="shared" si="817"/>
        <v>0.92015008169059831</v>
      </c>
      <c r="N620" s="531">
        <f t="shared" si="817"/>
        <v>0.9213213106438799</v>
      </c>
      <c r="O620" s="546"/>
      <c r="P620" s="564">
        <f>IFERROR(((N620/I620)^(1/5))-1,0)</f>
        <v>1.422973491786772E-3</v>
      </c>
      <c r="Q620" s="537"/>
      <c r="R620" s="531">
        <f t="shared" ref="R620:AW620" si="818">R619/R615</f>
        <v>0.91620509174059861</v>
      </c>
      <c r="S620" s="531">
        <f t="shared" si="818"/>
        <v>0.91620509174059861</v>
      </c>
      <c r="T620" s="531">
        <f t="shared" si="818"/>
        <v>0.91620509174059861</v>
      </c>
      <c r="U620" s="531">
        <f t="shared" si="818"/>
        <v>0.91620509174059861</v>
      </c>
      <c r="V620" s="531">
        <f t="shared" si="818"/>
        <v>0.91620509174059861</v>
      </c>
      <c r="W620" s="531">
        <f t="shared" si="818"/>
        <v>0.91620509174059861</v>
      </c>
      <c r="X620" s="531">
        <f t="shared" si="818"/>
        <v>0.91620509174059861</v>
      </c>
      <c r="Y620" s="531">
        <f t="shared" si="818"/>
        <v>0.91620509174059861</v>
      </c>
      <c r="Z620" s="531">
        <f t="shared" si="818"/>
        <v>0.91620509174059861</v>
      </c>
      <c r="AA620" s="531">
        <f t="shared" si="818"/>
        <v>0.91620509174059861</v>
      </c>
      <c r="AB620" s="531">
        <f t="shared" si="818"/>
        <v>0.91620509174059861</v>
      </c>
      <c r="AC620" s="531">
        <f t="shared" si="818"/>
        <v>0.91620509174059861</v>
      </c>
      <c r="AD620" s="531">
        <f t="shared" si="818"/>
        <v>0.91757398819187286</v>
      </c>
      <c r="AE620" s="531">
        <f t="shared" si="818"/>
        <v>0.91757398819187286</v>
      </c>
      <c r="AF620" s="531">
        <f t="shared" si="818"/>
        <v>0.91757398819187286</v>
      </c>
      <c r="AG620" s="531">
        <f t="shared" si="818"/>
        <v>0.91757398819187286</v>
      </c>
      <c r="AH620" s="531">
        <f t="shared" si="818"/>
        <v>0.91757398819187286</v>
      </c>
      <c r="AI620" s="531">
        <f t="shared" si="818"/>
        <v>0.91757398819187286</v>
      </c>
      <c r="AJ620" s="531">
        <f t="shared" si="818"/>
        <v>0.91757398819187286</v>
      </c>
      <c r="AK620" s="531">
        <f t="shared" si="818"/>
        <v>0.91757398819187286</v>
      </c>
      <c r="AL620" s="531">
        <f t="shared" si="818"/>
        <v>0.91757398819187286</v>
      </c>
      <c r="AM620" s="531">
        <f t="shared" si="818"/>
        <v>0.91757398819187286</v>
      </c>
      <c r="AN620" s="531">
        <f t="shared" si="818"/>
        <v>0.91757398819187286</v>
      </c>
      <c r="AO620" s="531">
        <f t="shared" si="818"/>
        <v>0.91757398819187286</v>
      </c>
      <c r="AP620" s="531">
        <f t="shared" si="818"/>
        <v>0.91891133659326985</v>
      </c>
      <c r="AQ620" s="531">
        <f t="shared" si="818"/>
        <v>0.91891133659326985</v>
      </c>
      <c r="AR620" s="531">
        <f t="shared" si="818"/>
        <v>0.91891133659326985</v>
      </c>
      <c r="AS620" s="531">
        <f t="shared" si="818"/>
        <v>0.91891133659326985</v>
      </c>
      <c r="AT620" s="531">
        <f t="shared" si="818"/>
        <v>0.91891133659326985</v>
      </c>
      <c r="AU620" s="531">
        <f t="shared" si="818"/>
        <v>0.91891133659326985</v>
      </c>
      <c r="AV620" s="531">
        <f t="shared" si="818"/>
        <v>0.91891133659326985</v>
      </c>
      <c r="AW620" s="531">
        <f t="shared" si="818"/>
        <v>0.91891133659326985</v>
      </c>
      <c r="AX620" s="531">
        <f t="shared" ref="AX620:BY620" si="819">AX619/AX615</f>
        <v>0.91891133659326985</v>
      </c>
      <c r="AY620" s="531">
        <f t="shared" si="819"/>
        <v>0.91891133659326985</v>
      </c>
      <c r="AZ620" s="531">
        <f t="shared" si="819"/>
        <v>0.91891133659326985</v>
      </c>
      <c r="BA620" s="531">
        <f t="shared" si="819"/>
        <v>0.91891133659326985</v>
      </c>
      <c r="BB620" s="531">
        <f t="shared" si="819"/>
        <v>0.92015008169059831</v>
      </c>
      <c r="BC620" s="531">
        <f t="shared" si="819"/>
        <v>0.92015008169059831</v>
      </c>
      <c r="BD620" s="531">
        <f t="shared" si="819"/>
        <v>0.92015008169059831</v>
      </c>
      <c r="BE620" s="531">
        <f t="shared" si="819"/>
        <v>0.92015008169059831</v>
      </c>
      <c r="BF620" s="531">
        <f t="shared" si="819"/>
        <v>0.92015008169059831</v>
      </c>
      <c r="BG620" s="531">
        <f t="shared" si="819"/>
        <v>0.92015008169059831</v>
      </c>
      <c r="BH620" s="531">
        <f t="shared" si="819"/>
        <v>0.92015008169059831</v>
      </c>
      <c r="BI620" s="531">
        <f t="shared" si="819"/>
        <v>0.92015008169059831</v>
      </c>
      <c r="BJ620" s="531">
        <f t="shared" si="819"/>
        <v>0.92015008169059831</v>
      </c>
      <c r="BK620" s="531">
        <f t="shared" si="819"/>
        <v>0.92015008169059831</v>
      </c>
      <c r="BL620" s="531">
        <f t="shared" si="819"/>
        <v>0.92015008169059831</v>
      </c>
      <c r="BM620" s="531">
        <f t="shared" si="819"/>
        <v>0.92015008169059831</v>
      </c>
      <c r="BN620" s="531">
        <f t="shared" si="819"/>
        <v>0.92132131064387979</v>
      </c>
      <c r="BO620" s="531">
        <f t="shared" si="819"/>
        <v>0.92132131064387979</v>
      </c>
      <c r="BP620" s="531">
        <f t="shared" si="819"/>
        <v>0.92132131064387979</v>
      </c>
      <c r="BQ620" s="531">
        <f t="shared" si="819"/>
        <v>0.92132131064387979</v>
      </c>
      <c r="BR620" s="531">
        <f t="shared" si="819"/>
        <v>0.92132131064387979</v>
      </c>
      <c r="BS620" s="531">
        <f t="shared" si="819"/>
        <v>0.92132131064387979</v>
      </c>
      <c r="BT620" s="531">
        <f t="shared" si="819"/>
        <v>0.92132131064387979</v>
      </c>
      <c r="BU620" s="531">
        <f t="shared" si="819"/>
        <v>0.92132131064387979</v>
      </c>
      <c r="BV620" s="531">
        <f t="shared" si="819"/>
        <v>0.92132131064387979</v>
      </c>
      <c r="BW620" s="531">
        <f t="shared" si="819"/>
        <v>0.92132131064387979</v>
      </c>
      <c r="BX620" s="531">
        <f t="shared" si="819"/>
        <v>0.92132131064387979</v>
      </c>
      <c r="BY620" s="531">
        <f t="shared" si="819"/>
        <v>0.92132131064387979</v>
      </c>
    </row>
    <row r="621" spans="1:77" x14ac:dyDescent="0.3">
      <c r="A621" s="551"/>
      <c r="B621" s="647"/>
      <c r="C621" s="668"/>
      <c r="D621" s="537"/>
      <c r="E621" s="2"/>
      <c r="F621" s="537"/>
      <c r="G621" s="537"/>
      <c r="H621" s="537"/>
      <c r="I621" s="537"/>
      <c r="J621" s="537"/>
      <c r="K621" s="537"/>
      <c r="L621" s="537"/>
      <c r="M621" s="537"/>
      <c r="N621" s="537"/>
      <c r="O621" s="529"/>
      <c r="P621" s="660"/>
      <c r="Q621" s="537"/>
      <c r="R621" s="537"/>
      <c r="S621" s="537"/>
      <c r="T621" s="537"/>
      <c r="U621" s="537"/>
      <c r="V621" s="537"/>
      <c r="W621" s="537"/>
      <c r="X621" s="537"/>
      <c r="Y621" s="537"/>
      <c r="Z621" s="537"/>
      <c r="AA621" s="537"/>
      <c r="AB621" s="537"/>
      <c r="AC621" s="537"/>
      <c r="AD621" s="537"/>
      <c r="AE621" s="537"/>
      <c r="AF621" s="537"/>
      <c r="AG621" s="537"/>
      <c r="AH621" s="537"/>
      <c r="AI621" s="537"/>
      <c r="AJ621" s="537"/>
      <c r="AK621" s="537"/>
      <c r="AL621" s="537"/>
      <c r="AM621" s="537"/>
      <c r="AN621" s="537"/>
      <c r="AO621" s="537"/>
      <c r="AP621" s="537"/>
      <c r="AQ621" s="537"/>
      <c r="AR621" s="537"/>
      <c r="AS621" s="537"/>
      <c r="AT621" s="537"/>
      <c r="AU621" s="537"/>
      <c r="AV621" s="537"/>
      <c r="AW621" s="537"/>
      <c r="AX621" s="537"/>
      <c r="AY621" s="537"/>
      <c r="AZ621" s="537"/>
      <c r="BA621" s="537"/>
      <c r="BB621" s="537"/>
      <c r="BC621" s="537"/>
      <c r="BD621" s="537"/>
      <c r="BE621" s="537"/>
      <c r="BF621" s="537"/>
      <c r="BG621" s="537"/>
      <c r="BH621" s="537"/>
      <c r="BI621" s="537"/>
      <c r="BJ621" s="537"/>
      <c r="BK621" s="537"/>
      <c r="BL621" s="537"/>
      <c r="BM621" s="537"/>
      <c r="BN621" s="537"/>
      <c r="BO621" s="537"/>
      <c r="BP621" s="537"/>
      <c r="BQ621" s="537"/>
      <c r="BR621" s="537"/>
      <c r="BS621" s="537"/>
      <c r="BT621" s="537"/>
      <c r="BU621" s="537"/>
      <c r="BV621" s="537"/>
      <c r="BW621" s="537"/>
      <c r="BX621" s="537"/>
      <c r="BY621" s="537"/>
    </row>
    <row r="622" spans="1:77" x14ac:dyDescent="0.3">
      <c r="A622" s="551"/>
      <c r="B622" s="647"/>
      <c r="C622" s="668"/>
      <c r="D622" s="537"/>
      <c r="E622" s="2" t="s">
        <v>52</v>
      </c>
      <c r="F622" s="567"/>
      <c r="G622" s="567"/>
      <c r="H622" s="537"/>
      <c r="I622" s="527">
        <f t="shared" ref="I622:N623" si="820">I558/I$571</f>
        <v>-8872.0083527154457</v>
      </c>
      <c r="J622" s="527">
        <f t="shared" si="820"/>
        <v>-8160</v>
      </c>
      <c r="K622" s="527">
        <f t="shared" si="820"/>
        <v>-8323.1999999999989</v>
      </c>
      <c r="L622" s="527">
        <f t="shared" si="820"/>
        <v>-8489.6640000000007</v>
      </c>
      <c r="M622" s="527">
        <f t="shared" si="820"/>
        <v>-8659.4572800000005</v>
      </c>
      <c r="N622" s="527">
        <f t="shared" si="820"/>
        <v>-8832.6464256000017</v>
      </c>
      <c r="O622" s="529"/>
      <c r="P622" s="564">
        <f>IFERROR(((N622/I622)^(1/5))-1,0)</f>
        <v>-8.8890735880575722E-4</v>
      </c>
      <c r="Q622" s="537"/>
      <c r="R622" s="527">
        <f t="shared" ref="R622:AW622" si="821">R558/R$571</f>
        <v>-680</v>
      </c>
      <c r="S622" s="527">
        <f t="shared" si="821"/>
        <v>-680</v>
      </c>
      <c r="T622" s="527">
        <f t="shared" si="821"/>
        <v>-680</v>
      </c>
      <c r="U622" s="527">
        <f t="shared" si="821"/>
        <v>-680</v>
      </c>
      <c r="V622" s="527">
        <f t="shared" si="821"/>
        <v>-680</v>
      </c>
      <c r="W622" s="527">
        <f t="shared" si="821"/>
        <v>-680</v>
      </c>
      <c r="X622" s="527">
        <f t="shared" si="821"/>
        <v>-680</v>
      </c>
      <c r="Y622" s="527">
        <f t="shared" si="821"/>
        <v>-680</v>
      </c>
      <c r="Z622" s="527">
        <f t="shared" si="821"/>
        <v>-680</v>
      </c>
      <c r="AA622" s="527">
        <f t="shared" si="821"/>
        <v>-680</v>
      </c>
      <c r="AB622" s="527">
        <f t="shared" si="821"/>
        <v>-680</v>
      </c>
      <c r="AC622" s="527">
        <f t="shared" si="821"/>
        <v>-680</v>
      </c>
      <c r="AD622" s="527">
        <f t="shared" si="821"/>
        <v>-693.6</v>
      </c>
      <c r="AE622" s="527">
        <f t="shared" si="821"/>
        <v>-693.6</v>
      </c>
      <c r="AF622" s="527">
        <f t="shared" si="821"/>
        <v>-693.6</v>
      </c>
      <c r="AG622" s="527">
        <f t="shared" si="821"/>
        <v>-693.6</v>
      </c>
      <c r="AH622" s="527">
        <f t="shared" si="821"/>
        <v>-693.6</v>
      </c>
      <c r="AI622" s="527">
        <f t="shared" si="821"/>
        <v>-693.6</v>
      </c>
      <c r="AJ622" s="527">
        <f t="shared" si="821"/>
        <v>-693.6</v>
      </c>
      <c r="AK622" s="527">
        <f t="shared" si="821"/>
        <v>-693.6</v>
      </c>
      <c r="AL622" s="527">
        <f t="shared" si="821"/>
        <v>-693.6</v>
      </c>
      <c r="AM622" s="527">
        <f t="shared" si="821"/>
        <v>-693.6</v>
      </c>
      <c r="AN622" s="527">
        <f t="shared" si="821"/>
        <v>-693.6</v>
      </c>
      <c r="AO622" s="527">
        <f t="shared" si="821"/>
        <v>-693.6</v>
      </c>
      <c r="AP622" s="527">
        <f t="shared" si="821"/>
        <v>-707.47199999999998</v>
      </c>
      <c r="AQ622" s="527">
        <f t="shared" si="821"/>
        <v>-707.47199999999998</v>
      </c>
      <c r="AR622" s="527">
        <f t="shared" si="821"/>
        <v>-707.47199999999998</v>
      </c>
      <c r="AS622" s="527">
        <f t="shared" si="821"/>
        <v>-707.47199999999998</v>
      </c>
      <c r="AT622" s="527">
        <f t="shared" si="821"/>
        <v>-707.47199999999998</v>
      </c>
      <c r="AU622" s="527">
        <f t="shared" si="821"/>
        <v>-707.47199999999998</v>
      </c>
      <c r="AV622" s="527">
        <f t="shared" si="821"/>
        <v>-707.47199999999998</v>
      </c>
      <c r="AW622" s="527">
        <f t="shared" si="821"/>
        <v>-707.47199999999998</v>
      </c>
      <c r="AX622" s="527">
        <f t="shared" ref="AX622:BY622" si="822">AX558/AX$571</f>
        <v>-707.47199999999998</v>
      </c>
      <c r="AY622" s="527">
        <f t="shared" si="822"/>
        <v>-707.47199999999998</v>
      </c>
      <c r="AZ622" s="527">
        <f t="shared" si="822"/>
        <v>-707.47199999999998</v>
      </c>
      <c r="BA622" s="527">
        <f t="shared" si="822"/>
        <v>-707.47199999999998</v>
      </c>
      <c r="BB622" s="527">
        <f t="shared" si="822"/>
        <v>-721.62144000000001</v>
      </c>
      <c r="BC622" s="527">
        <f t="shared" si="822"/>
        <v>-721.62144000000001</v>
      </c>
      <c r="BD622" s="527">
        <f t="shared" si="822"/>
        <v>-721.62144000000001</v>
      </c>
      <c r="BE622" s="527">
        <f t="shared" si="822"/>
        <v>-721.62144000000001</v>
      </c>
      <c r="BF622" s="527">
        <f t="shared" si="822"/>
        <v>-721.62144000000001</v>
      </c>
      <c r="BG622" s="527">
        <f t="shared" si="822"/>
        <v>-721.62144000000001</v>
      </c>
      <c r="BH622" s="527">
        <f t="shared" si="822"/>
        <v>-721.62144000000001</v>
      </c>
      <c r="BI622" s="527">
        <f t="shared" si="822"/>
        <v>-721.62144000000001</v>
      </c>
      <c r="BJ622" s="527">
        <f t="shared" si="822"/>
        <v>-721.62144000000001</v>
      </c>
      <c r="BK622" s="527">
        <f t="shared" si="822"/>
        <v>-721.62144000000001</v>
      </c>
      <c r="BL622" s="527">
        <f t="shared" si="822"/>
        <v>-721.62144000000001</v>
      </c>
      <c r="BM622" s="527">
        <f t="shared" si="822"/>
        <v>-721.62144000000001</v>
      </c>
      <c r="BN622" s="527">
        <f t="shared" si="822"/>
        <v>-736.05386880000003</v>
      </c>
      <c r="BO622" s="527">
        <f t="shared" si="822"/>
        <v>-736.05386880000003</v>
      </c>
      <c r="BP622" s="527">
        <f t="shared" si="822"/>
        <v>-736.05386880000003</v>
      </c>
      <c r="BQ622" s="527">
        <f t="shared" si="822"/>
        <v>-736.05386880000003</v>
      </c>
      <c r="BR622" s="527">
        <f t="shared" si="822"/>
        <v>-736.05386880000003</v>
      </c>
      <c r="BS622" s="527">
        <f t="shared" si="822"/>
        <v>-736.05386880000003</v>
      </c>
      <c r="BT622" s="527">
        <f t="shared" si="822"/>
        <v>-736.05386880000003</v>
      </c>
      <c r="BU622" s="527">
        <f t="shared" si="822"/>
        <v>-736.05386880000003</v>
      </c>
      <c r="BV622" s="527">
        <f t="shared" si="822"/>
        <v>-736.05386880000003</v>
      </c>
      <c r="BW622" s="527">
        <f t="shared" si="822"/>
        <v>-736.05386880000003</v>
      </c>
      <c r="BX622" s="527">
        <f t="shared" si="822"/>
        <v>-736.05386880000003</v>
      </c>
      <c r="BY622" s="527">
        <f t="shared" si="822"/>
        <v>-736.05386880000003</v>
      </c>
    </row>
    <row r="623" spans="1:77" x14ac:dyDescent="0.3">
      <c r="A623" s="551"/>
      <c r="B623" s="647"/>
      <c r="C623" s="668"/>
      <c r="D623" s="537"/>
      <c r="E623" s="2" t="s">
        <v>69</v>
      </c>
      <c r="F623" s="567"/>
      <c r="G623" s="567"/>
      <c r="H623" s="537"/>
      <c r="I623" s="527">
        <f t="shared" si="820"/>
        <v>-1531.584477601182</v>
      </c>
      <c r="J623" s="527">
        <f t="shared" si="820"/>
        <v>-1595.8043034252792</v>
      </c>
      <c r="K623" s="527">
        <f t="shared" si="820"/>
        <v>-1659.9007072055902</v>
      </c>
      <c r="L623" s="527">
        <f t="shared" si="820"/>
        <v>-1723.4669517758164</v>
      </c>
      <c r="M623" s="527">
        <f t="shared" si="820"/>
        <v>-1784.5054108633904</v>
      </c>
      <c r="N623" s="527">
        <f t="shared" si="820"/>
        <v>-1846.2052198221329</v>
      </c>
      <c r="O623" s="529"/>
      <c r="P623" s="564">
        <f t="shared" ref="P623:P631" si="823">IFERROR(((N623/I623)^(1/5))-1,0)</f>
        <v>3.8072780961309505E-2</v>
      </c>
      <c r="Q623" s="537"/>
      <c r="R623" s="527">
        <f t="shared" ref="R623:AW623" si="824">R559/R$571</f>
        <v>-132.98369195210665</v>
      </c>
      <c r="S623" s="527">
        <f t="shared" si="824"/>
        <v>-132.98369195210665</v>
      </c>
      <c r="T623" s="527">
        <f t="shared" si="824"/>
        <v>-132.98369195210665</v>
      </c>
      <c r="U623" s="527">
        <f t="shared" si="824"/>
        <v>-132.98369195210665</v>
      </c>
      <c r="V623" s="527">
        <f t="shared" si="824"/>
        <v>-132.98369195210665</v>
      </c>
      <c r="W623" s="527">
        <f t="shared" si="824"/>
        <v>-132.98369195210665</v>
      </c>
      <c r="X623" s="527">
        <f t="shared" si="824"/>
        <v>-132.98369195210665</v>
      </c>
      <c r="Y623" s="527">
        <f t="shared" si="824"/>
        <v>-132.98369195210665</v>
      </c>
      <c r="Z623" s="527">
        <f t="shared" si="824"/>
        <v>-132.98369195210665</v>
      </c>
      <c r="AA623" s="527">
        <f t="shared" si="824"/>
        <v>-132.98369195210665</v>
      </c>
      <c r="AB623" s="527">
        <f t="shared" si="824"/>
        <v>-132.98369195210665</v>
      </c>
      <c r="AC623" s="527">
        <f t="shared" si="824"/>
        <v>-132.98369195210665</v>
      </c>
      <c r="AD623" s="527">
        <f t="shared" si="824"/>
        <v>-138.3250589337992</v>
      </c>
      <c r="AE623" s="527">
        <f t="shared" si="824"/>
        <v>-138.3250589337992</v>
      </c>
      <c r="AF623" s="527">
        <f t="shared" si="824"/>
        <v>-138.3250589337992</v>
      </c>
      <c r="AG623" s="527">
        <f t="shared" si="824"/>
        <v>-138.3250589337992</v>
      </c>
      <c r="AH623" s="527">
        <f t="shared" si="824"/>
        <v>-138.3250589337992</v>
      </c>
      <c r="AI623" s="527">
        <f t="shared" si="824"/>
        <v>-138.3250589337992</v>
      </c>
      <c r="AJ623" s="527">
        <f t="shared" si="824"/>
        <v>-138.3250589337992</v>
      </c>
      <c r="AK623" s="527">
        <f t="shared" si="824"/>
        <v>-138.3250589337992</v>
      </c>
      <c r="AL623" s="527">
        <f t="shared" si="824"/>
        <v>-138.3250589337992</v>
      </c>
      <c r="AM623" s="527">
        <f t="shared" si="824"/>
        <v>-138.3250589337992</v>
      </c>
      <c r="AN623" s="527">
        <f t="shared" si="824"/>
        <v>-138.3250589337992</v>
      </c>
      <c r="AO623" s="527">
        <f t="shared" si="824"/>
        <v>-138.3250589337992</v>
      </c>
      <c r="AP623" s="527">
        <f t="shared" si="824"/>
        <v>-143.62224598131803</v>
      </c>
      <c r="AQ623" s="527">
        <f t="shared" si="824"/>
        <v>-143.62224598131803</v>
      </c>
      <c r="AR623" s="527">
        <f t="shared" si="824"/>
        <v>-143.62224598131803</v>
      </c>
      <c r="AS623" s="527">
        <f t="shared" si="824"/>
        <v>-143.62224598131803</v>
      </c>
      <c r="AT623" s="527">
        <f t="shared" si="824"/>
        <v>-143.62224598131803</v>
      </c>
      <c r="AU623" s="527">
        <f t="shared" si="824"/>
        <v>-143.62224598131803</v>
      </c>
      <c r="AV623" s="527">
        <f t="shared" si="824"/>
        <v>-143.62224598131803</v>
      </c>
      <c r="AW623" s="527">
        <f t="shared" si="824"/>
        <v>-143.62224598131803</v>
      </c>
      <c r="AX623" s="527">
        <f t="shared" ref="AX623:BY623" si="825">AX559/AX$571</f>
        <v>-143.62224598131803</v>
      </c>
      <c r="AY623" s="527">
        <f t="shared" si="825"/>
        <v>-143.62224598131803</v>
      </c>
      <c r="AZ623" s="527">
        <f t="shared" si="825"/>
        <v>-143.62224598131803</v>
      </c>
      <c r="BA623" s="527">
        <f t="shared" si="825"/>
        <v>-143.62224598131803</v>
      </c>
      <c r="BB623" s="527">
        <f t="shared" si="825"/>
        <v>-148.70878423861586</v>
      </c>
      <c r="BC623" s="527">
        <f t="shared" si="825"/>
        <v>-148.70878423861586</v>
      </c>
      <c r="BD623" s="527">
        <f t="shared" si="825"/>
        <v>-148.70878423861586</v>
      </c>
      <c r="BE623" s="527">
        <f t="shared" si="825"/>
        <v>-148.70878423861586</v>
      </c>
      <c r="BF623" s="527">
        <f t="shared" si="825"/>
        <v>-148.70878423861586</v>
      </c>
      <c r="BG623" s="527">
        <f t="shared" si="825"/>
        <v>-148.70878423861586</v>
      </c>
      <c r="BH623" s="527">
        <f t="shared" si="825"/>
        <v>-148.70878423861586</v>
      </c>
      <c r="BI623" s="527">
        <f t="shared" si="825"/>
        <v>-148.70878423861586</v>
      </c>
      <c r="BJ623" s="527">
        <f t="shared" si="825"/>
        <v>-148.70878423861586</v>
      </c>
      <c r="BK623" s="527">
        <f t="shared" si="825"/>
        <v>-148.70878423861586</v>
      </c>
      <c r="BL623" s="527">
        <f t="shared" si="825"/>
        <v>-148.70878423861586</v>
      </c>
      <c r="BM623" s="527">
        <f t="shared" si="825"/>
        <v>-148.70878423861586</v>
      </c>
      <c r="BN623" s="527">
        <f t="shared" si="825"/>
        <v>-153.85043498517777</v>
      </c>
      <c r="BO623" s="527">
        <f t="shared" si="825"/>
        <v>-153.85043498517777</v>
      </c>
      <c r="BP623" s="527">
        <f t="shared" si="825"/>
        <v>-153.85043498517777</v>
      </c>
      <c r="BQ623" s="527">
        <f t="shared" si="825"/>
        <v>-153.85043498517777</v>
      </c>
      <c r="BR623" s="527">
        <f t="shared" si="825"/>
        <v>-153.85043498517777</v>
      </c>
      <c r="BS623" s="527">
        <f t="shared" si="825"/>
        <v>-153.85043498517777</v>
      </c>
      <c r="BT623" s="527">
        <f t="shared" si="825"/>
        <v>-153.85043498517777</v>
      </c>
      <c r="BU623" s="527">
        <f t="shared" si="825"/>
        <v>-153.85043498517777</v>
      </c>
      <c r="BV623" s="527">
        <f t="shared" si="825"/>
        <v>-153.85043498517777</v>
      </c>
      <c r="BW623" s="527">
        <f t="shared" si="825"/>
        <v>-153.85043498517777</v>
      </c>
      <c r="BX623" s="527">
        <f t="shared" si="825"/>
        <v>-153.85043498517777</v>
      </c>
      <c r="BY623" s="527">
        <f t="shared" si="825"/>
        <v>-153.85043498517777</v>
      </c>
    </row>
    <row r="624" spans="1:77" x14ac:dyDescent="0.3">
      <c r="A624" s="551"/>
      <c r="B624" s="647"/>
      <c r="C624" s="668"/>
      <c r="D624" s="537"/>
      <c r="E624" s="2" t="s">
        <v>184</v>
      </c>
      <c r="F624" s="567"/>
      <c r="G624" s="567"/>
      <c r="H624" s="537"/>
      <c r="I624" s="580">
        <v>0</v>
      </c>
      <c r="J624" s="528">
        <v>0</v>
      </c>
      <c r="K624" s="528">
        <v>0</v>
      </c>
      <c r="L624" s="528">
        <v>0</v>
      </c>
      <c r="M624" s="528">
        <v>0</v>
      </c>
      <c r="N624" s="528">
        <v>0</v>
      </c>
      <c r="O624" s="544"/>
      <c r="P624" s="564">
        <f>IFERROR(((N624/I624)^(1/5))-1,0)</f>
        <v>0</v>
      </c>
      <c r="Q624" s="537"/>
      <c r="R624" s="528">
        <v>0</v>
      </c>
      <c r="S624" s="528">
        <v>0</v>
      </c>
      <c r="T624" s="528">
        <v>0</v>
      </c>
      <c r="U624" s="528">
        <v>0</v>
      </c>
      <c r="V624" s="528">
        <v>0</v>
      </c>
      <c r="W624" s="528">
        <v>0</v>
      </c>
      <c r="X624" s="528">
        <v>0</v>
      </c>
      <c r="Y624" s="528">
        <v>0</v>
      </c>
      <c r="Z624" s="528">
        <v>0</v>
      </c>
      <c r="AA624" s="528">
        <v>0</v>
      </c>
      <c r="AB624" s="528">
        <v>0</v>
      </c>
      <c r="AC624" s="528">
        <v>0</v>
      </c>
      <c r="AD624" s="528">
        <v>0</v>
      </c>
      <c r="AE624" s="528">
        <v>0</v>
      </c>
      <c r="AF624" s="528">
        <v>0</v>
      </c>
      <c r="AG624" s="528">
        <v>0</v>
      </c>
      <c r="AH624" s="528">
        <v>0</v>
      </c>
      <c r="AI624" s="528">
        <v>0</v>
      </c>
      <c r="AJ624" s="528">
        <v>0</v>
      </c>
      <c r="AK624" s="528">
        <v>0</v>
      </c>
      <c r="AL624" s="528">
        <v>0</v>
      </c>
      <c r="AM624" s="528">
        <v>0</v>
      </c>
      <c r="AN624" s="528">
        <v>0</v>
      </c>
      <c r="AO624" s="528">
        <v>0</v>
      </c>
      <c r="AP624" s="528">
        <v>0</v>
      </c>
      <c r="AQ624" s="528">
        <v>0</v>
      </c>
      <c r="AR624" s="528">
        <v>0</v>
      </c>
      <c r="AS624" s="528">
        <v>0</v>
      </c>
      <c r="AT624" s="528">
        <v>0</v>
      </c>
      <c r="AU624" s="528">
        <v>0</v>
      </c>
      <c r="AV624" s="528">
        <v>0</v>
      </c>
      <c r="AW624" s="528">
        <v>0</v>
      </c>
      <c r="AX624" s="528">
        <v>0</v>
      </c>
      <c r="AY624" s="528">
        <v>0</v>
      </c>
      <c r="AZ624" s="528">
        <v>0</v>
      </c>
      <c r="BA624" s="528">
        <v>0</v>
      </c>
      <c r="BB624" s="528">
        <v>0</v>
      </c>
      <c r="BC624" s="528">
        <v>0</v>
      </c>
      <c r="BD624" s="528">
        <v>0</v>
      </c>
      <c r="BE624" s="528">
        <v>0</v>
      </c>
      <c r="BF624" s="528">
        <v>0</v>
      </c>
      <c r="BG624" s="528">
        <v>0</v>
      </c>
      <c r="BH624" s="528">
        <v>0</v>
      </c>
      <c r="BI624" s="528">
        <v>0</v>
      </c>
      <c r="BJ624" s="528">
        <v>0</v>
      </c>
      <c r="BK624" s="528">
        <v>0</v>
      </c>
      <c r="BL624" s="528">
        <v>0</v>
      </c>
      <c r="BM624" s="528">
        <v>0</v>
      </c>
      <c r="BN624" s="528">
        <v>0</v>
      </c>
      <c r="BO624" s="528">
        <v>0</v>
      </c>
      <c r="BP624" s="528">
        <v>0</v>
      </c>
      <c r="BQ624" s="528">
        <v>0</v>
      </c>
      <c r="BR624" s="528">
        <v>0</v>
      </c>
      <c r="BS624" s="528">
        <v>0</v>
      </c>
      <c r="BT624" s="528">
        <v>0</v>
      </c>
      <c r="BU624" s="528">
        <v>0</v>
      </c>
      <c r="BV624" s="528">
        <v>0</v>
      </c>
      <c r="BW624" s="528">
        <v>0</v>
      </c>
      <c r="BX624" s="528">
        <v>0</v>
      </c>
      <c r="BY624" s="528">
        <v>0</v>
      </c>
    </row>
    <row r="625" spans="1:77" x14ac:dyDescent="0.3">
      <c r="A625" s="551"/>
      <c r="B625" s="647"/>
      <c r="C625" s="668"/>
      <c r="D625" s="537"/>
      <c r="E625" s="62" t="s">
        <v>293</v>
      </c>
      <c r="F625" s="579"/>
      <c r="G625" s="579"/>
      <c r="H625" s="537"/>
      <c r="I625" s="535">
        <f t="shared" ref="I625:N625" si="826">I561/I$571</f>
        <v>83002.039009762171</v>
      </c>
      <c r="J625" s="535">
        <f t="shared" si="826"/>
        <v>87716.464244561401</v>
      </c>
      <c r="K625" s="535">
        <f t="shared" si="826"/>
        <v>91555.680087004017</v>
      </c>
      <c r="L625" s="535">
        <f t="shared" si="826"/>
        <v>95367.757063600438</v>
      </c>
      <c r="M625" s="535">
        <f t="shared" si="826"/>
        <v>99023.557281354209</v>
      </c>
      <c r="N625" s="535">
        <f t="shared" si="826"/>
        <v>102717.69587751789</v>
      </c>
      <c r="O625" s="544"/>
      <c r="P625" s="568">
        <f t="shared" si="823"/>
        <v>4.3545288264569937E-2</v>
      </c>
      <c r="Q625" s="537"/>
      <c r="R625" s="535">
        <f t="shared" ref="R625:AW625" si="827">R561/R$571</f>
        <v>7309.7053537134507</v>
      </c>
      <c r="S625" s="535">
        <f t="shared" si="827"/>
        <v>7309.7053537134507</v>
      </c>
      <c r="T625" s="535">
        <f t="shared" si="827"/>
        <v>7309.7053537134507</v>
      </c>
      <c r="U625" s="535">
        <f t="shared" si="827"/>
        <v>7309.7053537134507</v>
      </c>
      <c r="V625" s="535">
        <f t="shared" si="827"/>
        <v>7309.7053537134507</v>
      </c>
      <c r="W625" s="535">
        <f t="shared" si="827"/>
        <v>7309.7053537134507</v>
      </c>
      <c r="X625" s="535">
        <f t="shared" si="827"/>
        <v>7309.7053537134507</v>
      </c>
      <c r="Y625" s="535">
        <f t="shared" si="827"/>
        <v>7309.7053537134507</v>
      </c>
      <c r="Z625" s="535">
        <f t="shared" si="827"/>
        <v>7309.7053537134507</v>
      </c>
      <c r="AA625" s="535">
        <f t="shared" si="827"/>
        <v>7309.7053537134507</v>
      </c>
      <c r="AB625" s="535">
        <f t="shared" si="827"/>
        <v>7309.7053537134507</v>
      </c>
      <c r="AC625" s="535">
        <f t="shared" si="827"/>
        <v>7309.7053537134507</v>
      </c>
      <c r="AD625" s="535">
        <f t="shared" si="827"/>
        <v>7629.6400072503338</v>
      </c>
      <c r="AE625" s="535">
        <f t="shared" si="827"/>
        <v>7629.6400072503338</v>
      </c>
      <c r="AF625" s="535">
        <f t="shared" si="827"/>
        <v>7629.6400072503338</v>
      </c>
      <c r="AG625" s="535">
        <f t="shared" si="827"/>
        <v>7629.6400072503338</v>
      </c>
      <c r="AH625" s="535">
        <f t="shared" si="827"/>
        <v>7629.6400072503338</v>
      </c>
      <c r="AI625" s="535">
        <f t="shared" si="827"/>
        <v>7629.6400072503338</v>
      </c>
      <c r="AJ625" s="535">
        <f t="shared" si="827"/>
        <v>7629.6400072503338</v>
      </c>
      <c r="AK625" s="535">
        <f t="shared" si="827"/>
        <v>7629.6400072503338</v>
      </c>
      <c r="AL625" s="535">
        <f t="shared" si="827"/>
        <v>7629.6400072503338</v>
      </c>
      <c r="AM625" s="535">
        <f t="shared" si="827"/>
        <v>7629.6400072503338</v>
      </c>
      <c r="AN625" s="535">
        <f t="shared" si="827"/>
        <v>7629.6400072503338</v>
      </c>
      <c r="AO625" s="535">
        <f t="shared" si="827"/>
        <v>7629.6400072503338</v>
      </c>
      <c r="AP625" s="535">
        <f t="shared" si="827"/>
        <v>7947.3130886333711</v>
      </c>
      <c r="AQ625" s="535">
        <f t="shared" si="827"/>
        <v>7947.3130886333711</v>
      </c>
      <c r="AR625" s="535">
        <f t="shared" si="827"/>
        <v>7947.3130886333711</v>
      </c>
      <c r="AS625" s="535">
        <f t="shared" si="827"/>
        <v>7947.3130886333711</v>
      </c>
      <c r="AT625" s="535">
        <f t="shared" si="827"/>
        <v>7947.3130886333711</v>
      </c>
      <c r="AU625" s="535">
        <f t="shared" si="827"/>
        <v>7947.3130886333711</v>
      </c>
      <c r="AV625" s="535">
        <f t="shared" si="827"/>
        <v>7947.3130886333711</v>
      </c>
      <c r="AW625" s="535">
        <f t="shared" si="827"/>
        <v>7947.3130886333711</v>
      </c>
      <c r="AX625" s="535">
        <f t="shared" ref="AX625:BY625" si="828">AX561/AX$571</f>
        <v>7947.3130886333711</v>
      </c>
      <c r="AY625" s="535">
        <f t="shared" si="828"/>
        <v>7947.3130886333711</v>
      </c>
      <c r="AZ625" s="535">
        <f t="shared" si="828"/>
        <v>7947.3130886333711</v>
      </c>
      <c r="BA625" s="535">
        <f t="shared" si="828"/>
        <v>7947.3130886333711</v>
      </c>
      <c r="BB625" s="535">
        <f t="shared" si="828"/>
        <v>8251.9631067795144</v>
      </c>
      <c r="BC625" s="535">
        <f t="shared" si="828"/>
        <v>8251.9631067795144</v>
      </c>
      <c r="BD625" s="535">
        <f t="shared" si="828"/>
        <v>8251.9631067795144</v>
      </c>
      <c r="BE625" s="535">
        <f t="shared" si="828"/>
        <v>8251.9631067795144</v>
      </c>
      <c r="BF625" s="535">
        <f t="shared" si="828"/>
        <v>8251.9631067795144</v>
      </c>
      <c r="BG625" s="535">
        <f t="shared" si="828"/>
        <v>8251.9631067795144</v>
      </c>
      <c r="BH625" s="535">
        <f t="shared" si="828"/>
        <v>8251.9631067795144</v>
      </c>
      <c r="BI625" s="535">
        <f t="shared" si="828"/>
        <v>8251.9631067795144</v>
      </c>
      <c r="BJ625" s="535">
        <f t="shared" si="828"/>
        <v>8251.9631067795144</v>
      </c>
      <c r="BK625" s="535">
        <f t="shared" si="828"/>
        <v>8251.9631067795144</v>
      </c>
      <c r="BL625" s="535">
        <f t="shared" si="828"/>
        <v>8251.9631067795144</v>
      </c>
      <c r="BM625" s="535">
        <f t="shared" si="828"/>
        <v>8251.9631067795144</v>
      </c>
      <c r="BN625" s="535">
        <f t="shared" si="828"/>
        <v>8559.8079897931566</v>
      </c>
      <c r="BO625" s="535">
        <f t="shared" si="828"/>
        <v>8559.8079897931566</v>
      </c>
      <c r="BP625" s="535">
        <f t="shared" si="828"/>
        <v>8559.8079897931566</v>
      </c>
      <c r="BQ625" s="535">
        <f t="shared" si="828"/>
        <v>8559.8079897931566</v>
      </c>
      <c r="BR625" s="535">
        <f t="shared" si="828"/>
        <v>8559.8079897931566</v>
      </c>
      <c r="BS625" s="535">
        <f t="shared" si="828"/>
        <v>8559.8079897931566</v>
      </c>
      <c r="BT625" s="535">
        <f t="shared" si="828"/>
        <v>8559.8079897931566</v>
      </c>
      <c r="BU625" s="535">
        <f t="shared" si="828"/>
        <v>8559.8079897931566</v>
      </c>
      <c r="BV625" s="535">
        <f t="shared" si="828"/>
        <v>8559.8079897931566</v>
      </c>
      <c r="BW625" s="535">
        <f t="shared" si="828"/>
        <v>8559.8079897931566</v>
      </c>
      <c r="BX625" s="535">
        <f t="shared" si="828"/>
        <v>8559.8079897931566</v>
      </c>
      <c r="BY625" s="535">
        <f t="shared" si="828"/>
        <v>8559.8079897931566</v>
      </c>
    </row>
    <row r="626" spans="1:77" x14ac:dyDescent="0.3">
      <c r="A626" s="551"/>
      <c r="B626" s="647"/>
      <c r="C626" s="668"/>
      <c r="D626" s="537"/>
      <c r="E626" s="2" t="s">
        <v>407</v>
      </c>
      <c r="F626" s="567"/>
      <c r="G626" s="567"/>
      <c r="H626" s="537"/>
      <c r="I626" s="531">
        <f t="shared" ref="I626:N626" si="829">I625/I615</f>
        <v>0.81290363238496677</v>
      </c>
      <c r="J626" s="531">
        <f t="shared" si="829"/>
        <v>0.82450395756187922</v>
      </c>
      <c r="K626" s="531">
        <f t="shared" si="829"/>
        <v>0.82735985070880669</v>
      </c>
      <c r="L626" s="531">
        <f t="shared" si="829"/>
        <v>0.8300225046265256</v>
      </c>
      <c r="M626" s="531">
        <f t="shared" si="829"/>
        <v>0.83236136476698019</v>
      </c>
      <c r="N626" s="531">
        <f t="shared" si="829"/>
        <v>0.83455805542095063</v>
      </c>
      <c r="O626" s="536"/>
      <c r="P626" s="564">
        <f>IFERROR(((N626/I626)^(1/5))-1,0)</f>
        <v>5.2717953920269345E-3</v>
      </c>
      <c r="Q626" s="537"/>
      <c r="R626" s="531">
        <f t="shared" ref="R626:AW626" si="830">R625/R615</f>
        <v>0.82450395756187933</v>
      </c>
      <c r="S626" s="531">
        <f t="shared" si="830"/>
        <v>0.82450395756187933</v>
      </c>
      <c r="T626" s="531">
        <f t="shared" si="830"/>
        <v>0.82450395756187933</v>
      </c>
      <c r="U626" s="531">
        <f t="shared" si="830"/>
        <v>0.82450395756187933</v>
      </c>
      <c r="V626" s="531">
        <f t="shared" si="830"/>
        <v>0.82450395756187933</v>
      </c>
      <c r="W626" s="531">
        <f t="shared" si="830"/>
        <v>0.82450395756187933</v>
      </c>
      <c r="X626" s="531">
        <f t="shared" si="830"/>
        <v>0.82450395756187933</v>
      </c>
      <c r="Y626" s="531">
        <f t="shared" si="830"/>
        <v>0.82450395756187933</v>
      </c>
      <c r="Z626" s="531">
        <f t="shared" si="830"/>
        <v>0.82450395756187933</v>
      </c>
      <c r="AA626" s="531">
        <f t="shared" si="830"/>
        <v>0.82450395756187933</v>
      </c>
      <c r="AB626" s="531">
        <f t="shared" si="830"/>
        <v>0.82450395756187933</v>
      </c>
      <c r="AC626" s="531">
        <f t="shared" si="830"/>
        <v>0.82450395756187933</v>
      </c>
      <c r="AD626" s="531">
        <f t="shared" si="830"/>
        <v>0.82735985070880669</v>
      </c>
      <c r="AE626" s="531">
        <f t="shared" si="830"/>
        <v>0.82735985070880669</v>
      </c>
      <c r="AF626" s="531">
        <f t="shared" si="830"/>
        <v>0.82735985070880669</v>
      </c>
      <c r="AG626" s="531">
        <f t="shared" si="830"/>
        <v>0.82735985070880669</v>
      </c>
      <c r="AH626" s="531">
        <f t="shared" si="830"/>
        <v>0.82735985070880669</v>
      </c>
      <c r="AI626" s="531">
        <f t="shared" si="830"/>
        <v>0.82735985070880669</v>
      </c>
      <c r="AJ626" s="531">
        <f t="shared" si="830"/>
        <v>0.82735985070880669</v>
      </c>
      <c r="AK626" s="531">
        <f t="shared" si="830"/>
        <v>0.82735985070880669</v>
      </c>
      <c r="AL626" s="531">
        <f t="shared" si="830"/>
        <v>0.82735985070880669</v>
      </c>
      <c r="AM626" s="531">
        <f t="shared" si="830"/>
        <v>0.82735985070880669</v>
      </c>
      <c r="AN626" s="531">
        <f t="shared" si="830"/>
        <v>0.82735985070880669</v>
      </c>
      <c r="AO626" s="531">
        <f t="shared" si="830"/>
        <v>0.82735985070880669</v>
      </c>
      <c r="AP626" s="531">
        <f t="shared" si="830"/>
        <v>0.83002250462652571</v>
      </c>
      <c r="AQ626" s="531">
        <f t="shared" si="830"/>
        <v>0.83002250462652571</v>
      </c>
      <c r="AR626" s="531">
        <f t="shared" si="830"/>
        <v>0.83002250462652571</v>
      </c>
      <c r="AS626" s="531">
        <f t="shared" si="830"/>
        <v>0.83002250462652571</v>
      </c>
      <c r="AT626" s="531">
        <f t="shared" si="830"/>
        <v>0.83002250462652571</v>
      </c>
      <c r="AU626" s="531">
        <f t="shared" si="830"/>
        <v>0.83002250462652571</v>
      </c>
      <c r="AV626" s="531">
        <f t="shared" si="830"/>
        <v>0.83002250462652571</v>
      </c>
      <c r="AW626" s="531">
        <f t="shared" si="830"/>
        <v>0.83002250462652571</v>
      </c>
      <c r="AX626" s="531">
        <f t="shared" ref="AX626:BY626" si="831">AX625/AX615</f>
        <v>0.83002250462652571</v>
      </c>
      <c r="AY626" s="531">
        <f t="shared" si="831"/>
        <v>0.83002250462652571</v>
      </c>
      <c r="AZ626" s="531">
        <f t="shared" si="831"/>
        <v>0.83002250462652571</v>
      </c>
      <c r="BA626" s="531">
        <f t="shared" si="831"/>
        <v>0.83002250462652571</v>
      </c>
      <c r="BB626" s="531">
        <f t="shared" si="831"/>
        <v>0.83236136476698019</v>
      </c>
      <c r="BC626" s="531">
        <f t="shared" si="831"/>
        <v>0.83236136476698019</v>
      </c>
      <c r="BD626" s="531">
        <f t="shared" si="831"/>
        <v>0.83236136476698019</v>
      </c>
      <c r="BE626" s="531">
        <f t="shared" si="831"/>
        <v>0.83236136476698019</v>
      </c>
      <c r="BF626" s="531">
        <f t="shared" si="831"/>
        <v>0.83236136476698019</v>
      </c>
      <c r="BG626" s="531">
        <f t="shared" si="831"/>
        <v>0.83236136476698019</v>
      </c>
      <c r="BH626" s="531">
        <f t="shared" si="831"/>
        <v>0.83236136476698019</v>
      </c>
      <c r="BI626" s="531">
        <f t="shared" si="831"/>
        <v>0.83236136476698019</v>
      </c>
      <c r="BJ626" s="531">
        <f t="shared" si="831"/>
        <v>0.83236136476698019</v>
      </c>
      <c r="BK626" s="531">
        <f t="shared" si="831"/>
        <v>0.83236136476698019</v>
      </c>
      <c r="BL626" s="531">
        <f t="shared" si="831"/>
        <v>0.83236136476698019</v>
      </c>
      <c r="BM626" s="531">
        <f t="shared" si="831"/>
        <v>0.83236136476698019</v>
      </c>
      <c r="BN626" s="531">
        <f t="shared" si="831"/>
        <v>0.83455805542095052</v>
      </c>
      <c r="BO626" s="531">
        <f t="shared" si="831"/>
        <v>0.83455805542095052</v>
      </c>
      <c r="BP626" s="531">
        <f t="shared" si="831"/>
        <v>0.83455805542095052</v>
      </c>
      <c r="BQ626" s="531">
        <f t="shared" si="831"/>
        <v>0.83455805542095052</v>
      </c>
      <c r="BR626" s="531">
        <f t="shared" si="831"/>
        <v>0.83455805542095052</v>
      </c>
      <c r="BS626" s="531">
        <f t="shared" si="831"/>
        <v>0.83455805542095052</v>
      </c>
      <c r="BT626" s="531">
        <f t="shared" si="831"/>
        <v>0.83455805542095052</v>
      </c>
      <c r="BU626" s="531">
        <f t="shared" si="831"/>
        <v>0.83455805542095052</v>
      </c>
      <c r="BV626" s="531">
        <f t="shared" si="831"/>
        <v>0.83455805542095052</v>
      </c>
      <c r="BW626" s="531">
        <f t="shared" si="831"/>
        <v>0.83455805542095052</v>
      </c>
      <c r="BX626" s="531">
        <f t="shared" si="831"/>
        <v>0.83455805542095052</v>
      </c>
      <c r="BY626" s="531">
        <f t="shared" si="831"/>
        <v>0.83455805542095052</v>
      </c>
    </row>
    <row r="627" spans="1:77" x14ac:dyDescent="0.3">
      <c r="A627" s="551"/>
      <c r="B627" s="647"/>
      <c r="C627" s="668"/>
      <c r="D627" s="537"/>
      <c r="E627" s="525"/>
      <c r="F627" s="567"/>
      <c r="G627" s="567"/>
      <c r="H627" s="537"/>
      <c r="I627" s="544"/>
      <c r="J627" s="544"/>
      <c r="K627" s="544"/>
      <c r="L627" s="544"/>
      <c r="M627" s="544"/>
      <c r="N627" s="544"/>
      <c r="O627" s="529"/>
      <c r="P627" s="564"/>
      <c r="Q627" s="537"/>
      <c r="R627" s="544"/>
      <c r="S627" s="544"/>
      <c r="T627" s="544"/>
      <c r="U627" s="544"/>
      <c r="V627" s="544"/>
      <c r="W627" s="544"/>
      <c r="X627" s="544"/>
      <c r="Y627" s="544"/>
      <c r="Z627" s="544"/>
      <c r="AA627" s="544"/>
      <c r="AB627" s="544"/>
      <c r="AC627" s="544"/>
      <c r="AD627" s="544"/>
      <c r="AE627" s="544"/>
      <c r="AF627" s="544"/>
      <c r="AG627" s="544"/>
      <c r="AH627" s="544"/>
      <c r="AI627" s="544"/>
      <c r="AJ627" s="544"/>
      <c r="AK627" s="544"/>
      <c r="AL627" s="544"/>
      <c r="AM627" s="544"/>
      <c r="AN627" s="544"/>
      <c r="AO627" s="544"/>
      <c r="AP627" s="544"/>
      <c r="AQ627" s="544"/>
      <c r="AR627" s="544"/>
      <c r="AS627" s="544"/>
      <c r="AT627" s="544"/>
      <c r="AU627" s="544"/>
      <c r="AV627" s="544"/>
      <c r="AW627" s="544"/>
      <c r="AX627" s="544"/>
      <c r="AY627" s="544"/>
      <c r="AZ627" s="544"/>
      <c r="BA627" s="544"/>
      <c r="BB627" s="544"/>
      <c r="BC627" s="544"/>
      <c r="BD627" s="544"/>
      <c r="BE627" s="544"/>
      <c r="BF627" s="544"/>
      <c r="BG627" s="544"/>
      <c r="BH627" s="544"/>
      <c r="BI627" s="544"/>
      <c r="BJ627" s="544"/>
      <c r="BK627" s="544"/>
      <c r="BL627" s="544"/>
      <c r="BM627" s="544"/>
      <c r="BN627" s="544"/>
      <c r="BO627" s="544"/>
      <c r="BP627" s="544"/>
      <c r="BQ627" s="544"/>
      <c r="BR627" s="544"/>
      <c r="BS627" s="544"/>
      <c r="BT627" s="544"/>
      <c r="BU627" s="544"/>
      <c r="BV627" s="544"/>
      <c r="BW627" s="544"/>
      <c r="BX627" s="544"/>
      <c r="BY627" s="544"/>
    </row>
    <row r="628" spans="1:77" x14ac:dyDescent="0.3">
      <c r="A628" s="551"/>
      <c r="B628" s="647"/>
      <c r="C628" s="668"/>
      <c r="D628" s="537"/>
      <c r="E628" s="525" t="s">
        <v>70</v>
      </c>
      <c r="F628" s="567"/>
      <c r="G628" s="567"/>
      <c r="H628" s="537"/>
      <c r="I628" s="580">
        <v>0</v>
      </c>
      <c r="J628" s="528">
        <v>0</v>
      </c>
      <c r="K628" s="528">
        <v>0</v>
      </c>
      <c r="L628" s="528">
        <v>0</v>
      </c>
      <c r="M628" s="528">
        <v>0</v>
      </c>
      <c r="N628" s="528">
        <v>0</v>
      </c>
      <c r="O628" s="529"/>
      <c r="P628" s="564">
        <f>IFERROR(((N628/I628)^(1/5))-1,0)</f>
        <v>0</v>
      </c>
      <c r="Q628" s="537"/>
      <c r="R628" s="528">
        <v>0</v>
      </c>
      <c r="S628" s="528">
        <v>0</v>
      </c>
      <c r="T628" s="528">
        <v>0</v>
      </c>
      <c r="U628" s="528">
        <v>0</v>
      </c>
      <c r="V628" s="528">
        <v>0</v>
      </c>
      <c r="W628" s="528">
        <v>0</v>
      </c>
      <c r="X628" s="528">
        <v>0</v>
      </c>
      <c r="Y628" s="528">
        <v>0</v>
      </c>
      <c r="Z628" s="528">
        <v>0</v>
      </c>
      <c r="AA628" s="528">
        <v>0</v>
      </c>
      <c r="AB628" s="528">
        <v>0</v>
      </c>
      <c r="AC628" s="528">
        <v>0</v>
      </c>
      <c r="AD628" s="528">
        <v>0</v>
      </c>
      <c r="AE628" s="528">
        <v>0</v>
      </c>
      <c r="AF628" s="528">
        <v>0</v>
      </c>
      <c r="AG628" s="528">
        <v>0</v>
      </c>
      <c r="AH628" s="528">
        <v>0</v>
      </c>
      <c r="AI628" s="528">
        <v>0</v>
      </c>
      <c r="AJ628" s="528">
        <v>0</v>
      </c>
      <c r="AK628" s="528">
        <v>0</v>
      </c>
      <c r="AL628" s="528">
        <v>0</v>
      </c>
      <c r="AM628" s="528">
        <v>0</v>
      </c>
      <c r="AN628" s="528">
        <v>0</v>
      </c>
      <c r="AO628" s="528">
        <v>0</v>
      </c>
      <c r="AP628" s="528">
        <v>0</v>
      </c>
      <c r="AQ628" s="528">
        <v>0</v>
      </c>
      <c r="AR628" s="528">
        <v>0</v>
      </c>
      <c r="AS628" s="528">
        <v>0</v>
      </c>
      <c r="AT628" s="528">
        <v>0</v>
      </c>
      <c r="AU628" s="528">
        <v>0</v>
      </c>
      <c r="AV628" s="528">
        <v>0</v>
      </c>
      <c r="AW628" s="528">
        <v>0</v>
      </c>
      <c r="AX628" s="528">
        <v>0</v>
      </c>
      <c r="AY628" s="528">
        <v>0</v>
      </c>
      <c r="AZ628" s="528">
        <v>0</v>
      </c>
      <c r="BA628" s="528">
        <v>0</v>
      </c>
      <c r="BB628" s="528">
        <v>0</v>
      </c>
      <c r="BC628" s="528">
        <v>0</v>
      </c>
      <c r="BD628" s="528">
        <v>0</v>
      </c>
      <c r="BE628" s="528">
        <v>0</v>
      </c>
      <c r="BF628" s="528">
        <v>0</v>
      </c>
      <c r="BG628" s="528">
        <v>0</v>
      </c>
      <c r="BH628" s="528">
        <v>0</v>
      </c>
      <c r="BI628" s="528">
        <v>0</v>
      </c>
      <c r="BJ628" s="528">
        <v>0</v>
      </c>
      <c r="BK628" s="528">
        <v>0</v>
      </c>
      <c r="BL628" s="528">
        <v>0</v>
      </c>
      <c r="BM628" s="528">
        <v>0</v>
      </c>
      <c r="BN628" s="528">
        <v>0</v>
      </c>
      <c r="BO628" s="528">
        <v>0</v>
      </c>
      <c r="BP628" s="528">
        <v>0</v>
      </c>
      <c r="BQ628" s="528">
        <v>0</v>
      </c>
      <c r="BR628" s="528">
        <v>0</v>
      </c>
      <c r="BS628" s="528">
        <v>0</v>
      </c>
      <c r="BT628" s="528">
        <v>0</v>
      </c>
      <c r="BU628" s="528">
        <v>0</v>
      </c>
      <c r="BV628" s="528">
        <v>0</v>
      </c>
      <c r="BW628" s="528">
        <v>0</v>
      </c>
      <c r="BX628" s="528">
        <v>0</v>
      </c>
      <c r="BY628" s="528">
        <v>0</v>
      </c>
    </row>
    <row r="629" spans="1:77" x14ac:dyDescent="0.3">
      <c r="A629" s="551"/>
      <c r="B629" s="647"/>
      <c r="C629" s="668"/>
      <c r="D629" s="537"/>
      <c r="E629" s="525" t="s">
        <v>185</v>
      </c>
      <c r="F629" s="567"/>
      <c r="G629" s="567"/>
      <c r="H629" s="537"/>
      <c r="I629" s="580">
        <v>0</v>
      </c>
      <c r="J629" s="528">
        <v>0</v>
      </c>
      <c r="K629" s="528">
        <v>0</v>
      </c>
      <c r="L629" s="528">
        <v>0</v>
      </c>
      <c r="M629" s="528">
        <v>0</v>
      </c>
      <c r="N629" s="528">
        <v>0</v>
      </c>
      <c r="O629" s="544"/>
      <c r="P629" s="564">
        <f t="shared" si="823"/>
        <v>0</v>
      </c>
      <c r="Q629" s="537"/>
      <c r="R629" s="528">
        <v>0</v>
      </c>
      <c r="S629" s="528">
        <v>0</v>
      </c>
      <c r="T629" s="528">
        <v>0</v>
      </c>
      <c r="U629" s="528">
        <v>0</v>
      </c>
      <c r="V629" s="528">
        <v>0</v>
      </c>
      <c r="W629" s="528">
        <v>0</v>
      </c>
      <c r="X629" s="528">
        <v>0</v>
      </c>
      <c r="Y629" s="528">
        <v>0</v>
      </c>
      <c r="Z629" s="528">
        <v>0</v>
      </c>
      <c r="AA629" s="528">
        <v>0</v>
      </c>
      <c r="AB629" s="528">
        <v>0</v>
      </c>
      <c r="AC629" s="528">
        <v>0</v>
      </c>
      <c r="AD629" s="528">
        <v>0</v>
      </c>
      <c r="AE629" s="528">
        <v>0</v>
      </c>
      <c r="AF629" s="528">
        <v>0</v>
      </c>
      <c r="AG629" s="528">
        <v>0</v>
      </c>
      <c r="AH629" s="528">
        <v>0</v>
      </c>
      <c r="AI629" s="528">
        <v>0</v>
      </c>
      <c r="AJ629" s="528">
        <v>0</v>
      </c>
      <c r="AK629" s="528">
        <v>0</v>
      </c>
      <c r="AL629" s="528">
        <v>0</v>
      </c>
      <c r="AM629" s="528">
        <v>0</v>
      </c>
      <c r="AN629" s="528">
        <v>0</v>
      </c>
      <c r="AO629" s="528">
        <v>0</v>
      </c>
      <c r="AP629" s="528">
        <v>0</v>
      </c>
      <c r="AQ629" s="528">
        <v>0</v>
      </c>
      <c r="AR629" s="528">
        <v>0</v>
      </c>
      <c r="AS629" s="528">
        <v>0</v>
      </c>
      <c r="AT629" s="528">
        <v>0</v>
      </c>
      <c r="AU629" s="528">
        <v>0</v>
      </c>
      <c r="AV629" s="528">
        <v>0</v>
      </c>
      <c r="AW629" s="528">
        <v>0</v>
      </c>
      <c r="AX629" s="528">
        <v>0</v>
      </c>
      <c r="AY629" s="528">
        <v>0</v>
      </c>
      <c r="AZ629" s="528">
        <v>0</v>
      </c>
      <c r="BA629" s="528">
        <v>0</v>
      </c>
      <c r="BB629" s="528">
        <v>0</v>
      </c>
      <c r="BC629" s="528">
        <v>0</v>
      </c>
      <c r="BD629" s="528">
        <v>0</v>
      </c>
      <c r="BE629" s="528">
        <v>0</v>
      </c>
      <c r="BF629" s="528">
        <v>0</v>
      </c>
      <c r="BG629" s="528">
        <v>0</v>
      </c>
      <c r="BH629" s="528">
        <v>0</v>
      </c>
      <c r="BI629" s="528">
        <v>0</v>
      </c>
      <c r="BJ629" s="528">
        <v>0</v>
      </c>
      <c r="BK629" s="528">
        <v>0</v>
      </c>
      <c r="BL629" s="528">
        <v>0</v>
      </c>
      <c r="BM629" s="528">
        <v>0</v>
      </c>
      <c r="BN629" s="528">
        <v>0</v>
      </c>
      <c r="BO629" s="528">
        <v>0</v>
      </c>
      <c r="BP629" s="528">
        <v>0</v>
      </c>
      <c r="BQ629" s="528">
        <v>0</v>
      </c>
      <c r="BR629" s="528">
        <v>0</v>
      </c>
      <c r="BS629" s="528">
        <v>0</v>
      </c>
      <c r="BT629" s="528">
        <v>0</v>
      </c>
      <c r="BU629" s="528">
        <v>0</v>
      </c>
      <c r="BV629" s="528">
        <v>0</v>
      </c>
      <c r="BW629" s="528">
        <v>0</v>
      </c>
      <c r="BX629" s="528">
        <v>0</v>
      </c>
      <c r="BY629" s="528">
        <v>0</v>
      </c>
    </row>
    <row r="630" spans="1:77" x14ac:dyDescent="0.3">
      <c r="A630" s="551"/>
      <c r="B630" s="647"/>
      <c r="C630" s="668"/>
      <c r="D630" s="537"/>
      <c r="E630" s="525" t="s">
        <v>370</v>
      </c>
      <c r="F630" s="567"/>
      <c r="G630" s="567"/>
      <c r="H630" s="537"/>
      <c r="I630" s="580">
        <v>0</v>
      </c>
      <c r="J630" s="528">
        <v>0</v>
      </c>
      <c r="K630" s="528">
        <v>0</v>
      </c>
      <c r="L630" s="528">
        <v>0</v>
      </c>
      <c r="M630" s="528">
        <v>0</v>
      </c>
      <c r="N630" s="528">
        <v>0</v>
      </c>
      <c r="O630" s="544"/>
      <c r="P630" s="564">
        <f>IFERROR(((N630/I630)^(1/5))-1,0)</f>
        <v>0</v>
      </c>
      <c r="Q630" s="537"/>
      <c r="R630" s="528">
        <v>0</v>
      </c>
      <c r="S630" s="528">
        <v>0</v>
      </c>
      <c r="T630" s="528">
        <v>0</v>
      </c>
      <c r="U630" s="528">
        <v>0</v>
      </c>
      <c r="V630" s="528">
        <v>0</v>
      </c>
      <c r="W630" s="528">
        <v>0</v>
      </c>
      <c r="X630" s="528">
        <v>0</v>
      </c>
      <c r="Y630" s="528">
        <v>0</v>
      </c>
      <c r="Z630" s="528">
        <v>0</v>
      </c>
      <c r="AA630" s="528">
        <v>0</v>
      </c>
      <c r="AB630" s="528">
        <v>0</v>
      </c>
      <c r="AC630" s="528">
        <v>0</v>
      </c>
      <c r="AD630" s="528">
        <v>0</v>
      </c>
      <c r="AE630" s="528">
        <v>0</v>
      </c>
      <c r="AF630" s="528">
        <v>0</v>
      </c>
      <c r="AG630" s="528">
        <v>0</v>
      </c>
      <c r="AH630" s="528">
        <v>0</v>
      </c>
      <c r="AI630" s="528">
        <v>0</v>
      </c>
      <c r="AJ630" s="528">
        <v>0</v>
      </c>
      <c r="AK630" s="528">
        <v>0</v>
      </c>
      <c r="AL630" s="528">
        <v>0</v>
      </c>
      <c r="AM630" s="528">
        <v>0</v>
      </c>
      <c r="AN630" s="528">
        <v>0</v>
      </c>
      <c r="AO630" s="528">
        <v>0</v>
      </c>
      <c r="AP630" s="528">
        <v>0</v>
      </c>
      <c r="AQ630" s="528">
        <v>0</v>
      </c>
      <c r="AR630" s="528">
        <v>0</v>
      </c>
      <c r="AS630" s="528">
        <v>0</v>
      </c>
      <c r="AT630" s="528">
        <v>0</v>
      </c>
      <c r="AU630" s="528">
        <v>0</v>
      </c>
      <c r="AV630" s="528">
        <v>0</v>
      </c>
      <c r="AW630" s="528">
        <v>0</v>
      </c>
      <c r="AX630" s="528">
        <v>0</v>
      </c>
      <c r="AY630" s="528">
        <v>0</v>
      </c>
      <c r="AZ630" s="528">
        <v>0</v>
      </c>
      <c r="BA630" s="528">
        <v>0</v>
      </c>
      <c r="BB630" s="528">
        <v>0</v>
      </c>
      <c r="BC630" s="528">
        <v>0</v>
      </c>
      <c r="BD630" s="528">
        <v>0</v>
      </c>
      <c r="BE630" s="528">
        <v>0</v>
      </c>
      <c r="BF630" s="528">
        <v>0</v>
      </c>
      <c r="BG630" s="528">
        <v>0</v>
      </c>
      <c r="BH630" s="528">
        <v>0</v>
      </c>
      <c r="BI630" s="528">
        <v>0</v>
      </c>
      <c r="BJ630" s="528">
        <v>0</v>
      </c>
      <c r="BK630" s="528">
        <v>0</v>
      </c>
      <c r="BL630" s="528">
        <v>0</v>
      </c>
      <c r="BM630" s="528">
        <v>0</v>
      </c>
      <c r="BN630" s="528">
        <v>0</v>
      </c>
      <c r="BO630" s="528">
        <v>0</v>
      </c>
      <c r="BP630" s="528">
        <v>0</v>
      </c>
      <c r="BQ630" s="528">
        <v>0</v>
      </c>
      <c r="BR630" s="528">
        <v>0</v>
      </c>
      <c r="BS630" s="528">
        <v>0</v>
      </c>
      <c r="BT630" s="528">
        <v>0</v>
      </c>
      <c r="BU630" s="528">
        <v>0</v>
      </c>
      <c r="BV630" s="528">
        <v>0</v>
      </c>
      <c r="BW630" s="528">
        <v>0</v>
      </c>
      <c r="BX630" s="528">
        <v>0</v>
      </c>
      <c r="BY630" s="528">
        <v>0</v>
      </c>
    </row>
    <row r="631" spans="1:77" x14ac:dyDescent="0.3">
      <c r="A631" s="551"/>
      <c r="B631" s="647"/>
      <c r="C631" s="668"/>
      <c r="D631" s="537"/>
      <c r="E631" s="578" t="s">
        <v>71</v>
      </c>
      <c r="F631" s="579"/>
      <c r="G631" s="579"/>
      <c r="H631" s="537"/>
      <c r="I631" s="535">
        <f t="shared" ref="I631:N631" si="832">I567/I$571</f>
        <v>77502.144700819088</v>
      </c>
      <c r="J631" s="535">
        <f t="shared" si="832"/>
        <v>87716.464244561401</v>
      </c>
      <c r="K631" s="535">
        <f t="shared" si="832"/>
        <v>91555.680087004017</v>
      </c>
      <c r="L631" s="535">
        <f t="shared" si="832"/>
        <v>95367.757063600438</v>
      </c>
      <c r="M631" s="535">
        <f t="shared" si="832"/>
        <v>99023.557281354209</v>
      </c>
      <c r="N631" s="535">
        <f t="shared" si="832"/>
        <v>102717.69587751789</v>
      </c>
      <c r="O631" s="544"/>
      <c r="P631" s="568">
        <f t="shared" si="823"/>
        <v>5.795284215580887E-2</v>
      </c>
      <c r="Q631" s="537"/>
      <c r="R631" s="535">
        <f t="shared" ref="R631:BY631" si="833">R567/R$571</f>
        <v>7309.7053537134507</v>
      </c>
      <c r="S631" s="535">
        <f t="shared" si="833"/>
        <v>7309.7053537134507</v>
      </c>
      <c r="T631" s="535">
        <f t="shared" si="833"/>
        <v>7309.7053537134507</v>
      </c>
      <c r="U631" s="535">
        <f t="shared" si="833"/>
        <v>7309.7053537134507</v>
      </c>
      <c r="V631" s="535">
        <f t="shared" si="833"/>
        <v>7309.7053537134507</v>
      </c>
      <c r="W631" s="535">
        <f t="shared" si="833"/>
        <v>7309.7053537134507</v>
      </c>
      <c r="X631" s="535">
        <f t="shared" si="833"/>
        <v>7309.7053537134507</v>
      </c>
      <c r="Y631" s="535">
        <f t="shared" si="833"/>
        <v>7309.7053537134507</v>
      </c>
      <c r="Z631" s="535">
        <f t="shared" si="833"/>
        <v>7309.7053537134507</v>
      </c>
      <c r="AA631" s="535">
        <f t="shared" si="833"/>
        <v>7309.7053537134507</v>
      </c>
      <c r="AB631" s="535">
        <f t="shared" si="833"/>
        <v>7309.7053537134507</v>
      </c>
      <c r="AC631" s="535">
        <f t="shared" si="833"/>
        <v>7309.7053537134507</v>
      </c>
      <c r="AD631" s="535">
        <f t="shared" si="833"/>
        <v>7629.6400072503338</v>
      </c>
      <c r="AE631" s="535">
        <f t="shared" si="833"/>
        <v>7629.6400072503338</v>
      </c>
      <c r="AF631" s="535">
        <f t="shared" si="833"/>
        <v>7629.6400072503338</v>
      </c>
      <c r="AG631" s="535">
        <f t="shared" si="833"/>
        <v>7629.6400072503338</v>
      </c>
      <c r="AH631" s="535">
        <f t="shared" si="833"/>
        <v>7629.6400072503338</v>
      </c>
      <c r="AI631" s="535">
        <f t="shared" si="833"/>
        <v>7629.6400072503338</v>
      </c>
      <c r="AJ631" s="535">
        <f t="shared" si="833"/>
        <v>7629.6400072503338</v>
      </c>
      <c r="AK631" s="535">
        <f t="shared" si="833"/>
        <v>7629.6400072503338</v>
      </c>
      <c r="AL631" s="535">
        <f t="shared" si="833"/>
        <v>7629.6400072503338</v>
      </c>
      <c r="AM631" s="535">
        <f t="shared" si="833"/>
        <v>7629.6400072503338</v>
      </c>
      <c r="AN631" s="535">
        <f t="shared" si="833"/>
        <v>7629.6400072503338</v>
      </c>
      <c r="AO631" s="535">
        <f t="shared" si="833"/>
        <v>7629.6400072503338</v>
      </c>
      <c r="AP631" s="535">
        <f t="shared" si="833"/>
        <v>7947.3130886333711</v>
      </c>
      <c r="AQ631" s="535">
        <f t="shared" si="833"/>
        <v>7947.3130886333711</v>
      </c>
      <c r="AR631" s="535">
        <f t="shared" si="833"/>
        <v>7947.3130886333711</v>
      </c>
      <c r="AS631" s="535">
        <f t="shared" si="833"/>
        <v>7947.3130886333711</v>
      </c>
      <c r="AT631" s="535">
        <f t="shared" si="833"/>
        <v>7947.3130886333711</v>
      </c>
      <c r="AU631" s="535">
        <f t="shared" si="833"/>
        <v>7947.3130886333711</v>
      </c>
      <c r="AV631" s="535">
        <f t="shared" si="833"/>
        <v>7947.3130886333711</v>
      </c>
      <c r="AW631" s="535">
        <f t="shared" si="833"/>
        <v>7947.3130886333711</v>
      </c>
      <c r="AX631" s="535">
        <f t="shared" si="833"/>
        <v>7947.3130886333711</v>
      </c>
      <c r="AY631" s="535">
        <f t="shared" si="833"/>
        <v>7947.3130886333711</v>
      </c>
      <c r="AZ631" s="535">
        <f t="shared" si="833"/>
        <v>7947.3130886333711</v>
      </c>
      <c r="BA631" s="535">
        <f t="shared" si="833"/>
        <v>7947.3130886333711</v>
      </c>
      <c r="BB631" s="535">
        <f t="shared" si="833"/>
        <v>8251.9631067795144</v>
      </c>
      <c r="BC631" s="535">
        <f t="shared" si="833"/>
        <v>8251.9631067795144</v>
      </c>
      <c r="BD631" s="535">
        <f t="shared" si="833"/>
        <v>8251.9631067795144</v>
      </c>
      <c r="BE631" s="535">
        <f t="shared" si="833"/>
        <v>8251.9631067795144</v>
      </c>
      <c r="BF631" s="535">
        <f t="shared" si="833"/>
        <v>8251.9631067795144</v>
      </c>
      <c r="BG631" s="535">
        <f t="shared" si="833"/>
        <v>8251.9631067795144</v>
      </c>
      <c r="BH631" s="535">
        <f t="shared" si="833"/>
        <v>8251.9631067795144</v>
      </c>
      <c r="BI631" s="535">
        <f t="shared" si="833"/>
        <v>8251.9631067795144</v>
      </c>
      <c r="BJ631" s="535">
        <f t="shared" si="833"/>
        <v>8251.9631067795144</v>
      </c>
      <c r="BK631" s="535">
        <f t="shared" si="833"/>
        <v>8251.9631067795144</v>
      </c>
      <c r="BL631" s="535">
        <f t="shared" si="833"/>
        <v>8251.9631067795144</v>
      </c>
      <c r="BM631" s="535">
        <f t="shared" si="833"/>
        <v>8251.9631067795144</v>
      </c>
      <c r="BN631" s="535">
        <f t="shared" si="833"/>
        <v>8559.8079897931566</v>
      </c>
      <c r="BO631" s="535">
        <f t="shared" si="833"/>
        <v>8559.8079897931566</v>
      </c>
      <c r="BP631" s="535">
        <f t="shared" si="833"/>
        <v>8559.8079897931566</v>
      </c>
      <c r="BQ631" s="535">
        <f t="shared" si="833"/>
        <v>8559.8079897931566</v>
      </c>
      <c r="BR631" s="535">
        <f t="shared" si="833"/>
        <v>8559.8079897931566</v>
      </c>
      <c r="BS631" s="535">
        <f t="shared" si="833"/>
        <v>8559.8079897931566</v>
      </c>
      <c r="BT631" s="535">
        <f t="shared" si="833"/>
        <v>8559.8079897931566</v>
      </c>
      <c r="BU631" s="535">
        <f t="shared" si="833"/>
        <v>8559.8079897931566</v>
      </c>
      <c r="BV631" s="535">
        <f t="shared" si="833"/>
        <v>8559.8079897931566</v>
      </c>
      <c r="BW631" s="535">
        <f t="shared" si="833"/>
        <v>8559.8079897931566</v>
      </c>
      <c r="BX631" s="535">
        <f t="shared" si="833"/>
        <v>8559.8079897931566</v>
      </c>
      <c r="BY631" s="535">
        <f t="shared" si="833"/>
        <v>8559.8079897931566</v>
      </c>
    </row>
    <row r="632" spans="1:77" x14ac:dyDescent="0.3">
      <c r="A632" s="551"/>
      <c r="B632" s="647"/>
      <c r="C632" s="668"/>
      <c r="D632" s="537"/>
      <c r="E632" s="537"/>
      <c r="F632" s="537"/>
      <c r="G632" s="537"/>
      <c r="H632" s="537"/>
      <c r="I632" s="537"/>
      <c r="J632" s="537"/>
      <c r="K632" s="537"/>
      <c r="L632" s="537"/>
      <c r="M632" s="537"/>
      <c r="N632" s="537"/>
      <c r="O632" s="537"/>
      <c r="P632" s="547"/>
      <c r="Q632" s="537"/>
      <c r="R632" s="537"/>
      <c r="S632" s="537"/>
      <c r="T632" s="537"/>
      <c r="U632" s="537"/>
      <c r="V632" s="537"/>
      <c r="W632" s="537"/>
      <c r="X632" s="537"/>
      <c r="Y632" s="537"/>
      <c r="Z632" s="537"/>
      <c r="AA632" s="537"/>
      <c r="AB632" s="537"/>
      <c r="AC632" s="537"/>
      <c r="AD632" s="537"/>
      <c r="AE632" s="537"/>
      <c r="AF632" s="537"/>
      <c r="AG632" s="537"/>
      <c r="AH632" s="537"/>
      <c r="AI632" s="537"/>
      <c r="AJ632" s="537"/>
      <c r="AK632" s="537"/>
      <c r="AL632" s="537"/>
      <c r="AM632" s="537"/>
      <c r="AN632" s="537"/>
      <c r="AO632" s="537"/>
      <c r="AP632" s="537"/>
      <c r="AQ632" s="537"/>
      <c r="AR632" s="537"/>
      <c r="AS632" s="537"/>
      <c r="AT632" s="537"/>
      <c r="AU632" s="537"/>
      <c r="AV632" s="537"/>
      <c r="AW632" s="537"/>
      <c r="AX632" s="537"/>
      <c r="AY632" s="537"/>
      <c r="AZ632" s="537"/>
      <c r="BA632" s="537"/>
      <c r="BB632" s="537"/>
      <c r="BC632" s="537"/>
      <c r="BD632" s="537"/>
      <c r="BE632" s="537"/>
      <c r="BF632" s="537"/>
      <c r="BG632" s="537"/>
      <c r="BH632" s="537"/>
      <c r="BI632" s="537"/>
      <c r="BJ632" s="537"/>
      <c r="BK632" s="537"/>
      <c r="BL632" s="537"/>
      <c r="BM632" s="537"/>
      <c r="BN632" s="537"/>
      <c r="BO632" s="537"/>
      <c r="BP632" s="537"/>
      <c r="BQ632" s="537"/>
      <c r="BR632" s="537"/>
      <c r="BS632" s="537"/>
      <c r="BT632" s="537"/>
      <c r="BU632" s="537"/>
      <c r="BV632" s="537"/>
      <c r="BW632" s="537"/>
      <c r="BX632" s="537"/>
      <c r="BY632" s="537"/>
    </row>
    <row r="633" spans="1:77" x14ac:dyDescent="0.3">
      <c r="A633" s="551"/>
      <c r="B633" s="647"/>
      <c r="C633" s="668"/>
      <c r="D633" s="537"/>
      <c r="E633" s="537"/>
      <c r="F633" s="537"/>
      <c r="G633" s="537"/>
      <c r="H633" s="537"/>
      <c r="I633" s="546"/>
      <c r="J633" s="546"/>
      <c r="K633" s="546"/>
      <c r="L633" s="546"/>
      <c r="M633" s="546"/>
      <c r="N633" s="546"/>
      <c r="O633" s="546"/>
      <c r="P633" s="669"/>
      <c r="Q633" s="537"/>
      <c r="R633" s="546"/>
      <c r="S633" s="546"/>
      <c r="T633" s="546"/>
      <c r="U633" s="546"/>
      <c r="V633" s="546"/>
      <c r="W633" s="546"/>
      <c r="X633" s="546"/>
      <c r="Y633" s="546"/>
      <c r="Z633" s="546"/>
      <c r="AA633" s="546"/>
      <c r="AB633" s="546"/>
      <c r="AC633" s="546"/>
      <c r="AD633" s="546"/>
      <c r="AE633" s="546"/>
      <c r="AF633" s="546"/>
      <c r="AG633" s="546"/>
      <c r="AH633" s="546"/>
      <c r="AI633" s="546"/>
      <c r="AJ633" s="546"/>
      <c r="AK633" s="546"/>
      <c r="AL633" s="546"/>
      <c r="AM633" s="546"/>
      <c r="AN633" s="546"/>
      <c r="AO633" s="546"/>
      <c r="AP633" s="546"/>
      <c r="AQ633" s="546"/>
      <c r="AR633" s="546"/>
      <c r="AS633" s="546"/>
      <c r="AT633" s="546"/>
      <c r="AU633" s="546"/>
      <c r="AV633" s="546"/>
      <c r="AW633" s="546"/>
      <c r="AX633" s="546"/>
      <c r="AY633" s="546"/>
      <c r="AZ633" s="546"/>
      <c r="BA633" s="546"/>
      <c r="BB633" s="546"/>
      <c r="BC633" s="546"/>
      <c r="BD633" s="546"/>
      <c r="BE633" s="546"/>
      <c r="BF633" s="546"/>
      <c r="BG633" s="546"/>
      <c r="BH633" s="546"/>
      <c r="BI633" s="546"/>
      <c r="BJ633" s="546"/>
      <c r="BK633" s="546"/>
      <c r="BL633" s="546"/>
      <c r="BM633" s="546"/>
      <c r="BN633" s="546"/>
      <c r="BO633" s="546"/>
      <c r="BP633" s="546"/>
      <c r="BQ633" s="546"/>
      <c r="BR633" s="546"/>
      <c r="BS633" s="546"/>
      <c r="BT633" s="546"/>
      <c r="BU633" s="546"/>
      <c r="BV633" s="546"/>
      <c r="BW633" s="546"/>
      <c r="BX633" s="546"/>
      <c r="BY633" s="546"/>
    </row>
    <row r="634" spans="1:77" x14ac:dyDescent="0.3">
      <c r="A634" s="551"/>
      <c r="B634" s="647"/>
      <c r="C634" s="668"/>
      <c r="D634" s="537"/>
      <c r="E634" s="537"/>
      <c r="F634" s="537"/>
      <c r="G634" s="537"/>
      <c r="H634" s="537"/>
      <c r="I634" s="537"/>
      <c r="J634" s="537"/>
      <c r="K634" s="537"/>
      <c r="L634" s="537"/>
      <c r="M634" s="537"/>
      <c r="N634" s="537"/>
      <c r="O634" s="537"/>
      <c r="P634" s="547"/>
      <c r="Q634" s="537"/>
      <c r="R634" s="537"/>
      <c r="S634" s="537"/>
      <c r="T634" s="537"/>
      <c r="U634" s="537"/>
      <c r="V634" s="537"/>
      <c r="W634" s="537"/>
      <c r="X634" s="537"/>
      <c r="Y634" s="537"/>
      <c r="Z634" s="537"/>
      <c r="AA634" s="537"/>
      <c r="AB634" s="537"/>
      <c r="AC634" s="537"/>
      <c r="AD634" s="537"/>
      <c r="AE634" s="537"/>
      <c r="AF634" s="537"/>
      <c r="AG634" s="537"/>
      <c r="AH634" s="537"/>
      <c r="AI634" s="537"/>
      <c r="AJ634" s="537"/>
      <c r="AK634" s="537"/>
      <c r="AL634" s="537"/>
      <c r="AM634" s="537"/>
      <c r="AN634" s="537"/>
      <c r="AO634" s="537"/>
      <c r="AP634" s="537"/>
      <c r="AQ634" s="537"/>
      <c r="AR634" s="537"/>
      <c r="AS634" s="537"/>
      <c r="AT634" s="537"/>
      <c r="AU634" s="537"/>
      <c r="AV634" s="537"/>
      <c r="AW634" s="537"/>
      <c r="AX634" s="537"/>
      <c r="AY634" s="537"/>
      <c r="AZ634" s="537"/>
      <c r="BA634" s="537"/>
      <c r="BB634" s="537"/>
      <c r="BC634" s="537"/>
      <c r="BD634" s="537"/>
      <c r="BE634" s="537"/>
      <c r="BF634" s="537"/>
      <c r="BG634" s="537"/>
      <c r="BH634" s="537"/>
      <c r="BI634" s="537"/>
      <c r="BJ634" s="537"/>
      <c r="BK634" s="537"/>
      <c r="BL634" s="537"/>
      <c r="BM634" s="537"/>
      <c r="BN634" s="537"/>
      <c r="BO634" s="537"/>
      <c r="BP634" s="537"/>
      <c r="BQ634" s="537"/>
      <c r="BR634" s="537"/>
      <c r="BS634" s="537"/>
      <c r="BT634" s="537"/>
      <c r="BU634" s="537"/>
      <c r="BV634" s="537"/>
      <c r="BW634" s="537"/>
      <c r="BX634" s="537"/>
      <c r="BY634" s="537"/>
    </row>
    <row r="635" spans="1:77" x14ac:dyDescent="0.3">
      <c r="A635" s="551"/>
      <c r="B635" s="647"/>
      <c r="C635" s="668"/>
      <c r="D635" s="537"/>
      <c r="E635" s="537"/>
      <c r="F635" s="537"/>
      <c r="G635" s="537"/>
      <c r="H635" s="537"/>
      <c r="I635" s="537"/>
      <c r="J635" s="537"/>
      <c r="K635" s="537"/>
      <c r="L635" s="537"/>
      <c r="M635" s="537"/>
      <c r="N635" s="537"/>
      <c r="O635" s="537"/>
      <c r="P635" s="547"/>
      <c r="Q635" s="537"/>
      <c r="R635" s="537"/>
      <c r="S635" s="537"/>
      <c r="T635" s="537"/>
      <c r="U635" s="537"/>
      <c r="V635" s="537"/>
      <c r="W635" s="537"/>
      <c r="X635" s="537"/>
      <c r="Y635" s="537"/>
      <c r="Z635" s="537"/>
      <c r="AA635" s="537"/>
      <c r="AB635" s="537"/>
      <c r="AC635" s="537"/>
      <c r="AD635" s="537"/>
      <c r="AE635" s="537"/>
      <c r="AF635" s="537"/>
      <c r="AG635" s="537"/>
      <c r="AH635" s="537"/>
      <c r="AI635" s="537"/>
      <c r="AJ635" s="537"/>
      <c r="AK635" s="537"/>
      <c r="AL635" s="537"/>
      <c r="AM635" s="537"/>
      <c r="AN635" s="537"/>
      <c r="AO635" s="537"/>
      <c r="AP635" s="537"/>
      <c r="AQ635" s="537"/>
      <c r="AR635" s="537"/>
      <c r="AS635" s="537"/>
      <c r="AT635" s="537"/>
      <c r="AU635" s="537"/>
      <c r="AV635" s="537"/>
      <c r="AW635" s="537"/>
      <c r="AX635" s="537"/>
      <c r="AY635" s="537"/>
      <c r="AZ635" s="537"/>
      <c r="BA635" s="537"/>
      <c r="BB635" s="537"/>
      <c r="BC635" s="537"/>
      <c r="BD635" s="537"/>
      <c r="BE635" s="537"/>
      <c r="BF635" s="537"/>
      <c r="BG635" s="537"/>
      <c r="BH635" s="537"/>
      <c r="BI635" s="537"/>
      <c r="BJ635" s="537"/>
      <c r="BK635" s="537"/>
      <c r="BL635" s="537"/>
      <c r="BM635" s="537"/>
      <c r="BN635" s="537"/>
      <c r="BO635" s="537"/>
      <c r="BP635" s="537"/>
      <c r="BQ635" s="537"/>
      <c r="BR635" s="537"/>
      <c r="BS635" s="537"/>
      <c r="BT635" s="537"/>
      <c r="BU635" s="537"/>
      <c r="BV635" s="537"/>
      <c r="BW635" s="537"/>
      <c r="BX635" s="537"/>
      <c r="BY635" s="537"/>
    </row>
  </sheetData>
  <pageMargins left="0.7" right="0.7" top="0.75" bottom="0.75" header="0.3" footer="0.3"/>
  <pageSetup paperSize="9" orientation="portrait" horizontalDpi="1200" verticalDpi="1200" r:id="rId1"/>
  <extLst>
    <ext xmlns:x14="http://schemas.microsoft.com/office/spreadsheetml/2009/9/main" uri="{CCE6A557-97BC-4b89-ADB6-D9C93CAAB3DF}">
      <x14:dataValidations xmlns:xm="http://schemas.microsoft.com/office/excel/2006/main" disablePrompts="1" count="1">
        <x14:dataValidation type="list" allowBlank="1" showInputMessage="1" showErrorMessage="1" xr:uid="{CC802153-CF99-4F13-BD77-F54AFA1664A8}">
          <x14:formula1>
            <xm:f>Portfolio_Categorisation!$C$12:$C$15</xm:f>
          </x14:formula1>
          <xm:sqref>B2</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F7AC5D-EC88-47C2-AB6A-14D07EA38596}">
  <sheetPr codeName="Sheet30"/>
  <dimension ref="A1:CM635"/>
  <sheetViews>
    <sheetView showGridLines="0" workbookViewId="0">
      <pane xSplit="5" ySplit="4" topLeftCell="F5" activePane="bottomRight" state="frozen"/>
      <selection activeCell="E61" sqref="E61:E72"/>
      <selection pane="topRight" activeCell="E61" sqref="E61:E72"/>
      <selection pane="bottomLeft" activeCell="E61" sqref="E61:E72"/>
      <selection pane="bottomRight" activeCell="F5" sqref="F5"/>
    </sheetView>
  </sheetViews>
  <sheetFormatPr defaultColWidth="0" defaultRowHeight="13.5" x14ac:dyDescent="0.3"/>
  <cols>
    <col min="1" max="1" width="1.6640625" style="7" customWidth="1"/>
    <col min="2" max="2" width="1.6640625" style="1" customWidth="1"/>
    <col min="3" max="3" width="3.33203125" style="7" customWidth="1"/>
    <col min="4" max="4" width="1.6640625" style="3" customWidth="1"/>
    <col min="5" max="5" width="67.6640625" style="3" bestFit="1" customWidth="1"/>
    <col min="6" max="8" width="1.6640625" style="3" customWidth="1"/>
    <col min="9" max="14" width="13.33203125" style="3" customWidth="1"/>
    <col min="15" max="15" width="1.6640625" style="3" customWidth="1"/>
    <col min="16" max="16" width="13.33203125" style="27" customWidth="1"/>
    <col min="17" max="17" width="13.6640625" style="3" customWidth="1"/>
    <col min="18" max="77" width="13.33203125" style="3" customWidth="1"/>
    <col min="78" max="80" width="1.6640625" style="3" customWidth="1"/>
    <col min="81" max="86" width="0" style="3" hidden="1" customWidth="1"/>
    <col min="87" max="90" width="13.33203125" style="3" hidden="1" customWidth="1"/>
    <col min="91" max="91" width="1.6640625" style="3" hidden="1" customWidth="1"/>
    <col min="92" max="114" width="0" style="3" hidden="1" customWidth="1"/>
    <col min="115" max="16384" width="0" style="3" hidden="1"/>
  </cols>
  <sheetData>
    <row r="1" spans="1:80" s="38" customFormat="1" x14ac:dyDescent="0.3">
      <c r="A1" s="547"/>
      <c r="B1" s="548"/>
      <c r="C1" s="521"/>
      <c r="D1" s="521"/>
      <c r="E1" s="521"/>
      <c r="F1" s="521"/>
      <c r="G1" s="521"/>
      <c r="H1" s="521"/>
      <c r="I1" s="521"/>
      <c r="J1" s="521"/>
      <c r="K1" s="521"/>
      <c r="L1" s="521"/>
      <c r="M1" s="521"/>
      <c r="N1" s="521"/>
      <c r="O1" s="521"/>
      <c r="P1" s="521"/>
      <c r="Q1" s="549"/>
      <c r="R1" s="521"/>
      <c r="S1" s="521"/>
      <c r="T1" s="521"/>
      <c r="U1" s="521"/>
      <c r="V1" s="521"/>
      <c r="W1" s="521"/>
      <c r="X1" s="521"/>
      <c r="Y1" s="521"/>
      <c r="Z1" s="521"/>
      <c r="AA1" s="521"/>
      <c r="AB1" s="521"/>
      <c r="AC1" s="521"/>
      <c r="AD1" s="521"/>
      <c r="AE1" s="521"/>
      <c r="AF1" s="521"/>
      <c r="AG1" s="521"/>
      <c r="AH1" s="521"/>
      <c r="AI1" s="521"/>
      <c r="AJ1" s="521"/>
      <c r="AK1" s="521"/>
      <c r="AL1" s="521"/>
      <c r="AM1" s="521"/>
      <c r="AN1" s="521"/>
      <c r="AO1" s="521"/>
      <c r="AP1" s="521"/>
      <c r="AQ1" s="521"/>
      <c r="AR1" s="521"/>
      <c r="AS1" s="521"/>
      <c r="AT1" s="521"/>
      <c r="AU1" s="521"/>
      <c r="AV1" s="521"/>
      <c r="AW1" s="521"/>
      <c r="AX1" s="521"/>
      <c r="AY1" s="521"/>
      <c r="AZ1" s="521"/>
      <c r="BA1" s="521"/>
      <c r="BB1" s="521"/>
      <c r="BC1" s="521"/>
      <c r="BD1" s="521"/>
      <c r="BE1" s="521"/>
      <c r="BF1" s="521"/>
      <c r="BG1" s="521"/>
      <c r="BH1" s="521"/>
      <c r="BI1" s="521"/>
      <c r="BJ1" s="521"/>
      <c r="BK1" s="521"/>
      <c r="BL1" s="521"/>
      <c r="BM1" s="521"/>
      <c r="BN1" s="521"/>
      <c r="BO1" s="521"/>
      <c r="BP1" s="521"/>
      <c r="BQ1" s="521"/>
      <c r="BR1" s="521"/>
      <c r="BS1" s="521"/>
      <c r="BT1" s="521"/>
      <c r="BU1" s="521"/>
      <c r="BV1" s="521"/>
      <c r="BW1" s="521"/>
      <c r="BX1" s="521"/>
      <c r="BY1" s="521"/>
      <c r="BZ1" s="549"/>
      <c r="CA1" s="549"/>
      <c r="CB1" s="549"/>
    </row>
    <row r="2" spans="1:80" x14ac:dyDescent="0.3">
      <c r="A2" s="537"/>
      <c r="B2" s="550" t="s">
        <v>399</v>
      </c>
      <c r="C2" s="551"/>
      <c r="D2" s="537"/>
      <c r="E2" s="537"/>
      <c r="F2" s="537"/>
      <c r="G2" s="537"/>
      <c r="H2" s="537"/>
      <c r="I2" s="522">
        <v>2</v>
      </c>
      <c r="J2" s="522">
        <v>3</v>
      </c>
      <c r="K2" s="522">
        <v>4</v>
      </c>
      <c r="L2" s="522">
        <v>5</v>
      </c>
      <c r="M2" s="522">
        <v>6</v>
      </c>
      <c r="N2" s="522">
        <v>7</v>
      </c>
      <c r="O2" s="537"/>
      <c r="P2" s="547"/>
      <c r="Q2" s="537"/>
      <c r="R2" s="522" t="str" cm="1">
        <f t="array" ref="R2">INDEX(Index_Tab!$G$4:$K$4,MATCH(1,(R$4&gt;=Index_Tab!$G$5:$K$5)*(R$4&lt;=Index_Tab!$G$17:$K$17),0))</f>
        <v>FY27E</v>
      </c>
      <c r="S2" s="522" t="str" cm="1">
        <f t="array" ref="S2">INDEX(Index_Tab!$G$4:$K$4,MATCH(1,(S$4&gt;=Index_Tab!$G$5:$K$5)*(S$4&lt;=Index_Tab!$G$17:$K$17),0))</f>
        <v>FY27E</v>
      </c>
      <c r="T2" s="522" t="str" cm="1">
        <f t="array" ref="T2">INDEX(Index_Tab!$G$4:$K$4,MATCH(1,(T$4&gt;=Index_Tab!$G$5:$K$5)*(T$4&lt;=Index_Tab!$G$17:$K$17),0))</f>
        <v>FY27E</v>
      </c>
      <c r="U2" s="522" t="str" cm="1">
        <f t="array" ref="U2">INDEX(Index_Tab!$G$4:$K$4,MATCH(1,(U$4&gt;=Index_Tab!$G$5:$K$5)*(U$4&lt;=Index_Tab!$G$17:$K$17),0))</f>
        <v>FY27E</v>
      </c>
      <c r="V2" s="522" t="str" cm="1">
        <f t="array" ref="V2">INDEX(Index_Tab!$G$4:$K$4,MATCH(1,(V$4&gt;=Index_Tab!$G$5:$K$5)*(V$4&lt;=Index_Tab!$G$17:$K$17),0))</f>
        <v>FY27E</v>
      </c>
      <c r="W2" s="522" t="str" cm="1">
        <f t="array" ref="W2">INDEX(Index_Tab!$G$4:$K$4,MATCH(1,(W$4&gt;=Index_Tab!$G$5:$K$5)*(W$4&lt;=Index_Tab!$G$17:$K$17),0))</f>
        <v>FY27E</v>
      </c>
      <c r="X2" s="522" t="str" cm="1">
        <f t="array" ref="X2">INDEX(Index_Tab!$G$4:$K$4,MATCH(1,(X$4&gt;=Index_Tab!$G$5:$K$5)*(X$4&lt;=Index_Tab!$G$17:$K$17),0))</f>
        <v>FY27E</v>
      </c>
      <c r="Y2" s="522" t="str" cm="1">
        <f t="array" ref="Y2">INDEX(Index_Tab!$G$4:$K$4,MATCH(1,(Y$4&gt;=Index_Tab!$G$5:$K$5)*(Y$4&lt;=Index_Tab!$G$17:$K$17),0))</f>
        <v>FY27E</v>
      </c>
      <c r="Z2" s="522" t="str" cm="1">
        <f t="array" ref="Z2">INDEX(Index_Tab!$G$4:$K$4,MATCH(1,(Z$4&gt;=Index_Tab!$G$5:$K$5)*(Z$4&lt;=Index_Tab!$G$17:$K$17),0))</f>
        <v>FY27E</v>
      </c>
      <c r="AA2" s="522" t="str" cm="1">
        <f t="array" ref="AA2">INDEX(Index_Tab!$G$4:$K$4,MATCH(1,(AA$4&gt;=Index_Tab!$G$5:$K$5)*(AA$4&lt;=Index_Tab!$G$17:$K$17),0))</f>
        <v>FY27E</v>
      </c>
      <c r="AB2" s="522" t="str" cm="1">
        <f t="array" ref="AB2">INDEX(Index_Tab!$G$4:$K$4,MATCH(1,(AB$4&gt;=Index_Tab!$G$5:$K$5)*(AB$4&lt;=Index_Tab!$G$17:$K$17),0))</f>
        <v>FY27E</v>
      </c>
      <c r="AC2" s="522" t="str" cm="1">
        <f t="array" ref="AC2">INDEX(Index_Tab!$G$4:$K$4,MATCH(1,(AC$4&gt;=Index_Tab!$G$5:$K$5)*(AC$4&lt;=Index_Tab!$G$17:$K$17),0))</f>
        <v>FY27E</v>
      </c>
      <c r="AD2" s="522" t="str" cm="1">
        <f t="array" ref="AD2">INDEX(Index_Tab!$G$4:$K$4,MATCH(1,(AD$4&gt;=Index_Tab!$G$5:$K$5)*(AD$4&lt;=Index_Tab!$G$17:$K$17),0))</f>
        <v>FY28E</v>
      </c>
      <c r="AE2" s="522" t="str" cm="1">
        <f t="array" ref="AE2">INDEX(Index_Tab!$G$4:$K$4,MATCH(1,(AE$4&gt;=Index_Tab!$G$5:$K$5)*(AE$4&lt;=Index_Tab!$G$17:$K$17),0))</f>
        <v>FY28E</v>
      </c>
      <c r="AF2" s="522" t="str" cm="1">
        <f t="array" ref="AF2">INDEX(Index_Tab!$G$4:$K$4,MATCH(1,(AF$4&gt;=Index_Tab!$G$5:$K$5)*(AF$4&lt;=Index_Tab!$G$17:$K$17),0))</f>
        <v>FY28E</v>
      </c>
      <c r="AG2" s="522" t="str" cm="1">
        <f t="array" ref="AG2">INDEX(Index_Tab!$G$4:$K$4,MATCH(1,(AG$4&gt;=Index_Tab!$G$5:$K$5)*(AG$4&lt;=Index_Tab!$G$17:$K$17),0))</f>
        <v>FY28E</v>
      </c>
      <c r="AH2" s="522" t="str" cm="1">
        <f t="array" ref="AH2">INDEX(Index_Tab!$G$4:$K$4,MATCH(1,(AH$4&gt;=Index_Tab!$G$5:$K$5)*(AH$4&lt;=Index_Tab!$G$17:$K$17),0))</f>
        <v>FY28E</v>
      </c>
      <c r="AI2" s="522" t="str" cm="1">
        <f t="array" ref="AI2">INDEX(Index_Tab!$G$4:$K$4,MATCH(1,(AI$4&gt;=Index_Tab!$G$5:$K$5)*(AI$4&lt;=Index_Tab!$G$17:$K$17),0))</f>
        <v>FY28E</v>
      </c>
      <c r="AJ2" s="522" t="str" cm="1">
        <f t="array" ref="AJ2">INDEX(Index_Tab!$G$4:$K$4,MATCH(1,(AJ$4&gt;=Index_Tab!$G$5:$K$5)*(AJ$4&lt;=Index_Tab!$G$17:$K$17),0))</f>
        <v>FY28E</v>
      </c>
      <c r="AK2" s="522" t="str" cm="1">
        <f t="array" ref="AK2">INDEX(Index_Tab!$G$4:$K$4,MATCH(1,(AK$4&gt;=Index_Tab!$G$5:$K$5)*(AK$4&lt;=Index_Tab!$G$17:$K$17),0))</f>
        <v>FY28E</v>
      </c>
      <c r="AL2" s="522" t="str" cm="1">
        <f t="array" ref="AL2">INDEX(Index_Tab!$G$4:$K$4,MATCH(1,(AL$4&gt;=Index_Tab!$G$5:$K$5)*(AL$4&lt;=Index_Tab!$G$17:$K$17),0))</f>
        <v>FY28E</v>
      </c>
      <c r="AM2" s="522" t="str" cm="1">
        <f t="array" ref="AM2">INDEX(Index_Tab!$G$4:$K$4,MATCH(1,(AM$4&gt;=Index_Tab!$G$5:$K$5)*(AM$4&lt;=Index_Tab!$G$17:$K$17),0))</f>
        <v>FY28E</v>
      </c>
      <c r="AN2" s="522" t="str" cm="1">
        <f t="array" ref="AN2">INDEX(Index_Tab!$G$4:$K$4,MATCH(1,(AN$4&gt;=Index_Tab!$G$5:$K$5)*(AN$4&lt;=Index_Tab!$G$17:$K$17),0))</f>
        <v>FY28E</v>
      </c>
      <c r="AO2" s="522" t="str" cm="1">
        <f t="array" ref="AO2">INDEX(Index_Tab!$G$4:$K$4,MATCH(1,(AO$4&gt;=Index_Tab!$G$5:$K$5)*(AO$4&lt;=Index_Tab!$G$17:$K$17),0))</f>
        <v>FY28E</v>
      </c>
      <c r="AP2" s="522" t="str" cm="1">
        <f t="array" ref="AP2">INDEX(Index_Tab!$G$4:$K$4,MATCH(1,(AP$4&gt;=Index_Tab!$G$5:$K$5)*(AP$4&lt;=Index_Tab!$G$17:$K$17),0))</f>
        <v>FY29E</v>
      </c>
      <c r="AQ2" s="522" t="str" cm="1">
        <f t="array" ref="AQ2">INDEX(Index_Tab!$G$4:$K$4,MATCH(1,(AQ$4&gt;=Index_Tab!$G$5:$K$5)*(AQ$4&lt;=Index_Tab!$G$17:$K$17),0))</f>
        <v>FY29E</v>
      </c>
      <c r="AR2" s="522" t="str" cm="1">
        <f t="array" ref="AR2">INDEX(Index_Tab!$G$4:$K$4,MATCH(1,(AR$4&gt;=Index_Tab!$G$5:$K$5)*(AR$4&lt;=Index_Tab!$G$17:$K$17),0))</f>
        <v>FY29E</v>
      </c>
      <c r="AS2" s="522" t="str" cm="1">
        <f t="array" ref="AS2">INDEX(Index_Tab!$G$4:$K$4,MATCH(1,(AS$4&gt;=Index_Tab!$G$5:$K$5)*(AS$4&lt;=Index_Tab!$G$17:$K$17),0))</f>
        <v>FY29E</v>
      </c>
      <c r="AT2" s="522" t="str" cm="1">
        <f t="array" ref="AT2">INDEX(Index_Tab!$G$4:$K$4,MATCH(1,(AT$4&gt;=Index_Tab!$G$5:$K$5)*(AT$4&lt;=Index_Tab!$G$17:$K$17),0))</f>
        <v>FY29E</v>
      </c>
      <c r="AU2" s="522" t="str" cm="1">
        <f t="array" ref="AU2">INDEX(Index_Tab!$G$4:$K$4,MATCH(1,(AU$4&gt;=Index_Tab!$G$5:$K$5)*(AU$4&lt;=Index_Tab!$G$17:$K$17),0))</f>
        <v>FY29E</v>
      </c>
      <c r="AV2" s="522" t="str" cm="1">
        <f t="array" ref="AV2">INDEX(Index_Tab!$G$4:$K$4,MATCH(1,(AV$4&gt;=Index_Tab!$G$5:$K$5)*(AV$4&lt;=Index_Tab!$G$17:$K$17),0))</f>
        <v>FY29E</v>
      </c>
      <c r="AW2" s="522" t="str" cm="1">
        <f t="array" ref="AW2">INDEX(Index_Tab!$G$4:$K$4,MATCH(1,(AW$4&gt;=Index_Tab!$G$5:$K$5)*(AW$4&lt;=Index_Tab!$G$17:$K$17),0))</f>
        <v>FY29E</v>
      </c>
      <c r="AX2" s="522" t="str" cm="1">
        <f t="array" ref="AX2">INDEX(Index_Tab!$G$4:$K$4,MATCH(1,(AX$4&gt;=Index_Tab!$G$5:$K$5)*(AX$4&lt;=Index_Tab!$G$17:$K$17),0))</f>
        <v>FY29E</v>
      </c>
      <c r="AY2" s="522" t="str" cm="1">
        <f t="array" ref="AY2">INDEX(Index_Tab!$G$4:$K$4,MATCH(1,(AY$4&gt;=Index_Tab!$G$5:$K$5)*(AY$4&lt;=Index_Tab!$G$17:$K$17),0))</f>
        <v>FY29E</v>
      </c>
      <c r="AZ2" s="522" t="str" cm="1">
        <f t="array" ref="AZ2">INDEX(Index_Tab!$G$4:$K$4,MATCH(1,(AZ$4&gt;=Index_Tab!$G$5:$K$5)*(AZ$4&lt;=Index_Tab!$G$17:$K$17),0))</f>
        <v>FY29E</v>
      </c>
      <c r="BA2" s="522" t="str" cm="1">
        <f t="array" ref="BA2">INDEX(Index_Tab!$G$4:$K$4,MATCH(1,(BA$4&gt;=Index_Tab!$G$5:$K$5)*(BA$4&lt;=Index_Tab!$G$17:$K$17),0))</f>
        <v>FY29E</v>
      </c>
      <c r="BB2" s="522" t="str" cm="1">
        <f t="array" ref="BB2">INDEX(Index_Tab!$G$4:$K$4,MATCH(1,(BB$4&gt;=Index_Tab!$G$5:$K$5)*(BB$4&lt;=Index_Tab!$G$17:$K$17),0))</f>
        <v>FY30E</v>
      </c>
      <c r="BC2" s="522" t="str" cm="1">
        <f t="array" ref="BC2">INDEX(Index_Tab!$G$4:$K$4,MATCH(1,(BC$4&gt;=Index_Tab!$G$5:$K$5)*(BC$4&lt;=Index_Tab!$G$17:$K$17),0))</f>
        <v>FY30E</v>
      </c>
      <c r="BD2" s="522" t="str" cm="1">
        <f t="array" ref="BD2">INDEX(Index_Tab!$G$4:$K$4,MATCH(1,(BD$4&gt;=Index_Tab!$G$5:$K$5)*(BD$4&lt;=Index_Tab!$G$17:$K$17),0))</f>
        <v>FY30E</v>
      </c>
      <c r="BE2" s="522" t="str" cm="1">
        <f t="array" ref="BE2">INDEX(Index_Tab!$G$4:$K$4,MATCH(1,(BE$4&gt;=Index_Tab!$G$5:$K$5)*(BE$4&lt;=Index_Tab!$G$17:$K$17),0))</f>
        <v>FY30E</v>
      </c>
      <c r="BF2" s="522" t="str" cm="1">
        <f t="array" ref="BF2">INDEX(Index_Tab!$G$4:$K$4,MATCH(1,(BF$4&gt;=Index_Tab!$G$5:$K$5)*(BF$4&lt;=Index_Tab!$G$17:$K$17),0))</f>
        <v>FY30E</v>
      </c>
      <c r="BG2" s="522" t="str" cm="1">
        <f t="array" ref="BG2">INDEX(Index_Tab!$G$4:$K$4,MATCH(1,(BG$4&gt;=Index_Tab!$G$5:$K$5)*(BG$4&lt;=Index_Tab!$G$17:$K$17),0))</f>
        <v>FY30E</v>
      </c>
      <c r="BH2" s="522" t="str" cm="1">
        <f t="array" ref="BH2">INDEX(Index_Tab!$G$4:$K$4,MATCH(1,(BH$4&gt;=Index_Tab!$G$5:$K$5)*(BH$4&lt;=Index_Tab!$G$17:$K$17),0))</f>
        <v>FY30E</v>
      </c>
      <c r="BI2" s="522" t="str" cm="1">
        <f t="array" ref="BI2">INDEX(Index_Tab!$G$4:$K$4,MATCH(1,(BI$4&gt;=Index_Tab!$G$5:$K$5)*(BI$4&lt;=Index_Tab!$G$17:$K$17),0))</f>
        <v>FY30E</v>
      </c>
      <c r="BJ2" s="522" t="str" cm="1">
        <f t="array" ref="BJ2">INDEX(Index_Tab!$G$4:$K$4,MATCH(1,(BJ$4&gt;=Index_Tab!$G$5:$K$5)*(BJ$4&lt;=Index_Tab!$G$17:$K$17),0))</f>
        <v>FY30E</v>
      </c>
      <c r="BK2" s="522" t="str" cm="1">
        <f t="array" ref="BK2">INDEX(Index_Tab!$G$4:$K$4,MATCH(1,(BK$4&gt;=Index_Tab!$G$5:$K$5)*(BK$4&lt;=Index_Tab!$G$17:$K$17),0))</f>
        <v>FY30E</v>
      </c>
      <c r="BL2" s="522" t="str" cm="1">
        <f t="array" ref="BL2">INDEX(Index_Tab!$G$4:$K$4,MATCH(1,(BL$4&gt;=Index_Tab!$G$5:$K$5)*(BL$4&lt;=Index_Tab!$G$17:$K$17),0))</f>
        <v>FY30E</v>
      </c>
      <c r="BM2" s="522" t="str" cm="1">
        <f t="array" ref="BM2">INDEX(Index_Tab!$G$4:$K$4,MATCH(1,(BM$4&gt;=Index_Tab!$G$5:$K$5)*(BM$4&lt;=Index_Tab!$G$17:$K$17),0))</f>
        <v>FY30E</v>
      </c>
      <c r="BN2" s="522" t="str" cm="1">
        <f t="array" ref="BN2">INDEX(Index_Tab!$G$4:$K$4,MATCH(1,(BN$4&gt;=Index_Tab!$G$5:$K$5)*(BN$4&lt;=Index_Tab!$G$17:$K$17),0))</f>
        <v>FY31E</v>
      </c>
      <c r="BO2" s="522" t="str" cm="1">
        <f t="array" ref="BO2">INDEX(Index_Tab!$G$4:$K$4,MATCH(1,(BO$4&gt;=Index_Tab!$G$5:$K$5)*(BO$4&lt;=Index_Tab!$G$17:$K$17),0))</f>
        <v>FY31E</v>
      </c>
      <c r="BP2" s="522" t="str" cm="1">
        <f t="array" ref="BP2">INDEX(Index_Tab!$G$4:$K$4,MATCH(1,(BP$4&gt;=Index_Tab!$G$5:$K$5)*(BP$4&lt;=Index_Tab!$G$17:$K$17),0))</f>
        <v>FY31E</v>
      </c>
      <c r="BQ2" s="522" t="str" cm="1">
        <f t="array" ref="BQ2">INDEX(Index_Tab!$G$4:$K$4,MATCH(1,(BQ$4&gt;=Index_Tab!$G$5:$K$5)*(BQ$4&lt;=Index_Tab!$G$17:$K$17),0))</f>
        <v>FY31E</v>
      </c>
      <c r="BR2" s="522" t="str" cm="1">
        <f t="array" ref="BR2">INDEX(Index_Tab!$G$4:$K$4,MATCH(1,(BR$4&gt;=Index_Tab!$G$5:$K$5)*(BR$4&lt;=Index_Tab!$G$17:$K$17),0))</f>
        <v>FY31E</v>
      </c>
      <c r="BS2" s="522" t="str" cm="1">
        <f t="array" ref="BS2">INDEX(Index_Tab!$G$4:$K$4,MATCH(1,(BS$4&gt;=Index_Tab!$G$5:$K$5)*(BS$4&lt;=Index_Tab!$G$17:$K$17),0))</f>
        <v>FY31E</v>
      </c>
      <c r="BT2" s="522" t="str" cm="1">
        <f t="array" ref="BT2">INDEX(Index_Tab!$G$4:$K$4,MATCH(1,(BT$4&gt;=Index_Tab!$G$5:$K$5)*(BT$4&lt;=Index_Tab!$G$17:$K$17),0))</f>
        <v>FY31E</v>
      </c>
      <c r="BU2" s="522" t="str" cm="1">
        <f t="array" ref="BU2">INDEX(Index_Tab!$G$4:$K$4,MATCH(1,(BU$4&gt;=Index_Tab!$G$5:$K$5)*(BU$4&lt;=Index_Tab!$G$17:$K$17),0))</f>
        <v>FY31E</v>
      </c>
      <c r="BV2" s="522" t="str" cm="1">
        <f t="array" ref="BV2">INDEX(Index_Tab!$G$4:$K$4,MATCH(1,(BV$4&gt;=Index_Tab!$G$5:$K$5)*(BV$4&lt;=Index_Tab!$G$17:$K$17),0))</f>
        <v>FY31E</v>
      </c>
      <c r="BW2" s="522" t="str" cm="1">
        <f t="array" ref="BW2">INDEX(Index_Tab!$G$4:$K$4,MATCH(1,(BW$4&gt;=Index_Tab!$G$5:$K$5)*(BW$4&lt;=Index_Tab!$G$17:$K$17),0))</f>
        <v>FY31E</v>
      </c>
      <c r="BX2" s="522" t="str" cm="1">
        <f t="array" ref="BX2">INDEX(Index_Tab!$G$4:$K$4,MATCH(1,(BX$4&gt;=Index_Tab!$G$5:$K$5)*(BX$4&lt;=Index_Tab!$G$17:$K$17),0))</f>
        <v>FY31E</v>
      </c>
      <c r="BY2" s="522" t="str" cm="1">
        <f t="array" ref="BY2">INDEX(Index_Tab!$G$4:$K$4,MATCH(1,(BY$4&gt;=Index_Tab!$G$5:$K$5)*(BY$4&lt;=Index_Tab!$G$17:$K$17),0))</f>
        <v>FY31E</v>
      </c>
      <c r="BZ2" s="537"/>
      <c r="CA2" s="537"/>
      <c r="CB2" s="537"/>
    </row>
    <row r="3" spans="1:80" x14ac:dyDescent="0.3">
      <c r="A3" s="537"/>
      <c r="B3" s="552" t="str">
        <f>INDEX(Portfolio_Categorisation!$E$6:$E$10,MATCH($B$2,Portfolio_Categorisation!$C$6:$C$10,0))</f>
        <v>Portfolio</v>
      </c>
      <c r="C3" s="551"/>
      <c r="D3" s="537"/>
      <c r="E3" s="553"/>
      <c r="F3" s="553"/>
      <c r="G3" s="553"/>
      <c r="H3" s="554"/>
      <c r="I3" s="555" t="str">
        <f>'Detailed Assumptions'!$E$17</f>
        <v>FY26E</v>
      </c>
      <c r="J3" s="555" t="str">
        <f>'Detailed Assumptions'!$F$17</f>
        <v>FY27E</v>
      </c>
      <c r="K3" s="555" t="str">
        <f>'Detailed Assumptions'!$G$17</f>
        <v>FY28E</v>
      </c>
      <c r="L3" s="555" t="str">
        <f>'Detailed Assumptions'!$H$17</f>
        <v>FY29E</v>
      </c>
      <c r="M3" s="555" t="str">
        <f>'Detailed Assumptions'!$I$17</f>
        <v>FY30E</v>
      </c>
      <c r="N3" s="555" t="str">
        <f>'Detailed Assumptions'!$J$17</f>
        <v>FY31E</v>
      </c>
      <c r="O3" s="556"/>
      <c r="P3" s="557" t="str">
        <f>I3&amp;"-"&amp;N3</f>
        <v>FY26E-FY31E</v>
      </c>
      <c r="Q3" s="554"/>
      <c r="R3" s="523">
        <f>'Detailed Assumptions'!$E$12</f>
        <v>46296</v>
      </c>
      <c r="S3" s="523">
        <f>R4+1</f>
        <v>46327</v>
      </c>
      <c r="T3" s="523">
        <f t="shared" ref="T3:AN3" si="0">S4+1</f>
        <v>46357</v>
      </c>
      <c r="U3" s="523">
        <f t="shared" si="0"/>
        <v>46388</v>
      </c>
      <c r="V3" s="523">
        <f t="shared" si="0"/>
        <v>46419</v>
      </c>
      <c r="W3" s="523">
        <f>V4+1</f>
        <v>46447</v>
      </c>
      <c r="X3" s="523">
        <f t="shared" si="0"/>
        <v>46478</v>
      </c>
      <c r="Y3" s="523">
        <f t="shared" si="0"/>
        <v>46508</v>
      </c>
      <c r="Z3" s="523">
        <f t="shared" si="0"/>
        <v>46539</v>
      </c>
      <c r="AA3" s="523">
        <f t="shared" si="0"/>
        <v>46569</v>
      </c>
      <c r="AB3" s="523">
        <f t="shared" si="0"/>
        <v>46600</v>
      </c>
      <c r="AC3" s="523">
        <f>AB4+1</f>
        <v>46631</v>
      </c>
      <c r="AD3" s="523">
        <f>AC4+1</f>
        <v>46661</v>
      </c>
      <c r="AE3" s="523">
        <f>AD4+1</f>
        <v>46692</v>
      </c>
      <c r="AF3" s="523">
        <f t="shared" si="0"/>
        <v>46722</v>
      </c>
      <c r="AG3" s="523">
        <f t="shared" si="0"/>
        <v>46753</v>
      </c>
      <c r="AH3" s="523">
        <f t="shared" si="0"/>
        <v>46784</v>
      </c>
      <c r="AI3" s="523">
        <f>AH4+1</f>
        <v>46813</v>
      </c>
      <c r="AJ3" s="523">
        <f t="shared" si="0"/>
        <v>46844</v>
      </c>
      <c r="AK3" s="523">
        <f t="shared" si="0"/>
        <v>46874</v>
      </c>
      <c r="AL3" s="523">
        <f t="shared" si="0"/>
        <v>46905</v>
      </c>
      <c r="AM3" s="523">
        <f t="shared" si="0"/>
        <v>46935</v>
      </c>
      <c r="AN3" s="523">
        <f t="shared" si="0"/>
        <v>46966</v>
      </c>
      <c r="AO3" s="523">
        <f>AN4+1</f>
        <v>46997</v>
      </c>
      <c r="AP3" s="523">
        <f>AO4+1</f>
        <v>47027</v>
      </c>
      <c r="AQ3" s="523">
        <f>AP4+1</f>
        <v>47058</v>
      </c>
      <c r="AR3" s="523">
        <f t="shared" ref="AR3:AZ3" si="1">AQ4+1</f>
        <v>47088</v>
      </c>
      <c r="AS3" s="523">
        <f t="shared" si="1"/>
        <v>47119</v>
      </c>
      <c r="AT3" s="523">
        <f t="shared" si="1"/>
        <v>47150</v>
      </c>
      <c r="AU3" s="523">
        <f>AT4+1</f>
        <v>47178</v>
      </c>
      <c r="AV3" s="523">
        <f t="shared" si="1"/>
        <v>47209</v>
      </c>
      <c r="AW3" s="523">
        <f t="shared" si="1"/>
        <v>47239</v>
      </c>
      <c r="AX3" s="523">
        <f t="shared" si="1"/>
        <v>47270</v>
      </c>
      <c r="AY3" s="523">
        <f t="shared" si="1"/>
        <v>47300</v>
      </c>
      <c r="AZ3" s="523">
        <f t="shared" si="1"/>
        <v>47331</v>
      </c>
      <c r="BA3" s="523">
        <f>AZ4+1</f>
        <v>47362</v>
      </c>
      <c r="BB3" s="523">
        <f>BA4+1</f>
        <v>47392</v>
      </c>
      <c r="BC3" s="523">
        <f>BB4+1</f>
        <v>47423</v>
      </c>
      <c r="BD3" s="523">
        <f t="shared" ref="BD3:BL3" si="2">BC4+1</f>
        <v>47453</v>
      </c>
      <c r="BE3" s="523">
        <f t="shared" si="2"/>
        <v>47484</v>
      </c>
      <c r="BF3" s="523">
        <f t="shared" si="2"/>
        <v>47515</v>
      </c>
      <c r="BG3" s="523">
        <f>BF4+1</f>
        <v>47543</v>
      </c>
      <c r="BH3" s="523">
        <f t="shared" si="2"/>
        <v>47574</v>
      </c>
      <c r="BI3" s="523">
        <f t="shared" si="2"/>
        <v>47604</v>
      </c>
      <c r="BJ3" s="523">
        <f t="shared" si="2"/>
        <v>47635</v>
      </c>
      <c r="BK3" s="523">
        <f t="shared" si="2"/>
        <v>47665</v>
      </c>
      <c r="BL3" s="523">
        <f t="shared" si="2"/>
        <v>47696</v>
      </c>
      <c r="BM3" s="523">
        <f>BL4+1</f>
        <v>47727</v>
      </c>
      <c r="BN3" s="523">
        <f>BM4+1</f>
        <v>47757</v>
      </c>
      <c r="BO3" s="523">
        <f>BN4+1</f>
        <v>47788</v>
      </c>
      <c r="BP3" s="523">
        <f t="shared" ref="BP3:BX3" si="3">BO4+1</f>
        <v>47818</v>
      </c>
      <c r="BQ3" s="523">
        <f t="shared" si="3"/>
        <v>47849</v>
      </c>
      <c r="BR3" s="523">
        <f t="shared" si="3"/>
        <v>47880</v>
      </c>
      <c r="BS3" s="523">
        <f>BR4+1</f>
        <v>47908</v>
      </c>
      <c r="BT3" s="523">
        <f t="shared" si="3"/>
        <v>47939</v>
      </c>
      <c r="BU3" s="523">
        <f t="shared" si="3"/>
        <v>47969</v>
      </c>
      <c r="BV3" s="523">
        <f t="shared" si="3"/>
        <v>48000</v>
      </c>
      <c r="BW3" s="523">
        <f t="shared" si="3"/>
        <v>48030</v>
      </c>
      <c r="BX3" s="523">
        <f t="shared" si="3"/>
        <v>48061</v>
      </c>
      <c r="BY3" s="523">
        <f>BX4+1</f>
        <v>48092</v>
      </c>
      <c r="BZ3" s="537"/>
      <c r="CA3" s="537"/>
      <c r="CB3" s="554"/>
    </row>
    <row r="4" spans="1:80" x14ac:dyDescent="0.3">
      <c r="A4" s="537"/>
      <c r="B4" s="552" t="str">
        <f>INDEX(Portfolio_Categorisation!$D$6:$D$10,MATCH($B$2,Portfolio_Categorisation!$C$6:$C$10,0))</f>
        <v>Upper Mid-Market</v>
      </c>
      <c r="C4" s="551"/>
      <c r="D4" s="537"/>
      <c r="E4" s="553"/>
      <c r="F4" s="553"/>
      <c r="G4" s="553"/>
      <c r="H4" s="554"/>
      <c r="I4" s="524">
        <f>'Detailed Assumptions'!$E$12-1</f>
        <v>46295</v>
      </c>
      <c r="J4" s="524">
        <f>EOMONTH(I4,12)</f>
        <v>46660</v>
      </c>
      <c r="K4" s="524">
        <f>EOMONTH(J4,12)</f>
        <v>47026</v>
      </c>
      <c r="L4" s="524">
        <f>EOMONTH(K4,12)</f>
        <v>47391</v>
      </c>
      <c r="M4" s="524">
        <f>EOMONTH(L4,12)</f>
        <v>47756</v>
      </c>
      <c r="N4" s="524">
        <f>EOMONTH(M4,12)</f>
        <v>48121</v>
      </c>
      <c r="O4" s="558"/>
      <c r="P4" s="559" t="s">
        <v>180</v>
      </c>
      <c r="Q4" s="554"/>
      <c r="R4" s="524">
        <f>EOMONTH(R3,0)</f>
        <v>46326</v>
      </c>
      <c r="S4" s="524">
        <f>EOMONTH(S3,0)</f>
        <v>46356</v>
      </c>
      <c r="T4" s="524">
        <f t="shared" ref="T4:BY4" si="4">EOMONTH(T3,0)</f>
        <v>46387</v>
      </c>
      <c r="U4" s="524">
        <f t="shared" si="4"/>
        <v>46418</v>
      </c>
      <c r="V4" s="524">
        <f t="shared" si="4"/>
        <v>46446</v>
      </c>
      <c r="W4" s="524">
        <f>EOMONTH(W3,0)</f>
        <v>46477</v>
      </c>
      <c r="X4" s="524">
        <f t="shared" si="4"/>
        <v>46507</v>
      </c>
      <c r="Y4" s="524">
        <f t="shared" si="4"/>
        <v>46538</v>
      </c>
      <c r="Z4" s="524">
        <f t="shared" si="4"/>
        <v>46568</v>
      </c>
      <c r="AA4" s="524">
        <f t="shared" si="4"/>
        <v>46599</v>
      </c>
      <c r="AB4" s="524">
        <f t="shared" si="4"/>
        <v>46630</v>
      </c>
      <c r="AC4" s="524">
        <f t="shared" si="4"/>
        <v>46660</v>
      </c>
      <c r="AD4" s="524">
        <f t="shared" si="4"/>
        <v>46691</v>
      </c>
      <c r="AE4" s="524">
        <f t="shared" si="4"/>
        <v>46721</v>
      </c>
      <c r="AF4" s="524">
        <f t="shared" si="4"/>
        <v>46752</v>
      </c>
      <c r="AG4" s="524">
        <f t="shared" si="4"/>
        <v>46783</v>
      </c>
      <c r="AH4" s="524">
        <f t="shared" si="4"/>
        <v>46812</v>
      </c>
      <c r="AI4" s="524">
        <f t="shared" si="4"/>
        <v>46843</v>
      </c>
      <c r="AJ4" s="524">
        <f t="shared" si="4"/>
        <v>46873</v>
      </c>
      <c r="AK4" s="524">
        <f t="shared" si="4"/>
        <v>46904</v>
      </c>
      <c r="AL4" s="524">
        <f t="shared" si="4"/>
        <v>46934</v>
      </c>
      <c r="AM4" s="524">
        <f t="shared" si="4"/>
        <v>46965</v>
      </c>
      <c r="AN4" s="524">
        <f t="shared" si="4"/>
        <v>46996</v>
      </c>
      <c r="AO4" s="524">
        <f t="shared" si="4"/>
        <v>47026</v>
      </c>
      <c r="AP4" s="524">
        <f t="shared" si="4"/>
        <v>47057</v>
      </c>
      <c r="AQ4" s="524">
        <f t="shared" si="4"/>
        <v>47087</v>
      </c>
      <c r="AR4" s="524">
        <f t="shared" si="4"/>
        <v>47118</v>
      </c>
      <c r="AS4" s="524">
        <f t="shared" si="4"/>
        <v>47149</v>
      </c>
      <c r="AT4" s="524">
        <f t="shared" si="4"/>
        <v>47177</v>
      </c>
      <c r="AU4" s="524">
        <f t="shared" si="4"/>
        <v>47208</v>
      </c>
      <c r="AV4" s="524">
        <f t="shared" si="4"/>
        <v>47238</v>
      </c>
      <c r="AW4" s="524">
        <f t="shared" si="4"/>
        <v>47269</v>
      </c>
      <c r="AX4" s="524">
        <f t="shared" si="4"/>
        <v>47299</v>
      </c>
      <c r="AY4" s="524">
        <f t="shared" si="4"/>
        <v>47330</v>
      </c>
      <c r="AZ4" s="524">
        <f t="shared" si="4"/>
        <v>47361</v>
      </c>
      <c r="BA4" s="524">
        <f t="shared" si="4"/>
        <v>47391</v>
      </c>
      <c r="BB4" s="524">
        <f t="shared" si="4"/>
        <v>47422</v>
      </c>
      <c r="BC4" s="524">
        <f t="shared" si="4"/>
        <v>47452</v>
      </c>
      <c r="BD4" s="524">
        <f t="shared" si="4"/>
        <v>47483</v>
      </c>
      <c r="BE4" s="524">
        <f t="shared" si="4"/>
        <v>47514</v>
      </c>
      <c r="BF4" s="524">
        <f t="shared" si="4"/>
        <v>47542</v>
      </c>
      <c r="BG4" s="524">
        <f t="shared" si="4"/>
        <v>47573</v>
      </c>
      <c r="BH4" s="524">
        <f t="shared" si="4"/>
        <v>47603</v>
      </c>
      <c r="BI4" s="524">
        <f t="shared" si="4"/>
        <v>47634</v>
      </c>
      <c r="BJ4" s="524">
        <f t="shared" si="4"/>
        <v>47664</v>
      </c>
      <c r="BK4" s="524">
        <f t="shared" si="4"/>
        <v>47695</v>
      </c>
      <c r="BL4" s="524">
        <f t="shared" si="4"/>
        <v>47726</v>
      </c>
      <c r="BM4" s="524">
        <f t="shared" si="4"/>
        <v>47756</v>
      </c>
      <c r="BN4" s="524">
        <f t="shared" si="4"/>
        <v>47787</v>
      </c>
      <c r="BO4" s="524">
        <f t="shared" si="4"/>
        <v>47817</v>
      </c>
      <c r="BP4" s="524">
        <f t="shared" si="4"/>
        <v>47848</v>
      </c>
      <c r="BQ4" s="524">
        <f t="shared" si="4"/>
        <v>47879</v>
      </c>
      <c r="BR4" s="524">
        <f t="shared" si="4"/>
        <v>47907</v>
      </c>
      <c r="BS4" s="524">
        <f t="shared" si="4"/>
        <v>47938</v>
      </c>
      <c r="BT4" s="524">
        <f t="shared" si="4"/>
        <v>47968</v>
      </c>
      <c r="BU4" s="524">
        <f t="shared" si="4"/>
        <v>47999</v>
      </c>
      <c r="BV4" s="524">
        <f t="shared" si="4"/>
        <v>48029</v>
      </c>
      <c r="BW4" s="524">
        <f t="shared" si="4"/>
        <v>48060</v>
      </c>
      <c r="BX4" s="524">
        <f t="shared" si="4"/>
        <v>48091</v>
      </c>
      <c r="BY4" s="524">
        <f t="shared" si="4"/>
        <v>48121</v>
      </c>
      <c r="BZ4" s="537"/>
      <c r="CA4" s="537"/>
      <c r="CB4" s="554"/>
    </row>
    <row r="5" spans="1:80" ht="5.0999999999999996" customHeight="1" x14ac:dyDescent="0.3">
      <c r="A5" s="537"/>
      <c r="B5" s="548"/>
      <c r="C5" s="551"/>
      <c r="D5" s="537"/>
      <c r="E5" s="525"/>
      <c r="F5" s="525"/>
      <c r="G5" s="525"/>
      <c r="H5" s="554"/>
      <c r="I5" s="537"/>
      <c r="J5" s="537"/>
      <c r="K5" s="537"/>
      <c r="L5" s="537"/>
      <c r="M5" s="537"/>
      <c r="N5" s="537"/>
      <c r="O5" s="537"/>
      <c r="P5" s="547"/>
      <c r="Q5" s="554"/>
      <c r="R5" s="525"/>
      <c r="S5" s="525"/>
      <c r="T5" s="525"/>
      <c r="U5" s="525"/>
      <c r="V5" s="525"/>
      <c r="W5" s="525"/>
      <c r="X5" s="525"/>
      <c r="Y5" s="525"/>
      <c r="Z5" s="525"/>
      <c r="AA5" s="525"/>
      <c r="AB5" s="525"/>
      <c r="AC5" s="525"/>
      <c r="AD5" s="525"/>
      <c r="AE5" s="525"/>
      <c r="AF5" s="525"/>
      <c r="AG5" s="525"/>
      <c r="AH5" s="525"/>
      <c r="AI5" s="525"/>
      <c r="AJ5" s="525"/>
      <c r="AK5" s="525"/>
      <c r="AL5" s="525"/>
      <c r="AM5" s="525"/>
      <c r="AN5" s="525"/>
      <c r="AO5" s="525"/>
      <c r="AP5" s="525"/>
      <c r="AQ5" s="525"/>
      <c r="AR5" s="525"/>
      <c r="AS5" s="525"/>
      <c r="AT5" s="525"/>
      <c r="AU5" s="525"/>
      <c r="AV5" s="525"/>
      <c r="AW5" s="525"/>
      <c r="AX5" s="525"/>
      <c r="AY5" s="525"/>
      <c r="AZ5" s="525"/>
      <c r="BA5" s="525"/>
      <c r="BB5" s="525"/>
      <c r="BC5" s="525"/>
      <c r="BD5" s="525"/>
      <c r="BE5" s="525"/>
      <c r="BF5" s="525"/>
      <c r="BG5" s="525"/>
      <c r="BH5" s="525"/>
      <c r="BI5" s="525"/>
      <c r="BJ5" s="525"/>
      <c r="BK5" s="525"/>
      <c r="BL5" s="525"/>
      <c r="BM5" s="525"/>
      <c r="BN5" s="525"/>
      <c r="BO5" s="525"/>
      <c r="BP5" s="525"/>
      <c r="BQ5" s="525"/>
      <c r="BR5" s="525"/>
      <c r="BS5" s="525"/>
      <c r="BT5" s="525"/>
      <c r="BU5" s="525"/>
      <c r="BV5" s="525"/>
      <c r="BW5" s="525"/>
      <c r="BX5" s="525"/>
      <c r="BY5" s="525"/>
      <c r="BZ5" s="537"/>
      <c r="CA5" s="537"/>
      <c r="CB5" s="554"/>
    </row>
    <row r="6" spans="1:80" ht="12.75" customHeight="1" x14ac:dyDescent="0.3">
      <c r="A6" s="537"/>
      <c r="B6" s="548"/>
      <c r="C6" s="547"/>
      <c r="D6" s="537"/>
      <c r="E6" s="525"/>
      <c r="F6" s="525"/>
      <c r="G6" s="525"/>
      <c r="H6" s="554"/>
      <c r="I6" s="537"/>
      <c r="J6" s="537"/>
      <c r="K6" s="537"/>
      <c r="L6" s="537"/>
      <c r="M6" s="537"/>
      <c r="N6" s="537"/>
      <c r="O6" s="537"/>
      <c r="P6" s="547"/>
      <c r="Q6" s="554"/>
      <c r="R6" s="525"/>
      <c r="S6" s="525"/>
      <c r="T6" s="525"/>
      <c r="U6" s="525"/>
      <c r="V6" s="525"/>
      <c r="W6" s="525"/>
      <c r="X6" s="525"/>
      <c r="Y6" s="525"/>
      <c r="Z6" s="525"/>
      <c r="AA6" s="525"/>
      <c r="AB6" s="525"/>
      <c r="AC6" s="525"/>
      <c r="AD6" s="525"/>
      <c r="AE6" s="525"/>
      <c r="AF6" s="525"/>
      <c r="AG6" s="525"/>
      <c r="AH6" s="525"/>
      <c r="AI6" s="525"/>
      <c r="AJ6" s="525"/>
      <c r="AK6" s="525"/>
      <c r="AL6" s="525"/>
      <c r="AM6" s="525"/>
      <c r="AN6" s="525"/>
      <c r="AO6" s="525"/>
      <c r="AP6" s="525"/>
      <c r="AQ6" s="525"/>
      <c r="AR6" s="525"/>
      <c r="AS6" s="525"/>
      <c r="AT6" s="525"/>
      <c r="AU6" s="525"/>
      <c r="AV6" s="525"/>
      <c r="AW6" s="525"/>
      <c r="AX6" s="525"/>
      <c r="AY6" s="525"/>
      <c r="AZ6" s="525"/>
      <c r="BA6" s="525"/>
      <c r="BB6" s="525"/>
      <c r="BC6" s="525"/>
      <c r="BD6" s="525"/>
      <c r="BE6" s="525"/>
      <c r="BF6" s="525"/>
      <c r="BG6" s="525"/>
      <c r="BH6" s="525"/>
      <c r="BI6" s="525"/>
      <c r="BJ6" s="525"/>
      <c r="BK6" s="525"/>
      <c r="BL6" s="525"/>
      <c r="BM6" s="525"/>
      <c r="BN6" s="525"/>
      <c r="BO6" s="525"/>
      <c r="BP6" s="525"/>
      <c r="BQ6" s="525"/>
      <c r="BR6" s="525"/>
      <c r="BS6" s="525"/>
      <c r="BT6" s="525"/>
      <c r="BU6" s="525"/>
      <c r="BV6" s="525"/>
      <c r="BW6" s="525"/>
      <c r="BX6" s="525"/>
      <c r="BY6" s="525"/>
      <c r="BZ6" s="537"/>
      <c r="CA6" s="537"/>
      <c r="CB6" s="554"/>
    </row>
    <row r="7" spans="1:80" ht="12.75" customHeight="1" x14ac:dyDescent="0.3">
      <c r="A7" s="551"/>
      <c r="B7" s="548"/>
      <c r="C7" s="560" t="s">
        <v>37</v>
      </c>
      <c r="D7" s="561"/>
      <c r="E7" s="526" t="s">
        <v>120</v>
      </c>
      <c r="F7" s="526"/>
      <c r="G7" s="526"/>
      <c r="H7" s="526"/>
      <c r="I7" s="526"/>
      <c r="J7" s="526"/>
      <c r="K7" s="526"/>
      <c r="L7" s="526"/>
      <c r="M7" s="526"/>
      <c r="N7" s="526"/>
      <c r="O7" s="526"/>
      <c r="P7" s="560"/>
      <c r="Q7" s="526"/>
      <c r="R7" s="526"/>
      <c r="S7" s="526"/>
      <c r="T7" s="526"/>
      <c r="U7" s="526"/>
      <c r="V7" s="526"/>
      <c r="W7" s="526"/>
      <c r="X7" s="526"/>
      <c r="Y7" s="526"/>
      <c r="Z7" s="526"/>
      <c r="AA7" s="526"/>
      <c r="AB7" s="526"/>
      <c r="AC7" s="526"/>
      <c r="AD7" s="526"/>
      <c r="AE7" s="526"/>
      <c r="AF7" s="526"/>
      <c r="AG7" s="526"/>
      <c r="AH7" s="526"/>
      <c r="AI7" s="526"/>
      <c r="AJ7" s="526"/>
      <c r="AK7" s="526"/>
      <c r="AL7" s="526"/>
      <c r="AM7" s="526"/>
      <c r="AN7" s="526"/>
      <c r="AO7" s="526"/>
      <c r="AP7" s="526"/>
      <c r="AQ7" s="526"/>
      <c r="AR7" s="526"/>
      <c r="AS7" s="526"/>
      <c r="AT7" s="526"/>
      <c r="AU7" s="526"/>
      <c r="AV7" s="526"/>
      <c r="AW7" s="526"/>
      <c r="AX7" s="526"/>
      <c r="AY7" s="526"/>
      <c r="AZ7" s="526"/>
      <c r="BA7" s="526"/>
      <c r="BB7" s="526"/>
      <c r="BC7" s="526"/>
      <c r="BD7" s="526"/>
      <c r="BE7" s="526"/>
      <c r="BF7" s="526"/>
      <c r="BG7" s="526"/>
      <c r="BH7" s="526"/>
      <c r="BI7" s="526"/>
      <c r="BJ7" s="526"/>
      <c r="BK7" s="526"/>
      <c r="BL7" s="526"/>
      <c r="BM7" s="526"/>
      <c r="BN7" s="526"/>
      <c r="BO7" s="526"/>
      <c r="BP7" s="526"/>
      <c r="BQ7" s="526"/>
      <c r="BR7" s="526"/>
      <c r="BS7" s="526"/>
      <c r="BT7" s="526"/>
      <c r="BU7" s="526"/>
      <c r="BV7" s="526"/>
      <c r="BW7" s="526"/>
      <c r="BX7" s="526"/>
      <c r="BY7" s="526"/>
      <c r="BZ7" s="537"/>
      <c r="CA7" s="537"/>
      <c r="CB7" s="537"/>
    </row>
    <row r="8" spans="1:80" x14ac:dyDescent="0.3">
      <c r="A8" s="551"/>
      <c r="B8" s="548"/>
      <c r="C8" s="525"/>
      <c r="D8" s="525"/>
      <c r="E8" s="525"/>
      <c r="F8" s="525"/>
      <c r="G8" s="525"/>
      <c r="H8" s="525"/>
      <c r="I8" s="525"/>
      <c r="J8" s="529"/>
      <c r="K8" s="529"/>
      <c r="L8" s="529"/>
      <c r="M8" s="529"/>
      <c r="N8" s="529"/>
      <c r="O8" s="529"/>
      <c r="P8" s="562"/>
      <c r="Q8" s="537"/>
      <c r="R8" s="529"/>
      <c r="S8" s="525"/>
      <c r="T8" s="525"/>
      <c r="U8" s="525"/>
      <c r="V8" s="525"/>
      <c r="W8" s="525"/>
      <c r="X8" s="525"/>
      <c r="Y8" s="525"/>
      <c r="Z8" s="525"/>
      <c r="AA8" s="525"/>
      <c r="AB8" s="525"/>
      <c r="AC8" s="525"/>
      <c r="AD8" s="525"/>
      <c r="AE8" s="525"/>
      <c r="AF8" s="525"/>
      <c r="AG8" s="525"/>
      <c r="AH8" s="525"/>
      <c r="AI8" s="525"/>
      <c r="AJ8" s="525"/>
      <c r="AK8" s="525"/>
      <c r="AL8" s="525"/>
      <c r="AM8" s="525"/>
      <c r="AN8" s="525"/>
      <c r="AO8" s="525"/>
      <c r="AP8" s="525"/>
      <c r="AQ8" s="525"/>
      <c r="AR8" s="525"/>
      <c r="AS8" s="525"/>
      <c r="AT8" s="525"/>
      <c r="AU8" s="525"/>
      <c r="AV8" s="525"/>
      <c r="AW8" s="525"/>
      <c r="AX8" s="525"/>
      <c r="AY8" s="525"/>
      <c r="AZ8" s="525"/>
      <c r="BA8" s="525"/>
      <c r="BB8" s="525"/>
      <c r="BC8" s="525"/>
      <c r="BD8" s="525"/>
      <c r="BE8" s="525"/>
      <c r="BF8" s="525"/>
      <c r="BG8" s="525"/>
      <c r="BH8" s="525"/>
      <c r="BI8" s="525"/>
      <c r="BJ8" s="525"/>
      <c r="BK8" s="525"/>
      <c r="BL8" s="525"/>
      <c r="BM8" s="525"/>
      <c r="BN8" s="525"/>
      <c r="BO8" s="525"/>
      <c r="BP8" s="525"/>
      <c r="BQ8" s="525"/>
      <c r="BR8" s="525"/>
      <c r="BS8" s="525"/>
      <c r="BT8" s="525"/>
      <c r="BU8" s="525"/>
      <c r="BV8" s="525"/>
      <c r="BW8" s="525"/>
      <c r="BX8" s="525"/>
      <c r="BY8" s="525"/>
      <c r="BZ8" s="537"/>
      <c r="CA8" s="537"/>
      <c r="CB8" s="537"/>
    </row>
    <row r="9" spans="1:80" x14ac:dyDescent="0.3">
      <c r="A9" s="551"/>
      <c r="B9" s="548"/>
      <c r="C9" s="525"/>
      <c r="D9" s="525"/>
      <c r="E9" s="525" t="s">
        <v>174</v>
      </c>
      <c r="F9" s="525"/>
      <c r="G9" s="525"/>
      <c r="H9" s="525"/>
      <c r="I9" s="563">
        <f>INDEX(Portfolio_Categorisation!$E$12:$E$15,MATCH($B$2,Portfolio_Categorisation!$C$12:$C$15,0))</f>
        <v>115</v>
      </c>
      <c r="J9" s="527">
        <f>INDEX($R9:$BY9,MATCH(J$4,$R$4:$BY$4,0))</f>
        <v>115</v>
      </c>
      <c r="K9" s="527">
        <f>INDEX($R9:$BY9,MATCH(K$4,$R$4:$BY$4,0))</f>
        <v>115</v>
      </c>
      <c r="L9" s="527">
        <f>INDEX($R9:$BY9,MATCH(L$4,$R$4:$BY$4,0))</f>
        <v>115</v>
      </c>
      <c r="M9" s="527">
        <f>INDEX($R9:$BY9,MATCH(M$4,$R$4:$BY$4,0))</f>
        <v>115</v>
      </c>
      <c r="N9" s="527">
        <f>INDEX($R9:$BY9,MATCH(N$4,$R$4:$BY$4,0))</f>
        <v>115</v>
      </c>
      <c r="O9" s="529"/>
      <c r="P9" s="564"/>
      <c r="Q9" s="537"/>
      <c r="R9" s="527">
        <f t="shared" ref="R9:AW9" si="5">R571</f>
        <v>115</v>
      </c>
      <c r="S9" s="527">
        <f t="shared" si="5"/>
        <v>115</v>
      </c>
      <c r="T9" s="527">
        <f t="shared" si="5"/>
        <v>115</v>
      </c>
      <c r="U9" s="527">
        <f t="shared" si="5"/>
        <v>115</v>
      </c>
      <c r="V9" s="527">
        <f t="shared" si="5"/>
        <v>115</v>
      </c>
      <c r="W9" s="527">
        <f t="shared" si="5"/>
        <v>115</v>
      </c>
      <c r="X9" s="527">
        <f t="shared" si="5"/>
        <v>115</v>
      </c>
      <c r="Y9" s="527">
        <f t="shared" si="5"/>
        <v>115</v>
      </c>
      <c r="Z9" s="527">
        <f t="shared" si="5"/>
        <v>115</v>
      </c>
      <c r="AA9" s="527">
        <f t="shared" si="5"/>
        <v>115</v>
      </c>
      <c r="AB9" s="527">
        <f t="shared" si="5"/>
        <v>115</v>
      </c>
      <c r="AC9" s="527">
        <f t="shared" si="5"/>
        <v>115</v>
      </c>
      <c r="AD9" s="527">
        <f t="shared" si="5"/>
        <v>115</v>
      </c>
      <c r="AE9" s="527">
        <f t="shared" si="5"/>
        <v>115</v>
      </c>
      <c r="AF9" s="527">
        <f t="shared" si="5"/>
        <v>115</v>
      </c>
      <c r="AG9" s="527">
        <f t="shared" si="5"/>
        <v>115</v>
      </c>
      <c r="AH9" s="527">
        <f t="shared" si="5"/>
        <v>115</v>
      </c>
      <c r="AI9" s="527">
        <f t="shared" si="5"/>
        <v>115</v>
      </c>
      <c r="AJ9" s="527">
        <f t="shared" si="5"/>
        <v>115</v>
      </c>
      <c r="AK9" s="527">
        <f t="shared" si="5"/>
        <v>115</v>
      </c>
      <c r="AL9" s="527">
        <f t="shared" si="5"/>
        <v>115</v>
      </c>
      <c r="AM9" s="527">
        <f t="shared" si="5"/>
        <v>115</v>
      </c>
      <c r="AN9" s="527">
        <f t="shared" si="5"/>
        <v>115</v>
      </c>
      <c r="AO9" s="527">
        <f t="shared" si="5"/>
        <v>115</v>
      </c>
      <c r="AP9" s="527">
        <f t="shared" si="5"/>
        <v>115</v>
      </c>
      <c r="AQ9" s="527">
        <f t="shared" si="5"/>
        <v>115</v>
      </c>
      <c r="AR9" s="527">
        <f t="shared" si="5"/>
        <v>115</v>
      </c>
      <c r="AS9" s="527">
        <f t="shared" si="5"/>
        <v>115</v>
      </c>
      <c r="AT9" s="527">
        <f t="shared" si="5"/>
        <v>115</v>
      </c>
      <c r="AU9" s="527">
        <f t="shared" si="5"/>
        <v>115</v>
      </c>
      <c r="AV9" s="527">
        <f t="shared" si="5"/>
        <v>115</v>
      </c>
      <c r="AW9" s="527">
        <f t="shared" si="5"/>
        <v>115</v>
      </c>
      <c r="AX9" s="527">
        <f t="shared" ref="AX9:BY9" si="6">AX571</f>
        <v>115</v>
      </c>
      <c r="AY9" s="527">
        <f t="shared" si="6"/>
        <v>115</v>
      </c>
      <c r="AZ9" s="527">
        <f t="shared" si="6"/>
        <v>115</v>
      </c>
      <c r="BA9" s="527">
        <f t="shared" si="6"/>
        <v>115</v>
      </c>
      <c r="BB9" s="527">
        <f t="shared" si="6"/>
        <v>115</v>
      </c>
      <c r="BC9" s="527">
        <f t="shared" si="6"/>
        <v>115</v>
      </c>
      <c r="BD9" s="527">
        <f t="shared" si="6"/>
        <v>115</v>
      </c>
      <c r="BE9" s="527">
        <f t="shared" si="6"/>
        <v>115</v>
      </c>
      <c r="BF9" s="527">
        <f t="shared" si="6"/>
        <v>115</v>
      </c>
      <c r="BG9" s="527">
        <f t="shared" si="6"/>
        <v>115</v>
      </c>
      <c r="BH9" s="527">
        <f t="shared" si="6"/>
        <v>115</v>
      </c>
      <c r="BI9" s="527">
        <f t="shared" si="6"/>
        <v>115</v>
      </c>
      <c r="BJ9" s="527">
        <f t="shared" si="6"/>
        <v>115</v>
      </c>
      <c r="BK9" s="527">
        <f t="shared" si="6"/>
        <v>115</v>
      </c>
      <c r="BL9" s="527">
        <f t="shared" si="6"/>
        <v>115</v>
      </c>
      <c r="BM9" s="527">
        <f t="shared" si="6"/>
        <v>115</v>
      </c>
      <c r="BN9" s="527">
        <f t="shared" si="6"/>
        <v>115</v>
      </c>
      <c r="BO9" s="527">
        <f t="shared" si="6"/>
        <v>115</v>
      </c>
      <c r="BP9" s="527">
        <f t="shared" si="6"/>
        <v>115</v>
      </c>
      <c r="BQ9" s="527">
        <f t="shared" si="6"/>
        <v>115</v>
      </c>
      <c r="BR9" s="527">
        <f t="shared" si="6"/>
        <v>115</v>
      </c>
      <c r="BS9" s="527">
        <f t="shared" si="6"/>
        <v>115</v>
      </c>
      <c r="BT9" s="527">
        <f t="shared" si="6"/>
        <v>115</v>
      </c>
      <c r="BU9" s="527">
        <f t="shared" si="6"/>
        <v>115</v>
      </c>
      <c r="BV9" s="527">
        <f t="shared" si="6"/>
        <v>115</v>
      </c>
      <c r="BW9" s="527">
        <f t="shared" si="6"/>
        <v>115</v>
      </c>
      <c r="BX9" s="527">
        <f t="shared" si="6"/>
        <v>115</v>
      </c>
      <c r="BY9" s="527">
        <f t="shared" si="6"/>
        <v>115</v>
      </c>
      <c r="BZ9" s="537"/>
      <c r="CA9" s="537"/>
      <c r="CB9" s="537"/>
    </row>
    <row r="10" spans="1:80" x14ac:dyDescent="0.3">
      <c r="A10" s="551"/>
      <c r="B10" s="548"/>
      <c r="C10" s="525"/>
      <c r="D10" s="525"/>
      <c r="E10" s="525"/>
      <c r="F10" s="525"/>
      <c r="G10" s="525"/>
      <c r="H10" s="525"/>
      <c r="I10" s="529"/>
      <c r="J10" s="525"/>
      <c r="K10" s="525"/>
      <c r="L10" s="525"/>
      <c r="M10" s="525"/>
      <c r="N10" s="525"/>
      <c r="O10" s="525"/>
      <c r="P10" s="565"/>
      <c r="Q10" s="537"/>
      <c r="R10" s="525"/>
      <c r="S10" s="525"/>
      <c r="T10" s="525"/>
      <c r="U10" s="525"/>
      <c r="V10" s="525"/>
      <c r="W10" s="525"/>
      <c r="X10" s="525"/>
      <c r="Y10" s="525"/>
      <c r="Z10" s="525"/>
      <c r="AA10" s="525"/>
      <c r="AB10" s="525"/>
      <c r="AC10" s="525"/>
      <c r="AD10" s="525"/>
      <c r="AE10" s="525"/>
      <c r="AF10" s="525"/>
      <c r="AG10" s="525"/>
      <c r="AH10" s="525"/>
      <c r="AI10" s="525"/>
      <c r="AJ10" s="525"/>
      <c r="AK10" s="525"/>
      <c r="AL10" s="525"/>
      <c r="AM10" s="525"/>
      <c r="AN10" s="525"/>
      <c r="AO10" s="525"/>
      <c r="AP10" s="525"/>
      <c r="AQ10" s="525"/>
      <c r="AR10" s="525"/>
      <c r="AS10" s="525"/>
      <c r="AT10" s="525"/>
      <c r="AU10" s="525"/>
      <c r="AV10" s="525"/>
      <c r="AW10" s="525"/>
      <c r="AX10" s="525"/>
      <c r="AY10" s="525"/>
      <c r="AZ10" s="525"/>
      <c r="BA10" s="525"/>
      <c r="BB10" s="525"/>
      <c r="BC10" s="525"/>
      <c r="BD10" s="525"/>
      <c r="BE10" s="525"/>
      <c r="BF10" s="525"/>
      <c r="BG10" s="525"/>
      <c r="BH10" s="525"/>
      <c r="BI10" s="525"/>
      <c r="BJ10" s="525"/>
      <c r="BK10" s="525"/>
      <c r="BL10" s="525"/>
      <c r="BM10" s="525"/>
      <c r="BN10" s="525"/>
      <c r="BO10" s="525"/>
      <c r="BP10" s="525"/>
      <c r="BQ10" s="525"/>
      <c r="BR10" s="525"/>
      <c r="BS10" s="525"/>
      <c r="BT10" s="525"/>
      <c r="BU10" s="525"/>
      <c r="BV10" s="525"/>
      <c r="BW10" s="525"/>
      <c r="BX10" s="525"/>
      <c r="BY10" s="525"/>
      <c r="BZ10" s="537"/>
      <c r="CA10" s="537"/>
      <c r="CB10" s="537"/>
    </row>
    <row r="11" spans="1:80" x14ac:dyDescent="0.3">
      <c r="A11" s="551"/>
      <c r="B11" s="548"/>
      <c r="C11" s="525"/>
      <c r="D11" s="525"/>
      <c r="E11" s="525" t="s">
        <v>174</v>
      </c>
      <c r="F11" s="525"/>
      <c r="G11" s="525"/>
      <c r="H11" s="525"/>
      <c r="I11" s="527">
        <f t="shared" ref="I11:N11" si="7">I9</f>
        <v>115</v>
      </c>
      <c r="J11" s="527">
        <f t="shared" si="7"/>
        <v>115</v>
      </c>
      <c r="K11" s="527">
        <f t="shared" si="7"/>
        <v>115</v>
      </c>
      <c r="L11" s="527">
        <f t="shared" si="7"/>
        <v>115</v>
      </c>
      <c r="M11" s="527">
        <f t="shared" si="7"/>
        <v>115</v>
      </c>
      <c r="N11" s="527">
        <f t="shared" si="7"/>
        <v>115</v>
      </c>
      <c r="O11" s="525"/>
      <c r="P11" s="565"/>
      <c r="Q11" s="537"/>
      <c r="R11" s="527">
        <f t="shared" ref="R11:AW11" si="8">R9</f>
        <v>115</v>
      </c>
      <c r="S11" s="527">
        <f t="shared" si="8"/>
        <v>115</v>
      </c>
      <c r="T11" s="527">
        <f t="shared" si="8"/>
        <v>115</v>
      </c>
      <c r="U11" s="527">
        <f t="shared" si="8"/>
        <v>115</v>
      </c>
      <c r="V11" s="527">
        <f t="shared" si="8"/>
        <v>115</v>
      </c>
      <c r="W11" s="527">
        <f t="shared" si="8"/>
        <v>115</v>
      </c>
      <c r="X11" s="527">
        <f t="shared" si="8"/>
        <v>115</v>
      </c>
      <c r="Y11" s="527">
        <f t="shared" si="8"/>
        <v>115</v>
      </c>
      <c r="Z11" s="527">
        <f t="shared" si="8"/>
        <v>115</v>
      </c>
      <c r="AA11" s="527">
        <f t="shared" si="8"/>
        <v>115</v>
      </c>
      <c r="AB11" s="527">
        <f t="shared" si="8"/>
        <v>115</v>
      </c>
      <c r="AC11" s="527">
        <f t="shared" si="8"/>
        <v>115</v>
      </c>
      <c r="AD11" s="527">
        <f t="shared" si="8"/>
        <v>115</v>
      </c>
      <c r="AE11" s="527">
        <f t="shared" si="8"/>
        <v>115</v>
      </c>
      <c r="AF11" s="527">
        <f t="shared" si="8"/>
        <v>115</v>
      </c>
      <c r="AG11" s="527">
        <f t="shared" si="8"/>
        <v>115</v>
      </c>
      <c r="AH11" s="527">
        <f t="shared" si="8"/>
        <v>115</v>
      </c>
      <c r="AI11" s="527">
        <f t="shared" si="8"/>
        <v>115</v>
      </c>
      <c r="AJ11" s="527">
        <f t="shared" si="8"/>
        <v>115</v>
      </c>
      <c r="AK11" s="527">
        <f t="shared" si="8"/>
        <v>115</v>
      </c>
      <c r="AL11" s="527">
        <f t="shared" si="8"/>
        <v>115</v>
      </c>
      <c r="AM11" s="527">
        <f t="shared" si="8"/>
        <v>115</v>
      </c>
      <c r="AN11" s="527">
        <f t="shared" si="8"/>
        <v>115</v>
      </c>
      <c r="AO11" s="527">
        <f t="shared" si="8"/>
        <v>115</v>
      </c>
      <c r="AP11" s="527">
        <f t="shared" si="8"/>
        <v>115</v>
      </c>
      <c r="AQ11" s="527">
        <f t="shared" si="8"/>
        <v>115</v>
      </c>
      <c r="AR11" s="527">
        <f t="shared" si="8"/>
        <v>115</v>
      </c>
      <c r="AS11" s="527">
        <f t="shared" si="8"/>
        <v>115</v>
      </c>
      <c r="AT11" s="527">
        <f t="shared" si="8"/>
        <v>115</v>
      </c>
      <c r="AU11" s="527">
        <f t="shared" si="8"/>
        <v>115</v>
      </c>
      <c r="AV11" s="527">
        <f t="shared" si="8"/>
        <v>115</v>
      </c>
      <c r="AW11" s="527">
        <f t="shared" si="8"/>
        <v>115</v>
      </c>
      <c r="AX11" s="527">
        <f t="shared" ref="AX11:BY11" si="9">AX9</f>
        <v>115</v>
      </c>
      <c r="AY11" s="527">
        <f t="shared" si="9"/>
        <v>115</v>
      </c>
      <c r="AZ11" s="527">
        <f t="shared" si="9"/>
        <v>115</v>
      </c>
      <c r="BA11" s="527">
        <f t="shared" si="9"/>
        <v>115</v>
      </c>
      <c r="BB11" s="527">
        <f t="shared" si="9"/>
        <v>115</v>
      </c>
      <c r="BC11" s="527">
        <f t="shared" si="9"/>
        <v>115</v>
      </c>
      <c r="BD11" s="527">
        <f t="shared" si="9"/>
        <v>115</v>
      </c>
      <c r="BE11" s="527">
        <f t="shared" si="9"/>
        <v>115</v>
      </c>
      <c r="BF11" s="527">
        <f t="shared" si="9"/>
        <v>115</v>
      </c>
      <c r="BG11" s="527">
        <f t="shared" si="9"/>
        <v>115</v>
      </c>
      <c r="BH11" s="527">
        <f t="shared" si="9"/>
        <v>115</v>
      </c>
      <c r="BI11" s="527">
        <f t="shared" si="9"/>
        <v>115</v>
      </c>
      <c r="BJ11" s="527">
        <f t="shared" si="9"/>
        <v>115</v>
      </c>
      <c r="BK11" s="527">
        <f t="shared" si="9"/>
        <v>115</v>
      </c>
      <c r="BL11" s="527">
        <f t="shared" si="9"/>
        <v>115</v>
      </c>
      <c r="BM11" s="527">
        <f t="shared" si="9"/>
        <v>115</v>
      </c>
      <c r="BN11" s="527">
        <f t="shared" si="9"/>
        <v>115</v>
      </c>
      <c r="BO11" s="527">
        <f t="shared" si="9"/>
        <v>115</v>
      </c>
      <c r="BP11" s="527">
        <f t="shared" si="9"/>
        <v>115</v>
      </c>
      <c r="BQ11" s="527">
        <f t="shared" si="9"/>
        <v>115</v>
      </c>
      <c r="BR11" s="527">
        <f t="shared" si="9"/>
        <v>115</v>
      </c>
      <c r="BS11" s="527">
        <f t="shared" si="9"/>
        <v>115</v>
      </c>
      <c r="BT11" s="527">
        <f t="shared" si="9"/>
        <v>115</v>
      </c>
      <c r="BU11" s="527">
        <f t="shared" si="9"/>
        <v>115</v>
      </c>
      <c r="BV11" s="527">
        <f t="shared" si="9"/>
        <v>115</v>
      </c>
      <c r="BW11" s="527">
        <f t="shared" si="9"/>
        <v>115</v>
      </c>
      <c r="BX11" s="527">
        <f t="shared" si="9"/>
        <v>115</v>
      </c>
      <c r="BY11" s="527">
        <f t="shared" si="9"/>
        <v>115</v>
      </c>
      <c r="BZ11" s="537"/>
      <c r="CA11" s="537"/>
      <c r="CB11" s="537"/>
    </row>
    <row r="12" spans="1:80" x14ac:dyDescent="0.3">
      <c r="A12" s="551"/>
      <c r="B12" s="548"/>
      <c r="C12" s="525"/>
      <c r="D12" s="525"/>
      <c r="E12" s="525" t="s">
        <v>131</v>
      </c>
      <c r="F12" s="525"/>
      <c r="G12" s="525"/>
      <c r="H12" s="525"/>
      <c r="I12" s="527">
        <f t="shared" ref="I12:N12" si="10">I11</f>
        <v>115</v>
      </c>
      <c r="J12" s="527">
        <f t="shared" si="10"/>
        <v>115</v>
      </c>
      <c r="K12" s="527">
        <f t="shared" si="10"/>
        <v>115</v>
      </c>
      <c r="L12" s="527">
        <f t="shared" si="10"/>
        <v>115</v>
      </c>
      <c r="M12" s="527">
        <f t="shared" si="10"/>
        <v>115</v>
      </c>
      <c r="N12" s="527">
        <f t="shared" si="10"/>
        <v>115</v>
      </c>
      <c r="O12" s="525"/>
      <c r="P12" s="565"/>
      <c r="Q12" s="537"/>
      <c r="R12" s="527">
        <f t="shared" ref="R12:AW12" si="11">R11</f>
        <v>115</v>
      </c>
      <c r="S12" s="527">
        <f t="shared" si="11"/>
        <v>115</v>
      </c>
      <c r="T12" s="527">
        <f t="shared" si="11"/>
        <v>115</v>
      </c>
      <c r="U12" s="527">
        <f t="shared" si="11"/>
        <v>115</v>
      </c>
      <c r="V12" s="527">
        <f t="shared" si="11"/>
        <v>115</v>
      </c>
      <c r="W12" s="527">
        <f t="shared" si="11"/>
        <v>115</v>
      </c>
      <c r="X12" s="527">
        <f t="shared" si="11"/>
        <v>115</v>
      </c>
      <c r="Y12" s="527">
        <f t="shared" si="11"/>
        <v>115</v>
      </c>
      <c r="Z12" s="527">
        <f t="shared" si="11"/>
        <v>115</v>
      </c>
      <c r="AA12" s="527">
        <f t="shared" si="11"/>
        <v>115</v>
      </c>
      <c r="AB12" s="527">
        <f t="shared" si="11"/>
        <v>115</v>
      </c>
      <c r="AC12" s="527">
        <f t="shared" si="11"/>
        <v>115</v>
      </c>
      <c r="AD12" s="527">
        <f t="shared" si="11"/>
        <v>115</v>
      </c>
      <c r="AE12" s="527">
        <f t="shared" si="11"/>
        <v>115</v>
      </c>
      <c r="AF12" s="527">
        <f t="shared" si="11"/>
        <v>115</v>
      </c>
      <c r="AG12" s="527">
        <f t="shared" si="11"/>
        <v>115</v>
      </c>
      <c r="AH12" s="527">
        <f t="shared" si="11"/>
        <v>115</v>
      </c>
      <c r="AI12" s="527">
        <f t="shared" si="11"/>
        <v>115</v>
      </c>
      <c r="AJ12" s="527">
        <f t="shared" si="11"/>
        <v>115</v>
      </c>
      <c r="AK12" s="527">
        <f t="shared" si="11"/>
        <v>115</v>
      </c>
      <c r="AL12" s="527">
        <f t="shared" si="11"/>
        <v>115</v>
      </c>
      <c r="AM12" s="527">
        <f t="shared" si="11"/>
        <v>115</v>
      </c>
      <c r="AN12" s="527">
        <f t="shared" si="11"/>
        <v>115</v>
      </c>
      <c r="AO12" s="527">
        <f t="shared" si="11"/>
        <v>115</v>
      </c>
      <c r="AP12" s="527">
        <f t="shared" si="11"/>
        <v>115</v>
      </c>
      <c r="AQ12" s="527">
        <f t="shared" si="11"/>
        <v>115</v>
      </c>
      <c r="AR12" s="527">
        <f t="shared" si="11"/>
        <v>115</v>
      </c>
      <c r="AS12" s="527">
        <f t="shared" si="11"/>
        <v>115</v>
      </c>
      <c r="AT12" s="527">
        <f t="shared" si="11"/>
        <v>115</v>
      </c>
      <c r="AU12" s="527">
        <f t="shared" si="11"/>
        <v>115</v>
      </c>
      <c r="AV12" s="527">
        <f t="shared" si="11"/>
        <v>115</v>
      </c>
      <c r="AW12" s="527">
        <f t="shared" si="11"/>
        <v>115</v>
      </c>
      <c r="AX12" s="527">
        <f t="shared" ref="AX12:BY12" si="12">AX11</f>
        <v>115</v>
      </c>
      <c r="AY12" s="527">
        <f t="shared" si="12"/>
        <v>115</v>
      </c>
      <c r="AZ12" s="527">
        <f t="shared" si="12"/>
        <v>115</v>
      </c>
      <c r="BA12" s="527">
        <f t="shared" si="12"/>
        <v>115</v>
      </c>
      <c r="BB12" s="527">
        <f t="shared" si="12"/>
        <v>115</v>
      </c>
      <c r="BC12" s="527">
        <f t="shared" si="12"/>
        <v>115</v>
      </c>
      <c r="BD12" s="527">
        <f t="shared" si="12"/>
        <v>115</v>
      </c>
      <c r="BE12" s="527">
        <f t="shared" si="12"/>
        <v>115</v>
      </c>
      <c r="BF12" s="527">
        <f t="shared" si="12"/>
        <v>115</v>
      </c>
      <c r="BG12" s="527">
        <f t="shared" si="12"/>
        <v>115</v>
      </c>
      <c r="BH12" s="527">
        <f t="shared" si="12"/>
        <v>115</v>
      </c>
      <c r="BI12" s="527">
        <f t="shared" si="12"/>
        <v>115</v>
      </c>
      <c r="BJ12" s="527">
        <f t="shared" si="12"/>
        <v>115</v>
      </c>
      <c r="BK12" s="527">
        <f t="shared" si="12"/>
        <v>115</v>
      </c>
      <c r="BL12" s="527">
        <f t="shared" si="12"/>
        <v>115</v>
      </c>
      <c r="BM12" s="527">
        <f t="shared" si="12"/>
        <v>115</v>
      </c>
      <c r="BN12" s="527">
        <f t="shared" si="12"/>
        <v>115</v>
      </c>
      <c r="BO12" s="527">
        <f t="shared" si="12"/>
        <v>115</v>
      </c>
      <c r="BP12" s="527">
        <f t="shared" si="12"/>
        <v>115</v>
      </c>
      <c r="BQ12" s="527">
        <f t="shared" si="12"/>
        <v>115</v>
      </c>
      <c r="BR12" s="527">
        <f t="shared" si="12"/>
        <v>115</v>
      </c>
      <c r="BS12" s="527">
        <f t="shared" si="12"/>
        <v>115</v>
      </c>
      <c r="BT12" s="527">
        <f t="shared" si="12"/>
        <v>115</v>
      </c>
      <c r="BU12" s="527">
        <f t="shared" si="12"/>
        <v>115</v>
      </c>
      <c r="BV12" s="527">
        <f t="shared" si="12"/>
        <v>115</v>
      </c>
      <c r="BW12" s="527">
        <f t="shared" si="12"/>
        <v>115</v>
      </c>
      <c r="BX12" s="527">
        <f t="shared" si="12"/>
        <v>115</v>
      </c>
      <c r="BY12" s="527">
        <f t="shared" si="12"/>
        <v>115</v>
      </c>
      <c r="BZ12" s="537"/>
      <c r="CA12" s="537"/>
      <c r="CB12" s="537"/>
    </row>
    <row r="13" spans="1:80" x14ac:dyDescent="0.3">
      <c r="A13" s="551"/>
      <c r="B13" s="548"/>
      <c r="C13" s="525"/>
      <c r="D13" s="525"/>
      <c r="E13" s="525" t="s">
        <v>132</v>
      </c>
      <c r="F13" s="525"/>
      <c r="G13" s="525"/>
      <c r="H13" s="525"/>
      <c r="I13" s="528">
        <v>0</v>
      </c>
      <c r="J13" s="528">
        <v>0</v>
      </c>
      <c r="K13" s="528">
        <v>0</v>
      </c>
      <c r="L13" s="528">
        <v>0</v>
      </c>
      <c r="M13" s="528">
        <v>0</v>
      </c>
      <c r="N13" s="528">
        <v>0</v>
      </c>
      <c r="O13" s="525"/>
      <c r="P13" s="565"/>
      <c r="Q13" s="537"/>
      <c r="R13" s="528">
        <v>0</v>
      </c>
      <c r="S13" s="528">
        <v>0</v>
      </c>
      <c r="T13" s="528">
        <v>0</v>
      </c>
      <c r="U13" s="528">
        <v>0</v>
      </c>
      <c r="V13" s="528">
        <v>0</v>
      </c>
      <c r="W13" s="528">
        <v>0</v>
      </c>
      <c r="X13" s="528">
        <v>0</v>
      </c>
      <c r="Y13" s="528">
        <v>0</v>
      </c>
      <c r="Z13" s="528">
        <v>0</v>
      </c>
      <c r="AA13" s="528">
        <v>0</v>
      </c>
      <c r="AB13" s="528">
        <v>0</v>
      </c>
      <c r="AC13" s="528">
        <v>0</v>
      </c>
      <c r="AD13" s="528">
        <v>0</v>
      </c>
      <c r="AE13" s="528">
        <v>0</v>
      </c>
      <c r="AF13" s="528">
        <v>0</v>
      </c>
      <c r="AG13" s="528">
        <v>0</v>
      </c>
      <c r="AH13" s="528">
        <v>0</v>
      </c>
      <c r="AI13" s="528">
        <v>0</v>
      </c>
      <c r="AJ13" s="528">
        <v>0</v>
      </c>
      <c r="AK13" s="528">
        <v>0</v>
      </c>
      <c r="AL13" s="528">
        <v>0</v>
      </c>
      <c r="AM13" s="528">
        <v>0</v>
      </c>
      <c r="AN13" s="528">
        <v>0</v>
      </c>
      <c r="AO13" s="528">
        <v>0</v>
      </c>
      <c r="AP13" s="528">
        <v>0</v>
      </c>
      <c r="AQ13" s="528">
        <v>0</v>
      </c>
      <c r="AR13" s="528">
        <v>0</v>
      </c>
      <c r="AS13" s="528">
        <v>0</v>
      </c>
      <c r="AT13" s="528">
        <v>0</v>
      </c>
      <c r="AU13" s="528">
        <v>0</v>
      </c>
      <c r="AV13" s="528">
        <v>0</v>
      </c>
      <c r="AW13" s="528">
        <v>0</v>
      </c>
      <c r="AX13" s="528">
        <v>0</v>
      </c>
      <c r="AY13" s="528">
        <v>0</v>
      </c>
      <c r="AZ13" s="528">
        <v>0</v>
      </c>
      <c r="BA13" s="528">
        <v>0</v>
      </c>
      <c r="BB13" s="528">
        <v>0</v>
      </c>
      <c r="BC13" s="528">
        <v>0</v>
      </c>
      <c r="BD13" s="528">
        <v>0</v>
      </c>
      <c r="BE13" s="528">
        <v>0</v>
      </c>
      <c r="BF13" s="528">
        <v>0</v>
      </c>
      <c r="BG13" s="528">
        <v>0</v>
      </c>
      <c r="BH13" s="528">
        <v>0</v>
      </c>
      <c r="BI13" s="528">
        <v>0</v>
      </c>
      <c r="BJ13" s="528">
        <v>0</v>
      </c>
      <c r="BK13" s="528">
        <v>0</v>
      </c>
      <c r="BL13" s="528">
        <v>0</v>
      </c>
      <c r="BM13" s="528">
        <v>0</v>
      </c>
      <c r="BN13" s="528">
        <v>0</v>
      </c>
      <c r="BO13" s="528">
        <v>0</v>
      </c>
      <c r="BP13" s="528">
        <v>0</v>
      </c>
      <c r="BQ13" s="528">
        <v>0</v>
      </c>
      <c r="BR13" s="528">
        <v>0</v>
      </c>
      <c r="BS13" s="528">
        <v>0</v>
      </c>
      <c r="BT13" s="528">
        <v>0</v>
      </c>
      <c r="BU13" s="528">
        <v>0</v>
      </c>
      <c r="BV13" s="528">
        <v>0</v>
      </c>
      <c r="BW13" s="528">
        <v>0</v>
      </c>
      <c r="BX13" s="528">
        <v>0</v>
      </c>
      <c r="BY13" s="528">
        <v>0</v>
      </c>
      <c r="BZ13" s="537"/>
      <c r="CA13" s="537"/>
      <c r="CB13" s="537"/>
    </row>
    <row r="14" spans="1:80" x14ac:dyDescent="0.3">
      <c r="A14" s="551"/>
      <c r="B14" s="548"/>
      <c r="C14" s="525"/>
      <c r="D14" s="525"/>
      <c r="E14" s="525"/>
      <c r="F14" s="525"/>
      <c r="G14" s="525"/>
      <c r="H14" s="525"/>
      <c r="I14" s="529"/>
      <c r="J14" s="525"/>
      <c r="K14" s="525"/>
      <c r="L14" s="525"/>
      <c r="M14" s="525"/>
      <c r="N14" s="525"/>
      <c r="O14" s="525"/>
      <c r="P14" s="565"/>
      <c r="Q14" s="537"/>
      <c r="R14" s="525"/>
      <c r="S14" s="525"/>
      <c r="T14" s="525"/>
      <c r="U14" s="525"/>
      <c r="V14" s="525"/>
      <c r="W14" s="525"/>
      <c r="X14" s="525"/>
      <c r="Y14" s="525"/>
      <c r="Z14" s="525"/>
      <c r="AA14" s="525"/>
      <c r="AB14" s="525"/>
      <c r="AC14" s="525"/>
      <c r="AD14" s="525"/>
      <c r="AE14" s="525"/>
      <c r="AF14" s="525"/>
      <c r="AG14" s="525"/>
      <c r="AH14" s="525"/>
      <c r="AI14" s="525"/>
      <c r="AJ14" s="525"/>
      <c r="AK14" s="525"/>
      <c r="AL14" s="525"/>
      <c r="AM14" s="525"/>
      <c r="AN14" s="525"/>
      <c r="AO14" s="525"/>
      <c r="AP14" s="525"/>
      <c r="AQ14" s="525"/>
      <c r="AR14" s="525"/>
      <c r="AS14" s="525"/>
      <c r="AT14" s="525"/>
      <c r="AU14" s="525"/>
      <c r="AV14" s="525"/>
      <c r="AW14" s="525"/>
      <c r="AX14" s="525"/>
      <c r="AY14" s="525"/>
      <c r="AZ14" s="525"/>
      <c r="BA14" s="525"/>
      <c r="BB14" s="525"/>
      <c r="BC14" s="525"/>
      <c r="BD14" s="525"/>
      <c r="BE14" s="525"/>
      <c r="BF14" s="525"/>
      <c r="BG14" s="525"/>
      <c r="BH14" s="525"/>
      <c r="BI14" s="525"/>
      <c r="BJ14" s="525"/>
      <c r="BK14" s="525"/>
      <c r="BL14" s="525"/>
      <c r="BM14" s="525"/>
      <c r="BN14" s="525"/>
      <c r="BO14" s="525"/>
      <c r="BP14" s="525"/>
      <c r="BQ14" s="525"/>
      <c r="BR14" s="525"/>
      <c r="BS14" s="525"/>
      <c r="BT14" s="525"/>
      <c r="BU14" s="525"/>
      <c r="BV14" s="525"/>
      <c r="BW14" s="525"/>
      <c r="BX14" s="525"/>
      <c r="BY14" s="525"/>
      <c r="BZ14" s="537"/>
      <c r="CA14" s="537"/>
      <c r="CB14" s="537"/>
    </row>
    <row r="15" spans="1:80" x14ac:dyDescent="0.3">
      <c r="A15" s="551"/>
      <c r="B15" s="548"/>
      <c r="C15" s="525"/>
      <c r="D15" s="525"/>
      <c r="E15" s="525" t="s">
        <v>174</v>
      </c>
      <c r="F15" s="525"/>
      <c r="G15" s="525"/>
      <c r="H15" s="525"/>
      <c r="I15" s="527">
        <f t="shared" ref="I15:N15" si="13">I9</f>
        <v>115</v>
      </c>
      <c r="J15" s="527">
        <f t="shared" si="13"/>
        <v>115</v>
      </c>
      <c r="K15" s="527">
        <f t="shared" si="13"/>
        <v>115</v>
      </c>
      <c r="L15" s="527">
        <f t="shared" si="13"/>
        <v>115</v>
      </c>
      <c r="M15" s="527">
        <f t="shared" si="13"/>
        <v>115</v>
      </c>
      <c r="N15" s="527">
        <f t="shared" si="13"/>
        <v>115</v>
      </c>
      <c r="O15" s="525"/>
      <c r="P15" s="565"/>
      <c r="Q15" s="537"/>
      <c r="R15" s="527">
        <f t="shared" ref="R15:AW15" si="14">R9</f>
        <v>115</v>
      </c>
      <c r="S15" s="527">
        <f t="shared" si="14"/>
        <v>115</v>
      </c>
      <c r="T15" s="527">
        <f t="shared" si="14"/>
        <v>115</v>
      </c>
      <c r="U15" s="527">
        <f t="shared" si="14"/>
        <v>115</v>
      </c>
      <c r="V15" s="527">
        <f t="shared" si="14"/>
        <v>115</v>
      </c>
      <c r="W15" s="527">
        <f t="shared" si="14"/>
        <v>115</v>
      </c>
      <c r="X15" s="527">
        <f t="shared" si="14"/>
        <v>115</v>
      </c>
      <c r="Y15" s="527">
        <f t="shared" si="14"/>
        <v>115</v>
      </c>
      <c r="Z15" s="527">
        <f t="shared" si="14"/>
        <v>115</v>
      </c>
      <c r="AA15" s="527">
        <f t="shared" si="14"/>
        <v>115</v>
      </c>
      <c r="AB15" s="527">
        <f t="shared" si="14"/>
        <v>115</v>
      </c>
      <c r="AC15" s="527">
        <f t="shared" si="14"/>
        <v>115</v>
      </c>
      <c r="AD15" s="527">
        <f t="shared" si="14"/>
        <v>115</v>
      </c>
      <c r="AE15" s="527">
        <f t="shared" si="14"/>
        <v>115</v>
      </c>
      <c r="AF15" s="527">
        <f t="shared" si="14"/>
        <v>115</v>
      </c>
      <c r="AG15" s="527">
        <f t="shared" si="14"/>
        <v>115</v>
      </c>
      <c r="AH15" s="527">
        <f t="shared" si="14"/>
        <v>115</v>
      </c>
      <c r="AI15" s="527">
        <f t="shared" si="14"/>
        <v>115</v>
      </c>
      <c r="AJ15" s="527">
        <f t="shared" si="14"/>
        <v>115</v>
      </c>
      <c r="AK15" s="527">
        <f t="shared" si="14"/>
        <v>115</v>
      </c>
      <c r="AL15" s="527">
        <f t="shared" si="14"/>
        <v>115</v>
      </c>
      <c r="AM15" s="527">
        <f t="shared" si="14"/>
        <v>115</v>
      </c>
      <c r="AN15" s="527">
        <f t="shared" si="14"/>
        <v>115</v>
      </c>
      <c r="AO15" s="527">
        <f t="shared" si="14"/>
        <v>115</v>
      </c>
      <c r="AP15" s="527">
        <f t="shared" si="14"/>
        <v>115</v>
      </c>
      <c r="AQ15" s="527">
        <f t="shared" si="14"/>
        <v>115</v>
      </c>
      <c r="AR15" s="527">
        <f t="shared" si="14"/>
        <v>115</v>
      </c>
      <c r="AS15" s="527">
        <f t="shared" si="14"/>
        <v>115</v>
      </c>
      <c r="AT15" s="527">
        <f t="shared" si="14"/>
        <v>115</v>
      </c>
      <c r="AU15" s="527">
        <f t="shared" si="14"/>
        <v>115</v>
      </c>
      <c r="AV15" s="527">
        <f t="shared" si="14"/>
        <v>115</v>
      </c>
      <c r="AW15" s="527">
        <f t="shared" si="14"/>
        <v>115</v>
      </c>
      <c r="AX15" s="527">
        <f t="shared" ref="AX15:BY15" si="15">AX9</f>
        <v>115</v>
      </c>
      <c r="AY15" s="527">
        <f t="shared" si="15"/>
        <v>115</v>
      </c>
      <c r="AZ15" s="527">
        <f t="shared" si="15"/>
        <v>115</v>
      </c>
      <c r="BA15" s="527">
        <f t="shared" si="15"/>
        <v>115</v>
      </c>
      <c r="BB15" s="527">
        <f t="shared" si="15"/>
        <v>115</v>
      </c>
      <c r="BC15" s="527">
        <f t="shared" si="15"/>
        <v>115</v>
      </c>
      <c r="BD15" s="527">
        <f t="shared" si="15"/>
        <v>115</v>
      </c>
      <c r="BE15" s="527">
        <f t="shared" si="15"/>
        <v>115</v>
      </c>
      <c r="BF15" s="527">
        <f t="shared" si="15"/>
        <v>115</v>
      </c>
      <c r="BG15" s="527">
        <f t="shared" si="15"/>
        <v>115</v>
      </c>
      <c r="BH15" s="527">
        <f t="shared" si="15"/>
        <v>115</v>
      </c>
      <c r="BI15" s="527">
        <f t="shared" si="15"/>
        <v>115</v>
      </c>
      <c r="BJ15" s="527">
        <f t="shared" si="15"/>
        <v>115</v>
      </c>
      <c r="BK15" s="527">
        <f t="shared" si="15"/>
        <v>115</v>
      </c>
      <c r="BL15" s="527">
        <f t="shared" si="15"/>
        <v>115</v>
      </c>
      <c r="BM15" s="527">
        <f t="shared" si="15"/>
        <v>115</v>
      </c>
      <c r="BN15" s="527">
        <f t="shared" si="15"/>
        <v>115</v>
      </c>
      <c r="BO15" s="527">
        <f t="shared" si="15"/>
        <v>115</v>
      </c>
      <c r="BP15" s="527">
        <f t="shared" si="15"/>
        <v>115</v>
      </c>
      <c r="BQ15" s="527">
        <f t="shared" si="15"/>
        <v>115</v>
      </c>
      <c r="BR15" s="527">
        <f t="shared" si="15"/>
        <v>115</v>
      </c>
      <c r="BS15" s="527">
        <f t="shared" si="15"/>
        <v>115</v>
      </c>
      <c r="BT15" s="527">
        <f t="shared" si="15"/>
        <v>115</v>
      </c>
      <c r="BU15" s="527">
        <f t="shared" si="15"/>
        <v>115</v>
      </c>
      <c r="BV15" s="527">
        <f t="shared" si="15"/>
        <v>115</v>
      </c>
      <c r="BW15" s="527">
        <f t="shared" si="15"/>
        <v>115</v>
      </c>
      <c r="BX15" s="527">
        <f t="shared" si="15"/>
        <v>115</v>
      </c>
      <c r="BY15" s="527">
        <f t="shared" si="15"/>
        <v>115</v>
      </c>
      <c r="BZ15" s="537"/>
      <c r="CA15" s="537"/>
      <c r="CB15" s="537"/>
    </row>
    <row r="16" spans="1:80" x14ac:dyDescent="0.3">
      <c r="A16" s="551"/>
      <c r="B16" s="548"/>
      <c r="C16" s="525"/>
      <c r="D16" s="525"/>
      <c r="E16" s="525" t="s">
        <v>190</v>
      </c>
      <c r="F16" s="525"/>
      <c r="G16" s="525"/>
      <c r="H16" s="525"/>
      <c r="I16" s="527">
        <f t="shared" ref="I16:N16" si="16">I15</f>
        <v>115</v>
      </c>
      <c r="J16" s="527">
        <f t="shared" si="16"/>
        <v>115</v>
      </c>
      <c r="K16" s="527">
        <f t="shared" si="16"/>
        <v>115</v>
      </c>
      <c r="L16" s="527">
        <f t="shared" si="16"/>
        <v>115</v>
      </c>
      <c r="M16" s="527">
        <f t="shared" si="16"/>
        <v>115</v>
      </c>
      <c r="N16" s="527">
        <f t="shared" si="16"/>
        <v>115</v>
      </c>
      <c r="O16" s="525"/>
      <c r="P16" s="565"/>
      <c r="Q16" s="537"/>
      <c r="R16" s="527">
        <f t="shared" ref="R16:AW16" si="17">R15</f>
        <v>115</v>
      </c>
      <c r="S16" s="527">
        <f t="shared" si="17"/>
        <v>115</v>
      </c>
      <c r="T16" s="527">
        <f t="shared" si="17"/>
        <v>115</v>
      </c>
      <c r="U16" s="527">
        <f t="shared" si="17"/>
        <v>115</v>
      </c>
      <c r="V16" s="527">
        <f t="shared" si="17"/>
        <v>115</v>
      </c>
      <c r="W16" s="527">
        <f t="shared" si="17"/>
        <v>115</v>
      </c>
      <c r="X16" s="527">
        <f t="shared" si="17"/>
        <v>115</v>
      </c>
      <c r="Y16" s="527">
        <f t="shared" si="17"/>
        <v>115</v>
      </c>
      <c r="Z16" s="527">
        <f t="shared" si="17"/>
        <v>115</v>
      </c>
      <c r="AA16" s="527">
        <f t="shared" si="17"/>
        <v>115</v>
      </c>
      <c r="AB16" s="527">
        <f t="shared" si="17"/>
        <v>115</v>
      </c>
      <c r="AC16" s="527">
        <f t="shared" si="17"/>
        <v>115</v>
      </c>
      <c r="AD16" s="527">
        <f t="shared" si="17"/>
        <v>115</v>
      </c>
      <c r="AE16" s="527">
        <f t="shared" si="17"/>
        <v>115</v>
      </c>
      <c r="AF16" s="527">
        <f t="shared" si="17"/>
        <v>115</v>
      </c>
      <c r="AG16" s="527">
        <f t="shared" si="17"/>
        <v>115</v>
      </c>
      <c r="AH16" s="527">
        <f t="shared" si="17"/>
        <v>115</v>
      </c>
      <c r="AI16" s="527">
        <f t="shared" si="17"/>
        <v>115</v>
      </c>
      <c r="AJ16" s="527">
        <f t="shared" si="17"/>
        <v>115</v>
      </c>
      <c r="AK16" s="527">
        <f t="shared" si="17"/>
        <v>115</v>
      </c>
      <c r="AL16" s="527">
        <f t="shared" si="17"/>
        <v>115</v>
      </c>
      <c r="AM16" s="527">
        <f t="shared" si="17"/>
        <v>115</v>
      </c>
      <c r="AN16" s="527">
        <f t="shared" si="17"/>
        <v>115</v>
      </c>
      <c r="AO16" s="527">
        <f t="shared" si="17"/>
        <v>115</v>
      </c>
      <c r="AP16" s="527">
        <f t="shared" si="17"/>
        <v>115</v>
      </c>
      <c r="AQ16" s="527">
        <f t="shared" si="17"/>
        <v>115</v>
      </c>
      <c r="AR16" s="527">
        <f t="shared" si="17"/>
        <v>115</v>
      </c>
      <c r="AS16" s="527">
        <f t="shared" si="17"/>
        <v>115</v>
      </c>
      <c r="AT16" s="527">
        <f t="shared" si="17"/>
        <v>115</v>
      </c>
      <c r="AU16" s="527">
        <f t="shared" si="17"/>
        <v>115</v>
      </c>
      <c r="AV16" s="527">
        <f t="shared" si="17"/>
        <v>115</v>
      </c>
      <c r="AW16" s="527">
        <f t="shared" si="17"/>
        <v>115</v>
      </c>
      <c r="AX16" s="527">
        <f t="shared" ref="AX16:BY16" si="18">AX15</f>
        <v>115</v>
      </c>
      <c r="AY16" s="527">
        <f t="shared" si="18"/>
        <v>115</v>
      </c>
      <c r="AZ16" s="527">
        <f t="shared" si="18"/>
        <v>115</v>
      </c>
      <c r="BA16" s="527">
        <f t="shared" si="18"/>
        <v>115</v>
      </c>
      <c r="BB16" s="527">
        <f t="shared" si="18"/>
        <v>115</v>
      </c>
      <c r="BC16" s="527">
        <f t="shared" si="18"/>
        <v>115</v>
      </c>
      <c r="BD16" s="527">
        <f t="shared" si="18"/>
        <v>115</v>
      </c>
      <c r="BE16" s="527">
        <f t="shared" si="18"/>
        <v>115</v>
      </c>
      <c r="BF16" s="527">
        <f t="shared" si="18"/>
        <v>115</v>
      </c>
      <c r="BG16" s="527">
        <f t="shared" si="18"/>
        <v>115</v>
      </c>
      <c r="BH16" s="527">
        <f t="shared" si="18"/>
        <v>115</v>
      </c>
      <c r="BI16" s="527">
        <f t="shared" si="18"/>
        <v>115</v>
      </c>
      <c r="BJ16" s="527">
        <f t="shared" si="18"/>
        <v>115</v>
      </c>
      <c r="BK16" s="527">
        <f t="shared" si="18"/>
        <v>115</v>
      </c>
      <c r="BL16" s="527">
        <f t="shared" si="18"/>
        <v>115</v>
      </c>
      <c r="BM16" s="527">
        <f t="shared" si="18"/>
        <v>115</v>
      </c>
      <c r="BN16" s="527">
        <f t="shared" si="18"/>
        <v>115</v>
      </c>
      <c r="BO16" s="527">
        <f t="shared" si="18"/>
        <v>115</v>
      </c>
      <c r="BP16" s="527">
        <f t="shared" si="18"/>
        <v>115</v>
      </c>
      <c r="BQ16" s="527">
        <f t="shared" si="18"/>
        <v>115</v>
      </c>
      <c r="BR16" s="527">
        <f t="shared" si="18"/>
        <v>115</v>
      </c>
      <c r="BS16" s="527">
        <f t="shared" si="18"/>
        <v>115</v>
      </c>
      <c r="BT16" s="527">
        <f t="shared" si="18"/>
        <v>115</v>
      </c>
      <c r="BU16" s="527">
        <f t="shared" si="18"/>
        <v>115</v>
      </c>
      <c r="BV16" s="527">
        <f t="shared" si="18"/>
        <v>115</v>
      </c>
      <c r="BW16" s="527">
        <f t="shared" si="18"/>
        <v>115</v>
      </c>
      <c r="BX16" s="527">
        <f t="shared" si="18"/>
        <v>115</v>
      </c>
      <c r="BY16" s="527">
        <f t="shared" si="18"/>
        <v>115</v>
      </c>
      <c r="BZ16" s="537"/>
      <c r="CA16" s="537"/>
      <c r="CB16" s="537"/>
    </row>
    <row r="17" spans="1:80" x14ac:dyDescent="0.3">
      <c r="A17" s="551"/>
      <c r="B17" s="548"/>
      <c r="C17" s="525"/>
      <c r="D17" s="525"/>
      <c r="E17" s="525" t="s">
        <v>266</v>
      </c>
      <c r="F17" s="525"/>
      <c r="G17" s="525"/>
      <c r="H17" s="525"/>
      <c r="I17" s="528">
        <v>0</v>
      </c>
      <c r="J17" s="528">
        <v>0</v>
      </c>
      <c r="K17" s="528">
        <v>0</v>
      </c>
      <c r="L17" s="528">
        <v>0</v>
      </c>
      <c r="M17" s="528">
        <v>0</v>
      </c>
      <c r="N17" s="528">
        <v>0</v>
      </c>
      <c r="O17" s="525"/>
      <c r="P17" s="565"/>
      <c r="Q17" s="537"/>
      <c r="R17" s="528">
        <v>0</v>
      </c>
      <c r="S17" s="528">
        <v>0</v>
      </c>
      <c r="T17" s="528">
        <v>0</v>
      </c>
      <c r="U17" s="528">
        <v>0</v>
      </c>
      <c r="V17" s="528">
        <v>0</v>
      </c>
      <c r="W17" s="528">
        <v>0</v>
      </c>
      <c r="X17" s="528">
        <v>0</v>
      </c>
      <c r="Y17" s="528">
        <v>0</v>
      </c>
      <c r="Z17" s="528">
        <v>0</v>
      </c>
      <c r="AA17" s="528">
        <v>0</v>
      </c>
      <c r="AB17" s="528">
        <v>0</v>
      </c>
      <c r="AC17" s="528">
        <v>0</v>
      </c>
      <c r="AD17" s="528">
        <v>0</v>
      </c>
      <c r="AE17" s="528">
        <v>0</v>
      </c>
      <c r="AF17" s="528">
        <v>0</v>
      </c>
      <c r="AG17" s="528">
        <v>0</v>
      </c>
      <c r="AH17" s="528">
        <v>0</v>
      </c>
      <c r="AI17" s="528">
        <v>0</v>
      </c>
      <c r="AJ17" s="528">
        <v>0</v>
      </c>
      <c r="AK17" s="528">
        <v>0</v>
      </c>
      <c r="AL17" s="528">
        <v>0</v>
      </c>
      <c r="AM17" s="528">
        <v>0</v>
      </c>
      <c r="AN17" s="528">
        <v>0</v>
      </c>
      <c r="AO17" s="528">
        <v>0</v>
      </c>
      <c r="AP17" s="528">
        <v>0</v>
      </c>
      <c r="AQ17" s="528">
        <v>0</v>
      </c>
      <c r="AR17" s="528">
        <v>0</v>
      </c>
      <c r="AS17" s="528">
        <v>0</v>
      </c>
      <c r="AT17" s="528">
        <v>0</v>
      </c>
      <c r="AU17" s="528">
        <v>0</v>
      </c>
      <c r="AV17" s="528">
        <v>0</v>
      </c>
      <c r="AW17" s="528">
        <v>0</v>
      </c>
      <c r="AX17" s="528">
        <v>0</v>
      </c>
      <c r="AY17" s="528">
        <v>0</v>
      </c>
      <c r="AZ17" s="528">
        <v>0</v>
      </c>
      <c r="BA17" s="528">
        <v>0</v>
      </c>
      <c r="BB17" s="528">
        <v>0</v>
      </c>
      <c r="BC17" s="528">
        <v>0</v>
      </c>
      <c r="BD17" s="528">
        <v>0</v>
      </c>
      <c r="BE17" s="528">
        <v>0</v>
      </c>
      <c r="BF17" s="528">
        <v>0</v>
      </c>
      <c r="BG17" s="528">
        <v>0</v>
      </c>
      <c r="BH17" s="528">
        <v>0</v>
      </c>
      <c r="BI17" s="528">
        <v>0</v>
      </c>
      <c r="BJ17" s="528">
        <v>0</v>
      </c>
      <c r="BK17" s="528">
        <v>0</v>
      </c>
      <c r="BL17" s="528">
        <v>0</v>
      </c>
      <c r="BM17" s="528">
        <v>0</v>
      </c>
      <c r="BN17" s="528">
        <v>0</v>
      </c>
      <c r="BO17" s="528">
        <v>0</v>
      </c>
      <c r="BP17" s="528">
        <v>0</v>
      </c>
      <c r="BQ17" s="528">
        <v>0</v>
      </c>
      <c r="BR17" s="528">
        <v>0</v>
      </c>
      <c r="BS17" s="528">
        <v>0</v>
      </c>
      <c r="BT17" s="528">
        <v>0</v>
      </c>
      <c r="BU17" s="528">
        <v>0</v>
      </c>
      <c r="BV17" s="528">
        <v>0</v>
      </c>
      <c r="BW17" s="528">
        <v>0</v>
      </c>
      <c r="BX17" s="528">
        <v>0</v>
      </c>
      <c r="BY17" s="528">
        <v>0</v>
      </c>
      <c r="BZ17" s="537"/>
      <c r="CA17" s="537"/>
      <c r="CB17" s="537"/>
    </row>
    <row r="18" spans="1:80" x14ac:dyDescent="0.3">
      <c r="A18" s="551"/>
      <c r="B18" s="548"/>
      <c r="C18" s="525"/>
      <c r="D18" s="525"/>
      <c r="E18" s="525"/>
      <c r="F18" s="525"/>
      <c r="G18" s="525"/>
      <c r="H18" s="525"/>
      <c r="I18" s="529"/>
      <c r="J18" s="525"/>
      <c r="K18" s="525"/>
      <c r="L18" s="525"/>
      <c r="M18" s="525"/>
      <c r="N18" s="525"/>
      <c r="O18" s="525"/>
      <c r="P18" s="565"/>
      <c r="Q18" s="537"/>
      <c r="R18" s="525"/>
      <c r="S18" s="525"/>
      <c r="T18" s="525"/>
      <c r="U18" s="525"/>
      <c r="V18" s="525"/>
      <c r="W18" s="525"/>
      <c r="X18" s="525"/>
      <c r="Y18" s="525"/>
      <c r="Z18" s="525"/>
      <c r="AA18" s="525"/>
      <c r="AB18" s="525"/>
      <c r="AC18" s="525"/>
      <c r="AD18" s="525"/>
      <c r="AE18" s="525"/>
      <c r="AF18" s="525"/>
      <c r="AG18" s="525"/>
      <c r="AH18" s="525"/>
      <c r="AI18" s="525"/>
      <c r="AJ18" s="525"/>
      <c r="AK18" s="525"/>
      <c r="AL18" s="525"/>
      <c r="AM18" s="525"/>
      <c r="AN18" s="525"/>
      <c r="AO18" s="525"/>
      <c r="AP18" s="525"/>
      <c r="AQ18" s="525"/>
      <c r="AR18" s="525"/>
      <c r="AS18" s="525"/>
      <c r="AT18" s="525"/>
      <c r="AU18" s="525"/>
      <c r="AV18" s="525"/>
      <c r="AW18" s="525"/>
      <c r="AX18" s="525"/>
      <c r="AY18" s="525"/>
      <c r="AZ18" s="525"/>
      <c r="BA18" s="525"/>
      <c r="BB18" s="525"/>
      <c r="BC18" s="525"/>
      <c r="BD18" s="525"/>
      <c r="BE18" s="525"/>
      <c r="BF18" s="525"/>
      <c r="BG18" s="525"/>
      <c r="BH18" s="525"/>
      <c r="BI18" s="525"/>
      <c r="BJ18" s="525"/>
      <c r="BK18" s="525"/>
      <c r="BL18" s="525"/>
      <c r="BM18" s="525"/>
      <c r="BN18" s="525"/>
      <c r="BO18" s="525"/>
      <c r="BP18" s="525"/>
      <c r="BQ18" s="525"/>
      <c r="BR18" s="525"/>
      <c r="BS18" s="525"/>
      <c r="BT18" s="525"/>
      <c r="BU18" s="525"/>
      <c r="BV18" s="525"/>
      <c r="BW18" s="525"/>
      <c r="BX18" s="525"/>
      <c r="BY18" s="525"/>
      <c r="BZ18" s="537"/>
      <c r="CA18" s="537"/>
      <c r="CB18" s="537"/>
    </row>
    <row r="19" spans="1:80" x14ac:dyDescent="0.3">
      <c r="A19" s="551"/>
      <c r="B19" s="548"/>
      <c r="C19" s="525"/>
      <c r="D19" s="525"/>
      <c r="E19" s="566" t="s">
        <v>373</v>
      </c>
      <c r="F19" s="567"/>
      <c r="G19" s="567"/>
      <c r="H19" s="567"/>
      <c r="I19" s="527">
        <f>I507</f>
        <v>15744.85283197325</v>
      </c>
      <c r="J19" s="527">
        <f>SUMIF($R$2:$BY$2,J$3,$R19:$BY19)</f>
        <v>15947.665422850527</v>
      </c>
      <c r="K19" s="527">
        <f>SUMIF($R$2:$BY$2,K$3,$R19:$BY19)</f>
        <v>16295.065797917434</v>
      </c>
      <c r="L19" s="527">
        <f>SUMIF($R$2:$BY$2,L$3,$R19:$BY19)</f>
        <v>16639.965749361425</v>
      </c>
      <c r="M19" s="527">
        <f>SUMIF($R$2:$BY$2,M$3,$R19:$BY19)</f>
        <v>16999.931282733625</v>
      </c>
      <c r="N19" s="527">
        <f>SUMIF($R$2:$BY$2,N$3,$R19:$BY19)</f>
        <v>17369.153338765296</v>
      </c>
      <c r="O19" s="529"/>
      <c r="P19" s="568">
        <f>IFERROR(((N19/I19)^(1/5))-1,0)</f>
        <v>1.9830529311995804E-2</v>
      </c>
      <c r="Q19" s="569"/>
      <c r="R19" s="527">
        <f t="shared" ref="R19:AW19" si="19">R469</f>
        <v>1312.0710693311041</v>
      </c>
      <c r="S19" s="527">
        <f t="shared" si="19"/>
        <v>1312.0710693311041</v>
      </c>
      <c r="T19" s="527">
        <f t="shared" si="19"/>
        <v>1312.0710693311041</v>
      </c>
      <c r="U19" s="527">
        <f t="shared" si="19"/>
        <v>1312.0710693311041</v>
      </c>
      <c r="V19" s="527">
        <f t="shared" si="19"/>
        <v>1312.0710693311041</v>
      </c>
      <c r="W19" s="527">
        <f t="shared" si="19"/>
        <v>1312.0710693311041</v>
      </c>
      <c r="X19" s="527">
        <f t="shared" si="19"/>
        <v>1345.8731678106503</v>
      </c>
      <c r="Y19" s="527">
        <f t="shared" si="19"/>
        <v>1345.8731678106503</v>
      </c>
      <c r="Z19" s="527">
        <f t="shared" si="19"/>
        <v>1345.8731678106503</v>
      </c>
      <c r="AA19" s="527">
        <f t="shared" si="19"/>
        <v>1345.8731678106503</v>
      </c>
      <c r="AB19" s="527">
        <f t="shared" si="19"/>
        <v>1345.8731678106503</v>
      </c>
      <c r="AC19" s="527">
        <f t="shared" si="19"/>
        <v>1345.8731678106503</v>
      </c>
      <c r="AD19" s="527">
        <f t="shared" si="19"/>
        <v>1337.2979219707513</v>
      </c>
      <c r="AE19" s="527">
        <f t="shared" si="19"/>
        <v>1337.2979219707513</v>
      </c>
      <c r="AF19" s="527">
        <f t="shared" si="19"/>
        <v>1337.2979219707513</v>
      </c>
      <c r="AG19" s="527">
        <f t="shared" si="19"/>
        <v>1337.2979219707513</v>
      </c>
      <c r="AH19" s="527">
        <f t="shared" si="19"/>
        <v>1337.2979219707513</v>
      </c>
      <c r="AI19" s="527">
        <f t="shared" si="19"/>
        <v>1337.2979219707513</v>
      </c>
      <c r="AJ19" s="527">
        <f t="shared" si="19"/>
        <v>1378.5463776821541</v>
      </c>
      <c r="AK19" s="527">
        <f t="shared" si="19"/>
        <v>1378.5463776821541</v>
      </c>
      <c r="AL19" s="527">
        <f t="shared" si="19"/>
        <v>1378.5463776821541</v>
      </c>
      <c r="AM19" s="527">
        <f t="shared" si="19"/>
        <v>1378.5463776821541</v>
      </c>
      <c r="AN19" s="527">
        <f t="shared" si="19"/>
        <v>1378.5463776821541</v>
      </c>
      <c r="AO19" s="527">
        <f t="shared" si="19"/>
        <v>1378.5463776821541</v>
      </c>
      <c r="AP19" s="527">
        <f t="shared" si="19"/>
        <v>1362.3693152436103</v>
      </c>
      <c r="AQ19" s="527">
        <f t="shared" si="19"/>
        <v>1362.3693152436103</v>
      </c>
      <c r="AR19" s="527">
        <f t="shared" si="19"/>
        <v>1362.3693152436103</v>
      </c>
      <c r="AS19" s="527">
        <f t="shared" si="19"/>
        <v>1362.3693152436103</v>
      </c>
      <c r="AT19" s="527">
        <f t="shared" si="19"/>
        <v>1362.3693152436103</v>
      </c>
      <c r="AU19" s="527">
        <f t="shared" si="19"/>
        <v>1362.3693152436103</v>
      </c>
      <c r="AV19" s="527">
        <f t="shared" si="19"/>
        <v>1410.9583096499605</v>
      </c>
      <c r="AW19" s="527">
        <f t="shared" si="19"/>
        <v>1410.9583096499605</v>
      </c>
      <c r="AX19" s="527">
        <f t="shared" ref="AX19:BY19" si="20">AX469</f>
        <v>1410.9583096499605</v>
      </c>
      <c r="AY19" s="527">
        <f t="shared" si="20"/>
        <v>1410.9583096499605</v>
      </c>
      <c r="AZ19" s="527">
        <f t="shared" si="20"/>
        <v>1410.9583096499605</v>
      </c>
      <c r="BA19" s="527">
        <f t="shared" si="20"/>
        <v>1410.9583096499605</v>
      </c>
      <c r="BB19" s="527">
        <f t="shared" si="20"/>
        <v>1388.7258071724782</v>
      </c>
      <c r="BC19" s="527">
        <f t="shared" si="20"/>
        <v>1388.7258071724782</v>
      </c>
      <c r="BD19" s="527">
        <f t="shared" si="20"/>
        <v>1388.7258071724782</v>
      </c>
      <c r="BE19" s="527">
        <f t="shared" si="20"/>
        <v>1388.7258071724782</v>
      </c>
      <c r="BF19" s="527">
        <f t="shared" si="20"/>
        <v>1388.7258071724782</v>
      </c>
      <c r="BG19" s="527">
        <f t="shared" si="20"/>
        <v>1388.7258071724782</v>
      </c>
      <c r="BH19" s="527">
        <f t="shared" si="20"/>
        <v>1444.5960732831256</v>
      </c>
      <c r="BI19" s="527">
        <f t="shared" si="20"/>
        <v>1444.5960732831256</v>
      </c>
      <c r="BJ19" s="527">
        <f t="shared" si="20"/>
        <v>1444.5960732831256</v>
      </c>
      <c r="BK19" s="527">
        <f t="shared" si="20"/>
        <v>1444.5960732831256</v>
      </c>
      <c r="BL19" s="527">
        <f t="shared" si="20"/>
        <v>1444.5960732831256</v>
      </c>
      <c r="BM19" s="527">
        <f t="shared" si="20"/>
        <v>1444.5960732831256</v>
      </c>
      <c r="BN19" s="527">
        <f t="shared" si="20"/>
        <v>1415.9243131003809</v>
      </c>
      <c r="BO19" s="527">
        <f t="shared" si="20"/>
        <v>1415.9243131003809</v>
      </c>
      <c r="BP19" s="527">
        <f t="shared" si="20"/>
        <v>1415.9243131003809</v>
      </c>
      <c r="BQ19" s="527">
        <f t="shared" si="20"/>
        <v>1415.9243131003809</v>
      </c>
      <c r="BR19" s="527">
        <f t="shared" si="20"/>
        <v>1415.9243131003809</v>
      </c>
      <c r="BS19" s="527">
        <f t="shared" si="20"/>
        <v>1415.9243131003809</v>
      </c>
      <c r="BT19" s="527">
        <f t="shared" si="20"/>
        <v>1478.9345766938357</v>
      </c>
      <c r="BU19" s="527">
        <f t="shared" si="20"/>
        <v>1478.9345766938357</v>
      </c>
      <c r="BV19" s="527">
        <f t="shared" si="20"/>
        <v>1478.9345766938357</v>
      </c>
      <c r="BW19" s="527">
        <f t="shared" si="20"/>
        <v>1478.9345766938357</v>
      </c>
      <c r="BX19" s="527">
        <f t="shared" si="20"/>
        <v>1478.9345766938357</v>
      </c>
      <c r="BY19" s="527">
        <f t="shared" si="20"/>
        <v>1478.9345766938357</v>
      </c>
      <c r="BZ19" s="537"/>
      <c r="CA19" s="537"/>
      <c r="CB19" s="537"/>
    </row>
    <row r="20" spans="1:80" x14ac:dyDescent="0.3">
      <c r="A20" s="551"/>
      <c r="B20" s="548"/>
      <c r="C20" s="525"/>
      <c r="D20" s="525"/>
      <c r="E20" s="525"/>
      <c r="F20" s="529"/>
      <c r="G20" s="529"/>
      <c r="H20" s="529"/>
      <c r="I20" s="529"/>
      <c r="J20" s="529"/>
      <c r="K20" s="529"/>
      <c r="L20" s="529"/>
      <c r="M20" s="529"/>
      <c r="N20" s="529"/>
      <c r="O20" s="529"/>
      <c r="P20" s="562"/>
      <c r="Q20" s="537"/>
      <c r="R20" s="529"/>
      <c r="S20" s="529"/>
      <c r="T20" s="529"/>
      <c r="U20" s="529"/>
      <c r="V20" s="529"/>
      <c r="W20" s="529"/>
      <c r="X20" s="529"/>
      <c r="Y20" s="529"/>
      <c r="Z20" s="529"/>
      <c r="AA20" s="529"/>
      <c r="AB20" s="529"/>
      <c r="AC20" s="529"/>
      <c r="AD20" s="529"/>
      <c r="AE20" s="529"/>
      <c r="AF20" s="529"/>
      <c r="AG20" s="529"/>
      <c r="AH20" s="529"/>
      <c r="AI20" s="529"/>
      <c r="AJ20" s="529"/>
      <c r="AK20" s="529"/>
      <c r="AL20" s="529"/>
      <c r="AM20" s="529"/>
      <c r="AN20" s="529"/>
      <c r="AO20" s="529"/>
      <c r="AP20" s="529"/>
      <c r="AQ20" s="529"/>
      <c r="AR20" s="529"/>
      <c r="AS20" s="529"/>
      <c r="AT20" s="529"/>
      <c r="AU20" s="529"/>
      <c r="AV20" s="529"/>
      <c r="AW20" s="529"/>
      <c r="AX20" s="529"/>
      <c r="AY20" s="529"/>
      <c r="AZ20" s="529"/>
      <c r="BA20" s="529"/>
      <c r="BB20" s="529"/>
      <c r="BC20" s="529"/>
      <c r="BD20" s="529"/>
      <c r="BE20" s="529"/>
      <c r="BF20" s="529"/>
      <c r="BG20" s="529"/>
      <c r="BH20" s="529"/>
      <c r="BI20" s="529"/>
      <c r="BJ20" s="529"/>
      <c r="BK20" s="529"/>
      <c r="BL20" s="529"/>
      <c r="BM20" s="529"/>
      <c r="BN20" s="529"/>
      <c r="BO20" s="529"/>
      <c r="BP20" s="529"/>
      <c r="BQ20" s="529"/>
      <c r="BR20" s="529"/>
      <c r="BS20" s="529"/>
      <c r="BT20" s="529"/>
      <c r="BU20" s="529"/>
      <c r="BV20" s="529"/>
      <c r="BW20" s="529"/>
      <c r="BX20" s="529"/>
      <c r="BY20" s="529"/>
      <c r="BZ20" s="537"/>
      <c r="CA20" s="537"/>
      <c r="CB20" s="537"/>
    </row>
    <row r="21" spans="1:80" x14ac:dyDescent="0.3">
      <c r="A21" s="551"/>
      <c r="B21" s="548"/>
      <c r="C21" s="525"/>
      <c r="D21" s="525"/>
      <c r="E21" s="570" t="s">
        <v>22</v>
      </c>
      <c r="F21" s="529"/>
      <c r="G21" s="529"/>
      <c r="H21" s="529"/>
      <c r="I21" s="571"/>
      <c r="J21" s="571"/>
      <c r="K21" s="571"/>
      <c r="L21" s="571"/>
      <c r="M21" s="571"/>
      <c r="N21" s="571"/>
      <c r="O21" s="529"/>
      <c r="P21" s="562"/>
      <c r="Q21" s="537"/>
      <c r="R21" s="529"/>
      <c r="S21" s="529"/>
      <c r="T21" s="529"/>
      <c r="U21" s="529"/>
      <c r="V21" s="529"/>
      <c r="W21" s="529"/>
      <c r="X21" s="529"/>
      <c r="Y21" s="529"/>
      <c r="Z21" s="529"/>
      <c r="AA21" s="529"/>
      <c r="AB21" s="529"/>
      <c r="AC21" s="529"/>
      <c r="AD21" s="529"/>
      <c r="AE21" s="529"/>
      <c r="AF21" s="529"/>
      <c r="AG21" s="529"/>
      <c r="AH21" s="529"/>
      <c r="AI21" s="529"/>
      <c r="AJ21" s="529"/>
      <c r="AK21" s="529"/>
      <c r="AL21" s="529"/>
      <c r="AM21" s="529"/>
      <c r="AN21" s="529"/>
      <c r="AO21" s="529"/>
      <c r="AP21" s="529"/>
      <c r="AQ21" s="529"/>
      <c r="AR21" s="529"/>
      <c r="AS21" s="529"/>
      <c r="AT21" s="529"/>
      <c r="AU21" s="529"/>
      <c r="AV21" s="529"/>
      <c r="AW21" s="529"/>
      <c r="AX21" s="529"/>
      <c r="AY21" s="529"/>
      <c r="AZ21" s="529"/>
      <c r="BA21" s="529"/>
      <c r="BB21" s="529"/>
      <c r="BC21" s="529"/>
      <c r="BD21" s="529"/>
      <c r="BE21" s="529"/>
      <c r="BF21" s="529"/>
      <c r="BG21" s="529"/>
      <c r="BH21" s="529"/>
      <c r="BI21" s="529"/>
      <c r="BJ21" s="529"/>
      <c r="BK21" s="529"/>
      <c r="BL21" s="529"/>
      <c r="BM21" s="529"/>
      <c r="BN21" s="529"/>
      <c r="BO21" s="529"/>
      <c r="BP21" s="529"/>
      <c r="BQ21" s="529"/>
      <c r="BR21" s="529"/>
      <c r="BS21" s="529"/>
      <c r="BT21" s="529"/>
      <c r="BU21" s="529"/>
      <c r="BV21" s="529"/>
      <c r="BW21" s="529"/>
      <c r="BX21" s="529"/>
      <c r="BY21" s="529"/>
      <c r="BZ21" s="537"/>
      <c r="CA21" s="537"/>
      <c r="CB21" s="537"/>
    </row>
    <row r="22" spans="1:80" x14ac:dyDescent="0.3">
      <c r="A22" s="551"/>
      <c r="B22" s="548"/>
      <c r="C22" s="525"/>
      <c r="D22" s="525"/>
      <c r="E22" s="572" t="s">
        <v>388</v>
      </c>
      <c r="F22" s="573"/>
      <c r="G22" s="573"/>
      <c r="H22" s="573"/>
      <c r="I22" s="530">
        <f t="shared" ref="I22:I27" si="21">I512</f>
        <v>12318106.904923139</v>
      </c>
      <c r="J22" s="530">
        <f t="shared" ref="J22:N27" si="22">SUMIF($R$2:$BY$2,J$3,$R22:$BY22)</f>
        <v>12945136.329691809</v>
      </c>
      <c r="K22" s="530">
        <f t="shared" si="22"/>
        <v>13710248.505290972</v>
      </c>
      <c r="L22" s="530">
        <f t="shared" si="22"/>
        <v>14494529.357922908</v>
      </c>
      <c r="M22" s="530">
        <f t="shared" si="22"/>
        <v>15310316.62304301</v>
      </c>
      <c r="N22" s="530">
        <f t="shared" si="22"/>
        <v>16173630.464668564</v>
      </c>
      <c r="O22" s="536"/>
      <c r="P22" s="568">
        <f t="shared" ref="P22:P28" si="23">IFERROR(((N22/I22)^(1/5))-1,0)</f>
        <v>5.5972745945649605E-2</v>
      </c>
      <c r="Q22" s="537"/>
      <c r="R22" s="530">
        <f t="shared" ref="R22:AW22" si="24">R252</f>
        <v>1065042.337946147</v>
      </c>
      <c r="S22" s="530">
        <f t="shared" si="24"/>
        <v>1065042.337946147</v>
      </c>
      <c r="T22" s="530">
        <f t="shared" si="24"/>
        <v>1065042.337946147</v>
      </c>
      <c r="U22" s="530">
        <f t="shared" si="24"/>
        <v>1065042.337946147</v>
      </c>
      <c r="V22" s="530">
        <f t="shared" si="24"/>
        <v>1065042.337946147</v>
      </c>
      <c r="W22" s="530">
        <f t="shared" si="24"/>
        <v>1065042.337946147</v>
      </c>
      <c r="X22" s="530">
        <f t="shared" si="24"/>
        <v>1092480.383669154</v>
      </c>
      <c r="Y22" s="530">
        <f t="shared" si="24"/>
        <v>1092480.383669154</v>
      </c>
      <c r="Z22" s="530">
        <f t="shared" si="24"/>
        <v>1092480.383669154</v>
      </c>
      <c r="AA22" s="530">
        <f t="shared" si="24"/>
        <v>1092480.383669154</v>
      </c>
      <c r="AB22" s="530">
        <f t="shared" si="24"/>
        <v>1092480.383669154</v>
      </c>
      <c r="AC22" s="530">
        <f t="shared" si="24"/>
        <v>1092480.383669154</v>
      </c>
      <c r="AD22" s="530">
        <f t="shared" si="24"/>
        <v>1125168.0148583045</v>
      </c>
      <c r="AE22" s="530">
        <f t="shared" si="24"/>
        <v>1125168.0148583045</v>
      </c>
      <c r="AF22" s="530">
        <f t="shared" si="24"/>
        <v>1125168.0148583045</v>
      </c>
      <c r="AG22" s="530">
        <f t="shared" si="24"/>
        <v>1125168.0148583045</v>
      </c>
      <c r="AH22" s="530">
        <f t="shared" si="24"/>
        <v>1125168.0148583045</v>
      </c>
      <c r="AI22" s="530">
        <f t="shared" si="24"/>
        <v>1125168.0148583045</v>
      </c>
      <c r="AJ22" s="530">
        <f t="shared" si="24"/>
        <v>1159873.4026901904</v>
      </c>
      <c r="AK22" s="530">
        <f t="shared" si="24"/>
        <v>1159873.4026901904</v>
      </c>
      <c r="AL22" s="530">
        <f t="shared" si="24"/>
        <v>1159873.4026901904</v>
      </c>
      <c r="AM22" s="530">
        <f t="shared" si="24"/>
        <v>1159873.4026901904</v>
      </c>
      <c r="AN22" s="530">
        <f t="shared" si="24"/>
        <v>1159873.4026901904</v>
      </c>
      <c r="AO22" s="530">
        <f t="shared" si="24"/>
        <v>1159873.4026901904</v>
      </c>
      <c r="AP22" s="530">
        <f t="shared" si="24"/>
        <v>1186715.3054019741</v>
      </c>
      <c r="AQ22" s="530">
        <f t="shared" si="24"/>
        <v>1186715.3054019741</v>
      </c>
      <c r="AR22" s="530">
        <f t="shared" si="24"/>
        <v>1186715.3054019741</v>
      </c>
      <c r="AS22" s="530">
        <f t="shared" si="24"/>
        <v>1186715.3054019741</v>
      </c>
      <c r="AT22" s="530">
        <f t="shared" si="24"/>
        <v>1186715.3054019741</v>
      </c>
      <c r="AU22" s="530">
        <f t="shared" si="24"/>
        <v>1186715.3054019741</v>
      </c>
      <c r="AV22" s="530">
        <f t="shared" si="24"/>
        <v>1229039.5875851763</v>
      </c>
      <c r="AW22" s="530">
        <f t="shared" si="24"/>
        <v>1229039.5875851763</v>
      </c>
      <c r="AX22" s="530">
        <f t="shared" ref="AX22:BY22" si="25">AX252</f>
        <v>1229039.5875851763</v>
      </c>
      <c r="AY22" s="530">
        <f t="shared" si="25"/>
        <v>1229039.5875851763</v>
      </c>
      <c r="AZ22" s="530">
        <f t="shared" si="25"/>
        <v>1229039.5875851763</v>
      </c>
      <c r="BA22" s="530">
        <f t="shared" si="25"/>
        <v>1229039.5875851763</v>
      </c>
      <c r="BB22" s="530">
        <f t="shared" si="25"/>
        <v>1250701.0444210852</v>
      </c>
      <c r="BC22" s="530">
        <f t="shared" si="25"/>
        <v>1250701.0444210852</v>
      </c>
      <c r="BD22" s="530">
        <f t="shared" si="25"/>
        <v>1250701.0444210852</v>
      </c>
      <c r="BE22" s="530">
        <f t="shared" si="25"/>
        <v>1250701.0444210852</v>
      </c>
      <c r="BF22" s="530">
        <f t="shared" si="25"/>
        <v>1250701.0444210852</v>
      </c>
      <c r="BG22" s="530">
        <f t="shared" si="25"/>
        <v>1250701.0444210852</v>
      </c>
      <c r="BH22" s="530">
        <f t="shared" si="25"/>
        <v>1301018.3927527505</v>
      </c>
      <c r="BI22" s="530">
        <f t="shared" si="25"/>
        <v>1301018.3927527505</v>
      </c>
      <c r="BJ22" s="530">
        <f t="shared" si="25"/>
        <v>1301018.3927527505</v>
      </c>
      <c r="BK22" s="530">
        <f t="shared" si="25"/>
        <v>1301018.3927527505</v>
      </c>
      <c r="BL22" s="530">
        <f t="shared" si="25"/>
        <v>1301018.3927527505</v>
      </c>
      <c r="BM22" s="530">
        <f t="shared" si="25"/>
        <v>1301018.3927527505</v>
      </c>
      <c r="BN22" s="530">
        <f t="shared" si="25"/>
        <v>1318465.9124929539</v>
      </c>
      <c r="BO22" s="530">
        <f t="shared" si="25"/>
        <v>1318465.9124929539</v>
      </c>
      <c r="BP22" s="530">
        <f t="shared" si="25"/>
        <v>1318465.9124929539</v>
      </c>
      <c r="BQ22" s="530">
        <f t="shared" si="25"/>
        <v>1318465.9124929539</v>
      </c>
      <c r="BR22" s="530">
        <f t="shared" si="25"/>
        <v>1318465.9124929539</v>
      </c>
      <c r="BS22" s="530">
        <f t="shared" si="25"/>
        <v>1318465.9124929539</v>
      </c>
      <c r="BT22" s="530">
        <f t="shared" si="25"/>
        <v>1377139.1649518064</v>
      </c>
      <c r="BU22" s="530">
        <f t="shared" si="25"/>
        <v>1377139.1649518064</v>
      </c>
      <c r="BV22" s="530">
        <f t="shared" si="25"/>
        <v>1377139.1649518064</v>
      </c>
      <c r="BW22" s="530">
        <f t="shared" si="25"/>
        <v>1377139.1649518064</v>
      </c>
      <c r="BX22" s="530">
        <f t="shared" si="25"/>
        <v>1377139.1649518064</v>
      </c>
      <c r="BY22" s="530">
        <f t="shared" si="25"/>
        <v>1377139.1649518064</v>
      </c>
      <c r="BZ22" s="537"/>
      <c r="CA22" s="537"/>
      <c r="CB22" s="574"/>
    </row>
    <row r="23" spans="1:80" x14ac:dyDescent="0.3">
      <c r="A23" s="551"/>
      <c r="B23" s="548"/>
      <c r="C23" s="525"/>
      <c r="D23" s="525"/>
      <c r="E23" s="525" t="s">
        <v>387</v>
      </c>
      <c r="F23" s="567"/>
      <c r="G23" s="567"/>
      <c r="H23" s="567"/>
      <c r="I23" s="527">
        <f t="shared" si="21"/>
        <v>-4045933.3445348414</v>
      </c>
      <c r="J23" s="527">
        <f t="shared" si="22"/>
        <v>-4140141.6520526377</v>
      </c>
      <c r="K23" s="527">
        <f t="shared" si="22"/>
        <v>-4274198.4983215928</v>
      </c>
      <c r="L23" s="527">
        <f t="shared" si="22"/>
        <v>-4410359.2154679568</v>
      </c>
      <c r="M23" s="527">
        <f t="shared" si="22"/>
        <v>-4553382.2077861531</v>
      </c>
      <c r="N23" s="527">
        <f t="shared" si="22"/>
        <v>-4701899.9247822445</v>
      </c>
      <c r="O23" s="529"/>
      <c r="P23" s="564">
        <f t="shared" si="23"/>
        <v>3.0506965257029117E-2</v>
      </c>
      <c r="Q23" s="537"/>
      <c r="R23" s="527">
        <f t="shared" ref="R23:AW23" si="26">R260</f>
        <v>-340624.15661213384</v>
      </c>
      <c r="S23" s="527">
        <f t="shared" si="26"/>
        <v>-340624.15661213384</v>
      </c>
      <c r="T23" s="527">
        <f t="shared" si="26"/>
        <v>-340624.15661213384</v>
      </c>
      <c r="U23" s="527">
        <f t="shared" si="26"/>
        <v>-340624.15661213384</v>
      </c>
      <c r="V23" s="527">
        <f t="shared" si="26"/>
        <v>-340624.15661213384</v>
      </c>
      <c r="W23" s="527">
        <f t="shared" si="26"/>
        <v>-340624.15661213384</v>
      </c>
      <c r="X23" s="527">
        <f t="shared" si="26"/>
        <v>-349399.45206330589</v>
      </c>
      <c r="Y23" s="527">
        <f t="shared" si="26"/>
        <v>-349399.45206330589</v>
      </c>
      <c r="Z23" s="527">
        <f t="shared" si="26"/>
        <v>-349399.45206330589</v>
      </c>
      <c r="AA23" s="527">
        <f t="shared" si="26"/>
        <v>-349399.45206330589</v>
      </c>
      <c r="AB23" s="527">
        <f t="shared" si="26"/>
        <v>-349399.45206330589</v>
      </c>
      <c r="AC23" s="527">
        <f t="shared" si="26"/>
        <v>-349399.45206330589</v>
      </c>
      <c r="AD23" s="527">
        <f t="shared" si="26"/>
        <v>-350773.46975956863</v>
      </c>
      <c r="AE23" s="527">
        <f t="shared" si="26"/>
        <v>-350773.46975956863</v>
      </c>
      <c r="AF23" s="527">
        <f t="shared" si="26"/>
        <v>-350773.46975956863</v>
      </c>
      <c r="AG23" s="527">
        <f t="shared" si="26"/>
        <v>-350773.46975956863</v>
      </c>
      <c r="AH23" s="527">
        <f t="shared" si="26"/>
        <v>-350773.46975956863</v>
      </c>
      <c r="AI23" s="527">
        <f t="shared" si="26"/>
        <v>-350773.46975956863</v>
      </c>
      <c r="AJ23" s="527">
        <f t="shared" si="26"/>
        <v>-361592.94662736356</v>
      </c>
      <c r="AK23" s="527">
        <f t="shared" si="26"/>
        <v>-361592.94662736356</v>
      </c>
      <c r="AL23" s="527">
        <f t="shared" si="26"/>
        <v>-361592.94662736356</v>
      </c>
      <c r="AM23" s="527">
        <f t="shared" si="26"/>
        <v>-361592.94662736356</v>
      </c>
      <c r="AN23" s="527">
        <f t="shared" si="26"/>
        <v>-361592.94662736356</v>
      </c>
      <c r="AO23" s="527">
        <f t="shared" si="26"/>
        <v>-361592.94662736356</v>
      </c>
      <c r="AP23" s="527">
        <f t="shared" si="26"/>
        <v>-361090.77115053614</v>
      </c>
      <c r="AQ23" s="527">
        <f t="shared" si="26"/>
        <v>-361090.77115053614</v>
      </c>
      <c r="AR23" s="527">
        <f t="shared" si="26"/>
        <v>-361090.77115053614</v>
      </c>
      <c r="AS23" s="527">
        <f t="shared" si="26"/>
        <v>-361090.77115053614</v>
      </c>
      <c r="AT23" s="527">
        <f t="shared" si="26"/>
        <v>-361090.77115053614</v>
      </c>
      <c r="AU23" s="527">
        <f t="shared" si="26"/>
        <v>-361090.77115053614</v>
      </c>
      <c r="AV23" s="527">
        <f t="shared" si="26"/>
        <v>-373969.09809412318</v>
      </c>
      <c r="AW23" s="527">
        <f t="shared" si="26"/>
        <v>-373969.09809412318</v>
      </c>
      <c r="AX23" s="527">
        <f t="shared" ref="AX23:BY23" si="27">AX260</f>
        <v>-373969.09809412318</v>
      </c>
      <c r="AY23" s="527">
        <f t="shared" si="27"/>
        <v>-373969.09809412318</v>
      </c>
      <c r="AZ23" s="527">
        <f t="shared" si="27"/>
        <v>-373969.09809412318</v>
      </c>
      <c r="BA23" s="527">
        <f t="shared" si="27"/>
        <v>-373969.09809412318</v>
      </c>
      <c r="BB23" s="527">
        <f t="shared" si="27"/>
        <v>-371966.17308066034</v>
      </c>
      <c r="BC23" s="527">
        <f t="shared" si="27"/>
        <v>-371966.17308066034</v>
      </c>
      <c r="BD23" s="527">
        <f t="shared" si="27"/>
        <v>-371966.17308066034</v>
      </c>
      <c r="BE23" s="527">
        <f t="shared" si="27"/>
        <v>-371966.17308066034</v>
      </c>
      <c r="BF23" s="527">
        <f t="shared" si="27"/>
        <v>-371966.17308066034</v>
      </c>
      <c r="BG23" s="527">
        <f t="shared" si="27"/>
        <v>-371966.17308066034</v>
      </c>
      <c r="BH23" s="527">
        <f t="shared" si="27"/>
        <v>-386930.86155036523</v>
      </c>
      <c r="BI23" s="527">
        <f t="shared" si="27"/>
        <v>-386930.86155036523</v>
      </c>
      <c r="BJ23" s="527">
        <f t="shared" si="27"/>
        <v>-386930.86155036523</v>
      </c>
      <c r="BK23" s="527">
        <f t="shared" si="27"/>
        <v>-386930.86155036523</v>
      </c>
      <c r="BL23" s="527">
        <f t="shared" si="27"/>
        <v>-386930.86155036523</v>
      </c>
      <c r="BM23" s="527">
        <f t="shared" si="27"/>
        <v>-386930.86155036523</v>
      </c>
      <c r="BN23" s="527">
        <f t="shared" si="27"/>
        <v>-383296.42737423652</v>
      </c>
      <c r="BO23" s="527">
        <f t="shared" si="27"/>
        <v>-383296.42737423652</v>
      </c>
      <c r="BP23" s="527">
        <f t="shared" si="27"/>
        <v>-383296.42737423652</v>
      </c>
      <c r="BQ23" s="527">
        <f t="shared" si="27"/>
        <v>-383296.42737423652</v>
      </c>
      <c r="BR23" s="527">
        <f t="shared" si="27"/>
        <v>-383296.42737423652</v>
      </c>
      <c r="BS23" s="527">
        <f t="shared" si="27"/>
        <v>-383296.42737423652</v>
      </c>
      <c r="BT23" s="527">
        <f t="shared" si="27"/>
        <v>-400353.56008947094</v>
      </c>
      <c r="BU23" s="527">
        <f t="shared" si="27"/>
        <v>-400353.56008947094</v>
      </c>
      <c r="BV23" s="527">
        <f t="shared" si="27"/>
        <v>-400353.56008947094</v>
      </c>
      <c r="BW23" s="527">
        <f t="shared" si="27"/>
        <v>-400353.56008947094</v>
      </c>
      <c r="BX23" s="527">
        <f t="shared" si="27"/>
        <v>-400353.56008947094</v>
      </c>
      <c r="BY23" s="527">
        <f t="shared" si="27"/>
        <v>-400353.56008947094</v>
      </c>
      <c r="BZ23" s="537"/>
      <c r="CA23" s="537"/>
      <c r="CB23" s="574"/>
    </row>
    <row r="24" spans="1:80" x14ac:dyDescent="0.3">
      <c r="A24" s="551"/>
      <c r="B24" s="548"/>
      <c r="C24" s="525"/>
      <c r="D24" s="525"/>
      <c r="E24" s="525" t="s">
        <v>386</v>
      </c>
      <c r="F24" s="567"/>
      <c r="G24" s="567"/>
      <c r="H24" s="567"/>
      <c r="I24" s="527">
        <f t="shared" si="21"/>
        <v>-778452.60080684221</v>
      </c>
      <c r="J24" s="527">
        <f t="shared" si="22"/>
        <v>-804249.60416303016</v>
      </c>
      <c r="K24" s="527">
        <f t="shared" si="22"/>
        <v>-838204.58153002884</v>
      </c>
      <c r="L24" s="527">
        <f t="shared" si="22"/>
        <v>-873064.86605215655</v>
      </c>
      <c r="M24" s="527">
        <f t="shared" si="22"/>
        <v>-909790.54950289044</v>
      </c>
      <c r="N24" s="527">
        <f t="shared" si="22"/>
        <v>-948141.32619793061</v>
      </c>
      <c r="O24" s="529"/>
      <c r="P24" s="564">
        <f t="shared" si="23"/>
        <v>4.0227139898235675E-2</v>
      </c>
      <c r="Q24" s="537"/>
      <c r="R24" s="527">
        <f t="shared" ref="R24:AW24" si="28">R268</f>
        <v>-66168.47106858161</v>
      </c>
      <c r="S24" s="527">
        <f t="shared" si="28"/>
        <v>-66168.47106858161</v>
      </c>
      <c r="T24" s="527">
        <f t="shared" si="28"/>
        <v>-66168.47106858161</v>
      </c>
      <c r="U24" s="527">
        <f t="shared" si="28"/>
        <v>-66168.47106858161</v>
      </c>
      <c r="V24" s="527">
        <f t="shared" si="28"/>
        <v>-66168.47106858161</v>
      </c>
      <c r="W24" s="527">
        <f t="shared" si="28"/>
        <v>-66168.47106858161</v>
      </c>
      <c r="X24" s="527">
        <f t="shared" si="28"/>
        <v>-67873.129625256755</v>
      </c>
      <c r="Y24" s="527">
        <f t="shared" si="28"/>
        <v>-67873.129625256755</v>
      </c>
      <c r="Z24" s="527">
        <f t="shared" si="28"/>
        <v>-67873.129625256755</v>
      </c>
      <c r="AA24" s="527">
        <f t="shared" si="28"/>
        <v>-67873.129625256755</v>
      </c>
      <c r="AB24" s="527">
        <f t="shared" si="28"/>
        <v>-67873.129625256755</v>
      </c>
      <c r="AC24" s="527">
        <f t="shared" si="28"/>
        <v>-67873.129625256755</v>
      </c>
      <c r="AD24" s="527">
        <f t="shared" si="28"/>
        <v>-68789.488730369485</v>
      </c>
      <c r="AE24" s="527">
        <f t="shared" si="28"/>
        <v>-68789.488730369485</v>
      </c>
      <c r="AF24" s="527">
        <f t="shared" si="28"/>
        <v>-68789.488730369485</v>
      </c>
      <c r="AG24" s="527">
        <f t="shared" si="28"/>
        <v>-68789.488730369485</v>
      </c>
      <c r="AH24" s="527">
        <f t="shared" si="28"/>
        <v>-68789.488730369485</v>
      </c>
      <c r="AI24" s="527">
        <f t="shared" si="28"/>
        <v>-68789.488730369485</v>
      </c>
      <c r="AJ24" s="527">
        <f t="shared" si="28"/>
        <v>-70911.27485796863</v>
      </c>
      <c r="AK24" s="527">
        <f t="shared" si="28"/>
        <v>-70911.27485796863</v>
      </c>
      <c r="AL24" s="527">
        <f t="shared" si="28"/>
        <v>-70911.27485796863</v>
      </c>
      <c r="AM24" s="527">
        <f t="shared" si="28"/>
        <v>-70911.27485796863</v>
      </c>
      <c r="AN24" s="527">
        <f t="shared" si="28"/>
        <v>-70911.27485796863</v>
      </c>
      <c r="AO24" s="527">
        <f t="shared" si="28"/>
        <v>-70911.27485796863</v>
      </c>
      <c r="AP24" s="527">
        <f t="shared" si="28"/>
        <v>-71480.72307615036</v>
      </c>
      <c r="AQ24" s="527">
        <f t="shared" si="28"/>
        <v>-71480.72307615036</v>
      </c>
      <c r="AR24" s="527">
        <f t="shared" si="28"/>
        <v>-71480.72307615036</v>
      </c>
      <c r="AS24" s="527">
        <f t="shared" si="28"/>
        <v>-71480.72307615036</v>
      </c>
      <c r="AT24" s="527">
        <f t="shared" si="28"/>
        <v>-71480.72307615036</v>
      </c>
      <c r="AU24" s="527">
        <f t="shared" si="28"/>
        <v>-71480.72307615036</v>
      </c>
      <c r="AV24" s="527">
        <f t="shared" si="28"/>
        <v>-74030.087932542374</v>
      </c>
      <c r="AW24" s="527">
        <f t="shared" si="28"/>
        <v>-74030.087932542374</v>
      </c>
      <c r="AX24" s="527">
        <f t="shared" ref="AX24:BY24" si="29">AX268</f>
        <v>-74030.087932542374</v>
      </c>
      <c r="AY24" s="527">
        <f t="shared" si="29"/>
        <v>-74030.087932542374</v>
      </c>
      <c r="AZ24" s="527">
        <f t="shared" si="29"/>
        <v>-74030.087932542374</v>
      </c>
      <c r="BA24" s="527">
        <f t="shared" si="29"/>
        <v>-74030.087932542374</v>
      </c>
      <c r="BB24" s="527">
        <f t="shared" si="29"/>
        <v>-74320.866020178946</v>
      </c>
      <c r="BC24" s="527">
        <f t="shared" si="29"/>
        <v>-74320.866020178946</v>
      </c>
      <c r="BD24" s="527">
        <f t="shared" si="29"/>
        <v>-74320.866020178946</v>
      </c>
      <c r="BE24" s="527">
        <f t="shared" si="29"/>
        <v>-74320.866020178946</v>
      </c>
      <c r="BF24" s="527">
        <f t="shared" si="29"/>
        <v>-74320.866020178946</v>
      </c>
      <c r="BG24" s="527">
        <f t="shared" si="29"/>
        <v>-74320.866020178946</v>
      </c>
      <c r="BH24" s="527">
        <f t="shared" si="29"/>
        <v>-77310.892230302823</v>
      </c>
      <c r="BI24" s="527">
        <f t="shared" si="29"/>
        <v>-77310.892230302823</v>
      </c>
      <c r="BJ24" s="527">
        <f t="shared" si="29"/>
        <v>-77310.892230302823</v>
      </c>
      <c r="BK24" s="527">
        <f t="shared" si="29"/>
        <v>-77310.892230302823</v>
      </c>
      <c r="BL24" s="527">
        <f t="shared" si="29"/>
        <v>-77310.892230302823</v>
      </c>
      <c r="BM24" s="527">
        <f t="shared" si="29"/>
        <v>-77310.892230302823</v>
      </c>
      <c r="BN24" s="527">
        <f t="shared" si="29"/>
        <v>-77291.985961263985</v>
      </c>
      <c r="BO24" s="527">
        <f t="shared" si="29"/>
        <v>-77291.985961263985</v>
      </c>
      <c r="BP24" s="527">
        <f t="shared" si="29"/>
        <v>-77291.985961263985</v>
      </c>
      <c r="BQ24" s="527">
        <f t="shared" si="29"/>
        <v>-77291.985961263985</v>
      </c>
      <c r="BR24" s="527">
        <f t="shared" si="29"/>
        <v>-77291.985961263985</v>
      </c>
      <c r="BS24" s="527">
        <f t="shared" si="29"/>
        <v>-77291.985961263985</v>
      </c>
      <c r="BT24" s="527">
        <f t="shared" si="29"/>
        <v>-80731.568405057798</v>
      </c>
      <c r="BU24" s="527">
        <f t="shared" si="29"/>
        <v>-80731.568405057798</v>
      </c>
      <c r="BV24" s="527">
        <f t="shared" si="29"/>
        <v>-80731.568405057798</v>
      </c>
      <c r="BW24" s="527">
        <f t="shared" si="29"/>
        <v>-80731.568405057798</v>
      </c>
      <c r="BX24" s="527">
        <f t="shared" si="29"/>
        <v>-80731.568405057798</v>
      </c>
      <c r="BY24" s="527">
        <f t="shared" si="29"/>
        <v>-80731.568405057798</v>
      </c>
      <c r="BZ24" s="537"/>
      <c r="CA24" s="537"/>
      <c r="CB24" s="574"/>
    </row>
    <row r="25" spans="1:80" x14ac:dyDescent="0.3">
      <c r="A25" s="551"/>
      <c r="B25" s="548"/>
      <c r="C25" s="525"/>
      <c r="D25" s="525"/>
      <c r="E25" s="572" t="s">
        <v>385</v>
      </c>
      <c r="F25" s="573"/>
      <c r="G25" s="573"/>
      <c r="H25" s="573"/>
      <c r="I25" s="530">
        <f t="shared" si="21"/>
        <v>6978857.2800000012</v>
      </c>
      <c r="J25" s="530">
        <f t="shared" si="22"/>
        <v>8000745.0734761376</v>
      </c>
      <c r="K25" s="530">
        <f t="shared" si="22"/>
        <v>8597845.4254393484</v>
      </c>
      <c r="L25" s="530">
        <f t="shared" si="22"/>
        <v>9211105.2764027901</v>
      </c>
      <c r="M25" s="530">
        <f t="shared" si="22"/>
        <v>9847143.8657539692</v>
      </c>
      <c r="N25" s="530">
        <f t="shared" si="22"/>
        <v>10523589.213688387</v>
      </c>
      <c r="O25" s="536"/>
      <c r="P25" s="568">
        <f t="shared" si="23"/>
        <v>8.5615196667784721E-2</v>
      </c>
      <c r="Q25" s="537"/>
      <c r="R25" s="530">
        <f t="shared" ref="R25:AW25" si="30">SUM(R22:R24)</f>
        <v>658249.71026543155</v>
      </c>
      <c r="S25" s="530">
        <f t="shared" si="30"/>
        <v>658249.71026543155</v>
      </c>
      <c r="T25" s="530">
        <f t="shared" si="30"/>
        <v>658249.71026543155</v>
      </c>
      <c r="U25" s="530">
        <f t="shared" si="30"/>
        <v>658249.71026543155</v>
      </c>
      <c r="V25" s="530">
        <f t="shared" si="30"/>
        <v>658249.71026543155</v>
      </c>
      <c r="W25" s="530">
        <f t="shared" si="30"/>
        <v>658249.71026543155</v>
      </c>
      <c r="X25" s="530">
        <f t="shared" si="30"/>
        <v>675207.80198059138</v>
      </c>
      <c r="Y25" s="530">
        <f t="shared" si="30"/>
        <v>675207.80198059138</v>
      </c>
      <c r="Z25" s="530">
        <f t="shared" si="30"/>
        <v>675207.80198059138</v>
      </c>
      <c r="AA25" s="530">
        <f t="shared" si="30"/>
        <v>675207.80198059138</v>
      </c>
      <c r="AB25" s="530">
        <f t="shared" si="30"/>
        <v>675207.80198059138</v>
      </c>
      <c r="AC25" s="530">
        <f t="shared" si="30"/>
        <v>675207.80198059138</v>
      </c>
      <c r="AD25" s="530">
        <f t="shared" si="30"/>
        <v>705605.05636836647</v>
      </c>
      <c r="AE25" s="530">
        <f t="shared" si="30"/>
        <v>705605.05636836647</v>
      </c>
      <c r="AF25" s="530">
        <f t="shared" si="30"/>
        <v>705605.05636836647</v>
      </c>
      <c r="AG25" s="530">
        <f t="shared" si="30"/>
        <v>705605.05636836647</v>
      </c>
      <c r="AH25" s="530">
        <f t="shared" si="30"/>
        <v>705605.05636836647</v>
      </c>
      <c r="AI25" s="530">
        <f t="shared" si="30"/>
        <v>705605.05636836647</v>
      </c>
      <c r="AJ25" s="530">
        <f t="shared" si="30"/>
        <v>727369.18120485812</v>
      </c>
      <c r="AK25" s="530">
        <f t="shared" si="30"/>
        <v>727369.18120485812</v>
      </c>
      <c r="AL25" s="530">
        <f t="shared" si="30"/>
        <v>727369.18120485812</v>
      </c>
      <c r="AM25" s="530">
        <f t="shared" si="30"/>
        <v>727369.18120485812</v>
      </c>
      <c r="AN25" s="530">
        <f t="shared" si="30"/>
        <v>727369.18120485812</v>
      </c>
      <c r="AO25" s="530">
        <f t="shared" si="30"/>
        <v>727369.18120485812</v>
      </c>
      <c r="AP25" s="530">
        <f t="shared" si="30"/>
        <v>754143.81117528758</v>
      </c>
      <c r="AQ25" s="530">
        <f t="shared" si="30"/>
        <v>754143.81117528758</v>
      </c>
      <c r="AR25" s="530">
        <f t="shared" si="30"/>
        <v>754143.81117528758</v>
      </c>
      <c r="AS25" s="530">
        <f t="shared" si="30"/>
        <v>754143.81117528758</v>
      </c>
      <c r="AT25" s="530">
        <f t="shared" si="30"/>
        <v>754143.81117528758</v>
      </c>
      <c r="AU25" s="530">
        <f t="shared" si="30"/>
        <v>754143.81117528758</v>
      </c>
      <c r="AV25" s="530">
        <f t="shared" si="30"/>
        <v>781040.40155851073</v>
      </c>
      <c r="AW25" s="530">
        <f t="shared" si="30"/>
        <v>781040.40155851073</v>
      </c>
      <c r="AX25" s="530">
        <f t="shared" ref="AX25:BY25" si="31">SUM(AX22:AX24)</f>
        <v>781040.40155851073</v>
      </c>
      <c r="AY25" s="530">
        <f t="shared" si="31"/>
        <v>781040.40155851073</v>
      </c>
      <c r="AZ25" s="530">
        <f t="shared" si="31"/>
        <v>781040.40155851073</v>
      </c>
      <c r="BA25" s="530">
        <f t="shared" si="31"/>
        <v>781040.40155851073</v>
      </c>
      <c r="BB25" s="530">
        <f t="shared" si="31"/>
        <v>804414.00532024587</v>
      </c>
      <c r="BC25" s="530">
        <f t="shared" si="31"/>
        <v>804414.00532024587</v>
      </c>
      <c r="BD25" s="530">
        <f t="shared" si="31"/>
        <v>804414.00532024587</v>
      </c>
      <c r="BE25" s="530">
        <f t="shared" si="31"/>
        <v>804414.00532024587</v>
      </c>
      <c r="BF25" s="530">
        <f t="shared" si="31"/>
        <v>804414.00532024587</v>
      </c>
      <c r="BG25" s="530">
        <f t="shared" si="31"/>
        <v>804414.00532024587</v>
      </c>
      <c r="BH25" s="530">
        <f t="shared" si="31"/>
        <v>836776.63897208252</v>
      </c>
      <c r="BI25" s="530">
        <f t="shared" si="31"/>
        <v>836776.63897208252</v>
      </c>
      <c r="BJ25" s="530">
        <f t="shared" si="31"/>
        <v>836776.63897208252</v>
      </c>
      <c r="BK25" s="530">
        <f t="shared" si="31"/>
        <v>836776.63897208252</v>
      </c>
      <c r="BL25" s="530">
        <f t="shared" si="31"/>
        <v>836776.63897208252</v>
      </c>
      <c r="BM25" s="530">
        <f t="shared" si="31"/>
        <v>836776.63897208252</v>
      </c>
      <c r="BN25" s="530">
        <f t="shared" si="31"/>
        <v>857877.49915745342</v>
      </c>
      <c r="BO25" s="530">
        <f t="shared" si="31"/>
        <v>857877.49915745342</v>
      </c>
      <c r="BP25" s="530">
        <f t="shared" si="31"/>
        <v>857877.49915745342</v>
      </c>
      <c r="BQ25" s="530">
        <f t="shared" si="31"/>
        <v>857877.49915745342</v>
      </c>
      <c r="BR25" s="530">
        <f t="shared" si="31"/>
        <v>857877.49915745342</v>
      </c>
      <c r="BS25" s="530">
        <f t="shared" si="31"/>
        <v>857877.49915745342</v>
      </c>
      <c r="BT25" s="530">
        <f t="shared" si="31"/>
        <v>896054.03645727772</v>
      </c>
      <c r="BU25" s="530">
        <f t="shared" si="31"/>
        <v>896054.03645727772</v>
      </c>
      <c r="BV25" s="530">
        <f t="shared" si="31"/>
        <v>896054.03645727772</v>
      </c>
      <c r="BW25" s="530">
        <f t="shared" si="31"/>
        <v>896054.03645727772</v>
      </c>
      <c r="BX25" s="530">
        <f t="shared" si="31"/>
        <v>896054.03645727772</v>
      </c>
      <c r="BY25" s="530">
        <f t="shared" si="31"/>
        <v>896054.03645727772</v>
      </c>
      <c r="BZ25" s="537"/>
      <c r="CA25" s="537"/>
      <c r="CB25" s="574"/>
    </row>
    <row r="26" spans="1:80" x14ac:dyDescent="0.3">
      <c r="A26" s="551"/>
      <c r="B26" s="548"/>
      <c r="C26" s="525"/>
      <c r="D26" s="525"/>
      <c r="E26" s="525" t="s">
        <v>389</v>
      </c>
      <c r="F26" s="567"/>
      <c r="G26" s="567"/>
      <c r="H26" s="567"/>
      <c r="I26" s="527">
        <f t="shared" si="21"/>
        <v>-2038153.6747655887</v>
      </c>
      <c r="J26" s="527">
        <f t="shared" si="22"/>
        <v>-2156637.915074789</v>
      </c>
      <c r="K26" s="527">
        <f t="shared" si="22"/>
        <v>-2298754.7489546342</v>
      </c>
      <c r="L26" s="527">
        <f t="shared" si="22"/>
        <v>-2444707.8861513636</v>
      </c>
      <c r="M26" s="527">
        <f t="shared" si="22"/>
        <v>-2596494.5172843076</v>
      </c>
      <c r="N26" s="527">
        <f t="shared" si="22"/>
        <v>-2757412.3741995217</v>
      </c>
      <c r="O26" s="529"/>
      <c r="P26" s="564">
        <f t="shared" si="23"/>
        <v>6.2314131596377997E-2</v>
      </c>
      <c r="Q26" s="537"/>
      <c r="R26" s="527">
        <f t="shared" ref="R26:AW26" si="32">R276</f>
        <v>-177434.26014805367</v>
      </c>
      <c r="S26" s="527">
        <f t="shared" si="32"/>
        <v>-177434.26014805367</v>
      </c>
      <c r="T26" s="527">
        <f t="shared" si="32"/>
        <v>-177434.26014805367</v>
      </c>
      <c r="U26" s="527">
        <f t="shared" si="32"/>
        <v>-177434.26014805367</v>
      </c>
      <c r="V26" s="527">
        <f t="shared" si="32"/>
        <v>-177434.26014805367</v>
      </c>
      <c r="W26" s="527">
        <f t="shared" si="32"/>
        <v>-177434.26014805367</v>
      </c>
      <c r="X26" s="527">
        <f t="shared" si="32"/>
        <v>-182005.39236441103</v>
      </c>
      <c r="Y26" s="527">
        <f t="shared" si="32"/>
        <v>-182005.39236441103</v>
      </c>
      <c r="Z26" s="527">
        <f t="shared" si="32"/>
        <v>-182005.39236441103</v>
      </c>
      <c r="AA26" s="527">
        <f t="shared" si="32"/>
        <v>-182005.39236441103</v>
      </c>
      <c r="AB26" s="527">
        <f t="shared" si="32"/>
        <v>-182005.39236441103</v>
      </c>
      <c r="AC26" s="527">
        <f t="shared" si="32"/>
        <v>-182005.39236441103</v>
      </c>
      <c r="AD26" s="527">
        <f t="shared" si="32"/>
        <v>-188653.4234977015</v>
      </c>
      <c r="AE26" s="527">
        <f t="shared" si="32"/>
        <v>-188653.4234977015</v>
      </c>
      <c r="AF26" s="527">
        <f t="shared" si="32"/>
        <v>-188653.4234977015</v>
      </c>
      <c r="AG26" s="527">
        <f t="shared" si="32"/>
        <v>-188653.4234977015</v>
      </c>
      <c r="AH26" s="527">
        <f t="shared" si="32"/>
        <v>-188653.4234977015</v>
      </c>
      <c r="AI26" s="527">
        <f t="shared" si="32"/>
        <v>-188653.4234977015</v>
      </c>
      <c r="AJ26" s="527">
        <f t="shared" si="32"/>
        <v>-194472.36799473758</v>
      </c>
      <c r="AK26" s="527">
        <f t="shared" si="32"/>
        <v>-194472.36799473758</v>
      </c>
      <c r="AL26" s="527">
        <f t="shared" si="32"/>
        <v>-194472.36799473758</v>
      </c>
      <c r="AM26" s="527">
        <f t="shared" si="32"/>
        <v>-194472.36799473758</v>
      </c>
      <c r="AN26" s="527">
        <f t="shared" si="32"/>
        <v>-194472.36799473758</v>
      </c>
      <c r="AO26" s="527">
        <f t="shared" si="32"/>
        <v>-194472.36799473758</v>
      </c>
      <c r="AP26" s="527">
        <f t="shared" si="32"/>
        <v>-200156.36203785468</v>
      </c>
      <c r="AQ26" s="527">
        <f t="shared" si="32"/>
        <v>-200156.36203785468</v>
      </c>
      <c r="AR26" s="527">
        <f t="shared" si="32"/>
        <v>-200156.36203785468</v>
      </c>
      <c r="AS26" s="527">
        <f t="shared" si="32"/>
        <v>-200156.36203785468</v>
      </c>
      <c r="AT26" s="527">
        <f t="shared" si="32"/>
        <v>-200156.36203785468</v>
      </c>
      <c r="AU26" s="527">
        <f t="shared" si="32"/>
        <v>-200156.36203785468</v>
      </c>
      <c r="AV26" s="527">
        <f t="shared" si="32"/>
        <v>-207294.95232070592</v>
      </c>
      <c r="AW26" s="527">
        <f t="shared" si="32"/>
        <v>-207294.95232070592</v>
      </c>
      <c r="AX26" s="527">
        <f t="shared" ref="AX26:BY26" si="33">AX276</f>
        <v>-207294.95232070592</v>
      </c>
      <c r="AY26" s="527">
        <f t="shared" si="33"/>
        <v>-207294.95232070592</v>
      </c>
      <c r="AZ26" s="527">
        <f t="shared" si="33"/>
        <v>-207294.95232070592</v>
      </c>
      <c r="BA26" s="527">
        <f t="shared" si="33"/>
        <v>-207294.95232070592</v>
      </c>
      <c r="BB26" s="527">
        <f t="shared" si="33"/>
        <v>-212107.85410626326</v>
      </c>
      <c r="BC26" s="527">
        <f t="shared" si="33"/>
        <v>-212107.85410626326</v>
      </c>
      <c r="BD26" s="527">
        <f t="shared" si="33"/>
        <v>-212107.85410626326</v>
      </c>
      <c r="BE26" s="527">
        <f t="shared" si="33"/>
        <v>-212107.85410626326</v>
      </c>
      <c r="BF26" s="527">
        <f t="shared" si="33"/>
        <v>-212107.85410626326</v>
      </c>
      <c r="BG26" s="527">
        <f t="shared" si="33"/>
        <v>-212107.85410626326</v>
      </c>
      <c r="BH26" s="527">
        <f t="shared" si="33"/>
        <v>-220641.232107788</v>
      </c>
      <c r="BI26" s="527">
        <f t="shared" si="33"/>
        <v>-220641.232107788</v>
      </c>
      <c r="BJ26" s="527">
        <f t="shared" si="33"/>
        <v>-220641.232107788</v>
      </c>
      <c r="BK26" s="527">
        <f t="shared" si="33"/>
        <v>-220641.232107788</v>
      </c>
      <c r="BL26" s="527">
        <f t="shared" si="33"/>
        <v>-220641.232107788</v>
      </c>
      <c r="BM26" s="527">
        <f t="shared" si="33"/>
        <v>-220641.232107788</v>
      </c>
      <c r="BN26" s="527">
        <f t="shared" si="33"/>
        <v>-224782.81731552078</v>
      </c>
      <c r="BO26" s="527">
        <f t="shared" si="33"/>
        <v>-224782.81731552078</v>
      </c>
      <c r="BP26" s="527">
        <f t="shared" si="33"/>
        <v>-224782.81731552078</v>
      </c>
      <c r="BQ26" s="527">
        <f t="shared" si="33"/>
        <v>-224782.81731552078</v>
      </c>
      <c r="BR26" s="527">
        <f t="shared" si="33"/>
        <v>-224782.81731552078</v>
      </c>
      <c r="BS26" s="527">
        <f t="shared" si="33"/>
        <v>-224782.81731552078</v>
      </c>
      <c r="BT26" s="527">
        <f t="shared" si="33"/>
        <v>-234785.9117177329</v>
      </c>
      <c r="BU26" s="527">
        <f t="shared" si="33"/>
        <v>-234785.9117177329</v>
      </c>
      <c r="BV26" s="527">
        <f t="shared" si="33"/>
        <v>-234785.9117177329</v>
      </c>
      <c r="BW26" s="527">
        <f t="shared" si="33"/>
        <v>-234785.9117177329</v>
      </c>
      <c r="BX26" s="527">
        <f t="shared" si="33"/>
        <v>-234785.9117177329</v>
      </c>
      <c r="BY26" s="527">
        <f t="shared" si="33"/>
        <v>-234785.9117177329</v>
      </c>
      <c r="BZ26" s="537"/>
      <c r="CA26" s="537"/>
      <c r="CB26" s="574"/>
    </row>
    <row r="27" spans="1:80" x14ac:dyDescent="0.3">
      <c r="A27" s="551"/>
      <c r="B27" s="548"/>
      <c r="C27" s="525"/>
      <c r="D27" s="525"/>
      <c r="E27" s="572" t="s">
        <v>390</v>
      </c>
      <c r="F27" s="573"/>
      <c r="G27" s="573"/>
      <c r="H27" s="573"/>
      <c r="I27" s="530">
        <f t="shared" si="21"/>
        <v>5455567.2848158674</v>
      </c>
      <c r="J27" s="530">
        <f t="shared" si="22"/>
        <v>5844107.1584013505</v>
      </c>
      <c r="K27" s="530">
        <f t="shared" si="22"/>
        <v>6299090.6764847124</v>
      </c>
      <c r="L27" s="530">
        <f t="shared" si="22"/>
        <v>6766397.390251427</v>
      </c>
      <c r="M27" s="530">
        <f t="shared" si="22"/>
        <v>7250649.3484696643</v>
      </c>
      <c r="N27" s="530">
        <f t="shared" si="22"/>
        <v>7766176.839488863</v>
      </c>
      <c r="O27" s="536"/>
      <c r="P27" s="568">
        <f t="shared" si="23"/>
        <v>7.3182227260344623E-2</v>
      </c>
      <c r="Q27" s="537"/>
      <c r="R27" s="530">
        <f t="shared" ref="R27:AW27" si="34">SUM(R25:R26)</f>
        <v>480815.45011737791</v>
      </c>
      <c r="S27" s="530">
        <f t="shared" si="34"/>
        <v>480815.45011737791</v>
      </c>
      <c r="T27" s="530">
        <f t="shared" si="34"/>
        <v>480815.45011737791</v>
      </c>
      <c r="U27" s="530">
        <f t="shared" si="34"/>
        <v>480815.45011737791</v>
      </c>
      <c r="V27" s="530">
        <f t="shared" si="34"/>
        <v>480815.45011737791</v>
      </c>
      <c r="W27" s="530">
        <f t="shared" si="34"/>
        <v>480815.45011737791</v>
      </c>
      <c r="X27" s="530">
        <f t="shared" si="34"/>
        <v>493202.40961618035</v>
      </c>
      <c r="Y27" s="530">
        <f t="shared" si="34"/>
        <v>493202.40961618035</v>
      </c>
      <c r="Z27" s="530">
        <f t="shared" si="34"/>
        <v>493202.40961618035</v>
      </c>
      <c r="AA27" s="530">
        <f t="shared" si="34"/>
        <v>493202.40961618035</v>
      </c>
      <c r="AB27" s="530">
        <f t="shared" si="34"/>
        <v>493202.40961618035</v>
      </c>
      <c r="AC27" s="530">
        <f t="shared" si="34"/>
        <v>493202.40961618035</v>
      </c>
      <c r="AD27" s="530">
        <f t="shared" si="34"/>
        <v>516951.63287066494</v>
      </c>
      <c r="AE27" s="530">
        <f t="shared" si="34"/>
        <v>516951.63287066494</v>
      </c>
      <c r="AF27" s="530">
        <f t="shared" si="34"/>
        <v>516951.63287066494</v>
      </c>
      <c r="AG27" s="530">
        <f t="shared" si="34"/>
        <v>516951.63287066494</v>
      </c>
      <c r="AH27" s="530">
        <f t="shared" si="34"/>
        <v>516951.63287066494</v>
      </c>
      <c r="AI27" s="530">
        <f t="shared" si="34"/>
        <v>516951.63287066494</v>
      </c>
      <c r="AJ27" s="530">
        <f t="shared" si="34"/>
        <v>532896.81321012054</v>
      </c>
      <c r="AK27" s="530">
        <f t="shared" si="34"/>
        <v>532896.81321012054</v>
      </c>
      <c r="AL27" s="530">
        <f t="shared" si="34"/>
        <v>532896.81321012054</v>
      </c>
      <c r="AM27" s="530">
        <f t="shared" si="34"/>
        <v>532896.81321012054</v>
      </c>
      <c r="AN27" s="530">
        <f t="shared" si="34"/>
        <v>532896.81321012054</v>
      </c>
      <c r="AO27" s="530">
        <f t="shared" si="34"/>
        <v>532896.81321012054</v>
      </c>
      <c r="AP27" s="530">
        <f t="shared" si="34"/>
        <v>553987.44913743297</v>
      </c>
      <c r="AQ27" s="530">
        <f t="shared" si="34"/>
        <v>553987.44913743297</v>
      </c>
      <c r="AR27" s="530">
        <f t="shared" si="34"/>
        <v>553987.44913743297</v>
      </c>
      <c r="AS27" s="530">
        <f t="shared" si="34"/>
        <v>553987.44913743297</v>
      </c>
      <c r="AT27" s="530">
        <f t="shared" si="34"/>
        <v>553987.44913743297</v>
      </c>
      <c r="AU27" s="530">
        <f t="shared" si="34"/>
        <v>553987.44913743297</v>
      </c>
      <c r="AV27" s="530">
        <f t="shared" si="34"/>
        <v>573745.44923780486</v>
      </c>
      <c r="AW27" s="530">
        <f t="shared" si="34"/>
        <v>573745.44923780486</v>
      </c>
      <c r="AX27" s="530">
        <f t="shared" ref="AX27:BY27" si="35">SUM(AX25:AX26)</f>
        <v>573745.44923780486</v>
      </c>
      <c r="AY27" s="530">
        <f t="shared" si="35"/>
        <v>573745.44923780486</v>
      </c>
      <c r="AZ27" s="530">
        <f t="shared" si="35"/>
        <v>573745.44923780486</v>
      </c>
      <c r="BA27" s="530">
        <f t="shared" si="35"/>
        <v>573745.44923780486</v>
      </c>
      <c r="BB27" s="530">
        <f t="shared" si="35"/>
        <v>592306.15121398261</v>
      </c>
      <c r="BC27" s="530">
        <f t="shared" si="35"/>
        <v>592306.15121398261</v>
      </c>
      <c r="BD27" s="530">
        <f t="shared" si="35"/>
        <v>592306.15121398261</v>
      </c>
      <c r="BE27" s="530">
        <f t="shared" si="35"/>
        <v>592306.15121398261</v>
      </c>
      <c r="BF27" s="530">
        <f t="shared" si="35"/>
        <v>592306.15121398261</v>
      </c>
      <c r="BG27" s="530">
        <f t="shared" si="35"/>
        <v>592306.15121398261</v>
      </c>
      <c r="BH27" s="530">
        <f t="shared" si="35"/>
        <v>616135.40686429455</v>
      </c>
      <c r="BI27" s="530">
        <f t="shared" si="35"/>
        <v>616135.40686429455</v>
      </c>
      <c r="BJ27" s="530">
        <f t="shared" si="35"/>
        <v>616135.40686429455</v>
      </c>
      <c r="BK27" s="530">
        <f t="shared" si="35"/>
        <v>616135.40686429455</v>
      </c>
      <c r="BL27" s="530">
        <f t="shared" si="35"/>
        <v>616135.40686429455</v>
      </c>
      <c r="BM27" s="530">
        <f t="shared" si="35"/>
        <v>616135.40686429455</v>
      </c>
      <c r="BN27" s="530">
        <f t="shared" si="35"/>
        <v>633094.6818419327</v>
      </c>
      <c r="BO27" s="530">
        <f t="shared" si="35"/>
        <v>633094.6818419327</v>
      </c>
      <c r="BP27" s="530">
        <f t="shared" si="35"/>
        <v>633094.6818419327</v>
      </c>
      <c r="BQ27" s="530">
        <f t="shared" si="35"/>
        <v>633094.6818419327</v>
      </c>
      <c r="BR27" s="530">
        <f t="shared" si="35"/>
        <v>633094.6818419327</v>
      </c>
      <c r="BS27" s="530">
        <f t="shared" si="35"/>
        <v>633094.6818419327</v>
      </c>
      <c r="BT27" s="530">
        <f t="shared" si="35"/>
        <v>661268.12473954482</v>
      </c>
      <c r="BU27" s="530">
        <f t="shared" si="35"/>
        <v>661268.12473954482</v>
      </c>
      <c r="BV27" s="530">
        <f t="shared" si="35"/>
        <v>661268.12473954482</v>
      </c>
      <c r="BW27" s="530">
        <f t="shared" si="35"/>
        <v>661268.12473954482</v>
      </c>
      <c r="BX27" s="530">
        <f t="shared" si="35"/>
        <v>661268.12473954482</v>
      </c>
      <c r="BY27" s="530">
        <f t="shared" si="35"/>
        <v>661268.12473954482</v>
      </c>
      <c r="BZ27" s="537"/>
      <c r="CA27" s="537"/>
      <c r="CB27" s="574"/>
    </row>
    <row r="28" spans="1:80" x14ac:dyDescent="0.3">
      <c r="A28" s="551"/>
      <c r="B28" s="548"/>
      <c r="C28" s="525"/>
      <c r="D28" s="525"/>
      <c r="E28" s="525" t="s">
        <v>175</v>
      </c>
      <c r="F28" s="575"/>
      <c r="G28" s="575"/>
      <c r="H28" s="575"/>
      <c r="I28" s="531">
        <f t="shared" ref="I28:N28" si="36">IFERROR(I27/I22,0)</f>
        <v>0.44289007449963419</v>
      </c>
      <c r="J28" s="531">
        <f t="shared" si="36"/>
        <v>0.45145195921938075</v>
      </c>
      <c r="K28" s="531">
        <f t="shared" si="36"/>
        <v>0.45944394618768636</v>
      </c>
      <c r="L28" s="531">
        <f t="shared" si="36"/>
        <v>0.46682422196432488</v>
      </c>
      <c r="M28" s="531">
        <f t="shared" si="36"/>
        <v>0.473579320858523</v>
      </c>
      <c r="N28" s="531">
        <f t="shared" si="36"/>
        <v>0.48017523687425301</v>
      </c>
      <c r="O28" s="546"/>
      <c r="P28" s="564">
        <f t="shared" si="23"/>
        <v>1.6297277918175368E-2</v>
      </c>
      <c r="Q28" s="537"/>
      <c r="R28" s="531">
        <f t="shared" ref="R28:AW28" si="37">IFERROR(R27/R22,0)</f>
        <v>0.45145195921938081</v>
      </c>
      <c r="S28" s="531">
        <f t="shared" si="37"/>
        <v>0.45145195921938081</v>
      </c>
      <c r="T28" s="531">
        <f t="shared" si="37"/>
        <v>0.45145195921938081</v>
      </c>
      <c r="U28" s="531">
        <f t="shared" si="37"/>
        <v>0.45145195921938081</v>
      </c>
      <c r="V28" s="531">
        <f t="shared" si="37"/>
        <v>0.45145195921938081</v>
      </c>
      <c r="W28" s="531">
        <f t="shared" si="37"/>
        <v>0.45145195921938081</v>
      </c>
      <c r="X28" s="531">
        <f t="shared" si="37"/>
        <v>0.45145195921938075</v>
      </c>
      <c r="Y28" s="531">
        <f t="shared" si="37"/>
        <v>0.45145195921938075</v>
      </c>
      <c r="Z28" s="531">
        <f t="shared" si="37"/>
        <v>0.45145195921938075</v>
      </c>
      <c r="AA28" s="531">
        <f t="shared" si="37"/>
        <v>0.45145195921938075</v>
      </c>
      <c r="AB28" s="531">
        <f t="shared" si="37"/>
        <v>0.45145195921938075</v>
      </c>
      <c r="AC28" s="531">
        <f t="shared" si="37"/>
        <v>0.45145195921938075</v>
      </c>
      <c r="AD28" s="531">
        <f t="shared" si="37"/>
        <v>0.45944394618768652</v>
      </c>
      <c r="AE28" s="531">
        <f t="shared" si="37"/>
        <v>0.45944394618768652</v>
      </c>
      <c r="AF28" s="531">
        <f t="shared" si="37"/>
        <v>0.45944394618768652</v>
      </c>
      <c r="AG28" s="531">
        <f t="shared" si="37"/>
        <v>0.45944394618768652</v>
      </c>
      <c r="AH28" s="531">
        <f t="shared" si="37"/>
        <v>0.45944394618768652</v>
      </c>
      <c r="AI28" s="531">
        <f t="shared" si="37"/>
        <v>0.45944394618768652</v>
      </c>
      <c r="AJ28" s="531">
        <f t="shared" si="37"/>
        <v>0.45944394618768641</v>
      </c>
      <c r="AK28" s="531">
        <f t="shared" si="37"/>
        <v>0.45944394618768641</v>
      </c>
      <c r="AL28" s="531">
        <f t="shared" si="37"/>
        <v>0.45944394618768641</v>
      </c>
      <c r="AM28" s="531">
        <f t="shared" si="37"/>
        <v>0.45944394618768641</v>
      </c>
      <c r="AN28" s="531">
        <f t="shared" si="37"/>
        <v>0.45944394618768641</v>
      </c>
      <c r="AO28" s="531">
        <f t="shared" si="37"/>
        <v>0.45944394618768641</v>
      </c>
      <c r="AP28" s="531">
        <f t="shared" si="37"/>
        <v>0.46682422196432505</v>
      </c>
      <c r="AQ28" s="531">
        <f t="shared" si="37"/>
        <v>0.46682422196432505</v>
      </c>
      <c r="AR28" s="531">
        <f t="shared" si="37"/>
        <v>0.46682422196432505</v>
      </c>
      <c r="AS28" s="531">
        <f t="shared" si="37"/>
        <v>0.46682422196432505</v>
      </c>
      <c r="AT28" s="531">
        <f t="shared" si="37"/>
        <v>0.46682422196432505</v>
      </c>
      <c r="AU28" s="531">
        <f t="shared" si="37"/>
        <v>0.46682422196432505</v>
      </c>
      <c r="AV28" s="531">
        <f t="shared" si="37"/>
        <v>0.46682422196432505</v>
      </c>
      <c r="AW28" s="531">
        <f t="shared" si="37"/>
        <v>0.46682422196432505</v>
      </c>
      <c r="AX28" s="531">
        <f t="shared" ref="AX28:BY28" si="38">IFERROR(AX27/AX22,0)</f>
        <v>0.46682422196432505</v>
      </c>
      <c r="AY28" s="531">
        <f t="shared" si="38"/>
        <v>0.46682422196432505</v>
      </c>
      <c r="AZ28" s="531">
        <f t="shared" si="38"/>
        <v>0.46682422196432505</v>
      </c>
      <c r="BA28" s="531">
        <f t="shared" si="38"/>
        <v>0.46682422196432505</v>
      </c>
      <c r="BB28" s="531">
        <f t="shared" si="38"/>
        <v>0.47357932085852278</v>
      </c>
      <c r="BC28" s="531">
        <f t="shared" si="38"/>
        <v>0.47357932085852278</v>
      </c>
      <c r="BD28" s="531">
        <f t="shared" si="38"/>
        <v>0.47357932085852278</v>
      </c>
      <c r="BE28" s="531">
        <f t="shared" si="38"/>
        <v>0.47357932085852278</v>
      </c>
      <c r="BF28" s="531">
        <f t="shared" si="38"/>
        <v>0.47357932085852278</v>
      </c>
      <c r="BG28" s="531">
        <f t="shared" si="38"/>
        <v>0.47357932085852278</v>
      </c>
      <c r="BH28" s="531">
        <f t="shared" si="38"/>
        <v>0.47357932085852283</v>
      </c>
      <c r="BI28" s="531">
        <f t="shared" si="38"/>
        <v>0.47357932085852283</v>
      </c>
      <c r="BJ28" s="531">
        <f t="shared" si="38"/>
        <v>0.47357932085852283</v>
      </c>
      <c r="BK28" s="531">
        <f t="shared" si="38"/>
        <v>0.47357932085852283</v>
      </c>
      <c r="BL28" s="531">
        <f t="shared" si="38"/>
        <v>0.47357932085852283</v>
      </c>
      <c r="BM28" s="531">
        <f t="shared" si="38"/>
        <v>0.47357932085852283</v>
      </c>
      <c r="BN28" s="531">
        <f t="shared" si="38"/>
        <v>0.48017523687425334</v>
      </c>
      <c r="BO28" s="531">
        <f t="shared" si="38"/>
        <v>0.48017523687425334</v>
      </c>
      <c r="BP28" s="531">
        <f t="shared" si="38"/>
        <v>0.48017523687425334</v>
      </c>
      <c r="BQ28" s="531">
        <f t="shared" si="38"/>
        <v>0.48017523687425334</v>
      </c>
      <c r="BR28" s="531">
        <f t="shared" si="38"/>
        <v>0.48017523687425334</v>
      </c>
      <c r="BS28" s="531">
        <f t="shared" si="38"/>
        <v>0.48017523687425334</v>
      </c>
      <c r="BT28" s="531">
        <f t="shared" si="38"/>
        <v>0.48017523687425312</v>
      </c>
      <c r="BU28" s="531">
        <f t="shared" si="38"/>
        <v>0.48017523687425312</v>
      </c>
      <c r="BV28" s="531">
        <f t="shared" si="38"/>
        <v>0.48017523687425312</v>
      </c>
      <c r="BW28" s="531">
        <f t="shared" si="38"/>
        <v>0.48017523687425312</v>
      </c>
      <c r="BX28" s="531">
        <f t="shared" si="38"/>
        <v>0.48017523687425312</v>
      </c>
      <c r="BY28" s="531">
        <f t="shared" si="38"/>
        <v>0.48017523687425312</v>
      </c>
      <c r="BZ28" s="537"/>
      <c r="CA28" s="537"/>
      <c r="CB28" s="537"/>
    </row>
    <row r="29" spans="1:80" x14ac:dyDescent="0.3">
      <c r="A29" s="551"/>
      <c r="B29" s="548"/>
      <c r="C29" s="525"/>
      <c r="D29" s="525"/>
      <c r="E29" s="525"/>
      <c r="F29" s="575"/>
      <c r="G29" s="575"/>
      <c r="H29" s="575"/>
      <c r="I29" s="529"/>
      <c r="J29" s="529"/>
      <c r="K29" s="529"/>
      <c r="L29" s="529"/>
      <c r="M29" s="529"/>
      <c r="N29" s="529"/>
      <c r="O29" s="529"/>
      <c r="P29" s="562"/>
      <c r="Q29" s="537"/>
      <c r="R29" s="529"/>
      <c r="S29" s="529"/>
      <c r="T29" s="529"/>
      <c r="U29" s="529"/>
      <c r="V29" s="529"/>
      <c r="W29" s="529"/>
      <c r="X29" s="529"/>
      <c r="Y29" s="529"/>
      <c r="Z29" s="529"/>
      <c r="AA29" s="529"/>
      <c r="AB29" s="529"/>
      <c r="AC29" s="529"/>
      <c r="AD29" s="529"/>
      <c r="AE29" s="529"/>
      <c r="AF29" s="529"/>
      <c r="AG29" s="529"/>
      <c r="AH29" s="529"/>
      <c r="AI29" s="529"/>
      <c r="AJ29" s="529"/>
      <c r="AK29" s="529"/>
      <c r="AL29" s="529"/>
      <c r="AM29" s="529"/>
      <c r="AN29" s="529"/>
      <c r="AO29" s="529"/>
      <c r="AP29" s="529"/>
      <c r="AQ29" s="529"/>
      <c r="AR29" s="529"/>
      <c r="AS29" s="529"/>
      <c r="AT29" s="529"/>
      <c r="AU29" s="529"/>
      <c r="AV29" s="529"/>
      <c r="AW29" s="529"/>
      <c r="AX29" s="529"/>
      <c r="AY29" s="529"/>
      <c r="AZ29" s="529"/>
      <c r="BA29" s="529"/>
      <c r="BB29" s="529"/>
      <c r="BC29" s="529"/>
      <c r="BD29" s="529"/>
      <c r="BE29" s="529"/>
      <c r="BF29" s="529"/>
      <c r="BG29" s="529"/>
      <c r="BH29" s="529"/>
      <c r="BI29" s="529"/>
      <c r="BJ29" s="529"/>
      <c r="BK29" s="529"/>
      <c r="BL29" s="529"/>
      <c r="BM29" s="529"/>
      <c r="BN29" s="529"/>
      <c r="BO29" s="529"/>
      <c r="BP29" s="529"/>
      <c r="BQ29" s="529"/>
      <c r="BR29" s="529"/>
      <c r="BS29" s="529"/>
      <c r="BT29" s="529"/>
      <c r="BU29" s="529"/>
      <c r="BV29" s="529"/>
      <c r="BW29" s="529"/>
      <c r="BX29" s="529"/>
      <c r="BY29" s="529"/>
      <c r="BZ29" s="537"/>
      <c r="CA29" s="537"/>
      <c r="CB29" s="537"/>
    </row>
    <row r="30" spans="1:80" x14ac:dyDescent="0.3">
      <c r="A30" s="551"/>
      <c r="B30" s="548"/>
      <c r="C30" s="525"/>
      <c r="D30" s="525"/>
      <c r="E30" s="570" t="s">
        <v>23</v>
      </c>
      <c r="F30" s="529"/>
      <c r="G30" s="529"/>
      <c r="H30" s="529"/>
      <c r="I30" s="529"/>
      <c r="J30" s="529"/>
      <c r="K30" s="529"/>
      <c r="L30" s="529"/>
      <c r="M30" s="529"/>
      <c r="N30" s="529"/>
      <c r="O30" s="529"/>
      <c r="P30" s="562"/>
      <c r="Q30" s="537"/>
      <c r="R30" s="529"/>
      <c r="S30" s="529"/>
      <c r="T30" s="529"/>
      <c r="U30" s="529"/>
      <c r="V30" s="529"/>
      <c r="W30" s="529"/>
      <c r="X30" s="529"/>
      <c r="Y30" s="529"/>
      <c r="Z30" s="529"/>
      <c r="AA30" s="529"/>
      <c r="AB30" s="529"/>
      <c r="AC30" s="529"/>
      <c r="AD30" s="529"/>
      <c r="AE30" s="529"/>
      <c r="AF30" s="529"/>
      <c r="AG30" s="529"/>
      <c r="AH30" s="529"/>
      <c r="AI30" s="529"/>
      <c r="AJ30" s="529"/>
      <c r="AK30" s="529"/>
      <c r="AL30" s="529"/>
      <c r="AM30" s="529"/>
      <c r="AN30" s="529"/>
      <c r="AO30" s="529"/>
      <c r="AP30" s="529"/>
      <c r="AQ30" s="529"/>
      <c r="AR30" s="529"/>
      <c r="AS30" s="529"/>
      <c r="AT30" s="529"/>
      <c r="AU30" s="529"/>
      <c r="AV30" s="529"/>
      <c r="AW30" s="529"/>
      <c r="AX30" s="529"/>
      <c r="AY30" s="529"/>
      <c r="AZ30" s="529"/>
      <c r="BA30" s="529"/>
      <c r="BB30" s="529"/>
      <c r="BC30" s="529"/>
      <c r="BD30" s="529"/>
      <c r="BE30" s="529"/>
      <c r="BF30" s="529"/>
      <c r="BG30" s="529"/>
      <c r="BH30" s="529"/>
      <c r="BI30" s="529"/>
      <c r="BJ30" s="529"/>
      <c r="BK30" s="529"/>
      <c r="BL30" s="529"/>
      <c r="BM30" s="529"/>
      <c r="BN30" s="529"/>
      <c r="BO30" s="529"/>
      <c r="BP30" s="529"/>
      <c r="BQ30" s="529"/>
      <c r="BR30" s="529"/>
      <c r="BS30" s="529"/>
      <c r="BT30" s="529"/>
      <c r="BU30" s="529"/>
      <c r="BV30" s="529"/>
      <c r="BW30" s="529"/>
      <c r="BX30" s="529"/>
      <c r="BY30" s="529"/>
      <c r="BZ30" s="537"/>
      <c r="CA30" s="537"/>
      <c r="CB30" s="537"/>
    </row>
    <row r="31" spans="1:80" x14ac:dyDescent="0.3">
      <c r="A31" s="551"/>
      <c r="B31" s="548"/>
      <c r="C31" s="525"/>
      <c r="D31" s="525"/>
      <c r="E31" s="572" t="s">
        <v>391</v>
      </c>
      <c r="F31" s="573"/>
      <c r="G31" s="573"/>
      <c r="H31" s="573"/>
      <c r="I31" s="530">
        <f t="shared" ref="I31:I36" si="39">I521</f>
        <v>1119661.6050219014</v>
      </c>
      <c r="J31" s="530">
        <f t="shared" ref="J31:N36" si="40">SUMIF($R$2:$BY$2,J$3,$R31:$BY31)</f>
        <v>1134084.1895607142</v>
      </c>
      <c r="K31" s="530">
        <f t="shared" si="40"/>
        <v>1158788.8257795258</v>
      </c>
      <c r="L31" s="530">
        <f t="shared" si="40"/>
        <v>1183315.6497090296</v>
      </c>
      <c r="M31" s="530">
        <f t="shared" si="40"/>
        <v>1208913.8303429966</v>
      </c>
      <c r="N31" s="530">
        <f t="shared" si="40"/>
        <v>1235170.2688297643</v>
      </c>
      <c r="O31" s="536"/>
      <c r="P31" s="568">
        <f t="shared" ref="P31:P37" si="41">IFERROR(((N31/I31)^(1/5))-1,0)</f>
        <v>1.9830529311995804E-2</v>
      </c>
      <c r="Q31" s="537"/>
      <c r="R31" s="530">
        <f t="shared" ref="R31:AW31" si="42">R296</f>
        <v>93305.133751825124</v>
      </c>
      <c r="S31" s="530">
        <f t="shared" si="42"/>
        <v>93305.133751825124</v>
      </c>
      <c r="T31" s="530">
        <f t="shared" si="42"/>
        <v>93305.133751825124</v>
      </c>
      <c r="U31" s="530">
        <f t="shared" si="42"/>
        <v>93305.133751825124</v>
      </c>
      <c r="V31" s="530">
        <f t="shared" si="42"/>
        <v>93305.133751825124</v>
      </c>
      <c r="W31" s="530">
        <f t="shared" si="42"/>
        <v>93305.133751825124</v>
      </c>
      <c r="X31" s="530">
        <f t="shared" si="42"/>
        <v>95708.897841627258</v>
      </c>
      <c r="Y31" s="530">
        <f t="shared" si="42"/>
        <v>95708.897841627258</v>
      </c>
      <c r="Z31" s="530">
        <f t="shared" si="42"/>
        <v>95708.897841627258</v>
      </c>
      <c r="AA31" s="530">
        <f t="shared" si="42"/>
        <v>95708.897841627258</v>
      </c>
      <c r="AB31" s="530">
        <f t="shared" si="42"/>
        <v>95708.897841627258</v>
      </c>
      <c r="AC31" s="530">
        <f t="shared" si="42"/>
        <v>95708.897841627258</v>
      </c>
      <c r="AD31" s="530">
        <f t="shared" si="42"/>
        <v>95099.087535807121</v>
      </c>
      <c r="AE31" s="530">
        <f t="shared" si="42"/>
        <v>95099.087535807121</v>
      </c>
      <c r="AF31" s="530">
        <f t="shared" si="42"/>
        <v>95099.087535807121</v>
      </c>
      <c r="AG31" s="530">
        <f t="shared" si="42"/>
        <v>95099.087535807121</v>
      </c>
      <c r="AH31" s="530">
        <f t="shared" si="42"/>
        <v>95099.087535807121</v>
      </c>
      <c r="AI31" s="530">
        <f t="shared" si="42"/>
        <v>95099.087535807121</v>
      </c>
      <c r="AJ31" s="530">
        <f t="shared" si="42"/>
        <v>98032.383427447174</v>
      </c>
      <c r="AK31" s="530">
        <f t="shared" si="42"/>
        <v>98032.383427447174</v>
      </c>
      <c r="AL31" s="530">
        <f t="shared" si="42"/>
        <v>98032.383427447174</v>
      </c>
      <c r="AM31" s="530">
        <f t="shared" si="42"/>
        <v>98032.383427447174</v>
      </c>
      <c r="AN31" s="530">
        <f t="shared" si="42"/>
        <v>98032.383427447174</v>
      </c>
      <c r="AO31" s="530">
        <f t="shared" si="42"/>
        <v>98032.383427447174</v>
      </c>
      <c r="AP31" s="530">
        <f t="shared" si="42"/>
        <v>96881.986158715808</v>
      </c>
      <c r="AQ31" s="530">
        <f t="shared" si="42"/>
        <v>96881.986158715808</v>
      </c>
      <c r="AR31" s="530">
        <f t="shared" si="42"/>
        <v>96881.986158715808</v>
      </c>
      <c r="AS31" s="530">
        <f t="shared" si="42"/>
        <v>96881.986158715808</v>
      </c>
      <c r="AT31" s="530">
        <f t="shared" si="42"/>
        <v>96881.986158715808</v>
      </c>
      <c r="AU31" s="530">
        <f t="shared" si="42"/>
        <v>96881.986158715808</v>
      </c>
      <c r="AV31" s="530">
        <f t="shared" si="42"/>
        <v>100337.28879278914</v>
      </c>
      <c r="AW31" s="530">
        <f t="shared" si="42"/>
        <v>100337.28879278914</v>
      </c>
      <c r="AX31" s="530">
        <f t="shared" ref="AX31:BY31" si="43">AX296</f>
        <v>100337.28879278914</v>
      </c>
      <c r="AY31" s="530">
        <f t="shared" si="43"/>
        <v>100337.28879278914</v>
      </c>
      <c r="AZ31" s="530">
        <f t="shared" si="43"/>
        <v>100337.28879278914</v>
      </c>
      <c r="BA31" s="530">
        <f t="shared" si="43"/>
        <v>100337.28879278914</v>
      </c>
      <c r="BB31" s="530">
        <f t="shared" si="43"/>
        <v>98756.271829769888</v>
      </c>
      <c r="BC31" s="530">
        <f t="shared" si="43"/>
        <v>98756.271829769888</v>
      </c>
      <c r="BD31" s="530">
        <f t="shared" si="43"/>
        <v>98756.271829769888</v>
      </c>
      <c r="BE31" s="530">
        <f t="shared" si="43"/>
        <v>98756.271829769888</v>
      </c>
      <c r="BF31" s="530">
        <f t="shared" si="43"/>
        <v>98756.271829769888</v>
      </c>
      <c r="BG31" s="530">
        <f t="shared" si="43"/>
        <v>98756.271829769888</v>
      </c>
      <c r="BH31" s="530">
        <f t="shared" si="43"/>
        <v>102729.36656072954</v>
      </c>
      <c r="BI31" s="530">
        <f t="shared" si="43"/>
        <v>102729.36656072954</v>
      </c>
      <c r="BJ31" s="530">
        <f t="shared" si="43"/>
        <v>102729.36656072954</v>
      </c>
      <c r="BK31" s="530">
        <f t="shared" si="43"/>
        <v>102729.36656072954</v>
      </c>
      <c r="BL31" s="530">
        <f t="shared" si="43"/>
        <v>102729.36656072954</v>
      </c>
      <c r="BM31" s="530">
        <f t="shared" si="43"/>
        <v>102729.36656072954</v>
      </c>
      <c r="BN31" s="530">
        <f t="shared" si="43"/>
        <v>100690.43552926106</v>
      </c>
      <c r="BO31" s="530">
        <f t="shared" si="43"/>
        <v>100690.43552926106</v>
      </c>
      <c r="BP31" s="530">
        <f t="shared" si="43"/>
        <v>100690.43552926106</v>
      </c>
      <c r="BQ31" s="530">
        <f t="shared" si="43"/>
        <v>100690.43552926106</v>
      </c>
      <c r="BR31" s="530">
        <f t="shared" si="43"/>
        <v>100690.43552926106</v>
      </c>
      <c r="BS31" s="530">
        <f t="shared" si="43"/>
        <v>100690.43552926106</v>
      </c>
      <c r="BT31" s="530">
        <f t="shared" si="43"/>
        <v>105171.27594236635</v>
      </c>
      <c r="BU31" s="530">
        <f t="shared" si="43"/>
        <v>105171.27594236635</v>
      </c>
      <c r="BV31" s="530">
        <f t="shared" si="43"/>
        <v>105171.27594236635</v>
      </c>
      <c r="BW31" s="530">
        <f t="shared" si="43"/>
        <v>105171.27594236635</v>
      </c>
      <c r="BX31" s="530">
        <f t="shared" si="43"/>
        <v>105171.27594236635</v>
      </c>
      <c r="BY31" s="530">
        <f t="shared" si="43"/>
        <v>105171.27594236635</v>
      </c>
      <c r="BZ31" s="537"/>
      <c r="CA31" s="537"/>
      <c r="CB31" s="574"/>
    </row>
    <row r="32" spans="1:80" x14ac:dyDescent="0.3">
      <c r="A32" s="551"/>
      <c r="B32" s="548"/>
      <c r="C32" s="525"/>
      <c r="D32" s="525"/>
      <c r="E32" s="525" t="s">
        <v>392</v>
      </c>
      <c r="F32" s="567"/>
      <c r="G32" s="567"/>
      <c r="H32" s="567"/>
      <c r="I32" s="527">
        <f t="shared" si="39"/>
        <v>-571685.56915050291</v>
      </c>
      <c r="J32" s="527">
        <f t="shared" si="40"/>
        <v>-579049.56503435853</v>
      </c>
      <c r="K32" s="527">
        <f t="shared" si="40"/>
        <v>-591663.45118894463</v>
      </c>
      <c r="L32" s="527">
        <f t="shared" si="40"/>
        <v>-604186.54855577648</v>
      </c>
      <c r="M32" s="527">
        <f t="shared" si="40"/>
        <v>-617256.66759827104</v>
      </c>
      <c r="N32" s="527">
        <f t="shared" si="40"/>
        <v>-630662.88507759548</v>
      </c>
      <c r="O32" s="529"/>
      <c r="P32" s="564">
        <f t="shared" si="41"/>
        <v>1.9830529311995804E-2</v>
      </c>
      <c r="Q32" s="537"/>
      <c r="R32" s="527">
        <f t="shared" ref="R32:AW32" si="44">R304</f>
        <v>-47640.464095875235</v>
      </c>
      <c r="S32" s="527">
        <f t="shared" si="44"/>
        <v>-47640.464095875235</v>
      </c>
      <c r="T32" s="527">
        <f t="shared" si="44"/>
        <v>-47640.464095875235</v>
      </c>
      <c r="U32" s="527">
        <f t="shared" si="44"/>
        <v>-47640.464095875235</v>
      </c>
      <c r="V32" s="527">
        <f t="shared" si="44"/>
        <v>-47640.464095875235</v>
      </c>
      <c r="W32" s="527">
        <f t="shared" si="44"/>
        <v>-47640.464095875235</v>
      </c>
      <c r="X32" s="527">
        <f t="shared" si="44"/>
        <v>-48867.796743184503</v>
      </c>
      <c r="Y32" s="527">
        <f t="shared" si="44"/>
        <v>-48867.796743184503</v>
      </c>
      <c r="Z32" s="527">
        <f t="shared" si="44"/>
        <v>-48867.796743184503</v>
      </c>
      <c r="AA32" s="527">
        <f t="shared" si="44"/>
        <v>-48867.796743184503</v>
      </c>
      <c r="AB32" s="527">
        <f t="shared" si="44"/>
        <v>-48867.796743184503</v>
      </c>
      <c r="AC32" s="527">
        <f t="shared" si="44"/>
        <v>-48867.796743184503</v>
      </c>
      <c r="AD32" s="527">
        <f t="shared" si="44"/>
        <v>-48556.435033367001</v>
      </c>
      <c r="AE32" s="527">
        <f t="shared" si="44"/>
        <v>-48556.435033367001</v>
      </c>
      <c r="AF32" s="527">
        <f t="shared" si="44"/>
        <v>-48556.435033367001</v>
      </c>
      <c r="AG32" s="527">
        <f t="shared" si="44"/>
        <v>-48556.435033367001</v>
      </c>
      <c r="AH32" s="527">
        <f t="shared" si="44"/>
        <v>-48556.435033367001</v>
      </c>
      <c r="AI32" s="527">
        <f t="shared" si="44"/>
        <v>-48556.435033367001</v>
      </c>
      <c r="AJ32" s="527">
        <f t="shared" si="44"/>
        <v>-50054.140164790413</v>
      </c>
      <c r="AK32" s="527">
        <f t="shared" si="44"/>
        <v>-50054.140164790413</v>
      </c>
      <c r="AL32" s="527">
        <f t="shared" si="44"/>
        <v>-50054.140164790413</v>
      </c>
      <c r="AM32" s="527">
        <f t="shared" si="44"/>
        <v>-50054.140164790413</v>
      </c>
      <c r="AN32" s="527">
        <f t="shared" si="44"/>
        <v>-50054.140164790413</v>
      </c>
      <c r="AO32" s="527">
        <f t="shared" si="44"/>
        <v>-50054.140164790413</v>
      </c>
      <c r="AP32" s="527">
        <f t="shared" si="44"/>
        <v>-49466.761340354424</v>
      </c>
      <c r="AQ32" s="527">
        <f t="shared" si="44"/>
        <v>-49466.761340354424</v>
      </c>
      <c r="AR32" s="527">
        <f t="shared" si="44"/>
        <v>-49466.761340354424</v>
      </c>
      <c r="AS32" s="527">
        <f t="shared" si="44"/>
        <v>-49466.761340354424</v>
      </c>
      <c r="AT32" s="527">
        <f t="shared" si="44"/>
        <v>-49466.761340354424</v>
      </c>
      <c r="AU32" s="527">
        <f t="shared" si="44"/>
        <v>-49466.761340354424</v>
      </c>
      <c r="AV32" s="527">
        <f t="shared" si="44"/>
        <v>-51230.996752274979</v>
      </c>
      <c r="AW32" s="527">
        <f t="shared" si="44"/>
        <v>-51230.996752274979</v>
      </c>
      <c r="AX32" s="527">
        <f t="shared" ref="AX32:BY32" si="45">AX304</f>
        <v>-51230.996752274979</v>
      </c>
      <c r="AY32" s="527">
        <f t="shared" si="45"/>
        <v>-51230.996752274979</v>
      </c>
      <c r="AZ32" s="527">
        <f t="shared" si="45"/>
        <v>-51230.996752274979</v>
      </c>
      <c r="BA32" s="527">
        <f t="shared" si="45"/>
        <v>-51230.996752274979</v>
      </c>
      <c r="BB32" s="527">
        <f t="shared" si="45"/>
        <v>-50423.748760304603</v>
      </c>
      <c r="BC32" s="527">
        <f t="shared" si="45"/>
        <v>-50423.748760304603</v>
      </c>
      <c r="BD32" s="527">
        <f t="shared" si="45"/>
        <v>-50423.748760304603</v>
      </c>
      <c r="BE32" s="527">
        <f t="shared" si="45"/>
        <v>-50423.748760304603</v>
      </c>
      <c r="BF32" s="527">
        <f t="shared" si="45"/>
        <v>-50423.748760304603</v>
      </c>
      <c r="BG32" s="527">
        <f t="shared" si="45"/>
        <v>-50423.748760304603</v>
      </c>
      <c r="BH32" s="527">
        <f t="shared" si="45"/>
        <v>-52452.3625060739</v>
      </c>
      <c r="BI32" s="527">
        <f t="shared" si="45"/>
        <v>-52452.3625060739</v>
      </c>
      <c r="BJ32" s="527">
        <f t="shared" si="45"/>
        <v>-52452.3625060739</v>
      </c>
      <c r="BK32" s="527">
        <f t="shared" si="45"/>
        <v>-52452.3625060739</v>
      </c>
      <c r="BL32" s="527">
        <f t="shared" si="45"/>
        <v>-52452.3625060739</v>
      </c>
      <c r="BM32" s="527">
        <f t="shared" si="45"/>
        <v>-52452.3625060739</v>
      </c>
      <c r="BN32" s="527">
        <f t="shared" si="45"/>
        <v>-51411.309171784669</v>
      </c>
      <c r="BO32" s="527">
        <f t="shared" si="45"/>
        <v>-51411.309171784669</v>
      </c>
      <c r="BP32" s="527">
        <f t="shared" si="45"/>
        <v>-51411.309171784669</v>
      </c>
      <c r="BQ32" s="527">
        <f t="shared" si="45"/>
        <v>-51411.309171784669</v>
      </c>
      <c r="BR32" s="527">
        <f t="shared" si="45"/>
        <v>-51411.309171784669</v>
      </c>
      <c r="BS32" s="527">
        <f t="shared" si="45"/>
        <v>-51411.309171784669</v>
      </c>
      <c r="BT32" s="527">
        <f t="shared" si="45"/>
        <v>-53699.171674481244</v>
      </c>
      <c r="BU32" s="527">
        <f t="shared" si="45"/>
        <v>-53699.171674481244</v>
      </c>
      <c r="BV32" s="527">
        <f t="shared" si="45"/>
        <v>-53699.171674481244</v>
      </c>
      <c r="BW32" s="527">
        <f t="shared" si="45"/>
        <v>-53699.171674481244</v>
      </c>
      <c r="BX32" s="527">
        <f t="shared" si="45"/>
        <v>-53699.171674481244</v>
      </c>
      <c r="BY32" s="527">
        <f t="shared" si="45"/>
        <v>-53699.171674481244</v>
      </c>
      <c r="BZ32" s="537"/>
      <c r="CA32" s="537"/>
      <c r="CB32" s="574"/>
    </row>
    <row r="33" spans="1:80" x14ac:dyDescent="0.3">
      <c r="A33" s="551"/>
      <c r="B33" s="548"/>
      <c r="C33" s="525"/>
      <c r="D33" s="525"/>
      <c r="E33" s="525" t="s">
        <v>393</v>
      </c>
      <c r="F33" s="567"/>
      <c r="G33" s="567"/>
      <c r="H33" s="567"/>
      <c r="I33" s="527">
        <f t="shared" si="39"/>
        <v>-78213.195088549503</v>
      </c>
      <c r="J33" s="527">
        <f t="shared" si="40"/>
        <v>-79220.674860255356</v>
      </c>
      <c r="K33" s="527">
        <f t="shared" si="40"/>
        <v>-80946.400314720435</v>
      </c>
      <c r="L33" s="527">
        <f t="shared" si="40"/>
        <v>-82659.704813416072</v>
      </c>
      <c r="M33" s="527">
        <f t="shared" si="40"/>
        <v>-84447.848201433051</v>
      </c>
      <c r="N33" s="527">
        <f t="shared" si="40"/>
        <v>-86281.973741225855</v>
      </c>
      <c r="O33" s="529"/>
      <c r="P33" s="564">
        <f t="shared" si="41"/>
        <v>1.9830529311995804E-2</v>
      </c>
      <c r="Q33" s="537"/>
      <c r="R33" s="527">
        <f t="shared" ref="R33:AW33" si="46">R312</f>
        <v>-6517.7662573791249</v>
      </c>
      <c r="S33" s="527">
        <f t="shared" si="46"/>
        <v>-6517.7662573791249</v>
      </c>
      <c r="T33" s="527">
        <f t="shared" si="46"/>
        <v>-6517.7662573791249</v>
      </c>
      <c r="U33" s="527">
        <f t="shared" si="46"/>
        <v>-6517.7662573791249</v>
      </c>
      <c r="V33" s="527">
        <f t="shared" si="46"/>
        <v>-6517.7662573791249</v>
      </c>
      <c r="W33" s="527">
        <f t="shared" si="46"/>
        <v>-6517.7662573791249</v>
      </c>
      <c r="X33" s="527">
        <f t="shared" si="46"/>
        <v>-6685.6795526634323</v>
      </c>
      <c r="Y33" s="527">
        <f t="shared" si="46"/>
        <v>-6685.6795526634323</v>
      </c>
      <c r="Z33" s="527">
        <f t="shared" si="46"/>
        <v>-6685.6795526634323</v>
      </c>
      <c r="AA33" s="527">
        <f t="shared" si="46"/>
        <v>-6685.6795526634323</v>
      </c>
      <c r="AB33" s="527">
        <f t="shared" si="46"/>
        <v>-6685.6795526634323</v>
      </c>
      <c r="AC33" s="527">
        <f t="shared" si="46"/>
        <v>-6685.6795526634323</v>
      </c>
      <c r="AD33" s="527">
        <f t="shared" si="46"/>
        <v>-6643.0816711229772</v>
      </c>
      <c r="AE33" s="527">
        <f t="shared" si="46"/>
        <v>-6643.0816711229772</v>
      </c>
      <c r="AF33" s="527">
        <f t="shared" si="46"/>
        <v>-6643.0816711229772</v>
      </c>
      <c r="AG33" s="527">
        <f t="shared" si="46"/>
        <v>-6643.0816711229772</v>
      </c>
      <c r="AH33" s="527">
        <f t="shared" si="46"/>
        <v>-6643.0816711229772</v>
      </c>
      <c r="AI33" s="527">
        <f t="shared" si="46"/>
        <v>-6643.0816711229772</v>
      </c>
      <c r="AJ33" s="527">
        <f t="shared" si="46"/>
        <v>-6847.9850479970964</v>
      </c>
      <c r="AK33" s="527">
        <f t="shared" si="46"/>
        <v>-6847.9850479970964</v>
      </c>
      <c r="AL33" s="527">
        <f t="shared" si="46"/>
        <v>-6847.9850479970964</v>
      </c>
      <c r="AM33" s="527">
        <f t="shared" si="46"/>
        <v>-6847.9850479970964</v>
      </c>
      <c r="AN33" s="527">
        <f t="shared" si="46"/>
        <v>-6847.9850479970964</v>
      </c>
      <c r="AO33" s="527">
        <f t="shared" si="46"/>
        <v>-6847.9850479970964</v>
      </c>
      <c r="AP33" s="527">
        <f t="shared" si="46"/>
        <v>-6767.6248341565406</v>
      </c>
      <c r="AQ33" s="527">
        <f t="shared" si="46"/>
        <v>-6767.6248341565406</v>
      </c>
      <c r="AR33" s="527">
        <f t="shared" si="46"/>
        <v>-6767.6248341565406</v>
      </c>
      <c r="AS33" s="527">
        <f t="shared" si="46"/>
        <v>-6767.6248341565406</v>
      </c>
      <c r="AT33" s="527">
        <f t="shared" si="46"/>
        <v>-6767.6248341565406</v>
      </c>
      <c r="AU33" s="527">
        <f t="shared" si="46"/>
        <v>-6767.6248341565406</v>
      </c>
      <c r="AV33" s="527">
        <f t="shared" si="46"/>
        <v>-7008.9926347461396</v>
      </c>
      <c r="AW33" s="527">
        <f t="shared" si="46"/>
        <v>-7008.9926347461396</v>
      </c>
      <c r="AX33" s="527">
        <f t="shared" ref="AX33:BY33" si="47">AX312</f>
        <v>-7008.9926347461396</v>
      </c>
      <c r="AY33" s="527">
        <f t="shared" si="47"/>
        <v>-7008.9926347461396</v>
      </c>
      <c r="AZ33" s="527">
        <f t="shared" si="47"/>
        <v>-7008.9926347461396</v>
      </c>
      <c r="BA33" s="527">
        <f t="shared" si="47"/>
        <v>-7008.9926347461396</v>
      </c>
      <c r="BB33" s="527">
        <f t="shared" si="47"/>
        <v>-6898.5517768902409</v>
      </c>
      <c r="BC33" s="527">
        <f t="shared" si="47"/>
        <v>-6898.5517768902409</v>
      </c>
      <c r="BD33" s="527">
        <f t="shared" si="47"/>
        <v>-6898.5517768902409</v>
      </c>
      <c r="BE33" s="527">
        <f t="shared" si="47"/>
        <v>-6898.5517768902409</v>
      </c>
      <c r="BF33" s="527">
        <f t="shared" si="47"/>
        <v>-6898.5517768902409</v>
      </c>
      <c r="BG33" s="527">
        <f t="shared" si="47"/>
        <v>-6898.5517768902409</v>
      </c>
      <c r="BH33" s="527">
        <f t="shared" si="47"/>
        <v>-7176.0895900152682</v>
      </c>
      <c r="BI33" s="527">
        <f t="shared" si="47"/>
        <v>-7176.0895900152682</v>
      </c>
      <c r="BJ33" s="527">
        <f t="shared" si="47"/>
        <v>-7176.0895900152682</v>
      </c>
      <c r="BK33" s="527">
        <f t="shared" si="47"/>
        <v>-7176.0895900152682</v>
      </c>
      <c r="BL33" s="527">
        <f t="shared" si="47"/>
        <v>-7176.0895900152682</v>
      </c>
      <c r="BM33" s="527">
        <f t="shared" si="47"/>
        <v>-7176.0895900152682</v>
      </c>
      <c r="BN33" s="527">
        <f t="shared" si="47"/>
        <v>-7033.6614583180817</v>
      </c>
      <c r="BO33" s="527">
        <f t="shared" si="47"/>
        <v>-7033.6614583180817</v>
      </c>
      <c r="BP33" s="527">
        <f t="shared" si="47"/>
        <v>-7033.6614583180817</v>
      </c>
      <c r="BQ33" s="527">
        <f t="shared" si="47"/>
        <v>-7033.6614583180817</v>
      </c>
      <c r="BR33" s="527">
        <f t="shared" si="47"/>
        <v>-7033.6614583180817</v>
      </c>
      <c r="BS33" s="527">
        <f t="shared" si="47"/>
        <v>-7033.6614583180817</v>
      </c>
      <c r="BT33" s="527">
        <f t="shared" si="47"/>
        <v>-7346.6674985528944</v>
      </c>
      <c r="BU33" s="527">
        <f t="shared" si="47"/>
        <v>-7346.6674985528944</v>
      </c>
      <c r="BV33" s="527">
        <f t="shared" si="47"/>
        <v>-7346.6674985528944</v>
      </c>
      <c r="BW33" s="527">
        <f t="shared" si="47"/>
        <v>-7346.6674985528944</v>
      </c>
      <c r="BX33" s="527">
        <f t="shared" si="47"/>
        <v>-7346.6674985528944</v>
      </c>
      <c r="BY33" s="527">
        <f t="shared" si="47"/>
        <v>-7346.6674985528944</v>
      </c>
      <c r="BZ33" s="537"/>
      <c r="CA33" s="537"/>
      <c r="CB33" s="574"/>
    </row>
    <row r="34" spans="1:80" x14ac:dyDescent="0.3">
      <c r="A34" s="551"/>
      <c r="B34" s="548"/>
      <c r="C34" s="525"/>
      <c r="D34" s="525"/>
      <c r="E34" s="572" t="s">
        <v>394</v>
      </c>
      <c r="F34" s="573"/>
      <c r="G34" s="573"/>
      <c r="H34" s="573"/>
      <c r="I34" s="532">
        <f t="shared" si="39"/>
        <v>428049.75999999995</v>
      </c>
      <c r="J34" s="532">
        <f t="shared" si="40"/>
        <v>475813.94966610061</v>
      </c>
      <c r="K34" s="530">
        <f t="shared" si="40"/>
        <v>486178.9742758607</v>
      </c>
      <c r="L34" s="532">
        <f t="shared" si="40"/>
        <v>496469.3963398374</v>
      </c>
      <c r="M34" s="532">
        <f t="shared" si="40"/>
        <v>507209.31454329245</v>
      </c>
      <c r="N34" s="532">
        <f t="shared" si="40"/>
        <v>518225.41001094313</v>
      </c>
      <c r="O34" s="536"/>
      <c r="P34" s="568">
        <f t="shared" si="41"/>
        <v>3.8974501377890824E-2</v>
      </c>
      <c r="Q34" s="537"/>
      <c r="R34" s="530">
        <f t="shared" ref="R34:AW34" si="48">SUM(R31:R33)</f>
        <v>39146.903398570765</v>
      </c>
      <c r="S34" s="532">
        <f t="shared" si="48"/>
        <v>39146.903398570765</v>
      </c>
      <c r="T34" s="530">
        <f t="shared" si="48"/>
        <v>39146.903398570765</v>
      </c>
      <c r="U34" s="532">
        <f t="shared" si="48"/>
        <v>39146.903398570765</v>
      </c>
      <c r="V34" s="532">
        <f t="shared" si="48"/>
        <v>39146.903398570765</v>
      </c>
      <c r="W34" s="532">
        <f t="shared" si="48"/>
        <v>39146.903398570765</v>
      </c>
      <c r="X34" s="532">
        <f t="shared" si="48"/>
        <v>40155.421545779325</v>
      </c>
      <c r="Y34" s="532">
        <f t="shared" si="48"/>
        <v>40155.421545779325</v>
      </c>
      <c r="Z34" s="532">
        <f t="shared" si="48"/>
        <v>40155.421545779325</v>
      </c>
      <c r="AA34" s="532">
        <f t="shared" si="48"/>
        <v>40155.421545779325</v>
      </c>
      <c r="AB34" s="532">
        <f t="shared" si="48"/>
        <v>40155.421545779325</v>
      </c>
      <c r="AC34" s="532">
        <f t="shared" si="48"/>
        <v>40155.421545779325</v>
      </c>
      <c r="AD34" s="532">
        <f t="shared" si="48"/>
        <v>39899.570831317142</v>
      </c>
      <c r="AE34" s="532">
        <f t="shared" si="48"/>
        <v>39899.570831317142</v>
      </c>
      <c r="AF34" s="532">
        <f t="shared" si="48"/>
        <v>39899.570831317142</v>
      </c>
      <c r="AG34" s="532">
        <f t="shared" si="48"/>
        <v>39899.570831317142</v>
      </c>
      <c r="AH34" s="532">
        <f t="shared" si="48"/>
        <v>39899.570831317142</v>
      </c>
      <c r="AI34" s="532">
        <f t="shared" si="48"/>
        <v>39899.570831317142</v>
      </c>
      <c r="AJ34" s="532">
        <f t="shared" si="48"/>
        <v>41130.258214659661</v>
      </c>
      <c r="AK34" s="532">
        <f t="shared" si="48"/>
        <v>41130.258214659661</v>
      </c>
      <c r="AL34" s="532">
        <f t="shared" si="48"/>
        <v>41130.258214659661</v>
      </c>
      <c r="AM34" s="532">
        <f t="shared" si="48"/>
        <v>41130.258214659661</v>
      </c>
      <c r="AN34" s="532">
        <f t="shared" si="48"/>
        <v>41130.258214659661</v>
      </c>
      <c r="AO34" s="532">
        <f t="shared" si="48"/>
        <v>41130.258214659661</v>
      </c>
      <c r="AP34" s="532">
        <f t="shared" si="48"/>
        <v>40647.599984204848</v>
      </c>
      <c r="AQ34" s="532">
        <f t="shared" si="48"/>
        <v>40647.599984204848</v>
      </c>
      <c r="AR34" s="532">
        <f t="shared" si="48"/>
        <v>40647.599984204848</v>
      </c>
      <c r="AS34" s="532">
        <f t="shared" si="48"/>
        <v>40647.599984204848</v>
      </c>
      <c r="AT34" s="532">
        <f t="shared" si="48"/>
        <v>40647.599984204848</v>
      </c>
      <c r="AU34" s="532">
        <f t="shared" si="48"/>
        <v>40647.599984204848</v>
      </c>
      <c r="AV34" s="532">
        <f t="shared" si="48"/>
        <v>42097.299405768026</v>
      </c>
      <c r="AW34" s="532">
        <f t="shared" si="48"/>
        <v>42097.299405768026</v>
      </c>
      <c r="AX34" s="532">
        <f t="shared" ref="AX34:BY34" si="49">SUM(AX31:AX33)</f>
        <v>42097.299405768026</v>
      </c>
      <c r="AY34" s="532">
        <f t="shared" si="49"/>
        <v>42097.299405768026</v>
      </c>
      <c r="AZ34" s="532">
        <f t="shared" si="49"/>
        <v>42097.299405768026</v>
      </c>
      <c r="BA34" s="532">
        <f t="shared" si="49"/>
        <v>42097.299405768026</v>
      </c>
      <c r="BB34" s="532">
        <f t="shared" si="49"/>
        <v>41433.971292575043</v>
      </c>
      <c r="BC34" s="532">
        <f t="shared" si="49"/>
        <v>41433.971292575043</v>
      </c>
      <c r="BD34" s="532">
        <f t="shared" si="49"/>
        <v>41433.971292575043</v>
      </c>
      <c r="BE34" s="532">
        <f t="shared" si="49"/>
        <v>41433.971292575043</v>
      </c>
      <c r="BF34" s="532">
        <f t="shared" si="49"/>
        <v>41433.971292575043</v>
      </c>
      <c r="BG34" s="532">
        <f t="shared" si="49"/>
        <v>41433.971292575043</v>
      </c>
      <c r="BH34" s="532">
        <f t="shared" si="49"/>
        <v>43100.914464640373</v>
      </c>
      <c r="BI34" s="532">
        <f t="shared" si="49"/>
        <v>43100.914464640373</v>
      </c>
      <c r="BJ34" s="532">
        <f t="shared" si="49"/>
        <v>43100.914464640373</v>
      </c>
      <c r="BK34" s="532">
        <f t="shared" si="49"/>
        <v>43100.914464640373</v>
      </c>
      <c r="BL34" s="532">
        <f t="shared" si="49"/>
        <v>43100.914464640373</v>
      </c>
      <c r="BM34" s="532">
        <f t="shared" si="49"/>
        <v>43100.914464640373</v>
      </c>
      <c r="BN34" s="532">
        <f t="shared" si="49"/>
        <v>42245.464899158309</v>
      </c>
      <c r="BO34" s="532">
        <f t="shared" si="49"/>
        <v>42245.464899158309</v>
      </c>
      <c r="BP34" s="532">
        <f t="shared" si="49"/>
        <v>42245.464899158309</v>
      </c>
      <c r="BQ34" s="532">
        <f t="shared" si="49"/>
        <v>42245.464899158309</v>
      </c>
      <c r="BR34" s="532">
        <f t="shared" si="49"/>
        <v>42245.464899158309</v>
      </c>
      <c r="BS34" s="532">
        <f t="shared" si="49"/>
        <v>42245.464899158309</v>
      </c>
      <c r="BT34" s="532">
        <f t="shared" si="49"/>
        <v>44125.436769332213</v>
      </c>
      <c r="BU34" s="532">
        <f t="shared" si="49"/>
        <v>44125.436769332213</v>
      </c>
      <c r="BV34" s="532">
        <f t="shared" si="49"/>
        <v>44125.436769332213</v>
      </c>
      <c r="BW34" s="532">
        <f t="shared" si="49"/>
        <v>44125.436769332213</v>
      </c>
      <c r="BX34" s="532">
        <f t="shared" si="49"/>
        <v>44125.436769332213</v>
      </c>
      <c r="BY34" s="532">
        <f t="shared" si="49"/>
        <v>44125.436769332213</v>
      </c>
      <c r="BZ34" s="537"/>
      <c r="CA34" s="537"/>
      <c r="CB34" s="574"/>
    </row>
    <row r="35" spans="1:80" x14ac:dyDescent="0.3">
      <c r="A35" s="551"/>
      <c r="B35" s="548"/>
      <c r="C35" s="525"/>
      <c r="D35" s="525"/>
      <c r="E35" s="525" t="s">
        <v>395</v>
      </c>
      <c r="F35" s="567"/>
      <c r="G35" s="567"/>
      <c r="H35" s="567"/>
      <c r="I35" s="527">
        <f t="shared" si="39"/>
        <v>-28283.793972514923</v>
      </c>
      <c r="J35" s="527">
        <f t="shared" si="40"/>
        <v>-28648.123166101028</v>
      </c>
      <c r="K35" s="527">
        <f t="shared" si="40"/>
        <v>-29272.187470748799</v>
      </c>
      <c r="L35" s="527">
        <f t="shared" si="40"/>
        <v>-29891.760055635878</v>
      </c>
      <c r="M35" s="527">
        <f t="shared" si="40"/>
        <v>-30538.396203446075</v>
      </c>
      <c r="N35" s="527">
        <f t="shared" si="40"/>
        <v>-31201.660615908637</v>
      </c>
      <c r="O35" s="529"/>
      <c r="P35" s="564">
        <f t="shared" si="41"/>
        <v>1.9830529311995804E-2</v>
      </c>
      <c r="Q35" s="537"/>
      <c r="R35" s="527">
        <f t="shared" ref="R35:AW35" si="50">R320</f>
        <v>-2356.9828310429102</v>
      </c>
      <c r="S35" s="527">
        <f t="shared" si="50"/>
        <v>-2356.9828310429102</v>
      </c>
      <c r="T35" s="527">
        <f t="shared" si="50"/>
        <v>-2356.9828310429102</v>
      </c>
      <c r="U35" s="527">
        <f t="shared" si="50"/>
        <v>-2356.9828310429102</v>
      </c>
      <c r="V35" s="527">
        <f t="shared" si="50"/>
        <v>-2356.9828310429102</v>
      </c>
      <c r="W35" s="527">
        <f t="shared" si="50"/>
        <v>-2356.9828310429102</v>
      </c>
      <c r="X35" s="527">
        <f t="shared" si="50"/>
        <v>-2417.7043633072617</v>
      </c>
      <c r="Y35" s="527">
        <f t="shared" si="50"/>
        <v>-2417.7043633072617</v>
      </c>
      <c r="Z35" s="527">
        <f t="shared" si="50"/>
        <v>-2417.7043633072617</v>
      </c>
      <c r="AA35" s="527">
        <f t="shared" si="50"/>
        <v>-2417.7043633072617</v>
      </c>
      <c r="AB35" s="527">
        <f t="shared" si="50"/>
        <v>-2417.7043633072617</v>
      </c>
      <c r="AC35" s="527">
        <f t="shared" si="50"/>
        <v>-2417.7043633072617</v>
      </c>
      <c r="AD35" s="527">
        <f t="shared" si="50"/>
        <v>-2402.2999330983721</v>
      </c>
      <c r="AE35" s="527">
        <f t="shared" si="50"/>
        <v>-2402.2999330983721</v>
      </c>
      <c r="AF35" s="527">
        <f t="shared" si="50"/>
        <v>-2402.2999330983721</v>
      </c>
      <c r="AG35" s="527">
        <f t="shared" si="50"/>
        <v>-2402.2999330983721</v>
      </c>
      <c r="AH35" s="527">
        <f t="shared" si="50"/>
        <v>-2402.2999330983721</v>
      </c>
      <c r="AI35" s="527">
        <f t="shared" si="50"/>
        <v>-2402.2999330983721</v>
      </c>
      <c r="AJ35" s="527">
        <f t="shared" si="50"/>
        <v>-2476.3979786930936</v>
      </c>
      <c r="AK35" s="527">
        <f t="shared" si="50"/>
        <v>-2476.3979786930936</v>
      </c>
      <c r="AL35" s="527">
        <f t="shared" si="50"/>
        <v>-2476.3979786930936</v>
      </c>
      <c r="AM35" s="527">
        <f t="shared" si="50"/>
        <v>-2476.3979786930936</v>
      </c>
      <c r="AN35" s="527">
        <f t="shared" si="50"/>
        <v>-2476.3979786930936</v>
      </c>
      <c r="AO35" s="527">
        <f t="shared" si="50"/>
        <v>-2476.3979786930936</v>
      </c>
      <c r="AP35" s="527">
        <f t="shared" si="50"/>
        <v>-2447.3377705110825</v>
      </c>
      <c r="AQ35" s="527">
        <f t="shared" si="50"/>
        <v>-2447.3377705110825</v>
      </c>
      <c r="AR35" s="527">
        <f t="shared" si="50"/>
        <v>-2447.3377705110825</v>
      </c>
      <c r="AS35" s="527">
        <f t="shared" si="50"/>
        <v>-2447.3377705110825</v>
      </c>
      <c r="AT35" s="527">
        <f t="shared" si="50"/>
        <v>-2447.3377705110825</v>
      </c>
      <c r="AU35" s="527">
        <f t="shared" si="50"/>
        <v>-2447.3377705110825</v>
      </c>
      <c r="AV35" s="527">
        <f t="shared" si="50"/>
        <v>-2534.6222387615644</v>
      </c>
      <c r="AW35" s="527">
        <f t="shared" si="50"/>
        <v>-2534.6222387615644</v>
      </c>
      <c r="AX35" s="527">
        <f t="shared" ref="AX35:BY35" si="51">AX320</f>
        <v>-2534.6222387615644</v>
      </c>
      <c r="AY35" s="527">
        <f t="shared" si="51"/>
        <v>-2534.6222387615644</v>
      </c>
      <c r="AZ35" s="527">
        <f t="shared" si="51"/>
        <v>-2534.6222387615644</v>
      </c>
      <c r="BA35" s="527">
        <f t="shared" si="51"/>
        <v>-2534.6222387615644</v>
      </c>
      <c r="BB35" s="527">
        <f t="shared" si="51"/>
        <v>-2494.6841379563548</v>
      </c>
      <c r="BC35" s="527">
        <f t="shared" si="51"/>
        <v>-2494.6841379563548</v>
      </c>
      <c r="BD35" s="527">
        <f t="shared" si="51"/>
        <v>-2494.6841379563548</v>
      </c>
      <c r="BE35" s="527">
        <f t="shared" si="51"/>
        <v>-2494.6841379563548</v>
      </c>
      <c r="BF35" s="527">
        <f t="shared" si="51"/>
        <v>-2494.6841379563548</v>
      </c>
      <c r="BG35" s="527">
        <f t="shared" si="51"/>
        <v>-2494.6841379563548</v>
      </c>
      <c r="BH35" s="527">
        <f t="shared" si="51"/>
        <v>-2595.0485626179907</v>
      </c>
      <c r="BI35" s="527">
        <f t="shared" si="51"/>
        <v>-2595.0485626179907</v>
      </c>
      <c r="BJ35" s="527">
        <f t="shared" si="51"/>
        <v>-2595.0485626179907</v>
      </c>
      <c r="BK35" s="527">
        <f t="shared" si="51"/>
        <v>-2595.0485626179907</v>
      </c>
      <c r="BL35" s="527">
        <f t="shared" si="51"/>
        <v>-2595.0485626179907</v>
      </c>
      <c r="BM35" s="527">
        <f t="shared" si="51"/>
        <v>-2595.0485626179907</v>
      </c>
      <c r="BN35" s="527">
        <f t="shared" si="51"/>
        <v>-2543.5430854634951</v>
      </c>
      <c r="BO35" s="527">
        <f t="shared" si="51"/>
        <v>-2543.5430854634951</v>
      </c>
      <c r="BP35" s="527">
        <f t="shared" si="51"/>
        <v>-2543.5430854634951</v>
      </c>
      <c r="BQ35" s="527">
        <f t="shared" si="51"/>
        <v>-2543.5430854634951</v>
      </c>
      <c r="BR35" s="527">
        <f t="shared" si="51"/>
        <v>-2543.5430854634951</v>
      </c>
      <c r="BS35" s="527">
        <f t="shared" si="51"/>
        <v>-2543.5430854634951</v>
      </c>
      <c r="BT35" s="527">
        <f t="shared" si="51"/>
        <v>-2656.7336838546125</v>
      </c>
      <c r="BU35" s="527">
        <f t="shared" si="51"/>
        <v>-2656.7336838546125</v>
      </c>
      <c r="BV35" s="527">
        <f t="shared" si="51"/>
        <v>-2656.7336838546125</v>
      </c>
      <c r="BW35" s="527">
        <f t="shared" si="51"/>
        <v>-2656.7336838546125</v>
      </c>
      <c r="BX35" s="527">
        <f t="shared" si="51"/>
        <v>-2656.7336838546125</v>
      </c>
      <c r="BY35" s="527">
        <f t="shared" si="51"/>
        <v>-2656.7336838546125</v>
      </c>
      <c r="BZ35" s="537"/>
      <c r="CA35" s="537"/>
      <c r="CB35" s="574"/>
    </row>
    <row r="36" spans="1:80" x14ac:dyDescent="0.3">
      <c r="A36" s="551"/>
      <c r="B36" s="548"/>
      <c r="C36" s="525"/>
      <c r="D36" s="525"/>
      <c r="E36" s="572" t="s">
        <v>396</v>
      </c>
      <c r="F36" s="573"/>
      <c r="G36" s="573"/>
      <c r="H36" s="573"/>
      <c r="I36" s="530">
        <f t="shared" si="39"/>
        <v>441479.04681033373</v>
      </c>
      <c r="J36" s="530">
        <f t="shared" si="40"/>
        <v>447165.8264999995</v>
      </c>
      <c r="K36" s="530">
        <f t="shared" si="40"/>
        <v>456906.78680511197</v>
      </c>
      <c r="L36" s="530">
        <f t="shared" si="40"/>
        <v>466577.63628420141</v>
      </c>
      <c r="M36" s="530">
        <f t="shared" si="40"/>
        <v>476670.91833984648</v>
      </c>
      <c r="N36" s="530">
        <f t="shared" si="40"/>
        <v>487023.74939503439</v>
      </c>
      <c r="O36" s="536"/>
      <c r="P36" s="568">
        <f t="shared" si="41"/>
        <v>1.9830529311996026E-2</v>
      </c>
      <c r="Q36" s="537"/>
      <c r="R36" s="530">
        <f t="shared" ref="R36:AW36" si="52">SUM(R34:R35)</f>
        <v>36789.920567527857</v>
      </c>
      <c r="S36" s="530">
        <f t="shared" si="52"/>
        <v>36789.920567527857</v>
      </c>
      <c r="T36" s="530">
        <f t="shared" si="52"/>
        <v>36789.920567527857</v>
      </c>
      <c r="U36" s="530">
        <f t="shared" si="52"/>
        <v>36789.920567527857</v>
      </c>
      <c r="V36" s="530">
        <f t="shared" si="52"/>
        <v>36789.920567527857</v>
      </c>
      <c r="W36" s="530">
        <f t="shared" si="52"/>
        <v>36789.920567527857</v>
      </c>
      <c r="X36" s="530">
        <f t="shared" si="52"/>
        <v>37737.717182472064</v>
      </c>
      <c r="Y36" s="530">
        <f t="shared" si="52"/>
        <v>37737.717182472064</v>
      </c>
      <c r="Z36" s="530">
        <f t="shared" si="52"/>
        <v>37737.717182472064</v>
      </c>
      <c r="AA36" s="530">
        <f t="shared" si="52"/>
        <v>37737.717182472064</v>
      </c>
      <c r="AB36" s="530">
        <f t="shared" si="52"/>
        <v>37737.717182472064</v>
      </c>
      <c r="AC36" s="530">
        <f t="shared" si="52"/>
        <v>37737.717182472064</v>
      </c>
      <c r="AD36" s="530">
        <f t="shared" si="52"/>
        <v>37497.270898218769</v>
      </c>
      <c r="AE36" s="530">
        <f t="shared" si="52"/>
        <v>37497.270898218769</v>
      </c>
      <c r="AF36" s="530">
        <f t="shared" si="52"/>
        <v>37497.270898218769</v>
      </c>
      <c r="AG36" s="530">
        <f t="shared" si="52"/>
        <v>37497.270898218769</v>
      </c>
      <c r="AH36" s="530">
        <f t="shared" si="52"/>
        <v>37497.270898218769</v>
      </c>
      <c r="AI36" s="530">
        <f t="shared" si="52"/>
        <v>37497.270898218769</v>
      </c>
      <c r="AJ36" s="530">
        <f t="shared" si="52"/>
        <v>38653.860235966567</v>
      </c>
      <c r="AK36" s="530">
        <f t="shared" si="52"/>
        <v>38653.860235966567</v>
      </c>
      <c r="AL36" s="530">
        <f t="shared" si="52"/>
        <v>38653.860235966567</v>
      </c>
      <c r="AM36" s="530">
        <f t="shared" si="52"/>
        <v>38653.860235966567</v>
      </c>
      <c r="AN36" s="530">
        <f t="shared" si="52"/>
        <v>38653.860235966567</v>
      </c>
      <c r="AO36" s="530">
        <f t="shared" si="52"/>
        <v>38653.860235966567</v>
      </c>
      <c r="AP36" s="530">
        <f t="shared" si="52"/>
        <v>38200.262213693764</v>
      </c>
      <c r="AQ36" s="530">
        <f t="shared" si="52"/>
        <v>38200.262213693764</v>
      </c>
      <c r="AR36" s="530">
        <f t="shared" si="52"/>
        <v>38200.262213693764</v>
      </c>
      <c r="AS36" s="530">
        <f t="shared" si="52"/>
        <v>38200.262213693764</v>
      </c>
      <c r="AT36" s="530">
        <f t="shared" si="52"/>
        <v>38200.262213693764</v>
      </c>
      <c r="AU36" s="530">
        <f t="shared" si="52"/>
        <v>38200.262213693764</v>
      </c>
      <c r="AV36" s="530">
        <f t="shared" si="52"/>
        <v>39562.677167006463</v>
      </c>
      <c r="AW36" s="530">
        <f t="shared" si="52"/>
        <v>39562.677167006463</v>
      </c>
      <c r="AX36" s="530">
        <f t="shared" ref="AX36:BY36" si="53">SUM(AX34:AX35)</f>
        <v>39562.677167006463</v>
      </c>
      <c r="AY36" s="530">
        <f t="shared" si="53"/>
        <v>39562.677167006463</v>
      </c>
      <c r="AZ36" s="530">
        <f t="shared" si="53"/>
        <v>39562.677167006463</v>
      </c>
      <c r="BA36" s="530">
        <f t="shared" si="53"/>
        <v>39562.677167006463</v>
      </c>
      <c r="BB36" s="530">
        <f t="shared" si="53"/>
        <v>38939.287154618687</v>
      </c>
      <c r="BC36" s="530">
        <f t="shared" si="53"/>
        <v>38939.287154618687</v>
      </c>
      <c r="BD36" s="530">
        <f t="shared" si="53"/>
        <v>38939.287154618687</v>
      </c>
      <c r="BE36" s="530">
        <f t="shared" si="53"/>
        <v>38939.287154618687</v>
      </c>
      <c r="BF36" s="530">
        <f t="shared" si="53"/>
        <v>38939.287154618687</v>
      </c>
      <c r="BG36" s="530">
        <f t="shared" si="53"/>
        <v>38939.287154618687</v>
      </c>
      <c r="BH36" s="530">
        <f t="shared" si="53"/>
        <v>40505.865902022386</v>
      </c>
      <c r="BI36" s="530">
        <f t="shared" si="53"/>
        <v>40505.865902022386</v>
      </c>
      <c r="BJ36" s="530">
        <f t="shared" si="53"/>
        <v>40505.865902022386</v>
      </c>
      <c r="BK36" s="530">
        <f t="shared" si="53"/>
        <v>40505.865902022386</v>
      </c>
      <c r="BL36" s="530">
        <f t="shared" si="53"/>
        <v>40505.865902022386</v>
      </c>
      <c r="BM36" s="530">
        <f t="shared" si="53"/>
        <v>40505.865902022386</v>
      </c>
      <c r="BN36" s="530">
        <f t="shared" si="53"/>
        <v>39701.921813694811</v>
      </c>
      <c r="BO36" s="530">
        <f t="shared" si="53"/>
        <v>39701.921813694811</v>
      </c>
      <c r="BP36" s="530">
        <f t="shared" si="53"/>
        <v>39701.921813694811</v>
      </c>
      <c r="BQ36" s="530">
        <f t="shared" si="53"/>
        <v>39701.921813694811</v>
      </c>
      <c r="BR36" s="530">
        <f t="shared" si="53"/>
        <v>39701.921813694811</v>
      </c>
      <c r="BS36" s="530">
        <f t="shared" si="53"/>
        <v>39701.921813694811</v>
      </c>
      <c r="BT36" s="530">
        <f t="shared" si="53"/>
        <v>41468.703085477602</v>
      </c>
      <c r="BU36" s="530">
        <f t="shared" si="53"/>
        <v>41468.703085477602</v>
      </c>
      <c r="BV36" s="530">
        <f t="shared" si="53"/>
        <v>41468.703085477602</v>
      </c>
      <c r="BW36" s="530">
        <f t="shared" si="53"/>
        <v>41468.703085477602</v>
      </c>
      <c r="BX36" s="530">
        <f t="shared" si="53"/>
        <v>41468.703085477602</v>
      </c>
      <c r="BY36" s="530">
        <f t="shared" si="53"/>
        <v>41468.703085477602</v>
      </c>
      <c r="BZ36" s="537"/>
      <c r="CA36" s="537"/>
      <c r="CB36" s="574"/>
    </row>
    <row r="37" spans="1:80" x14ac:dyDescent="0.3">
      <c r="A37" s="551"/>
      <c r="B37" s="548"/>
      <c r="C37" s="525"/>
      <c r="D37" s="525"/>
      <c r="E37" s="525" t="s">
        <v>176</v>
      </c>
      <c r="F37" s="575"/>
      <c r="G37" s="575"/>
      <c r="H37" s="575"/>
      <c r="I37" s="531">
        <f t="shared" ref="I37:N37" si="54">IFERROR(I36/I31,0)</f>
        <v>0.39429685257600494</v>
      </c>
      <c r="J37" s="531">
        <f t="shared" si="54"/>
        <v>0.39429685257600544</v>
      </c>
      <c r="K37" s="531">
        <f t="shared" si="54"/>
        <v>0.39429685257600527</v>
      </c>
      <c r="L37" s="531">
        <f t="shared" si="54"/>
        <v>0.3942968525760055</v>
      </c>
      <c r="M37" s="531">
        <f t="shared" si="54"/>
        <v>0.39429685257600533</v>
      </c>
      <c r="N37" s="531">
        <f t="shared" si="54"/>
        <v>0.39429685257600527</v>
      </c>
      <c r="O37" s="546"/>
      <c r="P37" s="564">
        <f t="shared" si="41"/>
        <v>2.2204460492503131E-16</v>
      </c>
      <c r="Q37" s="537"/>
      <c r="R37" s="531">
        <f t="shared" ref="R37:AW37" si="55">IFERROR(R36/R31,0)</f>
        <v>0.39429685257600539</v>
      </c>
      <c r="S37" s="531">
        <f t="shared" si="55"/>
        <v>0.39429685257600539</v>
      </c>
      <c r="T37" s="531">
        <f t="shared" si="55"/>
        <v>0.39429685257600539</v>
      </c>
      <c r="U37" s="531">
        <f t="shared" si="55"/>
        <v>0.39429685257600539</v>
      </c>
      <c r="V37" s="531">
        <f t="shared" si="55"/>
        <v>0.39429685257600539</v>
      </c>
      <c r="W37" s="531">
        <f t="shared" si="55"/>
        <v>0.39429685257600539</v>
      </c>
      <c r="X37" s="531">
        <f t="shared" si="55"/>
        <v>0.39429685257600539</v>
      </c>
      <c r="Y37" s="531">
        <f t="shared" si="55"/>
        <v>0.39429685257600539</v>
      </c>
      <c r="Z37" s="531">
        <f t="shared" si="55"/>
        <v>0.39429685257600539</v>
      </c>
      <c r="AA37" s="531">
        <f t="shared" si="55"/>
        <v>0.39429685257600539</v>
      </c>
      <c r="AB37" s="531">
        <f t="shared" si="55"/>
        <v>0.39429685257600539</v>
      </c>
      <c r="AC37" s="531">
        <f t="shared" si="55"/>
        <v>0.39429685257600539</v>
      </c>
      <c r="AD37" s="531">
        <f t="shared" si="55"/>
        <v>0.39429685257600533</v>
      </c>
      <c r="AE37" s="531">
        <f t="shared" si="55"/>
        <v>0.39429685257600533</v>
      </c>
      <c r="AF37" s="531">
        <f t="shared" si="55"/>
        <v>0.39429685257600533</v>
      </c>
      <c r="AG37" s="531">
        <f t="shared" si="55"/>
        <v>0.39429685257600533</v>
      </c>
      <c r="AH37" s="531">
        <f t="shared" si="55"/>
        <v>0.39429685257600533</v>
      </c>
      <c r="AI37" s="531">
        <f t="shared" si="55"/>
        <v>0.39429685257600533</v>
      </c>
      <c r="AJ37" s="531">
        <f t="shared" si="55"/>
        <v>0.39429685257600533</v>
      </c>
      <c r="AK37" s="531">
        <f t="shared" si="55"/>
        <v>0.39429685257600533</v>
      </c>
      <c r="AL37" s="531">
        <f t="shared" si="55"/>
        <v>0.39429685257600533</v>
      </c>
      <c r="AM37" s="531">
        <f t="shared" si="55"/>
        <v>0.39429685257600533</v>
      </c>
      <c r="AN37" s="531">
        <f t="shared" si="55"/>
        <v>0.39429685257600533</v>
      </c>
      <c r="AO37" s="531">
        <f t="shared" si="55"/>
        <v>0.39429685257600533</v>
      </c>
      <c r="AP37" s="531">
        <f t="shared" si="55"/>
        <v>0.39429685257600544</v>
      </c>
      <c r="AQ37" s="531">
        <f t="shared" si="55"/>
        <v>0.39429685257600544</v>
      </c>
      <c r="AR37" s="531">
        <f t="shared" si="55"/>
        <v>0.39429685257600544</v>
      </c>
      <c r="AS37" s="531">
        <f t="shared" si="55"/>
        <v>0.39429685257600544</v>
      </c>
      <c r="AT37" s="531">
        <f t="shared" si="55"/>
        <v>0.39429685257600544</v>
      </c>
      <c r="AU37" s="531">
        <f t="shared" si="55"/>
        <v>0.39429685257600544</v>
      </c>
      <c r="AV37" s="531">
        <f t="shared" si="55"/>
        <v>0.39429685257600544</v>
      </c>
      <c r="AW37" s="531">
        <f t="shared" si="55"/>
        <v>0.39429685257600544</v>
      </c>
      <c r="AX37" s="531">
        <f t="shared" ref="AX37:BY37" si="56">IFERROR(AX36/AX31,0)</f>
        <v>0.39429685257600544</v>
      </c>
      <c r="AY37" s="531">
        <f t="shared" si="56"/>
        <v>0.39429685257600544</v>
      </c>
      <c r="AZ37" s="531">
        <f t="shared" si="56"/>
        <v>0.39429685257600544</v>
      </c>
      <c r="BA37" s="531">
        <f t="shared" si="56"/>
        <v>0.39429685257600544</v>
      </c>
      <c r="BB37" s="531">
        <f t="shared" si="56"/>
        <v>0.39429685257600533</v>
      </c>
      <c r="BC37" s="531">
        <f t="shared" si="56"/>
        <v>0.39429685257600533</v>
      </c>
      <c r="BD37" s="531">
        <f t="shared" si="56"/>
        <v>0.39429685257600533</v>
      </c>
      <c r="BE37" s="531">
        <f t="shared" si="56"/>
        <v>0.39429685257600533</v>
      </c>
      <c r="BF37" s="531">
        <f t="shared" si="56"/>
        <v>0.39429685257600533</v>
      </c>
      <c r="BG37" s="531">
        <f t="shared" si="56"/>
        <v>0.39429685257600533</v>
      </c>
      <c r="BH37" s="531">
        <f t="shared" si="56"/>
        <v>0.39429685257600533</v>
      </c>
      <c r="BI37" s="531">
        <f t="shared" si="56"/>
        <v>0.39429685257600533</v>
      </c>
      <c r="BJ37" s="531">
        <f t="shared" si="56"/>
        <v>0.39429685257600533</v>
      </c>
      <c r="BK37" s="531">
        <f t="shared" si="56"/>
        <v>0.39429685257600533</v>
      </c>
      <c r="BL37" s="531">
        <f t="shared" si="56"/>
        <v>0.39429685257600533</v>
      </c>
      <c r="BM37" s="531">
        <f t="shared" si="56"/>
        <v>0.39429685257600533</v>
      </c>
      <c r="BN37" s="531">
        <f t="shared" si="56"/>
        <v>0.39429685257600527</v>
      </c>
      <c r="BO37" s="531">
        <f t="shared" si="56"/>
        <v>0.39429685257600527</v>
      </c>
      <c r="BP37" s="531">
        <f t="shared" si="56"/>
        <v>0.39429685257600527</v>
      </c>
      <c r="BQ37" s="531">
        <f t="shared" si="56"/>
        <v>0.39429685257600527</v>
      </c>
      <c r="BR37" s="531">
        <f t="shared" si="56"/>
        <v>0.39429685257600527</v>
      </c>
      <c r="BS37" s="531">
        <f t="shared" si="56"/>
        <v>0.39429685257600527</v>
      </c>
      <c r="BT37" s="531">
        <f t="shared" si="56"/>
        <v>0.39429685257600533</v>
      </c>
      <c r="BU37" s="531">
        <f t="shared" si="56"/>
        <v>0.39429685257600533</v>
      </c>
      <c r="BV37" s="531">
        <f t="shared" si="56"/>
        <v>0.39429685257600533</v>
      </c>
      <c r="BW37" s="531">
        <f t="shared" si="56"/>
        <v>0.39429685257600533</v>
      </c>
      <c r="BX37" s="531">
        <f t="shared" si="56"/>
        <v>0.39429685257600533</v>
      </c>
      <c r="BY37" s="531">
        <f t="shared" si="56"/>
        <v>0.39429685257600533</v>
      </c>
      <c r="BZ37" s="537"/>
      <c r="CA37" s="537"/>
      <c r="CB37" s="537"/>
    </row>
    <row r="38" spans="1:80" x14ac:dyDescent="0.3">
      <c r="A38" s="551"/>
      <c r="B38" s="548"/>
      <c r="C38" s="525"/>
      <c r="D38" s="525"/>
      <c r="E38" s="525"/>
      <c r="F38" s="576"/>
      <c r="G38" s="576"/>
      <c r="H38" s="576"/>
      <c r="I38" s="533"/>
      <c r="J38" s="533"/>
      <c r="K38" s="533"/>
      <c r="L38" s="533"/>
      <c r="M38" s="533"/>
      <c r="N38" s="533"/>
      <c r="O38" s="533"/>
      <c r="P38" s="577"/>
      <c r="Q38" s="537"/>
      <c r="R38" s="533"/>
      <c r="S38" s="533"/>
      <c r="T38" s="533"/>
      <c r="U38" s="533"/>
      <c r="V38" s="533"/>
      <c r="W38" s="533"/>
      <c r="X38" s="533"/>
      <c r="Y38" s="533"/>
      <c r="Z38" s="533"/>
      <c r="AA38" s="533"/>
      <c r="AB38" s="533"/>
      <c r="AC38" s="533"/>
      <c r="AD38" s="533"/>
      <c r="AE38" s="533"/>
      <c r="AF38" s="533"/>
      <c r="AG38" s="533"/>
      <c r="AH38" s="533"/>
      <c r="AI38" s="533"/>
      <c r="AJ38" s="533"/>
      <c r="AK38" s="533"/>
      <c r="AL38" s="533"/>
      <c r="AM38" s="533"/>
      <c r="AN38" s="533"/>
      <c r="AO38" s="533"/>
      <c r="AP38" s="533"/>
      <c r="AQ38" s="533"/>
      <c r="AR38" s="533"/>
      <c r="AS38" s="533"/>
      <c r="AT38" s="533"/>
      <c r="AU38" s="533"/>
      <c r="AV38" s="533"/>
      <c r="AW38" s="533"/>
      <c r="AX38" s="533"/>
      <c r="AY38" s="533"/>
      <c r="AZ38" s="533"/>
      <c r="BA38" s="533"/>
      <c r="BB38" s="533"/>
      <c r="BC38" s="533"/>
      <c r="BD38" s="533"/>
      <c r="BE38" s="533"/>
      <c r="BF38" s="533"/>
      <c r="BG38" s="533"/>
      <c r="BH38" s="533"/>
      <c r="BI38" s="533"/>
      <c r="BJ38" s="533"/>
      <c r="BK38" s="533"/>
      <c r="BL38" s="533"/>
      <c r="BM38" s="533"/>
      <c r="BN38" s="533"/>
      <c r="BO38" s="533"/>
      <c r="BP38" s="533"/>
      <c r="BQ38" s="533"/>
      <c r="BR38" s="533"/>
      <c r="BS38" s="533"/>
      <c r="BT38" s="533"/>
      <c r="BU38" s="533"/>
      <c r="BV38" s="533"/>
      <c r="BW38" s="533"/>
      <c r="BX38" s="533"/>
      <c r="BY38" s="533"/>
      <c r="BZ38" s="537"/>
      <c r="CA38" s="537"/>
      <c r="CB38" s="537"/>
    </row>
    <row r="39" spans="1:80" x14ac:dyDescent="0.3">
      <c r="A39" s="551"/>
      <c r="B39" s="548"/>
      <c r="C39" s="525"/>
      <c r="D39" s="525"/>
      <c r="E39" s="578" t="s">
        <v>24</v>
      </c>
      <c r="F39" s="579"/>
      <c r="G39" s="579"/>
      <c r="H39" s="579"/>
      <c r="I39" s="535">
        <f>I529</f>
        <v>5897046.331626201</v>
      </c>
      <c r="J39" s="535">
        <f>SUMIF($R$2:$BY$2,J$3,$R39:$BY39)</f>
        <v>6291272.9849013491</v>
      </c>
      <c r="K39" s="534">
        <f>SUMIF($R$2:$BY$2,K$3,$R39:$BY39)</f>
        <v>6755997.4632898252</v>
      </c>
      <c r="L39" s="534">
        <f>SUMIF($R$2:$BY$2,L$3,$R39:$BY39)</f>
        <v>7232975.0265356302</v>
      </c>
      <c r="M39" s="534">
        <f>SUMIF($R$2:$BY$2,M$3,$R39:$BY39)</f>
        <v>7727320.266809511</v>
      </c>
      <c r="N39" s="535">
        <f>SUMIF($R$2:$BY$2,N$3,$R39:$BY39)</f>
        <v>8253200.588883901</v>
      </c>
      <c r="O39" s="536"/>
      <c r="P39" s="568">
        <f>IFERROR(((N39/I39)^(1/5))-1,0)</f>
        <v>6.954133136494689E-2</v>
      </c>
      <c r="Q39" s="537"/>
      <c r="R39" s="534">
        <f t="shared" ref="R39:AW39" si="57">R27+R36</f>
        <v>517605.37068490579</v>
      </c>
      <c r="S39" s="534">
        <f t="shared" si="57"/>
        <v>517605.37068490579</v>
      </c>
      <c r="T39" s="534">
        <f t="shared" si="57"/>
        <v>517605.37068490579</v>
      </c>
      <c r="U39" s="534">
        <f t="shared" si="57"/>
        <v>517605.37068490579</v>
      </c>
      <c r="V39" s="534">
        <f t="shared" si="57"/>
        <v>517605.37068490579</v>
      </c>
      <c r="W39" s="534">
        <f t="shared" si="57"/>
        <v>517605.37068490579</v>
      </c>
      <c r="X39" s="534">
        <f t="shared" si="57"/>
        <v>530940.12679865246</v>
      </c>
      <c r="Y39" s="534">
        <f t="shared" si="57"/>
        <v>530940.12679865246</v>
      </c>
      <c r="Z39" s="534">
        <f t="shared" si="57"/>
        <v>530940.12679865246</v>
      </c>
      <c r="AA39" s="534">
        <f t="shared" si="57"/>
        <v>530940.12679865246</v>
      </c>
      <c r="AB39" s="534">
        <f t="shared" si="57"/>
        <v>530940.12679865246</v>
      </c>
      <c r="AC39" s="534">
        <f t="shared" si="57"/>
        <v>530940.12679865246</v>
      </c>
      <c r="AD39" s="534">
        <f t="shared" si="57"/>
        <v>554448.90376888367</v>
      </c>
      <c r="AE39" s="534">
        <f t="shared" si="57"/>
        <v>554448.90376888367</v>
      </c>
      <c r="AF39" s="534">
        <f t="shared" si="57"/>
        <v>554448.90376888367</v>
      </c>
      <c r="AG39" s="534">
        <f t="shared" si="57"/>
        <v>554448.90376888367</v>
      </c>
      <c r="AH39" s="534">
        <f t="shared" si="57"/>
        <v>554448.90376888367</v>
      </c>
      <c r="AI39" s="534">
        <f t="shared" si="57"/>
        <v>554448.90376888367</v>
      </c>
      <c r="AJ39" s="534">
        <f t="shared" si="57"/>
        <v>571550.67344608717</v>
      </c>
      <c r="AK39" s="534">
        <f t="shared" si="57"/>
        <v>571550.67344608717</v>
      </c>
      <c r="AL39" s="534">
        <f t="shared" si="57"/>
        <v>571550.67344608717</v>
      </c>
      <c r="AM39" s="534">
        <f t="shared" si="57"/>
        <v>571550.67344608717</v>
      </c>
      <c r="AN39" s="534">
        <f t="shared" si="57"/>
        <v>571550.67344608717</v>
      </c>
      <c r="AO39" s="534">
        <f t="shared" si="57"/>
        <v>571550.67344608717</v>
      </c>
      <c r="AP39" s="534">
        <f t="shared" si="57"/>
        <v>592187.71135112678</v>
      </c>
      <c r="AQ39" s="534">
        <f t="shared" si="57"/>
        <v>592187.71135112678</v>
      </c>
      <c r="AR39" s="534">
        <f t="shared" si="57"/>
        <v>592187.71135112678</v>
      </c>
      <c r="AS39" s="534">
        <f t="shared" si="57"/>
        <v>592187.71135112678</v>
      </c>
      <c r="AT39" s="534">
        <f t="shared" si="57"/>
        <v>592187.71135112678</v>
      </c>
      <c r="AU39" s="534">
        <f t="shared" si="57"/>
        <v>592187.71135112678</v>
      </c>
      <c r="AV39" s="534">
        <f t="shared" si="57"/>
        <v>613308.12640481128</v>
      </c>
      <c r="AW39" s="534">
        <f t="shared" si="57"/>
        <v>613308.12640481128</v>
      </c>
      <c r="AX39" s="534">
        <f t="shared" ref="AX39:BY39" si="58">AX27+AX36</f>
        <v>613308.12640481128</v>
      </c>
      <c r="AY39" s="534">
        <f t="shared" si="58"/>
        <v>613308.12640481128</v>
      </c>
      <c r="AZ39" s="534">
        <f t="shared" si="58"/>
        <v>613308.12640481128</v>
      </c>
      <c r="BA39" s="534">
        <f t="shared" si="58"/>
        <v>613308.12640481128</v>
      </c>
      <c r="BB39" s="534">
        <f t="shared" si="58"/>
        <v>631245.43836860126</v>
      </c>
      <c r="BC39" s="534">
        <f t="shared" si="58"/>
        <v>631245.43836860126</v>
      </c>
      <c r="BD39" s="534">
        <f t="shared" si="58"/>
        <v>631245.43836860126</v>
      </c>
      <c r="BE39" s="534">
        <f t="shared" si="58"/>
        <v>631245.43836860126</v>
      </c>
      <c r="BF39" s="534">
        <f t="shared" si="58"/>
        <v>631245.43836860126</v>
      </c>
      <c r="BG39" s="534">
        <f t="shared" si="58"/>
        <v>631245.43836860126</v>
      </c>
      <c r="BH39" s="534">
        <f t="shared" si="58"/>
        <v>656641.27276631689</v>
      </c>
      <c r="BI39" s="534">
        <f t="shared" si="58"/>
        <v>656641.27276631689</v>
      </c>
      <c r="BJ39" s="534">
        <f t="shared" si="58"/>
        <v>656641.27276631689</v>
      </c>
      <c r="BK39" s="534">
        <f t="shared" si="58"/>
        <v>656641.27276631689</v>
      </c>
      <c r="BL39" s="534">
        <f t="shared" si="58"/>
        <v>656641.27276631689</v>
      </c>
      <c r="BM39" s="534">
        <f t="shared" si="58"/>
        <v>656641.27276631689</v>
      </c>
      <c r="BN39" s="534">
        <f t="shared" si="58"/>
        <v>672796.60365562746</v>
      </c>
      <c r="BO39" s="534">
        <f t="shared" si="58"/>
        <v>672796.60365562746</v>
      </c>
      <c r="BP39" s="534">
        <f t="shared" si="58"/>
        <v>672796.60365562746</v>
      </c>
      <c r="BQ39" s="534">
        <f t="shared" si="58"/>
        <v>672796.60365562746</v>
      </c>
      <c r="BR39" s="534">
        <f t="shared" si="58"/>
        <v>672796.60365562746</v>
      </c>
      <c r="BS39" s="534">
        <f t="shared" si="58"/>
        <v>672796.60365562746</v>
      </c>
      <c r="BT39" s="534">
        <f t="shared" si="58"/>
        <v>702736.8278250224</v>
      </c>
      <c r="BU39" s="534">
        <f t="shared" si="58"/>
        <v>702736.8278250224</v>
      </c>
      <c r="BV39" s="534">
        <f t="shared" si="58"/>
        <v>702736.8278250224</v>
      </c>
      <c r="BW39" s="534">
        <f t="shared" si="58"/>
        <v>702736.8278250224</v>
      </c>
      <c r="BX39" s="534">
        <f t="shared" si="58"/>
        <v>702736.8278250224</v>
      </c>
      <c r="BY39" s="534">
        <f t="shared" si="58"/>
        <v>702736.8278250224</v>
      </c>
      <c r="BZ39" s="537"/>
      <c r="CA39" s="537"/>
      <c r="CB39" s="574"/>
    </row>
    <row r="40" spans="1:80" x14ac:dyDescent="0.3">
      <c r="A40" s="551"/>
      <c r="B40" s="548"/>
      <c r="C40" s="525"/>
      <c r="D40" s="525"/>
      <c r="E40" s="525" t="s">
        <v>177</v>
      </c>
      <c r="F40" s="529"/>
      <c r="G40" s="529"/>
      <c r="H40" s="529"/>
      <c r="I40" s="531">
        <f t="shared" ref="I40:N40" si="59">IFERROR(I39/(I22+I31),0)</f>
        <v>0.43884119057877113</v>
      </c>
      <c r="J40" s="531">
        <f t="shared" si="59"/>
        <v>0.44684810329509334</v>
      </c>
      <c r="K40" s="531">
        <f t="shared" si="59"/>
        <v>0.45436683713023046</v>
      </c>
      <c r="L40" s="531">
        <f t="shared" si="59"/>
        <v>0.4613500785991082</v>
      </c>
      <c r="M40" s="531">
        <f t="shared" si="59"/>
        <v>0.4677772544317047</v>
      </c>
      <c r="N40" s="531">
        <f t="shared" si="59"/>
        <v>0.4740820872860555</v>
      </c>
      <c r="O40" s="546"/>
      <c r="P40" s="564">
        <f>IFERROR(((N40/I40)^(1/5))-1,0)</f>
        <v>1.556852449026791E-2</v>
      </c>
      <c r="Q40" s="537"/>
      <c r="R40" s="531">
        <f t="shared" ref="R40:AW40" si="60">IFERROR(R39/(R22+R31),0)</f>
        <v>0.44684810329509345</v>
      </c>
      <c r="S40" s="531">
        <f t="shared" si="60"/>
        <v>0.44684810329509345</v>
      </c>
      <c r="T40" s="531">
        <f t="shared" si="60"/>
        <v>0.44684810329509345</v>
      </c>
      <c r="U40" s="531">
        <f t="shared" si="60"/>
        <v>0.44684810329509345</v>
      </c>
      <c r="V40" s="531">
        <f t="shared" si="60"/>
        <v>0.44684810329509345</v>
      </c>
      <c r="W40" s="531">
        <f t="shared" si="60"/>
        <v>0.44684810329509345</v>
      </c>
      <c r="X40" s="531">
        <f t="shared" si="60"/>
        <v>0.44684810329509345</v>
      </c>
      <c r="Y40" s="531">
        <f t="shared" si="60"/>
        <v>0.44684810329509345</v>
      </c>
      <c r="Z40" s="531">
        <f t="shared" si="60"/>
        <v>0.44684810329509345</v>
      </c>
      <c r="AA40" s="531">
        <f t="shared" si="60"/>
        <v>0.44684810329509345</v>
      </c>
      <c r="AB40" s="531">
        <f t="shared" si="60"/>
        <v>0.44684810329509345</v>
      </c>
      <c r="AC40" s="531">
        <f t="shared" si="60"/>
        <v>0.44684810329509345</v>
      </c>
      <c r="AD40" s="531">
        <f t="shared" si="60"/>
        <v>0.45436683713023052</v>
      </c>
      <c r="AE40" s="531">
        <f t="shared" si="60"/>
        <v>0.45436683713023052</v>
      </c>
      <c r="AF40" s="531">
        <f t="shared" si="60"/>
        <v>0.45436683713023052</v>
      </c>
      <c r="AG40" s="531">
        <f t="shared" si="60"/>
        <v>0.45436683713023052</v>
      </c>
      <c r="AH40" s="531">
        <f t="shared" si="60"/>
        <v>0.45436683713023052</v>
      </c>
      <c r="AI40" s="531">
        <f t="shared" si="60"/>
        <v>0.45436683713023052</v>
      </c>
      <c r="AJ40" s="531">
        <f t="shared" si="60"/>
        <v>0.45436683713023052</v>
      </c>
      <c r="AK40" s="531">
        <f t="shared" si="60"/>
        <v>0.45436683713023052</v>
      </c>
      <c r="AL40" s="531">
        <f t="shared" si="60"/>
        <v>0.45436683713023052</v>
      </c>
      <c r="AM40" s="531">
        <f t="shared" si="60"/>
        <v>0.45436683713023052</v>
      </c>
      <c r="AN40" s="531">
        <f t="shared" si="60"/>
        <v>0.45436683713023052</v>
      </c>
      <c r="AO40" s="531">
        <f t="shared" si="60"/>
        <v>0.45436683713023052</v>
      </c>
      <c r="AP40" s="531">
        <f t="shared" si="60"/>
        <v>0.46135007859910826</v>
      </c>
      <c r="AQ40" s="531">
        <f t="shared" si="60"/>
        <v>0.46135007859910826</v>
      </c>
      <c r="AR40" s="531">
        <f t="shared" si="60"/>
        <v>0.46135007859910826</v>
      </c>
      <c r="AS40" s="531">
        <f t="shared" si="60"/>
        <v>0.46135007859910826</v>
      </c>
      <c r="AT40" s="531">
        <f t="shared" si="60"/>
        <v>0.46135007859910826</v>
      </c>
      <c r="AU40" s="531">
        <f t="shared" si="60"/>
        <v>0.46135007859910826</v>
      </c>
      <c r="AV40" s="531">
        <f t="shared" si="60"/>
        <v>0.46135007859910815</v>
      </c>
      <c r="AW40" s="531">
        <f t="shared" si="60"/>
        <v>0.46135007859910815</v>
      </c>
      <c r="AX40" s="531">
        <f t="shared" ref="AX40:BY40" si="61">IFERROR(AX39/(AX22+AX31),0)</f>
        <v>0.46135007859910815</v>
      </c>
      <c r="AY40" s="531">
        <f t="shared" si="61"/>
        <v>0.46135007859910815</v>
      </c>
      <c r="AZ40" s="531">
        <f t="shared" si="61"/>
        <v>0.46135007859910815</v>
      </c>
      <c r="BA40" s="531">
        <f t="shared" si="61"/>
        <v>0.46135007859910815</v>
      </c>
      <c r="BB40" s="531">
        <f t="shared" si="61"/>
        <v>0.46777725443170443</v>
      </c>
      <c r="BC40" s="531">
        <f t="shared" si="61"/>
        <v>0.46777725443170443</v>
      </c>
      <c r="BD40" s="531">
        <f t="shared" si="61"/>
        <v>0.46777725443170443</v>
      </c>
      <c r="BE40" s="531">
        <f t="shared" si="61"/>
        <v>0.46777725443170443</v>
      </c>
      <c r="BF40" s="531">
        <f t="shared" si="61"/>
        <v>0.46777725443170443</v>
      </c>
      <c r="BG40" s="531">
        <f t="shared" si="61"/>
        <v>0.46777725443170443</v>
      </c>
      <c r="BH40" s="531">
        <f t="shared" si="61"/>
        <v>0.46777725443170454</v>
      </c>
      <c r="BI40" s="531">
        <f t="shared" si="61"/>
        <v>0.46777725443170454</v>
      </c>
      <c r="BJ40" s="531">
        <f t="shared" si="61"/>
        <v>0.46777725443170454</v>
      </c>
      <c r="BK40" s="531">
        <f t="shared" si="61"/>
        <v>0.46777725443170454</v>
      </c>
      <c r="BL40" s="531">
        <f t="shared" si="61"/>
        <v>0.46777725443170454</v>
      </c>
      <c r="BM40" s="531">
        <f t="shared" si="61"/>
        <v>0.46777725443170454</v>
      </c>
      <c r="BN40" s="531">
        <f t="shared" si="61"/>
        <v>0.47408208728605544</v>
      </c>
      <c r="BO40" s="531">
        <f t="shared" si="61"/>
        <v>0.47408208728605544</v>
      </c>
      <c r="BP40" s="531">
        <f t="shared" si="61"/>
        <v>0.47408208728605544</v>
      </c>
      <c r="BQ40" s="531">
        <f t="shared" si="61"/>
        <v>0.47408208728605544</v>
      </c>
      <c r="BR40" s="531">
        <f t="shared" si="61"/>
        <v>0.47408208728605544</v>
      </c>
      <c r="BS40" s="531">
        <f t="shared" si="61"/>
        <v>0.47408208728605544</v>
      </c>
      <c r="BT40" s="531">
        <f t="shared" si="61"/>
        <v>0.47408208728605533</v>
      </c>
      <c r="BU40" s="531">
        <f t="shared" si="61"/>
        <v>0.47408208728605533</v>
      </c>
      <c r="BV40" s="531">
        <f t="shared" si="61"/>
        <v>0.47408208728605533</v>
      </c>
      <c r="BW40" s="531">
        <f t="shared" si="61"/>
        <v>0.47408208728605533</v>
      </c>
      <c r="BX40" s="531">
        <f t="shared" si="61"/>
        <v>0.47408208728605533</v>
      </c>
      <c r="BY40" s="531">
        <f t="shared" si="61"/>
        <v>0.47408208728605533</v>
      </c>
      <c r="BZ40" s="537"/>
      <c r="CA40" s="537"/>
      <c r="CB40" s="537"/>
    </row>
    <row r="41" spans="1:80" x14ac:dyDescent="0.3">
      <c r="A41" s="551"/>
      <c r="B41" s="548"/>
      <c r="C41" s="525"/>
      <c r="D41" s="525"/>
      <c r="E41" s="525"/>
      <c r="F41" s="529"/>
      <c r="G41" s="529"/>
      <c r="H41" s="529"/>
      <c r="I41" s="529"/>
      <c r="J41" s="529"/>
      <c r="K41" s="529"/>
      <c r="L41" s="529"/>
      <c r="M41" s="529"/>
      <c r="N41" s="529"/>
      <c r="O41" s="529"/>
      <c r="P41" s="562"/>
      <c r="Q41" s="537"/>
      <c r="R41" s="529"/>
      <c r="S41" s="529"/>
      <c r="T41" s="529"/>
      <c r="U41" s="529"/>
      <c r="V41" s="529"/>
      <c r="W41" s="529"/>
      <c r="X41" s="529"/>
      <c r="Y41" s="529"/>
      <c r="Z41" s="529"/>
      <c r="AA41" s="529"/>
      <c r="AB41" s="529"/>
      <c r="AC41" s="529"/>
      <c r="AD41" s="529"/>
      <c r="AE41" s="529"/>
      <c r="AF41" s="529"/>
      <c r="AG41" s="529"/>
      <c r="AH41" s="529"/>
      <c r="AI41" s="529"/>
      <c r="AJ41" s="529"/>
      <c r="AK41" s="529"/>
      <c r="AL41" s="529"/>
      <c r="AM41" s="529"/>
      <c r="AN41" s="529"/>
      <c r="AO41" s="529"/>
      <c r="AP41" s="529"/>
      <c r="AQ41" s="529"/>
      <c r="AR41" s="529"/>
      <c r="AS41" s="529"/>
      <c r="AT41" s="529"/>
      <c r="AU41" s="529"/>
      <c r="AV41" s="529"/>
      <c r="AW41" s="529"/>
      <c r="AX41" s="529"/>
      <c r="AY41" s="529"/>
      <c r="AZ41" s="529"/>
      <c r="BA41" s="529"/>
      <c r="BB41" s="529"/>
      <c r="BC41" s="529"/>
      <c r="BD41" s="529"/>
      <c r="BE41" s="529"/>
      <c r="BF41" s="529"/>
      <c r="BG41" s="529"/>
      <c r="BH41" s="529"/>
      <c r="BI41" s="529"/>
      <c r="BJ41" s="529"/>
      <c r="BK41" s="529"/>
      <c r="BL41" s="529"/>
      <c r="BM41" s="529"/>
      <c r="BN41" s="529"/>
      <c r="BO41" s="529"/>
      <c r="BP41" s="529"/>
      <c r="BQ41" s="529"/>
      <c r="BR41" s="529"/>
      <c r="BS41" s="529"/>
      <c r="BT41" s="529"/>
      <c r="BU41" s="529"/>
      <c r="BV41" s="529"/>
      <c r="BW41" s="529"/>
      <c r="BX41" s="529"/>
      <c r="BY41" s="529"/>
      <c r="BZ41" s="537"/>
      <c r="CA41" s="537"/>
      <c r="CB41" s="537"/>
    </row>
    <row r="42" spans="1:80" x14ac:dyDescent="0.3">
      <c r="A42" s="551"/>
      <c r="B42" s="548"/>
      <c r="C42" s="525"/>
      <c r="D42" s="525"/>
      <c r="E42" s="570" t="s">
        <v>25</v>
      </c>
      <c r="F42" s="529"/>
      <c r="G42" s="529"/>
      <c r="H42" s="529"/>
      <c r="I42" s="529"/>
      <c r="J42" s="529"/>
      <c r="K42" s="529"/>
      <c r="L42" s="529"/>
      <c r="M42" s="529"/>
      <c r="N42" s="529"/>
      <c r="O42" s="529"/>
      <c r="P42" s="562"/>
      <c r="Q42" s="537"/>
      <c r="R42" s="529"/>
      <c r="S42" s="529"/>
      <c r="T42" s="529"/>
      <c r="U42" s="529"/>
      <c r="V42" s="529"/>
      <c r="W42" s="529"/>
      <c r="X42" s="529"/>
      <c r="Y42" s="529"/>
      <c r="Z42" s="529"/>
      <c r="AA42" s="529"/>
      <c r="AB42" s="529"/>
      <c r="AC42" s="529"/>
      <c r="AD42" s="529"/>
      <c r="AE42" s="529"/>
      <c r="AF42" s="529"/>
      <c r="AG42" s="529"/>
      <c r="AH42" s="529"/>
      <c r="AI42" s="529"/>
      <c r="AJ42" s="529"/>
      <c r="AK42" s="529"/>
      <c r="AL42" s="529"/>
      <c r="AM42" s="529"/>
      <c r="AN42" s="529"/>
      <c r="AO42" s="529"/>
      <c r="AP42" s="529"/>
      <c r="AQ42" s="529"/>
      <c r="AR42" s="529"/>
      <c r="AS42" s="529"/>
      <c r="AT42" s="529"/>
      <c r="AU42" s="529"/>
      <c r="AV42" s="529"/>
      <c r="AW42" s="529"/>
      <c r="AX42" s="529"/>
      <c r="AY42" s="529"/>
      <c r="AZ42" s="529"/>
      <c r="BA42" s="529"/>
      <c r="BB42" s="529"/>
      <c r="BC42" s="529"/>
      <c r="BD42" s="529"/>
      <c r="BE42" s="529"/>
      <c r="BF42" s="529"/>
      <c r="BG42" s="529"/>
      <c r="BH42" s="529"/>
      <c r="BI42" s="529"/>
      <c r="BJ42" s="529"/>
      <c r="BK42" s="529"/>
      <c r="BL42" s="529"/>
      <c r="BM42" s="529"/>
      <c r="BN42" s="529"/>
      <c r="BO42" s="529"/>
      <c r="BP42" s="529"/>
      <c r="BQ42" s="529"/>
      <c r="BR42" s="529"/>
      <c r="BS42" s="529"/>
      <c r="BT42" s="529"/>
      <c r="BU42" s="529"/>
      <c r="BV42" s="529"/>
      <c r="BW42" s="529"/>
      <c r="BX42" s="529"/>
      <c r="BY42" s="529"/>
      <c r="BZ42" s="537"/>
      <c r="CA42" s="537"/>
      <c r="CB42" s="537"/>
    </row>
    <row r="43" spans="1:80" x14ac:dyDescent="0.3">
      <c r="A43" s="551"/>
      <c r="B43" s="548"/>
      <c r="C43" s="525"/>
      <c r="D43" s="525"/>
      <c r="E43" s="525" t="s">
        <v>25</v>
      </c>
      <c r="F43" s="567"/>
      <c r="G43" s="567"/>
      <c r="H43" s="567"/>
      <c r="I43" s="527">
        <f>I533</f>
        <v>4134842.358411076</v>
      </c>
      <c r="J43" s="527">
        <f t="shared" ref="J43:N45" si="62">SUMIF($R$2:$BY$2,J$3,$R43:$BY43)</f>
        <v>4324130.9163354877</v>
      </c>
      <c r="K43" s="527">
        <f t="shared" si="62"/>
        <v>4565531.0399011159</v>
      </c>
      <c r="L43" s="527">
        <f t="shared" si="62"/>
        <v>4814120.1196749927</v>
      </c>
      <c r="M43" s="527">
        <f t="shared" si="62"/>
        <v>5064652.2525563277</v>
      </c>
      <c r="N43" s="527">
        <f t="shared" si="62"/>
        <v>5323717.8656787695</v>
      </c>
      <c r="O43" s="529"/>
      <c r="P43" s="564">
        <f>IFERROR(((N43/I43)^(1/5))-1,0)</f>
        <v>5.1843711888893695E-2</v>
      </c>
      <c r="Q43" s="537"/>
      <c r="R43" s="527">
        <f t="shared" ref="R43:AW43" si="63">R344</f>
        <v>354889.11552687915</v>
      </c>
      <c r="S43" s="527">
        <f t="shared" si="63"/>
        <v>354889.11552687915</v>
      </c>
      <c r="T43" s="527">
        <f t="shared" si="63"/>
        <v>354889.11552687915</v>
      </c>
      <c r="U43" s="527">
        <f t="shared" si="63"/>
        <v>354889.11552687915</v>
      </c>
      <c r="V43" s="527">
        <f t="shared" si="63"/>
        <v>354889.11552687915</v>
      </c>
      <c r="W43" s="527">
        <f t="shared" si="63"/>
        <v>354889.11552687915</v>
      </c>
      <c r="X43" s="527">
        <f t="shared" si="63"/>
        <v>365799.37052903546</v>
      </c>
      <c r="Y43" s="527">
        <f t="shared" si="63"/>
        <v>365799.37052903546</v>
      </c>
      <c r="Z43" s="527">
        <f t="shared" si="63"/>
        <v>365799.37052903546</v>
      </c>
      <c r="AA43" s="527">
        <f t="shared" si="63"/>
        <v>365799.37052903546</v>
      </c>
      <c r="AB43" s="527">
        <f t="shared" si="63"/>
        <v>365799.37052903546</v>
      </c>
      <c r="AC43" s="527">
        <f t="shared" si="63"/>
        <v>365799.37052903546</v>
      </c>
      <c r="AD43" s="527">
        <f t="shared" si="63"/>
        <v>373464.74148744909</v>
      </c>
      <c r="AE43" s="527">
        <f t="shared" si="63"/>
        <v>373464.74148744909</v>
      </c>
      <c r="AF43" s="527">
        <f t="shared" si="63"/>
        <v>373464.74148744909</v>
      </c>
      <c r="AG43" s="527">
        <f t="shared" si="63"/>
        <v>373464.74148744909</v>
      </c>
      <c r="AH43" s="527">
        <f t="shared" si="63"/>
        <v>373464.74148744909</v>
      </c>
      <c r="AI43" s="527">
        <f t="shared" si="63"/>
        <v>373464.74148744909</v>
      </c>
      <c r="AJ43" s="527">
        <f t="shared" si="63"/>
        <v>387457.09849607019</v>
      </c>
      <c r="AK43" s="527">
        <f t="shared" si="63"/>
        <v>387457.09849607019</v>
      </c>
      <c r="AL43" s="527">
        <f t="shared" si="63"/>
        <v>387457.09849607019</v>
      </c>
      <c r="AM43" s="527">
        <f t="shared" si="63"/>
        <v>387457.09849607019</v>
      </c>
      <c r="AN43" s="527">
        <f t="shared" si="63"/>
        <v>387457.09849607019</v>
      </c>
      <c r="AO43" s="527">
        <f t="shared" si="63"/>
        <v>387457.09849607019</v>
      </c>
      <c r="AP43" s="527">
        <f t="shared" si="63"/>
        <v>392536.50684489362</v>
      </c>
      <c r="AQ43" s="527">
        <f t="shared" si="63"/>
        <v>392536.50684489362</v>
      </c>
      <c r="AR43" s="527">
        <f t="shared" si="63"/>
        <v>392536.50684489362</v>
      </c>
      <c r="AS43" s="527">
        <f t="shared" si="63"/>
        <v>392536.50684489362</v>
      </c>
      <c r="AT43" s="527">
        <f t="shared" si="63"/>
        <v>392536.50684489362</v>
      </c>
      <c r="AU43" s="527">
        <f t="shared" si="63"/>
        <v>392536.50684489362</v>
      </c>
      <c r="AV43" s="527">
        <f t="shared" si="63"/>
        <v>409816.84643427189</v>
      </c>
      <c r="AW43" s="527">
        <f t="shared" si="63"/>
        <v>409816.84643427189</v>
      </c>
      <c r="AX43" s="527">
        <f t="shared" ref="AX43:BY43" si="64">AX344</f>
        <v>409816.84643427189</v>
      </c>
      <c r="AY43" s="527">
        <f t="shared" si="64"/>
        <v>409816.84643427189</v>
      </c>
      <c r="AZ43" s="527">
        <f t="shared" si="64"/>
        <v>409816.84643427189</v>
      </c>
      <c r="BA43" s="527">
        <f t="shared" si="64"/>
        <v>409816.84643427189</v>
      </c>
      <c r="BB43" s="527">
        <f t="shared" si="64"/>
        <v>411665.14939881035</v>
      </c>
      <c r="BC43" s="527">
        <f t="shared" si="64"/>
        <v>411665.14939881035</v>
      </c>
      <c r="BD43" s="527">
        <f t="shared" si="64"/>
        <v>411665.14939881035</v>
      </c>
      <c r="BE43" s="527">
        <f t="shared" si="64"/>
        <v>411665.14939881035</v>
      </c>
      <c r="BF43" s="527">
        <f t="shared" si="64"/>
        <v>411665.14939881035</v>
      </c>
      <c r="BG43" s="527">
        <f t="shared" si="64"/>
        <v>411665.14939881035</v>
      </c>
      <c r="BH43" s="527">
        <f t="shared" si="64"/>
        <v>432443.55936057761</v>
      </c>
      <c r="BI43" s="527">
        <f t="shared" si="64"/>
        <v>432443.55936057761</v>
      </c>
      <c r="BJ43" s="527">
        <f t="shared" si="64"/>
        <v>432443.55936057761</v>
      </c>
      <c r="BK43" s="527">
        <f t="shared" si="64"/>
        <v>432443.55936057761</v>
      </c>
      <c r="BL43" s="527">
        <f t="shared" si="64"/>
        <v>432443.55936057761</v>
      </c>
      <c r="BM43" s="527">
        <f t="shared" si="64"/>
        <v>432443.55936057761</v>
      </c>
      <c r="BN43" s="527">
        <f t="shared" si="64"/>
        <v>431394.88194938732</v>
      </c>
      <c r="BO43" s="527">
        <f t="shared" si="64"/>
        <v>431394.88194938732</v>
      </c>
      <c r="BP43" s="527">
        <f t="shared" si="64"/>
        <v>431394.88194938732</v>
      </c>
      <c r="BQ43" s="527">
        <f t="shared" si="64"/>
        <v>431394.88194938732</v>
      </c>
      <c r="BR43" s="527">
        <f t="shared" si="64"/>
        <v>431394.88194938732</v>
      </c>
      <c r="BS43" s="527">
        <f t="shared" si="64"/>
        <v>431394.88194938732</v>
      </c>
      <c r="BT43" s="527">
        <f t="shared" si="64"/>
        <v>455891.42899707437</v>
      </c>
      <c r="BU43" s="527">
        <f t="shared" si="64"/>
        <v>455891.42899707437</v>
      </c>
      <c r="BV43" s="527">
        <f t="shared" si="64"/>
        <v>455891.42899707437</v>
      </c>
      <c r="BW43" s="527">
        <f t="shared" si="64"/>
        <v>455891.42899707437</v>
      </c>
      <c r="BX43" s="527">
        <f t="shared" si="64"/>
        <v>455891.42899707437</v>
      </c>
      <c r="BY43" s="527">
        <f t="shared" si="64"/>
        <v>455891.42899707437</v>
      </c>
      <c r="BZ43" s="537"/>
      <c r="CA43" s="537"/>
      <c r="CB43" s="574"/>
    </row>
    <row r="44" spans="1:80" x14ac:dyDescent="0.3">
      <c r="A44" s="551"/>
      <c r="B44" s="548"/>
      <c r="C44" s="525"/>
      <c r="D44" s="525"/>
      <c r="E44" s="525" t="s">
        <v>14</v>
      </c>
      <c r="F44" s="567"/>
      <c r="G44" s="567"/>
      <c r="H44" s="567"/>
      <c r="I44" s="527">
        <f>I534</f>
        <v>574667.982724</v>
      </c>
      <c r="J44" s="527">
        <f t="shared" si="62"/>
        <v>594854.41580262338</v>
      </c>
      <c r="K44" s="527">
        <f t="shared" si="62"/>
        <v>614602.11564295739</v>
      </c>
      <c r="L44" s="527">
        <f t="shared" si="62"/>
        <v>634176.9404499738</v>
      </c>
      <c r="M44" s="527">
        <f t="shared" si="62"/>
        <v>650519.41958470887</v>
      </c>
      <c r="N44" s="527">
        <f t="shared" si="62"/>
        <v>664585.60990561405</v>
      </c>
      <c r="O44" s="529"/>
      <c r="P44" s="564">
        <f>IFERROR(((N44/I44)^(1/5))-1,0)</f>
        <v>2.9501032242708725E-2</v>
      </c>
      <c r="Q44" s="537"/>
      <c r="R44" s="527">
        <f t="shared" ref="R44:AW44" si="65">R352</f>
        <v>49571.201316885272</v>
      </c>
      <c r="S44" s="527">
        <f t="shared" si="65"/>
        <v>49571.201316885272</v>
      </c>
      <c r="T44" s="527">
        <f t="shared" si="65"/>
        <v>49571.201316885272</v>
      </c>
      <c r="U44" s="527">
        <f t="shared" si="65"/>
        <v>49571.201316885272</v>
      </c>
      <c r="V44" s="527">
        <f t="shared" si="65"/>
        <v>49571.201316885272</v>
      </c>
      <c r="W44" s="527">
        <f t="shared" si="65"/>
        <v>49571.201316885272</v>
      </c>
      <c r="X44" s="527">
        <f t="shared" si="65"/>
        <v>49571.201316885272</v>
      </c>
      <c r="Y44" s="527">
        <f t="shared" si="65"/>
        <v>49571.201316885272</v>
      </c>
      <c r="Z44" s="527">
        <f t="shared" si="65"/>
        <v>49571.201316885272</v>
      </c>
      <c r="AA44" s="527">
        <f t="shared" si="65"/>
        <v>49571.201316885272</v>
      </c>
      <c r="AB44" s="527">
        <f t="shared" si="65"/>
        <v>49571.201316885272</v>
      </c>
      <c r="AC44" s="527">
        <f t="shared" si="65"/>
        <v>49571.201316885272</v>
      </c>
      <c r="AD44" s="527">
        <f t="shared" si="65"/>
        <v>51216.842970246449</v>
      </c>
      <c r="AE44" s="527">
        <f t="shared" si="65"/>
        <v>51216.842970246449</v>
      </c>
      <c r="AF44" s="527">
        <f t="shared" si="65"/>
        <v>51216.842970246449</v>
      </c>
      <c r="AG44" s="527">
        <f t="shared" si="65"/>
        <v>51216.842970246449</v>
      </c>
      <c r="AH44" s="527">
        <f t="shared" si="65"/>
        <v>51216.842970246449</v>
      </c>
      <c r="AI44" s="527">
        <f t="shared" si="65"/>
        <v>51216.842970246449</v>
      </c>
      <c r="AJ44" s="527">
        <f t="shared" si="65"/>
        <v>51216.842970246449</v>
      </c>
      <c r="AK44" s="527">
        <f t="shared" si="65"/>
        <v>51216.842970246449</v>
      </c>
      <c r="AL44" s="527">
        <f t="shared" si="65"/>
        <v>51216.842970246449</v>
      </c>
      <c r="AM44" s="527">
        <f t="shared" si="65"/>
        <v>51216.842970246449</v>
      </c>
      <c r="AN44" s="527">
        <f t="shared" si="65"/>
        <v>51216.842970246449</v>
      </c>
      <c r="AO44" s="527">
        <f t="shared" si="65"/>
        <v>51216.842970246449</v>
      </c>
      <c r="AP44" s="527">
        <f t="shared" si="65"/>
        <v>52848.07837083115</v>
      </c>
      <c r="AQ44" s="527">
        <f t="shared" si="65"/>
        <v>52848.07837083115</v>
      </c>
      <c r="AR44" s="527">
        <f t="shared" si="65"/>
        <v>52848.07837083115</v>
      </c>
      <c r="AS44" s="527">
        <f t="shared" si="65"/>
        <v>52848.07837083115</v>
      </c>
      <c r="AT44" s="527">
        <f t="shared" si="65"/>
        <v>52848.07837083115</v>
      </c>
      <c r="AU44" s="527">
        <f t="shared" si="65"/>
        <v>52848.07837083115</v>
      </c>
      <c r="AV44" s="527">
        <f t="shared" si="65"/>
        <v>52848.07837083115</v>
      </c>
      <c r="AW44" s="527">
        <f t="shared" si="65"/>
        <v>52848.07837083115</v>
      </c>
      <c r="AX44" s="527">
        <f t="shared" ref="AX44:BY44" si="66">AX352</f>
        <v>52848.07837083115</v>
      </c>
      <c r="AY44" s="527">
        <f t="shared" si="66"/>
        <v>52848.07837083115</v>
      </c>
      <c r="AZ44" s="527">
        <f t="shared" si="66"/>
        <v>52848.07837083115</v>
      </c>
      <c r="BA44" s="527">
        <f t="shared" si="66"/>
        <v>52848.07837083115</v>
      </c>
      <c r="BB44" s="527">
        <f t="shared" si="66"/>
        <v>54209.951632059077</v>
      </c>
      <c r="BC44" s="527">
        <f t="shared" si="66"/>
        <v>54209.951632059077</v>
      </c>
      <c r="BD44" s="527">
        <f t="shared" si="66"/>
        <v>54209.951632059077</v>
      </c>
      <c r="BE44" s="527">
        <f t="shared" si="66"/>
        <v>54209.951632059077</v>
      </c>
      <c r="BF44" s="527">
        <f t="shared" si="66"/>
        <v>54209.951632059077</v>
      </c>
      <c r="BG44" s="527">
        <f t="shared" si="66"/>
        <v>54209.951632059077</v>
      </c>
      <c r="BH44" s="527">
        <f t="shared" si="66"/>
        <v>54209.951632059077</v>
      </c>
      <c r="BI44" s="527">
        <f t="shared" si="66"/>
        <v>54209.951632059077</v>
      </c>
      <c r="BJ44" s="527">
        <f t="shared" si="66"/>
        <v>54209.951632059077</v>
      </c>
      <c r="BK44" s="527">
        <f t="shared" si="66"/>
        <v>54209.951632059077</v>
      </c>
      <c r="BL44" s="527">
        <f t="shared" si="66"/>
        <v>54209.951632059077</v>
      </c>
      <c r="BM44" s="527">
        <f t="shared" si="66"/>
        <v>54209.951632059077</v>
      </c>
      <c r="BN44" s="527">
        <f t="shared" si="66"/>
        <v>55382.134158801171</v>
      </c>
      <c r="BO44" s="527">
        <f t="shared" si="66"/>
        <v>55382.134158801171</v>
      </c>
      <c r="BP44" s="527">
        <f t="shared" si="66"/>
        <v>55382.134158801171</v>
      </c>
      <c r="BQ44" s="527">
        <f t="shared" si="66"/>
        <v>55382.134158801171</v>
      </c>
      <c r="BR44" s="527">
        <f t="shared" si="66"/>
        <v>55382.134158801171</v>
      </c>
      <c r="BS44" s="527">
        <f t="shared" si="66"/>
        <v>55382.134158801171</v>
      </c>
      <c r="BT44" s="527">
        <f t="shared" si="66"/>
        <v>55382.134158801171</v>
      </c>
      <c r="BU44" s="527">
        <f t="shared" si="66"/>
        <v>55382.134158801171</v>
      </c>
      <c r="BV44" s="527">
        <f t="shared" si="66"/>
        <v>55382.134158801171</v>
      </c>
      <c r="BW44" s="527">
        <f t="shared" si="66"/>
        <v>55382.134158801171</v>
      </c>
      <c r="BX44" s="527">
        <f t="shared" si="66"/>
        <v>55382.134158801171</v>
      </c>
      <c r="BY44" s="527">
        <f t="shared" si="66"/>
        <v>55382.134158801171</v>
      </c>
      <c r="BZ44" s="537"/>
      <c r="CA44" s="537"/>
      <c r="CB44" s="574"/>
    </row>
    <row r="45" spans="1:80" x14ac:dyDescent="0.3">
      <c r="A45" s="551"/>
      <c r="B45" s="548"/>
      <c r="C45" s="525"/>
      <c r="D45" s="525"/>
      <c r="E45" s="572" t="s">
        <v>26</v>
      </c>
      <c r="F45" s="573"/>
      <c r="G45" s="573"/>
      <c r="H45" s="573"/>
      <c r="I45" s="532">
        <f>I535</f>
        <v>4709510.3411350762</v>
      </c>
      <c r="J45" s="532">
        <f t="shared" si="62"/>
        <v>4918985.3321381109</v>
      </c>
      <c r="K45" s="532">
        <f t="shared" si="62"/>
        <v>5180133.1555440733</v>
      </c>
      <c r="L45" s="532">
        <f t="shared" si="62"/>
        <v>5448297.0601249663</v>
      </c>
      <c r="M45" s="532">
        <f t="shared" si="62"/>
        <v>5715171.6721410379</v>
      </c>
      <c r="N45" s="532">
        <f t="shared" si="62"/>
        <v>5988303.4755843841</v>
      </c>
      <c r="O45" s="536"/>
      <c r="P45" s="568">
        <f>IFERROR(((N45/I45)^(1/5))-1,0)</f>
        <v>4.9217702202226432E-2</v>
      </c>
      <c r="Q45" s="537"/>
      <c r="R45" s="532">
        <f t="shared" ref="R45:AW45" si="67">SUM(R43:R44)</f>
        <v>404460.31684376439</v>
      </c>
      <c r="S45" s="530">
        <f t="shared" si="67"/>
        <v>404460.31684376439</v>
      </c>
      <c r="T45" s="532">
        <f t="shared" si="67"/>
        <v>404460.31684376439</v>
      </c>
      <c r="U45" s="532">
        <f t="shared" si="67"/>
        <v>404460.31684376439</v>
      </c>
      <c r="V45" s="532">
        <f t="shared" si="67"/>
        <v>404460.31684376439</v>
      </c>
      <c r="W45" s="532">
        <f t="shared" si="67"/>
        <v>404460.31684376439</v>
      </c>
      <c r="X45" s="532">
        <f t="shared" si="67"/>
        <v>415370.57184592076</v>
      </c>
      <c r="Y45" s="532">
        <f t="shared" si="67"/>
        <v>415370.57184592076</v>
      </c>
      <c r="Z45" s="532">
        <f t="shared" si="67"/>
        <v>415370.57184592076</v>
      </c>
      <c r="AA45" s="532">
        <f t="shared" si="67"/>
        <v>415370.57184592076</v>
      </c>
      <c r="AB45" s="532">
        <f t="shared" si="67"/>
        <v>415370.57184592076</v>
      </c>
      <c r="AC45" s="532">
        <f t="shared" si="67"/>
        <v>415370.57184592076</v>
      </c>
      <c r="AD45" s="532">
        <f t="shared" si="67"/>
        <v>424681.58445769554</v>
      </c>
      <c r="AE45" s="532">
        <f t="shared" si="67"/>
        <v>424681.58445769554</v>
      </c>
      <c r="AF45" s="532">
        <f t="shared" si="67"/>
        <v>424681.58445769554</v>
      </c>
      <c r="AG45" s="532">
        <f t="shared" si="67"/>
        <v>424681.58445769554</v>
      </c>
      <c r="AH45" s="532">
        <f t="shared" si="67"/>
        <v>424681.58445769554</v>
      </c>
      <c r="AI45" s="532">
        <f t="shared" si="67"/>
        <v>424681.58445769554</v>
      </c>
      <c r="AJ45" s="532">
        <f t="shared" si="67"/>
        <v>438673.94146631664</v>
      </c>
      <c r="AK45" s="532">
        <f t="shared" si="67"/>
        <v>438673.94146631664</v>
      </c>
      <c r="AL45" s="532">
        <f t="shared" si="67"/>
        <v>438673.94146631664</v>
      </c>
      <c r="AM45" s="532">
        <f t="shared" si="67"/>
        <v>438673.94146631664</v>
      </c>
      <c r="AN45" s="532">
        <f t="shared" si="67"/>
        <v>438673.94146631664</v>
      </c>
      <c r="AO45" s="532">
        <f t="shared" si="67"/>
        <v>438673.94146631664</v>
      </c>
      <c r="AP45" s="532">
        <f t="shared" si="67"/>
        <v>445384.58521572477</v>
      </c>
      <c r="AQ45" s="532">
        <f t="shared" si="67"/>
        <v>445384.58521572477</v>
      </c>
      <c r="AR45" s="532">
        <f t="shared" si="67"/>
        <v>445384.58521572477</v>
      </c>
      <c r="AS45" s="532">
        <f t="shared" si="67"/>
        <v>445384.58521572477</v>
      </c>
      <c r="AT45" s="532">
        <f t="shared" si="67"/>
        <v>445384.58521572477</v>
      </c>
      <c r="AU45" s="532">
        <f t="shared" si="67"/>
        <v>445384.58521572477</v>
      </c>
      <c r="AV45" s="532">
        <f t="shared" si="67"/>
        <v>462664.92480510304</v>
      </c>
      <c r="AW45" s="532">
        <f t="shared" si="67"/>
        <v>462664.92480510304</v>
      </c>
      <c r="AX45" s="532">
        <f t="shared" ref="AX45:BY45" si="68">SUM(AX43:AX44)</f>
        <v>462664.92480510304</v>
      </c>
      <c r="AY45" s="532">
        <f t="shared" si="68"/>
        <v>462664.92480510304</v>
      </c>
      <c r="AZ45" s="532">
        <f t="shared" si="68"/>
        <v>462664.92480510304</v>
      </c>
      <c r="BA45" s="532">
        <f t="shared" si="68"/>
        <v>462664.92480510304</v>
      </c>
      <c r="BB45" s="532">
        <f t="shared" si="68"/>
        <v>465875.10103086941</v>
      </c>
      <c r="BC45" s="532">
        <f t="shared" si="68"/>
        <v>465875.10103086941</v>
      </c>
      <c r="BD45" s="532">
        <f t="shared" si="68"/>
        <v>465875.10103086941</v>
      </c>
      <c r="BE45" s="532">
        <f t="shared" si="68"/>
        <v>465875.10103086941</v>
      </c>
      <c r="BF45" s="532">
        <f t="shared" si="68"/>
        <v>465875.10103086941</v>
      </c>
      <c r="BG45" s="532">
        <f t="shared" si="68"/>
        <v>465875.10103086941</v>
      </c>
      <c r="BH45" s="532">
        <f t="shared" si="68"/>
        <v>486653.51099263667</v>
      </c>
      <c r="BI45" s="532">
        <f t="shared" si="68"/>
        <v>486653.51099263667</v>
      </c>
      <c r="BJ45" s="532">
        <f t="shared" si="68"/>
        <v>486653.51099263667</v>
      </c>
      <c r="BK45" s="532">
        <f t="shared" si="68"/>
        <v>486653.51099263667</v>
      </c>
      <c r="BL45" s="532">
        <f t="shared" si="68"/>
        <v>486653.51099263667</v>
      </c>
      <c r="BM45" s="532">
        <f t="shared" si="68"/>
        <v>486653.51099263667</v>
      </c>
      <c r="BN45" s="532">
        <f t="shared" si="68"/>
        <v>486777.01610818849</v>
      </c>
      <c r="BO45" s="532">
        <f t="shared" si="68"/>
        <v>486777.01610818849</v>
      </c>
      <c r="BP45" s="532">
        <f t="shared" si="68"/>
        <v>486777.01610818849</v>
      </c>
      <c r="BQ45" s="532">
        <f t="shared" si="68"/>
        <v>486777.01610818849</v>
      </c>
      <c r="BR45" s="532">
        <f t="shared" si="68"/>
        <v>486777.01610818849</v>
      </c>
      <c r="BS45" s="532">
        <f t="shared" si="68"/>
        <v>486777.01610818849</v>
      </c>
      <c r="BT45" s="532">
        <f t="shared" si="68"/>
        <v>511273.56315587554</v>
      </c>
      <c r="BU45" s="532">
        <f t="shared" si="68"/>
        <v>511273.56315587554</v>
      </c>
      <c r="BV45" s="532">
        <f t="shared" si="68"/>
        <v>511273.56315587554</v>
      </c>
      <c r="BW45" s="532">
        <f t="shared" si="68"/>
        <v>511273.56315587554</v>
      </c>
      <c r="BX45" s="532">
        <f t="shared" si="68"/>
        <v>511273.56315587554</v>
      </c>
      <c r="BY45" s="532">
        <f t="shared" si="68"/>
        <v>511273.56315587554</v>
      </c>
      <c r="BZ45" s="537"/>
      <c r="CA45" s="537"/>
      <c r="CB45" s="574"/>
    </row>
    <row r="46" spans="1:80" x14ac:dyDescent="0.3">
      <c r="A46" s="551"/>
      <c r="B46" s="548"/>
      <c r="C46" s="525"/>
      <c r="D46" s="525"/>
      <c r="E46" s="525"/>
      <c r="F46" s="529"/>
      <c r="G46" s="529"/>
      <c r="H46" s="529"/>
      <c r="I46" s="529"/>
      <c r="J46" s="529"/>
      <c r="K46" s="529"/>
      <c r="L46" s="529"/>
      <c r="M46" s="529"/>
      <c r="N46" s="529"/>
      <c r="O46" s="529"/>
      <c r="P46" s="562"/>
      <c r="Q46" s="537"/>
      <c r="R46" s="529"/>
      <c r="S46" s="529"/>
      <c r="T46" s="529"/>
      <c r="U46" s="529"/>
      <c r="V46" s="529"/>
      <c r="W46" s="529"/>
      <c r="X46" s="529"/>
      <c r="Y46" s="529"/>
      <c r="Z46" s="529"/>
      <c r="AA46" s="529"/>
      <c r="AB46" s="529"/>
      <c r="AC46" s="529"/>
      <c r="AD46" s="529"/>
      <c r="AE46" s="529"/>
      <c r="AF46" s="529"/>
      <c r="AG46" s="529"/>
      <c r="AH46" s="529"/>
      <c r="AI46" s="529"/>
      <c r="AJ46" s="529"/>
      <c r="AK46" s="529"/>
      <c r="AL46" s="529"/>
      <c r="AM46" s="529"/>
      <c r="AN46" s="529"/>
      <c r="AO46" s="529"/>
      <c r="AP46" s="529"/>
      <c r="AQ46" s="529"/>
      <c r="AR46" s="529"/>
      <c r="AS46" s="529"/>
      <c r="AT46" s="529"/>
      <c r="AU46" s="529"/>
      <c r="AV46" s="529"/>
      <c r="AW46" s="529"/>
      <c r="AX46" s="529"/>
      <c r="AY46" s="529"/>
      <c r="AZ46" s="529"/>
      <c r="BA46" s="529"/>
      <c r="BB46" s="529"/>
      <c r="BC46" s="529"/>
      <c r="BD46" s="529"/>
      <c r="BE46" s="529"/>
      <c r="BF46" s="529"/>
      <c r="BG46" s="529"/>
      <c r="BH46" s="529"/>
      <c r="BI46" s="529"/>
      <c r="BJ46" s="529"/>
      <c r="BK46" s="529"/>
      <c r="BL46" s="529"/>
      <c r="BM46" s="529"/>
      <c r="BN46" s="529"/>
      <c r="BO46" s="529"/>
      <c r="BP46" s="529"/>
      <c r="BQ46" s="529"/>
      <c r="BR46" s="529"/>
      <c r="BS46" s="529"/>
      <c r="BT46" s="529"/>
      <c r="BU46" s="529"/>
      <c r="BV46" s="529"/>
      <c r="BW46" s="529"/>
      <c r="BX46" s="529"/>
      <c r="BY46" s="529"/>
      <c r="BZ46" s="537"/>
      <c r="CA46" s="537"/>
      <c r="CB46" s="537"/>
    </row>
    <row r="47" spans="1:80" x14ac:dyDescent="0.3">
      <c r="A47" s="551"/>
      <c r="B47" s="548"/>
      <c r="C47" s="525"/>
      <c r="D47" s="525"/>
      <c r="E47" s="570" t="s">
        <v>27</v>
      </c>
      <c r="F47" s="529"/>
      <c r="G47" s="529"/>
      <c r="H47" s="529"/>
      <c r="I47" s="529"/>
      <c r="J47" s="529"/>
      <c r="K47" s="529"/>
      <c r="L47" s="529"/>
      <c r="M47" s="529"/>
      <c r="N47" s="529"/>
      <c r="O47" s="529"/>
      <c r="P47" s="562"/>
      <c r="Q47" s="537"/>
      <c r="R47" s="529"/>
      <c r="S47" s="529"/>
      <c r="T47" s="529"/>
      <c r="U47" s="529"/>
      <c r="V47" s="529"/>
      <c r="W47" s="529"/>
      <c r="X47" s="529"/>
      <c r="Y47" s="529"/>
      <c r="Z47" s="529"/>
      <c r="AA47" s="529"/>
      <c r="AB47" s="529"/>
      <c r="AC47" s="529"/>
      <c r="AD47" s="529"/>
      <c r="AE47" s="529"/>
      <c r="AF47" s="529"/>
      <c r="AG47" s="529"/>
      <c r="AH47" s="529"/>
      <c r="AI47" s="529"/>
      <c r="AJ47" s="529"/>
      <c r="AK47" s="529"/>
      <c r="AL47" s="529"/>
      <c r="AM47" s="529"/>
      <c r="AN47" s="529"/>
      <c r="AO47" s="529"/>
      <c r="AP47" s="529"/>
      <c r="AQ47" s="529"/>
      <c r="AR47" s="529"/>
      <c r="AS47" s="529"/>
      <c r="AT47" s="529"/>
      <c r="AU47" s="529"/>
      <c r="AV47" s="529"/>
      <c r="AW47" s="529"/>
      <c r="AX47" s="529"/>
      <c r="AY47" s="529"/>
      <c r="AZ47" s="529"/>
      <c r="BA47" s="529"/>
      <c r="BB47" s="529"/>
      <c r="BC47" s="529"/>
      <c r="BD47" s="529"/>
      <c r="BE47" s="529"/>
      <c r="BF47" s="529"/>
      <c r="BG47" s="529"/>
      <c r="BH47" s="529"/>
      <c r="BI47" s="529"/>
      <c r="BJ47" s="529"/>
      <c r="BK47" s="529"/>
      <c r="BL47" s="529"/>
      <c r="BM47" s="529"/>
      <c r="BN47" s="529"/>
      <c r="BO47" s="529"/>
      <c r="BP47" s="529"/>
      <c r="BQ47" s="529"/>
      <c r="BR47" s="529"/>
      <c r="BS47" s="529"/>
      <c r="BT47" s="529"/>
      <c r="BU47" s="529"/>
      <c r="BV47" s="529"/>
      <c r="BW47" s="529"/>
      <c r="BX47" s="529"/>
      <c r="BY47" s="529"/>
      <c r="BZ47" s="537"/>
      <c r="CA47" s="537"/>
      <c r="CB47" s="537"/>
    </row>
    <row r="48" spans="1:80" x14ac:dyDescent="0.3">
      <c r="A48" s="551"/>
      <c r="B48" s="548"/>
      <c r="C48" s="525"/>
      <c r="D48" s="525"/>
      <c r="E48" s="525" t="s">
        <v>28</v>
      </c>
      <c r="F48" s="567"/>
      <c r="G48" s="567"/>
      <c r="H48" s="567"/>
      <c r="I48" s="527">
        <f>I538</f>
        <v>11589.129999999997</v>
      </c>
      <c r="J48" s="527">
        <f t="shared" ref="J48:N52" si="69">SUMIF($R$2:$BY$2,J$3,$R48:$BY48)</f>
        <v>11589.13</v>
      </c>
      <c r="K48" s="527">
        <f t="shared" si="69"/>
        <v>11589.13</v>
      </c>
      <c r="L48" s="527">
        <f t="shared" si="69"/>
        <v>11589.13</v>
      </c>
      <c r="M48" s="527">
        <f t="shared" si="69"/>
        <v>11589.13</v>
      </c>
      <c r="N48" s="527">
        <f t="shared" si="69"/>
        <v>11589.13</v>
      </c>
      <c r="O48" s="529"/>
      <c r="P48" s="564">
        <f>IFERROR(((N48/I48)^(1/5))-1,0)</f>
        <v>0</v>
      </c>
      <c r="Q48" s="537"/>
      <c r="R48" s="527">
        <f t="shared" ref="R48:AW48" si="70">R364</f>
        <v>965.76083333333315</v>
      </c>
      <c r="S48" s="527">
        <f t="shared" si="70"/>
        <v>965.76083333333315</v>
      </c>
      <c r="T48" s="527">
        <f t="shared" si="70"/>
        <v>965.76083333333315</v>
      </c>
      <c r="U48" s="527">
        <f t="shared" si="70"/>
        <v>965.76083333333315</v>
      </c>
      <c r="V48" s="527">
        <f t="shared" si="70"/>
        <v>965.76083333333315</v>
      </c>
      <c r="W48" s="527">
        <f t="shared" si="70"/>
        <v>965.76083333333315</v>
      </c>
      <c r="X48" s="527">
        <f t="shared" si="70"/>
        <v>965.76083333333315</v>
      </c>
      <c r="Y48" s="527">
        <f t="shared" si="70"/>
        <v>965.76083333333315</v>
      </c>
      <c r="Z48" s="527">
        <f t="shared" si="70"/>
        <v>965.76083333333315</v>
      </c>
      <c r="AA48" s="527">
        <f t="shared" si="70"/>
        <v>965.76083333333315</v>
      </c>
      <c r="AB48" s="527">
        <f t="shared" si="70"/>
        <v>965.76083333333315</v>
      </c>
      <c r="AC48" s="527">
        <f t="shared" si="70"/>
        <v>965.76083333333315</v>
      </c>
      <c r="AD48" s="527">
        <f t="shared" si="70"/>
        <v>965.76083333333315</v>
      </c>
      <c r="AE48" s="527">
        <f t="shared" si="70"/>
        <v>965.76083333333315</v>
      </c>
      <c r="AF48" s="527">
        <f t="shared" si="70"/>
        <v>965.76083333333315</v>
      </c>
      <c r="AG48" s="527">
        <f t="shared" si="70"/>
        <v>965.76083333333315</v>
      </c>
      <c r="AH48" s="527">
        <f t="shared" si="70"/>
        <v>965.76083333333315</v>
      </c>
      <c r="AI48" s="527">
        <f t="shared" si="70"/>
        <v>965.76083333333315</v>
      </c>
      <c r="AJ48" s="527">
        <f t="shared" si="70"/>
        <v>965.76083333333315</v>
      </c>
      <c r="AK48" s="527">
        <f t="shared" si="70"/>
        <v>965.76083333333315</v>
      </c>
      <c r="AL48" s="527">
        <f t="shared" si="70"/>
        <v>965.76083333333315</v>
      </c>
      <c r="AM48" s="527">
        <f t="shared" si="70"/>
        <v>965.76083333333315</v>
      </c>
      <c r="AN48" s="527">
        <f t="shared" si="70"/>
        <v>965.76083333333315</v>
      </c>
      <c r="AO48" s="527">
        <f t="shared" si="70"/>
        <v>965.76083333333315</v>
      </c>
      <c r="AP48" s="527">
        <f t="shared" si="70"/>
        <v>965.76083333333315</v>
      </c>
      <c r="AQ48" s="527">
        <f t="shared" si="70"/>
        <v>965.76083333333315</v>
      </c>
      <c r="AR48" s="527">
        <f t="shared" si="70"/>
        <v>965.76083333333315</v>
      </c>
      <c r="AS48" s="527">
        <f t="shared" si="70"/>
        <v>965.76083333333315</v>
      </c>
      <c r="AT48" s="527">
        <f t="shared" si="70"/>
        <v>965.76083333333315</v>
      </c>
      <c r="AU48" s="527">
        <f t="shared" si="70"/>
        <v>965.76083333333315</v>
      </c>
      <c r="AV48" s="527">
        <f t="shared" si="70"/>
        <v>965.76083333333315</v>
      </c>
      <c r="AW48" s="527">
        <f t="shared" si="70"/>
        <v>965.76083333333315</v>
      </c>
      <c r="AX48" s="527">
        <f t="shared" ref="AX48:BY48" si="71">AX364</f>
        <v>965.76083333333315</v>
      </c>
      <c r="AY48" s="527">
        <f t="shared" si="71"/>
        <v>965.76083333333315</v>
      </c>
      <c r="AZ48" s="527">
        <f t="shared" si="71"/>
        <v>965.76083333333315</v>
      </c>
      <c r="BA48" s="527">
        <f t="shared" si="71"/>
        <v>965.76083333333315</v>
      </c>
      <c r="BB48" s="527">
        <f t="shared" si="71"/>
        <v>965.76083333333315</v>
      </c>
      <c r="BC48" s="527">
        <f t="shared" si="71"/>
        <v>965.76083333333315</v>
      </c>
      <c r="BD48" s="527">
        <f t="shared" si="71"/>
        <v>965.76083333333315</v>
      </c>
      <c r="BE48" s="527">
        <f t="shared" si="71"/>
        <v>965.76083333333315</v>
      </c>
      <c r="BF48" s="527">
        <f t="shared" si="71"/>
        <v>965.76083333333315</v>
      </c>
      <c r="BG48" s="527">
        <f t="shared" si="71"/>
        <v>965.76083333333315</v>
      </c>
      <c r="BH48" s="527">
        <f t="shared" si="71"/>
        <v>965.76083333333315</v>
      </c>
      <c r="BI48" s="527">
        <f t="shared" si="71"/>
        <v>965.76083333333315</v>
      </c>
      <c r="BJ48" s="527">
        <f t="shared" si="71"/>
        <v>965.76083333333315</v>
      </c>
      <c r="BK48" s="527">
        <f t="shared" si="71"/>
        <v>965.76083333333315</v>
      </c>
      <c r="BL48" s="527">
        <f t="shared" si="71"/>
        <v>965.76083333333315</v>
      </c>
      <c r="BM48" s="527">
        <f t="shared" si="71"/>
        <v>965.76083333333315</v>
      </c>
      <c r="BN48" s="527">
        <f t="shared" si="71"/>
        <v>965.76083333333315</v>
      </c>
      <c r="BO48" s="527">
        <f t="shared" si="71"/>
        <v>965.76083333333315</v>
      </c>
      <c r="BP48" s="527">
        <f t="shared" si="71"/>
        <v>965.76083333333315</v>
      </c>
      <c r="BQ48" s="527">
        <f t="shared" si="71"/>
        <v>965.76083333333315</v>
      </c>
      <c r="BR48" s="527">
        <f t="shared" si="71"/>
        <v>965.76083333333315</v>
      </c>
      <c r="BS48" s="527">
        <f t="shared" si="71"/>
        <v>965.76083333333315</v>
      </c>
      <c r="BT48" s="527">
        <f t="shared" si="71"/>
        <v>965.76083333333315</v>
      </c>
      <c r="BU48" s="527">
        <f t="shared" si="71"/>
        <v>965.76083333333315</v>
      </c>
      <c r="BV48" s="527">
        <f t="shared" si="71"/>
        <v>965.76083333333315</v>
      </c>
      <c r="BW48" s="527">
        <f t="shared" si="71"/>
        <v>965.76083333333315</v>
      </c>
      <c r="BX48" s="527">
        <f t="shared" si="71"/>
        <v>965.76083333333315</v>
      </c>
      <c r="BY48" s="527">
        <f t="shared" si="71"/>
        <v>965.76083333333315</v>
      </c>
      <c r="BZ48" s="537"/>
      <c r="CA48" s="537"/>
      <c r="CB48" s="574"/>
    </row>
    <row r="49" spans="1:80" x14ac:dyDescent="0.3">
      <c r="A49" s="551"/>
      <c r="B49" s="548"/>
      <c r="C49" s="525"/>
      <c r="D49" s="525"/>
      <c r="E49" s="525" t="s">
        <v>29</v>
      </c>
      <c r="F49" s="567"/>
      <c r="G49" s="567"/>
      <c r="H49" s="567"/>
      <c r="I49" s="527">
        <f>I539</f>
        <v>80178.18958524974</v>
      </c>
      <c r="J49" s="527">
        <f t="shared" si="69"/>
        <v>80178.189585249711</v>
      </c>
      <c r="K49" s="527">
        <f t="shared" si="69"/>
        <v>80178.189585249711</v>
      </c>
      <c r="L49" s="527">
        <f t="shared" si="69"/>
        <v>80178.189585249711</v>
      </c>
      <c r="M49" s="527">
        <f t="shared" si="69"/>
        <v>80178.189585249711</v>
      </c>
      <c r="N49" s="527">
        <f t="shared" si="69"/>
        <v>80178.189585249711</v>
      </c>
      <c r="O49" s="529"/>
      <c r="P49" s="564">
        <f>IFERROR(((N49/I49)^(1/5))-1,0)</f>
        <v>-1.1102230246251565E-16</v>
      </c>
      <c r="Q49" s="537"/>
      <c r="R49" s="527">
        <f t="shared" ref="R49:AW49" si="72">R372</f>
        <v>6681.5157987708117</v>
      </c>
      <c r="S49" s="527">
        <f t="shared" si="72"/>
        <v>6681.5157987708117</v>
      </c>
      <c r="T49" s="527">
        <f t="shared" si="72"/>
        <v>6681.5157987708117</v>
      </c>
      <c r="U49" s="527">
        <f t="shared" si="72"/>
        <v>6681.5157987708117</v>
      </c>
      <c r="V49" s="527">
        <f t="shared" si="72"/>
        <v>6681.5157987708117</v>
      </c>
      <c r="W49" s="527">
        <f t="shared" si="72"/>
        <v>6681.5157987708117</v>
      </c>
      <c r="X49" s="527">
        <f t="shared" si="72"/>
        <v>6681.5157987708117</v>
      </c>
      <c r="Y49" s="527">
        <f t="shared" si="72"/>
        <v>6681.5157987708117</v>
      </c>
      <c r="Z49" s="527">
        <f t="shared" si="72"/>
        <v>6681.5157987708117</v>
      </c>
      <c r="AA49" s="527">
        <f t="shared" si="72"/>
        <v>6681.5157987708117</v>
      </c>
      <c r="AB49" s="527">
        <f t="shared" si="72"/>
        <v>6681.5157987708117</v>
      </c>
      <c r="AC49" s="527">
        <f t="shared" si="72"/>
        <v>6681.5157987708117</v>
      </c>
      <c r="AD49" s="527">
        <f t="shared" si="72"/>
        <v>6681.5157987708117</v>
      </c>
      <c r="AE49" s="527">
        <f t="shared" si="72"/>
        <v>6681.5157987708117</v>
      </c>
      <c r="AF49" s="527">
        <f t="shared" si="72"/>
        <v>6681.5157987708117</v>
      </c>
      <c r="AG49" s="527">
        <f t="shared" si="72"/>
        <v>6681.5157987708117</v>
      </c>
      <c r="AH49" s="527">
        <f t="shared" si="72"/>
        <v>6681.5157987708117</v>
      </c>
      <c r="AI49" s="527">
        <f t="shared" si="72"/>
        <v>6681.5157987708117</v>
      </c>
      <c r="AJ49" s="527">
        <f t="shared" si="72"/>
        <v>6681.5157987708117</v>
      </c>
      <c r="AK49" s="527">
        <f t="shared" si="72"/>
        <v>6681.5157987708117</v>
      </c>
      <c r="AL49" s="527">
        <f t="shared" si="72"/>
        <v>6681.5157987708117</v>
      </c>
      <c r="AM49" s="527">
        <f t="shared" si="72"/>
        <v>6681.5157987708117</v>
      </c>
      <c r="AN49" s="527">
        <f t="shared" si="72"/>
        <v>6681.5157987708117</v>
      </c>
      <c r="AO49" s="527">
        <f t="shared" si="72"/>
        <v>6681.5157987708117</v>
      </c>
      <c r="AP49" s="527">
        <f t="shared" si="72"/>
        <v>6681.5157987708117</v>
      </c>
      <c r="AQ49" s="527">
        <f t="shared" si="72"/>
        <v>6681.5157987708117</v>
      </c>
      <c r="AR49" s="527">
        <f t="shared" si="72"/>
        <v>6681.5157987708117</v>
      </c>
      <c r="AS49" s="527">
        <f t="shared" si="72"/>
        <v>6681.5157987708117</v>
      </c>
      <c r="AT49" s="527">
        <f t="shared" si="72"/>
        <v>6681.5157987708117</v>
      </c>
      <c r="AU49" s="527">
        <f t="shared" si="72"/>
        <v>6681.5157987708117</v>
      </c>
      <c r="AV49" s="527">
        <f t="shared" si="72"/>
        <v>6681.5157987708117</v>
      </c>
      <c r="AW49" s="527">
        <f t="shared" si="72"/>
        <v>6681.5157987708117</v>
      </c>
      <c r="AX49" s="527">
        <f t="shared" ref="AX49:BY49" si="73">AX372</f>
        <v>6681.5157987708117</v>
      </c>
      <c r="AY49" s="527">
        <f t="shared" si="73"/>
        <v>6681.5157987708117</v>
      </c>
      <c r="AZ49" s="527">
        <f t="shared" si="73"/>
        <v>6681.5157987708117</v>
      </c>
      <c r="BA49" s="527">
        <f t="shared" si="73"/>
        <v>6681.5157987708117</v>
      </c>
      <c r="BB49" s="527">
        <f t="shared" si="73"/>
        <v>6681.5157987708117</v>
      </c>
      <c r="BC49" s="527">
        <f t="shared" si="73"/>
        <v>6681.5157987708117</v>
      </c>
      <c r="BD49" s="527">
        <f t="shared" si="73"/>
        <v>6681.5157987708117</v>
      </c>
      <c r="BE49" s="527">
        <f t="shared" si="73"/>
        <v>6681.5157987708117</v>
      </c>
      <c r="BF49" s="527">
        <f t="shared" si="73"/>
        <v>6681.5157987708117</v>
      </c>
      <c r="BG49" s="527">
        <f t="shared" si="73"/>
        <v>6681.5157987708117</v>
      </c>
      <c r="BH49" s="527">
        <f t="shared" si="73"/>
        <v>6681.5157987708117</v>
      </c>
      <c r="BI49" s="527">
        <f t="shared" si="73"/>
        <v>6681.5157987708117</v>
      </c>
      <c r="BJ49" s="527">
        <f t="shared" si="73"/>
        <v>6681.5157987708117</v>
      </c>
      <c r="BK49" s="527">
        <f t="shared" si="73"/>
        <v>6681.5157987708117</v>
      </c>
      <c r="BL49" s="527">
        <f t="shared" si="73"/>
        <v>6681.5157987708117</v>
      </c>
      <c r="BM49" s="527">
        <f t="shared" si="73"/>
        <v>6681.5157987708117</v>
      </c>
      <c r="BN49" s="527">
        <f t="shared" si="73"/>
        <v>6681.5157987708117</v>
      </c>
      <c r="BO49" s="527">
        <f t="shared" si="73"/>
        <v>6681.5157987708117</v>
      </c>
      <c r="BP49" s="527">
        <f t="shared" si="73"/>
        <v>6681.5157987708117</v>
      </c>
      <c r="BQ49" s="527">
        <f t="shared" si="73"/>
        <v>6681.5157987708117</v>
      </c>
      <c r="BR49" s="527">
        <f t="shared" si="73"/>
        <v>6681.5157987708117</v>
      </c>
      <c r="BS49" s="527">
        <f t="shared" si="73"/>
        <v>6681.5157987708117</v>
      </c>
      <c r="BT49" s="527">
        <f t="shared" si="73"/>
        <v>6681.5157987708117</v>
      </c>
      <c r="BU49" s="527">
        <f t="shared" si="73"/>
        <v>6681.5157987708117</v>
      </c>
      <c r="BV49" s="527">
        <f t="shared" si="73"/>
        <v>6681.5157987708117</v>
      </c>
      <c r="BW49" s="527">
        <f t="shared" si="73"/>
        <v>6681.5157987708117</v>
      </c>
      <c r="BX49" s="527">
        <f t="shared" si="73"/>
        <v>6681.5157987708117</v>
      </c>
      <c r="BY49" s="527">
        <f t="shared" si="73"/>
        <v>6681.5157987708117</v>
      </c>
      <c r="BZ49" s="537"/>
      <c r="CA49" s="537"/>
      <c r="CB49" s="574"/>
    </row>
    <row r="50" spans="1:80" x14ac:dyDescent="0.3">
      <c r="A50" s="551"/>
      <c r="B50" s="548"/>
      <c r="C50" s="525"/>
      <c r="D50" s="525"/>
      <c r="E50" s="525" t="s">
        <v>30</v>
      </c>
      <c r="F50" s="567"/>
      <c r="G50" s="567"/>
      <c r="H50" s="567"/>
      <c r="I50" s="527">
        <f>I540</f>
        <v>190735.95000000004</v>
      </c>
      <c r="J50" s="527">
        <f t="shared" si="69"/>
        <v>190735.95000000004</v>
      </c>
      <c r="K50" s="527">
        <f t="shared" si="69"/>
        <v>190735.95000000004</v>
      </c>
      <c r="L50" s="527">
        <f t="shared" si="69"/>
        <v>190735.95000000004</v>
      </c>
      <c r="M50" s="527">
        <f t="shared" si="69"/>
        <v>190735.95000000004</v>
      </c>
      <c r="N50" s="527">
        <f t="shared" si="69"/>
        <v>190735.95000000004</v>
      </c>
      <c r="O50" s="529"/>
      <c r="P50" s="564">
        <f>IFERROR(((N50/I50)^(1/5))-1,0)</f>
        <v>0</v>
      </c>
      <c r="Q50" s="537"/>
      <c r="R50" s="527">
        <f t="shared" ref="R50:AW50" si="74">R380</f>
        <v>15894.662500000002</v>
      </c>
      <c r="S50" s="527">
        <f t="shared" si="74"/>
        <v>15894.662500000002</v>
      </c>
      <c r="T50" s="527">
        <f t="shared" si="74"/>
        <v>15894.662500000002</v>
      </c>
      <c r="U50" s="527">
        <f t="shared" si="74"/>
        <v>15894.662500000002</v>
      </c>
      <c r="V50" s="527">
        <f t="shared" si="74"/>
        <v>15894.662500000002</v>
      </c>
      <c r="W50" s="527">
        <f t="shared" si="74"/>
        <v>15894.662500000002</v>
      </c>
      <c r="X50" s="527">
        <f t="shared" si="74"/>
        <v>15894.662500000002</v>
      </c>
      <c r="Y50" s="527">
        <f t="shared" si="74"/>
        <v>15894.662500000002</v>
      </c>
      <c r="Z50" s="527">
        <f t="shared" si="74"/>
        <v>15894.662500000002</v>
      </c>
      <c r="AA50" s="527">
        <f t="shared" si="74"/>
        <v>15894.662500000002</v>
      </c>
      <c r="AB50" s="527">
        <f t="shared" si="74"/>
        <v>15894.662500000002</v>
      </c>
      <c r="AC50" s="527">
        <f t="shared" si="74"/>
        <v>15894.662500000002</v>
      </c>
      <c r="AD50" s="527">
        <f t="shared" si="74"/>
        <v>15894.662500000002</v>
      </c>
      <c r="AE50" s="527">
        <f t="shared" si="74"/>
        <v>15894.662500000002</v>
      </c>
      <c r="AF50" s="527">
        <f t="shared" si="74"/>
        <v>15894.662500000002</v>
      </c>
      <c r="AG50" s="527">
        <f t="shared" si="74"/>
        <v>15894.662500000002</v>
      </c>
      <c r="AH50" s="527">
        <f t="shared" si="74"/>
        <v>15894.662500000002</v>
      </c>
      <c r="AI50" s="527">
        <f t="shared" si="74"/>
        <v>15894.662500000002</v>
      </c>
      <c r="AJ50" s="527">
        <f t="shared" si="74"/>
        <v>15894.662500000002</v>
      </c>
      <c r="AK50" s="527">
        <f t="shared" si="74"/>
        <v>15894.662500000002</v>
      </c>
      <c r="AL50" s="527">
        <f t="shared" si="74"/>
        <v>15894.662500000002</v>
      </c>
      <c r="AM50" s="527">
        <f t="shared" si="74"/>
        <v>15894.662500000002</v>
      </c>
      <c r="AN50" s="527">
        <f t="shared" si="74"/>
        <v>15894.662500000002</v>
      </c>
      <c r="AO50" s="527">
        <f t="shared" si="74"/>
        <v>15894.662500000002</v>
      </c>
      <c r="AP50" s="527">
        <f t="shared" si="74"/>
        <v>15894.662500000002</v>
      </c>
      <c r="AQ50" s="527">
        <f t="shared" si="74"/>
        <v>15894.662500000002</v>
      </c>
      <c r="AR50" s="527">
        <f t="shared" si="74"/>
        <v>15894.662500000002</v>
      </c>
      <c r="AS50" s="527">
        <f t="shared" si="74"/>
        <v>15894.662500000002</v>
      </c>
      <c r="AT50" s="527">
        <f t="shared" si="74"/>
        <v>15894.662500000002</v>
      </c>
      <c r="AU50" s="527">
        <f t="shared" si="74"/>
        <v>15894.662500000002</v>
      </c>
      <c r="AV50" s="527">
        <f t="shared" si="74"/>
        <v>15894.662500000002</v>
      </c>
      <c r="AW50" s="527">
        <f t="shared" si="74"/>
        <v>15894.662500000002</v>
      </c>
      <c r="AX50" s="527">
        <f t="shared" ref="AX50:BY50" si="75">AX380</f>
        <v>15894.662500000002</v>
      </c>
      <c r="AY50" s="527">
        <f t="shared" si="75"/>
        <v>15894.662500000002</v>
      </c>
      <c r="AZ50" s="527">
        <f t="shared" si="75"/>
        <v>15894.662500000002</v>
      </c>
      <c r="BA50" s="527">
        <f t="shared" si="75"/>
        <v>15894.662500000002</v>
      </c>
      <c r="BB50" s="527">
        <f t="shared" si="75"/>
        <v>15894.662500000002</v>
      </c>
      <c r="BC50" s="527">
        <f t="shared" si="75"/>
        <v>15894.662500000002</v>
      </c>
      <c r="BD50" s="527">
        <f t="shared" si="75"/>
        <v>15894.662500000002</v>
      </c>
      <c r="BE50" s="527">
        <f t="shared" si="75"/>
        <v>15894.662500000002</v>
      </c>
      <c r="BF50" s="527">
        <f t="shared" si="75"/>
        <v>15894.662500000002</v>
      </c>
      <c r="BG50" s="527">
        <f t="shared" si="75"/>
        <v>15894.662500000002</v>
      </c>
      <c r="BH50" s="527">
        <f t="shared" si="75"/>
        <v>15894.662500000002</v>
      </c>
      <c r="BI50" s="527">
        <f t="shared" si="75"/>
        <v>15894.662500000002</v>
      </c>
      <c r="BJ50" s="527">
        <f t="shared" si="75"/>
        <v>15894.662500000002</v>
      </c>
      <c r="BK50" s="527">
        <f t="shared" si="75"/>
        <v>15894.662500000002</v>
      </c>
      <c r="BL50" s="527">
        <f t="shared" si="75"/>
        <v>15894.662500000002</v>
      </c>
      <c r="BM50" s="527">
        <f t="shared" si="75"/>
        <v>15894.662500000002</v>
      </c>
      <c r="BN50" s="527">
        <f t="shared" si="75"/>
        <v>15894.662500000002</v>
      </c>
      <c r="BO50" s="527">
        <f t="shared" si="75"/>
        <v>15894.662500000002</v>
      </c>
      <c r="BP50" s="527">
        <f t="shared" si="75"/>
        <v>15894.662500000002</v>
      </c>
      <c r="BQ50" s="527">
        <f t="shared" si="75"/>
        <v>15894.662500000002</v>
      </c>
      <c r="BR50" s="527">
        <f t="shared" si="75"/>
        <v>15894.662500000002</v>
      </c>
      <c r="BS50" s="527">
        <f t="shared" si="75"/>
        <v>15894.662500000002</v>
      </c>
      <c r="BT50" s="527">
        <f t="shared" si="75"/>
        <v>15894.662500000002</v>
      </c>
      <c r="BU50" s="527">
        <f t="shared" si="75"/>
        <v>15894.662500000002</v>
      </c>
      <c r="BV50" s="527">
        <f t="shared" si="75"/>
        <v>15894.662500000002</v>
      </c>
      <c r="BW50" s="527">
        <f t="shared" si="75"/>
        <v>15894.662500000002</v>
      </c>
      <c r="BX50" s="527">
        <f t="shared" si="75"/>
        <v>15894.662500000002</v>
      </c>
      <c r="BY50" s="527">
        <f t="shared" si="75"/>
        <v>15894.662500000002</v>
      </c>
      <c r="BZ50" s="537"/>
      <c r="CA50" s="537"/>
      <c r="CB50" s="574"/>
    </row>
    <row r="51" spans="1:80" x14ac:dyDescent="0.3">
      <c r="A51" s="551"/>
      <c r="B51" s="548"/>
      <c r="C51" s="525"/>
      <c r="D51" s="525"/>
      <c r="E51" s="525" t="s">
        <v>31</v>
      </c>
      <c r="F51" s="567"/>
      <c r="G51" s="567"/>
      <c r="H51" s="567"/>
      <c r="I51" s="527">
        <f>I541</f>
        <v>354237.6153625208</v>
      </c>
      <c r="J51" s="527">
        <f t="shared" si="69"/>
        <v>354237.61536252085</v>
      </c>
      <c r="K51" s="527">
        <f t="shared" si="69"/>
        <v>354237.61536252085</v>
      </c>
      <c r="L51" s="527">
        <f t="shared" si="69"/>
        <v>354237.61536252085</v>
      </c>
      <c r="M51" s="527">
        <f t="shared" si="69"/>
        <v>354237.61536252085</v>
      </c>
      <c r="N51" s="527">
        <f t="shared" si="69"/>
        <v>354237.61536252085</v>
      </c>
      <c r="O51" s="529"/>
      <c r="P51" s="564">
        <f>IFERROR(((N51/I51)^(1/5))-1,0)</f>
        <v>0</v>
      </c>
      <c r="Q51" s="537"/>
      <c r="R51" s="527">
        <f t="shared" ref="R51:AW51" si="76">R388</f>
        <v>29519.801280210067</v>
      </c>
      <c r="S51" s="527">
        <f t="shared" si="76"/>
        <v>29519.801280210067</v>
      </c>
      <c r="T51" s="527">
        <f t="shared" si="76"/>
        <v>29519.801280210067</v>
      </c>
      <c r="U51" s="527">
        <f t="shared" si="76"/>
        <v>29519.801280210067</v>
      </c>
      <c r="V51" s="527">
        <f t="shared" si="76"/>
        <v>29519.801280210067</v>
      </c>
      <c r="W51" s="527">
        <f t="shared" si="76"/>
        <v>29519.801280210067</v>
      </c>
      <c r="X51" s="527">
        <f t="shared" si="76"/>
        <v>29519.801280210067</v>
      </c>
      <c r="Y51" s="527">
        <f t="shared" si="76"/>
        <v>29519.801280210067</v>
      </c>
      <c r="Z51" s="527">
        <f t="shared" si="76"/>
        <v>29519.801280210067</v>
      </c>
      <c r="AA51" s="527">
        <f t="shared" si="76"/>
        <v>29519.801280210067</v>
      </c>
      <c r="AB51" s="527">
        <f t="shared" si="76"/>
        <v>29519.801280210067</v>
      </c>
      <c r="AC51" s="527">
        <f t="shared" si="76"/>
        <v>29519.801280210067</v>
      </c>
      <c r="AD51" s="527">
        <f t="shared" si="76"/>
        <v>29519.801280210067</v>
      </c>
      <c r="AE51" s="527">
        <f t="shared" si="76"/>
        <v>29519.801280210067</v>
      </c>
      <c r="AF51" s="527">
        <f t="shared" si="76"/>
        <v>29519.801280210067</v>
      </c>
      <c r="AG51" s="527">
        <f t="shared" si="76"/>
        <v>29519.801280210067</v>
      </c>
      <c r="AH51" s="527">
        <f t="shared" si="76"/>
        <v>29519.801280210067</v>
      </c>
      <c r="AI51" s="527">
        <f t="shared" si="76"/>
        <v>29519.801280210067</v>
      </c>
      <c r="AJ51" s="527">
        <f t="shared" si="76"/>
        <v>29519.801280210067</v>
      </c>
      <c r="AK51" s="527">
        <f t="shared" si="76"/>
        <v>29519.801280210067</v>
      </c>
      <c r="AL51" s="527">
        <f t="shared" si="76"/>
        <v>29519.801280210067</v>
      </c>
      <c r="AM51" s="527">
        <f t="shared" si="76"/>
        <v>29519.801280210067</v>
      </c>
      <c r="AN51" s="527">
        <f t="shared" si="76"/>
        <v>29519.801280210067</v>
      </c>
      <c r="AO51" s="527">
        <f t="shared" si="76"/>
        <v>29519.801280210067</v>
      </c>
      <c r="AP51" s="527">
        <f t="shared" si="76"/>
        <v>29519.801280210067</v>
      </c>
      <c r="AQ51" s="527">
        <f t="shared" si="76"/>
        <v>29519.801280210067</v>
      </c>
      <c r="AR51" s="527">
        <f t="shared" si="76"/>
        <v>29519.801280210067</v>
      </c>
      <c r="AS51" s="527">
        <f t="shared" si="76"/>
        <v>29519.801280210067</v>
      </c>
      <c r="AT51" s="527">
        <f t="shared" si="76"/>
        <v>29519.801280210067</v>
      </c>
      <c r="AU51" s="527">
        <f t="shared" si="76"/>
        <v>29519.801280210067</v>
      </c>
      <c r="AV51" s="527">
        <f t="shared" si="76"/>
        <v>29519.801280210067</v>
      </c>
      <c r="AW51" s="527">
        <f t="shared" si="76"/>
        <v>29519.801280210067</v>
      </c>
      <c r="AX51" s="527">
        <f t="shared" ref="AX51:BY51" si="77">AX388</f>
        <v>29519.801280210067</v>
      </c>
      <c r="AY51" s="527">
        <f t="shared" si="77"/>
        <v>29519.801280210067</v>
      </c>
      <c r="AZ51" s="527">
        <f t="shared" si="77"/>
        <v>29519.801280210067</v>
      </c>
      <c r="BA51" s="527">
        <f t="shared" si="77"/>
        <v>29519.801280210067</v>
      </c>
      <c r="BB51" s="527">
        <f t="shared" si="77"/>
        <v>29519.801280210067</v>
      </c>
      <c r="BC51" s="527">
        <f t="shared" si="77"/>
        <v>29519.801280210067</v>
      </c>
      <c r="BD51" s="527">
        <f t="shared" si="77"/>
        <v>29519.801280210067</v>
      </c>
      <c r="BE51" s="527">
        <f t="shared" si="77"/>
        <v>29519.801280210067</v>
      </c>
      <c r="BF51" s="527">
        <f t="shared" si="77"/>
        <v>29519.801280210067</v>
      </c>
      <c r="BG51" s="527">
        <f t="shared" si="77"/>
        <v>29519.801280210067</v>
      </c>
      <c r="BH51" s="527">
        <f t="shared" si="77"/>
        <v>29519.801280210067</v>
      </c>
      <c r="BI51" s="527">
        <f t="shared" si="77"/>
        <v>29519.801280210067</v>
      </c>
      <c r="BJ51" s="527">
        <f t="shared" si="77"/>
        <v>29519.801280210067</v>
      </c>
      <c r="BK51" s="527">
        <f t="shared" si="77"/>
        <v>29519.801280210067</v>
      </c>
      <c r="BL51" s="527">
        <f t="shared" si="77"/>
        <v>29519.801280210067</v>
      </c>
      <c r="BM51" s="527">
        <f t="shared" si="77"/>
        <v>29519.801280210067</v>
      </c>
      <c r="BN51" s="527">
        <f t="shared" si="77"/>
        <v>29519.801280210067</v>
      </c>
      <c r="BO51" s="527">
        <f t="shared" si="77"/>
        <v>29519.801280210067</v>
      </c>
      <c r="BP51" s="527">
        <f t="shared" si="77"/>
        <v>29519.801280210067</v>
      </c>
      <c r="BQ51" s="527">
        <f t="shared" si="77"/>
        <v>29519.801280210067</v>
      </c>
      <c r="BR51" s="527">
        <f t="shared" si="77"/>
        <v>29519.801280210067</v>
      </c>
      <c r="BS51" s="527">
        <f t="shared" si="77"/>
        <v>29519.801280210067</v>
      </c>
      <c r="BT51" s="527">
        <f t="shared" si="77"/>
        <v>29519.801280210067</v>
      </c>
      <c r="BU51" s="527">
        <f t="shared" si="77"/>
        <v>29519.801280210067</v>
      </c>
      <c r="BV51" s="527">
        <f t="shared" si="77"/>
        <v>29519.801280210067</v>
      </c>
      <c r="BW51" s="527">
        <f t="shared" si="77"/>
        <v>29519.801280210067</v>
      </c>
      <c r="BX51" s="527">
        <f t="shared" si="77"/>
        <v>29519.801280210067</v>
      </c>
      <c r="BY51" s="527">
        <f t="shared" si="77"/>
        <v>29519.801280210067</v>
      </c>
      <c r="BZ51" s="537"/>
      <c r="CA51" s="537"/>
      <c r="CB51" s="574"/>
    </row>
    <row r="52" spans="1:80" x14ac:dyDescent="0.3">
      <c r="A52" s="551"/>
      <c r="B52" s="548"/>
      <c r="C52" s="525"/>
      <c r="D52" s="525"/>
      <c r="E52" s="572" t="s">
        <v>32</v>
      </c>
      <c r="F52" s="573"/>
      <c r="G52" s="573"/>
      <c r="H52" s="573"/>
      <c r="I52" s="532">
        <f>I542</f>
        <v>636740.88494777051</v>
      </c>
      <c r="J52" s="532">
        <f t="shared" si="69"/>
        <v>636740.88494777039</v>
      </c>
      <c r="K52" s="532">
        <f t="shared" si="69"/>
        <v>636740.88494777039</v>
      </c>
      <c r="L52" s="532">
        <f t="shared" si="69"/>
        <v>636740.88494777039</v>
      </c>
      <c r="M52" s="532">
        <f t="shared" si="69"/>
        <v>636740.88494777039</v>
      </c>
      <c r="N52" s="532">
        <f t="shared" si="69"/>
        <v>636740.88494777039</v>
      </c>
      <c r="O52" s="536"/>
      <c r="P52" s="568">
        <f>IFERROR(((N52/I52)^(1/5))-1,0)</f>
        <v>0</v>
      </c>
      <c r="Q52" s="537"/>
      <c r="R52" s="532">
        <f t="shared" ref="R52:AW52" si="78">SUM(R48:R51)</f>
        <v>53061.740412314219</v>
      </c>
      <c r="S52" s="530">
        <f t="shared" si="78"/>
        <v>53061.740412314219</v>
      </c>
      <c r="T52" s="532">
        <f t="shared" si="78"/>
        <v>53061.740412314219</v>
      </c>
      <c r="U52" s="532">
        <f t="shared" si="78"/>
        <v>53061.740412314219</v>
      </c>
      <c r="V52" s="532">
        <f t="shared" si="78"/>
        <v>53061.740412314219</v>
      </c>
      <c r="W52" s="532">
        <f t="shared" si="78"/>
        <v>53061.740412314219</v>
      </c>
      <c r="X52" s="532">
        <f t="shared" si="78"/>
        <v>53061.740412314219</v>
      </c>
      <c r="Y52" s="532">
        <f t="shared" si="78"/>
        <v>53061.740412314219</v>
      </c>
      <c r="Z52" s="532">
        <f t="shared" si="78"/>
        <v>53061.740412314219</v>
      </c>
      <c r="AA52" s="532">
        <f t="shared" si="78"/>
        <v>53061.740412314219</v>
      </c>
      <c r="AB52" s="532">
        <f t="shared" si="78"/>
        <v>53061.740412314219</v>
      </c>
      <c r="AC52" s="532">
        <f t="shared" si="78"/>
        <v>53061.740412314219</v>
      </c>
      <c r="AD52" s="532">
        <f t="shared" si="78"/>
        <v>53061.740412314219</v>
      </c>
      <c r="AE52" s="532">
        <f t="shared" si="78"/>
        <v>53061.740412314219</v>
      </c>
      <c r="AF52" s="532">
        <f t="shared" si="78"/>
        <v>53061.740412314219</v>
      </c>
      <c r="AG52" s="532">
        <f t="shared" si="78"/>
        <v>53061.740412314219</v>
      </c>
      <c r="AH52" s="532">
        <f t="shared" si="78"/>
        <v>53061.740412314219</v>
      </c>
      <c r="AI52" s="532">
        <f t="shared" si="78"/>
        <v>53061.740412314219</v>
      </c>
      <c r="AJ52" s="532">
        <f t="shared" si="78"/>
        <v>53061.740412314219</v>
      </c>
      <c r="AK52" s="532">
        <f t="shared" si="78"/>
        <v>53061.740412314219</v>
      </c>
      <c r="AL52" s="532">
        <f t="shared" si="78"/>
        <v>53061.740412314219</v>
      </c>
      <c r="AM52" s="532">
        <f t="shared" si="78"/>
        <v>53061.740412314219</v>
      </c>
      <c r="AN52" s="532">
        <f t="shared" si="78"/>
        <v>53061.740412314219</v>
      </c>
      <c r="AO52" s="532">
        <f t="shared" si="78"/>
        <v>53061.740412314219</v>
      </c>
      <c r="AP52" s="532">
        <f t="shared" si="78"/>
        <v>53061.740412314219</v>
      </c>
      <c r="AQ52" s="532">
        <f t="shared" si="78"/>
        <v>53061.740412314219</v>
      </c>
      <c r="AR52" s="532">
        <f t="shared" si="78"/>
        <v>53061.740412314219</v>
      </c>
      <c r="AS52" s="532">
        <f t="shared" si="78"/>
        <v>53061.740412314219</v>
      </c>
      <c r="AT52" s="532">
        <f t="shared" si="78"/>
        <v>53061.740412314219</v>
      </c>
      <c r="AU52" s="532">
        <f t="shared" si="78"/>
        <v>53061.740412314219</v>
      </c>
      <c r="AV52" s="532">
        <f t="shared" si="78"/>
        <v>53061.740412314219</v>
      </c>
      <c r="AW52" s="532">
        <f t="shared" si="78"/>
        <v>53061.740412314219</v>
      </c>
      <c r="AX52" s="532">
        <f t="shared" ref="AX52:BY52" si="79">SUM(AX48:AX51)</f>
        <v>53061.740412314219</v>
      </c>
      <c r="AY52" s="532">
        <f t="shared" si="79"/>
        <v>53061.740412314219</v>
      </c>
      <c r="AZ52" s="532">
        <f t="shared" si="79"/>
        <v>53061.740412314219</v>
      </c>
      <c r="BA52" s="532">
        <f t="shared" si="79"/>
        <v>53061.740412314219</v>
      </c>
      <c r="BB52" s="532">
        <f t="shared" si="79"/>
        <v>53061.740412314219</v>
      </c>
      <c r="BC52" s="532">
        <f t="shared" si="79"/>
        <v>53061.740412314219</v>
      </c>
      <c r="BD52" s="532">
        <f t="shared" si="79"/>
        <v>53061.740412314219</v>
      </c>
      <c r="BE52" s="532">
        <f t="shared" si="79"/>
        <v>53061.740412314219</v>
      </c>
      <c r="BF52" s="532">
        <f t="shared" si="79"/>
        <v>53061.740412314219</v>
      </c>
      <c r="BG52" s="532">
        <f t="shared" si="79"/>
        <v>53061.740412314219</v>
      </c>
      <c r="BH52" s="532">
        <f t="shared" si="79"/>
        <v>53061.740412314219</v>
      </c>
      <c r="BI52" s="532">
        <f t="shared" si="79"/>
        <v>53061.740412314219</v>
      </c>
      <c r="BJ52" s="532">
        <f t="shared" si="79"/>
        <v>53061.740412314219</v>
      </c>
      <c r="BK52" s="532">
        <f t="shared" si="79"/>
        <v>53061.740412314219</v>
      </c>
      <c r="BL52" s="532">
        <f t="shared" si="79"/>
        <v>53061.740412314219</v>
      </c>
      <c r="BM52" s="532">
        <f t="shared" si="79"/>
        <v>53061.740412314219</v>
      </c>
      <c r="BN52" s="532">
        <f t="shared" si="79"/>
        <v>53061.740412314219</v>
      </c>
      <c r="BO52" s="532">
        <f t="shared" si="79"/>
        <v>53061.740412314219</v>
      </c>
      <c r="BP52" s="532">
        <f t="shared" si="79"/>
        <v>53061.740412314219</v>
      </c>
      <c r="BQ52" s="532">
        <f t="shared" si="79"/>
        <v>53061.740412314219</v>
      </c>
      <c r="BR52" s="532">
        <f t="shared" si="79"/>
        <v>53061.740412314219</v>
      </c>
      <c r="BS52" s="532">
        <f t="shared" si="79"/>
        <v>53061.740412314219</v>
      </c>
      <c r="BT52" s="532">
        <f t="shared" si="79"/>
        <v>53061.740412314219</v>
      </c>
      <c r="BU52" s="532">
        <f t="shared" si="79"/>
        <v>53061.740412314219</v>
      </c>
      <c r="BV52" s="532">
        <f t="shared" si="79"/>
        <v>53061.740412314219</v>
      </c>
      <c r="BW52" s="532">
        <f t="shared" si="79"/>
        <v>53061.740412314219</v>
      </c>
      <c r="BX52" s="532">
        <f t="shared" si="79"/>
        <v>53061.740412314219</v>
      </c>
      <c r="BY52" s="532">
        <f t="shared" si="79"/>
        <v>53061.740412314219</v>
      </c>
      <c r="BZ52" s="537"/>
      <c r="CA52" s="537"/>
      <c r="CB52" s="574"/>
    </row>
    <row r="53" spans="1:80" x14ac:dyDescent="0.3">
      <c r="A53" s="551"/>
      <c r="B53" s="548"/>
      <c r="C53" s="525"/>
      <c r="D53" s="525"/>
      <c r="E53" s="525"/>
      <c r="F53" s="529"/>
      <c r="G53" s="529"/>
      <c r="H53" s="529"/>
      <c r="I53" s="529"/>
      <c r="J53" s="529"/>
      <c r="K53" s="529"/>
      <c r="L53" s="529"/>
      <c r="M53" s="529"/>
      <c r="N53" s="529"/>
      <c r="O53" s="529"/>
      <c r="P53" s="562"/>
      <c r="Q53" s="537"/>
      <c r="R53" s="529"/>
      <c r="S53" s="529"/>
      <c r="T53" s="529"/>
      <c r="U53" s="529"/>
      <c r="V53" s="529"/>
      <c r="W53" s="529"/>
      <c r="X53" s="529"/>
      <c r="Y53" s="529"/>
      <c r="Z53" s="529"/>
      <c r="AA53" s="529"/>
      <c r="AB53" s="529"/>
      <c r="AC53" s="529"/>
      <c r="AD53" s="529"/>
      <c r="AE53" s="529"/>
      <c r="AF53" s="529"/>
      <c r="AG53" s="529"/>
      <c r="AH53" s="529"/>
      <c r="AI53" s="529"/>
      <c r="AJ53" s="529"/>
      <c r="AK53" s="529"/>
      <c r="AL53" s="529"/>
      <c r="AM53" s="529"/>
      <c r="AN53" s="529"/>
      <c r="AO53" s="529"/>
      <c r="AP53" s="529"/>
      <c r="AQ53" s="529"/>
      <c r="AR53" s="529"/>
      <c r="AS53" s="529"/>
      <c r="AT53" s="529"/>
      <c r="AU53" s="529"/>
      <c r="AV53" s="529"/>
      <c r="AW53" s="529"/>
      <c r="AX53" s="529"/>
      <c r="AY53" s="529"/>
      <c r="AZ53" s="529"/>
      <c r="BA53" s="529"/>
      <c r="BB53" s="529"/>
      <c r="BC53" s="529"/>
      <c r="BD53" s="529"/>
      <c r="BE53" s="529"/>
      <c r="BF53" s="529"/>
      <c r="BG53" s="529"/>
      <c r="BH53" s="529"/>
      <c r="BI53" s="529"/>
      <c r="BJ53" s="529"/>
      <c r="BK53" s="529"/>
      <c r="BL53" s="529"/>
      <c r="BM53" s="529"/>
      <c r="BN53" s="529"/>
      <c r="BO53" s="529"/>
      <c r="BP53" s="529"/>
      <c r="BQ53" s="529"/>
      <c r="BR53" s="529"/>
      <c r="BS53" s="529"/>
      <c r="BT53" s="529"/>
      <c r="BU53" s="529"/>
      <c r="BV53" s="529"/>
      <c r="BW53" s="529"/>
      <c r="BX53" s="529"/>
      <c r="BY53" s="529"/>
      <c r="BZ53" s="537"/>
      <c r="CA53" s="537"/>
      <c r="CB53" s="537"/>
    </row>
    <row r="54" spans="1:80" x14ac:dyDescent="0.3">
      <c r="A54" s="551"/>
      <c r="B54" s="548"/>
      <c r="C54" s="525"/>
      <c r="D54" s="525"/>
      <c r="E54" s="578" t="s">
        <v>33</v>
      </c>
      <c r="F54" s="579"/>
      <c r="G54" s="579"/>
      <c r="H54" s="579"/>
      <c r="I54" s="535">
        <f>I544</f>
        <v>11243297.557709048</v>
      </c>
      <c r="J54" s="535">
        <f>SUMIF($R$2:$BY$2,J$3,$R54:$BY54)</f>
        <v>11846999.201987233</v>
      </c>
      <c r="K54" s="534">
        <f>SUMIF($R$2:$BY$2,K$3,$R54:$BY54)</f>
        <v>12572871.503781665</v>
      </c>
      <c r="L54" s="534">
        <f>SUMIF($R$2:$BY$2,L$3,$R54:$BY54)</f>
        <v>13318012.971608369</v>
      </c>
      <c r="M54" s="534">
        <f>SUMIF($R$2:$BY$2,M$3,$R54:$BY54)</f>
        <v>14079232.823898319</v>
      </c>
      <c r="N54" s="535">
        <f>SUMIF($R$2:$BY$2,N$3,$R54:$BY54)</f>
        <v>14878244.949416058</v>
      </c>
      <c r="O54" s="536"/>
      <c r="P54" s="568">
        <f>IFERROR(((N54/I54)^(1/5))-1,0)</f>
        <v>5.7624736805582444E-2</v>
      </c>
      <c r="Q54" s="537"/>
      <c r="R54" s="535">
        <f t="shared" ref="R54:AW54" si="80">R39+R45+R52</f>
        <v>975127.42794098437</v>
      </c>
      <c r="S54" s="535">
        <f t="shared" si="80"/>
        <v>975127.42794098437</v>
      </c>
      <c r="T54" s="535">
        <f t="shared" si="80"/>
        <v>975127.42794098437</v>
      </c>
      <c r="U54" s="535">
        <f t="shared" si="80"/>
        <v>975127.42794098437</v>
      </c>
      <c r="V54" s="535">
        <f t="shared" si="80"/>
        <v>975127.42794098437</v>
      </c>
      <c r="W54" s="535">
        <f t="shared" si="80"/>
        <v>975127.42794098437</v>
      </c>
      <c r="X54" s="535">
        <f t="shared" si="80"/>
        <v>999372.43905688741</v>
      </c>
      <c r="Y54" s="535">
        <f t="shared" si="80"/>
        <v>999372.43905688741</v>
      </c>
      <c r="Z54" s="535">
        <f t="shared" si="80"/>
        <v>999372.43905688741</v>
      </c>
      <c r="AA54" s="535">
        <f t="shared" si="80"/>
        <v>999372.43905688741</v>
      </c>
      <c r="AB54" s="535">
        <f t="shared" si="80"/>
        <v>999372.43905688741</v>
      </c>
      <c r="AC54" s="535">
        <f t="shared" si="80"/>
        <v>999372.43905688741</v>
      </c>
      <c r="AD54" s="534">
        <f t="shared" si="80"/>
        <v>1032192.2286388935</v>
      </c>
      <c r="AE54" s="534">
        <f t="shared" si="80"/>
        <v>1032192.2286388935</v>
      </c>
      <c r="AF54" s="534">
        <f t="shared" si="80"/>
        <v>1032192.2286388935</v>
      </c>
      <c r="AG54" s="534">
        <f t="shared" si="80"/>
        <v>1032192.2286388935</v>
      </c>
      <c r="AH54" s="534">
        <f t="shared" si="80"/>
        <v>1032192.2286388935</v>
      </c>
      <c r="AI54" s="534">
        <f t="shared" si="80"/>
        <v>1032192.2286388935</v>
      </c>
      <c r="AJ54" s="534">
        <f t="shared" si="80"/>
        <v>1063286.3553247179</v>
      </c>
      <c r="AK54" s="534">
        <f t="shared" si="80"/>
        <v>1063286.3553247179</v>
      </c>
      <c r="AL54" s="534">
        <f t="shared" si="80"/>
        <v>1063286.3553247179</v>
      </c>
      <c r="AM54" s="534">
        <f t="shared" si="80"/>
        <v>1063286.3553247179</v>
      </c>
      <c r="AN54" s="534">
        <f t="shared" si="80"/>
        <v>1063286.3553247179</v>
      </c>
      <c r="AO54" s="534">
        <f t="shared" si="80"/>
        <v>1063286.3553247179</v>
      </c>
      <c r="AP54" s="534">
        <f t="shared" si="80"/>
        <v>1090634.0369791659</v>
      </c>
      <c r="AQ54" s="534">
        <f t="shared" si="80"/>
        <v>1090634.0369791659</v>
      </c>
      <c r="AR54" s="534">
        <f t="shared" si="80"/>
        <v>1090634.0369791659</v>
      </c>
      <c r="AS54" s="534">
        <f t="shared" si="80"/>
        <v>1090634.0369791659</v>
      </c>
      <c r="AT54" s="534">
        <f t="shared" si="80"/>
        <v>1090634.0369791659</v>
      </c>
      <c r="AU54" s="534">
        <f t="shared" si="80"/>
        <v>1090634.0369791659</v>
      </c>
      <c r="AV54" s="534">
        <f t="shared" si="80"/>
        <v>1129034.7916222285</v>
      </c>
      <c r="AW54" s="534">
        <f t="shared" si="80"/>
        <v>1129034.7916222285</v>
      </c>
      <c r="AX54" s="534">
        <f t="shared" ref="AX54:BY54" si="81">AX39+AX45+AX52</f>
        <v>1129034.7916222285</v>
      </c>
      <c r="AY54" s="534">
        <f t="shared" si="81"/>
        <v>1129034.7916222285</v>
      </c>
      <c r="AZ54" s="534">
        <f t="shared" si="81"/>
        <v>1129034.7916222285</v>
      </c>
      <c r="BA54" s="534">
        <f t="shared" si="81"/>
        <v>1129034.7916222285</v>
      </c>
      <c r="BB54" s="534">
        <f t="shared" si="81"/>
        <v>1150182.2798117849</v>
      </c>
      <c r="BC54" s="534">
        <f t="shared" si="81"/>
        <v>1150182.2798117849</v>
      </c>
      <c r="BD54" s="534">
        <f t="shared" si="81"/>
        <v>1150182.2798117849</v>
      </c>
      <c r="BE54" s="534">
        <f t="shared" si="81"/>
        <v>1150182.2798117849</v>
      </c>
      <c r="BF54" s="534">
        <f t="shared" si="81"/>
        <v>1150182.2798117849</v>
      </c>
      <c r="BG54" s="534">
        <f t="shared" si="81"/>
        <v>1150182.2798117849</v>
      </c>
      <c r="BH54" s="534">
        <f t="shared" si="81"/>
        <v>1196356.5241712679</v>
      </c>
      <c r="BI54" s="534">
        <f t="shared" si="81"/>
        <v>1196356.5241712679</v>
      </c>
      <c r="BJ54" s="534">
        <f t="shared" si="81"/>
        <v>1196356.5241712679</v>
      </c>
      <c r="BK54" s="534">
        <f t="shared" si="81"/>
        <v>1196356.5241712679</v>
      </c>
      <c r="BL54" s="534">
        <f t="shared" si="81"/>
        <v>1196356.5241712679</v>
      </c>
      <c r="BM54" s="534">
        <f t="shared" si="81"/>
        <v>1196356.5241712679</v>
      </c>
      <c r="BN54" s="534">
        <f t="shared" si="81"/>
        <v>1212635.3601761302</v>
      </c>
      <c r="BO54" s="534">
        <f t="shared" si="81"/>
        <v>1212635.3601761302</v>
      </c>
      <c r="BP54" s="534">
        <f t="shared" si="81"/>
        <v>1212635.3601761302</v>
      </c>
      <c r="BQ54" s="534">
        <f t="shared" si="81"/>
        <v>1212635.3601761302</v>
      </c>
      <c r="BR54" s="534">
        <f t="shared" si="81"/>
        <v>1212635.3601761302</v>
      </c>
      <c r="BS54" s="534">
        <f t="shared" si="81"/>
        <v>1212635.3601761302</v>
      </c>
      <c r="BT54" s="534">
        <f t="shared" si="81"/>
        <v>1267072.1313932121</v>
      </c>
      <c r="BU54" s="534">
        <f t="shared" si="81"/>
        <v>1267072.1313932121</v>
      </c>
      <c r="BV54" s="534">
        <f t="shared" si="81"/>
        <v>1267072.1313932121</v>
      </c>
      <c r="BW54" s="534">
        <f t="shared" si="81"/>
        <v>1267072.1313932121</v>
      </c>
      <c r="BX54" s="534">
        <f t="shared" si="81"/>
        <v>1267072.1313932121</v>
      </c>
      <c r="BY54" s="534">
        <f t="shared" si="81"/>
        <v>1267072.1313932121</v>
      </c>
      <c r="BZ54" s="537"/>
      <c r="CA54" s="537"/>
      <c r="CB54" s="574"/>
    </row>
    <row r="55" spans="1:80" x14ac:dyDescent="0.3">
      <c r="A55" s="551"/>
      <c r="B55" s="548"/>
      <c r="C55" s="525"/>
      <c r="D55" s="525"/>
      <c r="E55" s="525"/>
      <c r="F55" s="529"/>
      <c r="G55" s="529"/>
      <c r="H55" s="529"/>
      <c r="I55" s="529"/>
      <c r="J55" s="529"/>
      <c r="K55" s="529"/>
      <c r="L55" s="529"/>
      <c r="M55" s="529"/>
      <c r="N55" s="529"/>
      <c r="O55" s="529"/>
      <c r="P55" s="562"/>
      <c r="Q55" s="537"/>
      <c r="R55" s="529"/>
      <c r="S55" s="529"/>
      <c r="T55" s="529"/>
      <c r="U55" s="529"/>
      <c r="V55" s="529"/>
      <c r="W55" s="529"/>
      <c r="X55" s="529"/>
      <c r="Y55" s="529"/>
      <c r="Z55" s="529"/>
      <c r="AA55" s="529"/>
      <c r="AB55" s="529"/>
      <c r="AC55" s="529"/>
      <c r="AD55" s="529"/>
      <c r="AE55" s="529"/>
      <c r="AF55" s="529"/>
      <c r="AG55" s="529"/>
      <c r="AH55" s="529"/>
      <c r="AI55" s="529"/>
      <c r="AJ55" s="529"/>
      <c r="AK55" s="529"/>
      <c r="AL55" s="529"/>
      <c r="AM55" s="529"/>
      <c r="AN55" s="529"/>
      <c r="AO55" s="529"/>
      <c r="AP55" s="529"/>
      <c r="AQ55" s="529"/>
      <c r="AR55" s="529"/>
      <c r="AS55" s="529"/>
      <c r="AT55" s="529"/>
      <c r="AU55" s="529"/>
      <c r="AV55" s="529"/>
      <c r="AW55" s="529"/>
      <c r="AX55" s="529"/>
      <c r="AY55" s="529"/>
      <c r="AZ55" s="529"/>
      <c r="BA55" s="529"/>
      <c r="BB55" s="529"/>
      <c r="BC55" s="529"/>
      <c r="BD55" s="529"/>
      <c r="BE55" s="529"/>
      <c r="BF55" s="529"/>
      <c r="BG55" s="529"/>
      <c r="BH55" s="529"/>
      <c r="BI55" s="529"/>
      <c r="BJ55" s="529"/>
      <c r="BK55" s="529"/>
      <c r="BL55" s="529"/>
      <c r="BM55" s="529"/>
      <c r="BN55" s="529"/>
      <c r="BO55" s="529"/>
      <c r="BP55" s="529"/>
      <c r="BQ55" s="529"/>
      <c r="BR55" s="529"/>
      <c r="BS55" s="529"/>
      <c r="BT55" s="529"/>
      <c r="BU55" s="529"/>
      <c r="BV55" s="529"/>
      <c r="BW55" s="529"/>
      <c r="BX55" s="529"/>
      <c r="BY55" s="529"/>
      <c r="BZ55" s="537"/>
      <c r="CA55" s="537"/>
      <c r="CB55" s="537"/>
    </row>
    <row r="56" spans="1:80" x14ac:dyDescent="0.3">
      <c r="A56" s="551"/>
      <c r="B56" s="548"/>
      <c r="C56" s="525"/>
      <c r="D56" s="525"/>
      <c r="E56" s="570" t="s">
        <v>51</v>
      </c>
      <c r="F56" s="529"/>
      <c r="G56" s="529"/>
      <c r="H56" s="529"/>
      <c r="I56" s="529"/>
      <c r="J56" s="529"/>
      <c r="K56" s="529"/>
      <c r="L56" s="529"/>
      <c r="M56" s="529"/>
      <c r="N56" s="529"/>
      <c r="O56" s="529"/>
      <c r="P56" s="562"/>
      <c r="Q56" s="537"/>
      <c r="R56" s="529"/>
      <c r="S56" s="529"/>
      <c r="T56" s="529"/>
      <c r="U56" s="529"/>
      <c r="V56" s="529"/>
      <c r="W56" s="529"/>
      <c r="X56" s="529"/>
      <c r="Y56" s="529"/>
      <c r="Z56" s="529"/>
      <c r="AA56" s="529"/>
      <c r="AB56" s="529"/>
      <c r="AC56" s="529"/>
      <c r="AD56" s="529"/>
      <c r="AE56" s="529"/>
      <c r="AF56" s="529"/>
      <c r="AG56" s="529"/>
      <c r="AH56" s="529"/>
      <c r="AI56" s="529"/>
      <c r="AJ56" s="529"/>
      <c r="AK56" s="529"/>
      <c r="AL56" s="529"/>
      <c r="AM56" s="529"/>
      <c r="AN56" s="529"/>
      <c r="AO56" s="529"/>
      <c r="AP56" s="529"/>
      <c r="AQ56" s="529"/>
      <c r="AR56" s="529"/>
      <c r="AS56" s="529"/>
      <c r="AT56" s="529"/>
      <c r="AU56" s="529"/>
      <c r="AV56" s="529"/>
      <c r="AW56" s="529"/>
      <c r="AX56" s="529"/>
      <c r="AY56" s="529"/>
      <c r="AZ56" s="529"/>
      <c r="BA56" s="529"/>
      <c r="BB56" s="529"/>
      <c r="BC56" s="529"/>
      <c r="BD56" s="529"/>
      <c r="BE56" s="529"/>
      <c r="BF56" s="529"/>
      <c r="BG56" s="529"/>
      <c r="BH56" s="529"/>
      <c r="BI56" s="529"/>
      <c r="BJ56" s="529"/>
      <c r="BK56" s="529"/>
      <c r="BL56" s="529"/>
      <c r="BM56" s="529"/>
      <c r="BN56" s="529"/>
      <c r="BO56" s="529"/>
      <c r="BP56" s="529"/>
      <c r="BQ56" s="529"/>
      <c r="BR56" s="529"/>
      <c r="BS56" s="529"/>
      <c r="BT56" s="529"/>
      <c r="BU56" s="529"/>
      <c r="BV56" s="529"/>
      <c r="BW56" s="529"/>
      <c r="BX56" s="529"/>
      <c r="BY56" s="529"/>
      <c r="BZ56" s="537"/>
      <c r="CA56" s="537"/>
      <c r="CB56" s="537"/>
    </row>
    <row r="57" spans="1:80" x14ac:dyDescent="0.3">
      <c r="A57" s="551"/>
      <c r="B57" s="548"/>
      <c r="C57" s="525"/>
      <c r="D57" s="525"/>
      <c r="E57" s="525" t="s">
        <v>19</v>
      </c>
      <c r="F57" s="567"/>
      <c r="G57" s="567"/>
      <c r="H57" s="567"/>
      <c r="I57" s="527">
        <f>I547</f>
        <v>-253880.80806745929</v>
      </c>
      <c r="J57" s="527">
        <f t="shared" ref="J57:N59" si="82">SUMIF($R$2:$BY$2,J$3,$R57:$BY57)</f>
        <v>-258958.42422880852</v>
      </c>
      <c r="K57" s="527">
        <f t="shared" si="82"/>
        <v>-264137.59271338466</v>
      </c>
      <c r="L57" s="527">
        <f t="shared" si="82"/>
        <v>-269420.34456765227</v>
      </c>
      <c r="M57" s="527">
        <f t="shared" si="82"/>
        <v>-274808.75145900535</v>
      </c>
      <c r="N57" s="527">
        <f t="shared" si="82"/>
        <v>-280304.92648818553</v>
      </c>
      <c r="O57" s="529"/>
      <c r="P57" s="564">
        <f>IFERROR(((N57/I57)^(1/5))-1,0)</f>
        <v>2.0000000000000018E-2</v>
      </c>
      <c r="Q57" s="537"/>
      <c r="R57" s="527">
        <f t="shared" ref="R57:AW57" si="83">R400</f>
        <v>-21579.86868573404</v>
      </c>
      <c r="S57" s="527">
        <f t="shared" si="83"/>
        <v>-21579.86868573404</v>
      </c>
      <c r="T57" s="527">
        <f t="shared" si="83"/>
        <v>-21579.86868573404</v>
      </c>
      <c r="U57" s="527">
        <f t="shared" si="83"/>
        <v>-21579.86868573404</v>
      </c>
      <c r="V57" s="527">
        <f t="shared" si="83"/>
        <v>-21579.86868573404</v>
      </c>
      <c r="W57" s="527">
        <f t="shared" si="83"/>
        <v>-21579.86868573404</v>
      </c>
      <c r="X57" s="527">
        <f t="shared" si="83"/>
        <v>-21579.86868573404</v>
      </c>
      <c r="Y57" s="527">
        <f t="shared" si="83"/>
        <v>-21579.86868573404</v>
      </c>
      <c r="Z57" s="527">
        <f t="shared" si="83"/>
        <v>-21579.86868573404</v>
      </c>
      <c r="AA57" s="527">
        <f t="shared" si="83"/>
        <v>-21579.86868573404</v>
      </c>
      <c r="AB57" s="527">
        <f t="shared" si="83"/>
        <v>-21579.86868573404</v>
      </c>
      <c r="AC57" s="527">
        <f t="shared" si="83"/>
        <v>-21579.86868573404</v>
      </c>
      <c r="AD57" s="527">
        <f t="shared" si="83"/>
        <v>-22011.466059448721</v>
      </c>
      <c r="AE57" s="527">
        <f t="shared" si="83"/>
        <v>-22011.466059448721</v>
      </c>
      <c r="AF57" s="527">
        <f t="shared" si="83"/>
        <v>-22011.466059448721</v>
      </c>
      <c r="AG57" s="527">
        <f t="shared" si="83"/>
        <v>-22011.466059448721</v>
      </c>
      <c r="AH57" s="527">
        <f t="shared" si="83"/>
        <v>-22011.466059448721</v>
      </c>
      <c r="AI57" s="527">
        <f t="shared" si="83"/>
        <v>-22011.466059448721</v>
      </c>
      <c r="AJ57" s="527">
        <f t="shared" si="83"/>
        <v>-22011.466059448721</v>
      </c>
      <c r="AK57" s="527">
        <f t="shared" si="83"/>
        <v>-22011.466059448721</v>
      </c>
      <c r="AL57" s="527">
        <f t="shared" si="83"/>
        <v>-22011.466059448721</v>
      </c>
      <c r="AM57" s="527">
        <f t="shared" si="83"/>
        <v>-22011.466059448721</v>
      </c>
      <c r="AN57" s="527">
        <f t="shared" si="83"/>
        <v>-22011.466059448721</v>
      </c>
      <c r="AO57" s="527">
        <f t="shared" si="83"/>
        <v>-22011.466059448721</v>
      </c>
      <c r="AP57" s="527">
        <f t="shared" si="83"/>
        <v>-22451.695380637695</v>
      </c>
      <c r="AQ57" s="527">
        <f t="shared" si="83"/>
        <v>-22451.695380637695</v>
      </c>
      <c r="AR57" s="527">
        <f t="shared" si="83"/>
        <v>-22451.695380637695</v>
      </c>
      <c r="AS57" s="527">
        <f t="shared" si="83"/>
        <v>-22451.695380637695</v>
      </c>
      <c r="AT57" s="527">
        <f t="shared" si="83"/>
        <v>-22451.695380637695</v>
      </c>
      <c r="AU57" s="527">
        <f t="shared" si="83"/>
        <v>-22451.695380637695</v>
      </c>
      <c r="AV57" s="527">
        <f t="shared" si="83"/>
        <v>-22451.695380637695</v>
      </c>
      <c r="AW57" s="527">
        <f t="shared" si="83"/>
        <v>-22451.695380637695</v>
      </c>
      <c r="AX57" s="527">
        <f t="shared" ref="AX57:BY57" si="84">AX400</f>
        <v>-22451.695380637695</v>
      </c>
      <c r="AY57" s="527">
        <f t="shared" si="84"/>
        <v>-22451.695380637695</v>
      </c>
      <c r="AZ57" s="527">
        <f t="shared" si="84"/>
        <v>-22451.695380637695</v>
      </c>
      <c r="BA57" s="527">
        <f t="shared" si="84"/>
        <v>-22451.695380637695</v>
      </c>
      <c r="BB57" s="527">
        <f t="shared" si="84"/>
        <v>-22900.729288250452</v>
      </c>
      <c r="BC57" s="527">
        <f t="shared" si="84"/>
        <v>-22900.729288250452</v>
      </c>
      <c r="BD57" s="527">
        <f t="shared" si="84"/>
        <v>-22900.729288250452</v>
      </c>
      <c r="BE57" s="527">
        <f t="shared" si="84"/>
        <v>-22900.729288250452</v>
      </c>
      <c r="BF57" s="527">
        <f t="shared" si="84"/>
        <v>-22900.729288250452</v>
      </c>
      <c r="BG57" s="527">
        <f t="shared" si="84"/>
        <v>-22900.729288250452</v>
      </c>
      <c r="BH57" s="527">
        <f t="shared" si="84"/>
        <v>-22900.729288250452</v>
      </c>
      <c r="BI57" s="527">
        <f t="shared" si="84"/>
        <v>-22900.729288250452</v>
      </c>
      <c r="BJ57" s="527">
        <f t="shared" si="84"/>
        <v>-22900.729288250452</v>
      </c>
      <c r="BK57" s="527">
        <f t="shared" si="84"/>
        <v>-22900.729288250452</v>
      </c>
      <c r="BL57" s="527">
        <f t="shared" si="84"/>
        <v>-22900.729288250452</v>
      </c>
      <c r="BM57" s="527">
        <f t="shared" si="84"/>
        <v>-22900.729288250452</v>
      </c>
      <c r="BN57" s="527">
        <f t="shared" si="84"/>
        <v>-23358.743874015461</v>
      </c>
      <c r="BO57" s="527">
        <f t="shared" si="84"/>
        <v>-23358.743874015461</v>
      </c>
      <c r="BP57" s="527">
        <f t="shared" si="84"/>
        <v>-23358.743874015461</v>
      </c>
      <c r="BQ57" s="527">
        <f t="shared" si="84"/>
        <v>-23358.743874015461</v>
      </c>
      <c r="BR57" s="527">
        <f t="shared" si="84"/>
        <v>-23358.743874015461</v>
      </c>
      <c r="BS57" s="527">
        <f t="shared" si="84"/>
        <v>-23358.743874015461</v>
      </c>
      <c r="BT57" s="527">
        <f t="shared" si="84"/>
        <v>-23358.743874015461</v>
      </c>
      <c r="BU57" s="527">
        <f t="shared" si="84"/>
        <v>-23358.743874015461</v>
      </c>
      <c r="BV57" s="527">
        <f t="shared" si="84"/>
        <v>-23358.743874015461</v>
      </c>
      <c r="BW57" s="527">
        <f t="shared" si="84"/>
        <v>-23358.743874015461</v>
      </c>
      <c r="BX57" s="527">
        <f t="shared" si="84"/>
        <v>-23358.743874015461</v>
      </c>
      <c r="BY57" s="527">
        <f t="shared" si="84"/>
        <v>-23358.743874015461</v>
      </c>
      <c r="BZ57" s="537"/>
      <c r="CA57" s="537"/>
      <c r="CB57" s="574"/>
    </row>
    <row r="58" spans="1:80" x14ac:dyDescent="0.3">
      <c r="A58" s="551"/>
      <c r="B58" s="548"/>
      <c r="C58" s="525"/>
      <c r="D58" s="525"/>
      <c r="E58" s="525" t="s">
        <v>20</v>
      </c>
      <c r="F58" s="567"/>
      <c r="G58" s="567"/>
      <c r="H58" s="567"/>
      <c r="I58" s="527">
        <f>I548</f>
        <v>-22137.520296883249</v>
      </c>
      <c r="J58" s="527">
        <f t="shared" si="82"/>
        <v>-22580.270702820922</v>
      </c>
      <c r="K58" s="527">
        <f t="shared" si="82"/>
        <v>-23031.876116877334</v>
      </c>
      <c r="L58" s="527">
        <f t="shared" si="82"/>
        <v>-23492.513639214874</v>
      </c>
      <c r="M58" s="527">
        <f t="shared" si="82"/>
        <v>-23962.363911999171</v>
      </c>
      <c r="N58" s="527">
        <f t="shared" si="82"/>
        <v>-24441.611190239168</v>
      </c>
      <c r="O58" s="529"/>
      <c r="P58" s="564">
        <f>IFERROR(((N58/I58)^(1/5))-1,0)</f>
        <v>2.0000000000000018E-2</v>
      </c>
      <c r="Q58" s="537"/>
      <c r="R58" s="527">
        <f t="shared" ref="R58:AW58" si="85">R408</f>
        <v>-1881.6892252350763</v>
      </c>
      <c r="S58" s="527">
        <f t="shared" si="85"/>
        <v>-1881.6892252350763</v>
      </c>
      <c r="T58" s="527">
        <f t="shared" si="85"/>
        <v>-1881.6892252350763</v>
      </c>
      <c r="U58" s="527">
        <f t="shared" si="85"/>
        <v>-1881.6892252350763</v>
      </c>
      <c r="V58" s="527">
        <f t="shared" si="85"/>
        <v>-1881.6892252350763</v>
      </c>
      <c r="W58" s="527">
        <f t="shared" si="85"/>
        <v>-1881.6892252350763</v>
      </c>
      <c r="X58" s="527">
        <f t="shared" si="85"/>
        <v>-1881.6892252350763</v>
      </c>
      <c r="Y58" s="527">
        <f t="shared" si="85"/>
        <v>-1881.6892252350763</v>
      </c>
      <c r="Z58" s="527">
        <f t="shared" si="85"/>
        <v>-1881.6892252350763</v>
      </c>
      <c r="AA58" s="527">
        <f t="shared" si="85"/>
        <v>-1881.6892252350763</v>
      </c>
      <c r="AB58" s="527">
        <f t="shared" si="85"/>
        <v>-1881.6892252350763</v>
      </c>
      <c r="AC58" s="527">
        <f t="shared" si="85"/>
        <v>-1881.6892252350763</v>
      </c>
      <c r="AD58" s="527">
        <f t="shared" si="85"/>
        <v>-1919.3230097397777</v>
      </c>
      <c r="AE58" s="527">
        <f t="shared" si="85"/>
        <v>-1919.3230097397777</v>
      </c>
      <c r="AF58" s="527">
        <f t="shared" si="85"/>
        <v>-1919.3230097397777</v>
      </c>
      <c r="AG58" s="527">
        <f t="shared" si="85"/>
        <v>-1919.3230097397777</v>
      </c>
      <c r="AH58" s="527">
        <f t="shared" si="85"/>
        <v>-1919.3230097397777</v>
      </c>
      <c r="AI58" s="527">
        <f t="shared" si="85"/>
        <v>-1919.3230097397777</v>
      </c>
      <c r="AJ58" s="527">
        <f t="shared" si="85"/>
        <v>-1919.3230097397777</v>
      </c>
      <c r="AK58" s="527">
        <f t="shared" si="85"/>
        <v>-1919.3230097397777</v>
      </c>
      <c r="AL58" s="527">
        <f t="shared" si="85"/>
        <v>-1919.3230097397777</v>
      </c>
      <c r="AM58" s="527">
        <f t="shared" si="85"/>
        <v>-1919.3230097397777</v>
      </c>
      <c r="AN58" s="527">
        <f t="shared" si="85"/>
        <v>-1919.3230097397777</v>
      </c>
      <c r="AO58" s="527">
        <f t="shared" si="85"/>
        <v>-1919.3230097397777</v>
      </c>
      <c r="AP58" s="527">
        <f t="shared" si="85"/>
        <v>-1957.7094699345735</v>
      </c>
      <c r="AQ58" s="527">
        <f t="shared" si="85"/>
        <v>-1957.7094699345735</v>
      </c>
      <c r="AR58" s="527">
        <f t="shared" si="85"/>
        <v>-1957.7094699345735</v>
      </c>
      <c r="AS58" s="527">
        <f t="shared" si="85"/>
        <v>-1957.7094699345735</v>
      </c>
      <c r="AT58" s="527">
        <f t="shared" si="85"/>
        <v>-1957.7094699345735</v>
      </c>
      <c r="AU58" s="527">
        <f t="shared" si="85"/>
        <v>-1957.7094699345735</v>
      </c>
      <c r="AV58" s="527">
        <f t="shared" si="85"/>
        <v>-1957.7094699345735</v>
      </c>
      <c r="AW58" s="527">
        <f t="shared" si="85"/>
        <v>-1957.7094699345735</v>
      </c>
      <c r="AX58" s="527">
        <f t="shared" ref="AX58:BY58" si="86">AX408</f>
        <v>-1957.7094699345735</v>
      </c>
      <c r="AY58" s="527">
        <f t="shared" si="86"/>
        <v>-1957.7094699345735</v>
      </c>
      <c r="AZ58" s="527">
        <f t="shared" si="86"/>
        <v>-1957.7094699345735</v>
      </c>
      <c r="BA58" s="527">
        <f t="shared" si="86"/>
        <v>-1957.7094699345735</v>
      </c>
      <c r="BB58" s="527">
        <f t="shared" si="86"/>
        <v>-1996.8636593332649</v>
      </c>
      <c r="BC58" s="527">
        <f t="shared" si="86"/>
        <v>-1996.8636593332649</v>
      </c>
      <c r="BD58" s="527">
        <f t="shared" si="86"/>
        <v>-1996.8636593332649</v>
      </c>
      <c r="BE58" s="527">
        <f t="shared" si="86"/>
        <v>-1996.8636593332649</v>
      </c>
      <c r="BF58" s="527">
        <f t="shared" si="86"/>
        <v>-1996.8636593332649</v>
      </c>
      <c r="BG58" s="527">
        <f t="shared" si="86"/>
        <v>-1996.8636593332649</v>
      </c>
      <c r="BH58" s="527">
        <f t="shared" si="86"/>
        <v>-1996.8636593332649</v>
      </c>
      <c r="BI58" s="527">
        <f t="shared" si="86"/>
        <v>-1996.8636593332649</v>
      </c>
      <c r="BJ58" s="527">
        <f t="shared" si="86"/>
        <v>-1996.8636593332649</v>
      </c>
      <c r="BK58" s="527">
        <f t="shared" si="86"/>
        <v>-1996.8636593332649</v>
      </c>
      <c r="BL58" s="527">
        <f t="shared" si="86"/>
        <v>-1996.8636593332649</v>
      </c>
      <c r="BM58" s="527">
        <f t="shared" si="86"/>
        <v>-1996.8636593332649</v>
      </c>
      <c r="BN58" s="527">
        <f t="shared" si="86"/>
        <v>-2036.80093251993</v>
      </c>
      <c r="BO58" s="527">
        <f t="shared" si="86"/>
        <v>-2036.80093251993</v>
      </c>
      <c r="BP58" s="527">
        <f t="shared" si="86"/>
        <v>-2036.80093251993</v>
      </c>
      <c r="BQ58" s="527">
        <f t="shared" si="86"/>
        <v>-2036.80093251993</v>
      </c>
      <c r="BR58" s="527">
        <f t="shared" si="86"/>
        <v>-2036.80093251993</v>
      </c>
      <c r="BS58" s="527">
        <f t="shared" si="86"/>
        <v>-2036.80093251993</v>
      </c>
      <c r="BT58" s="527">
        <f t="shared" si="86"/>
        <v>-2036.80093251993</v>
      </c>
      <c r="BU58" s="527">
        <f t="shared" si="86"/>
        <v>-2036.80093251993</v>
      </c>
      <c r="BV58" s="527">
        <f t="shared" si="86"/>
        <v>-2036.80093251993</v>
      </c>
      <c r="BW58" s="527">
        <f t="shared" si="86"/>
        <v>-2036.80093251993</v>
      </c>
      <c r="BX58" s="527">
        <f t="shared" si="86"/>
        <v>-2036.80093251993</v>
      </c>
      <c r="BY58" s="527">
        <f t="shared" si="86"/>
        <v>-2036.80093251993</v>
      </c>
      <c r="BZ58" s="537"/>
      <c r="CA58" s="537"/>
      <c r="CB58" s="574"/>
    </row>
    <row r="59" spans="1:80" x14ac:dyDescent="0.3">
      <c r="A59" s="551"/>
      <c r="B59" s="548"/>
      <c r="C59" s="525"/>
      <c r="D59" s="525"/>
      <c r="E59" s="572" t="s">
        <v>35</v>
      </c>
      <c r="F59" s="573"/>
      <c r="G59" s="573"/>
      <c r="H59" s="573"/>
      <c r="I59" s="530">
        <f>I549</f>
        <v>-276018.32836434257</v>
      </c>
      <c r="J59" s="532">
        <f t="shared" si="82"/>
        <v>-281538.69493162946</v>
      </c>
      <c r="K59" s="532">
        <f t="shared" si="82"/>
        <v>-287169.46883026202</v>
      </c>
      <c r="L59" s="532">
        <f t="shared" si="82"/>
        <v>-292912.85820686718</v>
      </c>
      <c r="M59" s="532">
        <f t="shared" si="82"/>
        <v>-298771.11537100456</v>
      </c>
      <c r="N59" s="530">
        <f t="shared" si="82"/>
        <v>-304746.53767842468</v>
      </c>
      <c r="O59" s="536"/>
      <c r="P59" s="568">
        <f>IFERROR(((N59/I59)^(1/5))-1,0)</f>
        <v>2.0000000000000018E-2</v>
      </c>
      <c r="Q59" s="537"/>
      <c r="R59" s="532">
        <f t="shared" ref="R59:AW59" si="87">SUM(R57:R58)</f>
        <v>-23461.557910969117</v>
      </c>
      <c r="S59" s="532">
        <f t="shared" si="87"/>
        <v>-23461.557910969117</v>
      </c>
      <c r="T59" s="530">
        <f t="shared" si="87"/>
        <v>-23461.557910969117</v>
      </c>
      <c r="U59" s="532">
        <f t="shared" si="87"/>
        <v>-23461.557910969117</v>
      </c>
      <c r="V59" s="532">
        <f t="shared" si="87"/>
        <v>-23461.557910969117</v>
      </c>
      <c r="W59" s="532">
        <f t="shared" si="87"/>
        <v>-23461.557910969117</v>
      </c>
      <c r="X59" s="532">
        <f t="shared" si="87"/>
        <v>-23461.557910969117</v>
      </c>
      <c r="Y59" s="532">
        <f t="shared" si="87"/>
        <v>-23461.557910969117</v>
      </c>
      <c r="Z59" s="532">
        <f t="shared" si="87"/>
        <v>-23461.557910969117</v>
      </c>
      <c r="AA59" s="532">
        <f t="shared" si="87"/>
        <v>-23461.557910969117</v>
      </c>
      <c r="AB59" s="532">
        <f t="shared" si="87"/>
        <v>-23461.557910969117</v>
      </c>
      <c r="AC59" s="532">
        <f t="shared" si="87"/>
        <v>-23461.557910969117</v>
      </c>
      <c r="AD59" s="532">
        <f t="shared" si="87"/>
        <v>-23930.7890691885</v>
      </c>
      <c r="AE59" s="532">
        <f t="shared" si="87"/>
        <v>-23930.7890691885</v>
      </c>
      <c r="AF59" s="532">
        <f t="shared" si="87"/>
        <v>-23930.7890691885</v>
      </c>
      <c r="AG59" s="532">
        <f t="shared" si="87"/>
        <v>-23930.7890691885</v>
      </c>
      <c r="AH59" s="532">
        <f t="shared" si="87"/>
        <v>-23930.7890691885</v>
      </c>
      <c r="AI59" s="532">
        <f t="shared" si="87"/>
        <v>-23930.7890691885</v>
      </c>
      <c r="AJ59" s="532">
        <f t="shared" si="87"/>
        <v>-23930.7890691885</v>
      </c>
      <c r="AK59" s="532">
        <f t="shared" si="87"/>
        <v>-23930.7890691885</v>
      </c>
      <c r="AL59" s="532">
        <f t="shared" si="87"/>
        <v>-23930.7890691885</v>
      </c>
      <c r="AM59" s="532">
        <f t="shared" si="87"/>
        <v>-23930.7890691885</v>
      </c>
      <c r="AN59" s="532">
        <f t="shared" si="87"/>
        <v>-23930.7890691885</v>
      </c>
      <c r="AO59" s="532">
        <f t="shared" si="87"/>
        <v>-23930.7890691885</v>
      </c>
      <c r="AP59" s="532">
        <f t="shared" si="87"/>
        <v>-24409.404850572268</v>
      </c>
      <c r="AQ59" s="532">
        <f t="shared" si="87"/>
        <v>-24409.404850572268</v>
      </c>
      <c r="AR59" s="532">
        <f t="shared" si="87"/>
        <v>-24409.404850572268</v>
      </c>
      <c r="AS59" s="532">
        <f t="shared" si="87"/>
        <v>-24409.404850572268</v>
      </c>
      <c r="AT59" s="532">
        <f t="shared" si="87"/>
        <v>-24409.404850572268</v>
      </c>
      <c r="AU59" s="532">
        <f t="shared" si="87"/>
        <v>-24409.404850572268</v>
      </c>
      <c r="AV59" s="532">
        <f t="shared" si="87"/>
        <v>-24409.404850572268</v>
      </c>
      <c r="AW59" s="532">
        <f t="shared" si="87"/>
        <v>-24409.404850572268</v>
      </c>
      <c r="AX59" s="532">
        <f t="shared" ref="AX59:BY59" si="88">SUM(AX57:AX58)</f>
        <v>-24409.404850572268</v>
      </c>
      <c r="AY59" s="532">
        <f t="shared" si="88"/>
        <v>-24409.404850572268</v>
      </c>
      <c r="AZ59" s="532">
        <f t="shared" si="88"/>
        <v>-24409.404850572268</v>
      </c>
      <c r="BA59" s="532">
        <f t="shared" si="88"/>
        <v>-24409.404850572268</v>
      </c>
      <c r="BB59" s="532">
        <f t="shared" si="88"/>
        <v>-24897.592947583718</v>
      </c>
      <c r="BC59" s="532">
        <f t="shared" si="88"/>
        <v>-24897.592947583718</v>
      </c>
      <c r="BD59" s="532">
        <f t="shared" si="88"/>
        <v>-24897.592947583718</v>
      </c>
      <c r="BE59" s="532">
        <f t="shared" si="88"/>
        <v>-24897.592947583718</v>
      </c>
      <c r="BF59" s="532">
        <f t="shared" si="88"/>
        <v>-24897.592947583718</v>
      </c>
      <c r="BG59" s="532">
        <f t="shared" si="88"/>
        <v>-24897.592947583718</v>
      </c>
      <c r="BH59" s="532">
        <f t="shared" si="88"/>
        <v>-24897.592947583718</v>
      </c>
      <c r="BI59" s="532">
        <f t="shared" si="88"/>
        <v>-24897.592947583718</v>
      </c>
      <c r="BJ59" s="532">
        <f t="shared" si="88"/>
        <v>-24897.592947583718</v>
      </c>
      <c r="BK59" s="532">
        <f t="shared" si="88"/>
        <v>-24897.592947583718</v>
      </c>
      <c r="BL59" s="532">
        <f t="shared" si="88"/>
        <v>-24897.592947583718</v>
      </c>
      <c r="BM59" s="532">
        <f t="shared" si="88"/>
        <v>-24897.592947583718</v>
      </c>
      <c r="BN59" s="532">
        <f t="shared" si="88"/>
        <v>-25395.544806535392</v>
      </c>
      <c r="BO59" s="532">
        <f t="shared" si="88"/>
        <v>-25395.544806535392</v>
      </c>
      <c r="BP59" s="532">
        <f t="shared" si="88"/>
        <v>-25395.544806535392</v>
      </c>
      <c r="BQ59" s="532">
        <f t="shared" si="88"/>
        <v>-25395.544806535392</v>
      </c>
      <c r="BR59" s="532">
        <f t="shared" si="88"/>
        <v>-25395.544806535392</v>
      </c>
      <c r="BS59" s="532">
        <f t="shared" si="88"/>
        <v>-25395.544806535392</v>
      </c>
      <c r="BT59" s="532">
        <f t="shared" si="88"/>
        <v>-25395.544806535392</v>
      </c>
      <c r="BU59" s="532">
        <f t="shared" si="88"/>
        <v>-25395.544806535392</v>
      </c>
      <c r="BV59" s="532">
        <f t="shared" si="88"/>
        <v>-25395.544806535392</v>
      </c>
      <c r="BW59" s="532">
        <f t="shared" si="88"/>
        <v>-25395.544806535392</v>
      </c>
      <c r="BX59" s="532">
        <f t="shared" si="88"/>
        <v>-25395.544806535392</v>
      </c>
      <c r="BY59" s="532">
        <f t="shared" si="88"/>
        <v>-25395.544806535392</v>
      </c>
      <c r="BZ59" s="537"/>
      <c r="CA59" s="537"/>
      <c r="CB59" s="574"/>
    </row>
    <row r="60" spans="1:80" x14ac:dyDescent="0.3">
      <c r="A60" s="551"/>
      <c r="B60" s="548"/>
      <c r="C60" s="525"/>
      <c r="D60" s="525"/>
      <c r="E60" s="525"/>
      <c r="F60" s="529"/>
      <c r="G60" s="529"/>
      <c r="H60" s="529"/>
      <c r="I60" s="529"/>
      <c r="J60" s="529"/>
      <c r="K60" s="529"/>
      <c r="L60" s="529"/>
      <c r="M60" s="529"/>
      <c r="N60" s="529"/>
      <c r="O60" s="529"/>
      <c r="P60" s="562"/>
      <c r="Q60" s="537"/>
      <c r="R60" s="529"/>
      <c r="S60" s="529"/>
      <c r="T60" s="529"/>
      <c r="U60" s="529"/>
      <c r="V60" s="529"/>
      <c r="W60" s="529"/>
      <c r="X60" s="529"/>
      <c r="Y60" s="529"/>
      <c r="Z60" s="529"/>
      <c r="AA60" s="529"/>
      <c r="AB60" s="529"/>
      <c r="AC60" s="529"/>
      <c r="AD60" s="529"/>
      <c r="AE60" s="529"/>
      <c r="AF60" s="529"/>
      <c r="AG60" s="529"/>
      <c r="AH60" s="529"/>
      <c r="AI60" s="529"/>
      <c r="AJ60" s="529"/>
      <c r="AK60" s="529"/>
      <c r="AL60" s="529"/>
      <c r="AM60" s="529"/>
      <c r="AN60" s="529"/>
      <c r="AO60" s="529"/>
      <c r="AP60" s="529"/>
      <c r="AQ60" s="529"/>
      <c r="AR60" s="529"/>
      <c r="AS60" s="529"/>
      <c r="AT60" s="529"/>
      <c r="AU60" s="529"/>
      <c r="AV60" s="529"/>
      <c r="AW60" s="529"/>
      <c r="AX60" s="529"/>
      <c r="AY60" s="529"/>
      <c r="AZ60" s="529"/>
      <c r="BA60" s="529"/>
      <c r="BB60" s="529"/>
      <c r="BC60" s="529"/>
      <c r="BD60" s="529"/>
      <c r="BE60" s="529"/>
      <c r="BF60" s="529"/>
      <c r="BG60" s="529"/>
      <c r="BH60" s="529"/>
      <c r="BI60" s="529"/>
      <c r="BJ60" s="529"/>
      <c r="BK60" s="529"/>
      <c r="BL60" s="529"/>
      <c r="BM60" s="529"/>
      <c r="BN60" s="529"/>
      <c r="BO60" s="529"/>
      <c r="BP60" s="529"/>
      <c r="BQ60" s="529"/>
      <c r="BR60" s="529"/>
      <c r="BS60" s="529"/>
      <c r="BT60" s="529"/>
      <c r="BU60" s="529"/>
      <c r="BV60" s="529"/>
      <c r="BW60" s="529"/>
      <c r="BX60" s="529"/>
      <c r="BY60" s="529"/>
      <c r="BZ60" s="537"/>
      <c r="CA60" s="537"/>
      <c r="CB60" s="537"/>
    </row>
    <row r="61" spans="1:80" x14ac:dyDescent="0.3">
      <c r="A61" s="551"/>
      <c r="B61" s="548"/>
      <c r="C61" s="525"/>
      <c r="D61" s="525"/>
      <c r="E61" s="62" t="s">
        <v>21</v>
      </c>
      <c r="F61" s="579"/>
      <c r="G61" s="579"/>
      <c r="H61" s="579"/>
      <c r="I61" s="535">
        <f>I551</f>
        <v>10967279.229344705</v>
      </c>
      <c r="J61" s="534">
        <f>SUMIF($R$2:$BY$2,J$3,$R61:$BY61)</f>
        <v>11565460.507055605</v>
      </c>
      <c r="K61" s="534">
        <f>SUMIF($R$2:$BY$2,K$3,$R61:$BY61)</f>
        <v>12285702.034951404</v>
      </c>
      <c r="L61" s="534">
        <f>SUMIF($R$2:$BY$2,L$3,$R61:$BY61)</f>
        <v>13025100.113401501</v>
      </c>
      <c r="M61" s="534">
        <f>SUMIF($R$2:$BY$2,M$3,$R61:$BY61)</f>
        <v>13780461.708527315</v>
      </c>
      <c r="N61" s="535">
        <f>SUMIF($R$2:$BY$2,N$3,$R61:$BY61)</f>
        <v>14573498.411737628</v>
      </c>
      <c r="O61" s="536"/>
      <c r="P61" s="568">
        <f>IFERROR(((N61/I61)^(1/5))-1,0)</f>
        <v>5.8505169667159906E-2</v>
      </c>
      <c r="Q61" s="537"/>
      <c r="R61" s="535">
        <f t="shared" ref="R61:AW61" si="89">R54+R59</f>
        <v>951665.87003001524</v>
      </c>
      <c r="S61" s="534">
        <f t="shared" si="89"/>
        <v>951665.87003001524</v>
      </c>
      <c r="T61" s="535">
        <f t="shared" si="89"/>
        <v>951665.87003001524</v>
      </c>
      <c r="U61" s="534">
        <f t="shared" si="89"/>
        <v>951665.87003001524</v>
      </c>
      <c r="V61" s="534">
        <f t="shared" si="89"/>
        <v>951665.87003001524</v>
      </c>
      <c r="W61" s="534">
        <f t="shared" si="89"/>
        <v>951665.87003001524</v>
      </c>
      <c r="X61" s="534">
        <f t="shared" si="89"/>
        <v>975910.88114591828</v>
      </c>
      <c r="Y61" s="534">
        <f t="shared" si="89"/>
        <v>975910.88114591828</v>
      </c>
      <c r="Z61" s="534">
        <f t="shared" si="89"/>
        <v>975910.88114591828</v>
      </c>
      <c r="AA61" s="534">
        <f t="shared" si="89"/>
        <v>975910.88114591828</v>
      </c>
      <c r="AB61" s="534">
        <f t="shared" si="89"/>
        <v>975910.88114591828</v>
      </c>
      <c r="AC61" s="534">
        <f t="shared" si="89"/>
        <v>975910.88114591828</v>
      </c>
      <c r="AD61" s="534">
        <f t="shared" si="89"/>
        <v>1008261.4395697049</v>
      </c>
      <c r="AE61" s="534">
        <f t="shared" si="89"/>
        <v>1008261.4395697049</v>
      </c>
      <c r="AF61" s="534">
        <f t="shared" si="89"/>
        <v>1008261.4395697049</v>
      </c>
      <c r="AG61" s="534">
        <f t="shared" si="89"/>
        <v>1008261.4395697049</v>
      </c>
      <c r="AH61" s="534">
        <f t="shared" si="89"/>
        <v>1008261.4395697049</v>
      </c>
      <c r="AI61" s="534">
        <f t="shared" si="89"/>
        <v>1008261.4395697049</v>
      </c>
      <c r="AJ61" s="534">
        <f t="shared" si="89"/>
        <v>1039355.5662555294</v>
      </c>
      <c r="AK61" s="534">
        <f t="shared" si="89"/>
        <v>1039355.5662555294</v>
      </c>
      <c r="AL61" s="534">
        <f t="shared" si="89"/>
        <v>1039355.5662555294</v>
      </c>
      <c r="AM61" s="534">
        <f t="shared" si="89"/>
        <v>1039355.5662555294</v>
      </c>
      <c r="AN61" s="534">
        <f t="shared" si="89"/>
        <v>1039355.5662555294</v>
      </c>
      <c r="AO61" s="534">
        <f t="shared" si="89"/>
        <v>1039355.5662555294</v>
      </c>
      <c r="AP61" s="534">
        <f t="shared" si="89"/>
        <v>1066224.6321285935</v>
      </c>
      <c r="AQ61" s="534">
        <f t="shared" si="89"/>
        <v>1066224.6321285935</v>
      </c>
      <c r="AR61" s="534">
        <f t="shared" si="89"/>
        <v>1066224.6321285935</v>
      </c>
      <c r="AS61" s="534">
        <f t="shared" si="89"/>
        <v>1066224.6321285935</v>
      </c>
      <c r="AT61" s="534">
        <f t="shared" si="89"/>
        <v>1066224.6321285935</v>
      </c>
      <c r="AU61" s="534">
        <f t="shared" si="89"/>
        <v>1066224.6321285935</v>
      </c>
      <c r="AV61" s="534">
        <f t="shared" si="89"/>
        <v>1104625.3867716561</v>
      </c>
      <c r="AW61" s="534">
        <f t="shared" si="89"/>
        <v>1104625.3867716561</v>
      </c>
      <c r="AX61" s="534">
        <f t="shared" ref="AX61:BY61" si="90">AX54+AX59</f>
        <v>1104625.3867716561</v>
      </c>
      <c r="AY61" s="534">
        <f t="shared" si="90"/>
        <v>1104625.3867716561</v>
      </c>
      <c r="AZ61" s="534">
        <f t="shared" si="90"/>
        <v>1104625.3867716561</v>
      </c>
      <c r="BA61" s="534">
        <f t="shared" si="90"/>
        <v>1104625.3867716561</v>
      </c>
      <c r="BB61" s="534">
        <f t="shared" si="90"/>
        <v>1125284.6868642012</v>
      </c>
      <c r="BC61" s="534">
        <f t="shared" si="90"/>
        <v>1125284.6868642012</v>
      </c>
      <c r="BD61" s="534">
        <f t="shared" si="90"/>
        <v>1125284.6868642012</v>
      </c>
      <c r="BE61" s="534">
        <f t="shared" si="90"/>
        <v>1125284.6868642012</v>
      </c>
      <c r="BF61" s="534">
        <f t="shared" si="90"/>
        <v>1125284.6868642012</v>
      </c>
      <c r="BG61" s="534">
        <f t="shared" si="90"/>
        <v>1125284.6868642012</v>
      </c>
      <c r="BH61" s="534">
        <f t="shared" si="90"/>
        <v>1171458.9312236842</v>
      </c>
      <c r="BI61" s="534">
        <f t="shared" si="90"/>
        <v>1171458.9312236842</v>
      </c>
      <c r="BJ61" s="534">
        <f t="shared" si="90"/>
        <v>1171458.9312236842</v>
      </c>
      <c r="BK61" s="534">
        <f t="shared" si="90"/>
        <v>1171458.9312236842</v>
      </c>
      <c r="BL61" s="534">
        <f t="shared" si="90"/>
        <v>1171458.9312236842</v>
      </c>
      <c r="BM61" s="534">
        <f t="shared" si="90"/>
        <v>1171458.9312236842</v>
      </c>
      <c r="BN61" s="534">
        <f t="shared" si="90"/>
        <v>1187239.8153695948</v>
      </c>
      <c r="BO61" s="534">
        <f t="shared" si="90"/>
        <v>1187239.8153695948</v>
      </c>
      <c r="BP61" s="534">
        <f t="shared" si="90"/>
        <v>1187239.8153695948</v>
      </c>
      <c r="BQ61" s="534">
        <f t="shared" si="90"/>
        <v>1187239.8153695948</v>
      </c>
      <c r="BR61" s="534">
        <f t="shared" si="90"/>
        <v>1187239.8153695948</v>
      </c>
      <c r="BS61" s="534">
        <f t="shared" si="90"/>
        <v>1187239.8153695948</v>
      </c>
      <c r="BT61" s="534">
        <f t="shared" si="90"/>
        <v>1241676.5865866768</v>
      </c>
      <c r="BU61" s="534">
        <f t="shared" si="90"/>
        <v>1241676.5865866768</v>
      </c>
      <c r="BV61" s="534">
        <f t="shared" si="90"/>
        <v>1241676.5865866768</v>
      </c>
      <c r="BW61" s="534">
        <f t="shared" si="90"/>
        <v>1241676.5865866768</v>
      </c>
      <c r="BX61" s="534">
        <f t="shared" si="90"/>
        <v>1241676.5865866768</v>
      </c>
      <c r="BY61" s="534">
        <f t="shared" si="90"/>
        <v>1241676.5865866768</v>
      </c>
      <c r="BZ61" s="537"/>
      <c r="CA61" s="537"/>
      <c r="CB61" s="574"/>
    </row>
    <row r="62" spans="1:80" x14ac:dyDescent="0.3">
      <c r="A62" s="551"/>
      <c r="B62" s="548"/>
      <c r="C62" s="525"/>
      <c r="D62" s="525"/>
      <c r="E62" s="2" t="s">
        <v>405</v>
      </c>
      <c r="F62" s="525"/>
      <c r="G62" s="525"/>
      <c r="H62" s="525"/>
      <c r="I62" s="531">
        <f t="shared" ref="I62:N62" si="91">IFERROR(I61/SUM(I22,I31,I45,I52),0)</f>
        <v>0.58386220752895535</v>
      </c>
      <c r="J62" s="531">
        <f t="shared" si="91"/>
        <v>0.58902428727506573</v>
      </c>
      <c r="K62" s="531">
        <f t="shared" si="91"/>
        <v>0.59391640108450805</v>
      </c>
      <c r="L62" s="531">
        <f t="shared" si="91"/>
        <v>0.59850067390923278</v>
      </c>
      <c r="M62" s="531">
        <f t="shared" si="91"/>
        <v>0.60252614844024044</v>
      </c>
      <c r="N62" s="531">
        <f t="shared" si="91"/>
        <v>0.6063739844673206</v>
      </c>
      <c r="O62" s="546"/>
      <c r="P62" s="564">
        <f>IFERROR(((N62/I62)^(1/5))-1,0)</f>
        <v>7.5950819860723939E-3</v>
      </c>
      <c r="Q62" s="537"/>
      <c r="R62" s="531">
        <f t="shared" ref="R62:AW62" si="92">IFERROR(R61/SUM(R22,R31,R45,R52),0)</f>
        <v>0.58894969734717795</v>
      </c>
      <c r="S62" s="531">
        <f t="shared" si="92"/>
        <v>0.58894969734717795</v>
      </c>
      <c r="T62" s="531">
        <f t="shared" si="92"/>
        <v>0.58894969734717795</v>
      </c>
      <c r="U62" s="531">
        <f t="shared" si="92"/>
        <v>0.58894969734717795</v>
      </c>
      <c r="V62" s="531">
        <f t="shared" si="92"/>
        <v>0.58894969734717795</v>
      </c>
      <c r="W62" s="531">
        <f t="shared" si="92"/>
        <v>0.58894969734717795</v>
      </c>
      <c r="X62" s="531">
        <f t="shared" si="92"/>
        <v>0.58909704232793558</v>
      </c>
      <c r="Y62" s="531">
        <f t="shared" si="92"/>
        <v>0.58909704232793558</v>
      </c>
      <c r="Z62" s="531">
        <f t="shared" si="92"/>
        <v>0.58909704232793558</v>
      </c>
      <c r="AA62" s="531">
        <f t="shared" si="92"/>
        <v>0.58909704232793558</v>
      </c>
      <c r="AB62" s="531">
        <f t="shared" si="92"/>
        <v>0.58909704232793558</v>
      </c>
      <c r="AC62" s="531">
        <f t="shared" si="92"/>
        <v>0.58909704232793558</v>
      </c>
      <c r="AD62" s="531">
        <f t="shared" si="92"/>
        <v>0.59378989868409826</v>
      </c>
      <c r="AE62" s="531">
        <f t="shared" si="92"/>
        <v>0.59378989868409826</v>
      </c>
      <c r="AF62" s="531">
        <f t="shared" si="92"/>
        <v>0.59378989868409826</v>
      </c>
      <c r="AG62" s="531">
        <f t="shared" si="92"/>
        <v>0.59378989868409826</v>
      </c>
      <c r="AH62" s="531">
        <f t="shared" si="92"/>
        <v>0.59378989868409826</v>
      </c>
      <c r="AI62" s="531">
        <f t="shared" si="92"/>
        <v>0.59378989868409826</v>
      </c>
      <c r="AJ62" s="531">
        <f t="shared" si="92"/>
        <v>0.59403917046263455</v>
      </c>
      <c r="AK62" s="531">
        <f t="shared" si="92"/>
        <v>0.59403917046263455</v>
      </c>
      <c r="AL62" s="531">
        <f t="shared" si="92"/>
        <v>0.59403917046263455</v>
      </c>
      <c r="AM62" s="531">
        <f t="shared" si="92"/>
        <v>0.59403917046263455</v>
      </c>
      <c r="AN62" s="531">
        <f t="shared" si="92"/>
        <v>0.59403917046263455</v>
      </c>
      <c r="AO62" s="531">
        <f t="shared" si="92"/>
        <v>0.59403917046263455</v>
      </c>
      <c r="AP62" s="531">
        <f t="shared" si="92"/>
        <v>0.59831567636409544</v>
      </c>
      <c r="AQ62" s="531">
        <f t="shared" si="92"/>
        <v>0.59831567636409544</v>
      </c>
      <c r="AR62" s="531">
        <f t="shared" si="92"/>
        <v>0.59831567636409544</v>
      </c>
      <c r="AS62" s="531">
        <f t="shared" si="92"/>
        <v>0.59831567636409544</v>
      </c>
      <c r="AT62" s="531">
        <f t="shared" si="92"/>
        <v>0.59831567636409544</v>
      </c>
      <c r="AU62" s="531">
        <f t="shared" si="92"/>
        <v>0.59831567636409544</v>
      </c>
      <c r="AV62" s="531">
        <f t="shared" si="92"/>
        <v>0.59867934881125062</v>
      </c>
      <c r="AW62" s="531">
        <f t="shared" si="92"/>
        <v>0.59867934881125062</v>
      </c>
      <c r="AX62" s="531">
        <f t="shared" ref="AX62:BY62" si="93">IFERROR(AX61/SUM(AX22,AX31,AX45,AX52),0)</f>
        <v>0.59867934881125062</v>
      </c>
      <c r="AY62" s="531">
        <f t="shared" si="93"/>
        <v>0.59867934881125062</v>
      </c>
      <c r="AZ62" s="531">
        <f t="shared" si="93"/>
        <v>0.59867934881125062</v>
      </c>
      <c r="BA62" s="531">
        <f t="shared" si="93"/>
        <v>0.59867934881125062</v>
      </c>
      <c r="BB62" s="531">
        <f t="shared" si="93"/>
        <v>0.60227371308686872</v>
      </c>
      <c r="BC62" s="531">
        <f t="shared" si="93"/>
        <v>0.60227371308686872</v>
      </c>
      <c r="BD62" s="531">
        <f t="shared" si="93"/>
        <v>0.60227371308686872</v>
      </c>
      <c r="BE62" s="531">
        <f t="shared" si="93"/>
        <v>0.60227371308686872</v>
      </c>
      <c r="BF62" s="531">
        <f t="shared" si="93"/>
        <v>0.60227371308686872</v>
      </c>
      <c r="BG62" s="531">
        <f t="shared" si="93"/>
        <v>0.60227371308686872</v>
      </c>
      <c r="BH62" s="531">
        <f t="shared" si="93"/>
        <v>0.60276883314112395</v>
      </c>
      <c r="BI62" s="531">
        <f t="shared" si="93"/>
        <v>0.60276883314112395</v>
      </c>
      <c r="BJ62" s="531">
        <f t="shared" si="93"/>
        <v>0.60276883314112395</v>
      </c>
      <c r="BK62" s="531">
        <f t="shared" si="93"/>
        <v>0.60276883314112395</v>
      </c>
      <c r="BL62" s="531">
        <f t="shared" si="93"/>
        <v>0.60276883314112395</v>
      </c>
      <c r="BM62" s="531">
        <f t="shared" si="93"/>
        <v>0.60276883314112395</v>
      </c>
      <c r="BN62" s="531">
        <f t="shared" si="93"/>
        <v>0.60604532018303769</v>
      </c>
      <c r="BO62" s="531">
        <f t="shared" si="93"/>
        <v>0.60604532018303769</v>
      </c>
      <c r="BP62" s="531">
        <f t="shared" si="93"/>
        <v>0.60604532018303769</v>
      </c>
      <c r="BQ62" s="531">
        <f t="shared" si="93"/>
        <v>0.60604532018303769</v>
      </c>
      <c r="BR62" s="531">
        <f t="shared" si="93"/>
        <v>0.60604532018303769</v>
      </c>
      <c r="BS62" s="531">
        <f t="shared" si="93"/>
        <v>0.60604532018303769</v>
      </c>
      <c r="BT62" s="531">
        <f t="shared" si="93"/>
        <v>0.60668857321610159</v>
      </c>
      <c r="BU62" s="531">
        <f t="shared" si="93"/>
        <v>0.60668857321610159</v>
      </c>
      <c r="BV62" s="531">
        <f t="shared" si="93"/>
        <v>0.60668857321610159</v>
      </c>
      <c r="BW62" s="531">
        <f t="shared" si="93"/>
        <v>0.60668857321610159</v>
      </c>
      <c r="BX62" s="531">
        <f t="shared" si="93"/>
        <v>0.60668857321610159</v>
      </c>
      <c r="BY62" s="531">
        <f t="shared" si="93"/>
        <v>0.60668857321610159</v>
      </c>
      <c r="BZ62" s="537"/>
      <c r="CA62" s="537"/>
      <c r="CB62" s="537"/>
    </row>
    <row r="63" spans="1:80" x14ac:dyDescent="0.3">
      <c r="A63" s="551"/>
      <c r="B63" s="548"/>
      <c r="C63" s="525"/>
      <c r="D63" s="525"/>
      <c r="E63" s="2"/>
      <c r="F63" s="525"/>
      <c r="G63" s="525"/>
      <c r="H63" s="525"/>
      <c r="I63" s="525"/>
      <c r="J63" s="525"/>
      <c r="K63" s="525"/>
      <c r="L63" s="525"/>
      <c r="M63" s="525"/>
      <c r="N63" s="525"/>
      <c r="O63" s="525"/>
      <c r="P63" s="565"/>
      <c r="Q63" s="537"/>
      <c r="R63" s="525"/>
      <c r="S63" s="525"/>
      <c r="T63" s="525"/>
      <c r="U63" s="525"/>
      <c r="V63" s="525"/>
      <c r="W63" s="525"/>
      <c r="X63" s="525"/>
      <c r="Y63" s="525"/>
      <c r="Z63" s="525"/>
      <c r="AA63" s="525"/>
      <c r="AB63" s="525"/>
      <c r="AC63" s="525"/>
      <c r="AD63" s="525"/>
      <c r="AE63" s="525"/>
      <c r="AF63" s="525"/>
      <c r="AG63" s="525"/>
      <c r="AH63" s="525"/>
      <c r="AI63" s="525"/>
      <c r="AJ63" s="525"/>
      <c r="AK63" s="525"/>
      <c r="AL63" s="525"/>
      <c r="AM63" s="525"/>
      <c r="AN63" s="525"/>
      <c r="AO63" s="525"/>
      <c r="AP63" s="525"/>
      <c r="AQ63" s="525"/>
      <c r="AR63" s="525"/>
      <c r="AS63" s="525"/>
      <c r="AT63" s="525"/>
      <c r="AU63" s="525"/>
      <c r="AV63" s="525"/>
      <c r="AW63" s="525"/>
      <c r="AX63" s="525"/>
      <c r="AY63" s="525"/>
      <c r="AZ63" s="525"/>
      <c r="BA63" s="525"/>
      <c r="BB63" s="525"/>
      <c r="BC63" s="525"/>
      <c r="BD63" s="525"/>
      <c r="BE63" s="525"/>
      <c r="BF63" s="525"/>
      <c r="BG63" s="525"/>
      <c r="BH63" s="525"/>
      <c r="BI63" s="525"/>
      <c r="BJ63" s="525"/>
      <c r="BK63" s="525"/>
      <c r="BL63" s="525"/>
      <c r="BM63" s="525"/>
      <c r="BN63" s="525"/>
      <c r="BO63" s="525"/>
      <c r="BP63" s="525"/>
      <c r="BQ63" s="525"/>
      <c r="BR63" s="525"/>
      <c r="BS63" s="525"/>
      <c r="BT63" s="525"/>
      <c r="BU63" s="525"/>
      <c r="BV63" s="525"/>
      <c r="BW63" s="525"/>
      <c r="BX63" s="525"/>
      <c r="BY63" s="525"/>
      <c r="BZ63" s="537"/>
      <c r="CA63" s="537"/>
      <c r="CB63" s="537"/>
    </row>
    <row r="64" spans="1:80" x14ac:dyDescent="0.3">
      <c r="A64" s="551"/>
      <c r="B64" s="548"/>
      <c r="C64" s="525"/>
      <c r="D64" s="525"/>
      <c r="E64" s="2" t="s">
        <v>129</v>
      </c>
      <c r="F64" s="567"/>
      <c r="G64" s="567"/>
      <c r="H64" s="567"/>
      <c r="I64" s="527">
        <f>I554</f>
        <v>-1000500</v>
      </c>
      <c r="J64" s="527">
        <f>SUMIF($R$2:$BY$2,J$3,$R64:$BY64)</f>
        <v>-1025188.7765753426</v>
      </c>
      <c r="K64" s="527">
        <f>SUMIF($R$2:$BY$2,K$3,$R64:$BY64)</f>
        <v>-1048945.6305754236</v>
      </c>
      <c r="L64" s="527">
        <f>SUMIF($R$2:$BY$2,L$3,$R64:$BY64)</f>
        <v>-1071444.5085129903</v>
      </c>
      <c r="M64" s="527">
        <f>SUMIF($R$2:$BY$2,M$3,$R64:$BY64)</f>
        <v>-1092443.3531476415</v>
      </c>
      <c r="N64" s="527">
        <f>SUMIF($R$2:$BY$2,N$3,$R64:$BY64)</f>
        <v>-1113637.0534982546</v>
      </c>
      <c r="O64" s="529"/>
      <c r="P64" s="564">
        <f>IFERROR(((N64/I64)^(1/5))-1,0)</f>
        <v>2.1657472733383143E-2</v>
      </c>
      <c r="Q64" s="537"/>
      <c r="R64" s="527">
        <f t="shared" ref="R64:AW64" si="94">R554</f>
        <v>-85432.398047945215</v>
      </c>
      <c r="S64" s="527">
        <f t="shared" si="94"/>
        <v>-85432.398047945215</v>
      </c>
      <c r="T64" s="527">
        <f t="shared" si="94"/>
        <v>-85432.398047945215</v>
      </c>
      <c r="U64" s="527">
        <f t="shared" si="94"/>
        <v>-85432.398047945215</v>
      </c>
      <c r="V64" s="527">
        <f t="shared" si="94"/>
        <v>-85432.398047945215</v>
      </c>
      <c r="W64" s="527">
        <f t="shared" si="94"/>
        <v>-85432.398047945215</v>
      </c>
      <c r="X64" s="527">
        <f t="shared" si="94"/>
        <v>-85432.398047945215</v>
      </c>
      <c r="Y64" s="527">
        <f t="shared" si="94"/>
        <v>-85432.398047945215</v>
      </c>
      <c r="Z64" s="527">
        <f t="shared" si="94"/>
        <v>-85432.398047945215</v>
      </c>
      <c r="AA64" s="527">
        <f t="shared" si="94"/>
        <v>-85432.398047945215</v>
      </c>
      <c r="AB64" s="527">
        <f t="shared" si="94"/>
        <v>-85432.398047945215</v>
      </c>
      <c r="AC64" s="527">
        <f t="shared" si="94"/>
        <v>-85432.398047945215</v>
      </c>
      <c r="AD64" s="527">
        <f t="shared" si="94"/>
        <v>-87412.1358812853</v>
      </c>
      <c r="AE64" s="527">
        <f t="shared" si="94"/>
        <v>-87412.1358812853</v>
      </c>
      <c r="AF64" s="527">
        <f t="shared" si="94"/>
        <v>-87412.1358812853</v>
      </c>
      <c r="AG64" s="527">
        <f t="shared" si="94"/>
        <v>-87412.1358812853</v>
      </c>
      <c r="AH64" s="527">
        <f t="shared" si="94"/>
        <v>-87412.1358812853</v>
      </c>
      <c r="AI64" s="527">
        <f t="shared" si="94"/>
        <v>-87412.1358812853</v>
      </c>
      <c r="AJ64" s="527">
        <f t="shared" si="94"/>
        <v>-87412.1358812853</v>
      </c>
      <c r="AK64" s="527">
        <f t="shared" si="94"/>
        <v>-87412.1358812853</v>
      </c>
      <c r="AL64" s="527">
        <f t="shared" si="94"/>
        <v>-87412.1358812853</v>
      </c>
      <c r="AM64" s="527">
        <f t="shared" si="94"/>
        <v>-87412.1358812853</v>
      </c>
      <c r="AN64" s="527">
        <f t="shared" si="94"/>
        <v>-87412.1358812853</v>
      </c>
      <c r="AO64" s="527">
        <f t="shared" si="94"/>
        <v>-87412.1358812853</v>
      </c>
      <c r="AP64" s="527">
        <f t="shared" si="94"/>
        <v>-89287.042376082522</v>
      </c>
      <c r="AQ64" s="527">
        <f t="shared" si="94"/>
        <v>-89287.042376082522</v>
      </c>
      <c r="AR64" s="527">
        <f t="shared" si="94"/>
        <v>-89287.042376082522</v>
      </c>
      <c r="AS64" s="527">
        <f t="shared" si="94"/>
        <v>-89287.042376082522</v>
      </c>
      <c r="AT64" s="527">
        <f t="shared" si="94"/>
        <v>-89287.042376082522</v>
      </c>
      <c r="AU64" s="527">
        <f t="shared" si="94"/>
        <v>-89287.042376082522</v>
      </c>
      <c r="AV64" s="527">
        <f t="shared" si="94"/>
        <v>-89287.042376082522</v>
      </c>
      <c r="AW64" s="527">
        <f t="shared" si="94"/>
        <v>-89287.042376082522</v>
      </c>
      <c r="AX64" s="527">
        <f t="shared" ref="AX64:BY64" si="95">AX554</f>
        <v>-89287.042376082522</v>
      </c>
      <c r="AY64" s="527">
        <f t="shared" si="95"/>
        <v>-89287.042376082522</v>
      </c>
      <c r="AZ64" s="527">
        <f t="shared" si="95"/>
        <v>-89287.042376082522</v>
      </c>
      <c r="BA64" s="527">
        <f t="shared" si="95"/>
        <v>-89287.042376082522</v>
      </c>
      <c r="BB64" s="527">
        <f t="shared" si="95"/>
        <v>-91036.946095636798</v>
      </c>
      <c r="BC64" s="527">
        <f t="shared" si="95"/>
        <v>-91036.946095636798</v>
      </c>
      <c r="BD64" s="527">
        <f t="shared" si="95"/>
        <v>-91036.946095636798</v>
      </c>
      <c r="BE64" s="527">
        <f t="shared" si="95"/>
        <v>-91036.946095636798</v>
      </c>
      <c r="BF64" s="527">
        <f t="shared" si="95"/>
        <v>-91036.946095636798</v>
      </c>
      <c r="BG64" s="527">
        <f t="shared" si="95"/>
        <v>-91036.946095636798</v>
      </c>
      <c r="BH64" s="527">
        <f t="shared" si="95"/>
        <v>-91036.946095636798</v>
      </c>
      <c r="BI64" s="527">
        <f t="shared" si="95"/>
        <v>-91036.946095636798</v>
      </c>
      <c r="BJ64" s="527">
        <f t="shared" si="95"/>
        <v>-91036.946095636798</v>
      </c>
      <c r="BK64" s="527">
        <f t="shared" si="95"/>
        <v>-91036.946095636798</v>
      </c>
      <c r="BL64" s="527">
        <f t="shared" si="95"/>
        <v>-91036.946095636798</v>
      </c>
      <c r="BM64" s="527">
        <f t="shared" si="95"/>
        <v>-91036.946095636798</v>
      </c>
      <c r="BN64" s="527">
        <f t="shared" si="95"/>
        <v>-92803.087791521219</v>
      </c>
      <c r="BO64" s="527">
        <f t="shared" si="95"/>
        <v>-92803.087791521219</v>
      </c>
      <c r="BP64" s="527">
        <f t="shared" si="95"/>
        <v>-92803.087791521219</v>
      </c>
      <c r="BQ64" s="527">
        <f t="shared" si="95"/>
        <v>-92803.087791521219</v>
      </c>
      <c r="BR64" s="527">
        <f t="shared" si="95"/>
        <v>-92803.087791521219</v>
      </c>
      <c r="BS64" s="527">
        <f t="shared" si="95"/>
        <v>-92803.087791521219</v>
      </c>
      <c r="BT64" s="527">
        <f t="shared" si="95"/>
        <v>-92803.087791521219</v>
      </c>
      <c r="BU64" s="527">
        <f t="shared" si="95"/>
        <v>-92803.087791521219</v>
      </c>
      <c r="BV64" s="527">
        <f t="shared" si="95"/>
        <v>-92803.087791521219</v>
      </c>
      <c r="BW64" s="527">
        <f t="shared" si="95"/>
        <v>-92803.087791521219</v>
      </c>
      <c r="BX64" s="527">
        <f t="shared" si="95"/>
        <v>-92803.087791521219</v>
      </c>
      <c r="BY64" s="527">
        <f t="shared" si="95"/>
        <v>-92803.087791521219</v>
      </c>
      <c r="BZ64" s="537"/>
      <c r="CA64" s="537"/>
      <c r="CB64" s="537"/>
    </row>
    <row r="65" spans="1:80" x14ac:dyDescent="0.3">
      <c r="A65" s="551"/>
      <c r="B65" s="548"/>
      <c r="C65" s="525"/>
      <c r="D65" s="525"/>
      <c r="E65" s="62" t="s">
        <v>292</v>
      </c>
      <c r="F65" s="579"/>
      <c r="G65" s="579"/>
      <c r="H65" s="579"/>
      <c r="I65" s="534">
        <f t="shared" ref="I65:N65" si="96">SUM(I61,I64)</f>
        <v>9966779.2293447051</v>
      </c>
      <c r="J65" s="534">
        <f t="shared" si="96"/>
        <v>10540271.730480263</v>
      </c>
      <c r="K65" s="534">
        <f t="shared" si="96"/>
        <v>11236756.40437598</v>
      </c>
      <c r="L65" s="534">
        <f t="shared" si="96"/>
        <v>11953655.60488851</v>
      </c>
      <c r="M65" s="534">
        <f t="shared" si="96"/>
        <v>12688018.355379675</v>
      </c>
      <c r="N65" s="534">
        <f t="shared" si="96"/>
        <v>13459861.358239373</v>
      </c>
      <c r="O65" s="536"/>
      <c r="P65" s="568">
        <f>IFERROR(((N65/I65)^(1/5))-1,0)</f>
        <v>6.1933080009962227E-2</v>
      </c>
      <c r="Q65" s="537"/>
      <c r="R65" s="535">
        <f t="shared" ref="R65:AW65" si="97">SUM(R61,R64)</f>
        <v>866233.47198207001</v>
      </c>
      <c r="S65" s="535">
        <f t="shared" si="97"/>
        <v>866233.47198207001</v>
      </c>
      <c r="T65" s="535">
        <f t="shared" si="97"/>
        <v>866233.47198207001</v>
      </c>
      <c r="U65" s="535">
        <f t="shared" si="97"/>
        <v>866233.47198207001</v>
      </c>
      <c r="V65" s="535">
        <f t="shared" si="97"/>
        <v>866233.47198207001</v>
      </c>
      <c r="W65" s="535">
        <f t="shared" si="97"/>
        <v>866233.47198207001</v>
      </c>
      <c r="X65" s="535">
        <f t="shared" si="97"/>
        <v>890478.48309797305</v>
      </c>
      <c r="Y65" s="535">
        <f t="shared" si="97"/>
        <v>890478.48309797305</v>
      </c>
      <c r="Z65" s="535">
        <f t="shared" si="97"/>
        <v>890478.48309797305</v>
      </c>
      <c r="AA65" s="535">
        <f t="shared" si="97"/>
        <v>890478.48309797305</v>
      </c>
      <c r="AB65" s="535">
        <f t="shared" si="97"/>
        <v>890478.48309797305</v>
      </c>
      <c r="AC65" s="535">
        <f t="shared" si="97"/>
        <v>890478.48309797305</v>
      </c>
      <c r="AD65" s="535">
        <f t="shared" si="97"/>
        <v>920849.30368841963</v>
      </c>
      <c r="AE65" s="535">
        <f t="shared" si="97"/>
        <v>920849.30368841963</v>
      </c>
      <c r="AF65" s="535">
        <f t="shared" si="97"/>
        <v>920849.30368841963</v>
      </c>
      <c r="AG65" s="535">
        <f t="shared" si="97"/>
        <v>920849.30368841963</v>
      </c>
      <c r="AH65" s="535">
        <f t="shared" si="97"/>
        <v>920849.30368841963</v>
      </c>
      <c r="AI65" s="535">
        <f t="shared" si="97"/>
        <v>920849.30368841963</v>
      </c>
      <c r="AJ65" s="535">
        <f t="shared" si="97"/>
        <v>951943.43037424411</v>
      </c>
      <c r="AK65" s="535">
        <f t="shared" si="97"/>
        <v>951943.43037424411</v>
      </c>
      <c r="AL65" s="535">
        <f t="shared" si="97"/>
        <v>951943.43037424411</v>
      </c>
      <c r="AM65" s="535">
        <f t="shared" si="97"/>
        <v>951943.43037424411</v>
      </c>
      <c r="AN65" s="535">
        <f t="shared" si="97"/>
        <v>951943.43037424411</v>
      </c>
      <c r="AO65" s="535">
        <f t="shared" si="97"/>
        <v>951943.43037424411</v>
      </c>
      <c r="AP65" s="535">
        <f t="shared" si="97"/>
        <v>976937.589752511</v>
      </c>
      <c r="AQ65" s="535">
        <f t="shared" si="97"/>
        <v>976937.589752511</v>
      </c>
      <c r="AR65" s="535">
        <f t="shared" si="97"/>
        <v>976937.589752511</v>
      </c>
      <c r="AS65" s="535">
        <f t="shared" si="97"/>
        <v>976937.589752511</v>
      </c>
      <c r="AT65" s="535">
        <f t="shared" si="97"/>
        <v>976937.589752511</v>
      </c>
      <c r="AU65" s="535">
        <f t="shared" si="97"/>
        <v>976937.589752511</v>
      </c>
      <c r="AV65" s="535">
        <f t="shared" si="97"/>
        <v>1015338.3443955736</v>
      </c>
      <c r="AW65" s="535">
        <f t="shared" si="97"/>
        <v>1015338.3443955736</v>
      </c>
      <c r="AX65" s="535">
        <f t="shared" ref="AX65:BY65" si="98">SUM(AX61,AX64)</f>
        <v>1015338.3443955736</v>
      </c>
      <c r="AY65" s="535">
        <f t="shared" si="98"/>
        <v>1015338.3443955736</v>
      </c>
      <c r="AZ65" s="535">
        <f t="shared" si="98"/>
        <v>1015338.3443955736</v>
      </c>
      <c r="BA65" s="535">
        <f t="shared" si="98"/>
        <v>1015338.3443955736</v>
      </c>
      <c r="BB65" s="535">
        <f t="shared" si="98"/>
        <v>1034247.7407685644</v>
      </c>
      <c r="BC65" s="535">
        <f t="shared" si="98"/>
        <v>1034247.7407685644</v>
      </c>
      <c r="BD65" s="535">
        <f t="shared" si="98"/>
        <v>1034247.7407685644</v>
      </c>
      <c r="BE65" s="535">
        <f t="shared" si="98"/>
        <v>1034247.7407685644</v>
      </c>
      <c r="BF65" s="535">
        <f t="shared" si="98"/>
        <v>1034247.7407685644</v>
      </c>
      <c r="BG65" s="535">
        <f t="shared" si="98"/>
        <v>1034247.7407685644</v>
      </c>
      <c r="BH65" s="535">
        <f t="shared" si="98"/>
        <v>1080421.9851280474</v>
      </c>
      <c r="BI65" s="535">
        <f t="shared" si="98"/>
        <v>1080421.9851280474</v>
      </c>
      <c r="BJ65" s="535">
        <f t="shared" si="98"/>
        <v>1080421.9851280474</v>
      </c>
      <c r="BK65" s="535">
        <f t="shared" si="98"/>
        <v>1080421.9851280474</v>
      </c>
      <c r="BL65" s="535">
        <f t="shared" si="98"/>
        <v>1080421.9851280474</v>
      </c>
      <c r="BM65" s="535">
        <f t="shared" si="98"/>
        <v>1080421.9851280474</v>
      </c>
      <c r="BN65" s="535">
        <f t="shared" si="98"/>
        <v>1094436.7275780737</v>
      </c>
      <c r="BO65" s="535">
        <f t="shared" si="98"/>
        <v>1094436.7275780737</v>
      </c>
      <c r="BP65" s="535">
        <f t="shared" si="98"/>
        <v>1094436.7275780737</v>
      </c>
      <c r="BQ65" s="535">
        <f t="shared" si="98"/>
        <v>1094436.7275780737</v>
      </c>
      <c r="BR65" s="535">
        <f t="shared" si="98"/>
        <v>1094436.7275780737</v>
      </c>
      <c r="BS65" s="535">
        <f t="shared" si="98"/>
        <v>1094436.7275780737</v>
      </c>
      <c r="BT65" s="535">
        <f t="shared" si="98"/>
        <v>1148873.4987951554</v>
      </c>
      <c r="BU65" s="535">
        <f t="shared" si="98"/>
        <v>1148873.4987951554</v>
      </c>
      <c r="BV65" s="535">
        <f t="shared" si="98"/>
        <v>1148873.4987951554</v>
      </c>
      <c r="BW65" s="535">
        <f t="shared" si="98"/>
        <v>1148873.4987951554</v>
      </c>
      <c r="BX65" s="535">
        <f t="shared" si="98"/>
        <v>1148873.4987951554</v>
      </c>
      <c r="BY65" s="535">
        <f t="shared" si="98"/>
        <v>1148873.4987951554</v>
      </c>
      <c r="BZ65" s="537"/>
      <c r="CA65" s="537"/>
      <c r="CB65" s="574"/>
    </row>
    <row r="66" spans="1:80" x14ac:dyDescent="0.3">
      <c r="A66" s="551"/>
      <c r="B66" s="548"/>
      <c r="C66" s="525"/>
      <c r="D66" s="525"/>
      <c r="E66" s="692" t="s">
        <v>406</v>
      </c>
      <c r="F66" s="525"/>
      <c r="G66" s="525"/>
      <c r="H66" s="525"/>
      <c r="I66" s="531">
        <f t="shared" ref="I66:N66" si="99">IFERROR(I65/SUM(I22,I31,I45,I52),0)</f>
        <v>0.53059884781894429</v>
      </c>
      <c r="J66" s="531">
        <f t="shared" si="99"/>
        <v>0.53681183208780381</v>
      </c>
      <c r="K66" s="531">
        <f t="shared" si="99"/>
        <v>0.54320818660296255</v>
      </c>
      <c r="L66" s="531">
        <f t="shared" si="99"/>
        <v>0.54926801889558108</v>
      </c>
      <c r="M66" s="531">
        <f t="shared" si="99"/>
        <v>0.55476100820884444</v>
      </c>
      <c r="N66" s="531">
        <f t="shared" si="99"/>
        <v>0.56003778444850383</v>
      </c>
      <c r="O66" s="546"/>
      <c r="P66" s="564">
        <f>IFERROR(((N66/I66)^(1/5))-1,0)</f>
        <v>1.0858122830722294E-2</v>
      </c>
      <c r="Q66" s="537"/>
      <c r="R66" s="531">
        <f t="shared" ref="R66:AW66" si="100">IFERROR(R65/SUM(R22,R31,R45,R52),0)</f>
        <v>0.53607884576100728</v>
      </c>
      <c r="S66" s="531">
        <f t="shared" si="100"/>
        <v>0.53607884576100728</v>
      </c>
      <c r="T66" s="531">
        <f t="shared" si="100"/>
        <v>0.53607884576100728</v>
      </c>
      <c r="U66" s="531">
        <f t="shared" si="100"/>
        <v>0.53607884576100728</v>
      </c>
      <c r="V66" s="531">
        <f t="shared" si="100"/>
        <v>0.53607884576100728</v>
      </c>
      <c r="W66" s="531">
        <f t="shared" si="100"/>
        <v>0.53607884576100728</v>
      </c>
      <c r="X66" s="531">
        <f t="shared" si="100"/>
        <v>0.53752678731660497</v>
      </c>
      <c r="Y66" s="531">
        <f t="shared" si="100"/>
        <v>0.53752678731660497</v>
      </c>
      <c r="Z66" s="531">
        <f t="shared" si="100"/>
        <v>0.53752678731660497</v>
      </c>
      <c r="AA66" s="531">
        <f t="shared" si="100"/>
        <v>0.53752678731660497</v>
      </c>
      <c r="AB66" s="531">
        <f t="shared" si="100"/>
        <v>0.53752678731660497</v>
      </c>
      <c r="AC66" s="531">
        <f t="shared" si="100"/>
        <v>0.53752678731660497</v>
      </c>
      <c r="AD66" s="531">
        <f t="shared" si="100"/>
        <v>0.54231074727386452</v>
      </c>
      <c r="AE66" s="531">
        <f t="shared" si="100"/>
        <v>0.54231074727386452</v>
      </c>
      <c r="AF66" s="531">
        <f t="shared" si="100"/>
        <v>0.54231074727386452</v>
      </c>
      <c r="AG66" s="531">
        <f t="shared" si="100"/>
        <v>0.54231074727386452</v>
      </c>
      <c r="AH66" s="531">
        <f t="shared" si="100"/>
        <v>0.54231074727386452</v>
      </c>
      <c r="AI66" s="531">
        <f t="shared" si="100"/>
        <v>0.54231074727386452</v>
      </c>
      <c r="AJ66" s="531">
        <f t="shared" si="100"/>
        <v>0.54407914294831661</v>
      </c>
      <c r="AK66" s="531">
        <f t="shared" si="100"/>
        <v>0.54407914294831661</v>
      </c>
      <c r="AL66" s="531">
        <f t="shared" si="100"/>
        <v>0.54407914294831661</v>
      </c>
      <c r="AM66" s="531">
        <f t="shared" si="100"/>
        <v>0.54407914294831661</v>
      </c>
      <c r="AN66" s="531">
        <f t="shared" si="100"/>
        <v>0.54407914294831661</v>
      </c>
      <c r="AO66" s="531">
        <f t="shared" si="100"/>
        <v>0.54407914294831661</v>
      </c>
      <c r="AP66" s="531">
        <f t="shared" si="100"/>
        <v>0.54821194067835632</v>
      </c>
      <c r="AQ66" s="531">
        <f t="shared" si="100"/>
        <v>0.54821194067835632</v>
      </c>
      <c r="AR66" s="531">
        <f t="shared" si="100"/>
        <v>0.54821194067835632</v>
      </c>
      <c r="AS66" s="531">
        <f t="shared" si="100"/>
        <v>0.54821194067835632</v>
      </c>
      <c r="AT66" s="531">
        <f t="shared" si="100"/>
        <v>0.54821194067835632</v>
      </c>
      <c r="AU66" s="531">
        <f t="shared" si="100"/>
        <v>0.54821194067835632</v>
      </c>
      <c r="AV66" s="531">
        <f t="shared" si="100"/>
        <v>0.55028800363022101</v>
      </c>
      <c r="AW66" s="531">
        <f t="shared" si="100"/>
        <v>0.55028800363022101</v>
      </c>
      <c r="AX66" s="531">
        <f t="shared" ref="AX66:BY66" si="101">IFERROR(AX65/SUM(AX22,AX31,AX45,AX52),0)</f>
        <v>0.55028800363022101</v>
      </c>
      <c r="AY66" s="531">
        <f t="shared" si="101"/>
        <v>0.55028800363022101</v>
      </c>
      <c r="AZ66" s="531">
        <f t="shared" si="101"/>
        <v>0.55028800363022101</v>
      </c>
      <c r="BA66" s="531">
        <f t="shared" si="101"/>
        <v>0.55028800363022101</v>
      </c>
      <c r="BB66" s="531">
        <f t="shared" si="101"/>
        <v>0.55354901240165888</v>
      </c>
      <c r="BC66" s="531">
        <f t="shared" si="101"/>
        <v>0.55354901240165888</v>
      </c>
      <c r="BD66" s="531">
        <f t="shared" si="101"/>
        <v>0.55354901240165888</v>
      </c>
      <c r="BE66" s="531">
        <f t="shared" si="101"/>
        <v>0.55354901240165888</v>
      </c>
      <c r="BF66" s="531">
        <f t="shared" si="101"/>
        <v>0.55354901240165888</v>
      </c>
      <c r="BG66" s="531">
        <f t="shared" si="101"/>
        <v>0.55354901240165888</v>
      </c>
      <c r="BH66" s="531">
        <f t="shared" si="101"/>
        <v>0.55592618906014213</v>
      </c>
      <c r="BI66" s="531">
        <f t="shared" si="101"/>
        <v>0.55592618906014213</v>
      </c>
      <c r="BJ66" s="531">
        <f t="shared" si="101"/>
        <v>0.55592618906014213</v>
      </c>
      <c r="BK66" s="531">
        <f t="shared" si="101"/>
        <v>0.55592618906014213</v>
      </c>
      <c r="BL66" s="531">
        <f t="shared" si="101"/>
        <v>0.55592618906014213</v>
      </c>
      <c r="BM66" s="531">
        <f t="shared" si="101"/>
        <v>0.55592618906014213</v>
      </c>
      <c r="BN66" s="531">
        <f t="shared" si="101"/>
        <v>0.55867251788438987</v>
      </c>
      <c r="BO66" s="531">
        <f t="shared" si="101"/>
        <v>0.55867251788438987</v>
      </c>
      <c r="BP66" s="531">
        <f t="shared" si="101"/>
        <v>0.55867251788438987</v>
      </c>
      <c r="BQ66" s="531">
        <f t="shared" si="101"/>
        <v>0.55867251788438987</v>
      </c>
      <c r="BR66" s="531">
        <f t="shared" si="101"/>
        <v>0.55867251788438987</v>
      </c>
      <c r="BS66" s="531">
        <f t="shared" si="101"/>
        <v>0.55867251788438987</v>
      </c>
      <c r="BT66" s="531">
        <f t="shared" si="101"/>
        <v>0.56134458144682742</v>
      </c>
      <c r="BU66" s="531">
        <f t="shared" si="101"/>
        <v>0.56134458144682742</v>
      </c>
      <c r="BV66" s="531">
        <f t="shared" si="101"/>
        <v>0.56134458144682742</v>
      </c>
      <c r="BW66" s="531">
        <f t="shared" si="101"/>
        <v>0.56134458144682742</v>
      </c>
      <c r="BX66" s="531">
        <f t="shared" si="101"/>
        <v>0.56134458144682742</v>
      </c>
      <c r="BY66" s="531">
        <f t="shared" si="101"/>
        <v>0.56134458144682742</v>
      </c>
      <c r="BZ66" s="537"/>
      <c r="CA66" s="537"/>
      <c r="CB66" s="537"/>
    </row>
    <row r="67" spans="1:80" x14ac:dyDescent="0.3">
      <c r="A67" s="551"/>
      <c r="B67" s="548"/>
      <c r="C67" s="525"/>
      <c r="D67" s="525"/>
      <c r="E67" s="2"/>
      <c r="F67" s="567"/>
      <c r="G67" s="567"/>
      <c r="H67" s="567"/>
      <c r="I67" s="529"/>
      <c r="J67" s="529"/>
      <c r="K67" s="529"/>
      <c r="L67" s="529"/>
      <c r="M67" s="529"/>
      <c r="N67" s="529"/>
      <c r="O67" s="529"/>
      <c r="P67" s="562"/>
      <c r="Q67" s="537"/>
      <c r="R67" s="529"/>
      <c r="S67" s="529"/>
      <c r="T67" s="529"/>
      <c r="U67" s="529"/>
      <c r="V67" s="529"/>
      <c r="W67" s="529"/>
      <c r="X67" s="529"/>
      <c r="Y67" s="529"/>
      <c r="Z67" s="529"/>
      <c r="AA67" s="529"/>
      <c r="AB67" s="529"/>
      <c r="AC67" s="529"/>
      <c r="AD67" s="529"/>
      <c r="AE67" s="529"/>
      <c r="AF67" s="529"/>
      <c r="AG67" s="529"/>
      <c r="AH67" s="529"/>
      <c r="AI67" s="529"/>
      <c r="AJ67" s="529"/>
      <c r="AK67" s="529"/>
      <c r="AL67" s="529"/>
      <c r="AM67" s="529"/>
      <c r="AN67" s="529"/>
      <c r="AO67" s="529"/>
      <c r="AP67" s="529"/>
      <c r="AQ67" s="529"/>
      <c r="AR67" s="529"/>
      <c r="AS67" s="529"/>
      <c r="AT67" s="529"/>
      <c r="AU67" s="529"/>
      <c r="AV67" s="529"/>
      <c r="AW67" s="529"/>
      <c r="AX67" s="529"/>
      <c r="AY67" s="529"/>
      <c r="AZ67" s="529"/>
      <c r="BA67" s="529"/>
      <c r="BB67" s="529"/>
      <c r="BC67" s="529"/>
      <c r="BD67" s="529"/>
      <c r="BE67" s="529"/>
      <c r="BF67" s="529"/>
      <c r="BG67" s="529"/>
      <c r="BH67" s="529"/>
      <c r="BI67" s="529"/>
      <c r="BJ67" s="529"/>
      <c r="BK67" s="529"/>
      <c r="BL67" s="529"/>
      <c r="BM67" s="529"/>
      <c r="BN67" s="529"/>
      <c r="BO67" s="529"/>
      <c r="BP67" s="529"/>
      <c r="BQ67" s="529"/>
      <c r="BR67" s="529"/>
      <c r="BS67" s="529"/>
      <c r="BT67" s="529"/>
      <c r="BU67" s="529"/>
      <c r="BV67" s="529"/>
      <c r="BW67" s="529"/>
      <c r="BX67" s="529"/>
      <c r="BY67" s="529"/>
      <c r="BZ67" s="537"/>
      <c r="CA67" s="537"/>
      <c r="CB67" s="537"/>
    </row>
    <row r="68" spans="1:80" x14ac:dyDescent="0.3">
      <c r="A68" s="551"/>
      <c r="B68" s="548"/>
      <c r="C68" s="525"/>
      <c r="D68" s="525"/>
      <c r="E68" s="2" t="s">
        <v>52</v>
      </c>
      <c r="F68" s="567"/>
      <c r="G68" s="567"/>
      <c r="H68" s="567"/>
      <c r="I68" s="527">
        <f>I558</f>
        <v>-1485143.1619999993</v>
      </c>
      <c r="J68" s="527">
        <f t="shared" ref="J68:N70" si="102">SUMIF($R$2:$BY$2,J$3,$R68:$BY68)</f>
        <v>-938400</v>
      </c>
      <c r="K68" s="527">
        <f t="shared" si="102"/>
        <v>-957168</v>
      </c>
      <c r="L68" s="527">
        <f t="shared" si="102"/>
        <v>-976311.36000000022</v>
      </c>
      <c r="M68" s="527">
        <f t="shared" si="102"/>
        <v>-995837.58719999995</v>
      </c>
      <c r="N68" s="527">
        <f t="shared" si="102"/>
        <v>-1015754.3389439998</v>
      </c>
      <c r="O68" s="529"/>
      <c r="P68" s="564">
        <f>IFERROR(((N68/I68)^(1/5))-1,0)</f>
        <v>-7.3161483863233734E-2</v>
      </c>
      <c r="Q68" s="537"/>
      <c r="R68" s="527">
        <f t="shared" ref="R68:AW68" si="103">R445</f>
        <v>-78200</v>
      </c>
      <c r="S68" s="527">
        <f t="shared" si="103"/>
        <v>-78200</v>
      </c>
      <c r="T68" s="527">
        <f t="shared" si="103"/>
        <v>-78200</v>
      </c>
      <c r="U68" s="527">
        <f t="shared" si="103"/>
        <v>-78200</v>
      </c>
      <c r="V68" s="527">
        <f t="shared" si="103"/>
        <v>-78200</v>
      </c>
      <c r="W68" s="527">
        <f t="shared" si="103"/>
        <v>-78200</v>
      </c>
      <c r="X68" s="527">
        <f t="shared" si="103"/>
        <v>-78200</v>
      </c>
      <c r="Y68" s="527">
        <f t="shared" si="103"/>
        <v>-78200</v>
      </c>
      <c r="Z68" s="527">
        <f t="shared" si="103"/>
        <v>-78200</v>
      </c>
      <c r="AA68" s="527">
        <f t="shared" si="103"/>
        <v>-78200</v>
      </c>
      <c r="AB68" s="527">
        <f t="shared" si="103"/>
        <v>-78200</v>
      </c>
      <c r="AC68" s="527">
        <f t="shared" si="103"/>
        <v>-78200</v>
      </c>
      <c r="AD68" s="527">
        <f t="shared" si="103"/>
        <v>-79764</v>
      </c>
      <c r="AE68" s="527">
        <f t="shared" si="103"/>
        <v>-79764</v>
      </c>
      <c r="AF68" s="527">
        <f t="shared" si="103"/>
        <v>-79764</v>
      </c>
      <c r="AG68" s="527">
        <f t="shared" si="103"/>
        <v>-79764</v>
      </c>
      <c r="AH68" s="527">
        <f t="shared" si="103"/>
        <v>-79764</v>
      </c>
      <c r="AI68" s="527">
        <f t="shared" si="103"/>
        <v>-79764</v>
      </c>
      <c r="AJ68" s="527">
        <f t="shared" si="103"/>
        <v>-79764</v>
      </c>
      <c r="AK68" s="527">
        <f t="shared" si="103"/>
        <v>-79764</v>
      </c>
      <c r="AL68" s="527">
        <f t="shared" si="103"/>
        <v>-79764</v>
      </c>
      <c r="AM68" s="527">
        <f t="shared" si="103"/>
        <v>-79764</v>
      </c>
      <c r="AN68" s="527">
        <f t="shared" si="103"/>
        <v>-79764</v>
      </c>
      <c r="AO68" s="527">
        <f t="shared" si="103"/>
        <v>-79764</v>
      </c>
      <c r="AP68" s="527">
        <f t="shared" si="103"/>
        <v>-81359.28</v>
      </c>
      <c r="AQ68" s="527">
        <f t="shared" si="103"/>
        <v>-81359.28</v>
      </c>
      <c r="AR68" s="527">
        <f t="shared" si="103"/>
        <v>-81359.28</v>
      </c>
      <c r="AS68" s="527">
        <f t="shared" si="103"/>
        <v>-81359.28</v>
      </c>
      <c r="AT68" s="527">
        <f t="shared" si="103"/>
        <v>-81359.28</v>
      </c>
      <c r="AU68" s="527">
        <f t="shared" si="103"/>
        <v>-81359.28</v>
      </c>
      <c r="AV68" s="527">
        <f t="shared" si="103"/>
        <v>-81359.28</v>
      </c>
      <c r="AW68" s="527">
        <f t="shared" si="103"/>
        <v>-81359.28</v>
      </c>
      <c r="AX68" s="527">
        <f t="shared" ref="AX68:BY68" si="104">AX445</f>
        <v>-81359.28</v>
      </c>
      <c r="AY68" s="527">
        <f t="shared" si="104"/>
        <v>-81359.28</v>
      </c>
      <c r="AZ68" s="527">
        <f t="shared" si="104"/>
        <v>-81359.28</v>
      </c>
      <c r="BA68" s="527">
        <f t="shared" si="104"/>
        <v>-81359.28</v>
      </c>
      <c r="BB68" s="527">
        <f t="shared" si="104"/>
        <v>-82986.465599999996</v>
      </c>
      <c r="BC68" s="527">
        <f t="shared" si="104"/>
        <v>-82986.465599999996</v>
      </c>
      <c r="BD68" s="527">
        <f t="shared" si="104"/>
        <v>-82986.465599999996</v>
      </c>
      <c r="BE68" s="527">
        <f t="shared" si="104"/>
        <v>-82986.465599999996</v>
      </c>
      <c r="BF68" s="527">
        <f t="shared" si="104"/>
        <v>-82986.465599999996</v>
      </c>
      <c r="BG68" s="527">
        <f t="shared" si="104"/>
        <v>-82986.465599999996</v>
      </c>
      <c r="BH68" s="527">
        <f t="shared" si="104"/>
        <v>-82986.465599999996</v>
      </c>
      <c r="BI68" s="527">
        <f t="shared" si="104"/>
        <v>-82986.465599999996</v>
      </c>
      <c r="BJ68" s="527">
        <f t="shared" si="104"/>
        <v>-82986.465599999996</v>
      </c>
      <c r="BK68" s="527">
        <f t="shared" si="104"/>
        <v>-82986.465599999996</v>
      </c>
      <c r="BL68" s="527">
        <f t="shared" si="104"/>
        <v>-82986.465599999996</v>
      </c>
      <c r="BM68" s="527">
        <f t="shared" si="104"/>
        <v>-82986.465599999996</v>
      </c>
      <c r="BN68" s="527">
        <f t="shared" si="104"/>
        <v>-84646.194911999992</v>
      </c>
      <c r="BO68" s="527">
        <f t="shared" si="104"/>
        <v>-84646.194911999992</v>
      </c>
      <c r="BP68" s="527">
        <f t="shared" si="104"/>
        <v>-84646.194911999992</v>
      </c>
      <c r="BQ68" s="527">
        <f t="shared" si="104"/>
        <v>-84646.194911999992</v>
      </c>
      <c r="BR68" s="527">
        <f t="shared" si="104"/>
        <v>-84646.194911999992</v>
      </c>
      <c r="BS68" s="527">
        <f t="shared" si="104"/>
        <v>-84646.194911999992</v>
      </c>
      <c r="BT68" s="527">
        <f t="shared" si="104"/>
        <v>-84646.194911999992</v>
      </c>
      <c r="BU68" s="527">
        <f t="shared" si="104"/>
        <v>-84646.194911999992</v>
      </c>
      <c r="BV68" s="527">
        <f t="shared" si="104"/>
        <v>-84646.194911999992</v>
      </c>
      <c r="BW68" s="527">
        <f t="shared" si="104"/>
        <v>-84646.194911999992</v>
      </c>
      <c r="BX68" s="527">
        <f t="shared" si="104"/>
        <v>-84646.194911999992</v>
      </c>
      <c r="BY68" s="527">
        <f t="shared" si="104"/>
        <v>-84646.194911999992</v>
      </c>
      <c r="BZ68" s="537"/>
      <c r="CA68" s="537"/>
      <c r="CB68" s="537"/>
    </row>
    <row r="69" spans="1:80" x14ac:dyDescent="0.3">
      <c r="A69" s="551"/>
      <c r="B69" s="548"/>
      <c r="C69" s="525"/>
      <c r="D69" s="525"/>
      <c r="E69" s="2" t="s">
        <v>69</v>
      </c>
      <c r="F69" s="567"/>
      <c r="G69" s="567"/>
      <c r="H69" s="567"/>
      <c r="I69" s="527">
        <f>I559</f>
        <v>-164509.18844017058</v>
      </c>
      <c r="J69" s="527">
        <f t="shared" si="102"/>
        <v>-173481.90760583396</v>
      </c>
      <c r="K69" s="527">
        <f t="shared" si="102"/>
        <v>-184285.53052427105</v>
      </c>
      <c r="L69" s="527">
        <f t="shared" si="102"/>
        <v>-195376.50170102253</v>
      </c>
      <c r="M69" s="527">
        <f t="shared" si="102"/>
        <v>-206706.92562790966</v>
      </c>
      <c r="N69" s="527">
        <f t="shared" si="102"/>
        <v>-218602.47617606449</v>
      </c>
      <c r="O69" s="529"/>
      <c r="P69" s="564">
        <f>IFERROR(((N69/I69)^(1/5))-1,0)</f>
        <v>5.8505169667160128E-2</v>
      </c>
      <c r="Q69" s="537"/>
      <c r="R69" s="527">
        <f t="shared" ref="R69:AW69" si="105">R457</f>
        <v>-14274.988050450225</v>
      </c>
      <c r="S69" s="527">
        <f t="shared" si="105"/>
        <v>-14274.988050450225</v>
      </c>
      <c r="T69" s="527">
        <f t="shared" si="105"/>
        <v>-14274.988050450225</v>
      </c>
      <c r="U69" s="527">
        <f t="shared" si="105"/>
        <v>-14274.988050450225</v>
      </c>
      <c r="V69" s="527">
        <f t="shared" si="105"/>
        <v>-14274.988050450225</v>
      </c>
      <c r="W69" s="527">
        <f t="shared" si="105"/>
        <v>-14274.988050450225</v>
      </c>
      <c r="X69" s="527">
        <f t="shared" si="105"/>
        <v>-14638.663217188772</v>
      </c>
      <c r="Y69" s="527">
        <f t="shared" si="105"/>
        <v>-14638.663217188772</v>
      </c>
      <c r="Z69" s="527">
        <f t="shared" si="105"/>
        <v>-14638.663217188772</v>
      </c>
      <c r="AA69" s="527">
        <f t="shared" si="105"/>
        <v>-14638.663217188772</v>
      </c>
      <c r="AB69" s="527">
        <f t="shared" si="105"/>
        <v>-14638.663217188772</v>
      </c>
      <c r="AC69" s="527">
        <f t="shared" si="105"/>
        <v>-14638.663217188772</v>
      </c>
      <c r="AD69" s="527">
        <f t="shared" si="105"/>
        <v>-15123.921593545572</v>
      </c>
      <c r="AE69" s="527">
        <f t="shared" si="105"/>
        <v>-15123.921593545572</v>
      </c>
      <c r="AF69" s="527">
        <f t="shared" si="105"/>
        <v>-15123.921593545572</v>
      </c>
      <c r="AG69" s="527">
        <f t="shared" si="105"/>
        <v>-15123.921593545572</v>
      </c>
      <c r="AH69" s="527">
        <f t="shared" si="105"/>
        <v>-15123.921593545572</v>
      </c>
      <c r="AI69" s="527">
        <f t="shared" si="105"/>
        <v>-15123.921593545572</v>
      </c>
      <c r="AJ69" s="527">
        <f t="shared" si="105"/>
        <v>-15590.333493832943</v>
      </c>
      <c r="AK69" s="527">
        <f t="shared" si="105"/>
        <v>-15590.333493832943</v>
      </c>
      <c r="AL69" s="527">
        <f t="shared" si="105"/>
        <v>-15590.333493832943</v>
      </c>
      <c r="AM69" s="527">
        <f t="shared" si="105"/>
        <v>-15590.333493832943</v>
      </c>
      <c r="AN69" s="527">
        <f t="shared" si="105"/>
        <v>-15590.333493832943</v>
      </c>
      <c r="AO69" s="527">
        <f t="shared" si="105"/>
        <v>-15590.333493832943</v>
      </c>
      <c r="AP69" s="527">
        <f t="shared" si="105"/>
        <v>-15993.369481928901</v>
      </c>
      <c r="AQ69" s="527">
        <f t="shared" si="105"/>
        <v>-15993.369481928901</v>
      </c>
      <c r="AR69" s="527">
        <f t="shared" si="105"/>
        <v>-15993.369481928901</v>
      </c>
      <c r="AS69" s="527">
        <f t="shared" si="105"/>
        <v>-15993.369481928901</v>
      </c>
      <c r="AT69" s="527">
        <f t="shared" si="105"/>
        <v>-15993.369481928901</v>
      </c>
      <c r="AU69" s="527">
        <f t="shared" si="105"/>
        <v>-15993.369481928901</v>
      </c>
      <c r="AV69" s="527">
        <f t="shared" si="105"/>
        <v>-16569.380801574844</v>
      </c>
      <c r="AW69" s="527">
        <f t="shared" si="105"/>
        <v>-16569.380801574844</v>
      </c>
      <c r="AX69" s="527">
        <f t="shared" ref="AX69:BY69" si="106">AX457</f>
        <v>-16569.380801574844</v>
      </c>
      <c r="AY69" s="527">
        <f t="shared" si="106"/>
        <v>-16569.380801574844</v>
      </c>
      <c r="AZ69" s="527">
        <f t="shared" si="106"/>
        <v>-16569.380801574844</v>
      </c>
      <c r="BA69" s="527">
        <f t="shared" si="106"/>
        <v>-16569.380801574844</v>
      </c>
      <c r="BB69" s="527">
        <f t="shared" si="106"/>
        <v>-16879.270302963021</v>
      </c>
      <c r="BC69" s="527">
        <f t="shared" si="106"/>
        <v>-16879.270302963021</v>
      </c>
      <c r="BD69" s="527">
        <f t="shared" si="106"/>
        <v>-16879.270302963021</v>
      </c>
      <c r="BE69" s="527">
        <f t="shared" si="106"/>
        <v>-16879.270302963021</v>
      </c>
      <c r="BF69" s="527">
        <f t="shared" si="106"/>
        <v>-16879.270302963021</v>
      </c>
      <c r="BG69" s="527">
        <f t="shared" si="106"/>
        <v>-16879.270302963021</v>
      </c>
      <c r="BH69" s="527">
        <f t="shared" si="106"/>
        <v>-17571.883968355261</v>
      </c>
      <c r="BI69" s="527">
        <f t="shared" si="106"/>
        <v>-17571.883968355261</v>
      </c>
      <c r="BJ69" s="527">
        <f t="shared" si="106"/>
        <v>-17571.883968355261</v>
      </c>
      <c r="BK69" s="527">
        <f t="shared" si="106"/>
        <v>-17571.883968355261</v>
      </c>
      <c r="BL69" s="527">
        <f t="shared" si="106"/>
        <v>-17571.883968355261</v>
      </c>
      <c r="BM69" s="527">
        <f t="shared" si="106"/>
        <v>-17571.883968355261</v>
      </c>
      <c r="BN69" s="527">
        <f t="shared" si="106"/>
        <v>-17808.597230543921</v>
      </c>
      <c r="BO69" s="527">
        <f t="shared" si="106"/>
        <v>-17808.597230543921</v>
      </c>
      <c r="BP69" s="527">
        <f t="shared" si="106"/>
        <v>-17808.597230543921</v>
      </c>
      <c r="BQ69" s="527">
        <f t="shared" si="106"/>
        <v>-17808.597230543921</v>
      </c>
      <c r="BR69" s="527">
        <f t="shared" si="106"/>
        <v>-17808.597230543921</v>
      </c>
      <c r="BS69" s="527">
        <f t="shared" si="106"/>
        <v>-17808.597230543921</v>
      </c>
      <c r="BT69" s="527">
        <f t="shared" si="106"/>
        <v>-18625.148798800154</v>
      </c>
      <c r="BU69" s="527">
        <f t="shared" si="106"/>
        <v>-18625.148798800154</v>
      </c>
      <c r="BV69" s="527">
        <f t="shared" si="106"/>
        <v>-18625.148798800154</v>
      </c>
      <c r="BW69" s="527">
        <f t="shared" si="106"/>
        <v>-18625.148798800154</v>
      </c>
      <c r="BX69" s="527">
        <f t="shared" si="106"/>
        <v>-18625.148798800154</v>
      </c>
      <c r="BY69" s="527">
        <f t="shared" si="106"/>
        <v>-18625.148798800154</v>
      </c>
      <c r="BZ69" s="537"/>
      <c r="CA69" s="537"/>
      <c r="CB69" s="537"/>
    </row>
    <row r="70" spans="1:80" x14ac:dyDescent="0.3">
      <c r="A70" s="551"/>
      <c r="B70" s="548"/>
      <c r="C70" s="525"/>
      <c r="D70" s="525"/>
      <c r="E70" s="2" t="s">
        <v>184</v>
      </c>
      <c r="F70" s="567"/>
      <c r="G70" s="567"/>
      <c r="H70" s="567"/>
      <c r="I70" s="528">
        <v>0</v>
      </c>
      <c r="J70" s="527">
        <f t="shared" si="102"/>
        <v>0</v>
      </c>
      <c r="K70" s="527">
        <f t="shared" si="102"/>
        <v>0</v>
      </c>
      <c r="L70" s="527">
        <f t="shared" si="102"/>
        <v>0</v>
      </c>
      <c r="M70" s="527">
        <f t="shared" si="102"/>
        <v>0</v>
      </c>
      <c r="N70" s="527">
        <f t="shared" si="102"/>
        <v>0</v>
      </c>
      <c r="O70" s="544"/>
      <c r="P70" s="564">
        <f>IFERROR(((N70/I70)^(1/5))-1,0)</f>
        <v>0</v>
      </c>
      <c r="Q70" s="537"/>
      <c r="R70" s="528">
        <v>0</v>
      </c>
      <c r="S70" s="528">
        <v>0</v>
      </c>
      <c r="T70" s="528">
        <v>0</v>
      </c>
      <c r="U70" s="528">
        <v>0</v>
      </c>
      <c r="V70" s="528">
        <v>0</v>
      </c>
      <c r="W70" s="528">
        <v>0</v>
      </c>
      <c r="X70" s="528">
        <v>0</v>
      </c>
      <c r="Y70" s="528">
        <v>0</v>
      </c>
      <c r="Z70" s="528">
        <v>0</v>
      </c>
      <c r="AA70" s="528">
        <v>0</v>
      </c>
      <c r="AB70" s="528">
        <v>0</v>
      </c>
      <c r="AC70" s="528">
        <v>0</v>
      </c>
      <c r="AD70" s="528">
        <v>0</v>
      </c>
      <c r="AE70" s="528">
        <v>0</v>
      </c>
      <c r="AF70" s="528">
        <v>0</v>
      </c>
      <c r="AG70" s="528">
        <v>0</v>
      </c>
      <c r="AH70" s="528">
        <v>0</v>
      </c>
      <c r="AI70" s="528">
        <v>0</v>
      </c>
      <c r="AJ70" s="528">
        <v>0</v>
      </c>
      <c r="AK70" s="528">
        <v>0</v>
      </c>
      <c r="AL70" s="528">
        <v>0</v>
      </c>
      <c r="AM70" s="528">
        <v>0</v>
      </c>
      <c r="AN70" s="528">
        <v>0</v>
      </c>
      <c r="AO70" s="528">
        <v>0</v>
      </c>
      <c r="AP70" s="528">
        <v>0</v>
      </c>
      <c r="AQ70" s="528">
        <v>0</v>
      </c>
      <c r="AR70" s="528">
        <v>0</v>
      </c>
      <c r="AS70" s="528">
        <v>0</v>
      </c>
      <c r="AT70" s="528">
        <v>0</v>
      </c>
      <c r="AU70" s="528">
        <v>0</v>
      </c>
      <c r="AV70" s="528">
        <v>0</v>
      </c>
      <c r="AW70" s="528">
        <v>0</v>
      </c>
      <c r="AX70" s="528">
        <v>0</v>
      </c>
      <c r="AY70" s="528">
        <v>0</v>
      </c>
      <c r="AZ70" s="528">
        <v>0</v>
      </c>
      <c r="BA70" s="528">
        <v>0</v>
      </c>
      <c r="BB70" s="528">
        <v>0</v>
      </c>
      <c r="BC70" s="528">
        <v>0</v>
      </c>
      <c r="BD70" s="528">
        <v>0</v>
      </c>
      <c r="BE70" s="528">
        <v>0</v>
      </c>
      <c r="BF70" s="528">
        <v>0</v>
      </c>
      <c r="BG70" s="528">
        <v>0</v>
      </c>
      <c r="BH70" s="528">
        <v>0</v>
      </c>
      <c r="BI70" s="528">
        <v>0</v>
      </c>
      <c r="BJ70" s="528">
        <v>0</v>
      </c>
      <c r="BK70" s="528">
        <v>0</v>
      </c>
      <c r="BL70" s="528">
        <v>0</v>
      </c>
      <c r="BM70" s="528">
        <v>0</v>
      </c>
      <c r="BN70" s="528">
        <v>0</v>
      </c>
      <c r="BO70" s="528">
        <v>0</v>
      </c>
      <c r="BP70" s="528">
        <v>0</v>
      </c>
      <c r="BQ70" s="528">
        <v>0</v>
      </c>
      <c r="BR70" s="528">
        <v>0</v>
      </c>
      <c r="BS70" s="528">
        <v>0</v>
      </c>
      <c r="BT70" s="528">
        <v>0</v>
      </c>
      <c r="BU70" s="528">
        <v>0</v>
      </c>
      <c r="BV70" s="528">
        <v>0</v>
      </c>
      <c r="BW70" s="528">
        <v>0</v>
      </c>
      <c r="BX70" s="528">
        <v>0</v>
      </c>
      <c r="BY70" s="528">
        <v>0</v>
      </c>
      <c r="BZ70" s="537"/>
      <c r="CA70" s="537"/>
      <c r="CB70" s="537"/>
    </row>
    <row r="71" spans="1:80" x14ac:dyDescent="0.3">
      <c r="A71" s="551"/>
      <c r="B71" s="548"/>
      <c r="C71" s="525"/>
      <c r="D71" s="525"/>
      <c r="E71" s="62" t="s">
        <v>293</v>
      </c>
      <c r="F71" s="579"/>
      <c r="G71" s="579"/>
      <c r="H71" s="579"/>
      <c r="I71" s="534">
        <f t="shared" ref="I71:N71" si="107">I65+SUM(I68:I70)</f>
        <v>8317126.8789045354</v>
      </c>
      <c r="J71" s="534">
        <f t="shared" si="107"/>
        <v>9428389.8228744287</v>
      </c>
      <c r="K71" s="534">
        <f t="shared" si="107"/>
        <v>10095302.873851709</v>
      </c>
      <c r="L71" s="534">
        <f t="shared" si="107"/>
        <v>10781967.743187487</v>
      </c>
      <c r="M71" s="534">
        <f t="shared" si="107"/>
        <v>11485473.842551764</v>
      </c>
      <c r="N71" s="534">
        <f t="shared" si="107"/>
        <v>12225504.543119309</v>
      </c>
      <c r="O71" s="536"/>
      <c r="P71" s="568">
        <f>IFERROR(((N71/I71)^(1/5))-1,0)</f>
        <v>8.00868856305752E-2</v>
      </c>
      <c r="Q71" s="537"/>
      <c r="R71" s="535">
        <f t="shared" ref="R71:AW71" si="108">R65+SUM(R68:R70)</f>
        <v>773758.48393161979</v>
      </c>
      <c r="S71" s="534">
        <f t="shared" si="108"/>
        <v>773758.48393161979</v>
      </c>
      <c r="T71" s="534">
        <f t="shared" si="108"/>
        <v>773758.48393161979</v>
      </c>
      <c r="U71" s="534">
        <f t="shared" si="108"/>
        <v>773758.48393161979</v>
      </c>
      <c r="V71" s="534">
        <f t="shared" si="108"/>
        <v>773758.48393161979</v>
      </c>
      <c r="W71" s="534">
        <f t="shared" si="108"/>
        <v>773758.48393161979</v>
      </c>
      <c r="X71" s="534">
        <f t="shared" si="108"/>
        <v>797639.81988078426</v>
      </c>
      <c r="Y71" s="534">
        <f t="shared" si="108"/>
        <v>797639.81988078426</v>
      </c>
      <c r="Z71" s="534">
        <f t="shared" si="108"/>
        <v>797639.81988078426</v>
      </c>
      <c r="AA71" s="534">
        <f t="shared" si="108"/>
        <v>797639.81988078426</v>
      </c>
      <c r="AB71" s="534">
        <f t="shared" si="108"/>
        <v>797639.81988078426</v>
      </c>
      <c r="AC71" s="534">
        <f t="shared" si="108"/>
        <v>797639.81988078426</v>
      </c>
      <c r="AD71" s="534">
        <f t="shared" si="108"/>
        <v>825961.38209487405</v>
      </c>
      <c r="AE71" s="534">
        <f t="shared" si="108"/>
        <v>825961.38209487405</v>
      </c>
      <c r="AF71" s="534">
        <f t="shared" si="108"/>
        <v>825961.38209487405</v>
      </c>
      <c r="AG71" s="534">
        <f t="shared" si="108"/>
        <v>825961.38209487405</v>
      </c>
      <c r="AH71" s="534">
        <f t="shared" si="108"/>
        <v>825961.38209487405</v>
      </c>
      <c r="AI71" s="534">
        <f t="shared" si="108"/>
        <v>825961.38209487405</v>
      </c>
      <c r="AJ71" s="534">
        <f t="shared" si="108"/>
        <v>856589.09688041115</v>
      </c>
      <c r="AK71" s="534">
        <f t="shared" si="108"/>
        <v>856589.09688041115</v>
      </c>
      <c r="AL71" s="534">
        <f t="shared" si="108"/>
        <v>856589.09688041115</v>
      </c>
      <c r="AM71" s="534">
        <f t="shared" si="108"/>
        <v>856589.09688041115</v>
      </c>
      <c r="AN71" s="534">
        <f t="shared" si="108"/>
        <v>856589.09688041115</v>
      </c>
      <c r="AO71" s="534">
        <f t="shared" si="108"/>
        <v>856589.09688041115</v>
      </c>
      <c r="AP71" s="534">
        <f t="shared" si="108"/>
        <v>879584.9402705821</v>
      </c>
      <c r="AQ71" s="534">
        <f t="shared" si="108"/>
        <v>879584.9402705821</v>
      </c>
      <c r="AR71" s="534">
        <f t="shared" si="108"/>
        <v>879584.9402705821</v>
      </c>
      <c r="AS71" s="534">
        <f t="shared" si="108"/>
        <v>879584.9402705821</v>
      </c>
      <c r="AT71" s="534">
        <f t="shared" si="108"/>
        <v>879584.9402705821</v>
      </c>
      <c r="AU71" s="534">
        <f t="shared" si="108"/>
        <v>879584.9402705821</v>
      </c>
      <c r="AV71" s="534">
        <f t="shared" si="108"/>
        <v>917409.68359399878</v>
      </c>
      <c r="AW71" s="534">
        <f t="shared" si="108"/>
        <v>917409.68359399878</v>
      </c>
      <c r="AX71" s="534">
        <f t="shared" ref="AX71:BY71" si="109">AX65+SUM(AX68:AX70)</f>
        <v>917409.68359399878</v>
      </c>
      <c r="AY71" s="534">
        <f t="shared" si="109"/>
        <v>917409.68359399878</v>
      </c>
      <c r="AZ71" s="534">
        <f t="shared" si="109"/>
        <v>917409.68359399878</v>
      </c>
      <c r="BA71" s="534">
        <f t="shared" si="109"/>
        <v>917409.68359399878</v>
      </c>
      <c r="BB71" s="534">
        <f t="shared" si="109"/>
        <v>934382.00486560143</v>
      </c>
      <c r="BC71" s="534">
        <f t="shared" si="109"/>
        <v>934382.00486560143</v>
      </c>
      <c r="BD71" s="534">
        <f t="shared" si="109"/>
        <v>934382.00486560143</v>
      </c>
      <c r="BE71" s="534">
        <f t="shared" si="109"/>
        <v>934382.00486560143</v>
      </c>
      <c r="BF71" s="534">
        <f t="shared" si="109"/>
        <v>934382.00486560143</v>
      </c>
      <c r="BG71" s="534">
        <f t="shared" si="109"/>
        <v>934382.00486560143</v>
      </c>
      <c r="BH71" s="534">
        <f t="shared" si="109"/>
        <v>979863.63555969216</v>
      </c>
      <c r="BI71" s="534">
        <f t="shared" si="109"/>
        <v>979863.63555969216</v>
      </c>
      <c r="BJ71" s="534">
        <f t="shared" si="109"/>
        <v>979863.63555969216</v>
      </c>
      <c r="BK71" s="534">
        <f t="shared" si="109"/>
        <v>979863.63555969216</v>
      </c>
      <c r="BL71" s="534">
        <f t="shared" si="109"/>
        <v>979863.63555969216</v>
      </c>
      <c r="BM71" s="534">
        <f t="shared" si="109"/>
        <v>979863.63555969216</v>
      </c>
      <c r="BN71" s="534">
        <f t="shared" si="109"/>
        <v>991981.9354355298</v>
      </c>
      <c r="BO71" s="534">
        <f t="shared" si="109"/>
        <v>991981.9354355298</v>
      </c>
      <c r="BP71" s="534">
        <f t="shared" si="109"/>
        <v>991981.9354355298</v>
      </c>
      <c r="BQ71" s="534">
        <f t="shared" si="109"/>
        <v>991981.9354355298</v>
      </c>
      <c r="BR71" s="534">
        <f t="shared" si="109"/>
        <v>991981.9354355298</v>
      </c>
      <c r="BS71" s="534">
        <f t="shared" si="109"/>
        <v>991981.9354355298</v>
      </c>
      <c r="BT71" s="534">
        <f t="shared" si="109"/>
        <v>1045602.1550843553</v>
      </c>
      <c r="BU71" s="534">
        <f t="shared" si="109"/>
        <v>1045602.1550843553</v>
      </c>
      <c r="BV71" s="534">
        <f t="shared" si="109"/>
        <v>1045602.1550843553</v>
      </c>
      <c r="BW71" s="534">
        <f t="shared" si="109"/>
        <v>1045602.1550843553</v>
      </c>
      <c r="BX71" s="534">
        <f t="shared" si="109"/>
        <v>1045602.1550843553</v>
      </c>
      <c r="BY71" s="534">
        <f t="shared" si="109"/>
        <v>1045602.1550843553</v>
      </c>
      <c r="BZ71" s="537"/>
      <c r="CA71" s="537"/>
      <c r="CB71" s="537"/>
    </row>
    <row r="72" spans="1:80" x14ac:dyDescent="0.3">
      <c r="A72" s="551"/>
      <c r="B72" s="548"/>
      <c r="C72" s="525"/>
      <c r="D72" s="525"/>
      <c r="E72" s="2" t="s">
        <v>407</v>
      </c>
      <c r="F72" s="525"/>
      <c r="G72" s="525"/>
      <c r="H72" s="525"/>
      <c r="I72" s="531">
        <f t="shared" ref="I72:N72" si="110">IFERROR(I71/I61,0)</f>
        <v>0.75835826780544946</v>
      </c>
      <c r="J72" s="531">
        <f t="shared" si="110"/>
        <v>0.81521957704343562</v>
      </c>
      <c r="K72" s="531">
        <f t="shared" si="110"/>
        <v>0.82171151840828782</v>
      </c>
      <c r="L72" s="531">
        <f t="shared" si="110"/>
        <v>0.82778386724981412</v>
      </c>
      <c r="M72" s="531">
        <f t="shared" si="110"/>
        <v>0.83346074213497368</v>
      </c>
      <c r="N72" s="531">
        <f t="shared" si="110"/>
        <v>0.83888605177139741</v>
      </c>
      <c r="O72" s="546"/>
      <c r="P72" s="564">
        <f>IFERROR(((N72/I72)^(1/5))-1,0)</f>
        <v>2.038886212544555E-2</v>
      </c>
      <c r="Q72" s="569"/>
      <c r="R72" s="531">
        <f t="shared" ref="R72:AW72" si="111">IFERROR(R71/R61,0)</f>
        <v>0.81305688088532135</v>
      </c>
      <c r="S72" s="531">
        <f t="shared" si="111"/>
        <v>0.81305688088532135</v>
      </c>
      <c r="T72" s="531">
        <f t="shared" si="111"/>
        <v>0.81305688088532135</v>
      </c>
      <c r="U72" s="531">
        <f t="shared" si="111"/>
        <v>0.81305688088532135</v>
      </c>
      <c r="V72" s="531">
        <f t="shared" si="111"/>
        <v>0.81305688088532135</v>
      </c>
      <c r="W72" s="531">
        <f t="shared" si="111"/>
        <v>0.81305688088532135</v>
      </c>
      <c r="X72" s="531">
        <f t="shared" si="111"/>
        <v>0.81732854432793345</v>
      </c>
      <c r="Y72" s="531">
        <f t="shared" si="111"/>
        <v>0.81732854432793345</v>
      </c>
      <c r="Z72" s="531">
        <f t="shared" si="111"/>
        <v>0.81732854432793345</v>
      </c>
      <c r="AA72" s="531">
        <f t="shared" si="111"/>
        <v>0.81732854432793345</v>
      </c>
      <c r="AB72" s="531">
        <f t="shared" si="111"/>
        <v>0.81732854432793345</v>
      </c>
      <c r="AC72" s="531">
        <f t="shared" si="111"/>
        <v>0.81732854432793345</v>
      </c>
      <c r="AD72" s="531">
        <f t="shared" si="111"/>
        <v>0.81919366315086795</v>
      </c>
      <c r="AE72" s="531">
        <f t="shared" si="111"/>
        <v>0.81919366315086795</v>
      </c>
      <c r="AF72" s="531">
        <f t="shared" si="111"/>
        <v>0.81919366315086795</v>
      </c>
      <c r="AG72" s="531">
        <f t="shared" si="111"/>
        <v>0.81919366315086795</v>
      </c>
      <c r="AH72" s="531">
        <f t="shared" si="111"/>
        <v>0.81919366315086795</v>
      </c>
      <c r="AI72" s="531">
        <f t="shared" si="111"/>
        <v>0.81919366315086795</v>
      </c>
      <c r="AJ72" s="531">
        <f t="shared" si="111"/>
        <v>0.82415404765323164</v>
      </c>
      <c r="AK72" s="531">
        <f t="shared" si="111"/>
        <v>0.82415404765323164</v>
      </c>
      <c r="AL72" s="531">
        <f t="shared" si="111"/>
        <v>0.82415404765323164</v>
      </c>
      <c r="AM72" s="531">
        <f t="shared" si="111"/>
        <v>0.82415404765323164</v>
      </c>
      <c r="AN72" s="531">
        <f t="shared" si="111"/>
        <v>0.82415404765323164</v>
      </c>
      <c r="AO72" s="531">
        <f t="shared" si="111"/>
        <v>0.82415404765323164</v>
      </c>
      <c r="AP72" s="531">
        <f t="shared" si="111"/>
        <v>0.8249527480101384</v>
      </c>
      <c r="AQ72" s="531">
        <f t="shared" si="111"/>
        <v>0.8249527480101384</v>
      </c>
      <c r="AR72" s="531">
        <f t="shared" si="111"/>
        <v>0.8249527480101384</v>
      </c>
      <c r="AS72" s="531">
        <f t="shared" si="111"/>
        <v>0.8249527480101384</v>
      </c>
      <c r="AT72" s="531">
        <f t="shared" si="111"/>
        <v>0.8249527480101384</v>
      </c>
      <c r="AU72" s="531">
        <f t="shared" si="111"/>
        <v>0.8249527480101384</v>
      </c>
      <c r="AV72" s="531">
        <f t="shared" si="111"/>
        <v>0.83051656659384943</v>
      </c>
      <c r="AW72" s="531">
        <f t="shared" si="111"/>
        <v>0.83051656659384943</v>
      </c>
      <c r="AX72" s="531">
        <f t="shared" ref="AX72:BY72" si="112">IFERROR(AX71/AX61,0)</f>
        <v>0.83051656659384943</v>
      </c>
      <c r="AY72" s="531">
        <f t="shared" si="112"/>
        <v>0.83051656659384943</v>
      </c>
      <c r="AZ72" s="531">
        <f t="shared" si="112"/>
        <v>0.83051656659384943</v>
      </c>
      <c r="BA72" s="531">
        <f t="shared" si="112"/>
        <v>0.83051656659384943</v>
      </c>
      <c r="BB72" s="531">
        <f t="shared" si="112"/>
        <v>0.83035165747204576</v>
      </c>
      <c r="BC72" s="531">
        <f t="shared" si="112"/>
        <v>0.83035165747204576</v>
      </c>
      <c r="BD72" s="531">
        <f t="shared" si="112"/>
        <v>0.83035165747204576</v>
      </c>
      <c r="BE72" s="531">
        <f t="shared" si="112"/>
        <v>0.83035165747204576</v>
      </c>
      <c r="BF72" s="531">
        <f t="shared" si="112"/>
        <v>0.83035165747204576</v>
      </c>
      <c r="BG72" s="531">
        <f t="shared" si="112"/>
        <v>0.83035165747204576</v>
      </c>
      <c r="BH72" s="531">
        <f t="shared" si="112"/>
        <v>0.83644727906606575</v>
      </c>
      <c r="BI72" s="531">
        <f t="shared" si="112"/>
        <v>0.83644727906606575</v>
      </c>
      <c r="BJ72" s="531">
        <f t="shared" si="112"/>
        <v>0.83644727906606575</v>
      </c>
      <c r="BK72" s="531">
        <f t="shared" si="112"/>
        <v>0.83644727906606575</v>
      </c>
      <c r="BL72" s="531">
        <f t="shared" si="112"/>
        <v>0.83644727906606575</v>
      </c>
      <c r="BM72" s="531">
        <f t="shared" si="112"/>
        <v>0.83644727906606575</v>
      </c>
      <c r="BN72" s="531">
        <f t="shared" si="112"/>
        <v>0.83553627716462653</v>
      </c>
      <c r="BO72" s="531">
        <f t="shared" si="112"/>
        <v>0.83553627716462653</v>
      </c>
      <c r="BP72" s="531">
        <f t="shared" si="112"/>
        <v>0.83553627716462653</v>
      </c>
      <c r="BQ72" s="531">
        <f t="shared" si="112"/>
        <v>0.83553627716462653</v>
      </c>
      <c r="BR72" s="531">
        <f t="shared" si="112"/>
        <v>0.83553627716462653</v>
      </c>
      <c r="BS72" s="531">
        <f t="shared" si="112"/>
        <v>0.83553627716462653</v>
      </c>
      <c r="BT72" s="531">
        <f t="shared" si="112"/>
        <v>0.84208896775502318</v>
      </c>
      <c r="BU72" s="531">
        <f t="shared" si="112"/>
        <v>0.84208896775502318</v>
      </c>
      <c r="BV72" s="531">
        <f t="shared" si="112"/>
        <v>0.84208896775502318</v>
      </c>
      <c r="BW72" s="531">
        <f t="shared" si="112"/>
        <v>0.84208896775502318</v>
      </c>
      <c r="BX72" s="531">
        <f t="shared" si="112"/>
        <v>0.84208896775502318</v>
      </c>
      <c r="BY72" s="531">
        <f t="shared" si="112"/>
        <v>0.84208896775502318</v>
      </c>
      <c r="BZ72" s="537"/>
      <c r="CA72" s="537"/>
      <c r="CB72" s="537"/>
    </row>
    <row r="73" spans="1:80" x14ac:dyDescent="0.3">
      <c r="A73" s="551"/>
      <c r="B73" s="548"/>
      <c r="C73" s="525"/>
      <c r="D73" s="525"/>
      <c r="E73" s="525"/>
      <c r="F73" s="567"/>
      <c r="G73" s="567"/>
      <c r="H73" s="567"/>
      <c r="I73" s="529"/>
      <c r="J73" s="529"/>
      <c r="K73" s="529"/>
      <c r="L73" s="529"/>
      <c r="M73" s="529"/>
      <c r="N73" s="529"/>
      <c r="O73" s="529"/>
      <c r="P73" s="564"/>
      <c r="Q73" s="537"/>
      <c r="R73" s="529"/>
      <c r="S73" s="529"/>
      <c r="T73" s="529"/>
      <c r="U73" s="529"/>
      <c r="V73" s="529"/>
      <c r="W73" s="529"/>
      <c r="X73" s="529"/>
      <c r="Y73" s="529"/>
      <c r="Z73" s="529"/>
      <c r="AA73" s="529"/>
      <c r="AB73" s="529"/>
      <c r="AC73" s="529"/>
      <c r="AD73" s="529"/>
      <c r="AE73" s="529"/>
      <c r="AF73" s="529"/>
      <c r="AG73" s="529"/>
      <c r="AH73" s="529"/>
      <c r="AI73" s="529"/>
      <c r="AJ73" s="529"/>
      <c r="AK73" s="529"/>
      <c r="AL73" s="529"/>
      <c r="AM73" s="529"/>
      <c r="AN73" s="529"/>
      <c r="AO73" s="529"/>
      <c r="AP73" s="529"/>
      <c r="AQ73" s="529"/>
      <c r="AR73" s="529"/>
      <c r="AS73" s="529"/>
      <c r="AT73" s="529"/>
      <c r="AU73" s="529"/>
      <c r="AV73" s="529"/>
      <c r="AW73" s="529"/>
      <c r="AX73" s="529"/>
      <c r="AY73" s="529"/>
      <c r="AZ73" s="529"/>
      <c r="BA73" s="529"/>
      <c r="BB73" s="529"/>
      <c r="BC73" s="529"/>
      <c r="BD73" s="529"/>
      <c r="BE73" s="529"/>
      <c r="BF73" s="529"/>
      <c r="BG73" s="529"/>
      <c r="BH73" s="529"/>
      <c r="BI73" s="529"/>
      <c r="BJ73" s="529"/>
      <c r="BK73" s="529"/>
      <c r="BL73" s="529"/>
      <c r="BM73" s="529"/>
      <c r="BN73" s="529"/>
      <c r="BO73" s="529"/>
      <c r="BP73" s="529"/>
      <c r="BQ73" s="529"/>
      <c r="BR73" s="529"/>
      <c r="BS73" s="529"/>
      <c r="BT73" s="529"/>
      <c r="BU73" s="529"/>
      <c r="BV73" s="529"/>
      <c r="BW73" s="529"/>
      <c r="BX73" s="529"/>
      <c r="BY73" s="529"/>
      <c r="BZ73" s="537"/>
      <c r="CA73" s="537"/>
      <c r="CB73" s="537"/>
    </row>
    <row r="74" spans="1:80" x14ac:dyDescent="0.3">
      <c r="A74" s="551"/>
      <c r="B74" s="548"/>
      <c r="C74" s="525"/>
      <c r="D74" s="525"/>
      <c r="E74" s="525" t="s">
        <v>70</v>
      </c>
      <c r="F74" s="567"/>
      <c r="G74" s="567"/>
      <c r="H74" s="567"/>
      <c r="I74" s="527">
        <f>I564</f>
        <v>-472823</v>
      </c>
      <c r="J74" s="527">
        <f t="shared" ref="J74:N76" si="113">SUMIF($R$2:$BY$2,J$3,$R74:$BY74)</f>
        <v>-646533.62975741259</v>
      </c>
      <c r="K74" s="527">
        <f t="shared" si="113"/>
        <v>-662082.63441564573</v>
      </c>
      <c r="L74" s="527">
        <f t="shared" si="113"/>
        <v>-676949.31484390574</v>
      </c>
      <c r="M74" s="527">
        <f t="shared" si="113"/>
        <v>-690947.021468241</v>
      </c>
      <c r="N74" s="527">
        <f t="shared" si="113"/>
        <v>-704431.52767856687</v>
      </c>
      <c r="O74" s="529"/>
      <c r="P74" s="564">
        <f>IFERROR(((N74/I74)^(1/5))-1,0)</f>
        <v>8.2998956521101341E-2</v>
      </c>
      <c r="Q74" s="574"/>
      <c r="R74" s="527">
        <f t="shared" ref="R74:AW74" si="114">R437</f>
        <v>0</v>
      </c>
      <c r="S74" s="527">
        <f t="shared" si="114"/>
        <v>0</v>
      </c>
      <c r="T74" s="527">
        <f t="shared" si="114"/>
        <v>0</v>
      </c>
      <c r="U74" s="527">
        <f t="shared" si="114"/>
        <v>0</v>
      </c>
      <c r="V74" s="527">
        <f t="shared" si="114"/>
        <v>0</v>
      </c>
      <c r="W74" s="527">
        <f t="shared" si="114"/>
        <v>-646533.62975741259</v>
      </c>
      <c r="X74" s="527">
        <f t="shared" si="114"/>
        <v>0</v>
      </c>
      <c r="Y74" s="527">
        <f t="shared" si="114"/>
        <v>0</v>
      </c>
      <c r="Z74" s="527">
        <f t="shared" si="114"/>
        <v>0</v>
      </c>
      <c r="AA74" s="527">
        <f t="shared" si="114"/>
        <v>0</v>
      </c>
      <c r="AB74" s="527">
        <f t="shared" si="114"/>
        <v>0</v>
      </c>
      <c r="AC74" s="527">
        <f t="shared" si="114"/>
        <v>0</v>
      </c>
      <c r="AD74" s="527">
        <f t="shared" si="114"/>
        <v>0</v>
      </c>
      <c r="AE74" s="527">
        <f t="shared" si="114"/>
        <v>0</v>
      </c>
      <c r="AF74" s="527">
        <f t="shared" si="114"/>
        <v>0</v>
      </c>
      <c r="AG74" s="527">
        <f t="shared" si="114"/>
        <v>0</v>
      </c>
      <c r="AH74" s="527">
        <f t="shared" si="114"/>
        <v>0</v>
      </c>
      <c r="AI74" s="527">
        <f t="shared" si="114"/>
        <v>-662082.63441564573</v>
      </c>
      <c r="AJ74" s="527">
        <f t="shared" si="114"/>
        <v>0</v>
      </c>
      <c r="AK74" s="527">
        <f t="shared" si="114"/>
        <v>0</v>
      </c>
      <c r="AL74" s="527">
        <f t="shared" si="114"/>
        <v>0</v>
      </c>
      <c r="AM74" s="527">
        <f t="shared" si="114"/>
        <v>0</v>
      </c>
      <c r="AN74" s="527">
        <f t="shared" si="114"/>
        <v>0</v>
      </c>
      <c r="AO74" s="527">
        <f t="shared" si="114"/>
        <v>0</v>
      </c>
      <c r="AP74" s="527">
        <f t="shared" si="114"/>
        <v>0</v>
      </c>
      <c r="AQ74" s="527">
        <f t="shared" si="114"/>
        <v>0</v>
      </c>
      <c r="AR74" s="527">
        <f t="shared" si="114"/>
        <v>0</v>
      </c>
      <c r="AS74" s="527">
        <f t="shared" si="114"/>
        <v>0</v>
      </c>
      <c r="AT74" s="527">
        <f t="shared" si="114"/>
        <v>0</v>
      </c>
      <c r="AU74" s="527">
        <f t="shared" si="114"/>
        <v>-676949.31484390574</v>
      </c>
      <c r="AV74" s="527">
        <f t="shared" si="114"/>
        <v>0</v>
      </c>
      <c r="AW74" s="527">
        <f t="shared" si="114"/>
        <v>0</v>
      </c>
      <c r="AX74" s="527">
        <f t="shared" ref="AX74:BY74" si="115">AX437</f>
        <v>0</v>
      </c>
      <c r="AY74" s="527">
        <f t="shared" si="115"/>
        <v>0</v>
      </c>
      <c r="AZ74" s="527">
        <f t="shared" si="115"/>
        <v>0</v>
      </c>
      <c r="BA74" s="527">
        <f t="shared" si="115"/>
        <v>0</v>
      </c>
      <c r="BB74" s="527">
        <f t="shared" si="115"/>
        <v>0</v>
      </c>
      <c r="BC74" s="527">
        <f t="shared" si="115"/>
        <v>0</v>
      </c>
      <c r="BD74" s="527">
        <f t="shared" si="115"/>
        <v>0</v>
      </c>
      <c r="BE74" s="527">
        <f t="shared" si="115"/>
        <v>0</v>
      </c>
      <c r="BF74" s="527">
        <f t="shared" si="115"/>
        <v>0</v>
      </c>
      <c r="BG74" s="527">
        <f t="shared" si="115"/>
        <v>-690947.021468241</v>
      </c>
      <c r="BH74" s="527">
        <f t="shared" si="115"/>
        <v>0</v>
      </c>
      <c r="BI74" s="527">
        <f t="shared" si="115"/>
        <v>0</v>
      </c>
      <c r="BJ74" s="527">
        <f t="shared" si="115"/>
        <v>0</v>
      </c>
      <c r="BK74" s="527">
        <f t="shared" si="115"/>
        <v>0</v>
      </c>
      <c r="BL74" s="527">
        <f t="shared" si="115"/>
        <v>0</v>
      </c>
      <c r="BM74" s="527">
        <f t="shared" si="115"/>
        <v>0</v>
      </c>
      <c r="BN74" s="527">
        <f t="shared" si="115"/>
        <v>0</v>
      </c>
      <c r="BO74" s="527">
        <f t="shared" si="115"/>
        <v>0</v>
      </c>
      <c r="BP74" s="527">
        <f t="shared" si="115"/>
        <v>0</v>
      </c>
      <c r="BQ74" s="527">
        <f t="shared" si="115"/>
        <v>0</v>
      </c>
      <c r="BR74" s="527">
        <f t="shared" si="115"/>
        <v>0</v>
      </c>
      <c r="BS74" s="527">
        <f t="shared" si="115"/>
        <v>-704431.52767856687</v>
      </c>
      <c r="BT74" s="527">
        <f t="shared" si="115"/>
        <v>0</v>
      </c>
      <c r="BU74" s="527">
        <f t="shared" si="115"/>
        <v>0</v>
      </c>
      <c r="BV74" s="527">
        <f t="shared" si="115"/>
        <v>0</v>
      </c>
      <c r="BW74" s="527">
        <f t="shared" si="115"/>
        <v>0</v>
      </c>
      <c r="BX74" s="527">
        <f t="shared" si="115"/>
        <v>0</v>
      </c>
      <c r="BY74" s="527">
        <f t="shared" si="115"/>
        <v>0</v>
      </c>
      <c r="BZ74" s="537"/>
      <c r="CA74" s="537"/>
      <c r="CB74" s="537"/>
    </row>
    <row r="75" spans="1:80" x14ac:dyDescent="0.3">
      <c r="A75" s="551"/>
      <c r="B75" s="548"/>
      <c r="C75" s="525"/>
      <c r="D75" s="525"/>
      <c r="E75" s="525" t="s">
        <v>185</v>
      </c>
      <c r="F75" s="567"/>
      <c r="G75" s="567"/>
      <c r="H75" s="567"/>
      <c r="I75" s="528">
        <v>0</v>
      </c>
      <c r="J75" s="527">
        <f t="shared" si="113"/>
        <v>0</v>
      </c>
      <c r="K75" s="527">
        <f t="shared" si="113"/>
        <v>0</v>
      </c>
      <c r="L75" s="527">
        <f t="shared" si="113"/>
        <v>0</v>
      </c>
      <c r="M75" s="527">
        <f t="shared" si="113"/>
        <v>0</v>
      </c>
      <c r="N75" s="527">
        <f t="shared" si="113"/>
        <v>0</v>
      </c>
      <c r="O75" s="544"/>
      <c r="P75" s="564">
        <f>IFERROR(((N75/I75)^(1/5))-1,0)</f>
        <v>0</v>
      </c>
      <c r="Q75" s="537"/>
      <c r="R75" s="580">
        <v>0</v>
      </c>
      <c r="S75" s="528">
        <v>0</v>
      </c>
      <c r="T75" s="528">
        <v>0</v>
      </c>
      <c r="U75" s="528">
        <v>0</v>
      </c>
      <c r="V75" s="528">
        <v>0</v>
      </c>
      <c r="W75" s="528">
        <v>0</v>
      </c>
      <c r="X75" s="528">
        <v>0</v>
      </c>
      <c r="Y75" s="528">
        <v>0</v>
      </c>
      <c r="Z75" s="528">
        <v>0</v>
      </c>
      <c r="AA75" s="528">
        <v>0</v>
      </c>
      <c r="AB75" s="528">
        <v>0</v>
      </c>
      <c r="AC75" s="528">
        <v>0</v>
      </c>
      <c r="AD75" s="528">
        <v>0</v>
      </c>
      <c r="AE75" s="528">
        <v>0</v>
      </c>
      <c r="AF75" s="528">
        <v>0</v>
      </c>
      <c r="AG75" s="528">
        <v>0</v>
      </c>
      <c r="AH75" s="528">
        <v>0</v>
      </c>
      <c r="AI75" s="528">
        <v>0</v>
      </c>
      <c r="AJ75" s="528">
        <v>0</v>
      </c>
      <c r="AK75" s="528">
        <v>0</v>
      </c>
      <c r="AL75" s="528">
        <v>0</v>
      </c>
      <c r="AM75" s="528">
        <v>0</v>
      </c>
      <c r="AN75" s="528">
        <v>0</v>
      </c>
      <c r="AO75" s="528">
        <v>0</v>
      </c>
      <c r="AP75" s="528">
        <v>0</v>
      </c>
      <c r="AQ75" s="528">
        <v>0</v>
      </c>
      <c r="AR75" s="528">
        <v>0</v>
      </c>
      <c r="AS75" s="528">
        <v>0</v>
      </c>
      <c r="AT75" s="528">
        <v>0</v>
      </c>
      <c r="AU75" s="528">
        <v>0</v>
      </c>
      <c r="AV75" s="528">
        <v>0</v>
      </c>
      <c r="AW75" s="528">
        <v>0</v>
      </c>
      <c r="AX75" s="528">
        <v>0</v>
      </c>
      <c r="AY75" s="528">
        <v>0</v>
      </c>
      <c r="AZ75" s="528">
        <v>0</v>
      </c>
      <c r="BA75" s="528">
        <v>0</v>
      </c>
      <c r="BB75" s="528">
        <v>0</v>
      </c>
      <c r="BC75" s="528">
        <v>0</v>
      </c>
      <c r="BD75" s="528">
        <v>0</v>
      </c>
      <c r="BE75" s="528">
        <v>0</v>
      </c>
      <c r="BF75" s="528">
        <v>0</v>
      </c>
      <c r="BG75" s="528">
        <v>0</v>
      </c>
      <c r="BH75" s="528">
        <v>0</v>
      </c>
      <c r="BI75" s="528">
        <v>0</v>
      </c>
      <c r="BJ75" s="528">
        <v>0</v>
      </c>
      <c r="BK75" s="528">
        <v>0</v>
      </c>
      <c r="BL75" s="528">
        <v>0</v>
      </c>
      <c r="BM75" s="528">
        <v>0</v>
      </c>
      <c r="BN75" s="528">
        <v>0</v>
      </c>
      <c r="BO75" s="528">
        <v>0</v>
      </c>
      <c r="BP75" s="528">
        <v>0</v>
      </c>
      <c r="BQ75" s="528">
        <v>0</v>
      </c>
      <c r="BR75" s="528">
        <v>0</v>
      </c>
      <c r="BS75" s="528">
        <v>0</v>
      </c>
      <c r="BT75" s="528">
        <v>0</v>
      </c>
      <c r="BU75" s="528">
        <v>0</v>
      </c>
      <c r="BV75" s="528">
        <v>0</v>
      </c>
      <c r="BW75" s="528">
        <v>0</v>
      </c>
      <c r="BX75" s="528">
        <v>0</v>
      </c>
      <c r="BY75" s="528">
        <v>0</v>
      </c>
      <c r="BZ75" s="537"/>
      <c r="CA75" s="537"/>
      <c r="CB75" s="537"/>
    </row>
    <row r="76" spans="1:80" x14ac:dyDescent="0.3">
      <c r="A76" s="551"/>
      <c r="B76" s="548"/>
      <c r="C76" s="525"/>
      <c r="D76" s="525"/>
      <c r="E76" s="525" t="s">
        <v>370</v>
      </c>
      <c r="F76" s="567"/>
      <c r="G76" s="567"/>
      <c r="H76" s="567"/>
      <c r="I76" s="528">
        <v>0</v>
      </c>
      <c r="J76" s="527">
        <f t="shared" si="113"/>
        <v>0</v>
      </c>
      <c r="K76" s="527">
        <f t="shared" si="113"/>
        <v>0</v>
      </c>
      <c r="L76" s="527">
        <f t="shared" si="113"/>
        <v>0</v>
      </c>
      <c r="M76" s="527">
        <f t="shared" si="113"/>
        <v>0</v>
      </c>
      <c r="N76" s="527">
        <f t="shared" si="113"/>
        <v>0</v>
      </c>
      <c r="O76" s="544"/>
      <c r="P76" s="564">
        <f>IFERROR(((N76/I76)^(1/5))-1,0)</f>
        <v>0</v>
      </c>
      <c r="Q76" s="537"/>
      <c r="R76" s="528">
        <v>0</v>
      </c>
      <c r="S76" s="528">
        <v>0</v>
      </c>
      <c r="T76" s="528">
        <v>0</v>
      </c>
      <c r="U76" s="528">
        <v>0</v>
      </c>
      <c r="V76" s="528">
        <v>0</v>
      </c>
      <c r="W76" s="528">
        <v>0</v>
      </c>
      <c r="X76" s="528">
        <v>0</v>
      </c>
      <c r="Y76" s="528">
        <v>0</v>
      </c>
      <c r="Z76" s="528">
        <v>0</v>
      </c>
      <c r="AA76" s="528">
        <v>0</v>
      </c>
      <c r="AB76" s="528">
        <v>0</v>
      </c>
      <c r="AC76" s="528">
        <v>0</v>
      </c>
      <c r="AD76" s="528">
        <v>0</v>
      </c>
      <c r="AE76" s="528">
        <v>0</v>
      </c>
      <c r="AF76" s="528">
        <v>0</v>
      </c>
      <c r="AG76" s="528">
        <v>0</v>
      </c>
      <c r="AH76" s="528">
        <v>0</v>
      </c>
      <c r="AI76" s="528">
        <v>0</v>
      </c>
      <c r="AJ76" s="528">
        <v>0</v>
      </c>
      <c r="AK76" s="528">
        <v>0</v>
      </c>
      <c r="AL76" s="528">
        <v>0</v>
      </c>
      <c r="AM76" s="528">
        <v>0</v>
      </c>
      <c r="AN76" s="528">
        <v>0</v>
      </c>
      <c r="AO76" s="528">
        <v>0</v>
      </c>
      <c r="AP76" s="528">
        <v>0</v>
      </c>
      <c r="AQ76" s="528">
        <v>0</v>
      </c>
      <c r="AR76" s="528">
        <v>0</v>
      </c>
      <c r="AS76" s="528">
        <v>0</v>
      </c>
      <c r="AT76" s="528">
        <v>0</v>
      </c>
      <c r="AU76" s="528">
        <v>0</v>
      </c>
      <c r="AV76" s="528">
        <v>0</v>
      </c>
      <c r="AW76" s="528">
        <v>0</v>
      </c>
      <c r="AX76" s="528">
        <v>0</v>
      </c>
      <c r="AY76" s="528">
        <v>0</v>
      </c>
      <c r="AZ76" s="528">
        <v>0</v>
      </c>
      <c r="BA76" s="528">
        <v>0</v>
      </c>
      <c r="BB76" s="528">
        <v>0</v>
      </c>
      <c r="BC76" s="528">
        <v>0</v>
      </c>
      <c r="BD76" s="528">
        <v>0</v>
      </c>
      <c r="BE76" s="528">
        <v>0</v>
      </c>
      <c r="BF76" s="528">
        <v>0</v>
      </c>
      <c r="BG76" s="528">
        <v>0</v>
      </c>
      <c r="BH76" s="528">
        <v>0</v>
      </c>
      <c r="BI76" s="528">
        <v>0</v>
      </c>
      <c r="BJ76" s="528">
        <v>0</v>
      </c>
      <c r="BK76" s="528">
        <v>0</v>
      </c>
      <c r="BL76" s="528">
        <v>0</v>
      </c>
      <c r="BM76" s="528">
        <v>0</v>
      </c>
      <c r="BN76" s="528">
        <v>0</v>
      </c>
      <c r="BO76" s="528">
        <v>0</v>
      </c>
      <c r="BP76" s="528">
        <v>0</v>
      </c>
      <c r="BQ76" s="528">
        <v>0</v>
      </c>
      <c r="BR76" s="528">
        <v>0</v>
      </c>
      <c r="BS76" s="528">
        <v>0</v>
      </c>
      <c r="BT76" s="528">
        <v>0</v>
      </c>
      <c r="BU76" s="528">
        <v>0</v>
      </c>
      <c r="BV76" s="528">
        <v>0</v>
      </c>
      <c r="BW76" s="528">
        <v>0</v>
      </c>
      <c r="BX76" s="528">
        <v>0</v>
      </c>
      <c r="BY76" s="528">
        <v>0</v>
      </c>
      <c r="BZ76" s="537"/>
      <c r="CA76" s="537"/>
      <c r="CB76" s="537"/>
    </row>
    <row r="77" spans="1:80" x14ac:dyDescent="0.3">
      <c r="A77" s="551"/>
      <c r="B77" s="548"/>
      <c r="C77" s="525"/>
      <c r="D77" s="525"/>
      <c r="E77" s="578" t="s">
        <v>71</v>
      </c>
      <c r="F77" s="579"/>
      <c r="G77" s="579"/>
      <c r="H77" s="579"/>
      <c r="I77" s="535">
        <f t="shared" ref="I77:N77" si="116">I71+SUM(I74:I76)</f>
        <v>7844303.8789045354</v>
      </c>
      <c r="J77" s="535">
        <f t="shared" si="116"/>
        <v>8781856.1931170169</v>
      </c>
      <c r="K77" s="535">
        <f t="shared" si="116"/>
        <v>9433220.2394360639</v>
      </c>
      <c r="L77" s="535">
        <f t="shared" si="116"/>
        <v>10105018.428343581</v>
      </c>
      <c r="M77" s="535">
        <f t="shared" si="116"/>
        <v>10794526.821083523</v>
      </c>
      <c r="N77" s="535">
        <f t="shared" si="116"/>
        <v>11521073.015440743</v>
      </c>
      <c r="O77" s="536"/>
      <c r="P77" s="568">
        <f>IFERROR(((N77/I77)^(1/5))-1,0)</f>
        <v>7.9910350991775569E-2</v>
      </c>
      <c r="Q77" s="537"/>
      <c r="R77" s="535">
        <f t="shared" ref="R77:AW77" si="117">R71+SUM(R74:R76)</f>
        <v>773758.48393161979</v>
      </c>
      <c r="S77" s="534">
        <f t="shared" si="117"/>
        <v>773758.48393161979</v>
      </c>
      <c r="T77" s="534">
        <f t="shared" si="117"/>
        <v>773758.48393161979</v>
      </c>
      <c r="U77" s="534">
        <f t="shared" si="117"/>
        <v>773758.48393161979</v>
      </c>
      <c r="V77" s="534">
        <f t="shared" si="117"/>
        <v>773758.48393161979</v>
      </c>
      <c r="W77" s="534">
        <f t="shared" si="117"/>
        <v>127224.8541742072</v>
      </c>
      <c r="X77" s="534">
        <f t="shared" si="117"/>
        <v>797639.81988078426</v>
      </c>
      <c r="Y77" s="534">
        <f t="shared" si="117"/>
        <v>797639.81988078426</v>
      </c>
      <c r="Z77" s="534">
        <f t="shared" si="117"/>
        <v>797639.81988078426</v>
      </c>
      <c r="AA77" s="534">
        <f t="shared" si="117"/>
        <v>797639.81988078426</v>
      </c>
      <c r="AB77" s="534">
        <f t="shared" si="117"/>
        <v>797639.81988078426</v>
      </c>
      <c r="AC77" s="534">
        <f t="shared" si="117"/>
        <v>797639.81988078426</v>
      </c>
      <c r="AD77" s="534">
        <f t="shared" si="117"/>
        <v>825961.38209487405</v>
      </c>
      <c r="AE77" s="534">
        <f t="shared" si="117"/>
        <v>825961.38209487405</v>
      </c>
      <c r="AF77" s="534">
        <f t="shared" si="117"/>
        <v>825961.38209487405</v>
      </c>
      <c r="AG77" s="534">
        <f t="shared" si="117"/>
        <v>825961.38209487405</v>
      </c>
      <c r="AH77" s="534">
        <f t="shared" si="117"/>
        <v>825961.38209487405</v>
      </c>
      <c r="AI77" s="534">
        <f t="shared" si="117"/>
        <v>163878.74767922831</v>
      </c>
      <c r="AJ77" s="534">
        <f t="shared" si="117"/>
        <v>856589.09688041115</v>
      </c>
      <c r="AK77" s="534">
        <f t="shared" si="117"/>
        <v>856589.09688041115</v>
      </c>
      <c r="AL77" s="534">
        <f t="shared" si="117"/>
        <v>856589.09688041115</v>
      </c>
      <c r="AM77" s="534">
        <f t="shared" si="117"/>
        <v>856589.09688041115</v>
      </c>
      <c r="AN77" s="534">
        <f t="shared" si="117"/>
        <v>856589.09688041115</v>
      </c>
      <c r="AO77" s="534">
        <f t="shared" si="117"/>
        <v>856589.09688041115</v>
      </c>
      <c r="AP77" s="534">
        <f t="shared" si="117"/>
        <v>879584.9402705821</v>
      </c>
      <c r="AQ77" s="534">
        <f t="shared" si="117"/>
        <v>879584.9402705821</v>
      </c>
      <c r="AR77" s="534">
        <f t="shared" si="117"/>
        <v>879584.9402705821</v>
      </c>
      <c r="AS77" s="534">
        <f t="shared" si="117"/>
        <v>879584.9402705821</v>
      </c>
      <c r="AT77" s="534">
        <f t="shared" si="117"/>
        <v>879584.9402705821</v>
      </c>
      <c r="AU77" s="534">
        <f t="shared" si="117"/>
        <v>202635.62542667636</v>
      </c>
      <c r="AV77" s="534">
        <f t="shared" si="117"/>
        <v>917409.68359399878</v>
      </c>
      <c r="AW77" s="534">
        <f t="shared" si="117"/>
        <v>917409.68359399878</v>
      </c>
      <c r="AX77" s="534">
        <f t="shared" ref="AX77:BY77" si="118">AX71+SUM(AX74:AX76)</f>
        <v>917409.68359399878</v>
      </c>
      <c r="AY77" s="534">
        <f t="shared" si="118"/>
        <v>917409.68359399878</v>
      </c>
      <c r="AZ77" s="534">
        <f t="shared" si="118"/>
        <v>917409.68359399878</v>
      </c>
      <c r="BA77" s="534">
        <f t="shared" si="118"/>
        <v>917409.68359399878</v>
      </c>
      <c r="BB77" s="534">
        <f t="shared" si="118"/>
        <v>934382.00486560143</v>
      </c>
      <c r="BC77" s="534">
        <f t="shared" si="118"/>
        <v>934382.00486560143</v>
      </c>
      <c r="BD77" s="534">
        <f t="shared" si="118"/>
        <v>934382.00486560143</v>
      </c>
      <c r="BE77" s="534">
        <f t="shared" si="118"/>
        <v>934382.00486560143</v>
      </c>
      <c r="BF77" s="534">
        <f t="shared" si="118"/>
        <v>934382.00486560143</v>
      </c>
      <c r="BG77" s="534">
        <f t="shared" si="118"/>
        <v>243434.98339736043</v>
      </c>
      <c r="BH77" s="534">
        <f t="shared" si="118"/>
        <v>979863.63555969216</v>
      </c>
      <c r="BI77" s="534">
        <f t="shared" si="118"/>
        <v>979863.63555969216</v>
      </c>
      <c r="BJ77" s="534">
        <f t="shared" si="118"/>
        <v>979863.63555969216</v>
      </c>
      <c r="BK77" s="534">
        <f t="shared" si="118"/>
        <v>979863.63555969216</v>
      </c>
      <c r="BL77" s="534">
        <f t="shared" si="118"/>
        <v>979863.63555969216</v>
      </c>
      <c r="BM77" s="534">
        <f t="shared" si="118"/>
        <v>979863.63555969216</v>
      </c>
      <c r="BN77" s="534">
        <f t="shared" si="118"/>
        <v>991981.9354355298</v>
      </c>
      <c r="BO77" s="534">
        <f t="shared" si="118"/>
        <v>991981.9354355298</v>
      </c>
      <c r="BP77" s="534">
        <f t="shared" si="118"/>
        <v>991981.9354355298</v>
      </c>
      <c r="BQ77" s="534">
        <f t="shared" si="118"/>
        <v>991981.9354355298</v>
      </c>
      <c r="BR77" s="534">
        <f t="shared" si="118"/>
        <v>991981.9354355298</v>
      </c>
      <c r="BS77" s="534">
        <f t="shared" si="118"/>
        <v>287550.40775696293</v>
      </c>
      <c r="BT77" s="534">
        <f t="shared" si="118"/>
        <v>1045602.1550843553</v>
      </c>
      <c r="BU77" s="534">
        <f t="shared" si="118"/>
        <v>1045602.1550843553</v>
      </c>
      <c r="BV77" s="534">
        <f t="shared" si="118"/>
        <v>1045602.1550843553</v>
      </c>
      <c r="BW77" s="534">
        <f t="shared" si="118"/>
        <v>1045602.1550843553</v>
      </c>
      <c r="BX77" s="534">
        <f t="shared" si="118"/>
        <v>1045602.1550843553</v>
      </c>
      <c r="BY77" s="534">
        <f t="shared" si="118"/>
        <v>1045602.1550843553</v>
      </c>
      <c r="BZ77" s="537"/>
      <c r="CA77" s="537"/>
      <c r="CB77" s="537"/>
    </row>
    <row r="78" spans="1:80" x14ac:dyDescent="0.3">
      <c r="A78" s="551"/>
      <c r="B78" s="548"/>
      <c r="C78" s="525"/>
      <c r="D78" s="525"/>
      <c r="E78" s="566"/>
      <c r="F78" s="581"/>
      <c r="G78" s="581"/>
      <c r="H78" s="581"/>
      <c r="I78" s="536"/>
      <c r="J78" s="536"/>
      <c r="K78" s="536"/>
      <c r="L78" s="536"/>
      <c r="M78" s="536"/>
      <c r="N78" s="536"/>
      <c r="O78" s="536"/>
      <c r="P78" s="582"/>
      <c r="Q78" s="537"/>
      <c r="R78" s="536"/>
      <c r="S78" s="536"/>
      <c r="T78" s="536"/>
      <c r="U78" s="536"/>
      <c r="V78" s="536"/>
      <c r="W78" s="536"/>
      <c r="X78" s="536"/>
      <c r="Y78" s="536"/>
      <c r="Z78" s="536"/>
      <c r="AA78" s="536"/>
      <c r="AB78" s="536"/>
      <c r="AC78" s="536"/>
      <c r="AD78" s="536"/>
      <c r="AE78" s="536"/>
      <c r="AF78" s="536"/>
      <c r="AG78" s="536"/>
      <c r="AH78" s="536"/>
      <c r="AI78" s="536"/>
      <c r="AJ78" s="536"/>
      <c r="AK78" s="536"/>
      <c r="AL78" s="536"/>
      <c r="AM78" s="536"/>
      <c r="AN78" s="536"/>
      <c r="AO78" s="536"/>
      <c r="AP78" s="536"/>
      <c r="AQ78" s="536"/>
      <c r="AR78" s="536"/>
      <c r="AS78" s="536"/>
      <c r="AT78" s="536"/>
      <c r="AU78" s="536"/>
      <c r="AV78" s="536"/>
      <c r="AW78" s="536"/>
      <c r="AX78" s="536"/>
      <c r="AY78" s="536"/>
      <c r="AZ78" s="536"/>
      <c r="BA78" s="536"/>
      <c r="BB78" s="536"/>
      <c r="BC78" s="536"/>
      <c r="BD78" s="536"/>
      <c r="BE78" s="536"/>
      <c r="BF78" s="536"/>
      <c r="BG78" s="536"/>
      <c r="BH78" s="536"/>
      <c r="BI78" s="536"/>
      <c r="BJ78" s="536"/>
      <c r="BK78" s="536"/>
      <c r="BL78" s="536"/>
      <c r="BM78" s="536"/>
      <c r="BN78" s="536"/>
      <c r="BO78" s="536"/>
      <c r="BP78" s="536"/>
      <c r="BQ78" s="536"/>
      <c r="BR78" s="536"/>
      <c r="BS78" s="536"/>
      <c r="BT78" s="536"/>
      <c r="BU78" s="536"/>
      <c r="BV78" s="536"/>
      <c r="BW78" s="536"/>
      <c r="BX78" s="536"/>
      <c r="BY78" s="536"/>
      <c r="BZ78" s="537"/>
      <c r="CA78" s="537"/>
      <c r="CB78" s="537"/>
    </row>
    <row r="79" spans="1:80" x14ac:dyDescent="0.3">
      <c r="A79" s="551"/>
      <c r="B79" s="548"/>
      <c r="C79" s="525"/>
      <c r="D79" s="525"/>
      <c r="E79" s="566"/>
      <c r="F79" s="581"/>
      <c r="G79" s="581"/>
      <c r="H79" s="581"/>
      <c r="I79" s="536"/>
      <c r="J79" s="536"/>
      <c r="K79" s="536"/>
      <c r="L79" s="536"/>
      <c r="M79" s="536"/>
      <c r="N79" s="536"/>
      <c r="O79" s="536"/>
      <c r="P79" s="582"/>
      <c r="Q79" s="537"/>
      <c r="R79" s="536"/>
      <c r="S79" s="536"/>
      <c r="T79" s="536"/>
      <c r="U79" s="536"/>
      <c r="V79" s="536"/>
      <c r="W79" s="536"/>
      <c r="X79" s="536"/>
      <c r="Y79" s="536"/>
      <c r="Z79" s="536"/>
      <c r="AA79" s="536"/>
      <c r="AB79" s="536"/>
      <c r="AC79" s="536"/>
      <c r="AD79" s="536"/>
      <c r="AE79" s="536"/>
      <c r="AF79" s="536"/>
      <c r="AG79" s="536"/>
      <c r="AH79" s="536"/>
      <c r="AI79" s="536"/>
      <c r="AJ79" s="536"/>
      <c r="AK79" s="536"/>
      <c r="AL79" s="536"/>
      <c r="AM79" s="536"/>
      <c r="AN79" s="536"/>
      <c r="AO79" s="536"/>
      <c r="AP79" s="536"/>
      <c r="AQ79" s="536"/>
      <c r="AR79" s="536"/>
      <c r="AS79" s="536"/>
      <c r="AT79" s="536"/>
      <c r="AU79" s="536"/>
      <c r="AV79" s="536"/>
      <c r="AW79" s="536"/>
      <c r="AX79" s="536"/>
      <c r="AY79" s="536"/>
      <c r="AZ79" s="536"/>
      <c r="BA79" s="536"/>
      <c r="BB79" s="536"/>
      <c r="BC79" s="536"/>
      <c r="BD79" s="536"/>
      <c r="BE79" s="536"/>
      <c r="BF79" s="536"/>
      <c r="BG79" s="536"/>
      <c r="BH79" s="536"/>
      <c r="BI79" s="536"/>
      <c r="BJ79" s="536"/>
      <c r="BK79" s="536"/>
      <c r="BL79" s="536"/>
      <c r="BM79" s="536"/>
      <c r="BN79" s="536"/>
      <c r="BO79" s="536"/>
      <c r="BP79" s="536"/>
      <c r="BQ79" s="536"/>
      <c r="BR79" s="536"/>
      <c r="BS79" s="536"/>
      <c r="BT79" s="536"/>
      <c r="BU79" s="536"/>
      <c r="BV79" s="536"/>
      <c r="BW79" s="536"/>
      <c r="BX79" s="536"/>
      <c r="BY79" s="536"/>
      <c r="BZ79" s="537"/>
      <c r="CA79" s="537"/>
      <c r="CB79" s="537"/>
    </row>
    <row r="80" spans="1:80" x14ac:dyDescent="0.3">
      <c r="A80" s="551"/>
      <c r="B80" s="548"/>
      <c r="C80" s="560" t="s">
        <v>37</v>
      </c>
      <c r="D80" s="561"/>
      <c r="E80" s="526" t="s">
        <v>135</v>
      </c>
      <c r="F80" s="526"/>
      <c r="G80" s="526"/>
      <c r="H80" s="526"/>
      <c r="I80" s="526"/>
      <c r="J80" s="526"/>
      <c r="K80" s="526"/>
      <c r="L80" s="526"/>
      <c r="M80" s="526"/>
      <c r="N80" s="526"/>
      <c r="O80" s="526"/>
      <c r="P80" s="560"/>
      <c r="Q80" s="526"/>
      <c r="R80" s="526"/>
      <c r="S80" s="526"/>
      <c r="T80" s="526"/>
      <c r="U80" s="526"/>
      <c r="V80" s="526"/>
      <c r="W80" s="526"/>
      <c r="X80" s="526"/>
      <c r="Y80" s="526"/>
      <c r="Z80" s="526"/>
      <c r="AA80" s="526"/>
      <c r="AB80" s="526"/>
      <c r="AC80" s="526"/>
      <c r="AD80" s="526"/>
      <c r="AE80" s="526"/>
      <c r="AF80" s="526"/>
      <c r="AG80" s="526"/>
      <c r="AH80" s="526"/>
      <c r="AI80" s="526"/>
      <c r="AJ80" s="526"/>
      <c r="AK80" s="526"/>
      <c r="AL80" s="526"/>
      <c r="AM80" s="526"/>
      <c r="AN80" s="526"/>
      <c r="AO80" s="526"/>
      <c r="AP80" s="526"/>
      <c r="AQ80" s="526"/>
      <c r="AR80" s="526"/>
      <c r="AS80" s="526"/>
      <c r="AT80" s="526"/>
      <c r="AU80" s="526"/>
      <c r="AV80" s="526"/>
      <c r="AW80" s="526"/>
      <c r="AX80" s="526"/>
      <c r="AY80" s="526"/>
      <c r="AZ80" s="526"/>
      <c r="BA80" s="526"/>
      <c r="BB80" s="526"/>
      <c r="BC80" s="526"/>
      <c r="BD80" s="526"/>
      <c r="BE80" s="526"/>
      <c r="BF80" s="526"/>
      <c r="BG80" s="526"/>
      <c r="BH80" s="526"/>
      <c r="BI80" s="526"/>
      <c r="BJ80" s="526"/>
      <c r="BK80" s="526"/>
      <c r="BL80" s="526"/>
      <c r="BM80" s="526"/>
      <c r="BN80" s="526"/>
      <c r="BO80" s="526"/>
      <c r="BP80" s="526"/>
      <c r="BQ80" s="526"/>
      <c r="BR80" s="526"/>
      <c r="BS80" s="526"/>
      <c r="BT80" s="526"/>
      <c r="BU80" s="526"/>
      <c r="BV80" s="526"/>
      <c r="BW80" s="526"/>
      <c r="BX80" s="526"/>
      <c r="BY80" s="526"/>
      <c r="BZ80" s="537"/>
      <c r="CA80" s="537"/>
      <c r="CB80" s="537"/>
    </row>
    <row r="81" spans="1:80" x14ac:dyDescent="0.3">
      <c r="A81" s="551"/>
      <c r="B81" s="548"/>
      <c r="C81" s="525"/>
      <c r="D81" s="525"/>
      <c r="E81" s="525"/>
      <c r="F81" s="525"/>
      <c r="G81" s="525"/>
      <c r="H81" s="525"/>
      <c r="I81" s="529"/>
      <c r="J81" s="529"/>
      <c r="K81" s="529"/>
      <c r="L81" s="529"/>
      <c r="M81" s="529"/>
      <c r="N81" s="529"/>
      <c r="O81" s="529"/>
      <c r="P81" s="562"/>
      <c r="Q81" s="537"/>
      <c r="R81" s="529"/>
      <c r="S81" s="525"/>
      <c r="T81" s="525"/>
      <c r="U81" s="525"/>
      <c r="V81" s="525"/>
      <c r="W81" s="525"/>
      <c r="X81" s="525"/>
      <c r="Y81" s="525"/>
      <c r="Z81" s="525"/>
      <c r="AA81" s="525"/>
      <c r="AB81" s="525"/>
      <c r="AC81" s="525"/>
      <c r="AD81" s="525"/>
      <c r="AE81" s="525"/>
      <c r="AF81" s="525"/>
      <c r="AG81" s="525"/>
      <c r="AH81" s="525"/>
      <c r="AI81" s="525"/>
      <c r="AJ81" s="525"/>
      <c r="AK81" s="525"/>
      <c r="AL81" s="525"/>
      <c r="AM81" s="525"/>
      <c r="AN81" s="525"/>
      <c r="AO81" s="525"/>
      <c r="AP81" s="525"/>
      <c r="AQ81" s="525"/>
      <c r="AR81" s="525"/>
      <c r="AS81" s="525"/>
      <c r="AT81" s="525"/>
      <c r="AU81" s="525"/>
      <c r="AV81" s="525"/>
      <c r="AW81" s="525"/>
      <c r="AX81" s="525"/>
      <c r="AY81" s="525"/>
      <c r="AZ81" s="525"/>
      <c r="BA81" s="525"/>
      <c r="BB81" s="525"/>
      <c r="BC81" s="525"/>
      <c r="BD81" s="525"/>
      <c r="BE81" s="525"/>
      <c r="BF81" s="525"/>
      <c r="BG81" s="525"/>
      <c r="BH81" s="525"/>
      <c r="BI81" s="525"/>
      <c r="BJ81" s="525"/>
      <c r="BK81" s="525"/>
      <c r="BL81" s="525"/>
      <c r="BM81" s="525"/>
      <c r="BN81" s="525"/>
      <c r="BO81" s="525"/>
      <c r="BP81" s="525"/>
      <c r="BQ81" s="525"/>
      <c r="BR81" s="525"/>
      <c r="BS81" s="525"/>
      <c r="BT81" s="525"/>
      <c r="BU81" s="525"/>
      <c r="BV81" s="525"/>
      <c r="BW81" s="525"/>
      <c r="BX81" s="525"/>
      <c r="BY81" s="525"/>
      <c r="BZ81" s="537"/>
      <c r="CA81" s="537"/>
      <c r="CB81" s="537"/>
    </row>
    <row r="82" spans="1:80" x14ac:dyDescent="0.3">
      <c r="A82" s="551"/>
      <c r="B82" s="548"/>
      <c r="C82" s="525"/>
      <c r="D82" s="525"/>
      <c r="E82" s="525" t="s">
        <v>68</v>
      </c>
      <c r="F82" s="525"/>
      <c r="G82" s="525"/>
      <c r="H82" s="525"/>
      <c r="I82" s="527">
        <f t="shared" ref="I82:N82" si="119">I9</f>
        <v>115</v>
      </c>
      <c r="J82" s="527">
        <f t="shared" si="119"/>
        <v>115</v>
      </c>
      <c r="K82" s="527">
        <f t="shared" si="119"/>
        <v>115</v>
      </c>
      <c r="L82" s="527">
        <f t="shared" si="119"/>
        <v>115</v>
      </c>
      <c r="M82" s="527">
        <f t="shared" si="119"/>
        <v>115</v>
      </c>
      <c r="N82" s="527">
        <f t="shared" si="119"/>
        <v>115</v>
      </c>
      <c r="O82" s="529"/>
      <c r="P82" s="562"/>
      <c r="Q82" s="537"/>
      <c r="R82" s="527">
        <f t="shared" ref="R82:AW82" si="120">R9</f>
        <v>115</v>
      </c>
      <c r="S82" s="527">
        <f t="shared" si="120"/>
        <v>115</v>
      </c>
      <c r="T82" s="527">
        <f t="shared" si="120"/>
        <v>115</v>
      </c>
      <c r="U82" s="527">
        <f t="shared" si="120"/>
        <v>115</v>
      </c>
      <c r="V82" s="527">
        <f t="shared" si="120"/>
        <v>115</v>
      </c>
      <c r="W82" s="527">
        <f t="shared" si="120"/>
        <v>115</v>
      </c>
      <c r="X82" s="527">
        <f t="shared" si="120"/>
        <v>115</v>
      </c>
      <c r="Y82" s="527">
        <f t="shared" si="120"/>
        <v>115</v>
      </c>
      <c r="Z82" s="527">
        <f t="shared" si="120"/>
        <v>115</v>
      </c>
      <c r="AA82" s="527">
        <f t="shared" si="120"/>
        <v>115</v>
      </c>
      <c r="AB82" s="527">
        <f t="shared" si="120"/>
        <v>115</v>
      </c>
      <c r="AC82" s="527">
        <f t="shared" si="120"/>
        <v>115</v>
      </c>
      <c r="AD82" s="527">
        <f t="shared" si="120"/>
        <v>115</v>
      </c>
      <c r="AE82" s="527">
        <f t="shared" si="120"/>
        <v>115</v>
      </c>
      <c r="AF82" s="527">
        <f t="shared" si="120"/>
        <v>115</v>
      </c>
      <c r="AG82" s="527">
        <f t="shared" si="120"/>
        <v>115</v>
      </c>
      <c r="AH82" s="527">
        <f t="shared" si="120"/>
        <v>115</v>
      </c>
      <c r="AI82" s="527">
        <f t="shared" si="120"/>
        <v>115</v>
      </c>
      <c r="AJ82" s="527">
        <f t="shared" si="120"/>
        <v>115</v>
      </c>
      <c r="AK82" s="527">
        <f t="shared" si="120"/>
        <v>115</v>
      </c>
      <c r="AL82" s="527">
        <f t="shared" si="120"/>
        <v>115</v>
      </c>
      <c r="AM82" s="527">
        <f t="shared" si="120"/>
        <v>115</v>
      </c>
      <c r="AN82" s="527">
        <f t="shared" si="120"/>
        <v>115</v>
      </c>
      <c r="AO82" s="527">
        <f t="shared" si="120"/>
        <v>115</v>
      </c>
      <c r="AP82" s="527">
        <f t="shared" si="120"/>
        <v>115</v>
      </c>
      <c r="AQ82" s="527">
        <f t="shared" si="120"/>
        <v>115</v>
      </c>
      <c r="AR82" s="527">
        <f t="shared" si="120"/>
        <v>115</v>
      </c>
      <c r="AS82" s="527">
        <f t="shared" si="120"/>
        <v>115</v>
      </c>
      <c r="AT82" s="527">
        <f t="shared" si="120"/>
        <v>115</v>
      </c>
      <c r="AU82" s="527">
        <f t="shared" si="120"/>
        <v>115</v>
      </c>
      <c r="AV82" s="527">
        <f t="shared" si="120"/>
        <v>115</v>
      </c>
      <c r="AW82" s="527">
        <f t="shared" si="120"/>
        <v>115</v>
      </c>
      <c r="AX82" s="527">
        <f t="shared" ref="AX82:BY82" si="121">AX9</f>
        <v>115</v>
      </c>
      <c r="AY82" s="527">
        <f t="shared" si="121"/>
        <v>115</v>
      </c>
      <c r="AZ82" s="527">
        <f t="shared" si="121"/>
        <v>115</v>
      </c>
      <c r="BA82" s="527">
        <f t="shared" si="121"/>
        <v>115</v>
      </c>
      <c r="BB82" s="527">
        <f t="shared" si="121"/>
        <v>115</v>
      </c>
      <c r="BC82" s="527">
        <f t="shared" si="121"/>
        <v>115</v>
      </c>
      <c r="BD82" s="527">
        <f t="shared" si="121"/>
        <v>115</v>
      </c>
      <c r="BE82" s="527">
        <f t="shared" si="121"/>
        <v>115</v>
      </c>
      <c r="BF82" s="527">
        <f t="shared" si="121"/>
        <v>115</v>
      </c>
      <c r="BG82" s="527">
        <f t="shared" si="121"/>
        <v>115</v>
      </c>
      <c r="BH82" s="527">
        <f t="shared" si="121"/>
        <v>115</v>
      </c>
      <c r="BI82" s="527">
        <f t="shared" si="121"/>
        <v>115</v>
      </c>
      <c r="BJ82" s="527">
        <f t="shared" si="121"/>
        <v>115</v>
      </c>
      <c r="BK82" s="527">
        <f t="shared" si="121"/>
        <v>115</v>
      </c>
      <c r="BL82" s="527">
        <f t="shared" si="121"/>
        <v>115</v>
      </c>
      <c r="BM82" s="527">
        <f t="shared" si="121"/>
        <v>115</v>
      </c>
      <c r="BN82" s="527">
        <f t="shared" si="121"/>
        <v>115</v>
      </c>
      <c r="BO82" s="527">
        <f t="shared" si="121"/>
        <v>115</v>
      </c>
      <c r="BP82" s="527">
        <f t="shared" si="121"/>
        <v>115</v>
      </c>
      <c r="BQ82" s="527">
        <f t="shared" si="121"/>
        <v>115</v>
      </c>
      <c r="BR82" s="527">
        <f t="shared" si="121"/>
        <v>115</v>
      </c>
      <c r="BS82" s="527">
        <f t="shared" si="121"/>
        <v>115</v>
      </c>
      <c r="BT82" s="527">
        <f t="shared" si="121"/>
        <v>115</v>
      </c>
      <c r="BU82" s="527">
        <f t="shared" si="121"/>
        <v>115</v>
      </c>
      <c r="BV82" s="527">
        <f t="shared" si="121"/>
        <v>115</v>
      </c>
      <c r="BW82" s="527">
        <f t="shared" si="121"/>
        <v>115</v>
      </c>
      <c r="BX82" s="527">
        <f t="shared" si="121"/>
        <v>115</v>
      </c>
      <c r="BY82" s="527">
        <f t="shared" si="121"/>
        <v>115</v>
      </c>
      <c r="BZ82" s="537"/>
      <c r="CA82" s="537"/>
      <c r="CB82" s="537"/>
    </row>
    <row r="83" spans="1:80" x14ac:dyDescent="0.3">
      <c r="A83" s="551"/>
      <c r="B83" s="548"/>
      <c r="C83" s="525"/>
      <c r="D83" s="525"/>
      <c r="E83" s="525"/>
      <c r="F83" s="525"/>
      <c r="G83" s="525"/>
      <c r="H83" s="525"/>
      <c r="I83" s="529"/>
      <c r="J83" s="525"/>
      <c r="K83" s="525"/>
      <c r="L83" s="525"/>
      <c r="M83" s="525"/>
      <c r="N83" s="525"/>
      <c r="O83" s="525"/>
      <c r="P83" s="565"/>
      <c r="Q83" s="537"/>
      <c r="R83" s="525"/>
      <c r="S83" s="525"/>
      <c r="T83" s="525"/>
      <c r="U83" s="525"/>
      <c r="V83" s="525"/>
      <c r="W83" s="525"/>
      <c r="X83" s="525"/>
      <c r="Y83" s="525"/>
      <c r="Z83" s="525"/>
      <c r="AA83" s="525"/>
      <c r="AB83" s="525"/>
      <c r="AC83" s="525"/>
      <c r="AD83" s="525"/>
      <c r="AE83" s="525"/>
      <c r="AF83" s="525"/>
      <c r="AG83" s="525"/>
      <c r="AH83" s="525"/>
      <c r="AI83" s="525"/>
      <c r="AJ83" s="525"/>
      <c r="AK83" s="525"/>
      <c r="AL83" s="525"/>
      <c r="AM83" s="525"/>
      <c r="AN83" s="525"/>
      <c r="AO83" s="525"/>
      <c r="AP83" s="525"/>
      <c r="AQ83" s="525"/>
      <c r="AR83" s="525"/>
      <c r="AS83" s="525"/>
      <c r="AT83" s="525"/>
      <c r="AU83" s="525"/>
      <c r="AV83" s="525"/>
      <c r="AW83" s="525"/>
      <c r="AX83" s="525"/>
      <c r="AY83" s="525"/>
      <c r="AZ83" s="525"/>
      <c r="BA83" s="525"/>
      <c r="BB83" s="525"/>
      <c r="BC83" s="525"/>
      <c r="BD83" s="525"/>
      <c r="BE83" s="525"/>
      <c r="BF83" s="525"/>
      <c r="BG83" s="525"/>
      <c r="BH83" s="525"/>
      <c r="BI83" s="525"/>
      <c r="BJ83" s="525"/>
      <c r="BK83" s="525"/>
      <c r="BL83" s="525"/>
      <c r="BM83" s="525"/>
      <c r="BN83" s="525"/>
      <c r="BO83" s="525"/>
      <c r="BP83" s="525"/>
      <c r="BQ83" s="525"/>
      <c r="BR83" s="525"/>
      <c r="BS83" s="525"/>
      <c r="BT83" s="525"/>
      <c r="BU83" s="525"/>
      <c r="BV83" s="525"/>
      <c r="BW83" s="525"/>
      <c r="BX83" s="525"/>
      <c r="BY83" s="525"/>
      <c r="BZ83" s="537"/>
      <c r="CA83" s="537"/>
      <c r="CB83" s="537"/>
    </row>
    <row r="84" spans="1:80" x14ac:dyDescent="0.3">
      <c r="A84" s="551"/>
      <c r="B84" s="548"/>
      <c r="C84" s="525"/>
      <c r="D84" s="525"/>
      <c r="E84" s="566" t="s">
        <v>373</v>
      </c>
      <c r="F84" s="567"/>
      <c r="G84" s="567"/>
      <c r="H84" s="567"/>
      <c r="I84" s="527">
        <f t="shared" ref="I84:N84" si="122">I19/I$82</f>
        <v>136.91176375628913</v>
      </c>
      <c r="J84" s="527">
        <f t="shared" si="122"/>
        <v>138.67535150304806</v>
      </c>
      <c r="K84" s="527">
        <f t="shared" si="122"/>
        <v>141.69622432971681</v>
      </c>
      <c r="L84" s="527">
        <f t="shared" si="122"/>
        <v>144.69535434227325</v>
      </c>
      <c r="M84" s="527">
        <f t="shared" si="122"/>
        <v>147.825489415075</v>
      </c>
      <c r="N84" s="527">
        <f t="shared" si="122"/>
        <v>151.03611598926344</v>
      </c>
      <c r="O84" s="529"/>
      <c r="P84" s="562"/>
      <c r="Q84" s="537"/>
      <c r="R84" s="527">
        <f t="shared" ref="R84:AW84" si="123">R19/R$82</f>
        <v>11.409313646357427</v>
      </c>
      <c r="S84" s="527">
        <f t="shared" si="123"/>
        <v>11.409313646357427</v>
      </c>
      <c r="T84" s="527">
        <f t="shared" si="123"/>
        <v>11.409313646357427</v>
      </c>
      <c r="U84" s="527">
        <f t="shared" si="123"/>
        <v>11.409313646357427</v>
      </c>
      <c r="V84" s="527">
        <f t="shared" si="123"/>
        <v>11.409313646357427</v>
      </c>
      <c r="W84" s="527">
        <f t="shared" si="123"/>
        <v>11.409313646357427</v>
      </c>
      <c r="X84" s="527">
        <f t="shared" si="123"/>
        <v>11.703244937483916</v>
      </c>
      <c r="Y84" s="527">
        <f t="shared" si="123"/>
        <v>11.703244937483916</v>
      </c>
      <c r="Z84" s="527">
        <f t="shared" si="123"/>
        <v>11.703244937483916</v>
      </c>
      <c r="AA84" s="527">
        <f t="shared" si="123"/>
        <v>11.703244937483916</v>
      </c>
      <c r="AB84" s="527">
        <f t="shared" si="123"/>
        <v>11.703244937483916</v>
      </c>
      <c r="AC84" s="527">
        <f t="shared" si="123"/>
        <v>11.703244937483916</v>
      </c>
      <c r="AD84" s="527">
        <f t="shared" si="123"/>
        <v>11.62867758235436</v>
      </c>
      <c r="AE84" s="527">
        <f t="shared" si="123"/>
        <v>11.62867758235436</v>
      </c>
      <c r="AF84" s="527">
        <f t="shared" si="123"/>
        <v>11.62867758235436</v>
      </c>
      <c r="AG84" s="527">
        <f t="shared" si="123"/>
        <v>11.62867758235436</v>
      </c>
      <c r="AH84" s="527">
        <f t="shared" si="123"/>
        <v>11.62867758235436</v>
      </c>
      <c r="AI84" s="527">
        <f t="shared" si="123"/>
        <v>11.62867758235436</v>
      </c>
      <c r="AJ84" s="527">
        <f t="shared" si="123"/>
        <v>11.987359805931774</v>
      </c>
      <c r="AK84" s="527">
        <f t="shared" si="123"/>
        <v>11.987359805931774</v>
      </c>
      <c r="AL84" s="527">
        <f t="shared" si="123"/>
        <v>11.987359805931774</v>
      </c>
      <c r="AM84" s="527">
        <f t="shared" si="123"/>
        <v>11.987359805931774</v>
      </c>
      <c r="AN84" s="527">
        <f t="shared" si="123"/>
        <v>11.987359805931774</v>
      </c>
      <c r="AO84" s="527">
        <f t="shared" si="123"/>
        <v>11.987359805931774</v>
      </c>
      <c r="AP84" s="527">
        <f t="shared" si="123"/>
        <v>11.846689697770525</v>
      </c>
      <c r="AQ84" s="527">
        <f t="shared" si="123"/>
        <v>11.846689697770525</v>
      </c>
      <c r="AR84" s="527">
        <f t="shared" si="123"/>
        <v>11.846689697770525</v>
      </c>
      <c r="AS84" s="527">
        <f t="shared" si="123"/>
        <v>11.846689697770525</v>
      </c>
      <c r="AT84" s="527">
        <f t="shared" si="123"/>
        <v>11.846689697770525</v>
      </c>
      <c r="AU84" s="527">
        <f t="shared" si="123"/>
        <v>11.846689697770525</v>
      </c>
      <c r="AV84" s="527">
        <f t="shared" si="123"/>
        <v>12.269202692608353</v>
      </c>
      <c r="AW84" s="527">
        <f t="shared" si="123"/>
        <v>12.269202692608353</v>
      </c>
      <c r="AX84" s="527">
        <f t="shared" ref="AX84:BY84" si="124">AX19/AX$82</f>
        <v>12.269202692608353</v>
      </c>
      <c r="AY84" s="527">
        <f t="shared" si="124"/>
        <v>12.269202692608353</v>
      </c>
      <c r="AZ84" s="527">
        <f t="shared" si="124"/>
        <v>12.269202692608353</v>
      </c>
      <c r="BA84" s="527">
        <f t="shared" si="124"/>
        <v>12.269202692608353</v>
      </c>
      <c r="BB84" s="527">
        <f t="shared" si="124"/>
        <v>12.075876584108507</v>
      </c>
      <c r="BC84" s="527">
        <f t="shared" si="124"/>
        <v>12.075876584108507</v>
      </c>
      <c r="BD84" s="527">
        <f t="shared" si="124"/>
        <v>12.075876584108507</v>
      </c>
      <c r="BE84" s="527">
        <f t="shared" si="124"/>
        <v>12.075876584108507</v>
      </c>
      <c r="BF84" s="527">
        <f t="shared" si="124"/>
        <v>12.075876584108507</v>
      </c>
      <c r="BG84" s="527">
        <f t="shared" si="124"/>
        <v>12.075876584108507</v>
      </c>
      <c r="BH84" s="527">
        <f t="shared" si="124"/>
        <v>12.561704985070657</v>
      </c>
      <c r="BI84" s="527">
        <f t="shared" si="124"/>
        <v>12.561704985070657</v>
      </c>
      <c r="BJ84" s="527">
        <f t="shared" si="124"/>
        <v>12.561704985070657</v>
      </c>
      <c r="BK84" s="527">
        <f t="shared" si="124"/>
        <v>12.561704985070657</v>
      </c>
      <c r="BL84" s="527">
        <f t="shared" si="124"/>
        <v>12.561704985070657</v>
      </c>
      <c r="BM84" s="527">
        <f t="shared" si="124"/>
        <v>12.561704985070657</v>
      </c>
      <c r="BN84" s="527">
        <f t="shared" si="124"/>
        <v>12.312385331307659</v>
      </c>
      <c r="BO84" s="527">
        <f t="shared" si="124"/>
        <v>12.312385331307659</v>
      </c>
      <c r="BP84" s="527">
        <f t="shared" si="124"/>
        <v>12.312385331307659</v>
      </c>
      <c r="BQ84" s="527">
        <f t="shared" si="124"/>
        <v>12.312385331307659</v>
      </c>
      <c r="BR84" s="527">
        <f t="shared" si="124"/>
        <v>12.312385331307659</v>
      </c>
      <c r="BS84" s="527">
        <f t="shared" si="124"/>
        <v>12.312385331307659</v>
      </c>
      <c r="BT84" s="527">
        <f t="shared" si="124"/>
        <v>12.860300666902919</v>
      </c>
      <c r="BU84" s="527">
        <f t="shared" si="124"/>
        <v>12.860300666902919</v>
      </c>
      <c r="BV84" s="527">
        <f t="shared" si="124"/>
        <v>12.860300666902919</v>
      </c>
      <c r="BW84" s="527">
        <f t="shared" si="124"/>
        <v>12.860300666902919</v>
      </c>
      <c r="BX84" s="527">
        <f t="shared" si="124"/>
        <v>12.860300666902919</v>
      </c>
      <c r="BY84" s="527">
        <f t="shared" si="124"/>
        <v>12.860300666902919</v>
      </c>
      <c r="BZ84" s="537"/>
      <c r="CA84" s="537"/>
      <c r="CB84" s="537"/>
    </row>
    <row r="85" spans="1:80" x14ac:dyDescent="0.3">
      <c r="A85" s="551"/>
      <c r="B85" s="548"/>
      <c r="C85" s="525"/>
      <c r="D85" s="525"/>
      <c r="E85" s="525"/>
      <c r="F85" s="529"/>
      <c r="G85" s="529"/>
      <c r="H85" s="529"/>
      <c r="I85" s="529"/>
      <c r="J85" s="529"/>
      <c r="K85" s="529"/>
      <c r="L85" s="529"/>
      <c r="M85" s="529"/>
      <c r="N85" s="529"/>
      <c r="O85" s="529"/>
      <c r="P85" s="562"/>
      <c r="Q85" s="537"/>
      <c r="R85" s="529"/>
      <c r="S85" s="529"/>
      <c r="T85" s="529"/>
      <c r="U85" s="529"/>
      <c r="V85" s="529"/>
      <c r="W85" s="529"/>
      <c r="X85" s="529"/>
      <c r="Y85" s="529"/>
      <c r="Z85" s="529"/>
      <c r="AA85" s="529"/>
      <c r="AB85" s="529"/>
      <c r="AC85" s="529"/>
      <c r="AD85" s="529"/>
      <c r="AE85" s="529"/>
      <c r="AF85" s="529"/>
      <c r="AG85" s="529"/>
      <c r="AH85" s="529"/>
      <c r="AI85" s="529"/>
      <c r="AJ85" s="529"/>
      <c r="AK85" s="529"/>
      <c r="AL85" s="529"/>
      <c r="AM85" s="529"/>
      <c r="AN85" s="529"/>
      <c r="AO85" s="529"/>
      <c r="AP85" s="529"/>
      <c r="AQ85" s="529"/>
      <c r="AR85" s="529"/>
      <c r="AS85" s="529"/>
      <c r="AT85" s="529"/>
      <c r="AU85" s="529"/>
      <c r="AV85" s="529"/>
      <c r="AW85" s="529"/>
      <c r="AX85" s="529"/>
      <c r="AY85" s="529"/>
      <c r="AZ85" s="529"/>
      <c r="BA85" s="529"/>
      <c r="BB85" s="529"/>
      <c r="BC85" s="529"/>
      <c r="BD85" s="529"/>
      <c r="BE85" s="529"/>
      <c r="BF85" s="529"/>
      <c r="BG85" s="529"/>
      <c r="BH85" s="529"/>
      <c r="BI85" s="529"/>
      <c r="BJ85" s="529"/>
      <c r="BK85" s="529"/>
      <c r="BL85" s="529"/>
      <c r="BM85" s="529"/>
      <c r="BN85" s="529"/>
      <c r="BO85" s="529"/>
      <c r="BP85" s="529"/>
      <c r="BQ85" s="529"/>
      <c r="BR85" s="529"/>
      <c r="BS85" s="529"/>
      <c r="BT85" s="529"/>
      <c r="BU85" s="529"/>
      <c r="BV85" s="529"/>
      <c r="BW85" s="529"/>
      <c r="BX85" s="529"/>
      <c r="BY85" s="529"/>
      <c r="BZ85" s="537"/>
      <c r="CA85" s="537"/>
      <c r="CB85" s="537"/>
    </row>
    <row r="86" spans="1:80" x14ac:dyDescent="0.3">
      <c r="A86" s="551"/>
      <c r="B86" s="548"/>
      <c r="C86" s="525"/>
      <c r="D86" s="525"/>
      <c r="E86" s="570" t="s">
        <v>22</v>
      </c>
      <c r="F86" s="529"/>
      <c r="G86" s="529"/>
      <c r="H86" s="529"/>
      <c r="I86" s="529"/>
      <c r="J86" s="529"/>
      <c r="K86" s="529"/>
      <c r="L86" s="529"/>
      <c r="M86" s="529"/>
      <c r="N86" s="529"/>
      <c r="O86" s="529"/>
      <c r="P86" s="562"/>
      <c r="Q86" s="537"/>
      <c r="R86" s="529"/>
      <c r="S86" s="529"/>
      <c r="T86" s="529"/>
      <c r="U86" s="529"/>
      <c r="V86" s="529"/>
      <c r="W86" s="529"/>
      <c r="X86" s="529"/>
      <c r="Y86" s="529"/>
      <c r="Z86" s="529"/>
      <c r="AA86" s="529"/>
      <c r="AB86" s="529"/>
      <c r="AC86" s="529"/>
      <c r="AD86" s="529"/>
      <c r="AE86" s="529"/>
      <c r="AF86" s="529"/>
      <c r="AG86" s="529"/>
      <c r="AH86" s="529"/>
      <c r="AI86" s="529"/>
      <c r="AJ86" s="529"/>
      <c r="AK86" s="529"/>
      <c r="AL86" s="529"/>
      <c r="AM86" s="529"/>
      <c r="AN86" s="529"/>
      <c r="AO86" s="529"/>
      <c r="AP86" s="529"/>
      <c r="AQ86" s="529"/>
      <c r="AR86" s="529"/>
      <c r="AS86" s="529"/>
      <c r="AT86" s="529"/>
      <c r="AU86" s="529"/>
      <c r="AV86" s="529"/>
      <c r="AW86" s="529"/>
      <c r="AX86" s="529"/>
      <c r="AY86" s="529"/>
      <c r="AZ86" s="529"/>
      <c r="BA86" s="529"/>
      <c r="BB86" s="529"/>
      <c r="BC86" s="529"/>
      <c r="BD86" s="529"/>
      <c r="BE86" s="529"/>
      <c r="BF86" s="529"/>
      <c r="BG86" s="529"/>
      <c r="BH86" s="529"/>
      <c r="BI86" s="529"/>
      <c r="BJ86" s="529"/>
      <c r="BK86" s="529"/>
      <c r="BL86" s="529"/>
      <c r="BM86" s="529"/>
      <c r="BN86" s="529"/>
      <c r="BO86" s="529"/>
      <c r="BP86" s="529"/>
      <c r="BQ86" s="529"/>
      <c r="BR86" s="529"/>
      <c r="BS86" s="529"/>
      <c r="BT86" s="529"/>
      <c r="BU86" s="529"/>
      <c r="BV86" s="529"/>
      <c r="BW86" s="529"/>
      <c r="BX86" s="529"/>
      <c r="BY86" s="529"/>
      <c r="BZ86" s="537"/>
      <c r="CA86" s="537"/>
      <c r="CB86" s="537"/>
    </row>
    <row r="87" spans="1:80" x14ac:dyDescent="0.3">
      <c r="A87" s="551"/>
      <c r="B87" s="548"/>
      <c r="C87" s="525"/>
      <c r="D87" s="525"/>
      <c r="E87" s="572" t="s">
        <v>388</v>
      </c>
      <c r="F87" s="573"/>
      <c r="G87" s="573"/>
      <c r="H87" s="573"/>
      <c r="I87" s="530">
        <f t="shared" ref="I87:N92" si="125">I22/I$82</f>
        <v>107113.97308628817</v>
      </c>
      <c r="J87" s="530">
        <f t="shared" si="125"/>
        <v>112566.4028668853</v>
      </c>
      <c r="K87" s="530">
        <f t="shared" si="125"/>
        <v>119219.55221992149</v>
      </c>
      <c r="L87" s="530">
        <f t="shared" si="125"/>
        <v>126039.38572106877</v>
      </c>
      <c r="M87" s="530">
        <f t="shared" si="125"/>
        <v>133133.18802646096</v>
      </c>
      <c r="N87" s="530">
        <f t="shared" si="125"/>
        <v>140640.26491016144</v>
      </c>
      <c r="O87" s="536"/>
      <c r="P87" s="568">
        <f t="shared" ref="P87:P93" si="126">IFERROR(((N87/I87)^(1/5))-1,0)</f>
        <v>5.5972745945649605E-2</v>
      </c>
      <c r="Q87" s="537"/>
      <c r="R87" s="530">
        <f t="shared" ref="R87:AW87" si="127">R22/R$82</f>
        <v>9261.2377212708434</v>
      </c>
      <c r="S87" s="530">
        <f t="shared" si="127"/>
        <v>9261.2377212708434</v>
      </c>
      <c r="T87" s="530">
        <f t="shared" si="127"/>
        <v>9261.2377212708434</v>
      </c>
      <c r="U87" s="530">
        <f t="shared" si="127"/>
        <v>9261.2377212708434</v>
      </c>
      <c r="V87" s="530">
        <f t="shared" si="127"/>
        <v>9261.2377212708434</v>
      </c>
      <c r="W87" s="530">
        <f t="shared" si="127"/>
        <v>9261.2377212708434</v>
      </c>
      <c r="X87" s="530">
        <f t="shared" si="127"/>
        <v>9499.8294232100343</v>
      </c>
      <c r="Y87" s="530">
        <f t="shared" si="127"/>
        <v>9499.8294232100343</v>
      </c>
      <c r="Z87" s="530">
        <f t="shared" si="127"/>
        <v>9499.8294232100343</v>
      </c>
      <c r="AA87" s="530">
        <f t="shared" si="127"/>
        <v>9499.8294232100343</v>
      </c>
      <c r="AB87" s="530">
        <f t="shared" si="127"/>
        <v>9499.8294232100343</v>
      </c>
      <c r="AC87" s="530">
        <f t="shared" si="127"/>
        <v>9499.8294232100343</v>
      </c>
      <c r="AD87" s="530">
        <f t="shared" si="127"/>
        <v>9784.069694420039</v>
      </c>
      <c r="AE87" s="530">
        <f t="shared" si="127"/>
        <v>9784.069694420039</v>
      </c>
      <c r="AF87" s="530">
        <f t="shared" si="127"/>
        <v>9784.069694420039</v>
      </c>
      <c r="AG87" s="530">
        <f t="shared" si="127"/>
        <v>9784.069694420039</v>
      </c>
      <c r="AH87" s="530">
        <f t="shared" si="127"/>
        <v>9784.069694420039</v>
      </c>
      <c r="AI87" s="530">
        <f t="shared" si="127"/>
        <v>9784.069694420039</v>
      </c>
      <c r="AJ87" s="530">
        <f t="shared" si="127"/>
        <v>10085.855675566872</v>
      </c>
      <c r="AK87" s="530">
        <f t="shared" si="127"/>
        <v>10085.855675566872</v>
      </c>
      <c r="AL87" s="530">
        <f t="shared" si="127"/>
        <v>10085.855675566872</v>
      </c>
      <c r="AM87" s="530">
        <f t="shared" si="127"/>
        <v>10085.855675566872</v>
      </c>
      <c r="AN87" s="530">
        <f t="shared" si="127"/>
        <v>10085.855675566872</v>
      </c>
      <c r="AO87" s="530">
        <f t="shared" si="127"/>
        <v>10085.855675566872</v>
      </c>
      <c r="AP87" s="530">
        <f t="shared" si="127"/>
        <v>10319.263525234557</v>
      </c>
      <c r="AQ87" s="530">
        <f t="shared" si="127"/>
        <v>10319.263525234557</v>
      </c>
      <c r="AR87" s="530">
        <f t="shared" si="127"/>
        <v>10319.263525234557</v>
      </c>
      <c r="AS87" s="530">
        <f t="shared" si="127"/>
        <v>10319.263525234557</v>
      </c>
      <c r="AT87" s="530">
        <f t="shared" si="127"/>
        <v>10319.263525234557</v>
      </c>
      <c r="AU87" s="530">
        <f t="shared" si="127"/>
        <v>10319.263525234557</v>
      </c>
      <c r="AV87" s="530">
        <f t="shared" si="127"/>
        <v>10687.30076161023</v>
      </c>
      <c r="AW87" s="530">
        <f t="shared" si="127"/>
        <v>10687.30076161023</v>
      </c>
      <c r="AX87" s="530">
        <f t="shared" ref="AX87:BY87" si="128">AX22/AX$82</f>
        <v>10687.30076161023</v>
      </c>
      <c r="AY87" s="530">
        <f t="shared" si="128"/>
        <v>10687.30076161023</v>
      </c>
      <c r="AZ87" s="530">
        <f t="shared" si="128"/>
        <v>10687.30076161023</v>
      </c>
      <c r="BA87" s="530">
        <f t="shared" si="128"/>
        <v>10687.30076161023</v>
      </c>
      <c r="BB87" s="530">
        <f t="shared" si="128"/>
        <v>10875.661255835523</v>
      </c>
      <c r="BC87" s="530">
        <f t="shared" si="128"/>
        <v>10875.661255835523</v>
      </c>
      <c r="BD87" s="530">
        <f t="shared" si="128"/>
        <v>10875.661255835523</v>
      </c>
      <c r="BE87" s="530">
        <f t="shared" si="128"/>
        <v>10875.661255835523</v>
      </c>
      <c r="BF87" s="530">
        <f t="shared" si="128"/>
        <v>10875.661255835523</v>
      </c>
      <c r="BG87" s="530">
        <f t="shared" si="128"/>
        <v>10875.661255835523</v>
      </c>
      <c r="BH87" s="530">
        <f t="shared" si="128"/>
        <v>11313.203415241309</v>
      </c>
      <c r="BI87" s="530">
        <f t="shared" si="128"/>
        <v>11313.203415241309</v>
      </c>
      <c r="BJ87" s="530">
        <f t="shared" si="128"/>
        <v>11313.203415241309</v>
      </c>
      <c r="BK87" s="530">
        <f t="shared" si="128"/>
        <v>11313.203415241309</v>
      </c>
      <c r="BL87" s="530">
        <f t="shared" si="128"/>
        <v>11313.203415241309</v>
      </c>
      <c r="BM87" s="530">
        <f t="shared" si="128"/>
        <v>11313.203415241309</v>
      </c>
      <c r="BN87" s="530">
        <f t="shared" si="128"/>
        <v>11464.9209781996</v>
      </c>
      <c r="BO87" s="530">
        <f t="shared" si="128"/>
        <v>11464.9209781996</v>
      </c>
      <c r="BP87" s="530">
        <f t="shared" si="128"/>
        <v>11464.9209781996</v>
      </c>
      <c r="BQ87" s="530">
        <f t="shared" si="128"/>
        <v>11464.9209781996</v>
      </c>
      <c r="BR87" s="530">
        <f t="shared" si="128"/>
        <v>11464.9209781996</v>
      </c>
      <c r="BS87" s="530">
        <f t="shared" si="128"/>
        <v>11464.9209781996</v>
      </c>
      <c r="BT87" s="530">
        <f t="shared" si="128"/>
        <v>11975.123173493968</v>
      </c>
      <c r="BU87" s="530">
        <f t="shared" si="128"/>
        <v>11975.123173493968</v>
      </c>
      <c r="BV87" s="530">
        <f t="shared" si="128"/>
        <v>11975.123173493968</v>
      </c>
      <c r="BW87" s="530">
        <f t="shared" si="128"/>
        <v>11975.123173493968</v>
      </c>
      <c r="BX87" s="530">
        <f t="shared" si="128"/>
        <v>11975.123173493968</v>
      </c>
      <c r="BY87" s="530">
        <f t="shared" si="128"/>
        <v>11975.123173493968</v>
      </c>
      <c r="BZ87" s="537"/>
      <c r="CA87" s="537"/>
      <c r="CB87" s="574"/>
    </row>
    <row r="88" spans="1:80" x14ac:dyDescent="0.3">
      <c r="A88" s="551"/>
      <c r="B88" s="548"/>
      <c r="C88" s="525"/>
      <c r="D88" s="525"/>
      <c r="E88" s="525" t="s">
        <v>387</v>
      </c>
      <c r="F88" s="567"/>
      <c r="G88" s="567"/>
      <c r="H88" s="567"/>
      <c r="I88" s="527">
        <f t="shared" si="125"/>
        <v>-35182.029082911664</v>
      </c>
      <c r="J88" s="527">
        <f t="shared" si="125"/>
        <v>-36001.231756979461</v>
      </c>
      <c r="K88" s="527">
        <f t="shared" si="125"/>
        <v>-37166.943463666023</v>
      </c>
      <c r="L88" s="527">
        <f t="shared" si="125"/>
        <v>-38350.949699721365</v>
      </c>
      <c r="M88" s="527">
        <f t="shared" si="125"/>
        <v>-39594.627893792633</v>
      </c>
      <c r="N88" s="527">
        <f t="shared" si="125"/>
        <v>-40886.0863024543</v>
      </c>
      <c r="O88" s="529"/>
      <c r="P88" s="564">
        <f t="shared" si="126"/>
        <v>3.0506965257029117E-2</v>
      </c>
      <c r="Q88" s="537"/>
      <c r="R88" s="527">
        <f t="shared" ref="R88:AW88" si="129">R23/R$82</f>
        <v>-2961.9491879315988</v>
      </c>
      <c r="S88" s="527">
        <f t="shared" si="129"/>
        <v>-2961.9491879315988</v>
      </c>
      <c r="T88" s="527">
        <f t="shared" si="129"/>
        <v>-2961.9491879315988</v>
      </c>
      <c r="U88" s="527">
        <f t="shared" si="129"/>
        <v>-2961.9491879315988</v>
      </c>
      <c r="V88" s="527">
        <f t="shared" si="129"/>
        <v>-2961.9491879315988</v>
      </c>
      <c r="W88" s="527">
        <f t="shared" si="129"/>
        <v>-2961.9491879315988</v>
      </c>
      <c r="X88" s="527">
        <f t="shared" si="129"/>
        <v>-3038.2561048983121</v>
      </c>
      <c r="Y88" s="527">
        <f t="shared" si="129"/>
        <v>-3038.2561048983121</v>
      </c>
      <c r="Z88" s="527">
        <f t="shared" si="129"/>
        <v>-3038.2561048983121</v>
      </c>
      <c r="AA88" s="527">
        <f t="shared" si="129"/>
        <v>-3038.2561048983121</v>
      </c>
      <c r="AB88" s="527">
        <f t="shared" si="129"/>
        <v>-3038.2561048983121</v>
      </c>
      <c r="AC88" s="527">
        <f t="shared" si="129"/>
        <v>-3038.2561048983121</v>
      </c>
      <c r="AD88" s="527">
        <f t="shared" si="129"/>
        <v>-3050.2040848658144</v>
      </c>
      <c r="AE88" s="527">
        <f t="shared" si="129"/>
        <v>-3050.2040848658144</v>
      </c>
      <c r="AF88" s="527">
        <f t="shared" si="129"/>
        <v>-3050.2040848658144</v>
      </c>
      <c r="AG88" s="527">
        <f t="shared" si="129"/>
        <v>-3050.2040848658144</v>
      </c>
      <c r="AH88" s="527">
        <f t="shared" si="129"/>
        <v>-3050.2040848658144</v>
      </c>
      <c r="AI88" s="527">
        <f t="shared" si="129"/>
        <v>-3050.2040848658144</v>
      </c>
      <c r="AJ88" s="527">
        <f t="shared" si="129"/>
        <v>-3144.2864924118571</v>
      </c>
      <c r="AK88" s="527">
        <f t="shared" si="129"/>
        <v>-3144.2864924118571</v>
      </c>
      <c r="AL88" s="527">
        <f t="shared" si="129"/>
        <v>-3144.2864924118571</v>
      </c>
      <c r="AM88" s="527">
        <f t="shared" si="129"/>
        <v>-3144.2864924118571</v>
      </c>
      <c r="AN88" s="527">
        <f t="shared" si="129"/>
        <v>-3144.2864924118571</v>
      </c>
      <c r="AO88" s="527">
        <f t="shared" si="129"/>
        <v>-3144.2864924118571</v>
      </c>
      <c r="AP88" s="527">
        <f t="shared" si="129"/>
        <v>-3139.9197491350969</v>
      </c>
      <c r="AQ88" s="527">
        <f t="shared" si="129"/>
        <v>-3139.9197491350969</v>
      </c>
      <c r="AR88" s="527">
        <f t="shared" si="129"/>
        <v>-3139.9197491350969</v>
      </c>
      <c r="AS88" s="527">
        <f t="shared" si="129"/>
        <v>-3139.9197491350969</v>
      </c>
      <c r="AT88" s="527">
        <f t="shared" si="129"/>
        <v>-3139.9197491350969</v>
      </c>
      <c r="AU88" s="527">
        <f t="shared" si="129"/>
        <v>-3139.9197491350969</v>
      </c>
      <c r="AV88" s="527">
        <f t="shared" si="129"/>
        <v>-3251.9052008184626</v>
      </c>
      <c r="AW88" s="527">
        <f t="shared" si="129"/>
        <v>-3251.9052008184626</v>
      </c>
      <c r="AX88" s="527">
        <f t="shared" ref="AX88:BY88" si="130">AX23/AX$82</f>
        <v>-3251.9052008184626</v>
      </c>
      <c r="AY88" s="527">
        <f t="shared" si="130"/>
        <v>-3251.9052008184626</v>
      </c>
      <c r="AZ88" s="527">
        <f t="shared" si="130"/>
        <v>-3251.9052008184626</v>
      </c>
      <c r="BA88" s="527">
        <f t="shared" si="130"/>
        <v>-3251.9052008184626</v>
      </c>
      <c r="BB88" s="527">
        <f t="shared" si="130"/>
        <v>-3234.4884615709593</v>
      </c>
      <c r="BC88" s="527">
        <f t="shared" si="130"/>
        <v>-3234.4884615709593</v>
      </c>
      <c r="BD88" s="527">
        <f t="shared" si="130"/>
        <v>-3234.4884615709593</v>
      </c>
      <c r="BE88" s="527">
        <f t="shared" si="130"/>
        <v>-3234.4884615709593</v>
      </c>
      <c r="BF88" s="527">
        <f t="shared" si="130"/>
        <v>-3234.4884615709593</v>
      </c>
      <c r="BG88" s="527">
        <f t="shared" si="130"/>
        <v>-3234.4884615709593</v>
      </c>
      <c r="BH88" s="527">
        <f t="shared" si="130"/>
        <v>-3364.6161873944802</v>
      </c>
      <c r="BI88" s="527">
        <f t="shared" si="130"/>
        <v>-3364.6161873944802</v>
      </c>
      <c r="BJ88" s="527">
        <f t="shared" si="130"/>
        <v>-3364.6161873944802</v>
      </c>
      <c r="BK88" s="527">
        <f t="shared" si="130"/>
        <v>-3364.6161873944802</v>
      </c>
      <c r="BL88" s="527">
        <f t="shared" si="130"/>
        <v>-3364.6161873944802</v>
      </c>
      <c r="BM88" s="527">
        <f t="shared" si="130"/>
        <v>-3364.6161873944802</v>
      </c>
      <c r="BN88" s="527">
        <f t="shared" si="130"/>
        <v>-3333.0124119498828</v>
      </c>
      <c r="BO88" s="527">
        <f t="shared" si="130"/>
        <v>-3333.0124119498828</v>
      </c>
      <c r="BP88" s="527">
        <f t="shared" si="130"/>
        <v>-3333.0124119498828</v>
      </c>
      <c r="BQ88" s="527">
        <f t="shared" si="130"/>
        <v>-3333.0124119498828</v>
      </c>
      <c r="BR88" s="527">
        <f t="shared" si="130"/>
        <v>-3333.0124119498828</v>
      </c>
      <c r="BS88" s="527">
        <f t="shared" si="130"/>
        <v>-3333.0124119498828</v>
      </c>
      <c r="BT88" s="527">
        <f t="shared" si="130"/>
        <v>-3481.3353051258341</v>
      </c>
      <c r="BU88" s="527">
        <f t="shared" si="130"/>
        <v>-3481.3353051258341</v>
      </c>
      <c r="BV88" s="527">
        <f t="shared" si="130"/>
        <v>-3481.3353051258341</v>
      </c>
      <c r="BW88" s="527">
        <f t="shared" si="130"/>
        <v>-3481.3353051258341</v>
      </c>
      <c r="BX88" s="527">
        <f t="shared" si="130"/>
        <v>-3481.3353051258341</v>
      </c>
      <c r="BY88" s="527">
        <f t="shared" si="130"/>
        <v>-3481.3353051258341</v>
      </c>
      <c r="BZ88" s="537"/>
      <c r="CA88" s="537"/>
      <c r="CB88" s="574"/>
    </row>
    <row r="89" spans="1:80" x14ac:dyDescent="0.3">
      <c r="A89" s="551"/>
      <c r="B89" s="548"/>
      <c r="C89" s="525"/>
      <c r="D89" s="525"/>
      <c r="E89" s="525" t="s">
        <v>386</v>
      </c>
      <c r="F89" s="567"/>
      <c r="G89" s="567"/>
      <c r="H89" s="567"/>
      <c r="I89" s="527">
        <f t="shared" si="125"/>
        <v>-6769.1530504942803</v>
      </c>
      <c r="J89" s="527">
        <f t="shared" si="125"/>
        <v>-6993.4748188089579</v>
      </c>
      <c r="K89" s="527">
        <f t="shared" si="125"/>
        <v>-7288.7354915654678</v>
      </c>
      <c r="L89" s="527">
        <f t="shared" si="125"/>
        <v>-7591.8684004535353</v>
      </c>
      <c r="M89" s="527">
        <f t="shared" si="125"/>
        <v>-7911.2221695903518</v>
      </c>
      <c r="N89" s="527">
        <f t="shared" si="125"/>
        <v>-8244.7071843298309</v>
      </c>
      <c r="O89" s="529"/>
      <c r="P89" s="564">
        <f t="shared" si="126"/>
        <v>4.0227139898235675E-2</v>
      </c>
      <c r="Q89" s="537"/>
      <c r="R89" s="527">
        <f t="shared" ref="R89:AW89" si="131">R24/R$82</f>
        <v>-575.37800929201399</v>
      </c>
      <c r="S89" s="527">
        <f t="shared" si="131"/>
        <v>-575.37800929201399</v>
      </c>
      <c r="T89" s="527">
        <f t="shared" si="131"/>
        <v>-575.37800929201399</v>
      </c>
      <c r="U89" s="527">
        <f t="shared" si="131"/>
        <v>-575.37800929201399</v>
      </c>
      <c r="V89" s="527">
        <f t="shared" si="131"/>
        <v>-575.37800929201399</v>
      </c>
      <c r="W89" s="527">
        <f t="shared" si="131"/>
        <v>-575.37800929201399</v>
      </c>
      <c r="X89" s="527">
        <f t="shared" si="131"/>
        <v>-590.20112717614575</v>
      </c>
      <c r="Y89" s="527">
        <f t="shared" si="131"/>
        <v>-590.20112717614575</v>
      </c>
      <c r="Z89" s="527">
        <f t="shared" si="131"/>
        <v>-590.20112717614575</v>
      </c>
      <c r="AA89" s="527">
        <f t="shared" si="131"/>
        <v>-590.20112717614575</v>
      </c>
      <c r="AB89" s="527">
        <f t="shared" si="131"/>
        <v>-590.20112717614575</v>
      </c>
      <c r="AC89" s="527">
        <f t="shared" si="131"/>
        <v>-590.20112717614575</v>
      </c>
      <c r="AD89" s="527">
        <f t="shared" si="131"/>
        <v>-598.16946722060425</v>
      </c>
      <c r="AE89" s="527">
        <f t="shared" si="131"/>
        <v>-598.16946722060425</v>
      </c>
      <c r="AF89" s="527">
        <f t="shared" si="131"/>
        <v>-598.16946722060425</v>
      </c>
      <c r="AG89" s="527">
        <f t="shared" si="131"/>
        <v>-598.16946722060425</v>
      </c>
      <c r="AH89" s="527">
        <f t="shared" si="131"/>
        <v>-598.16946722060425</v>
      </c>
      <c r="AI89" s="527">
        <f t="shared" si="131"/>
        <v>-598.16946722060425</v>
      </c>
      <c r="AJ89" s="527">
        <f t="shared" si="131"/>
        <v>-616.61978137364031</v>
      </c>
      <c r="AK89" s="527">
        <f t="shared" si="131"/>
        <v>-616.61978137364031</v>
      </c>
      <c r="AL89" s="527">
        <f t="shared" si="131"/>
        <v>-616.61978137364031</v>
      </c>
      <c r="AM89" s="527">
        <f t="shared" si="131"/>
        <v>-616.61978137364031</v>
      </c>
      <c r="AN89" s="527">
        <f t="shared" si="131"/>
        <v>-616.61978137364031</v>
      </c>
      <c r="AO89" s="527">
        <f t="shared" si="131"/>
        <v>-616.61978137364031</v>
      </c>
      <c r="AP89" s="527">
        <f t="shared" si="131"/>
        <v>-621.57150501000308</v>
      </c>
      <c r="AQ89" s="527">
        <f t="shared" si="131"/>
        <v>-621.57150501000308</v>
      </c>
      <c r="AR89" s="527">
        <f t="shared" si="131"/>
        <v>-621.57150501000308</v>
      </c>
      <c r="AS89" s="527">
        <f t="shared" si="131"/>
        <v>-621.57150501000308</v>
      </c>
      <c r="AT89" s="527">
        <f t="shared" si="131"/>
        <v>-621.57150501000308</v>
      </c>
      <c r="AU89" s="527">
        <f t="shared" si="131"/>
        <v>-621.57150501000308</v>
      </c>
      <c r="AV89" s="527">
        <f t="shared" si="131"/>
        <v>-643.73989506558587</v>
      </c>
      <c r="AW89" s="527">
        <f t="shared" si="131"/>
        <v>-643.73989506558587</v>
      </c>
      <c r="AX89" s="527">
        <f t="shared" ref="AX89:BY89" si="132">AX24/AX$82</f>
        <v>-643.73989506558587</v>
      </c>
      <c r="AY89" s="527">
        <f t="shared" si="132"/>
        <v>-643.73989506558587</v>
      </c>
      <c r="AZ89" s="527">
        <f t="shared" si="132"/>
        <v>-643.73989506558587</v>
      </c>
      <c r="BA89" s="527">
        <f t="shared" si="132"/>
        <v>-643.73989506558587</v>
      </c>
      <c r="BB89" s="527">
        <f t="shared" si="132"/>
        <v>-646.26840017546908</v>
      </c>
      <c r="BC89" s="527">
        <f t="shared" si="132"/>
        <v>-646.26840017546908</v>
      </c>
      <c r="BD89" s="527">
        <f t="shared" si="132"/>
        <v>-646.26840017546908</v>
      </c>
      <c r="BE89" s="527">
        <f t="shared" si="132"/>
        <v>-646.26840017546908</v>
      </c>
      <c r="BF89" s="527">
        <f t="shared" si="132"/>
        <v>-646.26840017546908</v>
      </c>
      <c r="BG89" s="527">
        <f t="shared" si="132"/>
        <v>-646.26840017546908</v>
      </c>
      <c r="BH89" s="527">
        <f t="shared" si="132"/>
        <v>-672.26862808958981</v>
      </c>
      <c r="BI89" s="527">
        <f t="shared" si="132"/>
        <v>-672.26862808958981</v>
      </c>
      <c r="BJ89" s="527">
        <f t="shared" si="132"/>
        <v>-672.26862808958981</v>
      </c>
      <c r="BK89" s="527">
        <f t="shared" si="132"/>
        <v>-672.26862808958981</v>
      </c>
      <c r="BL89" s="527">
        <f t="shared" si="132"/>
        <v>-672.26862808958981</v>
      </c>
      <c r="BM89" s="527">
        <f t="shared" si="132"/>
        <v>-672.26862808958981</v>
      </c>
      <c r="BN89" s="527">
        <f t="shared" si="132"/>
        <v>-672.1042257501216</v>
      </c>
      <c r="BO89" s="527">
        <f t="shared" si="132"/>
        <v>-672.1042257501216</v>
      </c>
      <c r="BP89" s="527">
        <f t="shared" si="132"/>
        <v>-672.1042257501216</v>
      </c>
      <c r="BQ89" s="527">
        <f t="shared" si="132"/>
        <v>-672.1042257501216</v>
      </c>
      <c r="BR89" s="527">
        <f t="shared" si="132"/>
        <v>-672.1042257501216</v>
      </c>
      <c r="BS89" s="527">
        <f t="shared" si="132"/>
        <v>-672.1042257501216</v>
      </c>
      <c r="BT89" s="527">
        <f t="shared" si="132"/>
        <v>-702.01363830485047</v>
      </c>
      <c r="BU89" s="527">
        <f t="shared" si="132"/>
        <v>-702.01363830485047</v>
      </c>
      <c r="BV89" s="527">
        <f t="shared" si="132"/>
        <v>-702.01363830485047</v>
      </c>
      <c r="BW89" s="527">
        <f t="shared" si="132"/>
        <v>-702.01363830485047</v>
      </c>
      <c r="BX89" s="527">
        <f t="shared" si="132"/>
        <v>-702.01363830485047</v>
      </c>
      <c r="BY89" s="527">
        <f t="shared" si="132"/>
        <v>-702.01363830485047</v>
      </c>
      <c r="BZ89" s="537"/>
      <c r="CA89" s="537"/>
      <c r="CB89" s="574"/>
    </row>
    <row r="90" spans="1:80" x14ac:dyDescent="0.3">
      <c r="A90" s="551"/>
      <c r="B90" s="548"/>
      <c r="C90" s="525"/>
      <c r="D90" s="525"/>
      <c r="E90" s="572" t="s">
        <v>385</v>
      </c>
      <c r="F90" s="573"/>
      <c r="G90" s="573"/>
      <c r="H90" s="573"/>
      <c r="I90" s="530">
        <f t="shared" si="125"/>
        <v>60685.715478260878</v>
      </c>
      <c r="J90" s="530">
        <f t="shared" si="125"/>
        <v>69571.696291096843</v>
      </c>
      <c r="K90" s="530">
        <f t="shared" si="125"/>
        <v>74763.873264689988</v>
      </c>
      <c r="L90" s="530">
        <f t="shared" si="125"/>
        <v>80096.567620893824</v>
      </c>
      <c r="M90" s="530">
        <f t="shared" si="125"/>
        <v>85627.337963077996</v>
      </c>
      <c r="N90" s="530">
        <f t="shared" si="125"/>
        <v>91509.471423377268</v>
      </c>
      <c r="O90" s="536"/>
      <c r="P90" s="568">
        <f t="shared" si="126"/>
        <v>8.5615196667784721E-2</v>
      </c>
      <c r="Q90" s="537"/>
      <c r="R90" s="530">
        <f t="shared" ref="R90:AW90" si="133">R25/R$82</f>
        <v>5723.9105240472309</v>
      </c>
      <c r="S90" s="530">
        <f t="shared" si="133"/>
        <v>5723.9105240472309</v>
      </c>
      <c r="T90" s="530">
        <f t="shared" si="133"/>
        <v>5723.9105240472309</v>
      </c>
      <c r="U90" s="530">
        <f t="shared" si="133"/>
        <v>5723.9105240472309</v>
      </c>
      <c r="V90" s="530">
        <f t="shared" si="133"/>
        <v>5723.9105240472309</v>
      </c>
      <c r="W90" s="530">
        <f t="shared" si="133"/>
        <v>5723.9105240472309</v>
      </c>
      <c r="X90" s="530">
        <f t="shared" si="133"/>
        <v>5871.3721911355769</v>
      </c>
      <c r="Y90" s="530">
        <f t="shared" si="133"/>
        <v>5871.3721911355769</v>
      </c>
      <c r="Z90" s="530">
        <f t="shared" si="133"/>
        <v>5871.3721911355769</v>
      </c>
      <c r="AA90" s="530">
        <f t="shared" si="133"/>
        <v>5871.3721911355769</v>
      </c>
      <c r="AB90" s="530">
        <f t="shared" si="133"/>
        <v>5871.3721911355769</v>
      </c>
      <c r="AC90" s="530">
        <f t="shared" si="133"/>
        <v>5871.3721911355769</v>
      </c>
      <c r="AD90" s="530">
        <f t="shared" si="133"/>
        <v>6135.6961423336215</v>
      </c>
      <c r="AE90" s="530">
        <f t="shared" si="133"/>
        <v>6135.6961423336215</v>
      </c>
      <c r="AF90" s="530">
        <f t="shared" si="133"/>
        <v>6135.6961423336215</v>
      </c>
      <c r="AG90" s="530">
        <f t="shared" si="133"/>
        <v>6135.6961423336215</v>
      </c>
      <c r="AH90" s="530">
        <f t="shared" si="133"/>
        <v>6135.6961423336215</v>
      </c>
      <c r="AI90" s="530">
        <f t="shared" si="133"/>
        <v>6135.6961423336215</v>
      </c>
      <c r="AJ90" s="530">
        <f t="shared" si="133"/>
        <v>6324.9494017813749</v>
      </c>
      <c r="AK90" s="530">
        <f t="shared" si="133"/>
        <v>6324.9494017813749</v>
      </c>
      <c r="AL90" s="530">
        <f t="shared" si="133"/>
        <v>6324.9494017813749</v>
      </c>
      <c r="AM90" s="530">
        <f t="shared" si="133"/>
        <v>6324.9494017813749</v>
      </c>
      <c r="AN90" s="530">
        <f t="shared" si="133"/>
        <v>6324.9494017813749</v>
      </c>
      <c r="AO90" s="530">
        <f t="shared" si="133"/>
        <v>6324.9494017813749</v>
      </c>
      <c r="AP90" s="530">
        <f t="shared" si="133"/>
        <v>6557.7722710894568</v>
      </c>
      <c r="AQ90" s="530">
        <f t="shared" si="133"/>
        <v>6557.7722710894568</v>
      </c>
      <c r="AR90" s="530">
        <f t="shared" si="133"/>
        <v>6557.7722710894568</v>
      </c>
      <c r="AS90" s="530">
        <f t="shared" si="133"/>
        <v>6557.7722710894568</v>
      </c>
      <c r="AT90" s="530">
        <f t="shared" si="133"/>
        <v>6557.7722710894568</v>
      </c>
      <c r="AU90" s="530">
        <f t="shared" si="133"/>
        <v>6557.7722710894568</v>
      </c>
      <c r="AV90" s="530">
        <f t="shared" si="133"/>
        <v>6791.6556657261799</v>
      </c>
      <c r="AW90" s="530">
        <f t="shared" si="133"/>
        <v>6791.6556657261799</v>
      </c>
      <c r="AX90" s="530">
        <f t="shared" ref="AX90:BY90" si="134">AX25/AX$82</f>
        <v>6791.6556657261799</v>
      </c>
      <c r="AY90" s="530">
        <f t="shared" si="134"/>
        <v>6791.6556657261799</v>
      </c>
      <c r="AZ90" s="530">
        <f t="shared" si="134"/>
        <v>6791.6556657261799</v>
      </c>
      <c r="BA90" s="530">
        <f t="shared" si="134"/>
        <v>6791.6556657261799</v>
      </c>
      <c r="BB90" s="530">
        <f t="shared" si="134"/>
        <v>6994.9043940890942</v>
      </c>
      <c r="BC90" s="530">
        <f t="shared" si="134"/>
        <v>6994.9043940890942</v>
      </c>
      <c r="BD90" s="530">
        <f t="shared" si="134"/>
        <v>6994.9043940890942</v>
      </c>
      <c r="BE90" s="530">
        <f t="shared" si="134"/>
        <v>6994.9043940890942</v>
      </c>
      <c r="BF90" s="530">
        <f t="shared" si="134"/>
        <v>6994.9043940890942</v>
      </c>
      <c r="BG90" s="530">
        <f t="shared" si="134"/>
        <v>6994.9043940890942</v>
      </c>
      <c r="BH90" s="530">
        <f t="shared" si="134"/>
        <v>7276.3185997572391</v>
      </c>
      <c r="BI90" s="530">
        <f t="shared" si="134"/>
        <v>7276.3185997572391</v>
      </c>
      <c r="BJ90" s="530">
        <f t="shared" si="134"/>
        <v>7276.3185997572391</v>
      </c>
      <c r="BK90" s="530">
        <f t="shared" si="134"/>
        <v>7276.3185997572391</v>
      </c>
      <c r="BL90" s="530">
        <f t="shared" si="134"/>
        <v>7276.3185997572391</v>
      </c>
      <c r="BM90" s="530">
        <f t="shared" si="134"/>
        <v>7276.3185997572391</v>
      </c>
      <c r="BN90" s="530">
        <f t="shared" si="134"/>
        <v>7459.8043404995951</v>
      </c>
      <c r="BO90" s="530">
        <f t="shared" si="134"/>
        <v>7459.8043404995951</v>
      </c>
      <c r="BP90" s="530">
        <f t="shared" si="134"/>
        <v>7459.8043404995951</v>
      </c>
      <c r="BQ90" s="530">
        <f t="shared" si="134"/>
        <v>7459.8043404995951</v>
      </c>
      <c r="BR90" s="530">
        <f t="shared" si="134"/>
        <v>7459.8043404995951</v>
      </c>
      <c r="BS90" s="530">
        <f t="shared" si="134"/>
        <v>7459.8043404995951</v>
      </c>
      <c r="BT90" s="530">
        <f t="shared" si="134"/>
        <v>7791.7742300632844</v>
      </c>
      <c r="BU90" s="530">
        <f t="shared" si="134"/>
        <v>7791.7742300632844</v>
      </c>
      <c r="BV90" s="530">
        <f t="shared" si="134"/>
        <v>7791.7742300632844</v>
      </c>
      <c r="BW90" s="530">
        <f t="shared" si="134"/>
        <v>7791.7742300632844</v>
      </c>
      <c r="BX90" s="530">
        <f t="shared" si="134"/>
        <v>7791.7742300632844</v>
      </c>
      <c r="BY90" s="530">
        <f t="shared" si="134"/>
        <v>7791.7742300632844</v>
      </c>
      <c r="BZ90" s="537"/>
      <c r="CA90" s="537"/>
      <c r="CB90" s="574"/>
    </row>
    <row r="91" spans="1:80" x14ac:dyDescent="0.3">
      <c r="A91" s="551"/>
      <c r="B91" s="548"/>
      <c r="C91" s="525"/>
      <c r="D91" s="525"/>
      <c r="E91" s="525" t="s">
        <v>389</v>
      </c>
      <c r="F91" s="567"/>
      <c r="G91" s="567"/>
      <c r="H91" s="567"/>
      <c r="I91" s="527">
        <f t="shared" si="125"/>
        <v>-17723.075432744248</v>
      </c>
      <c r="J91" s="527">
        <f t="shared" si="125"/>
        <v>-18753.373174563381</v>
      </c>
      <c r="K91" s="527">
        <f t="shared" si="125"/>
        <v>-19989.171730040296</v>
      </c>
      <c r="L91" s="527">
        <f t="shared" si="125"/>
        <v>-21258.329444794465</v>
      </c>
      <c r="M91" s="527">
        <f t="shared" si="125"/>
        <v>-22578.213193776588</v>
      </c>
      <c r="N91" s="527">
        <f t="shared" si="125"/>
        <v>-23977.498906082797</v>
      </c>
      <c r="O91" s="529"/>
      <c r="P91" s="564">
        <f t="shared" si="126"/>
        <v>6.2314131596377997E-2</v>
      </c>
      <c r="Q91" s="537"/>
      <c r="R91" s="527">
        <f t="shared" ref="R91:AW91" si="135">R26/R$82</f>
        <v>-1542.9066099830754</v>
      </c>
      <c r="S91" s="527">
        <f t="shared" si="135"/>
        <v>-1542.9066099830754</v>
      </c>
      <c r="T91" s="527">
        <f t="shared" si="135"/>
        <v>-1542.9066099830754</v>
      </c>
      <c r="U91" s="527">
        <f t="shared" si="135"/>
        <v>-1542.9066099830754</v>
      </c>
      <c r="V91" s="527">
        <f t="shared" si="135"/>
        <v>-1542.9066099830754</v>
      </c>
      <c r="W91" s="527">
        <f t="shared" si="135"/>
        <v>-1542.9066099830754</v>
      </c>
      <c r="X91" s="527">
        <f t="shared" si="135"/>
        <v>-1582.6555857774872</v>
      </c>
      <c r="Y91" s="527">
        <f t="shared" si="135"/>
        <v>-1582.6555857774872</v>
      </c>
      <c r="Z91" s="527">
        <f t="shared" si="135"/>
        <v>-1582.6555857774872</v>
      </c>
      <c r="AA91" s="527">
        <f t="shared" si="135"/>
        <v>-1582.6555857774872</v>
      </c>
      <c r="AB91" s="527">
        <f t="shared" si="135"/>
        <v>-1582.6555857774872</v>
      </c>
      <c r="AC91" s="527">
        <f t="shared" si="135"/>
        <v>-1582.6555857774872</v>
      </c>
      <c r="AD91" s="527">
        <f t="shared" si="135"/>
        <v>-1640.464552153926</v>
      </c>
      <c r="AE91" s="527">
        <f t="shared" si="135"/>
        <v>-1640.464552153926</v>
      </c>
      <c r="AF91" s="527">
        <f t="shared" si="135"/>
        <v>-1640.464552153926</v>
      </c>
      <c r="AG91" s="527">
        <f t="shared" si="135"/>
        <v>-1640.464552153926</v>
      </c>
      <c r="AH91" s="527">
        <f t="shared" si="135"/>
        <v>-1640.464552153926</v>
      </c>
      <c r="AI91" s="527">
        <f t="shared" si="135"/>
        <v>-1640.464552153926</v>
      </c>
      <c r="AJ91" s="527">
        <f t="shared" si="135"/>
        <v>-1691.0640695194572</v>
      </c>
      <c r="AK91" s="527">
        <f t="shared" si="135"/>
        <v>-1691.0640695194572</v>
      </c>
      <c r="AL91" s="527">
        <f t="shared" si="135"/>
        <v>-1691.0640695194572</v>
      </c>
      <c r="AM91" s="527">
        <f t="shared" si="135"/>
        <v>-1691.0640695194572</v>
      </c>
      <c r="AN91" s="527">
        <f t="shared" si="135"/>
        <v>-1691.0640695194572</v>
      </c>
      <c r="AO91" s="527">
        <f t="shared" si="135"/>
        <v>-1691.0640695194572</v>
      </c>
      <c r="AP91" s="527">
        <f t="shared" si="135"/>
        <v>-1740.4901046769971</v>
      </c>
      <c r="AQ91" s="527">
        <f t="shared" si="135"/>
        <v>-1740.4901046769971</v>
      </c>
      <c r="AR91" s="527">
        <f t="shared" si="135"/>
        <v>-1740.4901046769971</v>
      </c>
      <c r="AS91" s="527">
        <f t="shared" si="135"/>
        <v>-1740.4901046769971</v>
      </c>
      <c r="AT91" s="527">
        <f t="shared" si="135"/>
        <v>-1740.4901046769971</v>
      </c>
      <c r="AU91" s="527">
        <f t="shared" si="135"/>
        <v>-1740.4901046769971</v>
      </c>
      <c r="AV91" s="527">
        <f t="shared" si="135"/>
        <v>-1802.5648027887471</v>
      </c>
      <c r="AW91" s="527">
        <f t="shared" si="135"/>
        <v>-1802.5648027887471</v>
      </c>
      <c r="AX91" s="527">
        <f t="shared" ref="AX91:BY91" si="136">AX26/AX$82</f>
        <v>-1802.5648027887471</v>
      </c>
      <c r="AY91" s="527">
        <f t="shared" si="136"/>
        <v>-1802.5648027887471</v>
      </c>
      <c r="AZ91" s="527">
        <f t="shared" si="136"/>
        <v>-1802.5648027887471</v>
      </c>
      <c r="BA91" s="527">
        <f t="shared" si="136"/>
        <v>-1802.5648027887471</v>
      </c>
      <c r="BB91" s="527">
        <f t="shared" si="136"/>
        <v>-1844.4161226631588</v>
      </c>
      <c r="BC91" s="527">
        <f t="shared" si="136"/>
        <v>-1844.4161226631588</v>
      </c>
      <c r="BD91" s="527">
        <f t="shared" si="136"/>
        <v>-1844.4161226631588</v>
      </c>
      <c r="BE91" s="527">
        <f t="shared" si="136"/>
        <v>-1844.4161226631588</v>
      </c>
      <c r="BF91" s="527">
        <f t="shared" si="136"/>
        <v>-1844.4161226631588</v>
      </c>
      <c r="BG91" s="527">
        <f t="shared" si="136"/>
        <v>-1844.4161226631588</v>
      </c>
      <c r="BH91" s="527">
        <f t="shared" si="136"/>
        <v>-1918.6194096329391</v>
      </c>
      <c r="BI91" s="527">
        <f t="shared" si="136"/>
        <v>-1918.6194096329391</v>
      </c>
      <c r="BJ91" s="527">
        <f t="shared" si="136"/>
        <v>-1918.6194096329391</v>
      </c>
      <c r="BK91" s="527">
        <f t="shared" si="136"/>
        <v>-1918.6194096329391</v>
      </c>
      <c r="BL91" s="527">
        <f t="shared" si="136"/>
        <v>-1918.6194096329391</v>
      </c>
      <c r="BM91" s="527">
        <f t="shared" si="136"/>
        <v>-1918.6194096329391</v>
      </c>
      <c r="BN91" s="527">
        <f t="shared" si="136"/>
        <v>-1954.6331940480068</v>
      </c>
      <c r="BO91" s="527">
        <f t="shared" si="136"/>
        <v>-1954.6331940480068</v>
      </c>
      <c r="BP91" s="527">
        <f t="shared" si="136"/>
        <v>-1954.6331940480068</v>
      </c>
      <c r="BQ91" s="527">
        <f t="shared" si="136"/>
        <v>-1954.6331940480068</v>
      </c>
      <c r="BR91" s="527">
        <f t="shared" si="136"/>
        <v>-1954.6331940480068</v>
      </c>
      <c r="BS91" s="527">
        <f t="shared" si="136"/>
        <v>-1954.6331940480068</v>
      </c>
      <c r="BT91" s="527">
        <f t="shared" si="136"/>
        <v>-2041.61662363246</v>
      </c>
      <c r="BU91" s="527">
        <f t="shared" si="136"/>
        <v>-2041.61662363246</v>
      </c>
      <c r="BV91" s="527">
        <f t="shared" si="136"/>
        <v>-2041.61662363246</v>
      </c>
      <c r="BW91" s="527">
        <f t="shared" si="136"/>
        <v>-2041.61662363246</v>
      </c>
      <c r="BX91" s="527">
        <f t="shared" si="136"/>
        <v>-2041.61662363246</v>
      </c>
      <c r="BY91" s="527">
        <f t="shared" si="136"/>
        <v>-2041.61662363246</v>
      </c>
      <c r="BZ91" s="537"/>
      <c r="CA91" s="537"/>
      <c r="CB91" s="574"/>
    </row>
    <row r="92" spans="1:80" x14ac:dyDescent="0.3">
      <c r="A92" s="551"/>
      <c r="B92" s="548"/>
      <c r="C92" s="525"/>
      <c r="D92" s="525"/>
      <c r="E92" s="572" t="s">
        <v>390</v>
      </c>
      <c r="F92" s="573"/>
      <c r="G92" s="573"/>
      <c r="H92" s="573"/>
      <c r="I92" s="530">
        <f t="shared" si="125"/>
        <v>47439.715520137979</v>
      </c>
      <c r="J92" s="530">
        <f t="shared" si="125"/>
        <v>50818.32311653348</v>
      </c>
      <c r="K92" s="530">
        <f t="shared" si="125"/>
        <v>54774.70153464967</v>
      </c>
      <c r="L92" s="530">
        <f t="shared" si="125"/>
        <v>58838.238176099367</v>
      </c>
      <c r="M92" s="530">
        <f t="shared" si="125"/>
        <v>63049.12476930143</v>
      </c>
      <c r="N92" s="530">
        <f t="shared" si="125"/>
        <v>67531.97251729446</v>
      </c>
      <c r="O92" s="536"/>
      <c r="P92" s="568">
        <f t="shared" si="126"/>
        <v>7.3182227260344623E-2</v>
      </c>
      <c r="Q92" s="537"/>
      <c r="R92" s="530">
        <f t="shared" ref="R92:AW92" si="137">R27/R$82</f>
        <v>4181.0039140641557</v>
      </c>
      <c r="S92" s="530">
        <f t="shared" si="137"/>
        <v>4181.0039140641557</v>
      </c>
      <c r="T92" s="530">
        <f t="shared" si="137"/>
        <v>4181.0039140641557</v>
      </c>
      <c r="U92" s="530">
        <f t="shared" si="137"/>
        <v>4181.0039140641557</v>
      </c>
      <c r="V92" s="530">
        <f t="shared" si="137"/>
        <v>4181.0039140641557</v>
      </c>
      <c r="W92" s="530">
        <f t="shared" si="137"/>
        <v>4181.0039140641557</v>
      </c>
      <c r="X92" s="530">
        <f t="shared" si="137"/>
        <v>4288.7166053580904</v>
      </c>
      <c r="Y92" s="530">
        <f t="shared" si="137"/>
        <v>4288.7166053580904</v>
      </c>
      <c r="Z92" s="530">
        <f t="shared" si="137"/>
        <v>4288.7166053580904</v>
      </c>
      <c r="AA92" s="530">
        <f t="shared" si="137"/>
        <v>4288.7166053580904</v>
      </c>
      <c r="AB92" s="530">
        <f t="shared" si="137"/>
        <v>4288.7166053580904</v>
      </c>
      <c r="AC92" s="530">
        <f t="shared" si="137"/>
        <v>4288.7166053580904</v>
      </c>
      <c r="AD92" s="530">
        <f t="shared" si="137"/>
        <v>4495.2315901796946</v>
      </c>
      <c r="AE92" s="530">
        <f t="shared" si="137"/>
        <v>4495.2315901796946</v>
      </c>
      <c r="AF92" s="530">
        <f t="shared" si="137"/>
        <v>4495.2315901796946</v>
      </c>
      <c r="AG92" s="530">
        <f t="shared" si="137"/>
        <v>4495.2315901796946</v>
      </c>
      <c r="AH92" s="530">
        <f t="shared" si="137"/>
        <v>4495.2315901796946</v>
      </c>
      <c r="AI92" s="530">
        <f t="shared" si="137"/>
        <v>4495.2315901796946</v>
      </c>
      <c r="AJ92" s="530">
        <f t="shared" si="137"/>
        <v>4633.8853322619179</v>
      </c>
      <c r="AK92" s="530">
        <f t="shared" si="137"/>
        <v>4633.8853322619179</v>
      </c>
      <c r="AL92" s="530">
        <f t="shared" si="137"/>
        <v>4633.8853322619179</v>
      </c>
      <c r="AM92" s="530">
        <f t="shared" si="137"/>
        <v>4633.8853322619179</v>
      </c>
      <c r="AN92" s="530">
        <f t="shared" si="137"/>
        <v>4633.8853322619179</v>
      </c>
      <c r="AO92" s="530">
        <f t="shared" si="137"/>
        <v>4633.8853322619179</v>
      </c>
      <c r="AP92" s="530">
        <f t="shared" si="137"/>
        <v>4817.2821664124604</v>
      </c>
      <c r="AQ92" s="530">
        <f t="shared" si="137"/>
        <v>4817.2821664124604</v>
      </c>
      <c r="AR92" s="530">
        <f t="shared" si="137"/>
        <v>4817.2821664124604</v>
      </c>
      <c r="AS92" s="530">
        <f t="shared" si="137"/>
        <v>4817.2821664124604</v>
      </c>
      <c r="AT92" s="530">
        <f t="shared" si="137"/>
        <v>4817.2821664124604</v>
      </c>
      <c r="AU92" s="530">
        <f t="shared" si="137"/>
        <v>4817.2821664124604</v>
      </c>
      <c r="AV92" s="530">
        <f t="shared" si="137"/>
        <v>4989.0908629374335</v>
      </c>
      <c r="AW92" s="530">
        <f t="shared" si="137"/>
        <v>4989.0908629374335</v>
      </c>
      <c r="AX92" s="530">
        <f t="shared" ref="AX92:BY92" si="138">AX27/AX$82</f>
        <v>4989.0908629374335</v>
      </c>
      <c r="AY92" s="530">
        <f t="shared" si="138"/>
        <v>4989.0908629374335</v>
      </c>
      <c r="AZ92" s="530">
        <f t="shared" si="138"/>
        <v>4989.0908629374335</v>
      </c>
      <c r="BA92" s="530">
        <f t="shared" si="138"/>
        <v>4989.0908629374335</v>
      </c>
      <c r="BB92" s="530">
        <f t="shared" si="138"/>
        <v>5150.4882714259356</v>
      </c>
      <c r="BC92" s="530">
        <f t="shared" si="138"/>
        <v>5150.4882714259356</v>
      </c>
      <c r="BD92" s="530">
        <f t="shared" si="138"/>
        <v>5150.4882714259356</v>
      </c>
      <c r="BE92" s="530">
        <f t="shared" si="138"/>
        <v>5150.4882714259356</v>
      </c>
      <c r="BF92" s="530">
        <f t="shared" si="138"/>
        <v>5150.4882714259356</v>
      </c>
      <c r="BG92" s="530">
        <f t="shared" si="138"/>
        <v>5150.4882714259356</v>
      </c>
      <c r="BH92" s="530">
        <f t="shared" si="138"/>
        <v>5357.6991901243</v>
      </c>
      <c r="BI92" s="530">
        <f t="shared" si="138"/>
        <v>5357.6991901243</v>
      </c>
      <c r="BJ92" s="530">
        <f t="shared" si="138"/>
        <v>5357.6991901243</v>
      </c>
      <c r="BK92" s="530">
        <f t="shared" si="138"/>
        <v>5357.6991901243</v>
      </c>
      <c r="BL92" s="530">
        <f t="shared" si="138"/>
        <v>5357.6991901243</v>
      </c>
      <c r="BM92" s="530">
        <f t="shared" si="138"/>
        <v>5357.6991901243</v>
      </c>
      <c r="BN92" s="530">
        <f t="shared" si="138"/>
        <v>5505.1711464515884</v>
      </c>
      <c r="BO92" s="530">
        <f t="shared" si="138"/>
        <v>5505.1711464515884</v>
      </c>
      <c r="BP92" s="530">
        <f t="shared" si="138"/>
        <v>5505.1711464515884</v>
      </c>
      <c r="BQ92" s="530">
        <f t="shared" si="138"/>
        <v>5505.1711464515884</v>
      </c>
      <c r="BR92" s="530">
        <f t="shared" si="138"/>
        <v>5505.1711464515884</v>
      </c>
      <c r="BS92" s="530">
        <f t="shared" si="138"/>
        <v>5505.1711464515884</v>
      </c>
      <c r="BT92" s="530">
        <f t="shared" si="138"/>
        <v>5750.1576064308247</v>
      </c>
      <c r="BU92" s="530">
        <f t="shared" si="138"/>
        <v>5750.1576064308247</v>
      </c>
      <c r="BV92" s="530">
        <f t="shared" si="138"/>
        <v>5750.1576064308247</v>
      </c>
      <c r="BW92" s="530">
        <f t="shared" si="138"/>
        <v>5750.1576064308247</v>
      </c>
      <c r="BX92" s="530">
        <f t="shared" si="138"/>
        <v>5750.1576064308247</v>
      </c>
      <c r="BY92" s="530">
        <f t="shared" si="138"/>
        <v>5750.1576064308247</v>
      </c>
      <c r="BZ92" s="537"/>
      <c r="CA92" s="537"/>
      <c r="CB92" s="574"/>
    </row>
    <row r="93" spans="1:80" x14ac:dyDescent="0.3">
      <c r="A93" s="551"/>
      <c r="B93" s="548"/>
      <c r="C93" s="525"/>
      <c r="D93" s="525"/>
      <c r="E93" s="525" t="s">
        <v>175</v>
      </c>
      <c r="F93" s="575"/>
      <c r="G93" s="575"/>
      <c r="H93" s="575"/>
      <c r="I93" s="531">
        <f t="shared" ref="I93:N93" si="139">IFERROR(I92/I87,0)</f>
        <v>0.44289007449963419</v>
      </c>
      <c r="J93" s="531">
        <f t="shared" si="139"/>
        <v>0.45145195921938069</v>
      </c>
      <c r="K93" s="531">
        <f t="shared" si="139"/>
        <v>0.45944394618768636</v>
      </c>
      <c r="L93" s="531">
        <f t="shared" si="139"/>
        <v>0.46682422196432488</v>
      </c>
      <c r="M93" s="531">
        <f t="shared" si="139"/>
        <v>0.473579320858523</v>
      </c>
      <c r="N93" s="531">
        <f t="shared" si="139"/>
        <v>0.48017523687425301</v>
      </c>
      <c r="O93" s="546"/>
      <c r="P93" s="564">
        <f t="shared" si="126"/>
        <v>1.6297277918175368E-2</v>
      </c>
      <c r="Q93" s="537"/>
      <c r="R93" s="531">
        <f t="shared" ref="R93:AW93" si="140">IFERROR(R92/R87,0)</f>
        <v>0.45145195921938075</v>
      </c>
      <c r="S93" s="531">
        <f t="shared" si="140"/>
        <v>0.45145195921938075</v>
      </c>
      <c r="T93" s="531">
        <f t="shared" si="140"/>
        <v>0.45145195921938075</v>
      </c>
      <c r="U93" s="531">
        <f t="shared" si="140"/>
        <v>0.45145195921938075</v>
      </c>
      <c r="V93" s="531">
        <f t="shared" si="140"/>
        <v>0.45145195921938075</v>
      </c>
      <c r="W93" s="531">
        <f t="shared" si="140"/>
        <v>0.45145195921938075</v>
      </c>
      <c r="X93" s="531">
        <f t="shared" si="140"/>
        <v>0.45145195921938081</v>
      </c>
      <c r="Y93" s="531">
        <f t="shared" si="140"/>
        <v>0.45145195921938081</v>
      </c>
      <c r="Z93" s="531">
        <f t="shared" si="140"/>
        <v>0.45145195921938081</v>
      </c>
      <c r="AA93" s="531">
        <f t="shared" si="140"/>
        <v>0.45145195921938081</v>
      </c>
      <c r="AB93" s="531">
        <f t="shared" si="140"/>
        <v>0.45145195921938081</v>
      </c>
      <c r="AC93" s="531">
        <f t="shared" si="140"/>
        <v>0.45145195921938081</v>
      </c>
      <c r="AD93" s="531">
        <f t="shared" si="140"/>
        <v>0.45944394618768647</v>
      </c>
      <c r="AE93" s="531">
        <f t="shared" si="140"/>
        <v>0.45944394618768647</v>
      </c>
      <c r="AF93" s="531">
        <f t="shared" si="140"/>
        <v>0.45944394618768647</v>
      </c>
      <c r="AG93" s="531">
        <f t="shared" si="140"/>
        <v>0.45944394618768647</v>
      </c>
      <c r="AH93" s="531">
        <f t="shared" si="140"/>
        <v>0.45944394618768647</v>
      </c>
      <c r="AI93" s="531">
        <f t="shared" si="140"/>
        <v>0.45944394618768647</v>
      </c>
      <c r="AJ93" s="531">
        <f t="shared" si="140"/>
        <v>0.45944394618768641</v>
      </c>
      <c r="AK93" s="531">
        <f t="shared" si="140"/>
        <v>0.45944394618768641</v>
      </c>
      <c r="AL93" s="531">
        <f t="shared" si="140"/>
        <v>0.45944394618768641</v>
      </c>
      <c r="AM93" s="531">
        <f t="shared" si="140"/>
        <v>0.45944394618768641</v>
      </c>
      <c r="AN93" s="531">
        <f t="shared" si="140"/>
        <v>0.45944394618768641</v>
      </c>
      <c r="AO93" s="531">
        <f t="shared" si="140"/>
        <v>0.45944394618768641</v>
      </c>
      <c r="AP93" s="531">
        <f t="shared" si="140"/>
        <v>0.46682422196432505</v>
      </c>
      <c r="AQ93" s="531">
        <f t="shared" si="140"/>
        <v>0.46682422196432505</v>
      </c>
      <c r="AR93" s="531">
        <f t="shared" si="140"/>
        <v>0.46682422196432505</v>
      </c>
      <c r="AS93" s="531">
        <f t="shared" si="140"/>
        <v>0.46682422196432505</v>
      </c>
      <c r="AT93" s="531">
        <f t="shared" si="140"/>
        <v>0.46682422196432505</v>
      </c>
      <c r="AU93" s="531">
        <f t="shared" si="140"/>
        <v>0.46682422196432505</v>
      </c>
      <c r="AV93" s="531">
        <f t="shared" si="140"/>
        <v>0.46682422196432499</v>
      </c>
      <c r="AW93" s="531">
        <f t="shared" si="140"/>
        <v>0.46682422196432499</v>
      </c>
      <c r="AX93" s="531">
        <f t="shared" ref="AX93:BY93" si="141">IFERROR(AX92/AX87,0)</f>
        <v>0.46682422196432499</v>
      </c>
      <c r="AY93" s="531">
        <f t="shared" si="141"/>
        <v>0.46682422196432499</v>
      </c>
      <c r="AZ93" s="531">
        <f t="shared" si="141"/>
        <v>0.46682422196432499</v>
      </c>
      <c r="BA93" s="531">
        <f t="shared" si="141"/>
        <v>0.46682422196432499</v>
      </c>
      <c r="BB93" s="531">
        <f t="shared" si="141"/>
        <v>0.47357932085852278</v>
      </c>
      <c r="BC93" s="531">
        <f t="shared" si="141"/>
        <v>0.47357932085852278</v>
      </c>
      <c r="BD93" s="531">
        <f t="shared" si="141"/>
        <v>0.47357932085852278</v>
      </c>
      <c r="BE93" s="531">
        <f t="shared" si="141"/>
        <v>0.47357932085852278</v>
      </c>
      <c r="BF93" s="531">
        <f t="shared" si="141"/>
        <v>0.47357932085852278</v>
      </c>
      <c r="BG93" s="531">
        <f t="shared" si="141"/>
        <v>0.47357932085852278</v>
      </c>
      <c r="BH93" s="531">
        <f t="shared" si="141"/>
        <v>0.47357932085852283</v>
      </c>
      <c r="BI93" s="531">
        <f t="shared" si="141"/>
        <v>0.47357932085852283</v>
      </c>
      <c r="BJ93" s="531">
        <f t="shared" si="141"/>
        <v>0.47357932085852283</v>
      </c>
      <c r="BK93" s="531">
        <f t="shared" si="141"/>
        <v>0.47357932085852283</v>
      </c>
      <c r="BL93" s="531">
        <f t="shared" si="141"/>
        <v>0.47357932085852283</v>
      </c>
      <c r="BM93" s="531">
        <f t="shared" si="141"/>
        <v>0.47357932085852283</v>
      </c>
      <c r="BN93" s="531">
        <f t="shared" si="141"/>
        <v>0.48017523687425329</v>
      </c>
      <c r="BO93" s="531">
        <f t="shared" si="141"/>
        <v>0.48017523687425329</v>
      </c>
      <c r="BP93" s="531">
        <f t="shared" si="141"/>
        <v>0.48017523687425329</v>
      </c>
      <c r="BQ93" s="531">
        <f t="shared" si="141"/>
        <v>0.48017523687425329</v>
      </c>
      <c r="BR93" s="531">
        <f t="shared" si="141"/>
        <v>0.48017523687425329</v>
      </c>
      <c r="BS93" s="531">
        <f t="shared" si="141"/>
        <v>0.48017523687425329</v>
      </c>
      <c r="BT93" s="531">
        <f t="shared" si="141"/>
        <v>0.48017523687425318</v>
      </c>
      <c r="BU93" s="531">
        <f t="shared" si="141"/>
        <v>0.48017523687425318</v>
      </c>
      <c r="BV93" s="531">
        <f t="shared" si="141"/>
        <v>0.48017523687425318</v>
      </c>
      <c r="BW93" s="531">
        <f t="shared" si="141"/>
        <v>0.48017523687425318</v>
      </c>
      <c r="BX93" s="531">
        <f t="shared" si="141"/>
        <v>0.48017523687425318</v>
      </c>
      <c r="BY93" s="531">
        <f t="shared" si="141"/>
        <v>0.48017523687425318</v>
      </c>
      <c r="BZ93" s="537"/>
      <c r="CA93" s="537"/>
      <c r="CB93" s="537"/>
    </row>
    <row r="94" spans="1:80" x14ac:dyDescent="0.3">
      <c r="A94" s="551"/>
      <c r="B94" s="548"/>
      <c r="C94" s="525"/>
      <c r="D94" s="525"/>
      <c r="E94" s="525"/>
      <c r="F94" s="575"/>
      <c r="G94" s="575"/>
      <c r="H94" s="575"/>
      <c r="I94" s="529"/>
      <c r="J94" s="529"/>
      <c r="K94" s="529"/>
      <c r="L94" s="529"/>
      <c r="M94" s="529"/>
      <c r="N94" s="529"/>
      <c r="O94" s="529"/>
      <c r="P94" s="562"/>
      <c r="Q94" s="537"/>
      <c r="R94" s="529"/>
      <c r="S94" s="529"/>
      <c r="T94" s="529"/>
      <c r="U94" s="529"/>
      <c r="V94" s="529"/>
      <c r="W94" s="529"/>
      <c r="X94" s="529"/>
      <c r="Y94" s="529"/>
      <c r="Z94" s="529"/>
      <c r="AA94" s="529"/>
      <c r="AB94" s="529"/>
      <c r="AC94" s="529"/>
      <c r="AD94" s="529"/>
      <c r="AE94" s="529"/>
      <c r="AF94" s="529"/>
      <c r="AG94" s="529"/>
      <c r="AH94" s="529"/>
      <c r="AI94" s="529"/>
      <c r="AJ94" s="529"/>
      <c r="AK94" s="529"/>
      <c r="AL94" s="529"/>
      <c r="AM94" s="529"/>
      <c r="AN94" s="529"/>
      <c r="AO94" s="529"/>
      <c r="AP94" s="529"/>
      <c r="AQ94" s="529"/>
      <c r="AR94" s="529"/>
      <c r="AS94" s="529"/>
      <c r="AT94" s="529"/>
      <c r="AU94" s="529"/>
      <c r="AV94" s="529"/>
      <c r="AW94" s="529"/>
      <c r="AX94" s="529"/>
      <c r="AY94" s="529"/>
      <c r="AZ94" s="529"/>
      <c r="BA94" s="529"/>
      <c r="BB94" s="529"/>
      <c r="BC94" s="529"/>
      <c r="BD94" s="529"/>
      <c r="BE94" s="529"/>
      <c r="BF94" s="529"/>
      <c r="BG94" s="529"/>
      <c r="BH94" s="529"/>
      <c r="BI94" s="529"/>
      <c r="BJ94" s="529"/>
      <c r="BK94" s="529"/>
      <c r="BL94" s="529"/>
      <c r="BM94" s="529"/>
      <c r="BN94" s="529"/>
      <c r="BO94" s="529"/>
      <c r="BP94" s="529"/>
      <c r="BQ94" s="529"/>
      <c r="BR94" s="529"/>
      <c r="BS94" s="529"/>
      <c r="BT94" s="529"/>
      <c r="BU94" s="529"/>
      <c r="BV94" s="529"/>
      <c r="BW94" s="529"/>
      <c r="BX94" s="529"/>
      <c r="BY94" s="529"/>
      <c r="BZ94" s="537"/>
      <c r="CA94" s="537"/>
      <c r="CB94" s="537"/>
    </row>
    <row r="95" spans="1:80" x14ac:dyDescent="0.3">
      <c r="A95" s="551"/>
      <c r="B95" s="548"/>
      <c r="C95" s="525"/>
      <c r="D95" s="525"/>
      <c r="E95" s="570" t="s">
        <v>23</v>
      </c>
      <c r="F95" s="529"/>
      <c r="G95" s="529"/>
      <c r="H95" s="529"/>
      <c r="I95" s="529"/>
      <c r="J95" s="529"/>
      <c r="K95" s="529"/>
      <c r="L95" s="529"/>
      <c r="M95" s="529"/>
      <c r="N95" s="529"/>
      <c r="O95" s="529"/>
      <c r="P95" s="562"/>
      <c r="Q95" s="537"/>
      <c r="R95" s="529"/>
      <c r="S95" s="529"/>
      <c r="T95" s="529"/>
      <c r="U95" s="529"/>
      <c r="V95" s="529"/>
      <c r="W95" s="529"/>
      <c r="X95" s="529"/>
      <c r="Y95" s="529"/>
      <c r="Z95" s="529"/>
      <c r="AA95" s="529"/>
      <c r="AB95" s="529"/>
      <c r="AC95" s="529"/>
      <c r="AD95" s="529"/>
      <c r="AE95" s="529"/>
      <c r="AF95" s="529"/>
      <c r="AG95" s="529"/>
      <c r="AH95" s="529"/>
      <c r="AI95" s="529"/>
      <c r="AJ95" s="529"/>
      <c r="AK95" s="529"/>
      <c r="AL95" s="529"/>
      <c r="AM95" s="529"/>
      <c r="AN95" s="529"/>
      <c r="AO95" s="529"/>
      <c r="AP95" s="529"/>
      <c r="AQ95" s="529"/>
      <c r="AR95" s="529"/>
      <c r="AS95" s="529"/>
      <c r="AT95" s="529"/>
      <c r="AU95" s="529"/>
      <c r="AV95" s="529"/>
      <c r="AW95" s="529"/>
      <c r="AX95" s="529"/>
      <c r="AY95" s="529"/>
      <c r="AZ95" s="529"/>
      <c r="BA95" s="529"/>
      <c r="BB95" s="529"/>
      <c r="BC95" s="529"/>
      <c r="BD95" s="529"/>
      <c r="BE95" s="529"/>
      <c r="BF95" s="529"/>
      <c r="BG95" s="529"/>
      <c r="BH95" s="529"/>
      <c r="BI95" s="529"/>
      <c r="BJ95" s="529"/>
      <c r="BK95" s="529"/>
      <c r="BL95" s="529"/>
      <c r="BM95" s="529"/>
      <c r="BN95" s="529"/>
      <c r="BO95" s="529"/>
      <c r="BP95" s="529"/>
      <c r="BQ95" s="529"/>
      <c r="BR95" s="529"/>
      <c r="BS95" s="529"/>
      <c r="BT95" s="529"/>
      <c r="BU95" s="529"/>
      <c r="BV95" s="529"/>
      <c r="BW95" s="529"/>
      <c r="BX95" s="529"/>
      <c r="BY95" s="529"/>
      <c r="BZ95" s="537"/>
      <c r="CA95" s="537"/>
      <c r="CB95" s="537"/>
    </row>
    <row r="96" spans="1:80" x14ac:dyDescent="0.3">
      <c r="A96" s="551"/>
      <c r="B96" s="548"/>
      <c r="C96" s="525"/>
      <c r="D96" s="525"/>
      <c r="E96" s="572" t="s">
        <v>391</v>
      </c>
      <c r="F96" s="573"/>
      <c r="G96" s="573"/>
      <c r="H96" s="573"/>
      <c r="I96" s="530">
        <f t="shared" ref="I96:N101" si="142">I31/I$82</f>
        <v>9736.187869755664</v>
      </c>
      <c r="J96" s="530">
        <f t="shared" si="142"/>
        <v>9861.601648354037</v>
      </c>
      <c r="K96" s="530">
        <f t="shared" si="142"/>
        <v>10076.424571995876</v>
      </c>
      <c r="L96" s="530">
        <f t="shared" si="142"/>
        <v>10289.701301817649</v>
      </c>
      <c r="M96" s="530">
        <f t="shared" si="142"/>
        <v>10512.294176895623</v>
      </c>
      <c r="N96" s="530">
        <f t="shared" si="142"/>
        <v>10740.611033302299</v>
      </c>
      <c r="O96" s="536"/>
      <c r="P96" s="568">
        <f t="shared" ref="P96:P102" si="143">IFERROR(((N96/I96)^(1/5))-1,0)</f>
        <v>1.9830529311995804E-2</v>
      </c>
      <c r="Q96" s="537"/>
      <c r="R96" s="530">
        <f t="shared" ref="R96:AW96" si="144">R31/R$82</f>
        <v>811.34898914630537</v>
      </c>
      <c r="S96" s="530">
        <f t="shared" si="144"/>
        <v>811.34898914630537</v>
      </c>
      <c r="T96" s="530">
        <f t="shared" si="144"/>
        <v>811.34898914630537</v>
      </c>
      <c r="U96" s="530">
        <f t="shared" si="144"/>
        <v>811.34898914630537</v>
      </c>
      <c r="V96" s="530">
        <f t="shared" si="144"/>
        <v>811.34898914630537</v>
      </c>
      <c r="W96" s="530">
        <f t="shared" si="144"/>
        <v>811.34898914630537</v>
      </c>
      <c r="X96" s="530">
        <f t="shared" si="144"/>
        <v>832.2512855793675</v>
      </c>
      <c r="Y96" s="530">
        <f t="shared" si="144"/>
        <v>832.2512855793675</v>
      </c>
      <c r="Z96" s="530">
        <f t="shared" si="144"/>
        <v>832.2512855793675</v>
      </c>
      <c r="AA96" s="530">
        <f t="shared" si="144"/>
        <v>832.2512855793675</v>
      </c>
      <c r="AB96" s="530">
        <f t="shared" si="144"/>
        <v>832.2512855793675</v>
      </c>
      <c r="AC96" s="530">
        <f t="shared" si="144"/>
        <v>832.2512855793675</v>
      </c>
      <c r="AD96" s="530">
        <f t="shared" si="144"/>
        <v>826.948587267888</v>
      </c>
      <c r="AE96" s="530">
        <f t="shared" si="144"/>
        <v>826.948587267888</v>
      </c>
      <c r="AF96" s="530">
        <f t="shared" si="144"/>
        <v>826.948587267888</v>
      </c>
      <c r="AG96" s="530">
        <f t="shared" si="144"/>
        <v>826.948587267888</v>
      </c>
      <c r="AH96" s="530">
        <f t="shared" si="144"/>
        <v>826.948587267888</v>
      </c>
      <c r="AI96" s="530">
        <f t="shared" si="144"/>
        <v>826.948587267888</v>
      </c>
      <c r="AJ96" s="530">
        <f t="shared" si="144"/>
        <v>852.45550806475808</v>
      </c>
      <c r="AK96" s="530">
        <f t="shared" si="144"/>
        <v>852.45550806475808</v>
      </c>
      <c r="AL96" s="530">
        <f t="shared" si="144"/>
        <v>852.45550806475808</v>
      </c>
      <c r="AM96" s="530">
        <f t="shared" si="144"/>
        <v>852.45550806475808</v>
      </c>
      <c r="AN96" s="530">
        <f t="shared" si="144"/>
        <v>852.45550806475808</v>
      </c>
      <c r="AO96" s="530">
        <f t="shared" si="144"/>
        <v>852.45550806475808</v>
      </c>
      <c r="AP96" s="530">
        <f t="shared" si="144"/>
        <v>842.45205355405051</v>
      </c>
      <c r="AQ96" s="530">
        <f t="shared" si="144"/>
        <v>842.45205355405051</v>
      </c>
      <c r="AR96" s="530">
        <f t="shared" si="144"/>
        <v>842.45205355405051</v>
      </c>
      <c r="AS96" s="530">
        <f t="shared" si="144"/>
        <v>842.45205355405051</v>
      </c>
      <c r="AT96" s="530">
        <f t="shared" si="144"/>
        <v>842.45205355405051</v>
      </c>
      <c r="AU96" s="530">
        <f t="shared" si="144"/>
        <v>842.45205355405051</v>
      </c>
      <c r="AV96" s="530">
        <f t="shared" si="144"/>
        <v>872.49816341555777</v>
      </c>
      <c r="AW96" s="530">
        <f t="shared" si="144"/>
        <v>872.49816341555777</v>
      </c>
      <c r="AX96" s="530">
        <f t="shared" ref="AX96:BY96" si="145">AX31/AX$82</f>
        <v>872.49816341555777</v>
      </c>
      <c r="AY96" s="530">
        <f t="shared" si="145"/>
        <v>872.49816341555777</v>
      </c>
      <c r="AZ96" s="530">
        <f t="shared" si="145"/>
        <v>872.49816341555777</v>
      </c>
      <c r="BA96" s="530">
        <f t="shared" si="145"/>
        <v>872.49816341555777</v>
      </c>
      <c r="BB96" s="530">
        <f t="shared" si="145"/>
        <v>858.75018982408596</v>
      </c>
      <c r="BC96" s="530">
        <f t="shared" si="145"/>
        <v>858.75018982408596</v>
      </c>
      <c r="BD96" s="530">
        <f t="shared" si="145"/>
        <v>858.75018982408596</v>
      </c>
      <c r="BE96" s="530">
        <f t="shared" si="145"/>
        <v>858.75018982408596</v>
      </c>
      <c r="BF96" s="530">
        <f t="shared" si="145"/>
        <v>858.75018982408596</v>
      </c>
      <c r="BG96" s="530">
        <f t="shared" si="145"/>
        <v>858.75018982408596</v>
      </c>
      <c r="BH96" s="530">
        <f t="shared" si="145"/>
        <v>893.29883965851775</v>
      </c>
      <c r="BI96" s="530">
        <f t="shared" si="145"/>
        <v>893.29883965851775</v>
      </c>
      <c r="BJ96" s="530">
        <f t="shared" si="145"/>
        <v>893.29883965851775</v>
      </c>
      <c r="BK96" s="530">
        <f t="shared" si="145"/>
        <v>893.29883965851775</v>
      </c>
      <c r="BL96" s="530">
        <f t="shared" si="145"/>
        <v>893.29883965851775</v>
      </c>
      <c r="BM96" s="530">
        <f t="shared" si="145"/>
        <v>893.29883965851775</v>
      </c>
      <c r="BN96" s="530">
        <f t="shared" si="145"/>
        <v>875.56900460227007</v>
      </c>
      <c r="BO96" s="530">
        <f t="shared" si="145"/>
        <v>875.56900460227007</v>
      </c>
      <c r="BP96" s="530">
        <f t="shared" si="145"/>
        <v>875.56900460227007</v>
      </c>
      <c r="BQ96" s="530">
        <f t="shared" si="145"/>
        <v>875.56900460227007</v>
      </c>
      <c r="BR96" s="530">
        <f t="shared" si="145"/>
        <v>875.56900460227007</v>
      </c>
      <c r="BS96" s="530">
        <f t="shared" si="145"/>
        <v>875.56900460227007</v>
      </c>
      <c r="BT96" s="530">
        <f t="shared" si="145"/>
        <v>914.53283428144653</v>
      </c>
      <c r="BU96" s="530">
        <f t="shared" si="145"/>
        <v>914.53283428144653</v>
      </c>
      <c r="BV96" s="530">
        <f t="shared" si="145"/>
        <v>914.53283428144653</v>
      </c>
      <c r="BW96" s="530">
        <f t="shared" si="145"/>
        <v>914.53283428144653</v>
      </c>
      <c r="BX96" s="530">
        <f t="shared" si="145"/>
        <v>914.53283428144653</v>
      </c>
      <c r="BY96" s="530">
        <f t="shared" si="145"/>
        <v>914.53283428144653</v>
      </c>
      <c r="BZ96" s="537"/>
      <c r="CA96" s="537"/>
      <c r="CB96" s="574"/>
    </row>
    <row r="97" spans="1:80" x14ac:dyDescent="0.3">
      <c r="A97" s="551"/>
      <c r="B97" s="548"/>
      <c r="C97" s="525"/>
      <c r="D97" s="525"/>
      <c r="E97" s="525" t="s">
        <v>392</v>
      </c>
      <c r="F97" s="567"/>
      <c r="G97" s="567"/>
      <c r="H97" s="567"/>
      <c r="I97" s="527">
        <f t="shared" si="142"/>
        <v>-4971.1788621782862</v>
      </c>
      <c r="J97" s="527">
        <f t="shared" si="142"/>
        <v>-5035.2136089944224</v>
      </c>
      <c r="K97" s="527">
        <f t="shared" si="142"/>
        <v>-5144.89957555604</v>
      </c>
      <c r="L97" s="527">
        <f t="shared" si="142"/>
        <v>-5253.7960743980566</v>
      </c>
      <c r="M97" s="527">
        <f t="shared" si="142"/>
        <v>-5367.4492834632265</v>
      </c>
      <c r="N97" s="527">
        <f t="shared" si="142"/>
        <v>-5484.0250876312648</v>
      </c>
      <c r="O97" s="529"/>
      <c r="P97" s="564">
        <f t="shared" si="143"/>
        <v>1.9830529311995804E-2</v>
      </c>
      <c r="Q97" s="537"/>
      <c r="R97" s="527">
        <f t="shared" ref="R97:AW97" si="146">R32/R$82</f>
        <v>-414.26490518152377</v>
      </c>
      <c r="S97" s="527">
        <f t="shared" si="146"/>
        <v>-414.26490518152377</v>
      </c>
      <c r="T97" s="527">
        <f t="shared" si="146"/>
        <v>-414.26490518152377</v>
      </c>
      <c r="U97" s="527">
        <f t="shared" si="146"/>
        <v>-414.26490518152377</v>
      </c>
      <c r="V97" s="527">
        <f t="shared" si="146"/>
        <v>-414.26490518152377</v>
      </c>
      <c r="W97" s="527">
        <f t="shared" si="146"/>
        <v>-414.26490518152377</v>
      </c>
      <c r="X97" s="527">
        <f t="shared" si="146"/>
        <v>-424.93736298421305</v>
      </c>
      <c r="Y97" s="527">
        <f t="shared" si="146"/>
        <v>-424.93736298421305</v>
      </c>
      <c r="Z97" s="527">
        <f t="shared" si="146"/>
        <v>-424.93736298421305</v>
      </c>
      <c r="AA97" s="527">
        <f t="shared" si="146"/>
        <v>-424.93736298421305</v>
      </c>
      <c r="AB97" s="527">
        <f t="shared" si="146"/>
        <v>-424.93736298421305</v>
      </c>
      <c r="AC97" s="527">
        <f t="shared" si="146"/>
        <v>-424.93736298421305</v>
      </c>
      <c r="AD97" s="527">
        <f t="shared" si="146"/>
        <v>-422.22986985536522</v>
      </c>
      <c r="AE97" s="527">
        <f t="shared" si="146"/>
        <v>-422.22986985536522</v>
      </c>
      <c r="AF97" s="527">
        <f t="shared" si="146"/>
        <v>-422.22986985536522</v>
      </c>
      <c r="AG97" s="527">
        <f t="shared" si="146"/>
        <v>-422.22986985536522</v>
      </c>
      <c r="AH97" s="527">
        <f t="shared" si="146"/>
        <v>-422.22986985536522</v>
      </c>
      <c r="AI97" s="527">
        <f t="shared" si="146"/>
        <v>-422.22986985536522</v>
      </c>
      <c r="AJ97" s="527">
        <f t="shared" si="146"/>
        <v>-435.25339273730793</v>
      </c>
      <c r="AK97" s="527">
        <f t="shared" si="146"/>
        <v>-435.25339273730793</v>
      </c>
      <c r="AL97" s="527">
        <f t="shared" si="146"/>
        <v>-435.25339273730793</v>
      </c>
      <c r="AM97" s="527">
        <f t="shared" si="146"/>
        <v>-435.25339273730793</v>
      </c>
      <c r="AN97" s="527">
        <f t="shared" si="146"/>
        <v>-435.25339273730793</v>
      </c>
      <c r="AO97" s="527">
        <f t="shared" si="146"/>
        <v>-435.25339273730793</v>
      </c>
      <c r="AP97" s="527">
        <f t="shared" si="146"/>
        <v>-430.14575078569067</v>
      </c>
      <c r="AQ97" s="527">
        <f t="shared" si="146"/>
        <v>-430.14575078569067</v>
      </c>
      <c r="AR97" s="527">
        <f t="shared" si="146"/>
        <v>-430.14575078569067</v>
      </c>
      <c r="AS97" s="527">
        <f t="shared" si="146"/>
        <v>-430.14575078569067</v>
      </c>
      <c r="AT97" s="527">
        <f t="shared" si="146"/>
        <v>-430.14575078569067</v>
      </c>
      <c r="AU97" s="527">
        <f t="shared" si="146"/>
        <v>-430.14575078569067</v>
      </c>
      <c r="AV97" s="527">
        <f t="shared" si="146"/>
        <v>-445.48692828065197</v>
      </c>
      <c r="AW97" s="527">
        <f t="shared" si="146"/>
        <v>-445.48692828065197</v>
      </c>
      <c r="AX97" s="527">
        <f t="shared" ref="AX97:BY97" si="147">AX32/AX$82</f>
        <v>-445.48692828065197</v>
      </c>
      <c r="AY97" s="527">
        <f t="shared" si="147"/>
        <v>-445.48692828065197</v>
      </c>
      <c r="AZ97" s="527">
        <f t="shared" si="147"/>
        <v>-445.48692828065197</v>
      </c>
      <c r="BA97" s="527">
        <f t="shared" si="147"/>
        <v>-445.48692828065197</v>
      </c>
      <c r="BB97" s="527">
        <f t="shared" si="147"/>
        <v>-438.46738052438786</v>
      </c>
      <c r="BC97" s="527">
        <f t="shared" si="147"/>
        <v>-438.46738052438786</v>
      </c>
      <c r="BD97" s="527">
        <f t="shared" si="147"/>
        <v>-438.46738052438786</v>
      </c>
      <c r="BE97" s="527">
        <f t="shared" si="147"/>
        <v>-438.46738052438786</v>
      </c>
      <c r="BF97" s="527">
        <f t="shared" si="147"/>
        <v>-438.46738052438786</v>
      </c>
      <c r="BG97" s="527">
        <f t="shared" si="147"/>
        <v>-438.46738052438786</v>
      </c>
      <c r="BH97" s="527">
        <f t="shared" si="147"/>
        <v>-456.10750005281653</v>
      </c>
      <c r="BI97" s="527">
        <f t="shared" si="147"/>
        <v>-456.10750005281653</v>
      </c>
      <c r="BJ97" s="527">
        <f t="shared" si="147"/>
        <v>-456.10750005281653</v>
      </c>
      <c r="BK97" s="527">
        <f t="shared" si="147"/>
        <v>-456.10750005281653</v>
      </c>
      <c r="BL97" s="527">
        <f t="shared" si="147"/>
        <v>-456.10750005281653</v>
      </c>
      <c r="BM97" s="527">
        <f t="shared" si="147"/>
        <v>-456.10750005281653</v>
      </c>
      <c r="BN97" s="527">
        <f t="shared" si="147"/>
        <v>-447.05486236334497</v>
      </c>
      <c r="BO97" s="527">
        <f t="shared" si="147"/>
        <v>-447.05486236334497</v>
      </c>
      <c r="BP97" s="527">
        <f t="shared" si="147"/>
        <v>-447.05486236334497</v>
      </c>
      <c r="BQ97" s="527">
        <f t="shared" si="147"/>
        <v>-447.05486236334497</v>
      </c>
      <c r="BR97" s="527">
        <f t="shared" si="147"/>
        <v>-447.05486236334497</v>
      </c>
      <c r="BS97" s="527">
        <f t="shared" si="147"/>
        <v>-447.05486236334497</v>
      </c>
      <c r="BT97" s="527">
        <f t="shared" si="147"/>
        <v>-466.94931890853258</v>
      </c>
      <c r="BU97" s="527">
        <f t="shared" si="147"/>
        <v>-466.94931890853258</v>
      </c>
      <c r="BV97" s="527">
        <f t="shared" si="147"/>
        <v>-466.94931890853258</v>
      </c>
      <c r="BW97" s="527">
        <f t="shared" si="147"/>
        <v>-466.94931890853258</v>
      </c>
      <c r="BX97" s="527">
        <f t="shared" si="147"/>
        <v>-466.94931890853258</v>
      </c>
      <c r="BY97" s="527">
        <f t="shared" si="147"/>
        <v>-466.94931890853258</v>
      </c>
      <c r="BZ97" s="537"/>
      <c r="CA97" s="537"/>
      <c r="CB97" s="574"/>
    </row>
    <row r="98" spans="1:80" x14ac:dyDescent="0.3">
      <c r="A98" s="551"/>
      <c r="B98" s="548"/>
      <c r="C98" s="525"/>
      <c r="D98" s="525"/>
      <c r="E98" s="525" t="s">
        <v>393</v>
      </c>
      <c r="F98" s="567"/>
      <c r="G98" s="567"/>
      <c r="H98" s="567"/>
      <c r="I98" s="527">
        <f t="shared" si="142"/>
        <v>-680.11473990043044</v>
      </c>
      <c r="J98" s="527">
        <f t="shared" si="142"/>
        <v>-688.87543356743788</v>
      </c>
      <c r="K98" s="527">
        <f t="shared" si="142"/>
        <v>-703.88174186713422</v>
      </c>
      <c r="L98" s="527">
        <f t="shared" si="142"/>
        <v>-718.78004185579198</v>
      </c>
      <c r="M98" s="527">
        <f t="shared" si="142"/>
        <v>-734.32911479507004</v>
      </c>
      <c r="N98" s="527">
        <f t="shared" si="142"/>
        <v>-750.2780325323987</v>
      </c>
      <c r="O98" s="529"/>
      <c r="P98" s="564">
        <f t="shared" si="143"/>
        <v>1.9830529311995804E-2</v>
      </c>
      <c r="Q98" s="537"/>
      <c r="R98" s="527">
        <f t="shared" ref="R98:AW98" si="148">R33/R$82</f>
        <v>-56.676228325035872</v>
      </c>
      <c r="S98" s="527">
        <f t="shared" si="148"/>
        <v>-56.676228325035872</v>
      </c>
      <c r="T98" s="527">
        <f t="shared" si="148"/>
        <v>-56.676228325035872</v>
      </c>
      <c r="U98" s="527">
        <f t="shared" si="148"/>
        <v>-56.676228325035872</v>
      </c>
      <c r="V98" s="527">
        <f t="shared" si="148"/>
        <v>-56.676228325035872</v>
      </c>
      <c r="W98" s="527">
        <f t="shared" si="148"/>
        <v>-56.676228325035872</v>
      </c>
      <c r="X98" s="527">
        <f t="shared" si="148"/>
        <v>-58.136343936203758</v>
      </c>
      <c r="Y98" s="527">
        <f t="shared" si="148"/>
        <v>-58.136343936203758</v>
      </c>
      <c r="Z98" s="527">
        <f t="shared" si="148"/>
        <v>-58.136343936203758</v>
      </c>
      <c r="AA98" s="527">
        <f t="shared" si="148"/>
        <v>-58.136343936203758</v>
      </c>
      <c r="AB98" s="527">
        <f t="shared" si="148"/>
        <v>-58.136343936203758</v>
      </c>
      <c r="AC98" s="527">
        <f t="shared" si="148"/>
        <v>-58.136343936203758</v>
      </c>
      <c r="AD98" s="527">
        <f t="shared" si="148"/>
        <v>-57.765927574982413</v>
      </c>
      <c r="AE98" s="527">
        <f t="shared" si="148"/>
        <v>-57.765927574982413</v>
      </c>
      <c r="AF98" s="527">
        <f t="shared" si="148"/>
        <v>-57.765927574982413</v>
      </c>
      <c r="AG98" s="527">
        <f t="shared" si="148"/>
        <v>-57.765927574982413</v>
      </c>
      <c r="AH98" s="527">
        <f t="shared" si="148"/>
        <v>-57.765927574982413</v>
      </c>
      <c r="AI98" s="527">
        <f t="shared" si="148"/>
        <v>-57.765927574982413</v>
      </c>
      <c r="AJ98" s="527">
        <f t="shared" si="148"/>
        <v>-59.547696069539967</v>
      </c>
      <c r="AK98" s="527">
        <f t="shared" si="148"/>
        <v>-59.547696069539967</v>
      </c>
      <c r="AL98" s="527">
        <f t="shared" si="148"/>
        <v>-59.547696069539967</v>
      </c>
      <c r="AM98" s="527">
        <f t="shared" si="148"/>
        <v>-59.547696069539967</v>
      </c>
      <c r="AN98" s="527">
        <f t="shared" si="148"/>
        <v>-59.547696069539967</v>
      </c>
      <c r="AO98" s="527">
        <f t="shared" si="148"/>
        <v>-59.547696069539967</v>
      </c>
      <c r="AP98" s="527">
        <f t="shared" si="148"/>
        <v>-58.848911601361223</v>
      </c>
      <c r="AQ98" s="527">
        <f t="shared" si="148"/>
        <v>-58.848911601361223</v>
      </c>
      <c r="AR98" s="527">
        <f t="shared" si="148"/>
        <v>-58.848911601361223</v>
      </c>
      <c r="AS98" s="527">
        <f t="shared" si="148"/>
        <v>-58.848911601361223</v>
      </c>
      <c r="AT98" s="527">
        <f t="shared" si="148"/>
        <v>-58.848911601361223</v>
      </c>
      <c r="AU98" s="527">
        <f t="shared" si="148"/>
        <v>-58.848911601361223</v>
      </c>
      <c r="AV98" s="527">
        <f t="shared" si="148"/>
        <v>-60.947762041270778</v>
      </c>
      <c r="AW98" s="527">
        <f t="shared" si="148"/>
        <v>-60.947762041270778</v>
      </c>
      <c r="AX98" s="527">
        <f t="shared" ref="AX98:BY98" si="149">AX33/AX$82</f>
        <v>-60.947762041270778</v>
      </c>
      <c r="AY98" s="527">
        <f t="shared" si="149"/>
        <v>-60.947762041270778</v>
      </c>
      <c r="AZ98" s="527">
        <f t="shared" si="149"/>
        <v>-60.947762041270778</v>
      </c>
      <c r="BA98" s="527">
        <f t="shared" si="149"/>
        <v>-60.947762041270778</v>
      </c>
      <c r="BB98" s="527">
        <f t="shared" si="149"/>
        <v>-59.987406755567314</v>
      </c>
      <c r="BC98" s="527">
        <f t="shared" si="149"/>
        <v>-59.987406755567314</v>
      </c>
      <c r="BD98" s="527">
        <f t="shared" si="149"/>
        <v>-59.987406755567314</v>
      </c>
      <c r="BE98" s="527">
        <f t="shared" si="149"/>
        <v>-59.987406755567314</v>
      </c>
      <c r="BF98" s="527">
        <f t="shared" si="149"/>
        <v>-59.987406755567314</v>
      </c>
      <c r="BG98" s="527">
        <f t="shared" si="149"/>
        <v>-59.987406755567314</v>
      </c>
      <c r="BH98" s="527">
        <f t="shared" si="149"/>
        <v>-62.400779043611031</v>
      </c>
      <c r="BI98" s="527">
        <f t="shared" si="149"/>
        <v>-62.400779043611031</v>
      </c>
      <c r="BJ98" s="527">
        <f t="shared" si="149"/>
        <v>-62.400779043611031</v>
      </c>
      <c r="BK98" s="527">
        <f t="shared" si="149"/>
        <v>-62.400779043611031</v>
      </c>
      <c r="BL98" s="527">
        <f t="shared" si="149"/>
        <v>-62.400779043611031</v>
      </c>
      <c r="BM98" s="527">
        <f t="shared" si="149"/>
        <v>-62.400779043611031</v>
      </c>
      <c r="BN98" s="527">
        <f t="shared" si="149"/>
        <v>-61.162273550592012</v>
      </c>
      <c r="BO98" s="527">
        <f t="shared" si="149"/>
        <v>-61.162273550592012</v>
      </c>
      <c r="BP98" s="527">
        <f t="shared" si="149"/>
        <v>-61.162273550592012</v>
      </c>
      <c r="BQ98" s="527">
        <f t="shared" si="149"/>
        <v>-61.162273550592012</v>
      </c>
      <c r="BR98" s="527">
        <f t="shared" si="149"/>
        <v>-61.162273550592012</v>
      </c>
      <c r="BS98" s="527">
        <f t="shared" si="149"/>
        <v>-61.162273550592012</v>
      </c>
      <c r="BT98" s="527">
        <f t="shared" si="149"/>
        <v>-63.884065204807776</v>
      </c>
      <c r="BU98" s="527">
        <f t="shared" si="149"/>
        <v>-63.884065204807776</v>
      </c>
      <c r="BV98" s="527">
        <f t="shared" si="149"/>
        <v>-63.884065204807776</v>
      </c>
      <c r="BW98" s="527">
        <f t="shared" si="149"/>
        <v>-63.884065204807776</v>
      </c>
      <c r="BX98" s="527">
        <f t="shared" si="149"/>
        <v>-63.884065204807776</v>
      </c>
      <c r="BY98" s="527">
        <f t="shared" si="149"/>
        <v>-63.884065204807776</v>
      </c>
      <c r="BZ98" s="537"/>
      <c r="CA98" s="537"/>
      <c r="CB98" s="574"/>
    </row>
    <row r="99" spans="1:80" x14ac:dyDescent="0.3">
      <c r="A99" s="551"/>
      <c r="B99" s="548"/>
      <c r="C99" s="525"/>
      <c r="D99" s="525"/>
      <c r="E99" s="572" t="s">
        <v>394</v>
      </c>
      <c r="F99" s="573"/>
      <c r="G99" s="573"/>
      <c r="H99" s="573"/>
      <c r="I99" s="532">
        <f t="shared" si="142"/>
        <v>3722.1718260869561</v>
      </c>
      <c r="J99" s="532">
        <f t="shared" si="142"/>
        <v>4137.5126057921789</v>
      </c>
      <c r="K99" s="530">
        <f t="shared" si="142"/>
        <v>4227.6432545727021</v>
      </c>
      <c r="L99" s="532">
        <f t="shared" si="142"/>
        <v>4317.1251855638038</v>
      </c>
      <c r="M99" s="532">
        <f t="shared" si="142"/>
        <v>4410.5157786373256</v>
      </c>
      <c r="N99" s="532">
        <f t="shared" si="142"/>
        <v>4506.3079131386357</v>
      </c>
      <c r="O99" s="536"/>
      <c r="P99" s="568">
        <f t="shared" si="143"/>
        <v>3.8974501377890602E-2</v>
      </c>
      <c r="Q99" s="537"/>
      <c r="R99" s="530">
        <f t="shared" ref="R99:AW99" si="150">R34/R$82</f>
        <v>340.40785563974578</v>
      </c>
      <c r="S99" s="532">
        <f t="shared" si="150"/>
        <v>340.40785563974578</v>
      </c>
      <c r="T99" s="530">
        <f t="shared" si="150"/>
        <v>340.40785563974578</v>
      </c>
      <c r="U99" s="532">
        <f t="shared" si="150"/>
        <v>340.40785563974578</v>
      </c>
      <c r="V99" s="532">
        <f t="shared" si="150"/>
        <v>340.40785563974578</v>
      </c>
      <c r="W99" s="532">
        <f t="shared" si="150"/>
        <v>340.40785563974578</v>
      </c>
      <c r="X99" s="532">
        <f t="shared" si="150"/>
        <v>349.17757865895067</v>
      </c>
      <c r="Y99" s="532">
        <f t="shared" si="150"/>
        <v>349.17757865895067</v>
      </c>
      <c r="Z99" s="532">
        <f t="shared" si="150"/>
        <v>349.17757865895067</v>
      </c>
      <c r="AA99" s="532">
        <f t="shared" si="150"/>
        <v>349.17757865895067</v>
      </c>
      <c r="AB99" s="532">
        <f t="shared" si="150"/>
        <v>349.17757865895067</v>
      </c>
      <c r="AC99" s="532">
        <f t="shared" si="150"/>
        <v>349.17757865895067</v>
      </c>
      <c r="AD99" s="532">
        <f t="shared" si="150"/>
        <v>346.95278983754037</v>
      </c>
      <c r="AE99" s="532">
        <f t="shared" si="150"/>
        <v>346.95278983754037</v>
      </c>
      <c r="AF99" s="532">
        <f t="shared" si="150"/>
        <v>346.95278983754037</v>
      </c>
      <c r="AG99" s="532">
        <f t="shared" si="150"/>
        <v>346.95278983754037</v>
      </c>
      <c r="AH99" s="532">
        <f t="shared" si="150"/>
        <v>346.95278983754037</v>
      </c>
      <c r="AI99" s="532">
        <f t="shared" si="150"/>
        <v>346.95278983754037</v>
      </c>
      <c r="AJ99" s="532">
        <f t="shared" si="150"/>
        <v>357.65441925791009</v>
      </c>
      <c r="AK99" s="532">
        <f t="shared" si="150"/>
        <v>357.65441925791009</v>
      </c>
      <c r="AL99" s="532">
        <f t="shared" si="150"/>
        <v>357.65441925791009</v>
      </c>
      <c r="AM99" s="532">
        <f t="shared" si="150"/>
        <v>357.65441925791009</v>
      </c>
      <c r="AN99" s="532">
        <f t="shared" si="150"/>
        <v>357.65441925791009</v>
      </c>
      <c r="AO99" s="532">
        <f t="shared" si="150"/>
        <v>357.65441925791009</v>
      </c>
      <c r="AP99" s="532">
        <f t="shared" si="150"/>
        <v>353.45739116699866</v>
      </c>
      <c r="AQ99" s="532">
        <f t="shared" si="150"/>
        <v>353.45739116699866</v>
      </c>
      <c r="AR99" s="532">
        <f t="shared" si="150"/>
        <v>353.45739116699866</v>
      </c>
      <c r="AS99" s="532">
        <f t="shared" si="150"/>
        <v>353.45739116699866</v>
      </c>
      <c r="AT99" s="532">
        <f t="shared" si="150"/>
        <v>353.45739116699866</v>
      </c>
      <c r="AU99" s="532">
        <f t="shared" si="150"/>
        <v>353.45739116699866</v>
      </c>
      <c r="AV99" s="532">
        <f t="shared" si="150"/>
        <v>366.06347309363503</v>
      </c>
      <c r="AW99" s="532">
        <f t="shared" si="150"/>
        <v>366.06347309363503</v>
      </c>
      <c r="AX99" s="532">
        <f t="shared" ref="AX99:BY99" si="151">AX34/AX$82</f>
        <v>366.06347309363503</v>
      </c>
      <c r="AY99" s="532">
        <f t="shared" si="151"/>
        <v>366.06347309363503</v>
      </c>
      <c r="AZ99" s="532">
        <f t="shared" si="151"/>
        <v>366.06347309363503</v>
      </c>
      <c r="BA99" s="532">
        <f t="shared" si="151"/>
        <v>366.06347309363503</v>
      </c>
      <c r="BB99" s="532">
        <f t="shared" si="151"/>
        <v>360.29540254413081</v>
      </c>
      <c r="BC99" s="532">
        <f t="shared" si="151"/>
        <v>360.29540254413081</v>
      </c>
      <c r="BD99" s="532">
        <f t="shared" si="151"/>
        <v>360.29540254413081</v>
      </c>
      <c r="BE99" s="532">
        <f t="shared" si="151"/>
        <v>360.29540254413081</v>
      </c>
      <c r="BF99" s="532">
        <f t="shared" si="151"/>
        <v>360.29540254413081</v>
      </c>
      <c r="BG99" s="532">
        <f t="shared" si="151"/>
        <v>360.29540254413081</v>
      </c>
      <c r="BH99" s="532">
        <f t="shared" si="151"/>
        <v>374.79056056209021</v>
      </c>
      <c r="BI99" s="532">
        <f t="shared" si="151"/>
        <v>374.79056056209021</v>
      </c>
      <c r="BJ99" s="532">
        <f t="shared" si="151"/>
        <v>374.79056056209021</v>
      </c>
      <c r="BK99" s="532">
        <f t="shared" si="151"/>
        <v>374.79056056209021</v>
      </c>
      <c r="BL99" s="532">
        <f t="shared" si="151"/>
        <v>374.79056056209021</v>
      </c>
      <c r="BM99" s="532">
        <f t="shared" si="151"/>
        <v>374.79056056209021</v>
      </c>
      <c r="BN99" s="532">
        <f t="shared" si="151"/>
        <v>367.35186868833313</v>
      </c>
      <c r="BO99" s="532">
        <f t="shared" si="151"/>
        <v>367.35186868833313</v>
      </c>
      <c r="BP99" s="532">
        <f t="shared" si="151"/>
        <v>367.35186868833313</v>
      </c>
      <c r="BQ99" s="532">
        <f t="shared" si="151"/>
        <v>367.35186868833313</v>
      </c>
      <c r="BR99" s="532">
        <f t="shared" si="151"/>
        <v>367.35186868833313</v>
      </c>
      <c r="BS99" s="532">
        <f t="shared" si="151"/>
        <v>367.35186868833313</v>
      </c>
      <c r="BT99" s="532">
        <f t="shared" si="151"/>
        <v>383.69945016810618</v>
      </c>
      <c r="BU99" s="532">
        <f t="shared" si="151"/>
        <v>383.69945016810618</v>
      </c>
      <c r="BV99" s="532">
        <f t="shared" si="151"/>
        <v>383.69945016810618</v>
      </c>
      <c r="BW99" s="532">
        <f t="shared" si="151"/>
        <v>383.69945016810618</v>
      </c>
      <c r="BX99" s="532">
        <f t="shared" si="151"/>
        <v>383.69945016810618</v>
      </c>
      <c r="BY99" s="532">
        <f t="shared" si="151"/>
        <v>383.69945016810618</v>
      </c>
      <c r="BZ99" s="537"/>
      <c r="CA99" s="537"/>
      <c r="CB99" s="574"/>
    </row>
    <row r="100" spans="1:80" x14ac:dyDescent="0.3">
      <c r="A100" s="551"/>
      <c r="B100" s="548"/>
      <c r="C100" s="525"/>
      <c r="D100" s="525"/>
      <c r="E100" s="525" t="s">
        <v>395</v>
      </c>
      <c r="F100" s="567"/>
      <c r="G100" s="567"/>
      <c r="H100" s="567"/>
      <c r="I100" s="527">
        <f t="shared" si="142"/>
        <v>-245.94603454360802</v>
      </c>
      <c r="J100" s="527">
        <f t="shared" si="142"/>
        <v>-249.11411448783502</v>
      </c>
      <c r="K100" s="527">
        <f t="shared" si="142"/>
        <v>-254.54076061520695</v>
      </c>
      <c r="L100" s="527">
        <f t="shared" si="142"/>
        <v>-259.92834830987721</v>
      </c>
      <c r="M100" s="527">
        <f t="shared" si="142"/>
        <v>-265.5512713343137</v>
      </c>
      <c r="N100" s="527">
        <f t="shared" si="142"/>
        <v>-271.31878796442294</v>
      </c>
      <c r="O100" s="529"/>
      <c r="P100" s="564">
        <f t="shared" si="143"/>
        <v>1.9830529311995804E-2</v>
      </c>
      <c r="Q100" s="537"/>
      <c r="R100" s="527">
        <f t="shared" ref="R100:AW100" si="152">R35/R$82</f>
        <v>-20.495502878634003</v>
      </c>
      <c r="S100" s="527">
        <f t="shared" si="152"/>
        <v>-20.495502878634003</v>
      </c>
      <c r="T100" s="527">
        <f t="shared" si="152"/>
        <v>-20.495502878634003</v>
      </c>
      <c r="U100" s="527">
        <f t="shared" si="152"/>
        <v>-20.495502878634003</v>
      </c>
      <c r="V100" s="527">
        <f t="shared" si="152"/>
        <v>-20.495502878634003</v>
      </c>
      <c r="W100" s="527">
        <f t="shared" si="152"/>
        <v>-20.495502878634003</v>
      </c>
      <c r="X100" s="527">
        <f t="shared" si="152"/>
        <v>-21.023516202671839</v>
      </c>
      <c r="Y100" s="527">
        <f t="shared" si="152"/>
        <v>-21.023516202671839</v>
      </c>
      <c r="Z100" s="527">
        <f t="shared" si="152"/>
        <v>-21.023516202671839</v>
      </c>
      <c r="AA100" s="527">
        <f t="shared" si="152"/>
        <v>-21.023516202671839</v>
      </c>
      <c r="AB100" s="527">
        <f t="shared" si="152"/>
        <v>-21.023516202671839</v>
      </c>
      <c r="AC100" s="527">
        <f t="shared" si="152"/>
        <v>-21.023516202671839</v>
      </c>
      <c r="AD100" s="527">
        <f t="shared" si="152"/>
        <v>-20.889564635638017</v>
      </c>
      <c r="AE100" s="527">
        <f t="shared" si="152"/>
        <v>-20.889564635638017</v>
      </c>
      <c r="AF100" s="527">
        <f t="shared" si="152"/>
        <v>-20.889564635638017</v>
      </c>
      <c r="AG100" s="527">
        <f t="shared" si="152"/>
        <v>-20.889564635638017</v>
      </c>
      <c r="AH100" s="527">
        <f t="shared" si="152"/>
        <v>-20.889564635638017</v>
      </c>
      <c r="AI100" s="527">
        <f t="shared" si="152"/>
        <v>-20.889564635638017</v>
      </c>
      <c r="AJ100" s="527">
        <f t="shared" si="152"/>
        <v>-21.533895466896467</v>
      </c>
      <c r="AK100" s="527">
        <f t="shared" si="152"/>
        <v>-21.533895466896467</v>
      </c>
      <c r="AL100" s="527">
        <f t="shared" si="152"/>
        <v>-21.533895466896467</v>
      </c>
      <c r="AM100" s="527">
        <f t="shared" si="152"/>
        <v>-21.533895466896467</v>
      </c>
      <c r="AN100" s="527">
        <f t="shared" si="152"/>
        <v>-21.533895466896467</v>
      </c>
      <c r="AO100" s="527">
        <f t="shared" si="152"/>
        <v>-21.533895466896467</v>
      </c>
      <c r="AP100" s="527">
        <f t="shared" si="152"/>
        <v>-21.281198004444196</v>
      </c>
      <c r="AQ100" s="527">
        <f t="shared" si="152"/>
        <v>-21.281198004444196</v>
      </c>
      <c r="AR100" s="527">
        <f t="shared" si="152"/>
        <v>-21.281198004444196</v>
      </c>
      <c r="AS100" s="527">
        <f t="shared" si="152"/>
        <v>-21.281198004444196</v>
      </c>
      <c r="AT100" s="527">
        <f t="shared" si="152"/>
        <v>-21.281198004444196</v>
      </c>
      <c r="AU100" s="527">
        <f t="shared" si="152"/>
        <v>-21.281198004444196</v>
      </c>
      <c r="AV100" s="527">
        <f t="shared" si="152"/>
        <v>-22.040193380535342</v>
      </c>
      <c r="AW100" s="527">
        <f t="shared" si="152"/>
        <v>-22.040193380535342</v>
      </c>
      <c r="AX100" s="527">
        <f t="shared" ref="AX100:BY100" si="153">AX35/AX$82</f>
        <v>-22.040193380535342</v>
      </c>
      <c r="AY100" s="527">
        <f t="shared" si="153"/>
        <v>-22.040193380535342</v>
      </c>
      <c r="AZ100" s="527">
        <f t="shared" si="153"/>
        <v>-22.040193380535342</v>
      </c>
      <c r="BA100" s="527">
        <f t="shared" si="153"/>
        <v>-22.040193380535342</v>
      </c>
      <c r="BB100" s="527">
        <f t="shared" si="153"/>
        <v>-21.692905547446564</v>
      </c>
      <c r="BC100" s="527">
        <f t="shared" si="153"/>
        <v>-21.692905547446564</v>
      </c>
      <c r="BD100" s="527">
        <f t="shared" si="153"/>
        <v>-21.692905547446564</v>
      </c>
      <c r="BE100" s="527">
        <f t="shared" si="153"/>
        <v>-21.692905547446564</v>
      </c>
      <c r="BF100" s="527">
        <f t="shared" si="153"/>
        <v>-21.692905547446564</v>
      </c>
      <c r="BG100" s="527">
        <f t="shared" si="153"/>
        <v>-21.692905547446564</v>
      </c>
      <c r="BH100" s="527">
        <f t="shared" si="153"/>
        <v>-22.56563967493905</v>
      </c>
      <c r="BI100" s="527">
        <f t="shared" si="153"/>
        <v>-22.56563967493905</v>
      </c>
      <c r="BJ100" s="527">
        <f t="shared" si="153"/>
        <v>-22.56563967493905</v>
      </c>
      <c r="BK100" s="527">
        <f t="shared" si="153"/>
        <v>-22.56563967493905</v>
      </c>
      <c r="BL100" s="527">
        <f t="shared" si="153"/>
        <v>-22.56563967493905</v>
      </c>
      <c r="BM100" s="527">
        <f t="shared" si="153"/>
        <v>-22.56563967493905</v>
      </c>
      <c r="BN100" s="527">
        <f t="shared" si="153"/>
        <v>-22.117765960552131</v>
      </c>
      <c r="BO100" s="527">
        <f t="shared" si="153"/>
        <v>-22.117765960552131</v>
      </c>
      <c r="BP100" s="527">
        <f t="shared" si="153"/>
        <v>-22.117765960552131</v>
      </c>
      <c r="BQ100" s="527">
        <f t="shared" si="153"/>
        <v>-22.117765960552131</v>
      </c>
      <c r="BR100" s="527">
        <f t="shared" si="153"/>
        <v>-22.117765960552131</v>
      </c>
      <c r="BS100" s="527">
        <f t="shared" si="153"/>
        <v>-22.117765960552131</v>
      </c>
      <c r="BT100" s="527">
        <f t="shared" si="153"/>
        <v>-23.10203203351837</v>
      </c>
      <c r="BU100" s="527">
        <f t="shared" si="153"/>
        <v>-23.10203203351837</v>
      </c>
      <c r="BV100" s="527">
        <f t="shared" si="153"/>
        <v>-23.10203203351837</v>
      </c>
      <c r="BW100" s="527">
        <f t="shared" si="153"/>
        <v>-23.10203203351837</v>
      </c>
      <c r="BX100" s="527">
        <f t="shared" si="153"/>
        <v>-23.10203203351837</v>
      </c>
      <c r="BY100" s="527">
        <f t="shared" si="153"/>
        <v>-23.10203203351837</v>
      </c>
      <c r="BZ100" s="537"/>
      <c r="CA100" s="537"/>
      <c r="CB100" s="574"/>
    </row>
    <row r="101" spans="1:80" x14ac:dyDescent="0.3">
      <c r="A101" s="551"/>
      <c r="B101" s="548"/>
      <c r="C101" s="525"/>
      <c r="D101" s="525"/>
      <c r="E101" s="572" t="s">
        <v>396</v>
      </c>
      <c r="F101" s="573"/>
      <c r="G101" s="573"/>
      <c r="H101" s="573"/>
      <c r="I101" s="530">
        <f t="shared" si="142"/>
        <v>3838.948233133337</v>
      </c>
      <c r="J101" s="530">
        <f t="shared" si="142"/>
        <v>3888.3984913043437</v>
      </c>
      <c r="K101" s="530">
        <f t="shared" si="142"/>
        <v>3973.1024939574954</v>
      </c>
      <c r="L101" s="530">
        <f t="shared" si="142"/>
        <v>4057.1968372539254</v>
      </c>
      <c r="M101" s="530">
        <f t="shared" si="142"/>
        <v>4144.9645073030133</v>
      </c>
      <c r="N101" s="530">
        <f t="shared" si="142"/>
        <v>4234.9891251742119</v>
      </c>
      <c r="O101" s="536"/>
      <c r="P101" s="568">
        <f t="shared" si="143"/>
        <v>1.9830529311996026E-2</v>
      </c>
      <c r="Q101" s="537"/>
      <c r="R101" s="530">
        <f t="shared" ref="R101:AW101" si="154">R36/R$82</f>
        <v>319.91235276111178</v>
      </c>
      <c r="S101" s="530">
        <f t="shared" si="154"/>
        <v>319.91235276111178</v>
      </c>
      <c r="T101" s="530">
        <f t="shared" si="154"/>
        <v>319.91235276111178</v>
      </c>
      <c r="U101" s="530">
        <f t="shared" si="154"/>
        <v>319.91235276111178</v>
      </c>
      <c r="V101" s="530">
        <f t="shared" si="154"/>
        <v>319.91235276111178</v>
      </c>
      <c r="W101" s="530">
        <f t="shared" si="154"/>
        <v>319.91235276111178</v>
      </c>
      <c r="X101" s="530">
        <f t="shared" si="154"/>
        <v>328.15406245627884</v>
      </c>
      <c r="Y101" s="530">
        <f t="shared" si="154"/>
        <v>328.15406245627884</v>
      </c>
      <c r="Z101" s="530">
        <f t="shared" si="154"/>
        <v>328.15406245627884</v>
      </c>
      <c r="AA101" s="530">
        <f t="shared" si="154"/>
        <v>328.15406245627884</v>
      </c>
      <c r="AB101" s="530">
        <f t="shared" si="154"/>
        <v>328.15406245627884</v>
      </c>
      <c r="AC101" s="530">
        <f t="shared" si="154"/>
        <v>328.15406245627884</v>
      </c>
      <c r="AD101" s="530">
        <f t="shared" si="154"/>
        <v>326.06322520190236</v>
      </c>
      <c r="AE101" s="530">
        <f t="shared" si="154"/>
        <v>326.06322520190236</v>
      </c>
      <c r="AF101" s="530">
        <f t="shared" si="154"/>
        <v>326.06322520190236</v>
      </c>
      <c r="AG101" s="530">
        <f t="shared" si="154"/>
        <v>326.06322520190236</v>
      </c>
      <c r="AH101" s="530">
        <f t="shared" si="154"/>
        <v>326.06322520190236</v>
      </c>
      <c r="AI101" s="530">
        <f t="shared" si="154"/>
        <v>326.06322520190236</v>
      </c>
      <c r="AJ101" s="530">
        <f t="shared" si="154"/>
        <v>336.12052379101362</v>
      </c>
      <c r="AK101" s="530">
        <f t="shared" si="154"/>
        <v>336.12052379101362</v>
      </c>
      <c r="AL101" s="530">
        <f t="shared" si="154"/>
        <v>336.12052379101362</v>
      </c>
      <c r="AM101" s="530">
        <f t="shared" si="154"/>
        <v>336.12052379101362</v>
      </c>
      <c r="AN101" s="530">
        <f t="shared" si="154"/>
        <v>336.12052379101362</v>
      </c>
      <c r="AO101" s="530">
        <f t="shared" si="154"/>
        <v>336.12052379101362</v>
      </c>
      <c r="AP101" s="530">
        <f t="shared" si="154"/>
        <v>332.17619316255445</v>
      </c>
      <c r="AQ101" s="530">
        <f t="shared" si="154"/>
        <v>332.17619316255445</v>
      </c>
      <c r="AR101" s="530">
        <f t="shared" si="154"/>
        <v>332.17619316255445</v>
      </c>
      <c r="AS101" s="530">
        <f t="shared" si="154"/>
        <v>332.17619316255445</v>
      </c>
      <c r="AT101" s="530">
        <f t="shared" si="154"/>
        <v>332.17619316255445</v>
      </c>
      <c r="AU101" s="530">
        <f t="shared" si="154"/>
        <v>332.17619316255445</v>
      </c>
      <c r="AV101" s="530">
        <f t="shared" si="154"/>
        <v>344.02327971309967</v>
      </c>
      <c r="AW101" s="530">
        <f t="shared" si="154"/>
        <v>344.02327971309967</v>
      </c>
      <c r="AX101" s="530">
        <f t="shared" ref="AX101:BY101" si="155">AX36/AX$82</f>
        <v>344.02327971309967</v>
      </c>
      <c r="AY101" s="530">
        <f t="shared" si="155"/>
        <v>344.02327971309967</v>
      </c>
      <c r="AZ101" s="530">
        <f t="shared" si="155"/>
        <v>344.02327971309967</v>
      </c>
      <c r="BA101" s="530">
        <f t="shared" si="155"/>
        <v>344.02327971309967</v>
      </c>
      <c r="BB101" s="530">
        <f t="shared" si="155"/>
        <v>338.60249699668424</v>
      </c>
      <c r="BC101" s="530">
        <f t="shared" si="155"/>
        <v>338.60249699668424</v>
      </c>
      <c r="BD101" s="530">
        <f t="shared" si="155"/>
        <v>338.60249699668424</v>
      </c>
      <c r="BE101" s="530">
        <f t="shared" si="155"/>
        <v>338.60249699668424</v>
      </c>
      <c r="BF101" s="530">
        <f t="shared" si="155"/>
        <v>338.60249699668424</v>
      </c>
      <c r="BG101" s="530">
        <f t="shared" si="155"/>
        <v>338.60249699668424</v>
      </c>
      <c r="BH101" s="530">
        <f t="shared" si="155"/>
        <v>352.2249208871512</v>
      </c>
      <c r="BI101" s="530">
        <f t="shared" si="155"/>
        <v>352.2249208871512</v>
      </c>
      <c r="BJ101" s="530">
        <f t="shared" si="155"/>
        <v>352.2249208871512</v>
      </c>
      <c r="BK101" s="530">
        <f t="shared" si="155"/>
        <v>352.2249208871512</v>
      </c>
      <c r="BL101" s="530">
        <f t="shared" si="155"/>
        <v>352.2249208871512</v>
      </c>
      <c r="BM101" s="530">
        <f t="shared" si="155"/>
        <v>352.2249208871512</v>
      </c>
      <c r="BN101" s="530">
        <f t="shared" si="155"/>
        <v>345.23410272778096</v>
      </c>
      <c r="BO101" s="530">
        <f t="shared" si="155"/>
        <v>345.23410272778096</v>
      </c>
      <c r="BP101" s="530">
        <f t="shared" si="155"/>
        <v>345.23410272778096</v>
      </c>
      <c r="BQ101" s="530">
        <f t="shared" si="155"/>
        <v>345.23410272778096</v>
      </c>
      <c r="BR101" s="530">
        <f t="shared" si="155"/>
        <v>345.23410272778096</v>
      </c>
      <c r="BS101" s="530">
        <f t="shared" si="155"/>
        <v>345.23410272778096</v>
      </c>
      <c r="BT101" s="530">
        <f t="shared" si="155"/>
        <v>360.59741813458783</v>
      </c>
      <c r="BU101" s="530">
        <f t="shared" si="155"/>
        <v>360.59741813458783</v>
      </c>
      <c r="BV101" s="530">
        <f t="shared" si="155"/>
        <v>360.59741813458783</v>
      </c>
      <c r="BW101" s="530">
        <f t="shared" si="155"/>
        <v>360.59741813458783</v>
      </c>
      <c r="BX101" s="530">
        <f t="shared" si="155"/>
        <v>360.59741813458783</v>
      </c>
      <c r="BY101" s="530">
        <f t="shared" si="155"/>
        <v>360.59741813458783</v>
      </c>
      <c r="BZ101" s="537"/>
      <c r="CA101" s="537"/>
      <c r="CB101" s="574"/>
    </row>
    <row r="102" spans="1:80" x14ac:dyDescent="0.3">
      <c r="A102" s="551"/>
      <c r="B102" s="548"/>
      <c r="C102" s="525"/>
      <c r="D102" s="525"/>
      <c r="E102" s="525" t="s">
        <v>176</v>
      </c>
      <c r="F102" s="575"/>
      <c r="G102" s="575"/>
      <c r="H102" s="575"/>
      <c r="I102" s="531">
        <f t="shared" ref="I102:N102" si="156">IFERROR(I101/I96,0)</f>
        <v>0.394296852576005</v>
      </c>
      <c r="J102" s="531">
        <f t="shared" si="156"/>
        <v>0.39429685257600539</v>
      </c>
      <c r="K102" s="531">
        <f t="shared" si="156"/>
        <v>0.39429685257600533</v>
      </c>
      <c r="L102" s="531">
        <f t="shared" si="156"/>
        <v>0.3942968525760055</v>
      </c>
      <c r="M102" s="531">
        <f t="shared" si="156"/>
        <v>0.39429685257600539</v>
      </c>
      <c r="N102" s="531">
        <f t="shared" si="156"/>
        <v>0.39429685257600527</v>
      </c>
      <c r="O102" s="546"/>
      <c r="P102" s="564">
        <f t="shared" si="143"/>
        <v>2.2204460492503131E-16</v>
      </c>
      <c r="Q102" s="537"/>
      <c r="R102" s="531">
        <f t="shared" ref="R102:AW102" si="157">IFERROR(R101/R96,0)</f>
        <v>0.39429685257600539</v>
      </c>
      <c r="S102" s="531">
        <f t="shared" si="157"/>
        <v>0.39429685257600539</v>
      </c>
      <c r="T102" s="531">
        <f t="shared" si="157"/>
        <v>0.39429685257600539</v>
      </c>
      <c r="U102" s="531">
        <f t="shared" si="157"/>
        <v>0.39429685257600539</v>
      </c>
      <c r="V102" s="531">
        <f t="shared" si="157"/>
        <v>0.39429685257600539</v>
      </c>
      <c r="W102" s="531">
        <f t="shared" si="157"/>
        <v>0.39429685257600539</v>
      </c>
      <c r="X102" s="531">
        <f t="shared" si="157"/>
        <v>0.39429685257600539</v>
      </c>
      <c r="Y102" s="531">
        <f t="shared" si="157"/>
        <v>0.39429685257600539</v>
      </c>
      <c r="Z102" s="531">
        <f t="shared" si="157"/>
        <v>0.39429685257600539</v>
      </c>
      <c r="AA102" s="531">
        <f t="shared" si="157"/>
        <v>0.39429685257600539</v>
      </c>
      <c r="AB102" s="531">
        <f t="shared" si="157"/>
        <v>0.39429685257600539</v>
      </c>
      <c r="AC102" s="531">
        <f t="shared" si="157"/>
        <v>0.39429685257600539</v>
      </c>
      <c r="AD102" s="531">
        <f t="shared" si="157"/>
        <v>0.39429685257600539</v>
      </c>
      <c r="AE102" s="531">
        <f t="shared" si="157"/>
        <v>0.39429685257600539</v>
      </c>
      <c r="AF102" s="531">
        <f t="shared" si="157"/>
        <v>0.39429685257600539</v>
      </c>
      <c r="AG102" s="531">
        <f t="shared" si="157"/>
        <v>0.39429685257600539</v>
      </c>
      <c r="AH102" s="531">
        <f t="shared" si="157"/>
        <v>0.39429685257600539</v>
      </c>
      <c r="AI102" s="531">
        <f t="shared" si="157"/>
        <v>0.39429685257600539</v>
      </c>
      <c r="AJ102" s="531">
        <f t="shared" si="157"/>
        <v>0.39429685257600533</v>
      </c>
      <c r="AK102" s="531">
        <f t="shared" si="157"/>
        <v>0.39429685257600533</v>
      </c>
      <c r="AL102" s="531">
        <f t="shared" si="157"/>
        <v>0.39429685257600533</v>
      </c>
      <c r="AM102" s="531">
        <f t="shared" si="157"/>
        <v>0.39429685257600533</v>
      </c>
      <c r="AN102" s="531">
        <f t="shared" si="157"/>
        <v>0.39429685257600533</v>
      </c>
      <c r="AO102" s="531">
        <f t="shared" si="157"/>
        <v>0.39429685257600533</v>
      </c>
      <c r="AP102" s="531">
        <f t="shared" si="157"/>
        <v>0.39429685257600539</v>
      </c>
      <c r="AQ102" s="531">
        <f t="shared" si="157"/>
        <v>0.39429685257600539</v>
      </c>
      <c r="AR102" s="531">
        <f t="shared" si="157"/>
        <v>0.39429685257600539</v>
      </c>
      <c r="AS102" s="531">
        <f t="shared" si="157"/>
        <v>0.39429685257600539</v>
      </c>
      <c r="AT102" s="531">
        <f t="shared" si="157"/>
        <v>0.39429685257600539</v>
      </c>
      <c r="AU102" s="531">
        <f t="shared" si="157"/>
        <v>0.39429685257600539</v>
      </c>
      <c r="AV102" s="531">
        <f t="shared" si="157"/>
        <v>0.39429685257600544</v>
      </c>
      <c r="AW102" s="531">
        <f t="shared" si="157"/>
        <v>0.39429685257600544</v>
      </c>
      <c r="AX102" s="531">
        <f t="shared" ref="AX102:BY102" si="158">IFERROR(AX101/AX96,0)</f>
        <v>0.39429685257600544</v>
      </c>
      <c r="AY102" s="531">
        <f t="shared" si="158"/>
        <v>0.39429685257600544</v>
      </c>
      <c r="AZ102" s="531">
        <f t="shared" si="158"/>
        <v>0.39429685257600544</v>
      </c>
      <c r="BA102" s="531">
        <f t="shared" si="158"/>
        <v>0.39429685257600544</v>
      </c>
      <c r="BB102" s="531">
        <f t="shared" si="158"/>
        <v>0.39429685257600533</v>
      </c>
      <c r="BC102" s="531">
        <f t="shared" si="158"/>
        <v>0.39429685257600533</v>
      </c>
      <c r="BD102" s="531">
        <f t="shared" si="158"/>
        <v>0.39429685257600533</v>
      </c>
      <c r="BE102" s="531">
        <f t="shared" si="158"/>
        <v>0.39429685257600533</v>
      </c>
      <c r="BF102" s="531">
        <f t="shared" si="158"/>
        <v>0.39429685257600533</v>
      </c>
      <c r="BG102" s="531">
        <f t="shared" si="158"/>
        <v>0.39429685257600533</v>
      </c>
      <c r="BH102" s="531">
        <f t="shared" si="158"/>
        <v>0.39429685257600533</v>
      </c>
      <c r="BI102" s="531">
        <f t="shared" si="158"/>
        <v>0.39429685257600533</v>
      </c>
      <c r="BJ102" s="531">
        <f t="shared" si="158"/>
        <v>0.39429685257600533</v>
      </c>
      <c r="BK102" s="531">
        <f t="shared" si="158"/>
        <v>0.39429685257600533</v>
      </c>
      <c r="BL102" s="531">
        <f t="shared" si="158"/>
        <v>0.39429685257600533</v>
      </c>
      <c r="BM102" s="531">
        <f t="shared" si="158"/>
        <v>0.39429685257600533</v>
      </c>
      <c r="BN102" s="531">
        <f t="shared" si="158"/>
        <v>0.39429685257600527</v>
      </c>
      <c r="BO102" s="531">
        <f t="shared" si="158"/>
        <v>0.39429685257600527</v>
      </c>
      <c r="BP102" s="531">
        <f t="shared" si="158"/>
        <v>0.39429685257600527</v>
      </c>
      <c r="BQ102" s="531">
        <f t="shared" si="158"/>
        <v>0.39429685257600527</v>
      </c>
      <c r="BR102" s="531">
        <f t="shared" si="158"/>
        <v>0.39429685257600527</v>
      </c>
      <c r="BS102" s="531">
        <f t="shared" si="158"/>
        <v>0.39429685257600527</v>
      </c>
      <c r="BT102" s="531">
        <f t="shared" si="158"/>
        <v>0.39429685257600533</v>
      </c>
      <c r="BU102" s="531">
        <f t="shared" si="158"/>
        <v>0.39429685257600533</v>
      </c>
      <c r="BV102" s="531">
        <f t="shared" si="158"/>
        <v>0.39429685257600533</v>
      </c>
      <c r="BW102" s="531">
        <f t="shared" si="158"/>
        <v>0.39429685257600533</v>
      </c>
      <c r="BX102" s="531">
        <f t="shared" si="158"/>
        <v>0.39429685257600533</v>
      </c>
      <c r="BY102" s="531">
        <f t="shared" si="158"/>
        <v>0.39429685257600533</v>
      </c>
      <c r="BZ102" s="537"/>
      <c r="CA102" s="537"/>
      <c r="CB102" s="537"/>
    </row>
    <row r="103" spans="1:80" x14ac:dyDescent="0.3">
      <c r="A103" s="551"/>
      <c r="B103" s="548"/>
      <c r="C103" s="525"/>
      <c r="D103" s="525"/>
      <c r="E103" s="525"/>
      <c r="F103" s="576"/>
      <c r="G103" s="576"/>
      <c r="H103" s="576"/>
      <c r="I103" s="533"/>
      <c r="J103" s="533"/>
      <c r="K103" s="533"/>
      <c r="L103" s="533"/>
      <c r="M103" s="533"/>
      <c r="N103" s="533"/>
      <c r="O103" s="533"/>
      <c r="P103" s="577"/>
      <c r="Q103" s="537"/>
      <c r="R103" s="533"/>
      <c r="S103" s="533"/>
      <c r="T103" s="533"/>
      <c r="U103" s="533"/>
      <c r="V103" s="533"/>
      <c r="W103" s="533"/>
      <c r="X103" s="533"/>
      <c r="Y103" s="533"/>
      <c r="Z103" s="533"/>
      <c r="AA103" s="533"/>
      <c r="AB103" s="533"/>
      <c r="AC103" s="533"/>
      <c r="AD103" s="533"/>
      <c r="AE103" s="533"/>
      <c r="AF103" s="533"/>
      <c r="AG103" s="533"/>
      <c r="AH103" s="533"/>
      <c r="AI103" s="533"/>
      <c r="AJ103" s="533"/>
      <c r="AK103" s="533"/>
      <c r="AL103" s="533"/>
      <c r="AM103" s="533"/>
      <c r="AN103" s="533"/>
      <c r="AO103" s="533"/>
      <c r="AP103" s="533"/>
      <c r="AQ103" s="533"/>
      <c r="AR103" s="533"/>
      <c r="AS103" s="533"/>
      <c r="AT103" s="533"/>
      <c r="AU103" s="533"/>
      <c r="AV103" s="533"/>
      <c r="AW103" s="533"/>
      <c r="AX103" s="533"/>
      <c r="AY103" s="533"/>
      <c r="AZ103" s="533"/>
      <c r="BA103" s="533"/>
      <c r="BB103" s="533"/>
      <c r="BC103" s="533"/>
      <c r="BD103" s="533"/>
      <c r="BE103" s="533"/>
      <c r="BF103" s="533"/>
      <c r="BG103" s="533"/>
      <c r="BH103" s="533"/>
      <c r="BI103" s="533"/>
      <c r="BJ103" s="533"/>
      <c r="BK103" s="533"/>
      <c r="BL103" s="533"/>
      <c r="BM103" s="533"/>
      <c r="BN103" s="533"/>
      <c r="BO103" s="533"/>
      <c r="BP103" s="533"/>
      <c r="BQ103" s="533"/>
      <c r="BR103" s="533"/>
      <c r="BS103" s="533"/>
      <c r="BT103" s="533"/>
      <c r="BU103" s="533"/>
      <c r="BV103" s="533"/>
      <c r="BW103" s="533"/>
      <c r="BX103" s="533"/>
      <c r="BY103" s="533"/>
      <c r="BZ103" s="537"/>
      <c r="CA103" s="537"/>
      <c r="CB103" s="537"/>
    </row>
    <row r="104" spans="1:80" x14ac:dyDescent="0.3">
      <c r="A104" s="551"/>
      <c r="B104" s="548"/>
      <c r="C104" s="525"/>
      <c r="D104" s="525"/>
      <c r="E104" s="578" t="s">
        <v>24</v>
      </c>
      <c r="F104" s="579"/>
      <c r="G104" s="579"/>
      <c r="H104" s="579"/>
      <c r="I104" s="535">
        <f t="shared" ref="I104:N104" si="159">I39/I$82</f>
        <v>51278.663753271314</v>
      </c>
      <c r="J104" s="535">
        <f t="shared" si="159"/>
        <v>54706.721607837819</v>
      </c>
      <c r="K104" s="534">
        <f t="shared" si="159"/>
        <v>58747.804028607177</v>
      </c>
      <c r="L104" s="534">
        <f t="shared" si="159"/>
        <v>62895.435013353308</v>
      </c>
      <c r="M104" s="534">
        <f t="shared" si="159"/>
        <v>67194.089276604442</v>
      </c>
      <c r="N104" s="535">
        <f t="shared" si="159"/>
        <v>71766.961642468697</v>
      </c>
      <c r="O104" s="536"/>
      <c r="P104" s="568">
        <f>IFERROR(((N104/I104)^(1/5))-1,0)</f>
        <v>6.954133136494689E-2</v>
      </c>
      <c r="Q104" s="537"/>
      <c r="R104" s="534">
        <f t="shared" ref="R104:AW104" si="160">R39/R$82</f>
        <v>4500.9162668252675</v>
      </c>
      <c r="S104" s="534">
        <f t="shared" si="160"/>
        <v>4500.9162668252675</v>
      </c>
      <c r="T104" s="534">
        <f t="shared" si="160"/>
        <v>4500.9162668252675</v>
      </c>
      <c r="U104" s="534">
        <f t="shared" si="160"/>
        <v>4500.9162668252675</v>
      </c>
      <c r="V104" s="534">
        <f t="shared" si="160"/>
        <v>4500.9162668252675</v>
      </c>
      <c r="W104" s="534">
        <f t="shared" si="160"/>
        <v>4500.9162668252675</v>
      </c>
      <c r="X104" s="534">
        <f t="shared" si="160"/>
        <v>4616.870667814369</v>
      </c>
      <c r="Y104" s="534">
        <f t="shared" si="160"/>
        <v>4616.870667814369</v>
      </c>
      <c r="Z104" s="534">
        <f t="shared" si="160"/>
        <v>4616.870667814369</v>
      </c>
      <c r="AA104" s="534">
        <f t="shared" si="160"/>
        <v>4616.870667814369</v>
      </c>
      <c r="AB104" s="534">
        <f t="shared" si="160"/>
        <v>4616.870667814369</v>
      </c>
      <c r="AC104" s="534">
        <f t="shared" si="160"/>
        <v>4616.870667814369</v>
      </c>
      <c r="AD104" s="534">
        <f t="shared" si="160"/>
        <v>4821.2948153815969</v>
      </c>
      <c r="AE104" s="534">
        <f t="shared" si="160"/>
        <v>4821.2948153815969</v>
      </c>
      <c r="AF104" s="534">
        <f t="shared" si="160"/>
        <v>4821.2948153815969</v>
      </c>
      <c r="AG104" s="534">
        <f t="shared" si="160"/>
        <v>4821.2948153815969</v>
      </c>
      <c r="AH104" s="534">
        <f t="shared" si="160"/>
        <v>4821.2948153815969</v>
      </c>
      <c r="AI104" s="534">
        <f t="shared" si="160"/>
        <v>4821.2948153815969</v>
      </c>
      <c r="AJ104" s="534">
        <f t="shared" si="160"/>
        <v>4970.0058560529314</v>
      </c>
      <c r="AK104" s="534">
        <f t="shared" si="160"/>
        <v>4970.0058560529314</v>
      </c>
      <c r="AL104" s="534">
        <f t="shared" si="160"/>
        <v>4970.0058560529314</v>
      </c>
      <c r="AM104" s="534">
        <f t="shared" si="160"/>
        <v>4970.0058560529314</v>
      </c>
      <c r="AN104" s="534">
        <f t="shared" si="160"/>
        <v>4970.0058560529314</v>
      </c>
      <c r="AO104" s="534">
        <f t="shared" si="160"/>
        <v>4970.0058560529314</v>
      </c>
      <c r="AP104" s="534">
        <f t="shared" si="160"/>
        <v>5149.4583595750155</v>
      </c>
      <c r="AQ104" s="534">
        <f t="shared" si="160"/>
        <v>5149.4583595750155</v>
      </c>
      <c r="AR104" s="534">
        <f t="shared" si="160"/>
        <v>5149.4583595750155</v>
      </c>
      <c r="AS104" s="534">
        <f t="shared" si="160"/>
        <v>5149.4583595750155</v>
      </c>
      <c r="AT104" s="534">
        <f t="shared" si="160"/>
        <v>5149.4583595750155</v>
      </c>
      <c r="AU104" s="534">
        <f t="shared" si="160"/>
        <v>5149.4583595750155</v>
      </c>
      <c r="AV104" s="534">
        <f t="shared" si="160"/>
        <v>5333.1141426505328</v>
      </c>
      <c r="AW104" s="534">
        <f t="shared" si="160"/>
        <v>5333.1141426505328</v>
      </c>
      <c r="AX104" s="534">
        <f t="shared" ref="AX104:BY104" si="161">AX39/AX$82</f>
        <v>5333.1141426505328</v>
      </c>
      <c r="AY104" s="534">
        <f t="shared" si="161"/>
        <v>5333.1141426505328</v>
      </c>
      <c r="AZ104" s="534">
        <f t="shared" si="161"/>
        <v>5333.1141426505328</v>
      </c>
      <c r="BA104" s="534">
        <f t="shared" si="161"/>
        <v>5333.1141426505328</v>
      </c>
      <c r="BB104" s="534">
        <f t="shared" si="161"/>
        <v>5489.0907684226195</v>
      </c>
      <c r="BC104" s="534">
        <f t="shared" si="161"/>
        <v>5489.0907684226195</v>
      </c>
      <c r="BD104" s="534">
        <f t="shared" si="161"/>
        <v>5489.0907684226195</v>
      </c>
      <c r="BE104" s="534">
        <f t="shared" si="161"/>
        <v>5489.0907684226195</v>
      </c>
      <c r="BF104" s="534">
        <f t="shared" si="161"/>
        <v>5489.0907684226195</v>
      </c>
      <c r="BG104" s="534">
        <f t="shared" si="161"/>
        <v>5489.0907684226195</v>
      </c>
      <c r="BH104" s="534">
        <f t="shared" si="161"/>
        <v>5709.9241110114508</v>
      </c>
      <c r="BI104" s="534">
        <f t="shared" si="161"/>
        <v>5709.9241110114508</v>
      </c>
      <c r="BJ104" s="534">
        <f t="shared" si="161"/>
        <v>5709.9241110114508</v>
      </c>
      <c r="BK104" s="534">
        <f t="shared" si="161"/>
        <v>5709.9241110114508</v>
      </c>
      <c r="BL104" s="534">
        <f t="shared" si="161"/>
        <v>5709.9241110114508</v>
      </c>
      <c r="BM104" s="534">
        <f t="shared" si="161"/>
        <v>5709.9241110114508</v>
      </c>
      <c r="BN104" s="534">
        <f t="shared" si="161"/>
        <v>5850.4052491793691</v>
      </c>
      <c r="BO104" s="534">
        <f t="shared" si="161"/>
        <v>5850.4052491793691</v>
      </c>
      <c r="BP104" s="534">
        <f t="shared" si="161"/>
        <v>5850.4052491793691</v>
      </c>
      <c r="BQ104" s="534">
        <f t="shared" si="161"/>
        <v>5850.4052491793691</v>
      </c>
      <c r="BR104" s="534">
        <f t="shared" si="161"/>
        <v>5850.4052491793691</v>
      </c>
      <c r="BS104" s="534">
        <f t="shared" si="161"/>
        <v>5850.4052491793691</v>
      </c>
      <c r="BT104" s="534">
        <f t="shared" si="161"/>
        <v>6110.755024565412</v>
      </c>
      <c r="BU104" s="534">
        <f t="shared" si="161"/>
        <v>6110.755024565412</v>
      </c>
      <c r="BV104" s="534">
        <f t="shared" si="161"/>
        <v>6110.755024565412</v>
      </c>
      <c r="BW104" s="534">
        <f t="shared" si="161"/>
        <v>6110.755024565412</v>
      </c>
      <c r="BX104" s="534">
        <f t="shared" si="161"/>
        <v>6110.755024565412</v>
      </c>
      <c r="BY104" s="534">
        <f t="shared" si="161"/>
        <v>6110.755024565412</v>
      </c>
      <c r="BZ104" s="537"/>
      <c r="CA104" s="537"/>
      <c r="CB104" s="574"/>
    </row>
    <row r="105" spans="1:80" x14ac:dyDescent="0.3">
      <c r="A105" s="551"/>
      <c r="B105" s="548"/>
      <c r="C105" s="525"/>
      <c r="D105" s="525"/>
      <c r="E105" s="525" t="s">
        <v>177</v>
      </c>
      <c r="F105" s="529"/>
      <c r="G105" s="529"/>
      <c r="H105" s="529"/>
      <c r="I105" s="531">
        <f t="shared" ref="I105:N105" si="162">IFERROR(I104/(I87+I96),0)</f>
        <v>0.43884119057877113</v>
      </c>
      <c r="J105" s="531">
        <f t="shared" si="162"/>
        <v>0.44684810329509334</v>
      </c>
      <c r="K105" s="531">
        <f t="shared" si="162"/>
        <v>0.45436683713023052</v>
      </c>
      <c r="L105" s="531">
        <f t="shared" si="162"/>
        <v>0.4613500785991082</v>
      </c>
      <c r="M105" s="531">
        <f t="shared" si="162"/>
        <v>0.46777725443170476</v>
      </c>
      <c r="N105" s="531">
        <f t="shared" si="162"/>
        <v>0.47408208728605539</v>
      </c>
      <c r="O105" s="546"/>
      <c r="P105" s="564">
        <f>IFERROR(((N105/I105)^(1/5))-1,0)</f>
        <v>1.5568524490267688E-2</v>
      </c>
      <c r="Q105" s="537"/>
      <c r="R105" s="531">
        <f t="shared" ref="R105:AW105" si="163">IFERROR(R104/(R87+R96),0)</f>
        <v>0.44684810329509345</v>
      </c>
      <c r="S105" s="531">
        <f t="shared" si="163"/>
        <v>0.44684810329509345</v>
      </c>
      <c r="T105" s="531">
        <f t="shared" si="163"/>
        <v>0.44684810329509345</v>
      </c>
      <c r="U105" s="531">
        <f t="shared" si="163"/>
        <v>0.44684810329509345</v>
      </c>
      <c r="V105" s="531">
        <f t="shared" si="163"/>
        <v>0.44684810329509345</v>
      </c>
      <c r="W105" s="531">
        <f t="shared" si="163"/>
        <v>0.44684810329509345</v>
      </c>
      <c r="X105" s="531">
        <f t="shared" si="163"/>
        <v>0.44684810329509339</v>
      </c>
      <c r="Y105" s="531">
        <f t="shared" si="163"/>
        <v>0.44684810329509339</v>
      </c>
      <c r="Z105" s="531">
        <f t="shared" si="163"/>
        <v>0.44684810329509339</v>
      </c>
      <c r="AA105" s="531">
        <f t="shared" si="163"/>
        <v>0.44684810329509339</v>
      </c>
      <c r="AB105" s="531">
        <f t="shared" si="163"/>
        <v>0.44684810329509339</v>
      </c>
      <c r="AC105" s="531">
        <f t="shared" si="163"/>
        <v>0.44684810329509339</v>
      </c>
      <c r="AD105" s="531">
        <f t="shared" si="163"/>
        <v>0.45436683713023052</v>
      </c>
      <c r="AE105" s="531">
        <f t="shared" si="163"/>
        <v>0.45436683713023052</v>
      </c>
      <c r="AF105" s="531">
        <f t="shared" si="163"/>
        <v>0.45436683713023052</v>
      </c>
      <c r="AG105" s="531">
        <f t="shared" si="163"/>
        <v>0.45436683713023052</v>
      </c>
      <c r="AH105" s="531">
        <f t="shared" si="163"/>
        <v>0.45436683713023052</v>
      </c>
      <c r="AI105" s="531">
        <f t="shared" si="163"/>
        <v>0.45436683713023052</v>
      </c>
      <c r="AJ105" s="531">
        <f t="shared" si="163"/>
        <v>0.45436683713023046</v>
      </c>
      <c r="AK105" s="531">
        <f t="shared" si="163"/>
        <v>0.45436683713023046</v>
      </c>
      <c r="AL105" s="531">
        <f t="shared" si="163"/>
        <v>0.45436683713023046</v>
      </c>
      <c r="AM105" s="531">
        <f t="shared" si="163"/>
        <v>0.45436683713023046</v>
      </c>
      <c r="AN105" s="531">
        <f t="shared" si="163"/>
        <v>0.45436683713023046</v>
      </c>
      <c r="AO105" s="531">
        <f t="shared" si="163"/>
        <v>0.45436683713023046</v>
      </c>
      <c r="AP105" s="531">
        <f t="shared" si="163"/>
        <v>0.46135007859910826</v>
      </c>
      <c r="AQ105" s="531">
        <f t="shared" si="163"/>
        <v>0.46135007859910826</v>
      </c>
      <c r="AR105" s="531">
        <f t="shared" si="163"/>
        <v>0.46135007859910826</v>
      </c>
      <c r="AS105" s="531">
        <f t="shared" si="163"/>
        <v>0.46135007859910826</v>
      </c>
      <c r="AT105" s="531">
        <f t="shared" si="163"/>
        <v>0.46135007859910826</v>
      </c>
      <c r="AU105" s="531">
        <f t="shared" si="163"/>
        <v>0.46135007859910826</v>
      </c>
      <c r="AV105" s="531">
        <f t="shared" si="163"/>
        <v>0.46135007859910815</v>
      </c>
      <c r="AW105" s="531">
        <f t="shared" si="163"/>
        <v>0.46135007859910815</v>
      </c>
      <c r="AX105" s="531">
        <f t="shared" ref="AX105:BY105" si="164">IFERROR(AX104/(AX87+AX96),0)</f>
        <v>0.46135007859910815</v>
      </c>
      <c r="AY105" s="531">
        <f t="shared" si="164"/>
        <v>0.46135007859910815</v>
      </c>
      <c r="AZ105" s="531">
        <f t="shared" si="164"/>
        <v>0.46135007859910815</v>
      </c>
      <c r="BA105" s="531">
        <f t="shared" si="164"/>
        <v>0.46135007859910815</v>
      </c>
      <c r="BB105" s="531">
        <f t="shared" si="164"/>
        <v>0.46777725443170443</v>
      </c>
      <c r="BC105" s="531">
        <f t="shared" si="164"/>
        <v>0.46777725443170443</v>
      </c>
      <c r="BD105" s="531">
        <f t="shared" si="164"/>
        <v>0.46777725443170443</v>
      </c>
      <c r="BE105" s="531">
        <f t="shared" si="164"/>
        <v>0.46777725443170443</v>
      </c>
      <c r="BF105" s="531">
        <f t="shared" si="164"/>
        <v>0.46777725443170443</v>
      </c>
      <c r="BG105" s="531">
        <f t="shared" si="164"/>
        <v>0.46777725443170443</v>
      </c>
      <c r="BH105" s="531">
        <f t="shared" si="164"/>
        <v>0.46777725443170454</v>
      </c>
      <c r="BI105" s="531">
        <f t="shared" si="164"/>
        <v>0.46777725443170454</v>
      </c>
      <c r="BJ105" s="531">
        <f t="shared" si="164"/>
        <v>0.46777725443170454</v>
      </c>
      <c r="BK105" s="531">
        <f t="shared" si="164"/>
        <v>0.46777725443170454</v>
      </c>
      <c r="BL105" s="531">
        <f t="shared" si="164"/>
        <v>0.46777725443170454</v>
      </c>
      <c r="BM105" s="531">
        <f t="shared" si="164"/>
        <v>0.46777725443170454</v>
      </c>
      <c r="BN105" s="531">
        <f t="shared" si="164"/>
        <v>0.47408208728605544</v>
      </c>
      <c r="BO105" s="531">
        <f t="shared" si="164"/>
        <v>0.47408208728605544</v>
      </c>
      <c r="BP105" s="531">
        <f t="shared" si="164"/>
        <v>0.47408208728605544</v>
      </c>
      <c r="BQ105" s="531">
        <f t="shared" si="164"/>
        <v>0.47408208728605544</v>
      </c>
      <c r="BR105" s="531">
        <f t="shared" si="164"/>
        <v>0.47408208728605544</v>
      </c>
      <c r="BS105" s="531">
        <f t="shared" si="164"/>
        <v>0.47408208728605544</v>
      </c>
      <c r="BT105" s="531">
        <f t="shared" si="164"/>
        <v>0.47408208728605533</v>
      </c>
      <c r="BU105" s="531">
        <f t="shared" si="164"/>
        <v>0.47408208728605533</v>
      </c>
      <c r="BV105" s="531">
        <f t="shared" si="164"/>
        <v>0.47408208728605533</v>
      </c>
      <c r="BW105" s="531">
        <f t="shared" si="164"/>
        <v>0.47408208728605533</v>
      </c>
      <c r="BX105" s="531">
        <f t="shared" si="164"/>
        <v>0.47408208728605533</v>
      </c>
      <c r="BY105" s="531">
        <f t="shared" si="164"/>
        <v>0.47408208728605533</v>
      </c>
      <c r="BZ105" s="537"/>
      <c r="CA105" s="537"/>
      <c r="CB105" s="537"/>
    </row>
    <row r="106" spans="1:80" x14ac:dyDescent="0.3">
      <c r="A106" s="551"/>
      <c r="B106" s="548"/>
      <c r="C106" s="525"/>
      <c r="D106" s="525"/>
      <c r="E106" s="525"/>
      <c r="F106" s="529"/>
      <c r="G106" s="529"/>
      <c r="H106" s="529"/>
      <c r="I106" s="529"/>
      <c r="J106" s="529"/>
      <c r="K106" s="529"/>
      <c r="L106" s="529"/>
      <c r="M106" s="529"/>
      <c r="N106" s="529"/>
      <c r="O106" s="529"/>
      <c r="P106" s="562"/>
      <c r="Q106" s="537"/>
      <c r="R106" s="529"/>
      <c r="S106" s="529"/>
      <c r="T106" s="529"/>
      <c r="U106" s="529"/>
      <c r="V106" s="529"/>
      <c r="W106" s="529"/>
      <c r="X106" s="529"/>
      <c r="Y106" s="529"/>
      <c r="Z106" s="529"/>
      <c r="AA106" s="529"/>
      <c r="AB106" s="529"/>
      <c r="AC106" s="529"/>
      <c r="AD106" s="529"/>
      <c r="AE106" s="529"/>
      <c r="AF106" s="529"/>
      <c r="AG106" s="529"/>
      <c r="AH106" s="529"/>
      <c r="AI106" s="529"/>
      <c r="AJ106" s="529"/>
      <c r="AK106" s="529"/>
      <c r="AL106" s="529"/>
      <c r="AM106" s="529"/>
      <c r="AN106" s="529"/>
      <c r="AO106" s="529"/>
      <c r="AP106" s="529"/>
      <c r="AQ106" s="529"/>
      <c r="AR106" s="529"/>
      <c r="AS106" s="529"/>
      <c r="AT106" s="529"/>
      <c r="AU106" s="529"/>
      <c r="AV106" s="529"/>
      <c r="AW106" s="529"/>
      <c r="AX106" s="529"/>
      <c r="AY106" s="529"/>
      <c r="AZ106" s="529"/>
      <c r="BA106" s="529"/>
      <c r="BB106" s="529"/>
      <c r="BC106" s="529"/>
      <c r="BD106" s="529"/>
      <c r="BE106" s="529"/>
      <c r="BF106" s="529"/>
      <c r="BG106" s="529"/>
      <c r="BH106" s="529"/>
      <c r="BI106" s="529"/>
      <c r="BJ106" s="529"/>
      <c r="BK106" s="529"/>
      <c r="BL106" s="529"/>
      <c r="BM106" s="529"/>
      <c r="BN106" s="529"/>
      <c r="BO106" s="529"/>
      <c r="BP106" s="529"/>
      <c r="BQ106" s="529"/>
      <c r="BR106" s="529"/>
      <c r="BS106" s="529"/>
      <c r="BT106" s="529"/>
      <c r="BU106" s="529"/>
      <c r="BV106" s="529"/>
      <c r="BW106" s="529"/>
      <c r="BX106" s="529"/>
      <c r="BY106" s="529"/>
      <c r="BZ106" s="537"/>
      <c r="CA106" s="537"/>
      <c r="CB106" s="537"/>
    </row>
    <row r="107" spans="1:80" x14ac:dyDescent="0.3">
      <c r="A107" s="551"/>
      <c r="B107" s="548"/>
      <c r="C107" s="525"/>
      <c r="D107" s="525"/>
      <c r="E107" s="570" t="s">
        <v>25</v>
      </c>
      <c r="F107" s="529"/>
      <c r="G107" s="529"/>
      <c r="H107" s="529"/>
      <c r="I107" s="529"/>
      <c r="J107" s="529"/>
      <c r="K107" s="529"/>
      <c r="L107" s="529"/>
      <c r="M107" s="529"/>
      <c r="N107" s="529"/>
      <c r="O107" s="529"/>
      <c r="P107" s="562"/>
      <c r="Q107" s="537"/>
      <c r="R107" s="529"/>
      <c r="S107" s="529"/>
      <c r="T107" s="529"/>
      <c r="U107" s="529"/>
      <c r="V107" s="529"/>
      <c r="W107" s="529"/>
      <c r="X107" s="529"/>
      <c r="Y107" s="529"/>
      <c r="Z107" s="529"/>
      <c r="AA107" s="529"/>
      <c r="AB107" s="529"/>
      <c r="AC107" s="529"/>
      <c r="AD107" s="529"/>
      <c r="AE107" s="529"/>
      <c r="AF107" s="529"/>
      <c r="AG107" s="529"/>
      <c r="AH107" s="529"/>
      <c r="AI107" s="529"/>
      <c r="AJ107" s="529"/>
      <c r="AK107" s="529"/>
      <c r="AL107" s="529"/>
      <c r="AM107" s="529"/>
      <c r="AN107" s="529"/>
      <c r="AO107" s="529"/>
      <c r="AP107" s="529"/>
      <c r="AQ107" s="529"/>
      <c r="AR107" s="529"/>
      <c r="AS107" s="529"/>
      <c r="AT107" s="529"/>
      <c r="AU107" s="529"/>
      <c r="AV107" s="529"/>
      <c r="AW107" s="529"/>
      <c r="AX107" s="529"/>
      <c r="AY107" s="529"/>
      <c r="AZ107" s="529"/>
      <c r="BA107" s="529"/>
      <c r="BB107" s="529"/>
      <c r="BC107" s="529"/>
      <c r="BD107" s="529"/>
      <c r="BE107" s="529"/>
      <c r="BF107" s="529"/>
      <c r="BG107" s="529"/>
      <c r="BH107" s="529"/>
      <c r="BI107" s="529"/>
      <c r="BJ107" s="529"/>
      <c r="BK107" s="529"/>
      <c r="BL107" s="529"/>
      <c r="BM107" s="529"/>
      <c r="BN107" s="529"/>
      <c r="BO107" s="529"/>
      <c r="BP107" s="529"/>
      <c r="BQ107" s="529"/>
      <c r="BR107" s="529"/>
      <c r="BS107" s="529"/>
      <c r="BT107" s="529"/>
      <c r="BU107" s="529"/>
      <c r="BV107" s="529"/>
      <c r="BW107" s="529"/>
      <c r="BX107" s="529"/>
      <c r="BY107" s="529"/>
      <c r="BZ107" s="537"/>
      <c r="CA107" s="537"/>
      <c r="CB107" s="537"/>
    </row>
    <row r="108" spans="1:80" x14ac:dyDescent="0.3">
      <c r="A108" s="551"/>
      <c r="B108" s="548"/>
      <c r="C108" s="525"/>
      <c r="D108" s="525"/>
      <c r="E108" s="525" t="s">
        <v>25</v>
      </c>
      <c r="F108" s="567"/>
      <c r="G108" s="567"/>
      <c r="H108" s="567"/>
      <c r="I108" s="527">
        <f t="shared" ref="I108:N110" si="165">I43/I$82</f>
        <v>35955.150942705011</v>
      </c>
      <c r="J108" s="527">
        <f t="shared" si="165"/>
        <v>37601.138402917284</v>
      </c>
      <c r="K108" s="527">
        <f t="shared" si="165"/>
        <v>39700.269912183619</v>
      </c>
      <c r="L108" s="527">
        <f t="shared" si="165"/>
        <v>41861.914084130374</v>
      </c>
      <c r="M108" s="527">
        <f t="shared" si="165"/>
        <v>44040.45437005502</v>
      </c>
      <c r="N108" s="527">
        <f t="shared" si="165"/>
        <v>46293.198831989299</v>
      </c>
      <c r="O108" s="529"/>
      <c r="P108" s="564">
        <f>IFERROR(((N108/I108)^(1/5))-1,0)</f>
        <v>5.1843711888893473E-2</v>
      </c>
      <c r="Q108" s="537"/>
      <c r="R108" s="527">
        <f t="shared" ref="R108:AW108" si="166">R43/R$82</f>
        <v>3085.9923089293839</v>
      </c>
      <c r="S108" s="527">
        <f t="shared" si="166"/>
        <v>3085.9923089293839</v>
      </c>
      <c r="T108" s="527">
        <f t="shared" si="166"/>
        <v>3085.9923089293839</v>
      </c>
      <c r="U108" s="527">
        <f t="shared" si="166"/>
        <v>3085.9923089293839</v>
      </c>
      <c r="V108" s="527">
        <f t="shared" si="166"/>
        <v>3085.9923089293839</v>
      </c>
      <c r="W108" s="527">
        <f t="shared" si="166"/>
        <v>3085.9923089293839</v>
      </c>
      <c r="X108" s="527">
        <f t="shared" si="166"/>
        <v>3180.8640915568299</v>
      </c>
      <c r="Y108" s="527">
        <f t="shared" si="166"/>
        <v>3180.8640915568299</v>
      </c>
      <c r="Z108" s="527">
        <f t="shared" si="166"/>
        <v>3180.8640915568299</v>
      </c>
      <c r="AA108" s="527">
        <f t="shared" si="166"/>
        <v>3180.8640915568299</v>
      </c>
      <c r="AB108" s="527">
        <f t="shared" si="166"/>
        <v>3180.8640915568299</v>
      </c>
      <c r="AC108" s="527">
        <f t="shared" si="166"/>
        <v>3180.8640915568299</v>
      </c>
      <c r="AD108" s="527">
        <f t="shared" si="166"/>
        <v>3247.5194911952094</v>
      </c>
      <c r="AE108" s="527">
        <f t="shared" si="166"/>
        <v>3247.5194911952094</v>
      </c>
      <c r="AF108" s="527">
        <f t="shared" si="166"/>
        <v>3247.5194911952094</v>
      </c>
      <c r="AG108" s="527">
        <f t="shared" si="166"/>
        <v>3247.5194911952094</v>
      </c>
      <c r="AH108" s="527">
        <f t="shared" si="166"/>
        <v>3247.5194911952094</v>
      </c>
      <c r="AI108" s="527">
        <f t="shared" si="166"/>
        <v>3247.5194911952094</v>
      </c>
      <c r="AJ108" s="527">
        <f t="shared" si="166"/>
        <v>3369.1921608353928</v>
      </c>
      <c r="AK108" s="527">
        <f t="shared" si="166"/>
        <v>3369.1921608353928</v>
      </c>
      <c r="AL108" s="527">
        <f t="shared" si="166"/>
        <v>3369.1921608353928</v>
      </c>
      <c r="AM108" s="527">
        <f t="shared" si="166"/>
        <v>3369.1921608353928</v>
      </c>
      <c r="AN108" s="527">
        <f t="shared" si="166"/>
        <v>3369.1921608353928</v>
      </c>
      <c r="AO108" s="527">
        <f t="shared" si="166"/>
        <v>3369.1921608353928</v>
      </c>
      <c r="AP108" s="527">
        <f t="shared" si="166"/>
        <v>3413.3609290860313</v>
      </c>
      <c r="AQ108" s="527">
        <f t="shared" si="166"/>
        <v>3413.3609290860313</v>
      </c>
      <c r="AR108" s="527">
        <f t="shared" si="166"/>
        <v>3413.3609290860313</v>
      </c>
      <c r="AS108" s="527">
        <f t="shared" si="166"/>
        <v>3413.3609290860313</v>
      </c>
      <c r="AT108" s="527">
        <f t="shared" si="166"/>
        <v>3413.3609290860313</v>
      </c>
      <c r="AU108" s="527">
        <f t="shared" si="166"/>
        <v>3413.3609290860313</v>
      </c>
      <c r="AV108" s="527">
        <f t="shared" si="166"/>
        <v>3563.6247516023641</v>
      </c>
      <c r="AW108" s="527">
        <f t="shared" si="166"/>
        <v>3563.6247516023641</v>
      </c>
      <c r="AX108" s="527">
        <f t="shared" ref="AX108:BY108" si="167">AX43/AX$82</f>
        <v>3563.6247516023641</v>
      </c>
      <c r="AY108" s="527">
        <f t="shared" si="167"/>
        <v>3563.6247516023641</v>
      </c>
      <c r="AZ108" s="527">
        <f t="shared" si="167"/>
        <v>3563.6247516023641</v>
      </c>
      <c r="BA108" s="527">
        <f t="shared" si="167"/>
        <v>3563.6247516023641</v>
      </c>
      <c r="BB108" s="527">
        <f t="shared" si="167"/>
        <v>3579.6969512940032</v>
      </c>
      <c r="BC108" s="527">
        <f t="shared" si="167"/>
        <v>3579.6969512940032</v>
      </c>
      <c r="BD108" s="527">
        <f t="shared" si="167"/>
        <v>3579.6969512940032</v>
      </c>
      <c r="BE108" s="527">
        <f t="shared" si="167"/>
        <v>3579.6969512940032</v>
      </c>
      <c r="BF108" s="527">
        <f t="shared" si="167"/>
        <v>3579.6969512940032</v>
      </c>
      <c r="BG108" s="527">
        <f t="shared" si="167"/>
        <v>3579.6969512940032</v>
      </c>
      <c r="BH108" s="527">
        <f t="shared" si="167"/>
        <v>3760.378777048501</v>
      </c>
      <c r="BI108" s="527">
        <f t="shared" si="167"/>
        <v>3760.378777048501</v>
      </c>
      <c r="BJ108" s="527">
        <f t="shared" si="167"/>
        <v>3760.378777048501</v>
      </c>
      <c r="BK108" s="527">
        <f t="shared" si="167"/>
        <v>3760.378777048501</v>
      </c>
      <c r="BL108" s="527">
        <f t="shared" si="167"/>
        <v>3760.378777048501</v>
      </c>
      <c r="BM108" s="527">
        <f t="shared" si="167"/>
        <v>3760.378777048501</v>
      </c>
      <c r="BN108" s="527">
        <f t="shared" si="167"/>
        <v>3751.2598430381504</v>
      </c>
      <c r="BO108" s="527">
        <f t="shared" si="167"/>
        <v>3751.2598430381504</v>
      </c>
      <c r="BP108" s="527">
        <f t="shared" si="167"/>
        <v>3751.2598430381504</v>
      </c>
      <c r="BQ108" s="527">
        <f t="shared" si="167"/>
        <v>3751.2598430381504</v>
      </c>
      <c r="BR108" s="527">
        <f t="shared" si="167"/>
        <v>3751.2598430381504</v>
      </c>
      <c r="BS108" s="527">
        <f t="shared" si="167"/>
        <v>3751.2598430381504</v>
      </c>
      <c r="BT108" s="527">
        <f t="shared" si="167"/>
        <v>3964.2732956267337</v>
      </c>
      <c r="BU108" s="527">
        <f t="shared" si="167"/>
        <v>3964.2732956267337</v>
      </c>
      <c r="BV108" s="527">
        <f t="shared" si="167"/>
        <v>3964.2732956267337</v>
      </c>
      <c r="BW108" s="527">
        <f t="shared" si="167"/>
        <v>3964.2732956267337</v>
      </c>
      <c r="BX108" s="527">
        <f t="shared" si="167"/>
        <v>3964.2732956267337</v>
      </c>
      <c r="BY108" s="527">
        <f t="shared" si="167"/>
        <v>3964.2732956267337</v>
      </c>
      <c r="BZ108" s="537"/>
      <c r="CA108" s="537"/>
      <c r="CB108" s="574"/>
    </row>
    <row r="109" spans="1:80" x14ac:dyDescent="0.3">
      <c r="A109" s="551"/>
      <c r="B109" s="548"/>
      <c r="C109" s="525"/>
      <c r="D109" s="525"/>
      <c r="E109" s="525" t="s">
        <v>14</v>
      </c>
      <c r="F109" s="567"/>
      <c r="G109" s="567"/>
      <c r="H109" s="567"/>
      <c r="I109" s="527">
        <f t="shared" si="165"/>
        <v>4997.1128932521742</v>
      </c>
      <c r="J109" s="527">
        <f t="shared" si="165"/>
        <v>5172.6470939358551</v>
      </c>
      <c r="K109" s="527">
        <f t="shared" si="165"/>
        <v>5344.3662229822385</v>
      </c>
      <c r="L109" s="527">
        <f t="shared" si="165"/>
        <v>5514.5820908693377</v>
      </c>
      <c r="M109" s="527">
        <f t="shared" si="165"/>
        <v>5656.6906050844245</v>
      </c>
      <c r="N109" s="527">
        <f t="shared" si="165"/>
        <v>5779.0053035270785</v>
      </c>
      <c r="O109" s="529"/>
      <c r="P109" s="564">
        <f>IFERROR(((N109/I109)^(1/5))-1,0)</f>
        <v>2.9501032242708503E-2</v>
      </c>
      <c r="Q109" s="537"/>
      <c r="R109" s="527">
        <f t="shared" ref="R109:AW109" si="168">R44/R$82</f>
        <v>431.05392449465455</v>
      </c>
      <c r="S109" s="527">
        <f t="shared" si="168"/>
        <v>431.05392449465455</v>
      </c>
      <c r="T109" s="527">
        <f t="shared" si="168"/>
        <v>431.05392449465455</v>
      </c>
      <c r="U109" s="527">
        <f t="shared" si="168"/>
        <v>431.05392449465455</v>
      </c>
      <c r="V109" s="527">
        <f t="shared" si="168"/>
        <v>431.05392449465455</v>
      </c>
      <c r="W109" s="527">
        <f t="shared" si="168"/>
        <v>431.05392449465455</v>
      </c>
      <c r="X109" s="527">
        <f t="shared" si="168"/>
        <v>431.05392449465455</v>
      </c>
      <c r="Y109" s="527">
        <f t="shared" si="168"/>
        <v>431.05392449465455</v>
      </c>
      <c r="Z109" s="527">
        <f t="shared" si="168"/>
        <v>431.05392449465455</v>
      </c>
      <c r="AA109" s="527">
        <f t="shared" si="168"/>
        <v>431.05392449465455</v>
      </c>
      <c r="AB109" s="527">
        <f t="shared" si="168"/>
        <v>431.05392449465455</v>
      </c>
      <c r="AC109" s="527">
        <f t="shared" si="168"/>
        <v>431.05392449465455</v>
      </c>
      <c r="AD109" s="527">
        <f t="shared" si="168"/>
        <v>445.3638519151865</v>
      </c>
      <c r="AE109" s="527">
        <f t="shared" si="168"/>
        <v>445.3638519151865</v>
      </c>
      <c r="AF109" s="527">
        <f t="shared" si="168"/>
        <v>445.3638519151865</v>
      </c>
      <c r="AG109" s="527">
        <f t="shared" si="168"/>
        <v>445.3638519151865</v>
      </c>
      <c r="AH109" s="527">
        <f t="shared" si="168"/>
        <v>445.3638519151865</v>
      </c>
      <c r="AI109" s="527">
        <f t="shared" si="168"/>
        <v>445.3638519151865</v>
      </c>
      <c r="AJ109" s="527">
        <f t="shared" si="168"/>
        <v>445.3638519151865</v>
      </c>
      <c r="AK109" s="527">
        <f t="shared" si="168"/>
        <v>445.3638519151865</v>
      </c>
      <c r="AL109" s="527">
        <f t="shared" si="168"/>
        <v>445.3638519151865</v>
      </c>
      <c r="AM109" s="527">
        <f t="shared" si="168"/>
        <v>445.3638519151865</v>
      </c>
      <c r="AN109" s="527">
        <f t="shared" si="168"/>
        <v>445.3638519151865</v>
      </c>
      <c r="AO109" s="527">
        <f t="shared" si="168"/>
        <v>445.3638519151865</v>
      </c>
      <c r="AP109" s="527">
        <f t="shared" si="168"/>
        <v>459.54850757244481</v>
      </c>
      <c r="AQ109" s="527">
        <f t="shared" si="168"/>
        <v>459.54850757244481</v>
      </c>
      <c r="AR109" s="527">
        <f t="shared" si="168"/>
        <v>459.54850757244481</v>
      </c>
      <c r="AS109" s="527">
        <f t="shared" si="168"/>
        <v>459.54850757244481</v>
      </c>
      <c r="AT109" s="527">
        <f t="shared" si="168"/>
        <v>459.54850757244481</v>
      </c>
      <c r="AU109" s="527">
        <f t="shared" si="168"/>
        <v>459.54850757244481</v>
      </c>
      <c r="AV109" s="527">
        <f t="shared" si="168"/>
        <v>459.54850757244481</v>
      </c>
      <c r="AW109" s="527">
        <f t="shared" si="168"/>
        <v>459.54850757244481</v>
      </c>
      <c r="AX109" s="527">
        <f t="shared" ref="AX109:BY109" si="169">AX44/AX$82</f>
        <v>459.54850757244481</v>
      </c>
      <c r="AY109" s="527">
        <f t="shared" si="169"/>
        <v>459.54850757244481</v>
      </c>
      <c r="AZ109" s="527">
        <f t="shared" si="169"/>
        <v>459.54850757244481</v>
      </c>
      <c r="BA109" s="527">
        <f t="shared" si="169"/>
        <v>459.54850757244481</v>
      </c>
      <c r="BB109" s="527">
        <f t="shared" si="169"/>
        <v>471.39088375703545</v>
      </c>
      <c r="BC109" s="527">
        <f t="shared" si="169"/>
        <v>471.39088375703545</v>
      </c>
      <c r="BD109" s="527">
        <f t="shared" si="169"/>
        <v>471.39088375703545</v>
      </c>
      <c r="BE109" s="527">
        <f t="shared" si="169"/>
        <v>471.39088375703545</v>
      </c>
      <c r="BF109" s="527">
        <f t="shared" si="169"/>
        <v>471.39088375703545</v>
      </c>
      <c r="BG109" s="527">
        <f t="shared" si="169"/>
        <v>471.39088375703545</v>
      </c>
      <c r="BH109" s="527">
        <f t="shared" si="169"/>
        <v>471.39088375703545</v>
      </c>
      <c r="BI109" s="527">
        <f t="shared" si="169"/>
        <v>471.39088375703545</v>
      </c>
      <c r="BJ109" s="527">
        <f t="shared" si="169"/>
        <v>471.39088375703545</v>
      </c>
      <c r="BK109" s="527">
        <f t="shared" si="169"/>
        <v>471.39088375703545</v>
      </c>
      <c r="BL109" s="527">
        <f t="shared" si="169"/>
        <v>471.39088375703545</v>
      </c>
      <c r="BM109" s="527">
        <f t="shared" si="169"/>
        <v>471.39088375703545</v>
      </c>
      <c r="BN109" s="527">
        <f t="shared" si="169"/>
        <v>481.58377529392322</v>
      </c>
      <c r="BO109" s="527">
        <f t="shared" si="169"/>
        <v>481.58377529392322</v>
      </c>
      <c r="BP109" s="527">
        <f t="shared" si="169"/>
        <v>481.58377529392322</v>
      </c>
      <c r="BQ109" s="527">
        <f t="shared" si="169"/>
        <v>481.58377529392322</v>
      </c>
      <c r="BR109" s="527">
        <f t="shared" si="169"/>
        <v>481.58377529392322</v>
      </c>
      <c r="BS109" s="527">
        <f t="shared" si="169"/>
        <v>481.58377529392322</v>
      </c>
      <c r="BT109" s="527">
        <f t="shared" si="169"/>
        <v>481.58377529392322</v>
      </c>
      <c r="BU109" s="527">
        <f t="shared" si="169"/>
        <v>481.58377529392322</v>
      </c>
      <c r="BV109" s="527">
        <f t="shared" si="169"/>
        <v>481.58377529392322</v>
      </c>
      <c r="BW109" s="527">
        <f t="shared" si="169"/>
        <v>481.58377529392322</v>
      </c>
      <c r="BX109" s="527">
        <f t="shared" si="169"/>
        <v>481.58377529392322</v>
      </c>
      <c r="BY109" s="527">
        <f t="shared" si="169"/>
        <v>481.58377529392322</v>
      </c>
      <c r="BZ109" s="537"/>
      <c r="CA109" s="537"/>
      <c r="CB109" s="574"/>
    </row>
    <row r="110" spans="1:80" x14ac:dyDescent="0.3">
      <c r="A110" s="551"/>
      <c r="B110" s="548"/>
      <c r="C110" s="525"/>
      <c r="D110" s="525"/>
      <c r="E110" s="572" t="s">
        <v>26</v>
      </c>
      <c r="F110" s="573"/>
      <c r="G110" s="573"/>
      <c r="H110" s="573"/>
      <c r="I110" s="532">
        <f t="shared" si="165"/>
        <v>40952.263835957187</v>
      </c>
      <c r="J110" s="532">
        <f t="shared" si="165"/>
        <v>42773.785496853139</v>
      </c>
      <c r="K110" s="532">
        <f t="shared" si="165"/>
        <v>45044.636135165856</v>
      </c>
      <c r="L110" s="532">
        <f t="shared" si="165"/>
        <v>47376.496174999709</v>
      </c>
      <c r="M110" s="532">
        <f t="shared" si="165"/>
        <v>49697.144975139461</v>
      </c>
      <c r="N110" s="532">
        <f t="shared" si="165"/>
        <v>52072.204135516382</v>
      </c>
      <c r="O110" s="536"/>
      <c r="P110" s="568">
        <f>IFERROR(((N110/I110)^(1/5))-1,0)</f>
        <v>4.9217702202226432E-2</v>
      </c>
      <c r="Q110" s="537"/>
      <c r="R110" s="532">
        <f t="shared" ref="R110:AW110" si="170">R45/R$82</f>
        <v>3517.0462334240383</v>
      </c>
      <c r="S110" s="530">
        <f t="shared" si="170"/>
        <v>3517.0462334240383</v>
      </c>
      <c r="T110" s="532">
        <f t="shared" si="170"/>
        <v>3517.0462334240383</v>
      </c>
      <c r="U110" s="532">
        <f t="shared" si="170"/>
        <v>3517.0462334240383</v>
      </c>
      <c r="V110" s="532">
        <f t="shared" si="170"/>
        <v>3517.0462334240383</v>
      </c>
      <c r="W110" s="532">
        <f t="shared" si="170"/>
        <v>3517.0462334240383</v>
      </c>
      <c r="X110" s="532">
        <f t="shared" si="170"/>
        <v>3611.9180160514848</v>
      </c>
      <c r="Y110" s="532">
        <f t="shared" si="170"/>
        <v>3611.9180160514848</v>
      </c>
      <c r="Z110" s="532">
        <f t="shared" si="170"/>
        <v>3611.9180160514848</v>
      </c>
      <c r="AA110" s="532">
        <f t="shared" si="170"/>
        <v>3611.9180160514848</v>
      </c>
      <c r="AB110" s="532">
        <f t="shared" si="170"/>
        <v>3611.9180160514848</v>
      </c>
      <c r="AC110" s="532">
        <f t="shared" si="170"/>
        <v>3611.9180160514848</v>
      </c>
      <c r="AD110" s="532">
        <f t="shared" si="170"/>
        <v>3692.8833431103958</v>
      </c>
      <c r="AE110" s="532">
        <f t="shared" si="170"/>
        <v>3692.8833431103958</v>
      </c>
      <c r="AF110" s="532">
        <f t="shared" si="170"/>
        <v>3692.8833431103958</v>
      </c>
      <c r="AG110" s="532">
        <f t="shared" si="170"/>
        <v>3692.8833431103958</v>
      </c>
      <c r="AH110" s="532">
        <f t="shared" si="170"/>
        <v>3692.8833431103958</v>
      </c>
      <c r="AI110" s="532">
        <f t="shared" si="170"/>
        <v>3692.8833431103958</v>
      </c>
      <c r="AJ110" s="532">
        <f t="shared" si="170"/>
        <v>3814.5560127505796</v>
      </c>
      <c r="AK110" s="532">
        <f t="shared" si="170"/>
        <v>3814.5560127505796</v>
      </c>
      <c r="AL110" s="532">
        <f t="shared" si="170"/>
        <v>3814.5560127505796</v>
      </c>
      <c r="AM110" s="532">
        <f t="shared" si="170"/>
        <v>3814.5560127505796</v>
      </c>
      <c r="AN110" s="532">
        <f t="shared" si="170"/>
        <v>3814.5560127505796</v>
      </c>
      <c r="AO110" s="532">
        <f t="shared" si="170"/>
        <v>3814.5560127505796</v>
      </c>
      <c r="AP110" s="532">
        <f t="shared" si="170"/>
        <v>3872.9094366584764</v>
      </c>
      <c r="AQ110" s="532">
        <f t="shared" si="170"/>
        <v>3872.9094366584764</v>
      </c>
      <c r="AR110" s="532">
        <f t="shared" si="170"/>
        <v>3872.9094366584764</v>
      </c>
      <c r="AS110" s="532">
        <f t="shared" si="170"/>
        <v>3872.9094366584764</v>
      </c>
      <c r="AT110" s="532">
        <f t="shared" si="170"/>
        <v>3872.9094366584764</v>
      </c>
      <c r="AU110" s="532">
        <f t="shared" si="170"/>
        <v>3872.9094366584764</v>
      </c>
      <c r="AV110" s="532">
        <f t="shared" si="170"/>
        <v>4023.1732591748091</v>
      </c>
      <c r="AW110" s="532">
        <f t="shared" si="170"/>
        <v>4023.1732591748091</v>
      </c>
      <c r="AX110" s="532">
        <f t="shared" ref="AX110:BY110" si="171">AX45/AX$82</f>
        <v>4023.1732591748091</v>
      </c>
      <c r="AY110" s="532">
        <f t="shared" si="171"/>
        <v>4023.1732591748091</v>
      </c>
      <c r="AZ110" s="532">
        <f t="shared" si="171"/>
        <v>4023.1732591748091</v>
      </c>
      <c r="BA110" s="532">
        <f t="shared" si="171"/>
        <v>4023.1732591748091</v>
      </c>
      <c r="BB110" s="532">
        <f t="shared" si="171"/>
        <v>4051.0878350510384</v>
      </c>
      <c r="BC110" s="532">
        <f t="shared" si="171"/>
        <v>4051.0878350510384</v>
      </c>
      <c r="BD110" s="532">
        <f t="shared" si="171"/>
        <v>4051.0878350510384</v>
      </c>
      <c r="BE110" s="532">
        <f t="shared" si="171"/>
        <v>4051.0878350510384</v>
      </c>
      <c r="BF110" s="532">
        <f t="shared" si="171"/>
        <v>4051.0878350510384</v>
      </c>
      <c r="BG110" s="532">
        <f t="shared" si="171"/>
        <v>4051.0878350510384</v>
      </c>
      <c r="BH110" s="532">
        <f t="shared" si="171"/>
        <v>4231.7696608055367</v>
      </c>
      <c r="BI110" s="532">
        <f t="shared" si="171"/>
        <v>4231.7696608055367</v>
      </c>
      <c r="BJ110" s="532">
        <f t="shared" si="171"/>
        <v>4231.7696608055367</v>
      </c>
      <c r="BK110" s="532">
        <f t="shared" si="171"/>
        <v>4231.7696608055367</v>
      </c>
      <c r="BL110" s="532">
        <f t="shared" si="171"/>
        <v>4231.7696608055367</v>
      </c>
      <c r="BM110" s="532">
        <f t="shared" si="171"/>
        <v>4231.7696608055367</v>
      </c>
      <c r="BN110" s="532">
        <f t="shared" si="171"/>
        <v>4232.8436183320737</v>
      </c>
      <c r="BO110" s="532">
        <f t="shared" si="171"/>
        <v>4232.8436183320737</v>
      </c>
      <c r="BP110" s="532">
        <f t="shared" si="171"/>
        <v>4232.8436183320737</v>
      </c>
      <c r="BQ110" s="532">
        <f t="shared" si="171"/>
        <v>4232.8436183320737</v>
      </c>
      <c r="BR110" s="532">
        <f t="shared" si="171"/>
        <v>4232.8436183320737</v>
      </c>
      <c r="BS110" s="532">
        <f t="shared" si="171"/>
        <v>4232.8436183320737</v>
      </c>
      <c r="BT110" s="532">
        <f t="shared" si="171"/>
        <v>4445.857070920657</v>
      </c>
      <c r="BU110" s="532">
        <f t="shared" si="171"/>
        <v>4445.857070920657</v>
      </c>
      <c r="BV110" s="532">
        <f t="shared" si="171"/>
        <v>4445.857070920657</v>
      </c>
      <c r="BW110" s="532">
        <f t="shared" si="171"/>
        <v>4445.857070920657</v>
      </c>
      <c r="BX110" s="532">
        <f t="shared" si="171"/>
        <v>4445.857070920657</v>
      </c>
      <c r="BY110" s="532">
        <f t="shared" si="171"/>
        <v>4445.857070920657</v>
      </c>
      <c r="BZ110" s="537"/>
      <c r="CA110" s="537"/>
      <c r="CB110" s="574"/>
    </row>
    <row r="111" spans="1:80" x14ac:dyDescent="0.3">
      <c r="A111" s="551"/>
      <c r="B111" s="548"/>
      <c r="C111" s="525"/>
      <c r="D111" s="525"/>
      <c r="E111" s="525"/>
      <c r="F111" s="529"/>
      <c r="G111" s="529"/>
      <c r="H111" s="529"/>
      <c r="I111" s="529"/>
      <c r="J111" s="529"/>
      <c r="K111" s="529"/>
      <c r="L111" s="529"/>
      <c r="M111" s="529"/>
      <c r="N111" s="529"/>
      <c r="O111" s="529"/>
      <c r="P111" s="562"/>
      <c r="Q111" s="537"/>
      <c r="R111" s="529"/>
      <c r="S111" s="529"/>
      <c r="T111" s="529"/>
      <c r="U111" s="529"/>
      <c r="V111" s="529"/>
      <c r="W111" s="529"/>
      <c r="X111" s="529"/>
      <c r="Y111" s="529"/>
      <c r="Z111" s="529"/>
      <c r="AA111" s="529"/>
      <c r="AB111" s="529"/>
      <c r="AC111" s="529"/>
      <c r="AD111" s="529"/>
      <c r="AE111" s="529"/>
      <c r="AF111" s="529"/>
      <c r="AG111" s="529"/>
      <c r="AH111" s="529"/>
      <c r="AI111" s="529"/>
      <c r="AJ111" s="529"/>
      <c r="AK111" s="529"/>
      <c r="AL111" s="529"/>
      <c r="AM111" s="529"/>
      <c r="AN111" s="529"/>
      <c r="AO111" s="529"/>
      <c r="AP111" s="529"/>
      <c r="AQ111" s="529"/>
      <c r="AR111" s="529"/>
      <c r="AS111" s="529"/>
      <c r="AT111" s="529"/>
      <c r="AU111" s="529"/>
      <c r="AV111" s="529"/>
      <c r="AW111" s="529"/>
      <c r="AX111" s="529"/>
      <c r="AY111" s="529"/>
      <c r="AZ111" s="529"/>
      <c r="BA111" s="529"/>
      <c r="BB111" s="529"/>
      <c r="BC111" s="529"/>
      <c r="BD111" s="529"/>
      <c r="BE111" s="529"/>
      <c r="BF111" s="529"/>
      <c r="BG111" s="529"/>
      <c r="BH111" s="529"/>
      <c r="BI111" s="529"/>
      <c r="BJ111" s="529"/>
      <c r="BK111" s="529"/>
      <c r="BL111" s="529"/>
      <c r="BM111" s="529"/>
      <c r="BN111" s="529"/>
      <c r="BO111" s="529"/>
      <c r="BP111" s="529"/>
      <c r="BQ111" s="529"/>
      <c r="BR111" s="529"/>
      <c r="BS111" s="529"/>
      <c r="BT111" s="529"/>
      <c r="BU111" s="529"/>
      <c r="BV111" s="529"/>
      <c r="BW111" s="529"/>
      <c r="BX111" s="529"/>
      <c r="BY111" s="529"/>
      <c r="BZ111" s="537"/>
      <c r="CA111" s="537"/>
      <c r="CB111" s="537"/>
    </row>
    <row r="112" spans="1:80" x14ac:dyDescent="0.3">
      <c r="A112" s="551"/>
      <c r="B112" s="548"/>
      <c r="C112" s="525"/>
      <c r="D112" s="525"/>
      <c r="E112" s="570" t="s">
        <v>27</v>
      </c>
      <c r="F112" s="529"/>
      <c r="G112" s="529"/>
      <c r="H112" s="529"/>
      <c r="I112" s="529"/>
      <c r="J112" s="529"/>
      <c r="K112" s="529"/>
      <c r="L112" s="529"/>
      <c r="M112" s="529"/>
      <c r="N112" s="529"/>
      <c r="O112" s="529"/>
      <c r="P112" s="562"/>
      <c r="Q112" s="537"/>
      <c r="R112" s="529"/>
      <c r="S112" s="529"/>
      <c r="T112" s="529"/>
      <c r="U112" s="529"/>
      <c r="V112" s="529"/>
      <c r="W112" s="529"/>
      <c r="X112" s="529"/>
      <c r="Y112" s="529"/>
      <c r="Z112" s="529"/>
      <c r="AA112" s="529"/>
      <c r="AB112" s="529"/>
      <c r="AC112" s="529"/>
      <c r="AD112" s="529"/>
      <c r="AE112" s="529"/>
      <c r="AF112" s="529"/>
      <c r="AG112" s="529"/>
      <c r="AH112" s="529"/>
      <c r="AI112" s="529"/>
      <c r="AJ112" s="529"/>
      <c r="AK112" s="529"/>
      <c r="AL112" s="529"/>
      <c r="AM112" s="529"/>
      <c r="AN112" s="529"/>
      <c r="AO112" s="529"/>
      <c r="AP112" s="529"/>
      <c r="AQ112" s="529"/>
      <c r="AR112" s="529"/>
      <c r="AS112" s="529"/>
      <c r="AT112" s="529"/>
      <c r="AU112" s="529"/>
      <c r="AV112" s="529"/>
      <c r="AW112" s="529"/>
      <c r="AX112" s="529"/>
      <c r="AY112" s="529"/>
      <c r="AZ112" s="529"/>
      <c r="BA112" s="529"/>
      <c r="BB112" s="529"/>
      <c r="BC112" s="529"/>
      <c r="BD112" s="529"/>
      <c r="BE112" s="529"/>
      <c r="BF112" s="529"/>
      <c r="BG112" s="529"/>
      <c r="BH112" s="529"/>
      <c r="BI112" s="529"/>
      <c r="BJ112" s="529"/>
      <c r="BK112" s="529"/>
      <c r="BL112" s="529"/>
      <c r="BM112" s="529"/>
      <c r="BN112" s="529"/>
      <c r="BO112" s="529"/>
      <c r="BP112" s="529"/>
      <c r="BQ112" s="529"/>
      <c r="BR112" s="529"/>
      <c r="BS112" s="529"/>
      <c r="BT112" s="529"/>
      <c r="BU112" s="529"/>
      <c r="BV112" s="529"/>
      <c r="BW112" s="529"/>
      <c r="BX112" s="529"/>
      <c r="BY112" s="529"/>
      <c r="BZ112" s="537"/>
      <c r="CA112" s="537"/>
      <c r="CB112" s="537"/>
    </row>
    <row r="113" spans="1:80" x14ac:dyDescent="0.3">
      <c r="A113" s="551"/>
      <c r="B113" s="548"/>
      <c r="C113" s="525"/>
      <c r="D113" s="525"/>
      <c r="E113" s="525" t="s">
        <v>28</v>
      </c>
      <c r="F113" s="567"/>
      <c r="G113" s="567"/>
      <c r="H113" s="567"/>
      <c r="I113" s="527">
        <f t="shared" ref="I113:N117" si="172">I48/I$82</f>
        <v>100.77504347826084</v>
      </c>
      <c r="J113" s="527">
        <f t="shared" si="172"/>
        <v>100.77504347826087</v>
      </c>
      <c r="K113" s="527">
        <f t="shared" si="172"/>
        <v>100.77504347826087</v>
      </c>
      <c r="L113" s="527">
        <f t="shared" si="172"/>
        <v>100.77504347826087</v>
      </c>
      <c r="M113" s="527">
        <f t="shared" si="172"/>
        <v>100.77504347826087</v>
      </c>
      <c r="N113" s="527">
        <f t="shared" si="172"/>
        <v>100.77504347826087</v>
      </c>
      <c r="O113" s="529"/>
      <c r="P113" s="564">
        <f>IFERROR(((N113/I113)^(1/5))-1,0)</f>
        <v>0</v>
      </c>
      <c r="Q113" s="537"/>
      <c r="R113" s="527">
        <f t="shared" ref="R113:AW113" si="173">R48/R$82</f>
        <v>8.3979202898550707</v>
      </c>
      <c r="S113" s="527">
        <f t="shared" si="173"/>
        <v>8.3979202898550707</v>
      </c>
      <c r="T113" s="527">
        <f t="shared" si="173"/>
        <v>8.3979202898550707</v>
      </c>
      <c r="U113" s="527">
        <f t="shared" si="173"/>
        <v>8.3979202898550707</v>
      </c>
      <c r="V113" s="527">
        <f t="shared" si="173"/>
        <v>8.3979202898550707</v>
      </c>
      <c r="W113" s="527">
        <f t="shared" si="173"/>
        <v>8.3979202898550707</v>
      </c>
      <c r="X113" s="527">
        <f t="shared" si="173"/>
        <v>8.3979202898550707</v>
      </c>
      <c r="Y113" s="527">
        <f t="shared" si="173"/>
        <v>8.3979202898550707</v>
      </c>
      <c r="Z113" s="527">
        <f t="shared" si="173"/>
        <v>8.3979202898550707</v>
      </c>
      <c r="AA113" s="527">
        <f t="shared" si="173"/>
        <v>8.3979202898550707</v>
      </c>
      <c r="AB113" s="527">
        <f t="shared" si="173"/>
        <v>8.3979202898550707</v>
      </c>
      <c r="AC113" s="527">
        <f t="shared" si="173"/>
        <v>8.3979202898550707</v>
      </c>
      <c r="AD113" s="527">
        <f t="shared" si="173"/>
        <v>8.3979202898550707</v>
      </c>
      <c r="AE113" s="527">
        <f t="shared" si="173"/>
        <v>8.3979202898550707</v>
      </c>
      <c r="AF113" s="527">
        <f t="shared" si="173"/>
        <v>8.3979202898550707</v>
      </c>
      <c r="AG113" s="527">
        <f t="shared" si="173"/>
        <v>8.3979202898550707</v>
      </c>
      <c r="AH113" s="527">
        <f t="shared" si="173"/>
        <v>8.3979202898550707</v>
      </c>
      <c r="AI113" s="527">
        <f t="shared" si="173"/>
        <v>8.3979202898550707</v>
      </c>
      <c r="AJ113" s="527">
        <f t="shared" si="173"/>
        <v>8.3979202898550707</v>
      </c>
      <c r="AK113" s="527">
        <f t="shared" si="173"/>
        <v>8.3979202898550707</v>
      </c>
      <c r="AL113" s="527">
        <f t="shared" si="173"/>
        <v>8.3979202898550707</v>
      </c>
      <c r="AM113" s="527">
        <f t="shared" si="173"/>
        <v>8.3979202898550707</v>
      </c>
      <c r="AN113" s="527">
        <f t="shared" si="173"/>
        <v>8.3979202898550707</v>
      </c>
      <c r="AO113" s="527">
        <f t="shared" si="173"/>
        <v>8.3979202898550707</v>
      </c>
      <c r="AP113" s="527">
        <f t="shared" si="173"/>
        <v>8.3979202898550707</v>
      </c>
      <c r="AQ113" s="527">
        <f t="shared" si="173"/>
        <v>8.3979202898550707</v>
      </c>
      <c r="AR113" s="527">
        <f t="shared" si="173"/>
        <v>8.3979202898550707</v>
      </c>
      <c r="AS113" s="527">
        <f t="shared" si="173"/>
        <v>8.3979202898550707</v>
      </c>
      <c r="AT113" s="527">
        <f t="shared" si="173"/>
        <v>8.3979202898550707</v>
      </c>
      <c r="AU113" s="527">
        <f t="shared" si="173"/>
        <v>8.3979202898550707</v>
      </c>
      <c r="AV113" s="527">
        <f t="shared" si="173"/>
        <v>8.3979202898550707</v>
      </c>
      <c r="AW113" s="527">
        <f t="shared" si="173"/>
        <v>8.3979202898550707</v>
      </c>
      <c r="AX113" s="527">
        <f t="shared" ref="AX113:BY113" si="174">AX48/AX$82</f>
        <v>8.3979202898550707</v>
      </c>
      <c r="AY113" s="527">
        <f t="shared" si="174"/>
        <v>8.3979202898550707</v>
      </c>
      <c r="AZ113" s="527">
        <f t="shared" si="174"/>
        <v>8.3979202898550707</v>
      </c>
      <c r="BA113" s="527">
        <f t="shared" si="174"/>
        <v>8.3979202898550707</v>
      </c>
      <c r="BB113" s="527">
        <f t="shared" si="174"/>
        <v>8.3979202898550707</v>
      </c>
      <c r="BC113" s="527">
        <f t="shared" si="174"/>
        <v>8.3979202898550707</v>
      </c>
      <c r="BD113" s="527">
        <f t="shared" si="174"/>
        <v>8.3979202898550707</v>
      </c>
      <c r="BE113" s="527">
        <f t="shared" si="174"/>
        <v>8.3979202898550707</v>
      </c>
      <c r="BF113" s="527">
        <f t="shared" si="174"/>
        <v>8.3979202898550707</v>
      </c>
      <c r="BG113" s="527">
        <f t="shared" si="174"/>
        <v>8.3979202898550707</v>
      </c>
      <c r="BH113" s="527">
        <f t="shared" si="174"/>
        <v>8.3979202898550707</v>
      </c>
      <c r="BI113" s="527">
        <f t="shared" si="174"/>
        <v>8.3979202898550707</v>
      </c>
      <c r="BJ113" s="527">
        <f t="shared" si="174"/>
        <v>8.3979202898550707</v>
      </c>
      <c r="BK113" s="527">
        <f t="shared" si="174"/>
        <v>8.3979202898550707</v>
      </c>
      <c r="BL113" s="527">
        <f t="shared" si="174"/>
        <v>8.3979202898550707</v>
      </c>
      <c r="BM113" s="527">
        <f t="shared" si="174"/>
        <v>8.3979202898550707</v>
      </c>
      <c r="BN113" s="527">
        <f t="shared" si="174"/>
        <v>8.3979202898550707</v>
      </c>
      <c r="BO113" s="527">
        <f t="shared" si="174"/>
        <v>8.3979202898550707</v>
      </c>
      <c r="BP113" s="527">
        <f t="shared" si="174"/>
        <v>8.3979202898550707</v>
      </c>
      <c r="BQ113" s="527">
        <f t="shared" si="174"/>
        <v>8.3979202898550707</v>
      </c>
      <c r="BR113" s="527">
        <f t="shared" si="174"/>
        <v>8.3979202898550707</v>
      </c>
      <c r="BS113" s="527">
        <f t="shared" si="174"/>
        <v>8.3979202898550707</v>
      </c>
      <c r="BT113" s="527">
        <f t="shared" si="174"/>
        <v>8.3979202898550707</v>
      </c>
      <c r="BU113" s="527">
        <f t="shared" si="174"/>
        <v>8.3979202898550707</v>
      </c>
      <c r="BV113" s="527">
        <f t="shared" si="174"/>
        <v>8.3979202898550707</v>
      </c>
      <c r="BW113" s="527">
        <f t="shared" si="174"/>
        <v>8.3979202898550707</v>
      </c>
      <c r="BX113" s="527">
        <f t="shared" si="174"/>
        <v>8.3979202898550707</v>
      </c>
      <c r="BY113" s="527">
        <f t="shared" si="174"/>
        <v>8.3979202898550707</v>
      </c>
      <c r="BZ113" s="537"/>
      <c r="CA113" s="537"/>
      <c r="CB113" s="574"/>
    </row>
    <row r="114" spans="1:80" x14ac:dyDescent="0.3">
      <c r="A114" s="551"/>
      <c r="B114" s="548"/>
      <c r="C114" s="525"/>
      <c r="D114" s="525"/>
      <c r="E114" s="525" t="s">
        <v>29</v>
      </c>
      <c r="F114" s="567"/>
      <c r="G114" s="567"/>
      <c r="H114" s="567"/>
      <c r="I114" s="527">
        <f t="shared" si="172"/>
        <v>697.20164856738904</v>
      </c>
      <c r="J114" s="527">
        <f t="shared" si="172"/>
        <v>697.20164856738882</v>
      </c>
      <c r="K114" s="527">
        <f t="shared" si="172"/>
        <v>697.20164856738882</v>
      </c>
      <c r="L114" s="527">
        <f t="shared" si="172"/>
        <v>697.20164856738882</v>
      </c>
      <c r="M114" s="527">
        <f t="shared" si="172"/>
        <v>697.20164856738882</v>
      </c>
      <c r="N114" s="527">
        <f t="shared" si="172"/>
        <v>697.20164856738882</v>
      </c>
      <c r="O114" s="529"/>
      <c r="P114" s="564">
        <f>IFERROR(((N114/I114)^(1/5))-1,0)</f>
        <v>-1.1102230246251565E-16</v>
      </c>
      <c r="Q114" s="537"/>
      <c r="R114" s="527">
        <f t="shared" ref="R114:AW114" si="175">R49/R$82</f>
        <v>58.100137380615756</v>
      </c>
      <c r="S114" s="527">
        <f t="shared" si="175"/>
        <v>58.100137380615756</v>
      </c>
      <c r="T114" s="527">
        <f t="shared" si="175"/>
        <v>58.100137380615756</v>
      </c>
      <c r="U114" s="527">
        <f t="shared" si="175"/>
        <v>58.100137380615756</v>
      </c>
      <c r="V114" s="527">
        <f t="shared" si="175"/>
        <v>58.100137380615756</v>
      </c>
      <c r="W114" s="527">
        <f t="shared" si="175"/>
        <v>58.100137380615756</v>
      </c>
      <c r="X114" s="527">
        <f t="shared" si="175"/>
        <v>58.100137380615756</v>
      </c>
      <c r="Y114" s="527">
        <f t="shared" si="175"/>
        <v>58.100137380615756</v>
      </c>
      <c r="Z114" s="527">
        <f t="shared" si="175"/>
        <v>58.100137380615756</v>
      </c>
      <c r="AA114" s="527">
        <f t="shared" si="175"/>
        <v>58.100137380615756</v>
      </c>
      <c r="AB114" s="527">
        <f t="shared" si="175"/>
        <v>58.100137380615756</v>
      </c>
      <c r="AC114" s="527">
        <f t="shared" si="175"/>
        <v>58.100137380615756</v>
      </c>
      <c r="AD114" s="527">
        <f t="shared" si="175"/>
        <v>58.100137380615756</v>
      </c>
      <c r="AE114" s="527">
        <f t="shared" si="175"/>
        <v>58.100137380615756</v>
      </c>
      <c r="AF114" s="527">
        <f t="shared" si="175"/>
        <v>58.100137380615756</v>
      </c>
      <c r="AG114" s="527">
        <f t="shared" si="175"/>
        <v>58.100137380615756</v>
      </c>
      <c r="AH114" s="527">
        <f t="shared" si="175"/>
        <v>58.100137380615756</v>
      </c>
      <c r="AI114" s="527">
        <f t="shared" si="175"/>
        <v>58.100137380615756</v>
      </c>
      <c r="AJ114" s="527">
        <f t="shared" si="175"/>
        <v>58.100137380615756</v>
      </c>
      <c r="AK114" s="527">
        <f t="shared" si="175"/>
        <v>58.100137380615756</v>
      </c>
      <c r="AL114" s="527">
        <f t="shared" si="175"/>
        <v>58.100137380615756</v>
      </c>
      <c r="AM114" s="527">
        <f t="shared" si="175"/>
        <v>58.100137380615756</v>
      </c>
      <c r="AN114" s="527">
        <f t="shared" si="175"/>
        <v>58.100137380615756</v>
      </c>
      <c r="AO114" s="527">
        <f t="shared" si="175"/>
        <v>58.100137380615756</v>
      </c>
      <c r="AP114" s="527">
        <f t="shared" si="175"/>
        <v>58.100137380615756</v>
      </c>
      <c r="AQ114" s="527">
        <f t="shared" si="175"/>
        <v>58.100137380615756</v>
      </c>
      <c r="AR114" s="527">
        <f t="shared" si="175"/>
        <v>58.100137380615756</v>
      </c>
      <c r="AS114" s="527">
        <f t="shared" si="175"/>
        <v>58.100137380615756</v>
      </c>
      <c r="AT114" s="527">
        <f t="shared" si="175"/>
        <v>58.100137380615756</v>
      </c>
      <c r="AU114" s="527">
        <f t="shared" si="175"/>
        <v>58.100137380615756</v>
      </c>
      <c r="AV114" s="527">
        <f t="shared" si="175"/>
        <v>58.100137380615756</v>
      </c>
      <c r="AW114" s="527">
        <f t="shared" si="175"/>
        <v>58.100137380615756</v>
      </c>
      <c r="AX114" s="527">
        <f t="shared" ref="AX114:BY114" si="176">AX49/AX$82</f>
        <v>58.100137380615756</v>
      </c>
      <c r="AY114" s="527">
        <f t="shared" si="176"/>
        <v>58.100137380615756</v>
      </c>
      <c r="AZ114" s="527">
        <f t="shared" si="176"/>
        <v>58.100137380615756</v>
      </c>
      <c r="BA114" s="527">
        <f t="shared" si="176"/>
        <v>58.100137380615756</v>
      </c>
      <c r="BB114" s="527">
        <f t="shared" si="176"/>
        <v>58.100137380615756</v>
      </c>
      <c r="BC114" s="527">
        <f t="shared" si="176"/>
        <v>58.100137380615756</v>
      </c>
      <c r="BD114" s="527">
        <f t="shared" si="176"/>
        <v>58.100137380615756</v>
      </c>
      <c r="BE114" s="527">
        <f t="shared" si="176"/>
        <v>58.100137380615756</v>
      </c>
      <c r="BF114" s="527">
        <f t="shared" si="176"/>
        <v>58.100137380615756</v>
      </c>
      <c r="BG114" s="527">
        <f t="shared" si="176"/>
        <v>58.100137380615756</v>
      </c>
      <c r="BH114" s="527">
        <f t="shared" si="176"/>
        <v>58.100137380615756</v>
      </c>
      <c r="BI114" s="527">
        <f t="shared" si="176"/>
        <v>58.100137380615756</v>
      </c>
      <c r="BJ114" s="527">
        <f t="shared" si="176"/>
        <v>58.100137380615756</v>
      </c>
      <c r="BK114" s="527">
        <f t="shared" si="176"/>
        <v>58.100137380615756</v>
      </c>
      <c r="BL114" s="527">
        <f t="shared" si="176"/>
        <v>58.100137380615756</v>
      </c>
      <c r="BM114" s="527">
        <f t="shared" si="176"/>
        <v>58.100137380615756</v>
      </c>
      <c r="BN114" s="527">
        <f t="shared" si="176"/>
        <v>58.100137380615756</v>
      </c>
      <c r="BO114" s="527">
        <f t="shared" si="176"/>
        <v>58.100137380615756</v>
      </c>
      <c r="BP114" s="527">
        <f t="shared" si="176"/>
        <v>58.100137380615756</v>
      </c>
      <c r="BQ114" s="527">
        <f t="shared" si="176"/>
        <v>58.100137380615756</v>
      </c>
      <c r="BR114" s="527">
        <f t="shared" si="176"/>
        <v>58.100137380615756</v>
      </c>
      <c r="BS114" s="527">
        <f t="shared" si="176"/>
        <v>58.100137380615756</v>
      </c>
      <c r="BT114" s="527">
        <f t="shared" si="176"/>
        <v>58.100137380615756</v>
      </c>
      <c r="BU114" s="527">
        <f t="shared" si="176"/>
        <v>58.100137380615756</v>
      </c>
      <c r="BV114" s="527">
        <f t="shared" si="176"/>
        <v>58.100137380615756</v>
      </c>
      <c r="BW114" s="527">
        <f t="shared" si="176"/>
        <v>58.100137380615756</v>
      </c>
      <c r="BX114" s="527">
        <f t="shared" si="176"/>
        <v>58.100137380615756</v>
      </c>
      <c r="BY114" s="527">
        <f t="shared" si="176"/>
        <v>58.100137380615756</v>
      </c>
      <c r="BZ114" s="537"/>
      <c r="CA114" s="537"/>
      <c r="CB114" s="574"/>
    </row>
    <row r="115" spans="1:80" x14ac:dyDescent="0.3">
      <c r="A115" s="551"/>
      <c r="B115" s="548"/>
      <c r="C115" s="525"/>
      <c r="D115" s="525"/>
      <c r="E115" s="525" t="s">
        <v>30</v>
      </c>
      <c r="F115" s="567"/>
      <c r="G115" s="567"/>
      <c r="H115" s="567"/>
      <c r="I115" s="527">
        <f t="shared" si="172"/>
        <v>1658.5734782608699</v>
      </c>
      <c r="J115" s="527">
        <f t="shared" si="172"/>
        <v>1658.5734782608699</v>
      </c>
      <c r="K115" s="527">
        <f t="shared" si="172"/>
        <v>1658.5734782608699</v>
      </c>
      <c r="L115" s="527">
        <f t="shared" si="172"/>
        <v>1658.5734782608699</v>
      </c>
      <c r="M115" s="527">
        <f t="shared" si="172"/>
        <v>1658.5734782608699</v>
      </c>
      <c r="N115" s="527">
        <f t="shared" si="172"/>
        <v>1658.5734782608699</v>
      </c>
      <c r="O115" s="529"/>
      <c r="P115" s="564">
        <f>IFERROR(((N115/I115)^(1/5))-1,0)</f>
        <v>0</v>
      </c>
      <c r="Q115" s="537"/>
      <c r="R115" s="527">
        <f t="shared" ref="R115:AW115" si="177">R50/R$82</f>
        <v>138.21445652173915</v>
      </c>
      <c r="S115" s="527">
        <f t="shared" si="177"/>
        <v>138.21445652173915</v>
      </c>
      <c r="T115" s="527">
        <f t="shared" si="177"/>
        <v>138.21445652173915</v>
      </c>
      <c r="U115" s="527">
        <f t="shared" si="177"/>
        <v>138.21445652173915</v>
      </c>
      <c r="V115" s="527">
        <f t="shared" si="177"/>
        <v>138.21445652173915</v>
      </c>
      <c r="W115" s="527">
        <f t="shared" si="177"/>
        <v>138.21445652173915</v>
      </c>
      <c r="X115" s="527">
        <f t="shared" si="177"/>
        <v>138.21445652173915</v>
      </c>
      <c r="Y115" s="527">
        <f t="shared" si="177"/>
        <v>138.21445652173915</v>
      </c>
      <c r="Z115" s="527">
        <f t="shared" si="177"/>
        <v>138.21445652173915</v>
      </c>
      <c r="AA115" s="527">
        <f t="shared" si="177"/>
        <v>138.21445652173915</v>
      </c>
      <c r="AB115" s="527">
        <f t="shared" si="177"/>
        <v>138.21445652173915</v>
      </c>
      <c r="AC115" s="527">
        <f t="shared" si="177"/>
        <v>138.21445652173915</v>
      </c>
      <c r="AD115" s="527">
        <f t="shared" si="177"/>
        <v>138.21445652173915</v>
      </c>
      <c r="AE115" s="527">
        <f t="shared" si="177"/>
        <v>138.21445652173915</v>
      </c>
      <c r="AF115" s="527">
        <f t="shared" si="177"/>
        <v>138.21445652173915</v>
      </c>
      <c r="AG115" s="527">
        <f t="shared" si="177"/>
        <v>138.21445652173915</v>
      </c>
      <c r="AH115" s="527">
        <f t="shared" si="177"/>
        <v>138.21445652173915</v>
      </c>
      <c r="AI115" s="527">
        <f t="shared" si="177"/>
        <v>138.21445652173915</v>
      </c>
      <c r="AJ115" s="527">
        <f t="shared" si="177"/>
        <v>138.21445652173915</v>
      </c>
      <c r="AK115" s="527">
        <f t="shared" si="177"/>
        <v>138.21445652173915</v>
      </c>
      <c r="AL115" s="527">
        <f t="shared" si="177"/>
        <v>138.21445652173915</v>
      </c>
      <c r="AM115" s="527">
        <f t="shared" si="177"/>
        <v>138.21445652173915</v>
      </c>
      <c r="AN115" s="527">
        <f t="shared" si="177"/>
        <v>138.21445652173915</v>
      </c>
      <c r="AO115" s="527">
        <f t="shared" si="177"/>
        <v>138.21445652173915</v>
      </c>
      <c r="AP115" s="527">
        <f t="shared" si="177"/>
        <v>138.21445652173915</v>
      </c>
      <c r="AQ115" s="527">
        <f t="shared" si="177"/>
        <v>138.21445652173915</v>
      </c>
      <c r="AR115" s="527">
        <f t="shared" si="177"/>
        <v>138.21445652173915</v>
      </c>
      <c r="AS115" s="527">
        <f t="shared" si="177"/>
        <v>138.21445652173915</v>
      </c>
      <c r="AT115" s="527">
        <f t="shared" si="177"/>
        <v>138.21445652173915</v>
      </c>
      <c r="AU115" s="527">
        <f t="shared" si="177"/>
        <v>138.21445652173915</v>
      </c>
      <c r="AV115" s="527">
        <f t="shared" si="177"/>
        <v>138.21445652173915</v>
      </c>
      <c r="AW115" s="527">
        <f t="shared" si="177"/>
        <v>138.21445652173915</v>
      </c>
      <c r="AX115" s="527">
        <f t="shared" ref="AX115:BY115" si="178">AX50/AX$82</f>
        <v>138.21445652173915</v>
      </c>
      <c r="AY115" s="527">
        <f t="shared" si="178"/>
        <v>138.21445652173915</v>
      </c>
      <c r="AZ115" s="527">
        <f t="shared" si="178"/>
        <v>138.21445652173915</v>
      </c>
      <c r="BA115" s="527">
        <f t="shared" si="178"/>
        <v>138.21445652173915</v>
      </c>
      <c r="BB115" s="527">
        <f t="shared" si="178"/>
        <v>138.21445652173915</v>
      </c>
      <c r="BC115" s="527">
        <f t="shared" si="178"/>
        <v>138.21445652173915</v>
      </c>
      <c r="BD115" s="527">
        <f t="shared" si="178"/>
        <v>138.21445652173915</v>
      </c>
      <c r="BE115" s="527">
        <f t="shared" si="178"/>
        <v>138.21445652173915</v>
      </c>
      <c r="BF115" s="527">
        <f t="shared" si="178"/>
        <v>138.21445652173915</v>
      </c>
      <c r="BG115" s="527">
        <f t="shared" si="178"/>
        <v>138.21445652173915</v>
      </c>
      <c r="BH115" s="527">
        <f t="shared" si="178"/>
        <v>138.21445652173915</v>
      </c>
      <c r="BI115" s="527">
        <f t="shared" si="178"/>
        <v>138.21445652173915</v>
      </c>
      <c r="BJ115" s="527">
        <f t="shared" si="178"/>
        <v>138.21445652173915</v>
      </c>
      <c r="BK115" s="527">
        <f t="shared" si="178"/>
        <v>138.21445652173915</v>
      </c>
      <c r="BL115" s="527">
        <f t="shared" si="178"/>
        <v>138.21445652173915</v>
      </c>
      <c r="BM115" s="527">
        <f t="shared" si="178"/>
        <v>138.21445652173915</v>
      </c>
      <c r="BN115" s="527">
        <f t="shared" si="178"/>
        <v>138.21445652173915</v>
      </c>
      <c r="BO115" s="527">
        <f t="shared" si="178"/>
        <v>138.21445652173915</v>
      </c>
      <c r="BP115" s="527">
        <f t="shared" si="178"/>
        <v>138.21445652173915</v>
      </c>
      <c r="BQ115" s="527">
        <f t="shared" si="178"/>
        <v>138.21445652173915</v>
      </c>
      <c r="BR115" s="527">
        <f t="shared" si="178"/>
        <v>138.21445652173915</v>
      </c>
      <c r="BS115" s="527">
        <f t="shared" si="178"/>
        <v>138.21445652173915</v>
      </c>
      <c r="BT115" s="527">
        <f t="shared" si="178"/>
        <v>138.21445652173915</v>
      </c>
      <c r="BU115" s="527">
        <f t="shared" si="178"/>
        <v>138.21445652173915</v>
      </c>
      <c r="BV115" s="527">
        <f t="shared" si="178"/>
        <v>138.21445652173915</v>
      </c>
      <c r="BW115" s="527">
        <f t="shared" si="178"/>
        <v>138.21445652173915</v>
      </c>
      <c r="BX115" s="527">
        <f t="shared" si="178"/>
        <v>138.21445652173915</v>
      </c>
      <c r="BY115" s="527">
        <f t="shared" si="178"/>
        <v>138.21445652173915</v>
      </c>
      <c r="BZ115" s="537"/>
      <c r="CA115" s="537"/>
      <c r="CB115" s="574"/>
    </row>
    <row r="116" spans="1:80" x14ac:dyDescent="0.3">
      <c r="A116" s="551"/>
      <c r="B116" s="548"/>
      <c r="C116" s="525"/>
      <c r="D116" s="525"/>
      <c r="E116" s="525" t="s">
        <v>31</v>
      </c>
      <c r="F116" s="567"/>
      <c r="G116" s="567"/>
      <c r="H116" s="567"/>
      <c r="I116" s="527">
        <f t="shared" si="172"/>
        <v>3080.3270901088763</v>
      </c>
      <c r="J116" s="527">
        <f t="shared" si="172"/>
        <v>3080.3270901088772</v>
      </c>
      <c r="K116" s="527">
        <f t="shared" si="172"/>
        <v>3080.3270901088772</v>
      </c>
      <c r="L116" s="527">
        <f t="shared" si="172"/>
        <v>3080.3270901088772</v>
      </c>
      <c r="M116" s="527">
        <f t="shared" si="172"/>
        <v>3080.3270901088772</v>
      </c>
      <c r="N116" s="527">
        <f t="shared" si="172"/>
        <v>3080.3270901088772</v>
      </c>
      <c r="O116" s="529"/>
      <c r="P116" s="564">
        <f>IFERROR(((N116/I116)^(1/5))-1,0)</f>
        <v>0</v>
      </c>
      <c r="Q116" s="537"/>
      <c r="R116" s="527">
        <f t="shared" ref="R116:AW116" si="179">R51/R$82</f>
        <v>256.69392417573971</v>
      </c>
      <c r="S116" s="527">
        <f t="shared" si="179"/>
        <v>256.69392417573971</v>
      </c>
      <c r="T116" s="527">
        <f t="shared" si="179"/>
        <v>256.69392417573971</v>
      </c>
      <c r="U116" s="527">
        <f t="shared" si="179"/>
        <v>256.69392417573971</v>
      </c>
      <c r="V116" s="527">
        <f t="shared" si="179"/>
        <v>256.69392417573971</v>
      </c>
      <c r="W116" s="527">
        <f t="shared" si="179"/>
        <v>256.69392417573971</v>
      </c>
      <c r="X116" s="527">
        <f t="shared" si="179"/>
        <v>256.69392417573971</v>
      </c>
      <c r="Y116" s="527">
        <f t="shared" si="179"/>
        <v>256.69392417573971</v>
      </c>
      <c r="Z116" s="527">
        <f t="shared" si="179"/>
        <v>256.69392417573971</v>
      </c>
      <c r="AA116" s="527">
        <f t="shared" si="179"/>
        <v>256.69392417573971</v>
      </c>
      <c r="AB116" s="527">
        <f t="shared" si="179"/>
        <v>256.69392417573971</v>
      </c>
      <c r="AC116" s="527">
        <f t="shared" si="179"/>
        <v>256.69392417573971</v>
      </c>
      <c r="AD116" s="527">
        <f t="shared" si="179"/>
        <v>256.69392417573971</v>
      </c>
      <c r="AE116" s="527">
        <f t="shared" si="179"/>
        <v>256.69392417573971</v>
      </c>
      <c r="AF116" s="527">
        <f t="shared" si="179"/>
        <v>256.69392417573971</v>
      </c>
      <c r="AG116" s="527">
        <f t="shared" si="179"/>
        <v>256.69392417573971</v>
      </c>
      <c r="AH116" s="527">
        <f t="shared" si="179"/>
        <v>256.69392417573971</v>
      </c>
      <c r="AI116" s="527">
        <f t="shared" si="179"/>
        <v>256.69392417573971</v>
      </c>
      <c r="AJ116" s="527">
        <f t="shared" si="179"/>
        <v>256.69392417573971</v>
      </c>
      <c r="AK116" s="527">
        <f t="shared" si="179"/>
        <v>256.69392417573971</v>
      </c>
      <c r="AL116" s="527">
        <f t="shared" si="179"/>
        <v>256.69392417573971</v>
      </c>
      <c r="AM116" s="527">
        <f t="shared" si="179"/>
        <v>256.69392417573971</v>
      </c>
      <c r="AN116" s="527">
        <f t="shared" si="179"/>
        <v>256.69392417573971</v>
      </c>
      <c r="AO116" s="527">
        <f t="shared" si="179"/>
        <v>256.69392417573971</v>
      </c>
      <c r="AP116" s="527">
        <f t="shared" si="179"/>
        <v>256.69392417573971</v>
      </c>
      <c r="AQ116" s="527">
        <f t="shared" si="179"/>
        <v>256.69392417573971</v>
      </c>
      <c r="AR116" s="527">
        <f t="shared" si="179"/>
        <v>256.69392417573971</v>
      </c>
      <c r="AS116" s="527">
        <f t="shared" si="179"/>
        <v>256.69392417573971</v>
      </c>
      <c r="AT116" s="527">
        <f t="shared" si="179"/>
        <v>256.69392417573971</v>
      </c>
      <c r="AU116" s="527">
        <f t="shared" si="179"/>
        <v>256.69392417573971</v>
      </c>
      <c r="AV116" s="527">
        <f t="shared" si="179"/>
        <v>256.69392417573971</v>
      </c>
      <c r="AW116" s="527">
        <f t="shared" si="179"/>
        <v>256.69392417573971</v>
      </c>
      <c r="AX116" s="527">
        <f t="shared" ref="AX116:BY116" si="180">AX51/AX$82</f>
        <v>256.69392417573971</v>
      </c>
      <c r="AY116" s="527">
        <f t="shared" si="180"/>
        <v>256.69392417573971</v>
      </c>
      <c r="AZ116" s="527">
        <f t="shared" si="180"/>
        <v>256.69392417573971</v>
      </c>
      <c r="BA116" s="527">
        <f t="shared" si="180"/>
        <v>256.69392417573971</v>
      </c>
      <c r="BB116" s="527">
        <f t="shared" si="180"/>
        <v>256.69392417573971</v>
      </c>
      <c r="BC116" s="527">
        <f t="shared" si="180"/>
        <v>256.69392417573971</v>
      </c>
      <c r="BD116" s="527">
        <f t="shared" si="180"/>
        <v>256.69392417573971</v>
      </c>
      <c r="BE116" s="527">
        <f t="shared" si="180"/>
        <v>256.69392417573971</v>
      </c>
      <c r="BF116" s="527">
        <f t="shared" si="180"/>
        <v>256.69392417573971</v>
      </c>
      <c r="BG116" s="527">
        <f t="shared" si="180"/>
        <v>256.69392417573971</v>
      </c>
      <c r="BH116" s="527">
        <f t="shared" si="180"/>
        <v>256.69392417573971</v>
      </c>
      <c r="BI116" s="527">
        <f t="shared" si="180"/>
        <v>256.69392417573971</v>
      </c>
      <c r="BJ116" s="527">
        <f t="shared" si="180"/>
        <v>256.69392417573971</v>
      </c>
      <c r="BK116" s="527">
        <f t="shared" si="180"/>
        <v>256.69392417573971</v>
      </c>
      <c r="BL116" s="527">
        <f t="shared" si="180"/>
        <v>256.69392417573971</v>
      </c>
      <c r="BM116" s="527">
        <f t="shared" si="180"/>
        <v>256.69392417573971</v>
      </c>
      <c r="BN116" s="527">
        <f t="shared" si="180"/>
        <v>256.69392417573971</v>
      </c>
      <c r="BO116" s="527">
        <f t="shared" si="180"/>
        <v>256.69392417573971</v>
      </c>
      <c r="BP116" s="527">
        <f t="shared" si="180"/>
        <v>256.69392417573971</v>
      </c>
      <c r="BQ116" s="527">
        <f t="shared" si="180"/>
        <v>256.69392417573971</v>
      </c>
      <c r="BR116" s="527">
        <f t="shared" si="180"/>
        <v>256.69392417573971</v>
      </c>
      <c r="BS116" s="527">
        <f t="shared" si="180"/>
        <v>256.69392417573971</v>
      </c>
      <c r="BT116" s="527">
        <f t="shared" si="180"/>
        <v>256.69392417573971</v>
      </c>
      <c r="BU116" s="527">
        <f t="shared" si="180"/>
        <v>256.69392417573971</v>
      </c>
      <c r="BV116" s="527">
        <f t="shared" si="180"/>
        <v>256.69392417573971</v>
      </c>
      <c r="BW116" s="527">
        <f t="shared" si="180"/>
        <v>256.69392417573971</v>
      </c>
      <c r="BX116" s="527">
        <f t="shared" si="180"/>
        <v>256.69392417573971</v>
      </c>
      <c r="BY116" s="527">
        <f t="shared" si="180"/>
        <v>256.69392417573971</v>
      </c>
      <c r="BZ116" s="537"/>
      <c r="CA116" s="537"/>
      <c r="CB116" s="574"/>
    </row>
    <row r="117" spans="1:80" x14ac:dyDescent="0.3">
      <c r="A117" s="551"/>
      <c r="B117" s="548"/>
      <c r="C117" s="525"/>
      <c r="D117" s="525"/>
      <c r="E117" s="572" t="s">
        <v>32</v>
      </c>
      <c r="F117" s="573"/>
      <c r="G117" s="573"/>
      <c r="H117" s="573"/>
      <c r="I117" s="532">
        <f t="shared" si="172"/>
        <v>5536.8772604153955</v>
      </c>
      <c r="J117" s="532">
        <f t="shared" si="172"/>
        <v>5536.8772604153946</v>
      </c>
      <c r="K117" s="532">
        <f t="shared" si="172"/>
        <v>5536.8772604153946</v>
      </c>
      <c r="L117" s="532">
        <f t="shared" si="172"/>
        <v>5536.8772604153946</v>
      </c>
      <c r="M117" s="532">
        <f t="shared" si="172"/>
        <v>5536.8772604153946</v>
      </c>
      <c r="N117" s="532">
        <f t="shared" si="172"/>
        <v>5536.8772604153946</v>
      </c>
      <c r="O117" s="536"/>
      <c r="P117" s="568">
        <f>IFERROR(((N117/I117)^(1/5))-1,0)</f>
        <v>0</v>
      </c>
      <c r="Q117" s="537"/>
      <c r="R117" s="532">
        <f t="shared" ref="R117:AW117" si="181">R52/R$82</f>
        <v>461.4064383679497</v>
      </c>
      <c r="S117" s="530">
        <f t="shared" si="181"/>
        <v>461.4064383679497</v>
      </c>
      <c r="T117" s="532">
        <f t="shared" si="181"/>
        <v>461.4064383679497</v>
      </c>
      <c r="U117" s="532">
        <f t="shared" si="181"/>
        <v>461.4064383679497</v>
      </c>
      <c r="V117" s="532">
        <f t="shared" si="181"/>
        <v>461.4064383679497</v>
      </c>
      <c r="W117" s="532">
        <f t="shared" si="181"/>
        <v>461.4064383679497</v>
      </c>
      <c r="X117" s="532">
        <f t="shared" si="181"/>
        <v>461.4064383679497</v>
      </c>
      <c r="Y117" s="532">
        <f t="shared" si="181"/>
        <v>461.4064383679497</v>
      </c>
      <c r="Z117" s="532">
        <f t="shared" si="181"/>
        <v>461.4064383679497</v>
      </c>
      <c r="AA117" s="532">
        <f t="shared" si="181"/>
        <v>461.4064383679497</v>
      </c>
      <c r="AB117" s="532">
        <f t="shared" si="181"/>
        <v>461.4064383679497</v>
      </c>
      <c r="AC117" s="532">
        <f t="shared" si="181"/>
        <v>461.4064383679497</v>
      </c>
      <c r="AD117" s="532">
        <f t="shared" si="181"/>
        <v>461.4064383679497</v>
      </c>
      <c r="AE117" s="532">
        <f t="shared" si="181"/>
        <v>461.4064383679497</v>
      </c>
      <c r="AF117" s="532">
        <f t="shared" si="181"/>
        <v>461.4064383679497</v>
      </c>
      <c r="AG117" s="532">
        <f t="shared" si="181"/>
        <v>461.4064383679497</v>
      </c>
      <c r="AH117" s="532">
        <f t="shared" si="181"/>
        <v>461.4064383679497</v>
      </c>
      <c r="AI117" s="532">
        <f t="shared" si="181"/>
        <v>461.4064383679497</v>
      </c>
      <c r="AJ117" s="532">
        <f t="shared" si="181"/>
        <v>461.4064383679497</v>
      </c>
      <c r="AK117" s="532">
        <f t="shared" si="181"/>
        <v>461.4064383679497</v>
      </c>
      <c r="AL117" s="532">
        <f t="shared" si="181"/>
        <v>461.4064383679497</v>
      </c>
      <c r="AM117" s="532">
        <f t="shared" si="181"/>
        <v>461.4064383679497</v>
      </c>
      <c r="AN117" s="532">
        <f t="shared" si="181"/>
        <v>461.4064383679497</v>
      </c>
      <c r="AO117" s="532">
        <f t="shared" si="181"/>
        <v>461.4064383679497</v>
      </c>
      <c r="AP117" s="532">
        <f t="shared" si="181"/>
        <v>461.4064383679497</v>
      </c>
      <c r="AQ117" s="532">
        <f t="shared" si="181"/>
        <v>461.4064383679497</v>
      </c>
      <c r="AR117" s="532">
        <f t="shared" si="181"/>
        <v>461.4064383679497</v>
      </c>
      <c r="AS117" s="532">
        <f t="shared" si="181"/>
        <v>461.4064383679497</v>
      </c>
      <c r="AT117" s="532">
        <f t="shared" si="181"/>
        <v>461.4064383679497</v>
      </c>
      <c r="AU117" s="532">
        <f t="shared" si="181"/>
        <v>461.4064383679497</v>
      </c>
      <c r="AV117" s="532">
        <f t="shared" si="181"/>
        <v>461.4064383679497</v>
      </c>
      <c r="AW117" s="532">
        <f t="shared" si="181"/>
        <v>461.4064383679497</v>
      </c>
      <c r="AX117" s="532">
        <f t="shared" ref="AX117:BY117" si="182">AX52/AX$82</f>
        <v>461.4064383679497</v>
      </c>
      <c r="AY117" s="532">
        <f t="shared" si="182"/>
        <v>461.4064383679497</v>
      </c>
      <c r="AZ117" s="532">
        <f t="shared" si="182"/>
        <v>461.4064383679497</v>
      </c>
      <c r="BA117" s="532">
        <f t="shared" si="182"/>
        <v>461.4064383679497</v>
      </c>
      <c r="BB117" s="532">
        <f t="shared" si="182"/>
        <v>461.4064383679497</v>
      </c>
      <c r="BC117" s="532">
        <f t="shared" si="182"/>
        <v>461.4064383679497</v>
      </c>
      <c r="BD117" s="532">
        <f t="shared" si="182"/>
        <v>461.4064383679497</v>
      </c>
      <c r="BE117" s="532">
        <f t="shared" si="182"/>
        <v>461.4064383679497</v>
      </c>
      <c r="BF117" s="532">
        <f t="shared" si="182"/>
        <v>461.4064383679497</v>
      </c>
      <c r="BG117" s="532">
        <f t="shared" si="182"/>
        <v>461.4064383679497</v>
      </c>
      <c r="BH117" s="532">
        <f t="shared" si="182"/>
        <v>461.4064383679497</v>
      </c>
      <c r="BI117" s="532">
        <f t="shared" si="182"/>
        <v>461.4064383679497</v>
      </c>
      <c r="BJ117" s="532">
        <f t="shared" si="182"/>
        <v>461.4064383679497</v>
      </c>
      <c r="BK117" s="532">
        <f t="shared" si="182"/>
        <v>461.4064383679497</v>
      </c>
      <c r="BL117" s="532">
        <f t="shared" si="182"/>
        <v>461.4064383679497</v>
      </c>
      <c r="BM117" s="532">
        <f t="shared" si="182"/>
        <v>461.4064383679497</v>
      </c>
      <c r="BN117" s="532">
        <f t="shared" si="182"/>
        <v>461.4064383679497</v>
      </c>
      <c r="BO117" s="532">
        <f t="shared" si="182"/>
        <v>461.4064383679497</v>
      </c>
      <c r="BP117" s="532">
        <f t="shared" si="182"/>
        <v>461.4064383679497</v>
      </c>
      <c r="BQ117" s="532">
        <f t="shared" si="182"/>
        <v>461.4064383679497</v>
      </c>
      <c r="BR117" s="532">
        <f t="shared" si="182"/>
        <v>461.4064383679497</v>
      </c>
      <c r="BS117" s="532">
        <f t="shared" si="182"/>
        <v>461.4064383679497</v>
      </c>
      <c r="BT117" s="532">
        <f t="shared" si="182"/>
        <v>461.4064383679497</v>
      </c>
      <c r="BU117" s="532">
        <f t="shared" si="182"/>
        <v>461.4064383679497</v>
      </c>
      <c r="BV117" s="532">
        <f t="shared" si="182"/>
        <v>461.4064383679497</v>
      </c>
      <c r="BW117" s="532">
        <f t="shared" si="182"/>
        <v>461.4064383679497</v>
      </c>
      <c r="BX117" s="532">
        <f t="shared" si="182"/>
        <v>461.4064383679497</v>
      </c>
      <c r="BY117" s="532">
        <f t="shared" si="182"/>
        <v>461.4064383679497</v>
      </c>
      <c r="BZ117" s="537"/>
      <c r="CA117" s="537"/>
      <c r="CB117" s="574"/>
    </row>
    <row r="118" spans="1:80" x14ac:dyDescent="0.3">
      <c r="A118" s="551"/>
      <c r="B118" s="548"/>
      <c r="C118" s="525"/>
      <c r="D118" s="525"/>
      <c r="E118" s="525"/>
      <c r="F118" s="529"/>
      <c r="G118" s="529"/>
      <c r="H118" s="529"/>
      <c r="I118" s="529"/>
      <c r="J118" s="529"/>
      <c r="K118" s="529"/>
      <c r="L118" s="529"/>
      <c r="M118" s="529"/>
      <c r="N118" s="529"/>
      <c r="O118" s="529"/>
      <c r="P118" s="562"/>
      <c r="Q118" s="537"/>
      <c r="R118" s="529"/>
      <c r="S118" s="529"/>
      <c r="T118" s="529"/>
      <c r="U118" s="529"/>
      <c r="V118" s="529"/>
      <c r="W118" s="529"/>
      <c r="X118" s="529"/>
      <c r="Y118" s="529"/>
      <c r="Z118" s="529"/>
      <c r="AA118" s="529"/>
      <c r="AB118" s="529"/>
      <c r="AC118" s="529"/>
      <c r="AD118" s="529"/>
      <c r="AE118" s="529"/>
      <c r="AF118" s="529"/>
      <c r="AG118" s="529"/>
      <c r="AH118" s="529"/>
      <c r="AI118" s="529"/>
      <c r="AJ118" s="529"/>
      <c r="AK118" s="529"/>
      <c r="AL118" s="529"/>
      <c r="AM118" s="529"/>
      <c r="AN118" s="529"/>
      <c r="AO118" s="529"/>
      <c r="AP118" s="529"/>
      <c r="AQ118" s="529"/>
      <c r="AR118" s="529"/>
      <c r="AS118" s="529"/>
      <c r="AT118" s="529"/>
      <c r="AU118" s="529"/>
      <c r="AV118" s="529"/>
      <c r="AW118" s="529"/>
      <c r="AX118" s="529"/>
      <c r="AY118" s="529"/>
      <c r="AZ118" s="529"/>
      <c r="BA118" s="529"/>
      <c r="BB118" s="529"/>
      <c r="BC118" s="529"/>
      <c r="BD118" s="529"/>
      <c r="BE118" s="529"/>
      <c r="BF118" s="529"/>
      <c r="BG118" s="529"/>
      <c r="BH118" s="529"/>
      <c r="BI118" s="529"/>
      <c r="BJ118" s="529"/>
      <c r="BK118" s="529"/>
      <c r="BL118" s="529"/>
      <c r="BM118" s="529"/>
      <c r="BN118" s="529"/>
      <c r="BO118" s="529"/>
      <c r="BP118" s="529"/>
      <c r="BQ118" s="529"/>
      <c r="BR118" s="529"/>
      <c r="BS118" s="529"/>
      <c r="BT118" s="529"/>
      <c r="BU118" s="529"/>
      <c r="BV118" s="529"/>
      <c r="BW118" s="529"/>
      <c r="BX118" s="529"/>
      <c r="BY118" s="529"/>
      <c r="BZ118" s="537"/>
      <c r="CA118" s="537"/>
      <c r="CB118" s="537"/>
    </row>
    <row r="119" spans="1:80" x14ac:dyDescent="0.3">
      <c r="A119" s="551"/>
      <c r="B119" s="548"/>
      <c r="C119" s="525"/>
      <c r="D119" s="525"/>
      <c r="E119" s="578" t="s">
        <v>33</v>
      </c>
      <c r="F119" s="579"/>
      <c r="G119" s="579"/>
      <c r="H119" s="579"/>
      <c r="I119" s="534">
        <f t="shared" ref="I119:N119" si="183">I54/I$82</f>
        <v>97767.804849643886</v>
      </c>
      <c r="J119" s="534">
        <f t="shared" si="183"/>
        <v>103017.38436510638</v>
      </c>
      <c r="K119" s="534">
        <f t="shared" si="183"/>
        <v>109329.3174241884</v>
      </c>
      <c r="L119" s="534">
        <f t="shared" si="183"/>
        <v>115808.80844876842</v>
      </c>
      <c r="M119" s="534">
        <f t="shared" si="183"/>
        <v>122428.1115121593</v>
      </c>
      <c r="N119" s="535">
        <f t="shared" si="183"/>
        <v>129376.0430384005</v>
      </c>
      <c r="O119" s="536"/>
      <c r="P119" s="568">
        <f>IFERROR(((N119/I119)^(1/5))-1,0)</f>
        <v>5.7624736805582444E-2</v>
      </c>
      <c r="Q119" s="537"/>
      <c r="R119" s="535">
        <f t="shared" ref="R119:AW119" si="184">R54/R$82</f>
        <v>8479.3689386172555</v>
      </c>
      <c r="S119" s="535">
        <f t="shared" si="184"/>
        <v>8479.3689386172555</v>
      </c>
      <c r="T119" s="534">
        <f t="shared" si="184"/>
        <v>8479.3689386172555</v>
      </c>
      <c r="U119" s="534">
        <f t="shared" si="184"/>
        <v>8479.3689386172555</v>
      </c>
      <c r="V119" s="534">
        <f t="shared" si="184"/>
        <v>8479.3689386172555</v>
      </c>
      <c r="W119" s="534">
        <f t="shared" si="184"/>
        <v>8479.3689386172555</v>
      </c>
      <c r="X119" s="534">
        <f t="shared" si="184"/>
        <v>8690.195122233803</v>
      </c>
      <c r="Y119" s="534">
        <f t="shared" si="184"/>
        <v>8690.195122233803</v>
      </c>
      <c r="Z119" s="534">
        <f t="shared" si="184"/>
        <v>8690.195122233803</v>
      </c>
      <c r="AA119" s="534">
        <f t="shared" si="184"/>
        <v>8690.195122233803</v>
      </c>
      <c r="AB119" s="534">
        <f t="shared" si="184"/>
        <v>8690.195122233803</v>
      </c>
      <c r="AC119" s="534">
        <f t="shared" si="184"/>
        <v>8690.195122233803</v>
      </c>
      <c r="AD119" s="534">
        <f t="shared" si="184"/>
        <v>8975.5845968599424</v>
      </c>
      <c r="AE119" s="534">
        <f t="shared" si="184"/>
        <v>8975.5845968599424</v>
      </c>
      <c r="AF119" s="534">
        <f t="shared" si="184"/>
        <v>8975.5845968599424</v>
      </c>
      <c r="AG119" s="534">
        <f t="shared" si="184"/>
        <v>8975.5845968599424</v>
      </c>
      <c r="AH119" s="534">
        <f t="shared" si="184"/>
        <v>8975.5845968599424</v>
      </c>
      <c r="AI119" s="534">
        <f t="shared" si="184"/>
        <v>8975.5845968599424</v>
      </c>
      <c r="AJ119" s="534">
        <f t="shared" si="184"/>
        <v>9245.9683071714608</v>
      </c>
      <c r="AK119" s="534">
        <f t="shared" si="184"/>
        <v>9245.9683071714608</v>
      </c>
      <c r="AL119" s="534">
        <f t="shared" si="184"/>
        <v>9245.9683071714608</v>
      </c>
      <c r="AM119" s="534">
        <f t="shared" si="184"/>
        <v>9245.9683071714608</v>
      </c>
      <c r="AN119" s="534">
        <f t="shared" si="184"/>
        <v>9245.9683071714608</v>
      </c>
      <c r="AO119" s="534">
        <f t="shared" si="184"/>
        <v>9245.9683071714608</v>
      </c>
      <c r="AP119" s="534">
        <f t="shared" si="184"/>
        <v>9483.774234601442</v>
      </c>
      <c r="AQ119" s="534">
        <f t="shared" si="184"/>
        <v>9483.774234601442</v>
      </c>
      <c r="AR119" s="534">
        <f t="shared" si="184"/>
        <v>9483.774234601442</v>
      </c>
      <c r="AS119" s="534">
        <f t="shared" si="184"/>
        <v>9483.774234601442</v>
      </c>
      <c r="AT119" s="534">
        <f t="shared" si="184"/>
        <v>9483.774234601442</v>
      </c>
      <c r="AU119" s="534">
        <f t="shared" si="184"/>
        <v>9483.774234601442</v>
      </c>
      <c r="AV119" s="534">
        <f t="shared" si="184"/>
        <v>9817.6938401932912</v>
      </c>
      <c r="AW119" s="534">
        <f t="shared" si="184"/>
        <v>9817.6938401932912</v>
      </c>
      <c r="AX119" s="534">
        <f t="shared" ref="AX119:BY119" si="185">AX54/AX$82</f>
        <v>9817.6938401932912</v>
      </c>
      <c r="AY119" s="534">
        <f t="shared" si="185"/>
        <v>9817.6938401932912</v>
      </c>
      <c r="AZ119" s="534">
        <f t="shared" si="185"/>
        <v>9817.6938401932912</v>
      </c>
      <c r="BA119" s="534">
        <f t="shared" si="185"/>
        <v>9817.6938401932912</v>
      </c>
      <c r="BB119" s="534">
        <f t="shared" si="185"/>
        <v>10001.585041841607</v>
      </c>
      <c r="BC119" s="534">
        <f t="shared" si="185"/>
        <v>10001.585041841607</v>
      </c>
      <c r="BD119" s="534">
        <f t="shared" si="185"/>
        <v>10001.585041841607</v>
      </c>
      <c r="BE119" s="534">
        <f t="shared" si="185"/>
        <v>10001.585041841607</v>
      </c>
      <c r="BF119" s="534">
        <f t="shared" si="185"/>
        <v>10001.585041841607</v>
      </c>
      <c r="BG119" s="534">
        <f t="shared" si="185"/>
        <v>10001.585041841607</v>
      </c>
      <c r="BH119" s="534">
        <f t="shared" si="185"/>
        <v>10403.100210184937</v>
      </c>
      <c r="BI119" s="534">
        <f t="shared" si="185"/>
        <v>10403.100210184937</v>
      </c>
      <c r="BJ119" s="534">
        <f t="shared" si="185"/>
        <v>10403.100210184937</v>
      </c>
      <c r="BK119" s="534">
        <f t="shared" si="185"/>
        <v>10403.100210184937</v>
      </c>
      <c r="BL119" s="534">
        <f t="shared" si="185"/>
        <v>10403.100210184937</v>
      </c>
      <c r="BM119" s="534">
        <f t="shared" si="185"/>
        <v>10403.100210184937</v>
      </c>
      <c r="BN119" s="534">
        <f t="shared" si="185"/>
        <v>10544.655305879392</v>
      </c>
      <c r="BO119" s="534">
        <f t="shared" si="185"/>
        <v>10544.655305879392</v>
      </c>
      <c r="BP119" s="534">
        <f t="shared" si="185"/>
        <v>10544.655305879392</v>
      </c>
      <c r="BQ119" s="534">
        <f t="shared" si="185"/>
        <v>10544.655305879392</v>
      </c>
      <c r="BR119" s="534">
        <f t="shared" si="185"/>
        <v>10544.655305879392</v>
      </c>
      <c r="BS119" s="534">
        <f t="shared" si="185"/>
        <v>10544.655305879392</v>
      </c>
      <c r="BT119" s="534">
        <f t="shared" si="185"/>
        <v>11018.018533854018</v>
      </c>
      <c r="BU119" s="534">
        <f t="shared" si="185"/>
        <v>11018.018533854018</v>
      </c>
      <c r="BV119" s="534">
        <f t="shared" si="185"/>
        <v>11018.018533854018</v>
      </c>
      <c r="BW119" s="534">
        <f t="shared" si="185"/>
        <v>11018.018533854018</v>
      </c>
      <c r="BX119" s="534">
        <f t="shared" si="185"/>
        <v>11018.018533854018</v>
      </c>
      <c r="BY119" s="534">
        <f t="shared" si="185"/>
        <v>11018.018533854018</v>
      </c>
      <c r="BZ119" s="537"/>
      <c r="CA119" s="537"/>
      <c r="CB119" s="574"/>
    </row>
    <row r="120" spans="1:80" x14ac:dyDescent="0.3">
      <c r="A120" s="551"/>
      <c r="B120" s="548"/>
      <c r="C120" s="525"/>
      <c r="D120" s="525"/>
      <c r="E120" s="525"/>
      <c r="F120" s="529"/>
      <c r="G120" s="529"/>
      <c r="H120" s="529"/>
      <c r="I120" s="529"/>
      <c r="J120" s="529"/>
      <c r="K120" s="529"/>
      <c r="L120" s="529"/>
      <c r="M120" s="529"/>
      <c r="N120" s="529"/>
      <c r="O120" s="529"/>
      <c r="P120" s="562"/>
      <c r="Q120" s="537"/>
      <c r="R120" s="529"/>
      <c r="S120" s="529"/>
      <c r="T120" s="529"/>
      <c r="U120" s="529"/>
      <c r="V120" s="529"/>
      <c r="W120" s="529"/>
      <c r="X120" s="529"/>
      <c r="Y120" s="529"/>
      <c r="Z120" s="529"/>
      <c r="AA120" s="529"/>
      <c r="AB120" s="529"/>
      <c r="AC120" s="529"/>
      <c r="AD120" s="529"/>
      <c r="AE120" s="529"/>
      <c r="AF120" s="529"/>
      <c r="AG120" s="529"/>
      <c r="AH120" s="529"/>
      <c r="AI120" s="529"/>
      <c r="AJ120" s="529"/>
      <c r="AK120" s="529"/>
      <c r="AL120" s="529"/>
      <c r="AM120" s="529"/>
      <c r="AN120" s="529"/>
      <c r="AO120" s="529"/>
      <c r="AP120" s="529"/>
      <c r="AQ120" s="529"/>
      <c r="AR120" s="529"/>
      <c r="AS120" s="529"/>
      <c r="AT120" s="529"/>
      <c r="AU120" s="529"/>
      <c r="AV120" s="529"/>
      <c r="AW120" s="529"/>
      <c r="AX120" s="529"/>
      <c r="AY120" s="529"/>
      <c r="AZ120" s="529"/>
      <c r="BA120" s="529"/>
      <c r="BB120" s="529"/>
      <c r="BC120" s="529"/>
      <c r="BD120" s="529"/>
      <c r="BE120" s="529"/>
      <c r="BF120" s="529"/>
      <c r="BG120" s="529"/>
      <c r="BH120" s="529"/>
      <c r="BI120" s="529"/>
      <c r="BJ120" s="529"/>
      <c r="BK120" s="529"/>
      <c r="BL120" s="529"/>
      <c r="BM120" s="529"/>
      <c r="BN120" s="529"/>
      <c r="BO120" s="529"/>
      <c r="BP120" s="529"/>
      <c r="BQ120" s="529"/>
      <c r="BR120" s="529"/>
      <c r="BS120" s="529"/>
      <c r="BT120" s="529"/>
      <c r="BU120" s="529"/>
      <c r="BV120" s="529"/>
      <c r="BW120" s="529"/>
      <c r="BX120" s="529"/>
      <c r="BY120" s="529"/>
      <c r="BZ120" s="537"/>
      <c r="CA120" s="537"/>
      <c r="CB120" s="537"/>
    </row>
    <row r="121" spans="1:80" x14ac:dyDescent="0.3">
      <c r="A121" s="551"/>
      <c r="B121" s="548"/>
      <c r="C121" s="525"/>
      <c r="D121" s="525"/>
      <c r="E121" s="570" t="s">
        <v>51</v>
      </c>
      <c r="F121" s="529"/>
      <c r="G121" s="529"/>
      <c r="H121" s="529"/>
      <c r="I121" s="529"/>
      <c r="J121" s="529"/>
      <c r="K121" s="529"/>
      <c r="L121" s="529"/>
      <c r="M121" s="529"/>
      <c r="N121" s="529"/>
      <c r="O121" s="529"/>
      <c r="P121" s="562"/>
      <c r="Q121" s="537"/>
      <c r="R121" s="529"/>
      <c r="S121" s="529"/>
      <c r="T121" s="529"/>
      <c r="U121" s="529"/>
      <c r="V121" s="529"/>
      <c r="W121" s="529"/>
      <c r="X121" s="529"/>
      <c r="Y121" s="529"/>
      <c r="Z121" s="529"/>
      <c r="AA121" s="529"/>
      <c r="AB121" s="529"/>
      <c r="AC121" s="529"/>
      <c r="AD121" s="529"/>
      <c r="AE121" s="529"/>
      <c r="AF121" s="529"/>
      <c r="AG121" s="529"/>
      <c r="AH121" s="529"/>
      <c r="AI121" s="529"/>
      <c r="AJ121" s="529"/>
      <c r="AK121" s="529"/>
      <c r="AL121" s="529"/>
      <c r="AM121" s="529"/>
      <c r="AN121" s="529"/>
      <c r="AO121" s="529"/>
      <c r="AP121" s="529"/>
      <c r="AQ121" s="529"/>
      <c r="AR121" s="529"/>
      <c r="AS121" s="529"/>
      <c r="AT121" s="529"/>
      <c r="AU121" s="529"/>
      <c r="AV121" s="529"/>
      <c r="AW121" s="529"/>
      <c r="AX121" s="529"/>
      <c r="AY121" s="529"/>
      <c r="AZ121" s="529"/>
      <c r="BA121" s="529"/>
      <c r="BB121" s="529"/>
      <c r="BC121" s="529"/>
      <c r="BD121" s="529"/>
      <c r="BE121" s="529"/>
      <c r="BF121" s="529"/>
      <c r="BG121" s="529"/>
      <c r="BH121" s="529"/>
      <c r="BI121" s="529"/>
      <c r="BJ121" s="529"/>
      <c r="BK121" s="529"/>
      <c r="BL121" s="529"/>
      <c r="BM121" s="529"/>
      <c r="BN121" s="529"/>
      <c r="BO121" s="529"/>
      <c r="BP121" s="529"/>
      <c r="BQ121" s="529"/>
      <c r="BR121" s="529"/>
      <c r="BS121" s="529"/>
      <c r="BT121" s="529"/>
      <c r="BU121" s="529"/>
      <c r="BV121" s="529"/>
      <c r="BW121" s="529"/>
      <c r="BX121" s="529"/>
      <c r="BY121" s="529"/>
      <c r="BZ121" s="537"/>
      <c r="CA121" s="537"/>
      <c r="CB121" s="537"/>
    </row>
    <row r="122" spans="1:80" x14ac:dyDescent="0.3">
      <c r="A122" s="551"/>
      <c r="B122" s="548"/>
      <c r="C122" s="525"/>
      <c r="D122" s="525"/>
      <c r="E122" s="525" t="s">
        <v>19</v>
      </c>
      <c r="F122" s="567"/>
      <c r="G122" s="567"/>
      <c r="H122" s="567"/>
      <c r="I122" s="527">
        <f t="shared" ref="I122:N124" si="186">I57/I$82</f>
        <v>-2207.6592005866028</v>
      </c>
      <c r="J122" s="527">
        <f t="shared" si="186"/>
        <v>-2251.812384598335</v>
      </c>
      <c r="K122" s="527">
        <f t="shared" si="186"/>
        <v>-2296.8486322903013</v>
      </c>
      <c r="L122" s="527">
        <f t="shared" si="186"/>
        <v>-2342.7856049361067</v>
      </c>
      <c r="M122" s="527">
        <f t="shared" si="186"/>
        <v>-2389.6413170348292</v>
      </c>
      <c r="N122" s="527">
        <f t="shared" si="186"/>
        <v>-2437.4341433755262</v>
      </c>
      <c r="O122" s="529"/>
      <c r="P122" s="564">
        <f>IFERROR(((N122/I122)^(1/5))-1,0)</f>
        <v>2.0000000000000018E-2</v>
      </c>
      <c r="Q122" s="537"/>
      <c r="R122" s="527">
        <f t="shared" ref="R122:AW122" si="187">R57/R$82</f>
        <v>-187.65103204986121</v>
      </c>
      <c r="S122" s="527">
        <f t="shared" si="187"/>
        <v>-187.65103204986121</v>
      </c>
      <c r="T122" s="527">
        <f t="shared" si="187"/>
        <v>-187.65103204986121</v>
      </c>
      <c r="U122" s="527">
        <f t="shared" si="187"/>
        <v>-187.65103204986121</v>
      </c>
      <c r="V122" s="527">
        <f t="shared" si="187"/>
        <v>-187.65103204986121</v>
      </c>
      <c r="W122" s="527">
        <f t="shared" si="187"/>
        <v>-187.65103204986121</v>
      </c>
      <c r="X122" s="527">
        <f t="shared" si="187"/>
        <v>-187.65103204986121</v>
      </c>
      <c r="Y122" s="527">
        <f t="shared" si="187"/>
        <v>-187.65103204986121</v>
      </c>
      <c r="Z122" s="527">
        <f t="shared" si="187"/>
        <v>-187.65103204986121</v>
      </c>
      <c r="AA122" s="527">
        <f t="shared" si="187"/>
        <v>-187.65103204986121</v>
      </c>
      <c r="AB122" s="527">
        <f t="shared" si="187"/>
        <v>-187.65103204986121</v>
      </c>
      <c r="AC122" s="527">
        <f t="shared" si="187"/>
        <v>-187.65103204986121</v>
      </c>
      <c r="AD122" s="527">
        <f t="shared" si="187"/>
        <v>-191.40405269085844</v>
      </c>
      <c r="AE122" s="527">
        <f t="shared" si="187"/>
        <v>-191.40405269085844</v>
      </c>
      <c r="AF122" s="527">
        <f t="shared" si="187"/>
        <v>-191.40405269085844</v>
      </c>
      <c r="AG122" s="527">
        <f t="shared" si="187"/>
        <v>-191.40405269085844</v>
      </c>
      <c r="AH122" s="527">
        <f t="shared" si="187"/>
        <v>-191.40405269085844</v>
      </c>
      <c r="AI122" s="527">
        <f t="shared" si="187"/>
        <v>-191.40405269085844</v>
      </c>
      <c r="AJ122" s="527">
        <f t="shared" si="187"/>
        <v>-191.40405269085844</v>
      </c>
      <c r="AK122" s="527">
        <f t="shared" si="187"/>
        <v>-191.40405269085844</v>
      </c>
      <c r="AL122" s="527">
        <f t="shared" si="187"/>
        <v>-191.40405269085844</v>
      </c>
      <c r="AM122" s="527">
        <f t="shared" si="187"/>
        <v>-191.40405269085844</v>
      </c>
      <c r="AN122" s="527">
        <f t="shared" si="187"/>
        <v>-191.40405269085844</v>
      </c>
      <c r="AO122" s="527">
        <f t="shared" si="187"/>
        <v>-191.40405269085844</v>
      </c>
      <c r="AP122" s="527">
        <f t="shared" si="187"/>
        <v>-195.23213374467562</v>
      </c>
      <c r="AQ122" s="527">
        <f t="shared" si="187"/>
        <v>-195.23213374467562</v>
      </c>
      <c r="AR122" s="527">
        <f t="shared" si="187"/>
        <v>-195.23213374467562</v>
      </c>
      <c r="AS122" s="527">
        <f t="shared" si="187"/>
        <v>-195.23213374467562</v>
      </c>
      <c r="AT122" s="527">
        <f t="shared" si="187"/>
        <v>-195.23213374467562</v>
      </c>
      <c r="AU122" s="527">
        <f t="shared" si="187"/>
        <v>-195.23213374467562</v>
      </c>
      <c r="AV122" s="527">
        <f t="shared" si="187"/>
        <v>-195.23213374467562</v>
      </c>
      <c r="AW122" s="527">
        <f t="shared" si="187"/>
        <v>-195.23213374467562</v>
      </c>
      <c r="AX122" s="527">
        <f t="shared" ref="AX122:BY122" si="188">AX57/AX$82</f>
        <v>-195.23213374467562</v>
      </c>
      <c r="AY122" s="527">
        <f t="shared" si="188"/>
        <v>-195.23213374467562</v>
      </c>
      <c r="AZ122" s="527">
        <f t="shared" si="188"/>
        <v>-195.23213374467562</v>
      </c>
      <c r="BA122" s="527">
        <f t="shared" si="188"/>
        <v>-195.23213374467562</v>
      </c>
      <c r="BB122" s="527">
        <f t="shared" si="188"/>
        <v>-199.13677641956914</v>
      </c>
      <c r="BC122" s="527">
        <f t="shared" si="188"/>
        <v>-199.13677641956914</v>
      </c>
      <c r="BD122" s="527">
        <f t="shared" si="188"/>
        <v>-199.13677641956914</v>
      </c>
      <c r="BE122" s="527">
        <f t="shared" si="188"/>
        <v>-199.13677641956914</v>
      </c>
      <c r="BF122" s="527">
        <f t="shared" si="188"/>
        <v>-199.13677641956914</v>
      </c>
      <c r="BG122" s="527">
        <f t="shared" si="188"/>
        <v>-199.13677641956914</v>
      </c>
      <c r="BH122" s="527">
        <f t="shared" si="188"/>
        <v>-199.13677641956914</v>
      </c>
      <c r="BI122" s="527">
        <f t="shared" si="188"/>
        <v>-199.13677641956914</v>
      </c>
      <c r="BJ122" s="527">
        <f t="shared" si="188"/>
        <v>-199.13677641956914</v>
      </c>
      <c r="BK122" s="527">
        <f t="shared" si="188"/>
        <v>-199.13677641956914</v>
      </c>
      <c r="BL122" s="527">
        <f t="shared" si="188"/>
        <v>-199.13677641956914</v>
      </c>
      <c r="BM122" s="527">
        <f t="shared" si="188"/>
        <v>-199.13677641956914</v>
      </c>
      <c r="BN122" s="527">
        <f t="shared" si="188"/>
        <v>-203.11951194796052</v>
      </c>
      <c r="BO122" s="527">
        <f t="shared" si="188"/>
        <v>-203.11951194796052</v>
      </c>
      <c r="BP122" s="527">
        <f t="shared" si="188"/>
        <v>-203.11951194796052</v>
      </c>
      <c r="BQ122" s="527">
        <f t="shared" si="188"/>
        <v>-203.11951194796052</v>
      </c>
      <c r="BR122" s="527">
        <f t="shared" si="188"/>
        <v>-203.11951194796052</v>
      </c>
      <c r="BS122" s="527">
        <f t="shared" si="188"/>
        <v>-203.11951194796052</v>
      </c>
      <c r="BT122" s="527">
        <f t="shared" si="188"/>
        <v>-203.11951194796052</v>
      </c>
      <c r="BU122" s="527">
        <f t="shared" si="188"/>
        <v>-203.11951194796052</v>
      </c>
      <c r="BV122" s="527">
        <f t="shared" si="188"/>
        <v>-203.11951194796052</v>
      </c>
      <c r="BW122" s="527">
        <f t="shared" si="188"/>
        <v>-203.11951194796052</v>
      </c>
      <c r="BX122" s="527">
        <f t="shared" si="188"/>
        <v>-203.11951194796052</v>
      </c>
      <c r="BY122" s="527">
        <f t="shared" si="188"/>
        <v>-203.11951194796052</v>
      </c>
      <c r="BZ122" s="537"/>
      <c r="CA122" s="537"/>
      <c r="CB122" s="574"/>
    </row>
    <row r="123" spans="1:80" x14ac:dyDescent="0.3">
      <c r="A123" s="551"/>
      <c r="B123" s="548"/>
      <c r="C123" s="525"/>
      <c r="D123" s="525"/>
      <c r="E123" s="525" t="s">
        <v>20</v>
      </c>
      <c r="F123" s="567"/>
      <c r="G123" s="567"/>
      <c r="H123" s="567"/>
      <c r="I123" s="527">
        <f t="shared" si="186"/>
        <v>-192.50017649463695</v>
      </c>
      <c r="J123" s="527">
        <f t="shared" si="186"/>
        <v>-196.35018002452975</v>
      </c>
      <c r="K123" s="527">
        <f t="shared" si="186"/>
        <v>-200.27718362502029</v>
      </c>
      <c r="L123" s="527">
        <f t="shared" si="186"/>
        <v>-204.28272729752064</v>
      </c>
      <c r="M123" s="527">
        <f t="shared" si="186"/>
        <v>-208.36838184347104</v>
      </c>
      <c r="N123" s="527">
        <f t="shared" si="186"/>
        <v>-212.5357494803406</v>
      </c>
      <c r="O123" s="529"/>
      <c r="P123" s="564">
        <f>IFERROR(((N123/I123)^(1/5))-1,0)</f>
        <v>2.0000000000000018E-2</v>
      </c>
      <c r="Q123" s="537"/>
      <c r="R123" s="527">
        <f t="shared" ref="R123:AW123" si="189">R58/R$82</f>
        <v>-16.362515002044141</v>
      </c>
      <c r="S123" s="527">
        <f t="shared" si="189"/>
        <v>-16.362515002044141</v>
      </c>
      <c r="T123" s="527">
        <f t="shared" si="189"/>
        <v>-16.362515002044141</v>
      </c>
      <c r="U123" s="527">
        <f t="shared" si="189"/>
        <v>-16.362515002044141</v>
      </c>
      <c r="V123" s="527">
        <f t="shared" si="189"/>
        <v>-16.362515002044141</v>
      </c>
      <c r="W123" s="527">
        <f t="shared" si="189"/>
        <v>-16.362515002044141</v>
      </c>
      <c r="X123" s="527">
        <f t="shared" si="189"/>
        <v>-16.362515002044141</v>
      </c>
      <c r="Y123" s="527">
        <f t="shared" si="189"/>
        <v>-16.362515002044141</v>
      </c>
      <c r="Z123" s="527">
        <f t="shared" si="189"/>
        <v>-16.362515002044141</v>
      </c>
      <c r="AA123" s="527">
        <f t="shared" si="189"/>
        <v>-16.362515002044141</v>
      </c>
      <c r="AB123" s="527">
        <f t="shared" si="189"/>
        <v>-16.362515002044141</v>
      </c>
      <c r="AC123" s="527">
        <f t="shared" si="189"/>
        <v>-16.362515002044141</v>
      </c>
      <c r="AD123" s="527">
        <f t="shared" si="189"/>
        <v>-16.689765302085025</v>
      </c>
      <c r="AE123" s="527">
        <f t="shared" si="189"/>
        <v>-16.689765302085025</v>
      </c>
      <c r="AF123" s="527">
        <f t="shared" si="189"/>
        <v>-16.689765302085025</v>
      </c>
      <c r="AG123" s="527">
        <f t="shared" si="189"/>
        <v>-16.689765302085025</v>
      </c>
      <c r="AH123" s="527">
        <f t="shared" si="189"/>
        <v>-16.689765302085025</v>
      </c>
      <c r="AI123" s="527">
        <f t="shared" si="189"/>
        <v>-16.689765302085025</v>
      </c>
      <c r="AJ123" s="527">
        <f t="shared" si="189"/>
        <v>-16.689765302085025</v>
      </c>
      <c r="AK123" s="527">
        <f t="shared" si="189"/>
        <v>-16.689765302085025</v>
      </c>
      <c r="AL123" s="527">
        <f t="shared" si="189"/>
        <v>-16.689765302085025</v>
      </c>
      <c r="AM123" s="527">
        <f t="shared" si="189"/>
        <v>-16.689765302085025</v>
      </c>
      <c r="AN123" s="527">
        <f t="shared" si="189"/>
        <v>-16.689765302085025</v>
      </c>
      <c r="AO123" s="527">
        <f t="shared" si="189"/>
        <v>-16.689765302085025</v>
      </c>
      <c r="AP123" s="527">
        <f t="shared" si="189"/>
        <v>-17.023560608126726</v>
      </c>
      <c r="AQ123" s="527">
        <f t="shared" si="189"/>
        <v>-17.023560608126726</v>
      </c>
      <c r="AR123" s="527">
        <f t="shared" si="189"/>
        <v>-17.023560608126726</v>
      </c>
      <c r="AS123" s="527">
        <f t="shared" si="189"/>
        <v>-17.023560608126726</v>
      </c>
      <c r="AT123" s="527">
        <f t="shared" si="189"/>
        <v>-17.023560608126726</v>
      </c>
      <c r="AU123" s="527">
        <f t="shared" si="189"/>
        <v>-17.023560608126726</v>
      </c>
      <c r="AV123" s="527">
        <f t="shared" si="189"/>
        <v>-17.023560608126726</v>
      </c>
      <c r="AW123" s="527">
        <f t="shared" si="189"/>
        <v>-17.023560608126726</v>
      </c>
      <c r="AX123" s="527">
        <f t="shared" ref="AX123:BY123" si="190">AX58/AX$82</f>
        <v>-17.023560608126726</v>
      </c>
      <c r="AY123" s="527">
        <f t="shared" si="190"/>
        <v>-17.023560608126726</v>
      </c>
      <c r="AZ123" s="527">
        <f t="shared" si="190"/>
        <v>-17.023560608126726</v>
      </c>
      <c r="BA123" s="527">
        <f t="shared" si="190"/>
        <v>-17.023560608126726</v>
      </c>
      <c r="BB123" s="527">
        <f t="shared" si="190"/>
        <v>-17.364031820289259</v>
      </c>
      <c r="BC123" s="527">
        <f t="shared" si="190"/>
        <v>-17.364031820289259</v>
      </c>
      <c r="BD123" s="527">
        <f t="shared" si="190"/>
        <v>-17.364031820289259</v>
      </c>
      <c r="BE123" s="527">
        <f t="shared" si="190"/>
        <v>-17.364031820289259</v>
      </c>
      <c r="BF123" s="527">
        <f t="shared" si="190"/>
        <v>-17.364031820289259</v>
      </c>
      <c r="BG123" s="527">
        <f t="shared" si="190"/>
        <v>-17.364031820289259</v>
      </c>
      <c r="BH123" s="527">
        <f t="shared" si="190"/>
        <v>-17.364031820289259</v>
      </c>
      <c r="BI123" s="527">
        <f t="shared" si="190"/>
        <v>-17.364031820289259</v>
      </c>
      <c r="BJ123" s="527">
        <f t="shared" si="190"/>
        <v>-17.364031820289259</v>
      </c>
      <c r="BK123" s="527">
        <f t="shared" si="190"/>
        <v>-17.364031820289259</v>
      </c>
      <c r="BL123" s="527">
        <f t="shared" si="190"/>
        <v>-17.364031820289259</v>
      </c>
      <c r="BM123" s="527">
        <f t="shared" si="190"/>
        <v>-17.364031820289259</v>
      </c>
      <c r="BN123" s="527">
        <f t="shared" si="190"/>
        <v>-17.711312456695044</v>
      </c>
      <c r="BO123" s="527">
        <f t="shared" si="190"/>
        <v>-17.711312456695044</v>
      </c>
      <c r="BP123" s="527">
        <f t="shared" si="190"/>
        <v>-17.711312456695044</v>
      </c>
      <c r="BQ123" s="527">
        <f t="shared" si="190"/>
        <v>-17.711312456695044</v>
      </c>
      <c r="BR123" s="527">
        <f t="shared" si="190"/>
        <v>-17.711312456695044</v>
      </c>
      <c r="BS123" s="527">
        <f t="shared" si="190"/>
        <v>-17.711312456695044</v>
      </c>
      <c r="BT123" s="527">
        <f t="shared" si="190"/>
        <v>-17.711312456695044</v>
      </c>
      <c r="BU123" s="527">
        <f t="shared" si="190"/>
        <v>-17.711312456695044</v>
      </c>
      <c r="BV123" s="527">
        <f t="shared" si="190"/>
        <v>-17.711312456695044</v>
      </c>
      <c r="BW123" s="527">
        <f t="shared" si="190"/>
        <v>-17.711312456695044</v>
      </c>
      <c r="BX123" s="527">
        <f t="shared" si="190"/>
        <v>-17.711312456695044</v>
      </c>
      <c r="BY123" s="527">
        <f t="shared" si="190"/>
        <v>-17.711312456695044</v>
      </c>
      <c r="BZ123" s="537"/>
      <c r="CA123" s="537"/>
      <c r="CB123" s="574"/>
    </row>
    <row r="124" spans="1:80" x14ac:dyDescent="0.3">
      <c r="A124" s="551"/>
      <c r="B124" s="548"/>
      <c r="C124" s="525"/>
      <c r="D124" s="525"/>
      <c r="E124" s="572" t="s">
        <v>35</v>
      </c>
      <c r="F124" s="573"/>
      <c r="G124" s="573"/>
      <c r="H124" s="573"/>
      <c r="I124" s="530">
        <f t="shared" si="186"/>
        <v>-2400.1593770812397</v>
      </c>
      <c r="J124" s="532">
        <f t="shared" si="186"/>
        <v>-2448.1625646228649</v>
      </c>
      <c r="K124" s="532">
        <f t="shared" si="186"/>
        <v>-2497.1258159153217</v>
      </c>
      <c r="L124" s="532">
        <f t="shared" si="186"/>
        <v>-2547.0683322336276</v>
      </c>
      <c r="M124" s="532">
        <f t="shared" si="186"/>
        <v>-2598.0096988783007</v>
      </c>
      <c r="N124" s="530">
        <f t="shared" si="186"/>
        <v>-2649.9698928558669</v>
      </c>
      <c r="O124" s="536"/>
      <c r="P124" s="568">
        <f>IFERROR(((N124/I124)^(1/5))-1,0)</f>
        <v>2.0000000000000018E-2</v>
      </c>
      <c r="Q124" s="537"/>
      <c r="R124" s="532">
        <f t="shared" ref="R124:AW124" si="191">R59/R$82</f>
        <v>-204.01354705190536</v>
      </c>
      <c r="S124" s="532">
        <f t="shared" si="191"/>
        <v>-204.01354705190536</v>
      </c>
      <c r="T124" s="530">
        <f t="shared" si="191"/>
        <v>-204.01354705190536</v>
      </c>
      <c r="U124" s="532">
        <f t="shared" si="191"/>
        <v>-204.01354705190536</v>
      </c>
      <c r="V124" s="532">
        <f t="shared" si="191"/>
        <v>-204.01354705190536</v>
      </c>
      <c r="W124" s="532">
        <f t="shared" si="191"/>
        <v>-204.01354705190536</v>
      </c>
      <c r="X124" s="532">
        <f t="shared" si="191"/>
        <v>-204.01354705190536</v>
      </c>
      <c r="Y124" s="532">
        <f t="shared" si="191"/>
        <v>-204.01354705190536</v>
      </c>
      <c r="Z124" s="532">
        <f t="shared" si="191"/>
        <v>-204.01354705190536</v>
      </c>
      <c r="AA124" s="532">
        <f t="shared" si="191"/>
        <v>-204.01354705190536</v>
      </c>
      <c r="AB124" s="532">
        <f t="shared" si="191"/>
        <v>-204.01354705190536</v>
      </c>
      <c r="AC124" s="532">
        <f t="shared" si="191"/>
        <v>-204.01354705190536</v>
      </c>
      <c r="AD124" s="532">
        <f t="shared" si="191"/>
        <v>-208.09381799294349</v>
      </c>
      <c r="AE124" s="532">
        <f t="shared" si="191"/>
        <v>-208.09381799294349</v>
      </c>
      <c r="AF124" s="532">
        <f t="shared" si="191"/>
        <v>-208.09381799294349</v>
      </c>
      <c r="AG124" s="532">
        <f t="shared" si="191"/>
        <v>-208.09381799294349</v>
      </c>
      <c r="AH124" s="532">
        <f t="shared" si="191"/>
        <v>-208.09381799294349</v>
      </c>
      <c r="AI124" s="532">
        <f t="shared" si="191"/>
        <v>-208.09381799294349</v>
      </c>
      <c r="AJ124" s="532">
        <f t="shared" si="191"/>
        <v>-208.09381799294349</v>
      </c>
      <c r="AK124" s="532">
        <f t="shared" si="191"/>
        <v>-208.09381799294349</v>
      </c>
      <c r="AL124" s="532">
        <f t="shared" si="191"/>
        <v>-208.09381799294349</v>
      </c>
      <c r="AM124" s="532">
        <f t="shared" si="191"/>
        <v>-208.09381799294349</v>
      </c>
      <c r="AN124" s="532">
        <f t="shared" si="191"/>
        <v>-208.09381799294349</v>
      </c>
      <c r="AO124" s="532">
        <f t="shared" si="191"/>
        <v>-208.09381799294349</v>
      </c>
      <c r="AP124" s="532">
        <f t="shared" si="191"/>
        <v>-212.25569435280232</v>
      </c>
      <c r="AQ124" s="532">
        <f t="shared" si="191"/>
        <v>-212.25569435280232</v>
      </c>
      <c r="AR124" s="532">
        <f t="shared" si="191"/>
        <v>-212.25569435280232</v>
      </c>
      <c r="AS124" s="532">
        <f t="shared" si="191"/>
        <v>-212.25569435280232</v>
      </c>
      <c r="AT124" s="532">
        <f t="shared" si="191"/>
        <v>-212.25569435280232</v>
      </c>
      <c r="AU124" s="532">
        <f t="shared" si="191"/>
        <v>-212.25569435280232</v>
      </c>
      <c r="AV124" s="532">
        <f t="shared" si="191"/>
        <v>-212.25569435280232</v>
      </c>
      <c r="AW124" s="532">
        <f t="shared" si="191"/>
        <v>-212.25569435280232</v>
      </c>
      <c r="AX124" s="532">
        <f t="shared" ref="AX124:BY124" si="192">AX59/AX$82</f>
        <v>-212.25569435280232</v>
      </c>
      <c r="AY124" s="532">
        <f t="shared" si="192"/>
        <v>-212.25569435280232</v>
      </c>
      <c r="AZ124" s="532">
        <f t="shared" si="192"/>
        <v>-212.25569435280232</v>
      </c>
      <c r="BA124" s="532">
        <f t="shared" si="192"/>
        <v>-212.25569435280232</v>
      </c>
      <c r="BB124" s="532">
        <f t="shared" si="192"/>
        <v>-216.50080823985843</v>
      </c>
      <c r="BC124" s="532">
        <f t="shared" si="192"/>
        <v>-216.50080823985843</v>
      </c>
      <c r="BD124" s="532">
        <f t="shared" si="192"/>
        <v>-216.50080823985843</v>
      </c>
      <c r="BE124" s="532">
        <f t="shared" si="192"/>
        <v>-216.50080823985843</v>
      </c>
      <c r="BF124" s="532">
        <f t="shared" si="192"/>
        <v>-216.50080823985843</v>
      </c>
      <c r="BG124" s="532">
        <f t="shared" si="192"/>
        <v>-216.50080823985843</v>
      </c>
      <c r="BH124" s="532">
        <f t="shared" si="192"/>
        <v>-216.50080823985843</v>
      </c>
      <c r="BI124" s="532">
        <f t="shared" si="192"/>
        <v>-216.50080823985843</v>
      </c>
      <c r="BJ124" s="532">
        <f t="shared" si="192"/>
        <v>-216.50080823985843</v>
      </c>
      <c r="BK124" s="532">
        <f t="shared" si="192"/>
        <v>-216.50080823985843</v>
      </c>
      <c r="BL124" s="532">
        <f t="shared" si="192"/>
        <v>-216.50080823985843</v>
      </c>
      <c r="BM124" s="532">
        <f t="shared" si="192"/>
        <v>-216.50080823985843</v>
      </c>
      <c r="BN124" s="532">
        <f t="shared" si="192"/>
        <v>-220.83082440465557</v>
      </c>
      <c r="BO124" s="532">
        <f t="shared" si="192"/>
        <v>-220.83082440465557</v>
      </c>
      <c r="BP124" s="532">
        <f t="shared" si="192"/>
        <v>-220.83082440465557</v>
      </c>
      <c r="BQ124" s="532">
        <f t="shared" si="192"/>
        <v>-220.83082440465557</v>
      </c>
      <c r="BR124" s="532">
        <f t="shared" si="192"/>
        <v>-220.83082440465557</v>
      </c>
      <c r="BS124" s="532">
        <f t="shared" si="192"/>
        <v>-220.83082440465557</v>
      </c>
      <c r="BT124" s="532">
        <f t="shared" si="192"/>
        <v>-220.83082440465557</v>
      </c>
      <c r="BU124" s="532">
        <f t="shared" si="192"/>
        <v>-220.83082440465557</v>
      </c>
      <c r="BV124" s="532">
        <f t="shared" si="192"/>
        <v>-220.83082440465557</v>
      </c>
      <c r="BW124" s="532">
        <f t="shared" si="192"/>
        <v>-220.83082440465557</v>
      </c>
      <c r="BX124" s="532">
        <f t="shared" si="192"/>
        <v>-220.83082440465557</v>
      </c>
      <c r="BY124" s="532">
        <f t="shared" si="192"/>
        <v>-220.83082440465557</v>
      </c>
      <c r="BZ124" s="537"/>
      <c r="CA124" s="537"/>
      <c r="CB124" s="574"/>
    </row>
    <row r="125" spans="1:80" x14ac:dyDescent="0.3">
      <c r="A125" s="551"/>
      <c r="B125" s="548"/>
      <c r="C125" s="525"/>
      <c r="D125" s="525"/>
      <c r="E125" s="525"/>
      <c r="F125" s="529"/>
      <c r="G125" s="529"/>
      <c r="H125" s="529"/>
      <c r="I125" s="529"/>
      <c r="J125" s="529"/>
      <c r="K125" s="529"/>
      <c r="L125" s="529"/>
      <c r="M125" s="529"/>
      <c r="N125" s="529"/>
      <c r="O125" s="529"/>
      <c r="P125" s="562"/>
      <c r="Q125" s="537"/>
      <c r="R125" s="529"/>
      <c r="S125" s="529"/>
      <c r="T125" s="529"/>
      <c r="U125" s="529"/>
      <c r="V125" s="529"/>
      <c r="W125" s="529"/>
      <c r="X125" s="529"/>
      <c r="Y125" s="529"/>
      <c r="Z125" s="529"/>
      <c r="AA125" s="529"/>
      <c r="AB125" s="529"/>
      <c r="AC125" s="529"/>
      <c r="AD125" s="529"/>
      <c r="AE125" s="529"/>
      <c r="AF125" s="529"/>
      <c r="AG125" s="529"/>
      <c r="AH125" s="529"/>
      <c r="AI125" s="529"/>
      <c r="AJ125" s="529"/>
      <c r="AK125" s="529"/>
      <c r="AL125" s="529"/>
      <c r="AM125" s="529"/>
      <c r="AN125" s="529"/>
      <c r="AO125" s="529"/>
      <c r="AP125" s="529"/>
      <c r="AQ125" s="529"/>
      <c r="AR125" s="529"/>
      <c r="AS125" s="529"/>
      <c r="AT125" s="529"/>
      <c r="AU125" s="529"/>
      <c r="AV125" s="529"/>
      <c r="AW125" s="529"/>
      <c r="AX125" s="529"/>
      <c r="AY125" s="529"/>
      <c r="AZ125" s="529"/>
      <c r="BA125" s="529"/>
      <c r="BB125" s="529"/>
      <c r="BC125" s="529"/>
      <c r="BD125" s="529"/>
      <c r="BE125" s="529"/>
      <c r="BF125" s="529"/>
      <c r="BG125" s="529"/>
      <c r="BH125" s="529"/>
      <c r="BI125" s="529"/>
      <c r="BJ125" s="529"/>
      <c r="BK125" s="529"/>
      <c r="BL125" s="529"/>
      <c r="BM125" s="529"/>
      <c r="BN125" s="529"/>
      <c r="BO125" s="529"/>
      <c r="BP125" s="529"/>
      <c r="BQ125" s="529"/>
      <c r="BR125" s="529"/>
      <c r="BS125" s="529"/>
      <c r="BT125" s="529"/>
      <c r="BU125" s="529"/>
      <c r="BV125" s="529"/>
      <c r="BW125" s="529"/>
      <c r="BX125" s="529"/>
      <c r="BY125" s="529"/>
      <c r="BZ125" s="537"/>
      <c r="CA125" s="537"/>
      <c r="CB125" s="537"/>
    </row>
    <row r="126" spans="1:80" x14ac:dyDescent="0.3">
      <c r="A126" s="551"/>
      <c r="B126" s="548"/>
      <c r="C126" s="525"/>
      <c r="D126" s="525"/>
      <c r="E126" s="62" t="s">
        <v>21</v>
      </c>
      <c r="F126" s="579"/>
      <c r="G126" s="579"/>
      <c r="H126" s="579"/>
      <c r="I126" s="535">
        <f t="shared" ref="I126:N126" si="193">I61/I$82</f>
        <v>95367.645472562654</v>
      </c>
      <c r="J126" s="535">
        <f t="shared" si="193"/>
        <v>100569.22180048352</v>
      </c>
      <c r="K126" s="534">
        <f t="shared" si="193"/>
        <v>106832.19160827307</v>
      </c>
      <c r="L126" s="534">
        <f t="shared" si="193"/>
        <v>113261.74011653478</v>
      </c>
      <c r="M126" s="534">
        <f t="shared" si="193"/>
        <v>119830.101813281</v>
      </c>
      <c r="N126" s="535">
        <f t="shared" si="193"/>
        <v>126726.07314554459</v>
      </c>
      <c r="O126" s="536"/>
      <c r="P126" s="568">
        <f>IFERROR(((N126/I126)^(1/5))-1,0)</f>
        <v>5.8505169667159906E-2</v>
      </c>
      <c r="Q126" s="537"/>
      <c r="R126" s="535">
        <f t="shared" ref="R126:AW126" si="194">R61/R$82</f>
        <v>8275.3553915653501</v>
      </c>
      <c r="S126" s="534">
        <f t="shared" si="194"/>
        <v>8275.3553915653501</v>
      </c>
      <c r="T126" s="535">
        <f t="shared" si="194"/>
        <v>8275.3553915653501</v>
      </c>
      <c r="U126" s="534">
        <f t="shared" si="194"/>
        <v>8275.3553915653501</v>
      </c>
      <c r="V126" s="534">
        <f t="shared" si="194"/>
        <v>8275.3553915653501</v>
      </c>
      <c r="W126" s="534">
        <f t="shared" si="194"/>
        <v>8275.3553915653501</v>
      </c>
      <c r="X126" s="534">
        <f t="shared" si="194"/>
        <v>8486.1815751818976</v>
      </c>
      <c r="Y126" s="534">
        <f t="shared" si="194"/>
        <v>8486.1815751818976</v>
      </c>
      <c r="Z126" s="534">
        <f t="shared" si="194"/>
        <v>8486.1815751818976</v>
      </c>
      <c r="AA126" s="534">
        <f t="shared" si="194"/>
        <v>8486.1815751818976</v>
      </c>
      <c r="AB126" s="534">
        <f t="shared" si="194"/>
        <v>8486.1815751818976</v>
      </c>
      <c r="AC126" s="534">
        <f t="shared" si="194"/>
        <v>8486.1815751818976</v>
      </c>
      <c r="AD126" s="534">
        <f t="shared" si="194"/>
        <v>8767.4907788669989</v>
      </c>
      <c r="AE126" s="534">
        <f t="shared" si="194"/>
        <v>8767.4907788669989</v>
      </c>
      <c r="AF126" s="534">
        <f t="shared" si="194"/>
        <v>8767.4907788669989</v>
      </c>
      <c r="AG126" s="534">
        <f t="shared" si="194"/>
        <v>8767.4907788669989</v>
      </c>
      <c r="AH126" s="534">
        <f t="shared" si="194"/>
        <v>8767.4907788669989</v>
      </c>
      <c r="AI126" s="534">
        <f t="shared" si="194"/>
        <v>8767.4907788669989</v>
      </c>
      <c r="AJ126" s="534">
        <f t="shared" si="194"/>
        <v>9037.8744891785173</v>
      </c>
      <c r="AK126" s="534">
        <f t="shared" si="194"/>
        <v>9037.8744891785173</v>
      </c>
      <c r="AL126" s="534">
        <f t="shared" si="194"/>
        <v>9037.8744891785173</v>
      </c>
      <c r="AM126" s="534">
        <f t="shared" si="194"/>
        <v>9037.8744891785173</v>
      </c>
      <c r="AN126" s="534">
        <f t="shared" si="194"/>
        <v>9037.8744891785173</v>
      </c>
      <c r="AO126" s="534">
        <f t="shared" si="194"/>
        <v>9037.8744891785173</v>
      </c>
      <c r="AP126" s="534">
        <f t="shared" si="194"/>
        <v>9271.5185402486386</v>
      </c>
      <c r="AQ126" s="534">
        <f t="shared" si="194"/>
        <v>9271.5185402486386</v>
      </c>
      <c r="AR126" s="534">
        <f t="shared" si="194"/>
        <v>9271.5185402486386</v>
      </c>
      <c r="AS126" s="534">
        <f t="shared" si="194"/>
        <v>9271.5185402486386</v>
      </c>
      <c r="AT126" s="534">
        <f t="shared" si="194"/>
        <v>9271.5185402486386</v>
      </c>
      <c r="AU126" s="534">
        <f t="shared" si="194"/>
        <v>9271.5185402486386</v>
      </c>
      <c r="AV126" s="534">
        <f t="shared" si="194"/>
        <v>9605.4381458404878</v>
      </c>
      <c r="AW126" s="534">
        <f t="shared" si="194"/>
        <v>9605.4381458404878</v>
      </c>
      <c r="AX126" s="534">
        <f t="shared" ref="AX126:BY126" si="195">AX61/AX$82</f>
        <v>9605.4381458404878</v>
      </c>
      <c r="AY126" s="534">
        <f t="shared" si="195"/>
        <v>9605.4381458404878</v>
      </c>
      <c r="AZ126" s="534">
        <f t="shared" si="195"/>
        <v>9605.4381458404878</v>
      </c>
      <c r="BA126" s="534">
        <f t="shared" si="195"/>
        <v>9605.4381458404878</v>
      </c>
      <c r="BB126" s="534">
        <f t="shared" si="195"/>
        <v>9785.0842336017504</v>
      </c>
      <c r="BC126" s="534">
        <f t="shared" si="195"/>
        <v>9785.0842336017504</v>
      </c>
      <c r="BD126" s="534">
        <f t="shared" si="195"/>
        <v>9785.0842336017504</v>
      </c>
      <c r="BE126" s="534">
        <f t="shared" si="195"/>
        <v>9785.0842336017504</v>
      </c>
      <c r="BF126" s="534">
        <f t="shared" si="195"/>
        <v>9785.0842336017504</v>
      </c>
      <c r="BG126" s="534">
        <f t="shared" si="195"/>
        <v>9785.0842336017504</v>
      </c>
      <c r="BH126" s="534">
        <f t="shared" si="195"/>
        <v>10186.599401945081</v>
      </c>
      <c r="BI126" s="534">
        <f t="shared" si="195"/>
        <v>10186.599401945081</v>
      </c>
      <c r="BJ126" s="534">
        <f t="shared" si="195"/>
        <v>10186.599401945081</v>
      </c>
      <c r="BK126" s="534">
        <f t="shared" si="195"/>
        <v>10186.599401945081</v>
      </c>
      <c r="BL126" s="534">
        <f t="shared" si="195"/>
        <v>10186.599401945081</v>
      </c>
      <c r="BM126" s="534">
        <f t="shared" si="195"/>
        <v>10186.599401945081</v>
      </c>
      <c r="BN126" s="534">
        <f t="shared" si="195"/>
        <v>10323.824481474738</v>
      </c>
      <c r="BO126" s="534">
        <f t="shared" si="195"/>
        <v>10323.824481474738</v>
      </c>
      <c r="BP126" s="534">
        <f t="shared" si="195"/>
        <v>10323.824481474738</v>
      </c>
      <c r="BQ126" s="534">
        <f t="shared" si="195"/>
        <v>10323.824481474738</v>
      </c>
      <c r="BR126" s="534">
        <f t="shared" si="195"/>
        <v>10323.824481474738</v>
      </c>
      <c r="BS126" s="534">
        <f t="shared" si="195"/>
        <v>10323.824481474738</v>
      </c>
      <c r="BT126" s="534">
        <f t="shared" si="195"/>
        <v>10797.187709449363</v>
      </c>
      <c r="BU126" s="534">
        <f t="shared" si="195"/>
        <v>10797.187709449363</v>
      </c>
      <c r="BV126" s="534">
        <f t="shared" si="195"/>
        <v>10797.187709449363</v>
      </c>
      <c r="BW126" s="534">
        <f t="shared" si="195"/>
        <v>10797.187709449363</v>
      </c>
      <c r="BX126" s="534">
        <f t="shared" si="195"/>
        <v>10797.187709449363</v>
      </c>
      <c r="BY126" s="534">
        <f t="shared" si="195"/>
        <v>10797.187709449363</v>
      </c>
      <c r="BZ126" s="537"/>
      <c r="CA126" s="537"/>
      <c r="CB126" s="574"/>
    </row>
    <row r="127" spans="1:80" x14ac:dyDescent="0.3">
      <c r="A127" s="551"/>
      <c r="B127" s="548"/>
      <c r="C127" s="525"/>
      <c r="D127" s="525"/>
      <c r="E127" s="2" t="s">
        <v>405</v>
      </c>
      <c r="F127" s="525"/>
      <c r="G127" s="525"/>
      <c r="H127" s="525"/>
      <c r="I127" s="531">
        <f t="shared" ref="I127:N127" si="196">IFERROR(I126/SUM(I87,I96,I110,I117),0)</f>
        <v>0.58386220752895512</v>
      </c>
      <c r="J127" s="531">
        <f t="shared" si="196"/>
        <v>0.58902428727506551</v>
      </c>
      <c r="K127" s="531">
        <f t="shared" si="196"/>
        <v>0.59391640108450794</v>
      </c>
      <c r="L127" s="531">
        <f t="shared" si="196"/>
        <v>0.59850067390923267</v>
      </c>
      <c r="M127" s="531">
        <f t="shared" si="196"/>
        <v>0.60252614844024033</v>
      </c>
      <c r="N127" s="531">
        <f t="shared" si="196"/>
        <v>0.60637398446732049</v>
      </c>
      <c r="O127" s="546"/>
      <c r="P127" s="564">
        <f>IFERROR(((N127/I127)^(1/5))-1,0)</f>
        <v>7.595081986072616E-3</v>
      </c>
      <c r="Q127" s="537"/>
      <c r="R127" s="531">
        <f t="shared" ref="R127:AW127" si="197">IFERROR(R126/SUM(R87,R96,R110,R117),0)</f>
        <v>0.58894969734717806</v>
      </c>
      <c r="S127" s="531">
        <f t="shared" si="197"/>
        <v>0.58894969734717806</v>
      </c>
      <c r="T127" s="531">
        <f t="shared" si="197"/>
        <v>0.58894969734717806</v>
      </c>
      <c r="U127" s="531">
        <f t="shared" si="197"/>
        <v>0.58894969734717806</v>
      </c>
      <c r="V127" s="531">
        <f t="shared" si="197"/>
        <v>0.58894969734717806</v>
      </c>
      <c r="W127" s="531">
        <f t="shared" si="197"/>
        <v>0.58894969734717806</v>
      </c>
      <c r="X127" s="531">
        <f t="shared" si="197"/>
        <v>0.58909704232793558</v>
      </c>
      <c r="Y127" s="531">
        <f t="shared" si="197"/>
        <v>0.58909704232793558</v>
      </c>
      <c r="Z127" s="531">
        <f t="shared" si="197"/>
        <v>0.58909704232793558</v>
      </c>
      <c r="AA127" s="531">
        <f t="shared" si="197"/>
        <v>0.58909704232793558</v>
      </c>
      <c r="AB127" s="531">
        <f t="shared" si="197"/>
        <v>0.58909704232793558</v>
      </c>
      <c r="AC127" s="531">
        <f t="shared" si="197"/>
        <v>0.58909704232793558</v>
      </c>
      <c r="AD127" s="531">
        <f t="shared" si="197"/>
        <v>0.59378989868409815</v>
      </c>
      <c r="AE127" s="531">
        <f t="shared" si="197"/>
        <v>0.59378989868409815</v>
      </c>
      <c r="AF127" s="531">
        <f t="shared" si="197"/>
        <v>0.59378989868409815</v>
      </c>
      <c r="AG127" s="531">
        <f t="shared" si="197"/>
        <v>0.59378989868409815</v>
      </c>
      <c r="AH127" s="531">
        <f t="shared" si="197"/>
        <v>0.59378989868409815</v>
      </c>
      <c r="AI127" s="531">
        <f t="shared" si="197"/>
        <v>0.59378989868409815</v>
      </c>
      <c r="AJ127" s="531">
        <f t="shared" si="197"/>
        <v>0.59403917046263455</v>
      </c>
      <c r="AK127" s="531">
        <f t="shared" si="197"/>
        <v>0.59403917046263455</v>
      </c>
      <c r="AL127" s="531">
        <f t="shared" si="197"/>
        <v>0.59403917046263455</v>
      </c>
      <c r="AM127" s="531">
        <f t="shared" si="197"/>
        <v>0.59403917046263455</v>
      </c>
      <c r="AN127" s="531">
        <f t="shared" si="197"/>
        <v>0.59403917046263455</v>
      </c>
      <c r="AO127" s="531">
        <f t="shared" si="197"/>
        <v>0.59403917046263455</v>
      </c>
      <c r="AP127" s="531">
        <f t="shared" si="197"/>
        <v>0.59831567636409544</v>
      </c>
      <c r="AQ127" s="531">
        <f t="shared" si="197"/>
        <v>0.59831567636409544</v>
      </c>
      <c r="AR127" s="531">
        <f t="shared" si="197"/>
        <v>0.59831567636409544</v>
      </c>
      <c r="AS127" s="531">
        <f t="shared" si="197"/>
        <v>0.59831567636409544</v>
      </c>
      <c r="AT127" s="531">
        <f t="shared" si="197"/>
        <v>0.59831567636409544</v>
      </c>
      <c r="AU127" s="531">
        <f t="shared" si="197"/>
        <v>0.59831567636409544</v>
      </c>
      <c r="AV127" s="531">
        <f t="shared" si="197"/>
        <v>0.59867934881125062</v>
      </c>
      <c r="AW127" s="531">
        <f t="shared" si="197"/>
        <v>0.59867934881125062</v>
      </c>
      <c r="AX127" s="531">
        <f t="shared" ref="AX127:BY127" si="198">IFERROR(AX126/SUM(AX87,AX96,AX110,AX117),0)</f>
        <v>0.59867934881125062</v>
      </c>
      <c r="AY127" s="531">
        <f t="shared" si="198"/>
        <v>0.59867934881125062</v>
      </c>
      <c r="AZ127" s="531">
        <f t="shared" si="198"/>
        <v>0.59867934881125062</v>
      </c>
      <c r="BA127" s="531">
        <f t="shared" si="198"/>
        <v>0.59867934881125062</v>
      </c>
      <c r="BB127" s="531">
        <f t="shared" si="198"/>
        <v>0.60227371308686872</v>
      </c>
      <c r="BC127" s="531">
        <f t="shared" si="198"/>
        <v>0.60227371308686872</v>
      </c>
      <c r="BD127" s="531">
        <f t="shared" si="198"/>
        <v>0.60227371308686872</v>
      </c>
      <c r="BE127" s="531">
        <f t="shared" si="198"/>
        <v>0.60227371308686872</v>
      </c>
      <c r="BF127" s="531">
        <f t="shared" si="198"/>
        <v>0.60227371308686872</v>
      </c>
      <c r="BG127" s="531">
        <f t="shared" si="198"/>
        <v>0.60227371308686872</v>
      </c>
      <c r="BH127" s="531">
        <f t="shared" si="198"/>
        <v>0.60276883314112395</v>
      </c>
      <c r="BI127" s="531">
        <f t="shared" si="198"/>
        <v>0.60276883314112395</v>
      </c>
      <c r="BJ127" s="531">
        <f t="shared" si="198"/>
        <v>0.60276883314112395</v>
      </c>
      <c r="BK127" s="531">
        <f t="shared" si="198"/>
        <v>0.60276883314112395</v>
      </c>
      <c r="BL127" s="531">
        <f t="shared" si="198"/>
        <v>0.60276883314112395</v>
      </c>
      <c r="BM127" s="531">
        <f t="shared" si="198"/>
        <v>0.60276883314112395</v>
      </c>
      <c r="BN127" s="531">
        <f t="shared" si="198"/>
        <v>0.60604532018303781</v>
      </c>
      <c r="BO127" s="531">
        <f t="shared" si="198"/>
        <v>0.60604532018303781</v>
      </c>
      <c r="BP127" s="531">
        <f t="shared" si="198"/>
        <v>0.60604532018303781</v>
      </c>
      <c r="BQ127" s="531">
        <f t="shared" si="198"/>
        <v>0.60604532018303781</v>
      </c>
      <c r="BR127" s="531">
        <f t="shared" si="198"/>
        <v>0.60604532018303781</v>
      </c>
      <c r="BS127" s="531">
        <f t="shared" si="198"/>
        <v>0.60604532018303781</v>
      </c>
      <c r="BT127" s="531">
        <f t="shared" si="198"/>
        <v>0.60668857321610148</v>
      </c>
      <c r="BU127" s="531">
        <f t="shared" si="198"/>
        <v>0.60668857321610148</v>
      </c>
      <c r="BV127" s="531">
        <f t="shared" si="198"/>
        <v>0.60668857321610148</v>
      </c>
      <c r="BW127" s="531">
        <f t="shared" si="198"/>
        <v>0.60668857321610148</v>
      </c>
      <c r="BX127" s="531">
        <f t="shared" si="198"/>
        <v>0.60668857321610148</v>
      </c>
      <c r="BY127" s="531">
        <f t="shared" si="198"/>
        <v>0.60668857321610148</v>
      </c>
      <c r="BZ127" s="537"/>
      <c r="CA127" s="537"/>
      <c r="CB127" s="537"/>
    </row>
    <row r="128" spans="1:80" x14ac:dyDescent="0.3">
      <c r="A128" s="551"/>
      <c r="B128" s="548"/>
      <c r="C128" s="525"/>
      <c r="D128" s="525"/>
      <c r="E128" s="2"/>
      <c r="F128" s="525"/>
      <c r="G128" s="525"/>
      <c r="H128" s="525"/>
      <c r="I128" s="525"/>
      <c r="J128" s="525"/>
      <c r="K128" s="525"/>
      <c r="L128" s="525"/>
      <c r="M128" s="525"/>
      <c r="N128" s="525"/>
      <c r="O128" s="525"/>
      <c r="P128" s="565"/>
      <c r="Q128" s="537"/>
      <c r="R128" s="525"/>
      <c r="S128" s="525"/>
      <c r="T128" s="525"/>
      <c r="U128" s="525"/>
      <c r="V128" s="525"/>
      <c r="W128" s="525"/>
      <c r="X128" s="525"/>
      <c r="Y128" s="525"/>
      <c r="Z128" s="525"/>
      <c r="AA128" s="525"/>
      <c r="AB128" s="525"/>
      <c r="AC128" s="525"/>
      <c r="AD128" s="525"/>
      <c r="AE128" s="525"/>
      <c r="AF128" s="525"/>
      <c r="AG128" s="525"/>
      <c r="AH128" s="525"/>
      <c r="AI128" s="525"/>
      <c r="AJ128" s="525"/>
      <c r="AK128" s="525"/>
      <c r="AL128" s="525"/>
      <c r="AM128" s="525"/>
      <c r="AN128" s="525"/>
      <c r="AO128" s="525"/>
      <c r="AP128" s="525"/>
      <c r="AQ128" s="525"/>
      <c r="AR128" s="525"/>
      <c r="AS128" s="525"/>
      <c r="AT128" s="525"/>
      <c r="AU128" s="525"/>
      <c r="AV128" s="525"/>
      <c r="AW128" s="525"/>
      <c r="AX128" s="525"/>
      <c r="AY128" s="525"/>
      <c r="AZ128" s="525"/>
      <c r="BA128" s="525"/>
      <c r="BB128" s="525"/>
      <c r="BC128" s="525"/>
      <c r="BD128" s="525"/>
      <c r="BE128" s="525"/>
      <c r="BF128" s="525"/>
      <c r="BG128" s="525"/>
      <c r="BH128" s="525"/>
      <c r="BI128" s="525"/>
      <c r="BJ128" s="525"/>
      <c r="BK128" s="525"/>
      <c r="BL128" s="525"/>
      <c r="BM128" s="525"/>
      <c r="BN128" s="525"/>
      <c r="BO128" s="525"/>
      <c r="BP128" s="525"/>
      <c r="BQ128" s="525"/>
      <c r="BR128" s="525"/>
      <c r="BS128" s="525"/>
      <c r="BT128" s="525"/>
      <c r="BU128" s="525"/>
      <c r="BV128" s="525"/>
      <c r="BW128" s="525"/>
      <c r="BX128" s="525"/>
      <c r="BY128" s="525"/>
      <c r="BZ128" s="537"/>
      <c r="CA128" s="537"/>
      <c r="CB128" s="537"/>
    </row>
    <row r="129" spans="1:80" x14ac:dyDescent="0.3">
      <c r="A129" s="551"/>
      <c r="B129" s="548"/>
      <c r="C129" s="525"/>
      <c r="D129" s="525"/>
      <c r="E129" s="2" t="s">
        <v>129</v>
      </c>
      <c r="F129" s="525"/>
      <c r="G129" s="525"/>
      <c r="H129" s="525"/>
      <c r="I129" s="527">
        <f t="shared" ref="I129:N130" si="199">I64/I$82</f>
        <v>-8700</v>
      </c>
      <c r="J129" s="527">
        <f t="shared" si="199"/>
        <v>-8914.6850136986322</v>
      </c>
      <c r="K129" s="527">
        <f t="shared" si="199"/>
        <v>-9121.2663528297708</v>
      </c>
      <c r="L129" s="527">
        <f t="shared" si="199"/>
        <v>-9316.9087696781771</v>
      </c>
      <c r="M129" s="527">
        <f t="shared" si="199"/>
        <v>-9499.5074186751444</v>
      </c>
      <c r="N129" s="527">
        <f t="shared" si="199"/>
        <v>-9683.8004652022137</v>
      </c>
      <c r="O129" s="525"/>
      <c r="P129" s="564">
        <f>IFERROR(((N129/I129)^(1/5))-1,0)</f>
        <v>2.1657472733383143E-2</v>
      </c>
      <c r="Q129" s="537"/>
      <c r="R129" s="527">
        <f t="shared" ref="R129:AW129" si="200">R64/R$82</f>
        <v>-742.89041780821924</v>
      </c>
      <c r="S129" s="527">
        <f t="shared" si="200"/>
        <v>-742.89041780821924</v>
      </c>
      <c r="T129" s="527">
        <f t="shared" si="200"/>
        <v>-742.89041780821924</v>
      </c>
      <c r="U129" s="527">
        <f t="shared" si="200"/>
        <v>-742.89041780821924</v>
      </c>
      <c r="V129" s="527">
        <f t="shared" si="200"/>
        <v>-742.89041780821924</v>
      </c>
      <c r="W129" s="527">
        <f t="shared" si="200"/>
        <v>-742.89041780821924</v>
      </c>
      <c r="X129" s="527">
        <f t="shared" si="200"/>
        <v>-742.89041780821924</v>
      </c>
      <c r="Y129" s="527">
        <f t="shared" si="200"/>
        <v>-742.89041780821924</v>
      </c>
      <c r="Z129" s="527">
        <f t="shared" si="200"/>
        <v>-742.89041780821924</v>
      </c>
      <c r="AA129" s="527">
        <f t="shared" si="200"/>
        <v>-742.89041780821924</v>
      </c>
      <c r="AB129" s="527">
        <f t="shared" si="200"/>
        <v>-742.89041780821924</v>
      </c>
      <c r="AC129" s="527">
        <f t="shared" si="200"/>
        <v>-742.89041780821924</v>
      </c>
      <c r="AD129" s="527">
        <f t="shared" si="200"/>
        <v>-760.1055294024809</v>
      </c>
      <c r="AE129" s="527">
        <f t="shared" si="200"/>
        <v>-760.1055294024809</v>
      </c>
      <c r="AF129" s="527">
        <f t="shared" si="200"/>
        <v>-760.1055294024809</v>
      </c>
      <c r="AG129" s="527">
        <f t="shared" si="200"/>
        <v>-760.1055294024809</v>
      </c>
      <c r="AH129" s="527">
        <f t="shared" si="200"/>
        <v>-760.1055294024809</v>
      </c>
      <c r="AI129" s="527">
        <f t="shared" si="200"/>
        <v>-760.1055294024809</v>
      </c>
      <c r="AJ129" s="527">
        <f t="shared" si="200"/>
        <v>-760.1055294024809</v>
      </c>
      <c r="AK129" s="527">
        <f t="shared" si="200"/>
        <v>-760.1055294024809</v>
      </c>
      <c r="AL129" s="527">
        <f t="shared" si="200"/>
        <v>-760.1055294024809</v>
      </c>
      <c r="AM129" s="527">
        <f t="shared" si="200"/>
        <v>-760.1055294024809</v>
      </c>
      <c r="AN129" s="527">
        <f t="shared" si="200"/>
        <v>-760.1055294024809</v>
      </c>
      <c r="AO129" s="527">
        <f t="shared" si="200"/>
        <v>-760.1055294024809</v>
      </c>
      <c r="AP129" s="527">
        <f t="shared" si="200"/>
        <v>-776.40906413984806</v>
      </c>
      <c r="AQ129" s="527">
        <f t="shared" si="200"/>
        <v>-776.40906413984806</v>
      </c>
      <c r="AR129" s="527">
        <f t="shared" si="200"/>
        <v>-776.40906413984806</v>
      </c>
      <c r="AS129" s="527">
        <f t="shared" si="200"/>
        <v>-776.40906413984806</v>
      </c>
      <c r="AT129" s="527">
        <f t="shared" si="200"/>
        <v>-776.40906413984806</v>
      </c>
      <c r="AU129" s="527">
        <f t="shared" si="200"/>
        <v>-776.40906413984806</v>
      </c>
      <c r="AV129" s="527">
        <f t="shared" si="200"/>
        <v>-776.40906413984806</v>
      </c>
      <c r="AW129" s="527">
        <f t="shared" si="200"/>
        <v>-776.40906413984806</v>
      </c>
      <c r="AX129" s="527">
        <f t="shared" ref="AX129:BY129" si="201">AX64/AX$82</f>
        <v>-776.40906413984806</v>
      </c>
      <c r="AY129" s="527">
        <f t="shared" si="201"/>
        <v>-776.40906413984806</v>
      </c>
      <c r="AZ129" s="527">
        <f t="shared" si="201"/>
        <v>-776.40906413984806</v>
      </c>
      <c r="BA129" s="527">
        <f t="shared" si="201"/>
        <v>-776.40906413984806</v>
      </c>
      <c r="BB129" s="527">
        <f t="shared" si="201"/>
        <v>-791.62561822292867</v>
      </c>
      <c r="BC129" s="527">
        <f t="shared" si="201"/>
        <v>-791.62561822292867</v>
      </c>
      <c r="BD129" s="527">
        <f t="shared" si="201"/>
        <v>-791.62561822292867</v>
      </c>
      <c r="BE129" s="527">
        <f t="shared" si="201"/>
        <v>-791.62561822292867</v>
      </c>
      <c r="BF129" s="527">
        <f t="shared" si="201"/>
        <v>-791.62561822292867</v>
      </c>
      <c r="BG129" s="527">
        <f t="shared" si="201"/>
        <v>-791.62561822292867</v>
      </c>
      <c r="BH129" s="527">
        <f t="shared" si="201"/>
        <v>-791.62561822292867</v>
      </c>
      <c r="BI129" s="527">
        <f t="shared" si="201"/>
        <v>-791.62561822292867</v>
      </c>
      <c r="BJ129" s="527">
        <f t="shared" si="201"/>
        <v>-791.62561822292867</v>
      </c>
      <c r="BK129" s="527">
        <f t="shared" si="201"/>
        <v>-791.62561822292867</v>
      </c>
      <c r="BL129" s="527">
        <f t="shared" si="201"/>
        <v>-791.62561822292867</v>
      </c>
      <c r="BM129" s="527">
        <f t="shared" si="201"/>
        <v>-791.62561822292867</v>
      </c>
      <c r="BN129" s="527">
        <f t="shared" si="201"/>
        <v>-806.98337210018451</v>
      </c>
      <c r="BO129" s="527">
        <f t="shared" si="201"/>
        <v>-806.98337210018451</v>
      </c>
      <c r="BP129" s="527">
        <f t="shared" si="201"/>
        <v>-806.98337210018451</v>
      </c>
      <c r="BQ129" s="527">
        <f t="shared" si="201"/>
        <v>-806.98337210018451</v>
      </c>
      <c r="BR129" s="527">
        <f t="shared" si="201"/>
        <v>-806.98337210018451</v>
      </c>
      <c r="BS129" s="527">
        <f t="shared" si="201"/>
        <v>-806.98337210018451</v>
      </c>
      <c r="BT129" s="527">
        <f t="shared" si="201"/>
        <v>-806.98337210018451</v>
      </c>
      <c r="BU129" s="527">
        <f t="shared" si="201"/>
        <v>-806.98337210018451</v>
      </c>
      <c r="BV129" s="527">
        <f t="shared" si="201"/>
        <v>-806.98337210018451</v>
      </c>
      <c r="BW129" s="527">
        <f t="shared" si="201"/>
        <v>-806.98337210018451</v>
      </c>
      <c r="BX129" s="527">
        <f t="shared" si="201"/>
        <v>-806.98337210018451</v>
      </c>
      <c r="BY129" s="527">
        <f t="shared" si="201"/>
        <v>-806.98337210018451</v>
      </c>
      <c r="BZ129" s="537"/>
      <c r="CA129" s="537"/>
      <c r="CB129" s="537"/>
    </row>
    <row r="130" spans="1:80" x14ac:dyDescent="0.3">
      <c r="A130" s="551"/>
      <c r="B130" s="548"/>
      <c r="C130" s="525"/>
      <c r="D130" s="525"/>
      <c r="E130" s="62" t="s">
        <v>292</v>
      </c>
      <c r="F130" s="579"/>
      <c r="G130" s="579"/>
      <c r="H130" s="579"/>
      <c r="I130" s="535">
        <f t="shared" si="199"/>
        <v>86667.645472562654</v>
      </c>
      <c r="J130" s="534">
        <f t="shared" si="199"/>
        <v>91654.536786784898</v>
      </c>
      <c r="K130" s="534">
        <f t="shared" si="199"/>
        <v>97710.925255443304</v>
      </c>
      <c r="L130" s="534">
        <f t="shared" si="199"/>
        <v>103944.8313468566</v>
      </c>
      <c r="M130" s="534">
        <f t="shared" si="199"/>
        <v>110330.59439460587</v>
      </c>
      <c r="N130" s="534">
        <f t="shared" si="199"/>
        <v>117042.27268034237</v>
      </c>
      <c r="O130" s="536"/>
      <c r="P130" s="568">
        <f>IFERROR(((N130/I130)^(1/5))-1,0)</f>
        <v>6.1933080009962227E-2</v>
      </c>
      <c r="Q130" s="537"/>
      <c r="R130" s="535">
        <f t="shared" ref="R130:AW130" si="202">R65/R$82</f>
        <v>7532.4649737571308</v>
      </c>
      <c r="S130" s="534">
        <f t="shared" si="202"/>
        <v>7532.4649737571308</v>
      </c>
      <c r="T130" s="534">
        <f t="shared" si="202"/>
        <v>7532.4649737571308</v>
      </c>
      <c r="U130" s="534">
        <f t="shared" si="202"/>
        <v>7532.4649737571308</v>
      </c>
      <c r="V130" s="534">
        <f t="shared" si="202"/>
        <v>7532.4649737571308</v>
      </c>
      <c r="W130" s="534">
        <f t="shared" si="202"/>
        <v>7532.4649737571308</v>
      </c>
      <c r="X130" s="534">
        <f t="shared" si="202"/>
        <v>7743.2911573736783</v>
      </c>
      <c r="Y130" s="534">
        <f t="shared" si="202"/>
        <v>7743.2911573736783</v>
      </c>
      <c r="Z130" s="534">
        <f t="shared" si="202"/>
        <v>7743.2911573736783</v>
      </c>
      <c r="AA130" s="534">
        <f t="shared" si="202"/>
        <v>7743.2911573736783</v>
      </c>
      <c r="AB130" s="534">
        <f t="shared" si="202"/>
        <v>7743.2911573736783</v>
      </c>
      <c r="AC130" s="534">
        <f t="shared" si="202"/>
        <v>7743.2911573736783</v>
      </c>
      <c r="AD130" s="534">
        <f t="shared" si="202"/>
        <v>8007.3852494645189</v>
      </c>
      <c r="AE130" s="534">
        <f t="shared" si="202"/>
        <v>8007.3852494645189</v>
      </c>
      <c r="AF130" s="534">
        <f t="shared" si="202"/>
        <v>8007.3852494645189</v>
      </c>
      <c r="AG130" s="534">
        <f t="shared" si="202"/>
        <v>8007.3852494645189</v>
      </c>
      <c r="AH130" s="534">
        <f t="shared" si="202"/>
        <v>8007.3852494645189</v>
      </c>
      <c r="AI130" s="534">
        <f t="shared" si="202"/>
        <v>8007.3852494645189</v>
      </c>
      <c r="AJ130" s="534">
        <f t="shared" si="202"/>
        <v>8277.7689597760364</v>
      </c>
      <c r="AK130" s="534">
        <f t="shared" si="202"/>
        <v>8277.7689597760364</v>
      </c>
      <c r="AL130" s="534">
        <f t="shared" si="202"/>
        <v>8277.7689597760364</v>
      </c>
      <c r="AM130" s="534">
        <f t="shared" si="202"/>
        <v>8277.7689597760364</v>
      </c>
      <c r="AN130" s="534">
        <f t="shared" si="202"/>
        <v>8277.7689597760364</v>
      </c>
      <c r="AO130" s="534">
        <f t="shared" si="202"/>
        <v>8277.7689597760364</v>
      </c>
      <c r="AP130" s="534">
        <f t="shared" si="202"/>
        <v>8495.1094761087916</v>
      </c>
      <c r="AQ130" s="534">
        <f t="shared" si="202"/>
        <v>8495.1094761087916</v>
      </c>
      <c r="AR130" s="534">
        <f t="shared" si="202"/>
        <v>8495.1094761087916</v>
      </c>
      <c r="AS130" s="534">
        <f t="shared" si="202"/>
        <v>8495.1094761087916</v>
      </c>
      <c r="AT130" s="534">
        <f t="shared" si="202"/>
        <v>8495.1094761087916</v>
      </c>
      <c r="AU130" s="534">
        <f t="shared" si="202"/>
        <v>8495.1094761087916</v>
      </c>
      <c r="AV130" s="534">
        <f t="shared" si="202"/>
        <v>8829.0290817006407</v>
      </c>
      <c r="AW130" s="534">
        <f t="shared" si="202"/>
        <v>8829.0290817006407</v>
      </c>
      <c r="AX130" s="534">
        <f t="shared" ref="AX130:BY130" si="203">AX65/AX$82</f>
        <v>8829.0290817006407</v>
      </c>
      <c r="AY130" s="534">
        <f t="shared" si="203"/>
        <v>8829.0290817006407</v>
      </c>
      <c r="AZ130" s="534">
        <f t="shared" si="203"/>
        <v>8829.0290817006407</v>
      </c>
      <c r="BA130" s="534">
        <f t="shared" si="203"/>
        <v>8829.0290817006407</v>
      </c>
      <c r="BB130" s="534">
        <f t="shared" si="203"/>
        <v>8993.4586153788205</v>
      </c>
      <c r="BC130" s="534">
        <f t="shared" si="203"/>
        <v>8993.4586153788205</v>
      </c>
      <c r="BD130" s="534">
        <f t="shared" si="203"/>
        <v>8993.4586153788205</v>
      </c>
      <c r="BE130" s="534">
        <f t="shared" si="203"/>
        <v>8993.4586153788205</v>
      </c>
      <c r="BF130" s="534">
        <f t="shared" si="203"/>
        <v>8993.4586153788205</v>
      </c>
      <c r="BG130" s="534">
        <f t="shared" si="203"/>
        <v>8993.4586153788205</v>
      </c>
      <c r="BH130" s="534">
        <f t="shared" si="203"/>
        <v>9394.973783722151</v>
      </c>
      <c r="BI130" s="534">
        <f t="shared" si="203"/>
        <v>9394.973783722151</v>
      </c>
      <c r="BJ130" s="534">
        <f t="shared" si="203"/>
        <v>9394.973783722151</v>
      </c>
      <c r="BK130" s="534">
        <f t="shared" si="203"/>
        <v>9394.973783722151</v>
      </c>
      <c r="BL130" s="534">
        <f t="shared" si="203"/>
        <v>9394.973783722151</v>
      </c>
      <c r="BM130" s="534">
        <f t="shared" si="203"/>
        <v>9394.973783722151</v>
      </c>
      <c r="BN130" s="534">
        <f t="shared" si="203"/>
        <v>9516.8411093745544</v>
      </c>
      <c r="BO130" s="534">
        <f t="shared" si="203"/>
        <v>9516.8411093745544</v>
      </c>
      <c r="BP130" s="534">
        <f t="shared" si="203"/>
        <v>9516.8411093745544</v>
      </c>
      <c r="BQ130" s="534">
        <f t="shared" si="203"/>
        <v>9516.8411093745544</v>
      </c>
      <c r="BR130" s="534">
        <f t="shared" si="203"/>
        <v>9516.8411093745544</v>
      </c>
      <c r="BS130" s="534">
        <f t="shared" si="203"/>
        <v>9516.8411093745544</v>
      </c>
      <c r="BT130" s="534">
        <f t="shared" si="203"/>
        <v>9990.2043373491779</v>
      </c>
      <c r="BU130" s="534">
        <f t="shared" si="203"/>
        <v>9990.2043373491779</v>
      </c>
      <c r="BV130" s="534">
        <f t="shared" si="203"/>
        <v>9990.2043373491779</v>
      </c>
      <c r="BW130" s="534">
        <f t="shared" si="203"/>
        <v>9990.2043373491779</v>
      </c>
      <c r="BX130" s="534">
        <f t="shared" si="203"/>
        <v>9990.2043373491779</v>
      </c>
      <c r="BY130" s="534">
        <f t="shared" si="203"/>
        <v>9990.2043373491779</v>
      </c>
      <c r="BZ130" s="537"/>
      <c r="CA130" s="537"/>
      <c r="CB130" s="574"/>
    </row>
    <row r="131" spans="1:80" x14ac:dyDescent="0.3">
      <c r="A131" s="551"/>
      <c r="B131" s="548"/>
      <c r="C131" s="525"/>
      <c r="D131" s="525"/>
      <c r="E131" s="692" t="s">
        <v>406</v>
      </c>
      <c r="F131" s="525"/>
      <c r="G131" s="525"/>
      <c r="H131" s="525"/>
      <c r="I131" s="531">
        <f t="shared" ref="I131:N131" si="204">IFERROR(I130/I126,0)</f>
        <v>0.90877409254585195</v>
      </c>
      <c r="J131" s="531">
        <f t="shared" si="204"/>
        <v>0.91135772103930357</v>
      </c>
      <c r="K131" s="531">
        <f t="shared" si="204"/>
        <v>0.91462061935156047</v>
      </c>
      <c r="L131" s="531">
        <f t="shared" si="204"/>
        <v>0.91774001741371769</v>
      </c>
      <c r="M131" s="531">
        <f t="shared" si="204"/>
        <v>0.92072519947052001</v>
      </c>
      <c r="N131" s="531">
        <f t="shared" si="204"/>
        <v>0.92358478231957519</v>
      </c>
      <c r="O131" s="546"/>
      <c r="P131" s="564">
        <f>IFERROR(((N131/I131)^(1/5))-1,0)</f>
        <v>3.238444592462697E-3</v>
      </c>
      <c r="Q131" s="537"/>
      <c r="R131" s="531">
        <f t="shared" ref="R131:AW131" si="205">IFERROR(R130/R126,0)</f>
        <v>0.91022857839248694</v>
      </c>
      <c r="S131" s="531">
        <f t="shared" si="205"/>
        <v>0.91022857839248694</v>
      </c>
      <c r="T131" s="531">
        <f t="shared" si="205"/>
        <v>0.91022857839248694</v>
      </c>
      <c r="U131" s="531">
        <f t="shared" si="205"/>
        <v>0.91022857839248694</v>
      </c>
      <c r="V131" s="531">
        <f t="shared" si="205"/>
        <v>0.91022857839248694</v>
      </c>
      <c r="W131" s="531">
        <f t="shared" si="205"/>
        <v>0.91022857839248694</v>
      </c>
      <c r="X131" s="531">
        <f t="shared" si="205"/>
        <v>0.91245881186647881</v>
      </c>
      <c r="Y131" s="531">
        <f t="shared" si="205"/>
        <v>0.91245881186647881</v>
      </c>
      <c r="Z131" s="531">
        <f t="shared" si="205"/>
        <v>0.91245881186647881</v>
      </c>
      <c r="AA131" s="531">
        <f t="shared" si="205"/>
        <v>0.91245881186647881</v>
      </c>
      <c r="AB131" s="531">
        <f t="shared" si="205"/>
        <v>0.91245881186647881</v>
      </c>
      <c r="AC131" s="531">
        <f t="shared" si="205"/>
        <v>0.91245881186647881</v>
      </c>
      <c r="AD131" s="531">
        <f t="shared" si="205"/>
        <v>0.91330409708161608</v>
      </c>
      <c r="AE131" s="531">
        <f t="shared" si="205"/>
        <v>0.91330409708161608</v>
      </c>
      <c r="AF131" s="531">
        <f t="shared" si="205"/>
        <v>0.91330409708161608</v>
      </c>
      <c r="AG131" s="531">
        <f t="shared" si="205"/>
        <v>0.91330409708161608</v>
      </c>
      <c r="AH131" s="531">
        <f t="shared" si="205"/>
        <v>0.91330409708161608</v>
      </c>
      <c r="AI131" s="531">
        <f t="shared" si="205"/>
        <v>0.91330409708161608</v>
      </c>
      <c r="AJ131" s="531">
        <f t="shared" si="205"/>
        <v>0.91589775557155706</v>
      </c>
      <c r="AK131" s="531">
        <f t="shared" si="205"/>
        <v>0.91589775557155706</v>
      </c>
      <c r="AL131" s="531">
        <f t="shared" si="205"/>
        <v>0.91589775557155706</v>
      </c>
      <c r="AM131" s="531">
        <f t="shared" si="205"/>
        <v>0.91589775557155706</v>
      </c>
      <c r="AN131" s="531">
        <f t="shared" si="205"/>
        <v>0.91589775557155706</v>
      </c>
      <c r="AO131" s="531">
        <f t="shared" si="205"/>
        <v>0.91589775557155706</v>
      </c>
      <c r="AP131" s="531">
        <f t="shared" si="205"/>
        <v>0.91625869475756605</v>
      </c>
      <c r="AQ131" s="531">
        <f t="shared" si="205"/>
        <v>0.91625869475756605</v>
      </c>
      <c r="AR131" s="531">
        <f t="shared" si="205"/>
        <v>0.91625869475756605</v>
      </c>
      <c r="AS131" s="531">
        <f t="shared" si="205"/>
        <v>0.91625869475756605</v>
      </c>
      <c r="AT131" s="531">
        <f t="shared" si="205"/>
        <v>0.91625869475756605</v>
      </c>
      <c r="AU131" s="531">
        <f t="shared" si="205"/>
        <v>0.91625869475756605</v>
      </c>
      <c r="AV131" s="531">
        <f t="shared" si="205"/>
        <v>0.91916984396218704</v>
      </c>
      <c r="AW131" s="531">
        <f t="shared" si="205"/>
        <v>0.91916984396218704</v>
      </c>
      <c r="AX131" s="531">
        <f t="shared" ref="AX131:BY131" si="206">IFERROR(AX130/AX126,0)</f>
        <v>0.91916984396218704</v>
      </c>
      <c r="AY131" s="531">
        <f t="shared" si="206"/>
        <v>0.91916984396218704</v>
      </c>
      <c r="AZ131" s="531">
        <f t="shared" si="206"/>
        <v>0.91916984396218704</v>
      </c>
      <c r="BA131" s="531">
        <f t="shared" si="206"/>
        <v>0.91916984396218704</v>
      </c>
      <c r="BB131" s="531">
        <f t="shared" si="206"/>
        <v>0.91909874260412538</v>
      </c>
      <c r="BC131" s="531">
        <f t="shared" si="206"/>
        <v>0.91909874260412538</v>
      </c>
      <c r="BD131" s="531">
        <f t="shared" si="206"/>
        <v>0.91909874260412538</v>
      </c>
      <c r="BE131" s="531">
        <f t="shared" si="206"/>
        <v>0.91909874260412538</v>
      </c>
      <c r="BF131" s="531">
        <f t="shared" si="206"/>
        <v>0.91909874260412538</v>
      </c>
      <c r="BG131" s="531">
        <f t="shared" si="206"/>
        <v>0.91909874260412538</v>
      </c>
      <c r="BH131" s="531">
        <f t="shared" si="206"/>
        <v>0.92228754788651324</v>
      </c>
      <c r="BI131" s="531">
        <f t="shared" si="206"/>
        <v>0.92228754788651324</v>
      </c>
      <c r="BJ131" s="531">
        <f t="shared" si="206"/>
        <v>0.92228754788651324</v>
      </c>
      <c r="BK131" s="531">
        <f t="shared" si="206"/>
        <v>0.92228754788651324</v>
      </c>
      <c r="BL131" s="531">
        <f t="shared" si="206"/>
        <v>0.92228754788651324</v>
      </c>
      <c r="BM131" s="531">
        <f t="shared" si="206"/>
        <v>0.92228754788651324</v>
      </c>
      <c r="BN131" s="531">
        <f t="shared" si="206"/>
        <v>0.92183290470036083</v>
      </c>
      <c r="BO131" s="531">
        <f t="shared" si="206"/>
        <v>0.92183290470036083</v>
      </c>
      <c r="BP131" s="531">
        <f t="shared" si="206"/>
        <v>0.92183290470036083</v>
      </c>
      <c r="BQ131" s="531">
        <f t="shared" si="206"/>
        <v>0.92183290470036083</v>
      </c>
      <c r="BR131" s="531">
        <f t="shared" si="206"/>
        <v>0.92183290470036083</v>
      </c>
      <c r="BS131" s="531">
        <f t="shared" si="206"/>
        <v>0.92183290470036083</v>
      </c>
      <c r="BT131" s="531">
        <f t="shared" si="206"/>
        <v>0.92525985526824372</v>
      </c>
      <c r="BU131" s="531">
        <f t="shared" si="206"/>
        <v>0.92525985526824372</v>
      </c>
      <c r="BV131" s="531">
        <f t="shared" si="206"/>
        <v>0.92525985526824372</v>
      </c>
      <c r="BW131" s="531">
        <f t="shared" si="206"/>
        <v>0.92525985526824372</v>
      </c>
      <c r="BX131" s="531">
        <f t="shared" si="206"/>
        <v>0.92525985526824372</v>
      </c>
      <c r="BY131" s="531">
        <f t="shared" si="206"/>
        <v>0.92525985526824372</v>
      </c>
      <c r="BZ131" s="537"/>
      <c r="CA131" s="537"/>
      <c r="CB131" s="537"/>
    </row>
    <row r="132" spans="1:80" x14ac:dyDescent="0.3">
      <c r="A132" s="551"/>
      <c r="B132" s="548"/>
      <c r="C132" s="525"/>
      <c r="D132" s="525"/>
      <c r="E132" s="2"/>
      <c r="F132" s="525"/>
      <c r="G132" s="525"/>
      <c r="H132" s="525"/>
      <c r="I132" s="525"/>
      <c r="J132" s="525"/>
      <c r="K132" s="525"/>
      <c r="L132" s="525"/>
      <c r="M132" s="525"/>
      <c r="N132" s="525"/>
      <c r="O132" s="525"/>
      <c r="P132" s="562"/>
      <c r="Q132" s="537"/>
      <c r="R132" s="525"/>
      <c r="S132" s="525"/>
      <c r="T132" s="525"/>
      <c r="U132" s="525"/>
      <c r="V132" s="525"/>
      <c r="W132" s="525"/>
      <c r="X132" s="525"/>
      <c r="Y132" s="525"/>
      <c r="Z132" s="525"/>
      <c r="AA132" s="525"/>
      <c r="AB132" s="525"/>
      <c r="AC132" s="525"/>
      <c r="AD132" s="525"/>
      <c r="AE132" s="525"/>
      <c r="AF132" s="525"/>
      <c r="AG132" s="525"/>
      <c r="AH132" s="525"/>
      <c r="AI132" s="525"/>
      <c r="AJ132" s="525"/>
      <c r="AK132" s="525"/>
      <c r="AL132" s="525"/>
      <c r="AM132" s="525"/>
      <c r="AN132" s="525"/>
      <c r="AO132" s="525"/>
      <c r="AP132" s="525"/>
      <c r="AQ132" s="525"/>
      <c r="AR132" s="525"/>
      <c r="AS132" s="525"/>
      <c r="AT132" s="525"/>
      <c r="AU132" s="525"/>
      <c r="AV132" s="525"/>
      <c r="AW132" s="525"/>
      <c r="AX132" s="525"/>
      <c r="AY132" s="525"/>
      <c r="AZ132" s="525"/>
      <c r="BA132" s="525"/>
      <c r="BB132" s="525"/>
      <c r="BC132" s="525"/>
      <c r="BD132" s="525"/>
      <c r="BE132" s="525"/>
      <c r="BF132" s="525"/>
      <c r="BG132" s="525"/>
      <c r="BH132" s="525"/>
      <c r="BI132" s="525"/>
      <c r="BJ132" s="525"/>
      <c r="BK132" s="525"/>
      <c r="BL132" s="525"/>
      <c r="BM132" s="525"/>
      <c r="BN132" s="525"/>
      <c r="BO132" s="525"/>
      <c r="BP132" s="525"/>
      <c r="BQ132" s="525"/>
      <c r="BR132" s="525"/>
      <c r="BS132" s="525"/>
      <c r="BT132" s="525"/>
      <c r="BU132" s="525"/>
      <c r="BV132" s="525"/>
      <c r="BW132" s="525"/>
      <c r="BX132" s="525"/>
      <c r="BY132" s="525"/>
      <c r="BZ132" s="537"/>
      <c r="CA132" s="537"/>
      <c r="CB132" s="537"/>
    </row>
    <row r="133" spans="1:80" x14ac:dyDescent="0.3">
      <c r="A133" s="551"/>
      <c r="B133" s="548"/>
      <c r="C133" s="525"/>
      <c r="D133" s="525"/>
      <c r="E133" s="2" t="s">
        <v>52</v>
      </c>
      <c r="F133" s="567"/>
      <c r="G133" s="567"/>
      <c r="H133" s="567"/>
      <c r="I133" s="527">
        <f t="shared" ref="I133:N136" si="207">I68/I$82</f>
        <v>-12914.288365217386</v>
      </c>
      <c r="J133" s="527">
        <f t="shared" si="207"/>
        <v>-8160</v>
      </c>
      <c r="K133" s="527">
        <f t="shared" si="207"/>
        <v>-8323.2000000000007</v>
      </c>
      <c r="L133" s="527">
        <f t="shared" si="207"/>
        <v>-8489.6640000000025</v>
      </c>
      <c r="M133" s="527">
        <f t="shared" si="207"/>
        <v>-8659.4572799999987</v>
      </c>
      <c r="N133" s="527">
        <f t="shared" si="207"/>
        <v>-8832.6464255999981</v>
      </c>
      <c r="O133" s="529"/>
      <c r="P133" s="564">
        <f>IFERROR(((N133/I133)^(1/5))-1,0)</f>
        <v>-7.3161483863233734E-2</v>
      </c>
      <c r="Q133" s="537"/>
      <c r="R133" s="527">
        <f t="shared" ref="R133:AW133" si="208">R68/R$82</f>
        <v>-680</v>
      </c>
      <c r="S133" s="527">
        <f t="shared" si="208"/>
        <v>-680</v>
      </c>
      <c r="T133" s="527">
        <f t="shared" si="208"/>
        <v>-680</v>
      </c>
      <c r="U133" s="527">
        <f t="shared" si="208"/>
        <v>-680</v>
      </c>
      <c r="V133" s="527">
        <f t="shared" si="208"/>
        <v>-680</v>
      </c>
      <c r="W133" s="527">
        <f t="shared" si="208"/>
        <v>-680</v>
      </c>
      <c r="X133" s="527">
        <f t="shared" si="208"/>
        <v>-680</v>
      </c>
      <c r="Y133" s="527">
        <f t="shared" si="208"/>
        <v>-680</v>
      </c>
      <c r="Z133" s="527">
        <f t="shared" si="208"/>
        <v>-680</v>
      </c>
      <c r="AA133" s="527">
        <f t="shared" si="208"/>
        <v>-680</v>
      </c>
      <c r="AB133" s="527">
        <f t="shared" si="208"/>
        <v>-680</v>
      </c>
      <c r="AC133" s="527">
        <f t="shared" si="208"/>
        <v>-680</v>
      </c>
      <c r="AD133" s="527">
        <f t="shared" si="208"/>
        <v>-693.6</v>
      </c>
      <c r="AE133" s="527">
        <f t="shared" si="208"/>
        <v>-693.6</v>
      </c>
      <c r="AF133" s="527">
        <f t="shared" si="208"/>
        <v>-693.6</v>
      </c>
      <c r="AG133" s="527">
        <f t="shared" si="208"/>
        <v>-693.6</v>
      </c>
      <c r="AH133" s="527">
        <f t="shared" si="208"/>
        <v>-693.6</v>
      </c>
      <c r="AI133" s="527">
        <f t="shared" si="208"/>
        <v>-693.6</v>
      </c>
      <c r="AJ133" s="527">
        <f t="shared" si="208"/>
        <v>-693.6</v>
      </c>
      <c r="AK133" s="527">
        <f t="shared" si="208"/>
        <v>-693.6</v>
      </c>
      <c r="AL133" s="527">
        <f t="shared" si="208"/>
        <v>-693.6</v>
      </c>
      <c r="AM133" s="527">
        <f t="shared" si="208"/>
        <v>-693.6</v>
      </c>
      <c r="AN133" s="527">
        <f t="shared" si="208"/>
        <v>-693.6</v>
      </c>
      <c r="AO133" s="527">
        <f t="shared" si="208"/>
        <v>-693.6</v>
      </c>
      <c r="AP133" s="527">
        <f t="shared" si="208"/>
        <v>-707.47199999999998</v>
      </c>
      <c r="AQ133" s="527">
        <f t="shared" si="208"/>
        <v>-707.47199999999998</v>
      </c>
      <c r="AR133" s="527">
        <f t="shared" si="208"/>
        <v>-707.47199999999998</v>
      </c>
      <c r="AS133" s="527">
        <f t="shared" si="208"/>
        <v>-707.47199999999998</v>
      </c>
      <c r="AT133" s="527">
        <f t="shared" si="208"/>
        <v>-707.47199999999998</v>
      </c>
      <c r="AU133" s="527">
        <f t="shared" si="208"/>
        <v>-707.47199999999998</v>
      </c>
      <c r="AV133" s="527">
        <f t="shared" si="208"/>
        <v>-707.47199999999998</v>
      </c>
      <c r="AW133" s="527">
        <f t="shared" si="208"/>
        <v>-707.47199999999998</v>
      </c>
      <c r="AX133" s="527">
        <f t="shared" ref="AX133:BY133" si="209">AX68/AX$82</f>
        <v>-707.47199999999998</v>
      </c>
      <c r="AY133" s="527">
        <f t="shared" si="209"/>
        <v>-707.47199999999998</v>
      </c>
      <c r="AZ133" s="527">
        <f t="shared" si="209"/>
        <v>-707.47199999999998</v>
      </c>
      <c r="BA133" s="527">
        <f t="shared" si="209"/>
        <v>-707.47199999999998</v>
      </c>
      <c r="BB133" s="527">
        <f t="shared" si="209"/>
        <v>-721.62144000000001</v>
      </c>
      <c r="BC133" s="527">
        <f t="shared" si="209"/>
        <v>-721.62144000000001</v>
      </c>
      <c r="BD133" s="527">
        <f t="shared" si="209"/>
        <v>-721.62144000000001</v>
      </c>
      <c r="BE133" s="527">
        <f t="shared" si="209"/>
        <v>-721.62144000000001</v>
      </c>
      <c r="BF133" s="527">
        <f t="shared" si="209"/>
        <v>-721.62144000000001</v>
      </c>
      <c r="BG133" s="527">
        <f t="shared" si="209"/>
        <v>-721.62144000000001</v>
      </c>
      <c r="BH133" s="527">
        <f t="shared" si="209"/>
        <v>-721.62144000000001</v>
      </c>
      <c r="BI133" s="527">
        <f t="shared" si="209"/>
        <v>-721.62144000000001</v>
      </c>
      <c r="BJ133" s="527">
        <f t="shared" si="209"/>
        <v>-721.62144000000001</v>
      </c>
      <c r="BK133" s="527">
        <f t="shared" si="209"/>
        <v>-721.62144000000001</v>
      </c>
      <c r="BL133" s="527">
        <f t="shared" si="209"/>
        <v>-721.62144000000001</v>
      </c>
      <c r="BM133" s="527">
        <f t="shared" si="209"/>
        <v>-721.62144000000001</v>
      </c>
      <c r="BN133" s="527">
        <f t="shared" si="209"/>
        <v>-736.05386879999992</v>
      </c>
      <c r="BO133" s="527">
        <f t="shared" si="209"/>
        <v>-736.05386879999992</v>
      </c>
      <c r="BP133" s="527">
        <f t="shared" si="209"/>
        <v>-736.05386879999992</v>
      </c>
      <c r="BQ133" s="527">
        <f t="shared" si="209"/>
        <v>-736.05386879999992</v>
      </c>
      <c r="BR133" s="527">
        <f t="shared" si="209"/>
        <v>-736.05386879999992</v>
      </c>
      <c r="BS133" s="527">
        <f t="shared" si="209"/>
        <v>-736.05386879999992</v>
      </c>
      <c r="BT133" s="527">
        <f t="shared" si="209"/>
        <v>-736.05386879999992</v>
      </c>
      <c r="BU133" s="527">
        <f t="shared" si="209"/>
        <v>-736.05386879999992</v>
      </c>
      <c r="BV133" s="527">
        <f t="shared" si="209"/>
        <v>-736.05386879999992</v>
      </c>
      <c r="BW133" s="527">
        <f t="shared" si="209"/>
        <v>-736.05386879999992</v>
      </c>
      <c r="BX133" s="527">
        <f t="shared" si="209"/>
        <v>-736.05386879999992</v>
      </c>
      <c r="BY133" s="527">
        <f t="shared" si="209"/>
        <v>-736.05386879999992</v>
      </c>
      <c r="BZ133" s="537"/>
      <c r="CA133" s="537"/>
      <c r="CB133" s="537"/>
    </row>
    <row r="134" spans="1:80" x14ac:dyDescent="0.3">
      <c r="A134" s="551"/>
      <c r="B134" s="548"/>
      <c r="C134" s="525"/>
      <c r="D134" s="525"/>
      <c r="E134" s="2" t="s">
        <v>69</v>
      </c>
      <c r="F134" s="567"/>
      <c r="G134" s="567"/>
      <c r="H134" s="567"/>
      <c r="I134" s="527">
        <f t="shared" si="207"/>
        <v>-1430.5146820884397</v>
      </c>
      <c r="J134" s="527">
        <f t="shared" si="207"/>
        <v>-1508.5383270072518</v>
      </c>
      <c r="K134" s="527">
        <f t="shared" si="207"/>
        <v>-1602.482874124096</v>
      </c>
      <c r="L134" s="527">
        <f t="shared" si="207"/>
        <v>-1698.9261017480219</v>
      </c>
      <c r="M134" s="527">
        <f t="shared" si="207"/>
        <v>-1797.4515271992145</v>
      </c>
      <c r="N134" s="527">
        <f t="shared" si="207"/>
        <v>-1900.8910971831694</v>
      </c>
      <c r="O134" s="529"/>
      <c r="P134" s="564">
        <f>IFERROR(((N134/I134)^(1/5))-1,0)</f>
        <v>5.8505169667160128E-2</v>
      </c>
      <c r="Q134" s="537"/>
      <c r="R134" s="527">
        <f t="shared" ref="R134:AW134" si="210">R69/R$82</f>
        <v>-124.13033087348022</v>
      </c>
      <c r="S134" s="527">
        <f t="shared" si="210"/>
        <v>-124.13033087348022</v>
      </c>
      <c r="T134" s="527">
        <f t="shared" si="210"/>
        <v>-124.13033087348022</v>
      </c>
      <c r="U134" s="527">
        <f t="shared" si="210"/>
        <v>-124.13033087348022</v>
      </c>
      <c r="V134" s="527">
        <f t="shared" si="210"/>
        <v>-124.13033087348022</v>
      </c>
      <c r="W134" s="527">
        <f t="shared" si="210"/>
        <v>-124.13033087348022</v>
      </c>
      <c r="X134" s="527">
        <f t="shared" si="210"/>
        <v>-127.29272362772845</v>
      </c>
      <c r="Y134" s="527">
        <f t="shared" si="210"/>
        <v>-127.29272362772845</v>
      </c>
      <c r="Z134" s="527">
        <f t="shared" si="210"/>
        <v>-127.29272362772845</v>
      </c>
      <c r="AA134" s="527">
        <f t="shared" si="210"/>
        <v>-127.29272362772845</v>
      </c>
      <c r="AB134" s="527">
        <f t="shared" si="210"/>
        <v>-127.29272362772845</v>
      </c>
      <c r="AC134" s="527">
        <f t="shared" si="210"/>
        <v>-127.29272362772845</v>
      </c>
      <c r="AD134" s="527">
        <f t="shared" si="210"/>
        <v>-131.51236168300497</v>
      </c>
      <c r="AE134" s="527">
        <f t="shared" si="210"/>
        <v>-131.51236168300497</v>
      </c>
      <c r="AF134" s="527">
        <f t="shared" si="210"/>
        <v>-131.51236168300497</v>
      </c>
      <c r="AG134" s="527">
        <f t="shared" si="210"/>
        <v>-131.51236168300497</v>
      </c>
      <c r="AH134" s="527">
        <f t="shared" si="210"/>
        <v>-131.51236168300497</v>
      </c>
      <c r="AI134" s="527">
        <f t="shared" si="210"/>
        <v>-131.51236168300497</v>
      </c>
      <c r="AJ134" s="527">
        <f t="shared" si="210"/>
        <v>-135.56811733767776</v>
      </c>
      <c r="AK134" s="527">
        <f t="shared" si="210"/>
        <v>-135.56811733767776</v>
      </c>
      <c r="AL134" s="527">
        <f t="shared" si="210"/>
        <v>-135.56811733767776</v>
      </c>
      <c r="AM134" s="527">
        <f t="shared" si="210"/>
        <v>-135.56811733767776</v>
      </c>
      <c r="AN134" s="527">
        <f t="shared" si="210"/>
        <v>-135.56811733767776</v>
      </c>
      <c r="AO134" s="527">
        <f t="shared" si="210"/>
        <v>-135.56811733767776</v>
      </c>
      <c r="AP134" s="527">
        <f t="shared" si="210"/>
        <v>-139.07277810372958</v>
      </c>
      <c r="AQ134" s="527">
        <f t="shared" si="210"/>
        <v>-139.07277810372958</v>
      </c>
      <c r="AR134" s="527">
        <f t="shared" si="210"/>
        <v>-139.07277810372958</v>
      </c>
      <c r="AS134" s="527">
        <f t="shared" si="210"/>
        <v>-139.07277810372958</v>
      </c>
      <c r="AT134" s="527">
        <f t="shared" si="210"/>
        <v>-139.07277810372958</v>
      </c>
      <c r="AU134" s="527">
        <f t="shared" si="210"/>
        <v>-139.07277810372958</v>
      </c>
      <c r="AV134" s="527">
        <f t="shared" si="210"/>
        <v>-144.08157218760735</v>
      </c>
      <c r="AW134" s="527">
        <f t="shared" si="210"/>
        <v>-144.08157218760735</v>
      </c>
      <c r="AX134" s="527">
        <f t="shared" ref="AX134:BY134" si="211">AX69/AX$82</f>
        <v>-144.08157218760735</v>
      </c>
      <c r="AY134" s="527">
        <f t="shared" si="211"/>
        <v>-144.08157218760735</v>
      </c>
      <c r="AZ134" s="527">
        <f t="shared" si="211"/>
        <v>-144.08157218760735</v>
      </c>
      <c r="BA134" s="527">
        <f t="shared" si="211"/>
        <v>-144.08157218760735</v>
      </c>
      <c r="BB134" s="527">
        <f t="shared" si="211"/>
        <v>-146.77626350402628</v>
      </c>
      <c r="BC134" s="527">
        <f t="shared" si="211"/>
        <v>-146.77626350402628</v>
      </c>
      <c r="BD134" s="527">
        <f t="shared" si="211"/>
        <v>-146.77626350402628</v>
      </c>
      <c r="BE134" s="527">
        <f t="shared" si="211"/>
        <v>-146.77626350402628</v>
      </c>
      <c r="BF134" s="527">
        <f t="shared" si="211"/>
        <v>-146.77626350402628</v>
      </c>
      <c r="BG134" s="527">
        <f t="shared" si="211"/>
        <v>-146.77626350402628</v>
      </c>
      <c r="BH134" s="527">
        <f t="shared" si="211"/>
        <v>-152.79899102917619</v>
      </c>
      <c r="BI134" s="527">
        <f t="shared" si="211"/>
        <v>-152.79899102917619</v>
      </c>
      <c r="BJ134" s="527">
        <f t="shared" si="211"/>
        <v>-152.79899102917619</v>
      </c>
      <c r="BK134" s="527">
        <f t="shared" si="211"/>
        <v>-152.79899102917619</v>
      </c>
      <c r="BL134" s="527">
        <f t="shared" si="211"/>
        <v>-152.79899102917619</v>
      </c>
      <c r="BM134" s="527">
        <f t="shared" si="211"/>
        <v>-152.79899102917619</v>
      </c>
      <c r="BN134" s="527">
        <f t="shared" si="211"/>
        <v>-154.85736722212104</v>
      </c>
      <c r="BO134" s="527">
        <f t="shared" si="211"/>
        <v>-154.85736722212104</v>
      </c>
      <c r="BP134" s="527">
        <f t="shared" si="211"/>
        <v>-154.85736722212104</v>
      </c>
      <c r="BQ134" s="527">
        <f t="shared" si="211"/>
        <v>-154.85736722212104</v>
      </c>
      <c r="BR134" s="527">
        <f t="shared" si="211"/>
        <v>-154.85736722212104</v>
      </c>
      <c r="BS134" s="527">
        <f t="shared" si="211"/>
        <v>-154.85736722212104</v>
      </c>
      <c r="BT134" s="527">
        <f t="shared" si="211"/>
        <v>-161.95781564174047</v>
      </c>
      <c r="BU134" s="527">
        <f t="shared" si="211"/>
        <v>-161.95781564174047</v>
      </c>
      <c r="BV134" s="527">
        <f t="shared" si="211"/>
        <v>-161.95781564174047</v>
      </c>
      <c r="BW134" s="527">
        <f t="shared" si="211"/>
        <v>-161.95781564174047</v>
      </c>
      <c r="BX134" s="527">
        <f t="shared" si="211"/>
        <v>-161.95781564174047</v>
      </c>
      <c r="BY134" s="527">
        <f t="shared" si="211"/>
        <v>-161.95781564174047</v>
      </c>
      <c r="BZ134" s="537"/>
      <c r="CA134" s="537"/>
      <c r="CB134" s="537"/>
    </row>
    <row r="135" spans="1:80" x14ac:dyDescent="0.3">
      <c r="A135" s="551"/>
      <c r="B135" s="548"/>
      <c r="C135" s="525"/>
      <c r="D135" s="525"/>
      <c r="E135" s="2" t="s">
        <v>184</v>
      </c>
      <c r="F135" s="567"/>
      <c r="G135" s="567"/>
      <c r="H135" s="567"/>
      <c r="I135" s="527">
        <f t="shared" si="207"/>
        <v>0</v>
      </c>
      <c r="J135" s="527">
        <f t="shared" si="207"/>
        <v>0</v>
      </c>
      <c r="K135" s="527">
        <f t="shared" si="207"/>
        <v>0</v>
      </c>
      <c r="L135" s="527">
        <f t="shared" si="207"/>
        <v>0</v>
      </c>
      <c r="M135" s="527">
        <f t="shared" si="207"/>
        <v>0</v>
      </c>
      <c r="N135" s="527">
        <f t="shared" si="207"/>
        <v>0</v>
      </c>
      <c r="O135" s="529"/>
      <c r="P135" s="564">
        <f>IFERROR(((N135/I135)^(1/5))-1,0)</f>
        <v>0</v>
      </c>
      <c r="Q135" s="537"/>
      <c r="R135" s="527">
        <f t="shared" ref="R135:AW135" si="212">R70/R$82</f>
        <v>0</v>
      </c>
      <c r="S135" s="527">
        <f t="shared" si="212"/>
        <v>0</v>
      </c>
      <c r="T135" s="527">
        <f t="shared" si="212"/>
        <v>0</v>
      </c>
      <c r="U135" s="527">
        <f t="shared" si="212"/>
        <v>0</v>
      </c>
      <c r="V135" s="527">
        <f t="shared" si="212"/>
        <v>0</v>
      </c>
      <c r="W135" s="527">
        <f t="shared" si="212"/>
        <v>0</v>
      </c>
      <c r="X135" s="527">
        <f t="shared" si="212"/>
        <v>0</v>
      </c>
      <c r="Y135" s="527">
        <f t="shared" si="212"/>
        <v>0</v>
      </c>
      <c r="Z135" s="527">
        <f t="shared" si="212"/>
        <v>0</v>
      </c>
      <c r="AA135" s="527">
        <f t="shared" si="212"/>
        <v>0</v>
      </c>
      <c r="AB135" s="527">
        <f t="shared" si="212"/>
        <v>0</v>
      </c>
      <c r="AC135" s="527">
        <f t="shared" si="212"/>
        <v>0</v>
      </c>
      <c r="AD135" s="527">
        <f t="shared" si="212"/>
        <v>0</v>
      </c>
      <c r="AE135" s="527">
        <f t="shared" si="212"/>
        <v>0</v>
      </c>
      <c r="AF135" s="527">
        <f t="shared" si="212"/>
        <v>0</v>
      </c>
      <c r="AG135" s="527">
        <f t="shared" si="212"/>
        <v>0</v>
      </c>
      <c r="AH135" s="527">
        <f t="shared" si="212"/>
        <v>0</v>
      </c>
      <c r="AI135" s="527">
        <f t="shared" si="212"/>
        <v>0</v>
      </c>
      <c r="AJ135" s="527">
        <f t="shared" si="212"/>
        <v>0</v>
      </c>
      <c r="AK135" s="527">
        <f t="shared" si="212"/>
        <v>0</v>
      </c>
      <c r="AL135" s="527">
        <f t="shared" si="212"/>
        <v>0</v>
      </c>
      <c r="AM135" s="527">
        <f t="shared" si="212"/>
        <v>0</v>
      </c>
      <c r="AN135" s="527">
        <f t="shared" si="212"/>
        <v>0</v>
      </c>
      <c r="AO135" s="527">
        <f t="shared" si="212"/>
        <v>0</v>
      </c>
      <c r="AP135" s="527">
        <f t="shared" si="212"/>
        <v>0</v>
      </c>
      <c r="AQ135" s="527">
        <f t="shared" si="212"/>
        <v>0</v>
      </c>
      <c r="AR135" s="527">
        <f t="shared" si="212"/>
        <v>0</v>
      </c>
      <c r="AS135" s="527">
        <f t="shared" si="212"/>
        <v>0</v>
      </c>
      <c r="AT135" s="527">
        <f t="shared" si="212"/>
        <v>0</v>
      </c>
      <c r="AU135" s="527">
        <f t="shared" si="212"/>
        <v>0</v>
      </c>
      <c r="AV135" s="527">
        <f t="shared" si="212"/>
        <v>0</v>
      </c>
      <c r="AW135" s="527">
        <f t="shared" si="212"/>
        <v>0</v>
      </c>
      <c r="AX135" s="527">
        <f t="shared" ref="AX135:BY135" si="213">AX70/AX$82</f>
        <v>0</v>
      </c>
      <c r="AY135" s="527">
        <f t="shared" si="213"/>
        <v>0</v>
      </c>
      <c r="AZ135" s="527">
        <f t="shared" si="213"/>
        <v>0</v>
      </c>
      <c r="BA135" s="527">
        <f t="shared" si="213"/>
        <v>0</v>
      </c>
      <c r="BB135" s="527">
        <f t="shared" si="213"/>
        <v>0</v>
      </c>
      <c r="BC135" s="527">
        <f t="shared" si="213"/>
        <v>0</v>
      </c>
      <c r="BD135" s="527">
        <f t="shared" si="213"/>
        <v>0</v>
      </c>
      <c r="BE135" s="527">
        <f t="shared" si="213"/>
        <v>0</v>
      </c>
      <c r="BF135" s="527">
        <f t="shared" si="213"/>
        <v>0</v>
      </c>
      <c r="BG135" s="527">
        <f t="shared" si="213"/>
        <v>0</v>
      </c>
      <c r="BH135" s="527">
        <f t="shared" si="213"/>
        <v>0</v>
      </c>
      <c r="BI135" s="527">
        <f t="shared" si="213"/>
        <v>0</v>
      </c>
      <c r="BJ135" s="527">
        <f t="shared" si="213"/>
        <v>0</v>
      </c>
      <c r="BK135" s="527">
        <f t="shared" si="213"/>
        <v>0</v>
      </c>
      <c r="BL135" s="527">
        <f t="shared" si="213"/>
        <v>0</v>
      </c>
      <c r="BM135" s="527">
        <f t="shared" si="213"/>
        <v>0</v>
      </c>
      <c r="BN135" s="527">
        <f t="shared" si="213"/>
        <v>0</v>
      </c>
      <c r="BO135" s="527">
        <f t="shared" si="213"/>
        <v>0</v>
      </c>
      <c r="BP135" s="527">
        <f t="shared" si="213"/>
        <v>0</v>
      </c>
      <c r="BQ135" s="527">
        <f t="shared" si="213"/>
        <v>0</v>
      </c>
      <c r="BR135" s="527">
        <f t="shared" si="213"/>
        <v>0</v>
      </c>
      <c r="BS135" s="527">
        <f t="shared" si="213"/>
        <v>0</v>
      </c>
      <c r="BT135" s="527">
        <f t="shared" si="213"/>
        <v>0</v>
      </c>
      <c r="BU135" s="527">
        <f t="shared" si="213"/>
        <v>0</v>
      </c>
      <c r="BV135" s="527">
        <f t="shared" si="213"/>
        <v>0</v>
      </c>
      <c r="BW135" s="527">
        <f t="shared" si="213"/>
        <v>0</v>
      </c>
      <c r="BX135" s="527">
        <f t="shared" si="213"/>
        <v>0</v>
      </c>
      <c r="BY135" s="527">
        <f t="shared" si="213"/>
        <v>0</v>
      </c>
      <c r="BZ135" s="537"/>
      <c r="CA135" s="537"/>
      <c r="CB135" s="537"/>
    </row>
    <row r="136" spans="1:80" x14ac:dyDescent="0.3">
      <c r="A136" s="551"/>
      <c r="B136" s="548"/>
      <c r="C136" s="525"/>
      <c r="D136" s="525"/>
      <c r="E136" s="62" t="s">
        <v>293</v>
      </c>
      <c r="F136" s="579"/>
      <c r="G136" s="579"/>
      <c r="H136" s="579"/>
      <c r="I136" s="534">
        <f t="shared" si="207"/>
        <v>72322.842425256837</v>
      </c>
      <c r="J136" s="534">
        <f t="shared" si="207"/>
        <v>81985.998459777635</v>
      </c>
      <c r="K136" s="534">
        <f t="shared" si="207"/>
        <v>87785.242381319214</v>
      </c>
      <c r="L136" s="534">
        <f t="shared" si="207"/>
        <v>93756.241245108584</v>
      </c>
      <c r="M136" s="534">
        <f t="shared" si="207"/>
        <v>99873.685587406639</v>
      </c>
      <c r="N136" s="534">
        <f t="shared" si="207"/>
        <v>106308.73515755922</v>
      </c>
      <c r="O136" s="536"/>
      <c r="P136" s="568">
        <f>IFERROR(((N136/I136)^(1/5))-1,0)</f>
        <v>8.00868856305752E-2</v>
      </c>
      <c r="Q136" s="537"/>
      <c r="R136" s="535">
        <f t="shared" ref="R136:AW136" si="214">R71/R$82</f>
        <v>6728.3346428836503</v>
      </c>
      <c r="S136" s="535">
        <f t="shared" si="214"/>
        <v>6728.3346428836503</v>
      </c>
      <c r="T136" s="535">
        <f t="shared" si="214"/>
        <v>6728.3346428836503</v>
      </c>
      <c r="U136" s="535">
        <f t="shared" si="214"/>
        <v>6728.3346428836503</v>
      </c>
      <c r="V136" s="535">
        <f t="shared" si="214"/>
        <v>6728.3346428836503</v>
      </c>
      <c r="W136" s="535">
        <f t="shared" si="214"/>
        <v>6728.3346428836503</v>
      </c>
      <c r="X136" s="535">
        <f t="shared" si="214"/>
        <v>6935.99843374595</v>
      </c>
      <c r="Y136" s="535">
        <f t="shared" si="214"/>
        <v>6935.99843374595</v>
      </c>
      <c r="Z136" s="535">
        <f t="shared" si="214"/>
        <v>6935.99843374595</v>
      </c>
      <c r="AA136" s="535">
        <f t="shared" si="214"/>
        <v>6935.99843374595</v>
      </c>
      <c r="AB136" s="535">
        <f t="shared" si="214"/>
        <v>6935.99843374595</v>
      </c>
      <c r="AC136" s="535">
        <f t="shared" si="214"/>
        <v>6935.99843374595</v>
      </c>
      <c r="AD136" s="535">
        <f t="shared" si="214"/>
        <v>7182.2728877815134</v>
      </c>
      <c r="AE136" s="535">
        <f t="shared" si="214"/>
        <v>7182.2728877815134</v>
      </c>
      <c r="AF136" s="535">
        <f t="shared" si="214"/>
        <v>7182.2728877815134</v>
      </c>
      <c r="AG136" s="535">
        <f t="shared" si="214"/>
        <v>7182.2728877815134</v>
      </c>
      <c r="AH136" s="535">
        <f t="shared" si="214"/>
        <v>7182.2728877815134</v>
      </c>
      <c r="AI136" s="535">
        <f t="shared" si="214"/>
        <v>7182.2728877815134</v>
      </c>
      <c r="AJ136" s="535">
        <f t="shared" si="214"/>
        <v>7448.6008424383581</v>
      </c>
      <c r="AK136" s="535">
        <f t="shared" si="214"/>
        <v>7448.6008424383581</v>
      </c>
      <c r="AL136" s="535">
        <f t="shared" si="214"/>
        <v>7448.6008424383581</v>
      </c>
      <c r="AM136" s="535">
        <f t="shared" si="214"/>
        <v>7448.6008424383581</v>
      </c>
      <c r="AN136" s="535">
        <f t="shared" si="214"/>
        <v>7448.6008424383581</v>
      </c>
      <c r="AO136" s="535">
        <f t="shared" si="214"/>
        <v>7448.6008424383581</v>
      </c>
      <c r="AP136" s="535">
        <f t="shared" si="214"/>
        <v>7648.5646980050615</v>
      </c>
      <c r="AQ136" s="535">
        <f t="shared" si="214"/>
        <v>7648.5646980050615</v>
      </c>
      <c r="AR136" s="535">
        <f t="shared" si="214"/>
        <v>7648.5646980050615</v>
      </c>
      <c r="AS136" s="535">
        <f t="shared" si="214"/>
        <v>7648.5646980050615</v>
      </c>
      <c r="AT136" s="535">
        <f t="shared" si="214"/>
        <v>7648.5646980050615</v>
      </c>
      <c r="AU136" s="535">
        <f t="shared" si="214"/>
        <v>7648.5646980050615</v>
      </c>
      <c r="AV136" s="535">
        <f t="shared" si="214"/>
        <v>7977.4755095130331</v>
      </c>
      <c r="AW136" s="535">
        <f t="shared" si="214"/>
        <v>7977.4755095130331</v>
      </c>
      <c r="AX136" s="535">
        <f t="shared" ref="AX136:BY136" si="215">AX71/AX$82</f>
        <v>7977.4755095130331</v>
      </c>
      <c r="AY136" s="535">
        <f t="shared" si="215"/>
        <v>7977.4755095130331</v>
      </c>
      <c r="AZ136" s="535">
        <f t="shared" si="215"/>
        <v>7977.4755095130331</v>
      </c>
      <c r="BA136" s="535">
        <f t="shared" si="215"/>
        <v>7977.4755095130331</v>
      </c>
      <c r="BB136" s="535">
        <f t="shared" si="215"/>
        <v>8125.0609118747952</v>
      </c>
      <c r="BC136" s="535">
        <f t="shared" si="215"/>
        <v>8125.0609118747952</v>
      </c>
      <c r="BD136" s="535">
        <f t="shared" si="215"/>
        <v>8125.0609118747952</v>
      </c>
      <c r="BE136" s="535">
        <f t="shared" si="215"/>
        <v>8125.0609118747952</v>
      </c>
      <c r="BF136" s="535">
        <f t="shared" si="215"/>
        <v>8125.0609118747952</v>
      </c>
      <c r="BG136" s="535">
        <f t="shared" si="215"/>
        <v>8125.0609118747952</v>
      </c>
      <c r="BH136" s="535">
        <f t="shared" si="215"/>
        <v>8520.5533526929757</v>
      </c>
      <c r="BI136" s="535">
        <f t="shared" si="215"/>
        <v>8520.5533526929757</v>
      </c>
      <c r="BJ136" s="535">
        <f t="shared" si="215"/>
        <v>8520.5533526929757</v>
      </c>
      <c r="BK136" s="535">
        <f t="shared" si="215"/>
        <v>8520.5533526929757</v>
      </c>
      <c r="BL136" s="535">
        <f t="shared" si="215"/>
        <v>8520.5533526929757</v>
      </c>
      <c r="BM136" s="535">
        <f t="shared" si="215"/>
        <v>8520.5533526929757</v>
      </c>
      <c r="BN136" s="535">
        <f t="shared" si="215"/>
        <v>8625.9298733524338</v>
      </c>
      <c r="BO136" s="535">
        <f t="shared" si="215"/>
        <v>8625.9298733524338</v>
      </c>
      <c r="BP136" s="535">
        <f t="shared" si="215"/>
        <v>8625.9298733524338</v>
      </c>
      <c r="BQ136" s="535">
        <f t="shared" si="215"/>
        <v>8625.9298733524338</v>
      </c>
      <c r="BR136" s="535">
        <f t="shared" si="215"/>
        <v>8625.9298733524338</v>
      </c>
      <c r="BS136" s="535">
        <f t="shared" si="215"/>
        <v>8625.9298733524338</v>
      </c>
      <c r="BT136" s="535">
        <f t="shared" si="215"/>
        <v>9092.1926529074372</v>
      </c>
      <c r="BU136" s="535">
        <f t="shared" si="215"/>
        <v>9092.1926529074372</v>
      </c>
      <c r="BV136" s="535">
        <f t="shared" si="215"/>
        <v>9092.1926529074372</v>
      </c>
      <c r="BW136" s="535">
        <f t="shared" si="215"/>
        <v>9092.1926529074372</v>
      </c>
      <c r="BX136" s="535">
        <f t="shared" si="215"/>
        <v>9092.1926529074372</v>
      </c>
      <c r="BY136" s="535">
        <f t="shared" si="215"/>
        <v>9092.1926529074372</v>
      </c>
      <c r="BZ136" s="537"/>
      <c r="CA136" s="537"/>
      <c r="CB136" s="537"/>
    </row>
    <row r="137" spans="1:80" x14ac:dyDescent="0.3">
      <c r="A137" s="551"/>
      <c r="B137" s="548"/>
      <c r="C137" s="525"/>
      <c r="D137" s="525"/>
      <c r="E137" s="2" t="s">
        <v>407</v>
      </c>
      <c r="F137" s="525"/>
      <c r="G137" s="525"/>
      <c r="H137" s="525"/>
      <c r="I137" s="531">
        <f t="shared" ref="I137:N137" si="216">IFERROR(I136/I130,0)</f>
        <v>0.8344849110750665</v>
      </c>
      <c r="J137" s="531">
        <f t="shared" si="216"/>
        <v>0.89451107750946257</v>
      </c>
      <c r="K137" s="531">
        <f t="shared" si="216"/>
        <v>0.89841788061902372</v>
      </c>
      <c r="L137" s="531">
        <f t="shared" si="216"/>
        <v>0.90198079144744181</v>
      </c>
      <c r="M137" s="531">
        <f t="shared" si="216"/>
        <v>0.90522203868675544</v>
      </c>
      <c r="N137" s="531">
        <f t="shared" si="216"/>
        <v>0.90829349706752671</v>
      </c>
      <c r="O137" s="546"/>
      <c r="P137" s="564">
        <f>IFERROR(((N137/I137)^(1/5))-1,0)</f>
        <v>1.7095056140865816E-2</v>
      </c>
      <c r="Q137" s="537"/>
      <c r="R137" s="531">
        <f t="shared" ref="R137:AW137" si="217">IFERROR(R136/R130,0)</f>
        <v>0.89324473015473083</v>
      </c>
      <c r="S137" s="531">
        <f t="shared" si="217"/>
        <v>0.89324473015473083</v>
      </c>
      <c r="T137" s="531">
        <f t="shared" si="217"/>
        <v>0.89324473015473083</v>
      </c>
      <c r="U137" s="531">
        <f t="shared" si="217"/>
        <v>0.89324473015473083</v>
      </c>
      <c r="V137" s="531">
        <f t="shared" si="217"/>
        <v>0.89324473015473083</v>
      </c>
      <c r="W137" s="531">
        <f t="shared" si="217"/>
        <v>0.89324473015473083</v>
      </c>
      <c r="X137" s="531">
        <f t="shared" si="217"/>
        <v>0.89574294609095639</v>
      </c>
      <c r="Y137" s="531">
        <f t="shared" si="217"/>
        <v>0.89574294609095639</v>
      </c>
      <c r="Z137" s="531">
        <f t="shared" si="217"/>
        <v>0.89574294609095639</v>
      </c>
      <c r="AA137" s="531">
        <f t="shared" si="217"/>
        <v>0.89574294609095639</v>
      </c>
      <c r="AB137" s="531">
        <f t="shared" si="217"/>
        <v>0.89574294609095639</v>
      </c>
      <c r="AC137" s="531">
        <f t="shared" si="217"/>
        <v>0.89574294609095639</v>
      </c>
      <c r="AD137" s="531">
        <f t="shared" si="217"/>
        <v>0.89695608042111086</v>
      </c>
      <c r="AE137" s="531">
        <f t="shared" si="217"/>
        <v>0.89695608042111086</v>
      </c>
      <c r="AF137" s="531">
        <f t="shared" si="217"/>
        <v>0.89695608042111086</v>
      </c>
      <c r="AG137" s="531">
        <f t="shared" si="217"/>
        <v>0.89695608042111086</v>
      </c>
      <c r="AH137" s="531">
        <f t="shared" si="217"/>
        <v>0.89695608042111086</v>
      </c>
      <c r="AI137" s="531">
        <f t="shared" si="217"/>
        <v>0.89695608042111086</v>
      </c>
      <c r="AJ137" s="531">
        <f t="shared" si="217"/>
        <v>0.89983193281102247</v>
      </c>
      <c r="AK137" s="531">
        <f t="shared" si="217"/>
        <v>0.89983193281102247</v>
      </c>
      <c r="AL137" s="531">
        <f t="shared" si="217"/>
        <v>0.89983193281102247</v>
      </c>
      <c r="AM137" s="531">
        <f t="shared" si="217"/>
        <v>0.89983193281102247</v>
      </c>
      <c r="AN137" s="531">
        <f t="shared" si="217"/>
        <v>0.89983193281102247</v>
      </c>
      <c r="AO137" s="531">
        <f t="shared" si="217"/>
        <v>0.89983193281102247</v>
      </c>
      <c r="AP137" s="531">
        <f t="shared" si="217"/>
        <v>0.90034916201085946</v>
      </c>
      <c r="AQ137" s="531">
        <f t="shared" si="217"/>
        <v>0.90034916201085946</v>
      </c>
      <c r="AR137" s="531">
        <f t="shared" si="217"/>
        <v>0.90034916201085946</v>
      </c>
      <c r="AS137" s="531">
        <f t="shared" si="217"/>
        <v>0.90034916201085946</v>
      </c>
      <c r="AT137" s="531">
        <f t="shared" si="217"/>
        <v>0.90034916201085946</v>
      </c>
      <c r="AU137" s="531">
        <f t="shared" si="217"/>
        <v>0.90034916201085946</v>
      </c>
      <c r="AV137" s="531">
        <f t="shared" si="217"/>
        <v>0.90355071160060307</v>
      </c>
      <c r="AW137" s="531">
        <f t="shared" si="217"/>
        <v>0.90355071160060307</v>
      </c>
      <c r="AX137" s="531">
        <f t="shared" ref="AX137:BY137" si="218">IFERROR(AX136/AX130,0)</f>
        <v>0.90355071160060307</v>
      </c>
      <c r="AY137" s="531">
        <f t="shared" si="218"/>
        <v>0.90355071160060307</v>
      </c>
      <c r="AZ137" s="531">
        <f t="shared" si="218"/>
        <v>0.90355071160060307</v>
      </c>
      <c r="BA137" s="531">
        <f t="shared" si="218"/>
        <v>0.90355071160060307</v>
      </c>
      <c r="BB137" s="531">
        <f t="shared" si="218"/>
        <v>0.90344118535008722</v>
      </c>
      <c r="BC137" s="531">
        <f t="shared" si="218"/>
        <v>0.90344118535008722</v>
      </c>
      <c r="BD137" s="531">
        <f t="shared" si="218"/>
        <v>0.90344118535008722</v>
      </c>
      <c r="BE137" s="531">
        <f t="shared" si="218"/>
        <v>0.90344118535008722</v>
      </c>
      <c r="BF137" s="531">
        <f t="shared" si="218"/>
        <v>0.90344118535008722</v>
      </c>
      <c r="BG137" s="531">
        <f t="shared" si="218"/>
        <v>0.90344118535008722</v>
      </c>
      <c r="BH137" s="531">
        <f t="shared" si="218"/>
        <v>0.90692678328233267</v>
      </c>
      <c r="BI137" s="531">
        <f t="shared" si="218"/>
        <v>0.90692678328233267</v>
      </c>
      <c r="BJ137" s="531">
        <f t="shared" si="218"/>
        <v>0.90692678328233267</v>
      </c>
      <c r="BK137" s="531">
        <f t="shared" si="218"/>
        <v>0.90692678328233267</v>
      </c>
      <c r="BL137" s="531">
        <f t="shared" si="218"/>
        <v>0.90692678328233267</v>
      </c>
      <c r="BM137" s="531">
        <f t="shared" si="218"/>
        <v>0.90692678328233267</v>
      </c>
      <c r="BN137" s="531">
        <f t="shared" si="218"/>
        <v>0.90638582426846137</v>
      </c>
      <c r="BO137" s="531">
        <f t="shared" si="218"/>
        <v>0.90638582426846137</v>
      </c>
      <c r="BP137" s="531">
        <f t="shared" si="218"/>
        <v>0.90638582426846137</v>
      </c>
      <c r="BQ137" s="531">
        <f t="shared" si="218"/>
        <v>0.90638582426846137</v>
      </c>
      <c r="BR137" s="531">
        <f t="shared" si="218"/>
        <v>0.90638582426846137</v>
      </c>
      <c r="BS137" s="531">
        <f t="shared" si="218"/>
        <v>0.90638582426846137</v>
      </c>
      <c r="BT137" s="531">
        <f t="shared" si="218"/>
        <v>0.91011077910744509</v>
      </c>
      <c r="BU137" s="531">
        <f t="shared" si="218"/>
        <v>0.91011077910744509</v>
      </c>
      <c r="BV137" s="531">
        <f t="shared" si="218"/>
        <v>0.91011077910744509</v>
      </c>
      <c r="BW137" s="531">
        <f t="shared" si="218"/>
        <v>0.91011077910744509</v>
      </c>
      <c r="BX137" s="531">
        <f t="shared" si="218"/>
        <v>0.91011077910744509</v>
      </c>
      <c r="BY137" s="531">
        <f t="shared" si="218"/>
        <v>0.91011077910744509</v>
      </c>
      <c r="BZ137" s="537"/>
      <c r="CA137" s="537"/>
      <c r="CB137" s="537"/>
    </row>
    <row r="138" spans="1:80" x14ac:dyDescent="0.3">
      <c r="A138" s="551"/>
      <c r="B138" s="548"/>
      <c r="C138" s="525"/>
      <c r="D138" s="525"/>
      <c r="E138" s="525"/>
      <c r="F138" s="567"/>
      <c r="G138" s="567"/>
      <c r="H138" s="567"/>
      <c r="I138" s="529"/>
      <c r="J138" s="529"/>
      <c r="K138" s="529"/>
      <c r="L138" s="529"/>
      <c r="M138" s="529"/>
      <c r="N138" s="529"/>
      <c r="O138" s="529"/>
      <c r="P138" s="564"/>
      <c r="Q138" s="537"/>
      <c r="R138" s="529"/>
      <c r="S138" s="529"/>
      <c r="T138" s="529"/>
      <c r="U138" s="529"/>
      <c r="V138" s="529"/>
      <c r="W138" s="529"/>
      <c r="X138" s="529"/>
      <c r="Y138" s="529"/>
      <c r="Z138" s="529"/>
      <c r="AA138" s="529"/>
      <c r="AB138" s="529"/>
      <c r="AC138" s="529"/>
      <c r="AD138" s="529"/>
      <c r="AE138" s="529"/>
      <c r="AF138" s="529"/>
      <c r="AG138" s="529"/>
      <c r="AH138" s="529"/>
      <c r="AI138" s="529"/>
      <c r="AJ138" s="529"/>
      <c r="AK138" s="529"/>
      <c r="AL138" s="529"/>
      <c r="AM138" s="529"/>
      <c r="AN138" s="529"/>
      <c r="AO138" s="529"/>
      <c r="AP138" s="529"/>
      <c r="AQ138" s="529"/>
      <c r="AR138" s="529"/>
      <c r="AS138" s="529"/>
      <c r="AT138" s="529"/>
      <c r="AU138" s="529"/>
      <c r="AV138" s="529"/>
      <c r="AW138" s="529"/>
      <c r="AX138" s="529"/>
      <c r="AY138" s="529"/>
      <c r="AZ138" s="529"/>
      <c r="BA138" s="529"/>
      <c r="BB138" s="529"/>
      <c r="BC138" s="529"/>
      <c r="BD138" s="529"/>
      <c r="BE138" s="529"/>
      <c r="BF138" s="529"/>
      <c r="BG138" s="529"/>
      <c r="BH138" s="529"/>
      <c r="BI138" s="529"/>
      <c r="BJ138" s="529"/>
      <c r="BK138" s="529"/>
      <c r="BL138" s="529"/>
      <c r="BM138" s="529"/>
      <c r="BN138" s="529"/>
      <c r="BO138" s="529"/>
      <c r="BP138" s="529"/>
      <c r="BQ138" s="529"/>
      <c r="BR138" s="529"/>
      <c r="BS138" s="529"/>
      <c r="BT138" s="529"/>
      <c r="BU138" s="529"/>
      <c r="BV138" s="529"/>
      <c r="BW138" s="529"/>
      <c r="BX138" s="529"/>
      <c r="BY138" s="529"/>
      <c r="BZ138" s="537"/>
      <c r="CA138" s="537"/>
      <c r="CB138" s="537"/>
    </row>
    <row r="139" spans="1:80" x14ac:dyDescent="0.3">
      <c r="A139" s="551"/>
      <c r="B139" s="548"/>
      <c r="C139" s="525"/>
      <c r="D139" s="525"/>
      <c r="E139" s="525" t="s">
        <v>70</v>
      </c>
      <c r="F139" s="567"/>
      <c r="G139" s="567"/>
      <c r="H139" s="567"/>
      <c r="I139" s="527">
        <f t="shared" ref="I139:N142" si="219">I74/I$82</f>
        <v>-4111.5043478260868</v>
      </c>
      <c r="J139" s="527">
        <f t="shared" si="219"/>
        <v>-5622.0315631079357</v>
      </c>
      <c r="K139" s="527">
        <f t="shared" si="219"/>
        <v>-5757.2402992664847</v>
      </c>
      <c r="L139" s="527">
        <f t="shared" si="219"/>
        <v>-5886.5157812513544</v>
      </c>
      <c r="M139" s="527">
        <f t="shared" si="219"/>
        <v>-6008.2349692890521</v>
      </c>
      <c r="N139" s="527">
        <f t="shared" si="219"/>
        <v>-6125.4915450310164</v>
      </c>
      <c r="O139" s="529"/>
      <c r="P139" s="564">
        <f>IFERROR(((N139/I139)^(1/5))-1,0)</f>
        <v>8.2998956521101563E-2</v>
      </c>
      <c r="Q139" s="537"/>
      <c r="R139" s="527">
        <f t="shared" ref="R139:AW139" si="220">R74/R$82</f>
        <v>0</v>
      </c>
      <c r="S139" s="527">
        <f t="shared" si="220"/>
        <v>0</v>
      </c>
      <c r="T139" s="527">
        <f t="shared" si="220"/>
        <v>0</v>
      </c>
      <c r="U139" s="527">
        <f t="shared" si="220"/>
        <v>0</v>
      </c>
      <c r="V139" s="527">
        <f t="shared" si="220"/>
        <v>0</v>
      </c>
      <c r="W139" s="527">
        <f t="shared" si="220"/>
        <v>-5622.0315631079357</v>
      </c>
      <c r="X139" s="527">
        <f t="shared" si="220"/>
        <v>0</v>
      </c>
      <c r="Y139" s="527">
        <f t="shared" si="220"/>
        <v>0</v>
      </c>
      <c r="Z139" s="527">
        <f t="shared" si="220"/>
        <v>0</v>
      </c>
      <c r="AA139" s="527">
        <f t="shared" si="220"/>
        <v>0</v>
      </c>
      <c r="AB139" s="527">
        <f t="shared" si="220"/>
        <v>0</v>
      </c>
      <c r="AC139" s="527">
        <f t="shared" si="220"/>
        <v>0</v>
      </c>
      <c r="AD139" s="527">
        <f t="shared" si="220"/>
        <v>0</v>
      </c>
      <c r="AE139" s="527">
        <f t="shared" si="220"/>
        <v>0</v>
      </c>
      <c r="AF139" s="527">
        <f t="shared" si="220"/>
        <v>0</v>
      </c>
      <c r="AG139" s="527">
        <f t="shared" si="220"/>
        <v>0</v>
      </c>
      <c r="AH139" s="527">
        <f t="shared" si="220"/>
        <v>0</v>
      </c>
      <c r="AI139" s="527">
        <f t="shared" si="220"/>
        <v>-5757.2402992664847</v>
      </c>
      <c r="AJ139" s="527">
        <f t="shared" si="220"/>
        <v>0</v>
      </c>
      <c r="AK139" s="527">
        <f t="shared" si="220"/>
        <v>0</v>
      </c>
      <c r="AL139" s="527">
        <f t="shared" si="220"/>
        <v>0</v>
      </c>
      <c r="AM139" s="527">
        <f t="shared" si="220"/>
        <v>0</v>
      </c>
      <c r="AN139" s="527">
        <f t="shared" si="220"/>
        <v>0</v>
      </c>
      <c r="AO139" s="527">
        <f t="shared" si="220"/>
        <v>0</v>
      </c>
      <c r="AP139" s="527">
        <f t="shared" si="220"/>
        <v>0</v>
      </c>
      <c r="AQ139" s="527">
        <f t="shared" si="220"/>
        <v>0</v>
      </c>
      <c r="AR139" s="527">
        <f t="shared" si="220"/>
        <v>0</v>
      </c>
      <c r="AS139" s="527">
        <f t="shared" si="220"/>
        <v>0</v>
      </c>
      <c r="AT139" s="527">
        <f t="shared" si="220"/>
        <v>0</v>
      </c>
      <c r="AU139" s="527">
        <f t="shared" si="220"/>
        <v>-5886.5157812513544</v>
      </c>
      <c r="AV139" s="527">
        <f t="shared" si="220"/>
        <v>0</v>
      </c>
      <c r="AW139" s="527">
        <f t="shared" si="220"/>
        <v>0</v>
      </c>
      <c r="AX139" s="527">
        <f t="shared" ref="AX139:BY139" si="221">AX74/AX$82</f>
        <v>0</v>
      </c>
      <c r="AY139" s="527">
        <f t="shared" si="221"/>
        <v>0</v>
      </c>
      <c r="AZ139" s="527">
        <f t="shared" si="221"/>
        <v>0</v>
      </c>
      <c r="BA139" s="527">
        <f t="shared" si="221"/>
        <v>0</v>
      </c>
      <c r="BB139" s="527">
        <f t="shared" si="221"/>
        <v>0</v>
      </c>
      <c r="BC139" s="527">
        <f t="shared" si="221"/>
        <v>0</v>
      </c>
      <c r="BD139" s="527">
        <f t="shared" si="221"/>
        <v>0</v>
      </c>
      <c r="BE139" s="527">
        <f t="shared" si="221"/>
        <v>0</v>
      </c>
      <c r="BF139" s="527">
        <f t="shared" si="221"/>
        <v>0</v>
      </c>
      <c r="BG139" s="527">
        <f t="shared" si="221"/>
        <v>-6008.2349692890521</v>
      </c>
      <c r="BH139" s="527">
        <f t="shared" si="221"/>
        <v>0</v>
      </c>
      <c r="BI139" s="527">
        <f t="shared" si="221"/>
        <v>0</v>
      </c>
      <c r="BJ139" s="527">
        <f t="shared" si="221"/>
        <v>0</v>
      </c>
      <c r="BK139" s="527">
        <f t="shared" si="221"/>
        <v>0</v>
      </c>
      <c r="BL139" s="527">
        <f t="shared" si="221"/>
        <v>0</v>
      </c>
      <c r="BM139" s="527">
        <f t="shared" si="221"/>
        <v>0</v>
      </c>
      <c r="BN139" s="527">
        <f t="shared" si="221"/>
        <v>0</v>
      </c>
      <c r="BO139" s="527">
        <f t="shared" si="221"/>
        <v>0</v>
      </c>
      <c r="BP139" s="527">
        <f t="shared" si="221"/>
        <v>0</v>
      </c>
      <c r="BQ139" s="527">
        <f t="shared" si="221"/>
        <v>0</v>
      </c>
      <c r="BR139" s="527">
        <f t="shared" si="221"/>
        <v>0</v>
      </c>
      <c r="BS139" s="527">
        <f t="shared" si="221"/>
        <v>-6125.4915450310164</v>
      </c>
      <c r="BT139" s="527">
        <f t="shared" si="221"/>
        <v>0</v>
      </c>
      <c r="BU139" s="527">
        <f t="shared" si="221"/>
        <v>0</v>
      </c>
      <c r="BV139" s="527">
        <f t="shared" si="221"/>
        <v>0</v>
      </c>
      <c r="BW139" s="527">
        <f t="shared" si="221"/>
        <v>0</v>
      </c>
      <c r="BX139" s="527">
        <f t="shared" si="221"/>
        <v>0</v>
      </c>
      <c r="BY139" s="527">
        <f t="shared" si="221"/>
        <v>0</v>
      </c>
      <c r="BZ139" s="537"/>
      <c r="CA139" s="537"/>
      <c r="CB139" s="537"/>
    </row>
    <row r="140" spans="1:80" x14ac:dyDescent="0.3">
      <c r="A140" s="551"/>
      <c r="B140" s="548"/>
      <c r="C140" s="525"/>
      <c r="D140" s="525"/>
      <c r="E140" s="525" t="s">
        <v>185</v>
      </c>
      <c r="F140" s="567"/>
      <c r="G140" s="567"/>
      <c r="H140" s="567"/>
      <c r="I140" s="527">
        <f t="shared" si="219"/>
        <v>0</v>
      </c>
      <c r="J140" s="527">
        <f t="shared" si="219"/>
        <v>0</v>
      </c>
      <c r="K140" s="527">
        <f t="shared" si="219"/>
        <v>0</v>
      </c>
      <c r="L140" s="527">
        <f t="shared" si="219"/>
        <v>0</v>
      </c>
      <c r="M140" s="527">
        <f t="shared" si="219"/>
        <v>0</v>
      </c>
      <c r="N140" s="527">
        <f t="shared" si="219"/>
        <v>0</v>
      </c>
      <c r="O140" s="529"/>
      <c r="P140" s="564">
        <f>IFERROR(((N140/I140)^(1/5))-1,0)</f>
        <v>0</v>
      </c>
      <c r="Q140" s="537"/>
      <c r="R140" s="527">
        <f t="shared" ref="R140:AW140" si="222">R75/R$82</f>
        <v>0</v>
      </c>
      <c r="S140" s="527">
        <f t="shared" si="222"/>
        <v>0</v>
      </c>
      <c r="T140" s="527">
        <f t="shared" si="222"/>
        <v>0</v>
      </c>
      <c r="U140" s="527">
        <f t="shared" si="222"/>
        <v>0</v>
      </c>
      <c r="V140" s="527">
        <f t="shared" si="222"/>
        <v>0</v>
      </c>
      <c r="W140" s="527">
        <f t="shared" si="222"/>
        <v>0</v>
      </c>
      <c r="X140" s="527">
        <f t="shared" si="222"/>
        <v>0</v>
      </c>
      <c r="Y140" s="527">
        <f t="shared" si="222"/>
        <v>0</v>
      </c>
      <c r="Z140" s="527">
        <f t="shared" si="222"/>
        <v>0</v>
      </c>
      <c r="AA140" s="527">
        <f t="shared" si="222"/>
        <v>0</v>
      </c>
      <c r="AB140" s="527">
        <f t="shared" si="222"/>
        <v>0</v>
      </c>
      <c r="AC140" s="527">
        <f t="shared" si="222"/>
        <v>0</v>
      </c>
      <c r="AD140" s="527">
        <f t="shared" si="222"/>
        <v>0</v>
      </c>
      <c r="AE140" s="527">
        <f t="shared" si="222"/>
        <v>0</v>
      </c>
      <c r="AF140" s="527">
        <f t="shared" si="222"/>
        <v>0</v>
      </c>
      <c r="AG140" s="527">
        <f t="shared" si="222"/>
        <v>0</v>
      </c>
      <c r="AH140" s="527">
        <f t="shared" si="222"/>
        <v>0</v>
      </c>
      <c r="AI140" s="527">
        <f t="shared" si="222"/>
        <v>0</v>
      </c>
      <c r="AJ140" s="527">
        <f t="shared" si="222"/>
        <v>0</v>
      </c>
      <c r="AK140" s="527">
        <f t="shared" si="222"/>
        <v>0</v>
      </c>
      <c r="AL140" s="527">
        <f t="shared" si="222"/>
        <v>0</v>
      </c>
      <c r="AM140" s="527">
        <f t="shared" si="222"/>
        <v>0</v>
      </c>
      <c r="AN140" s="527">
        <f t="shared" si="222"/>
        <v>0</v>
      </c>
      <c r="AO140" s="527">
        <f t="shared" si="222"/>
        <v>0</v>
      </c>
      <c r="AP140" s="527">
        <f t="shared" si="222"/>
        <v>0</v>
      </c>
      <c r="AQ140" s="527">
        <f t="shared" si="222"/>
        <v>0</v>
      </c>
      <c r="AR140" s="527">
        <f t="shared" si="222"/>
        <v>0</v>
      </c>
      <c r="AS140" s="527">
        <f t="shared" si="222"/>
        <v>0</v>
      </c>
      <c r="AT140" s="527">
        <f t="shared" si="222"/>
        <v>0</v>
      </c>
      <c r="AU140" s="527">
        <f t="shared" si="222"/>
        <v>0</v>
      </c>
      <c r="AV140" s="527">
        <f t="shared" si="222"/>
        <v>0</v>
      </c>
      <c r="AW140" s="527">
        <f t="shared" si="222"/>
        <v>0</v>
      </c>
      <c r="AX140" s="527">
        <f t="shared" ref="AX140:BY140" si="223">AX75/AX$82</f>
        <v>0</v>
      </c>
      <c r="AY140" s="527">
        <f t="shared" si="223"/>
        <v>0</v>
      </c>
      <c r="AZ140" s="527">
        <f t="shared" si="223"/>
        <v>0</v>
      </c>
      <c r="BA140" s="527">
        <f t="shared" si="223"/>
        <v>0</v>
      </c>
      <c r="BB140" s="527">
        <f t="shared" si="223"/>
        <v>0</v>
      </c>
      <c r="BC140" s="527">
        <f t="shared" si="223"/>
        <v>0</v>
      </c>
      <c r="BD140" s="527">
        <f t="shared" si="223"/>
        <v>0</v>
      </c>
      <c r="BE140" s="527">
        <f t="shared" si="223"/>
        <v>0</v>
      </c>
      <c r="BF140" s="527">
        <f t="shared" si="223"/>
        <v>0</v>
      </c>
      <c r="BG140" s="527">
        <f t="shared" si="223"/>
        <v>0</v>
      </c>
      <c r="BH140" s="527">
        <f t="shared" si="223"/>
        <v>0</v>
      </c>
      <c r="BI140" s="527">
        <f t="shared" si="223"/>
        <v>0</v>
      </c>
      <c r="BJ140" s="527">
        <f t="shared" si="223"/>
        <v>0</v>
      </c>
      <c r="BK140" s="527">
        <f t="shared" si="223"/>
        <v>0</v>
      </c>
      <c r="BL140" s="527">
        <f t="shared" si="223"/>
        <v>0</v>
      </c>
      <c r="BM140" s="527">
        <f t="shared" si="223"/>
        <v>0</v>
      </c>
      <c r="BN140" s="527">
        <f t="shared" si="223"/>
        <v>0</v>
      </c>
      <c r="BO140" s="527">
        <f t="shared" si="223"/>
        <v>0</v>
      </c>
      <c r="BP140" s="527">
        <f t="shared" si="223"/>
        <v>0</v>
      </c>
      <c r="BQ140" s="527">
        <f t="shared" si="223"/>
        <v>0</v>
      </c>
      <c r="BR140" s="527">
        <f t="shared" si="223"/>
        <v>0</v>
      </c>
      <c r="BS140" s="527">
        <f t="shared" si="223"/>
        <v>0</v>
      </c>
      <c r="BT140" s="527">
        <f t="shared" si="223"/>
        <v>0</v>
      </c>
      <c r="BU140" s="527">
        <f t="shared" si="223"/>
        <v>0</v>
      </c>
      <c r="BV140" s="527">
        <f t="shared" si="223"/>
        <v>0</v>
      </c>
      <c r="BW140" s="527">
        <f t="shared" si="223"/>
        <v>0</v>
      </c>
      <c r="BX140" s="527">
        <f t="shared" si="223"/>
        <v>0</v>
      </c>
      <c r="BY140" s="527">
        <f t="shared" si="223"/>
        <v>0</v>
      </c>
      <c r="BZ140" s="537"/>
      <c r="CA140" s="537"/>
      <c r="CB140" s="537"/>
    </row>
    <row r="141" spans="1:80" x14ac:dyDescent="0.3">
      <c r="A141" s="551"/>
      <c r="B141" s="548"/>
      <c r="C141" s="525"/>
      <c r="D141" s="525"/>
      <c r="E141" s="525" t="s">
        <v>370</v>
      </c>
      <c r="F141" s="567"/>
      <c r="G141" s="567"/>
      <c r="H141" s="567"/>
      <c r="I141" s="527">
        <f t="shared" si="219"/>
        <v>0</v>
      </c>
      <c r="J141" s="527">
        <f t="shared" si="219"/>
        <v>0</v>
      </c>
      <c r="K141" s="527">
        <f t="shared" si="219"/>
        <v>0</v>
      </c>
      <c r="L141" s="527">
        <f t="shared" si="219"/>
        <v>0</v>
      </c>
      <c r="M141" s="527">
        <f t="shared" si="219"/>
        <v>0</v>
      </c>
      <c r="N141" s="527">
        <f t="shared" si="219"/>
        <v>0</v>
      </c>
      <c r="O141" s="529"/>
      <c r="P141" s="564">
        <f>IFERROR(((N141/I141)^(1/5))-1,0)</f>
        <v>0</v>
      </c>
      <c r="Q141" s="537"/>
      <c r="R141" s="527">
        <f t="shared" ref="R141:AW141" si="224">R76/R$82</f>
        <v>0</v>
      </c>
      <c r="S141" s="527">
        <f t="shared" si="224"/>
        <v>0</v>
      </c>
      <c r="T141" s="527">
        <f t="shared" si="224"/>
        <v>0</v>
      </c>
      <c r="U141" s="527">
        <f t="shared" si="224"/>
        <v>0</v>
      </c>
      <c r="V141" s="527">
        <f t="shared" si="224"/>
        <v>0</v>
      </c>
      <c r="W141" s="527">
        <f t="shared" si="224"/>
        <v>0</v>
      </c>
      <c r="X141" s="527">
        <f t="shared" si="224"/>
        <v>0</v>
      </c>
      <c r="Y141" s="527">
        <f t="shared" si="224"/>
        <v>0</v>
      </c>
      <c r="Z141" s="527">
        <f t="shared" si="224"/>
        <v>0</v>
      </c>
      <c r="AA141" s="527">
        <f t="shared" si="224"/>
        <v>0</v>
      </c>
      <c r="AB141" s="527">
        <f t="shared" si="224"/>
        <v>0</v>
      </c>
      <c r="AC141" s="527">
        <f t="shared" si="224"/>
        <v>0</v>
      </c>
      <c r="AD141" s="527">
        <f t="shared" si="224"/>
        <v>0</v>
      </c>
      <c r="AE141" s="527">
        <f t="shared" si="224"/>
        <v>0</v>
      </c>
      <c r="AF141" s="527">
        <f t="shared" si="224"/>
        <v>0</v>
      </c>
      <c r="AG141" s="527">
        <f t="shared" si="224"/>
        <v>0</v>
      </c>
      <c r="AH141" s="527">
        <f t="shared" si="224"/>
        <v>0</v>
      </c>
      <c r="AI141" s="527">
        <f t="shared" si="224"/>
        <v>0</v>
      </c>
      <c r="AJ141" s="527">
        <f t="shared" si="224"/>
        <v>0</v>
      </c>
      <c r="AK141" s="527">
        <f t="shared" si="224"/>
        <v>0</v>
      </c>
      <c r="AL141" s="527">
        <f t="shared" si="224"/>
        <v>0</v>
      </c>
      <c r="AM141" s="527">
        <f t="shared" si="224"/>
        <v>0</v>
      </c>
      <c r="AN141" s="527">
        <f t="shared" si="224"/>
        <v>0</v>
      </c>
      <c r="AO141" s="527">
        <f t="shared" si="224"/>
        <v>0</v>
      </c>
      <c r="AP141" s="527">
        <f t="shared" si="224"/>
        <v>0</v>
      </c>
      <c r="AQ141" s="527">
        <f t="shared" si="224"/>
        <v>0</v>
      </c>
      <c r="AR141" s="527">
        <f t="shared" si="224"/>
        <v>0</v>
      </c>
      <c r="AS141" s="527">
        <f t="shared" si="224"/>
        <v>0</v>
      </c>
      <c r="AT141" s="527">
        <f t="shared" si="224"/>
        <v>0</v>
      </c>
      <c r="AU141" s="527">
        <f t="shared" si="224"/>
        <v>0</v>
      </c>
      <c r="AV141" s="527">
        <f t="shared" si="224"/>
        <v>0</v>
      </c>
      <c r="AW141" s="527">
        <f t="shared" si="224"/>
        <v>0</v>
      </c>
      <c r="AX141" s="527">
        <f t="shared" ref="AX141:BY141" si="225">AX76/AX$82</f>
        <v>0</v>
      </c>
      <c r="AY141" s="527">
        <f t="shared" si="225"/>
        <v>0</v>
      </c>
      <c r="AZ141" s="527">
        <f t="shared" si="225"/>
        <v>0</v>
      </c>
      <c r="BA141" s="527">
        <f t="shared" si="225"/>
        <v>0</v>
      </c>
      <c r="BB141" s="527">
        <f t="shared" si="225"/>
        <v>0</v>
      </c>
      <c r="BC141" s="527">
        <f t="shared" si="225"/>
        <v>0</v>
      </c>
      <c r="BD141" s="527">
        <f t="shared" si="225"/>
        <v>0</v>
      </c>
      <c r="BE141" s="527">
        <f t="shared" si="225"/>
        <v>0</v>
      </c>
      <c r="BF141" s="527">
        <f t="shared" si="225"/>
        <v>0</v>
      </c>
      <c r="BG141" s="527">
        <f t="shared" si="225"/>
        <v>0</v>
      </c>
      <c r="BH141" s="527">
        <f t="shared" si="225"/>
        <v>0</v>
      </c>
      <c r="BI141" s="527">
        <f t="shared" si="225"/>
        <v>0</v>
      </c>
      <c r="BJ141" s="527">
        <f t="shared" si="225"/>
        <v>0</v>
      </c>
      <c r="BK141" s="527">
        <f t="shared" si="225"/>
        <v>0</v>
      </c>
      <c r="BL141" s="527">
        <f t="shared" si="225"/>
        <v>0</v>
      </c>
      <c r="BM141" s="527">
        <f t="shared" si="225"/>
        <v>0</v>
      </c>
      <c r="BN141" s="527">
        <f t="shared" si="225"/>
        <v>0</v>
      </c>
      <c r="BO141" s="527">
        <f t="shared" si="225"/>
        <v>0</v>
      </c>
      <c r="BP141" s="527">
        <f t="shared" si="225"/>
        <v>0</v>
      </c>
      <c r="BQ141" s="527">
        <f t="shared" si="225"/>
        <v>0</v>
      </c>
      <c r="BR141" s="527">
        <f t="shared" si="225"/>
        <v>0</v>
      </c>
      <c r="BS141" s="527">
        <f t="shared" si="225"/>
        <v>0</v>
      </c>
      <c r="BT141" s="527">
        <f t="shared" si="225"/>
        <v>0</v>
      </c>
      <c r="BU141" s="527">
        <f t="shared" si="225"/>
        <v>0</v>
      </c>
      <c r="BV141" s="527">
        <f t="shared" si="225"/>
        <v>0</v>
      </c>
      <c r="BW141" s="527">
        <f t="shared" si="225"/>
        <v>0</v>
      </c>
      <c r="BX141" s="527">
        <f t="shared" si="225"/>
        <v>0</v>
      </c>
      <c r="BY141" s="527">
        <f t="shared" si="225"/>
        <v>0</v>
      </c>
      <c r="BZ141" s="537"/>
      <c r="CA141" s="537"/>
      <c r="CB141" s="537"/>
    </row>
    <row r="142" spans="1:80" x14ac:dyDescent="0.3">
      <c r="A142" s="551"/>
      <c r="B142" s="548"/>
      <c r="C142" s="525"/>
      <c r="D142" s="525"/>
      <c r="E142" s="578" t="s">
        <v>71</v>
      </c>
      <c r="F142" s="579"/>
      <c r="G142" s="579"/>
      <c r="H142" s="579"/>
      <c r="I142" s="534">
        <f t="shared" si="219"/>
        <v>68211.338077430744</v>
      </c>
      <c r="J142" s="534">
        <f t="shared" si="219"/>
        <v>76363.966896669706</v>
      </c>
      <c r="K142" s="534">
        <f t="shared" si="219"/>
        <v>82028.002082052728</v>
      </c>
      <c r="L142" s="534">
        <f t="shared" si="219"/>
        <v>87869.725463857219</v>
      </c>
      <c r="M142" s="534">
        <f t="shared" si="219"/>
        <v>93865.450618117597</v>
      </c>
      <c r="N142" s="535">
        <f t="shared" si="219"/>
        <v>100183.2436125282</v>
      </c>
      <c r="O142" s="536"/>
      <c r="P142" s="568">
        <f>IFERROR(((N142/I142)^(1/5))-1,0)</f>
        <v>7.9910350991775569E-2</v>
      </c>
      <c r="Q142" s="537"/>
      <c r="R142" s="535">
        <f t="shared" ref="R142:AW142" si="226">R77/R$82</f>
        <v>6728.3346428836503</v>
      </c>
      <c r="S142" s="534">
        <f t="shared" si="226"/>
        <v>6728.3346428836503</v>
      </c>
      <c r="T142" s="534">
        <f t="shared" si="226"/>
        <v>6728.3346428836503</v>
      </c>
      <c r="U142" s="534">
        <f t="shared" si="226"/>
        <v>6728.3346428836503</v>
      </c>
      <c r="V142" s="534">
        <f t="shared" si="226"/>
        <v>6728.3346428836503</v>
      </c>
      <c r="W142" s="534">
        <f t="shared" si="226"/>
        <v>1106.3030797757147</v>
      </c>
      <c r="X142" s="534">
        <f t="shared" si="226"/>
        <v>6935.99843374595</v>
      </c>
      <c r="Y142" s="534">
        <f t="shared" si="226"/>
        <v>6935.99843374595</v>
      </c>
      <c r="Z142" s="534">
        <f t="shared" si="226"/>
        <v>6935.99843374595</v>
      </c>
      <c r="AA142" s="534">
        <f t="shared" si="226"/>
        <v>6935.99843374595</v>
      </c>
      <c r="AB142" s="534">
        <f t="shared" si="226"/>
        <v>6935.99843374595</v>
      </c>
      <c r="AC142" s="534">
        <f t="shared" si="226"/>
        <v>6935.99843374595</v>
      </c>
      <c r="AD142" s="534">
        <f t="shared" si="226"/>
        <v>7182.2728877815134</v>
      </c>
      <c r="AE142" s="534">
        <f t="shared" si="226"/>
        <v>7182.2728877815134</v>
      </c>
      <c r="AF142" s="534">
        <f t="shared" si="226"/>
        <v>7182.2728877815134</v>
      </c>
      <c r="AG142" s="534">
        <f t="shared" si="226"/>
        <v>7182.2728877815134</v>
      </c>
      <c r="AH142" s="534">
        <f t="shared" si="226"/>
        <v>7182.2728877815134</v>
      </c>
      <c r="AI142" s="534">
        <f t="shared" si="226"/>
        <v>1425.0325885150287</v>
      </c>
      <c r="AJ142" s="534">
        <f t="shared" si="226"/>
        <v>7448.6008424383581</v>
      </c>
      <c r="AK142" s="534">
        <f t="shared" si="226"/>
        <v>7448.6008424383581</v>
      </c>
      <c r="AL142" s="534">
        <f t="shared" si="226"/>
        <v>7448.6008424383581</v>
      </c>
      <c r="AM142" s="534">
        <f t="shared" si="226"/>
        <v>7448.6008424383581</v>
      </c>
      <c r="AN142" s="534">
        <f t="shared" si="226"/>
        <v>7448.6008424383581</v>
      </c>
      <c r="AO142" s="534">
        <f t="shared" si="226"/>
        <v>7448.6008424383581</v>
      </c>
      <c r="AP142" s="534">
        <f t="shared" si="226"/>
        <v>7648.5646980050615</v>
      </c>
      <c r="AQ142" s="534">
        <f t="shared" si="226"/>
        <v>7648.5646980050615</v>
      </c>
      <c r="AR142" s="534">
        <f t="shared" si="226"/>
        <v>7648.5646980050615</v>
      </c>
      <c r="AS142" s="534">
        <f t="shared" si="226"/>
        <v>7648.5646980050615</v>
      </c>
      <c r="AT142" s="534">
        <f t="shared" si="226"/>
        <v>7648.5646980050615</v>
      </c>
      <c r="AU142" s="534">
        <f t="shared" si="226"/>
        <v>1762.0489167537075</v>
      </c>
      <c r="AV142" s="534">
        <f t="shared" si="226"/>
        <v>7977.4755095130331</v>
      </c>
      <c r="AW142" s="534">
        <f t="shared" si="226"/>
        <v>7977.4755095130331</v>
      </c>
      <c r="AX142" s="534">
        <f t="shared" ref="AX142:BY142" si="227">AX77/AX$82</f>
        <v>7977.4755095130331</v>
      </c>
      <c r="AY142" s="534">
        <f t="shared" si="227"/>
        <v>7977.4755095130331</v>
      </c>
      <c r="AZ142" s="534">
        <f t="shared" si="227"/>
        <v>7977.4755095130331</v>
      </c>
      <c r="BA142" s="534">
        <f t="shared" si="227"/>
        <v>7977.4755095130331</v>
      </c>
      <c r="BB142" s="534">
        <f t="shared" si="227"/>
        <v>8125.0609118747952</v>
      </c>
      <c r="BC142" s="534">
        <f t="shared" si="227"/>
        <v>8125.0609118747952</v>
      </c>
      <c r="BD142" s="534">
        <f t="shared" si="227"/>
        <v>8125.0609118747952</v>
      </c>
      <c r="BE142" s="534">
        <f t="shared" si="227"/>
        <v>8125.0609118747952</v>
      </c>
      <c r="BF142" s="534">
        <f t="shared" si="227"/>
        <v>8125.0609118747952</v>
      </c>
      <c r="BG142" s="534">
        <f t="shared" si="227"/>
        <v>2116.8259425857427</v>
      </c>
      <c r="BH142" s="534">
        <f t="shared" si="227"/>
        <v>8520.5533526929757</v>
      </c>
      <c r="BI142" s="534">
        <f t="shared" si="227"/>
        <v>8520.5533526929757</v>
      </c>
      <c r="BJ142" s="534">
        <f t="shared" si="227"/>
        <v>8520.5533526929757</v>
      </c>
      <c r="BK142" s="534">
        <f t="shared" si="227"/>
        <v>8520.5533526929757</v>
      </c>
      <c r="BL142" s="534">
        <f t="shared" si="227"/>
        <v>8520.5533526929757</v>
      </c>
      <c r="BM142" s="534">
        <f t="shared" si="227"/>
        <v>8520.5533526929757</v>
      </c>
      <c r="BN142" s="534">
        <f t="shared" si="227"/>
        <v>8625.9298733524338</v>
      </c>
      <c r="BO142" s="534">
        <f t="shared" si="227"/>
        <v>8625.9298733524338</v>
      </c>
      <c r="BP142" s="534">
        <f t="shared" si="227"/>
        <v>8625.9298733524338</v>
      </c>
      <c r="BQ142" s="534">
        <f t="shared" si="227"/>
        <v>8625.9298733524338</v>
      </c>
      <c r="BR142" s="534">
        <f t="shared" si="227"/>
        <v>8625.9298733524338</v>
      </c>
      <c r="BS142" s="534">
        <f t="shared" si="227"/>
        <v>2500.438328321417</v>
      </c>
      <c r="BT142" s="534">
        <f t="shared" si="227"/>
        <v>9092.1926529074372</v>
      </c>
      <c r="BU142" s="534">
        <f t="shared" si="227"/>
        <v>9092.1926529074372</v>
      </c>
      <c r="BV142" s="534">
        <f t="shared" si="227"/>
        <v>9092.1926529074372</v>
      </c>
      <c r="BW142" s="534">
        <f t="shared" si="227"/>
        <v>9092.1926529074372</v>
      </c>
      <c r="BX142" s="534">
        <f t="shared" si="227"/>
        <v>9092.1926529074372</v>
      </c>
      <c r="BY142" s="534">
        <f t="shared" si="227"/>
        <v>9092.1926529074372</v>
      </c>
      <c r="BZ142" s="537"/>
      <c r="CA142" s="537"/>
      <c r="CB142" s="537"/>
    </row>
    <row r="143" spans="1:80" x14ac:dyDescent="0.3">
      <c r="A143" s="551"/>
      <c r="B143" s="548"/>
      <c r="C143" s="551"/>
      <c r="D143" s="537"/>
      <c r="E143" s="537"/>
      <c r="F143" s="537"/>
      <c r="G143" s="537"/>
      <c r="H143" s="537"/>
      <c r="I143" s="537"/>
      <c r="J143" s="537"/>
      <c r="K143" s="537"/>
      <c r="L143" s="537"/>
      <c r="M143" s="537"/>
      <c r="N143" s="537"/>
      <c r="O143" s="537"/>
      <c r="P143" s="547"/>
      <c r="Q143" s="537"/>
      <c r="R143" s="537"/>
      <c r="S143" s="537"/>
      <c r="T143" s="537"/>
      <c r="U143" s="537"/>
      <c r="V143" s="537"/>
      <c r="W143" s="537"/>
      <c r="X143" s="537"/>
      <c r="Y143" s="537"/>
      <c r="Z143" s="537"/>
      <c r="AA143" s="537"/>
      <c r="AB143" s="537"/>
      <c r="AC143" s="537"/>
      <c r="AD143" s="537"/>
      <c r="AE143" s="537"/>
      <c r="AF143" s="537"/>
      <c r="AG143" s="537"/>
      <c r="AH143" s="537"/>
      <c r="AI143" s="537"/>
      <c r="AJ143" s="537"/>
      <c r="AK143" s="537"/>
      <c r="AL143" s="537"/>
      <c r="AM143" s="537"/>
      <c r="AN143" s="537"/>
      <c r="AO143" s="537"/>
      <c r="AP143" s="537"/>
      <c r="AQ143" s="537"/>
      <c r="AR143" s="537"/>
      <c r="AS143" s="537"/>
      <c r="AT143" s="537"/>
      <c r="AU143" s="537"/>
      <c r="AV143" s="537"/>
      <c r="AW143" s="537"/>
      <c r="AX143" s="537"/>
      <c r="AY143" s="537"/>
      <c r="AZ143" s="537"/>
      <c r="BA143" s="537"/>
      <c r="BB143" s="537"/>
      <c r="BC143" s="537"/>
      <c r="BD143" s="537"/>
      <c r="BE143" s="537"/>
      <c r="BF143" s="537"/>
      <c r="BG143" s="537"/>
      <c r="BH143" s="537"/>
      <c r="BI143" s="537"/>
      <c r="BJ143" s="537"/>
      <c r="BK143" s="537"/>
      <c r="BL143" s="537"/>
      <c r="BM143" s="537"/>
      <c r="BN143" s="537"/>
      <c r="BO143" s="537"/>
      <c r="BP143" s="537"/>
      <c r="BQ143" s="537"/>
      <c r="BR143" s="537"/>
      <c r="BS143" s="537"/>
      <c r="BT143" s="537"/>
      <c r="BU143" s="537"/>
      <c r="BV143" s="537"/>
      <c r="BW143" s="537"/>
      <c r="BX143" s="537"/>
      <c r="BY143" s="537"/>
      <c r="BZ143" s="537"/>
      <c r="CA143" s="537"/>
      <c r="CB143" s="537"/>
    </row>
    <row r="144" spans="1:80" x14ac:dyDescent="0.3">
      <c r="A144" s="551"/>
      <c r="B144" s="548"/>
      <c r="C144" s="560" t="s">
        <v>37</v>
      </c>
      <c r="D144" s="561"/>
      <c r="E144" s="526" t="s">
        <v>178</v>
      </c>
      <c r="F144" s="526"/>
      <c r="G144" s="526"/>
      <c r="H144" s="526"/>
      <c r="I144" s="526"/>
      <c r="J144" s="526"/>
      <c r="K144" s="526"/>
      <c r="L144" s="526"/>
      <c r="M144" s="526"/>
      <c r="N144" s="526"/>
      <c r="O144" s="526"/>
      <c r="P144" s="560"/>
      <c r="Q144" s="526"/>
      <c r="R144" s="526"/>
      <c r="S144" s="526"/>
      <c r="T144" s="526"/>
      <c r="U144" s="526"/>
      <c r="V144" s="526"/>
      <c r="W144" s="526"/>
      <c r="X144" s="526"/>
      <c r="Y144" s="526"/>
      <c r="Z144" s="526"/>
      <c r="AA144" s="526"/>
      <c r="AB144" s="526"/>
      <c r="AC144" s="526"/>
      <c r="AD144" s="526"/>
      <c r="AE144" s="526"/>
      <c r="AF144" s="526"/>
      <c r="AG144" s="526"/>
      <c r="AH144" s="526"/>
      <c r="AI144" s="526"/>
      <c r="AJ144" s="526"/>
      <c r="AK144" s="526"/>
      <c r="AL144" s="526"/>
      <c r="AM144" s="526"/>
      <c r="AN144" s="526"/>
      <c r="AO144" s="526"/>
      <c r="AP144" s="526"/>
      <c r="AQ144" s="526"/>
      <c r="AR144" s="526"/>
      <c r="AS144" s="526"/>
      <c r="AT144" s="526"/>
      <c r="AU144" s="526"/>
      <c r="AV144" s="526"/>
      <c r="AW144" s="526"/>
      <c r="AX144" s="526"/>
      <c r="AY144" s="526"/>
      <c r="AZ144" s="526"/>
      <c r="BA144" s="526"/>
      <c r="BB144" s="526"/>
      <c r="BC144" s="526"/>
      <c r="BD144" s="526"/>
      <c r="BE144" s="526"/>
      <c r="BF144" s="526"/>
      <c r="BG144" s="526"/>
      <c r="BH144" s="526"/>
      <c r="BI144" s="526"/>
      <c r="BJ144" s="526"/>
      <c r="BK144" s="526"/>
      <c r="BL144" s="526"/>
      <c r="BM144" s="526"/>
      <c r="BN144" s="526"/>
      <c r="BO144" s="526"/>
      <c r="BP144" s="526"/>
      <c r="BQ144" s="526"/>
      <c r="BR144" s="526"/>
      <c r="BS144" s="526"/>
      <c r="BT144" s="526"/>
      <c r="BU144" s="526"/>
      <c r="BV144" s="526"/>
      <c r="BW144" s="526"/>
      <c r="BX144" s="526"/>
      <c r="BY144" s="526"/>
      <c r="BZ144" s="537"/>
      <c r="CA144" s="537"/>
      <c r="CB144" s="537"/>
    </row>
    <row r="145" spans="1:77" x14ac:dyDescent="0.3">
      <c r="A145" s="551"/>
      <c r="B145" s="548"/>
      <c r="C145" s="525"/>
      <c r="D145" s="525"/>
      <c r="E145" s="525" t="s">
        <v>133</v>
      </c>
      <c r="F145" s="567"/>
      <c r="G145" s="567"/>
      <c r="H145" s="567"/>
      <c r="I145" s="527">
        <f t="shared" ref="I145:N147" si="228">IFERROR(I22/I$19,0)</f>
        <v>782.35770358606464</v>
      </c>
      <c r="J145" s="527">
        <f t="shared" si="228"/>
        <v>811.72610450827744</v>
      </c>
      <c r="K145" s="527">
        <f t="shared" si="228"/>
        <v>841.37423409748919</v>
      </c>
      <c r="L145" s="527">
        <f t="shared" si="228"/>
        <v>871.06725916663322</v>
      </c>
      <c r="M145" s="527">
        <f t="shared" si="228"/>
        <v>900.61050061968717</v>
      </c>
      <c r="N145" s="527">
        <f t="shared" si="228"/>
        <v>931.16976684013105</v>
      </c>
      <c r="O145" s="529"/>
      <c r="P145" s="562"/>
      <c r="Q145" s="537"/>
      <c r="R145" s="527">
        <f t="shared" ref="R145:AW145" si="229">IFERROR(R22/R$19,0)</f>
        <v>811.72610450827733</v>
      </c>
      <c r="S145" s="527">
        <f t="shared" si="229"/>
        <v>811.72610450827733</v>
      </c>
      <c r="T145" s="527">
        <f t="shared" si="229"/>
        <v>811.72610450827733</v>
      </c>
      <c r="U145" s="527">
        <f t="shared" si="229"/>
        <v>811.72610450827733</v>
      </c>
      <c r="V145" s="527">
        <f t="shared" si="229"/>
        <v>811.72610450827733</v>
      </c>
      <c r="W145" s="527">
        <f t="shared" si="229"/>
        <v>811.72610450827733</v>
      </c>
      <c r="X145" s="527">
        <f t="shared" si="229"/>
        <v>811.72610450827722</v>
      </c>
      <c r="Y145" s="527">
        <f t="shared" si="229"/>
        <v>811.72610450827722</v>
      </c>
      <c r="Z145" s="527">
        <f t="shared" si="229"/>
        <v>811.72610450827722</v>
      </c>
      <c r="AA145" s="527">
        <f t="shared" si="229"/>
        <v>811.72610450827722</v>
      </c>
      <c r="AB145" s="527">
        <f t="shared" si="229"/>
        <v>811.72610450827722</v>
      </c>
      <c r="AC145" s="527">
        <f t="shared" si="229"/>
        <v>811.72610450827722</v>
      </c>
      <c r="AD145" s="527">
        <f t="shared" si="229"/>
        <v>841.37423409748908</v>
      </c>
      <c r="AE145" s="527">
        <f t="shared" si="229"/>
        <v>841.37423409748908</v>
      </c>
      <c r="AF145" s="527">
        <f t="shared" si="229"/>
        <v>841.37423409748908</v>
      </c>
      <c r="AG145" s="527">
        <f t="shared" si="229"/>
        <v>841.37423409748908</v>
      </c>
      <c r="AH145" s="527">
        <f t="shared" si="229"/>
        <v>841.37423409748908</v>
      </c>
      <c r="AI145" s="527">
        <f t="shared" si="229"/>
        <v>841.37423409748908</v>
      </c>
      <c r="AJ145" s="527">
        <f t="shared" si="229"/>
        <v>841.37423409748908</v>
      </c>
      <c r="AK145" s="527">
        <f t="shared" si="229"/>
        <v>841.37423409748908</v>
      </c>
      <c r="AL145" s="527">
        <f t="shared" si="229"/>
        <v>841.37423409748908</v>
      </c>
      <c r="AM145" s="527">
        <f t="shared" si="229"/>
        <v>841.37423409748908</v>
      </c>
      <c r="AN145" s="527">
        <f t="shared" si="229"/>
        <v>841.37423409748908</v>
      </c>
      <c r="AO145" s="527">
        <f t="shared" si="229"/>
        <v>841.37423409748908</v>
      </c>
      <c r="AP145" s="527">
        <f t="shared" si="229"/>
        <v>871.06725916663288</v>
      </c>
      <c r="AQ145" s="527">
        <f t="shared" si="229"/>
        <v>871.06725916663288</v>
      </c>
      <c r="AR145" s="527">
        <f t="shared" si="229"/>
        <v>871.06725916663288</v>
      </c>
      <c r="AS145" s="527">
        <f t="shared" si="229"/>
        <v>871.06725916663288</v>
      </c>
      <c r="AT145" s="527">
        <f t="shared" si="229"/>
        <v>871.06725916663288</v>
      </c>
      <c r="AU145" s="527">
        <f t="shared" si="229"/>
        <v>871.06725916663288</v>
      </c>
      <c r="AV145" s="527">
        <f t="shared" si="229"/>
        <v>871.06725916663288</v>
      </c>
      <c r="AW145" s="527">
        <f t="shared" si="229"/>
        <v>871.06725916663288</v>
      </c>
      <c r="AX145" s="527">
        <f t="shared" ref="AX145:BY145" si="230">IFERROR(AX22/AX$19,0)</f>
        <v>871.06725916663288</v>
      </c>
      <c r="AY145" s="527">
        <f t="shared" si="230"/>
        <v>871.06725916663288</v>
      </c>
      <c r="AZ145" s="527">
        <f t="shared" si="230"/>
        <v>871.06725916663288</v>
      </c>
      <c r="BA145" s="527">
        <f t="shared" si="230"/>
        <v>871.06725916663288</v>
      </c>
      <c r="BB145" s="527">
        <f t="shared" si="230"/>
        <v>900.61050061968751</v>
      </c>
      <c r="BC145" s="527">
        <f t="shared" si="230"/>
        <v>900.61050061968751</v>
      </c>
      <c r="BD145" s="527">
        <f t="shared" si="230"/>
        <v>900.61050061968751</v>
      </c>
      <c r="BE145" s="527">
        <f t="shared" si="230"/>
        <v>900.61050061968751</v>
      </c>
      <c r="BF145" s="527">
        <f t="shared" si="230"/>
        <v>900.61050061968751</v>
      </c>
      <c r="BG145" s="527">
        <f t="shared" si="230"/>
        <v>900.61050061968751</v>
      </c>
      <c r="BH145" s="527">
        <f t="shared" si="230"/>
        <v>900.61050061968751</v>
      </c>
      <c r="BI145" s="527">
        <f t="shared" si="230"/>
        <v>900.61050061968751</v>
      </c>
      <c r="BJ145" s="527">
        <f t="shared" si="230"/>
        <v>900.61050061968751</v>
      </c>
      <c r="BK145" s="527">
        <f t="shared" si="230"/>
        <v>900.61050061968751</v>
      </c>
      <c r="BL145" s="527">
        <f t="shared" si="230"/>
        <v>900.61050061968751</v>
      </c>
      <c r="BM145" s="527">
        <f t="shared" si="230"/>
        <v>900.61050061968751</v>
      </c>
      <c r="BN145" s="527">
        <f t="shared" si="230"/>
        <v>931.16976684013071</v>
      </c>
      <c r="BO145" s="527">
        <f t="shared" si="230"/>
        <v>931.16976684013071</v>
      </c>
      <c r="BP145" s="527">
        <f t="shared" si="230"/>
        <v>931.16976684013071</v>
      </c>
      <c r="BQ145" s="527">
        <f t="shared" si="230"/>
        <v>931.16976684013071</v>
      </c>
      <c r="BR145" s="527">
        <f t="shared" si="230"/>
        <v>931.16976684013071</v>
      </c>
      <c r="BS145" s="527">
        <f t="shared" si="230"/>
        <v>931.16976684013071</v>
      </c>
      <c r="BT145" s="527">
        <f t="shared" si="230"/>
        <v>931.16976684013071</v>
      </c>
      <c r="BU145" s="527">
        <f t="shared" si="230"/>
        <v>931.16976684013071</v>
      </c>
      <c r="BV145" s="527">
        <f t="shared" si="230"/>
        <v>931.16976684013071</v>
      </c>
      <c r="BW145" s="527">
        <f t="shared" si="230"/>
        <v>931.16976684013071</v>
      </c>
      <c r="BX145" s="527">
        <f t="shared" si="230"/>
        <v>931.16976684013071</v>
      </c>
      <c r="BY145" s="527">
        <f t="shared" si="230"/>
        <v>931.16976684013071</v>
      </c>
    </row>
    <row r="146" spans="1:77" x14ac:dyDescent="0.3">
      <c r="A146" s="551"/>
      <c r="B146" s="548"/>
      <c r="C146" s="525"/>
      <c r="D146" s="525"/>
      <c r="E146" s="525" t="s">
        <v>134</v>
      </c>
      <c r="F146" s="567"/>
      <c r="G146" s="567"/>
      <c r="H146" s="567"/>
      <c r="I146" s="527">
        <f t="shared" si="228"/>
        <v>-256.96863525575282</v>
      </c>
      <c r="J146" s="527">
        <f t="shared" si="228"/>
        <v>-259.60800796086795</v>
      </c>
      <c r="K146" s="527">
        <f t="shared" si="228"/>
        <v>-262.30016812008517</v>
      </c>
      <c r="L146" s="527">
        <f t="shared" si="228"/>
        <v>-265.0461714824869</v>
      </c>
      <c r="M146" s="527">
        <f t="shared" si="228"/>
        <v>-267.84709491213658</v>
      </c>
      <c r="N146" s="527">
        <f t="shared" si="228"/>
        <v>-270.70403681037936</v>
      </c>
      <c r="O146" s="529"/>
      <c r="P146" s="562"/>
      <c r="Q146" s="537"/>
      <c r="R146" s="527">
        <f t="shared" ref="R146:AW146" si="231">IFERROR(R23/R$19,0)</f>
        <v>-259.60800796086795</v>
      </c>
      <c r="S146" s="527">
        <f t="shared" si="231"/>
        <v>-259.60800796086795</v>
      </c>
      <c r="T146" s="527">
        <f t="shared" si="231"/>
        <v>-259.60800796086795</v>
      </c>
      <c r="U146" s="527">
        <f t="shared" si="231"/>
        <v>-259.60800796086795</v>
      </c>
      <c r="V146" s="527">
        <f t="shared" si="231"/>
        <v>-259.60800796086795</v>
      </c>
      <c r="W146" s="527">
        <f t="shared" si="231"/>
        <v>-259.60800796086795</v>
      </c>
      <c r="X146" s="527">
        <f t="shared" si="231"/>
        <v>-259.60800796086795</v>
      </c>
      <c r="Y146" s="527">
        <f t="shared" si="231"/>
        <v>-259.60800796086795</v>
      </c>
      <c r="Z146" s="527">
        <f t="shared" si="231"/>
        <v>-259.60800796086795</v>
      </c>
      <c r="AA146" s="527">
        <f t="shared" si="231"/>
        <v>-259.60800796086795</v>
      </c>
      <c r="AB146" s="527">
        <f t="shared" si="231"/>
        <v>-259.60800796086795</v>
      </c>
      <c r="AC146" s="527">
        <f t="shared" si="231"/>
        <v>-259.60800796086795</v>
      </c>
      <c r="AD146" s="527">
        <f t="shared" si="231"/>
        <v>-262.30016812008517</v>
      </c>
      <c r="AE146" s="527">
        <f t="shared" si="231"/>
        <v>-262.30016812008517</v>
      </c>
      <c r="AF146" s="527">
        <f t="shared" si="231"/>
        <v>-262.30016812008517</v>
      </c>
      <c r="AG146" s="527">
        <f t="shared" si="231"/>
        <v>-262.30016812008517</v>
      </c>
      <c r="AH146" s="527">
        <f t="shared" si="231"/>
        <v>-262.30016812008517</v>
      </c>
      <c r="AI146" s="527">
        <f t="shared" si="231"/>
        <v>-262.30016812008517</v>
      </c>
      <c r="AJ146" s="527">
        <f t="shared" si="231"/>
        <v>-262.30016812008523</v>
      </c>
      <c r="AK146" s="527">
        <f t="shared" si="231"/>
        <v>-262.30016812008523</v>
      </c>
      <c r="AL146" s="527">
        <f t="shared" si="231"/>
        <v>-262.30016812008523</v>
      </c>
      <c r="AM146" s="527">
        <f t="shared" si="231"/>
        <v>-262.30016812008523</v>
      </c>
      <c r="AN146" s="527">
        <f t="shared" si="231"/>
        <v>-262.30016812008523</v>
      </c>
      <c r="AO146" s="527">
        <f t="shared" si="231"/>
        <v>-262.30016812008523</v>
      </c>
      <c r="AP146" s="527">
        <f t="shared" si="231"/>
        <v>-265.04617148248684</v>
      </c>
      <c r="AQ146" s="527">
        <f t="shared" si="231"/>
        <v>-265.04617148248684</v>
      </c>
      <c r="AR146" s="527">
        <f t="shared" si="231"/>
        <v>-265.04617148248684</v>
      </c>
      <c r="AS146" s="527">
        <f t="shared" si="231"/>
        <v>-265.04617148248684</v>
      </c>
      <c r="AT146" s="527">
        <f t="shared" si="231"/>
        <v>-265.04617148248684</v>
      </c>
      <c r="AU146" s="527">
        <f t="shared" si="231"/>
        <v>-265.04617148248684</v>
      </c>
      <c r="AV146" s="527">
        <f t="shared" si="231"/>
        <v>-265.04617148248684</v>
      </c>
      <c r="AW146" s="527">
        <f t="shared" si="231"/>
        <v>-265.04617148248684</v>
      </c>
      <c r="AX146" s="527">
        <f t="shared" ref="AX146:BY146" si="232">IFERROR(AX23/AX$19,0)</f>
        <v>-265.04617148248684</v>
      </c>
      <c r="AY146" s="527">
        <f t="shared" si="232"/>
        <v>-265.04617148248684</v>
      </c>
      <c r="AZ146" s="527">
        <f t="shared" si="232"/>
        <v>-265.04617148248684</v>
      </c>
      <c r="BA146" s="527">
        <f t="shared" si="232"/>
        <v>-265.04617148248684</v>
      </c>
      <c r="BB146" s="527">
        <f t="shared" si="232"/>
        <v>-267.84709491213664</v>
      </c>
      <c r="BC146" s="527">
        <f t="shared" si="232"/>
        <v>-267.84709491213664</v>
      </c>
      <c r="BD146" s="527">
        <f t="shared" si="232"/>
        <v>-267.84709491213664</v>
      </c>
      <c r="BE146" s="527">
        <f t="shared" si="232"/>
        <v>-267.84709491213664</v>
      </c>
      <c r="BF146" s="527">
        <f t="shared" si="232"/>
        <v>-267.84709491213664</v>
      </c>
      <c r="BG146" s="527">
        <f t="shared" si="232"/>
        <v>-267.84709491213664</v>
      </c>
      <c r="BH146" s="527">
        <f t="shared" si="232"/>
        <v>-267.84709491213664</v>
      </c>
      <c r="BI146" s="527">
        <f t="shared" si="232"/>
        <v>-267.84709491213664</v>
      </c>
      <c r="BJ146" s="527">
        <f t="shared" si="232"/>
        <v>-267.84709491213664</v>
      </c>
      <c r="BK146" s="527">
        <f t="shared" si="232"/>
        <v>-267.84709491213664</v>
      </c>
      <c r="BL146" s="527">
        <f t="shared" si="232"/>
        <v>-267.84709491213664</v>
      </c>
      <c r="BM146" s="527">
        <f t="shared" si="232"/>
        <v>-267.84709491213664</v>
      </c>
      <c r="BN146" s="527">
        <f t="shared" si="232"/>
        <v>-270.70403681037931</v>
      </c>
      <c r="BO146" s="527">
        <f t="shared" si="232"/>
        <v>-270.70403681037931</v>
      </c>
      <c r="BP146" s="527">
        <f t="shared" si="232"/>
        <v>-270.70403681037931</v>
      </c>
      <c r="BQ146" s="527">
        <f t="shared" si="232"/>
        <v>-270.70403681037931</v>
      </c>
      <c r="BR146" s="527">
        <f t="shared" si="232"/>
        <v>-270.70403681037931</v>
      </c>
      <c r="BS146" s="527">
        <f t="shared" si="232"/>
        <v>-270.70403681037931</v>
      </c>
      <c r="BT146" s="527">
        <f t="shared" si="232"/>
        <v>-270.70403681037936</v>
      </c>
      <c r="BU146" s="527">
        <f t="shared" si="232"/>
        <v>-270.70403681037936</v>
      </c>
      <c r="BV146" s="527">
        <f t="shared" si="232"/>
        <v>-270.70403681037936</v>
      </c>
      <c r="BW146" s="527">
        <f t="shared" si="232"/>
        <v>-270.70403681037936</v>
      </c>
      <c r="BX146" s="527">
        <f t="shared" si="232"/>
        <v>-270.70403681037936</v>
      </c>
      <c r="BY146" s="527">
        <f t="shared" si="232"/>
        <v>-270.70403681037936</v>
      </c>
    </row>
    <row r="147" spans="1:77" x14ac:dyDescent="0.3">
      <c r="A147" s="551"/>
      <c r="B147" s="548"/>
      <c r="C147" s="525"/>
      <c r="D147" s="525"/>
      <c r="E147" s="525" t="s">
        <v>55</v>
      </c>
      <c r="F147" s="567"/>
      <c r="G147" s="567"/>
      <c r="H147" s="567"/>
      <c r="I147" s="527">
        <f t="shared" si="228"/>
        <v>-49.441719723542271</v>
      </c>
      <c r="J147" s="527">
        <f t="shared" si="228"/>
        <v>-50.430554118013127</v>
      </c>
      <c r="K147" s="527">
        <f t="shared" si="228"/>
        <v>-51.439165200373374</v>
      </c>
      <c r="L147" s="527">
        <f t="shared" si="228"/>
        <v>-52.467948504380864</v>
      </c>
      <c r="M147" s="527">
        <f t="shared" si="228"/>
        <v>-53.51730747446846</v>
      </c>
      <c r="N147" s="527">
        <f t="shared" si="228"/>
        <v>-54.587653623957827</v>
      </c>
      <c r="O147" s="529"/>
      <c r="P147" s="562"/>
      <c r="Q147" s="537"/>
      <c r="R147" s="527">
        <f t="shared" ref="R147:AW147" si="233">IFERROR(R24/R$19,0)</f>
        <v>-50.430554118013134</v>
      </c>
      <c r="S147" s="527">
        <f t="shared" si="233"/>
        <v>-50.430554118013134</v>
      </c>
      <c r="T147" s="527">
        <f t="shared" si="233"/>
        <v>-50.430554118013134</v>
      </c>
      <c r="U147" s="527">
        <f t="shared" si="233"/>
        <v>-50.430554118013134</v>
      </c>
      <c r="V147" s="527">
        <f t="shared" si="233"/>
        <v>-50.430554118013134</v>
      </c>
      <c r="W147" s="527">
        <f t="shared" si="233"/>
        <v>-50.430554118013134</v>
      </c>
      <c r="X147" s="527">
        <f t="shared" si="233"/>
        <v>-50.43055411801312</v>
      </c>
      <c r="Y147" s="527">
        <f t="shared" si="233"/>
        <v>-50.43055411801312</v>
      </c>
      <c r="Z147" s="527">
        <f t="shared" si="233"/>
        <v>-50.43055411801312</v>
      </c>
      <c r="AA147" s="527">
        <f t="shared" si="233"/>
        <v>-50.43055411801312</v>
      </c>
      <c r="AB147" s="527">
        <f t="shared" si="233"/>
        <v>-50.43055411801312</v>
      </c>
      <c r="AC147" s="527">
        <f t="shared" si="233"/>
        <v>-50.43055411801312</v>
      </c>
      <c r="AD147" s="527">
        <f t="shared" si="233"/>
        <v>-51.439165200373367</v>
      </c>
      <c r="AE147" s="527">
        <f t="shared" si="233"/>
        <v>-51.439165200373367</v>
      </c>
      <c r="AF147" s="527">
        <f t="shared" si="233"/>
        <v>-51.439165200373367</v>
      </c>
      <c r="AG147" s="527">
        <f t="shared" si="233"/>
        <v>-51.439165200373367</v>
      </c>
      <c r="AH147" s="527">
        <f t="shared" si="233"/>
        <v>-51.439165200373367</v>
      </c>
      <c r="AI147" s="527">
        <f t="shared" si="233"/>
        <v>-51.439165200373367</v>
      </c>
      <c r="AJ147" s="527">
        <f t="shared" si="233"/>
        <v>-51.439165200373374</v>
      </c>
      <c r="AK147" s="527">
        <f t="shared" si="233"/>
        <v>-51.439165200373374</v>
      </c>
      <c r="AL147" s="527">
        <f t="shared" si="233"/>
        <v>-51.439165200373374</v>
      </c>
      <c r="AM147" s="527">
        <f t="shared" si="233"/>
        <v>-51.439165200373374</v>
      </c>
      <c r="AN147" s="527">
        <f t="shared" si="233"/>
        <v>-51.439165200373374</v>
      </c>
      <c r="AO147" s="527">
        <f t="shared" si="233"/>
        <v>-51.439165200373374</v>
      </c>
      <c r="AP147" s="527">
        <f t="shared" si="233"/>
        <v>-52.467948504380857</v>
      </c>
      <c r="AQ147" s="527">
        <f t="shared" si="233"/>
        <v>-52.467948504380857</v>
      </c>
      <c r="AR147" s="527">
        <f t="shared" si="233"/>
        <v>-52.467948504380857</v>
      </c>
      <c r="AS147" s="527">
        <f t="shared" si="233"/>
        <v>-52.467948504380857</v>
      </c>
      <c r="AT147" s="527">
        <f t="shared" si="233"/>
        <v>-52.467948504380857</v>
      </c>
      <c r="AU147" s="527">
        <f t="shared" si="233"/>
        <v>-52.467948504380857</v>
      </c>
      <c r="AV147" s="527">
        <f t="shared" si="233"/>
        <v>-52.46794850438085</v>
      </c>
      <c r="AW147" s="527">
        <f t="shared" si="233"/>
        <v>-52.46794850438085</v>
      </c>
      <c r="AX147" s="527">
        <f t="shared" ref="AX147:BY147" si="234">IFERROR(AX24/AX$19,0)</f>
        <v>-52.46794850438085</v>
      </c>
      <c r="AY147" s="527">
        <f t="shared" si="234"/>
        <v>-52.46794850438085</v>
      </c>
      <c r="AZ147" s="527">
        <f t="shared" si="234"/>
        <v>-52.46794850438085</v>
      </c>
      <c r="BA147" s="527">
        <f t="shared" si="234"/>
        <v>-52.46794850438085</v>
      </c>
      <c r="BB147" s="527">
        <f t="shared" si="234"/>
        <v>-53.517307474468481</v>
      </c>
      <c r="BC147" s="527">
        <f t="shared" si="234"/>
        <v>-53.517307474468481</v>
      </c>
      <c r="BD147" s="527">
        <f t="shared" si="234"/>
        <v>-53.517307474468481</v>
      </c>
      <c r="BE147" s="527">
        <f t="shared" si="234"/>
        <v>-53.517307474468481</v>
      </c>
      <c r="BF147" s="527">
        <f t="shared" si="234"/>
        <v>-53.517307474468481</v>
      </c>
      <c r="BG147" s="527">
        <f t="shared" si="234"/>
        <v>-53.517307474468481</v>
      </c>
      <c r="BH147" s="527">
        <f t="shared" si="234"/>
        <v>-53.517307474468474</v>
      </c>
      <c r="BI147" s="527">
        <f t="shared" si="234"/>
        <v>-53.517307474468474</v>
      </c>
      <c r="BJ147" s="527">
        <f t="shared" si="234"/>
        <v>-53.517307474468474</v>
      </c>
      <c r="BK147" s="527">
        <f t="shared" si="234"/>
        <v>-53.517307474468474</v>
      </c>
      <c r="BL147" s="527">
        <f t="shared" si="234"/>
        <v>-53.517307474468474</v>
      </c>
      <c r="BM147" s="527">
        <f t="shared" si="234"/>
        <v>-53.517307474468474</v>
      </c>
      <c r="BN147" s="527">
        <f t="shared" si="234"/>
        <v>-54.587653623957813</v>
      </c>
      <c r="BO147" s="527">
        <f t="shared" si="234"/>
        <v>-54.587653623957813</v>
      </c>
      <c r="BP147" s="527">
        <f t="shared" si="234"/>
        <v>-54.587653623957813</v>
      </c>
      <c r="BQ147" s="527">
        <f t="shared" si="234"/>
        <v>-54.587653623957813</v>
      </c>
      <c r="BR147" s="527">
        <f t="shared" si="234"/>
        <v>-54.587653623957813</v>
      </c>
      <c r="BS147" s="527">
        <f t="shared" si="234"/>
        <v>-54.587653623957813</v>
      </c>
      <c r="BT147" s="527">
        <f t="shared" si="234"/>
        <v>-54.587653623957834</v>
      </c>
      <c r="BU147" s="527">
        <f t="shared" si="234"/>
        <v>-54.587653623957834</v>
      </c>
      <c r="BV147" s="527">
        <f t="shared" si="234"/>
        <v>-54.587653623957834</v>
      </c>
      <c r="BW147" s="527">
        <f t="shared" si="234"/>
        <v>-54.587653623957834</v>
      </c>
      <c r="BX147" s="527">
        <f t="shared" si="234"/>
        <v>-54.587653623957834</v>
      </c>
      <c r="BY147" s="527">
        <f t="shared" si="234"/>
        <v>-54.587653623957834</v>
      </c>
    </row>
    <row r="148" spans="1:77" x14ac:dyDescent="0.3">
      <c r="A148" s="551"/>
      <c r="B148" s="548"/>
      <c r="C148" s="525"/>
      <c r="D148" s="525"/>
      <c r="E148" s="525" t="s">
        <v>56</v>
      </c>
      <c r="F148" s="567"/>
      <c r="G148" s="567"/>
      <c r="H148" s="567"/>
      <c r="I148" s="527">
        <f t="shared" ref="I148:N148" si="235">IFERROR(I26/I$19,0)</f>
        <v>-129.44888698017468</v>
      </c>
      <c r="J148" s="527">
        <f t="shared" si="235"/>
        <v>-135.23220219961863</v>
      </c>
      <c r="K148" s="527">
        <f t="shared" si="235"/>
        <v>-141.07060244263775</v>
      </c>
      <c r="L148" s="527">
        <f t="shared" si="235"/>
        <v>-146.91784364070472</v>
      </c>
      <c r="M148" s="527">
        <f t="shared" si="235"/>
        <v>-152.73558899155654</v>
      </c>
      <c r="N148" s="527">
        <f t="shared" si="235"/>
        <v>-158.7534130431907</v>
      </c>
      <c r="O148" s="529"/>
      <c r="P148" s="562"/>
      <c r="Q148" s="537"/>
      <c r="R148" s="527">
        <f t="shared" ref="R148:AW148" si="236">IFERROR(R26/R$19,0)</f>
        <v>-135.2322021996186</v>
      </c>
      <c r="S148" s="527">
        <f t="shared" si="236"/>
        <v>-135.2322021996186</v>
      </c>
      <c r="T148" s="527">
        <f t="shared" si="236"/>
        <v>-135.2322021996186</v>
      </c>
      <c r="U148" s="527">
        <f t="shared" si="236"/>
        <v>-135.2322021996186</v>
      </c>
      <c r="V148" s="527">
        <f t="shared" si="236"/>
        <v>-135.2322021996186</v>
      </c>
      <c r="W148" s="527">
        <f t="shared" si="236"/>
        <v>-135.2322021996186</v>
      </c>
      <c r="X148" s="527">
        <f t="shared" si="236"/>
        <v>-135.23220219961857</v>
      </c>
      <c r="Y148" s="527">
        <f t="shared" si="236"/>
        <v>-135.23220219961857</v>
      </c>
      <c r="Z148" s="527">
        <f t="shared" si="236"/>
        <v>-135.23220219961857</v>
      </c>
      <c r="AA148" s="527">
        <f t="shared" si="236"/>
        <v>-135.23220219961857</v>
      </c>
      <c r="AB148" s="527">
        <f t="shared" si="236"/>
        <v>-135.23220219961857</v>
      </c>
      <c r="AC148" s="527">
        <f t="shared" si="236"/>
        <v>-135.23220219961857</v>
      </c>
      <c r="AD148" s="527">
        <f t="shared" si="236"/>
        <v>-141.07060244263778</v>
      </c>
      <c r="AE148" s="527">
        <f t="shared" si="236"/>
        <v>-141.07060244263778</v>
      </c>
      <c r="AF148" s="527">
        <f t="shared" si="236"/>
        <v>-141.07060244263778</v>
      </c>
      <c r="AG148" s="527">
        <f t="shared" si="236"/>
        <v>-141.07060244263778</v>
      </c>
      <c r="AH148" s="527">
        <f t="shared" si="236"/>
        <v>-141.07060244263778</v>
      </c>
      <c r="AI148" s="527">
        <f t="shared" si="236"/>
        <v>-141.07060244263778</v>
      </c>
      <c r="AJ148" s="527">
        <f t="shared" si="236"/>
        <v>-141.07060244263781</v>
      </c>
      <c r="AK148" s="527">
        <f t="shared" si="236"/>
        <v>-141.07060244263781</v>
      </c>
      <c r="AL148" s="527">
        <f t="shared" si="236"/>
        <v>-141.07060244263781</v>
      </c>
      <c r="AM148" s="527">
        <f t="shared" si="236"/>
        <v>-141.07060244263781</v>
      </c>
      <c r="AN148" s="527">
        <f t="shared" si="236"/>
        <v>-141.07060244263781</v>
      </c>
      <c r="AO148" s="527">
        <f t="shared" si="236"/>
        <v>-141.07060244263781</v>
      </c>
      <c r="AP148" s="527">
        <f t="shared" si="236"/>
        <v>-146.91784364070469</v>
      </c>
      <c r="AQ148" s="527">
        <f t="shared" si="236"/>
        <v>-146.91784364070469</v>
      </c>
      <c r="AR148" s="527">
        <f t="shared" si="236"/>
        <v>-146.91784364070469</v>
      </c>
      <c r="AS148" s="527">
        <f t="shared" si="236"/>
        <v>-146.91784364070469</v>
      </c>
      <c r="AT148" s="527">
        <f t="shared" si="236"/>
        <v>-146.91784364070469</v>
      </c>
      <c r="AU148" s="527">
        <f t="shared" si="236"/>
        <v>-146.91784364070469</v>
      </c>
      <c r="AV148" s="527">
        <f t="shared" si="236"/>
        <v>-146.91784364070472</v>
      </c>
      <c r="AW148" s="527">
        <f t="shared" si="236"/>
        <v>-146.91784364070472</v>
      </c>
      <c r="AX148" s="527">
        <f t="shared" ref="AX148:BY148" si="237">IFERROR(AX26/AX$19,0)</f>
        <v>-146.91784364070472</v>
      </c>
      <c r="AY148" s="527">
        <f t="shared" si="237"/>
        <v>-146.91784364070472</v>
      </c>
      <c r="AZ148" s="527">
        <f t="shared" si="237"/>
        <v>-146.91784364070472</v>
      </c>
      <c r="BA148" s="527">
        <f t="shared" si="237"/>
        <v>-146.91784364070472</v>
      </c>
      <c r="BB148" s="527">
        <f t="shared" si="237"/>
        <v>-152.73558899155657</v>
      </c>
      <c r="BC148" s="527">
        <f t="shared" si="237"/>
        <v>-152.73558899155657</v>
      </c>
      <c r="BD148" s="527">
        <f t="shared" si="237"/>
        <v>-152.73558899155657</v>
      </c>
      <c r="BE148" s="527">
        <f t="shared" si="237"/>
        <v>-152.73558899155657</v>
      </c>
      <c r="BF148" s="527">
        <f t="shared" si="237"/>
        <v>-152.73558899155657</v>
      </c>
      <c r="BG148" s="527">
        <f t="shared" si="237"/>
        <v>-152.73558899155657</v>
      </c>
      <c r="BH148" s="527">
        <f t="shared" si="237"/>
        <v>-152.73558899155657</v>
      </c>
      <c r="BI148" s="527">
        <f t="shared" si="237"/>
        <v>-152.73558899155657</v>
      </c>
      <c r="BJ148" s="527">
        <f t="shared" si="237"/>
        <v>-152.73558899155657</v>
      </c>
      <c r="BK148" s="527">
        <f t="shared" si="237"/>
        <v>-152.73558899155657</v>
      </c>
      <c r="BL148" s="527">
        <f t="shared" si="237"/>
        <v>-152.73558899155657</v>
      </c>
      <c r="BM148" s="527">
        <f t="shared" si="237"/>
        <v>-152.73558899155657</v>
      </c>
      <c r="BN148" s="527">
        <f t="shared" si="237"/>
        <v>-158.75341304319065</v>
      </c>
      <c r="BO148" s="527">
        <f t="shared" si="237"/>
        <v>-158.75341304319065</v>
      </c>
      <c r="BP148" s="527">
        <f t="shared" si="237"/>
        <v>-158.75341304319065</v>
      </c>
      <c r="BQ148" s="527">
        <f t="shared" si="237"/>
        <v>-158.75341304319065</v>
      </c>
      <c r="BR148" s="527">
        <f t="shared" si="237"/>
        <v>-158.75341304319065</v>
      </c>
      <c r="BS148" s="527">
        <f t="shared" si="237"/>
        <v>-158.75341304319065</v>
      </c>
      <c r="BT148" s="527">
        <f t="shared" si="237"/>
        <v>-158.7534130431907</v>
      </c>
      <c r="BU148" s="527">
        <f t="shared" si="237"/>
        <v>-158.7534130431907</v>
      </c>
      <c r="BV148" s="527">
        <f t="shared" si="237"/>
        <v>-158.7534130431907</v>
      </c>
      <c r="BW148" s="527">
        <f t="shared" si="237"/>
        <v>-158.7534130431907</v>
      </c>
      <c r="BX148" s="527">
        <f t="shared" si="237"/>
        <v>-158.7534130431907</v>
      </c>
      <c r="BY148" s="527">
        <f t="shared" si="237"/>
        <v>-158.7534130431907</v>
      </c>
    </row>
    <row r="149" spans="1:77" x14ac:dyDescent="0.3">
      <c r="A149" s="551"/>
      <c r="B149" s="548"/>
      <c r="C149" s="525"/>
      <c r="D149" s="525"/>
      <c r="E149" s="566"/>
      <c r="F149" s="581"/>
      <c r="G149" s="581"/>
      <c r="H149" s="581"/>
      <c r="I149" s="536"/>
      <c r="J149" s="536"/>
      <c r="K149" s="536"/>
      <c r="L149" s="536"/>
      <c r="M149" s="536"/>
      <c r="N149" s="536"/>
      <c r="O149" s="536"/>
      <c r="P149" s="582"/>
      <c r="Q149" s="537"/>
      <c r="R149" s="536"/>
      <c r="S149" s="536"/>
      <c r="T149" s="536"/>
      <c r="U149" s="536"/>
      <c r="V149" s="536"/>
      <c r="W149" s="536"/>
      <c r="X149" s="536"/>
      <c r="Y149" s="536"/>
      <c r="Z149" s="536"/>
      <c r="AA149" s="536"/>
      <c r="AB149" s="536"/>
      <c r="AC149" s="536"/>
      <c r="AD149" s="536"/>
      <c r="AE149" s="536"/>
      <c r="AF149" s="536"/>
      <c r="AG149" s="536"/>
      <c r="AH149" s="536"/>
      <c r="AI149" s="536"/>
      <c r="AJ149" s="536"/>
      <c r="AK149" s="536"/>
      <c r="AL149" s="536"/>
      <c r="AM149" s="536"/>
      <c r="AN149" s="536"/>
      <c r="AO149" s="536"/>
      <c r="AP149" s="536"/>
      <c r="AQ149" s="536"/>
      <c r="AR149" s="536"/>
      <c r="AS149" s="536"/>
      <c r="AT149" s="536"/>
      <c r="AU149" s="536"/>
      <c r="AV149" s="536"/>
      <c r="AW149" s="536"/>
      <c r="AX149" s="536"/>
      <c r="AY149" s="536"/>
      <c r="AZ149" s="536"/>
      <c r="BA149" s="536"/>
      <c r="BB149" s="536"/>
      <c r="BC149" s="536"/>
      <c r="BD149" s="536"/>
      <c r="BE149" s="536"/>
      <c r="BF149" s="536"/>
      <c r="BG149" s="536"/>
      <c r="BH149" s="536"/>
      <c r="BI149" s="536"/>
      <c r="BJ149" s="536"/>
      <c r="BK149" s="536"/>
      <c r="BL149" s="536"/>
      <c r="BM149" s="536"/>
      <c r="BN149" s="536"/>
      <c r="BO149" s="536"/>
      <c r="BP149" s="536"/>
      <c r="BQ149" s="536"/>
      <c r="BR149" s="536"/>
      <c r="BS149" s="536"/>
      <c r="BT149" s="536"/>
      <c r="BU149" s="536"/>
      <c r="BV149" s="536"/>
      <c r="BW149" s="536"/>
      <c r="BX149" s="536"/>
      <c r="BY149" s="536"/>
    </row>
    <row r="150" spans="1:77" x14ac:dyDescent="0.3">
      <c r="A150" s="551"/>
      <c r="B150" s="548"/>
      <c r="C150" s="525"/>
      <c r="D150" s="525"/>
      <c r="E150" s="566"/>
      <c r="F150" s="581"/>
      <c r="G150" s="581"/>
      <c r="H150" s="581"/>
      <c r="I150" s="536"/>
      <c r="J150" s="536"/>
      <c r="K150" s="536"/>
      <c r="L150" s="536"/>
      <c r="M150" s="536"/>
      <c r="N150" s="536"/>
      <c r="O150" s="536"/>
      <c r="P150" s="582"/>
      <c r="Q150" s="537"/>
      <c r="R150" s="536"/>
      <c r="S150" s="536"/>
      <c r="T150" s="536"/>
      <c r="U150" s="536"/>
      <c r="V150" s="536"/>
      <c r="W150" s="536"/>
      <c r="X150" s="536"/>
      <c r="Y150" s="536"/>
      <c r="Z150" s="536"/>
      <c r="AA150" s="536"/>
      <c r="AB150" s="536"/>
      <c r="AC150" s="536"/>
      <c r="AD150" s="536"/>
      <c r="AE150" s="536"/>
      <c r="AF150" s="536"/>
      <c r="AG150" s="536"/>
      <c r="AH150" s="536"/>
      <c r="AI150" s="536"/>
      <c r="AJ150" s="536"/>
      <c r="AK150" s="536"/>
      <c r="AL150" s="536"/>
      <c r="AM150" s="536"/>
      <c r="AN150" s="536"/>
      <c r="AO150" s="536"/>
      <c r="AP150" s="536"/>
      <c r="AQ150" s="536"/>
      <c r="AR150" s="536"/>
      <c r="AS150" s="536"/>
      <c r="AT150" s="536"/>
      <c r="AU150" s="536"/>
      <c r="AV150" s="536"/>
      <c r="AW150" s="536"/>
      <c r="AX150" s="536"/>
      <c r="AY150" s="536"/>
      <c r="AZ150" s="536"/>
      <c r="BA150" s="536"/>
      <c r="BB150" s="536"/>
      <c r="BC150" s="536"/>
      <c r="BD150" s="536"/>
      <c r="BE150" s="536"/>
      <c r="BF150" s="536"/>
      <c r="BG150" s="536"/>
      <c r="BH150" s="536"/>
      <c r="BI150" s="536"/>
      <c r="BJ150" s="536"/>
      <c r="BK150" s="536"/>
      <c r="BL150" s="536"/>
      <c r="BM150" s="536"/>
      <c r="BN150" s="536"/>
      <c r="BO150" s="536"/>
      <c r="BP150" s="536"/>
      <c r="BQ150" s="536"/>
      <c r="BR150" s="536"/>
      <c r="BS150" s="536"/>
      <c r="BT150" s="536"/>
      <c r="BU150" s="536"/>
      <c r="BV150" s="536"/>
      <c r="BW150" s="536"/>
      <c r="BX150" s="536"/>
      <c r="BY150" s="536"/>
    </row>
    <row r="151" spans="1:77" x14ac:dyDescent="0.3">
      <c r="A151" s="551"/>
      <c r="B151" s="548"/>
      <c r="C151" s="560" t="s">
        <v>37</v>
      </c>
      <c r="D151" s="561"/>
      <c r="E151" s="526" t="s">
        <v>72</v>
      </c>
      <c r="F151" s="526"/>
      <c r="G151" s="526"/>
      <c r="H151" s="526"/>
      <c r="I151" s="526"/>
      <c r="J151" s="526"/>
      <c r="K151" s="526"/>
      <c r="L151" s="526"/>
      <c r="M151" s="526"/>
      <c r="N151" s="526"/>
      <c r="O151" s="526"/>
      <c r="P151" s="560"/>
      <c r="Q151" s="526"/>
      <c r="R151" s="526"/>
      <c r="S151" s="526"/>
      <c r="T151" s="526"/>
      <c r="U151" s="526"/>
      <c r="V151" s="526"/>
      <c r="W151" s="526"/>
      <c r="X151" s="526"/>
      <c r="Y151" s="526"/>
      <c r="Z151" s="526"/>
      <c r="AA151" s="526"/>
      <c r="AB151" s="526"/>
      <c r="AC151" s="526"/>
      <c r="AD151" s="526"/>
      <c r="AE151" s="526"/>
      <c r="AF151" s="526"/>
      <c r="AG151" s="526"/>
      <c r="AH151" s="526"/>
      <c r="AI151" s="526"/>
      <c r="AJ151" s="526"/>
      <c r="AK151" s="526"/>
      <c r="AL151" s="526"/>
      <c r="AM151" s="526"/>
      <c r="AN151" s="526"/>
      <c r="AO151" s="526"/>
      <c r="AP151" s="526"/>
      <c r="AQ151" s="526"/>
      <c r="AR151" s="526"/>
      <c r="AS151" s="526"/>
      <c r="AT151" s="526"/>
      <c r="AU151" s="526"/>
      <c r="AV151" s="526"/>
      <c r="AW151" s="526"/>
      <c r="AX151" s="526"/>
      <c r="AY151" s="526"/>
      <c r="AZ151" s="526"/>
      <c r="BA151" s="526"/>
      <c r="BB151" s="526"/>
      <c r="BC151" s="526"/>
      <c r="BD151" s="526"/>
      <c r="BE151" s="526"/>
      <c r="BF151" s="526"/>
      <c r="BG151" s="526"/>
      <c r="BH151" s="526"/>
      <c r="BI151" s="526"/>
      <c r="BJ151" s="526"/>
      <c r="BK151" s="526"/>
      <c r="BL151" s="526"/>
      <c r="BM151" s="526"/>
      <c r="BN151" s="526"/>
      <c r="BO151" s="526"/>
      <c r="BP151" s="526"/>
      <c r="BQ151" s="526"/>
      <c r="BR151" s="526"/>
      <c r="BS151" s="526"/>
      <c r="BT151" s="526"/>
      <c r="BU151" s="526"/>
      <c r="BV151" s="526"/>
      <c r="BW151" s="526"/>
      <c r="BX151" s="526"/>
      <c r="BY151" s="526"/>
    </row>
    <row r="152" spans="1:77" x14ac:dyDescent="0.3">
      <c r="A152" s="551"/>
      <c r="B152" s="548"/>
      <c r="C152" s="525"/>
      <c r="D152" s="525"/>
      <c r="E152" s="525"/>
      <c r="F152" s="525"/>
      <c r="G152" s="525"/>
      <c r="H152" s="525"/>
      <c r="I152" s="525"/>
      <c r="J152" s="525"/>
      <c r="K152" s="525"/>
      <c r="L152" s="525"/>
      <c r="M152" s="525"/>
      <c r="N152" s="525"/>
      <c r="O152" s="525"/>
      <c r="P152" s="565"/>
      <c r="Q152" s="525"/>
      <c r="R152" s="525"/>
      <c r="S152" s="525"/>
      <c r="T152" s="525"/>
      <c r="U152" s="525"/>
      <c r="V152" s="525"/>
      <c r="W152" s="525"/>
      <c r="X152" s="525"/>
      <c r="Y152" s="525"/>
      <c r="Z152" s="525"/>
      <c r="AA152" s="525"/>
      <c r="AB152" s="525"/>
      <c r="AC152" s="525"/>
      <c r="AD152" s="525"/>
      <c r="AE152" s="525"/>
      <c r="AF152" s="525"/>
      <c r="AG152" s="525"/>
      <c r="AH152" s="525"/>
      <c r="AI152" s="525"/>
      <c r="AJ152" s="525"/>
      <c r="AK152" s="525"/>
      <c r="AL152" s="525"/>
      <c r="AM152" s="525"/>
      <c r="AN152" s="525"/>
      <c r="AO152" s="525"/>
      <c r="AP152" s="525"/>
      <c r="AQ152" s="525"/>
      <c r="AR152" s="525"/>
      <c r="AS152" s="525"/>
      <c r="AT152" s="525"/>
      <c r="AU152" s="525"/>
      <c r="AV152" s="525"/>
      <c r="AW152" s="525"/>
      <c r="AX152" s="525"/>
      <c r="AY152" s="525"/>
      <c r="AZ152" s="525"/>
      <c r="BA152" s="525"/>
      <c r="BB152" s="525"/>
      <c r="BC152" s="525"/>
      <c r="BD152" s="525"/>
      <c r="BE152" s="525"/>
      <c r="BF152" s="525"/>
      <c r="BG152" s="525"/>
      <c r="BH152" s="525"/>
      <c r="BI152" s="525"/>
      <c r="BJ152" s="525"/>
      <c r="BK152" s="525"/>
      <c r="BL152" s="525"/>
      <c r="BM152" s="525"/>
      <c r="BN152" s="525"/>
      <c r="BO152" s="525"/>
      <c r="BP152" s="525"/>
      <c r="BQ152" s="525"/>
      <c r="BR152" s="525"/>
      <c r="BS152" s="525"/>
      <c r="BT152" s="525"/>
      <c r="BU152" s="525"/>
      <c r="BV152" s="525"/>
      <c r="BW152" s="525"/>
      <c r="BX152" s="525"/>
      <c r="BY152" s="525"/>
    </row>
    <row r="153" spans="1:77" x14ac:dyDescent="0.3">
      <c r="A153" s="551"/>
      <c r="B153" s="548"/>
      <c r="C153" s="525"/>
      <c r="D153" s="525"/>
      <c r="E153" s="525"/>
      <c r="F153" s="525"/>
      <c r="G153" s="525"/>
      <c r="H153" s="525"/>
      <c r="I153" s="525"/>
      <c r="J153" s="525"/>
      <c r="K153" s="525"/>
      <c r="L153" s="525"/>
      <c r="M153" s="525"/>
      <c r="N153" s="525"/>
      <c r="O153" s="525"/>
      <c r="P153" s="565"/>
      <c r="Q153" s="525"/>
      <c r="R153" s="583" t="s">
        <v>74</v>
      </c>
      <c r="S153" s="583"/>
      <c r="T153" s="583"/>
      <c r="U153" s="583"/>
      <c r="V153" s="583"/>
      <c r="W153" s="583"/>
      <c r="X153" s="525"/>
      <c r="Y153" s="583" t="s">
        <v>75</v>
      </c>
      <c r="Z153" s="583"/>
      <c r="AA153" s="583"/>
      <c r="AB153" s="583"/>
      <c r="AC153" s="583"/>
      <c r="AD153" s="525"/>
      <c r="AE153" s="583" t="s">
        <v>76</v>
      </c>
      <c r="AF153" s="583"/>
      <c r="AG153" s="525"/>
      <c r="AH153" s="525"/>
      <c r="AI153" s="525"/>
      <c r="AJ153" s="525"/>
      <c r="AK153" s="525"/>
      <c r="AL153" s="525"/>
      <c r="AM153" s="525"/>
      <c r="AN153" s="525"/>
      <c r="AO153" s="525"/>
      <c r="AP153" s="525"/>
      <c r="AQ153" s="525"/>
      <c r="AR153" s="525"/>
      <c r="AS153" s="525"/>
      <c r="AT153" s="525"/>
      <c r="AU153" s="525"/>
      <c r="AV153" s="525"/>
      <c r="AW153" s="525"/>
      <c r="AX153" s="525"/>
      <c r="AY153" s="525"/>
      <c r="AZ153" s="525"/>
      <c r="BA153" s="525"/>
      <c r="BB153" s="525"/>
      <c r="BC153" s="525"/>
      <c r="BD153" s="525"/>
      <c r="BE153" s="525"/>
      <c r="BF153" s="525"/>
      <c r="BG153" s="525"/>
      <c r="BH153" s="525"/>
      <c r="BI153" s="525"/>
      <c r="BJ153" s="525"/>
      <c r="BK153" s="525"/>
      <c r="BL153" s="525"/>
      <c r="BM153" s="525"/>
      <c r="BN153" s="525"/>
      <c r="BO153" s="525"/>
      <c r="BP153" s="525"/>
      <c r="BQ153" s="525"/>
      <c r="BR153" s="525"/>
      <c r="BS153" s="525"/>
      <c r="BT153" s="525"/>
      <c r="BU153" s="525"/>
      <c r="BV153" s="525"/>
      <c r="BW153" s="525"/>
      <c r="BX153" s="525"/>
      <c r="BY153" s="525"/>
    </row>
    <row r="154" spans="1:77" x14ac:dyDescent="0.3">
      <c r="A154" s="551"/>
      <c r="B154" s="548"/>
      <c r="C154" s="525"/>
      <c r="D154" s="525"/>
      <c r="E154" s="538"/>
      <c r="F154" s="538"/>
      <c r="G154" s="538"/>
      <c r="H154" s="538"/>
      <c r="I154" s="538"/>
      <c r="J154" s="538"/>
      <c r="K154" s="538"/>
      <c r="L154" s="538"/>
      <c r="M154" s="538"/>
      <c r="N154" s="538"/>
      <c r="O154" s="538"/>
      <c r="P154" s="584" t="s">
        <v>275</v>
      </c>
      <c r="Q154" s="584" t="str">
        <f>"Share of "&amp;B3</f>
        <v>Share of Portfolio</v>
      </c>
      <c r="R154" s="585" t="s">
        <v>77</v>
      </c>
      <c r="S154" s="585" t="s">
        <v>78</v>
      </c>
      <c r="T154" s="585" t="s">
        <v>79</v>
      </c>
      <c r="U154" s="585" t="s">
        <v>80</v>
      </c>
      <c r="V154" s="585" t="s">
        <v>81</v>
      </c>
      <c r="W154" s="585" t="s">
        <v>82</v>
      </c>
      <c r="X154" s="525"/>
      <c r="Y154" s="586">
        <v>1</v>
      </c>
      <c r="Z154" s="586">
        <v>2</v>
      </c>
      <c r="AA154" s="586">
        <v>3</v>
      </c>
      <c r="AB154" s="586">
        <v>4</v>
      </c>
      <c r="AC154" s="586">
        <v>5</v>
      </c>
      <c r="AD154" s="525"/>
      <c r="AE154" s="585" t="s">
        <v>83</v>
      </c>
      <c r="AF154" s="585" t="s">
        <v>84</v>
      </c>
      <c r="AG154" s="525"/>
      <c r="AH154" s="587" t="s">
        <v>85</v>
      </c>
      <c r="AI154" s="587" t="s">
        <v>86</v>
      </c>
      <c r="AJ154" s="587" t="s">
        <v>87</v>
      </c>
      <c r="AK154" s="587" t="s">
        <v>88</v>
      </c>
      <c r="AL154" s="587" t="s">
        <v>89</v>
      </c>
      <c r="AM154" s="537"/>
      <c r="AN154" s="537"/>
      <c r="AO154" s="537"/>
      <c r="AP154" s="537"/>
      <c r="AQ154" s="537"/>
      <c r="AR154" s="537"/>
      <c r="AS154" s="537"/>
      <c r="AT154" s="537"/>
      <c r="AU154" s="537"/>
      <c r="AV154" s="537"/>
      <c r="AW154" s="537"/>
      <c r="AX154" s="537"/>
      <c r="AY154" s="537"/>
      <c r="AZ154" s="537"/>
      <c r="BA154" s="537"/>
      <c r="BB154" s="537"/>
      <c r="BC154" s="537"/>
      <c r="BD154" s="537"/>
      <c r="BE154" s="537"/>
      <c r="BF154" s="537"/>
      <c r="BG154" s="537"/>
      <c r="BH154" s="537"/>
      <c r="BI154" s="537"/>
      <c r="BJ154" s="537"/>
      <c r="BK154" s="537"/>
      <c r="BL154" s="537"/>
      <c r="BM154" s="537"/>
      <c r="BN154" s="537"/>
      <c r="BO154" s="537"/>
      <c r="BP154" s="537"/>
      <c r="BQ154" s="537"/>
      <c r="BR154" s="537"/>
      <c r="BS154" s="537"/>
      <c r="BT154" s="537"/>
      <c r="BU154" s="537"/>
      <c r="BV154" s="537"/>
      <c r="BW154" s="537"/>
      <c r="BX154" s="537"/>
      <c r="BY154" s="537"/>
    </row>
    <row r="155" spans="1:77" x14ac:dyDescent="0.3">
      <c r="A155" s="551"/>
      <c r="B155" s="548"/>
      <c r="C155" s="525"/>
      <c r="D155" s="525"/>
      <c r="E155" s="588" t="str">
        <f>"FY"&amp;VALUE(MID(P155,3,2))&amp;" Tranche"</f>
        <v>FY27 Tranche</v>
      </c>
      <c r="F155" s="525"/>
      <c r="G155" s="525"/>
      <c r="H155" s="525"/>
      <c r="I155" s="525"/>
      <c r="J155" s="525"/>
      <c r="K155" s="525"/>
      <c r="L155" s="525"/>
      <c r="M155" s="525"/>
      <c r="N155" s="525"/>
      <c r="O155" s="525"/>
      <c r="P155" s="589" t="str">
        <f t="shared" ref="P155:P160" si="238">IFERROR(INDEX($R$2:$BY$2,MATCH($T155,$R$4:$BY$4,0)),0)</f>
        <v>FY27E</v>
      </c>
      <c r="Q155" s="576">
        <f>$I$9/INDEX(Portfolio_Categorisation!$E$19:$E$19,MATCH($B$3,Portfolio_Categorisation!$C$19:$C$19,0))</f>
        <v>0.37337662337662336</v>
      </c>
      <c r="R155" s="590">
        <f>IFERROR(ROUND(INDEX('Detailed Assumptions'!$F$94:$J$94,MATCH($B$3,'Detailed Assumptions'!$D$94:$D$94,0),MATCH(P155,'Detailed Assumptions'!$F$93:$J$93,0))*Q155,0),0)</f>
        <v>16</v>
      </c>
      <c r="S155" s="542">
        <f>IFERROR('Detailed Assumptions'!$E$88*INDEX(Inflation_Curves!$R$6:$BY$6,MATCH($T155,Inflation_Curves!$R$4:$BY$4,0)),0)</f>
        <v>40408.351859838287</v>
      </c>
      <c r="T155" s="591">
        <f>'Detailed Assumptions'!$E$87</f>
        <v>46446</v>
      </c>
      <c r="U155" s="592">
        <f>'Detailed Assumptions'!E86</f>
        <v>1</v>
      </c>
      <c r="V155" s="554">
        <f t="shared" ref="V155:V160" si="239">EOMONTH(T155,U155)</f>
        <v>46477</v>
      </c>
      <c r="W155" s="527">
        <f t="shared" ref="W155:W160" si="240">S155/U155</f>
        <v>40408.351859838287</v>
      </c>
      <c r="X155" s="525"/>
      <c r="Y155" s="593">
        <f>IFERROR(('Detailed Assumptions'!$E$85*R155*S155)/R170,0)</f>
        <v>0.18311155509869914</v>
      </c>
      <c r="Z155" s="593" cm="1">
        <f t="array" ref="Z155">'Detailed Assumptions'!$E$6*INDEX('Detailed Assumptions'!$E$91:$J$91,0,MATCH(Z$154,'Detailed Assumptions'!$E$90:$J$90,0))</f>
        <v>0.04</v>
      </c>
      <c r="AA155" s="593" cm="1">
        <f t="array" ref="AA155">'Detailed Assumptions'!$E$6*INDEX('Detailed Assumptions'!$E$91:$J$91,0,MATCH(AA$154,'Detailed Assumptions'!$E$90:$J$90,0))</f>
        <v>0.04</v>
      </c>
      <c r="AB155" s="593" cm="1">
        <f t="array" ref="AB155">'Detailed Assumptions'!$E$6*INDEX('Detailed Assumptions'!$E$91:$J$91,0,MATCH(AB$154,'Detailed Assumptions'!$E$90:$J$90,0))</f>
        <v>0.04</v>
      </c>
      <c r="AC155" s="593" cm="1">
        <f t="array" ref="AC155">'Detailed Assumptions'!$E$6*INDEX('Detailed Assumptions'!$E$91:$J$91,0,MATCH(AC$154,'Detailed Assumptions'!$E$90:$J$90,0))</f>
        <v>0.04</v>
      </c>
      <c r="AD155" s="525"/>
      <c r="AE155" s="593">
        <f>'Detailed Assumptions'!$E$101</f>
        <v>0.55000000000000004</v>
      </c>
      <c r="AF155" s="594">
        <f t="shared" ref="AF155:AF160" si="241">1-AE155</f>
        <v>0.44999999999999996</v>
      </c>
      <c r="AG155" s="525"/>
      <c r="AH155" s="595">
        <f t="shared" ref="AH155:AH160" si="242">EOMONTH(V155,12)</f>
        <v>46843</v>
      </c>
      <c r="AI155" s="595">
        <f t="shared" ref="AI155:AL160" si="243">EOMONTH(AH155,12)</f>
        <v>47208</v>
      </c>
      <c r="AJ155" s="595">
        <f t="shared" si="243"/>
        <v>47573</v>
      </c>
      <c r="AK155" s="595">
        <f t="shared" si="243"/>
        <v>47938</v>
      </c>
      <c r="AL155" s="595">
        <f t="shared" si="243"/>
        <v>48304</v>
      </c>
      <c r="AM155" s="537"/>
      <c r="AN155" s="537"/>
      <c r="AO155" s="537"/>
      <c r="AP155" s="537"/>
      <c r="AQ155" s="537"/>
      <c r="AR155" s="537"/>
      <c r="AS155" s="537"/>
      <c r="AT155" s="537"/>
      <c r="AU155" s="537"/>
      <c r="AV155" s="537"/>
      <c r="AW155" s="537"/>
      <c r="AX155" s="537"/>
      <c r="AY155" s="537"/>
      <c r="AZ155" s="537"/>
      <c r="BA155" s="537"/>
      <c r="BB155" s="537"/>
      <c r="BC155" s="537"/>
      <c r="BD155" s="537"/>
      <c r="BE155" s="537"/>
      <c r="BF155" s="537"/>
      <c r="BG155" s="537"/>
      <c r="BH155" s="537"/>
      <c r="BI155" s="537"/>
      <c r="BJ155" s="537"/>
      <c r="BK155" s="537"/>
      <c r="BL155" s="537"/>
      <c r="BM155" s="537"/>
      <c r="BN155" s="537"/>
      <c r="BO155" s="537"/>
      <c r="BP155" s="537"/>
      <c r="BQ155" s="537"/>
      <c r="BR155" s="537"/>
      <c r="BS155" s="537"/>
      <c r="BT155" s="537"/>
      <c r="BU155" s="537"/>
      <c r="BV155" s="537"/>
      <c r="BW155" s="537"/>
      <c r="BX155" s="537"/>
      <c r="BY155" s="537"/>
    </row>
    <row r="156" spans="1:77" x14ac:dyDescent="0.3">
      <c r="A156" s="551"/>
      <c r="B156" s="548"/>
      <c r="C156" s="525"/>
      <c r="D156" s="525"/>
      <c r="E156" s="588" t="str">
        <f>"FY"&amp;VALUE(MID(P156,3,2))&amp;" Tranche"</f>
        <v>FY28 Tranche</v>
      </c>
      <c r="F156" s="525"/>
      <c r="G156" s="525"/>
      <c r="H156" s="525"/>
      <c r="I156" s="525"/>
      <c r="J156" s="525"/>
      <c r="K156" s="525"/>
      <c r="L156" s="525"/>
      <c r="M156" s="525"/>
      <c r="N156" s="525"/>
      <c r="O156" s="525"/>
      <c r="P156" s="589" t="str">
        <f t="shared" si="238"/>
        <v>FY28E</v>
      </c>
      <c r="Q156" s="576">
        <f>$I$9/INDEX(Portfolio_Categorisation!$E$19:$E$19,MATCH($B$3,Portfolio_Categorisation!$C$19:$C$19,0))</f>
        <v>0.37337662337662336</v>
      </c>
      <c r="R156" s="590">
        <f>IFERROR(ROUND(INDEX('Detailed Assumptions'!$F$94:$J$94,MATCH($B$3,'Detailed Assumptions'!$D$94:$D$94,0),MATCH(P156,'Detailed Assumptions'!$F$93:$J$93,0))*Q156,0),0)</f>
        <v>16</v>
      </c>
      <c r="S156" s="542">
        <f>IFERROR('Detailed Assumptions'!$E$88*INDEX(Inflation_Curves!$R$6:$BY$6,MATCH($T156,Inflation_Curves!$R$4:$BY$4,0)),0)</f>
        <v>41380.164650977858</v>
      </c>
      <c r="T156" s="596">
        <f>EOMONTH(T155,12)</f>
        <v>46812</v>
      </c>
      <c r="U156" s="597">
        <f>U$155</f>
        <v>1</v>
      </c>
      <c r="V156" s="554">
        <f t="shared" si="239"/>
        <v>46843</v>
      </c>
      <c r="W156" s="527">
        <f t="shared" si="240"/>
        <v>41380.164650977858</v>
      </c>
      <c r="X156" s="525"/>
      <c r="Y156" s="593">
        <f>IFERROR(('Detailed Assumptions'!$E$85*R156*S156)/R171,0)</f>
        <v>0.18039211303502461</v>
      </c>
      <c r="Z156" s="594">
        <f t="shared" ref="Z156:AC160" si="244">Z$155</f>
        <v>0.04</v>
      </c>
      <c r="AA156" s="594">
        <f t="shared" si="244"/>
        <v>0.04</v>
      </c>
      <c r="AB156" s="594">
        <f t="shared" si="244"/>
        <v>0.04</v>
      </c>
      <c r="AC156" s="594">
        <f t="shared" si="244"/>
        <v>0.04</v>
      </c>
      <c r="AD156" s="525"/>
      <c r="AE156" s="594">
        <f>AE$155</f>
        <v>0.55000000000000004</v>
      </c>
      <c r="AF156" s="594">
        <f t="shared" si="241"/>
        <v>0.44999999999999996</v>
      </c>
      <c r="AG156" s="525"/>
      <c r="AH156" s="595">
        <f t="shared" si="242"/>
        <v>47208</v>
      </c>
      <c r="AI156" s="595">
        <f t="shared" si="243"/>
        <v>47573</v>
      </c>
      <c r="AJ156" s="595">
        <f t="shared" si="243"/>
        <v>47938</v>
      </c>
      <c r="AK156" s="595">
        <f t="shared" si="243"/>
        <v>48304</v>
      </c>
      <c r="AL156" s="595">
        <f t="shared" si="243"/>
        <v>48669</v>
      </c>
      <c r="AM156" s="537"/>
      <c r="AN156" s="537"/>
      <c r="AO156" s="537"/>
      <c r="AP156" s="537"/>
      <c r="AQ156" s="537"/>
      <c r="AR156" s="537"/>
      <c r="AS156" s="537"/>
      <c r="AT156" s="537"/>
      <c r="AU156" s="537"/>
      <c r="AV156" s="537"/>
      <c r="AW156" s="537"/>
      <c r="AX156" s="537"/>
      <c r="AY156" s="537"/>
      <c r="AZ156" s="537"/>
      <c r="BA156" s="537"/>
      <c r="BB156" s="537"/>
      <c r="BC156" s="537"/>
      <c r="BD156" s="537"/>
      <c r="BE156" s="537"/>
      <c r="BF156" s="537"/>
      <c r="BG156" s="537"/>
      <c r="BH156" s="537"/>
      <c r="BI156" s="537"/>
      <c r="BJ156" s="537"/>
      <c r="BK156" s="537"/>
      <c r="BL156" s="537"/>
      <c r="BM156" s="537"/>
      <c r="BN156" s="537"/>
      <c r="BO156" s="537"/>
      <c r="BP156" s="537"/>
      <c r="BQ156" s="537"/>
      <c r="BR156" s="537"/>
      <c r="BS156" s="537"/>
      <c r="BT156" s="537"/>
      <c r="BU156" s="537"/>
      <c r="BV156" s="537"/>
      <c r="BW156" s="537"/>
      <c r="BX156" s="537"/>
      <c r="BY156" s="537"/>
    </row>
    <row r="157" spans="1:77" x14ac:dyDescent="0.3">
      <c r="A157" s="551"/>
      <c r="B157" s="548"/>
      <c r="C157" s="525"/>
      <c r="D157" s="525"/>
      <c r="E157" s="588" t="str">
        <f>"FY"&amp;VALUE(MID(P157,3,2))&amp;" Tranche"</f>
        <v>FY29 Tranche</v>
      </c>
      <c r="F157" s="525"/>
      <c r="G157" s="525"/>
      <c r="H157" s="525"/>
      <c r="I157" s="525"/>
      <c r="J157" s="525"/>
      <c r="K157" s="525"/>
      <c r="L157" s="525"/>
      <c r="M157" s="525"/>
      <c r="N157" s="525"/>
      <c r="O157" s="525"/>
      <c r="P157" s="589" t="str">
        <f t="shared" si="238"/>
        <v>FY29E</v>
      </c>
      <c r="Q157" s="576">
        <f>$I$9/INDEX(Portfolio_Categorisation!$E$19:$E$19,MATCH($B$3,Portfolio_Categorisation!$C$19:$C$19,0))</f>
        <v>0.37337662337662336</v>
      </c>
      <c r="R157" s="590">
        <f>IFERROR(ROUND(INDEX('Detailed Assumptions'!$F$94:$J$94,MATCH($B$3,'Detailed Assumptions'!$D$94:$D$94,0),MATCH(P157,'Detailed Assumptions'!$F$93:$J$93,0))*Q157,0),0)</f>
        <v>16</v>
      </c>
      <c r="S157" s="542">
        <f>IFERROR('Detailed Assumptions'!$E$88*INDEX(Inflation_Curves!$R$6:$BY$6,MATCH($T157,Inflation_Curves!$R$4:$BY$4,0)),0)</f>
        <v>42309.332177744109</v>
      </c>
      <c r="T157" s="596">
        <f>EOMONTH(T156,12)</f>
        <v>47177</v>
      </c>
      <c r="U157" s="597">
        <f>U$155</f>
        <v>1</v>
      </c>
      <c r="V157" s="554">
        <f t="shared" si="239"/>
        <v>47208</v>
      </c>
      <c r="W157" s="527">
        <f t="shared" si="240"/>
        <v>42309.332177744109</v>
      </c>
      <c r="X157" s="525"/>
      <c r="Y157" s="593">
        <f>IFERROR(('Detailed Assumptions'!$E$85*R157*S157)/R172,0)</f>
        <v>0.1777533266959766</v>
      </c>
      <c r="Z157" s="594">
        <f t="shared" si="244"/>
        <v>0.04</v>
      </c>
      <c r="AA157" s="594">
        <f t="shared" si="244"/>
        <v>0.04</v>
      </c>
      <c r="AB157" s="594">
        <f t="shared" si="244"/>
        <v>0.04</v>
      </c>
      <c r="AC157" s="594">
        <f t="shared" si="244"/>
        <v>0.04</v>
      </c>
      <c r="AD157" s="525"/>
      <c r="AE157" s="594">
        <f>AE$155</f>
        <v>0.55000000000000004</v>
      </c>
      <c r="AF157" s="594">
        <f t="shared" si="241"/>
        <v>0.44999999999999996</v>
      </c>
      <c r="AG157" s="525"/>
      <c r="AH157" s="595">
        <f t="shared" si="242"/>
        <v>47573</v>
      </c>
      <c r="AI157" s="595">
        <f t="shared" si="243"/>
        <v>47938</v>
      </c>
      <c r="AJ157" s="595">
        <f t="shared" si="243"/>
        <v>48304</v>
      </c>
      <c r="AK157" s="595">
        <f t="shared" si="243"/>
        <v>48669</v>
      </c>
      <c r="AL157" s="595">
        <f t="shared" si="243"/>
        <v>49034</v>
      </c>
      <c r="AM157" s="537"/>
      <c r="AN157" s="537"/>
      <c r="AO157" s="537"/>
      <c r="AP157" s="537"/>
      <c r="AQ157" s="537"/>
      <c r="AR157" s="537"/>
      <c r="AS157" s="537"/>
      <c r="AT157" s="537"/>
      <c r="AU157" s="537"/>
      <c r="AV157" s="537"/>
      <c r="AW157" s="537"/>
      <c r="AX157" s="537"/>
      <c r="AY157" s="537"/>
      <c r="AZ157" s="537"/>
      <c r="BA157" s="537"/>
      <c r="BB157" s="537"/>
      <c r="BC157" s="537"/>
      <c r="BD157" s="537"/>
      <c r="BE157" s="537"/>
      <c r="BF157" s="537"/>
      <c r="BG157" s="537"/>
      <c r="BH157" s="537"/>
      <c r="BI157" s="537"/>
      <c r="BJ157" s="537"/>
      <c r="BK157" s="537"/>
      <c r="BL157" s="537"/>
      <c r="BM157" s="537"/>
      <c r="BN157" s="537"/>
      <c r="BO157" s="537"/>
      <c r="BP157" s="537"/>
      <c r="BQ157" s="537"/>
      <c r="BR157" s="537"/>
      <c r="BS157" s="537"/>
      <c r="BT157" s="537"/>
      <c r="BU157" s="537"/>
      <c r="BV157" s="537"/>
      <c r="BW157" s="537"/>
      <c r="BX157" s="537"/>
      <c r="BY157" s="537"/>
    </row>
    <row r="158" spans="1:77" x14ac:dyDescent="0.3">
      <c r="A158" s="551"/>
      <c r="B158" s="548"/>
      <c r="C158" s="525"/>
      <c r="D158" s="525"/>
      <c r="E158" s="588" t="str">
        <f>"FY"&amp;VALUE(MID(P158,3,2))&amp;" Tranche"</f>
        <v>FY30 Tranche</v>
      </c>
      <c r="F158" s="525"/>
      <c r="G158" s="525"/>
      <c r="H158" s="525"/>
      <c r="I158" s="525"/>
      <c r="J158" s="525"/>
      <c r="K158" s="525"/>
      <c r="L158" s="525"/>
      <c r="M158" s="525"/>
      <c r="N158" s="525"/>
      <c r="O158" s="525"/>
      <c r="P158" s="589" t="str">
        <f t="shared" si="238"/>
        <v>FY30E</v>
      </c>
      <c r="Q158" s="576">
        <f>$I$9/INDEX(Portfolio_Categorisation!$E$19:$E$19,MATCH($B$3,Portfolio_Categorisation!$C$19:$C$19,0))</f>
        <v>0.37337662337662336</v>
      </c>
      <c r="R158" s="590">
        <f>IFERROR(ROUND(INDEX('Detailed Assumptions'!$F$94:$J$94,MATCH($B$3,'Detailed Assumptions'!$D$94:$D$94,0),MATCH(P158,'Detailed Assumptions'!$F$93:$J$93,0))*Q158,0),0)</f>
        <v>16</v>
      </c>
      <c r="S158" s="542">
        <f>IFERROR('Detailed Assumptions'!$E$88*INDEX(Inflation_Curves!$R$6:$BY$6,MATCH($T158,Inflation_Curves!$R$4:$BY$4,0)),0)</f>
        <v>43184.188841765063</v>
      </c>
      <c r="T158" s="596">
        <f>EOMONTH(T157,12)</f>
        <v>47542</v>
      </c>
      <c r="U158" s="597">
        <f>U$155</f>
        <v>1</v>
      </c>
      <c r="V158" s="554">
        <f t="shared" si="239"/>
        <v>47573</v>
      </c>
      <c r="W158" s="527">
        <f t="shared" si="240"/>
        <v>43184.188841765063</v>
      </c>
      <c r="X158" s="525"/>
      <c r="Y158" s="593">
        <f>IFERROR(('Detailed Assumptions'!$E$85*R158*S158)/R173,0)</f>
        <v>0.17537058479059311</v>
      </c>
      <c r="Z158" s="594">
        <f t="shared" si="244"/>
        <v>0.04</v>
      </c>
      <c r="AA158" s="594">
        <f t="shared" si="244"/>
        <v>0.04</v>
      </c>
      <c r="AB158" s="594">
        <f t="shared" si="244"/>
        <v>0.04</v>
      </c>
      <c r="AC158" s="594">
        <f t="shared" si="244"/>
        <v>0.04</v>
      </c>
      <c r="AD158" s="525"/>
      <c r="AE158" s="594">
        <f>AE$155</f>
        <v>0.55000000000000004</v>
      </c>
      <c r="AF158" s="594">
        <f t="shared" si="241"/>
        <v>0.44999999999999996</v>
      </c>
      <c r="AG158" s="525"/>
      <c r="AH158" s="595">
        <f t="shared" si="242"/>
        <v>47938</v>
      </c>
      <c r="AI158" s="595">
        <f t="shared" si="243"/>
        <v>48304</v>
      </c>
      <c r="AJ158" s="595">
        <f t="shared" si="243"/>
        <v>48669</v>
      </c>
      <c r="AK158" s="595">
        <f t="shared" si="243"/>
        <v>49034</v>
      </c>
      <c r="AL158" s="595">
        <f t="shared" si="243"/>
        <v>49399</v>
      </c>
      <c r="AM158" s="537"/>
      <c r="AN158" s="537"/>
      <c r="AO158" s="537"/>
      <c r="AP158" s="537"/>
      <c r="AQ158" s="537"/>
      <c r="AR158" s="537"/>
      <c r="AS158" s="537"/>
      <c r="AT158" s="537"/>
      <c r="AU158" s="537"/>
      <c r="AV158" s="537"/>
      <c r="AW158" s="537"/>
      <c r="AX158" s="537"/>
      <c r="AY158" s="537"/>
      <c r="AZ158" s="537"/>
      <c r="BA158" s="537"/>
      <c r="BB158" s="537"/>
      <c r="BC158" s="537"/>
      <c r="BD158" s="537"/>
      <c r="BE158" s="537"/>
      <c r="BF158" s="537"/>
      <c r="BG158" s="537"/>
      <c r="BH158" s="537"/>
      <c r="BI158" s="537"/>
      <c r="BJ158" s="537"/>
      <c r="BK158" s="537"/>
      <c r="BL158" s="537"/>
      <c r="BM158" s="537"/>
      <c r="BN158" s="537"/>
      <c r="BO158" s="537"/>
      <c r="BP158" s="537"/>
      <c r="BQ158" s="537"/>
      <c r="BR158" s="537"/>
      <c r="BS158" s="537"/>
      <c r="BT158" s="537"/>
      <c r="BU158" s="537"/>
      <c r="BV158" s="537"/>
      <c r="BW158" s="537"/>
      <c r="BX158" s="537"/>
      <c r="BY158" s="537"/>
    </row>
    <row r="159" spans="1:77" x14ac:dyDescent="0.3">
      <c r="A159" s="551"/>
      <c r="B159" s="548"/>
      <c r="C159" s="525"/>
      <c r="D159" s="525"/>
      <c r="E159" s="588" t="str">
        <f>"FY"&amp;VALUE(MID(P159,3,2))&amp;" Tranche"</f>
        <v>FY31 Tranche</v>
      </c>
      <c r="F159" s="525"/>
      <c r="G159" s="525"/>
      <c r="H159" s="525"/>
      <c r="I159" s="525"/>
      <c r="J159" s="525"/>
      <c r="K159" s="525"/>
      <c r="L159" s="525"/>
      <c r="M159" s="525"/>
      <c r="N159" s="525"/>
      <c r="O159" s="525"/>
      <c r="P159" s="589" t="str">
        <f t="shared" si="238"/>
        <v>FY31E</v>
      </c>
      <c r="Q159" s="576">
        <f>$I$9/INDEX(Portfolio_Categorisation!$E$19:$E$19,MATCH($B$3,Portfolio_Categorisation!$C$19:$C$19,0))</f>
        <v>0.37337662337662336</v>
      </c>
      <c r="R159" s="590">
        <f>IFERROR(ROUND(INDEX('Detailed Assumptions'!$F$94:$J$94,MATCH($B$3,'Detailed Assumptions'!$D$94:$D$94,0),MATCH(P159,'Detailed Assumptions'!$F$93:$J$93,0))*Q159,0),0)</f>
        <v>16</v>
      </c>
      <c r="S159" s="542">
        <f>IFERROR('Detailed Assumptions'!$E$88*INDEX(Inflation_Curves!$R$6:$BY$6,MATCH($T159,Inflation_Curves!$R$4:$BY$4,0)),0)</f>
        <v>44026.970479910429</v>
      </c>
      <c r="T159" s="596">
        <f>EOMONTH(T158,12)</f>
        <v>47907</v>
      </c>
      <c r="U159" s="597">
        <f>U$155</f>
        <v>1</v>
      </c>
      <c r="V159" s="554">
        <f t="shared" si="239"/>
        <v>47938</v>
      </c>
      <c r="W159" s="527">
        <f t="shared" si="240"/>
        <v>44026.970479910429</v>
      </c>
      <c r="X159" s="525"/>
      <c r="Y159" s="593">
        <f>IFERROR(('Detailed Assumptions'!$E$85*R159*S159)/R174,0)</f>
        <v>0.17299617875135681</v>
      </c>
      <c r="Z159" s="594">
        <f t="shared" si="244"/>
        <v>0.04</v>
      </c>
      <c r="AA159" s="594">
        <f t="shared" si="244"/>
        <v>0.04</v>
      </c>
      <c r="AB159" s="594">
        <f t="shared" si="244"/>
        <v>0.04</v>
      </c>
      <c r="AC159" s="594">
        <f t="shared" si="244"/>
        <v>0.04</v>
      </c>
      <c r="AD159" s="525"/>
      <c r="AE159" s="594">
        <f>AE$155</f>
        <v>0.55000000000000004</v>
      </c>
      <c r="AF159" s="594">
        <f t="shared" si="241"/>
        <v>0.44999999999999996</v>
      </c>
      <c r="AG159" s="525"/>
      <c r="AH159" s="595">
        <f t="shared" si="242"/>
        <v>48304</v>
      </c>
      <c r="AI159" s="595">
        <f t="shared" si="243"/>
        <v>48669</v>
      </c>
      <c r="AJ159" s="595">
        <f t="shared" si="243"/>
        <v>49034</v>
      </c>
      <c r="AK159" s="595">
        <f t="shared" si="243"/>
        <v>49399</v>
      </c>
      <c r="AL159" s="595">
        <f t="shared" si="243"/>
        <v>49765</v>
      </c>
      <c r="AM159" s="537"/>
      <c r="AN159" s="537"/>
      <c r="AO159" s="537"/>
      <c r="AP159" s="537"/>
      <c r="AQ159" s="537"/>
      <c r="AR159" s="537"/>
      <c r="AS159" s="537"/>
      <c r="AT159" s="537"/>
      <c r="AU159" s="537"/>
      <c r="AV159" s="537"/>
      <c r="AW159" s="537"/>
      <c r="AX159" s="537"/>
      <c r="AY159" s="537"/>
      <c r="AZ159" s="537"/>
      <c r="BA159" s="537"/>
      <c r="BB159" s="537"/>
      <c r="BC159" s="537"/>
      <c r="BD159" s="537"/>
      <c r="BE159" s="537"/>
      <c r="BF159" s="537"/>
      <c r="BG159" s="537"/>
      <c r="BH159" s="537"/>
      <c r="BI159" s="537"/>
      <c r="BJ159" s="537"/>
      <c r="BK159" s="537"/>
      <c r="BL159" s="537"/>
      <c r="BM159" s="537"/>
      <c r="BN159" s="537"/>
      <c r="BO159" s="537"/>
      <c r="BP159" s="537"/>
      <c r="BQ159" s="537"/>
      <c r="BR159" s="537"/>
      <c r="BS159" s="537"/>
      <c r="BT159" s="537"/>
      <c r="BU159" s="537"/>
      <c r="BV159" s="537"/>
      <c r="BW159" s="537"/>
      <c r="BX159" s="537"/>
      <c r="BY159" s="537"/>
    </row>
    <row r="160" spans="1:77" x14ac:dyDescent="0.3">
      <c r="A160" s="551"/>
      <c r="B160" s="548"/>
      <c r="C160" s="525"/>
      <c r="D160" s="525"/>
      <c r="E160" s="588" t="s">
        <v>364</v>
      </c>
      <c r="F160" s="525"/>
      <c r="G160" s="525"/>
      <c r="H160" s="525"/>
      <c r="I160" s="525"/>
      <c r="J160" s="525"/>
      <c r="K160" s="525"/>
      <c r="L160" s="525"/>
      <c r="M160" s="525"/>
      <c r="N160" s="525"/>
      <c r="O160" s="522" t="s">
        <v>286</v>
      </c>
      <c r="P160" s="598">
        <f t="shared" si="238"/>
        <v>0</v>
      </c>
      <c r="Q160" s="599">
        <f>$I$9/INDEX(Portfolio_Categorisation!$E$19:$E$19,MATCH($B$3,Portfolio_Categorisation!$C$19:$C$19,0))</f>
        <v>0.37337662337662336</v>
      </c>
      <c r="R160" s="600">
        <f>$I$9-SUM(R155:R159)</f>
        <v>35</v>
      </c>
      <c r="S160" s="542">
        <f>IFERROR('Detailed Assumptions'!$E$88*INDEX(Inflation_Curves!$R$6:$BY$6,MATCH($T160,Inflation_Curves!$R$4:$BY$4,0)),0)</f>
        <v>0</v>
      </c>
      <c r="T160" s="596">
        <f>EOMONTH(T159,12)</f>
        <v>48273</v>
      </c>
      <c r="U160" s="597">
        <f>U$155</f>
        <v>1</v>
      </c>
      <c r="V160" s="601">
        <f t="shared" si="239"/>
        <v>48304</v>
      </c>
      <c r="W160" s="527">
        <f t="shared" si="240"/>
        <v>0</v>
      </c>
      <c r="X160" s="525"/>
      <c r="Y160" s="593">
        <f>IFERROR(('Detailed Assumptions'!$E$85*R160*S160)/R175,0)</f>
        <v>0</v>
      </c>
      <c r="Z160" s="594">
        <f t="shared" si="244"/>
        <v>0.04</v>
      </c>
      <c r="AA160" s="594">
        <f t="shared" si="244"/>
        <v>0.04</v>
      </c>
      <c r="AB160" s="594">
        <f t="shared" si="244"/>
        <v>0.04</v>
      </c>
      <c r="AC160" s="594">
        <f t="shared" si="244"/>
        <v>0.04</v>
      </c>
      <c r="AD160" s="525"/>
      <c r="AE160" s="594">
        <f>AE$155</f>
        <v>0.55000000000000004</v>
      </c>
      <c r="AF160" s="594">
        <f t="shared" si="241"/>
        <v>0.44999999999999996</v>
      </c>
      <c r="AG160" s="525"/>
      <c r="AH160" s="595">
        <f t="shared" si="242"/>
        <v>48669</v>
      </c>
      <c r="AI160" s="595">
        <f t="shared" si="243"/>
        <v>49034</v>
      </c>
      <c r="AJ160" s="595">
        <f t="shared" si="243"/>
        <v>49399</v>
      </c>
      <c r="AK160" s="595">
        <f t="shared" si="243"/>
        <v>49765</v>
      </c>
      <c r="AL160" s="595">
        <f t="shared" si="243"/>
        <v>50130</v>
      </c>
      <c r="AM160" s="537"/>
      <c r="AN160" s="537"/>
      <c r="AO160" s="537"/>
      <c r="AP160" s="537"/>
      <c r="AQ160" s="537"/>
      <c r="AR160" s="537"/>
      <c r="AS160" s="537"/>
      <c r="AT160" s="537"/>
      <c r="AU160" s="537"/>
      <c r="AV160" s="537"/>
      <c r="AW160" s="537"/>
      <c r="AX160" s="537"/>
      <c r="AY160" s="537"/>
      <c r="AZ160" s="537"/>
      <c r="BA160" s="537"/>
      <c r="BB160" s="537"/>
      <c r="BC160" s="537"/>
      <c r="BD160" s="537"/>
      <c r="BE160" s="537"/>
      <c r="BF160" s="537"/>
      <c r="BG160" s="537"/>
      <c r="BH160" s="537"/>
      <c r="BI160" s="537"/>
      <c r="BJ160" s="537"/>
      <c r="BK160" s="537"/>
      <c r="BL160" s="537"/>
      <c r="BM160" s="537"/>
      <c r="BN160" s="537"/>
      <c r="BO160" s="537"/>
      <c r="BP160" s="537"/>
      <c r="BQ160" s="537"/>
      <c r="BR160" s="537"/>
      <c r="BS160" s="537"/>
      <c r="BT160" s="537"/>
      <c r="BU160" s="537"/>
      <c r="BV160" s="537"/>
      <c r="BW160" s="537"/>
      <c r="BX160" s="537"/>
      <c r="BY160" s="537"/>
    </row>
    <row r="161" spans="1:77" x14ac:dyDescent="0.3">
      <c r="A161" s="551"/>
      <c r="B161" s="548"/>
      <c r="C161" s="525"/>
      <c r="D161" s="525"/>
      <c r="E161" s="525"/>
      <c r="F161" s="525"/>
      <c r="G161" s="525"/>
      <c r="H161" s="525"/>
      <c r="I161" s="525"/>
      <c r="J161" s="525"/>
      <c r="K161" s="525"/>
      <c r="L161" s="525"/>
      <c r="M161" s="525"/>
      <c r="N161" s="525"/>
      <c r="O161" s="525"/>
      <c r="P161" s="565"/>
      <c r="Q161" s="525"/>
      <c r="R161" s="602" t="b">
        <f>SUM(R155:R160)=$R$9</f>
        <v>1</v>
      </c>
      <c r="S161" s="525"/>
      <c r="T161" s="525"/>
      <c r="U161" s="525"/>
      <c r="V161" s="525"/>
      <c r="W161" s="525"/>
      <c r="X161" s="525"/>
      <c r="Y161" s="525"/>
      <c r="Z161" s="525"/>
      <c r="AA161" s="525"/>
      <c r="AB161" s="525"/>
      <c r="AC161" s="525"/>
      <c r="AD161" s="525"/>
      <c r="AE161" s="525"/>
      <c r="AF161" s="525"/>
      <c r="AG161" s="525"/>
      <c r="AH161" s="525"/>
      <c r="AI161" s="525"/>
      <c r="AJ161" s="525"/>
      <c r="AK161" s="525"/>
      <c r="AL161" s="525"/>
      <c r="AM161" s="525"/>
      <c r="AN161" s="525"/>
      <c r="AO161" s="525"/>
      <c r="AP161" s="525"/>
      <c r="AQ161" s="525"/>
      <c r="AR161" s="525"/>
      <c r="AS161" s="525"/>
      <c r="AT161" s="525"/>
      <c r="AU161" s="525"/>
      <c r="AV161" s="525"/>
      <c r="AW161" s="525"/>
      <c r="AX161" s="525"/>
      <c r="AY161" s="525"/>
      <c r="AZ161" s="525"/>
      <c r="BA161" s="525"/>
      <c r="BB161" s="525"/>
      <c r="BC161" s="525"/>
      <c r="BD161" s="525"/>
      <c r="BE161" s="525"/>
      <c r="BF161" s="525"/>
      <c r="BG161" s="525"/>
      <c r="BH161" s="525"/>
      <c r="BI161" s="525"/>
      <c r="BJ161" s="525"/>
      <c r="BK161" s="525"/>
      <c r="BL161" s="525"/>
      <c r="BM161" s="525"/>
      <c r="BN161" s="525"/>
      <c r="BO161" s="525"/>
      <c r="BP161" s="525"/>
      <c r="BQ161" s="525"/>
      <c r="BR161" s="525"/>
      <c r="BS161" s="525"/>
      <c r="BT161" s="525"/>
      <c r="BU161" s="525"/>
      <c r="BV161" s="525"/>
      <c r="BW161" s="525"/>
      <c r="BX161" s="525"/>
      <c r="BY161" s="525"/>
    </row>
    <row r="162" spans="1:77" x14ac:dyDescent="0.3">
      <c r="A162" s="551"/>
      <c r="B162" s="548"/>
      <c r="C162" s="525"/>
      <c r="D162" s="525"/>
      <c r="E162" s="525"/>
      <c r="F162" s="525"/>
      <c r="G162" s="525"/>
      <c r="H162" s="525"/>
      <c r="I162" s="525"/>
      <c r="J162" s="525"/>
      <c r="K162" s="525"/>
      <c r="L162" s="525"/>
      <c r="M162" s="525"/>
      <c r="N162" s="525"/>
      <c r="O162" s="525"/>
      <c r="P162" s="565"/>
      <c r="Q162" s="525"/>
      <c r="R162" s="525"/>
      <c r="S162" s="525"/>
      <c r="T162" s="525"/>
      <c r="U162" s="525"/>
      <c r="V162" s="525"/>
      <c r="W162" s="525"/>
      <c r="X162" s="525"/>
      <c r="Y162" s="525"/>
      <c r="Z162" s="525"/>
      <c r="AA162" s="525"/>
      <c r="AB162" s="525"/>
      <c r="AC162" s="525"/>
      <c r="AD162" s="525"/>
      <c r="AE162" s="525"/>
      <c r="AF162" s="525"/>
      <c r="AG162" s="525"/>
      <c r="AH162" s="525"/>
      <c r="AI162" s="525"/>
      <c r="AJ162" s="525"/>
      <c r="AK162" s="525"/>
      <c r="AL162" s="525"/>
      <c r="AM162" s="525"/>
      <c r="AN162" s="525"/>
      <c r="AO162" s="525"/>
      <c r="AP162" s="525"/>
      <c r="AQ162" s="525"/>
      <c r="AR162" s="525"/>
      <c r="AS162" s="525"/>
      <c r="AT162" s="525"/>
      <c r="AU162" s="525"/>
      <c r="AV162" s="525"/>
      <c r="AW162" s="525"/>
      <c r="AX162" s="525"/>
      <c r="AY162" s="525"/>
      <c r="AZ162" s="525"/>
      <c r="BA162" s="525"/>
      <c r="BB162" s="525"/>
      <c r="BC162" s="525"/>
      <c r="BD162" s="525"/>
      <c r="BE162" s="525"/>
      <c r="BF162" s="525"/>
      <c r="BG162" s="525"/>
      <c r="BH162" s="525"/>
      <c r="BI162" s="525"/>
      <c r="BJ162" s="525"/>
      <c r="BK162" s="525"/>
      <c r="BL162" s="525"/>
      <c r="BM162" s="525"/>
      <c r="BN162" s="525"/>
      <c r="BO162" s="525"/>
      <c r="BP162" s="525"/>
      <c r="BQ162" s="525"/>
      <c r="BR162" s="525"/>
      <c r="BS162" s="525"/>
      <c r="BT162" s="525"/>
      <c r="BU162" s="525"/>
      <c r="BV162" s="525"/>
      <c r="BW162" s="525"/>
      <c r="BX162" s="525"/>
      <c r="BY162" s="525"/>
    </row>
    <row r="163" spans="1:77" x14ac:dyDescent="0.3">
      <c r="A163" s="551"/>
      <c r="B163" s="548"/>
      <c r="C163" s="560" t="s">
        <v>37</v>
      </c>
      <c r="D163" s="561"/>
      <c r="E163" s="526" t="s">
        <v>90</v>
      </c>
      <c r="F163" s="526"/>
      <c r="G163" s="526"/>
      <c r="H163" s="526"/>
      <c r="I163" s="526"/>
      <c r="J163" s="526"/>
      <c r="K163" s="526"/>
      <c r="L163" s="526"/>
      <c r="M163" s="526"/>
      <c r="N163" s="526"/>
      <c r="O163" s="526"/>
      <c r="P163" s="560"/>
      <c r="Q163" s="526"/>
      <c r="R163" s="526"/>
      <c r="S163" s="526"/>
      <c r="T163" s="526"/>
      <c r="U163" s="526"/>
      <c r="V163" s="526"/>
      <c r="W163" s="526"/>
      <c r="X163" s="526"/>
      <c r="Y163" s="526"/>
      <c r="Z163" s="526"/>
      <c r="AA163" s="526"/>
      <c r="AB163" s="526"/>
      <c r="AC163" s="526"/>
      <c r="AD163" s="526"/>
      <c r="AE163" s="526"/>
      <c r="AF163" s="526"/>
      <c r="AG163" s="526"/>
      <c r="AH163" s="526"/>
      <c r="AI163" s="526"/>
      <c r="AJ163" s="526"/>
      <c r="AK163" s="526"/>
      <c r="AL163" s="526"/>
      <c r="AM163" s="526"/>
      <c r="AN163" s="526"/>
      <c r="AO163" s="526"/>
      <c r="AP163" s="526"/>
      <c r="AQ163" s="526"/>
      <c r="AR163" s="526"/>
      <c r="AS163" s="526"/>
      <c r="AT163" s="526"/>
      <c r="AU163" s="526"/>
      <c r="AV163" s="526"/>
      <c r="AW163" s="526"/>
      <c r="AX163" s="526"/>
      <c r="AY163" s="526"/>
      <c r="AZ163" s="526"/>
      <c r="BA163" s="526"/>
      <c r="BB163" s="526"/>
      <c r="BC163" s="526"/>
      <c r="BD163" s="526"/>
      <c r="BE163" s="526"/>
      <c r="BF163" s="526"/>
      <c r="BG163" s="526"/>
      <c r="BH163" s="526"/>
      <c r="BI163" s="526"/>
      <c r="BJ163" s="526"/>
      <c r="BK163" s="526"/>
      <c r="BL163" s="526"/>
      <c r="BM163" s="526"/>
      <c r="BN163" s="526"/>
      <c r="BO163" s="526"/>
      <c r="BP163" s="526"/>
      <c r="BQ163" s="526"/>
      <c r="BR163" s="526"/>
      <c r="BS163" s="526"/>
      <c r="BT163" s="526"/>
      <c r="BU163" s="526"/>
      <c r="BV163" s="526"/>
      <c r="BW163" s="526"/>
      <c r="BX163" s="526"/>
      <c r="BY163" s="526"/>
    </row>
    <row r="164" spans="1:77" x14ac:dyDescent="0.3">
      <c r="A164" s="551"/>
      <c r="B164" s="548"/>
      <c r="C164" s="525"/>
      <c r="D164" s="525"/>
      <c r="E164" s="525"/>
      <c r="F164" s="525"/>
      <c r="G164" s="525"/>
      <c r="H164" s="525"/>
      <c r="I164" s="525"/>
      <c r="J164" s="525"/>
      <c r="K164" s="525"/>
      <c r="L164" s="525"/>
      <c r="M164" s="525"/>
      <c r="N164" s="525"/>
      <c r="O164" s="525"/>
      <c r="P164" s="565"/>
      <c r="Q164" s="525"/>
      <c r="R164" s="525"/>
      <c r="S164" s="525"/>
      <c r="T164" s="525"/>
      <c r="U164" s="525"/>
      <c r="V164" s="525"/>
      <c r="W164" s="525"/>
      <c r="X164" s="525"/>
      <c r="Y164" s="525"/>
      <c r="Z164" s="525"/>
      <c r="AA164" s="525"/>
      <c r="AB164" s="525"/>
      <c r="AC164" s="525"/>
      <c r="AD164" s="525"/>
      <c r="AE164" s="525"/>
      <c r="AF164" s="525"/>
      <c r="AG164" s="525"/>
      <c r="AH164" s="525"/>
      <c r="AI164" s="525"/>
      <c r="AJ164" s="525"/>
      <c r="AK164" s="525"/>
      <c r="AL164" s="525"/>
      <c r="AM164" s="525"/>
      <c r="AN164" s="525"/>
      <c r="AO164" s="525"/>
      <c r="AP164" s="525"/>
      <c r="AQ164" s="525"/>
      <c r="AR164" s="525"/>
      <c r="AS164" s="525"/>
      <c r="AT164" s="525"/>
      <c r="AU164" s="525"/>
      <c r="AV164" s="525"/>
      <c r="AW164" s="525"/>
      <c r="AX164" s="525"/>
      <c r="AY164" s="525"/>
      <c r="AZ164" s="525"/>
      <c r="BA164" s="525"/>
      <c r="BB164" s="525"/>
      <c r="BC164" s="525"/>
      <c r="BD164" s="525"/>
      <c r="BE164" s="525"/>
      <c r="BF164" s="525"/>
      <c r="BG164" s="525"/>
      <c r="BH164" s="525"/>
      <c r="BI164" s="525"/>
      <c r="BJ164" s="525"/>
      <c r="BK164" s="525"/>
      <c r="BL164" s="525"/>
      <c r="BM164" s="525"/>
      <c r="BN164" s="525"/>
      <c r="BO164" s="525"/>
      <c r="BP164" s="525"/>
      <c r="BQ164" s="525"/>
      <c r="BR164" s="525"/>
      <c r="BS164" s="525"/>
      <c r="BT164" s="525"/>
      <c r="BU164" s="525"/>
      <c r="BV164" s="525"/>
      <c r="BW164" s="525"/>
      <c r="BX164" s="525"/>
      <c r="BY164" s="525"/>
    </row>
    <row r="165" spans="1:77" x14ac:dyDescent="0.3">
      <c r="A165" s="551"/>
      <c r="B165" s="548"/>
      <c r="C165" s="584" t="s">
        <v>37</v>
      </c>
      <c r="D165" s="525"/>
      <c r="E165" s="538" t="s">
        <v>91</v>
      </c>
      <c r="F165" s="538"/>
      <c r="G165" s="538"/>
      <c r="H165" s="538"/>
      <c r="I165" s="538"/>
      <c r="J165" s="538"/>
      <c r="K165" s="538"/>
      <c r="L165" s="538"/>
      <c r="M165" s="538"/>
      <c r="N165" s="538"/>
      <c r="O165" s="538"/>
      <c r="P165" s="584"/>
      <c r="Q165" s="538"/>
      <c r="R165" s="538"/>
      <c r="S165" s="538"/>
      <c r="T165" s="538"/>
      <c r="U165" s="538"/>
      <c r="V165" s="538"/>
      <c r="W165" s="538"/>
      <c r="X165" s="538"/>
      <c r="Y165" s="538"/>
      <c r="Z165" s="538"/>
      <c r="AA165" s="538"/>
      <c r="AB165" s="538"/>
      <c r="AC165" s="538"/>
      <c r="AD165" s="538"/>
      <c r="AE165" s="538"/>
      <c r="AF165" s="538"/>
      <c r="AG165" s="538"/>
      <c r="AH165" s="538"/>
      <c r="AI165" s="538"/>
      <c r="AJ165" s="538"/>
      <c r="AK165" s="538"/>
      <c r="AL165" s="538"/>
      <c r="AM165" s="538"/>
      <c r="AN165" s="538"/>
      <c r="AO165" s="538"/>
      <c r="AP165" s="538"/>
      <c r="AQ165" s="538"/>
      <c r="AR165" s="538"/>
      <c r="AS165" s="538"/>
      <c r="AT165" s="538"/>
      <c r="AU165" s="538"/>
      <c r="AV165" s="538"/>
      <c r="AW165" s="538"/>
      <c r="AX165" s="538"/>
      <c r="AY165" s="538"/>
      <c r="AZ165" s="538"/>
      <c r="BA165" s="538"/>
      <c r="BB165" s="538"/>
      <c r="BC165" s="538"/>
      <c r="BD165" s="538"/>
      <c r="BE165" s="538"/>
      <c r="BF165" s="538"/>
      <c r="BG165" s="538"/>
      <c r="BH165" s="538"/>
      <c r="BI165" s="538"/>
      <c r="BJ165" s="538"/>
      <c r="BK165" s="538"/>
      <c r="BL165" s="538"/>
      <c r="BM165" s="538"/>
      <c r="BN165" s="538"/>
      <c r="BO165" s="538"/>
      <c r="BP165" s="538"/>
      <c r="BQ165" s="538"/>
      <c r="BR165" s="538"/>
      <c r="BS165" s="538"/>
      <c r="BT165" s="538"/>
      <c r="BU165" s="538"/>
      <c r="BV165" s="538"/>
      <c r="BW165" s="538"/>
      <c r="BX165" s="538"/>
      <c r="BY165" s="538"/>
    </row>
    <row r="166" spans="1:77" x14ac:dyDescent="0.3">
      <c r="A166" s="551"/>
      <c r="B166" s="548"/>
      <c r="C166" s="525"/>
      <c r="D166" s="525"/>
      <c r="E166" s="525"/>
      <c r="F166" s="525"/>
      <c r="G166" s="525"/>
      <c r="H166" s="525"/>
      <c r="I166" s="525"/>
      <c r="J166" s="525"/>
      <c r="K166" s="525"/>
      <c r="L166" s="525"/>
      <c r="M166" s="525"/>
      <c r="N166" s="525"/>
      <c r="O166" s="525"/>
      <c r="P166" s="565"/>
      <c r="Q166" s="525"/>
      <c r="R166" s="525"/>
      <c r="S166" s="576"/>
      <c r="T166" s="525"/>
      <c r="U166" s="525"/>
      <c r="V166" s="525"/>
      <c r="W166" s="525"/>
      <c r="X166" s="525"/>
      <c r="Y166" s="525"/>
      <c r="Z166" s="525"/>
      <c r="AA166" s="525"/>
      <c r="AB166" s="525"/>
      <c r="AC166" s="525"/>
      <c r="AD166" s="525"/>
      <c r="AE166" s="525"/>
      <c r="AF166" s="525"/>
      <c r="AG166" s="525"/>
      <c r="AH166" s="525"/>
      <c r="AI166" s="525"/>
      <c r="AJ166" s="525"/>
      <c r="AK166" s="525"/>
      <c r="AL166" s="525"/>
      <c r="AM166" s="525"/>
      <c r="AN166" s="525"/>
      <c r="AO166" s="525"/>
      <c r="AP166" s="525"/>
      <c r="AQ166" s="525"/>
      <c r="AR166" s="525"/>
      <c r="AS166" s="525"/>
      <c r="AT166" s="525"/>
      <c r="AU166" s="525"/>
      <c r="AV166" s="525"/>
      <c r="AW166" s="525"/>
      <c r="AX166" s="525"/>
      <c r="AY166" s="525"/>
      <c r="AZ166" s="525"/>
      <c r="BA166" s="525"/>
      <c r="BB166" s="525"/>
      <c r="BC166" s="525"/>
      <c r="BD166" s="525"/>
      <c r="BE166" s="525"/>
      <c r="BF166" s="525"/>
      <c r="BG166" s="525"/>
      <c r="BH166" s="525"/>
      <c r="BI166" s="525"/>
      <c r="BJ166" s="525"/>
      <c r="BK166" s="525"/>
      <c r="BL166" s="525"/>
      <c r="BM166" s="525"/>
      <c r="BN166" s="525"/>
      <c r="BO166" s="525"/>
      <c r="BP166" s="525"/>
      <c r="BQ166" s="525"/>
      <c r="BR166" s="525"/>
      <c r="BS166" s="525"/>
      <c r="BT166" s="525"/>
      <c r="BU166" s="525"/>
      <c r="BV166" s="525"/>
      <c r="BW166" s="525"/>
      <c r="BX166" s="525"/>
      <c r="BY166" s="525"/>
    </row>
    <row r="167" spans="1:77" x14ac:dyDescent="0.3">
      <c r="A167" s="551"/>
      <c r="B167" s="548"/>
      <c r="C167" s="525"/>
      <c r="D167" s="525"/>
      <c r="E167" s="525"/>
      <c r="F167" s="525"/>
      <c r="G167" s="525"/>
      <c r="H167" s="525"/>
      <c r="I167" s="525"/>
      <c r="J167" s="525"/>
      <c r="K167" s="525"/>
      <c r="L167" s="525"/>
      <c r="M167" s="525"/>
      <c r="N167" s="525"/>
      <c r="O167" s="525"/>
      <c r="P167" s="565"/>
      <c r="Q167" s="525"/>
      <c r="R167" s="603"/>
      <c r="S167" s="604">
        <v>1</v>
      </c>
      <c r="T167" s="604">
        <v>2</v>
      </c>
      <c r="U167" s="604">
        <v>3</v>
      </c>
      <c r="V167" s="604">
        <v>4</v>
      </c>
      <c r="W167" s="604">
        <v>5</v>
      </c>
      <c r="X167" s="525"/>
      <c r="Y167" s="525"/>
      <c r="Z167" s="525"/>
      <c r="AA167" s="525"/>
      <c r="AB167" s="525"/>
      <c r="AC167" s="525"/>
      <c r="AD167" s="525"/>
      <c r="AE167" s="525"/>
      <c r="AF167" s="525"/>
      <c r="AG167" s="525"/>
      <c r="AH167" s="525"/>
      <c r="AI167" s="525"/>
      <c r="AJ167" s="525"/>
      <c r="AK167" s="525"/>
      <c r="AL167" s="525"/>
      <c r="AM167" s="525"/>
      <c r="AN167" s="525"/>
      <c r="AO167" s="525"/>
      <c r="AP167" s="525"/>
      <c r="AQ167" s="525"/>
      <c r="AR167" s="525"/>
      <c r="AS167" s="525"/>
      <c r="AT167" s="525"/>
      <c r="AU167" s="525"/>
      <c r="AV167" s="525"/>
      <c r="AW167" s="525"/>
      <c r="AX167" s="525"/>
      <c r="AY167" s="525"/>
      <c r="AZ167" s="525"/>
      <c r="BA167" s="525"/>
      <c r="BB167" s="525"/>
      <c r="BC167" s="525"/>
      <c r="BD167" s="525"/>
      <c r="BE167" s="525"/>
      <c r="BF167" s="525"/>
      <c r="BG167" s="525"/>
      <c r="BH167" s="525"/>
      <c r="BI167" s="525"/>
      <c r="BJ167" s="525"/>
      <c r="BK167" s="525"/>
      <c r="BL167" s="525"/>
      <c r="BM167" s="525"/>
      <c r="BN167" s="525"/>
      <c r="BO167" s="525"/>
      <c r="BP167" s="525"/>
      <c r="BQ167" s="525"/>
      <c r="BR167" s="525"/>
      <c r="BS167" s="525"/>
      <c r="BT167" s="525"/>
      <c r="BU167" s="525"/>
      <c r="BV167" s="525"/>
      <c r="BW167" s="525"/>
      <c r="BX167" s="525"/>
      <c r="BY167" s="525"/>
    </row>
    <row r="168" spans="1:77" x14ac:dyDescent="0.3">
      <c r="A168" s="551"/>
      <c r="B168" s="548"/>
      <c r="C168" s="525"/>
      <c r="D168" s="525"/>
      <c r="E168" s="525"/>
      <c r="F168" s="525"/>
      <c r="G168" s="525"/>
      <c r="H168" s="525"/>
      <c r="I168" s="525"/>
      <c r="J168" s="525"/>
      <c r="K168" s="525"/>
      <c r="L168" s="525"/>
      <c r="M168" s="525"/>
      <c r="N168" s="525"/>
      <c r="O168" s="525"/>
      <c r="P168" s="565"/>
      <c r="Q168" s="525"/>
      <c r="R168" s="583" t="s">
        <v>92</v>
      </c>
      <c r="S168" s="583"/>
      <c r="T168" s="583"/>
      <c r="U168" s="583"/>
      <c r="V168" s="583"/>
      <c r="W168" s="583"/>
      <c r="X168" s="525"/>
      <c r="Y168" s="525"/>
      <c r="Z168" s="525"/>
      <c r="AA168" s="525"/>
      <c r="AB168" s="525"/>
      <c r="AC168" s="525"/>
      <c r="AD168" s="525"/>
      <c r="AE168" s="525"/>
      <c r="AF168" s="525"/>
      <c r="AG168" s="525"/>
      <c r="AH168" s="525"/>
      <c r="AI168" s="525"/>
      <c r="AJ168" s="525"/>
      <c r="AK168" s="525"/>
      <c r="AL168" s="525"/>
      <c r="AM168" s="525"/>
      <c r="AN168" s="525"/>
      <c r="AO168" s="525"/>
      <c r="AP168" s="525"/>
      <c r="AQ168" s="525"/>
      <c r="AR168" s="525"/>
      <c r="AS168" s="525"/>
      <c r="AT168" s="525"/>
      <c r="AU168" s="525"/>
      <c r="AV168" s="525"/>
      <c r="AW168" s="525"/>
      <c r="AX168" s="525"/>
      <c r="AY168" s="525"/>
      <c r="AZ168" s="525"/>
      <c r="BA168" s="525"/>
      <c r="BB168" s="525"/>
      <c r="BC168" s="525"/>
      <c r="BD168" s="525"/>
      <c r="BE168" s="525"/>
      <c r="BF168" s="525"/>
      <c r="BG168" s="525"/>
      <c r="BH168" s="525"/>
      <c r="BI168" s="525"/>
      <c r="BJ168" s="525"/>
      <c r="BK168" s="525"/>
      <c r="BL168" s="525"/>
      <c r="BM168" s="525"/>
      <c r="BN168" s="525"/>
      <c r="BO168" s="525"/>
      <c r="BP168" s="525"/>
      <c r="BQ168" s="525"/>
      <c r="BR168" s="525"/>
      <c r="BS168" s="525"/>
      <c r="BT168" s="525"/>
      <c r="BU168" s="525"/>
      <c r="BV168" s="525"/>
      <c r="BW168" s="525"/>
      <c r="BX168" s="525"/>
      <c r="BY168" s="525"/>
    </row>
    <row r="169" spans="1:77" x14ac:dyDescent="0.3">
      <c r="A169" s="551"/>
      <c r="B169" s="548"/>
      <c r="C169" s="525"/>
      <c r="D169" s="525"/>
      <c r="E169" s="605" t="s">
        <v>93</v>
      </c>
      <c r="F169" s="605"/>
      <c r="G169" s="605"/>
      <c r="H169" s="605"/>
      <c r="I169" s="605"/>
      <c r="J169" s="605"/>
      <c r="K169" s="605"/>
      <c r="L169" s="605"/>
      <c r="M169" s="605"/>
      <c r="N169" s="605"/>
      <c r="O169" s="605"/>
      <c r="P169" s="606"/>
      <c r="Q169" s="605"/>
      <c r="R169" s="607" t="s">
        <v>94</v>
      </c>
      <c r="S169" s="608">
        <v>1</v>
      </c>
      <c r="T169" s="608">
        <v>2</v>
      </c>
      <c r="U169" s="608">
        <v>3</v>
      </c>
      <c r="V169" s="608">
        <v>4</v>
      </c>
      <c r="W169" s="608">
        <v>5</v>
      </c>
      <c r="X169" s="525"/>
      <c r="Y169" s="525"/>
      <c r="Z169" s="525"/>
      <c r="AA169" s="525"/>
      <c r="AB169" s="525"/>
      <c r="AC169" s="525"/>
      <c r="AD169" s="525"/>
      <c r="AE169" s="525"/>
      <c r="AF169" s="525"/>
      <c r="AG169" s="525"/>
      <c r="AH169" s="525"/>
      <c r="AI169" s="525"/>
      <c r="AJ169" s="525"/>
      <c r="AK169" s="525"/>
      <c r="AL169" s="525"/>
      <c r="AM169" s="525"/>
      <c r="AN169" s="525"/>
      <c r="AO169" s="525"/>
      <c r="AP169" s="525"/>
      <c r="AQ169" s="525"/>
      <c r="AR169" s="525"/>
      <c r="AS169" s="525"/>
      <c r="AT169" s="525"/>
      <c r="AU169" s="525"/>
      <c r="AV169" s="525"/>
      <c r="AW169" s="525"/>
      <c r="AX169" s="525"/>
      <c r="AY169" s="525"/>
      <c r="AZ169" s="525"/>
      <c r="BA169" s="525"/>
      <c r="BB169" s="525"/>
      <c r="BC169" s="525"/>
      <c r="BD169" s="525"/>
      <c r="BE169" s="525"/>
      <c r="BF169" s="525"/>
      <c r="BG169" s="525"/>
      <c r="BH169" s="525"/>
      <c r="BI169" s="525"/>
      <c r="BJ169" s="525"/>
      <c r="BK169" s="525"/>
      <c r="BL169" s="525"/>
      <c r="BM169" s="525"/>
      <c r="BN169" s="525"/>
      <c r="BO169" s="525"/>
      <c r="BP169" s="525"/>
      <c r="BQ169" s="525"/>
      <c r="BR169" s="525"/>
      <c r="BS169" s="525"/>
      <c r="BT169" s="525"/>
      <c r="BU169" s="525"/>
      <c r="BV169" s="525"/>
      <c r="BW169" s="525"/>
      <c r="BX169" s="525"/>
      <c r="BY169" s="525"/>
    </row>
    <row r="170" spans="1:77" x14ac:dyDescent="0.3">
      <c r="A170" s="551"/>
      <c r="B170" s="548"/>
      <c r="C170" s="525"/>
      <c r="D170" s="525"/>
      <c r="E170" s="609" t="str">
        <f>"Post-capex - outlet EBITDA: "&amp;E$155</f>
        <v>Post-capex - outlet EBITDA: FY27 Tranche</v>
      </c>
      <c r="F170" s="525"/>
      <c r="G170" s="525"/>
      <c r="H170" s="525"/>
      <c r="I170" s="525"/>
      <c r="J170" s="525"/>
      <c r="K170" s="525"/>
      <c r="L170" s="525"/>
      <c r="M170" s="525"/>
      <c r="N170" s="525"/>
      <c r="O170" s="537"/>
      <c r="P170" s="565"/>
      <c r="Q170" s="525"/>
      <c r="R170" s="527">
        <f t="shared" ref="R170:R175" si="245">IFERROR(INDEX($R$615:$BY$615,MATCH($T155,$R$4:$BY$4,0))*12*$R155,0)</f>
        <v>1588868.2351805472</v>
      </c>
      <c r="S170" s="527">
        <f t="shared" ref="S170:W175" si="246">R170*(1+Y155)</f>
        <v>1879808.3685713829</v>
      </c>
      <c r="T170" s="527">
        <f t="shared" si="246"/>
        <v>1955000.7033142382</v>
      </c>
      <c r="U170" s="527">
        <f t="shared" si="246"/>
        <v>2033200.7314468077</v>
      </c>
      <c r="V170" s="527">
        <f t="shared" si="246"/>
        <v>2114528.7607046803</v>
      </c>
      <c r="W170" s="527">
        <f t="shared" si="246"/>
        <v>2199109.9111328674</v>
      </c>
      <c r="X170" s="525"/>
      <c r="Y170" s="525"/>
      <c r="Z170" s="525"/>
      <c r="AA170" s="525"/>
      <c r="AB170" s="525"/>
      <c r="AC170" s="525"/>
      <c r="AD170" s="525"/>
      <c r="AE170" s="525"/>
      <c r="AF170" s="525"/>
      <c r="AG170" s="525"/>
      <c r="AH170" s="525"/>
      <c r="AI170" s="525"/>
      <c r="AJ170" s="525"/>
      <c r="AK170" s="525"/>
      <c r="AL170" s="525"/>
      <c r="AM170" s="525"/>
      <c r="AN170" s="525"/>
      <c r="AO170" s="525"/>
      <c r="AP170" s="525"/>
      <c r="AQ170" s="525"/>
      <c r="AR170" s="525"/>
      <c r="AS170" s="525"/>
      <c r="AT170" s="525"/>
      <c r="AU170" s="525"/>
      <c r="AV170" s="525"/>
      <c r="AW170" s="525"/>
      <c r="AX170" s="525"/>
      <c r="AY170" s="525"/>
      <c r="AZ170" s="525"/>
      <c r="BA170" s="525"/>
      <c r="BB170" s="525"/>
      <c r="BC170" s="525"/>
      <c r="BD170" s="525"/>
      <c r="BE170" s="525"/>
      <c r="BF170" s="525"/>
      <c r="BG170" s="525"/>
      <c r="BH170" s="525"/>
      <c r="BI170" s="525"/>
      <c r="BJ170" s="525"/>
      <c r="BK170" s="525"/>
      <c r="BL170" s="525"/>
      <c r="BM170" s="525"/>
      <c r="BN170" s="525"/>
      <c r="BO170" s="525"/>
      <c r="BP170" s="525"/>
      <c r="BQ170" s="525"/>
      <c r="BR170" s="525"/>
      <c r="BS170" s="525"/>
      <c r="BT170" s="525"/>
      <c r="BU170" s="525"/>
      <c r="BV170" s="525"/>
      <c r="BW170" s="525"/>
      <c r="BX170" s="525"/>
      <c r="BY170" s="525"/>
    </row>
    <row r="171" spans="1:77" x14ac:dyDescent="0.3">
      <c r="A171" s="551"/>
      <c r="B171" s="548"/>
      <c r="C171" s="525"/>
      <c r="D171" s="525"/>
      <c r="E171" s="609" t="str">
        <f>"Post-capex - outlet EBITDA: "&amp;E$156</f>
        <v>Post-capex - outlet EBITDA: FY28 Tranche</v>
      </c>
      <c r="F171" s="525"/>
      <c r="G171" s="525"/>
      <c r="H171" s="525"/>
      <c r="I171" s="525"/>
      <c r="J171" s="610"/>
      <c r="K171" s="525"/>
      <c r="L171" s="525"/>
      <c r="M171" s="525"/>
      <c r="N171" s="525"/>
      <c r="O171" s="525"/>
      <c r="P171" s="565"/>
      <c r="Q171" s="525"/>
      <c r="R171" s="527">
        <f t="shared" si="245"/>
        <v>1651608.7121236485</v>
      </c>
      <c r="S171" s="527">
        <f t="shared" si="246"/>
        <v>1949545.897610689</v>
      </c>
      <c r="T171" s="527">
        <f t="shared" si="246"/>
        <v>2027527.7335151166</v>
      </c>
      <c r="U171" s="527">
        <f t="shared" si="246"/>
        <v>2108628.8428557212</v>
      </c>
      <c r="V171" s="527">
        <f t="shared" si="246"/>
        <v>2192973.9965699501</v>
      </c>
      <c r="W171" s="527">
        <f t="shared" si="246"/>
        <v>2280692.9564327481</v>
      </c>
      <c r="X171" s="525"/>
      <c r="Y171" s="525"/>
      <c r="Z171" s="525"/>
      <c r="AA171" s="525"/>
      <c r="AB171" s="525"/>
      <c r="AC171" s="525"/>
      <c r="AD171" s="525"/>
      <c r="AE171" s="525"/>
      <c r="AF171" s="525"/>
      <c r="AG171" s="525"/>
      <c r="AH171" s="525"/>
      <c r="AI171" s="525"/>
      <c r="AJ171" s="525"/>
      <c r="AK171" s="525"/>
      <c r="AL171" s="525"/>
      <c r="AM171" s="525"/>
      <c r="AN171" s="525"/>
      <c r="AO171" s="525"/>
      <c r="AP171" s="525"/>
      <c r="AQ171" s="525"/>
      <c r="AR171" s="525"/>
      <c r="AS171" s="525"/>
      <c r="AT171" s="525"/>
      <c r="AU171" s="525"/>
      <c r="AV171" s="525"/>
      <c r="AW171" s="525"/>
      <c r="AX171" s="525"/>
      <c r="AY171" s="525"/>
      <c r="AZ171" s="525"/>
      <c r="BA171" s="525"/>
      <c r="BB171" s="525"/>
      <c r="BC171" s="525"/>
      <c r="BD171" s="525"/>
      <c r="BE171" s="525"/>
      <c r="BF171" s="525"/>
      <c r="BG171" s="525"/>
      <c r="BH171" s="525"/>
      <c r="BI171" s="525"/>
      <c r="BJ171" s="525"/>
      <c r="BK171" s="525"/>
      <c r="BL171" s="525"/>
      <c r="BM171" s="525"/>
      <c r="BN171" s="525"/>
      <c r="BO171" s="525"/>
      <c r="BP171" s="525"/>
      <c r="BQ171" s="525"/>
      <c r="BR171" s="525"/>
      <c r="BS171" s="525"/>
      <c r="BT171" s="525"/>
      <c r="BU171" s="525"/>
      <c r="BV171" s="525"/>
      <c r="BW171" s="525"/>
      <c r="BX171" s="525"/>
      <c r="BY171" s="525"/>
    </row>
    <row r="172" spans="1:77" x14ac:dyDescent="0.3">
      <c r="A172" s="551"/>
      <c r="B172" s="548"/>
      <c r="C172" s="525"/>
      <c r="D172" s="525"/>
      <c r="E172" s="609" t="str">
        <f>"Post-capex - outlet EBITDA: "&amp;E$157</f>
        <v>Post-capex - outlet EBITDA: FY29 Tranche</v>
      </c>
      <c r="F172" s="525"/>
      <c r="G172" s="525"/>
      <c r="H172" s="525"/>
      <c r="I172" s="525"/>
      <c r="J172" s="525"/>
      <c r="K172" s="525"/>
      <c r="L172" s="525"/>
      <c r="M172" s="525"/>
      <c r="N172" s="525"/>
      <c r="O172" s="525"/>
      <c r="P172" s="565"/>
      <c r="Q172" s="525"/>
      <c r="R172" s="527">
        <f t="shared" si="245"/>
        <v>1713763.6596854352</v>
      </c>
      <c r="S172" s="527">
        <f t="shared" si="246"/>
        <v>2018390.8513651928</v>
      </c>
      <c r="T172" s="527">
        <f t="shared" si="246"/>
        <v>2099126.4854198005</v>
      </c>
      <c r="U172" s="527">
        <f t="shared" si="246"/>
        <v>2183091.5448365924</v>
      </c>
      <c r="V172" s="527">
        <f t="shared" si="246"/>
        <v>2270415.2066300563</v>
      </c>
      <c r="W172" s="527">
        <f t="shared" si="246"/>
        <v>2361231.8148952588</v>
      </c>
      <c r="X172" s="525"/>
      <c r="Y172" s="525"/>
      <c r="Z172" s="525"/>
      <c r="AA172" s="525"/>
      <c r="AB172" s="525"/>
      <c r="AC172" s="525"/>
      <c r="AD172" s="525"/>
      <c r="AE172" s="525"/>
      <c r="AF172" s="525"/>
      <c r="AG172" s="525"/>
      <c r="AH172" s="525"/>
      <c r="AI172" s="525"/>
      <c r="AJ172" s="525"/>
      <c r="AK172" s="525"/>
      <c r="AL172" s="525"/>
      <c r="AM172" s="525"/>
      <c r="AN172" s="525"/>
      <c r="AO172" s="525"/>
      <c r="AP172" s="525"/>
      <c r="AQ172" s="525"/>
      <c r="AR172" s="525"/>
      <c r="AS172" s="525"/>
      <c r="AT172" s="525"/>
      <c r="AU172" s="525"/>
      <c r="AV172" s="525"/>
      <c r="AW172" s="525"/>
      <c r="AX172" s="525"/>
      <c r="AY172" s="525"/>
      <c r="AZ172" s="525"/>
      <c r="BA172" s="525"/>
      <c r="BB172" s="525"/>
      <c r="BC172" s="525"/>
      <c r="BD172" s="525"/>
      <c r="BE172" s="525"/>
      <c r="BF172" s="525"/>
      <c r="BG172" s="525"/>
      <c r="BH172" s="525"/>
      <c r="BI172" s="525"/>
      <c r="BJ172" s="525"/>
      <c r="BK172" s="525"/>
      <c r="BL172" s="525"/>
      <c r="BM172" s="525"/>
      <c r="BN172" s="525"/>
      <c r="BO172" s="525"/>
      <c r="BP172" s="525"/>
      <c r="BQ172" s="525"/>
      <c r="BR172" s="525"/>
      <c r="BS172" s="525"/>
      <c r="BT172" s="525"/>
      <c r="BU172" s="525"/>
      <c r="BV172" s="525"/>
      <c r="BW172" s="525"/>
      <c r="BX172" s="525"/>
      <c r="BY172" s="525"/>
    </row>
    <row r="173" spans="1:77" x14ac:dyDescent="0.3">
      <c r="A173" s="551"/>
      <c r="B173" s="548"/>
      <c r="C173" s="525"/>
      <c r="D173" s="525"/>
      <c r="E173" s="609" t="str">
        <f>"Post-capex - outlet EBITDA: "&amp;E$158</f>
        <v>Post-capex - outlet EBITDA: FY30 Tranche</v>
      </c>
      <c r="F173" s="525"/>
      <c r="G173" s="525"/>
      <c r="H173" s="525"/>
      <c r="I173" s="525"/>
      <c r="J173" s="525"/>
      <c r="K173" s="525"/>
      <c r="L173" s="525"/>
      <c r="M173" s="525"/>
      <c r="N173" s="525"/>
      <c r="O173" s="525"/>
      <c r="P173" s="565"/>
      <c r="Q173" s="525"/>
      <c r="R173" s="527">
        <f t="shared" si="245"/>
        <v>1772966.4300998929</v>
      </c>
      <c r="S173" s="527">
        <f t="shared" si="246"/>
        <v>2083892.5897606013</v>
      </c>
      <c r="T173" s="527">
        <f t="shared" si="246"/>
        <v>2167248.2933510253</v>
      </c>
      <c r="U173" s="527">
        <f t="shared" si="246"/>
        <v>2253938.2250850666</v>
      </c>
      <c r="V173" s="527">
        <f t="shared" si="246"/>
        <v>2344095.7540884693</v>
      </c>
      <c r="W173" s="527">
        <f t="shared" si="246"/>
        <v>2437859.5842520082</v>
      </c>
      <c r="X173" s="525"/>
      <c r="Y173" s="525"/>
      <c r="Z173" s="525"/>
      <c r="AA173" s="525"/>
      <c r="AB173" s="525"/>
      <c r="AC173" s="525"/>
      <c r="AD173" s="525"/>
      <c r="AE173" s="525"/>
      <c r="AF173" s="525"/>
      <c r="AG173" s="525"/>
      <c r="AH173" s="525"/>
      <c r="AI173" s="525"/>
      <c r="AJ173" s="525"/>
      <c r="AK173" s="525"/>
      <c r="AL173" s="525"/>
      <c r="AM173" s="525"/>
      <c r="AN173" s="525"/>
      <c r="AO173" s="525"/>
      <c r="AP173" s="525"/>
      <c r="AQ173" s="525"/>
      <c r="AR173" s="525"/>
      <c r="AS173" s="525"/>
      <c r="AT173" s="525"/>
      <c r="AU173" s="525"/>
      <c r="AV173" s="525"/>
      <c r="AW173" s="525"/>
      <c r="AX173" s="525"/>
      <c r="AY173" s="525"/>
      <c r="AZ173" s="525"/>
      <c r="BA173" s="525"/>
      <c r="BB173" s="525"/>
      <c r="BC173" s="525"/>
      <c r="BD173" s="525"/>
      <c r="BE173" s="525"/>
      <c r="BF173" s="525"/>
      <c r="BG173" s="525"/>
      <c r="BH173" s="525"/>
      <c r="BI173" s="525"/>
      <c r="BJ173" s="525"/>
      <c r="BK173" s="525"/>
      <c r="BL173" s="525"/>
      <c r="BM173" s="525"/>
      <c r="BN173" s="525"/>
      <c r="BO173" s="525"/>
      <c r="BP173" s="525"/>
      <c r="BQ173" s="525"/>
      <c r="BR173" s="525"/>
      <c r="BS173" s="525"/>
      <c r="BT173" s="525"/>
      <c r="BU173" s="525"/>
      <c r="BV173" s="525"/>
      <c r="BW173" s="525"/>
      <c r="BX173" s="525"/>
      <c r="BY173" s="525"/>
    </row>
    <row r="174" spans="1:77" x14ac:dyDescent="0.3">
      <c r="A174" s="551"/>
      <c r="B174" s="548"/>
      <c r="C174" s="525"/>
      <c r="D174" s="525"/>
      <c r="E174" s="609" t="str">
        <f>"Post-capex - outlet EBITDA: "&amp;E$159</f>
        <v>Post-capex - outlet EBITDA: FY31 Tranche</v>
      </c>
      <c r="F174" s="525"/>
      <c r="G174" s="525"/>
      <c r="H174" s="525"/>
      <c r="I174" s="525"/>
      <c r="J174" s="525"/>
      <c r="K174" s="525"/>
      <c r="L174" s="525"/>
      <c r="M174" s="525"/>
      <c r="N174" s="525"/>
      <c r="O174" s="525"/>
      <c r="P174" s="565"/>
      <c r="Q174" s="525"/>
      <c r="R174" s="527">
        <f t="shared" si="245"/>
        <v>1832376.8174727322</v>
      </c>
      <c r="S174" s="527">
        <f t="shared" si="246"/>
        <v>2149371.0049280873</v>
      </c>
      <c r="T174" s="527">
        <f t="shared" si="246"/>
        <v>2235345.8451252109</v>
      </c>
      <c r="U174" s="527">
        <f t="shared" si="246"/>
        <v>2324759.6789302193</v>
      </c>
      <c r="V174" s="527">
        <f t="shared" si="246"/>
        <v>2417750.066087428</v>
      </c>
      <c r="W174" s="527">
        <f t="shared" si="246"/>
        <v>2514460.0687309252</v>
      </c>
      <c r="X174" s="525"/>
      <c r="Y174" s="525"/>
      <c r="Z174" s="525"/>
      <c r="AA174" s="525"/>
      <c r="AB174" s="525"/>
      <c r="AC174" s="525"/>
      <c r="AD174" s="525"/>
      <c r="AE174" s="525"/>
      <c r="AF174" s="525"/>
      <c r="AG174" s="525"/>
      <c r="AH174" s="525"/>
      <c r="AI174" s="525"/>
      <c r="AJ174" s="525"/>
      <c r="AK174" s="525"/>
      <c r="AL174" s="525"/>
      <c r="AM174" s="525"/>
      <c r="AN174" s="525"/>
      <c r="AO174" s="525"/>
      <c r="AP174" s="525"/>
      <c r="AQ174" s="525"/>
      <c r="AR174" s="525"/>
      <c r="AS174" s="525"/>
      <c r="AT174" s="525"/>
      <c r="AU174" s="525"/>
      <c r="AV174" s="525"/>
      <c r="AW174" s="525"/>
      <c r="AX174" s="525"/>
      <c r="AY174" s="525"/>
      <c r="AZ174" s="525"/>
      <c r="BA174" s="525"/>
      <c r="BB174" s="525"/>
      <c r="BC174" s="525"/>
      <c r="BD174" s="525"/>
      <c r="BE174" s="525"/>
      <c r="BF174" s="525"/>
      <c r="BG174" s="525"/>
      <c r="BH174" s="525"/>
      <c r="BI174" s="525"/>
      <c r="BJ174" s="525"/>
      <c r="BK174" s="525"/>
      <c r="BL174" s="525"/>
      <c r="BM174" s="525"/>
      <c r="BN174" s="525"/>
      <c r="BO174" s="525"/>
      <c r="BP174" s="525"/>
      <c r="BQ174" s="525"/>
      <c r="BR174" s="525"/>
      <c r="BS174" s="525"/>
      <c r="BT174" s="525"/>
      <c r="BU174" s="525"/>
      <c r="BV174" s="525"/>
      <c r="BW174" s="525"/>
      <c r="BX174" s="525"/>
      <c r="BY174" s="525"/>
    </row>
    <row r="175" spans="1:77" x14ac:dyDescent="0.3">
      <c r="A175" s="551"/>
      <c r="B175" s="548"/>
      <c r="C175" s="525"/>
      <c r="D175" s="525"/>
      <c r="E175" s="609" t="str">
        <f>"Post-capex - outlet EBITDA: "&amp;E$160</f>
        <v>Post-capex - outlet EBITDA: Uninvested Tranche</v>
      </c>
      <c r="F175" s="525"/>
      <c r="G175" s="525"/>
      <c r="H175" s="525"/>
      <c r="I175" s="525"/>
      <c r="J175" s="525"/>
      <c r="K175" s="525"/>
      <c r="L175" s="525"/>
      <c r="M175" s="525"/>
      <c r="N175" s="525"/>
      <c r="O175" s="525"/>
      <c r="P175" s="565"/>
      <c r="Q175" s="525"/>
      <c r="R175" s="527">
        <f t="shared" si="245"/>
        <v>0</v>
      </c>
      <c r="S175" s="527">
        <f t="shared" si="246"/>
        <v>0</v>
      </c>
      <c r="T175" s="527">
        <f t="shared" si="246"/>
        <v>0</v>
      </c>
      <c r="U175" s="527">
        <f t="shared" si="246"/>
        <v>0</v>
      </c>
      <c r="V175" s="527">
        <f t="shared" si="246"/>
        <v>0</v>
      </c>
      <c r="W175" s="527">
        <f t="shared" si="246"/>
        <v>0</v>
      </c>
      <c r="X175" s="525"/>
      <c r="Y175" s="525"/>
      <c r="Z175" s="576"/>
      <c r="AA175" s="525"/>
      <c r="AB175" s="525"/>
      <c r="AC175" s="525"/>
      <c r="AD175" s="525"/>
      <c r="AE175" s="525"/>
      <c r="AF175" s="525"/>
      <c r="AG175" s="525"/>
      <c r="AH175" s="525"/>
      <c r="AI175" s="525"/>
      <c r="AJ175" s="525"/>
      <c r="AK175" s="525"/>
      <c r="AL175" s="525"/>
      <c r="AM175" s="525"/>
      <c r="AN175" s="525"/>
      <c r="AO175" s="525"/>
      <c r="AP175" s="525"/>
      <c r="AQ175" s="525"/>
      <c r="AR175" s="525"/>
      <c r="AS175" s="525"/>
      <c r="AT175" s="525"/>
      <c r="AU175" s="525"/>
      <c r="AV175" s="525"/>
      <c r="AW175" s="525"/>
      <c r="AX175" s="525"/>
      <c r="AY175" s="525"/>
      <c r="AZ175" s="525"/>
      <c r="BA175" s="525"/>
      <c r="BB175" s="525"/>
      <c r="BC175" s="525"/>
      <c r="BD175" s="525"/>
      <c r="BE175" s="525"/>
      <c r="BF175" s="525"/>
      <c r="BG175" s="525"/>
      <c r="BH175" s="525"/>
      <c r="BI175" s="525"/>
      <c r="BJ175" s="525"/>
      <c r="BK175" s="525"/>
      <c r="BL175" s="525"/>
      <c r="BM175" s="525"/>
      <c r="BN175" s="525"/>
      <c r="BO175" s="525"/>
      <c r="BP175" s="525"/>
      <c r="BQ175" s="525"/>
      <c r="BR175" s="525"/>
      <c r="BS175" s="525"/>
      <c r="BT175" s="525"/>
      <c r="BU175" s="525"/>
      <c r="BV175" s="525"/>
      <c r="BW175" s="525"/>
      <c r="BX175" s="525"/>
      <c r="BY175" s="525"/>
    </row>
    <row r="176" spans="1:77" x14ac:dyDescent="0.3">
      <c r="A176" s="551"/>
      <c r="B176" s="548"/>
      <c r="C176" s="525"/>
      <c r="D176" s="525"/>
      <c r="E176" s="525"/>
      <c r="F176" s="525"/>
      <c r="G176" s="525"/>
      <c r="H176" s="525"/>
      <c r="I176" s="525"/>
      <c r="J176" s="525"/>
      <c r="K176" s="525"/>
      <c r="L176" s="525"/>
      <c r="M176" s="525"/>
      <c r="N176" s="576"/>
      <c r="O176" s="537"/>
      <c r="P176" s="562"/>
      <c r="Q176" s="529"/>
      <c r="R176" s="525"/>
      <c r="S176" s="525"/>
      <c r="T176" s="525"/>
      <c r="U176" s="525"/>
      <c r="V176" s="525"/>
      <c r="W176" s="525"/>
      <c r="X176" s="525"/>
      <c r="Y176" s="529"/>
      <c r="Z176" s="525"/>
      <c r="AA176" s="525"/>
      <c r="AB176" s="525"/>
      <c r="AC176" s="525"/>
      <c r="AD176" s="525"/>
      <c r="AE176" s="525"/>
      <c r="AF176" s="525"/>
      <c r="AG176" s="525"/>
      <c r="AH176" s="525"/>
      <c r="AI176" s="525"/>
      <c r="AJ176" s="525"/>
      <c r="AK176" s="525"/>
      <c r="AL176" s="525"/>
      <c r="AM176" s="525"/>
      <c r="AN176" s="525"/>
      <c r="AO176" s="525"/>
      <c r="AP176" s="525"/>
      <c r="AQ176" s="525"/>
      <c r="AR176" s="525"/>
      <c r="AS176" s="525"/>
      <c r="AT176" s="525"/>
      <c r="AU176" s="525"/>
      <c r="AV176" s="525"/>
      <c r="AW176" s="525"/>
      <c r="AX176" s="525"/>
      <c r="AY176" s="525"/>
      <c r="AZ176" s="525"/>
      <c r="BA176" s="525"/>
      <c r="BB176" s="525"/>
      <c r="BC176" s="525"/>
      <c r="BD176" s="525"/>
      <c r="BE176" s="525"/>
      <c r="BF176" s="525"/>
      <c r="BG176" s="525"/>
      <c r="BH176" s="525"/>
      <c r="BI176" s="525"/>
      <c r="BJ176" s="525"/>
      <c r="BK176" s="525"/>
      <c r="BL176" s="525"/>
      <c r="BM176" s="525"/>
      <c r="BN176" s="525"/>
      <c r="BO176" s="525"/>
      <c r="BP176" s="525"/>
      <c r="BQ176" s="525"/>
      <c r="BR176" s="525"/>
      <c r="BS176" s="525"/>
      <c r="BT176" s="525"/>
      <c r="BU176" s="525"/>
      <c r="BV176" s="525"/>
      <c r="BW176" s="525"/>
      <c r="BX176" s="525"/>
      <c r="BY176" s="525"/>
    </row>
    <row r="177" spans="1:77" x14ac:dyDescent="0.3">
      <c r="A177" s="551"/>
      <c r="B177" s="548"/>
      <c r="C177" s="525"/>
      <c r="D177" s="525"/>
      <c r="E177" s="611" t="str">
        <f>"Outlet EBITDA: "&amp;E$155</f>
        <v>Outlet EBITDA: FY27 Tranche</v>
      </c>
      <c r="F177" s="525"/>
      <c r="G177" s="525"/>
      <c r="H177" s="525"/>
      <c r="I177" s="525"/>
      <c r="J177" s="525"/>
      <c r="K177" s="525"/>
      <c r="L177" s="525"/>
      <c r="M177" s="525"/>
      <c r="N177" s="525"/>
      <c r="O177" s="525"/>
      <c r="P177" s="562"/>
      <c r="Q177" s="529"/>
      <c r="R177" s="527">
        <f t="shared" ref="R177:AW177" si="247">(R490*R$615*$R155)+IF(R498=0,0,INDEX($S170:$W170,MATCH(R498,$S$169:$W$169,0))/12)</f>
        <v>132405.6862650456</v>
      </c>
      <c r="S177" s="527">
        <f t="shared" si="247"/>
        <v>132405.6862650456</v>
      </c>
      <c r="T177" s="527">
        <f t="shared" si="247"/>
        <v>132405.6862650456</v>
      </c>
      <c r="U177" s="527">
        <f t="shared" si="247"/>
        <v>132405.6862650456</v>
      </c>
      <c r="V177" s="527">
        <f t="shared" si="247"/>
        <v>132405.6862650456</v>
      </c>
      <c r="W177" s="527">
        <f t="shared" si="247"/>
        <v>132405.6862650456</v>
      </c>
      <c r="X177" s="527">
        <f t="shared" si="247"/>
        <v>156650.69738094858</v>
      </c>
      <c r="Y177" s="527">
        <f t="shared" si="247"/>
        <v>156650.69738094858</v>
      </c>
      <c r="Z177" s="527">
        <f t="shared" si="247"/>
        <v>156650.69738094858</v>
      </c>
      <c r="AA177" s="527">
        <f t="shared" si="247"/>
        <v>156650.69738094858</v>
      </c>
      <c r="AB177" s="527">
        <f t="shared" si="247"/>
        <v>156650.69738094858</v>
      </c>
      <c r="AC177" s="527">
        <f t="shared" si="247"/>
        <v>156650.69738094858</v>
      </c>
      <c r="AD177" s="527">
        <f t="shared" si="247"/>
        <v>156650.69738094858</v>
      </c>
      <c r="AE177" s="527">
        <f t="shared" si="247"/>
        <v>156650.69738094858</v>
      </c>
      <c r="AF177" s="527">
        <f t="shared" si="247"/>
        <v>156650.69738094858</v>
      </c>
      <c r="AG177" s="527">
        <f t="shared" si="247"/>
        <v>156650.69738094858</v>
      </c>
      <c r="AH177" s="527">
        <f t="shared" si="247"/>
        <v>156650.69738094858</v>
      </c>
      <c r="AI177" s="527">
        <f t="shared" si="247"/>
        <v>156650.69738094858</v>
      </c>
      <c r="AJ177" s="527">
        <f t="shared" si="247"/>
        <v>162916.72527618651</v>
      </c>
      <c r="AK177" s="527">
        <f t="shared" si="247"/>
        <v>162916.72527618651</v>
      </c>
      <c r="AL177" s="527">
        <f t="shared" si="247"/>
        <v>162916.72527618651</v>
      </c>
      <c r="AM177" s="527">
        <f t="shared" si="247"/>
        <v>162916.72527618651</v>
      </c>
      <c r="AN177" s="527">
        <f t="shared" si="247"/>
        <v>162916.72527618651</v>
      </c>
      <c r="AO177" s="527">
        <f t="shared" si="247"/>
        <v>162916.72527618651</v>
      </c>
      <c r="AP177" s="527">
        <f t="shared" si="247"/>
        <v>162916.72527618651</v>
      </c>
      <c r="AQ177" s="527">
        <f t="shared" si="247"/>
        <v>162916.72527618651</v>
      </c>
      <c r="AR177" s="527">
        <f t="shared" si="247"/>
        <v>162916.72527618651</v>
      </c>
      <c r="AS177" s="527">
        <f t="shared" si="247"/>
        <v>162916.72527618651</v>
      </c>
      <c r="AT177" s="527">
        <f t="shared" si="247"/>
        <v>162916.72527618651</v>
      </c>
      <c r="AU177" s="527">
        <f t="shared" si="247"/>
        <v>162916.72527618651</v>
      </c>
      <c r="AV177" s="527">
        <f t="shared" si="247"/>
        <v>169433.39428723397</v>
      </c>
      <c r="AW177" s="527">
        <f t="shared" si="247"/>
        <v>169433.39428723397</v>
      </c>
      <c r="AX177" s="527">
        <f t="shared" ref="AX177:BY177" si="248">(AX490*AX$615*$R155)+IF(AX498=0,0,INDEX($S170:$W170,MATCH(AX498,$S$169:$W$169,0))/12)</f>
        <v>169433.39428723397</v>
      </c>
      <c r="AY177" s="527">
        <f t="shared" si="248"/>
        <v>169433.39428723397</v>
      </c>
      <c r="AZ177" s="527">
        <f t="shared" si="248"/>
        <v>169433.39428723397</v>
      </c>
      <c r="BA177" s="527">
        <f t="shared" si="248"/>
        <v>169433.39428723397</v>
      </c>
      <c r="BB177" s="527">
        <f t="shared" si="248"/>
        <v>169433.39428723397</v>
      </c>
      <c r="BC177" s="527">
        <f t="shared" si="248"/>
        <v>169433.39428723397</v>
      </c>
      <c r="BD177" s="527">
        <f t="shared" si="248"/>
        <v>169433.39428723397</v>
      </c>
      <c r="BE177" s="527">
        <f t="shared" si="248"/>
        <v>169433.39428723397</v>
      </c>
      <c r="BF177" s="527">
        <f t="shared" si="248"/>
        <v>169433.39428723397</v>
      </c>
      <c r="BG177" s="527">
        <f t="shared" si="248"/>
        <v>169433.39428723397</v>
      </c>
      <c r="BH177" s="527">
        <f t="shared" si="248"/>
        <v>176210.73005872336</v>
      </c>
      <c r="BI177" s="527">
        <f t="shared" si="248"/>
        <v>176210.73005872336</v>
      </c>
      <c r="BJ177" s="527">
        <f t="shared" si="248"/>
        <v>176210.73005872336</v>
      </c>
      <c r="BK177" s="527">
        <f t="shared" si="248"/>
        <v>176210.73005872336</v>
      </c>
      <c r="BL177" s="527">
        <f t="shared" si="248"/>
        <v>176210.73005872336</v>
      </c>
      <c r="BM177" s="527">
        <f t="shared" si="248"/>
        <v>176210.73005872336</v>
      </c>
      <c r="BN177" s="527">
        <f t="shared" si="248"/>
        <v>176210.73005872336</v>
      </c>
      <c r="BO177" s="527">
        <f t="shared" si="248"/>
        <v>176210.73005872336</v>
      </c>
      <c r="BP177" s="527">
        <f t="shared" si="248"/>
        <v>176210.73005872336</v>
      </c>
      <c r="BQ177" s="527">
        <f t="shared" si="248"/>
        <v>176210.73005872336</v>
      </c>
      <c r="BR177" s="527">
        <f t="shared" si="248"/>
        <v>176210.73005872336</v>
      </c>
      <c r="BS177" s="527">
        <f t="shared" si="248"/>
        <v>176210.73005872336</v>
      </c>
      <c r="BT177" s="527">
        <f t="shared" si="248"/>
        <v>183259.15926107229</v>
      </c>
      <c r="BU177" s="527">
        <f t="shared" si="248"/>
        <v>183259.15926107229</v>
      </c>
      <c r="BV177" s="527">
        <f t="shared" si="248"/>
        <v>183259.15926107229</v>
      </c>
      <c r="BW177" s="527">
        <f t="shared" si="248"/>
        <v>183259.15926107229</v>
      </c>
      <c r="BX177" s="527">
        <f t="shared" si="248"/>
        <v>183259.15926107229</v>
      </c>
      <c r="BY177" s="527">
        <f t="shared" si="248"/>
        <v>183259.15926107229</v>
      </c>
    </row>
    <row r="178" spans="1:77" x14ac:dyDescent="0.3">
      <c r="A178" s="551"/>
      <c r="B178" s="548"/>
      <c r="C178" s="525"/>
      <c r="D178" s="525"/>
      <c r="E178" s="611" t="str">
        <f>"Outlet EBITDA: "&amp;E$156</f>
        <v>Outlet EBITDA: FY28 Tranche</v>
      </c>
      <c r="F178" s="525"/>
      <c r="G178" s="525"/>
      <c r="H178" s="525"/>
      <c r="I178" s="525"/>
      <c r="J178" s="525"/>
      <c r="K178" s="525"/>
      <c r="L178" s="525"/>
      <c r="M178" s="525"/>
      <c r="N178" s="525"/>
      <c r="O178" s="525"/>
      <c r="P178" s="565"/>
      <c r="Q178" s="525"/>
      <c r="R178" s="527">
        <f>(R491*R$615*$R156)</f>
        <v>132405.6862650456</v>
      </c>
      <c r="S178" s="527">
        <f t="shared" ref="S178:AX178" si="249">(S491*S$615*$R156)+IF(S499=0,0,INDEX($S171:$W171,MATCH(S499,$S$169:$W$169,0))/12)</f>
        <v>132405.6862650456</v>
      </c>
      <c r="T178" s="527">
        <f t="shared" si="249"/>
        <v>132405.6862650456</v>
      </c>
      <c r="U178" s="527">
        <f t="shared" si="249"/>
        <v>132405.6862650456</v>
      </c>
      <c r="V178" s="527">
        <f t="shared" si="249"/>
        <v>132405.6862650456</v>
      </c>
      <c r="W178" s="527">
        <f t="shared" si="249"/>
        <v>132405.6862650456</v>
      </c>
      <c r="X178" s="527">
        <f t="shared" si="249"/>
        <v>132405.6862650456</v>
      </c>
      <c r="Y178" s="527">
        <f t="shared" si="249"/>
        <v>132405.6862650456</v>
      </c>
      <c r="Z178" s="527">
        <f t="shared" si="249"/>
        <v>132405.6862650456</v>
      </c>
      <c r="AA178" s="527">
        <f t="shared" si="249"/>
        <v>132405.6862650456</v>
      </c>
      <c r="AB178" s="527">
        <f t="shared" si="249"/>
        <v>132405.6862650456</v>
      </c>
      <c r="AC178" s="527">
        <f t="shared" si="249"/>
        <v>132405.6862650456</v>
      </c>
      <c r="AD178" s="527">
        <f t="shared" si="249"/>
        <v>137634.05934363737</v>
      </c>
      <c r="AE178" s="527">
        <f t="shared" si="249"/>
        <v>137634.05934363737</v>
      </c>
      <c r="AF178" s="527">
        <f t="shared" si="249"/>
        <v>137634.05934363737</v>
      </c>
      <c r="AG178" s="527">
        <f t="shared" si="249"/>
        <v>137634.05934363737</v>
      </c>
      <c r="AH178" s="527">
        <f t="shared" si="249"/>
        <v>137634.05934363737</v>
      </c>
      <c r="AI178" s="527">
        <f t="shared" si="249"/>
        <v>137634.05934363737</v>
      </c>
      <c r="AJ178" s="527">
        <f t="shared" si="249"/>
        <v>162462.1581342241</v>
      </c>
      <c r="AK178" s="527">
        <f t="shared" si="249"/>
        <v>162462.1581342241</v>
      </c>
      <c r="AL178" s="527">
        <f t="shared" si="249"/>
        <v>162462.1581342241</v>
      </c>
      <c r="AM178" s="527">
        <f t="shared" si="249"/>
        <v>162462.1581342241</v>
      </c>
      <c r="AN178" s="527">
        <f t="shared" si="249"/>
        <v>162462.1581342241</v>
      </c>
      <c r="AO178" s="527">
        <f t="shared" si="249"/>
        <v>162462.1581342241</v>
      </c>
      <c r="AP178" s="527">
        <f t="shared" si="249"/>
        <v>162462.1581342241</v>
      </c>
      <c r="AQ178" s="527">
        <f t="shared" si="249"/>
        <v>162462.1581342241</v>
      </c>
      <c r="AR178" s="527">
        <f t="shared" si="249"/>
        <v>162462.1581342241</v>
      </c>
      <c r="AS178" s="527">
        <f t="shared" si="249"/>
        <v>162462.1581342241</v>
      </c>
      <c r="AT178" s="527">
        <f t="shared" si="249"/>
        <v>162462.1581342241</v>
      </c>
      <c r="AU178" s="527">
        <f t="shared" si="249"/>
        <v>162462.1581342241</v>
      </c>
      <c r="AV178" s="527">
        <f t="shared" si="249"/>
        <v>168960.64445959305</v>
      </c>
      <c r="AW178" s="527">
        <f t="shared" si="249"/>
        <v>168960.64445959305</v>
      </c>
      <c r="AX178" s="527">
        <f t="shared" si="249"/>
        <v>168960.64445959305</v>
      </c>
      <c r="AY178" s="527">
        <f t="shared" ref="AY178:BY178" si="250">(AY491*AY$615*$R156)+IF(AY499=0,0,INDEX($S171:$W171,MATCH(AY499,$S$169:$W$169,0))/12)</f>
        <v>168960.64445959305</v>
      </c>
      <c r="AZ178" s="527">
        <f t="shared" si="250"/>
        <v>168960.64445959305</v>
      </c>
      <c r="BA178" s="527">
        <f t="shared" si="250"/>
        <v>168960.64445959305</v>
      </c>
      <c r="BB178" s="527">
        <f t="shared" si="250"/>
        <v>168960.64445959305</v>
      </c>
      <c r="BC178" s="527">
        <f t="shared" si="250"/>
        <v>168960.64445959305</v>
      </c>
      <c r="BD178" s="527">
        <f t="shared" si="250"/>
        <v>168960.64445959305</v>
      </c>
      <c r="BE178" s="527">
        <f t="shared" si="250"/>
        <v>168960.64445959305</v>
      </c>
      <c r="BF178" s="527">
        <f t="shared" si="250"/>
        <v>168960.64445959305</v>
      </c>
      <c r="BG178" s="527">
        <f t="shared" si="250"/>
        <v>168960.64445959305</v>
      </c>
      <c r="BH178" s="527">
        <f t="shared" si="250"/>
        <v>175719.07023797676</v>
      </c>
      <c r="BI178" s="527">
        <f t="shared" si="250"/>
        <v>175719.07023797676</v>
      </c>
      <c r="BJ178" s="527">
        <f t="shared" si="250"/>
        <v>175719.07023797676</v>
      </c>
      <c r="BK178" s="527">
        <f t="shared" si="250"/>
        <v>175719.07023797676</v>
      </c>
      <c r="BL178" s="527">
        <f t="shared" si="250"/>
        <v>175719.07023797676</v>
      </c>
      <c r="BM178" s="527">
        <f t="shared" si="250"/>
        <v>175719.07023797676</v>
      </c>
      <c r="BN178" s="527">
        <f t="shared" si="250"/>
        <v>175719.07023797676</v>
      </c>
      <c r="BO178" s="527">
        <f t="shared" si="250"/>
        <v>175719.07023797676</v>
      </c>
      <c r="BP178" s="527">
        <f t="shared" si="250"/>
        <v>175719.07023797676</v>
      </c>
      <c r="BQ178" s="527">
        <f t="shared" si="250"/>
        <v>175719.07023797676</v>
      </c>
      <c r="BR178" s="527">
        <f t="shared" si="250"/>
        <v>175719.07023797676</v>
      </c>
      <c r="BS178" s="527">
        <f t="shared" si="250"/>
        <v>175719.07023797676</v>
      </c>
      <c r="BT178" s="527">
        <f t="shared" si="250"/>
        <v>182747.83304749583</v>
      </c>
      <c r="BU178" s="527">
        <f t="shared" si="250"/>
        <v>182747.83304749583</v>
      </c>
      <c r="BV178" s="527">
        <f t="shared" si="250"/>
        <v>182747.83304749583</v>
      </c>
      <c r="BW178" s="527">
        <f t="shared" si="250"/>
        <v>182747.83304749583</v>
      </c>
      <c r="BX178" s="527">
        <f t="shared" si="250"/>
        <v>182747.83304749583</v>
      </c>
      <c r="BY178" s="527">
        <f t="shared" si="250"/>
        <v>182747.83304749583</v>
      </c>
    </row>
    <row r="179" spans="1:77" x14ac:dyDescent="0.3">
      <c r="A179" s="551"/>
      <c r="B179" s="548"/>
      <c r="C179" s="525"/>
      <c r="D179" s="525"/>
      <c r="E179" s="611" t="str">
        <f>"Outlet EBITDA: "&amp;E$157</f>
        <v>Outlet EBITDA: FY29 Tranche</v>
      </c>
      <c r="F179" s="525"/>
      <c r="G179" s="525"/>
      <c r="H179" s="525"/>
      <c r="I179" s="525"/>
      <c r="J179" s="525"/>
      <c r="K179" s="525"/>
      <c r="L179" s="525"/>
      <c r="M179" s="525"/>
      <c r="N179" s="525"/>
      <c r="O179" s="525"/>
      <c r="P179" s="565"/>
      <c r="Q179" s="525"/>
      <c r="R179" s="527">
        <f>(R492*R$615*$R157)</f>
        <v>132405.6862650456</v>
      </c>
      <c r="S179" s="527">
        <f t="shared" ref="S179:AX179" si="251">(S492*S$615*$R157)+IF(S500=0,0,INDEX($S172:$W172,MATCH(S500,$S$169:$W$169,0))/12)</f>
        <v>132405.6862650456</v>
      </c>
      <c r="T179" s="527">
        <f t="shared" si="251"/>
        <v>132405.6862650456</v>
      </c>
      <c r="U179" s="527">
        <f t="shared" si="251"/>
        <v>132405.6862650456</v>
      </c>
      <c r="V179" s="527">
        <f t="shared" si="251"/>
        <v>132405.6862650456</v>
      </c>
      <c r="W179" s="527">
        <f t="shared" si="251"/>
        <v>132405.6862650456</v>
      </c>
      <c r="X179" s="527">
        <f t="shared" si="251"/>
        <v>132405.6862650456</v>
      </c>
      <c r="Y179" s="527">
        <f t="shared" si="251"/>
        <v>132405.6862650456</v>
      </c>
      <c r="Z179" s="527">
        <f t="shared" si="251"/>
        <v>132405.6862650456</v>
      </c>
      <c r="AA179" s="527">
        <f t="shared" si="251"/>
        <v>132405.6862650456</v>
      </c>
      <c r="AB179" s="527">
        <f t="shared" si="251"/>
        <v>132405.6862650456</v>
      </c>
      <c r="AC179" s="527">
        <f t="shared" si="251"/>
        <v>132405.6862650456</v>
      </c>
      <c r="AD179" s="527">
        <f t="shared" si="251"/>
        <v>137634.05934363737</v>
      </c>
      <c r="AE179" s="527">
        <f t="shared" si="251"/>
        <v>137634.05934363737</v>
      </c>
      <c r="AF179" s="527">
        <f t="shared" si="251"/>
        <v>137634.05934363737</v>
      </c>
      <c r="AG179" s="527">
        <f t="shared" si="251"/>
        <v>137634.05934363737</v>
      </c>
      <c r="AH179" s="527">
        <f t="shared" si="251"/>
        <v>137634.05934363737</v>
      </c>
      <c r="AI179" s="527">
        <f t="shared" si="251"/>
        <v>137634.05934363737</v>
      </c>
      <c r="AJ179" s="527">
        <f t="shared" si="251"/>
        <v>137634.05934363737</v>
      </c>
      <c r="AK179" s="527">
        <f t="shared" si="251"/>
        <v>137634.05934363737</v>
      </c>
      <c r="AL179" s="527">
        <f t="shared" si="251"/>
        <v>137634.05934363737</v>
      </c>
      <c r="AM179" s="527">
        <f t="shared" si="251"/>
        <v>137634.05934363737</v>
      </c>
      <c r="AN179" s="527">
        <f t="shared" si="251"/>
        <v>137634.05934363737</v>
      </c>
      <c r="AO179" s="527">
        <f t="shared" si="251"/>
        <v>137634.05934363737</v>
      </c>
      <c r="AP179" s="527">
        <f t="shared" si="251"/>
        <v>142813.6383071196</v>
      </c>
      <c r="AQ179" s="527">
        <f t="shared" si="251"/>
        <v>142813.6383071196</v>
      </c>
      <c r="AR179" s="527">
        <f t="shared" si="251"/>
        <v>142813.6383071196</v>
      </c>
      <c r="AS179" s="527">
        <f t="shared" si="251"/>
        <v>142813.6383071196</v>
      </c>
      <c r="AT179" s="527">
        <f t="shared" si="251"/>
        <v>142813.6383071196</v>
      </c>
      <c r="AU179" s="527">
        <f t="shared" si="251"/>
        <v>142813.6383071196</v>
      </c>
      <c r="AV179" s="527">
        <f t="shared" si="251"/>
        <v>168199.23761376608</v>
      </c>
      <c r="AW179" s="527">
        <f t="shared" si="251"/>
        <v>168199.23761376608</v>
      </c>
      <c r="AX179" s="527">
        <f t="shared" si="251"/>
        <v>168199.23761376608</v>
      </c>
      <c r="AY179" s="527">
        <f t="shared" ref="AY179:BY179" si="252">(AY492*AY$615*$R157)+IF(AY500=0,0,INDEX($S172:$W172,MATCH(AY500,$S$169:$W$169,0))/12)</f>
        <v>168199.23761376608</v>
      </c>
      <c r="AZ179" s="527">
        <f t="shared" si="252"/>
        <v>168199.23761376608</v>
      </c>
      <c r="BA179" s="527">
        <f t="shared" si="252"/>
        <v>168199.23761376608</v>
      </c>
      <c r="BB179" s="527">
        <f t="shared" si="252"/>
        <v>168199.23761376608</v>
      </c>
      <c r="BC179" s="527">
        <f t="shared" si="252"/>
        <v>168199.23761376608</v>
      </c>
      <c r="BD179" s="527">
        <f t="shared" si="252"/>
        <v>168199.23761376608</v>
      </c>
      <c r="BE179" s="527">
        <f t="shared" si="252"/>
        <v>168199.23761376608</v>
      </c>
      <c r="BF179" s="527">
        <f t="shared" si="252"/>
        <v>168199.23761376608</v>
      </c>
      <c r="BG179" s="527">
        <f t="shared" si="252"/>
        <v>168199.23761376608</v>
      </c>
      <c r="BH179" s="527">
        <f t="shared" si="252"/>
        <v>174927.2071183167</v>
      </c>
      <c r="BI179" s="527">
        <f t="shared" si="252"/>
        <v>174927.2071183167</v>
      </c>
      <c r="BJ179" s="527">
        <f t="shared" si="252"/>
        <v>174927.2071183167</v>
      </c>
      <c r="BK179" s="527">
        <f t="shared" si="252"/>
        <v>174927.2071183167</v>
      </c>
      <c r="BL179" s="527">
        <f t="shared" si="252"/>
        <v>174927.2071183167</v>
      </c>
      <c r="BM179" s="527">
        <f t="shared" si="252"/>
        <v>174927.2071183167</v>
      </c>
      <c r="BN179" s="527">
        <f t="shared" si="252"/>
        <v>174927.2071183167</v>
      </c>
      <c r="BO179" s="527">
        <f t="shared" si="252"/>
        <v>174927.2071183167</v>
      </c>
      <c r="BP179" s="527">
        <f t="shared" si="252"/>
        <v>174927.2071183167</v>
      </c>
      <c r="BQ179" s="527">
        <f t="shared" si="252"/>
        <v>174927.2071183167</v>
      </c>
      <c r="BR179" s="527">
        <f t="shared" si="252"/>
        <v>174927.2071183167</v>
      </c>
      <c r="BS179" s="527">
        <f t="shared" si="252"/>
        <v>174927.2071183167</v>
      </c>
      <c r="BT179" s="527">
        <f t="shared" si="252"/>
        <v>181924.29540304936</v>
      </c>
      <c r="BU179" s="527">
        <f t="shared" si="252"/>
        <v>181924.29540304936</v>
      </c>
      <c r="BV179" s="527">
        <f t="shared" si="252"/>
        <v>181924.29540304936</v>
      </c>
      <c r="BW179" s="527">
        <f t="shared" si="252"/>
        <v>181924.29540304936</v>
      </c>
      <c r="BX179" s="527">
        <f t="shared" si="252"/>
        <v>181924.29540304936</v>
      </c>
      <c r="BY179" s="527">
        <f t="shared" si="252"/>
        <v>181924.29540304936</v>
      </c>
    </row>
    <row r="180" spans="1:77" x14ac:dyDescent="0.3">
      <c r="A180" s="551"/>
      <c r="B180" s="548"/>
      <c r="C180" s="525"/>
      <c r="D180" s="525"/>
      <c r="E180" s="611" t="str">
        <f>"Outlet EBITDA: "&amp;E$158</f>
        <v>Outlet EBITDA: FY30 Tranche</v>
      </c>
      <c r="F180" s="525"/>
      <c r="G180" s="525"/>
      <c r="H180" s="525"/>
      <c r="I180" s="525"/>
      <c r="J180" s="525"/>
      <c r="K180" s="525"/>
      <c r="L180" s="525"/>
      <c r="M180" s="525"/>
      <c r="N180" s="525"/>
      <c r="O180" s="525"/>
      <c r="P180" s="565"/>
      <c r="Q180" s="525"/>
      <c r="R180" s="527">
        <f>(R493*R$615*$R158)</f>
        <v>132405.6862650456</v>
      </c>
      <c r="S180" s="527">
        <f t="shared" ref="S180:AX180" si="253">(S493*S$615*$R158)+IF(S501=0,0,INDEX($S173:$W173,MATCH(S501,$S$169:$W$169,0))/12)</f>
        <v>132405.6862650456</v>
      </c>
      <c r="T180" s="527">
        <f t="shared" si="253"/>
        <v>132405.6862650456</v>
      </c>
      <c r="U180" s="527">
        <f t="shared" si="253"/>
        <v>132405.6862650456</v>
      </c>
      <c r="V180" s="527">
        <f t="shared" si="253"/>
        <v>132405.6862650456</v>
      </c>
      <c r="W180" s="527">
        <f t="shared" si="253"/>
        <v>132405.6862650456</v>
      </c>
      <c r="X180" s="527">
        <f t="shared" si="253"/>
        <v>132405.6862650456</v>
      </c>
      <c r="Y180" s="527">
        <f t="shared" si="253"/>
        <v>132405.6862650456</v>
      </c>
      <c r="Z180" s="527">
        <f t="shared" si="253"/>
        <v>132405.6862650456</v>
      </c>
      <c r="AA180" s="527">
        <f t="shared" si="253"/>
        <v>132405.6862650456</v>
      </c>
      <c r="AB180" s="527">
        <f t="shared" si="253"/>
        <v>132405.6862650456</v>
      </c>
      <c r="AC180" s="527">
        <f t="shared" si="253"/>
        <v>132405.6862650456</v>
      </c>
      <c r="AD180" s="527">
        <f t="shared" si="253"/>
        <v>137634.05934363737</v>
      </c>
      <c r="AE180" s="527">
        <f t="shared" si="253"/>
        <v>137634.05934363737</v>
      </c>
      <c r="AF180" s="527">
        <f t="shared" si="253"/>
        <v>137634.05934363737</v>
      </c>
      <c r="AG180" s="527">
        <f t="shared" si="253"/>
        <v>137634.05934363737</v>
      </c>
      <c r="AH180" s="527">
        <f t="shared" si="253"/>
        <v>137634.05934363737</v>
      </c>
      <c r="AI180" s="527">
        <f t="shared" si="253"/>
        <v>137634.05934363737</v>
      </c>
      <c r="AJ180" s="527">
        <f t="shared" si="253"/>
        <v>137634.05934363737</v>
      </c>
      <c r="AK180" s="527">
        <f t="shared" si="253"/>
        <v>137634.05934363737</v>
      </c>
      <c r="AL180" s="527">
        <f t="shared" si="253"/>
        <v>137634.05934363737</v>
      </c>
      <c r="AM180" s="527">
        <f t="shared" si="253"/>
        <v>137634.05934363737</v>
      </c>
      <c r="AN180" s="527">
        <f t="shared" si="253"/>
        <v>137634.05934363737</v>
      </c>
      <c r="AO180" s="527">
        <f t="shared" si="253"/>
        <v>137634.05934363737</v>
      </c>
      <c r="AP180" s="527">
        <f t="shared" si="253"/>
        <v>142813.6383071196</v>
      </c>
      <c r="AQ180" s="527">
        <f t="shared" si="253"/>
        <v>142813.6383071196</v>
      </c>
      <c r="AR180" s="527">
        <f t="shared" si="253"/>
        <v>142813.6383071196</v>
      </c>
      <c r="AS180" s="527">
        <f t="shared" si="253"/>
        <v>142813.6383071196</v>
      </c>
      <c r="AT180" s="527">
        <f t="shared" si="253"/>
        <v>142813.6383071196</v>
      </c>
      <c r="AU180" s="527">
        <f t="shared" si="253"/>
        <v>142813.6383071196</v>
      </c>
      <c r="AV180" s="527">
        <f t="shared" si="253"/>
        <v>142813.6383071196</v>
      </c>
      <c r="AW180" s="527">
        <f t="shared" si="253"/>
        <v>142813.6383071196</v>
      </c>
      <c r="AX180" s="527">
        <f t="shared" si="253"/>
        <v>142813.6383071196</v>
      </c>
      <c r="AY180" s="527">
        <f t="shared" ref="AY180:BY180" si="254">(AY493*AY$615*$R158)+IF(AY501=0,0,INDEX($S173:$W173,MATCH(AY501,$S$169:$W$169,0))/12)</f>
        <v>142813.6383071196</v>
      </c>
      <c r="AZ180" s="527">
        <f t="shared" si="254"/>
        <v>142813.6383071196</v>
      </c>
      <c r="BA180" s="527">
        <f t="shared" si="254"/>
        <v>142813.6383071196</v>
      </c>
      <c r="BB180" s="527">
        <f t="shared" si="254"/>
        <v>147747.20250832441</v>
      </c>
      <c r="BC180" s="527">
        <f t="shared" si="254"/>
        <v>147747.20250832441</v>
      </c>
      <c r="BD180" s="527">
        <f t="shared" si="254"/>
        <v>147747.20250832441</v>
      </c>
      <c r="BE180" s="527">
        <f t="shared" si="254"/>
        <v>147747.20250832441</v>
      </c>
      <c r="BF180" s="527">
        <f t="shared" si="254"/>
        <v>147747.20250832441</v>
      </c>
      <c r="BG180" s="527">
        <f t="shared" si="254"/>
        <v>147747.20250832441</v>
      </c>
      <c r="BH180" s="527">
        <f t="shared" si="254"/>
        <v>173657.71581338343</v>
      </c>
      <c r="BI180" s="527">
        <f t="shared" si="254"/>
        <v>173657.71581338343</v>
      </c>
      <c r="BJ180" s="527">
        <f t="shared" si="254"/>
        <v>173657.71581338343</v>
      </c>
      <c r="BK180" s="527">
        <f t="shared" si="254"/>
        <v>173657.71581338343</v>
      </c>
      <c r="BL180" s="527">
        <f t="shared" si="254"/>
        <v>173657.71581338343</v>
      </c>
      <c r="BM180" s="527">
        <f t="shared" si="254"/>
        <v>173657.71581338343</v>
      </c>
      <c r="BN180" s="527">
        <f t="shared" si="254"/>
        <v>173657.71581338343</v>
      </c>
      <c r="BO180" s="527">
        <f t="shared" si="254"/>
        <v>173657.71581338343</v>
      </c>
      <c r="BP180" s="527">
        <f t="shared" si="254"/>
        <v>173657.71581338343</v>
      </c>
      <c r="BQ180" s="527">
        <f t="shared" si="254"/>
        <v>173657.71581338343</v>
      </c>
      <c r="BR180" s="527">
        <f t="shared" si="254"/>
        <v>173657.71581338343</v>
      </c>
      <c r="BS180" s="527">
        <f t="shared" si="254"/>
        <v>173657.71581338343</v>
      </c>
      <c r="BT180" s="527">
        <f t="shared" si="254"/>
        <v>180604.02444591877</v>
      </c>
      <c r="BU180" s="527">
        <f t="shared" si="254"/>
        <v>180604.02444591877</v>
      </c>
      <c r="BV180" s="527">
        <f t="shared" si="254"/>
        <v>180604.02444591877</v>
      </c>
      <c r="BW180" s="527">
        <f t="shared" si="254"/>
        <v>180604.02444591877</v>
      </c>
      <c r="BX180" s="527">
        <f t="shared" si="254"/>
        <v>180604.02444591877</v>
      </c>
      <c r="BY180" s="527">
        <f t="shared" si="254"/>
        <v>180604.02444591877</v>
      </c>
    </row>
    <row r="181" spans="1:77" x14ac:dyDescent="0.3">
      <c r="A181" s="551"/>
      <c r="B181" s="548"/>
      <c r="C181" s="525"/>
      <c r="D181" s="525"/>
      <c r="E181" s="611" t="str">
        <f>"Outlet EBITDA: "&amp;E$159</f>
        <v>Outlet EBITDA: FY31 Tranche</v>
      </c>
      <c r="F181" s="525"/>
      <c r="G181" s="525"/>
      <c r="H181" s="525"/>
      <c r="I181" s="525"/>
      <c r="J181" s="525"/>
      <c r="K181" s="525"/>
      <c r="L181" s="525"/>
      <c r="M181" s="525"/>
      <c r="N181" s="525"/>
      <c r="O181" s="525"/>
      <c r="P181" s="565"/>
      <c r="Q181" s="525"/>
      <c r="R181" s="527">
        <f>(R494*R$615*$R159)</f>
        <v>132405.6862650456</v>
      </c>
      <c r="S181" s="527">
        <f t="shared" ref="S181:AX181" si="255">(S494*S$615*$R159)+IF(S502=0,0,INDEX($S174:$W174,MATCH(S502,$S$169:$W$169,0))/12)</f>
        <v>132405.6862650456</v>
      </c>
      <c r="T181" s="527">
        <f t="shared" si="255"/>
        <v>132405.6862650456</v>
      </c>
      <c r="U181" s="527">
        <f t="shared" si="255"/>
        <v>132405.6862650456</v>
      </c>
      <c r="V181" s="527">
        <f t="shared" si="255"/>
        <v>132405.6862650456</v>
      </c>
      <c r="W181" s="527">
        <f t="shared" si="255"/>
        <v>132405.6862650456</v>
      </c>
      <c r="X181" s="527">
        <f t="shared" si="255"/>
        <v>132405.6862650456</v>
      </c>
      <c r="Y181" s="527">
        <f t="shared" si="255"/>
        <v>132405.6862650456</v>
      </c>
      <c r="Z181" s="527">
        <f t="shared" si="255"/>
        <v>132405.6862650456</v>
      </c>
      <c r="AA181" s="527">
        <f t="shared" si="255"/>
        <v>132405.6862650456</v>
      </c>
      <c r="AB181" s="527">
        <f t="shared" si="255"/>
        <v>132405.6862650456</v>
      </c>
      <c r="AC181" s="527">
        <f t="shared" si="255"/>
        <v>132405.6862650456</v>
      </c>
      <c r="AD181" s="527">
        <f t="shared" si="255"/>
        <v>137634.05934363737</v>
      </c>
      <c r="AE181" s="527">
        <f t="shared" si="255"/>
        <v>137634.05934363737</v>
      </c>
      <c r="AF181" s="527">
        <f t="shared" si="255"/>
        <v>137634.05934363737</v>
      </c>
      <c r="AG181" s="527">
        <f t="shared" si="255"/>
        <v>137634.05934363737</v>
      </c>
      <c r="AH181" s="527">
        <f t="shared" si="255"/>
        <v>137634.05934363737</v>
      </c>
      <c r="AI181" s="527">
        <f t="shared" si="255"/>
        <v>137634.05934363737</v>
      </c>
      <c r="AJ181" s="527">
        <f t="shared" si="255"/>
        <v>137634.05934363737</v>
      </c>
      <c r="AK181" s="527">
        <f t="shared" si="255"/>
        <v>137634.05934363737</v>
      </c>
      <c r="AL181" s="527">
        <f t="shared" si="255"/>
        <v>137634.05934363737</v>
      </c>
      <c r="AM181" s="527">
        <f t="shared" si="255"/>
        <v>137634.05934363737</v>
      </c>
      <c r="AN181" s="527">
        <f t="shared" si="255"/>
        <v>137634.05934363737</v>
      </c>
      <c r="AO181" s="527">
        <f t="shared" si="255"/>
        <v>137634.05934363737</v>
      </c>
      <c r="AP181" s="527">
        <f t="shared" si="255"/>
        <v>142813.6383071196</v>
      </c>
      <c r="AQ181" s="527">
        <f t="shared" si="255"/>
        <v>142813.6383071196</v>
      </c>
      <c r="AR181" s="527">
        <f t="shared" si="255"/>
        <v>142813.6383071196</v>
      </c>
      <c r="AS181" s="527">
        <f t="shared" si="255"/>
        <v>142813.6383071196</v>
      </c>
      <c r="AT181" s="527">
        <f t="shared" si="255"/>
        <v>142813.6383071196</v>
      </c>
      <c r="AU181" s="527">
        <f t="shared" si="255"/>
        <v>142813.6383071196</v>
      </c>
      <c r="AV181" s="527">
        <f t="shared" si="255"/>
        <v>142813.6383071196</v>
      </c>
      <c r="AW181" s="527">
        <f t="shared" si="255"/>
        <v>142813.6383071196</v>
      </c>
      <c r="AX181" s="527">
        <f t="shared" si="255"/>
        <v>142813.6383071196</v>
      </c>
      <c r="AY181" s="527">
        <f t="shared" ref="AY181:BY181" si="256">(AY494*AY$615*$R159)+IF(AY502=0,0,INDEX($S174:$W174,MATCH(AY502,$S$169:$W$169,0))/12)</f>
        <v>142813.6383071196</v>
      </c>
      <c r="AZ181" s="527">
        <f t="shared" si="256"/>
        <v>142813.6383071196</v>
      </c>
      <c r="BA181" s="527">
        <f t="shared" si="256"/>
        <v>142813.6383071196</v>
      </c>
      <c r="BB181" s="527">
        <f t="shared" si="256"/>
        <v>147747.20250832441</v>
      </c>
      <c r="BC181" s="527">
        <f t="shared" si="256"/>
        <v>147747.20250832441</v>
      </c>
      <c r="BD181" s="527">
        <f t="shared" si="256"/>
        <v>147747.20250832441</v>
      </c>
      <c r="BE181" s="527">
        <f t="shared" si="256"/>
        <v>147747.20250832441</v>
      </c>
      <c r="BF181" s="527">
        <f t="shared" si="256"/>
        <v>147747.20250832441</v>
      </c>
      <c r="BG181" s="527">
        <f t="shared" si="256"/>
        <v>147747.20250832441</v>
      </c>
      <c r="BH181" s="527">
        <f t="shared" si="256"/>
        <v>147747.20250832441</v>
      </c>
      <c r="BI181" s="527">
        <f t="shared" si="256"/>
        <v>147747.20250832441</v>
      </c>
      <c r="BJ181" s="527">
        <f t="shared" si="256"/>
        <v>147747.20250832441</v>
      </c>
      <c r="BK181" s="527">
        <f t="shared" si="256"/>
        <v>147747.20250832441</v>
      </c>
      <c r="BL181" s="527">
        <f t="shared" si="256"/>
        <v>147747.20250832441</v>
      </c>
      <c r="BM181" s="527">
        <f t="shared" si="256"/>
        <v>147747.20250832441</v>
      </c>
      <c r="BN181" s="527">
        <f t="shared" si="256"/>
        <v>152698.06812272768</v>
      </c>
      <c r="BO181" s="527">
        <f t="shared" si="256"/>
        <v>152698.06812272768</v>
      </c>
      <c r="BP181" s="527">
        <f t="shared" si="256"/>
        <v>152698.06812272768</v>
      </c>
      <c r="BQ181" s="527">
        <f t="shared" si="256"/>
        <v>152698.06812272768</v>
      </c>
      <c r="BR181" s="527">
        <f t="shared" si="256"/>
        <v>152698.06812272768</v>
      </c>
      <c r="BS181" s="527">
        <f t="shared" si="256"/>
        <v>152698.06812272768</v>
      </c>
      <c r="BT181" s="527">
        <f t="shared" si="256"/>
        <v>179114.25041067394</v>
      </c>
      <c r="BU181" s="527">
        <f t="shared" si="256"/>
        <v>179114.25041067394</v>
      </c>
      <c r="BV181" s="527">
        <f t="shared" si="256"/>
        <v>179114.25041067394</v>
      </c>
      <c r="BW181" s="527">
        <f t="shared" si="256"/>
        <v>179114.25041067394</v>
      </c>
      <c r="BX181" s="527">
        <f t="shared" si="256"/>
        <v>179114.25041067394</v>
      </c>
      <c r="BY181" s="527">
        <f t="shared" si="256"/>
        <v>179114.25041067394</v>
      </c>
    </row>
    <row r="182" spans="1:77" x14ac:dyDescent="0.3">
      <c r="A182" s="551"/>
      <c r="B182" s="548"/>
      <c r="C182" s="525"/>
      <c r="D182" s="525"/>
      <c r="E182" s="611" t="str">
        <f>"Outlet EBITDA: "&amp;E$160</f>
        <v>Outlet EBITDA: Uninvested Tranche</v>
      </c>
      <c r="F182" s="525"/>
      <c r="G182" s="525"/>
      <c r="H182" s="525"/>
      <c r="I182" s="525"/>
      <c r="J182" s="525"/>
      <c r="K182" s="525"/>
      <c r="L182" s="525"/>
      <c r="M182" s="525"/>
      <c r="N182" s="525"/>
      <c r="O182" s="525"/>
      <c r="P182" s="565"/>
      <c r="Q182" s="525"/>
      <c r="R182" s="527">
        <f>(R495*R$615*$R160)</f>
        <v>289637.43870478723</v>
      </c>
      <c r="S182" s="527">
        <f t="shared" ref="S182:AX182" si="257">(S495*S$615*$R160)+IF(S503=0,0,INDEX($S175:$W175,MATCH(S503,$S$169:$W$169,0))/12)</f>
        <v>289637.43870478723</v>
      </c>
      <c r="T182" s="527">
        <f t="shared" si="257"/>
        <v>289637.43870478723</v>
      </c>
      <c r="U182" s="527">
        <f t="shared" si="257"/>
        <v>289637.43870478723</v>
      </c>
      <c r="V182" s="527">
        <f t="shared" si="257"/>
        <v>289637.43870478723</v>
      </c>
      <c r="W182" s="527">
        <f t="shared" si="257"/>
        <v>289637.43870478723</v>
      </c>
      <c r="X182" s="527">
        <f t="shared" si="257"/>
        <v>289637.43870478723</v>
      </c>
      <c r="Y182" s="527">
        <f t="shared" si="257"/>
        <v>289637.43870478723</v>
      </c>
      <c r="Z182" s="527">
        <f t="shared" si="257"/>
        <v>289637.43870478723</v>
      </c>
      <c r="AA182" s="527">
        <f t="shared" si="257"/>
        <v>289637.43870478723</v>
      </c>
      <c r="AB182" s="527">
        <f t="shared" si="257"/>
        <v>289637.43870478723</v>
      </c>
      <c r="AC182" s="527">
        <f t="shared" si="257"/>
        <v>289637.43870478723</v>
      </c>
      <c r="AD182" s="527">
        <f t="shared" si="257"/>
        <v>301074.50481420674</v>
      </c>
      <c r="AE182" s="527">
        <f t="shared" si="257"/>
        <v>301074.50481420674</v>
      </c>
      <c r="AF182" s="527">
        <f t="shared" si="257"/>
        <v>301074.50481420674</v>
      </c>
      <c r="AG182" s="527">
        <f t="shared" si="257"/>
        <v>301074.50481420674</v>
      </c>
      <c r="AH182" s="527">
        <f t="shared" si="257"/>
        <v>301074.50481420674</v>
      </c>
      <c r="AI182" s="527">
        <f t="shared" si="257"/>
        <v>301074.50481420674</v>
      </c>
      <c r="AJ182" s="527">
        <f t="shared" si="257"/>
        <v>301074.50481420674</v>
      </c>
      <c r="AK182" s="527">
        <f t="shared" si="257"/>
        <v>301074.50481420674</v>
      </c>
      <c r="AL182" s="527">
        <f t="shared" si="257"/>
        <v>301074.50481420674</v>
      </c>
      <c r="AM182" s="527">
        <f t="shared" si="257"/>
        <v>301074.50481420674</v>
      </c>
      <c r="AN182" s="527">
        <f t="shared" si="257"/>
        <v>301074.50481420674</v>
      </c>
      <c r="AO182" s="527">
        <f t="shared" si="257"/>
        <v>301074.50481420674</v>
      </c>
      <c r="AP182" s="527">
        <f t="shared" si="257"/>
        <v>312404.83379682415</v>
      </c>
      <c r="AQ182" s="527">
        <f t="shared" si="257"/>
        <v>312404.83379682415</v>
      </c>
      <c r="AR182" s="527">
        <f t="shared" si="257"/>
        <v>312404.83379682415</v>
      </c>
      <c r="AS182" s="527">
        <f t="shared" si="257"/>
        <v>312404.83379682415</v>
      </c>
      <c r="AT182" s="527">
        <f t="shared" si="257"/>
        <v>312404.83379682415</v>
      </c>
      <c r="AU182" s="527">
        <f t="shared" si="257"/>
        <v>312404.83379682415</v>
      </c>
      <c r="AV182" s="527">
        <f t="shared" si="257"/>
        <v>312404.83379682415</v>
      </c>
      <c r="AW182" s="527">
        <f t="shared" si="257"/>
        <v>312404.83379682415</v>
      </c>
      <c r="AX182" s="527">
        <f t="shared" si="257"/>
        <v>312404.83379682415</v>
      </c>
      <c r="AY182" s="527">
        <f t="shared" ref="AY182:BY182" si="258">(AY495*AY$615*$R160)+IF(AY503=0,0,INDEX($S175:$W175,MATCH(AY503,$S$169:$W$169,0))/12)</f>
        <v>312404.83379682415</v>
      </c>
      <c r="AZ182" s="527">
        <f t="shared" si="258"/>
        <v>312404.83379682415</v>
      </c>
      <c r="BA182" s="527">
        <f t="shared" si="258"/>
        <v>312404.83379682415</v>
      </c>
      <c r="BB182" s="527">
        <f t="shared" si="258"/>
        <v>323197.00548695965</v>
      </c>
      <c r="BC182" s="527">
        <f t="shared" si="258"/>
        <v>323197.00548695965</v>
      </c>
      <c r="BD182" s="527">
        <f t="shared" si="258"/>
        <v>323197.00548695965</v>
      </c>
      <c r="BE182" s="527">
        <f t="shared" si="258"/>
        <v>323197.00548695965</v>
      </c>
      <c r="BF182" s="527">
        <f t="shared" si="258"/>
        <v>323197.00548695965</v>
      </c>
      <c r="BG182" s="527">
        <f t="shared" si="258"/>
        <v>323197.00548695965</v>
      </c>
      <c r="BH182" s="527">
        <f t="shared" si="258"/>
        <v>323197.00548695965</v>
      </c>
      <c r="BI182" s="527">
        <f t="shared" si="258"/>
        <v>323197.00548695965</v>
      </c>
      <c r="BJ182" s="527">
        <f t="shared" si="258"/>
        <v>323197.00548695965</v>
      </c>
      <c r="BK182" s="527">
        <f t="shared" si="258"/>
        <v>323197.00548695965</v>
      </c>
      <c r="BL182" s="527">
        <f t="shared" si="258"/>
        <v>323197.00548695965</v>
      </c>
      <c r="BM182" s="527">
        <f t="shared" si="258"/>
        <v>323197.00548695965</v>
      </c>
      <c r="BN182" s="527">
        <f t="shared" si="258"/>
        <v>334027.02401846682</v>
      </c>
      <c r="BO182" s="527">
        <f t="shared" si="258"/>
        <v>334027.02401846682</v>
      </c>
      <c r="BP182" s="527">
        <f t="shared" si="258"/>
        <v>334027.02401846682</v>
      </c>
      <c r="BQ182" s="527">
        <f t="shared" si="258"/>
        <v>334027.02401846682</v>
      </c>
      <c r="BR182" s="527">
        <f t="shared" si="258"/>
        <v>334027.02401846682</v>
      </c>
      <c r="BS182" s="527">
        <f t="shared" si="258"/>
        <v>334027.02401846682</v>
      </c>
      <c r="BT182" s="527">
        <f t="shared" si="258"/>
        <v>334027.02401846682</v>
      </c>
      <c r="BU182" s="527">
        <f t="shared" si="258"/>
        <v>334027.02401846682</v>
      </c>
      <c r="BV182" s="527">
        <f t="shared" si="258"/>
        <v>334027.02401846682</v>
      </c>
      <c r="BW182" s="527">
        <f t="shared" si="258"/>
        <v>334027.02401846682</v>
      </c>
      <c r="BX182" s="527">
        <f t="shared" si="258"/>
        <v>334027.02401846682</v>
      </c>
      <c r="BY182" s="527">
        <f t="shared" si="258"/>
        <v>334027.02401846682</v>
      </c>
    </row>
    <row r="183" spans="1:77" x14ac:dyDescent="0.3">
      <c r="A183" s="551"/>
      <c r="B183" s="548"/>
      <c r="C183" s="525"/>
      <c r="D183" s="525"/>
      <c r="E183" s="572" t="s">
        <v>36</v>
      </c>
      <c r="F183" s="572"/>
      <c r="G183" s="572"/>
      <c r="H183" s="572"/>
      <c r="I183" s="572"/>
      <c r="J183" s="572"/>
      <c r="K183" s="572"/>
      <c r="L183" s="572"/>
      <c r="M183" s="572"/>
      <c r="N183" s="572"/>
      <c r="O183" s="572"/>
      <c r="P183" s="612"/>
      <c r="Q183" s="572"/>
      <c r="R183" s="532">
        <f t="shared" ref="R183:AW183" si="259">SUM(R177:R182)</f>
        <v>951665.87003001524</v>
      </c>
      <c r="S183" s="532">
        <f t="shared" si="259"/>
        <v>951665.87003001524</v>
      </c>
      <c r="T183" s="532">
        <f t="shared" si="259"/>
        <v>951665.87003001524</v>
      </c>
      <c r="U183" s="532">
        <f t="shared" si="259"/>
        <v>951665.87003001524</v>
      </c>
      <c r="V183" s="532">
        <f t="shared" si="259"/>
        <v>951665.87003001524</v>
      </c>
      <c r="W183" s="532">
        <f t="shared" si="259"/>
        <v>951665.87003001524</v>
      </c>
      <c r="X183" s="532">
        <f t="shared" si="259"/>
        <v>975910.88114591828</v>
      </c>
      <c r="Y183" s="532">
        <f t="shared" si="259"/>
        <v>975910.88114591828</v>
      </c>
      <c r="Z183" s="532">
        <f t="shared" si="259"/>
        <v>975910.88114591828</v>
      </c>
      <c r="AA183" s="532">
        <f t="shared" si="259"/>
        <v>975910.88114591828</v>
      </c>
      <c r="AB183" s="532">
        <f t="shared" si="259"/>
        <v>975910.88114591828</v>
      </c>
      <c r="AC183" s="532">
        <f t="shared" si="259"/>
        <v>975910.88114591828</v>
      </c>
      <c r="AD183" s="532">
        <f t="shared" si="259"/>
        <v>1008261.4395697048</v>
      </c>
      <c r="AE183" s="532">
        <f t="shared" si="259"/>
        <v>1008261.4395697048</v>
      </c>
      <c r="AF183" s="532">
        <f t="shared" si="259"/>
        <v>1008261.4395697048</v>
      </c>
      <c r="AG183" s="532">
        <f t="shared" si="259"/>
        <v>1008261.4395697048</v>
      </c>
      <c r="AH183" s="532">
        <f t="shared" si="259"/>
        <v>1008261.4395697048</v>
      </c>
      <c r="AI183" s="532">
        <f t="shared" si="259"/>
        <v>1008261.4395697048</v>
      </c>
      <c r="AJ183" s="532">
        <f t="shared" si="259"/>
        <v>1039355.5662555295</v>
      </c>
      <c r="AK183" s="532">
        <f t="shared" si="259"/>
        <v>1039355.5662555295</v>
      </c>
      <c r="AL183" s="532">
        <f t="shared" si="259"/>
        <v>1039355.5662555295</v>
      </c>
      <c r="AM183" s="532">
        <f t="shared" si="259"/>
        <v>1039355.5662555295</v>
      </c>
      <c r="AN183" s="532">
        <f t="shared" si="259"/>
        <v>1039355.5662555295</v>
      </c>
      <c r="AO183" s="532">
        <f t="shared" si="259"/>
        <v>1039355.5662555295</v>
      </c>
      <c r="AP183" s="532">
        <f t="shared" si="259"/>
        <v>1066224.6321285935</v>
      </c>
      <c r="AQ183" s="532">
        <f t="shared" si="259"/>
        <v>1066224.6321285935</v>
      </c>
      <c r="AR183" s="532">
        <f t="shared" si="259"/>
        <v>1066224.6321285935</v>
      </c>
      <c r="AS183" s="532">
        <f t="shared" si="259"/>
        <v>1066224.6321285935</v>
      </c>
      <c r="AT183" s="532">
        <f t="shared" si="259"/>
        <v>1066224.6321285935</v>
      </c>
      <c r="AU183" s="532">
        <f t="shared" si="259"/>
        <v>1066224.6321285935</v>
      </c>
      <c r="AV183" s="532">
        <f t="shared" si="259"/>
        <v>1104625.3867716566</v>
      </c>
      <c r="AW183" s="532">
        <f t="shared" si="259"/>
        <v>1104625.3867716566</v>
      </c>
      <c r="AX183" s="532">
        <f t="shared" ref="AX183:BY183" si="260">SUM(AX177:AX182)</f>
        <v>1104625.3867716566</v>
      </c>
      <c r="AY183" s="532">
        <f t="shared" si="260"/>
        <v>1104625.3867716566</v>
      </c>
      <c r="AZ183" s="532">
        <f t="shared" si="260"/>
        <v>1104625.3867716566</v>
      </c>
      <c r="BA183" s="532">
        <f t="shared" si="260"/>
        <v>1104625.3867716566</v>
      </c>
      <c r="BB183" s="532">
        <f t="shared" si="260"/>
        <v>1125284.6868642017</v>
      </c>
      <c r="BC183" s="532">
        <f t="shared" si="260"/>
        <v>1125284.6868642017</v>
      </c>
      <c r="BD183" s="532">
        <f t="shared" si="260"/>
        <v>1125284.6868642017</v>
      </c>
      <c r="BE183" s="532">
        <f t="shared" si="260"/>
        <v>1125284.6868642017</v>
      </c>
      <c r="BF183" s="532">
        <f t="shared" si="260"/>
        <v>1125284.6868642017</v>
      </c>
      <c r="BG183" s="532">
        <f t="shared" si="260"/>
        <v>1125284.6868642017</v>
      </c>
      <c r="BH183" s="532">
        <f t="shared" si="260"/>
        <v>1171458.9312236842</v>
      </c>
      <c r="BI183" s="532">
        <f t="shared" si="260"/>
        <v>1171458.9312236842</v>
      </c>
      <c r="BJ183" s="532">
        <f t="shared" si="260"/>
        <v>1171458.9312236842</v>
      </c>
      <c r="BK183" s="532">
        <f t="shared" si="260"/>
        <v>1171458.9312236842</v>
      </c>
      <c r="BL183" s="532">
        <f t="shared" si="260"/>
        <v>1171458.9312236842</v>
      </c>
      <c r="BM183" s="532">
        <f t="shared" si="260"/>
        <v>1171458.9312236842</v>
      </c>
      <c r="BN183" s="532">
        <f t="shared" si="260"/>
        <v>1187239.8153695948</v>
      </c>
      <c r="BO183" s="532">
        <f t="shared" si="260"/>
        <v>1187239.8153695948</v>
      </c>
      <c r="BP183" s="532">
        <f t="shared" si="260"/>
        <v>1187239.8153695948</v>
      </c>
      <c r="BQ183" s="532">
        <f t="shared" si="260"/>
        <v>1187239.8153695948</v>
      </c>
      <c r="BR183" s="532">
        <f t="shared" si="260"/>
        <v>1187239.8153695948</v>
      </c>
      <c r="BS183" s="532">
        <f t="shared" si="260"/>
        <v>1187239.8153695948</v>
      </c>
      <c r="BT183" s="532">
        <f t="shared" si="260"/>
        <v>1241676.586586677</v>
      </c>
      <c r="BU183" s="532">
        <f t="shared" si="260"/>
        <v>1241676.586586677</v>
      </c>
      <c r="BV183" s="532">
        <f t="shared" si="260"/>
        <v>1241676.586586677</v>
      </c>
      <c r="BW183" s="532">
        <f t="shared" si="260"/>
        <v>1241676.586586677</v>
      </c>
      <c r="BX183" s="532">
        <f t="shared" si="260"/>
        <v>1241676.586586677</v>
      </c>
      <c r="BY183" s="532">
        <f t="shared" si="260"/>
        <v>1241676.586586677</v>
      </c>
    </row>
    <row r="184" spans="1:77" x14ac:dyDescent="0.3">
      <c r="A184" s="551"/>
      <c r="B184" s="548"/>
      <c r="C184" s="525"/>
      <c r="D184" s="525"/>
      <c r="E184" s="525"/>
      <c r="F184" s="525"/>
      <c r="G184" s="525"/>
      <c r="H184" s="525"/>
      <c r="I184" s="525"/>
      <c r="J184" s="525"/>
      <c r="K184" s="525"/>
      <c r="L184" s="525"/>
      <c r="M184" s="525"/>
      <c r="N184" s="525"/>
      <c r="O184" s="525"/>
      <c r="P184" s="565"/>
      <c r="Q184" s="525"/>
      <c r="R184" s="525"/>
      <c r="S184" s="525"/>
      <c r="T184" s="525"/>
      <c r="U184" s="525"/>
      <c r="V184" s="525"/>
      <c r="W184" s="525"/>
      <c r="X184" s="525"/>
      <c r="Y184" s="525"/>
      <c r="Z184" s="525"/>
      <c r="AA184" s="525"/>
      <c r="AB184" s="525"/>
      <c r="AC184" s="525"/>
      <c r="AD184" s="525"/>
      <c r="AE184" s="525"/>
      <c r="AF184" s="525"/>
      <c r="AG184" s="525"/>
      <c r="AH184" s="525"/>
      <c r="AI184" s="529"/>
      <c r="AJ184" s="525"/>
      <c r="AK184" s="525"/>
      <c r="AL184" s="525"/>
      <c r="AM184" s="525"/>
      <c r="AN184" s="525"/>
      <c r="AO184" s="525"/>
      <c r="AP184" s="525"/>
      <c r="AQ184" s="525"/>
      <c r="AR184" s="525"/>
      <c r="AS184" s="525"/>
      <c r="AT184" s="525"/>
      <c r="AU184" s="525"/>
      <c r="AV184" s="525"/>
      <c r="AW184" s="525"/>
      <c r="AX184" s="525"/>
      <c r="AY184" s="525"/>
      <c r="AZ184" s="525"/>
      <c r="BA184" s="525"/>
      <c r="BB184" s="525"/>
      <c r="BC184" s="525"/>
      <c r="BD184" s="525"/>
      <c r="BE184" s="525"/>
      <c r="BF184" s="525"/>
      <c r="BG184" s="525"/>
      <c r="BH184" s="525"/>
      <c r="BI184" s="525"/>
      <c r="BJ184" s="525"/>
      <c r="BK184" s="525"/>
      <c r="BL184" s="525"/>
      <c r="BM184" s="525"/>
      <c r="BN184" s="525"/>
      <c r="BO184" s="525"/>
      <c r="BP184" s="525"/>
      <c r="BQ184" s="525"/>
      <c r="BR184" s="525"/>
      <c r="BS184" s="525"/>
      <c r="BT184" s="525"/>
      <c r="BU184" s="525"/>
      <c r="BV184" s="525"/>
      <c r="BW184" s="525"/>
      <c r="BX184" s="525"/>
      <c r="BY184" s="525"/>
    </row>
    <row r="185" spans="1:77" x14ac:dyDescent="0.3">
      <c r="A185" s="551"/>
      <c r="B185" s="548"/>
      <c r="C185" s="525"/>
      <c r="D185" s="525"/>
      <c r="E185" s="613" t="str">
        <f>"EBITDA uplift due to capex: "&amp;E$155</f>
        <v>EBITDA uplift due to capex: FY27 Tranche</v>
      </c>
      <c r="F185" s="525"/>
      <c r="G185" s="525"/>
      <c r="H185" s="525"/>
      <c r="I185" s="525"/>
      <c r="J185" s="525"/>
      <c r="K185" s="525"/>
      <c r="L185" s="525"/>
      <c r="M185" s="525"/>
      <c r="N185" s="525"/>
      <c r="O185" s="525"/>
      <c r="P185" s="565"/>
      <c r="Q185" s="525"/>
      <c r="R185" s="527">
        <f t="shared" ref="R185:AW185" si="261">(R177*R482)-(R$615*$R155*R482)</f>
        <v>0</v>
      </c>
      <c r="S185" s="527">
        <f t="shared" si="261"/>
        <v>0</v>
      </c>
      <c r="T185" s="527">
        <f t="shared" si="261"/>
        <v>0</v>
      </c>
      <c r="U185" s="527">
        <f t="shared" si="261"/>
        <v>0</v>
      </c>
      <c r="V185" s="527">
        <f t="shared" si="261"/>
        <v>0</v>
      </c>
      <c r="W185" s="527">
        <f t="shared" si="261"/>
        <v>0</v>
      </c>
      <c r="X185" s="527">
        <f t="shared" si="261"/>
        <v>24245.011115902977</v>
      </c>
      <c r="Y185" s="527">
        <f t="shared" si="261"/>
        <v>24245.011115902977</v>
      </c>
      <c r="Z185" s="527">
        <f t="shared" si="261"/>
        <v>24245.011115902977</v>
      </c>
      <c r="AA185" s="527">
        <f t="shared" si="261"/>
        <v>24245.011115902977</v>
      </c>
      <c r="AB185" s="527">
        <f t="shared" si="261"/>
        <v>24245.011115902977</v>
      </c>
      <c r="AC185" s="527">
        <f t="shared" si="261"/>
        <v>24245.011115902977</v>
      </c>
      <c r="AD185" s="527">
        <f t="shared" si="261"/>
        <v>19016.638037311204</v>
      </c>
      <c r="AE185" s="527">
        <f t="shared" si="261"/>
        <v>19016.638037311204</v>
      </c>
      <c r="AF185" s="527">
        <f t="shared" si="261"/>
        <v>19016.638037311204</v>
      </c>
      <c r="AG185" s="527">
        <f t="shared" si="261"/>
        <v>19016.638037311204</v>
      </c>
      <c r="AH185" s="527">
        <f t="shared" si="261"/>
        <v>19016.638037311204</v>
      </c>
      <c r="AI185" s="527">
        <f t="shared" si="261"/>
        <v>19016.638037311204</v>
      </c>
      <c r="AJ185" s="527">
        <f t="shared" si="261"/>
        <v>25282.665932549135</v>
      </c>
      <c r="AK185" s="527">
        <f t="shared" si="261"/>
        <v>25282.665932549135</v>
      </c>
      <c r="AL185" s="527">
        <f t="shared" si="261"/>
        <v>25282.665932549135</v>
      </c>
      <c r="AM185" s="527">
        <f t="shared" si="261"/>
        <v>25282.665932549135</v>
      </c>
      <c r="AN185" s="527">
        <f t="shared" si="261"/>
        <v>25282.665932549135</v>
      </c>
      <c r="AO185" s="527">
        <f t="shared" si="261"/>
        <v>25282.665932549135</v>
      </c>
      <c r="AP185" s="527">
        <f t="shared" si="261"/>
        <v>20103.086969066906</v>
      </c>
      <c r="AQ185" s="527">
        <f t="shared" si="261"/>
        <v>20103.086969066906</v>
      </c>
      <c r="AR185" s="527">
        <f t="shared" si="261"/>
        <v>20103.086969066906</v>
      </c>
      <c r="AS185" s="527">
        <f t="shared" si="261"/>
        <v>20103.086969066906</v>
      </c>
      <c r="AT185" s="527">
        <f t="shared" si="261"/>
        <v>20103.086969066906</v>
      </c>
      <c r="AU185" s="527">
        <f t="shared" si="261"/>
        <v>20103.086969066906</v>
      </c>
      <c r="AV185" s="527">
        <f t="shared" si="261"/>
        <v>26619.755980114365</v>
      </c>
      <c r="AW185" s="527">
        <f t="shared" si="261"/>
        <v>26619.755980114365</v>
      </c>
      <c r="AX185" s="527">
        <f t="shared" ref="AX185:BY185" si="262">(AX177*AX482)-(AX$615*$R155*AX482)</f>
        <v>26619.755980114365</v>
      </c>
      <c r="AY185" s="527">
        <f t="shared" si="262"/>
        <v>26619.755980114365</v>
      </c>
      <c r="AZ185" s="527">
        <f t="shared" si="262"/>
        <v>26619.755980114365</v>
      </c>
      <c r="BA185" s="527">
        <f t="shared" si="262"/>
        <v>26619.755980114365</v>
      </c>
      <c r="BB185" s="527">
        <f t="shared" si="262"/>
        <v>21686.191778909561</v>
      </c>
      <c r="BC185" s="527">
        <f t="shared" si="262"/>
        <v>21686.191778909561</v>
      </c>
      <c r="BD185" s="527">
        <f t="shared" si="262"/>
        <v>21686.191778909561</v>
      </c>
      <c r="BE185" s="527">
        <f t="shared" si="262"/>
        <v>21686.191778909561</v>
      </c>
      <c r="BF185" s="527">
        <f t="shared" si="262"/>
        <v>21686.191778909561</v>
      </c>
      <c r="BG185" s="527">
        <f t="shared" si="262"/>
        <v>21686.191778909561</v>
      </c>
      <c r="BH185" s="527">
        <f t="shared" si="262"/>
        <v>28463.527550398954</v>
      </c>
      <c r="BI185" s="527">
        <f t="shared" si="262"/>
        <v>28463.527550398954</v>
      </c>
      <c r="BJ185" s="527">
        <f t="shared" si="262"/>
        <v>28463.527550398954</v>
      </c>
      <c r="BK185" s="527">
        <f t="shared" si="262"/>
        <v>28463.527550398954</v>
      </c>
      <c r="BL185" s="527">
        <f t="shared" si="262"/>
        <v>28463.527550398954</v>
      </c>
      <c r="BM185" s="527">
        <f t="shared" si="262"/>
        <v>28463.527550398954</v>
      </c>
      <c r="BN185" s="527">
        <f t="shared" si="262"/>
        <v>23512.661935995682</v>
      </c>
      <c r="BO185" s="527">
        <f t="shared" si="262"/>
        <v>23512.661935995682</v>
      </c>
      <c r="BP185" s="527">
        <f t="shared" si="262"/>
        <v>23512.661935995682</v>
      </c>
      <c r="BQ185" s="527">
        <f t="shared" si="262"/>
        <v>23512.661935995682</v>
      </c>
      <c r="BR185" s="527">
        <f t="shared" si="262"/>
        <v>23512.661935995682</v>
      </c>
      <c r="BS185" s="527">
        <f t="shared" si="262"/>
        <v>23512.661935995682</v>
      </c>
      <c r="BT185" s="527">
        <f t="shared" si="262"/>
        <v>30561.091138344607</v>
      </c>
      <c r="BU185" s="527">
        <f t="shared" si="262"/>
        <v>30561.091138344607</v>
      </c>
      <c r="BV185" s="527">
        <f t="shared" si="262"/>
        <v>30561.091138344607</v>
      </c>
      <c r="BW185" s="527">
        <f t="shared" si="262"/>
        <v>30561.091138344607</v>
      </c>
      <c r="BX185" s="527">
        <f t="shared" si="262"/>
        <v>30561.091138344607</v>
      </c>
      <c r="BY185" s="527">
        <f t="shared" si="262"/>
        <v>30561.091138344607</v>
      </c>
    </row>
    <row r="186" spans="1:77" x14ac:dyDescent="0.3">
      <c r="A186" s="551"/>
      <c r="B186" s="548"/>
      <c r="C186" s="525"/>
      <c r="D186" s="525"/>
      <c r="E186" s="613" t="str">
        <f>"EBITDA uplift due to capex: "&amp;E$156</f>
        <v>EBITDA uplift due to capex: FY28 Tranche</v>
      </c>
      <c r="F186" s="525"/>
      <c r="G186" s="525"/>
      <c r="H186" s="525"/>
      <c r="I186" s="525"/>
      <c r="J186" s="525"/>
      <c r="K186" s="525"/>
      <c r="L186" s="525"/>
      <c r="M186" s="525"/>
      <c r="N186" s="525"/>
      <c r="O186" s="525"/>
      <c r="P186" s="565"/>
      <c r="Q186" s="525"/>
      <c r="R186" s="527">
        <f t="shared" ref="R186:AW186" si="263">(R178*R483)-(R$615*$R156*R483)</f>
        <v>0</v>
      </c>
      <c r="S186" s="527">
        <f t="shared" si="263"/>
        <v>0</v>
      </c>
      <c r="T186" s="527">
        <f t="shared" si="263"/>
        <v>0</v>
      </c>
      <c r="U186" s="527">
        <f t="shared" si="263"/>
        <v>0</v>
      </c>
      <c r="V186" s="527">
        <f t="shared" si="263"/>
        <v>0</v>
      </c>
      <c r="W186" s="527">
        <f t="shared" si="263"/>
        <v>0</v>
      </c>
      <c r="X186" s="527">
        <f t="shared" si="263"/>
        <v>0</v>
      </c>
      <c r="Y186" s="527">
        <f t="shared" si="263"/>
        <v>0</v>
      </c>
      <c r="Z186" s="527">
        <f t="shared" si="263"/>
        <v>0</v>
      </c>
      <c r="AA186" s="527">
        <f t="shared" si="263"/>
        <v>0</v>
      </c>
      <c r="AB186" s="527">
        <f t="shared" si="263"/>
        <v>0</v>
      </c>
      <c r="AC186" s="527">
        <f t="shared" si="263"/>
        <v>0</v>
      </c>
      <c r="AD186" s="527">
        <f t="shared" si="263"/>
        <v>0</v>
      </c>
      <c r="AE186" s="527">
        <f t="shared" si="263"/>
        <v>0</v>
      </c>
      <c r="AF186" s="527">
        <f t="shared" si="263"/>
        <v>0</v>
      </c>
      <c r="AG186" s="527">
        <f t="shared" si="263"/>
        <v>0</v>
      </c>
      <c r="AH186" s="527">
        <f t="shared" si="263"/>
        <v>0</v>
      </c>
      <c r="AI186" s="527">
        <f t="shared" si="263"/>
        <v>0</v>
      </c>
      <c r="AJ186" s="527">
        <f t="shared" si="263"/>
        <v>24828.098790586722</v>
      </c>
      <c r="AK186" s="527">
        <f t="shared" si="263"/>
        <v>24828.098790586722</v>
      </c>
      <c r="AL186" s="527">
        <f t="shared" si="263"/>
        <v>24828.098790586722</v>
      </c>
      <c r="AM186" s="527">
        <f t="shared" si="263"/>
        <v>24828.098790586722</v>
      </c>
      <c r="AN186" s="527">
        <f t="shared" si="263"/>
        <v>24828.098790586722</v>
      </c>
      <c r="AO186" s="527">
        <f t="shared" si="263"/>
        <v>24828.098790586722</v>
      </c>
      <c r="AP186" s="527">
        <f t="shared" si="263"/>
        <v>19648.519827104494</v>
      </c>
      <c r="AQ186" s="527">
        <f t="shared" si="263"/>
        <v>19648.519827104494</v>
      </c>
      <c r="AR186" s="527">
        <f t="shared" si="263"/>
        <v>19648.519827104494</v>
      </c>
      <c r="AS186" s="527">
        <f t="shared" si="263"/>
        <v>19648.519827104494</v>
      </c>
      <c r="AT186" s="527">
        <f t="shared" si="263"/>
        <v>19648.519827104494</v>
      </c>
      <c r="AU186" s="527">
        <f t="shared" si="263"/>
        <v>19648.519827104494</v>
      </c>
      <c r="AV186" s="527">
        <f t="shared" si="263"/>
        <v>26147.006152473448</v>
      </c>
      <c r="AW186" s="527">
        <f t="shared" si="263"/>
        <v>26147.006152473448</v>
      </c>
      <c r="AX186" s="527">
        <f t="shared" ref="AX186:BY186" si="264">(AX178*AX483)-(AX$615*$R156*AX483)</f>
        <v>26147.006152473448</v>
      </c>
      <c r="AY186" s="527">
        <f t="shared" si="264"/>
        <v>26147.006152473448</v>
      </c>
      <c r="AZ186" s="527">
        <f t="shared" si="264"/>
        <v>26147.006152473448</v>
      </c>
      <c r="BA186" s="527">
        <f t="shared" si="264"/>
        <v>26147.006152473448</v>
      </c>
      <c r="BB186" s="527">
        <f t="shared" si="264"/>
        <v>21213.441951268644</v>
      </c>
      <c r="BC186" s="527">
        <f t="shared" si="264"/>
        <v>21213.441951268644</v>
      </c>
      <c r="BD186" s="527">
        <f t="shared" si="264"/>
        <v>21213.441951268644</v>
      </c>
      <c r="BE186" s="527">
        <f t="shared" si="264"/>
        <v>21213.441951268644</v>
      </c>
      <c r="BF186" s="527">
        <f t="shared" si="264"/>
        <v>21213.441951268644</v>
      </c>
      <c r="BG186" s="527">
        <f t="shared" si="264"/>
        <v>21213.441951268644</v>
      </c>
      <c r="BH186" s="527">
        <f t="shared" si="264"/>
        <v>27971.867729652353</v>
      </c>
      <c r="BI186" s="527">
        <f t="shared" si="264"/>
        <v>27971.867729652353</v>
      </c>
      <c r="BJ186" s="527">
        <f t="shared" si="264"/>
        <v>27971.867729652353</v>
      </c>
      <c r="BK186" s="527">
        <f t="shared" si="264"/>
        <v>27971.867729652353</v>
      </c>
      <c r="BL186" s="527">
        <f t="shared" si="264"/>
        <v>27971.867729652353</v>
      </c>
      <c r="BM186" s="527">
        <f t="shared" si="264"/>
        <v>27971.867729652353</v>
      </c>
      <c r="BN186" s="527">
        <f t="shared" si="264"/>
        <v>23021.002115249081</v>
      </c>
      <c r="BO186" s="527">
        <f t="shared" si="264"/>
        <v>23021.002115249081</v>
      </c>
      <c r="BP186" s="527">
        <f t="shared" si="264"/>
        <v>23021.002115249081</v>
      </c>
      <c r="BQ186" s="527">
        <f t="shared" si="264"/>
        <v>23021.002115249081</v>
      </c>
      <c r="BR186" s="527">
        <f t="shared" si="264"/>
        <v>23021.002115249081</v>
      </c>
      <c r="BS186" s="527">
        <f t="shared" si="264"/>
        <v>23021.002115249081</v>
      </c>
      <c r="BT186" s="527">
        <f t="shared" si="264"/>
        <v>30049.764924768155</v>
      </c>
      <c r="BU186" s="527">
        <f t="shared" si="264"/>
        <v>30049.764924768155</v>
      </c>
      <c r="BV186" s="527">
        <f t="shared" si="264"/>
        <v>30049.764924768155</v>
      </c>
      <c r="BW186" s="527">
        <f t="shared" si="264"/>
        <v>30049.764924768155</v>
      </c>
      <c r="BX186" s="527">
        <f t="shared" si="264"/>
        <v>30049.764924768155</v>
      </c>
      <c r="BY186" s="527">
        <f t="shared" si="264"/>
        <v>30049.764924768155</v>
      </c>
    </row>
    <row r="187" spans="1:77" x14ac:dyDescent="0.3">
      <c r="A187" s="551"/>
      <c r="B187" s="548"/>
      <c r="C187" s="525"/>
      <c r="D187" s="525"/>
      <c r="E187" s="613" t="str">
        <f>"EBITDA uplift due to capex: "&amp;E$157</f>
        <v>EBITDA uplift due to capex: FY29 Tranche</v>
      </c>
      <c r="F187" s="525"/>
      <c r="G187" s="525"/>
      <c r="H187" s="525"/>
      <c r="I187" s="525"/>
      <c r="J187" s="525"/>
      <c r="K187" s="525"/>
      <c r="L187" s="525"/>
      <c r="M187" s="525"/>
      <c r="N187" s="525"/>
      <c r="O187" s="525"/>
      <c r="P187" s="565"/>
      <c r="Q187" s="525"/>
      <c r="R187" s="527">
        <f t="shared" ref="R187:AW187" si="265">(R179*R484)-(R$615*$R157*R484)</f>
        <v>0</v>
      </c>
      <c r="S187" s="527">
        <f t="shared" si="265"/>
        <v>0</v>
      </c>
      <c r="T187" s="527">
        <f t="shared" si="265"/>
        <v>0</v>
      </c>
      <c r="U187" s="527">
        <f t="shared" si="265"/>
        <v>0</v>
      </c>
      <c r="V187" s="527">
        <f t="shared" si="265"/>
        <v>0</v>
      </c>
      <c r="W187" s="527">
        <f t="shared" si="265"/>
        <v>0</v>
      </c>
      <c r="X187" s="527">
        <f t="shared" si="265"/>
        <v>0</v>
      </c>
      <c r="Y187" s="527">
        <f t="shared" si="265"/>
        <v>0</v>
      </c>
      <c r="Z187" s="527">
        <f t="shared" si="265"/>
        <v>0</v>
      </c>
      <c r="AA187" s="527">
        <f t="shared" si="265"/>
        <v>0</v>
      </c>
      <c r="AB187" s="527">
        <f t="shared" si="265"/>
        <v>0</v>
      </c>
      <c r="AC187" s="527">
        <f t="shared" si="265"/>
        <v>0</v>
      </c>
      <c r="AD187" s="527">
        <f t="shared" si="265"/>
        <v>0</v>
      </c>
      <c r="AE187" s="527">
        <f t="shared" si="265"/>
        <v>0</v>
      </c>
      <c r="AF187" s="527">
        <f t="shared" si="265"/>
        <v>0</v>
      </c>
      <c r="AG187" s="527">
        <f t="shared" si="265"/>
        <v>0</v>
      </c>
      <c r="AH187" s="527">
        <f t="shared" si="265"/>
        <v>0</v>
      </c>
      <c r="AI187" s="527">
        <f t="shared" si="265"/>
        <v>0</v>
      </c>
      <c r="AJ187" s="527">
        <f t="shared" si="265"/>
        <v>0</v>
      </c>
      <c r="AK187" s="527">
        <f t="shared" si="265"/>
        <v>0</v>
      </c>
      <c r="AL187" s="527">
        <f t="shared" si="265"/>
        <v>0</v>
      </c>
      <c r="AM187" s="527">
        <f t="shared" si="265"/>
        <v>0</v>
      </c>
      <c r="AN187" s="527">
        <f t="shared" si="265"/>
        <v>0</v>
      </c>
      <c r="AO187" s="527">
        <f t="shared" si="265"/>
        <v>0</v>
      </c>
      <c r="AP187" s="527">
        <f t="shared" si="265"/>
        <v>0</v>
      </c>
      <c r="AQ187" s="527">
        <f t="shared" si="265"/>
        <v>0</v>
      </c>
      <c r="AR187" s="527">
        <f t="shared" si="265"/>
        <v>0</v>
      </c>
      <c r="AS187" s="527">
        <f t="shared" si="265"/>
        <v>0</v>
      </c>
      <c r="AT187" s="527">
        <f t="shared" si="265"/>
        <v>0</v>
      </c>
      <c r="AU187" s="527">
        <f t="shared" si="265"/>
        <v>0</v>
      </c>
      <c r="AV187" s="527">
        <f t="shared" si="265"/>
        <v>25385.599306646473</v>
      </c>
      <c r="AW187" s="527">
        <f t="shared" si="265"/>
        <v>25385.599306646473</v>
      </c>
      <c r="AX187" s="527">
        <f t="shared" ref="AX187:BY187" si="266">(AX179*AX484)-(AX$615*$R157*AX484)</f>
        <v>25385.599306646473</v>
      </c>
      <c r="AY187" s="527">
        <f t="shared" si="266"/>
        <v>25385.599306646473</v>
      </c>
      <c r="AZ187" s="527">
        <f t="shared" si="266"/>
        <v>25385.599306646473</v>
      </c>
      <c r="BA187" s="527">
        <f t="shared" si="266"/>
        <v>25385.599306646473</v>
      </c>
      <c r="BB187" s="527">
        <f t="shared" si="266"/>
        <v>20452.035105441668</v>
      </c>
      <c r="BC187" s="527">
        <f t="shared" si="266"/>
        <v>20452.035105441668</v>
      </c>
      <c r="BD187" s="527">
        <f t="shared" si="266"/>
        <v>20452.035105441668</v>
      </c>
      <c r="BE187" s="527">
        <f t="shared" si="266"/>
        <v>20452.035105441668</v>
      </c>
      <c r="BF187" s="527">
        <f t="shared" si="266"/>
        <v>20452.035105441668</v>
      </c>
      <c r="BG187" s="527">
        <f t="shared" si="266"/>
        <v>20452.035105441668</v>
      </c>
      <c r="BH187" s="527">
        <f t="shared" si="266"/>
        <v>27180.004609992291</v>
      </c>
      <c r="BI187" s="527">
        <f t="shared" si="266"/>
        <v>27180.004609992291</v>
      </c>
      <c r="BJ187" s="527">
        <f t="shared" si="266"/>
        <v>27180.004609992291</v>
      </c>
      <c r="BK187" s="527">
        <f t="shared" si="266"/>
        <v>27180.004609992291</v>
      </c>
      <c r="BL187" s="527">
        <f t="shared" si="266"/>
        <v>27180.004609992291</v>
      </c>
      <c r="BM187" s="527">
        <f t="shared" si="266"/>
        <v>27180.004609992291</v>
      </c>
      <c r="BN187" s="527">
        <f t="shared" si="266"/>
        <v>22229.138995589019</v>
      </c>
      <c r="BO187" s="527">
        <f t="shared" si="266"/>
        <v>22229.138995589019</v>
      </c>
      <c r="BP187" s="527">
        <f t="shared" si="266"/>
        <v>22229.138995589019</v>
      </c>
      <c r="BQ187" s="527">
        <f t="shared" si="266"/>
        <v>22229.138995589019</v>
      </c>
      <c r="BR187" s="527">
        <f t="shared" si="266"/>
        <v>22229.138995589019</v>
      </c>
      <c r="BS187" s="527">
        <f t="shared" si="266"/>
        <v>22229.138995589019</v>
      </c>
      <c r="BT187" s="527">
        <f t="shared" si="266"/>
        <v>29226.227280321677</v>
      </c>
      <c r="BU187" s="527">
        <f t="shared" si="266"/>
        <v>29226.227280321677</v>
      </c>
      <c r="BV187" s="527">
        <f t="shared" si="266"/>
        <v>29226.227280321677</v>
      </c>
      <c r="BW187" s="527">
        <f t="shared" si="266"/>
        <v>29226.227280321677</v>
      </c>
      <c r="BX187" s="527">
        <f t="shared" si="266"/>
        <v>29226.227280321677</v>
      </c>
      <c r="BY187" s="527">
        <f t="shared" si="266"/>
        <v>29226.227280321677</v>
      </c>
    </row>
    <row r="188" spans="1:77" x14ac:dyDescent="0.3">
      <c r="A188" s="551"/>
      <c r="B188" s="548"/>
      <c r="C188" s="525"/>
      <c r="D188" s="525"/>
      <c r="E188" s="613" t="str">
        <f>"EBITDA uplift due to capex: "&amp;E$158</f>
        <v>EBITDA uplift due to capex: FY30 Tranche</v>
      </c>
      <c r="F188" s="525"/>
      <c r="G188" s="525"/>
      <c r="H188" s="525"/>
      <c r="I188" s="525"/>
      <c r="J188" s="525"/>
      <c r="K188" s="525"/>
      <c r="L188" s="525"/>
      <c r="M188" s="525"/>
      <c r="N188" s="525"/>
      <c r="O188" s="525"/>
      <c r="P188" s="565"/>
      <c r="Q188" s="525"/>
      <c r="R188" s="527">
        <f t="shared" ref="R188:AW188" si="267">(R180*R485)-(R$615*$R158*R485)</f>
        <v>0</v>
      </c>
      <c r="S188" s="527">
        <f t="shared" si="267"/>
        <v>0</v>
      </c>
      <c r="T188" s="527">
        <f t="shared" si="267"/>
        <v>0</v>
      </c>
      <c r="U188" s="527">
        <f t="shared" si="267"/>
        <v>0</v>
      </c>
      <c r="V188" s="527">
        <f t="shared" si="267"/>
        <v>0</v>
      </c>
      <c r="W188" s="527">
        <f t="shared" si="267"/>
        <v>0</v>
      </c>
      <c r="X188" s="527">
        <f t="shared" si="267"/>
        <v>0</v>
      </c>
      <c r="Y188" s="527">
        <f t="shared" si="267"/>
        <v>0</v>
      </c>
      <c r="Z188" s="527">
        <f t="shared" si="267"/>
        <v>0</v>
      </c>
      <c r="AA188" s="527">
        <f t="shared" si="267"/>
        <v>0</v>
      </c>
      <c r="AB188" s="527">
        <f t="shared" si="267"/>
        <v>0</v>
      </c>
      <c r="AC188" s="527">
        <f t="shared" si="267"/>
        <v>0</v>
      </c>
      <c r="AD188" s="527">
        <f t="shared" si="267"/>
        <v>0</v>
      </c>
      <c r="AE188" s="527">
        <f t="shared" si="267"/>
        <v>0</v>
      </c>
      <c r="AF188" s="527">
        <f t="shared" si="267"/>
        <v>0</v>
      </c>
      <c r="AG188" s="527">
        <f t="shared" si="267"/>
        <v>0</v>
      </c>
      <c r="AH188" s="527">
        <f t="shared" si="267"/>
        <v>0</v>
      </c>
      <c r="AI188" s="527">
        <f t="shared" si="267"/>
        <v>0</v>
      </c>
      <c r="AJ188" s="527">
        <f t="shared" si="267"/>
        <v>0</v>
      </c>
      <c r="AK188" s="527">
        <f t="shared" si="267"/>
        <v>0</v>
      </c>
      <c r="AL188" s="527">
        <f t="shared" si="267"/>
        <v>0</v>
      </c>
      <c r="AM188" s="527">
        <f t="shared" si="267"/>
        <v>0</v>
      </c>
      <c r="AN188" s="527">
        <f t="shared" si="267"/>
        <v>0</v>
      </c>
      <c r="AO188" s="527">
        <f t="shared" si="267"/>
        <v>0</v>
      </c>
      <c r="AP188" s="527">
        <f t="shared" si="267"/>
        <v>0</v>
      </c>
      <c r="AQ188" s="527">
        <f t="shared" si="267"/>
        <v>0</v>
      </c>
      <c r="AR188" s="527">
        <f t="shared" si="267"/>
        <v>0</v>
      </c>
      <c r="AS188" s="527">
        <f t="shared" si="267"/>
        <v>0</v>
      </c>
      <c r="AT188" s="527">
        <f t="shared" si="267"/>
        <v>0</v>
      </c>
      <c r="AU188" s="527">
        <f t="shared" si="267"/>
        <v>0</v>
      </c>
      <c r="AV188" s="527">
        <f t="shared" si="267"/>
        <v>0</v>
      </c>
      <c r="AW188" s="527">
        <f t="shared" si="267"/>
        <v>0</v>
      </c>
      <c r="AX188" s="527">
        <f t="shared" ref="AX188:BY188" si="268">(AX180*AX485)-(AX$615*$R158*AX485)</f>
        <v>0</v>
      </c>
      <c r="AY188" s="527">
        <f t="shared" si="268"/>
        <v>0</v>
      </c>
      <c r="AZ188" s="527">
        <f t="shared" si="268"/>
        <v>0</v>
      </c>
      <c r="BA188" s="527">
        <f t="shared" si="268"/>
        <v>0</v>
      </c>
      <c r="BB188" s="527">
        <f t="shared" si="268"/>
        <v>0</v>
      </c>
      <c r="BC188" s="527">
        <f t="shared" si="268"/>
        <v>0</v>
      </c>
      <c r="BD188" s="527">
        <f t="shared" si="268"/>
        <v>0</v>
      </c>
      <c r="BE188" s="527">
        <f t="shared" si="268"/>
        <v>0</v>
      </c>
      <c r="BF188" s="527">
        <f t="shared" si="268"/>
        <v>0</v>
      </c>
      <c r="BG188" s="527">
        <f t="shared" si="268"/>
        <v>0</v>
      </c>
      <c r="BH188" s="527">
        <f t="shared" si="268"/>
        <v>25910.513305059023</v>
      </c>
      <c r="BI188" s="527">
        <f t="shared" si="268"/>
        <v>25910.513305059023</v>
      </c>
      <c r="BJ188" s="527">
        <f t="shared" si="268"/>
        <v>25910.513305059023</v>
      </c>
      <c r="BK188" s="527">
        <f t="shared" si="268"/>
        <v>25910.513305059023</v>
      </c>
      <c r="BL188" s="527">
        <f t="shared" si="268"/>
        <v>25910.513305059023</v>
      </c>
      <c r="BM188" s="527">
        <f t="shared" si="268"/>
        <v>25910.513305059023</v>
      </c>
      <c r="BN188" s="527">
        <f t="shared" si="268"/>
        <v>20959.647690655751</v>
      </c>
      <c r="BO188" s="527">
        <f t="shared" si="268"/>
        <v>20959.647690655751</v>
      </c>
      <c r="BP188" s="527">
        <f t="shared" si="268"/>
        <v>20959.647690655751</v>
      </c>
      <c r="BQ188" s="527">
        <f t="shared" si="268"/>
        <v>20959.647690655751</v>
      </c>
      <c r="BR188" s="527">
        <f t="shared" si="268"/>
        <v>20959.647690655751</v>
      </c>
      <c r="BS188" s="527">
        <f t="shared" si="268"/>
        <v>20959.647690655751</v>
      </c>
      <c r="BT188" s="527">
        <f t="shared" si="268"/>
        <v>27905.956323191087</v>
      </c>
      <c r="BU188" s="527">
        <f t="shared" si="268"/>
        <v>27905.956323191087</v>
      </c>
      <c r="BV188" s="527">
        <f t="shared" si="268"/>
        <v>27905.956323191087</v>
      </c>
      <c r="BW188" s="527">
        <f t="shared" si="268"/>
        <v>27905.956323191087</v>
      </c>
      <c r="BX188" s="527">
        <f t="shared" si="268"/>
        <v>27905.956323191087</v>
      </c>
      <c r="BY188" s="527">
        <f t="shared" si="268"/>
        <v>27905.956323191087</v>
      </c>
    </row>
    <row r="189" spans="1:77" x14ac:dyDescent="0.3">
      <c r="A189" s="551"/>
      <c r="B189" s="548"/>
      <c r="C189" s="525"/>
      <c r="D189" s="525"/>
      <c r="E189" s="613" t="str">
        <f>"EBITDA uplift due to capex: "&amp;E$159</f>
        <v>EBITDA uplift due to capex: FY31 Tranche</v>
      </c>
      <c r="F189" s="525"/>
      <c r="G189" s="525"/>
      <c r="H189" s="525"/>
      <c r="I189" s="525"/>
      <c r="J189" s="525"/>
      <c r="K189" s="525"/>
      <c r="L189" s="525"/>
      <c r="M189" s="525"/>
      <c r="N189" s="525"/>
      <c r="O189" s="525"/>
      <c r="P189" s="565"/>
      <c r="Q189" s="525"/>
      <c r="R189" s="527">
        <f t="shared" ref="R189:AW189" si="269">(R181*R486)-(R$615*$R159*R486)</f>
        <v>0</v>
      </c>
      <c r="S189" s="527">
        <f t="shared" si="269"/>
        <v>0</v>
      </c>
      <c r="T189" s="527">
        <f t="shared" si="269"/>
        <v>0</v>
      </c>
      <c r="U189" s="527">
        <f t="shared" si="269"/>
        <v>0</v>
      </c>
      <c r="V189" s="527">
        <f t="shared" si="269"/>
        <v>0</v>
      </c>
      <c r="W189" s="527">
        <f t="shared" si="269"/>
        <v>0</v>
      </c>
      <c r="X189" s="527">
        <f t="shared" si="269"/>
        <v>0</v>
      </c>
      <c r="Y189" s="527">
        <f t="shared" si="269"/>
        <v>0</v>
      </c>
      <c r="Z189" s="527">
        <f t="shared" si="269"/>
        <v>0</v>
      </c>
      <c r="AA189" s="527">
        <f t="shared" si="269"/>
        <v>0</v>
      </c>
      <c r="AB189" s="527">
        <f t="shared" si="269"/>
        <v>0</v>
      </c>
      <c r="AC189" s="527">
        <f t="shared" si="269"/>
        <v>0</v>
      </c>
      <c r="AD189" s="527">
        <f t="shared" si="269"/>
        <v>0</v>
      </c>
      <c r="AE189" s="527">
        <f t="shared" si="269"/>
        <v>0</v>
      </c>
      <c r="AF189" s="527">
        <f t="shared" si="269"/>
        <v>0</v>
      </c>
      <c r="AG189" s="527">
        <f t="shared" si="269"/>
        <v>0</v>
      </c>
      <c r="AH189" s="527">
        <f t="shared" si="269"/>
        <v>0</v>
      </c>
      <c r="AI189" s="527">
        <f t="shared" si="269"/>
        <v>0</v>
      </c>
      <c r="AJ189" s="527">
        <f t="shared" si="269"/>
        <v>0</v>
      </c>
      <c r="AK189" s="527">
        <f t="shared" si="269"/>
        <v>0</v>
      </c>
      <c r="AL189" s="527">
        <f t="shared" si="269"/>
        <v>0</v>
      </c>
      <c r="AM189" s="527">
        <f t="shared" si="269"/>
        <v>0</v>
      </c>
      <c r="AN189" s="527">
        <f t="shared" si="269"/>
        <v>0</v>
      </c>
      <c r="AO189" s="527">
        <f t="shared" si="269"/>
        <v>0</v>
      </c>
      <c r="AP189" s="527">
        <f t="shared" si="269"/>
        <v>0</v>
      </c>
      <c r="AQ189" s="527">
        <f t="shared" si="269"/>
        <v>0</v>
      </c>
      <c r="AR189" s="527">
        <f t="shared" si="269"/>
        <v>0</v>
      </c>
      <c r="AS189" s="527">
        <f t="shared" si="269"/>
        <v>0</v>
      </c>
      <c r="AT189" s="527">
        <f t="shared" si="269"/>
        <v>0</v>
      </c>
      <c r="AU189" s="527">
        <f t="shared" si="269"/>
        <v>0</v>
      </c>
      <c r="AV189" s="527">
        <f t="shared" si="269"/>
        <v>0</v>
      </c>
      <c r="AW189" s="527">
        <f t="shared" si="269"/>
        <v>0</v>
      </c>
      <c r="AX189" s="527">
        <f t="shared" ref="AX189:BY189" si="270">(AX181*AX486)-(AX$615*$R159*AX486)</f>
        <v>0</v>
      </c>
      <c r="AY189" s="527">
        <f t="shared" si="270"/>
        <v>0</v>
      </c>
      <c r="AZ189" s="527">
        <f t="shared" si="270"/>
        <v>0</v>
      </c>
      <c r="BA189" s="527">
        <f t="shared" si="270"/>
        <v>0</v>
      </c>
      <c r="BB189" s="527">
        <f t="shared" si="270"/>
        <v>0</v>
      </c>
      <c r="BC189" s="527">
        <f t="shared" si="270"/>
        <v>0</v>
      </c>
      <c r="BD189" s="527">
        <f t="shared" si="270"/>
        <v>0</v>
      </c>
      <c r="BE189" s="527">
        <f t="shared" si="270"/>
        <v>0</v>
      </c>
      <c r="BF189" s="527">
        <f t="shared" si="270"/>
        <v>0</v>
      </c>
      <c r="BG189" s="527">
        <f t="shared" si="270"/>
        <v>0</v>
      </c>
      <c r="BH189" s="527">
        <f t="shared" si="270"/>
        <v>0</v>
      </c>
      <c r="BI189" s="527">
        <f t="shared" si="270"/>
        <v>0</v>
      </c>
      <c r="BJ189" s="527">
        <f t="shared" si="270"/>
        <v>0</v>
      </c>
      <c r="BK189" s="527">
        <f t="shared" si="270"/>
        <v>0</v>
      </c>
      <c r="BL189" s="527">
        <f t="shared" si="270"/>
        <v>0</v>
      </c>
      <c r="BM189" s="527">
        <f t="shared" si="270"/>
        <v>0</v>
      </c>
      <c r="BN189" s="527">
        <f t="shared" si="270"/>
        <v>0</v>
      </c>
      <c r="BO189" s="527">
        <f t="shared" si="270"/>
        <v>0</v>
      </c>
      <c r="BP189" s="527">
        <f t="shared" si="270"/>
        <v>0</v>
      </c>
      <c r="BQ189" s="527">
        <f t="shared" si="270"/>
        <v>0</v>
      </c>
      <c r="BR189" s="527">
        <f t="shared" si="270"/>
        <v>0</v>
      </c>
      <c r="BS189" s="527">
        <f t="shared" si="270"/>
        <v>0</v>
      </c>
      <c r="BT189" s="527">
        <f t="shared" si="270"/>
        <v>26416.182287946256</v>
      </c>
      <c r="BU189" s="527">
        <f t="shared" si="270"/>
        <v>26416.182287946256</v>
      </c>
      <c r="BV189" s="527">
        <f t="shared" si="270"/>
        <v>26416.182287946256</v>
      </c>
      <c r="BW189" s="527">
        <f t="shared" si="270"/>
        <v>26416.182287946256</v>
      </c>
      <c r="BX189" s="527">
        <f t="shared" si="270"/>
        <v>26416.182287946256</v>
      </c>
      <c r="BY189" s="527">
        <f t="shared" si="270"/>
        <v>26416.182287946256</v>
      </c>
    </row>
    <row r="190" spans="1:77" x14ac:dyDescent="0.3">
      <c r="A190" s="551"/>
      <c r="B190" s="548"/>
      <c r="C190" s="525"/>
      <c r="D190" s="525"/>
      <c r="E190" s="613" t="str">
        <f>"EBITDA uplift due to capex: "&amp;E$160</f>
        <v>EBITDA uplift due to capex: Uninvested Tranche</v>
      </c>
      <c r="F190" s="525"/>
      <c r="G190" s="525"/>
      <c r="H190" s="525"/>
      <c r="I190" s="525"/>
      <c r="J190" s="525"/>
      <c r="K190" s="525"/>
      <c r="L190" s="525"/>
      <c r="M190" s="525"/>
      <c r="N190" s="525"/>
      <c r="O190" s="525"/>
      <c r="P190" s="565"/>
      <c r="Q190" s="525"/>
      <c r="R190" s="527">
        <f t="shared" ref="R190:AW190" si="271">(R182*R487)-(R$615*$R160*R487)</f>
        <v>0</v>
      </c>
      <c r="S190" s="527">
        <f t="shared" si="271"/>
        <v>0</v>
      </c>
      <c r="T190" s="527">
        <f t="shared" si="271"/>
        <v>0</v>
      </c>
      <c r="U190" s="527">
        <f t="shared" si="271"/>
        <v>0</v>
      </c>
      <c r="V190" s="527">
        <f t="shared" si="271"/>
        <v>0</v>
      </c>
      <c r="W190" s="527">
        <f t="shared" si="271"/>
        <v>0</v>
      </c>
      <c r="X190" s="527">
        <f t="shared" si="271"/>
        <v>0</v>
      </c>
      <c r="Y190" s="527">
        <f t="shared" si="271"/>
        <v>0</v>
      </c>
      <c r="Z190" s="527">
        <f t="shared" si="271"/>
        <v>0</v>
      </c>
      <c r="AA190" s="527">
        <f t="shared" si="271"/>
        <v>0</v>
      </c>
      <c r="AB190" s="527">
        <f t="shared" si="271"/>
        <v>0</v>
      </c>
      <c r="AC190" s="527">
        <f t="shared" si="271"/>
        <v>0</v>
      </c>
      <c r="AD190" s="527">
        <f t="shared" si="271"/>
        <v>0</v>
      </c>
      <c r="AE190" s="527">
        <f t="shared" si="271"/>
        <v>0</v>
      </c>
      <c r="AF190" s="527">
        <f t="shared" si="271"/>
        <v>0</v>
      </c>
      <c r="AG190" s="527">
        <f t="shared" si="271"/>
        <v>0</v>
      </c>
      <c r="AH190" s="527">
        <f t="shared" si="271"/>
        <v>0</v>
      </c>
      <c r="AI190" s="527">
        <f t="shared" si="271"/>
        <v>0</v>
      </c>
      <c r="AJ190" s="527">
        <f t="shared" si="271"/>
        <v>0</v>
      </c>
      <c r="AK190" s="527">
        <f t="shared" si="271"/>
        <v>0</v>
      </c>
      <c r="AL190" s="527">
        <f t="shared" si="271"/>
        <v>0</v>
      </c>
      <c r="AM190" s="527">
        <f t="shared" si="271"/>
        <v>0</v>
      </c>
      <c r="AN190" s="527">
        <f t="shared" si="271"/>
        <v>0</v>
      </c>
      <c r="AO190" s="527">
        <f t="shared" si="271"/>
        <v>0</v>
      </c>
      <c r="AP190" s="527">
        <f t="shared" si="271"/>
        <v>0</v>
      </c>
      <c r="AQ190" s="527">
        <f t="shared" si="271"/>
        <v>0</v>
      </c>
      <c r="AR190" s="527">
        <f t="shared" si="271"/>
        <v>0</v>
      </c>
      <c r="AS190" s="527">
        <f t="shared" si="271"/>
        <v>0</v>
      </c>
      <c r="AT190" s="527">
        <f t="shared" si="271"/>
        <v>0</v>
      </c>
      <c r="AU190" s="527">
        <f t="shared" si="271"/>
        <v>0</v>
      </c>
      <c r="AV190" s="527">
        <f t="shared" si="271"/>
        <v>0</v>
      </c>
      <c r="AW190" s="527">
        <f t="shared" si="271"/>
        <v>0</v>
      </c>
      <c r="AX190" s="527">
        <f t="shared" ref="AX190:BY190" si="272">(AX182*AX487)-(AX$615*$R160*AX487)</f>
        <v>0</v>
      </c>
      <c r="AY190" s="527">
        <f t="shared" si="272"/>
        <v>0</v>
      </c>
      <c r="AZ190" s="527">
        <f t="shared" si="272"/>
        <v>0</v>
      </c>
      <c r="BA190" s="527">
        <f t="shared" si="272"/>
        <v>0</v>
      </c>
      <c r="BB190" s="527">
        <f t="shared" si="272"/>
        <v>0</v>
      </c>
      <c r="BC190" s="527">
        <f t="shared" si="272"/>
        <v>0</v>
      </c>
      <c r="BD190" s="527">
        <f t="shared" si="272"/>
        <v>0</v>
      </c>
      <c r="BE190" s="527">
        <f t="shared" si="272"/>
        <v>0</v>
      </c>
      <c r="BF190" s="527">
        <f t="shared" si="272"/>
        <v>0</v>
      </c>
      <c r="BG190" s="527">
        <f t="shared" si="272"/>
        <v>0</v>
      </c>
      <c r="BH190" s="527">
        <f t="shared" si="272"/>
        <v>0</v>
      </c>
      <c r="BI190" s="527">
        <f t="shared" si="272"/>
        <v>0</v>
      </c>
      <c r="BJ190" s="527">
        <f t="shared" si="272"/>
        <v>0</v>
      </c>
      <c r="BK190" s="527">
        <f t="shared" si="272"/>
        <v>0</v>
      </c>
      <c r="BL190" s="527">
        <f t="shared" si="272"/>
        <v>0</v>
      </c>
      <c r="BM190" s="527">
        <f t="shared" si="272"/>
        <v>0</v>
      </c>
      <c r="BN190" s="527">
        <f t="shared" si="272"/>
        <v>0</v>
      </c>
      <c r="BO190" s="527">
        <f t="shared" si="272"/>
        <v>0</v>
      </c>
      <c r="BP190" s="527">
        <f t="shared" si="272"/>
        <v>0</v>
      </c>
      <c r="BQ190" s="527">
        <f t="shared" si="272"/>
        <v>0</v>
      </c>
      <c r="BR190" s="527">
        <f t="shared" si="272"/>
        <v>0</v>
      </c>
      <c r="BS190" s="527">
        <f t="shared" si="272"/>
        <v>0</v>
      </c>
      <c r="BT190" s="527">
        <f t="shared" si="272"/>
        <v>0</v>
      </c>
      <c r="BU190" s="527">
        <f t="shared" si="272"/>
        <v>0</v>
      </c>
      <c r="BV190" s="527">
        <f t="shared" si="272"/>
        <v>0</v>
      </c>
      <c r="BW190" s="527">
        <f t="shared" si="272"/>
        <v>0</v>
      </c>
      <c r="BX190" s="527">
        <f t="shared" si="272"/>
        <v>0</v>
      </c>
      <c r="BY190" s="527">
        <f t="shared" si="272"/>
        <v>0</v>
      </c>
    </row>
    <row r="191" spans="1:77" x14ac:dyDescent="0.3">
      <c r="A191" s="551"/>
      <c r="B191" s="548"/>
      <c r="C191" s="525"/>
      <c r="D191" s="525"/>
      <c r="E191" s="572" t="s">
        <v>36</v>
      </c>
      <c r="F191" s="572"/>
      <c r="G191" s="572"/>
      <c r="H191" s="572"/>
      <c r="I191" s="572"/>
      <c r="J191" s="572"/>
      <c r="K191" s="572"/>
      <c r="L191" s="572"/>
      <c r="M191" s="572"/>
      <c r="N191" s="572"/>
      <c r="O191" s="572"/>
      <c r="P191" s="612"/>
      <c r="Q191" s="572"/>
      <c r="R191" s="532">
        <f t="shared" ref="R191:AW191" si="273">SUM(R185:R190)</f>
        <v>0</v>
      </c>
      <c r="S191" s="532">
        <f t="shared" si="273"/>
        <v>0</v>
      </c>
      <c r="T191" s="532">
        <f t="shared" si="273"/>
        <v>0</v>
      </c>
      <c r="U191" s="532">
        <f t="shared" si="273"/>
        <v>0</v>
      </c>
      <c r="V191" s="532">
        <f t="shared" si="273"/>
        <v>0</v>
      </c>
      <c r="W191" s="532">
        <f t="shared" si="273"/>
        <v>0</v>
      </c>
      <c r="X191" s="532">
        <f t="shared" si="273"/>
        <v>24245.011115902977</v>
      </c>
      <c r="Y191" s="532">
        <f t="shared" si="273"/>
        <v>24245.011115902977</v>
      </c>
      <c r="Z191" s="532">
        <f t="shared" si="273"/>
        <v>24245.011115902977</v>
      </c>
      <c r="AA191" s="532">
        <f t="shared" si="273"/>
        <v>24245.011115902977</v>
      </c>
      <c r="AB191" s="532">
        <f t="shared" si="273"/>
        <v>24245.011115902977</v>
      </c>
      <c r="AC191" s="532">
        <f t="shared" si="273"/>
        <v>24245.011115902977</v>
      </c>
      <c r="AD191" s="532">
        <f t="shared" si="273"/>
        <v>19016.638037311204</v>
      </c>
      <c r="AE191" s="532">
        <f t="shared" si="273"/>
        <v>19016.638037311204</v>
      </c>
      <c r="AF191" s="532">
        <f t="shared" si="273"/>
        <v>19016.638037311204</v>
      </c>
      <c r="AG191" s="532">
        <f t="shared" si="273"/>
        <v>19016.638037311204</v>
      </c>
      <c r="AH191" s="532">
        <f t="shared" si="273"/>
        <v>19016.638037311204</v>
      </c>
      <c r="AI191" s="532">
        <f t="shared" si="273"/>
        <v>19016.638037311204</v>
      </c>
      <c r="AJ191" s="532">
        <f t="shared" si="273"/>
        <v>50110.764723135857</v>
      </c>
      <c r="AK191" s="532">
        <f t="shared" si="273"/>
        <v>50110.764723135857</v>
      </c>
      <c r="AL191" s="532">
        <f t="shared" si="273"/>
        <v>50110.764723135857</v>
      </c>
      <c r="AM191" s="532">
        <f t="shared" si="273"/>
        <v>50110.764723135857</v>
      </c>
      <c r="AN191" s="532">
        <f t="shared" si="273"/>
        <v>50110.764723135857</v>
      </c>
      <c r="AO191" s="532">
        <f t="shared" si="273"/>
        <v>50110.764723135857</v>
      </c>
      <c r="AP191" s="532">
        <f t="shared" si="273"/>
        <v>39751.6067961714</v>
      </c>
      <c r="AQ191" s="532">
        <f t="shared" si="273"/>
        <v>39751.6067961714</v>
      </c>
      <c r="AR191" s="532">
        <f t="shared" si="273"/>
        <v>39751.6067961714</v>
      </c>
      <c r="AS191" s="532">
        <f t="shared" si="273"/>
        <v>39751.6067961714</v>
      </c>
      <c r="AT191" s="532">
        <f t="shared" si="273"/>
        <v>39751.6067961714</v>
      </c>
      <c r="AU191" s="532">
        <f t="shared" si="273"/>
        <v>39751.6067961714</v>
      </c>
      <c r="AV191" s="532">
        <f t="shared" si="273"/>
        <v>78152.361439234286</v>
      </c>
      <c r="AW191" s="532">
        <f t="shared" si="273"/>
        <v>78152.361439234286</v>
      </c>
      <c r="AX191" s="532">
        <f t="shared" ref="AX191:BY191" si="274">SUM(AX185:AX190)</f>
        <v>78152.361439234286</v>
      </c>
      <c r="AY191" s="532">
        <f t="shared" si="274"/>
        <v>78152.361439234286</v>
      </c>
      <c r="AZ191" s="532">
        <f t="shared" si="274"/>
        <v>78152.361439234286</v>
      </c>
      <c r="BA191" s="532">
        <f t="shared" si="274"/>
        <v>78152.361439234286</v>
      </c>
      <c r="BB191" s="532">
        <f t="shared" si="274"/>
        <v>63351.668835619872</v>
      </c>
      <c r="BC191" s="532">
        <f t="shared" si="274"/>
        <v>63351.668835619872</v>
      </c>
      <c r="BD191" s="532">
        <f t="shared" si="274"/>
        <v>63351.668835619872</v>
      </c>
      <c r="BE191" s="532">
        <f t="shared" si="274"/>
        <v>63351.668835619872</v>
      </c>
      <c r="BF191" s="532">
        <f t="shared" si="274"/>
        <v>63351.668835619872</v>
      </c>
      <c r="BG191" s="532">
        <f t="shared" si="274"/>
        <v>63351.668835619872</v>
      </c>
      <c r="BH191" s="532">
        <f t="shared" si="274"/>
        <v>109525.91319510262</v>
      </c>
      <c r="BI191" s="532">
        <f t="shared" si="274"/>
        <v>109525.91319510262</v>
      </c>
      <c r="BJ191" s="532">
        <f t="shared" si="274"/>
        <v>109525.91319510262</v>
      </c>
      <c r="BK191" s="532">
        <f t="shared" si="274"/>
        <v>109525.91319510262</v>
      </c>
      <c r="BL191" s="532">
        <f t="shared" si="274"/>
        <v>109525.91319510262</v>
      </c>
      <c r="BM191" s="532">
        <f t="shared" si="274"/>
        <v>109525.91319510262</v>
      </c>
      <c r="BN191" s="532">
        <f t="shared" si="274"/>
        <v>89722.450737489533</v>
      </c>
      <c r="BO191" s="532">
        <f t="shared" si="274"/>
        <v>89722.450737489533</v>
      </c>
      <c r="BP191" s="532">
        <f t="shared" si="274"/>
        <v>89722.450737489533</v>
      </c>
      <c r="BQ191" s="532">
        <f t="shared" si="274"/>
        <v>89722.450737489533</v>
      </c>
      <c r="BR191" s="532">
        <f t="shared" si="274"/>
        <v>89722.450737489533</v>
      </c>
      <c r="BS191" s="532">
        <f t="shared" si="274"/>
        <v>89722.450737489533</v>
      </c>
      <c r="BT191" s="532">
        <f t="shared" si="274"/>
        <v>144159.22195457178</v>
      </c>
      <c r="BU191" s="532">
        <f t="shared" si="274"/>
        <v>144159.22195457178</v>
      </c>
      <c r="BV191" s="532">
        <f t="shared" si="274"/>
        <v>144159.22195457178</v>
      </c>
      <c r="BW191" s="532">
        <f t="shared" si="274"/>
        <v>144159.22195457178</v>
      </c>
      <c r="BX191" s="532">
        <f t="shared" si="274"/>
        <v>144159.22195457178</v>
      </c>
      <c r="BY191" s="532">
        <f t="shared" si="274"/>
        <v>144159.22195457178</v>
      </c>
    </row>
    <row r="192" spans="1:77" x14ac:dyDescent="0.3">
      <c r="A192" s="551"/>
      <c r="B192" s="548"/>
      <c r="C192" s="525"/>
      <c r="D192" s="525"/>
      <c r="E192" s="525"/>
      <c r="F192" s="525"/>
      <c r="G192" s="525"/>
      <c r="H192" s="525"/>
      <c r="I192" s="525"/>
      <c r="J192" s="525"/>
      <c r="K192" s="525"/>
      <c r="L192" s="525"/>
      <c r="M192" s="525"/>
      <c r="N192" s="525"/>
      <c r="O192" s="525"/>
      <c r="P192" s="565"/>
      <c r="Q192" s="525"/>
      <c r="R192" s="525"/>
      <c r="S192" s="525"/>
      <c r="T192" s="525"/>
      <c r="U192" s="525"/>
      <c r="V192" s="525"/>
      <c r="W192" s="525"/>
      <c r="X192" s="525"/>
      <c r="Y192" s="525"/>
      <c r="Z192" s="525"/>
      <c r="AA192" s="525"/>
      <c r="AB192" s="525"/>
      <c r="AC192" s="525"/>
      <c r="AD192" s="525"/>
      <c r="AE192" s="525"/>
      <c r="AF192" s="525"/>
      <c r="AG192" s="525"/>
      <c r="AH192" s="525"/>
      <c r="AI192" s="525"/>
      <c r="AJ192" s="525"/>
      <c r="AK192" s="525"/>
      <c r="AL192" s="525"/>
      <c r="AM192" s="525"/>
      <c r="AN192" s="525"/>
      <c r="AO192" s="525"/>
      <c r="AP192" s="525"/>
      <c r="AQ192" s="525"/>
      <c r="AR192" s="525"/>
      <c r="AS192" s="525"/>
      <c r="AT192" s="525"/>
      <c r="AU192" s="525"/>
      <c r="AV192" s="525"/>
      <c r="AW192" s="525"/>
      <c r="AX192" s="525"/>
      <c r="AY192" s="525"/>
      <c r="AZ192" s="525"/>
      <c r="BA192" s="525"/>
      <c r="BB192" s="525"/>
      <c r="BC192" s="525"/>
      <c r="BD192" s="525"/>
      <c r="BE192" s="525"/>
      <c r="BF192" s="525"/>
      <c r="BG192" s="525"/>
      <c r="BH192" s="525"/>
      <c r="BI192" s="525"/>
      <c r="BJ192" s="525"/>
      <c r="BK192" s="525"/>
      <c r="BL192" s="525"/>
      <c r="BM192" s="525"/>
      <c r="BN192" s="525"/>
      <c r="BO192" s="525"/>
      <c r="BP192" s="525"/>
      <c r="BQ192" s="525"/>
      <c r="BR192" s="525"/>
      <c r="BS192" s="525"/>
      <c r="BT192" s="525"/>
      <c r="BU192" s="525"/>
      <c r="BV192" s="525"/>
      <c r="BW192" s="525"/>
      <c r="BX192" s="525"/>
      <c r="BY192" s="525"/>
    </row>
    <row r="193" spans="1:77" x14ac:dyDescent="0.3">
      <c r="A193" s="551"/>
      <c r="B193" s="548"/>
      <c r="C193" s="584" t="s">
        <v>37</v>
      </c>
      <c r="D193" s="525"/>
      <c r="E193" s="538" t="s">
        <v>95</v>
      </c>
      <c r="F193" s="538"/>
      <c r="G193" s="538"/>
      <c r="H193" s="538"/>
      <c r="I193" s="538"/>
      <c r="J193" s="538"/>
      <c r="K193" s="538"/>
      <c r="L193" s="538"/>
      <c r="M193" s="538"/>
      <c r="N193" s="538"/>
      <c r="O193" s="538"/>
      <c r="P193" s="584"/>
      <c r="Q193" s="538"/>
      <c r="R193" s="538"/>
      <c r="S193" s="538"/>
      <c r="T193" s="538"/>
      <c r="U193" s="538"/>
      <c r="V193" s="538"/>
      <c r="W193" s="538"/>
      <c r="X193" s="538"/>
      <c r="Y193" s="538"/>
      <c r="Z193" s="538"/>
      <c r="AA193" s="538"/>
      <c r="AB193" s="538"/>
      <c r="AC193" s="538"/>
      <c r="AD193" s="538"/>
      <c r="AE193" s="538"/>
      <c r="AF193" s="538"/>
      <c r="AG193" s="538"/>
      <c r="AH193" s="538"/>
      <c r="AI193" s="538"/>
      <c r="AJ193" s="538"/>
      <c r="AK193" s="538"/>
      <c r="AL193" s="538"/>
      <c r="AM193" s="538"/>
      <c r="AN193" s="538"/>
      <c r="AO193" s="538"/>
      <c r="AP193" s="538"/>
      <c r="AQ193" s="538"/>
      <c r="AR193" s="538"/>
      <c r="AS193" s="538"/>
      <c r="AT193" s="538"/>
      <c r="AU193" s="538"/>
      <c r="AV193" s="538"/>
      <c r="AW193" s="538"/>
      <c r="AX193" s="538"/>
      <c r="AY193" s="538"/>
      <c r="AZ193" s="538"/>
      <c r="BA193" s="538"/>
      <c r="BB193" s="538"/>
      <c r="BC193" s="538"/>
      <c r="BD193" s="538"/>
      <c r="BE193" s="538"/>
      <c r="BF193" s="538"/>
      <c r="BG193" s="538"/>
      <c r="BH193" s="538"/>
      <c r="BI193" s="538"/>
      <c r="BJ193" s="538"/>
      <c r="BK193" s="538"/>
      <c r="BL193" s="538"/>
      <c r="BM193" s="538"/>
      <c r="BN193" s="538"/>
      <c r="BO193" s="538"/>
      <c r="BP193" s="538"/>
      <c r="BQ193" s="538"/>
      <c r="BR193" s="538"/>
      <c r="BS193" s="538"/>
      <c r="BT193" s="538"/>
      <c r="BU193" s="538"/>
      <c r="BV193" s="538"/>
      <c r="BW193" s="538"/>
      <c r="BX193" s="538"/>
      <c r="BY193" s="538"/>
    </row>
    <row r="194" spans="1:77" x14ac:dyDescent="0.3">
      <c r="A194" s="551"/>
      <c r="B194" s="548"/>
      <c r="C194" s="525"/>
      <c r="D194" s="525"/>
      <c r="E194" s="525"/>
      <c r="F194" s="525"/>
      <c r="G194" s="525"/>
      <c r="H194" s="525"/>
      <c r="I194" s="525"/>
      <c r="J194" s="525"/>
      <c r="K194" s="525"/>
      <c r="L194" s="525"/>
      <c r="M194" s="525"/>
      <c r="N194" s="525"/>
      <c r="O194" s="525"/>
      <c r="P194" s="565"/>
      <c r="Q194" s="525"/>
      <c r="R194" s="525"/>
      <c r="S194" s="525"/>
      <c r="T194" s="525"/>
      <c r="U194" s="525"/>
      <c r="V194" s="525"/>
      <c r="W194" s="525"/>
      <c r="X194" s="525"/>
      <c r="Y194" s="525"/>
      <c r="Z194" s="525"/>
      <c r="AA194" s="525"/>
      <c r="AB194" s="525"/>
      <c r="AC194" s="525"/>
      <c r="AD194" s="525"/>
      <c r="AE194" s="525"/>
      <c r="AF194" s="525"/>
      <c r="AG194" s="525"/>
      <c r="AH194" s="525"/>
      <c r="AI194" s="525"/>
      <c r="AJ194" s="525"/>
      <c r="AK194" s="525"/>
      <c r="AL194" s="525"/>
      <c r="AM194" s="525"/>
      <c r="AN194" s="525"/>
      <c r="AO194" s="525"/>
      <c r="AP194" s="525"/>
      <c r="AQ194" s="525"/>
      <c r="AR194" s="525"/>
      <c r="AS194" s="525"/>
      <c r="AT194" s="525"/>
      <c r="AU194" s="525"/>
      <c r="AV194" s="525"/>
      <c r="AW194" s="525"/>
      <c r="AX194" s="525"/>
      <c r="AY194" s="525"/>
      <c r="AZ194" s="525"/>
      <c r="BA194" s="525"/>
      <c r="BB194" s="525"/>
      <c r="BC194" s="525"/>
      <c r="BD194" s="525"/>
      <c r="BE194" s="525"/>
      <c r="BF194" s="525"/>
      <c r="BG194" s="525"/>
      <c r="BH194" s="525"/>
      <c r="BI194" s="525"/>
      <c r="BJ194" s="525"/>
      <c r="BK194" s="525"/>
      <c r="BL194" s="525"/>
      <c r="BM194" s="525"/>
      <c r="BN194" s="525"/>
      <c r="BO194" s="525"/>
      <c r="BP194" s="525"/>
      <c r="BQ194" s="525"/>
      <c r="BR194" s="525"/>
      <c r="BS194" s="525"/>
      <c r="BT194" s="525"/>
      <c r="BU194" s="525"/>
      <c r="BV194" s="525"/>
      <c r="BW194" s="525"/>
      <c r="BX194" s="525"/>
      <c r="BY194" s="525"/>
    </row>
    <row r="195" spans="1:77" x14ac:dyDescent="0.3">
      <c r="A195" s="551"/>
      <c r="B195" s="548"/>
      <c r="C195" s="525"/>
      <c r="D195" s="525"/>
      <c r="E195" s="614" t="s">
        <v>96</v>
      </c>
      <c r="F195" s="539"/>
      <c r="G195" s="539"/>
      <c r="H195" s="539"/>
      <c r="I195" s="539"/>
      <c r="J195" s="539"/>
      <c r="K195" s="539"/>
      <c r="L195" s="539"/>
      <c r="M195" s="539"/>
      <c r="N195" s="539"/>
      <c r="O195" s="539"/>
      <c r="P195" s="615"/>
      <c r="Q195" s="539"/>
      <c r="R195" s="539"/>
      <c r="S195" s="539"/>
      <c r="T195" s="539"/>
      <c r="U195" s="539"/>
      <c r="V195" s="539"/>
      <c r="W195" s="539"/>
      <c r="X195" s="539"/>
      <c r="Y195" s="539"/>
      <c r="Z195" s="539"/>
      <c r="AA195" s="539"/>
      <c r="AB195" s="539"/>
      <c r="AC195" s="539"/>
      <c r="AD195" s="539"/>
      <c r="AE195" s="539"/>
      <c r="AF195" s="539"/>
      <c r="AG195" s="539"/>
      <c r="AH195" s="539"/>
      <c r="AI195" s="539"/>
      <c r="AJ195" s="539"/>
      <c r="AK195" s="539"/>
      <c r="AL195" s="539"/>
      <c r="AM195" s="539"/>
      <c r="AN195" s="539"/>
      <c r="AO195" s="539"/>
      <c r="AP195" s="539"/>
      <c r="AQ195" s="539"/>
      <c r="AR195" s="539"/>
      <c r="AS195" s="539"/>
      <c r="AT195" s="539"/>
      <c r="AU195" s="539"/>
      <c r="AV195" s="539"/>
      <c r="AW195" s="539"/>
      <c r="AX195" s="539"/>
      <c r="AY195" s="539"/>
      <c r="AZ195" s="539"/>
      <c r="BA195" s="539"/>
      <c r="BB195" s="539"/>
      <c r="BC195" s="539"/>
      <c r="BD195" s="539"/>
      <c r="BE195" s="539"/>
      <c r="BF195" s="539"/>
      <c r="BG195" s="539"/>
      <c r="BH195" s="539"/>
      <c r="BI195" s="539"/>
      <c r="BJ195" s="539"/>
      <c r="BK195" s="539"/>
      <c r="BL195" s="539"/>
      <c r="BM195" s="539"/>
      <c r="BN195" s="539"/>
      <c r="BO195" s="539"/>
      <c r="BP195" s="539"/>
      <c r="BQ195" s="539"/>
      <c r="BR195" s="539"/>
      <c r="BS195" s="539"/>
      <c r="BT195" s="539"/>
      <c r="BU195" s="539"/>
      <c r="BV195" s="539"/>
      <c r="BW195" s="539"/>
      <c r="BX195" s="539"/>
      <c r="BY195" s="539"/>
    </row>
    <row r="196" spans="1:77" x14ac:dyDescent="0.3">
      <c r="A196" s="551"/>
      <c r="B196" s="548"/>
      <c r="C196" s="525"/>
      <c r="D196" s="525"/>
      <c r="E196" s="525"/>
      <c r="F196" s="525"/>
      <c r="G196" s="525"/>
      <c r="H196" s="525"/>
      <c r="I196" s="525"/>
      <c r="J196" s="525"/>
      <c r="K196" s="525"/>
      <c r="L196" s="525"/>
      <c r="M196" s="525"/>
      <c r="N196" s="525"/>
      <c r="O196" s="525"/>
      <c r="P196" s="565"/>
      <c r="Q196" s="525"/>
      <c r="R196" s="525"/>
      <c r="S196" s="525"/>
      <c r="T196" s="525"/>
      <c r="U196" s="525"/>
      <c r="V196" s="525"/>
      <c r="W196" s="525"/>
      <c r="X196" s="525"/>
      <c r="Y196" s="525"/>
      <c r="Z196" s="525"/>
      <c r="AA196" s="525"/>
      <c r="AB196" s="525"/>
      <c r="AC196" s="525"/>
      <c r="AD196" s="525"/>
      <c r="AE196" s="525"/>
      <c r="AF196" s="525"/>
      <c r="AG196" s="525"/>
      <c r="AH196" s="525"/>
      <c r="AI196" s="525"/>
      <c r="AJ196" s="525"/>
      <c r="AK196" s="525"/>
      <c r="AL196" s="525"/>
      <c r="AM196" s="525"/>
      <c r="AN196" s="525"/>
      <c r="AO196" s="525"/>
      <c r="AP196" s="525"/>
      <c r="AQ196" s="525"/>
      <c r="AR196" s="525"/>
      <c r="AS196" s="525"/>
      <c r="AT196" s="525"/>
      <c r="AU196" s="525"/>
      <c r="AV196" s="525"/>
      <c r="AW196" s="525"/>
      <c r="AX196" s="525"/>
      <c r="AY196" s="525"/>
      <c r="AZ196" s="525"/>
      <c r="BA196" s="525"/>
      <c r="BB196" s="525"/>
      <c r="BC196" s="525"/>
      <c r="BD196" s="525"/>
      <c r="BE196" s="525"/>
      <c r="BF196" s="525"/>
      <c r="BG196" s="525"/>
      <c r="BH196" s="525"/>
      <c r="BI196" s="525"/>
      <c r="BJ196" s="525"/>
      <c r="BK196" s="525"/>
      <c r="BL196" s="525"/>
      <c r="BM196" s="525"/>
      <c r="BN196" s="525"/>
      <c r="BO196" s="525"/>
      <c r="BP196" s="525"/>
      <c r="BQ196" s="525"/>
      <c r="BR196" s="525"/>
      <c r="BS196" s="525"/>
      <c r="BT196" s="525"/>
      <c r="BU196" s="525"/>
      <c r="BV196" s="525"/>
      <c r="BW196" s="525"/>
      <c r="BX196" s="525"/>
      <c r="BY196" s="525"/>
    </row>
    <row r="197" spans="1:77" x14ac:dyDescent="0.3">
      <c r="A197" s="551"/>
      <c r="B197" s="548"/>
      <c r="C197" s="525"/>
      <c r="D197" s="525"/>
      <c r="E197" s="616" t="str">
        <f>"Drinks net comm. uplift due to capex: "&amp;E$155</f>
        <v>Drinks net comm. uplift due to capex: FY27 Tranche</v>
      </c>
      <c r="F197" s="525"/>
      <c r="G197" s="525"/>
      <c r="H197" s="525"/>
      <c r="I197" s="525"/>
      <c r="J197" s="525"/>
      <c r="K197" s="525"/>
      <c r="L197" s="525"/>
      <c r="M197" s="525"/>
      <c r="N197" s="525"/>
      <c r="O197" s="525"/>
      <c r="P197" s="565"/>
      <c r="Q197" s="525"/>
      <c r="R197" s="527">
        <f t="shared" ref="R197:AW197" si="275">R185*$AE155</f>
        <v>0</v>
      </c>
      <c r="S197" s="527">
        <f t="shared" si="275"/>
        <v>0</v>
      </c>
      <c r="T197" s="527">
        <f t="shared" si="275"/>
        <v>0</v>
      </c>
      <c r="U197" s="527">
        <f t="shared" si="275"/>
        <v>0</v>
      </c>
      <c r="V197" s="527">
        <f t="shared" si="275"/>
        <v>0</v>
      </c>
      <c r="W197" s="527">
        <f t="shared" si="275"/>
        <v>0</v>
      </c>
      <c r="X197" s="527">
        <f t="shared" si="275"/>
        <v>13334.756113746638</v>
      </c>
      <c r="Y197" s="527">
        <f t="shared" si="275"/>
        <v>13334.756113746638</v>
      </c>
      <c r="Z197" s="527">
        <f t="shared" si="275"/>
        <v>13334.756113746638</v>
      </c>
      <c r="AA197" s="527">
        <f t="shared" si="275"/>
        <v>13334.756113746638</v>
      </c>
      <c r="AB197" s="527">
        <f t="shared" si="275"/>
        <v>13334.756113746638</v>
      </c>
      <c r="AC197" s="527">
        <f t="shared" si="275"/>
        <v>13334.756113746638</v>
      </c>
      <c r="AD197" s="527">
        <f t="shared" si="275"/>
        <v>10459.150920521162</v>
      </c>
      <c r="AE197" s="527">
        <f t="shared" si="275"/>
        <v>10459.150920521162</v>
      </c>
      <c r="AF197" s="527">
        <f t="shared" si="275"/>
        <v>10459.150920521162</v>
      </c>
      <c r="AG197" s="527">
        <f t="shared" si="275"/>
        <v>10459.150920521162</v>
      </c>
      <c r="AH197" s="527">
        <f t="shared" si="275"/>
        <v>10459.150920521162</v>
      </c>
      <c r="AI197" s="527">
        <f t="shared" si="275"/>
        <v>10459.150920521162</v>
      </c>
      <c r="AJ197" s="527">
        <f t="shared" si="275"/>
        <v>13905.466262902026</v>
      </c>
      <c r="AK197" s="527">
        <f t="shared" si="275"/>
        <v>13905.466262902026</v>
      </c>
      <c r="AL197" s="527">
        <f t="shared" si="275"/>
        <v>13905.466262902026</v>
      </c>
      <c r="AM197" s="527">
        <f t="shared" si="275"/>
        <v>13905.466262902026</v>
      </c>
      <c r="AN197" s="527">
        <f t="shared" si="275"/>
        <v>13905.466262902026</v>
      </c>
      <c r="AO197" s="527">
        <f t="shared" si="275"/>
        <v>13905.466262902026</v>
      </c>
      <c r="AP197" s="527">
        <f t="shared" si="275"/>
        <v>11056.6978329868</v>
      </c>
      <c r="AQ197" s="527">
        <f t="shared" si="275"/>
        <v>11056.6978329868</v>
      </c>
      <c r="AR197" s="527">
        <f t="shared" si="275"/>
        <v>11056.6978329868</v>
      </c>
      <c r="AS197" s="527">
        <f t="shared" si="275"/>
        <v>11056.6978329868</v>
      </c>
      <c r="AT197" s="527">
        <f t="shared" si="275"/>
        <v>11056.6978329868</v>
      </c>
      <c r="AU197" s="527">
        <f t="shared" si="275"/>
        <v>11056.6978329868</v>
      </c>
      <c r="AV197" s="527">
        <f t="shared" si="275"/>
        <v>14640.865789062902</v>
      </c>
      <c r="AW197" s="527">
        <f t="shared" si="275"/>
        <v>14640.865789062902</v>
      </c>
      <c r="AX197" s="527">
        <f t="shared" ref="AX197:BY197" si="276">AX185*$AE155</f>
        <v>14640.865789062902</v>
      </c>
      <c r="AY197" s="527">
        <f t="shared" si="276"/>
        <v>14640.865789062902</v>
      </c>
      <c r="AZ197" s="527">
        <f t="shared" si="276"/>
        <v>14640.865789062902</v>
      </c>
      <c r="BA197" s="527">
        <f t="shared" si="276"/>
        <v>14640.865789062902</v>
      </c>
      <c r="BB197" s="527">
        <f t="shared" si="276"/>
        <v>11927.40547840026</v>
      </c>
      <c r="BC197" s="527">
        <f t="shared" si="276"/>
        <v>11927.40547840026</v>
      </c>
      <c r="BD197" s="527">
        <f t="shared" si="276"/>
        <v>11927.40547840026</v>
      </c>
      <c r="BE197" s="527">
        <f t="shared" si="276"/>
        <v>11927.40547840026</v>
      </c>
      <c r="BF197" s="527">
        <f t="shared" si="276"/>
        <v>11927.40547840026</v>
      </c>
      <c r="BG197" s="527">
        <f t="shared" si="276"/>
        <v>11927.40547840026</v>
      </c>
      <c r="BH197" s="527">
        <f t="shared" si="276"/>
        <v>15654.940152719426</v>
      </c>
      <c r="BI197" s="527">
        <f t="shared" si="276"/>
        <v>15654.940152719426</v>
      </c>
      <c r="BJ197" s="527">
        <f t="shared" si="276"/>
        <v>15654.940152719426</v>
      </c>
      <c r="BK197" s="527">
        <f t="shared" si="276"/>
        <v>15654.940152719426</v>
      </c>
      <c r="BL197" s="527">
        <f t="shared" si="276"/>
        <v>15654.940152719426</v>
      </c>
      <c r="BM197" s="527">
        <f t="shared" si="276"/>
        <v>15654.940152719426</v>
      </c>
      <c r="BN197" s="527">
        <f t="shared" si="276"/>
        <v>12931.964064797627</v>
      </c>
      <c r="BO197" s="527">
        <f t="shared" si="276"/>
        <v>12931.964064797627</v>
      </c>
      <c r="BP197" s="527">
        <f t="shared" si="276"/>
        <v>12931.964064797627</v>
      </c>
      <c r="BQ197" s="527">
        <f t="shared" si="276"/>
        <v>12931.964064797627</v>
      </c>
      <c r="BR197" s="527">
        <f t="shared" si="276"/>
        <v>12931.964064797627</v>
      </c>
      <c r="BS197" s="527">
        <f t="shared" si="276"/>
        <v>12931.964064797627</v>
      </c>
      <c r="BT197" s="527">
        <f t="shared" si="276"/>
        <v>16808.600126089535</v>
      </c>
      <c r="BU197" s="527">
        <f t="shared" si="276"/>
        <v>16808.600126089535</v>
      </c>
      <c r="BV197" s="527">
        <f t="shared" si="276"/>
        <v>16808.600126089535</v>
      </c>
      <c r="BW197" s="527">
        <f t="shared" si="276"/>
        <v>16808.600126089535</v>
      </c>
      <c r="BX197" s="527">
        <f t="shared" si="276"/>
        <v>16808.600126089535</v>
      </c>
      <c r="BY197" s="527">
        <f t="shared" si="276"/>
        <v>16808.600126089535</v>
      </c>
    </row>
    <row r="198" spans="1:77" x14ac:dyDescent="0.3">
      <c r="A198" s="551"/>
      <c r="B198" s="548"/>
      <c r="C198" s="525"/>
      <c r="D198" s="525"/>
      <c r="E198" s="616" t="str">
        <f>"Drinks net comm. uplift due to capex: "&amp;E$156</f>
        <v>Drinks net comm. uplift due to capex: FY28 Tranche</v>
      </c>
      <c r="F198" s="525"/>
      <c r="G198" s="525"/>
      <c r="H198" s="525"/>
      <c r="I198" s="525"/>
      <c r="J198" s="525"/>
      <c r="K198" s="525"/>
      <c r="L198" s="525"/>
      <c r="M198" s="525"/>
      <c r="N198" s="525"/>
      <c r="O198" s="525"/>
      <c r="P198" s="565"/>
      <c r="Q198" s="525"/>
      <c r="R198" s="527">
        <f t="shared" ref="R198:AW198" si="277">R186*$AE156</f>
        <v>0</v>
      </c>
      <c r="S198" s="527">
        <f t="shared" si="277"/>
        <v>0</v>
      </c>
      <c r="T198" s="527">
        <f t="shared" si="277"/>
        <v>0</v>
      </c>
      <c r="U198" s="527">
        <f t="shared" si="277"/>
        <v>0</v>
      </c>
      <c r="V198" s="527">
        <f t="shared" si="277"/>
        <v>0</v>
      </c>
      <c r="W198" s="527">
        <f t="shared" si="277"/>
        <v>0</v>
      </c>
      <c r="X198" s="527">
        <f t="shared" si="277"/>
        <v>0</v>
      </c>
      <c r="Y198" s="527">
        <f t="shared" si="277"/>
        <v>0</v>
      </c>
      <c r="Z198" s="527">
        <f t="shared" si="277"/>
        <v>0</v>
      </c>
      <c r="AA198" s="527">
        <f t="shared" si="277"/>
        <v>0</v>
      </c>
      <c r="AB198" s="527">
        <f t="shared" si="277"/>
        <v>0</v>
      </c>
      <c r="AC198" s="527">
        <f t="shared" si="277"/>
        <v>0</v>
      </c>
      <c r="AD198" s="527">
        <f t="shared" si="277"/>
        <v>0</v>
      </c>
      <c r="AE198" s="527">
        <f t="shared" si="277"/>
        <v>0</v>
      </c>
      <c r="AF198" s="527">
        <f t="shared" si="277"/>
        <v>0</v>
      </c>
      <c r="AG198" s="527">
        <f t="shared" si="277"/>
        <v>0</v>
      </c>
      <c r="AH198" s="527">
        <f t="shared" si="277"/>
        <v>0</v>
      </c>
      <c r="AI198" s="527">
        <f t="shared" si="277"/>
        <v>0</v>
      </c>
      <c r="AJ198" s="527">
        <f t="shared" si="277"/>
        <v>13655.454334822698</v>
      </c>
      <c r="AK198" s="527">
        <f t="shared" si="277"/>
        <v>13655.454334822698</v>
      </c>
      <c r="AL198" s="527">
        <f t="shared" si="277"/>
        <v>13655.454334822698</v>
      </c>
      <c r="AM198" s="527">
        <f t="shared" si="277"/>
        <v>13655.454334822698</v>
      </c>
      <c r="AN198" s="527">
        <f t="shared" si="277"/>
        <v>13655.454334822698</v>
      </c>
      <c r="AO198" s="527">
        <f t="shared" si="277"/>
        <v>13655.454334822698</v>
      </c>
      <c r="AP198" s="527">
        <f t="shared" si="277"/>
        <v>10806.685904907472</v>
      </c>
      <c r="AQ198" s="527">
        <f t="shared" si="277"/>
        <v>10806.685904907472</v>
      </c>
      <c r="AR198" s="527">
        <f t="shared" si="277"/>
        <v>10806.685904907472</v>
      </c>
      <c r="AS198" s="527">
        <f t="shared" si="277"/>
        <v>10806.685904907472</v>
      </c>
      <c r="AT198" s="527">
        <f t="shared" si="277"/>
        <v>10806.685904907472</v>
      </c>
      <c r="AU198" s="527">
        <f t="shared" si="277"/>
        <v>10806.685904907472</v>
      </c>
      <c r="AV198" s="527">
        <f t="shared" si="277"/>
        <v>14380.853383860398</v>
      </c>
      <c r="AW198" s="527">
        <f t="shared" si="277"/>
        <v>14380.853383860398</v>
      </c>
      <c r="AX198" s="527">
        <f t="shared" ref="AX198:BY198" si="278">AX186*$AE156</f>
        <v>14380.853383860398</v>
      </c>
      <c r="AY198" s="527">
        <f t="shared" si="278"/>
        <v>14380.853383860398</v>
      </c>
      <c r="AZ198" s="527">
        <f t="shared" si="278"/>
        <v>14380.853383860398</v>
      </c>
      <c r="BA198" s="527">
        <f t="shared" si="278"/>
        <v>14380.853383860398</v>
      </c>
      <c r="BB198" s="527">
        <f t="shared" si="278"/>
        <v>11667.393073197754</v>
      </c>
      <c r="BC198" s="527">
        <f t="shared" si="278"/>
        <v>11667.393073197754</v>
      </c>
      <c r="BD198" s="527">
        <f t="shared" si="278"/>
        <v>11667.393073197754</v>
      </c>
      <c r="BE198" s="527">
        <f t="shared" si="278"/>
        <v>11667.393073197754</v>
      </c>
      <c r="BF198" s="527">
        <f t="shared" si="278"/>
        <v>11667.393073197754</v>
      </c>
      <c r="BG198" s="527">
        <f t="shared" si="278"/>
        <v>11667.393073197754</v>
      </c>
      <c r="BH198" s="527">
        <f t="shared" si="278"/>
        <v>15384.527251308795</v>
      </c>
      <c r="BI198" s="527">
        <f t="shared" si="278"/>
        <v>15384.527251308795</v>
      </c>
      <c r="BJ198" s="527">
        <f t="shared" si="278"/>
        <v>15384.527251308795</v>
      </c>
      <c r="BK198" s="527">
        <f t="shared" si="278"/>
        <v>15384.527251308795</v>
      </c>
      <c r="BL198" s="527">
        <f t="shared" si="278"/>
        <v>15384.527251308795</v>
      </c>
      <c r="BM198" s="527">
        <f t="shared" si="278"/>
        <v>15384.527251308795</v>
      </c>
      <c r="BN198" s="527">
        <f t="shared" si="278"/>
        <v>12661.551163386996</v>
      </c>
      <c r="BO198" s="527">
        <f t="shared" si="278"/>
        <v>12661.551163386996</v>
      </c>
      <c r="BP198" s="527">
        <f t="shared" si="278"/>
        <v>12661.551163386996</v>
      </c>
      <c r="BQ198" s="527">
        <f t="shared" si="278"/>
        <v>12661.551163386996</v>
      </c>
      <c r="BR198" s="527">
        <f t="shared" si="278"/>
        <v>12661.551163386996</v>
      </c>
      <c r="BS198" s="527">
        <f t="shared" si="278"/>
        <v>12661.551163386996</v>
      </c>
      <c r="BT198" s="527">
        <f t="shared" si="278"/>
        <v>16527.370708622486</v>
      </c>
      <c r="BU198" s="527">
        <f t="shared" si="278"/>
        <v>16527.370708622486</v>
      </c>
      <c r="BV198" s="527">
        <f t="shared" si="278"/>
        <v>16527.370708622486</v>
      </c>
      <c r="BW198" s="527">
        <f t="shared" si="278"/>
        <v>16527.370708622486</v>
      </c>
      <c r="BX198" s="527">
        <f t="shared" si="278"/>
        <v>16527.370708622486</v>
      </c>
      <c r="BY198" s="527">
        <f t="shared" si="278"/>
        <v>16527.370708622486</v>
      </c>
    </row>
    <row r="199" spans="1:77" x14ac:dyDescent="0.3">
      <c r="A199" s="551"/>
      <c r="B199" s="548"/>
      <c r="C199" s="525"/>
      <c r="D199" s="525"/>
      <c r="E199" s="616" t="str">
        <f>"Drinks net comm. uplift due to capex: "&amp;E$157</f>
        <v>Drinks net comm. uplift due to capex: FY29 Tranche</v>
      </c>
      <c r="F199" s="525"/>
      <c r="G199" s="525"/>
      <c r="H199" s="525"/>
      <c r="I199" s="525"/>
      <c r="J199" s="525"/>
      <c r="K199" s="525"/>
      <c r="L199" s="525"/>
      <c r="M199" s="525"/>
      <c r="N199" s="525"/>
      <c r="O199" s="525"/>
      <c r="P199" s="565"/>
      <c r="Q199" s="525"/>
      <c r="R199" s="527">
        <f t="shared" ref="R199:AW199" si="279">R187*$AE157</f>
        <v>0</v>
      </c>
      <c r="S199" s="527">
        <f t="shared" si="279"/>
        <v>0</v>
      </c>
      <c r="T199" s="527">
        <f t="shared" si="279"/>
        <v>0</v>
      </c>
      <c r="U199" s="527">
        <f t="shared" si="279"/>
        <v>0</v>
      </c>
      <c r="V199" s="527">
        <f t="shared" si="279"/>
        <v>0</v>
      </c>
      <c r="W199" s="527">
        <f t="shared" si="279"/>
        <v>0</v>
      </c>
      <c r="X199" s="527">
        <f t="shared" si="279"/>
        <v>0</v>
      </c>
      <c r="Y199" s="527">
        <f t="shared" si="279"/>
        <v>0</v>
      </c>
      <c r="Z199" s="527">
        <f t="shared" si="279"/>
        <v>0</v>
      </c>
      <c r="AA199" s="527">
        <f t="shared" si="279"/>
        <v>0</v>
      </c>
      <c r="AB199" s="527">
        <f t="shared" si="279"/>
        <v>0</v>
      </c>
      <c r="AC199" s="527">
        <f t="shared" si="279"/>
        <v>0</v>
      </c>
      <c r="AD199" s="527">
        <f t="shared" si="279"/>
        <v>0</v>
      </c>
      <c r="AE199" s="527">
        <f t="shared" si="279"/>
        <v>0</v>
      </c>
      <c r="AF199" s="527">
        <f t="shared" si="279"/>
        <v>0</v>
      </c>
      <c r="AG199" s="527">
        <f t="shared" si="279"/>
        <v>0</v>
      </c>
      <c r="AH199" s="527">
        <f t="shared" si="279"/>
        <v>0</v>
      </c>
      <c r="AI199" s="527">
        <f t="shared" si="279"/>
        <v>0</v>
      </c>
      <c r="AJ199" s="527">
        <f t="shared" si="279"/>
        <v>0</v>
      </c>
      <c r="AK199" s="527">
        <f t="shared" si="279"/>
        <v>0</v>
      </c>
      <c r="AL199" s="527">
        <f t="shared" si="279"/>
        <v>0</v>
      </c>
      <c r="AM199" s="527">
        <f t="shared" si="279"/>
        <v>0</v>
      </c>
      <c r="AN199" s="527">
        <f t="shared" si="279"/>
        <v>0</v>
      </c>
      <c r="AO199" s="527">
        <f t="shared" si="279"/>
        <v>0</v>
      </c>
      <c r="AP199" s="527">
        <f t="shared" si="279"/>
        <v>0</v>
      </c>
      <c r="AQ199" s="527">
        <f t="shared" si="279"/>
        <v>0</v>
      </c>
      <c r="AR199" s="527">
        <f t="shared" si="279"/>
        <v>0</v>
      </c>
      <c r="AS199" s="527">
        <f t="shared" si="279"/>
        <v>0</v>
      </c>
      <c r="AT199" s="527">
        <f t="shared" si="279"/>
        <v>0</v>
      </c>
      <c r="AU199" s="527">
        <f t="shared" si="279"/>
        <v>0</v>
      </c>
      <c r="AV199" s="527">
        <f t="shared" si="279"/>
        <v>13962.079618655562</v>
      </c>
      <c r="AW199" s="527">
        <f t="shared" si="279"/>
        <v>13962.079618655562</v>
      </c>
      <c r="AX199" s="527">
        <f t="shared" ref="AX199:BY199" si="280">AX187*$AE157</f>
        <v>13962.079618655562</v>
      </c>
      <c r="AY199" s="527">
        <f t="shared" si="280"/>
        <v>13962.079618655562</v>
      </c>
      <c r="AZ199" s="527">
        <f t="shared" si="280"/>
        <v>13962.079618655562</v>
      </c>
      <c r="BA199" s="527">
        <f t="shared" si="280"/>
        <v>13962.079618655562</v>
      </c>
      <c r="BB199" s="527">
        <f t="shared" si="280"/>
        <v>11248.619307992918</v>
      </c>
      <c r="BC199" s="527">
        <f t="shared" si="280"/>
        <v>11248.619307992918</v>
      </c>
      <c r="BD199" s="527">
        <f t="shared" si="280"/>
        <v>11248.619307992918</v>
      </c>
      <c r="BE199" s="527">
        <f t="shared" si="280"/>
        <v>11248.619307992918</v>
      </c>
      <c r="BF199" s="527">
        <f t="shared" si="280"/>
        <v>11248.619307992918</v>
      </c>
      <c r="BG199" s="527">
        <f t="shared" si="280"/>
        <v>11248.619307992918</v>
      </c>
      <c r="BH199" s="527">
        <f t="shared" si="280"/>
        <v>14949.002535495762</v>
      </c>
      <c r="BI199" s="527">
        <f t="shared" si="280"/>
        <v>14949.002535495762</v>
      </c>
      <c r="BJ199" s="527">
        <f t="shared" si="280"/>
        <v>14949.002535495762</v>
      </c>
      <c r="BK199" s="527">
        <f t="shared" si="280"/>
        <v>14949.002535495762</v>
      </c>
      <c r="BL199" s="527">
        <f t="shared" si="280"/>
        <v>14949.002535495762</v>
      </c>
      <c r="BM199" s="527">
        <f t="shared" si="280"/>
        <v>14949.002535495762</v>
      </c>
      <c r="BN199" s="527">
        <f t="shared" si="280"/>
        <v>12226.026447573962</v>
      </c>
      <c r="BO199" s="527">
        <f t="shared" si="280"/>
        <v>12226.026447573962</v>
      </c>
      <c r="BP199" s="527">
        <f t="shared" si="280"/>
        <v>12226.026447573962</v>
      </c>
      <c r="BQ199" s="527">
        <f t="shared" si="280"/>
        <v>12226.026447573962</v>
      </c>
      <c r="BR199" s="527">
        <f t="shared" si="280"/>
        <v>12226.026447573962</v>
      </c>
      <c r="BS199" s="527">
        <f t="shared" si="280"/>
        <v>12226.026447573962</v>
      </c>
      <c r="BT199" s="527">
        <f t="shared" si="280"/>
        <v>16074.425004176923</v>
      </c>
      <c r="BU199" s="527">
        <f t="shared" si="280"/>
        <v>16074.425004176923</v>
      </c>
      <c r="BV199" s="527">
        <f t="shared" si="280"/>
        <v>16074.425004176923</v>
      </c>
      <c r="BW199" s="527">
        <f t="shared" si="280"/>
        <v>16074.425004176923</v>
      </c>
      <c r="BX199" s="527">
        <f t="shared" si="280"/>
        <v>16074.425004176923</v>
      </c>
      <c r="BY199" s="527">
        <f t="shared" si="280"/>
        <v>16074.425004176923</v>
      </c>
    </row>
    <row r="200" spans="1:77" x14ac:dyDescent="0.3">
      <c r="A200" s="551"/>
      <c r="B200" s="548"/>
      <c r="C200" s="525"/>
      <c r="D200" s="525"/>
      <c r="E200" s="616" t="str">
        <f>"Drinks net comm. uplift due to capex: "&amp;E$158</f>
        <v>Drinks net comm. uplift due to capex: FY30 Tranche</v>
      </c>
      <c r="F200" s="525"/>
      <c r="G200" s="525"/>
      <c r="H200" s="525"/>
      <c r="I200" s="525"/>
      <c r="J200" s="525"/>
      <c r="K200" s="525"/>
      <c r="L200" s="525"/>
      <c r="M200" s="525"/>
      <c r="N200" s="525"/>
      <c r="O200" s="525"/>
      <c r="P200" s="565"/>
      <c r="Q200" s="525"/>
      <c r="R200" s="527">
        <f t="shared" ref="R200:AW200" si="281">R188*$AE158</f>
        <v>0</v>
      </c>
      <c r="S200" s="527">
        <f t="shared" si="281"/>
        <v>0</v>
      </c>
      <c r="T200" s="527">
        <f t="shared" si="281"/>
        <v>0</v>
      </c>
      <c r="U200" s="527">
        <f t="shared" si="281"/>
        <v>0</v>
      </c>
      <c r="V200" s="527">
        <f t="shared" si="281"/>
        <v>0</v>
      </c>
      <c r="W200" s="527">
        <f t="shared" si="281"/>
        <v>0</v>
      </c>
      <c r="X200" s="527">
        <f t="shared" si="281"/>
        <v>0</v>
      </c>
      <c r="Y200" s="527">
        <f t="shared" si="281"/>
        <v>0</v>
      </c>
      <c r="Z200" s="527">
        <f t="shared" si="281"/>
        <v>0</v>
      </c>
      <c r="AA200" s="527">
        <f t="shared" si="281"/>
        <v>0</v>
      </c>
      <c r="AB200" s="527">
        <f t="shared" si="281"/>
        <v>0</v>
      </c>
      <c r="AC200" s="527">
        <f t="shared" si="281"/>
        <v>0</v>
      </c>
      <c r="AD200" s="527">
        <f t="shared" si="281"/>
        <v>0</v>
      </c>
      <c r="AE200" s="527">
        <f t="shared" si="281"/>
        <v>0</v>
      </c>
      <c r="AF200" s="527">
        <f t="shared" si="281"/>
        <v>0</v>
      </c>
      <c r="AG200" s="527">
        <f t="shared" si="281"/>
        <v>0</v>
      </c>
      <c r="AH200" s="527">
        <f t="shared" si="281"/>
        <v>0</v>
      </c>
      <c r="AI200" s="527">
        <f t="shared" si="281"/>
        <v>0</v>
      </c>
      <c r="AJ200" s="527">
        <f t="shared" si="281"/>
        <v>0</v>
      </c>
      <c r="AK200" s="527">
        <f t="shared" si="281"/>
        <v>0</v>
      </c>
      <c r="AL200" s="527">
        <f t="shared" si="281"/>
        <v>0</v>
      </c>
      <c r="AM200" s="527">
        <f t="shared" si="281"/>
        <v>0</v>
      </c>
      <c r="AN200" s="527">
        <f t="shared" si="281"/>
        <v>0</v>
      </c>
      <c r="AO200" s="527">
        <f t="shared" si="281"/>
        <v>0</v>
      </c>
      <c r="AP200" s="527">
        <f t="shared" si="281"/>
        <v>0</v>
      </c>
      <c r="AQ200" s="527">
        <f t="shared" si="281"/>
        <v>0</v>
      </c>
      <c r="AR200" s="527">
        <f t="shared" si="281"/>
        <v>0</v>
      </c>
      <c r="AS200" s="527">
        <f t="shared" si="281"/>
        <v>0</v>
      </c>
      <c r="AT200" s="527">
        <f t="shared" si="281"/>
        <v>0</v>
      </c>
      <c r="AU200" s="527">
        <f t="shared" si="281"/>
        <v>0</v>
      </c>
      <c r="AV200" s="527">
        <f t="shared" si="281"/>
        <v>0</v>
      </c>
      <c r="AW200" s="527">
        <f t="shared" si="281"/>
        <v>0</v>
      </c>
      <c r="AX200" s="527">
        <f t="shared" ref="AX200:BY200" si="282">AX188*$AE158</f>
        <v>0</v>
      </c>
      <c r="AY200" s="527">
        <f t="shared" si="282"/>
        <v>0</v>
      </c>
      <c r="AZ200" s="527">
        <f t="shared" si="282"/>
        <v>0</v>
      </c>
      <c r="BA200" s="527">
        <f t="shared" si="282"/>
        <v>0</v>
      </c>
      <c r="BB200" s="527">
        <f t="shared" si="282"/>
        <v>0</v>
      </c>
      <c r="BC200" s="527">
        <f t="shared" si="282"/>
        <v>0</v>
      </c>
      <c r="BD200" s="527">
        <f t="shared" si="282"/>
        <v>0</v>
      </c>
      <c r="BE200" s="527">
        <f t="shared" si="282"/>
        <v>0</v>
      </c>
      <c r="BF200" s="527">
        <f t="shared" si="282"/>
        <v>0</v>
      </c>
      <c r="BG200" s="527">
        <f t="shared" si="282"/>
        <v>0</v>
      </c>
      <c r="BH200" s="527">
        <f t="shared" si="282"/>
        <v>14250.782317782463</v>
      </c>
      <c r="BI200" s="527">
        <f t="shared" si="282"/>
        <v>14250.782317782463</v>
      </c>
      <c r="BJ200" s="527">
        <f t="shared" si="282"/>
        <v>14250.782317782463</v>
      </c>
      <c r="BK200" s="527">
        <f t="shared" si="282"/>
        <v>14250.782317782463</v>
      </c>
      <c r="BL200" s="527">
        <f t="shared" si="282"/>
        <v>14250.782317782463</v>
      </c>
      <c r="BM200" s="527">
        <f t="shared" si="282"/>
        <v>14250.782317782463</v>
      </c>
      <c r="BN200" s="527">
        <f t="shared" si="282"/>
        <v>11527.806229860664</v>
      </c>
      <c r="BO200" s="527">
        <f t="shared" si="282"/>
        <v>11527.806229860664</v>
      </c>
      <c r="BP200" s="527">
        <f t="shared" si="282"/>
        <v>11527.806229860664</v>
      </c>
      <c r="BQ200" s="527">
        <f t="shared" si="282"/>
        <v>11527.806229860664</v>
      </c>
      <c r="BR200" s="527">
        <f t="shared" si="282"/>
        <v>11527.806229860664</v>
      </c>
      <c r="BS200" s="527">
        <f t="shared" si="282"/>
        <v>11527.806229860664</v>
      </c>
      <c r="BT200" s="527">
        <f t="shared" si="282"/>
        <v>15348.275977755098</v>
      </c>
      <c r="BU200" s="527">
        <f t="shared" si="282"/>
        <v>15348.275977755098</v>
      </c>
      <c r="BV200" s="527">
        <f t="shared" si="282"/>
        <v>15348.275977755098</v>
      </c>
      <c r="BW200" s="527">
        <f t="shared" si="282"/>
        <v>15348.275977755098</v>
      </c>
      <c r="BX200" s="527">
        <f t="shared" si="282"/>
        <v>15348.275977755098</v>
      </c>
      <c r="BY200" s="527">
        <f t="shared" si="282"/>
        <v>15348.275977755098</v>
      </c>
    </row>
    <row r="201" spans="1:77" x14ac:dyDescent="0.3">
      <c r="A201" s="551"/>
      <c r="B201" s="548"/>
      <c r="C201" s="525"/>
      <c r="D201" s="525"/>
      <c r="E201" s="616" t="str">
        <f>"Drinks net comm. uplift due to capex: "&amp;E$159</f>
        <v>Drinks net comm. uplift due to capex: FY31 Tranche</v>
      </c>
      <c r="F201" s="525"/>
      <c r="G201" s="525"/>
      <c r="H201" s="525"/>
      <c r="I201" s="525"/>
      <c r="J201" s="525"/>
      <c r="K201" s="525"/>
      <c r="L201" s="525"/>
      <c r="M201" s="525"/>
      <c r="N201" s="525"/>
      <c r="O201" s="525"/>
      <c r="P201" s="565"/>
      <c r="Q201" s="525"/>
      <c r="R201" s="527">
        <f t="shared" ref="R201:AW201" si="283">R189*$AE159</f>
        <v>0</v>
      </c>
      <c r="S201" s="527">
        <f t="shared" si="283"/>
        <v>0</v>
      </c>
      <c r="T201" s="527">
        <f t="shared" si="283"/>
        <v>0</v>
      </c>
      <c r="U201" s="527">
        <f t="shared" si="283"/>
        <v>0</v>
      </c>
      <c r="V201" s="527">
        <f t="shared" si="283"/>
        <v>0</v>
      </c>
      <c r="W201" s="527">
        <f t="shared" si="283"/>
        <v>0</v>
      </c>
      <c r="X201" s="527">
        <f t="shared" si="283"/>
        <v>0</v>
      </c>
      <c r="Y201" s="527">
        <f t="shared" si="283"/>
        <v>0</v>
      </c>
      <c r="Z201" s="527">
        <f t="shared" si="283"/>
        <v>0</v>
      </c>
      <c r="AA201" s="527">
        <f t="shared" si="283"/>
        <v>0</v>
      </c>
      <c r="AB201" s="527">
        <f t="shared" si="283"/>
        <v>0</v>
      </c>
      <c r="AC201" s="527">
        <f t="shared" si="283"/>
        <v>0</v>
      </c>
      <c r="AD201" s="527">
        <f t="shared" si="283"/>
        <v>0</v>
      </c>
      <c r="AE201" s="527">
        <f t="shared" si="283"/>
        <v>0</v>
      </c>
      <c r="AF201" s="527">
        <f t="shared" si="283"/>
        <v>0</v>
      </c>
      <c r="AG201" s="527">
        <f t="shared" si="283"/>
        <v>0</v>
      </c>
      <c r="AH201" s="527">
        <f t="shared" si="283"/>
        <v>0</v>
      </c>
      <c r="AI201" s="527">
        <f t="shared" si="283"/>
        <v>0</v>
      </c>
      <c r="AJ201" s="527">
        <f t="shared" si="283"/>
        <v>0</v>
      </c>
      <c r="AK201" s="527">
        <f t="shared" si="283"/>
        <v>0</v>
      </c>
      <c r="AL201" s="527">
        <f t="shared" si="283"/>
        <v>0</v>
      </c>
      <c r="AM201" s="527">
        <f t="shared" si="283"/>
        <v>0</v>
      </c>
      <c r="AN201" s="527">
        <f t="shared" si="283"/>
        <v>0</v>
      </c>
      <c r="AO201" s="527">
        <f t="shared" si="283"/>
        <v>0</v>
      </c>
      <c r="AP201" s="527">
        <f t="shared" si="283"/>
        <v>0</v>
      </c>
      <c r="AQ201" s="527">
        <f t="shared" si="283"/>
        <v>0</v>
      </c>
      <c r="AR201" s="527">
        <f t="shared" si="283"/>
        <v>0</v>
      </c>
      <c r="AS201" s="527">
        <f t="shared" si="283"/>
        <v>0</v>
      </c>
      <c r="AT201" s="527">
        <f t="shared" si="283"/>
        <v>0</v>
      </c>
      <c r="AU201" s="527">
        <f t="shared" si="283"/>
        <v>0</v>
      </c>
      <c r="AV201" s="527">
        <f t="shared" si="283"/>
        <v>0</v>
      </c>
      <c r="AW201" s="527">
        <f t="shared" si="283"/>
        <v>0</v>
      </c>
      <c r="AX201" s="527">
        <f t="shared" ref="AX201:BY201" si="284">AX189*$AE159</f>
        <v>0</v>
      </c>
      <c r="AY201" s="527">
        <f t="shared" si="284"/>
        <v>0</v>
      </c>
      <c r="AZ201" s="527">
        <f t="shared" si="284"/>
        <v>0</v>
      </c>
      <c r="BA201" s="527">
        <f t="shared" si="284"/>
        <v>0</v>
      </c>
      <c r="BB201" s="527">
        <f t="shared" si="284"/>
        <v>0</v>
      </c>
      <c r="BC201" s="527">
        <f t="shared" si="284"/>
        <v>0</v>
      </c>
      <c r="BD201" s="527">
        <f t="shared" si="284"/>
        <v>0</v>
      </c>
      <c r="BE201" s="527">
        <f t="shared" si="284"/>
        <v>0</v>
      </c>
      <c r="BF201" s="527">
        <f t="shared" si="284"/>
        <v>0</v>
      </c>
      <c r="BG201" s="527">
        <f t="shared" si="284"/>
        <v>0</v>
      </c>
      <c r="BH201" s="527">
        <f t="shared" si="284"/>
        <v>0</v>
      </c>
      <c r="BI201" s="527">
        <f t="shared" si="284"/>
        <v>0</v>
      </c>
      <c r="BJ201" s="527">
        <f t="shared" si="284"/>
        <v>0</v>
      </c>
      <c r="BK201" s="527">
        <f t="shared" si="284"/>
        <v>0</v>
      </c>
      <c r="BL201" s="527">
        <f t="shared" si="284"/>
        <v>0</v>
      </c>
      <c r="BM201" s="527">
        <f t="shared" si="284"/>
        <v>0</v>
      </c>
      <c r="BN201" s="527">
        <f t="shared" si="284"/>
        <v>0</v>
      </c>
      <c r="BO201" s="527">
        <f t="shared" si="284"/>
        <v>0</v>
      </c>
      <c r="BP201" s="527">
        <f t="shared" si="284"/>
        <v>0</v>
      </c>
      <c r="BQ201" s="527">
        <f t="shared" si="284"/>
        <v>0</v>
      </c>
      <c r="BR201" s="527">
        <f t="shared" si="284"/>
        <v>0</v>
      </c>
      <c r="BS201" s="527">
        <f t="shared" si="284"/>
        <v>0</v>
      </c>
      <c r="BT201" s="527">
        <f t="shared" si="284"/>
        <v>14528.900258370442</v>
      </c>
      <c r="BU201" s="527">
        <f t="shared" si="284"/>
        <v>14528.900258370442</v>
      </c>
      <c r="BV201" s="527">
        <f t="shared" si="284"/>
        <v>14528.900258370442</v>
      </c>
      <c r="BW201" s="527">
        <f t="shared" si="284"/>
        <v>14528.900258370442</v>
      </c>
      <c r="BX201" s="527">
        <f t="shared" si="284"/>
        <v>14528.900258370442</v>
      </c>
      <c r="BY201" s="527">
        <f t="shared" si="284"/>
        <v>14528.900258370442</v>
      </c>
    </row>
    <row r="202" spans="1:77" x14ac:dyDescent="0.3">
      <c r="A202" s="551"/>
      <c r="B202" s="548"/>
      <c r="C202" s="525"/>
      <c r="D202" s="525"/>
      <c r="E202" s="616" t="str">
        <f>"Drinks net comm. uplift due to capex: "&amp;E$160</f>
        <v>Drinks net comm. uplift due to capex: Uninvested Tranche</v>
      </c>
      <c r="F202" s="525"/>
      <c r="G202" s="525"/>
      <c r="H202" s="525"/>
      <c r="I202" s="525"/>
      <c r="J202" s="525"/>
      <c r="K202" s="525"/>
      <c r="L202" s="525"/>
      <c r="M202" s="525"/>
      <c r="N202" s="525"/>
      <c r="O202" s="525"/>
      <c r="P202" s="565"/>
      <c r="Q202" s="525"/>
      <c r="R202" s="527">
        <f t="shared" ref="R202:AW202" si="285">R190*$AE160</f>
        <v>0</v>
      </c>
      <c r="S202" s="527">
        <f t="shared" si="285"/>
        <v>0</v>
      </c>
      <c r="T202" s="527">
        <f t="shared" si="285"/>
        <v>0</v>
      </c>
      <c r="U202" s="527">
        <f t="shared" si="285"/>
        <v>0</v>
      </c>
      <c r="V202" s="527">
        <f t="shared" si="285"/>
        <v>0</v>
      </c>
      <c r="W202" s="527">
        <f t="shared" si="285"/>
        <v>0</v>
      </c>
      <c r="X202" s="527">
        <f t="shared" si="285"/>
        <v>0</v>
      </c>
      <c r="Y202" s="527">
        <f t="shared" si="285"/>
        <v>0</v>
      </c>
      <c r="Z202" s="527">
        <f t="shared" si="285"/>
        <v>0</v>
      </c>
      <c r="AA202" s="527">
        <f t="shared" si="285"/>
        <v>0</v>
      </c>
      <c r="AB202" s="527">
        <f t="shared" si="285"/>
        <v>0</v>
      </c>
      <c r="AC202" s="527">
        <f t="shared" si="285"/>
        <v>0</v>
      </c>
      <c r="AD202" s="527">
        <f t="shared" si="285"/>
        <v>0</v>
      </c>
      <c r="AE202" s="527">
        <f t="shared" si="285"/>
        <v>0</v>
      </c>
      <c r="AF202" s="527">
        <f t="shared" si="285"/>
        <v>0</v>
      </c>
      <c r="AG202" s="527">
        <f t="shared" si="285"/>
        <v>0</v>
      </c>
      <c r="AH202" s="527">
        <f t="shared" si="285"/>
        <v>0</v>
      </c>
      <c r="AI202" s="527">
        <f t="shared" si="285"/>
        <v>0</v>
      </c>
      <c r="AJ202" s="527">
        <f t="shared" si="285"/>
        <v>0</v>
      </c>
      <c r="AK202" s="527">
        <f t="shared" si="285"/>
        <v>0</v>
      </c>
      <c r="AL202" s="527">
        <f t="shared" si="285"/>
        <v>0</v>
      </c>
      <c r="AM202" s="527">
        <f t="shared" si="285"/>
        <v>0</v>
      </c>
      <c r="AN202" s="527">
        <f t="shared" si="285"/>
        <v>0</v>
      </c>
      <c r="AO202" s="527">
        <f t="shared" si="285"/>
        <v>0</v>
      </c>
      <c r="AP202" s="527">
        <f t="shared" si="285"/>
        <v>0</v>
      </c>
      <c r="AQ202" s="527">
        <f t="shared" si="285"/>
        <v>0</v>
      </c>
      <c r="AR202" s="527">
        <f t="shared" si="285"/>
        <v>0</v>
      </c>
      <c r="AS202" s="527">
        <f t="shared" si="285"/>
        <v>0</v>
      </c>
      <c r="AT202" s="527">
        <f t="shared" si="285"/>
        <v>0</v>
      </c>
      <c r="AU202" s="527">
        <f t="shared" si="285"/>
        <v>0</v>
      </c>
      <c r="AV202" s="527">
        <f t="shared" si="285"/>
        <v>0</v>
      </c>
      <c r="AW202" s="527">
        <f t="shared" si="285"/>
        <v>0</v>
      </c>
      <c r="AX202" s="527">
        <f t="shared" ref="AX202:BY202" si="286">AX190*$AE160</f>
        <v>0</v>
      </c>
      <c r="AY202" s="527">
        <f t="shared" si="286"/>
        <v>0</v>
      </c>
      <c r="AZ202" s="527">
        <f t="shared" si="286"/>
        <v>0</v>
      </c>
      <c r="BA202" s="527">
        <f t="shared" si="286"/>
        <v>0</v>
      </c>
      <c r="BB202" s="527">
        <f t="shared" si="286"/>
        <v>0</v>
      </c>
      <c r="BC202" s="527">
        <f t="shared" si="286"/>
        <v>0</v>
      </c>
      <c r="BD202" s="527">
        <f t="shared" si="286"/>
        <v>0</v>
      </c>
      <c r="BE202" s="527">
        <f t="shared" si="286"/>
        <v>0</v>
      </c>
      <c r="BF202" s="527">
        <f t="shared" si="286"/>
        <v>0</v>
      </c>
      <c r="BG202" s="527">
        <f t="shared" si="286"/>
        <v>0</v>
      </c>
      <c r="BH202" s="527">
        <f t="shared" si="286"/>
        <v>0</v>
      </c>
      <c r="BI202" s="527">
        <f t="shared" si="286"/>
        <v>0</v>
      </c>
      <c r="BJ202" s="527">
        <f t="shared" si="286"/>
        <v>0</v>
      </c>
      <c r="BK202" s="527">
        <f t="shared" si="286"/>
        <v>0</v>
      </c>
      <c r="BL202" s="527">
        <f t="shared" si="286"/>
        <v>0</v>
      </c>
      <c r="BM202" s="527">
        <f t="shared" si="286"/>
        <v>0</v>
      </c>
      <c r="BN202" s="527">
        <f t="shared" si="286"/>
        <v>0</v>
      </c>
      <c r="BO202" s="527">
        <f t="shared" si="286"/>
        <v>0</v>
      </c>
      <c r="BP202" s="527">
        <f t="shared" si="286"/>
        <v>0</v>
      </c>
      <c r="BQ202" s="527">
        <f t="shared" si="286"/>
        <v>0</v>
      </c>
      <c r="BR202" s="527">
        <f t="shared" si="286"/>
        <v>0</v>
      </c>
      <c r="BS202" s="527">
        <f t="shared" si="286"/>
        <v>0</v>
      </c>
      <c r="BT202" s="527">
        <f t="shared" si="286"/>
        <v>0</v>
      </c>
      <c r="BU202" s="527">
        <f t="shared" si="286"/>
        <v>0</v>
      </c>
      <c r="BV202" s="527">
        <f t="shared" si="286"/>
        <v>0</v>
      </c>
      <c r="BW202" s="527">
        <f t="shared" si="286"/>
        <v>0</v>
      </c>
      <c r="BX202" s="527">
        <f t="shared" si="286"/>
        <v>0</v>
      </c>
      <c r="BY202" s="527">
        <f t="shared" si="286"/>
        <v>0</v>
      </c>
    </row>
    <row r="203" spans="1:77" x14ac:dyDescent="0.3">
      <c r="A203" s="551"/>
      <c r="B203" s="548"/>
      <c r="C203" s="525"/>
      <c r="D203" s="525"/>
      <c r="E203" s="572" t="s">
        <v>36</v>
      </c>
      <c r="F203" s="572"/>
      <c r="G203" s="572"/>
      <c r="H203" s="572"/>
      <c r="I203" s="572"/>
      <c r="J203" s="572"/>
      <c r="K203" s="572"/>
      <c r="L203" s="572"/>
      <c r="M203" s="572"/>
      <c r="N203" s="572"/>
      <c r="O203" s="572"/>
      <c r="P203" s="612"/>
      <c r="Q203" s="572"/>
      <c r="R203" s="532">
        <f t="shared" ref="R203:AW203" si="287">SUM(R197:R202)</f>
        <v>0</v>
      </c>
      <c r="S203" s="532">
        <f t="shared" si="287"/>
        <v>0</v>
      </c>
      <c r="T203" s="532">
        <f t="shared" si="287"/>
        <v>0</v>
      </c>
      <c r="U203" s="532">
        <f t="shared" si="287"/>
        <v>0</v>
      </c>
      <c r="V203" s="532">
        <f t="shared" si="287"/>
        <v>0</v>
      </c>
      <c r="W203" s="532">
        <f t="shared" si="287"/>
        <v>0</v>
      </c>
      <c r="X203" s="532">
        <f t="shared" si="287"/>
        <v>13334.756113746638</v>
      </c>
      <c r="Y203" s="532">
        <f t="shared" si="287"/>
        <v>13334.756113746638</v>
      </c>
      <c r="Z203" s="532">
        <f t="shared" si="287"/>
        <v>13334.756113746638</v>
      </c>
      <c r="AA203" s="532">
        <f t="shared" si="287"/>
        <v>13334.756113746638</v>
      </c>
      <c r="AB203" s="532">
        <f t="shared" si="287"/>
        <v>13334.756113746638</v>
      </c>
      <c r="AC203" s="532">
        <f t="shared" si="287"/>
        <v>13334.756113746638</v>
      </c>
      <c r="AD203" s="532">
        <f t="shared" si="287"/>
        <v>10459.150920521162</v>
      </c>
      <c r="AE203" s="532">
        <f t="shared" si="287"/>
        <v>10459.150920521162</v>
      </c>
      <c r="AF203" s="532">
        <f t="shared" si="287"/>
        <v>10459.150920521162</v>
      </c>
      <c r="AG203" s="532">
        <f t="shared" si="287"/>
        <v>10459.150920521162</v>
      </c>
      <c r="AH203" s="532">
        <f t="shared" si="287"/>
        <v>10459.150920521162</v>
      </c>
      <c r="AI203" s="532">
        <f t="shared" si="287"/>
        <v>10459.150920521162</v>
      </c>
      <c r="AJ203" s="532">
        <f t="shared" si="287"/>
        <v>27560.920597724726</v>
      </c>
      <c r="AK203" s="532">
        <f t="shared" si="287"/>
        <v>27560.920597724726</v>
      </c>
      <c r="AL203" s="532">
        <f t="shared" si="287"/>
        <v>27560.920597724726</v>
      </c>
      <c r="AM203" s="532">
        <f t="shared" si="287"/>
        <v>27560.920597724726</v>
      </c>
      <c r="AN203" s="532">
        <f t="shared" si="287"/>
        <v>27560.920597724726</v>
      </c>
      <c r="AO203" s="532">
        <f t="shared" si="287"/>
        <v>27560.920597724726</v>
      </c>
      <c r="AP203" s="532">
        <f t="shared" si="287"/>
        <v>21863.38373789427</v>
      </c>
      <c r="AQ203" s="532">
        <f t="shared" si="287"/>
        <v>21863.38373789427</v>
      </c>
      <c r="AR203" s="532">
        <f t="shared" si="287"/>
        <v>21863.38373789427</v>
      </c>
      <c r="AS203" s="532">
        <f t="shared" si="287"/>
        <v>21863.38373789427</v>
      </c>
      <c r="AT203" s="532">
        <f t="shared" si="287"/>
        <v>21863.38373789427</v>
      </c>
      <c r="AU203" s="532">
        <f t="shared" si="287"/>
        <v>21863.38373789427</v>
      </c>
      <c r="AV203" s="532">
        <f t="shared" si="287"/>
        <v>42983.798791578862</v>
      </c>
      <c r="AW203" s="532">
        <f t="shared" si="287"/>
        <v>42983.798791578862</v>
      </c>
      <c r="AX203" s="532">
        <f t="shared" ref="AX203:BY203" si="288">SUM(AX197:AX202)</f>
        <v>42983.798791578862</v>
      </c>
      <c r="AY203" s="532">
        <f t="shared" si="288"/>
        <v>42983.798791578862</v>
      </c>
      <c r="AZ203" s="532">
        <f t="shared" si="288"/>
        <v>42983.798791578862</v>
      </c>
      <c r="BA203" s="532">
        <f t="shared" si="288"/>
        <v>42983.798791578862</v>
      </c>
      <c r="BB203" s="532">
        <f t="shared" si="288"/>
        <v>34843.417859590932</v>
      </c>
      <c r="BC203" s="532">
        <f t="shared" si="288"/>
        <v>34843.417859590932</v>
      </c>
      <c r="BD203" s="532">
        <f t="shared" si="288"/>
        <v>34843.417859590932</v>
      </c>
      <c r="BE203" s="532">
        <f t="shared" si="288"/>
        <v>34843.417859590932</v>
      </c>
      <c r="BF203" s="532">
        <f t="shared" si="288"/>
        <v>34843.417859590932</v>
      </c>
      <c r="BG203" s="532">
        <f t="shared" si="288"/>
        <v>34843.417859590932</v>
      </c>
      <c r="BH203" s="532">
        <f t="shared" si="288"/>
        <v>60239.252257306442</v>
      </c>
      <c r="BI203" s="532">
        <f t="shared" si="288"/>
        <v>60239.252257306442</v>
      </c>
      <c r="BJ203" s="532">
        <f t="shared" si="288"/>
        <v>60239.252257306442</v>
      </c>
      <c r="BK203" s="532">
        <f t="shared" si="288"/>
        <v>60239.252257306442</v>
      </c>
      <c r="BL203" s="532">
        <f t="shared" si="288"/>
        <v>60239.252257306442</v>
      </c>
      <c r="BM203" s="532">
        <f t="shared" si="288"/>
        <v>60239.252257306442</v>
      </c>
      <c r="BN203" s="532">
        <f t="shared" si="288"/>
        <v>49347.347905619245</v>
      </c>
      <c r="BO203" s="532">
        <f t="shared" si="288"/>
        <v>49347.347905619245</v>
      </c>
      <c r="BP203" s="532">
        <f t="shared" si="288"/>
        <v>49347.347905619245</v>
      </c>
      <c r="BQ203" s="532">
        <f t="shared" si="288"/>
        <v>49347.347905619245</v>
      </c>
      <c r="BR203" s="532">
        <f t="shared" si="288"/>
        <v>49347.347905619245</v>
      </c>
      <c r="BS203" s="532">
        <f t="shared" si="288"/>
        <v>49347.347905619245</v>
      </c>
      <c r="BT203" s="532">
        <f t="shared" si="288"/>
        <v>79287.572075014483</v>
      </c>
      <c r="BU203" s="532">
        <f t="shared" si="288"/>
        <v>79287.572075014483</v>
      </c>
      <c r="BV203" s="532">
        <f t="shared" si="288"/>
        <v>79287.572075014483</v>
      </c>
      <c r="BW203" s="532">
        <f t="shared" si="288"/>
        <v>79287.572075014483</v>
      </c>
      <c r="BX203" s="532">
        <f t="shared" si="288"/>
        <v>79287.572075014483</v>
      </c>
      <c r="BY203" s="532">
        <f t="shared" si="288"/>
        <v>79287.572075014483</v>
      </c>
    </row>
    <row r="204" spans="1:77" x14ac:dyDescent="0.3">
      <c r="A204" s="551"/>
      <c r="B204" s="548"/>
      <c r="C204" s="525"/>
      <c r="D204" s="525"/>
      <c r="E204" s="525"/>
      <c r="F204" s="525"/>
      <c r="G204" s="525"/>
      <c r="H204" s="525"/>
      <c r="I204" s="525"/>
      <c r="J204" s="525"/>
      <c r="K204" s="525"/>
      <c r="L204" s="525"/>
      <c r="M204" s="525"/>
      <c r="N204" s="525"/>
      <c r="O204" s="525"/>
      <c r="P204" s="565"/>
      <c r="Q204" s="525"/>
      <c r="R204" s="525"/>
      <c r="S204" s="525"/>
      <c r="T204" s="525"/>
      <c r="U204" s="525"/>
      <c r="V204" s="525"/>
      <c r="W204" s="525"/>
      <c r="X204" s="525"/>
      <c r="Y204" s="525"/>
      <c r="Z204" s="525"/>
      <c r="AA204" s="525"/>
      <c r="AB204" s="525"/>
      <c r="AC204" s="525"/>
      <c r="AD204" s="525"/>
      <c r="AE204" s="525"/>
      <c r="AF204" s="525"/>
      <c r="AG204" s="525"/>
      <c r="AH204" s="525"/>
      <c r="AI204" s="525"/>
      <c r="AJ204" s="525"/>
      <c r="AK204" s="525"/>
      <c r="AL204" s="525"/>
      <c r="AM204" s="525"/>
      <c r="AN204" s="525"/>
      <c r="AO204" s="525"/>
      <c r="AP204" s="525"/>
      <c r="AQ204" s="525"/>
      <c r="AR204" s="525"/>
      <c r="AS204" s="525"/>
      <c r="AT204" s="525"/>
      <c r="AU204" s="525"/>
      <c r="AV204" s="525"/>
      <c r="AW204" s="525"/>
      <c r="AX204" s="525"/>
      <c r="AY204" s="525"/>
      <c r="AZ204" s="525"/>
      <c r="BA204" s="525"/>
      <c r="BB204" s="525"/>
      <c r="BC204" s="525"/>
      <c r="BD204" s="525"/>
      <c r="BE204" s="525"/>
      <c r="BF204" s="525"/>
      <c r="BG204" s="525"/>
      <c r="BH204" s="525"/>
      <c r="BI204" s="525"/>
      <c r="BJ204" s="525"/>
      <c r="BK204" s="525"/>
      <c r="BL204" s="525"/>
      <c r="BM204" s="525"/>
      <c r="BN204" s="525"/>
      <c r="BO204" s="525"/>
      <c r="BP204" s="525"/>
      <c r="BQ204" s="525"/>
      <c r="BR204" s="525"/>
      <c r="BS204" s="525"/>
      <c r="BT204" s="525"/>
      <c r="BU204" s="525"/>
      <c r="BV204" s="525"/>
      <c r="BW204" s="525"/>
      <c r="BX204" s="525"/>
      <c r="BY204" s="525"/>
    </row>
    <row r="205" spans="1:77" x14ac:dyDescent="0.3">
      <c r="A205" s="551"/>
      <c r="B205" s="548"/>
      <c r="C205" s="525"/>
      <c r="D205" s="525"/>
      <c r="E205" s="617" t="str">
        <f>"BCF net comm. uplift due to capex: "&amp;E$155</f>
        <v>BCF net comm. uplift due to capex: FY27 Tranche</v>
      </c>
      <c r="F205" s="525"/>
      <c r="G205" s="525"/>
      <c r="H205" s="525"/>
      <c r="I205" s="525"/>
      <c r="J205" s="525"/>
      <c r="K205" s="525"/>
      <c r="L205" s="525"/>
      <c r="M205" s="525"/>
      <c r="N205" s="525"/>
      <c r="O205" s="525"/>
      <c r="P205" s="565"/>
      <c r="Q205" s="525"/>
      <c r="R205" s="527">
        <f t="shared" ref="R205:AW205" si="289">IFERROR(R197*(R$581/SUM(R$581,R$590)),0)</f>
        <v>0</v>
      </c>
      <c r="S205" s="527">
        <f t="shared" si="289"/>
        <v>0</v>
      </c>
      <c r="T205" s="527">
        <f t="shared" si="289"/>
        <v>0</v>
      </c>
      <c r="U205" s="527">
        <f t="shared" si="289"/>
        <v>0</v>
      </c>
      <c r="V205" s="527">
        <f t="shared" si="289"/>
        <v>0</v>
      </c>
      <c r="W205" s="527">
        <f t="shared" si="289"/>
        <v>0</v>
      </c>
      <c r="X205" s="527">
        <f t="shared" si="289"/>
        <v>12386.959498802431</v>
      </c>
      <c r="Y205" s="527">
        <f t="shared" si="289"/>
        <v>12386.959498802431</v>
      </c>
      <c r="Z205" s="527">
        <f t="shared" si="289"/>
        <v>12386.959498802431</v>
      </c>
      <c r="AA205" s="527">
        <f t="shared" si="289"/>
        <v>12386.959498802431</v>
      </c>
      <c r="AB205" s="527">
        <f t="shared" si="289"/>
        <v>12386.959498802431</v>
      </c>
      <c r="AC205" s="527">
        <f t="shared" si="289"/>
        <v>12386.959498802431</v>
      </c>
      <c r="AD205" s="527">
        <f t="shared" si="289"/>
        <v>9751.8005898302454</v>
      </c>
      <c r="AE205" s="527">
        <f t="shared" si="289"/>
        <v>9751.8005898302454</v>
      </c>
      <c r="AF205" s="527">
        <f t="shared" si="289"/>
        <v>9751.8005898302454</v>
      </c>
      <c r="AG205" s="527">
        <f t="shared" si="289"/>
        <v>9751.8005898302454</v>
      </c>
      <c r="AH205" s="527">
        <f t="shared" si="289"/>
        <v>9751.8005898302454</v>
      </c>
      <c r="AI205" s="527">
        <f t="shared" si="289"/>
        <v>9751.8005898302454</v>
      </c>
      <c r="AJ205" s="527">
        <f t="shared" si="289"/>
        <v>12965.042299788869</v>
      </c>
      <c r="AK205" s="527">
        <f t="shared" si="289"/>
        <v>12965.042299788869</v>
      </c>
      <c r="AL205" s="527">
        <f t="shared" si="289"/>
        <v>12965.042299788869</v>
      </c>
      <c r="AM205" s="527">
        <f t="shared" si="289"/>
        <v>12965.042299788869</v>
      </c>
      <c r="AN205" s="527">
        <f t="shared" si="289"/>
        <v>12965.042299788869</v>
      </c>
      <c r="AO205" s="527">
        <f t="shared" si="289"/>
        <v>12965.042299788869</v>
      </c>
      <c r="AP205" s="527">
        <f t="shared" si="289"/>
        <v>10343.46324817246</v>
      </c>
      <c r="AQ205" s="527">
        <f t="shared" si="289"/>
        <v>10343.46324817246</v>
      </c>
      <c r="AR205" s="527">
        <f t="shared" si="289"/>
        <v>10343.46324817246</v>
      </c>
      <c r="AS205" s="527">
        <f t="shared" si="289"/>
        <v>10343.46324817246</v>
      </c>
      <c r="AT205" s="527">
        <f t="shared" si="289"/>
        <v>10343.46324817246</v>
      </c>
      <c r="AU205" s="527">
        <f t="shared" si="289"/>
        <v>10343.46324817246</v>
      </c>
      <c r="AV205" s="527">
        <f t="shared" si="289"/>
        <v>13696.427224301662</v>
      </c>
      <c r="AW205" s="527">
        <f t="shared" si="289"/>
        <v>13696.427224301662</v>
      </c>
      <c r="AX205" s="527">
        <f t="shared" ref="AX205:BY205" si="290">IFERROR(AX197*(AX$581/SUM(AX$581,AX$590)),0)</f>
        <v>13696.427224301662</v>
      </c>
      <c r="AY205" s="527">
        <f t="shared" si="290"/>
        <v>13696.427224301662</v>
      </c>
      <c r="AZ205" s="527">
        <f t="shared" si="290"/>
        <v>13696.427224301662</v>
      </c>
      <c r="BA205" s="527">
        <f t="shared" si="290"/>
        <v>13696.427224301662</v>
      </c>
      <c r="BB205" s="527">
        <f t="shared" si="290"/>
        <v>11191.646233734165</v>
      </c>
      <c r="BC205" s="527">
        <f t="shared" si="290"/>
        <v>11191.646233734165</v>
      </c>
      <c r="BD205" s="527">
        <f t="shared" si="290"/>
        <v>11191.646233734165</v>
      </c>
      <c r="BE205" s="527">
        <f t="shared" si="290"/>
        <v>11191.646233734165</v>
      </c>
      <c r="BF205" s="527">
        <f t="shared" si="290"/>
        <v>11191.646233734165</v>
      </c>
      <c r="BG205" s="527">
        <f t="shared" si="290"/>
        <v>11191.646233734165</v>
      </c>
      <c r="BH205" s="527">
        <f t="shared" si="290"/>
        <v>14689.242544558407</v>
      </c>
      <c r="BI205" s="527">
        <f t="shared" si="290"/>
        <v>14689.242544558407</v>
      </c>
      <c r="BJ205" s="527">
        <f t="shared" si="290"/>
        <v>14689.242544558407</v>
      </c>
      <c r="BK205" s="527">
        <f t="shared" si="290"/>
        <v>14689.242544558407</v>
      </c>
      <c r="BL205" s="527">
        <f t="shared" si="290"/>
        <v>14689.242544558407</v>
      </c>
      <c r="BM205" s="527">
        <f t="shared" si="290"/>
        <v>14689.242544558407</v>
      </c>
      <c r="BN205" s="527">
        <f t="shared" si="290"/>
        <v>12168.845131960528</v>
      </c>
      <c r="BO205" s="527">
        <f t="shared" si="290"/>
        <v>12168.845131960528</v>
      </c>
      <c r="BP205" s="527">
        <f t="shared" si="290"/>
        <v>12168.845131960528</v>
      </c>
      <c r="BQ205" s="527">
        <f t="shared" si="290"/>
        <v>12168.845131960528</v>
      </c>
      <c r="BR205" s="527">
        <f t="shared" si="290"/>
        <v>12168.845131960528</v>
      </c>
      <c r="BS205" s="527">
        <f t="shared" si="290"/>
        <v>12168.845131960528</v>
      </c>
      <c r="BT205" s="527">
        <f t="shared" si="290"/>
        <v>15816.719780116142</v>
      </c>
      <c r="BU205" s="527">
        <f t="shared" si="290"/>
        <v>15816.719780116142</v>
      </c>
      <c r="BV205" s="527">
        <f t="shared" si="290"/>
        <v>15816.719780116142</v>
      </c>
      <c r="BW205" s="527">
        <f t="shared" si="290"/>
        <v>15816.719780116142</v>
      </c>
      <c r="BX205" s="527">
        <f t="shared" si="290"/>
        <v>15816.719780116142</v>
      </c>
      <c r="BY205" s="527">
        <f t="shared" si="290"/>
        <v>15816.719780116142</v>
      </c>
    </row>
    <row r="206" spans="1:77" x14ac:dyDescent="0.3">
      <c r="A206" s="551"/>
      <c r="B206" s="548"/>
      <c r="C206" s="525"/>
      <c r="D206" s="525"/>
      <c r="E206" s="617" t="str">
        <f>"BCF net comm. uplift due to capex: "&amp;E$156</f>
        <v>BCF net comm. uplift due to capex: FY28 Tranche</v>
      </c>
      <c r="F206" s="525"/>
      <c r="G206" s="525"/>
      <c r="H206" s="525"/>
      <c r="I206" s="525"/>
      <c r="J206" s="525"/>
      <c r="K206" s="525"/>
      <c r="L206" s="525"/>
      <c r="M206" s="525"/>
      <c r="N206" s="525"/>
      <c r="O206" s="525"/>
      <c r="P206" s="565"/>
      <c r="Q206" s="525"/>
      <c r="R206" s="527">
        <f t="shared" ref="R206:AW206" si="291">IFERROR(R198*(R$581/SUM(R$581,R$590)),0)</f>
        <v>0</v>
      </c>
      <c r="S206" s="527">
        <f t="shared" si="291"/>
        <v>0</v>
      </c>
      <c r="T206" s="527">
        <f t="shared" si="291"/>
        <v>0</v>
      </c>
      <c r="U206" s="527">
        <f t="shared" si="291"/>
        <v>0</v>
      </c>
      <c r="V206" s="527">
        <f t="shared" si="291"/>
        <v>0</v>
      </c>
      <c r="W206" s="527">
        <f t="shared" si="291"/>
        <v>0</v>
      </c>
      <c r="X206" s="527">
        <f t="shared" si="291"/>
        <v>0</v>
      </c>
      <c r="Y206" s="527">
        <f t="shared" si="291"/>
        <v>0</v>
      </c>
      <c r="Z206" s="527">
        <f t="shared" si="291"/>
        <v>0</v>
      </c>
      <c r="AA206" s="527">
        <f t="shared" si="291"/>
        <v>0</v>
      </c>
      <c r="AB206" s="527">
        <f t="shared" si="291"/>
        <v>0</v>
      </c>
      <c r="AC206" s="527">
        <f t="shared" si="291"/>
        <v>0</v>
      </c>
      <c r="AD206" s="527">
        <f t="shared" si="291"/>
        <v>0</v>
      </c>
      <c r="AE206" s="527">
        <f t="shared" si="291"/>
        <v>0</v>
      </c>
      <c r="AF206" s="527">
        <f t="shared" si="291"/>
        <v>0</v>
      </c>
      <c r="AG206" s="527">
        <f t="shared" si="291"/>
        <v>0</v>
      </c>
      <c r="AH206" s="527">
        <f t="shared" si="291"/>
        <v>0</v>
      </c>
      <c r="AI206" s="527">
        <f t="shared" si="291"/>
        <v>0</v>
      </c>
      <c r="AJ206" s="527">
        <f t="shared" si="291"/>
        <v>12731.938629497141</v>
      </c>
      <c r="AK206" s="527">
        <f t="shared" si="291"/>
        <v>12731.938629497141</v>
      </c>
      <c r="AL206" s="527">
        <f t="shared" si="291"/>
        <v>12731.938629497141</v>
      </c>
      <c r="AM206" s="527">
        <f t="shared" si="291"/>
        <v>12731.938629497141</v>
      </c>
      <c r="AN206" s="527">
        <f t="shared" si="291"/>
        <v>12731.938629497141</v>
      </c>
      <c r="AO206" s="527">
        <f t="shared" si="291"/>
        <v>12731.938629497141</v>
      </c>
      <c r="AP206" s="527">
        <f t="shared" si="291"/>
        <v>10109.578843555904</v>
      </c>
      <c r="AQ206" s="527">
        <f t="shared" si="291"/>
        <v>10109.578843555904</v>
      </c>
      <c r="AR206" s="527">
        <f t="shared" si="291"/>
        <v>10109.578843555904</v>
      </c>
      <c r="AS206" s="527">
        <f t="shared" si="291"/>
        <v>10109.578843555904</v>
      </c>
      <c r="AT206" s="527">
        <f t="shared" si="291"/>
        <v>10109.578843555904</v>
      </c>
      <c r="AU206" s="527">
        <f t="shared" si="291"/>
        <v>10109.578843555904</v>
      </c>
      <c r="AV206" s="527">
        <f t="shared" si="291"/>
        <v>13453.187443500443</v>
      </c>
      <c r="AW206" s="527">
        <f t="shared" si="291"/>
        <v>13453.187443500443</v>
      </c>
      <c r="AX206" s="527">
        <f t="shared" ref="AX206:BY206" si="292">IFERROR(AX198*(AX$581/SUM(AX$581,AX$590)),0)</f>
        <v>13453.187443500443</v>
      </c>
      <c r="AY206" s="527">
        <f t="shared" si="292"/>
        <v>13453.187443500443</v>
      </c>
      <c r="AZ206" s="527">
        <f t="shared" si="292"/>
        <v>13453.187443500443</v>
      </c>
      <c r="BA206" s="527">
        <f t="shared" si="292"/>
        <v>13453.187443500443</v>
      </c>
      <c r="BB206" s="527">
        <f t="shared" si="292"/>
        <v>10947.673069521836</v>
      </c>
      <c r="BC206" s="527">
        <f t="shared" si="292"/>
        <v>10947.673069521836</v>
      </c>
      <c r="BD206" s="527">
        <f t="shared" si="292"/>
        <v>10947.673069521836</v>
      </c>
      <c r="BE206" s="527">
        <f t="shared" si="292"/>
        <v>10947.673069521836</v>
      </c>
      <c r="BF206" s="527">
        <f t="shared" si="292"/>
        <v>10947.673069521836</v>
      </c>
      <c r="BG206" s="527">
        <f t="shared" si="292"/>
        <v>10947.673069521836</v>
      </c>
      <c r="BH206" s="527">
        <f t="shared" si="292"/>
        <v>14435.510453777561</v>
      </c>
      <c r="BI206" s="527">
        <f t="shared" si="292"/>
        <v>14435.510453777561</v>
      </c>
      <c r="BJ206" s="527">
        <f t="shared" si="292"/>
        <v>14435.510453777561</v>
      </c>
      <c r="BK206" s="527">
        <f t="shared" si="292"/>
        <v>14435.510453777561</v>
      </c>
      <c r="BL206" s="527">
        <f t="shared" si="292"/>
        <v>14435.510453777561</v>
      </c>
      <c r="BM206" s="527">
        <f t="shared" si="292"/>
        <v>14435.510453777561</v>
      </c>
      <c r="BN206" s="527">
        <f t="shared" si="292"/>
        <v>11914.389373928574</v>
      </c>
      <c r="BO206" s="527">
        <f t="shared" si="292"/>
        <v>11914.389373928574</v>
      </c>
      <c r="BP206" s="527">
        <f t="shared" si="292"/>
        <v>11914.389373928574</v>
      </c>
      <c r="BQ206" s="527">
        <f t="shared" si="292"/>
        <v>11914.389373928574</v>
      </c>
      <c r="BR206" s="527">
        <f t="shared" si="292"/>
        <v>11914.389373928574</v>
      </c>
      <c r="BS206" s="527">
        <f t="shared" si="292"/>
        <v>11914.389373928574</v>
      </c>
      <c r="BT206" s="527">
        <f t="shared" si="292"/>
        <v>15552.085791762915</v>
      </c>
      <c r="BU206" s="527">
        <f t="shared" si="292"/>
        <v>15552.085791762915</v>
      </c>
      <c r="BV206" s="527">
        <f t="shared" si="292"/>
        <v>15552.085791762915</v>
      </c>
      <c r="BW206" s="527">
        <f t="shared" si="292"/>
        <v>15552.085791762915</v>
      </c>
      <c r="BX206" s="527">
        <f t="shared" si="292"/>
        <v>15552.085791762915</v>
      </c>
      <c r="BY206" s="527">
        <f t="shared" si="292"/>
        <v>15552.085791762915</v>
      </c>
    </row>
    <row r="207" spans="1:77" x14ac:dyDescent="0.3">
      <c r="A207" s="551"/>
      <c r="B207" s="548"/>
      <c r="C207" s="525"/>
      <c r="D207" s="525"/>
      <c r="E207" s="617" t="str">
        <f>"BCF net comm. uplift due to capex: "&amp;E$157</f>
        <v>BCF net comm. uplift due to capex: FY29 Tranche</v>
      </c>
      <c r="F207" s="525"/>
      <c r="G207" s="525"/>
      <c r="H207" s="525"/>
      <c r="I207" s="525"/>
      <c r="J207" s="525"/>
      <c r="K207" s="525"/>
      <c r="L207" s="525"/>
      <c r="M207" s="525"/>
      <c r="N207" s="525"/>
      <c r="O207" s="525"/>
      <c r="P207" s="565"/>
      <c r="Q207" s="525"/>
      <c r="R207" s="527">
        <f t="shared" ref="R207:AW207" si="293">IFERROR(R199*(R$581/SUM(R$581,R$590)),0)</f>
        <v>0</v>
      </c>
      <c r="S207" s="527">
        <f t="shared" si="293"/>
        <v>0</v>
      </c>
      <c r="T207" s="527">
        <f t="shared" si="293"/>
        <v>0</v>
      </c>
      <c r="U207" s="527">
        <f t="shared" si="293"/>
        <v>0</v>
      </c>
      <c r="V207" s="527">
        <f t="shared" si="293"/>
        <v>0</v>
      </c>
      <c r="W207" s="527">
        <f t="shared" si="293"/>
        <v>0</v>
      </c>
      <c r="X207" s="527">
        <f t="shared" si="293"/>
        <v>0</v>
      </c>
      <c r="Y207" s="527">
        <f t="shared" si="293"/>
        <v>0</v>
      </c>
      <c r="Z207" s="527">
        <f t="shared" si="293"/>
        <v>0</v>
      </c>
      <c r="AA207" s="527">
        <f t="shared" si="293"/>
        <v>0</v>
      </c>
      <c r="AB207" s="527">
        <f t="shared" si="293"/>
        <v>0</v>
      </c>
      <c r="AC207" s="527">
        <f t="shared" si="293"/>
        <v>0</v>
      </c>
      <c r="AD207" s="527">
        <f t="shared" si="293"/>
        <v>0</v>
      </c>
      <c r="AE207" s="527">
        <f t="shared" si="293"/>
        <v>0</v>
      </c>
      <c r="AF207" s="527">
        <f t="shared" si="293"/>
        <v>0</v>
      </c>
      <c r="AG207" s="527">
        <f t="shared" si="293"/>
        <v>0</v>
      </c>
      <c r="AH207" s="527">
        <f t="shared" si="293"/>
        <v>0</v>
      </c>
      <c r="AI207" s="527">
        <f t="shared" si="293"/>
        <v>0</v>
      </c>
      <c r="AJ207" s="527">
        <f t="shared" si="293"/>
        <v>0</v>
      </c>
      <c r="AK207" s="527">
        <f t="shared" si="293"/>
        <v>0</v>
      </c>
      <c r="AL207" s="527">
        <f t="shared" si="293"/>
        <v>0</v>
      </c>
      <c r="AM207" s="527">
        <f t="shared" si="293"/>
        <v>0</v>
      </c>
      <c r="AN207" s="527">
        <f t="shared" si="293"/>
        <v>0</v>
      </c>
      <c r="AO207" s="527">
        <f t="shared" si="293"/>
        <v>0</v>
      </c>
      <c r="AP207" s="527">
        <f t="shared" si="293"/>
        <v>0</v>
      </c>
      <c r="AQ207" s="527">
        <f t="shared" si="293"/>
        <v>0</v>
      </c>
      <c r="AR207" s="527">
        <f t="shared" si="293"/>
        <v>0</v>
      </c>
      <c r="AS207" s="527">
        <f t="shared" si="293"/>
        <v>0</v>
      </c>
      <c r="AT207" s="527">
        <f t="shared" si="293"/>
        <v>0</v>
      </c>
      <c r="AU207" s="527">
        <f t="shared" si="293"/>
        <v>0</v>
      </c>
      <c r="AV207" s="527">
        <f t="shared" si="293"/>
        <v>13061.427524298155</v>
      </c>
      <c r="AW207" s="527">
        <f t="shared" si="293"/>
        <v>13061.427524298155</v>
      </c>
      <c r="AX207" s="527">
        <f t="shared" ref="AX207:BY207" si="294">IFERROR(AX199*(AX$581/SUM(AX$581,AX$590)),0)</f>
        <v>13061.427524298155</v>
      </c>
      <c r="AY207" s="527">
        <f t="shared" si="294"/>
        <v>13061.427524298155</v>
      </c>
      <c r="AZ207" s="527">
        <f t="shared" si="294"/>
        <v>13061.427524298155</v>
      </c>
      <c r="BA207" s="527">
        <f t="shared" si="294"/>
        <v>13061.427524298155</v>
      </c>
      <c r="BB207" s="527">
        <f t="shared" si="294"/>
        <v>10554.731969244092</v>
      </c>
      <c r="BC207" s="527">
        <f t="shared" si="294"/>
        <v>10554.731969244092</v>
      </c>
      <c r="BD207" s="527">
        <f t="shared" si="294"/>
        <v>10554.731969244092</v>
      </c>
      <c r="BE207" s="527">
        <f t="shared" si="294"/>
        <v>10554.731969244092</v>
      </c>
      <c r="BF207" s="527">
        <f t="shared" si="294"/>
        <v>10554.731969244092</v>
      </c>
      <c r="BG207" s="527">
        <f t="shared" si="294"/>
        <v>10554.731969244092</v>
      </c>
      <c r="BH207" s="527">
        <f t="shared" si="294"/>
        <v>14026.851709488705</v>
      </c>
      <c r="BI207" s="527">
        <f t="shared" si="294"/>
        <v>14026.851709488705</v>
      </c>
      <c r="BJ207" s="527">
        <f t="shared" si="294"/>
        <v>14026.851709488705</v>
      </c>
      <c r="BK207" s="527">
        <f t="shared" si="294"/>
        <v>14026.851709488705</v>
      </c>
      <c r="BL207" s="527">
        <f t="shared" si="294"/>
        <v>14026.851709488705</v>
      </c>
      <c r="BM207" s="527">
        <f t="shared" si="294"/>
        <v>14026.851709488705</v>
      </c>
      <c r="BN207" s="527">
        <f t="shared" si="294"/>
        <v>11504.565097328803</v>
      </c>
      <c r="BO207" s="527">
        <f t="shared" si="294"/>
        <v>11504.565097328803</v>
      </c>
      <c r="BP207" s="527">
        <f t="shared" si="294"/>
        <v>11504.565097328803</v>
      </c>
      <c r="BQ207" s="527">
        <f t="shared" si="294"/>
        <v>11504.565097328803</v>
      </c>
      <c r="BR207" s="527">
        <f t="shared" si="294"/>
        <v>11504.565097328803</v>
      </c>
      <c r="BS207" s="527">
        <f t="shared" si="294"/>
        <v>11504.565097328803</v>
      </c>
      <c r="BT207" s="527">
        <f t="shared" si="294"/>
        <v>15125.868544099145</v>
      </c>
      <c r="BU207" s="527">
        <f t="shared" si="294"/>
        <v>15125.868544099145</v>
      </c>
      <c r="BV207" s="527">
        <f t="shared" si="294"/>
        <v>15125.868544099145</v>
      </c>
      <c r="BW207" s="527">
        <f t="shared" si="294"/>
        <v>15125.868544099145</v>
      </c>
      <c r="BX207" s="527">
        <f t="shared" si="294"/>
        <v>15125.868544099145</v>
      </c>
      <c r="BY207" s="527">
        <f t="shared" si="294"/>
        <v>15125.868544099145</v>
      </c>
    </row>
    <row r="208" spans="1:77" x14ac:dyDescent="0.3">
      <c r="A208" s="551"/>
      <c r="B208" s="548"/>
      <c r="C208" s="525"/>
      <c r="D208" s="525"/>
      <c r="E208" s="617" t="str">
        <f>"BCF net comm. uplift due to capex: "&amp;E$158</f>
        <v>BCF net comm. uplift due to capex: FY30 Tranche</v>
      </c>
      <c r="F208" s="525"/>
      <c r="G208" s="525"/>
      <c r="H208" s="525"/>
      <c r="I208" s="525"/>
      <c r="J208" s="525"/>
      <c r="K208" s="525"/>
      <c r="L208" s="525"/>
      <c r="M208" s="525"/>
      <c r="N208" s="525"/>
      <c r="O208" s="525"/>
      <c r="P208" s="565"/>
      <c r="Q208" s="525"/>
      <c r="R208" s="527">
        <f t="shared" ref="R208:AW208" si="295">IFERROR(R200*(R$581/SUM(R$581,R$590)),0)</f>
        <v>0</v>
      </c>
      <c r="S208" s="527">
        <f t="shared" si="295"/>
        <v>0</v>
      </c>
      <c r="T208" s="527">
        <f t="shared" si="295"/>
        <v>0</v>
      </c>
      <c r="U208" s="527">
        <f t="shared" si="295"/>
        <v>0</v>
      </c>
      <c r="V208" s="527">
        <f t="shared" si="295"/>
        <v>0</v>
      </c>
      <c r="W208" s="527">
        <f t="shared" si="295"/>
        <v>0</v>
      </c>
      <c r="X208" s="527">
        <f t="shared" si="295"/>
        <v>0</v>
      </c>
      <c r="Y208" s="527">
        <f t="shared" si="295"/>
        <v>0</v>
      </c>
      <c r="Z208" s="527">
        <f t="shared" si="295"/>
        <v>0</v>
      </c>
      <c r="AA208" s="527">
        <f t="shared" si="295"/>
        <v>0</v>
      </c>
      <c r="AB208" s="527">
        <f t="shared" si="295"/>
        <v>0</v>
      </c>
      <c r="AC208" s="527">
        <f t="shared" si="295"/>
        <v>0</v>
      </c>
      <c r="AD208" s="527">
        <f t="shared" si="295"/>
        <v>0</v>
      </c>
      <c r="AE208" s="527">
        <f t="shared" si="295"/>
        <v>0</v>
      </c>
      <c r="AF208" s="527">
        <f t="shared" si="295"/>
        <v>0</v>
      </c>
      <c r="AG208" s="527">
        <f t="shared" si="295"/>
        <v>0</v>
      </c>
      <c r="AH208" s="527">
        <f t="shared" si="295"/>
        <v>0</v>
      </c>
      <c r="AI208" s="527">
        <f t="shared" si="295"/>
        <v>0</v>
      </c>
      <c r="AJ208" s="527">
        <f t="shared" si="295"/>
        <v>0</v>
      </c>
      <c r="AK208" s="527">
        <f t="shared" si="295"/>
        <v>0</v>
      </c>
      <c r="AL208" s="527">
        <f t="shared" si="295"/>
        <v>0</v>
      </c>
      <c r="AM208" s="527">
        <f t="shared" si="295"/>
        <v>0</v>
      </c>
      <c r="AN208" s="527">
        <f t="shared" si="295"/>
        <v>0</v>
      </c>
      <c r="AO208" s="527">
        <f t="shared" si="295"/>
        <v>0</v>
      </c>
      <c r="AP208" s="527">
        <f t="shared" si="295"/>
        <v>0</v>
      </c>
      <c r="AQ208" s="527">
        <f t="shared" si="295"/>
        <v>0</v>
      </c>
      <c r="AR208" s="527">
        <f t="shared" si="295"/>
        <v>0</v>
      </c>
      <c r="AS208" s="527">
        <f t="shared" si="295"/>
        <v>0</v>
      </c>
      <c r="AT208" s="527">
        <f t="shared" si="295"/>
        <v>0</v>
      </c>
      <c r="AU208" s="527">
        <f t="shared" si="295"/>
        <v>0</v>
      </c>
      <c r="AV208" s="527">
        <f t="shared" si="295"/>
        <v>0</v>
      </c>
      <c r="AW208" s="527">
        <f t="shared" si="295"/>
        <v>0</v>
      </c>
      <c r="AX208" s="527">
        <f t="shared" ref="AX208:BY208" si="296">IFERROR(AX200*(AX$581/SUM(AX$581,AX$590)),0)</f>
        <v>0</v>
      </c>
      <c r="AY208" s="527">
        <f t="shared" si="296"/>
        <v>0</v>
      </c>
      <c r="AZ208" s="527">
        <f t="shared" si="296"/>
        <v>0</v>
      </c>
      <c r="BA208" s="527">
        <f t="shared" si="296"/>
        <v>0</v>
      </c>
      <c r="BB208" s="527">
        <f t="shared" si="296"/>
        <v>0</v>
      </c>
      <c r="BC208" s="527">
        <f t="shared" si="296"/>
        <v>0</v>
      </c>
      <c r="BD208" s="527">
        <f t="shared" si="296"/>
        <v>0</v>
      </c>
      <c r="BE208" s="527">
        <f t="shared" si="296"/>
        <v>0</v>
      </c>
      <c r="BF208" s="527">
        <f t="shared" si="296"/>
        <v>0</v>
      </c>
      <c r="BG208" s="527">
        <f t="shared" si="296"/>
        <v>0</v>
      </c>
      <c r="BH208" s="527">
        <f t="shared" si="296"/>
        <v>13371.702214987226</v>
      </c>
      <c r="BI208" s="527">
        <f t="shared" si="296"/>
        <v>13371.702214987226</v>
      </c>
      <c r="BJ208" s="527">
        <f t="shared" si="296"/>
        <v>13371.702214987226</v>
      </c>
      <c r="BK208" s="527">
        <f t="shared" si="296"/>
        <v>13371.702214987226</v>
      </c>
      <c r="BL208" s="527">
        <f t="shared" si="296"/>
        <v>13371.702214987226</v>
      </c>
      <c r="BM208" s="527">
        <f t="shared" si="296"/>
        <v>13371.702214987226</v>
      </c>
      <c r="BN208" s="527">
        <f t="shared" si="296"/>
        <v>10847.547056234373</v>
      </c>
      <c r="BO208" s="527">
        <f t="shared" si="296"/>
        <v>10847.547056234373</v>
      </c>
      <c r="BP208" s="527">
        <f t="shared" si="296"/>
        <v>10847.547056234373</v>
      </c>
      <c r="BQ208" s="527">
        <f t="shared" si="296"/>
        <v>10847.547056234373</v>
      </c>
      <c r="BR208" s="527">
        <f t="shared" si="296"/>
        <v>10847.547056234373</v>
      </c>
      <c r="BS208" s="527">
        <f t="shared" si="296"/>
        <v>10847.547056234373</v>
      </c>
      <c r="BT208" s="527">
        <f t="shared" si="296"/>
        <v>14442.569781360944</v>
      </c>
      <c r="BU208" s="527">
        <f t="shared" si="296"/>
        <v>14442.569781360944</v>
      </c>
      <c r="BV208" s="527">
        <f t="shared" si="296"/>
        <v>14442.569781360944</v>
      </c>
      <c r="BW208" s="527">
        <f t="shared" si="296"/>
        <v>14442.569781360944</v>
      </c>
      <c r="BX208" s="527">
        <f t="shared" si="296"/>
        <v>14442.569781360944</v>
      </c>
      <c r="BY208" s="527">
        <f t="shared" si="296"/>
        <v>14442.569781360944</v>
      </c>
    </row>
    <row r="209" spans="1:77" x14ac:dyDescent="0.3">
      <c r="A209" s="551"/>
      <c r="B209" s="548"/>
      <c r="C209" s="525"/>
      <c r="D209" s="525"/>
      <c r="E209" s="617" t="str">
        <f>"BCF net comm. uplift due to capex: "&amp;E$159</f>
        <v>BCF net comm. uplift due to capex: FY31 Tranche</v>
      </c>
      <c r="F209" s="525"/>
      <c r="G209" s="525"/>
      <c r="H209" s="525"/>
      <c r="I209" s="525"/>
      <c r="J209" s="525"/>
      <c r="K209" s="525"/>
      <c r="L209" s="525"/>
      <c r="M209" s="525"/>
      <c r="N209" s="525"/>
      <c r="O209" s="525"/>
      <c r="P209" s="565"/>
      <c r="Q209" s="525"/>
      <c r="R209" s="527">
        <f t="shared" ref="R209:AW209" si="297">IFERROR(R201*(R$581/SUM(R$581,R$590)),0)</f>
        <v>0</v>
      </c>
      <c r="S209" s="527">
        <f t="shared" si="297"/>
        <v>0</v>
      </c>
      <c r="T209" s="527">
        <f t="shared" si="297"/>
        <v>0</v>
      </c>
      <c r="U209" s="527">
        <f t="shared" si="297"/>
        <v>0</v>
      </c>
      <c r="V209" s="527">
        <f t="shared" si="297"/>
        <v>0</v>
      </c>
      <c r="W209" s="527">
        <f t="shared" si="297"/>
        <v>0</v>
      </c>
      <c r="X209" s="527">
        <f t="shared" si="297"/>
        <v>0</v>
      </c>
      <c r="Y209" s="527">
        <f t="shared" si="297"/>
        <v>0</v>
      </c>
      <c r="Z209" s="527">
        <f t="shared" si="297"/>
        <v>0</v>
      </c>
      <c r="AA209" s="527">
        <f t="shared" si="297"/>
        <v>0</v>
      </c>
      <c r="AB209" s="527">
        <f t="shared" si="297"/>
        <v>0</v>
      </c>
      <c r="AC209" s="527">
        <f t="shared" si="297"/>
        <v>0</v>
      </c>
      <c r="AD209" s="527">
        <f t="shared" si="297"/>
        <v>0</v>
      </c>
      <c r="AE209" s="527">
        <f t="shared" si="297"/>
        <v>0</v>
      </c>
      <c r="AF209" s="527">
        <f t="shared" si="297"/>
        <v>0</v>
      </c>
      <c r="AG209" s="527">
        <f t="shared" si="297"/>
        <v>0</v>
      </c>
      <c r="AH209" s="527">
        <f t="shared" si="297"/>
        <v>0</v>
      </c>
      <c r="AI209" s="527">
        <f t="shared" si="297"/>
        <v>0</v>
      </c>
      <c r="AJ209" s="527">
        <f t="shared" si="297"/>
        <v>0</v>
      </c>
      <c r="AK209" s="527">
        <f t="shared" si="297"/>
        <v>0</v>
      </c>
      <c r="AL209" s="527">
        <f t="shared" si="297"/>
        <v>0</v>
      </c>
      <c r="AM209" s="527">
        <f t="shared" si="297"/>
        <v>0</v>
      </c>
      <c r="AN209" s="527">
        <f t="shared" si="297"/>
        <v>0</v>
      </c>
      <c r="AO209" s="527">
        <f t="shared" si="297"/>
        <v>0</v>
      </c>
      <c r="AP209" s="527">
        <f t="shared" si="297"/>
        <v>0</v>
      </c>
      <c r="AQ209" s="527">
        <f t="shared" si="297"/>
        <v>0</v>
      </c>
      <c r="AR209" s="527">
        <f t="shared" si="297"/>
        <v>0</v>
      </c>
      <c r="AS209" s="527">
        <f t="shared" si="297"/>
        <v>0</v>
      </c>
      <c r="AT209" s="527">
        <f t="shared" si="297"/>
        <v>0</v>
      </c>
      <c r="AU209" s="527">
        <f t="shared" si="297"/>
        <v>0</v>
      </c>
      <c r="AV209" s="527">
        <f t="shared" si="297"/>
        <v>0</v>
      </c>
      <c r="AW209" s="527">
        <f t="shared" si="297"/>
        <v>0</v>
      </c>
      <c r="AX209" s="527">
        <f t="shared" ref="AX209:BY209" si="298">IFERROR(AX201*(AX$581/SUM(AX$581,AX$590)),0)</f>
        <v>0</v>
      </c>
      <c r="AY209" s="527">
        <f t="shared" si="298"/>
        <v>0</v>
      </c>
      <c r="AZ209" s="527">
        <f t="shared" si="298"/>
        <v>0</v>
      </c>
      <c r="BA209" s="527">
        <f t="shared" si="298"/>
        <v>0</v>
      </c>
      <c r="BB209" s="527">
        <f t="shared" si="298"/>
        <v>0</v>
      </c>
      <c r="BC209" s="527">
        <f t="shared" si="298"/>
        <v>0</v>
      </c>
      <c r="BD209" s="527">
        <f t="shared" si="298"/>
        <v>0</v>
      </c>
      <c r="BE209" s="527">
        <f t="shared" si="298"/>
        <v>0</v>
      </c>
      <c r="BF209" s="527">
        <f t="shared" si="298"/>
        <v>0</v>
      </c>
      <c r="BG209" s="527">
        <f t="shared" si="298"/>
        <v>0</v>
      </c>
      <c r="BH209" s="527">
        <f t="shared" si="298"/>
        <v>0</v>
      </c>
      <c r="BI209" s="527">
        <f t="shared" si="298"/>
        <v>0</v>
      </c>
      <c r="BJ209" s="527">
        <f t="shared" si="298"/>
        <v>0</v>
      </c>
      <c r="BK209" s="527">
        <f t="shared" si="298"/>
        <v>0</v>
      </c>
      <c r="BL209" s="527">
        <f t="shared" si="298"/>
        <v>0</v>
      </c>
      <c r="BM209" s="527">
        <f t="shared" si="298"/>
        <v>0</v>
      </c>
      <c r="BN209" s="527">
        <f t="shared" si="298"/>
        <v>0</v>
      </c>
      <c r="BO209" s="527">
        <f t="shared" si="298"/>
        <v>0</v>
      </c>
      <c r="BP209" s="527">
        <f t="shared" si="298"/>
        <v>0</v>
      </c>
      <c r="BQ209" s="527">
        <f t="shared" si="298"/>
        <v>0</v>
      </c>
      <c r="BR209" s="527">
        <f t="shared" si="298"/>
        <v>0</v>
      </c>
      <c r="BS209" s="527">
        <f t="shared" si="298"/>
        <v>0</v>
      </c>
      <c r="BT209" s="527">
        <f t="shared" si="298"/>
        <v>13671.545659725583</v>
      </c>
      <c r="BU209" s="527">
        <f t="shared" si="298"/>
        <v>13671.545659725583</v>
      </c>
      <c r="BV209" s="527">
        <f t="shared" si="298"/>
        <v>13671.545659725583</v>
      </c>
      <c r="BW209" s="527">
        <f t="shared" si="298"/>
        <v>13671.545659725583</v>
      </c>
      <c r="BX209" s="527">
        <f t="shared" si="298"/>
        <v>13671.545659725583</v>
      </c>
      <c r="BY209" s="527">
        <f t="shared" si="298"/>
        <v>13671.545659725583</v>
      </c>
    </row>
    <row r="210" spans="1:77" x14ac:dyDescent="0.3">
      <c r="A210" s="551"/>
      <c r="B210" s="548"/>
      <c r="C210" s="525"/>
      <c r="D210" s="525"/>
      <c r="E210" s="617" t="str">
        <f>"BCF net comm. uplift due to capex: "&amp;E$160</f>
        <v>BCF net comm. uplift due to capex: Uninvested Tranche</v>
      </c>
      <c r="F210" s="525"/>
      <c r="G210" s="525"/>
      <c r="H210" s="525"/>
      <c r="I210" s="525"/>
      <c r="J210" s="525"/>
      <c r="K210" s="525"/>
      <c r="L210" s="525"/>
      <c r="M210" s="525"/>
      <c r="N210" s="525"/>
      <c r="O210" s="525"/>
      <c r="P210" s="565"/>
      <c r="Q210" s="525"/>
      <c r="R210" s="527">
        <f t="shared" ref="R210:AW210" si="299">IFERROR(R202*(R$581/SUM(R$581,R$590)),0)</f>
        <v>0</v>
      </c>
      <c r="S210" s="527">
        <f t="shared" si="299"/>
        <v>0</v>
      </c>
      <c r="T210" s="527">
        <f t="shared" si="299"/>
        <v>0</v>
      </c>
      <c r="U210" s="527">
        <f t="shared" si="299"/>
        <v>0</v>
      </c>
      <c r="V210" s="527">
        <f t="shared" si="299"/>
        <v>0</v>
      </c>
      <c r="W210" s="527">
        <f t="shared" si="299"/>
        <v>0</v>
      </c>
      <c r="X210" s="527">
        <f t="shared" si="299"/>
        <v>0</v>
      </c>
      <c r="Y210" s="527">
        <f t="shared" si="299"/>
        <v>0</v>
      </c>
      <c r="Z210" s="527">
        <f t="shared" si="299"/>
        <v>0</v>
      </c>
      <c r="AA210" s="527">
        <f t="shared" si="299"/>
        <v>0</v>
      </c>
      <c r="AB210" s="527">
        <f t="shared" si="299"/>
        <v>0</v>
      </c>
      <c r="AC210" s="527">
        <f t="shared" si="299"/>
        <v>0</v>
      </c>
      <c r="AD210" s="527">
        <f t="shared" si="299"/>
        <v>0</v>
      </c>
      <c r="AE210" s="527">
        <f t="shared" si="299"/>
        <v>0</v>
      </c>
      <c r="AF210" s="527">
        <f t="shared" si="299"/>
        <v>0</v>
      </c>
      <c r="AG210" s="527">
        <f t="shared" si="299"/>
        <v>0</v>
      </c>
      <c r="AH210" s="527">
        <f t="shared" si="299"/>
        <v>0</v>
      </c>
      <c r="AI210" s="527">
        <f t="shared" si="299"/>
        <v>0</v>
      </c>
      <c r="AJ210" s="527">
        <f t="shared" si="299"/>
        <v>0</v>
      </c>
      <c r="AK210" s="527">
        <f t="shared" si="299"/>
        <v>0</v>
      </c>
      <c r="AL210" s="527">
        <f t="shared" si="299"/>
        <v>0</v>
      </c>
      <c r="AM210" s="527">
        <f t="shared" si="299"/>
        <v>0</v>
      </c>
      <c r="AN210" s="527">
        <f t="shared" si="299"/>
        <v>0</v>
      </c>
      <c r="AO210" s="527">
        <f t="shared" si="299"/>
        <v>0</v>
      </c>
      <c r="AP210" s="527">
        <f t="shared" si="299"/>
        <v>0</v>
      </c>
      <c r="AQ210" s="527">
        <f t="shared" si="299"/>
        <v>0</v>
      </c>
      <c r="AR210" s="527">
        <f t="shared" si="299"/>
        <v>0</v>
      </c>
      <c r="AS210" s="527">
        <f t="shared" si="299"/>
        <v>0</v>
      </c>
      <c r="AT210" s="527">
        <f t="shared" si="299"/>
        <v>0</v>
      </c>
      <c r="AU210" s="527">
        <f t="shared" si="299"/>
        <v>0</v>
      </c>
      <c r="AV210" s="527">
        <f t="shared" si="299"/>
        <v>0</v>
      </c>
      <c r="AW210" s="527">
        <f t="shared" si="299"/>
        <v>0</v>
      </c>
      <c r="AX210" s="527">
        <f t="shared" ref="AX210:BY210" si="300">IFERROR(AX202*(AX$581/SUM(AX$581,AX$590)),0)</f>
        <v>0</v>
      </c>
      <c r="AY210" s="527">
        <f t="shared" si="300"/>
        <v>0</v>
      </c>
      <c r="AZ210" s="527">
        <f t="shared" si="300"/>
        <v>0</v>
      </c>
      <c r="BA210" s="527">
        <f t="shared" si="300"/>
        <v>0</v>
      </c>
      <c r="BB210" s="527">
        <f t="shared" si="300"/>
        <v>0</v>
      </c>
      <c r="BC210" s="527">
        <f t="shared" si="300"/>
        <v>0</v>
      </c>
      <c r="BD210" s="527">
        <f t="shared" si="300"/>
        <v>0</v>
      </c>
      <c r="BE210" s="527">
        <f t="shared" si="300"/>
        <v>0</v>
      </c>
      <c r="BF210" s="527">
        <f t="shared" si="300"/>
        <v>0</v>
      </c>
      <c r="BG210" s="527">
        <f t="shared" si="300"/>
        <v>0</v>
      </c>
      <c r="BH210" s="527">
        <f t="shared" si="300"/>
        <v>0</v>
      </c>
      <c r="BI210" s="527">
        <f t="shared" si="300"/>
        <v>0</v>
      </c>
      <c r="BJ210" s="527">
        <f t="shared" si="300"/>
        <v>0</v>
      </c>
      <c r="BK210" s="527">
        <f t="shared" si="300"/>
        <v>0</v>
      </c>
      <c r="BL210" s="527">
        <f t="shared" si="300"/>
        <v>0</v>
      </c>
      <c r="BM210" s="527">
        <f t="shared" si="300"/>
        <v>0</v>
      </c>
      <c r="BN210" s="527">
        <f t="shared" si="300"/>
        <v>0</v>
      </c>
      <c r="BO210" s="527">
        <f t="shared" si="300"/>
        <v>0</v>
      </c>
      <c r="BP210" s="527">
        <f t="shared" si="300"/>
        <v>0</v>
      </c>
      <c r="BQ210" s="527">
        <f t="shared" si="300"/>
        <v>0</v>
      </c>
      <c r="BR210" s="527">
        <f t="shared" si="300"/>
        <v>0</v>
      </c>
      <c r="BS210" s="527">
        <f t="shared" si="300"/>
        <v>0</v>
      </c>
      <c r="BT210" s="527">
        <f t="shared" si="300"/>
        <v>0</v>
      </c>
      <c r="BU210" s="527">
        <f t="shared" si="300"/>
        <v>0</v>
      </c>
      <c r="BV210" s="527">
        <f t="shared" si="300"/>
        <v>0</v>
      </c>
      <c r="BW210" s="527">
        <f t="shared" si="300"/>
        <v>0</v>
      </c>
      <c r="BX210" s="527">
        <f t="shared" si="300"/>
        <v>0</v>
      </c>
      <c r="BY210" s="527">
        <f t="shared" si="300"/>
        <v>0</v>
      </c>
    </row>
    <row r="211" spans="1:77" x14ac:dyDescent="0.3">
      <c r="A211" s="551"/>
      <c r="B211" s="548"/>
      <c r="C211" s="525"/>
      <c r="D211" s="525"/>
      <c r="E211" s="572" t="s">
        <v>36</v>
      </c>
      <c r="F211" s="572"/>
      <c r="G211" s="572"/>
      <c r="H211" s="572"/>
      <c r="I211" s="572"/>
      <c r="J211" s="572"/>
      <c r="K211" s="572"/>
      <c r="L211" s="572"/>
      <c r="M211" s="572"/>
      <c r="N211" s="572"/>
      <c r="O211" s="572"/>
      <c r="P211" s="612"/>
      <c r="Q211" s="572"/>
      <c r="R211" s="532">
        <f t="shared" ref="R211:AW211" si="301">SUM(R205:R210)</f>
        <v>0</v>
      </c>
      <c r="S211" s="532">
        <f t="shared" si="301"/>
        <v>0</v>
      </c>
      <c r="T211" s="532">
        <f t="shared" si="301"/>
        <v>0</v>
      </c>
      <c r="U211" s="532">
        <f t="shared" si="301"/>
        <v>0</v>
      </c>
      <c r="V211" s="532">
        <f t="shared" si="301"/>
        <v>0</v>
      </c>
      <c r="W211" s="532">
        <f t="shared" si="301"/>
        <v>0</v>
      </c>
      <c r="X211" s="532">
        <f t="shared" si="301"/>
        <v>12386.959498802431</v>
      </c>
      <c r="Y211" s="532">
        <f t="shared" si="301"/>
        <v>12386.959498802431</v>
      </c>
      <c r="Z211" s="532">
        <f t="shared" si="301"/>
        <v>12386.959498802431</v>
      </c>
      <c r="AA211" s="532">
        <f t="shared" si="301"/>
        <v>12386.959498802431</v>
      </c>
      <c r="AB211" s="532">
        <f t="shared" si="301"/>
        <v>12386.959498802431</v>
      </c>
      <c r="AC211" s="532">
        <f t="shared" si="301"/>
        <v>12386.959498802431</v>
      </c>
      <c r="AD211" s="532">
        <f t="shared" si="301"/>
        <v>9751.8005898302454</v>
      </c>
      <c r="AE211" s="532">
        <f t="shared" si="301"/>
        <v>9751.8005898302454</v>
      </c>
      <c r="AF211" s="532">
        <f t="shared" si="301"/>
        <v>9751.8005898302454</v>
      </c>
      <c r="AG211" s="532">
        <f t="shared" si="301"/>
        <v>9751.8005898302454</v>
      </c>
      <c r="AH211" s="532">
        <f t="shared" si="301"/>
        <v>9751.8005898302454</v>
      </c>
      <c r="AI211" s="532">
        <f t="shared" si="301"/>
        <v>9751.8005898302454</v>
      </c>
      <c r="AJ211" s="532">
        <f t="shared" si="301"/>
        <v>25696.980929286008</v>
      </c>
      <c r="AK211" s="532">
        <f t="shared" si="301"/>
        <v>25696.980929286008</v>
      </c>
      <c r="AL211" s="532">
        <f t="shared" si="301"/>
        <v>25696.980929286008</v>
      </c>
      <c r="AM211" s="532">
        <f t="shared" si="301"/>
        <v>25696.980929286008</v>
      </c>
      <c r="AN211" s="532">
        <f t="shared" si="301"/>
        <v>25696.980929286008</v>
      </c>
      <c r="AO211" s="532">
        <f t="shared" si="301"/>
        <v>25696.980929286008</v>
      </c>
      <c r="AP211" s="532">
        <f t="shared" si="301"/>
        <v>20453.042091728363</v>
      </c>
      <c r="AQ211" s="532">
        <f t="shared" si="301"/>
        <v>20453.042091728363</v>
      </c>
      <c r="AR211" s="532">
        <f t="shared" si="301"/>
        <v>20453.042091728363</v>
      </c>
      <c r="AS211" s="532">
        <f t="shared" si="301"/>
        <v>20453.042091728363</v>
      </c>
      <c r="AT211" s="532">
        <f t="shared" si="301"/>
        <v>20453.042091728363</v>
      </c>
      <c r="AU211" s="532">
        <f t="shared" si="301"/>
        <v>20453.042091728363</v>
      </c>
      <c r="AV211" s="532">
        <f t="shared" si="301"/>
        <v>40211.042192100256</v>
      </c>
      <c r="AW211" s="532">
        <f t="shared" si="301"/>
        <v>40211.042192100256</v>
      </c>
      <c r="AX211" s="532">
        <f t="shared" ref="AX211:BY211" si="302">SUM(AX205:AX210)</f>
        <v>40211.042192100256</v>
      </c>
      <c r="AY211" s="532">
        <f t="shared" si="302"/>
        <v>40211.042192100256</v>
      </c>
      <c r="AZ211" s="532">
        <f t="shared" si="302"/>
        <v>40211.042192100256</v>
      </c>
      <c r="BA211" s="532">
        <f t="shared" si="302"/>
        <v>40211.042192100256</v>
      </c>
      <c r="BB211" s="532">
        <f t="shared" si="302"/>
        <v>32694.051272500095</v>
      </c>
      <c r="BC211" s="532">
        <f t="shared" si="302"/>
        <v>32694.051272500095</v>
      </c>
      <c r="BD211" s="532">
        <f t="shared" si="302"/>
        <v>32694.051272500095</v>
      </c>
      <c r="BE211" s="532">
        <f t="shared" si="302"/>
        <v>32694.051272500095</v>
      </c>
      <c r="BF211" s="532">
        <f t="shared" si="302"/>
        <v>32694.051272500095</v>
      </c>
      <c r="BG211" s="532">
        <f t="shared" si="302"/>
        <v>32694.051272500095</v>
      </c>
      <c r="BH211" s="532">
        <f t="shared" si="302"/>
        <v>56523.306922811898</v>
      </c>
      <c r="BI211" s="532">
        <f t="shared" si="302"/>
        <v>56523.306922811898</v>
      </c>
      <c r="BJ211" s="532">
        <f t="shared" si="302"/>
        <v>56523.306922811898</v>
      </c>
      <c r="BK211" s="532">
        <f t="shared" si="302"/>
        <v>56523.306922811898</v>
      </c>
      <c r="BL211" s="532">
        <f t="shared" si="302"/>
        <v>56523.306922811898</v>
      </c>
      <c r="BM211" s="532">
        <f t="shared" si="302"/>
        <v>56523.306922811898</v>
      </c>
      <c r="BN211" s="532">
        <f t="shared" si="302"/>
        <v>46435.346659452276</v>
      </c>
      <c r="BO211" s="532">
        <f t="shared" si="302"/>
        <v>46435.346659452276</v>
      </c>
      <c r="BP211" s="532">
        <f t="shared" si="302"/>
        <v>46435.346659452276</v>
      </c>
      <c r="BQ211" s="532">
        <f t="shared" si="302"/>
        <v>46435.346659452276</v>
      </c>
      <c r="BR211" s="532">
        <f t="shared" si="302"/>
        <v>46435.346659452276</v>
      </c>
      <c r="BS211" s="532">
        <f t="shared" si="302"/>
        <v>46435.346659452276</v>
      </c>
      <c r="BT211" s="532">
        <f t="shared" si="302"/>
        <v>74608.789557064738</v>
      </c>
      <c r="BU211" s="532">
        <f t="shared" si="302"/>
        <v>74608.789557064738</v>
      </c>
      <c r="BV211" s="532">
        <f t="shared" si="302"/>
        <v>74608.789557064738</v>
      </c>
      <c r="BW211" s="532">
        <f t="shared" si="302"/>
        <v>74608.789557064738</v>
      </c>
      <c r="BX211" s="532">
        <f t="shared" si="302"/>
        <v>74608.789557064738</v>
      </c>
      <c r="BY211" s="532">
        <f t="shared" si="302"/>
        <v>74608.789557064738</v>
      </c>
    </row>
    <row r="212" spans="1:77" x14ac:dyDescent="0.3">
      <c r="A212" s="551"/>
      <c r="B212" s="548"/>
      <c r="C212" s="525"/>
      <c r="D212" s="525"/>
      <c r="E212" s="525"/>
      <c r="F212" s="525"/>
      <c r="G212" s="525"/>
      <c r="H212" s="525"/>
      <c r="I212" s="525"/>
      <c r="J212" s="525"/>
      <c r="K212" s="525"/>
      <c r="L212" s="525"/>
      <c r="M212" s="525"/>
      <c r="N212" s="525"/>
      <c r="O212" s="525"/>
      <c r="P212" s="565"/>
      <c r="Q212" s="525"/>
      <c r="R212" s="525"/>
      <c r="S212" s="525"/>
      <c r="T212" s="525"/>
      <c r="U212" s="525"/>
      <c r="V212" s="525"/>
      <c r="W212" s="525"/>
      <c r="X212" s="525"/>
      <c r="Y212" s="525"/>
      <c r="Z212" s="525"/>
      <c r="AA212" s="525"/>
      <c r="AB212" s="525"/>
      <c r="AC212" s="525"/>
      <c r="AD212" s="525"/>
      <c r="AE212" s="525"/>
      <c r="AF212" s="525"/>
      <c r="AG212" s="525"/>
      <c r="AH212" s="525"/>
      <c r="AI212" s="525"/>
      <c r="AJ212" s="525"/>
      <c r="AK212" s="525"/>
      <c r="AL212" s="525"/>
      <c r="AM212" s="525"/>
      <c r="AN212" s="525"/>
      <c r="AO212" s="525"/>
      <c r="AP212" s="525"/>
      <c r="AQ212" s="525"/>
      <c r="AR212" s="525"/>
      <c r="AS212" s="525"/>
      <c r="AT212" s="525"/>
      <c r="AU212" s="525"/>
      <c r="AV212" s="525"/>
      <c r="AW212" s="525"/>
      <c r="AX212" s="525"/>
      <c r="AY212" s="525"/>
      <c r="AZ212" s="525"/>
      <c r="BA212" s="525"/>
      <c r="BB212" s="525"/>
      <c r="BC212" s="525"/>
      <c r="BD212" s="525"/>
      <c r="BE212" s="525"/>
      <c r="BF212" s="525"/>
      <c r="BG212" s="525"/>
      <c r="BH212" s="525"/>
      <c r="BI212" s="525"/>
      <c r="BJ212" s="525"/>
      <c r="BK212" s="525"/>
      <c r="BL212" s="525"/>
      <c r="BM212" s="525"/>
      <c r="BN212" s="525"/>
      <c r="BO212" s="525"/>
      <c r="BP212" s="525"/>
      <c r="BQ212" s="525"/>
      <c r="BR212" s="525"/>
      <c r="BS212" s="525"/>
      <c r="BT212" s="525"/>
      <c r="BU212" s="525"/>
      <c r="BV212" s="525"/>
      <c r="BW212" s="525"/>
      <c r="BX212" s="525"/>
      <c r="BY212" s="525"/>
    </row>
    <row r="213" spans="1:77" x14ac:dyDescent="0.3">
      <c r="A213" s="551"/>
      <c r="B213" s="548"/>
      <c r="C213" s="525"/>
      <c r="D213" s="525"/>
      <c r="E213" s="618" t="str">
        <f>"WSM net comm. uplift due to capex: "&amp;E$155</f>
        <v>WSM net comm. uplift due to capex: FY27 Tranche</v>
      </c>
      <c r="F213" s="525"/>
      <c r="G213" s="525"/>
      <c r="H213" s="525"/>
      <c r="I213" s="525"/>
      <c r="J213" s="525"/>
      <c r="K213" s="525"/>
      <c r="L213" s="525"/>
      <c r="M213" s="525"/>
      <c r="N213" s="525"/>
      <c r="O213" s="525"/>
      <c r="P213" s="565"/>
      <c r="Q213" s="525"/>
      <c r="R213" s="527">
        <f t="shared" ref="R213:AW213" si="303">IFERROR(R197*(R$590/SUM(R$581,R$590)),0)</f>
        <v>0</v>
      </c>
      <c r="S213" s="527">
        <f t="shared" si="303"/>
        <v>0</v>
      </c>
      <c r="T213" s="527">
        <f t="shared" si="303"/>
        <v>0</v>
      </c>
      <c r="U213" s="527">
        <f t="shared" si="303"/>
        <v>0</v>
      </c>
      <c r="V213" s="527">
        <f t="shared" si="303"/>
        <v>0</v>
      </c>
      <c r="W213" s="527">
        <f t="shared" si="303"/>
        <v>0</v>
      </c>
      <c r="X213" s="527">
        <f t="shared" si="303"/>
        <v>947.79661494420702</v>
      </c>
      <c r="Y213" s="527">
        <f t="shared" si="303"/>
        <v>947.79661494420702</v>
      </c>
      <c r="Z213" s="527">
        <f t="shared" si="303"/>
        <v>947.79661494420702</v>
      </c>
      <c r="AA213" s="527">
        <f t="shared" si="303"/>
        <v>947.79661494420702</v>
      </c>
      <c r="AB213" s="527">
        <f t="shared" si="303"/>
        <v>947.79661494420702</v>
      </c>
      <c r="AC213" s="527">
        <f t="shared" si="303"/>
        <v>947.79661494420702</v>
      </c>
      <c r="AD213" s="527">
        <f t="shared" si="303"/>
        <v>707.35033069091696</v>
      </c>
      <c r="AE213" s="527">
        <f t="shared" si="303"/>
        <v>707.35033069091696</v>
      </c>
      <c r="AF213" s="527">
        <f t="shared" si="303"/>
        <v>707.35033069091696</v>
      </c>
      <c r="AG213" s="527">
        <f t="shared" si="303"/>
        <v>707.35033069091696</v>
      </c>
      <c r="AH213" s="527">
        <f t="shared" si="303"/>
        <v>707.35033069091696</v>
      </c>
      <c r="AI213" s="527">
        <f t="shared" si="303"/>
        <v>707.35033069091696</v>
      </c>
      <c r="AJ213" s="527">
        <f t="shared" si="303"/>
        <v>940.42396311315724</v>
      </c>
      <c r="AK213" s="527">
        <f t="shared" si="303"/>
        <v>940.42396311315724</v>
      </c>
      <c r="AL213" s="527">
        <f t="shared" si="303"/>
        <v>940.42396311315724</v>
      </c>
      <c r="AM213" s="527">
        <f t="shared" si="303"/>
        <v>940.42396311315724</v>
      </c>
      <c r="AN213" s="527">
        <f t="shared" si="303"/>
        <v>940.42396311315724</v>
      </c>
      <c r="AO213" s="527">
        <f t="shared" si="303"/>
        <v>940.42396311315724</v>
      </c>
      <c r="AP213" s="527">
        <f t="shared" si="303"/>
        <v>713.23458481434011</v>
      </c>
      <c r="AQ213" s="527">
        <f t="shared" si="303"/>
        <v>713.23458481434011</v>
      </c>
      <c r="AR213" s="527">
        <f t="shared" si="303"/>
        <v>713.23458481434011</v>
      </c>
      <c r="AS213" s="527">
        <f t="shared" si="303"/>
        <v>713.23458481434011</v>
      </c>
      <c r="AT213" s="527">
        <f t="shared" si="303"/>
        <v>713.23458481434011</v>
      </c>
      <c r="AU213" s="527">
        <f t="shared" si="303"/>
        <v>713.23458481434011</v>
      </c>
      <c r="AV213" s="527">
        <f t="shared" si="303"/>
        <v>944.43856476123904</v>
      </c>
      <c r="AW213" s="527">
        <f t="shared" si="303"/>
        <v>944.43856476123904</v>
      </c>
      <c r="AX213" s="527">
        <f t="shared" ref="AX213:BY213" si="304">IFERROR(AX197*(AX$590/SUM(AX$581,AX$590)),0)</f>
        <v>944.43856476123904</v>
      </c>
      <c r="AY213" s="527">
        <f t="shared" si="304"/>
        <v>944.43856476123904</v>
      </c>
      <c r="AZ213" s="527">
        <f t="shared" si="304"/>
        <v>944.43856476123904</v>
      </c>
      <c r="BA213" s="527">
        <f t="shared" si="304"/>
        <v>944.43856476123904</v>
      </c>
      <c r="BB213" s="527">
        <f t="shared" si="304"/>
        <v>735.75924466609411</v>
      </c>
      <c r="BC213" s="527">
        <f t="shared" si="304"/>
        <v>735.75924466609411</v>
      </c>
      <c r="BD213" s="527">
        <f t="shared" si="304"/>
        <v>735.75924466609411</v>
      </c>
      <c r="BE213" s="527">
        <f t="shared" si="304"/>
        <v>735.75924466609411</v>
      </c>
      <c r="BF213" s="527">
        <f t="shared" si="304"/>
        <v>735.75924466609411</v>
      </c>
      <c r="BG213" s="527">
        <f t="shared" si="304"/>
        <v>735.75924466609411</v>
      </c>
      <c r="BH213" s="527">
        <f t="shared" si="304"/>
        <v>965.69760816101791</v>
      </c>
      <c r="BI213" s="527">
        <f t="shared" si="304"/>
        <v>965.69760816101791</v>
      </c>
      <c r="BJ213" s="527">
        <f t="shared" si="304"/>
        <v>965.69760816101791</v>
      </c>
      <c r="BK213" s="527">
        <f t="shared" si="304"/>
        <v>965.69760816101791</v>
      </c>
      <c r="BL213" s="527">
        <f t="shared" si="304"/>
        <v>965.69760816101791</v>
      </c>
      <c r="BM213" s="527">
        <f t="shared" si="304"/>
        <v>965.69760816101791</v>
      </c>
      <c r="BN213" s="527">
        <f t="shared" si="304"/>
        <v>763.1189328370981</v>
      </c>
      <c r="BO213" s="527">
        <f t="shared" si="304"/>
        <v>763.1189328370981</v>
      </c>
      <c r="BP213" s="527">
        <f t="shared" si="304"/>
        <v>763.1189328370981</v>
      </c>
      <c r="BQ213" s="527">
        <f t="shared" si="304"/>
        <v>763.1189328370981</v>
      </c>
      <c r="BR213" s="527">
        <f t="shared" si="304"/>
        <v>763.1189328370981</v>
      </c>
      <c r="BS213" s="527">
        <f t="shared" si="304"/>
        <v>763.1189328370981</v>
      </c>
      <c r="BT213" s="527">
        <f t="shared" si="304"/>
        <v>991.88034597339322</v>
      </c>
      <c r="BU213" s="527">
        <f t="shared" si="304"/>
        <v>991.88034597339322</v>
      </c>
      <c r="BV213" s="527">
        <f t="shared" si="304"/>
        <v>991.88034597339322</v>
      </c>
      <c r="BW213" s="527">
        <f t="shared" si="304"/>
        <v>991.88034597339322</v>
      </c>
      <c r="BX213" s="527">
        <f t="shared" si="304"/>
        <v>991.88034597339322</v>
      </c>
      <c r="BY213" s="527">
        <f t="shared" si="304"/>
        <v>991.88034597339322</v>
      </c>
    </row>
    <row r="214" spans="1:77" x14ac:dyDescent="0.3">
      <c r="A214" s="551"/>
      <c r="B214" s="548"/>
      <c r="C214" s="525"/>
      <c r="D214" s="525"/>
      <c r="E214" s="618" t="str">
        <f>"WSM net comm. uplift due to capex: "&amp;E$156</f>
        <v>WSM net comm. uplift due to capex: FY28 Tranche</v>
      </c>
      <c r="F214" s="525"/>
      <c r="G214" s="525"/>
      <c r="H214" s="525"/>
      <c r="I214" s="525"/>
      <c r="J214" s="525"/>
      <c r="K214" s="525"/>
      <c r="L214" s="525"/>
      <c r="M214" s="525"/>
      <c r="N214" s="525"/>
      <c r="O214" s="525"/>
      <c r="P214" s="565"/>
      <c r="Q214" s="525"/>
      <c r="R214" s="527">
        <f t="shared" ref="R214:AW214" si="305">IFERROR(R198*(R$590/SUM(R$581,R$590)),0)</f>
        <v>0</v>
      </c>
      <c r="S214" s="527">
        <f t="shared" si="305"/>
        <v>0</v>
      </c>
      <c r="T214" s="527">
        <f t="shared" si="305"/>
        <v>0</v>
      </c>
      <c r="U214" s="527">
        <f t="shared" si="305"/>
        <v>0</v>
      </c>
      <c r="V214" s="527">
        <f t="shared" si="305"/>
        <v>0</v>
      </c>
      <c r="W214" s="527">
        <f t="shared" si="305"/>
        <v>0</v>
      </c>
      <c r="X214" s="527">
        <f t="shared" si="305"/>
        <v>0</v>
      </c>
      <c r="Y214" s="527">
        <f t="shared" si="305"/>
        <v>0</v>
      </c>
      <c r="Z214" s="527">
        <f t="shared" si="305"/>
        <v>0</v>
      </c>
      <c r="AA214" s="527">
        <f t="shared" si="305"/>
        <v>0</v>
      </c>
      <c r="AB214" s="527">
        <f t="shared" si="305"/>
        <v>0</v>
      </c>
      <c r="AC214" s="527">
        <f t="shared" si="305"/>
        <v>0</v>
      </c>
      <c r="AD214" s="527">
        <f t="shared" si="305"/>
        <v>0</v>
      </c>
      <c r="AE214" s="527">
        <f t="shared" si="305"/>
        <v>0</v>
      </c>
      <c r="AF214" s="527">
        <f t="shared" si="305"/>
        <v>0</v>
      </c>
      <c r="AG214" s="527">
        <f t="shared" si="305"/>
        <v>0</v>
      </c>
      <c r="AH214" s="527">
        <f t="shared" si="305"/>
        <v>0</v>
      </c>
      <c r="AI214" s="527">
        <f t="shared" si="305"/>
        <v>0</v>
      </c>
      <c r="AJ214" s="527">
        <f t="shared" si="305"/>
        <v>923.51570532555718</v>
      </c>
      <c r="AK214" s="527">
        <f t="shared" si="305"/>
        <v>923.51570532555718</v>
      </c>
      <c r="AL214" s="527">
        <f t="shared" si="305"/>
        <v>923.51570532555718</v>
      </c>
      <c r="AM214" s="527">
        <f t="shared" si="305"/>
        <v>923.51570532555718</v>
      </c>
      <c r="AN214" s="527">
        <f t="shared" si="305"/>
        <v>923.51570532555718</v>
      </c>
      <c r="AO214" s="527">
        <f t="shared" si="305"/>
        <v>923.51570532555718</v>
      </c>
      <c r="AP214" s="527">
        <f t="shared" si="305"/>
        <v>697.10706135156659</v>
      </c>
      <c r="AQ214" s="527">
        <f t="shared" si="305"/>
        <v>697.10706135156659</v>
      </c>
      <c r="AR214" s="527">
        <f t="shared" si="305"/>
        <v>697.10706135156659</v>
      </c>
      <c r="AS214" s="527">
        <f t="shared" si="305"/>
        <v>697.10706135156659</v>
      </c>
      <c r="AT214" s="527">
        <f t="shared" si="305"/>
        <v>697.10706135156659</v>
      </c>
      <c r="AU214" s="527">
        <f t="shared" si="305"/>
        <v>697.10706135156659</v>
      </c>
      <c r="AV214" s="527">
        <f t="shared" si="305"/>
        <v>927.66594035995433</v>
      </c>
      <c r="AW214" s="527">
        <f t="shared" si="305"/>
        <v>927.66594035995433</v>
      </c>
      <c r="AX214" s="527">
        <f t="shared" ref="AX214:BY214" si="306">IFERROR(AX198*(AX$590/SUM(AX$581,AX$590)),0)</f>
        <v>927.66594035995433</v>
      </c>
      <c r="AY214" s="527">
        <f t="shared" si="306"/>
        <v>927.66594035995433</v>
      </c>
      <c r="AZ214" s="527">
        <f t="shared" si="306"/>
        <v>927.66594035995433</v>
      </c>
      <c r="BA214" s="527">
        <f t="shared" si="306"/>
        <v>927.66594035995433</v>
      </c>
      <c r="BB214" s="527">
        <f t="shared" si="306"/>
        <v>719.72000367591784</v>
      </c>
      <c r="BC214" s="527">
        <f t="shared" si="306"/>
        <v>719.72000367591784</v>
      </c>
      <c r="BD214" s="527">
        <f t="shared" si="306"/>
        <v>719.72000367591784</v>
      </c>
      <c r="BE214" s="527">
        <f t="shared" si="306"/>
        <v>719.72000367591784</v>
      </c>
      <c r="BF214" s="527">
        <f t="shared" si="306"/>
        <v>719.72000367591784</v>
      </c>
      <c r="BG214" s="527">
        <f t="shared" si="306"/>
        <v>719.72000367591784</v>
      </c>
      <c r="BH214" s="527">
        <f t="shared" si="306"/>
        <v>949.01679753123312</v>
      </c>
      <c r="BI214" s="527">
        <f t="shared" si="306"/>
        <v>949.01679753123312</v>
      </c>
      <c r="BJ214" s="527">
        <f t="shared" si="306"/>
        <v>949.01679753123312</v>
      </c>
      <c r="BK214" s="527">
        <f t="shared" si="306"/>
        <v>949.01679753123312</v>
      </c>
      <c r="BL214" s="527">
        <f t="shared" si="306"/>
        <v>949.01679753123312</v>
      </c>
      <c r="BM214" s="527">
        <f t="shared" si="306"/>
        <v>949.01679753123312</v>
      </c>
      <c r="BN214" s="527">
        <f t="shared" si="306"/>
        <v>747.16178945842182</v>
      </c>
      <c r="BO214" s="527">
        <f t="shared" si="306"/>
        <v>747.16178945842182</v>
      </c>
      <c r="BP214" s="527">
        <f t="shared" si="306"/>
        <v>747.16178945842182</v>
      </c>
      <c r="BQ214" s="527">
        <f t="shared" si="306"/>
        <v>747.16178945842182</v>
      </c>
      <c r="BR214" s="527">
        <f t="shared" si="306"/>
        <v>747.16178945842182</v>
      </c>
      <c r="BS214" s="527">
        <f t="shared" si="306"/>
        <v>747.16178945842182</v>
      </c>
      <c r="BT214" s="527">
        <f t="shared" si="306"/>
        <v>975.28491685957033</v>
      </c>
      <c r="BU214" s="527">
        <f t="shared" si="306"/>
        <v>975.28491685957033</v>
      </c>
      <c r="BV214" s="527">
        <f t="shared" si="306"/>
        <v>975.28491685957033</v>
      </c>
      <c r="BW214" s="527">
        <f t="shared" si="306"/>
        <v>975.28491685957033</v>
      </c>
      <c r="BX214" s="527">
        <f t="shared" si="306"/>
        <v>975.28491685957033</v>
      </c>
      <c r="BY214" s="527">
        <f t="shared" si="306"/>
        <v>975.28491685957033</v>
      </c>
    </row>
    <row r="215" spans="1:77" x14ac:dyDescent="0.3">
      <c r="A215" s="551"/>
      <c r="B215" s="548"/>
      <c r="C215" s="525"/>
      <c r="D215" s="525"/>
      <c r="E215" s="618" t="str">
        <f>"WSM net comm. uplift due to capex: "&amp;E$157</f>
        <v>WSM net comm. uplift due to capex: FY29 Tranche</v>
      </c>
      <c r="F215" s="525"/>
      <c r="G215" s="525"/>
      <c r="H215" s="525"/>
      <c r="I215" s="525"/>
      <c r="J215" s="525"/>
      <c r="K215" s="525"/>
      <c r="L215" s="525"/>
      <c r="M215" s="525"/>
      <c r="N215" s="525"/>
      <c r="O215" s="525"/>
      <c r="P215" s="565"/>
      <c r="Q215" s="525"/>
      <c r="R215" s="527">
        <f t="shared" ref="R215:AW215" si="307">IFERROR(R199*(R$590/SUM(R$581,R$590)),0)</f>
        <v>0</v>
      </c>
      <c r="S215" s="527">
        <f t="shared" si="307"/>
        <v>0</v>
      </c>
      <c r="T215" s="527">
        <f t="shared" si="307"/>
        <v>0</v>
      </c>
      <c r="U215" s="527">
        <f t="shared" si="307"/>
        <v>0</v>
      </c>
      <c r="V215" s="527">
        <f t="shared" si="307"/>
        <v>0</v>
      </c>
      <c r="W215" s="527">
        <f t="shared" si="307"/>
        <v>0</v>
      </c>
      <c r="X215" s="527">
        <f t="shared" si="307"/>
        <v>0</v>
      </c>
      <c r="Y215" s="527">
        <f t="shared" si="307"/>
        <v>0</v>
      </c>
      <c r="Z215" s="527">
        <f t="shared" si="307"/>
        <v>0</v>
      </c>
      <c r="AA215" s="527">
        <f t="shared" si="307"/>
        <v>0</v>
      </c>
      <c r="AB215" s="527">
        <f t="shared" si="307"/>
        <v>0</v>
      </c>
      <c r="AC215" s="527">
        <f t="shared" si="307"/>
        <v>0</v>
      </c>
      <c r="AD215" s="527">
        <f t="shared" si="307"/>
        <v>0</v>
      </c>
      <c r="AE215" s="527">
        <f t="shared" si="307"/>
        <v>0</v>
      </c>
      <c r="AF215" s="527">
        <f t="shared" si="307"/>
        <v>0</v>
      </c>
      <c r="AG215" s="527">
        <f t="shared" si="307"/>
        <v>0</v>
      </c>
      <c r="AH215" s="527">
        <f t="shared" si="307"/>
        <v>0</v>
      </c>
      <c r="AI215" s="527">
        <f t="shared" si="307"/>
        <v>0</v>
      </c>
      <c r="AJ215" s="527">
        <f t="shared" si="307"/>
        <v>0</v>
      </c>
      <c r="AK215" s="527">
        <f t="shared" si="307"/>
        <v>0</v>
      </c>
      <c r="AL215" s="527">
        <f t="shared" si="307"/>
        <v>0</v>
      </c>
      <c r="AM215" s="527">
        <f t="shared" si="307"/>
        <v>0</v>
      </c>
      <c r="AN215" s="527">
        <f t="shared" si="307"/>
        <v>0</v>
      </c>
      <c r="AO215" s="527">
        <f t="shared" si="307"/>
        <v>0</v>
      </c>
      <c r="AP215" s="527">
        <f t="shared" si="307"/>
        <v>0</v>
      </c>
      <c r="AQ215" s="527">
        <f t="shared" si="307"/>
        <v>0</v>
      </c>
      <c r="AR215" s="527">
        <f t="shared" si="307"/>
        <v>0</v>
      </c>
      <c r="AS215" s="527">
        <f t="shared" si="307"/>
        <v>0</v>
      </c>
      <c r="AT215" s="527">
        <f t="shared" si="307"/>
        <v>0</v>
      </c>
      <c r="AU215" s="527">
        <f t="shared" si="307"/>
        <v>0</v>
      </c>
      <c r="AV215" s="527">
        <f t="shared" si="307"/>
        <v>900.65209435740655</v>
      </c>
      <c r="AW215" s="527">
        <f t="shared" si="307"/>
        <v>900.65209435740655</v>
      </c>
      <c r="AX215" s="527">
        <f t="shared" ref="AX215:BY215" si="308">IFERROR(AX199*(AX$590/SUM(AX$581,AX$590)),0)</f>
        <v>900.65209435740655</v>
      </c>
      <c r="AY215" s="527">
        <f t="shared" si="308"/>
        <v>900.65209435740655</v>
      </c>
      <c r="AZ215" s="527">
        <f t="shared" si="308"/>
        <v>900.65209435740655</v>
      </c>
      <c r="BA215" s="527">
        <f t="shared" si="308"/>
        <v>900.65209435740655</v>
      </c>
      <c r="BB215" s="527">
        <f t="shared" si="308"/>
        <v>693.88733874882496</v>
      </c>
      <c r="BC215" s="527">
        <f t="shared" si="308"/>
        <v>693.88733874882496</v>
      </c>
      <c r="BD215" s="527">
        <f t="shared" si="308"/>
        <v>693.88733874882496</v>
      </c>
      <c r="BE215" s="527">
        <f t="shared" si="308"/>
        <v>693.88733874882496</v>
      </c>
      <c r="BF215" s="527">
        <f t="shared" si="308"/>
        <v>693.88733874882496</v>
      </c>
      <c r="BG215" s="527">
        <f t="shared" si="308"/>
        <v>693.88733874882496</v>
      </c>
      <c r="BH215" s="527">
        <f t="shared" si="308"/>
        <v>922.15082600705625</v>
      </c>
      <c r="BI215" s="527">
        <f t="shared" si="308"/>
        <v>922.15082600705625</v>
      </c>
      <c r="BJ215" s="527">
        <f t="shared" si="308"/>
        <v>922.15082600705625</v>
      </c>
      <c r="BK215" s="527">
        <f t="shared" si="308"/>
        <v>922.15082600705625</v>
      </c>
      <c r="BL215" s="527">
        <f t="shared" si="308"/>
        <v>922.15082600705625</v>
      </c>
      <c r="BM215" s="527">
        <f t="shared" si="308"/>
        <v>922.15082600705625</v>
      </c>
      <c r="BN215" s="527">
        <f t="shared" si="308"/>
        <v>721.46135024515968</v>
      </c>
      <c r="BO215" s="527">
        <f t="shared" si="308"/>
        <v>721.46135024515968</v>
      </c>
      <c r="BP215" s="527">
        <f t="shared" si="308"/>
        <v>721.46135024515968</v>
      </c>
      <c r="BQ215" s="527">
        <f t="shared" si="308"/>
        <v>721.46135024515968</v>
      </c>
      <c r="BR215" s="527">
        <f t="shared" si="308"/>
        <v>721.46135024515968</v>
      </c>
      <c r="BS215" s="527">
        <f t="shared" si="308"/>
        <v>721.46135024515968</v>
      </c>
      <c r="BT215" s="527">
        <f t="shared" si="308"/>
        <v>948.55646007777716</v>
      </c>
      <c r="BU215" s="527">
        <f t="shared" si="308"/>
        <v>948.55646007777716</v>
      </c>
      <c r="BV215" s="527">
        <f t="shared" si="308"/>
        <v>948.55646007777716</v>
      </c>
      <c r="BW215" s="527">
        <f t="shared" si="308"/>
        <v>948.55646007777716</v>
      </c>
      <c r="BX215" s="527">
        <f t="shared" si="308"/>
        <v>948.55646007777716</v>
      </c>
      <c r="BY215" s="527">
        <f t="shared" si="308"/>
        <v>948.55646007777716</v>
      </c>
    </row>
    <row r="216" spans="1:77" x14ac:dyDescent="0.3">
      <c r="A216" s="551"/>
      <c r="B216" s="548"/>
      <c r="C216" s="525"/>
      <c r="D216" s="525"/>
      <c r="E216" s="618" t="str">
        <f>"WSM net comm. uplift due to capex: "&amp;E$158</f>
        <v>WSM net comm. uplift due to capex: FY30 Tranche</v>
      </c>
      <c r="F216" s="525"/>
      <c r="G216" s="525"/>
      <c r="H216" s="525"/>
      <c r="I216" s="525"/>
      <c r="J216" s="525"/>
      <c r="K216" s="525"/>
      <c r="L216" s="525"/>
      <c r="M216" s="525"/>
      <c r="N216" s="525"/>
      <c r="O216" s="525"/>
      <c r="P216" s="565"/>
      <c r="Q216" s="525"/>
      <c r="R216" s="527">
        <f t="shared" ref="R216:AW216" si="309">IFERROR(R200*(R$590/SUM(R$581,R$590)),0)</f>
        <v>0</v>
      </c>
      <c r="S216" s="527">
        <f t="shared" si="309"/>
        <v>0</v>
      </c>
      <c r="T216" s="527">
        <f t="shared" si="309"/>
        <v>0</v>
      </c>
      <c r="U216" s="527">
        <f t="shared" si="309"/>
        <v>0</v>
      </c>
      <c r="V216" s="527">
        <f t="shared" si="309"/>
        <v>0</v>
      </c>
      <c r="W216" s="527">
        <f t="shared" si="309"/>
        <v>0</v>
      </c>
      <c r="X216" s="527">
        <f t="shared" si="309"/>
        <v>0</v>
      </c>
      <c r="Y216" s="527">
        <f t="shared" si="309"/>
        <v>0</v>
      </c>
      <c r="Z216" s="527">
        <f t="shared" si="309"/>
        <v>0</v>
      </c>
      <c r="AA216" s="527">
        <f t="shared" si="309"/>
        <v>0</v>
      </c>
      <c r="AB216" s="527">
        <f t="shared" si="309"/>
        <v>0</v>
      </c>
      <c r="AC216" s="527">
        <f t="shared" si="309"/>
        <v>0</v>
      </c>
      <c r="AD216" s="527">
        <f t="shared" si="309"/>
        <v>0</v>
      </c>
      <c r="AE216" s="527">
        <f t="shared" si="309"/>
        <v>0</v>
      </c>
      <c r="AF216" s="527">
        <f t="shared" si="309"/>
        <v>0</v>
      </c>
      <c r="AG216" s="527">
        <f t="shared" si="309"/>
        <v>0</v>
      </c>
      <c r="AH216" s="527">
        <f t="shared" si="309"/>
        <v>0</v>
      </c>
      <c r="AI216" s="527">
        <f t="shared" si="309"/>
        <v>0</v>
      </c>
      <c r="AJ216" s="527">
        <f t="shared" si="309"/>
        <v>0</v>
      </c>
      <c r="AK216" s="527">
        <f t="shared" si="309"/>
        <v>0</v>
      </c>
      <c r="AL216" s="527">
        <f t="shared" si="309"/>
        <v>0</v>
      </c>
      <c r="AM216" s="527">
        <f t="shared" si="309"/>
        <v>0</v>
      </c>
      <c r="AN216" s="527">
        <f t="shared" si="309"/>
        <v>0</v>
      </c>
      <c r="AO216" s="527">
        <f t="shared" si="309"/>
        <v>0</v>
      </c>
      <c r="AP216" s="527">
        <f t="shared" si="309"/>
        <v>0</v>
      </c>
      <c r="AQ216" s="527">
        <f t="shared" si="309"/>
        <v>0</v>
      </c>
      <c r="AR216" s="527">
        <f t="shared" si="309"/>
        <v>0</v>
      </c>
      <c r="AS216" s="527">
        <f t="shared" si="309"/>
        <v>0</v>
      </c>
      <c r="AT216" s="527">
        <f t="shared" si="309"/>
        <v>0</v>
      </c>
      <c r="AU216" s="527">
        <f t="shared" si="309"/>
        <v>0</v>
      </c>
      <c r="AV216" s="527">
        <f t="shared" si="309"/>
        <v>0</v>
      </c>
      <c r="AW216" s="527">
        <f t="shared" si="309"/>
        <v>0</v>
      </c>
      <c r="AX216" s="527">
        <f t="shared" ref="AX216:BY216" si="310">IFERROR(AX200*(AX$590/SUM(AX$581,AX$590)),0)</f>
        <v>0</v>
      </c>
      <c r="AY216" s="527">
        <f t="shared" si="310"/>
        <v>0</v>
      </c>
      <c r="AZ216" s="527">
        <f t="shared" si="310"/>
        <v>0</v>
      </c>
      <c r="BA216" s="527">
        <f t="shared" si="310"/>
        <v>0</v>
      </c>
      <c r="BB216" s="527">
        <f t="shared" si="310"/>
        <v>0</v>
      </c>
      <c r="BC216" s="527">
        <f t="shared" si="310"/>
        <v>0</v>
      </c>
      <c r="BD216" s="527">
        <f t="shared" si="310"/>
        <v>0</v>
      </c>
      <c r="BE216" s="527">
        <f t="shared" si="310"/>
        <v>0</v>
      </c>
      <c r="BF216" s="527">
        <f t="shared" si="310"/>
        <v>0</v>
      </c>
      <c r="BG216" s="527">
        <f t="shared" si="310"/>
        <v>0</v>
      </c>
      <c r="BH216" s="527">
        <f t="shared" si="310"/>
        <v>879.08010279523546</v>
      </c>
      <c r="BI216" s="527">
        <f t="shared" si="310"/>
        <v>879.08010279523546</v>
      </c>
      <c r="BJ216" s="527">
        <f t="shared" si="310"/>
        <v>879.08010279523546</v>
      </c>
      <c r="BK216" s="527">
        <f t="shared" si="310"/>
        <v>879.08010279523546</v>
      </c>
      <c r="BL216" s="527">
        <f t="shared" si="310"/>
        <v>879.08010279523546</v>
      </c>
      <c r="BM216" s="527">
        <f t="shared" si="310"/>
        <v>879.08010279523546</v>
      </c>
      <c r="BN216" s="527">
        <f t="shared" si="310"/>
        <v>680.2591736262907</v>
      </c>
      <c r="BO216" s="527">
        <f t="shared" si="310"/>
        <v>680.2591736262907</v>
      </c>
      <c r="BP216" s="527">
        <f t="shared" si="310"/>
        <v>680.2591736262907</v>
      </c>
      <c r="BQ216" s="527">
        <f t="shared" si="310"/>
        <v>680.2591736262907</v>
      </c>
      <c r="BR216" s="527">
        <f t="shared" si="310"/>
        <v>680.2591736262907</v>
      </c>
      <c r="BS216" s="527">
        <f t="shared" si="310"/>
        <v>680.2591736262907</v>
      </c>
      <c r="BT216" s="527">
        <f t="shared" si="310"/>
        <v>905.70619639415384</v>
      </c>
      <c r="BU216" s="527">
        <f t="shared" si="310"/>
        <v>905.70619639415384</v>
      </c>
      <c r="BV216" s="527">
        <f t="shared" si="310"/>
        <v>905.70619639415384</v>
      </c>
      <c r="BW216" s="527">
        <f t="shared" si="310"/>
        <v>905.70619639415384</v>
      </c>
      <c r="BX216" s="527">
        <f t="shared" si="310"/>
        <v>905.70619639415384</v>
      </c>
      <c r="BY216" s="527">
        <f t="shared" si="310"/>
        <v>905.70619639415384</v>
      </c>
    </row>
    <row r="217" spans="1:77" x14ac:dyDescent="0.3">
      <c r="A217" s="551"/>
      <c r="B217" s="548"/>
      <c r="C217" s="525"/>
      <c r="D217" s="525"/>
      <c r="E217" s="618" t="str">
        <f>"WSM net comm. uplift due to capex: "&amp;E$159</f>
        <v>WSM net comm. uplift due to capex: FY31 Tranche</v>
      </c>
      <c r="F217" s="525"/>
      <c r="G217" s="525"/>
      <c r="H217" s="525"/>
      <c r="I217" s="525"/>
      <c r="J217" s="525"/>
      <c r="K217" s="525"/>
      <c r="L217" s="525"/>
      <c r="M217" s="525"/>
      <c r="N217" s="525"/>
      <c r="O217" s="525"/>
      <c r="P217" s="565"/>
      <c r="Q217" s="525"/>
      <c r="R217" s="527">
        <f t="shared" ref="R217:AW217" si="311">IFERROR(R201*(R$590/SUM(R$581,R$590)),0)</f>
        <v>0</v>
      </c>
      <c r="S217" s="527">
        <f t="shared" si="311"/>
        <v>0</v>
      </c>
      <c r="T217" s="527">
        <f t="shared" si="311"/>
        <v>0</v>
      </c>
      <c r="U217" s="527">
        <f t="shared" si="311"/>
        <v>0</v>
      </c>
      <c r="V217" s="527">
        <f t="shared" si="311"/>
        <v>0</v>
      </c>
      <c r="W217" s="527">
        <f t="shared" si="311"/>
        <v>0</v>
      </c>
      <c r="X217" s="527">
        <f t="shared" si="311"/>
        <v>0</v>
      </c>
      <c r="Y217" s="527">
        <f t="shared" si="311"/>
        <v>0</v>
      </c>
      <c r="Z217" s="527">
        <f t="shared" si="311"/>
        <v>0</v>
      </c>
      <c r="AA217" s="527">
        <f t="shared" si="311"/>
        <v>0</v>
      </c>
      <c r="AB217" s="527">
        <f t="shared" si="311"/>
        <v>0</v>
      </c>
      <c r="AC217" s="527">
        <f t="shared" si="311"/>
        <v>0</v>
      </c>
      <c r="AD217" s="527">
        <f t="shared" si="311"/>
        <v>0</v>
      </c>
      <c r="AE217" s="527">
        <f t="shared" si="311"/>
        <v>0</v>
      </c>
      <c r="AF217" s="527">
        <f t="shared" si="311"/>
        <v>0</v>
      </c>
      <c r="AG217" s="527">
        <f t="shared" si="311"/>
        <v>0</v>
      </c>
      <c r="AH217" s="527">
        <f t="shared" si="311"/>
        <v>0</v>
      </c>
      <c r="AI217" s="527">
        <f t="shared" si="311"/>
        <v>0</v>
      </c>
      <c r="AJ217" s="527">
        <f t="shared" si="311"/>
        <v>0</v>
      </c>
      <c r="AK217" s="527">
        <f t="shared" si="311"/>
        <v>0</v>
      </c>
      <c r="AL217" s="527">
        <f t="shared" si="311"/>
        <v>0</v>
      </c>
      <c r="AM217" s="527">
        <f t="shared" si="311"/>
        <v>0</v>
      </c>
      <c r="AN217" s="527">
        <f t="shared" si="311"/>
        <v>0</v>
      </c>
      <c r="AO217" s="527">
        <f t="shared" si="311"/>
        <v>0</v>
      </c>
      <c r="AP217" s="527">
        <f t="shared" si="311"/>
        <v>0</v>
      </c>
      <c r="AQ217" s="527">
        <f t="shared" si="311"/>
        <v>0</v>
      </c>
      <c r="AR217" s="527">
        <f t="shared" si="311"/>
        <v>0</v>
      </c>
      <c r="AS217" s="527">
        <f t="shared" si="311"/>
        <v>0</v>
      </c>
      <c r="AT217" s="527">
        <f t="shared" si="311"/>
        <v>0</v>
      </c>
      <c r="AU217" s="527">
        <f t="shared" si="311"/>
        <v>0</v>
      </c>
      <c r="AV217" s="527">
        <f t="shared" si="311"/>
        <v>0</v>
      </c>
      <c r="AW217" s="527">
        <f t="shared" si="311"/>
        <v>0</v>
      </c>
      <c r="AX217" s="527">
        <f t="shared" ref="AX217:BY217" si="312">IFERROR(AX201*(AX$590/SUM(AX$581,AX$590)),0)</f>
        <v>0</v>
      </c>
      <c r="AY217" s="527">
        <f t="shared" si="312"/>
        <v>0</v>
      </c>
      <c r="AZ217" s="527">
        <f t="shared" si="312"/>
        <v>0</v>
      </c>
      <c r="BA217" s="527">
        <f t="shared" si="312"/>
        <v>0</v>
      </c>
      <c r="BB217" s="527">
        <f t="shared" si="312"/>
        <v>0</v>
      </c>
      <c r="BC217" s="527">
        <f t="shared" si="312"/>
        <v>0</v>
      </c>
      <c r="BD217" s="527">
        <f t="shared" si="312"/>
        <v>0</v>
      </c>
      <c r="BE217" s="527">
        <f t="shared" si="312"/>
        <v>0</v>
      </c>
      <c r="BF217" s="527">
        <f t="shared" si="312"/>
        <v>0</v>
      </c>
      <c r="BG217" s="527">
        <f t="shared" si="312"/>
        <v>0</v>
      </c>
      <c r="BH217" s="527">
        <f t="shared" si="312"/>
        <v>0</v>
      </c>
      <c r="BI217" s="527">
        <f t="shared" si="312"/>
        <v>0</v>
      </c>
      <c r="BJ217" s="527">
        <f t="shared" si="312"/>
        <v>0</v>
      </c>
      <c r="BK217" s="527">
        <f t="shared" si="312"/>
        <v>0</v>
      </c>
      <c r="BL217" s="527">
        <f t="shared" si="312"/>
        <v>0</v>
      </c>
      <c r="BM217" s="527">
        <f t="shared" si="312"/>
        <v>0</v>
      </c>
      <c r="BN217" s="527">
        <f t="shared" si="312"/>
        <v>0</v>
      </c>
      <c r="BO217" s="527">
        <f t="shared" si="312"/>
        <v>0</v>
      </c>
      <c r="BP217" s="527">
        <f t="shared" si="312"/>
        <v>0</v>
      </c>
      <c r="BQ217" s="527">
        <f t="shared" si="312"/>
        <v>0</v>
      </c>
      <c r="BR217" s="527">
        <f t="shared" si="312"/>
        <v>0</v>
      </c>
      <c r="BS217" s="527">
        <f t="shared" si="312"/>
        <v>0</v>
      </c>
      <c r="BT217" s="527">
        <f t="shared" si="312"/>
        <v>857.35459864485767</v>
      </c>
      <c r="BU217" s="527">
        <f t="shared" si="312"/>
        <v>857.35459864485767</v>
      </c>
      <c r="BV217" s="527">
        <f t="shared" si="312"/>
        <v>857.35459864485767</v>
      </c>
      <c r="BW217" s="527">
        <f t="shared" si="312"/>
        <v>857.35459864485767</v>
      </c>
      <c r="BX217" s="527">
        <f t="shared" si="312"/>
        <v>857.35459864485767</v>
      </c>
      <c r="BY217" s="527">
        <f t="shared" si="312"/>
        <v>857.35459864485767</v>
      </c>
    </row>
    <row r="218" spans="1:77" x14ac:dyDescent="0.3">
      <c r="A218" s="551"/>
      <c r="B218" s="548"/>
      <c r="C218" s="525"/>
      <c r="D218" s="525"/>
      <c r="E218" s="618" t="str">
        <f>"WSM net comm. uplift due to capex: "&amp;E$160</f>
        <v>WSM net comm. uplift due to capex: Uninvested Tranche</v>
      </c>
      <c r="F218" s="525"/>
      <c r="G218" s="525"/>
      <c r="H218" s="525"/>
      <c r="I218" s="525"/>
      <c r="J218" s="525"/>
      <c r="K218" s="525"/>
      <c r="L218" s="525"/>
      <c r="M218" s="525"/>
      <c r="N218" s="525"/>
      <c r="O218" s="525"/>
      <c r="P218" s="565"/>
      <c r="Q218" s="525"/>
      <c r="R218" s="527">
        <f t="shared" ref="R218:AW218" si="313">IFERROR(R202*(R$590/SUM(R$581,R$590)),0)</f>
        <v>0</v>
      </c>
      <c r="S218" s="527">
        <f t="shared" si="313"/>
        <v>0</v>
      </c>
      <c r="T218" s="527">
        <f t="shared" si="313"/>
        <v>0</v>
      </c>
      <c r="U218" s="527">
        <f t="shared" si="313"/>
        <v>0</v>
      </c>
      <c r="V218" s="527">
        <f t="shared" si="313"/>
        <v>0</v>
      </c>
      <c r="W218" s="527">
        <f t="shared" si="313"/>
        <v>0</v>
      </c>
      <c r="X218" s="527">
        <f t="shared" si="313"/>
        <v>0</v>
      </c>
      <c r="Y218" s="527">
        <f t="shared" si="313"/>
        <v>0</v>
      </c>
      <c r="Z218" s="527">
        <f t="shared" si="313"/>
        <v>0</v>
      </c>
      <c r="AA218" s="527">
        <f t="shared" si="313"/>
        <v>0</v>
      </c>
      <c r="AB218" s="527">
        <f t="shared" si="313"/>
        <v>0</v>
      </c>
      <c r="AC218" s="527">
        <f t="shared" si="313"/>
        <v>0</v>
      </c>
      <c r="AD218" s="527">
        <f t="shared" si="313"/>
        <v>0</v>
      </c>
      <c r="AE218" s="527">
        <f t="shared" si="313"/>
        <v>0</v>
      </c>
      <c r="AF218" s="527">
        <f t="shared" si="313"/>
        <v>0</v>
      </c>
      <c r="AG218" s="527">
        <f t="shared" si="313"/>
        <v>0</v>
      </c>
      <c r="AH218" s="527">
        <f t="shared" si="313"/>
        <v>0</v>
      </c>
      <c r="AI218" s="527">
        <f t="shared" si="313"/>
        <v>0</v>
      </c>
      <c r="AJ218" s="527">
        <f t="shared" si="313"/>
        <v>0</v>
      </c>
      <c r="AK218" s="527">
        <f t="shared" si="313"/>
        <v>0</v>
      </c>
      <c r="AL218" s="527">
        <f t="shared" si="313"/>
        <v>0</v>
      </c>
      <c r="AM218" s="527">
        <f t="shared" si="313"/>
        <v>0</v>
      </c>
      <c r="AN218" s="527">
        <f t="shared" si="313"/>
        <v>0</v>
      </c>
      <c r="AO218" s="527">
        <f t="shared" si="313"/>
        <v>0</v>
      </c>
      <c r="AP218" s="527">
        <f t="shared" si="313"/>
        <v>0</v>
      </c>
      <c r="AQ218" s="527">
        <f t="shared" si="313"/>
        <v>0</v>
      </c>
      <c r="AR218" s="527">
        <f t="shared" si="313"/>
        <v>0</v>
      </c>
      <c r="AS218" s="527">
        <f t="shared" si="313"/>
        <v>0</v>
      </c>
      <c r="AT218" s="527">
        <f t="shared" si="313"/>
        <v>0</v>
      </c>
      <c r="AU218" s="527">
        <f t="shared" si="313"/>
        <v>0</v>
      </c>
      <c r="AV218" s="527">
        <f t="shared" si="313"/>
        <v>0</v>
      </c>
      <c r="AW218" s="527">
        <f t="shared" si="313"/>
        <v>0</v>
      </c>
      <c r="AX218" s="527">
        <f t="shared" ref="AX218:BY218" si="314">IFERROR(AX202*(AX$590/SUM(AX$581,AX$590)),0)</f>
        <v>0</v>
      </c>
      <c r="AY218" s="527">
        <f t="shared" si="314"/>
        <v>0</v>
      </c>
      <c r="AZ218" s="527">
        <f t="shared" si="314"/>
        <v>0</v>
      </c>
      <c r="BA218" s="527">
        <f t="shared" si="314"/>
        <v>0</v>
      </c>
      <c r="BB218" s="527">
        <f t="shared" si="314"/>
        <v>0</v>
      </c>
      <c r="BC218" s="527">
        <f t="shared" si="314"/>
        <v>0</v>
      </c>
      <c r="BD218" s="527">
        <f t="shared" si="314"/>
        <v>0</v>
      </c>
      <c r="BE218" s="527">
        <f t="shared" si="314"/>
        <v>0</v>
      </c>
      <c r="BF218" s="527">
        <f t="shared" si="314"/>
        <v>0</v>
      </c>
      <c r="BG218" s="527">
        <f t="shared" si="314"/>
        <v>0</v>
      </c>
      <c r="BH218" s="527">
        <f t="shared" si="314"/>
        <v>0</v>
      </c>
      <c r="BI218" s="527">
        <f t="shared" si="314"/>
        <v>0</v>
      </c>
      <c r="BJ218" s="527">
        <f t="shared" si="314"/>
        <v>0</v>
      </c>
      <c r="BK218" s="527">
        <f t="shared" si="314"/>
        <v>0</v>
      </c>
      <c r="BL218" s="527">
        <f t="shared" si="314"/>
        <v>0</v>
      </c>
      <c r="BM218" s="527">
        <f t="shared" si="314"/>
        <v>0</v>
      </c>
      <c r="BN218" s="527">
        <f t="shared" si="314"/>
        <v>0</v>
      </c>
      <c r="BO218" s="527">
        <f t="shared" si="314"/>
        <v>0</v>
      </c>
      <c r="BP218" s="527">
        <f t="shared" si="314"/>
        <v>0</v>
      </c>
      <c r="BQ218" s="527">
        <f t="shared" si="314"/>
        <v>0</v>
      </c>
      <c r="BR218" s="527">
        <f t="shared" si="314"/>
        <v>0</v>
      </c>
      <c r="BS218" s="527">
        <f t="shared" si="314"/>
        <v>0</v>
      </c>
      <c r="BT218" s="527">
        <f t="shared" si="314"/>
        <v>0</v>
      </c>
      <c r="BU218" s="527">
        <f t="shared" si="314"/>
        <v>0</v>
      </c>
      <c r="BV218" s="527">
        <f t="shared" si="314"/>
        <v>0</v>
      </c>
      <c r="BW218" s="527">
        <f t="shared" si="314"/>
        <v>0</v>
      </c>
      <c r="BX218" s="527">
        <f t="shared" si="314"/>
        <v>0</v>
      </c>
      <c r="BY218" s="527">
        <f t="shared" si="314"/>
        <v>0</v>
      </c>
    </row>
    <row r="219" spans="1:77" x14ac:dyDescent="0.3">
      <c r="A219" s="551"/>
      <c r="B219" s="548"/>
      <c r="C219" s="525"/>
      <c r="D219" s="525"/>
      <c r="E219" s="572" t="s">
        <v>36</v>
      </c>
      <c r="F219" s="572"/>
      <c r="G219" s="572"/>
      <c r="H219" s="572"/>
      <c r="I219" s="572"/>
      <c r="J219" s="572"/>
      <c r="K219" s="572"/>
      <c r="L219" s="572"/>
      <c r="M219" s="572"/>
      <c r="N219" s="572"/>
      <c r="O219" s="572"/>
      <c r="P219" s="612"/>
      <c r="Q219" s="572"/>
      <c r="R219" s="532">
        <f t="shared" ref="R219:AW219" si="315">SUM(R213:R218)</f>
        <v>0</v>
      </c>
      <c r="S219" s="532">
        <f t="shared" si="315"/>
        <v>0</v>
      </c>
      <c r="T219" s="532">
        <f t="shared" si="315"/>
        <v>0</v>
      </c>
      <c r="U219" s="532">
        <f t="shared" si="315"/>
        <v>0</v>
      </c>
      <c r="V219" s="532">
        <f t="shared" si="315"/>
        <v>0</v>
      </c>
      <c r="W219" s="532">
        <f t="shared" si="315"/>
        <v>0</v>
      </c>
      <c r="X219" s="532">
        <f t="shared" si="315"/>
        <v>947.79661494420702</v>
      </c>
      <c r="Y219" s="532">
        <f t="shared" si="315"/>
        <v>947.79661494420702</v>
      </c>
      <c r="Z219" s="532">
        <f t="shared" si="315"/>
        <v>947.79661494420702</v>
      </c>
      <c r="AA219" s="532">
        <f t="shared" si="315"/>
        <v>947.79661494420702</v>
      </c>
      <c r="AB219" s="532">
        <f t="shared" si="315"/>
        <v>947.79661494420702</v>
      </c>
      <c r="AC219" s="532">
        <f t="shared" si="315"/>
        <v>947.79661494420702</v>
      </c>
      <c r="AD219" s="532">
        <f t="shared" si="315"/>
        <v>707.35033069091696</v>
      </c>
      <c r="AE219" s="532">
        <f t="shared" si="315"/>
        <v>707.35033069091696</v>
      </c>
      <c r="AF219" s="532">
        <f t="shared" si="315"/>
        <v>707.35033069091696</v>
      </c>
      <c r="AG219" s="532">
        <f t="shared" si="315"/>
        <v>707.35033069091696</v>
      </c>
      <c r="AH219" s="532">
        <f t="shared" si="315"/>
        <v>707.35033069091696</v>
      </c>
      <c r="AI219" s="532">
        <f t="shared" si="315"/>
        <v>707.35033069091696</v>
      </c>
      <c r="AJ219" s="532">
        <f t="shared" si="315"/>
        <v>1863.9396684387143</v>
      </c>
      <c r="AK219" s="532">
        <f t="shared" si="315"/>
        <v>1863.9396684387143</v>
      </c>
      <c r="AL219" s="532">
        <f t="shared" si="315"/>
        <v>1863.9396684387143</v>
      </c>
      <c r="AM219" s="532">
        <f t="shared" si="315"/>
        <v>1863.9396684387143</v>
      </c>
      <c r="AN219" s="532">
        <f t="shared" si="315"/>
        <v>1863.9396684387143</v>
      </c>
      <c r="AO219" s="532">
        <f t="shared" si="315"/>
        <v>1863.9396684387143</v>
      </c>
      <c r="AP219" s="532">
        <f t="shared" si="315"/>
        <v>1410.3416461659067</v>
      </c>
      <c r="AQ219" s="532">
        <f t="shared" si="315"/>
        <v>1410.3416461659067</v>
      </c>
      <c r="AR219" s="532">
        <f t="shared" si="315"/>
        <v>1410.3416461659067</v>
      </c>
      <c r="AS219" s="532">
        <f t="shared" si="315"/>
        <v>1410.3416461659067</v>
      </c>
      <c r="AT219" s="532">
        <f t="shared" si="315"/>
        <v>1410.3416461659067</v>
      </c>
      <c r="AU219" s="532">
        <f t="shared" si="315"/>
        <v>1410.3416461659067</v>
      </c>
      <c r="AV219" s="532">
        <f t="shared" si="315"/>
        <v>2772.7565994786</v>
      </c>
      <c r="AW219" s="532">
        <f t="shared" si="315"/>
        <v>2772.7565994786</v>
      </c>
      <c r="AX219" s="532">
        <f t="shared" ref="AX219:BY219" si="316">SUM(AX213:AX218)</f>
        <v>2772.7565994786</v>
      </c>
      <c r="AY219" s="532">
        <f t="shared" si="316"/>
        <v>2772.7565994786</v>
      </c>
      <c r="AZ219" s="532">
        <f t="shared" si="316"/>
        <v>2772.7565994786</v>
      </c>
      <c r="BA219" s="532">
        <f t="shared" si="316"/>
        <v>2772.7565994786</v>
      </c>
      <c r="BB219" s="532">
        <f t="shared" si="316"/>
        <v>2149.3665870908371</v>
      </c>
      <c r="BC219" s="532">
        <f t="shared" si="316"/>
        <v>2149.3665870908371</v>
      </c>
      <c r="BD219" s="532">
        <f t="shared" si="316"/>
        <v>2149.3665870908371</v>
      </c>
      <c r="BE219" s="532">
        <f t="shared" si="316"/>
        <v>2149.3665870908371</v>
      </c>
      <c r="BF219" s="532">
        <f t="shared" si="316"/>
        <v>2149.3665870908371</v>
      </c>
      <c r="BG219" s="532">
        <f t="shared" si="316"/>
        <v>2149.3665870908371</v>
      </c>
      <c r="BH219" s="532">
        <f t="shared" si="316"/>
        <v>3715.9453344945432</v>
      </c>
      <c r="BI219" s="532">
        <f t="shared" si="316"/>
        <v>3715.9453344945432</v>
      </c>
      <c r="BJ219" s="532">
        <f t="shared" si="316"/>
        <v>3715.9453344945432</v>
      </c>
      <c r="BK219" s="532">
        <f t="shared" si="316"/>
        <v>3715.9453344945432</v>
      </c>
      <c r="BL219" s="532">
        <f t="shared" si="316"/>
        <v>3715.9453344945432</v>
      </c>
      <c r="BM219" s="532">
        <f t="shared" si="316"/>
        <v>3715.9453344945432</v>
      </c>
      <c r="BN219" s="532">
        <f t="shared" si="316"/>
        <v>2912.0012461669703</v>
      </c>
      <c r="BO219" s="532">
        <f t="shared" si="316"/>
        <v>2912.0012461669703</v>
      </c>
      <c r="BP219" s="532">
        <f t="shared" si="316"/>
        <v>2912.0012461669703</v>
      </c>
      <c r="BQ219" s="532">
        <f t="shared" si="316"/>
        <v>2912.0012461669703</v>
      </c>
      <c r="BR219" s="532">
        <f t="shared" si="316"/>
        <v>2912.0012461669703</v>
      </c>
      <c r="BS219" s="532">
        <f t="shared" si="316"/>
        <v>2912.0012461669703</v>
      </c>
      <c r="BT219" s="532">
        <f t="shared" si="316"/>
        <v>4678.7825179497522</v>
      </c>
      <c r="BU219" s="532">
        <f t="shared" si="316"/>
        <v>4678.7825179497522</v>
      </c>
      <c r="BV219" s="532">
        <f t="shared" si="316"/>
        <v>4678.7825179497522</v>
      </c>
      <c r="BW219" s="532">
        <f t="shared" si="316"/>
        <v>4678.7825179497522</v>
      </c>
      <c r="BX219" s="532">
        <f t="shared" si="316"/>
        <v>4678.7825179497522</v>
      </c>
      <c r="BY219" s="532">
        <f t="shared" si="316"/>
        <v>4678.7825179497522</v>
      </c>
    </row>
    <row r="220" spans="1:77" x14ac:dyDescent="0.3">
      <c r="A220" s="551"/>
      <c r="B220" s="548"/>
      <c r="C220" s="525"/>
      <c r="D220" s="525"/>
      <c r="E220" s="525"/>
      <c r="F220" s="525"/>
      <c r="G220" s="525"/>
      <c r="H220" s="525"/>
      <c r="I220" s="525"/>
      <c r="J220" s="525"/>
      <c r="K220" s="525"/>
      <c r="L220" s="525"/>
      <c r="M220" s="525"/>
      <c r="N220" s="525"/>
      <c r="O220" s="525"/>
      <c r="P220" s="565"/>
      <c r="Q220" s="525"/>
      <c r="R220" s="529"/>
      <c r="S220" s="529"/>
      <c r="T220" s="529"/>
      <c r="U220" s="529"/>
      <c r="V220" s="529"/>
      <c r="W220" s="529"/>
      <c r="X220" s="529"/>
      <c r="Y220" s="529"/>
      <c r="Z220" s="529"/>
      <c r="AA220" s="529"/>
      <c r="AB220" s="529"/>
      <c r="AC220" s="529"/>
      <c r="AD220" s="529"/>
      <c r="AE220" s="529"/>
      <c r="AF220" s="529"/>
      <c r="AG220" s="529"/>
      <c r="AH220" s="529"/>
      <c r="AI220" s="529"/>
      <c r="AJ220" s="529"/>
      <c r="AK220" s="529"/>
      <c r="AL220" s="529"/>
      <c r="AM220" s="529"/>
      <c r="AN220" s="529"/>
      <c r="AO220" s="529"/>
      <c r="AP220" s="529"/>
      <c r="AQ220" s="529"/>
      <c r="AR220" s="529"/>
      <c r="AS220" s="529"/>
      <c r="AT220" s="529"/>
      <c r="AU220" s="529"/>
      <c r="AV220" s="529"/>
      <c r="AW220" s="529"/>
      <c r="AX220" s="529"/>
      <c r="AY220" s="529"/>
      <c r="AZ220" s="529"/>
      <c r="BA220" s="529"/>
      <c r="BB220" s="529"/>
      <c r="BC220" s="529"/>
      <c r="BD220" s="529"/>
      <c r="BE220" s="529"/>
      <c r="BF220" s="529"/>
      <c r="BG220" s="529"/>
      <c r="BH220" s="529"/>
      <c r="BI220" s="529"/>
      <c r="BJ220" s="529"/>
      <c r="BK220" s="529"/>
      <c r="BL220" s="529"/>
      <c r="BM220" s="529"/>
      <c r="BN220" s="529"/>
      <c r="BO220" s="529"/>
      <c r="BP220" s="529"/>
      <c r="BQ220" s="529"/>
      <c r="BR220" s="529"/>
      <c r="BS220" s="529"/>
      <c r="BT220" s="529"/>
      <c r="BU220" s="529"/>
      <c r="BV220" s="529"/>
      <c r="BW220" s="529"/>
      <c r="BX220" s="529"/>
      <c r="BY220" s="529"/>
    </row>
    <row r="221" spans="1:77" x14ac:dyDescent="0.3">
      <c r="A221" s="551"/>
      <c r="B221" s="548"/>
      <c r="C221" s="525"/>
      <c r="D221" s="525"/>
      <c r="E221" s="614" t="s">
        <v>97</v>
      </c>
      <c r="F221" s="539"/>
      <c r="G221" s="539"/>
      <c r="H221" s="539"/>
      <c r="I221" s="539"/>
      <c r="J221" s="539"/>
      <c r="K221" s="539"/>
      <c r="L221" s="539"/>
      <c r="M221" s="539"/>
      <c r="N221" s="539"/>
      <c r="O221" s="539"/>
      <c r="P221" s="615"/>
      <c r="Q221" s="539"/>
      <c r="R221" s="539"/>
      <c r="S221" s="539"/>
      <c r="T221" s="539"/>
      <c r="U221" s="539"/>
      <c r="V221" s="539"/>
      <c r="W221" s="539"/>
      <c r="X221" s="539"/>
      <c r="Y221" s="539"/>
      <c r="Z221" s="539"/>
      <c r="AA221" s="539"/>
      <c r="AB221" s="539"/>
      <c r="AC221" s="539"/>
      <c r="AD221" s="539"/>
      <c r="AE221" s="539"/>
      <c r="AF221" s="539"/>
      <c r="AG221" s="539"/>
      <c r="AH221" s="539"/>
      <c r="AI221" s="539"/>
      <c r="AJ221" s="539"/>
      <c r="AK221" s="539"/>
      <c r="AL221" s="539"/>
      <c r="AM221" s="539"/>
      <c r="AN221" s="539"/>
      <c r="AO221" s="539"/>
      <c r="AP221" s="539"/>
      <c r="AQ221" s="539"/>
      <c r="AR221" s="539"/>
      <c r="AS221" s="539"/>
      <c r="AT221" s="539"/>
      <c r="AU221" s="539"/>
      <c r="AV221" s="539"/>
      <c r="AW221" s="539"/>
      <c r="AX221" s="539"/>
      <c r="AY221" s="539"/>
      <c r="AZ221" s="539"/>
      <c r="BA221" s="539"/>
      <c r="BB221" s="539"/>
      <c r="BC221" s="539"/>
      <c r="BD221" s="539"/>
      <c r="BE221" s="539"/>
      <c r="BF221" s="539"/>
      <c r="BG221" s="539"/>
      <c r="BH221" s="539"/>
      <c r="BI221" s="539"/>
      <c r="BJ221" s="539"/>
      <c r="BK221" s="539"/>
      <c r="BL221" s="539"/>
      <c r="BM221" s="539"/>
      <c r="BN221" s="539"/>
      <c r="BO221" s="539"/>
      <c r="BP221" s="539"/>
      <c r="BQ221" s="539"/>
      <c r="BR221" s="539"/>
      <c r="BS221" s="539"/>
      <c r="BT221" s="539"/>
      <c r="BU221" s="539"/>
      <c r="BV221" s="539"/>
      <c r="BW221" s="539"/>
      <c r="BX221" s="539"/>
      <c r="BY221" s="539"/>
    </row>
    <row r="222" spans="1:77" x14ac:dyDescent="0.3">
      <c r="A222" s="551"/>
      <c r="B222" s="548"/>
      <c r="C222" s="525"/>
      <c r="D222" s="525"/>
      <c r="E222" s="525"/>
      <c r="F222" s="525"/>
      <c r="G222" s="525"/>
      <c r="H222" s="525"/>
      <c r="I222" s="525"/>
      <c r="J222" s="525"/>
      <c r="K222" s="525"/>
      <c r="L222" s="525"/>
      <c r="M222" s="525"/>
      <c r="N222" s="525"/>
      <c r="O222" s="525"/>
      <c r="P222" s="565"/>
      <c r="Q222" s="525"/>
      <c r="R222" s="525"/>
      <c r="S222" s="525"/>
      <c r="T222" s="525"/>
      <c r="U222" s="525"/>
      <c r="V222" s="525"/>
      <c r="W222" s="525"/>
      <c r="X222" s="525"/>
      <c r="Y222" s="525"/>
      <c r="Z222" s="525"/>
      <c r="AA222" s="525"/>
      <c r="AB222" s="525"/>
      <c r="AC222" s="525"/>
      <c r="AD222" s="525"/>
      <c r="AE222" s="525"/>
      <c r="AF222" s="525"/>
      <c r="AG222" s="525"/>
      <c r="AH222" s="525"/>
      <c r="AI222" s="525"/>
      <c r="AJ222" s="525"/>
      <c r="AK222" s="525"/>
      <c r="AL222" s="525"/>
      <c r="AM222" s="525"/>
      <c r="AN222" s="525"/>
      <c r="AO222" s="525"/>
      <c r="AP222" s="525"/>
      <c r="AQ222" s="525"/>
      <c r="AR222" s="525"/>
      <c r="AS222" s="525"/>
      <c r="AT222" s="525"/>
      <c r="AU222" s="525"/>
      <c r="AV222" s="525"/>
      <c r="AW222" s="525"/>
      <c r="AX222" s="525"/>
      <c r="AY222" s="525"/>
      <c r="AZ222" s="525"/>
      <c r="BA222" s="525"/>
      <c r="BB222" s="525"/>
      <c r="BC222" s="525"/>
      <c r="BD222" s="525"/>
      <c r="BE222" s="525"/>
      <c r="BF222" s="525"/>
      <c r="BG222" s="525"/>
      <c r="BH222" s="525"/>
      <c r="BI222" s="525"/>
      <c r="BJ222" s="525"/>
      <c r="BK222" s="525"/>
      <c r="BL222" s="525"/>
      <c r="BM222" s="525"/>
      <c r="BN222" s="525"/>
      <c r="BO222" s="525"/>
      <c r="BP222" s="525"/>
      <c r="BQ222" s="525"/>
      <c r="BR222" s="525"/>
      <c r="BS222" s="525"/>
      <c r="BT222" s="525"/>
      <c r="BU222" s="525"/>
      <c r="BV222" s="525"/>
      <c r="BW222" s="525"/>
      <c r="BX222" s="525"/>
      <c r="BY222" s="525"/>
    </row>
    <row r="223" spans="1:77" x14ac:dyDescent="0.3">
      <c r="A223" s="537"/>
      <c r="B223" s="525"/>
      <c r="C223" s="525"/>
      <c r="D223" s="525"/>
      <c r="E223" s="525" t="s">
        <v>98</v>
      </c>
      <c r="F223" s="525"/>
      <c r="G223" s="525"/>
      <c r="H223" s="525"/>
      <c r="I223" s="525"/>
      <c r="J223" s="525"/>
      <c r="K223" s="525"/>
      <c r="L223" s="525"/>
      <c r="M223" s="525"/>
      <c r="N223" s="525"/>
      <c r="O223" s="525"/>
      <c r="P223" s="565"/>
      <c r="Q223" s="525"/>
      <c r="R223" s="540">
        <f t="shared" ref="R223:BY223" si="317">IFERROR(R581/R576,0)</f>
        <v>0.45145195921938075</v>
      </c>
      <c r="S223" s="540">
        <f t="shared" si="317"/>
        <v>0.45145195921938075</v>
      </c>
      <c r="T223" s="540">
        <f t="shared" si="317"/>
        <v>0.45145195921938075</v>
      </c>
      <c r="U223" s="540">
        <f t="shared" si="317"/>
        <v>0.45145195921938075</v>
      </c>
      <c r="V223" s="540">
        <f t="shared" si="317"/>
        <v>0.45145195921938075</v>
      </c>
      <c r="W223" s="540">
        <f t="shared" si="317"/>
        <v>0.45145195921938075</v>
      </c>
      <c r="X223" s="540">
        <f t="shared" si="317"/>
        <v>0.45145195921938075</v>
      </c>
      <c r="Y223" s="540">
        <f t="shared" si="317"/>
        <v>0.45145195921938075</v>
      </c>
      <c r="Z223" s="540">
        <f t="shared" si="317"/>
        <v>0.45145195921938075</v>
      </c>
      <c r="AA223" s="540">
        <f t="shared" si="317"/>
        <v>0.45145195921938075</v>
      </c>
      <c r="AB223" s="540">
        <f t="shared" si="317"/>
        <v>0.45145195921938075</v>
      </c>
      <c r="AC223" s="540">
        <f t="shared" si="317"/>
        <v>0.45145195921938075</v>
      </c>
      <c r="AD223" s="540">
        <f t="shared" si="317"/>
        <v>0.45944394618768647</v>
      </c>
      <c r="AE223" s="540">
        <f t="shared" si="317"/>
        <v>0.45944394618768647</v>
      </c>
      <c r="AF223" s="540">
        <f t="shared" si="317"/>
        <v>0.45944394618768647</v>
      </c>
      <c r="AG223" s="540">
        <f t="shared" si="317"/>
        <v>0.45944394618768647</v>
      </c>
      <c r="AH223" s="540">
        <f t="shared" si="317"/>
        <v>0.45944394618768647</v>
      </c>
      <c r="AI223" s="540">
        <f t="shared" si="317"/>
        <v>0.45944394618768647</v>
      </c>
      <c r="AJ223" s="540">
        <f t="shared" si="317"/>
        <v>0.45944394618768647</v>
      </c>
      <c r="AK223" s="540">
        <f t="shared" si="317"/>
        <v>0.45944394618768647</v>
      </c>
      <c r="AL223" s="540">
        <f t="shared" si="317"/>
        <v>0.45944394618768647</v>
      </c>
      <c r="AM223" s="540">
        <f t="shared" si="317"/>
        <v>0.45944394618768647</v>
      </c>
      <c r="AN223" s="540">
        <f t="shared" si="317"/>
        <v>0.45944394618768647</v>
      </c>
      <c r="AO223" s="540">
        <f t="shared" si="317"/>
        <v>0.45944394618768647</v>
      </c>
      <c r="AP223" s="540">
        <f t="shared" si="317"/>
        <v>0.4668242219643251</v>
      </c>
      <c r="AQ223" s="540">
        <f t="shared" si="317"/>
        <v>0.4668242219643251</v>
      </c>
      <c r="AR223" s="540">
        <f t="shared" si="317"/>
        <v>0.4668242219643251</v>
      </c>
      <c r="AS223" s="540">
        <f t="shared" si="317"/>
        <v>0.4668242219643251</v>
      </c>
      <c r="AT223" s="540">
        <f t="shared" si="317"/>
        <v>0.4668242219643251</v>
      </c>
      <c r="AU223" s="540">
        <f t="shared" si="317"/>
        <v>0.4668242219643251</v>
      </c>
      <c r="AV223" s="540">
        <f t="shared" si="317"/>
        <v>0.4668242219643251</v>
      </c>
      <c r="AW223" s="540">
        <f t="shared" si="317"/>
        <v>0.4668242219643251</v>
      </c>
      <c r="AX223" s="540">
        <f t="shared" si="317"/>
        <v>0.4668242219643251</v>
      </c>
      <c r="AY223" s="540">
        <f t="shared" si="317"/>
        <v>0.4668242219643251</v>
      </c>
      <c r="AZ223" s="540">
        <f t="shared" si="317"/>
        <v>0.4668242219643251</v>
      </c>
      <c r="BA223" s="540">
        <f t="shared" si="317"/>
        <v>0.4668242219643251</v>
      </c>
      <c r="BB223" s="540">
        <f t="shared" si="317"/>
        <v>0.47357932085852289</v>
      </c>
      <c r="BC223" s="540">
        <f t="shared" si="317"/>
        <v>0.47357932085852289</v>
      </c>
      <c r="BD223" s="540">
        <f t="shared" si="317"/>
        <v>0.47357932085852289</v>
      </c>
      <c r="BE223" s="540">
        <f t="shared" si="317"/>
        <v>0.47357932085852289</v>
      </c>
      <c r="BF223" s="540">
        <f t="shared" si="317"/>
        <v>0.47357932085852289</v>
      </c>
      <c r="BG223" s="540">
        <f t="shared" si="317"/>
        <v>0.47357932085852289</v>
      </c>
      <c r="BH223" s="540">
        <f t="shared" si="317"/>
        <v>0.47357932085852289</v>
      </c>
      <c r="BI223" s="540">
        <f t="shared" si="317"/>
        <v>0.47357932085852289</v>
      </c>
      <c r="BJ223" s="540">
        <f t="shared" si="317"/>
        <v>0.47357932085852289</v>
      </c>
      <c r="BK223" s="540">
        <f t="shared" si="317"/>
        <v>0.47357932085852289</v>
      </c>
      <c r="BL223" s="540">
        <f t="shared" si="317"/>
        <v>0.47357932085852289</v>
      </c>
      <c r="BM223" s="540">
        <f t="shared" si="317"/>
        <v>0.47357932085852289</v>
      </c>
      <c r="BN223" s="540">
        <f t="shared" si="317"/>
        <v>0.48017523687425323</v>
      </c>
      <c r="BO223" s="540">
        <f t="shared" si="317"/>
        <v>0.48017523687425323</v>
      </c>
      <c r="BP223" s="540">
        <f t="shared" si="317"/>
        <v>0.48017523687425323</v>
      </c>
      <c r="BQ223" s="540">
        <f t="shared" si="317"/>
        <v>0.48017523687425323</v>
      </c>
      <c r="BR223" s="540">
        <f t="shared" si="317"/>
        <v>0.48017523687425323</v>
      </c>
      <c r="BS223" s="540">
        <f t="shared" si="317"/>
        <v>0.48017523687425323</v>
      </c>
      <c r="BT223" s="540">
        <f t="shared" si="317"/>
        <v>0.48017523687425323</v>
      </c>
      <c r="BU223" s="540">
        <f t="shared" si="317"/>
        <v>0.48017523687425323</v>
      </c>
      <c r="BV223" s="540">
        <f t="shared" si="317"/>
        <v>0.48017523687425323</v>
      </c>
      <c r="BW223" s="540">
        <f t="shared" si="317"/>
        <v>0.48017523687425323</v>
      </c>
      <c r="BX223" s="540">
        <f t="shared" si="317"/>
        <v>0.48017523687425323</v>
      </c>
      <c r="BY223" s="540">
        <f t="shared" si="317"/>
        <v>0.48017523687425323</v>
      </c>
    </row>
    <row r="224" spans="1:77" x14ac:dyDescent="0.3">
      <c r="A224" s="537"/>
      <c r="B224" s="525"/>
      <c r="C224" s="525"/>
      <c r="D224" s="525"/>
      <c r="E224" s="525" t="s">
        <v>99</v>
      </c>
      <c r="F224" s="525"/>
      <c r="G224" s="525"/>
      <c r="H224" s="525"/>
      <c r="I224" s="525"/>
      <c r="J224" s="525"/>
      <c r="K224" s="525"/>
      <c r="L224" s="525"/>
      <c r="M224" s="525"/>
      <c r="N224" s="525"/>
      <c r="O224" s="525"/>
      <c r="P224" s="565"/>
      <c r="Q224" s="525"/>
      <c r="R224" s="540">
        <f t="shared" ref="R224:BY224" si="318">IFERROR(R590/R585,0)</f>
        <v>0.39429685257600533</v>
      </c>
      <c r="S224" s="540">
        <f t="shared" si="318"/>
        <v>0.39429685257600533</v>
      </c>
      <c r="T224" s="540">
        <f t="shared" si="318"/>
        <v>0.39429685257600533</v>
      </c>
      <c r="U224" s="540">
        <f t="shared" si="318"/>
        <v>0.39429685257600533</v>
      </c>
      <c r="V224" s="540">
        <f t="shared" si="318"/>
        <v>0.39429685257600533</v>
      </c>
      <c r="W224" s="540">
        <f t="shared" si="318"/>
        <v>0.39429685257600533</v>
      </c>
      <c r="X224" s="540">
        <f t="shared" si="318"/>
        <v>0.39429685257600533</v>
      </c>
      <c r="Y224" s="540">
        <f t="shared" si="318"/>
        <v>0.39429685257600533</v>
      </c>
      <c r="Z224" s="540">
        <f t="shared" si="318"/>
        <v>0.39429685257600533</v>
      </c>
      <c r="AA224" s="540">
        <f t="shared" si="318"/>
        <v>0.39429685257600533</v>
      </c>
      <c r="AB224" s="540">
        <f t="shared" si="318"/>
        <v>0.39429685257600533</v>
      </c>
      <c r="AC224" s="540">
        <f t="shared" si="318"/>
        <v>0.39429685257600533</v>
      </c>
      <c r="AD224" s="540">
        <f t="shared" si="318"/>
        <v>0.39429685257600533</v>
      </c>
      <c r="AE224" s="540">
        <f t="shared" si="318"/>
        <v>0.39429685257600533</v>
      </c>
      <c r="AF224" s="540">
        <f t="shared" si="318"/>
        <v>0.39429685257600533</v>
      </c>
      <c r="AG224" s="540">
        <f t="shared" si="318"/>
        <v>0.39429685257600533</v>
      </c>
      <c r="AH224" s="540">
        <f t="shared" si="318"/>
        <v>0.39429685257600533</v>
      </c>
      <c r="AI224" s="540">
        <f t="shared" si="318"/>
        <v>0.39429685257600533</v>
      </c>
      <c r="AJ224" s="540">
        <f t="shared" si="318"/>
        <v>0.39429685257600533</v>
      </c>
      <c r="AK224" s="540">
        <f t="shared" si="318"/>
        <v>0.39429685257600533</v>
      </c>
      <c r="AL224" s="540">
        <f t="shared" si="318"/>
        <v>0.39429685257600533</v>
      </c>
      <c r="AM224" s="540">
        <f t="shared" si="318"/>
        <v>0.39429685257600533</v>
      </c>
      <c r="AN224" s="540">
        <f t="shared" si="318"/>
        <v>0.39429685257600533</v>
      </c>
      <c r="AO224" s="540">
        <f t="shared" si="318"/>
        <v>0.39429685257600533</v>
      </c>
      <c r="AP224" s="540">
        <f t="shared" si="318"/>
        <v>0.39429685257600533</v>
      </c>
      <c r="AQ224" s="540">
        <f t="shared" si="318"/>
        <v>0.39429685257600533</v>
      </c>
      <c r="AR224" s="540">
        <f t="shared" si="318"/>
        <v>0.39429685257600533</v>
      </c>
      <c r="AS224" s="540">
        <f t="shared" si="318"/>
        <v>0.39429685257600533</v>
      </c>
      <c r="AT224" s="540">
        <f t="shared" si="318"/>
        <v>0.39429685257600533</v>
      </c>
      <c r="AU224" s="540">
        <f t="shared" si="318"/>
        <v>0.39429685257600533</v>
      </c>
      <c r="AV224" s="540">
        <f t="shared" si="318"/>
        <v>0.39429685257600533</v>
      </c>
      <c r="AW224" s="540">
        <f t="shared" si="318"/>
        <v>0.39429685257600533</v>
      </c>
      <c r="AX224" s="540">
        <f t="shared" si="318"/>
        <v>0.39429685257600533</v>
      </c>
      <c r="AY224" s="540">
        <f t="shared" si="318"/>
        <v>0.39429685257600533</v>
      </c>
      <c r="AZ224" s="540">
        <f t="shared" si="318"/>
        <v>0.39429685257600533</v>
      </c>
      <c r="BA224" s="540">
        <f t="shared" si="318"/>
        <v>0.39429685257600533</v>
      </c>
      <c r="BB224" s="540">
        <f t="shared" si="318"/>
        <v>0.39429685257600533</v>
      </c>
      <c r="BC224" s="540">
        <f t="shared" si="318"/>
        <v>0.39429685257600533</v>
      </c>
      <c r="BD224" s="540">
        <f t="shared" si="318"/>
        <v>0.39429685257600533</v>
      </c>
      <c r="BE224" s="540">
        <f t="shared" si="318"/>
        <v>0.39429685257600533</v>
      </c>
      <c r="BF224" s="540">
        <f t="shared" si="318"/>
        <v>0.39429685257600533</v>
      </c>
      <c r="BG224" s="540">
        <f t="shared" si="318"/>
        <v>0.39429685257600533</v>
      </c>
      <c r="BH224" s="540">
        <f t="shared" si="318"/>
        <v>0.39429685257600533</v>
      </c>
      <c r="BI224" s="540">
        <f t="shared" si="318"/>
        <v>0.39429685257600533</v>
      </c>
      <c r="BJ224" s="540">
        <f t="shared" si="318"/>
        <v>0.39429685257600533</v>
      </c>
      <c r="BK224" s="540">
        <f t="shared" si="318"/>
        <v>0.39429685257600533</v>
      </c>
      <c r="BL224" s="540">
        <f t="shared" si="318"/>
        <v>0.39429685257600533</v>
      </c>
      <c r="BM224" s="540">
        <f t="shared" si="318"/>
        <v>0.39429685257600533</v>
      </c>
      <c r="BN224" s="540">
        <f t="shared" si="318"/>
        <v>0.39429685257600533</v>
      </c>
      <c r="BO224" s="540">
        <f t="shared" si="318"/>
        <v>0.39429685257600533</v>
      </c>
      <c r="BP224" s="540">
        <f t="shared" si="318"/>
        <v>0.39429685257600533</v>
      </c>
      <c r="BQ224" s="540">
        <f t="shared" si="318"/>
        <v>0.39429685257600533</v>
      </c>
      <c r="BR224" s="540">
        <f t="shared" si="318"/>
        <v>0.39429685257600533</v>
      </c>
      <c r="BS224" s="540">
        <f t="shared" si="318"/>
        <v>0.39429685257600533</v>
      </c>
      <c r="BT224" s="540">
        <f t="shared" si="318"/>
        <v>0.39429685257600533</v>
      </c>
      <c r="BU224" s="540">
        <f t="shared" si="318"/>
        <v>0.39429685257600533</v>
      </c>
      <c r="BV224" s="540">
        <f t="shared" si="318"/>
        <v>0.39429685257600533</v>
      </c>
      <c r="BW224" s="540">
        <f t="shared" si="318"/>
        <v>0.39429685257600533</v>
      </c>
      <c r="BX224" s="540">
        <f t="shared" si="318"/>
        <v>0.39429685257600533</v>
      </c>
      <c r="BY224" s="540">
        <f t="shared" si="318"/>
        <v>0.39429685257600533</v>
      </c>
    </row>
    <row r="225" spans="1:77" x14ac:dyDescent="0.3">
      <c r="A225" s="551"/>
      <c r="B225" s="548"/>
      <c r="C225" s="525"/>
      <c r="D225" s="525"/>
      <c r="E225" s="525"/>
      <c r="F225" s="525"/>
      <c r="G225" s="525"/>
      <c r="H225" s="525"/>
      <c r="I225" s="525"/>
      <c r="J225" s="525"/>
      <c r="K225" s="525"/>
      <c r="L225" s="525"/>
      <c r="M225" s="525"/>
      <c r="N225" s="525"/>
      <c r="O225" s="525"/>
      <c r="P225" s="565"/>
      <c r="Q225" s="525"/>
      <c r="R225" s="525"/>
      <c r="S225" s="525"/>
      <c r="T225" s="525"/>
      <c r="U225" s="525"/>
      <c r="V225" s="525"/>
      <c r="W225" s="525"/>
      <c r="X225" s="525"/>
      <c r="Y225" s="525"/>
      <c r="Z225" s="525"/>
      <c r="AA225" s="525"/>
      <c r="AB225" s="525"/>
      <c r="AC225" s="525"/>
      <c r="AD225" s="525"/>
      <c r="AE225" s="525"/>
      <c r="AF225" s="525"/>
      <c r="AG225" s="525"/>
      <c r="AH225" s="525"/>
      <c r="AI225" s="525"/>
      <c r="AJ225" s="525"/>
      <c r="AK225" s="525"/>
      <c r="AL225" s="525"/>
      <c r="AM225" s="525"/>
      <c r="AN225" s="525"/>
      <c r="AO225" s="525"/>
      <c r="AP225" s="525"/>
      <c r="AQ225" s="525"/>
      <c r="AR225" s="525"/>
      <c r="AS225" s="525"/>
      <c r="AT225" s="525"/>
      <c r="AU225" s="525"/>
      <c r="AV225" s="525"/>
      <c r="AW225" s="525"/>
      <c r="AX225" s="525"/>
      <c r="AY225" s="525"/>
      <c r="AZ225" s="525"/>
      <c r="BA225" s="525"/>
      <c r="BB225" s="525"/>
      <c r="BC225" s="525"/>
      <c r="BD225" s="525"/>
      <c r="BE225" s="525"/>
      <c r="BF225" s="525"/>
      <c r="BG225" s="525"/>
      <c r="BH225" s="525"/>
      <c r="BI225" s="525"/>
      <c r="BJ225" s="525"/>
      <c r="BK225" s="525"/>
      <c r="BL225" s="525"/>
      <c r="BM225" s="525"/>
      <c r="BN225" s="525"/>
      <c r="BO225" s="525"/>
      <c r="BP225" s="525"/>
      <c r="BQ225" s="525"/>
      <c r="BR225" s="525"/>
      <c r="BS225" s="525"/>
      <c r="BT225" s="525"/>
      <c r="BU225" s="525"/>
      <c r="BV225" s="525"/>
      <c r="BW225" s="525"/>
      <c r="BX225" s="525"/>
      <c r="BY225" s="525"/>
    </row>
    <row r="226" spans="1:77" x14ac:dyDescent="0.3">
      <c r="A226" s="551"/>
      <c r="B226" s="548"/>
      <c r="C226" s="525"/>
      <c r="D226" s="525"/>
      <c r="E226" s="614" t="s">
        <v>100</v>
      </c>
      <c r="F226" s="539"/>
      <c r="G226" s="539"/>
      <c r="H226" s="539"/>
      <c r="I226" s="539"/>
      <c r="J226" s="539"/>
      <c r="K226" s="539"/>
      <c r="L226" s="539"/>
      <c r="M226" s="539"/>
      <c r="N226" s="539"/>
      <c r="O226" s="539"/>
      <c r="P226" s="615"/>
      <c r="Q226" s="539"/>
      <c r="R226" s="539"/>
      <c r="S226" s="539"/>
      <c r="T226" s="539"/>
      <c r="U226" s="539"/>
      <c r="V226" s="539"/>
      <c r="W226" s="539"/>
      <c r="X226" s="539"/>
      <c r="Y226" s="539"/>
      <c r="Z226" s="539"/>
      <c r="AA226" s="539"/>
      <c r="AB226" s="539"/>
      <c r="AC226" s="539"/>
      <c r="AD226" s="539"/>
      <c r="AE226" s="539"/>
      <c r="AF226" s="539"/>
      <c r="AG226" s="539"/>
      <c r="AH226" s="539"/>
      <c r="AI226" s="539"/>
      <c r="AJ226" s="539"/>
      <c r="AK226" s="539"/>
      <c r="AL226" s="539"/>
      <c r="AM226" s="539"/>
      <c r="AN226" s="539"/>
      <c r="AO226" s="539"/>
      <c r="AP226" s="539"/>
      <c r="AQ226" s="539"/>
      <c r="AR226" s="539"/>
      <c r="AS226" s="539"/>
      <c r="AT226" s="539"/>
      <c r="AU226" s="539"/>
      <c r="AV226" s="539"/>
      <c r="AW226" s="539"/>
      <c r="AX226" s="539"/>
      <c r="AY226" s="539"/>
      <c r="AZ226" s="539"/>
      <c r="BA226" s="539"/>
      <c r="BB226" s="539"/>
      <c r="BC226" s="539"/>
      <c r="BD226" s="539"/>
      <c r="BE226" s="539"/>
      <c r="BF226" s="539"/>
      <c r="BG226" s="539"/>
      <c r="BH226" s="539"/>
      <c r="BI226" s="539"/>
      <c r="BJ226" s="539"/>
      <c r="BK226" s="539"/>
      <c r="BL226" s="539"/>
      <c r="BM226" s="539"/>
      <c r="BN226" s="539"/>
      <c r="BO226" s="539"/>
      <c r="BP226" s="539"/>
      <c r="BQ226" s="539"/>
      <c r="BR226" s="539"/>
      <c r="BS226" s="539"/>
      <c r="BT226" s="539"/>
      <c r="BU226" s="539"/>
      <c r="BV226" s="539"/>
      <c r="BW226" s="539"/>
      <c r="BX226" s="539"/>
      <c r="BY226" s="539"/>
    </row>
    <row r="227" spans="1:77" x14ac:dyDescent="0.3">
      <c r="A227" s="551"/>
      <c r="B227" s="548"/>
      <c r="C227" s="525"/>
      <c r="D227" s="525"/>
      <c r="E227" s="525"/>
      <c r="F227" s="525"/>
      <c r="G227" s="525"/>
      <c r="H227" s="525"/>
      <c r="I227" s="525"/>
      <c r="J227" s="525"/>
      <c r="K227" s="525"/>
      <c r="L227" s="525"/>
      <c r="M227" s="525"/>
      <c r="N227" s="525"/>
      <c r="O227" s="525"/>
      <c r="P227" s="565"/>
      <c r="Q227" s="525"/>
      <c r="R227" s="525"/>
      <c r="S227" s="525"/>
      <c r="T227" s="525"/>
      <c r="U227" s="525"/>
      <c r="V227" s="525"/>
      <c r="W227" s="525"/>
      <c r="X227" s="525"/>
      <c r="Y227" s="525"/>
      <c r="Z227" s="525"/>
      <c r="AA227" s="525"/>
      <c r="AB227" s="525"/>
      <c r="AC227" s="525"/>
      <c r="AD227" s="525"/>
      <c r="AE227" s="525"/>
      <c r="AF227" s="525"/>
      <c r="AG227" s="525"/>
      <c r="AH227" s="525"/>
      <c r="AI227" s="525"/>
      <c r="AJ227" s="525"/>
      <c r="AK227" s="525"/>
      <c r="AL227" s="525"/>
      <c r="AM227" s="525"/>
      <c r="AN227" s="525"/>
      <c r="AO227" s="525"/>
      <c r="AP227" s="525"/>
      <c r="AQ227" s="525"/>
      <c r="AR227" s="525"/>
      <c r="AS227" s="525"/>
      <c r="AT227" s="525"/>
      <c r="AU227" s="525"/>
      <c r="AV227" s="525"/>
      <c r="AW227" s="525"/>
      <c r="AX227" s="525"/>
      <c r="AY227" s="525"/>
      <c r="AZ227" s="525"/>
      <c r="BA227" s="525"/>
      <c r="BB227" s="525"/>
      <c r="BC227" s="525"/>
      <c r="BD227" s="525"/>
      <c r="BE227" s="525"/>
      <c r="BF227" s="525"/>
      <c r="BG227" s="525"/>
      <c r="BH227" s="525"/>
      <c r="BI227" s="525"/>
      <c r="BJ227" s="525"/>
      <c r="BK227" s="525"/>
      <c r="BL227" s="525"/>
      <c r="BM227" s="525"/>
      <c r="BN227" s="525"/>
      <c r="BO227" s="525"/>
      <c r="BP227" s="525"/>
      <c r="BQ227" s="525"/>
      <c r="BR227" s="525"/>
      <c r="BS227" s="525"/>
      <c r="BT227" s="525"/>
      <c r="BU227" s="525"/>
      <c r="BV227" s="525"/>
      <c r="BW227" s="525"/>
      <c r="BX227" s="525"/>
      <c r="BY227" s="525"/>
    </row>
    <row r="228" spans="1:77" x14ac:dyDescent="0.3">
      <c r="A228" s="537"/>
      <c r="B228" s="525"/>
      <c r="C228" s="525"/>
      <c r="D228" s="525"/>
      <c r="E228" s="525" t="s">
        <v>101</v>
      </c>
      <c r="F228" s="525"/>
      <c r="G228" s="525"/>
      <c r="H228" s="525"/>
      <c r="I228" s="525"/>
      <c r="J228" s="525"/>
      <c r="K228" s="525"/>
      <c r="L228" s="525"/>
      <c r="M228" s="525"/>
      <c r="N228" s="525"/>
      <c r="O228" s="525"/>
      <c r="P228" s="565"/>
      <c r="Q228" s="525"/>
      <c r="R228" s="540">
        <f t="shared" ref="R228:BY228" si="319">IFERROR(R577/SUM(R577,R578,R580),0)</f>
        <v>0.58303402960112871</v>
      </c>
      <c r="S228" s="540">
        <f t="shared" si="319"/>
        <v>0.58303402960112871</v>
      </c>
      <c r="T228" s="540">
        <f t="shared" si="319"/>
        <v>0.58303402960112871</v>
      </c>
      <c r="U228" s="540">
        <f t="shared" si="319"/>
        <v>0.58303402960112871</v>
      </c>
      <c r="V228" s="540">
        <f t="shared" si="319"/>
        <v>0.58303402960112871</v>
      </c>
      <c r="W228" s="540">
        <f t="shared" si="319"/>
        <v>0.58303402960112871</v>
      </c>
      <c r="X228" s="540">
        <f t="shared" si="319"/>
        <v>0.58303402960112871</v>
      </c>
      <c r="Y228" s="540">
        <f t="shared" si="319"/>
        <v>0.58303402960112871</v>
      </c>
      <c r="Z228" s="540">
        <f t="shared" si="319"/>
        <v>0.58303402960112871</v>
      </c>
      <c r="AA228" s="540">
        <f t="shared" si="319"/>
        <v>0.58303402960112871</v>
      </c>
      <c r="AB228" s="540">
        <f t="shared" si="319"/>
        <v>0.58303402960112871</v>
      </c>
      <c r="AC228" s="540">
        <f t="shared" si="319"/>
        <v>0.58303402960112871</v>
      </c>
      <c r="AD228" s="540">
        <f t="shared" si="319"/>
        <v>0.57672479753545536</v>
      </c>
      <c r="AE228" s="540">
        <f t="shared" si="319"/>
        <v>0.57672479753545536</v>
      </c>
      <c r="AF228" s="540">
        <f t="shared" si="319"/>
        <v>0.57672479753545536</v>
      </c>
      <c r="AG228" s="540">
        <f t="shared" si="319"/>
        <v>0.57672479753545536</v>
      </c>
      <c r="AH228" s="540">
        <f t="shared" si="319"/>
        <v>0.57672479753545536</v>
      </c>
      <c r="AI228" s="540">
        <f t="shared" si="319"/>
        <v>0.57672479753545536</v>
      </c>
      <c r="AJ228" s="540">
        <f t="shared" si="319"/>
        <v>0.57672479753545536</v>
      </c>
      <c r="AK228" s="540">
        <f t="shared" si="319"/>
        <v>0.57672479753545536</v>
      </c>
      <c r="AL228" s="540">
        <f t="shared" si="319"/>
        <v>0.57672479753545536</v>
      </c>
      <c r="AM228" s="540">
        <f t="shared" si="319"/>
        <v>0.57672479753545536</v>
      </c>
      <c r="AN228" s="540">
        <f t="shared" si="319"/>
        <v>0.57672479753545536</v>
      </c>
      <c r="AO228" s="540">
        <f t="shared" si="319"/>
        <v>0.57672479753545536</v>
      </c>
      <c r="AP228" s="540">
        <f t="shared" si="319"/>
        <v>0.57068891084125972</v>
      </c>
      <c r="AQ228" s="540">
        <f t="shared" si="319"/>
        <v>0.57068891084125972</v>
      </c>
      <c r="AR228" s="540">
        <f t="shared" si="319"/>
        <v>0.57068891084125972</v>
      </c>
      <c r="AS228" s="540">
        <f t="shared" si="319"/>
        <v>0.57068891084125972</v>
      </c>
      <c r="AT228" s="540">
        <f t="shared" si="319"/>
        <v>0.57068891084125972</v>
      </c>
      <c r="AU228" s="540">
        <f t="shared" si="319"/>
        <v>0.57068891084125972</v>
      </c>
      <c r="AV228" s="540">
        <f t="shared" si="319"/>
        <v>0.57068891084125972</v>
      </c>
      <c r="AW228" s="540">
        <f t="shared" si="319"/>
        <v>0.57068891084125972</v>
      </c>
      <c r="AX228" s="540">
        <f t="shared" si="319"/>
        <v>0.57068891084125972</v>
      </c>
      <c r="AY228" s="540">
        <f t="shared" si="319"/>
        <v>0.57068891084125972</v>
      </c>
      <c r="AZ228" s="540">
        <f t="shared" si="319"/>
        <v>0.57068891084125972</v>
      </c>
      <c r="BA228" s="540">
        <f t="shared" si="319"/>
        <v>0.57068891084125972</v>
      </c>
      <c r="BB228" s="540">
        <f t="shared" si="319"/>
        <v>0.56495907990534167</v>
      </c>
      <c r="BC228" s="540">
        <f t="shared" si="319"/>
        <v>0.56495907990534167</v>
      </c>
      <c r="BD228" s="540">
        <f t="shared" si="319"/>
        <v>0.56495907990534167</v>
      </c>
      <c r="BE228" s="540">
        <f t="shared" si="319"/>
        <v>0.56495907990534167</v>
      </c>
      <c r="BF228" s="540">
        <f t="shared" si="319"/>
        <v>0.56495907990534167</v>
      </c>
      <c r="BG228" s="540">
        <f t="shared" si="319"/>
        <v>0.56495907990534167</v>
      </c>
      <c r="BH228" s="540">
        <f t="shared" si="319"/>
        <v>0.56495907990534167</v>
      </c>
      <c r="BI228" s="540">
        <f t="shared" si="319"/>
        <v>0.56495907990534167</v>
      </c>
      <c r="BJ228" s="540">
        <f t="shared" si="319"/>
        <v>0.56495907990534167</v>
      </c>
      <c r="BK228" s="540">
        <f t="shared" si="319"/>
        <v>0.56495907990534167</v>
      </c>
      <c r="BL228" s="540">
        <f t="shared" si="319"/>
        <v>0.56495907990534167</v>
      </c>
      <c r="BM228" s="540">
        <f t="shared" si="319"/>
        <v>0.56495907990534167</v>
      </c>
      <c r="BN228" s="540">
        <f t="shared" si="319"/>
        <v>0.55925374487947277</v>
      </c>
      <c r="BO228" s="540">
        <f t="shared" si="319"/>
        <v>0.55925374487947277</v>
      </c>
      <c r="BP228" s="540">
        <f t="shared" si="319"/>
        <v>0.55925374487947277</v>
      </c>
      <c r="BQ228" s="540">
        <f t="shared" si="319"/>
        <v>0.55925374487947277</v>
      </c>
      <c r="BR228" s="540">
        <f t="shared" si="319"/>
        <v>0.55925374487947277</v>
      </c>
      <c r="BS228" s="540">
        <f t="shared" si="319"/>
        <v>0.55925374487947277</v>
      </c>
      <c r="BT228" s="540">
        <f t="shared" si="319"/>
        <v>0.55925374487947277</v>
      </c>
      <c r="BU228" s="540">
        <f t="shared" si="319"/>
        <v>0.55925374487947277</v>
      </c>
      <c r="BV228" s="540">
        <f t="shared" si="319"/>
        <v>0.55925374487947277</v>
      </c>
      <c r="BW228" s="540">
        <f t="shared" si="319"/>
        <v>0.55925374487947277</v>
      </c>
      <c r="BX228" s="540">
        <f t="shared" si="319"/>
        <v>0.55925374487947277</v>
      </c>
      <c r="BY228" s="540">
        <f t="shared" si="319"/>
        <v>0.55925374487947277</v>
      </c>
    </row>
    <row r="229" spans="1:77" x14ac:dyDescent="0.3">
      <c r="A229" s="537"/>
      <c r="B229" s="525"/>
      <c r="C229" s="525"/>
      <c r="D229" s="525"/>
      <c r="E229" s="525" t="s">
        <v>102</v>
      </c>
      <c r="F229" s="525"/>
      <c r="G229" s="525"/>
      <c r="H229" s="525"/>
      <c r="I229" s="525"/>
      <c r="J229" s="525"/>
      <c r="K229" s="525"/>
      <c r="L229" s="525"/>
      <c r="M229" s="525"/>
      <c r="N229" s="525"/>
      <c r="O229" s="525"/>
      <c r="P229" s="565"/>
      <c r="Q229" s="525"/>
      <c r="R229" s="540">
        <f t="shared" ref="R229:BY229" si="320">IFERROR(R578/SUM(R577,R578,R580),0)</f>
        <v>0.11325817494379839</v>
      </c>
      <c r="S229" s="540">
        <f t="shared" si="320"/>
        <v>0.11325817494379839</v>
      </c>
      <c r="T229" s="540">
        <f t="shared" si="320"/>
        <v>0.11325817494379839</v>
      </c>
      <c r="U229" s="540">
        <f t="shared" si="320"/>
        <v>0.11325817494379839</v>
      </c>
      <c r="V229" s="540">
        <f t="shared" si="320"/>
        <v>0.11325817494379839</v>
      </c>
      <c r="W229" s="540">
        <f t="shared" si="320"/>
        <v>0.11325817494379839</v>
      </c>
      <c r="X229" s="540">
        <f t="shared" si="320"/>
        <v>0.11325817494379839</v>
      </c>
      <c r="Y229" s="540">
        <f t="shared" si="320"/>
        <v>0.11325817494379839</v>
      </c>
      <c r="Z229" s="540">
        <f t="shared" si="320"/>
        <v>0.11325817494379839</v>
      </c>
      <c r="AA229" s="540">
        <f t="shared" si="320"/>
        <v>0.11325817494379839</v>
      </c>
      <c r="AB229" s="540">
        <f t="shared" si="320"/>
        <v>0.11325817494379839</v>
      </c>
      <c r="AC229" s="540">
        <f t="shared" si="320"/>
        <v>0.11325817494379839</v>
      </c>
      <c r="AD229" s="540">
        <f t="shared" si="320"/>
        <v>0.11310035501767768</v>
      </c>
      <c r="AE229" s="540">
        <f t="shared" si="320"/>
        <v>0.11310035501767768</v>
      </c>
      <c r="AF229" s="540">
        <f t="shared" si="320"/>
        <v>0.11310035501767768</v>
      </c>
      <c r="AG229" s="540">
        <f t="shared" si="320"/>
        <v>0.11310035501767768</v>
      </c>
      <c r="AH229" s="540">
        <f t="shared" si="320"/>
        <v>0.11310035501767768</v>
      </c>
      <c r="AI229" s="540">
        <f t="shared" si="320"/>
        <v>0.11310035501767768</v>
      </c>
      <c r="AJ229" s="540">
        <f t="shared" si="320"/>
        <v>0.11310035501767768</v>
      </c>
      <c r="AK229" s="540">
        <f t="shared" si="320"/>
        <v>0.11310035501767768</v>
      </c>
      <c r="AL229" s="540">
        <f t="shared" si="320"/>
        <v>0.11310035501767768</v>
      </c>
      <c r="AM229" s="540">
        <f t="shared" si="320"/>
        <v>0.11310035501767768</v>
      </c>
      <c r="AN229" s="540">
        <f t="shared" si="320"/>
        <v>0.11310035501767768</v>
      </c>
      <c r="AO229" s="540">
        <f t="shared" si="320"/>
        <v>0.11310035501767768</v>
      </c>
      <c r="AP229" s="540">
        <f t="shared" si="320"/>
        <v>0.11297230297106522</v>
      </c>
      <c r="AQ229" s="540">
        <f t="shared" si="320"/>
        <v>0.11297230297106522</v>
      </c>
      <c r="AR229" s="540">
        <f t="shared" si="320"/>
        <v>0.11297230297106522</v>
      </c>
      <c r="AS229" s="540">
        <f t="shared" si="320"/>
        <v>0.11297230297106522</v>
      </c>
      <c r="AT229" s="540">
        <f t="shared" si="320"/>
        <v>0.11297230297106522</v>
      </c>
      <c r="AU229" s="540">
        <f t="shared" si="320"/>
        <v>0.11297230297106522</v>
      </c>
      <c r="AV229" s="540">
        <f t="shared" si="320"/>
        <v>0.11297230297106522</v>
      </c>
      <c r="AW229" s="540">
        <f t="shared" si="320"/>
        <v>0.11297230297106522</v>
      </c>
      <c r="AX229" s="540">
        <f t="shared" si="320"/>
        <v>0.11297230297106522</v>
      </c>
      <c r="AY229" s="540">
        <f t="shared" si="320"/>
        <v>0.11297230297106522</v>
      </c>
      <c r="AZ229" s="540">
        <f t="shared" si="320"/>
        <v>0.11297230297106522</v>
      </c>
      <c r="BA229" s="540">
        <f t="shared" si="320"/>
        <v>0.11297230297106522</v>
      </c>
      <c r="BB229" s="540">
        <f t="shared" si="320"/>
        <v>0.11288189927803831</v>
      </c>
      <c r="BC229" s="540">
        <f t="shared" si="320"/>
        <v>0.11288189927803831</v>
      </c>
      <c r="BD229" s="540">
        <f t="shared" si="320"/>
        <v>0.11288189927803831</v>
      </c>
      <c r="BE229" s="540">
        <f t="shared" si="320"/>
        <v>0.11288189927803831</v>
      </c>
      <c r="BF229" s="540">
        <f t="shared" si="320"/>
        <v>0.11288189927803831</v>
      </c>
      <c r="BG229" s="540">
        <f t="shared" si="320"/>
        <v>0.11288189927803831</v>
      </c>
      <c r="BH229" s="540">
        <f t="shared" si="320"/>
        <v>0.11288189927803831</v>
      </c>
      <c r="BI229" s="540">
        <f t="shared" si="320"/>
        <v>0.11288189927803831</v>
      </c>
      <c r="BJ229" s="540">
        <f t="shared" si="320"/>
        <v>0.11288189927803831</v>
      </c>
      <c r="BK229" s="540">
        <f t="shared" si="320"/>
        <v>0.11288189927803831</v>
      </c>
      <c r="BL229" s="540">
        <f t="shared" si="320"/>
        <v>0.11288189927803831</v>
      </c>
      <c r="BM229" s="540">
        <f t="shared" si="320"/>
        <v>0.11288189927803831</v>
      </c>
      <c r="BN229" s="540">
        <f t="shared" si="320"/>
        <v>0.11277389902673006</v>
      </c>
      <c r="BO229" s="540">
        <f t="shared" si="320"/>
        <v>0.11277389902673006</v>
      </c>
      <c r="BP229" s="540">
        <f t="shared" si="320"/>
        <v>0.11277389902673006</v>
      </c>
      <c r="BQ229" s="540">
        <f t="shared" si="320"/>
        <v>0.11277389902673006</v>
      </c>
      <c r="BR229" s="540">
        <f t="shared" si="320"/>
        <v>0.11277389902673006</v>
      </c>
      <c r="BS229" s="540">
        <f t="shared" si="320"/>
        <v>0.11277389902673006</v>
      </c>
      <c r="BT229" s="540">
        <f t="shared" si="320"/>
        <v>0.11277389902673006</v>
      </c>
      <c r="BU229" s="540">
        <f t="shared" si="320"/>
        <v>0.11277389902673006</v>
      </c>
      <c r="BV229" s="540">
        <f t="shared" si="320"/>
        <v>0.11277389902673006</v>
      </c>
      <c r="BW229" s="540">
        <f t="shared" si="320"/>
        <v>0.11277389902673006</v>
      </c>
      <c r="BX229" s="540">
        <f t="shared" si="320"/>
        <v>0.11277389902673006</v>
      </c>
      <c r="BY229" s="540">
        <f t="shared" si="320"/>
        <v>0.11277389902673006</v>
      </c>
    </row>
    <row r="230" spans="1:77" x14ac:dyDescent="0.3">
      <c r="A230" s="537"/>
      <c r="B230" s="525"/>
      <c r="C230" s="525"/>
      <c r="D230" s="525"/>
      <c r="E230" s="525" t="s">
        <v>103</v>
      </c>
      <c r="F230" s="525"/>
      <c r="G230" s="525"/>
      <c r="H230" s="525"/>
      <c r="I230" s="525"/>
      <c r="J230" s="525"/>
      <c r="K230" s="525"/>
      <c r="L230" s="525"/>
      <c r="M230" s="525"/>
      <c r="N230" s="525"/>
      <c r="O230" s="525"/>
      <c r="P230" s="565"/>
      <c r="Q230" s="525"/>
      <c r="R230" s="540">
        <f t="shared" ref="R230:BY230" si="321">IFERROR(R580/SUM(R577,R578,R580),0)</f>
        <v>0.30370779545507298</v>
      </c>
      <c r="S230" s="540">
        <f t="shared" si="321"/>
        <v>0.30370779545507298</v>
      </c>
      <c r="T230" s="540">
        <f t="shared" si="321"/>
        <v>0.30370779545507298</v>
      </c>
      <c r="U230" s="540">
        <f t="shared" si="321"/>
        <v>0.30370779545507298</v>
      </c>
      <c r="V230" s="540">
        <f t="shared" si="321"/>
        <v>0.30370779545507298</v>
      </c>
      <c r="W230" s="540">
        <f t="shared" si="321"/>
        <v>0.30370779545507298</v>
      </c>
      <c r="X230" s="540">
        <f t="shared" si="321"/>
        <v>0.30370779545507298</v>
      </c>
      <c r="Y230" s="540">
        <f t="shared" si="321"/>
        <v>0.30370779545507298</v>
      </c>
      <c r="Z230" s="540">
        <f t="shared" si="321"/>
        <v>0.30370779545507298</v>
      </c>
      <c r="AA230" s="540">
        <f t="shared" si="321"/>
        <v>0.30370779545507298</v>
      </c>
      <c r="AB230" s="540">
        <f t="shared" si="321"/>
        <v>0.30370779545507298</v>
      </c>
      <c r="AC230" s="540">
        <f t="shared" si="321"/>
        <v>0.30370779545507298</v>
      </c>
      <c r="AD230" s="540">
        <f t="shared" si="321"/>
        <v>0.31017484744686702</v>
      </c>
      <c r="AE230" s="540">
        <f t="shared" si="321"/>
        <v>0.31017484744686702</v>
      </c>
      <c r="AF230" s="540">
        <f t="shared" si="321"/>
        <v>0.31017484744686702</v>
      </c>
      <c r="AG230" s="540">
        <f t="shared" si="321"/>
        <v>0.31017484744686702</v>
      </c>
      <c r="AH230" s="540">
        <f t="shared" si="321"/>
        <v>0.31017484744686702</v>
      </c>
      <c r="AI230" s="540">
        <f t="shared" si="321"/>
        <v>0.31017484744686702</v>
      </c>
      <c r="AJ230" s="540">
        <f t="shared" si="321"/>
        <v>0.31017484744686702</v>
      </c>
      <c r="AK230" s="540">
        <f t="shared" si="321"/>
        <v>0.31017484744686702</v>
      </c>
      <c r="AL230" s="540">
        <f t="shared" si="321"/>
        <v>0.31017484744686702</v>
      </c>
      <c r="AM230" s="540">
        <f t="shared" si="321"/>
        <v>0.31017484744686702</v>
      </c>
      <c r="AN230" s="540">
        <f t="shared" si="321"/>
        <v>0.31017484744686702</v>
      </c>
      <c r="AO230" s="540">
        <f t="shared" si="321"/>
        <v>0.31017484744686702</v>
      </c>
      <c r="AP230" s="540">
        <f t="shared" si="321"/>
        <v>0.31633878618767508</v>
      </c>
      <c r="AQ230" s="540">
        <f t="shared" si="321"/>
        <v>0.31633878618767508</v>
      </c>
      <c r="AR230" s="540">
        <f t="shared" si="321"/>
        <v>0.31633878618767508</v>
      </c>
      <c r="AS230" s="540">
        <f t="shared" si="321"/>
        <v>0.31633878618767508</v>
      </c>
      <c r="AT230" s="540">
        <f t="shared" si="321"/>
        <v>0.31633878618767508</v>
      </c>
      <c r="AU230" s="540">
        <f t="shared" si="321"/>
        <v>0.31633878618767508</v>
      </c>
      <c r="AV230" s="540">
        <f t="shared" si="321"/>
        <v>0.31633878618767508</v>
      </c>
      <c r="AW230" s="540">
        <f t="shared" si="321"/>
        <v>0.31633878618767508</v>
      </c>
      <c r="AX230" s="540">
        <f t="shared" si="321"/>
        <v>0.31633878618767508</v>
      </c>
      <c r="AY230" s="540">
        <f t="shared" si="321"/>
        <v>0.31633878618767508</v>
      </c>
      <c r="AZ230" s="540">
        <f t="shared" si="321"/>
        <v>0.31633878618767508</v>
      </c>
      <c r="BA230" s="540">
        <f t="shared" si="321"/>
        <v>0.31633878618767508</v>
      </c>
      <c r="BB230" s="540">
        <f t="shared" si="321"/>
        <v>0.32215902081662007</v>
      </c>
      <c r="BC230" s="540">
        <f t="shared" si="321"/>
        <v>0.32215902081662007</v>
      </c>
      <c r="BD230" s="540">
        <f t="shared" si="321"/>
        <v>0.32215902081662007</v>
      </c>
      <c r="BE230" s="540">
        <f t="shared" si="321"/>
        <v>0.32215902081662007</v>
      </c>
      <c r="BF230" s="540">
        <f t="shared" si="321"/>
        <v>0.32215902081662007</v>
      </c>
      <c r="BG230" s="540">
        <f t="shared" si="321"/>
        <v>0.32215902081662007</v>
      </c>
      <c r="BH230" s="540">
        <f t="shared" si="321"/>
        <v>0.32215902081662007</v>
      </c>
      <c r="BI230" s="540">
        <f t="shared" si="321"/>
        <v>0.32215902081662007</v>
      </c>
      <c r="BJ230" s="540">
        <f t="shared" si="321"/>
        <v>0.32215902081662007</v>
      </c>
      <c r="BK230" s="540">
        <f t="shared" si="321"/>
        <v>0.32215902081662007</v>
      </c>
      <c r="BL230" s="540">
        <f t="shared" si="321"/>
        <v>0.32215902081662007</v>
      </c>
      <c r="BM230" s="540">
        <f t="shared" si="321"/>
        <v>0.32215902081662007</v>
      </c>
      <c r="BN230" s="540">
        <f t="shared" si="321"/>
        <v>0.32797235609379727</v>
      </c>
      <c r="BO230" s="540">
        <f t="shared" si="321"/>
        <v>0.32797235609379727</v>
      </c>
      <c r="BP230" s="540">
        <f t="shared" si="321"/>
        <v>0.32797235609379727</v>
      </c>
      <c r="BQ230" s="540">
        <f t="shared" si="321"/>
        <v>0.32797235609379727</v>
      </c>
      <c r="BR230" s="540">
        <f t="shared" si="321"/>
        <v>0.32797235609379727</v>
      </c>
      <c r="BS230" s="540">
        <f t="shared" si="321"/>
        <v>0.32797235609379727</v>
      </c>
      <c r="BT230" s="540">
        <f t="shared" si="321"/>
        <v>0.32797235609379727</v>
      </c>
      <c r="BU230" s="540">
        <f t="shared" si="321"/>
        <v>0.32797235609379727</v>
      </c>
      <c r="BV230" s="540">
        <f t="shared" si="321"/>
        <v>0.32797235609379727</v>
      </c>
      <c r="BW230" s="540">
        <f t="shared" si="321"/>
        <v>0.32797235609379727</v>
      </c>
      <c r="BX230" s="540">
        <f t="shared" si="321"/>
        <v>0.32797235609379727</v>
      </c>
      <c r="BY230" s="540">
        <f t="shared" si="321"/>
        <v>0.32797235609379727</v>
      </c>
    </row>
    <row r="231" spans="1:77" x14ac:dyDescent="0.3">
      <c r="A231" s="537"/>
      <c r="B231" s="525"/>
      <c r="C231" s="525"/>
      <c r="D231" s="525"/>
      <c r="E231" s="525"/>
      <c r="F231" s="525"/>
      <c r="G231" s="525"/>
      <c r="H231" s="525"/>
      <c r="I231" s="525"/>
      <c r="J231" s="525"/>
      <c r="K231" s="525"/>
      <c r="L231" s="525"/>
      <c r="M231" s="525"/>
      <c r="N231" s="525"/>
      <c r="O231" s="525"/>
      <c r="P231" s="565"/>
      <c r="Q231" s="525"/>
      <c r="R231" s="525"/>
      <c r="S231" s="525"/>
      <c r="T231" s="525"/>
      <c r="U231" s="525"/>
      <c r="V231" s="525"/>
      <c r="W231" s="525"/>
      <c r="X231" s="525"/>
      <c r="Y231" s="525"/>
      <c r="Z231" s="525"/>
      <c r="AA231" s="525"/>
      <c r="AB231" s="525"/>
      <c r="AC231" s="525"/>
      <c r="AD231" s="525"/>
      <c r="AE231" s="525"/>
      <c r="AF231" s="525"/>
      <c r="AG231" s="525"/>
      <c r="AH231" s="525"/>
      <c r="AI231" s="525"/>
      <c r="AJ231" s="525"/>
      <c r="AK231" s="525"/>
      <c r="AL231" s="525"/>
      <c r="AM231" s="525"/>
      <c r="AN231" s="525"/>
      <c r="AO231" s="525"/>
      <c r="AP231" s="525"/>
      <c r="AQ231" s="525"/>
      <c r="AR231" s="525"/>
      <c r="AS231" s="525"/>
      <c r="AT231" s="525"/>
      <c r="AU231" s="525"/>
      <c r="AV231" s="525"/>
      <c r="AW231" s="525"/>
      <c r="AX231" s="525"/>
      <c r="AY231" s="525"/>
      <c r="AZ231" s="525"/>
      <c r="BA231" s="525"/>
      <c r="BB231" s="525"/>
      <c r="BC231" s="525"/>
      <c r="BD231" s="525"/>
      <c r="BE231" s="525"/>
      <c r="BF231" s="525"/>
      <c r="BG231" s="525"/>
      <c r="BH231" s="525"/>
      <c r="BI231" s="525"/>
      <c r="BJ231" s="525"/>
      <c r="BK231" s="525"/>
      <c r="BL231" s="525"/>
      <c r="BM231" s="525"/>
      <c r="BN231" s="525"/>
      <c r="BO231" s="525"/>
      <c r="BP231" s="525"/>
      <c r="BQ231" s="525"/>
      <c r="BR231" s="525"/>
      <c r="BS231" s="525"/>
      <c r="BT231" s="525"/>
      <c r="BU231" s="525"/>
      <c r="BV231" s="525"/>
      <c r="BW231" s="525"/>
      <c r="BX231" s="525"/>
      <c r="BY231" s="525"/>
    </row>
    <row r="232" spans="1:77" x14ac:dyDescent="0.3">
      <c r="A232" s="537"/>
      <c r="B232" s="525"/>
      <c r="C232" s="525"/>
      <c r="D232" s="525"/>
      <c r="E232" s="525" t="s">
        <v>104</v>
      </c>
      <c r="F232" s="525"/>
      <c r="G232" s="525"/>
      <c r="H232" s="525"/>
      <c r="I232" s="525"/>
      <c r="J232" s="525"/>
      <c r="K232" s="525"/>
      <c r="L232" s="525"/>
      <c r="M232" s="525"/>
      <c r="N232" s="525"/>
      <c r="O232" s="525"/>
      <c r="P232" s="565"/>
      <c r="Q232" s="525"/>
      <c r="R232" s="540">
        <f t="shared" ref="R232:BY232" si="322">IFERROR(R586/SUM(R586,R587,R589),0)</f>
        <v>0.84296707756403044</v>
      </c>
      <c r="S232" s="540">
        <f t="shared" si="322"/>
        <v>0.84296707756403044</v>
      </c>
      <c r="T232" s="540">
        <f t="shared" si="322"/>
        <v>0.84296707756403044</v>
      </c>
      <c r="U232" s="540">
        <f t="shared" si="322"/>
        <v>0.84296707756403044</v>
      </c>
      <c r="V232" s="540">
        <f t="shared" si="322"/>
        <v>0.84296707756403044</v>
      </c>
      <c r="W232" s="540">
        <f t="shared" si="322"/>
        <v>0.84296707756403044</v>
      </c>
      <c r="X232" s="540">
        <f t="shared" si="322"/>
        <v>0.84296707756403044</v>
      </c>
      <c r="Y232" s="540">
        <f t="shared" si="322"/>
        <v>0.84296707756403044</v>
      </c>
      <c r="Z232" s="540">
        <f t="shared" si="322"/>
        <v>0.84296707756403044</v>
      </c>
      <c r="AA232" s="540">
        <f t="shared" si="322"/>
        <v>0.84296707756403044</v>
      </c>
      <c r="AB232" s="540">
        <f t="shared" si="322"/>
        <v>0.84296707756403044</v>
      </c>
      <c r="AC232" s="540">
        <f t="shared" si="322"/>
        <v>0.84296707756403044</v>
      </c>
      <c r="AD232" s="540">
        <f t="shared" si="322"/>
        <v>0.84296707756403044</v>
      </c>
      <c r="AE232" s="540">
        <f t="shared" si="322"/>
        <v>0.84296707756403044</v>
      </c>
      <c r="AF232" s="540">
        <f t="shared" si="322"/>
        <v>0.84296707756403044</v>
      </c>
      <c r="AG232" s="540">
        <f t="shared" si="322"/>
        <v>0.84296707756403044</v>
      </c>
      <c r="AH232" s="540">
        <f t="shared" si="322"/>
        <v>0.84296707756403044</v>
      </c>
      <c r="AI232" s="540">
        <f t="shared" si="322"/>
        <v>0.84296707756403044</v>
      </c>
      <c r="AJ232" s="540">
        <f t="shared" si="322"/>
        <v>0.84296707756403044</v>
      </c>
      <c r="AK232" s="540">
        <f t="shared" si="322"/>
        <v>0.84296707756403044</v>
      </c>
      <c r="AL232" s="540">
        <f t="shared" si="322"/>
        <v>0.84296707756403044</v>
      </c>
      <c r="AM232" s="540">
        <f t="shared" si="322"/>
        <v>0.84296707756403044</v>
      </c>
      <c r="AN232" s="540">
        <f t="shared" si="322"/>
        <v>0.84296707756403044</v>
      </c>
      <c r="AO232" s="540">
        <f t="shared" si="322"/>
        <v>0.84296707756403044</v>
      </c>
      <c r="AP232" s="540">
        <f t="shared" si="322"/>
        <v>0.84296707756403044</v>
      </c>
      <c r="AQ232" s="540">
        <f t="shared" si="322"/>
        <v>0.84296707756403044</v>
      </c>
      <c r="AR232" s="540">
        <f t="shared" si="322"/>
        <v>0.84296707756403044</v>
      </c>
      <c r="AS232" s="540">
        <f t="shared" si="322"/>
        <v>0.84296707756403044</v>
      </c>
      <c r="AT232" s="540">
        <f t="shared" si="322"/>
        <v>0.84296707756403044</v>
      </c>
      <c r="AU232" s="540">
        <f t="shared" si="322"/>
        <v>0.84296707756403044</v>
      </c>
      <c r="AV232" s="540">
        <f t="shared" si="322"/>
        <v>0.84296707756403044</v>
      </c>
      <c r="AW232" s="540">
        <f t="shared" si="322"/>
        <v>0.84296707756403044</v>
      </c>
      <c r="AX232" s="540">
        <f t="shared" si="322"/>
        <v>0.84296707756403044</v>
      </c>
      <c r="AY232" s="540">
        <f t="shared" si="322"/>
        <v>0.84296707756403044</v>
      </c>
      <c r="AZ232" s="540">
        <f t="shared" si="322"/>
        <v>0.84296707756403044</v>
      </c>
      <c r="BA232" s="540">
        <f t="shared" si="322"/>
        <v>0.84296707756403044</v>
      </c>
      <c r="BB232" s="540">
        <f t="shared" si="322"/>
        <v>0.84296707756403044</v>
      </c>
      <c r="BC232" s="540">
        <f t="shared" si="322"/>
        <v>0.84296707756403044</v>
      </c>
      <c r="BD232" s="540">
        <f t="shared" si="322"/>
        <v>0.84296707756403044</v>
      </c>
      <c r="BE232" s="540">
        <f t="shared" si="322"/>
        <v>0.84296707756403044</v>
      </c>
      <c r="BF232" s="540">
        <f t="shared" si="322"/>
        <v>0.84296707756403044</v>
      </c>
      <c r="BG232" s="540">
        <f t="shared" si="322"/>
        <v>0.84296707756403044</v>
      </c>
      <c r="BH232" s="540">
        <f t="shared" si="322"/>
        <v>0.84296707756403044</v>
      </c>
      <c r="BI232" s="540">
        <f t="shared" si="322"/>
        <v>0.84296707756403044</v>
      </c>
      <c r="BJ232" s="540">
        <f t="shared" si="322"/>
        <v>0.84296707756403044</v>
      </c>
      <c r="BK232" s="540">
        <f t="shared" si="322"/>
        <v>0.84296707756403044</v>
      </c>
      <c r="BL232" s="540">
        <f t="shared" si="322"/>
        <v>0.84296707756403044</v>
      </c>
      <c r="BM232" s="540">
        <f t="shared" si="322"/>
        <v>0.84296707756403044</v>
      </c>
      <c r="BN232" s="540">
        <f t="shared" si="322"/>
        <v>0.84296707756403044</v>
      </c>
      <c r="BO232" s="540">
        <f t="shared" si="322"/>
        <v>0.84296707756403044</v>
      </c>
      <c r="BP232" s="540">
        <f t="shared" si="322"/>
        <v>0.84296707756403044</v>
      </c>
      <c r="BQ232" s="540">
        <f t="shared" si="322"/>
        <v>0.84296707756403044</v>
      </c>
      <c r="BR232" s="540">
        <f t="shared" si="322"/>
        <v>0.84296707756403044</v>
      </c>
      <c r="BS232" s="540">
        <f t="shared" si="322"/>
        <v>0.84296707756403044</v>
      </c>
      <c r="BT232" s="540">
        <f t="shared" si="322"/>
        <v>0.84296707756403044</v>
      </c>
      <c r="BU232" s="540">
        <f t="shared" si="322"/>
        <v>0.84296707756403044</v>
      </c>
      <c r="BV232" s="540">
        <f t="shared" si="322"/>
        <v>0.84296707756403044</v>
      </c>
      <c r="BW232" s="540">
        <f t="shared" si="322"/>
        <v>0.84296707756403044</v>
      </c>
      <c r="BX232" s="540">
        <f t="shared" si="322"/>
        <v>0.84296707756403044</v>
      </c>
      <c r="BY232" s="540">
        <f t="shared" si="322"/>
        <v>0.84296707756403044</v>
      </c>
    </row>
    <row r="233" spans="1:77" x14ac:dyDescent="0.3">
      <c r="A233" s="537"/>
      <c r="B233" s="525"/>
      <c r="C233" s="525"/>
      <c r="D233" s="525"/>
      <c r="E233" s="525" t="s">
        <v>105</v>
      </c>
      <c r="F233" s="525"/>
      <c r="G233" s="525"/>
      <c r="H233" s="525"/>
      <c r="I233" s="525"/>
      <c r="J233" s="525"/>
      <c r="K233" s="525"/>
      <c r="L233" s="525"/>
      <c r="M233" s="525"/>
      <c r="N233" s="525"/>
      <c r="O233" s="525"/>
      <c r="P233" s="565"/>
      <c r="Q233" s="525"/>
      <c r="R233" s="540">
        <f t="shared" ref="R233:BY233" si="323">IFERROR(R587/SUM(R586,R587,R589),0)</f>
        <v>0.11532764171170257</v>
      </c>
      <c r="S233" s="540">
        <f t="shared" si="323"/>
        <v>0.11532764171170257</v>
      </c>
      <c r="T233" s="540">
        <f t="shared" si="323"/>
        <v>0.11532764171170257</v>
      </c>
      <c r="U233" s="540">
        <f t="shared" si="323"/>
        <v>0.11532764171170257</v>
      </c>
      <c r="V233" s="540">
        <f t="shared" si="323"/>
        <v>0.11532764171170257</v>
      </c>
      <c r="W233" s="540">
        <f t="shared" si="323"/>
        <v>0.11532764171170257</v>
      </c>
      <c r="X233" s="540">
        <f t="shared" si="323"/>
        <v>0.11532764171170257</v>
      </c>
      <c r="Y233" s="540">
        <f t="shared" si="323"/>
        <v>0.11532764171170257</v>
      </c>
      <c r="Z233" s="540">
        <f t="shared" si="323"/>
        <v>0.11532764171170257</v>
      </c>
      <c r="AA233" s="540">
        <f t="shared" si="323"/>
        <v>0.11532764171170257</v>
      </c>
      <c r="AB233" s="540">
        <f t="shared" si="323"/>
        <v>0.11532764171170257</v>
      </c>
      <c r="AC233" s="540">
        <f t="shared" si="323"/>
        <v>0.11532764171170257</v>
      </c>
      <c r="AD233" s="540">
        <f t="shared" si="323"/>
        <v>0.11532764171170257</v>
      </c>
      <c r="AE233" s="540">
        <f t="shared" si="323"/>
        <v>0.11532764171170257</v>
      </c>
      <c r="AF233" s="540">
        <f t="shared" si="323"/>
        <v>0.11532764171170257</v>
      </c>
      <c r="AG233" s="540">
        <f t="shared" si="323"/>
        <v>0.11532764171170257</v>
      </c>
      <c r="AH233" s="540">
        <f t="shared" si="323"/>
        <v>0.11532764171170257</v>
      </c>
      <c r="AI233" s="540">
        <f t="shared" si="323"/>
        <v>0.11532764171170257</v>
      </c>
      <c r="AJ233" s="540">
        <f t="shared" si="323"/>
        <v>0.11532764171170257</v>
      </c>
      <c r="AK233" s="540">
        <f t="shared" si="323"/>
        <v>0.11532764171170257</v>
      </c>
      <c r="AL233" s="540">
        <f t="shared" si="323"/>
        <v>0.11532764171170257</v>
      </c>
      <c r="AM233" s="540">
        <f t="shared" si="323"/>
        <v>0.11532764171170257</v>
      </c>
      <c r="AN233" s="540">
        <f t="shared" si="323"/>
        <v>0.11532764171170257</v>
      </c>
      <c r="AO233" s="540">
        <f t="shared" si="323"/>
        <v>0.11532764171170257</v>
      </c>
      <c r="AP233" s="540">
        <f t="shared" si="323"/>
        <v>0.11532764171170257</v>
      </c>
      <c r="AQ233" s="540">
        <f t="shared" si="323"/>
        <v>0.11532764171170257</v>
      </c>
      <c r="AR233" s="540">
        <f t="shared" si="323"/>
        <v>0.11532764171170257</v>
      </c>
      <c r="AS233" s="540">
        <f t="shared" si="323"/>
        <v>0.11532764171170257</v>
      </c>
      <c r="AT233" s="540">
        <f t="shared" si="323"/>
        <v>0.11532764171170257</v>
      </c>
      <c r="AU233" s="540">
        <f t="shared" si="323"/>
        <v>0.11532764171170257</v>
      </c>
      <c r="AV233" s="540">
        <f t="shared" si="323"/>
        <v>0.11532764171170257</v>
      </c>
      <c r="AW233" s="540">
        <f t="shared" si="323"/>
        <v>0.11532764171170257</v>
      </c>
      <c r="AX233" s="540">
        <f t="shared" si="323"/>
        <v>0.11532764171170257</v>
      </c>
      <c r="AY233" s="540">
        <f t="shared" si="323"/>
        <v>0.11532764171170257</v>
      </c>
      <c r="AZ233" s="540">
        <f t="shared" si="323"/>
        <v>0.11532764171170257</v>
      </c>
      <c r="BA233" s="540">
        <f t="shared" si="323"/>
        <v>0.11532764171170257</v>
      </c>
      <c r="BB233" s="540">
        <f t="shared" si="323"/>
        <v>0.11532764171170257</v>
      </c>
      <c r="BC233" s="540">
        <f t="shared" si="323"/>
        <v>0.11532764171170257</v>
      </c>
      <c r="BD233" s="540">
        <f t="shared" si="323"/>
        <v>0.11532764171170257</v>
      </c>
      <c r="BE233" s="540">
        <f t="shared" si="323"/>
        <v>0.11532764171170257</v>
      </c>
      <c r="BF233" s="540">
        <f t="shared" si="323"/>
        <v>0.11532764171170257</v>
      </c>
      <c r="BG233" s="540">
        <f t="shared" si="323"/>
        <v>0.11532764171170257</v>
      </c>
      <c r="BH233" s="540">
        <f t="shared" si="323"/>
        <v>0.11532764171170257</v>
      </c>
      <c r="BI233" s="540">
        <f t="shared" si="323"/>
        <v>0.11532764171170257</v>
      </c>
      <c r="BJ233" s="540">
        <f t="shared" si="323"/>
        <v>0.11532764171170257</v>
      </c>
      <c r="BK233" s="540">
        <f t="shared" si="323"/>
        <v>0.11532764171170257</v>
      </c>
      <c r="BL233" s="540">
        <f t="shared" si="323"/>
        <v>0.11532764171170257</v>
      </c>
      <c r="BM233" s="540">
        <f t="shared" si="323"/>
        <v>0.11532764171170257</v>
      </c>
      <c r="BN233" s="540">
        <f t="shared" si="323"/>
        <v>0.11532764171170257</v>
      </c>
      <c r="BO233" s="540">
        <f t="shared" si="323"/>
        <v>0.11532764171170257</v>
      </c>
      <c r="BP233" s="540">
        <f t="shared" si="323"/>
        <v>0.11532764171170257</v>
      </c>
      <c r="BQ233" s="540">
        <f t="shared" si="323"/>
        <v>0.11532764171170257</v>
      </c>
      <c r="BR233" s="540">
        <f t="shared" si="323"/>
        <v>0.11532764171170257</v>
      </c>
      <c r="BS233" s="540">
        <f t="shared" si="323"/>
        <v>0.11532764171170257</v>
      </c>
      <c r="BT233" s="540">
        <f t="shared" si="323"/>
        <v>0.11532764171170257</v>
      </c>
      <c r="BU233" s="540">
        <f t="shared" si="323"/>
        <v>0.11532764171170257</v>
      </c>
      <c r="BV233" s="540">
        <f t="shared" si="323"/>
        <v>0.11532764171170257</v>
      </c>
      <c r="BW233" s="540">
        <f t="shared" si="323"/>
        <v>0.11532764171170257</v>
      </c>
      <c r="BX233" s="540">
        <f t="shared" si="323"/>
        <v>0.11532764171170257</v>
      </c>
      <c r="BY233" s="540">
        <f t="shared" si="323"/>
        <v>0.11532764171170257</v>
      </c>
    </row>
    <row r="234" spans="1:77" x14ac:dyDescent="0.3">
      <c r="A234" s="537"/>
      <c r="B234" s="525"/>
      <c r="C234" s="525"/>
      <c r="D234" s="525"/>
      <c r="E234" s="525" t="s">
        <v>106</v>
      </c>
      <c r="F234" s="525"/>
      <c r="G234" s="525"/>
      <c r="H234" s="525"/>
      <c r="I234" s="525"/>
      <c r="J234" s="525"/>
      <c r="K234" s="525"/>
      <c r="L234" s="525"/>
      <c r="M234" s="525"/>
      <c r="N234" s="525"/>
      <c r="O234" s="525"/>
      <c r="P234" s="565"/>
      <c r="Q234" s="525"/>
      <c r="R234" s="540">
        <f t="shared" ref="R234:BY234" si="324">IFERROR(R589/SUM(R586,R587,R589),0)</f>
        <v>4.1705280724266942E-2</v>
      </c>
      <c r="S234" s="540">
        <f t="shared" si="324"/>
        <v>4.1705280724266942E-2</v>
      </c>
      <c r="T234" s="540">
        <f t="shared" si="324"/>
        <v>4.1705280724266942E-2</v>
      </c>
      <c r="U234" s="540">
        <f t="shared" si="324"/>
        <v>4.1705280724266942E-2</v>
      </c>
      <c r="V234" s="540">
        <f t="shared" si="324"/>
        <v>4.1705280724266942E-2</v>
      </c>
      <c r="W234" s="540">
        <f t="shared" si="324"/>
        <v>4.1705280724266942E-2</v>
      </c>
      <c r="X234" s="540">
        <f t="shared" si="324"/>
        <v>4.1705280724266942E-2</v>
      </c>
      <c r="Y234" s="540">
        <f t="shared" si="324"/>
        <v>4.1705280724266942E-2</v>
      </c>
      <c r="Z234" s="540">
        <f t="shared" si="324"/>
        <v>4.1705280724266942E-2</v>
      </c>
      <c r="AA234" s="540">
        <f t="shared" si="324"/>
        <v>4.1705280724266942E-2</v>
      </c>
      <c r="AB234" s="540">
        <f t="shared" si="324"/>
        <v>4.1705280724266942E-2</v>
      </c>
      <c r="AC234" s="540">
        <f t="shared" si="324"/>
        <v>4.1705280724266942E-2</v>
      </c>
      <c r="AD234" s="540">
        <f t="shared" si="324"/>
        <v>4.1705280724266942E-2</v>
      </c>
      <c r="AE234" s="540">
        <f t="shared" si="324"/>
        <v>4.1705280724266942E-2</v>
      </c>
      <c r="AF234" s="540">
        <f t="shared" si="324"/>
        <v>4.1705280724266942E-2</v>
      </c>
      <c r="AG234" s="540">
        <f t="shared" si="324"/>
        <v>4.1705280724266942E-2</v>
      </c>
      <c r="AH234" s="540">
        <f t="shared" si="324"/>
        <v>4.1705280724266942E-2</v>
      </c>
      <c r="AI234" s="540">
        <f t="shared" si="324"/>
        <v>4.1705280724266942E-2</v>
      </c>
      <c r="AJ234" s="540">
        <f t="shared" si="324"/>
        <v>4.1705280724266942E-2</v>
      </c>
      <c r="AK234" s="540">
        <f t="shared" si="324"/>
        <v>4.1705280724266942E-2</v>
      </c>
      <c r="AL234" s="540">
        <f t="shared" si="324"/>
        <v>4.1705280724266942E-2</v>
      </c>
      <c r="AM234" s="540">
        <f t="shared" si="324"/>
        <v>4.1705280724266942E-2</v>
      </c>
      <c r="AN234" s="540">
        <f t="shared" si="324"/>
        <v>4.1705280724266942E-2</v>
      </c>
      <c r="AO234" s="540">
        <f t="shared" si="324"/>
        <v>4.1705280724266942E-2</v>
      </c>
      <c r="AP234" s="540">
        <f t="shared" si="324"/>
        <v>4.1705280724266942E-2</v>
      </c>
      <c r="AQ234" s="540">
        <f t="shared" si="324"/>
        <v>4.1705280724266942E-2</v>
      </c>
      <c r="AR234" s="540">
        <f t="shared" si="324"/>
        <v>4.1705280724266942E-2</v>
      </c>
      <c r="AS234" s="540">
        <f t="shared" si="324"/>
        <v>4.1705280724266942E-2</v>
      </c>
      <c r="AT234" s="540">
        <f t="shared" si="324"/>
        <v>4.1705280724266942E-2</v>
      </c>
      <c r="AU234" s="540">
        <f t="shared" si="324"/>
        <v>4.1705280724266942E-2</v>
      </c>
      <c r="AV234" s="540">
        <f t="shared" si="324"/>
        <v>4.1705280724266942E-2</v>
      </c>
      <c r="AW234" s="540">
        <f t="shared" si="324"/>
        <v>4.1705280724266942E-2</v>
      </c>
      <c r="AX234" s="540">
        <f t="shared" si="324"/>
        <v>4.1705280724266942E-2</v>
      </c>
      <c r="AY234" s="540">
        <f t="shared" si="324"/>
        <v>4.1705280724266942E-2</v>
      </c>
      <c r="AZ234" s="540">
        <f t="shared" si="324"/>
        <v>4.1705280724266942E-2</v>
      </c>
      <c r="BA234" s="540">
        <f t="shared" si="324"/>
        <v>4.1705280724266942E-2</v>
      </c>
      <c r="BB234" s="540">
        <f t="shared" si="324"/>
        <v>4.1705280724266942E-2</v>
      </c>
      <c r="BC234" s="540">
        <f t="shared" si="324"/>
        <v>4.1705280724266942E-2</v>
      </c>
      <c r="BD234" s="540">
        <f t="shared" si="324"/>
        <v>4.1705280724266942E-2</v>
      </c>
      <c r="BE234" s="540">
        <f t="shared" si="324"/>
        <v>4.1705280724266942E-2</v>
      </c>
      <c r="BF234" s="540">
        <f t="shared" si="324"/>
        <v>4.1705280724266942E-2</v>
      </c>
      <c r="BG234" s="540">
        <f t="shared" si="324"/>
        <v>4.1705280724266942E-2</v>
      </c>
      <c r="BH234" s="540">
        <f t="shared" si="324"/>
        <v>4.1705280724266942E-2</v>
      </c>
      <c r="BI234" s="540">
        <f t="shared" si="324"/>
        <v>4.1705280724266942E-2</v>
      </c>
      <c r="BJ234" s="540">
        <f t="shared" si="324"/>
        <v>4.1705280724266942E-2</v>
      </c>
      <c r="BK234" s="540">
        <f t="shared" si="324"/>
        <v>4.1705280724266942E-2</v>
      </c>
      <c r="BL234" s="540">
        <f t="shared" si="324"/>
        <v>4.1705280724266942E-2</v>
      </c>
      <c r="BM234" s="540">
        <f t="shared" si="324"/>
        <v>4.1705280724266942E-2</v>
      </c>
      <c r="BN234" s="540">
        <f t="shared" si="324"/>
        <v>4.1705280724266942E-2</v>
      </c>
      <c r="BO234" s="540">
        <f t="shared" si="324"/>
        <v>4.1705280724266942E-2</v>
      </c>
      <c r="BP234" s="540">
        <f t="shared" si="324"/>
        <v>4.1705280724266942E-2</v>
      </c>
      <c r="BQ234" s="540">
        <f t="shared" si="324"/>
        <v>4.1705280724266942E-2</v>
      </c>
      <c r="BR234" s="540">
        <f t="shared" si="324"/>
        <v>4.1705280724266942E-2</v>
      </c>
      <c r="BS234" s="540">
        <f t="shared" si="324"/>
        <v>4.1705280724266942E-2</v>
      </c>
      <c r="BT234" s="540">
        <f t="shared" si="324"/>
        <v>4.1705280724266942E-2</v>
      </c>
      <c r="BU234" s="540">
        <f t="shared" si="324"/>
        <v>4.1705280724266942E-2</v>
      </c>
      <c r="BV234" s="540">
        <f t="shared" si="324"/>
        <v>4.1705280724266942E-2</v>
      </c>
      <c r="BW234" s="540">
        <f t="shared" si="324"/>
        <v>4.1705280724266942E-2</v>
      </c>
      <c r="BX234" s="540">
        <f t="shared" si="324"/>
        <v>4.1705280724266942E-2</v>
      </c>
      <c r="BY234" s="540">
        <f t="shared" si="324"/>
        <v>4.1705280724266942E-2</v>
      </c>
    </row>
    <row r="235" spans="1:77" x14ac:dyDescent="0.3">
      <c r="A235" s="551"/>
      <c r="B235" s="548"/>
      <c r="C235" s="525"/>
      <c r="D235" s="525"/>
      <c r="E235" s="525"/>
      <c r="F235" s="525"/>
      <c r="G235" s="525"/>
      <c r="H235" s="525"/>
      <c r="I235" s="525"/>
      <c r="J235" s="525"/>
      <c r="K235" s="525"/>
      <c r="L235" s="525"/>
      <c r="M235" s="525"/>
      <c r="N235" s="525"/>
      <c r="O235" s="525"/>
      <c r="P235" s="565"/>
      <c r="Q235" s="525"/>
      <c r="R235" s="525"/>
      <c r="S235" s="525"/>
      <c r="T235" s="525"/>
      <c r="U235" s="525"/>
      <c r="V235" s="525"/>
      <c r="W235" s="525"/>
      <c r="X235" s="525"/>
      <c r="Y235" s="525"/>
      <c r="Z235" s="525"/>
      <c r="AA235" s="525"/>
      <c r="AB235" s="525"/>
      <c r="AC235" s="525"/>
      <c r="AD235" s="525"/>
      <c r="AE235" s="525"/>
      <c r="AF235" s="525"/>
      <c r="AG235" s="525"/>
      <c r="AH235" s="525"/>
      <c r="AI235" s="525"/>
      <c r="AJ235" s="525"/>
      <c r="AK235" s="525"/>
      <c r="AL235" s="525"/>
      <c r="AM235" s="525"/>
      <c r="AN235" s="525"/>
      <c r="AO235" s="525"/>
      <c r="AP235" s="525"/>
      <c r="AQ235" s="525"/>
      <c r="AR235" s="525"/>
      <c r="AS235" s="525"/>
      <c r="AT235" s="525"/>
      <c r="AU235" s="525"/>
      <c r="AV235" s="525"/>
      <c r="AW235" s="525"/>
      <c r="AX235" s="525"/>
      <c r="AY235" s="525"/>
      <c r="AZ235" s="525"/>
      <c r="BA235" s="525"/>
      <c r="BB235" s="525"/>
      <c r="BC235" s="525"/>
      <c r="BD235" s="525"/>
      <c r="BE235" s="525"/>
      <c r="BF235" s="525"/>
      <c r="BG235" s="525"/>
      <c r="BH235" s="525"/>
      <c r="BI235" s="525"/>
      <c r="BJ235" s="525"/>
      <c r="BK235" s="525"/>
      <c r="BL235" s="525"/>
      <c r="BM235" s="525"/>
      <c r="BN235" s="525"/>
      <c r="BO235" s="525"/>
      <c r="BP235" s="525"/>
      <c r="BQ235" s="525"/>
      <c r="BR235" s="525"/>
      <c r="BS235" s="525"/>
      <c r="BT235" s="525"/>
      <c r="BU235" s="525"/>
      <c r="BV235" s="525"/>
      <c r="BW235" s="525"/>
      <c r="BX235" s="525"/>
      <c r="BY235" s="525"/>
    </row>
    <row r="236" spans="1:77" x14ac:dyDescent="0.3">
      <c r="A236" s="551"/>
      <c r="B236" s="548"/>
      <c r="C236" s="525"/>
      <c r="D236" s="525"/>
      <c r="E236" s="614" t="s">
        <v>107</v>
      </c>
      <c r="F236" s="539"/>
      <c r="G236" s="539"/>
      <c r="H236" s="539"/>
      <c r="I236" s="539"/>
      <c r="J236" s="539"/>
      <c r="K236" s="539"/>
      <c r="L236" s="539"/>
      <c r="M236" s="539"/>
      <c r="N236" s="539"/>
      <c r="O236" s="539"/>
      <c r="P236" s="615"/>
      <c r="Q236" s="539"/>
      <c r="R236" s="539"/>
      <c r="S236" s="539"/>
      <c r="T236" s="539"/>
      <c r="U236" s="539"/>
      <c r="V236" s="539"/>
      <c r="W236" s="539"/>
      <c r="X236" s="539"/>
      <c r="Y236" s="539"/>
      <c r="Z236" s="539"/>
      <c r="AA236" s="539"/>
      <c r="AB236" s="539"/>
      <c r="AC236" s="539"/>
      <c r="AD236" s="539"/>
      <c r="AE236" s="539"/>
      <c r="AF236" s="539"/>
      <c r="AG236" s="539"/>
      <c r="AH236" s="539"/>
      <c r="AI236" s="539"/>
      <c r="AJ236" s="539"/>
      <c r="AK236" s="539"/>
      <c r="AL236" s="539"/>
      <c r="AM236" s="539"/>
      <c r="AN236" s="539"/>
      <c r="AO236" s="539"/>
      <c r="AP236" s="539"/>
      <c r="AQ236" s="539"/>
      <c r="AR236" s="539"/>
      <c r="AS236" s="539"/>
      <c r="AT236" s="539"/>
      <c r="AU236" s="539"/>
      <c r="AV236" s="539"/>
      <c r="AW236" s="539"/>
      <c r="AX236" s="539"/>
      <c r="AY236" s="539"/>
      <c r="AZ236" s="539"/>
      <c r="BA236" s="539"/>
      <c r="BB236" s="539"/>
      <c r="BC236" s="539"/>
      <c r="BD236" s="539"/>
      <c r="BE236" s="539"/>
      <c r="BF236" s="539"/>
      <c r="BG236" s="539"/>
      <c r="BH236" s="539"/>
      <c r="BI236" s="539"/>
      <c r="BJ236" s="539"/>
      <c r="BK236" s="539"/>
      <c r="BL236" s="539"/>
      <c r="BM236" s="539"/>
      <c r="BN236" s="539"/>
      <c r="BO236" s="539"/>
      <c r="BP236" s="539"/>
      <c r="BQ236" s="539"/>
      <c r="BR236" s="539"/>
      <c r="BS236" s="539"/>
      <c r="BT236" s="539"/>
      <c r="BU236" s="539"/>
      <c r="BV236" s="539"/>
      <c r="BW236" s="539"/>
      <c r="BX236" s="539"/>
      <c r="BY236" s="539"/>
    </row>
    <row r="237" spans="1:77" x14ac:dyDescent="0.3">
      <c r="A237" s="551"/>
      <c r="B237" s="548"/>
      <c r="C237" s="525"/>
      <c r="D237" s="525"/>
      <c r="E237" s="525"/>
      <c r="F237" s="525"/>
      <c r="G237" s="525"/>
      <c r="H237" s="525"/>
      <c r="I237" s="525"/>
      <c r="J237" s="525"/>
      <c r="K237" s="525"/>
      <c r="L237" s="525"/>
      <c r="M237" s="525"/>
      <c r="N237" s="525"/>
      <c r="O237" s="525"/>
      <c r="P237" s="565"/>
      <c r="Q237" s="525"/>
      <c r="R237" s="525"/>
      <c r="S237" s="525"/>
      <c r="T237" s="525"/>
      <c r="U237" s="525"/>
      <c r="V237" s="525"/>
      <c r="W237" s="525"/>
      <c r="X237" s="525"/>
      <c r="Y237" s="525"/>
      <c r="Z237" s="525"/>
      <c r="AA237" s="525"/>
      <c r="AB237" s="525"/>
      <c r="AC237" s="525"/>
      <c r="AD237" s="525"/>
      <c r="AE237" s="525"/>
      <c r="AF237" s="525"/>
      <c r="AG237" s="525"/>
      <c r="AH237" s="525"/>
      <c r="AI237" s="525"/>
      <c r="AJ237" s="525"/>
      <c r="AK237" s="525"/>
      <c r="AL237" s="525"/>
      <c r="AM237" s="525"/>
      <c r="AN237" s="525"/>
      <c r="AO237" s="525"/>
      <c r="AP237" s="525"/>
      <c r="AQ237" s="525"/>
      <c r="AR237" s="525"/>
      <c r="AS237" s="525"/>
      <c r="AT237" s="525"/>
      <c r="AU237" s="525"/>
      <c r="AV237" s="525"/>
      <c r="AW237" s="525"/>
      <c r="AX237" s="525"/>
      <c r="AY237" s="525"/>
      <c r="AZ237" s="525"/>
      <c r="BA237" s="525"/>
      <c r="BB237" s="525"/>
      <c r="BC237" s="525"/>
      <c r="BD237" s="525"/>
      <c r="BE237" s="525"/>
      <c r="BF237" s="525"/>
      <c r="BG237" s="525"/>
      <c r="BH237" s="525"/>
      <c r="BI237" s="525"/>
      <c r="BJ237" s="525"/>
      <c r="BK237" s="525"/>
      <c r="BL237" s="525"/>
      <c r="BM237" s="525"/>
      <c r="BN237" s="525"/>
      <c r="BO237" s="525"/>
      <c r="BP237" s="525"/>
      <c r="BQ237" s="525"/>
      <c r="BR237" s="525"/>
      <c r="BS237" s="525"/>
      <c r="BT237" s="525"/>
      <c r="BU237" s="525"/>
      <c r="BV237" s="525"/>
      <c r="BW237" s="525"/>
      <c r="BX237" s="525"/>
      <c r="BY237" s="525"/>
    </row>
    <row r="238" spans="1:77" x14ac:dyDescent="0.3">
      <c r="A238" s="551"/>
      <c r="B238" s="548"/>
      <c r="C238" s="525"/>
      <c r="D238" s="525"/>
      <c r="E238" s="619" t="str">
        <f>"BCF net comm.: "&amp;E$155</f>
        <v>BCF net comm.: FY27 Tranche</v>
      </c>
      <c r="F238" s="525"/>
      <c r="G238" s="525"/>
      <c r="H238" s="525"/>
      <c r="I238" s="525"/>
      <c r="J238" s="525"/>
      <c r="K238" s="525"/>
      <c r="L238" s="525"/>
      <c r="M238" s="525"/>
      <c r="N238" s="525"/>
      <c r="O238" s="525"/>
      <c r="P238" s="565"/>
      <c r="Q238" s="525"/>
      <c r="R238" s="527">
        <f t="shared" ref="R238:AW238" si="325">($R155*R$581*R490)+((($R155*R$581)+R205)*R482)</f>
        <v>66896.06262502649</v>
      </c>
      <c r="S238" s="527">
        <f t="shared" si="325"/>
        <v>66896.06262502649</v>
      </c>
      <c r="T238" s="527">
        <f t="shared" si="325"/>
        <v>66896.06262502649</v>
      </c>
      <c r="U238" s="527">
        <f t="shared" si="325"/>
        <v>66896.06262502649</v>
      </c>
      <c r="V238" s="527">
        <f t="shared" si="325"/>
        <v>66896.06262502649</v>
      </c>
      <c r="W238" s="527">
        <f t="shared" si="325"/>
        <v>66896.06262502649</v>
      </c>
      <c r="X238" s="527">
        <f t="shared" si="325"/>
        <v>79283.022123828923</v>
      </c>
      <c r="Y238" s="527">
        <f t="shared" si="325"/>
        <v>79283.022123828923</v>
      </c>
      <c r="Z238" s="527">
        <f t="shared" si="325"/>
        <v>79283.022123828923</v>
      </c>
      <c r="AA238" s="527">
        <f t="shared" si="325"/>
        <v>79283.022123828923</v>
      </c>
      <c r="AB238" s="527">
        <f t="shared" si="325"/>
        <v>79283.022123828923</v>
      </c>
      <c r="AC238" s="527">
        <f t="shared" si="325"/>
        <v>79283.022123828923</v>
      </c>
      <c r="AD238" s="527">
        <f t="shared" si="325"/>
        <v>80318.733776728972</v>
      </c>
      <c r="AE238" s="527">
        <f t="shared" si="325"/>
        <v>80318.733776728972</v>
      </c>
      <c r="AF238" s="527">
        <f t="shared" si="325"/>
        <v>80318.733776728972</v>
      </c>
      <c r="AG238" s="527">
        <f t="shared" si="325"/>
        <v>80318.733776728972</v>
      </c>
      <c r="AH238" s="527">
        <f t="shared" si="325"/>
        <v>80318.733776728972</v>
      </c>
      <c r="AI238" s="527">
        <f t="shared" si="325"/>
        <v>80318.733776728972</v>
      </c>
      <c r="AJ238" s="527">
        <f t="shared" si="325"/>
        <v>83531.975486687588</v>
      </c>
      <c r="AK238" s="527">
        <f t="shared" si="325"/>
        <v>83531.975486687588</v>
      </c>
      <c r="AL238" s="527">
        <f t="shared" si="325"/>
        <v>83531.975486687588</v>
      </c>
      <c r="AM238" s="527">
        <f t="shared" si="325"/>
        <v>83531.975486687588</v>
      </c>
      <c r="AN238" s="527">
        <f t="shared" si="325"/>
        <v>83531.975486687588</v>
      </c>
      <c r="AO238" s="527">
        <f t="shared" si="325"/>
        <v>83531.975486687588</v>
      </c>
      <c r="AP238" s="527">
        <f t="shared" si="325"/>
        <v>84574.337271922675</v>
      </c>
      <c r="AQ238" s="527">
        <f t="shared" si="325"/>
        <v>84574.337271922675</v>
      </c>
      <c r="AR238" s="527">
        <f t="shared" si="325"/>
        <v>84574.337271922675</v>
      </c>
      <c r="AS238" s="527">
        <f t="shared" si="325"/>
        <v>84574.337271922675</v>
      </c>
      <c r="AT238" s="527">
        <f t="shared" si="325"/>
        <v>84574.337271922675</v>
      </c>
      <c r="AU238" s="527">
        <f t="shared" si="325"/>
        <v>84574.337271922675</v>
      </c>
      <c r="AV238" s="527">
        <f t="shared" si="325"/>
        <v>87927.301248051881</v>
      </c>
      <c r="AW238" s="527">
        <f t="shared" si="325"/>
        <v>87927.301248051881</v>
      </c>
      <c r="AX238" s="527">
        <f t="shared" ref="AX238:BY238" si="326">($R155*AX$581*AX490)+((($R155*AX$581)+AX205)*AX482)</f>
        <v>87927.301248051881</v>
      </c>
      <c r="AY238" s="527">
        <f t="shared" si="326"/>
        <v>87927.301248051881</v>
      </c>
      <c r="AZ238" s="527">
        <f t="shared" si="326"/>
        <v>87927.301248051881</v>
      </c>
      <c r="BA238" s="527">
        <f t="shared" si="326"/>
        <v>87927.301248051881</v>
      </c>
      <c r="BB238" s="527">
        <f t="shared" si="326"/>
        <v>89050.721008201333</v>
      </c>
      <c r="BC238" s="527">
        <f t="shared" si="326"/>
        <v>89050.721008201333</v>
      </c>
      <c r="BD238" s="527">
        <f t="shared" si="326"/>
        <v>89050.721008201333</v>
      </c>
      <c r="BE238" s="527">
        <f t="shared" si="326"/>
        <v>89050.721008201333</v>
      </c>
      <c r="BF238" s="527">
        <f t="shared" si="326"/>
        <v>89050.721008201333</v>
      </c>
      <c r="BG238" s="527">
        <f t="shared" si="326"/>
        <v>89050.721008201333</v>
      </c>
      <c r="BH238" s="527">
        <f t="shared" si="326"/>
        <v>92548.317319025577</v>
      </c>
      <c r="BI238" s="527">
        <f t="shared" si="326"/>
        <v>92548.317319025577</v>
      </c>
      <c r="BJ238" s="527">
        <f t="shared" si="326"/>
        <v>92548.317319025577</v>
      </c>
      <c r="BK238" s="527">
        <f t="shared" si="326"/>
        <v>92548.317319025577</v>
      </c>
      <c r="BL238" s="527">
        <f t="shared" si="326"/>
        <v>92548.317319025577</v>
      </c>
      <c r="BM238" s="527">
        <f t="shared" si="326"/>
        <v>92548.317319025577</v>
      </c>
      <c r="BN238" s="527">
        <f t="shared" si="326"/>
        <v>93791.013505175171</v>
      </c>
      <c r="BO238" s="527">
        <f t="shared" si="326"/>
        <v>93791.013505175171</v>
      </c>
      <c r="BP238" s="527">
        <f t="shared" si="326"/>
        <v>93791.013505175171</v>
      </c>
      <c r="BQ238" s="527">
        <f t="shared" si="326"/>
        <v>93791.013505175171</v>
      </c>
      <c r="BR238" s="527">
        <f t="shared" si="326"/>
        <v>93791.013505175171</v>
      </c>
      <c r="BS238" s="527">
        <f t="shared" si="326"/>
        <v>93791.013505175171</v>
      </c>
      <c r="BT238" s="527">
        <f t="shared" si="326"/>
        <v>97438.888153330787</v>
      </c>
      <c r="BU238" s="527">
        <f t="shared" si="326"/>
        <v>97438.888153330787</v>
      </c>
      <c r="BV238" s="527">
        <f t="shared" si="326"/>
        <v>97438.888153330787</v>
      </c>
      <c r="BW238" s="527">
        <f t="shared" si="326"/>
        <v>97438.888153330787</v>
      </c>
      <c r="BX238" s="527">
        <f t="shared" si="326"/>
        <v>97438.888153330787</v>
      </c>
      <c r="BY238" s="527">
        <f t="shared" si="326"/>
        <v>97438.888153330787</v>
      </c>
    </row>
    <row r="239" spans="1:77" x14ac:dyDescent="0.3">
      <c r="A239" s="551"/>
      <c r="B239" s="548"/>
      <c r="C239" s="525"/>
      <c r="D239" s="525"/>
      <c r="E239" s="619" t="str">
        <f>"BCF net comm.: "&amp;E$156</f>
        <v>BCF net comm.: FY28 Tranche</v>
      </c>
      <c r="F239" s="525"/>
      <c r="G239" s="525"/>
      <c r="H239" s="525"/>
      <c r="I239" s="525"/>
      <c r="J239" s="525"/>
      <c r="K239" s="525"/>
      <c r="L239" s="525"/>
      <c r="M239" s="525"/>
      <c r="N239" s="525"/>
      <c r="O239" s="525"/>
      <c r="P239" s="565"/>
      <c r="Q239" s="525"/>
      <c r="R239" s="527">
        <f t="shared" ref="R239:AW239" si="327">($R156*R$581*R491)+((($R156*R$581)+R206)*R483)</f>
        <v>66896.06262502649</v>
      </c>
      <c r="S239" s="527">
        <f t="shared" si="327"/>
        <v>66896.06262502649</v>
      </c>
      <c r="T239" s="527">
        <f t="shared" si="327"/>
        <v>66896.06262502649</v>
      </c>
      <c r="U239" s="527">
        <f t="shared" si="327"/>
        <v>66896.06262502649</v>
      </c>
      <c r="V239" s="527">
        <f t="shared" si="327"/>
        <v>66896.06262502649</v>
      </c>
      <c r="W239" s="527">
        <f t="shared" si="327"/>
        <v>66896.06262502649</v>
      </c>
      <c r="X239" s="527">
        <f t="shared" si="327"/>
        <v>66896.06262502649</v>
      </c>
      <c r="Y239" s="527">
        <f t="shared" si="327"/>
        <v>66896.06262502649</v>
      </c>
      <c r="Z239" s="527">
        <f t="shared" si="327"/>
        <v>66896.06262502649</v>
      </c>
      <c r="AA239" s="527">
        <f t="shared" si="327"/>
        <v>66896.06262502649</v>
      </c>
      <c r="AB239" s="527">
        <f t="shared" si="327"/>
        <v>66896.06262502649</v>
      </c>
      <c r="AC239" s="527">
        <f t="shared" si="327"/>
        <v>66896.06262502649</v>
      </c>
      <c r="AD239" s="527">
        <f t="shared" si="327"/>
        <v>70566.933186898721</v>
      </c>
      <c r="AE239" s="527">
        <f t="shared" si="327"/>
        <v>70566.933186898721</v>
      </c>
      <c r="AF239" s="527">
        <f t="shared" si="327"/>
        <v>70566.933186898721</v>
      </c>
      <c r="AG239" s="527">
        <f t="shared" si="327"/>
        <v>70566.933186898721</v>
      </c>
      <c r="AH239" s="527">
        <f t="shared" si="327"/>
        <v>70566.933186898721</v>
      </c>
      <c r="AI239" s="527">
        <f t="shared" si="327"/>
        <v>70566.933186898721</v>
      </c>
      <c r="AJ239" s="527">
        <f t="shared" si="327"/>
        <v>83298.871816395869</v>
      </c>
      <c r="AK239" s="527">
        <f t="shared" si="327"/>
        <v>83298.871816395869</v>
      </c>
      <c r="AL239" s="527">
        <f t="shared" si="327"/>
        <v>83298.871816395869</v>
      </c>
      <c r="AM239" s="527">
        <f t="shared" si="327"/>
        <v>83298.871816395869</v>
      </c>
      <c r="AN239" s="527">
        <f t="shared" si="327"/>
        <v>83298.871816395869</v>
      </c>
      <c r="AO239" s="527">
        <f t="shared" si="327"/>
        <v>83298.871816395869</v>
      </c>
      <c r="AP239" s="527">
        <f t="shared" si="327"/>
        <v>84340.452867306129</v>
      </c>
      <c r="AQ239" s="527">
        <f t="shared" si="327"/>
        <v>84340.452867306129</v>
      </c>
      <c r="AR239" s="527">
        <f t="shared" si="327"/>
        <v>84340.452867306129</v>
      </c>
      <c r="AS239" s="527">
        <f t="shared" si="327"/>
        <v>84340.452867306129</v>
      </c>
      <c r="AT239" s="527">
        <f t="shared" si="327"/>
        <v>84340.452867306129</v>
      </c>
      <c r="AU239" s="527">
        <f t="shared" si="327"/>
        <v>84340.452867306129</v>
      </c>
      <c r="AV239" s="527">
        <f t="shared" si="327"/>
        <v>87684.061467250664</v>
      </c>
      <c r="AW239" s="527">
        <f t="shared" si="327"/>
        <v>87684.061467250664</v>
      </c>
      <c r="AX239" s="527">
        <f t="shared" ref="AX239:BY239" si="328">($R156*AX$581*AX491)+((($R156*AX$581)+AX206)*AX483)</f>
        <v>87684.061467250664</v>
      </c>
      <c r="AY239" s="527">
        <f t="shared" si="328"/>
        <v>87684.061467250664</v>
      </c>
      <c r="AZ239" s="527">
        <f t="shared" si="328"/>
        <v>87684.061467250664</v>
      </c>
      <c r="BA239" s="527">
        <f t="shared" si="328"/>
        <v>87684.061467250664</v>
      </c>
      <c r="BB239" s="527">
        <f t="shared" si="328"/>
        <v>88806.747843988996</v>
      </c>
      <c r="BC239" s="527">
        <f t="shared" si="328"/>
        <v>88806.747843988996</v>
      </c>
      <c r="BD239" s="527">
        <f t="shared" si="328"/>
        <v>88806.747843988996</v>
      </c>
      <c r="BE239" s="527">
        <f t="shared" si="328"/>
        <v>88806.747843988996</v>
      </c>
      <c r="BF239" s="527">
        <f t="shared" si="328"/>
        <v>88806.747843988996</v>
      </c>
      <c r="BG239" s="527">
        <f t="shared" si="328"/>
        <v>88806.747843988996</v>
      </c>
      <c r="BH239" s="527">
        <f t="shared" si="328"/>
        <v>92294.58522824473</v>
      </c>
      <c r="BI239" s="527">
        <f t="shared" si="328"/>
        <v>92294.58522824473</v>
      </c>
      <c r="BJ239" s="527">
        <f t="shared" si="328"/>
        <v>92294.58522824473</v>
      </c>
      <c r="BK239" s="527">
        <f t="shared" si="328"/>
        <v>92294.58522824473</v>
      </c>
      <c r="BL239" s="527">
        <f t="shared" si="328"/>
        <v>92294.58522824473</v>
      </c>
      <c r="BM239" s="527">
        <f t="shared" si="328"/>
        <v>92294.58522824473</v>
      </c>
      <c r="BN239" s="527">
        <f t="shared" si="328"/>
        <v>93536.557747143219</v>
      </c>
      <c r="BO239" s="527">
        <f t="shared" si="328"/>
        <v>93536.557747143219</v>
      </c>
      <c r="BP239" s="527">
        <f t="shared" si="328"/>
        <v>93536.557747143219</v>
      </c>
      <c r="BQ239" s="527">
        <f t="shared" si="328"/>
        <v>93536.557747143219</v>
      </c>
      <c r="BR239" s="527">
        <f t="shared" si="328"/>
        <v>93536.557747143219</v>
      </c>
      <c r="BS239" s="527">
        <f t="shared" si="328"/>
        <v>93536.557747143219</v>
      </c>
      <c r="BT239" s="527">
        <f t="shared" si="328"/>
        <v>97174.254164977567</v>
      </c>
      <c r="BU239" s="527">
        <f t="shared" si="328"/>
        <v>97174.254164977567</v>
      </c>
      <c r="BV239" s="527">
        <f t="shared" si="328"/>
        <v>97174.254164977567</v>
      </c>
      <c r="BW239" s="527">
        <f t="shared" si="328"/>
        <v>97174.254164977567</v>
      </c>
      <c r="BX239" s="527">
        <f t="shared" si="328"/>
        <v>97174.254164977567</v>
      </c>
      <c r="BY239" s="527">
        <f t="shared" si="328"/>
        <v>97174.254164977567</v>
      </c>
    </row>
    <row r="240" spans="1:77" x14ac:dyDescent="0.3">
      <c r="A240" s="551"/>
      <c r="B240" s="548"/>
      <c r="C240" s="525"/>
      <c r="D240" s="525"/>
      <c r="E240" s="619" t="str">
        <f>"BCF net comm.: "&amp;E$157</f>
        <v>BCF net comm.: FY29 Tranche</v>
      </c>
      <c r="F240" s="525"/>
      <c r="G240" s="525"/>
      <c r="H240" s="525"/>
      <c r="I240" s="525"/>
      <c r="J240" s="525"/>
      <c r="K240" s="525"/>
      <c r="L240" s="525"/>
      <c r="M240" s="525"/>
      <c r="N240" s="525"/>
      <c r="O240" s="525"/>
      <c r="P240" s="565"/>
      <c r="Q240" s="525"/>
      <c r="R240" s="527">
        <f t="shared" ref="R240:AW240" si="329">($R157*R$581*R492)+((($R157*R$581)+R207)*R484)</f>
        <v>66896.06262502649</v>
      </c>
      <c r="S240" s="527">
        <f t="shared" si="329"/>
        <v>66896.06262502649</v>
      </c>
      <c r="T240" s="527">
        <f t="shared" si="329"/>
        <v>66896.06262502649</v>
      </c>
      <c r="U240" s="527">
        <f t="shared" si="329"/>
        <v>66896.06262502649</v>
      </c>
      <c r="V240" s="527">
        <f t="shared" si="329"/>
        <v>66896.06262502649</v>
      </c>
      <c r="W240" s="527">
        <f t="shared" si="329"/>
        <v>66896.06262502649</v>
      </c>
      <c r="X240" s="527">
        <f t="shared" si="329"/>
        <v>66896.06262502649</v>
      </c>
      <c r="Y240" s="527">
        <f t="shared" si="329"/>
        <v>66896.06262502649</v>
      </c>
      <c r="Z240" s="527">
        <f t="shared" si="329"/>
        <v>66896.06262502649</v>
      </c>
      <c r="AA240" s="527">
        <f t="shared" si="329"/>
        <v>66896.06262502649</v>
      </c>
      <c r="AB240" s="527">
        <f t="shared" si="329"/>
        <v>66896.06262502649</v>
      </c>
      <c r="AC240" s="527">
        <f t="shared" si="329"/>
        <v>66896.06262502649</v>
      </c>
      <c r="AD240" s="527">
        <f t="shared" si="329"/>
        <v>70566.933186898721</v>
      </c>
      <c r="AE240" s="527">
        <f t="shared" si="329"/>
        <v>70566.933186898721</v>
      </c>
      <c r="AF240" s="527">
        <f t="shared" si="329"/>
        <v>70566.933186898721</v>
      </c>
      <c r="AG240" s="527">
        <f t="shared" si="329"/>
        <v>70566.933186898721</v>
      </c>
      <c r="AH240" s="527">
        <f t="shared" si="329"/>
        <v>70566.933186898721</v>
      </c>
      <c r="AI240" s="527">
        <f t="shared" si="329"/>
        <v>70566.933186898721</v>
      </c>
      <c r="AJ240" s="527">
        <f t="shared" si="329"/>
        <v>70566.933186898721</v>
      </c>
      <c r="AK240" s="527">
        <f t="shared" si="329"/>
        <v>70566.933186898721</v>
      </c>
      <c r="AL240" s="527">
        <f t="shared" si="329"/>
        <v>70566.933186898721</v>
      </c>
      <c r="AM240" s="527">
        <f t="shared" si="329"/>
        <v>70566.933186898721</v>
      </c>
      <c r="AN240" s="527">
        <f t="shared" si="329"/>
        <v>70566.933186898721</v>
      </c>
      <c r="AO240" s="527">
        <f t="shared" si="329"/>
        <v>70566.933186898721</v>
      </c>
      <c r="AP240" s="527">
        <f t="shared" si="329"/>
        <v>74230.874023750221</v>
      </c>
      <c r="AQ240" s="527">
        <f t="shared" si="329"/>
        <v>74230.874023750221</v>
      </c>
      <c r="AR240" s="527">
        <f t="shared" si="329"/>
        <v>74230.874023750221</v>
      </c>
      <c r="AS240" s="527">
        <f t="shared" si="329"/>
        <v>74230.874023750221</v>
      </c>
      <c r="AT240" s="527">
        <f t="shared" si="329"/>
        <v>74230.874023750221</v>
      </c>
      <c r="AU240" s="527">
        <f t="shared" si="329"/>
        <v>74230.874023750221</v>
      </c>
      <c r="AV240" s="527">
        <f t="shared" si="329"/>
        <v>87292.301548048374</v>
      </c>
      <c r="AW240" s="527">
        <f t="shared" si="329"/>
        <v>87292.301548048374</v>
      </c>
      <c r="AX240" s="527">
        <f t="shared" ref="AX240:BY240" si="330">($R157*AX$581*AX492)+((($R157*AX$581)+AX207)*AX484)</f>
        <v>87292.301548048374</v>
      </c>
      <c r="AY240" s="527">
        <f t="shared" si="330"/>
        <v>87292.301548048374</v>
      </c>
      <c r="AZ240" s="527">
        <f t="shared" si="330"/>
        <v>87292.301548048374</v>
      </c>
      <c r="BA240" s="527">
        <f t="shared" si="330"/>
        <v>87292.301548048374</v>
      </c>
      <c r="BB240" s="527">
        <f t="shared" si="330"/>
        <v>88413.806743711262</v>
      </c>
      <c r="BC240" s="527">
        <f t="shared" si="330"/>
        <v>88413.806743711262</v>
      </c>
      <c r="BD240" s="527">
        <f t="shared" si="330"/>
        <v>88413.806743711262</v>
      </c>
      <c r="BE240" s="527">
        <f t="shared" si="330"/>
        <v>88413.806743711262</v>
      </c>
      <c r="BF240" s="527">
        <f t="shared" si="330"/>
        <v>88413.806743711262</v>
      </c>
      <c r="BG240" s="527">
        <f t="shared" si="330"/>
        <v>88413.806743711262</v>
      </c>
      <c r="BH240" s="527">
        <f t="shared" si="330"/>
        <v>91885.926483955875</v>
      </c>
      <c r="BI240" s="527">
        <f t="shared" si="330"/>
        <v>91885.926483955875</v>
      </c>
      <c r="BJ240" s="527">
        <f t="shared" si="330"/>
        <v>91885.926483955875</v>
      </c>
      <c r="BK240" s="527">
        <f t="shared" si="330"/>
        <v>91885.926483955875</v>
      </c>
      <c r="BL240" s="527">
        <f t="shared" si="330"/>
        <v>91885.926483955875</v>
      </c>
      <c r="BM240" s="527">
        <f t="shared" si="330"/>
        <v>91885.926483955875</v>
      </c>
      <c r="BN240" s="527">
        <f t="shared" si="330"/>
        <v>93126.733470543448</v>
      </c>
      <c r="BO240" s="527">
        <f t="shared" si="330"/>
        <v>93126.733470543448</v>
      </c>
      <c r="BP240" s="527">
        <f t="shared" si="330"/>
        <v>93126.733470543448</v>
      </c>
      <c r="BQ240" s="527">
        <f t="shared" si="330"/>
        <v>93126.733470543448</v>
      </c>
      <c r="BR240" s="527">
        <f t="shared" si="330"/>
        <v>93126.733470543448</v>
      </c>
      <c r="BS240" s="527">
        <f t="shared" si="330"/>
        <v>93126.733470543448</v>
      </c>
      <c r="BT240" s="527">
        <f t="shared" si="330"/>
        <v>96748.036917313788</v>
      </c>
      <c r="BU240" s="527">
        <f t="shared" si="330"/>
        <v>96748.036917313788</v>
      </c>
      <c r="BV240" s="527">
        <f t="shared" si="330"/>
        <v>96748.036917313788</v>
      </c>
      <c r="BW240" s="527">
        <f t="shared" si="330"/>
        <v>96748.036917313788</v>
      </c>
      <c r="BX240" s="527">
        <f t="shared" si="330"/>
        <v>96748.036917313788</v>
      </c>
      <c r="BY240" s="527">
        <f t="shared" si="330"/>
        <v>96748.036917313788</v>
      </c>
    </row>
    <row r="241" spans="1:77" x14ac:dyDescent="0.3">
      <c r="A241" s="551"/>
      <c r="B241" s="548"/>
      <c r="C241" s="525"/>
      <c r="D241" s="525"/>
      <c r="E241" s="619" t="str">
        <f>"BCF net comm.: "&amp;E$158</f>
        <v>BCF net comm.: FY30 Tranche</v>
      </c>
      <c r="F241" s="525"/>
      <c r="G241" s="525"/>
      <c r="H241" s="525"/>
      <c r="I241" s="525"/>
      <c r="J241" s="525"/>
      <c r="K241" s="525"/>
      <c r="L241" s="525"/>
      <c r="M241" s="525"/>
      <c r="N241" s="525"/>
      <c r="O241" s="525"/>
      <c r="P241" s="565"/>
      <c r="Q241" s="525"/>
      <c r="R241" s="527">
        <f t="shared" ref="R241:AW241" si="331">($R158*R$581*R493)+((($R158*R$581)+R208)*R485)</f>
        <v>66896.06262502649</v>
      </c>
      <c r="S241" s="527">
        <f t="shared" si="331"/>
        <v>66896.06262502649</v>
      </c>
      <c r="T241" s="527">
        <f t="shared" si="331"/>
        <v>66896.06262502649</v>
      </c>
      <c r="U241" s="527">
        <f t="shared" si="331"/>
        <v>66896.06262502649</v>
      </c>
      <c r="V241" s="527">
        <f t="shared" si="331"/>
        <v>66896.06262502649</v>
      </c>
      <c r="W241" s="527">
        <f t="shared" si="331"/>
        <v>66896.06262502649</v>
      </c>
      <c r="X241" s="527">
        <f t="shared" si="331"/>
        <v>66896.06262502649</v>
      </c>
      <c r="Y241" s="527">
        <f t="shared" si="331"/>
        <v>66896.06262502649</v>
      </c>
      <c r="Z241" s="527">
        <f t="shared" si="331"/>
        <v>66896.06262502649</v>
      </c>
      <c r="AA241" s="527">
        <f t="shared" si="331"/>
        <v>66896.06262502649</v>
      </c>
      <c r="AB241" s="527">
        <f t="shared" si="331"/>
        <v>66896.06262502649</v>
      </c>
      <c r="AC241" s="527">
        <f t="shared" si="331"/>
        <v>66896.06262502649</v>
      </c>
      <c r="AD241" s="527">
        <f t="shared" si="331"/>
        <v>70566.933186898721</v>
      </c>
      <c r="AE241" s="527">
        <f t="shared" si="331"/>
        <v>70566.933186898721</v>
      </c>
      <c r="AF241" s="527">
        <f t="shared" si="331"/>
        <v>70566.933186898721</v>
      </c>
      <c r="AG241" s="527">
        <f t="shared" si="331"/>
        <v>70566.933186898721</v>
      </c>
      <c r="AH241" s="527">
        <f t="shared" si="331"/>
        <v>70566.933186898721</v>
      </c>
      <c r="AI241" s="527">
        <f t="shared" si="331"/>
        <v>70566.933186898721</v>
      </c>
      <c r="AJ241" s="527">
        <f t="shared" si="331"/>
        <v>70566.933186898721</v>
      </c>
      <c r="AK241" s="527">
        <f t="shared" si="331"/>
        <v>70566.933186898721</v>
      </c>
      <c r="AL241" s="527">
        <f t="shared" si="331"/>
        <v>70566.933186898721</v>
      </c>
      <c r="AM241" s="527">
        <f t="shared" si="331"/>
        <v>70566.933186898721</v>
      </c>
      <c r="AN241" s="527">
        <f t="shared" si="331"/>
        <v>70566.933186898721</v>
      </c>
      <c r="AO241" s="527">
        <f t="shared" si="331"/>
        <v>70566.933186898721</v>
      </c>
      <c r="AP241" s="527">
        <f t="shared" si="331"/>
        <v>74230.874023750221</v>
      </c>
      <c r="AQ241" s="527">
        <f t="shared" si="331"/>
        <v>74230.874023750221</v>
      </c>
      <c r="AR241" s="527">
        <f t="shared" si="331"/>
        <v>74230.874023750221</v>
      </c>
      <c r="AS241" s="527">
        <f t="shared" si="331"/>
        <v>74230.874023750221</v>
      </c>
      <c r="AT241" s="527">
        <f t="shared" si="331"/>
        <v>74230.874023750221</v>
      </c>
      <c r="AU241" s="527">
        <f t="shared" si="331"/>
        <v>74230.874023750221</v>
      </c>
      <c r="AV241" s="527">
        <f t="shared" si="331"/>
        <v>74230.874023750221</v>
      </c>
      <c r="AW241" s="527">
        <f t="shared" si="331"/>
        <v>74230.874023750221</v>
      </c>
      <c r="AX241" s="527">
        <f t="shared" ref="AX241:BY241" si="332">($R158*AX$581*AX493)+((($R158*AX$581)+AX208)*AX485)</f>
        <v>74230.874023750221</v>
      </c>
      <c r="AY241" s="527">
        <f t="shared" si="332"/>
        <v>74230.874023750221</v>
      </c>
      <c r="AZ241" s="527">
        <f t="shared" si="332"/>
        <v>74230.874023750221</v>
      </c>
      <c r="BA241" s="527">
        <f t="shared" si="332"/>
        <v>74230.874023750221</v>
      </c>
      <c r="BB241" s="527">
        <f t="shared" si="332"/>
        <v>77859.074774467168</v>
      </c>
      <c r="BC241" s="527">
        <f t="shared" si="332"/>
        <v>77859.074774467168</v>
      </c>
      <c r="BD241" s="527">
        <f t="shared" si="332"/>
        <v>77859.074774467168</v>
      </c>
      <c r="BE241" s="527">
        <f t="shared" si="332"/>
        <v>77859.074774467168</v>
      </c>
      <c r="BF241" s="527">
        <f t="shared" si="332"/>
        <v>77859.074774467168</v>
      </c>
      <c r="BG241" s="527">
        <f t="shared" si="332"/>
        <v>77859.074774467168</v>
      </c>
      <c r="BH241" s="527">
        <f t="shared" si="332"/>
        <v>91230.776989454389</v>
      </c>
      <c r="BI241" s="527">
        <f t="shared" si="332"/>
        <v>91230.776989454389</v>
      </c>
      <c r="BJ241" s="527">
        <f t="shared" si="332"/>
        <v>91230.776989454389</v>
      </c>
      <c r="BK241" s="527">
        <f t="shared" si="332"/>
        <v>91230.776989454389</v>
      </c>
      <c r="BL241" s="527">
        <f t="shared" si="332"/>
        <v>91230.776989454389</v>
      </c>
      <c r="BM241" s="527">
        <f t="shared" si="332"/>
        <v>91230.776989454389</v>
      </c>
      <c r="BN241" s="527">
        <f t="shared" si="332"/>
        <v>92469.715429449017</v>
      </c>
      <c r="BO241" s="527">
        <f t="shared" si="332"/>
        <v>92469.715429449017</v>
      </c>
      <c r="BP241" s="527">
        <f t="shared" si="332"/>
        <v>92469.715429449017</v>
      </c>
      <c r="BQ241" s="527">
        <f t="shared" si="332"/>
        <v>92469.715429449017</v>
      </c>
      <c r="BR241" s="527">
        <f t="shared" si="332"/>
        <v>92469.715429449017</v>
      </c>
      <c r="BS241" s="527">
        <f t="shared" si="332"/>
        <v>92469.715429449017</v>
      </c>
      <c r="BT241" s="527">
        <f t="shared" si="332"/>
        <v>96064.738154575592</v>
      </c>
      <c r="BU241" s="527">
        <f t="shared" si="332"/>
        <v>96064.738154575592</v>
      </c>
      <c r="BV241" s="527">
        <f t="shared" si="332"/>
        <v>96064.738154575592</v>
      </c>
      <c r="BW241" s="527">
        <f t="shared" si="332"/>
        <v>96064.738154575592</v>
      </c>
      <c r="BX241" s="527">
        <f t="shared" si="332"/>
        <v>96064.738154575592</v>
      </c>
      <c r="BY241" s="527">
        <f t="shared" si="332"/>
        <v>96064.738154575592</v>
      </c>
    </row>
    <row r="242" spans="1:77" x14ac:dyDescent="0.3">
      <c r="A242" s="551"/>
      <c r="B242" s="548"/>
      <c r="C242" s="525"/>
      <c r="D242" s="525"/>
      <c r="E242" s="619" t="str">
        <f>"BCF net comm.: "&amp;E$159</f>
        <v>BCF net comm.: FY31 Tranche</v>
      </c>
      <c r="F242" s="525"/>
      <c r="G242" s="525"/>
      <c r="H242" s="525"/>
      <c r="I242" s="525"/>
      <c r="J242" s="525"/>
      <c r="K242" s="525"/>
      <c r="L242" s="525"/>
      <c r="M242" s="525"/>
      <c r="N242" s="525"/>
      <c r="O242" s="525"/>
      <c r="P242" s="565"/>
      <c r="Q242" s="525"/>
      <c r="R242" s="527">
        <f t="shared" ref="R242:AW242" si="333">($R159*R$581*R494)+((($R159*R$581)+R209)*R486)</f>
        <v>66896.06262502649</v>
      </c>
      <c r="S242" s="527">
        <f t="shared" si="333"/>
        <v>66896.06262502649</v>
      </c>
      <c r="T242" s="527">
        <f t="shared" si="333"/>
        <v>66896.06262502649</v>
      </c>
      <c r="U242" s="527">
        <f t="shared" si="333"/>
        <v>66896.06262502649</v>
      </c>
      <c r="V242" s="527">
        <f t="shared" si="333"/>
        <v>66896.06262502649</v>
      </c>
      <c r="W242" s="527">
        <f t="shared" si="333"/>
        <v>66896.06262502649</v>
      </c>
      <c r="X242" s="527">
        <f t="shared" si="333"/>
        <v>66896.06262502649</v>
      </c>
      <c r="Y242" s="527">
        <f t="shared" si="333"/>
        <v>66896.06262502649</v>
      </c>
      <c r="Z242" s="527">
        <f t="shared" si="333"/>
        <v>66896.06262502649</v>
      </c>
      <c r="AA242" s="527">
        <f t="shared" si="333"/>
        <v>66896.06262502649</v>
      </c>
      <c r="AB242" s="527">
        <f t="shared" si="333"/>
        <v>66896.06262502649</v>
      </c>
      <c r="AC242" s="527">
        <f t="shared" si="333"/>
        <v>66896.06262502649</v>
      </c>
      <c r="AD242" s="527">
        <f t="shared" si="333"/>
        <v>70566.933186898721</v>
      </c>
      <c r="AE242" s="527">
        <f t="shared" si="333"/>
        <v>70566.933186898721</v>
      </c>
      <c r="AF242" s="527">
        <f t="shared" si="333"/>
        <v>70566.933186898721</v>
      </c>
      <c r="AG242" s="527">
        <f t="shared" si="333"/>
        <v>70566.933186898721</v>
      </c>
      <c r="AH242" s="527">
        <f t="shared" si="333"/>
        <v>70566.933186898721</v>
      </c>
      <c r="AI242" s="527">
        <f t="shared" si="333"/>
        <v>70566.933186898721</v>
      </c>
      <c r="AJ242" s="527">
        <f t="shared" si="333"/>
        <v>70566.933186898721</v>
      </c>
      <c r="AK242" s="527">
        <f t="shared" si="333"/>
        <v>70566.933186898721</v>
      </c>
      <c r="AL242" s="527">
        <f t="shared" si="333"/>
        <v>70566.933186898721</v>
      </c>
      <c r="AM242" s="527">
        <f t="shared" si="333"/>
        <v>70566.933186898721</v>
      </c>
      <c r="AN242" s="527">
        <f t="shared" si="333"/>
        <v>70566.933186898721</v>
      </c>
      <c r="AO242" s="527">
        <f t="shared" si="333"/>
        <v>70566.933186898721</v>
      </c>
      <c r="AP242" s="527">
        <f t="shared" si="333"/>
        <v>74230.874023750221</v>
      </c>
      <c r="AQ242" s="527">
        <f t="shared" si="333"/>
        <v>74230.874023750221</v>
      </c>
      <c r="AR242" s="527">
        <f t="shared" si="333"/>
        <v>74230.874023750221</v>
      </c>
      <c r="AS242" s="527">
        <f t="shared" si="333"/>
        <v>74230.874023750221</v>
      </c>
      <c r="AT242" s="527">
        <f t="shared" si="333"/>
        <v>74230.874023750221</v>
      </c>
      <c r="AU242" s="527">
        <f t="shared" si="333"/>
        <v>74230.874023750221</v>
      </c>
      <c r="AV242" s="527">
        <f t="shared" si="333"/>
        <v>74230.874023750221</v>
      </c>
      <c r="AW242" s="527">
        <f t="shared" si="333"/>
        <v>74230.874023750221</v>
      </c>
      <c r="AX242" s="527">
        <f t="shared" ref="AX242:BY242" si="334">($R159*AX$581*AX494)+((($R159*AX$581)+AX209)*AX486)</f>
        <v>74230.874023750221</v>
      </c>
      <c r="AY242" s="527">
        <f t="shared" si="334"/>
        <v>74230.874023750221</v>
      </c>
      <c r="AZ242" s="527">
        <f t="shared" si="334"/>
        <v>74230.874023750221</v>
      </c>
      <c r="BA242" s="527">
        <f t="shared" si="334"/>
        <v>74230.874023750221</v>
      </c>
      <c r="BB242" s="527">
        <f t="shared" si="334"/>
        <v>77859.074774467168</v>
      </c>
      <c r="BC242" s="527">
        <f t="shared" si="334"/>
        <v>77859.074774467168</v>
      </c>
      <c r="BD242" s="527">
        <f t="shared" si="334"/>
        <v>77859.074774467168</v>
      </c>
      <c r="BE242" s="527">
        <f t="shared" si="334"/>
        <v>77859.074774467168</v>
      </c>
      <c r="BF242" s="527">
        <f t="shared" si="334"/>
        <v>77859.074774467168</v>
      </c>
      <c r="BG242" s="527">
        <f t="shared" si="334"/>
        <v>77859.074774467168</v>
      </c>
      <c r="BH242" s="527">
        <f t="shared" si="334"/>
        <v>77859.074774467168</v>
      </c>
      <c r="BI242" s="527">
        <f t="shared" si="334"/>
        <v>77859.074774467168</v>
      </c>
      <c r="BJ242" s="527">
        <f t="shared" si="334"/>
        <v>77859.074774467168</v>
      </c>
      <c r="BK242" s="527">
        <f t="shared" si="334"/>
        <v>77859.074774467168</v>
      </c>
      <c r="BL242" s="527">
        <f t="shared" si="334"/>
        <v>77859.074774467168</v>
      </c>
      <c r="BM242" s="527">
        <f t="shared" si="334"/>
        <v>77859.074774467168</v>
      </c>
      <c r="BN242" s="527">
        <f t="shared" si="334"/>
        <v>81622.168373214648</v>
      </c>
      <c r="BO242" s="527">
        <f t="shared" si="334"/>
        <v>81622.168373214648</v>
      </c>
      <c r="BP242" s="527">
        <f t="shared" si="334"/>
        <v>81622.168373214648</v>
      </c>
      <c r="BQ242" s="527">
        <f t="shared" si="334"/>
        <v>81622.168373214648</v>
      </c>
      <c r="BR242" s="527">
        <f t="shared" si="334"/>
        <v>81622.168373214648</v>
      </c>
      <c r="BS242" s="527">
        <f t="shared" si="334"/>
        <v>81622.168373214648</v>
      </c>
      <c r="BT242" s="527">
        <f t="shared" si="334"/>
        <v>95293.714032940232</v>
      </c>
      <c r="BU242" s="527">
        <f t="shared" si="334"/>
        <v>95293.714032940232</v>
      </c>
      <c r="BV242" s="527">
        <f t="shared" si="334"/>
        <v>95293.714032940232</v>
      </c>
      <c r="BW242" s="527">
        <f t="shared" si="334"/>
        <v>95293.714032940232</v>
      </c>
      <c r="BX242" s="527">
        <f t="shared" si="334"/>
        <v>95293.714032940232</v>
      </c>
      <c r="BY242" s="527">
        <f t="shared" si="334"/>
        <v>95293.714032940232</v>
      </c>
    </row>
    <row r="243" spans="1:77" x14ac:dyDescent="0.3">
      <c r="A243" s="551"/>
      <c r="B243" s="548"/>
      <c r="C243" s="525"/>
      <c r="D243" s="525"/>
      <c r="E243" s="619" t="str">
        <f>"BCF net comm.: "&amp;E$160</f>
        <v>BCF net comm.: Uninvested Tranche</v>
      </c>
      <c r="F243" s="525"/>
      <c r="G243" s="525"/>
      <c r="H243" s="525"/>
      <c r="I243" s="525"/>
      <c r="J243" s="525"/>
      <c r="K243" s="525"/>
      <c r="L243" s="525"/>
      <c r="M243" s="525"/>
      <c r="N243" s="525"/>
      <c r="O243" s="525"/>
      <c r="P243" s="565"/>
      <c r="Q243" s="525"/>
      <c r="R243" s="527">
        <f t="shared" ref="R243:AW243" si="335">($R160*R$581*R495)+((($R160*R$581)+R210)*R487)</f>
        <v>146335.13699224545</v>
      </c>
      <c r="S243" s="527">
        <f t="shared" si="335"/>
        <v>146335.13699224545</v>
      </c>
      <c r="T243" s="527">
        <f t="shared" si="335"/>
        <v>146335.13699224545</v>
      </c>
      <c r="U243" s="527">
        <f t="shared" si="335"/>
        <v>146335.13699224545</v>
      </c>
      <c r="V243" s="527">
        <f t="shared" si="335"/>
        <v>146335.13699224545</v>
      </c>
      <c r="W243" s="527">
        <f t="shared" si="335"/>
        <v>146335.13699224545</v>
      </c>
      <c r="X243" s="527">
        <f t="shared" si="335"/>
        <v>146335.13699224545</v>
      </c>
      <c r="Y243" s="527">
        <f t="shared" si="335"/>
        <v>146335.13699224545</v>
      </c>
      <c r="Z243" s="527">
        <f t="shared" si="335"/>
        <v>146335.13699224545</v>
      </c>
      <c r="AA243" s="527">
        <f t="shared" si="335"/>
        <v>146335.13699224545</v>
      </c>
      <c r="AB243" s="527">
        <f t="shared" si="335"/>
        <v>146335.13699224545</v>
      </c>
      <c r="AC243" s="527">
        <f t="shared" si="335"/>
        <v>146335.13699224545</v>
      </c>
      <c r="AD243" s="527">
        <f t="shared" si="335"/>
        <v>154365.16634634096</v>
      </c>
      <c r="AE243" s="527">
        <f t="shared" si="335"/>
        <v>154365.16634634096</v>
      </c>
      <c r="AF243" s="527">
        <f t="shared" si="335"/>
        <v>154365.16634634096</v>
      </c>
      <c r="AG243" s="527">
        <f t="shared" si="335"/>
        <v>154365.16634634096</v>
      </c>
      <c r="AH243" s="527">
        <f t="shared" si="335"/>
        <v>154365.16634634096</v>
      </c>
      <c r="AI243" s="527">
        <f t="shared" si="335"/>
        <v>154365.16634634096</v>
      </c>
      <c r="AJ243" s="527">
        <f t="shared" si="335"/>
        <v>154365.16634634096</v>
      </c>
      <c r="AK243" s="527">
        <f t="shared" si="335"/>
        <v>154365.16634634096</v>
      </c>
      <c r="AL243" s="527">
        <f t="shared" si="335"/>
        <v>154365.16634634096</v>
      </c>
      <c r="AM243" s="527">
        <f t="shared" si="335"/>
        <v>154365.16634634096</v>
      </c>
      <c r="AN243" s="527">
        <f t="shared" si="335"/>
        <v>154365.16634634096</v>
      </c>
      <c r="AO243" s="527">
        <f t="shared" si="335"/>
        <v>154365.16634634096</v>
      </c>
      <c r="AP243" s="527">
        <f t="shared" si="335"/>
        <v>162380.03692695362</v>
      </c>
      <c r="AQ243" s="527">
        <f t="shared" si="335"/>
        <v>162380.03692695362</v>
      </c>
      <c r="AR243" s="527">
        <f t="shared" si="335"/>
        <v>162380.03692695362</v>
      </c>
      <c r="AS243" s="527">
        <f t="shared" si="335"/>
        <v>162380.03692695362</v>
      </c>
      <c r="AT243" s="527">
        <f t="shared" si="335"/>
        <v>162380.03692695362</v>
      </c>
      <c r="AU243" s="527">
        <f t="shared" si="335"/>
        <v>162380.03692695362</v>
      </c>
      <c r="AV243" s="527">
        <f t="shared" si="335"/>
        <v>162380.03692695362</v>
      </c>
      <c r="AW243" s="527">
        <f t="shared" si="335"/>
        <v>162380.03692695362</v>
      </c>
      <c r="AX243" s="527">
        <f t="shared" ref="AX243:BY243" si="336">($R160*AX$581*AX495)+((($R160*AX$581)+AX210)*AX487)</f>
        <v>162380.03692695362</v>
      </c>
      <c r="AY243" s="527">
        <f t="shared" si="336"/>
        <v>162380.03692695362</v>
      </c>
      <c r="AZ243" s="527">
        <f t="shared" si="336"/>
        <v>162380.03692695362</v>
      </c>
      <c r="BA243" s="527">
        <f t="shared" si="336"/>
        <v>162380.03692695362</v>
      </c>
      <c r="BB243" s="527">
        <f t="shared" si="336"/>
        <v>170316.72606914694</v>
      </c>
      <c r="BC243" s="527">
        <f t="shared" si="336"/>
        <v>170316.72606914694</v>
      </c>
      <c r="BD243" s="527">
        <f t="shared" si="336"/>
        <v>170316.72606914694</v>
      </c>
      <c r="BE243" s="527">
        <f t="shared" si="336"/>
        <v>170316.72606914694</v>
      </c>
      <c r="BF243" s="527">
        <f t="shared" si="336"/>
        <v>170316.72606914694</v>
      </c>
      <c r="BG243" s="527">
        <f t="shared" si="336"/>
        <v>170316.72606914694</v>
      </c>
      <c r="BH243" s="527">
        <f t="shared" si="336"/>
        <v>170316.72606914694</v>
      </c>
      <c r="BI243" s="527">
        <f t="shared" si="336"/>
        <v>170316.72606914694</v>
      </c>
      <c r="BJ243" s="527">
        <f t="shared" si="336"/>
        <v>170316.72606914694</v>
      </c>
      <c r="BK243" s="527">
        <f t="shared" si="336"/>
        <v>170316.72606914694</v>
      </c>
      <c r="BL243" s="527">
        <f t="shared" si="336"/>
        <v>170316.72606914694</v>
      </c>
      <c r="BM243" s="527">
        <f t="shared" si="336"/>
        <v>170316.72606914694</v>
      </c>
      <c r="BN243" s="527">
        <f t="shared" si="336"/>
        <v>178548.49331640705</v>
      </c>
      <c r="BO243" s="527">
        <f t="shared" si="336"/>
        <v>178548.49331640705</v>
      </c>
      <c r="BP243" s="527">
        <f t="shared" si="336"/>
        <v>178548.49331640705</v>
      </c>
      <c r="BQ243" s="527">
        <f t="shared" si="336"/>
        <v>178548.49331640705</v>
      </c>
      <c r="BR243" s="527">
        <f t="shared" si="336"/>
        <v>178548.49331640705</v>
      </c>
      <c r="BS243" s="527">
        <f t="shared" si="336"/>
        <v>178548.49331640705</v>
      </c>
      <c r="BT243" s="527">
        <f t="shared" si="336"/>
        <v>178548.49331640705</v>
      </c>
      <c r="BU243" s="527">
        <f t="shared" si="336"/>
        <v>178548.49331640705</v>
      </c>
      <c r="BV243" s="527">
        <f t="shared" si="336"/>
        <v>178548.49331640705</v>
      </c>
      <c r="BW243" s="527">
        <f t="shared" si="336"/>
        <v>178548.49331640705</v>
      </c>
      <c r="BX243" s="527">
        <f t="shared" si="336"/>
        <v>178548.49331640705</v>
      </c>
      <c r="BY243" s="527">
        <f t="shared" si="336"/>
        <v>178548.49331640705</v>
      </c>
    </row>
    <row r="244" spans="1:77" x14ac:dyDescent="0.3">
      <c r="A244" s="551"/>
      <c r="B244" s="548"/>
      <c r="C244" s="525"/>
      <c r="D244" s="525"/>
      <c r="E244" s="572" t="s">
        <v>36</v>
      </c>
      <c r="F244" s="572"/>
      <c r="G244" s="572"/>
      <c r="H244" s="572"/>
      <c r="I244" s="572"/>
      <c r="J244" s="572"/>
      <c r="K244" s="572"/>
      <c r="L244" s="572"/>
      <c r="M244" s="572"/>
      <c r="N244" s="572"/>
      <c r="O244" s="572"/>
      <c r="P244" s="612"/>
      <c r="Q244" s="572"/>
      <c r="R244" s="530">
        <f t="shared" ref="R244:AW244" si="337">SUM(R238:R243)</f>
        <v>480815.45011737791</v>
      </c>
      <c r="S244" s="530">
        <f t="shared" si="337"/>
        <v>480815.45011737791</v>
      </c>
      <c r="T244" s="530">
        <f t="shared" si="337"/>
        <v>480815.45011737791</v>
      </c>
      <c r="U244" s="530">
        <f t="shared" si="337"/>
        <v>480815.45011737791</v>
      </c>
      <c r="V244" s="530">
        <f t="shared" si="337"/>
        <v>480815.45011737791</v>
      </c>
      <c r="W244" s="530">
        <f t="shared" si="337"/>
        <v>480815.45011737791</v>
      </c>
      <c r="X244" s="530">
        <f t="shared" si="337"/>
        <v>493202.40961618035</v>
      </c>
      <c r="Y244" s="530">
        <f t="shared" si="337"/>
        <v>493202.40961618035</v>
      </c>
      <c r="Z244" s="530">
        <f t="shared" si="337"/>
        <v>493202.40961618035</v>
      </c>
      <c r="AA244" s="530">
        <f t="shared" si="337"/>
        <v>493202.40961618035</v>
      </c>
      <c r="AB244" s="530">
        <f t="shared" si="337"/>
        <v>493202.40961618035</v>
      </c>
      <c r="AC244" s="530">
        <f t="shared" si="337"/>
        <v>493202.40961618035</v>
      </c>
      <c r="AD244" s="530">
        <f t="shared" si="337"/>
        <v>516951.63287066476</v>
      </c>
      <c r="AE244" s="530">
        <f t="shared" si="337"/>
        <v>516951.63287066476</v>
      </c>
      <c r="AF244" s="530">
        <f t="shared" si="337"/>
        <v>516951.63287066476</v>
      </c>
      <c r="AG244" s="530">
        <f t="shared" si="337"/>
        <v>516951.63287066476</v>
      </c>
      <c r="AH244" s="530">
        <f t="shared" si="337"/>
        <v>516951.63287066476</v>
      </c>
      <c r="AI244" s="530">
        <f t="shared" si="337"/>
        <v>516951.63287066476</v>
      </c>
      <c r="AJ244" s="530">
        <f t="shared" si="337"/>
        <v>532896.81321012054</v>
      </c>
      <c r="AK244" s="530">
        <f t="shared" si="337"/>
        <v>532896.81321012054</v>
      </c>
      <c r="AL244" s="530">
        <f t="shared" si="337"/>
        <v>532896.81321012054</v>
      </c>
      <c r="AM244" s="530">
        <f t="shared" si="337"/>
        <v>532896.81321012054</v>
      </c>
      <c r="AN244" s="530">
        <f t="shared" si="337"/>
        <v>532896.81321012054</v>
      </c>
      <c r="AO244" s="530">
        <f t="shared" si="337"/>
        <v>532896.81321012054</v>
      </c>
      <c r="AP244" s="530">
        <f t="shared" si="337"/>
        <v>553987.44913743308</v>
      </c>
      <c r="AQ244" s="530">
        <f t="shared" si="337"/>
        <v>553987.44913743308</v>
      </c>
      <c r="AR244" s="530">
        <f t="shared" si="337"/>
        <v>553987.44913743308</v>
      </c>
      <c r="AS244" s="530">
        <f t="shared" si="337"/>
        <v>553987.44913743308</v>
      </c>
      <c r="AT244" s="530">
        <f t="shared" si="337"/>
        <v>553987.44913743308</v>
      </c>
      <c r="AU244" s="530">
        <f t="shared" si="337"/>
        <v>553987.44913743308</v>
      </c>
      <c r="AV244" s="530">
        <f t="shared" si="337"/>
        <v>573745.44923780498</v>
      </c>
      <c r="AW244" s="530">
        <f t="shared" si="337"/>
        <v>573745.44923780498</v>
      </c>
      <c r="AX244" s="530">
        <f t="shared" ref="AX244:BY244" si="338">SUM(AX238:AX243)</f>
        <v>573745.44923780498</v>
      </c>
      <c r="AY244" s="530">
        <f t="shared" si="338"/>
        <v>573745.44923780498</v>
      </c>
      <c r="AZ244" s="530">
        <f t="shared" si="338"/>
        <v>573745.44923780498</v>
      </c>
      <c r="BA244" s="530">
        <f t="shared" si="338"/>
        <v>573745.44923780498</v>
      </c>
      <c r="BB244" s="530">
        <f t="shared" si="338"/>
        <v>592306.15121398284</v>
      </c>
      <c r="BC244" s="530">
        <f t="shared" si="338"/>
        <v>592306.15121398284</v>
      </c>
      <c r="BD244" s="530">
        <f t="shared" si="338"/>
        <v>592306.15121398284</v>
      </c>
      <c r="BE244" s="530">
        <f t="shared" si="338"/>
        <v>592306.15121398284</v>
      </c>
      <c r="BF244" s="530">
        <f t="shared" si="338"/>
        <v>592306.15121398284</v>
      </c>
      <c r="BG244" s="530">
        <f t="shared" si="338"/>
        <v>592306.15121398284</v>
      </c>
      <c r="BH244" s="530">
        <f t="shared" si="338"/>
        <v>616135.40686429467</v>
      </c>
      <c r="BI244" s="530">
        <f t="shared" si="338"/>
        <v>616135.40686429467</v>
      </c>
      <c r="BJ244" s="530">
        <f t="shared" si="338"/>
        <v>616135.40686429467</v>
      </c>
      <c r="BK244" s="530">
        <f t="shared" si="338"/>
        <v>616135.40686429467</v>
      </c>
      <c r="BL244" s="530">
        <f t="shared" si="338"/>
        <v>616135.40686429467</v>
      </c>
      <c r="BM244" s="530">
        <f t="shared" si="338"/>
        <v>616135.40686429467</v>
      </c>
      <c r="BN244" s="530">
        <f t="shared" si="338"/>
        <v>633094.68184193259</v>
      </c>
      <c r="BO244" s="530">
        <f t="shared" si="338"/>
        <v>633094.68184193259</v>
      </c>
      <c r="BP244" s="530">
        <f t="shared" si="338"/>
        <v>633094.68184193259</v>
      </c>
      <c r="BQ244" s="530">
        <f t="shared" si="338"/>
        <v>633094.68184193259</v>
      </c>
      <c r="BR244" s="530">
        <f t="shared" si="338"/>
        <v>633094.68184193259</v>
      </c>
      <c r="BS244" s="530">
        <f t="shared" si="338"/>
        <v>633094.68184193259</v>
      </c>
      <c r="BT244" s="530">
        <f t="shared" si="338"/>
        <v>661268.12473954505</v>
      </c>
      <c r="BU244" s="530">
        <f t="shared" si="338"/>
        <v>661268.12473954505</v>
      </c>
      <c r="BV244" s="530">
        <f t="shared" si="338"/>
        <v>661268.12473954505</v>
      </c>
      <c r="BW244" s="530">
        <f t="shared" si="338"/>
        <v>661268.12473954505</v>
      </c>
      <c r="BX244" s="530">
        <f t="shared" si="338"/>
        <v>661268.12473954505</v>
      </c>
      <c r="BY244" s="530">
        <f t="shared" si="338"/>
        <v>661268.12473954505</v>
      </c>
    </row>
    <row r="245" spans="1:77" x14ac:dyDescent="0.3">
      <c r="A245" s="551"/>
      <c r="B245" s="548"/>
      <c r="C245" s="525"/>
      <c r="D245" s="525"/>
      <c r="E245" s="525"/>
      <c r="F245" s="525"/>
      <c r="G245" s="525"/>
      <c r="H245" s="525"/>
      <c r="I245" s="525"/>
      <c r="J245" s="525"/>
      <c r="K245" s="525"/>
      <c r="L245" s="525"/>
      <c r="M245" s="525"/>
      <c r="N245" s="525"/>
      <c r="O245" s="525"/>
      <c r="P245" s="565"/>
      <c r="Q245" s="525"/>
      <c r="R245" s="525"/>
      <c r="S245" s="525"/>
      <c r="T245" s="525"/>
      <c r="U245" s="525"/>
      <c r="V245" s="525"/>
      <c r="W245" s="525"/>
      <c r="X245" s="525"/>
      <c r="Y245" s="525"/>
      <c r="Z245" s="525"/>
      <c r="AA245" s="525"/>
      <c r="AB245" s="525"/>
      <c r="AC245" s="525"/>
      <c r="AD245" s="525"/>
      <c r="AE245" s="525"/>
      <c r="AF245" s="525"/>
      <c r="AG245" s="525"/>
      <c r="AH245" s="525"/>
      <c r="AI245" s="525"/>
      <c r="AJ245" s="525"/>
      <c r="AK245" s="525"/>
      <c r="AL245" s="525"/>
      <c r="AM245" s="525"/>
      <c r="AN245" s="525"/>
      <c r="AO245" s="525"/>
      <c r="AP245" s="525"/>
      <c r="AQ245" s="525"/>
      <c r="AR245" s="525"/>
      <c r="AS245" s="525"/>
      <c r="AT245" s="525"/>
      <c r="AU245" s="525"/>
      <c r="AV245" s="525"/>
      <c r="AW245" s="525"/>
      <c r="AX245" s="525"/>
      <c r="AY245" s="525"/>
      <c r="AZ245" s="525"/>
      <c r="BA245" s="525"/>
      <c r="BB245" s="525"/>
      <c r="BC245" s="525"/>
      <c r="BD245" s="525"/>
      <c r="BE245" s="525"/>
      <c r="BF245" s="525"/>
      <c r="BG245" s="525"/>
      <c r="BH245" s="525"/>
      <c r="BI245" s="525"/>
      <c r="BJ245" s="525"/>
      <c r="BK245" s="525"/>
      <c r="BL245" s="525"/>
      <c r="BM245" s="525"/>
      <c r="BN245" s="525"/>
      <c r="BO245" s="525"/>
      <c r="BP245" s="525"/>
      <c r="BQ245" s="525"/>
      <c r="BR245" s="525"/>
      <c r="BS245" s="525"/>
      <c r="BT245" s="525"/>
      <c r="BU245" s="525"/>
      <c r="BV245" s="525"/>
      <c r="BW245" s="525"/>
      <c r="BX245" s="525"/>
      <c r="BY245" s="525"/>
    </row>
    <row r="246" spans="1:77" x14ac:dyDescent="0.3">
      <c r="A246" s="551"/>
      <c r="B246" s="548"/>
      <c r="C246" s="525"/>
      <c r="D246" s="525"/>
      <c r="E246" s="620" t="str">
        <f>"BCF gross sales: "&amp;E$155</f>
        <v>BCF gross sales: FY27 Tranche</v>
      </c>
      <c r="F246" s="525"/>
      <c r="G246" s="525"/>
      <c r="H246" s="525"/>
      <c r="I246" s="525"/>
      <c r="J246" s="525"/>
      <c r="K246" s="525"/>
      <c r="L246" s="525"/>
      <c r="M246" s="525"/>
      <c r="N246" s="525"/>
      <c r="O246" s="525"/>
      <c r="P246" s="565"/>
      <c r="Q246" s="525"/>
      <c r="R246" s="527">
        <f t="shared" ref="R246:AW246" si="339">IFERROR(R238/R$223,0)</f>
        <v>148179.80354033349</v>
      </c>
      <c r="S246" s="527">
        <f t="shared" si="339"/>
        <v>148179.80354033349</v>
      </c>
      <c r="T246" s="527">
        <f t="shared" si="339"/>
        <v>148179.80354033349</v>
      </c>
      <c r="U246" s="527">
        <f t="shared" si="339"/>
        <v>148179.80354033349</v>
      </c>
      <c r="V246" s="527">
        <f t="shared" si="339"/>
        <v>148179.80354033349</v>
      </c>
      <c r="W246" s="527">
        <f t="shared" si="339"/>
        <v>148179.80354033349</v>
      </c>
      <c r="X246" s="527">
        <f t="shared" si="339"/>
        <v>175617.84926334044</v>
      </c>
      <c r="Y246" s="527">
        <f t="shared" si="339"/>
        <v>175617.84926334044</v>
      </c>
      <c r="Z246" s="527">
        <f t="shared" si="339"/>
        <v>175617.84926334044</v>
      </c>
      <c r="AA246" s="527">
        <f t="shared" si="339"/>
        <v>175617.84926334044</v>
      </c>
      <c r="AB246" s="527">
        <f t="shared" si="339"/>
        <v>175617.84926334044</v>
      </c>
      <c r="AC246" s="527">
        <f t="shared" si="339"/>
        <v>175617.84926334044</v>
      </c>
      <c r="AD246" s="527">
        <f t="shared" si="339"/>
        <v>174817.26431088534</v>
      </c>
      <c r="AE246" s="527">
        <f t="shared" si="339"/>
        <v>174817.26431088534</v>
      </c>
      <c r="AF246" s="527">
        <f t="shared" si="339"/>
        <v>174817.26431088534</v>
      </c>
      <c r="AG246" s="527">
        <f t="shared" si="339"/>
        <v>174817.26431088534</v>
      </c>
      <c r="AH246" s="527">
        <f t="shared" si="339"/>
        <v>174817.26431088534</v>
      </c>
      <c r="AI246" s="527">
        <f t="shared" si="339"/>
        <v>174817.26431088534</v>
      </c>
      <c r="AJ246" s="527">
        <f t="shared" si="339"/>
        <v>181811.02652414559</v>
      </c>
      <c r="AK246" s="527">
        <f t="shared" si="339"/>
        <v>181811.02652414559</v>
      </c>
      <c r="AL246" s="527">
        <f t="shared" si="339"/>
        <v>181811.02652414559</v>
      </c>
      <c r="AM246" s="527">
        <f t="shared" si="339"/>
        <v>181811.02652414559</v>
      </c>
      <c r="AN246" s="527">
        <f t="shared" si="339"/>
        <v>181811.02652414559</v>
      </c>
      <c r="AO246" s="527">
        <f t="shared" si="339"/>
        <v>181811.02652414559</v>
      </c>
      <c r="AP246" s="527">
        <f t="shared" si="339"/>
        <v>181169.55653253544</v>
      </c>
      <c r="AQ246" s="527">
        <f t="shared" si="339"/>
        <v>181169.55653253544</v>
      </c>
      <c r="AR246" s="527">
        <f t="shared" si="339"/>
        <v>181169.55653253544</v>
      </c>
      <c r="AS246" s="527">
        <f t="shared" si="339"/>
        <v>181169.55653253544</v>
      </c>
      <c r="AT246" s="527">
        <f t="shared" si="339"/>
        <v>181169.55653253544</v>
      </c>
      <c r="AU246" s="527">
        <f t="shared" si="339"/>
        <v>181169.55653253544</v>
      </c>
      <c r="AV246" s="527">
        <f t="shared" si="339"/>
        <v>188352.05439440827</v>
      </c>
      <c r="AW246" s="527">
        <f t="shared" si="339"/>
        <v>188352.05439440827</v>
      </c>
      <c r="AX246" s="527">
        <f t="shared" ref="AX246:BY246" si="340">IFERROR(AX238/AX$223,0)</f>
        <v>188352.05439440827</v>
      </c>
      <c r="AY246" s="527">
        <f t="shared" si="340"/>
        <v>188352.05439440827</v>
      </c>
      <c r="AZ246" s="527">
        <f t="shared" si="340"/>
        <v>188352.05439440827</v>
      </c>
      <c r="BA246" s="527">
        <f t="shared" si="340"/>
        <v>188352.05439440827</v>
      </c>
      <c r="BB246" s="527">
        <f t="shared" si="340"/>
        <v>188037.60444346842</v>
      </c>
      <c r="BC246" s="527">
        <f t="shared" si="340"/>
        <v>188037.60444346842</v>
      </c>
      <c r="BD246" s="527">
        <f t="shared" si="340"/>
        <v>188037.60444346842</v>
      </c>
      <c r="BE246" s="527">
        <f t="shared" si="340"/>
        <v>188037.60444346842</v>
      </c>
      <c r="BF246" s="527">
        <f t="shared" si="340"/>
        <v>188037.60444346842</v>
      </c>
      <c r="BG246" s="527">
        <f t="shared" si="340"/>
        <v>188037.60444346842</v>
      </c>
      <c r="BH246" s="527">
        <f t="shared" si="340"/>
        <v>195423.05426522935</v>
      </c>
      <c r="BI246" s="527">
        <f t="shared" si="340"/>
        <v>195423.05426522935</v>
      </c>
      <c r="BJ246" s="527">
        <f t="shared" si="340"/>
        <v>195423.05426522935</v>
      </c>
      <c r="BK246" s="527">
        <f t="shared" si="340"/>
        <v>195423.05426522935</v>
      </c>
      <c r="BL246" s="527">
        <f t="shared" si="340"/>
        <v>195423.05426522935</v>
      </c>
      <c r="BM246" s="527">
        <f t="shared" si="340"/>
        <v>195423.05426522935</v>
      </c>
      <c r="BN246" s="527">
        <f t="shared" si="340"/>
        <v>195326.63557520535</v>
      </c>
      <c r="BO246" s="527">
        <f t="shared" si="340"/>
        <v>195326.63557520535</v>
      </c>
      <c r="BP246" s="527">
        <f t="shared" si="340"/>
        <v>195326.63557520535</v>
      </c>
      <c r="BQ246" s="527">
        <f t="shared" si="340"/>
        <v>195326.63557520535</v>
      </c>
      <c r="BR246" s="527">
        <f t="shared" si="340"/>
        <v>195326.63557520535</v>
      </c>
      <c r="BS246" s="527">
        <f t="shared" si="340"/>
        <v>195326.63557520535</v>
      </c>
      <c r="BT246" s="527">
        <f t="shared" si="340"/>
        <v>202923.60094955869</v>
      </c>
      <c r="BU246" s="527">
        <f t="shared" si="340"/>
        <v>202923.60094955869</v>
      </c>
      <c r="BV246" s="527">
        <f t="shared" si="340"/>
        <v>202923.60094955869</v>
      </c>
      <c r="BW246" s="527">
        <f t="shared" si="340"/>
        <v>202923.60094955869</v>
      </c>
      <c r="BX246" s="527">
        <f t="shared" si="340"/>
        <v>202923.60094955869</v>
      </c>
      <c r="BY246" s="527">
        <f t="shared" si="340"/>
        <v>202923.60094955869</v>
      </c>
    </row>
    <row r="247" spans="1:77" x14ac:dyDescent="0.3">
      <c r="A247" s="551"/>
      <c r="B247" s="548"/>
      <c r="C247" s="525"/>
      <c r="D247" s="525"/>
      <c r="E247" s="620" t="str">
        <f>"BCF gross sales: "&amp;E$156</f>
        <v>BCF gross sales: FY28 Tranche</v>
      </c>
      <c r="F247" s="525"/>
      <c r="G247" s="525"/>
      <c r="H247" s="525"/>
      <c r="I247" s="525"/>
      <c r="J247" s="525"/>
      <c r="K247" s="525"/>
      <c r="L247" s="525"/>
      <c r="M247" s="525"/>
      <c r="N247" s="525"/>
      <c r="O247" s="525"/>
      <c r="P247" s="565"/>
      <c r="Q247" s="525"/>
      <c r="R247" s="527">
        <f t="shared" ref="R247:AW247" si="341">IFERROR(R239/R$223,0)</f>
        <v>148179.80354033349</v>
      </c>
      <c r="S247" s="527">
        <f t="shared" si="341"/>
        <v>148179.80354033349</v>
      </c>
      <c r="T247" s="527">
        <f t="shared" si="341"/>
        <v>148179.80354033349</v>
      </c>
      <c r="U247" s="527">
        <f t="shared" si="341"/>
        <v>148179.80354033349</v>
      </c>
      <c r="V247" s="527">
        <f t="shared" si="341"/>
        <v>148179.80354033349</v>
      </c>
      <c r="W247" s="527">
        <f t="shared" si="341"/>
        <v>148179.80354033349</v>
      </c>
      <c r="X247" s="527">
        <f t="shared" si="341"/>
        <v>148179.80354033349</v>
      </c>
      <c r="Y247" s="527">
        <f t="shared" si="341"/>
        <v>148179.80354033349</v>
      </c>
      <c r="Z247" s="527">
        <f t="shared" si="341"/>
        <v>148179.80354033349</v>
      </c>
      <c r="AA247" s="527">
        <f t="shared" si="341"/>
        <v>148179.80354033349</v>
      </c>
      <c r="AB247" s="527">
        <f t="shared" si="341"/>
        <v>148179.80354033349</v>
      </c>
      <c r="AC247" s="527">
        <f t="shared" si="341"/>
        <v>148179.80354033349</v>
      </c>
      <c r="AD247" s="527">
        <f t="shared" si="341"/>
        <v>153592.04049251217</v>
      </c>
      <c r="AE247" s="527">
        <f t="shared" si="341"/>
        <v>153592.04049251217</v>
      </c>
      <c r="AF247" s="527">
        <f t="shared" si="341"/>
        <v>153592.04049251217</v>
      </c>
      <c r="AG247" s="527">
        <f t="shared" si="341"/>
        <v>153592.04049251217</v>
      </c>
      <c r="AH247" s="527">
        <f t="shared" si="341"/>
        <v>153592.04049251217</v>
      </c>
      <c r="AI247" s="527">
        <f t="shared" si="341"/>
        <v>153592.04049251217</v>
      </c>
      <c r="AJ247" s="527">
        <f t="shared" si="341"/>
        <v>181303.66611113781</v>
      </c>
      <c r="AK247" s="527">
        <f t="shared" si="341"/>
        <v>181303.66611113781</v>
      </c>
      <c r="AL247" s="527">
        <f t="shared" si="341"/>
        <v>181303.66611113781</v>
      </c>
      <c r="AM247" s="527">
        <f t="shared" si="341"/>
        <v>181303.66611113781</v>
      </c>
      <c r="AN247" s="527">
        <f t="shared" si="341"/>
        <v>181303.66611113781</v>
      </c>
      <c r="AO247" s="527">
        <f t="shared" si="341"/>
        <v>181303.66611113781</v>
      </c>
      <c r="AP247" s="527">
        <f t="shared" si="341"/>
        <v>180668.54481632161</v>
      </c>
      <c r="AQ247" s="527">
        <f t="shared" si="341"/>
        <v>180668.54481632161</v>
      </c>
      <c r="AR247" s="527">
        <f t="shared" si="341"/>
        <v>180668.54481632161</v>
      </c>
      <c r="AS247" s="527">
        <f t="shared" si="341"/>
        <v>180668.54481632161</v>
      </c>
      <c r="AT247" s="527">
        <f t="shared" si="341"/>
        <v>180668.54481632161</v>
      </c>
      <c r="AU247" s="527">
        <f t="shared" si="341"/>
        <v>180668.54481632161</v>
      </c>
      <c r="AV247" s="527">
        <f t="shared" si="341"/>
        <v>187831.00220954584</v>
      </c>
      <c r="AW247" s="527">
        <f t="shared" si="341"/>
        <v>187831.00220954584</v>
      </c>
      <c r="AX247" s="527">
        <f t="shared" ref="AX247:BY247" si="342">IFERROR(AX239/AX$223,0)</f>
        <v>187831.00220954584</v>
      </c>
      <c r="AY247" s="527">
        <f t="shared" si="342"/>
        <v>187831.00220954584</v>
      </c>
      <c r="AZ247" s="527">
        <f t="shared" si="342"/>
        <v>187831.00220954584</v>
      </c>
      <c r="BA247" s="527">
        <f t="shared" si="342"/>
        <v>187831.00220954584</v>
      </c>
      <c r="BB247" s="527">
        <f t="shared" si="342"/>
        <v>187522.4359099901</v>
      </c>
      <c r="BC247" s="527">
        <f t="shared" si="342"/>
        <v>187522.4359099901</v>
      </c>
      <c r="BD247" s="527">
        <f t="shared" si="342"/>
        <v>187522.4359099901</v>
      </c>
      <c r="BE247" s="527">
        <f t="shared" si="342"/>
        <v>187522.4359099901</v>
      </c>
      <c r="BF247" s="527">
        <f t="shared" si="342"/>
        <v>187522.4359099901</v>
      </c>
      <c r="BG247" s="527">
        <f t="shared" si="342"/>
        <v>187522.4359099901</v>
      </c>
      <c r="BH247" s="527">
        <f t="shared" si="342"/>
        <v>194887.27899041187</v>
      </c>
      <c r="BI247" s="527">
        <f t="shared" si="342"/>
        <v>194887.27899041187</v>
      </c>
      <c r="BJ247" s="527">
        <f t="shared" si="342"/>
        <v>194887.27899041187</v>
      </c>
      <c r="BK247" s="527">
        <f t="shared" si="342"/>
        <v>194887.27899041187</v>
      </c>
      <c r="BL247" s="527">
        <f t="shared" si="342"/>
        <v>194887.27899041187</v>
      </c>
      <c r="BM247" s="527">
        <f t="shared" si="342"/>
        <v>194887.27899041187</v>
      </c>
      <c r="BN247" s="527">
        <f t="shared" si="342"/>
        <v>194796.7128751337</v>
      </c>
      <c r="BO247" s="527">
        <f t="shared" si="342"/>
        <v>194796.7128751337</v>
      </c>
      <c r="BP247" s="527">
        <f t="shared" si="342"/>
        <v>194796.7128751337</v>
      </c>
      <c r="BQ247" s="527">
        <f t="shared" si="342"/>
        <v>194796.7128751337</v>
      </c>
      <c r="BR247" s="527">
        <f t="shared" si="342"/>
        <v>194796.7128751337</v>
      </c>
      <c r="BS247" s="527">
        <f t="shared" si="342"/>
        <v>194796.7128751337</v>
      </c>
      <c r="BT247" s="527">
        <f t="shared" si="342"/>
        <v>202372.48134148421</v>
      </c>
      <c r="BU247" s="527">
        <f t="shared" si="342"/>
        <v>202372.48134148421</v>
      </c>
      <c r="BV247" s="527">
        <f t="shared" si="342"/>
        <v>202372.48134148421</v>
      </c>
      <c r="BW247" s="527">
        <f t="shared" si="342"/>
        <v>202372.48134148421</v>
      </c>
      <c r="BX247" s="527">
        <f t="shared" si="342"/>
        <v>202372.48134148421</v>
      </c>
      <c r="BY247" s="527">
        <f t="shared" si="342"/>
        <v>202372.48134148421</v>
      </c>
    </row>
    <row r="248" spans="1:77" x14ac:dyDescent="0.3">
      <c r="A248" s="551"/>
      <c r="B248" s="548"/>
      <c r="C248" s="525"/>
      <c r="D248" s="525"/>
      <c r="E248" s="620" t="str">
        <f>"BCF gross sales: "&amp;E$157</f>
        <v>BCF gross sales: FY29 Tranche</v>
      </c>
      <c r="F248" s="525"/>
      <c r="G248" s="525"/>
      <c r="H248" s="525"/>
      <c r="I248" s="525"/>
      <c r="J248" s="525"/>
      <c r="K248" s="525"/>
      <c r="L248" s="525"/>
      <c r="M248" s="525"/>
      <c r="N248" s="525"/>
      <c r="O248" s="525"/>
      <c r="P248" s="565"/>
      <c r="Q248" s="525"/>
      <c r="R248" s="527">
        <f t="shared" ref="R248:AW248" si="343">IFERROR(R240/R$223,0)</f>
        <v>148179.80354033349</v>
      </c>
      <c r="S248" s="527">
        <f t="shared" si="343"/>
        <v>148179.80354033349</v>
      </c>
      <c r="T248" s="527">
        <f t="shared" si="343"/>
        <v>148179.80354033349</v>
      </c>
      <c r="U248" s="527">
        <f t="shared" si="343"/>
        <v>148179.80354033349</v>
      </c>
      <c r="V248" s="527">
        <f t="shared" si="343"/>
        <v>148179.80354033349</v>
      </c>
      <c r="W248" s="527">
        <f t="shared" si="343"/>
        <v>148179.80354033349</v>
      </c>
      <c r="X248" s="527">
        <f t="shared" si="343"/>
        <v>148179.80354033349</v>
      </c>
      <c r="Y248" s="527">
        <f t="shared" si="343"/>
        <v>148179.80354033349</v>
      </c>
      <c r="Z248" s="527">
        <f t="shared" si="343"/>
        <v>148179.80354033349</v>
      </c>
      <c r="AA248" s="527">
        <f t="shared" si="343"/>
        <v>148179.80354033349</v>
      </c>
      <c r="AB248" s="527">
        <f t="shared" si="343"/>
        <v>148179.80354033349</v>
      </c>
      <c r="AC248" s="527">
        <f t="shared" si="343"/>
        <v>148179.80354033349</v>
      </c>
      <c r="AD248" s="527">
        <f t="shared" si="343"/>
        <v>153592.04049251217</v>
      </c>
      <c r="AE248" s="527">
        <f t="shared" si="343"/>
        <v>153592.04049251217</v>
      </c>
      <c r="AF248" s="527">
        <f t="shared" si="343"/>
        <v>153592.04049251217</v>
      </c>
      <c r="AG248" s="527">
        <f t="shared" si="343"/>
        <v>153592.04049251217</v>
      </c>
      <c r="AH248" s="527">
        <f t="shared" si="343"/>
        <v>153592.04049251217</v>
      </c>
      <c r="AI248" s="527">
        <f t="shared" si="343"/>
        <v>153592.04049251217</v>
      </c>
      <c r="AJ248" s="527">
        <f t="shared" si="343"/>
        <v>153592.04049251217</v>
      </c>
      <c r="AK248" s="527">
        <f t="shared" si="343"/>
        <v>153592.04049251217</v>
      </c>
      <c r="AL248" s="527">
        <f t="shared" si="343"/>
        <v>153592.04049251217</v>
      </c>
      <c r="AM248" s="527">
        <f t="shared" si="343"/>
        <v>153592.04049251217</v>
      </c>
      <c r="AN248" s="527">
        <f t="shared" si="343"/>
        <v>153592.04049251217</v>
      </c>
      <c r="AO248" s="527">
        <f t="shared" si="343"/>
        <v>153592.04049251217</v>
      </c>
      <c r="AP248" s="527">
        <f t="shared" si="343"/>
        <v>159012.47307048042</v>
      </c>
      <c r="AQ248" s="527">
        <f t="shared" si="343"/>
        <v>159012.47307048042</v>
      </c>
      <c r="AR248" s="527">
        <f t="shared" si="343"/>
        <v>159012.47307048042</v>
      </c>
      <c r="AS248" s="527">
        <f t="shared" si="343"/>
        <v>159012.47307048042</v>
      </c>
      <c r="AT248" s="527">
        <f t="shared" si="343"/>
        <v>159012.47307048042</v>
      </c>
      <c r="AU248" s="527">
        <f t="shared" si="343"/>
        <v>159012.47307048042</v>
      </c>
      <c r="AV248" s="527">
        <f t="shared" si="343"/>
        <v>186991.79999858551</v>
      </c>
      <c r="AW248" s="527">
        <f t="shared" si="343"/>
        <v>186991.79999858551</v>
      </c>
      <c r="AX248" s="527">
        <f t="shared" ref="AX248:BY248" si="344">IFERROR(AX240/AX$223,0)</f>
        <v>186991.79999858551</v>
      </c>
      <c r="AY248" s="527">
        <f t="shared" si="344"/>
        <v>186991.79999858551</v>
      </c>
      <c r="AZ248" s="527">
        <f t="shared" si="344"/>
        <v>186991.79999858551</v>
      </c>
      <c r="BA248" s="527">
        <f t="shared" si="344"/>
        <v>186991.79999858551</v>
      </c>
      <c r="BB248" s="527">
        <f t="shared" si="344"/>
        <v>186692.70985783605</v>
      </c>
      <c r="BC248" s="527">
        <f t="shared" si="344"/>
        <v>186692.70985783605</v>
      </c>
      <c r="BD248" s="527">
        <f t="shared" si="344"/>
        <v>186692.70985783605</v>
      </c>
      <c r="BE248" s="527">
        <f t="shared" si="344"/>
        <v>186692.70985783605</v>
      </c>
      <c r="BF248" s="527">
        <f t="shared" si="344"/>
        <v>186692.70985783605</v>
      </c>
      <c r="BG248" s="527">
        <f t="shared" si="344"/>
        <v>186692.70985783605</v>
      </c>
      <c r="BH248" s="527">
        <f t="shared" si="344"/>
        <v>194024.36389617165</v>
      </c>
      <c r="BI248" s="527">
        <f t="shared" si="344"/>
        <v>194024.36389617165</v>
      </c>
      <c r="BJ248" s="527">
        <f t="shared" si="344"/>
        <v>194024.36389617165</v>
      </c>
      <c r="BK248" s="527">
        <f t="shared" si="344"/>
        <v>194024.36389617165</v>
      </c>
      <c r="BL248" s="527">
        <f t="shared" si="344"/>
        <v>194024.36389617165</v>
      </c>
      <c r="BM248" s="527">
        <f t="shared" si="344"/>
        <v>194024.36389617165</v>
      </c>
      <c r="BN248" s="527">
        <f t="shared" si="344"/>
        <v>193943.22388793068</v>
      </c>
      <c r="BO248" s="527">
        <f t="shared" si="344"/>
        <v>193943.22388793068</v>
      </c>
      <c r="BP248" s="527">
        <f t="shared" si="344"/>
        <v>193943.22388793068</v>
      </c>
      <c r="BQ248" s="527">
        <f t="shared" si="344"/>
        <v>193943.22388793068</v>
      </c>
      <c r="BR248" s="527">
        <f t="shared" si="344"/>
        <v>193943.22388793068</v>
      </c>
      <c r="BS248" s="527">
        <f t="shared" si="344"/>
        <v>193943.22388793068</v>
      </c>
      <c r="BT248" s="527">
        <f t="shared" si="344"/>
        <v>201484.85279479303</v>
      </c>
      <c r="BU248" s="527">
        <f t="shared" si="344"/>
        <v>201484.85279479303</v>
      </c>
      <c r="BV248" s="527">
        <f t="shared" si="344"/>
        <v>201484.85279479303</v>
      </c>
      <c r="BW248" s="527">
        <f t="shared" si="344"/>
        <v>201484.85279479303</v>
      </c>
      <c r="BX248" s="527">
        <f t="shared" si="344"/>
        <v>201484.85279479303</v>
      </c>
      <c r="BY248" s="527">
        <f t="shared" si="344"/>
        <v>201484.85279479303</v>
      </c>
    </row>
    <row r="249" spans="1:77" x14ac:dyDescent="0.3">
      <c r="A249" s="551"/>
      <c r="B249" s="548"/>
      <c r="C249" s="525"/>
      <c r="D249" s="525"/>
      <c r="E249" s="620" t="str">
        <f>"BCF gross sales: "&amp;E$158</f>
        <v>BCF gross sales: FY30 Tranche</v>
      </c>
      <c r="F249" s="525"/>
      <c r="G249" s="525"/>
      <c r="H249" s="525"/>
      <c r="I249" s="525"/>
      <c r="J249" s="525"/>
      <c r="K249" s="525"/>
      <c r="L249" s="525"/>
      <c r="M249" s="525"/>
      <c r="N249" s="525"/>
      <c r="O249" s="525"/>
      <c r="P249" s="565"/>
      <c r="Q249" s="525"/>
      <c r="R249" s="527">
        <f t="shared" ref="R249:AW249" si="345">IFERROR(R241/R$223,0)</f>
        <v>148179.80354033349</v>
      </c>
      <c r="S249" s="527">
        <f t="shared" si="345"/>
        <v>148179.80354033349</v>
      </c>
      <c r="T249" s="527">
        <f t="shared" si="345"/>
        <v>148179.80354033349</v>
      </c>
      <c r="U249" s="527">
        <f t="shared" si="345"/>
        <v>148179.80354033349</v>
      </c>
      <c r="V249" s="527">
        <f t="shared" si="345"/>
        <v>148179.80354033349</v>
      </c>
      <c r="W249" s="527">
        <f t="shared" si="345"/>
        <v>148179.80354033349</v>
      </c>
      <c r="X249" s="527">
        <f t="shared" si="345"/>
        <v>148179.80354033349</v>
      </c>
      <c r="Y249" s="527">
        <f t="shared" si="345"/>
        <v>148179.80354033349</v>
      </c>
      <c r="Z249" s="527">
        <f t="shared" si="345"/>
        <v>148179.80354033349</v>
      </c>
      <c r="AA249" s="527">
        <f t="shared" si="345"/>
        <v>148179.80354033349</v>
      </c>
      <c r="AB249" s="527">
        <f t="shared" si="345"/>
        <v>148179.80354033349</v>
      </c>
      <c r="AC249" s="527">
        <f t="shared" si="345"/>
        <v>148179.80354033349</v>
      </c>
      <c r="AD249" s="527">
        <f t="shared" si="345"/>
        <v>153592.04049251217</v>
      </c>
      <c r="AE249" s="527">
        <f t="shared" si="345"/>
        <v>153592.04049251217</v>
      </c>
      <c r="AF249" s="527">
        <f t="shared" si="345"/>
        <v>153592.04049251217</v>
      </c>
      <c r="AG249" s="527">
        <f t="shared" si="345"/>
        <v>153592.04049251217</v>
      </c>
      <c r="AH249" s="527">
        <f t="shared" si="345"/>
        <v>153592.04049251217</v>
      </c>
      <c r="AI249" s="527">
        <f t="shared" si="345"/>
        <v>153592.04049251217</v>
      </c>
      <c r="AJ249" s="527">
        <f t="shared" si="345"/>
        <v>153592.04049251217</v>
      </c>
      <c r="AK249" s="527">
        <f t="shared" si="345"/>
        <v>153592.04049251217</v>
      </c>
      <c r="AL249" s="527">
        <f t="shared" si="345"/>
        <v>153592.04049251217</v>
      </c>
      <c r="AM249" s="527">
        <f t="shared" si="345"/>
        <v>153592.04049251217</v>
      </c>
      <c r="AN249" s="527">
        <f t="shared" si="345"/>
        <v>153592.04049251217</v>
      </c>
      <c r="AO249" s="527">
        <f t="shared" si="345"/>
        <v>153592.04049251217</v>
      </c>
      <c r="AP249" s="527">
        <f t="shared" si="345"/>
        <v>159012.47307048042</v>
      </c>
      <c r="AQ249" s="527">
        <f t="shared" si="345"/>
        <v>159012.47307048042</v>
      </c>
      <c r="AR249" s="527">
        <f t="shared" si="345"/>
        <v>159012.47307048042</v>
      </c>
      <c r="AS249" s="527">
        <f t="shared" si="345"/>
        <v>159012.47307048042</v>
      </c>
      <c r="AT249" s="527">
        <f t="shared" si="345"/>
        <v>159012.47307048042</v>
      </c>
      <c r="AU249" s="527">
        <f t="shared" si="345"/>
        <v>159012.47307048042</v>
      </c>
      <c r="AV249" s="527">
        <f t="shared" si="345"/>
        <v>159012.47307048042</v>
      </c>
      <c r="AW249" s="527">
        <f t="shared" si="345"/>
        <v>159012.47307048042</v>
      </c>
      <c r="AX249" s="527">
        <f t="shared" ref="AX249:BY249" si="346">IFERROR(AX241/AX$223,0)</f>
        <v>159012.47307048042</v>
      </c>
      <c r="AY249" s="527">
        <f t="shared" si="346"/>
        <v>159012.47307048042</v>
      </c>
      <c r="AZ249" s="527">
        <f t="shared" si="346"/>
        <v>159012.47307048042</v>
      </c>
      <c r="BA249" s="527">
        <f t="shared" si="346"/>
        <v>159012.47307048042</v>
      </c>
      <c r="BB249" s="527">
        <f t="shared" si="346"/>
        <v>164405.56279636794</v>
      </c>
      <c r="BC249" s="527">
        <f t="shared" si="346"/>
        <v>164405.56279636794</v>
      </c>
      <c r="BD249" s="527">
        <f t="shared" si="346"/>
        <v>164405.56279636794</v>
      </c>
      <c r="BE249" s="527">
        <f t="shared" si="346"/>
        <v>164405.56279636794</v>
      </c>
      <c r="BF249" s="527">
        <f t="shared" si="346"/>
        <v>164405.56279636794</v>
      </c>
      <c r="BG249" s="527">
        <f t="shared" si="346"/>
        <v>164405.56279636794</v>
      </c>
      <c r="BH249" s="527">
        <f t="shared" si="346"/>
        <v>192640.964187515</v>
      </c>
      <c r="BI249" s="527">
        <f t="shared" si="346"/>
        <v>192640.964187515</v>
      </c>
      <c r="BJ249" s="527">
        <f t="shared" si="346"/>
        <v>192640.964187515</v>
      </c>
      <c r="BK249" s="527">
        <f t="shared" si="346"/>
        <v>192640.964187515</v>
      </c>
      <c r="BL249" s="527">
        <f t="shared" si="346"/>
        <v>192640.964187515</v>
      </c>
      <c r="BM249" s="527">
        <f t="shared" si="346"/>
        <v>192640.964187515</v>
      </c>
      <c r="BN249" s="527">
        <f t="shared" si="346"/>
        <v>192574.93583257124</v>
      </c>
      <c r="BO249" s="527">
        <f t="shared" si="346"/>
        <v>192574.93583257124</v>
      </c>
      <c r="BP249" s="527">
        <f t="shared" si="346"/>
        <v>192574.93583257124</v>
      </c>
      <c r="BQ249" s="527">
        <f t="shared" si="346"/>
        <v>192574.93583257124</v>
      </c>
      <c r="BR249" s="527">
        <f t="shared" si="346"/>
        <v>192574.93583257124</v>
      </c>
      <c r="BS249" s="527">
        <f t="shared" si="346"/>
        <v>192574.93583257124</v>
      </c>
      <c r="BT249" s="527">
        <f t="shared" si="346"/>
        <v>200061.83321721925</v>
      </c>
      <c r="BU249" s="527">
        <f t="shared" si="346"/>
        <v>200061.83321721925</v>
      </c>
      <c r="BV249" s="527">
        <f t="shared" si="346"/>
        <v>200061.83321721925</v>
      </c>
      <c r="BW249" s="527">
        <f t="shared" si="346"/>
        <v>200061.83321721925</v>
      </c>
      <c r="BX249" s="527">
        <f t="shared" si="346"/>
        <v>200061.83321721925</v>
      </c>
      <c r="BY249" s="527">
        <f t="shared" si="346"/>
        <v>200061.83321721925</v>
      </c>
    </row>
    <row r="250" spans="1:77" x14ac:dyDescent="0.3">
      <c r="A250" s="551"/>
      <c r="B250" s="548"/>
      <c r="C250" s="525"/>
      <c r="D250" s="525"/>
      <c r="E250" s="620" t="str">
        <f>"BCF gross sales: "&amp;E$159</f>
        <v>BCF gross sales: FY31 Tranche</v>
      </c>
      <c r="F250" s="525"/>
      <c r="G250" s="525"/>
      <c r="H250" s="525"/>
      <c r="I250" s="525"/>
      <c r="J250" s="525"/>
      <c r="K250" s="525"/>
      <c r="L250" s="525"/>
      <c r="M250" s="525"/>
      <c r="N250" s="525"/>
      <c r="O250" s="525"/>
      <c r="P250" s="565"/>
      <c r="Q250" s="525"/>
      <c r="R250" s="527">
        <f t="shared" ref="R250:AW250" si="347">IFERROR(R242/R$223,0)</f>
        <v>148179.80354033349</v>
      </c>
      <c r="S250" s="527">
        <f t="shared" si="347"/>
        <v>148179.80354033349</v>
      </c>
      <c r="T250" s="527">
        <f t="shared" si="347"/>
        <v>148179.80354033349</v>
      </c>
      <c r="U250" s="527">
        <f t="shared" si="347"/>
        <v>148179.80354033349</v>
      </c>
      <c r="V250" s="527">
        <f t="shared" si="347"/>
        <v>148179.80354033349</v>
      </c>
      <c r="W250" s="527">
        <f t="shared" si="347"/>
        <v>148179.80354033349</v>
      </c>
      <c r="X250" s="527">
        <f t="shared" si="347"/>
        <v>148179.80354033349</v>
      </c>
      <c r="Y250" s="527">
        <f t="shared" si="347"/>
        <v>148179.80354033349</v>
      </c>
      <c r="Z250" s="527">
        <f t="shared" si="347"/>
        <v>148179.80354033349</v>
      </c>
      <c r="AA250" s="527">
        <f t="shared" si="347"/>
        <v>148179.80354033349</v>
      </c>
      <c r="AB250" s="527">
        <f t="shared" si="347"/>
        <v>148179.80354033349</v>
      </c>
      <c r="AC250" s="527">
        <f t="shared" si="347"/>
        <v>148179.80354033349</v>
      </c>
      <c r="AD250" s="527">
        <f t="shared" si="347"/>
        <v>153592.04049251217</v>
      </c>
      <c r="AE250" s="527">
        <f t="shared" si="347"/>
        <v>153592.04049251217</v>
      </c>
      <c r="AF250" s="527">
        <f t="shared" si="347"/>
        <v>153592.04049251217</v>
      </c>
      <c r="AG250" s="527">
        <f t="shared" si="347"/>
        <v>153592.04049251217</v>
      </c>
      <c r="AH250" s="527">
        <f t="shared" si="347"/>
        <v>153592.04049251217</v>
      </c>
      <c r="AI250" s="527">
        <f t="shared" si="347"/>
        <v>153592.04049251217</v>
      </c>
      <c r="AJ250" s="527">
        <f t="shared" si="347"/>
        <v>153592.04049251217</v>
      </c>
      <c r="AK250" s="527">
        <f t="shared" si="347"/>
        <v>153592.04049251217</v>
      </c>
      <c r="AL250" s="527">
        <f t="shared" si="347"/>
        <v>153592.04049251217</v>
      </c>
      <c r="AM250" s="527">
        <f t="shared" si="347"/>
        <v>153592.04049251217</v>
      </c>
      <c r="AN250" s="527">
        <f t="shared" si="347"/>
        <v>153592.04049251217</v>
      </c>
      <c r="AO250" s="527">
        <f t="shared" si="347"/>
        <v>153592.04049251217</v>
      </c>
      <c r="AP250" s="527">
        <f t="shared" si="347"/>
        <v>159012.47307048042</v>
      </c>
      <c r="AQ250" s="527">
        <f t="shared" si="347"/>
        <v>159012.47307048042</v>
      </c>
      <c r="AR250" s="527">
        <f t="shared" si="347"/>
        <v>159012.47307048042</v>
      </c>
      <c r="AS250" s="527">
        <f t="shared" si="347"/>
        <v>159012.47307048042</v>
      </c>
      <c r="AT250" s="527">
        <f t="shared" si="347"/>
        <v>159012.47307048042</v>
      </c>
      <c r="AU250" s="527">
        <f t="shared" si="347"/>
        <v>159012.47307048042</v>
      </c>
      <c r="AV250" s="527">
        <f t="shared" si="347"/>
        <v>159012.47307048042</v>
      </c>
      <c r="AW250" s="527">
        <f t="shared" si="347"/>
        <v>159012.47307048042</v>
      </c>
      <c r="AX250" s="527">
        <f t="shared" ref="AX250:BY250" si="348">IFERROR(AX242/AX$223,0)</f>
        <v>159012.47307048042</v>
      </c>
      <c r="AY250" s="527">
        <f t="shared" si="348"/>
        <v>159012.47307048042</v>
      </c>
      <c r="AZ250" s="527">
        <f t="shared" si="348"/>
        <v>159012.47307048042</v>
      </c>
      <c r="BA250" s="527">
        <f t="shared" si="348"/>
        <v>159012.47307048042</v>
      </c>
      <c r="BB250" s="527">
        <f t="shared" si="348"/>
        <v>164405.56279636794</v>
      </c>
      <c r="BC250" s="527">
        <f t="shared" si="348"/>
        <v>164405.56279636794</v>
      </c>
      <c r="BD250" s="527">
        <f t="shared" si="348"/>
        <v>164405.56279636794</v>
      </c>
      <c r="BE250" s="527">
        <f t="shared" si="348"/>
        <v>164405.56279636794</v>
      </c>
      <c r="BF250" s="527">
        <f t="shared" si="348"/>
        <v>164405.56279636794</v>
      </c>
      <c r="BG250" s="527">
        <f t="shared" si="348"/>
        <v>164405.56279636794</v>
      </c>
      <c r="BH250" s="527">
        <f t="shared" si="348"/>
        <v>164405.56279636794</v>
      </c>
      <c r="BI250" s="527">
        <f t="shared" si="348"/>
        <v>164405.56279636794</v>
      </c>
      <c r="BJ250" s="527">
        <f t="shared" si="348"/>
        <v>164405.56279636794</v>
      </c>
      <c r="BK250" s="527">
        <f t="shared" si="348"/>
        <v>164405.56279636794</v>
      </c>
      <c r="BL250" s="527">
        <f t="shared" si="348"/>
        <v>164405.56279636794</v>
      </c>
      <c r="BM250" s="527">
        <f t="shared" si="348"/>
        <v>164405.56279636794</v>
      </c>
      <c r="BN250" s="527">
        <f t="shared" si="348"/>
        <v>169984.12684615306</v>
      </c>
      <c r="BO250" s="527">
        <f t="shared" si="348"/>
        <v>169984.12684615306</v>
      </c>
      <c r="BP250" s="527">
        <f t="shared" si="348"/>
        <v>169984.12684615306</v>
      </c>
      <c r="BQ250" s="527">
        <f t="shared" si="348"/>
        <v>169984.12684615306</v>
      </c>
      <c r="BR250" s="527">
        <f t="shared" si="348"/>
        <v>169984.12684615306</v>
      </c>
      <c r="BS250" s="527">
        <f t="shared" si="348"/>
        <v>169984.12684615306</v>
      </c>
      <c r="BT250" s="527">
        <f t="shared" si="348"/>
        <v>198456.1191727916</v>
      </c>
      <c r="BU250" s="527">
        <f t="shared" si="348"/>
        <v>198456.1191727916</v>
      </c>
      <c r="BV250" s="527">
        <f t="shared" si="348"/>
        <v>198456.1191727916</v>
      </c>
      <c r="BW250" s="527">
        <f t="shared" si="348"/>
        <v>198456.1191727916</v>
      </c>
      <c r="BX250" s="527">
        <f t="shared" si="348"/>
        <v>198456.1191727916</v>
      </c>
      <c r="BY250" s="527">
        <f t="shared" si="348"/>
        <v>198456.1191727916</v>
      </c>
    </row>
    <row r="251" spans="1:77" x14ac:dyDescent="0.3">
      <c r="A251" s="551"/>
      <c r="B251" s="548"/>
      <c r="C251" s="525"/>
      <c r="D251" s="525"/>
      <c r="E251" s="620" t="str">
        <f>"BCF gross sales: "&amp;E$160</f>
        <v>BCF gross sales: Uninvested Tranche</v>
      </c>
      <c r="F251" s="525"/>
      <c r="G251" s="525"/>
      <c r="H251" s="525"/>
      <c r="I251" s="525"/>
      <c r="J251" s="525"/>
      <c r="K251" s="525"/>
      <c r="L251" s="525"/>
      <c r="M251" s="525"/>
      <c r="N251" s="525"/>
      <c r="O251" s="525"/>
      <c r="P251" s="565"/>
      <c r="Q251" s="525"/>
      <c r="R251" s="527">
        <f t="shared" ref="R251:AW251" si="349">IFERROR(R243/R$223,0)</f>
        <v>324143.32024447952</v>
      </c>
      <c r="S251" s="527">
        <f t="shared" si="349"/>
        <v>324143.32024447952</v>
      </c>
      <c r="T251" s="527">
        <f t="shared" si="349"/>
        <v>324143.32024447952</v>
      </c>
      <c r="U251" s="527">
        <f t="shared" si="349"/>
        <v>324143.32024447952</v>
      </c>
      <c r="V251" s="527">
        <f t="shared" si="349"/>
        <v>324143.32024447952</v>
      </c>
      <c r="W251" s="527">
        <f t="shared" si="349"/>
        <v>324143.32024447952</v>
      </c>
      <c r="X251" s="527">
        <f t="shared" si="349"/>
        <v>324143.32024447952</v>
      </c>
      <c r="Y251" s="527">
        <f t="shared" si="349"/>
        <v>324143.32024447952</v>
      </c>
      <c r="Z251" s="527">
        <f t="shared" si="349"/>
        <v>324143.32024447952</v>
      </c>
      <c r="AA251" s="527">
        <f t="shared" si="349"/>
        <v>324143.32024447952</v>
      </c>
      <c r="AB251" s="527">
        <f t="shared" si="349"/>
        <v>324143.32024447952</v>
      </c>
      <c r="AC251" s="527">
        <f t="shared" si="349"/>
        <v>324143.32024447952</v>
      </c>
      <c r="AD251" s="527">
        <f t="shared" si="349"/>
        <v>335982.58857737039</v>
      </c>
      <c r="AE251" s="527">
        <f t="shared" si="349"/>
        <v>335982.58857737039</v>
      </c>
      <c r="AF251" s="527">
        <f t="shared" si="349"/>
        <v>335982.58857737039</v>
      </c>
      <c r="AG251" s="527">
        <f t="shared" si="349"/>
        <v>335982.58857737039</v>
      </c>
      <c r="AH251" s="527">
        <f t="shared" si="349"/>
        <v>335982.58857737039</v>
      </c>
      <c r="AI251" s="527">
        <f t="shared" si="349"/>
        <v>335982.58857737039</v>
      </c>
      <c r="AJ251" s="527">
        <f t="shared" si="349"/>
        <v>335982.58857737039</v>
      </c>
      <c r="AK251" s="527">
        <f t="shared" si="349"/>
        <v>335982.58857737039</v>
      </c>
      <c r="AL251" s="527">
        <f t="shared" si="349"/>
        <v>335982.58857737039</v>
      </c>
      <c r="AM251" s="527">
        <f t="shared" si="349"/>
        <v>335982.58857737039</v>
      </c>
      <c r="AN251" s="527">
        <f t="shared" si="349"/>
        <v>335982.58857737039</v>
      </c>
      <c r="AO251" s="527">
        <f t="shared" si="349"/>
        <v>335982.58857737039</v>
      </c>
      <c r="AP251" s="527">
        <f t="shared" si="349"/>
        <v>347839.78484167595</v>
      </c>
      <c r="AQ251" s="527">
        <f t="shared" si="349"/>
        <v>347839.78484167595</v>
      </c>
      <c r="AR251" s="527">
        <f t="shared" si="349"/>
        <v>347839.78484167595</v>
      </c>
      <c r="AS251" s="527">
        <f t="shared" si="349"/>
        <v>347839.78484167595</v>
      </c>
      <c r="AT251" s="527">
        <f t="shared" si="349"/>
        <v>347839.78484167595</v>
      </c>
      <c r="AU251" s="527">
        <f t="shared" si="349"/>
        <v>347839.78484167595</v>
      </c>
      <c r="AV251" s="527">
        <f t="shared" si="349"/>
        <v>347839.78484167595</v>
      </c>
      <c r="AW251" s="527">
        <f t="shared" si="349"/>
        <v>347839.78484167595</v>
      </c>
      <c r="AX251" s="527">
        <f t="shared" ref="AX251:BY251" si="350">IFERROR(AX243/AX$223,0)</f>
        <v>347839.78484167595</v>
      </c>
      <c r="AY251" s="527">
        <f t="shared" si="350"/>
        <v>347839.78484167595</v>
      </c>
      <c r="AZ251" s="527">
        <f t="shared" si="350"/>
        <v>347839.78484167595</v>
      </c>
      <c r="BA251" s="527">
        <f t="shared" si="350"/>
        <v>347839.78484167595</v>
      </c>
      <c r="BB251" s="527">
        <f t="shared" si="350"/>
        <v>359637.16861705488</v>
      </c>
      <c r="BC251" s="527">
        <f t="shared" si="350"/>
        <v>359637.16861705488</v>
      </c>
      <c r="BD251" s="527">
        <f t="shared" si="350"/>
        <v>359637.16861705488</v>
      </c>
      <c r="BE251" s="527">
        <f t="shared" si="350"/>
        <v>359637.16861705488</v>
      </c>
      <c r="BF251" s="527">
        <f t="shared" si="350"/>
        <v>359637.16861705488</v>
      </c>
      <c r="BG251" s="527">
        <f t="shared" si="350"/>
        <v>359637.16861705488</v>
      </c>
      <c r="BH251" s="527">
        <f t="shared" si="350"/>
        <v>359637.16861705488</v>
      </c>
      <c r="BI251" s="527">
        <f t="shared" si="350"/>
        <v>359637.16861705488</v>
      </c>
      <c r="BJ251" s="527">
        <f t="shared" si="350"/>
        <v>359637.16861705488</v>
      </c>
      <c r="BK251" s="527">
        <f t="shared" si="350"/>
        <v>359637.16861705488</v>
      </c>
      <c r="BL251" s="527">
        <f t="shared" si="350"/>
        <v>359637.16861705488</v>
      </c>
      <c r="BM251" s="527">
        <f t="shared" si="350"/>
        <v>359637.16861705488</v>
      </c>
      <c r="BN251" s="527">
        <f t="shared" si="350"/>
        <v>371840.2774759598</v>
      </c>
      <c r="BO251" s="527">
        <f t="shared" si="350"/>
        <v>371840.2774759598</v>
      </c>
      <c r="BP251" s="527">
        <f t="shared" si="350"/>
        <v>371840.2774759598</v>
      </c>
      <c r="BQ251" s="527">
        <f t="shared" si="350"/>
        <v>371840.2774759598</v>
      </c>
      <c r="BR251" s="527">
        <f t="shared" si="350"/>
        <v>371840.2774759598</v>
      </c>
      <c r="BS251" s="527">
        <f t="shared" si="350"/>
        <v>371840.2774759598</v>
      </c>
      <c r="BT251" s="527">
        <f t="shared" si="350"/>
        <v>371840.2774759598</v>
      </c>
      <c r="BU251" s="527">
        <f t="shared" si="350"/>
        <v>371840.2774759598</v>
      </c>
      <c r="BV251" s="527">
        <f t="shared" si="350"/>
        <v>371840.2774759598</v>
      </c>
      <c r="BW251" s="527">
        <f t="shared" si="350"/>
        <v>371840.2774759598</v>
      </c>
      <c r="BX251" s="527">
        <f t="shared" si="350"/>
        <v>371840.2774759598</v>
      </c>
      <c r="BY251" s="527">
        <f t="shared" si="350"/>
        <v>371840.2774759598</v>
      </c>
    </row>
    <row r="252" spans="1:77" x14ac:dyDescent="0.3">
      <c r="A252" s="551"/>
      <c r="B252" s="548"/>
      <c r="C252" s="525"/>
      <c r="D252" s="525"/>
      <c r="E252" s="572" t="s">
        <v>36</v>
      </c>
      <c r="F252" s="572"/>
      <c r="G252" s="572"/>
      <c r="H252" s="572"/>
      <c r="I252" s="572"/>
      <c r="J252" s="572"/>
      <c r="K252" s="572"/>
      <c r="L252" s="572"/>
      <c r="M252" s="572"/>
      <c r="N252" s="572"/>
      <c r="O252" s="572"/>
      <c r="P252" s="612"/>
      <c r="Q252" s="572"/>
      <c r="R252" s="530">
        <f t="shared" ref="R252:AW252" si="351">SUM(R246:R251)</f>
        <v>1065042.337946147</v>
      </c>
      <c r="S252" s="530">
        <f t="shared" si="351"/>
        <v>1065042.337946147</v>
      </c>
      <c r="T252" s="530">
        <f t="shared" si="351"/>
        <v>1065042.337946147</v>
      </c>
      <c r="U252" s="530">
        <f t="shared" si="351"/>
        <v>1065042.337946147</v>
      </c>
      <c r="V252" s="530">
        <f t="shared" si="351"/>
        <v>1065042.337946147</v>
      </c>
      <c r="W252" s="530">
        <f t="shared" si="351"/>
        <v>1065042.337946147</v>
      </c>
      <c r="X252" s="530">
        <f t="shared" si="351"/>
        <v>1092480.383669154</v>
      </c>
      <c r="Y252" s="530">
        <f t="shared" si="351"/>
        <v>1092480.383669154</v>
      </c>
      <c r="Z252" s="530">
        <f t="shared" si="351"/>
        <v>1092480.383669154</v>
      </c>
      <c r="AA252" s="530">
        <f t="shared" si="351"/>
        <v>1092480.383669154</v>
      </c>
      <c r="AB252" s="530">
        <f t="shared" si="351"/>
        <v>1092480.383669154</v>
      </c>
      <c r="AC252" s="530">
        <f t="shared" si="351"/>
        <v>1092480.383669154</v>
      </c>
      <c r="AD252" s="530">
        <f t="shared" si="351"/>
        <v>1125168.0148583045</v>
      </c>
      <c r="AE252" s="530">
        <f t="shared" si="351"/>
        <v>1125168.0148583045</v>
      </c>
      <c r="AF252" s="530">
        <f t="shared" si="351"/>
        <v>1125168.0148583045</v>
      </c>
      <c r="AG252" s="530">
        <f t="shared" si="351"/>
        <v>1125168.0148583045</v>
      </c>
      <c r="AH252" s="530">
        <f t="shared" si="351"/>
        <v>1125168.0148583045</v>
      </c>
      <c r="AI252" s="530">
        <f t="shared" si="351"/>
        <v>1125168.0148583045</v>
      </c>
      <c r="AJ252" s="530">
        <f t="shared" si="351"/>
        <v>1159873.4026901904</v>
      </c>
      <c r="AK252" s="530">
        <f t="shared" si="351"/>
        <v>1159873.4026901904</v>
      </c>
      <c r="AL252" s="530">
        <f t="shared" si="351"/>
        <v>1159873.4026901904</v>
      </c>
      <c r="AM252" s="530">
        <f t="shared" si="351"/>
        <v>1159873.4026901904</v>
      </c>
      <c r="AN252" s="530">
        <f t="shared" si="351"/>
        <v>1159873.4026901904</v>
      </c>
      <c r="AO252" s="530">
        <f t="shared" si="351"/>
        <v>1159873.4026901904</v>
      </c>
      <c r="AP252" s="530">
        <f t="shared" si="351"/>
        <v>1186715.3054019741</v>
      </c>
      <c r="AQ252" s="530">
        <f t="shared" si="351"/>
        <v>1186715.3054019741</v>
      </c>
      <c r="AR252" s="530">
        <f t="shared" si="351"/>
        <v>1186715.3054019741</v>
      </c>
      <c r="AS252" s="530">
        <f t="shared" si="351"/>
        <v>1186715.3054019741</v>
      </c>
      <c r="AT252" s="530">
        <f t="shared" si="351"/>
        <v>1186715.3054019741</v>
      </c>
      <c r="AU252" s="530">
        <f t="shared" si="351"/>
        <v>1186715.3054019741</v>
      </c>
      <c r="AV252" s="530">
        <f t="shared" si="351"/>
        <v>1229039.5875851763</v>
      </c>
      <c r="AW252" s="530">
        <f t="shared" si="351"/>
        <v>1229039.5875851763</v>
      </c>
      <c r="AX252" s="530">
        <f t="shared" ref="AX252:BY252" si="352">SUM(AX246:AX251)</f>
        <v>1229039.5875851763</v>
      </c>
      <c r="AY252" s="530">
        <f t="shared" si="352"/>
        <v>1229039.5875851763</v>
      </c>
      <c r="AZ252" s="530">
        <f t="shared" si="352"/>
        <v>1229039.5875851763</v>
      </c>
      <c r="BA252" s="530">
        <f t="shared" si="352"/>
        <v>1229039.5875851763</v>
      </c>
      <c r="BB252" s="530">
        <f t="shared" si="352"/>
        <v>1250701.0444210852</v>
      </c>
      <c r="BC252" s="530">
        <f t="shared" si="352"/>
        <v>1250701.0444210852</v>
      </c>
      <c r="BD252" s="530">
        <f t="shared" si="352"/>
        <v>1250701.0444210852</v>
      </c>
      <c r="BE252" s="530">
        <f t="shared" si="352"/>
        <v>1250701.0444210852</v>
      </c>
      <c r="BF252" s="530">
        <f t="shared" si="352"/>
        <v>1250701.0444210852</v>
      </c>
      <c r="BG252" s="530">
        <f t="shared" si="352"/>
        <v>1250701.0444210852</v>
      </c>
      <c r="BH252" s="530">
        <f t="shared" si="352"/>
        <v>1301018.3927527505</v>
      </c>
      <c r="BI252" s="530">
        <f t="shared" si="352"/>
        <v>1301018.3927527505</v>
      </c>
      <c r="BJ252" s="530">
        <f t="shared" si="352"/>
        <v>1301018.3927527505</v>
      </c>
      <c r="BK252" s="530">
        <f t="shared" si="352"/>
        <v>1301018.3927527505</v>
      </c>
      <c r="BL252" s="530">
        <f t="shared" si="352"/>
        <v>1301018.3927527505</v>
      </c>
      <c r="BM252" s="530">
        <f t="shared" si="352"/>
        <v>1301018.3927527505</v>
      </c>
      <c r="BN252" s="530">
        <f t="shared" si="352"/>
        <v>1318465.9124929539</v>
      </c>
      <c r="BO252" s="530">
        <f t="shared" si="352"/>
        <v>1318465.9124929539</v>
      </c>
      <c r="BP252" s="530">
        <f t="shared" si="352"/>
        <v>1318465.9124929539</v>
      </c>
      <c r="BQ252" s="530">
        <f t="shared" si="352"/>
        <v>1318465.9124929539</v>
      </c>
      <c r="BR252" s="530">
        <f t="shared" si="352"/>
        <v>1318465.9124929539</v>
      </c>
      <c r="BS252" s="530">
        <f t="shared" si="352"/>
        <v>1318465.9124929539</v>
      </c>
      <c r="BT252" s="530">
        <f t="shared" si="352"/>
        <v>1377139.1649518064</v>
      </c>
      <c r="BU252" s="530">
        <f t="shared" si="352"/>
        <v>1377139.1649518064</v>
      </c>
      <c r="BV252" s="530">
        <f t="shared" si="352"/>
        <v>1377139.1649518064</v>
      </c>
      <c r="BW252" s="530">
        <f t="shared" si="352"/>
        <v>1377139.1649518064</v>
      </c>
      <c r="BX252" s="530">
        <f t="shared" si="352"/>
        <v>1377139.1649518064</v>
      </c>
      <c r="BY252" s="530">
        <f t="shared" si="352"/>
        <v>1377139.1649518064</v>
      </c>
    </row>
    <row r="253" spans="1:77" x14ac:dyDescent="0.3">
      <c r="A253" s="551"/>
      <c r="B253" s="548"/>
      <c r="C253" s="525"/>
      <c r="D253" s="525"/>
      <c r="E253" s="525"/>
      <c r="F253" s="525"/>
      <c r="G253" s="525"/>
      <c r="H253" s="525"/>
      <c r="I253" s="525"/>
      <c r="J253" s="525"/>
      <c r="K253" s="525"/>
      <c r="L253" s="525"/>
      <c r="M253" s="525"/>
      <c r="N253" s="525"/>
      <c r="O253" s="525"/>
      <c r="P253" s="565"/>
      <c r="Q253" s="525"/>
      <c r="R253" s="525"/>
      <c r="S253" s="525"/>
      <c r="T253" s="525"/>
      <c r="U253" s="525"/>
      <c r="V253" s="525"/>
      <c r="W253" s="525"/>
      <c r="X253" s="525"/>
      <c r="Y253" s="525"/>
      <c r="Z253" s="525"/>
      <c r="AA253" s="525"/>
      <c r="AB253" s="525"/>
      <c r="AC253" s="525"/>
      <c r="AD253" s="525"/>
      <c r="AE253" s="525"/>
      <c r="AF253" s="525"/>
      <c r="AG253" s="525"/>
      <c r="AH253" s="525"/>
      <c r="AI253" s="525"/>
      <c r="AJ253" s="525"/>
      <c r="AK253" s="525"/>
      <c r="AL253" s="525"/>
      <c r="AM253" s="525"/>
      <c r="AN253" s="525"/>
      <c r="AO253" s="525"/>
      <c r="AP253" s="525"/>
      <c r="AQ253" s="525"/>
      <c r="AR253" s="525"/>
      <c r="AS253" s="525"/>
      <c r="AT253" s="525"/>
      <c r="AU253" s="525"/>
      <c r="AV253" s="525"/>
      <c r="AW253" s="525"/>
      <c r="AX253" s="525"/>
      <c r="AY253" s="525"/>
      <c r="AZ253" s="525"/>
      <c r="BA253" s="525"/>
      <c r="BB253" s="525"/>
      <c r="BC253" s="525"/>
      <c r="BD253" s="525"/>
      <c r="BE253" s="525"/>
      <c r="BF253" s="525"/>
      <c r="BG253" s="525"/>
      <c r="BH253" s="525"/>
      <c r="BI253" s="525"/>
      <c r="BJ253" s="525"/>
      <c r="BK253" s="525"/>
      <c r="BL253" s="525"/>
      <c r="BM253" s="525"/>
      <c r="BN253" s="525"/>
      <c r="BO253" s="525"/>
      <c r="BP253" s="525"/>
      <c r="BQ253" s="525"/>
      <c r="BR253" s="525"/>
      <c r="BS253" s="525"/>
      <c r="BT253" s="525"/>
      <c r="BU253" s="525"/>
      <c r="BV253" s="525"/>
      <c r="BW253" s="525"/>
      <c r="BX253" s="525"/>
      <c r="BY253" s="525"/>
    </row>
    <row r="254" spans="1:77" x14ac:dyDescent="0.3">
      <c r="A254" s="551"/>
      <c r="B254" s="548"/>
      <c r="C254" s="525"/>
      <c r="D254" s="525"/>
      <c r="E254" s="621" t="str">
        <f>"BCF cost of sales: "&amp;E$155</f>
        <v>BCF cost of sales: FY27 Tranche</v>
      </c>
      <c r="F254" s="525"/>
      <c r="G254" s="525"/>
      <c r="H254" s="525"/>
      <c r="I254" s="525"/>
      <c r="J254" s="525"/>
      <c r="K254" s="525"/>
      <c r="L254" s="525"/>
      <c r="M254" s="525"/>
      <c r="N254" s="525"/>
      <c r="O254" s="525"/>
      <c r="P254" s="565"/>
      <c r="Q254" s="525"/>
      <c r="R254" s="527">
        <f t="shared" ref="R254:AW254" si="353">(R238-R246)*R$228</f>
        <v>-47391.18700690558</v>
      </c>
      <c r="S254" s="527">
        <f t="shared" si="353"/>
        <v>-47391.18700690558</v>
      </c>
      <c r="T254" s="527">
        <f t="shared" si="353"/>
        <v>-47391.18700690558</v>
      </c>
      <c r="U254" s="527">
        <f t="shared" si="353"/>
        <v>-47391.18700690558</v>
      </c>
      <c r="V254" s="527">
        <f t="shared" si="353"/>
        <v>-47391.18700690558</v>
      </c>
      <c r="W254" s="527">
        <f t="shared" si="353"/>
        <v>-47391.18700690558</v>
      </c>
      <c r="X254" s="527">
        <f t="shared" si="353"/>
        <v>-56166.482458077575</v>
      </c>
      <c r="Y254" s="527">
        <f t="shared" si="353"/>
        <v>-56166.482458077575</v>
      </c>
      <c r="Z254" s="527">
        <f t="shared" si="353"/>
        <v>-56166.482458077575</v>
      </c>
      <c r="AA254" s="527">
        <f t="shared" si="353"/>
        <v>-56166.482458077575</v>
      </c>
      <c r="AB254" s="527">
        <f t="shared" si="353"/>
        <v>-56166.482458077575</v>
      </c>
      <c r="AC254" s="527">
        <f t="shared" si="353"/>
        <v>-56166.482458077575</v>
      </c>
      <c r="AD254" s="527">
        <f t="shared" si="353"/>
        <v>-54499.645889709376</v>
      </c>
      <c r="AE254" s="527">
        <f t="shared" si="353"/>
        <v>-54499.645889709376</v>
      </c>
      <c r="AF254" s="527">
        <f t="shared" si="353"/>
        <v>-54499.645889709376</v>
      </c>
      <c r="AG254" s="527">
        <f t="shared" si="353"/>
        <v>-54499.645889709376</v>
      </c>
      <c r="AH254" s="527">
        <f t="shared" si="353"/>
        <v>-54499.645889709376</v>
      </c>
      <c r="AI254" s="527">
        <f t="shared" si="353"/>
        <v>-54499.645889709376</v>
      </c>
      <c r="AJ254" s="527">
        <f t="shared" si="353"/>
        <v>-56679.965811554648</v>
      </c>
      <c r="AK254" s="527">
        <f t="shared" si="353"/>
        <v>-56679.965811554648</v>
      </c>
      <c r="AL254" s="527">
        <f t="shared" si="353"/>
        <v>-56679.965811554648</v>
      </c>
      <c r="AM254" s="527">
        <f t="shared" si="353"/>
        <v>-56679.965811554648</v>
      </c>
      <c r="AN254" s="527">
        <f t="shared" si="353"/>
        <v>-56679.965811554648</v>
      </c>
      <c r="AO254" s="527">
        <f t="shared" si="353"/>
        <v>-56679.965811554648</v>
      </c>
      <c r="AP254" s="527">
        <f t="shared" si="353"/>
        <v>-55125.820472311774</v>
      </c>
      <c r="AQ254" s="527">
        <f t="shared" si="353"/>
        <v>-55125.820472311774</v>
      </c>
      <c r="AR254" s="527">
        <f t="shared" si="353"/>
        <v>-55125.820472311774</v>
      </c>
      <c r="AS254" s="527">
        <f t="shared" si="353"/>
        <v>-55125.820472311774</v>
      </c>
      <c r="AT254" s="527">
        <f t="shared" si="353"/>
        <v>-55125.820472311774</v>
      </c>
      <c r="AU254" s="527">
        <f t="shared" si="353"/>
        <v>-55125.820472311774</v>
      </c>
      <c r="AV254" s="527">
        <f t="shared" si="353"/>
        <v>-57311.292994596501</v>
      </c>
      <c r="AW254" s="527">
        <f t="shared" si="353"/>
        <v>-57311.292994596501</v>
      </c>
      <c r="AX254" s="527">
        <f t="shared" ref="AX254:BY254" si="354">(AX238-AX246)*AX$228</f>
        <v>-57311.292994596501</v>
      </c>
      <c r="AY254" s="527">
        <f t="shared" si="354"/>
        <v>-57311.292994596501</v>
      </c>
      <c r="AZ254" s="527">
        <f t="shared" si="354"/>
        <v>-57311.292994596501</v>
      </c>
      <c r="BA254" s="527">
        <f t="shared" si="354"/>
        <v>-57311.292994596501</v>
      </c>
      <c r="BB254" s="527">
        <f t="shared" si="354"/>
        <v>-55923.538588285795</v>
      </c>
      <c r="BC254" s="527">
        <f t="shared" si="354"/>
        <v>-55923.538588285795</v>
      </c>
      <c r="BD254" s="527">
        <f t="shared" si="354"/>
        <v>-55923.538588285795</v>
      </c>
      <c r="BE254" s="527">
        <f t="shared" si="354"/>
        <v>-55923.538588285795</v>
      </c>
      <c r="BF254" s="527">
        <f t="shared" si="354"/>
        <v>-55923.538588285795</v>
      </c>
      <c r="BG254" s="527">
        <f t="shared" si="354"/>
        <v>-55923.538588285795</v>
      </c>
      <c r="BH254" s="527">
        <f t="shared" si="354"/>
        <v>-58120.016730631345</v>
      </c>
      <c r="BI254" s="527">
        <f t="shared" si="354"/>
        <v>-58120.016730631345</v>
      </c>
      <c r="BJ254" s="527">
        <f t="shared" si="354"/>
        <v>-58120.016730631345</v>
      </c>
      <c r="BK254" s="527">
        <f t="shared" si="354"/>
        <v>-58120.016730631345</v>
      </c>
      <c r="BL254" s="527">
        <f t="shared" si="354"/>
        <v>-58120.016730631345</v>
      </c>
      <c r="BM254" s="527">
        <f t="shared" si="354"/>
        <v>-58120.016730631345</v>
      </c>
      <c r="BN254" s="527">
        <f t="shared" si="354"/>
        <v>-56784.176881331223</v>
      </c>
      <c r="BO254" s="527">
        <f t="shared" si="354"/>
        <v>-56784.176881331223</v>
      </c>
      <c r="BP254" s="527">
        <f t="shared" si="354"/>
        <v>-56784.176881331223</v>
      </c>
      <c r="BQ254" s="527">
        <f t="shared" si="354"/>
        <v>-56784.176881331223</v>
      </c>
      <c r="BR254" s="527">
        <f t="shared" si="354"/>
        <v>-56784.176881331223</v>
      </c>
      <c r="BS254" s="527">
        <f t="shared" si="354"/>
        <v>-56784.176881331223</v>
      </c>
      <c r="BT254" s="527">
        <f t="shared" si="354"/>
        <v>-58992.720658826096</v>
      </c>
      <c r="BU254" s="527">
        <f t="shared" si="354"/>
        <v>-58992.720658826096</v>
      </c>
      <c r="BV254" s="527">
        <f t="shared" si="354"/>
        <v>-58992.720658826096</v>
      </c>
      <c r="BW254" s="527">
        <f t="shared" si="354"/>
        <v>-58992.720658826096</v>
      </c>
      <c r="BX254" s="527">
        <f t="shared" si="354"/>
        <v>-58992.720658826096</v>
      </c>
      <c r="BY254" s="527">
        <f t="shared" si="354"/>
        <v>-58992.720658826096</v>
      </c>
    </row>
    <row r="255" spans="1:77" x14ac:dyDescent="0.3">
      <c r="A255" s="551"/>
      <c r="B255" s="548"/>
      <c r="C255" s="525"/>
      <c r="D255" s="525"/>
      <c r="E255" s="621" t="str">
        <f>"BCF cost of sales: "&amp;E$156</f>
        <v>BCF cost of sales: FY28 Tranche</v>
      </c>
      <c r="F255" s="525"/>
      <c r="G255" s="525"/>
      <c r="H255" s="525"/>
      <c r="I255" s="525"/>
      <c r="J255" s="525"/>
      <c r="K255" s="525"/>
      <c r="L255" s="525"/>
      <c r="M255" s="525"/>
      <c r="N255" s="525"/>
      <c r="O255" s="525"/>
      <c r="P255" s="565"/>
      <c r="Q255" s="525"/>
      <c r="R255" s="527">
        <f t="shared" ref="R255:AW255" si="355">(R239-R247)*R$228</f>
        <v>-47391.18700690558</v>
      </c>
      <c r="S255" s="527">
        <f t="shared" si="355"/>
        <v>-47391.18700690558</v>
      </c>
      <c r="T255" s="527">
        <f t="shared" si="355"/>
        <v>-47391.18700690558</v>
      </c>
      <c r="U255" s="527">
        <f t="shared" si="355"/>
        <v>-47391.18700690558</v>
      </c>
      <c r="V255" s="527">
        <f t="shared" si="355"/>
        <v>-47391.18700690558</v>
      </c>
      <c r="W255" s="527">
        <f t="shared" si="355"/>
        <v>-47391.18700690558</v>
      </c>
      <c r="X255" s="527">
        <f t="shared" si="355"/>
        <v>-47391.18700690558</v>
      </c>
      <c r="Y255" s="527">
        <f t="shared" si="355"/>
        <v>-47391.18700690558</v>
      </c>
      <c r="Z255" s="527">
        <f t="shared" si="355"/>
        <v>-47391.18700690558</v>
      </c>
      <c r="AA255" s="527">
        <f t="shared" si="355"/>
        <v>-47391.18700690558</v>
      </c>
      <c r="AB255" s="527">
        <f t="shared" si="355"/>
        <v>-47391.18700690558</v>
      </c>
      <c r="AC255" s="527">
        <f t="shared" si="355"/>
        <v>-47391.18700690558</v>
      </c>
      <c r="AD255" s="527">
        <f t="shared" si="355"/>
        <v>-47882.638201189373</v>
      </c>
      <c r="AE255" s="527">
        <f t="shared" si="355"/>
        <v>-47882.638201189373</v>
      </c>
      <c r="AF255" s="527">
        <f t="shared" si="355"/>
        <v>-47882.638201189373</v>
      </c>
      <c r="AG255" s="527">
        <f t="shared" si="355"/>
        <v>-47882.638201189373</v>
      </c>
      <c r="AH255" s="527">
        <f t="shared" si="355"/>
        <v>-47882.638201189373</v>
      </c>
      <c r="AI255" s="527">
        <f t="shared" si="355"/>
        <v>-47882.638201189373</v>
      </c>
      <c r="AJ255" s="527">
        <f t="shared" si="355"/>
        <v>-56521.795147138997</v>
      </c>
      <c r="AK255" s="527">
        <f t="shared" si="355"/>
        <v>-56521.795147138997</v>
      </c>
      <c r="AL255" s="527">
        <f t="shared" si="355"/>
        <v>-56521.795147138997</v>
      </c>
      <c r="AM255" s="527">
        <f t="shared" si="355"/>
        <v>-56521.795147138997</v>
      </c>
      <c r="AN255" s="527">
        <f t="shared" si="355"/>
        <v>-56521.795147138997</v>
      </c>
      <c r="AO255" s="527">
        <f t="shared" si="355"/>
        <v>-56521.795147138997</v>
      </c>
      <c r="AP255" s="527">
        <f t="shared" si="355"/>
        <v>-54973.373877800361</v>
      </c>
      <c r="AQ255" s="527">
        <f t="shared" si="355"/>
        <v>-54973.373877800361</v>
      </c>
      <c r="AR255" s="527">
        <f t="shared" si="355"/>
        <v>-54973.373877800361</v>
      </c>
      <c r="AS255" s="527">
        <f t="shared" si="355"/>
        <v>-54973.373877800361</v>
      </c>
      <c r="AT255" s="527">
        <f t="shared" si="355"/>
        <v>-54973.373877800361</v>
      </c>
      <c r="AU255" s="527">
        <f t="shared" si="355"/>
        <v>-54973.373877800361</v>
      </c>
      <c r="AV255" s="527">
        <f t="shared" si="355"/>
        <v>-57152.748536304614</v>
      </c>
      <c r="AW255" s="527">
        <f t="shared" si="355"/>
        <v>-57152.748536304614</v>
      </c>
      <c r="AX255" s="527">
        <f t="shared" ref="AX255:BY255" si="356">(AX239-AX247)*AX$228</f>
        <v>-57152.748536304614</v>
      </c>
      <c r="AY255" s="527">
        <f t="shared" si="356"/>
        <v>-57152.748536304614</v>
      </c>
      <c r="AZ255" s="527">
        <f t="shared" si="356"/>
        <v>-57152.748536304614</v>
      </c>
      <c r="BA255" s="527">
        <f t="shared" si="356"/>
        <v>-57152.748536304614</v>
      </c>
      <c r="BB255" s="527">
        <f t="shared" si="356"/>
        <v>-55770.324301990702</v>
      </c>
      <c r="BC255" s="527">
        <f t="shared" si="356"/>
        <v>-55770.324301990702</v>
      </c>
      <c r="BD255" s="527">
        <f t="shared" si="356"/>
        <v>-55770.324301990702</v>
      </c>
      <c r="BE255" s="527">
        <f t="shared" si="356"/>
        <v>-55770.324301990702</v>
      </c>
      <c r="BF255" s="527">
        <f t="shared" si="356"/>
        <v>-55770.324301990702</v>
      </c>
      <c r="BG255" s="527">
        <f t="shared" si="356"/>
        <v>-55770.324301990702</v>
      </c>
      <c r="BH255" s="527">
        <f t="shared" si="356"/>
        <v>-57960.673872884428</v>
      </c>
      <c r="BI255" s="527">
        <f t="shared" si="356"/>
        <v>-57960.673872884428</v>
      </c>
      <c r="BJ255" s="527">
        <f t="shared" si="356"/>
        <v>-57960.673872884428</v>
      </c>
      <c r="BK255" s="527">
        <f t="shared" si="356"/>
        <v>-57960.673872884428</v>
      </c>
      <c r="BL255" s="527">
        <f t="shared" si="356"/>
        <v>-57960.673872884428</v>
      </c>
      <c r="BM255" s="527">
        <f t="shared" si="356"/>
        <v>-57960.673872884428</v>
      </c>
      <c r="BN255" s="527">
        <f t="shared" si="356"/>
        <v>-56630.120962405024</v>
      </c>
      <c r="BO255" s="527">
        <f t="shared" si="356"/>
        <v>-56630.120962405024</v>
      </c>
      <c r="BP255" s="527">
        <f t="shared" si="356"/>
        <v>-56630.120962405024</v>
      </c>
      <c r="BQ255" s="527">
        <f t="shared" si="356"/>
        <v>-56630.120962405024</v>
      </c>
      <c r="BR255" s="527">
        <f t="shared" si="356"/>
        <v>-56630.120962405024</v>
      </c>
      <c r="BS255" s="527">
        <f t="shared" si="356"/>
        <v>-56630.120962405024</v>
      </c>
      <c r="BT255" s="527">
        <f t="shared" si="356"/>
        <v>-58832.502503142867</v>
      </c>
      <c r="BU255" s="527">
        <f t="shared" si="356"/>
        <v>-58832.502503142867</v>
      </c>
      <c r="BV255" s="527">
        <f t="shared" si="356"/>
        <v>-58832.502503142867</v>
      </c>
      <c r="BW255" s="527">
        <f t="shared" si="356"/>
        <v>-58832.502503142867</v>
      </c>
      <c r="BX255" s="527">
        <f t="shared" si="356"/>
        <v>-58832.502503142867</v>
      </c>
      <c r="BY255" s="527">
        <f t="shared" si="356"/>
        <v>-58832.502503142867</v>
      </c>
    </row>
    <row r="256" spans="1:77" x14ac:dyDescent="0.3">
      <c r="A256" s="551"/>
      <c r="B256" s="548"/>
      <c r="C256" s="525"/>
      <c r="D256" s="525"/>
      <c r="E256" s="621" t="str">
        <f>"BCF cost of sales: "&amp;E$157</f>
        <v>BCF cost of sales: FY29 Tranche</v>
      </c>
      <c r="F256" s="525"/>
      <c r="G256" s="525"/>
      <c r="H256" s="525"/>
      <c r="I256" s="525"/>
      <c r="J256" s="525"/>
      <c r="K256" s="525"/>
      <c r="L256" s="525"/>
      <c r="M256" s="525"/>
      <c r="N256" s="525"/>
      <c r="O256" s="525"/>
      <c r="P256" s="565"/>
      <c r="Q256" s="525"/>
      <c r="R256" s="527">
        <f t="shared" ref="R256:AW256" si="357">(R240-R248)*R$228</f>
        <v>-47391.18700690558</v>
      </c>
      <c r="S256" s="527">
        <f t="shared" si="357"/>
        <v>-47391.18700690558</v>
      </c>
      <c r="T256" s="527">
        <f t="shared" si="357"/>
        <v>-47391.18700690558</v>
      </c>
      <c r="U256" s="527">
        <f t="shared" si="357"/>
        <v>-47391.18700690558</v>
      </c>
      <c r="V256" s="527">
        <f t="shared" si="357"/>
        <v>-47391.18700690558</v>
      </c>
      <c r="W256" s="527">
        <f t="shared" si="357"/>
        <v>-47391.18700690558</v>
      </c>
      <c r="X256" s="527">
        <f t="shared" si="357"/>
        <v>-47391.18700690558</v>
      </c>
      <c r="Y256" s="527">
        <f t="shared" si="357"/>
        <v>-47391.18700690558</v>
      </c>
      <c r="Z256" s="527">
        <f t="shared" si="357"/>
        <v>-47391.18700690558</v>
      </c>
      <c r="AA256" s="527">
        <f t="shared" si="357"/>
        <v>-47391.18700690558</v>
      </c>
      <c r="AB256" s="527">
        <f t="shared" si="357"/>
        <v>-47391.18700690558</v>
      </c>
      <c r="AC256" s="527">
        <f t="shared" si="357"/>
        <v>-47391.18700690558</v>
      </c>
      <c r="AD256" s="527">
        <f t="shared" si="357"/>
        <v>-47882.638201189373</v>
      </c>
      <c r="AE256" s="527">
        <f t="shared" si="357"/>
        <v>-47882.638201189373</v>
      </c>
      <c r="AF256" s="527">
        <f t="shared" si="357"/>
        <v>-47882.638201189373</v>
      </c>
      <c r="AG256" s="527">
        <f t="shared" si="357"/>
        <v>-47882.638201189373</v>
      </c>
      <c r="AH256" s="527">
        <f t="shared" si="357"/>
        <v>-47882.638201189373</v>
      </c>
      <c r="AI256" s="527">
        <f t="shared" si="357"/>
        <v>-47882.638201189373</v>
      </c>
      <c r="AJ256" s="527">
        <f t="shared" si="357"/>
        <v>-47882.638201189373</v>
      </c>
      <c r="AK256" s="527">
        <f t="shared" si="357"/>
        <v>-47882.638201189373</v>
      </c>
      <c r="AL256" s="527">
        <f t="shared" si="357"/>
        <v>-47882.638201189373</v>
      </c>
      <c r="AM256" s="527">
        <f t="shared" si="357"/>
        <v>-47882.638201189373</v>
      </c>
      <c r="AN256" s="527">
        <f t="shared" si="357"/>
        <v>-47882.638201189373</v>
      </c>
      <c r="AO256" s="527">
        <f t="shared" si="357"/>
        <v>-47882.638201189373</v>
      </c>
      <c r="AP256" s="527">
        <f t="shared" si="357"/>
        <v>-48383.918419358844</v>
      </c>
      <c r="AQ256" s="527">
        <f t="shared" si="357"/>
        <v>-48383.918419358844</v>
      </c>
      <c r="AR256" s="527">
        <f t="shared" si="357"/>
        <v>-48383.918419358844</v>
      </c>
      <c r="AS256" s="527">
        <f t="shared" si="357"/>
        <v>-48383.918419358844</v>
      </c>
      <c r="AT256" s="527">
        <f t="shared" si="357"/>
        <v>-48383.918419358844</v>
      </c>
      <c r="AU256" s="527">
        <f t="shared" si="357"/>
        <v>-48383.918419358844</v>
      </c>
      <c r="AV256" s="527">
        <f t="shared" si="357"/>
        <v>-56897.398182156903</v>
      </c>
      <c r="AW256" s="527">
        <f t="shared" si="357"/>
        <v>-56897.398182156903</v>
      </c>
      <c r="AX256" s="527">
        <f t="shared" ref="AX256:BY256" si="358">(AX240-AX248)*AX$228</f>
        <v>-56897.398182156903</v>
      </c>
      <c r="AY256" s="527">
        <f t="shared" si="358"/>
        <v>-56897.398182156903</v>
      </c>
      <c r="AZ256" s="527">
        <f t="shared" si="358"/>
        <v>-56897.398182156903</v>
      </c>
      <c r="BA256" s="527">
        <f t="shared" si="358"/>
        <v>-56897.398182156903</v>
      </c>
      <c r="BB256" s="527">
        <f t="shared" si="358"/>
        <v>-55523.558677462155</v>
      </c>
      <c r="BC256" s="527">
        <f t="shared" si="358"/>
        <v>-55523.558677462155</v>
      </c>
      <c r="BD256" s="527">
        <f t="shared" si="358"/>
        <v>-55523.558677462155</v>
      </c>
      <c r="BE256" s="527">
        <f t="shared" si="358"/>
        <v>-55523.558677462155</v>
      </c>
      <c r="BF256" s="527">
        <f t="shared" si="358"/>
        <v>-55523.558677462155</v>
      </c>
      <c r="BG256" s="527">
        <f t="shared" si="358"/>
        <v>-55523.558677462155</v>
      </c>
      <c r="BH256" s="527">
        <f t="shared" si="358"/>
        <v>-57704.037623374752</v>
      </c>
      <c r="BI256" s="527">
        <f t="shared" si="358"/>
        <v>-57704.037623374752</v>
      </c>
      <c r="BJ256" s="527">
        <f t="shared" si="358"/>
        <v>-57704.037623374752</v>
      </c>
      <c r="BK256" s="527">
        <f t="shared" si="358"/>
        <v>-57704.037623374752</v>
      </c>
      <c r="BL256" s="527">
        <f t="shared" si="358"/>
        <v>-57704.037623374752</v>
      </c>
      <c r="BM256" s="527">
        <f t="shared" si="358"/>
        <v>-57704.037623374752</v>
      </c>
      <c r="BN256" s="527">
        <f t="shared" si="358"/>
        <v>-56381.999811529291</v>
      </c>
      <c r="BO256" s="527">
        <f t="shared" si="358"/>
        <v>-56381.999811529291</v>
      </c>
      <c r="BP256" s="527">
        <f t="shared" si="358"/>
        <v>-56381.999811529291</v>
      </c>
      <c r="BQ256" s="527">
        <f t="shared" si="358"/>
        <v>-56381.999811529291</v>
      </c>
      <c r="BR256" s="527">
        <f t="shared" si="358"/>
        <v>-56381.999811529291</v>
      </c>
      <c r="BS256" s="527">
        <f t="shared" si="358"/>
        <v>-56381.999811529291</v>
      </c>
      <c r="BT256" s="527">
        <f t="shared" si="358"/>
        <v>-58574.456506232091</v>
      </c>
      <c r="BU256" s="527">
        <f t="shared" si="358"/>
        <v>-58574.456506232091</v>
      </c>
      <c r="BV256" s="527">
        <f t="shared" si="358"/>
        <v>-58574.456506232091</v>
      </c>
      <c r="BW256" s="527">
        <f t="shared" si="358"/>
        <v>-58574.456506232091</v>
      </c>
      <c r="BX256" s="527">
        <f t="shared" si="358"/>
        <v>-58574.456506232091</v>
      </c>
      <c r="BY256" s="527">
        <f t="shared" si="358"/>
        <v>-58574.456506232091</v>
      </c>
    </row>
    <row r="257" spans="1:77" x14ac:dyDescent="0.3">
      <c r="A257" s="551"/>
      <c r="B257" s="548"/>
      <c r="C257" s="525"/>
      <c r="D257" s="525"/>
      <c r="E257" s="621" t="str">
        <f>"BCF cost of sales: "&amp;E$158</f>
        <v>BCF cost of sales: FY30 Tranche</v>
      </c>
      <c r="F257" s="525"/>
      <c r="G257" s="525"/>
      <c r="H257" s="525"/>
      <c r="I257" s="525"/>
      <c r="J257" s="525"/>
      <c r="K257" s="525"/>
      <c r="L257" s="525"/>
      <c r="M257" s="525"/>
      <c r="N257" s="525"/>
      <c r="O257" s="525"/>
      <c r="P257" s="565"/>
      <c r="Q257" s="525"/>
      <c r="R257" s="527">
        <f t="shared" ref="R257:AW257" si="359">(R241-R249)*R$228</f>
        <v>-47391.18700690558</v>
      </c>
      <c r="S257" s="527">
        <f t="shared" si="359"/>
        <v>-47391.18700690558</v>
      </c>
      <c r="T257" s="527">
        <f t="shared" si="359"/>
        <v>-47391.18700690558</v>
      </c>
      <c r="U257" s="527">
        <f t="shared" si="359"/>
        <v>-47391.18700690558</v>
      </c>
      <c r="V257" s="527">
        <f t="shared" si="359"/>
        <v>-47391.18700690558</v>
      </c>
      <c r="W257" s="527">
        <f t="shared" si="359"/>
        <v>-47391.18700690558</v>
      </c>
      <c r="X257" s="527">
        <f t="shared" si="359"/>
        <v>-47391.18700690558</v>
      </c>
      <c r="Y257" s="527">
        <f t="shared" si="359"/>
        <v>-47391.18700690558</v>
      </c>
      <c r="Z257" s="527">
        <f t="shared" si="359"/>
        <v>-47391.18700690558</v>
      </c>
      <c r="AA257" s="527">
        <f t="shared" si="359"/>
        <v>-47391.18700690558</v>
      </c>
      <c r="AB257" s="527">
        <f t="shared" si="359"/>
        <v>-47391.18700690558</v>
      </c>
      <c r="AC257" s="527">
        <f t="shared" si="359"/>
        <v>-47391.18700690558</v>
      </c>
      <c r="AD257" s="527">
        <f t="shared" si="359"/>
        <v>-47882.638201189373</v>
      </c>
      <c r="AE257" s="527">
        <f t="shared" si="359"/>
        <v>-47882.638201189373</v>
      </c>
      <c r="AF257" s="527">
        <f t="shared" si="359"/>
        <v>-47882.638201189373</v>
      </c>
      <c r="AG257" s="527">
        <f t="shared" si="359"/>
        <v>-47882.638201189373</v>
      </c>
      <c r="AH257" s="527">
        <f t="shared" si="359"/>
        <v>-47882.638201189373</v>
      </c>
      <c r="AI257" s="527">
        <f t="shared" si="359"/>
        <v>-47882.638201189373</v>
      </c>
      <c r="AJ257" s="527">
        <f t="shared" si="359"/>
        <v>-47882.638201189373</v>
      </c>
      <c r="AK257" s="527">
        <f t="shared" si="359"/>
        <v>-47882.638201189373</v>
      </c>
      <c r="AL257" s="527">
        <f t="shared" si="359"/>
        <v>-47882.638201189373</v>
      </c>
      <c r="AM257" s="527">
        <f t="shared" si="359"/>
        <v>-47882.638201189373</v>
      </c>
      <c r="AN257" s="527">
        <f t="shared" si="359"/>
        <v>-47882.638201189373</v>
      </c>
      <c r="AO257" s="527">
        <f t="shared" si="359"/>
        <v>-47882.638201189373</v>
      </c>
      <c r="AP257" s="527">
        <f t="shared" si="359"/>
        <v>-48383.918419358844</v>
      </c>
      <c r="AQ257" s="527">
        <f t="shared" si="359"/>
        <v>-48383.918419358844</v>
      </c>
      <c r="AR257" s="527">
        <f t="shared" si="359"/>
        <v>-48383.918419358844</v>
      </c>
      <c r="AS257" s="527">
        <f t="shared" si="359"/>
        <v>-48383.918419358844</v>
      </c>
      <c r="AT257" s="527">
        <f t="shared" si="359"/>
        <v>-48383.918419358844</v>
      </c>
      <c r="AU257" s="527">
        <f t="shared" si="359"/>
        <v>-48383.918419358844</v>
      </c>
      <c r="AV257" s="527">
        <f t="shared" si="359"/>
        <v>-48383.918419358844</v>
      </c>
      <c r="AW257" s="527">
        <f t="shared" si="359"/>
        <v>-48383.918419358844</v>
      </c>
      <c r="AX257" s="527">
        <f t="shared" ref="AX257:BY257" si="360">(AX241-AX249)*AX$228</f>
        <v>-48383.918419358844</v>
      </c>
      <c r="AY257" s="527">
        <f t="shared" si="360"/>
        <v>-48383.918419358844</v>
      </c>
      <c r="AZ257" s="527">
        <f t="shared" si="360"/>
        <v>-48383.918419358844</v>
      </c>
      <c r="BA257" s="527">
        <f t="shared" si="360"/>
        <v>-48383.918419358844</v>
      </c>
      <c r="BB257" s="527">
        <f t="shared" si="360"/>
        <v>-48895.224241891738</v>
      </c>
      <c r="BC257" s="527">
        <f t="shared" si="360"/>
        <v>-48895.224241891738</v>
      </c>
      <c r="BD257" s="527">
        <f t="shared" si="360"/>
        <v>-48895.224241891738</v>
      </c>
      <c r="BE257" s="527">
        <f t="shared" si="360"/>
        <v>-48895.224241891738</v>
      </c>
      <c r="BF257" s="527">
        <f t="shared" si="360"/>
        <v>-48895.224241891738</v>
      </c>
      <c r="BG257" s="527">
        <f t="shared" si="360"/>
        <v>-48895.224241891738</v>
      </c>
      <c r="BH257" s="527">
        <f t="shared" si="360"/>
        <v>-57292.606052444782</v>
      </c>
      <c r="BI257" s="527">
        <f t="shared" si="360"/>
        <v>-57292.606052444782</v>
      </c>
      <c r="BJ257" s="527">
        <f t="shared" si="360"/>
        <v>-57292.606052444782</v>
      </c>
      <c r="BK257" s="527">
        <f t="shared" si="360"/>
        <v>-57292.606052444782</v>
      </c>
      <c r="BL257" s="527">
        <f t="shared" si="360"/>
        <v>-57292.606052444782</v>
      </c>
      <c r="BM257" s="527">
        <f t="shared" si="360"/>
        <v>-57292.606052444782</v>
      </c>
      <c r="BN257" s="527">
        <f t="shared" si="360"/>
        <v>-55984.219392431107</v>
      </c>
      <c r="BO257" s="527">
        <f t="shared" si="360"/>
        <v>-55984.219392431107</v>
      </c>
      <c r="BP257" s="527">
        <f t="shared" si="360"/>
        <v>-55984.219392431107</v>
      </c>
      <c r="BQ257" s="527">
        <f t="shared" si="360"/>
        <v>-55984.219392431107</v>
      </c>
      <c r="BR257" s="527">
        <f t="shared" si="360"/>
        <v>-55984.219392431107</v>
      </c>
      <c r="BS257" s="527">
        <f t="shared" si="360"/>
        <v>-55984.219392431107</v>
      </c>
      <c r="BT257" s="527">
        <f t="shared" si="360"/>
        <v>-58160.764870369989</v>
      </c>
      <c r="BU257" s="527">
        <f t="shared" si="360"/>
        <v>-58160.764870369989</v>
      </c>
      <c r="BV257" s="527">
        <f t="shared" si="360"/>
        <v>-58160.764870369989</v>
      </c>
      <c r="BW257" s="527">
        <f t="shared" si="360"/>
        <v>-58160.764870369989</v>
      </c>
      <c r="BX257" s="527">
        <f t="shared" si="360"/>
        <v>-58160.764870369989</v>
      </c>
      <c r="BY257" s="527">
        <f t="shared" si="360"/>
        <v>-58160.764870369989</v>
      </c>
    </row>
    <row r="258" spans="1:77" x14ac:dyDescent="0.3">
      <c r="A258" s="551"/>
      <c r="B258" s="548"/>
      <c r="C258" s="525"/>
      <c r="D258" s="525"/>
      <c r="E258" s="621" t="str">
        <f>"BCF cost of sales: "&amp;E$159</f>
        <v>BCF cost of sales: FY31 Tranche</v>
      </c>
      <c r="F258" s="525"/>
      <c r="G258" s="525"/>
      <c r="H258" s="525"/>
      <c r="I258" s="525"/>
      <c r="J258" s="525"/>
      <c r="K258" s="525"/>
      <c r="L258" s="525"/>
      <c r="M258" s="525"/>
      <c r="N258" s="525"/>
      <c r="O258" s="525"/>
      <c r="P258" s="565"/>
      <c r="Q258" s="525"/>
      <c r="R258" s="527">
        <f t="shared" ref="R258:AW258" si="361">(R242-R250)*R$228</f>
        <v>-47391.18700690558</v>
      </c>
      <c r="S258" s="527">
        <f t="shared" si="361"/>
        <v>-47391.18700690558</v>
      </c>
      <c r="T258" s="527">
        <f t="shared" si="361"/>
        <v>-47391.18700690558</v>
      </c>
      <c r="U258" s="527">
        <f t="shared" si="361"/>
        <v>-47391.18700690558</v>
      </c>
      <c r="V258" s="527">
        <f t="shared" si="361"/>
        <v>-47391.18700690558</v>
      </c>
      <c r="W258" s="527">
        <f t="shared" si="361"/>
        <v>-47391.18700690558</v>
      </c>
      <c r="X258" s="527">
        <f t="shared" si="361"/>
        <v>-47391.18700690558</v>
      </c>
      <c r="Y258" s="527">
        <f t="shared" si="361"/>
        <v>-47391.18700690558</v>
      </c>
      <c r="Z258" s="527">
        <f t="shared" si="361"/>
        <v>-47391.18700690558</v>
      </c>
      <c r="AA258" s="527">
        <f t="shared" si="361"/>
        <v>-47391.18700690558</v>
      </c>
      <c r="AB258" s="527">
        <f t="shared" si="361"/>
        <v>-47391.18700690558</v>
      </c>
      <c r="AC258" s="527">
        <f t="shared" si="361"/>
        <v>-47391.18700690558</v>
      </c>
      <c r="AD258" s="527">
        <f t="shared" si="361"/>
        <v>-47882.638201189373</v>
      </c>
      <c r="AE258" s="527">
        <f t="shared" si="361"/>
        <v>-47882.638201189373</v>
      </c>
      <c r="AF258" s="527">
        <f t="shared" si="361"/>
        <v>-47882.638201189373</v>
      </c>
      <c r="AG258" s="527">
        <f t="shared" si="361"/>
        <v>-47882.638201189373</v>
      </c>
      <c r="AH258" s="527">
        <f t="shared" si="361"/>
        <v>-47882.638201189373</v>
      </c>
      <c r="AI258" s="527">
        <f t="shared" si="361"/>
        <v>-47882.638201189373</v>
      </c>
      <c r="AJ258" s="527">
        <f t="shared" si="361"/>
        <v>-47882.638201189373</v>
      </c>
      <c r="AK258" s="527">
        <f t="shared" si="361"/>
        <v>-47882.638201189373</v>
      </c>
      <c r="AL258" s="527">
        <f t="shared" si="361"/>
        <v>-47882.638201189373</v>
      </c>
      <c r="AM258" s="527">
        <f t="shared" si="361"/>
        <v>-47882.638201189373</v>
      </c>
      <c r="AN258" s="527">
        <f t="shared" si="361"/>
        <v>-47882.638201189373</v>
      </c>
      <c r="AO258" s="527">
        <f t="shared" si="361"/>
        <v>-47882.638201189373</v>
      </c>
      <c r="AP258" s="527">
        <f t="shared" si="361"/>
        <v>-48383.918419358844</v>
      </c>
      <c r="AQ258" s="527">
        <f t="shared" si="361"/>
        <v>-48383.918419358844</v>
      </c>
      <c r="AR258" s="527">
        <f t="shared" si="361"/>
        <v>-48383.918419358844</v>
      </c>
      <c r="AS258" s="527">
        <f t="shared" si="361"/>
        <v>-48383.918419358844</v>
      </c>
      <c r="AT258" s="527">
        <f t="shared" si="361"/>
        <v>-48383.918419358844</v>
      </c>
      <c r="AU258" s="527">
        <f t="shared" si="361"/>
        <v>-48383.918419358844</v>
      </c>
      <c r="AV258" s="527">
        <f t="shared" si="361"/>
        <v>-48383.918419358844</v>
      </c>
      <c r="AW258" s="527">
        <f t="shared" si="361"/>
        <v>-48383.918419358844</v>
      </c>
      <c r="AX258" s="527">
        <f t="shared" ref="AX258:BY258" si="362">(AX242-AX250)*AX$228</f>
        <v>-48383.918419358844</v>
      </c>
      <c r="AY258" s="527">
        <f t="shared" si="362"/>
        <v>-48383.918419358844</v>
      </c>
      <c r="AZ258" s="527">
        <f t="shared" si="362"/>
        <v>-48383.918419358844</v>
      </c>
      <c r="BA258" s="527">
        <f t="shared" si="362"/>
        <v>-48383.918419358844</v>
      </c>
      <c r="BB258" s="527">
        <f t="shared" si="362"/>
        <v>-48895.224241891738</v>
      </c>
      <c r="BC258" s="527">
        <f t="shared" si="362"/>
        <v>-48895.224241891738</v>
      </c>
      <c r="BD258" s="527">
        <f t="shared" si="362"/>
        <v>-48895.224241891738</v>
      </c>
      <c r="BE258" s="527">
        <f t="shared" si="362"/>
        <v>-48895.224241891738</v>
      </c>
      <c r="BF258" s="527">
        <f t="shared" si="362"/>
        <v>-48895.224241891738</v>
      </c>
      <c r="BG258" s="527">
        <f t="shared" si="362"/>
        <v>-48895.224241891738</v>
      </c>
      <c r="BH258" s="527">
        <f t="shared" si="362"/>
        <v>-48895.224241891738</v>
      </c>
      <c r="BI258" s="527">
        <f t="shared" si="362"/>
        <v>-48895.224241891738</v>
      </c>
      <c r="BJ258" s="527">
        <f t="shared" si="362"/>
        <v>-48895.224241891738</v>
      </c>
      <c r="BK258" s="527">
        <f t="shared" si="362"/>
        <v>-48895.224241891738</v>
      </c>
      <c r="BL258" s="527">
        <f t="shared" si="362"/>
        <v>-48895.224241891738</v>
      </c>
      <c r="BM258" s="527">
        <f t="shared" si="362"/>
        <v>-48895.224241891738</v>
      </c>
      <c r="BN258" s="527">
        <f t="shared" si="362"/>
        <v>-49416.756180875265</v>
      </c>
      <c r="BO258" s="527">
        <f t="shared" si="362"/>
        <v>-49416.756180875265</v>
      </c>
      <c r="BP258" s="527">
        <f t="shared" si="362"/>
        <v>-49416.756180875265</v>
      </c>
      <c r="BQ258" s="527">
        <f t="shared" si="362"/>
        <v>-49416.756180875265</v>
      </c>
      <c r="BR258" s="527">
        <f t="shared" si="362"/>
        <v>-49416.756180875265</v>
      </c>
      <c r="BS258" s="527">
        <f t="shared" si="362"/>
        <v>-49416.756180875265</v>
      </c>
      <c r="BT258" s="527">
        <f t="shared" si="362"/>
        <v>-57693.961405235248</v>
      </c>
      <c r="BU258" s="527">
        <f t="shared" si="362"/>
        <v>-57693.961405235248</v>
      </c>
      <c r="BV258" s="527">
        <f t="shared" si="362"/>
        <v>-57693.961405235248</v>
      </c>
      <c r="BW258" s="527">
        <f t="shared" si="362"/>
        <v>-57693.961405235248</v>
      </c>
      <c r="BX258" s="527">
        <f t="shared" si="362"/>
        <v>-57693.961405235248</v>
      </c>
      <c r="BY258" s="527">
        <f t="shared" si="362"/>
        <v>-57693.961405235248</v>
      </c>
    </row>
    <row r="259" spans="1:77" x14ac:dyDescent="0.3">
      <c r="A259" s="551"/>
      <c r="B259" s="548"/>
      <c r="C259" s="525"/>
      <c r="D259" s="525"/>
      <c r="E259" s="621" t="str">
        <f>"BCF cost of sales: "&amp;E$160</f>
        <v>BCF cost of sales: Uninvested Tranche</v>
      </c>
      <c r="F259" s="525"/>
      <c r="G259" s="525"/>
      <c r="H259" s="525"/>
      <c r="I259" s="525"/>
      <c r="J259" s="525"/>
      <c r="K259" s="525"/>
      <c r="L259" s="525"/>
      <c r="M259" s="525"/>
      <c r="N259" s="525"/>
      <c r="O259" s="525"/>
      <c r="P259" s="565"/>
      <c r="Q259" s="525"/>
      <c r="R259" s="527">
        <f t="shared" ref="R259:AW259" si="363">(R243-R251)*R$228</f>
        <v>-103668.22157760596</v>
      </c>
      <c r="S259" s="527">
        <f t="shared" si="363"/>
        <v>-103668.22157760596</v>
      </c>
      <c r="T259" s="527">
        <f t="shared" si="363"/>
        <v>-103668.22157760596</v>
      </c>
      <c r="U259" s="527">
        <f t="shared" si="363"/>
        <v>-103668.22157760596</v>
      </c>
      <c r="V259" s="527">
        <f t="shared" si="363"/>
        <v>-103668.22157760596</v>
      </c>
      <c r="W259" s="527">
        <f t="shared" si="363"/>
        <v>-103668.22157760596</v>
      </c>
      <c r="X259" s="527">
        <f t="shared" si="363"/>
        <v>-103668.22157760596</v>
      </c>
      <c r="Y259" s="527">
        <f t="shared" si="363"/>
        <v>-103668.22157760596</v>
      </c>
      <c r="Z259" s="527">
        <f t="shared" si="363"/>
        <v>-103668.22157760596</v>
      </c>
      <c r="AA259" s="527">
        <f t="shared" si="363"/>
        <v>-103668.22157760596</v>
      </c>
      <c r="AB259" s="527">
        <f t="shared" si="363"/>
        <v>-103668.22157760596</v>
      </c>
      <c r="AC259" s="527">
        <f t="shared" si="363"/>
        <v>-103668.22157760596</v>
      </c>
      <c r="AD259" s="527">
        <f t="shared" si="363"/>
        <v>-104743.27106510176</v>
      </c>
      <c r="AE259" s="527">
        <f t="shared" si="363"/>
        <v>-104743.27106510176</v>
      </c>
      <c r="AF259" s="527">
        <f t="shared" si="363"/>
        <v>-104743.27106510176</v>
      </c>
      <c r="AG259" s="527">
        <f t="shared" si="363"/>
        <v>-104743.27106510176</v>
      </c>
      <c r="AH259" s="527">
        <f t="shared" si="363"/>
        <v>-104743.27106510176</v>
      </c>
      <c r="AI259" s="527">
        <f t="shared" si="363"/>
        <v>-104743.27106510176</v>
      </c>
      <c r="AJ259" s="527">
        <f t="shared" si="363"/>
        <v>-104743.27106510176</v>
      </c>
      <c r="AK259" s="527">
        <f t="shared" si="363"/>
        <v>-104743.27106510176</v>
      </c>
      <c r="AL259" s="527">
        <f t="shared" si="363"/>
        <v>-104743.27106510176</v>
      </c>
      <c r="AM259" s="527">
        <f t="shared" si="363"/>
        <v>-104743.27106510176</v>
      </c>
      <c r="AN259" s="527">
        <f t="shared" si="363"/>
        <v>-104743.27106510176</v>
      </c>
      <c r="AO259" s="527">
        <f t="shared" si="363"/>
        <v>-104743.27106510176</v>
      </c>
      <c r="AP259" s="527">
        <f t="shared" si="363"/>
        <v>-105839.82154234748</v>
      </c>
      <c r="AQ259" s="527">
        <f t="shared" si="363"/>
        <v>-105839.82154234748</v>
      </c>
      <c r="AR259" s="527">
        <f t="shared" si="363"/>
        <v>-105839.82154234748</v>
      </c>
      <c r="AS259" s="527">
        <f t="shared" si="363"/>
        <v>-105839.82154234748</v>
      </c>
      <c r="AT259" s="527">
        <f t="shared" si="363"/>
        <v>-105839.82154234748</v>
      </c>
      <c r="AU259" s="527">
        <f t="shared" si="363"/>
        <v>-105839.82154234748</v>
      </c>
      <c r="AV259" s="527">
        <f t="shared" si="363"/>
        <v>-105839.82154234748</v>
      </c>
      <c r="AW259" s="527">
        <f t="shared" si="363"/>
        <v>-105839.82154234748</v>
      </c>
      <c r="AX259" s="527">
        <f t="shared" ref="AX259:BY259" si="364">(AX243-AX251)*AX$228</f>
        <v>-105839.82154234748</v>
      </c>
      <c r="AY259" s="527">
        <f t="shared" si="364"/>
        <v>-105839.82154234748</v>
      </c>
      <c r="AZ259" s="527">
        <f t="shared" si="364"/>
        <v>-105839.82154234748</v>
      </c>
      <c r="BA259" s="527">
        <f t="shared" si="364"/>
        <v>-105839.82154234748</v>
      </c>
      <c r="BB259" s="527">
        <f t="shared" si="364"/>
        <v>-106958.30302913817</v>
      </c>
      <c r="BC259" s="527">
        <f t="shared" si="364"/>
        <v>-106958.30302913817</v>
      </c>
      <c r="BD259" s="527">
        <f t="shared" si="364"/>
        <v>-106958.30302913817</v>
      </c>
      <c r="BE259" s="527">
        <f t="shared" si="364"/>
        <v>-106958.30302913817</v>
      </c>
      <c r="BF259" s="527">
        <f t="shared" si="364"/>
        <v>-106958.30302913817</v>
      </c>
      <c r="BG259" s="527">
        <f t="shared" si="364"/>
        <v>-106958.30302913817</v>
      </c>
      <c r="BH259" s="527">
        <f t="shared" si="364"/>
        <v>-106958.30302913817</v>
      </c>
      <c r="BI259" s="527">
        <f t="shared" si="364"/>
        <v>-106958.30302913817</v>
      </c>
      <c r="BJ259" s="527">
        <f t="shared" si="364"/>
        <v>-106958.30302913817</v>
      </c>
      <c r="BK259" s="527">
        <f t="shared" si="364"/>
        <v>-106958.30302913817</v>
      </c>
      <c r="BL259" s="527">
        <f t="shared" si="364"/>
        <v>-106958.30302913817</v>
      </c>
      <c r="BM259" s="527">
        <f t="shared" si="364"/>
        <v>-106958.30302913817</v>
      </c>
      <c r="BN259" s="527">
        <f t="shared" si="364"/>
        <v>-108099.15414566462</v>
      </c>
      <c r="BO259" s="527">
        <f t="shared" si="364"/>
        <v>-108099.15414566462</v>
      </c>
      <c r="BP259" s="527">
        <f t="shared" si="364"/>
        <v>-108099.15414566462</v>
      </c>
      <c r="BQ259" s="527">
        <f t="shared" si="364"/>
        <v>-108099.15414566462</v>
      </c>
      <c r="BR259" s="527">
        <f t="shared" si="364"/>
        <v>-108099.15414566462</v>
      </c>
      <c r="BS259" s="527">
        <f t="shared" si="364"/>
        <v>-108099.15414566462</v>
      </c>
      <c r="BT259" s="527">
        <f t="shared" si="364"/>
        <v>-108099.15414566462</v>
      </c>
      <c r="BU259" s="527">
        <f t="shared" si="364"/>
        <v>-108099.15414566462</v>
      </c>
      <c r="BV259" s="527">
        <f t="shared" si="364"/>
        <v>-108099.15414566462</v>
      </c>
      <c r="BW259" s="527">
        <f t="shared" si="364"/>
        <v>-108099.15414566462</v>
      </c>
      <c r="BX259" s="527">
        <f t="shared" si="364"/>
        <v>-108099.15414566462</v>
      </c>
      <c r="BY259" s="527">
        <f t="shared" si="364"/>
        <v>-108099.15414566462</v>
      </c>
    </row>
    <row r="260" spans="1:77" x14ac:dyDescent="0.3">
      <c r="A260" s="551"/>
      <c r="B260" s="548"/>
      <c r="C260" s="525"/>
      <c r="D260" s="525"/>
      <c r="E260" s="572" t="s">
        <v>36</v>
      </c>
      <c r="F260" s="572"/>
      <c r="G260" s="572"/>
      <c r="H260" s="572"/>
      <c r="I260" s="572"/>
      <c r="J260" s="572"/>
      <c r="K260" s="572"/>
      <c r="L260" s="572"/>
      <c r="M260" s="572"/>
      <c r="N260" s="572"/>
      <c r="O260" s="572"/>
      <c r="P260" s="612"/>
      <c r="Q260" s="572"/>
      <c r="R260" s="530">
        <f t="shared" ref="R260:AW260" si="365">SUM(R254:R259)</f>
        <v>-340624.15661213384</v>
      </c>
      <c r="S260" s="530">
        <f t="shared" si="365"/>
        <v>-340624.15661213384</v>
      </c>
      <c r="T260" s="530">
        <f t="shared" si="365"/>
        <v>-340624.15661213384</v>
      </c>
      <c r="U260" s="530">
        <f t="shared" si="365"/>
        <v>-340624.15661213384</v>
      </c>
      <c r="V260" s="530">
        <f t="shared" si="365"/>
        <v>-340624.15661213384</v>
      </c>
      <c r="W260" s="530">
        <f t="shared" si="365"/>
        <v>-340624.15661213384</v>
      </c>
      <c r="X260" s="530">
        <f t="shared" si="365"/>
        <v>-349399.45206330589</v>
      </c>
      <c r="Y260" s="530">
        <f t="shared" si="365"/>
        <v>-349399.45206330589</v>
      </c>
      <c r="Z260" s="530">
        <f t="shared" si="365"/>
        <v>-349399.45206330589</v>
      </c>
      <c r="AA260" s="530">
        <f t="shared" si="365"/>
        <v>-349399.45206330589</v>
      </c>
      <c r="AB260" s="530">
        <f t="shared" si="365"/>
        <v>-349399.45206330589</v>
      </c>
      <c r="AC260" s="530">
        <f t="shared" si="365"/>
        <v>-349399.45206330589</v>
      </c>
      <c r="AD260" s="530">
        <f t="shared" si="365"/>
        <v>-350773.46975956863</v>
      </c>
      <c r="AE260" s="530">
        <f t="shared" si="365"/>
        <v>-350773.46975956863</v>
      </c>
      <c r="AF260" s="530">
        <f t="shared" si="365"/>
        <v>-350773.46975956863</v>
      </c>
      <c r="AG260" s="530">
        <f t="shared" si="365"/>
        <v>-350773.46975956863</v>
      </c>
      <c r="AH260" s="530">
        <f t="shared" si="365"/>
        <v>-350773.46975956863</v>
      </c>
      <c r="AI260" s="530">
        <f t="shared" si="365"/>
        <v>-350773.46975956863</v>
      </c>
      <c r="AJ260" s="530">
        <f t="shared" si="365"/>
        <v>-361592.94662736356</v>
      </c>
      <c r="AK260" s="530">
        <f t="shared" si="365"/>
        <v>-361592.94662736356</v>
      </c>
      <c r="AL260" s="530">
        <f t="shared" si="365"/>
        <v>-361592.94662736356</v>
      </c>
      <c r="AM260" s="530">
        <f t="shared" si="365"/>
        <v>-361592.94662736356</v>
      </c>
      <c r="AN260" s="530">
        <f t="shared" si="365"/>
        <v>-361592.94662736356</v>
      </c>
      <c r="AO260" s="530">
        <f t="shared" si="365"/>
        <v>-361592.94662736356</v>
      </c>
      <c r="AP260" s="530">
        <f t="shared" si="365"/>
        <v>-361090.77115053614</v>
      </c>
      <c r="AQ260" s="530">
        <f t="shared" si="365"/>
        <v>-361090.77115053614</v>
      </c>
      <c r="AR260" s="530">
        <f t="shared" si="365"/>
        <v>-361090.77115053614</v>
      </c>
      <c r="AS260" s="530">
        <f t="shared" si="365"/>
        <v>-361090.77115053614</v>
      </c>
      <c r="AT260" s="530">
        <f t="shared" si="365"/>
        <v>-361090.77115053614</v>
      </c>
      <c r="AU260" s="530">
        <f t="shared" si="365"/>
        <v>-361090.77115053614</v>
      </c>
      <c r="AV260" s="530">
        <f t="shared" si="365"/>
        <v>-373969.09809412318</v>
      </c>
      <c r="AW260" s="530">
        <f t="shared" si="365"/>
        <v>-373969.09809412318</v>
      </c>
      <c r="AX260" s="530">
        <f t="shared" ref="AX260:BY260" si="366">SUM(AX254:AX259)</f>
        <v>-373969.09809412318</v>
      </c>
      <c r="AY260" s="530">
        <f t="shared" si="366"/>
        <v>-373969.09809412318</v>
      </c>
      <c r="AZ260" s="530">
        <f t="shared" si="366"/>
        <v>-373969.09809412318</v>
      </c>
      <c r="BA260" s="530">
        <f t="shared" si="366"/>
        <v>-373969.09809412318</v>
      </c>
      <c r="BB260" s="530">
        <f t="shared" si="366"/>
        <v>-371966.17308066034</v>
      </c>
      <c r="BC260" s="530">
        <f t="shared" si="366"/>
        <v>-371966.17308066034</v>
      </c>
      <c r="BD260" s="530">
        <f t="shared" si="366"/>
        <v>-371966.17308066034</v>
      </c>
      <c r="BE260" s="530">
        <f t="shared" si="366"/>
        <v>-371966.17308066034</v>
      </c>
      <c r="BF260" s="530">
        <f t="shared" si="366"/>
        <v>-371966.17308066034</v>
      </c>
      <c r="BG260" s="530">
        <f t="shared" si="366"/>
        <v>-371966.17308066034</v>
      </c>
      <c r="BH260" s="530">
        <f t="shared" si="366"/>
        <v>-386930.86155036523</v>
      </c>
      <c r="BI260" s="530">
        <f t="shared" si="366"/>
        <v>-386930.86155036523</v>
      </c>
      <c r="BJ260" s="530">
        <f t="shared" si="366"/>
        <v>-386930.86155036523</v>
      </c>
      <c r="BK260" s="530">
        <f t="shared" si="366"/>
        <v>-386930.86155036523</v>
      </c>
      <c r="BL260" s="530">
        <f t="shared" si="366"/>
        <v>-386930.86155036523</v>
      </c>
      <c r="BM260" s="530">
        <f t="shared" si="366"/>
        <v>-386930.86155036523</v>
      </c>
      <c r="BN260" s="530">
        <f t="shared" si="366"/>
        <v>-383296.42737423652</v>
      </c>
      <c r="BO260" s="530">
        <f t="shared" si="366"/>
        <v>-383296.42737423652</v>
      </c>
      <c r="BP260" s="530">
        <f t="shared" si="366"/>
        <v>-383296.42737423652</v>
      </c>
      <c r="BQ260" s="530">
        <f t="shared" si="366"/>
        <v>-383296.42737423652</v>
      </c>
      <c r="BR260" s="530">
        <f t="shared" si="366"/>
        <v>-383296.42737423652</v>
      </c>
      <c r="BS260" s="530">
        <f t="shared" si="366"/>
        <v>-383296.42737423652</v>
      </c>
      <c r="BT260" s="530">
        <f t="shared" si="366"/>
        <v>-400353.56008947094</v>
      </c>
      <c r="BU260" s="530">
        <f t="shared" si="366"/>
        <v>-400353.56008947094</v>
      </c>
      <c r="BV260" s="530">
        <f t="shared" si="366"/>
        <v>-400353.56008947094</v>
      </c>
      <c r="BW260" s="530">
        <f t="shared" si="366"/>
        <v>-400353.56008947094</v>
      </c>
      <c r="BX260" s="530">
        <f t="shared" si="366"/>
        <v>-400353.56008947094</v>
      </c>
      <c r="BY260" s="530">
        <f t="shared" si="366"/>
        <v>-400353.56008947094</v>
      </c>
    </row>
    <row r="261" spans="1:77" x14ac:dyDescent="0.3">
      <c r="A261" s="551"/>
      <c r="B261" s="548"/>
      <c r="C261" s="525"/>
      <c r="D261" s="525"/>
      <c r="E261" s="525"/>
      <c r="F261" s="525"/>
      <c r="G261" s="525"/>
      <c r="H261" s="525"/>
      <c r="I261" s="525"/>
      <c r="J261" s="525"/>
      <c r="K261" s="525"/>
      <c r="L261" s="525"/>
      <c r="M261" s="525"/>
      <c r="N261" s="525"/>
      <c r="O261" s="525"/>
      <c r="P261" s="565"/>
      <c r="Q261" s="525"/>
      <c r="R261" s="525"/>
      <c r="S261" s="525"/>
      <c r="T261" s="525"/>
      <c r="U261" s="525"/>
      <c r="V261" s="525"/>
      <c r="W261" s="525"/>
      <c r="X261" s="525"/>
      <c r="Y261" s="525"/>
      <c r="Z261" s="525"/>
      <c r="AA261" s="525"/>
      <c r="AB261" s="525"/>
      <c r="AC261" s="525"/>
      <c r="AD261" s="525"/>
      <c r="AE261" s="525"/>
      <c r="AF261" s="525"/>
      <c r="AG261" s="525"/>
      <c r="AH261" s="525"/>
      <c r="AI261" s="525"/>
      <c r="AJ261" s="525"/>
      <c r="AK261" s="525"/>
      <c r="AL261" s="525"/>
      <c r="AM261" s="525"/>
      <c r="AN261" s="525"/>
      <c r="AO261" s="525"/>
      <c r="AP261" s="525"/>
      <c r="AQ261" s="525"/>
      <c r="AR261" s="525"/>
      <c r="AS261" s="525"/>
      <c r="AT261" s="525"/>
      <c r="AU261" s="525"/>
      <c r="AV261" s="525"/>
      <c r="AW261" s="525"/>
      <c r="AX261" s="525"/>
      <c r="AY261" s="525"/>
      <c r="AZ261" s="525"/>
      <c r="BA261" s="525"/>
      <c r="BB261" s="525"/>
      <c r="BC261" s="525"/>
      <c r="BD261" s="525"/>
      <c r="BE261" s="525"/>
      <c r="BF261" s="525"/>
      <c r="BG261" s="525"/>
      <c r="BH261" s="525"/>
      <c r="BI261" s="525"/>
      <c r="BJ261" s="525"/>
      <c r="BK261" s="525"/>
      <c r="BL261" s="525"/>
      <c r="BM261" s="525"/>
      <c r="BN261" s="525"/>
      <c r="BO261" s="525"/>
      <c r="BP261" s="525"/>
      <c r="BQ261" s="525"/>
      <c r="BR261" s="525"/>
      <c r="BS261" s="525"/>
      <c r="BT261" s="525"/>
      <c r="BU261" s="525"/>
      <c r="BV261" s="525"/>
      <c r="BW261" s="525"/>
      <c r="BX261" s="525"/>
      <c r="BY261" s="525"/>
    </row>
    <row r="262" spans="1:77" x14ac:dyDescent="0.3">
      <c r="A262" s="551"/>
      <c r="B262" s="548"/>
      <c r="C262" s="525"/>
      <c r="D262" s="525"/>
      <c r="E262" s="622" t="str">
        <f>"BCF dist &amp; disp: "&amp;E$155</f>
        <v>BCF dist &amp; disp: FY27 Tranche</v>
      </c>
      <c r="F262" s="525"/>
      <c r="G262" s="525"/>
      <c r="H262" s="525"/>
      <c r="I262" s="525"/>
      <c r="J262" s="525"/>
      <c r="K262" s="525"/>
      <c r="L262" s="525"/>
      <c r="M262" s="525"/>
      <c r="N262" s="525"/>
      <c r="O262" s="525"/>
      <c r="P262" s="565"/>
      <c r="Q262" s="525"/>
      <c r="R262" s="527">
        <f t="shared" ref="R262:AW262" si="367">(R238-R246)*R$229</f>
        <v>-9206.0481486722238</v>
      </c>
      <c r="S262" s="527">
        <f t="shared" si="367"/>
        <v>-9206.0481486722238</v>
      </c>
      <c r="T262" s="527">
        <f t="shared" si="367"/>
        <v>-9206.0481486722238</v>
      </c>
      <c r="U262" s="527">
        <f t="shared" si="367"/>
        <v>-9206.0481486722238</v>
      </c>
      <c r="V262" s="527">
        <f t="shared" si="367"/>
        <v>-9206.0481486722238</v>
      </c>
      <c r="W262" s="527">
        <f t="shared" si="367"/>
        <v>-9206.0481486722238</v>
      </c>
      <c r="X262" s="527">
        <f t="shared" si="367"/>
        <v>-10910.706705347373</v>
      </c>
      <c r="Y262" s="527">
        <f t="shared" si="367"/>
        <v>-10910.706705347373</v>
      </c>
      <c r="Z262" s="527">
        <f t="shared" si="367"/>
        <v>-10910.706705347373</v>
      </c>
      <c r="AA262" s="527">
        <f t="shared" si="367"/>
        <v>-10910.706705347373</v>
      </c>
      <c r="AB262" s="527">
        <f t="shared" si="367"/>
        <v>-10910.706705347373</v>
      </c>
      <c r="AC262" s="527">
        <f t="shared" si="367"/>
        <v>-10910.706705347373</v>
      </c>
      <c r="AD262" s="527">
        <f t="shared" si="367"/>
        <v>-10687.817352061938</v>
      </c>
      <c r="AE262" s="527">
        <f t="shared" si="367"/>
        <v>-10687.817352061938</v>
      </c>
      <c r="AF262" s="527">
        <f t="shared" si="367"/>
        <v>-10687.817352061938</v>
      </c>
      <c r="AG262" s="527">
        <f t="shared" si="367"/>
        <v>-10687.817352061938</v>
      </c>
      <c r="AH262" s="527">
        <f t="shared" si="367"/>
        <v>-10687.817352061938</v>
      </c>
      <c r="AI262" s="527">
        <f t="shared" si="367"/>
        <v>-10687.817352061938</v>
      </c>
      <c r="AJ262" s="527">
        <f t="shared" si="367"/>
        <v>-11115.395563136964</v>
      </c>
      <c r="AK262" s="527">
        <f t="shared" si="367"/>
        <v>-11115.395563136964</v>
      </c>
      <c r="AL262" s="527">
        <f t="shared" si="367"/>
        <v>-11115.395563136964</v>
      </c>
      <c r="AM262" s="527">
        <f t="shared" si="367"/>
        <v>-11115.395563136964</v>
      </c>
      <c r="AN262" s="527">
        <f t="shared" si="367"/>
        <v>-11115.395563136964</v>
      </c>
      <c r="AO262" s="527">
        <f t="shared" si="367"/>
        <v>-11115.395563136964</v>
      </c>
      <c r="AP262" s="527">
        <f t="shared" si="367"/>
        <v>-10912.58437586642</v>
      </c>
      <c r="AQ262" s="527">
        <f t="shared" si="367"/>
        <v>-10912.58437586642</v>
      </c>
      <c r="AR262" s="527">
        <f t="shared" si="367"/>
        <v>-10912.58437586642</v>
      </c>
      <c r="AS262" s="527">
        <f t="shared" si="367"/>
        <v>-10912.58437586642</v>
      </c>
      <c r="AT262" s="527">
        <f t="shared" si="367"/>
        <v>-10912.58437586642</v>
      </c>
      <c r="AU262" s="527">
        <f t="shared" si="367"/>
        <v>-10912.58437586642</v>
      </c>
      <c r="AV262" s="527">
        <f t="shared" si="367"/>
        <v>-11345.21563824461</v>
      </c>
      <c r="AW262" s="527">
        <f t="shared" si="367"/>
        <v>-11345.21563824461</v>
      </c>
      <c r="AX262" s="527">
        <f t="shared" ref="AX262:BY262" si="368">(AX238-AX246)*AX$229</f>
        <v>-11345.21563824461</v>
      </c>
      <c r="AY262" s="527">
        <f t="shared" si="368"/>
        <v>-11345.21563824461</v>
      </c>
      <c r="AZ262" s="527">
        <f t="shared" si="368"/>
        <v>-11345.21563824461</v>
      </c>
      <c r="BA262" s="527">
        <f t="shared" si="368"/>
        <v>-11345.21563824461</v>
      </c>
      <c r="BB262" s="527">
        <f t="shared" si="368"/>
        <v>-11173.827405786737</v>
      </c>
      <c r="BC262" s="527">
        <f t="shared" si="368"/>
        <v>-11173.827405786737</v>
      </c>
      <c r="BD262" s="527">
        <f t="shared" si="368"/>
        <v>-11173.827405786737</v>
      </c>
      <c r="BE262" s="527">
        <f t="shared" si="368"/>
        <v>-11173.827405786737</v>
      </c>
      <c r="BF262" s="527">
        <f t="shared" si="368"/>
        <v>-11173.827405786737</v>
      </c>
      <c r="BG262" s="527">
        <f t="shared" si="368"/>
        <v>-11173.827405786737</v>
      </c>
      <c r="BH262" s="527">
        <f t="shared" si="368"/>
        <v>-11612.695694216061</v>
      </c>
      <c r="BI262" s="527">
        <f t="shared" si="368"/>
        <v>-11612.695694216061</v>
      </c>
      <c r="BJ262" s="527">
        <f t="shared" si="368"/>
        <v>-11612.695694216061</v>
      </c>
      <c r="BK262" s="527">
        <f t="shared" si="368"/>
        <v>-11612.695694216061</v>
      </c>
      <c r="BL262" s="527">
        <f t="shared" si="368"/>
        <v>-11612.695694216061</v>
      </c>
      <c r="BM262" s="527">
        <f t="shared" si="368"/>
        <v>-11612.695694216061</v>
      </c>
      <c r="BN262" s="527">
        <f t="shared" si="368"/>
        <v>-11450.567990941807</v>
      </c>
      <c r="BO262" s="527">
        <f t="shared" si="368"/>
        <v>-11450.567990941807</v>
      </c>
      <c r="BP262" s="527">
        <f t="shared" si="368"/>
        <v>-11450.567990941807</v>
      </c>
      <c r="BQ262" s="527">
        <f t="shared" si="368"/>
        <v>-11450.567990941807</v>
      </c>
      <c r="BR262" s="527">
        <f t="shared" si="368"/>
        <v>-11450.567990941807</v>
      </c>
      <c r="BS262" s="527">
        <f t="shared" si="368"/>
        <v>-11450.567990941807</v>
      </c>
      <c r="BT262" s="527">
        <f t="shared" si="368"/>
        <v>-11895.922349745426</v>
      </c>
      <c r="BU262" s="527">
        <f t="shared" si="368"/>
        <v>-11895.922349745426</v>
      </c>
      <c r="BV262" s="527">
        <f t="shared" si="368"/>
        <v>-11895.922349745426</v>
      </c>
      <c r="BW262" s="527">
        <f t="shared" si="368"/>
        <v>-11895.922349745426</v>
      </c>
      <c r="BX262" s="527">
        <f t="shared" si="368"/>
        <v>-11895.922349745426</v>
      </c>
      <c r="BY262" s="527">
        <f t="shared" si="368"/>
        <v>-11895.922349745426</v>
      </c>
    </row>
    <row r="263" spans="1:77" x14ac:dyDescent="0.3">
      <c r="A263" s="551"/>
      <c r="B263" s="548"/>
      <c r="C263" s="525"/>
      <c r="D263" s="525"/>
      <c r="E263" s="622" t="str">
        <f>"BCF dist &amp; disp: "&amp;E$156</f>
        <v>BCF dist &amp; disp: FY28 Tranche</v>
      </c>
      <c r="F263" s="525"/>
      <c r="G263" s="525"/>
      <c r="H263" s="525"/>
      <c r="I263" s="525"/>
      <c r="J263" s="525"/>
      <c r="K263" s="525"/>
      <c r="L263" s="525"/>
      <c r="M263" s="525"/>
      <c r="N263" s="525"/>
      <c r="O263" s="525"/>
      <c r="P263" s="565"/>
      <c r="Q263" s="525"/>
      <c r="R263" s="527">
        <f t="shared" ref="R263:AW263" si="369">(R239-R247)*R$229</f>
        <v>-9206.0481486722238</v>
      </c>
      <c r="S263" s="527">
        <f t="shared" si="369"/>
        <v>-9206.0481486722238</v>
      </c>
      <c r="T263" s="527">
        <f t="shared" si="369"/>
        <v>-9206.0481486722238</v>
      </c>
      <c r="U263" s="527">
        <f t="shared" si="369"/>
        <v>-9206.0481486722238</v>
      </c>
      <c r="V263" s="527">
        <f t="shared" si="369"/>
        <v>-9206.0481486722238</v>
      </c>
      <c r="W263" s="527">
        <f t="shared" si="369"/>
        <v>-9206.0481486722238</v>
      </c>
      <c r="X263" s="527">
        <f t="shared" si="369"/>
        <v>-9206.0481486722238</v>
      </c>
      <c r="Y263" s="527">
        <f t="shared" si="369"/>
        <v>-9206.0481486722238</v>
      </c>
      <c r="Z263" s="527">
        <f t="shared" si="369"/>
        <v>-9206.0481486722238</v>
      </c>
      <c r="AA263" s="527">
        <f t="shared" si="369"/>
        <v>-9206.0481486722238</v>
      </c>
      <c r="AB263" s="527">
        <f t="shared" si="369"/>
        <v>-9206.0481486722238</v>
      </c>
      <c r="AC263" s="527">
        <f t="shared" si="369"/>
        <v>-9206.0481486722238</v>
      </c>
      <c r="AD263" s="527">
        <f t="shared" si="369"/>
        <v>-9390.1691116456659</v>
      </c>
      <c r="AE263" s="527">
        <f t="shared" si="369"/>
        <v>-9390.1691116456659</v>
      </c>
      <c r="AF263" s="527">
        <f t="shared" si="369"/>
        <v>-9390.1691116456659</v>
      </c>
      <c r="AG263" s="527">
        <f t="shared" si="369"/>
        <v>-9390.1691116456659</v>
      </c>
      <c r="AH263" s="527">
        <f t="shared" si="369"/>
        <v>-9390.1691116456659</v>
      </c>
      <c r="AI263" s="527">
        <f t="shared" si="369"/>
        <v>-9390.1691116456659</v>
      </c>
      <c r="AJ263" s="527">
        <f t="shared" si="369"/>
        <v>-11084.377028169785</v>
      </c>
      <c r="AK263" s="527">
        <f t="shared" si="369"/>
        <v>-11084.377028169785</v>
      </c>
      <c r="AL263" s="527">
        <f t="shared" si="369"/>
        <v>-11084.377028169785</v>
      </c>
      <c r="AM263" s="527">
        <f t="shared" si="369"/>
        <v>-11084.377028169785</v>
      </c>
      <c r="AN263" s="527">
        <f t="shared" si="369"/>
        <v>-11084.377028169785</v>
      </c>
      <c r="AO263" s="527">
        <f t="shared" si="369"/>
        <v>-11084.377028169785</v>
      </c>
      <c r="AP263" s="527">
        <f t="shared" si="369"/>
        <v>-10882.406388288806</v>
      </c>
      <c r="AQ263" s="527">
        <f t="shared" si="369"/>
        <v>-10882.406388288806</v>
      </c>
      <c r="AR263" s="527">
        <f t="shared" si="369"/>
        <v>-10882.406388288806</v>
      </c>
      <c r="AS263" s="527">
        <f t="shared" si="369"/>
        <v>-10882.406388288806</v>
      </c>
      <c r="AT263" s="527">
        <f t="shared" si="369"/>
        <v>-10882.406388288806</v>
      </c>
      <c r="AU263" s="527">
        <f t="shared" si="369"/>
        <v>-10882.406388288806</v>
      </c>
      <c r="AV263" s="527">
        <f t="shared" si="369"/>
        <v>-11313.830531163887</v>
      </c>
      <c r="AW263" s="527">
        <f t="shared" si="369"/>
        <v>-11313.830531163887</v>
      </c>
      <c r="AX263" s="527">
        <f t="shared" ref="AX263:BY263" si="370">(AX239-AX247)*AX$229</f>
        <v>-11313.830531163887</v>
      </c>
      <c r="AY263" s="527">
        <f t="shared" si="370"/>
        <v>-11313.830531163887</v>
      </c>
      <c r="AZ263" s="527">
        <f t="shared" si="370"/>
        <v>-11313.830531163887</v>
      </c>
      <c r="BA263" s="527">
        <f t="shared" si="370"/>
        <v>-11313.830531163887</v>
      </c>
      <c r="BB263" s="527">
        <f t="shared" si="370"/>
        <v>-11143.214357428586</v>
      </c>
      <c r="BC263" s="527">
        <f t="shared" si="370"/>
        <v>-11143.214357428586</v>
      </c>
      <c r="BD263" s="527">
        <f t="shared" si="370"/>
        <v>-11143.214357428586</v>
      </c>
      <c r="BE263" s="527">
        <f t="shared" si="370"/>
        <v>-11143.214357428586</v>
      </c>
      <c r="BF263" s="527">
        <f t="shared" si="370"/>
        <v>-11143.214357428586</v>
      </c>
      <c r="BG263" s="527">
        <f t="shared" si="370"/>
        <v>-11143.214357428586</v>
      </c>
      <c r="BH263" s="527">
        <f t="shared" si="370"/>
        <v>-11580.858123923579</v>
      </c>
      <c r="BI263" s="527">
        <f t="shared" si="370"/>
        <v>-11580.858123923579</v>
      </c>
      <c r="BJ263" s="527">
        <f t="shared" si="370"/>
        <v>-11580.858123923579</v>
      </c>
      <c r="BK263" s="527">
        <f t="shared" si="370"/>
        <v>-11580.858123923579</v>
      </c>
      <c r="BL263" s="527">
        <f t="shared" si="370"/>
        <v>-11580.858123923579</v>
      </c>
      <c r="BM263" s="527">
        <f t="shared" si="370"/>
        <v>-11580.858123923579</v>
      </c>
      <c r="BN263" s="527">
        <f t="shared" si="370"/>
        <v>-11419.50250983502</v>
      </c>
      <c r="BO263" s="527">
        <f t="shared" si="370"/>
        <v>-11419.50250983502</v>
      </c>
      <c r="BP263" s="527">
        <f t="shared" si="370"/>
        <v>-11419.50250983502</v>
      </c>
      <c r="BQ263" s="527">
        <f t="shared" si="370"/>
        <v>-11419.50250983502</v>
      </c>
      <c r="BR263" s="527">
        <f t="shared" si="370"/>
        <v>-11419.50250983502</v>
      </c>
      <c r="BS263" s="527">
        <f t="shared" si="370"/>
        <v>-11419.50250983502</v>
      </c>
      <c r="BT263" s="527">
        <f t="shared" si="370"/>
        <v>-11863.61424939437</v>
      </c>
      <c r="BU263" s="527">
        <f t="shared" si="370"/>
        <v>-11863.61424939437</v>
      </c>
      <c r="BV263" s="527">
        <f t="shared" si="370"/>
        <v>-11863.61424939437</v>
      </c>
      <c r="BW263" s="527">
        <f t="shared" si="370"/>
        <v>-11863.61424939437</v>
      </c>
      <c r="BX263" s="527">
        <f t="shared" si="370"/>
        <v>-11863.61424939437</v>
      </c>
      <c r="BY263" s="527">
        <f t="shared" si="370"/>
        <v>-11863.61424939437</v>
      </c>
    </row>
    <row r="264" spans="1:77" x14ac:dyDescent="0.3">
      <c r="A264" s="551"/>
      <c r="B264" s="548"/>
      <c r="C264" s="525"/>
      <c r="D264" s="525"/>
      <c r="E264" s="622" t="str">
        <f>"BCF dist &amp; disp: "&amp;E$157</f>
        <v>BCF dist &amp; disp: FY29 Tranche</v>
      </c>
      <c r="F264" s="525"/>
      <c r="G264" s="525"/>
      <c r="H264" s="525"/>
      <c r="I264" s="525"/>
      <c r="J264" s="525"/>
      <c r="K264" s="525"/>
      <c r="L264" s="525"/>
      <c r="M264" s="525"/>
      <c r="N264" s="525"/>
      <c r="O264" s="525"/>
      <c r="P264" s="565"/>
      <c r="Q264" s="525"/>
      <c r="R264" s="527">
        <f t="shared" ref="R264:AW264" si="371">(R240-R248)*R$229</f>
        <v>-9206.0481486722238</v>
      </c>
      <c r="S264" s="527">
        <f t="shared" si="371"/>
        <v>-9206.0481486722238</v>
      </c>
      <c r="T264" s="527">
        <f t="shared" si="371"/>
        <v>-9206.0481486722238</v>
      </c>
      <c r="U264" s="527">
        <f t="shared" si="371"/>
        <v>-9206.0481486722238</v>
      </c>
      <c r="V264" s="527">
        <f t="shared" si="371"/>
        <v>-9206.0481486722238</v>
      </c>
      <c r="W264" s="527">
        <f t="shared" si="371"/>
        <v>-9206.0481486722238</v>
      </c>
      <c r="X264" s="527">
        <f t="shared" si="371"/>
        <v>-9206.0481486722238</v>
      </c>
      <c r="Y264" s="527">
        <f t="shared" si="371"/>
        <v>-9206.0481486722238</v>
      </c>
      <c r="Z264" s="527">
        <f t="shared" si="371"/>
        <v>-9206.0481486722238</v>
      </c>
      <c r="AA264" s="527">
        <f t="shared" si="371"/>
        <v>-9206.0481486722238</v>
      </c>
      <c r="AB264" s="527">
        <f t="shared" si="371"/>
        <v>-9206.0481486722238</v>
      </c>
      <c r="AC264" s="527">
        <f t="shared" si="371"/>
        <v>-9206.0481486722238</v>
      </c>
      <c r="AD264" s="527">
        <f t="shared" si="371"/>
        <v>-9390.1691116456659</v>
      </c>
      <c r="AE264" s="527">
        <f t="shared" si="371"/>
        <v>-9390.1691116456659</v>
      </c>
      <c r="AF264" s="527">
        <f t="shared" si="371"/>
        <v>-9390.1691116456659</v>
      </c>
      <c r="AG264" s="527">
        <f t="shared" si="371"/>
        <v>-9390.1691116456659</v>
      </c>
      <c r="AH264" s="527">
        <f t="shared" si="371"/>
        <v>-9390.1691116456659</v>
      </c>
      <c r="AI264" s="527">
        <f t="shared" si="371"/>
        <v>-9390.1691116456659</v>
      </c>
      <c r="AJ264" s="527">
        <f t="shared" si="371"/>
        <v>-9390.1691116456659</v>
      </c>
      <c r="AK264" s="527">
        <f t="shared" si="371"/>
        <v>-9390.1691116456659</v>
      </c>
      <c r="AL264" s="527">
        <f t="shared" si="371"/>
        <v>-9390.1691116456659</v>
      </c>
      <c r="AM264" s="527">
        <f t="shared" si="371"/>
        <v>-9390.1691116456659</v>
      </c>
      <c r="AN264" s="527">
        <f t="shared" si="371"/>
        <v>-9390.1691116456659</v>
      </c>
      <c r="AO264" s="527">
        <f t="shared" si="371"/>
        <v>-9390.1691116456659</v>
      </c>
      <c r="AP264" s="527">
        <f t="shared" si="371"/>
        <v>-9577.9724938785785</v>
      </c>
      <c r="AQ264" s="527">
        <f t="shared" si="371"/>
        <v>-9577.9724938785785</v>
      </c>
      <c r="AR264" s="527">
        <f t="shared" si="371"/>
        <v>-9577.9724938785785</v>
      </c>
      <c r="AS264" s="527">
        <f t="shared" si="371"/>
        <v>-9577.9724938785785</v>
      </c>
      <c r="AT264" s="527">
        <f t="shared" si="371"/>
        <v>-9577.9724938785785</v>
      </c>
      <c r="AU264" s="527">
        <f t="shared" si="371"/>
        <v>-9577.9724938785785</v>
      </c>
      <c r="AV264" s="527">
        <f t="shared" si="371"/>
        <v>-11263.28194501733</v>
      </c>
      <c r="AW264" s="527">
        <f t="shared" si="371"/>
        <v>-11263.28194501733</v>
      </c>
      <c r="AX264" s="527">
        <f t="shared" ref="AX264:BY264" si="372">(AX240-AX248)*AX$229</f>
        <v>-11263.28194501733</v>
      </c>
      <c r="AY264" s="527">
        <f t="shared" si="372"/>
        <v>-11263.28194501733</v>
      </c>
      <c r="AZ264" s="527">
        <f t="shared" si="372"/>
        <v>-11263.28194501733</v>
      </c>
      <c r="BA264" s="527">
        <f t="shared" si="372"/>
        <v>-11263.28194501733</v>
      </c>
      <c r="BB264" s="527">
        <f t="shared" si="372"/>
        <v>-11093.909242484719</v>
      </c>
      <c r="BC264" s="527">
        <f t="shared" si="372"/>
        <v>-11093.909242484719</v>
      </c>
      <c r="BD264" s="527">
        <f t="shared" si="372"/>
        <v>-11093.909242484719</v>
      </c>
      <c r="BE264" s="527">
        <f t="shared" si="372"/>
        <v>-11093.909242484719</v>
      </c>
      <c r="BF264" s="527">
        <f t="shared" si="372"/>
        <v>-11093.909242484719</v>
      </c>
      <c r="BG264" s="527">
        <f t="shared" si="372"/>
        <v>-11093.909242484719</v>
      </c>
      <c r="BH264" s="527">
        <f t="shared" si="372"/>
        <v>-11529.580804381962</v>
      </c>
      <c r="BI264" s="527">
        <f t="shared" si="372"/>
        <v>-11529.580804381962</v>
      </c>
      <c r="BJ264" s="527">
        <f t="shared" si="372"/>
        <v>-11529.580804381962</v>
      </c>
      <c r="BK264" s="527">
        <f t="shared" si="372"/>
        <v>-11529.580804381962</v>
      </c>
      <c r="BL264" s="527">
        <f t="shared" si="372"/>
        <v>-11529.580804381962</v>
      </c>
      <c r="BM264" s="527">
        <f t="shared" si="372"/>
        <v>-11529.580804381962</v>
      </c>
      <c r="BN264" s="527">
        <f t="shared" si="372"/>
        <v>-11369.468710559726</v>
      </c>
      <c r="BO264" s="527">
        <f t="shared" si="372"/>
        <v>-11369.468710559726</v>
      </c>
      <c r="BP264" s="527">
        <f t="shared" si="372"/>
        <v>-11369.468710559726</v>
      </c>
      <c r="BQ264" s="527">
        <f t="shared" si="372"/>
        <v>-11369.468710559726</v>
      </c>
      <c r="BR264" s="527">
        <f t="shared" si="372"/>
        <v>-11369.468710559726</v>
      </c>
      <c r="BS264" s="527">
        <f t="shared" si="372"/>
        <v>-11369.468710559726</v>
      </c>
      <c r="BT264" s="527">
        <f t="shared" si="372"/>
        <v>-11811.579098148062</v>
      </c>
      <c r="BU264" s="527">
        <f t="shared" si="372"/>
        <v>-11811.579098148062</v>
      </c>
      <c r="BV264" s="527">
        <f t="shared" si="372"/>
        <v>-11811.579098148062</v>
      </c>
      <c r="BW264" s="527">
        <f t="shared" si="372"/>
        <v>-11811.579098148062</v>
      </c>
      <c r="BX264" s="527">
        <f t="shared" si="372"/>
        <v>-11811.579098148062</v>
      </c>
      <c r="BY264" s="527">
        <f t="shared" si="372"/>
        <v>-11811.579098148062</v>
      </c>
    </row>
    <row r="265" spans="1:77" x14ac:dyDescent="0.3">
      <c r="A265" s="551"/>
      <c r="B265" s="548"/>
      <c r="C265" s="525"/>
      <c r="D265" s="525"/>
      <c r="E265" s="622" t="str">
        <f>"BCF dist &amp; disp: "&amp;E$158</f>
        <v>BCF dist &amp; disp: FY30 Tranche</v>
      </c>
      <c r="F265" s="525"/>
      <c r="G265" s="525"/>
      <c r="H265" s="525"/>
      <c r="I265" s="525"/>
      <c r="J265" s="525"/>
      <c r="K265" s="525"/>
      <c r="L265" s="525"/>
      <c r="M265" s="525"/>
      <c r="N265" s="525"/>
      <c r="O265" s="525"/>
      <c r="P265" s="565"/>
      <c r="Q265" s="525"/>
      <c r="R265" s="527">
        <f t="shared" ref="R265:AW265" si="373">(R241-R249)*R$229</f>
        <v>-9206.0481486722238</v>
      </c>
      <c r="S265" s="527">
        <f t="shared" si="373"/>
        <v>-9206.0481486722238</v>
      </c>
      <c r="T265" s="527">
        <f t="shared" si="373"/>
        <v>-9206.0481486722238</v>
      </c>
      <c r="U265" s="527">
        <f t="shared" si="373"/>
        <v>-9206.0481486722238</v>
      </c>
      <c r="V265" s="527">
        <f t="shared" si="373"/>
        <v>-9206.0481486722238</v>
      </c>
      <c r="W265" s="527">
        <f t="shared" si="373"/>
        <v>-9206.0481486722238</v>
      </c>
      <c r="X265" s="527">
        <f t="shared" si="373"/>
        <v>-9206.0481486722238</v>
      </c>
      <c r="Y265" s="527">
        <f t="shared" si="373"/>
        <v>-9206.0481486722238</v>
      </c>
      <c r="Z265" s="527">
        <f t="shared" si="373"/>
        <v>-9206.0481486722238</v>
      </c>
      <c r="AA265" s="527">
        <f t="shared" si="373"/>
        <v>-9206.0481486722238</v>
      </c>
      <c r="AB265" s="527">
        <f t="shared" si="373"/>
        <v>-9206.0481486722238</v>
      </c>
      <c r="AC265" s="527">
        <f t="shared" si="373"/>
        <v>-9206.0481486722238</v>
      </c>
      <c r="AD265" s="527">
        <f t="shared" si="373"/>
        <v>-9390.1691116456659</v>
      </c>
      <c r="AE265" s="527">
        <f t="shared" si="373"/>
        <v>-9390.1691116456659</v>
      </c>
      <c r="AF265" s="527">
        <f t="shared" si="373"/>
        <v>-9390.1691116456659</v>
      </c>
      <c r="AG265" s="527">
        <f t="shared" si="373"/>
        <v>-9390.1691116456659</v>
      </c>
      <c r="AH265" s="527">
        <f t="shared" si="373"/>
        <v>-9390.1691116456659</v>
      </c>
      <c r="AI265" s="527">
        <f t="shared" si="373"/>
        <v>-9390.1691116456659</v>
      </c>
      <c r="AJ265" s="527">
        <f t="shared" si="373"/>
        <v>-9390.1691116456659</v>
      </c>
      <c r="AK265" s="527">
        <f t="shared" si="373"/>
        <v>-9390.1691116456659</v>
      </c>
      <c r="AL265" s="527">
        <f t="shared" si="373"/>
        <v>-9390.1691116456659</v>
      </c>
      <c r="AM265" s="527">
        <f t="shared" si="373"/>
        <v>-9390.1691116456659</v>
      </c>
      <c r="AN265" s="527">
        <f t="shared" si="373"/>
        <v>-9390.1691116456659</v>
      </c>
      <c r="AO265" s="527">
        <f t="shared" si="373"/>
        <v>-9390.1691116456659</v>
      </c>
      <c r="AP265" s="527">
        <f t="shared" si="373"/>
        <v>-9577.9724938785785</v>
      </c>
      <c r="AQ265" s="527">
        <f t="shared" si="373"/>
        <v>-9577.9724938785785</v>
      </c>
      <c r="AR265" s="527">
        <f t="shared" si="373"/>
        <v>-9577.9724938785785</v>
      </c>
      <c r="AS265" s="527">
        <f t="shared" si="373"/>
        <v>-9577.9724938785785</v>
      </c>
      <c r="AT265" s="527">
        <f t="shared" si="373"/>
        <v>-9577.9724938785785</v>
      </c>
      <c r="AU265" s="527">
        <f t="shared" si="373"/>
        <v>-9577.9724938785785</v>
      </c>
      <c r="AV265" s="527">
        <f t="shared" si="373"/>
        <v>-9577.9724938785785</v>
      </c>
      <c r="AW265" s="527">
        <f t="shared" si="373"/>
        <v>-9577.9724938785785</v>
      </c>
      <c r="AX265" s="527">
        <f t="shared" ref="AX265:BY265" si="374">(AX241-AX249)*AX$229</f>
        <v>-9577.9724938785785</v>
      </c>
      <c r="AY265" s="527">
        <f t="shared" si="374"/>
        <v>-9577.9724938785785</v>
      </c>
      <c r="AZ265" s="527">
        <f t="shared" si="374"/>
        <v>-9577.9724938785785</v>
      </c>
      <c r="BA265" s="527">
        <f t="shared" si="374"/>
        <v>-9577.9724938785785</v>
      </c>
      <c r="BB265" s="527">
        <f t="shared" si="374"/>
        <v>-9769.531943756152</v>
      </c>
      <c r="BC265" s="527">
        <f t="shared" si="374"/>
        <v>-9769.531943756152</v>
      </c>
      <c r="BD265" s="527">
        <f t="shared" si="374"/>
        <v>-9769.531943756152</v>
      </c>
      <c r="BE265" s="527">
        <f t="shared" si="374"/>
        <v>-9769.531943756152</v>
      </c>
      <c r="BF265" s="527">
        <f t="shared" si="374"/>
        <v>-9769.531943756152</v>
      </c>
      <c r="BG265" s="527">
        <f t="shared" si="374"/>
        <v>-9769.531943756152</v>
      </c>
      <c r="BH265" s="527">
        <f t="shared" si="374"/>
        <v>-11447.374537058487</v>
      </c>
      <c r="BI265" s="527">
        <f t="shared" si="374"/>
        <v>-11447.374537058487</v>
      </c>
      <c r="BJ265" s="527">
        <f t="shared" si="374"/>
        <v>-11447.374537058487</v>
      </c>
      <c r="BK265" s="527">
        <f t="shared" si="374"/>
        <v>-11447.374537058487</v>
      </c>
      <c r="BL265" s="527">
        <f t="shared" si="374"/>
        <v>-11447.374537058487</v>
      </c>
      <c r="BM265" s="527">
        <f t="shared" si="374"/>
        <v>-11447.374537058487</v>
      </c>
      <c r="BN265" s="527">
        <f t="shared" si="374"/>
        <v>-11289.256017790263</v>
      </c>
      <c r="BO265" s="527">
        <f t="shared" si="374"/>
        <v>-11289.256017790263</v>
      </c>
      <c r="BP265" s="527">
        <f t="shared" si="374"/>
        <v>-11289.256017790263</v>
      </c>
      <c r="BQ265" s="527">
        <f t="shared" si="374"/>
        <v>-11289.256017790263</v>
      </c>
      <c r="BR265" s="527">
        <f t="shared" si="374"/>
        <v>-11289.256017790263</v>
      </c>
      <c r="BS265" s="527">
        <f t="shared" si="374"/>
        <v>-11289.256017790263</v>
      </c>
      <c r="BT265" s="527">
        <f t="shared" si="374"/>
        <v>-11728.157897667823</v>
      </c>
      <c r="BU265" s="527">
        <f t="shared" si="374"/>
        <v>-11728.157897667823</v>
      </c>
      <c r="BV265" s="527">
        <f t="shared" si="374"/>
        <v>-11728.157897667823</v>
      </c>
      <c r="BW265" s="527">
        <f t="shared" si="374"/>
        <v>-11728.157897667823</v>
      </c>
      <c r="BX265" s="527">
        <f t="shared" si="374"/>
        <v>-11728.157897667823</v>
      </c>
      <c r="BY265" s="527">
        <f t="shared" si="374"/>
        <v>-11728.157897667823</v>
      </c>
    </row>
    <row r="266" spans="1:77" x14ac:dyDescent="0.3">
      <c r="A266" s="551"/>
      <c r="B266" s="548"/>
      <c r="C266" s="525"/>
      <c r="D266" s="525"/>
      <c r="E266" s="622" t="str">
        <f>"BCF dist &amp; disp: "&amp;E$159</f>
        <v>BCF dist &amp; disp: FY31 Tranche</v>
      </c>
      <c r="F266" s="525"/>
      <c r="G266" s="525"/>
      <c r="H266" s="525"/>
      <c r="I266" s="525"/>
      <c r="J266" s="525"/>
      <c r="K266" s="525"/>
      <c r="L266" s="525"/>
      <c r="M266" s="525"/>
      <c r="N266" s="525"/>
      <c r="O266" s="525"/>
      <c r="P266" s="565"/>
      <c r="Q266" s="525"/>
      <c r="R266" s="527">
        <f t="shared" ref="R266:AW266" si="375">(R242-R250)*R$229</f>
        <v>-9206.0481486722238</v>
      </c>
      <c r="S266" s="527">
        <f t="shared" si="375"/>
        <v>-9206.0481486722238</v>
      </c>
      <c r="T266" s="527">
        <f t="shared" si="375"/>
        <v>-9206.0481486722238</v>
      </c>
      <c r="U266" s="527">
        <f t="shared" si="375"/>
        <v>-9206.0481486722238</v>
      </c>
      <c r="V266" s="527">
        <f t="shared" si="375"/>
        <v>-9206.0481486722238</v>
      </c>
      <c r="W266" s="527">
        <f t="shared" si="375"/>
        <v>-9206.0481486722238</v>
      </c>
      <c r="X266" s="527">
        <f t="shared" si="375"/>
        <v>-9206.0481486722238</v>
      </c>
      <c r="Y266" s="527">
        <f t="shared" si="375"/>
        <v>-9206.0481486722238</v>
      </c>
      <c r="Z266" s="527">
        <f t="shared" si="375"/>
        <v>-9206.0481486722238</v>
      </c>
      <c r="AA266" s="527">
        <f t="shared" si="375"/>
        <v>-9206.0481486722238</v>
      </c>
      <c r="AB266" s="527">
        <f t="shared" si="375"/>
        <v>-9206.0481486722238</v>
      </c>
      <c r="AC266" s="527">
        <f t="shared" si="375"/>
        <v>-9206.0481486722238</v>
      </c>
      <c r="AD266" s="527">
        <f t="shared" si="375"/>
        <v>-9390.1691116456659</v>
      </c>
      <c r="AE266" s="527">
        <f t="shared" si="375"/>
        <v>-9390.1691116456659</v>
      </c>
      <c r="AF266" s="527">
        <f t="shared" si="375"/>
        <v>-9390.1691116456659</v>
      </c>
      <c r="AG266" s="527">
        <f t="shared" si="375"/>
        <v>-9390.1691116456659</v>
      </c>
      <c r="AH266" s="527">
        <f t="shared" si="375"/>
        <v>-9390.1691116456659</v>
      </c>
      <c r="AI266" s="527">
        <f t="shared" si="375"/>
        <v>-9390.1691116456659</v>
      </c>
      <c r="AJ266" s="527">
        <f t="shared" si="375"/>
        <v>-9390.1691116456659</v>
      </c>
      <c r="AK266" s="527">
        <f t="shared" si="375"/>
        <v>-9390.1691116456659</v>
      </c>
      <c r="AL266" s="527">
        <f t="shared" si="375"/>
        <v>-9390.1691116456659</v>
      </c>
      <c r="AM266" s="527">
        <f t="shared" si="375"/>
        <v>-9390.1691116456659</v>
      </c>
      <c r="AN266" s="527">
        <f t="shared" si="375"/>
        <v>-9390.1691116456659</v>
      </c>
      <c r="AO266" s="527">
        <f t="shared" si="375"/>
        <v>-9390.1691116456659</v>
      </c>
      <c r="AP266" s="527">
        <f t="shared" si="375"/>
        <v>-9577.9724938785785</v>
      </c>
      <c r="AQ266" s="527">
        <f t="shared" si="375"/>
        <v>-9577.9724938785785</v>
      </c>
      <c r="AR266" s="527">
        <f t="shared" si="375"/>
        <v>-9577.9724938785785</v>
      </c>
      <c r="AS266" s="527">
        <f t="shared" si="375"/>
        <v>-9577.9724938785785</v>
      </c>
      <c r="AT266" s="527">
        <f t="shared" si="375"/>
        <v>-9577.9724938785785</v>
      </c>
      <c r="AU266" s="527">
        <f t="shared" si="375"/>
        <v>-9577.9724938785785</v>
      </c>
      <c r="AV266" s="527">
        <f t="shared" si="375"/>
        <v>-9577.9724938785785</v>
      </c>
      <c r="AW266" s="527">
        <f t="shared" si="375"/>
        <v>-9577.9724938785785</v>
      </c>
      <c r="AX266" s="527">
        <f t="shared" ref="AX266:BY266" si="376">(AX242-AX250)*AX$229</f>
        <v>-9577.9724938785785</v>
      </c>
      <c r="AY266" s="527">
        <f t="shared" si="376"/>
        <v>-9577.9724938785785</v>
      </c>
      <c r="AZ266" s="527">
        <f t="shared" si="376"/>
        <v>-9577.9724938785785</v>
      </c>
      <c r="BA266" s="527">
        <f t="shared" si="376"/>
        <v>-9577.9724938785785</v>
      </c>
      <c r="BB266" s="527">
        <f t="shared" si="376"/>
        <v>-9769.531943756152</v>
      </c>
      <c r="BC266" s="527">
        <f t="shared" si="376"/>
        <v>-9769.531943756152</v>
      </c>
      <c r="BD266" s="527">
        <f t="shared" si="376"/>
        <v>-9769.531943756152</v>
      </c>
      <c r="BE266" s="527">
        <f t="shared" si="376"/>
        <v>-9769.531943756152</v>
      </c>
      <c r="BF266" s="527">
        <f t="shared" si="376"/>
        <v>-9769.531943756152</v>
      </c>
      <c r="BG266" s="527">
        <f t="shared" si="376"/>
        <v>-9769.531943756152</v>
      </c>
      <c r="BH266" s="527">
        <f t="shared" si="376"/>
        <v>-9769.531943756152</v>
      </c>
      <c r="BI266" s="527">
        <f t="shared" si="376"/>
        <v>-9769.531943756152</v>
      </c>
      <c r="BJ266" s="527">
        <f t="shared" si="376"/>
        <v>-9769.531943756152</v>
      </c>
      <c r="BK266" s="527">
        <f t="shared" si="376"/>
        <v>-9769.531943756152</v>
      </c>
      <c r="BL266" s="527">
        <f t="shared" si="376"/>
        <v>-9769.531943756152</v>
      </c>
      <c r="BM266" s="527">
        <f t="shared" si="376"/>
        <v>-9769.531943756152</v>
      </c>
      <c r="BN266" s="527">
        <f t="shared" si="376"/>
        <v>-9964.9225826312704</v>
      </c>
      <c r="BO266" s="527">
        <f t="shared" si="376"/>
        <v>-9964.9225826312704</v>
      </c>
      <c r="BP266" s="527">
        <f t="shared" si="376"/>
        <v>-9964.9225826312704</v>
      </c>
      <c r="BQ266" s="527">
        <f t="shared" si="376"/>
        <v>-9964.9225826312704</v>
      </c>
      <c r="BR266" s="527">
        <f t="shared" si="376"/>
        <v>-9964.9225826312704</v>
      </c>
      <c r="BS266" s="527">
        <f t="shared" si="376"/>
        <v>-9964.9225826312704</v>
      </c>
      <c r="BT266" s="527">
        <f t="shared" si="376"/>
        <v>-11634.026660596217</v>
      </c>
      <c r="BU266" s="527">
        <f t="shared" si="376"/>
        <v>-11634.026660596217</v>
      </c>
      <c r="BV266" s="527">
        <f t="shared" si="376"/>
        <v>-11634.026660596217</v>
      </c>
      <c r="BW266" s="527">
        <f t="shared" si="376"/>
        <v>-11634.026660596217</v>
      </c>
      <c r="BX266" s="527">
        <f t="shared" si="376"/>
        <v>-11634.026660596217</v>
      </c>
      <c r="BY266" s="527">
        <f t="shared" si="376"/>
        <v>-11634.026660596217</v>
      </c>
    </row>
    <row r="267" spans="1:77" x14ac:dyDescent="0.3">
      <c r="A267" s="551"/>
      <c r="B267" s="548"/>
      <c r="C267" s="525"/>
      <c r="D267" s="525"/>
      <c r="E267" s="622" t="str">
        <f>"BCF dist &amp; disp: "&amp;E$160</f>
        <v>BCF dist &amp; disp: Uninvested Tranche</v>
      </c>
      <c r="F267" s="525"/>
      <c r="G267" s="525"/>
      <c r="H267" s="525"/>
      <c r="I267" s="525"/>
      <c r="J267" s="525"/>
      <c r="K267" s="525"/>
      <c r="L267" s="525"/>
      <c r="M267" s="525"/>
      <c r="N267" s="525"/>
      <c r="O267" s="525"/>
      <c r="P267" s="565"/>
      <c r="Q267" s="525"/>
      <c r="R267" s="527">
        <f t="shared" ref="R267:AW267" si="377">(R243-R251)*R$229</f>
        <v>-20138.230325220487</v>
      </c>
      <c r="S267" s="527">
        <f t="shared" si="377"/>
        <v>-20138.230325220487</v>
      </c>
      <c r="T267" s="527">
        <f t="shared" si="377"/>
        <v>-20138.230325220487</v>
      </c>
      <c r="U267" s="527">
        <f t="shared" si="377"/>
        <v>-20138.230325220487</v>
      </c>
      <c r="V267" s="527">
        <f t="shared" si="377"/>
        <v>-20138.230325220487</v>
      </c>
      <c r="W267" s="527">
        <f t="shared" si="377"/>
        <v>-20138.230325220487</v>
      </c>
      <c r="X267" s="527">
        <f t="shared" si="377"/>
        <v>-20138.230325220487</v>
      </c>
      <c r="Y267" s="527">
        <f t="shared" si="377"/>
        <v>-20138.230325220487</v>
      </c>
      <c r="Z267" s="527">
        <f t="shared" si="377"/>
        <v>-20138.230325220487</v>
      </c>
      <c r="AA267" s="527">
        <f t="shared" si="377"/>
        <v>-20138.230325220487</v>
      </c>
      <c r="AB267" s="527">
        <f t="shared" si="377"/>
        <v>-20138.230325220487</v>
      </c>
      <c r="AC267" s="527">
        <f t="shared" si="377"/>
        <v>-20138.230325220487</v>
      </c>
      <c r="AD267" s="527">
        <f t="shared" si="377"/>
        <v>-20540.994931724894</v>
      </c>
      <c r="AE267" s="527">
        <f t="shared" si="377"/>
        <v>-20540.994931724894</v>
      </c>
      <c r="AF267" s="527">
        <f t="shared" si="377"/>
        <v>-20540.994931724894</v>
      </c>
      <c r="AG267" s="527">
        <f t="shared" si="377"/>
        <v>-20540.994931724894</v>
      </c>
      <c r="AH267" s="527">
        <f t="shared" si="377"/>
        <v>-20540.994931724894</v>
      </c>
      <c r="AI267" s="527">
        <f t="shared" si="377"/>
        <v>-20540.994931724894</v>
      </c>
      <c r="AJ267" s="527">
        <f t="shared" si="377"/>
        <v>-20540.994931724894</v>
      </c>
      <c r="AK267" s="527">
        <f t="shared" si="377"/>
        <v>-20540.994931724894</v>
      </c>
      <c r="AL267" s="527">
        <f t="shared" si="377"/>
        <v>-20540.994931724894</v>
      </c>
      <c r="AM267" s="527">
        <f t="shared" si="377"/>
        <v>-20540.994931724894</v>
      </c>
      <c r="AN267" s="527">
        <f t="shared" si="377"/>
        <v>-20540.994931724894</v>
      </c>
      <c r="AO267" s="527">
        <f t="shared" si="377"/>
        <v>-20540.994931724894</v>
      </c>
      <c r="AP267" s="527">
        <f t="shared" si="377"/>
        <v>-20951.814830359395</v>
      </c>
      <c r="AQ267" s="527">
        <f t="shared" si="377"/>
        <v>-20951.814830359395</v>
      </c>
      <c r="AR267" s="527">
        <f t="shared" si="377"/>
        <v>-20951.814830359395</v>
      </c>
      <c r="AS267" s="527">
        <f t="shared" si="377"/>
        <v>-20951.814830359395</v>
      </c>
      <c r="AT267" s="527">
        <f t="shared" si="377"/>
        <v>-20951.814830359395</v>
      </c>
      <c r="AU267" s="527">
        <f t="shared" si="377"/>
        <v>-20951.814830359395</v>
      </c>
      <c r="AV267" s="527">
        <f t="shared" si="377"/>
        <v>-20951.814830359395</v>
      </c>
      <c r="AW267" s="527">
        <f t="shared" si="377"/>
        <v>-20951.814830359395</v>
      </c>
      <c r="AX267" s="527">
        <f t="shared" ref="AX267:BY267" si="378">(AX243-AX251)*AX$229</f>
        <v>-20951.814830359395</v>
      </c>
      <c r="AY267" s="527">
        <f t="shared" si="378"/>
        <v>-20951.814830359395</v>
      </c>
      <c r="AZ267" s="527">
        <f t="shared" si="378"/>
        <v>-20951.814830359395</v>
      </c>
      <c r="BA267" s="527">
        <f t="shared" si="378"/>
        <v>-20951.814830359395</v>
      </c>
      <c r="BB267" s="527">
        <f t="shared" si="378"/>
        <v>-21370.851126966583</v>
      </c>
      <c r="BC267" s="527">
        <f t="shared" si="378"/>
        <v>-21370.851126966583</v>
      </c>
      <c r="BD267" s="527">
        <f t="shared" si="378"/>
        <v>-21370.851126966583</v>
      </c>
      <c r="BE267" s="527">
        <f t="shared" si="378"/>
        <v>-21370.851126966583</v>
      </c>
      <c r="BF267" s="527">
        <f t="shared" si="378"/>
        <v>-21370.851126966583</v>
      </c>
      <c r="BG267" s="527">
        <f t="shared" si="378"/>
        <v>-21370.851126966583</v>
      </c>
      <c r="BH267" s="527">
        <f t="shared" si="378"/>
        <v>-21370.851126966583</v>
      </c>
      <c r="BI267" s="527">
        <f t="shared" si="378"/>
        <v>-21370.851126966583</v>
      </c>
      <c r="BJ267" s="527">
        <f t="shared" si="378"/>
        <v>-21370.851126966583</v>
      </c>
      <c r="BK267" s="527">
        <f t="shared" si="378"/>
        <v>-21370.851126966583</v>
      </c>
      <c r="BL267" s="527">
        <f t="shared" si="378"/>
        <v>-21370.851126966583</v>
      </c>
      <c r="BM267" s="527">
        <f t="shared" si="378"/>
        <v>-21370.851126966583</v>
      </c>
      <c r="BN267" s="527">
        <f t="shared" si="378"/>
        <v>-21798.268149505901</v>
      </c>
      <c r="BO267" s="527">
        <f t="shared" si="378"/>
        <v>-21798.268149505901</v>
      </c>
      <c r="BP267" s="527">
        <f t="shared" si="378"/>
        <v>-21798.268149505901</v>
      </c>
      <c r="BQ267" s="527">
        <f t="shared" si="378"/>
        <v>-21798.268149505901</v>
      </c>
      <c r="BR267" s="527">
        <f t="shared" si="378"/>
        <v>-21798.268149505901</v>
      </c>
      <c r="BS267" s="527">
        <f t="shared" si="378"/>
        <v>-21798.268149505901</v>
      </c>
      <c r="BT267" s="527">
        <f t="shared" si="378"/>
        <v>-21798.268149505901</v>
      </c>
      <c r="BU267" s="527">
        <f t="shared" si="378"/>
        <v>-21798.268149505901</v>
      </c>
      <c r="BV267" s="527">
        <f t="shared" si="378"/>
        <v>-21798.268149505901</v>
      </c>
      <c r="BW267" s="527">
        <f t="shared" si="378"/>
        <v>-21798.268149505901</v>
      </c>
      <c r="BX267" s="527">
        <f t="shared" si="378"/>
        <v>-21798.268149505901</v>
      </c>
      <c r="BY267" s="527">
        <f t="shared" si="378"/>
        <v>-21798.268149505901</v>
      </c>
    </row>
    <row r="268" spans="1:77" x14ac:dyDescent="0.3">
      <c r="A268" s="551"/>
      <c r="B268" s="548"/>
      <c r="C268" s="525"/>
      <c r="D268" s="525"/>
      <c r="E268" s="572" t="s">
        <v>36</v>
      </c>
      <c r="F268" s="572"/>
      <c r="G268" s="572"/>
      <c r="H268" s="572"/>
      <c r="I268" s="572"/>
      <c r="J268" s="572"/>
      <c r="K268" s="572"/>
      <c r="L268" s="572"/>
      <c r="M268" s="572"/>
      <c r="N268" s="572"/>
      <c r="O268" s="572"/>
      <c r="P268" s="612"/>
      <c r="Q268" s="572"/>
      <c r="R268" s="530">
        <f t="shared" ref="R268:AW268" si="379">SUM(R262:R267)</f>
        <v>-66168.47106858161</v>
      </c>
      <c r="S268" s="530">
        <f t="shared" si="379"/>
        <v>-66168.47106858161</v>
      </c>
      <c r="T268" s="530">
        <f t="shared" si="379"/>
        <v>-66168.47106858161</v>
      </c>
      <c r="U268" s="530">
        <f t="shared" si="379"/>
        <v>-66168.47106858161</v>
      </c>
      <c r="V268" s="530">
        <f t="shared" si="379"/>
        <v>-66168.47106858161</v>
      </c>
      <c r="W268" s="530">
        <f t="shared" si="379"/>
        <v>-66168.47106858161</v>
      </c>
      <c r="X268" s="530">
        <f t="shared" si="379"/>
        <v>-67873.129625256755</v>
      </c>
      <c r="Y268" s="530">
        <f t="shared" si="379"/>
        <v>-67873.129625256755</v>
      </c>
      <c r="Z268" s="530">
        <f t="shared" si="379"/>
        <v>-67873.129625256755</v>
      </c>
      <c r="AA268" s="530">
        <f t="shared" si="379"/>
        <v>-67873.129625256755</v>
      </c>
      <c r="AB268" s="530">
        <f t="shared" si="379"/>
        <v>-67873.129625256755</v>
      </c>
      <c r="AC268" s="530">
        <f t="shared" si="379"/>
        <v>-67873.129625256755</v>
      </c>
      <c r="AD268" s="530">
        <f t="shared" si="379"/>
        <v>-68789.488730369485</v>
      </c>
      <c r="AE268" s="530">
        <f t="shared" si="379"/>
        <v>-68789.488730369485</v>
      </c>
      <c r="AF268" s="530">
        <f t="shared" si="379"/>
        <v>-68789.488730369485</v>
      </c>
      <c r="AG268" s="530">
        <f t="shared" si="379"/>
        <v>-68789.488730369485</v>
      </c>
      <c r="AH268" s="530">
        <f t="shared" si="379"/>
        <v>-68789.488730369485</v>
      </c>
      <c r="AI268" s="530">
        <f t="shared" si="379"/>
        <v>-68789.488730369485</v>
      </c>
      <c r="AJ268" s="530">
        <f t="shared" si="379"/>
        <v>-70911.27485796863</v>
      </c>
      <c r="AK268" s="530">
        <f t="shared" si="379"/>
        <v>-70911.27485796863</v>
      </c>
      <c r="AL268" s="530">
        <f t="shared" si="379"/>
        <v>-70911.27485796863</v>
      </c>
      <c r="AM268" s="530">
        <f t="shared" si="379"/>
        <v>-70911.27485796863</v>
      </c>
      <c r="AN268" s="530">
        <f t="shared" si="379"/>
        <v>-70911.27485796863</v>
      </c>
      <c r="AO268" s="530">
        <f t="shared" si="379"/>
        <v>-70911.27485796863</v>
      </c>
      <c r="AP268" s="530">
        <f t="shared" si="379"/>
        <v>-71480.72307615036</v>
      </c>
      <c r="AQ268" s="530">
        <f t="shared" si="379"/>
        <v>-71480.72307615036</v>
      </c>
      <c r="AR268" s="530">
        <f t="shared" si="379"/>
        <v>-71480.72307615036</v>
      </c>
      <c r="AS268" s="530">
        <f t="shared" si="379"/>
        <v>-71480.72307615036</v>
      </c>
      <c r="AT268" s="530">
        <f t="shared" si="379"/>
        <v>-71480.72307615036</v>
      </c>
      <c r="AU268" s="530">
        <f t="shared" si="379"/>
        <v>-71480.72307615036</v>
      </c>
      <c r="AV268" s="530">
        <f t="shared" si="379"/>
        <v>-74030.087932542374</v>
      </c>
      <c r="AW268" s="530">
        <f t="shared" si="379"/>
        <v>-74030.087932542374</v>
      </c>
      <c r="AX268" s="530">
        <f t="shared" ref="AX268:BY268" si="380">SUM(AX262:AX267)</f>
        <v>-74030.087932542374</v>
      </c>
      <c r="AY268" s="530">
        <f t="shared" si="380"/>
        <v>-74030.087932542374</v>
      </c>
      <c r="AZ268" s="530">
        <f t="shared" si="380"/>
        <v>-74030.087932542374</v>
      </c>
      <c r="BA268" s="530">
        <f t="shared" si="380"/>
        <v>-74030.087932542374</v>
      </c>
      <c r="BB268" s="530">
        <f t="shared" si="380"/>
        <v>-74320.866020178946</v>
      </c>
      <c r="BC268" s="530">
        <f t="shared" si="380"/>
        <v>-74320.866020178946</v>
      </c>
      <c r="BD268" s="530">
        <f t="shared" si="380"/>
        <v>-74320.866020178946</v>
      </c>
      <c r="BE268" s="530">
        <f t="shared" si="380"/>
        <v>-74320.866020178946</v>
      </c>
      <c r="BF268" s="530">
        <f t="shared" si="380"/>
        <v>-74320.866020178946</v>
      </c>
      <c r="BG268" s="530">
        <f t="shared" si="380"/>
        <v>-74320.866020178946</v>
      </c>
      <c r="BH268" s="530">
        <f t="shared" si="380"/>
        <v>-77310.892230302823</v>
      </c>
      <c r="BI268" s="530">
        <f t="shared" si="380"/>
        <v>-77310.892230302823</v>
      </c>
      <c r="BJ268" s="530">
        <f t="shared" si="380"/>
        <v>-77310.892230302823</v>
      </c>
      <c r="BK268" s="530">
        <f t="shared" si="380"/>
        <v>-77310.892230302823</v>
      </c>
      <c r="BL268" s="530">
        <f t="shared" si="380"/>
        <v>-77310.892230302823</v>
      </c>
      <c r="BM268" s="530">
        <f t="shared" si="380"/>
        <v>-77310.892230302823</v>
      </c>
      <c r="BN268" s="530">
        <f t="shared" si="380"/>
        <v>-77291.985961263985</v>
      </c>
      <c r="BO268" s="530">
        <f t="shared" si="380"/>
        <v>-77291.985961263985</v>
      </c>
      <c r="BP268" s="530">
        <f t="shared" si="380"/>
        <v>-77291.985961263985</v>
      </c>
      <c r="BQ268" s="530">
        <f t="shared" si="380"/>
        <v>-77291.985961263985</v>
      </c>
      <c r="BR268" s="530">
        <f t="shared" si="380"/>
        <v>-77291.985961263985</v>
      </c>
      <c r="BS268" s="530">
        <f t="shared" si="380"/>
        <v>-77291.985961263985</v>
      </c>
      <c r="BT268" s="530">
        <f t="shared" si="380"/>
        <v>-80731.568405057798</v>
      </c>
      <c r="BU268" s="530">
        <f t="shared" si="380"/>
        <v>-80731.568405057798</v>
      </c>
      <c r="BV268" s="530">
        <f t="shared" si="380"/>
        <v>-80731.568405057798</v>
      </c>
      <c r="BW268" s="530">
        <f t="shared" si="380"/>
        <v>-80731.568405057798</v>
      </c>
      <c r="BX268" s="530">
        <f t="shared" si="380"/>
        <v>-80731.568405057798</v>
      </c>
      <c r="BY268" s="530">
        <f t="shared" si="380"/>
        <v>-80731.568405057798</v>
      </c>
    </row>
    <row r="269" spans="1:77" x14ac:dyDescent="0.3">
      <c r="A269" s="551"/>
      <c r="B269" s="548"/>
      <c r="C269" s="525"/>
      <c r="D269" s="525"/>
      <c r="E269" s="525"/>
      <c r="F269" s="525"/>
      <c r="G269" s="525"/>
      <c r="H269" s="525"/>
      <c r="I269" s="525"/>
      <c r="J269" s="525"/>
      <c r="K269" s="525"/>
      <c r="L269" s="525"/>
      <c r="M269" s="525"/>
      <c r="N269" s="525"/>
      <c r="O269" s="525"/>
      <c r="P269" s="565"/>
      <c r="Q269" s="525"/>
      <c r="R269" s="525"/>
      <c r="S269" s="525"/>
      <c r="T269" s="525"/>
      <c r="U269" s="525"/>
      <c r="V269" s="525"/>
      <c r="W269" s="525"/>
      <c r="X269" s="525"/>
      <c r="Y269" s="525"/>
      <c r="Z269" s="525"/>
      <c r="AA269" s="525"/>
      <c r="AB269" s="525"/>
      <c r="AC269" s="525"/>
      <c r="AD269" s="525"/>
      <c r="AE269" s="525"/>
      <c r="AF269" s="525"/>
      <c r="AG269" s="525"/>
      <c r="AH269" s="525"/>
      <c r="AI269" s="525"/>
      <c r="AJ269" s="525"/>
      <c r="AK269" s="525"/>
      <c r="AL269" s="525"/>
      <c r="AM269" s="525"/>
      <c r="AN269" s="525"/>
      <c r="AO269" s="525"/>
      <c r="AP269" s="525"/>
      <c r="AQ269" s="525"/>
      <c r="AR269" s="525"/>
      <c r="AS269" s="525"/>
      <c r="AT269" s="525"/>
      <c r="AU269" s="525"/>
      <c r="AV269" s="525"/>
      <c r="AW269" s="525"/>
      <c r="AX269" s="525"/>
      <c r="AY269" s="525"/>
      <c r="AZ269" s="525"/>
      <c r="BA269" s="525"/>
      <c r="BB269" s="525"/>
      <c r="BC269" s="525"/>
      <c r="BD269" s="525"/>
      <c r="BE269" s="525"/>
      <c r="BF269" s="525"/>
      <c r="BG269" s="525"/>
      <c r="BH269" s="525"/>
      <c r="BI269" s="525"/>
      <c r="BJ269" s="525"/>
      <c r="BK269" s="525"/>
      <c r="BL269" s="525"/>
      <c r="BM269" s="525"/>
      <c r="BN269" s="525"/>
      <c r="BO269" s="525"/>
      <c r="BP269" s="525"/>
      <c r="BQ269" s="525"/>
      <c r="BR269" s="525"/>
      <c r="BS269" s="525"/>
      <c r="BT269" s="525"/>
      <c r="BU269" s="525"/>
      <c r="BV269" s="525"/>
      <c r="BW269" s="525"/>
      <c r="BX269" s="525"/>
      <c r="BY269" s="525"/>
    </row>
    <row r="270" spans="1:77" x14ac:dyDescent="0.3">
      <c r="A270" s="551"/>
      <c r="B270" s="548"/>
      <c r="C270" s="525"/>
      <c r="D270" s="525"/>
      <c r="E270" s="623" t="str">
        <f>"BCF discounts: "&amp;E$155</f>
        <v>BCF discounts: FY27 Tranche</v>
      </c>
      <c r="F270" s="525"/>
      <c r="G270" s="525"/>
      <c r="H270" s="525"/>
      <c r="I270" s="525"/>
      <c r="J270" s="525"/>
      <c r="K270" s="525"/>
      <c r="L270" s="525"/>
      <c r="M270" s="525"/>
      <c r="N270" s="525"/>
      <c r="O270" s="525"/>
      <c r="P270" s="565"/>
      <c r="Q270" s="525"/>
      <c r="R270" s="527">
        <f t="shared" ref="R270:AW270" si="381">(R238-R246)*R$230</f>
        <v>-24686.505759729207</v>
      </c>
      <c r="S270" s="527">
        <f t="shared" si="381"/>
        <v>-24686.505759729207</v>
      </c>
      <c r="T270" s="527">
        <f t="shared" si="381"/>
        <v>-24686.505759729207</v>
      </c>
      <c r="U270" s="527">
        <f t="shared" si="381"/>
        <v>-24686.505759729207</v>
      </c>
      <c r="V270" s="527">
        <f t="shared" si="381"/>
        <v>-24686.505759729207</v>
      </c>
      <c r="W270" s="527">
        <f t="shared" si="381"/>
        <v>-24686.505759729207</v>
      </c>
      <c r="X270" s="527">
        <f t="shared" si="381"/>
        <v>-29257.637976086578</v>
      </c>
      <c r="Y270" s="527">
        <f t="shared" si="381"/>
        <v>-29257.637976086578</v>
      </c>
      <c r="Z270" s="527">
        <f t="shared" si="381"/>
        <v>-29257.637976086578</v>
      </c>
      <c r="AA270" s="527">
        <f t="shared" si="381"/>
        <v>-29257.637976086578</v>
      </c>
      <c r="AB270" s="527">
        <f t="shared" si="381"/>
        <v>-29257.637976086578</v>
      </c>
      <c r="AC270" s="527">
        <f t="shared" si="381"/>
        <v>-29257.637976086578</v>
      </c>
      <c r="AD270" s="527">
        <f t="shared" si="381"/>
        <v>-29311.067292385054</v>
      </c>
      <c r="AE270" s="527">
        <f t="shared" si="381"/>
        <v>-29311.067292385054</v>
      </c>
      <c r="AF270" s="527">
        <f t="shared" si="381"/>
        <v>-29311.067292385054</v>
      </c>
      <c r="AG270" s="527">
        <f t="shared" si="381"/>
        <v>-29311.067292385054</v>
      </c>
      <c r="AH270" s="527">
        <f t="shared" si="381"/>
        <v>-29311.067292385054</v>
      </c>
      <c r="AI270" s="527">
        <f t="shared" si="381"/>
        <v>-29311.067292385054</v>
      </c>
      <c r="AJ270" s="527">
        <f t="shared" si="381"/>
        <v>-30483.689662766395</v>
      </c>
      <c r="AK270" s="527">
        <f t="shared" si="381"/>
        <v>-30483.689662766395</v>
      </c>
      <c r="AL270" s="527">
        <f t="shared" si="381"/>
        <v>-30483.689662766395</v>
      </c>
      <c r="AM270" s="527">
        <f t="shared" si="381"/>
        <v>-30483.689662766395</v>
      </c>
      <c r="AN270" s="527">
        <f t="shared" si="381"/>
        <v>-30483.689662766395</v>
      </c>
      <c r="AO270" s="527">
        <f t="shared" si="381"/>
        <v>-30483.689662766395</v>
      </c>
      <c r="AP270" s="527">
        <f t="shared" si="381"/>
        <v>-30556.814412434574</v>
      </c>
      <c r="AQ270" s="527">
        <f t="shared" si="381"/>
        <v>-30556.814412434574</v>
      </c>
      <c r="AR270" s="527">
        <f t="shared" si="381"/>
        <v>-30556.814412434574</v>
      </c>
      <c r="AS270" s="527">
        <f t="shared" si="381"/>
        <v>-30556.814412434574</v>
      </c>
      <c r="AT270" s="527">
        <f t="shared" si="381"/>
        <v>-30556.814412434574</v>
      </c>
      <c r="AU270" s="527">
        <f t="shared" si="381"/>
        <v>-30556.814412434574</v>
      </c>
      <c r="AV270" s="527">
        <f t="shared" si="381"/>
        <v>-31768.244513515285</v>
      </c>
      <c r="AW270" s="527">
        <f t="shared" si="381"/>
        <v>-31768.244513515285</v>
      </c>
      <c r="AX270" s="527">
        <f t="shared" ref="AX270:BY270" si="382">(AX238-AX246)*AX$230</f>
        <v>-31768.244513515285</v>
      </c>
      <c r="AY270" s="527">
        <f t="shared" si="382"/>
        <v>-31768.244513515285</v>
      </c>
      <c r="AZ270" s="527">
        <f t="shared" si="382"/>
        <v>-31768.244513515285</v>
      </c>
      <c r="BA270" s="527">
        <f t="shared" si="382"/>
        <v>-31768.244513515285</v>
      </c>
      <c r="BB270" s="527">
        <f t="shared" si="382"/>
        <v>-31889.517441194552</v>
      </c>
      <c r="BC270" s="527">
        <f t="shared" si="382"/>
        <v>-31889.517441194552</v>
      </c>
      <c r="BD270" s="527">
        <f t="shared" si="382"/>
        <v>-31889.517441194552</v>
      </c>
      <c r="BE270" s="527">
        <f t="shared" si="382"/>
        <v>-31889.517441194552</v>
      </c>
      <c r="BF270" s="527">
        <f t="shared" si="382"/>
        <v>-31889.517441194552</v>
      </c>
      <c r="BG270" s="527">
        <f t="shared" si="382"/>
        <v>-31889.517441194552</v>
      </c>
      <c r="BH270" s="527">
        <f t="shared" si="382"/>
        <v>-33142.024521356376</v>
      </c>
      <c r="BI270" s="527">
        <f t="shared" si="382"/>
        <v>-33142.024521356376</v>
      </c>
      <c r="BJ270" s="527">
        <f t="shared" si="382"/>
        <v>-33142.024521356376</v>
      </c>
      <c r="BK270" s="527">
        <f t="shared" si="382"/>
        <v>-33142.024521356376</v>
      </c>
      <c r="BL270" s="527">
        <f t="shared" si="382"/>
        <v>-33142.024521356376</v>
      </c>
      <c r="BM270" s="527">
        <f t="shared" si="382"/>
        <v>-33142.024521356376</v>
      </c>
      <c r="BN270" s="527">
        <f t="shared" si="382"/>
        <v>-33300.87719775716</v>
      </c>
      <c r="BO270" s="527">
        <f t="shared" si="382"/>
        <v>-33300.87719775716</v>
      </c>
      <c r="BP270" s="527">
        <f t="shared" si="382"/>
        <v>-33300.87719775716</v>
      </c>
      <c r="BQ270" s="527">
        <f t="shared" si="382"/>
        <v>-33300.87719775716</v>
      </c>
      <c r="BR270" s="527">
        <f t="shared" si="382"/>
        <v>-33300.87719775716</v>
      </c>
      <c r="BS270" s="527">
        <f t="shared" si="382"/>
        <v>-33300.87719775716</v>
      </c>
      <c r="BT270" s="527">
        <f t="shared" si="382"/>
        <v>-34596.069787656394</v>
      </c>
      <c r="BU270" s="527">
        <f t="shared" si="382"/>
        <v>-34596.069787656394</v>
      </c>
      <c r="BV270" s="527">
        <f t="shared" si="382"/>
        <v>-34596.069787656394</v>
      </c>
      <c r="BW270" s="527">
        <f t="shared" si="382"/>
        <v>-34596.069787656394</v>
      </c>
      <c r="BX270" s="527">
        <f t="shared" si="382"/>
        <v>-34596.069787656394</v>
      </c>
      <c r="BY270" s="527">
        <f t="shared" si="382"/>
        <v>-34596.069787656394</v>
      </c>
    </row>
    <row r="271" spans="1:77" x14ac:dyDescent="0.3">
      <c r="A271" s="551"/>
      <c r="B271" s="548"/>
      <c r="C271" s="525"/>
      <c r="D271" s="525"/>
      <c r="E271" s="623" t="str">
        <f>"BCF discounts: "&amp;E$156</f>
        <v>BCF discounts: FY28 Tranche</v>
      </c>
      <c r="F271" s="525"/>
      <c r="G271" s="525"/>
      <c r="H271" s="525"/>
      <c r="I271" s="525"/>
      <c r="J271" s="525"/>
      <c r="K271" s="525"/>
      <c r="L271" s="525"/>
      <c r="M271" s="525"/>
      <c r="N271" s="525"/>
      <c r="O271" s="525"/>
      <c r="P271" s="565"/>
      <c r="Q271" s="525"/>
      <c r="R271" s="527">
        <f t="shared" ref="R271:AW271" si="383">(R239-R247)*R$230</f>
        <v>-24686.505759729207</v>
      </c>
      <c r="S271" s="527">
        <f t="shared" si="383"/>
        <v>-24686.505759729207</v>
      </c>
      <c r="T271" s="527">
        <f t="shared" si="383"/>
        <v>-24686.505759729207</v>
      </c>
      <c r="U271" s="527">
        <f t="shared" si="383"/>
        <v>-24686.505759729207</v>
      </c>
      <c r="V271" s="527">
        <f t="shared" si="383"/>
        <v>-24686.505759729207</v>
      </c>
      <c r="W271" s="527">
        <f t="shared" si="383"/>
        <v>-24686.505759729207</v>
      </c>
      <c r="X271" s="527">
        <f t="shared" si="383"/>
        <v>-24686.505759729207</v>
      </c>
      <c r="Y271" s="527">
        <f t="shared" si="383"/>
        <v>-24686.505759729207</v>
      </c>
      <c r="Z271" s="527">
        <f t="shared" si="383"/>
        <v>-24686.505759729207</v>
      </c>
      <c r="AA271" s="527">
        <f t="shared" si="383"/>
        <v>-24686.505759729207</v>
      </c>
      <c r="AB271" s="527">
        <f t="shared" si="383"/>
        <v>-24686.505759729207</v>
      </c>
      <c r="AC271" s="527">
        <f t="shared" si="383"/>
        <v>-24686.505759729207</v>
      </c>
      <c r="AD271" s="527">
        <f t="shared" si="383"/>
        <v>-25752.299992778415</v>
      </c>
      <c r="AE271" s="527">
        <f t="shared" si="383"/>
        <v>-25752.299992778415</v>
      </c>
      <c r="AF271" s="527">
        <f t="shared" si="383"/>
        <v>-25752.299992778415</v>
      </c>
      <c r="AG271" s="527">
        <f t="shared" si="383"/>
        <v>-25752.299992778415</v>
      </c>
      <c r="AH271" s="527">
        <f t="shared" si="383"/>
        <v>-25752.299992778415</v>
      </c>
      <c r="AI271" s="527">
        <f t="shared" si="383"/>
        <v>-25752.299992778415</v>
      </c>
      <c r="AJ271" s="527">
        <f t="shared" si="383"/>
        <v>-30398.622119433163</v>
      </c>
      <c r="AK271" s="527">
        <f t="shared" si="383"/>
        <v>-30398.622119433163</v>
      </c>
      <c r="AL271" s="527">
        <f t="shared" si="383"/>
        <v>-30398.622119433163</v>
      </c>
      <c r="AM271" s="527">
        <f t="shared" si="383"/>
        <v>-30398.622119433163</v>
      </c>
      <c r="AN271" s="527">
        <f t="shared" si="383"/>
        <v>-30398.622119433163</v>
      </c>
      <c r="AO271" s="527">
        <f t="shared" si="383"/>
        <v>-30398.622119433163</v>
      </c>
      <c r="AP271" s="527">
        <f t="shared" si="383"/>
        <v>-30472.311682926313</v>
      </c>
      <c r="AQ271" s="527">
        <f t="shared" si="383"/>
        <v>-30472.311682926313</v>
      </c>
      <c r="AR271" s="527">
        <f t="shared" si="383"/>
        <v>-30472.311682926313</v>
      </c>
      <c r="AS271" s="527">
        <f t="shared" si="383"/>
        <v>-30472.311682926313</v>
      </c>
      <c r="AT271" s="527">
        <f t="shared" si="383"/>
        <v>-30472.311682926313</v>
      </c>
      <c r="AU271" s="527">
        <f t="shared" si="383"/>
        <v>-30472.311682926313</v>
      </c>
      <c r="AV271" s="527">
        <f t="shared" si="383"/>
        <v>-31680.36167482668</v>
      </c>
      <c r="AW271" s="527">
        <f t="shared" si="383"/>
        <v>-31680.36167482668</v>
      </c>
      <c r="AX271" s="527">
        <f t="shared" ref="AX271:BY271" si="384">(AX239-AX247)*AX$230</f>
        <v>-31680.36167482668</v>
      </c>
      <c r="AY271" s="527">
        <f t="shared" si="384"/>
        <v>-31680.36167482668</v>
      </c>
      <c r="AZ271" s="527">
        <f t="shared" si="384"/>
        <v>-31680.36167482668</v>
      </c>
      <c r="BA271" s="527">
        <f t="shared" si="384"/>
        <v>-31680.36167482668</v>
      </c>
      <c r="BB271" s="527">
        <f t="shared" si="384"/>
        <v>-31802.149406581826</v>
      </c>
      <c r="BC271" s="527">
        <f t="shared" si="384"/>
        <v>-31802.149406581826</v>
      </c>
      <c r="BD271" s="527">
        <f t="shared" si="384"/>
        <v>-31802.149406581826</v>
      </c>
      <c r="BE271" s="527">
        <f t="shared" si="384"/>
        <v>-31802.149406581826</v>
      </c>
      <c r="BF271" s="527">
        <f t="shared" si="384"/>
        <v>-31802.149406581826</v>
      </c>
      <c r="BG271" s="527">
        <f t="shared" si="384"/>
        <v>-31802.149406581826</v>
      </c>
      <c r="BH271" s="527">
        <f t="shared" si="384"/>
        <v>-33051.161765359131</v>
      </c>
      <c r="BI271" s="527">
        <f t="shared" si="384"/>
        <v>-33051.161765359131</v>
      </c>
      <c r="BJ271" s="527">
        <f t="shared" si="384"/>
        <v>-33051.161765359131</v>
      </c>
      <c r="BK271" s="527">
        <f t="shared" si="384"/>
        <v>-33051.161765359131</v>
      </c>
      <c r="BL271" s="527">
        <f t="shared" si="384"/>
        <v>-33051.161765359131</v>
      </c>
      <c r="BM271" s="527">
        <f t="shared" si="384"/>
        <v>-33051.161765359131</v>
      </c>
      <c r="BN271" s="527">
        <f t="shared" si="384"/>
        <v>-33210.531655750448</v>
      </c>
      <c r="BO271" s="527">
        <f t="shared" si="384"/>
        <v>-33210.531655750448</v>
      </c>
      <c r="BP271" s="527">
        <f t="shared" si="384"/>
        <v>-33210.531655750448</v>
      </c>
      <c r="BQ271" s="527">
        <f t="shared" si="384"/>
        <v>-33210.531655750448</v>
      </c>
      <c r="BR271" s="527">
        <f t="shared" si="384"/>
        <v>-33210.531655750448</v>
      </c>
      <c r="BS271" s="527">
        <f t="shared" si="384"/>
        <v>-33210.531655750448</v>
      </c>
      <c r="BT271" s="527">
        <f t="shared" si="384"/>
        <v>-34502.110423969418</v>
      </c>
      <c r="BU271" s="527">
        <f t="shared" si="384"/>
        <v>-34502.110423969418</v>
      </c>
      <c r="BV271" s="527">
        <f t="shared" si="384"/>
        <v>-34502.110423969418</v>
      </c>
      <c r="BW271" s="527">
        <f t="shared" si="384"/>
        <v>-34502.110423969418</v>
      </c>
      <c r="BX271" s="527">
        <f t="shared" si="384"/>
        <v>-34502.110423969418</v>
      </c>
      <c r="BY271" s="527">
        <f t="shared" si="384"/>
        <v>-34502.110423969418</v>
      </c>
    </row>
    <row r="272" spans="1:77" x14ac:dyDescent="0.3">
      <c r="A272" s="551"/>
      <c r="B272" s="548"/>
      <c r="C272" s="525"/>
      <c r="D272" s="525"/>
      <c r="E272" s="623" t="str">
        <f>"BCF discounts: "&amp;E$157</f>
        <v>BCF discounts: FY29 Tranche</v>
      </c>
      <c r="F272" s="525"/>
      <c r="G272" s="525"/>
      <c r="H272" s="525"/>
      <c r="I272" s="525"/>
      <c r="J272" s="525"/>
      <c r="K272" s="525"/>
      <c r="L272" s="525"/>
      <c r="M272" s="525"/>
      <c r="N272" s="525"/>
      <c r="O272" s="525"/>
      <c r="P272" s="565"/>
      <c r="Q272" s="525"/>
      <c r="R272" s="527">
        <f t="shared" ref="R272:AW272" si="385">(R240-R248)*R$230</f>
        <v>-24686.505759729207</v>
      </c>
      <c r="S272" s="527">
        <f t="shared" si="385"/>
        <v>-24686.505759729207</v>
      </c>
      <c r="T272" s="527">
        <f t="shared" si="385"/>
        <v>-24686.505759729207</v>
      </c>
      <c r="U272" s="527">
        <f t="shared" si="385"/>
        <v>-24686.505759729207</v>
      </c>
      <c r="V272" s="527">
        <f t="shared" si="385"/>
        <v>-24686.505759729207</v>
      </c>
      <c r="W272" s="527">
        <f t="shared" si="385"/>
        <v>-24686.505759729207</v>
      </c>
      <c r="X272" s="527">
        <f t="shared" si="385"/>
        <v>-24686.505759729207</v>
      </c>
      <c r="Y272" s="527">
        <f t="shared" si="385"/>
        <v>-24686.505759729207</v>
      </c>
      <c r="Z272" s="527">
        <f t="shared" si="385"/>
        <v>-24686.505759729207</v>
      </c>
      <c r="AA272" s="527">
        <f t="shared" si="385"/>
        <v>-24686.505759729207</v>
      </c>
      <c r="AB272" s="527">
        <f t="shared" si="385"/>
        <v>-24686.505759729207</v>
      </c>
      <c r="AC272" s="527">
        <f t="shared" si="385"/>
        <v>-24686.505759729207</v>
      </c>
      <c r="AD272" s="527">
        <f t="shared" si="385"/>
        <v>-25752.299992778415</v>
      </c>
      <c r="AE272" s="527">
        <f t="shared" si="385"/>
        <v>-25752.299992778415</v>
      </c>
      <c r="AF272" s="527">
        <f t="shared" si="385"/>
        <v>-25752.299992778415</v>
      </c>
      <c r="AG272" s="527">
        <f t="shared" si="385"/>
        <v>-25752.299992778415</v>
      </c>
      <c r="AH272" s="527">
        <f t="shared" si="385"/>
        <v>-25752.299992778415</v>
      </c>
      <c r="AI272" s="527">
        <f t="shared" si="385"/>
        <v>-25752.299992778415</v>
      </c>
      <c r="AJ272" s="527">
        <f t="shared" si="385"/>
        <v>-25752.299992778415</v>
      </c>
      <c r="AK272" s="527">
        <f t="shared" si="385"/>
        <v>-25752.299992778415</v>
      </c>
      <c r="AL272" s="527">
        <f t="shared" si="385"/>
        <v>-25752.299992778415</v>
      </c>
      <c r="AM272" s="527">
        <f t="shared" si="385"/>
        <v>-25752.299992778415</v>
      </c>
      <c r="AN272" s="527">
        <f t="shared" si="385"/>
        <v>-25752.299992778415</v>
      </c>
      <c r="AO272" s="527">
        <f t="shared" si="385"/>
        <v>-25752.299992778415</v>
      </c>
      <c r="AP272" s="527">
        <f t="shared" si="385"/>
        <v>-26819.708133492783</v>
      </c>
      <c r="AQ272" s="527">
        <f t="shared" si="385"/>
        <v>-26819.708133492783</v>
      </c>
      <c r="AR272" s="527">
        <f t="shared" si="385"/>
        <v>-26819.708133492783</v>
      </c>
      <c r="AS272" s="527">
        <f t="shared" si="385"/>
        <v>-26819.708133492783</v>
      </c>
      <c r="AT272" s="527">
        <f t="shared" si="385"/>
        <v>-26819.708133492783</v>
      </c>
      <c r="AU272" s="527">
        <f t="shared" si="385"/>
        <v>-26819.708133492783</v>
      </c>
      <c r="AV272" s="527">
        <f t="shared" si="385"/>
        <v>-31538.81832336291</v>
      </c>
      <c r="AW272" s="527">
        <f t="shared" si="385"/>
        <v>-31538.81832336291</v>
      </c>
      <c r="AX272" s="527">
        <f t="shared" ref="AX272:BY272" si="386">(AX240-AX248)*AX$230</f>
        <v>-31538.81832336291</v>
      </c>
      <c r="AY272" s="527">
        <f t="shared" si="386"/>
        <v>-31538.81832336291</v>
      </c>
      <c r="AZ272" s="527">
        <f t="shared" si="386"/>
        <v>-31538.81832336291</v>
      </c>
      <c r="BA272" s="527">
        <f t="shared" si="386"/>
        <v>-31538.81832336291</v>
      </c>
      <c r="BB272" s="527">
        <f t="shared" si="386"/>
        <v>-31661.435194177913</v>
      </c>
      <c r="BC272" s="527">
        <f t="shared" si="386"/>
        <v>-31661.435194177913</v>
      </c>
      <c r="BD272" s="527">
        <f t="shared" si="386"/>
        <v>-31661.435194177913</v>
      </c>
      <c r="BE272" s="527">
        <f t="shared" si="386"/>
        <v>-31661.435194177913</v>
      </c>
      <c r="BF272" s="527">
        <f t="shared" si="386"/>
        <v>-31661.435194177913</v>
      </c>
      <c r="BG272" s="527">
        <f t="shared" si="386"/>
        <v>-31661.435194177913</v>
      </c>
      <c r="BH272" s="527">
        <f t="shared" si="386"/>
        <v>-32904.818984459067</v>
      </c>
      <c r="BI272" s="527">
        <f t="shared" si="386"/>
        <v>-32904.818984459067</v>
      </c>
      <c r="BJ272" s="527">
        <f t="shared" si="386"/>
        <v>-32904.818984459067</v>
      </c>
      <c r="BK272" s="527">
        <f t="shared" si="386"/>
        <v>-32904.818984459067</v>
      </c>
      <c r="BL272" s="527">
        <f t="shared" si="386"/>
        <v>-32904.818984459067</v>
      </c>
      <c r="BM272" s="527">
        <f t="shared" si="386"/>
        <v>-32904.818984459067</v>
      </c>
      <c r="BN272" s="527">
        <f t="shared" si="386"/>
        <v>-33065.021895298225</v>
      </c>
      <c r="BO272" s="527">
        <f t="shared" si="386"/>
        <v>-33065.021895298225</v>
      </c>
      <c r="BP272" s="527">
        <f t="shared" si="386"/>
        <v>-33065.021895298225</v>
      </c>
      <c r="BQ272" s="527">
        <f t="shared" si="386"/>
        <v>-33065.021895298225</v>
      </c>
      <c r="BR272" s="527">
        <f t="shared" si="386"/>
        <v>-33065.021895298225</v>
      </c>
      <c r="BS272" s="527">
        <f t="shared" si="386"/>
        <v>-33065.021895298225</v>
      </c>
      <c r="BT272" s="527">
        <f t="shared" si="386"/>
        <v>-34350.780273099102</v>
      </c>
      <c r="BU272" s="527">
        <f t="shared" si="386"/>
        <v>-34350.780273099102</v>
      </c>
      <c r="BV272" s="527">
        <f t="shared" si="386"/>
        <v>-34350.780273099102</v>
      </c>
      <c r="BW272" s="527">
        <f t="shared" si="386"/>
        <v>-34350.780273099102</v>
      </c>
      <c r="BX272" s="527">
        <f t="shared" si="386"/>
        <v>-34350.780273099102</v>
      </c>
      <c r="BY272" s="527">
        <f t="shared" si="386"/>
        <v>-34350.780273099102</v>
      </c>
    </row>
    <row r="273" spans="1:77" x14ac:dyDescent="0.3">
      <c r="A273" s="551"/>
      <c r="B273" s="548"/>
      <c r="C273" s="525"/>
      <c r="D273" s="525"/>
      <c r="E273" s="623" t="str">
        <f>"BCF discounts: "&amp;E$158</f>
        <v>BCF discounts: FY30 Tranche</v>
      </c>
      <c r="F273" s="525"/>
      <c r="G273" s="525"/>
      <c r="H273" s="525"/>
      <c r="I273" s="525"/>
      <c r="J273" s="525"/>
      <c r="K273" s="525"/>
      <c r="L273" s="525"/>
      <c r="M273" s="525"/>
      <c r="N273" s="525"/>
      <c r="O273" s="525"/>
      <c r="P273" s="565"/>
      <c r="Q273" s="525"/>
      <c r="R273" s="527">
        <f t="shared" ref="R273:AW273" si="387">(R241-R249)*R$230</f>
        <v>-24686.505759729207</v>
      </c>
      <c r="S273" s="527">
        <f t="shared" si="387"/>
        <v>-24686.505759729207</v>
      </c>
      <c r="T273" s="527">
        <f t="shared" si="387"/>
        <v>-24686.505759729207</v>
      </c>
      <c r="U273" s="527">
        <f t="shared" si="387"/>
        <v>-24686.505759729207</v>
      </c>
      <c r="V273" s="527">
        <f t="shared" si="387"/>
        <v>-24686.505759729207</v>
      </c>
      <c r="W273" s="527">
        <f t="shared" si="387"/>
        <v>-24686.505759729207</v>
      </c>
      <c r="X273" s="527">
        <f t="shared" si="387"/>
        <v>-24686.505759729207</v>
      </c>
      <c r="Y273" s="527">
        <f t="shared" si="387"/>
        <v>-24686.505759729207</v>
      </c>
      <c r="Z273" s="527">
        <f t="shared" si="387"/>
        <v>-24686.505759729207</v>
      </c>
      <c r="AA273" s="527">
        <f t="shared" si="387"/>
        <v>-24686.505759729207</v>
      </c>
      <c r="AB273" s="527">
        <f t="shared" si="387"/>
        <v>-24686.505759729207</v>
      </c>
      <c r="AC273" s="527">
        <f t="shared" si="387"/>
        <v>-24686.505759729207</v>
      </c>
      <c r="AD273" s="527">
        <f t="shared" si="387"/>
        <v>-25752.299992778415</v>
      </c>
      <c r="AE273" s="527">
        <f t="shared" si="387"/>
        <v>-25752.299992778415</v>
      </c>
      <c r="AF273" s="527">
        <f t="shared" si="387"/>
        <v>-25752.299992778415</v>
      </c>
      <c r="AG273" s="527">
        <f t="shared" si="387"/>
        <v>-25752.299992778415</v>
      </c>
      <c r="AH273" s="527">
        <f t="shared" si="387"/>
        <v>-25752.299992778415</v>
      </c>
      <c r="AI273" s="527">
        <f t="shared" si="387"/>
        <v>-25752.299992778415</v>
      </c>
      <c r="AJ273" s="527">
        <f t="shared" si="387"/>
        <v>-25752.299992778415</v>
      </c>
      <c r="AK273" s="527">
        <f t="shared" si="387"/>
        <v>-25752.299992778415</v>
      </c>
      <c r="AL273" s="527">
        <f t="shared" si="387"/>
        <v>-25752.299992778415</v>
      </c>
      <c r="AM273" s="527">
        <f t="shared" si="387"/>
        <v>-25752.299992778415</v>
      </c>
      <c r="AN273" s="527">
        <f t="shared" si="387"/>
        <v>-25752.299992778415</v>
      </c>
      <c r="AO273" s="527">
        <f t="shared" si="387"/>
        <v>-25752.299992778415</v>
      </c>
      <c r="AP273" s="527">
        <f t="shared" si="387"/>
        <v>-26819.708133492783</v>
      </c>
      <c r="AQ273" s="527">
        <f t="shared" si="387"/>
        <v>-26819.708133492783</v>
      </c>
      <c r="AR273" s="527">
        <f t="shared" si="387"/>
        <v>-26819.708133492783</v>
      </c>
      <c r="AS273" s="527">
        <f t="shared" si="387"/>
        <v>-26819.708133492783</v>
      </c>
      <c r="AT273" s="527">
        <f t="shared" si="387"/>
        <v>-26819.708133492783</v>
      </c>
      <c r="AU273" s="527">
        <f t="shared" si="387"/>
        <v>-26819.708133492783</v>
      </c>
      <c r="AV273" s="527">
        <f t="shared" si="387"/>
        <v>-26819.708133492783</v>
      </c>
      <c r="AW273" s="527">
        <f t="shared" si="387"/>
        <v>-26819.708133492783</v>
      </c>
      <c r="AX273" s="527">
        <f t="shared" ref="AX273:BY273" si="388">(AX241-AX249)*AX$230</f>
        <v>-26819.708133492783</v>
      </c>
      <c r="AY273" s="527">
        <f t="shared" si="388"/>
        <v>-26819.708133492783</v>
      </c>
      <c r="AZ273" s="527">
        <f t="shared" si="388"/>
        <v>-26819.708133492783</v>
      </c>
      <c r="BA273" s="527">
        <f t="shared" si="388"/>
        <v>-26819.708133492783</v>
      </c>
      <c r="BB273" s="527">
        <f t="shared" si="388"/>
        <v>-27881.731836252889</v>
      </c>
      <c r="BC273" s="527">
        <f t="shared" si="388"/>
        <v>-27881.731836252889</v>
      </c>
      <c r="BD273" s="527">
        <f t="shared" si="388"/>
        <v>-27881.731836252889</v>
      </c>
      <c r="BE273" s="527">
        <f t="shared" si="388"/>
        <v>-27881.731836252889</v>
      </c>
      <c r="BF273" s="527">
        <f t="shared" si="388"/>
        <v>-27881.731836252889</v>
      </c>
      <c r="BG273" s="527">
        <f t="shared" si="388"/>
        <v>-27881.731836252889</v>
      </c>
      <c r="BH273" s="527">
        <f t="shared" si="388"/>
        <v>-32670.206608557346</v>
      </c>
      <c r="BI273" s="527">
        <f t="shared" si="388"/>
        <v>-32670.206608557346</v>
      </c>
      <c r="BJ273" s="527">
        <f t="shared" si="388"/>
        <v>-32670.206608557346</v>
      </c>
      <c r="BK273" s="527">
        <f t="shared" si="388"/>
        <v>-32670.206608557346</v>
      </c>
      <c r="BL273" s="527">
        <f t="shared" si="388"/>
        <v>-32670.206608557346</v>
      </c>
      <c r="BM273" s="527">
        <f t="shared" si="388"/>
        <v>-32670.206608557346</v>
      </c>
      <c r="BN273" s="527">
        <f t="shared" si="388"/>
        <v>-32831.744992900858</v>
      </c>
      <c r="BO273" s="527">
        <f t="shared" si="388"/>
        <v>-32831.744992900858</v>
      </c>
      <c r="BP273" s="527">
        <f t="shared" si="388"/>
        <v>-32831.744992900858</v>
      </c>
      <c r="BQ273" s="527">
        <f t="shared" si="388"/>
        <v>-32831.744992900858</v>
      </c>
      <c r="BR273" s="527">
        <f t="shared" si="388"/>
        <v>-32831.744992900858</v>
      </c>
      <c r="BS273" s="527">
        <f t="shared" si="388"/>
        <v>-32831.744992900858</v>
      </c>
      <c r="BT273" s="527">
        <f t="shared" si="388"/>
        <v>-34108.172294605851</v>
      </c>
      <c r="BU273" s="527">
        <f t="shared" si="388"/>
        <v>-34108.172294605851</v>
      </c>
      <c r="BV273" s="527">
        <f t="shared" si="388"/>
        <v>-34108.172294605851</v>
      </c>
      <c r="BW273" s="527">
        <f t="shared" si="388"/>
        <v>-34108.172294605851</v>
      </c>
      <c r="BX273" s="527">
        <f t="shared" si="388"/>
        <v>-34108.172294605851</v>
      </c>
      <c r="BY273" s="527">
        <f t="shared" si="388"/>
        <v>-34108.172294605851</v>
      </c>
    </row>
    <row r="274" spans="1:77" x14ac:dyDescent="0.3">
      <c r="A274" s="551"/>
      <c r="B274" s="548"/>
      <c r="C274" s="525"/>
      <c r="D274" s="525"/>
      <c r="E274" s="623" t="str">
        <f>"BCF discounts: "&amp;E$159</f>
        <v>BCF discounts: FY31 Tranche</v>
      </c>
      <c r="F274" s="525"/>
      <c r="G274" s="525"/>
      <c r="H274" s="525"/>
      <c r="I274" s="525"/>
      <c r="J274" s="525"/>
      <c r="K274" s="525"/>
      <c r="L274" s="525"/>
      <c r="M274" s="525"/>
      <c r="N274" s="525"/>
      <c r="O274" s="525"/>
      <c r="P274" s="565"/>
      <c r="Q274" s="525"/>
      <c r="R274" s="527">
        <f t="shared" ref="R274:AW274" si="389">(R242-R250)*R$230</f>
        <v>-24686.505759729207</v>
      </c>
      <c r="S274" s="527">
        <f t="shared" si="389"/>
        <v>-24686.505759729207</v>
      </c>
      <c r="T274" s="527">
        <f t="shared" si="389"/>
        <v>-24686.505759729207</v>
      </c>
      <c r="U274" s="527">
        <f t="shared" si="389"/>
        <v>-24686.505759729207</v>
      </c>
      <c r="V274" s="527">
        <f t="shared" si="389"/>
        <v>-24686.505759729207</v>
      </c>
      <c r="W274" s="527">
        <f t="shared" si="389"/>
        <v>-24686.505759729207</v>
      </c>
      <c r="X274" s="527">
        <f t="shared" si="389"/>
        <v>-24686.505759729207</v>
      </c>
      <c r="Y274" s="527">
        <f t="shared" si="389"/>
        <v>-24686.505759729207</v>
      </c>
      <c r="Z274" s="527">
        <f t="shared" si="389"/>
        <v>-24686.505759729207</v>
      </c>
      <c r="AA274" s="527">
        <f t="shared" si="389"/>
        <v>-24686.505759729207</v>
      </c>
      <c r="AB274" s="527">
        <f t="shared" si="389"/>
        <v>-24686.505759729207</v>
      </c>
      <c r="AC274" s="527">
        <f t="shared" si="389"/>
        <v>-24686.505759729207</v>
      </c>
      <c r="AD274" s="527">
        <f t="shared" si="389"/>
        <v>-25752.299992778415</v>
      </c>
      <c r="AE274" s="527">
        <f t="shared" si="389"/>
        <v>-25752.299992778415</v>
      </c>
      <c r="AF274" s="527">
        <f t="shared" si="389"/>
        <v>-25752.299992778415</v>
      </c>
      <c r="AG274" s="527">
        <f t="shared" si="389"/>
        <v>-25752.299992778415</v>
      </c>
      <c r="AH274" s="527">
        <f t="shared" si="389"/>
        <v>-25752.299992778415</v>
      </c>
      <c r="AI274" s="527">
        <f t="shared" si="389"/>
        <v>-25752.299992778415</v>
      </c>
      <c r="AJ274" s="527">
        <f t="shared" si="389"/>
        <v>-25752.299992778415</v>
      </c>
      <c r="AK274" s="527">
        <f t="shared" si="389"/>
        <v>-25752.299992778415</v>
      </c>
      <c r="AL274" s="527">
        <f t="shared" si="389"/>
        <v>-25752.299992778415</v>
      </c>
      <c r="AM274" s="527">
        <f t="shared" si="389"/>
        <v>-25752.299992778415</v>
      </c>
      <c r="AN274" s="527">
        <f t="shared" si="389"/>
        <v>-25752.299992778415</v>
      </c>
      <c r="AO274" s="527">
        <f t="shared" si="389"/>
        <v>-25752.299992778415</v>
      </c>
      <c r="AP274" s="527">
        <f t="shared" si="389"/>
        <v>-26819.708133492783</v>
      </c>
      <c r="AQ274" s="527">
        <f t="shared" si="389"/>
        <v>-26819.708133492783</v>
      </c>
      <c r="AR274" s="527">
        <f t="shared" si="389"/>
        <v>-26819.708133492783</v>
      </c>
      <c r="AS274" s="527">
        <f t="shared" si="389"/>
        <v>-26819.708133492783</v>
      </c>
      <c r="AT274" s="527">
        <f t="shared" si="389"/>
        <v>-26819.708133492783</v>
      </c>
      <c r="AU274" s="527">
        <f t="shared" si="389"/>
        <v>-26819.708133492783</v>
      </c>
      <c r="AV274" s="527">
        <f t="shared" si="389"/>
        <v>-26819.708133492783</v>
      </c>
      <c r="AW274" s="527">
        <f t="shared" si="389"/>
        <v>-26819.708133492783</v>
      </c>
      <c r="AX274" s="527">
        <f t="shared" ref="AX274:BY274" si="390">(AX242-AX250)*AX$230</f>
        <v>-26819.708133492783</v>
      </c>
      <c r="AY274" s="527">
        <f t="shared" si="390"/>
        <v>-26819.708133492783</v>
      </c>
      <c r="AZ274" s="527">
        <f t="shared" si="390"/>
        <v>-26819.708133492783</v>
      </c>
      <c r="BA274" s="527">
        <f t="shared" si="390"/>
        <v>-26819.708133492783</v>
      </c>
      <c r="BB274" s="527">
        <f t="shared" si="390"/>
        <v>-27881.731836252889</v>
      </c>
      <c r="BC274" s="527">
        <f t="shared" si="390"/>
        <v>-27881.731836252889</v>
      </c>
      <c r="BD274" s="527">
        <f t="shared" si="390"/>
        <v>-27881.731836252889</v>
      </c>
      <c r="BE274" s="527">
        <f t="shared" si="390"/>
        <v>-27881.731836252889</v>
      </c>
      <c r="BF274" s="527">
        <f t="shared" si="390"/>
        <v>-27881.731836252889</v>
      </c>
      <c r="BG274" s="527">
        <f t="shared" si="390"/>
        <v>-27881.731836252889</v>
      </c>
      <c r="BH274" s="527">
        <f t="shared" si="390"/>
        <v>-27881.731836252889</v>
      </c>
      <c r="BI274" s="527">
        <f t="shared" si="390"/>
        <v>-27881.731836252889</v>
      </c>
      <c r="BJ274" s="527">
        <f t="shared" si="390"/>
        <v>-27881.731836252889</v>
      </c>
      <c r="BK274" s="527">
        <f t="shared" si="390"/>
        <v>-27881.731836252889</v>
      </c>
      <c r="BL274" s="527">
        <f t="shared" si="390"/>
        <v>-27881.731836252889</v>
      </c>
      <c r="BM274" s="527">
        <f t="shared" si="390"/>
        <v>-27881.731836252889</v>
      </c>
      <c r="BN274" s="527">
        <f t="shared" si="390"/>
        <v>-28980.279709431881</v>
      </c>
      <c r="BO274" s="527">
        <f t="shared" si="390"/>
        <v>-28980.279709431881</v>
      </c>
      <c r="BP274" s="527">
        <f t="shared" si="390"/>
        <v>-28980.279709431881</v>
      </c>
      <c r="BQ274" s="527">
        <f t="shared" si="390"/>
        <v>-28980.279709431881</v>
      </c>
      <c r="BR274" s="527">
        <f t="shared" si="390"/>
        <v>-28980.279709431881</v>
      </c>
      <c r="BS274" s="527">
        <f t="shared" si="390"/>
        <v>-28980.279709431881</v>
      </c>
      <c r="BT274" s="527">
        <f t="shared" si="390"/>
        <v>-33834.417074019912</v>
      </c>
      <c r="BU274" s="527">
        <f t="shared" si="390"/>
        <v>-33834.417074019912</v>
      </c>
      <c r="BV274" s="527">
        <f t="shared" si="390"/>
        <v>-33834.417074019912</v>
      </c>
      <c r="BW274" s="527">
        <f t="shared" si="390"/>
        <v>-33834.417074019912</v>
      </c>
      <c r="BX274" s="527">
        <f t="shared" si="390"/>
        <v>-33834.417074019912</v>
      </c>
      <c r="BY274" s="527">
        <f t="shared" si="390"/>
        <v>-33834.417074019912</v>
      </c>
    </row>
    <row r="275" spans="1:77" x14ac:dyDescent="0.3">
      <c r="A275" s="551"/>
      <c r="B275" s="548"/>
      <c r="C275" s="525"/>
      <c r="D275" s="525"/>
      <c r="E275" s="623" t="str">
        <f>"BCF discounts: "&amp;E$160</f>
        <v>BCF discounts: Uninvested Tranche</v>
      </c>
      <c r="F275" s="525"/>
      <c r="G275" s="525"/>
      <c r="H275" s="525"/>
      <c r="I275" s="525"/>
      <c r="J275" s="525"/>
      <c r="K275" s="525"/>
      <c r="L275" s="525"/>
      <c r="M275" s="525"/>
      <c r="N275" s="525"/>
      <c r="O275" s="525"/>
      <c r="P275" s="565"/>
      <c r="Q275" s="525"/>
      <c r="R275" s="527">
        <f t="shared" ref="R275:AW275" si="391">(R243-R251)*R$230</f>
        <v>-54001.731349407637</v>
      </c>
      <c r="S275" s="527">
        <f t="shared" si="391"/>
        <v>-54001.731349407637</v>
      </c>
      <c r="T275" s="527">
        <f t="shared" si="391"/>
        <v>-54001.731349407637</v>
      </c>
      <c r="U275" s="527">
        <f t="shared" si="391"/>
        <v>-54001.731349407637</v>
      </c>
      <c r="V275" s="527">
        <f t="shared" si="391"/>
        <v>-54001.731349407637</v>
      </c>
      <c r="W275" s="527">
        <f t="shared" si="391"/>
        <v>-54001.731349407637</v>
      </c>
      <c r="X275" s="527">
        <f t="shared" si="391"/>
        <v>-54001.731349407637</v>
      </c>
      <c r="Y275" s="527">
        <f t="shared" si="391"/>
        <v>-54001.731349407637</v>
      </c>
      <c r="Z275" s="527">
        <f t="shared" si="391"/>
        <v>-54001.731349407637</v>
      </c>
      <c r="AA275" s="527">
        <f t="shared" si="391"/>
        <v>-54001.731349407637</v>
      </c>
      <c r="AB275" s="527">
        <f t="shared" si="391"/>
        <v>-54001.731349407637</v>
      </c>
      <c r="AC275" s="527">
        <f t="shared" si="391"/>
        <v>-54001.731349407637</v>
      </c>
      <c r="AD275" s="527">
        <f t="shared" si="391"/>
        <v>-56333.15623420279</v>
      </c>
      <c r="AE275" s="527">
        <f t="shared" si="391"/>
        <v>-56333.15623420279</v>
      </c>
      <c r="AF275" s="527">
        <f t="shared" si="391"/>
        <v>-56333.15623420279</v>
      </c>
      <c r="AG275" s="527">
        <f t="shared" si="391"/>
        <v>-56333.15623420279</v>
      </c>
      <c r="AH275" s="527">
        <f t="shared" si="391"/>
        <v>-56333.15623420279</v>
      </c>
      <c r="AI275" s="527">
        <f t="shared" si="391"/>
        <v>-56333.15623420279</v>
      </c>
      <c r="AJ275" s="527">
        <f t="shared" si="391"/>
        <v>-56333.15623420279</v>
      </c>
      <c r="AK275" s="527">
        <f t="shared" si="391"/>
        <v>-56333.15623420279</v>
      </c>
      <c r="AL275" s="527">
        <f t="shared" si="391"/>
        <v>-56333.15623420279</v>
      </c>
      <c r="AM275" s="527">
        <f t="shared" si="391"/>
        <v>-56333.15623420279</v>
      </c>
      <c r="AN275" s="527">
        <f t="shared" si="391"/>
        <v>-56333.15623420279</v>
      </c>
      <c r="AO275" s="527">
        <f t="shared" si="391"/>
        <v>-56333.15623420279</v>
      </c>
      <c r="AP275" s="527">
        <f t="shared" si="391"/>
        <v>-58668.111542015467</v>
      </c>
      <c r="AQ275" s="527">
        <f t="shared" si="391"/>
        <v>-58668.111542015467</v>
      </c>
      <c r="AR275" s="527">
        <f t="shared" si="391"/>
        <v>-58668.111542015467</v>
      </c>
      <c r="AS275" s="527">
        <f t="shared" si="391"/>
        <v>-58668.111542015467</v>
      </c>
      <c r="AT275" s="527">
        <f t="shared" si="391"/>
        <v>-58668.111542015467</v>
      </c>
      <c r="AU275" s="527">
        <f t="shared" si="391"/>
        <v>-58668.111542015467</v>
      </c>
      <c r="AV275" s="527">
        <f t="shared" si="391"/>
        <v>-58668.111542015467</v>
      </c>
      <c r="AW275" s="527">
        <f t="shared" si="391"/>
        <v>-58668.111542015467</v>
      </c>
      <c r="AX275" s="527">
        <f t="shared" ref="AX275:BY275" si="392">(AX243-AX251)*AX$230</f>
        <v>-58668.111542015467</v>
      </c>
      <c r="AY275" s="527">
        <f t="shared" si="392"/>
        <v>-58668.111542015467</v>
      </c>
      <c r="AZ275" s="527">
        <f t="shared" si="392"/>
        <v>-58668.111542015467</v>
      </c>
      <c r="BA275" s="527">
        <f t="shared" si="392"/>
        <v>-58668.111542015467</v>
      </c>
      <c r="BB275" s="527">
        <f t="shared" si="392"/>
        <v>-60991.288391803195</v>
      </c>
      <c r="BC275" s="527">
        <f t="shared" si="392"/>
        <v>-60991.288391803195</v>
      </c>
      <c r="BD275" s="527">
        <f t="shared" si="392"/>
        <v>-60991.288391803195</v>
      </c>
      <c r="BE275" s="527">
        <f t="shared" si="392"/>
        <v>-60991.288391803195</v>
      </c>
      <c r="BF275" s="527">
        <f t="shared" si="392"/>
        <v>-60991.288391803195</v>
      </c>
      <c r="BG275" s="527">
        <f t="shared" si="392"/>
        <v>-60991.288391803195</v>
      </c>
      <c r="BH275" s="527">
        <f t="shared" si="392"/>
        <v>-60991.288391803195</v>
      </c>
      <c r="BI275" s="527">
        <f t="shared" si="392"/>
        <v>-60991.288391803195</v>
      </c>
      <c r="BJ275" s="527">
        <f t="shared" si="392"/>
        <v>-60991.288391803195</v>
      </c>
      <c r="BK275" s="527">
        <f t="shared" si="392"/>
        <v>-60991.288391803195</v>
      </c>
      <c r="BL275" s="527">
        <f t="shared" si="392"/>
        <v>-60991.288391803195</v>
      </c>
      <c r="BM275" s="527">
        <f t="shared" si="392"/>
        <v>-60991.288391803195</v>
      </c>
      <c r="BN275" s="527">
        <f t="shared" si="392"/>
        <v>-63394.361864382234</v>
      </c>
      <c r="BO275" s="527">
        <f t="shared" si="392"/>
        <v>-63394.361864382234</v>
      </c>
      <c r="BP275" s="527">
        <f t="shared" si="392"/>
        <v>-63394.361864382234</v>
      </c>
      <c r="BQ275" s="527">
        <f t="shared" si="392"/>
        <v>-63394.361864382234</v>
      </c>
      <c r="BR275" s="527">
        <f t="shared" si="392"/>
        <v>-63394.361864382234</v>
      </c>
      <c r="BS275" s="527">
        <f t="shared" si="392"/>
        <v>-63394.361864382234</v>
      </c>
      <c r="BT275" s="527">
        <f t="shared" si="392"/>
        <v>-63394.361864382234</v>
      </c>
      <c r="BU275" s="527">
        <f t="shared" si="392"/>
        <v>-63394.361864382234</v>
      </c>
      <c r="BV275" s="527">
        <f t="shared" si="392"/>
        <v>-63394.361864382234</v>
      </c>
      <c r="BW275" s="527">
        <f t="shared" si="392"/>
        <v>-63394.361864382234</v>
      </c>
      <c r="BX275" s="527">
        <f t="shared" si="392"/>
        <v>-63394.361864382234</v>
      </c>
      <c r="BY275" s="527">
        <f t="shared" si="392"/>
        <v>-63394.361864382234</v>
      </c>
    </row>
    <row r="276" spans="1:77" x14ac:dyDescent="0.3">
      <c r="A276" s="551"/>
      <c r="B276" s="548"/>
      <c r="C276" s="525"/>
      <c r="D276" s="525"/>
      <c r="E276" s="572" t="s">
        <v>36</v>
      </c>
      <c r="F276" s="572"/>
      <c r="G276" s="572"/>
      <c r="H276" s="572"/>
      <c r="I276" s="572"/>
      <c r="J276" s="572"/>
      <c r="K276" s="572"/>
      <c r="L276" s="572"/>
      <c r="M276" s="572"/>
      <c r="N276" s="572"/>
      <c r="O276" s="572"/>
      <c r="P276" s="612"/>
      <c r="Q276" s="572"/>
      <c r="R276" s="530">
        <f t="shared" ref="R276:AW276" si="393">SUM(R270:R275)</f>
        <v>-177434.26014805367</v>
      </c>
      <c r="S276" s="530">
        <f t="shared" si="393"/>
        <v>-177434.26014805367</v>
      </c>
      <c r="T276" s="530">
        <f t="shared" si="393"/>
        <v>-177434.26014805367</v>
      </c>
      <c r="U276" s="530">
        <f t="shared" si="393"/>
        <v>-177434.26014805367</v>
      </c>
      <c r="V276" s="530">
        <f t="shared" si="393"/>
        <v>-177434.26014805367</v>
      </c>
      <c r="W276" s="530">
        <f t="shared" si="393"/>
        <v>-177434.26014805367</v>
      </c>
      <c r="X276" s="530">
        <f t="shared" si="393"/>
        <v>-182005.39236441103</v>
      </c>
      <c r="Y276" s="530">
        <f t="shared" si="393"/>
        <v>-182005.39236441103</v>
      </c>
      <c r="Z276" s="530">
        <f t="shared" si="393"/>
        <v>-182005.39236441103</v>
      </c>
      <c r="AA276" s="530">
        <f t="shared" si="393"/>
        <v>-182005.39236441103</v>
      </c>
      <c r="AB276" s="530">
        <f t="shared" si="393"/>
        <v>-182005.39236441103</v>
      </c>
      <c r="AC276" s="530">
        <f t="shared" si="393"/>
        <v>-182005.39236441103</v>
      </c>
      <c r="AD276" s="530">
        <f t="shared" si="393"/>
        <v>-188653.4234977015</v>
      </c>
      <c r="AE276" s="530">
        <f t="shared" si="393"/>
        <v>-188653.4234977015</v>
      </c>
      <c r="AF276" s="530">
        <f t="shared" si="393"/>
        <v>-188653.4234977015</v>
      </c>
      <c r="AG276" s="530">
        <f t="shared" si="393"/>
        <v>-188653.4234977015</v>
      </c>
      <c r="AH276" s="530">
        <f t="shared" si="393"/>
        <v>-188653.4234977015</v>
      </c>
      <c r="AI276" s="530">
        <f t="shared" si="393"/>
        <v>-188653.4234977015</v>
      </c>
      <c r="AJ276" s="530">
        <f t="shared" si="393"/>
        <v>-194472.36799473758</v>
      </c>
      <c r="AK276" s="530">
        <f t="shared" si="393"/>
        <v>-194472.36799473758</v>
      </c>
      <c r="AL276" s="530">
        <f t="shared" si="393"/>
        <v>-194472.36799473758</v>
      </c>
      <c r="AM276" s="530">
        <f t="shared" si="393"/>
        <v>-194472.36799473758</v>
      </c>
      <c r="AN276" s="530">
        <f t="shared" si="393"/>
        <v>-194472.36799473758</v>
      </c>
      <c r="AO276" s="530">
        <f t="shared" si="393"/>
        <v>-194472.36799473758</v>
      </c>
      <c r="AP276" s="530">
        <f t="shared" si="393"/>
        <v>-200156.36203785468</v>
      </c>
      <c r="AQ276" s="530">
        <f t="shared" si="393"/>
        <v>-200156.36203785468</v>
      </c>
      <c r="AR276" s="530">
        <f t="shared" si="393"/>
        <v>-200156.36203785468</v>
      </c>
      <c r="AS276" s="530">
        <f t="shared" si="393"/>
        <v>-200156.36203785468</v>
      </c>
      <c r="AT276" s="530">
        <f t="shared" si="393"/>
        <v>-200156.36203785468</v>
      </c>
      <c r="AU276" s="530">
        <f t="shared" si="393"/>
        <v>-200156.36203785468</v>
      </c>
      <c r="AV276" s="530">
        <f t="shared" si="393"/>
        <v>-207294.95232070592</v>
      </c>
      <c r="AW276" s="530">
        <f t="shared" si="393"/>
        <v>-207294.95232070592</v>
      </c>
      <c r="AX276" s="530">
        <f t="shared" ref="AX276:BY276" si="394">SUM(AX270:AX275)</f>
        <v>-207294.95232070592</v>
      </c>
      <c r="AY276" s="530">
        <f t="shared" si="394"/>
        <v>-207294.95232070592</v>
      </c>
      <c r="AZ276" s="530">
        <f t="shared" si="394"/>
        <v>-207294.95232070592</v>
      </c>
      <c r="BA276" s="530">
        <f t="shared" si="394"/>
        <v>-207294.95232070592</v>
      </c>
      <c r="BB276" s="530">
        <f t="shared" si="394"/>
        <v>-212107.85410626326</v>
      </c>
      <c r="BC276" s="530">
        <f t="shared" si="394"/>
        <v>-212107.85410626326</v>
      </c>
      <c r="BD276" s="530">
        <f t="shared" si="394"/>
        <v>-212107.85410626326</v>
      </c>
      <c r="BE276" s="530">
        <f t="shared" si="394"/>
        <v>-212107.85410626326</v>
      </c>
      <c r="BF276" s="530">
        <f t="shared" si="394"/>
        <v>-212107.85410626326</v>
      </c>
      <c r="BG276" s="530">
        <f t="shared" si="394"/>
        <v>-212107.85410626326</v>
      </c>
      <c r="BH276" s="530">
        <f t="shared" si="394"/>
        <v>-220641.232107788</v>
      </c>
      <c r="BI276" s="530">
        <f t="shared" si="394"/>
        <v>-220641.232107788</v>
      </c>
      <c r="BJ276" s="530">
        <f t="shared" si="394"/>
        <v>-220641.232107788</v>
      </c>
      <c r="BK276" s="530">
        <f t="shared" si="394"/>
        <v>-220641.232107788</v>
      </c>
      <c r="BL276" s="530">
        <f t="shared" si="394"/>
        <v>-220641.232107788</v>
      </c>
      <c r="BM276" s="530">
        <f t="shared" si="394"/>
        <v>-220641.232107788</v>
      </c>
      <c r="BN276" s="530">
        <f t="shared" si="394"/>
        <v>-224782.81731552078</v>
      </c>
      <c r="BO276" s="530">
        <f t="shared" si="394"/>
        <v>-224782.81731552078</v>
      </c>
      <c r="BP276" s="530">
        <f t="shared" si="394"/>
        <v>-224782.81731552078</v>
      </c>
      <c r="BQ276" s="530">
        <f t="shared" si="394"/>
        <v>-224782.81731552078</v>
      </c>
      <c r="BR276" s="530">
        <f t="shared" si="394"/>
        <v>-224782.81731552078</v>
      </c>
      <c r="BS276" s="530">
        <f t="shared" si="394"/>
        <v>-224782.81731552078</v>
      </c>
      <c r="BT276" s="530">
        <f t="shared" si="394"/>
        <v>-234785.9117177329</v>
      </c>
      <c r="BU276" s="530">
        <f t="shared" si="394"/>
        <v>-234785.9117177329</v>
      </c>
      <c r="BV276" s="530">
        <f t="shared" si="394"/>
        <v>-234785.9117177329</v>
      </c>
      <c r="BW276" s="530">
        <f t="shared" si="394"/>
        <v>-234785.9117177329</v>
      </c>
      <c r="BX276" s="530">
        <f t="shared" si="394"/>
        <v>-234785.9117177329</v>
      </c>
      <c r="BY276" s="530">
        <f t="shared" si="394"/>
        <v>-234785.9117177329</v>
      </c>
    </row>
    <row r="277" spans="1:77" x14ac:dyDescent="0.3">
      <c r="A277" s="551"/>
      <c r="B277" s="548"/>
      <c r="C277" s="525"/>
      <c r="D277" s="525"/>
      <c r="E277" s="525"/>
      <c r="F277" s="525"/>
      <c r="G277" s="525"/>
      <c r="H277" s="525"/>
      <c r="I277" s="525"/>
      <c r="J277" s="525"/>
      <c r="K277" s="525"/>
      <c r="L277" s="525"/>
      <c r="M277" s="525"/>
      <c r="N277" s="525"/>
      <c r="O277" s="525"/>
      <c r="P277" s="565"/>
      <c r="Q277" s="525"/>
      <c r="R277" s="525"/>
      <c r="S277" s="525"/>
      <c r="T277" s="525"/>
      <c r="U277" s="525"/>
      <c r="V277" s="525"/>
      <c r="W277" s="525"/>
      <c r="X277" s="525"/>
      <c r="Y277" s="525"/>
      <c r="Z277" s="525"/>
      <c r="AA277" s="525"/>
      <c r="AB277" s="525"/>
      <c r="AC277" s="525"/>
      <c r="AD277" s="525"/>
      <c r="AE277" s="525"/>
      <c r="AF277" s="525"/>
      <c r="AG277" s="525"/>
      <c r="AH277" s="525"/>
      <c r="AI277" s="525"/>
      <c r="AJ277" s="525"/>
      <c r="AK277" s="525"/>
      <c r="AL277" s="525"/>
      <c r="AM277" s="525"/>
      <c r="AN277" s="525"/>
      <c r="AO277" s="525"/>
      <c r="AP277" s="525"/>
      <c r="AQ277" s="525"/>
      <c r="AR277" s="525"/>
      <c r="AS277" s="525"/>
      <c r="AT277" s="525"/>
      <c r="AU277" s="525"/>
      <c r="AV277" s="525"/>
      <c r="AW277" s="525"/>
      <c r="AX277" s="525"/>
      <c r="AY277" s="525"/>
      <c r="AZ277" s="525"/>
      <c r="BA277" s="525"/>
      <c r="BB277" s="525"/>
      <c r="BC277" s="525"/>
      <c r="BD277" s="525"/>
      <c r="BE277" s="525"/>
      <c r="BF277" s="525"/>
      <c r="BG277" s="525"/>
      <c r="BH277" s="525"/>
      <c r="BI277" s="525"/>
      <c r="BJ277" s="525"/>
      <c r="BK277" s="525"/>
      <c r="BL277" s="525"/>
      <c r="BM277" s="525"/>
      <c r="BN277" s="525"/>
      <c r="BO277" s="525"/>
      <c r="BP277" s="525"/>
      <c r="BQ277" s="525"/>
      <c r="BR277" s="525"/>
      <c r="BS277" s="525"/>
      <c r="BT277" s="525"/>
      <c r="BU277" s="525"/>
      <c r="BV277" s="525"/>
      <c r="BW277" s="525"/>
      <c r="BX277" s="525"/>
      <c r="BY277" s="525"/>
    </row>
    <row r="278" spans="1:77" x14ac:dyDescent="0.3">
      <c r="A278" s="551"/>
      <c r="B278" s="548"/>
      <c r="C278" s="525"/>
      <c r="D278" s="525"/>
      <c r="E278" s="624" t="s">
        <v>108</v>
      </c>
      <c r="F278" s="624"/>
      <c r="G278" s="624"/>
      <c r="H278" s="624"/>
      <c r="I278" s="624"/>
      <c r="J278" s="624"/>
      <c r="K278" s="624"/>
      <c r="L278" s="624"/>
      <c r="M278" s="624"/>
      <c r="N278" s="624"/>
      <c r="O278" s="624"/>
      <c r="P278" s="625"/>
      <c r="Q278" s="624"/>
      <c r="R278" s="541">
        <f t="shared" ref="R278:AW278" si="395">R252+R260+R268+R276-R244</f>
        <v>0</v>
      </c>
      <c r="S278" s="541">
        <f t="shared" si="395"/>
        <v>0</v>
      </c>
      <c r="T278" s="541">
        <f t="shared" si="395"/>
        <v>0</v>
      </c>
      <c r="U278" s="541">
        <f t="shared" si="395"/>
        <v>0</v>
      </c>
      <c r="V278" s="541">
        <f t="shared" si="395"/>
        <v>0</v>
      </c>
      <c r="W278" s="541">
        <f t="shared" si="395"/>
        <v>0</v>
      </c>
      <c r="X278" s="541">
        <f t="shared" si="395"/>
        <v>0</v>
      </c>
      <c r="Y278" s="541">
        <f t="shared" si="395"/>
        <v>0</v>
      </c>
      <c r="Z278" s="541">
        <f t="shared" si="395"/>
        <v>0</v>
      </c>
      <c r="AA278" s="541">
        <f t="shared" si="395"/>
        <v>0</v>
      </c>
      <c r="AB278" s="541">
        <f t="shared" si="395"/>
        <v>0</v>
      </c>
      <c r="AC278" s="541">
        <f t="shared" si="395"/>
        <v>0</v>
      </c>
      <c r="AD278" s="541">
        <f t="shared" si="395"/>
        <v>0</v>
      </c>
      <c r="AE278" s="541">
        <f t="shared" si="395"/>
        <v>0</v>
      </c>
      <c r="AF278" s="541">
        <f t="shared" si="395"/>
        <v>0</v>
      </c>
      <c r="AG278" s="541">
        <f t="shared" si="395"/>
        <v>0</v>
      </c>
      <c r="AH278" s="541">
        <f t="shared" si="395"/>
        <v>0</v>
      </c>
      <c r="AI278" s="541">
        <f t="shared" si="395"/>
        <v>0</v>
      </c>
      <c r="AJ278" s="541">
        <f t="shared" si="395"/>
        <v>0</v>
      </c>
      <c r="AK278" s="541">
        <f t="shared" si="395"/>
        <v>0</v>
      </c>
      <c r="AL278" s="541">
        <f t="shared" si="395"/>
        <v>0</v>
      </c>
      <c r="AM278" s="541">
        <f t="shared" si="395"/>
        <v>0</v>
      </c>
      <c r="AN278" s="541">
        <f t="shared" si="395"/>
        <v>0</v>
      </c>
      <c r="AO278" s="541">
        <f t="shared" si="395"/>
        <v>0</v>
      </c>
      <c r="AP278" s="541">
        <f t="shared" si="395"/>
        <v>0</v>
      </c>
      <c r="AQ278" s="541">
        <f t="shared" si="395"/>
        <v>0</v>
      </c>
      <c r="AR278" s="541">
        <f t="shared" si="395"/>
        <v>0</v>
      </c>
      <c r="AS278" s="541">
        <f t="shared" si="395"/>
        <v>0</v>
      </c>
      <c r="AT278" s="541">
        <f t="shared" si="395"/>
        <v>0</v>
      </c>
      <c r="AU278" s="541">
        <f t="shared" si="395"/>
        <v>0</v>
      </c>
      <c r="AV278" s="541">
        <f t="shared" si="395"/>
        <v>0</v>
      </c>
      <c r="AW278" s="541">
        <f t="shared" si="395"/>
        <v>0</v>
      </c>
      <c r="AX278" s="541">
        <f t="shared" ref="AX278:BY278" si="396">AX252+AX260+AX268+AX276-AX244</f>
        <v>0</v>
      </c>
      <c r="AY278" s="541">
        <f t="shared" si="396"/>
        <v>0</v>
      </c>
      <c r="AZ278" s="541">
        <f t="shared" si="396"/>
        <v>0</v>
      </c>
      <c r="BA278" s="541">
        <f t="shared" si="396"/>
        <v>0</v>
      </c>
      <c r="BB278" s="541">
        <f t="shared" si="396"/>
        <v>0</v>
      </c>
      <c r="BC278" s="541">
        <f t="shared" si="396"/>
        <v>0</v>
      </c>
      <c r="BD278" s="541">
        <f t="shared" si="396"/>
        <v>0</v>
      </c>
      <c r="BE278" s="541">
        <f t="shared" si="396"/>
        <v>0</v>
      </c>
      <c r="BF278" s="541">
        <f t="shared" si="396"/>
        <v>0</v>
      </c>
      <c r="BG278" s="541">
        <f t="shared" si="396"/>
        <v>0</v>
      </c>
      <c r="BH278" s="541">
        <f t="shared" si="396"/>
        <v>0</v>
      </c>
      <c r="BI278" s="541">
        <f t="shared" si="396"/>
        <v>0</v>
      </c>
      <c r="BJ278" s="541">
        <f t="shared" si="396"/>
        <v>0</v>
      </c>
      <c r="BK278" s="541">
        <f t="shared" si="396"/>
        <v>0</v>
      </c>
      <c r="BL278" s="541">
        <f t="shared" si="396"/>
        <v>0</v>
      </c>
      <c r="BM278" s="541">
        <f t="shared" si="396"/>
        <v>0</v>
      </c>
      <c r="BN278" s="541">
        <f t="shared" si="396"/>
        <v>0</v>
      </c>
      <c r="BO278" s="541">
        <f t="shared" si="396"/>
        <v>0</v>
      </c>
      <c r="BP278" s="541">
        <f t="shared" si="396"/>
        <v>0</v>
      </c>
      <c r="BQ278" s="541">
        <f t="shared" si="396"/>
        <v>0</v>
      </c>
      <c r="BR278" s="541">
        <f t="shared" si="396"/>
        <v>0</v>
      </c>
      <c r="BS278" s="541">
        <f t="shared" si="396"/>
        <v>0</v>
      </c>
      <c r="BT278" s="541">
        <f t="shared" si="396"/>
        <v>0</v>
      </c>
      <c r="BU278" s="541">
        <f t="shared" si="396"/>
        <v>0</v>
      </c>
      <c r="BV278" s="541">
        <f t="shared" si="396"/>
        <v>0</v>
      </c>
      <c r="BW278" s="541">
        <f t="shared" si="396"/>
        <v>0</v>
      </c>
      <c r="BX278" s="541">
        <f t="shared" si="396"/>
        <v>0</v>
      </c>
      <c r="BY278" s="541">
        <f t="shared" si="396"/>
        <v>0</v>
      </c>
    </row>
    <row r="279" spans="1:77" x14ac:dyDescent="0.3">
      <c r="A279" s="551"/>
      <c r="B279" s="548"/>
      <c r="C279" s="525"/>
      <c r="D279" s="525"/>
      <c r="E279" s="525"/>
      <c r="F279" s="525"/>
      <c r="G279" s="525"/>
      <c r="H279" s="525"/>
      <c r="I279" s="525"/>
      <c r="J279" s="525"/>
      <c r="K279" s="525"/>
      <c r="L279" s="525"/>
      <c r="M279" s="525"/>
      <c r="N279" s="525"/>
      <c r="O279" s="525"/>
      <c r="P279" s="565"/>
      <c r="Q279" s="525"/>
      <c r="R279" s="525"/>
      <c r="S279" s="525"/>
      <c r="T279" s="525"/>
      <c r="U279" s="525"/>
      <c r="V279" s="525"/>
      <c r="W279" s="525"/>
      <c r="X279" s="525"/>
      <c r="Y279" s="525"/>
      <c r="Z279" s="525"/>
      <c r="AA279" s="525"/>
      <c r="AB279" s="525"/>
      <c r="AC279" s="525"/>
      <c r="AD279" s="525"/>
      <c r="AE279" s="525"/>
      <c r="AF279" s="525"/>
      <c r="AG279" s="525"/>
      <c r="AH279" s="525"/>
      <c r="AI279" s="525"/>
      <c r="AJ279" s="525"/>
      <c r="AK279" s="525"/>
      <c r="AL279" s="525"/>
      <c r="AM279" s="525"/>
      <c r="AN279" s="525"/>
      <c r="AO279" s="525"/>
      <c r="AP279" s="525"/>
      <c r="AQ279" s="525"/>
      <c r="AR279" s="525"/>
      <c r="AS279" s="525"/>
      <c r="AT279" s="525"/>
      <c r="AU279" s="525"/>
      <c r="AV279" s="525"/>
      <c r="AW279" s="525"/>
      <c r="AX279" s="525"/>
      <c r="AY279" s="525"/>
      <c r="AZ279" s="525"/>
      <c r="BA279" s="525"/>
      <c r="BB279" s="525"/>
      <c r="BC279" s="525"/>
      <c r="BD279" s="525"/>
      <c r="BE279" s="525"/>
      <c r="BF279" s="525"/>
      <c r="BG279" s="525"/>
      <c r="BH279" s="525"/>
      <c r="BI279" s="525"/>
      <c r="BJ279" s="525"/>
      <c r="BK279" s="525"/>
      <c r="BL279" s="525"/>
      <c r="BM279" s="525"/>
      <c r="BN279" s="525"/>
      <c r="BO279" s="525"/>
      <c r="BP279" s="525"/>
      <c r="BQ279" s="525"/>
      <c r="BR279" s="525"/>
      <c r="BS279" s="525"/>
      <c r="BT279" s="525"/>
      <c r="BU279" s="525"/>
      <c r="BV279" s="525"/>
      <c r="BW279" s="525"/>
      <c r="BX279" s="525"/>
      <c r="BY279" s="525"/>
    </row>
    <row r="280" spans="1:77" x14ac:dyDescent="0.3">
      <c r="A280" s="551"/>
      <c r="B280" s="548"/>
      <c r="C280" s="525"/>
      <c r="D280" s="525"/>
      <c r="E280" s="614" t="s">
        <v>109</v>
      </c>
      <c r="F280" s="539"/>
      <c r="G280" s="539"/>
      <c r="H280" s="539"/>
      <c r="I280" s="539"/>
      <c r="J280" s="539"/>
      <c r="K280" s="539"/>
      <c r="L280" s="539"/>
      <c r="M280" s="539"/>
      <c r="N280" s="539"/>
      <c r="O280" s="539"/>
      <c r="P280" s="615"/>
      <c r="Q280" s="539"/>
      <c r="R280" s="539"/>
      <c r="S280" s="539"/>
      <c r="T280" s="539"/>
      <c r="U280" s="539"/>
      <c r="V280" s="539"/>
      <c r="W280" s="539"/>
      <c r="X280" s="539"/>
      <c r="Y280" s="539"/>
      <c r="Z280" s="539"/>
      <c r="AA280" s="539"/>
      <c r="AB280" s="539"/>
      <c r="AC280" s="539"/>
      <c r="AD280" s="539"/>
      <c r="AE280" s="539"/>
      <c r="AF280" s="539"/>
      <c r="AG280" s="539"/>
      <c r="AH280" s="539"/>
      <c r="AI280" s="539"/>
      <c r="AJ280" s="539"/>
      <c r="AK280" s="539"/>
      <c r="AL280" s="539"/>
      <c r="AM280" s="539"/>
      <c r="AN280" s="539"/>
      <c r="AO280" s="539"/>
      <c r="AP280" s="539"/>
      <c r="AQ280" s="539"/>
      <c r="AR280" s="539"/>
      <c r="AS280" s="539"/>
      <c r="AT280" s="539"/>
      <c r="AU280" s="539"/>
      <c r="AV280" s="539"/>
      <c r="AW280" s="539"/>
      <c r="AX280" s="539"/>
      <c r="AY280" s="539"/>
      <c r="AZ280" s="539"/>
      <c r="BA280" s="539"/>
      <c r="BB280" s="539"/>
      <c r="BC280" s="539"/>
      <c r="BD280" s="539"/>
      <c r="BE280" s="539"/>
      <c r="BF280" s="539"/>
      <c r="BG280" s="539"/>
      <c r="BH280" s="539"/>
      <c r="BI280" s="539"/>
      <c r="BJ280" s="539"/>
      <c r="BK280" s="539"/>
      <c r="BL280" s="539"/>
      <c r="BM280" s="539"/>
      <c r="BN280" s="539"/>
      <c r="BO280" s="539"/>
      <c r="BP280" s="539"/>
      <c r="BQ280" s="539"/>
      <c r="BR280" s="539"/>
      <c r="BS280" s="539"/>
      <c r="BT280" s="539"/>
      <c r="BU280" s="539"/>
      <c r="BV280" s="539"/>
      <c r="BW280" s="539"/>
      <c r="BX280" s="539"/>
      <c r="BY280" s="539"/>
    </row>
    <row r="281" spans="1:77" x14ac:dyDescent="0.3">
      <c r="A281" s="551"/>
      <c r="B281" s="548"/>
      <c r="C281" s="525"/>
      <c r="D281" s="525"/>
      <c r="E281" s="525"/>
      <c r="F281" s="525"/>
      <c r="G281" s="525"/>
      <c r="H281" s="525"/>
      <c r="I281" s="525"/>
      <c r="J281" s="525"/>
      <c r="K281" s="525"/>
      <c r="L281" s="525"/>
      <c r="M281" s="525"/>
      <c r="N281" s="525"/>
      <c r="O281" s="525"/>
      <c r="P281" s="565"/>
      <c r="Q281" s="525"/>
      <c r="R281" s="525"/>
      <c r="S281" s="525"/>
      <c r="T281" s="525"/>
      <c r="U281" s="525"/>
      <c r="V281" s="525"/>
      <c r="W281" s="525"/>
      <c r="X281" s="525"/>
      <c r="Y281" s="525"/>
      <c r="Z281" s="525"/>
      <c r="AA281" s="525"/>
      <c r="AB281" s="525"/>
      <c r="AC281" s="525"/>
      <c r="AD281" s="525"/>
      <c r="AE281" s="525"/>
      <c r="AF281" s="525"/>
      <c r="AG281" s="525"/>
      <c r="AH281" s="525"/>
      <c r="AI281" s="525"/>
      <c r="AJ281" s="525"/>
      <c r="AK281" s="525"/>
      <c r="AL281" s="525"/>
      <c r="AM281" s="525"/>
      <c r="AN281" s="525"/>
      <c r="AO281" s="525"/>
      <c r="AP281" s="525"/>
      <c r="AQ281" s="525"/>
      <c r="AR281" s="525"/>
      <c r="AS281" s="525"/>
      <c r="AT281" s="525"/>
      <c r="AU281" s="525"/>
      <c r="AV281" s="525"/>
      <c r="AW281" s="525"/>
      <c r="AX281" s="525"/>
      <c r="AY281" s="525"/>
      <c r="AZ281" s="525"/>
      <c r="BA281" s="525"/>
      <c r="BB281" s="525"/>
      <c r="BC281" s="525"/>
      <c r="BD281" s="525"/>
      <c r="BE281" s="525"/>
      <c r="BF281" s="525"/>
      <c r="BG281" s="525"/>
      <c r="BH281" s="525"/>
      <c r="BI281" s="525"/>
      <c r="BJ281" s="525"/>
      <c r="BK281" s="525"/>
      <c r="BL281" s="525"/>
      <c r="BM281" s="525"/>
      <c r="BN281" s="525"/>
      <c r="BO281" s="525"/>
      <c r="BP281" s="525"/>
      <c r="BQ281" s="525"/>
      <c r="BR281" s="525"/>
      <c r="BS281" s="525"/>
      <c r="BT281" s="525"/>
      <c r="BU281" s="525"/>
      <c r="BV281" s="525"/>
      <c r="BW281" s="525"/>
      <c r="BX281" s="525"/>
      <c r="BY281" s="525"/>
    </row>
    <row r="282" spans="1:77" x14ac:dyDescent="0.3">
      <c r="A282" s="551"/>
      <c r="B282" s="548"/>
      <c r="C282" s="525"/>
      <c r="D282" s="525"/>
      <c r="E282" s="626" t="str">
        <f>"WSM net comm.: "&amp;E$155</f>
        <v>WSM net comm.: FY27 Tranche</v>
      </c>
      <c r="F282" s="525"/>
      <c r="G282" s="525"/>
      <c r="H282" s="525"/>
      <c r="I282" s="525"/>
      <c r="J282" s="525"/>
      <c r="K282" s="525"/>
      <c r="L282" s="525"/>
      <c r="M282" s="525"/>
      <c r="N282" s="525"/>
      <c r="O282" s="525"/>
      <c r="P282" s="565"/>
      <c r="Q282" s="525"/>
      <c r="R282" s="527">
        <f t="shared" ref="R282:AW282" si="397">($R155*R$590*R490)+((($R155*R$590)+R213)*R482)</f>
        <v>5118.5976441777875</v>
      </c>
      <c r="S282" s="527">
        <f t="shared" si="397"/>
        <v>5118.5976441777875</v>
      </c>
      <c r="T282" s="527">
        <f t="shared" si="397"/>
        <v>5118.5976441777875</v>
      </c>
      <c r="U282" s="527">
        <f t="shared" si="397"/>
        <v>5118.5976441777875</v>
      </c>
      <c r="V282" s="527">
        <f t="shared" si="397"/>
        <v>5118.5976441777875</v>
      </c>
      <c r="W282" s="527">
        <f t="shared" si="397"/>
        <v>5118.5976441777875</v>
      </c>
      <c r="X282" s="527">
        <f t="shared" si="397"/>
        <v>6066.3942591219948</v>
      </c>
      <c r="Y282" s="527">
        <f t="shared" si="397"/>
        <v>6066.3942591219948</v>
      </c>
      <c r="Z282" s="527">
        <f t="shared" si="397"/>
        <v>6066.3942591219948</v>
      </c>
      <c r="AA282" s="527">
        <f t="shared" si="397"/>
        <v>6066.3942591219948</v>
      </c>
      <c r="AB282" s="527">
        <f t="shared" si="397"/>
        <v>6066.3942591219948</v>
      </c>
      <c r="AC282" s="527">
        <f t="shared" si="397"/>
        <v>6066.3942591219948</v>
      </c>
      <c r="AD282" s="527">
        <f t="shared" si="397"/>
        <v>5825.9479748687045</v>
      </c>
      <c r="AE282" s="527">
        <f t="shared" si="397"/>
        <v>5825.9479748687045</v>
      </c>
      <c r="AF282" s="527">
        <f t="shared" si="397"/>
        <v>5825.9479748687045</v>
      </c>
      <c r="AG282" s="527">
        <f t="shared" si="397"/>
        <v>5825.9479748687045</v>
      </c>
      <c r="AH282" s="527">
        <f t="shared" si="397"/>
        <v>5825.9479748687045</v>
      </c>
      <c r="AI282" s="527">
        <f t="shared" si="397"/>
        <v>5825.9479748687045</v>
      </c>
      <c r="AJ282" s="527">
        <f t="shared" si="397"/>
        <v>6059.0216072909443</v>
      </c>
      <c r="AK282" s="527">
        <f t="shared" si="397"/>
        <v>6059.0216072909443</v>
      </c>
      <c r="AL282" s="527">
        <f t="shared" si="397"/>
        <v>6059.0216072909443</v>
      </c>
      <c r="AM282" s="527">
        <f t="shared" si="397"/>
        <v>6059.0216072909443</v>
      </c>
      <c r="AN282" s="527">
        <f t="shared" si="397"/>
        <v>6059.0216072909443</v>
      </c>
      <c r="AO282" s="527">
        <f t="shared" si="397"/>
        <v>6059.0216072909443</v>
      </c>
      <c r="AP282" s="527">
        <f t="shared" si="397"/>
        <v>5831.832228992128</v>
      </c>
      <c r="AQ282" s="527">
        <f t="shared" si="397"/>
        <v>5831.832228992128</v>
      </c>
      <c r="AR282" s="527">
        <f t="shared" si="397"/>
        <v>5831.832228992128</v>
      </c>
      <c r="AS282" s="527">
        <f t="shared" si="397"/>
        <v>5831.832228992128</v>
      </c>
      <c r="AT282" s="527">
        <f t="shared" si="397"/>
        <v>5831.832228992128</v>
      </c>
      <c r="AU282" s="527">
        <f t="shared" si="397"/>
        <v>5831.832228992128</v>
      </c>
      <c r="AV282" s="527">
        <f t="shared" si="397"/>
        <v>6063.0362089390264</v>
      </c>
      <c r="AW282" s="527">
        <f t="shared" si="397"/>
        <v>6063.0362089390264</v>
      </c>
      <c r="AX282" s="527">
        <f t="shared" ref="AX282:BY282" si="398">($R155*AX$590*AX490)+((($R155*AX$590)+AX213)*AX482)</f>
        <v>6063.0362089390264</v>
      </c>
      <c r="AY282" s="527">
        <f t="shared" si="398"/>
        <v>6063.0362089390264</v>
      </c>
      <c r="AZ282" s="527">
        <f t="shared" si="398"/>
        <v>6063.0362089390264</v>
      </c>
      <c r="BA282" s="527">
        <f t="shared" si="398"/>
        <v>6063.0362089390264</v>
      </c>
      <c r="BB282" s="527">
        <f t="shared" si="398"/>
        <v>5854.3568888438813</v>
      </c>
      <c r="BC282" s="527">
        <f t="shared" si="398"/>
        <v>5854.3568888438813</v>
      </c>
      <c r="BD282" s="527">
        <f t="shared" si="398"/>
        <v>5854.3568888438813</v>
      </c>
      <c r="BE282" s="527">
        <f t="shared" si="398"/>
        <v>5854.3568888438813</v>
      </c>
      <c r="BF282" s="527">
        <f t="shared" si="398"/>
        <v>5854.3568888438813</v>
      </c>
      <c r="BG282" s="527">
        <f t="shared" si="398"/>
        <v>5854.3568888438813</v>
      </c>
      <c r="BH282" s="527">
        <f t="shared" si="398"/>
        <v>6084.2952523388058</v>
      </c>
      <c r="BI282" s="527">
        <f t="shared" si="398"/>
        <v>6084.2952523388058</v>
      </c>
      <c r="BJ282" s="527">
        <f t="shared" si="398"/>
        <v>6084.2952523388058</v>
      </c>
      <c r="BK282" s="527">
        <f t="shared" si="398"/>
        <v>6084.2952523388058</v>
      </c>
      <c r="BL282" s="527">
        <f t="shared" si="398"/>
        <v>6084.2952523388058</v>
      </c>
      <c r="BM282" s="527">
        <f t="shared" si="398"/>
        <v>6084.2952523388058</v>
      </c>
      <c r="BN282" s="527">
        <f t="shared" si="398"/>
        <v>5881.7165770148858</v>
      </c>
      <c r="BO282" s="527">
        <f t="shared" si="398"/>
        <v>5881.7165770148858</v>
      </c>
      <c r="BP282" s="527">
        <f t="shared" si="398"/>
        <v>5881.7165770148858</v>
      </c>
      <c r="BQ282" s="527">
        <f t="shared" si="398"/>
        <v>5881.7165770148858</v>
      </c>
      <c r="BR282" s="527">
        <f t="shared" si="398"/>
        <v>5881.7165770148858</v>
      </c>
      <c r="BS282" s="527">
        <f t="shared" si="398"/>
        <v>5881.7165770148858</v>
      </c>
      <c r="BT282" s="527">
        <f t="shared" si="398"/>
        <v>6110.4779901511811</v>
      </c>
      <c r="BU282" s="527">
        <f t="shared" si="398"/>
        <v>6110.4779901511811</v>
      </c>
      <c r="BV282" s="527">
        <f t="shared" si="398"/>
        <v>6110.4779901511811</v>
      </c>
      <c r="BW282" s="527">
        <f t="shared" si="398"/>
        <v>6110.4779901511811</v>
      </c>
      <c r="BX282" s="527">
        <f t="shared" si="398"/>
        <v>6110.4779901511811</v>
      </c>
      <c r="BY282" s="527">
        <f t="shared" si="398"/>
        <v>6110.4779901511811</v>
      </c>
    </row>
    <row r="283" spans="1:77" x14ac:dyDescent="0.3">
      <c r="A283" s="551"/>
      <c r="B283" s="548"/>
      <c r="C283" s="525"/>
      <c r="D283" s="525"/>
      <c r="E283" s="626" t="str">
        <f>"WSM net comm.: "&amp;E$156</f>
        <v>WSM net comm.: FY28 Tranche</v>
      </c>
      <c r="F283" s="525"/>
      <c r="G283" s="525"/>
      <c r="H283" s="525"/>
      <c r="I283" s="525"/>
      <c r="J283" s="525"/>
      <c r="K283" s="525"/>
      <c r="L283" s="525"/>
      <c r="M283" s="525"/>
      <c r="N283" s="525"/>
      <c r="O283" s="525"/>
      <c r="P283" s="565"/>
      <c r="Q283" s="525"/>
      <c r="R283" s="527">
        <f t="shared" ref="R283:AW283" si="399">($R156*R$590*R491)+((($R156*R$590)+R214)*R483)</f>
        <v>5118.5976441777875</v>
      </c>
      <c r="S283" s="527">
        <f t="shared" si="399"/>
        <v>5118.5976441777875</v>
      </c>
      <c r="T283" s="527">
        <f t="shared" si="399"/>
        <v>5118.5976441777875</v>
      </c>
      <c r="U283" s="527">
        <f t="shared" si="399"/>
        <v>5118.5976441777875</v>
      </c>
      <c r="V283" s="527">
        <f t="shared" si="399"/>
        <v>5118.5976441777875</v>
      </c>
      <c r="W283" s="527">
        <f t="shared" si="399"/>
        <v>5118.5976441777875</v>
      </c>
      <c r="X283" s="527">
        <f t="shared" si="399"/>
        <v>5118.5976441777875</v>
      </c>
      <c r="Y283" s="527">
        <f t="shared" si="399"/>
        <v>5118.5976441777875</v>
      </c>
      <c r="Z283" s="527">
        <f t="shared" si="399"/>
        <v>5118.5976441777875</v>
      </c>
      <c r="AA283" s="527">
        <f t="shared" si="399"/>
        <v>5118.5976441777875</v>
      </c>
      <c r="AB283" s="527">
        <f t="shared" si="399"/>
        <v>5118.5976441777875</v>
      </c>
      <c r="AC283" s="527">
        <f t="shared" si="399"/>
        <v>5118.5976441777875</v>
      </c>
      <c r="AD283" s="527">
        <f t="shared" si="399"/>
        <v>5118.5976441777875</v>
      </c>
      <c r="AE283" s="527">
        <f t="shared" si="399"/>
        <v>5118.5976441777875</v>
      </c>
      <c r="AF283" s="527">
        <f t="shared" si="399"/>
        <v>5118.5976441777875</v>
      </c>
      <c r="AG283" s="527">
        <f t="shared" si="399"/>
        <v>5118.5976441777875</v>
      </c>
      <c r="AH283" s="527">
        <f t="shared" si="399"/>
        <v>5118.5976441777875</v>
      </c>
      <c r="AI283" s="527">
        <f t="shared" si="399"/>
        <v>5118.5976441777875</v>
      </c>
      <c r="AJ283" s="527">
        <f t="shared" si="399"/>
        <v>6042.1133495033446</v>
      </c>
      <c r="AK283" s="527">
        <f t="shared" si="399"/>
        <v>6042.1133495033446</v>
      </c>
      <c r="AL283" s="527">
        <f t="shared" si="399"/>
        <v>6042.1133495033446</v>
      </c>
      <c r="AM283" s="527">
        <f t="shared" si="399"/>
        <v>6042.1133495033446</v>
      </c>
      <c r="AN283" s="527">
        <f t="shared" si="399"/>
        <v>6042.1133495033446</v>
      </c>
      <c r="AO283" s="527">
        <f t="shared" si="399"/>
        <v>6042.1133495033446</v>
      </c>
      <c r="AP283" s="527">
        <f t="shared" si="399"/>
        <v>5815.7047055293542</v>
      </c>
      <c r="AQ283" s="527">
        <f t="shared" si="399"/>
        <v>5815.7047055293542</v>
      </c>
      <c r="AR283" s="527">
        <f t="shared" si="399"/>
        <v>5815.7047055293542</v>
      </c>
      <c r="AS283" s="527">
        <f t="shared" si="399"/>
        <v>5815.7047055293542</v>
      </c>
      <c r="AT283" s="527">
        <f t="shared" si="399"/>
        <v>5815.7047055293542</v>
      </c>
      <c r="AU283" s="527">
        <f t="shared" si="399"/>
        <v>5815.7047055293542</v>
      </c>
      <c r="AV283" s="527">
        <f t="shared" si="399"/>
        <v>6046.2635845377417</v>
      </c>
      <c r="AW283" s="527">
        <f t="shared" si="399"/>
        <v>6046.2635845377417</v>
      </c>
      <c r="AX283" s="527">
        <f t="shared" ref="AX283:BY283" si="400">($R156*AX$590*AX491)+((($R156*AX$590)+AX214)*AX483)</f>
        <v>6046.2635845377417</v>
      </c>
      <c r="AY283" s="527">
        <f t="shared" si="400"/>
        <v>6046.2635845377417</v>
      </c>
      <c r="AZ283" s="527">
        <f t="shared" si="400"/>
        <v>6046.2635845377417</v>
      </c>
      <c r="BA283" s="527">
        <f t="shared" si="400"/>
        <v>6046.2635845377417</v>
      </c>
      <c r="BB283" s="527">
        <f t="shared" si="400"/>
        <v>5838.3176478537052</v>
      </c>
      <c r="BC283" s="527">
        <f t="shared" si="400"/>
        <v>5838.3176478537052</v>
      </c>
      <c r="BD283" s="527">
        <f t="shared" si="400"/>
        <v>5838.3176478537052</v>
      </c>
      <c r="BE283" s="527">
        <f t="shared" si="400"/>
        <v>5838.3176478537052</v>
      </c>
      <c r="BF283" s="527">
        <f t="shared" si="400"/>
        <v>5838.3176478537052</v>
      </c>
      <c r="BG283" s="527">
        <f t="shared" si="400"/>
        <v>5838.3176478537052</v>
      </c>
      <c r="BH283" s="527">
        <f t="shared" si="400"/>
        <v>6067.6144417090209</v>
      </c>
      <c r="BI283" s="527">
        <f t="shared" si="400"/>
        <v>6067.6144417090209</v>
      </c>
      <c r="BJ283" s="527">
        <f t="shared" si="400"/>
        <v>6067.6144417090209</v>
      </c>
      <c r="BK283" s="527">
        <f t="shared" si="400"/>
        <v>6067.6144417090209</v>
      </c>
      <c r="BL283" s="527">
        <f t="shared" si="400"/>
        <v>6067.6144417090209</v>
      </c>
      <c r="BM283" s="527">
        <f t="shared" si="400"/>
        <v>6067.6144417090209</v>
      </c>
      <c r="BN283" s="527">
        <f t="shared" si="400"/>
        <v>5865.759433636209</v>
      </c>
      <c r="BO283" s="527">
        <f t="shared" si="400"/>
        <v>5865.759433636209</v>
      </c>
      <c r="BP283" s="527">
        <f t="shared" si="400"/>
        <v>5865.759433636209</v>
      </c>
      <c r="BQ283" s="527">
        <f t="shared" si="400"/>
        <v>5865.759433636209</v>
      </c>
      <c r="BR283" s="527">
        <f t="shared" si="400"/>
        <v>5865.759433636209</v>
      </c>
      <c r="BS283" s="527">
        <f t="shared" si="400"/>
        <v>5865.759433636209</v>
      </c>
      <c r="BT283" s="527">
        <f t="shared" si="400"/>
        <v>6093.8825610373578</v>
      </c>
      <c r="BU283" s="527">
        <f t="shared" si="400"/>
        <v>6093.8825610373578</v>
      </c>
      <c r="BV283" s="527">
        <f t="shared" si="400"/>
        <v>6093.8825610373578</v>
      </c>
      <c r="BW283" s="527">
        <f t="shared" si="400"/>
        <v>6093.8825610373578</v>
      </c>
      <c r="BX283" s="527">
        <f t="shared" si="400"/>
        <v>6093.8825610373578</v>
      </c>
      <c r="BY283" s="527">
        <f t="shared" si="400"/>
        <v>6093.8825610373578</v>
      </c>
    </row>
    <row r="284" spans="1:77" x14ac:dyDescent="0.3">
      <c r="A284" s="551"/>
      <c r="B284" s="548"/>
      <c r="C284" s="525"/>
      <c r="D284" s="525"/>
      <c r="E284" s="626" t="str">
        <f>"WSM net comm.: "&amp;E$157</f>
        <v>WSM net comm.: FY29 Tranche</v>
      </c>
      <c r="F284" s="525"/>
      <c r="G284" s="525"/>
      <c r="H284" s="525"/>
      <c r="I284" s="525"/>
      <c r="J284" s="525"/>
      <c r="K284" s="525"/>
      <c r="L284" s="525"/>
      <c r="M284" s="525"/>
      <c r="N284" s="525"/>
      <c r="O284" s="525"/>
      <c r="P284" s="565"/>
      <c r="Q284" s="525"/>
      <c r="R284" s="527">
        <f t="shared" ref="R284:AW284" si="401">($R157*R$590*R492)+((($R157*R$590)+R215)*R484)</f>
        <v>5118.5976441777875</v>
      </c>
      <c r="S284" s="527">
        <f t="shared" si="401"/>
        <v>5118.5976441777875</v>
      </c>
      <c r="T284" s="527">
        <f t="shared" si="401"/>
        <v>5118.5976441777875</v>
      </c>
      <c r="U284" s="527">
        <f t="shared" si="401"/>
        <v>5118.5976441777875</v>
      </c>
      <c r="V284" s="527">
        <f t="shared" si="401"/>
        <v>5118.5976441777875</v>
      </c>
      <c r="W284" s="527">
        <f t="shared" si="401"/>
        <v>5118.5976441777875</v>
      </c>
      <c r="X284" s="527">
        <f t="shared" si="401"/>
        <v>5118.5976441777875</v>
      </c>
      <c r="Y284" s="527">
        <f t="shared" si="401"/>
        <v>5118.5976441777875</v>
      </c>
      <c r="Z284" s="527">
        <f t="shared" si="401"/>
        <v>5118.5976441777875</v>
      </c>
      <c r="AA284" s="527">
        <f t="shared" si="401"/>
        <v>5118.5976441777875</v>
      </c>
      <c r="AB284" s="527">
        <f t="shared" si="401"/>
        <v>5118.5976441777875</v>
      </c>
      <c r="AC284" s="527">
        <f t="shared" si="401"/>
        <v>5118.5976441777875</v>
      </c>
      <c r="AD284" s="527">
        <f t="shared" si="401"/>
        <v>5118.5976441777875</v>
      </c>
      <c r="AE284" s="527">
        <f t="shared" si="401"/>
        <v>5118.5976441777875</v>
      </c>
      <c r="AF284" s="527">
        <f t="shared" si="401"/>
        <v>5118.5976441777875</v>
      </c>
      <c r="AG284" s="527">
        <f t="shared" si="401"/>
        <v>5118.5976441777875</v>
      </c>
      <c r="AH284" s="527">
        <f t="shared" si="401"/>
        <v>5118.5976441777875</v>
      </c>
      <c r="AI284" s="527">
        <f t="shared" si="401"/>
        <v>5118.5976441777875</v>
      </c>
      <c r="AJ284" s="527">
        <f t="shared" si="401"/>
        <v>5118.5976441777875</v>
      </c>
      <c r="AK284" s="527">
        <f t="shared" si="401"/>
        <v>5118.5976441777875</v>
      </c>
      <c r="AL284" s="527">
        <f t="shared" si="401"/>
        <v>5118.5976441777875</v>
      </c>
      <c r="AM284" s="527">
        <f t="shared" si="401"/>
        <v>5118.5976441777875</v>
      </c>
      <c r="AN284" s="527">
        <f t="shared" si="401"/>
        <v>5118.5976441777875</v>
      </c>
      <c r="AO284" s="527">
        <f t="shared" si="401"/>
        <v>5118.5976441777875</v>
      </c>
      <c r="AP284" s="527">
        <f t="shared" si="401"/>
        <v>5118.5976441777875</v>
      </c>
      <c r="AQ284" s="527">
        <f t="shared" si="401"/>
        <v>5118.5976441777875</v>
      </c>
      <c r="AR284" s="527">
        <f t="shared" si="401"/>
        <v>5118.5976441777875</v>
      </c>
      <c r="AS284" s="527">
        <f t="shared" si="401"/>
        <v>5118.5976441777875</v>
      </c>
      <c r="AT284" s="527">
        <f t="shared" si="401"/>
        <v>5118.5976441777875</v>
      </c>
      <c r="AU284" s="527">
        <f t="shared" si="401"/>
        <v>5118.5976441777875</v>
      </c>
      <c r="AV284" s="527">
        <f t="shared" si="401"/>
        <v>6019.2497385351944</v>
      </c>
      <c r="AW284" s="527">
        <f t="shared" si="401"/>
        <v>6019.2497385351944</v>
      </c>
      <c r="AX284" s="527">
        <f t="shared" ref="AX284:BY284" si="402">($R157*AX$590*AX492)+((($R157*AX$590)+AX215)*AX484)</f>
        <v>6019.2497385351944</v>
      </c>
      <c r="AY284" s="527">
        <f t="shared" si="402"/>
        <v>6019.2497385351944</v>
      </c>
      <c r="AZ284" s="527">
        <f t="shared" si="402"/>
        <v>6019.2497385351944</v>
      </c>
      <c r="BA284" s="527">
        <f t="shared" si="402"/>
        <v>6019.2497385351944</v>
      </c>
      <c r="BB284" s="527">
        <f t="shared" si="402"/>
        <v>5812.4849829266122</v>
      </c>
      <c r="BC284" s="527">
        <f t="shared" si="402"/>
        <v>5812.4849829266122</v>
      </c>
      <c r="BD284" s="527">
        <f t="shared" si="402"/>
        <v>5812.4849829266122</v>
      </c>
      <c r="BE284" s="527">
        <f t="shared" si="402"/>
        <v>5812.4849829266122</v>
      </c>
      <c r="BF284" s="527">
        <f t="shared" si="402"/>
        <v>5812.4849829266122</v>
      </c>
      <c r="BG284" s="527">
        <f t="shared" si="402"/>
        <v>5812.4849829266122</v>
      </c>
      <c r="BH284" s="527">
        <f t="shared" si="402"/>
        <v>6040.7484701848434</v>
      </c>
      <c r="BI284" s="527">
        <f t="shared" si="402"/>
        <v>6040.7484701848434</v>
      </c>
      <c r="BJ284" s="527">
        <f t="shared" si="402"/>
        <v>6040.7484701848434</v>
      </c>
      <c r="BK284" s="527">
        <f t="shared" si="402"/>
        <v>6040.7484701848434</v>
      </c>
      <c r="BL284" s="527">
        <f t="shared" si="402"/>
        <v>6040.7484701848434</v>
      </c>
      <c r="BM284" s="527">
        <f t="shared" si="402"/>
        <v>6040.7484701848434</v>
      </c>
      <c r="BN284" s="527">
        <f t="shared" si="402"/>
        <v>5840.0589944229469</v>
      </c>
      <c r="BO284" s="527">
        <f t="shared" si="402"/>
        <v>5840.0589944229469</v>
      </c>
      <c r="BP284" s="527">
        <f t="shared" si="402"/>
        <v>5840.0589944229469</v>
      </c>
      <c r="BQ284" s="527">
        <f t="shared" si="402"/>
        <v>5840.0589944229469</v>
      </c>
      <c r="BR284" s="527">
        <f t="shared" si="402"/>
        <v>5840.0589944229469</v>
      </c>
      <c r="BS284" s="527">
        <f t="shared" si="402"/>
        <v>5840.0589944229469</v>
      </c>
      <c r="BT284" s="527">
        <f t="shared" si="402"/>
        <v>6067.1541042555646</v>
      </c>
      <c r="BU284" s="527">
        <f t="shared" si="402"/>
        <v>6067.1541042555646</v>
      </c>
      <c r="BV284" s="527">
        <f t="shared" si="402"/>
        <v>6067.1541042555646</v>
      </c>
      <c r="BW284" s="527">
        <f t="shared" si="402"/>
        <v>6067.1541042555646</v>
      </c>
      <c r="BX284" s="527">
        <f t="shared" si="402"/>
        <v>6067.1541042555646</v>
      </c>
      <c r="BY284" s="527">
        <f t="shared" si="402"/>
        <v>6067.1541042555646</v>
      </c>
    </row>
    <row r="285" spans="1:77" x14ac:dyDescent="0.3">
      <c r="A285" s="551"/>
      <c r="B285" s="548"/>
      <c r="C285" s="525"/>
      <c r="D285" s="525"/>
      <c r="E285" s="626" t="str">
        <f>"WSM net comm.: "&amp;E$158</f>
        <v>WSM net comm.: FY30 Tranche</v>
      </c>
      <c r="F285" s="525"/>
      <c r="G285" s="525"/>
      <c r="H285" s="525"/>
      <c r="I285" s="525"/>
      <c r="J285" s="525"/>
      <c r="K285" s="525"/>
      <c r="L285" s="525"/>
      <c r="M285" s="525"/>
      <c r="N285" s="525"/>
      <c r="O285" s="525"/>
      <c r="P285" s="565"/>
      <c r="Q285" s="525"/>
      <c r="R285" s="527">
        <f t="shared" ref="R285:AW285" si="403">($R158*R$590*R493)+((($R158*R$590)+R216)*R485)</f>
        <v>5118.5976441777875</v>
      </c>
      <c r="S285" s="527">
        <f t="shared" si="403"/>
        <v>5118.5976441777875</v>
      </c>
      <c r="T285" s="527">
        <f t="shared" si="403"/>
        <v>5118.5976441777875</v>
      </c>
      <c r="U285" s="527">
        <f t="shared" si="403"/>
        <v>5118.5976441777875</v>
      </c>
      <c r="V285" s="527">
        <f t="shared" si="403"/>
        <v>5118.5976441777875</v>
      </c>
      <c r="W285" s="527">
        <f t="shared" si="403"/>
        <v>5118.5976441777875</v>
      </c>
      <c r="X285" s="527">
        <f t="shared" si="403"/>
        <v>5118.5976441777875</v>
      </c>
      <c r="Y285" s="527">
        <f t="shared" si="403"/>
        <v>5118.5976441777875</v>
      </c>
      <c r="Z285" s="527">
        <f t="shared" si="403"/>
        <v>5118.5976441777875</v>
      </c>
      <c r="AA285" s="527">
        <f t="shared" si="403"/>
        <v>5118.5976441777875</v>
      </c>
      <c r="AB285" s="527">
        <f t="shared" si="403"/>
        <v>5118.5976441777875</v>
      </c>
      <c r="AC285" s="527">
        <f t="shared" si="403"/>
        <v>5118.5976441777875</v>
      </c>
      <c r="AD285" s="527">
        <f t="shared" si="403"/>
        <v>5118.5976441777875</v>
      </c>
      <c r="AE285" s="527">
        <f t="shared" si="403"/>
        <v>5118.5976441777875</v>
      </c>
      <c r="AF285" s="527">
        <f t="shared" si="403"/>
        <v>5118.5976441777875</v>
      </c>
      <c r="AG285" s="527">
        <f t="shared" si="403"/>
        <v>5118.5976441777875</v>
      </c>
      <c r="AH285" s="527">
        <f t="shared" si="403"/>
        <v>5118.5976441777875</v>
      </c>
      <c r="AI285" s="527">
        <f t="shared" si="403"/>
        <v>5118.5976441777875</v>
      </c>
      <c r="AJ285" s="527">
        <f t="shared" si="403"/>
        <v>5118.5976441777875</v>
      </c>
      <c r="AK285" s="527">
        <f t="shared" si="403"/>
        <v>5118.5976441777875</v>
      </c>
      <c r="AL285" s="527">
        <f t="shared" si="403"/>
        <v>5118.5976441777875</v>
      </c>
      <c r="AM285" s="527">
        <f t="shared" si="403"/>
        <v>5118.5976441777875</v>
      </c>
      <c r="AN285" s="527">
        <f t="shared" si="403"/>
        <v>5118.5976441777875</v>
      </c>
      <c r="AO285" s="527">
        <f t="shared" si="403"/>
        <v>5118.5976441777875</v>
      </c>
      <c r="AP285" s="527">
        <f t="shared" si="403"/>
        <v>5118.5976441777875</v>
      </c>
      <c r="AQ285" s="527">
        <f t="shared" si="403"/>
        <v>5118.5976441777875</v>
      </c>
      <c r="AR285" s="527">
        <f t="shared" si="403"/>
        <v>5118.5976441777875</v>
      </c>
      <c r="AS285" s="527">
        <f t="shared" si="403"/>
        <v>5118.5976441777875</v>
      </c>
      <c r="AT285" s="527">
        <f t="shared" si="403"/>
        <v>5118.5976441777875</v>
      </c>
      <c r="AU285" s="527">
        <f t="shared" si="403"/>
        <v>5118.5976441777875</v>
      </c>
      <c r="AV285" s="527">
        <f t="shared" si="403"/>
        <v>5118.5976441777875</v>
      </c>
      <c r="AW285" s="527">
        <f t="shared" si="403"/>
        <v>5118.5976441777875</v>
      </c>
      <c r="AX285" s="527">
        <f t="shared" ref="AX285:BY285" si="404">($R158*AX$590*AX493)+((($R158*AX$590)+AX216)*AX485)</f>
        <v>5118.5976441777875</v>
      </c>
      <c r="AY285" s="527">
        <f t="shared" si="404"/>
        <v>5118.5976441777875</v>
      </c>
      <c r="AZ285" s="527">
        <f t="shared" si="404"/>
        <v>5118.5976441777875</v>
      </c>
      <c r="BA285" s="527">
        <f t="shared" si="404"/>
        <v>5118.5976441777875</v>
      </c>
      <c r="BB285" s="527">
        <f t="shared" si="404"/>
        <v>5118.5976441777875</v>
      </c>
      <c r="BC285" s="527">
        <f t="shared" si="404"/>
        <v>5118.5976441777875</v>
      </c>
      <c r="BD285" s="527">
        <f t="shared" si="404"/>
        <v>5118.5976441777875</v>
      </c>
      <c r="BE285" s="527">
        <f t="shared" si="404"/>
        <v>5118.5976441777875</v>
      </c>
      <c r="BF285" s="527">
        <f t="shared" si="404"/>
        <v>5118.5976441777875</v>
      </c>
      <c r="BG285" s="527">
        <f t="shared" si="404"/>
        <v>5118.5976441777875</v>
      </c>
      <c r="BH285" s="527">
        <f t="shared" si="404"/>
        <v>5997.6777469730232</v>
      </c>
      <c r="BI285" s="527">
        <f t="shared" si="404"/>
        <v>5997.6777469730232</v>
      </c>
      <c r="BJ285" s="527">
        <f t="shared" si="404"/>
        <v>5997.6777469730232</v>
      </c>
      <c r="BK285" s="527">
        <f t="shared" si="404"/>
        <v>5997.6777469730232</v>
      </c>
      <c r="BL285" s="527">
        <f t="shared" si="404"/>
        <v>5997.6777469730232</v>
      </c>
      <c r="BM285" s="527">
        <f t="shared" si="404"/>
        <v>5997.6777469730232</v>
      </c>
      <c r="BN285" s="527">
        <f t="shared" si="404"/>
        <v>5798.8568178040787</v>
      </c>
      <c r="BO285" s="527">
        <f t="shared" si="404"/>
        <v>5798.8568178040787</v>
      </c>
      <c r="BP285" s="527">
        <f t="shared" si="404"/>
        <v>5798.8568178040787</v>
      </c>
      <c r="BQ285" s="527">
        <f t="shared" si="404"/>
        <v>5798.8568178040787</v>
      </c>
      <c r="BR285" s="527">
        <f t="shared" si="404"/>
        <v>5798.8568178040787</v>
      </c>
      <c r="BS285" s="527">
        <f t="shared" si="404"/>
        <v>5798.8568178040787</v>
      </c>
      <c r="BT285" s="527">
        <f t="shared" si="404"/>
        <v>6024.3038405719417</v>
      </c>
      <c r="BU285" s="527">
        <f t="shared" si="404"/>
        <v>6024.3038405719417</v>
      </c>
      <c r="BV285" s="527">
        <f t="shared" si="404"/>
        <v>6024.3038405719417</v>
      </c>
      <c r="BW285" s="527">
        <f t="shared" si="404"/>
        <v>6024.3038405719417</v>
      </c>
      <c r="BX285" s="527">
        <f t="shared" si="404"/>
        <v>6024.3038405719417</v>
      </c>
      <c r="BY285" s="527">
        <f t="shared" si="404"/>
        <v>6024.3038405719417</v>
      </c>
    </row>
    <row r="286" spans="1:77" x14ac:dyDescent="0.3">
      <c r="A286" s="551"/>
      <c r="B286" s="548"/>
      <c r="C286" s="525"/>
      <c r="D286" s="525"/>
      <c r="E286" s="626" t="str">
        <f>"WSM net comm.: "&amp;E$159</f>
        <v>WSM net comm.: FY31 Tranche</v>
      </c>
      <c r="F286" s="525"/>
      <c r="G286" s="525"/>
      <c r="H286" s="525"/>
      <c r="I286" s="525"/>
      <c r="J286" s="525"/>
      <c r="K286" s="525"/>
      <c r="L286" s="525"/>
      <c r="M286" s="525"/>
      <c r="N286" s="525"/>
      <c r="O286" s="525"/>
      <c r="P286" s="565"/>
      <c r="Q286" s="525"/>
      <c r="R286" s="527">
        <f t="shared" ref="R286:AW286" si="405">($R159*R$590*R494)+((($R159*R$590)+R217)*R486)</f>
        <v>5118.5976441777875</v>
      </c>
      <c r="S286" s="527">
        <f t="shared" si="405"/>
        <v>5118.5976441777875</v>
      </c>
      <c r="T286" s="527">
        <f t="shared" si="405"/>
        <v>5118.5976441777875</v>
      </c>
      <c r="U286" s="527">
        <f t="shared" si="405"/>
        <v>5118.5976441777875</v>
      </c>
      <c r="V286" s="527">
        <f t="shared" si="405"/>
        <v>5118.5976441777875</v>
      </c>
      <c r="W286" s="527">
        <f t="shared" si="405"/>
        <v>5118.5976441777875</v>
      </c>
      <c r="X286" s="527">
        <f t="shared" si="405"/>
        <v>5118.5976441777875</v>
      </c>
      <c r="Y286" s="527">
        <f t="shared" si="405"/>
        <v>5118.5976441777875</v>
      </c>
      <c r="Z286" s="527">
        <f t="shared" si="405"/>
        <v>5118.5976441777875</v>
      </c>
      <c r="AA286" s="527">
        <f t="shared" si="405"/>
        <v>5118.5976441777875</v>
      </c>
      <c r="AB286" s="527">
        <f t="shared" si="405"/>
        <v>5118.5976441777875</v>
      </c>
      <c r="AC286" s="527">
        <f t="shared" si="405"/>
        <v>5118.5976441777875</v>
      </c>
      <c r="AD286" s="527">
        <f t="shared" si="405"/>
        <v>5118.5976441777875</v>
      </c>
      <c r="AE286" s="527">
        <f t="shared" si="405"/>
        <v>5118.5976441777875</v>
      </c>
      <c r="AF286" s="527">
        <f t="shared" si="405"/>
        <v>5118.5976441777875</v>
      </c>
      <c r="AG286" s="527">
        <f t="shared" si="405"/>
        <v>5118.5976441777875</v>
      </c>
      <c r="AH286" s="527">
        <f t="shared" si="405"/>
        <v>5118.5976441777875</v>
      </c>
      <c r="AI286" s="527">
        <f t="shared" si="405"/>
        <v>5118.5976441777875</v>
      </c>
      <c r="AJ286" s="527">
        <f t="shared" si="405"/>
        <v>5118.5976441777875</v>
      </c>
      <c r="AK286" s="527">
        <f t="shared" si="405"/>
        <v>5118.5976441777875</v>
      </c>
      <c r="AL286" s="527">
        <f t="shared" si="405"/>
        <v>5118.5976441777875</v>
      </c>
      <c r="AM286" s="527">
        <f t="shared" si="405"/>
        <v>5118.5976441777875</v>
      </c>
      <c r="AN286" s="527">
        <f t="shared" si="405"/>
        <v>5118.5976441777875</v>
      </c>
      <c r="AO286" s="527">
        <f t="shared" si="405"/>
        <v>5118.5976441777875</v>
      </c>
      <c r="AP286" s="527">
        <f t="shared" si="405"/>
        <v>5118.5976441777875</v>
      </c>
      <c r="AQ286" s="527">
        <f t="shared" si="405"/>
        <v>5118.5976441777875</v>
      </c>
      <c r="AR286" s="527">
        <f t="shared" si="405"/>
        <v>5118.5976441777875</v>
      </c>
      <c r="AS286" s="527">
        <f t="shared" si="405"/>
        <v>5118.5976441777875</v>
      </c>
      <c r="AT286" s="527">
        <f t="shared" si="405"/>
        <v>5118.5976441777875</v>
      </c>
      <c r="AU286" s="527">
        <f t="shared" si="405"/>
        <v>5118.5976441777875</v>
      </c>
      <c r="AV286" s="527">
        <f t="shared" si="405"/>
        <v>5118.5976441777875</v>
      </c>
      <c r="AW286" s="527">
        <f t="shared" si="405"/>
        <v>5118.5976441777875</v>
      </c>
      <c r="AX286" s="527">
        <f t="shared" ref="AX286:BY286" si="406">($R159*AX$590*AX494)+((($R159*AX$590)+AX217)*AX486)</f>
        <v>5118.5976441777875</v>
      </c>
      <c r="AY286" s="527">
        <f t="shared" si="406"/>
        <v>5118.5976441777875</v>
      </c>
      <c r="AZ286" s="527">
        <f t="shared" si="406"/>
        <v>5118.5976441777875</v>
      </c>
      <c r="BA286" s="527">
        <f t="shared" si="406"/>
        <v>5118.5976441777875</v>
      </c>
      <c r="BB286" s="527">
        <f t="shared" si="406"/>
        <v>5118.5976441777875</v>
      </c>
      <c r="BC286" s="527">
        <f t="shared" si="406"/>
        <v>5118.5976441777875</v>
      </c>
      <c r="BD286" s="527">
        <f t="shared" si="406"/>
        <v>5118.5976441777875</v>
      </c>
      <c r="BE286" s="527">
        <f t="shared" si="406"/>
        <v>5118.5976441777875</v>
      </c>
      <c r="BF286" s="527">
        <f t="shared" si="406"/>
        <v>5118.5976441777875</v>
      </c>
      <c r="BG286" s="527">
        <f t="shared" si="406"/>
        <v>5118.5976441777875</v>
      </c>
      <c r="BH286" s="527">
        <f t="shared" si="406"/>
        <v>5118.5976441777875</v>
      </c>
      <c r="BI286" s="527">
        <f t="shared" si="406"/>
        <v>5118.5976441777875</v>
      </c>
      <c r="BJ286" s="527">
        <f t="shared" si="406"/>
        <v>5118.5976441777875</v>
      </c>
      <c r="BK286" s="527">
        <f t="shared" si="406"/>
        <v>5118.5976441777875</v>
      </c>
      <c r="BL286" s="527">
        <f t="shared" si="406"/>
        <v>5118.5976441777875</v>
      </c>
      <c r="BM286" s="527">
        <f t="shared" si="406"/>
        <v>5118.5976441777875</v>
      </c>
      <c r="BN286" s="527">
        <f t="shared" si="406"/>
        <v>5118.5976441777875</v>
      </c>
      <c r="BO286" s="527">
        <f t="shared" si="406"/>
        <v>5118.5976441777875</v>
      </c>
      <c r="BP286" s="527">
        <f t="shared" si="406"/>
        <v>5118.5976441777875</v>
      </c>
      <c r="BQ286" s="527">
        <f t="shared" si="406"/>
        <v>5118.5976441777875</v>
      </c>
      <c r="BR286" s="527">
        <f t="shared" si="406"/>
        <v>5118.5976441777875</v>
      </c>
      <c r="BS286" s="527">
        <f t="shared" si="406"/>
        <v>5118.5976441777875</v>
      </c>
      <c r="BT286" s="527">
        <f t="shared" si="406"/>
        <v>5975.9522428226455</v>
      </c>
      <c r="BU286" s="527">
        <f t="shared" si="406"/>
        <v>5975.9522428226455</v>
      </c>
      <c r="BV286" s="527">
        <f t="shared" si="406"/>
        <v>5975.9522428226455</v>
      </c>
      <c r="BW286" s="527">
        <f t="shared" si="406"/>
        <v>5975.9522428226455</v>
      </c>
      <c r="BX286" s="527">
        <f t="shared" si="406"/>
        <v>5975.9522428226455</v>
      </c>
      <c r="BY286" s="527">
        <f t="shared" si="406"/>
        <v>5975.9522428226455</v>
      </c>
    </row>
    <row r="287" spans="1:77" x14ac:dyDescent="0.3">
      <c r="A287" s="551"/>
      <c r="B287" s="548"/>
      <c r="C287" s="525"/>
      <c r="D287" s="525"/>
      <c r="E287" s="626" t="str">
        <f>"WSM net comm.: "&amp;E$160</f>
        <v>WSM net comm.: Uninvested Tranche</v>
      </c>
      <c r="F287" s="525"/>
      <c r="G287" s="525"/>
      <c r="H287" s="525"/>
      <c r="I287" s="525"/>
      <c r="J287" s="525"/>
      <c r="K287" s="525"/>
      <c r="L287" s="525"/>
      <c r="M287" s="525"/>
      <c r="N287" s="525"/>
      <c r="O287" s="525"/>
      <c r="P287" s="565"/>
      <c r="Q287" s="525"/>
      <c r="R287" s="527">
        <f t="shared" ref="R287:AW287" si="407">($R160*R$590*R495)+((($R160*R$590)+R218)*R487)</f>
        <v>11196.932346638911</v>
      </c>
      <c r="S287" s="527">
        <f t="shared" si="407"/>
        <v>11196.932346638911</v>
      </c>
      <c r="T287" s="527">
        <f t="shared" si="407"/>
        <v>11196.932346638911</v>
      </c>
      <c r="U287" s="527">
        <f t="shared" si="407"/>
        <v>11196.932346638911</v>
      </c>
      <c r="V287" s="527">
        <f t="shared" si="407"/>
        <v>11196.932346638911</v>
      </c>
      <c r="W287" s="527">
        <f t="shared" si="407"/>
        <v>11196.932346638911</v>
      </c>
      <c r="X287" s="527">
        <f t="shared" si="407"/>
        <v>11196.932346638911</v>
      </c>
      <c r="Y287" s="527">
        <f t="shared" si="407"/>
        <v>11196.932346638911</v>
      </c>
      <c r="Z287" s="527">
        <f t="shared" si="407"/>
        <v>11196.932346638911</v>
      </c>
      <c r="AA287" s="527">
        <f t="shared" si="407"/>
        <v>11196.932346638911</v>
      </c>
      <c r="AB287" s="527">
        <f t="shared" si="407"/>
        <v>11196.932346638911</v>
      </c>
      <c r="AC287" s="527">
        <f t="shared" si="407"/>
        <v>11196.932346638911</v>
      </c>
      <c r="AD287" s="527">
        <f t="shared" si="407"/>
        <v>11196.932346638911</v>
      </c>
      <c r="AE287" s="527">
        <f t="shared" si="407"/>
        <v>11196.932346638911</v>
      </c>
      <c r="AF287" s="527">
        <f t="shared" si="407"/>
        <v>11196.932346638911</v>
      </c>
      <c r="AG287" s="527">
        <f t="shared" si="407"/>
        <v>11196.932346638911</v>
      </c>
      <c r="AH287" s="527">
        <f t="shared" si="407"/>
        <v>11196.932346638911</v>
      </c>
      <c r="AI287" s="527">
        <f t="shared" si="407"/>
        <v>11196.932346638911</v>
      </c>
      <c r="AJ287" s="527">
        <f t="shared" si="407"/>
        <v>11196.932346638911</v>
      </c>
      <c r="AK287" s="527">
        <f t="shared" si="407"/>
        <v>11196.932346638911</v>
      </c>
      <c r="AL287" s="527">
        <f t="shared" si="407"/>
        <v>11196.932346638911</v>
      </c>
      <c r="AM287" s="527">
        <f t="shared" si="407"/>
        <v>11196.932346638911</v>
      </c>
      <c r="AN287" s="527">
        <f t="shared" si="407"/>
        <v>11196.932346638911</v>
      </c>
      <c r="AO287" s="527">
        <f t="shared" si="407"/>
        <v>11196.932346638911</v>
      </c>
      <c r="AP287" s="527">
        <f t="shared" si="407"/>
        <v>11196.932346638911</v>
      </c>
      <c r="AQ287" s="527">
        <f t="shared" si="407"/>
        <v>11196.932346638911</v>
      </c>
      <c r="AR287" s="527">
        <f t="shared" si="407"/>
        <v>11196.932346638911</v>
      </c>
      <c r="AS287" s="527">
        <f t="shared" si="407"/>
        <v>11196.932346638911</v>
      </c>
      <c r="AT287" s="527">
        <f t="shared" si="407"/>
        <v>11196.932346638911</v>
      </c>
      <c r="AU287" s="527">
        <f t="shared" si="407"/>
        <v>11196.932346638911</v>
      </c>
      <c r="AV287" s="527">
        <f t="shared" si="407"/>
        <v>11196.932346638911</v>
      </c>
      <c r="AW287" s="527">
        <f t="shared" si="407"/>
        <v>11196.932346638911</v>
      </c>
      <c r="AX287" s="527">
        <f t="shared" ref="AX287:BY287" si="408">($R160*AX$590*AX495)+((($R160*AX$590)+AX218)*AX487)</f>
        <v>11196.932346638911</v>
      </c>
      <c r="AY287" s="527">
        <f t="shared" si="408"/>
        <v>11196.932346638911</v>
      </c>
      <c r="AZ287" s="527">
        <f t="shared" si="408"/>
        <v>11196.932346638911</v>
      </c>
      <c r="BA287" s="527">
        <f t="shared" si="408"/>
        <v>11196.932346638911</v>
      </c>
      <c r="BB287" s="527">
        <f t="shared" si="408"/>
        <v>11196.932346638911</v>
      </c>
      <c r="BC287" s="527">
        <f t="shared" si="408"/>
        <v>11196.932346638911</v>
      </c>
      <c r="BD287" s="527">
        <f t="shared" si="408"/>
        <v>11196.932346638911</v>
      </c>
      <c r="BE287" s="527">
        <f t="shared" si="408"/>
        <v>11196.932346638911</v>
      </c>
      <c r="BF287" s="527">
        <f t="shared" si="408"/>
        <v>11196.932346638911</v>
      </c>
      <c r="BG287" s="527">
        <f t="shared" si="408"/>
        <v>11196.932346638911</v>
      </c>
      <c r="BH287" s="527">
        <f t="shared" si="408"/>
        <v>11196.932346638911</v>
      </c>
      <c r="BI287" s="527">
        <f t="shared" si="408"/>
        <v>11196.932346638911</v>
      </c>
      <c r="BJ287" s="527">
        <f t="shared" si="408"/>
        <v>11196.932346638911</v>
      </c>
      <c r="BK287" s="527">
        <f t="shared" si="408"/>
        <v>11196.932346638911</v>
      </c>
      <c r="BL287" s="527">
        <f t="shared" si="408"/>
        <v>11196.932346638911</v>
      </c>
      <c r="BM287" s="527">
        <f t="shared" si="408"/>
        <v>11196.932346638911</v>
      </c>
      <c r="BN287" s="527">
        <f t="shared" si="408"/>
        <v>11196.932346638911</v>
      </c>
      <c r="BO287" s="527">
        <f t="shared" si="408"/>
        <v>11196.932346638911</v>
      </c>
      <c r="BP287" s="527">
        <f t="shared" si="408"/>
        <v>11196.932346638911</v>
      </c>
      <c r="BQ287" s="527">
        <f t="shared" si="408"/>
        <v>11196.932346638911</v>
      </c>
      <c r="BR287" s="527">
        <f t="shared" si="408"/>
        <v>11196.932346638911</v>
      </c>
      <c r="BS287" s="527">
        <f t="shared" si="408"/>
        <v>11196.932346638911</v>
      </c>
      <c r="BT287" s="527">
        <f t="shared" si="408"/>
        <v>11196.932346638911</v>
      </c>
      <c r="BU287" s="527">
        <f t="shared" si="408"/>
        <v>11196.932346638911</v>
      </c>
      <c r="BV287" s="527">
        <f t="shared" si="408"/>
        <v>11196.932346638911</v>
      </c>
      <c r="BW287" s="527">
        <f t="shared" si="408"/>
        <v>11196.932346638911</v>
      </c>
      <c r="BX287" s="527">
        <f t="shared" si="408"/>
        <v>11196.932346638911</v>
      </c>
      <c r="BY287" s="527">
        <f t="shared" si="408"/>
        <v>11196.932346638911</v>
      </c>
    </row>
    <row r="288" spans="1:77" x14ac:dyDescent="0.3">
      <c r="A288" s="551"/>
      <c r="B288" s="548"/>
      <c r="C288" s="525"/>
      <c r="D288" s="525"/>
      <c r="E288" s="572" t="s">
        <v>36</v>
      </c>
      <c r="F288" s="572"/>
      <c r="G288" s="572"/>
      <c r="H288" s="572"/>
      <c r="I288" s="572"/>
      <c r="J288" s="572"/>
      <c r="K288" s="572"/>
      <c r="L288" s="572"/>
      <c r="M288" s="572"/>
      <c r="N288" s="572"/>
      <c r="O288" s="572"/>
      <c r="P288" s="612"/>
      <c r="Q288" s="572"/>
      <c r="R288" s="530">
        <f t="shared" ref="R288:AW288" si="409">SUM(R282:R287)</f>
        <v>36789.92056752785</v>
      </c>
      <c r="S288" s="530">
        <f t="shared" si="409"/>
        <v>36789.92056752785</v>
      </c>
      <c r="T288" s="530">
        <f t="shared" si="409"/>
        <v>36789.92056752785</v>
      </c>
      <c r="U288" s="530">
        <f t="shared" si="409"/>
        <v>36789.92056752785</v>
      </c>
      <c r="V288" s="530">
        <f t="shared" si="409"/>
        <v>36789.92056752785</v>
      </c>
      <c r="W288" s="530">
        <f t="shared" si="409"/>
        <v>36789.92056752785</v>
      </c>
      <c r="X288" s="530">
        <f t="shared" si="409"/>
        <v>37737.717182472057</v>
      </c>
      <c r="Y288" s="530">
        <f t="shared" si="409"/>
        <v>37737.717182472057</v>
      </c>
      <c r="Z288" s="530">
        <f t="shared" si="409"/>
        <v>37737.717182472057</v>
      </c>
      <c r="AA288" s="530">
        <f t="shared" si="409"/>
        <v>37737.717182472057</v>
      </c>
      <c r="AB288" s="530">
        <f t="shared" si="409"/>
        <v>37737.717182472057</v>
      </c>
      <c r="AC288" s="530">
        <f t="shared" si="409"/>
        <v>37737.717182472057</v>
      </c>
      <c r="AD288" s="530">
        <f t="shared" si="409"/>
        <v>37497.270898218769</v>
      </c>
      <c r="AE288" s="530">
        <f t="shared" si="409"/>
        <v>37497.270898218769</v>
      </c>
      <c r="AF288" s="530">
        <f t="shared" si="409"/>
        <v>37497.270898218769</v>
      </c>
      <c r="AG288" s="530">
        <f t="shared" si="409"/>
        <v>37497.270898218769</v>
      </c>
      <c r="AH288" s="530">
        <f t="shared" si="409"/>
        <v>37497.270898218769</v>
      </c>
      <c r="AI288" s="530">
        <f t="shared" si="409"/>
        <v>37497.270898218769</v>
      </c>
      <c r="AJ288" s="530">
        <f t="shared" si="409"/>
        <v>38653.860235966567</v>
      </c>
      <c r="AK288" s="530">
        <f t="shared" si="409"/>
        <v>38653.860235966567</v>
      </c>
      <c r="AL288" s="530">
        <f t="shared" si="409"/>
        <v>38653.860235966567</v>
      </c>
      <c r="AM288" s="530">
        <f t="shared" si="409"/>
        <v>38653.860235966567</v>
      </c>
      <c r="AN288" s="530">
        <f t="shared" si="409"/>
        <v>38653.860235966567</v>
      </c>
      <c r="AO288" s="530">
        <f t="shared" si="409"/>
        <v>38653.860235966567</v>
      </c>
      <c r="AP288" s="530">
        <f t="shared" si="409"/>
        <v>38200.262213693757</v>
      </c>
      <c r="AQ288" s="530">
        <f t="shared" si="409"/>
        <v>38200.262213693757</v>
      </c>
      <c r="AR288" s="530">
        <f t="shared" si="409"/>
        <v>38200.262213693757</v>
      </c>
      <c r="AS288" s="530">
        <f t="shared" si="409"/>
        <v>38200.262213693757</v>
      </c>
      <c r="AT288" s="530">
        <f t="shared" si="409"/>
        <v>38200.262213693757</v>
      </c>
      <c r="AU288" s="530">
        <f t="shared" si="409"/>
        <v>38200.262213693757</v>
      </c>
      <c r="AV288" s="530">
        <f t="shared" si="409"/>
        <v>39562.677167006448</v>
      </c>
      <c r="AW288" s="530">
        <f t="shared" si="409"/>
        <v>39562.677167006448</v>
      </c>
      <c r="AX288" s="530">
        <f t="shared" ref="AX288:BY288" si="410">SUM(AX282:AX287)</f>
        <v>39562.677167006448</v>
      </c>
      <c r="AY288" s="530">
        <f t="shared" si="410"/>
        <v>39562.677167006448</v>
      </c>
      <c r="AZ288" s="530">
        <f t="shared" si="410"/>
        <v>39562.677167006448</v>
      </c>
      <c r="BA288" s="530">
        <f t="shared" si="410"/>
        <v>39562.677167006448</v>
      </c>
      <c r="BB288" s="530">
        <f t="shared" si="410"/>
        <v>38939.287154618687</v>
      </c>
      <c r="BC288" s="530">
        <f t="shared" si="410"/>
        <v>38939.287154618687</v>
      </c>
      <c r="BD288" s="530">
        <f t="shared" si="410"/>
        <v>38939.287154618687</v>
      </c>
      <c r="BE288" s="530">
        <f t="shared" si="410"/>
        <v>38939.287154618687</v>
      </c>
      <c r="BF288" s="530">
        <f t="shared" si="410"/>
        <v>38939.287154618687</v>
      </c>
      <c r="BG288" s="530">
        <f t="shared" si="410"/>
        <v>38939.287154618687</v>
      </c>
      <c r="BH288" s="530">
        <f t="shared" si="410"/>
        <v>40505.865902022393</v>
      </c>
      <c r="BI288" s="530">
        <f t="shared" si="410"/>
        <v>40505.865902022393</v>
      </c>
      <c r="BJ288" s="530">
        <f t="shared" si="410"/>
        <v>40505.865902022393</v>
      </c>
      <c r="BK288" s="530">
        <f t="shared" si="410"/>
        <v>40505.865902022393</v>
      </c>
      <c r="BL288" s="530">
        <f t="shared" si="410"/>
        <v>40505.865902022393</v>
      </c>
      <c r="BM288" s="530">
        <f t="shared" si="410"/>
        <v>40505.865902022393</v>
      </c>
      <c r="BN288" s="530">
        <f t="shared" si="410"/>
        <v>39701.921813694818</v>
      </c>
      <c r="BO288" s="530">
        <f t="shared" si="410"/>
        <v>39701.921813694818</v>
      </c>
      <c r="BP288" s="530">
        <f t="shared" si="410"/>
        <v>39701.921813694818</v>
      </c>
      <c r="BQ288" s="530">
        <f t="shared" si="410"/>
        <v>39701.921813694818</v>
      </c>
      <c r="BR288" s="530">
        <f t="shared" si="410"/>
        <v>39701.921813694818</v>
      </c>
      <c r="BS288" s="530">
        <f t="shared" si="410"/>
        <v>39701.921813694818</v>
      </c>
      <c r="BT288" s="530">
        <f t="shared" si="410"/>
        <v>41468.703085477602</v>
      </c>
      <c r="BU288" s="530">
        <f t="shared" si="410"/>
        <v>41468.703085477602</v>
      </c>
      <c r="BV288" s="530">
        <f t="shared" si="410"/>
        <v>41468.703085477602</v>
      </c>
      <c r="BW288" s="530">
        <f t="shared" si="410"/>
        <v>41468.703085477602</v>
      </c>
      <c r="BX288" s="530">
        <f t="shared" si="410"/>
        <v>41468.703085477602</v>
      </c>
      <c r="BY288" s="530">
        <f t="shared" si="410"/>
        <v>41468.703085477602</v>
      </c>
    </row>
    <row r="289" spans="1:77" x14ac:dyDescent="0.3">
      <c r="A289" s="551"/>
      <c r="B289" s="548"/>
      <c r="C289" s="525"/>
      <c r="D289" s="525"/>
      <c r="E289" s="525"/>
      <c r="F289" s="525"/>
      <c r="G289" s="525"/>
      <c r="H289" s="525"/>
      <c r="I289" s="525"/>
      <c r="J289" s="525"/>
      <c r="K289" s="525"/>
      <c r="L289" s="525"/>
      <c r="M289" s="525"/>
      <c r="N289" s="525"/>
      <c r="O289" s="525"/>
      <c r="P289" s="565"/>
      <c r="Q289" s="525"/>
      <c r="R289" s="525"/>
      <c r="S289" s="525"/>
      <c r="T289" s="525"/>
      <c r="U289" s="525"/>
      <c r="V289" s="525"/>
      <c r="W289" s="525"/>
      <c r="X289" s="525"/>
      <c r="Y289" s="525"/>
      <c r="Z289" s="525"/>
      <c r="AA289" s="525"/>
      <c r="AB289" s="525"/>
      <c r="AC289" s="525"/>
      <c r="AD289" s="525"/>
      <c r="AE289" s="525"/>
      <c r="AF289" s="525"/>
      <c r="AG289" s="525"/>
      <c r="AH289" s="525"/>
      <c r="AI289" s="525"/>
      <c r="AJ289" s="525"/>
      <c r="AK289" s="525"/>
      <c r="AL289" s="525"/>
      <c r="AM289" s="525"/>
      <c r="AN289" s="525"/>
      <c r="AO289" s="525"/>
      <c r="AP289" s="525"/>
      <c r="AQ289" s="525"/>
      <c r="AR289" s="525"/>
      <c r="AS289" s="525"/>
      <c r="AT289" s="525"/>
      <c r="AU289" s="525"/>
      <c r="AV289" s="525"/>
      <c r="AW289" s="525"/>
      <c r="AX289" s="525"/>
      <c r="AY289" s="525"/>
      <c r="AZ289" s="525"/>
      <c r="BA289" s="525"/>
      <c r="BB289" s="525"/>
      <c r="BC289" s="525"/>
      <c r="BD289" s="525"/>
      <c r="BE289" s="525"/>
      <c r="BF289" s="525"/>
      <c r="BG289" s="525"/>
      <c r="BH289" s="525"/>
      <c r="BI289" s="525"/>
      <c r="BJ289" s="525"/>
      <c r="BK289" s="525"/>
      <c r="BL289" s="525"/>
      <c r="BM289" s="525"/>
      <c r="BN289" s="525"/>
      <c r="BO289" s="525"/>
      <c r="BP289" s="525"/>
      <c r="BQ289" s="525"/>
      <c r="BR289" s="525"/>
      <c r="BS289" s="525"/>
      <c r="BT289" s="525"/>
      <c r="BU289" s="525"/>
      <c r="BV289" s="525"/>
      <c r="BW289" s="525"/>
      <c r="BX289" s="525"/>
      <c r="BY289" s="525"/>
    </row>
    <row r="290" spans="1:77" x14ac:dyDescent="0.3">
      <c r="A290" s="551"/>
      <c r="B290" s="548"/>
      <c r="C290" s="525"/>
      <c r="D290" s="525"/>
      <c r="E290" s="627" t="str">
        <f>"WSM gross sales: "&amp;E$155</f>
        <v>WSM gross sales: FY27 Tranche</v>
      </c>
      <c r="F290" s="525"/>
      <c r="G290" s="525"/>
      <c r="H290" s="525"/>
      <c r="I290" s="525"/>
      <c r="J290" s="525"/>
      <c r="K290" s="525"/>
      <c r="L290" s="525"/>
      <c r="M290" s="525"/>
      <c r="N290" s="525"/>
      <c r="O290" s="525"/>
      <c r="P290" s="565"/>
      <c r="Q290" s="525"/>
      <c r="R290" s="527">
        <f t="shared" ref="R290:AW290" si="411">IFERROR(R282/R$224,0)</f>
        <v>12981.583826340886</v>
      </c>
      <c r="S290" s="527">
        <f t="shared" si="411"/>
        <v>12981.583826340886</v>
      </c>
      <c r="T290" s="527">
        <f t="shared" si="411"/>
        <v>12981.583826340886</v>
      </c>
      <c r="U290" s="527">
        <f t="shared" si="411"/>
        <v>12981.583826340886</v>
      </c>
      <c r="V290" s="527">
        <f t="shared" si="411"/>
        <v>12981.583826340886</v>
      </c>
      <c r="W290" s="527">
        <f t="shared" si="411"/>
        <v>12981.583826340886</v>
      </c>
      <c r="X290" s="527">
        <f t="shared" si="411"/>
        <v>15385.347916143019</v>
      </c>
      <c r="Y290" s="527">
        <f t="shared" si="411"/>
        <v>15385.347916143019</v>
      </c>
      <c r="Z290" s="527">
        <f t="shared" si="411"/>
        <v>15385.347916143019</v>
      </c>
      <c r="AA290" s="527">
        <f t="shared" si="411"/>
        <v>15385.347916143019</v>
      </c>
      <c r="AB290" s="527">
        <f t="shared" si="411"/>
        <v>15385.347916143019</v>
      </c>
      <c r="AC290" s="527">
        <f t="shared" si="411"/>
        <v>15385.347916143019</v>
      </c>
      <c r="AD290" s="527">
        <f t="shared" si="411"/>
        <v>14775.537610322885</v>
      </c>
      <c r="AE290" s="527">
        <f t="shared" si="411"/>
        <v>14775.537610322885</v>
      </c>
      <c r="AF290" s="527">
        <f t="shared" si="411"/>
        <v>14775.537610322885</v>
      </c>
      <c r="AG290" s="527">
        <f t="shared" si="411"/>
        <v>14775.537610322885</v>
      </c>
      <c r="AH290" s="527">
        <f t="shared" si="411"/>
        <v>14775.537610322885</v>
      </c>
      <c r="AI290" s="527">
        <f t="shared" si="411"/>
        <v>14775.537610322885</v>
      </c>
      <c r="AJ290" s="527">
        <f t="shared" si="411"/>
        <v>15366.649689710615</v>
      </c>
      <c r="AK290" s="527">
        <f t="shared" si="411"/>
        <v>15366.649689710615</v>
      </c>
      <c r="AL290" s="527">
        <f t="shared" si="411"/>
        <v>15366.649689710615</v>
      </c>
      <c r="AM290" s="527">
        <f t="shared" si="411"/>
        <v>15366.649689710615</v>
      </c>
      <c r="AN290" s="527">
        <f t="shared" si="411"/>
        <v>15366.649689710615</v>
      </c>
      <c r="AO290" s="527">
        <f t="shared" si="411"/>
        <v>15366.649689710615</v>
      </c>
      <c r="AP290" s="527">
        <f t="shared" si="411"/>
        <v>14790.461021668882</v>
      </c>
      <c r="AQ290" s="527">
        <f t="shared" si="411"/>
        <v>14790.461021668882</v>
      </c>
      <c r="AR290" s="527">
        <f t="shared" si="411"/>
        <v>14790.461021668882</v>
      </c>
      <c r="AS290" s="527">
        <f t="shared" si="411"/>
        <v>14790.461021668882</v>
      </c>
      <c r="AT290" s="527">
        <f t="shared" si="411"/>
        <v>14790.461021668882</v>
      </c>
      <c r="AU290" s="527">
        <f t="shared" si="411"/>
        <v>14790.461021668882</v>
      </c>
      <c r="AV290" s="527">
        <f t="shared" si="411"/>
        <v>15376.831362787269</v>
      </c>
      <c r="AW290" s="527">
        <f t="shared" si="411"/>
        <v>15376.831362787269</v>
      </c>
      <c r="AX290" s="527">
        <f t="shared" ref="AX290:BY290" si="412">IFERROR(AX282/AX$224,0)</f>
        <v>15376.831362787269</v>
      </c>
      <c r="AY290" s="527">
        <f t="shared" si="412"/>
        <v>15376.831362787269</v>
      </c>
      <c r="AZ290" s="527">
        <f t="shared" si="412"/>
        <v>15376.831362787269</v>
      </c>
      <c r="BA290" s="527">
        <f t="shared" si="412"/>
        <v>15376.831362787269</v>
      </c>
      <c r="BB290" s="527">
        <f t="shared" si="412"/>
        <v>14847.587168389546</v>
      </c>
      <c r="BC290" s="527">
        <f t="shared" si="412"/>
        <v>14847.587168389546</v>
      </c>
      <c r="BD290" s="527">
        <f t="shared" si="412"/>
        <v>14847.587168389546</v>
      </c>
      <c r="BE290" s="527">
        <f t="shared" si="412"/>
        <v>14847.587168389546</v>
      </c>
      <c r="BF290" s="527">
        <f t="shared" si="412"/>
        <v>14847.587168389546</v>
      </c>
      <c r="BG290" s="527">
        <f t="shared" si="412"/>
        <v>14847.587168389546</v>
      </c>
      <c r="BH290" s="527">
        <f t="shared" si="412"/>
        <v>15430.747703384182</v>
      </c>
      <c r="BI290" s="527">
        <f t="shared" si="412"/>
        <v>15430.747703384182</v>
      </c>
      <c r="BJ290" s="527">
        <f t="shared" si="412"/>
        <v>15430.747703384182</v>
      </c>
      <c r="BK290" s="527">
        <f t="shared" si="412"/>
        <v>15430.747703384182</v>
      </c>
      <c r="BL290" s="527">
        <f t="shared" si="412"/>
        <v>15430.747703384182</v>
      </c>
      <c r="BM290" s="527">
        <f t="shared" si="412"/>
        <v>15430.747703384182</v>
      </c>
      <c r="BN290" s="527">
        <f t="shared" si="412"/>
        <v>14916.975721689578</v>
      </c>
      <c r="BO290" s="527">
        <f t="shared" si="412"/>
        <v>14916.975721689578</v>
      </c>
      <c r="BP290" s="527">
        <f t="shared" si="412"/>
        <v>14916.975721689578</v>
      </c>
      <c r="BQ290" s="527">
        <f t="shared" si="412"/>
        <v>14916.975721689578</v>
      </c>
      <c r="BR290" s="527">
        <f t="shared" si="412"/>
        <v>14916.975721689578</v>
      </c>
      <c r="BS290" s="527">
        <f t="shared" si="412"/>
        <v>14916.975721689578</v>
      </c>
      <c r="BT290" s="527">
        <f t="shared" si="412"/>
        <v>15497.15132198098</v>
      </c>
      <c r="BU290" s="527">
        <f t="shared" si="412"/>
        <v>15497.15132198098</v>
      </c>
      <c r="BV290" s="527">
        <f t="shared" si="412"/>
        <v>15497.15132198098</v>
      </c>
      <c r="BW290" s="527">
        <f t="shared" si="412"/>
        <v>15497.15132198098</v>
      </c>
      <c r="BX290" s="527">
        <f t="shared" si="412"/>
        <v>15497.15132198098</v>
      </c>
      <c r="BY290" s="527">
        <f t="shared" si="412"/>
        <v>15497.15132198098</v>
      </c>
    </row>
    <row r="291" spans="1:77" x14ac:dyDescent="0.3">
      <c r="A291" s="551"/>
      <c r="B291" s="548"/>
      <c r="C291" s="525"/>
      <c r="D291" s="525"/>
      <c r="E291" s="627" t="str">
        <f>"WSM gross sales: "&amp;E$156</f>
        <v>WSM gross sales: FY28 Tranche</v>
      </c>
      <c r="F291" s="525"/>
      <c r="G291" s="525"/>
      <c r="H291" s="525"/>
      <c r="I291" s="525"/>
      <c r="J291" s="525"/>
      <c r="K291" s="525"/>
      <c r="L291" s="525"/>
      <c r="M291" s="525"/>
      <c r="N291" s="525"/>
      <c r="O291" s="525"/>
      <c r="P291" s="565"/>
      <c r="Q291" s="525"/>
      <c r="R291" s="527">
        <f t="shared" ref="R291:AW291" si="413">IFERROR(R283/R$224,0)</f>
        <v>12981.583826340886</v>
      </c>
      <c r="S291" s="527">
        <f t="shared" si="413"/>
        <v>12981.583826340886</v>
      </c>
      <c r="T291" s="527">
        <f t="shared" si="413"/>
        <v>12981.583826340886</v>
      </c>
      <c r="U291" s="527">
        <f t="shared" si="413"/>
        <v>12981.583826340886</v>
      </c>
      <c r="V291" s="527">
        <f t="shared" si="413"/>
        <v>12981.583826340886</v>
      </c>
      <c r="W291" s="527">
        <f t="shared" si="413"/>
        <v>12981.583826340886</v>
      </c>
      <c r="X291" s="527">
        <f t="shared" si="413"/>
        <v>12981.583826340886</v>
      </c>
      <c r="Y291" s="527">
        <f t="shared" si="413"/>
        <v>12981.583826340886</v>
      </c>
      <c r="Z291" s="527">
        <f t="shared" si="413"/>
        <v>12981.583826340886</v>
      </c>
      <c r="AA291" s="527">
        <f t="shared" si="413"/>
        <v>12981.583826340886</v>
      </c>
      <c r="AB291" s="527">
        <f t="shared" si="413"/>
        <v>12981.583826340886</v>
      </c>
      <c r="AC291" s="527">
        <f t="shared" si="413"/>
        <v>12981.583826340886</v>
      </c>
      <c r="AD291" s="527">
        <f t="shared" si="413"/>
        <v>12981.583826340886</v>
      </c>
      <c r="AE291" s="527">
        <f t="shared" si="413"/>
        <v>12981.583826340886</v>
      </c>
      <c r="AF291" s="527">
        <f t="shared" si="413"/>
        <v>12981.583826340886</v>
      </c>
      <c r="AG291" s="527">
        <f t="shared" si="413"/>
        <v>12981.583826340886</v>
      </c>
      <c r="AH291" s="527">
        <f t="shared" si="413"/>
        <v>12981.583826340886</v>
      </c>
      <c r="AI291" s="527">
        <f t="shared" si="413"/>
        <v>12981.583826340886</v>
      </c>
      <c r="AJ291" s="527">
        <f t="shared" si="413"/>
        <v>15323.767638593201</v>
      </c>
      <c r="AK291" s="527">
        <f t="shared" si="413"/>
        <v>15323.767638593201</v>
      </c>
      <c r="AL291" s="527">
        <f t="shared" si="413"/>
        <v>15323.767638593201</v>
      </c>
      <c r="AM291" s="527">
        <f t="shared" si="413"/>
        <v>15323.767638593201</v>
      </c>
      <c r="AN291" s="527">
        <f t="shared" si="413"/>
        <v>15323.767638593201</v>
      </c>
      <c r="AO291" s="527">
        <f t="shared" si="413"/>
        <v>15323.767638593201</v>
      </c>
      <c r="AP291" s="527">
        <f t="shared" si="413"/>
        <v>14749.559037903578</v>
      </c>
      <c r="AQ291" s="527">
        <f t="shared" si="413"/>
        <v>14749.559037903578</v>
      </c>
      <c r="AR291" s="527">
        <f t="shared" si="413"/>
        <v>14749.559037903578</v>
      </c>
      <c r="AS291" s="527">
        <f t="shared" si="413"/>
        <v>14749.559037903578</v>
      </c>
      <c r="AT291" s="527">
        <f t="shared" si="413"/>
        <v>14749.559037903578</v>
      </c>
      <c r="AU291" s="527">
        <f t="shared" si="413"/>
        <v>14749.559037903578</v>
      </c>
      <c r="AV291" s="527">
        <f t="shared" si="413"/>
        <v>15334.293299671353</v>
      </c>
      <c r="AW291" s="527">
        <f t="shared" si="413"/>
        <v>15334.293299671353</v>
      </c>
      <c r="AX291" s="527">
        <f t="shared" ref="AX291:BY291" si="414">IFERROR(AX283/AX$224,0)</f>
        <v>15334.293299671353</v>
      </c>
      <c r="AY291" s="527">
        <f t="shared" si="414"/>
        <v>15334.293299671353</v>
      </c>
      <c r="AZ291" s="527">
        <f t="shared" si="414"/>
        <v>15334.293299671353</v>
      </c>
      <c r="BA291" s="527">
        <f t="shared" si="414"/>
        <v>15334.293299671353</v>
      </c>
      <c r="BB291" s="527">
        <f t="shared" si="414"/>
        <v>14806.909083121076</v>
      </c>
      <c r="BC291" s="527">
        <f t="shared" si="414"/>
        <v>14806.909083121076</v>
      </c>
      <c r="BD291" s="527">
        <f t="shared" si="414"/>
        <v>14806.909083121076</v>
      </c>
      <c r="BE291" s="527">
        <f t="shared" si="414"/>
        <v>14806.909083121076</v>
      </c>
      <c r="BF291" s="527">
        <f t="shared" si="414"/>
        <v>14806.909083121076</v>
      </c>
      <c r="BG291" s="527">
        <f t="shared" si="414"/>
        <v>14806.909083121076</v>
      </c>
      <c r="BH291" s="527">
        <f t="shared" si="414"/>
        <v>15388.442494704968</v>
      </c>
      <c r="BI291" s="527">
        <f t="shared" si="414"/>
        <v>15388.442494704968</v>
      </c>
      <c r="BJ291" s="527">
        <f t="shared" si="414"/>
        <v>15388.442494704968</v>
      </c>
      <c r="BK291" s="527">
        <f t="shared" si="414"/>
        <v>15388.442494704968</v>
      </c>
      <c r="BL291" s="527">
        <f t="shared" si="414"/>
        <v>15388.442494704968</v>
      </c>
      <c r="BM291" s="527">
        <f t="shared" si="414"/>
        <v>15388.442494704968</v>
      </c>
      <c r="BN291" s="527">
        <f t="shared" si="414"/>
        <v>14876.505849119136</v>
      </c>
      <c r="BO291" s="527">
        <f t="shared" si="414"/>
        <v>14876.505849119136</v>
      </c>
      <c r="BP291" s="527">
        <f t="shared" si="414"/>
        <v>14876.505849119136</v>
      </c>
      <c r="BQ291" s="527">
        <f t="shared" si="414"/>
        <v>14876.505849119136</v>
      </c>
      <c r="BR291" s="527">
        <f t="shared" si="414"/>
        <v>14876.505849119136</v>
      </c>
      <c r="BS291" s="527">
        <f t="shared" si="414"/>
        <v>14876.505849119136</v>
      </c>
      <c r="BT291" s="527">
        <f t="shared" si="414"/>
        <v>15455.062654507725</v>
      </c>
      <c r="BU291" s="527">
        <f t="shared" si="414"/>
        <v>15455.062654507725</v>
      </c>
      <c r="BV291" s="527">
        <f t="shared" si="414"/>
        <v>15455.062654507725</v>
      </c>
      <c r="BW291" s="527">
        <f t="shared" si="414"/>
        <v>15455.062654507725</v>
      </c>
      <c r="BX291" s="527">
        <f t="shared" si="414"/>
        <v>15455.062654507725</v>
      </c>
      <c r="BY291" s="527">
        <f t="shared" si="414"/>
        <v>15455.062654507725</v>
      </c>
    </row>
    <row r="292" spans="1:77" x14ac:dyDescent="0.3">
      <c r="A292" s="551"/>
      <c r="B292" s="548"/>
      <c r="C292" s="525"/>
      <c r="D292" s="525"/>
      <c r="E292" s="627" t="str">
        <f>"WSM gross sales: "&amp;E$157</f>
        <v>WSM gross sales: FY29 Tranche</v>
      </c>
      <c r="F292" s="525"/>
      <c r="G292" s="525"/>
      <c r="H292" s="525"/>
      <c r="I292" s="525"/>
      <c r="J292" s="525"/>
      <c r="K292" s="525"/>
      <c r="L292" s="525"/>
      <c r="M292" s="525"/>
      <c r="N292" s="525"/>
      <c r="O292" s="525"/>
      <c r="P292" s="565"/>
      <c r="Q292" s="525"/>
      <c r="R292" s="527">
        <f t="shared" ref="R292:AW292" si="415">IFERROR(R284/R$224,0)</f>
        <v>12981.583826340886</v>
      </c>
      <c r="S292" s="527">
        <f t="shared" si="415"/>
        <v>12981.583826340886</v>
      </c>
      <c r="T292" s="527">
        <f t="shared" si="415"/>
        <v>12981.583826340886</v>
      </c>
      <c r="U292" s="527">
        <f t="shared" si="415"/>
        <v>12981.583826340886</v>
      </c>
      <c r="V292" s="527">
        <f t="shared" si="415"/>
        <v>12981.583826340886</v>
      </c>
      <c r="W292" s="527">
        <f t="shared" si="415"/>
        <v>12981.583826340886</v>
      </c>
      <c r="X292" s="527">
        <f t="shared" si="415"/>
        <v>12981.583826340886</v>
      </c>
      <c r="Y292" s="527">
        <f t="shared" si="415"/>
        <v>12981.583826340886</v>
      </c>
      <c r="Z292" s="527">
        <f t="shared" si="415"/>
        <v>12981.583826340886</v>
      </c>
      <c r="AA292" s="527">
        <f t="shared" si="415"/>
        <v>12981.583826340886</v>
      </c>
      <c r="AB292" s="527">
        <f t="shared" si="415"/>
        <v>12981.583826340886</v>
      </c>
      <c r="AC292" s="527">
        <f t="shared" si="415"/>
        <v>12981.583826340886</v>
      </c>
      <c r="AD292" s="527">
        <f t="shared" si="415"/>
        <v>12981.583826340886</v>
      </c>
      <c r="AE292" s="527">
        <f t="shared" si="415"/>
        <v>12981.583826340886</v>
      </c>
      <c r="AF292" s="527">
        <f t="shared" si="415"/>
        <v>12981.583826340886</v>
      </c>
      <c r="AG292" s="527">
        <f t="shared" si="415"/>
        <v>12981.583826340886</v>
      </c>
      <c r="AH292" s="527">
        <f t="shared" si="415"/>
        <v>12981.583826340886</v>
      </c>
      <c r="AI292" s="527">
        <f t="shared" si="415"/>
        <v>12981.583826340886</v>
      </c>
      <c r="AJ292" s="527">
        <f t="shared" si="415"/>
        <v>12981.583826340886</v>
      </c>
      <c r="AK292" s="527">
        <f t="shared" si="415"/>
        <v>12981.583826340886</v>
      </c>
      <c r="AL292" s="527">
        <f t="shared" si="415"/>
        <v>12981.583826340886</v>
      </c>
      <c r="AM292" s="527">
        <f t="shared" si="415"/>
        <v>12981.583826340886</v>
      </c>
      <c r="AN292" s="527">
        <f t="shared" si="415"/>
        <v>12981.583826340886</v>
      </c>
      <c r="AO292" s="527">
        <f t="shared" si="415"/>
        <v>12981.583826340886</v>
      </c>
      <c r="AP292" s="527">
        <f t="shared" si="415"/>
        <v>12981.583826340886</v>
      </c>
      <c r="AQ292" s="527">
        <f t="shared" si="415"/>
        <v>12981.583826340886</v>
      </c>
      <c r="AR292" s="527">
        <f t="shared" si="415"/>
        <v>12981.583826340886</v>
      </c>
      <c r="AS292" s="527">
        <f t="shared" si="415"/>
        <v>12981.583826340886</v>
      </c>
      <c r="AT292" s="527">
        <f t="shared" si="415"/>
        <v>12981.583826340886</v>
      </c>
      <c r="AU292" s="527">
        <f t="shared" si="415"/>
        <v>12981.583826340886</v>
      </c>
      <c r="AV292" s="527">
        <f t="shared" si="415"/>
        <v>15265.781857528051</v>
      </c>
      <c r="AW292" s="527">
        <f t="shared" si="415"/>
        <v>15265.781857528051</v>
      </c>
      <c r="AX292" s="527">
        <f t="shared" ref="AX292:BY292" si="416">IFERROR(AX284/AX$224,0)</f>
        <v>15265.781857528051</v>
      </c>
      <c r="AY292" s="527">
        <f t="shared" si="416"/>
        <v>15265.781857528051</v>
      </c>
      <c r="AZ292" s="527">
        <f t="shared" si="416"/>
        <v>15265.781857528051</v>
      </c>
      <c r="BA292" s="527">
        <f t="shared" si="416"/>
        <v>15265.781857528051</v>
      </c>
      <c r="BB292" s="527">
        <f t="shared" si="416"/>
        <v>14741.393305456801</v>
      </c>
      <c r="BC292" s="527">
        <f t="shared" si="416"/>
        <v>14741.393305456801</v>
      </c>
      <c r="BD292" s="527">
        <f t="shared" si="416"/>
        <v>14741.393305456801</v>
      </c>
      <c r="BE292" s="527">
        <f t="shared" si="416"/>
        <v>14741.393305456801</v>
      </c>
      <c r="BF292" s="527">
        <f t="shared" si="416"/>
        <v>14741.393305456801</v>
      </c>
      <c r="BG292" s="527">
        <f t="shared" si="416"/>
        <v>14741.393305456801</v>
      </c>
      <c r="BH292" s="527">
        <f t="shared" si="416"/>
        <v>15320.30608593412</v>
      </c>
      <c r="BI292" s="527">
        <f t="shared" si="416"/>
        <v>15320.30608593412</v>
      </c>
      <c r="BJ292" s="527">
        <f t="shared" si="416"/>
        <v>15320.30608593412</v>
      </c>
      <c r="BK292" s="527">
        <f t="shared" si="416"/>
        <v>15320.30608593412</v>
      </c>
      <c r="BL292" s="527">
        <f t="shared" si="416"/>
        <v>15320.30608593412</v>
      </c>
      <c r="BM292" s="527">
        <f t="shared" si="416"/>
        <v>15320.30608593412</v>
      </c>
      <c r="BN292" s="527">
        <f t="shared" si="416"/>
        <v>14811.325417052898</v>
      </c>
      <c r="BO292" s="527">
        <f t="shared" si="416"/>
        <v>14811.325417052898</v>
      </c>
      <c r="BP292" s="527">
        <f t="shared" si="416"/>
        <v>14811.325417052898</v>
      </c>
      <c r="BQ292" s="527">
        <f t="shared" si="416"/>
        <v>14811.325417052898</v>
      </c>
      <c r="BR292" s="527">
        <f t="shared" si="416"/>
        <v>14811.325417052898</v>
      </c>
      <c r="BS292" s="527">
        <f t="shared" si="416"/>
        <v>14811.325417052898</v>
      </c>
      <c r="BT292" s="527">
        <f t="shared" si="416"/>
        <v>15387.275005158834</v>
      </c>
      <c r="BU292" s="527">
        <f t="shared" si="416"/>
        <v>15387.275005158834</v>
      </c>
      <c r="BV292" s="527">
        <f t="shared" si="416"/>
        <v>15387.275005158834</v>
      </c>
      <c r="BW292" s="527">
        <f t="shared" si="416"/>
        <v>15387.275005158834</v>
      </c>
      <c r="BX292" s="527">
        <f t="shared" si="416"/>
        <v>15387.275005158834</v>
      </c>
      <c r="BY292" s="527">
        <f t="shared" si="416"/>
        <v>15387.275005158834</v>
      </c>
    </row>
    <row r="293" spans="1:77" x14ac:dyDescent="0.3">
      <c r="A293" s="551"/>
      <c r="B293" s="548"/>
      <c r="C293" s="525"/>
      <c r="D293" s="525"/>
      <c r="E293" s="627" t="str">
        <f>"WSM gross sales: "&amp;E$158</f>
        <v>WSM gross sales: FY30 Tranche</v>
      </c>
      <c r="F293" s="525"/>
      <c r="G293" s="525"/>
      <c r="H293" s="525"/>
      <c r="I293" s="525"/>
      <c r="J293" s="525"/>
      <c r="K293" s="525"/>
      <c r="L293" s="525"/>
      <c r="M293" s="525"/>
      <c r="N293" s="525"/>
      <c r="O293" s="525"/>
      <c r="P293" s="565"/>
      <c r="Q293" s="525"/>
      <c r="R293" s="527">
        <f t="shared" ref="R293:AW293" si="417">IFERROR(R285/R$224,0)</f>
        <v>12981.583826340886</v>
      </c>
      <c r="S293" s="527">
        <f t="shared" si="417"/>
        <v>12981.583826340886</v>
      </c>
      <c r="T293" s="527">
        <f t="shared" si="417"/>
        <v>12981.583826340886</v>
      </c>
      <c r="U293" s="527">
        <f t="shared" si="417"/>
        <v>12981.583826340886</v>
      </c>
      <c r="V293" s="527">
        <f t="shared" si="417"/>
        <v>12981.583826340886</v>
      </c>
      <c r="W293" s="527">
        <f t="shared" si="417"/>
        <v>12981.583826340886</v>
      </c>
      <c r="X293" s="527">
        <f t="shared" si="417"/>
        <v>12981.583826340886</v>
      </c>
      <c r="Y293" s="527">
        <f t="shared" si="417"/>
        <v>12981.583826340886</v>
      </c>
      <c r="Z293" s="527">
        <f t="shared" si="417"/>
        <v>12981.583826340886</v>
      </c>
      <c r="AA293" s="527">
        <f t="shared" si="417"/>
        <v>12981.583826340886</v>
      </c>
      <c r="AB293" s="527">
        <f t="shared" si="417"/>
        <v>12981.583826340886</v>
      </c>
      <c r="AC293" s="527">
        <f t="shared" si="417"/>
        <v>12981.583826340886</v>
      </c>
      <c r="AD293" s="527">
        <f t="shared" si="417"/>
        <v>12981.583826340886</v>
      </c>
      <c r="AE293" s="527">
        <f t="shared" si="417"/>
        <v>12981.583826340886</v>
      </c>
      <c r="AF293" s="527">
        <f t="shared" si="417"/>
        <v>12981.583826340886</v>
      </c>
      <c r="AG293" s="527">
        <f t="shared" si="417"/>
        <v>12981.583826340886</v>
      </c>
      <c r="AH293" s="527">
        <f t="shared" si="417"/>
        <v>12981.583826340886</v>
      </c>
      <c r="AI293" s="527">
        <f t="shared" si="417"/>
        <v>12981.583826340886</v>
      </c>
      <c r="AJ293" s="527">
        <f t="shared" si="417"/>
        <v>12981.583826340886</v>
      </c>
      <c r="AK293" s="527">
        <f t="shared" si="417"/>
        <v>12981.583826340886</v>
      </c>
      <c r="AL293" s="527">
        <f t="shared" si="417"/>
        <v>12981.583826340886</v>
      </c>
      <c r="AM293" s="527">
        <f t="shared" si="417"/>
        <v>12981.583826340886</v>
      </c>
      <c r="AN293" s="527">
        <f t="shared" si="417"/>
        <v>12981.583826340886</v>
      </c>
      <c r="AO293" s="527">
        <f t="shared" si="417"/>
        <v>12981.583826340886</v>
      </c>
      <c r="AP293" s="527">
        <f t="shared" si="417"/>
        <v>12981.583826340886</v>
      </c>
      <c r="AQ293" s="527">
        <f t="shared" si="417"/>
        <v>12981.583826340886</v>
      </c>
      <c r="AR293" s="527">
        <f t="shared" si="417"/>
        <v>12981.583826340886</v>
      </c>
      <c r="AS293" s="527">
        <f t="shared" si="417"/>
        <v>12981.583826340886</v>
      </c>
      <c r="AT293" s="527">
        <f t="shared" si="417"/>
        <v>12981.583826340886</v>
      </c>
      <c r="AU293" s="527">
        <f t="shared" si="417"/>
        <v>12981.583826340886</v>
      </c>
      <c r="AV293" s="527">
        <f t="shared" si="417"/>
        <v>12981.583826340886</v>
      </c>
      <c r="AW293" s="527">
        <f t="shared" si="417"/>
        <v>12981.583826340886</v>
      </c>
      <c r="AX293" s="527">
        <f t="shared" ref="AX293:BY293" si="418">IFERROR(AX285/AX$224,0)</f>
        <v>12981.583826340886</v>
      </c>
      <c r="AY293" s="527">
        <f t="shared" si="418"/>
        <v>12981.583826340886</v>
      </c>
      <c r="AZ293" s="527">
        <f t="shared" si="418"/>
        <v>12981.583826340886</v>
      </c>
      <c r="BA293" s="527">
        <f t="shared" si="418"/>
        <v>12981.583826340886</v>
      </c>
      <c r="BB293" s="527">
        <f t="shared" si="418"/>
        <v>12981.583826340886</v>
      </c>
      <c r="BC293" s="527">
        <f t="shared" si="418"/>
        <v>12981.583826340886</v>
      </c>
      <c r="BD293" s="527">
        <f t="shared" si="418"/>
        <v>12981.583826340886</v>
      </c>
      <c r="BE293" s="527">
        <f t="shared" si="418"/>
        <v>12981.583826340886</v>
      </c>
      <c r="BF293" s="527">
        <f t="shared" si="418"/>
        <v>12981.583826340886</v>
      </c>
      <c r="BG293" s="527">
        <f t="shared" si="418"/>
        <v>12981.583826340886</v>
      </c>
      <c r="BH293" s="527">
        <f t="shared" si="418"/>
        <v>15211.071830244702</v>
      </c>
      <c r="BI293" s="527">
        <f t="shared" si="418"/>
        <v>15211.071830244702</v>
      </c>
      <c r="BJ293" s="527">
        <f t="shared" si="418"/>
        <v>15211.071830244702</v>
      </c>
      <c r="BK293" s="527">
        <f t="shared" si="418"/>
        <v>15211.071830244702</v>
      </c>
      <c r="BL293" s="527">
        <f t="shared" si="418"/>
        <v>15211.071830244702</v>
      </c>
      <c r="BM293" s="527">
        <f t="shared" si="418"/>
        <v>15211.071830244702</v>
      </c>
      <c r="BN293" s="527">
        <f t="shared" si="418"/>
        <v>14706.830094937877</v>
      </c>
      <c r="BO293" s="527">
        <f t="shared" si="418"/>
        <v>14706.830094937877</v>
      </c>
      <c r="BP293" s="527">
        <f t="shared" si="418"/>
        <v>14706.830094937877</v>
      </c>
      <c r="BQ293" s="527">
        <f t="shared" si="418"/>
        <v>14706.830094937877</v>
      </c>
      <c r="BR293" s="527">
        <f t="shared" si="418"/>
        <v>14706.830094937877</v>
      </c>
      <c r="BS293" s="527">
        <f t="shared" si="418"/>
        <v>14706.830094937877</v>
      </c>
      <c r="BT293" s="527">
        <f t="shared" si="418"/>
        <v>15278.599870159214</v>
      </c>
      <c r="BU293" s="527">
        <f t="shared" si="418"/>
        <v>15278.599870159214</v>
      </c>
      <c r="BV293" s="527">
        <f t="shared" si="418"/>
        <v>15278.599870159214</v>
      </c>
      <c r="BW293" s="527">
        <f t="shared" si="418"/>
        <v>15278.599870159214</v>
      </c>
      <c r="BX293" s="527">
        <f t="shared" si="418"/>
        <v>15278.599870159214</v>
      </c>
      <c r="BY293" s="527">
        <f t="shared" si="418"/>
        <v>15278.599870159214</v>
      </c>
    </row>
    <row r="294" spans="1:77" x14ac:dyDescent="0.3">
      <c r="A294" s="551"/>
      <c r="B294" s="548"/>
      <c r="C294" s="525"/>
      <c r="D294" s="525"/>
      <c r="E294" s="627" t="str">
        <f>"WSM gross sales: "&amp;E$159</f>
        <v>WSM gross sales: FY31 Tranche</v>
      </c>
      <c r="F294" s="525"/>
      <c r="G294" s="525"/>
      <c r="H294" s="525"/>
      <c r="I294" s="525"/>
      <c r="J294" s="525"/>
      <c r="K294" s="525"/>
      <c r="L294" s="525"/>
      <c r="M294" s="525"/>
      <c r="N294" s="525"/>
      <c r="O294" s="525"/>
      <c r="P294" s="565"/>
      <c r="Q294" s="525"/>
      <c r="R294" s="527">
        <f t="shared" ref="R294:AW294" si="419">IFERROR(R286/R$224,0)</f>
        <v>12981.583826340886</v>
      </c>
      <c r="S294" s="527">
        <f t="shared" si="419"/>
        <v>12981.583826340886</v>
      </c>
      <c r="T294" s="527">
        <f t="shared" si="419"/>
        <v>12981.583826340886</v>
      </c>
      <c r="U294" s="527">
        <f t="shared" si="419"/>
        <v>12981.583826340886</v>
      </c>
      <c r="V294" s="527">
        <f t="shared" si="419"/>
        <v>12981.583826340886</v>
      </c>
      <c r="W294" s="527">
        <f t="shared" si="419"/>
        <v>12981.583826340886</v>
      </c>
      <c r="X294" s="527">
        <f t="shared" si="419"/>
        <v>12981.583826340886</v>
      </c>
      <c r="Y294" s="527">
        <f t="shared" si="419"/>
        <v>12981.583826340886</v>
      </c>
      <c r="Z294" s="527">
        <f t="shared" si="419"/>
        <v>12981.583826340886</v>
      </c>
      <c r="AA294" s="527">
        <f t="shared" si="419"/>
        <v>12981.583826340886</v>
      </c>
      <c r="AB294" s="527">
        <f t="shared" si="419"/>
        <v>12981.583826340886</v>
      </c>
      <c r="AC294" s="527">
        <f t="shared" si="419"/>
        <v>12981.583826340886</v>
      </c>
      <c r="AD294" s="527">
        <f t="shared" si="419"/>
        <v>12981.583826340886</v>
      </c>
      <c r="AE294" s="527">
        <f t="shared" si="419"/>
        <v>12981.583826340886</v>
      </c>
      <c r="AF294" s="527">
        <f t="shared" si="419"/>
        <v>12981.583826340886</v>
      </c>
      <c r="AG294" s="527">
        <f t="shared" si="419"/>
        <v>12981.583826340886</v>
      </c>
      <c r="AH294" s="527">
        <f t="shared" si="419"/>
        <v>12981.583826340886</v>
      </c>
      <c r="AI294" s="527">
        <f t="shared" si="419"/>
        <v>12981.583826340886</v>
      </c>
      <c r="AJ294" s="527">
        <f t="shared" si="419"/>
        <v>12981.583826340886</v>
      </c>
      <c r="AK294" s="527">
        <f t="shared" si="419"/>
        <v>12981.583826340886</v>
      </c>
      <c r="AL294" s="527">
        <f t="shared" si="419"/>
        <v>12981.583826340886</v>
      </c>
      <c r="AM294" s="527">
        <f t="shared" si="419"/>
        <v>12981.583826340886</v>
      </c>
      <c r="AN294" s="527">
        <f t="shared" si="419"/>
        <v>12981.583826340886</v>
      </c>
      <c r="AO294" s="527">
        <f t="shared" si="419"/>
        <v>12981.583826340886</v>
      </c>
      <c r="AP294" s="527">
        <f t="shared" si="419"/>
        <v>12981.583826340886</v>
      </c>
      <c r="AQ294" s="527">
        <f t="shared" si="419"/>
        <v>12981.583826340886</v>
      </c>
      <c r="AR294" s="527">
        <f t="shared" si="419"/>
        <v>12981.583826340886</v>
      </c>
      <c r="AS294" s="527">
        <f t="shared" si="419"/>
        <v>12981.583826340886</v>
      </c>
      <c r="AT294" s="527">
        <f t="shared" si="419"/>
        <v>12981.583826340886</v>
      </c>
      <c r="AU294" s="527">
        <f t="shared" si="419"/>
        <v>12981.583826340886</v>
      </c>
      <c r="AV294" s="527">
        <f t="shared" si="419"/>
        <v>12981.583826340886</v>
      </c>
      <c r="AW294" s="527">
        <f t="shared" si="419"/>
        <v>12981.583826340886</v>
      </c>
      <c r="AX294" s="527">
        <f t="shared" ref="AX294:BY294" si="420">IFERROR(AX286/AX$224,0)</f>
        <v>12981.583826340886</v>
      </c>
      <c r="AY294" s="527">
        <f t="shared" si="420"/>
        <v>12981.583826340886</v>
      </c>
      <c r="AZ294" s="527">
        <f t="shared" si="420"/>
        <v>12981.583826340886</v>
      </c>
      <c r="BA294" s="527">
        <f t="shared" si="420"/>
        <v>12981.583826340886</v>
      </c>
      <c r="BB294" s="527">
        <f t="shared" si="420"/>
        <v>12981.583826340886</v>
      </c>
      <c r="BC294" s="527">
        <f t="shared" si="420"/>
        <v>12981.583826340886</v>
      </c>
      <c r="BD294" s="527">
        <f t="shared" si="420"/>
        <v>12981.583826340886</v>
      </c>
      <c r="BE294" s="527">
        <f t="shared" si="420"/>
        <v>12981.583826340886</v>
      </c>
      <c r="BF294" s="527">
        <f t="shared" si="420"/>
        <v>12981.583826340886</v>
      </c>
      <c r="BG294" s="527">
        <f t="shared" si="420"/>
        <v>12981.583826340886</v>
      </c>
      <c r="BH294" s="527">
        <f t="shared" si="420"/>
        <v>12981.583826340886</v>
      </c>
      <c r="BI294" s="527">
        <f t="shared" si="420"/>
        <v>12981.583826340886</v>
      </c>
      <c r="BJ294" s="527">
        <f t="shared" si="420"/>
        <v>12981.583826340886</v>
      </c>
      <c r="BK294" s="527">
        <f t="shared" si="420"/>
        <v>12981.583826340886</v>
      </c>
      <c r="BL294" s="527">
        <f t="shared" si="420"/>
        <v>12981.583826340886</v>
      </c>
      <c r="BM294" s="527">
        <f t="shared" si="420"/>
        <v>12981.583826340886</v>
      </c>
      <c r="BN294" s="527">
        <f t="shared" si="420"/>
        <v>12981.583826340886</v>
      </c>
      <c r="BO294" s="527">
        <f t="shared" si="420"/>
        <v>12981.583826340886</v>
      </c>
      <c r="BP294" s="527">
        <f t="shared" si="420"/>
        <v>12981.583826340886</v>
      </c>
      <c r="BQ294" s="527">
        <f t="shared" si="420"/>
        <v>12981.583826340886</v>
      </c>
      <c r="BR294" s="527">
        <f t="shared" si="420"/>
        <v>12981.583826340886</v>
      </c>
      <c r="BS294" s="527">
        <f t="shared" si="420"/>
        <v>12981.583826340886</v>
      </c>
      <c r="BT294" s="527">
        <f t="shared" si="420"/>
        <v>15155.972470438908</v>
      </c>
      <c r="BU294" s="527">
        <f t="shared" si="420"/>
        <v>15155.972470438908</v>
      </c>
      <c r="BV294" s="527">
        <f t="shared" si="420"/>
        <v>15155.972470438908</v>
      </c>
      <c r="BW294" s="527">
        <f t="shared" si="420"/>
        <v>15155.972470438908</v>
      </c>
      <c r="BX294" s="527">
        <f t="shared" si="420"/>
        <v>15155.972470438908</v>
      </c>
      <c r="BY294" s="527">
        <f t="shared" si="420"/>
        <v>15155.972470438908</v>
      </c>
    </row>
    <row r="295" spans="1:77" x14ac:dyDescent="0.3">
      <c r="A295" s="551"/>
      <c r="B295" s="548"/>
      <c r="C295" s="525"/>
      <c r="D295" s="525"/>
      <c r="E295" s="627" t="str">
        <f>"WSM gross sales: "&amp;E$160</f>
        <v>WSM gross sales: Uninvested Tranche</v>
      </c>
      <c r="F295" s="525"/>
      <c r="G295" s="525"/>
      <c r="H295" s="525"/>
      <c r="I295" s="525"/>
      <c r="J295" s="525"/>
      <c r="K295" s="525"/>
      <c r="L295" s="525"/>
      <c r="M295" s="525"/>
      <c r="N295" s="525"/>
      <c r="O295" s="525"/>
      <c r="P295" s="565"/>
      <c r="Q295" s="525"/>
      <c r="R295" s="527">
        <f t="shared" ref="R295:AW295" si="421">IFERROR(R287/R$224,0)</f>
        <v>28397.214620120689</v>
      </c>
      <c r="S295" s="527">
        <f t="shared" si="421"/>
        <v>28397.214620120689</v>
      </c>
      <c r="T295" s="527">
        <f t="shared" si="421"/>
        <v>28397.214620120689</v>
      </c>
      <c r="U295" s="527">
        <f t="shared" si="421"/>
        <v>28397.214620120689</v>
      </c>
      <c r="V295" s="527">
        <f t="shared" si="421"/>
        <v>28397.214620120689</v>
      </c>
      <c r="W295" s="527">
        <f t="shared" si="421"/>
        <v>28397.214620120689</v>
      </c>
      <c r="X295" s="527">
        <f t="shared" si="421"/>
        <v>28397.214620120689</v>
      </c>
      <c r="Y295" s="527">
        <f t="shared" si="421"/>
        <v>28397.214620120689</v>
      </c>
      <c r="Z295" s="527">
        <f t="shared" si="421"/>
        <v>28397.214620120689</v>
      </c>
      <c r="AA295" s="527">
        <f t="shared" si="421"/>
        <v>28397.214620120689</v>
      </c>
      <c r="AB295" s="527">
        <f t="shared" si="421"/>
        <v>28397.214620120689</v>
      </c>
      <c r="AC295" s="527">
        <f t="shared" si="421"/>
        <v>28397.214620120689</v>
      </c>
      <c r="AD295" s="527">
        <f t="shared" si="421"/>
        <v>28397.214620120689</v>
      </c>
      <c r="AE295" s="527">
        <f t="shared" si="421"/>
        <v>28397.214620120689</v>
      </c>
      <c r="AF295" s="527">
        <f t="shared" si="421"/>
        <v>28397.214620120689</v>
      </c>
      <c r="AG295" s="527">
        <f t="shared" si="421"/>
        <v>28397.214620120689</v>
      </c>
      <c r="AH295" s="527">
        <f t="shared" si="421"/>
        <v>28397.214620120689</v>
      </c>
      <c r="AI295" s="527">
        <f t="shared" si="421"/>
        <v>28397.214620120689</v>
      </c>
      <c r="AJ295" s="527">
        <f t="shared" si="421"/>
        <v>28397.214620120689</v>
      </c>
      <c r="AK295" s="527">
        <f t="shared" si="421"/>
        <v>28397.214620120689</v>
      </c>
      <c r="AL295" s="527">
        <f t="shared" si="421"/>
        <v>28397.214620120689</v>
      </c>
      <c r="AM295" s="527">
        <f t="shared" si="421"/>
        <v>28397.214620120689</v>
      </c>
      <c r="AN295" s="527">
        <f t="shared" si="421"/>
        <v>28397.214620120689</v>
      </c>
      <c r="AO295" s="527">
        <f t="shared" si="421"/>
        <v>28397.214620120689</v>
      </c>
      <c r="AP295" s="527">
        <f t="shared" si="421"/>
        <v>28397.214620120689</v>
      </c>
      <c r="AQ295" s="527">
        <f t="shared" si="421"/>
        <v>28397.214620120689</v>
      </c>
      <c r="AR295" s="527">
        <f t="shared" si="421"/>
        <v>28397.214620120689</v>
      </c>
      <c r="AS295" s="527">
        <f t="shared" si="421"/>
        <v>28397.214620120689</v>
      </c>
      <c r="AT295" s="527">
        <f t="shared" si="421"/>
        <v>28397.214620120689</v>
      </c>
      <c r="AU295" s="527">
        <f t="shared" si="421"/>
        <v>28397.214620120689</v>
      </c>
      <c r="AV295" s="527">
        <f t="shared" si="421"/>
        <v>28397.214620120689</v>
      </c>
      <c r="AW295" s="527">
        <f t="shared" si="421"/>
        <v>28397.214620120689</v>
      </c>
      <c r="AX295" s="527">
        <f t="shared" ref="AX295:BY295" si="422">IFERROR(AX287/AX$224,0)</f>
        <v>28397.214620120689</v>
      </c>
      <c r="AY295" s="527">
        <f t="shared" si="422"/>
        <v>28397.214620120689</v>
      </c>
      <c r="AZ295" s="527">
        <f t="shared" si="422"/>
        <v>28397.214620120689</v>
      </c>
      <c r="BA295" s="527">
        <f t="shared" si="422"/>
        <v>28397.214620120689</v>
      </c>
      <c r="BB295" s="527">
        <f t="shared" si="422"/>
        <v>28397.214620120689</v>
      </c>
      <c r="BC295" s="527">
        <f t="shared" si="422"/>
        <v>28397.214620120689</v>
      </c>
      <c r="BD295" s="527">
        <f t="shared" si="422"/>
        <v>28397.214620120689</v>
      </c>
      <c r="BE295" s="527">
        <f t="shared" si="422"/>
        <v>28397.214620120689</v>
      </c>
      <c r="BF295" s="527">
        <f t="shared" si="422"/>
        <v>28397.214620120689</v>
      </c>
      <c r="BG295" s="527">
        <f t="shared" si="422"/>
        <v>28397.214620120689</v>
      </c>
      <c r="BH295" s="527">
        <f t="shared" si="422"/>
        <v>28397.214620120689</v>
      </c>
      <c r="BI295" s="527">
        <f t="shared" si="422"/>
        <v>28397.214620120689</v>
      </c>
      <c r="BJ295" s="527">
        <f t="shared" si="422"/>
        <v>28397.214620120689</v>
      </c>
      <c r="BK295" s="527">
        <f t="shared" si="422"/>
        <v>28397.214620120689</v>
      </c>
      <c r="BL295" s="527">
        <f t="shared" si="422"/>
        <v>28397.214620120689</v>
      </c>
      <c r="BM295" s="527">
        <f t="shared" si="422"/>
        <v>28397.214620120689</v>
      </c>
      <c r="BN295" s="527">
        <f t="shared" si="422"/>
        <v>28397.214620120689</v>
      </c>
      <c r="BO295" s="527">
        <f t="shared" si="422"/>
        <v>28397.214620120689</v>
      </c>
      <c r="BP295" s="527">
        <f t="shared" si="422"/>
        <v>28397.214620120689</v>
      </c>
      <c r="BQ295" s="527">
        <f t="shared" si="422"/>
        <v>28397.214620120689</v>
      </c>
      <c r="BR295" s="527">
        <f t="shared" si="422"/>
        <v>28397.214620120689</v>
      </c>
      <c r="BS295" s="527">
        <f t="shared" si="422"/>
        <v>28397.214620120689</v>
      </c>
      <c r="BT295" s="527">
        <f t="shared" si="422"/>
        <v>28397.214620120689</v>
      </c>
      <c r="BU295" s="527">
        <f t="shared" si="422"/>
        <v>28397.214620120689</v>
      </c>
      <c r="BV295" s="527">
        <f t="shared" si="422"/>
        <v>28397.214620120689</v>
      </c>
      <c r="BW295" s="527">
        <f t="shared" si="422"/>
        <v>28397.214620120689</v>
      </c>
      <c r="BX295" s="527">
        <f t="shared" si="422"/>
        <v>28397.214620120689</v>
      </c>
      <c r="BY295" s="527">
        <f t="shared" si="422"/>
        <v>28397.214620120689</v>
      </c>
    </row>
    <row r="296" spans="1:77" x14ac:dyDescent="0.3">
      <c r="A296" s="551"/>
      <c r="B296" s="548"/>
      <c r="C296" s="525"/>
      <c r="D296" s="525"/>
      <c r="E296" s="572" t="s">
        <v>36</v>
      </c>
      <c r="F296" s="572"/>
      <c r="G296" s="572"/>
      <c r="H296" s="572"/>
      <c r="I296" s="572"/>
      <c r="J296" s="572"/>
      <c r="K296" s="572"/>
      <c r="L296" s="572"/>
      <c r="M296" s="572"/>
      <c r="N296" s="572"/>
      <c r="O296" s="572"/>
      <c r="P296" s="612"/>
      <c r="Q296" s="572"/>
      <c r="R296" s="530">
        <f t="shared" ref="R296:AW296" si="423">SUM(R290:R295)</f>
        <v>93305.133751825124</v>
      </c>
      <c r="S296" s="530">
        <f t="shared" si="423"/>
        <v>93305.133751825124</v>
      </c>
      <c r="T296" s="530">
        <f t="shared" si="423"/>
        <v>93305.133751825124</v>
      </c>
      <c r="U296" s="530">
        <f t="shared" si="423"/>
        <v>93305.133751825124</v>
      </c>
      <c r="V296" s="530">
        <f t="shared" si="423"/>
        <v>93305.133751825124</v>
      </c>
      <c r="W296" s="530">
        <f t="shared" si="423"/>
        <v>93305.133751825124</v>
      </c>
      <c r="X296" s="530">
        <f t="shared" si="423"/>
        <v>95708.897841627258</v>
      </c>
      <c r="Y296" s="530">
        <f t="shared" si="423"/>
        <v>95708.897841627258</v>
      </c>
      <c r="Z296" s="530">
        <f t="shared" si="423"/>
        <v>95708.897841627258</v>
      </c>
      <c r="AA296" s="530">
        <f t="shared" si="423"/>
        <v>95708.897841627258</v>
      </c>
      <c r="AB296" s="530">
        <f t="shared" si="423"/>
        <v>95708.897841627258</v>
      </c>
      <c r="AC296" s="530">
        <f t="shared" si="423"/>
        <v>95708.897841627258</v>
      </c>
      <c r="AD296" s="530">
        <f t="shared" si="423"/>
        <v>95099.087535807121</v>
      </c>
      <c r="AE296" s="530">
        <f t="shared" si="423"/>
        <v>95099.087535807121</v>
      </c>
      <c r="AF296" s="530">
        <f t="shared" si="423"/>
        <v>95099.087535807121</v>
      </c>
      <c r="AG296" s="530">
        <f t="shared" si="423"/>
        <v>95099.087535807121</v>
      </c>
      <c r="AH296" s="530">
        <f t="shared" si="423"/>
        <v>95099.087535807121</v>
      </c>
      <c r="AI296" s="530">
        <f t="shared" si="423"/>
        <v>95099.087535807121</v>
      </c>
      <c r="AJ296" s="530">
        <f t="shared" si="423"/>
        <v>98032.383427447174</v>
      </c>
      <c r="AK296" s="530">
        <f t="shared" si="423"/>
        <v>98032.383427447174</v>
      </c>
      <c r="AL296" s="530">
        <f t="shared" si="423"/>
        <v>98032.383427447174</v>
      </c>
      <c r="AM296" s="530">
        <f t="shared" si="423"/>
        <v>98032.383427447174</v>
      </c>
      <c r="AN296" s="530">
        <f t="shared" si="423"/>
        <v>98032.383427447174</v>
      </c>
      <c r="AO296" s="530">
        <f t="shared" si="423"/>
        <v>98032.383427447174</v>
      </c>
      <c r="AP296" s="530">
        <f t="shared" si="423"/>
        <v>96881.986158715808</v>
      </c>
      <c r="AQ296" s="530">
        <f t="shared" si="423"/>
        <v>96881.986158715808</v>
      </c>
      <c r="AR296" s="530">
        <f t="shared" si="423"/>
        <v>96881.986158715808</v>
      </c>
      <c r="AS296" s="530">
        <f t="shared" si="423"/>
        <v>96881.986158715808</v>
      </c>
      <c r="AT296" s="530">
        <f t="shared" si="423"/>
        <v>96881.986158715808</v>
      </c>
      <c r="AU296" s="530">
        <f t="shared" si="423"/>
        <v>96881.986158715808</v>
      </c>
      <c r="AV296" s="530">
        <f t="shared" si="423"/>
        <v>100337.28879278914</v>
      </c>
      <c r="AW296" s="530">
        <f t="shared" si="423"/>
        <v>100337.28879278914</v>
      </c>
      <c r="AX296" s="530">
        <f t="shared" ref="AX296:BY296" si="424">SUM(AX290:AX295)</f>
        <v>100337.28879278914</v>
      </c>
      <c r="AY296" s="530">
        <f t="shared" si="424"/>
        <v>100337.28879278914</v>
      </c>
      <c r="AZ296" s="530">
        <f t="shared" si="424"/>
        <v>100337.28879278914</v>
      </c>
      <c r="BA296" s="530">
        <f t="shared" si="424"/>
        <v>100337.28879278914</v>
      </c>
      <c r="BB296" s="530">
        <f t="shared" si="424"/>
        <v>98756.271829769888</v>
      </c>
      <c r="BC296" s="530">
        <f t="shared" si="424"/>
        <v>98756.271829769888</v>
      </c>
      <c r="BD296" s="530">
        <f t="shared" si="424"/>
        <v>98756.271829769888</v>
      </c>
      <c r="BE296" s="530">
        <f t="shared" si="424"/>
        <v>98756.271829769888</v>
      </c>
      <c r="BF296" s="530">
        <f t="shared" si="424"/>
        <v>98756.271829769888</v>
      </c>
      <c r="BG296" s="530">
        <f t="shared" si="424"/>
        <v>98756.271829769888</v>
      </c>
      <c r="BH296" s="530">
        <f t="shared" si="424"/>
        <v>102729.36656072954</v>
      </c>
      <c r="BI296" s="530">
        <f t="shared" si="424"/>
        <v>102729.36656072954</v>
      </c>
      <c r="BJ296" s="530">
        <f t="shared" si="424"/>
        <v>102729.36656072954</v>
      </c>
      <c r="BK296" s="530">
        <f t="shared" si="424"/>
        <v>102729.36656072954</v>
      </c>
      <c r="BL296" s="530">
        <f t="shared" si="424"/>
        <v>102729.36656072954</v>
      </c>
      <c r="BM296" s="530">
        <f t="shared" si="424"/>
        <v>102729.36656072954</v>
      </c>
      <c r="BN296" s="530">
        <f t="shared" si="424"/>
        <v>100690.43552926106</v>
      </c>
      <c r="BO296" s="530">
        <f t="shared" si="424"/>
        <v>100690.43552926106</v>
      </c>
      <c r="BP296" s="530">
        <f t="shared" si="424"/>
        <v>100690.43552926106</v>
      </c>
      <c r="BQ296" s="530">
        <f t="shared" si="424"/>
        <v>100690.43552926106</v>
      </c>
      <c r="BR296" s="530">
        <f t="shared" si="424"/>
        <v>100690.43552926106</v>
      </c>
      <c r="BS296" s="530">
        <f t="shared" si="424"/>
        <v>100690.43552926106</v>
      </c>
      <c r="BT296" s="530">
        <f t="shared" si="424"/>
        <v>105171.27594236635</v>
      </c>
      <c r="BU296" s="530">
        <f t="shared" si="424"/>
        <v>105171.27594236635</v>
      </c>
      <c r="BV296" s="530">
        <f t="shared" si="424"/>
        <v>105171.27594236635</v>
      </c>
      <c r="BW296" s="530">
        <f t="shared" si="424"/>
        <v>105171.27594236635</v>
      </c>
      <c r="BX296" s="530">
        <f t="shared" si="424"/>
        <v>105171.27594236635</v>
      </c>
      <c r="BY296" s="530">
        <f t="shared" si="424"/>
        <v>105171.27594236635</v>
      </c>
    </row>
    <row r="297" spans="1:77" x14ac:dyDescent="0.3">
      <c r="A297" s="551"/>
      <c r="B297" s="548"/>
      <c r="C297" s="525"/>
      <c r="D297" s="525"/>
      <c r="E297" s="525"/>
      <c r="F297" s="525"/>
      <c r="G297" s="525"/>
      <c r="H297" s="525"/>
      <c r="I297" s="525"/>
      <c r="J297" s="525"/>
      <c r="K297" s="525"/>
      <c r="L297" s="525"/>
      <c r="M297" s="525"/>
      <c r="N297" s="525"/>
      <c r="O297" s="525"/>
      <c r="P297" s="565"/>
      <c r="Q297" s="525"/>
      <c r="R297" s="525"/>
      <c r="S297" s="525"/>
      <c r="T297" s="525"/>
      <c r="U297" s="525"/>
      <c r="V297" s="525"/>
      <c r="W297" s="525"/>
      <c r="X297" s="525"/>
      <c r="Y297" s="525"/>
      <c r="Z297" s="525"/>
      <c r="AA297" s="525"/>
      <c r="AB297" s="525"/>
      <c r="AC297" s="525"/>
      <c r="AD297" s="525"/>
      <c r="AE297" s="525"/>
      <c r="AF297" s="525"/>
      <c r="AG297" s="525"/>
      <c r="AH297" s="525"/>
      <c r="AI297" s="525"/>
      <c r="AJ297" s="525"/>
      <c r="AK297" s="525"/>
      <c r="AL297" s="525"/>
      <c r="AM297" s="525"/>
      <c r="AN297" s="525"/>
      <c r="AO297" s="525"/>
      <c r="AP297" s="525"/>
      <c r="AQ297" s="525"/>
      <c r="AR297" s="525"/>
      <c r="AS297" s="525"/>
      <c r="AT297" s="525"/>
      <c r="AU297" s="525"/>
      <c r="AV297" s="525"/>
      <c r="AW297" s="525"/>
      <c r="AX297" s="525"/>
      <c r="AY297" s="525"/>
      <c r="AZ297" s="525"/>
      <c r="BA297" s="525"/>
      <c r="BB297" s="525"/>
      <c r="BC297" s="525"/>
      <c r="BD297" s="525"/>
      <c r="BE297" s="525"/>
      <c r="BF297" s="525"/>
      <c r="BG297" s="525"/>
      <c r="BH297" s="525"/>
      <c r="BI297" s="525"/>
      <c r="BJ297" s="525"/>
      <c r="BK297" s="525"/>
      <c r="BL297" s="525"/>
      <c r="BM297" s="525"/>
      <c r="BN297" s="525"/>
      <c r="BO297" s="525"/>
      <c r="BP297" s="525"/>
      <c r="BQ297" s="525"/>
      <c r="BR297" s="525"/>
      <c r="BS297" s="525"/>
      <c r="BT297" s="525"/>
      <c r="BU297" s="525"/>
      <c r="BV297" s="525"/>
      <c r="BW297" s="525"/>
      <c r="BX297" s="525"/>
      <c r="BY297" s="525"/>
    </row>
    <row r="298" spans="1:77" x14ac:dyDescent="0.3">
      <c r="A298" s="551"/>
      <c r="B298" s="548"/>
      <c r="C298" s="525"/>
      <c r="D298" s="525"/>
      <c r="E298" s="628" t="str">
        <f>"WSM cost of sales: "&amp;E$155</f>
        <v>WSM cost of sales: FY27 Tranche</v>
      </c>
      <c r="F298" s="525"/>
      <c r="G298" s="525"/>
      <c r="H298" s="525"/>
      <c r="I298" s="525"/>
      <c r="J298" s="525"/>
      <c r="K298" s="525"/>
      <c r="L298" s="525"/>
      <c r="M298" s="525"/>
      <c r="N298" s="525"/>
      <c r="O298" s="525"/>
      <c r="P298" s="565"/>
      <c r="Q298" s="525"/>
      <c r="R298" s="527">
        <f t="shared" ref="R298:AW298" si="425">(R282-R290)*R$232</f>
        <v>-6628.2384829043804</v>
      </c>
      <c r="S298" s="527">
        <f t="shared" si="425"/>
        <v>-6628.2384829043804</v>
      </c>
      <c r="T298" s="527">
        <f t="shared" si="425"/>
        <v>-6628.2384829043804</v>
      </c>
      <c r="U298" s="527">
        <f t="shared" si="425"/>
        <v>-6628.2384829043804</v>
      </c>
      <c r="V298" s="527">
        <f t="shared" si="425"/>
        <v>-6628.2384829043804</v>
      </c>
      <c r="W298" s="527">
        <f t="shared" si="425"/>
        <v>-6628.2384829043804</v>
      </c>
      <c r="X298" s="527">
        <f t="shared" si="425"/>
        <v>-7855.5711302136469</v>
      </c>
      <c r="Y298" s="527">
        <f t="shared" si="425"/>
        <v>-7855.5711302136469</v>
      </c>
      <c r="Z298" s="527">
        <f t="shared" si="425"/>
        <v>-7855.5711302136469</v>
      </c>
      <c r="AA298" s="527">
        <f t="shared" si="425"/>
        <v>-7855.5711302136469</v>
      </c>
      <c r="AB298" s="527">
        <f t="shared" si="425"/>
        <v>-7855.5711302136469</v>
      </c>
      <c r="AC298" s="527">
        <f t="shared" si="425"/>
        <v>-7855.5711302136469</v>
      </c>
      <c r="AD298" s="527">
        <f t="shared" si="425"/>
        <v>-7544.2094203961469</v>
      </c>
      <c r="AE298" s="527">
        <f t="shared" si="425"/>
        <v>-7544.2094203961469</v>
      </c>
      <c r="AF298" s="527">
        <f t="shared" si="425"/>
        <v>-7544.2094203961469</v>
      </c>
      <c r="AG298" s="527">
        <f t="shared" si="425"/>
        <v>-7544.2094203961469</v>
      </c>
      <c r="AH298" s="527">
        <f t="shared" si="425"/>
        <v>-7544.2094203961469</v>
      </c>
      <c r="AI298" s="527">
        <f t="shared" si="425"/>
        <v>-7544.2094203961469</v>
      </c>
      <c r="AJ298" s="527">
        <f t="shared" si="425"/>
        <v>-7846.0240436902104</v>
      </c>
      <c r="AK298" s="527">
        <f t="shared" si="425"/>
        <v>-7846.0240436902104</v>
      </c>
      <c r="AL298" s="527">
        <f t="shared" si="425"/>
        <v>-7846.0240436902104</v>
      </c>
      <c r="AM298" s="527">
        <f t="shared" si="425"/>
        <v>-7846.0240436902104</v>
      </c>
      <c r="AN298" s="527">
        <f t="shared" si="425"/>
        <v>-7846.0240436902104</v>
      </c>
      <c r="AO298" s="527">
        <f t="shared" si="425"/>
        <v>-7846.0240436902104</v>
      </c>
      <c r="AP298" s="527">
        <f t="shared" si="425"/>
        <v>-7551.8291323437024</v>
      </c>
      <c r="AQ298" s="527">
        <f t="shared" si="425"/>
        <v>-7551.8291323437024</v>
      </c>
      <c r="AR298" s="527">
        <f t="shared" si="425"/>
        <v>-7551.8291323437024</v>
      </c>
      <c r="AS298" s="527">
        <f t="shared" si="425"/>
        <v>-7551.8291323437024</v>
      </c>
      <c r="AT298" s="527">
        <f t="shared" si="425"/>
        <v>-7551.8291323437024</v>
      </c>
      <c r="AU298" s="527">
        <f t="shared" si="425"/>
        <v>-7551.8291323437024</v>
      </c>
      <c r="AV298" s="527">
        <f t="shared" si="425"/>
        <v>-7851.2226818694808</v>
      </c>
      <c r="AW298" s="527">
        <f t="shared" si="425"/>
        <v>-7851.2226818694808</v>
      </c>
      <c r="AX298" s="527">
        <f t="shared" ref="AX298:BY298" si="426">(AX282-AX290)*AX$232</f>
        <v>-7851.2226818694808</v>
      </c>
      <c r="AY298" s="527">
        <f t="shared" si="426"/>
        <v>-7851.2226818694808</v>
      </c>
      <c r="AZ298" s="527">
        <f t="shared" si="426"/>
        <v>-7851.2226818694808</v>
      </c>
      <c r="BA298" s="527">
        <f t="shared" si="426"/>
        <v>-7851.2226818694808</v>
      </c>
      <c r="BB298" s="527">
        <f t="shared" si="426"/>
        <v>-7580.9970466089562</v>
      </c>
      <c r="BC298" s="527">
        <f t="shared" si="426"/>
        <v>-7580.9970466089562</v>
      </c>
      <c r="BD298" s="527">
        <f t="shared" si="426"/>
        <v>-7580.9970466089562</v>
      </c>
      <c r="BE298" s="527">
        <f t="shared" si="426"/>
        <v>-7580.9970466089562</v>
      </c>
      <c r="BF298" s="527">
        <f t="shared" si="426"/>
        <v>-7580.9970466089562</v>
      </c>
      <c r="BG298" s="527">
        <f t="shared" si="426"/>
        <v>-7580.9970466089562</v>
      </c>
      <c r="BH298" s="527">
        <f t="shared" si="426"/>
        <v>-7878.7517082488912</v>
      </c>
      <c r="BI298" s="527">
        <f t="shared" si="426"/>
        <v>-7878.7517082488912</v>
      </c>
      <c r="BJ298" s="527">
        <f t="shared" si="426"/>
        <v>-7878.7517082488912</v>
      </c>
      <c r="BK298" s="527">
        <f t="shared" si="426"/>
        <v>-7878.7517082488912</v>
      </c>
      <c r="BL298" s="527">
        <f t="shared" si="426"/>
        <v>-7878.7517082488912</v>
      </c>
      <c r="BM298" s="527">
        <f t="shared" si="426"/>
        <v>-7878.7517082488912</v>
      </c>
      <c r="BN298" s="527">
        <f t="shared" si="426"/>
        <v>-7616.4259962201068</v>
      </c>
      <c r="BO298" s="527">
        <f t="shared" si="426"/>
        <v>-7616.4259962201068</v>
      </c>
      <c r="BP298" s="527">
        <f t="shared" si="426"/>
        <v>-7616.4259962201068</v>
      </c>
      <c r="BQ298" s="527">
        <f t="shared" si="426"/>
        <v>-7616.4259962201068</v>
      </c>
      <c r="BR298" s="527">
        <f t="shared" si="426"/>
        <v>-7616.4259962201068</v>
      </c>
      <c r="BS298" s="527">
        <f t="shared" si="426"/>
        <v>-7616.4259962201068</v>
      </c>
      <c r="BT298" s="527">
        <f t="shared" si="426"/>
        <v>-7912.6565865807861</v>
      </c>
      <c r="BU298" s="527">
        <f t="shared" si="426"/>
        <v>-7912.6565865807861</v>
      </c>
      <c r="BV298" s="527">
        <f t="shared" si="426"/>
        <v>-7912.6565865807861</v>
      </c>
      <c r="BW298" s="527">
        <f t="shared" si="426"/>
        <v>-7912.6565865807861</v>
      </c>
      <c r="BX298" s="527">
        <f t="shared" si="426"/>
        <v>-7912.6565865807861</v>
      </c>
      <c r="BY298" s="527">
        <f t="shared" si="426"/>
        <v>-7912.6565865807861</v>
      </c>
    </row>
    <row r="299" spans="1:77" x14ac:dyDescent="0.3">
      <c r="A299" s="551"/>
      <c r="B299" s="548"/>
      <c r="C299" s="525"/>
      <c r="D299" s="525"/>
      <c r="E299" s="628" t="str">
        <f>"WSM cost of sales: "&amp;E$156</f>
        <v>WSM cost of sales: FY28 Tranche</v>
      </c>
      <c r="F299" s="525"/>
      <c r="G299" s="525"/>
      <c r="H299" s="525"/>
      <c r="I299" s="525"/>
      <c r="J299" s="525"/>
      <c r="K299" s="525"/>
      <c r="L299" s="525"/>
      <c r="M299" s="525"/>
      <c r="N299" s="525"/>
      <c r="O299" s="525"/>
      <c r="P299" s="565"/>
      <c r="Q299" s="525"/>
      <c r="R299" s="527">
        <f t="shared" ref="R299:AW299" si="427">(R283-R291)*R$232</f>
        <v>-6628.2384829043804</v>
      </c>
      <c r="S299" s="527">
        <f t="shared" si="427"/>
        <v>-6628.2384829043804</v>
      </c>
      <c r="T299" s="527">
        <f t="shared" si="427"/>
        <v>-6628.2384829043804</v>
      </c>
      <c r="U299" s="527">
        <f t="shared" si="427"/>
        <v>-6628.2384829043804</v>
      </c>
      <c r="V299" s="527">
        <f t="shared" si="427"/>
        <v>-6628.2384829043804</v>
      </c>
      <c r="W299" s="527">
        <f t="shared" si="427"/>
        <v>-6628.2384829043804</v>
      </c>
      <c r="X299" s="527">
        <f t="shared" si="427"/>
        <v>-6628.2384829043804</v>
      </c>
      <c r="Y299" s="527">
        <f t="shared" si="427"/>
        <v>-6628.2384829043804</v>
      </c>
      <c r="Z299" s="527">
        <f t="shared" si="427"/>
        <v>-6628.2384829043804</v>
      </c>
      <c r="AA299" s="527">
        <f t="shared" si="427"/>
        <v>-6628.2384829043804</v>
      </c>
      <c r="AB299" s="527">
        <f t="shared" si="427"/>
        <v>-6628.2384829043804</v>
      </c>
      <c r="AC299" s="527">
        <f t="shared" si="427"/>
        <v>-6628.2384829043804</v>
      </c>
      <c r="AD299" s="527">
        <f t="shared" si="427"/>
        <v>-6628.2384829043804</v>
      </c>
      <c r="AE299" s="527">
        <f t="shared" si="427"/>
        <v>-6628.2384829043804</v>
      </c>
      <c r="AF299" s="527">
        <f t="shared" si="427"/>
        <v>-6628.2384829043804</v>
      </c>
      <c r="AG299" s="527">
        <f t="shared" si="427"/>
        <v>-6628.2384829043804</v>
      </c>
      <c r="AH299" s="527">
        <f t="shared" si="427"/>
        <v>-6628.2384829043804</v>
      </c>
      <c r="AI299" s="527">
        <f t="shared" si="427"/>
        <v>-6628.2384829043804</v>
      </c>
      <c r="AJ299" s="527">
        <f t="shared" si="427"/>
        <v>-7824.1289910337246</v>
      </c>
      <c r="AK299" s="527">
        <f t="shared" si="427"/>
        <v>-7824.1289910337246</v>
      </c>
      <c r="AL299" s="527">
        <f t="shared" si="427"/>
        <v>-7824.1289910337246</v>
      </c>
      <c r="AM299" s="527">
        <f t="shared" si="427"/>
        <v>-7824.1289910337246</v>
      </c>
      <c r="AN299" s="527">
        <f t="shared" si="427"/>
        <v>-7824.1289910337246</v>
      </c>
      <c r="AO299" s="527">
        <f t="shared" si="427"/>
        <v>-7824.1289910337246</v>
      </c>
      <c r="AP299" s="527">
        <f t="shared" si="427"/>
        <v>-7530.9450779442514</v>
      </c>
      <c r="AQ299" s="527">
        <f t="shared" si="427"/>
        <v>-7530.9450779442514</v>
      </c>
      <c r="AR299" s="527">
        <f t="shared" si="427"/>
        <v>-7530.9450779442514</v>
      </c>
      <c r="AS299" s="527">
        <f t="shared" si="427"/>
        <v>-7530.9450779442514</v>
      </c>
      <c r="AT299" s="527">
        <f t="shared" si="427"/>
        <v>-7530.9450779442514</v>
      </c>
      <c r="AU299" s="527">
        <f t="shared" si="427"/>
        <v>-7530.9450779442514</v>
      </c>
      <c r="AV299" s="527">
        <f t="shared" si="427"/>
        <v>-7829.5032652940554</v>
      </c>
      <c r="AW299" s="527">
        <f t="shared" si="427"/>
        <v>-7829.5032652940554</v>
      </c>
      <c r="AX299" s="527">
        <f t="shared" ref="AX299:BY299" si="428">(AX283-AX291)*AX$232</f>
        <v>-7829.5032652940554</v>
      </c>
      <c r="AY299" s="527">
        <f t="shared" si="428"/>
        <v>-7829.5032652940554</v>
      </c>
      <c r="AZ299" s="527">
        <f t="shared" si="428"/>
        <v>-7829.5032652940554</v>
      </c>
      <c r="BA299" s="527">
        <f t="shared" si="428"/>
        <v>-7829.5032652940554</v>
      </c>
      <c r="BB299" s="527">
        <f t="shared" si="428"/>
        <v>-7560.2273120531299</v>
      </c>
      <c r="BC299" s="527">
        <f t="shared" si="428"/>
        <v>-7560.2273120531299</v>
      </c>
      <c r="BD299" s="527">
        <f t="shared" si="428"/>
        <v>-7560.2273120531299</v>
      </c>
      <c r="BE299" s="527">
        <f t="shared" si="428"/>
        <v>-7560.2273120531299</v>
      </c>
      <c r="BF299" s="527">
        <f t="shared" si="428"/>
        <v>-7560.2273120531299</v>
      </c>
      <c r="BG299" s="527">
        <f t="shared" si="428"/>
        <v>-7560.2273120531299</v>
      </c>
      <c r="BH299" s="527">
        <f t="shared" si="428"/>
        <v>-7857.1511843108265</v>
      </c>
      <c r="BI299" s="527">
        <f t="shared" si="428"/>
        <v>-7857.1511843108265</v>
      </c>
      <c r="BJ299" s="527">
        <f t="shared" si="428"/>
        <v>-7857.1511843108265</v>
      </c>
      <c r="BK299" s="527">
        <f t="shared" si="428"/>
        <v>-7857.1511843108265</v>
      </c>
      <c r="BL299" s="527">
        <f t="shared" si="428"/>
        <v>-7857.1511843108265</v>
      </c>
      <c r="BM299" s="527">
        <f t="shared" si="428"/>
        <v>-7857.1511843108265</v>
      </c>
      <c r="BN299" s="527">
        <f t="shared" si="428"/>
        <v>-7595.7625725302059</v>
      </c>
      <c r="BO299" s="527">
        <f t="shared" si="428"/>
        <v>-7595.7625725302059</v>
      </c>
      <c r="BP299" s="527">
        <f t="shared" si="428"/>
        <v>-7595.7625725302059</v>
      </c>
      <c r="BQ299" s="527">
        <f t="shared" si="428"/>
        <v>-7595.7625725302059</v>
      </c>
      <c r="BR299" s="527">
        <f t="shared" si="428"/>
        <v>-7595.7625725302059</v>
      </c>
      <c r="BS299" s="527">
        <f t="shared" si="428"/>
        <v>-7595.7625725302059</v>
      </c>
      <c r="BT299" s="527">
        <f t="shared" si="428"/>
        <v>-7891.1666259432932</v>
      </c>
      <c r="BU299" s="527">
        <f t="shared" si="428"/>
        <v>-7891.1666259432932</v>
      </c>
      <c r="BV299" s="527">
        <f t="shared" si="428"/>
        <v>-7891.1666259432932</v>
      </c>
      <c r="BW299" s="527">
        <f t="shared" si="428"/>
        <v>-7891.1666259432932</v>
      </c>
      <c r="BX299" s="527">
        <f t="shared" si="428"/>
        <v>-7891.1666259432932</v>
      </c>
      <c r="BY299" s="527">
        <f t="shared" si="428"/>
        <v>-7891.1666259432932</v>
      </c>
    </row>
    <row r="300" spans="1:77" x14ac:dyDescent="0.3">
      <c r="A300" s="551"/>
      <c r="B300" s="548"/>
      <c r="C300" s="525"/>
      <c r="D300" s="525"/>
      <c r="E300" s="628" t="str">
        <f>"WSM cost of sales: "&amp;E$157</f>
        <v>WSM cost of sales: FY29 Tranche</v>
      </c>
      <c r="F300" s="525"/>
      <c r="G300" s="525"/>
      <c r="H300" s="525"/>
      <c r="I300" s="525"/>
      <c r="J300" s="525"/>
      <c r="K300" s="525"/>
      <c r="L300" s="525"/>
      <c r="M300" s="525"/>
      <c r="N300" s="525"/>
      <c r="O300" s="525"/>
      <c r="P300" s="565"/>
      <c r="Q300" s="525"/>
      <c r="R300" s="527">
        <f t="shared" ref="R300:AW300" si="429">(R284-R292)*R$232</f>
        <v>-6628.2384829043804</v>
      </c>
      <c r="S300" s="527">
        <f t="shared" si="429"/>
        <v>-6628.2384829043804</v>
      </c>
      <c r="T300" s="527">
        <f t="shared" si="429"/>
        <v>-6628.2384829043804</v>
      </c>
      <c r="U300" s="527">
        <f t="shared" si="429"/>
        <v>-6628.2384829043804</v>
      </c>
      <c r="V300" s="527">
        <f t="shared" si="429"/>
        <v>-6628.2384829043804</v>
      </c>
      <c r="W300" s="527">
        <f t="shared" si="429"/>
        <v>-6628.2384829043804</v>
      </c>
      <c r="X300" s="527">
        <f t="shared" si="429"/>
        <v>-6628.2384829043804</v>
      </c>
      <c r="Y300" s="527">
        <f t="shared" si="429"/>
        <v>-6628.2384829043804</v>
      </c>
      <c r="Z300" s="527">
        <f t="shared" si="429"/>
        <v>-6628.2384829043804</v>
      </c>
      <c r="AA300" s="527">
        <f t="shared" si="429"/>
        <v>-6628.2384829043804</v>
      </c>
      <c r="AB300" s="527">
        <f t="shared" si="429"/>
        <v>-6628.2384829043804</v>
      </c>
      <c r="AC300" s="527">
        <f t="shared" si="429"/>
        <v>-6628.2384829043804</v>
      </c>
      <c r="AD300" s="527">
        <f t="shared" si="429"/>
        <v>-6628.2384829043804</v>
      </c>
      <c r="AE300" s="527">
        <f t="shared" si="429"/>
        <v>-6628.2384829043804</v>
      </c>
      <c r="AF300" s="527">
        <f t="shared" si="429"/>
        <v>-6628.2384829043804</v>
      </c>
      <c r="AG300" s="527">
        <f t="shared" si="429"/>
        <v>-6628.2384829043804</v>
      </c>
      <c r="AH300" s="527">
        <f t="shared" si="429"/>
        <v>-6628.2384829043804</v>
      </c>
      <c r="AI300" s="527">
        <f t="shared" si="429"/>
        <v>-6628.2384829043804</v>
      </c>
      <c r="AJ300" s="527">
        <f t="shared" si="429"/>
        <v>-6628.2384829043804</v>
      </c>
      <c r="AK300" s="527">
        <f t="shared" si="429"/>
        <v>-6628.2384829043804</v>
      </c>
      <c r="AL300" s="527">
        <f t="shared" si="429"/>
        <v>-6628.2384829043804</v>
      </c>
      <c r="AM300" s="527">
        <f t="shared" si="429"/>
        <v>-6628.2384829043804</v>
      </c>
      <c r="AN300" s="527">
        <f t="shared" si="429"/>
        <v>-6628.2384829043804</v>
      </c>
      <c r="AO300" s="527">
        <f t="shared" si="429"/>
        <v>-6628.2384829043804</v>
      </c>
      <c r="AP300" s="527">
        <f t="shared" si="429"/>
        <v>-6628.2384829043804</v>
      </c>
      <c r="AQ300" s="527">
        <f t="shared" si="429"/>
        <v>-6628.2384829043804</v>
      </c>
      <c r="AR300" s="527">
        <f t="shared" si="429"/>
        <v>-6628.2384829043804</v>
      </c>
      <c r="AS300" s="527">
        <f t="shared" si="429"/>
        <v>-6628.2384829043804</v>
      </c>
      <c r="AT300" s="527">
        <f t="shared" si="429"/>
        <v>-6628.2384829043804</v>
      </c>
      <c r="AU300" s="527">
        <f t="shared" si="429"/>
        <v>-6628.2384829043804</v>
      </c>
      <c r="AV300" s="527">
        <f t="shared" si="429"/>
        <v>-7794.52215794935</v>
      </c>
      <c r="AW300" s="527">
        <f t="shared" si="429"/>
        <v>-7794.52215794935</v>
      </c>
      <c r="AX300" s="527">
        <f t="shared" ref="AX300:BY300" si="430">(AX284-AX292)*AX$232</f>
        <v>-7794.52215794935</v>
      </c>
      <c r="AY300" s="527">
        <f t="shared" si="430"/>
        <v>-7794.52215794935</v>
      </c>
      <c r="AZ300" s="527">
        <f t="shared" si="430"/>
        <v>-7794.52215794935</v>
      </c>
      <c r="BA300" s="527">
        <f t="shared" si="430"/>
        <v>-7794.52215794935</v>
      </c>
      <c r="BB300" s="527">
        <f t="shared" si="430"/>
        <v>-7526.7757544804217</v>
      </c>
      <c r="BC300" s="527">
        <f t="shared" si="430"/>
        <v>-7526.7757544804217</v>
      </c>
      <c r="BD300" s="527">
        <f t="shared" si="430"/>
        <v>-7526.7757544804217</v>
      </c>
      <c r="BE300" s="527">
        <f t="shared" si="430"/>
        <v>-7526.7757544804217</v>
      </c>
      <c r="BF300" s="527">
        <f t="shared" si="430"/>
        <v>-7526.7757544804217</v>
      </c>
      <c r="BG300" s="527">
        <f t="shared" si="430"/>
        <v>-7526.7757544804217</v>
      </c>
      <c r="BH300" s="527">
        <f t="shared" si="430"/>
        <v>-7822.3615644352094</v>
      </c>
      <c r="BI300" s="527">
        <f t="shared" si="430"/>
        <v>-7822.3615644352094</v>
      </c>
      <c r="BJ300" s="527">
        <f t="shared" si="430"/>
        <v>-7822.3615644352094</v>
      </c>
      <c r="BK300" s="527">
        <f t="shared" si="430"/>
        <v>-7822.3615644352094</v>
      </c>
      <c r="BL300" s="527">
        <f t="shared" si="430"/>
        <v>-7822.3615644352094</v>
      </c>
      <c r="BM300" s="527">
        <f t="shared" si="430"/>
        <v>-7822.3615644352094</v>
      </c>
      <c r="BN300" s="527">
        <f t="shared" si="430"/>
        <v>-7562.4822383326837</v>
      </c>
      <c r="BO300" s="527">
        <f t="shared" si="430"/>
        <v>-7562.4822383326837</v>
      </c>
      <c r="BP300" s="527">
        <f t="shared" si="430"/>
        <v>-7562.4822383326837</v>
      </c>
      <c r="BQ300" s="527">
        <f t="shared" si="430"/>
        <v>-7562.4822383326837</v>
      </c>
      <c r="BR300" s="527">
        <f t="shared" si="430"/>
        <v>-7562.4822383326837</v>
      </c>
      <c r="BS300" s="527">
        <f t="shared" si="430"/>
        <v>-7562.4822383326837</v>
      </c>
      <c r="BT300" s="527">
        <f t="shared" si="430"/>
        <v>-7856.5550783778663</v>
      </c>
      <c r="BU300" s="527">
        <f t="shared" si="430"/>
        <v>-7856.5550783778663</v>
      </c>
      <c r="BV300" s="527">
        <f t="shared" si="430"/>
        <v>-7856.5550783778663</v>
      </c>
      <c r="BW300" s="527">
        <f t="shared" si="430"/>
        <v>-7856.5550783778663</v>
      </c>
      <c r="BX300" s="527">
        <f t="shared" si="430"/>
        <v>-7856.5550783778663</v>
      </c>
      <c r="BY300" s="527">
        <f t="shared" si="430"/>
        <v>-7856.5550783778663</v>
      </c>
    </row>
    <row r="301" spans="1:77" x14ac:dyDescent="0.3">
      <c r="A301" s="551"/>
      <c r="B301" s="548"/>
      <c r="C301" s="525"/>
      <c r="D301" s="525"/>
      <c r="E301" s="628" t="str">
        <f>"WSM cost of sales: "&amp;E$158</f>
        <v>WSM cost of sales: FY30 Tranche</v>
      </c>
      <c r="F301" s="525"/>
      <c r="G301" s="525"/>
      <c r="H301" s="525"/>
      <c r="I301" s="525"/>
      <c r="J301" s="525"/>
      <c r="K301" s="525"/>
      <c r="L301" s="525"/>
      <c r="M301" s="525"/>
      <c r="N301" s="525"/>
      <c r="O301" s="525"/>
      <c r="P301" s="565"/>
      <c r="Q301" s="525"/>
      <c r="R301" s="527">
        <f t="shared" ref="R301:AW301" si="431">(R285-R293)*R$232</f>
        <v>-6628.2384829043804</v>
      </c>
      <c r="S301" s="527">
        <f t="shared" si="431"/>
        <v>-6628.2384829043804</v>
      </c>
      <c r="T301" s="527">
        <f t="shared" si="431"/>
        <v>-6628.2384829043804</v>
      </c>
      <c r="U301" s="527">
        <f t="shared" si="431"/>
        <v>-6628.2384829043804</v>
      </c>
      <c r="V301" s="527">
        <f t="shared" si="431"/>
        <v>-6628.2384829043804</v>
      </c>
      <c r="W301" s="527">
        <f t="shared" si="431"/>
        <v>-6628.2384829043804</v>
      </c>
      <c r="X301" s="527">
        <f t="shared" si="431"/>
        <v>-6628.2384829043804</v>
      </c>
      <c r="Y301" s="527">
        <f t="shared" si="431"/>
        <v>-6628.2384829043804</v>
      </c>
      <c r="Z301" s="527">
        <f t="shared" si="431"/>
        <v>-6628.2384829043804</v>
      </c>
      <c r="AA301" s="527">
        <f t="shared" si="431"/>
        <v>-6628.2384829043804</v>
      </c>
      <c r="AB301" s="527">
        <f t="shared" si="431"/>
        <v>-6628.2384829043804</v>
      </c>
      <c r="AC301" s="527">
        <f t="shared" si="431"/>
        <v>-6628.2384829043804</v>
      </c>
      <c r="AD301" s="527">
        <f t="shared" si="431"/>
        <v>-6628.2384829043804</v>
      </c>
      <c r="AE301" s="527">
        <f t="shared" si="431"/>
        <v>-6628.2384829043804</v>
      </c>
      <c r="AF301" s="527">
        <f t="shared" si="431"/>
        <v>-6628.2384829043804</v>
      </c>
      <c r="AG301" s="527">
        <f t="shared" si="431"/>
        <v>-6628.2384829043804</v>
      </c>
      <c r="AH301" s="527">
        <f t="shared" si="431"/>
        <v>-6628.2384829043804</v>
      </c>
      <c r="AI301" s="527">
        <f t="shared" si="431"/>
        <v>-6628.2384829043804</v>
      </c>
      <c r="AJ301" s="527">
        <f t="shared" si="431"/>
        <v>-6628.2384829043804</v>
      </c>
      <c r="AK301" s="527">
        <f t="shared" si="431"/>
        <v>-6628.2384829043804</v>
      </c>
      <c r="AL301" s="527">
        <f t="shared" si="431"/>
        <v>-6628.2384829043804</v>
      </c>
      <c r="AM301" s="527">
        <f t="shared" si="431"/>
        <v>-6628.2384829043804</v>
      </c>
      <c r="AN301" s="527">
        <f t="shared" si="431"/>
        <v>-6628.2384829043804</v>
      </c>
      <c r="AO301" s="527">
        <f t="shared" si="431"/>
        <v>-6628.2384829043804</v>
      </c>
      <c r="AP301" s="527">
        <f t="shared" si="431"/>
        <v>-6628.2384829043804</v>
      </c>
      <c r="AQ301" s="527">
        <f t="shared" si="431"/>
        <v>-6628.2384829043804</v>
      </c>
      <c r="AR301" s="527">
        <f t="shared" si="431"/>
        <v>-6628.2384829043804</v>
      </c>
      <c r="AS301" s="527">
        <f t="shared" si="431"/>
        <v>-6628.2384829043804</v>
      </c>
      <c r="AT301" s="527">
        <f t="shared" si="431"/>
        <v>-6628.2384829043804</v>
      </c>
      <c r="AU301" s="527">
        <f t="shared" si="431"/>
        <v>-6628.2384829043804</v>
      </c>
      <c r="AV301" s="527">
        <f t="shared" si="431"/>
        <v>-6628.2384829043804</v>
      </c>
      <c r="AW301" s="527">
        <f t="shared" si="431"/>
        <v>-6628.2384829043804</v>
      </c>
      <c r="AX301" s="527">
        <f t="shared" ref="AX301:BY301" si="432">(AX285-AX293)*AX$232</f>
        <v>-6628.2384829043804</v>
      </c>
      <c r="AY301" s="527">
        <f t="shared" si="432"/>
        <v>-6628.2384829043804</v>
      </c>
      <c r="AZ301" s="527">
        <f t="shared" si="432"/>
        <v>-6628.2384829043804</v>
      </c>
      <c r="BA301" s="527">
        <f t="shared" si="432"/>
        <v>-6628.2384829043804</v>
      </c>
      <c r="BB301" s="527">
        <f t="shared" si="432"/>
        <v>-6628.2384829043804</v>
      </c>
      <c r="BC301" s="527">
        <f t="shared" si="432"/>
        <v>-6628.2384829043804</v>
      </c>
      <c r="BD301" s="527">
        <f t="shared" si="432"/>
        <v>-6628.2384829043804</v>
      </c>
      <c r="BE301" s="527">
        <f t="shared" si="432"/>
        <v>-6628.2384829043804</v>
      </c>
      <c r="BF301" s="527">
        <f t="shared" si="432"/>
        <v>-6628.2384829043804</v>
      </c>
      <c r="BG301" s="527">
        <f t="shared" si="432"/>
        <v>-6628.2384829043804</v>
      </c>
      <c r="BH301" s="527">
        <f t="shared" si="432"/>
        <v>-7766.5878848212569</v>
      </c>
      <c r="BI301" s="527">
        <f t="shared" si="432"/>
        <v>-7766.5878848212569</v>
      </c>
      <c r="BJ301" s="527">
        <f t="shared" si="432"/>
        <v>-7766.5878848212569</v>
      </c>
      <c r="BK301" s="527">
        <f t="shared" si="432"/>
        <v>-7766.5878848212569</v>
      </c>
      <c r="BL301" s="527">
        <f t="shared" si="432"/>
        <v>-7766.5878848212569</v>
      </c>
      <c r="BM301" s="527">
        <f t="shared" si="432"/>
        <v>-7766.5878848212569</v>
      </c>
      <c r="BN301" s="527">
        <f t="shared" si="432"/>
        <v>-7509.1282004439572</v>
      </c>
      <c r="BO301" s="527">
        <f t="shared" si="432"/>
        <v>-7509.1282004439572</v>
      </c>
      <c r="BP301" s="527">
        <f t="shared" si="432"/>
        <v>-7509.1282004439572</v>
      </c>
      <c r="BQ301" s="527">
        <f t="shared" si="432"/>
        <v>-7509.1282004439572</v>
      </c>
      <c r="BR301" s="527">
        <f t="shared" si="432"/>
        <v>-7509.1282004439572</v>
      </c>
      <c r="BS301" s="527">
        <f t="shared" si="432"/>
        <v>-7509.1282004439572</v>
      </c>
      <c r="BT301" s="527">
        <f t="shared" si="432"/>
        <v>-7801.0668789735937</v>
      </c>
      <c r="BU301" s="527">
        <f t="shared" si="432"/>
        <v>-7801.0668789735937</v>
      </c>
      <c r="BV301" s="527">
        <f t="shared" si="432"/>
        <v>-7801.0668789735937</v>
      </c>
      <c r="BW301" s="527">
        <f t="shared" si="432"/>
        <v>-7801.0668789735937</v>
      </c>
      <c r="BX301" s="527">
        <f t="shared" si="432"/>
        <v>-7801.0668789735937</v>
      </c>
      <c r="BY301" s="527">
        <f t="shared" si="432"/>
        <v>-7801.0668789735937</v>
      </c>
    </row>
    <row r="302" spans="1:77" x14ac:dyDescent="0.3">
      <c r="A302" s="551"/>
      <c r="B302" s="548"/>
      <c r="C302" s="525"/>
      <c r="D302" s="525"/>
      <c r="E302" s="628" t="str">
        <f>"WSM cost of sales: "&amp;E$159</f>
        <v>WSM cost of sales: FY31 Tranche</v>
      </c>
      <c r="F302" s="525"/>
      <c r="G302" s="525"/>
      <c r="H302" s="525"/>
      <c r="I302" s="525"/>
      <c r="J302" s="525"/>
      <c r="K302" s="525"/>
      <c r="L302" s="525"/>
      <c r="M302" s="525"/>
      <c r="N302" s="525"/>
      <c r="O302" s="525"/>
      <c r="P302" s="565"/>
      <c r="Q302" s="525"/>
      <c r="R302" s="527">
        <f t="shared" ref="R302:AW302" si="433">(R286-R294)*R$232</f>
        <v>-6628.2384829043804</v>
      </c>
      <c r="S302" s="527">
        <f t="shared" si="433"/>
        <v>-6628.2384829043804</v>
      </c>
      <c r="T302" s="527">
        <f t="shared" si="433"/>
        <v>-6628.2384829043804</v>
      </c>
      <c r="U302" s="527">
        <f t="shared" si="433"/>
        <v>-6628.2384829043804</v>
      </c>
      <c r="V302" s="527">
        <f t="shared" si="433"/>
        <v>-6628.2384829043804</v>
      </c>
      <c r="W302" s="527">
        <f t="shared" si="433"/>
        <v>-6628.2384829043804</v>
      </c>
      <c r="X302" s="527">
        <f t="shared" si="433"/>
        <v>-6628.2384829043804</v>
      </c>
      <c r="Y302" s="527">
        <f t="shared" si="433"/>
        <v>-6628.2384829043804</v>
      </c>
      <c r="Z302" s="527">
        <f t="shared" si="433"/>
        <v>-6628.2384829043804</v>
      </c>
      <c r="AA302" s="527">
        <f t="shared" si="433"/>
        <v>-6628.2384829043804</v>
      </c>
      <c r="AB302" s="527">
        <f t="shared" si="433"/>
        <v>-6628.2384829043804</v>
      </c>
      <c r="AC302" s="527">
        <f t="shared" si="433"/>
        <v>-6628.2384829043804</v>
      </c>
      <c r="AD302" s="527">
        <f t="shared" si="433"/>
        <v>-6628.2384829043804</v>
      </c>
      <c r="AE302" s="527">
        <f t="shared" si="433"/>
        <v>-6628.2384829043804</v>
      </c>
      <c r="AF302" s="527">
        <f t="shared" si="433"/>
        <v>-6628.2384829043804</v>
      </c>
      <c r="AG302" s="527">
        <f t="shared" si="433"/>
        <v>-6628.2384829043804</v>
      </c>
      <c r="AH302" s="527">
        <f t="shared" si="433"/>
        <v>-6628.2384829043804</v>
      </c>
      <c r="AI302" s="527">
        <f t="shared" si="433"/>
        <v>-6628.2384829043804</v>
      </c>
      <c r="AJ302" s="527">
        <f t="shared" si="433"/>
        <v>-6628.2384829043804</v>
      </c>
      <c r="AK302" s="527">
        <f t="shared" si="433"/>
        <v>-6628.2384829043804</v>
      </c>
      <c r="AL302" s="527">
        <f t="shared" si="433"/>
        <v>-6628.2384829043804</v>
      </c>
      <c r="AM302" s="527">
        <f t="shared" si="433"/>
        <v>-6628.2384829043804</v>
      </c>
      <c r="AN302" s="527">
        <f t="shared" si="433"/>
        <v>-6628.2384829043804</v>
      </c>
      <c r="AO302" s="527">
        <f t="shared" si="433"/>
        <v>-6628.2384829043804</v>
      </c>
      <c r="AP302" s="527">
        <f t="shared" si="433"/>
        <v>-6628.2384829043804</v>
      </c>
      <c r="AQ302" s="527">
        <f t="shared" si="433"/>
        <v>-6628.2384829043804</v>
      </c>
      <c r="AR302" s="527">
        <f t="shared" si="433"/>
        <v>-6628.2384829043804</v>
      </c>
      <c r="AS302" s="527">
        <f t="shared" si="433"/>
        <v>-6628.2384829043804</v>
      </c>
      <c r="AT302" s="527">
        <f t="shared" si="433"/>
        <v>-6628.2384829043804</v>
      </c>
      <c r="AU302" s="527">
        <f t="shared" si="433"/>
        <v>-6628.2384829043804</v>
      </c>
      <c r="AV302" s="527">
        <f t="shared" si="433"/>
        <v>-6628.2384829043804</v>
      </c>
      <c r="AW302" s="527">
        <f t="shared" si="433"/>
        <v>-6628.2384829043804</v>
      </c>
      <c r="AX302" s="527">
        <f t="shared" ref="AX302:BY302" si="434">(AX286-AX294)*AX$232</f>
        <v>-6628.2384829043804</v>
      </c>
      <c r="AY302" s="527">
        <f t="shared" si="434"/>
        <v>-6628.2384829043804</v>
      </c>
      <c r="AZ302" s="527">
        <f t="shared" si="434"/>
        <v>-6628.2384829043804</v>
      </c>
      <c r="BA302" s="527">
        <f t="shared" si="434"/>
        <v>-6628.2384829043804</v>
      </c>
      <c r="BB302" s="527">
        <f t="shared" si="434"/>
        <v>-6628.2384829043804</v>
      </c>
      <c r="BC302" s="527">
        <f t="shared" si="434"/>
        <v>-6628.2384829043804</v>
      </c>
      <c r="BD302" s="527">
        <f t="shared" si="434"/>
        <v>-6628.2384829043804</v>
      </c>
      <c r="BE302" s="527">
        <f t="shared" si="434"/>
        <v>-6628.2384829043804</v>
      </c>
      <c r="BF302" s="527">
        <f t="shared" si="434"/>
        <v>-6628.2384829043804</v>
      </c>
      <c r="BG302" s="527">
        <f t="shared" si="434"/>
        <v>-6628.2384829043804</v>
      </c>
      <c r="BH302" s="527">
        <f t="shared" si="434"/>
        <v>-6628.2384829043804</v>
      </c>
      <c r="BI302" s="527">
        <f t="shared" si="434"/>
        <v>-6628.2384829043804</v>
      </c>
      <c r="BJ302" s="527">
        <f t="shared" si="434"/>
        <v>-6628.2384829043804</v>
      </c>
      <c r="BK302" s="527">
        <f t="shared" si="434"/>
        <v>-6628.2384829043804</v>
      </c>
      <c r="BL302" s="527">
        <f t="shared" si="434"/>
        <v>-6628.2384829043804</v>
      </c>
      <c r="BM302" s="527">
        <f t="shared" si="434"/>
        <v>-6628.2384829043804</v>
      </c>
      <c r="BN302" s="527">
        <f t="shared" si="434"/>
        <v>-6628.2384829043804</v>
      </c>
      <c r="BO302" s="527">
        <f t="shared" si="434"/>
        <v>-6628.2384829043804</v>
      </c>
      <c r="BP302" s="527">
        <f t="shared" si="434"/>
        <v>-6628.2384829043804</v>
      </c>
      <c r="BQ302" s="527">
        <f t="shared" si="434"/>
        <v>-6628.2384829043804</v>
      </c>
      <c r="BR302" s="527">
        <f t="shared" si="434"/>
        <v>-6628.2384829043804</v>
      </c>
      <c r="BS302" s="527">
        <f t="shared" si="434"/>
        <v>-6628.2384829043804</v>
      </c>
      <c r="BT302" s="527">
        <f t="shared" si="434"/>
        <v>-7738.4548232523675</v>
      </c>
      <c r="BU302" s="527">
        <f t="shared" si="434"/>
        <v>-7738.4548232523675</v>
      </c>
      <c r="BV302" s="527">
        <f t="shared" si="434"/>
        <v>-7738.4548232523675</v>
      </c>
      <c r="BW302" s="527">
        <f t="shared" si="434"/>
        <v>-7738.4548232523675</v>
      </c>
      <c r="BX302" s="527">
        <f t="shared" si="434"/>
        <v>-7738.4548232523675</v>
      </c>
      <c r="BY302" s="527">
        <f t="shared" si="434"/>
        <v>-7738.4548232523675</v>
      </c>
    </row>
    <row r="303" spans="1:77" x14ac:dyDescent="0.3">
      <c r="A303" s="551"/>
      <c r="B303" s="548"/>
      <c r="C303" s="525"/>
      <c r="D303" s="525"/>
      <c r="E303" s="628" t="str">
        <f>"WSM cost of sales: "&amp;E$160</f>
        <v>WSM cost of sales: Uninvested Tranche</v>
      </c>
      <c r="F303" s="525"/>
      <c r="G303" s="525"/>
      <c r="H303" s="525"/>
      <c r="I303" s="525"/>
      <c r="J303" s="525"/>
      <c r="K303" s="525"/>
      <c r="L303" s="525"/>
      <c r="M303" s="525"/>
      <c r="N303" s="525"/>
      <c r="O303" s="525"/>
      <c r="P303" s="565"/>
      <c r="Q303" s="525"/>
      <c r="R303" s="527">
        <f t="shared" ref="R303:AW303" si="435">(R287-R295)*R$232</f>
        <v>-14499.271681353332</v>
      </c>
      <c r="S303" s="527">
        <f t="shared" si="435"/>
        <v>-14499.271681353332</v>
      </c>
      <c r="T303" s="527">
        <f t="shared" si="435"/>
        <v>-14499.271681353332</v>
      </c>
      <c r="U303" s="527">
        <f t="shared" si="435"/>
        <v>-14499.271681353332</v>
      </c>
      <c r="V303" s="527">
        <f t="shared" si="435"/>
        <v>-14499.271681353332</v>
      </c>
      <c r="W303" s="527">
        <f t="shared" si="435"/>
        <v>-14499.271681353332</v>
      </c>
      <c r="X303" s="527">
        <f t="shared" si="435"/>
        <v>-14499.271681353332</v>
      </c>
      <c r="Y303" s="527">
        <f t="shared" si="435"/>
        <v>-14499.271681353332</v>
      </c>
      <c r="Z303" s="527">
        <f t="shared" si="435"/>
        <v>-14499.271681353332</v>
      </c>
      <c r="AA303" s="527">
        <f t="shared" si="435"/>
        <v>-14499.271681353332</v>
      </c>
      <c r="AB303" s="527">
        <f t="shared" si="435"/>
        <v>-14499.271681353332</v>
      </c>
      <c r="AC303" s="527">
        <f t="shared" si="435"/>
        <v>-14499.271681353332</v>
      </c>
      <c r="AD303" s="527">
        <f t="shared" si="435"/>
        <v>-14499.271681353332</v>
      </c>
      <c r="AE303" s="527">
        <f t="shared" si="435"/>
        <v>-14499.271681353332</v>
      </c>
      <c r="AF303" s="527">
        <f t="shared" si="435"/>
        <v>-14499.271681353332</v>
      </c>
      <c r="AG303" s="527">
        <f t="shared" si="435"/>
        <v>-14499.271681353332</v>
      </c>
      <c r="AH303" s="527">
        <f t="shared" si="435"/>
        <v>-14499.271681353332</v>
      </c>
      <c r="AI303" s="527">
        <f t="shared" si="435"/>
        <v>-14499.271681353332</v>
      </c>
      <c r="AJ303" s="527">
        <f t="shared" si="435"/>
        <v>-14499.271681353332</v>
      </c>
      <c r="AK303" s="527">
        <f t="shared" si="435"/>
        <v>-14499.271681353332</v>
      </c>
      <c r="AL303" s="527">
        <f t="shared" si="435"/>
        <v>-14499.271681353332</v>
      </c>
      <c r="AM303" s="527">
        <f t="shared" si="435"/>
        <v>-14499.271681353332</v>
      </c>
      <c r="AN303" s="527">
        <f t="shared" si="435"/>
        <v>-14499.271681353332</v>
      </c>
      <c r="AO303" s="527">
        <f t="shared" si="435"/>
        <v>-14499.271681353332</v>
      </c>
      <c r="AP303" s="527">
        <f t="shared" si="435"/>
        <v>-14499.271681353332</v>
      </c>
      <c r="AQ303" s="527">
        <f t="shared" si="435"/>
        <v>-14499.271681353332</v>
      </c>
      <c r="AR303" s="527">
        <f t="shared" si="435"/>
        <v>-14499.271681353332</v>
      </c>
      <c r="AS303" s="527">
        <f t="shared" si="435"/>
        <v>-14499.271681353332</v>
      </c>
      <c r="AT303" s="527">
        <f t="shared" si="435"/>
        <v>-14499.271681353332</v>
      </c>
      <c r="AU303" s="527">
        <f t="shared" si="435"/>
        <v>-14499.271681353332</v>
      </c>
      <c r="AV303" s="527">
        <f t="shared" si="435"/>
        <v>-14499.271681353332</v>
      </c>
      <c r="AW303" s="527">
        <f t="shared" si="435"/>
        <v>-14499.271681353332</v>
      </c>
      <c r="AX303" s="527">
        <f t="shared" ref="AX303:BY303" si="436">(AX287-AX295)*AX$232</f>
        <v>-14499.271681353332</v>
      </c>
      <c r="AY303" s="527">
        <f t="shared" si="436"/>
        <v>-14499.271681353332</v>
      </c>
      <c r="AZ303" s="527">
        <f t="shared" si="436"/>
        <v>-14499.271681353332</v>
      </c>
      <c r="BA303" s="527">
        <f t="shared" si="436"/>
        <v>-14499.271681353332</v>
      </c>
      <c r="BB303" s="527">
        <f t="shared" si="436"/>
        <v>-14499.271681353332</v>
      </c>
      <c r="BC303" s="527">
        <f t="shared" si="436"/>
        <v>-14499.271681353332</v>
      </c>
      <c r="BD303" s="527">
        <f t="shared" si="436"/>
        <v>-14499.271681353332</v>
      </c>
      <c r="BE303" s="527">
        <f t="shared" si="436"/>
        <v>-14499.271681353332</v>
      </c>
      <c r="BF303" s="527">
        <f t="shared" si="436"/>
        <v>-14499.271681353332</v>
      </c>
      <c r="BG303" s="527">
        <f t="shared" si="436"/>
        <v>-14499.271681353332</v>
      </c>
      <c r="BH303" s="527">
        <f t="shared" si="436"/>
        <v>-14499.271681353332</v>
      </c>
      <c r="BI303" s="527">
        <f t="shared" si="436"/>
        <v>-14499.271681353332</v>
      </c>
      <c r="BJ303" s="527">
        <f t="shared" si="436"/>
        <v>-14499.271681353332</v>
      </c>
      <c r="BK303" s="527">
        <f t="shared" si="436"/>
        <v>-14499.271681353332</v>
      </c>
      <c r="BL303" s="527">
        <f t="shared" si="436"/>
        <v>-14499.271681353332</v>
      </c>
      <c r="BM303" s="527">
        <f t="shared" si="436"/>
        <v>-14499.271681353332</v>
      </c>
      <c r="BN303" s="527">
        <f t="shared" si="436"/>
        <v>-14499.271681353332</v>
      </c>
      <c r="BO303" s="527">
        <f t="shared" si="436"/>
        <v>-14499.271681353332</v>
      </c>
      <c r="BP303" s="527">
        <f t="shared" si="436"/>
        <v>-14499.271681353332</v>
      </c>
      <c r="BQ303" s="527">
        <f t="shared" si="436"/>
        <v>-14499.271681353332</v>
      </c>
      <c r="BR303" s="527">
        <f t="shared" si="436"/>
        <v>-14499.271681353332</v>
      </c>
      <c r="BS303" s="527">
        <f t="shared" si="436"/>
        <v>-14499.271681353332</v>
      </c>
      <c r="BT303" s="527">
        <f t="shared" si="436"/>
        <v>-14499.271681353332</v>
      </c>
      <c r="BU303" s="527">
        <f t="shared" si="436"/>
        <v>-14499.271681353332</v>
      </c>
      <c r="BV303" s="527">
        <f t="shared" si="436"/>
        <v>-14499.271681353332</v>
      </c>
      <c r="BW303" s="527">
        <f t="shared" si="436"/>
        <v>-14499.271681353332</v>
      </c>
      <c r="BX303" s="527">
        <f t="shared" si="436"/>
        <v>-14499.271681353332</v>
      </c>
      <c r="BY303" s="527">
        <f t="shared" si="436"/>
        <v>-14499.271681353332</v>
      </c>
    </row>
    <row r="304" spans="1:77" x14ac:dyDescent="0.3">
      <c r="A304" s="551"/>
      <c r="B304" s="548"/>
      <c r="C304" s="525"/>
      <c r="D304" s="525"/>
      <c r="E304" s="572" t="s">
        <v>36</v>
      </c>
      <c r="F304" s="572"/>
      <c r="G304" s="572"/>
      <c r="H304" s="572"/>
      <c r="I304" s="572"/>
      <c r="J304" s="572"/>
      <c r="K304" s="572"/>
      <c r="L304" s="572"/>
      <c r="M304" s="572"/>
      <c r="N304" s="572"/>
      <c r="O304" s="572"/>
      <c r="P304" s="612"/>
      <c r="Q304" s="572"/>
      <c r="R304" s="530">
        <f t="shared" ref="R304:AW304" si="437">SUM(R298:R303)</f>
        <v>-47640.464095875235</v>
      </c>
      <c r="S304" s="530">
        <f t="shared" si="437"/>
        <v>-47640.464095875235</v>
      </c>
      <c r="T304" s="530">
        <f t="shared" si="437"/>
        <v>-47640.464095875235</v>
      </c>
      <c r="U304" s="530">
        <f t="shared" si="437"/>
        <v>-47640.464095875235</v>
      </c>
      <c r="V304" s="530">
        <f t="shared" si="437"/>
        <v>-47640.464095875235</v>
      </c>
      <c r="W304" s="530">
        <f t="shared" si="437"/>
        <v>-47640.464095875235</v>
      </c>
      <c r="X304" s="530">
        <f t="shared" si="437"/>
        <v>-48867.796743184503</v>
      </c>
      <c r="Y304" s="530">
        <f t="shared" si="437"/>
        <v>-48867.796743184503</v>
      </c>
      <c r="Z304" s="530">
        <f t="shared" si="437"/>
        <v>-48867.796743184503</v>
      </c>
      <c r="AA304" s="530">
        <f t="shared" si="437"/>
        <v>-48867.796743184503</v>
      </c>
      <c r="AB304" s="530">
        <f t="shared" si="437"/>
        <v>-48867.796743184503</v>
      </c>
      <c r="AC304" s="530">
        <f t="shared" si="437"/>
        <v>-48867.796743184503</v>
      </c>
      <c r="AD304" s="530">
        <f t="shared" si="437"/>
        <v>-48556.435033367001</v>
      </c>
      <c r="AE304" s="530">
        <f t="shared" si="437"/>
        <v>-48556.435033367001</v>
      </c>
      <c r="AF304" s="530">
        <f t="shared" si="437"/>
        <v>-48556.435033367001</v>
      </c>
      <c r="AG304" s="530">
        <f t="shared" si="437"/>
        <v>-48556.435033367001</v>
      </c>
      <c r="AH304" s="530">
        <f t="shared" si="437"/>
        <v>-48556.435033367001</v>
      </c>
      <c r="AI304" s="530">
        <f t="shared" si="437"/>
        <v>-48556.435033367001</v>
      </c>
      <c r="AJ304" s="530">
        <f t="shared" si="437"/>
        <v>-50054.140164790413</v>
      </c>
      <c r="AK304" s="530">
        <f t="shared" si="437"/>
        <v>-50054.140164790413</v>
      </c>
      <c r="AL304" s="530">
        <f t="shared" si="437"/>
        <v>-50054.140164790413</v>
      </c>
      <c r="AM304" s="530">
        <f t="shared" si="437"/>
        <v>-50054.140164790413</v>
      </c>
      <c r="AN304" s="530">
        <f t="shared" si="437"/>
        <v>-50054.140164790413</v>
      </c>
      <c r="AO304" s="530">
        <f t="shared" si="437"/>
        <v>-50054.140164790413</v>
      </c>
      <c r="AP304" s="530">
        <f t="shared" si="437"/>
        <v>-49466.761340354424</v>
      </c>
      <c r="AQ304" s="530">
        <f t="shared" si="437"/>
        <v>-49466.761340354424</v>
      </c>
      <c r="AR304" s="530">
        <f t="shared" si="437"/>
        <v>-49466.761340354424</v>
      </c>
      <c r="AS304" s="530">
        <f t="shared" si="437"/>
        <v>-49466.761340354424</v>
      </c>
      <c r="AT304" s="530">
        <f t="shared" si="437"/>
        <v>-49466.761340354424</v>
      </c>
      <c r="AU304" s="530">
        <f t="shared" si="437"/>
        <v>-49466.761340354424</v>
      </c>
      <c r="AV304" s="530">
        <f t="shared" si="437"/>
        <v>-51230.996752274979</v>
      </c>
      <c r="AW304" s="530">
        <f t="shared" si="437"/>
        <v>-51230.996752274979</v>
      </c>
      <c r="AX304" s="530">
        <f t="shared" ref="AX304:BY304" si="438">SUM(AX298:AX303)</f>
        <v>-51230.996752274979</v>
      </c>
      <c r="AY304" s="530">
        <f t="shared" si="438"/>
        <v>-51230.996752274979</v>
      </c>
      <c r="AZ304" s="530">
        <f t="shared" si="438"/>
        <v>-51230.996752274979</v>
      </c>
      <c r="BA304" s="530">
        <f t="shared" si="438"/>
        <v>-51230.996752274979</v>
      </c>
      <c r="BB304" s="530">
        <f t="shared" si="438"/>
        <v>-50423.748760304603</v>
      </c>
      <c r="BC304" s="530">
        <f t="shared" si="438"/>
        <v>-50423.748760304603</v>
      </c>
      <c r="BD304" s="530">
        <f t="shared" si="438"/>
        <v>-50423.748760304603</v>
      </c>
      <c r="BE304" s="530">
        <f t="shared" si="438"/>
        <v>-50423.748760304603</v>
      </c>
      <c r="BF304" s="530">
        <f t="shared" si="438"/>
        <v>-50423.748760304603</v>
      </c>
      <c r="BG304" s="530">
        <f t="shared" si="438"/>
        <v>-50423.748760304603</v>
      </c>
      <c r="BH304" s="530">
        <f t="shared" si="438"/>
        <v>-52452.3625060739</v>
      </c>
      <c r="BI304" s="530">
        <f t="shared" si="438"/>
        <v>-52452.3625060739</v>
      </c>
      <c r="BJ304" s="530">
        <f t="shared" si="438"/>
        <v>-52452.3625060739</v>
      </c>
      <c r="BK304" s="530">
        <f t="shared" si="438"/>
        <v>-52452.3625060739</v>
      </c>
      <c r="BL304" s="530">
        <f t="shared" si="438"/>
        <v>-52452.3625060739</v>
      </c>
      <c r="BM304" s="530">
        <f t="shared" si="438"/>
        <v>-52452.3625060739</v>
      </c>
      <c r="BN304" s="530">
        <f t="shared" si="438"/>
        <v>-51411.309171784669</v>
      </c>
      <c r="BO304" s="530">
        <f t="shared" si="438"/>
        <v>-51411.309171784669</v>
      </c>
      <c r="BP304" s="530">
        <f t="shared" si="438"/>
        <v>-51411.309171784669</v>
      </c>
      <c r="BQ304" s="530">
        <f t="shared" si="438"/>
        <v>-51411.309171784669</v>
      </c>
      <c r="BR304" s="530">
        <f t="shared" si="438"/>
        <v>-51411.309171784669</v>
      </c>
      <c r="BS304" s="530">
        <f t="shared" si="438"/>
        <v>-51411.309171784669</v>
      </c>
      <c r="BT304" s="530">
        <f t="shared" si="438"/>
        <v>-53699.171674481244</v>
      </c>
      <c r="BU304" s="530">
        <f t="shared" si="438"/>
        <v>-53699.171674481244</v>
      </c>
      <c r="BV304" s="530">
        <f t="shared" si="438"/>
        <v>-53699.171674481244</v>
      </c>
      <c r="BW304" s="530">
        <f t="shared" si="438"/>
        <v>-53699.171674481244</v>
      </c>
      <c r="BX304" s="530">
        <f t="shared" si="438"/>
        <v>-53699.171674481244</v>
      </c>
      <c r="BY304" s="530">
        <f t="shared" si="438"/>
        <v>-53699.171674481244</v>
      </c>
    </row>
    <row r="305" spans="1:77" x14ac:dyDescent="0.3">
      <c r="A305" s="551"/>
      <c r="B305" s="548"/>
      <c r="C305" s="525"/>
      <c r="D305" s="525"/>
      <c r="E305" s="525"/>
      <c r="F305" s="525"/>
      <c r="G305" s="525"/>
      <c r="H305" s="525"/>
      <c r="I305" s="525"/>
      <c r="J305" s="525"/>
      <c r="K305" s="525"/>
      <c r="L305" s="525"/>
      <c r="M305" s="525"/>
      <c r="N305" s="525"/>
      <c r="O305" s="525"/>
      <c r="P305" s="565"/>
      <c r="Q305" s="525"/>
      <c r="R305" s="525"/>
      <c r="S305" s="525"/>
      <c r="T305" s="525"/>
      <c r="U305" s="525"/>
      <c r="V305" s="525"/>
      <c r="W305" s="525"/>
      <c r="X305" s="525"/>
      <c r="Y305" s="525"/>
      <c r="Z305" s="525"/>
      <c r="AA305" s="525"/>
      <c r="AB305" s="525"/>
      <c r="AC305" s="525"/>
      <c r="AD305" s="525"/>
      <c r="AE305" s="525"/>
      <c r="AF305" s="525"/>
      <c r="AG305" s="525"/>
      <c r="AH305" s="525"/>
      <c r="AI305" s="525"/>
      <c r="AJ305" s="525"/>
      <c r="AK305" s="525"/>
      <c r="AL305" s="525"/>
      <c r="AM305" s="525"/>
      <c r="AN305" s="525"/>
      <c r="AO305" s="525"/>
      <c r="AP305" s="525"/>
      <c r="AQ305" s="525"/>
      <c r="AR305" s="525"/>
      <c r="AS305" s="525"/>
      <c r="AT305" s="525"/>
      <c r="AU305" s="525"/>
      <c r="AV305" s="525"/>
      <c r="AW305" s="525"/>
      <c r="AX305" s="525"/>
      <c r="AY305" s="525"/>
      <c r="AZ305" s="525"/>
      <c r="BA305" s="525"/>
      <c r="BB305" s="525"/>
      <c r="BC305" s="525"/>
      <c r="BD305" s="525"/>
      <c r="BE305" s="525"/>
      <c r="BF305" s="525"/>
      <c r="BG305" s="525"/>
      <c r="BH305" s="525"/>
      <c r="BI305" s="525"/>
      <c r="BJ305" s="525"/>
      <c r="BK305" s="525"/>
      <c r="BL305" s="525"/>
      <c r="BM305" s="525"/>
      <c r="BN305" s="525"/>
      <c r="BO305" s="525"/>
      <c r="BP305" s="525"/>
      <c r="BQ305" s="525"/>
      <c r="BR305" s="525"/>
      <c r="BS305" s="525"/>
      <c r="BT305" s="525"/>
      <c r="BU305" s="525"/>
      <c r="BV305" s="525"/>
      <c r="BW305" s="525"/>
      <c r="BX305" s="525"/>
      <c r="BY305" s="525"/>
    </row>
    <row r="306" spans="1:77" x14ac:dyDescent="0.3">
      <c r="A306" s="551"/>
      <c r="B306" s="548"/>
      <c r="C306" s="525"/>
      <c r="D306" s="525"/>
      <c r="E306" s="629" t="str">
        <f>"WSM dist &amp; disp: "&amp;E$155</f>
        <v>WSM dist &amp; disp: FY27 Tranche</v>
      </c>
      <c r="F306" s="525"/>
      <c r="G306" s="525"/>
      <c r="H306" s="525"/>
      <c r="I306" s="525"/>
      <c r="J306" s="525"/>
      <c r="K306" s="525"/>
      <c r="L306" s="525"/>
      <c r="M306" s="525"/>
      <c r="N306" s="525"/>
      <c r="O306" s="525"/>
      <c r="P306" s="565"/>
      <c r="Q306" s="525"/>
      <c r="R306" s="527">
        <f t="shared" ref="R306:AW306" si="439">(R282-R290)*R$233</f>
        <v>-906.81965320057384</v>
      </c>
      <c r="S306" s="527">
        <f t="shared" si="439"/>
        <v>-906.81965320057384</v>
      </c>
      <c r="T306" s="527">
        <f t="shared" si="439"/>
        <v>-906.81965320057384</v>
      </c>
      <c r="U306" s="527">
        <f t="shared" si="439"/>
        <v>-906.81965320057384</v>
      </c>
      <c r="V306" s="527">
        <f t="shared" si="439"/>
        <v>-906.81965320057384</v>
      </c>
      <c r="W306" s="527">
        <f t="shared" si="439"/>
        <v>-906.81965320057384</v>
      </c>
      <c r="X306" s="527">
        <f t="shared" si="439"/>
        <v>-1074.732948484881</v>
      </c>
      <c r="Y306" s="527">
        <f t="shared" si="439"/>
        <v>-1074.732948484881</v>
      </c>
      <c r="Z306" s="527">
        <f t="shared" si="439"/>
        <v>-1074.732948484881</v>
      </c>
      <c r="AA306" s="527">
        <f t="shared" si="439"/>
        <v>-1074.732948484881</v>
      </c>
      <c r="AB306" s="527">
        <f t="shared" si="439"/>
        <v>-1074.732948484881</v>
      </c>
      <c r="AC306" s="527">
        <f t="shared" si="439"/>
        <v>-1074.732948484881</v>
      </c>
      <c r="AD306" s="527">
        <f t="shared" si="439"/>
        <v>-1032.1350669444264</v>
      </c>
      <c r="AE306" s="527">
        <f t="shared" si="439"/>
        <v>-1032.1350669444264</v>
      </c>
      <c r="AF306" s="527">
        <f t="shared" si="439"/>
        <v>-1032.1350669444264</v>
      </c>
      <c r="AG306" s="527">
        <f t="shared" si="439"/>
        <v>-1032.1350669444264</v>
      </c>
      <c r="AH306" s="527">
        <f t="shared" si="439"/>
        <v>-1032.1350669444264</v>
      </c>
      <c r="AI306" s="527">
        <f t="shared" si="439"/>
        <v>-1032.1350669444264</v>
      </c>
      <c r="AJ306" s="527">
        <f t="shared" si="439"/>
        <v>-1073.426796675077</v>
      </c>
      <c r="AK306" s="527">
        <f t="shared" si="439"/>
        <v>-1073.426796675077</v>
      </c>
      <c r="AL306" s="527">
        <f t="shared" si="439"/>
        <v>-1073.426796675077</v>
      </c>
      <c r="AM306" s="527">
        <f t="shared" si="439"/>
        <v>-1073.426796675077</v>
      </c>
      <c r="AN306" s="527">
        <f t="shared" si="439"/>
        <v>-1073.426796675077</v>
      </c>
      <c r="AO306" s="527">
        <f t="shared" si="439"/>
        <v>-1073.426796675077</v>
      </c>
      <c r="AP306" s="527">
        <f t="shared" si="439"/>
        <v>-1033.1775316299672</v>
      </c>
      <c r="AQ306" s="527">
        <f t="shared" si="439"/>
        <v>-1033.1775316299672</v>
      </c>
      <c r="AR306" s="527">
        <f t="shared" si="439"/>
        <v>-1033.1775316299672</v>
      </c>
      <c r="AS306" s="527">
        <f t="shared" si="439"/>
        <v>-1033.1775316299672</v>
      </c>
      <c r="AT306" s="527">
        <f t="shared" si="439"/>
        <v>-1033.1775316299672</v>
      </c>
      <c r="AU306" s="527">
        <f t="shared" si="439"/>
        <v>-1033.1775316299672</v>
      </c>
      <c r="AV306" s="527">
        <f t="shared" si="439"/>
        <v>-1074.1380304792017</v>
      </c>
      <c r="AW306" s="527">
        <f t="shared" si="439"/>
        <v>-1074.1380304792017</v>
      </c>
      <c r="AX306" s="527">
        <f t="shared" ref="AX306:BY306" si="440">(AX282-AX290)*AX$233</f>
        <v>-1074.1380304792017</v>
      </c>
      <c r="AY306" s="527">
        <f t="shared" si="440"/>
        <v>-1074.1380304792017</v>
      </c>
      <c r="AZ306" s="527">
        <f t="shared" si="440"/>
        <v>-1074.1380304792017</v>
      </c>
      <c r="BA306" s="527">
        <f t="shared" si="440"/>
        <v>-1074.1380304792017</v>
      </c>
      <c r="BB306" s="527">
        <f t="shared" si="440"/>
        <v>-1037.1680395102769</v>
      </c>
      <c r="BC306" s="527">
        <f t="shared" si="440"/>
        <v>-1037.1680395102769</v>
      </c>
      <c r="BD306" s="527">
        <f t="shared" si="440"/>
        <v>-1037.1680395102769</v>
      </c>
      <c r="BE306" s="527">
        <f t="shared" si="440"/>
        <v>-1037.1680395102769</v>
      </c>
      <c r="BF306" s="527">
        <f t="shared" si="440"/>
        <v>-1037.1680395102769</v>
      </c>
      <c r="BG306" s="527">
        <f t="shared" si="440"/>
        <v>-1037.1680395102769</v>
      </c>
      <c r="BH306" s="527">
        <f t="shared" si="440"/>
        <v>-1077.9043195496256</v>
      </c>
      <c r="BI306" s="527">
        <f t="shared" si="440"/>
        <v>-1077.9043195496256</v>
      </c>
      <c r="BJ306" s="527">
        <f t="shared" si="440"/>
        <v>-1077.9043195496256</v>
      </c>
      <c r="BK306" s="527">
        <f t="shared" si="440"/>
        <v>-1077.9043195496256</v>
      </c>
      <c r="BL306" s="527">
        <f t="shared" si="440"/>
        <v>-1077.9043195496256</v>
      </c>
      <c r="BM306" s="527">
        <f t="shared" si="440"/>
        <v>-1077.9043195496256</v>
      </c>
      <c r="BN306" s="527">
        <f t="shared" si="440"/>
        <v>-1042.0151294094271</v>
      </c>
      <c r="BO306" s="527">
        <f t="shared" si="440"/>
        <v>-1042.0151294094271</v>
      </c>
      <c r="BP306" s="527">
        <f t="shared" si="440"/>
        <v>-1042.0151294094271</v>
      </c>
      <c r="BQ306" s="527">
        <f t="shared" si="440"/>
        <v>-1042.0151294094271</v>
      </c>
      <c r="BR306" s="527">
        <f t="shared" si="440"/>
        <v>-1042.0151294094271</v>
      </c>
      <c r="BS306" s="527">
        <f t="shared" si="440"/>
        <v>-1042.0151294094271</v>
      </c>
      <c r="BT306" s="527">
        <f t="shared" si="440"/>
        <v>-1082.5428988780604</v>
      </c>
      <c r="BU306" s="527">
        <f t="shared" si="440"/>
        <v>-1082.5428988780604</v>
      </c>
      <c r="BV306" s="527">
        <f t="shared" si="440"/>
        <v>-1082.5428988780604</v>
      </c>
      <c r="BW306" s="527">
        <f t="shared" si="440"/>
        <v>-1082.5428988780604</v>
      </c>
      <c r="BX306" s="527">
        <f t="shared" si="440"/>
        <v>-1082.5428988780604</v>
      </c>
      <c r="BY306" s="527">
        <f t="shared" si="440"/>
        <v>-1082.5428988780604</v>
      </c>
    </row>
    <row r="307" spans="1:77" x14ac:dyDescent="0.3">
      <c r="A307" s="551"/>
      <c r="B307" s="548"/>
      <c r="C307" s="525"/>
      <c r="D307" s="525"/>
      <c r="E307" s="629" t="str">
        <f>"WSM dist &amp; disp: "&amp;E$156</f>
        <v>WSM dist &amp; disp: FY28 Tranche</v>
      </c>
      <c r="F307" s="525"/>
      <c r="G307" s="525"/>
      <c r="H307" s="525"/>
      <c r="I307" s="525"/>
      <c r="J307" s="525"/>
      <c r="K307" s="525"/>
      <c r="L307" s="525"/>
      <c r="M307" s="525"/>
      <c r="N307" s="525"/>
      <c r="O307" s="525"/>
      <c r="P307" s="565"/>
      <c r="Q307" s="525"/>
      <c r="R307" s="527">
        <f t="shared" ref="R307:AW307" si="441">(R283-R291)*R$233</f>
        <v>-906.81965320057384</v>
      </c>
      <c r="S307" s="527">
        <f t="shared" si="441"/>
        <v>-906.81965320057384</v>
      </c>
      <c r="T307" s="527">
        <f t="shared" si="441"/>
        <v>-906.81965320057384</v>
      </c>
      <c r="U307" s="527">
        <f t="shared" si="441"/>
        <v>-906.81965320057384</v>
      </c>
      <c r="V307" s="527">
        <f t="shared" si="441"/>
        <v>-906.81965320057384</v>
      </c>
      <c r="W307" s="527">
        <f t="shared" si="441"/>
        <v>-906.81965320057384</v>
      </c>
      <c r="X307" s="527">
        <f t="shared" si="441"/>
        <v>-906.81965320057384</v>
      </c>
      <c r="Y307" s="527">
        <f t="shared" si="441"/>
        <v>-906.81965320057384</v>
      </c>
      <c r="Z307" s="527">
        <f t="shared" si="441"/>
        <v>-906.81965320057384</v>
      </c>
      <c r="AA307" s="527">
        <f t="shared" si="441"/>
        <v>-906.81965320057384</v>
      </c>
      <c r="AB307" s="527">
        <f t="shared" si="441"/>
        <v>-906.81965320057384</v>
      </c>
      <c r="AC307" s="527">
        <f t="shared" si="441"/>
        <v>-906.81965320057384</v>
      </c>
      <c r="AD307" s="527">
        <f t="shared" si="441"/>
        <v>-906.81965320057384</v>
      </c>
      <c r="AE307" s="527">
        <f t="shared" si="441"/>
        <v>-906.81965320057384</v>
      </c>
      <c r="AF307" s="527">
        <f t="shared" si="441"/>
        <v>-906.81965320057384</v>
      </c>
      <c r="AG307" s="527">
        <f t="shared" si="441"/>
        <v>-906.81965320057384</v>
      </c>
      <c r="AH307" s="527">
        <f t="shared" si="441"/>
        <v>-906.81965320057384</v>
      </c>
      <c r="AI307" s="527">
        <f t="shared" si="441"/>
        <v>-906.81965320057384</v>
      </c>
      <c r="AJ307" s="527">
        <f t="shared" si="441"/>
        <v>-1070.4313003440423</v>
      </c>
      <c r="AK307" s="527">
        <f t="shared" si="441"/>
        <v>-1070.4313003440423</v>
      </c>
      <c r="AL307" s="527">
        <f t="shared" si="441"/>
        <v>-1070.4313003440423</v>
      </c>
      <c r="AM307" s="527">
        <f t="shared" si="441"/>
        <v>-1070.4313003440423</v>
      </c>
      <c r="AN307" s="527">
        <f t="shared" si="441"/>
        <v>-1070.4313003440423</v>
      </c>
      <c r="AO307" s="527">
        <f t="shared" si="441"/>
        <v>-1070.4313003440423</v>
      </c>
      <c r="AP307" s="527">
        <f t="shared" si="441"/>
        <v>-1030.3203515485961</v>
      </c>
      <c r="AQ307" s="527">
        <f t="shared" si="441"/>
        <v>-1030.3203515485961</v>
      </c>
      <c r="AR307" s="527">
        <f t="shared" si="441"/>
        <v>-1030.3203515485961</v>
      </c>
      <c r="AS307" s="527">
        <f t="shared" si="441"/>
        <v>-1030.3203515485961</v>
      </c>
      <c r="AT307" s="527">
        <f t="shared" si="441"/>
        <v>-1030.3203515485961</v>
      </c>
      <c r="AU307" s="527">
        <f t="shared" si="441"/>
        <v>-1030.3203515485961</v>
      </c>
      <c r="AV307" s="527">
        <f t="shared" si="441"/>
        <v>-1071.1665631945762</v>
      </c>
      <c r="AW307" s="527">
        <f t="shared" si="441"/>
        <v>-1071.1665631945762</v>
      </c>
      <c r="AX307" s="527">
        <f t="shared" ref="AX307:BY307" si="442">(AX283-AX291)*AX$233</f>
        <v>-1071.1665631945762</v>
      </c>
      <c r="AY307" s="527">
        <f t="shared" si="442"/>
        <v>-1071.1665631945762</v>
      </c>
      <c r="AZ307" s="527">
        <f t="shared" si="442"/>
        <v>-1071.1665631945762</v>
      </c>
      <c r="BA307" s="527">
        <f t="shared" si="442"/>
        <v>-1071.1665631945762</v>
      </c>
      <c r="BB307" s="527">
        <f t="shared" si="442"/>
        <v>-1034.3264997051597</v>
      </c>
      <c r="BC307" s="527">
        <f t="shared" si="442"/>
        <v>-1034.3264997051597</v>
      </c>
      <c r="BD307" s="527">
        <f t="shared" si="442"/>
        <v>-1034.3264997051597</v>
      </c>
      <c r="BE307" s="527">
        <f t="shared" si="442"/>
        <v>-1034.3264997051597</v>
      </c>
      <c r="BF307" s="527">
        <f t="shared" si="442"/>
        <v>-1034.3264997051597</v>
      </c>
      <c r="BG307" s="527">
        <f t="shared" si="442"/>
        <v>-1034.3264997051597</v>
      </c>
      <c r="BH307" s="527">
        <f t="shared" si="442"/>
        <v>-1074.9491181523028</v>
      </c>
      <c r="BI307" s="527">
        <f t="shared" si="442"/>
        <v>-1074.9491181523028</v>
      </c>
      <c r="BJ307" s="527">
        <f t="shared" si="442"/>
        <v>-1074.9491181523028</v>
      </c>
      <c r="BK307" s="527">
        <f t="shared" si="442"/>
        <v>-1074.9491181523028</v>
      </c>
      <c r="BL307" s="527">
        <f t="shared" si="442"/>
        <v>-1074.9491181523028</v>
      </c>
      <c r="BM307" s="527">
        <f t="shared" si="442"/>
        <v>-1074.9491181523028</v>
      </c>
      <c r="BN307" s="527">
        <f t="shared" si="442"/>
        <v>-1039.1881341598232</v>
      </c>
      <c r="BO307" s="527">
        <f t="shared" si="442"/>
        <v>-1039.1881341598232</v>
      </c>
      <c r="BP307" s="527">
        <f t="shared" si="442"/>
        <v>-1039.1881341598232</v>
      </c>
      <c r="BQ307" s="527">
        <f t="shared" si="442"/>
        <v>-1039.1881341598232</v>
      </c>
      <c r="BR307" s="527">
        <f t="shared" si="442"/>
        <v>-1039.1881341598232</v>
      </c>
      <c r="BS307" s="527">
        <f t="shared" si="442"/>
        <v>-1039.1881341598232</v>
      </c>
      <c r="BT307" s="527">
        <f t="shared" si="442"/>
        <v>-1079.6028238184729</v>
      </c>
      <c r="BU307" s="527">
        <f t="shared" si="442"/>
        <v>-1079.6028238184729</v>
      </c>
      <c r="BV307" s="527">
        <f t="shared" si="442"/>
        <v>-1079.6028238184729</v>
      </c>
      <c r="BW307" s="527">
        <f t="shared" si="442"/>
        <v>-1079.6028238184729</v>
      </c>
      <c r="BX307" s="527">
        <f t="shared" si="442"/>
        <v>-1079.6028238184729</v>
      </c>
      <c r="BY307" s="527">
        <f t="shared" si="442"/>
        <v>-1079.6028238184729</v>
      </c>
    </row>
    <row r="308" spans="1:77" x14ac:dyDescent="0.3">
      <c r="A308" s="551"/>
      <c r="B308" s="548"/>
      <c r="C308" s="525"/>
      <c r="D308" s="525"/>
      <c r="E308" s="629" t="str">
        <f>"WSM dist &amp; disp: "&amp;E$157</f>
        <v>WSM dist &amp; disp: FY29 Tranche</v>
      </c>
      <c r="F308" s="525"/>
      <c r="G308" s="525"/>
      <c r="H308" s="525"/>
      <c r="I308" s="525"/>
      <c r="J308" s="525"/>
      <c r="K308" s="525"/>
      <c r="L308" s="525"/>
      <c r="M308" s="525"/>
      <c r="N308" s="525"/>
      <c r="O308" s="525"/>
      <c r="P308" s="565"/>
      <c r="Q308" s="525"/>
      <c r="R308" s="527">
        <f t="shared" ref="R308:AW308" si="443">(R284-R292)*R$233</f>
        <v>-906.81965320057384</v>
      </c>
      <c r="S308" s="527">
        <f t="shared" si="443"/>
        <v>-906.81965320057384</v>
      </c>
      <c r="T308" s="527">
        <f t="shared" si="443"/>
        <v>-906.81965320057384</v>
      </c>
      <c r="U308" s="527">
        <f t="shared" si="443"/>
        <v>-906.81965320057384</v>
      </c>
      <c r="V308" s="527">
        <f t="shared" si="443"/>
        <v>-906.81965320057384</v>
      </c>
      <c r="W308" s="527">
        <f t="shared" si="443"/>
        <v>-906.81965320057384</v>
      </c>
      <c r="X308" s="527">
        <f t="shared" si="443"/>
        <v>-906.81965320057384</v>
      </c>
      <c r="Y308" s="527">
        <f t="shared" si="443"/>
        <v>-906.81965320057384</v>
      </c>
      <c r="Z308" s="527">
        <f t="shared" si="443"/>
        <v>-906.81965320057384</v>
      </c>
      <c r="AA308" s="527">
        <f t="shared" si="443"/>
        <v>-906.81965320057384</v>
      </c>
      <c r="AB308" s="527">
        <f t="shared" si="443"/>
        <v>-906.81965320057384</v>
      </c>
      <c r="AC308" s="527">
        <f t="shared" si="443"/>
        <v>-906.81965320057384</v>
      </c>
      <c r="AD308" s="527">
        <f t="shared" si="443"/>
        <v>-906.81965320057384</v>
      </c>
      <c r="AE308" s="527">
        <f t="shared" si="443"/>
        <v>-906.81965320057384</v>
      </c>
      <c r="AF308" s="527">
        <f t="shared" si="443"/>
        <v>-906.81965320057384</v>
      </c>
      <c r="AG308" s="527">
        <f t="shared" si="443"/>
        <v>-906.81965320057384</v>
      </c>
      <c r="AH308" s="527">
        <f t="shared" si="443"/>
        <v>-906.81965320057384</v>
      </c>
      <c r="AI308" s="527">
        <f t="shared" si="443"/>
        <v>-906.81965320057384</v>
      </c>
      <c r="AJ308" s="527">
        <f t="shared" si="443"/>
        <v>-906.81965320057384</v>
      </c>
      <c r="AK308" s="527">
        <f t="shared" si="443"/>
        <v>-906.81965320057384</v>
      </c>
      <c r="AL308" s="527">
        <f t="shared" si="443"/>
        <v>-906.81965320057384</v>
      </c>
      <c r="AM308" s="527">
        <f t="shared" si="443"/>
        <v>-906.81965320057384</v>
      </c>
      <c r="AN308" s="527">
        <f t="shared" si="443"/>
        <v>-906.81965320057384</v>
      </c>
      <c r="AO308" s="527">
        <f t="shared" si="443"/>
        <v>-906.81965320057384</v>
      </c>
      <c r="AP308" s="527">
        <f t="shared" si="443"/>
        <v>-906.81965320057384</v>
      </c>
      <c r="AQ308" s="527">
        <f t="shared" si="443"/>
        <v>-906.81965320057384</v>
      </c>
      <c r="AR308" s="527">
        <f t="shared" si="443"/>
        <v>-906.81965320057384</v>
      </c>
      <c r="AS308" s="527">
        <f t="shared" si="443"/>
        <v>-906.81965320057384</v>
      </c>
      <c r="AT308" s="527">
        <f t="shared" si="443"/>
        <v>-906.81965320057384</v>
      </c>
      <c r="AU308" s="527">
        <f t="shared" si="443"/>
        <v>-906.81965320057384</v>
      </c>
      <c r="AV308" s="527">
        <f t="shared" si="443"/>
        <v>-1066.3807432949582</v>
      </c>
      <c r="AW308" s="527">
        <f t="shared" si="443"/>
        <v>-1066.3807432949582</v>
      </c>
      <c r="AX308" s="527">
        <f t="shared" ref="AX308:BY308" si="444">(AX284-AX292)*AX$233</f>
        <v>-1066.3807432949582</v>
      </c>
      <c r="AY308" s="527">
        <f t="shared" si="444"/>
        <v>-1066.3807432949582</v>
      </c>
      <c r="AZ308" s="527">
        <f t="shared" si="444"/>
        <v>-1066.3807432949582</v>
      </c>
      <c r="BA308" s="527">
        <f t="shared" si="444"/>
        <v>-1066.3807432949582</v>
      </c>
      <c r="BB308" s="527">
        <f t="shared" si="444"/>
        <v>-1029.7499398974007</v>
      </c>
      <c r="BC308" s="527">
        <f t="shared" si="444"/>
        <v>-1029.7499398974007</v>
      </c>
      <c r="BD308" s="527">
        <f t="shared" si="444"/>
        <v>-1029.7499398974007</v>
      </c>
      <c r="BE308" s="527">
        <f t="shared" si="444"/>
        <v>-1029.7499398974007</v>
      </c>
      <c r="BF308" s="527">
        <f t="shared" si="444"/>
        <v>-1029.7499398974007</v>
      </c>
      <c r="BG308" s="527">
        <f t="shared" si="444"/>
        <v>-1029.7499398974007</v>
      </c>
      <c r="BH308" s="527">
        <f t="shared" si="444"/>
        <v>-1070.1894959522335</v>
      </c>
      <c r="BI308" s="527">
        <f t="shared" si="444"/>
        <v>-1070.1894959522335</v>
      </c>
      <c r="BJ308" s="527">
        <f t="shared" si="444"/>
        <v>-1070.1894959522335</v>
      </c>
      <c r="BK308" s="527">
        <f t="shared" si="444"/>
        <v>-1070.1894959522335</v>
      </c>
      <c r="BL308" s="527">
        <f t="shared" si="444"/>
        <v>-1070.1894959522335</v>
      </c>
      <c r="BM308" s="527">
        <f t="shared" si="444"/>
        <v>-1070.1894959522335</v>
      </c>
      <c r="BN308" s="527">
        <f t="shared" si="444"/>
        <v>-1034.6349996892945</v>
      </c>
      <c r="BO308" s="527">
        <f t="shared" si="444"/>
        <v>-1034.6349996892945</v>
      </c>
      <c r="BP308" s="527">
        <f t="shared" si="444"/>
        <v>-1034.6349996892945</v>
      </c>
      <c r="BQ308" s="527">
        <f t="shared" si="444"/>
        <v>-1034.6349996892945</v>
      </c>
      <c r="BR308" s="527">
        <f t="shared" si="444"/>
        <v>-1034.6349996892945</v>
      </c>
      <c r="BS308" s="527">
        <f t="shared" si="444"/>
        <v>-1034.6349996892945</v>
      </c>
      <c r="BT308" s="527">
        <f t="shared" si="444"/>
        <v>-1074.8675639691226</v>
      </c>
      <c r="BU308" s="527">
        <f t="shared" si="444"/>
        <v>-1074.8675639691226</v>
      </c>
      <c r="BV308" s="527">
        <f t="shared" si="444"/>
        <v>-1074.8675639691226</v>
      </c>
      <c r="BW308" s="527">
        <f t="shared" si="444"/>
        <v>-1074.8675639691226</v>
      </c>
      <c r="BX308" s="527">
        <f t="shared" si="444"/>
        <v>-1074.8675639691226</v>
      </c>
      <c r="BY308" s="527">
        <f t="shared" si="444"/>
        <v>-1074.8675639691226</v>
      </c>
    </row>
    <row r="309" spans="1:77" x14ac:dyDescent="0.3">
      <c r="A309" s="551"/>
      <c r="B309" s="548"/>
      <c r="C309" s="525"/>
      <c r="D309" s="525"/>
      <c r="E309" s="629" t="str">
        <f>"WSM dist &amp; disp: "&amp;E$158</f>
        <v>WSM dist &amp; disp: FY30 Tranche</v>
      </c>
      <c r="F309" s="525"/>
      <c r="G309" s="525"/>
      <c r="H309" s="525"/>
      <c r="I309" s="525"/>
      <c r="J309" s="525"/>
      <c r="K309" s="525"/>
      <c r="L309" s="525"/>
      <c r="M309" s="525"/>
      <c r="N309" s="525"/>
      <c r="O309" s="525"/>
      <c r="P309" s="565"/>
      <c r="Q309" s="525"/>
      <c r="R309" s="527">
        <f t="shared" ref="R309:AW309" si="445">(R285-R293)*R$233</f>
        <v>-906.81965320057384</v>
      </c>
      <c r="S309" s="527">
        <f t="shared" si="445"/>
        <v>-906.81965320057384</v>
      </c>
      <c r="T309" s="527">
        <f t="shared" si="445"/>
        <v>-906.81965320057384</v>
      </c>
      <c r="U309" s="527">
        <f t="shared" si="445"/>
        <v>-906.81965320057384</v>
      </c>
      <c r="V309" s="527">
        <f t="shared" si="445"/>
        <v>-906.81965320057384</v>
      </c>
      <c r="W309" s="527">
        <f t="shared" si="445"/>
        <v>-906.81965320057384</v>
      </c>
      <c r="X309" s="527">
        <f t="shared" si="445"/>
        <v>-906.81965320057384</v>
      </c>
      <c r="Y309" s="527">
        <f t="shared" si="445"/>
        <v>-906.81965320057384</v>
      </c>
      <c r="Z309" s="527">
        <f t="shared" si="445"/>
        <v>-906.81965320057384</v>
      </c>
      <c r="AA309" s="527">
        <f t="shared" si="445"/>
        <v>-906.81965320057384</v>
      </c>
      <c r="AB309" s="527">
        <f t="shared" si="445"/>
        <v>-906.81965320057384</v>
      </c>
      <c r="AC309" s="527">
        <f t="shared" si="445"/>
        <v>-906.81965320057384</v>
      </c>
      <c r="AD309" s="527">
        <f t="shared" si="445"/>
        <v>-906.81965320057384</v>
      </c>
      <c r="AE309" s="527">
        <f t="shared" si="445"/>
        <v>-906.81965320057384</v>
      </c>
      <c r="AF309" s="527">
        <f t="shared" si="445"/>
        <v>-906.81965320057384</v>
      </c>
      <c r="AG309" s="527">
        <f t="shared" si="445"/>
        <v>-906.81965320057384</v>
      </c>
      <c r="AH309" s="527">
        <f t="shared" si="445"/>
        <v>-906.81965320057384</v>
      </c>
      <c r="AI309" s="527">
        <f t="shared" si="445"/>
        <v>-906.81965320057384</v>
      </c>
      <c r="AJ309" s="527">
        <f t="shared" si="445"/>
        <v>-906.81965320057384</v>
      </c>
      <c r="AK309" s="527">
        <f t="shared" si="445"/>
        <v>-906.81965320057384</v>
      </c>
      <c r="AL309" s="527">
        <f t="shared" si="445"/>
        <v>-906.81965320057384</v>
      </c>
      <c r="AM309" s="527">
        <f t="shared" si="445"/>
        <v>-906.81965320057384</v>
      </c>
      <c r="AN309" s="527">
        <f t="shared" si="445"/>
        <v>-906.81965320057384</v>
      </c>
      <c r="AO309" s="527">
        <f t="shared" si="445"/>
        <v>-906.81965320057384</v>
      </c>
      <c r="AP309" s="527">
        <f t="shared" si="445"/>
        <v>-906.81965320057384</v>
      </c>
      <c r="AQ309" s="527">
        <f t="shared" si="445"/>
        <v>-906.81965320057384</v>
      </c>
      <c r="AR309" s="527">
        <f t="shared" si="445"/>
        <v>-906.81965320057384</v>
      </c>
      <c r="AS309" s="527">
        <f t="shared" si="445"/>
        <v>-906.81965320057384</v>
      </c>
      <c r="AT309" s="527">
        <f t="shared" si="445"/>
        <v>-906.81965320057384</v>
      </c>
      <c r="AU309" s="527">
        <f t="shared" si="445"/>
        <v>-906.81965320057384</v>
      </c>
      <c r="AV309" s="527">
        <f t="shared" si="445"/>
        <v>-906.81965320057384</v>
      </c>
      <c r="AW309" s="527">
        <f t="shared" si="445"/>
        <v>-906.81965320057384</v>
      </c>
      <c r="AX309" s="527">
        <f t="shared" ref="AX309:BY309" si="446">(AX285-AX293)*AX$233</f>
        <v>-906.81965320057384</v>
      </c>
      <c r="AY309" s="527">
        <f t="shared" si="446"/>
        <v>-906.81965320057384</v>
      </c>
      <c r="AZ309" s="527">
        <f t="shared" si="446"/>
        <v>-906.81965320057384</v>
      </c>
      <c r="BA309" s="527">
        <f t="shared" si="446"/>
        <v>-906.81965320057384</v>
      </c>
      <c r="BB309" s="527">
        <f t="shared" si="446"/>
        <v>-906.81965320057384</v>
      </c>
      <c r="BC309" s="527">
        <f t="shared" si="446"/>
        <v>-906.81965320057384</v>
      </c>
      <c r="BD309" s="527">
        <f t="shared" si="446"/>
        <v>-906.81965320057384</v>
      </c>
      <c r="BE309" s="527">
        <f t="shared" si="446"/>
        <v>-906.81965320057384</v>
      </c>
      <c r="BF309" s="527">
        <f t="shared" si="446"/>
        <v>-906.81965320057384</v>
      </c>
      <c r="BG309" s="527">
        <f t="shared" si="446"/>
        <v>-906.81965320057384</v>
      </c>
      <c r="BH309" s="527">
        <f t="shared" si="446"/>
        <v>-1062.5590117842767</v>
      </c>
      <c r="BI309" s="527">
        <f t="shared" si="446"/>
        <v>-1062.5590117842767</v>
      </c>
      <c r="BJ309" s="527">
        <f t="shared" si="446"/>
        <v>-1062.5590117842767</v>
      </c>
      <c r="BK309" s="527">
        <f t="shared" si="446"/>
        <v>-1062.5590117842767</v>
      </c>
      <c r="BL309" s="527">
        <f t="shared" si="446"/>
        <v>-1062.5590117842767</v>
      </c>
      <c r="BM309" s="527">
        <f t="shared" si="446"/>
        <v>-1062.5590117842767</v>
      </c>
      <c r="BN309" s="527">
        <f t="shared" si="446"/>
        <v>-1027.3355504827077</v>
      </c>
      <c r="BO309" s="527">
        <f t="shared" si="446"/>
        <v>-1027.3355504827077</v>
      </c>
      <c r="BP309" s="527">
        <f t="shared" si="446"/>
        <v>-1027.3355504827077</v>
      </c>
      <c r="BQ309" s="527">
        <f t="shared" si="446"/>
        <v>-1027.3355504827077</v>
      </c>
      <c r="BR309" s="527">
        <f t="shared" si="446"/>
        <v>-1027.3355504827077</v>
      </c>
      <c r="BS309" s="527">
        <f t="shared" si="446"/>
        <v>-1027.3355504827077</v>
      </c>
      <c r="BT309" s="527">
        <f t="shared" si="446"/>
        <v>-1067.2761367942726</v>
      </c>
      <c r="BU309" s="527">
        <f t="shared" si="446"/>
        <v>-1067.2761367942726</v>
      </c>
      <c r="BV309" s="527">
        <f t="shared" si="446"/>
        <v>-1067.2761367942726</v>
      </c>
      <c r="BW309" s="527">
        <f t="shared" si="446"/>
        <v>-1067.2761367942726</v>
      </c>
      <c r="BX309" s="527">
        <f t="shared" si="446"/>
        <v>-1067.2761367942726</v>
      </c>
      <c r="BY309" s="527">
        <f t="shared" si="446"/>
        <v>-1067.2761367942726</v>
      </c>
    </row>
    <row r="310" spans="1:77" x14ac:dyDescent="0.3">
      <c r="A310" s="551"/>
      <c r="B310" s="548"/>
      <c r="C310" s="525"/>
      <c r="D310" s="525"/>
      <c r="E310" s="629" t="str">
        <f>"WSM dist &amp; disp: "&amp;E$159</f>
        <v>WSM dist &amp; disp: FY31 Tranche</v>
      </c>
      <c r="F310" s="525"/>
      <c r="G310" s="525"/>
      <c r="H310" s="525"/>
      <c r="I310" s="525"/>
      <c r="J310" s="525"/>
      <c r="K310" s="525"/>
      <c r="L310" s="525"/>
      <c r="M310" s="525"/>
      <c r="N310" s="525"/>
      <c r="O310" s="525"/>
      <c r="P310" s="565"/>
      <c r="Q310" s="525"/>
      <c r="R310" s="527">
        <f t="shared" ref="R310:AW310" si="447">(R286-R294)*R$233</f>
        <v>-906.81965320057384</v>
      </c>
      <c r="S310" s="527">
        <f t="shared" si="447"/>
        <v>-906.81965320057384</v>
      </c>
      <c r="T310" s="527">
        <f t="shared" si="447"/>
        <v>-906.81965320057384</v>
      </c>
      <c r="U310" s="527">
        <f t="shared" si="447"/>
        <v>-906.81965320057384</v>
      </c>
      <c r="V310" s="527">
        <f t="shared" si="447"/>
        <v>-906.81965320057384</v>
      </c>
      <c r="W310" s="527">
        <f t="shared" si="447"/>
        <v>-906.81965320057384</v>
      </c>
      <c r="X310" s="527">
        <f t="shared" si="447"/>
        <v>-906.81965320057384</v>
      </c>
      <c r="Y310" s="527">
        <f t="shared" si="447"/>
        <v>-906.81965320057384</v>
      </c>
      <c r="Z310" s="527">
        <f t="shared" si="447"/>
        <v>-906.81965320057384</v>
      </c>
      <c r="AA310" s="527">
        <f t="shared" si="447"/>
        <v>-906.81965320057384</v>
      </c>
      <c r="AB310" s="527">
        <f t="shared" si="447"/>
        <v>-906.81965320057384</v>
      </c>
      <c r="AC310" s="527">
        <f t="shared" si="447"/>
        <v>-906.81965320057384</v>
      </c>
      <c r="AD310" s="527">
        <f t="shared" si="447"/>
        <v>-906.81965320057384</v>
      </c>
      <c r="AE310" s="527">
        <f t="shared" si="447"/>
        <v>-906.81965320057384</v>
      </c>
      <c r="AF310" s="527">
        <f t="shared" si="447"/>
        <v>-906.81965320057384</v>
      </c>
      <c r="AG310" s="527">
        <f t="shared" si="447"/>
        <v>-906.81965320057384</v>
      </c>
      <c r="AH310" s="527">
        <f t="shared" si="447"/>
        <v>-906.81965320057384</v>
      </c>
      <c r="AI310" s="527">
        <f t="shared" si="447"/>
        <v>-906.81965320057384</v>
      </c>
      <c r="AJ310" s="527">
        <f t="shared" si="447"/>
        <v>-906.81965320057384</v>
      </c>
      <c r="AK310" s="527">
        <f t="shared" si="447"/>
        <v>-906.81965320057384</v>
      </c>
      <c r="AL310" s="527">
        <f t="shared" si="447"/>
        <v>-906.81965320057384</v>
      </c>
      <c r="AM310" s="527">
        <f t="shared" si="447"/>
        <v>-906.81965320057384</v>
      </c>
      <c r="AN310" s="527">
        <f t="shared" si="447"/>
        <v>-906.81965320057384</v>
      </c>
      <c r="AO310" s="527">
        <f t="shared" si="447"/>
        <v>-906.81965320057384</v>
      </c>
      <c r="AP310" s="527">
        <f t="shared" si="447"/>
        <v>-906.81965320057384</v>
      </c>
      <c r="AQ310" s="527">
        <f t="shared" si="447"/>
        <v>-906.81965320057384</v>
      </c>
      <c r="AR310" s="527">
        <f t="shared" si="447"/>
        <v>-906.81965320057384</v>
      </c>
      <c r="AS310" s="527">
        <f t="shared" si="447"/>
        <v>-906.81965320057384</v>
      </c>
      <c r="AT310" s="527">
        <f t="shared" si="447"/>
        <v>-906.81965320057384</v>
      </c>
      <c r="AU310" s="527">
        <f t="shared" si="447"/>
        <v>-906.81965320057384</v>
      </c>
      <c r="AV310" s="527">
        <f t="shared" si="447"/>
        <v>-906.81965320057384</v>
      </c>
      <c r="AW310" s="527">
        <f t="shared" si="447"/>
        <v>-906.81965320057384</v>
      </c>
      <c r="AX310" s="527">
        <f t="shared" ref="AX310:BY310" si="448">(AX286-AX294)*AX$233</f>
        <v>-906.81965320057384</v>
      </c>
      <c r="AY310" s="527">
        <f t="shared" si="448"/>
        <v>-906.81965320057384</v>
      </c>
      <c r="AZ310" s="527">
        <f t="shared" si="448"/>
        <v>-906.81965320057384</v>
      </c>
      <c r="BA310" s="527">
        <f t="shared" si="448"/>
        <v>-906.81965320057384</v>
      </c>
      <c r="BB310" s="527">
        <f t="shared" si="448"/>
        <v>-906.81965320057384</v>
      </c>
      <c r="BC310" s="527">
        <f t="shared" si="448"/>
        <v>-906.81965320057384</v>
      </c>
      <c r="BD310" s="527">
        <f t="shared" si="448"/>
        <v>-906.81965320057384</v>
      </c>
      <c r="BE310" s="527">
        <f t="shared" si="448"/>
        <v>-906.81965320057384</v>
      </c>
      <c r="BF310" s="527">
        <f t="shared" si="448"/>
        <v>-906.81965320057384</v>
      </c>
      <c r="BG310" s="527">
        <f t="shared" si="448"/>
        <v>-906.81965320057384</v>
      </c>
      <c r="BH310" s="527">
        <f t="shared" si="448"/>
        <v>-906.81965320057384</v>
      </c>
      <c r="BI310" s="527">
        <f t="shared" si="448"/>
        <v>-906.81965320057384</v>
      </c>
      <c r="BJ310" s="527">
        <f t="shared" si="448"/>
        <v>-906.81965320057384</v>
      </c>
      <c r="BK310" s="527">
        <f t="shared" si="448"/>
        <v>-906.81965320057384</v>
      </c>
      <c r="BL310" s="527">
        <f t="shared" si="448"/>
        <v>-906.81965320057384</v>
      </c>
      <c r="BM310" s="527">
        <f t="shared" si="448"/>
        <v>-906.81965320057384</v>
      </c>
      <c r="BN310" s="527">
        <f t="shared" si="448"/>
        <v>-906.81965320057384</v>
      </c>
      <c r="BO310" s="527">
        <f t="shared" si="448"/>
        <v>-906.81965320057384</v>
      </c>
      <c r="BP310" s="527">
        <f t="shared" si="448"/>
        <v>-906.81965320057384</v>
      </c>
      <c r="BQ310" s="527">
        <f t="shared" si="448"/>
        <v>-906.81965320057384</v>
      </c>
      <c r="BR310" s="527">
        <f t="shared" si="448"/>
        <v>-906.81965320057384</v>
      </c>
      <c r="BS310" s="527">
        <f t="shared" si="448"/>
        <v>-906.81965320057384</v>
      </c>
      <c r="BT310" s="527">
        <f t="shared" si="448"/>
        <v>-1058.7100837167106</v>
      </c>
      <c r="BU310" s="527">
        <f t="shared" si="448"/>
        <v>-1058.7100837167106</v>
      </c>
      <c r="BV310" s="527">
        <f t="shared" si="448"/>
        <v>-1058.7100837167106</v>
      </c>
      <c r="BW310" s="527">
        <f t="shared" si="448"/>
        <v>-1058.7100837167106</v>
      </c>
      <c r="BX310" s="527">
        <f t="shared" si="448"/>
        <v>-1058.7100837167106</v>
      </c>
      <c r="BY310" s="527">
        <f t="shared" si="448"/>
        <v>-1058.7100837167106</v>
      </c>
    </row>
    <row r="311" spans="1:77" x14ac:dyDescent="0.3">
      <c r="A311" s="551"/>
      <c r="B311" s="548"/>
      <c r="C311" s="525"/>
      <c r="D311" s="525"/>
      <c r="E311" s="629" t="str">
        <f>"WSM dist &amp; disp: "&amp;E$160</f>
        <v>WSM dist &amp; disp: Uninvested Tranche</v>
      </c>
      <c r="F311" s="525"/>
      <c r="G311" s="525"/>
      <c r="H311" s="525"/>
      <c r="I311" s="525"/>
      <c r="J311" s="525"/>
      <c r="K311" s="525"/>
      <c r="L311" s="525"/>
      <c r="M311" s="525"/>
      <c r="N311" s="525"/>
      <c r="O311" s="525"/>
      <c r="P311" s="565"/>
      <c r="Q311" s="525"/>
      <c r="R311" s="527">
        <f t="shared" ref="R311:AW311" si="449">(R287-R295)*R$233</f>
        <v>-1983.6679913762555</v>
      </c>
      <c r="S311" s="527">
        <f t="shared" si="449"/>
        <v>-1983.6679913762555</v>
      </c>
      <c r="T311" s="527">
        <f t="shared" si="449"/>
        <v>-1983.6679913762555</v>
      </c>
      <c r="U311" s="527">
        <f t="shared" si="449"/>
        <v>-1983.6679913762555</v>
      </c>
      <c r="V311" s="527">
        <f t="shared" si="449"/>
        <v>-1983.6679913762555</v>
      </c>
      <c r="W311" s="527">
        <f t="shared" si="449"/>
        <v>-1983.6679913762555</v>
      </c>
      <c r="X311" s="527">
        <f t="shared" si="449"/>
        <v>-1983.6679913762555</v>
      </c>
      <c r="Y311" s="527">
        <f t="shared" si="449"/>
        <v>-1983.6679913762555</v>
      </c>
      <c r="Z311" s="527">
        <f t="shared" si="449"/>
        <v>-1983.6679913762555</v>
      </c>
      <c r="AA311" s="527">
        <f t="shared" si="449"/>
        <v>-1983.6679913762555</v>
      </c>
      <c r="AB311" s="527">
        <f t="shared" si="449"/>
        <v>-1983.6679913762555</v>
      </c>
      <c r="AC311" s="527">
        <f t="shared" si="449"/>
        <v>-1983.6679913762555</v>
      </c>
      <c r="AD311" s="527">
        <f t="shared" si="449"/>
        <v>-1983.6679913762555</v>
      </c>
      <c r="AE311" s="527">
        <f t="shared" si="449"/>
        <v>-1983.6679913762555</v>
      </c>
      <c r="AF311" s="527">
        <f t="shared" si="449"/>
        <v>-1983.6679913762555</v>
      </c>
      <c r="AG311" s="527">
        <f t="shared" si="449"/>
        <v>-1983.6679913762555</v>
      </c>
      <c r="AH311" s="527">
        <f t="shared" si="449"/>
        <v>-1983.6679913762555</v>
      </c>
      <c r="AI311" s="527">
        <f t="shared" si="449"/>
        <v>-1983.6679913762555</v>
      </c>
      <c r="AJ311" s="527">
        <f t="shared" si="449"/>
        <v>-1983.6679913762555</v>
      </c>
      <c r="AK311" s="527">
        <f t="shared" si="449"/>
        <v>-1983.6679913762555</v>
      </c>
      <c r="AL311" s="527">
        <f t="shared" si="449"/>
        <v>-1983.6679913762555</v>
      </c>
      <c r="AM311" s="527">
        <f t="shared" si="449"/>
        <v>-1983.6679913762555</v>
      </c>
      <c r="AN311" s="527">
        <f t="shared" si="449"/>
        <v>-1983.6679913762555</v>
      </c>
      <c r="AO311" s="527">
        <f t="shared" si="449"/>
        <v>-1983.6679913762555</v>
      </c>
      <c r="AP311" s="527">
        <f t="shared" si="449"/>
        <v>-1983.6679913762555</v>
      </c>
      <c r="AQ311" s="527">
        <f t="shared" si="449"/>
        <v>-1983.6679913762555</v>
      </c>
      <c r="AR311" s="527">
        <f t="shared" si="449"/>
        <v>-1983.6679913762555</v>
      </c>
      <c r="AS311" s="527">
        <f t="shared" si="449"/>
        <v>-1983.6679913762555</v>
      </c>
      <c r="AT311" s="527">
        <f t="shared" si="449"/>
        <v>-1983.6679913762555</v>
      </c>
      <c r="AU311" s="527">
        <f t="shared" si="449"/>
        <v>-1983.6679913762555</v>
      </c>
      <c r="AV311" s="527">
        <f t="shared" si="449"/>
        <v>-1983.6679913762555</v>
      </c>
      <c r="AW311" s="527">
        <f t="shared" si="449"/>
        <v>-1983.6679913762555</v>
      </c>
      <c r="AX311" s="527">
        <f t="shared" ref="AX311:BY311" si="450">(AX287-AX295)*AX$233</f>
        <v>-1983.6679913762555</v>
      </c>
      <c r="AY311" s="527">
        <f t="shared" si="450"/>
        <v>-1983.6679913762555</v>
      </c>
      <c r="AZ311" s="527">
        <f t="shared" si="450"/>
        <v>-1983.6679913762555</v>
      </c>
      <c r="BA311" s="527">
        <f t="shared" si="450"/>
        <v>-1983.6679913762555</v>
      </c>
      <c r="BB311" s="527">
        <f t="shared" si="450"/>
        <v>-1983.6679913762555</v>
      </c>
      <c r="BC311" s="527">
        <f t="shared" si="450"/>
        <v>-1983.6679913762555</v>
      </c>
      <c r="BD311" s="527">
        <f t="shared" si="450"/>
        <v>-1983.6679913762555</v>
      </c>
      <c r="BE311" s="527">
        <f t="shared" si="450"/>
        <v>-1983.6679913762555</v>
      </c>
      <c r="BF311" s="527">
        <f t="shared" si="450"/>
        <v>-1983.6679913762555</v>
      </c>
      <c r="BG311" s="527">
        <f t="shared" si="450"/>
        <v>-1983.6679913762555</v>
      </c>
      <c r="BH311" s="527">
        <f t="shared" si="450"/>
        <v>-1983.6679913762555</v>
      </c>
      <c r="BI311" s="527">
        <f t="shared" si="450"/>
        <v>-1983.6679913762555</v>
      </c>
      <c r="BJ311" s="527">
        <f t="shared" si="450"/>
        <v>-1983.6679913762555</v>
      </c>
      <c r="BK311" s="527">
        <f t="shared" si="450"/>
        <v>-1983.6679913762555</v>
      </c>
      <c r="BL311" s="527">
        <f t="shared" si="450"/>
        <v>-1983.6679913762555</v>
      </c>
      <c r="BM311" s="527">
        <f t="shared" si="450"/>
        <v>-1983.6679913762555</v>
      </c>
      <c r="BN311" s="527">
        <f t="shared" si="450"/>
        <v>-1983.6679913762555</v>
      </c>
      <c r="BO311" s="527">
        <f t="shared" si="450"/>
        <v>-1983.6679913762555</v>
      </c>
      <c r="BP311" s="527">
        <f t="shared" si="450"/>
        <v>-1983.6679913762555</v>
      </c>
      <c r="BQ311" s="527">
        <f t="shared" si="450"/>
        <v>-1983.6679913762555</v>
      </c>
      <c r="BR311" s="527">
        <f t="shared" si="450"/>
        <v>-1983.6679913762555</v>
      </c>
      <c r="BS311" s="527">
        <f t="shared" si="450"/>
        <v>-1983.6679913762555</v>
      </c>
      <c r="BT311" s="527">
        <f t="shared" si="450"/>
        <v>-1983.6679913762555</v>
      </c>
      <c r="BU311" s="527">
        <f t="shared" si="450"/>
        <v>-1983.6679913762555</v>
      </c>
      <c r="BV311" s="527">
        <f t="shared" si="450"/>
        <v>-1983.6679913762555</v>
      </c>
      <c r="BW311" s="527">
        <f t="shared" si="450"/>
        <v>-1983.6679913762555</v>
      </c>
      <c r="BX311" s="527">
        <f t="shared" si="450"/>
        <v>-1983.6679913762555</v>
      </c>
      <c r="BY311" s="527">
        <f t="shared" si="450"/>
        <v>-1983.6679913762555</v>
      </c>
    </row>
    <row r="312" spans="1:77" x14ac:dyDescent="0.3">
      <c r="A312" s="551"/>
      <c r="B312" s="548"/>
      <c r="C312" s="525"/>
      <c r="D312" s="525"/>
      <c r="E312" s="572" t="s">
        <v>36</v>
      </c>
      <c r="F312" s="572"/>
      <c r="G312" s="572"/>
      <c r="H312" s="572"/>
      <c r="I312" s="572"/>
      <c r="J312" s="572"/>
      <c r="K312" s="572"/>
      <c r="L312" s="572"/>
      <c r="M312" s="572"/>
      <c r="N312" s="572"/>
      <c r="O312" s="572"/>
      <c r="P312" s="612"/>
      <c r="Q312" s="572"/>
      <c r="R312" s="530">
        <f t="shared" ref="R312:AW312" si="451">SUM(R306:R311)</f>
        <v>-6517.7662573791249</v>
      </c>
      <c r="S312" s="530">
        <f t="shared" si="451"/>
        <v>-6517.7662573791249</v>
      </c>
      <c r="T312" s="530">
        <f t="shared" si="451"/>
        <v>-6517.7662573791249</v>
      </c>
      <c r="U312" s="530">
        <f t="shared" si="451"/>
        <v>-6517.7662573791249</v>
      </c>
      <c r="V312" s="530">
        <f t="shared" si="451"/>
        <v>-6517.7662573791249</v>
      </c>
      <c r="W312" s="530">
        <f t="shared" si="451"/>
        <v>-6517.7662573791249</v>
      </c>
      <c r="X312" s="530">
        <f t="shared" si="451"/>
        <v>-6685.6795526634323</v>
      </c>
      <c r="Y312" s="530">
        <f t="shared" si="451"/>
        <v>-6685.6795526634323</v>
      </c>
      <c r="Z312" s="530">
        <f t="shared" si="451"/>
        <v>-6685.6795526634323</v>
      </c>
      <c r="AA312" s="530">
        <f t="shared" si="451"/>
        <v>-6685.6795526634323</v>
      </c>
      <c r="AB312" s="530">
        <f t="shared" si="451"/>
        <v>-6685.6795526634323</v>
      </c>
      <c r="AC312" s="530">
        <f t="shared" si="451"/>
        <v>-6685.6795526634323</v>
      </c>
      <c r="AD312" s="530">
        <f t="shared" si="451"/>
        <v>-6643.0816711229772</v>
      </c>
      <c r="AE312" s="530">
        <f t="shared" si="451"/>
        <v>-6643.0816711229772</v>
      </c>
      <c r="AF312" s="530">
        <f t="shared" si="451"/>
        <v>-6643.0816711229772</v>
      </c>
      <c r="AG312" s="530">
        <f t="shared" si="451"/>
        <v>-6643.0816711229772</v>
      </c>
      <c r="AH312" s="530">
        <f t="shared" si="451"/>
        <v>-6643.0816711229772</v>
      </c>
      <c r="AI312" s="530">
        <f t="shared" si="451"/>
        <v>-6643.0816711229772</v>
      </c>
      <c r="AJ312" s="530">
        <f t="shared" si="451"/>
        <v>-6847.9850479970964</v>
      </c>
      <c r="AK312" s="530">
        <f t="shared" si="451"/>
        <v>-6847.9850479970964</v>
      </c>
      <c r="AL312" s="530">
        <f t="shared" si="451"/>
        <v>-6847.9850479970964</v>
      </c>
      <c r="AM312" s="530">
        <f t="shared" si="451"/>
        <v>-6847.9850479970964</v>
      </c>
      <c r="AN312" s="530">
        <f t="shared" si="451"/>
        <v>-6847.9850479970964</v>
      </c>
      <c r="AO312" s="530">
        <f t="shared" si="451"/>
        <v>-6847.9850479970964</v>
      </c>
      <c r="AP312" s="530">
        <f t="shared" si="451"/>
        <v>-6767.6248341565406</v>
      </c>
      <c r="AQ312" s="530">
        <f t="shared" si="451"/>
        <v>-6767.6248341565406</v>
      </c>
      <c r="AR312" s="530">
        <f t="shared" si="451"/>
        <v>-6767.6248341565406</v>
      </c>
      <c r="AS312" s="530">
        <f t="shared" si="451"/>
        <v>-6767.6248341565406</v>
      </c>
      <c r="AT312" s="530">
        <f t="shared" si="451"/>
        <v>-6767.6248341565406</v>
      </c>
      <c r="AU312" s="530">
        <f t="shared" si="451"/>
        <v>-6767.6248341565406</v>
      </c>
      <c r="AV312" s="530">
        <f t="shared" si="451"/>
        <v>-7008.9926347461396</v>
      </c>
      <c r="AW312" s="530">
        <f t="shared" si="451"/>
        <v>-7008.9926347461396</v>
      </c>
      <c r="AX312" s="530">
        <f t="shared" ref="AX312:BY312" si="452">SUM(AX306:AX311)</f>
        <v>-7008.9926347461396</v>
      </c>
      <c r="AY312" s="530">
        <f t="shared" si="452"/>
        <v>-7008.9926347461396</v>
      </c>
      <c r="AZ312" s="530">
        <f t="shared" si="452"/>
        <v>-7008.9926347461396</v>
      </c>
      <c r="BA312" s="530">
        <f t="shared" si="452"/>
        <v>-7008.9926347461396</v>
      </c>
      <c r="BB312" s="530">
        <f t="shared" si="452"/>
        <v>-6898.5517768902409</v>
      </c>
      <c r="BC312" s="530">
        <f t="shared" si="452"/>
        <v>-6898.5517768902409</v>
      </c>
      <c r="BD312" s="530">
        <f t="shared" si="452"/>
        <v>-6898.5517768902409</v>
      </c>
      <c r="BE312" s="530">
        <f t="shared" si="452"/>
        <v>-6898.5517768902409</v>
      </c>
      <c r="BF312" s="530">
        <f t="shared" si="452"/>
        <v>-6898.5517768902409</v>
      </c>
      <c r="BG312" s="530">
        <f t="shared" si="452"/>
        <v>-6898.5517768902409</v>
      </c>
      <c r="BH312" s="530">
        <f t="shared" si="452"/>
        <v>-7176.0895900152682</v>
      </c>
      <c r="BI312" s="530">
        <f t="shared" si="452"/>
        <v>-7176.0895900152682</v>
      </c>
      <c r="BJ312" s="530">
        <f t="shared" si="452"/>
        <v>-7176.0895900152682</v>
      </c>
      <c r="BK312" s="530">
        <f t="shared" si="452"/>
        <v>-7176.0895900152682</v>
      </c>
      <c r="BL312" s="530">
        <f t="shared" si="452"/>
        <v>-7176.0895900152682</v>
      </c>
      <c r="BM312" s="530">
        <f t="shared" si="452"/>
        <v>-7176.0895900152682</v>
      </c>
      <c r="BN312" s="530">
        <f t="shared" si="452"/>
        <v>-7033.6614583180817</v>
      </c>
      <c r="BO312" s="530">
        <f t="shared" si="452"/>
        <v>-7033.6614583180817</v>
      </c>
      <c r="BP312" s="530">
        <f t="shared" si="452"/>
        <v>-7033.6614583180817</v>
      </c>
      <c r="BQ312" s="530">
        <f t="shared" si="452"/>
        <v>-7033.6614583180817</v>
      </c>
      <c r="BR312" s="530">
        <f t="shared" si="452"/>
        <v>-7033.6614583180817</v>
      </c>
      <c r="BS312" s="530">
        <f t="shared" si="452"/>
        <v>-7033.6614583180817</v>
      </c>
      <c r="BT312" s="530">
        <f t="shared" si="452"/>
        <v>-7346.6674985528944</v>
      </c>
      <c r="BU312" s="530">
        <f t="shared" si="452"/>
        <v>-7346.6674985528944</v>
      </c>
      <c r="BV312" s="530">
        <f t="shared" si="452"/>
        <v>-7346.6674985528944</v>
      </c>
      <c r="BW312" s="530">
        <f t="shared" si="452"/>
        <v>-7346.6674985528944</v>
      </c>
      <c r="BX312" s="530">
        <f t="shared" si="452"/>
        <v>-7346.6674985528944</v>
      </c>
      <c r="BY312" s="530">
        <f t="shared" si="452"/>
        <v>-7346.6674985528944</v>
      </c>
    </row>
    <row r="313" spans="1:77" x14ac:dyDescent="0.3">
      <c r="A313" s="551"/>
      <c r="B313" s="548"/>
      <c r="C313" s="525"/>
      <c r="D313" s="525"/>
      <c r="E313" s="525"/>
      <c r="F313" s="525"/>
      <c r="G313" s="525"/>
      <c r="H313" s="525"/>
      <c r="I313" s="525"/>
      <c r="J313" s="525"/>
      <c r="K313" s="525"/>
      <c r="L313" s="525"/>
      <c r="M313" s="525"/>
      <c r="N313" s="525"/>
      <c r="O313" s="525"/>
      <c r="P313" s="565"/>
      <c r="Q313" s="525"/>
      <c r="R313" s="525"/>
      <c r="S313" s="525"/>
      <c r="T313" s="525"/>
      <c r="U313" s="525"/>
      <c r="V313" s="525"/>
      <c r="W313" s="525"/>
      <c r="X313" s="525"/>
      <c r="Y313" s="525"/>
      <c r="Z313" s="525"/>
      <c r="AA313" s="525"/>
      <c r="AB313" s="525"/>
      <c r="AC313" s="525"/>
      <c r="AD313" s="525"/>
      <c r="AE313" s="525"/>
      <c r="AF313" s="525"/>
      <c r="AG313" s="525"/>
      <c r="AH313" s="525"/>
      <c r="AI313" s="525"/>
      <c r="AJ313" s="525"/>
      <c r="AK313" s="525"/>
      <c r="AL313" s="525"/>
      <c r="AM313" s="525"/>
      <c r="AN313" s="525"/>
      <c r="AO313" s="525"/>
      <c r="AP313" s="525"/>
      <c r="AQ313" s="525"/>
      <c r="AR313" s="525"/>
      <c r="AS313" s="525"/>
      <c r="AT313" s="525"/>
      <c r="AU313" s="525"/>
      <c r="AV313" s="525"/>
      <c r="AW313" s="525"/>
      <c r="AX313" s="525"/>
      <c r="AY313" s="525"/>
      <c r="AZ313" s="525"/>
      <c r="BA313" s="525"/>
      <c r="BB313" s="525"/>
      <c r="BC313" s="525"/>
      <c r="BD313" s="525"/>
      <c r="BE313" s="525"/>
      <c r="BF313" s="525"/>
      <c r="BG313" s="525"/>
      <c r="BH313" s="525"/>
      <c r="BI313" s="525"/>
      <c r="BJ313" s="525"/>
      <c r="BK313" s="525"/>
      <c r="BL313" s="525"/>
      <c r="BM313" s="525"/>
      <c r="BN313" s="525"/>
      <c r="BO313" s="525"/>
      <c r="BP313" s="525"/>
      <c r="BQ313" s="525"/>
      <c r="BR313" s="525"/>
      <c r="BS313" s="525"/>
      <c r="BT313" s="525"/>
      <c r="BU313" s="525"/>
      <c r="BV313" s="525"/>
      <c r="BW313" s="525"/>
      <c r="BX313" s="525"/>
      <c r="BY313" s="525"/>
    </row>
    <row r="314" spans="1:77" x14ac:dyDescent="0.3">
      <c r="A314" s="551"/>
      <c r="B314" s="548"/>
      <c r="C314" s="525"/>
      <c r="D314" s="525"/>
      <c r="E314" s="630" t="str">
        <f>"WSM discounts: "&amp;E$155</f>
        <v>WSM discounts: FY27 Tranche</v>
      </c>
      <c r="F314" s="525"/>
      <c r="G314" s="525"/>
      <c r="H314" s="525"/>
      <c r="I314" s="525"/>
      <c r="J314" s="525"/>
      <c r="K314" s="525"/>
      <c r="L314" s="525"/>
      <c r="M314" s="525"/>
      <c r="N314" s="525"/>
      <c r="O314" s="525"/>
      <c r="P314" s="565"/>
      <c r="Q314" s="525"/>
      <c r="R314" s="527">
        <f t="shared" ref="R314:AW314" si="453">(R282-R290)*R$234</f>
        <v>-327.92804605814399</v>
      </c>
      <c r="S314" s="527">
        <f t="shared" si="453"/>
        <v>-327.92804605814399</v>
      </c>
      <c r="T314" s="527">
        <f t="shared" si="453"/>
        <v>-327.92804605814399</v>
      </c>
      <c r="U314" s="527">
        <f t="shared" si="453"/>
        <v>-327.92804605814399</v>
      </c>
      <c r="V314" s="527">
        <f t="shared" si="453"/>
        <v>-327.92804605814399</v>
      </c>
      <c r="W314" s="527">
        <f t="shared" si="453"/>
        <v>-327.92804605814399</v>
      </c>
      <c r="X314" s="527">
        <f t="shared" si="453"/>
        <v>-388.64957832249581</v>
      </c>
      <c r="Y314" s="527">
        <f t="shared" si="453"/>
        <v>-388.64957832249581</v>
      </c>
      <c r="Z314" s="527">
        <f t="shared" si="453"/>
        <v>-388.64957832249581</v>
      </c>
      <c r="AA314" s="527">
        <f t="shared" si="453"/>
        <v>-388.64957832249581</v>
      </c>
      <c r="AB314" s="527">
        <f t="shared" si="453"/>
        <v>-388.64957832249581</v>
      </c>
      <c r="AC314" s="527">
        <f t="shared" si="453"/>
        <v>-388.64957832249581</v>
      </c>
      <c r="AD314" s="527">
        <f t="shared" si="453"/>
        <v>-373.24514811360643</v>
      </c>
      <c r="AE314" s="527">
        <f t="shared" si="453"/>
        <v>-373.24514811360643</v>
      </c>
      <c r="AF314" s="527">
        <f t="shared" si="453"/>
        <v>-373.24514811360643</v>
      </c>
      <c r="AG314" s="527">
        <f t="shared" si="453"/>
        <v>-373.24514811360643</v>
      </c>
      <c r="AH314" s="527">
        <f t="shared" si="453"/>
        <v>-373.24514811360643</v>
      </c>
      <c r="AI314" s="527">
        <f t="shared" si="453"/>
        <v>-373.24514811360643</v>
      </c>
      <c r="AJ314" s="527">
        <f t="shared" si="453"/>
        <v>-388.17724205438282</v>
      </c>
      <c r="AK314" s="527">
        <f t="shared" si="453"/>
        <v>-388.17724205438282</v>
      </c>
      <c r="AL314" s="527">
        <f t="shared" si="453"/>
        <v>-388.17724205438282</v>
      </c>
      <c r="AM314" s="527">
        <f t="shared" si="453"/>
        <v>-388.17724205438282</v>
      </c>
      <c r="AN314" s="527">
        <f t="shared" si="453"/>
        <v>-388.17724205438282</v>
      </c>
      <c r="AO314" s="527">
        <f t="shared" si="453"/>
        <v>-388.17724205438282</v>
      </c>
      <c r="AP314" s="527">
        <f t="shared" si="453"/>
        <v>-373.62212870308468</v>
      </c>
      <c r="AQ314" s="527">
        <f t="shared" si="453"/>
        <v>-373.62212870308468</v>
      </c>
      <c r="AR314" s="527">
        <f t="shared" si="453"/>
        <v>-373.62212870308468</v>
      </c>
      <c r="AS314" s="527">
        <f t="shared" si="453"/>
        <v>-373.62212870308468</v>
      </c>
      <c r="AT314" s="527">
        <f t="shared" si="453"/>
        <v>-373.62212870308468</v>
      </c>
      <c r="AU314" s="527">
        <f t="shared" si="453"/>
        <v>-373.62212870308468</v>
      </c>
      <c r="AV314" s="527">
        <f t="shared" si="453"/>
        <v>-388.43444149955792</v>
      </c>
      <c r="AW314" s="527">
        <f t="shared" si="453"/>
        <v>-388.43444149955792</v>
      </c>
      <c r="AX314" s="527">
        <f t="shared" ref="AX314:BY314" si="454">(AX282-AX290)*AX$234</f>
        <v>-388.43444149955792</v>
      </c>
      <c r="AY314" s="527">
        <f t="shared" si="454"/>
        <v>-388.43444149955792</v>
      </c>
      <c r="AZ314" s="527">
        <f t="shared" si="454"/>
        <v>-388.43444149955792</v>
      </c>
      <c r="BA314" s="527">
        <f t="shared" si="454"/>
        <v>-388.43444149955792</v>
      </c>
      <c r="BB314" s="527">
        <f t="shared" si="454"/>
        <v>-375.06519342642957</v>
      </c>
      <c r="BC314" s="527">
        <f t="shared" si="454"/>
        <v>-375.06519342642957</v>
      </c>
      <c r="BD314" s="527">
        <f t="shared" si="454"/>
        <v>-375.06519342642957</v>
      </c>
      <c r="BE314" s="527">
        <f t="shared" si="454"/>
        <v>-375.06519342642957</v>
      </c>
      <c r="BF314" s="527">
        <f t="shared" si="454"/>
        <v>-375.06519342642957</v>
      </c>
      <c r="BG314" s="527">
        <f t="shared" si="454"/>
        <v>-375.06519342642957</v>
      </c>
      <c r="BH314" s="527">
        <f t="shared" si="454"/>
        <v>-389.79642324686029</v>
      </c>
      <c r="BI314" s="527">
        <f t="shared" si="454"/>
        <v>-389.79642324686029</v>
      </c>
      <c r="BJ314" s="527">
        <f t="shared" si="454"/>
        <v>-389.79642324686029</v>
      </c>
      <c r="BK314" s="527">
        <f t="shared" si="454"/>
        <v>-389.79642324686029</v>
      </c>
      <c r="BL314" s="527">
        <f t="shared" si="454"/>
        <v>-389.79642324686029</v>
      </c>
      <c r="BM314" s="527">
        <f t="shared" si="454"/>
        <v>-389.79642324686029</v>
      </c>
      <c r="BN314" s="527">
        <f t="shared" si="454"/>
        <v>-376.81801904515805</v>
      </c>
      <c r="BO314" s="527">
        <f t="shared" si="454"/>
        <v>-376.81801904515805</v>
      </c>
      <c r="BP314" s="527">
        <f t="shared" si="454"/>
        <v>-376.81801904515805</v>
      </c>
      <c r="BQ314" s="527">
        <f t="shared" si="454"/>
        <v>-376.81801904515805</v>
      </c>
      <c r="BR314" s="527">
        <f t="shared" si="454"/>
        <v>-376.81801904515805</v>
      </c>
      <c r="BS314" s="527">
        <f t="shared" si="454"/>
        <v>-376.81801904515805</v>
      </c>
      <c r="BT314" s="527">
        <f t="shared" si="454"/>
        <v>-391.47384637095189</v>
      </c>
      <c r="BU314" s="527">
        <f t="shared" si="454"/>
        <v>-391.47384637095189</v>
      </c>
      <c r="BV314" s="527">
        <f t="shared" si="454"/>
        <v>-391.47384637095189</v>
      </c>
      <c r="BW314" s="527">
        <f t="shared" si="454"/>
        <v>-391.47384637095189</v>
      </c>
      <c r="BX314" s="527">
        <f t="shared" si="454"/>
        <v>-391.47384637095189</v>
      </c>
      <c r="BY314" s="527">
        <f t="shared" si="454"/>
        <v>-391.47384637095189</v>
      </c>
    </row>
    <row r="315" spans="1:77" x14ac:dyDescent="0.3">
      <c r="A315" s="551"/>
      <c r="B315" s="548"/>
      <c r="C315" s="525"/>
      <c r="D315" s="525"/>
      <c r="E315" s="630" t="str">
        <f>"WSM discounts: "&amp;E$156</f>
        <v>WSM discounts: FY28 Tranche</v>
      </c>
      <c r="F315" s="525"/>
      <c r="G315" s="525"/>
      <c r="H315" s="525"/>
      <c r="I315" s="525"/>
      <c r="J315" s="525"/>
      <c r="K315" s="525"/>
      <c r="L315" s="525"/>
      <c r="M315" s="525"/>
      <c r="N315" s="525"/>
      <c r="O315" s="525"/>
      <c r="P315" s="565"/>
      <c r="Q315" s="525"/>
      <c r="R315" s="527">
        <f t="shared" ref="R315:AW315" si="455">(R283-R291)*R$234</f>
        <v>-327.92804605814399</v>
      </c>
      <c r="S315" s="527">
        <f t="shared" si="455"/>
        <v>-327.92804605814399</v>
      </c>
      <c r="T315" s="527">
        <f t="shared" si="455"/>
        <v>-327.92804605814399</v>
      </c>
      <c r="U315" s="527">
        <f t="shared" si="455"/>
        <v>-327.92804605814399</v>
      </c>
      <c r="V315" s="527">
        <f t="shared" si="455"/>
        <v>-327.92804605814399</v>
      </c>
      <c r="W315" s="527">
        <f t="shared" si="455"/>
        <v>-327.92804605814399</v>
      </c>
      <c r="X315" s="527">
        <f t="shared" si="455"/>
        <v>-327.92804605814399</v>
      </c>
      <c r="Y315" s="527">
        <f t="shared" si="455"/>
        <v>-327.92804605814399</v>
      </c>
      <c r="Z315" s="527">
        <f t="shared" si="455"/>
        <v>-327.92804605814399</v>
      </c>
      <c r="AA315" s="527">
        <f t="shared" si="455"/>
        <v>-327.92804605814399</v>
      </c>
      <c r="AB315" s="527">
        <f t="shared" si="455"/>
        <v>-327.92804605814399</v>
      </c>
      <c r="AC315" s="527">
        <f t="shared" si="455"/>
        <v>-327.92804605814399</v>
      </c>
      <c r="AD315" s="527">
        <f t="shared" si="455"/>
        <v>-327.92804605814399</v>
      </c>
      <c r="AE315" s="527">
        <f t="shared" si="455"/>
        <v>-327.92804605814399</v>
      </c>
      <c r="AF315" s="527">
        <f t="shared" si="455"/>
        <v>-327.92804605814399</v>
      </c>
      <c r="AG315" s="527">
        <f t="shared" si="455"/>
        <v>-327.92804605814399</v>
      </c>
      <c r="AH315" s="527">
        <f t="shared" si="455"/>
        <v>-327.92804605814399</v>
      </c>
      <c r="AI315" s="527">
        <f t="shared" si="455"/>
        <v>-327.92804605814399</v>
      </c>
      <c r="AJ315" s="527">
        <f t="shared" si="455"/>
        <v>-387.09399771208876</v>
      </c>
      <c r="AK315" s="527">
        <f t="shared" si="455"/>
        <v>-387.09399771208876</v>
      </c>
      <c r="AL315" s="527">
        <f t="shared" si="455"/>
        <v>-387.09399771208876</v>
      </c>
      <c r="AM315" s="527">
        <f t="shared" si="455"/>
        <v>-387.09399771208876</v>
      </c>
      <c r="AN315" s="527">
        <f t="shared" si="455"/>
        <v>-387.09399771208876</v>
      </c>
      <c r="AO315" s="527">
        <f t="shared" si="455"/>
        <v>-387.09399771208876</v>
      </c>
      <c r="AP315" s="527">
        <f t="shared" si="455"/>
        <v>-372.58890288137542</v>
      </c>
      <c r="AQ315" s="527">
        <f t="shared" si="455"/>
        <v>-372.58890288137542</v>
      </c>
      <c r="AR315" s="527">
        <f t="shared" si="455"/>
        <v>-372.58890288137542</v>
      </c>
      <c r="AS315" s="527">
        <f t="shared" si="455"/>
        <v>-372.58890288137542</v>
      </c>
      <c r="AT315" s="527">
        <f t="shared" si="455"/>
        <v>-372.58890288137542</v>
      </c>
      <c r="AU315" s="527">
        <f t="shared" si="455"/>
        <v>-372.58890288137542</v>
      </c>
      <c r="AV315" s="527">
        <f t="shared" si="455"/>
        <v>-387.35988664498041</v>
      </c>
      <c r="AW315" s="527">
        <f t="shared" si="455"/>
        <v>-387.35988664498041</v>
      </c>
      <c r="AX315" s="527">
        <f t="shared" ref="AX315:BY315" si="456">(AX283-AX291)*AX$234</f>
        <v>-387.35988664498041</v>
      </c>
      <c r="AY315" s="527">
        <f t="shared" si="456"/>
        <v>-387.35988664498041</v>
      </c>
      <c r="AZ315" s="527">
        <f t="shared" si="456"/>
        <v>-387.35988664498041</v>
      </c>
      <c r="BA315" s="527">
        <f t="shared" si="456"/>
        <v>-387.35988664498041</v>
      </c>
      <c r="BB315" s="527">
        <f t="shared" si="456"/>
        <v>-374.03762350908193</v>
      </c>
      <c r="BC315" s="527">
        <f t="shared" si="456"/>
        <v>-374.03762350908193</v>
      </c>
      <c r="BD315" s="527">
        <f t="shared" si="456"/>
        <v>-374.03762350908193</v>
      </c>
      <c r="BE315" s="527">
        <f t="shared" si="456"/>
        <v>-374.03762350908193</v>
      </c>
      <c r="BF315" s="527">
        <f t="shared" si="456"/>
        <v>-374.03762350908193</v>
      </c>
      <c r="BG315" s="527">
        <f t="shared" si="456"/>
        <v>-374.03762350908193</v>
      </c>
      <c r="BH315" s="527">
        <f t="shared" si="456"/>
        <v>-388.7277505328185</v>
      </c>
      <c r="BI315" s="527">
        <f t="shared" si="456"/>
        <v>-388.7277505328185</v>
      </c>
      <c r="BJ315" s="527">
        <f t="shared" si="456"/>
        <v>-388.7277505328185</v>
      </c>
      <c r="BK315" s="527">
        <f t="shared" si="456"/>
        <v>-388.7277505328185</v>
      </c>
      <c r="BL315" s="527">
        <f t="shared" si="456"/>
        <v>-388.7277505328185</v>
      </c>
      <c r="BM315" s="527">
        <f t="shared" si="456"/>
        <v>-388.7277505328185</v>
      </c>
      <c r="BN315" s="527">
        <f t="shared" si="456"/>
        <v>-375.79570879289753</v>
      </c>
      <c r="BO315" s="527">
        <f t="shared" si="456"/>
        <v>-375.79570879289753</v>
      </c>
      <c r="BP315" s="527">
        <f t="shared" si="456"/>
        <v>-375.79570879289753</v>
      </c>
      <c r="BQ315" s="527">
        <f t="shared" si="456"/>
        <v>-375.79570879289753</v>
      </c>
      <c r="BR315" s="527">
        <f t="shared" si="456"/>
        <v>-375.79570879289753</v>
      </c>
      <c r="BS315" s="527">
        <f t="shared" si="456"/>
        <v>-375.79570879289753</v>
      </c>
      <c r="BT315" s="527">
        <f t="shared" si="456"/>
        <v>-390.41064370860113</v>
      </c>
      <c r="BU315" s="527">
        <f t="shared" si="456"/>
        <v>-390.41064370860113</v>
      </c>
      <c r="BV315" s="527">
        <f t="shared" si="456"/>
        <v>-390.41064370860113</v>
      </c>
      <c r="BW315" s="527">
        <f t="shared" si="456"/>
        <v>-390.41064370860113</v>
      </c>
      <c r="BX315" s="527">
        <f t="shared" si="456"/>
        <v>-390.41064370860113</v>
      </c>
      <c r="BY315" s="527">
        <f t="shared" si="456"/>
        <v>-390.41064370860113</v>
      </c>
    </row>
    <row r="316" spans="1:77" x14ac:dyDescent="0.3">
      <c r="A316" s="551"/>
      <c r="B316" s="548"/>
      <c r="C316" s="525"/>
      <c r="D316" s="525"/>
      <c r="E316" s="630" t="str">
        <f>"WSM discounts: "&amp;E$157</f>
        <v>WSM discounts: FY29 Tranche</v>
      </c>
      <c r="F316" s="525"/>
      <c r="G316" s="525"/>
      <c r="H316" s="525"/>
      <c r="I316" s="525"/>
      <c r="J316" s="525"/>
      <c r="K316" s="525"/>
      <c r="L316" s="525"/>
      <c r="M316" s="525"/>
      <c r="N316" s="525"/>
      <c r="O316" s="525"/>
      <c r="P316" s="565"/>
      <c r="Q316" s="525"/>
      <c r="R316" s="527">
        <f t="shared" ref="R316:AW316" si="457">(R284-R292)*R$234</f>
        <v>-327.92804605814399</v>
      </c>
      <c r="S316" s="527">
        <f t="shared" si="457"/>
        <v>-327.92804605814399</v>
      </c>
      <c r="T316" s="527">
        <f t="shared" si="457"/>
        <v>-327.92804605814399</v>
      </c>
      <c r="U316" s="527">
        <f t="shared" si="457"/>
        <v>-327.92804605814399</v>
      </c>
      <c r="V316" s="527">
        <f t="shared" si="457"/>
        <v>-327.92804605814399</v>
      </c>
      <c r="W316" s="527">
        <f t="shared" si="457"/>
        <v>-327.92804605814399</v>
      </c>
      <c r="X316" s="527">
        <f t="shared" si="457"/>
        <v>-327.92804605814399</v>
      </c>
      <c r="Y316" s="527">
        <f t="shared" si="457"/>
        <v>-327.92804605814399</v>
      </c>
      <c r="Z316" s="527">
        <f t="shared" si="457"/>
        <v>-327.92804605814399</v>
      </c>
      <c r="AA316" s="527">
        <f t="shared" si="457"/>
        <v>-327.92804605814399</v>
      </c>
      <c r="AB316" s="527">
        <f t="shared" si="457"/>
        <v>-327.92804605814399</v>
      </c>
      <c r="AC316" s="527">
        <f t="shared" si="457"/>
        <v>-327.92804605814399</v>
      </c>
      <c r="AD316" s="527">
        <f t="shared" si="457"/>
        <v>-327.92804605814399</v>
      </c>
      <c r="AE316" s="527">
        <f t="shared" si="457"/>
        <v>-327.92804605814399</v>
      </c>
      <c r="AF316" s="527">
        <f t="shared" si="457"/>
        <v>-327.92804605814399</v>
      </c>
      <c r="AG316" s="527">
        <f t="shared" si="457"/>
        <v>-327.92804605814399</v>
      </c>
      <c r="AH316" s="527">
        <f t="shared" si="457"/>
        <v>-327.92804605814399</v>
      </c>
      <c r="AI316" s="527">
        <f t="shared" si="457"/>
        <v>-327.92804605814399</v>
      </c>
      <c r="AJ316" s="527">
        <f t="shared" si="457"/>
        <v>-327.92804605814399</v>
      </c>
      <c r="AK316" s="527">
        <f t="shared" si="457"/>
        <v>-327.92804605814399</v>
      </c>
      <c r="AL316" s="527">
        <f t="shared" si="457"/>
        <v>-327.92804605814399</v>
      </c>
      <c r="AM316" s="527">
        <f t="shared" si="457"/>
        <v>-327.92804605814399</v>
      </c>
      <c r="AN316" s="527">
        <f t="shared" si="457"/>
        <v>-327.92804605814399</v>
      </c>
      <c r="AO316" s="527">
        <f t="shared" si="457"/>
        <v>-327.92804605814399</v>
      </c>
      <c r="AP316" s="527">
        <f t="shared" si="457"/>
        <v>-327.92804605814399</v>
      </c>
      <c r="AQ316" s="527">
        <f t="shared" si="457"/>
        <v>-327.92804605814399</v>
      </c>
      <c r="AR316" s="527">
        <f t="shared" si="457"/>
        <v>-327.92804605814399</v>
      </c>
      <c r="AS316" s="527">
        <f t="shared" si="457"/>
        <v>-327.92804605814399</v>
      </c>
      <c r="AT316" s="527">
        <f t="shared" si="457"/>
        <v>-327.92804605814399</v>
      </c>
      <c r="AU316" s="527">
        <f t="shared" si="457"/>
        <v>-327.92804605814399</v>
      </c>
      <c r="AV316" s="527">
        <f t="shared" si="457"/>
        <v>-385.62921774854794</v>
      </c>
      <c r="AW316" s="527">
        <f t="shared" si="457"/>
        <v>-385.62921774854794</v>
      </c>
      <c r="AX316" s="527">
        <f t="shared" ref="AX316:BY316" si="458">(AX284-AX292)*AX$234</f>
        <v>-385.62921774854794</v>
      </c>
      <c r="AY316" s="527">
        <f t="shared" si="458"/>
        <v>-385.62921774854794</v>
      </c>
      <c r="AZ316" s="527">
        <f t="shared" si="458"/>
        <v>-385.62921774854794</v>
      </c>
      <c r="BA316" s="527">
        <f t="shared" si="458"/>
        <v>-385.62921774854794</v>
      </c>
      <c r="BB316" s="527">
        <f t="shared" si="458"/>
        <v>-372.38262815236493</v>
      </c>
      <c r="BC316" s="527">
        <f t="shared" si="458"/>
        <v>-372.38262815236493</v>
      </c>
      <c r="BD316" s="527">
        <f t="shared" si="458"/>
        <v>-372.38262815236493</v>
      </c>
      <c r="BE316" s="527">
        <f t="shared" si="458"/>
        <v>-372.38262815236493</v>
      </c>
      <c r="BF316" s="527">
        <f t="shared" si="458"/>
        <v>-372.38262815236493</v>
      </c>
      <c r="BG316" s="527">
        <f t="shared" si="458"/>
        <v>-372.38262815236493</v>
      </c>
      <c r="BH316" s="527">
        <f t="shared" si="458"/>
        <v>-387.0065553618328</v>
      </c>
      <c r="BI316" s="527">
        <f t="shared" si="458"/>
        <v>-387.0065553618328</v>
      </c>
      <c r="BJ316" s="527">
        <f t="shared" si="458"/>
        <v>-387.0065553618328</v>
      </c>
      <c r="BK316" s="527">
        <f t="shared" si="458"/>
        <v>-387.0065553618328</v>
      </c>
      <c r="BL316" s="527">
        <f t="shared" si="458"/>
        <v>-387.0065553618328</v>
      </c>
      <c r="BM316" s="527">
        <f t="shared" si="458"/>
        <v>-387.0065553618328</v>
      </c>
      <c r="BN316" s="527">
        <f t="shared" si="458"/>
        <v>-374.14918460797213</v>
      </c>
      <c r="BO316" s="527">
        <f t="shared" si="458"/>
        <v>-374.14918460797213</v>
      </c>
      <c r="BP316" s="527">
        <f t="shared" si="458"/>
        <v>-374.14918460797213</v>
      </c>
      <c r="BQ316" s="527">
        <f t="shared" si="458"/>
        <v>-374.14918460797213</v>
      </c>
      <c r="BR316" s="527">
        <f t="shared" si="458"/>
        <v>-374.14918460797213</v>
      </c>
      <c r="BS316" s="527">
        <f t="shared" si="458"/>
        <v>-374.14918460797213</v>
      </c>
      <c r="BT316" s="527">
        <f t="shared" si="458"/>
        <v>-388.69825855627852</v>
      </c>
      <c r="BU316" s="527">
        <f t="shared" si="458"/>
        <v>-388.69825855627852</v>
      </c>
      <c r="BV316" s="527">
        <f t="shared" si="458"/>
        <v>-388.69825855627852</v>
      </c>
      <c r="BW316" s="527">
        <f t="shared" si="458"/>
        <v>-388.69825855627852</v>
      </c>
      <c r="BX316" s="527">
        <f t="shared" si="458"/>
        <v>-388.69825855627852</v>
      </c>
      <c r="BY316" s="527">
        <f t="shared" si="458"/>
        <v>-388.69825855627852</v>
      </c>
    </row>
    <row r="317" spans="1:77" x14ac:dyDescent="0.3">
      <c r="A317" s="551"/>
      <c r="B317" s="548"/>
      <c r="C317" s="525"/>
      <c r="D317" s="525"/>
      <c r="E317" s="630" t="str">
        <f>"WSM discounts: "&amp;E$158</f>
        <v>WSM discounts: FY30 Tranche</v>
      </c>
      <c r="F317" s="525"/>
      <c r="G317" s="525"/>
      <c r="H317" s="525"/>
      <c r="I317" s="525"/>
      <c r="J317" s="525"/>
      <c r="K317" s="525"/>
      <c r="L317" s="525"/>
      <c r="M317" s="525"/>
      <c r="N317" s="525"/>
      <c r="O317" s="525"/>
      <c r="P317" s="565"/>
      <c r="Q317" s="525"/>
      <c r="R317" s="527">
        <f t="shared" ref="R317:AW317" si="459">(R285-R293)*R$234</f>
        <v>-327.92804605814399</v>
      </c>
      <c r="S317" s="527">
        <f t="shared" si="459"/>
        <v>-327.92804605814399</v>
      </c>
      <c r="T317" s="527">
        <f t="shared" si="459"/>
        <v>-327.92804605814399</v>
      </c>
      <c r="U317" s="527">
        <f t="shared" si="459"/>
        <v>-327.92804605814399</v>
      </c>
      <c r="V317" s="527">
        <f t="shared" si="459"/>
        <v>-327.92804605814399</v>
      </c>
      <c r="W317" s="527">
        <f t="shared" si="459"/>
        <v>-327.92804605814399</v>
      </c>
      <c r="X317" s="527">
        <f t="shared" si="459"/>
        <v>-327.92804605814399</v>
      </c>
      <c r="Y317" s="527">
        <f t="shared" si="459"/>
        <v>-327.92804605814399</v>
      </c>
      <c r="Z317" s="527">
        <f t="shared" si="459"/>
        <v>-327.92804605814399</v>
      </c>
      <c r="AA317" s="527">
        <f t="shared" si="459"/>
        <v>-327.92804605814399</v>
      </c>
      <c r="AB317" s="527">
        <f t="shared" si="459"/>
        <v>-327.92804605814399</v>
      </c>
      <c r="AC317" s="527">
        <f t="shared" si="459"/>
        <v>-327.92804605814399</v>
      </c>
      <c r="AD317" s="527">
        <f t="shared" si="459"/>
        <v>-327.92804605814399</v>
      </c>
      <c r="AE317" s="527">
        <f t="shared" si="459"/>
        <v>-327.92804605814399</v>
      </c>
      <c r="AF317" s="527">
        <f t="shared" si="459"/>
        <v>-327.92804605814399</v>
      </c>
      <c r="AG317" s="527">
        <f t="shared" si="459"/>
        <v>-327.92804605814399</v>
      </c>
      <c r="AH317" s="527">
        <f t="shared" si="459"/>
        <v>-327.92804605814399</v>
      </c>
      <c r="AI317" s="527">
        <f t="shared" si="459"/>
        <v>-327.92804605814399</v>
      </c>
      <c r="AJ317" s="527">
        <f t="shared" si="459"/>
        <v>-327.92804605814399</v>
      </c>
      <c r="AK317" s="527">
        <f t="shared" si="459"/>
        <v>-327.92804605814399</v>
      </c>
      <c r="AL317" s="527">
        <f t="shared" si="459"/>
        <v>-327.92804605814399</v>
      </c>
      <c r="AM317" s="527">
        <f t="shared" si="459"/>
        <v>-327.92804605814399</v>
      </c>
      <c r="AN317" s="527">
        <f t="shared" si="459"/>
        <v>-327.92804605814399</v>
      </c>
      <c r="AO317" s="527">
        <f t="shared" si="459"/>
        <v>-327.92804605814399</v>
      </c>
      <c r="AP317" s="527">
        <f t="shared" si="459"/>
        <v>-327.92804605814399</v>
      </c>
      <c r="AQ317" s="527">
        <f t="shared" si="459"/>
        <v>-327.92804605814399</v>
      </c>
      <c r="AR317" s="527">
        <f t="shared" si="459"/>
        <v>-327.92804605814399</v>
      </c>
      <c r="AS317" s="527">
        <f t="shared" si="459"/>
        <v>-327.92804605814399</v>
      </c>
      <c r="AT317" s="527">
        <f t="shared" si="459"/>
        <v>-327.92804605814399</v>
      </c>
      <c r="AU317" s="527">
        <f t="shared" si="459"/>
        <v>-327.92804605814399</v>
      </c>
      <c r="AV317" s="527">
        <f t="shared" si="459"/>
        <v>-327.92804605814399</v>
      </c>
      <c r="AW317" s="527">
        <f t="shared" si="459"/>
        <v>-327.92804605814399</v>
      </c>
      <c r="AX317" s="527">
        <f t="shared" ref="AX317:BY317" si="460">(AX285-AX293)*AX$234</f>
        <v>-327.92804605814399</v>
      </c>
      <c r="AY317" s="527">
        <f t="shared" si="460"/>
        <v>-327.92804605814399</v>
      </c>
      <c r="AZ317" s="527">
        <f t="shared" si="460"/>
        <v>-327.92804605814399</v>
      </c>
      <c r="BA317" s="527">
        <f t="shared" si="460"/>
        <v>-327.92804605814399</v>
      </c>
      <c r="BB317" s="527">
        <f t="shared" si="460"/>
        <v>-327.92804605814399</v>
      </c>
      <c r="BC317" s="527">
        <f t="shared" si="460"/>
        <v>-327.92804605814399</v>
      </c>
      <c r="BD317" s="527">
        <f t="shared" si="460"/>
        <v>-327.92804605814399</v>
      </c>
      <c r="BE317" s="527">
        <f t="shared" si="460"/>
        <v>-327.92804605814399</v>
      </c>
      <c r="BF317" s="527">
        <f t="shared" si="460"/>
        <v>-327.92804605814399</v>
      </c>
      <c r="BG317" s="527">
        <f t="shared" si="460"/>
        <v>-327.92804605814399</v>
      </c>
      <c r="BH317" s="527">
        <f t="shared" si="460"/>
        <v>-384.24718666614547</v>
      </c>
      <c r="BI317" s="527">
        <f t="shared" si="460"/>
        <v>-384.24718666614547</v>
      </c>
      <c r="BJ317" s="527">
        <f t="shared" si="460"/>
        <v>-384.24718666614547</v>
      </c>
      <c r="BK317" s="527">
        <f t="shared" si="460"/>
        <v>-384.24718666614547</v>
      </c>
      <c r="BL317" s="527">
        <f t="shared" si="460"/>
        <v>-384.24718666614547</v>
      </c>
      <c r="BM317" s="527">
        <f t="shared" si="460"/>
        <v>-384.24718666614547</v>
      </c>
      <c r="BN317" s="527">
        <f t="shared" si="460"/>
        <v>-371.50952620713321</v>
      </c>
      <c r="BO317" s="527">
        <f t="shared" si="460"/>
        <v>-371.50952620713321</v>
      </c>
      <c r="BP317" s="527">
        <f t="shared" si="460"/>
        <v>-371.50952620713321</v>
      </c>
      <c r="BQ317" s="527">
        <f t="shared" si="460"/>
        <v>-371.50952620713321</v>
      </c>
      <c r="BR317" s="527">
        <f t="shared" si="460"/>
        <v>-371.50952620713321</v>
      </c>
      <c r="BS317" s="527">
        <f t="shared" si="460"/>
        <v>-371.50952620713321</v>
      </c>
      <c r="BT317" s="527">
        <f t="shared" si="460"/>
        <v>-385.95301381940618</v>
      </c>
      <c r="BU317" s="527">
        <f t="shared" si="460"/>
        <v>-385.95301381940618</v>
      </c>
      <c r="BV317" s="527">
        <f t="shared" si="460"/>
        <v>-385.95301381940618</v>
      </c>
      <c r="BW317" s="527">
        <f t="shared" si="460"/>
        <v>-385.95301381940618</v>
      </c>
      <c r="BX317" s="527">
        <f t="shared" si="460"/>
        <v>-385.95301381940618</v>
      </c>
      <c r="BY317" s="527">
        <f t="shared" si="460"/>
        <v>-385.95301381940618</v>
      </c>
    </row>
    <row r="318" spans="1:77" x14ac:dyDescent="0.3">
      <c r="A318" s="551"/>
      <c r="B318" s="548"/>
      <c r="C318" s="525"/>
      <c r="D318" s="525"/>
      <c r="E318" s="630" t="str">
        <f>"WSM discounts: "&amp;E$159</f>
        <v>WSM discounts: FY31 Tranche</v>
      </c>
      <c r="F318" s="525"/>
      <c r="G318" s="525"/>
      <c r="H318" s="525"/>
      <c r="I318" s="525"/>
      <c r="J318" s="525"/>
      <c r="K318" s="525"/>
      <c r="L318" s="525"/>
      <c r="M318" s="525"/>
      <c r="N318" s="525"/>
      <c r="O318" s="525"/>
      <c r="P318" s="565"/>
      <c r="Q318" s="525"/>
      <c r="R318" s="527">
        <f t="shared" ref="R318:AW318" si="461">(R286-R294)*R$234</f>
        <v>-327.92804605814399</v>
      </c>
      <c r="S318" s="527">
        <f t="shared" si="461"/>
        <v>-327.92804605814399</v>
      </c>
      <c r="T318" s="527">
        <f t="shared" si="461"/>
        <v>-327.92804605814399</v>
      </c>
      <c r="U318" s="527">
        <f t="shared" si="461"/>
        <v>-327.92804605814399</v>
      </c>
      <c r="V318" s="527">
        <f t="shared" si="461"/>
        <v>-327.92804605814399</v>
      </c>
      <c r="W318" s="527">
        <f t="shared" si="461"/>
        <v>-327.92804605814399</v>
      </c>
      <c r="X318" s="527">
        <f t="shared" si="461"/>
        <v>-327.92804605814399</v>
      </c>
      <c r="Y318" s="527">
        <f t="shared" si="461"/>
        <v>-327.92804605814399</v>
      </c>
      <c r="Z318" s="527">
        <f t="shared" si="461"/>
        <v>-327.92804605814399</v>
      </c>
      <c r="AA318" s="527">
        <f t="shared" si="461"/>
        <v>-327.92804605814399</v>
      </c>
      <c r="AB318" s="527">
        <f t="shared" si="461"/>
        <v>-327.92804605814399</v>
      </c>
      <c r="AC318" s="527">
        <f t="shared" si="461"/>
        <v>-327.92804605814399</v>
      </c>
      <c r="AD318" s="527">
        <f t="shared" si="461"/>
        <v>-327.92804605814399</v>
      </c>
      <c r="AE318" s="527">
        <f t="shared" si="461"/>
        <v>-327.92804605814399</v>
      </c>
      <c r="AF318" s="527">
        <f t="shared" si="461"/>
        <v>-327.92804605814399</v>
      </c>
      <c r="AG318" s="527">
        <f t="shared" si="461"/>
        <v>-327.92804605814399</v>
      </c>
      <c r="AH318" s="527">
        <f t="shared" si="461"/>
        <v>-327.92804605814399</v>
      </c>
      <c r="AI318" s="527">
        <f t="shared" si="461"/>
        <v>-327.92804605814399</v>
      </c>
      <c r="AJ318" s="527">
        <f t="shared" si="461"/>
        <v>-327.92804605814399</v>
      </c>
      <c r="AK318" s="527">
        <f t="shared" si="461"/>
        <v>-327.92804605814399</v>
      </c>
      <c r="AL318" s="527">
        <f t="shared" si="461"/>
        <v>-327.92804605814399</v>
      </c>
      <c r="AM318" s="527">
        <f t="shared" si="461"/>
        <v>-327.92804605814399</v>
      </c>
      <c r="AN318" s="527">
        <f t="shared" si="461"/>
        <v>-327.92804605814399</v>
      </c>
      <c r="AO318" s="527">
        <f t="shared" si="461"/>
        <v>-327.92804605814399</v>
      </c>
      <c r="AP318" s="527">
        <f t="shared" si="461"/>
        <v>-327.92804605814399</v>
      </c>
      <c r="AQ318" s="527">
        <f t="shared" si="461"/>
        <v>-327.92804605814399</v>
      </c>
      <c r="AR318" s="527">
        <f t="shared" si="461"/>
        <v>-327.92804605814399</v>
      </c>
      <c r="AS318" s="527">
        <f t="shared" si="461"/>
        <v>-327.92804605814399</v>
      </c>
      <c r="AT318" s="527">
        <f t="shared" si="461"/>
        <v>-327.92804605814399</v>
      </c>
      <c r="AU318" s="527">
        <f t="shared" si="461"/>
        <v>-327.92804605814399</v>
      </c>
      <c r="AV318" s="527">
        <f t="shared" si="461"/>
        <v>-327.92804605814399</v>
      </c>
      <c r="AW318" s="527">
        <f t="shared" si="461"/>
        <v>-327.92804605814399</v>
      </c>
      <c r="AX318" s="527">
        <f t="shared" ref="AX318:BY318" si="462">(AX286-AX294)*AX$234</f>
        <v>-327.92804605814399</v>
      </c>
      <c r="AY318" s="527">
        <f t="shared" si="462"/>
        <v>-327.92804605814399</v>
      </c>
      <c r="AZ318" s="527">
        <f t="shared" si="462"/>
        <v>-327.92804605814399</v>
      </c>
      <c r="BA318" s="527">
        <f t="shared" si="462"/>
        <v>-327.92804605814399</v>
      </c>
      <c r="BB318" s="527">
        <f t="shared" si="462"/>
        <v>-327.92804605814399</v>
      </c>
      <c r="BC318" s="527">
        <f t="shared" si="462"/>
        <v>-327.92804605814399</v>
      </c>
      <c r="BD318" s="527">
        <f t="shared" si="462"/>
        <v>-327.92804605814399</v>
      </c>
      <c r="BE318" s="527">
        <f t="shared" si="462"/>
        <v>-327.92804605814399</v>
      </c>
      <c r="BF318" s="527">
        <f t="shared" si="462"/>
        <v>-327.92804605814399</v>
      </c>
      <c r="BG318" s="527">
        <f t="shared" si="462"/>
        <v>-327.92804605814399</v>
      </c>
      <c r="BH318" s="527">
        <f t="shared" si="462"/>
        <v>-327.92804605814399</v>
      </c>
      <c r="BI318" s="527">
        <f t="shared" si="462"/>
        <v>-327.92804605814399</v>
      </c>
      <c r="BJ318" s="527">
        <f t="shared" si="462"/>
        <v>-327.92804605814399</v>
      </c>
      <c r="BK318" s="527">
        <f t="shared" si="462"/>
        <v>-327.92804605814399</v>
      </c>
      <c r="BL318" s="527">
        <f t="shared" si="462"/>
        <v>-327.92804605814399</v>
      </c>
      <c r="BM318" s="527">
        <f t="shared" si="462"/>
        <v>-327.92804605814399</v>
      </c>
      <c r="BN318" s="527">
        <f t="shared" si="462"/>
        <v>-327.92804605814399</v>
      </c>
      <c r="BO318" s="527">
        <f t="shared" si="462"/>
        <v>-327.92804605814399</v>
      </c>
      <c r="BP318" s="527">
        <f t="shared" si="462"/>
        <v>-327.92804605814399</v>
      </c>
      <c r="BQ318" s="527">
        <f t="shared" si="462"/>
        <v>-327.92804605814399</v>
      </c>
      <c r="BR318" s="527">
        <f t="shared" si="462"/>
        <v>-327.92804605814399</v>
      </c>
      <c r="BS318" s="527">
        <f t="shared" si="462"/>
        <v>-327.92804605814399</v>
      </c>
      <c r="BT318" s="527">
        <f t="shared" si="462"/>
        <v>-382.85532064718518</v>
      </c>
      <c r="BU318" s="527">
        <f t="shared" si="462"/>
        <v>-382.85532064718518</v>
      </c>
      <c r="BV318" s="527">
        <f t="shared" si="462"/>
        <v>-382.85532064718518</v>
      </c>
      <c r="BW318" s="527">
        <f t="shared" si="462"/>
        <v>-382.85532064718518</v>
      </c>
      <c r="BX318" s="527">
        <f t="shared" si="462"/>
        <v>-382.85532064718518</v>
      </c>
      <c r="BY318" s="527">
        <f t="shared" si="462"/>
        <v>-382.85532064718518</v>
      </c>
    </row>
    <row r="319" spans="1:77" x14ac:dyDescent="0.3">
      <c r="A319" s="551"/>
      <c r="B319" s="548"/>
      <c r="C319" s="525"/>
      <c r="D319" s="525"/>
      <c r="E319" s="630" t="str">
        <f>"WSM discounts: "&amp;E$160</f>
        <v>WSM discounts: Uninvested Tranche</v>
      </c>
      <c r="F319" s="525"/>
      <c r="G319" s="525"/>
      <c r="H319" s="525"/>
      <c r="I319" s="525"/>
      <c r="J319" s="525"/>
      <c r="K319" s="525"/>
      <c r="L319" s="525"/>
      <c r="M319" s="525"/>
      <c r="N319" s="525"/>
      <c r="O319" s="525"/>
      <c r="P319" s="565"/>
      <c r="Q319" s="525"/>
      <c r="R319" s="527">
        <f t="shared" ref="R319:AW319" si="463">(R287-R295)*R$234</f>
        <v>-717.34260075219004</v>
      </c>
      <c r="S319" s="527">
        <f t="shared" si="463"/>
        <v>-717.34260075219004</v>
      </c>
      <c r="T319" s="527">
        <f t="shared" si="463"/>
        <v>-717.34260075219004</v>
      </c>
      <c r="U319" s="527">
        <f t="shared" si="463"/>
        <v>-717.34260075219004</v>
      </c>
      <c r="V319" s="527">
        <f t="shared" si="463"/>
        <v>-717.34260075219004</v>
      </c>
      <c r="W319" s="527">
        <f t="shared" si="463"/>
        <v>-717.34260075219004</v>
      </c>
      <c r="X319" s="527">
        <f t="shared" si="463"/>
        <v>-717.34260075219004</v>
      </c>
      <c r="Y319" s="527">
        <f t="shared" si="463"/>
        <v>-717.34260075219004</v>
      </c>
      <c r="Z319" s="527">
        <f t="shared" si="463"/>
        <v>-717.34260075219004</v>
      </c>
      <c r="AA319" s="527">
        <f t="shared" si="463"/>
        <v>-717.34260075219004</v>
      </c>
      <c r="AB319" s="527">
        <f t="shared" si="463"/>
        <v>-717.34260075219004</v>
      </c>
      <c r="AC319" s="527">
        <f t="shared" si="463"/>
        <v>-717.34260075219004</v>
      </c>
      <c r="AD319" s="527">
        <f t="shared" si="463"/>
        <v>-717.34260075219004</v>
      </c>
      <c r="AE319" s="527">
        <f t="shared" si="463"/>
        <v>-717.34260075219004</v>
      </c>
      <c r="AF319" s="527">
        <f t="shared" si="463"/>
        <v>-717.34260075219004</v>
      </c>
      <c r="AG319" s="527">
        <f t="shared" si="463"/>
        <v>-717.34260075219004</v>
      </c>
      <c r="AH319" s="527">
        <f t="shared" si="463"/>
        <v>-717.34260075219004</v>
      </c>
      <c r="AI319" s="527">
        <f t="shared" si="463"/>
        <v>-717.34260075219004</v>
      </c>
      <c r="AJ319" s="527">
        <f t="shared" si="463"/>
        <v>-717.34260075219004</v>
      </c>
      <c r="AK319" s="527">
        <f t="shared" si="463"/>
        <v>-717.34260075219004</v>
      </c>
      <c r="AL319" s="527">
        <f t="shared" si="463"/>
        <v>-717.34260075219004</v>
      </c>
      <c r="AM319" s="527">
        <f t="shared" si="463"/>
        <v>-717.34260075219004</v>
      </c>
      <c r="AN319" s="527">
        <f t="shared" si="463"/>
        <v>-717.34260075219004</v>
      </c>
      <c r="AO319" s="527">
        <f t="shared" si="463"/>
        <v>-717.34260075219004</v>
      </c>
      <c r="AP319" s="527">
        <f t="shared" si="463"/>
        <v>-717.34260075219004</v>
      </c>
      <c r="AQ319" s="527">
        <f t="shared" si="463"/>
        <v>-717.34260075219004</v>
      </c>
      <c r="AR319" s="527">
        <f t="shared" si="463"/>
        <v>-717.34260075219004</v>
      </c>
      <c r="AS319" s="527">
        <f t="shared" si="463"/>
        <v>-717.34260075219004</v>
      </c>
      <c r="AT319" s="527">
        <f t="shared" si="463"/>
        <v>-717.34260075219004</v>
      </c>
      <c r="AU319" s="527">
        <f t="shared" si="463"/>
        <v>-717.34260075219004</v>
      </c>
      <c r="AV319" s="527">
        <f t="shared" si="463"/>
        <v>-717.34260075219004</v>
      </c>
      <c r="AW319" s="527">
        <f t="shared" si="463"/>
        <v>-717.34260075219004</v>
      </c>
      <c r="AX319" s="527">
        <f t="shared" ref="AX319:BY319" si="464">(AX287-AX295)*AX$234</f>
        <v>-717.34260075219004</v>
      </c>
      <c r="AY319" s="527">
        <f t="shared" si="464"/>
        <v>-717.34260075219004</v>
      </c>
      <c r="AZ319" s="527">
        <f t="shared" si="464"/>
        <v>-717.34260075219004</v>
      </c>
      <c r="BA319" s="527">
        <f t="shared" si="464"/>
        <v>-717.34260075219004</v>
      </c>
      <c r="BB319" s="527">
        <f t="shared" si="464"/>
        <v>-717.34260075219004</v>
      </c>
      <c r="BC319" s="527">
        <f t="shared" si="464"/>
        <v>-717.34260075219004</v>
      </c>
      <c r="BD319" s="527">
        <f t="shared" si="464"/>
        <v>-717.34260075219004</v>
      </c>
      <c r="BE319" s="527">
        <f t="shared" si="464"/>
        <v>-717.34260075219004</v>
      </c>
      <c r="BF319" s="527">
        <f t="shared" si="464"/>
        <v>-717.34260075219004</v>
      </c>
      <c r="BG319" s="527">
        <f t="shared" si="464"/>
        <v>-717.34260075219004</v>
      </c>
      <c r="BH319" s="527">
        <f t="shared" si="464"/>
        <v>-717.34260075219004</v>
      </c>
      <c r="BI319" s="527">
        <f t="shared" si="464"/>
        <v>-717.34260075219004</v>
      </c>
      <c r="BJ319" s="527">
        <f t="shared" si="464"/>
        <v>-717.34260075219004</v>
      </c>
      <c r="BK319" s="527">
        <f t="shared" si="464"/>
        <v>-717.34260075219004</v>
      </c>
      <c r="BL319" s="527">
        <f t="shared" si="464"/>
        <v>-717.34260075219004</v>
      </c>
      <c r="BM319" s="527">
        <f t="shared" si="464"/>
        <v>-717.34260075219004</v>
      </c>
      <c r="BN319" s="527">
        <f t="shared" si="464"/>
        <v>-717.34260075219004</v>
      </c>
      <c r="BO319" s="527">
        <f t="shared" si="464"/>
        <v>-717.34260075219004</v>
      </c>
      <c r="BP319" s="527">
        <f t="shared" si="464"/>
        <v>-717.34260075219004</v>
      </c>
      <c r="BQ319" s="527">
        <f t="shared" si="464"/>
        <v>-717.34260075219004</v>
      </c>
      <c r="BR319" s="527">
        <f t="shared" si="464"/>
        <v>-717.34260075219004</v>
      </c>
      <c r="BS319" s="527">
        <f t="shared" si="464"/>
        <v>-717.34260075219004</v>
      </c>
      <c r="BT319" s="527">
        <f t="shared" si="464"/>
        <v>-717.34260075219004</v>
      </c>
      <c r="BU319" s="527">
        <f t="shared" si="464"/>
        <v>-717.34260075219004</v>
      </c>
      <c r="BV319" s="527">
        <f t="shared" si="464"/>
        <v>-717.34260075219004</v>
      </c>
      <c r="BW319" s="527">
        <f t="shared" si="464"/>
        <v>-717.34260075219004</v>
      </c>
      <c r="BX319" s="527">
        <f t="shared" si="464"/>
        <v>-717.34260075219004</v>
      </c>
      <c r="BY319" s="527">
        <f t="shared" si="464"/>
        <v>-717.34260075219004</v>
      </c>
    </row>
    <row r="320" spans="1:77" x14ac:dyDescent="0.3">
      <c r="A320" s="551"/>
      <c r="B320" s="548"/>
      <c r="C320" s="525"/>
      <c r="D320" s="525"/>
      <c r="E320" s="572" t="s">
        <v>36</v>
      </c>
      <c r="F320" s="572"/>
      <c r="G320" s="572"/>
      <c r="H320" s="572"/>
      <c r="I320" s="572"/>
      <c r="J320" s="572"/>
      <c r="K320" s="572"/>
      <c r="L320" s="572"/>
      <c r="M320" s="572"/>
      <c r="N320" s="572"/>
      <c r="O320" s="572"/>
      <c r="P320" s="612"/>
      <c r="Q320" s="572"/>
      <c r="R320" s="530">
        <f t="shared" ref="R320:AW320" si="465">SUM(R314:R319)</f>
        <v>-2356.9828310429102</v>
      </c>
      <c r="S320" s="530">
        <f t="shared" si="465"/>
        <v>-2356.9828310429102</v>
      </c>
      <c r="T320" s="530">
        <f t="shared" si="465"/>
        <v>-2356.9828310429102</v>
      </c>
      <c r="U320" s="530">
        <f t="shared" si="465"/>
        <v>-2356.9828310429102</v>
      </c>
      <c r="V320" s="530">
        <f t="shared" si="465"/>
        <v>-2356.9828310429102</v>
      </c>
      <c r="W320" s="530">
        <f t="shared" si="465"/>
        <v>-2356.9828310429102</v>
      </c>
      <c r="X320" s="530">
        <f t="shared" si="465"/>
        <v>-2417.7043633072617</v>
      </c>
      <c r="Y320" s="530">
        <f t="shared" si="465"/>
        <v>-2417.7043633072617</v>
      </c>
      <c r="Z320" s="530">
        <f t="shared" si="465"/>
        <v>-2417.7043633072617</v>
      </c>
      <c r="AA320" s="530">
        <f t="shared" si="465"/>
        <v>-2417.7043633072617</v>
      </c>
      <c r="AB320" s="530">
        <f t="shared" si="465"/>
        <v>-2417.7043633072617</v>
      </c>
      <c r="AC320" s="530">
        <f t="shared" si="465"/>
        <v>-2417.7043633072617</v>
      </c>
      <c r="AD320" s="530">
        <f t="shared" si="465"/>
        <v>-2402.2999330983721</v>
      </c>
      <c r="AE320" s="530">
        <f t="shared" si="465"/>
        <v>-2402.2999330983721</v>
      </c>
      <c r="AF320" s="530">
        <f t="shared" si="465"/>
        <v>-2402.2999330983721</v>
      </c>
      <c r="AG320" s="530">
        <f t="shared" si="465"/>
        <v>-2402.2999330983721</v>
      </c>
      <c r="AH320" s="530">
        <f t="shared" si="465"/>
        <v>-2402.2999330983721</v>
      </c>
      <c r="AI320" s="530">
        <f t="shared" si="465"/>
        <v>-2402.2999330983721</v>
      </c>
      <c r="AJ320" s="530">
        <f t="shared" si="465"/>
        <v>-2476.3979786930936</v>
      </c>
      <c r="AK320" s="530">
        <f t="shared" si="465"/>
        <v>-2476.3979786930936</v>
      </c>
      <c r="AL320" s="530">
        <f t="shared" si="465"/>
        <v>-2476.3979786930936</v>
      </c>
      <c r="AM320" s="530">
        <f t="shared" si="465"/>
        <v>-2476.3979786930936</v>
      </c>
      <c r="AN320" s="530">
        <f t="shared" si="465"/>
        <v>-2476.3979786930936</v>
      </c>
      <c r="AO320" s="530">
        <f t="shared" si="465"/>
        <v>-2476.3979786930936</v>
      </c>
      <c r="AP320" s="530">
        <f t="shared" si="465"/>
        <v>-2447.3377705110825</v>
      </c>
      <c r="AQ320" s="530">
        <f t="shared" si="465"/>
        <v>-2447.3377705110825</v>
      </c>
      <c r="AR320" s="530">
        <f t="shared" si="465"/>
        <v>-2447.3377705110825</v>
      </c>
      <c r="AS320" s="530">
        <f t="shared" si="465"/>
        <v>-2447.3377705110825</v>
      </c>
      <c r="AT320" s="530">
        <f t="shared" si="465"/>
        <v>-2447.3377705110825</v>
      </c>
      <c r="AU320" s="530">
        <f t="shared" si="465"/>
        <v>-2447.3377705110825</v>
      </c>
      <c r="AV320" s="530">
        <f t="shared" si="465"/>
        <v>-2534.6222387615644</v>
      </c>
      <c r="AW320" s="530">
        <f t="shared" si="465"/>
        <v>-2534.6222387615644</v>
      </c>
      <c r="AX320" s="530">
        <f t="shared" ref="AX320:BY320" si="466">SUM(AX314:AX319)</f>
        <v>-2534.6222387615644</v>
      </c>
      <c r="AY320" s="530">
        <f t="shared" si="466"/>
        <v>-2534.6222387615644</v>
      </c>
      <c r="AZ320" s="530">
        <f t="shared" si="466"/>
        <v>-2534.6222387615644</v>
      </c>
      <c r="BA320" s="530">
        <f t="shared" si="466"/>
        <v>-2534.6222387615644</v>
      </c>
      <c r="BB320" s="530">
        <f t="shared" si="466"/>
        <v>-2494.6841379563548</v>
      </c>
      <c r="BC320" s="530">
        <f t="shared" si="466"/>
        <v>-2494.6841379563548</v>
      </c>
      <c r="BD320" s="530">
        <f t="shared" si="466"/>
        <v>-2494.6841379563548</v>
      </c>
      <c r="BE320" s="530">
        <f t="shared" si="466"/>
        <v>-2494.6841379563548</v>
      </c>
      <c r="BF320" s="530">
        <f t="shared" si="466"/>
        <v>-2494.6841379563548</v>
      </c>
      <c r="BG320" s="530">
        <f t="shared" si="466"/>
        <v>-2494.6841379563548</v>
      </c>
      <c r="BH320" s="530">
        <f t="shared" si="466"/>
        <v>-2595.0485626179907</v>
      </c>
      <c r="BI320" s="530">
        <f t="shared" si="466"/>
        <v>-2595.0485626179907</v>
      </c>
      <c r="BJ320" s="530">
        <f t="shared" si="466"/>
        <v>-2595.0485626179907</v>
      </c>
      <c r="BK320" s="530">
        <f t="shared" si="466"/>
        <v>-2595.0485626179907</v>
      </c>
      <c r="BL320" s="530">
        <f t="shared" si="466"/>
        <v>-2595.0485626179907</v>
      </c>
      <c r="BM320" s="530">
        <f t="shared" si="466"/>
        <v>-2595.0485626179907</v>
      </c>
      <c r="BN320" s="530">
        <f t="shared" si="466"/>
        <v>-2543.5430854634951</v>
      </c>
      <c r="BO320" s="530">
        <f t="shared" si="466"/>
        <v>-2543.5430854634951</v>
      </c>
      <c r="BP320" s="530">
        <f t="shared" si="466"/>
        <v>-2543.5430854634951</v>
      </c>
      <c r="BQ320" s="530">
        <f t="shared" si="466"/>
        <v>-2543.5430854634951</v>
      </c>
      <c r="BR320" s="530">
        <f t="shared" si="466"/>
        <v>-2543.5430854634951</v>
      </c>
      <c r="BS320" s="530">
        <f t="shared" si="466"/>
        <v>-2543.5430854634951</v>
      </c>
      <c r="BT320" s="530">
        <f t="shared" si="466"/>
        <v>-2656.7336838546125</v>
      </c>
      <c r="BU320" s="530">
        <f t="shared" si="466"/>
        <v>-2656.7336838546125</v>
      </c>
      <c r="BV320" s="530">
        <f t="shared" si="466"/>
        <v>-2656.7336838546125</v>
      </c>
      <c r="BW320" s="530">
        <f t="shared" si="466"/>
        <v>-2656.7336838546125</v>
      </c>
      <c r="BX320" s="530">
        <f t="shared" si="466"/>
        <v>-2656.7336838546125</v>
      </c>
      <c r="BY320" s="530">
        <f t="shared" si="466"/>
        <v>-2656.7336838546125</v>
      </c>
    </row>
    <row r="321" spans="1:77" x14ac:dyDescent="0.3">
      <c r="A321" s="551"/>
      <c r="B321" s="548"/>
      <c r="C321" s="525"/>
      <c r="D321" s="525"/>
      <c r="E321" s="525"/>
      <c r="F321" s="525"/>
      <c r="G321" s="525"/>
      <c r="H321" s="525"/>
      <c r="I321" s="525"/>
      <c r="J321" s="525"/>
      <c r="K321" s="525"/>
      <c r="L321" s="525"/>
      <c r="M321" s="525"/>
      <c r="N321" s="525"/>
      <c r="O321" s="525"/>
      <c r="P321" s="565"/>
      <c r="Q321" s="525"/>
      <c r="R321" s="525"/>
      <c r="S321" s="525"/>
      <c r="T321" s="525"/>
      <c r="U321" s="525"/>
      <c r="V321" s="525"/>
      <c r="W321" s="525"/>
      <c r="X321" s="525"/>
      <c r="Y321" s="525"/>
      <c r="Z321" s="525"/>
      <c r="AA321" s="525"/>
      <c r="AB321" s="525"/>
      <c r="AC321" s="525"/>
      <c r="AD321" s="525"/>
      <c r="AE321" s="525"/>
      <c r="AF321" s="525"/>
      <c r="AG321" s="525"/>
      <c r="AH321" s="525"/>
      <c r="AI321" s="525"/>
      <c r="AJ321" s="525"/>
      <c r="AK321" s="525"/>
      <c r="AL321" s="525"/>
      <c r="AM321" s="525"/>
      <c r="AN321" s="525"/>
      <c r="AO321" s="525"/>
      <c r="AP321" s="525"/>
      <c r="AQ321" s="525"/>
      <c r="AR321" s="525"/>
      <c r="AS321" s="525"/>
      <c r="AT321" s="525"/>
      <c r="AU321" s="525"/>
      <c r="AV321" s="525"/>
      <c r="AW321" s="525"/>
      <c r="AX321" s="525"/>
      <c r="AY321" s="525"/>
      <c r="AZ321" s="525"/>
      <c r="BA321" s="525"/>
      <c r="BB321" s="525"/>
      <c r="BC321" s="525"/>
      <c r="BD321" s="525"/>
      <c r="BE321" s="525"/>
      <c r="BF321" s="525"/>
      <c r="BG321" s="525"/>
      <c r="BH321" s="525"/>
      <c r="BI321" s="525"/>
      <c r="BJ321" s="525"/>
      <c r="BK321" s="525"/>
      <c r="BL321" s="525"/>
      <c r="BM321" s="525"/>
      <c r="BN321" s="525"/>
      <c r="BO321" s="525"/>
      <c r="BP321" s="525"/>
      <c r="BQ321" s="525"/>
      <c r="BR321" s="525"/>
      <c r="BS321" s="525"/>
      <c r="BT321" s="525"/>
      <c r="BU321" s="525"/>
      <c r="BV321" s="525"/>
      <c r="BW321" s="525"/>
      <c r="BX321" s="525"/>
      <c r="BY321" s="525"/>
    </row>
    <row r="322" spans="1:77" x14ac:dyDescent="0.3">
      <c r="A322" s="551"/>
      <c r="B322" s="548"/>
      <c r="C322" s="525"/>
      <c r="D322" s="525"/>
      <c r="E322" s="624" t="s">
        <v>108</v>
      </c>
      <c r="F322" s="624"/>
      <c r="G322" s="624"/>
      <c r="H322" s="624"/>
      <c r="I322" s="624"/>
      <c r="J322" s="624"/>
      <c r="K322" s="624"/>
      <c r="L322" s="624"/>
      <c r="M322" s="624"/>
      <c r="N322" s="624"/>
      <c r="O322" s="624"/>
      <c r="P322" s="625"/>
      <c r="Q322" s="624"/>
      <c r="R322" s="541">
        <f t="shared" ref="R322:AW322" si="467">R296+R304+R312+R320-R288</f>
        <v>0</v>
      </c>
      <c r="S322" s="541">
        <f t="shared" si="467"/>
        <v>0</v>
      </c>
      <c r="T322" s="541">
        <f t="shared" si="467"/>
        <v>0</v>
      </c>
      <c r="U322" s="541">
        <f t="shared" si="467"/>
        <v>0</v>
      </c>
      <c r="V322" s="541">
        <f t="shared" si="467"/>
        <v>0</v>
      </c>
      <c r="W322" s="541">
        <f t="shared" si="467"/>
        <v>0</v>
      </c>
      <c r="X322" s="541">
        <f t="shared" si="467"/>
        <v>0</v>
      </c>
      <c r="Y322" s="541">
        <f t="shared" si="467"/>
        <v>0</v>
      </c>
      <c r="Z322" s="541">
        <f t="shared" si="467"/>
        <v>0</v>
      </c>
      <c r="AA322" s="541">
        <f t="shared" si="467"/>
        <v>0</v>
      </c>
      <c r="AB322" s="541">
        <f t="shared" si="467"/>
        <v>0</v>
      </c>
      <c r="AC322" s="541">
        <f t="shared" si="467"/>
        <v>0</v>
      </c>
      <c r="AD322" s="541">
        <f t="shared" si="467"/>
        <v>0</v>
      </c>
      <c r="AE322" s="541">
        <f t="shared" si="467"/>
        <v>0</v>
      </c>
      <c r="AF322" s="541">
        <f t="shared" si="467"/>
        <v>0</v>
      </c>
      <c r="AG322" s="541">
        <f t="shared" si="467"/>
        <v>0</v>
      </c>
      <c r="AH322" s="541">
        <f t="shared" si="467"/>
        <v>0</v>
      </c>
      <c r="AI322" s="541">
        <f t="shared" si="467"/>
        <v>0</v>
      </c>
      <c r="AJ322" s="541">
        <f t="shared" si="467"/>
        <v>0</v>
      </c>
      <c r="AK322" s="541">
        <f t="shared" si="467"/>
        <v>0</v>
      </c>
      <c r="AL322" s="541">
        <f t="shared" si="467"/>
        <v>0</v>
      </c>
      <c r="AM322" s="541">
        <f t="shared" si="467"/>
        <v>0</v>
      </c>
      <c r="AN322" s="541">
        <f t="shared" si="467"/>
        <v>0</v>
      </c>
      <c r="AO322" s="541">
        <f t="shared" si="467"/>
        <v>0</v>
      </c>
      <c r="AP322" s="541">
        <f t="shared" si="467"/>
        <v>0</v>
      </c>
      <c r="AQ322" s="541">
        <f t="shared" si="467"/>
        <v>0</v>
      </c>
      <c r="AR322" s="541">
        <f t="shared" si="467"/>
        <v>0</v>
      </c>
      <c r="AS322" s="541">
        <f t="shared" si="467"/>
        <v>0</v>
      </c>
      <c r="AT322" s="541">
        <f t="shared" si="467"/>
        <v>0</v>
      </c>
      <c r="AU322" s="541">
        <f t="shared" si="467"/>
        <v>0</v>
      </c>
      <c r="AV322" s="541">
        <f t="shared" si="467"/>
        <v>0</v>
      </c>
      <c r="AW322" s="541">
        <f t="shared" si="467"/>
        <v>0</v>
      </c>
      <c r="AX322" s="541">
        <f t="shared" ref="AX322:BY322" si="468">AX296+AX304+AX312+AX320-AX288</f>
        <v>0</v>
      </c>
      <c r="AY322" s="541">
        <f t="shared" si="468"/>
        <v>0</v>
      </c>
      <c r="AZ322" s="541">
        <f t="shared" si="468"/>
        <v>0</v>
      </c>
      <c r="BA322" s="541">
        <f t="shared" si="468"/>
        <v>0</v>
      </c>
      <c r="BB322" s="541">
        <f t="shared" si="468"/>
        <v>0</v>
      </c>
      <c r="BC322" s="541">
        <f t="shared" si="468"/>
        <v>0</v>
      </c>
      <c r="BD322" s="541">
        <f t="shared" si="468"/>
        <v>0</v>
      </c>
      <c r="BE322" s="541">
        <f t="shared" si="468"/>
        <v>0</v>
      </c>
      <c r="BF322" s="541">
        <f t="shared" si="468"/>
        <v>0</v>
      </c>
      <c r="BG322" s="541">
        <f t="shared" si="468"/>
        <v>0</v>
      </c>
      <c r="BH322" s="541">
        <f t="shared" si="468"/>
        <v>0</v>
      </c>
      <c r="BI322" s="541">
        <f t="shared" si="468"/>
        <v>0</v>
      </c>
      <c r="BJ322" s="541">
        <f t="shared" si="468"/>
        <v>0</v>
      </c>
      <c r="BK322" s="541">
        <f t="shared" si="468"/>
        <v>0</v>
      </c>
      <c r="BL322" s="541">
        <f t="shared" si="468"/>
        <v>0</v>
      </c>
      <c r="BM322" s="541">
        <f t="shared" si="468"/>
        <v>0</v>
      </c>
      <c r="BN322" s="541">
        <f t="shared" si="468"/>
        <v>0</v>
      </c>
      <c r="BO322" s="541">
        <f t="shared" si="468"/>
        <v>0</v>
      </c>
      <c r="BP322" s="541">
        <f t="shared" si="468"/>
        <v>0</v>
      </c>
      <c r="BQ322" s="541">
        <f t="shared" si="468"/>
        <v>0</v>
      </c>
      <c r="BR322" s="541">
        <f t="shared" si="468"/>
        <v>0</v>
      </c>
      <c r="BS322" s="541">
        <f t="shared" si="468"/>
        <v>0</v>
      </c>
      <c r="BT322" s="541">
        <f t="shared" si="468"/>
        <v>0</v>
      </c>
      <c r="BU322" s="541">
        <f t="shared" si="468"/>
        <v>0</v>
      </c>
      <c r="BV322" s="541">
        <f t="shared" si="468"/>
        <v>0</v>
      </c>
      <c r="BW322" s="541">
        <f t="shared" si="468"/>
        <v>0</v>
      </c>
      <c r="BX322" s="541">
        <f t="shared" si="468"/>
        <v>0</v>
      </c>
      <c r="BY322" s="541">
        <f t="shared" si="468"/>
        <v>0</v>
      </c>
    </row>
    <row r="323" spans="1:77" x14ac:dyDescent="0.3">
      <c r="A323" s="551"/>
      <c r="B323" s="548"/>
      <c r="C323" s="525"/>
      <c r="D323" s="525"/>
      <c r="E323" s="525"/>
      <c r="F323" s="525"/>
      <c r="G323" s="525"/>
      <c r="H323" s="525"/>
      <c r="I323" s="525"/>
      <c r="J323" s="525"/>
      <c r="K323" s="525"/>
      <c r="L323" s="525"/>
      <c r="M323" s="525"/>
      <c r="N323" s="525"/>
      <c r="O323" s="525"/>
      <c r="P323" s="565"/>
      <c r="Q323" s="525"/>
      <c r="R323" s="525"/>
      <c r="S323" s="525"/>
      <c r="T323" s="525"/>
      <c r="U323" s="525"/>
      <c r="V323" s="525"/>
      <c r="W323" s="525"/>
      <c r="X323" s="525"/>
      <c r="Y323" s="525"/>
      <c r="Z323" s="525"/>
      <c r="AA323" s="525"/>
      <c r="AB323" s="525"/>
      <c r="AC323" s="525"/>
      <c r="AD323" s="525"/>
      <c r="AE323" s="525"/>
      <c r="AF323" s="525"/>
      <c r="AG323" s="525"/>
      <c r="AH323" s="525"/>
      <c r="AI323" s="525"/>
      <c r="AJ323" s="525"/>
      <c r="AK323" s="525"/>
      <c r="AL323" s="525"/>
      <c r="AM323" s="525"/>
      <c r="AN323" s="525"/>
      <c r="AO323" s="525"/>
      <c r="AP323" s="525"/>
      <c r="AQ323" s="525"/>
      <c r="AR323" s="525"/>
      <c r="AS323" s="525"/>
      <c r="AT323" s="525"/>
      <c r="AU323" s="525"/>
      <c r="AV323" s="525"/>
      <c r="AW323" s="525"/>
      <c r="AX323" s="525"/>
      <c r="AY323" s="525"/>
      <c r="AZ323" s="525"/>
      <c r="BA323" s="525"/>
      <c r="BB323" s="525"/>
      <c r="BC323" s="525"/>
      <c r="BD323" s="525"/>
      <c r="BE323" s="525"/>
      <c r="BF323" s="525"/>
      <c r="BG323" s="525"/>
      <c r="BH323" s="525"/>
      <c r="BI323" s="525"/>
      <c r="BJ323" s="525"/>
      <c r="BK323" s="525"/>
      <c r="BL323" s="525"/>
      <c r="BM323" s="525"/>
      <c r="BN323" s="525"/>
      <c r="BO323" s="525"/>
      <c r="BP323" s="525"/>
      <c r="BQ323" s="525"/>
      <c r="BR323" s="525"/>
      <c r="BS323" s="525"/>
      <c r="BT323" s="525"/>
      <c r="BU323" s="525"/>
      <c r="BV323" s="525"/>
      <c r="BW323" s="525"/>
      <c r="BX323" s="525"/>
      <c r="BY323" s="525"/>
    </row>
    <row r="324" spans="1:77" x14ac:dyDescent="0.3">
      <c r="A324" s="551"/>
      <c r="B324" s="548"/>
      <c r="C324" s="584" t="s">
        <v>37</v>
      </c>
      <c r="D324" s="525"/>
      <c r="E324" s="538" t="s">
        <v>25</v>
      </c>
      <c r="F324" s="538"/>
      <c r="G324" s="538"/>
      <c r="H324" s="538"/>
      <c r="I324" s="538"/>
      <c r="J324" s="538"/>
      <c r="K324" s="538"/>
      <c r="L324" s="538"/>
      <c r="M324" s="538"/>
      <c r="N324" s="538"/>
      <c r="O324" s="538"/>
      <c r="P324" s="584"/>
      <c r="Q324" s="538"/>
      <c r="R324" s="538"/>
      <c r="S324" s="538"/>
      <c r="T324" s="538"/>
      <c r="U324" s="538"/>
      <c r="V324" s="538"/>
      <c r="W324" s="538"/>
      <c r="X324" s="538"/>
      <c r="Y324" s="538"/>
      <c r="Z324" s="538"/>
      <c r="AA324" s="538"/>
      <c r="AB324" s="538"/>
      <c r="AC324" s="538"/>
      <c r="AD324" s="538"/>
      <c r="AE324" s="538"/>
      <c r="AF324" s="538"/>
      <c r="AG324" s="538"/>
      <c r="AH324" s="538"/>
      <c r="AI324" s="538"/>
      <c r="AJ324" s="538"/>
      <c r="AK324" s="538"/>
      <c r="AL324" s="538"/>
      <c r="AM324" s="538"/>
      <c r="AN324" s="538"/>
      <c r="AO324" s="538"/>
      <c r="AP324" s="538"/>
      <c r="AQ324" s="538"/>
      <c r="AR324" s="538"/>
      <c r="AS324" s="538"/>
      <c r="AT324" s="538"/>
      <c r="AU324" s="538"/>
      <c r="AV324" s="538"/>
      <c r="AW324" s="538"/>
      <c r="AX324" s="538"/>
      <c r="AY324" s="538"/>
      <c r="AZ324" s="538"/>
      <c r="BA324" s="538"/>
      <c r="BB324" s="538"/>
      <c r="BC324" s="538"/>
      <c r="BD324" s="538"/>
      <c r="BE324" s="538"/>
      <c r="BF324" s="538"/>
      <c r="BG324" s="538"/>
      <c r="BH324" s="538"/>
      <c r="BI324" s="538"/>
      <c r="BJ324" s="538"/>
      <c r="BK324" s="538"/>
      <c r="BL324" s="538"/>
      <c r="BM324" s="538"/>
      <c r="BN324" s="538"/>
      <c r="BO324" s="538"/>
      <c r="BP324" s="538"/>
      <c r="BQ324" s="538"/>
      <c r="BR324" s="538"/>
      <c r="BS324" s="538"/>
      <c r="BT324" s="538"/>
      <c r="BU324" s="538"/>
      <c r="BV324" s="538"/>
      <c r="BW324" s="538"/>
      <c r="BX324" s="538"/>
      <c r="BY324" s="538"/>
    </row>
    <row r="325" spans="1:77" x14ac:dyDescent="0.3">
      <c r="A325" s="551"/>
      <c r="B325" s="548"/>
      <c r="C325" s="525"/>
      <c r="D325" s="525"/>
      <c r="E325" s="525"/>
      <c r="F325" s="525"/>
      <c r="G325" s="525"/>
      <c r="H325" s="525"/>
      <c r="I325" s="525"/>
      <c r="J325" s="525"/>
      <c r="K325" s="525"/>
      <c r="L325" s="525"/>
      <c r="M325" s="525"/>
      <c r="N325" s="525"/>
      <c r="O325" s="525"/>
      <c r="P325" s="565"/>
      <c r="Q325" s="525"/>
      <c r="R325" s="525"/>
      <c r="S325" s="525"/>
      <c r="T325" s="525"/>
      <c r="U325" s="525"/>
      <c r="V325" s="525"/>
      <c r="W325" s="525"/>
      <c r="X325" s="525"/>
      <c r="Y325" s="525"/>
      <c r="Z325" s="525"/>
      <c r="AA325" s="525"/>
      <c r="AB325" s="525"/>
      <c r="AC325" s="525"/>
      <c r="AD325" s="525"/>
      <c r="AE325" s="525"/>
      <c r="AF325" s="525"/>
      <c r="AG325" s="525"/>
      <c r="AH325" s="525"/>
      <c r="AI325" s="525"/>
      <c r="AJ325" s="525"/>
      <c r="AK325" s="525"/>
      <c r="AL325" s="525"/>
      <c r="AM325" s="525"/>
      <c r="AN325" s="525"/>
      <c r="AO325" s="525"/>
      <c r="AP325" s="525"/>
      <c r="AQ325" s="525"/>
      <c r="AR325" s="525"/>
      <c r="AS325" s="525"/>
      <c r="AT325" s="525"/>
      <c r="AU325" s="525"/>
      <c r="AV325" s="525"/>
      <c r="AW325" s="525"/>
      <c r="AX325" s="525"/>
      <c r="AY325" s="525"/>
      <c r="AZ325" s="525"/>
      <c r="BA325" s="525"/>
      <c r="BB325" s="525"/>
      <c r="BC325" s="525"/>
      <c r="BD325" s="525"/>
      <c r="BE325" s="525"/>
      <c r="BF325" s="525"/>
      <c r="BG325" s="525"/>
      <c r="BH325" s="525"/>
      <c r="BI325" s="525"/>
      <c r="BJ325" s="525"/>
      <c r="BK325" s="525"/>
      <c r="BL325" s="525"/>
      <c r="BM325" s="525"/>
      <c r="BN325" s="525"/>
      <c r="BO325" s="525"/>
      <c r="BP325" s="525"/>
      <c r="BQ325" s="525"/>
      <c r="BR325" s="525"/>
      <c r="BS325" s="525"/>
      <c r="BT325" s="525"/>
      <c r="BU325" s="525"/>
      <c r="BV325" s="525"/>
      <c r="BW325" s="525"/>
      <c r="BX325" s="525"/>
      <c r="BY325" s="525"/>
    </row>
    <row r="326" spans="1:77" x14ac:dyDescent="0.3">
      <c r="A326" s="551"/>
      <c r="B326" s="548"/>
      <c r="C326" s="525"/>
      <c r="D326" s="525"/>
      <c r="E326" s="614" t="s">
        <v>96</v>
      </c>
      <c r="F326" s="539"/>
      <c r="G326" s="539"/>
      <c r="H326" s="539"/>
      <c r="I326" s="539"/>
      <c r="J326" s="539"/>
      <c r="K326" s="539"/>
      <c r="L326" s="539"/>
      <c r="M326" s="539"/>
      <c r="N326" s="539"/>
      <c r="O326" s="539"/>
      <c r="P326" s="615"/>
      <c r="Q326" s="539"/>
      <c r="R326" s="539"/>
      <c r="S326" s="539"/>
      <c r="T326" s="539"/>
      <c r="U326" s="539"/>
      <c r="V326" s="539"/>
      <c r="W326" s="539"/>
      <c r="X326" s="539"/>
      <c r="Y326" s="539"/>
      <c r="Z326" s="539"/>
      <c r="AA326" s="539"/>
      <c r="AB326" s="539"/>
      <c r="AC326" s="539"/>
      <c r="AD326" s="539"/>
      <c r="AE326" s="539"/>
      <c r="AF326" s="539"/>
      <c r="AG326" s="539"/>
      <c r="AH326" s="539"/>
      <c r="AI326" s="539"/>
      <c r="AJ326" s="539"/>
      <c r="AK326" s="539"/>
      <c r="AL326" s="539"/>
      <c r="AM326" s="539"/>
      <c r="AN326" s="539"/>
      <c r="AO326" s="539"/>
      <c r="AP326" s="539"/>
      <c r="AQ326" s="539"/>
      <c r="AR326" s="539"/>
      <c r="AS326" s="539"/>
      <c r="AT326" s="539"/>
      <c r="AU326" s="539"/>
      <c r="AV326" s="539"/>
      <c r="AW326" s="539"/>
      <c r="AX326" s="539"/>
      <c r="AY326" s="539"/>
      <c r="AZ326" s="539"/>
      <c r="BA326" s="539"/>
      <c r="BB326" s="539"/>
      <c r="BC326" s="539"/>
      <c r="BD326" s="539"/>
      <c r="BE326" s="539"/>
      <c r="BF326" s="539"/>
      <c r="BG326" s="539"/>
      <c r="BH326" s="539"/>
      <c r="BI326" s="539"/>
      <c r="BJ326" s="539"/>
      <c r="BK326" s="539"/>
      <c r="BL326" s="539"/>
      <c r="BM326" s="539"/>
      <c r="BN326" s="539"/>
      <c r="BO326" s="539"/>
      <c r="BP326" s="539"/>
      <c r="BQ326" s="539"/>
      <c r="BR326" s="539"/>
      <c r="BS326" s="539"/>
      <c r="BT326" s="539"/>
      <c r="BU326" s="539"/>
      <c r="BV326" s="539"/>
      <c r="BW326" s="539"/>
      <c r="BX326" s="539"/>
      <c r="BY326" s="539"/>
    </row>
    <row r="327" spans="1:77" x14ac:dyDescent="0.3">
      <c r="A327" s="551"/>
      <c r="B327" s="548"/>
      <c r="C327" s="525"/>
      <c r="D327" s="525"/>
      <c r="E327" s="525"/>
      <c r="F327" s="525"/>
      <c r="G327" s="525"/>
      <c r="H327" s="525"/>
      <c r="I327" s="525"/>
      <c r="J327" s="525"/>
      <c r="K327" s="525"/>
      <c r="L327" s="525"/>
      <c r="M327" s="525"/>
      <c r="N327" s="525"/>
      <c r="O327" s="525"/>
      <c r="P327" s="565"/>
      <c r="Q327" s="525"/>
      <c r="R327" s="525"/>
      <c r="S327" s="525"/>
      <c r="T327" s="525"/>
      <c r="U327" s="525"/>
      <c r="V327" s="525"/>
      <c r="W327" s="525"/>
      <c r="X327" s="525"/>
      <c r="Y327" s="525"/>
      <c r="Z327" s="525"/>
      <c r="AA327" s="525"/>
      <c r="AB327" s="525"/>
      <c r="AC327" s="525"/>
      <c r="AD327" s="525"/>
      <c r="AE327" s="525"/>
      <c r="AF327" s="525"/>
      <c r="AG327" s="525"/>
      <c r="AH327" s="525"/>
      <c r="AI327" s="525"/>
      <c r="AJ327" s="525"/>
      <c r="AK327" s="525"/>
      <c r="AL327" s="525"/>
      <c r="AM327" s="525"/>
      <c r="AN327" s="525"/>
      <c r="AO327" s="525"/>
      <c r="AP327" s="525"/>
      <c r="AQ327" s="525"/>
      <c r="AR327" s="525"/>
      <c r="AS327" s="525"/>
      <c r="AT327" s="525"/>
      <c r="AU327" s="525"/>
      <c r="AV327" s="525"/>
      <c r="AW327" s="525"/>
      <c r="AX327" s="525"/>
      <c r="AY327" s="525"/>
      <c r="AZ327" s="525"/>
      <c r="BA327" s="525"/>
      <c r="BB327" s="525"/>
      <c r="BC327" s="525"/>
      <c r="BD327" s="525"/>
      <c r="BE327" s="525"/>
      <c r="BF327" s="525"/>
      <c r="BG327" s="525"/>
      <c r="BH327" s="525"/>
      <c r="BI327" s="525"/>
      <c r="BJ327" s="525"/>
      <c r="BK327" s="525"/>
      <c r="BL327" s="525"/>
      <c r="BM327" s="525"/>
      <c r="BN327" s="525"/>
      <c r="BO327" s="525"/>
      <c r="BP327" s="525"/>
      <c r="BQ327" s="525"/>
      <c r="BR327" s="525"/>
      <c r="BS327" s="525"/>
      <c r="BT327" s="525"/>
      <c r="BU327" s="525"/>
      <c r="BV327" s="525"/>
      <c r="BW327" s="525"/>
      <c r="BX327" s="525"/>
      <c r="BY327" s="525"/>
    </row>
    <row r="328" spans="1:77" x14ac:dyDescent="0.3">
      <c r="A328" s="551"/>
      <c r="B328" s="548"/>
      <c r="C328" s="525"/>
      <c r="D328" s="525"/>
      <c r="E328" s="631" t="str">
        <f>"Rental income uplift due to capex: "&amp;E$155</f>
        <v>Rental income uplift due to capex: FY27 Tranche</v>
      </c>
      <c r="F328" s="525"/>
      <c r="G328" s="525"/>
      <c r="H328" s="525"/>
      <c r="I328" s="525"/>
      <c r="J328" s="525"/>
      <c r="K328" s="525"/>
      <c r="L328" s="525"/>
      <c r="M328" s="525"/>
      <c r="N328" s="525"/>
      <c r="O328" s="525"/>
      <c r="P328" s="565"/>
      <c r="Q328" s="525"/>
      <c r="R328" s="527">
        <f t="shared" ref="R328:AW328" si="469">R185*$AF155</f>
        <v>0</v>
      </c>
      <c r="S328" s="527">
        <f t="shared" si="469"/>
        <v>0</v>
      </c>
      <c r="T328" s="527">
        <f t="shared" si="469"/>
        <v>0</v>
      </c>
      <c r="U328" s="527">
        <f t="shared" si="469"/>
        <v>0</v>
      </c>
      <c r="V328" s="527">
        <f t="shared" si="469"/>
        <v>0</v>
      </c>
      <c r="W328" s="527">
        <f t="shared" si="469"/>
        <v>0</v>
      </c>
      <c r="X328" s="527">
        <f t="shared" si="469"/>
        <v>10910.255002156338</v>
      </c>
      <c r="Y328" s="527">
        <f t="shared" si="469"/>
        <v>10910.255002156338</v>
      </c>
      <c r="Z328" s="527">
        <f t="shared" si="469"/>
        <v>10910.255002156338</v>
      </c>
      <c r="AA328" s="527">
        <f t="shared" si="469"/>
        <v>10910.255002156338</v>
      </c>
      <c r="AB328" s="527">
        <f t="shared" si="469"/>
        <v>10910.255002156338</v>
      </c>
      <c r="AC328" s="527">
        <f t="shared" si="469"/>
        <v>10910.255002156338</v>
      </c>
      <c r="AD328" s="527">
        <f t="shared" si="469"/>
        <v>8557.4871167900419</v>
      </c>
      <c r="AE328" s="527">
        <f t="shared" si="469"/>
        <v>8557.4871167900419</v>
      </c>
      <c r="AF328" s="527">
        <f t="shared" si="469"/>
        <v>8557.4871167900419</v>
      </c>
      <c r="AG328" s="527">
        <f t="shared" si="469"/>
        <v>8557.4871167900419</v>
      </c>
      <c r="AH328" s="527">
        <f t="shared" si="469"/>
        <v>8557.4871167900419</v>
      </c>
      <c r="AI328" s="527">
        <f t="shared" si="469"/>
        <v>8557.4871167900419</v>
      </c>
      <c r="AJ328" s="527">
        <f t="shared" si="469"/>
        <v>11377.199669647109</v>
      </c>
      <c r="AK328" s="527">
        <f t="shared" si="469"/>
        <v>11377.199669647109</v>
      </c>
      <c r="AL328" s="527">
        <f t="shared" si="469"/>
        <v>11377.199669647109</v>
      </c>
      <c r="AM328" s="527">
        <f t="shared" si="469"/>
        <v>11377.199669647109</v>
      </c>
      <c r="AN328" s="527">
        <f t="shared" si="469"/>
        <v>11377.199669647109</v>
      </c>
      <c r="AO328" s="527">
        <f t="shared" si="469"/>
        <v>11377.199669647109</v>
      </c>
      <c r="AP328" s="527">
        <f t="shared" si="469"/>
        <v>9046.3891360801063</v>
      </c>
      <c r="AQ328" s="527">
        <f t="shared" si="469"/>
        <v>9046.3891360801063</v>
      </c>
      <c r="AR328" s="527">
        <f t="shared" si="469"/>
        <v>9046.3891360801063</v>
      </c>
      <c r="AS328" s="527">
        <f t="shared" si="469"/>
        <v>9046.3891360801063</v>
      </c>
      <c r="AT328" s="527">
        <f t="shared" si="469"/>
        <v>9046.3891360801063</v>
      </c>
      <c r="AU328" s="527">
        <f t="shared" si="469"/>
        <v>9046.3891360801063</v>
      </c>
      <c r="AV328" s="527">
        <f t="shared" si="469"/>
        <v>11978.890191051463</v>
      </c>
      <c r="AW328" s="527">
        <f t="shared" si="469"/>
        <v>11978.890191051463</v>
      </c>
      <c r="AX328" s="527">
        <f t="shared" ref="AX328:BY328" si="470">AX185*$AF155</f>
        <v>11978.890191051463</v>
      </c>
      <c r="AY328" s="527">
        <f t="shared" si="470"/>
        <v>11978.890191051463</v>
      </c>
      <c r="AZ328" s="527">
        <f t="shared" si="470"/>
        <v>11978.890191051463</v>
      </c>
      <c r="BA328" s="527">
        <f t="shared" si="470"/>
        <v>11978.890191051463</v>
      </c>
      <c r="BB328" s="527">
        <f t="shared" si="470"/>
        <v>9758.7863005093004</v>
      </c>
      <c r="BC328" s="527">
        <f t="shared" si="470"/>
        <v>9758.7863005093004</v>
      </c>
      <c r="BD328" s="527">
        <f t="shared" si="470"/>
        <v>9758.7863005093004</v>
      </c>
      <c r="BE328" s="527">
        <f t="shared" si="470"/>
        <v>9758.7863005093004</v>
      </c>
      <c r="BF328" s="527">
        <f t="shared" si="470"/>
        <v>9758.7863005093004</v>
      </c>
      <c r="BG328" s="527">
        <f t="shared" si="470"/>
        <v>9758.7863005093004</v>
      </c>
      <c r="BH328" s="527">
        <f t="shared" si="470"/>
        <v>12808.587397679528</v>
      </c>
      <c r="BI328" s="527">
        <f t="shared" si="470"/>
        <v>12808.587397679528</v>
      </c>
      <c r="BJ328" s="527">
        <f t="shared" si="470"/>
        <v>12808.587397679528</v>
      </c>
      <c r="BK328" s="527">
        <f t="shared" si="470"/>
        <v>12808.587397679528</v>
      </c>
      <c r="BL328" s="527">
        <f t="shared" si="470"/>
        <v>12808.587397679528</v>
      </c>
      <c r="BM328" s="527">
        <f t="shared" si="470"/>
        <v>12808.587397679528</v>
      </c>
      <c r="BN328" s="527">
        <f t="shared" si="470"/>
        <v>10580.697871198056</v>
      </c>
      <c r="BO328" s="527">
        <f t="shared" si="470"/>
        <v>10580.697871198056</v>
      </c>
      <c r="BP328" s="527">
        <f t="shared" si="470"/>
        <v>10580.697871198056</v>
      </c>
      <c r="BQ328" s="527">
        <f t="shared" si="470"/>
        <v>10580.697871198056</v>
      </c>
      <c r="BR328" s="527">
        <f t="shared" si="470"/>
        <v>10580.697871198056</v>
      </c>
      <c r="BS328" s="527">
        <f t="shared" si="470"/>
        <v>10580.697871198056</v>
      </c>
      <c r="BT328" s="527">
        <f t="shared" si="470"/>
        <v>13752.491012255072</v>
      </c>
      <c r="BU328" s="527">
        <f t="shared" si="470"/>
        <v>13752.491012255072</v>
      </c>
      <c r="BV328" s="527">
        <f t="shared" si="470"/>
        <v>13752.491012255072</v>
      </c>
      <c r="BW328" s="527">
        <f t="shared" si="470"/>
        <v>13752.491012255072</v>
      </c>
      <c r="BX328" s="527">
        <f t="shared" si="470"/>
        <v>13752.491012255072</v>
      </c>
      <c r="BY328" s="527">
        <f t="shared" si="470"/>
        <v>13752.491012255072</v>
      </c>
    </row>
    <row r="329" spans="1:77" x14ac:dyDescent="0.3">
      <c r="A329" s="551"/>
      <c r="B329" s="548"/>
      <c r="C329" s="525"/>
      <c r="D329" s="525"/>
      <c r="E329" s="631" t="str">
        <f>"Rental income uplift due to capex: "&amp;E$156</f>
        <v>Rental income uplift due to capex: FY28 Tranche</v>
      </c>
      <c r="F329" s="525"/>
      <c r="G329" s="525"/>
      <c r="H329" s="525"/>
      <c r="I329" s="525"/>
      <c r="J329" s="525"/>
      <c r="K329" s="525"/>
      <c r="L329" s="525"/>
      <c r="M329" s="525"/>
      <c r="N329" s="525"/>
      <c r="O329" s="525"/>
      <c r="P329" s="565"/>
      <c r="Q329" s="525"/>
      <c r="R329" s="527">
        <f t="shared" ref="R329:AW329" si="471">R186*$AF156</f>
        <v>0</v>
      </c>
      <c r="S329" s="527">
        <f t="shared" si="471"/>
        <v>0</v>
      </c>
      <c r="T329" s="527">
        <f t="shared" si="471"/>
        <v>0</v>
      </c>
      <c r="U329" s="527">
        <f t="shared" si="471"/>
        <v>0</v>
      </c>
      <c r="V329" s="527">
        <f t="shared" si="471"/>
        <v>0</v>
      </c>
      <c r="W329" s="527">
        <f t="shared" si="471"/>
        <v>0</v>
      </c>
      <c r="X329" s="527">
        <f t="shared" si="471"/>
        <v>0</v>
      </c>
      <c r="Y329" s="527">
        <f t="shared" si="471"/>
        <v>0</v>
      </c>
      <c r="Z329" s="527">
        <f t="shared" si="471"/>
        <v>0</v>
      </c>
      <c r="AA329" s="527">
        <f t="shared" si="471"/>
        <v>0</v>
      </c>
      <c r="AB329" s="527">
        <f t="shared" si="471"/>
        <v>0</v>
      </c>
      <c r="AC329" s="527">
        <f t="shared" si="471"/>
        <v>0</v>
      </c>
      <c r="AD329" s="527">
        <f t="shared" si="471"/>
        <v>0</v>
      </c>
      <c r="AE329" s="527">
        <f t="shared" si="471"/>
        <v>0</v>
      </c>
      <c r="AF329" s="527">
        <f t="shared" si="471"/>
        <v>0</v>
      </c>
      <c r="AG329" s="527">
        <f t="shared" si="471"/>
        <v>0</v>
      </c>
      <c r="AH329" s="527">
        <f t="shared" si="471"/>
        <v>0</v>
      </c>
      <c r="AI329" s="527">
        <f t="shared" si="471"/>
        <v>0</v>
      </c>
      <c r="AJ329" s="527">
        <f t="shared" si="471"/>
        <v>11172.644455764024</v>
      </c>
      <c r="AK329" s="527">
        <f t="shared" si="471"/>
        <v>11172.644455764024</v>
      </c>
      <c r="AL329" s="527">
        <f t="shared" si="471"/>
        <v>11172.644455764024</v>
      </c>
      <c r="AM329" s="527">
        <f t="shared" si="471"/>
        <v>11172.644455764024</v>
      </c>
      <c r="AN329" s="527">
        <f t="shared" si="471"/>
        <v>11172.644455764024</v>
      </c>
      <c r="AO329" s="527">
        <f t="shared" si="471"/>
        <v>11172.644455764024</v>
      </c>
      <c r="AP329" s="527">
        <f t="shared" si="471"/>
        <v>8841.8339221970218</v>
      </c>
      <c r="AQ329" s="527">
        <f t="shared" si="471"/>
        <v>8841.8339221970218</v>
      </c>
      <c r="AR329" s="527">
        <f t="shared" si="471"/>
        <v>8841.8339221970218</v>
      </c>
      <c r="AS329" s="527">
        <f t="shared" si="471"/>
        <v>8841.8339221970218</v>
      </c>
      <c r="AT329" s="527">
        <f t="shared" si="471"/>
        <v>8841.8339221970218</v>
      </c>
      <c r="AU329" s="527">
        <f t="shared" si="471"/>
        <v>8841.8339221970218</v>
      </c>
      <c r="AV329" s="527">
        <f t="shared" si="471"/>
        <v>11766.15276861305</v>
      </c>
      <c r="AW329" s="527">
        <f t="shared" si="471"/>
        <v>11766.15276861305</v>
      </c>
      <c r="AX329" s="527">
        <f t="shared" ref="AX329:BY329" si="472">AX186*$AF156</f>
        <v>11766.15276861305</v>
      </c>
      <c r="AY329" s="527">
        <f t="shared" si="472"/>
        <v>11766.15276861305</v>
      </c>
      <c r="AZ329" s="527">
        <f t="shared" si="472"/>
        <v>11766.15276861305</v>
      </c>
      <c r="BA329" s="527">
        <f t="shared" si="472"/>
        <v>11766.15276861305</v>
      </c>
      <c r="BB329" s="527">
        <f t="shared" si="472"/>
        <v>9546.0488780708893</v>
      </c>
      <c r="BC329" s="527">
        <f t="shared" si="472"/>
        <v>9546.0488780708893</v>
      </c>
      <c r="BD329" s="527">
        <f t="shared" si="472"/>
        <v>9546.0488780708893</v>
      </c>
      <c r="BE329" s="527">
        <f t="shared" si="472"/>
        <v>9546.0488780708893</v>
      </c>
      <c r="BF329" s="527">
        <f t="shared" si="472"/>
        <v>9546.0488780708893</v>
      </c>
      <c r="BG329" s="527">
        <f t="shared" si="472"/>
        <v>9546.0488780708893</v>
      </c>
      <c r="BH329" s="527">
        <f t="shared" si="472"/>
        <v>12587.340478343558</v>
      </c>
      <c r="BI329" s="527">
        <f t="shared" si="472"/>
        <v>12587.340478343558</v>
      </c>
      <c r="BJ329" s="527">
        <f t="shared" si="472"/>
        <v>12587.340478343558</v>
      </c>
      <c r="BK329" s="527">
        <f t="shared" si="472"/>
        <v>12587.340478343558</v>
      </c>
      <c r="BL329" s="527">
        <f t="shared" si="472"/>
        <v>12587.340478343558</v>
      </c>
      <c r="BM329" s="527">
        <f t="shared" si="472"/>
        <v>12587.340478343558</v>
      </c>
      <c r="BN329" s="527">
        <f t="shared" si="472"/>
        <v>10359.450951862085</v>
      </c>
      <c r="BO329" s="527">
        <f t="shared" si="472"/>
        <v>10359.450951862085</v>
      </c>
      <c r="BP329" s="527">
        <f t="shared" si="472"/>
        <v>10359.450951862085</v>
      </c>
      <c r="BQ329" s="527">
        <f t="shared" si="472"/>
        <v>10359.450951862085</v>
      </c>
      <c r="BR329" s="527">
        <f t="shared" si="472"/>
        <v>10359.450951862085</v>
      </c>
      <c r="BS329" s="527">
        <f t="shared" si="472"/>
        <v>10359.450951862085</v>
      </c>
      <c r="BT329" s="527">
        <f t="shared" si="472"/>
        <v>13522.394216145669</v>
      </c>
      <c r="BU329" s="527">
        <f t="shared" si="472"/>
        <v>13522.394216145669</v>
      </c>
      <c r="BV329" s="527">
        <f t="shared" si="472"/>
        <v>13522.394216145669</v>
      </c>
      <c r="BW329" s="527">
        <f t="shared" si="472"/>
        <v>13522.394216145669</v>
      </c>
      <c r="BX329" s="527">
        <f t="shared" si="472"/>
        <v>13522.394216145669</v>
      </c>
      <c r="BY329" s="527">
        <f t="shared" si="472"/>
        <v>13522.394216145669</v>
      </c>
    </row>
    <row r="330" spans="1:77" x14ac:dyDescent="0.3">
      <c r="A330" s="551"/>
      <c r="B330" s="548"/>
      <c r="C330" s="525"/>
      <c r="D330" s="525"/>
      <c r="E330" s="631" t="str">
        <f>"Rental income uplift due to capex: "&amp;E$157</f>
        <v>Rental income uplift due to capex: FY29 Tranche</v>
      </c>
      <c r="F330" s="525"/>
      <c r="G330" s="525"/>
      <c r="H330" s="525"/>
      <c r="I330" s="525"/>
      <c r="J330" s="525"/>
      <c r="K330" s="525"/>
      <c r="L330" s="525"/>
      <c r="M330" s="525"/>
      <c r="N330" s="525"/>
      <c r="O330" s="525"/>
      <c r="P330" s="565"/>
      <c r="Q330" s="525"/>
      <c r="R330" s="527">
        <f t="shared" ref="R330:AW330" si="473">R187*$AF157</f>
        <v>0</v>
      </c>
      <c r="S330" s="527">
        <f t="shared" si="473"/>
        <v>0</v>
      </c>
      <c r="T330" s="527">
        <f t="shared" si="473"/>
        <v>0</v>
      </c>
      <c r="U330" s="527">
        <f t="shared" si="473"/>
        <v>0</v>
      </c>
      <c r="V330" s="527">
        <f t="shared" si="473"/>
        <v>0</v>
      </c>
      <c r="W330" s="527">
        <f t="shared" si="473"/>
        <v>0</v>
      </c>
      <c r="X330" s="527">
        <f t="shared" si="473"/>
        <v>0</v>
      </c>
      <c r="Y330" s="527">
        <f t="shared" si="473"/>
        <v>0</v>
      </c>
      <c r="Z330" s="527">
        <f t="shared" si="473"/>
        <v>0</v>
      </c>
      <c r="AA330" s="527">
        <f t="shared" si="473"/>
        <v>0</v>
      </c>
      <c r="AB330" s="527">
        <f t="shared" si="473"/>
        <v>0</v>
      </c>
      <c r="AC330" s="527">
        <f t="shared" si="473"/>
        <v>0</v>
      </c>
      <c r="AD330" s="527">
        <f t="shared" si="473"/>
        <v>0</v>
      </c>
      <c r="AE330" s="527">
        <f t="shared" si="473"/>
        <v>0</v>
      </c>
      <c r="AF330" s="527">
        <f t="shared" si="473"/>
        <v>0</v>
      </c>
      <c r="AG330" s="527">
        <f t="shared" si="473"/>
        <v>0</v>
      </c>
      <c r="AH330" s="527">
        <f t="shared" si="473"/>
        <v>0</v>
      </c>
      <c r="AI330" s="527">
        <f t="shared" si="473"/>
        <v>0</v>
      </c>
      <c r="AJ330" s="527">
        <f t="shared" si="473"/>
        <v>0</v>
      </c>
      <c r="AK330" s="527">
        <f t="shared" si="473"/>
        <v>0</v>
      </c>
      <c r="AL330" s="527">
        <f t="shared" si="473"/>
        <v>0</v>
      </c>
      <c r="AM330" s="527">
        <f t="shared" si="473"/>
        <v>0</v>
      </c>
      <c r="AN330" s="527">
        <f t="shared" si="473"/>
        <v>0</v>
      </c>
      <c r="AO330" s="527">
        <f t="shared" si="473"/>
        <v>0</v>
      </c>
      <c r="AP330" s="527">
        <f t="shared" si="473"/>
        <v>0</v>
      </c>
      <c r="AQ330" s="527">
        <f t="shared" si="473"/>
        <v>0</v>
      </c>
      <c r="AR330" s="527">
        <f t="shared" si="473"/>
        <v>0</v>
      </c>
      <c r="AS330" s="527">
        <f t="shared" si="473"/>
        <v>0</v>
      </c>
      <c r="AT330" s="527">
        <f t="shared" si="473"/>
        <v>0</v>
      </c>
      <c r="AU330" s="527">
        <f t="shared" si="473"/>
        <v>0</v>
      </c>
      <c r="AV330" s="527">
        <f t="shared" si="473"/>
        <v>11423.519687990911</v>
      </c>
      <c r="AW330" s="527">
        <f t="shared" si="473"/>
        <v>11423.519687990911</v>
      </c>
      <c r="AX330" s="527">
        <f t="shared" ref="AX330:BY330" si="474">AX187*$AF157</f>
        <v>11423.519687990911</v>
      </c>
      <c r="AY330" s="527">
        <f t="shared" si="474"/>
        <v>11423.519687990911</v>
      </c>
      <c r="AZ330" s="527">
        <f t="shared" si="474"/>
        <v>11423.519687990911</v>
      </c>
      <c r="BA330" s="527">
        <f t="shared" si="474"/>
        <v>11423.519687990911</v>
      </c>
      <c r="BB330" s="527">
        <f t="shared" si="474"/>
        <v>9203.4157974487498</v>
      </c>
      <c r="BC330" s="527">
        <f t="shared" si="474"/>
        <v>9203.4157974487498</v>
      </c>
      <c r="BD330" s="527">
        <f t="shared" si="474"/>
        <v>9203.4157974487498</v>
      </c>
      <c r="BE330" s="527">
        <f t="shared" si="474"/>
        <v>9203.4157974487498</v>
      </c>
      <c r="BF330" s="527">
        <f t="shared" si="474"/>
        <v>9203.4157974487498</v>
      </c>
      <c r="BG330" s="527">
        <f t="shared" si="474"/>
        <v>9203.4157974487498</v>
      </c>
      <c r="BH330" s="527">
        <f t="shared" si="474"/>
        <v>12231.00207449653</v>
      </c>
      <c r="BI330" s="527">
        <f t="shared" si="474"/>
        <v>12231.00207449653</v>
      </c>
      <c r="BJ330" s="527">
        <f t="shared" si="474"/>
        <v>12231.00207449653</v>
      </c>
      <c r="BK330" s="527">
        <f t="shared" si="474"/>
        <v>12231.00207449653</v>
      </c>
      <c r="BL330" s="527">
        <f t="shared" si="474"/>
        <v>12231.00207449653</v>
      </c>
      <c r="BM330" s="527">
        <f t="shared" si="474"/>
        <v>12231.00207449653</v>
      </c>
      <c r="BN330" s="527">
        <f t="shared" si="474"/>
        <v>10003.112548015057</v>
      </c>
      <c r="BO330" s="527">
        <f t="shared" si="474"/>
        <v>10003.112548015057</v>
      </c>
      <c r="BP330" s="527">
        <f t="shared" si="474"/>
        <v>10003.112548015057</v>
      </c>
      <c r="BQ330" s="527">
        <f t="shared" si="474"/>
        <v>10003.112548015057</v>
      </c>
      <c r="BR330" s="527">
        <f t="shared" si="474"/>
        <v>10003.112548015057</v>
      </c>
      <c r="BS330" s="527">
        <f t="shared" si="474"/>
        <v>10003.112548015057</v>
      </c>
      <c r="BT330" s="527">
        <f t="shared" si="474"/>
        <v>13151.802276144754</v>
      </c>
      <c r="BU330" s="527">
        <f t="shared" si="474"/>
        <v>13151.802276144754</v>
      </c>
      <c r="BV330" s="527">
        <f t="shared" si="474"/>
        <v>13151.802276144754</v>
      </c>
      <c r="BW330" s="527">
        <f t="shared" si="474"/>
        <v>13151.802276144754</v>
      </c>
      <c r="BX330" s="527">
        <f t="shared" si="474"/>
        <v>13151.802276144754</v>
      </c>
      <c r="BY330" s="527">
        <f t="shared" si="474"/>
        <v>13151.802276144754</v>
      </c>
    </row>
    <row r="331" spans="1:77" x14ac:dyDescent="0.3">
      <c r="A331" s="551"/>
      <c r="B331" s="548"/>
      <c r="C331" s="525"/>
      <c r="D331" s="525"/>
      <c r="E331" s="631" t="str">
        <f>"Rental income uplift due to capex: "&amp;E$158</f>
        <v>Rental income uplift due to capex: FY30 Tranche</v>
      </c>
      <c r="F331" s="525"/>
      <c r="G331" s="525"/>
      <c r="H331" s="525"/>
      <c r="I331" s="525"/>
      <c r="J331" s="525"/>
      <c r="K331" s="525"/>
      <c r="L331" s="525"/>
      <c r="M331" s="525"/>
      <c r="N331" s="525"/>
      <c r="O331" s="525"/>
      <c r="P331" s="565"/>
      <c r="Q331" s="525"/>
      <c r="R331" s="527">
        <f t="shared" ref="R331:AW331" si="475">R188*$AF158</f>
        <v>0</v>
      </c>
      <c r="S331" s="527">
        <f t="shared" si="475"/>
        <v>0</v>
      </c>
      <c r="T331" s="527">
        <f t="shared" si="475"/>
        <v>0</v>
      </c>
      <c r="U331" s="527">
        <f t="shared" si="475"/>
        <v>0</v>
      </c>
      <c r="V331" s="527">
        <f t="shared" si="475"/>
        <v>0</v>
      </c>
      <c r="W331" s="527">
        <f t="shared" si="475"/>
        <v>0</v>
      </c>
      <c r="X331" s="527">
        <f t="shared" si="475"/>
        <v>0</v>
      </c>
      <c r="Y331" s="527">
        <f t="shared" si="475"/>
        <v>0</v>
      </c>
      <c r="Z331" s="527">
        <f t="shared" si="475"/>
        <v>0</v>
      </c>
      <c r="AA331" s="527">
        <f t="shared" si="475"/>
        <v>0</v>
      </c>
      <c r="AB331" s="527">
        <f t="shared" si="475"/>
        <v>0</v>
      </c>
      <c r="AC331" s="527">
        <f t="shared" si="475"/>
        <v>0</v>
      </c>
      <c r="AD331" s="527">
        <f t="shared" si="475"/>
        <v>0</v>
      </c>
      <c r="AE331" s="527">
        <f t="shared" si="475"/>
        <v>0</v>
      </c>
      <c r="AF331" s="527">
        <f t="shared" si="475"/>
        <v>0</v>
      </c>
      <c r="AG331" s="527">
        <f t="shared" si="475"/>
        <v>0</v>
      </c>
      <c r="AH331" s="527">
        <f t="shared" si="475"/>
        <v>0</v>
      </c>
      <c r="AI331" s="527">
        <f t="shared" si="475"/>
        <v>0</v>
      </c>
      <c r="AJ331" s="527">
        <f t="shared" si="475"/>
        <v>0</v>
      </c>
      <c r="AK331" s="527">
        <f t="shared" si="475"/>
        <v>0</v>
      </c>
      <c r="AL331" s="527">
        <f t="shared" si="475"/>
        <v>0</v>
      </c>
      <c r="AM331" s="527">
        <f t="shared" si="475"/>
        <v>0</v>
      </c>
      <c r="AN331" s="527">
        <f t="shared" si="475"/>
        <v>0</v>
      </c>
      <c r="AO331" s="527">
        <f t="shared" si="475"/>
        <v>0</v>
      </c>
      <c r="AP331" s="527">
        <f t="shared" si="475"/>
        <v>0</v>
      </c>
      <c r="AQ331" s="527">
        <f t="shared" si="475"/>
        <v>0</v>
      </c>
      <c r="AR331" s="527">
        <f t="shared" si="475"/>
        <v>0</v>
      </c>
      <c r="AS331" s="527">
        <f t="shared" si="475"/>
        <v>0</v>
      </c>
      <c r="AT331" s="527">
        <f t="shared" si="475"/>
        <v>0</v>
      </c>
      <c r="AU331" s="527">
        <f t="shared" si="475"/>
        <v>0</v>
      </c>
      <c r="AV331" s="527">
        <f t="shared" si="475"/>
        <v>0</v>
      </c>
      <c r="AW331" s="527">
        <f t="shared" si="475"/>
        <v>0</v>
      </c>
      <c r="AX331" s="527">
        <f t="shared" ref="AX331:BY331" si="476">AX188*$AF158</f>
        <v>0</v>
      </c>
      <c r="AY331" s="527">
        <f t="shared" si="476"/>
        <v>0</v>
      </c>
      <c r="AZ331" s="527">
        <f t="shared" si="476"/>
        <v>0</v>
      </c>
      <c r="BA331" s="527">
        <f t="shared" si="476"/>
        <v>0</v>
      </c>
      <c r="BB331" s="527">
        <f t="shared" si="476"/>
        <v>0</v>
      </c>
      <c r="BC331" s="527">
        <f t="shared" si="476"/>
        <v>0</v>
      </c>
      <c r="BD331" s="527">
        <f t="shared" si="476"/>
        <v>0</v>
      </c>
      <c r="BE331" s="527">
        <f t="shared" si="476"/>
        <v>0</v>
      </c>
      <c r="BF331" s="527">
        <f t="shared" si="476"/>
        <v>0</v>
      </c>
      <c r="BG331" s="527">
        <f t="shared" si="476"/>
        <v>0</v>
      </c>
      <c r="BH331" s="527">
        <f t="shared" si="476"/>
        <v>11659.73098727656</v>
      </c>
      <c r="BI331" s="527">
        <f t="shared" si="476"/>
        <v>11659.73098727656</v>
      </c>
      <c r="BJ331" s="527">
        <f t="shared" si="476"/>
        <v>11659.73098727656</v>
      </c>
      <c r="BK331" s="527">
        <f t="shared" si="476"/>
        <v>11659.73098727656</v>
      </c>
      <c r="BL331" s="527">
        <f t="shared" si="476"/>
        <v>11659.73098727656</v>
      </c>
      <c r="BM331" s="527">
        <f t="shared" si="476"/>
        <v>11659.73098727656</v>
      </c>
      <c r="BN331" s="527">
        <f t="shared" si="476"/>
        <v>9431.8414607950872</v>
      </c>
      <c r="BO331" s="527">
        <f t="shared" si="476"/>
        <v>9431.8414607950872</v>
      </c>
      <c r="BP331" s="527">
        <f t="shared" si="476"/>
        <v>9431.8414607950872</v>
      </c>
      <c r="BQ331" s="527">
        <f t="shared" si="476"/>
        <v>9431.8414607950872</v>
      </c>
      <c r="BR331" s="527">
        <f t="shared" si="476"/>
        <v>9431.8414607950872</v>
      </c>
      <c r="BS331" s="527">
        <f t="shared" si="476"/>
        <v>9431.8414607950872</v>
      </c>
      <c r="BT331" s="527">
        <f t="shared" si="476"/>
        <v>12557.680345435989</v>
      </c>
      <c r="BU331" s="527">
        <f t="shared" si="476"/>
        <v>12557.680345435989</v>
      </c>
      <c r="BV331" s="527">
        <f t="shared" si="476"/>
        <v>12557.680345435989</v>
      </c>
      <c r="BW331" s="527">
        <f t="shared" si="476"/>
        <v>12557.680345435989</v>
      </c>
      <c r="BX331" s="527">
        <f t="shared" si="476"/>
        <v>12557.680345435989</v>
      </c>
      <c r="BY331" s="527">
        <f t="shared" si="476"/>
        <v>12557.680345435989</v>
      </c>
    </row>
    <row r="332" spans="1:77" x14ac:dyDescent="0.3">
      <c r="A332" s="551"/>
      <c r="B332" s="548"/>
      <c r="C332" s="525"/>
      <c r="D332" s="525"/>
      <c r="E332" s="631" t="str">
        <f>"Rental income uplift due to capex: "&amp;E$159</f>
        <v>Rental income uplift due to capex: FY31 Tranche</v>
      </c>
      <c r="F332" s="525"/>
      <c r="G332" s="525"/>
      <c r="H332" s="525"/>
      <c r="I332" s="525"/>
      <c r="J332" s="525"/>
      <c r="K332" s="525"/>
      <c r="L332" s="525"/>
      <c r="M332" s="525"/>
      <c r="N332" s="525"/>
      <c r="O332" s="525"/>
      <c r="P332" s="565"/>
      <c r="Q332" s="525"/>
      <c r="R332" s="527">
        <f t="shared" ref="R332:AW332" si="477">R189*$AF159</f>
        <v>0</v>
      </c>
      <c r="S332" s="527">
        <f t="shared" si="477"/>
        <v>0</v>
      </c>
      <c r="T332" s="527">
        <f t="shared" si="477"/>
        <v>0</v>
      </c>
      <c r="U332" s="527">
        <f t="shared" si="477"/>
        <v>0</v>
      </c>
      <c r="V332" s="527">
        <f t="shared" si="477"/>
        <v>0</v>
      </c>
      <c r="W332" s="527">
        <f t="shared" si="477"/>
        <v>0</v>
      </c>
      <c r="X332" s="527">
        <f t="shared" si="477"/>
        <v>0</v>
      </c>
      <c r="Y332" s="527">
        <f t="shared" si="477"/>
        <v>0</v>
      </c>
      <c r="Z332" s="527">
        <f t="shared" si="477"/>
        <v>0</v>
      </c>
      <c r="AA332" s="527">
        <f t="shared" si="477"/>
        <v>0</v>
      </c>
      <c r="AB332" s="527">
        <f t="shared" si="477"/>
        <v>0</v>
      </c>
      <c r="AC332" s="527">
        <f t="shared" si="477"/>
        <v>0</v>
      </c>
      <c r="AD332" s="527">
        <f t="shared" si="477"/>
        <v>0</v>
      </c>
      <c r="AE332" s="527">
        <f t="shared" si="477"/>
        <v>0</v>
      </c>
      <c r="AF332" s="527">
        <f t="shared" si="477"/>
        <v>0</v>
      </c>
      <c r="AG332" s="527">
        <f t="shared" si="477"/>
        <v>0</v>
      </c>
      <c r="AH332" s="527">
        <f t="shared" si="477"/>
        <v>0</v>
      </c>
      <c r="AI332" s="527">
        <f t="shared" si="477"/>
        <v>0</v>
      </c>
      <c r="AJ332" s="527">
        <f t="shared" si="477"/>
        <v>0</v>
      </c>
      <c r="AK332" s="527">
        <f t="shared" si="477"/>
        <v>0</v>
      </c>
      <c r="AL332" s="527">
        <f t="shared" si="477"/>
        <v>0</v>
      </c>
      <c r="AM332" s="527">
        <f t="shared" si="477"/>
        <v>0</v>
      </c>
      <c r="AN332" s="527">
        <f t="shared" si="477"/>
        <v>0</v>
      </c>
      <c r="AO332" s="527">
        <f t="shared" si="477"/>
        <v>0</v>
      </c>
      <c r="AP332" s="527">
        <f t="shared" si="477"/>
        <v>0</v>
      </c>
      <c r="AQ332" s="527">
        <f t="shared" si="477"/>
        <v>0</v>
      </c>
      <c r="AR332" s="527">
        <f t="shared" si="477"/>
        <v>0</v>
      </c>
      <c r="AS332" s="527">
        <f t="shared" si="477"/>
        <v>0</v>
      </c>
      <c r="AT332" s="527">
        <f t="shared" si="477"/>
        <v>0</v>
      </c>
      <c r="AU332" s="527">
        <f t="shared" si="477"/>
        <v>0</v>
      </c>
      <c r="AV332" s="527">
        <f t="shared" si="477"/>
        <v>0</v>
      </c>
      <c r="AW332" s="527">
        <f t="shared" si="477"/>
        <v>0</v>
      </c>
      <c r="AX332" s="527">
        <f t="shared" ref="AX332:BY332" si="478">AX189*$AF159</f>
        <v>0</v>
      </c>
      <c r="AY332" s="527">
        <f t="shared" si="478"/>
        <v>0</v>
      </c>
      <c r="AZ332" s="527">
        <f t="shared" si="478"/>
        <v>0</v>
      </c>
      <c r="BA332" s="527">
        <f t="shared" si="478"/>
        <v>0</v>
      </c>
      <c r="BB332" s="527">
        <f t="shared" si="478"/>
        <v>0</v>
      </c>
      <c r="BC332" s="527">
        <f t="shared" si="478"/>
        <v>0</v>
      </c>
      <c r="BD332" s="527">
        <f t="shared" si="478"/>
        <v>0</v>
      </c>
      <c r="BE332" s="527">
        <f t="shared" si="478"/>
        <v>0</v>
      </c>
      <c r="BF332" s="527">
        <f t="shared" si="478"/>
        <v>0</v>
      </c>
      <c r="BG332" s="527">
        <f t="shared" si="478"/>
        <v>0</v>
      </c>
      <c r="BH332" s="527">
        <f t="shared" si="478"/>
        <v>0</v>
      </c>
      <c r="BI332" s="527">
        <f t="shared" si="478"/>
        <v>0</v>
      </c>
      <c r="BJ332" s="527">
        <f t="shared" si="478"/>
        <v>0</v>
      </c>
      <c r="BK332" s="527">
        <f t="shared" si="478"/>
        <v>0</v>
      </c>
      <c r="BL332" s="527">
        <f t="shared" si="478"/>
        <v>0</v>
      </c>
      <c r="BM332" s="527">
        <f t="shared" si="478"/>
        <v>0</v>
      </c>
      <c r="BN332" s="527">
        <f t="shared" si="478"/>
        <v>0</v>
      </c>
      <c r="BO332" s="527">
        <f t="shared" si="478"/>
        <v>0</v>
      </c>
      <c r="BP332" s="527">
        <f t="shared" si="478"/>
        <v>0</v>
      </c>
      <c r="BQ332" s="527">
        <f t="shared" si="478"/>
        <v>0</v>
      </c>
      <c r="BR332" s="527">
        <f t="shared" si="478"/>
        <v>0</v>
      </c>
      <c r="BS332" s="527">
        <f t="shared" si="478"/>
        <v>0</v>
      </c>
      <c r="BT332" s="527">
        <f t="shared" si="478"/>
        <v>11887.282029575814</v>
      </c>
      <c r="BU332" s="527">
        <f t="shared" si="478"/>
        <v>11887.282029575814</v>
      </c>
      <c r="BV332" s="527">
        <f t="shared" si="478"/>
        <v>11887.282029575814</v>
      </c>
      <c r="BW332" s="527">
        <f t="shared" si="478"/>
        <v>11887.282029575814</v>
      </c>
      <c r="BX332" s="527">
        <f t="shared" si="478"/>
        <v>11887.282029575814</v>
      </c>
      <c r="BY332" s="527">
        <f t="shared" si="478"/>
        <v>11887.282029575814</v>
      </c>
    </row>
    <row r="333" spans="1:77" x14ac:dyDescent="0.3">
      <c r="A333" s="551"/>
      <c r="B333" s="548"/>
      <c r="C333" s="525"/>
      <c r="D333" s="525"/>
      <c r="E333" s="631" t="str">
        <f>"Rental income uplift due to capex: "&amp;E$160</f>
        <v>Rental income uplift due to capex: Uninvested Tranche</v>
      </c>
      <c r="F333" s="525"/>
      <c r="G333" s="525"/>
      <c r="H333" s="525"/>
      <c r="I333" s="525"/>
      <c r="J333" s="525"/>
      <c r="K333" s="525"/>
      <c r="L333" s="525"/>
      <c r="M333" s="525"/>
      <c r="N333" s="525"/>
      <c r="O333" s="525"/>
      <c r="P333" s="565"/>
      <c r="Q333" s="525"/>
      <c r="R333" s="527">
        <f t="shared" ref="R333:AW333" si="479">R190*$AF160</f>
        <v>0</v>
      </c>
      <c r="S333" s="527">
        <f t="shared" si="479"/>
        <v>0</v>
      </c>
      <c r="T333" s="527">
        <f t="shared" si="479"/>
        <v>0</v>
      </c>
      <c r="U333" s="527">
        <f t="shared" si="479"/>
        <v>0</v>
      </c>
      <c r="V333" s="527">
        <f t="shared" si="479"/>
        <v>0</v>
      </c>
      <c r="W333" s="527">
        <f t="shared" si="479"/>
        <v>0</v>
      </c>
      <c r="X333" s="527">
        <f t="shared" si="479"/>
        <v>0</v>
      </c>
      <c r="Y333" s="527">
        <f t="shared" si="479"/>
        <v>0</v>
      </c>
      <c r="Z333" s="527">
        <f t="shared" si="479"/>
        <v>0</v>
      </c>
      <c r="AA333" s="527">
        <f t="shared" si="479"/>
        <v>0</v>
      </c>
      <c r="AB333" s="527">
        <f t="shared" si="479"/>
        <v>0</v>
      </c>
      <c r="AC333" s="527">
        <f t="shared" si="479"/>
        <v>0</v>
      </c>
      <c r="AD333" s="527">
        <f t="shared" si="479"/>
        <v>0</v>
      </c>
      <c r="AE333" s="527">
        <f t="shared" si="479"/>
        <v>0</v>
      </c>
      <c r="AF333" s="527">
        <f t="shared" si="479"/>
        <v>0</v>
      </c>
      <c r="AG333" s="527">
        <f t="shared" si="479"/>
        <v>0</v>
      </c>
      <c r="AH333" s="527">
        <f t="shared" si="479"/>
        <v>0</v>
      </c>
      <c r="AI333" s="527">
        <f t="shared" si="479"/>
        <v>0</v>
      </c>
      <c r="AJ333" s="527">
        <f t="shared" si="479"/>
        <v>0</v>
      </c>
      <c r="AK333" s="527">
        <f t="shared" si="479"/>
        <v>0</v>
      </c>
      <c r="AL333" s="527">
        <f t="shared" si="479"/>
        <v>0</v>
      </c>
      <c r="AM333" s="527">
        <f t="shared" si="479"/>
        <v>0</v>
      </c>
      <c r="AN333" s="527">
        <f t="shared" si="479"/>
        <v>0</v>
      </c>
      <c r="AO333" s="527">
        <f t="shared" si="479"/>
        <v>0</v>
      </c>
      <c r="AP333" s="527">
        <f t="shared" si="479"/>
        <v>0</v>
      </c>
      <c r="AQ333" s="527">
        <f t="shared" si="479"/>
        <v>0</v>
      </c>
      <c r="AR333" s="527">
        <f t="shared" si="479"/>
        <v>0</v>
      </c>
      <c r="AS333" s="527">
        <f t="shared" si="479"/>
        <v>0</v>
      </c>
      <c r="AT333" s="527">
        <f t="shared" si="479"/>
        <v>0</v>
      </c>
      <c r="AU333" s="527">
        <f t="shared" si="479"/>
        <v>0</v>
      </c>
      <c r="AV333" s="527">
        <f t="shared" si="479"/>
        <v>0</v>
      </c>
      <c r="AW333" s="527">
        <f t="shared" si="479"/>
        <v>0</v>
      </c>
      <c r="AX333" s="527">
        <f t="shared" ref="AX333:BY333" si="480">AX190*$AF160</f>
        <v>0</v>
      </c>
      <c r="AY333" s="527">
        <f t="shared" si="480"/>
        <v>0</v>
      </c>
      <c r="AZ333" s="527">
        <f t="shared" si="480"/>
        <v>0</v>
      </c>
      <c r="BA333" s="527">
        <f t="shared" si="480"/>
        <v>0</v>
      </c>
      <c r="BB333" s="527">
        <f t="shared" si="480"/>
        <v>0</v>
      </c>
      <c r="BC333" s="527">
        <f t="shared" si="480"/>
        <v>0</v>
      </c>
      <c r="BD333" s="527">
        <f t="shared" si="480"/>
        <v>0</v>
      </c>
      <c r="BE333" s="527">
        <f t="shared" si="480"/>
        <v>0</v>
      </c>
      <c r="BF333" s="527">
        <f t="shared" si="480"/>
        <v>0</v>
      </c>
      <c r="BG333" s="527">
        <f t="shared" si="480"/>
        <v>0</v>
      </c>
      <c r="BH333" s="527">
        <f t="shared" si="480"/>
        <v>0</v>
      </c>
      <c r="BI333" s="527">
        <f t="shared" si="480"/>
        <v>0</v>
      </c>
      <c r="BJ333" s="527">
        <f t="shared" si="480"/>
        <v>0</v>
      </c>
      <c r="BK333" s="527">
        <f t="shared" si="480"/>
        <v>0</v>
      </c>
      <c r="BL333" s="527">
        <f t="shared" si="480"/>
        <v>0</v>
      </c>
      <c r="BM333" s="527">
        <f t="shared" si="480"/>
        <v>0</v>
      </c>
      <c r="BN333" s="527">
        <f t="shared" si="480"/>
        <v>0</v>
      </c>
      <c r="BO333" s="527">
        <f t="shared" si="480"/>
        <v>0</v>
      </c>
      <c r="BP333" s="527">
        <f t="shared" si="480"/>
        <v>0</v>
      </c>
      <c r="BQ333" s="527">
        <f t="shared" si="480"/>
        <v>0</v>
      </c>
      <c r="BR333" s="527">
        <f t="shared" si="480"/>
        <v>0</v>
      </c>
      <c r="BS333" s="527">
        <f t="shared" si="480"/>
        <v>0</v>
      </c>
      <c r="BT333" s="527">
        <f t="shared" si="480"/>
        <v>0</v>
      </c>
      <c r="BU333" s="527">
        <f t="shared" si="480"/>
        <v>0</v>
      </c>
      <c r="BV333" s="527">
        <f t="shared" si="480"/>
        <v>0</v>
      </c>
      <c r="BW333" s="527">
        <f t="shared" si="480"/>
        <v>0</v>
      </c>
      <c r="BX333" s="527">
        <f t="shared" si="480"/>
        <v>0</v>
      </c>
      <c r="BY333" s="527">
        <f t="shared" si="480"/>
        <v>0</v>
      </c>
    </row>
    <row r="334" spans="1:77" x14ac:dyDescent="0.3">
      <c r="A334" s="551"/>
      <c r="B334" s="548"/>
      <c r="C334" s="525"/>
      <c r="D334" s="525"/>
      <c r="E334" s="572" t="s">
        <v>36</v>
      </c>
      <c r="F334" s="572"/>
      <c r="G334" s="572"/>
      <c r="H334" s="572"/>
      <c r="I334" s="572"/>
      <c r="J334" s="572"/>
      <c r="K334" s="572"/>
      <c r="L334" s="572"/>
      <c r="M334" s="572"/>
      <c r="N334" s="572"/>
      <c r="O334" s="572"/>
      <c r="P334" s="612"/>
      <c r="Q334" s="572"/>
      <c r="R334" s="532">
        <f t="shared" ref="R334:AW334" si="481">SUM(R328:R333)</f>
        <v>0</v>
      </c>
      <c r="S334" s="532">
        <f t="shared" si="481"/>
        <v>0</v>
      </c>
      <c r="T334" s="532">
        <f t="shared" si="481"/>
        <v>0</v>
      </c>
      <c r="U334" s="532">
        <f t="shared" si="481"/>
        <v>0</v>
      </c>
      <c r="V334" s="532">
        <f t="shared" si="481"/>
        <v>0</v>
      </c>
      <c r="W334" s="532">
        <f t="shared" si="481"/>
        <v>0</v>
      </c>
      <c r="X334" s="532">
        <f t="shared" si="481"/>
        <v>10910.255002156338</v>
      </c>
      <c r="Y334" s="532">
        <f t="shared" si="481"/>
        <v>10910.255002156338</v>
      </c>
      <c r="Z334" s="532">
        <f t="shared" si="481"/>
        <v>10910.255002156338</v>
      </c>
      <c r="AA334" s="532">
        <f t="shared" si="481"/>
        <v>10910.255002156338</v>
      </c>
      <c r="AB334" s="532">
        <f t="shared" si="481"/>
        <v>10910.255002156338</v>
      </c>
      <c r="AC334" s="532">
        <f t="shared" si="481"/>
        <v>10910.255002156338</v>
      </c>
      <c r="AD334" s="532">
        <f t="shared" si="481"/>
        <v>8557.4871167900419</v>
      </c>
      <c r="AE334" s="532">
        <f t="shared" si="481"/>
        <v>8557.4871167900419</v>
      </c>
      <c r="AF334" s="532">
        <f t="shared" si="481"/>
        <v>8557.4871167900419</v>
      </c>
      <c r="AG334" s="532">
        <f t="shared" si="481"/>
        <v>8557.4871167900419</v>
      </c>
      <c r="AH334" s="532">
        <f t="shared" si="481"/>
        <v>8557.4871167900419</v>
      </c>
      <c r="AI334" s="532">
        <f t="shared" si="481"/>
        <v>8557.4871167900419</v>
      </c>
      <c r="AJ334" s="532">
        <f t="shared" si="481"/>
        <v>22549.844125411131</v>
      </c>
      <c r="AK334" s="532">
        <f t="shared" si="481"/>
        <v>22549.844125411131</v>
      </c>
      <c r="AL334" s="532">
        <f t="shared" si="481"/>
        <v>22549.844125411131</v>
      </c>
      <c r="AM334" s="532">
        <f t="shared" si="481"/>
        <v>22549.844125411131</v>
      </c>
      <c r="AN334" s="532">
        <f t="shared" si="481"/>
        <v>22549.844125411131</v>
      </c>
      <c r="AO334" s="532">
        <f t="shared" si="481"/>
        <v>22549.844125411131</v>
      </c>
      <c r="AP334" s="532">
        <f t="shared" si="481"/>
        <v>17888.22305827713</v>
      </c>
      <c r="AQ334" s="532">
        <f t="shared" si="481"/>
        <v>17888.22305827713</v>
      </c>
      <c r="AR334" s="532">
        <f t="shared" si="481"/>
        <v>17888.22305827713</v>
      </c>
      <c r="AS334" s="532">
        <f t="shared" si="481"/>
        <v>17888.22305827713</v>
      </c>
      <c r="AT334" s="532">
        <f t="shared" si="481"/>
        <v>17888.22305827713</v>
      </c>
      <c r="AU334" s="532">
        <f t="shared" si="481"/>
        <v>17888.22305827713</v>
      </c>
      <c r="AV334" s="532">
        <f t="shared" si="481"/>
        <v>35168.562647655424</v>
      </c>
      <c r="AW334" s="532">
        <f t="shared" si="481"/>
        <v>35168.562647655424</v>
      </c>
      <c r="AX334" s="532">
        <f t="shared" ref="AX334:BY334" si="482">SUM(AX328:AX333)</f>
        <v>35168.562647655424</v>
      </c>
      <c r="AY334" s="532">
        <f t="shared" si="482"/>
        <v>35168.562647655424</v>
      </c>
      <c r="AZ334" s="532">
        <f t="shared" si="482"/>
        <v>35168.562647655424</v>
      </c>
      <c r="BA334" s="532">
        <f t="shared" si="482"/>
        <v>35168.562647655424</v>
      </c>
      <c r="BB334" s="532">
        <f t="shared" si="482"/>
        <v>28508.250976028939</v>
      </c>
      <c r="BC334" s="532">
        <f t="shared" si="482"/>
        <v>28508.250976028939</v>
      </c>
      <c r="BD334" s="532">
        <f t="shared" si="482"/>
        <v>28508.250976028939</v>
      </c>
      <c r="BE334" s="532">
        <f t="shared" si="482"/>
        <v>28508.250976028939</v>
      </c>
      <c r="BF334" s="532">
        <f t="shared" si="482"/>
        <v>28508.250976028939</v>
      </c>
      <c r="BG334" s="532">
        <f t="shared" si="482"/>
        <v>28508.250976028939</v>
      </c>
      <c r="BH334" s="532">
        <f t="shared" si="482"/>
        <v>49286.660937796179</v>
      </c>
      <c r="BI334" s="532">
        <f t="shared" si="482"/>
        <v>49286.660937796179</v>
      </c>
      <c r="BJ334" s="532">
        <f t="shared" si="482"/>
        <v>49286.660937796179</v>
      </c>
      <c r="BK334" s="532">
        <f t="shared" si="482"/>
        <v>49286.660937796179</v>
      </c>
      <c r="BL334" s="532">
        <f t="shared" si="482"/>
        <v>49286.660937796179</v>
      </c>
      <c r="BM334" s="532">
        <f t="shared" si="482"/>
        <v>49286.660937796179</v>
      </c>
      <c r="BN334" s="532">
        <f t="shared" si="482"/>
        <v>40375.102831870288</v>
      </c>
      <c r="BO334" s="532">
        <f t="shared" si="482"/>
        <v>40375.102831870288</v>
      </c>
      <c r="BP334" s="532">
        <f t="shared" si="482"/>
        <v>40375.102831870288</v>
      </c>
      <c r="BQ334" s="532">
        <f t="shared" si="482"/>
        <v>40375.102831870288</v>
      </c>
      <c r="BR334" s="532">
        <f t="shared" si="482"/>
        <v>40375.102831870288</v>
      </c>
      <c r="BS334" s="532">
        <f t="shared" si="482"/>
        <v>40375.102831870288</v>
      </c>
      <c r="BT334" s="532">
        <f t="shared" si="482"/>
        <v>64871.649879557299</v>
      </c>
      <c r="BU334" s="532">
        <f t="shared" si="482"/>
        <v>64871.649879557299</v>
      </c>
      <c r="BV334" s="532">
        <f t="shared" si="482"/>
        <v>64871.649879557299</v>
      </c>
      <c r="BW334" s="532">
        <f t="shared" si="482"/>
        <v>64871.649879557299</v>
      </c>
      <c r="BX334" s="532">
        <f t="shared" si="482"/>
        <v>64871.649879557299</v>
      </c>
      <c r="BY334" s="532">
        <f t="shared" si="482"/>
        <v>64871.649879557299</v>
      </c>
    </row>
    <row r="335" spans="1:77" x14ac:dyDescent="0.3">
      <c r="A335" s="551"/>
      <c r="B335" s="548"/>
      <c r="C335" s="525"/>
      <c r="D335" s="525"/>
      <c r="E335" s="525"/>
      <c r="F335" s="525"/>
      <c r="G335" s="525"/>
      <c r="H335" s="525"/>
      <c r="I335" s="525"/>
      <c r="J335" s="525"/>
      <c r="K335" s="525"/>
      <c r="L335" s="525"/>
      <c r="M335" s="525"/>
      <c r="N335" s="525"/>
      <c r="O335" s="525"/>
      <c r="P335" s="565"/>
      <c r="Q335" s="525"/>
      <c r="R335" s="525"/>
      <c r="S335" s="525"/>
      <c r="T335" s="525"/>
      <c r="U335" s="525"/>
      <c r="V335" s="525"/>
      <c r="W335" s="525"/>
      <c r="X335" s="525"/>
      <c r="Y335" s="525"/>
      <c r="Z335" s="525"/>
      <c r="AA335" s="525"/>
      <c r="AB335" s="525"/>
      <c r="AC335" s="525"/>
      <c r="AD335" s="525"/>
      <c r="AE335" s="525"/>
      <c r="AF335" s="525"/>
      <c r="AG335" s="525"/>
      <c r="AH335" s="525"/>
      <c r="AI335" s="525"/>
      <c r="AJ335" s="525"/>
      <c r="AK335" s="525"/>
      <c r="AL335" s="525"/>
      <c r="AM335" s="525"/>
      <c r="AN335" s="525"/>
      <c r="AO335" s="525"/>
      <c r="AP335" s="525"/>
      <c r="AQ335" s="525"/>
      <c r="AR335" s="525"/>
      <c r="AS335" s="525"/>
      <c r="AT335" s="525"/>
      <c r="AU335" s="525"/>
      <c r="AV335" s="525"/>
      <c r="AW335" s="525"/>
      <c r="AX335" s="525"/>
      <c r="AY335" s="525"/>
      <c r="AZ335" s="525"/>
      <c r="BA335" s="525"/>
      <c r="BB335" s="525"/>
      <c r="BC335" s="525"/>
      <c r="BD335" s="525"/>
      <c r="BE335" s="525"/>
      <c r="BF335" s="525"/>
      <c r="BG335" s="525"/>
      <c r="BH335" s="525"/>
      <c r="BI335" s="525"/>
      <c r="BJ335" s="525"/>
      <c r="BK335" s="525"/>
      <c r="BL335" s="525"/>
      <c r="BM335" s="525"/>
      <c r="BN335" s="525"/>
      <c r="BO335" s="525"/>
      <c r="BP335" s="525"/>
      <c r="BQ335" s="525"/>
      <c r="BR335" s="525"/>
      <c r="BS335" s="525"/>
      <c r="BT335" s="525"/>
      <c r="BU335" s="525"/>
      <c r="BV335" s="525"/>
      <c r="BW335" s="525"/>
      <c r="BX335" s="525"/>
      <c r="BY335" s="525"/>
    </row>
    <row r="336" spans="1:77" x14ac:dyDescent="0.3">
      <c r="A336" s="551"/>
      <c r="B336" s="548"/>
      <c r="C336" s="525"/>
      <c r="D336" s="525"/>
      <c r="E336" s="614" t="s">
        <v>110</v>
      </c>
      <c r="F336" s="539"/>
      <c r="G336" s="539"/>
      <c r="H336" s="539"/>
      <c r="I336" s="539"/>
      <c r="J336" s="539"/>
      <c r="K336" s="539"/>
      <c r="L336" s="539"/>
      <c r="M336" s="539"/>
      <c r="N336" s="539"/>
      <c r="O336" s="539"/>
      <c r="P336" s="615"/>
      <c r="Q336" s="539"/>
      <c r="R336" s="539"/>
      <c r="S336" s="539"/>
      <c r="T336" s="539"/>
      <c r="U336" s="539"/>
      <c r="V336" s="539"/>
      <c r="W336" s="539"/>
      <c r="X336" s="539"/>
      <c r="Y336" s="539"/>
      <c r="Z336" s="539"/>
      <c r="AA336" s="539"/>
      <c r="AB336" s="539"/>
      <c r="AC336" s="539"/>
      <c r="AD336" s="539"/>
      <c r="AE336" s="539"/>
      <c r="AF336" s="539"/>
      <c r="AG336" s="539"/>
      <c r="AH336" s="539"/>
      <c r="AI336" s="539"/>
      <c r="AJ336" s="539"/>
      <c r="AK336" s="539"/>
      <c r="AL336" s="539"/>
      <c r="AM336" s="539"/>
      <c r="AN336" s="539"/>
      <c r="AO336" s="539"/>
      <c r="AP336" s="539"/>
      <c r="AQ336" s="539"/>
      <c r="AR336" s="539"/>
      <c r="AS336" s="539"/>
      <c r="AT336" s="539"/>
      <c r="AU336" s="539"/>
      <c r="AV336" s="539"/>
      <c r="AW336" s="539"/>
      <c r="AX336" s="539"/>
      <c r="AY336" s="539"/>
      <c r="AZ336" s="539"/>
      <c r="BA336" s="539"/>
      <c r="BB336" s="539"/>
      <c r="BC336" s="539"/>
      <c r="BD336" s="539"/>
      <c r="BE336" s="539"/>
      <c r="BF336" s="539"/>
      <c r="BG336" s="539"/>
      <c r="BH336" s="539"/>
      <c r="BI336" s="539"/>
      <c r="BJ336" s="539"/>
      <c r="BK336" s="539"/>
      <c r="BL336" s="539"/>
      <c r="BM336" s="539"/>
      <c r="BN336" s="539"/>
      <c r="BO336" s="539"/>
      <c r="BP336" s="539"/>
      <c r="BQ336" s="539"/>
      <c r="BR336" s="539"/>
      <c r="BS336" s="539"/>
      <c r="BT336" s="539"/>
      <c r="BU336" s="539"/>
      <c r="BV336" s="539"/>
      <c r="BW336" s="539"/>
      <c r="BX336" s="539"/>
      <c r="BY336" s="539"/>
    </row>
    <row r="337" spans="1:77" x14ac:dyDescent="0.3">
      <c r="A337" s="551"/>
      <c r="B337" s="548"/>
      <c r="C337" s="525"/>
      <c r="D337" s="525"/>
      <c r="E337" s="525"/>
      <c r="F337" s="525"/>
      <c r="G337" s="525"/>
      <c r="H337" s="525"/>
      <c r="I337" s="525"/>
      <c r="J337" s="525"/>
      <c r="K337" s="525"/>
      <c r="L337" s="525"/>
      <c r="M337" s="525"/>
      <c r="N337" s="525"/>
      <c r="O337" s="525"/>
      <c r="P337" s="565"/>
      <c r="Q337" s="525"/>
      <c r="R337" s="525"/>
      <c r="S337" s="525"/>
      <c r="T337" s="525"/>
      <c r="U337" s="525"/>
      <c r="V337" s="525"/>
      <c r="W337" s="525"/>
      <c r="X337" s="525"/>
      <c r="Y337" s="525"/>
      <c r="Z337" s="525"/>
      <c r="AA337" s="525"/>
      <c r="AB337" s="525"/>
      <c r="AC337" s="525"/>
      <c r="AD337" s="525"/>
      <c r="AE337" s="525"/>
      <c r="AF337" s="525"/>
      <c r="AG337" s="525"/>
      <c r="AH337" s="525"/>
      <c r="AI337" s="525"/>
      <c r="AJ337" s="525"/>
      <c r="AK337" s="525"/>
      <c r="AL337" s="525"/>
      <c r="AM337" s="525"/>
      <c r="AN337" s="525"/>
      <c r="AO337" s="525"/>
      <c r="AP337" s="525"/>
      <c r="AQ337" s="525"/>
      <c r="AR337" s="525"/>
      <c r="AS337" s="525"/>
      <c r="AT337" s="525"/>
      <c r="AU337" s="525"/>
      <c r="AV337" s="525"/>
      <c r="AW337" s="525"/>
      <c r="AX337" s="525"/>
      <c r="AY337" s="525"/>
      <c r="AZ337" s="525"/>
      <c r="BA337" s="525"/>
      <c r="BB337" s="525"/>
      <c r="BC337" s="525"/>
      <c r="BD337" s="525"/>
      <c r="BE337" s="525"/>
      <c r="BF337" s="525"/>
      <c r="BG337" s="525"/>
      <c r="BH337" s="525"/>
      <c r="BI337" s="525"/>
      <c r="BJ337" s="525"/>
      <c r="BK337" s="525"/>
      <c r="BL337" s="525"/>
      <c r="BM337" s="525"/>
      <c r="BN337" s="525"/>
      <c r="BO337" s="525"/>
      <c r="BP337" s="525"/>
      <c r="BQ337" s="525"/>
      <c r="BR337" s="525"/>
      <c r="BS337" s="525"/>
      <c r="BT337" s="525"/>
      <c r="BU337" s="525"/>
      <c r="BV337" s="525"/>
      <c r="BW337" s="525"/>
      <c r="BX337" s="525"/>
      <c r="BY337" s="525"/>
    </row>
    <row r="338" spans="1:77" x14ac:dyDescent="0.3">
      <c r="A338" s="551"/>
      <c r="B338" s="548"/>
      <c r="C338" s="525"/>
      <c r="D338" s="525"/>
      <c r="E338" s="632" t="str">
        <f>"Rental income: "&amp;E$155</f>
        <v>Rental income: FY27 Tranche</v>
      </c>
      <c r="F338" s="525"/>
      <c r="G338" s="525"/>
      <c r="H338" s="525"/>
      <c r="I338" s="525"/>
      <c r="J338" s="525"/>
      <c r="K338" s="525"/>
      <c r="L338" s="525"/>
      <c r="M338" s="525"/>
      <c r="N338" s="525"/>
      <c r="O338" s="525"/>
      <c r="P338" s="565"/>
      <c r="Q338" s="525"/>
      <c r="R338" s="527">
        <f t="shared" ref="R338:AW338" si="483">($R155*R$597*R490)+((($R155*R$597)+R328)*R482)</f>
        <v>49375.876942870142</v>
      </c>
      <c r="S338" s="527">
        <f t="shared" si="483"/>
        <v>49375.876942870142</v>
      </c>
      <c r="T338" s="527">
        <f t="shared" si="483"/>
        <v>49375.876942870142</v>
      </c>
      <c r="U338" s="527">
        <f t="shared" si="483"/>
        <v>49375.876942870142</v>
      </c>
      <c r="V338" s="527">
        <f t="shared" si="483"/>
        <v>49375.876942870142</v>
      </c>
      <c r="W338" s="527">
        <f t="shared" si="483"/>
        <v>49375.876942870142</v>
      </c>
      <c r="X338" s="527">
        <f t="shared" si="483"/>
        <v>60286.131945026478</v>
      </c>
      <c r="Y338" s="527">
        <f t="shared" si="483"/>
        <v>60286.131945026478</v>
      </c>
      <c r="Z338" s="527">
        <f t="shared" si="483"/>
        <v>60286.131945026478</v>
      </c>
      <c r="AA338" s="527">
        <f t="shared" si="483"/>
        <v>60286.131945026478</v>
      </c>
      <c r="AB338" s="527">
        <f t="shared" si="483"/>
        <v>60286.131945026478</v>
      </c>
      <c r="AC338" s="527">
        <f t="shared" si="483"/>
        <v>60286.131945026478</v>
      </c>
      <c r="AD338" s="527">
        <f t="shared" si="483"/>
        <v>59327.192072707825</v>
      </c>
      <c r="AE338" s="527">
        <f t="shared" si="483"/>
        <v>59327.192072707825</v>
      </c>
      <c r="AF338" s="527">
        <f t="shared" si="483"/>
        <v>59327.192072707825</v>
      </c>
      <c r="AG338" s="527">
        <f t="shared" si="483"/>
        <v>59327.192072707825</v>
      </c>
      <c r="AH338" s="527">
        <f t="shared" si="483"/>
        <v>59327.192072707825</v>
      </c>
      <c r="AI338" s="527">
        <f t="shared" si="483"/>
        <v>59327.192072707825</v>
      </c>
      <c r="AJ338" s="527">
        <f t="shared" si="483"/>
        <v>62146.904625564894</v>
      </c>
      <c r="AK338" s="527">
        <f t="shared" si="483"/>
        <v>62146.904625564894</v>
      </c>
      <c r="AL338" s="527">
        <f t="shared" si="483"/>
        <v>62146.904625564894</v>
      </c>
      <c r="AM338" s="527">
        <f t="shared" si="483"/>
        <v>62146.904625564894</v>
      </c>
      <c r="AN338" s="527">
        <f t="shared" si="483"/>
        <v>62146.904625564894</v>
      </c>
      <c r="AO338" s="527">
        <f t="shared" si="483"/>
        <v>62146.904625564894</v>
      </c>
      <c r="AP338" s="527">
        <f t="shared" si="483"/>
        <v>61171.367749870224</v>
      </c>
      <c r="AQ338" s="527">
        <f t="shared" si="483"/>
        <v>61171.367749870224</v>
      </c>
      <c r="AR338" s="527">
        <f t="shared" si="483"/>
        <v>61171.367749870224</v>
      </c>
      <c r="AS338" s="527">
        <f t="shared" si="483"/>
        <v>61171.367749870224</v>
      </c>
      <c r="AT338" s="527">
        <f t="shared" si="483"/>
        <v>61171.367749870224</v>
      </c>
      <c r="AU338" s="527">
        <f t="shared" si="483"/>
        <v>61171.367749870224</v>
      </c>
      <c r="AV338" s="527">
        <f t="shared" si="483"/>
        <v>64103.868804841579</v>
      </c>
      <c r="AW338" s="527">
        <f t="shared" si="483"/>
        <v>64103.868804841579</v>
      </c>
      <c r="AX338" s="527">
        <f t="shared" ref="AX338:BY338" si="484">($R155*AX$597*AX490)+((($R155*AX$597)+AX328)*AX482)</f>
        <v>64103.868804841579</v>
      </c>
      <c r="AY338" s="527">
        <f t="shared" si="484"/>
        <v>64103.868804841579</v>
      </c>
      <c r="AZ338" s="527">
        <f t="shared" si="484"/>
        <v>64103.868804841579</v>
      </c>
      <c r="BA338" s="527">
        <f t="shared" si="484"/>
        <v>64103.868804841579</v>
      </c>
      <c r="BB338" s="527">
        <f t="shared" si="484"/>
        <v>63067.572168026716</v>
      </c>
      <c r="BC338" s="527">
        <f t="shared" si="484"/>
        <v>63067.572168026716</v>
      </c>
      <c r="BD338" s="527">
        <f t="shared" si="484"/>
        <v>63067.572168026716</v>
      </c>
      <c r="BE338" s="527">
        <f t="shared" si="484"/>
        <v>63067.572168026716</v>
      </c>
      <c r="BF338" s="527">
        <f t="shared" si="484"/>
        <v>63067.572168026716</v>
      </c>
      <c r="BG338" s="527">
        <f t="shared" si="484"/>
        <v>63067.572168026716</v>
      </c>
      <c r="BH338" s="527">
        <f t="shared" si="484"/>
        <v>66117.373265196948</v>
      </c>
      <c r="BI338" s="527">
        <f t="shared" si="484"/>
        <v>66117.373265196948</v>
      </c>
      <c r="BJ338" s="527">
        <f t="shared" si="484"/>
        <v>66117.373265196948</v>
      </c>
      <c r="BK338" s="527">
        <f t="shared" si="484"/>
        <v>66117.373265196948</v>
      </c>
      <c r="BL338" s="527">
        <f t="shared" si="484"/>
        <v>66117.373265196948</v>
      </c>
      <c r="BM338" s="527">
        <f t="shared" si="484"/>
        <v>66117.373265196948</v>
      </c>
      <c r="BN338" s="527">
        <f t="shared" si="484"/>
        <v>64983.449748417814</v>
      </c>
      <c r="BO338" s="527">
        <f t="shared" si="484"/>
        <v>64983.449748417814</v>
      </c>
      <c r="BP338" s="527">
        <f t="shared" si="484"/>
        <v>64983.449748417814</v>
      </c>
      <c r="BQ338" s="527">
        <f t="shared" si="484"/>
        <v>64983.449748417814</v>
      </c>
      <c r="BR338" s="527">
        <f t="shared" si="484"/>
        <v>64983.449748417814</v>
      </c>
      <c r="BS338" s="527">
        <f t="shared" si="484"/>
        <v>64983.449748417814</v>
      </c>
      <c r="BT338" s="527">
        <f t="shared" si="484"/>
        <v>68155.24288947483</v>
      </c>
      <c r="BU338" s="527">
        <f t="shared" si="484"/>
        <v>68155.24288947483</v>
      </c>
      <c r="BV338" s="527">
        <f t="shared" si="484"/>
        <v>68155.24288947483</v>
      </c>
      <c r="BW338" s="527">
        <f t="shared" si="484"/>
        <v>68155.24288947483</v>
      </c>
      <c r="BX338" s="527">
        <f t="shared" si="484"/>
        <v>68155.24288947483</v>
      </c>
      <c r="BY338" s="527">
        <f t="shared" si="484"/>
        <v>68155.24288947483</v>
      </c>
    </row>
    <row r="339" spans="1:77" x14ac:dyDescent="0.3">
      <c r="A339" s="551"/>
      <c r="B339" s="548"/>
      <c r="C339" s="525"/>
      <c r="D339" s="525"/>
      <c r="E339" s="632" t="str">
        <f>"Rental income: "&amp;E$156</f>
        <v>Rental income: FY28 Tranche</v>
      </c>
      <c r="F339" s="525"/>
      <c r="G339" s="525"/>
      <c r="H339" s="525"/>
      <c r="I339" s="525"/>
      <c r="J339" s="525"/>
      <c r="K339" s="525"/>
      <c r="L339" s="525"/>
      <c r="M339" s="525"/>
      <c r="N339" s="525"/>
      <c r="O339" s="525"/>
      <c r="P339" s="565"/>
      <c r="Q339" s="525"/>
      <c r="R339" s="527">
        <f t="shared" ref="R339:AW339" si="485">($R156*R$597*R491)+((($R156*R$597)+R329)*R483)</f>
        <v>49375.876942870142</v>
      </c>
      <c r="S339" s="527">
        <f t="shared" si="485"/>
        <v>49375.876942870142</v>
      </c>
      <c r="T339" s="527">
        <f t="shared" si="485"/>
        <v>49375.876942870142</v>
      </c>
      <c r="U339" s="527">
        <f t="shared" si="485"/>
        <v>49375.876942870142</v>
      </c>
      <c r="V339" s="527">
        <f t="shared" si="485"/>
        <v>49375.876942870142</v>
      </c>
      <c r="W339" s="527">
        <f t="shared" si="485"/>
        <v>49375.876942870142</v>
      </c>
      <c r="X339" s="527">
        <f t="shared" si="485"/>
        <v>49375.876942870142</v>
      </c>
      <c r="Y339" s="527">
        <f t="shared" si="485"/>
        <v>49375.876942870142</v>
      </c>
      <c r="Z339" s="527">
        <f t="shared" si="485"/>
        <v>49375.876942870142</v>
      </c>
      <c r="AA339" s="527">
        <f t="shared" si="485"/>
        <v>49375.876942870142</v>
      </c>
      <c r="AB339" s="527">
        <f t="shared" si="485"/>
        <v>49375.876942870142</v>
      </c>
      <c r="AC339" s="527">
        <f t="shared" si="485"/>
        <v>49375.876942870142</v>
      </c>
      <c r="AD339" s="527">
        <f t="shared" si="485"/>
        <v>50769.704955917783</v>
      </c>
      <c r="AE339" s="527">
        <f t="shared" si="485"/>
        <v>50769.704955917783</v>
      </c>
      <c r="AF339" s="527">
        <f t="shared" si="485"/>
        <v>50769.704955917783</v>
      </c>
      <c r="AG339" s="527">
        <f t="shared" si="485"/>
        <v>50769.704955917783</v>
      </c>
      <c r="AH339" s="527">
        <f t="shared" si="485"/>
        <v>50769.704955917783</v>
      </c>
      <c r="AI339" s="527">
        <f t="shared" si="485"/>
        <v>50769.704955917783</v>
      </c>
      <c r="AJ339" s="527">
        <f t="shared" si="485"/>
        <v>61942.349411681804</v>
      </c>
      <c r="AK339" s="527">
        <f t="shared" si="485"/>
        <v>61942.349411681804</v>
      </c>
      <c r="AL339" s="527">
        <f t="shared" si="485"/>
        <v>61942.349411681804</v>
      </c>
      <c r="AM339" s="527">
        <f t="shared" si="485"/>
        <v>61942.349411681804</v>
      </c>
      <c r="AN339" s="527">
        <f t="shared" si="485"/>
        <v>61942.349411681804</v>
      </c>
      <c r="AO339" s="527">
        <f t="shared" si="485"/>
        <v>61942.349411681804</v>
      </c>
      <c r="AP339" s="527">
        <f t="shared" si="485"/>
        <v>60966.812535987141</v>
      </c>
      <c r="AQ339" s="527">
        <f t="shared" si="485"/>
        <v>60966.812535987141</v>
      </c>
      <c r="AR339" s="527">
        <f t="shared" si="485"/>
        <v>60966.812535987141</v>
      </c>
      <c r="AS339" s="527">
        <f t="shared" si="485"/>
        <v>60966.812535987141</v>
      </c>
      <c r="AT339" s="527">
        <f t="shared" si="485"/>
        <v>60966.812535987141</v>
      </c>
      <c r="AU339" s="527">
        <f t="shared" si="485"/>
        <v>60966.812535987141</v>
      </c>
      <c r="AV339" s="527">
        <f t="shared" si="485"/>
        <v>63891.131382403168</v>
      </c>
      <c r="AW339" s="527">
        <f t="shared" si="485"/>
        <v>63891.131382403168</v>
      </c>
      <c r="AX339" s="527">
        <f t="shared" ref="AX339:BY339" si="486">($R156*AX$597*AX491)+((($R156*AX$597)+AX329)*AX483)</f>
        <v>63891.131382403168</v>
      </c>
      <c r="AY339" s="527">
        <f t="shared" si="486"/>
        <v>63891.131382403168</v>
      </c>
      <c r="AZ339" s="527">
        <f t="shared" si="486"/>
        <v>63891.131382403168</v>
      </c>
      <c r="BA339" s="527">
        <f t="shared" si="486"/>
        <v>63891.131382403168</v>
      </c>
      <c r="BB339" s="527">
        <f t="shared" si="486"/>
        <v>62854.834745588305</v>
      </c>
      <c r="BC339" s="527">
        <f t="shared" si="486"/>
        <v>62854.834745588305</v>
      </c>
      <c r="BD339" s="527">
        <f t="shared" si="486"/>
        <v>62854.834745588305</v>
      </c>
      <c r="BE339" s="527">
        <f t="shared" si="486"/>
        <v>62854.834745588305</v>
      </c>
      <c r="BF339" s="527">
        <f t="shared" si="486"/>
        <v>62854.834745588305</v>
      </c>
      <c r="BG339" s="527">
        <f t="shared" si="486"/>
        <v>62854.834745588305</v>
      </c>
      <c r="BH339" s="527">
        <f t="shared" si="486"/>
        <v>65896.126345860976</v>
      </c>
      <c r="BI339" s="527">
        <f t="shared" si="486"/>
        <v>65896.126345860976</v>
      </c>
      <c r="BJ339" s="527">
        <f t="shared" si="486"/>
        <v>65896.126345860976</v>
      </c>
      <c r="BK339" s="527">
        <f t="shared" si="486"/>
        <v>65896.126345860976</v>
      </c>
      <c r="BL339" s="527">
        <f t="shared" si="486"/>
        <v>65896.126345860976</v>
      </c>
      <c r="BM339" s="527">
        <f t="shared" si="486"/>
        <v>65896.126345860976</v>
      </c>
      <c r="BN339" s="527">
        <f t="shared" si="486"/>
        <v>64762.202829081842</v>
      </c>
      <c r="BO339" s="527">
        <f t="shared" si="486"/>
        <v>64762.202829081842</v>
      </c>
      <c r="BP339" s="527">
        <f t="shared" si="486"/>
        <v>64762.202829081842</v>
      </c>
      <c r="BQ339" s="527">
        <f t="shared" si="486"/>
        <v>64762.202829081842</v>
      </c>
      <c r="BR339" s="527">
        <f t="shared" si="486"/>
        <v>64762.202829081842</v>
      </c>
      <c r="BS339" s="527">
        <f t="shared" si="486"/>
        <v>64762.202829081842</v>
      </c>
      <c r="BT339" s="527">
        <f t="shared" si="486"/>
        <v>67925.146093365431</v>
      </c>
      <c r="BU339" s="527">
        <f t="shared" si="486"/>
        <v>67925.146093365431</v>
      </c>
      <c r="BV339" s="527">
        <f t="shared" si="486"/>
        <v>67925.146093365431</v>
      </c>
      <c r="BW339" s="527">
        <f t="shared" si="486"/>
        <v>67925.146093365431</v>
      </c>
      <c r="BX339" s="527">
        <f t="shared" si="486"/>
        <v>67925.146093365431</v>
      </c>
      <c r="BY339" s="527">
        <f t="shared" si="486"/>
        <v>67925.146093365431</v>
      </c>
    </row>
    <row r="340" spans="1:77" x14ac:dyDescent="0.3">
      <c r="A340" s="551"/>
      <c r="B340" s="548"/>
      <c r="C340" s="525"/>
      <c r="D340" s="525"/>
      <c r="E340" s="632" t="str">
        <f>"Rental income: "&amp;E$157</f>
        <v>Rental income: FY29 Tranche</v>
      </c>
      <c r="F340" s="525"/>
      <c r="G340" s="525"/>
      <c r="H340" s="525"/>
      <c r="I340" s="525"/>
      <c r="J340" s="525"/>
      <c r="K340" s="525"/>
      <c r="L340" s="525"/>
      <c r="M340" s="525"/>
      <c r="N340" s="525"/>
      <c r="O340" s="525"/>
      <c r="P340" s="565"/>
      <c r="Q340" s="525"/>
      <c r="R340" s="527">
        <f t="shared" ref="R340:AW340" si="487">($R157*R$597*R492)+((($R157*R$597)+R330)*R484)</f>
        <v>49375.876942870142</v>
      </c>
      <c r="S340" s="527">
        <f t="shared" si="487"/>
        <v>49375.876942870142</v>
      </c>
      <c r="T340" s="527">
        <f t="shared" si="487"/>
        <v>49375.876942870142</v>
      </c>
      <c r="U340" s="527">
        <f t="shared" si="487"/>
        <v>49375.876942870142</v>
      </c>
      <c r="V340" s="527">
        <f t="shared" si="487"/>
        <v>49375.876942870142</v>
      </c>
      <c r="W340" s="527">
        <f t="shared" si="487"/>
        <v>49375.876942870142</v>
      </c>
      <c r="X340" s="527">
        <f t="shared" si="487"/>
        <v>49375.876942870142</v>
      </c>
      <c r="Y340" s="527">
        <f t="shared" si="487"/>
        <v>49375.876942870142</v>
      </c>
      <c r="Z340" s="527">
        <f t="shared" si="487"/>
        <v>49375.876942870142</v>
      </c>
      <c r="AA340" s="527">
        <f t="shared" si="487"/>
        <v>49375.876942870142</v>
      </c>
      <c r="AB340" s="527">
        <f t="shared" si="487"/>
        <v>49375.876942870142</v>
      </c>
      <c r="AC340" s="527">
        <f t="shared" si="487"/>
        <v>49375.876942870142</v>
      </c>
      <c r="AD340" s="527">
        <f t="shared" si="487"/>
        <v>50769.704955917783</v>
      </c>
      <c r="AE340" s="527">
        <f t="shared" si="487"/>
        <v>50769.704955917783</v>
      </c>
      <c r="AF340" s="527">
        <f t="shared" si="487"/>
        <v>50769.704955917783</v>
      </c>
      <c r="AG340" s="527">
        <f t="shared" si="487"/>
        <v>50769.704955917783</v>
      </c>
      <c r="AH340" s="527">
        <f t="shared" si="487"/>
        <v>50769.704955917783</v>
      </c>
      <c r="AI340" s="527">
        <f t="shared" si="487"/>
        <v>50769.704955917783</v>
      </c>
      <c r="AJ340" s="527">
        <f t="shared" si="487"/>
        <v>50769.704955917783</v>
      </c>
      <c r="AK340" s="527">
        <f t="shared" si="487"/>
        <v>50769.704955917783</v>
      </c>
      <c r="AL340" s="527">
        <f t="shared" si="487"/>
        <v>50769.704955917783</v>
      </c>
      <c r="AM340" s="527">
        <f t="shared" si="487"/>
        <v>50769.704955917783</v>
      </c>
      <c r="AN340" s="527">
        <f t="shared" si="487"/>
        <v>50769.704955917783</v>
      </c>
      <c r="AO340" s="527">
        <f t="shared" si="487"/>
        <v>50769.704955917783</v>
      </c>
      <c r="AP340" s="527">
        <f t="shared" si="487"/>
        <v>52124.978613790117</v>
      </c>
      <c r="AQ340" s="527">
        <f t="shared" si="487"/>
        <v>52124.978613790117</v>
      </c>
      <c r="AR340" s="527">
        <f t="shared" si="487"/>
        <v>52124.978613790117</v>
      </c>
      <c r="AS340" s="527">
        <f t="shared" si="487"/>
        <v>52124.978613790117</v>
      </c>
      <c r="AT340" s="527">
        <f t="shared" si="487"/>
        <v>52124.978613790117</v>
      </c>
      <c r="AU340" s="527">
        <f t="shared" si="487"/>
        <v>52124.978613790117</v>
      </c>
      <c r="AV340" s="527">
        <f t="shared" si="487"/>
        <v>63548.49830178103</v>
      </c>
      <c r="AW340" s="527">
        <f t="shared" si="487"/>
        <v>63548.49830178103</v>
      </c>
      <c r="AX340" s="527">
        <f t="shared" ref="AX340:BY340" si="488">($R157*AX$597*AX492)+((($R157*AX$597)+AX330)*AX484)</f>
        <v>63548.49830178103</v>
      </c>
      <c r="AY340" s="527">
        <f t="shared" si="488"/>
        <v>63548.49830178103</v>
      </c>
      <c r="AZ340" s="527">
        <f t="shared" si="488"/>
        <v>63548.49830178103</v>
      </c>
      <c r="BA340" s="527">
        <f t="shared" si="488"/>
        <v>63548.49830178103</v>
      </c>
      <c r="BB340" s="527">
        <f t="shared" si="488"/>
        <v>62512.201664966167</v>
      </c>
      <c r="BC340" s="527">
        <f t="shared" si="488"/>
        <v>62512.201664966167</v>
      </c>
      <c r="BD340" s="527">
        <f t="shared" si="488"/>
        <v>62512.201664966167</v>
      </c>
      <c r="BE340" s="527">
        <f t="shared" si="488"/>
        <v>62512.201664966167</v>
      </c>
      <c r="BF340" s="527">
        <f t="shared" si="488"/>
        <v>62512.201664966167</v>
      </c>
      <c r="BG340" s="527">
        <f t="shared" si="488"/>
        <v>62512.201664966167</v>
      </c>
      <c r="BH340" s="527">
        <f t="shared" si="488"/>
        <v>65539.787942013936</v>
      </c>
      <c r="BI340" s="527">
        <f t="shared" si="488"/>
        <v>65539.787942013936</v>
      </c>
      <c r="BJ340" s="527">
        <f t="shared" si="488"/>
        <v>65539.787942013936</v>
      </c>
      <c r="BK340" s="527">
        <f t="shared" si="488"/>
        <v>65539.787942013936</v>
      </c>
      <c r="BL340" s="527">
        <f t="shared" si="488"/>
        <v>65539.787942013936</v>
      </c>
      <c r="BM340" s="527">
        <f t="shared" si="488"/>
        <v>65539.787942013936</v>
      </c>
      <c r="BN340" s="527">
        <f t="shared" si="488"/>
        <v>64405.864425234817</v>
      </c>
      <c r="BO340" s="527">
        <f t="shared" si="488"/>
        <v>64405.864425234817</v>
      </c>
      <c r="BP340" s="527">
        <f t="shared" si="488"/>
        <v>64405.864425234817</v>
      </c>
      <c r="BQ340" s="527">
        <f t="shared" si="488"/>
        <v>64405.864425234817</v>
      </c>
      <c r="BR340" s="527">
        <f t="shared" si="488"/>
        <v>64405.864425234817</v>
      </c>
      <c r="BS340" s="527">
        <f t="shared" si="488"/>
        <v>64405.864425234817</v>
      </c>
      <c r="BT340" s="527">
        <f t="shared" si="488"/>
        <v>67554.554153364516</v>
      </c>
      <c r="BU340" s="527">
        <f t="shared" si="488"/>
        <v>67554.554153364516</v>
      </c>
      <c r="BV340" s="527">
        <f t="shared" si="488"/>
        <v>67554.554153364516</v>
      </c>
      <c r="BW340" s="527">
        <f t="shared" si="488"/>
        <v>67554.554153364516</v>
      </c>
      <c r="BX340" s="527">
        <f t="shared" si="488"/>
        <v>67554.554153364516</v>
      </c>
      <c r="BY340" s="527">
        <f t="shared" si="488"/>
        <v>67554.554153364516</v>
      </c>
    </row>
    <row r="341" spans="1:77" x14ac:dyDescent="0.3">
      <c r="A341" s="551"/>
      <c r="B341" s="548"/>
      <c r="C341" s="525"/>
      <c r="D341" s="525"/>
      <c r="E341" s="632" t="str">
        <f>"Rental income: "&amp;E$158</f>
        <v>Rental income: FY30 Tranche</v>
      </c>
      <c r="F341" s="525"/>
      <c r="G341" s="525"/>
      <c r="H341" s="525"/>
      <c r="I341" s="525"/>
      <c r="J341" s="525"/>
      <c r="K341" s="525"/>
      <c r="L341" s="525"/>
      <c r="M341" s="525"/>
      <c r="N341" s="525"/>
      <c r="O341" s="525"/>
      <c r="P341" s="565"/>
      <c r="Q341" s="525"/>
      <c r="R341" s="527">
        <f t="shared" ref="R341:AW341" si="489">($R158*R$597*R493)+((($R158*R$597)+R331)*R485)</f>
        <v>49375.876942870142</v>
      </c>
      <c r="S341" s="527">
        <f t="shared" si="489"/>
        <v>49375.876942870142</v>
      </c>
      <c r="T341" s="527">
        <f t="shared" si="489"/>
        <v>49375.876942870142</v>
      </c>
      <c r="U341" s="527">
        <f t="shared" si="489"/>
        <v>49375.876942870142</v>
      </c>
      <c r="V341" s="527">
        <f t="shared" si="489"/>
        <v>49375.876942870142</v>
      </c>
      <c r="W341" s="527">
        <f t="shared" si="489"/>
        <v>49375.876942870142</v>
      </c>
      <c r="X341" s="527">
        <f t="shared" si="489"/>
        <v>49375.876942870142</v>
      </c>
      <c r="Y341" s="527">
        <f t="shared" si="489"/>
        <v>49375.876942870142</v>
      </c>
      <c r="Z341" s="527">
        <f t="shared" si="489"/>
        <v>49375.876942870142</v>
      </c>
      <c r="AA341" s="527">
        <f t="shared" si="489"/>
        <v>49375.876942870142</v>
      </c>
      <c r="AB341" s="527">
        <f t="shared" si="489"/>
        <v>49375.876942870142</v>
      </c>
      <c r="AC341" s="527">
        <f t="shared" si="489"/>
        <v>49375.876942870142</v>
      </c>
      <c r="AD341" s="527">
        <f t="shared" si="489"/>
        <v>50769.704955917783</v>
      </c>
      <c r="AE341" s="527">
        <f t="shared" si="489"/>
        <v>50769.704955917783</v>
      </c>
      <c r="AF341" s="527">
        <f t="shared" si="489"/>
        <v>50769.704955917783</v>
      </c>
      <c r="AG341" s="527">
        <f t="shared" si="489"/>
        <v>50769.704955917783</v>
      </c>
      <c r="AH341" s="527">
        <f t="shared" si="489"/>
        <v>50769.704955917783</v>
      </c>
      <c r="AI341" s="527">
        <f t="shared" si="489"/>
        <v>50769.704955917783</v>
      </c>
      <c r="AJ341" s="527">
        <f t="shared" si="489"/>
        <v>50769.704955917783</v>
      </c>
      <c r="AK341" s="527">
        <f t="shared" si="489"/>
        <v>50769.704955917783</v>
      </c>
      <c r="AL341" s="527">
        <f t="shared" si="489"/>
        <v>50769.704955917783</v>
      </c>
      <c r="AM341" s="527">
        <f t="shared" si="489"/>
        <v>50769.704955917783</v>
      </c>
      <c r="AN341" s="527">
        <f t="shared" si="489"/>
        <v>50769.704955917783</v>
      </c>
      <c r="AO341" s="527">
        <f t="shared" si="489"/>
        <v>50769.704955917783</v>
      </c>
      <c r="AP341" s="527">
        <f t="shared" si="489"/>
        <v>52124.978613790117</v>
      </c>
      <c r="AQ341" s="527">
        <f t="shared" si="489"/>
        <v>52124.978613790117</v>
      </c>
      <c r="AR341" s="527">
        <f t="shared" si="489"/>
        <v>52124.978613790117</v>
      </c>
      <c r="AS341" s="527">
        <f t="shared" si="489"/>
        <v>52124.978613790117</v>
      </c>
      <c r="AT341" s="527">
        <f t="shared" si="489"/>
        <v>52124.978613790117</v>
      </c>
      <c r="AU341" s="527">
        <f t="shared" si="489"/>
        <v>52124.978613790117</v>
      </c>
      <c r="AV341" s="527">
        <f t="shared" si="489"/>
        <v>52124.978613790117</v>
      </c>
      <c r="AW341" s="527">
        <f t="shared" si="489"/>
        <v>52124.978613790117</v>
      </c>
      <c r="AX341" s="527">
        <f t="shared" ref="AX341:BY341" si="490">($R158*AX$597*AX493)+((($R158*AX$597)+AX331)*AX485)</f>
        <v>52124.978613790117</v>
      </c>
      <c r="AY341" s="527">
        <f t="shared" si="490"/>
        <v>52124.978613790117</v>
      </c>
      <c r="AZ341" s="527">
        <f t="shared" si="490"/>
        <v>52124.978613790117</v>
      </c>
      <c r="BA341" s="527">
        <f t="shared" si="490"/>
        <v>52124.978613790117</v>
      </c>
      <c r="BB341" s="527">
        <f t="shared" si="490"/>
        <v>53308.785867517414</v>
      </c>
      <c r="BC341" s="527">
        <f t="shared" si="490"/>
        <v>53308.785867517414</v>
      </c>
      <c r="BD341" s="527">
        <f t="shared" si="490"/>
        <v>53308.785867517414</v>
      </c>
      <c r="BE341" s="527">
        <f t="shared" si="490"/>
        <v>53308.785867517414</v>
      </c>
      <c r="BF341" s="527">
        <f t="shared" si="490"/>
        <v>53308.785867517414</v>
      </c>
      <c r="BG341" s="527">
        <f t="shared" si="490"/>
        <v>53308.785867517414</v>
      </c>
      <c r="BH341" s="527">
        <f t="shared" si="490"/>
        <v>64968.516854793976</v>
      </c>
      <c r="BI341" s="527">
        <f t="shared" si="490"/>
        <v>64968.516854793976</v>
      </c>
      <c r="BJ341" s="527">
        <f t="shared" si="490"/>
        <v>64968.516854793976</v>
      </c>
      <c r="BK341" s="527">
        <f t="shared" si="490"/>
        <v>64968.516854793976</v>
      </c>
      <c r="BL341" s="527">
        <f t="shared" si="490"/>
        <v>64968.516854793976</v>
      </c>
      <c r="BM341" s="527">
        <f t="shared" si="490"/>
        <v>64968.516854793976</v>
      </c>
      <c r="BN341" s="527">
        <f t="shared" si="490"/>
        <v>63834.593338014849</v>
      </c>
      <c r="BO341" s="527">
        <f t="shared" si="490"/>
        <v>63834.593338014849</v>
      </c>
      <c r="BP341" s="527">
        <f t="shared" si="490"/>
        <v>63834.593338014849</v>
      </c>
      <c r="BQ341" s="527">
        <f t="shared" si="490"/>
        <v>63834.593338014849</v>
      </c>
      <c r="BR341" s="527">
        <f t="shared" si="490"/>
        <v>63834.593338014849</v>
      </c>
      <c r="BS341" s="527">
        <f t="shared" si="490"/>
        <v>63834.593338014849</v>
      </c>
      <c r="BT341" s="527">
        <f t="shared" si="490"/>
        <v>66960.432222655741</v>
      </c>
      <c r="BU341" s="527">
        <f t="shared" si="490"/>
        <v>66960.432222655741</v>
      </c>
      <c r="BV341" s="527">
        <f t="shared" si="490"/>
        <v>66960.432222655741</v>
      </c>
      <c r="BW341" s="527">
        <f t="shared" si="490"/>
        <v>66960.432222655741</v>
      </c>
      <c r="BX341" s="527">
        <f t="shared" si="490"/>
        <v>66960.432222655741</v>
      </c>
      <c r="BY341" s="527">
        <f t="shared" si="490"/>
        <v>66960.432222655741</v>
      </c>
    </row>
    <row r="342" spans="1:77" x14ac:dyDescent="0.3">
      <c r="A342" s="551"/>
      <c r="B342" s="548"/>
      <c r="C342" s="525"/>
      <c r="D342" s="525"/>
      <c r="E342" s="632" t="str">
        <f>"Rental income: "&amp;E$159</f>
        <v>Rental income: FY31 Tranche</v>
      </c>
      <c r="F342" s="525"/>
      <c r="G342" s="525"/>
      <c r="H342" s="525"/>
      <c r="I342" s="525"/>
      <c r="J342" s="525"/>
      <c r="K342" s="525"/>
      <c r="L342" s="525"/>
      <c r="M342" s="525"/>
      <c r="N342" s="525"/>
      <c r="O342" s="525"/>
      <c r="P342" s="565"/>
      <c r="Q342" s="525"/>
      <c r="R342" s="527">
        <f t="shared" ref="R342:AW342" si="491">($R159*R$597*R494)+((($R159*R$597)+R332)*R486)</f>
        <v>49375.876942870142</v>
      </c>
      <c r="S342" s="527">
        <f t="shared" si="491"/>
        <v>49375.876942870142</v>
      </c>
      <c r="T342" s="527">
        <f t="shared" si="491"/>
        <v>49375.876942870142</v>
      </c>
      <c r="U342" s="527">
        <f t="shared" si="491"/>
        <v>49375.876942870142</v>
      </c>
      <c r="V342" s="527">
        <f t="shared" si="491"/>
        <v>49375.876942870142</v>
      </c>
      <c r="W342" s="527">
        <f t="shared" si="491"/>
        <v>49375.876942870142</v>
      </c>
      <c r="X342" s="527">
        <f t="shared" si="491"/>
        <v>49375.876942870142</v>
      </c>
      <c r="Y342" s="527">
        <f t="shared" si="491"/>
        <v>49375.876942870142</v>
      </c>
      <c r="Z342" s="527">
        <f t="shared" si="491"/>
        <v>49375.876942870142</v>
      </c>
      <c r="AA342" s="527">
        <f t="shared" si="491"/>
        <v>49375.876942870142</v>
      </c>
      <c r="AB342" s="527">
        <f t="shared" si="491"/>
        <v>49375.876942870142</v>
      </c>
      <c r="AC342" s="527">
        <f t="shared" si="491"/>
        <v>49375.876942870142</v>
      </c>
      <c r="AD342" s="527">
        <f t="shared" si="491"/>
        <v>50769.704955917783</v>
      </c>
      <c r="AE342" s="527">
        <f t="shared" si="491"/>
        <v>50769.704955917783</v>
      </c>
      <c r="AF342" s="527">
        <f t="shared" si="491"/>
        <v>50769.704955917783</v>
      </c>
      <c r="AG342" s="527">
        <f t="shared" si="491"/>
        <v>50769.704955917783</v>
      </c>
      <c r="AH342" s="527">
        <f t="shared" si="491"/>
        <v>50769.704955917783</v>
      </c>
      <c r="AI342" s="527">
        <f t="shared" si="491"/>
        <v>50769.704955917783</v>
      </c>
      <c r="AJ342" s="527">
        <f t="shared" si="491"/>
        <v>50769.704955917783</v>
      </c>
      <c r="AK342" s="527">
        <f t="shared" si="491"/>
        <v>50769.704955917783</v>
      </c>
      <c r="AL342" s="527">
        <f t="shared" si="491"/>
        <v>50769.704955917783</v>
      </c>
      <c r="AM342" s="527">
        <f t="shared" si="491"/>
        <v>50769.704955917783</v>
      </c>
      <c r="AN342" s="527">
        <f t="shared" si="491"/>
        <v>50769.704955917783</v>
      </c>
      <c r="AO342" s="527">
        <f t="shared" si="491"/>
        <v>50769.704955917783</v>
      </c>
      <c r="AP342" s="527">
        <f t="shared" si="491"/>
        <v>52124.978613790117</v>
      </c>
      <c r="AQ342" s="527">
        <f t="shared" si="491"/>
        <v>52124.978613790117</v>
      </c>
      <c r="AR342" s="527">
        <f t="shared" si="491"/>
        <v>52124.978613790117</v>
      </c>
      <c r="AS342" s="527">
        <f t="shared" si="491"/>
        <v>52124.978613790117</v>
      </c>
      <c r="AT342" s="527">
        <f t="shared" si="491"/>
        <v>52124.978613790117</v>
      </c>
      <c r="AU342" s="527">
        <f t="shared" si="491"/>
        <v>52124.978613790117</v>
      </c>
      <c r="AV342" s="527">
        <f t="shared" si="491"/>
        <v>52124.978613790117</v>
      </c>
      <c r="AW342" s="527">
        <f t="shared" si="491"/>
        <v>52124.978613790117</v>
      </c>
      <c r="AX342" s="527">
        <f t="shared" ref="AX342:BY342" si="492">($R159*AX$597*AX494)+((($R159*AX$597)+AX332)*AX486)</f>
        <v>52124.978613790117</v>
      </c>
      <c r="AY342" s="527">
        <f t="shared" si="492"/>
        <v>52124.978613790117</v>
      </c>
      <c r="AZ342" s="527">
        <f t="shared" si="492"/>
        <v>52124.978613790117</v>
      </c>
      <c r="BA342" s="527">
        <f t="shared" si="492"/>
        <v>52124.978613790117</v>
      </c>
      <c r="BB342" s="527">
        <f t="shared" si="492"/>
        <v>53308.785867517414</v>
      </c>
      <c r="BC342" s="527">
        <f t="shared" si="492"/>
        <v>53308.785867517414</v>
      </c>
      <c r="BD342" s="527">
        <f t="shared" si="492"/>
        <v>53308.785867517414</v>
      </c>
      <c r="BE342" s="527">
        <f t="shared" si="492"/>
        <v>53308.785867517414</v>
      </c>
      <c r="BF342" s="527">
        <f t="shared" si="492"/>
        <v>53308.785867517414</v>
      </c>
      <c r="BG342" s="527">
        <f t="shared" si="492"/>
        <v>53308.785867517414</v>
      </c>
      <c r="BH342" s="527">
        <f t="shared" si="492"/>
        <v>53308.785867517414</v>
      </c>
      <c r="BI342" s="527">
        <f t="shared" si="492"/>
        <v>53308.785867517414</v>
      </c>
      <c r="BJ342" s="527">
        <f t="shared" si="492"/>
        <v>53308.785867517414</v>
      </c>
      <c r="BK342" s="527">
        <f t="shared" si="492"/>
        <v>53308.785867517414</v>
      </c>
      <c r="BL342" s="527">
        <f t="shared" si="492"/>
        <v>53308.785867517414</v>
      </c>
      <c r="BM342" s="527">
        <f t="shared" si="492"/>
        <v>53308.785867517414</v>
      </c>
      <c r="BN342" s="527">
        <f t="shared" si="492"/>
        <v>54402.751877219758</v>
      </c>
      <c r="BO342" s="527">
        <f t="shared" si="492"/>
        <v>54402.751877219758</v>
      </c>
      <c r="BP342" s="527">
        <f t="shared" si="492"/>
        <v>54402.751877219758</v>
      </c>
      <c r="BQ342" s="527">
        <f t="shared" si="492"/>
        <v>54402.751877219758</v>
      </c>
      <c r="BR342" s="527">
        <f t="shared" si="492"/>
        <v>54402.751877219758</v>
      </c>
      <c r="BS342" s="527">
        <f t="shared" si="492"/>
        <v>54402.751877219758</v>
      </c>
      <c r="BT342" s="527">
        <f t="shared" si="492"/>
        <v>66290.033906795579</v>
      </c>
      <c r="BU342" s="527">
        <f t="shared" si="492"/>
        <v>66290.033906795579</v>
      </c>
      <c r="BV342" s="527">
        <f t="shared" si="492"/>
        <v>66290.033906795579</v>
      </c>
      <c r="BW342" s="527">
        <f t="shared" si="492"/>
        <v>66290.033906795579</v>
      </c>
      <c r="BX342" s="527">
        <f t="shared" si="492"/>
        <v>66290.033906795579</v>
      </c>
      <c r="BY342" s="527">
        <f t="shared" si="492"/>
        <v>66290.033906795579</v>
      </c>
    </row>
    <row r="343" spans="1:77" x14ac:dyDescent="0.3">
      <c r="A343" s="551"/>
      <c r="B343" s="548"/>
      <c r="C343" s="525"/>
      <c r="D343" s="525"/>
      <c r="E343" s="632" t="str">
        <f>"Rental income: "&amp;E$160</f>
        <v>Rental income: Uninvested Tranche</v>
      </c>
      <c r="F343" s="525"/>
      <c r="G343" s="525"/>
      <c r="H343" s="525"/>
      <c r="I343" s="525"/>
      <c r="J343" s="525"/>
      <c r="K343" s="525"/>
      <c r="L343" s="525"/>
      <c r="M343" s="525"/>
      <c r="N343" s="525"/>
      <c r="O343" s="525"/>
      <c r="P343" s="565"/>
      <c r="Q343" s="525"/>
      <c r="R343" s="527">
        <f t="shared" ref="R343:AW343" si="493">($R160*R$597*R495)+((($R160*R$597)+R333)*R487)</f>
        <v>108009.73081252843</v>
      </c>
      <c r="S343" s="527">
        <f t="shared" si="493"/>
        <v>108009.73081252843</v>
      </c>
      <c r="T343" s="527">
        <f t="shared" si="493"/>
        <v>108009.73081252843</v>
      </c>
      <c r="U343" s="527">
        <f t="shared" si="493"/>
        <v>108009.73081252843</v>
      </c>
      <c r="V343" s="527">
        <f t="shared" si="493"/>
        <v>108009.73081252843</v>
      </c>
      <c r="W343" s="527">
        <f t="shared" si="493"/>
        <v>108009.73081252843</v>
      </c>
      <c r="X343" s="527">
        <f t="shared" si="493"/>
        <v>108009.73081252843</v>
      </c>
      <c r="Y343" s="527">
        <f t="shared" si="493"/>
        <v>108009.73081252843</v>
      </c>
      <c r="Z343" s="527">
        <f t="shared" si="493"/>
        <v>108009.73081252843</v>
      </c>
      <c r="AA343" s="527">
        <f t="shared" si="493"/>
        <v>108009.73081252843</v>
      </c>
      <c r="AB343" s="527">
        <f t="shared" si="493"/>
        <v>108009.73081252843</v>
      </c>
      <c r="AC343" s="527">
        <f t="shared" si="493"/>
        <v>108009.73081252843</v>
      </c>
      <c r="AD343" s="527">
        <f t="shared" si="493"/>
        <v>111058.72959107015</v>
      </c>
      <c r="AE343" s="527">
        <f t="shared" si="493"/>
        <v>111058.72959107015</v>
      </c>
      <c r="AF343" s="527">
        <f t="shared" si="493"/>
        <v>111058.72959107015</v>
      </c>
      <c r="AG343" s="527">
        <f t="shared" si="493"/>
        <v>111058.72959107015</v>
      </c>
      <c r="AH343" s="527">
        <f t="shared" si="493"/>
        <v>111058.72959107015</v>
      </c>
      <c r="AI343" s="527">
        <f t="shared" si="493"/>
        <v>111058.72959107015</v>
      </c>
      <c r="AJ343" s="527">
        <f t="shared" si="493"/>
        <v>111058.72959107015</v>
      </c>
      <c r="AK343" s="527">
        <f t="shared" si="493"/>
        <v>111058.72959107015</v>
      </c>
      <c r="AL343" s="527">
        <f t="shared" si="493"/>
        <v>111058.72959107015</v>
      </c>
      <c r="AM343" s="527">
        <f t="shared" si="493"/>
        <v>111058.72959107015</v>
      </c>
      <c r="AN343" s="527">
        <f t="shared" si="493"/>
        <v>111058.72959107015</v>
      </c>
      <c r="AO343" s="527">
        <f t="shared" si="493"/>
        <v>111058.72959107015</v>
      </c>
      <c r="AP343" s="527">
        <f t="shared" si="493"/>
        <v>114023.39071766588</v>
      </c>
      <c r="AQ343" s="527">
        <f t="shared" si="493"/>
        <v>114023.39071766588</v>
      </c>
      <c r="AR343" s="527">
        <f t="shared" si="493"/>
        <v>114023.39071766588</v>
      </c>
      <c r="AS343" s="527">
        <f t="shared" si="493"/>
        <v>114023.39071766588</v>
      </c>
      <c r="AT343" s="527">
        <f t="shared" si="493"/>
        <v>114023.39071766588</v>
      </c>
      <c r="AU343" s="527">
        <f t="shared" si="493"/>
        <v>114023.39071766588</v>
      </c>
      <c r="AV343" s="527">
        <f t="shared" si="493"/>
        <v>114023.39071766588</v>
      </c>
      <c r="AW343" s="527">
        <f t="shared" si="493"/>
        <v>114023.39071766588</v>
      </c>
      <c r="AX343" s="527">
        <f t="shared" ref="AX343:BY343" si="494">($R160*AX$597*AX495)+((($R160*AX$597)+AX333)*AX487)</f>
        <v>114023.39071766588</v>
      </c>
      <c r="AY343" s="527">
        <f t="shared" si="494"/>
        <v>114023.39071766588</v>
      </c>
      <c r="AZ343" s="527">
        <f t="shared" si="494"/>
        <v>114023.39071766588</v>
      </c>
      <c r="BA343" s="527">
        <f t="shared" si="494"/>
        <v>114023.39071766588</v>
      </c>
      <c r="BB343" s="527">
        <f t="shared" si="494"/>
        <v>116612.96908519435</v>
      </c>
      <c r="BC343" s="527">
        <f t="shared" si="494"/>
        <v>116612.96908519435</v>
      </c>
      <c r="BD343" s="527">
        <f t="shared" si="494"/>
        <v>116612.96908519435</v>
      </c>
      <c r="BE343" s="527">
        <f t="shared" si="494"/>
        <v>116612.96908519435</v>
      </c>
      <c r="BF343" s="527">
        <f t="shared" si="494"/>
        <v>116612.96908519435</v>
      </c>
      <c r="BG343" s="527">
        <f t="shared" si="494"/>
        <v>116612.96908519435</v>
      </c>
      <c r="BH343" s="527">
        <f t="shared" si="494"/>
        <v>116612.96908519435</v>
      </c>
      <c r="BI343" s="527">
        <f t="shared" si="494"/>
        <v>116612.96908519435</v>
      </c>
      <c r="BJ343" s="527">
        <f t="shared" si="494"/>
        <v>116612.96908519435</v>
      </c>
      <c r="BK343" s="527">
        <f t="shared" si="494"/>
        <v>116612.96908519435</v>
      </c>
      <c r="BL343" s="527">
        <f t="shared" si="494"/>
        <v>116612.96908519435</v>
      </c>
      <c r="BM343" s="527">
        <f t="shared" si="494"/>
        <v>116612.96908519435</v>
      </c>
      <c r="BN343" s="527">
        <f t="shared" si="494"/>
        <v>119006.01973141822</v>
      </c>
      <c r="BO343" s="527">
        <f t="shared" si="494"/>
        <v>119006.01973141822</v>
      </c>
      <c r="BP343" s="527">
        <f t="shared" si="494"/>
        <v>119006.01973141822</v>
      </c>
      <c r="BQ343" s="527">
        <f t="shared" si="494"/>
        <v>119006.01973141822</v>
      </c>
      <c r="BR343" s="527">
        <f t="shared" si="494"/>
        <v>119006.01973141822</v>
      </c>
      <c r="BS343" s="527">
        <f t="shared" si="494"/>
        <v>119006.01973141822</v>
      </c>
      <c r="BT343" s="527">
        <f t="shared" si="494"/>
        <v>119006.01973141822</v>
      </c>
      <c r="BU343" s="527">
        <f t="shared" si="494"/>
        <v>119006.01973141822</v>
      </c>
      <c r="BV343" s="527">
        <f t="shared" si="494"/>
        <v>119006.01973141822</v>
      </c>
      <c r="BW343" s="527">
        <f t="shared" si="494"/>
        <v>119006.01973141822</v>
      </c>
      <c r="BX343" s="527">
        <f t="shared" si="494"/>
        <v>119006.01973141822</v>
      </c>
      <c r="BY343" s="527">
        <f t="shared" si="494"/>
        <v>119006.01973141822</v>
      </c>
    </row>
    <row r="344" spans="1:77" x14ac:dyDescent="0.3">
      <c r="A344" s="551"/>
      <c r="B344" s="548"/>
      <c r="C344" s="525"/>
      <c r="D344" s="525"/>
      <c r="E344" s="572" t="s">
        <v>36</v>
      </c>
      <c r="F344" s="572"/>
      <c r="G344" s="572"/>
      <c r="H344" s="572"/>
      <c r="I344" s="572"/>
      <c r="J344" s="572"/>
      <c r="K344" s="572"/>
      <c r="L344" s="572"/>
      <c r="M344" s="572"/>
      <c r="N344" s="572"/>
      <c r="O344" s="572"/>
      <c r="P344" s="612"/>
      <c r="Q344" s="572"/>
      <c r="R344" s="530">
        <f t="shared" ref="R344:AW344" si="495">SUM(R338:R343)</f>
        <v>354889.11552687915</v>
      </c>
      <c r="S344" s="530">
        <f t="shared" si="495"/>
        <v>354889.11552687915</v>
      </c>
      <c r="T344" s="530">
        <f t="shared" si="495"/>
        <v>354889.11552687915</v>
      </c>
      <c r="U344" s="530">
        <f t="shared" si="495"/>
        <v>354889.11552687915</v>
      </c>
      <c r="V344" s="530">
        <f t="shared" si="495"/>
        <v>354889.11552687915</v>
      </c>
      <c r="W344" s="530">
        <f t="shared" si="495"/>
        <v>354889.11552687915</v>
      </c>
      <c r="X344" s="530">
        <f t="shared" si="495"/>
        <v>365799.37052903546</v>
      </c>
      <c r="Y344" s="530">
        <f t="shared" si="495"/>
        <v>365799.37052903546</v>
      </c>
      <c r="Z344" s="530">
        <f t="shared" si="495"/>
        <v>365799.37052903546</v>
      </c>
      <c r="AA344" s="530">
        <f t="shared" si="495"/>
        <v>365799.37052903546</v>
      </c>
      <c r="AB344" s="530">
        <f t="shared" si="495"/>
        <v>365799.37052903546</v>
      </c>
      <c r="AC344" s="530">
        <f t="shared" si="495"/>
        <v>365799.37052903546</v>
      </c>
      <c r="AD344" s="530">
        <f t="shared" si="495"/>
        <v>373464.74148744909</v>
      </c>
      <c r="AE344" s="530">
        <f t="shared" si="495"/>
        <v>373464.74148744909</v>
      </c>
      <c r="AF344" s="530">
        <f t="shared" si="495"/>
        <v>373464.74148744909</v>
      </c>
      <c r="AG344" s="530">
        <f t="shared" si="495"/>
        <v>373464.74148744909</v>
      </c>
      <c r="AH344" s="530">
        <f t="shared" si="495"/>
        <v>373464.74148744909</v>
      </c>
      <c r="AI344" s="530">
        <f t="shared" si="495"/>
        <v>373464.74148744909</v>
      </c>
      <c r="AJ344" s="530">
        <f t="shared" si="495"/>
        <v>387457.09849607019</v>
      </c>
      <c r="AK344" s="530">
        <f t="shared" si="495"/>
        <v>387457.09849607019</v>
      </c>
      <c r="AL344" s="530">
        <f t="shared" si="495"/>
        <v>387457.09849607019</v>
      </c>
      <c r="AM344" s="530">
        <f t="shared" si="495"/>
        <v>387457.09849607019</v>
      </c>
      <c r="AN344" s="530">
        <f t="shared" si="495"/>
        <v>387457.09849607019</v>
      </c>
      <c r="AO344" s="530">
        <f t="shared" si="495"/>
        <v>387457.09849607019</v>
      </c>
      <c r="AP344" s="530">
        <f t="shared" si="495"/>
        <v>392536.50684489362</v>
      </c>
      <c r="AQ344" s="530">
        <f t="shared" si="495"/>
        <v>392536.50684489362</v>
      </c>
      <c r="AR344" s="530">
        <f t="shared" si="495"/>
        <v>392536.50684489362</v>
      </c>
      <c r="AS344" s="530">
        <f t="shared" si="495"/>
        <v>392536.50684489362</v>
      </c>
      <c r="AT344" s="530">
        <f t="shared" si="495"/>
        <v>392536.50684489362</v>
      </c>
      <c r="AU344" s="530">
        <f t="shared" si="495"/>
        <v>392536.50684489362</v>
      </c>
      <c r="AV344" s="530">
        <f t="shared" si="495"/>
        <v>409816.84643427189</v>
      </c>
      <c r="AW344" s="530">
        <f t="shared" si="495"/>
        <v>409816.84643427189</v>
      </c>
      <c r="AX344" s="530">
        <f t="shared" ref="AX344:BY344" si="496">SUM(AX338:AX343)</f>
        <v>409816.84643427189</v>
      </c>
      <c r="AY344" s="530">
        <f t="shared" si="496"/>
        <v>409816.84643427189</v>
      </c>
      <c r="AZ344" s="530">
        <f t="shared" si="496"/>
        <v>409816.84643427189</v>
      </c>
      <c r="BA344" s="530">
        <f t="shared" si="496"/>
        <v>409816.84643427189</v>
      </c>
      <c r="BB344" s="530">
        <f t="shared" si="496"/>
        <v>411665.14939881035</v>
      </c>
      <c r="BC344" s="530">
        <f t="shared" si="496"/>
        <v>411665.14939881035</v>
      </c>
      <c r="BD344" s="530">
        <f t="shared" si="496"/>
        <v>411665.14939881035</v>
      </c>
      <c r="BE344" s="530">
        <f t="shared" si="496"/>
        <v>411665.14939881035</v>
      </c>
      <c r="BF344" s="530">
        <f t="shared" si="496"/>
        <v>411665.14939881035</v>
      </c>
      <c r="BG344" s="530">
        <f t="shared" si="496"/>
        <v>411665.14939881035</v>
      </c>
      <c r="BH344" s="530">
        <f t="shared" si="496"/>
        <v>432443.55936057761</v>
      </c>
      <c r="BI344" s="530">
        <f t="shared" si="496"/>
        <v>432443.55936057761</v>
      </c>
      <c r="BJ344" s="530">
        <f t="shared" si="496"/>
        <v>432443.55936057761</v>
      </c>
      <c r="BK344" s="530">
        <f t="shared" si="496"/>
        <v>432443.55936057761</v>
      </c>
      <c r="BL344" s="530">
        <f t="shared" si="496"/>
        <v>432443.55936057761</v>
      </c>
      <c r="BM344" s="530">
        <f t="shared" si="496"/>
        <v>432443.55936057761</v>
      </c>
      <c r="BN344" s="530">
        <f t="shared" si="496"/>
        <v>431394.88194938732</v>
      </c>
      <c r="BO344" s="530">
        <f t="shared" si="496"/>
        <v>431394.88194938732</v>
      </c>
      <c r="BP344" s="530">
        <f t="shared" si="496"/>
        <v>431394.88194938732</v>
      </c>
      <c r="BQ344" s="530">
        <f t="shared" si="496"/>
        <v>431394.88194938732</v>
      </c>
      <c r="BR344" s="530">
        <f t="shared" si="496"/>
        <v>431394.88194938732</v>
      </c>
      <c r="BS344" s="530">
        <f t="shared" si="496"/>
        <v>431394.88194938732</v>
      </c>
      <c r="BT344" s="530">
        <f t="shared" si="496"/>
        <v>455891.42899707437</v>
      </c>
      <c r="BU344" s="530">
        <f t="shared" si="496"/>
        <v>455891.42899707437</v>
      </c>
      <c r="BV344" s="530">
        <f t="shared" si="496"/>
        <v>455891.42899707437</v>
      </c>
      <c r="BW344" s="530">
        <f t="shared" si="496"/>
        <v>455891.42899707437</v>
      </c>
      <c r="BX344" s="530">
        <f t="shared" si="496"/>
        <v>455891.42899707437</v>
      </c>
      <c r="BY344" s="530">
        <f t="shared" si="496"/>
        <v>455891.42899707437</v>
      </c>
    </row>
    <row r="345" spans="1:77" x14ac:dyDescent="0.3">
      <c r="A345" s="551"/>
      <c r="B345" s="548"/>
      <c r="C345" s="525"/>
      <c r="D345" s="525"/>
      <c r="E345" s="525"/>
      <c r="F345" s="525"/>
      <c r="G345" s="525"/>
      <c r="H345" s="525"/>
      <c r="I345" s="525"/>
      <c r="J345" s="525"/>
      <c r="K345" s="525"/>
      <c r="L345" s="525"/>
      <c r="M345" s="525"/>
      <c r="N345" s="525"/>
      <c r="O345" s="525"/>
      <c r="P345" s="565"/>
      <c r="Q345" s="525"/>
      <c r="R345" s="525"/>
      <c r="S345" s="525"/>
      <c r="T345" s="525"/>
      <c r="U345" s="525"/>
      <c r="V345" s="525"/>
      <c r="W345" s="525"/>
      <c r="X345" s="525"/>
      <c r="Y345" s="525"/>
      <c r="Z345" s="525"/>
      <c r="AA345" s="525"/>
      <c r="AB345" s="525"/>
      <c r="AC345" s="525"/>
      <c r="AD345" s="525"/>
      <c r="AE345" s="525"/>
      <c r="AF345" s="525"/>
      <c r="AG345" s="525"/>
      <c r="AH345" s="525"/>
      <c r="AI345" s="525"/>
      <c r="AJ345" s="525"/>
      <c r="AK345" s="525"/>
      <c r="AL345" s="525"/>
      <c r="AM345" s="525"/>
      <c r="AN345" s="525"/>
      <c r="AO345" s="525"/>
      <c r="AP345" s="525"/>
      <c r="AQ345" s="525"/>
      <c r="AR345" s="525"/>
      <c r="AS345" s="525"/>
      <c r="AT345" s="525"/>
      <c r="AU345" s="525"/>
      <c r="AV345" s="525"/>
      <c r="AW345" s="525"/>
      <c r="AX345" s="525"/>
      <c r="AY345" s="525"/>
      <c r="AZ345" s="525"/>
      <c r="BA345" s="525"/>
      <c r="BB345" s="525"/>
      <c r="BC345" s="525"/>
      <c r="BD345" s="525"/>
      <c r="BE345" s="525"/>
      <c r="BF345" s="525"/>
      <c r="BG345" s="525"/>
      <c r="BH345" s="525"/>
      <c r="BI345" s="525"/>
      <c r="BJ345" s="525"/>
      <c r="BK345" s="525"/>
      <c r="BL345" s="525"/>
      <c r="BM345" s="525"/>
      <c r="BN345" s="525"/>
      <c r="BO345" s="525"/>
      <c r="BP345" s="525"/>
      <c r="BQ345" s="525"/>
      <c r="BR345" s="525"/>
      <c r="BS345" s="525"/>
      <c r="BT345" s="525"/>
      <c r="BU345" s="525"/>
      <c r="BV345" s="525"/>
      <c r="BW345" s="525"/>
      <c r="BX345" s="525"/>
      <c r="BY345" s="525"/>
    </row>
    <row r="346" spans="1:77" x14ac:dyDescent="0.3">
      <c r="A346" s="551"/>
      <c r="B346" s="548"/>
      <c r="C346" s="525"/>
      <c r="D346" s="525"/>
      <c r="E346" s="633" t="str">
        <f>"Tie release fees: "&amp;E$155</f>
        <v>Tie release fees: FY27 Tranche</v>
      </c>
      <c r="F346" s="525"/>
      <c r="G346" s="525"/>
      <c r="H346" s="525"/>
      <c r="I346" s="525"/>
      <c r="J346" s="525"/>
      <c r="K346" s="525"/>
      <c r="L346" s="525"/>
      <c r="M346" s="525"/>
      <c r="N346" s="525"/>
      <c r="O346" s="525"/>
      <c r="P346" s="565"/>
      <c r="Q346" s="525"/>
      <c r="R346" s="527">
        <f t="shared" ref="R346:AW346" si="497">R$598*$R155</f>
        <v>6896.8627919144728</v>
      </c>
      <c r="S346" s="527">
        <f t="shared" si="497"/>
        <v>6896.8627919144728</v>
      </c>
      <c r="T346" s="527">
        <f t="shared" si="497"/>
        <v>6896.8627919144728</v>
      </c>
      <c r="U346" s="527">
        <f t="shared" si="497"/>
        <v>6896.8627919144728</v>
      </c>
      <c r="V346" s="527">
        <f t="shared" si="497"/>
        <v>6896.8627919144728</v>
      </c>
      <c r="W346" s="527">
        <f t="shared" si="497"/>
        <v>6896.8627919144728</v>
      </c>
      <c r="X346" s="527">
        <f t="shared" si="497"/>
        <v>6896.8627919144728</v>
      </c>
      <c r="Y346" s="527">
        <f t="shared" si="497"/>
        <v>6896.8627919144728</v>
      </c>
      <c r="Z346" s="527">
        <f t="shared" si="497"/>
        <v>6896.8627919144728</v>
      </c>
      <c r="AA346" s="527">
        <f t="shared" si="497"/>
        <v>6896.8627919144728</v>
      </c>
      <c r="AB346" s="527">
        <f t="shared" si="497"/>
        <v>6896.8627919144728</v>
      </c>
      <c r="AC346" s="527">
        <f t="shared" si="497"/>
        <v>6896.8627919144728</v>
      </c>
      <c r="AD346" s="527">
        <f t="shared" si="497"/>
        <v>7125.821630642984</v>
      </c>
      <c r="AE346" s="527">
        <f t="shared" si="497"/>
        <v>7125.821630642984</v>
      </c>
      <c r="AF346" s="527">
        <f t="shared" si="497"/>
        <v>7125.821630642984</v>
      </c>
      <c r="AG346" s="527">
        <f t="shared" si="497"/>
        <v>7125.821630642984</v>
      </c>
      <c r="AH346" s="527">
        <f t="shared" si="497"/>
        <v>7125.821630642984</v>
      </c>
      <c r="AI346" s="527">
        <f t="shared" si="497"/>
        <v>7125.821630642984</v>
      </c>
      <c r="AJ346" s="527">
        <f t="shared" si="497"/>
        <v>7125.821630642984</v>
      </c>
      <c r="AK346" s="527">
        <f t="shared" si="497"/>
        <v>7125.821630642984</v>
      </c>
      <c r="AL346" s="527">
        <f t="shared" si="497"/>
        <v>7125.821630642984</v>
      </c>
      <c r="AM346" s="527">
        <f t="shared" si="497"/>
        <v>7125.821630642984</v>
      </c>
      <c r="AN346" s="527">
        <f t="shared" si="497"/>
        <v>7125.821630642984</v>
      </c>
      <c r="AO346" s="527">
        <f t="shared" si="497"/>
        <v>7125.821630642984</v>
      </c>
      <c r="AP346" s="527">
        <f t="shared" si="497"/>
        <v>7352.776121159116</v>
      </c>
      <c r="AQ346" s="527">
        <f t="shared" si="497"/>
        <v>7352.776121159116</v>
      </c>
      <c r="AR346" s="527">
        <f t="shared" si="497"/>
        <v>7352.776121159116</v>
      </c>
      <c r="AS346" s="527">
        <f t="shared" si="497"/>
        <v>7352.776121159116</v>
      </c>
      <c r="AT346" s="527">
        <f t="shared" si="497"/>
        <v>7352.776121159116</v>
      </c>
      <c r="AU346" s="527">
        <f t="shared" si="497"/>
        <v>7352.776121159116</v>
      </c>
      <c r="AV346" s="527">
        <f t="shared" si="497"/>
        <v>7352.776121159116</v>
      </c>
      <c r="AW346" s="527">
        <f t="shared" si="497"/>
        <v>7352.776121159116</v>
      </c>
      <c r="AX346" s="527">
        <f t="shared" ref="AX346:BY346" si="498">AX$598*$R155</f>
        <v>7352.776121159116</v>
      </c>
      <c r="AY346" s="527">
        <f t="shared" si="498"/>
        <v>7352.776121159116</v>
      </c>
      <c r="AZ346" s="527">
        <f t="shared" si="498"/>
        <v>7352.776121159116</v>
      </c>
      <c r="BA346" s="527">
        <f t="shared" si="498"/>
        <v>7352.776121159116</v>
      </c>
      <c r="BB346" s="527">
        <f t="shared" si="498"/>
        <v>7542.2541401125682</v>
      </c>
      <c r="BC346" s="527">
        <f t="shared" si="498"/>
        <v>7542.2541401125682</v>
      </c>
      <c r="BD346" s="527">
        <f t="shared" si="498"/>
        <v>7542.2541401125682</v>
      </c>
      <c r="BE346" s="527">
        <f t="shared" si="498"/>
        <v>7542.2541401125682</v>
      </c>
      <c r="BF346" s="527">
        <f t="shared" si="498"/>
        <v>7542.2541401125682</v>
      </c>
      <c r="BG346" s="527">
        <f t="shared" si="498"/>
        <v>7542.2541401125682</v>
      </c>
      <c r="BH346" s="527">
        <f t="shared" si="498"/>
        <v>7542.2541401125682</v>
      </c>
      <c r="BI346" s="527">
        <f t="shared" si="498"/>
        <v>7542.2541401125682</v>
      </c>
      <c r="BJ346" s="527">
        <f t="shared" si="498"/>
        <v>7542.2541401125682</v>
      </c>
      <c r="BK346" s="527">
        <f t="shared" si="498"/>
        <v>7542.2541401125682</v>
      </c>
      <c r="BL346" s="527">
        <f t="shared" si="498"/>
        <v>7542.2541401125682</v>
      </c>
      <c r="BM346" s="527">
        <f t="shared" si="498"/>
        <v>7542.2541401125682</v>
      </c>
      <c r="BN346" s="527">
        <f t="shared" si="498"/>
        <v>7705.3404047027716</v>
      </c>
      <c r="BO346" s="527">
        <f t="shared" si="498"/>
        <v>7705.3404047027716</v>
      </c>
      <c r="BP346" s="527">
        <f t="shared" si="498"/>
        <v>7705.3404047027716</v>
      </c>
      <c r="BQ346" s="527">
        <f t="shared" si="498"/>
        <v>7705.3404047027716</v>
      </c>
      <c r="BR346" s="527">
        <f t="shared" si="498"/>
        <v>7705.3404047027716</v>
      </c>
      <c r="BS346" s="527">
        <f t="shared" si="498"/>
        <v>7705.3404047027716</v>
      </c>
      <c r="BT346" s="527">
        <f t="shared" si="498"/>
        <v>7705.3404047027716</v>
      </c>
      <c r="BU346" s="527">
        <f t="shared" si="498"/>
        <v>7705.3404047027716</v>
      </c>
      <c r="BV346" s="527">
        <f t="shared" si="498"/>
        <v>7705.3404047027716</v>
      </c>
      <c r="BW346" s="527">
        <f t="shared" si="498"/>
        <v>7705.3404047027716</v>
      </c>
      <c r="BX346" s="527">
        <f t="shared" si="498"/>
        <v>7705.3404047027716</v>
      </c>
      <c r="BY346" s="527">
        <f t="shared" si="498"/>
        <v>7705.3404047027716</v>
      </c>
    </row>
    <row r="347" spans="1:77" x14ac:dyDescent="0.3">
      <c r="A347" s="551"/>
      <c r="B347" s="548"/>
      <c r="C347" s="525"/>
      <c r="D347" s="525"/>
      <c r="E347" s="633" t="str">
        <f>"Tie release fees: "&amp;E$156</f>
        <v>Tie release fees: FY28 Tranche</v>
      </c>
      <c r="F347" s="525"/>
      <c r="G347" s="525"/>
      <c r="H347" s="525"/>
      <c r="I347" s="525"/>
      <c r="J347" s="525"/>
      <c r="K347" s="525"/>
      <c r="L347" s="525"/>
      <c r="M347" s="525"/>
      <c r="N347" s="525"/>
      <c r="O347" s="525"/>
      <c r="P347" s="565"/>
      <c r="Q347" s="525"/>
      <c r="R347" s="527">
        <f t="shared" ref="R347:AW347" si="499">R$598*$R156</f>
        <v>6896.8627919144728</v>
      </c>
      <c r="S347" s="527">
        <f t="shared" si="499"/>
        <v>6896.8627919144728</v>
      </c>
      <c r="T347" s="527">
        <f t="shared" si="499"/>
        <v>6896.8627919144728</v>
      </c>
      <c r="U347" s="527">
        <f t="shared" si="499"/>
        <v>6896.8627919144728</v>
      </c>
      <c r="V347" s="527">
        <f t="shared" si="499"/>
        <v>6896.8627919144728</v>
      </c>
      <c r="W347" s="527">
        <f t="shared" si="499"/>
        <v>6896.8627919144728</v>
      </c>
      <c r="X347" s="527">
        <f t="shared" si="499"/>
        <v>6896.8627919144728</v>
      </c>
      <c r="Y347" s="527">
        <f t="shared" si="499"/>
        <v>6896.8627919144728</v>
      </c>
      <c r="Z347" s="527">
        <f t="shared" si="499"/>
        <v>6896.8627919144728</v>
      </c>
      <c r="AA347" s="527">
        <f t="shared" si="499"/>
        <v>6896.8627919144728</v>
      </c>
      <c r="AB347" s="527">
        <f t="shared" si="499"/>
        <v>6896.8627919144728</v>
      </c>
      <c r="AC347" s="527">
        <f t="shared" si="499"/>
        <v>6896.8627919144728</v>
      </c>
      <c r="AD347" s="527">
        <f t="shared" si="499"/>
        <v>7125.821630642984</v>
      </c>
      <c r="AE347" s="527">
        <f t="shared" si="499"/>
        <v>7125.821630642984</v>
      </c>
      <c r="AF347" s="527">
        <f t="shared" si="499"/>
        <v>7125.821630642984</v>
      </c>
      <c r="AG347" s="527">
        <f t="shared" si="499"/>
        <v>7125.821630642984</v>
      </c>
      <c r="AH347" s="527">
        <f t="shared" si="499"/>
        <v>7125.821630642984</v>
      </c>
      <c r="AI347" s="527">
        <f t="shared" si="499"/>
        <v>7125.821630642984</v>
      </c>
      <c r="AJ347" s="527">
        <f t="shared" si="499"/>
        <v>7125.821630642984</v>
      </c>
      <c r="AK347" s="527">
        <f t="shared" si="499"/>
        <v>7125.821630642984</v>
      </c>
      <c r="AL347" s="527">
        <f t="shared" si="499"/>
        <v>7125.821630642984</v>
      </c>
      <c r="AM347" s="527">
        <f t="shared" si="499"/>
        <v>7125.821630642984</v>
      </c>
      <c r="AN347" s="527">
        <f t="shared" si="499"/>
        <v>7125.821630642984</v>
      </c>
      <c r="AO347" s="527">
        <f t="shared" si="499"/>
        <v>7125.821630642984</v>
      </c>
      <c r="AP347" s="527">
        <f t="shared" si="499"/>
        <v>7352.776121159116</v>
      </c>
      <c r="AQ347" s="527">
        <f t="shared" si="499"/>
        <v>7352.776121159116</v>
      </c>
      <c r="AR347" s="527">
        <f t="shared" si="499"/>
        <v>7352.776121159116</v>
      </c>
      <c r="AS347" s="527">
        <f t="shared" si="499"/>
        <v>7352.776121159116</v>
      </c>
      <c r="AT347" s="527">
        <f t="shared" si="499"/>
        <v>7352.776121159116</v>
      </c>
      <c r="AU347" s="527">
        <f t="shared" si="499"/>
        <v>7352.776121159116</v>
      </c>
      <c r="AV347" s="527">
        <f t="shared" si="499"/>
        <v>7352.776121159116</v>
      </c>
      <c r="AW347" s="527">
        <f t="shared" si="499"/>
        <v>7352.776121159116</v>
      </c>
      <c r="AX347" s="527">
        <f t="shared" ref="AX347:BY347" si="500">AX$598*$R156</f>
        <v>7352.776121159116</v>
      </c>
      <c r="AY347" s="527">
        <f t="shared" si="500"/>
        <v>7352.776121159116</v>
      </c>
      <c r="AZ347" s="527">
        <f t="shared" si="500"/>
        <v>7352.776121159116</v>
      </c>
      <c r="BA347" s="527">
        <f t="shared" si="500"/>
        <v>7352.776121159116</v>
      </c>
      <c r="BB347" s="527">
        <f t="shared" si="500"/>
        <v>7542.2541401125682</v>
      </c>
      <c r="BC347" s="527">
        <f t="shared" si="500"/>
        <v>7542.2541401125682</v>
      </c>
      <c r="BD347" s="527">
        <f t="shared" si="500"/>
        <v>7542.2541401125682</v>
      </c>
      <c r="BE347" s="527">
        <f t="shared" si="500"/>
        <v>7542.2541401125682</v>
      </c>
      <c r="BF347" s="527">
        <f t="shared" si="500"/>
        <v>7542.2541401125682</v>
      </c>
      <c r="BG347" s="527">
        <f t="shared" si="500"/>
        <v>7542.2541401125682</v>
      </c>
      <c r="BH347" s="527">
        <f t="shared" si="500"/>
        <v>7542.2541401125682</v>
      </c>
      <c r="BI347" s="527">
        <f t="shared" si="500"/>
        <v>7542.2541401125682</v>
      </c>
      <c r="BJ347" s="527">
        <f t="shared" si="500"/>
        <v>7542.2541401125682</v>
      </c>
      <c r="BK347" s="527">
        <f t="shared" si="500"/>
        <v>7542.2541401125682</v>
      </c>
      <c r="BL347" s="527">
        <f t="shared" si="500"/>
        <v>7542.2541401125682</v>
      </c>
      <c r="BM347" s="527">
        <f t="shared" si="500"/>
        <v>7542.2541401125682</v>
      </c>
      <c r="BN347" s="527">
        <f t="shared" si="500"/>
        <v>7705.3404047027716</v>
      </c>
      <c r="BO347" s="527">
        <f t="shared" si="500"/>
        <v>7705.3404047027716</v>
      </c>
      <c r="BP347" s="527">
        <f t="shared" si="500"/>
        <v>7705.3404047027716</v>
      </c>
      <c r="BQ347" s="527">
        <f t="shared" si="500"/>
        <v>7705.3404047027716</v>
      </c>
      <c r="BR347" s="527">
        <f t="shared" si="500"/>
        <v>7705.3404047027716</v>
      </c>
      <c r="BS347" s="527">
        <f t="shared" si="500"/>
        <v>7705.3404047027716</v>
      </c>
      <c r="BT347" s="527">
        <f t="shared" si="500"/>
        <v>7705.3404047027716</v>
      </c>
      <c r="BU347" s="527">
        <f t="shared" si="500"/>
        <v>7705.3404047027716</v>
      </c>
      <c r="BV347" s="527">
        <f t="shared" si="500"/>
        <v>7705.3404047027716</v>
      </c>
      <c r="BW347" s="527">
        <f t="shared" si="500"/>
        <v>7705.3404047027716</v>
      </c>
      <c r="BX347" s="527">
        <f t="shared" si="500"/>
        <v>7705.3404047027716</v>
      </c>
      <c r="BY347" s="527">
        <f t="shared" si="500"/>
        <v>7705.3404047027716</v>
      </c>
    </row>
    <row r="348" spans="1:77" x14ac:dyDescent="0.3">
      <c r="A348" s="551"/>
      <c r="B348" s="548"/>
      <c r="C348" s="525"/>
      <c r="D348" s="525"/>
      <c r="E348" s="633" t="str">
        <f>"Tie release fees: "&amp;E$157</f>
        <v>Tie release fees: FY29 Tranche</v>
      </c>
      <c r="F348" s="525"/>
      <c r="G348" s="525"/>
      <c r="H348" s="525"/>
      <c r="I348" s="525"/>
      <c r="J348" s="525"/>
      <c r="K348" s="525"/>
      <c r="L348" s="525"/>
      <c r="M348" s="525"/>
      <c r="N348" s="525"/>
      <c r="O348" s="525"/>
      <c r="P348" s="565"/>
      <c r="Q348" s="525"/>
      <c r="R348" s="527">
        <f t="shared" ref="R348:AW348" si="501">R$598*$R157</f>
        <v>6896.8627919144728</v>
      </c>
      <c r="S348" s="527">
        <f t="shared" si="501"/>
        <v>6896.8627919144728</v>
      </c>
      <c r="T348" s="527">
        <f t="shared" si="501"/>
        <v>6896.8627919144728</v>
      </c>
      <c r="U348" s="527">
        <f t="shared" si="501"/>
        <v>6896.8627919144728</v>
      </c>
      <c r="V348" s="527">
        <f t="shared" si="501"/>
        <v>6896.8627919144728</v>
      </c>
      <c r="W348" s="527">
        <f t="shared" si="501"/>
        <v>6896.8627919144728</v>
      </c>
      <c r="X348" s="527">
        <f t="shared" si="501"/>
        <v>6896.8627919144728</v>
      </c>
      <c r="Y348" s="527">
        <f t="shared" si="501"/>
        <v>6896.8627919144728</v>
      </c>
      <c r="Z348" s="527">
        <f t="shared" si="501"/>
        <v>6896.8627919144728</v>
      </c>
      <c r="AA348" s="527">
        <f t="shared" si="501"/>
        <v>6896.8627919144728</v>
      </c>
      <c r="AB348" s="527">
        <f t="shared" si="501"/>
        <v>6896.8627919144728</v>
      </c>
      <c r="AC348" s="527">
        <f t="shared" si="501"/>
        <v>6896.8627919144728</v>
      </c>
      <c r="AD348" s="527">
        <f t="shared" si="501"/>
        <v>7125.821630642984</v>
      </c>
      <c r="AE348" s="527">
        <f t="shared" si="501"/>
        <v>7125.821630642984</v>
      </c>
      <c r="AF348" s="527">
        <f t="shared" si="501"/>
        <v>7125.821630642984</v>
      </c>
      <c r="AG348" s="527">
        <f t="shared" si="501"/>
        <v>7125.821630642984</v>
      </c>
      <c r="AH348" s="527">
        <f t="shared" si="501"/>
        <v>7125.821630642984</v>
      </c>
      <c r="AI348" s="527">
        <f t="shared" si="501"/>
        <v>7125.821630642984</v>
      </c>
      <c r="AJ348" s="527">
        <f t="shared" si="501"/>
        <v>7125.821630642984</v>
      </c>
      <c r="AK348" s="527">
        <f t="shared" si="501"/>
        <v>7125.821630642984</v>
      </c>
      <c r="AL348" s="527">
        <f t="shared" si="501"/>
        <v>7125.821630642984</v>
      </c>
      <c r="AM348" s="527">
        <f t="shared" si="501"/>
        <v>7125.821630642984</v>
      </c>
      <c r="AN348" s="527">
        <f t="shared" si="501"/>
        <v>7125.821630642984</v>
      </c>
      <c r="AO348" s="527">
        <f t="shared" si="501"/>
        <v>7125.821630642984</v>
      </c>
      <c r="AP348" s="527">
        <f t="shared" si="501"/>
        <v>7352.776121159116</v>
      </c>
      <c r="AQ348" s="527">
        <f t="shared" si="501"/>
        <v>7352.776121159116</v>
      </c>
      <c r="AR348" s="527">
        <f t="shared" si="501"/>
        <v>7352.776121159116</v>
      </c>
      <c r="AS348" s="527">
        <f t="shared" si="501"/>
        <v>7352.776121159116</v>
      </c>
      <c r="AT348" s="527">
        <f t="shared" si="501"/>
        <v>7352.776121159116</v>
      </c>
      <c r="AU348" s="527">
        <f t="shared" si="501"/>
        <v>7352.776121159116</v>
      </c>
      <c r="AV348" s="527">
        <f t="shared" si="501"/>
        <v>7352.776121159116</v>
      </c>
      <c r="AW348" s="527">
        <f t="shared" si="501"/>
        <v>7352.776121159116</v>
      </c>
      <c r="AX348" s="527">
        <f t="shared" ref="AX348:BY348" si="502">AX$598*$R157</f>
        <v>7352.776121159116</v>
      </c>
      <c r="AY348" s="527">
        <f t="shared" si="502"/>
        <v>7352.776121159116</v>
      </c>
      <c r="AZ348" s="527">
        <f t="shared" si="502"/>
        <v>7352.776121159116</v>
      </c>
      <c r="BA348" s="527">
        <f t="shared" si="502"/>
        <v>7352.776121159116</v>
      </c>
      <c r="BB348" s="527">
        <f t="shared" si="502"/>
        <v>7542.2541401125682</v>
      </c>
      <c r="BC348" s="527">
        <f t="shared" si="502"/>
        <v>7542.2541401125682</v>
      </c>
      <c r="BD348" s="527">
        <f t="shared" si="502"/>
        <v>7542.2541401125682</v>
      </c>
      <c r="BE348" s="527">
        <f t="shared" si="502"/>
        <v>7542.2541401125682</v>
      </c>
      <c r="BF348" s="527">
        <f t="shared" si="502"/>
        <v>7542.2541401125682</v>
      </c>
      <c r="BG348" s="527">
        <f t="shared" si="502"/>
        <v>7542.2541401125682</v>
      </c>
      <c r="BH348" s="527">
        <f t="shared" si="502"/>
        <v>7542.2541401125682</v>
      </c>
      <c r="BI348" s="527">
        <f t="shared" si="502"/>
        <v>7542.2541401125682</v>
      </c>
      <c r="BJ348" s="527">
        <f t="shared" si="502"/>
        <v>7542.2541401125682</v>
      </c>
      <c r="BK348" s="527">
        <f t="shared" si="502"/>
        <v>7542.2541401125682</v>
      </c>
      <c r="BL348" s="527">
        <f t="shared" si="502"/>
        <v>7542.2541401125682</v>
      </c>
      <c r="BM348" s="527">
        <f t="shared" si="502"/>
        <v>7542.2541401125682</v>
      </c>
      <c r="BN348" s="527">
        <f t="shared" si="502"/>
        <v>7705.3404047027716</v>
      </c>
      <c r="BO348" s="527">
        <f t="shared" si="502"/>
        <v>7705.3404047027716</v>
      </c>
      <c r="BP348" s="527">
        <f t="shared" si="502"/>
        <v>7705.3404047027716</v>
      </c>
      <c r="BQ348" s="527">
        <f t="shared" si="502"/>
        <v>7705.3404047027716</v>
      </c>
      <c r="BR348" s="527">
        <f t="shared" si="502"/>
        <v>7705.3404047027716</v>
      </c>
      <c r="BS348" s="527">
        <f t="shared" si="502"/>
        <v>7705.3404047027716</v>
      </c>
      <c r="BT348" s="527">
        <f t="shared" si="502"/>
        <v>7705.3404047027716</v>
      </c>
      <c r="BU348" s="527">
        <f t="shared" si="502"/>
        <v>7705.3404047027716</v>
      </c>
      <c r="BV348" s="527">
        <f t="shared" si="502"/>
        <v>7705.3404047027716</v>
      </c>
      <c r="BW348" s="527">
        <f t="shared" si="502"/>
        <v>7705.3404047027716</v>
      </c>
      <c r="BX348" s="527">
        <f t="shared" si="502"/>
        <v>7705.3404047027716</v>
      </c>
      <c r="BY348" s="527">
        <f t="shared" si="502"/>
        <v>7705.3404047027716</v>
      </c>
    </row>
    <row r="349" spans="1:77" x14ac:dyDescent="0.3">
      <c r="A349" s="551"/>
      <c r="B349" s="548"/>
      <c r="C349" s="525"/>
      <c r="D349" s="525"/>
      <c r="E349" s="633" t="str">
        <f>"Tie release fees: "&amp;E$158</f>
        <v>Tie release fees: FY30 Tranche</v>
      </c>
      <c r="F349" s="525"/>
      <c r="G349" s="525"/>
      <c r="H349" s="525"/>
      <c r="I349" s="525"/>
      <c r="J349" s="525"/>
      <c r="K349" s="525"/>
      <c r="L349" s="525"/>
      <c r="M349" s="525"/>
      <c r="N349" s="525"/>
      <c r="O349" s="525"/>
      <c r="P349" s="565"/>
      <c r="Q349" s="525"/>
      <c r="R349" s="527">
        <f t="shared" ref="R349:AW349" si="503">R$598*$R158</f>
        <v>6896.8627919144728</v>
      </c>
      <c r="S349" s="527">
        <f t="shared" si="503"/>
        <v>6896.8627919144728</v>
      </c>
      <c r="T349" s="527">
        <f t="shared" si="503"/>
        <v>6896.8627919144728</v>
      </c>
      <c r="U349" s="527">
        <f t="shared" si="503"/>
        <v>6896.8627919144728</v>
      </c>
      <c r="V349" s="527">
        <f t="shared" si="503"/>
        <v>6896.8627919144728</v>
      </c>
      <c r="W349" s="527">
        <f t="shared" si="503"/>
        <v>6896.8627919144728</v>
      </c>
      <c r="X349" s="527">
        <f t="shared" si="503"/>
        <v>6896.8627919144728</v>
      </c>
      <c r="Y349" s="527">
        <f t="shared" si="503"/>
        <v>6896.8627919144728</v>
      </c>
      <c r="Z349" s="527">
        <f t="shared" si="503"/>
        <v>6896.8627919144728</v>
      </c>
      <c r="AA349" s="527">
        <f t="shared" si="503"/>
        <v>6896.8627919144728</v>
      </c>
      <c r="AB349" s="527">
        <f t="shared" si="503"/>
        <v>6896.8627919144728</v>
      </c>
      <c r="AC349" s="527">
        <f t="shared" si="503"/>
        <v>6896.8627919144728</v>
      </c>
      <c r="AD349" s="527">
        <f t="shared" si="503"/>
        <v>7125.821630642984</v>
      </c>
      <c r="AE349" s="527">
        <f t="shared" si="503"/>
        <v>7125.821630642984</v>
      </c>
      <c r="AF349" s="527">
        <f t="shared" si="503"/>
        <v>7125.821630642984</v>
      </c>
      <c r="AG349" s="527">
        <f t="shared" si="503"/>
        <v>7125.821630642984</v>
      </c>
      <c r="AH349" s="527">
        <f t="shared" si="503"/>
        <v>7125.821630642984</v>
      </c>
      <c r="AI349" s="527">
        <f t="shared" si="503"/>
        <v>7125.821630642984</v>
      </c>
      <c r="AJ349" s="527">
        <f t="shared" si="503"/>
        <v>7125.821630642984</v>
      </c>
      <c r="AK349" s="527">
        <f t="shared" si="503"/>
        <v>7125.821630642984</v>
      </c>
      <c r="AL349" s="527">
        <f t="shared" si="503"/>
        <v>7125.821630642984</v>
      </c>
      <c r="AM349" s="527">
        <f t="shared" si="503"/>
        <v>7125.821630642984</v>
      </c>
      <c r="AN349" s="527">
        <f t="shared" si="503"/>
        <v>7125.821630642984</v>
      </c>
      <c r="AO349" s="527">
        <f t="shared" si="503"/>
        <v>7125.821630642984</v>
      </c>
      <c r="AP349" s="527">
        <f t="shared" si="503"/>
        <v>7352.776121159116</v>
      </c>
      <c r="AQ349" s="527">
        <f t="shared" si="503"/>
        <v>7352.776121159116</v>
      </c>
      <c r="AR349" s="527">
        <f t="shared" si="503"/>
        <v>7352.776121159116</v>
      </c>
      <c r="AS349" s="527">
        <f t="shared" si="503"/>
        <v>7352.776121159116</v>
      </c>
      <c r="AT349" s="527">
        <f t="shared" si="503"/>
        <v>7352.776121159116</v>
      </c>
      <c r="AU349" s="527">
        <f t="shared" si="503"/>
        <v>7352.776121159116</v>
      </c>
      <c r="AV349" s="527">
        <f t="shared" si="503"/>
        <v>7352.776121159116</v>
      </c>
      <c r="AW349" s="527">
        <f t="shared" si="503"/>
        <v>7352.776121159116</v>
      </c>
      <c r="AX349" s="527">
        <f t="shared" ref="AX349:BY349" si="504">AX$598*$R158</f>
        <v>7352.776121159116</v>
      </c>
      <c r="AY349" s="527">
        <f t="shared" si="504"/>
        <v>7352.776121159116</v>
      </c>
      <c r="AZ349" s="527">
        <f t="shared" si="504"/>
        <v>7352.776121159116</v>
      </c>
      <c r="BA349" s="527">
        <f t="shared" si="504"/>
        <v>7352.776121159116</v>
      </c>
      <c r="BB349" s="527">
        <f t="shared" si="504"/>
        <v>7542.2541401125682</v>
      </c>
      <c r="BC349" s="527">
        <f t="shared" si="504"/>
        <v>7542.2541401125682</v>
      </c>
      <c r="BD349" s="527">
        <f t="shared" si="504"/>
        <v>7542.2541401125682</v>
      </c>
      <c r="BE349" s="527">
        <f t="shared" si="504"/>
        <v>7542.2541401125682</v>
      </c>
      <c r="BF349" s="527">
        <f t="shared" si="504"/>
        <v>7542.2541401125682</v>
      </c>
      <c r="BG349" s="527">
        <f t="shared" si="504"/>
        <v>7542.2541401125682</v>
      </c>
      <c r="BH349" s="527">
        <f t="shared" si="504"/>
        <v>7542.2541401125682</v>
      </c>
      <c r="BI349" s="527">
        <f t="shared" si="504"/>
        <v>7542.2541401125682</v>
      </c>
      <c r="BJ349" s="527">
        <f t="shared" si="504"/>
        <v>7542.2541401125682</v>
      </c>
      <c r="BK349" s="527">
        <f t="shared" si="504"/>
        <v>7542.2541401125682</v>
      </c>
      <c r="BL349" s="527">
        <f t="shared" si="504"/>
        <v>7542.2541401125682</v>
      </c>
      <c r="BM349" s="527">
        <f t="shared" si="504"/>
        <v>7542.2541401125682</v>
      </c>
      <c r="BN349" s="527">
        <f t="shared" si="504"/>
        <v>7705.3404047027716</v>
      </c>
      <c r="BO349" s="527">
        <f t="shared" si="504"/>
        <v>7705.3404047027716</v>
      </c>
      <c r="BP349" s="527">
        <f t="shared" si="504"/>
        <v>7705.3404047027716</v>
      </c>
      <c r="BQ349" s="527">
        <f t="shared" si="504"/>
        <v>7705.3404047027716</v>
      </c>
      <c r="BR349" s="527">
        <f t="shared" si="504"/>
        <v>7705.3404047027716</v>
      </c>
      <c r="BS349" s="527">
        <f t="shared" si="504"/>
        <v>7705.3404047027716</v>
      </c>
      <c r="BT349" s="527">
        <f t="shared" si="504"/>
        <v>7705.3404047027716</v>
      </c>
      <c r="BU349" s="527">
        <f t="shared" si="504"/>
        <v>7705.3404047027716</v>
      </c>
      <c r="BV349" s="527">
        <f t="shared" si="504"/>
        <v>7705.3404047027716</v>
      </c>
      <c r="BW349" s="527">
        <f t="shared" si="504"/>
        <v>7705.3404047027716</v>
      </c>
      <c r="BX349" s="527">
        <f t="shared" si="504"/>
        <v>7705.3404047027716</v>
      </c>
      <c r="BY349" s="527">
        <f t="shared" si="504"/>
        <v>7705.3404047027716</v>
      </c>
    </row>
    <row r="350" spans="1:77" x14ac:dyDescent="0.3">
      <c r="A350" s="551"/>
      <c r="B350" s="548"/>
      <c r="C350" s="525"/>
      <c r="D350" s="525"/>
      <c r="E350" s="633" t="str">
        <f>"Tie release fees: "&amp;E$159</f>
        <v>Tie release fees: FY31 Tranche</v>
      </c>
      <c r="F350" s="525"/>
      <c r="G350" s="525"/>
      <c r="H350" s="525"/>
      <c r="I350" s="525"/>
      <c r="J350" s="525"/>
      <c r="K350" s="525"/>
      <c r="L350" s="525"/>
      <c r="M350" s="525"/>
      <c r="N350" s="525"/>
      <c r="O350" s="525"/>
      <c r="P350" s="565"/>
      <c r="Q350" s="525"/>
      <c r="R350" s="527">
        <f t="shared" ref="R350:AW350" si="505">R$598*$R159</f>
        <v>6896.8627919144728</v>
      </c>
      <c r="S350" s="527">
        <f t="shared" si="505"/>
        <v>6896.8627919144728</v>
      </c>
      <c r="T350" s="527">
        <f t="shared" si="505"/>
        <v>6896.8627919144728</v>
      </c>
      <c r="U350" s="527">
        <f t="shared" si="505"/>
        <v>6896.8627919144728</v>
      </c>
      <c r="V350" s="527">
        <f t="shared" si="505"/>
        <v>6896.8627919144728</v>
      </c>
      <c r="W350" s="527">
        <f t="shared" si="505"/>
        <v>6896.8627919144728</v>
      </c>
      <c r="X350" s="527">
        <f t="shared" si="505"/>
        <v>6896.8627919144728</v>
      </c>
      <c r="Y350" s="527">
        <f t="shared" si="505"/>
        <v>6896.8627919144728</v>
      </c>
      <c r="Z350" s="527">
        <f t="shared" si="505"/>
        <v>6896.8627919144728</v>
      </c>
      <c r="AA350" s="527">
        <f t="shared" si="505"/>
        <v>6896.8627919144728</v>
      </c>
      <c r="AB350" s="527">
        <f t="shared" si="505"/>
        <v>6896.8627919144728</v>
      </c>
      <c r="AC350" s="527">
        <f t="shared" si="505"/>
        <v>6896.8627919144728</v>
      </c>
      <c r="AD350" s="527">
        <f t="shared" si="505"/>
        <v>7125.821630642984</v>
      </c>
      <c r="AE350" s="527">
        <f t="shared" si="505"/>
        <v>7125.821630642984</v>
      </c>
      <c r="AF350" s="527">
        <f t="shared" si="505"/>
        <v>7125.821630642984</v>
      </c>
      <c r="AG350" s="527">
        <f t="shared" si="505"/>
        <v>7125.821630642984</v>
      </c>
      <c r="AH350" s="527">
        <f t="shared" si="505"/>
        <v>7125.821630642984</v>
      </c>
      <c r="AI350" s="527">
        <f t="shared" si="505"/>
        <v>7125.821630642984</v>
      </c>
      <c r="AJ350" s="527">
        <f t="shared" si="505"/>
        <v>7125.821630642984</v>
      </c>
      <c r="AK350" s="527">
        <f t="shared" si="505"/>
        <v>7125.821630642984</v>
      </c>
      <c r="AL350" s="527">
        <f t="shared" si="505"/>
        <v>7125.821630642984</v>
      </c>
      <c r="AM350" s="527">
        <f t="shared" si="505"/>
        <v>7125.821630642984</v>
      </c>
      <c r="AN350" s="527">
        <f t="shared" si="505"/>
        <v>7125.821630642984</v>
      </c>
      <c r="AO350" s="527">
        <f t="shared" si="505"/>
        <v>7125.821630642984</v>
      </c>
      <c r="AP350" s="527">
        <f t="shared" si="505"/>
        <v>7352.776121159116</v>
      </c>
      <c r="AQ350" s="527">
        <f t="shared" si="505"/>
        <v>7352.776121159116</v>
      </c>
      <c r="AR350" s="527">
        <f t="shared" si="505"/>
        <v>7352.776121159116</v>
      </c>
      <c r="AS350" s="527">
        <f t="shared" si="505"/>
        <v>7352.776121159116</v>
      </c>
      <c r="AT350" s="527">
        <f t="shared" si="505"/>
        <v>7352.776121159116</v>
      </c>
      <c r="AU350" s="527">
        <f t="shared" si="505"/>
        <v>7352.776121159116</v>
      </c>
      <c r="AV350" s="527">
        <f t="shared" si="505"/>
        <v>7352.776121159116</v>
      </c>
      <c r="AW350" s="527">
        <f t="shared" si="505"/>
        <v>7352.776121159116</v>
      </c>
      <c r="AX350" s="527">
        <f t="shared" ref="AX350:BY350" si="506">AX$598*$R159</f>
        <v>7352.776121159116</v>
      </c>
      <c r="AY350" s="527">
        <f t="shared" si="506"/>
        <v>7352.776121159116</v>
      </c>
      <c r="AZ350" s="527">
        <f t="shared" si="506"/>
        <v>7352.776121159116</v>
      </c>
      <c r="BA350" s="527">
        <f t="shared" si="506"/>
        <v>7352.776121159116</v>
      </c>
      <c r="BB350" s="527">
        <f t="shared" si="506"/>
        <v>7542.2541401125682</v>
      </c>
      <c r="BC350" s="527">
        <f t="shared" si="506"/>
        <v>7542.2541401125682</v>
      </c>
      <c r="BD350" s="527">
        <f t="shared" si="506"/>
        <v>7542.2541401125682</v>
      </c>
      <c r="BE350" s="527">
        <f t="shared" si="506"/>
        <v>7542.2541401125682</v>
      </c>
      <c r="BF350" s="527">
        <f t="shared" si="506"/>
        <v>7542.2541401125682</v>
      </c>
      <c r="BG350" s="527">
        <f t="shared" si="506"/>
        <v>7542.2541401125682</v>
      </c>
      <c r="BH350" s="527">
        <f t="shared" si="506"/>
        <v>7542.2541401125682</v>
      </c>
      <c r="BI350" s="527">
        <f t="shared" si="506"/>
        <v>7542.2541401125682</v>
      </c>
      <c r="BJ350" s="527">
        <f t="shared" si="506"/>
        <v>7542.2541401125682</v>
      </c>
      <c r="BK350" s="527">
        <f t="shared" si="506"/>
        <v>7542.2541401125682</v>
      </c>
      <c r="BL350" s="527">
        <f t="shared" si="506"/>
        <v>7542.2541401125682</v>
      </c>
      <c r="BM350" s="527">
        <f t="shared" si="506"/>
        <v>7542.2541401125682</v>
      </c>
      <c r="BN350" s="527">
        <f t="shared" si="506"/>
        <v>7705.3404047027716</v>
      </c>
      <c r="BO350" s="527">
        <f t="shared" si="506"/>
        <v>7705.3404047027716</v>
      </c>
      <c r="BP350" s="527">
        <f t="shared" si="506"/>
        <v>7705.3404047027716</v>
      </c>
      <c r="BQ350" s="527">
        <f t="shared" si="506"/>
        <v>7705.3404047027716</v>
      </c>
      <c r="BR350" s="527">
        <f t="shared" si="506"/>
        <v>7705.3404047027716</v>
      </c>
      <c r="BS350" s="527">
        <f t="shared" si="506"/>
        <v>7705.3404047027716</v>
      </c>
      <c r="BT350" s="527">
        <f t="shared" si="506"/>
        <v>7705.3404047027716</v>
      </c>
      <c r="BU350" s="527">
        <f t="shared" si="506"/>
        <v>7705.3404047027716</v>
      </c>
      <c r="BV350" s="527">
        <f t="shared" si="506"/>
        <v>7705.3404047027716</v>
      </c>
      <c r="BW350" s="527">
        <f t="shared" si="506"/>
        <v>7705.3404047027716</v>
      </c>
      <c r="BX350" s="527">
        <f t="shared" si="506"/>
        <v>7705.3404047027716</v>
      </c>
      <c r="BY350" s="527">
        <f t="shared" si="506"/>
        <v>7705.3404047027716</v>
      </c>
    </row>
    <row r="351" spans="1:77" x14ac:dyDescent="0.3">
      <c r="A351" s="551"/>
      <c r="B351" s="548"/>
      <c r="C351" s="525"/>
      <c r="D351" s="525"/>
      <c r="E351" s="633" t="str">
        <f>"Tie release fees: "&amp;E$160</f>
        <v>Tie release fees: Uninvested Tranche</v>
      </c>
      <c r="F351" s="525"/>
      <c r="G351" s="525"/>
      <c r="H351" s="525"/>
      <c r="I351" s="525"/>
      <c r="J351" s="525"/>
      <c r="K351" s="525"/>
      <c r="L351" s="525"/>
      <c r="M351" s="525"/>
      <c r="N351" s="525"/>
      <c r="O351" s="525"/>
      <c r="P351" s="565"/>
      <c r="Q351" s="525"/>
      <c r="R351" s="527">
        <f t="shared" ref="R351:AW351" si="507">R$598*$R160</f>
        <v>15086.887357312909</v>
      </c>
      <c r="S351" s="527">
        <f t="shared" si="507"/>
        <v>15086.887357312909</v>
      </c>
      <c r="T351" s="527">
        <f t="shared" si="507"/>
        <v>15086.887357312909</v>
      </c>
      <c r="U351" s="527">
        <f t="shared" si="507"/>
        <v>15086.887357312909</v>
      </c>
      <c r="V351" s="527">
        <f t="shared" si="507"/>
        <v>15086.887357312909</v>
      </c>
      <c r="W351" s="527">
        <f t="shared" si="507"/>
        <v>15086.887357312909</v>
      </c>
      <c r="X351" s="527">
        <f t="shared" si="507"/>
        <v>15086.887357312909</v>
      </c>
      <c r="Y351" s="527">
        <f t="shared" si="507"/>
        <v>15086.887357312909</v>
      </c>
      <c r="Z351" s="527">
        <f t="shared" si="507"/>
        <v>15086.887357312909</v>
      </c>
      <c r="AA351" s="527">
        <f t="shared" si="507"/>
        <v>15086.887357312909</v>
      </c>
      <c r="AB351" s="527">
        <f t="shared" si="507"/>
        <v>15086.887357312909</v>
      </c>
      <c r="AC351" s="527">
        <f t="shared" si="507"/>
        <v>15086.887357312909</v>
      </c>
      <c r="AD351" s="527">
        <f t="shared" si="507"/>
        <v>15587.734817031527</v>
      </c>
      <c r="AE351" s="527">
        <f t="shared" si="507"/>
        <v>15587.734817031527</v>
      </c>
      <c r="AF351" s="527">
        <f t="shared" si="507"/>
        <v>15587.734817031527</v>
      </c>
      <c r="AG351" s="527">
        <f t="shared" si="507"/>
        <v>15587.734817031527</v>
      </c>
      <c r="AH351" s="527">
        <f t="shared" si="507"/>
        <v>15587.734817031527</v>
      </c>
      <c r="AI351" s="527">
        <f t="shared" si="507"/>
        <v>15587.734817031527</v>
      </c>
      <c r="AJ351" s="527">
        <f t="shared" si="507"/>
        <v>15587.734817031527</v>
      </c>
      <c r="AK351" s="527">
        <f t="shared" si="507"/>
        <v>15587.734817031527</v>
      </c>
      <c r="AL351" s="527">
        <f t="shared" si="507"/>
        <v>15587.734817031527</v>
      </c>
      <c r="AM351" s="527">
        <f t="shared" si="507"/>
        <v>15587.734817031527</v>
      </c>
      <c r="AN351" s="527">
        <f t="shared" si="507"/>
        <v>15587.734817031527</v>
      </c>
      <c r="AO351" s="527">
        <f t="shared" si="507"/>
        <v>15587.734817031527</v>
      </c>
      <c r="AP351" s="527">
        <f t="shared" si="507"/>
        <v>16084.197765035566</v>
      </c>
      <c r="AQ351" s="527">
        <f t="shared" si="507"/>
        <v>16084.197765035566</v>
      </c>
      <c r="AR351" s="527">
        <f t="shared" si="507"/>
        <v>16084.197765035566</v>
      </c>
      <c r="AS351" s="527">
        <f t="shared" si="507"/>
        <v>16084.197765035566</v>
      </c>
      <c r="AT351" s="527">
        <f t="shared" si="507"/>
        <v>16084.197765035566</v>
      </c>
      <c r="AU351" s="527">
        <f t="shared" si="507"/>
        <v>16084.197765035566</v>
      </c>
      <c r="AV351" s="527">
        <f t="shared" si="507"/>
        <v>16084.197765035566</v>
      </c>
      <c r="AW351" s="527">
        <f t="shared" si="507"/>
        <v>16084.197765035566</v>
      </c>
      <c r="AX351" s="527">
        <f t="shared" ref="AX351:BY351" si="508">AX$598*$R160</f>
        <v>16084.197765035566</v>
      </c>
      <c r="AY351" s="527">
        <f t="shared" si="508"/>
        <v>16084.197765035566</v>
      </c>
      <c r="AZ351" s="527">
        <f t="shared" si="508"/>
        <v>16084.197765035566</v>
      </c>
      <c r="BA351" s="527">
        <f t="shared" si="508"/>
        <v>16084.197765035566</v>
      </c>
      <c r="BB351" s="527">
        <f t="shared" si="508"/>
        <v>16498.680931496241</v>
      </c>
      <c r="BC351" s="527">
        <f t="shared" si="508"/>
        <v>16498.680931496241</v>
      </c>
      <c r="BD351" s="527">
        <f t="shared" si="508"/>
        <v>16498.680931496241</v>
      </c>
      <c r="BE351" s="527">
        <f t="shared" si="508"/>
        <v>16498.680931496241</v>
      </c>
      <c r="BF351" s="527">
        <f t="shared" si="508"/>
        <v>16498.680931496241</v>
      </c>
      <c r="BG351" s="527">
        <f t="shared" si="508"/>
        <v>16498.680931496241</v>
      </c>
      <c r="BH351" s="527">
        <f t="shared" si="508"/>
        <v>16498.680931496241</v>
      </c>
      <c r="BI351" s="527">
        <f t="shared" si="508"/>
        <v>16498.680931496241</v>
      </c>
      <c r="BJ351" s="527">
        <f t="shared" si="508"/>
        <v>16498.680931496241</v>
      </c>
      <c r="BK351" s="527">
        <f t="shared" si="508"/>
        <v>16498.680931496241</v>
      </c>
      <c r="BL351" s="527">
        <f t="shared" si="508"/>
        <v>16498.680931496241</v>
      </c>
      <c r="BM351" s="527">
        <f t="shared" si="508"/>
        <v>16498.680931496241</v>
      </c>
      <c r="BN351" s="527">
        <f t="shared" si="508"/>
        <v>16855.432135287312</v>
      </c>
      <c r="BO351" s="527">
        <f t="shared" si="508"/>
        <v>16855.432135287312</v>
      </c>
      <c r="BP351" s="527">
        <f t="shared" si="508"/>
        <v>16855.432135287312</v>
      </c>
      <c r="BQ351" s="527">
        <f t="shared" si="508"/>
        <v>16855.432135287312</v>
      </c>
      <c r="BR351" s="527">
        <f t="shared" si="508"/>
        <v>16855.432135287312</v>
      </c>
      <c r="BS351" s="527">
        <f t="shared" si="508"/>
        <v>16855.432135287312</v>
      </c>
      <c r="BT351" s="527">
        <f t="shared" si="508"/>
        <v>16855.432135287312</v>
      </c>
      <c r="BU351" s="527">
        <f t="shared" si="508"/>
        <v>16855.432135287312</v>
      </c>
      <c r="BV351" s="527">
        <f t="shared" si="508"/>
        <v>16855.432135287312</v>
      </c>
      <c r="BW351" s="527">
        <f t="shared" si="508"/>
        <v>16855.432135287312</v>
      </c>
      <c r="BX351" s="527">
        <f t="shared" si="508"/>
        <v>16855.432135287312</v>
      </c>
      <c r="BY351" s="527">
        <f t="shared" si="508"/>
        <v>16855.432135287312</v>
      </c>
    </row>
    <row r="352" spans="1:77" x14ac:dyDescent="0.3">
      <c r="A352" s="551"/>
      <c r="B352" s="548"/>
      <c r="C352" s="525"/>
      <c r="D352" s="525"/>
      <c r="E352" s="572" t="s">
        <v>36</v>
      </c>
      <c r="F352" s="572"/>
      <c r="G352" s="572"/>
      <c r="H352" s="572"/>
      <c r="I352" s="572"/>
      <c r="J352" s="572"/>
      <c r="K352" s="572"/>
      <c r="L352" s="572"/>
      <c r="M352" s="572"/>
      <c r="N352" s="572"/>
      <c r="O352" s="572"/>
      <c r="P352" s="612"/>
      <c r="Q352" s="572"/>
      <c r="R352" s="530">
        <f t="shared" ref="R352:AW352" si="509">SUM(R346:R351)</f>
        <v>49571.201316885272</v>
      </c>
      <c r="S352" s="530">
        <f t="shared" si="509"/>
        <v>49571.201316885272</v>
      </c>
      <c r="T352" s="530">
        <f t="shared" si="509"/>
        <v>49571.201316885272</v>
      </c>
      <c r="U352" s="530">
        <f t="shared" si="509"/>
        <v>49571.201316885272</v>
      </c>
      <c r="V352" s="530">
        <f t="shared" si="509"/>
        <v>49571.201316885272</v>
      </c>
      <c r="W352" s="530">
        <f t="shared" si="509"/>
        <v>49571.201316885272</v>
      </c>
      <c r="X352" s="530">
        <f t="shared" si="509"/>
        <v>49571.201316885272</v>
      </c>
      <c r="Y352" s="530">
        <f t="shared" si="509"/>
        <v>49571.201316885272</v>
      </c>
      <c r="Z352" s="530">
        <f t="shared" si="509"/>
        <v>49571.201316885272</v>
      </c>
      <c r="AA352" s="530">
        <f t="shared" si="509"/>
        <v>49571.201316885272</v>
      </c>
      <c r="AB352" s="530">
        <f t="shared" si="509"/>
        <v>49571.201316885272</v>
      </c>
      <c r="AC352" s="530">
        <f t="shared" si="509"/>
        <v>49571.201316885272</v>
      </c>
      <c r="AD352" s="530">
        <f t="shared" si="509"/>
        <v>51216.842970246449</v>
      </c>
      <c r="AE352" s="530">
        <f t="shared" si="509"/>
        <v>51216.842970246449</v>
      </c>
      <c r="AF352" s="530">
        <f t="shared" si="509"/>
        <v>51216.842970246449</v>
      </c>
      <c r="AG352" s="530">
        <f t="shared" si="509"/>
        <v>51216.842970246449</v>
      </c>
      <c r="AH352" s="530">
        <f t="shared" si="509"/>
        <v>51216.842970246449</v>
      </c>
      <c r="AI352" s="530">
        <f t="shared" si="509"/>
        <v>51216.842970246449</v>
      </c>
      <c r="AJ352" s="530">
        <f t="shared" si="509"/>
        <v>51216.842970246449</v>
      </c>
      <c r="AK352" s="530">
        <f t="shared" si="509"/>
        <v>51216.842970246449</v>
      </c>
      <c r="AL352" s="530">
        <f t="shared" si="509"/>
        <v>51216.842970246449</v>
      </c>
      <c r="AM352" s="530">
        <f t="shared" si="509"/>
        <v>51216.842970246449</v>
      </c>
      <c r="AN352" s="530">
        <f t="shared" si="509"/>
        <v>51216.842970246449</v>
      </c>
      <c r="AO352" s="530">
        <f t="shared" si="509"/>
        <v>51216.842970246449</v>
      </c>
      <c r="AP352" s="530">
        <f t="shared" si="509"/>
        <v>52848.07837083115</v>
      </c>
      <c r="AQ352" s="530">
        <f t="shared" si="509"/>
        <v>52848.07837083115</v>
      </c>
      <c r="AR352" s="530">
        <f t="shared" si="509"/>
        <v>52848.07837083115</v>
      </c>
      <c r="AS352" s="530">
        <f t="shared" si="509"/>
        <v>52848.07837083115</v>
      </c>
      <c r="AT352" s="530">
        <f t="shared" si="509"/>
        <v>52848.07837083115</v>
      </c>
      <c r="AU352" s="530">
        <f t="shared" si="509"/>
        <v>52848.07837083115</v>
      </c>
      <c r="AV352" s="530">
        <f t="shared" si="509"/>
        <v>52848.07837083115</v>
      </c>
      <c r="AW352" s="530">
        <f t="shared" si="509"/>
        <v>52848.07837083115</v>
      </c>
      <c r="AX352" s="530">
        <f t="shared" ref="AX352:BY352" si="510">SUM(AX346:AX351)</f>
        <v>52848.07837083115</v>
      </c>
      <c r="AY352" s="530">
        <f t="shared" si="510"/>
        <v>52848.07837083115</v>
      </c>
      <c r="AZ352" s="530">
        <f t="shared" si="510"/>
        <v>52848.07837083115</v>
      </c>
      <c r="BA352" s="530">
        <f t="shared" si="510"/>
        <v>52848.07837083115</v>
      </c>
      <c r="BB352" s="530">
        <f t="shared" si="510"/>
        <v>54209.951632059077</v>
      </c>
      <c r="BC352" s="530">
        <f t="shared" si="510"/>
        <v>54209.951632059077</v>
      </c>
      <c r="BD352" s="530">
        <f t="shared" si="510"/>
        <v>54209.951632059077</v>
      </c>
      <c r="BE352" s="530">
        <f t="shared" si="510"/>
        <v>54209.951632059077</v>
      </c>
      <c r="BF352" s="530">
        <f t="shared" si="510"/>
        <v>54209.951632059077</v>
      </c>
      <c r="BG352" s="530">
        <f t="shared" si="510"/>
        <v>54209.951632059077</v>
      </c>
      <c r="BH352" s="530">
        <f t="shared" si="510"/>
        <v>54209.951632059077</v>
      </c>
      <c r="BI352" s="530">
        <f t="shared" si="510"/>
        <v>54209.951632059077</v>
      </c>
      <c r="BJ352" s="530">
        <f t="shared" si="510"/>
        <v>54209.951632059077</v>
      </c>
      <c r="BK352" s="530">
        <f t="shared" si="510"/>
        <v>54209.951632059077</v>
      </c>
      <c r="BL352" s="530">
        <f t="shared" si="510"/>
        <v>54209.951632059077</v>
      </c>
      <c r="BM352" s="530">
        <f t="shared" si="510"/>
        <v>54209.951632059077</v>
      </c>
      <c r="BN352" s="530">
        <f t="shared" si="510"/>
        <v>55382.134158801171</v>
      </c>
      <c r="BO352" s="530">
        <f t="shared" si="510"/>
        <v>55382.134158801171</v>
      </c>
      <c r="BP352" s="530">
        <f t="shared" si="510"/>
        <v>55382.134158801171</v>
      </c>
      <c r="BQ352" s="530">
        <f t="shared" si="510"/>
        <v>55382.134158801171</v>
      </c>
      <c r="BR352" s="530">
        <f t="shared" si="510"/>
        <v>55382.134158801171</v>
      </c>
      <c r="BS352" s="530">
        <f t="shared" si="510"/>
        <v>55382.134158801171</v>
      </c>
      <c r="BT352" s="530">
        <f t="shared" si="510"/>
        <v>55382.134158801171</v>
      </c>
      <c r="BU352" s="530">
        <f t="shared" si="510"/>
        <v>55382.134158801171</v>
      </c>
      <c r="BV352" s="530">
        <f t="shared" si="510"/>
        <v>55382.134158801171</v>
      </c>
      <c r="BW352" s="530">
        <f t="shared" si="510"/>
        <v>55382.134158801171</v>
      </c>
      <c r="BX352" s="530">
        <f t="shared" si="510"/>
        <v>55382.134158801171</v>
      </c>
      <c r="BY352" s="530">
        <f t="shared" si="510"/>
        <v>55382.134158801171</v>
      </c>
    </row>
    <row r="353" spans="1:77" x14ac:dyDescent="0.3">
      <c r="A353" s="551"/>
      <c r="B353" s="548"/>
      <c r="C353" s="525"/>
      <c r="D353" s="525"/>
      <c r="E353" s="525"/>
      <c r="F353" s="525"/>
      <c r="G353" s="525"/>
      <c r="H353" s="525"/>
      <c r="I353" s="525"/>
      <c r="J353" s="525"/>
      <c r="K353" s="525"/>
      <c r="L353" s="525"/>
      <c r="M353" s="525"/>
      <c r="N353" s="525"/>
      <c r="O353" s="525"/>
      <c r="P353" s="565"/>
      <c r="Q353" s="525"/>
      <c r="R353" s="634"/>
      <c r="S353" s="525"/>
      <c r="T353" s="525"/>
      <c r="U353" s="525"/>
      <c r="V353" s="525"/>
      <c r="W353" s="525"/>
      <c r="X353" s="525"/>
      <c r="Y353" s="525"/>
      <c r="Z353" s="525"/>
      <c r="AA353" s="525"/>
      <c r="AB353" s="525"/>
      <c r="AC353" s="525"/>
      <c r="AD353" s="525"/>
      <c r="AE353" s="525"/>
      <c r="AF353" s="525"/>
      <c r="AG353" s="525"/>
      <c r="AH353" s="525"/>
      <c r="AI353" s="525"/>
      <c r="AJ353" s="525"/>
      <c r="AK353" s="525"/>
      <c r="AL353" s="525"/>
      <c r="AM353" s="525"/>
      <c r="AN353" s="525"/>
      <c r="AO353" s="525"/>
      <c r="AP353" s="525"/>
      <c r="AQ353" s="525"/>
      <c r="AR353" s="525"/>
      <c r="AS353" s="525"/>
      <c r="AT353" s="525"/>
      <c r="AU353" s="525"/>
      <c r="AV353" s="525"/>
      <c r="AW353" s="525"/>
      <c r="AX353" s="525"/>
      <c r="AY353" s="525"/>
      <c r="AZ353" s="525"/>
      <c r="BA353" s="525"/>
      <c r="BB353" s="525"/>
      <c r="BC353" s="525"/>
      <c r="BD353" s="525"/>
      <c r="BE353" s="525"/>
      <c r="BF353" s="525"/>
      <c r="BG353" s="525"/>
      <c r="BH353" s="525"/>
      <c r="BI353" s="525"/>
      <c r="BJ353" s="525"/>
      <c r="BK353" s="525"/>
      <c r="BL353" s="525"/>
      <c r="BM353" s="525"/>
      <c r="BN353" s="525"/>
      <c r="BO353" s="525"/>
      <c r="BP353" s="525"/>
      <c r="BQ353" s="525"/>
      <c r="BR353" s="525"/>
      <c r="BS353" s="525"/>
      <c r="BT353" s="525"/>
      <c r="BU353" s="525"/>
      <c r="BV353" s="525"/>
      <c r="BW353" s="525"/>
      <c r="BX353" s="525"/>
      <c r="BY353" s="525"/>
    </row>
    <row r="354" spans="1:77" x14ac:dyDescent="0.3">
      <c r="A354" s="551"/>
      <c r="B354" s="548"/>
      <c r="C354" s="584" t="s">
        <v>37</v>
      </c>
      <c r="D354" s="525"/>
      <c r="E354" s="538" t="s">
        <v>27</v>
      </c>
      <c r="F354" s="538"/>
      <c r="G354" s="538"/>
      <c r="H354" s="538"/>
      <c r="I354" s="538"/>
      <c r="J354" s="538"/>
      <c r="K354" s="538"/>
      <c r="L354" s="538"/>
      <c r="M354" s="538"/>
      <c r="N354" s="538"/>
      <c r="O354" s="538"/>
      <c r="P354" s="584"/>
      <c r="Q354" s="538"/>
      <c r="R354" s="538"/>
      <c r="S354" s="538"/>
      <c r="T354" s="538"/>
      <c r="U354" s="538"/>
      <c r="V354" s="538"/>
      <c r="W354" s="538"/>
      <c r="X354" s="538"/>
      <c r="Y354" s="538"/>
      <c r="Z354" s="538"/>
      <c r="AA354" s="538"/>
      <c r="AB354" s="538"/>
      <c r="AC354" s="538"/>
      <c r="AD354" s="538"/>
      <c r="AE354" s="538"/>
      <c r="AF354" s="538"/>
      <c r="AG354" s="538"/>
      <c r="AH354" s="538"/>
      <c r="AI354" s="538"/>
      <c r="AJ354" s="538"/>
      <c r="AK354" s="538"/>
      <c r="AL354" s="538"/>
      <c r="AM354" s="538"/>
      <c r="AN354" s="538"/>
      <c r="AO354" s="538"/>
      <c r="AP354" s="538"/>
      <c r="AQ354" s="538"/>
      <c r="AR354" s="538"/>
      <c r="AS354" s="538"/>
      <c r="AT354" s="538"/>
      <c r="AU354" s="538"/>
      <c r="AV354" s="538"/>
      <c r="AW354" s="538"/>
      <c r="AX354" s="538"/>
      <c r="AY354" s="538"/>
      <c r="AZ354" s="538"/>
      <c r="BA354" s="538"/>
      <c r="BB354" s="538"/>
      <c r="BC354" s="538"/>
      <c r="BD354" s="538"/>
      <c r="BE354" s="538"/>
      <c r="BF354" s="538"/>
      <c r="BG354" s="538"/>
      <c r="BH354" s="538"/>
      <c r="BI354" s="538"/>
      <c r="BJ354" s="538"/>
      <c r="BK354" s="538"/>
      <c r="BL354" s="538"/>
      <c r="BM354" s="538"/>
      <c r="BN354" s="538"/>
      <c r="BO354" s="538"/>
      <c r="BP354" s="538"/>
      <c r="BQ354" s="538"/>
      <c r="BR354" s="538"/>
      <c r="BS354" s="538"/>
      <c r="BT354" s="538"/>
      <c r="BU354" s="538"/>
      <c r="BV354" s="538"/>
      <c r="BW354" s="538"/>
      <c r="BX354" s="538"/>
      <c r="BY354" s="538"/>
    </row>
    <row r="355" spans="1:77" x14ac:dyDescent="0.3">
      <c r="A355" s="551"/>
      <c r="B355" s="548"/>
      <c r="C355" s="525"/>
      <c r="D355" s="525"/>
      <c r="E355" s="525"/>
      <c r="F355" s="525"/>
      <c r="G355" s="525"/>
      <c r="H355" s="525"/>
      <c r="I355" s="525"/>
      <c r="J355" s="525"/>
      <c r="K355" s="525"/>
      <c r="L355" s="525"/>
      <c r="M355" s="525"/>
      <c r="N355" s="525"/>
      <c r="O355" s="525"/>
      <c r="P355" s="565"/>
      <c r="Q355" s="525"/>
      <c r="R355" s="525"/>
      <c r="S355" s="525"/>
      <c r="T355" s="525"/>
      <c r="U355" s="525"/>
      <c r="V355" s="525"/>
      <c r="W355" s="525"/>
      <c r="X355" s="525"/>
      <c r="Y355" s="525"/>
      <c r="Z355" s="525"/>
      <c r="AA355" s="525"/>
      <c r="AB355" s="525"/>
      <c r="AC355" s="525"/>
      <c r="AD355" s="525"/>
      <c r="AE355" s="525"/>
      <c r="AF355" s="525"/>
      <c r="AG355" s="525"/>
      <c r="AH355" s="525"/>
      <c r="AI355" s="525"/>
      <c r="AJ355" s="525"/>
      <c r="AK355" s="525"/>
      <c r="AL355" s="525"/>
      <c r="AM355" s="525"/>
      <c r="AN355" s="525"/>
      <c r="AO355" s="525"/>
      <c r="AP355" s="525"/>
      <c r="AQ355" s="525"/>
      <c r="AR355" s="525"/>
      <c r="AS355" s="525"/>
      <c r="AT355" s="525"/>
      <c r="AU355" s="525"/>
      <c r="AV355" s="525"/>
      <c r="AW355" s="525"/>
      <c r="AX355" s="525"/>
      <c r="AY355" s="525"/>
      <c r="AZ355" s="525"/>
      <c r="BA355" s="525"/>
      <c r="BB355" s="525"/>
      <c r="BC355" s="525"/>
      <c r="BD355" s="525"/>
      <c r="BE355" s="525"/>
      <c r="BF355" s="525"/>
      <c r="BG355" s="525"/>
      <c r="BH355" s="525"/>
      <c r="BI355" s="525"/>
      <c r="BJ355" s="525"/>
      <c r="BK355" s="525"/>
      <c r="BL355" s="525"/>
      <c r="BM355" s="525"/>
      <c r="BN355" s="525"/>
      <c r="BO355" s="525"/>
      <c r="BP355" s="525"/>
      <c r="BQ355" s="525"/>
      <c r="BR355" s="525"/>
      <c r="BS355" s="525"/>
      <c r="BT355" s="525"/>
      <c r="BU355" s="525"/>
      <c r="BV355" s="525"/>
      <c r="BW355" s="525"/>
      <c r="BX355" s="525"/>
      <c r="BY355" s="525"/>
    </row>
    <row r="356" spans="1:77" x14ac:dyDescent="0.3">
      <c r="A356" s="551"/>
      <c r="B356" s="548"/>
      <c r="C356" s="525"/>
      <c r="D356" s="525"/>
      <c r="E356" s="614" t="s">
        <v>110</v>
      </c>
      <c r="F356" s="539"/>
      <c r="G356" s="539"/>
      <c r="H356" s="539"/>
      <c r="I356" s="539"/>
      <c r="J356" s="539"/>
      <c r="K356" s="539"/>
      <c r="L356" s="539"/>
      <c r="M356" s="539"/>
      <c r="N356" s="539"/>
      <c r="O356" s="539"/>
      <c r="P356" s="615"/>
      <c r="Q356" s="539"/>
      <c r="R356" s="539"/>
      <c r="S356" s="539"/>
      <c r="T356" s="539"/>
      <c r="U356" s="539"/>
      <c r="V356" s="539"/>
      <c r="W356" s="539"/>
      <c r="X356" s="539"/>
      <c r="Y356" s="539"/>
      <c r="Z356" s="539"/>
      <c r="AA356" s="539"/>
      <c r="AB356" s="539"/>
      <c r="AC356" s="539"/>
      <c r="AD356" s="539"/>
      <c r="AE356" s="539"/>
      <c r="AF356" s="539"/>
      <c r="AG356" s="539"/>
      <c r="AH356" s="539"/>
      <c r="AI356" s="539"/>
      <c r="AJ356" s="539"/>
      <c r="AK356" s="539"/>
      <c r="AL356" s="539"/>
      <c r="AM356" s="539"/>
      <c r="AN356" s="539"/>
      <c r="AO356" s="539"/>
      <c r="AP356" s="539"/>
      <c r="AQ356" s="539"/>
      <c r="AR356" s="539"/>
      <c r="AS356" s="539"/>
      <c r="AT356" s="539"/>
      <c r="AU356" s="539"/>
      <c r="AV356" s="539"/>
      <c r="AW356" s="539"/>
      <c r="AX356" s="539"/>
      <c r="AY356" s="539"/>
      <c r="AZ356" s="539"/>
      <c r="BA356" s="539"/>
      <c r="BB356" s="539"/>
      <c r="BC356" s="539"/>
      <c r="BD356" s="539"/>
      <c r="BE356" s="539"/>
      <c r="BF356" s="539"/>
      <c r="BG356" s="539"/>
      <c r="BH356" s="539"/>
      <c r="BI356" s="539"/>
      <c r="BJ356" s="539"/>
      <c r="BK356" s="539"/>
      <c r="BL356" s="539"/>
      <c r="BM356" s="539"/>
      <c r="BN356" s="539"/>
      <c r="BO356" s="539"/>
      <c r="BP356" s="539"/>
      <c r="BQ356" s="539"/>
      <c r="BR356" s="539"/>
      <c r="BS356" s="539"/>
      <c r="BT356" s="539"/>
      <c r="BU356" s="539"/>
      <c r="BV356" s="539"/>
      <c r="BW356" s="539"/>
      <c r="BX356" s="539"/>
      <c r="BY356" s="539"/>
    </row>
    <row r="357" spans="1:77" x14ac:dyDescent="0.3">
      <c r="A357" s="551"/>
      <c r="B357" s="548"/>
      <c r="C357" s="525"/>
      <c r="D357" s="525"/>
      <c r="E357" s="525"/>
      <c r="F357" s="525"/>
      <c r="G357" s="525"/>
      <c r="H357" s="525"/>
      <c r="I357" s="525"/>
      <c r="J357" s="525"/>
      <c r="K357" s="525"/>
      <c r="L357" s="525"/>
      <c r="M357" s="525"/>
      <c r="N357" s="525"/>
      <c r="O357" s="525"/>
      <c r="P357" s="565"/>
      <c r="Q357" s="525"/>
      <c r="R357" s="525"/>
      <c r="S357" s="525"/>
      <c r="T357" s="525"/>
      <c r="U357" s="525"/>
      <c r="V357" s="525"/>
      <c r="W357" s="525"/>
      <c r="X357" s="525"/>
      <c r="Y357" s="525"/>
      <c r="Z357" s="525"/>
      <c r="AA357" s="525"/>
      <c r="AB357" s="525"/>
      <c r="AC357" s="525"/>
      <c r="AD357" s="525"/>
      <c r="AE357" s="525"/>
      <c r="AF357" s="525"/>
      <c r="AG357" s="525"/>
      <c r="AH357" s="525"/>
      <c r="AI357" s="525"/>
      <c r="AJ357" s="525"/>
      <c r="AK357" s="525"/>
      <c r="AL357" s="525"/>
      <c r="AM357" s="525"/>
      <c r="AN357" s="525"/>
      <c r="AO357" s="525"/>
      <c r="AP357" s="525"/>
      <c r="AQ357" s="525"/>
      <c r="AR357" s="525"/>
      <c r="AS357" s="525"/>
      <c r="AT357" s="525"/>
      <c r="AU357" s="525"/>
      <c r="AV357" s="525"/>
      <c r="AW357" s="525"/>
      <c r="AX357" s="525"/>
      <c r="AY357" s="525"/>
      <c r="AZ357" s="525"/>
      <c r="BA357" s="525"/>
      <c r="BB357" s="525"/>
      <c r="BC357" s="525"/>
      <c r="BD357" s="525"/>
      <c r="BE357" s="525"/>
      <c r="BF357" s="525"/>
      <c r="BG357" s="525"/>
      <c r="BH357" s="525"/>
      <c r="BI357" s="525"/>
      <c r="BJ357" s="525"/>
      <c r="BK357" s="525"/>
      <c r="BL357" s="525"/>
      <c r="BM357" s="525"/>
      <c r="BN357" s="525"/>
      <c r="BO357" s="525"/>
      <c r="BP357" s="525"/>
      <c r="BQ357" s="525"/>
      <c r="BR357" s="525"/>
      <c r="BS357" s="525"/>
      <c r="BT357" s="525"/>
      <c r="BU357" s="525"/>
      <c r="BV357" s="525"/>
      <c r="BW357" s="525"/>
      <c r="BX357" s="525"/>
      <c r="BY357" s="525"/>
    </row>
    <row r="358" spans="1:77" x14ac:dyDescent="0.3">
      <c r="A358" s="551"/>
      <c r="B358" s="548"/>
      <c r="C358" s="525"/>
      <c r="D358" s="525"/>
      <c r="E358" s="635" t="str">
        <f>"Other income: "&amp;E$155</f>
        <v>Other income: FY27 Tranche</v>
      </c>
      <c r="F358" s="525"/>
      <c r="G358" s="525"/>
      <c r="H358" s="525"/>
      <c r="I358" s="525"/>
      <c r="J358" s="525"/>
      <c r="K358" s="525"/>
      <c r="L358" s="525"/>
      <c r="M358" s="525"/>
      <c r="N358" s="525"/>
      <c r="O358" s="525"/>
      <c r="P358" s="565"/>
      <c r="Q358" s="525"/>
      <c r="R358" s="527">
        <f t="shared" ref="R358:AW358" si="511">R$602*$R155</f>
        <v>134.36672463768113</v>
      </c>
      <c r="S358" s="527">
        <f t="shared" si="511"/>
        <v>134.36672463768113</v>
      </c>
      <c r="T358" s="527">
        <f t="shared" si="511"/>
        <v>134.36672463768113</v>
      </c>
      <c r="U358" s="527">
        <f t="shared" si="511"/>
        <v>134.36672463768113</v>
      </c>
      <c r="V358" s="527">
        <f t="shared" si="511"/>
        <v>134.36672463768113</v>
      </c>
      <c r="W358" s="527">
        <f t="shared" si="511"/>
        <v>134.36672463768113</v>
      </c>
      <c r="X358" s="527">
        <f t="shared" si="511"/>
        <v>134.36672463768113</v>
      </c>
      <c r="Y358" s="527">
        <f t="shared" si="511"/>
        <v>134.36672463768113</v>
      </c>
      <c r="Z358" s="527">
        <f t="shared" si="511"/>
        <v>134.36672463768113</v>
      </c>
      <c r="AA358" s="527">
        <f t="shared" si="511"/>
        <v>134.36672463768113</v>
      </c>
      <c r="AB358" s="527">
        <f t="shared" si="511"/>
        <v>134.36672463768113</v>
      </c>
      <c r="AC358" s="527">
        <f t="shared" si="511"/>
        <v>134.36672463768113</v>
      </c>
      <c r="AD358" s="527">
        <f t="shared" si="511"/>
        <v>134.36672463768113</v>
      </c>
      <c r="AE358" s="527">
        <f t="shared" si="511"/>
        <v>134.36672463768113</v>
      </c>
      <c r="AF358" s="527">
        <f t="shared" si="511"/>
        <v>134.36672463768113</v>
      </c>
      <c r="AG358" s="527">
        <f t="shared" si="511"/>
        <v>134.36672463768113</v>
      </c>
      <c r="AH358" s="527">
        <f t="shared" si="511"/>
        <v>134.36672463768113</v>
      </c>
      <c r="AI358" s="527">
        <f t="shared" si="511"/>
        <v>134.36672463768113</v>
      </c>
      <c r="AJ358" s="527">
        <f t="shared" si="511"/>
        <v>134.36672463768113</v>
      </c>
      <c r="AK358" s="527">
        <f t="shared" si="511"/>
        <v>134.36672463768113</v>
      </c>
      <c r="AL358" s="527">
        <f t="shared" si="511"/>
        <v>134.36672463768113</v>
      </c>
      <c r="AM358" s="527">
        <f t="shared" si="511"/>
        <v>134.36672463768113</v>
      </c>
      <c r="AN358" s="527">
        <f t="shared" si="511"/>
        <v>134.36672463768113</v>
      </c>
      <c r="AO358" s="527">
        <f t="shared" si="511"/>
        <v>134.36672463768113</v>
      </c>
      <c r="AP358" s="527">
        <f t="shared" si="511"/>
        <v>134.36672463768113</v>
      </c>
      <c r="AQ358" s="527">
        <f t="shared" si="511"/>
        <v>134.36672463768113</v>
      </c>
      <c r="AR358" s="527">
        <f t="shared" si="511"/>
        <v>134.36672463768113</v>
      </c>
      <c r="AS358" s="527">
        <f t="shared" si="511"/>
        <v>134.36672463768113</v>
      </c>
      <c r="AT358" s="527">
        <f t="shared" si="511"/>
        <v>134.36672463768113</v>
      </c>
      <c r="AU358" s="527">
        <f t="shared" si="511"/>
        <v>134.36672463768113</v>
      </c>
      <c r="AV358" s="527">
        <f t="shared" si="511"/>
        <v>134.36672463768113</v>
      </c>
      <c r="AW358" s="527">
        <f t="shared" si="511"/>
        <v>134.36672463768113</v>
      </c>
      <c r="AX358" s="527">
        <f t="shared" ref="AX358:BY358" si="512">AX$602*$R155</f>
        <v>134.36672463768113</v>
      </c>
      <c r="AY358" s="527">
        <f t="shared" si="512"/>
        <v>134.36672463768113</v>
      </c>
      <c r="AZ358" s="527">
        <f t="shared" si="512"/>
        <v>134.36672463768113</v>
      </c>
      <c r="BA358" s="527">
        <f t="shared" si="512"/>
        <v>134.36672463768113</v>
      </c>
      <c r="BB358" s="527">
        <f t="shared" si="512"/>
        <v>134.36672463768113</v>
      </c>
      <c r="BC358" s="527">
        <f t="shared" si="512"/>
        <v>134.36672463768113</v>
      </c>
      <c r="BD358" s="527">
        <f t="shared" si="512"/>
        <v>134.36672463768113</v>
      </c>
      <c r="BE358" s="527">
        <f t="shared" si="512"/>
        <v>134.36672463768113</v>
      </c>
      <c r="BF358" s="527">
        <f t="shared" si="512"/>
        <v>134.36672463768113</v>
      </c>
      <c r="BG358" s="527">
        <f t="shared" si="512"/>
        <v>134.36672463768113</v>
      </c>
      <c r="BH358" s="527">
        <f t="shared" si="512"/>
        <v>134.36672463768113</v>
      </c>
      <c r="BI358" s="527">
        <f t="shared" si="512"/>
        <v>134.36672463768113</v>
      </c>
      <c r="BJ358" s="527">
        <f t="shared" si="512"/>
        <v>134.36672463768113</v>
      </c>
      <c r="BK358" s="527">
        <f t="shared" si="512"/>
        <v>134.36672463768113</v>
      </c>
      <c r="BL358" s="527">
        <f t="shared" si="512"/>
        <v>134.36672463768113</v>
      </c>
      <c r="BM358" s="527">
        <f t="shared" si="512"/>
        <v>134.36672463768113</v>
      </c>
      <c r="BN358" s="527">
        <f t="shared" si="512"/>
        <v>134.36672463768113</v>
      </c>
      <c r="BO358" s="527">
        <f t="shared" si="512"/>
        <v>134.36672463768113</v>
      </c>
      <c r="BP358" s="527">
        <f t="shared" si="512"/>
        <v>134.36672463768113</v>
      </c>
      <c r="BQ358" s="527">
        <f t="shared" si="512"/>
        <v>134.36672463768113</v>
      </c>
      <c r="BR358" s="527">
        <f t="shared" si="512"/>
        <v>134.36672463768113</v>
      </c>
      <c r="BS358" s="527">
        <f t="shared" si="512"/>
        <v>134.36672463768113</v>
      </c>
      <c r="BT358" s="527">
        <f t="shared" si="512"/>
        <v>134.36672463768113</v>
      </c>
      <c r="BU358" s="527">
        <f t="shared" si="512"/>
        <v>134.36672463768113</v>
      </c>
      <c r="BV358" s="527">
        <f t="shared" si="512"/>
        <v>134.36672463768113</v>
      </c>
      <c r="BW358" s="527">
        <f t="shared" si="512"/>
        <v>134.36672463768113</v>
      </c>
      <c r="BX358" s="527">
        <f t="shared" si="512"/>
        <v>134.36672463768113</v>
      </c>
      <c r="BY358" s="527">
        <f t="shared" si="512"/>
        <v>134.36672463768113</v>
      </c>
    </row>
    <row r="359" spans="1:77" x14ac:dyDescent="0.3">
      <c r="A359" s="551"/>
      <c r="B359" s="548"/>
      <c r="C359" s="525"/>
      <c r="D359" s="525"/>
      <c r="E359" s="635" t="str">
        <f>"Other income: "&amp;E$156</f>
        <v>Other income: FY28 Tranche</v>
      </c>
      <c r="F359" s="525"/>
      <c r="G359" s="525"/>
      <c r="H359" s="525"/>
      <c r="I359" s="525"/>
      <c r="J359" s="525"/>
      <c r="K359" s="525"/>
      <c r="L359" s="525"/>
      <c r="M359" s="525"/>
      <c r="N359" s="525"/>
      <c r="O359" s="525"/>
      <c r="P359" s="565"/>
      <c r="Q359" s="525"/>
      <c r="R359" s="527">
        <f t="shared" ref="R359:AW359" si="513">R$602*$R156</f>
        <v>134.36672463768113</v>
      </c>
      <c r="S359" s="527">
        <f t="shared" si="513"/>
        <v>134.36672463768113</v>
      </c>
      <c r="T359" s="527">
        <f t="shared" si="513"/>
        <v>134.36672463768113</v>
      </c>
      <c r="U359" s="527">
        <f t="shared" si="513"/>
        <v>134.36672463768113</v>
      </c>
      <c r="V359" s="527">
        <f t="shared" si="513"/>
        <v>134.36672463768113</v>
      </c>
      <c r="W359" s="527">
        <f t="shared" si="513"/>
        <v>134.36672463768113</v>
      </c>
      <c r="X359" s="527">
        <f t="shared" si="513"/>
        <v>134.36672463768113</v>
      </c>
      <c r="Y359" s="527">
        <f t="shared" si="513"/>
        <v>134.36672463768113</v>
      </c>
      <c r="Z359" s="527">
        <f t="shared" si="513"/>
        <v>134.36672463768113</v>
      </c>
      <c r="AA359" s="527">
        <f t="shared" si="513"/>
        <v>134.36672463768113</v>
      </c>
      <c r="AB359" s="527">
        <f t="shared" si="513"/>
        <v>134.36672463768113</v>
      </c>
      <c r="AC359" s="527">
        <f t="shared" si="513"/>
        <v>134.36672463768113</v>
      </c>
      <c r="AD359" s="527">
        <f t="shared" si="513"/>
        <v>134.36672463768113</v>
      </c>
      <c r="AE359" s="527">
        <f t="shared" si="513"/>
        <v>134.36672463768113</v>
      </c>
      <c r="AF359" s="527">
        <f t="shared" si="513"/>
        <v>134.36672463768113</v>
      </c>
      <c r="AG359" s="527">
        <f t="shared" si="513"/>
        <v>134.36672463768113</v>
      </c>
      <c r="AH359" s="527">
        <f t="shared" si="513"/>
        <v>134.36672463768113</v>
      </c>
      <c r="AI359" s="527">
        <f t="shared" si="513"/>
        <v>134.36672463768113</v>
      </c>
      <c r="AJ359" s="527">
        <f t="shared" si="513"/>
        <v>134.36672463768113</v>
      </c>
      <c r="AK359" s="527">
        <f t="shared" si="513"/>
        <v>134.36672463768113</v>
      </c>
      <c r="AL359" s="527">
        <f t="shared" si="513"/>
        <v>134.36672463768113</v>
      </c>
      <c r="AM359" s="527">
        <f t="shared" si="513"/>
        <v>134.36672463768113</v>
      </c>
      <c r="AN359" s="527">
        <f t="shared" si="513"/>
        <v>134.36672463768113</v>
      </c>
      <c r="AO359" s="527">
        <f t="shared" si="513"/>
        <v>134.36672463768113</v>
      </c>
      <c r="AP359" s="527">
        <f t="shared" si="513"/>
        <v>134.36672463768113</v>
      </c>
      <c r="AQ359" s="527">
        <f t="shared" si="513"/>
        <v>134.36672463768113</v>
      </c>
      <c r="AR359" s="527">
        <f t="shared" si="513"/>
        <v>134.36672463768113</v>
      </c>
      <c r="AS359" s="527">
        <f t="shared" si="513"/>
        <v>134.36672463768113</v>
      </c>
      <c r="AT359" s="527">
        <f t="shared" si="513"/>
        <v>134.36672463768113</v>
      </c>
      <c r="AU359" s="527">
        <f t="shared" si="513"/>
        <v>134.36672463768113</v>
      </c>
      <c r="AV359" s="527">
        <f t="shared" si="513"/>
        <v>134.36672463768113</v>
      </c>
      <c r="AW359" s="527">
        <f t="shared" si="513"/>
        <v>134.36672463768113</v>
      </c>
      <c r="AX359" s="527">
        <f t="shared" ref="AX359:BY359" si="514">AX$602*$R156</f>
        <v>134.36672463768113</v>
      </c>
      <c r="AY359" s="527">
        <f t="shared" si="514"/>
        <v>134.36672463768113</v>
      </c>
      <c r="AZ359" s="527">
        <f t="shared" si="514"/>
        <v>134.36672463768113</v>
      </c>
      <c r="BA359" s="527">
        <f t="shared" si="514"/>
        <v>134.36672463768113</v>
      </c>
      <c r="BB359" s="527">
        <f t="shared" si="514"/>
        <v>134.36672463768113</v>
      </c>
      <c r="BC359" s="527">
        <f t="shared" si="514"/>
        <v>134.36672463768113</v>
      </c>
      <c r="BD359" s="527">
        <f t="shared" si="514"/>
        <v>134.36672463768113</v>
      </c>
      <c r="BE359" s="527">
        <f t="shared" si="514"/>
        <v>134.36672463768113</v>
      </c>
      <c r="BF359" s="527">
        <f t="shared" si="514"/>
        <v>134.36672463768113</v>
      </c>
      <c r="BG359" s="527">
        <f t="shared" si="514"/>
        <v>134.36672463768113</v>
      </c>
      <c r="BH359" s="527">
        <f t="shared" si="514"/>
        <v>134.36672463768113</v>
      </c>
      <c r="BI359" s="527">
        <f t="shared" si="514"/>
        <v>134.36672463768113</v>
      </c>
      <c r="BJ359" s="527">
        <f t="shared" si="514"/>
        <v>134.36672463768113</v>
      </c>
      <c r="BK359" s="527">
        <f t="shared" si="514"/>
        <v>134.36672463768113</v>
      </c>
      <c r="BL359" s="527">
        <f t="shared" si="514"/>
        <v>134.36672463768113</v>
      </c>
      <c r="BM359" s="527">
        <f t="shared" si="514"/>
        <v>134.36672463768113</v>
      </c>
      <c r="BN359" s="527">
        <f t="shared" si="514"/>
        <v>134.36672463768113</v>
      </c>
      <c r="BO359" s="527">
        <f t="shared" si="514"/>
        <v>134.36672463768113</v>
      </c>
      <c r="BP359" s="527">
        <f t="shared" si="514"/>
        <v>134.36672463768113</v>
      </c>
      <c r="BQ359" s="527">
        <f t="shared" si="514"/>
        <v>134.36672463768113</v>
      </c>
      <c r="BR359" s="527">
        <f t="shared" si="514"/>
        <v>134.36672463768113</v>
      </c>
      <c r="BS359" s="527">
        <f t="shared" si="514"/>
        <v>134.36672463768113</v>
      </c>
      <c r="BT359" s="527">
        <f t="shared" si="514"/>
        <v>134.36672463768113</v>
      </c>
      <c r="BU359" s="527">
        <f t="shared" si="514"/>
        <v>134.36672463768113</v>
      </c>
      <c r="BV359" s="527">
        <f t="shared" si="514"/>
        <v>134.36672463768113</v>
      </c>
      <c r="BW359" s="527">
        <f t="shared" si="514"/>
        <v>134.36672463768113</v>
      </c>
      <c r="BX359" s="527">
        <f t="shared" si="514"/>
        <v>134.36672463768113</v>
      </c>
      <c r="BY359" s="527">
        <f t="shared" si="514"/>
        <v>134.36672463768113</v>
      </c>
    </row>
    <row r="360" spans="1:77" x14ac:dyDescent="0.3">
      <c r="A360" s="551"/>
      <c r="B360" s="548"/>
      <c r="C360" s="525"/>
      <c r="D360" s="525"/>
      <c r="E360" s="635" t="str">
        <f>"Other income: "&amp;E$157</f>
        <v>Other income: FY29 Tranche</v>
      </c>
      <c r="F360" s="525"/>
      <c r="G360" s="525"/>
      <c r="H360" s="525"/>
      <c r="I360" s="525"/>
      <c r="J360" s="525"/>
      <c r="K360" s="525"/>
      <c r="L360" s="525"/>
      <c r="M360" s="525"/>
      <c r="N360" s="525"/>
      <c r="O360" s="525"/>
      <c r="P360" s="565"/>
      <c r="Q360" s="525"/>
      <c r="R360" s="527">
        <f t="shared" ref="R360:AW360" si="515">R$602*$R157</f>
        <v>134.36672463768113</v>
      </c>
      <c r="S360" s="527">
        <f t="shared" si="515"/>
        <v>134.36672463768113</v>
      </c>
      <c r="T360" s="527">
        <f t="shared" si="515"/>
        <v>134.36672463768113</v>
      </c>
      <c r="U360" s="527">
        <f t="shared" si="515"/>
        <v>134.36672463768113</v>
      </c>
      <c r="V360" s="527">
        <f t="shared" si="515"/>
        <v>134.36672463768113</v>
      </c>
      <c r="W360" s="527">
        <f t="shared" si="515"/>
        <v>134.36672463768113</v>
      </c>
      <c r="X360" s="527">
        <f t="shared" si="515"/>
        <v>134.36672463768113</v>
      </c>
      <c r="Y360" s="527">
        <f t="shared" si="515"/>
        <v>134.36672463768113</v>
      </c>
      <c r="Z360" s="527">
        <f t="shared" si="515"/>
        <v>134.36672463768113</v>
      </c>
      <c r="AA360" s="527">
        <f t="shared" si="515"/>
        <v>134.36672463768113</v>
      </c>
      <c r="AB360" s="527">
        <f t="shared" si="515"/>
        <v>134.36672463768113</v>
      </c>
      <c r="AC360" s="527">
        <f t="shared" si="515"/>
        <v>134.36672463768113</v>
      </c>
      <c r="AD360" s="527">
        <f t="shared" si="515"/>
        <v>134.36672463768113</v>
      </c>
      <c r="AE360" s="527">
        <f t="shared" si="515"/>
        <v>134.36672463768113</v>
      </c>
      <c r="AF360" s="527">
        <f t="shared" si="515"/>
        <v>134.36672463768113</v>
      </c>
      <c r="AG360" s="527">
        <f t="shared" si="515"/>
        <v>134.36672463768113</v>
      </c>
      <c r="AH360" s="527">
        <f t="shared" si="515"/>
        <v>134.36672463768113</v>
      </c>
      <c r="AI360" s="527">
        <f t="shared" si="515"/>
        <v>134.36672463768113</v>
      </c>
      <c r="AJ360" s="527">
        <f t="shared" si="515"/>
        <v>134.36672463768113</v>
      </c>
      <c r="AK360" s="527">
        <f t="shared" si="515"/>
        <v>134.36672463768113</v>
      </c>
      <c r="AL360" s="527">
        <f t="shared" si="515"/>
        <v>134.36672463768113</v>
      </c>
      <c r="AM360" s="527">
        <f t="shared" si="515"/>
        <v>134.36672463768113</v>
      </c>
      <c r="AN360" s="527">
        <f t="shared" si="515"/>
        <v>134.36672463768113</v>
      </c>
      <c r="AO360" s="527">
        <f t="shared" si="515"/>
        <v>134.36672463768113</v>
      </c>
      <c r="AP360" s="527">
        <f t="shared" si="515"/>
        <v>134.36672463768113</v>
      </c>
      <c r="AQ360" s="527">
        <f t="shared" si="515"/>
        <v>134.36672463768113</v>
      </c>
      <c r="AR360" s="527">
        <f t="shared" si="515"/>
        <v>134.36672463768113</v>
      </c>
      <c r="AS360" s="527">
        <f t="shared" si="515"/>
        <v>134.36672463768113</v>
      </c>
      <c r="AT360" s="527">
        <f t="shared" si="515"/>
        <v>134.36672463768113</v>
      </c>
      <c r="AU360" s="527">
        <f t="shared" si="515"/>
        <v>134.36672463768113</v>
      </c>
      <c r="AV360" s="527">
        <f t="shared" si="515"/>
        <v>134.36672463768113</v>
      </c>
      <c r="AW360" s="527">
        <f t="shared" si="515"/>
        <v>134.36672463768113</v>
      </c>
      <c r="AX360" s="527">
        <f t="shared" ref="AX360:BY360" si="516">AX$602*$R157</f>
        <v>134.36672463768113</v>
      </c>
      <c r="AY360" s="527">
        <f t="shared" si="516"/>
        <v>134.36672463768113</v>
      </c>
      <c r="AZ360" s="527">
        <f t="shared" si="516"/>
        <v>134.36672463768113</v>
      </c>
      <c r="BA360" s="527">
        <f t="shared" si="516"/>
        <v>134.36672463768113</v>
      </c>
      <c r="BB360" s="527">
        <f t="shared" si="516"/>
        <v>134.36672463768113</v>
      </c>
      <c r="BC360" s="527">
        <f t="shared" si="516"/>
        <v>134.36672463768113</v>
      </c>
      <c r="BD360" s="527">
        <f t="shared" si="516"/>
        <v>134.36672463768113</v>
      </c>
      <c r="BE360" s="527">
        <f t="shared" si="516"/>
        <v>134.36672463768113</v>
      </c>
      <c r="BF360" s="527">
        <f t="shared" si="516"/>
        <v>134.36672463768113</v>
      </c>
      <c r="BG360" s="527">
        <f t="shared" si="516"/>
        <v>134.36672463768113</v>
      </c>
      <c r="BH360" s="527">
        <f t="shared" si="516"/>
        <v>134.36672463768113</v>
      </c>
      <c r="BI360" s="527">
        <f t="shared" si="516"/>
        <v>134.36672463768113</v>
      </c>
      <c r="BJ360" s="527">
        <f t="shared" si="516"/>
        <v>134.36672463768113</v>
      </c>
      <c r="BK360" s="527">
        <f t="shared" si="516"/>
        <v>134.36672463768113</v>
      </c>
      <c r="BL360" s="527">
        <f t="shared" si="516"/>
        <v>134.36672463768113</v>
      </c>
      <c r="BM360" s="527">
        <f t="shared" si="516"/>
        <v>134.36672463768113</v>
      </c>
      <c r="BN360" s="527">
        <f t="shared" si="516"/>
        <v>134.36672463768113</v>
      </c>
      <c r="BO360" s="527">
        <f t="shared" si="516"/>
        <v>134.36672463768113</v>
      </c>
      <c r="BP360" s="527">
        <f t="shared" si="516"/>
        <v>134.36672463768113</v>
      </c>
      <c r="BQ360" s="527">
        <f t="shared" si="516"/>
        <v>134.36672463768113</v>
      </c>
      <c r="BR360" s="527">
        <f t="shared" si="516"/>
        <v>134.36672463768113</v>
      </c>
      <c r="BS360" s="527">
        <f t="shared" si="516"/>
        <v>134.36672463768113</v>
      </c>
      <c r="BT360" s="527">
        <f t="shared" si="516"/>
        <v>134.36672463768113</v>
      </c>
      <c r="BU360" s="527">
        <f t="shared" si="516"/>
        <v>134.36672463768113</v>
      </c>
      <c r="BV360" s="527">
        <f t="shared" si="516"/>
        <v>134.36672463768113</v>
      </c>
      <c r="BW360" s="527">
        <f t="shared" si="516"/>
        <v>134.36672463768113</v>
      </c>
      <c r="BX360" s="527">
        <f t="shared" si="516"/>
        <v>134.36672463768113</v>
      </c>
      <c r="BY360" s="527">
        <f t="shared" si="516"/>
        <v>134.36672463768113</v>
      </c>
    </row>
    <row r="361" spans="1:77" x14ac:dyDescent="0.3">
      <c r="A361" s="551"/>
      <c r="B361" s="548"/>
      <c r="C361" s="525"/>
      <c r="D361" s="525"/>
      <c r="E361" s="635" t="str">
        <f>"Other income: "&amp;E$158</f>
        <v>Other income: FY30 Tranche</v>
      </c>
      <c r="F361" s="525"/>
      <c r="G361" s="525"/>
      <c r="H361" s="525"/>
      <c r="I361" s="525"/>
      <c r="J361" s="525"/>
      <c r="K361" s="525"/>
      <c r="L361" s="525"/>
      <c r="M361" s="525"/>
      <c r="N361" s="525"/>
      <c r="O361" s="525"/>
      <c r="P361" s="565"/>
      <c r="Q361" s="525"/>
      <c r="R361" s="527">
        <f t="shared" ref="R361:AW361" si="517">R$602*$R158</f>
        <v>134.36672463768113</v>
      </c>
      <c r="S361" s="527">
        <f t="shared" si="517"/>
        <v>134.36672463768113</v>
      </c>
      <c r="T361" s="527">
        <f t="shared" si="517"/>
        <v>134.36672463768113</v>
      </c>
      <c r="U361" s="527">
        <f t="shared" si="517"/>
        <v>134.36672463768113</v>
      </c>
      <c r="V361" s="527">
        <f t="shared" si="517"/>
        <v>134.36672463768113</v>
      </c>
      <c r="W361" s="527">
        <f t="shared" si="517"/>
        <v>134.36672463768113</v>
      </c>
      <c r="X361" s="527">
        <f t="shared" si="517"/>
        <v>134.36672463768113</v>
      </c>
      <c r="Y361" s="527">
        <f t="shared" si="517"/>
        <v>134.36672463768113</v>
      </c>
      <c r="Z361" s="527">
        <f t="shared" si="517"/>
        <v>134.36672463768113</v>
      </c>
      <c r="AA361" s="527">
        <f t="shared" si="517"/>
        <v>134.36672463768113</v>
      </c>
      <c r="AB361" s="527">
        <f t="shared" si="517"/>
        <v>134.36672463768113</v>
      </c>
      <c r="AC361" s="527">
        <f t="shared" si="517"/>
        <v>134.36672463768113</v>
      </c>
      <c r="AD361" s="527">
        <f t="shared" si="517"/>
        <v>134.36672463768113</v>
      </c>
      <c r="AE361" s="527">
        <f t="shared" si="517"/>
        <v>134.36672463768113</v>
      </c>
      <c r="AF361" s="527">
        <f t="shared" si="517"/>
        <v>134.36672463768113</v>
      </c>
      <c r="AG361" s="527">
        <f t="shared" si="517"/>
        <v>134.36672463768113</v>
      </c>
      <c r="AH361" s="527">
        <f t="shared" si="517"/>
        <v>134.36672463768113</v>
      </c>
      <c r="AI361" s="527">
        <f t="shared" si="517"/>
        <v>134.36672463768113</v>
      </c>
      <c r="AJ361" s="527">
        <f t="shared" si="517"/>
        <v>134.36672463768113</v>
      </c>
      <c r="AK361" s="527">
        <f t="shared" si="517"/>
        <v>134.36672463768113</v>
      </c>
      <c r="AL361" s="527">
        <f t="shared" si="517"/>
        <v>134.36672463768113</v>
      </c>
      <c r="AM361" s="527">
        <f t="shared" si="517"/>
        <v>134.36672463768113</v>
      </c>
      <c r="AN361" s="527">
        <f t="shared" si="517"/>
        <v>134.36672463768113</v>
      </c>
      <c r="AO361" s="527">
        <f t="shared" si="517"/>
        <v>134.36672463768113</v>
      </c>
      <c r="AP361" s="527">
        <f t="shared" si="517"/>
        <v>134.36672463768113</v>
      </c>
      <c r="AQ361" s="527">
        <f t="shared" si="517"/>
        <v>134.36672463768113</v>
      </c>
      <c r="AR361" s="527">
        <f t="shared" si="517"/>
        <v>134.36672463768113</v>
      </c>
      <c r="AS361" s="527">
        <f t="shared" si="517"/>
        <v>134.36672463768113</v>
      </c>
      <c r="AT361" s="527">
        <f t="shared" si="517"/>
        <v>134.36672463768113</v>
      </c>
      <c r="AU361" s="527">
        <f t="shared" si="517"/>
        <v>134.36672463768113</v>
      </c>
      <c r="AV361" s="527">
        <f t="shared" si="517"/>
        <v>134.36672463768113</v>
      </c>
      <c r="AW361" s="527">
        <f t="shared" si="517"/>
        <v>134.36672463768113</v>
      </c>
      <c r="AX361" s="527">
        <f t="shared" ref="AX361:BY361" si="518">AX$602*$R158</f>
        <v>134.36672463768113</v>
      </c>
      <c r="AY361" s="527">
        <f t="shared" si="518"/>
        <v>134.36672463768113</v>
      </c>
      <c r="AZ361" s="527">
        <f t="shared" si="518"/>
        <v>134.36672463768113</v>
      </c>
      <c r="BA361" s="527">
        <f t="shared" si="518"/>
        <v>134.36672463768113</v>
      </c>
      <c r="BB361" s="527">
        <f t="shared" si="518"/>
        <v>134.36672463768113</v>
      </c>
      <c r="BC361" s="527">
        <f t="shared" si="518"/>
        <v>134.36672463768113</v>
      </c>
      <c r="BD361" s="527">
        <f t="shared" si="518"/>
        <v>134.36672463768113</v>
      </c>
      <c r="BE361" s="527">
        <f t="shared" si="518"/>
        <v>134.36672463768113</v>
      </c>
      <c r="BF361" s="527">
        <f t="shared" si="518"/>
        <v>134.36672463768113</v>
      </c>
      <c r="BG361" s="527">
        <f t="shared" si="518"/>
        <v>134.36672463768113</v>
      </c>
      <c r="BH361" s="527">
        <f t="shared" si="518"/>
        <v>134.36672463768113</v>
      </c>
      <c r="BI361" s="527">
        <f t="shared" si="518"/>
        <v>134.36672463768113</v>
      </c>
      <c r="BJ361" s="527">
        <f t="shared" si="518"/>
        <v>134.36672463768113</v>
      </c>
      <c r="BK361" s="527">
        <f t="shared" si="518"/>
        <v>134.36672463768113</v>
      </c>
      <c r="BL361" s="527">
        <f t="shared" si="518"/>
        <v>134.36672463768113</v>
      </c>
      <c r="BM361" s="527">
        <f t="shared" si="518"/>
        <v>134.36672463768113</v>
      </c>
      <c r="BN361" s="527">
        <f t="shared" si="518"/>
        <v>134.36672463768113</v>
      </c>
      <c r="BO361" s="527">
        <f t="shared" si="518"/>
        <v>134.36672463768113</v>
      </c>
      <c r="BP361" s="527">
        <f t="shared" si="518"/>
        <v>134.36672463768113</v>
      </c>
      <c r="BQ361" s="527">
        <f t="shared" si="518"/>
        <v>134.36672463768113</v>
      </c>
      <c r="BR361" s="527">
        <f t="shared" si="518"/>
        <v>134.36672463768113</v>
      </c>
      <c r="BS361" s="527">
        <f t="shared" si="518"/>
        <v>134.36672463768113</v>
      </c>
      <c r="BT361" s="527">
        <f t="shared" si="518"/>
        <v>134.36672463768113</v>
      </c>
      <c r="BU361" s="527">
        <f t="shared" si="518"/>
        <v>134.36672463768113</v>
      </c>
      <c r="BV361" s="527">
        <f t="shared" si="518"/>
        <v>134.36672463768113</v>
      </c>
      <c r="BW361" s="527">
        <f t="shared" si="518"/>
        <v>134.36672463768113</v>
      </c>
      <c r="BX361" s="527">
        <f t="shared" si="518"/>
        <v>134.36672463768113</v>
      </c>
      <c r="BY361" s="527">
        <f t="shared" si="518"/>
        <v>134.36672463768113</v>
      </c>
    </row>
    <row r="362" spans="1:77" x14ac:dyDescent="0.3">
      <c r="A362" s="551"/>
      <c r="B362" s="548"/>
      <c r="C362" s="525"/>
      <c r="D362" s="525"/>
      <c r="E362" s="635" t="str">
        <f>"Other income: "&amp;E$159</f>
        <v>Other income: FY31 Tranche</v>
      </c>
      <c r="F362" s="525"/>
      <c r="G362" s="525"/>
      <c r="H362" s="525"/>
      <c r="I362" s="525"/>
      <c r="J362" s="525"/>
      <c r="K362" s="525"/>
      <c r="L362" s="525"/>
      <c r="M362" s="525"/>
      <c r="N362" s="525"/>
      <c r="O362" s="525"/>
      <c r="P362" s="565"/>
      <c r="Q362" s="525"/>
      <c r="R362" s="527">
        <f t="shared" ref="R362:AW362" si="519">R$602*$R159</f>
        <v>134.36672463768113</v>
      </c>
      <c r="S362" s="527">
        <f t="shared" si="519"/>
        <v>134.36672463768113</v>
      </c>
      <c r="T362" s="527">
        <f t="shared" si="519"/>
        <v>134.36672463768113</v>
      </c>
      <c r="U362" s="527">
        <f t="shared" si="519"/>
        <v>134.36672463768113</v>
      </c>
      <c r="V362" s="527">
        <f t="shared" si="519"/>
        <v>134.36672463768113</v>
      </c>
      <c r="W362" s="527">
        <f t="shared" si="519"/>
        <v>134.36672463768113</v>
      </c>
      <c r="X362" s="527">
        <f t="shared" si="519"/>
        <v>134.36672463768113</v>
      </c>
      <c r="Y362" s="527">
        <f t="shared" si="519"/>
        <v>134.36672463768113</v>
      </c>
      <c r="Z362" s="527">
        <f t="shared" si="519"/>
        <v>134.36672463768113</v>
      </c>
      <c r="AA362" s="527">
        <f t="shared" si="519"/>
        <v>134.36672463768113</v>
      </c>
      <c r="AB362" s="527">
        <f t="shared" si="519"/>
        <v>134.36672463768113</v>
      </c>
      <c r="AC362" s="527">
        <f t="shared" si="519"/>
        <v>134.36672463768113</v>
      </c>
      <c r="AD362" s="527">
        <f t="shared" si="519"/>
        <v>134.36672463768113</v>
      </c>
      <c r="AE362" s="527">
        <f t="shared" si="519"/>
        <v>134.36672463768113</v>
      </c>
      <c r="AF362" s="527">
        <f t="shared" si="519"/>
        <v>134.36672463768113</v>
      </c>
      <c r="AG362" s="527">
        <f t="shared" si="519"/>
        <v>134.36672463768113</v>
      </c>
      <c r="AH362" s="527">
        <f t="shared" si="519"/>
        <v>134.36672463768113</v>
      </c>
      <c r="AI362" s="527">
        <f t="shared" si="519"/>
        <v>134.36672463768113</v>
      </c>
      <c r="AJ362" s="527">
        <f t="shared" si="519"/>
        <v>134.36672463768113</v>
      </c>
      <c r="AK362" s="527">
        <f t="shared" si="519"/>
        <v>134.36672463768113</v>
      </c>
      <c r="AL362" s="527">
        <f t="shared" si="519"/>
        <v>134.36672463768113</v>
      </c>
      <c r="AM362" s="527">
        <f t="shared" si="519"/>
        <v>134.36672463768113</v>
      </c>
      <c r="AN362" s="527">
        <f t="shared" si="519"/>
        <v>134.36672463768113</v>
      </c>
      <c r="AO362" s="527">
        <f t="shared" si="519"/>
        <v>134.36672463768113</v>
      </c>
      <c r="AP362" s="527">
        <f t="shared" si="519"/>
        <v>134.36672463768113</v>
      </c>
      <c r="AQ362" s="527">
        <f t="shared" si="519"/>
        <v>134.36672463768113</v>
      </c>
      <c r="AR362" s="527">
        <f t="shared" si="519"/>
        <v>134.36672463768113</v>
      </c>
      <c r="AS362" s="527">
        <f t="shared" si="519"/>
        <v>134.36672463768113</v>
      </c>
      <c r="AT362" s="527">
        <f t="shared" si="519"/>
        <v>134.36672463768113</v>
      </c>
      <c r="AU362" s="527">
        <f t="shared" si="519"/>
        <v>134.36672463768113</v>
      </c>
      <c r="AV362" s="527">
        <f t="shared" si="519"/>
        <v>134.36672463768113</v>
      </c>
      <c r="AW362" s="527">
        <f t="shared" si="519"/>
        <v>134.36672463768113</v>
      </c>
      <c r="AX362" s="527">
        <f t="shared" ref="AX362:BY362" si="520">AX$602*$R159</f>
        <v>134.36672463768113</v>
      </c>
      <c r="AY362" s="527">
        <f t="shared" si="520"/>
        <v>134.36672463768113</v>
      </c>
      <c r="AZ362" s="527">
        <f t="shared" si="520"/>
        <v>134.36672463768113</v>
      </c>
      <c r="BA362" s="527">
        <f t="shared" si="520"/>
        <v>134.36672463768113</v>
      </c>
      <c r="BB362" s="527">
        <f t="shared" si="520"/>
        <v>134.36672463768113</v>
      </c>
      <c r="BC362" s="527">
        <f t="shared" si="520"/>
        <v>134.36672463768113</v>
      </c>
      <c r="BD362" s="527">
        <f t="shared" si="520"/>
        <v>134.36672463768113</v>
      </c>
      <c r="BE362" s="527">
        <f t="shared" si="520"/>
        <v>134.36672463768113</v>
      </c>
      <c r="BF362" s="527">
        <f t="shared" si="520"/>
        <v>134.36672463768113</v>
      </c>
      <c r="BG362" s="527">
        <f t="shared" si="520"/>
        <v>134.36672463768113</v>
      </c>
      <c r="BH362" s="527">
        <f t="shared" si="520"/>
        <v>134.36672463768113</v>
      </c>
      <c r="BI362" s="527">
        <f t="shared" si="520"/>
        <v>134.36672463768113</v>
      </c>
      <c r="BJ362" s="527">
        <f t="shared" si="520"/>
        <v>134.36672463768113</v>
      </c>
      <c r="BK362" s="527">
        <f t="shared" si="520"/>
        <v>134.36672463768113</v>
      </c>
      <c r="BL362" s="527">
        <f t="shared" si="520"/>
        <v>134.36672463768113</v>
      </c>
      <c r="BM362" s="527">
        <f t="shared" si="520"/>
        <v>134.36672463768113</v>
      </c>
      <c r="BN362" s="527">
        <f t="shared" si="520"/>
        <v>134.36672463768113</v>
      </c>
      <c r="BO362" s="527">
        <f t="shared" si="520"/>
        <v>134.36672463768113</v>
      </c>
      <c r="BP362" s="527">
        <f t="shared" si="520"/>
        <v>134.36672463768113</v>
      </c>
      <c r="BQ362" s="527">
        <f t="shared" si="520"/>
        <v>134.36672463768113</v>
      </c>
      <c r="BR362" s="527">
        <f t="shared" si="520"/>
        <v>134.36672463768113</v>
      </c>
      <c r="BS362" s="527">
        <f t="shared" si="520"/>
        <v>134.36672463768113</v>
      </c>
      <c r="BT362" s="527">
        <f t="shared" si="520"/>
        <v>134.36672463768113</v>
      </c>
      <c r="BU362" s="527">
        <f t="shared" si="520"/>
        <v>134.36672463768113</v>
      </c>
      <c r="BV362" s="527">
        <f t="shared" si="520"/>
        <v>134.36672463768113</v>
      </c>
      <c r="BW362" s="527">
        <f t="shared" si="520"/>
        <v>134.36672463768113</v>
      </c>
      <c r="BX362" s="527">
        <f t="shared" si="520"/>
        <v>134.36672463768113</v>
      </c>
      <c r="BY362" s="527">
        <f t="shared" si="520"/>
        <v>134.36672463768113</v>
      </c>
    </row>
    <row r="363" spans="1:77" x14ac:dyDescent="0.3">
      <c r="A363" s="551"/>
      <c r="B363" s="548"/>
      <c r="C363" s="525"/>
      <c r="D363" s="525"/>
      <c r="E363" s="635" t="str">
        <f>"Other income: "&amp;E$160</f>
        <v>Other income: Uninvested Tranche</v>
      </c>
      <c r="F363" s="525"/>
      <c r="G363" s="525"/>
      <c r="H363" s="525"/>
      <c r="I363" s="525"/>
      <c r="J363" s="525"/>
      <c r="K363" s="525"/>
      <c r="L363" s="525"/>
      <c r="M363" s="525"/>
      <c r="N363" s="525"/>
      <c r="O363" s="525"/>
      <c r="P363" s="565"/>
      <c r="Q363" s="525"/>
      <c r="R363" s="527">
        <f t="shared" ref="R363:AW363" si="521">R$602*$R160</f>
        <v>293.92721014492747</v>
      </c>
      <c r="S363" s="527">
        <f t="shared" si="521"/>
        <v>293.92721014492747</v>
      </c>
      <c r="T363" s="527">
        <f t="shared" si="521"/>
        <v>293.92721014492747</v>
      </c>
      <c r="U363" s="527">
        <f t="shared" si="521"/>
        <v>293.92721014492747</v>
      </c>
      <c r="V363" s="527">
        <f t="shared" si="521"/>
        <v>293.92721014492747</v>
      </c>
      <c r="W363" s="527">
        <f t="shared" si="521"/>
        <v>293.92721014492747</v>
      </c>
      <c r="X363" s="527">
        <f t="shared" si="521"/>
        <v>293.92721014492747</v>
      </c>
      <c r="Y363" s="527">
        <f t="shared" si="521"/>
        <v>293.92721014492747</v>
      </c>
      <c r="Z363" s="527">
        <f t="shared" si="521"/>
        <v>293.92721014492747</v>
      </c>
      <c r="AA363" s="527">
        <f t="shared" si="521"/>
        <v>293.92721014492747</v>
      </c>
      <c r="AB363" s="527">
        <f t="shared" si="521"/>
        <v>293.92721014492747</v>
      </c>
      <c r="AC363" s="527">
        <f t="shared" si="521"/>
        <v>293.92721014492747</v>
      </c>
      <c r="AD363" s="527">
        <f t="shared" si="521"/>
        <v>293.92721014492747</v>
      </c>
      <c r="AE363" s="527">
        <f t="shared" si="521"/>
        <v>293.92721014492747</v>
      </c>
      <c r="AF363" s="527">
        <f t="shared" si="521"/>
        <v>293.92721014492747</v>
      </c>
      <c r="AG363" s="527">
        <f t="shared" si="521"/>
        <v>293.92721014492747</v>
      </c>
      <c r="AH363" s="527">
        <f t="shared" si="521"/>
        <v>293.92721014492747</v>
      </c>
      <c r="AI363" s="527">
        <f t="shared" si="521"/>
        <v>293.92721014492747</v>
      </c>
      <c r="AJ363" s="527">
        <f t="shared" si="521"/>
        <v>293.92721014492747</v>
      </c>
      <c r="AK363" s="527">
        <f t="shared" si="521"/>
        <v>293.92721014492747</v>
      </c>
      <c r="AL363" s="527">
        <f t="shared" si="521"/>
        <v>293.92721014492747</v>
      </c>
      <c r="AM363" s="527">
        <f t="shared" si="521"/>
        <v>293.92721014492747</v>
      </c>
      <c r="AN363" s="527">
        <f t="shared" si="521"/>
        <v>293.92721014492747</v>
      </c>
      <c r="AO363" s="527">
        <f t="shared" si="521"/>
        <v>293.92721014492747</v>
      </c>
      <c r="AP363" s="527">
        <f t="shared" si="521"/>
        <v>293.92721014492747</v>
      </c>
      <c r="AQ363" s="527">
        <f t="shared" si="521"/>
        <v>293.92721014492747</v>
      </c>
      <c r="AR363" s="527">
        <f t="shared" si="521"/>
        <v>293.92721014492747</v>
      </c>
      <c r="AS363" s="527">
        <f t="shared" si="521"/>
        <v>293.92721014492747</v>
      </c>
      <c r="AT363" s="527">
        <f t="shared" si="521"/>
        <v>293.92721014492747</v>
      </c>
      <c r="AU363" s="527">
        <f t="shared" si="521"/>
        <v>293.92721014492747</v>
      </c>
      <c r="AV363" s="527">
        <f t="shared" si="521"/>
        <v>293.92721014492747</v>
      </c>
      <c r="AW363" s="527">
        <f t="shared" si="521"/>
        <v>293.92721014492747</v>
      </c>
      <c r="AX363" s="527">
        <f t="shared" ref="AX363:BY363" si="522">AX$602*$R160</f>
        <v>293.92721014492747</v>
      </c>
      <c r="AY363" s="527">
        <f t="shared" si="522"/>
        <v>293.92721014492747</v>
      </c>
      <c r="AZ363" s="527">
        <f t="shared" si="522"/>
        <v>293.92721014492747</v>
      </c>
      <c r="BA363" s="527">
        <f t="shared" si="522"/>
        <v>293.92721014492747</v>
      </c>
      <c r="BB363" s="527">
        <f t="shared" si="522"/>
        <v>293.92721014492747</v>
      </c>
      <c r="BC363" s="527">
        <f t="shared" si="522"/>
        <v>293.92721014492747</v>
      </c>
      <c r="BD363" s="527">
        <f t="shared" si="522"/>
        <v>293.92721014492747</v>
      </c>
      <c r="BE363" s="527">
        <f t="shared" si="522"/>
        <v>293.92721014492747</v>
      </c>
      <c r="BF363" s="527">
        <f t="shared" si="522"/>
        <v>293.92721014492747</v>
      </c>
      <c r="BG363" s="527">
        <f t="shared" si="522"/>
        <v>293.92721014492747</v>
      </c>
      <c r="BH363" s="527">
        <f t="shared" si="522"/>
        <v>293.92721014492747</v>
      </c>
      <c r="BI363" s="527">
        <f t="shared" si="522"/>
        <v>293.92721014492747</v>
      </c>
      <c r="BJ363" s="527">
        <f t="shared" si="522"/>
        <v>293.92721014492747</v>
      </c>
      <c r="BK363" s="527">
        <f t="shared" si="522"/>
        <v>293.92721014492747</v>
      </c>
      <c r="BL363" s="527">
        <f t="shared" si="522"/>
        <v>293.92721014492747</v>
      </c>
      <c r="BM363" s="527">
        <f t="shared" si="522"/>
        <v>293.92721014492747</v>
      </c>
      <c r="BN363" s="527">
        <f t="shared" si="522"/>
        <v>293.92721014492747</v>
      </c>
      <c r="BO363" s="527">
        <f t="shared" si="522"/>
        <v>293.92721014492747</v>
      </c>
      <c r="BP363" s="527">
        <f t="shared" si="522"/>
        <v>293.92721014492747</v>
      </c>
      <c r="BQ363" s="527">
        <f t="shared" si="522"/>
        <v>293.92721014492747</v>
      </c>
      <c r="BR363" s="527">
        <f t="shared" si="522"/>
        <v>293.92721014492747</v>
      </c>
      <c r="BS363" s="527">
        <f t="shared" si="522"/>
        <v>293.92721014492747</v>
      </c>
      <c r="BT363" s="527">
        <f t="shared" si="522"/>
        <v>293.92721014492747</v>
      </c>
      <c r="BU363" s="527">
        <f t="shared" si="522"/>
        <v>293.92721014492747</v>
      </c>
      <c r="BV363" s="527">
        <f t="shared" si="522"/>
        <v>293.92721014492747</v>
      </c>
      <c r="BW363" s="527">
        <f t="shared" si="522"/>
        <v>293.92721014492747</v>
      </c>
      <c r="BX363" s="527">
        <f t="shared" si="522"/>
        <v>293.92721014492747</v>
      </c>
      <c r="BY363" s="527">
        <f t="shared" si="522"/>
        <v>293.92721014492747</v>
      </c>
    </row>
    <row r="364" spans="1:77" x14ac:dyDescent="0.3">
      <c r="A364" s="551"/>
      <c r="B364" s="548"/>
      <c r="C364" s="525"/>
      <c r="D364" s="525"/>
      <c r="E364" s="572" t="s">
        <v>36</v>
      </c>
      <c r="F364" s="572"/>
      <c r="G364" s="572"/>
      <c r="H364" s="572"/>
      <c r="I364" s="572"/>
      <c r="J364" s="572"/>
      <c r="K364" s="572"/>
      <c r="L364" s="572"/>
      <c r="M364" s="572"/>
      <c r="N364" s="572"/>
      <c r="O364" s="572"/>
      <c r="P364" s="612"/>
      <c r="Q364" s="572"/>
      <c r="R364" s="530">
        <f t="shared" ref="R364:AW364" si="523">SUM(R358:R363)</f>
        <v>965.76083333333315</v>
      </c>
      <c r="S364" s="530">
        <f t="shared" si="523"/>
        <v>965.76083333333315</v>
      </c>
      <c r="T364" s="530">
        <f t="shared" si="523"/>
        <v>965.76083333333315</v>
      </c>
      <c r="U364" s="530">
        <f t="shared" si="523"/>
        <v>965.76083333333315</v>
      </c>
      <c r="V364" s="530">
        <f t="shared" si="523"/>
        <v>965.76083333333315</v>
      </c>
      <c r="W364" s="530">
        <f t="shared" si="523"/>
        <v>965.76083333333315</v>
      </c>
      <c r="X364" s="530">
        <f t="shared" si="523"/>
        <v>965.76083333333315</v>
      </c>
      <c r="Y364" s="530">
        <f t="shared" si="523"/>
        <v>965.76083333333315</v>
      </c>
      <c r="Z364" s="530">
        <f t="shared" si="523"/>
        <v>965.76083333333315</v>
      </c>
      <c r="AA364" s="530">
        <f t="shared" si="523"/>
        <v>965.76083333333315</v>
      </c>
      <c r="AB364" s="530">
        <f t="shared" si="523"/>
        <v>965.76083333333315</v>
      </c>
      <c r="AC364" s="530">
        <f t="shared" si="523"/>
        <v>965.76083333333315</v>
      </c>
      <c r="AD364" s="530">
        <f t="shared" si="523"/>
        <v>965.76083333333315</v>
      </c>
      <c r="AE364" s="530">
        <f t="shared" si="523"/>
        <v>965.76083333333315</v>
      </c>
      <c r="AF364" s="530">
        <f t="shared" si="523"/>
        <v>965.76083333333315</v>
      </c>
      <c r="AG364" s="530">
        <f t="shared" si="523"/>
        <v>965.76083333333315</v>
      </c>
      <c r="AH364" s="530">
        <f t="shared" si="523"/>
        <v>965.76083333333315</v>
      </c>
      <c r="AI364" s="530">
        <f t="shared" si="523"/>
        <v>965.76083333333315</v>
      </c>
      <c r="AJ364" s="530">
        <f t="shared" si="523"/>
        <v>965.76083333333315</v>
      </c>
      <c r="AK364" s="530">
        <f t="shared" si="523"/>
        <v>965.76083333333315</v>
      </c>
      <c r="AL364" s="530">
        <f t="shared" si="523"/>
        <v>965.76083333333315</v>
      </c>
      <c r="AM364" s="530">
        <f t="shared" si="523"/>
        <v>965.76083333333315</v>
      </c>
      <c r="AN364" s="530">
        <f t="shared" si="523"/>
        <v>965.76083333333315</v>
      </c>
      <c r="AO364" s="530">
        <f t="shared" si="523"/>
        <v>965.76083333333315</v>
      </c>
      <c r="AP364" s="530">
        <f t="shared" si="523"/>
        <v>965.76083333333315</v>
      </c>
      <c r="AQ364" s="530">
        <f t="shared" si="523"/>
        <v>965.76083333333315</v>
      </c>
      <c r="AR364" s="530">
        <f t="shared" si="523"/>
        <v>965.76083333333315</v>
      </c>
      <c r="AS364" s="530">
        <f t="shared" si="523"/>
        <v>965.76083333333315</v>
      </c>
      <c r="AT364" s="530">
        <f t="shared" si="523"/>
        <v>965.76083333333315</v>
      </c>
      <c r="AU364" s="530">
        <f t="shared" si="523"/>
        <v>965.76083333333315</v>
      </c>
      <c r="AV364" s="530">
        <f t="shared" si="523"/>
        <v>965.76083333333315</v>
      </c>
      <c r="AW364" s="530">
        <f t="shared" si="523"/>
        <v>965.76083333333315</v>
      </c>
      <c r="AX364" s="530">
        <f t="shared" ref="AX364:BY364" si="524">SUM(AX358:AX363)</f>
        <v>965.76083333333315</v>
      </c>
      <c r="AY364" s="530">
        <f t="shared" si="524"/>
        <v>965.76083333333315</v>
      </c>
      <c r="AZ364" s="530">
        <f t="shared" si="524"/>
        <v>965.76083333333315</v>
      </c>
      <c r="BA364" s="530">
        <f t="shared" si="524"/>
        <v>965.76083333333315</v>
      </c>
      <c r="BB364" s="530">
        <f t="shared" si="524"/>
        <v>965.76083333333315</v>
      </c>
      <c r="BC364" s="530">
        <f t="shared" si="524"/>
        <v>965.76083333333315</v>
      </c>
      <c r="BD364" s="530">
        <f t="shared" si="524"/>
        <v>965.76083333333315</v>
      </c>
      <c r="BE364" s="530">
        <f t="shared" si="524"/>
        <v>965.76083333333315</v>
      </c>
      <c r="BF364" s="530">
        <f t="shared" si="524"/>
        <v>965.76083333333315</v>
      </c>
      <c r="BG364" s="530">
        <f t="shared" si="524"/>
        <v>965.76083333333315</v>
      </c>
      <c r="BH364" s="530">
        <f t="shared" si="524"/>
        <v>965.76083333333315</v>
      </c>
      <c r="BI364" s="530">
        <f t="shared" si="524"/>
        <v>965.76083333333315</v>
      </c>
      <c r="BJ364" s="530">
        <f t="shared" si="524"/>
        <v>965.76083333333315</v>
      </c>
      <c r="BK364" s="530">
        <f t="shared" si="524"/>
        <v>965.76083333333315</v>
      </c>
      <c r="BL364" s="530">
        <f t="shared" si="524"/>
        <v>965.76083333333315</v>
      </c>
      <c r="BM364" s="530">
        <f t="shared" si="524"/>
        <v>965.76083333333315</v>
      </c>
      <c r="BN364" s="530">
        <f t="shared" si="524"/>
        <v>965.76083333333315</v>
      </c>
      <c r="BO364" s="530">
        <f t="shared" si="524"/>
        <v>965.76083333333315</v>
      </c>
      <c r="BP364" s="530">
        <f t="shared" si="524"/>
        <v>965.76083333333315</v>
      </c>
      <c r="BQ364" s="530">
        <f t="shared" si="524"/>
        <v>965.76083333333315</v>
      </c>
      <c r="BR364" s="530">
        <f t="shared" si="524"/>
        <v>965.76083333333315</v>
      </c>
      <c r="BS364" s="530">
        <f t="shared" si="524"/>
        <v>965.76083333333315</v>
      </c>
      <c r="BT364" s="530">
        <f t="shared" si="524"/>
        <v>965.76083333333315</v>
      </c>
      <c r="BU364" s="530">
        <f t="shared" si="524"/>
        <v>965.76083333333315</v>
      </c>
      <c r="BV364" s="530">
        <f t="shared" si="524"/>
        <v>965.76083333333315</v>
      </c>
      <c r="BW364" s="530">
        <f t="shared" si="524"/>
        <v>965.76083333333315</v>
      </c>
      <c r="BX364" s="530">
        <f t="shared" si="524"/>
        <v>965.76083333333315</v>
      </c>
      <c r="BY364" s="530">
        <f t="shared" si="524"/>
        <v>965.76083333333315</v>
      </c>
    </row>
    <row r="365" spans="1:77" x14ac:dyDescent="0.3">
      <c r="A365" s="551"/>
      <c r="B365" s="548"/>
      <c r="C365" s="525"/>
      <c r="D365" s="525"/>
      <c r="E365" s="525"/>
      <c r="F365" s="525"/>
      <c r="G365" s="525"/>
      <c r="H365" s="525"/>
      <c r="I365" s="525"/>
      <c r="J365" s="525"/>
      <c r="K365" s="525"/>
      <c r="L365" s="525"/>
      <c r="M365" s="525"/>
      <c r="N365" s="525"/>
      <c r="O365" s="525"/>
      <c r="P365" s="565"/>
      <c r="Q365" s="525"/>
      <c r="R365" s="525"/>
      <c r="S365" s="525"/>
      <c r="T365" s="525"/>
      <c r="U365" s="525"/>
      <c r="V365" s="525"/>
      <c r="W365" s="525"/>
      <c r="X365" s="525"/>
      <c r="Y365" s="525"/>
      <c r="Z365" s="525"/>
      <c r="AA365" s="525"/>
      <c r="AB365" s="525"/>
      <c r="AC365" s="525"/>
      <c r="AD365" s="525"/>
      <c r="AE365" s="525"/>
      <c r="AF365" s="525"/>
      <c r="AG365" s="525"/>
      <c r="AH365" s="525"/>
      <c r="AI365" s="525"/>
      <c r="AJ365" s="525"/>
      <c r="AK365" s="525"/>
      <c r="AL365" s="525"/>
      <c r="AM365" s="525"/>
      <c r="AN365" s="525"/>
      <c r="AO365" s="525"/>
      <c r="AP365" s="525"/>
      <c r="AQ365" s="525"/>
      <c r="AR365" s="525"/>
      <c r="AS365" s="525"/>
      <c r="AT365" s="525"/>
      <c r="AU365" s="525"/>
      <c r="AV365" s="525"/>
      <c r="AW365" s="525"/>
      <c r="AX365" s="525"/>
      <c r="AY365" s="525"/>
      <c r="AZ365" s="525"/>
      <c r="BA365" s="525"/>
      <c r="BB365" s="525"/>
      <c r="BC365" s="525"/>
      <c r="BD365" s="525"/>
      <c r="BE365" s="525"/>
      <c r="BF365" s="525"/>
      <c r="BG365" s="525"/>
      <c r="BH365" s="525"/>
      <c r="BI365" s="525"/>
      <c r="BJ365" s="525"/>
      <c r="BK365" s="525"/>
      <c r="BL365" s="525"/>
      <c r="BM365" s="525"/>
      <c r="BN365" s="525"/>
      <c r="BO365" s="525"/>
      <c r="BP365" s="525"/>
      <c r="BQ365" s="525"/>
      <c r="BR365" s="525"/>
      <c r="BS365" s="525"/>
      <c r="BT365" s="525"/>
      <c r="BU365" s="525"/>
      <c r="BV365" s="525"/>
      <c r="BW365" s="525"/>
      <c r="BX365" s="525"/>
      <c r="BY365" s="525"/>
    </row>
    <row r="366" spans="1:77" x14ac:dyDescent="0.3">
      <c r="A366" s="551"/>
      <c r="B366" s="548"/>
      <c r="C366" s="525"/>
      <c r="D366" s="525"/>
      <c r="E366" s="636" t="str">
        <f>"Machines income: "&amp;E$155</f>
        <v>Machines income: FY27 Tranche</v>
      </c>
      <c r="F366" s="525"/>
      <c r="G366" s="525"/>
      <c r="H366" s="525"/>
      <c r="I366" s="525"/>
      <c r="J366" s="525"/>
      <c r="K366" s="525"/>
      <c r="L366" s="525"/>
      <c r="M366" s="525"/>
      <c r="N366" s="525"/>
      <c r="O366" s="525"/>
      <c r="P366" s="565"/>
      <c r="Q366" s="525"/>
      <c r="R366" s="527">
        <f t="shared" ref="R366:AW366" si="525">R$603*$R155</f>
        <v>929.6021980898521</v>
      </c>
      <c r="S366" s="527">
        <f t="shared" si="525"/>
        <v>929.6021980898521</v>
      </c>
      <c r="T366" s="527">
        <f t="shared" si="525"/>
        <v>929.6021980898521</v>
      </c>
      <c r="U366" s="527">
        <f t="shared" si="525"/>
        <v>929.6021980898521</v>
      </c>
      <c r="V366" s="527">
        <f t="shared" si="525"/>
        <v>929.6021980898521</v>
      </c>
      <c r="W366" s="527">
        <f t="shared" si="525"/>
        <v>929.6021980898521</v>
      </c>
      <c r="X366" s="527">
        <f t="shared" si="525"/>
        <v>929.6021980898521</v>
      </c>
      <c r="Y366" s="527">
        <f t="shared" si="525"/>
        <v>929.6021980898521</v>
      </c>
      <c r="Z366" s="527">
        <f t="shared" si="525"/>
        <v>929.6021980898521</v>
      </c>
      <c r="AA366" s="527">
        <f t="shared" si="525"/>
        <v>929.6021980898521</v>
      </c>
      <c r="AB366" s="527">
        <f t="shared" si="525"/>
        <v>929.6021980898521</v>
      </c>
      <c r="AC366" s="527">
        <f t="shared" si="525"/>
        <v>929.6021980898521</v>
      </c>
      <c r="AD366" s="527">
        <f t="shared" si="525"/>
        <v>929.6021980898521</v>
      </c>
      <c r="AE366" s="527">
        <f t="shared" si="525"/>
        <v>929.6021980898521</v>
      </c>
      <c r="AF366" s="527">
        <f t="shared" si="525"/>
        <v>929.6021980898521</v>
      </c>
      <c r="AG366" s="527">
        <f t="shared" si="525"/>
        <v>929.6021980898521</v>
      </c>
      <c r="AH366" s="527">
        <f t="shared" si="525"/>
        <v>929.6021980898521</v>
      </c>
      <c r="AI366" s="527">
        <f t="shared" si="525"/>
        <v>929.6021980898521</v>
      </c>
      <c r="AJ366" s="527">
        <f t="shared" si="525"/>
        <v>929.6021980898521</v>
      </c>
      <c r="AK366" s="527">
        <f t="shared" si="525"/>
        <v>929.6021980898521</v>
      </c>
      <c r="AL366" s="527">
        <f t="shared" si="525"/>
        <v>929.6021980898521</v>
      </c>
      <c r="AM366" s="527">
        <f t="shared" si="525"/>
        <v>929.6021980898521</v>
      </c>
      <c r="AN366" s="527">
        <f t="shared" si="525"/>
        <v>929.6021980898521</v>
      </c>
      <c r="AO366" s="527">
        <f t="shared" si="525"/>
        <v>929.6021980898521</v>
      </c>
      <c r="AP366" s="527">
        <f t="shared" si="525"/>
        <v>929.6021980898521</v>
      </c>
      <c r="AQ366" s="527">
        <f t="shared" si="525"/>
        <v>929.6021980898521</v>
      </c>
      <c r="AR366" s="527">
        <f t="shared" si="525"/>
        <v>929.6021980898521</v>
      </c>
      <c r="AS366" s="527">
        <f t="shared" si="525"/>
        <v>929.6021980898521</v>
      </c>
      <c r="AT366" s="527">
        <f t="shared" si="525"/>
        <v>929.6021980898521</v>
      </c>
      <c r="AU366" s="527">
        <f t="shared" si="525"/>
        <v>929.6021980898521</v>
      </c>
      <c r="AV366" s="527">
        <f t="shared" si="525"/>
        <v>929.6021980898521</v>
      </c>
      <c r="AW366" s="527">
        <f t="shared" si="525"/>
        <v>929.6021980898521</v>
      </c>
      <c r="AX366" s="527">
        <f t="shared" ref="AX366:BY366" si="526">AX$603*$R155</f>
        <v>929.6021980898521</v>
      </c>
      <c r="AY366" s="527">
        <f t="shared" si="526"/>
        <v>929.6021980898521</v>
      </c>
      <c r="AZ366" s="527">
        <f t="shared" si="526"/>
        <v>929.6021980898521</v>
      </c>
      <c r="BA366" s="527">
        <f t="shared" si="526"/>
        <v>929.6021980898521</v>
      </c>
      <c r="BB366" s="527">
        <f t="shared" si="526"/>
        <v>929.6021980898521</v>
      </c>
      <c r="BC366" s="527">
        <f t="shared" si="526"/>
        <v>929.6021980898521</v>
      </c>
      <c r="BD366" s="527">
        <f t="shared" si="526"/>
        <v>929.6021980898521</v>
      </c>
      <c r="BE366" s="527">
        <f t="shared" si="526"/>
        <v>929.6021980898521</v>
      </c>
      <c r="BF366" s="527">
        <f t="shared" si="526"/>
        <v>929.6021980898521</v>
      </c>
      <c r="BG366" s="527">
        <f t="shared" si="526"/>
        <v>929.6021980898521</v>
      </c>
      <c r="BH366" s="527">
        <f t="shared" si="526"/>
        <v>929.6021980898521</v>
      </c>
      <c r="BI366" s="527">
        <f t="shared" si="526"/>
        <v>929.6021980898521</v>
      </c>
      <c r="BJ366" s="527">
        <f t="shared" si="526"/>
        <v>929.6021980898521</v>
      </c>
      <c r="BK366" s="527">
        <f t="shared" si="526"/>
        <v>929.6021980898521</v>
      </c>
      <c r="BL366" s="527">
        <f t="shared" si="526"/>
        <v>929.6021980898521</v>
      </c>
      <c r="BM366" s="527">
        <f t="shared" si="526"/>
        <v>929.6021980898521</v>
      </c>
      <c r="BN366" s="527">
        <f t="shared" si="526"/>
        <v>929.6021980898521</v>
      </c>
      <c r="BO366" s="527">
        <f t="shared" si="526"/>
        <v>929.6021980898521</v>
      </c>
      <c r="BP366" s="527">
        <f t="shared" si="526"/>
        <v>929.6021980898521</v>
      </c>
      <c r="BQ366" s="527">
        <f t="shared" si="526"/>
        <v>929.6021980898521</v>
      </c>
      <c r="BR366" s="527">
        <f t="shared" si="526"/>
        <v>929.6021980898521</v>
      </c>
      <c r="BS366" s="527">
        <f t="shared" si="526"/>
        <v>929.6021980898521</v>
      </c>
      <c r="BT366" s="527">
        <f t="shared" si="526"/>
        <v>929.6021980898521</v>
      </c>
      <c r="BU366" s="527">
        <f t="shared" si="526"/>
        <v>929.6021980898521</v>
      </c>
      <c r="BV366" s="527">
        <f t="shared" si="526"/>
        <v>929.6021980898521</v>
      </c>
      <c r="BW366" s="527">
        <f t="shared" si="526"/>
        <v>929.6021980898521</v>
      </c>
      <c r="BX366" s="527">
        <f t="shared" si="526"/>
        <v>929.6021980898521</v>
      </c>
      <c r="BY366" s="527">
        <f t="shared" si="526"/>
        <v>929.6021980898521</v>
      </c>
    </row>
    <row r="367" spans="1:77" x14ac:dyDescent="0.3">
      <c r="A367" s="551"/>
      <c r="B367" s="548"/>
      <c r="C367" s="525"/>
      <c r="D367" s="525"/>
      <c r="E367" s="636" t="str">
        <f>"Machines income: "&amp;E$156</f>
        <v>Machines income: FY28 Tranche</v>
      </c>
      <c r="F367" s="525"/>
      <c r="G367" s="525"/>
      <c r="H367" s="525"/>
      <c r="I367" s="525"/>
      <c r="J367" s="525"/>
      <c r="K367" s="525"/>
      <c r="L367" s="525"/>
      <c r="M367" s="525"/>
      <c r="N367" s="525"/>
      <c r="O367" s="525"/>
      <c r="P367" s="565"/>
      <c r="Q367" s="525"/>
      <c r="R367" s="527">
        <f t="shared" ref="R367:AW367" si="527">R$603*$R156</f>
        <v>929.6021980898521</v>
      </c>
      <c r="S367" s="527">
        <f t="shared" si="527"/>
        <v>929.6021980898521</v>
      </c>
      <c r="T367" s="527">
        <f t="shared" si="527"/>
        <v>929.6021980898521</v>
      </c>
      <c r="U367" s="527">
        <f t="shared" si="527"/>
        <v>929.6021980898521</v>
      </c>
      <c r="V367" s="527">
        <f t="shared" si="527"/>
        <v>929.6021980898521</v>
      </c>
      <c r="W367" s="527">
        <f t="shared" si="527"/>
        <v>929.6021980898521</v>
      </c>
      <c r="X367" s="527">
        <f t="shared" si="527"/>
        <v>929.6021980898521</v>
      </c>
      <c r="Y367" s="527">
        <f t="shared" si="527"/>
        <v>929.6021980898521</v>
      </c>
      <c r="Z367" s="527">
        <f t="shared" si="527"/>
        <v>929.6021980898521</v>
      </c>
      <c r="AA367" s="527">
        <f t="shared" si="527"/>
        <v>929.6021980898521</v>
      </c>
      <c r="AB367" s="527">
        <f t="shared" si="527"/>
        <v>929.6021980898521</v>
      </c>
      <c r="AC367" s="527">
        <f t="shared" si="527"/>
        <v>929.6021980898521</v>
      </c>
      <c r="AD367" s="527">
        <f t="shared" si="527"/>
        <v>929.6021980898521</v>
      </c>
      <c r="AE367" s="527">
        <f t="shared" si="527"/>
        <v>929.6021980898521</v>
      </c>
      <c r="AF367" s="527">
        <f t="shared" si="527"/>
        <v>929.6021980898521</v>
      </c>
      <c r="AG367" s="527">
        <f t="shared" si="527"/>
        <v>929.6021980898521</v>
      </c>
      <c r="AH367" s="527">
        <f t="shared" si="527"/>
        <v>929.6021980898521</v>
      </c>
      <c r="AI367" s="527">
        <f t="shared" si="527"/>
        <v>929.6021980898521</v>
      </c>
      <c r="AJ367" s="527">
        <f t="shared" si="527"/>
        <v>929.6021980898521</v>
      </c>
      <c r="AK367" s="527">
        <f t="shared" si="527"/>
        <v>929.6021980898521</v>
      </c>
      <c r="AL367" s="527">
        <f t="shared" si="527"/>
        <v>929.6021980898521</v>
      </c>
      <c r="AM367" s="527">
        <f t="shared" si="527"/>
        <v>929.6021980898521</v>
      </c>
      <c r="AN367" s="527">
        <f t="shared" si="527"/>
        <v>929.6021980898521</v>
      </c>
      <c r="AO367" s="527">
        <f t="shared" si="527"/>
        <v>929.6021980898521</v>
      </c>
      <c r="AP367" s="527">
        <f t="shared" si="527"/>
        <v>929.6021980898521</v>
      </c>
      <c r="AQ367" s="527">
        <f t="shared" si="527"/>
        <v>929.6021980898521</v>
      </c>
      <c r="AR367" s="527">
        <f t="shared" si="527"/>
        <v>929.6021980898521</v>
      </c>
      <c r="AS367" s="527">
        <f t="shared" si="527"/>
        <v>929.6021980898521</v>
      </c>
      <c r="AT367" s="527">
        <f t="shared" si="527"/>
        <v>929.6021980898521</v>
      </c>
      <c r="AU367" s="527">
        <f t="shared" si="527"/>
        <v>929.6021980898521</v>
      </c>
      <c r="AV367" s="527">
        <f t="shared" si="527"/>
        <v>929.6021980898521</v>
      </c>
      <c r="AW367" s="527">
        <f t="shared" si="527"/>
        <v>929.6021980898521</v>
      </c>
      <c r="AX367" s="527">
        <f t="shared" ref="AX367:BY367" si="528">AX$603*$R156</f>
        <v>929.6021980898521</v>
      </c>
      <c r="AY367" s="527">
        <f t="shared" si="528"/>
        <v>929.6021980898521</v>
      </c>
      <c r="AZ367" s="527">
        <f t="shared" si="528"/>
        <v>929.6021980898521</v>
      </c>
      <c r="BA367" s="527">
        <f t="shared" si="528"/>
        <v>929.6021980898521</v>
      </c>
      <c r="BB367" s="527">
        <f t="shared" si="528"/>
        <v>929.6021980898521</v>
      </c>
      <c r="BC367" s="527">
        <f t="shared" si="528"/>
        <v>929.6021980898521</v>
      </c>
      <c r="BD367" s="527">
        <f t="shared" si="528"/>
        <v>929.6021980898521</v>
      </c>
      <c r="BE367" s="527">
        <f t="shared" si="528"/>
        <v>929.6021980898521</v>
      </c>
      <c r="BF367" s="527">
        <f t="shared" si="528"/>
        <v>929.6021980898521</v>
      </c>
      <c r="BG367" s="527">
        <f t="shared" si="528"/>
        <v>929.6021980898521</v>
      </c>
      <c r="BH367" s="527">
        <f t="shared" si="528"/>
        <v>929.6021980898521</v>
      </c>
      <c r="BI367" s="527">
        <f t="shared" si="528"/>
        <v>929.6021980898521</v>
      </c>
      <c r="BJ367" s="527">
        <f t="shared" si="528"/>
        <v>929.6021980898521</v>
      </c>
      <c r="BK367" s="527">
        <f t="shared" si="528"/>
        <v>929.6021980898521</v>
      </c>
      <c r="BL367" s="527">
        <f t="shared" si="528"/>
        <v>929.6021980898521</v>
      </c>
      <c r="BM367" s="527">
        <f t="shared" si="528"/>
        <v>929.6021980898521</v>
      </c>
      <c r="BN367" s="527">
        <f t="shared" si="528"/>
        <v>929.6021980898521</v>
      </c>
      <c r="BO367" s="527">
        <f t="shared" si="528"/>
        <v>929.6021980898521</v>
      </c>
      <c r="BP367" s="527">
        <f t="shared" si="528"/>
        <v>929.6021980898521</v>
      </c>
      <c r="BQ367" s="527">
        <f t="shared" si="528"/>
        <v>929.6021980898521</v>
      </c>
      <c r="BR367" s="527">
        <f t="shared" si="528"/>
        <v>929.6021980898521</v>
      </c>
      <c r="BS367" s="527">
        <f t="shared" si="528"/>
        <v>929.6021980898521</v>
      </c>
      <c r="BT367" s="527">
        <f t="shared" si="528"/>
        <v>929.6021980898521</v>
      </c>
      <c r="BU367" s="527">
        <f t="shared" si="528"/>
        <v>929.6021980898521</v>
      </c>
      <c r="BV367" s="527">
        <f t="shared" si="528"/>
        <v>929.6021980898521</v>
      </c>
      <c r="BW367" s="527">
        <f t="shared" si="528"/>
        <v>929.6021980898521</v>
      </c>
      <c r="BX367" s="527">
        <f t="shared" si="528"/>
        <v>929.6021980898521</v>
      </c>
      <c r="BY367" s="527">
        <f t="shared" si="528"/>
        <v>929.6021980898521</v>
      </c>
    </row>
    <row r="368" spans="1:77" x14ac:dyDescent="0.3">
      <c r="A368" s="551"/>
      <c r="B368" s="548"/>
      <c r="C368" s="525"/>
      <c r="D368" s="525"/>
      <c r="E368" s="636" t="str">
        <f>"Machines income: "&amp;E$157</f>
        <v>Machines income: FY29 Tranche</v>
      </c>
      <c r="F368" s="525"/>
      <c r="G368" s="525"/>
      <c r="H368" s="525"/>
      <c r="I368" s="525"/>
      <c r="J368" s="525"/>
      <c r="K368" s="525"/>
      <c r="L368" s="525"/>
      <c r="M368" s="525"/>
      <c r="N368" s="525"/>
      <c r="O368" s="525"/>
      <c r="P368" s="565"/>
      <c r="Q368" s="525"/>
      <c r="R368" s="527">
        <f t="shared" ref="R368:AW368" si="529">R$603*$R157</f>
        <v>929.6021980898521</v>
      </c>
      <c r="S368" s="527">
        <f t="shared" si="529"/>
        <v>929.6021980898521</v>
      </c>
      <c r="T368" s="527">
        <f t="shared" si="529"/>
        <v>929.6021980898521</v>
      </c>
      <c r="U368" s="527">
        <f t="shared" si="529"/>
        <v>929.6021980898521</v>
      </c>
      <c r="V368" s="527">
        <f t="shared" si="529"/>
        <v>929.6021980898521</v>
      </c>
      <c r="W368" s="527">
        <f t="shared" si="529"/>
        <v>929.6021980898521</v>
      </c>
      <c r="X368" s="527">
        <f t="shared" si="529"/>
        <v>929.6021980898521</v>
      </c>
      <c r="Y368" s="527">
        <f t="shared" si="529"/>
        <v>929.6021980898521</v>
      </c>
      <c r="Z368" s="527">
        <f t="shared" si="529"/>
        <v>929.6021980898521</v>
      </c>
      <c r="AA368" s="527">
        <f t="shared" si="529"/>
        <v>929.6021980898521</v>
      </c>
      <c r="AB368" s="527">
        <f t="shared" si="529"/>
        <v>929.6021980898521</v>
      </c>
      <c r="AC368" s="527">
        <f t="shared" si="529"/>
        <v>929.6021980898521</v>
      </c>
      <c r="AD368" s="527">
        <f t="shared" si="529"/>
        <v>929.6021980898521</v>
      </c>
      <c r="AE368" s="527">
        <f t="shared" si="529"/>
        <v>929.6021980898521</v>
      </c>
      <c r="AF368" s="527">
        <f t="shared" si="529"/>
        <v>929.6021980898521</v>
      </c>
      <c r="AG368" s="527">
        <f t="shared" si="529"/>
        <v>929.6021980898521</v>
      </c>
      <c r="AH368" s="527">
        <f t="shared" si="529"/>
        <v>929.6021980898521</v>
      </c>
      <c r="AI368" s="527">
        <f t="shared" si="529"/>
        <v>929.6021980898521</v>
      </c>
      <c r="AJ368" s="527">
        <f t="shared" si="529"/>
        <v>929.6021980898521</v>
      </c>
      <c r="AK368" s="527">
        <f t="shared" si="529"/>
        <v>929.6021980898521</v>
      </c>
      <c r="AL368" s="527">
        <f t="shared" si="529"/>
        <v>929.6021980898521</v>
      </c>
      <c r="AM368" s="527">
        <f t="shared" si="529"/>
        <v>929.6021980898521</v>
      </c>
      <c r="AN368" s="527">
        <f t="shared" si="529"/>
        <v>929.6021980898521</v>
      </c>
      <c r="AO368" s="527">
        <f t="shared" si="529"/>
        <v>929.6021980898521</v>
      </c>
      <c r="AP368" s="527">
        <f t="shared" si="529"/>
        <v>929.6021980898521</v>
      </c>
      <c r="AQ368" s="527">
        <f t="shared" si="529"/>
        <v>929.6021980898521</v>
      </c>
      <c r="AR368" s="527">
        <f t="shared" si="529"/>
        <v>929.6021980898521</v>
      </c>
      <c r="AS368" s="527">
        <f t="shared" si="529"/>
        <v>929.6021980898521</v>
      </c>
      <c r="AT368" s="527">
        <f t="shared" si="529"/>
        <v>929.6021980898521</v>
      </c>
      <c r="AU368" s="527">
        <f t="shared" si="529"/>
        <v>929.6021980898521</v>
      </c>
      <c r="AV368" s="527">
        <f t="shared" si="529"/>
        <v>929.6021980898521</v>
      </c>
      <c r="AW368" s="527">
        <f t="shared" si="529"/>
        <v>929.6021980898521</v>
      </c>
      <c r="AX368" s="527">
        <f t="shared" ref="AX368:BY368" si="530">AX$603*$R157</f>
        <v>929.6021980898521</v>
      </c>
      <c r="AY368" s="527">
        <f t="shared" si="530"/>
        <v>929.6021980898521</v>
      </c>
      <c r="AZ368" s="527">
        <f t="shared" si="530"/>
        <v>929.6021980898521</v>
      </c>
      <c r="BA368" s="527">
        <f t="shared" si="530"/>
        <v>929.6021980898521</v>
      </c>
      <c r="BB368" s="527">
        <f t="shared" si="530"/>
        <v>929.6021980898521</v>
      </c>
      <c r="BC368" s="527">
        <f t="shared" si="530"/>
        <v>929.6021980898521</v>
      </c>
      <c r="BD368" s="527">
        <f t="shared" si="530"/>
        <v>929.6021980898521</v>
      </c>
      <c r="BE368" s="527">
        <f t="shared" si="530"/>
        <v>929.6021980898521</v>
      </c>
      <c r="BF368" s="527">
        <f t="shared" si="530"/>
        <v>929.6021980898521</v>
      </c>
      <c r="BG368" s="527">
        <f t="shared" si="530"/>
        <v>929.6021980898521</v>
      </c>
      <c r="BH368" s="527">
        <f t="shared" si="530"/>
        <v>929.6021980898521</v>
      </c>
      <c r="BI368" s="527">
        <f t="shared" si="530"/>
        <v>929.6021980898521</v>
      </c>
      <c r="BJ368" s="527">
        <f t="shared" si="530"/>
        <v>929.6021980898521</v>
      </c>
      <c r="BK368" s="527">
        <f t="shared" si="530"/>
        <v>929.6021980898521</v>
      </c>
      <c r="BL368" s="527">
        <f t="shared" si="530"/>
        <v>929.6021980898521</v>
      </c>
      <c r="BM368" s="527">
        <f t="shared" si="530"/>
        <v>929.6021980898521</v>
      </c>
      <c r="BN368" s="527">
        <f t="shared" si="530"/>
        <v>929.6021980898521</v>
      </c>
      <c r="BO368" s="527">
        <f t="shared" si="530"/>
        <v>929.6021980898521</v>
      </c>
      <c r="BP368" s="527">
        <f t="shared" si="530"/>
        <v>929.6021980898521</v>
      </c>
      <c r="BQ368" s="527">
        <f t="shared" si="530"/>
        <v>929.6021980898521</v>
      </c>
      <c r="BR368" s="527">
        <f t="shared" si="530"/>
        <v>929.6021980898521</v>
      </c>
      <c r="BS368" s="527">
        <f t="shared" si="530"/>
        <v>929.6021980898521</v>
      </c>
      <c r="BT368" s="527">
        <f t="shared" si="530"/>
        <v>929.6021980898521</v>
      </c>
      <c r="BU368" s="527">
        <f t="shared" si="530"/>
        <v>929.6021980898521</v>
      </c>
      <c r="BV368" s="527">
        <f t="shared" si="530"/>
        <v>929.6021980898521</v>
      </c>
      <c r="BW368" s="527">
        <f t="shared" si="530"/>
        <v>929.6021980898521</v>
      </c>
      <c r="BX368" s="527">
        <f t="shared" si="530"/>
        <v>929.6021980898521</v>
      </c>
      <c r="BY368" s="527">
        <f t="shared" si="530"/>
        <v>929.6021980898521</v>
      </c>
    </row>
    <row r="369" spans="1:77" x14ac:dyDescent="0.3">
      <c r="A369" s="551"/>
      <c r="B369" s="548"/>
      <c r="C369" s="525"/>
      <c r="D369" s="525"/>
      <c r="E369" s="636" t="str">
        <f>"Machines income: "&amp;E$158</f>
        <v>Machines income: FY30 Tranche</v>
      </c>
      <c r="F369" s="525"/>
      <c r="G369" s="525"/>
      <c r="H369" s="525"/>
      <c r="I369" s="525"/>
      <c r="J369" s="525"/>
      <c r="K369" s="525"/>
      <c r="L369" s="525"/>
      <c r="M369" s="525"/>
      <c r="N369" s="525"/>
      <c r="O369" s="525"/>
      <c r="P369" s="565"/>
      <c r="Q369" s="525"/>
      <c r="R369" s="527">
        <f t="shared" ref="R369:AW369" si="531">R$603*$R158</f>
        <v>929.6021980898521</v>
      </c>
      <c r="S369" s="527">
        <f t="shared" si="531"/>
        <v>929.6021980898521</v>
      </c>
      <c r="T369" s="527">
        <f t="shared" si="531"/>
        <v>929.6021980898521</v>
      </c>
      <c r="U369" s="527">
        <f t="shared" si="531"/>
        <v>929.6021980898521</v>
      </c>
      <c r="V369" s="527">
        <f t="shared" si="531"/>
        <v>929.6021980898521</v>
      </c>
      <c r="W369" s="527">
        <f t="shared" si="531"/>
        <v>929.6021980898521</v>
      </c>
      <c r="X369" s="527">
        <f t="shared" si="531"/>
        <v>929.6021980898521</v>
      </c>
      <c r="Y369" s="527">
        <f t="shared" si="531"/>
        <v>929.6021980898521</v>
      </c>
      <c r="Z369" s="527">
        <f t="shared" si="531"/>
        <v>929.6021980898521</v>
      </c>
      <c r="AA369" s="527">
        <f t="shared" si="531"/>
        <v>929.6021980898521</v>
      </c>
      <c r="AB369" s="527">
        <f t="shared" si="531"/>
        <v>929.6021980898521</v>
      </c>
      <c r="AC369" s="527">
        <f t="shared" si="531"/>
        <v>929.6021980898521</v>
      </c>
      <c r="AD369" s="527">
        <f t="shared" si="531"/>
        <v>929.6021980898521</v>
      </c>
      <c r="AE369" s="527">
        <f t="shared" si="531"/>
        <v>929.6021980898521</v>
      </c>
      <c r="AF369" s="527">
        <f t="shared" si="531"/>
        <v>929.6021980898521</v>
      </c>
      <c r="AG369" s="527">
        <f t="shared" si="531"/>
        <v>929.6021980898521</v>
      </c>
      <c r="AH369" s="527">
        <f t="shared" si="531"/>
        <v>929.6021980898521</v>
      </c>
      <c r="AI369" s="527">
        <f t="shared" si="531"/>
        <v>929.6021980898521</v>
      </c>
      <c r="AJ369" s="527">
        <f t="shared" si="531"/>
        <v>929.6021980898521</v>
      </c>
      <c r="AK369" s="527">
        <f t="shared" si="531"/>
        <v>929.6021980898521</v>
      </c>
      <c r="AL369" s="527">
        <f t="shared" si="531"/>
        <v>929.6021980898521</v>
      </c>
      <c r="AM369" s="527">
        <f t="shared" si="531"/>
        <v>929.6021980898521</v>
      </c>
      <c r="AN369" s="527">
        <f t="shared" si="531"/>
        <v>929.6021980898521</v>
      </c>
      <c r="AO369" s="527">
        <f t="shared" si="531"/>
        <v>929.6021980898521</v>
      </c>
      <c r="AP369" s="527">
        <f t="shared" si="531"/>
        <v>929.6021980898521</v>
      </c>
      <c r="AQ369" s="527">
        <f t="shared" si="531"/>
        <v>929.6021980898521</v>
      </c>
      <c r="AR369" s="527">
        <f t="shared" si="531"/>
        <v>929.6021980898521</v>
      </c>
      <c r="AS369" s="527">
        <f t="shared" si="531"/>
        <v>929.6021980898521</v>
      </c>
      <c r="AT369" s="527">
        <f t="shared" si="531"/>
        <v>929.6021980898521</v>
      </c>
      <c r="AU369" s="527">
        <f t="shared" si="531"/>
        <v>929.6021980898521</v>
      </c>
      <c r="AV369" s="527">
        <f t="shared" si="531"/>
        <v>929.6021980898521</v>
      </c>
      <c r="AW369" s="527">
        <f t="shared" si="531"/>
        <v>929.6021980898521</v>
      </c>
      <c r="AX369" s="527">
        <f t="shared" ref="AX369:BY369" si="532">AX$603*$R158</f>
        <v>929.6021980898521</v>
      </c>
      <c r="AY369" s="527">
        <f t="shared" si="532"/>
        <v>929.6021980898521</v>
      </c>
      <c r="AZ369" s="527">
        <f t="shared" si="532"/>
        <v>929.6021980898521</v>
      </c>
      <c r="BA369" s="527">
        <f t="shared" si="532"/>
        <v>929.6021980898521</v>
      </c>
      <c r="BB369" s="527">
        <f t="shared" si="532"/>
        <v>929.6021980898521</v>
      </c>
      <c r="BC369" s="527">
        <f t="shared" si="532"/>
        <v>929.6021980898521</v>
      </c>
      <c r="BD369" s="527">
        <f t="shared" si="532"/>
        <v>929.6021980898521</v>
      </c>
      <c r="BE369" s="527">
        <f t="shared" si="532"/>
        <v>929.6021980898521</v>
      </c>
      <c r="BF369" s="527">
        <f t="shared" si="532"/>
        <v>929.6021980898521</v>
      </c>
      <c r="BG369" s="527">
        <f t="shared" si="532"/>
        <v>929.6021980898521</v>
      </c>
      <c r="BH369" s="527">
        <f t="shared" si="532"/>
        <v>929.6021980898521</v>
      </c>
      <c r="BI369" s="527">
        <f t="shared" si="532"/>
        <v>929.6021980898521</v>
      </c>
      <c r="BJ369" s="527">
        <f t="shared" si="532"/>
        <v>929.6021980898521</v>
      </c>
      <c r="BK369" s="527">
        <f t="shared" si="532"/>
        <v>929.6021980898521</v>
      </c>
      <c r="BL369" s="527">
        <f t="shared" si="532"/>
        <v>929.6021980898521</v>
      </c>
      <c r="BM369" s="527">
        <f t="shared" si="532"/>
        <v>929.6021980898521</v>
      </c>
      <c r="BN369" s="527">
        <f t="shared" si="532"/>
        <v>929.6021980898521</v>
      </c>
      <c r="BO369" s="527">
        <f t="shared" si="532"/>
        <v>929.6021980898521</v>
      </c>
      <c r="BP369" s="527">
        <f t="shared" si="532"/>
        <v>929.6021980898521</v>
      </c>
      <c r="BQ369" s="527">
        <f t="shared" si="532"/>
        <v>929.6021980898521</v>
      </c>
      <c r="BR369" s="527">
        <f t="shared" si="532"/>
        <v>929.6021980898521</v>
      </c>
      <c r="BS369" s="527">
        <f t="shared" si="532"/>
        <v>929.6021980898521</v>
      </c>
      <c r="BT369" s="527">
        <f t="shared" si="532"/>
        <v>929.6021980898521</v>
      </c>
      <c r="BU369" s="527">
        <f t="shared" si="532"/>
        <v>929.6021980898521</v>
      </c>
      <c r="BV369" s="527">
        <f t="shared" si="532"/>
        <v>929.6021980898521</v>
      </c>
      <c r="BW369" s="527">
        <f t="shared" si="532"/>
        <v>929.6021980898521</v>
      </c>
      <c r="BX369" s="527">
        <f t="shared" si="532"/>
        <v>929.6021980898521</v>
      </c>
      <c r="BY369" s="527">
        <f t="shared" si="532"/>
        <v>929.6021980898521</v>
      </c>
    </row>
    <row r="370" spans="1:77" x14ac:dyDescent="0.3">
      <c r="A370" s="551"/>
      <c r="B370" s="548"/>
      <c r="C370" s="525"/>
      <c r="D370" s="525"/>
      <c r="E370" s="636" t="str">
        <f>"Machines income: "&amp;E$159</f>
        <v>Machines income: FY31 Tranche</v>
      </c>
      <c r="F370" s="525"/>
      <c r="G370" s="525"/>
      <c r="H370" s="525"/>
      <c r="I370" s="525"/>
      <c r="J370" s="525"/>
      <c r="K370" s="525"/>
      <c r="L370" s="525"/>
      <c r="M370" s="525"/>
      <c r="N370" s="525"/>
      <c r="O370" s="525"/>
      <c r="P370" s="565"/>
      <c r="Q370" s="525"/>
      <c r="R370" s="527">
        <f t="shared" ref="R370:AW370" si="533">R$603*$R159</f>
        <v>929.6021980898521</v>
      </c>
      <c r="S370" s="527">
        <f t="shared" si="533"/>
        <v>929.6021980898521</v>
      </c>
      <c r="T370" s="527">
        <f t="shared" si="533"/>
        <v>929.6021980898521</v>
      </c>
      <c r="U370" s="527">
        <f t="shared" si="533"/>
        <v>929.6021980898521</v>
      </c>
      <c r="V370" s="527">
        <f t="shared" si="533"/>
        <v>929.6021980898521</v>
      </c>
      <c r="W370" s="527">
        <f t="shared" si="533"/>
        <v>929.6021980898521</v>
      </c>
      <c r="X370" s="527">
        <f t="shared" si="533"/>
        <v>929.6021980898521</v>
      </c>
      <c r="Y370" s="527">
        <f t="shared" si="533"/>
        <v>929.6021980898521</v>
      </c>
      <c r="Z370" s="527">
        <f t="shared" si="533"/>
        <v>929.6021980898521</v>
      </c>
      <c r="AA370" s="527">
        <f t="shared" si="533"/>
        <v>929.6021980898521</v>
      </c>
      <c r="AB370" s="527">
        <f t="shared" si="533"/>
        <v>929.6021980898521</v>
      </c>
      <c r="AC370" s="527">
        <f t="shared" si="533"/>
        <v>929.6021980898521</v>
      </c>
      <c r="AD370" s="527">
        <f t="shared" si="533"/>
        <v>929.6021980898521</v>
      </c>
      <c r="AE370" s="527">
        <f t="shared" si="533"/>
        <v>929.6021980898521</v>
      </c>
      <c r="AF370" s="527">
        <f t="shared" si="533"/>
        <v>929.6021980898521</v>
      </c>
      <c r="AG370" s="527">
        <f t="shared" si="533"/>
        <v>929.6021980898521</v>
      </c>
      <c r="AH370" s="527">
        <f t="shared" si="533"/>
        <v>929.6021980898521</v>
      </c>
      <c r="AI370" s="527">
        <f t="shared" si="533"/>
        <v>929.6021980898521</v>
      </c>
      <c r="AJ370" s="527">
        <f t="shared" si="533"/>
        <v>929.6021980898521</v>
      </c>
      <c r="AK370" s="527">
        <f t="shared" si="533"/>
        <v>929.6021980898521</v>
      </c>
      <c r="AL370" s="527">
        <f t="shared" si="533"/>
        <v>929.6021980898521</v>
      </c>
      <c r="AM370" s="527">
        <f t="shared" si="533"/>
        <v>929.6021980898521</v>
      </c>
      <c r="AN370" s="527">
        <f t="shared" si="533"/>
        <v>929.6021980898521</v>
      </c>
      <c r="AO370" s="527">
        <f t="shared" si="533"/>
        <v>929.6021980898521</v>
      </c>
      <c r="AP370" s="527">
        <f t="shared" si="533"/>
        <v>929.6021980898521</v>
      </c>
      <c r="AQ370" s="527">
        <f t="shared" si="533"/>
        <v>929.6021980898521</v>
      </c>
      <c r="AR370" s="527">
        <f t="shared" si="533"/>
        <v>929.6021980898521</v>
      </c>
      <c r="AS370" s="527">
        <f t="shared" si="533"/>
        <v>929.6021980898521</v>
      </c>
      <c r="AT370" s="527">
        <f t="shared" si="533"/>
        <v>929.6021980898521</v>
      </c>
      <c r="AU370" s="527">
        <f t="shared" si="533"/>
        <v>929.6021980898521</v>
      </c>
      <c r="AV370" s="527">
        <f t="shared" si="533"/>
        <v>929.6021980898521</v>
      </c>
      <c r="AW370" s="527">
        <f t="shared" si="533"/>
        <v>929.6021980898521</v>
      </c>
      <c r="AX370" s="527">
        <f t="shared" ref="AX370:BY370" si="534">AX$603*$R159</f>
        <v>929.6021980898521</v>
      </c>
      <c r="AY370" s="527">
        <f t="shared" si="534"/>
        <v>929.6021980898521</v>
      </c>
      <c r="AZ370" s="527">
        <f t="shared" si="534"/>
        <v>929.6021980898521</v>
      </c>
      <c r="BA370" s="527">
        <f t="shared" si="534"/>
        <v>929.6021980898521</v>
      </c>
      <c r="BB370" s="527">
        <f t="shared" si="534"/>
        <v>929.6021980898521</v>
      </c>
      <c r="BC370" s="527">
        <f t="shared" si="534"/>
        <v>929.6021980898521</v>
      </c>
      <c r="BD370" s="527">
        <f t="shared" si="534"/>
        <v>929.6021980898521</v>
      </c>
      <c r="BE370" s="527">
        <f t="shared" si="534"/>
        <v>929.6021980898521</v>
      </c>
      <c r="BF370" s="527">
        <f t="shared" si="534"/>
        <v>929.6021980898521</v>
      </c>
      <c r="BG370" s="527">
        <f t="shared" si="534"/>
        <v>929.6021980898521</v>
      </c>
      <c r="BH370" s="527">
        <f t="shared" si="534"/>
        <v>929.6021980898521</v>
      </c>
      <c r="BI370" s="527">
        <f t="shared" si="534"/>
        <v>929.6021980898521</v>
      </c>
      <c r="BJ370" s="527">
        <f t="shared" si="534"/>
        <v>929.6021980898521</v>
      </c>
      <c r="BK370" s="527">
        <f t="shared" si="534"/>
        <v>929.6021980898521</v>
      </c>
      <c r="BL370" s="527">
        <f t="shared" si="534"/>
        <v>929.6021980898521</v>
      </c>
      <c r="BM370" s="527">
        <f t="shared" si="534"/>
        <v>929.6021980898521</v>
      </c>
      <c r="BN370" s="527">
        <f t="shared" si="534"/>
        <v>929.6021980898521</v>
      </c>
      <c r="BO370" s="527">
        <f t="shared" si="534"/>
        <v>929.6021980898521</v>
      </c>
      <c r="BP370" s="527">
        <f t="shared" si="534"/>
        <v>929.6021980898521</v>
      </c>
      <c r="BQ370" s="527">
        <f t="shared" si="534"/>
        <v>929.6021980898521</v>
      </c>
      <c r="BR370" s="527">
        <f t="shared" si="534"/>
        <v>929.6021980898521</v>
      </c>
      <c r="BS370" s="527">
        <f t="shared" si="534"/>
        <v>929.6021980898521</v>
      </c>
      <c r="BT370" s="527">
        <f t="shared" si="534"/>
        <v>929.6021980898521</v>
      </c>
      <c r="BU370" s="527">
        <f t="shared" si="534"/>
        <v>929.6021980898521</v>
      </c>
      <c r="BV370" s="527">
        <f t="shared" si="534"/>
        <v>929.6021980898521</v>
      </c>
      <c r="BW370" s="527">
        <f t="shared" si="534"/>
        <v>929.6021980898521</v>
      </c>
      <c r="BX370" s="527">
        <f t="shared" si="534"/>
        <v>929.6021980898521</v>
      </c>
      <c r="BY370" s="527">
        <f t="shared" si="534"/>
        <v>929.6021980898521</v>
      </c>
    </row>
    <row r="371" spans="1:77" x14ac:dyDescent="0.3">
      <c r="A371" s="551"/>
      <c r="B371" s="548"/>
      <c r="C371" s="525"/>
      <c r="D371" s="525"/>
      <c r="E371" s="636" t="str">
        <f>"Machines income: "&amp;E$160</f>
        <v>Machines income: Uninvested Tranche</v>
      </c>
      <c r="F371" s="525"/>
      <c r="G371" s="525"/>
      <c r="H371" s="525"/>
      <c r="I371" s="525"/>
      <c r="J371" s="525"/>
      <c r="K371" s="525"/>
      <c r="L371" s="525"/>
      <c r="M371" s="525"/>
      <c r="N371" s="525"/>
      <c r="O371" s="525"/>
      <c r="P371" s="565"/>
      <c r="Q371" s="525"/>
      <c r="R371" s="527">
        <f t="shared" ref="R371:AW371" si="535">R$603*$R160</f>
        <v>2033.5048083215515</v>
      </c>
      <c r="S371" s="527">
        <f t="shared" si="535"/>
        <v>2033.5048083215515</v>
      </c>
      <c r="T371" s="527">
        <f t="shared" si="535"/>
        <v>2033.5048083215515</v>
      </c>
      <c r="U371" s="527">
        <f t="shared" si="535"/>
        <v>2033.5048083215515</v>
      </c>
      <c r="V371" s="527">
        <f t="shared" si="535"/>
        <v>2033.5048083215515</v>
      </c>
      <c r="W371" s="527">
        <f t="shared" si="535"/>
        <v>2033.5048083215515</v>
      </c>
      <c r="X371" s="527">
        <f t="shared" si="535"/>
        <v>2033.5048083215515</v>
      </c>
      <c r="Y371" s="527">
        <f t="shared" si="535"/>
        <v>2033.5048083215515</v>
      </c>
      <c r="Z371" s="527">
        <f t="shared" si="535"/>
        <v>2033.5048083215515</v>
      </c>
      <c r="AA371" s="527">
        <f t="shared" si="535"/>
        <v>2033.5048083215515</v>
      </c>
      <c r="AB371" s="527">
        <f t="shared" si="535"/>
        <v>2033.5048083215515</v>
      </c>
      <c r="AC371" s="527">
        <f t="shared" si="535"/>
        <v>2033.5048083215515</v>
      </c>
      <c r="AD371" s="527">
        <f t="shared" si="535"/>
        <v>2033.5048083215515</v>
      </c>
      <c r="AE371" s="527">
        <f t="shared" si="535"/>
        <v>2033.5048083215515</v>
      </c>
      <c r="AF371" s="527">
        <f t="shared" si="535"/>
        <v>2033.5048083215515</v>
      </c>
      <c r="AG371" s="527">
        <f t="shared" si="535"/>
        <v>2033.5048083215515</v>
      </c>
      <c r="AH371" s="527">
        <f t="shared" si="535"/>
        <v>2033.5048083215515</v>
      </c>
      <c r="AI371" s="527">
        <f t="shared" si="535"/>
        <v>2033.5048083215515</v>
      </c>
      <c r="AJ371" s="527">
        <f t="shared" si="535"/>
        <v>2033.5048083215515</v>
      </c>
      <c r="AK371" s="527">
        <f t="shared" si="535"/>
        <v>2033.5048083215515</v>
      </c>
      <c r="AL371" s="527">
        <f t="shared" si="535"/>
        <v>2033.5048083215515</v>
      </c>
      <c r="AM371" s="527">
        <f t="shared" si="535"/>
        <v>2033.5048083215515</v>
      </c>
      <c r="AN371" s="527">
        <f t="shared" si="535"/>
        <v>2033.5048083215515</v>
      </c>
      <c r="AO371" s="527">
        <f t="shared" si="535"/>
        <v>2033.5048083215515</v>
      </c>
      <c r="AP371" s="527">
        <f t="shared" si="535"/>
        <v>2033.5048083215515</v>
      </c>
      <c r="AQ371" s="527">
        <f t="shared" si="535"/>
        <v>2033.5048083215515</v>
      </c>
      <c r="AR371" s="527">
        <f t="shared" si="535"/>
        <v>2033.5048083215515</v>
      </c>
      <c r="AS371" s="527">
        <f t="shared" si="535"/>
        <v>2033.5048083215515</v>
      </c>
      <c r="AT371" s="527">
        <f t="shared" si="535"/>
        <v>2033.5048083215515</v>
      </c>
      <c r="AU371" s="527">
        <f t="shared" si="535"/>
        <v>2033.5048083215515</v>
      </c>
      <c r="AV371" s="527">
        <f t="shared" si="535"/>
        <v>2033.5048083215515</v>
      </c>
      <c r="AW371" s="527">
        <f t="shared" si="535"/>
        <v>2033.5048083215515</v>
      </c>
      <c r="AX371" s="527">
        <f t="shared" ref="AX371:BY371" si="536">AX$603*$R160</f>
        <v>2033.5048083215515</v>
      </c>
      <c r="AY371" s="527">
        <f t="shared" si="536"/>
        <v>2033.5048083215515</v>
      </c>
      <c r="AZ371" s="527">
        <f t="shared" si="536"/>
        <v>2033.5048083215515</v>
      </c>
      <c r="BA371" s="527">
        <f t="shared" si="536"/>
        <v>2033.5048083215515</v>
      </c>
      <c r="BB371" s="527">
        <f t="shared" si="536"/>
        <v>2033.5048083215515</v>
      </c>
      <c r="BC371" s="527">
        <f t="shared" si="536"/>
        <v>2033.5048083215515</v>
      </c>
      <c r="BD371" s="527">
        <f t="shared" si="536"/>
        <v>2033.5048083215515</v>
      </c>
      <c r="BE371" s="527">
        <f t="shared" si="536"/>
        <v>2033.5048083215515</v>
      </c>
      <c r="BF371" s="527">
        <f t="shared" si="536"/>
        <v>2033.5048083215515</v>
      </c>
      <c r="BG371" s="527">
        <f t="shared" si="536"/>
        <v>2033.5048083215515</v>
      </c>
      <c r="BH371" s="527">
        <f t="shared" si="536"/>
        <v>2033.5048083215515</v>
      </c>
      <c r="BI371" s="527">
        <f t="shared" si="536"/>
        <v>2033.5048083215515</v>
      </c>
      <c r="BJ371" s="527">
        <f t="shared" si="536"/>
        <v>2033.5048083215515</v>
      </c>
      <c r="BK371" s="527">
        <f t="shared" si="536"/>
        <v>2033.5048083215515</v>
      </c>
      <c r="BL371" s="527">
        <f t="shared" si="536"/>
        <v>2033.5048083215515</v>
      </c>
      <c r="BM371" s="527">
        <f t="shared" si="536"/>
        <v>2033.5048083215515</v>
      </c>
      <c r="BN371" s="527">
        <f t="shared" si="536"/>
        <v>2033.5048083215515</v>
      </c>
      <c r="BO371" s="527">
        <f t="shared" si="536"/>
        <v>2033.5048083215515</v>
      </c>
      <c r="BP371" s="527">
        <f t="shared" si="536"/>
        <v>2033.5048083215515</v>
      </c>
      <c r="BQ371" s="527">
        <f t="shared" si="536"/>
        <v>2033.5048083215515</v>
      </c>
      <c r="BR371" s="527">
        <f t="shared" si="536"/>
        <v>2033.5048083215515</v>
      </c>
      <c r="BS371" s="527">
        <f t="shared" si="536"/>
        <v>2033.5048083215515</v>
      </c>
      <c r="BT371" s="527">
        <f t="shared" si="536"/>
        <v>2033.5048083215515</v>
      </c>
      <c r="BU371" s="527">
        <f t="shared" si="536"/>
        <v>2033.5048083215515</v>
      </c>
      <c r="BV371" s="527">
        <f t="shared" si="536"/>
        <v>2033.5048083215515</v>
      </c>
      <c r="BW371" s="527">
        <f t="shared" si="536"/>
        <v>2033.5048083215515</v>
      </c>
      <c r="BX371" s="527">
        <f t="shared" si="536"/>
        <v>2033.5048083215515</v>
      </c>
      <c r="BY371" s="527">
        <f t="shared" si="536"/>
        <v>2033.5048083215515</v>
      </c>
    </row>
    <row r="372" spans="1:77" x14ac:dyDescent="0.3">
      <c r="A372" s="551"/>
      <c r="B372" s="548"/>
      <c r="C372" s="525"/>
      <c r="D372" s="525"/>
      <c r="E372" s="572" t="s">
        <v>36</v>
      </c>
      <c r="F372" s="572"/>
      <c r="G372" s="572"/>
      <c r="H372" s="572"/>
      <c r="I372" s="572"/>
      <c r="J372" s="572"/>
      <c r="K372" s="572"/>
      <c r="L372" s="572"/>
      <c r="M372" s="572"/>
      <c r="N372" s="572"/>
      <c r="O372" s="572"/>
      <c r="P372" s="612"/>
      <c r="Q372" s="572"/>
      <c r="R372" s="530">
        <f t="shared" ref="R372:AW372" si="537">SUM(R366:R371)</f>
        <v>6681.5157987708117</v>
      </c>
      <c r="S372" s="530">
        <f t="shared" si="537"/>
        <v>6681.5157987708117</v>
      </c>
      <c r="T372" s="530">
        <f t="shared" si="537"/>
        <v>6681.5157987708117</v>
      </c>
      <c r="U372" s="530">
        <f t="shared" si="537"/>
        <v>6681.5157987708117</v>
      </c>
      <c r="V372" s="530">
        <f t="shared" si="537"/>
        <v>6681.5157987708117</v>
      </c>
      <c r="W372" s="530">
        <f t="shared" si="537"/>
        <v>6681.5157987708117</v>
      </c>
      <c r="X372" s="530">
        <f t="shared" si="537"/>
        <v>6681.5157987708117</v>
      </c>
      <c r="Y372" s="530">
        <f t="shared" si="537"/>
        <v>6681.5157987708117</v>
      </c>
      <c r="Z372" s="530">
        <f t="shared" si="537"/>
        <v>6681.5157987708117</v>
      </c>
      <c r="AA372" s="530">
        <f t="shared" si="537"/>
        <v>6681.5157987708117</v>
      </c>
      <c r="AB372" s="530">
        <f t="shared" si="537"/>
        <v>6681.5157987708117</v>
      </c>
      <c r="AC372" s="530">
        <f t="shared" si="537"/>
        <v>6681.5157987708117</v>
      </c>
      <c r="AD372" s="530">
        <f t="shared" si="537"/>
        <v>6681.5157987708117</v>
      </c>
      <c r="AE372" s="530">
        <f t="shared" si="537"/>
        <v>6681.5157987708117</v>
      </c>
      <c r="AF372" s="530">
        <f t="shared" si="537"/>
        <v>6681.5157987708117</v>
      </c>
      <c r="AG372" s="530">
        <f t="shared" si="537"/>
        <v>6681.5157987708117</v>
      </c>
      <c r="AH372" s="530">
        <f t="shared" si="537"/>
        <v>6681.5157987708117</v>
      </c>
      <c r="AI372" s="530">
        <f t="shared" si="537"/>
        <v>6681.5157987708117</v>
      </c>
      <c r="AJ372" s="530">
        <f t="shared" si="537"/>
        <v>6681.5157987708117</v>
      </c>
      <c r="AK372" s="530">
        <f t="shared" si="537"/>
        <v>6681.5157987708117</v>
      </c>
      <c r="AL372" s="530">
        <f t="shared" si="537"/>
        <v>6681.5157987708117</v>
      </c>
      <c r="AM372" s="530">
        <f t="shared" si="537"/>
        <v>6681.5157987708117</v>
      </c>
      <c r="AN372" s="530">
        <f t="shared" si="537"/>
        <v>6681.5157987708117</v>
      </c>
      <c r="AO372" s="530">
        <f t="shared" si="537"/>
        <v>6681.5157987708117</v>
      </c>
      <c r="AP372" s="530">
        <f t="shared" si="537"/>
        <v>6681.5157987708117</v>
      </c>
      <c r="AQ372" s="530">
        <f t="shared" si="537"/>
        <v>6681.5157987708117</v>
      </c>
      <c r="AR372" s="530">
        <f t="shared" si="537"/>
        <v>6681.5157987708117</v>
      </c>
      <c r="AS372" s="530">
        <f t="shared" si="537"/>
        <v>6681.5157987708117</v>
      </c>
      <c r="AT372" s="530">
        <f t="shared" si="537"/>
        <v>6681.5157987708117</v>
      </c>
      <c r="AU372" s="530">
        <f t="shared" si="537"/>
        <v>6681.5157987708117</v>
      </c>
      <c r="AV372" s="530">
        <f t="shared" si="537"/>
        <v>6681.5157987708117</v>
      </c>
      <c r="AW372" s="530">
        <f t="shared" si="537"/>
        <v>6681.5157987708117</v>
      </c>
      <c r="AX372" s="530">
        <f t="shared" ref="AX372:BY372" si="538">SUM(AX366:AX371)</f>
        <v>6681.5157987708117</v>
      </c>
      <c r="AY372" s="530">
        <f t="shared" si="538"/>
        <v>6681.5157987708117</v>
      </c>
      <c r="AZ372" s="530">
        <f t="shared" si="538"/>
        <v>6681.5157987708117</v>
      </c>
      <c r="BA372" s="530">
        <f t="shared" si="538"/>
        <v>6681.5157987708117</v>
      </c>
      <c r="BB372" s="530">
        <f t="shared" si="538"/>
        <v>6681.5157987708117</v>
      </c>
      <c r="BC372" s="530">
        <f t="shared" si="538"/>
        <v>6681.5157987708117</v>
      </c>
      <c r="BD372" s="530">
        <f t="shared" si="538"/>
        <v>6681.5157987708117</v>
      </c>
      <c r="BE372" s="530">
        <f t="shared" si="538"/>
        <v>6681.5157987708117</v>
      </c>
      <c r="BF372" s="530">
        <f t="shared" si="538"/>
        <v>6681.5157987708117</v>
      </c>
      <c r="BG372" s="530">
        <f t="shared" si="538"/>
        <v>6681.5157987708117</v>
      </c>
      <c r="BH372" s="530">
        <f t="shared" si="538"/>
        <v>6681.5157987708117</v>
      </c>
      <c r="BI372" s="530">
        <f t="shared" si="538"/>
        <v>6681.5157987708117</v>
      </c>
      <c r="BJ372" s="530">
        <f t="shared" si="538"/>
        <v>6681.5157987708117</v>
      </c>
      <c r="BK372" s="530">
        <f t="shared" si="538"/>
        <v>6681.5157987708117</v>
      </c>
      <c r="BL372" s="530">
        <f t="shared" si="538"/>
        <v>6681.5157987708117</v>
      </c>
      <c r="BM372" s="530">
        <f t="shared" si="538"/>
        <v>6681.5157987708117</v>
      </c>
      <c r="BN372" s="530">
        <f t="shared" si="538"/>
        <v>6681.5157987708117</v>
      </c>
      <c r="BO372" s="530">
        <f t="shared" si="538"/>
        <v>6681.5157987708117</v>
      </c>
      <c r="BP372" s="530">
        <f t="shared" si="538"/>
        <v>6681.5157987708117</v>
      </c>
      <c r="BQ372" s="530">
        <f t="shared" si="538"/>
        <v>6681.5157987708117</v>
      </c>
      <c r="BR372" s="530">
        <f t="shared" si="538"/>
        <v>6681.5157987708117</v>
      </c>
      <c r="BS372" s="530">
        <f t="shared" si="538"/>
        <v>6681.5157987708117</v>
      </c>
      <c r="BT372" s="530">
        <f t="shared" si="538"/>
        <v>6681.5157987708117</v>
      </c>
      <c r="BU372" s="530">
        <f t="shared" si="538"/>
        <v>6681.5157987708117</v>
      </c>
      <c r="BV372" s="530">
        <f t="shared" si="538"/>
        <v>6681.5157987708117</v>
      </c>
      <c r="BW372" s="530">
        <f t="shared" si="538"/>
        <v>6681.5157987708117</v>
      </c>
      <c r="BX372" s="530">
        <f t="shared" si="538"/>
        <v>6681.5157987708117</v>
      </c>
      <c r="BY372" s="530">
        <f t="shared" si="538"/>
        <v>6681.5157987708117</v>
      </c>
    </row>
    <row r="373" spans="1:77" x14ac:dyDescent="0.3">
      <c r="A373" s="551"/>
      <c r="B373" s="548"/>
      <c r="C373" s="525"/>
      <c r="D373" s="525"/>
      <c r="E373" s="525"/>
      <c r="F373" s="525"/>
      <c r="G373" s="525"/>
      <c r="H373" s="525"/>
      <c r="I373" s="525"/>
      <c r="J373" s="525"/>
      <c r="K373" s="525"/>
      <c r="L373" s="525"/>
      <c r="M373" s="525"/>
      <c r="N373" s="525"/>
      <c r="O373" s="525"/>
      <c r="P373" s="565"/>
      <c r="Q373" s="525"/>
      <c r="R373" s="525"/>
      <c r="S373" s="525"/>
      <c r="T373" s="525"/>
      <c r="U373" s="525"/>
      <c r="V373" s="525"/>
      <c r="W373" s="525"/>
      <c r="X373" s="525"/>
      <c r="Y373" s="525"/>
      <c r="Z373" s="525"/>
      <c r="AA373" s="525"/>
      <c r="AB373" s="525"/>
      <c r="AC373" s="525"/>
      <c r="AD373" s="525"/>
      <c r="AE373" s="525"/>
      <c r="AF373" s="525"/>
      <c r="AG373" s="525"/>
      <c r="AH373" s="525"/>
      <c r="AI373" s="525"/>
      <c r="AJ373" s="525"/>
      <c r="AK373" s="525"/>
      <c r="AL373" s="525"/>
      <c r="AM373" s="525"/>
      <c r="AN373" s="525"/>
      <c r="AO373" s="525"/>
      <c r="AP373" s="525"/>
      <c r="AQ373" s="525"/>
      <c r="AR373" s="525"/>
      <c r="AS373" s="525"/>
      <c r="AT373" s="525"/>
      <c r="AU373" s="525"/>
      <c r="AV373" s="525"/>
      <c r="AW373" s="525"/>
      <c r="AX373" s="525"/>
      <c r="AY373" s="525"/>
      <c r="AZ373" s="525"/>
      <c r="BA373" s="525"/>
      <c r="BB373" s="525"/>
      <c r="BC373" s="525"/>
      <c r="BD373" s="525"/>
      <c r="BE373" s="525"/>
      <c r="BF373" s="525"/>
      <c r="BG373" s="525"/>
      <c r="BH373" s="525"/>
      <c r="BI373" s="525"/>
      <c r="BJ373" s="525"/>
      <c r="BK373" s="525"/>
      <c r="BL373" s="525"/>
      <c r="BM373" s="525"/>
      <c r="BN373" s="525"/>
      <c r="BO373" s="525"/>
      <c r="BP373" s="525"/>
      <c r="BQ373" s="525"/>
      <c r="BR373" s="525"/>
      <c r="BS373" s="525"/>
      <c r="BT373" s="525"/>
      <c r="BU373" s="525"/>
      <c r="BV373" s="525"/>
      <c r="BW373" s="525"/>
      <c r="BX373" s="525"/>
      <c r="BY373" s="525"/>
    </row>
    <row r="374" spans="1:77" x14ac:dyDescent="0.3">
      <c r="A374" s="551"/>
      <c r="B374" s="548"/>
      <c r="C374" s="525"/>
      <c r="D374" s="525"/>
      <c r="E374" s="637" t="str">
        <f>"F&amp;F income: "&amp;E$155</f>
        <v>F&amp;F income: FY27 Tranche</v>
      </c>
      <c r="F374" s="525"/>
      <c r="G374" s="525"/>
      <c r="H374" s="525"/>
      <c r="I374" s="525"/>
      <c r="J374" s="525"/>
      <c r="K374" s="525"/>
      <c r="L374" s="525"/>
      <c r="M374" s="525"/>
      <c r="N374" s="525"/>
      <c r="O374" s="525"/>
      <c r="P374" s="565"/>
      <c r="Q374" s="525"/>
      <c r="R374" s="527">
        <f t="shared" ref="R374:AW374" si="539">R$604*$R155</f>
        <v>2211.4313043478264</v>
      </c>
      <c r="S374" s="527">
        <f t="shared" si="539"/>
        <v>2211.4313043478264</v>
      </c>
      <c r="T374" s="527">
        <f t="shared" si="539"/>
        <v>2211.4313043478264</v>
      </c>
      <c r="U374" s="527">
        <f t="shared" si="539"/>
        <v>2211.4313043478264</v>
      </c>
      <c r="V374" s="527">
        <f t="shared" si="539"/>
        <v>2211.4313043478264</v>
      </c>
      <c r="W374" s="527">
        <f t="shared" si="539"/>
        <v>2211.4313043478264</v>
      </c>
      <c r="X374" s="527">
        <f t="shared" si="539"/>
        <v>2211.4313043478264</v>
      </c>
      <c r="Y374" s="527">
        <f t="shared" si="539"/>
        <v>2211.4313043478264</v>
      </c>
      <c r="Z374" s="527">
        <f t="shared" si="539"/>
        <v>2211.4313043478264</v>
      </c>
      <c r="AA374" s="527">
        <f t="shared" si="539"/>
        <v>2211.4313043478264</v>
      </c>
      <c r="AB374" s="527">
        <f t="shared" si="539"/>
        <v>2211.4313043478264</v>
      </c>
      <c r="AC374" s="527">
        <f t="shared" si="539"/>
        <v>2211.4313043478264</v>
      </c>
      <c r="AD374" s="527">
        <f t="shared" si="539"/>
        <v>2211.4313043478264</v>
      </c>
      <c r="AE374" s="527">
        <f t="shared" si="539"/>
        <v>2211.4313043478264</v>
      </c>
      <c r="AF374" s="527">
        <f t="shared" si="539"/>
        <v>2211.4313043478264</v>
      </c>
      <c r="AG374" s="527">
        <f t="shared" si="539"/>
        <v>2211.4313043478264</v>
      </c>
      <c r="AH374" s="527">
        <f t="shared" si="539"/>
        <v>2211.4313043478264</v>
      </c>
      <c r="AI374" s="527">
        <f t="shared" si="539"/>
        <v>2211.4313043478264</v>
      </c>
      <c r="AJ374" s="527">
        <f t="shared" si="539"/>
        <v>2211.4313043478264</v>
      </c>
      <c r="AK374" s="527">
        <f t="shared" si="539"/>
        <v>2211.4313043478264</v>
      </c>
      <c r="AL374" s="527">
        <f t="shared" si="539"/>
        <v>2211.4313043478264</v>
      </c>
      <c r="AM374" s="527">
        <f t="shared" si="539"/>
        <v>2211.4313043478264</v>
      </c>
      <c r="AN374" s="527">
        <f t="shared" si="539"/>
        <v>2211.4313043478264</v>
      </c>
      <c r="AO374" s="527">
        <f t="shared" si="539"/>
        <v>2211.4313043478264</v>
      </c>
      <c r="AP374" s="527">
        <f t="shared" si="539"/>
        <v>2211.4313043478264</v>
      </c>
      <c r="AQ374" s="527">
        <f t="shared" si="539"/>
        <v>2211.4313043478264</v>
      </c>
      <c r="AR374" s="527">
        <f t="shared" si="539"/>
        <v>2211.4313043478264</v>
      </c>
      <c r="AS374" s="527">
        <f t="shared" si="539"/>
        <v>2211.4313043478264</v>
      </c>
      <c r="AT374" s="527">
        <f t="shared" si="539"/>
        <v>2211.4313043478264</v>
      </c>
      <c r="AU374" s="527">
        <f t="shared" si="539"/>
        <v>2211.4313043478264</v>
      </c>
      <c r="AV374" s="527">
        <f t="shared" si="539"/>
        <v>2211.4313043478264</v>
      </c>
      <c r="AW374" s="527">
        <f t="shared" si="539"/>
        <v>2211.4313043478264</v>
      </c>
      <c r="AX374" s="527">
        <f t="shared" ref="AX374:BY374" si="540">AX$604*$R155</f>
        <v>2211.4313043478264</v>
      </c>
      <c r="AY374" s="527">
        <f t="shared" si="540"/>
        <v>2211.4313043478264</v>
      </c>
      <c r="AZ374" s="527">
        <f t="shared" si="540"/>
        <v>2211.4313043478264</v>
      </c>
      <c r="BA374" s="527">
        <f t="shared" si="540"/>
        <v>2211.4313043478264</v>
      </c>
      <c r="BB374" s="527">
        <f t="shared" si="540"/>
        <v>2211.4313043478264</v>
      </c>
      <c r="BC374" s="527">
        <f t="shared" si="540"/>
        <v>2211.4313043478264</v>
      </c>
      <c r="BD374" s="527">
        <f t="shared" si="540"/>
        <v>2211.4313043478264</v>
      </c>
      <c r="BE374" s="527">
        <f t="shared" si="540"/>
        <v>2211.4313043478264</v>
      </c>
      <c r="BF374" s="527">
        <f t="shared" si="540"/>
        <v>2211.4313043478264</v>
      </c>
      <c r="BG374" s="527">
        <f t="shared" si="540"/>
        <v>2211.4313043478264</v>
      </c>
      <c r="BH374" s="527">
        <f t="shared" si="540"/>
        <v>2211.4313043478264</v>
      </c>
      <c r="BI374" s="527">
        <f t="shared" si="540"/>
        <v>2211.4313043478264</v>
      </c>
      <c r="BJ374" s="527">
        <f t="shared" si="540"/>
        <v>2211.4313043478264</v>
      </c>
      <c r="BK374" s="527">
        <f t="shared" si="540"/>
        <v>2211.4313043478264</v>
      </c>
      <c r="BL374" s="527">
        <f t="shared" si="540"/>
        <v>2211.4313043478264</v>
      </c>
      <c r="BM374" s="527">
        <f t="shared" si="540"/>
        <v>2211.4313043478264</v>
      </c>
      <c r="BN374" s="527">
        <f t="shared" si="540"/>
        <v>2211.4313043478264</v>
      </c>
      <c r="BO374" s="527">
        <f t="shared" si="540"/>
        <v>2211.4313043478264</v>
      </c>
      <c r="BP374" s="527">
        <f t="shared" si="540"/>
        <v>2211.4313043478264</v>
      </c>
      <c r="BQ374" s="527">
        <f t="shared" si="540"/>
        <v>2211.4313043478264</v>
      </c>
      <c r="BR374" s="527">
        <f t="shared" si="540"/>
        <v>2211.4313043478264</v>
      </c>
      <c r="BS374" s="527">
        <f t="shared" si="540"/>
        <v>2211.4313043478264</v>
      </c>
      <c r="BT374" s="527">
        <f t="shared" si="540"/>
        <v>2211.4313043478264</v>
      </c>
      <c r="BU374" s="527">
        <f t="shared" si="540"/>
        <v>2211.4313043478264</v>
      </c>
      <c r="BV374" s="527">
        <f t="shared" si="540"/>
        <v>2211.4313043478264</v>
      </c>
      <c r="BW374" s="527">
        <f t="shared" si="540"/>
        <v>2211.4313043478264</v>
      </c>
      <c r="BX374" s="527">
        <f t="shared" si="540"/>
        <v>2211.4313043478264</v>
      </c>
      <c r="BY374" s="527">
        <f t="shared" si="540"/>
        <v>2211.4313043478264</v>
      </c>
    </row>
    <row r="375" spans="1:77" x14ac:dyDescent="0.3">
      <c r="A375" s="551"/>
      <c r="B375" s="548"/>
      <c r="C375" s="525"/>
      <c r="D375" s="525"/>
      <c r="E375" s="637" t="str">
        <f>"F&amp;F income: "&amp;E$156</f>
        <v>F&amp;F income: FY28 Tranche</v>
      </c>
      <c r="F375" s="525"/>
      <c r="G375" s="525"/>
      <c r="H375" s="525"/>
      <c r="I375" s="525"/>
      <c r="J375" s="525"/>
      <c r="K375" s="525"/>
      <c r="L375" s="525"/>
      <c r="M375" s="525"/>
      <c r="N375" s="525"/>
      <c r="O375" s="525"/>
      <c r="P375" s="565"/>
      <c r="Q375" s="525"/>
      <c r="R375" s="527">
        <f t="shared" ref="R375:AW375" si="541">R$604*$R156</f>
        <v>2211.4313043478264</v>
      </c>
      <c r="S375" s="527">
        <f t="shared" si="541"/>
        <v>2211.4313043478264</v>
      </c>
      <c r="T375" s="527">
        <f t="shared" si="541"/>
        <v>2211.4313043478264</v>
      </c>
      <c r="U375" s="527">
        <f t="shared" si="541"/>
        <v>2211.4313043478264</v>
      </c>
      <c r="V375" s="527">
        <f t="shared" si="541"/>
        <v>2211.4313043478264</v>
      </c>
      <c r="W375" s="527">
        <f t="shared" si="541"/>
        <v>2211.4313043478264</v>
      </c>
      <c r="X375" s="527">
        <f t="shared" si="541"/>
        <v>2211.4313043478264</v>
      </c>
      <c r="Y375" s="527">
        <f t="shared" si="541"/>
        <v>2211.4313043478264</v>
      </c>
      <c r="Z375" s="527">
        <f t="shared" si="541"/>
        <v>2211.4313043478264</v>
      </c>
      <c r="AA375" s="527">
        <f t="shared" si="541"/>
        <v>2211.4313043478264</v>
      </c>
      <c r="AB375" s="527">
        <f t="shared" si="541"/>
        <v>2211.4313043478264</v>
      </c>
      <c r="AC375" s="527">
        <f t="shared" si="541"/>
        <v>2211.4313043478264</v>
      </c>
      <c r="AD375" s="527">
        <f t="shared" si="541"/>
        <v>2211.4313043478264</v>
      </c>
      <c r="AE375" s="527">
        <f t="shared" si="541"/>
        <v>2211.4313043478264</v>
      </c>
      <c r="AF375" s="527">
        <f t="shared" si="541"/>
        <v>2211.4313043478264</v>
      </c>
      <c r="AG375" s="527">
        <f t="shared" si="541"/>
        <v>2211.4313043478264</v>
      </c>
      <c r="AH375" s="527">
        <f t="shared" si="541"/>
        <v>2211.4313043478264</v>
      </c>
      <c r="AI375" s="527">
        <f t="shared" si="541"/>
        <v>2211.4313043478264</v>
      </c>
      <c r="AJ375" s="527">
        <f t="shared" si="541"/>
        <v>2211.4313043478264</v>
      </c>
      <c r="AK375" s="527">
        <f t="shared" si="541"/>
        <v>2211.4313043478264</v>
      </c>
      <c r="AL375" s="527">
        <f t="shared" si="541"/>
        <v>2211.4313043478264</v>
      </c>
      <c r="AM375" s="527">
        <f t="shared" si="541"/>
        <v>2211.4313043478264</v>
      </c>
      <c r="AN375" s="527">
        <f t="shared" si="541"/>
        <v>2211.4313043478264</v>
      </c>
      <c r="AO375" s="527">
        <f t="shared" si="541"/>
        <v>2211.4313043478264</v>
      </c>
      <c r="AP375" s="527">
        <f t="shared" si="541"/>
        <v>2211.4313043478264</v>
      </c>
      <c r="AQ375" s="527">
        <f t="shared" si="541"/>
        <v>2211.4313043478264</v>
      </c>
      <c r="AR375" s="527">
        <f t="shared" si="541"/>
        <v>2211.4313043478264</v>
      </c>
      <c r="AS375" s="527">
        <f t="shared" si="541"/>
        <v>2211.4313043478264</v>
      </c>
      <c r="AT375" s="527">
        <f t="shared" si="541"/>
        <v>2211.4313043478264</v>
      </c>
      <c r="AU375" s="527">
        <f t="shared" si="541"/>
        <v>2211.4313043478264</v>
      </c>
      <c r="AV375" s="527">
        <f t="shared" si="541"/>
        <v>2211.4313043478264</v>
      </c>
      <c r="AW375" s="527">
        <f t="shared" si="541"/>
        <v>2211.4313043478264</v>
      </c>
      <c r="AX375" s="527">
        <f t="shared" ref="AX375:BY375" si="542">AX$604*$R156</f>
        <v>2211.4313043478264</v>
      </c>
      <c r="AY375" s="527">
        <f t="shared" si="542"/>
        <v>2211.4313043478264</v>
      </c>
      <c r="AZ375" s="527">
        <f t="shared" si="542"/>
        <v>2211.4313043478264</v>
      </c>
      <c r="BA375" s="527">
        <f t="shared" si="542"/>
        <v>2211.4313043478264</v>
      </c>
      <c r="BB375" s="527">
        <f t="shared" si="542"/>
        <v>2211.4313043478264</v>
      </c>
      <c r="BC375" s="527">
        <f t="shared" si="542"/>
        <v>2211.4313043478264</v>
      </c>
      <c r="BD375" s="527">
        <f t="shared" si="542"/>
        <v>2211.4313043478264</v>
      </c>
      <c r="BE375" s="527">
        <f t="shared" si="542"/>
        <v>2211.4313043478264</v>
      </c>
      <c r="BF375" s="527">
        <f t="shared" si="542"/>
        <v>2211.4313043478264</v>
      </c>
      <c r="BG375" s="527">
        <f t="shared" si="542"/>
        <v>2211.4313043478264</v>
      </c>
      <c r="BH375" s="527">
        <f t="shared" si="542"/>
        <v>2211.4313043478264</v>
      </c>
      <c r="BI375" s="527">
        <f t="shared" si="542"/>
        <v>2211.4313043478264</v>
      </c>
      <c r="BJ375" s="527">
        <f t="shared" si="542"/>
        <v>2211.4313043478264</v>
      </c>
      <c r="BK375" s="527">
        <f t="shared" si="542"/>
        <v>2211.4313043478264</v>
      </c>
      <c r="BL375" s="527">
        <f t="shared" si="542"/>
        <v>2211.4313043478264</v>
      </c>
      <c r="BM375" s="527">
        <f t="shared" si="542"/>
        <v>2211.4313043478264</v>
      </c>
      <c r="BN375" s="527">
        <f t="shared" si="542"/>
        <v>2211.4313043478264</v>
      </c>
      <c r="BO375" s="527">
        <f t="shared" si="542"/>
        <v>2211.4313043478264</v>
      </c>
      <c r="BP375" s="527">
        <f t="shared" si="542"/>
        <v>2211.4313043478264</v>
      </c>
      <c r="BQ375" s="527">
        <f t="shared" si="542"/>
        <v>2211.4313043478264</v>
      </c>
      <c r="BR375" s="527">
        <f t="shared" si="542"/>
        <v>2211.4313043478264</v>
      </c>
      <c r="BS375" s="527">
        <f t="shared" si="542"/>
        <v>2211.4313043478264</v>
      </c>
      <c r="BT375" s="527">
        <f t="shared" si="542"/>
        <v>2211.4313043478264</v>
      </c>
      <c r="BU375" s="527">
        <f t="shared" si="542"/>
        <v>2211.4313043478264</v>
      </c>
      <c r="BV375" s="527">
        <f t="shared" si="542"/>
        <v>2211.4313043478264</v>
      </c>
      <c r="BW375" s="527">
        <f t="shared" si="542"/>
        <v>2211.4313043478264</v>
      </c>
      <c r="BX375" s="527">
        <f t="shared" si="542"/>
        <v>2211.4313043478264</v>
      </c>
      <c r="BY375" s="527">
        <f t="shared" si="542"/>
        <v>2211.4313043478264</v>
      </c>
    </row>
    <row r="376" spans="1:77" x14ac:dyDescent="0.3">
      <c r="A376" s="551"/>
      <c r="B376" s="548"/>
      <c r="C376" s="525"/>
      <c r="D376" s="525"/>
      <c r="E376" s="637" t="str">
        <f>"F&amp;F income: "&amp;E$157</f>
        <v>F&amp;F income: FY29 Tranche</v>
      </c>
      <c r="F376" s="525"/>
      <c r="G376" s="525"/>
      <c r="H376" s="525"/>
      <c r="I376" s="525"/>
      <c r="J376" s="525"/>
      <c r="K376" s="525"/>
      <c r="L376" s="525"/>
      <c r="M376" s="525"/>
      <c r="N376" s="525"/>
      <c r="O376" s="525"/>
      <c r="P376" s="565"/>
      <c r="Q376" s="525"/>
      <c r="R376" s="527">
        <f t="shared" ref="R376:AW376" si="543">R$604*$R157</f>
        <v>2211.4313043478264</v>
      </c>
      <c r="S376" s="527">
        <f t="shared" si="543"/>
        <v>2211.4313043478264</v>
      </c>
      <c r="T376" s="527">
        <f t="shared" si="543"/>
        <v>2211.4313043478264</v>
      </c>
      <c r="U376" s="527">
        <f t="shared" si="543"/>
        <v>2211.4313043478264</v>
      </c>
      <c r="V376" s="527">
        <f t="shared" si="543"/>
        <v>2211.4313043478264</v>
      </c>
      <c r="W376" s="527">
        <f t="shared" si="543"/>
        <v>2211.4313043478264</v>
      </c>
      <c r="X376" s="527">
        <f t="shared" si="543"/>
        <v>2211.4313043478264</v>
      </c>
      <c r="Y376" s="527">
        <f t="shared" si="543"/>
        <v>2211.4313043478264</v>
      </c>
      <c r="Z376" s="527">
        <f t="shared" si="543"/>
        <v>2211.4313043478264</v>
      </c>
      <c r="AA376" s="527">
        <f t="shared" si="543"/>
        <v>2211.4313043478264</v>
      </c>
      <c r="AB376" s="527">
        <f t="shared" si="543"/>
        <v>2211.4313043478264</v>
      </c>
      <c r="AC376" s="527">
        <f t="shared" si="543"/>
        <v>2211.4313043478264</v>
      </c>
      <c r="AD376" s="527">
        <f t="shared" si="543"/>
        <v>2211.4313043478264</v>
      </c>
      <c r="AE376" s="527">
        <f t="shared" si="543"/>
        <v>2211.4313043478264</v>
      </c>
      <c r="AF376" s="527">
        <f t="shared" si="543"/>
        <v>2211.4313043478264</v>
      </c>
      <c r="AG376" s="527">
        <f t="shared" si="543"/>
        <v>2211.4313043478264</v>
      </c>
      <c r="AH376" s="527">
        <f t="shared" si="543"/>
        <v>2211.4313043478264</v>
      </c>
      <c r="AI376" s="527">
        <f t="shared" si="543"/>
        <v>2211.4313043478264</v>
      </c>
      <c r="AJ376" s="527">
        <f t="shared" si="543"/>
        <v>2211.4313043478264</v>
      </c>
      <c r="AK376" s="527">
        <f t="shared" si="543"/>
        <v>2211.4313043478264</v>
      </c>
      <c r="AL376" s="527">
        <f t="shared" si="543"/>
        <v>2211.4313043478264</v>
      </c>
      <c r="AM376" s="527">
        <f t="shared" si="543"/>
        <v>2211.4313043478264</v>
      </c>
      <c r="AN376" s="527">
        <f t="shared" si="543"/>
        <v>2211.4313043478264</v>
      </c>
      <c r="AO376" s="527">
        <f t="shared" si="543"/>
        <v>2211.4313043478264</v>
      </c>
      <c r="AP376" s="527">
        <f t="shared" si="543"/>
        <v>2211.4313043478264</v>
      </c>
      <c r="AQ376" s="527">
        <f t="shared" si="543"/>
        <v>2211.4313043478264</v>
      </c>
      <c r="AR376" s="527">
        <f t="shared" si="543"/>
        <v>2211.4313043478264</v>
      </c>
      <c r="AS376" s="527">
        <f t="shared" si="543"/>
        <v>2211.4313043478264</v>
      </c>
      <c r="AT376" s="527">
        <f t="shared" si="543"/>
        <v>2211.4313043478264</v>
      </c>
      <c r="AU376" s="527">
        <f t="shared" si="543"/>
        <v>2211.4313043478264</v>
      </c>
      <c r="AV376" s="527">
        <f t="shared" si="543"/>
        <v>2211.4313043478264</v>
      </c>
      <c r="AW376" s="527">
        <f t="shared" si="543"/>
        <v>2211.4313043478264</v>
      </c>
      <c r="AX376" s="527">
        <f t="shared" ref="AX376:BY376" si="544">AX$604*$R157</f>
        <v>2211.4313043478264</v>
      </c>
      <c r="AY376" s="527">
        <f t="shared" si="544"/>
        <v>2211.4313043478264</v>
      </c>
      <c r="AZ376" s="527">
        <f t="shared" si="544"/>
        <v>2211.4313043478264</v>
      </c>
      <c r="BA376" s="527">
        <f t="shared" si="544"/>
        <v>2211.4313043478264</v>
      </c>
      <c r="BB376" s="527">
        <f t="shared" si="544"/>
        <v>2211.4313043478264</v>
      </c>
      <c r="BC376" s="527">
        <f t="shared" si="544"/>
        <v>2211.4313043478264</v>
      </c>
      <c r="BD376" s="527">
        <f t="shared" si="544"/>
        <v>2211.4313043478264</v>
      </c>
      <c r="BE376" s="527">
        <f t="shared" si="544"/>
        <v>2211.4313043478264</v>
      </c>
      <c r="BF376" s="527">
        <f t="shared" si="544"/>
        <v>2211.4313043478264</v>
      </c>
      <c r="BG376" s="527">
        <f t="shared" si="544"/>
        <v>2211.4313043478264</v>
      </c>
      <c r="BH376" s="527">
        <f t="shared" si="544"/>
        <v>2211.4313043478264</v>
      </c>
      <c r="BI376" s="527">
        <f t="shared" si="544"/>
        <v>2211.4313043478264</v>
      </c>
      <c r="BJ376" s="527">
        <f t="shared" si="544"/>
        <v>2211.4313043478264</v>
      </c>
      <c r="BK376" s="527">
        <f t="shared" si="544"/>
        <v>2211.4313043478264</v>
      </c>
      <c r="BL376" s="527">
        <f t="shared" si="544"/>
        <v>2211.4313043478264</v>
      </c>
      <c r="BM376" s="527">
        <f t="shared" si="544"/>
        <v>2211.4313043478264</v>
      </c>
      <c r="BN376" s="527">
        <f t="shared" si="544"/>
        <v>2211.4313043478264</v>
      </c>
      <c r="BO376" s="527">
        <f t="shared" si="544"/>
        <v>2211.4313043478264</v>
      </c>
      <c r="BP376" s="527">
        <f t="shared" si="544"/>
        <v>2211.4313043478264</v>
      </c>
      <c r="BQ376" s="527">
        <f t="shared" si="544"/>
        <v>2211.4313043478264</v>
      </c>
      <c r="BR376" s="527">
        <f t="shared" si="544"/>
        <v>2211.4313043478264</v>
      </c>
      <c r="BS376" s="527">
        <f t="shared" si="544"/>
        <v>2211.4313043478264</v>
      </c>
      <c r="BT376" s="527">
        <f t="shared" si="544"/>
        <v>2211.4313043478264</v>
      </c>
      <c r="BU376" s="527">
        <f t="shared" si="544"/>
        <v>2211.4313043478264</v>
      </c>
      <c r="BV376" s="527">
        <f t="shared" si="544"/>
        <v>2211.4313043478264</v>
      </c>
      <c r="BW376" s="527">
        <f t="shared" si="544"/>
        <v>2211.4313043478264</v>
      </c>
      <c r="BX376" s="527">
        <f t="shared" si="544"/>
        <v>2211.4313043478264</v>
      </c>
      <c r="BY376" s="527">
        <f t="shared" si="544"/>
        <v>2211.4313043478264</v>
      </c>
    </row>
    <row r="377" spans="1:77" x14ac:dyDescent="0.3">
      <c r="A377" s="551"/>
      <c r="B377" s="548"/>
      <c r="C377" s="525"/>
      <c r="D377" s="525"/>
      <c r="E377" s="637" t="str">
        <f>"F&amp;F income: "&amp;E$158</f>
        <v>F&amp;F income: FY30 Tranche</v>
      </c>
      <c r="F377" s="525"/>
      <c r="G377" s="525"/>
      <c r="H377" s="525"/>
      <c r="I377" s="525"/>
      <c r="J377" s="525"/>
      <c r="K377" s="525"/>
      <c r="L377" s="525"/>
      <c r="M377" s="525"/>
      <c r="N377" s="525"/>
      <c r="O377" s="525"/>
      <c r="P377" s="565"/>
      <c r="Q377" s="525"/>
      <c r="R377" s="527">
        <f t="shared" ref="R377:AW377" si="545">R$604*$R158</f>
        <v>2211.4313043478264</v>
      </c>
      <c r="S377" s="527">
        <f t="shared" si="545"/>
        <v>2211.4313043478264</v>
      </c>
      <c r="T377" s="527">
        <f t="shared" si="545"/>
        <v>2211.4313043478264</v>
      </c>
      <c r="U377" s="527">
        <f t="shared" si="545"/>
        <v>2211.4313043478264</v>
      </c>
      <c r="V377" s="527">
        <f t="shared" si="545"/>
        <v>2211.4313043478264</v>
      </c>
      <c r="W377" s="527">
        <f t="shared" si="545"/>
        <v>2211.4313043478264</v>
      </c>
      <c r="X377" s="527">
        <f t="shared" si="545"/>
        <v>2211.4313043478264</v>
      </c>
      <c r="Y377" s="527">
        <f t="shared" si="545"/>
        <v>2211.4313043478264</v>
      </c>
      <c r="Z377" s="527">
        <f t="shared" si="545"/>
        <v>2211.4313043478264</v>
      </c>
      <c r="AA377" s="527">
        <f t="shared" si="545"/>
        <v>2211.4313043478264</v>
      </c>
      <c r="AB377" s="527">
        <f t="shared" si="545"/>
        <v>2211.4313043478264</v>
      </c>
      <c r="AC377" s="527">
        <f t="shared" si="545"/>
        <v>2211.4313043478264</v>
      </c>
      <c r="AD377" s="527">
        <f t="shared" si="545"/>
        <v>2211.4313043478264</v>
      </c>
      <c r="AE377" s="527">
        <f t="shared" si="545"/>
        <v>2211.4313043478264</v>
      </c>
      <c r="AF377" s="527">
        <f t="shared" si="545"/>
        <v>2211.4313043478264</v>
      </c>
      <c r="AG377" s="527">
        <f t="shared" si="545"/>
        <v>2211.4313043478264</v>
      </c>
      <c r="AH377" s="527">
        <f t="shared" si="545"/>
        <v>2211.4313043478264</v>
      </c>
      <c r="AI377" s="527">
        <f t="shared" si="545"/>
        <v>2211.4313043478264</v>
      </c>
      <c r="AJ377" s="527">
        <f t="shared" si="545"/>
        <v>2211.4313043478264</v>
      </c>
      <c r="AK377" s="527">
        <f t="shared" si="545"/>
        <v>2211.4313043478264</v>
      </c>
      <c r="AL377" s="527">
        <f t="shared" si="545"/>
        <v>2211.4313043478264</v>
      </c>
      <c r="AM377" s="527">
        <f t="shared" si="545"/>
        <v>2211.4313043478264</v>
      </c>
      <c r="AN377" s="527">
        <f t="shared" si="545"/>
        <v>2211.4313043478264</v>
      </c>
      <c r="AO377" s="527">
        <f t="shared" si="545"/>
        <v>2211.4313043478264</v>
      </c>
      <c r="AP377" s="527">
        <f t="shared" si="545"/>
        <v>2211.4313043478264</v>
      </c>
      <c r="AQ377" s="527">
        <f t="shared" si="545"/>
        <v>2211.4313043478264</v>
      </c>
      <c r="AR377" s="527">
        <f t="shared" si="545"/>
        <v>2211.4313043478264</v>
      </c>
      <c r="AS377" s="527">
        <f t="shared" si="545"/>
        <v>2211.4313043478264</v>
      </c>
      <c r="AT377" s="527">
        <f t="shared" si="545"/>
        <v>2211.4313043478264</v>
      </c>
      <c r="AU377" s="527">
        <f t="shared" si="545"/>
        <v>2211.4313043478264</v>
      </c>
      <c r="AV377" s="527">
        <f t="shared" si="545"/>
        <v>2211.4313043478264</v>
      </c>
      <c r="AW377" s="527">
        <f t="shared" si="545"/>
        <v>2211.4313043478264</v>
      </c>
      <c r="AX377" s="527">
        <f t="shared" ref="AX377:BY377" si="546">AX$604*$R158</f>
        <v>2211.4313043478264</v>
      </c>
      <c r="AY377" s="527">
        <f t="shared" si="546"/>
        <v>2211.4313043478264</v>
      </c>
      <c r="AZ377" s="527">
        <f t="shared" si="546"/>
        <v>2211.4313043478264</v>
      </c>
      <c r="BA377" s="527">
        <f t="shared" si="546"/>
        <v>2211.4313043478264</v>
      </c>
      <c r="BB377" s="527">
        <f t="shared" si="546"/>
        <v>2211.4313043478264</v>
      </c>
      <c r="BC377" s="527">
        <f t="shared" si="546"/>
        <v>2211.4313043478264</v>
      </c>
      <c r="BD377" s="527">
        <f t="shared" si="546"/>
        <v>2211.4313043478264</v>
      </c>
      <c r="BE377" s="527">
        <f t="shared" si="546"/>
        <v>2211.4313043478264</v>
      </c>
      <c r="BF377" s="527">
        <f t="shared" si="546"/>
        <v>2211.4313043478264</v>
      </c>
      <c r="BG377" s="527">
        <f t="shared" si="546"/>
        <v>2211.4313043478264</v>
      </c>
      <c r="BH377" s="527">
        <f t="shared" si="546"/>
        <v>2211.4313043478264</v>
      </c>
      <c r="BI377" s="527">
        <f t="shared" si="546"/>
        <v>2211.4313043478264</v>
      </c>
      <c r="BJ377" s="527">
        <f t="shared" si="546"/>
        <v>2211.4313043478264</v>
      </c>
      <c r="BK377" s="527">
        <f t="shared" si="546"/>
        <v>2211.4313043478264</v>
      </c>
      <c r="BL377" s="527">
        <f t="shared" si="546"/>
        <v>2211.4313043478264</v>
      </c>
      <c r="BM377" s="527">
        <f t="shared" si="546"/>
        <v>2211.4313043478264</v>
      </c>
      <c r="BN377" s="527">
        <f t="shared" si="546"/>
        <v>2211.4313043478264</v>
      </c>
      <c r="BO377" s="527">
        <f t="shared" si="546"/>
        <v>2211.4313043478264</v>
      </c>
      <c r="BP377" s="527">
        <f t="shared" si="546"/>
        <v>2211.4313043478264</v>
      </c>
      <c r="BQ377" s="527">
        <f t="shared" si="546"/>
        <v>2211.4313043478264</v>
      </c>
      <c r="BR377" s="527">
        <f t="shared" si="546"/>
        <v>2211.4313043478264</v>
      </c>
      <c r="BS377" s="527">
        <f t="shared" si="546"/>
        <v>2211.4313043478264</v>
      </c>
      <c r="BT377" s="527">
        <f t="shared" si="546"/>
        <v>2211.4313043478264</v>
      </c>
      <c r="BU377" s="527">
        <f t="shared" si="546"/>
        <v>2211.4313043478264</v>
      </c>
      <c r="BV377" s="527">
        <f t="shared" si="546"/>
        <v>2211.4313043478264</v>
      </c>
      <c r="BW377" s="527">
        <f t="shared" si="546"/>
        <v>2211.4313043478264</v>
      </c>
      <c r="BX377" s="527">
        <f t="shared" si="546"/>
        <v>2211.4313043478264</v>
      </c>
      <c r="BY377" s="527">
        <f t="shared" si="546"/>
        <v>2211.4313043478264</v>
      </c>
    </row>
    <row r="378" spans="1:77" x14ac:dyDescent="0.3">
      <c r="A378" s="551"/>
      <c r="B378" s="548"/>
      <c r="C378" s="525"/>
      <c r="D378" s="525"/>
      <c r="E378" s="637" t="str">
        <f>"F&amp;F income: "&amp;E$159</f>
        <v>F&amp;F income: FY31 Tranche</v>
      </c>
      <c r="F378" s="525"/>
      <c r="G378" s="525"/>
      <c r="H378" s="525"/>
      <c r="I378" s="525"/>
      <c r="J378" s="525"/>
      <c r="K378" s="525"/>
      <c r="L378" s="525"/>
      <c r="M378" s="525"/>
      <c r="N378" s="525"/>
      <c r="O378" s="525"/>
      <c r="P378" s="565"/>
      <c r="Q378" s="525"/>
      <c r="R378" s="527">
        <f t="shared" ref="R378:AW378" si="547">R$604*$R159</f>
        <v>2211.4313043478264</v>
      </c>
      <c r="S378" s="527">
        <f t="shared" si="547"/>
        <v>2211.4313043478264</v>
      </c>
      <c r="T378" s="527">
        <f t="shared" si="547"/>
        <v>2211.4313043478264</v>
      </c>
      <c r="U378" s="527">
        <f t="shared" si="547"/>
        <v>2211.4313043478264</v>
      </c>
      <c r="V378" s="527">
        <f t="shared" si="547"/>
        <v>2211.4313043478264</v>
      </c>
      <c r="W378" s="527">
        <f t="shared" si="547"/>
        <v>2211.4313043478264</v>
      </c>
      <c r="X378" s="527">
        <f t="shared" si="547"/>
        <v>2211.4313043478264</v>
      </c>
      <c r="Y378" s="527">
        <f t="shared" si="547"/>
        <v>2211.4313043478264</v>
      </c>
      <c r="Z378" s="527">
        <f t="shared" si="547"/>
        <v>2211.4313043478264</v>
      </c>
      <c r="AA378" s="527">
        <f t="shared" si="547"/>
        <v>2211.4313043478264</v>
      </c>
      <c r="AB378" s="527">
        <f t="shared" si="547"/>
        <v>2211.4313043478264</v>
      </c>
      <c r="AC378" s="527">
        <f t="shared" si="547"/>
        <v>2211.4313043478264</v>
      </c>
      <c r="AD378" s="527">
        <f t="shared" si="547"/>
        <v>2211.4313043478264</v>
      </c>
      <c r="AE378" s="527">
        <f t="shared" si="547"/>
        <v>2211.4313043478264</v>
      </c>
      <c r="AF378" s="527">
        <f t="shared" si="547"/>
        <v>2211.4313043478264</v>
      </c>
      <c r="AG378" s="527">
        <f t="shared" si="547"/>
        <v>2211.4313043478264</v>
      </c>
      <c r="AH378" s="527">
        <f t="shared" si="547"/>
        <v>2211.4313043478264</v>
      </c>
      <c r="AI378" s="527">
        <f t="shared" si="547"/>
        <v>2211.4313043478264</v>
      </c>
      <c r="AJ378" s="527">
        <f t="shared" si="547"/>
        <v>2211.4313043478264</v>
      </c>
      <c r="AK378" s="527">
        <f t="shared" si="547"/>
        <v>2211.4313043478264</v>
      </c>
      <c r="AL378" s="527">
        <f t="shared" si="547"/>
        <v>2211.4313043478264</v>
      </c>
      <c r="AM378" s="527">
        <f t="shared" si="547"/>
        <v>2211.4313043478264</v>
      </c>
      <c r="AN378" s="527">
        <f t="shared" si="547"/>
        <v>2211.4313043478264</v>
      </c>
      <c r="AO378" s="527">
        <f t="shared" si="547"/>
        <v>2211.4313043478264</v>
      </c>
      <c r="AP378" s="527">
        <f t="shared" si="547"/>
        <v>2211.4313043478264</v>
      </c>
      <c r="AQ378" s="527">
        <f t="shared" si="547"/>
        <v>2211.4313043478264</v>
      </c>
      <c r="AR378" s="527">
        <f t="shared" si="547"/>
        <v>2211.4313043478264</v>
      </c>
      <c r="AS378" s="527">
        <f t="shared" si="547"/>
        <v>2211.4313043478264</v>
      </c>
      <c r="AT378" s="527">
        <f t="shared" si="547"/>
        <v>2211.4313043478264</v>
      </c>
      <c r="AU378" s="527">
        <f t="shared" si="547"/>
        <v>2211.4313043478264</v>
      </c>
      <c r="AV378" s="527">
        <f t="shared" si="547"/>
        <v>2211.4313043478264</v>
      </c>
      <c r="AW378" s="527">
        <f t="shared" si="547"/>
        <v>2211.4313043478264</v>
      </c>
      <c r="AX378" s="527">
        <f t="shared" ref="AX378:BY378" si="548">AX$604*$R159</f>
        <v>2211.4313043478264</v>
      </c>
      <c r="AY378" s="527">
        <f t="shared" si="548"/>
        <v>2211.4313043478264</v>
      </c>
      <c r="AZ378" s="527">
        <f t="shared" si="548"/>
        <v>2211.4313043478264</v>
      </c>
      <c r="BA378" s="527">
        <f t="shared" si="548"/>
        <v>2211.4313043478264</v>
      </c>
      <c r="BB378" s="527">
        <f t="shared" si="548"/>
        <v>2211.4313043478264</v>
      </c>
      <c r="BC378" s="527">
        <f t="shared" si="548"/>
        <v>2211.4313043478264</v>
      </c>
      <c r="BD378" s="527">
        <f t="shared" si="548"/>
        <v>2211.4313043478264</v>
      </c>
      <c r="BE378" s="527">
        <f t="shared" si="548"/>
        <v>2211.4313043478264</v>
      </c>
      <c r="BF378" s="527">
        <f t="shared" si="548"/>
        <v>2211.4313043478264</v>
      </c>
      <c r="BG378" s="527">
        <f t="shared" si="548"/>
        <v>2211.4313043478264</v>
      </c>
      <c r="BH378" s="527">
        <f t="shared" si="548"/>
        <v>2211.4313043478264</v>
      </c>
      <c r="BI378" s="527">
        <f t="shared" si="548"/>
        <v>2211.4313043478264</v>
      </c>
      <c r="BJ378" s="527">
        <f t="shared" si="548"/>
        <v>2211.4313043478264</v>
      </c>
      <c r="BK378" s="527">
        <f t="shared" si="548"/>
        <v>2211.4313043478264</v>
      </c>
      <c r="BL378" s="527">
        <f t="shared" si="548"/>
        <v>2211.4313043478264</v>
      </c>
      <c r="BM378" s="527">
        <f t="shared" si="548"/>
        <v>2211.4313043478264</v>
      </c>
      <c r="BN378" s="527">
        <f t="shared" si="548"/>
        <v>2211.4313043478264</v>
      </c>
      <c r="BO378" s="527">
        <f t="shared" si="548"/>
        <v>2211.4313043478264</v>
      </c>
      <c r="BP378" s="527">
        <f t="shared" si="548"/>
        <v>2211.4313043478264</v>
      </c>
      <c r="BQ378" s="527">
        <f t="shared" si="548"/>
        <v>2211.4313043478264</v>
      </c>
      <c r="BR378" s="527">
        <f t="shared" si="548"/>
        <v>2211.4313043478264</v>
      </c>
      <c r="BS378" s="527">
        <f t="shared" si="548"/>
        <v>2211.4313043478264</v>
      </c>
      <c r="BT378" s="527">
        <f t="shared" si="548"/>
        <v>2211.4313043478264</v>
      </c>
      <c r="BU378" s="527">
        <f t="shared" si="548"/>
        <v>2211.4313043478264</v>
      </c>
      <c r="BV378" s="527">
        <f t="shared" si="548"/>
        <v>2211.4313043478264</v>
      </c>
      <c r="BW378" s="527">
        <f t="shared" si="548"/>
        <v>2211.4313043478264</v>
      </c>
      <c r="BX378" s="527">
        <f t="shared" si="548"/>
        <v>2211.4313043478264</v>
      </c>
      <c r="BY378" s="527">
        <f t="shared" si="548"/>
        <v>2211.4313043478264</v>
      </c>
    </row>
    <row r="379" spans="1:77" x14ac:dyDescent="0.3">
      <c r="A379" s="551"/>
      <c r="B379" s="548"/>
      <c r="C379" s="525"/>
      <c r="D379" s="525"/>
      <c r="E379" s="637" t="str">
        <f>"F&amp;F income: "&amp;E$160</f>
        <v>F&amp;F income: Uninvested Tranche</v>
      </c>
      <c r="F379" s="525"/>
      <c r="G379" s="525"/>
      <c r="H379" s="525"/>
      <c r="I379" s="525"/>
      <c r="J379" s="525"/>
      <c r="K379" s="525"/>
      <c r="L379" s="525"/>
      <c r="M379" s="525"/>
      <c r="N379" s="525"/>
      <c r="O379" s="525"/>
      <c r="P379" s="565"/>
      <c r="Q379" s="525"/>
      <c r="R379" s="527">
        <f t="shared" ref="R379:AW379" si="549">R$604*$R160</f>
        <v>4837.5059782608705</v>
      </c>
      <c r="S379" s="527">
        <f t="shared" si="549"/>
        <v>4837.5059782608705</v>
      </c>
      <c r="T379" s="527">
        <f t="shared" si="549"/>
        <v>4837.5059782608705</v>
      </c>
      <c r="U379" s="527">
        <f t="shared" si="549"/>
        <v>4837.5059782608705</v>
      </c>
      <c r="V379" s="527">
        <f t="shared" si="549"/>
        <v>4837.5059782608705</v>
      </c>
      <c r="W379" s="527">
        <f t="shared" si="549"/>
        <v>4837.5059782608705</v>
      </c>
      <c r="X379" s="527">
        <f t="shared" si="549"/>
        <v>4837.5059782608705</v>
      </c>
      <c r="Y379" s="527">
        <f t="shared" si="549"/>
        <v>4837.5059782608705</v>
      </c>
      <c r="Z379" s="527">
        <f t="shared" si="549"/>
        <v>4837.5059782608705</v>
      </c>
      <c r="AA379" s="527">
        <f t="shared" si="549"/>
        <v>4837.5059782608705</v>
      </c>
      <c r="AB379" s="527">
        <f t="shared" si="549"/>
        <v>4837.5059782608705</v>
      </c>
      <c r="AC379" s="527">
        <f t="shared" si="549"/>
        <v>4837.5059782608705</v>
      </c>
      <c r="AD379" s="527">
        <f t="shared" si="549"/>
        <v>4837.5059782608705</v>
      </c>
      <c r="AE379" s="527">
        <f t="shared" si="549"/>
        <v>4837.5059782608705</v>
      </c>
      <c r="AF379" s="527">
        <f t="shared" si="549"/>
        <v>4837.5059782608705</v>
      </c>
      <c r="AG379" s="527">
        <f t="shared" si="549"/>
        <v>4837.5059782608705</v>
      </c>
      <c r="AH379" s="527">
        <f t="shared" si="549"/>
        <v>4837.5059782608705</v>
      </c>
      <c r="AI379" s="527">
        <f t="shared" si="549"/>
        <v>4837.5059782608705</v>
      </c>
      <c r="AJ379" s="527">
        <f t="shared" si="549"/>
        <v>4837.5059782608705</v>
      </c>
      <c r="AK379" s="527">
        <f t="shared" si="549"/>
        <v>4837.5059782608705</v>
      </c>
      <c r="AL379" s="527">
        <f t="shared" si="549"/>
        <v>4837.5059782608705</v>
      </c>
      <c r="AM379" s="527">
        <f t="shared" si="549"/>
        <v>4837.5059782608705</v>
      </c>
      <c r="AN379" s="527">
        <f t="shared" si="549"/>
        <v>4837.5059782608705</v>
      </c>
      <c r="AO379" s="527">
        <f t="shared" si="549"/>
        <v>4837.5059782608705</v>
      </c>
      <c r="AP379" s="527">
        <f t="shared" si="549"/>
        <v>4837.5059782608705</v>
      </c>
      <c r="AQ379" s="527">
        <f t="shared" si="549"/>
        <v>4837.5059782608705</v>
      </c>
      <c r="AR379" s="527">
        <f t="shared" si="549"/>
        <v>4837.5059782608705</v>
      </c>
      <c r="AS379" s="527">
        <f t="shared" si="549"/>
        <v>4837.5059782608705</v>
      </c>
      <c r="AT379" s="527">
        <f t="shared" si="549"/>
        <v>4837.5059782608705</v>
      </c>
      <c r="AU379" s="527">
        <f t="shared" si="549"/>
        <v>4837.5059782608705</v>
      </c>
      <c r="AV379" s="527">
        <f t="shared" si="549"/>
        <v>4837.5059782608705</v>
      </c>
      <c r="AW379" s="527">
        <f t="shared" si="549"/>
        <v>4837.5059782608705</v>
      </c>
      <c r="AX379" s="527">
        <f t="shared" ref="AX379:BY379" si="550">AX$604*$R160</f>
        <v>4837.5059782608705</v>
      </c>
      <c r="AY379" s="527">
        <f t="shared" si="550"/>
        <v>4837.5059782608705</v>
      </c>
      <c r="AZ379" s="527">
        <f t="shared" si="550"/>
        <v>4837.5059782608705</v>
      </c>
      <c r="BA379" s="527">
        <f t="shared" si="550"/>
        <v>4837.5059782608705</v>
      </c>
      <c r="BB379" s="527">
        <f t="shared" si="550"/>
        <v>4837.5059782608705</v>
      </c>
      <c r="BC379" s="527">
        <f t="shared" si="550"/>
        <v>4837.5059782608705</v>
      </c>
      <c r="BD379" s="527">
        <f t="shared" si="550"/>
        <v>4837.5059782608705</v>
      </c>
      <c r="BE379" s="527">
        <f t="shared" si="550"/>
        <v>4837.5059782608705</v>
      </c>
      <c r="BF379" s="527">
        <f t="shared" si="550"/>
        <v>4837.5059782608705</v>
      </c>
      <c r="BG379" s="527">
        <f t="shared" si="550"/>
        <v>4837.5059782608705</v>
      </c>
      <c r="BH379" s="527">
        <f t="shared" si="550"/>
        <v>4837.5059782608705</v>
      </c>
      <c r="BI379" s="527">
        <f t="shared" si="550"/>
        <v>4837.5059782608705</v>
      </c>
      <c r="BJ379" s="527">
        <f t="shared" si="550"/>
        <v>4837.5059782608705</v>
      </c>
      <c r="BK379" s="527">
        <f t="shared" si="550"/>
        <v>4837.5059782608705</v>
      </c>
      <c r="BL379" s="527">
        <f t="shared" si="550"/>
        <v>4837.5059782608705</v>
      </c>
      <c r="BM379" s="527">
        <f t="shared" si="550"/>
        <v>4837.5059782608705</v>
      </c>
      <c r="BN379" s="527">
        <f t="shared" si="550"/>
        <v>4837.5059782608705</v>
      </c>
      <c r="BO379" s="527">
        <f t="shared" si="550"/>
        <v>4837.5059782608705</v>
      </c>
      <c r="BP379" s="527">
        <f t="shared" si="550"/>
        <v>4837.5059782608705</v>
      </c>
      <c r="BQ379" s="527">
        <f t="shared" si="550"/>
        <v>4837.5059782608705</v>
      </c>
      <c r="BR379" s="527">
        <f t="shared" si="550"/>
        <v>4837.5059782608705</v>
      </c>
      <c r="BS379" s="527">
        <f t="shared" si="550"/>
        <v>4837.5059782608705</v>
      </c>
      <c r="BT379" s="527">
        <f t="shared" si="550"/>
        <v>4837.5059782608705</v>
      </c>
      <c r="BU379" s="527">
        <f t="shared" si="550"/>
        <v>4837.5059782608705</v>
      </c>
      <c r="BV379" s="527">
        <f t="shared" si="550"/>
        <v>4837.5059782608705</v>
      </c>
      <c r="BW379" s="527">
        <f t="shared" si="550"/>
        <v>4837.5059782608705</v>
      </c>
      <c r="BX379" s="527">
        <f t="shared" si="550"/>
        <v>4837.5059782608705</v>
      </c>
      <c r="BY379" s="527">
        <f t="shared" si="550"/>
        <v>4837.5059782608705</v>
      </c>
    </row>
    <row r="380" spans="1:77" x14ac:dyDescent="0.3">
      <c r="A380" s="551"/>
      <c r="B380" s="548"/>
      <c r="C380" s="525"/>
      <c r="D380" s="525"/>
      <c r="E380" s="572" t="s">
        <v>36</v>
      </c>
      <c r="F380" s="572"/>
      <c r="G380" s="572"/>
      <c r="H380" s="572"/>
      <c r="I380" s="572"/>
      <c r="J380" s="572"/>
      <c r="K380" s="572"/>
      <c r="L380" s="572"/>
      <c r="M380" s="572"/>
      <c r="N380" s="572"/>
      <c r="O380" s="572"/>
      <c r="P380" s="612"/>
      <c r="Q380" s="572"/>
      <c r="R380" s="530">
        <f t="shared" ref="R380:AW380" si="551">SUM(R374:R379)</f>
        <v>15894.662500000002</v>
      </c>
      <c r="S380" s="530">
        <f t="shared" si="551"/>
        <v>15894.662500000002</v>
      </c>
      <c r="T380" s="530">
        <f t="shared" si="551"/>
        <v>15894.662500000002</v>
      </c>
      <c r="U380" s="530">
        <f t="shared" si="551"/>
        <v>15894.662500000002</v>
      </c>
      <c r="V380" s="530">
        <f t="shared" si="551"/>
        <v>15894.662500000002</v>
      </c>
      <c r="W380" s="530">
        <f t="shared" si="551"/>
        <v>15894.662500000002</v>
      </c>
      <c r="X380" s="530">
        <f t="shared" si="551"/>
        <v>15894.662500000002</v>
      </c>
      <c r="Y380" s="530">
        <f t="shared" si="551"/>
        <v>15894.662500000002</v>
      </c>
      <c r="Z380" s="530">
        <f t="shared" si="551"/>
        <v>15894.662500000002</v>
      </c>
      <c r="AA380" s="530">
        <f t="shared" si="551"/>
        <v>15894.662500000002</v>
      </c>
      <c r="AB380" s="530">
        <f t="shared" si="551"/>
        <v>15894.662500000002</v>
      </c>
      <c r="AC380" s="530">
        <f t="shared" si="551"/>
        <v>15894.662500000002</v>
      </c>
      <c r="AD380" s="530">
        <f t="shared" si="551"/>
        <v>15894.662500000002</v>
      </c>
      <c r="AE380" s="530">
        <f t="shared" si="551"/>
        <v>15894.662500000002</v>
      </c>
      <c r="AF380" s="530">
        <f t="shared" si="551"/>
        <v>15894.662500000002</v>
      </c>
      <c r="AG380" s="530">
        <f t="shared" si="551"/>
        <v>15894.662500000002</v>
      </c>
      <c r="AH380" s="530">
        <f t="shared" si="551"/>
        <v>15894.662500000002</v>
      </c>
      <c r="AI380" s="530">
        <f t="shared" si="551"/>
        <v>15894.662500000002</v>
      </c>
      <c r="AJ380" s="530">
        <f t="shared" si="551"/>
        <v>15894.662500000002</v>
      </c>
      <c r="AK380" s="530">
        <f t="shared" si="551"/>
        <v>15894.662500000002</v>
      </c>
      <c r="AL380" s="530">
        <f t="shared" si="551"/>
        <v>15894.662500000002</v>
      </c>
      <c r="AM380" s="530">
        <f t="shared" si="551"/>
        <v>15894.662500000002</v>
      </c>
      <c r="AN380" s="530">
        <f t="shared" si="551"/>
        <v>15894.662500000002</v>
      </c>
      <c r="AO380" s="530">
        <f t="shared" si="551"/>
        <v>15894.662500000002</v>
      </c>
      <c r="AP380" s="530">
        <f t="shared" si="551"/>
        <v>15894.662500000002</v>
      </c>
      <c r="AQ380" s="530">
        <f t="shared" si="551"/>
        <v>15894.662500000002</v>
      </c>
      <c r="AR380" s="530">
        <f t="shared" si="551"/>
        <v>15894.662500000002</v>
      </c>
      <c r="AS380" s="530">
        <f t="shared" si="551"/>
        <v>15894.662500000002</v>
      </c>
      <c r="AT380" s="530">
        <f t="shared" si="551"/>
        <v>15894.662500000002</v>
      </c>
      <c r="AU380" s="530">
        <f t="shared" si="551"/>
        <v>15894.662500000002</v>
      </c>
      <c r="AV380" s="530">
        <f t="shared" si="551"/>
        <v>15894.662500000002</v>
      </c>
      <c r="AW380" s="530">
        <f t="shared" si="551"/>
        <v>15894.662500000002</v>
      </c>
      <c r="AX380" s="530">
        <f t="shared" ref="AX380:BY380" si="552">SUM(AX374:AX379)</f>
        <v>15894.662500000002</v>
      </c>
      <c r="AY380" s="530">
        <f t="shared" si="552"/>
        <v>15894.662500000002</v>
      </c>
      <c r="AZ380" s="530">
        <f t="shared" si="552"/>
        <v>15894.662500000002</v>
      </c>
      <c r="BA380" s="530">
        <f t="shared" si="552"/>
        <v>15894.662500000002</v>
      </c>
      <c r="BB380" s="530">
        <f t="shared" si="552"/>
        <v>15894.662500000002</v>
      </c>
      <c r="BC380" s="530">
        <f t="shared" si="552"/>
        <v>15894.662500000002</v>
      </c>
      <c r="BD380" s="530">
        <f t="shared" si="552"/>
        <v>15894.662500000002</v>
      </c>
      <c r="BE380" s="530">
        <f t="shared" si="552"/>
        <v>15894.662500000002</v>
      </c>
      <c r="BF380" s="530">
        <f t="shared" si="552"/>
        <v>15894.662500000002</v>
      </c>
      <c r="BG380" s="530">
        <f t="shared" si="552"/>
        <v>15894.662500000002</v>
      </c>
      <c r="BH380" s="530">
        <f t="shared" si="552"/>
        <v>15894.662500000002</v>
      </c>
      <c r="BI380" s="530">
        <f t="shared" si="552"/>
        <v>15894.662500000002</v>
      </c>
      <c r="BJ380" s="530">
        <f t="shared" si="552"/>
        <v>15894.662500000002</v>
      </c>
      <c r="BK380" s="530">
        <f t="shared" si="552"/>
        <v>15894.662500000002</v>
      </c>
      <c r="BL380" s="530">
        <f t="shared" si="552"/>
        <v>15894.662500000002</v>
      </c>
      <c r="BM380" s="530">
        <f t="shared" si="552"/>
        <v>15894.662500000002</v>
      </c>
      <c r="BN380" s="530">
        <f t="shared" si="552"/>
        <v>15894.662500000002</v>
      </c>
      <c r="BO380" s="530">
        <f t="shared" si="552"/>
        <v>15894.662500000002</v>
      </c>
      <c r="BP380" s="530">
        <f t="shared" si="552"/>
        <v>15894.662500000002</v>
      </c>
      <c r="BQ380" s="530">
        <f t="shared" si="552"/>
        <v>15894.662500000002</v>
      </c>
      <c r="BR380" s="530">
        <f t="shared" si="552"/>
        <v>15894.662500000002</v>
      </c>
      <c r="BS380" s="530">
        <f t="shared" si="552"/>
        <v>15894.662500000002</v>
      </c>
      <c r="BT380" s="530">
        <f t="shared" si="552"/>
        <v>15894.662500000002</v>
      </c>
      <c r="BU380" s="530">
        <f t="shared" si="552"/>
        <v>15894.662500000002</v>
      </c>
      <c r="BV380" s="530">
        <f t="shared" si="552"/>
        <v>15894.662500000002</v>
      </c>
      <c r="BW380" s="530">
        <f t="shared" si="552"/>
        <v>15894.662500000002</v>
      </c>
      <c r="BX380" s="530">
        <f t="shared" si="552"/>
        <v>15894.662500000002</v>
      </c>
      <c r="BY380" s="530">
        <f t="shared" si="552"/>
        <v>15894.662500000002</v>
      </c>
    </row>
    <row r="381" spans="1:77" x14ac:dyDescent="0.3">
      <c r="A381" s="551"/>
      <c r="B381" s="548"/>
      <c r="C381" s="525"/>
      <c r="D381" s="525"/>
      <c r="E381" s="525"/>
      <c r="F381" s="525"/>
      <c r="G381" s="525"/>
      <c r="H381" s="525"/>
      <c r="I381" s="525"/>
      <c r="J381" s="525"/>
      <c r="K381" s="525"/>
      <c r="L381" s="525"/>
      <c r="M381" s="525"/>
      <c r="N381" s="525"/>
      <c r="O381" s="525"/>
      <c r="P381" s="565"/>
      <c r="Q381" s="525"/>
      <c r="R381" s="525"/>
      <c r="S381" s="525"/>
      <c r="T381" s="525"/>
      <c r="U381" s="525"/>
      <c r="V381" s="525"/>
      <c r="W381" s="525"/>
      <c r="X381" s="525"/>
      <c r="Y381" s="525"/>
      <c r="Z381" s="525"/>
      <c r="AA381" s="525"/>
      <c r="AB381" s="525"/>
      <c r="AC381" s="525"/>
      <c r="AD381" s="525"/>
      <c r="AE381" s="525"/>
      <c r="AF381" s="525"/>
      <c r="AG381" s="525"/>
      <c r="AH381" s="525"/>
      <c r="AI381" s="525"/>
      <c r="AJ381" s="525"/>
      <c r="AK381" s="525"/>
      <c r="AL381" s="525"/>
      <c r="AM381" s="525"/>
      <c r="AN381" s="525"/>
      <c r="AO381" s="525"/>
      <c r="AP381" s="525"/>
      <c r="AQ381" s="525"/>
      <c r="AR381" s="525"/>
      <c r="AS381" s="525"/>
      <c r="AT381" s="525"/>
      <c r="AU381" s="525"/>
      <c r="AV381" s="525"/>
      <c r="AW381" s="525"/>
      <c r="AX381" s="525"/>
      <c r="AY381" s="525"/>
      <c r="AZ381" s="525"/>
      <c r="BA381" s="525"/>
      <c r="BB381" s="525"/>
      <c r="BC381" s="525"/>
      <c r="BD381" s="525"/>
      <c r="BE381" s="525"/>
      <c r="BF381" s="525"/>
      <c r="BG381" s="525"/>
      <c r="BH381" s="525"/>
      <c r="BI381" s="525"/>
      <c r="BJ381" s="525"/>
      <c r="BK381" s="525"/>
      <c r="BL381" s="525"/>
      <c r="BM381" s="525"/>
      <c r="BN381" s="525"/>
      <c r="BO381" s="525"/>
      <c r="BP381" s="525"/>
      <c r="BQ381" s="525"/>
      <c r="BR381" s="525"/>
      <c r="BS381" s="525"/>
      <c r="BT381" s="525"/>
      <c r="BU381" s="525"/>
      <c r="BV381" s="525"/>
      <c r="BW381" s="525"/>
      <c r="BX381" s="525"/>
      <c r="BY381" s="525"/>
    </row>
    <row r="382" spans="1:77" x14ac:dyDescent="0.3">
      <c r="A382" s="551"/>
      <c r="B382" s="548"/>
      <c r="C382" s="525"/>
      <c r="D382" s="525"/>
      <c r="E382" s="638" t="str">
        <f>"Insurance income: "&amp;E$155</f>
        <v>Insurance income: FY27 Tranche</v>
      </c>
      <c r="F382" s="525"/>
      <c r="G382" s="525"/>
      <c r="H382" s="525"/>
      <c r="I382" s="525"/>
      <c r="J382" s="525"/>
      <c r="K382" s="525"/>
      <c r="L382" s="525"/>
      <c r="M382" s="525"/>
      <c r="N382" s="525"/>
      <c r="O382" s="525"/>
      <c r="P382" s="565"/>
      <c r="Q382" s="525"/>
      <c r="R382" s="527">
        <f t="shared" ref="R382:AW382" si="553">R$605*$R155</f>
        <v>4107.1027868118354</v>
      </c>
      <c r="S382" s="527">
        <f t="shared" si="553"/>
        <v>4107.1027868118354</v>
      </c>
      <c r="T382" s="527">
        <f t="shared" si="553"/>
        <v>4107.1027868118354</v>
      </c>
      <c r="U382" s="527">
        <f t="shared" si="553"/>
        <v>4107.1027868118354</v>
      </c>
      <c r="V382" s="527">
        <f t="shared" si="553"/>
        <v>4107.1027868118354</v>
      </c>
      <c r="W382" s="527">
        <f t="shared" si="553"/>
        <v>4107.1027868118354</v>
      </c>
      <c r="X382" s="527">
        <f t="shared" si="553"/>
        <v>4107.1027868118354</v>
      </c>
      <c r="Y382" s="527">
        <f t="shared" si="553"/>
        <v>4107.1027868118354</v>
      </c>
      <c r="Z382" s="527">
        <f t="shared" si="553"/>
        <v>4107.1027868118354</v>
      </c>
      <c r="AA382" s="527">
        <f t="shared" si="553"/>
        <v>4107.1027868118354</v>
      </c>
      <c r="AB382" s="527">
        <f t="shared" si="553"/>
        <v>4107.1027868118354</v>
      </c>
      <c r="AC382" s="527">
        <f t="shared" si="553"/>
        <v>4107.1027868118354</v>
      </c>
      <c r="AD382" s="527">
        <f t="shared" si="553"/>
        <v>4107.1027868118354</v>
      </c>
      <c r="AE382" s="527">
        <f t="shared" si="553"/>
        <v>4107.1027868118354</v>
      </c>
      <c r="AF382" s="527">
        <f t="shared" si="553"/>
        <v>4107.1027868118354</v>
      </c>
      <c r="AG382" s="527">
        <f t="shared" si="553"/>
        <v>4107.1027868118354</v>
      </c>
      <c r="AH382" s="527">
        <f t="shared" si="553"/>
        <v>4107.1027868118354</v>
      </c>
      <c r="AI382" s="527">
        <f t="shared" si="553"/>
        <v>4107.1027868118354</v>
      </c>
      <c r="AJ382" s="527">
        <f t="shared" si="553"/>
        <v>4107.1027868118354</v>
      </c>
      <c r="AK382" s="527">
        <f t="shared" si="553"/>
        <v>4107.1027868118354</v>
      </c>
      <c r="AL382" s="527">
        <f t="shared" si="553"/>
        <v>4107.1027868118354</v>
      </c>
      <c r="AM382" s="527">
        <f t="shared" si="553"/>
        <v>4107.1027868118354</v>
      </c>
      <c r="AN382" s="527">
        <f t="shared" si="553"/>
        <v>4107.1027868118354</v>
      </c>
      <c r="AO382" s="527">
        <f t="shared" si="553"/>
        <v>4107.1027868118354</v>
      </c>
      <c r="AP382" s="527">
        <f t="shared" si="553"/>
        <v>4107.1027868118354</v>
      </c>
      <c r="AQ382" s="527">
        <f t="shared" si="553"/>
        <v>4107.1027868118354</v>
      </c>
      <c r="AR382" s="527">
        <f t="shared" si="553"/>
        <v>4107.1027868118354</v>
      </c>
      <c r="AS382" s="527">
        <f t="shared" si="553"/>
        <v>4107.1027868118354</v>
      </c>
      <c r="AT382" s="527">
        <f t="shared" si="553"/>
        <v>4107.1027868118354</v>
      </c>
      <c r="AU382" s="527">
        <f t="shared" si="553"/>
        <v>4107.1027868118354</v>
      </c>
      <c r="AV382" s="527">
        <f t="shared" si="553"/>
        <v>4107.1027868118354</v>
      </c>
      <c r="AW382" s="527">
        <f t="shared" si="553"/>
        <v>4107.1027868118354</v>
      </c>
      <c r="AX382" s="527">
        <f t="shared" ref="AX382:BY382" si="554">AX$605*$R155</f>
        <v>4107.1027868118354</v>
      </c>
      <c r="AY382" s="527">
        <f t="shared" si="554"/>
        <v>4107.1027868118354</v>
      </c>
      <c r="AZ382" s="527">
        <f t="shared" si="554"/>
        <v>4107.1027868118354</v>
      </c>
      <c r="BA382" s="527">
        <f t="shared" si="554"/>
        <v>4107.1027868118354</v>
      </c>
      <c r="BB382" s="527">
        <f t="shared" si="554"/>
        <v>4107.1027868118354</v>
      </c>
      <c r="BC382" s="527">
        <f t="shared" si="554"/>
        <v>4107.1027868118354</v>
      </c>
      <c r="BD382" s="527">
        <f t="shared" si="554"/>
        <v>4107.1027868118354</v>
      </c>
      <c r="BE382" s="527">
        <f t="shared" si="554"/>
        <v>4107.1027868118354</v>
      </c>
      <c r="BF382" s="527">
        <f t="shared" si="554"/>
        <v>4107.1027868118354</v>
      </c>
      <c r="BG382" s="527">
        <f t="shared" si="554"/>
        <v>4107.1027868118354</v>
      </c>
      <c r="BH382" s="527">
        <f t="shared" si="554"/>
        <v>4107.1027868118354</v>
      </c>
      <c r="BI382" s="527">
        <f t="shared" si="554"/>
        <v>4107.1027868118354</v>
      </c>
      <c r="BJ382" s="527">
        <f t="shared" si="554"/>
        <v>4107.1027868118354</v>
      </c>
      <c r="BK382" s="527">
        <f t="shared" si="554"/>
        <v>4107.1027868118354</v>
      </c>
      <c r="BL382" s="527">
        <f t="shared" si="554"/>
        <v>4107.1027868118354</v>
      </c>
      <c r="BM382" s="527">
        <f t="shared" si="554"/>
        <v>4107.1027868118354</v>
      </c>
      <c r="BN382" s="527">
        <f t="shared" si="554"/>
        <v>4107.1027868118354</v>
      </c>
      <c r="BO382" s="527">
        <f t="shared" si="554"/>
        <v>4107.1027868118354</v>
      </c>
      <c r="BP382" s="527">
        <f t="shared" si="554"/>
        <v>4107.1027868118354</v>
      </c>
      <c r="BQ382" s="527">
        <f t="shared" si="554"/>
        <v>4107.1027868118354</v>
      </c>
      <c r="BR382" s="527">
        <f t="shared" si="554"/>
        <v>4107.1027868118354</v>
      </c>
      <c r="BS382" s="527">
        <f t="shared" si="554"/>
        <v>4107.1027868118354</v>
      </c>
      <c r="BT382" s="527">
        <f t="shared" si="554"/>
        <v>4107.1027868118354</v>
      </c>
      <c r="BU382" s="527">
        <f t="shared" si="554"/>
        <v>4107.1027868118354</v>
      </c>
      <c r="BV382" s="527">
        <f t="shared" si="554"/>
        <v>4107.1027868118354</v>
      </c>
      <c r="BW382" s="527">
        <f t="shared" si="554"/>
        <v>4107.1027868118354</v>
      </c>
      <c r="BX382" s="527">
        <f t="shared" si="554"/>
        <v>4107.1027868118354</v>
      </c>
      <c r="BY382" s="527">
        <f t="shared" si="554"/>
        <v>4107.1027868118354</v>
      </c>
    </row>
    <row r="383" spans="1:77" x14ac:dyDescent="0.3">
      <c r="A383" s="551"/>
      <c r="B383" s="548"/>
      <c r="C383" s="525"/>
      <c r="D383" s="525"/>
      <c r="E383" s="638" t="str">
        <f>"Insurance income: "&amp;E$156</f>
        <v>Insurance income: FY28 Tranche</v>
      </c>
      <c r="F383" s="525"/>
      <c r="G383" s="525"/>
      <c r="H383" s="525"/>
      <c r="I383" s="525"/>
      <c r="J383" s="525"/>
      <c r="K383" s="525"/>
      <c r="L383" s="525"/>
      <c r="M383" s="525"/>
      <c r="N383" s="525"/>
      <c r="O383" s="525"/>
      <c r="P383" s="565"/>
      <c r="Q383" s="525"/>
      <c r="R383" s="527">
        <f t="shared" ref="R383:AW383" si="555">R$605*$R156</f>
        <v>4107.1027868118354</v>
      </c>
      <c r="S383" s="527">
        <f t="shared" si="555"/>
        <v>4107.1027868118354</v>
      </c>
      <c r="T383" s="527">
        <f t="shared" si="555"/>
        <v>4107.1027868118354</v>
      </c>
      <c r="U383" s="527">
        <f t="shared" si="555"/>
        <v>4107.1027868118354</v>
      </c>
      <c r="V383" s="527">
        <f t="shared" si="555"/>
        <v>4107.1027868118354</v>
      </c>
      <c r="W383" s="527">
        <f t="shared" si="555"/>
        <v>4107.1027868118354</v>
      </c>
      <c r="X383" s="527">
        <f t="shared" si="555"/>
        <v>4107.1027868118354</v>
      </c>
      <c r="Y383" s="527">
        <f t="shared" si="555"/>
        <v>4107.1027868118354</v>
      </c>
      <c r="Z383" s="527">
        <f t="shared" si="555"/>
        <v>4107.1027868118354</v>
      </c>
      <c r="AA383" s="527">
        <f t="shared" si="555"/>
        <v>4107.1027868118354</v>
      </c>
      <c r="AB383" s="527">
        <f t="shared" si="555"/>
        <v>4107.1027868118354</v>
      </c>
      <c r="AC383" s="527">
        <f t="shared" si="555"/>
        <v>4107.1027868118354</v>
      </c>
      <c r="AD383" s="527">
        <f t="shared" si="555"/>
        <v>4107.1027868118354</v>
      </c>
      <c r="AE383" s="527">
        <f t="shared" si="555"/>
        <v>4107.1027868118354</v>
      </c>
      <c r="AF383" s="527">
        <f t="shared" si="555"/>
        <v>4107.1027868118354</v>
      </c>
      <c r="AG383" s="527">
        <f t="shared" si="555"/>
        <v>4107.1027868118354</v>
      </c>
      <c r="AH383" s="527">
        <f t="shared" si="555"/>
        <v>4107.1027868118354</v>
      </c>
      <c r="AI383" s="527">
        <f t="shared" si="555"/>
        <v>4107.1027868118354</v>
      </c>
      <c r="AJ383" s="527">
        <f t="shared" si="555"/>
        <v>4107.1027868118354</v>
      </c>
      <c r="AK383" s="527">
        <f t="shared" si="555"/>
        <v>4107.1027868118354</v>
      </c>
      <c r="AL383" s="527">
        <f t="shared" si="555"/>
        <v>4107.1027868118354</v>
      </c>
      <c r="AM383" s="527">
        <f t="shared" si="555"/>
        <v>4107.1027868118354</v>
      </c>
      <c r="AN383" s="527">
        <f t="shared" si="555"/>
        <v>4107.1027868118354</v>
      </c>
      <c r="AO383" s="527">
        <f t="shared" si="555"/>
        <v>4107.1027868118354</v>
      </c>
      <c r="AP383" s="527">
        <f t="shared" si="555"/>
        <v>4107.1027868118354</v>
      </c>
      <c r="AQ383" s="527">
        <f t="shared" si="555"/>
        <v>4107.1027868118354</v>
      </c>
      <c r="AR383" s="527">
        <f t="shared" si="555"/>
        <v>4107.1027868118354</v>
      </c>
      <c r="AS383" s="527">
        <f t="shared" si="555"/>
        <v>4107.1027868118354</v>
      </c>
      <c r="AT383" s="527">
        <f t="shared" si="555"/>
        <v>4107.1027868118354</v>
      </c>
      <c r="AU383" s="527">
        <f t="shared" si="555"/>
        <v>4107.1027868118354</v>
      </c>
      <c r="AV383" s="527">
        <f t="shared" si="555"/>
        <v>4107.1027868118354</v>
      </c>
      <c r="AW383" s="527">
        <f t="shared" si="555"/>
        <v>4107.1027868118354</v>
      </c>
      <c r="AX383" s="527">
        <f t="shared" ref="AX383:BY383" si="556">AX$605*$R156</f>
        <v>4107.1027868118354</v>
      </c>
      <c r="AY383" s="527">
        <f t="shared" si="556"/>
        <v>4107.1027868118354</v>
      </c>
      <c r="AZ383" s="527">
        <f t="shared" si="556"/>
        <v>4107.1027868118354</v>
      </c>
      <c r="BA383" s="527">
        <f t="shared" si="556"/>
        <v>4107.1027868118354</v>
      </c>
      <c r="BB383" s="527">
        <f t="shared" si="556"/>
        <v>4107.1027868118354</v>
      </c>
      <c r="BC383" s="527">
        <f t="shared" si="556"/>
        <v>4107.1027868118354</v>
      </c>
      <c r="BD383" s="527">
        <f t="shared" si="556"/>
        <v>4107.1027868118354</v>
      </c>
      <c r="BE383" s="527">
        <f t="shared" si="556"/>
        <v>4107.1027868118354</v>
      </c>
      <c r="BF383" s="527">
        <f t="shared" si="556"/>
        <v>4107.1027868118354</v>
      </c>
      <c r="BG383" s="527">
        <f t="shared" si="556"/>
        <v>4107.1027868118354</v>
      </c>
      <c r="BH383" s="527">
        <f t="shared" si="556"/>
        <v>4107.1027868118354</v>
      </c>
      <c r="BI383" s="527">
        <f t="shared" si="556"/>
        <v>4107.1027868118354</v>
      </c>
      <c r="BJ383" s="527">
        <f t="shared" si="556"/>
        <v>4107.1027868118354</v>
      </c>
      <c r="BK383" s="527">
        <f t="shared" si="556"/>
        <v>4107.1027868118354</v>
      </c>
      <c r="BL383" s="527">
        <f t="shared" si="556"/>
        <v>4107.1027868118354</v>
      </c>
      <c r="BM383" s="527">
        <f t="shared" si="556"/>
        <v>4107.1027868118354</v>
      </c>
      <c r="BN383" s="527">
        <f t="shared" si="556"/>
        <v>4107.1027868118354</v>
      </c>
      <c r="BO383" s="527">
        <f t="shared" si="556"/>
        <v>4107.1027868118354</v>
      </c>
      <c r="BP383" s="527">
        <f t="shared" si="556"/>
        <v>4107.1027868118354</v>
      </c>
      <c r="BQ383" s="527">
        <f t="shared" si="556"/>
        <v>4107.1027868118354</v>
      </c>
      <c r="BR383" s="527">
        <f t="shared" si="556"/>
        <v>4107.1027868118354</v>
      </c>
      <c r="BS383" s="527">
        <f t="shared" si="556"/>
        <v>4107.1027868118354</v>
      </c>
      <c r="BT383" s="527">
        <f t="shared" si="556"/>
        <v>4107.1027868118354</v>
      </c>
      <c r="BU383" s="527">
        <f t="shared" si="556"/>
        <v>4107.1027868118354</v>
      </c>
      <c r="BV383" s="527">
        <f t="shared" si="556"/>
        <v>4107.1027868118354</v>
      </c>
      <c r="BW383" s="527">
        <f t="shared" si="556"/>
        <v>4107.1027868118354</v>
      </c>
      <c r="BX383" s="527">
        <f t="shared" si="556"/>
        <v>4107.1027868118354</v>
      </c>
      <c r="BY383" s="527">
        <f t="shared" si="556"/>
        <v>4107.1027868118354</v>
      </c>
    </row>
    <row r="384" spans="1:77" x14ac:dyDescent="0.3">
      <c r="A384" s="551"/>
      <c r="B384" s="548"/>
      <c r="C384" s="525"/>
      <c r="D384" s="525"/>
      <c r="E384" s="638" t="str">
        <f>"Insurance income: "&amp;E$157</f>
        <v>Insurance income: FY29 Tranche</v>
      </c>
      <c r="F384" s="525"/>
      <c r="G384" s="525"/>
      <c r="H384" s="525"/>
      <c r="I384" s="525"/>
      <c r="J384" s="525"/>
      <c r="K384" s="525"/>
      <c r="L384" s="525"/>
      <c r="M384" s="525"/>
      <c r="N384" s="525"/>
      <c r="O384" s="525"/>
      <c r="P384" s="565"/>
      <c r="Q384" s="525"/>
      <c r="R384" s="527">
        <f t="shared" ref="R384:AW384" si="557">R$605*$R157</f>
        <v>4107.1027868118354</v>
      </c>
      <c r="S384" s="527">
        <f t="shared" si="557"/>
        <v>4107.1027868118354</v>
      </c>
      <c r="T384" s="527">
        <f t="shared" si="557"/>
        <v>4107.1027868118354</v>
      </c>
      <c r="U384" s="527">
        <f t="shared" si="557"/>
        <v>4107.1027868118354</v>
      </c>
      <c r="V384" s="527">
        <f t="shared" si="557"/>
        <v>4107.1027868118354</v>
      </c>
      <c r="W384" s="527">
        <f t="shared" si="557"/>
        <v>4107.1027868118354</v>
      </c>
      <c r="X384" s="527">
        <f t="shared" si="557"/>
        <v>4107.1027868118354</v>
      </c>
      <c r="Y384" s="527">
        <f t="shared" si="557"/>
        <v>4107.1027868118354</v>
      </c>
      <c r="Z384" s="527">
        <f t="shared" si="557"/>
        <v>4107.1027868118354</v>
      </c>
      <c r="AA384" s="527">
        <f t="shared" si="557"/>
        <v>4107.1027868118354</v>
      </c>
      <c r="AB384" s="527">
        <f t="shared" si="557"/>
        <v>4107.1027868118354</v>
      </c>
      <c r="AC384" s="527">
        <f t="shared" si="557"/>
        <v>4107.1027868118354</v>
      </c>
      <c r="AD384" s="527">
        <f t="shared" si="557"/>
        <v>4107.1027868118354</v>
      </c>
      <c r="AE384" s="527">
        <f t="shared" si="557"/>
        <v>4107.1027868118354</v>
      </c>
      <c r="AF384" s="527">
        <f t="shared" si="557"/>
        <v>4107.1027868118354</v>
      </c>
      <c r="AG384" s="527">
        <f t="shared" si="557"/>
        <v>4107.1027868118354</v>
      </c>
      <c r="AH384" s="527">
        <f t="shared" si="557"/>
        <v>4107.1027868118354</v>
      </c>
      <c r="AI384" s="527">
        <f t="shared" si="557"/>
        <v>4107.1027868118354</v>
      </c>
      <c r="AJ384" s="527">
        <f t="shared" si="557"/>
        <v>4107.1027868118354</v>
      </c>
      <c r="AK384" s="527">
        <f t="shared" si="557"/>
        <v>4107.1027868118354</v>
      </c>
      <c r="AL384" s="527">
        <f t="shared" si="557"/>
        <v>4107.1027868118354</v>
      </c>
      <c r="AM384" s="527">
        <f t="shared" si="557"/>
        <v>4107.1027868118354</v>
      </c>
      <c r="AN384" s="527">
        <f t="shared" si="557"/>
        <v>4107.1027868118354</v>
      </c>
      <c r="AO384" s="527">
        <f t="shared" si="557"/>
        <v>4107.1027868118354</v>
      </c>
      <c r="AP384" s="527">
        <f t="shared" si="557"/>
        <v>4107.1027868118354</v>
      </c>
      <c r="AQ384" s="527">
        <f t="shared" si="557"/>
        <v>4107.1027868118354</v>
      </c>
      <c r="AR384" s="527">
        <f t="shared" si="557"/>
        <v>4107.1027868118354</v>
      </c>
      <c r="AS384" s="527">
        <f t="shared" si="557"/>
        <v>4107.1027868118354</v>
      </c>
      <c r="AT384" s="527">
        <f t="shared" si="557"/>
        <v>4107.1027868118354</v>
      </c>
      <c r="AU384" s="527">
        <f t="shared" si="557"/>
        <v>4107.1027868118354</v>
      </c>
      <c r="AV384" s="527">
        <f t="shared" si="557"/>
        <v>4107.1027868118354</v>
      </c>
      <c r="AW384" s="527">
        <f t="shared" si="557"/>
        <v>4107.1027868118354</v>
      </c>
      <c r="AX384" s="527">
        <f t="shared" ref="AX384:BY384" si="558">AX$605*$R157</f>
        <v>4107.1027868118354</v>
      </c>
      <c r="AY384" s="527">
        <f t="shared" si="558"/>
        <v>4107.1027868118354</v>
      </c>
      <c r="AZ384" s="527">
        <f t="shared" si="558"/>
        <v>4107.1027868118354</v>
      </c>
      <c r="BA384" s="527">
        <f t="shared" si="558"/>
        <v>4107.1027868118354</v>
      </c>
      <c r="BB384" s="527">
        <f t="shared" si="558"/>
        <v>4107.1027868118354</v>
      </c>
      <c r="BC384" s="527">
        <f t="shared" si="558"/>
        <v>4107.1027868118354</v>
      </c>
      <c r="BD384" s="527">
        <f t="shared" si="558"/>
        <v>4107.1027868118354</v>
      </c>
      <c r="BE384" s="527">
        <f t="shared" si="558"/>
        <v>4107.1027868118354</v>
      </c>
      <c r="BF384" s="527">
        <f t="shared" si="558"/>
        <v>4107.1027868118354</v>
      </c>
      <c r="BG384" s="527">
        <f t="shared" si="558"/>
        <v>4107.1027868118354</v>
      </c>
      <c r="BH384" s="527">
        <f t="shared" si="558"/>
        <v>4107.1027868118354</v>
      </c>
      <c r="BI384" s="527">
        <f t="shared" si="558"/>
        <v>4107.1027868118354</v>
      </c>
      <c r="BJ384" s="527">
        <f t="shared" si="558"/>
        <v>4107.1027868118354</v>
      </c>
      <c r="BK384" s="527">
        <f t="shared" si="558"/>
        <v>4107.1027868118354</v>
      </c>
      <c r="BL384" s="527">
        <f t="shared" si="558"/>
        <v>4107.1027868118354</v>
      </c>
      <c r="BM384" s="527">
        <f t="shared" si="558"/>
        <v>4107.1027868118354</v>
      </c>
      <c r="BN384" s="527">
        <f t="shared" si="558"/>
        <v>4107.1027868118354</v>
      </c>
      <c r="BO384" s="527">
        <f t="shared" si="558"/>
        <v>4107.1027868118354</v>
      </c>
      <c r="BP384" s="527">
        <f t="shared" si="558"/>
        <v>4107.1027868118354</v>
      </c>
      <c r="BQ384" s="527">
        <f t="shared" si="558"/>
        <v>4107.1027868118354</v>
      </c>
      <c r="BR384" s="527">
        <f t="shared" si="558"/>
        <v>4107.1027868118354</v>
      </c>
      <c r="BS384" s="527">
        <f t="shared" si="558"/>
        <v>4107.1027868118354</v>
      </c>
      <c r="BT384" s="527">
        <f t="shared" si="558"/>
        <v>4107.1027868118354</v>
      </c>
      <c r="BU384" s="527">
        <f t="shared" si="558"/>
        <v>4107.1027868118354</v>
      </c>
      <c r="BV384" s="527">
        <f t="shared" si="558"/>
        <v>4107.1027868118354</v>
      </c>
      <c r="BW384" s="527">
        <f t="shared" si="558"/>
        <v>4107.1027868118354</v>
      </c>
      <c r="BX384" s="527">
        <f t="shared" si="558"/>
        <v>4107.1027868118354</v>
      </c>
      <c r="BY384" s="527">
        <f t="shared" si="558"/>
        <v>4107.1027868118354</v>
      </c>
    </row>
    <row r="385" spans="1:77" x14ac:dyDescent="0.3">
      <c r="A385" s="551"/>
      <c r="B385" s="548"/>
      <c r="C385" s="525"/>
      <c r="D385" s="525"/>
      <c r="E385" s="638" t="str">
        <f>"Insurance income: "&amp;E$158</f>
        <v>Insurance income: FY30 Tranche</v>
      </c>
      <c r="F385" s="525"/>
      <c r="G385" s="525"/>
      <c r="H385" s="525"/>
      <c r="I385" s="525"/>
      <c r="J385" s="525"/>
      <c r="K385" s="525"/>
      <c r="L385" s="525"/>
      <c r="M385" s="525"/>
      <c r="N385" s="525"/>
      <c r="O385" s="525"/>
      <c r="P385" s="565"/>
      <c r="Q385" s="525"/>
      <c r="R385" s="527">
        <f t="shared" ref="R385:AW385" si="559">R$605*$R158</f>
        <v>4107.1027868118354</v>
      </c>
      <c r="S385" s="527">
        <f t="shared" si="559"/>
        <v>4107.1027868118354</v>
      </c>
      <c r="T385" s="527">
        <f t="shared" si="559"/>
        <v>4107.1027868118354</v>
      </c>
      <c r="U385" s="527">
        <f t="shared" si="559"/>
        <v>4107.1027868118354</v>
      </c>
      <c r="V385" s="527">
        <f t="shared" si="559"/>
        <v>4107.1027868118354</v>
      </c>
      <c r="W385" s="527">
        <f t="shared" si="559"/>
        <v>4107.1027868118354</v>
      </c>
      <c r="X385" s="527">
        <f t="shared" si="559"/>
        <v>4107.1027868118354</v>
      </c>
      <c r="Y385" s="527">
        <f t="shared" si="559"/>
        <v>4107.1027868118354</v>
      </c>
      <c r="Z385" s="527">
        <f t="shared" si="559"/>
        <v>4107.1027868118354</v>
      </c>
      <c r="AA385" s="527">
        <f t="shared" si="559"/>
        <v>4107.1027868118354</v>
      </c>
      <c r="AB385" s="527">
        <f t="shared" si="559"/>
        <v>4107.1027868118354</v>
      </c>
      <c r="AC385" s="527">
        <f t="shared" si="559"/>
        <v>4107.1027868118354</v>
      </c>
      <c r="AD385" s="527">
        <f t="shared" si="559"/>
        <v>4107.1027868118354</v>
      </c>
      <c r="AE385" s="527">
        <f t="shared" si="559"/>
        <v>4107.1027868118354</v>
      </c>
      <c r="AF385" s="527">
        <f t="shared" si="559"/>
        <v>4107.1027868118354</v>
      </c>
      <c r="AG385" s="527">
        <f t="shared" si="559"/>
        <v>4107.1027868118354</v>
      </c>
      <c r="AH385" s="527">
        <f t="shared" si="559"/>
        <v>4107.1027868118354</v>
      </c>
      <c r="AI385" s="527">
        <f t="shared" si="559"/>
        <v>4107.1027868118354</v>
      </c>
      <c r="AJ385" s="527">
        <f t="shared" si="559"/>
        <v>4107.1027868118354</v>
      </c>
      <c r="AK385" s="527">
        <f t="shared" si="559"/>
        <v>4107.1027868118354</v>
      </c>
      <c r="AL385" s="527">
        <f t="shared" si="559"/>
        <v>4107.1027868118354</v>
      </c>
      <c r="AM385" s="527">
        <f t="shared" si="559"/>
        <v>4107.1027868118354</v>
      </c>
      <c r="AN385" s="527">
        <f t="shared" si="559"/>
        <v>4107.1027868118354</v>
      </c>
      <c r="AO385" s="527">
        <f t="shared" si="559"/>
        <v>4107.1027868118354</v>
      </c>
      <c r="AP385" s="527">
        <f t="shared" si="559"/>
        <v>4107.1027868118354</v>
      </c>
      <c r="AQ385" s="527">
        <f t="shared" si="559"/>
        <v>4107.1027868118354</v>
      </c>
      <c r="AR385" s="527">
        <f t="shared" si="559"/>
        <v>4107.1027868118354</v>
      </c>
      <c r="AS385" s="527">
        <f t="shared" si="559"/>
        <v>4107.1027868118354</v>
      </c>
      <c r="AT385" s="527">
        <f t="shared" si="559"/>
        <v>4107.1027868118354</v>
      </c>
      <c r="AU385" s="527">
        <f t="shared" si="559"/>
        <v>4107.1027868118354</v>
      </c>
      <c r="AV385" s="527">
        <f t="shared" si="559"/>
        <v>4107.1027868118354</v>
      </c>
      <c r="AW385" s="527">
        <f t="shared" si="559"/>
        <v>4107.1027868118354</v>
      </c>
      <c r="AX385" s="527">
        <f t="shared" ref="AX385:BY385" si="560">AX$605*$R158</f>
        <v>4107.1027868118354</v>
      </c>
      <c r="AY385" s="527">
        <f t="shared" si="560"/>
        <v>4107.1027868118354</v>
      </c>
      <c r="AZ385" s="527">
        <f t="shared" si="560"/>
        <v>4107.1027868118354</v>
      </c>
      <c r="BA385" s="527">
        <f t="shared" si="560"/>
        <v>4107.1027868118354</v>
      </c>
      <c r="BB385" s="527">
        <f t="shared" si="560"/>
        <v>4107.1027868118354</v>
      </c>
      <c r="BC385" s="527">
        <f t="shared" si="560"/>
        <v>4107.1027868118354</v>
      </c>
      <c r="BD385" s="527">
        <f t="shared" si="560"/>
        <v>4107.1027868118354</v>
      </c>
      <c r="BE385" s="527">
        <f t="shared" si="560"/>
        <v>4107.1027868118354</v>
      </c>
      <c r="BF385" s="527">
        <f t="shared" si="560"/>
        <v>4107.1027868118354</v>
      </c>
      <c r="BG385" s="527">
        <f t="shared" si="560"/>
        <v>4107.1027868118354</v>
      </c>
      <c r="BH385" s="527">
        <f t="shared" si="560"/>
        <v>4107.1027868118354</v>
      </c>
      <c r="BI385" s="527">
        <f t="shared" si="560"/>
        <v>4107.1027868118354</v>
      </c>
      <c r="BJ385" s="527">
        <f t="shared" si="560"/>
        <v>4107.1027868118354</v>
      </c>
      <c r="BK385" s="527">
        <f t="shared" si="560"/>
        <v>4107.1027868118354</v>
      </c>
      <c r="BL385" s="527">
        <f t="shared" si="560"/>
        <v>4107.1027868118354</v>
      </c>
      <c r="BM385" s="527">
        <f t="shared" si="560"/>
        <v>4107.1027868118354</v>
      </c>
      <c r="BN385" s="527">
        <f t="shared" si="560"/>
        <v>4107.1027868118354</v>
      </c>
      <c r="BO385" s="527">
        <f t="shared" si="560"/>
        <v>4107.1027868118354</v>
      </c>
      <c r="BP385" s="527">
        <f t="shared" si="560"/>
        <v>4107.1027868118354</v>
      </c>
      <c r="BQ385" s="527">
        <f t="shared" si="560"/>
        <v>4107.1027868118354</v>
      </c>
      <c r="BR385" s="527">
        <f t="shared" si="560"/>
        <v>4107.1027868118354</v>
      </c>
      <c r="BS385" s="527">
        <f t="shared" si="560"/>
        <v>4107.1027868118354</v>
      </c>
      <c r="BT385" s="527">
        <f t="shared" si="560"/>
        <v>4107.1027868118354</v>
      </c>
      <c r="BU385" s="527">
        <f t="shared" si="560"/>
        <v>4107.1027868118354</v>
      </c>
      <c r="BV385" s="527">
        <f t="shared" si="560"/>
        <v>4107.1027868118354</v>
      </c>
      <c r="BW385" s="527">
        <f t="shared" si="560"/>
        <v>4107.1027868118354</v>
      </c>
      <c r="BX385" s="527">
        <f t="shared" si="560"/>
        <v>4107.1027868118354</v>
      </c>
      <c r="BY385" s="527">
        <f t="shared" si="560"/>
        <v>4107.1027868118354</v>
      </c>
    </row>
    <row r="386" spans="1:77" x14ac:dyDescent="0.3">
      <c r="A386" s="551"/>
      <c r="B386" s="548"/>
      <c r="C386" s="525"/>
      <c r="D386" s="525"/>
      <c r="E386" s="638" t="str">
        <f>"Insurance income: "&amp;E$159</f>
        <v>Insurance income: FY31 Tranche</v>
      </c>
      <c r="F386" s="525"/>
      <c r="G386" s="525"/>
      <c r="H386" s="525"/>
      <c r="I386" s="525"/>
      <c r="J386" s="525"/>
      <c r="K386" s="525"/>
      <c r="L386" s="525"/>
      <c r="M386" s="525"/>
      <c r="N386" s="525"/>
      <c r="O386" s="525"/>
      <c r="P386" s="565"/>
      <c r="Q386" s="525"/>
      <c r="R386" s="527">
        <f t="shared" ref="R386:AW386" si="561">R$605*$R159</f>
        <v>4107.1027868118354</v>
      </c>
      <c r="S386" s="527">
        <f t="shared" si="561"/>
        <v>4107.1027868118354</v>
      </c>
      <c r="T386" s="527">
        <f t="shared" si="561"/>
        <v>4107.1027868118354</v>
      </c>
      <c r="U386" s="527">
        <f t="shared" si="561"/>
        <v>4107.1027868118354</v>
      </c>
      <c r="V386" s="527">
        <f t="shared" si="561"/>
        <v>4107.1027868118354</v>
      </c>
      <c r="W386" s="527">
        <f t="shared" si="561"/>
        <v>4107.1027868118354</v>
      </c>
      <c r="X386" s="527">
        <f t="shared" si="561"/>
        <v>4107.1027868118354</v>
      </c>
      <c r="Y386" s="527">
        <f t="shared" si="561"/>
        <v>4107.1027868118354</v>
      </c>
      <c r="Z386" s="527">
        <f t="shared" si="561"/>
        <v>4107.1027868118354</v>
      </c>
      <c r="AA386" s="527">
        <f t="shared" si="561"/>
        <v>4107.1027868118354</v>
      </c>
      <c r="AB386" s="527">
        <f t="shared" si="561"/>
        <v>4107.1027868118354</v>
      </c>
      <c r="AC386" s="527">
        <f t="shared" si="561"/>
        <v>4107.1027868118354</v>
      </c>
      <c r="AD386" s="527">
        <f t="shared" si="561"/>
        <v>4107.1027868118354</v>
      </c>
      <c r="AE386" s="527">
        <f t="shared" si="561"/>
        <v>4107.1027868118354</v>
      </c>
      <c r="AF386" s="527">
        <f t="shared" si="561"/>
        <v>4107.1027868118354</v>
      </c>
      <c r="AG386" s="527">
        <f t="shared" si="561"/>
        <v>4107.1027868118354</v>
      </c>
      <c r="AH386" s="527">
        <f t="shared" si="561"/>
        <v>4107.1027868118354</v>
      </c>
      <c r="AI386" s="527">
        <f t="shared" si="561"/>
        <v>4107.1027868118354</v>
      </c>
      <c r="AJ386" s="527">
        <f t="shared" si="561"/>
        <v>4107.1027868118354</v>
      </c>
      <c r="AK386" s="527">
        <f t="shared" si="561"/>
        <v>4107.1027868118354</v>
      </c>
      <c r="AL386" s="527">
        <f t="shared" si="561"/>
        <v>4107.1027868118354</v>
      </c>
      <c r="AM386" s="527">
        <f t="shared" si="561"/>
        <v>4107.1027868118354</v>
      </c>
      <c r="AN386" s="527">
        <f t="shared" si="561"/>
        <v>4107.1027868118354</v>
      </c>
      <c r="AO386" s="527">
        <f t="shared" si="561"/>
        <v>4107.1027868118354</v>
      </c>
      <c r="AP386" s="527">
        <f t="shared" si="561"/>
        <v>4107.1027868118354</v>
      </c>
      <c r="AQ386" s="527">
        <f t="shared" si="561"/>
        <v>4107.1027868118354</v>
      </c>
      <c r="AR386" s="527">
        <f t="shared" si="561"/>
        <v>4107.1027868118354</v>
      </c>
      <c r="AS386" s="527">
        <f t="shared" si="561"/>
        <v>4107.1027868118354</v>
      </c>
      <c r="AT386" s="527">
        <f t="shared" si="561"/>
        <v>4107.1027868118354</v>
      </c>
      <c r="AU386" s="527">
        <f t="shared" si="561"/>
        <v>4107.1027868118354</v>
      </c>
      <c r="AV386" s="527">
        <f t="shared" si="561"/>
        <v>4107.1027868118354</v>
      </c>
      <c r="AW386" s="527">
        <f t="shared" si="561"/>
        <v>4107.1027868118354</v>
      </c>
      <c r="AX386" s="527">
        <f t="shared" ref="AX386:BY386" si="562">AX$605*$R159</f>
        <v>4107.1027868118354</v>
      </c>
      <c r="AY386" s="527">
        <f t="shared" si="562"/>
        <v>4107.1027868118354</v>
      </c>
      <c r="AZ386" s="527">
        <f t="shared" si="562"/>
        <v>4107.1027868118354</v>
      </c>
      <c r="BA386" s="527">
        <f t="shared" si="562"/>
        <v>4107.1027868118354</v>
      </c>
      <c r="BB386" s="527">
        <f t="shared" si="562"/>
        <v>4107.1027868118354</v>
      </c>
      <c r="BC386" s="527">
        <f t="shared" si="562"/>
        <v>4107.1027868118354</v>
      </c>
      <c r="BD386" s="527">
        <f t="shared" si="562"/>
        <v>4107.1027868118354</v>
      </c>
      <c r="BE386" s="527">
        <f t="shared" si="562"/>
        <v>4107.1027868118354</v>
      </c>
      <c r="BF386" s="527">
        <f t="shared" si="562"/>
        <v>4107.1027868118354</v>
      </c>
      <c r="BG386" s="527">
        <f t="shared" si="562"/>
        <v>4107.1027868118354</v>
      </c>
      <c r="BH386" s="527">
        <f t="shared" si="562"/>
        <v>4107.1027868118354</v>
      </c>
      <c r="BI386" s="527">
        <f t="shared" si="562"/>
        <v>4107.1027868118354</v>
      </c>
      <c r="BJ386" s="527">
        <f t="shared" si="562"/>
        <v>4107.1027868118354</v>
      </c>
      <c r="BK386" s="527">
        <f t="shared" si="562"/>
        <v>4107.1027868118354</v>
      </c>
      <c r="BL386" s="527">
        <f t="shared" si="562"/>
        <v>4107.1027868118354</v>
      </c>
      <c r="BM386" s="527">
        <f t="shared" si="562"/>
        <v>4107.1027868118354</v>
      </c>
      <c r="BN386" s="527">
        <f t="shared" si="562"/>
        <v>4107.1027868118354</v>
      </c>
      <c r="BO386" s="527">
        <f t="shared" si="562"/>
        <v>4107.1027868118354</v>
      </c>
      <c r="BP386" s="527">
        <f t="shared" si="562"/>
        <v>4107.1027868118354</v>
      </c>
      <c r="BQ386" s="527">
        <f t="shared" si="562"/>
        <v>4107.1027868118354</v>
      </c>
      <c r="BR386" s="527">
        <f t="shared" si="562"/>
        <v>4107.1027868118354</v>
      </c>
      <c r="BS386" s="527">
        <f t="shared" si="562"/>
        <v>4107.1027868118354</v>
      </c>
      <c r="BT386" s="527">
        <f t="shared" si="562"/>
        <v>4107.1027868118354</v>
      </c>
      <c r="BU386" s="527">
        <f t="shared" si="562"/>
        <v>4107.1027868118354</v>
      </c>
      <c r="BV386" s="527">
        <f t="shared" si="562"/>
        <v>4107.1027868118354</v>
      </c>
      <c r="BW386" s="527">
        <f t="shared" si="562"/>
        <v>4107.1027868118354</v>
      </c>
      <c r="BX386" s="527">
        <f t="shared" si="562"/>
        <v>4107.1027868118354</v>
      </c>
      <c r="BY386" s="527">
        <f t="shared" si="562"/>
        <v>4107.1027868118354</v>
      </c>
    </row>
    <row r="387" spans="1:77" x14ac:dyDescent="0.3">
      <c r="A387" s="551"/>
      <c r="B387" s="548"/>
      <c r="C387" s="525"/>
      <c r="D387" s="525"/>
      <c r="E387" s="638" t="str">
        <f>"Insurance income: "&amp;E$160</f>
        <v>Insurance income: Uninvested Tranche</v>
      </c>
      <c r="F387" s="525"/>
      <c r="G387" s="525"/>
      <c r="H387" s="525"/>
      <c r="I387" s="525"/>
      <c r="J387" s="525"/>
      <c r="K387" s="525"/>
      <c r="L387" s="525"/>
      <c r="M387" s="525"/>
      <c r="N387" s="525"/>
      <c r="O387" s="525"/>
      <c r="P387" s="565"/>
      <c r="Q387" s="525"/>
      <c r="R387" s="527">
        <f t="shared" ref="R387:AW387" si="563">R$605*$R160</f>
        <v>8984.2873461508898</v>
      </c>
      <c r="S387" s="527">
        <f t="shared" si="563"/>
        <v>8984.2873461508898</v>
      </c>
      <c r="T387" s="527">
        <f t="shared" si="563"/>
        <v>8984.2873461508898</v>
      </c>
      <c r="U387" s="527">
        <f t="shared" si="563"/>
        <v>8984.2873461508898</v>
      </c>
      <c r="V387" s="527">
        <f t="shared" si="563"/>
        <v>8984.2873461508898</v>
      </c>
      <c r="W387" s="527">
        <f t="shared" si="563"/>
        <v>8984.2873461508898</v>
      </c>
      <c r="X387" s="527">
        <f t="shared" si="563"/>
        <v>8984.2873461508898</v>
      </c>
      <c r="Y387" s="527">
        <f t="shared" si="563"/>
        <v>8984.2873461508898</v>
      </c>
      <c r="Z387" s="527">
        <f t="shared" si="563"/>
        <v>8984.2873461508898</v>
      </c>
      <c r="AA387" s="527">
        <f t="shared" si="563"/>
        <v>8984.2873461508898</v>
      </c>
      <c r="AB387" s="527">
        <f t="shared" si="563"/>
        <v>8984.2873461508898</v>
      </c>
      <c r="AC387" s="527">
        <f t="shared" si="563"/>
        <v>8984.2873461508898</v>
      </c>
      <c r="AD387" s="527">
        <f t="shared" si="563"/>
        <v>8984.2873461508898</v>
      </c>
      <c r="AE387" s="527">
        <f t="shared" si="563"/>
        <v>8984.2873461508898</v>
      </c>
      <c r="AF387" s="527">
        <f t="shared" si="563"/>
        <v>8984.2873461508898</v>
      </c>
      <c r="AG387" s="527">
        <f t="shared" si="563"/>
        <v>8984.2873461508898</v>
      </c>
      <c r="AH387" s="527">
        <f t="shared" si="563"/>
        <v>8984.2873461508898</v>
      </c>
      <c r="AI387" s="527">
        <f t="shared" si="563"/>
        <v>8984.2873461508898</v>
      </c>
      <c r="AJ387" s="527">
        <f t="shared" si="563"/>
        <v>8984.2873461508898</v>
      </c>
      <c r="AK387" s="527">
        <f t="shared" si="563"/>
        <v>8984.2873461508898</v>
      </c>
      <c r="AL387" s="527">
        <f t="shared" si="563"/>
        <v>8984.2873461508898</v>
      </c>
      <c r="AM387" s="527">
        <f t="shared" si="563"/>
        <v>8984.2873461508898</v>
      </c>
      <c r="AN387" s="527">
        <f t="shared" si="563"/>
        <v>8984.2873461508898</v>
      </c>
      <c r="AO387" s="527">
        <f t="shared" si="563"/>
        <v>8984.2873461508898</v>
      </c>
      <c r="AP387" s="527">
        <f t="shared" si="563"/>
        <v>8984.2873461508898</v>
      </c>
      <c r="AQ387" s="527">
        <f t="shared" si="563"/>
        <v>8984.2873461508898</v>
      </c>
      <c r="AR387" s="527">
        <f t="shared" si="563"/>
        <v>8984.2873461508898</v>
      </c>
      <c r="AS387" s="527">
        <f t="shared" si="563"/>
        <v>8984.2873461508898</v>
      </c>
      <c r="AT387" s="527">
        <f t="shared" si="563"/>
        <v>8984.2873461508898</v>
      </c>
      <c r="AU387" s="527">
        <f t="shared" si="563"/>
        <v>8984.2873461508898</v>
      </c>
      <c r="AV387" s="527">
        <f t="shared" si="563"/>
        <v>8984.2873461508898</v>
      </c>
      <c r="AW387" s="527">
        <f t="shared" si="563"/>
        <v>8984.2873461508898</v>
      </c>
      <c r="AX387" s="527">
        <f t="shared" ref="AX387:BY387" si="564">AX$605*$R160</f>
        <v>8984.2873461508898</v>
      </c>
      <c r="AY387" s="527">
        <f t="shared" si="564"/>
        <v>8984.2873461508898</v>
      </c>
      <c r="AZ387" s="527">
        <f t="shared" si="564"/>
        <v>8984.2873461508898</v>
      </c>
      <c r="BA387" s="527">
        <f t="shared" si="564"/>
        <v>8984.2873461508898</v>
      </c>
      <c r="BB387" s="527">
        <f t="shared" si="564"/>
        <v>8984.2873461508898</v>
      </c>
      <c r="BC387" s="527">
        <f t="shared" si="564"/>
        <v>8984.2873461508898</v>
      </c>
      <c r="BD387" s="527">
        <f t="shared" si="564"/>
        <v>8984.2873461508898</v>
      </c>
      <c r="BE387" s="527">
        <f t="shared" si="564"/>
        <v>8984.2873461508898</v>
      </c>
      <c r="BF387" s="527">
        <f t="shared" si="564"/>
        <v>8984.2873461508898</v>
      </c>
      <c r="BG387" s="527">
        <f t="shared" si="564"/>
        <v>8984.2873461508898</v>
      </c>
      <c r="BH387" s="527">
        <f t="shared" si="564"/>
        <v>8984.2873461508898</v>
      </c>
      <c r="BI387" s="527">
        <f t="shared" si="564"/>
        <v>8984.2873461508898</v>
      </c>
      <c r="BJ387" s="527">
        <f t="shared" si="564"/>
        <v>8984.2873461508898</v>
      </c>
      <c r="BK387" s="527">
        <f t="shared" si="564"/>
        <v>8984.2873461508898</v>
      </c>
      <c r="BL387" s="527">
        <f t="shared" si="564"/>
        <v>8984.2873461508898</v>
      </c>
      <c r="BM387" s="527">
        <f t="shared" si="564"/>
        <v>8984.2873461508898</v>
      </c>
      <c r="BN387" s="527">
        <f t="shared" si="564"/>
        <v>8984.2873461508898</v>
      </c>
      <c r="BO387" s="527">
        <f t="shared" si="564"/>
        <v>8984.2873461508898</v>
      </c>
      <c r="BP387" s="527">
        <f t="shared" si="564"/>
        <v>8984.2873461508898</v>
      </c>
      <c r="BQ387" s="527">
        <f t="shared" si="564"/>
        <v>8984.2873461508898</v>
      </c>
      <c r="BR387" s="527">
        <f t="shared" si="564"/>
        <v>8984.2873461508898</v>
      </c>
      <c r="BS387" s="527">
        <f t="shared" si="564"/>
        <v>8984.2873461508898</v>
      </c>
      <c r="BT387" s="527">
        <f t="shared" si="564"/>
        <v>8984.2873461508898</v>
      </c>
      <c r="BU387" s="527">
        <f t="shared" si="564"/>
        <v>8984.2873461508898</v>
      </c>
      <c r="BV387" s="527">
        <f t="shared" si="564"/>
        <v>8984.2873461508898</v>
      </c>
      <c r="BW387" s="527">
        <f t="shared" si="564"/>
        <v>8984.2873461508898</v>
      </c>
      <c r="BX387" s="527">
        <f t="shared" si="564"/>
        <v>8984.2873461508898</v>
      </c>
      <c r="BY387" s="527">
        <f t="shared" si="564"/>
        <v>8984.2873461508898</v>
      </c>
    </row>
    <row r="388" spans="1:77" x14ac:dyDescent="0.3">
      <c r="A388" s="551"/>
      <c r="B388" s="548"/>
      <c r="C388" s="525"/>
      <c r="D388" s="525"/>
      <c r="E388" s="572" t="s">
        <v>36</v>
      </c>
      <c r="F388" s="572"/>
      <c r="G388" s="572"/>
      <c r="H388" s="572"/>
      <c r="I388" s="572"/>
      <c r="J388" s="572"/>
      <c r="K388" s="572"/>
      <c r="L388" s="572"/>
      <c r="M388" s="572"/>
      <c r="N388" s="572"/>
      <c r="O388" s="572"/>
      <c r="P388" s="612"/>
      <c r="Q388" s="572"/>
      <c r="R388" s="530">
        <f t="shared" ref="R388:AW388" si="565">SUM(R382:R387)</f>
        <v>29519.801280210067</v>
      </c>
      <c r="S388" s="530">
        <f t="shared" si="565"/>
        <v>29519.801280210067</v>
      </c>
      <c r="T388" s="530">
        <f t="shared" si="565"/>
        <v>29519.801280210067</v>
      </c>
      <c r="U388" s="530">
        <f t="shared" si="565"/>
        <v>29519.801280210067</v>
      </c>
      <c r="V388" s="530">
        <f t="shared" si="565"/>
        <v>29519.801280210067</v>
      </c>
      <c r="W388" s="530">
        <f t="shared" si="565"/>
        <v>29519.801280210067</v>
      </c>
      <c r="X388" s="530">
        <f t="shared" si="565"/>
        <v>29519.801280210067</v>
      </c>
      <c r="Y388" s="530">
        <f t="shared" si="565"/>
        <v>29519.801280210067</v>
      </c>
      <c r="Z388" s="530">
        <f t="shared" si="565"/>
        <v>29519.801280210067</v>
      </c>
      <c r="AA388" s="530">
        <f t="shared" si="565"/>
        <v>29519.801280210067</v>
      </c>
      <c r="AB388" s="530">
        <f t="shared" si="565"/>
        <v>29519.801280210067</v>
      </c>
      <c r="AC388" s="530">
        <f t="shared" si="565"/>
        <v>29519.801280210067</v>
      </c>
      <c r="AD388" s="530">
        <f t="shared" si="565"/>
        <v>29519.801280210067</v>
      </c>
      <c r="AE388" s="530">
        <f t="shared" si="565"/>
        <v>29519.801280210067</v>
      </c>
      <c r="AF388" s="530">
        <f t="shared" si="565"/>
        <v>29519.801280210067</v>
      </c>
      <c r="AG388" s="530">
        <f t="shared" si="565"/>
        <v>29519.801280210067</v>
      </c>
      <c r="AH388" s="530">
        <f t="shared" si="565"/>
        <v>29519.801280210067</v>
      </c>
      <c r="AI388" s="530">
        <f t="shared" si="565"/>
        <v>29519.801280210067</v>
      </c>
      <c r="AJ388" s="530">
        <f t="shared" si="565"/>
        <v>29519.801280210067</v>
      </c>
      <c r="AK388" s="530">
        <f t="shared" si="565"/>
        <v>29519.801280210067</v>
      </c>
      <c r="AL388" s="530">
        <f t="shared" si="565"/>
        <v>29519.801280210067</v>
      </c>
      <c r="AM388" s="530">
        <f t="shared" si="565"/>
        <v>29519.801280210067</v>
      </c>
      <c r="AN388" s="530">
        <f t="shared" si="565"/>
        <v>29519.801280210067</v>
      </c>
      <c r="AO388" s="530">
        <f t="shared" si="565"/>
        <v>29519.801280210067</v>
      </c>
      <c r="AP388" s="530">
        <f t="shared" si="565"/>
        <v>29519.801280210067</v>
      </c>
      <c r="AQ388" s="530">
        <f t="shared" si="565"/>
        <v>29519.801280210067</v>
      </c>
      <c r="AR388" s="530">
        <f t="shared" si="565"/>
        <v>29519.801280210067</v>
      </c>
      <c r="AS388" s="530">
        <f t="shared" si="565"/>
        <v>29519.801280210067</v>
      </c>
      <c r="AT388" s="530">
        <f t="shared" si="565"/>
        <v>29519.801280210067</v>
      </c>
      <c r="AU388" s="530">
        <f t="shared" si="565"/>
        <v>29519.801280210067</v>
      </c>
      <c r="AV388" s="530">
        <f t="shared" si="565"/>
        <v>29519.801280210067</v>
      </c>
      <c r="AW388" s="530">
        <f t="shared" si="565"/>
        <v>29519.801280210067</v>
      </c>
      <c r="AX388" s="530">
        <f t="shared" ref="AX388:BY388" si="566">SUM(AX382:AX387)</f>
        <v>29519.801280210067</v>
      </c>
      <c r="AY388" s="530">
        <f t="shared" si="566"/>
        <v>29519.801280210067</v>
      </c>
      <c r="AZ388" s="530">
        <f t="shared" si="566"/>
        <v>29519.801280210067</v>
      </c>
      <c r="BA388" s="530">
        <f t="shared" si="566"/>
        <v>29519.801280210067</v>
      </c>
      <c r="BB388" s="530">
        <f t="shared" si="566"/>
        <v>29519.801280210067</v>
      </c>
      <c r="BC388" s="530">
        <f t="shared" si="566"/>
        <v>29519.801280210067</v>
      </c>
      <c r="BD388" s="530">
        <f t="shared" si="566"/>
        <v>29519.801280210067</v>
      </c>
      <c r="BE388" s="530">
        <f t="shared" si="566"/>
        <v>29519.801280210067</v>
      </c>
      <c r="BF388" s="530">
        <f t="shared" si="566"/>
        <v>29519.801280210067</v>
      </c>
      <c r="BG388" s="530">
        <f t="shared" si="566"/>
        <v>29519.801280210067</v>
      </c>
      <c r="BH388" s="530">
        <f t="shared" si="566"/>
        <v>29519.801280210067</v>
      </c>
      <c r="BI388" s="530">
        <f t="shared" si="566"/>
        <v>29519.801280210067</v>
      </c>
      <c r="BJ388" s="530">
        <f t="shared" si="566"/>
        <v>29519.801280210067</v>
      </c>
      <c r="BK388" s="530">
        <f t="shared" si="566"/>
        <v>29519.801280210067</v>
      </c>
      <c r="BL388" s="530">
        <f t="shared" si="566"/>
        <v>29519.801280210067</v>
      </c>
      <c r="BM388" s="530">
        <f t="shared" si="566"/>
        <v>29519.801280210067</v>
      </c>
      <c r="BN388" s="530">
        <f t="shared" si="566"/>
        <v>29519.801280210067</v>
      </c>
      <c r="BO388" s="530">
        <f t="shared" si="566"/>
        <v>29519.801280210067</v>
      </c>
      <c r="BP388" s="530">
        <f t="shared" si="566"/>
        <v>29519.801280210067</v>
      </c>
      <c r="BQ388" s="530">
        <f t="shared" si="566"/>
        <v>29519.801280210067</v>
      </c>
      <c r="BR388" s="530">
        <f t="shared" si="566"/>
        <v>29519.801280210067</v>
      </c>
      <c r="BS388" s="530">
        <f t="shared" si="566"/>
        <v>29519.801280210067</v>
      </c>
      <c r="BT388" s="530">
        <f t="shared" si="566"/>
        <v>29519.801280210067</v>
      </c>
      <c r="BU388" s="530">
        <f t="shared" si="566"/>
        <v>29519.801280210067</v>
      </c>
      <c r="BV388" s="530">
        <f t="shared" si="566"/>
        <v>29519.801280210067</v>
      </c>
      <c r="BW388" s="530">
        <f t="shared" si="566"/>
        <v>29519.801280210067</v>
      </c>
      <c r="BX388" s="530">
        <f t="shared" si="566"/>
        <v>29519.801280210067</v>
      </c>
      <c r="BY388" s="530">
        <f t="shared" si="566"/>
        <v>29519.801280210067</v>
      </c>
    </row>
    <row r="389" spans="1:77" x14ac:dyDescent="0.3">
      <c r="A389" s="551"/>
      <c r="B389" s="548"/>
      <c r="C389" s="525"/>
      <c r="D389" s="525"/>
      <c r="E389" s="525"/>
      <c r="F389" s="525"/>
      <c r="G389" s="525"/>
      <c r="H389" s="525"/>
      <c r="I389" s="525"/>
      <c r="J389" s="525"/>
      <c r="K389" s="525"/>
      <c r="L389" s="525"/>
      <c r="M389" s="525"/>
      <c r="N389" s="525"/>
      <c r="O389" s="525"/>
      <c r="P389" s="565"/>
      <c r="Q389" s="525"/>
      <c r="R389" s="525"/>
      <c r="S389" s="525"/>
      <c r="T389" s="525"/>
      <c r="U389" s="525"/>
      <c r="V389" s="525"/>
      <c r="W389" s="525"/>
      <c r="X389" s="525"/>
      <c r="Y389" s="525"/>
      <c r="Z389" s="525"/>
      <c r="AA389" s="525"/>
      <c r="AB389" s="525"/>
      <c r="AC389" s="525"/>
      <c r="AD389" s="525"/>
      <c r="AE389" s="525"/>
      <c r="AF389" s="525"/>
      <c r="AG389" s="525"/>
      <c r="AH389" s="525"/>
      <c r="AI389" s="525"/>
      <c r="AJ389" s="525"/>
      <c r="AK389" s="525"/>
      <c r="AL389" s="525"/>
      <c r="AM389" s="525"/>
      <c r="AN389" s="525"/>
      <c r="AO389" s="525"/>
      <c r="AP389" s="525"/>
      <c r="AQ389" s="525"/>
      <c r="AR389" s="525"/>
      <c r="AS389" s="525"/>
      <c r="AT389" s="525"/>
      <c r="AU389" s="525"/>
      <c r="AV389" s="525"/>
      <c r="AW389" s="525"/>
      <c r="AX389" s="525"/>
      <c r="AY389" s="525"/>
      <c r="AZ389" s="525"/>
      <c r="BA389" s="525"/>
      <c r="BB389" s="525"/>
      <c r="BC389" s="525"/>
      <c r="BD389" s="525"/>
      <c r="BE389" s="525"/>
      <c r="BF389" s="525"/>
      <c r="BG389" s="525"/>
      <c r="BH389" s="525"/>
      <c r="BI389" s="525"/>
      <c r="BJ389" s="525"/>
      <c r="BK389" s="525"/>
      <c r="BL389" s="525"/>
      <c r="BM389" s="525"/>
      <c r="BN389" s="525"/>
      <c r="BO389" s="525"/>
      <c r="BP389" s="525"/>
      <c r="BQ389" s="525"/>
      <c r="BR389" s="525"/>
      <c r="BS389" s="525"/>
      <c r="BT389" s="525"/>
      <c r="BU389" s="525"/>
      <c r="BV389" s="525"/>
      <c r="BW389" s="525"/>
      <c r="BX389" s="525"/>
      <c r="BY389" s="525"/>
    </row>
    <row r="390" spans="1:77" x14ac:dyDescent="0.3">
      <c r="A390" s="551"/>
      <c r="B390" s="548"/>
      <c r="C390" s="584" t="s">
        <v>37</v>
      </c>
      <c r="D390" s="525"/>
      <c r="E390" s="538" t="s">
        <v>51</v>
      </c>
      <c r="F390" s="538"/>
      <c r="G390" s="538"/>
      <c r="H390" s="538"/>
      <c r="I390" s="538"/>
      <c r="J390" s="538"/>
      <c r="K390" s="538"/>
      <c r="L390" s="538"/>
      <c r="M390" s="538"/>
      <c r="N390" s="538"/>
      <c r="O390" s="538"/>
      <c r="P390" s="584"/>
      <c r="Q390" s="538"/>
      <c r="R390" s="538"/>
      <c r="S390" s="538"/>
      <c r="T390" s="538"/>
      <c r="U390" s="538"/>
      <c r="V390" s="538"/>
      <c r="W390" s="538"/>
      <c r="X390" s="538"/>
      <c r="Y390" s="538"/>
      <c r="Z390" s="538"/>
      <c r="AA390" s="538"/>
      <c r="AB390" s="538"/>
      <c r="AC390" s="538"/>
      <c r="AD390" s="538"/>
      <c r="AE390" s="538"/>
      <c r="AF390" s="538"/>
      <c r="AG390" s="538"/>
      <c r="AH390" s="538"/>
      <c r="AI390" s="538"/>
      <c r="AJ390" s="538"/>
      <c r="AK390" s="538"/>
      <c r="AL390" s="538"/>
      <c r="AM390" s="538"/>
      <c r="AN390" s="538"/>
      <c r="AO390" s="538"/>
      <c r="AP390" s="538"/>
      <c r="AQ390" s="538"/>
      <c r="AR390" s="538"/>
      <c r="AS390" s="538"/>
      <c r="AT390" s="538"/>
      <c r="AU390" s="538"/>
      <c r="AV390" s="538"/>
      <c r="AW390" s="538"/>
      <c r="AX390" s="538"/>
      <c r="AY390" s="538"/>
      <c r="AZ390" s="538"/>
      <c r="BA390" s="538"/>
      <c r="BB390" s="538"/>
      <c r="BC390" s="538"/>
      <c r="BD390" s="538"/>
      <c r="BE390" s="538"/>
      <c r="BF390" s="538"/>
      <c r="BG390" s="538"/>
      <c r="BH390" s="538"/>
      <c r="BI390" s="538"/>
      <c r="BJ390" s="538"/>
      <c r="BK390" s="538"/>
      <c r="BL390" s="538"/>
      <c r="BM390" s="538"/>
      <c r="BN390" s="538"/>
      <c r="BO390" s="538"/>
      <c r="BP390" s="538"/>
      <c r="BQ390" s="538"/>
      <c r="BR390" s="538"/>
      <c r="BS390" s="538"/>
      <c r="BT390" s="538"/>
      <c r="BU390" s="538"/>
      <c r="BV390" s="538"/>
      <c r="BW390" s="538"/>
      <c r="BX390" s="538"/>
      <c r="BY390" s="538"/>
    </row>
    <row r="391" spans="1:77" x14ac:dyDescent="0.3">
      <c r="A391" s="551"/>
      <c r="B391" s="548"/>
      <c r="C391" s="525"/>
      <c r="D391" s="525"/>
      <c r="E391" s="525"/>
      <c r="F391" s="525"/>
      <c r="G391" s="525"/>
      <c r="H391" s="525"/>
      <c r="I391" s="525"/>
      <c r="J391" s="525"/>
      <c r="K391" s="525"/>
      <c r="L391" s="525"/>
      <c r="M391" s="525"/>
      <c r="N391" s="525"/>
      <c r="O391" s="525"/>
      <c r="P391" s="565"/>
      <c r="Q391" s="525"/>
      <c r="R391" s="525"/>
      <c r="S391" s="525"/>
      <c r="T391" s="525"/>
      <c r="U391" s="525"/>
      <c r="V391" s="525"/>
      <c r="W391" s="525"/>
      <c r="X391" s="525"/>
      <c r="Y391" s="525"/>
      <c r="Z391" s="525"/>
      <c r="AA391" s="525"/>
      <c r="AB391" s="525"/>
      <c r="AC391" s="525"/>
      <c r="AD391" s="525"/>
      <c r="AE391" s="525"/>
      <c r="AF391" s="525"/>
      <c r="AG391" s="525"/>
      <c r="AH391" s="525"/>
      <c r="AI391" s="525"/>
      <c r="AJ391" s="525"/>
      <c r="AK391" s="525"/>
      <c r="AL391" s="525"/>
      <c r="AM391" s="525"/>
      <c r="AN391" s="525"/>
      <c r="AO391" s="525"/>
      <c r="AP391" s="525"/>
      <c r="AQ391" s="525"/>
      <c r="AR391" s="525"/>
      <c r="AS391" s="525"/>
      <c r="AT391" s="525"/>
      <c r="AU391" s="525"/>
      <c r="AV391" s="525"/>
      <c r="AW391" s="525"/>
      <c r="AX391" s="525"/>
      <c r="AY391" s="525"/>
      <c r="AZ391" s="525"/>
      <c r="BA391" s="525"/>
      <c r="BB391" s="525"/>
      <c r="BC391" s="525"/>
      <c r="BD391" s="525"/>
      <c r="BE391" s="525"/>
      <c r="BF391" s="525"/>
      <c r="BG391" s="525"/>
      <c r="BH391" s="525"/>
      <c r="BI391" s="525"/>
      <c r="BJ391" s="525"/>
      <c r="BK391" s="525"/>
      <c r="BL391" s="525"/>
      <c r="BM391" s="525"/>
      <c r="BN391" s="525"/>
      <c r="BO391" s="525"/>
      <c r="BP391" s="525"/>
      <c r="BQ391" s="525"/>
      <c r="BR391" s="525"/>
      <c r="BS391" s="525"/>
      <c r="BT391" s="525"/>
      <c r="BU391" s="525"/>
      <c r="BV391" s="525"/>
      <c r="BW391" s="525"/>
      <c r="BX391" s="525"/>
      <c r="BY391" s="525"/>
    </row>
    <row r="392" spans="1:77" x14ac:dyDescent="0.3">
      <c r="A392" s="551"/>
      <c r="B392" s="548"/>
      <c r="C392" s="525"/>
      <c r="D392" s="525"/>
      <c r="E392" s="614" t="s">
        <v>110</v>
      </c>
      <c r="F392" s="539"/>
      <c r="G392" s="539"/>
      <c r="H392" s="539"/>
      <c r="I392" s="539"/>
      <c r="J392" s="539"/>
      <c r="K392" s="539"/>
      <c r="L392" s="539"/>
      <c r="M392" s="539"/>
      <c r="N392" s="539"/>
      <c r="O392" s="539"/>
      <c r="P392" s="615"/>
      <c r="Q392" s="539"/>
      <c r="R392" s="539"/>
      <c r="S392" s="539"/>
      <c r="T392" s="539"/>
      <c r="U392" s="539"/>
      <c r="V392" s="539"/>
      <c r="W392" s="539"/>
      <c r="X392" s="539"/>
      <c r="Y392" s="539"/>
      <c r="Z392" s="539"/>
      <c r="AA392" s="539"/>
      <c r="AB392" s="539"/>
      <c r="AC392" s="539"/>
      <c r="AD392" s="539"/>
      <c r="AE392" s="539"/>
      <c r="AF392" s="539"/>
      <c r="AG392" s="539"/>
      <c r="AH392" s="539"/>
      <c r="AI392" s="539"/>
      <c r="AJ392" s="539"/>
      <c r="AK392" s="539"/>
      <c r="AL392" s="539"/>
      <c r="AM392" s="539"/>
      <c r="AN392" s="539"/>
      <c r="AO392" s="539"/>
      <c r="AP392" s="539"/>
      <c r="AQ392" s="539"/>
      <c r="AR392" s="539"/>
      <c r="AS392" s="539"/>
      <c r="AT392" s="539"/>
      <c r="AU392" s="539"/>
      <c r="AV392" s="539"/>
      <c r="AW392" s="539"/>
      <c r="AX392" s="539"/>
      <c r="AY392" s="539"/>
      <c r="AZ392" s="539"/>
      <c r="BA392" s="539"/>
      <c r="BB392" s="539"/>
      <c r="BC392" s="539"/>
      <c r="BD392" s="539"/>
      <c r="BE392" s="539"/>
      <c r="BF392" s="539"/>
      <c r="BG392" s="539"/>
      <c r="BH392" s="539"/>
      <c r="BI392" s="539"/>
      <c r="BJ392" s="539"/>
      <c r="BK392" s="539"/>
      <c r="BL392" s="539"/>
      <c r="BM392" s="539"/>
      <c r="BN392" s="539"/>
      <c r="BO392" s="539"/>
      <c r="BP392" s="539"/>
      <c r="BQ392" s="539"/>
      <c r="BR392" s="539"/>
      <c r="BS392" s="539"/>
      <c r="BT392" s="539"/>
      <c r="BU392" s="539"/>
      <c r="BV392" s="539"/>
      <c r="BW392" s="539"/>
      <c r="BX392" s="539"/>
      <c r="BY392" s="539"/>
    </row>
    <row r="393" spans="1:77" x14ac:dyDescent="0.3">
      <c r="A393" s="551"/>
      <c r="B393" s="548"/>
      <c r="C393" s="525"/>
      <c r="D393" s="525"/>
      <c r="E393" s="525"/>
      <c r="F393" s="525"/>
      <c r="G393" s="525"/>
      <c r="H393" s="525"/>
      <c r="I393" s="525"/>
      <c r="J393" s="525"/>
      <c r="K393" s="525"/>
      <c r="L393" s="525"/>
      <c r="M393" s="525"/>
      <c r="N393" s="525"/>
      <c r="O393" s="525"/>
      <c r="P393" s="565"/>
      <c r="Q393" s="525"/>
      <c r="R393" s="525"/>
      <c r="S393" s="525"/>
      <c r="T393" s="525"/>
      <c r="U393" s="525"/>
      <c r="V393" s="525"/>
      <c r="W393" s="525"/>
      <c r="X393" s="525"/>
      <c r="Y393" s="525"/>
      <c r="Z393" s="525"/>
      <c r="AA393" s="525"/>
      <c r="AB393" s="525"/>
      <c r="AC393" s="525"/>
      <c r="AD393" s="525"/>
      <c r="AE393" s="525"/>
      <c r="AF393" s="525"/>
      <c r="AG393" s="525"/>
      <c r="AH393" s="525"/>
      <c r="AI393" s="525"/>
      <c r="AJ393" s="525"/>
      <c r="AK393" s="525"/>
      <c r="AL393" s="525"/>
      <c r="AM393" s="525"/>
      <c r="AN393" s="525"/>
      <c r="AO393" s="525"/>
      <c r="AP393" s="525"/>
      <c r="AQ393" s="525"/>
      <c r="AR393" s="525"/>
      <c r="AS393" s="525"/>
      <c r="AT393" s="525"/>
      <c r="AU393" s="525"/>
      <c r="AV393" s="525"/>
      <c r="AW393" s="525"/>
      <c r="AX393" s="525"/>
      <c r="AY393" s="525"/>
      <c r="AZ393" s="525"/>
      <c r="BA393" s="525"/>
      <c r="BB393" s="525"/>
      <c r="BC393" s="525"/>
      <c r="BD393" s="525"/>
      <c r="BE393" s="525"/>
      <c r="BF393" s="525"/>
      <c r="BG393" s="525"/>
      <c r="BH393" s="525"/>
      <c r="BI393" s="525"/>
      <c r="BJ393" s="525"/>
      <c r="BK393" s="525"/>
      <c r="BL393" s="525"/>
      <c r="BM393" s="525"/>
      <c r="BN393" s="525"/>
      <c r="BO393" s="525"/>
      <c r="BP393" s="525"/>
      <c r="BQ393" s="525"/>
      <c r="BR393" s="525"/>
      <c r="BS393" s="525"/>
      <c r="BT393" s="525"/>
      <c r="BU393" s="525"/>
      <c r="BV393" s="525"/>
      <c r="BW393" s="525"/>
      <c r="BX393" s="525"/>
      <c r="BY393" s="525"/>
    </row>
    <row r="394" spans="1:77" x14ac:dyDescent="0.3">
      <c r="A394" s="551"/>
      <c r="B394" s="548"/>
      <c r="C394" s="525"/>
      <c r="D394" s="525"/>
      <c r="E394" s="639" t="str">
        <f>"R&amp;M: "&amp;E$155</f>
        <v>R&amp;M: FY27 Tranche</v>
      </c>
      <c r="F394" s="525"/>
      <c r="G394" s="525"/>
      <c r="H394" s="525"/>
      <c r="I394" s="525"/>
      <c r="J394" s="525"/>
      <c r="K394" s="525"/>
      <c r="L394" s="525"/>
      <c r="M394" s="525"/>
      <c r="N394" s="525"/>
      <c r="O394" s="525"/>
      <c r="P394" s="565"/>
      <c r="Q394" s="525"/>
      <c r="R394" s="527">
        <f t="shared" ref="R394:AW394" si="567">R$611*$R155</f>
        <v>-3002.4165127977794</v>
      </c>
      <c r="S394" s="527">
        <f t="shared" si="567"/>
        <v>-3002.4165127977794</v>
      </c>
      <c r="T394" s="527">
        <f t="shared" si="567"/>
        <v>-3002.4165127977794</v>
      </c>
      <c r="U394" s="527">
        <f t="shared" si="567"/>
        <v>-3002.4165127977794</v>
      </c>
      <c r="V394" s="527">
        <f t="shared" si="567"/>
        <v>-3002.4165127977794</v>
      </c>
      <c r="W394" s="527">
        <f t="shared" si="567"/>
        <v>-3002.4165127977794</v>
      </c>
      <c r="X394" s="527">
        <f t="shared" si="567"/>
        <v>-3002.4165127977794</v>
      </c>
      <c r="Y394" s="527">
        <f t="shared" si="567"/>
        <v>-3002.4165127977794</v>
      </c>
      <c r="Z394" s="527">
        <f t="shared" si="567"/>
        <v>-3002.4165127977794</v>
      </c>
      <c r="AA394" s="527">
        <f t="shared" si="567"/>
        <v>-3002.4165127977794</v>
      </c>
      <c r="AB394" s="527">
        <f t="shared" si="567"/>
        <v>-3002.4165127977794</v>
      </c>
      <c r="AC394" s="527">
        <f t="shared" si="567"/>
        <v>-3002.4165127977794</v>
      </c>
      <c r="AD394" s="527">
        <f t="shared" si="567"/>
        <v>-3062.464843053735</v>
      </c>
      <c r="AE394" s="527">
        <f t="shared" si="567"/>
        <v>-3062.464843053735</v>
      </c>
      <c r="AF394" s="527">
        <f t="shared" si="567"/>
        <v>-3062.464843053735</v>
      </c>
      <c r="AG394" s="527">
        <f t="shared" si="567"/>
        <v>-3062.464843053735</v>
      </c>
      <c r="AH394" s="527">
        <f t="shared" si="567"/>
        <v>-3062.464843053735</v>
      </c>
      <c r="AI394" s="527">
        <f t="shared" si="567"/>
        <v>-3062.464843053735</v>
      </c>
      <c r="AJ394" s="527">
        <f t="shared" si="567"/>
        <v>-3062.464843053735</v>
      </c>
      <c r="AK394" s="527">
        <f t="shared" si="567"/>
        <v>-3062.464843053735</v>
      </c>
      <c r="AL394" s="527">
        <f t="shared" si="567"/>
        <v>-3062.464843053735</v>
      </c>
      <c r="AM394" s="527">
        <f t="shared" si="567"/>
        <v>-3062.464843053735</v>
      </c>
      <c r="AN394" s="527">
        <f t="shared" si="567"/>
        <v>-3062.464843053735</v>
      </c>
      <c r="AO394" s="527">
        <f t="shared" si="567"/>
        <v>-3062.464843053735</v>
      </c>
      <c r="AP394" s="527">
        <f t="shared" si="567"/>
        <v>-3123.7141399148099</v>
      </c>
      <c r="AQ394" s="527">
        <f t="shared" si="567"/>
        <v>-3123.7141399148099</v>
      </c>
      <c r="AR394" s="527">
        <f t="shared" si="567"/>
        <v>-3123.7141399148099</v>
      </c>
      <c r="AS394" s="527">
        <f t="shared" si="567"/>
        <v>-3123.7141399148099</v>
      </c>
      <c r="AT394" s="527">
        <f t="shared" si="567"/>
        <v>-3123.7141399148099</v>
      </c>
      <c r="AU394" s="527">
        <f t="shared" si="567"/>
        <v>-3123.7141399148099</v>
      </c>
      <c r="AV394" s="527">
        <f t="shared" si="567"/>
        <v>-3123.7141399148099</v>
      </c>
      <c r="AW394" s="527">
        <f t="shared" si="567"/>
        <v>-3123.7141399148099</v>
      </c>
      <c r="AX394" s="527">
        <f t="shared" ref="AX394:BY394" si="568">AX$611*$R155</f>
        <v>-3123.7141399148099</v>
      </c>
      <c r="AY394" s="527">
        <f t="shared" si="568"/>
        <v>-3123.7141399148099</v>
      </c>
      <c r="AZ394" s="527">
        <f t="shared" si="568"/>
        <v>-3123.7141399148099</v>
      </c>
      <c r="BA394" s="527">
        <f t="shared" si="568"/>
        <v>-3123.7141399148099</v>
      </c>
      <c r="BB394" s="527">
        <f t="shared" si="568"/>
        <v>-3186.1884227131063</v>
      </c>
      <c r="BC394" s="527">
        <f t="shared" si="568"/>
        <v>-3186.1884227131063</v>
      </c>
      <c r="BD394" s="527">
        <f t="shared" si="568"/>
        <v>-3186.1884227131063</v>
      </c>
      <c r="BE394" s="527">
        <f t="shared" si="568"/>
        <v>-3186.1884227131063</v>
      </c>
      <c r="BF394" s="527">
        <f t="shared" si="568"/>
        <v>-3186.1884227131063</v>
      </c>
      <c r="BG394" s="527">
        <f t="shared" si="568"/>
        <v>-3186.1884227131063</v>
      </c>
      <c r="BH394" s="527">
        <f t="shared" si="568"/>
        <v>-3186.1884227131063</v>
      </c>
      <c r="BI394" s="527">
        <f t="shared" si="568"/>
        <v>-3186.1884227131063</v>
      </c>
      <c r="BJ394" s="527">
        <f t="shared" si="568"/>
        <v>-3186.1884227131063</v>
      </c>
      <c r="BK394" s="527">
        <f t="shared" si="568"/>
        <v>-3186.1884227131063</v>
      </c>
      <c r="BL394" s="527">
        <f t="shared" si="568"/>
        <v>-3186.1884227131063</v>
      </c>
      <c r="BM394" s="527">
        <f t="shared" si="568"/>
        <v>-3186.1884227131063</v>
      </c>
      <c r="BN394" s="527">
        <f t="shared" si="568"/>
        <v>-3249.9121911673683</v>
      </c>
      <c r="BO394" s="527">
        <f t="shared" si="568"/>
        <v>-3249.9121911673683</v>
      </c>
      <c r="BP394" s="527">
        <f t="shared" si="568"/>
        <v>-3249.9121911673683</v>
      </c>
      <c r="BQ394" s="527">
        <f t="shared" si="568"/>
        <v>-3249.9121911673683</v>
      </c>
      <c r="BR394" s="527">
        <f t="shared" si="568"/>
        <v>-3249.9121911673683</v>
      </c>
      <c r="BS394" s="527">
        <f t="shared" si="568"/>
        <v>-3249.9121911673683</v>
      </c>
      <c r="BT394" s="527">
        <f t="shared" si="568"/>
        <v>-3249.9121911673683</v>
      </c>
      <c r="BU394" s="527">
        <f t="shared" si="568"/>
        <v>-3249.9121911673683</v>
      </c>
      <c r="BV394" s="527">
        <f t="shared" si="568"/>
        <v>-3249.9121911673683</v>
      </c>
      <c r="BW394" s="527">
        <f t="shared" si="568"/>
        <v>-3249.9121911673683</v>
      </c>
      <c r="BX394" s="527">
        <f t="shared" si="568"/>
        <v>-3249.9121911673683</v>
      </c>
      <c r="BY394" s="527">
        <f t="shared" si="568"/>
        <v>-3249.9121911673683</v>
      </c>
    </row>
    <row r="395" spans="1:77" x14ac:dyDescent="0.3">
      <c r="A395" s="551"/>
      <c r="B395" s="548"/>
      <c r="C395" s="525"/>
      <c r="D395" s="525"/>
      <c r="E395" s="639" t="str">
        <f>"R&amp;M: "&amp;E$156</f>
        <v>R&amp;M: FY28 Tranche</v>
      </c>
      <c r="F395" s="525"/>
      <c r="G395" s="525"/>
      <c r="H395" s="525"/>
      <c r="I395" s="525"/>
      <c r="J395" s="525"/>
      <c r="K395" s="525"/>
      <c r="L395" s="525"/>
      <c r="M395" s="525"/>
      <c r="N395" s="525"/>
      <c r="O395" s="525"/>
      <c r="P395" s="565"/>
      <c r="Q395" s="525"/>
      <c r="R395" s="527">
        <f t="shared" ref="R395:AW395" si="569">R$611*$R156</f>
        <v>-3002.4165127977794</v>
      </c>
      <c r="S395" s="527">
        <f t="shared" si="569"/>
        <v>-3002.4165127977794</v>
      </c>
      <c r="T395" s="527">
        <f t="shared" si="569"/>
        <v>-3002.4165127977794</v>
      </c>
      <c r="U395" s="527">
        <f t="shared" si="569"/>
        <v>-3002.4165127977794</v>
      </c>
      <c r="V395" s="527">
        <f t="shared" si="569"/>
        <v>-3002.4165127977794</v>
      </c>
      <c r="W395" s="527">
        <f t="shared" si="569"/>
        <v>-3002.4165127977794</v>
      </c>
      <c r="X395" s="527">
        <f t="shared" si="569"/>
        <v>-3002.4165127977794</v>
      </c>
      <c r="Y395" s="527">
        <f t="shared" si="569"/>
        <v>-3002.4165127977794</v>
      </c>
      <c r="Z395" s="527">
        <f t="shared" si="569"/>
        <v>-3002.4165127977794</v>
      </c>
      <c r="AA395" s="527">
        <f t="shared" si="569"/>
        <v>-3002.4165127977794</v>
      </c>
      <c r="AB395" s="527">
        <f t="shared" si="569"/>
        <v>-3002.4165127977794</v>
      </c>
      <c r="AC395" s="527">
        <f t="shared" si="569"/>
        <v>-3002.4165127977794</v>
      </c>
      <c r="AD395" s="527">
        <f t="shared" si="569"/>
        <v>-3062.464843053735</v>
      </c>
      <c r="AE395" s="527">
        <f t="shared" si="569"/>
        <v>-3062.464843053735</v>
      </c>
      <c r="AF395" s="527">
        <f t="shared" si="569"/>
        <v>-3062.464843053735</v>
      </c>
      <c r="AG395" s="527">
        <f t="shared" si="569"/>
        <v>-3062.464843053735</v>
      </c>
      <c r="AH395" s="527">
        <f t="shared" si="569"/>
        <v>-3062.464843053735</v>
      </c>
      <c r="AI395" s="527">
        <f t="shared" si="569"/>
        <v>-3062.464843053735</v>
      </c>
      <c r="AJ395" s="527">
        <f t="shared" si="569"/>
        <v>-3062.464843053735</v>
      </c>
      <c r="AK395" s="527">
        <f t="shared" si="569"/>
        <v>-3062.464843053735</v>
      </c>
      <c r="AL395" s="527">
        <f t="shared" si="569"/>
        <v>-3062.464843053735</v>
      </c>
      <c r="AM395" s="527">
        <f t="shared" si="569"/>
        <v>-3062.464843053735</v>
      </c>
      <c r="AN395" s="527">
        <f t="shared" si="569"/>
        <v>-3062.464843053735</v>
      </c>
      <c r="AO395" s="527">
        <f t="shared" si="569"/>
        <v>-3062.464843053735</v>
      </c>
      <c r="AP395" s="527">
        <f t="shared" si="569"/>
        <v>-3123.7141399148099</v>
      </c>
      <c r="AQ395" s="527">
        <f t="shared" si="569"/>
        <v>-3123.7141399148099</v>
      </c>
      <c r="AR395" s="527">
        <f t="shared" si="569"/>
        <v>-3123.7141399148099</v>
      </c>
      <c r="AS395" s="527">
        <f t="shared" si="569"/>
        <v>-3123.7141399148099</v>
      </c>
      <c r="AT395" s="527">
        <f t="shared" si="569"/>
        <v>-3123.7141399148099</v>
      </c>
      <c r="AU395" s="527">
        <f t="shared" si="569"/>
        <v>-3123.7141399148099</v>
      </c>
      <c r="AV395" s="527">
        <f t="shared" si="569"/>
        <v>-3123.7141399148099</v>
      </c>
      <c r="AW395" s="527">
        <f t="shared" si="569"/>
        <v>-3123.7141399148099</v>
      </c>
      <c r="AX395" s="527">
        <f t="shared" ref="AX395:BY395" si="570">AX$611*$R156</f>
        <v>-3123.7141399148099</v>
      </c>
      <c r="AY395" s="527">
        <f t="shared" si="570"/>
        <v>-3123.7141399148099</v>
      </c>
      <c r="AZ395" s="527">
        <f t="shared" si="570"/>
        <v>-3123.7141399148099</v>
      </c>
      <c r="BA395" s="527">
        <f t="shared" si="570"/>
        <v>-3123.7141399148099</v>
      </c>
      <c r="BB395" s="527">
        <f t="shared" si="570"/>
        <v>-3186.1884227131063</v>
      </c>
      <c r="BC395" s="527">
        <f t="shared" si="570"/>
        <v>-3186.1884227131063</v>
      </c>
      <c r="BD395" s="527">
        <f t="shared" si="570"/>
        <v>-3186.1884227131063</v>
      </c>
      <c r="BE395" s="527">
        <f t="shared" si="570"/>
        <v>-3186.1884227131063</v>
      </c>
      <c r="BF395" s="527">
        <f t="shared" si="570"/>
        <v>-3186.1884227131063</v>
      </c>
      <c r="BG395" s="527">
        <f t="shared" si="570"/>
        <v>-3186.1884227131063</v>
      </c>
      <c r="BH395" s="527">
        <f t="shared" si="570"/>
        <v>-3186.1884227131063</v>
      </c>
      <c r="BI395" s="527">
        <f t="shared" si="570"/>
        <v>-3186.1884227131063</v>
      </c>
      <c r="BJ395" s="527">
        <f t="shared" si="570"/>
        <v>-3186.1884227131063</v>
      </c>
      <c r="BK395" s="527">
        <f t="shared" si="570"/>
        <v>-3186.1884227131063</v>
      </c>
      <c r="BL395" s="527">
        <f t="shared" si="570"/>
        <v>-3186.1884227131063</v>
      </c>
      <c r="BM395" s="527">
        <f t="shared" si="570"/>
        <v>-3186.1884227131063</v>
      </c>
      <c r="BN395" s="527">
        <f t="shared" si="570"/>
        <v>-3249.9121911673683</v>
      </c>
      <c r="BO395" s="527">
        <f t="shared" si="570"/>
        <v>-3249.9121911673683</v>
      </c>
      <c r="BP395" s="527">
        <f t="shared" si="570"/>
        <v>-3249.9121911673683</v>
      </c>
      <c r="BQ395" s="527">
        <f t="shared" si="570"/>
        <v>-3249.9121911673683</v>
      </c>
      <c r="BR395" s="527">
        <f t="shared" si="570"/>
        <v>-3249.9121911673683</v>
      </c>
      <c r="BS395" s="527">
        <f t="shared" si="570"/>
        <v>-3249.9121911673683</v>
      </c>
      <c r="BT395" s="527">
        <f t="shared" si="570"/>
        <v>-3249.9121911673683</v>
      </c>
      <c r="BU395" s="527">
        <f t="shared" si="570"/>
        <v>-3249.9121911673683</v>
      </c>
      <c r="BV395" s="527">
        <f t="shared" si="570"/>
        <v>-3249.9121911673683</v>
      </c>
      <c r="BW395" s="527">
        <f t="shared" si="570"/>
        <v>-3249.9121911673683</v>
      </c>
      <c r="BX395" s="527">
        <f t="shared" si="570"/>
        <v>-3249.9121911673683</v>
      </c>
      <c r="BY395" s="527">
        <f t="shared" si="570"/>
        <v>-3249.9121911673683</v>
      </c>
    </row>
    <row r="396" spans="1:77" x14ac:dyDescent="0.3">
      <c r="A396" s="551"/>
      <c r="B396" s="548"/>
      <c r="C396" s="525"/>
      <c r="D396" s="525"/>
      <c r="E396" s="639" t="str">
        <f>"R&amp;M: "&amp;E$157</f>
        <v>R&amp;M: FY29 Tranche</v>
      </c>
      <c r="F396" s="525"/>
      <c r="G396" s="525"/>
      <c r="H396" s="525"/>
      <c r="I396" s="525"/>
      <c r="J396" s="525"/>
      <c r="K396" s="525"/>
      <c r="L396" s="525"/>
      <c r="M396" s="525"/>
      <c r="N396" s="525"/>
      <c r="O396" s="525"/>
      <c r="P396" s="565"/>
      <c r="Q396" s="525"/>
      <c r="R396" s="527">
        <f t="shared" ref="R396:AW396" si="571">R$611*$R157</f>
        <v>-3002.4165127977794</v>
      </c>
      <c r="S396" s="527">
        <f t="shared" si="571"/>
        <v>-3002.4165127977794</v>
      </c>
      <c r="T396" s="527">
        <f t="shared" si="571"/>
        <v>-3002.4165127977794</v>
      </c>
      <c r="U396" s="527">
        <f t="shared" si="571"/>
        <v>-3002.4165127977794</v>
      </c>
      <c r="V396" s="527">
        <f t="shared" si="571"/>
        <v>-3002.4165127977794</v>
      </c>
      <c r="W396" s="527">
        <f t="shared" si="571"/>
        <v>-3002.4165127977794</v>
      </c>
      <c r="X396" s="527">
        <f t="shared" si="571"/>
        <v>-3002.4165127977794</v>
      </c>
      <c r="Y396" s="527">
        <f t="shared" si="571"/>
        <v>-3002.4165127977794</v>
      </c>
      <c r="Z396" s="527">
        <f t="shared" si="571"/>
        <v>-3002.4165127977794</v>
      </c>
      <c r="AA396" s="527">
        <f t="shared" si="571"/>
        <v>-3002.4165127977794</v>
      </c>
      <c r="AB396" s="527">
        <f t="shared" si="571"/>
        <v>-3002.4165127977794</v>
      </c>
      <c r="AC396" s="527">
        <f t="shared" si="571"/>
        <v>-3002.4165127977794</v>
      </c>
      <c r="AD396" s="527">
        <f t="shared" si="571"/>
        <v>-3062.464843053735</v>
      </c>
      <c r="AE396" s="527">
        <f t="shared" si="571"/>
        <v>-3062.464843053735</v>
      </c>
      <c r="AF396" s="527">
        <f t="shared" si="571"/>
        <v>-3062.464843053735</v>
      </c>
      <c r="AG396" s="527">
        <f t="shared" si="571"/>
        <v>-3062.464843053735</v>
      </c>
      <c r="AH396" s="527">
        <f t="shared" si="571"/>
        <v>-3062.464843053735</v>
      </c>
      <c r="AI396" s="527">
        <f t="shared" si="571"/>
        <v>-3062.464843053735</v>
      </c>
      <c r="AJ396" s="527">
        <f t="shared" si="571"/>
        <v>-3062.464843053735</v>
      </c>
      <c r="AK396" s="527">
        <f t="shared" si="571"/>
        <v>-3062.464843053735</v>
      </c>
      <c r="AL396" s="527">
        <f t="shared" si="571"/>
        <v>-3062.464843053735</v>
      </c>
      <c r="AM396" s="527">
        <f t="shared" si="571"/>
        <v>-3062.464843053735</v>
      </c>
      <c r="AN396" s="527">
        <f t="shared" si="571"/>
        <v>-3062.464843053735</v>
      </c>
      <c r="AO396" s="527">
        <f t="shared" si="571"/>
        <v>-3062.464843053735</v>
      </c>
      <c r="AP396" s="527">
        <f t="shared" si="571"/>
        <v>-3123.7141399148099</v>
      </c>
      <c r="AQ396" s="527">
        <f t="shared" si="571"/>
        <v>-3123.7141399148099</v>
      </c>
      <c r="AR396" s="527">
        <f t="shared" si="571"/>
        <v>-3123.7141399148099</v>
      </c>
      <c r="AS396" s="527">
        <f t="shared" si="571"/>
        <v>-3123.7141399148099</v>
      </c>
      <c r="AT396" s="527">
        <f t="shared" si="571"/>
        <v>-3123.7141399148099</v>
      </c>
      <c r="AU396" s="527">
        <f t="shared" si="571"/>
        <v>-3123.7141399148099</v>
      </c>
      <c r="AV396" s="527">
        <f t="shared" si="571"/>
        <v>-3123.7141399148099</v>
      </c>
      <c r="AW396" s="527">
        <f t="shared" si="571"/>
        <v>-3123.7141399148099</v>
      </c>
      <c r="AX396" s="527">
        <f t="shared" ref="AX396:BY396" si="572">AX$611*$R157</f>
        <v>-3123.7141399148099</v>
      </c>
      <c r="AY396" s="527">
        <f t="shared" si="572"/>
        <v>-3123.7141399148099</v>
      </c>
      <c r="AZ396" s="527">
        <f t="shared" si="572"/>
        <v>-3123.7141399148099</v>
      </c>
      <c r="BA396" s="527">
        <f t="shared" si="572"/>
        <v>-3123.7141399148099</v>
      </c>
      <c r="BB396" s="527">
        <f t="shared" si="572"/>
        <v>-3186.1884227131063</v>
      </c>
      <c r="BC396" s="527">
        <f t="shared" si="572"/>
        <v>-3186.1884227131063</v>
      </c>
      <c r="BD396" s="527">
        <f t="shared" si="572"/>
        <v>-3186.1884227131063</v>
      </c>
      <c r="BE396" s="527">
        <f t="shared" si="572"/>
        <v>-3186.1884227131063</v>
      </c>
      <c r="BF396" s="527">
        <f t="shared" si="572"/>
        <v>-3186.1884227131063</v>
      </c>
      <c r="BG396" s="527">
        <f t="shared" si="572"/>
        <v>-3186.1884227131063</v>
      </c>
      <c r="BH396" s="527">
        <f t="shared" si="572"/>
        <v>-3186.1884227131063</v>
      </c>
      <c r="BI396" s="527">
        <f t="shared" si="572"/>
        <v>-3186.1884227131063</v>
      </c>
      <c r="BJ396" s="527">
        <f t="shared" si="572"/>
        <v>-3186.1884227131063</v>
      </c>
      <c r="BK396" s="527">
        <f t="shared" si="572"/>
        <v>-3186.1884227131063</v>
      </c>
      <c r="BL396" s="527">
        <f t="shared" si="572"/>
        <v>-3186.1884227131063</v>
      </c>
      <c r="BM396" s="527">
        <f t="shared" si="572"/>
        <v>-3186.1884227131063</v>
      </c>
      <c r="BN396" s="527">
        <f t="shared" si="572"/>
        <v>-3249.9121911673683</v>
      </c>
      <c r="BO396" s="527">
        <f t="shared" si="572"/>
        <v>-3249.9121911673683</v>
      </c>
      <c r="BP396" s="527">
        <f t="shared" si="572"/>
        <v>-3249.9121911673683</v>
      </c>
      <c r="BQ396" s="527">
        <f t="shared" si="572"/>
        <v>-3249.9121911673683</v>
      </c>
      <c r="BR396" s="527">
        <f t="shared" si="572"/>
        <v>-3249.9121911673683</v>
      </c>
      <c r="BS396" s="527">
        <f t="shared" si="572"/>
        <v>-3249.9121911673683</v>
      </c>
      <c r="BT396" s="527">
        <f t="shared" si="572"/>
        <v>-3249.9121911673683</v>
      </c>
      <c r="BU396" s="527">
        <f t="shared" si="572"/>
        <v>-3249.9121911673683</v>
      </c>
      <c r="BV396" s="527">
        <f t="shared" si="572"/>
        <v>-3249.9121911673683</v>
      </c>
      <c r="BW396" s="527">
        <f t="shared" si="572"/>
        <v>-3249.9121911673683</v>
      </c>
      <c r="BX396" s="527">
        <f t="shared" si="572"/>
        <v>-3249.9121911673683</v>
      </c>
      <c r="BY396" s="527">
        <f t="shared" si="572"/>
        <v>-3249.9121911673683</v>
      </c>
    </row>
    <row r="397" spans="1:77" x14ac:dyDescent="0.3">
      <c r="A397" s="551"/>
      <c r="B397" s="548"/>
      <c r="C397" s="525"/>
      <c r="D397" s="525"/>
      <c r="E397" s="639" t="str">
        <f>"R&amp;M: "&amp;E$158</f>
        <v>R&amp;M: FY30 Tranche</v>
      </c>
      <c r="F397" s="525"/>
      <c r="G397" s="525"/>
      <c r="H397" s="525"/>
      <c r="I397" s="525"/>
      <c r="J397" s="525"/>
      <c r="K397" s="525"/>
      <c r="L397" s="525"/>
      <c r="M397" s="525"/>
      <c r="N397" s="525"/>
      <c r="O397" s="525"/>
      <c r="P397" s="565"/>
      <c r="Q397" s="525"/>
      <c r="R397" s="527">
        <f t="shared" ref="R397:AW397" si="573">R$611*$R158</f>
        <v>-3002.4165127977794</v>
      </c>
      <c r="S397" s="527">
        <f t="shared" si="573"/>
        <v>-3002.4165127977794</v>
      </c>
      <c r="T397" s="527">
        <f t="shared" si="573"/>
        <v>-3002.4165127977794</v>
      </c>
      <c r="U397" s="527">
        <f t="shared" si="573"/>
        <v>-3002.4165127977794</v>
      </c>
      <c r="V397" s="527">
        <f t="shared" si="573"/>
        <v>-3002.4165127977794</v>
      </c>
      <c r="W397" s="527">
        <f t="shared" si="573"/>
        <v>-3002.4165127977794</v>
      </c>
      <c r="X397" s="527">
        <f t="shared" si="573"/>
        <v>-3002.4165127977794</v>
      </c>
      <c r="Y397" s="527">
        <f t="shared" si="573"/>
        <v>-3002.4165127977794</v>
      </c>
      <c r="Z397" s="527">
        <f t="shared" si="573"/>
        <v>-3002.4165127977794</v>
      </c>
      <c r="AA397" s="527">
        <f t="shared" si="573"/>
        <v>-3002.4165127977794</v>
      </c>
      <c r="AB397" s="527">
        <f t="shared" si="573"/>
        <v>-3002.4165127977794</v>
      </c>
      <c r="AC397" s="527">
        <f t="shared" si="573"/>
        <v>-3002.4165127977794</v>
      </c>
      <c r="AD397" s="527">
        <f t="shared" si="573"/>
        <v>-3062.464843053735</v>
      </c>
      <c r="AE397" s="527">
        <f t="shared" si="573"/>
        <v>-3062.464843053735</v>
      </c>
      <c r="AF397" s="527">
        <f t="shared" si="573"/>
        <v>-3062.464843053735</v>
      </c>
      <c r="AG397" s="527">
        <f t="shared" si="573"/>
        <v>-3062.464843053735</v>
      </c>
      <c r="AH397" s="527">
        <f t="shared" si="573"/>
        <v>-3062.464843053735</v>
      </c>
      <c r="AI397" s="527">
        <f t="shared" si="573"/>
        <v>-3062.464843053735</v>
      </c>
      <c r="AJ397" s="527">
        <f t="shared" si="573"/>
        <v>-3062.464843053735</v>
      </c>
      <c r="AK397" s="527">
        <f t="shared" si="573"/>
        <v>-3062.464843053735</v>
      </c>
      <c r="AL397" s="527">
        <f t="shared" si="573"/>
        <v>-3062.464843053735</v>
      </c>
      <c r="AM397" s="527">
        <f t="shared" si="573"/>
        <v>-3062.464843053735</v>
      </c>
      <c r="AN397" s="527">
        <f t="shared" si="573"/>
        <v>-3062.464843053735</v>
      </c>
      <c r="AO397" s="527">
        <f t="shared" si="573"/>
        <v>-3062.464843053735</v>
      </c>
      <c r="AP397" s="527">
        <f t="shared" si="573"/>
        <v>-3123.7141399148099</v>
      </c>
      <c r="AQ397" s="527">
        <f t="shared" si="573"/>
        <v>-3123.7141399148099</v>
      </c>
      <c r="AR397" s="527">
        <f t="shared" si="573"/>
        <v>-3123.7141399148099</v>
      </c>
      <c r="AS397" s="527">
        <f t="shared" si="573"/>
        <v>-3123.7141399148099</v>
      </c>
      <c r="AT397" s="527">
        <f t="shared" si="573"/>
        <v>-3123.7141399148099</v>
      </c>
      <c r="AU397" s="527">
        <f t="shared" si="573"/>
        <v>-3123.7141399148099</v>
      </c>
      <c r="AV397" s="527">
        <f t="shared" si="573"/>
        <v>-3123.7141399148099</v>
      </c>
      <c r="AW397" s="527">
        <f t="shared" si="573"/>
        <v>-3123.7141399148099</v>
      </c>
      <c r="AX397" s="527">
        <f t="shared" ref="AX397:BY397" si="574">AX$611*$R158</f>
        <v>-3123.7141399148099</v>
      </c>
      <c r="AY397" s="527">
        <f t="shared" si="574"/>
        <v>-3123.7141399148099</v>
      </c>
      <c r="AZ397" s="527">
        <f t="shared" si="574"/>
        <v>-3123.7141399148099</v>
      </c>
      <c r="BA397" s="527">
        <f t="shared" si="574"/>
        <v>-3123.7141399148099</v>
      </c>
      <c r="BB397" s="527">
        <f t="shared" si="574"/>
        <v>-3186.1884227131063</v>
      </c>
      <c r="BC397" s="527">
        <f t="shared" si="574"/>
        <v>-3186.1884227131063</v>
      </c>
      <c r="BD397" s="527">
        <f t="shared" si="574"/>
        <v>-3186.1884227131063</v>
      </c>
      <c r="BE397" s="527">
        <f t="shared" si="574"/>
        <v>-3186.1884227131063</v>
      </c>
      <c r="BF397" s="527">
        <f t="shared" si="574"/>
        <v>-3186.1884227131063</v>
      </c>
      <c r="BG397" s="527">
        <f t="shared" si="574"/>
        <v>-3186.1884227131063</v>
      </c>
      <c r="BH397" s="527">
        <f t="shared" si="574"/>
        <v>-3186.1884227131063</v>
      </c>
      <c r="BI397" s="527">
        <f t="shared" si="574"/>
        <v>-3186.1884227131063</v>
      </c>
      <c r="BJ397" s="527">
        <f t="shared" si="574"/>
        <v>-3186.1884227131063</v>
      </c>
      <c r="BK397" s="527">
        <f t="shared" si="574"/>
        <v>-3186.1884227131063</v>
      </c>
      <c r="BL397" s="527">
        <f t="shared" si="574"/>
        <v>-3186.1884227131063</v>
      </c>
      <c r="BM397" s="527">
        <f t="shared" si="574"/>
        <v>-3186.1884227131063</v>
      </c>
      <c r="BN397" s="527">
        <f t="shared" si="574"/>
        <v>-3249.9121911673683</v>
      </c>
      <c r="BO397" s="527">
        <f t="shared" si="574"/>
        <v>-3249.9121911673683</v>
      </c>
      <c r="BP397" s="527">
        <f t="shared" si="574"/>
        <v>-3249.9121911673683</v>
      </c>
      <c r="BQ397" s="527">
        <f t="shared" si="574"/>
        <v>-3249.9121911673683</v>
      </c>
      <c r="BR397" s="527">
        <f t="shared" si="574"/>
        <v>-3249.9121911673683</v>
      </c>
      <c r="BS397" s="527">
        <f t="shared" si="574"/>
        <v>-3249.9121911673683</v>
      </c>
      <c r="BT397" s="527">
        <f t="shared" si="574"/>
        <v>-3249.9121911673683</v>
      </c>
      <c r="BU397" s="527">
        <f t="shared" si="574"/>
        <v>-3249.9121911673683</v>
      </c>
      <c r="BV397" s="527">
        <f t="shared" si="574"/>
        <v>-3249.9121911673683</v>
      </c>
      <c r="BW397" s="527">
        <f t="shared" si="574"/>
        <v>-3249.9121911673683</v>
      </c>
      <c r="BX397" s="527">
        <f t="shared" si="574"/>
        <v>-3249.9121911673683</v>
      </c>
      <c r="BY397" s="527">
        <f t="shared" si="574"/>
        <v>-3249.9121911673683</v>
      </c>
    </row>
    <row r="398" spans="1:77" x14ac:dyDescent="0.3">
      <c r="A398" s="551"/>
      <c r="B398" s="548"/>
      <c r="C398" s="525"/>
      <c r="D398" s="525"/>
      <c r="E398" s="639" t="str">
        <f>"R&amp;M: "&amp;E$159</f>
        <v>R&amp;M: FY31 Tranche</v>
      </c>
      <c r="F398" s="525"/>
      <c r="G398" s="525"/>
      <c r="H398" s="525"/>
      <c r="I398" s="525"/>
      <c r="J398" s="525"/>
      <c r="K398" s="525"/>
      <c r="L398" s="525"/>
      <c r="M398" s="525"/>
      <c r="N398" s="525"/>
      <c r="O398" s="525"/>
      <c r="P398" s="565"/>
      <c r="Q398" s="525"/>
      <c r="R398" s="527">
        <f t="shared" ref="R398:AW398" si="575">R$611*$R159</f>
        <v>-3002.4165127977794</v>
      </c>
      <c r="S398" s="527">
        <f t="shared" si="575"/>
        <v>-3002.4165127977794</v>
      </c>
      <c r="T398" s="527">
        <f t="shared" si="575"/>
        <v>-3002.4165127977794</v>
      </c>
      <c r="U398" s="527">
        <f t="shared" si="575"/>
        <v>-3002.4165127977794</v>
      </c>
      <c r="V398" s="527">
        <f t="shared" si="575"/>
        <v>-3002.4165127977794</v>
      </c>
      <c r="W398" s="527">
        <f t="shared" si="575"/>
        <v>-3002.4165127977794</v>
      </c>
      <c r="X398" s="527">
        <f t="shared" si="575"/>
        <v>-3002.4165127977794</v>
      </c>
      <c r="Y398" s="527">
        <f t="shared" si="575"/>
        <v>-3002.4165127977794</v>
      </c>
      <c r="Z398" s="527">
        <f t="shared" si="575"/>
        <v>-3002.4165127977794</v>
      </c>
      <c r="AA398" s="527">
        <f t="shared" si="575"/>
        <v>-3002.4165127977794</v>
      </c>
      <c r="AB398" s="527">
        <f t="shared" si="575"/>
        <v>-3002.4165127977794</v>
      </c>
      <c r="AC398" s="527">
        <f t="shared" si="575"/>
        <v>-3002.4165127977794</v>
      </c>
      <c r="AD398" s="527">
        <f t="shared" si="575"/>
        <v>-3062.464843053735</v>
      </c>
      <c r="AE398" s="527">
        <f t="shared" si="575"/>
        <v>-3062.464843053735</v>
      </c>
      <c r="AF398" s="527">
        <f t="shared" si="575"/>
        <v>-3062.464843053735</v>
      </c>
      <c r="AG398" s="527">
        <f t="shared" si="575"/>
        <v>-3062.464843053735</v>
      </c>
      <c r="AH398" s="527">
        <f t="shared" si="575"/>
        <v>-3062.464843053735</v>
      </c>
      <c r="AI398" s="527">
        <f t="shared" si="575"/>
        <v>-3062.464843053735</v>
      </c>
      <c r="AJ398" s="527">
        <f t="shared" si="575"/>
        <v>-3062.464843053735</v>
      </c>
      <c r="AK398" s="527">
        <f t="shared" si="575"/>
        <v>-3062.464843053735</v>
      </c>
      <c r="AL398" s="527">
        <f t="shared" si="575"/>
        <v>-3062.464843053735</v>
      </c>
      <c r="AM398" s="527">
        <f t="shared" si="575"/>
        <v>-3062.464843053735</v>
      </c>
      <c r="AN398" s="527">
        <f t="shared" si="575"/>
        <v>-3062.464843053735</v>
      </c>
      <c r="AO398" s="527">
        <f t="shared" si="575"/>
        <v>-3062.464843053735</v>
      </c>
      <c r="AP398" s="527">
        <f t="shared" si="575"/>
        <v>-3123.7141399148099</v>
      </c>
      <c r="AQ398" s="527">
        <f t="shared" si="575"/>
        <v>-3123.7141399148099</v>
      </c>
      <c r="AR398" s="527">
        <f t="shared" si="575"/>
        <v>-3123.7141399148099</v>
      </c>
      <c r="AS398" s="527">
        <f t="shared" si="575"/>
        <v>-3123.7141399148099</v>
      </c>
      <c r="AT398" s="527">
        <f t="shared" si="575"/>
        <v>-3123.7141399148099</v>
      </c>
      <c r="AU398" s="527">
        <f t="shared" si="575"/>
        <v>-3123.7141399148099</v>
      </c>
      <c r="AV398" s="527">
        <f t="shared" si="575"/>
        <v>-3123.7141399148099</v>
      </c>
      <c r="AW398" s="527">
        <f t="shared" si="575"/>
        <v>-3123.7141399148099</v>
      </c>
      <c r="AX398" s="527">
        <f t="shared" ref="AX398:BY398" si="576">AX$611*$R159</f>
        <v>-3123.7141399148099</v>
      </c>
      <c r="AY398" s="527">
        <f t="shared" si="576"/>
        <v>-3123.7141399148099</v>
      </c>
      <c r="AZ398" s="527">
        <f t="shared" si="576"/>
        <v>-3123.7141399148099</v>
      </c>
      <c r="BA398" s="527">
        <f t="shared" si="576"/>
        <v>-3123.7141399148099</v>
      </c>
      <c r="BB398" s="527">
        <f t="shared" si="576"/>
        <v>-3186.1884227131063</v>
      </c>
      <c r="BC398" s="527">
        <f t="shared" si="576"/>
        <v>-3186.1884227131063</v>
      </c>
      <c r="BD398" s="527">
        <f t="shared" si="576"/>
        <v>-3186.1884227131063</v>
      </c>
      <c r="BE398" s="527">
        <f t="shared" si="576"/>
        <v>-3186.1884227131063</v>
      </c>
      <c r="BF398" s="527">
        <f t="shared" si="576"/>
        <v>-3186.1884227131063</v>
      </c>
      <c r="BG398" s="527">
        <f t="shared" si="576"/>
        <v>-3186.1884227131063</v>
      </c>
      <c r="BH398" s="527">
        <f t="shared" si="576"/>
        <v>-3186.1884227131063</v>
      </c>
      <c r="BI398" s="527">
        <f t="shared" si="576"/>
        <v>-3186.1884227131063</v>
      </c>
      <c r="BJ398" s="527">
        <f t="shared" si="576"/>
        <v>-3186.1884227131063</v>
      </c>
      <c r="BK398" s="527">
        <f t="shared" si="576"/>
        <v>-3186.1884227131063</v>
      </c>
      <c r="BL398" s="527">
        <f t="shared" si="576"/>
        <v>-3186.1884227131063</v>
      </c>
      <c r="BM398" s="527">
        <f t="shared" si="576"/>
        <v>-3186.1884227131063</v>
      </c>
      <c r="BN398" s="527">
        <f t="shared" si="576"/>
        <v>-3249.9121911673683</v>
      </c>
      <c r="BO398" s="527">
        <f t="shared" si="576"/>
        <v>-3249.9121911673683</v>
      </c>
      <c r="BP398" s="527">
        <f t="shared" si="576"/>
        <v>-3249.9121911673683</v>
      </c>
      <c r="BQ398" s="527">
        <f t="shared" si="576"/>
        <v>-3249.9121911673683</v>
      </c>
      <c r="BR398" s="527">
        <f t="shared" si="576"/>
        <v>-3249.9121911673683</v>
      </c>
      <c r="BS398" s="527">
        <f t="shared" si="576"/>
        <v>-3249.9121911673683</v>
      </c>
      <c r="BT398" s="527">
        <f t="shared" si="576"/>
        <v>-3249.9121911673683</v>
      </c>
      <c r="BU398" s="527">
        <f t="shared" si="576"/>
        <v>-3249.9121911673683</v>
      </c>
      <c r="BV398" s="527">
        <f t="shared" si="576"/>
        <v>-3249.9121911673683</v>
      </c>
      <c r="BW398" s="527">
        <f t="shared" si="576"/>
        <v>-3249.9121911673683</v>
      </c>
      <c r="BX398" s="527">
        <f t="shared" si="576"/>
        <v>-3249.9121911673683</v>
      </c>
      <c r="BY398" s="527">
        <f t="shared" si="576"/>
        <v>-3249.9121911673683</v>
      </c>
    </row>
    <row r="399" spans="1:77" x14ac:dyDescent="0.3">
      <c r="A399" s="551"/>
      <c r="B399" s="548"/>
      <c r="C399" s="525"/>
      <c r="D399" s="525"/>
      <c r="E399" s="639" t="str">
        <f>"R&amp;M: "&amp;E$160</f>
        <v>R&amp;M: Uninvested Tranche</v>
      </c>
      <c r="F399" s="525"/>
      <c r="G399" s="525"/>
      <c r="H399" s="525"/>
      <c r="I399" s="525"/>
      <c r="J399" s="525"/>
      <c r="K399" s="525"/>
      <c r="L399" s="525"/>
      <c r="M399" s="525"/>
      <c r="N399" s="525"/>
      <c r="O399" s="525"/>
      <c r="P399" s="565"/>
      <c r="Q399" s="525"/>
      <c r="R399" s="527">
        <f t="shared" ref="R399:AW399" si="577">R$611*$R160</f>
        <v>-6567.7861217451427</v>
      </c>
      <c r="S399" s="527">
        <f t="shared" si="577"/>
        <v>-6567.7861217451427</v>
      </c>
      <c r="T399" s="527">
        <f t="shared" si="577"/>
        <v>-6567.7861217451427</v>
      </c>
      <c r="U399" s="527">
        <f t="shared" si="577"/>
        <v>-6567.7861217451427</v>
      </c>
      <c r="V399" s="527">
        <f t="shared" si="577"/>
        <v>-6567.7861217451427</v>
      </c>
      <c r="W399" s="527">
        <f t="shared" si="577"/>
        <v>-6567.7861217451427</v>
      </c>
      <c r="X399" s="527">
        <f t="shared" si="577"/>
        <v>-6567.7861217451427</v>
      </c>
      <c r="Y399" s="527">
        <f t="shared" si="577"/>
        <v>-6567.7861217451427</v>
      </c>
      <c r="Z399" s="527">
        <f t="shared" si="577"/>
        <v>-6567.7861217451427</v>
      </c>
      <c r="AA399" s="527">
        <f t="shared" si="577"/>
        <v>-6567.7861217451427</v>
      </c>
      <c r="AB399" s="527">
        <f t="shared" si="577"/>
        <v>-6567.7861217451427</v>
      </c>
      <c r="AC399" s="527">
        <f t="shared" si="577"/>
        <v>-6567.7861217451427</v>
      </c>
      <c r="AD399" s="527">
        <f t="shared" si="577"/>
        <v>-6699.1418441800452</v>
      </c>
      <c r="AE399" s="527">
        <f t="shared" si="577"/>
        <v>-6699.1418441800452</v>
      </c>
      <c r="AF399" s="527">
        <f t="shared" si="577"/>
        <v>-6699.1418441800452</v>
      </c>
      <c r="AG399" s="527">
        <f t="shared" si="577"/>
        <v>-6699.1418441800452</v>
      </c>
      <c r="AH399" s="527">
        <f t="shared" si="577"/>
        <v>-6699.1418441800452</v>
      </c>
      <c r="AI399" s="527">
        <f t="shared" si="577"/>
        <v>-6699.1418441800452</v>
      </c>
      <c r="AJ399" s="527">
        <f t="shared" si="577"/>
        <v>-6699.1418441800452</v>
      </c>
      <c r="AK399" s="527">
        <f t="shared" si="577"/>
        <v>-6699.1418441800452</v>
      </c>
      <c r="AL399" s="527">
        <f t="shared" si="577"/>
        <v>-6699.1418441800452</v>
      </c>
      <c r="AM399" s="527">
        <f t="shared" si="577"/>
        <v>-6699.1418441800452</v>
      </c>
      <c r="AN399" s="527">
        <f t="shared" si="577"/>
        <v>-6699.1418441800452</v>
      </c>
      <c r="AO399" s="527">
        <f t="shared" si="577"/>
        <v>-6699.1418441800452</v>
      </c>
      <c r="AP399" s="527">
        <f t="shared" si="577"/>
        <v>-6833.1246810636467</v>
      </c>
      <c r="AQ399" s="527">
        <f t="shared" si="577"/>
        <v>-6833.1246810636467</v>
      </c>
      <c r="AR399" s="527">
        <f t="shared" si="577"/>
        <v>-6833.1246810636467</v>
      </c>
      <c r="AS399" s="527">
        <f t="shared" si="577"/>
        <v>-6833.1246810636467</v>
      </c>
      <c r="AT399" s="527">
        <f t="shared" si="577"/>
        <v>-6833.1246810636467</v>
      </c>
      <c r="AU399" s="527">
        <f t="shared" si="577"/>
        <v>-6833.1246810636467</v>
      </c>
      <c r="AV399" s="527">
        <f t="shared" si="577"/>
        <v>-6833.1246810636467</v>
      </c>
      <c r="AW399" s="527">
        <f t="shared" si="577"/>
        <v>-6833.1246810636467</v>
      </c>
      <c r="AX399" s="527">
        <f t="shared" ref="AX399:BY399" si="578">AX$611*$R160</f>
        <v>-6833.1246810636467</v>
      </c>
      <c r="AY399" s="527">
        <f t="shared" si="578"/>
        <v>-6833.1246810636467</v>
      </c>
      <c r="AZ399" s="527">
        <f t="shared" si="578"/>
        <v>-6833.1246810636467</v>
      </c>
      <c r="BA399" s="527">
        <f t="shared" si="578"/>
        <v>-6833.1246810636467</v>
      </c>
      <c r="BB399" s="527">
        <f t="shared" si="578"/>
        <v>-6969.7871746849205</v>
      </c>
      <c r="BC399" s="527">
        <f t="shared" si="578"/>
        <v>-6969.7871746849205</v>
      </c>
      <c r="BD399" s="527">
        <f t="shared" si="578"/>
        <v>-6969.7871746849205</v>
      </c>
      <c r="BE399" s="527">
        <f t="shared" si="578"/>
        <v>-6969.7871746849205</v>
      </c>
      <c r="BF399" s="527">
        <f t="shared" si="578"/>
        <v>-6969.7871746849205</v>
      </c>
      <c r="BG399" s="527">
        <f t="shared" si="578"/>
        <v>-6969.7871746849205</v>
      </c>
      <c r="BH399" s="527">
        <f t="shared" si="578"/>
        <v>-6969.7871746849205</v>
      </c>
      <c r="BI399" s="527">
        <f t="shared" si="578"/>
        <v>-6969.7871746849205</v>
      </c>
      <c r="BJ399" s="527">
        <f t="shared" si="578"/>
        <v>-6969.7871746849205</v>
      </c>
      <c r="BK399" s="527">
        <f t="shared" si="578"/>
        <v>-6969.7871746849205</v>
      </c>
      <c r="BL399" s="527">
        <f t="shared" si="578"/>
        <v>-6969.7871746849205</v>
      </c>
      <c r="BM399" s="527">
        <f t="shared" si="578"/>
        <v>-6969.7871746849205</v>
      </c>
      <c r="BN399" s="527">
        <f t="shared" si="578"/>
        <v>-7109.1829181786179</v>
      </c>
      <c r="BO399" s="527">
        <f t="shared" si="578"/>
        <v>-7109.1829181786179</v>
      </c>
      <c r="BP399" s="527">
        <f t="shared" si="578"/>
        <v>-7109.1829181786179</v>
      </c>
      <c r="BQ399" s="527">
        <f t="shared" si="578"/>
        <v>-7109.1829181786179</v>
      </c>
      <c r="BR399" s="527">
        <f t="shared" si="578"/>
        <v>-7109.1829181786179</v>
      </c>
      <c r="BS399" s="527">
        <f t="shared" si="578"/>
        <v>-7109.1829181786179</v>
      </c>
      <c r="BT399" s="527">
        <f t="shared" si="578"/>
        <v>-7109.1829181786179</v>
      </c>
      <c r="BU399" s="527">
        <f t="shared" si="578"/>
        <v>-7109.1829181786179</v>
      </c>
      <c r="BV399" s="527">
        <f t="shared" si="578"/>
        <v>-7109.1829181786179</v>
      </c>
      <c r="BW399" s="527">
        <f t="shared" si="578"/>
        <v>-7109.1829181786179</v>
      </c>
      <c r="BX399" s="527">
        <f t="shared" si="578"/>
        <v>-7109.1829181786179</v>
      </c>
      <c r="BY399" s="527">
        <f t="shared" si="578"/>
        <v>-7109.1829181786179</v>
      </c>
    </row>
    <row r="400" spans="1:77" x14ac:dyDescent="0.3">
      <c r="A400" s="551"/>
      <c r="B400" s="548"/>
      <c r="C400" s="525"/>
      <c r="D400" s="525"/>
      <c r="E400" s="572" t="s">
        <v>36</v>
      </c>
      <c r="F400" s="572"/>
      <c r="G400" s="572"/>
      <c r="H400" s="572"/>
      <c r="I400" s="572"/>
      <c r="J400" s="572"/>
      <c r="K400" s="572"/>
      <c r="L400" s="572"/>
      <c r="M400" s="572"/>
      <c r="N400" s="572"/>
      <c r="O400" s="572"/>
      <c r="P400" s="612"/>
      <c r="Q400" s="572"/>
      <c r="R400" s="530">
        <f t="shared" ref="R400:AW400" si="579">SUM(R394:R399)</f>
        <v>-21579.86868573404</v>
      </c>
      <c r="S400" s="530">
        <f t="shared" si="579"/>
        <v>-21579.86868573404</v>
      </c>
      <c r="T400" s="530">
        <f t="shared" si="579"/>
        <v>-21579.86868573404</v>
      </c>
      <c r="U400" s="530">
        <f t="shared" si="579"/>
        <v>-21579.86868573404</v>
      </c>
      <c r="V400" s="530">
        <f t="shared" si="579"/>
        <v>-21579.86868573404</v>
      </c>
      <c r="W400" s="530">
        <f t="shared" si="579"/>
        <v>-21579.86868573404</v>
      </c>
      <c r="X400" s="530">
        <f t="shared" si="579"/>
        <v>-21579.86868573404</v>
      </c>
      <c r="Y400" s="530">
        <f t="shared" si="579"/>
        <v>-21579.86868573404</v>
      </c>
      <c r="Z400" s="530">
        <f t="shared" si="579"/>
        <v>-21579.86868573404</v>
      </c>
      <c r="AA400" s="530">
        <f t="shared" si="579"/>
        <v>-21579.86868573404</v>
      </c>
      <c r="AB400" s="530">
        <f t="shared" si="579"/>
        <v>-21579.86868573404</v>
      </c>
      <c r="AC400" s="530">
        <f t="shared" si="579"/>
        <v>-21579.86868573404</v>
      </c>
      <c r="AD400" s="530">
        <f t="shared" si="579"/>
        <v>-22011.466059448721</v>
      </c>
      <c r="AE400" s="530">
        <f t="shared" si="579"/>
        <v>-22011.466059448721</v>
      </c>
      <c r="AF400" s="530">
        <f t="shared" si="579"/>
        <v>-22011.466059448721</v>
      </c>
      <c r="AG400" s="530">
        <f t="shared" si="579"/>
        <v>-22011.466059448721</v>
      </c>
      <c r="AH400" s="530">
        <f t="shared" si="579"/>
        <v>-22011.466059448721</v>
      </c>
      <c r="AI400" s="530">
        <f t="shared" si="579"/>
        <v>-22011.466059448721</v>
      </c>
      <c r="AJ400" s="530">
        <f t="shared" si="579"/>
        <v>-22011.466059448721</v>
      </c>
      <c r="AK400" s="530">
        <f t="shared" si="579"/>
        <v>-22011.466059448721</v>
      </c>
      <c r="AL400" s="530">
        <f t="shared" si="579"/>
        <v>-22011.466059448721</v>
      </c>
      <c r="AM400" s="530">
        <f t="shared" si="579"/>
        <v>-22011.466059448721</v>
      </c>
      <c r="AN400" s="530">
        <f t="shared" si="579"/>
        <v>-22011.466059448721</v>
      </c>
      <c r="AO400" s="530">
        <f t="shared" si="579"/>
        <v>-22011.466059448721</v>
      </c>
      <c r="AP400" s="530">
        <f t="shared" si="579"/>
        <v>-22451.695380637695</v>
      </c>
      <c r="AQ400" s="530">
        <f t="shared" si="579"/>
        <v>-22451.695380637695</v>
      </c>
      <c r="AR400" s="530">
        <f t="shared" si="579"/>
        <v>-22451.695380637695</v>
      </c>
      <c r="AS400" s="530">
        <f t="shared" si="579"/>
        <v>-22451.695380637695</v>
      </c>
      <c r="AT400" s="530">
        <f t="shared" si="579"/>
        <v>-22451.695380637695</v>
      </c>
      <c r="AU400" s="530">
        <f t="shared" si="579"/>
        <v>-22451.695380637695</v>
      </c>
      <c r="AV400" s="530">
        <f t="shared" si="579"/>
        <v>-22451.695380637695</v>
      </c>
      <c r="AW400" s="530">
        <f t="shared" si="579"/>
        <v>-22451.695380637695</v>
      </c>
      <c r="AX400" s="530">
        <f t="shared" ref="AX400:BY400" si="580">SUM(AX394:AX399)</f>
        <v>-22451.695380637695</v>
      </c>
      <c r="AY400" s="530">
        <f t="shared" si="580"/>
        <v>-22451.695380637695</v>
      </c>
      <c r="AZ400" s="530">
        <f t="shared" si="580"/>
        <v>-22451.695380637695</v>
      </c>
      <c r="BA400" s="530">
        <f t="shared" si="580"/>
        <v>-22451.695380637695</v>
      </c>
      <c r="BB400" s="530">
        <f t="shared" si="580"/>
        <v>-22900.729288250452</v>
      </c>
      <c r="BC400" s="530">
        <f t="shared" si="580"/>
        <v>-22900.729288250452</v>
      </c>
      <c r="BD400" s="530">
        <f t="shared" si="580"/>
        <v>-22900.729288250452</v>
      </c>
      <c r="BE400" s="530">
        <f t="shared" si="580"/>
        <v>-22900.729288250452</v>
      </c>
      <c r="BF400" s="530">
        <f t="shared" si="580"/>
        <v>-22900.729288250452</v>
      </c>
      <c r="BG400" s="530">
        <f t="shared" si="580"/>
        <v>-22900.729288250452</v>
      </c>
      <c r="BH400" s="530">
        <f t="shared" si="580"/>
        <v>-22900.729288250452</v>
      </c>
      <c r="BI400" s="530">
        <f t="shared" si="580"/>
        <v>-22900.729288250452</v>
      </c>
      <c r="BJ400" s="530">
        <f t="shared" si="580"/>
        <v>-22900.729288250452</v>
      </c>
      <c r="BK400" s="530">
        <f t="shared" si="580"/>
        <v>-22900.729288250452</v>
      </c>
      <c r="BL400" s="530">
        <f t="shared" si="580"/>
        <v>-22900.729288250452</v>
      </c>
      <c r="BM400" s="530">
        <f t="shared" si="580"/>
        <v>-22900.729288250452</v>
      </c>
      <c r="BN400" s="530">
        <f t="shared" si="580"/>
        <v>-23358.743874015461</v>
      </c>
      <c r="BO400" s="530">
        <f t="shared" si="580"/>
        <v>-23358.743874015461</v>
      </c>
      <c r="BP400" s="530">
        <f t="shared" si="580"/>
        <v>-23358.743874015461</v>
      </c>
      <c r="BQ400" s="530">
        <f t="shared" si="580"/>
        <v>-23358.743874015461</v>
      </c>
      <c r="BR400" s="530">
        <f t="shared" si="580"/>
        <v>-23358.743874015461</v>
      </c>
      <c r="BS400" s="530">
        <f t="shared" si="580"/>
        <v>-23358.743874015461</v>
      </c>
      <c r="BT400" s="530">
        <f t="shared" si="580"/>
        <v>-23358.743874015461</v>
      </c>
      <c r="BU400" s="530">
        <f t="shared" si="580"/>
        <v>-23358.743874015461</v>
      </c>
      <c r="BV400" s="530">
        <f t="shared" si="580"/>
        <v>-23358.743874015461</v>
      </c>
      <c r="BW400" s="530">
        <f t="shared" si="580"/>
        <v>-23358.743874015461</v>
      </c>
      <c r="BX400" s="530">
        <f t="shared" si="580"/>
        <v>-23358.743874015461</v>
      </c>
      <c r="BY400" s="530">
        <f t="shared" si="580"/>
        <v>-23358.743874015461</v>
      </c>
    </row>
    <row r="401" spans="1:77" x14ac:dyDescent="0.3">
      <c r="A401" s="551"/>
      <c r="B401" s="548"/>
      <c r="C401" s="525"/>
      <c r="D401" s="525"/>
      <c r="E401" s="525"/>
      <c r="F401" s="525"/>
      <c r="G401" s="525"/>
      <c r="H401" s="525"/>
      <c r="I401" s="525"/>
      <c r="J401" s="525"/>
      <c r="K401" s="525"/>
      <c r="L401" s="525"/>
      <c r="M401" s="525"/>
      <c r="N401" s="525"/>
      <c r="O401" s="525"/>
      <c r="P401" s="565"/>
      <c r="Q401" s="525"/>
      <c r="R401" s="525"/>
      <c r="S401" s="525"/>
      <c r="T401" s="525"/>
      <c r="U401" s="525"/>
      <c r="V401" s="525"/>
      <c r="W401" s="525"/>
      <c r="X401" s="525"/>
      <c r="Y401" s="525"/>
      <c r="Z401" s="525"/>
      <c r="AA401" s="525"/>
      <c r="AB401" s="525"/>
      <c r="AC401" s="525"/>
      <c r="AD401" s="525"/>
      <c r="AE401" s="525"/>
      <c r="AF401" s="525"/>
      <c r="AG401" s="525"/>
      <c r="AH401" s="525"/>
      <c r="AI401" s="525"/>
      <c r="AJ401" s="525"/>
      <c r="AK401" s="525"/>
      <c r="AL401" s="525"/>
      <c r="AM401" s="525"/>
      <c r="AN401" s="525"/>
      <c r="AO401" s="525"/>
      <c r="AP401" s="525"/>
      <c r="AQ401" s="525"/>
      <c r="AR401" s="525"/>
      <c r="AS401" s="525"/>
      <c r="AT401" s="525"/>
      <c r="AU401" s="525"/>
      <c r="AV401" s="525"/>
      <c r="AW401" s="525"/>
      <c r="AX401" s="525"/>
      <c r="AY401" s="525"/>
      <c r="AZ401" s="525"/>
      <c r="BA401" s="525"/>
      <c r="BB401" s="525"/>
      <c r="BC401" s="525"/>
      <c r="BD401" s="525"/>
      <c r="BE401" s="525"/>
      <c r="BF401" s="525"/>
      <c r="BG401" s="525"/>
      <c r="BH401" s="525"/>
      <c r="BI401" s="525"/>
      <c r="BJ401" s="525"/>
      <c r="BK401" s="525"/>
      <c r="BL401" s="525"/>
      <c r="BM401" s="525"/>
      <c r="BN401" s="525"/>
      <c r="BO401" s="525"/>
      <c r="BP401" s="525"/>
      <c r="BQ401" s="525"/>
      <c r="BR401" s="525"/>
      <c r="BS401" s="525"/>
      <c r="BT401" s="525"/>
      <c r="BU401" s="525"/>
      <c r="BV401" s="525"/>
      <c r="BW401" s="525"/>
      <c r="BX401" s="525"/>
      <c r="BY401" s="525"/>
    </row>
    <row r="402" spans="1:77" x14ac:dyDescent="0.3">
      <c r="A402" s="551"/>
      <c r="B402" s="548"/>
      <c r="C402" s="525"/>
      <c r="D402" s="525"/>
      <c r="E402" s="640" t="str">
        <f>"Marketing support: "&amp;E$155</f>
        <v>Marketing support: FY27 Tranche</v>
      </c>
      <c r="F402" s="525"/>
      <c r="G402" s="525"/>
      <c r="H402" s="525"/>
      <c r="I402" s="525"/>
      <c r="J402" s="525"/>
      <c r="K402" s="525"/>
      <c r="L402" s="525"/>
      <c r="M402" s="525"/>
      <c r="N402" s="525"/>
      <c r="O402" s="525"/>
      <c r="P402" s="565"/>
      <c r="Q402" s="525"/>
      <c r="R402" s="527">
        <f t="shared" ref="R402:AW402" si="581">R$612*$R155</f>
        <v>-261.80024003270626</v>
      </c>
      <c r="S402" s="527">
        <f t="shared" si="581"/>
        <v>-261.80024003270626</v>
      </c>
      <c r="T402" s="527">
        <f t="shared" si="581"/>
        <v>-261.80024003270626</v>
      </c>
      <c r="U402" s="527">
        <f t="shared" si="581"/>
        <v>-261.80024003270626</v>
      </c>
      <c r="V402" s="527">
        <f t="shared" si="581"/>
        <v>-261.80024003270626</v>
      </c>
      <c r="W402" s="527">
        <f t="shared" si="581"/>
        <v>-261.80024003270626</v>
      </c>
      <c r="X402" s="527">
        <f t="shared" si="581"/>
        <v>-261.80024003270626</v>
      </c>
      <c r="Y402" s="527">
        <f t="shared" si="581"/>
        <v>-261.80024003270626</v>
      </c>
      <c r="Z402" s="527">
        <f t="shared" si="581"/>
        <v>-261.80024003270626</v>
      </c>
      <c r="AA402" s="527">
        <f t="shared" si="581"/>
        <v>-261.80024003270626</v>
      </c>
      <c r="AB402" s="527">
        <f t="shared" si="581"/>
        <v>-261.80024003270626</v>
      </c>
      <c r="AC402" s="527">
        <f t="shared" si="581"/>
        <v>-261.80024003270626</v>
      </c>
      <c r="AD402" s="527">
        <f t="shared" si="581"/>
        <v>-267.0362448333604</v>
      </c>
      <c r="AE402" s="527">
        <f t="shared" si="581"/>
        <v>-267.0362448333604</v>
      </c>
      <c r="AF402" s="527">
        <f t="shared" si="581"/>
        <v>-267.0362448333604</v>
      </c>
      <c r="AG402" s="527">
        <f t="shared" si="581"/>
        <v>-267.0362448333604</v>
      </c>
      <c r="AH402" s="527">
        <f t="shared" si="581"/>
        <v>-267.0362448333604</v>
      </c>
      <c r="AI402" s="527">
        <f t="shared" si="581"/>
        <v>-267.0362448333604</v>
      </c>
      <c r="AJ402" s="527">
        <f t="shared" si="581"/>
        <v>-267.0362448333604</v>
      </c>
      <c r="AK402" s="527">
        <f t="shared" si="581"/>
        <v>-267.0362448333604</v>
      </c>
      <c r="AL402" s="527">
        <f t="shared" si="581"/>
        <v>-267.0362448333604</v>
      </c>
      <c r="AM402" s="527">
        <f t="shared" si="581"/>
        <v>-267.0362448333604</v>
      </c>
      <c r="AN402" s="527">
        <f t="shared" si="581"/>
        <v>-267.0362448333604</v>
      </c>
      <c r="AO402" s="527">
        <f t="shared" si="581"/>
        <v>-267.0362448333604</v>
      </c>
      <c r="AP402" s="527">
        <f t="shared" si="581"/>
        <v>-272.37696973002761</v>
      </c>
      <c r="AQ402" s="527">
        <f t="shared" si="581"/>
        <v>-272.37696973002761</v>
      </c>
      <c r="AR402" s="527">
        <f t="shared" si="581"/>
        <v>-272.37696973002761</v>
      </c>
      <c r="AS402" s="527">
        <f t="shared" si="581"/>
        <v>-272.37696973002761</v>
      </c>
      <c r="AT402" s="527">
        <f t="shared" si="581"/>
        <v>-272.37696973002761</v>
      </c>
      <c r="AU402" s="527">
        <f t="shared" si="581"/>
        <v>-272.37696973002761</v>
      </c>
      <c r="AV402" s="527">
        <f t="shared" si="581"/>
        <v>-272.37696973002761</v>
      </c>
      <c r="AW402" s="527">
        <f t="shared" si="581"/>
        <v>-272.37696973002761</v>
      </c>
      <c r="AX402" s="527">
        <f t="shared" ref="AX402:BY402" si="582">AX$612*$R155</f>
        <v>-272.37696973002761</v>
      </c>
      <c r="AY402" s="527">
        <f t="shared" si="582"/>
        <v>-272.37696973002761</v>
      </c>
      <c r="AZ402" s="527">
        <f t="shared" si="582"/>
        <v>-272.37696973002761</v>
      </c>
      <c r="BA402" s="527">
        <f t="shared" si="582"/>
        <v>-272.37696973002761</v>
      </c>
      <c r="BB402" s="527">
        <f t="shared" si="582"/>
        <v>-277.82450912462815</v>
      </c>
      <c r="BC402" s="527">
        <f t="shared" si="582"/>
        <v>-277.82450912462815</v>
      </c>
      <c r="BD402" s="527">
        <f t="shared" si="582"/>
        <v>-277.82450912462815</v>
      </c>
      <c r="BE402" s="527">
        <f t="shared" si="582"/>
        <v>-277.82450912462815</v>
      </c>
      <c r="BF402" s="527">
        <f t="shared" si="582"/>
        <v>-277.82450912462815</v>
      </c>
      <c r="BG402" s="527">
        <f t="shared" si="582"/>
        <v>-277.82450912462815</v>
      </c>
      <c r="BH402" s="527">
        <f t="shared" si="582"/>
        <v>-277.82450912462815</v>
      </c>
      <c r="BI402" s="527">
        <f t="shared" si="582"/>
        <v>-277.82450912462815</v>
      </c>
      <c r="BJ402" s="527">
        <f t="shared" si="582"/>
        <v>-277.82450912462815</v>
      </c>
      <c r="BK402" s="527">
        <f t="shared" si="582"/>
        <v>-277.82450912462815</v>
      </c>
      <c r="BL402" s="527">
        <f t="shared" si="582"/>
        <v>-277.82450912462815</v>
      </c>
      <c r="BM402" s="527">
        <f t="shared" si="582"/>
        <v>-277.82450912462815</v>
      </c>
      <c r="BN402" s="527">
        <f t="shared" si="582"/>
        <v>-283.3809993071207</v>
      </c>
      <c r="BO402" s="527">
        <f t="shared" si="582"/>
        <v>-283.3809993071207</v>
      </c>
      <c r="BP402" s="527">
        <f t="shared" si="582"/>
        <v>-283.3809993071207</v>
      </c>
      <c r="BQ402" s="527">
        <f t="shared" si="582"/>
        <v>-283.3809993071207</v>
      </c>
      <c r="BR402" s="527">
        <f t="shared" si="582"/>
        <v>-283.3809993071207</v>
      </c>
      <c r="BS402" s="527">
        <f t="shared" si="582"/>
        <v>-283.3809993071207</v>
      </c>
      <c r="BT402" s="527">
        <f t="shared" si="582"/>
        <v>-283.3809993071207</v>
      </c>
      <c r="BU402" s="527">
        <f t="shared" si="582"/>
        <v>-283.3809993071207</v>
      </c>
      <c r="BV402" s="527">
        <f t="shared" si="582"/>
        <v>-283.3809993071207</v>
      </c>
      <c r="BW402" s="527">
        <f t="shared" si="582"/>
        <v>-283.3809993071207</v>
      </c>
      <c r="BX402" s="527">
        <f t="shared" si="582"/>
        <v>-283.3809993071207</v>
      </c>
      <c r="BY402" s="527">
        <f t="shared" si="582"/>
        <v>-283.3809993071207</v>
      </c>
    </row>
    <row r="403" spans="1:77" x14ac:dyDescent="0.3">
      <c r="A403" s="551"/>
      <c r="B403" s="548"/>
      <c r="C403" s="525"/>
      <c r="D403" s="525"/>
      <c r="E403" s="640" t="str">
        <f>"Marketing support: "&amp;E$156</f>
        <v>Marketing support: FY28 Tranche</v>
      </c>
      <c r="F403" s="525"/>
      <c r="G403" s="525"/>
      <c r="H403" s="525"/>
      <c r="I403" s="525"/>
      <c r="J403" s="525"/>
      <c r="K403" s="525"/>
      <c r="L403" s="525"/>
      <c r="M403" s="525"/>
      <c r="N403" s="525"/>
      <c r="O403" s="525"/>
      <c r="P403" s="565"/>
      <c r="Q403" s="525"/>
      <c r="R403" s="527">
        <f t="shared" ref="R403:AW403" si="583">R$612*$R156</f>
        <v>-261.80024003270626</v>
      </c>
      <c r="S403" s="527">
        <f t="shared" si="583"/>
        <v>-261.80024003270626</v>
      </c>
      <c r="T403" s="527">
        <f t="shared" si="583"/>
        <v>-261.80024003270626</v>
      </c>
      <c r="U403" s="527">
        <f t="shared" si="583"/>
        <v>-261.80024003270626</v>
      </c>
      <c r="V403" s="527">
        <f t="shared" si="583"/>
        <v>-261.80024003270626</v>
      </c>
      <c r="W403" s="527">
        <f t="shared" si="583"/>
        <v>-261.80024003270626</v>
      </c>
      <c r="X403" s="527">
        <f t="shared" si="583"/>
        <v>-261.80024003270626</v>
      </c>
      <c r="Y403" s="527">
        <f t="shared" si="583"/>
        <v>-261.80024003270626</v>
      </c>
      <c r="Z403" s="527">
        <f t="shared" si="583"/>
        <v>-261.80024003270626</v>
      </c>
      <c r="AA403" s="527">
        <f t="shared" si="583"/>
        <v>-261.80024003270626</v>
      </c>
      <c r="AB403" s="527">
        <f t="shared" si="583"/>
        <v>-261.80024003270626</v>
      </c>
      <c r="AC403" s="527">
        <f t="shared" si="583"/>
        <v>-261.80024003270626</v>
      </c>
      <c r="AD403" s="527">
        <f t="shared" si="583"/>
        <v>-267.0362448333604</v>
      </c>
      <c r="AE403" s="527">
        <f t="shared" si="583"/>
        <v>-267.0362448333604</v>
      </c>
      <c r="AF403" s="527">
        <f t="shared" si="583"/>
        <v>-267.0362448333604</v>
      </c>
      <c r="AG403" s="527">
        <f t="shared" si="583"/>
        <v>-267.0362448333604</v>
      </c>
      <c r="AH403" s="527">
        <f t="shared" si="583"/>
        <v>-267.0362448333604</v>
      </c>
      <c r="AI403" s="527">
        <f t="shared" si="583"/>
        <v>-267.0362448333604</v>
      </c>
      <c r="AJ403" s="527">
        <f t="shared" si="583"/>
        <v>-267.0362448333604</v>
      </c>
      <c r="AK403" s="527">
        <f t="shared" si="583"/>
        <v>-267.0362448333604</v>
      </c>
      <c r="AL403" s="527">
        <f t="shared" si="583"/>
        <v>-267.0362448333604</v>
      </c>
      <c r="AM403" s="527">
        <f t="shared" si="583"/>
        <v>-267.0362448333604</v>
      </c>
      <c r="AN403" s="527">
        <f t="shared" si="583"/>
        <v>-267.0362448333604</v>
      </c>
      <c r="AO403" s="527">
        <f t="shared" si="583"/>
        <v>-267.0362448333604</v>
      </c>
      <c r="AP403" s="527">
        <f t="shared" si="583"/>
        <v>-272.37696973002761</v>
      </c>
      <c r="AQ403" s="527">
        <f t="shared" si="583"/>
        <v>-272.37696973002761</v>
      </c>
      <c r="AR403" s="527">
        <f t="shared" si="583"/>
        <v>-272.37696973002761</v>
      </c>
      <c r="AS403" s="527">
        <f t="shared" si="583"/>
        <v>-272.37696973002761</v>
      </c>
      <c r="AT403" s="527">
        <f t="shared" si="583"/>
        <v>-272.37696973002761</v>
      </c>
      <c r="AU403" s="527">
        <f t="shared" si="583"/>
        <v>-272.37696973002761</v>
      </c>
      <c r="AV403" s="527">
        <f t="shared" si="583"/>
        <v>-272.37696973002761</v>
      </c>
      <c r="AW403" s="527">
        <f t="shared" si="583"/>
        <v>-272.37696973002761</v>
      </c>
      <c r="AX403" s="527">
        <f t="shared" ref="AX403:BY403" si="584">AX$612*$R156</f>
        <v>-272.37696973002761</v>
      </c>
      <c r="AY403" s="527">
        <f t="shared" si="584"/>
        <v>-272.37696973002761</v>
      </c>
      <c r="AZ403" s="527">
        <f t="shared" si="584"/>
        <v>-272.37696973002761</v>
      </c>
      <c r="BA403" s="527">
        <f t="shared" si="584"/>
        <v>-272.37696973002761</v>
      </c>
      <c r="BB403" s="527">
        <f t="shared" si="584"/>
        <v>-277.82450912462815</v>
      </c>
      <c r="BC403" s="527">
        <f t="shared" si="584"/>
        <v>-277.82450912462815</v>
      </c>
      <c r="BD403" s="527">
        <f t="shared" si="584"/>
        <v>-277.82450912462815</v>
      </c>
      <c r="BE403" s="527">
        <f t="shared" si="584"/>
        <v>-277.82450912462815</v>
      </c>
      <c r="BF403" s="527">
        <f t="shared" si="584"/>
        <v>-277.82450912462815</v>
      </c>
      <c r="BG403" s="527">
        <f t="shared" si="584"/>
        <v>-277.82450912462815</v>
      </c>
      <c r="BH403" s="527">
        <f t="shared" si="584"/>
        <v>-277.82450912462815</v>
      </c>
      <c r="BI403" s="527">
        <f t="shared" si="584"/>
        <v>-277.82450912462815</v>
      </c>
      <c r="BJ403" s="527">
        <f t="shared" si="584"/>
        <v>-277.82450912462815</v>
      </c>
      <c r="BK403" s="527">
        <f t="shared" si="584"/>
        <v>-277.82450912462815</v>
      </c>
      <c r="BL403" s="527">
        <f t="shared" si="584"/>
        <v>-277.82450912462815</v>
      </c>
      <c r="BM403" s="527">
        <f t="shared" si="584"/>
        <v>-277.82450912462815</v>
      </c>
      <c r="BN403" s="527">
        <f t="shared" si="584"/>
        <v>-283.3809993071207</v>
      </c>
      <c r="BO403" s="527">
        <f t="shared" si="584"/>
        <v>-283.3809993071207</v>
      </c>
      <c r="BP403" s="527">
        <f t="shared" si="584"/>
        <v>-283.3809993071207</v>
      </c>
      <c r="BQ403" s="527">
        <f t="shared" si="584"/>
        <v>-283.3809993071207</v>
      </c>
      <c r="BR403" s="527">
        <f t="shared" si="584"/>
        <v>-283.3809993071207</v>
      </c>
      <c r="BS403" s="527">
        <f t="shared" si="584"/>
        <v>-283.3809993071207</v>
      </c>
      <c r="BT403" s="527">
        <f t="shared" si="584"/>
        <v>-283.3809993071207</v>
      </c>
      <c r="BU403" s="527">
        <f t="shared" si="584"/>
        <v>-283.3809993071207</v>
      </c>
      <c r="BV403" s="527">
        <f t="shared" si="584"/>
        <v>-283.3809993071207</v>
      </c>
      <c r="BW403" s="527">
        <f t="shared" si="584"/>
        <v>-283.3809993071207</v>
      </c>
      <c r="BX403" s="527">
        <f t="shared" si="584"/>
        <v>-283.3809993071207</v>
      </c>
      <c r="BY403" s="527">
        <f t="shared" si="584"/>
        <v>-283.3809993071207</v>
      </c>
    </row>
    <row r="404" spans="1:77" x14ac:dyDescent="0.3">
      <c r="A404" s="551"/>
      <c r="B404" s="548"/>
      <c r="C404" s="525"/>
      <c r="D404" s="525"/>
      <c r="E404" s="640" t="str">
        <f>"Marketing support: "&amp;E$157</f>
        <v>Marketing support: FY29 Tranche</v>
      </c>
      <c r="F404" s="525"/>
      <c r="G404" s="525"/>
      <c r="H404" s="525"/>
      <c r="I404" s="525"/>
      <c r="J404" s="525"/>
      <c r="K404" s="525"/>
      <c r="L404" s="525"/>
      <c r="M404" s="525"/>
      <c r="N404" s="525"/>
      <c r="O404" s="525"/>
      <c r="P404" s="565"/>
      <c r="Q404" s="525"/>
      <c r="R404" s="527">
        <f t="shared" ref="R404:AW404" si="585">R$612*$R157</f>
        <v>-261.80024003270626</v>
      </c>
      <c r="S404" s="527">
        <f t="shared" si="585"/>
        <v>-261.80024003270626</v>
      </c>
      <c r="T404" s="527">
        <f t="shared" si="585"/>
        <v>-261.80024003270626</v>
      </c>
      <c r="U404" s="527">
        <f t="shared" si="585"/>
        <v>-261.80024003270626</v>
      </c>
      <c r="V404" s="527">
        <f t="shared" si="585"/>
        <v>-261.80024003270626</v>
      </c>
      <c r="W404" s="527">
        <f t="shared" si="585"/>
        <v>-261.80024003270626</v>
      </c>
      <c r="X404" s="527">
        <f t="shared" si="585"/>
        <v>-261.80024003270626</v>
      </c>
      <c r="Y404" s="527">
        <f t="shared" si="585"/>
        <v>-261.80024003270626</v>
      </c>
      <c r="Z404" s="527">
        <f t="shared" si="585"/>
        <v>-261.80024003270626</v>
      </c>
      <c r="AA404" s="527">
        <f t="shared" si="585"/>
        <v>-261.80024003270626</v>
      </c>
      <c r="AB404" s="527">
        <f t="shared" si="585"/>
        <v>-261.80024003270626</v>
      </c>
      <c r="AC404" s="527">
        <f t="shared" si="585"/>
        <v>-261.80024003270626</v>
      </c>
      <c r="AD404" s="527">
        <f t="shared" si="585"/>
        <v>-267.0362448333604</v>
      </c>
      <c r="AE404" s="527">
        <f t="shared" si="585"/>
        <v>-267.0362448333604</v>
      </c>
      <c r="AF404" s="527">
        <f t="shared" si="585"/>
        <v>-267.0362448333604</v>
      </c>
      <c r="AG404" s="527">
        <f t="shared" si="585"/>
        <v>-267.0362448333604</v>
      </c>
      <c r="AH404" s="527">
        <f t="shared" si="585"/>
        <v>-267.0362448333604</v>
      </c>
      <c r="AI404" s="527">
        <f t="shared" si="585"/>
        <v>-267.0362448333604</v>
      </c>
      <c r="AJ404" s="527">
        <f t="shared" si="585"/>
        <v>-267.0362448333604</v>
      </c>
      <c r="AK404" s="527">
        <f t="shared" si="585"/>
        <v>-267.0362448333604</v>
      </c>
      <c r="AL404" s="527">
        <f t="shared" si="585"/>
        <v>-267.0362448333604</v>
      </c>
      <c r="AM404" s="527">
        <f t="shared" si="585"/>
        <v>-267.0362448333604</v>
      </c>
      <c r="AN404" s="527">
        <f t="shared" si="585"/>
        <v>-267.0362448333604</v>
      </c>
      <c r="AO404" s="527">
        <f t="shared" si="585"/>
        <v>-267.0362448333604</v>
      </c>
      <c r="AP404" s="527">
        <f t="shared" si="585"/>
        <v>-272.37696973002761</v>
      </c>
      <c r="AQ404" s="527">
        <f t="shared" si="585"/>
        <v>-272.37696973002761</v>
      </c>
      <c r="AR404" s="527">
        <f t="shared" si="585"/>
        <v>-272.37696973002761</v>
      </c>
      <c r="AS404" s="527">
        <f t="shared" si="585"/>
        <v>-272.37696973002761</v>
      </c>
      <c r="AT404" s="527">
        <f t="shared" si="585"/>
        <v>-272.37696973002761</v>
      </c>
      <c r="AU404" s="527">
        <f t="shared" si="585"/>
        <v>-272.37696973002761</v>
      </c>
      <c r="AV404" s="527">
        <f t="shared" si="585"/>
        <v>-272.37696973002761</v>
      </c>
      <c r="AW404" s="527">
        <f t="shared" si="585"/>
        <v>-272.37696973002761</v>
      </c>
      <c r="AX404" s="527">
        <f t="shared" ref="AX404:BY404" si="586">AX$612*$R157</f>
        <v>-272.37696973002761</v>
      </c>
      <c r="AY404" s="527">
        <f t="shared" si="586"/>
        <v>-272.37696973002761</v>
      </c>
      <c r="AZ404" s="527">
        <f t="shared" si="586"/>
        <v>-272.37696973002761</v>
      </c>
      <c r="BA404" s="527">
        <f t="shared" si="586"/>
        <v>-272.37696973002761</v>
      </c>
      <c r="BB404" s="527">
        <f t="shared" si="586"/>
        <v>-277.82450912462815</v>
      </c>
      <c r="BC404" s="527">
        <f t="shared" si="586"/>
        <v>-277.82450912462815</v>
      </c>
      <c r="BD404" s="527">
        <f t="shared" si="586"/>
        <v>-277.82450912462815</v>
      </c>
      <c r="BE404" s="527">
        <f t="shared" si="586"/>
        <v>-277.82450912462815</v>
      </c>
      <c r="BF404" s="527">
        <f t="shared" si="586"/>
        <v>-277.82450912462815</v>
      </c>
      <c r="BG404" s="527">
        <f t="shared" si="586"/>
        <v>-277.82450912462815</v>
      </c>
      <c r="BH404" s="527">
        <f t="shared" si="586"/>
        <v>-277.82450912462815</v>
      </c>
      <c r="BI404" s="527">
        <f t="shared" si="586"/>
        <v>-277.82450912462815</v>
      </c>
      <c r="BJ404" s="527">
        <f t="shared" si="586"/>
        <v>-277.82450912462815</v>
      </c>
      <c r="BK404" s="527">
        <f t="shared" si="586"/>
        <v>-277.82450912462815</v>
      </c>
      <c r="BL404" s="527">
        <f t="shared" si="586"/>
        <v>-277.82450912462815</v>
      </c>
      <c r="BM404" s="527">
        <f t="shared" si="586"/>
        <v>-277.82450912462815</v>
      </c>
      <c r="BN404" s="527">
        <f t="shared" si="586"/>
        <v>-283.3809993071207</v>
      </c>
      <c r="BO404" s="527">
        <f t="shared" si="586"/>
        <v>-283.3809993071207</v>
      </c>
      <c r="BP404" s="527">
        <f t="shared" si="586"/>
        <v>-283.3809993071207</v>
      </c>
      <c r="BQ404" s="527">
        <f t="shared" si="586"/>
        <v>-283.3809993071207</v>
      </c>
      <c r="BR404" s="527">
        <f t="shared" si="586"/>
        <v>-283.3809993071207</v>
      </c>
      <c r="BS404" s="527">
        <f t="shared" si="586"/>
        <v>-283.3809993071207</v>
      </c>
      <c r="BT404" s="527">
        <f t="shared" si="586"/>
        <v>-283.3809993071207</v>
      </c>
      <c r="BU404" s="527">
        <f t="shared" si="586"/>
        <v>-283.3809993071207</v>
      </c>
      <c r="BV404" s="527">
        <f t="shared" si="586"/>
        <v>-283.3809993071207</v>
      </c>
      <c r="BW404" s="527">
        <f t="shared" si="586"/>
        <v>-283.3809993071207</v>
      </c>
      <c r="BX404" s="527">
        <f t="shared" si="586"/>
        <v>-283.3809993071207</v>
      </c>
      <c r="BY404" s="527">
        <f t="shared" si="586"/>
        <v>-283.3809993071207</v>
      </c>
    </row>
    <row r="405" spans="1:77" x14ac:dyDescent="0.3">
      <c r="A405" s="551"/>
      <c r="B405" s="548"/>
      <c r="C405" s="525"/>
      <c r="D405" s="525"/>
      <c r="E405" s="640" t="str">
        <f>"Marketing support: "&amp;E$158</f>
        <v>Marketing support: FY30 Tranche</v>
      </c>
      <c r="F405" s="525"/>
      <c r="G405" s="525"/>
      <c r="H405" s="525"/>
      <c r="I405" s="525"/>
      <c r="J405" s="525"/>
      <c r="K405" s="525"/>
      <c r="L405" s="525"/>
      <c r="M405" s="525"/>
      <c r="N405" s="525"/>
      <c r="O405" s="525"/>
      <c r="P405" s="565"/>
      <c r="Q405" s="525"/>
      <c r="R405" s="527">
        <f t="shared" ref="R405:AW405" si="587">R$612*$R158</f>
        <v>-261.80024003270626</v>
      </c>
      <c r="S405" s="527">
        <f t="shared" si="587"/>
        <v>-261.80024003270626</v>
      </c>
      <c r="T405" s="527">
        <f t="shared" si="587"/>
        <v>-261.80024003270626</v>
      </c>
      <c r="U405" s="527">
        <f t="shared" si="587"/>
        <v>-261.80024003270626</v>
      </c>
      <c r="V405" s="527">
        <f t="shared" si="587"/>
        <v>-261.80024003270626</v>
      </c>
      <c r="W405" s="527">
        <f t="shared" si="587"/>
        <v>-261.80024003270626</v>
      </c>
      <c r="X405" s="527">
        <f t="shared" si="587"/>
        <v>-261.80024003270626</v>
      </c>
      <c r="Y405" s="527">
        <f t="shared" si="587"/>
        <v>-261.80024003270626</v>
      </c>
      <c r="Z405" s="527">
        <f t="shared" si="587"/>
        <v>-261.80024003270626</v>
      </c>
      <c r="AA405" s="527">
        <f t="shared" si="587"/>
        <v>-261.80024003270626</v>
      </c>
      <c r="AB405" s="527">
        <f t="shared" si="587"/>
        <v>-261.80024003270626</v>
      </c>
      <c r="AC405" s="527">
        <f t="shared" si="587"/>
        <v>-261.80024003270626</v>
      </c>
      <c r="AD405" s="527">
        <f t="shared" si="587"/>
        <v>-267.0362448333604</v>
      </c>
      <c r="AE405" s="527">
        <f t="shared" si="587"/>
        <v>-267.0362448333604</v>
      </c>
      <c r="AF405" s="527">
        <f t="shared" si="587"/>
        <v>-267.0362448333604</v>
      </c>
      <c r="AG405" s="527">
        <f t="shared" si="587"/>
        <v>-267.0362448333604</v>
      </c>
      <c r="AH405" s="527">
        <f t="shared" si="587"/>
        <v>-267.0362448333604</v>
      </c>
      <c r="AI405" s="527">
        <f t="shared" si="587"/>
        <v>-267.0362448333604</v>
      </c>
      <c r="AJ405" s="527">
        <f t="shared" si="587"/>
        <v>-267.0362448333604</v>
      </c>
      <c r="AK405" s="527">
        <f t="shared" si="587"/>
        <v>-267.0362448333604</v>
      </c>
      <c r="AL405" s="527">
        <f t="shared" si="587"/>
        <v>-267.0362448333604</v>
      </c>
      <c r="AM405" s="527">
        <f t="shared" si="587"/>
        <v>-267.0362448333604</v>
      </c>
      <c r="AN405" s="527">
        <f t="shared" si="587"/>
        <v>-267.0362448333604</v>
      </c>
      <c r="AO405" s="527">
        <f t="shared" si="587"/>
        <v>-267.0362448333604</v>
      </c>
      <c r="AP405" s="527">
        <f t="shared" si="587"/>
        <v>-272.37696973002761</v>
      </c>
      <c r="AQ405" s="527">
        <f t="shared" si="587"/>
        <v>-272.37696973002761</v>
      </c>
      <c r="AR405" s="527">
        <f t="shared" si="587"/>
        <v>-272.37696973002761</v>
      </c>
      <c r="AS405" s="527">
        <f t="shared" si="587"/>
        <v>-272.37696973002761</v>
      </c>
      <c r="AT405" s="527">
        <f t="shared" si="587"/>
        <v>-272.37696973002761</v>
      </c>
      <c r="AU405" s="527">
        <f t="shared" si="587"/>
        <v>-272.37696973002761</v>
      </c>
      <c r="AV405" s="527">
        <f t="shared" si="587"/>
        <v>-272.37696973002761</v>
      </c>
      <c r="AW405" s="527">
        <f t="shared" si="587"/>
        <v>-272.37696973002761</v>
      </c>
      <c r="AX405" s="527">
        <f t="shared" ref="AX405:BY405" si="588">AX$612*$R158</f>
        <v>-272.37696973002761</v>
      </c>
      <c r="AY405" s="527">
        <f t="shared" si="588"/>
        <v>-272.37696973002761</v>
      </c>
      <c r="AZ405" s="527">
        <f t="shared" si="588"/>
        <v>-272.37696973002761</v>
      </c>
      <c r="BA405" s="527">
        <f t="shared" si="588"/>
        <v>-272.37696973002761</v>
      </c>
      <c r="BB405" s="527">
        <f t="shared" si="588"/>
        <v>-277.82450912462815</v>
      </c>
      <c r="BC405" s="527">
        <f t="shared" si="588"/>
        <v>-277.82450912462815</v>
      </c>
      <c r="BD405" s="527">
        <f t="shared" si="588"/>
        <v>-277.82450912462815</v>
      </c>
      <c r="BE405" s="527">
        <f t="shared" si="588"/>
        <v>-277.82450912462815</v>
      </c>
      <c r="BF405" s="527">
        <f t="shared" si="588"/>
        <v>-277.82450912462815</v>
      </c>
      <c r="BG405" s="527">
        <f t="shared" si="588"/>
        <v>-277.82450912462815</v>
      </c>
      <c r="BH405" s="527">
        <f t="shared" si="588"/>
        <v>-277.82450912462815</v>
      </c>
      <c r="BI405" s="527">
        <f t="shared" si="588"/>
        <v>-277.82450912462815</v>
      </c>
      <c r="BJ405" s="527">
        <f t="shared" si="588"/>
        <v>-277.82450912462815</v>
      </c>
      <c r="BK405" s="527">
        <f t="shared" si="588"/>
        <v>-277.82450912462815</v>
      </c>
      <c r="BL405" s="527">
        <f t="shared" si="588"/>
        <v>-277.82450912462815</v>
      </c>
      <c r="BM405" s="527">
        <f t="shared" si="588"/>
        <v>-277.82450912462815</v>
      </c>
      <c r="BN405" s="527">
        <f t="shared" si="588"/>
        <v>-283.3809993071207</v>
      </c>
      <c r="BO405" s="527">
        <f t="shared" si="588"/>
        <v>-283.3809993071207</v>
      </c>
      <c r="BP405" s="527">
        <f t="shared" si="588"/>
        <v>-283.3809993071207</v>
      </c>
      <c r="BQ405" s="527">
        <f t="shared" si="588"/>
        <v>-283.3809993071207</v>
      </c>
      <c r="BR405" s="527">
        <f t="shared" si="588"/>
        <v>-283.3809993071207</v>
      </c>
      <c r="BS405" s="527">
        <f t="shared" si="588"/>
        <v>-283.3809993071207</v>
      </c>
      <c r="BT405" s="527">
        <f t="shared" si="588"/>
        <v>-283.3809993071207</v>
      </c>
      <c r="BU405" s="527">
        <f t="shared" si="588"/>
        <v>-283.3809993071207</v>
      </c>
      <c r="BV405" s="527">
        <f t="shared" si="588"/>
        <v>-283.3809993071207</v>
      </c>
      <c r="BW405" s="527">
        <f t="shared" si="588"/>
        <v>-283.3809993071207</v>
      </c>
      <c r="BX405" s="527">
        <f t="shared" si="588"/>
        <v>-283.3809993071207</v>
      </c>
      <c r="BY405" s="527">
        <f t="shared" si="588"/>
        <v>-283.3809993071207</v>
      </c>
    </row>
    <row r="406" spans="1:77" x14ac:dyDescent="0.3">
      <c r="A406" s="551"/>
      <c r="B406" s="548"/>
      <c r="C406" s="525"/>
      <c r="D406" s="525"/>
      <c r="E406" s="640" t="str">
        <f>"Marketing support: "&amp;E$159</f>
        <v>Marketing support: FY31 Tranche</v>
      </c>
      <c r="F406" s="525"/>
      <c r="G406" s="525"/>
      <c r="H406" s="525"/>
      <c r="I406" s="525"/>
      <c r="J406" s="525"/>
      <c r="K406" s="525"/>
      <c r="L406" s="525"/>
      <c r="M406" s="525"/>
      <c r="N406" s="525"/>
      <c r="O406" s="525"/>
      <c r="P406" s="565"/>
      <c r="Q406" s="525"/>
      <c r="R406" s="527">
        <f t="shared" ref="R406:AW406" si="589">R$612*$R159</f>
        <v>-261.80024003270626</v>
      </c>
      <c r="S406" s="527">
        <f t="shared" si="589"/>
        <v>-261.80024003270626</v>
      </c>
      <c r="T406" s="527">
        <f t="shared" si="589"/>
        <v>-261.80024003270626</v>
      </c>
      <c r="U406" s="527">
        <f t="shared" si="589"/>
        <v>-261.80024003270626</v>
      </c>
      <c r="V406" s="527">
        <f t="shared" si="589"/>
        <v>-261.80024003270626</v>
      </c>
      <c r="W406" s="527">
        <f t="shared" si="589"/>
        <v>-261.80024003270626</v>
      </c>
      <c r="X406" s="527">
        <f t="shared" si="589"/>
        <v>-261.80024003270626</v>
      </c>
      <c r="Y406" s="527">
        <f t="shared" si="589"/>
        <v>-261.80024003270626</v>
      </c>
      <c r="Z406" s="527">
        <f t="shared" si="589"/>
        <v>-261.80024003270626</v>
      </c>
      <c r="AA406" s="527">
        <f t="shared" si="589"/>
        <v>-261.80024003270626</v>
      </c>
      <c r="AB406" s="527">
        <f t="shared" si="589"/>
        <v>-261.80024003270626</v>
      </c>
      <c r="AC406" s="527">
        <f t="shared" si="589"/>
        <v>-261.80024003270626</v>
      </c>
      <c r="AD406" s="527">
        <f t="shared" si="589"/>
        <v>-267.0362448333604</v>
      </c>
      <c r="AE406" s="527">
        <f t="shared" si="589"/>
        <v>-267.0362448333604</v>
      </c>
      <c r="AF406" s="527">
        <f t="shared" si="589"/>
        <v>-267.0362448333604</v>
      </c>
      <c r="AG406" s="527">
        <f t="shared" si="589"/>
        <v>-267.0362448333604</v>
      </c>
      <c r="AH406" s="527">
        <f t="shared" si="589"/>
        <v>-267.0362448333604</v>
      </c>
      <c r="AI406" s="527">
        <f t="shared" si="589"/>
        <v>-267.0362448333604</v>
      </c>
      <c r="AJ406" s="527">
        <f t="shared" si="589"/>
        <v>-267.0362448333604</v>
      </c>
      <c r="AK406" s="527">
        <f t="shared" si="589"/>
        <v>-267.0362448333604</v>
      </c>
      <c r="AL406" s="527">
        <f t="shared" si="589"/>
        <v>-267.0362448333604</v>
      </c>
      <c r="AM406" s="527">
        <f t="shared" si="589"/>
        <v>-267.0362448333604</v>
      </c>
      <c r="AN406" s="527">
        <f t="shared" si="589"/>
        <v>-267.0362448333604</v>
      </c>
      <c r="AO406" s="527">
        <f t="shared" si="589"/>
        <v>-267.0362448333604</v>
      </c>
      <c r="AP406" s="527">
        <f t="shared" si="589"/>
        <v>-272.37696973002761</v>
      </c>
      <c r="AQ406" s="527">
        <f t="shared" si="589"/>
        <v>-272.37696973002761</v>
      </c>
      <c r="AR406" s="527">
        <f t="shared" si="589"/>
        <v>-272.37696973002761</v>
      </c>
      <c r="AS406" s="527">
        <f t="shared" si="589"/>
        <v>-272.37696973002761</v>
      </c>
      <c r="AT406" s="527">
        <f t="shared" si="589"/>
        <v>-272.37696973002761</v>
      </c>
      <c r="AU406" s="527">
        <f t="shared" si="589"/>
        <v>-272.37696973002761</v>
      </c>
      <c r="AV406" s="527">
        <f t="shared" si="589"/>
        <v>-272.37696973002761</v>
      </c>
      <c r="AW406" s="527">
        <f t="shared" si="589"/>
        <v>-272.37696973002761</v>
      </c>
      <c r="AX406" s="527">
        <f t="shared" ref="AX406:BY406" si="590">AX$612*$R159</f>
        <v>-272.37696973002761</v>
      </c>
      <c r="AY406" s="527">
        <f t="shared" si="590"/>
        <v>-272.37696973002761</v>
      </c>
      <c r="AZ406" s="527">
        <f t="shared" si="590"/>
        <v>-272.37696973002761</v>
      </c>
      <c r="BA406" s="527">
        <f t="shared" si="590"/>
        <v>-272.37696973002761</v>
      </c>
      <c r="BB406" s="527">
        <f t="shared" si="590"/>
        <v>-277.82450912462815</v>
      </c>
      <c r="BC406" s="527">
        <f t="shared" si="590"/>
        <v>-277.82450912462815</v>
      </c>
      <c r="BD406" s="527">
        <f t="shared" si="590"/>
        <v>-277.82450912462815</v>
      </c>
      <c r="BE406" s="527">
        <f t="shared" si="590"/>
        <v>-277.82450912462815</v>
      </c>
      <c r="BF406" s="527">
        <f t="shared" si="590"/>
        <v>-277.82450912462815</v>
      </c>
      <c r="BG406" s="527">
        <f t="shared" si="590"/>
        <v>-277.82450912462815</v>
      </c>
      <c r="BH406" s="527">
        <f t="shared" si="590"/>
        <v>-277.82450912462815</v>
      </c>
      <c r="BI406" s="527">
        <f t="shared" si="590"/>
        <v>-277.82450912462815</v>
      </c>
      <c r="BJ406" s="527">
        <f t="shared" si="590"/>
        <v>-277.82450912462815</v>
      </c>
      <c r="BK406" s="527">
        <f t="shared" si="590"/>
        <v>-277.82450912462815</v>
      </c>
      <c r="BL406" s="527">
        <f t="shared" si="590"/>
        <v>-277.82450912462815</v>
      </c>
      <c r="BM406" s="527">
        <f t="shared" si="590"/>
        <v>-277.82450912462815</v>
      </c>
      <c r="BN406" s="527">
        <f t="shared" si="590"/>
        <v>-283.3809993071207</v>
      </c>
      <c r="BO406" s="527">
        <f t="shared" si="590"/>
        <v>-283.3809993071207</v>
      </c>
      <c r="BP406" s="527">
        <f t="shared" si="590"/>
        <v>-283.3809993071207</v>
      </c>
      <c r="BQ406" s="527">
        <f t="shared" si="590"/>
        <v>-283.3809993071207</v>
      </c>
      <c r="BR406" s="527">
        <f t="shared" si="590"/>
        <v>-283.3809993071207</v>
      </c>
      <c r="BS406" s="527">
        <f t="shared" si="590"/>
        <v>-283.3809993071207</v>
      </c>
      <c r="BT406" s="527">
        <f t="shared" si="590"/>
        <v>-283.3809993071207</v>
      </c>
      <c r="BU406" s="527">
        <f t="shared" si="590"/>
        <v>-283.3809993071207</v>
      </c>
      <c r="BV406" s="527">
        <f t="shared" si="590"/>
        <v>-283.3809993071207</v>
      </c>
      <c r="BW406" s="527">
        <f t="shared" si="590"/>
        <v>-283.3809993071207</v>
      </c>
      <c r="BX406" s="527">
        <f t="shared" si="590"/>
        <v>-283.3809993071207</v>
      </c>
      <c r="BY406" s="527">
        <f t="shared" si="590"/>
        <v>-283.3809993071207</v>
      </c>
    </row>
    <row r="407" spans="1:77" x14ac:dyDescent="0.3">
      <c r="A407" s="551"/>
      <c r="B407" s="548"/>
      <c r="C407" s="525"/>
      <c r="D407" s="525"/>
      <c r="E407" s="640" t="str">
        <f>"Marketing support: "&amp;E$160</f>
        <v>Marketing support: Uninvested Tranche</v>
      </c>
      <c r="F407" s="525"/>
      <c r="G407" s="525"/>
      <c r="H407" s="525"/>
      <c r="I407" s="525"/>
      <c r="J407" s="525"/>
      <c r="K407" s="525"/>
      <c r="L407" s="525"/>
      <c r="M407" s="525"/>
      <c r="N407" s="525"/>
      <c r="O407" s="525"/>
      <c r="P407" s="565"/>
      <c r="Q407" s="525"/>
      <c r="R407" s="527">
        <f t="shared" ref="R407:AW407" si="591">R$612*$R160</f>
        <v>-572.68802507154498</v>
      </c>
      <c r="S407" s="527">
        <f t="shared" si="591"/>
        <v>-572.68802507154498</v>
      </c>
      <c r="T407" s="527">
        <f t="shared" si="591"/>
        <v>-572.68802507154498</v>
      </c>
      <c r="U407" s="527">
        <f t="shared" si="591"/>
        <v>-572.68802507154498</v>
      </c>
      <c r="V407" s="527">
        <f t="shared" si="591"/>
        <v>-572.68802507154498</v>
      </c>
      <c r="W407" s="527">
        <f t="shared" si="591"/>
        <v>-572.68802507154498</v>
      </c>
      <c r="X407" s="527">
        <f t="shared" si="591"/>
        <v>-572.68802507154498</v>
      </c>
      <c r="Y407" s="527">
        <f t="shared" si="591"/>
        <v>-572.68802507154498</v>
      </c>
      <c r="Z407" s="527">
        <f t="shared" si="591"/>
        <v>-572.68802507154498</v>
      </c>
      <c r="AA407" s="527">
        <f t="shared" si="591"/>
        <v>-572.68802507154498</v>
      </c>
      <c r="AB407" s="527">
        <f t="shared" si="591"/>
        <v>-572.68802507154498</v>
      </c>
      <c r="AC407" s="527">
        <f t="shared" si="591"/>
        <v>-572.68802507154498</v>
      </c>
      <c r="AD407" s="527">
        <f t="shared" si="591"/>
        <v>-584.14178557297589</v>
      </c>
      <c r="AE407" s="527">
        <f t="shared" si="591"/>
        <v>-584.14178557297589</v>
      </c>
      <c r="AF407" s="527">
        <f t="shared" si="591"/>
        <v>-584.14178557297589</v>
      </c>
      <c r="AG407" s="527">
        <f t="shared" si="591"/>
        <v>-584.14178557297589</v>
      </c>
      <c r="AH407" s="527">
        <f t="shared" si="591"/>
        <v>-584.14178557297589</v>
      </c>
      <c r="AI407" s="527">
        <f t="shared" si="591"/>
        <v>-584.14178557297589</v>
      </c>
      <c r="AJ407" s="527">
        <f t="shared" si="591"/>
        <v>-584.14178557297589</v>
      </c>
      <c r="AK407" s="527">
        <f t="shared" si="591"/>
        <v>-584.14178557297589</v>
      </c>
      <c r="AL407" s="527">
        <f t="shared" si="591"/>
        <v>-584.14178557297589</v>
      </c>
      <c r="AM407" s="527">
        <f t="shared" si="591"/>
        <v>-584.14178557297589</v>
      </c>
      <c r="AN407" s="527">
        <f t="shared" si="591"/>
        <v>-584.14178557297589</v>
      </c>
      <c r="AO407" s="527">
        <f t="shared" si="591"/>
        <v>-584.14178557297589</v>
      </c>
      <c r="AP407" s="527">
        <f t="shared" si="591"/>
        <v>-595.82462128443535</v>
      </c>
      <c r="AQ407" s="527">
        <f t="shared" si="591"/>
        <v>-595.82462128443535</v>
      </c>
      <c r="AR407" s="527">
        <f t="shared" si="591"/>
        <v>-595.82462128443535</v>
      </c>
      <c r="AS407" s="527">
        <f t="shared" si="591"/>
        <v>-595.82462128443535</v>
      </c>
      <c r="AT407" s="527">
        <f t="shared" si="591"/>
        <v>-595.82462128443535</v>
      </c>
      <c r="AU407" s="527">
        <f t="shared" si="591"/>
        <v>-595.82462128443535</v>
      </c>
      <c r="AV407" s="527">
        <f t="shared" si="591"/>
        <v>-595.82462128443535</v>
      </c>
      <c r="AW407" s="527">
        <f t="shared" si="591"/>
        <v>-595.82462128443535</v>
      </c>
      <c r="AX407" s="527">
        <f t="shared" ref="AX407:BY407" si="592">AX$612*$R160</f>
        <v>-595.82462128443535</v>
      </c>
      <c r="AY407" s="527">
        <f t="shared" si="592"/>
        <v>-595.82462128443535</v>
      </c>
      <c r="AZ407" s="527">
        <f t="shared" si="592"/>
        <v>-595.82462128443535</v>
      </c>
      <c r="BA407" s="527">
        <f t="shared" si="592"/>
        <v>-595.82462128443535</v>
      </c>
      <c r="BB407" s="527">
        <f t="shared" si="592"/>
        <v>-607.74111371012407</v>
      </c>
      <c r="BC407" s="527">
        <f t="shared" si="592"/>
        <v>-607.74111371012407</v>
      </c>
      <c r="BD407" s="527">
        <f t="shared" si="592"/>
        <v>-607.74111371012407</v>
      </c>
      <c r="BE407" s="527">
        <f t="shared" si="592"/>
        <v>-607.74111371012407</v>
      </c>
      <c r="BF407" s="527">
        <f t="shared" si="592"/>
        <v>-607.74111371012407</v>
      </c>
      <c r="BG407" s="527">
        <f t="shared" si="592"/>
        <v>-607.74111371012407</v>
      </c>
      <c r="BH407" s="527">
        <f t="shared" si="592"/>
        <v>-607.74111371012407</v>
      </c>
      <c r="BI407" s="527">
        <f t="shared" si="592"/>
        <v>-607.74111371012407</v>
      </c>
      <c r="BJ407" s="527">
        <f t="shared" si="592"/>
        <v>-607.74111371012407</v>
      </c>
      <c r="BK407" s="527">
        <f t="shared" si="592"/>
        <v>-607.74111371012407</v>
      </c>
      <c r="BL407" s="527">
        <f t="shared" si="592"/>
        <v>-607.74111371012407</v>
      </c>
      <c r="BM407" s="527">
        <f t="shared" si="592"/>
        <v>-607.74111371012407</v>
      </c>
      <c r="BN407" s="527">
        <f t="shared" si="592"/>
        <v>-619.89593598432657</v>
      </c>
      <c r="BO407" s="527">
        <f t="shared" si="592"/>
        <v>-619.89593598432657</v>
      </c>
      <c r="BP407" s="527">
        <f t="shared" si="592"/>
        <v>-619.89593598432657</v>
      </c>
      <c r="BQ407" s="527">
        <f t="shared" si="592"/>
        <v>-619.89593598432657</v>
      </c>
      <c r="BR407" s="527">
        <f t="shared" si="592"/>
        <v>-619.89593598432657</v>
      </c>
      <c r="BS407" s="527">
        <f t="shared" si="592"/>
        <v>-619.89593598432657</v>
      </c>
      <c r="BT407" s="527">
        <f t="shared" si="592"/>
        <v>-619.89593598432657</v>
      </c>
      <c r="BU407" s="527">
        <f t="shared" si="592"/>
        <v>-619.89593598432657</v>
      </c>
      <c r="BV407" s="527">
        <f t="shared" si="592"/>
        <v>-619.89593598432657</v>
      </c>
      <c r="BW407" s="527">
        <f t="shared" si="592"/>
        <v>-619.89593598432657</v>
      </c>
      <c r="BX407" s="527">
        <f t="shared" si="592"/>
        <v>-619.89593598432657</v>
      </c>
      <c r="BY407" s="527">
        <f t="shared" si="592"/>
        <v>-619.89593598432657</v>
      </c>
    </row>
    <row r="408" spans="1:77" x14ac:dyDescent="0.3">
      <c r="A408" s="551"/>
      <c r="B408" s="548"/>
      <c r="C408" s="525"/>
      <c r="D408" s="525"/>
      <c r="E408" s="572" t="s">
        <v>36</v>
      </c>
      <c r="F408" s="572"/>
      <c r="G408" s="572"/>
      <c r="H408" s="572"/>
      <c r="I408" s="572"/>
      <c r="J408" s="572"/>
      <c r="K408" s="572"/>
      <c r="L408" s="572"/>
      <c r="M408" s="572"/>
      <c r="N408" s="572"/>
      <c r="O408" s="572"/>
      <c r="P408" s="612"/>
      <c r="Q408" s="572"/>
      <c r="R408" s="530">
        <f t="shared" ref="R408:AW408" si="593">SUM(R402:R407)</f>
        <v>-1881.6892252350763</v>
      </c>
      <c r="S408" s="530">
        <f t="shared" si="593"/>
        <v>-1881.6892252350763</v>
      </c>
      <c r="T408" s="530">
        <f t="shared" si="593"/>
        <v>-1881.6892252350763</v>
      </c>
      <c r="U408" s="530">
        <f t="shared" si="593"/>
        <v>-1881.6892252350763</v>
      </c>
      <c r="V408" s="530">
        <f t="shared" si="593"/>
        <v>-1881.6892252350763</v>
      </c>
      <c r="W408" s="530">
        <f t="shared" si="593"/>
        <v>-1881.6892252350763</v>
      </c>
      <c r="X408" s="530">
        <f t="shared" si="593"/>
        <v>-1881.6892252350763</v>
      </c>
      <c r="Y408" s="530">
        <f t="shared" si="593"/>
        <v>-1881.6892252350763</v>
      </c>
      <c r="Z408" s="530">
        <f t="shared" si="593"/>
        <v>-1881.6892252350763</v>
      </c>
      <c r="AA408" s="530">
        <f t="shared" si="593"/>
        <v>-1881.6892252350763</v>
      </c>
      <c r="AB408" s="530">
        <f t="shared" si="593"/>
        <v>-1881.6892252350763</v>
      </c>
      <c r="AC408" s="530">
        <f t="shared" si="593"/>
        <v>-1881.6892252350763</v>
      </c>
      <c r="AD408" s="530">
        <f t="shared" si="593"/>
        <v>-1919.3230097397777</v>
      </c>
      <c r="AE408" s="530">
        <f t="shared" si="593"/>
        <v>-1919.3230097397777</v>
      </c>
      <c r="AF408" s="530">
        <f t="shared" si="593"/>
        <v>-1919.3230097397777</v>
      </c>
      <c r="AG408" s="530">
        <f t="shared" si="593"/>
        <v>-1919.3230097397777</v>
      </c>
      <c r="AH408" s="530">
        <f t="shared" si="593"/>
        <v>-1919.3230097397777</v>
      </c>
      <c r="AI408" s="530">
        <f t="shared" si="593"/>
        <v>-1919.3230097397777</v>
      </c>
      <c r="AJ408" s="530">
        <f t="shared" si="593"/>
        <v>-1919.3230097397777</v>
      </c>
      <c r="AK408" s="530">
        <f t="shared" si="593"/>
        <v>-1919.3230097397777</v>
      </c>
      <c r="AL408" s="530">
        <f t="shared" si="593"/>
        <v>-1919.3230097397777</v>
      </c>
      <c r="AM408" s="530">
        <f t="shared" si="593"/>
        <v>-1919.3230097397777</v>
      </c>
      <c r="AN408" s="530">
        <f t="shared" si="593"/>
        <v>-1919.3230097397777</v>
      </c>
      <c r="AO408" s="530">
        <f t="shared" si="593"/>
        <v>-1919.3230097397777</v>
      </c>
      <c r="AP408" s="530">
        <f t="shared" si="593"/>
        <v>-1957.7094699345735</v>
      </c>
      <c r="AQ408" s="530">
        <f t="shared" si="593"/>
        <v>-1957.7094699345735</v>
      </c>
      <c r="AR408" s="530">
        <f t="shared" si="593"/>
        <v>-1957.7094699345735</v>
      </c>
      <c r="AS408" s="530">
        <f t="shared" si="593"/>
        <v>-1957.7094699345735</v>
      </c>
      <c r="AT408" s="530">
        <f t="shared" si="593"/>
        <v>-1957.7094699345735</v>
      </c>
      <c r="AU408" s="530">
        <f t="shared" si="593"/>
        <v>-1957.7094699345735</v>
      </c>
      <c r="AV408" s="530">
        <f t="shared" si="593"/>
        <v>-1957.7094699345735</v>
      </c>
      <c r="AW408" s="530">
        <f t="shared" si="593"/>
        <v>-1957.7094699345735</v>
      </c>
      <c r="AX408" s="530">
        <f t="shared" ref="AX408:BY408" si="594">SUM(AX402:AX407)</f>
        <v>-1957.7094699345735</v>
      </c>
      <c r="AY408" s="530">
        <f t="shared" si="594"/>
        <v>-1957.7094699345735</v>
      </c>
      <c r="AZ408" s="530">
        <f t="shared" si="594"/>
        <v>-1957.7094699345735</v>
      </c>
      <c r="BA408" s="530">
        <f t="shared" si="594"/>
        <v>-1957.7094699345735</v>
      </c>
      <c r="BB408" s="530">
        <f t="shared" si="594"/>
        <v>-1996.8636593332649</v>
      </c>
      <c r="BC408" s="530">
        <f t="shared" si="594"/>
        <v>-1996.8636593332649</v>
      </c>
      <c r="BD408" s="530">
        <f t="shared" si="594"/>
        <v>-1996.8636593332649</v>
      </c>
      <c r="BE408" s="530">
        <f t="shared" si="594"/>
        <v>-1996.8636593332649</v>
      </c>
      <c r="BF408" s="530">
        <f t="shared" si="594"/>
        <v>-1996.8636593332649</v>
      </c>
      <c r="BG408" s="530">
        <f t="shared" si="594"/>
        <v>-1996.8636593332649</v>
      </c>
      <c r="BH408" s="530">
        <f t="shared" si="594"/>
        <v>-1996.8636593332649</v>
      </c>
      <c r="BI408" s="530">
        <f t="shared" si="594"/>
        <v>-1996.8636593332649</v>
      </c>
      <c r="BJ408" s="530">
        <f t="shared" si="594"/>
        <v>-1996.8636593332649</v>
      </c>
      <c r="BK408" s="530">
        <f t="shared" si="594"/>
        <v>-1996.8636593332649</v>
      </c>
      <c r="BL408" s="530">
        <f t="shared" si="594"/>
        <v>-1996.8636593332649</v>
      </c>
      <c r="BM408" s="530">
        <f t="shared" si="594"/>
        <v>-1996.8636593332649</v>
      </c>
      <c r="BN408" s="530">
        <f t="shared" si="594"/>
        <v>-2036.80093251993</v>
      </c>
      <c r="BO408" s="530">
        <f t="shared" si="594"/>
        <v>-2036.80093251993</v>
      </c>
      <c r="BP408" s="530">
        <f t="shared" si="594"/>
        <v>-2036.80093251993</v>
      </c>
      <c r="BQ408" s="530">
        <f t="shared" si="594"/>
        <v>-2036.80093251993</v>
      </c>
      <c r="BR408" s="530">
        <f t="shared" si="594"/>
        <v>-2036.80093251993</v>
      </c>
      <c r="BS408" s="530">
        <f t="shared" si="594"/>
        <v>-2036.80093251993</v>
      </c>
      <c r="BT408" s="530">
        <f t="shared" si="594"/>
        <v>-2036.80093251993</v>
      </c>
      <c r="BU408" s="530">
        <f t="shared" si="594"/>
        <v>-2036.80093251993</v>
      </c>
      <c r="BV408" s="530">
        <f t="shared" si="594"/>
        <v>-2036.80093251993</v>
      </c>
      <c r="BW408" s="530">
        <f t="shared" si="594"/>
        <v>-2036.80093251993</v>
      </c>
      <c r="BX408" s="530">
        <f t="shared" si="594"/>
        <v>-2036.80093251993</v>
      </c>
      <c r="BY408" s="530">
        <f t="shared" si="594"/>
        <v>-2036.80093251993</v>
      </c>
    </row>
    <row r="409" spans="1:77" x14ac:dyDescent="0.3">
      <c r="A409" s="551"/>
      <c r="B409" s="548"/>
      <c r="C409" s="525"/>
      <c r="D409" s="525"/>
      <c r="E409" s="525"/>
      <c r="F409" s="525"/>
      <c r="G409" s="525"/>
      <c r="H409" s="525"/>
      <c r="I409" s="525"/>
      <c r="J409" s="525"/>
      <c r="K409" s="525"/>
      <c r="L409" s="525"/>
      <c r="M409" s="525"/>
      <c r="N409" s="525"/>
      <c r="O409" s="525"/>
      <c r="P409" s="565"/>
      <c r="Q409" s="525"/>
      <c r="R409" s="525"/>
      <c r="S409" s="525"/>
      <c r="T409" s="525"/>
      <c r="U409" s="525"/>
      <c r="V409" s="525"/>
      <c r="W409" s="525"/>
      <c r="X409" s="525"/>
      <c r="Y409" s="525"/>
      <c r="Z409" s="525"/>
      <c r="AA409" s="525"/>
      <c r="AB409" s="525"/>
      <c r="AC409" s="525"/>
      <c r="AD409" s="525"/>
      <c r="AE409" s="525"/>
      <c r="AF409" s="525"/>
      <c r="AG409" s="525"/>
      <c r="AH409" s="525"/>
      <c r="AI409" s="525"/>
      <c r="AJ409" s="525"/>
      <c r="AK409" s="525"/>
      <c r="AL409" s="525"/>
      <c r="AM409" s="525"/>
      <c r="AN409" s="525"/>
      <c r="AO409" s="525"/>
      <c r="AP409" s="525"/>
      <c r="AQ409" s="525"/>
      <c r="AR409" s="525"/>
      <c r="AS409" s="525"/>
      <c r="AT409" s="525"/>
      <c r="AU409" s="525"/>
      <c r="AV409" s="525"/>
      <c r="AW409" s="525"/>
      <c r="AX409" s="525"/>
      <c r="AY409" s="525"/>
      <c r="AZ409" s="525"/>
      <c r="BA409" s="525"/>
      <c r="BB409" s="525"/>
      <c r="BC409" s="525"/>
      <c r="BD409" s="525"/>
      <c r="BE409" s="525"/>
      <c r="BF409" s="525"/>
      <c r="BG409" s="525"/>
      <c r="BH409" s="525"/>
      <c r="BI409" s="525"/>
      <c r="BJ409" s="525"/>
      <c r="BK409" s="525"/>
      <c r="BL409" s="525"/>
      <c r="BM409" s="525"/>
      <c r="BN409" s="525"/>
      <c r="BO409" s="525"/>
      <c r="BP409" s="525"/>
      <c r="BQ409" s="525"/>
      <c r="BR409" s="525"/>
      <c r="BS409" s="525"/>
      <c r="BT409" s="525"/>
      <c r="BU409" s="525"/>
      <c r="BV409" s="525"/>
      <c r="BW409" s="525"/>
      <c r="BX409" s="525"/>
      <c r="BY409" s="525"/>
    </row>
    <row r="410" spans="1:77" x14ac:dyDescent="0.3">
      <c r="A410" s="551"/>
      <c r="B410" s="548"/>
      <c r="C410" s="584" t="s">
        <v>37</v>
      </c>
      <c r="D410" s="525"/>
      <c r="E410" s="538" t="s">
        <v>91</v>
      </c>
      <c r="F410" s="538"/>
      <c r="G410" s="538"/>
      <c r="H410" s="538"/>
      <c r="I410" s="538"/>
      <c r="J410" s="538"/>
      <c r="K410" s="538"/>
      <c r="L410" s="538"/>
      <c r="M410" s="538"/>
      <c r="N410" s="538"/>
      <c r="O410" s="538"/>
      <c r="P410" s="584"/>
      <c r="Q410" s="538"/>
      <c r="R410" s="538"/>
      <c r="S410" s="538"/>
      <c r="T410" s="538"/>
      <c r="U410" s="538"/>
      <c r="V410" s="538"/>
      <c r="W410" s="538"/>
      <c r="X410" s="538"/>
      <c r="Y410" s="538"/>
      <c r="Z410" s="538"/>
      <c r="AA410" s="538"/>
      <c r="AB410" s="538"/>
      <c r="AC410" s="538"/>
      <c r="AD410" s="538"/>
      <c r="AE410" s="538"/>
      <c r="AF410" s="538"/>
      <c r="AG410" s="538"/>
      <c r="AH410" s="538"/>
      <c r="AI410" s="538"/>
      <c r="AJ410" s="538"/>
      <c r="AK410" s="538"/>
      <c r="AL410" s="538"/>
      <c r="AM410" s="538"/>
      <c r="AN410" s="538"/>
      <c r="AO410" s="538"/>
      <c r="AP410" s="538"/>
      <c r="AQ410" s="538"/>
      <c r="AR410" s="538"/>
      <c r="AS410" s="538"/>
      <c r="AT410" s="538"/>
      <c r="AU410" s="538"/>
      <c r="AV410" s="538"/>
      <c r="AW410" s="538"/>
      <c r="AX410" s="538"/>
      <c r="AY410" s="538"/>
      <c r="AZ410" s="538"/>
      <c r="BA410" s="538"/>
      <c r="BB410" s="538"/>
      <c r="BC410" s="538"/>
      <c r="BD410" s="538"/>
      <c r="BE410" s="538"/>
      <c r="BF410" s="538"/>
      <c r="BG410" s="538"/>
      <c r="BH410" s="538"/>
      <c r="BI410" s="538"/>
      <c r="BJ410" s="538"/>
      <c r="BK410" s="538"/>
      <c r="BL410" s="538"/>
      <c r="BM410" s="538"/>
      <c r="BN410" s="538"/>
      <c r="BO410" s="538"/>
      <c r="BP410" s="538"/>
      <c r="BQ410" s="538"/>
      <c r="BR410" s="538"/>
      <c r="BS410" s="538"/>
      <c r="BT410" s="538"/>
      <c r="BU410" s="538"/>
      <c r="BV410" s="538"/>
      <c r="BW410" s="538"/>
      <c r="BX410" s="538"/>
      <c r="BY410" s="538"/>
    </row>
    <row r="411" spans="1:77" x14ac:dyDescent="0.3">
      <c r="A411" s="551"/>
      <c r="B411" s="548"/>
      <c r="C411" s="525"/>
      <c r="D411" s="525"/>
      <c r="E411" s="525"/>
      <c r="F411" s="525"/>
      <c r="G411" s="525"/>
      <c r="H411" s="525"/>
      <c r="I411" s="525"/>
      <c r="J411" s="525"/>
      <c r="K411" s="525"/>
      <c r="L411" s="525"/>
      <c r="M411" s="525"/>
      <c r="N411" s="525"/>
      <c r="O411" s="525"/>
      <c r="P411" s="565"/>
      <c r="Q411" s="525"/>
      <c r="R411" s="525"/>
      <c r="S411" s="525"/>
      <c r="T411" s="525"/>
      <c r="U411" s="525"/>
      <c r="V411" s="525"/>
      <c r="W411" s="525"/>
      <c r="X411" s="525"/>
      <c r="Y411" s="525"/>
      <c r="Z411" s="525"/>
      <c r="AA411" s="525"/>
      <c r="AB411" s="525"/>
      <c r="AC411" s="525"/>
      <c r="AD411" s="525"/>
      <c r="AE411" s="525"/>
      <c r="AF411" s="525"/>
      <c r="AG411" s="525"/>
      <c r="AH411" s="525"/>
      <c r="AI411" s="525"/>
      <c r="AJ411" s="525"/>
      <c r="AK411" s="525"/>
      <c r="AL411" s="525"/>
      <c r="AM411" s="525"/>
      <c r="AN411" s="525"/>
      <c r="AO411" s="525"/>
      <c r="AP411" s="525"/>
      <c r="AQ411" s="525"/>
      <c r="AR411" s="525"/>
      <c r="AS411" s="525"/>
      <c r="AT411" s="525"/>
      <c r="AU411" s="525"/>
      <c r="AV411" s="525"/>
      <c r="AW411" s="525"/>
      <c r="AX411" s="525"/>
      <c r="AY411" s="525"/>
      <c r="AZ411" s="525"/>
      <c r="BA411" s="525"/>
      <c r="BB411" s="525"/>
      <c r="BC411" s="525"/>
      <c r="BD411" s="525"/>
      <c r="BE411" s="525"/>
      <c r="BF411" s="525"/>
      <c r="BG411" s="525"/>
      <c r="BH411" s="525"/>
      <c r="BI411" s="525"/>
      <c r="BJ411" s="525"/>
      <c r="BK411" s="525"/>
      <c r="BL411" s="525"/>
      <c r="BM411" s="525"/>
      <c r="BN411" s="525"/>
      <c r="BO411" s="525"/>
      <c r="BP411" s="525"/>
      <c r="BQ411" s="525"/>
      <c r="BR411" s="525"/>
      <c r="BS411" s="525"/>
      <c r="BT411" s="525"/>
      <c r="BU411" s="525"/>
      <c r="BV411" s="525"/>
      <c r="BW411" s="525"/>
      <c r="BX411" s="525"/>
      <c r="BY411" s="525"/>
    </row>
    <row r="412" spans="1:77" x14ac:dyDescent="0.3">
      <c r="A412" s="551"/>
      <c r="B412" s="548"/>
      <c r="C412" s="525"/>
      <c r="D412" s="525"/>
      <c r="E412" s="641" t="str">
        <f>"Implied EBITDA: "&amp;E$155</f>
        <v>Implied EBITDA: FY27 Tranche</v>
      </c>
      <c r="F412" s="525"/>
      <c r="G412" s="525"/>
      <c r="H412" s="525"/>
      <c r="I412" s="525"/>
      <c r="J412" s="525"/>
      <c r="K412" s="525"/>
      <c r="L412" s="525"/>
      <c r="M412" s="525"/>
      <c r="N412" s="525"/>
      <c r="O412" s="525"/>
      <c r="P412" s="565"/>
      <c r="Q412" s="525"/>
      <c r="R412" s="527">
        <f t="shared" ref="R412:AW412" si="595">R246+R254+R262+R270+R290+R298+R306+R314+R338+R346+R358+R366+R374+R382+R394+R402</f>
        <v>132405.68626504557</v>
      </c>
      <c r="S412" s="527">
        <f t="shared" si="595"/>
        <v>132405.68626504557</v>
      </c>
      <c r="T412" s="527">
        <f t="shared" si="595"/>
        <v>132405.68626504557</v>
      </c>
      <c r="U412" s="527">
        <f t="shared" si="595"/>
        <v>132405.68626504557</v>
      </c>
      <c r="V412" s="527">
        <f t="shared" si="595"/>
        <v>132405.68626504557</v>
      </c>
      <c r="W412" s="527">
        <f t="shared" si="595"/>
        <v>132405.68626504557</v>
      </c>
      <c r="X412" s="527">
        <f t="shared" si="595"/>
        <v>156650.69738094855</v>
      </c>
      <c r="Y412" s="527">
        <f t="shared" si="595"/>
        <v>156650.69738094855</v>
      </c>
      <c r="Z412" s="527">
        <f t="shared" si="595"/>
        <v>156650.69738094855</v>
      </c>
      <c r="AA412" s="527">
        <f t="shared" si="595"/>
        <v>156650.69738094855</v>
      </c>
      <c r="AB412" s="527">
        <f t="shared" si="595"/>
        <v>156650.69738094855</v>
      </c>
      <c r="AC412" s="527">
        <f t="shared" si="595"/>
        <v>156650.69738094855</v>
      </c>
      <c r="AD412" s="527">
        <f t="shared" si="595"/>
        <v>156650.69738094855</v>
      </c>
      <c r="AE412" s="527">
        <f t="shared" si="595"/>
        <v>156650.69738094855</v>
      </c>
      <c r="AF412" s="527">
        <f t="shared" si="595"/>
        <v>156650.69738094855</v>
      </c>
      <c r="AG412" s="527">
        <f t="shared" si="595"/>
        <v>156650.69738094855</v>
      </c>
      <c r="AH412" s="527">
        <f t="shared" si="595"/>
        <v>156650.69738094855</v>
      </c>
      <c r="AI412" s="527">
        <f t="shared" si="595"/>
        <v>156650.69738094855</v>
      </c>
      <c r="AJ412" s="527">
        <f t="shared" si="595"/>
        <v>162916.72527618648</v>
      </c>
      <c r="AK412" s="527">
        <f t="shared" si="595"/>
        <v>162916.72527618648</v>
      </c>
      <c r="AL412" s="527">
        <f t="shared" si="595"/>
        <v>162916.72527618648</v>
      </c>
      <c r="AM412" s="527">
        <f t="shared" si="595"/>
        <v>162916.72527618648</v>
      </c>
      <c r="AN412" s="527">
        <f t="shared" si="595"/>
        <v>162916.72527618648</v>
      </c>
      <c r="AO412" s="527">
        <f t="shared" si="595"/>
        <v>162916.72527618648</v>
      </c>
      <c r="AP412" s="527">
        <f t="shared" si="595"/>
        <v>162916.72527618648</v>
      </c>
      <c r="AQ412" s="527">
        <f t="shared" si="595"/>
        <v>162916.72527618648</v>
      </c>
      <c r="AR412" s="527">
        <f t="shared" si="595"/>
        <v>162916.72527618648</v>
      </c>
      <c r="AS412" s="527">
        <f t="shared" si="595"/>
        <v>162916.72527618648</v>
      </c>
      <c r="AT412" s="527">
        <f t="shared" si="595"/>
        <v>162916.72527618648</v>
      </c>
      <c r="AU412" s="527">
        <f t="shared" si="595"/>
        <v>162916.72527618648</v>
      </c>
      <c r="AV412" s="527">
        <f t="shared" si="595"/>
        <v>169433.39428723397</v>
      </c>
      <c r="AW412" s="527">
        <f t="shared" si="595"/>
        <v>169433.39428723397</v>
      </c>
      <c r="AX412" s="527">
        <f t="shared" ref="AX412:BY412" si="596">AX246+AX254+AX262+AX270+AX290+AX298+AX306+AX314+AX338+AX346+AX358+AX366+AX374+AX382+AX394+AX402</f>
        <v>169433.39428723397</v>
      </c>
      <c r="AY412" s="527">
        <f t="shared" si="596"/>
        <v>169433.39428723397</v>
      </c>
      <c r="AZ412" s="527">
        <f t="shared" si="596"/>
        <v>169433.39428723397</v>
      </c>
      <c r="BA412" s="527">
        <f t="shared" si="596"/>
        <v>169433.39428723397</v>
      </c>
      <c r="BB412" s="527">
        <f t="shared" si="596"/>
        <v>169433.39428723397</v>
      </c>
      <c r="BC412" s="527">
        <f t="shared" si="596"/>
        <v>169433.39428723397</v>
      </c>
      <c r="BD412" s="527">
        <f t="shared" si="596"/>
        <v>169433.39428723397</v>
      </c>
      <c r="BE412" s="527">
        <f t="shared" si="596"/>
        <v>169433.39428723397</v>
      </c>
      <c r="BF412" s="527">
        <f t="shared" si="596"/>
        <v>169433.39428723397</v>
      </c>
      <c r="BG412" s="527">
        <f t="shared" si="596"/>
        <v>169433.39428723397</v>
      </c>
      <c r="BH412" s="527">
        <f t="shared" si="596"/>
        <v>176210.73005872333</v>
      </c>
      <c r="BI412" s="527">
        <f t="shared" si="596"/>
        <v>176210.73005872333</v>
      </c>
      <c r="BJ412" s="527">
        <f t="shared" si="596"/>
        <v>176210.73005872333</v>
      </c>
      <c r="BK412" s="527">
        <f t="shared" si="596"/>
        <v>176210.73005872333</v>
      </c>
      <c r="BL412" s="527">
        <f t="shared" si="596"/>
        <v>176210.73005872333</v>
      </c>
      <c r="BM412" s="527">
        <f t="shared" si="596"/>
        <v>176210.73005872333</v>
      </c>
      <c r="BN412" s="527">
        <f t="shared" si="596"/>
        <v>176210.73005872333</v>
      </c>
      <c r="BO412" s="527">
        <f t="shared" si="596"/>
        <v>176210.73005872333</v>
      </c>
      <c r="BP412" s="527">
        <f t="shared" si="596"/>
        <v>176210.73005872333</v>
      </c>
      <c r="BQ412" s="527">
        <f t="shared" si="596"/>
        <v>176210.73005872333</v>
      </c>
      <c r="BR412" s="527">
        <f t="shared" si="596"/>
        <v>176210.73005872333</v>
      </c>
      <c r="BS412" s="527">
        <f t="shared" si="596"/>
        <v>176210.73005872333</v>
      </c>
      <c r="BT412" s="527">
        <f t="shared" si="596"/>
        <v>183259.15926107223</v>
      </c>
      <c r="BU412" s="527">
        <f t="shared" si="596"/>
        <v>183259.15926107223</v>
      </c>
      <c r="BV412" s="527">
        <f t="shared" si="596"/>
        <v>183259.15926107223</v>
      </c>
      <c r="BW412" s="527">
        <f t="shared" si="596"/>
        <v>183259.15926107223</v>
      </c>
      <c r="BX412" s="527">
        <f t="shared" si="596"/>
        <v>183259.15926107223</v>
      </c>
      <c r="BY412" s="527">
        <f t="shared" si="596"/>
        <v>183259.15926107223</v>
      </c>
    </row>
    <row r="413" spans="1:77" x14ac:dyDescent="0.3">
      <c r="A413" s="551"/>
      <c r="B413" s="548"/>
      <c r="C413" s="525"/>
      <c r="D413" s="525"/>
      <c r="E413" s="641" t="str">
        <f>"Implied EBITDA: "&amp;E$156</f>
        <v>Implied EBITDA: FY28 Tranche</v>
      </c>
      <c r="F413" s="525"/>
      <c r="G413" s="525"/>
      <c r="H413" s="525"/>
      <c r="I413" s="525"/>
      <c r="J413" s="525"/>
      <c r="K413" s="525"/>
      <c r="L413" s="525"/>
      <c r="M413" s="525"/>
      <c r="N413" s="525"/>
      <c r="O413" s="525"/>
      <c r="P413" s="565"/>
      <c r="Q413" s="525"/>
      <c r="R413" s="527">
        <f t="shared" ref="R413:AW413" si="597">R247+R255+R263+R271+R291+R299+R307+R315+R339+R347+R359+R367+R375+R383+R395+R403</f>
        <v>132405.68626504557</v>
      </c>
      <c r="S413" s="527">
        <f t="shared" si="597"/>
        <v>132405.68626504557</v>
      </c>
      <c r="T413" s="527">
        <f t="shared" si="597"/>
        <v>132405.68626504557</v>
      </c>
      <c r="U413" s="527">
        <f t="shared" si="597"/>
        <v>132405.68626504557</v>
      </c>
      <c r="V413" s="527">
        <f t="shared" si="597"/>
        <v>132405.68626504557</v>
      </c>
      <c r="W413" s="527">
        <f t="shared" si="597"/>
        <v>132405.68626504557</v>
      </c>
      <c r="X413" s="527">
        <f t="shared" si="597"/>
        <v>132405.68626504557</v>
      </c>
      <c r="Y413" s="527">
        <f t="shared" si="597"/>
        <v>132405.68626504557</v>
      </c>
      <c r="Z413" s="527">
        <f t="shared" si="597"/>
        <v>132405.68626504557</v>
      </c>
      <c r="AA413" s="527">
        <f t="shared" si="597"/>
        <v>132405.68626504557</v>
      </c>
      <c r="AB413" s="527">
        <f t="shared" si="597"/>
        <v>132405.68626504557</v>
      </c>
      <c r="AC413" s="527">
        <f t="shared" si="597"/>
        <v>132405.68626504557</v>
      </c>
      <c r="AD413" s="527">
        <f t="shared" si="597"/>
        <v>137634.05934363737</v>
      </c>
      <c r="AE413" s="527">
        <f t="shared" si="597"/>
        <v>137634.05934363737</v>
      </c>
      <c r="AF413" s="527">
        <f t="shared" si="597"/>
        <v>137634.05934363737</v>
      </c>
      <c r="AG413" s="527">
        <f t="shared" si="597"/>
        <v>137634.05934363737</v>
      </c>
      <c r="AH413" s="527">
        <f t="shared" si="597"/>
        <v>137634.05934363737</v>
      </c>
      <c r="AI413" s="527">
        <f t="shared" si="597"/>
        <v>137634.05934363737</v>
      </c>
      <c r="AJ413" s="527">
        <f t="shared" si="597"/>
        <v>162462.1581342241</v>
      </c>
      <c r="AK413" s="527">
        <f t="shared" si="597"/>
        <v>162462.1581342241</v>
      </c>
      <c r="AL413" s="527">
        <f t="shared" si="597"/>
        <v>162462.1581342241</v>
      </c>
      <c r="AM413" s="527">
        <f t="shared" si="597"/>
        <v>162462.1581342241</v>
      </c>
      <c r="AN413" s="527">
        <f t="shared" si="597"/>
        <v>162462.1581342241</v>
      </c>
      <c r="AO413" s="527">
        <f t="shared" si="597"/>
        <v>162462.1581342241</v>
      </c>
      <c r="AP413" s="527">
        <f t="shared" si="597"/>
        <v>162462.1581342241</v>
      </c>
      <c r="AQ413" s="527">
        <f t="shared" si="597"/>
        <v>162462.1581342241</v>
      </c>
      <c r="AR413" s="527">
        <f t="shared" si="597"/>
        <v>162462.1581342241</v>
      </c>
      <c r="AS413" s="527">
        <f t="shared" si="597"/>
        <v>162462.1581342241</v>
      </c>
      <c r="AT413" s="527">
        <f t="shared" si="597"/>
        <v>162462.1581342241</v>
      </c>
      <c r="AU413" s="527">
        <f t="shared" si="597"/>
        <v>162462.1581342241</v>
      </c>
      <c r="AV413" s="527">
        <f t="shared" si="597"/>
        <v>168960.64445959302</v>
      </c>
      <c r="AW413" s="527">
        <f t="shared" si="597"/>
        <v>168960.64445959302</v>
      </c>
      <c r="AX413" s="527">
        <f t="shared" ref="AX413:BY413" si="598">AX247+AX255+AX263+AX271+AX291+AX299+AX307+AX315+AX339+AX347+AX359+AX367+AX375+AX383+AX395+AX403</f>
        <v>168960.64445959302</v>
      </c>
      <c r="AY413" s="527">
        <f t="shared" si="598"/>
        <v>168960.64445959302</v>
      </c>
      <c r="AZ413" s="527">
        <f t="shared" si="598"/>
        <v>168960.64445959302</v>
      </c>
      <c r="BA413" s="527">
        <f t="shared" si="598"/>
        <v>168960.64445959302</v>
      </c>
      <c r="BB413" s="527">
        <f t="shared" si="598"/>
        <v>168960.64445959302</v>
      </c>
      <c r="BC413" s="527">
        <f t="shared" si="598"/>
        <v>168960.64445959302</v>
      </c>
      <c r="BD413" s="527">
        <f t="shared" si="598"/>
        <v>168960.64445959302</v>
      </c>
      <c r="BE413" s="527">
        <f t="shared" si="598"/>
        <v>168960.64445959302</v>
      </c>
      <c r="BF413" s="527">
        <f t="shared" si="598"/>
        <v>168960.64445959302</v>
      </c>
      <c r="BG413" s="527">
        <f t="shared" si="598"/>
        <v>168960.64445959302</v>
      </c>
      <c r="BH413" s="527">
        <f t="shared" si="598"/>
        <v>175719.07023797676</v>
      </c>
      <c r="BI413" s="527">
        <f t="shared" si="598"/>
        <v>175719.07023797676</v>
      </c>
      <c r="BJ413" s="527">
        <f t="shared" si="598"/>
        <v>175719.07023797676</v>
      </c>
      <c r="BK413" s="527">
        <f t="shared" si="598"/>
        <v>175719.07023797676</v>
      </c>
      <c r="BL413" s="527">
        <f t="shared" si="598"/>
        <v>175719.07023797676</v>
      </c>
      <c r="BM413" s="527">
        <f t="shared" si="598"/>
        <v>175719.07023797676</v>
      </c>
      <c r="BN413" s="527">
        <f t="shared" si="598"/>
        <v>175719.07023797673</v>
      </c>
      <c r="BO413" s="527">
        <f t="shared" si="598"/>
        <v>175719.07023797673</v>
      </c>
      <c r="BP413" s="527">
        <f t="shared" si="598"/>
        <v>175719.07023797673</v>
      </c>
      <c r="BQ413" s="527">
        <f t="shared" si="598"/>
        <v>175719.07023797673</v>
      </c>
      <c r="BR413" s="527">
        <f t="shared" si="598"/>
        <v>175719.07023797673</v>
      </c>
      <c r="BS413" s="527">
        <f t="shared" si="598"/>
        <v>175719.07023797673</v>
      </c>
      <c r="BT413" s="527">
        <f t="shared" si="598"/>
        <v>182747.83304749581</v>
      </c>
      <c r="BU413" s="527">
        <f t="shared" si="598"/>
        <v>182747.83304749581</v>
      </c>
      <c r="BV413" s="527">
        <f t="shared" si="598"/>
        <v>182747.83304749581</v>
      </c>
      <c r="BW413" s="527">
        <f t="shared" si="598"/>
        <v>182747.83304749581</v>
      </c>
      <c r="BX413" s="527">
        <f t="shared" si="598"/>
        <v>182747.83304749581</v>
      </c>
      <c r="BY413" s="527">
        <f t="shared" si="598"/>
        <v>182747.83304749581</v>
      </c>
    </row>
    <row r="414" spans="1:77" x14ac:dyDescent="0.3">
      <c r="A414" s="551"/>
      <c r="B414" s="548"/>
      <c r="C414" s="525"/>
      <c r="D414" s="525"/>
      <c r="E414" s="641" t="str">
        <f>"Implied EBITDA: "&amp;E$157</f>
        <v>Implied EBITDA: FY29 Tranche</v>
      </c>
      <c r="F414" s="525"/>
      <c r="G414" s="525"/>
      <c r="H414" s="525"/>
      <c r="I414" s="525"/>
      <c r="J414" s="525"/>
      <c r="K414" s="525"/>
      <c r="L414" s="525"/>
      <c r="M414" s="525"/>
      <c r="N414" s="525"/>
      <c r="O414" s="525"/>
      <c r="P414" s="565"/>
      <c r="Q414" s="525"/>
      <c r="R414" s="527">
        <f t="shared" ref="R414:AW414" si="599">R248+R256+R264+R272+R292+R300+R308+R316+R340+R348+R360+R368+R376+R384+R396+R404</f>
        <v>132405.68626504557</v>
      </c>
      <c r="S414" s="527">
        <f t="shared" si="599"/>
        <v>132405.68626504557</v>
      </c>
      <c r="T414" s="527">
        <f t="shared" si="599"/>
        <v>132405.68626504557</v>
      </c>
      <c r="U414" s="527">
        <f t="shared" si="599"/>
        <v>132405.68626504557</v>
      </c>
      <c r="V414" s="527">
        <f t="shared" si="599"/>
        <v>132405.68626504557</v>
      </c>
      <c r="W414" s="527">
        <f t="shared" si="599"/>
        <v>132405.68626504557</v>
      </c>
      <c r="X414" s="527">
        <f t="shared" si="599"/>
        <v>132405.68626504557</v>
      </c>
      <c r="Y414" s="527">
        <f t="shared" si="599"/>
        <v>132405.68626504557</v>
      </c>
      <c r="Z414" s="527">
        <f t="shared" si="599"/>
        <v>132405.68626504557</v>
      </c>
      <c r="AA414" s="527">
        <f t="shared" si="599"/>
        <v>132405.68626504557</v>
      </c>
      <c r="AB414" s="527">
        <f t="shared" si="599"/>
        <v>132405.68626504557</v>
      </c>
      <c r="AC414" s="527">
        <f t="shared" si="599"/>
        <v>132405.68626504557</v>
      </c>
      <c r="AD414" s="527">
        <f t="shared" si="599"/>
        <v>137634.05934363737</v>
      </c>
      <c r="AE414" s="527">
        <f t="shared" si="599"/>
        <v>137634.05934363737</v>
      </c>
      <c r="AF414" s="527">
        <f t="shared" si="599"/>
        <v>137634.05934363737</v>
      </c>
      <c r="AG414" s="527">
        <f t="shared" si="599"/>
        <v>137634.05934363737</v>
      </c>
      <c r="AH414" s="527">
        <f t="shared" si="599"/>
        <v>137634.05934363737</v>
      </c>
      <c r="AI414" s="527">
        <f t="shared" si="599"/>
        <v>137634.05934363737</v>
      </c>
      <c r="AJ414" s="527">
        <f t="shared" si="599"/>
        <v>137634.05934363737</v>
      </c>
      <c r="AK414" s="527">
        <f t="shared" si="599"/>
        <v>137634.05934363737</v>
      </c>
      <c r="AL414" s="527">
        <f t="shared" si="599"/>
        <v>137634.05934363737</v>
      </c>
      <c r="AM414" s="527">
        <f t="shared" si="599"/>
        <v>137634.05934363737</v>
      </c>
      <c r="AN414" s="527">
        <f t="shared" si="599"/>
        <v>137634.05934363737</v>
      </c>
      <c r="AO414" s="527">
        <f t="shared" si="599"/>
        <v>137634.05934363737</v>
      </c>
      <c r="AP414" s="527">
        <f t="shared" si="599"/>
        <v>142813.63830711957</v>
      </c>
      <c r="AQ414" s="527">
        <f t="shared" si="599"/>
        <v>142813.63830711957</v>
      </c>
      <c r="AR414" s="527">
        <f t="shared" si="599"/>
        <v>142813.63830711957</v>
      </c>
      <c r="AS414" s="527">
        <f t="shared" si="599"/>
        <v>142813.63830711957</v>
      </c>
      <c r="AT414" s="527">
        <f t="shared" si="599"/>
        <v>142813.63830711957</v>
      </c>
      <c r="AU414" s="527">
        <f t="shared" si="599"/>
        <v>142813.63830711957</v>
      </c>
      <c r="AV414" s="527">
        <f t="shared" si="599"/>
        <v>168199.23761376608</v>
      </c>
      <c r="AW414" s="527">
        <f t="shared" si="599"/>
        <v>168199.23761376608</v>
      </c>
      <c r="AX414" s="527">
        <f t="shared" ref="AX414:BY414" si="600">AX248+AX256+AX264+AX272+AX292+AX300+AX308+AX316+AX340+AX348+AX360+AX368+AX376+AX384+AX396+AX404</f>
        <v>168199.23761376608</v>
      </c>
      <c r="AY414" s="527">
        <f t="shared" si="600"/>
        <v>168199.23761376608</v>
      </c>
      <c r="AZ414" s="527">
        <f t="shared" si="600"/>
        <v>168199.23761376608</v>
      </c>
      <c r="BA414" s="527">
        <f t="shared" si="600"/>
        <v>168199.23761376608</v>
      </c>
      <c r="BB414" s="527">
        <f t="shared" si="600"/>
        <v>168199.23761376608</v>
      </c>
      <c r="BC414" s="527">
        <f t="shared" si="600"/>
        <v>168199.23761376608</v>
      </c>
      <c r="BD414" s="527">
        <f t="shared" si="600"/>
        <v>168199.23761376608</v>
      </c>
      <c r="BE414" s="527">
        <f t="shared" si="600"/>
        <v>168199.23761376608</v>
      </c>
      <c r="BF414" s="527">
        <f t="shared" si="600"/>
        <v>168199.23761376608</v>
      </c>
      <c r="BG414" s="527">
        <f t="shared" si="600"/>
        <v>168199.23761376608</v>
      </c>
      <c r="BH414" s="527">
        <f t="shared" si="600"/>
        <v>174927.2071183167</v>
      </c>
      <c r="BI414" s="527">
        <f t="shared" si="600"/>
        <v>174927.2071183167</v>
      </c>
      <c r="BJ414" s="527">
        <f t="shared" si="600"/>
        <v>174927.2071183167</v>
      </c>
      <c r="BK414" s="527">
        <f t="shared" si="600"/>
        <v>174927.2071183167</v>
      </c>
      <c r="BL414" s="527">
        <f t="shared" si="600"/>
        <v>174927.2071183167</v>
      </c>
      <c r="BM414" s="527">
        <f t="shared" si="600"/>
        <v>174927.2071183167</v>
      </c>
      <c r="BN414" s="527">
        <f t="shared" si="600"/>
        <v>174927.20711831667</v>
      </c>
      <c r="BO414" s="527">
        <f t="shared" si="600"/>
        <v>174927.20711831667</v>
      </c>
      <c r="BP414" s="527">
        <f t="shared" si="600"/>
        <v>174927.20711831667</v>
      </c>
      <c r="BQ414" s="527">
        <f t="shared" si="600"/>
        <v>174927.20711831667</v>
      </c>
      <c r="BR414" s="527">
        <f t="shared" si="600"/>
        <v>174927.20711831667</v>
      </c>
      <c r="BS414" s="527">
        <f t="shared" si="600"/>
        <v>174927.20711831667</v>
      </c>
      <c r="BT414" s="527">
        <f t="shared" si="600"/>
        <v>181924.29540304933</v>
      </c>
      <c r="BU414" s="527">
        <f t="shared" si="600"/>
        <v>181924.29540304933</v>
      </c>
      <c r="BV414" s="527">
        <f t="shared" si="600"/>
        <v>181924.29540304933</v>
      </c>
      <c r="BW414" s="527">
        <f t="shared" si="600"/>
        <v>181924.29540304933</v>
      </c>
      <c r="BX414" s="527">
        <f t="shared" si="600"/>
        <v>181924.29540304933</v>
      </c>
      <c r="BY414" s="527">
        <f t="shared" si="600"/>
        <v>181924.29540304933</v>
      </c>
    </row>
    <row r="415" spans="1:77" x14ac:dyDescent="0.3">
      <c r="A415" s="551"/>
      <c r="B415" s="548"/>
      <c r="C415" s="525"/>
      <c r="D415" s="525"/>
      <c r="E415" s="641" t="str">
        <f>"Implied EBITDA: "&amp;E$158</f>
        <v>Implied EBITDA: FY30 Tranche</v>
      </c>
      <c r="F415" s="525"/>
      <c r="G415" s="525"/>
      <c r="H415" s="525"/>
      <c r="I415" s="525"/>
      <c r="J415" s="525"/>
      <c r="K415" s="525"/>
      <c r="L415" s="525"/>
      <c r="M415" s="525"/>
      <c r="N415" s="525"/>
      <c r="O415" s="525"/>
      <c r="P415" s="565"/>
      <c r="Q415" s="525"/>
      <c r="R415" s="527">
        <f t="shared" ref="R415:AW415" si="601">R249+R257+R265+R273+R293+R301+R309+R317+R341+R349+R361+R369+R377+R385+R397+R405</f>
        <v>132405.68626504557</v>
      </c>
      <c r="S415" s="527">
        <f t="shared" si="601"/>
        <v>132405.68626504557</v>
      </c>
      <c r="T415" s="527">
        <f t="shared" si="601"/>
        <v>132405.68626504557</v>
      </c>
      <c r="U415" s="527">
        <f t="shared" si="601"/>
        <v>132405.68626504557</v>
      </c>
      <c r="V415" s="527">
        <f t="shared" si="601"/>
        <v>132405.68626504557</v>
      </c>
      <c r="W415" s="527">
        <f t="shared" si="601"/>
        <v>132405.68626504557</v>
      </c>
      <c r="X415" s="527">
        <f t="shared" si="601"/>
        <v>132405.68626504557</v>
      </c>
      <c r="Y415" s="527">
        <f t="shared" si="601"/>
        <v>132405.68626504557</v>
      </c>
      <c r="Z415" s="527">
        <f t="shared" si="601"/>
        <v>132405.68626504557</v>
      </c>
      <c r="AA415" s="527">
        <f t="shared" si="601"/>
        <v>132405.68626504557</v>
      </c>
      <c r="AB415" s="527">
        <f t="shared" si="601"/>
        <v>132405.68626504557</v>
      </c>
      <c r="AC415" s="527">
        <f t="shared" si="601"/>
        <v>132405.68626504557</v>
      </c>
      <c r="AD415" s="527">
        <f t="shared" si="601"/>
        <v>137634.05934363737</v>
      </c>
      <c r="AE415" s="527">
        <f t="shared" si="601"/>
        <v>137634.05934363737</v>
      </c>
      <c r="AF415" s="527">
        <f t="shared" si="601"/>
        <v>137634.05934363737</v>
      </c>
      <c r="AG415" s="527">
        <f t="shared" si="601"/>
        <v>137634.05934363737</v>
      </c>
      <c r="AH415" s="527">
        <f t="shared" si="601"/>
        <v>137634.05934363737</v>
      </c>
      <c r="AI415" s="527">
        <f t="shared" si="601"/>
        <v>137634.05934363737</v>
      </c>
      <c r="AJ415" s="527">
        <f t="shared" si="601"/>
        <v>137634.05934363737</v>
      </c>
      <c r="AK415" s="527">
        <f t="shared" si="601"/>
        <v>137634.05934363737</v>
      </c>
      <c r="AL415" s="527">
        <f t="shared" si="601"/>
        <v>137634.05934363737</v>
      </c>
      <c r="AM415" s="527">
        <f t="shared" si="601"/>
        <v>137634.05934363737</v>
      </c>
      <c r="AN415" s="527">
        <f t="shared" si="601"/>
        <v>137634.05934363737</v>
      </c>
      <c r="AO415" s="527">
        <f t="shared" si="601"/>
        <v>137634.05934363737</v>
      </c>
      <c r="AP415" s="527">
        <f t="shared" si="601"/>
        <v>142813.63830711957</v>
      </c>
      <c r="AQ415" s="527">
        <f t="shared" si="601"/>
        <v>142813.63830711957</v>
      </c>
      <c r="AR415" s="527">
        <f t="shared" si="601"/>
        <v>142813.63830711957</v>
      </c>
      <c r="AS415" s="527">
        <f t="shared" si="601"/>
        <v>142813.63830711957</v>
      </c>
      <c r="AT415" s="527">
        <f t="shared" si="601"/>
        <v>142813.63830711957</v>
      </c>
      <c r="AU415" s="527">
        <f t="shared" si="601"/>
        <v>142813.63830711957</v>
      </c>
      <c r="AV415" s="527">
        <f t="shared" si="601"/>
        <v>142813.63830711957</v>
      </c>
      <c r="AW415" s="527">
        <f t="shared" si="601"/>
        <v>142813.63830711957</v>
      </c>
      <c r="AX415" s="527">
        <f t="shared" ref="AX415:BY415" si="602">AX249+AX257+AX265+AX273+AX293+AX301+AX309+AX317+AX341+AX349+AX361+AX369+AX377+AX385+AX397+AX405</f>
        <v>142813.63830711957</v>
      </c>
      <c r="AY415" s="527">
        <f t="shared" si="602"/>
        <v>142813.63830711957</v>
      </c>
      <c r="AZ415" s="527">
        <f t="shared" si="602"/>
        <v>142813.63830711957</v>
      </c>
      <c r="BA415" s="527">
        <f t="shared" si="602"/>
        <v>142813.63830711957</v>
      </c>
      <c r="BB415" s="527">
        <f t="shared" si="602"/>
        <v>147747.20250832441</v>
      </c>
      <c r="BC415" s="527">
        <f t="shared" si="602"/>
        <v>147747.20250832441</v>
      </c>
      <c r="BD415" s="527">
        <f t="shared" si="602"/>
        <v>147747.20250832441</v>
      </c>
      <c r="BE415" s="527">
        <f t="shared" si="602"/>
        <v>147747.20250832441</v>
      </c>
      <c r="BF415" s="527">
        <f t="shared" si="602"/>
        <v>147747.20250832441</v>
      </c>
      <c r="BG415" s="527">
        <f t="shared" si="602"/>
        <v>147747.20250832441</v>
      </c>
      <c r="BH415" s="527">
        <f t="shared" si="602"/>
        <v>173657.7158133834</v>
      </c>
      <c r="BI415" s="527">
        <f t="shared" si="602"/>
        <v>173657.7158133834</v>
      </c>
      <c r="BJ415" s="527">
        <f t="shared" si="602"/>
        <v>173657.7158133834</v>
      </c>
      <c r="BK415" s="527">
        <f t="shared" si="602"/>
        <v>173657.7158133834</v>
      </c>
      <c r="BL415" s="527">
        <f t="shared" si="602"/>
        <v>173657.7158133834</v>
      </c>
      <c r="BM415" s="527">
        <f t="shared" si="602"/>
        <v>173657.7158133834</v>
      </c>
      <c r="BN415" s="527">
        <f t="shared" si="602"/>
        <v>173657.7158133834</v>
      </c>
      <c r="BO415" s="527">
        <f t="shared" si="602"/>
        <v>173657.7158133834</v>
      </c>
      <c r="BP415" s="527">
        <f t="shared" si="602"/>
        <v>173657.7158133834</v>
      </c>
      <c r="BQ415" s="527">
        <f t="shared" si="602"/>
        <v>173657.7158133834</v>
      </c>
      <c r="BR415" s="527">
        <f t="shared" si="602"/>
        <v>173657.7158133834</v>
      </c>
      <c r="BS415" s="527">
        <f t="shared" si="602"/>
        <v>173657.7158133834</v>
      </c>
      <c r="BT415" s="527">
        <f t="shared" si="602"/>
        <v>180604.02444591874</v>
      </c>
      <c r="BU415" s="527">
        <f t="shared" si="602"/>
        <v>180604.02444591874</v>
      </c>
      <c r="BV415" s="527">
        <f t="shared" si="602"/>
        <v>180604.02444591874</v>
      </c>
      <c r="BW415" s="527">
        <f t="shared" si="602"/>
        <v>180604.02444591874</v>
      </c>
      <c r="BX415" s="527">
        <f t="shared" si="602"/>
        <v>180604.02444591874</v>
      </c>
      <c r="BY415" s="527">
        <f t="shared" si="602"/>
        <v>180604.02444591874</v>
      </c>
    </row>
    <row r="416" spans="1:77" x14ac:dyDescent="0.3">
      <c r="A416" s="551"/>
      <c r="B416" s="548"/>
      <c r="C416" s="525"/>
      <c r="D416" s="525"/>
      <c r="E416" s="641" t="str">
        <f>"Implied EBITDA: "&amp;E$159</f>
        <v>Implied EBITDA: FY31 Tranche</v>
      </c>
      <c r="F416" s="525"/>
      <c r="G416" s="525"/>
      <c r="H416" s="525"/>
      <c r="I416" s="525"/>
      <c r="J416" s="525"/>
      <c r="K416" s="525"/>
      <c r="L416" s="525"/>
      <c r="M416" s="525"/>
      <c r="N416" s="525"/>
      <c r="O416" s="525"/>
      <c r="P416" s="565"/>
      <c r="Q416" s="525"/>
      <c r="R416" s="527">
        <f t="shared" ref="R416:AW416" si="603">R250+R258+R266+R274+R294+R302+R310+R318+R342+R350+R362+R370+R378+R386+R398+R406</f>
        <v>132405.68626504557</v>
      </c>
      <c r="S416" s="527">
        <f t="shared" si="603"/>
        <v>132405.68626504557</v>
      </c>
      <c r="T416" s="527">
        <f t="shared" si="603"/>
        <v>132405.68626504557</v>
      </c>
      <c r="U416" s="527">
        <f t="shared" si="603"/>
        <v>132405.68626504557</v>
      </c>
      <c r="V416" s="527">
        <f t="shared" si="603"/>
        <v>132405.68626504557</v>
      </c>
      <c r="W416" s="527">
        <f t="shared" si="603"/>
        <v>132405.68626504557</v>
      </c>
      <c r="X416" s="527">
        <f t="shared" si="603"/>
        <v>132405.68626504557</v>
      </c>
      <c r="Y416" s="527">
        <f t="shared" si="603"/>
        <v>132405.68626504557</v>
      </c>
      <c r="Z416" s="527">
        <f t="shared" si="603"/>
        <v>132405.68626504557</v>
      </c>
      <c r="AA416" s="527">
        <f t="shared" si="603"/>
        <v>132405.68626504557</v>
      </c>
      <c r="AB416" s="527">
        <f t="shared" si="603"/>
        <v>132405.68626504557</v>
      </c>
      <c r="AC416" s="527">
        <f t="shared" si="603"/>
        <v>132405.68626504557</v>
      </c>
      <c r="AD416" s="527">
        <f t="shared" si="603"/>
        <v>137634.05934363737</v>
      </c>
      <c r="AE416" s="527">
        <f t="shared" si="603"/>
        <v>137634.05934363737</v>
      </c>
      <c r="AF416" s="527">
        <f t="shared" si="603"/>
        <v>137634.05934363737</v>
      </c>
      <c r="AG416" s="527">
        <f t="shared" si="603"/>
        <v>137634.05934363737</v>
      </c>
      <c r="AH416" s="527">
        <f t="shared" si="603"/>
        <v>137634.05934363737</v>
      </c>
      <c r="AI416" s="527">
        <f t="shared" si="603"/>
        <v>137634.05934363737</v>
      </c>
      <c r="AJ416" s="527">
        <f t="shared" si="603"/>
        <v>137634.05934363737</v>
      </c>
      <c r="AK416" s="527">
        <f t="shared" si="603"/>
        <v>137634.05934363737</v>
      </c>
      <c r="AL416" s="527">
        <f t="shared" si="603"/>
        <v>137634.05934363737</v>
      </c>
      <c r="AM416" s="527">
        <f t="shared" si="603"/>
        <v>137634.05934363737</v>
      </c>
      <c r="AN416" s="527">
        <f t="shared" si="603"/>
        <v>137634.05934363737</v>
      </c>
      <c r="AO416" s="527">
        <f t="shared" si="603"/>
        <v>137634.05934363737</v>
      </c>
      <c r="AP416" s="527">
        <f t="shared" si="603"/>
        <v>142813.63830711957</v>
      </c>
      <c r="AQ416" s="527">
        <f t="shared" si="603"/>
        <v>142813.63830711957</v>
      </c>
      <c r="AR416" s="527">
        <f t="shared" si="603"/>
        <v>142813.63830711957</v>
      </c>
      <c r="AS416" s="527">
        <f t="shared" si="603"/>
        <v>142813.63830711957</v>
      </c>
      <c r="AT416" s="527">
        <f t="shared" si="603"/>
        <v>142813.63830711957</v>
      </c>
      <c r="AU416" s="527">
        <f t="shared" si="603"/>
        <v>142813.63830711957</v>
      </c>
      <c r="AV416" s="527">
        <f t="shared" si="603"/>
        <v>142813.63830711957</v>
      </c>
      <c r="AW416" s="527">
        <f t="shared" si="603"/>
        <v>142813.63830711957</v>
      </c>
      <c r="AX416" s="527">
        <f t="shared" ref="AX416:BY416" si="604">AX250+AX258+AX266+AX274+AX294+AX302+AX310+AX318+AX342+AX350+AX362+AX370+AX378+AX386+AX398+AX406</f>
        <v>142813.63830711957</v>
      </c>
      <c r="AY416" s="527">
        <f t="shared" si="604"/>
        <v>142813.63830711957</v>
      </c>
      <c r="AZ416" s="527">
        <f t="shared" si="604"/>
        <v>142813.63830711957</v>
      </c>
      <c r="BA416" s="527">
        <f t="shared" si="604"/>
        <v>142813.63830711957</v>
      </c>
      <c r="BB416" s="527">
        <f t="shared" si="604"/>
        <v>147747.20250832441</v>
      </c>
      <c r="BC416" s="527">
        <f t="shared" si="604"/>
        <v>147747.20250832441</v>
      </c>
      <c r="BD416" s="527">
        <f t="shared" si="604"/>
        <v>147747.20250832441</v>
      </c>
      <c r="BE416" s="527">
        <f t="shared" si="604"/>
        <v>147747.20250832441</v>
      </c>
      <c r="BF416" s="527">
        <f t="shared" si="604"/>
        <v>147747.20250832441</v>
      </c>
      <c r="BG416" s="527">
        <f t="shared" si="604"/>
        <v>147747.20250832441</v>
      </c>
      <c r="BH416" s="527">
        <f t="shared" si="604"/>
        <v>147747.20250832441</v>
      </c>
      <c r="BI416" s="527">
        <f t="shared" si="604"/>
        <v>147747.20250832441</v>
      </c>
      <c r="BJ416" s="527">
        <f t="shared" si="604"/>
        <v>147747.20250832441</v>
      </c>
      <c r="BK416" s="527">
        <f t="shared" si="604"/>
        <v>147747.20250832441</v>
      </c>
      <c r="BL416" s="527">
        <f t="shared" si="604"/>
        <v>147747.20250832441</v>
      </c>
      <c r="BM416" s="527">
        <f t="shared" si="604"/>
        <v>147747.20250832441</v>
      </c>
      <c r="BN416" s="527">
        <f t="shared" si="604"/>
        <v>152698.06812272762</v>
      </c>
      <c r="BO416" s="527">
        <f t="shared" si="604"/>
        <v>152698.06812272762</v>
      </c>
      <c r="BP416" s="527">
        <f t="shared" si="604"/>
        <v>152698.06812272762</v>
      </c>
      <c r="BQ416" s="527">
        <f t="shared" si="604"/>
        <v>152698.06812272762</v>
      </c>
      <c r="BR416" s="527">
        <f t="shared" si="604"/>
        <v>152698.06812272762</v>
      </c>
      <c r="BS416" s="527">
        <f t="shared" si="604"/>
        <v>152698.06812272762</v>
      </c>
      <c r="BT416" s="527">
        <f t="shared" si="604"/>
        <v>179114.25041067391</v>
      </c>
      <c r="BU416" s="527">
        <f t="shared" si="604"/>
        <v>179114.25041067391</v>
      </c>
      <c r="BV416" s="527">
        <f t="shared" si="604"/>
        <v>179114.25041067391</v>
      </c>
      <c r="BW416" s="527">
        <f t="shared" si="604"/>
        <v>179114.25041067391</v>
      </c>
      <c r="BX416" s="527">
        <f t="shared" si="604"/>
        <v>179114.25041067391</v>
      </c>
      <c r="BY416" s="527">
        <f t="shared" si="604"/>
        <v>179114.25041067391</v>
      </c>
    </row>
    <row r="417" spans="1:77" x14ac:dyDescent="0.3">
      <c r="A417" s="551"/>
      <c r="B417" s="548"/>
      <c r="C417" s="525"/>
      <c r="D417" s="525"/>
      <c r="E417" s="641" t="str">
        <f>"Implied EBITDA: "&amp;E$160</f>
        <v>Implied EBITDA: Uninvested Tranche</v>
      </c>
      <c r="F417" s="525"/>
      <c r="G417" s="525"/>
      <c r="H417" s="525"/>
      <c r="I417" s="525"/>
      <c r="J417" s="525"/>
      <c r="K417" s="525"/>
      <c r="L417" s="525"/>
      <c r="M417" s="525"/>
      <c r="N417" s="525"/>
      <c r="O417" s="525"/>
      <c r="P417" s="565"/>
      <c r="Q417" s="525"/>
      <c r="R417" s="527">
        <f t="shared" ref="R417:AW417" si="605">R251+R259+R267+R275+R295+R303+R311+R319+R343+R351+R363+R371+R379+R387+R399+R407</f>
        <v>289637.43870478729</v>
      </c>
      <c r="S417" s="527">
        <f t="shared" si="605"/>
        <v>289637.43870478729</v>
      </c>
      <c r="T417" s="527">
        <f t="shared" si="605"/>
        <v>289637.43870478729</v>
      </c>
      <c r="U417" s="527">
        <f t="shared" si="605"/>
        <v>289637.43870478729</v>
      </c>
      <c r="V417" s="527">
        <f t="shared" si="605"/>
        <v>289637.43870478729</v>
      </c>
      <c r="W417" s="527">
        <f t="shared" si="605"/>
        <v>289637.43870478729</v>
      </c>
      <c r="X417" s="527">
        <f t="shared" si="605"/>
        <v>289637.43870478729</v>
      </c>
      <c r="Y417" s="527">
        <f t="shared" si="605"/>
        <v>289637.43870478729</v>
      </c>
      <c r="Z417" s="527">
        <f t="shared" si="605"/>
        <v>289637.43870478729</v>
      </c>
      <c r="AA417" s="527">
        <f t="shared" si="605"/>
        <v>289637.43870478729</v>
      </c>
      <c r="AB417" s="527">
        <f t="shared" si="605"/>
        <v>289637.43870478729</v>
      </c>
      <c r="AC417" s="527">
        <f t="shared" si="605"/>
        <v>289637.43870478729</v>
      </c>
      <c r="AD417" s="527">
        <f t="shared" si="605"/>
        <v>301074.50481420674</v>
      </c>
      <c r="AE417" s="527">
        <f t="shared" si="605"/>
        <v>301074.50481420674</v>
      </c>
      <c r="AF417" s="527">
        <f t="shared" si="605"/>
        <v>301074.50481420674</v>
      </c>
      <c r="AG417" s="527">
        <f t="shared" si="605"/>
        <v>301074.50481420674</v>
      </c>
      <c r="AH417" s="527">
        <f t="shared" si="605"/>
        <v>301074.50481420674</v>
      </c>
      <c r="AI417" s="527">
        <f t="shared" si="605"/>
        <v>301074.50481420674</v>
      </c>
      <c r="AJ417" s="527">
        <f t="shared" si="605"/>
        <v>301074.50481420674</v>
      </c>
      <c r="AK417" s="527">
        <f t="shared" si="605"/>
        <v>301074.50481420674</v>
      </c>
      <c r="AL417" s="527">
        <f t="shared" si="605"/>
        <v>301074.50481420674</v>
      </c>
      <c r="AM417" s="527">
        <f t="shared" si="605"/>
        <v>301074.50481420674</v>
      </c>
      <c r="AN417" s="527">
        <f t="shared" si="605"/>
        <v>301074.50481420674</v>
      </c>
      <c r="AO417" s="527">
        <f t="shared" si="605"/>
        <v>301074.50481420674</v>
      </c>
      <c r="AP417" s="527">
        <f t="shared" si="605"/>
        <v>312404.8337968241</v>
      </c>
      <c r="AQ417" s="527">
        <f t="shared" si="605"/>
        <v>312404.8337968241</v>
      </c>
      <c r="AR417" s="527">
        <f t="shared" si="605"/>
        <v>312404.8337968241</v>
      </c>
      <c r="AS417" s="527">
        <f t="shared" si="605"/>
        <v>312404.8337968241</v>
      </c>
      <c r="AT417" s="527">
        <f t="shared" si="605"/>
        <v>312404.8337968241</v>
      </c>
      <c r="AU417" s="527">
        <f t="shared" si="605"/>
        <v>312404.8337968241</v>
      </c>
      <c r="AV417" s="527">
        <f t="shared" si="605"/>
        <v>312404.8337968241</v>
      </c>
      <c r="AW417" s="527">
        <f t="shared" si="605"/>
        <v>312404.8337968241</v>
      </c>
      <c r="AX417" s="527">
        <f t="shared" ref="AX417:BY417" si="606">AX251+AX259+AX267+AX275+AX295+AX303+AX311+AX319+AX343+AX351+AX363+AX371+AX379+AX387+AX399+AX407</f>
        <v>312404.8337968241</v>
      </c>
      <c r="AY417" s="527">
        <f t="shared" si="606"/>
        <v>312404.8337968241</v>
      </c>
      <c r="AZ417" s="527">
        <f t="shared" si="606"/>
        <v>312404.8337968241</v>
      </c>
      <c r="BA417" s="527">
        <f t="shared" si="606"/>
        <v>312404.8337968241</v>
      </c>
      <c r="BB417" s="527">
        <f t="shared" si="606"/>
        <v>323197.00548695965</v>
      </c>
      <c r="BC417" s="527">
        <f t="shared" si="606"/>
        <v>323197.00548695965</v>
      </c>
      <c r="BD417" s="527">
        <f t="shared" si="606"/>
        <v>323197.00548695965</v>
      </c>
      <c r="BE417" s="527">
        <f t="shared" si="606"/>
        <v>323197.00548695965</v>
      </c>
      <c r="BF417" s="527">
        <f t="shared" si="606"/>
        <v>323197.00548695965</v>
      </c>
      <c r="BG417" s="527">
        <f t="shared" si="606"/>
        <v>323197.00548695965</v>
      </c>
      <c r="BH417" s="527">
        <f t="shared" si="606"/>
        <v>323197.00548695965</v>
      </c>
      <c r="BI417" s="527">
        <f t="shared" si="606"/>
        <v>323197.00548695965</v>
      </c>
      <c r="BJ417" s="527">
        <f t="shared" si="606"/>
        <v>323197.00548695965</v>
      </c>
      <c r="BK417" s="527">
        <f t="shared" si="606"/>
        <v>323197.00548695965</v>
      </c>
      <c r="BL417" s="527">
        <f t="shared" si="606"/>
        <v>323197.00548695965</v>
      </c>
      <c r="BM417" s="527">
        <f t="shared" si="606"/>
        <v>323197.00548695965</v>
      </c>
      <c r="BN417" s="527">
        <f t="shared" si="606"/>
        <v>334027.02401846682</v>
      </c>
      <c r="BO417" s="527">
        <f t="shared" si="606"/>
        <v>334027.02401846682</v>
      </c>
      <c r="BP417" s="527">
        <f t="shared" si="606"/>
        <v>334027.02401846682</v>
      </c>
      <c r="BQ417" s="527">
        <f t="shared" si="606"/>
        <v>334027.02401846682</v>
      </c>
      <c r="BR417" s="527">
        <f t="shared" si="606"/>
        <v>334027.02401846682</v>
      </c>
      <c r="BS417" s="527">
        <f t="shared" si="606"/>
        <v>334027.02401846682</v>
      </c>
      <c r="BT417" s="527">
        <f t="shared" si="606"/>
        <v>334027.02401846682</v>
      </c>
      <c r="BU417" s="527">
        <f t="shared" si="606"/>
        <v>334027.02401846682</v>
      </c>
      <c r="BV417" s="527">
        <f t="shared" si="606"/>
        <v>334027.02401846682</v>
      </c>
      <c r="BW417" s="527">
        <f t="shared" si="606"/>
        <v>334027.02401846682</v>
      </c>
      <c r="BX417" s="527">
        <f t="shared" si="606"/>
        <v>334027.02401846682</v>
      </c>
      <c r="BY417" s="527">
        <f t="shared" si="606"/>
        <v>334027.02401846682</v>
      </c>
    </row>
    <row r="418" spans="1:77" x14ac:dyDescent="0.3">
      <c r="A418" s="551"/>
      <c r="B418" s="548"/>
      <c r="C418" s="525"/>
      <c r="D418" s="525"/>
      <c r="E418" s="572" t="s">
        <v>36</v>
      </c>
      <c r="F418" s="572"/>
      <c r="G418" s="572"/>
      <c r="H418" s="572"/>
      <c r="I418" s="572"/>
      <c r="J418" s="572"/>
      <c r="K418" s="572"/>
      <c r="L418" s="572"/>
      <c r="M418" s="572"/>
      <c r="N418" s="572"/>
      <c r="O418" s="572"/>
      <c r="P418" s="612"/>
      <c r="Q418" s="572"/>
      <c r="R418" s="530">
        <f t="shared" ref="R418:AW418" si="607">SUM(R412:R417)</f>
        <v>951665.87003001512</v>
      </c>
      <c r="S418" s="530">
        <f t="shared" si="607"/>
        <v>951665.87003001512</v>
      </c>
      <c r="T418" s="530">
        <f t="shared" si="607"/>
        <v>951665.87003001512</v>
      </c>
      <c r="U418" s="530">
        <f t="shared" si="607"/>
        <v>951665.87003001512</v>
      </c>
      <c r="V418" s="530">
        <f t="shared" si="607"/>
        <v>951665.87003001512</v>
      </c>
      <c r="W418" s="530">
        <f t="shared" si="607"/>
        <v>951665.87003001512</v>
      </c>
      <c r="X418" s="530">
        <f t="shared" si="607"/>
        <v>975910.88114591804</v>
      </c>
      <c r="Y418" s="530">
        <f t="shared" si="607"/>
        <v>975910.88114591804</v>
      </c>
      <c r="Z418" s="530">
        <f t="shared" si="607"/>
        <v>975910.88114591804</v>
      </c>
      <c r="AA418" s="530">
        <f t="shared" si="607"/>
        <v>975910.88114591804</v>
      </c>
      <c r="AB418" s="530">
        <f t="shared" si="607"/>
        <v>975910.88114591804</v>
      </c>
      <c r="AC418" s="530">
        <f t="shared" si="607"/>
        <v>975910.88114591804</v>
      </c>
      <c r="AD418" s="530">
        <f t="shared" si="607"/>
        <v>1008261.4395697048</v>
      </c>
      <c r="AE418" s="530">
        <f t="shared" si="607"/>
        <v>1008261.4395697048</v>
      </c>
      <c r="AF418" s="530">
        <f t="shared" si="607"/>
        <v>1008261.4395697048</v>
      </c>
      <c r="AG418" s="530">
        <f t="shared" si="607"/>
        <v>1008261.4395697048</v>
      </c>
      <c r="AH418" s="530">
        <f t="shared" si="607"/>
        <v>1008261.4395697048</v>
      </c>
      <c r="AI418" s="530">
        <f t="shared" si="607"/>
        <v>1008261.4395697048</v>
      </c>
      <c r="AJ418" s="530">
        <f t="shared" si="607"/>
        <v>1039355.5662555295</v>
      </c>
      <c r="AK418" s="530">
        <f t="shared" si="607"/>
        <v>1039355.5662555295</v>
      </c>
      <c r="AL418" s="530">
        <f t="shared" si="607"/>
        <v>1039355.5662555295</v>
      </c>
      <c r="AM418" s="530">
        <f t="shared" si="607"/>
        <v>1039355.5662555295</v>
      </c>
      <c r="AN418" s="530">
        <f t="shared" si="607"/>
        <v>1039355.5662555295</v>
      </c>
      <c r="AO418" s="530">
        <f t="shared" si="607"/>
        <v>1039355.5662555295</v>
      </c>
      <c r="AP418" s="530">
        <f t="shared" si="607"/>
        <v>1066224.6321285935</v>
      </c>
      <c r="AQ418" s="530">
        <f t="shared" si="607"/>
        <v>1066224.6321285935</v>
      </c>
      <c r="AR418" s="530">
        <f t="shared" si="607"/>
        <v>1066224.6321285935</v>
      </c>
      <c r="AS418" s="530">
        <f t="shared" si="607"/>
        <v>1066224.6321285935</v>
      </c>
      <c r="AT418" s="530">
        <f t="shared" si="607"/>
        <v>1066224.6321285935</v>
      </c>
      <c r="AU418" s="530">
        <f t="shared" si="607"/>
        <v>1066224.6321285935</v>
      </c>
      <c r="AV418" s="530">
        <f t="shared" si="607"/>
        <v>1104625.3867716563</v>
      </c>
      <c r="AW418" s="530">
        <f t="shared" si="607"/>
        <v>1104625.3867716563</v>
      </c>
      <c r="AX418" s="530">
        <f t="shared" ref="AX418:BY418" si="608">SUM(AX412:AX417)</f>
        <v>1104625.3867716563</v>
      </c>
      <c r="AY418" s="530">
        <f t="shared" si="608"/>
        <v>1104625.3867716563</v>
      </c>
      <c r="AZ418" s="530">
        <f t="shared" si="608"/>
        <v>1104625.3867716563</v>
      </c>
      <c r="BA418" s="530">
        <f t="shared" si="608"/>
        <v>1104625.3867716563</v>
      </c>
      <c r="BB418" s="530">
        <f t="shared" si="608"/>
        <v>1125284.6868642014</v>
      </c>
      <c r="BC418" s="530">
        <f t="shared" si="608"/>
        <v>1125284.6868642014</v>
      </c>
      <c r="BD418" s="530">
        <f t="shared" si="608"/>
        <v>1125284.6868642014</v>
      </c>
      <c r="BE418" s="530">
        <f t="shared" si="608"/>
        <v>1125284.6868642014</v>
      </c>
      <c r="BF418" s="530">
        <f t="shared" si="608"/>
        <v>1125284.6868642014</v>
      </c>
      <c r="BG418" s="530">
        <f t="shared" si="608"/>
        <v>1125284.6868642014</v>
      </c>
      <c r="BH418" s="530">
        <f t="shared" si="608"/>
        <v>1171458.9312236842</v>
      </c>
      <c r="BI418" s="530">
        <f t="shared" si="608"/>
        <v>1171458.9312236842</v>
      </c>
      <c r="BJ418" s="530">
        <f t="shared" si="608"/>
        <v>1171458.9312236842</v>
      </c>
      <c r="BK418" s="530">
        <f t="shared" si="608"/>
        <v>1171458.9312236842</v>
      </c>
      <c r="BL418" s="530">
        <f t="shared" si="608"/>
        <v>1171458.9312236842</v>
      </c>
      <c r="BM418" s="530">
        <f t="shared" si="608"/>
        <v>1171458.9312236842</v>
      </c>
      <c r="BN418" s="530">
        <f t="shared" si="608"/>
        <v>1187239.8153695944</v>
      </c>
      <c r="BO418" s="530">
        <f t="shared" si="608"/>
        <v>1187239.8153695944</v>
      </c>
      <c r="BP418" s="530">
        <f t="shared" si="608"/>
        <v>1187239.8153695944</v>
      </c>
      <c r="BQ418" s="530">
        <f t="shared" si="608"/>
        <v>1187239.8153695944</v>
      </c>
      <c r="BR418" s="530">
        <f t="shared" si="608"/>
        <v>1187239.8153695944</v>
      </c>
      <c r="BS418" s="530">
        <f t="shared" si="608"/>
        <v>1187239.8153695944</v>
      </c>
      <c r="BT418" s="530">
        <f t="shared" si="608"/>
        <v>1241676.5865866768</v>
      </c>
      <c r="BU418" s="530">
        <f t="shared" si="608"/>
        <v>1241676.5865866768</v>
      </c>
      <c r="BV418" s="530">
        <f t="shared" si="608"/>
        <v>1241676.5865866768</v>
      </c>
      <c r="BW418" s="530">
        <f t="shared" si="608"/>
        <v>1241676.5865866768</v>
      </c>
      <c r="BX418" s="530">
        <f t="shared" si="608"/>
        <v>1241676.5865866768</v>
      </c>
      <c r="BY418" s="530">
        <f t="shared" si="608"/>
        <v>1241676.5865866768</v>
      </c>
    </row>
    <row r="419" spans="1:77" x14ac:dyDescent="0.3">
      <c r="A419" s="551"/>
      <c r="B419" s="548"/>
      <c r="C419" s="525"/>
      <c r="D419" s="525"/>
      <c r="E419" s="525"/>
      <c r="F419" s="525"/>
      <c r="G419" s="525"/>
      <c r="H419" s="525"/>
      <c r="I419" s="525"/>
      <c r="J419" s="525"/>
      <c r="K419" s="525"/>
      <c r="L419" s="525"/>
      <c r="M419" s="525"/>
      <c r="N419" s="525"/>
      <c r="O419" s="525"/>
      <c r="P419" s="565"/>
      <c r="Q419" s="525"/>
      <c r="R419" s="525"/>
      <c r="S419" s="525"/>
      <c r="T419" s="525"/>
      <c r="U419" s="525"/>
      <c r="V419" s="525"/>
      <c r="W419" s="525"/>
      <c r="X419" s="525"/>
      <c r="Y419" s="525"/>
      <c r="Z419" s="525"/>
      <c r="AA419" s="525"/>
      <c r="AB419" s="525"/>
      <c r="AC419" s="525"/>
      <c r="AD419" s="525"/>
      <c r="AE419" s="525"/>
      <c r="AF419" s="525"/>
      <c r="AG419" s="525"/>
      <c r="AH419" s="525"/>
      <c r="AI419" s="525"/>
      <c r="AJ419" s="525"/>
      <c r="AK419" s="525"/>
      <c r="AL419" s="525"/>
      <c r="AM419" s="525"/>
      <c r="AN419" s="525"/>
      <c r="AO419" s="525"/>
      <c r="AP419" s="525"/>
      <c r="AQ419" s="525"/>
      <c r="AR419" s="525"/>
      <c r="AS419" s="525"/>
      <c r="AT419" s="525"/>
      <c r="AU419" s="525"/>
      <c r="AV419" s="525"/>
      <c r="AW419" s="525"/>
      <c r="AX419" s="525"/>
      <c r="AY419" s="525"/>
      <c r="AZ419" s="525"/>
      <c r="BA419" s="525"/>
      <c r="BB419" s="525"/>
      <c r="BC419" s="525"/>
      <c r="BD419" s="525"/>
      <c r="BE419" s="525"/>
      <c r="BF419" s="525"/>
      <c r="BG419" s="525"/>
      <c r="BH419" s="525"/>
      <c r="BI419" s="525"/>
      <c r="BJ419" s="525"/>
      <c r="BK419" s="525"/>
      <c r="BL419" s="525"/>
      <c r="BM419" s="525"/>
      <c r="BN419" s="525"/>
      <c r="BO419" s="525"/>
      <c r="BP419" s="525"/>
      <c r="BQ419" s="525"/>
      <c r="BR419" s="525"/>
      <c r="BS419" s="525"/>
      <c r="BT419" s="525"/>
      <c r="BU419" s="525"/>
      <c r="BV419" s="525"/>
      <c r="BW419" s="525"/>
      <c r="BX419" s="525"/>
      <c r="BY419" s="525"/>
    </row>
    <row r="420" spans="1:77" x14ac:dyDescent="0.3">
      <c r="A420" s="551"/>
      <c r="B420" s="548"/>
      <c r="C420" s="525"/>
      <c r="D420" s="525"/>
      <c r="E420" s="642" t="str">
        <f>"EBITDA uplift: "&amp;E$155</f>
        <v>EBITDA uplift: FY27 Tranche</v>
      </c>
      <c r="F420" s="525"/>
      <c r="G420" s="525"/>
      <c r="H420" s="525"/>
      <c r="I420" s="525"/>
      <c r="J420" s="525"/>
      <c r="K420" s="525"/>
      <c r="L420" s="525"/>
      <c r="M420" s="525"/>
      <c r="N420" s="525"/>
      <c r="O420" s="525"/>
      <c r="P420" s="565"/>
      <c r="Q420" s="525"/>
      <c r="R420" s="643">
        <f t="shared" ref="R420:R425" si="609">IFERROR((INDEX(R412:BY412,MATCH(EOMONTH(V155,1),$R$4:$BY$4,0))/(INDEX(R412:BY412,MATCH(T155,$R$4:$BY$4,0))))-1,"n/a")</f>
        <v>0.18311155509869925</v>
      </c>
      <c r="S420" s="525"/>
      <c r="T420" s="525"/>
      <c r="U420" s="525"/>
      <c r="V420" s="525"/>
      <c r="W420" s="525"/>
      <c r="X420" s="525"/>
      <c r="Y420" s="525"/>
      <c r="Z420" s="525"/>
      <c r="AA420" s="525"/>
      <c r="AB420" s="525"/>
      <c r="AC420" s="525"/>
      <c r="AD420" s="525"/>
      <c r="AE420" s="525"/>
      <c r="AF420" s="525"/>
      <c r="AG420" s="525"/>
      <c r="AH420" s="525"/>
      <c r="AI420" s="525"/>
      <c r="AJ420" s="525"/>
      <c r="AK420" s="525"/>
      <c r="AL420" s="525"/>
      <c r="AM420" s="525"/>
      <c r="AN420" s="525"/>
      <c r="AO420" s="525"/>
      <c r="AP420" s="525"/>
      <c r="AQ420" s="525"/>
      <c r="AR420" s="525"/>
      <c r="AS420" s="525"/>
      <c r="AT420" s="525"/>
      <c r="AU420" s="525"/>
      <c r="AV420" s="525"/>
      <c r="AW420" s="525"/>
      <c r="AX420" s="525"/>
      <c r="AY420" s="525"/>
      <c r="AZ420" s="525"/>
      <c r="BA420" s="525"/>
      <c r="BB420" s="525"/>
      <c r="BC420" s="525"/>
      <c r="BD420" s="525"/>
      <c r="BE420" s="525"/>
      <c r="BF420" s="525"/>
      <c r="BG420" s="525"/>
      <c r="BH420" s="525"/>
      <c r="BI420" s="525"/>
      <c r="BJ420" s="525"/>
      <c r="BK420" s="525"/>
      <c r="BL420" s="525"/>
      <c r="BM420" s="525"/>
      <c r="BN420" s="525"/>
      <c r="BO420" s="525"/>
      <c r="BP420" s="525"/>
      <c r="BQ420" s="525"/>
      <c r="BR420" s="525"/>
      <c r="BS420" s="525"/>
      <c r="BT420" s="525"/>
      <c r="BU420" s="525"/>
      <c r="BV420" s="525"/>
      <c r="BW420" s="525"/>
      <c r="BX420" s="525"/>
      <c r="BY420" s="525"/>
    </row>
    <row r="421" spans="1:77" x14ac:dyDescent="0.3">
      <c r="A421" s="551"/>
      <c r="B421" s="548"/>
      <c r="C421" s="525"/>
      <c r="D421" s="525"/>
      <c r="E421" s="642" t="str">
        <f>"EBITDA uplift: "&amp;E$156</f>
        <v>EBITDA uplift: FY28 Tranche</v>
      </c>
      <c r="F421" s="525"/>
      <c r="G421" s="525"/>
      <c r="H421" s="525"/>
      <c r="I421" s="525"/>
      <c r="J421" s="525"/>
      <c r="K421" s="525"/>
      <c r="L421" s="525"/>
      <c r="M421" s="525"/>
      <c r="N421" s="525"/>
      <c r="O421" s="525"/>
      <c r="P421" s="565"/>
      <c r="Q421" s="525"/>
      <c r="R421" s="643">
        <f t="shared" si="609"/>
        <v>0.18039211303502456</v>
      </c>
      <c r="S421" s="525"/>
      <c r="T421" s="525"/>
      <c r="U421" s="525"/>
      <c r="V421" s="525"/>
      <c r="W421" s="525"/>
      <c r="X421" s="525"/>
      <c r="Y421" s="525"/>
      <c r="Z421" s="525"/>
      <c r="AA421" s="525"/>
      <c r="AB421" s="525"/>
      <c r="AC421" s="525"/>
      <c r="AD421" s="525"/>
      <c r="AE421" s="525"/>
      <c r="AF421" s="525"/>
      <c r="AG421" s="525"/>
      <c r="AH421" s="525"/>
      <c r="AI421" s="525"/>
      <c r="AJ421" s="525"/>
      <c r="AK421" s="525"/>
      <c r="AL421" s="525"/>
      <c r="AM421" s="525"/>
      <c r="AN421" s="525"/>
      <c r="AO421" s="525"/>
      <c r="AP421" s="525"/>
      <c r="AQ421" s="525"/>
      <c r="AR421" s="525"/>
      <c r="AS421" s="525"/>
      <c r="AT421" s="525"/>
      <c r="AU421" s="525"/>
      <c r="AV421" s="525"/>
      <c r="AW421" s="525"/>
      <c r="AX421" s="525"/>
      <c r="AY421" s="525"/>
      <c r="AZ421" s="525"/>
      <c r="BA421" s="525"/>
      <c r="BB421" s="525"/>
      <c r="BC421" s="525"/>
      <c r="BD421" s="525"/>
      <c r="BE421" s="525"/>
      <c r="BF421" s="525"/>
      <c r="BG421" s="525"/>
      <c r="BH421" s="525"/>
      <c r="BI421" s="525"/>
      <c r="BJ421" s="525"/>
      <c r="BK421" s="525"/>
      <c r="BL421" s="525"/>
      <c r="BM421" s="525"/>
      <c r="BN421" s="525"/>
      <c r="BO421" s="525"/>
      <c r="BP421" s="525"/>
      <c r="BQ421" s="525"/>
      <c r="BR421" s="525"/>
      <c r="BS421" s="525"/>
      <c r="BT421" s="525"/>
      <c r="BU421" s="525"/>
      <c r="BV421" s="525"/>
      <c r="BW421" s="525"/>
      <c r="BX421" s="525"/>
      <c r="BY421" s="525"/>
    </row>
    <row r="422" spans="1:77" x14ac:dyDescent="0.3">
      <c r="A422" s="551"/>
      <c r="B422" s="548"/>
      <c r="C422" s="525"/>
      <c r="D422" s="525"/>
      <c r="E422" s="642" t="str">
        <f>"EBITDA uplift: "&amp;E$157</f>
        <v>EBITDA uplift: FY29 Tranche</v>
      </c>
      <c r="F422" s="525"/>
      <c r="G422" s="525"/>
      <c r="H422" s="525"/>
      <c r="I422" s="525"/>
      <c r="J422" s="525"/>
      <c r="K422" s="525"/>
      <c r="L422" s="525"/>
      <c r="M422" s="525"/>
      <c r="N422" s="525"/>
      <c r="O422" s="525"/>
      <c r="P422" s="565"/>
      <c r="Q422" s="525"/>
      <c r="R422" s="643">
        <f t="shared" si="609"/>
        <v>0.17775332669597677</v>
      </c>
      <c r="S422" s="525"/>
      <c r="T422" s="525"/>
      <c r="U422" s="525"/>
      <c r="V422" s="525"/>
      <c r="W422" s="525"/>
      <c r="X422" s="525"/>
      <c r="Y422" s="525"/>
      <c r="Z422" s="525"/>
      <c r="AA422" s="525"/>
      <c r="AB422" s="525"/>
      <c r="AC422" s="525"/>
      <c r="AD422" s="525"/>
      <c r="AE422" s="525"/>
      <c r="AF422" s="525"/>
      <c r="AG422" s="525"/>
      <c r="AH422" s="525"/>
      <c r="AI422" s="525"/>
      <c r="AJ422" s="525"/>
      <c r="AK422" s="525"/>
      <c r="AL422" s="525"/>
      <c r="AM422" s="525"/>
      <c r="AN422" s="525"/>
      <c r="AO422" s="525"/>
      <c r="AP422" s="525"/>
      <c r="AQ422" s="525"/>
      <c r="AR422" s="525"/>
      <c r="AS422" s="525"/>
      <c r="AT422" s="525"/>
      <c r="AU422" s="525"/>
      <c r="AV422" s="525"/>
      <c r="AW422" s="525"/>
      <c r="AX422" s="525"/>
      <c r="AY422" s="525"/>
      <c r="AZ422" s="525"/>
      <c r="BA422" s="525"/>
      <c r="BB422" s="525"/>
      <c r="BC422" s="525"/>
      <c r="BD422" s="525"/>
      <c r="BE422" s="525"/>
      <c r="BF422" s="525"/>
      <c r="BG422" s="525"/>
      <c r="BH422" s="525"/>
      <c r="BI422" s="525"/>
      <c r="BJ422" s="525"/>
      <c r="BK422" s="525"/>
      <c r="BL422" s="525"/>
      <c r="BM422" s="525"/>
      <c r="BN422" s="525"/>
      <c r="BO422" s="525"/>
      <c r="BP422" s="525"/>
      <c r="BQ422" s="525"/>
      <c r="BR422" s="525"/>
      <c r="BS422" s="525"/>
      <c r="BT422" s="525"/>
      <c r="BU422" s="525"/>
      <c r="BV422" s="525"/>
      <c r="BW422" s="525"/>
      <c r="BX422" s="525"/>
      <c r="BY422" s="525"/>
    </row>
    <row r="423" spans="1:77" x14ac:dyDescent="0.3">
      <c r="A423" s="551"/>
      <c r="B423" s="548"/>
      <c r="C423" s="525"/>
      <c r="D423" s="525"/>
      <c r="E423" s="642" t="str">
        <f>"EBITDA uplift: "&amp;E$158</f>
        <v>EBITDA uplift: FY30 Tranche</v>
      </c>
      <c r="F423" s="525"/>
      <c r="G423" s="525"/>
      <c r="H423" s="525"/>
      <c r="I423" s="525"/>
      <c r="J423" s="525"/>
      <c r="K423" s="525"/>
      <c r="L423" s="525"/>
      <c r="M423" s="525"/>
      <c r="N423" s="525"/>
      <c r="O423" s="525"/>
      <c r="P423" s="565"/>
      <c r="Q423" s="525"/>
      <c r="R423" s="643">
        <f t="shared" si="609"/>
        <v>0.17537058479059286</v>
      </c>
      <c r="S423" s="525"/>
      <c r="T423" s="525"/>
      <c r="U423" s="525"/>
      <c r="V423" s="525"/>
      <c r="W423" s="525"/>
      <c r="X423" s="525"/>
      <c r="Y423" s="525"/>
      <c r="Z423" s="525"/>
      <c r="AA423" s="525"/>
      <c r="AB423" s="525"/>
      <c r="AC423" s="525"/>
      <c r="AD423" s="525"/>
      <c r="AE423" s="525"/>
      <c r="AF423" s="525"/>
      <c r="AG423" s="525"/>
      <c r="AH423" s="525"/>
      <c r="AI423" s="525"/>
      <c r="AJ423" s="525"/>
      <c r="AK423" s="525"/>
      <c r="AL423" s="525"/>
      <c r="AM423" s="525"/>
      <c r="AN423" s="525"/>
      <c r="AO423" s="525"/>
      <c r="AP423" s="525"/>
      <c r="AQ423" s="525"/>
      <c r="AR423" s="525"/>
      <c r="AS423" s="525"/>
      <c r="AT423" s="525"/>
      <c r="AU423" s="525"/>
      <c r="AV423" s="525"/>
      <c r="AW423" s="525"/>
      <c r="AX423" s="525"/>
      <c r="AY423" s="525"/>
      <c r="AZ423" s="525"/>
      <c r="BA423" s="525"/>
      <c r="BB423" s="525"/>
      <c r="BC423" s="525"/>
      <c r="BD423" s="525"/>
      <c r="BE423" s="525"/>
      <c r="BF423" s="525"/>
      <c r="BG423" s="525"/>
      <c r="BH423" s="525"/>
      <c r="BI423" s="525"/>
      <c r="BJ423" s="525"/>
      <c r="BK423" s="525"/>
      <c r="BL423" s="525"/>
      <c r="BM423" s="525"/>
      <c r="BN423" s="525"/>
      <c r="BO423" s="525"/>
      <c r="BP423" s="525"/>
      <c r="BQ423" s="525"/>
      <c r="BR423" s="525"/>
      <c r="BS423" s="525"/>
      <c r="BT423" s="525"/>
      <c r="BU423" s="525"/>
      <c r="BV423" s="525"/>
      <c r="BW423" s="525"/>
      <c r="BX423" s="525"/>
      <c r="BY423" s="525"/>
    </row>
    <row r="424" spans="1:77" x14ac:dyDescent="0.3">
      <c r="A424" s="551"/>
      <c r="B424" s="548"/>
      <c r="C424" s="525"/>
      <c r="D424" s="525"/>
      <c r="E424" s="642" t="str">
        <f>"EBITDA uplift: "&amp;E$159</f>
        <v>EBITDA uplift: FY31 Tranche</v>
      </c>
      <c r="F424" s="525"/>
      <c r="G424" s="525"/>
      <c r="H424" s="525"/>
      <c r="I424" s="525"/>
      <c r="J424" s="525"/>
      <c r="K424" s="525"/>
      <c r="L424" s="525"/>
      <c r="M424" s="525"/>
      <c r="N424" s="525"/>
      <c r="O424" s="525"/>
      <c r="P424" s="565"/>
      <c r="Q424" s="525"/>
      <c r="R424" s="643">
        <f t="shared" si="609"/>
        <v>0.17299617875135698</v>
      </c>
      <c r="S424" s="525"/>
      <c r="T424" s="525"/>
      <c r="U424" s="525"/>
      <c r="V424" s="525"/>
      <c r="W424" s="525"/>
      <c r="X424" s="525"/>
      <c r="Y424" s="525"/>
      <c r="Z424" s="525"/>
      <c r="AA424" s="525"/>
      <c r="AB424" s="525"/>
      <c r="AC424" s="525"/>
      <c r="AD424" s="525"/>
      <c r="AE424" s="525"/>
      <c r="AF424" s="525"/>
      <c r="AG424" s="525"/>
      <c r="AH424" s="525"/>
      <c r="AI424" s="525"/>
      <c r="AJ424" s="525"/>
      <c r="AK424" s="525"/>
      <c r="AL424" s="525"/>
      <c r="AM424" s="525"/>
      <c r="AN424" s="525"/>
      <c r="AO424" s="525"/>
      <c r="AP424" s="525"/>
      <c r="AQ424" s="525"/>
      <c r="AR424" s="525"/>
      <c r="AS424" s="525"/>
      <c r="AT424" s="525"/>
      <c r="AU424" s="525"/>
      <c r="AV424" s="525"/>
      <c r="AW424" s="525"/>
      <c r="AX424" s="525"/>
      <c r="AY424" s="525"/>
      <c r="AZ424" s="525"/>
      <c r="BA424" s="525"/>
      <c r="BB424" s="525"/>
      <c r="BC424" s="525"/>
      <c r="BD424" s="525"/>
      <c r="BE424" s="525"/>
      <c r="BF424" s="525"/>
      <c r="BG424" s="525"/>
      <c r="BH424" s="525"/>
      <c r="BI424" s="525"/>
      <c r="BJ424" s="525"/>
      <c r="BK424" s="525"/>
      <c r="BL424" s="525"/>
      <c r="BM424" s="525"/>
      <c r="BN424" s="525"/>
      <c r="BO424" s="525"/>
      <c r="BP424" s="525"/>
      <c r="BQ424" s="525"/>
      <c r="BR424" s="525"/>
      <c r="BS424" s="525"/>
      <c r="BT424" s="525"/>
      <c r="BU424" s="525"/>
      <c r="BV424" s="525"/>
      <c r="BW424" s="525"/>
      <c r="BX424" s="525"/>
      <c r="BY424" s="525"/>
    </row>
    <row r="425" spans="1:77" x14ac:dyDescent="0.3">
      <c r="A425" s="551"/>
      <c r="B425" s="548"/>
      <c r="C425" s="525"/>
      <c r="D425" s="525"/>
      <c r="E425" s="642" t="str">
        <f>"EBITDA uplift: "&amp;E$160</f>
        <v>EBITDA uplift: Uninvested Tranche</v>
      </c>
      <c r="F425" s="525"/>
      <c r="G425" s="525"/>
      <c r="H425" s="525"/>
      <c r="I425" s="525"/>
      <c r="J425" s="525"/>
      <c r="K425" s="525"/>
      <c r="L425" s="525"/>
      <c r="M425" s="525"/>
      <c r="N425" s="525"/>
      <c r="O425" s="525"/>
      <c r="P425" s="565"/>
      <c r="Q425" s="525"/>
      <c r="R425" s="644" t="str">
        <f t="shared" si="609"/>
        <v>n/a</v>
      </c>
      <c r="S425" s="525"/>
      <c r="T425" s="525"/>
      <c r="U425" s="525"/>
      <c r="V425" s="525"/>
      <c r="W425" s="525"/>
      <c r="X425" s="525"/>
      <c r="Y425" s="525"/>
      <c r="Z425" s="525"/>
      <c r="AA425" s="525"/>
      <c r="AB425" s="525"/>
      <c r="AC425" s="525"/>
      <c r="AD425" s="525"/>
      <c r="AE425" s="525"/>
      <c r="AF425" s="525"/>
      <c r="AG425" s="525"/>
      <c r="AH425" s="525"/>
      <c r="AI425" s="525"/>
      <c r="AJ425" s="525"/>
      <c r="AK425" s="525"/>
      <c r="AL425" s="525"/>
      <c r="AM425" s="525"/>
      <c r="AN425" s="525"/>
      <c r="AO425" s="525"/>
      <c r="AP425" s="525"/>
      <c r="AQ425" s="525"/>
      <c r="AR425" s="525"/>
      <c r="AS425" s="525"/>
      <c r="AT425" s="525"/>
      <c r="AU425" s="525"/>
      <c r="AV425" s="525"/>
      <c r="AW425" s="525"/>
      <c r="AX425" s="525"/>
      <c r="AY425" s="525"/>
      <c r="AZ425" s="525"/>
      <c r="BA425" s="525"/>
      <c r="BB425" s="525"/>
      <c r="BC425" s="525"/>
      <c r="BD425" s="525"/>
      <c r="BE425" s="525"/>
      <c r="BF425" s="525"/>
      <c r="BG425" s="525"/>
      <c r="BH425" s="525"/>
      <c r="BI425" s="525"/>
      <c r="BJ425" s="525"/>
      <c r="BK425" s="525"/>
      <c r="BL425" s="525"/>
      <c r="BM425" s="525"/>
      <c r="BN425" s="525"/>
      <c r="BO425" s="525"/>
      <c r="BP425" s="525"/>
      <c r="BQ425" s="525"/>
      <c r="BR425" s="525"/>
      <c r="BS425" s="525"/>
      <c r="BT425" s="525"/>
      <c r="BU425" s="525"/>
      <c r="BV425" s="525"/>
      <c r="BW425" s="525"/>
      <c r="BX425" s="525"/>
      <c r="BY425" s="525"/>
    </row>
    <row r="426" spans="1:77" x14ac:dyDescent="0.3">
      <c r="A426" s="551"/>
      <c r="B426" s="548"/>
      <c r="C426" s="525"/>
      <c r="D426" s="525"/>
      <c r="E426" s="525"/>
      <c r="F426" s="525"/>
      <c r="G426" s="525"/>
      <c r="H426" s="525"/>
      <c r="I426" s="525"/>
      <c r="J426" s="525"/>
      <c r="K426" s="525"/>
      <c r="L426" s="525"/>
      <c r="M426" s="525"/>
      <c r="N426" s="525"/>
      <c r="O426" s="525"/>
      <c r="P426" s="565"/>
      <c r="Q426" s="525"/>
      <c r="R426" s="525"/>
      <c r="S426" s="525"/>
      <c r="T426" s="525"/>
      <c r="U426" s="525"/>
      <c r="V426" s="525"/>
      <c r="W426" s="525"/>
      <c r="X426" s="525"/>
      <c r="Y426" s="525"/>
      <c r="Z426" s="525"/>
      <c r="AA426" s="525"/>
      <c r="AB426" s="525"/>
      <c r="AC426" s="525"/>
      <c r="AD426" s="525"/>
      <c r="AE426" s="525"/>
      <c r="AF426" s="525"/>
      <c r="AG426" s="525"/>
      <c r="AH426" s="525"/>
      <c r="AI426" s="525"/>
      <c r="AJ426" s="525"/>
      <c r="AK426" s="525"/>
      <c r="AL426" s="525"/>
      <c r="AM426" s="525"/>
      <c r="AN426" s="525"/>
      <c r="AO426" s="525"/>
      <c r="AP426" s="525"/>
      <c r="AQ426" s="525"/>
      <c r="AR426" s="525"/>
      <c r="AS426" s="525"/>
      <c r="AT426" s="525"/>
      <c r="AU426" s="525"/>
      <c r="AV426" s="525"/>
      <c r="AW426" s="525"/>
      <c r="AX426" s="525"/>
      <c r="AY426" s="525"/>
      <c r="AZ426" s="525"/>
      <c r="BA426" s="525"/>
      <c r="BB426" s="525"/>
      <c r="BC426" s="525"/>
      <c r="BD426" s="525"/>
      <c r="BE426" s="525"/>
      <c r="BF426" s="525"/>
      <c r="BG426" s="525"/>
      <c r="BH426" s="525"/>
      <c r="BI426" s="525"/>
      <c r="BJ426" s="525"/>
      <c r="BK426" s="525"/>
      <c r="BL426" s="525"/>
      <c r="BM426" s="525"/>
      <c r="BN426" s="525"/>
      <c r="BO426" s="525"/>
      <c r="BP426" s="525"/>
      <c r="BQ426" s="525"/>
      <c r="BR426" s="525"/>
      <c r="BS426" s="525"/>
      <c r="BT426" s="525"/>
      <c r="BU426" s="525"/>
      <c r="BV426" s="525"/>
      <c r="BW426" s="525"/>
      <c r="BX426" s="525"/>
      <c r="BY426" s="525"/>
    </row>
    <row r="427" spans="1:77" x14ac:dyDescent="0.3">
      <c r="A427" s="551"/>
      <c r="B427" s="548"/>
      <c r="C427" s="584" t="s">
        <v>37</v>
      </c>
      <c r="D427" s="525"/>
      <c r="E427" s="538" t="s">
        <v>111</v>
      </c>
      <c r="F427" s="538"/>
      <c r="G427" s="538"/>
      <c r="H427" s="538"/>
      <c r="I427" s="538"/>
      <c r="J427" s="538"/>
      <c r="K427" s="538"/>
      <c r="L427" s="538"/>
      <c r="M427" s="538"/>
      <c r="N427" s="538"/>
      <c r="O427" s="538"/>
      <c r="P427" s="584"/>
      <c r="Q427" s="538"/>
      <c r="R427" s="538"/>
      <c r="S427" s="538"/>
      <c r="T427" s="538"/>
      <c r="U427" s="538"/>
      <c r="V427" s="538"/>
      <c r="W427" s="538"/>
      <c r="X427" s="538"/>
      <c r="Y427" s="538"/>
      <c r="Z427" s="538"/>
      <c r="AA427" s="538"/>
      <c r="AB427" s="538"/>
      <c r="AC427" s="538"/>
      <c r="AD427" s="538"/>
      <c r="AE427" s="538"/>
      <c r="AF427" s="538"/>
      <c r="AG427" s="538"/>
      <c r="AH427" s="538"/>
      <c r="AI427" s="538"/>
      <c r="AJ427" s="538"/>
      <c r="AK427" s="538"/>
      <c r="AL427" s="538"/>
      <c r="AM427" s="538"/>
      <c r="AN427" s="538"/>
      <c r="AO427" s="538"/>
      <c r="AP427" s="538"/>
      <c r="AQ427" s="538"/>
      <c r="AR427" s="538"/>
      <c r="AS427" s="538"/>
      <c r="AT427" s="538"/>
      <c r="AU427" s="538"/>
      <c r="AV427" s="538"/>
      <c r="AW427" s="538"/>
      <c r="AX427" s="538"/>
      <c r="AY427" s="538"/>
      <c r="AZ427" s="538"/>
      <c r="BA427" s="538"/>
      <c r="BB427" s="538"/>
      <c r="BC427" s="538"/>
      <c r="BD427" s="538"/>
      <c r="BE427" s="538"/>
      <c r="BF427" s="538"/>
      <c r="BG427" s="538"/>
      <c r="BH427" s="538"/>
      <c r="BI427" s="538"/>
      <c r="BJ427" s="538"/>
      <c r="BK427" s="538"/>
      <c r="BL427" s="538"/>
      <c r="BM427" s="538"/>
      <c r="BN427" s="538"/>
      <c r="BO427" s="538"/>
      <c r="BP427" s="538"/>
      <c r="BQ427" s="538"/>
      <c r="BR427" s="538"/>
      <c r="BS427" s="538"/>
      <c r="BT427" s="538"/>
      <c r="BU427" s="538"/>
      <c r="BV427" s="538"/>
      <c r="BW427" s="538"/>
      <c r="BX427" s="538"/>
      <c r="BY427" s="538"/>
    </row>
    <row r="428" spans="1:77" x14ac:dyDescent="0.3">
      <c r="A428" s="551"/>
      <c r="B428" s="548"/>
      <c r="C428" s="525"/>
      <c r="D428" s="525"/>
      <c r="E428" s="525"/>
      <c r="F428" s="525"/>
      <c r="G428" s="525"/>
      <c r="H428" s="525"/>
      <c r="I428" s="525"/>
      <c r="J428" s="525"/>
      <c r="K428" s="525"/>
      <c r="L428" s="525"/>
      <c r="M428" s="525"/>
      <c r="N428" s="525"/>
      <c r="O428" s="525"/>
      <c r="P428" s="565"/>
      <c r="Q428" s="525"/>
      <c r="R428" s="525"/>
      <c r="S428" s="525"/>
      <c r="T428" s="525"/>
      <c r="U428" s="525"/>
      <c r="V428" s="525"/>
      <c r="W428" s="525"/>
      <c r="X428" s="525"/>
      <c r="Y428" s="525"/>
      <c r="Z428" s="525"/>
      <c r="AA428" s="525"/>
      <c r="AB428" s="525"/>
      <c r="AC428" s="525"/>
      <c r="AD428" s="525"/>
      <c r="AE428" s="525"/>
      <c r="AF428" s="525"/>
      <c r="AG428" s="525"/>
      <c r="AH428" s="525"/>
      <c r="AI428" s="525"/>
      <c r="AJ428" s="525"/>
      <c r="AK428" s="525"/>
      <c r="AL428" s="525"/>
      <c r="AM428" s="525"/>
      <c r="AN428" s="525"/>
      <c r="AO428" s="525"/>
      <c r="AP428" s="525"/>
      <c r="AQ428" s="525"/>
      <c r="AR428" s="525"/>
      <c r="AS428" s="525"/>
      <c r="AT428" s="525"/>
      <c r="AU428" s="525"/>
      <c r="AV428" s="525"/>
      <c r="AW428" s="525"/>
      <c r="AX428" s="525"/>
      <c r="AY428" s="525"/>
      <c r="AZ428" s="525"/>
      <c r="BA428" s="525"/>
      <c r="BB428" s="525"/>
      <c r="BC428" s="525"/>
      <c r="BD428" s="525"/>
      <c r="BE428" s="525"/>
      <c r="BF428" s="525"/>
      <c r="BG428" s="525"/>
      <c r="BH428" s="525"/>
      <c r="BI428" s="525"/>
      <c r="BJ428" s="525"/>
      <c r="BK428" s="525"/>
      <c r="BL428" s="525"/>
      <c r="BM428" s="525"/>
      <c r="BN428" s="525"/>
      <c r="BO428" s="525"/>
      <c r="BP428" s="525"/>
      <c r="BQ428" s="525"/>
      <c r="BR428" s="525"/>
      <c r="BS428" s="525"/>
      <c r="BT428" s="525"/>
      <c r="BU428" s="525"/>
      <c r="BV428" s="525"/>
      <c r="BW428" s="525"/>
      <c r="BX428" s="525"/>
      <c r="BY428" s="525"/>
    </row>
    <row r="429" spans="1:77" x14ac:dyDescent="0.3">
      <c r="A429" s="551"/>
      <c r="B429" s="548"/>
      <c r="C429" s="525"/>
      <c r="D429" s="525"/>
      <c r="E429" s="614" t="s">
        <v>110</v>
      </c>
      <c r="F429" s="539"/>
      <c r="G429" s="539"/>
      <c r="H429" s="539"/>
      <c r="I429" s="539"/>
      <c r="J429" s="539"/>
      <c r="K429" s="539"/>
      <c r="L429" s="539"/>
      <c r="M429" s="539"/>
      <c r="N429" s="539"/>
      <c r="O429" s="539"/>
      <c r="P429" s="615"/>
      <c r="Q429" s="539"/>
      <c r="R429" s="539"/>
      <c r="S429" s="539"/>
      <c r="T429" s="539"/>
      <c r="U429" s="539"/>
      <c r="V429" s="539"/>
      <c r="W429" s="539"/>
      <c r="X429" s="539"/>
      <c r="Y429" s="539"/>
      <c r="Z429" s="539"/>
      <c r="AA429" s="539"/>
      <c r="AB429" s="539"/>
      <c r="AC429" s="539"/>
      <c r="AD429" s="539"/>
      <c r="AE429" s="539"/>
      <c r="AF429" s="539"/>
      <c r="AG429" s="539"/>
      <c r="AH429" s="539"/>
      <c r="AI429" s="539"/>
      <c r="AJ429" s="539"/>
      <c r="AK429" s="539"/>
      <c r="AL429" s="539"/>
      <c r="AM429" s="539"/>
      <c r="AN429" s="539"/>
      <c r="AO429" s="539"/>
      <c r="AP429" s="539"/>
      <c r="AQ429" s="539"/>
      <c r="AR429" s="539"/>
      <c r="AS429" s="539"/>
      <c r="AT429" s="539"/>
      <c r="AU429" s="539"/>
      <c r="AV429" s="539"/>
      <c r="AW429" s="539"/>
      <c r="AX429" s="539"/>
      <c r="AY429" s="539"/>
      <c r="AZ429" s="539"/>
      <c r="BA429" s="539"/>
      <c r="BB429" s="539"/>
      <c r="BC429" s="539"/>
      <c r="BD429" s="539"/>
      <c r="BE429" s="539"/>
      <c r="BF429" s="539"/>
      <c r="BG429" s="539"/>
      <c r="BH429" s="539"/>
      <c r="BI429" s="539"/>
      <c r="BJ429" s="539"/>
      <c r="BK429" s="539"/>
      <c r="BL429" s="539"/>
      <c r="BM429" s="539"/>
      <c r="BN429" s="539"/>
      <c r="BO429" s="539"/>
      <c r="BP429" s="539"/>
      <c r="BQ429" s="539"/>
      <c r="BR429" s="539"/>
      <c r="BS429" s="539"/>
      <c r="BT429" s="539"/>
      <c r="BU429" s="539"/>
      <c r="BV429" s="539"/>
      <c r="BW429" s="539"/>
      <c r="BX429" s="539"/>
      <c r="BY429" s="539"/>
    </row>
    <row r="430" spans="1:77" x14ac:dyDescent="0.3">
      <c r="A430" s="551"/>
      <c r="B430" s="548"/>
      <c r="C430" s="525"/>
      <c r="D430" s="525"/>
      <c r="E430" s="525"/>
      <c r="F430" s="525"/>
      <c r="G430" s="525"/>
      <c r="H430" s="525"/>
      <c r="I430" s="525"/>
      <c r="J430" s="525"/>
      <c r="K430" s="525"/>
      <c r="L430" s="525"/>
      <c r="M430" s="525"/>
      <c r="N430" s="525"/>
      <c r="O430" s="525"/>
      <c r="P430" s="565"/>
      <c r="Q430" s="525"/>
      <c r="R430" s="525"/>
      <c r="S430" s="525"/>
      <c r="T430" s="525"/>
      <c r="U430" s="525"/>
      <c r="V430" s="525"/>
      <c r="W430" s="525"/>
      <c r="X430" s="525"/>
      <c r="Y430" s="525"/>
      <c r="Z430" s="525"/>
      <c r="AA430" s="525"/>
      <c r="AB430" s="525"/>
      <c r="AC430" s="525"/>
      <c r="AD430" s="525"/>
      <c r="AE430" s="525"/>
      <c r="AF430" s="525"/>
      <c r="AG430" s="525"/>
      <c r="AH430" s="525"/>
      <c r="AI430" s="525"/>
      <c r="AJ430" s="525"/>
      <c r="AK430" s="525"/>
      <c r="AL430" s="525"/>
      <c r="AM430" s="525"/>
      <c r="AN430" s="525"/>
      <c r="AO430" s="525"/>
      <c r="AP430" s="525"/>
      <c r="AQ430" s="525"/>
      <c r="AR430" s="525"/>
      <c r="AS430" s="525"/>
      <c r="AT430" s="525"/>
      <c r="AU430" s="525"/>
      <c r="AV430" s="525"/>
      <c r="AW430" s="525"/>
      <c r="AX430" s="525"/>
      <c r="AY430" s="525"/>
      <c r="AZ430" s="525"/>
      <c r="BA430" s="525"/>
      <c r="BB430" s="525"/>
      <c r="BC430" s="525"/>
      <c r="BD430" s="525"/>
      <c r="BE430" s="525"/>
      <c r="BF430" s="525"/>
      <c r="BG430" s="525"/>
      <c r="BH430" s="525"/>
      <c r="BI430" s="525"/>
      <c r="BJ430" s="525"/>
      <c r="BK430" s="525"/>
      <c r="BL430" s="525"/>
      <c r="BM430" s="525"/>
      <c r="BN430" s="525"/>
      <c r="BO430" s="525"/>
      <c r="BP430" s="525"/>
      <c r="BQ430" s="525"/>
      <c r="BR430" s="525"/>
      <c r="BS430" s="525"/>
      <c r="BT430" s="525"/>
      <c r="BU430" s="525"/>
      <c r="BV430" s="525"/>
      <c r="BW430" s="525"/>
      <c r="BX430" s="525"/>
      <c r="BY430" s="525"/>
    </row>
    <row r="431" spans="1:77" x14ac:dyDescent="0.3">
      <c r="A431" s="551"/>
      <c r="B431" s="548"/>
      <c r="C431" s="525"/>
      <c r="D431" s="525"/>
      <c r="E431" s="645" t="str">
        <f>"Growth Capex: "&amp;E$155</f>
        <v>Growth Capex: FY27 Tranche</v>
      </c>
      <c r="F431" s="525"/>
      <c r="G431" s="525"/>
      <c r="H431" s="525"/>
      <c r="I431" s="525"/>
      <c r="J431" s="525"/>
      <c r="K431" s="525"/>
      <c r="L431" s="525"/>
      <c r="M431" s="525"/>
      <c r="N431" s="525"/>
      <c r="O431" s="525"/>
      <c r="P431" s="565"/>
      <c r="Q431" s="525"/>
      <c r="R431" s="527">
        <f t="shared" ref="R431:AW431" si="610">R474*-$W155*$R155</f>
        <v>0</v>
      </c>
      <c r="S431" s="527">
        <f t="shared" si="610"/>
        <v>0</v>
      </c>
      <c r="T431" s="527">
        <f t="shared" si="610"/>
        <v>0</v>
      </c>
      <c r="U431" s="527">
        <f t="shared" si="610"/>
        <v>0</v>
      </c>
      <c r="V431" s="527">
        <f t="shared" si="610"/>
        <v>0</v>
      </c>
      <c r="W431" s="527">
        <f t="shared" si="610"/>
        <v>-646533.62975741259</v>
      </c>
      <c r="X431" s="527">
        <f t="shared" si="610"/>
        <v>0</v>
      </c>
      <c r="Y431" s="527">
        <f t="shared" si="610"/>
        <v>0</v>
      </c>
      <c r="Z431" s="527">
        <f t="shared" si="610"/>
        <v>0</v>
      </c>
      <c r="AA431" s="527">
        <f t="shared" si="610"/>
        <v>0</v>
      </c>
      <c r="AB431" s="527">
        <f t="shared" si="610"/>
        <v>0</v>
      </c>
      <c r="AC431" s="527">
        <f t="shared" si="610"/>
        <v>0</v>
      </c>
      <c r="AD431" s="527">
        <f t="shared" si="610"/>
        <v>0</v>
      </c>
      <c r="AE431" s="527">
        <f t="shared" si="610"/>
        <v>0</v>
      </c>
      <c r="AF431" s="527">
        <f t="shared" si="610"/>
        <v>0</v>
      </c>
      <c r="AG431" s="527">
        <f t="shared" si="610"/>
        <v>0</v>
      </c>
      <c r="AH431" s="527">
        <f t="shared" si="610"/>
        <v>0</v>
      </c>
      <c r="AI431" s="527">
        <f t="shared" si="610"/>
        <v>0</v>
      </c>
      <c r="AJ431" s="527">
        <f t="shared" si="610"/>
        <v>0</v>
      </c>
      <c r="AK431" s="527">
        <f t="shared" si="610"/>
        <v>0</v>
      </c>
      <c r="AL431" s="527">
        <f t="shared" si="610"/>
        <v>0</v>
      </c>
      <c r="AM431" s="527">
        <f t="shared" si="610"/>
        <v>0</v>
      </c>
      <c r="AN431" s="527">
        <f t="shared" si="610"/>
        <v>0</v>
      </c>
      <c r="AO431" s="527">
        <f t="shared" si="610"/>
        <v>0</v>
      </c>
      <c r="AP431" s="527">
        <f t="shared" si="610"/>
        <v>0</v>
      </c>
      <c r="AQ431" s="527">
        <f t="shared" si="610"/>
        <v>0</v>
      </c>
      <c r="AR431" s="527">
        <f t="shared" si="610"/>
        <v>0</v>
      </c>
      <c r="AS431" s="527">
        <f t="shared" si="610"/>
        <v>0</v>
      </c>
      <c r="AT431" s="527">
        <f t="shared" si="610"/>
        <v>0</v>
      </c>
      <c r="AU431" s="527">
        <f t="shared" si="610"/>
        <v>0</v>
      </c>
      <c r="AV431" s="527">
        <f t="shared" si="610"/>
        <v>0</v>
      </c>
      <c r="AW431" s="527">
        <f t="shared" si="610"/>
        <v>0</v>
      </c>
      <c r="AX431" s="527">
        <f t="shared" ref="AX431:BY431" si="611">AX474*-$W155*$R155</f>
        <v>0</v>
      </c>
      <c r="AY431" s="527">
        <f t="shared" si="611"/>
        <v>0</v>
      </c>
      <c r="AZ431" s="527">
        <f t="shared" si="611"/>
        <v>0</v>
      </c>
      <c r="BA431" s="527">
        <f t="shared" si="611"/>
        <v>0</v>
      </c>
      <c r="BB431" s="527">
        <f t="shared" si="611"/>
        <v>0</v>
      </c>
      <c r="BC431" s="527">
        <f t="shared" si="611"/>
        <v>0</v>
      </c>
      <c r="BD431" s="527">
        <f t="shared" si="611"/>
        <v>0</v>
      </c>
      <c r="BE431" s="527">
        <f t="shared" si="611"/>
        <v>0</v>
      </c>
      <c r="BF431" s="527">
        <f t="shared" si="611"/>
        <v>0</v>
      </c>
      <c r="BG431" s="527">
        <f t="shared" si="611"/>
        <v>0</v>
      </c>
      <c r="BH431" s="527">
        <f t="shared" si="611"/>
        <v>0</v>
      </c>
      <c r="BI431" s="527">
        <f t="shared" si="611"/>
        <v>0</v>
      </c>
      <c r="BJ431" s="527">
        <f t="shared" si="611"/>
        <v>0</v>
      </c>
      <c r="BK431" s="527">
        <f t="shared" si="611"/>
        <v>0</v>
      </c>
      <c r="BL431" s="527">
        <f t="shared" si="611"/>
        <v>0</v>
      </c>
      <c r="BM431" s="527">
        <f t="shared" si="611"/>
        <v>0</v>
      </c>
      <c r="BN431" s="527">
        <f t="shared" si="611"/>
        <v>0</v>
      </c>
      <c r="BO431" s="527">
        <f t="shared" si="611"/>
        <v>0</v>
      </c>
      <c r="BP431" s="527">
        <f t="shared" si="611"/>
        <v>0</v>
      </c>
      <c r="BQ431" s="527">
        <f t="shared" si="611"/>
        <v>0</v>
      </c>
      <c r="BR431" s="527">
        <f t="shared" si="611"/>
        <v>0</v>
      </c>
      <c r="BS431" s="527">
        <f t="shared" si="611"/>
        <v>0</v>
      </c>
      <c r="BT431" s="527">
        <f t="shared" si="611"/>
        <v>0</v>
      </c>
      <c r="BU431" s="527">
        <f t="shared" si="611"/>
        <v>0</v>
      </c>
      <c r="BV431" s="527">
        <f t="shared" si="611"/>
        <v>0</v>
      </c>
      <c r="BW431" s="527">
        <f t="shared" si="611"/>
        <v>0</v>
      </c>
      <c r="BX431" s="527">
        <f t="shared" si="611"/>
        <v>0</v>
      </c>
      <c r="BY431" s="527">
        <f t="shared" si="611"/>
        <v>0</v>
      </c>
    </row>
    <row r="432" spans="1:77" x14ac:dyDescent="0.3">
      <c r="A432" s="551"/>
      <c r="B432" s="548"/>
      <c r="C432" s="525"/>
      <c r="D432" s="525"/>
      <c r="E432" s="645" t="str">
        <f>"Growth Capex: "&amp;E$156</f>
        <v>Growth Capex: FY28 Tranche</v>
      </c>
      <c r="F432" s="525"/>
      <c r="G432" s="525"/>
      <c r="H432" s="525"/>
      <c r="I432" s="525"/>
      <c r="J432" s="525"/>
      <c r="K432" s="525"/>
      <c r="L432" s="525"/>
      <c r="M432" s="525"/>
      <c r="N432" s="525"/>
      <c r="O432" s="525"/>
      <c r="P432" s="565"/>
      <c r="Q432" s="525"/>
      <c r="R432" s="527">
        <f t="shared" ref="R432:AW432" si="612">R475*-$W156*$R156</f>
        <v>0</v>
      </c>
      <c r="S432" s="527">
        <f t="shared" si="612"/>
        <v>0</v>
      </c>
      <c r="T432" s="527">
        <f t="shared" si="612"/>
        <v>0</v>
      </c>
      <c r="U432" s="527">
        <f t="shared" si="612"/>
        <v>0</v>
      </c>
      <c r="V432" s="527">
        <f t="shared" si="612"/>
        <v>0</v>
      </c>
      <c r="W432" s="527">
        <f t="shared" si="612"/>
        <v>0</v>
      </c>
      <c r="X432" s="527">
        <f t="shared" si="612"/>
        <v>0</v>
      </c>
      <c r="Y432" s="527">
        <f t="shared" si="612"/>
        <v>0</v>
      </c>
      <c r="Z432" s="527">
        <f t="shared" si="612"/>
        <v>0</v>
      </c>
      <c r="AA432" s="527">
        <f t="shared" si="612"/>
        <v>0</v>
      </c>
      <c r="AB432" s="527">
        <f t="shared" si="612"/>
        <v>0</v>
      </c>
      <c r="AC432" s="527">
        <f t="shared" si="612"/>
        <v>0</v>
      </c>
      <c r="AD432" s="527">
        <f t="shared" si="612"/>
        <v>0</v>
      </c>
      <c r="AE432" s="527">
        <f t="shared" si="612"/>
        <v>0</v>
      </c>
      <c r="AF432" s="527">
        <f t="shared" si="612"/>
        <v>0</v>
      </c>
      <c r="AG432" s="527">
        <f t="shared" si="612"/>
        <v>0</v>
      </c>
      <c r="AH432" s="527">
        <f t="shared" si="612"/>
        <v>0</v>
      </c>
      <c r="AI432" s="527">
        <f t="shared" si="612"/>
        <v>-662082.63441564573</v>
      </c>
      <c r="AJ432" s="527">
        <f t="shared" si="612"/>
        <v>0</v>
      </c>
      <c r="AK432" s="527">
        <f t="shared" si="612"/>
        <v>0</v>
      </c>
      <c r="AL432" s="527">
        <f t="shared" si="612"/>
        <v>0</v>
      </c>
      <c r="AM432" s="527">
        <f t="shared" si="612"/>
        <v>0</v>
      </c>
      <c r="AN432" s="527">
        <f t="shared" si="612"/>
        <v>0</v>
      </c>
      <c r="AO432" s="527">
        <f t="shared" si="612"/>
        <v>0</v>
      </c>
      <c r="AP432" s="527">
        <f t="shared" si="612"/>
        <v>0</v>
      </c>
      <c r="AQ432" s="527">
        <f t="shared" si="612"/>
        <v>0</v>
      </c>
      <c r="AR432" s="527">
        <f t="shared" si="612"/>
        <v>0</v>
      </c>
      <c r="AS432" s="527">
        <f t="shared" si="612"/>
        <v>0</v>
      </c>
      <c r="AT432" s="527">
        <f t="shared" si="612"/>
        <v>0</v>
      </c>
      <c r="AU432" s="527">
        <f t="shared" si="612"/>
        <v>0</v>
      </c>
      <c r="AV432" s="527">
        <f t="shared" si="612"/>
        <v>0</v>
      </c>
      <c r="AW432" s="527">
        <f t="shared" si="612"/>
        <v>0</v>
      </c>
      <c r="AX432" s="527">
        <f t="shared" ref="AX432:BY432" si="613">AX475*-$W156*$R156</f>
        <v>0</v>
      </c>
      <c r="AY432" s="527">
        <f t="shared" si="613"/>
        <v>0</v>
      </c>
      <c r="AZ432" s="527">
        <f t="shared" si="613"/>
        <v>0</v>
      </c>
      <c r="BA432" s="527">
        <f t="shared" si="613"/>
        <v>0</v>
      </c>
      <c r="BB432" s="527">
        <f t="shared" si="613"/>
        <v>0</v>
      </c>
      <c r="BC432" s="527">
        <f t="shared" si="613"/>
        <v>0</v>
      </c>
      <c r="BD432" s="527">
        <f t="shared" si="613"/>
        <v>0</v>
      </c>
      <c r="BE432" s="527">
        <f t="shared" si="613"/>
        <v>0</v>
      </c>
      <c r="BF432" s="527">
        <f t="shared" si="613"/>
        <v>0</v>
      </c>
      <c r="BG432" s="527">
        <f t="shared" si="613"/>
        <v>0</v>
      </c>
      <c r="BH432" s="527">
        <f t="shared" si="613"/>
        <v>0</v>
      </c>
      <c r="BI432" s="527">
        <f t="shared" si="613"/>
        <v>0</v>
      </c>
      <c r="BJ432" s="527">
        <f t="shared" si="613"/>
        <v>0</v>
      </c>
      <c r="BK432" s="527">
        <f t="shared" si="613"/>
        <v>0</v>
      </c>
      <c r="BL432" s="527">
        <f t="shared" si="613"/>
        <v>0</v>
      </c>
      <c r="BM432" s="527">
        <f t="shared" si="613"/>
        <v>0</v>
      </c>
      <c r="BN432" s="527">
        <f t="shared" si="613"/>
        <v>0</v>
      </c>
      <c r="BO432" s="527">
        <f t="shared" si="613"/>
        <v>0</v>
      </c>
      <c r="BP432" s="527">
        <f t="shared" si="613"/>
        <v>0</v>
      </c>
      <c r="BQ432" s="527">
        <f t="shared" si="613"/>
        <v>0</v>
      </c>
      <c r="BR432" s="527">
        <f t="shared" si="613"/>
        <v>0</v>
      </c>
      <c r="BS432" s="527">
        <f t="shared" si="613"/>
        <v>0</v>
      </c>
      <c r="BT432" s="527">
        <f t="shared" si="613"/>
        <v>0</v>
      </c>
      <c r="BU432" s="527">
        <f t="shared" si="613"/>
        <v>0</v>
      </c>
      <c r="BV432" s="527">
        <f t="shared" si="613"/>
        <v>0</v>
      </c>
      <c r="BW432" s="527">
        <f t="shared" si="613"/>
        <v>0</v>
      </c>
      <c r="BX432" s="527">
        <f t="shared" si="613"/>
        <v>0</v>
      </c>
      <c r="BY432" s="527">
        <f t="shared" si="613"/>
        <v>0</v>
      </c>
    </row>
    <row r="433" spans="1:77" x14ac:dyDescent="0.3">
      <c r="A433" s="551"/>
      <c r="B433" s="548"/>
      <c r="C433" s="525"/>
      <c r="D433" s="525"/>
      <c r="E433" s="645" t="str">
        <f>"Growth Capex: "&amp;E$157</f>
        <v>Growth Capex: FY29 Tranche</v>
      </c>
      <c r="F433" s="525"/>
      <c r="G433" s="525"/>
      <c r="H433" s="525"/>
      <c r="I433" s="525"/>
      <c r="J433" s="525"/>
      <c r="K433" s="525"/>
      <c r="L433" s="525"/>
      <c r="M433" s="525"/>
      <c r="N433" s="525"/>
      <c r="O433" s="525"/>
      <c r="P433" s="565"/>
      <c r="Q433" s="525"/>
      <c r="R433" s="527">
        <f t="shared" ref="R433:AW433" si="614">R476*-$W157*$R157</f>
        <v>0</v>
      </c>
      <c r="S433" s="527">
        <f t="shared" si="614"/>
        <v>0</v>
      </c>
      <c r="T433" s="527">
        <f t="shared" si="614"/>
        <v>0</v>
      </c>
      <c r="U433" s="527">
        <f t="shared" si="614"/>
        <v>0</v>
      </c>
      <c r="V433" s="527">
        <f t="shared" si="614"/>
        <v>0</v>
      </c>
      <c r="W433" s="527">
        <f t="shared" si="614"/>
        <v>0</v>
      </c>
      <c r="X433" s="527">
        <f t="shared" si="614"/>
        <v>0</v>
      </c>
      <c r="Y433" s="527">
        <f t="shared" si="614"/>
        <v>0</v>
      </c>
      <c r="Z433" s="527">
        <f t="shared" si="614"/>
        <v>0</v>
      </c>
      <c r="AA433" s="527">
        <f t="shared" si="614"/>
        <v>0</v>
      </c>
      <c r="AB433" s="527">
        <f t="shared" si="614"/>
        <v>0</v>
      </c>
      <c r="AC433" s="527">
        <f t="shared" si="614"/>
        <v>0</v>
      </c>
      <c r="AD433" s="527">
        <f t="shared" si="614"/>
        <v>0</v>
      </c>
      <c r="AE433" s="527">
        <f t="shared" si="614"/>
        <v>0</v>
      </c>
      <c r="AF433" s="527">
        <f t="shared" si="614"/>
        <v>0</v>
      </c>
      <c r="AG433" s="527">
        <f t="shared" si="614"/>
        <v>0</v>
      </c>
      <c r="AH433" s="527">
        <f t="shared" si="614"/>
        <v>0</v>
      </c>
      <c r="AI433" s="527">
        <f t="shared" si="614"/>
        <v>0</v>
      </c>
      <c r="AJ433" s="527">
        <f t="shared" si="614"/>
        <v>0</v>
      </c>
      <c r="AK433" s="527">
        <f t="shared" si="614"/>
        <v>0</v>
      </c>
      <c r="AL433" s="527">
        <f t="shared" si="614"/>
        <v>0</v>
      </c>
      <c r="AM433" s="527">
        <f t="shared" si="614"/>
        <v>0</v>
      </c>
      <c r="AN433" s="527">
        <f t="shared" si="614"/>
        <v>0</v>
      </c>
      <c r="AO433" s="527">
        <f t="shared" si="614"/>
        <v>0</v>
      </c>
      <c r="AP433" s="527">
        <f t="shared" si="614"/>
        <v>0</v>
      </c>
      <c r="AQ433" s="527">
        <f t="shared" si="614"/>
        <v>0</v>
      </c>
      <c r="AR433" s="527">
        <f t="shared" si="614"/>
        <v>0</v>
      </c>
      <c r="AS433" s="527">
        <f t="shared" si="614"/>
        <v>0</v>
      </c>
      <c r="AT433" s="527">
        <f t="shared" si="614"/>
        <v>0</v>
      </c>
      <c r="AU433" s="527">
        <f t="shared" si="614"/>
        <v>-676949.31484390574</v>
      </c>
      <c r="AV433" s="527">
        <f t="shared" si="614"/>
        <v>0</v>
      </c>
      <c r="AW433" s="527">
        <f t="shared" si="614"/>
        <v>0</v>
      </c>
      <c r="AX433" s="527">
        <f t="shared" ref="AX433:BY433" si="615">AX476*-$W157*$R157</f>
        <v>0</v>
      </c>
      <c r="AY433" s="527">
        <f t="shared" si="615"/>
        <v>0</v>
      </c>
      <c r="AZ433" s="527">
        <f t="shared" si="615"/>
        <v>0</v>
      </c>
      <c r="BA433" s="527">
        <f t="shared" si="615"/>
        <v>0</v>
      </c>
      <c r="BB433" s="527">
        <f t="shared" si="615"/>
        <v>0</v>
      </c>
      <c r="BC433" s="527">
        <f t="shared" si="615"/>
        <v>0</v>
      </c>
      <c r="BD433" s="527">
        <f t="shared" si="615"/>
        <v>0</v>
      </c>
      <c r="BE433" s="527">
        <f t="shared" si="615"/>
        <v>0</v>
      </c>
      <c r="BF433" s="527">
        <f t="shared" si="615"/>
        <v>0</v>
      </c>
      <c r="BG433" s="527">
        <f t="shared" si="615"/>
        <v>0</v>
      </c>
      <c r="BH433" s="527">
        <f t="shared" si="615"/>
        <v>0</v>
      </c>
      <c r="BI433" s="527">
        <f t="shared" si="615"/>
        <v>0</v>
      </c>
      <c r="BJ433" s="527">
        <f t="shared" si="615"/>
        <v>0</v>
      </c>
      <c r="BK433" s="527">
        <f t="shared" si="615"/>
        <v>0</v>
      </c>
      <c r="BL433" s="527">
        <f t="shared" si="615"/>
        <v>0</v>
      </c>
      <c r="BM433" s="527">
        <f t="shared" si="615"/>
        <v>0</v>
      </c>
      <c r="BN433" s="527">
        <f t="shared" si="615"/>
        <v>0</v>
      </c>
      <c r="BO433" s="527">
        <f t="shared" si="615"/>
        <v>0</v>
      </c>
      <c r="BP433" s="527">
        <f t="shared" si="615"/>
        <v>0</v>
      </c>
      <c r="BQ433" s="527">
        <f t="shared" si="615"/>
        <v>0</v>
      </c>
      <c r="BR433" s="527">
        <f t="shared" si="615"/>
        <v>0</v>
      </c>
      <c r="BS433" s="527">
        <f t="shared" si="615"/>
        <v>0</v>
      </c>
      <c r="BT433" s="527">
        <f t="shared" si="615"/>
        <v>0</v>
      </c>
      <c r="BU433" s="527">
        <f t="shared" si="615"/>
        <v>0</v>
      </c>
      <c r="BV433" s="527">
        <f t="shared" si="615"/>
        <v>0</v>
      </c>
      <c r="BW433" s="527">
        <f t="shared" si="615"/>
        <v>0</v>
      </c>
      <c r="BX433" s="527">
        <f t="shared" si="615"/>
        <v>0</v>
      </c>
      <c r="BY433" s="527">
        <f t="shared" si="615"/>
        <v>0</v>
      </c>
    </row>
    <row r="434" spans="1:77" x14ac:dyDescent="0.3">
      <c r="A434" s="551"/>
      <c r="B434" s="548"/>
      <c r="C434" s="525"/>
      <c r="D434" s="525"/>
      <c r="E434" s="645" t="str">
        <f>"Growth Capex: "&amp;E$158</f>
        <v>Growth Capex: FY30 Tranche</v>
      </c>
      <c r="F434" s="525"/>
      <c r="G434" s="525"/>
      <c r="H434" s="525"/>
      <c r="I434" s="525"/>
      <c r="J434" s="525"/>
      <c r="K434" s="525"/>
      <c r="L434" s="525"/>
      <c r="M434" s="525"/>
      <c r="N434" s="525"/>
      <c r="O434" s="525"/>
      <c r="P434" s="565"/>
      <c r="Q434" s="525"/>
      <c r="R434" s="527">
        <f t="shared" ref="R434:AW434" si="616">R477*-$W158*$R158</f>
        <v>0</v>
      </c>
      <c r="S434" s="527">
        <f t="shared" si="616"/>
        <v>0</v>
      </c>
      <c r="T434" s="527">
        <f t="shared" si="616"/>
        <v>0</v>
      </c>
      <c r="U434" s="527">
        <f t="shared" si="616"/>
        <v>0</v>
      </c>
      <c r="V434" s="527">
        <f t="shared" si="616"/>
        <v>0</v>
      </c>
      <c r="W434" s="527">
        <f t="shared" si="616"/>
        <v>0</v>
      </c>
      <c r="X434" s="527">
        <f t="shared" si="616"/>
        <v>0</v>
      </c>
      <c r="Y434" s="527">
        <f t="shared" si="616"/>
        <v>0</v>
      </c>
      <c r="Z434" s="527">
        <f t="shared" si="616"/>
        <v>0</v>
      </c>
      <c r="AA434" s="527">
        <f t="shared" si="616"/>
        <v>0</v>
      </c>
      <c r="AB434" s="527">
        <f t="shared" si="616"/>
        <v>0</v>
      </c>
      <c r="AC434" s="527">
        <f t="shared" si="616"/>
        <v>0</v>
      </c>
      <c r="AD434" s="527">
        <f t="shared" si="616"/>
        <v>0</v>
      </c>
      <c r="AE434" s="527">
        <f t="shared" si="616"/>
        <v>0</v>
      </c>
      <c r="AF434" s="527">
        <f t="shared" si="616"/>
        <v>0</v>
      </c>
      <c r="AG434" s="527">
        <f t="shared" si="616"/>
        <v>0</v>
      </c>
      <c r="AH434" s="527">
        <f t="shared" si="616"/>
        <v>0</v>
      </c>
      <c r="AI434" s="527">
        <f t="shared" si="616"/>
        <v>0</v>
      </c>
      <c r="AJ434" s="527">
        <f t="shared" si="616"/>
        <v>0</v>
      </c>
      <c r="AK434" s="527">
        <f t="shared" si="616"/>
        <v>0</v>
      </c>
      <c r="AL434" s="527">
        <f t="shared" si="616"/>
        <v>0</v>
      </c>
      <c r="AM434" s="527">
        <f t="shared" si="616"/>
        <v>0</v>
      </c>
      <c r="AN434" s="527">
        <f t="shared" si="616"/>
        <v>0</v>
      </c>
      <c r="AO434" s="527">
        <f t="shared" si="616"/>
        <v>0</v>
      </c>
      <c r="AP434" s="527">
        <f t="shared" si="616"/>
        <v>0</v>
      </c>
      <c r="AQ434" s="527">
        <f t="shared" si="616"/>
        <v>0</v>
      </c>
      <c r="AR434" s="527">
        <f t="shared" si="616"/>
        <v>0</v>
      </c>
      <c r="AS434" s="527">
        <f t="shared" si="616"/>
        <v>0</v>
      </c>
      <c r="AT434" s="527">
        <f t="shared" si="616"/>
        <v>0</v>
      </c>
      <c r="AU434" s="527">
        <f t="shared" si="616"/>
        <v>0</v>
      </c>
      <c r="AV434" s="527">
        <f t="shared" si="616"/>
        <v>0</v>
      </c>
      <c r="AW434" s="527">
        <f t="shared" si="616"/>
        <v>0</v>
      </c>
      <c r="AX434" s="527">
        <f t="shared" ref="AX434:BY434" si="617">AX477*-$W158*$R158</f>
        <v>0</v>
      </c>
      <c r="AY434" s="527">
        <f t="shared" si="617"/>
        <v>0</v>
      </c>
      <c r="AZ434" s="527">
        <f t="shared" si="617"/>
        <v>0</v>
      </c>
      <c r="BA434" s="527">
        <f t="shared" si="617"/>
        <v>0</v>
      </c>
      <c r="BB434" s="527">
        <f t="shared" si="617"/>
        <v>0</v>
      </c>
      <c r="BC434" s="527">
        <f t="shared" si="617"/>
        <v>0</v>
      </c>
      <c r="BD434" s="527">
        <f t="shared" si="617"/>
        <v>0</v>
      </c>
      <c r="BE434" s="527">
        <f t="shared" si="617"/>
        <v>0</v>
      </c>
      <c r="BF434" s="527">
        <f t="shared" si="617"/>
        <v>0</v>
      </c>
      <c r="BG434" s="527">
        <f t="shared" si="617"/>
        <v>-690947.021468241</v>
      </c>
      <c r="BH434" s="527">
        <f t="shared" si="617"/>
        <v>0</v>
      </c>
      <c r="BI434" s="527">
        <f t="shared" si="617"/>
        <v>0</v>
      </c>
      <c r="BJ434" s="527">
        <f t="shared" si="617"/>
        <v>0</v>
      </c>
      <c r="BK434" s="527">
        <f t="shared" si="617"/>
        <v>0</v>
      </c>
      <c r="BL434" s="527">
        <f t="shared" si="617"/>
        <v>0</v>
      </c>
      <c r="BM434" s="527">
        <f t="shared" si="617"/>
        <v>0</v>
      </c>
      <c r="BN434" s="527">
        <f t="shared" si="617"/>
        <v>0</v>
      </c>
      <c r="BO434" s="527">
        <f t="shared" si="617"/>
        <v>0</v>
      </c>
      <c r="BP434" s="527">
        <f t="shared" si="617"/>
        <v>0</v>
      </c>
      <c r="BQ434" s="527">
        <f t="shared" si="617"/>
        <v>0</v>
      </c>
      <c r="BR434" s="527">
        <f t="shared" si="617"/>
        <v>0</v>
      </c>
      <c r="BS434" s="527">
        <f t="shared" si="617"/>
        <v>0</v>
      </c>
      <c r="BT434" s="527">
        <f t="shared" si="617"/>
        <v>0</v>
      </c>
      <c r="BU434" s="527">
        <f t="shared" si="617"/>
        <v>0</v>
      </c>
      <c r="BV434" s="527">
        <f t="shared" si="617"/>
        <v>0</v>
      </c>
      <c r="BW434" s="527">
        <f t="shared" si="617"/>
        <v>0</v>
      </c>
      <c r="BX434" s="527">
        <f t="shared" si="617"/>
        <v>0</v>
      </c>
      <c r="BY434" s="527">
        <f t="shared" si="617"/>
        <v>0</v>
      </c>
    </row>
    <row r="435" spans="1:77" x14ac:dyDescent="0.3">
      <c r="A435" s="551"/>
      <c r="B435" s="548"/>
      <c r="C435" s="525"/>
      <c r="D435" s="525"/>
      <c r="E435" s="645" t="str">
        <f>"Growth Capex: "&amp;E$159</f>
        <v>Growth Capex: FY31 Tranche</v>
      </c>
      <c r="F435" s="525"/>
      <c r="G435" s="525"/>
      <c r="H435" s="525"/>
      <c r="I435" s="525"/>
      <c r="J435" s="525"/>
      <c r="K435" s="525"/>
      <c r="L435" s="525"/>
      <c r="M435" s="525"/>
      <c r="N435" s="525"/>
      <c r="O435" s="525"/>
      <c r="P435" s="565"/>
      <c r="Q435" s="525"/>
      <c r="R435" s="527">
        <f t="shared" ref="R435:AW435" si="618">R478*-$W159*$R159</f>
        <v>0</v>
      </c>
      <c r="S435" s="527">
        <f t="shared" si="618"/>
        <v>0</v>
      </c>
      <c r="T435" s="527">
        <f t="shared" si="618"/>
        <v>0</v>
      </c>
      <c r="U435" s="527">
        <f t="shared" si="618"/>
        <v>0</v>
      </c>
      <c r="V435" s="527">
        <f t="shared" si="618"/>
        <v>0</v>
      </c>
      <c r="W435" s="527">
        <f t="shared" si="618"/>
        <v>0</v>
      </c>
      <c r="X435" s="527">
        <f t="shared" si="618"/>
        <v>0</v>
      </c>
      <c r="Y435" s="527">
        <f t="shared" si="618"/>
        <v>0</v>
      </c>
      <c r="Z435" s="527">
        <f t="shared" si="618"/>
        <v>0</v>
      </c>
      <c r="AA435" s="527">
        <f t="shared" si="618"/>
        <v>0</v>
      </c>
      <c r="AB435" s="527">
        <f t="shared" si="618"/>
        <v>0</v>
      </c>
      <c r="AC435" s="527">
        <f t="shared" si="618"/>
        <v>0</v>
      </c>
      <c r="AD435" s="527">
        <f t="shared" si="618"/>
        <v>0</v>
      </c>
      <c r="AE435" s="527">
        <f t="shared" si="618"/>
        <v>0</v>
      </c>
      <c r="AF435" s="527">
        <f t="shared" si="618"/>
        <v>0</v>
      </c>
      <c r="AG435" s="527">
        <f t="shared" si="618"/>
        <v>0</v>
      </c>
      <c r="AH435" s="527">
        <f t="shared" si="618"/>
        <v>0</v>
      </c>
      <c r="AI435" s="527">
        <f t="shared" si="618"/>
        <v>0</v>
      </c>
      <c r="AJ435" s="527">
        <f t="shared" si="618"/>
        <v>0</v>
      </c>
      <c r="AK435" s="527">
        <f t="shared" si="618"/>
        <v>0</v>
      </c>
      <c r="AL435" s="527">
        <f t="shared" si="618"/>
        <v>0</v>
      </c>
      <c r="AM435" s="527">
        <f t="shared" si="618"/>
        <v>0</v>
      </c>
      <c r="AN435" s="527">
        <f t="shared" si="618"/>
        <v>0</v>
      </c>
      <c r="AO435" s="527">
        <f t="shared" si="618"/>
        <v>0</v>
      </c>
      <c r="AP435" s="527">
        <f t="shared" si="618"/>
        <v>0</v>
      </c>
      <c r="AQ435" s="527">
        <f t="shared" si="618"/>
        <v>0</v>
      </c>
      <c r="AR435" s="527">
        <f t="shared" si="618"/>
        <v>0</v>
      </c>
      <c r="AS435" s="527">
        <f t="shared" si="618"/>
        <v>0</v>
      </c>
      <c r="AT435" s="527">
        <f t="shared" si="618"/>
        <v>0</v>
      </c>
      <c r="AU435" s="527">
        <f t="shared" si="618"/>
        <v>0</v>
      </c>
      <c r="AV435" s="527">
        <f t="shared" si="618"/>
        <v>0</v>
      </c>
      <c r="AW435" s="527">
        <f t="shared" si="618"/>
        <v>0</v>
      </c>
      <c r="AX435" s="527">
        <f t="shared" ref="AX435:BY435" si="619">AX478*-$W159*$R159</f>
        <v>0</v>
      </c>
      <c r="AY435" s="527">
        <f t="shared" si="619"/>
        <v>0</v>
      </c>
      <c r="AZ435" s="527">
        <f t="shared" si="619"/>
        <v>0</v>
      </c>
      <c r="BA435" s="527">
        <f t="shared" si="619"/>
        <v>0</v>
      </c>
      <c r="BB435" s="527">
        <f t="shared" si="619"/>
        <v>0</v>
      </c>
      <c r="BC435" s="527">
        <f t="shared" si="619"/>
        <v>0</v>
      </c>
      <c r="BD435" s="527">
        <f t="shared" si="619"/>
        <v>0</v>
      </c>
      <c r="BE435" s="527">
        <f t="shared" si="619"/>
        <v>0</v>
      </c>
      <c r="BF435" s="527">
        <f t="shared" si="619"/>
        <v>0</v>
      </c>
      <c r="BG435" s="527">
        <f t="shared" si="619"/>
        <v>0</v>
      </c>
      <c r="BH435" s="527">
        <f t="shared" si="619"/>
        <v>0</v>
      </c>
      <c r="BI435" s="527">
        <f t="shared" si="619"/>
        <v>0</v>
      </c>
      <c r="BJ435" s="527">
        <f t="shared" si="619"/>
        <v>0</v>
      </c>
      <c r="BK435" s="527">
        <f t="shared" si="619"/>
        <v>0</v>
      </c>
      <c r="BL435" s="527">
        <f t="shared" si="619"/>
        <v>0</v>
      </c>
      <c r="BM435" s="527">
        <f t="shared" si="619"/>
        <v>0</v>
      </c>
      <c r="BN435" s="527">
        <f t="shared" si="619"/>
        <v>0</v>
      </c>
      <c r="BO435" s="527">
        <f t="shared" si="619"/>
        <v>0</v>
      </c>
      <c r="BP435" s="527">
        <f t="shared" si="619"/>
        <v>0</v>
      </c>
      <c r="BQ435" s="527">
        <f t="shared" si="619"/>
        <v>0</v>
      </c>
      <c r="BR435" s="527">
        <f t="shared" si="619"/>
        <v>0</v>
      </c>
      <c r="BS435" s="527">
        <f t="shared" si="619"/>
        <v>-704431.52767856687</v>
      </c>
      <c r="BT435" s="527">
        <f t="shared" si="619"/>
        <v>0</v>
      </c>
      <c r="BU435" s="527">
        <f t="shared" si="619"/>
        <v>0</v>
      </c>
      <c r="BV435" s="527">
        <f t="shared" si="619"/>
        <v>0</v>
      </c>
      <c r="BW435" s="527">
        <f t="shared" si="619"/>
        <v>0</v>
      </c>
      <c r="BX435" s="527">
        <f t="shared" si="619"/>
        <v>0</v>
      </c>
      <c r="BY435" s="527">
        <f t="shared" si="619"/>
        <v>0</v>
      </c>
    </row>
    <row r="436" spans="1:77" x14ac:dyDescent="0.3">
      <c r="A436" s="551"/>
      <c r="B436" s="548"/>
      <c r="C436" s="525"/>
      <c r="D436" s="525"/>
      <c r="E436" s="645" t="str">
        <f>"Growth Capex: "&amp;E$160</f>
        <v>Growth Capex: Uninvested Tranche</v>
      </c>
      <c r="F436" s="525"/>
      <c r="G436" s="525"/>
      <c r="H436" s="525"/>
      <c r="I436" s="525"/>
      <c r="J436" s="525"/>
      <c r="K436" s="525"/>
      <c r="L436" s="525"/>
      <c r="M436" s="525"/>
      <c r="N436" s="525"/>
      <c r="O436" s="525"/>
      <c r="P436" s="565"/>
      <c r="Q436" s="525"/>
      <c r="R436" s="527">
        <f t="shared" ref="R436:AW436" si="620">R479*-$W160*$R160</f>
        <v>0</v>
      </c>
      <c r="S436" s="527">
        <f t="shared" si="620"/>
        <v>0</v>
      </c>
      <c r="T436" s="527">
        <f t="shared" si="620"/>
        <v>0</v>
      </c>
      <c r="U436" s="527">
        <f t="shared" si="620"/>
        <v>0</v>
      </c>
      <c r="V436" s="527">
        <f t="shared" si="620"/>
        <v>0</v>
      </c>
      <c r="W436" s="527">
        <f t="shared" si="620"/>
        <v>0</v>
      </c>
      <c r="X436" s="527">
        <f t="shared" si="620"/>
        <v>0</v>
      </c>
      <c r="Y436" s="527">
        <f t="shared" si="620"/>
        <v>0</v>
      </c>
      <c r="Z436" s="527">
        <f t="shared" si="620"/>
        <v>0</v>
      </c>
      <c r="AA436" s="527">
        <f t="shared" si="620"/>
        <v>0</v>
      </c>
      <c r="AB436" s="527">
        <f t="shared" si="620"/>
        <v>0</v>
      </c>
      <c r="AC436" s="527">
        <f t="shared" si="620"/>
        <v>0</v>
      </c>
      <c r="AD436" s="527">
        <f t="shared" si="620"/>
        <v>0</v>
      </c>
      <c r="AE436" s="527">
        <f t="shared" si="620"/>
        <v>0</v>
      </c>
      <c r="AF436" s="527">
        <f t="shared" si="620"/>
        <v>0</v>
      </c>
      <c r="AG436" s="527">
        <f t="shared" si="620"/>
        <v>0</v>
      </c>
      <c r="AH436" s="527">
        <f t="shared" si="620"/>
        <v>0</v>
      </c>
      <c r="AI436" s="527">
        <f t="shared" si="620"/>
        <v>0</v>
      </c>
      <c r="AJ436" s="527">
        <f t="shared" si="620"/>
        <v>0</v>
      </c>
      <c r="AK436" s="527">
        <f t="shared" si="620"/>
        <v>0</v>
      </c>
      <c r="AL436" s="527">
        <f t="shared" si="620"/>
        <v>0</v>
      </c>
      <c r="AM436" s="527">
        <f t="shared" si="620"/>
        <v>0</v>
      </c>
      <c r="AN436" s="527">
        <f t="shared" si="620"/>
        <v>0</v>
      </c>
      <c r="AO436" s="527">
        <f t="shared" si="620"/>
        <v>0</v>
      </c>
      <c r="AP436" s="527">
        <f t="shared" si="620"/>
        <v>0</v>
      </c>
      <c r="AQ436" s="527">
        <f t="shared" si="620"/>
        <v>0</v>
      </c>
      <c r="AR436" s="527">
        <f t="shared" si="620"/>
        <v>0</v>
      </c>
      <c r="AS436" s="527">
        <f t="shared" si="620"/>
        <v>0</v>
      </c>
      <c r="AT436" s="527">
        <f t="shared" si="620"/>
        <v>0</v>
      </c>
      <c r="AU436" s="527">
        <f t="shared" si="620"/>
        <v>0</v>
      </c>
      <c r="AV436" s="527">
        <f t="shared" si="620"/>
        <v>0</v>
      </c>
      <c r="AW436" s="527">
        <f t="shared" si="620"/>
        <v>0</v>
      </c>
      <c r="AX436" s="527">
        <f t="shared" ref="AX436:BY436" si="621">AX479*-$W160*$R160</f>
        <v>0</v>
      </c>
      <c r="AY436" s="527">
        <f t="shared" si="621"/>
        <v>0</v>
      </c>
      <c r="AZ436" s="527">
        <f t="shared" si="621"/>
        <v>0</v>
      </c>
      <c r="BA436" s="527">
        <f t="shared" si="621"/>
        <v>0</v>
      </c>
      <c r="BB436" s="527">
        <f t="shared" si="621"/>
        <v>0</v>
      </c>
      <c r="BC436" s="527">
        <f t="shared" si="621"/>
        <v>0</v>
      </c>
      <c r="BD436" s="527">
        <f t="shared" si="621"/>
        <v>0</v>
      </c>
      <c r="BE436" s="527">
        <f t="shared" si="621"/>
        <v>0</v>
      </c>
      <c r="BF436" s="527">
        <f t="shared" si="621"/>
        <v>0</v>
      </c>
      <c r="BG436" s="527">
        <f t="shared" si="621"/>
        <v>0</v>
      </c>
      <c r="BH436" s="527">
        <f t="shared" si="621"/>
        <v>0</v>
      </c>
      <c r="BI436" s="527">
        <f t="shared" si="621"/>
        <v>0</v>
      </c>
      <c r="BJ436" s="527">
        <f t="shared" si="621"/>
        <v>0</v>
      </c>
      <c r="BK436" s="527">
        <f t="shared" si="621"/>
        <v>0</v>
      </c>
      <c r="BL436" s="527">
        <f t="shared" si="621"/>
        <v>0</v>
      </c>
      <c r="BM436" s="527">
        <f t="shared" si="621"/>
        <v>0</v>
      </c>
      <c r="BN436" s="527">
        <f t="shared" si="621"/>
        <v>0</v>
      </c>
      <c r="BO436" s="527">
        <f t="shared" si="621"/>
        <v>0</v>
      </c>
      <c r="BP436" s="527">
        <f t="shared" si="621"/>
        <v>0</v>
      </c>
      <c r="BQ436" s="527">
        <f t="shared" si="621"/>
        <v>0</v>
      </c>
      <c r="BR436" s="527">
        <f t="shared" si="621"/>
        <v>0</v>
      </c>
      <c r="BS436" s="527">
        <f t="shared" si="621"/>
        <v>0</v>
      </c>
      <c r="BT436" s="527">
        <f t="shared" si="621"/>
        <v>0</v>
      </c>
      <c r="BU436" s="527">
        <f t="shared" si="621"/>
        <v>0</v>
      </c>
      <c r="BV436" s="527">
        <f t="shared" si="621"/>
        <v>0</v>
      </c>
      <c r="BW436" s="527">
        <f t="shared" si="621"/>
        <v>0</v>
      </c>
      <c r="BX436" s="527">
        <f t="shared" si="621"/>
        <v>0</v>
      </c>
      <c r="BY436" s="527">
        <f t="shared" si="621"/>
        <v>0</v>
      </c>
    </row>
    <row r="437" spans="1:77" x14ac:dyDescent="0.3">
      <c r="A437" s="551"/>
      <c r="B437" s="548"/>
      <c r="C437" s="525"/>
      <c r="D437" s="525"/>
      <c r="E437" s="572" t="s">
        <v>36</v>
      </c>
      <c r="F437" s="572"/>
      <c r="G437" s="572"/>
      <c r="H437" s="572"/>
      <c r="I437" s="572"/>
      <c r="J437" s="572"/>
      <c r="K437" s="572"/>
      <c r="L437" s="572"/>
      <c r="M437" s="572"/>
      <c r="N437" s="572"/>
      <c r="O437" s="572"/>
      <c r="P437" s="612"/>
      <c r="Q437" s="572"/>
      <c r="R437" s="530">
        <f t="shared" ref="R437:AW437" si="622">SUM(R431:R436)</f>
        <v>0</v>
      </c>
      <c r="S437" s="530">
        <f t="shared" si="622"/>
        <v>0</v>
      </c>
      <c r="T437" s="530">
        <f t="shared" si="622"/>
        <v>0</v>
      </c>
      <c r="U437" s="530">
        <f t="shared" si="622"/>
        <v>0</v>
      </c>
      <c r="V437" s="530">
        <f t="shared" si="622"/>
        <v>0</v>
      </c>
      <c r="W437" s="530">
        <f t="shared" si="622"/>
        <v>-646533.62975741259</v>
      </c>
      <c r="X437" s="530">
        <f t="shared" si="622"/>
        <v>0</v>
      </c>
      <c r="Y437" s="530">
        <f t="shared" si="622"/>
        <v>0</v>
      </c>
      <c r="Z437" s="530">
        <f t="shared" si="622"/>
        <v>0</v>
      </c>
      <c r="AA437" s="530">
        <f t="shared" si="622"/>
        <v>0</v>
      </c>
      <c r="AB437" s="530">
        <f t="shared" si="622"/>
        <v>0</v>
      </c>
      <c r="AC437" s="530">
        <f t="shared" si="622"/>
        <v>0</v>
      </c>
      <c r="AD437" s="530">
        <f t="shared" si="622"/>
        <v>0</v>
      </c>
      <c r="AE437" s="530">
        <f t="shared" si="622"/>
        <v>0</v>
      </c>
      <c r="AF437" s="530">
        <f t="shared" si="622"/>
        <v>0</v>
      </c>
      <c r="AG437" s="530">
        <f t="shared" si="622"/>
        <v>0</v>
      </c>
      <c r="AH437" s="530">
        <f t="shared" si="622"/>
        <v>0</v>
      </c>
      <c r="AI437" s="530">
        <f t="shared" si="622"/>
        <v>-662082.63441564573</v>
      </c>
      <c r="AJ437" s="530">
        <f t="shared" si="622"/>
        <v>0</v>
      </c>
      <c r="AK437" s="530">
        <f t="shared" si="622"/>
        <v>0</v>
      </c>
      <c r="AL437" s="530">
        <f t="shared" si="622"/>
        <v>0</v>
      </c>
      <c r="AM437" s="530">
        <f t="shared" si="622"/>
        <v>0</v>
      </c>
      <c r="AN437" s="530">
        <f t="shared" si="622"/>
        <v>0</v>
      </c>
      <c r="AO437" s="530">
        <f t="shared" si="622"/>
        <v>0</v>
      </c>
      <c r="AP437" s="530">
        <f t="shared" si="622"/>
        <v>0</v>
      </c>
      <c r="AQ437" s="530">
        <f t="shared" si="622"/>
        <v>0</v>
      </c>
      <c r="AR437" s="530">
        <f t="shared" si="622"/>
        <v>0</v>
      </c>
      <c r="AS437" s="530">
        <f t="shared" si="622"/>
        <v>0</v>
      </c>
      <c r="AT437" s="530">
        <f t="shared" si="622"/>
        <v>0</v>
      </c>
      <c r="AU437" s="530">
        <f t="shared" si="622"/>
        <v>-676949.31484390574</v>
      </c>
      <c r="AV437" s="530">
        <f t="shared" si="622"/>
        <v>0</v>
      </c>
      <c r="AW437" s="530">
        <f t="shared" si="622"/>
        <v>0</v>
      </c>
      <c r="AX437" s="530">
        <f t="shared" ref="AX437:BY437" si="623">SUM(AX431:AX436)</f>
        <v>0</v>
      </c>
      <c r="AY437" s="530">
        <f t="shared" si="623"/>
        <v>0</v>
      </c>
      <c r="AZ437" s="530">
        <f t="shared" si="623"/>
        <v>0</v>
      </c>
      <c r="BA437" s="530">
        <f t="shared" si="623"/>
        <v>0</v>
      </c>
      <c r="BB437" s="530">
        <f t="shared" si="623"/>
        <v>0</v>
      </c>
      <c r="BC437" s="530">
        <f t="shared" si="623"/>
        <v>0</v>
      </c>
      <c r="BD437" s="530">
        <f t="shared" si="623"/>
        <v>0</v>
      </c>
      <c r="BE437" s="530">
        <f t="shared" si="623"/>
        <v>0</v>
      </c>
      <c r="BF437" s="530">
        <f t="shared" si="623"/>
        <v>0</v>
      </c>
      <c r="BG437" s="530">
        <f t="shared" si="623"/>
        <v>-690947.021468241</v>
      </c>
      <c r="BH437" s="530">
        <f t="shared" si="623"/>
        <v>0</v>
      </c>
      <c r="BI437" s="530">
        <f t="shared" si="623"/>
        <v>0</v>
      </c>
      <c r="BJ437" s="530">
        <f t="shared" si="623"/>
        <v>0</v>
      </c>
      <c r="BK437" s="530">
        <f t="shared" si="623"/>
        <v>0</v>
      </c>
      <c r="BL437" s="530">
        <f t="shared" si="623"/>
        <v>0</v>
      </c>
      <c r="BM437" s="530">
        <f t="shared" si="623"/>
        <v>0</v>
      </c>
      <c r="BN437" s="530">
        <f t="shared" si="623"/>
        <v>0</v>
      </c>
      <c r="BO437" s="530">
        <f t="shared" si="623"/>
        <v>0</v>
      </c>
      <c r="BP437" s="530">
        <f t="shared" si="623"/>
        <v>0</v>
      </c>
      <c r="BQ437" s="530">
        <f t="shared" si="623"/>
        <v>0</v>
      </c>
      <c r="BR437" s="530">
        <f t="shared" si="623"/>
        <v>0</v>
      </c>
      <c r="BS437" s="530">
        <f t="shared" si="623"/>
        <v>-704431.52767856687</v>
      </c>
      <c r="BT437" s="530">
        <f t="shared" si="623"/>
        <v>0</v>
      </c>
      <c r="BU437" s="530">
        <f t="shared" si="623"/>
        <v>0</v>
      </c>
      <c r="BV437" s="530">
        <f t="shared" si="623"/>
        <v>0</v>
      </c>
      <c r="BW437" s="530">
        <f t="shared" si="623"/>
        <v>0</v>
      </c>
      <c r="BX437" s="530">
        <f t="shared" si="623"/>
        <v>0</v>
      </c>
      <c r="BY437" s="530">
        <f t="shared" si="623"/>
        <v>0</v>
      </c>
    </row>
    <row r="438" spans="1:77" x14ac:dyDescent="0.3">
      <c r="A438" s="551"/>
      <c r="B438" s="548"/>
      <c r="C438" s="525"/>
      <c r="D438" s="525"/>
      <c r="E438" s="525"/>
      <c r="F438" s="525"/>
      <c r="G438" s="525"/>
      <c r="H438" s="525"/>
      <c r="I438" s="525"/>
      <c r="J438" s="525"/>
      <c r="K438" s="525"/>
      <c r="L438" s="525"/>
      <c r="M438" s="525"/>
      <c r="N438" s="525"/>
      <c r="O438" s="525"/>
      <c r="P438" s="565"/>
      <c r="Q438" s="525"/>
      <c r="R438" s="525"/>
      <c r="S438" s="525"/>
      <c r="T438" s="525"/>
      <c r="U438" s="525"/>
      <c r="V438" s="525"/>
      <c r="W438" s="525"/>
      <c r="X438" s="525"/>
      <c r="Y438" s="525"/>
      <c r="Z438" s="525"/>
      <c r="AA438" s="525"/>
      <c r="AB438" s="525"/>
      <c r="AC438" s="525"/>
      <c r="AD438" s="525"/>
      <c r="AE438" s="525"/>
      <c r="AF438" s="525"/>
      <c r="AG438" s="525"/>
      <c r="AH438" s="525"/>
      <c r="AI438" s="525"/>
      <c r="AJ438" s="525"/>
      <c r="AK438" s="525"/>
      <c r="AL438" s="525"/>
      <c r="AM438" s="525"/>
      <c r="AN438" s="525"/>
      <c r="AO438" s="525"/>
      <c r="AP438" s="525"/>
      <c r="AQ438" s="525"/>
      <c r="AR438" s="525"/>
      <c r="AS438" s="525"/>
      <c r="AT438" s="525"/>
      <c r="AU438" s="525"/>
      <c r="AV438" s="525"/>
      <c r="AW438" s="525"/>
      <c r="AX438" s="525"/>
      <c r="AY438" s="525"/>
      <c r="AZ438" s="525"/>
      <c r="BA438" s="525"/>
      <c r="BB438" s="525"/>
      <c r="BC438" s="525"/>
      <c r="BD438" s="525"/>
      <c r="BE438" s="525"/>
      <c r="BF438" s="525"/>
      <c r="BG438" s="525"/>
      <c r="BH438" s="525"/>
      <c r="BI438" s="525"/>
      <c r="BJ438" s="525"/>
      <c r="BK438" s="525"/>
      <c r="BL438" s="525"/>
      <c r="BM438" s="525"/>
      <c r="BN438" s="525"/>
      <c r="BO438" s="525"/>
      <c r="BP438" s="525"/>
      <c r="BQ438" s="525"/>
      <c r="BR438" s="525"/>
      <c r="BS438" s="525"/>
      <c r="BT438" s="525"/>
      <c r="BU438" s="525"/>
      <c r="BV438" s="525"/>
      <c r="BW438" s="525"/>
      <c r="BX438" s="525"/>
      <c r="BY438" s="525"/>
    </row>
    <row r="439" spans="1:77" x14ac:dyDescent="0.3">
      <c r="A439" s="551"/>
      <c r="B439" s="548"/>
      <c r="C439" s="525"/>
      <c r="D439" s="525"/>
      <c r="E439" s="646" t="str">
        <f>"Maintenance capex: "&amp;E$155</f>
        <v>Maintenance capex: FY27 Tranche</v>
      </c>
      <c r="F439" s="525"/>
      <c r="G439" s="525"/>
      <c r="H439" s="525"/>
      <c r="I439" s="525"/>
      <c r="J439" s="525"/>
      <c r="K439" s="525"/>
      <c r="L439" s="525"/>
      <c r="M439" s="525"/>
      <c r="N439" s="525"/>
      <c r="O439" s="525"/>
      <c r="P439" s="565"/>
      <c r="Q439" s="525"/>
      <c r="R439" s="527">
        <f t="shared" ref="R439:AW439" si="624">(R$622*$R155)</f>
        <v>-10880</v>
      </c>
      <c r="S439" s="527">
        <f t="shared" si="624"/>
        <v>-10880</v>
      </c>
      <c r="T439" s="527">
        <f t="shared" si="624"/>
        <v>-10880</v>
      </c>
      <c r="U439" s="527">
        <f t="shared" si="624"/>
        <v>-10880</v>
      </c>
      <c r="V439" s="527">
        <f t="shared" si="624"/>
        <v>-10880</v>
      </c>
      <c r="W439" s="527">
        <f t="shared" si="624"/>
        <v>-10880</v>
      </c>
      <c r="X439" s="527">
        <f t="shared" si="624"/>
        <v>-10880</v>
      </c>
      <c r="Y439" s="527">
        <f t="shared" si="624"/>
        <v>-10880</v>
      </c>
      <c r="Z439" s="527">
        <f t="shared" si="624"/>
        <v>-10880</v>
      </c>
      <c r="AA439" s="527">
        <f t="shared" si="624"/>
        <v>-10880</v>
      </c>
      <c r="AB439" s="527">
        <f t="shared" si="624"/>
        <v>-10880</v>
      </c>
      <c r="AC439" s="527">
        <f t="shared" si="624"/>
        <v>-10880</v>
      </c>
      <c r="AD439" s="527">
        <f t="shared" si="624"/>
        <v>-11097.6</v>
      </c>
      <c r="AE439" s="527">
        <f t="shared" si="624"/>
        <v>-11097.6</v>
      </c>
      <c r="AF439" s="527">
        <f t="shared" si="624"/>
        <v>-11097.6</v>
      </c>
      <c r="AG439" s="527">
        <f t="shared" si="624"/>
        <v>-11097.6</v>
      </c>
      <c r="AH439" s="527">
        <f t="shared" si="624"/>
        <v>-11097.6</v>
      </c>
      <c r="AI439" s="527">
        <f t="shared" si="624"/>
        <v>-11097.6</v>
      </c>
      <c r="AJ439" s="527">
        <f t="shared" si="624"/>
        <v>-11097.6</v>
      </c>
      <c r="AK439" s="527">
        <f t="shared" si="624"/>
        <v>-11097.6</v>
      </c>
      <c r="AL439" s="527">
        <f t="shared" si="624"/>
        <v>-11097.6</v>
      </c>
      <c r="AM439" s="527">
        <f t="shared" si="624"/>
        <v>-11097.6</v>
      </c>
      <c r="AN439" s="527">
        <f t="shared" si="624"/>
        <v>-11097.6</v>
      </c>
      <c r="AO439" s="527">
        <f t="shared" si="624"/>
        <v>-11097.6</v>
      </c>
      <c r="AP439" s="527">
        <f t="shared" si="624"/>
        <v>-11319.552</v>
      </c>
      <c r="AQ439" s="527">
        <f t="shared" si="624"/>
        <v>-11319.552</v>
      </c>
      <c r="AR439" s="527">
        <f t="shared" si="624"/>
        <v>-11319.552</v>
      </c>
      <c r="AS439" s="527">
        <f t="shared" si="624"/>
        <v>-11319.552</v>
      </c>
      <c r="AT439" s="527">
        <f t="shared" si="624"/>
        <v>-11319.552</v>
      </c>
      <c r="AU439" s="527">
        <f t="shared" si="624"/>
        <v>-11319.552</v>
      </c>
      <c r="AV439" s="527">
        <f t="shared" si="624"/>
        <v>-11319.552</v>
      </c>
      <c r="AW439" s="527">
        <f t="shared" si="624"/>
        <v>-11319.552</v>
      </c>
      <c r="AX439" s="527">
        <f t="shared" ref="AX439:BY439" si="625">(AX$622*$R155)</f>
        <v>-11319.552</v>
      </c>
      <c r="AY439" s="527">
        <f t="shared" si="625"/>
        <v>-11319.552</v>
      </c>
      <c r="AZ439" s="527">
        <f t="shared" si="625"/>
        <v>-11319.552</v>
      </c>
      <c r="BA439" s="527">
        <f t="shared" si="625"/>
        <v>-11319.552</v>
      </c>
      <c r="BB439" s="527">
        <f t="shared" si="625"/>
        <v>-11545.94304</v>
      </c>
      <c r="BC439" s="527">
        <f t="shared" si="625"/>
        <v>-11545.94304</v>
      </c>
      <c r="BD439" s="527">
        <f t="shared" si="625"/>
        <v>-11545.94304</v>
      </c>
      <c r="BE439" s="527">
        <f t="shared" si="625"/>
        <v>-11545.94304</v>
      </c>
      <c r="BF439" s="527">
        <f t="shared" si="625"/>
        <v>-11545.94304</v>
      </c>
      <c r="BG439" s="527">
        <f t="shared" si="625"/>
        <v>-11545.94304</v>
      </c>
      <c r="BH439" s="527">
        <f t="shared" si="625"/>
        <v>-11545.94304</v>
      </c>
      <c r="BI439" s="527">
        <f t="shared" si="625"/>
        <v>-11545.94304</v>
      </c>
      <c r="BJ439" s="527">
        <f t="shared" si="625"/>
        <v>-11545.94304</v>
      </c>
      <c r="BK439" s="527">
        <f t="shared" si="625"/>
        <v>-11545.94304</v>
      </c>
      <c r="BL439" s="527">
        <f t="shared" si="625"/>
        <v>-11545.94304</v>
      </c>
      <c r="BM439" s="527">
        <f t="shared" si="625"/>
        <v>-11545.94304</v>
      </c>
      <c r="BN439" s="527">
        <f t="shared" si="625"/>
        <v>-11776.861900799999</v>
      </c>
      <c r="BO439" s="527">
        <f t="shared" si="625"/>
        <v>-11776.861900799999</v>
      </c>
      <c r="BP439" s="527">
        <f t="shared" si="625"/>
        <v>-11776.861900799999</v>
      </c>
      <c r="BQ439" s="527">
        <f t="shared" si="625"/>
        <v>-11776.861900799999</v>
      </c>
      <c r="BR439" s="527">
        <f t="shared" si="625"/>
        <v>-11776.861900799999</v>
      </c>
      <c r="BS439" s="527">
        <f t="shared" si="625"/>
        <v>-11776.861900799999</v>
      </c>
      <c r="BT439" s="527">
        <f t="shared" si="625"/>
        <v>-11776.861900799999</v>
      </c>
      <c r="BU439" s="527">
        <f t="shared" si="625"/>
        <v>-11776.861900799999</v>
      </c>
      <c r="BV439" s="527">
        <f t="shared" si="625"/>
        <v>-11776.861900799999</v>
      </c>
      <c r="BW439" s="527">
        <f t="shared" si="625"/>
        <v>-11776.861900799999</v>
      </c>
      <c r="BX439" s="527">
        <f t="shared" si="625"/>
        <v>-11776.861900799999</v>
      </c>
      <c r="BY439" s="527">
        <f t="shared" si="625"/>
        <v>-11776.861900799999</v>
      </c>
    </row>
    <row r="440" spans="1:77" x14ac:dyDescent="0.3">
      <c r="A440" s="551"/>
      <c r="B440" s="548"/>
      <c r="C440" s="525"/>
      <c r="D440" s="525"/>
      <c r="E440" s="646" t="str">
        <f>"Maintenance capex: "&amp;E$156</f>
        <v>Maintenance capex: FY28 Tranche</v>
      </c>
      <c r="F440" s="525"/>
      <c r="G440" s="525"/>
      <c r="H440" s="525"/>
      <c r="I440" s="525"/>
      <c r="J440" s="525"/>
      <c r="K440" s="525"/>
      <c r="L440" s="525"/>
      <c r="M440" s="525"/>
      <c r="N440" s="525"/>
      <c r="O440" s="525"/>
      <c r="P440" s="565"/>
      <c r="Q440" s="525"/>
      <c r="R440" s="527">
        <f t="shared" ref="R440:AW440" si="626">(R$622*$R156)</f>
        <v>-10880</v>
      </c>
      <c r="S440" s="527">
        <f t="shared" si="626"/>
        <v>-10880</v>
      </c>
      <c r="T440" s="527">
        <f t="shared" si="626"/>
        <v>-10880</v>
      </c>
      <c r="U440" s="527">
        <f t="shared" si="626"/>
        <v>-10880</v>
      </c>
      <c r="V440" s="527">
        <f t="shared" si="626"/>
        <v>-10880</v>
      </c>
      <c r="W440" s="527">
        <f t="shared" si="626"/>
        <v>-10880</v>
      </c>
      <c r="X440" s="527">
        <f t="shared" si="626"/>
        <v>-10880</v>
      </c>
      <c r="Y440" s="527">
        <f t="shared" si="626"/>
        <v>-10880</v>
      </c>
      <c r="Z440" s="527">
        <f t="shared" si="626"/>
        <v>-10880</v>
      </c>
      <c r="AA440" s="527">
        <f t="shared" si="626"/>
        <v>-10880</v>
      </c>
      <c r="AB440" s="527">
        <f t="shared" si="626"/>
        <v>-10880</v>
      </c>
      <c r="AC440" s="527">
        <f t="shared" si="626"/>
        <v>-10880</v>
      </c>
      <c r="AD440" s="527">
        <f t="shared" si="626"/>
        <v>-11097.6</v>
      </c>
      <c r="AE440" s="527">
        <f t="shared" si="626"/>
        <v>-11097.6</v>
      </c>
      <c r="AF440" s="527">
        <f t="shared" si="626"/>
        <v>-11097.6</v>
      </c>
      <c r="AG440" s="527">
        <f t="shared" si="626"/>
        <v>-11097.6</v>
      </c>
      <c r="AH440" s="527">
        <f t="shared" si="626"/>
        <v>-11097.6</v>
      </c>
      <c r="AI440" s="527">
        <f t="shared" si="626"/>
        <v>-11097.6</v>
      </c>
      <c r="AJ440" s="527">
        <f t="shared" si="626"/>
        <v>-11097.6</v>
      </c>
      <c r="AK440" s="527">
        <f t="shared" si="626"/>
        <v>-11097.6</v>
      </c>
      <c r="AL440" s="527">
        <f t="shared" si="626"/>
        <v>-11097.6</v>
      </c>
      <c r="AM440" s="527">
        <f t="shared" si="626"/>
        <v>-11097.6</v>
      </c>
      <c r="AN440" s="527">
        <f t="shared" si="626"/>
        <v>-11097.6</v>
      </c>
      <c r="AO440" s="527">
        <f t="shared" si="626"/>
        <v>-11097.6</v>
      </c>
      <c r="AP440" s="527">
        <f t="shared" si="626"/>
        <v>-11319.552</v>
      </c>
      <c r="AQ440" s="527">
        <f t="shared" si="626"/>
        <v>-11319.552</v>
      </c>
      <c r="AR440" s="527">
        <f t="shared" si="626"/>
        <v>-11319.552</v>
      </c>
      <c r="AS440" s="527">
        <f t="shared" si="626"/>
        <v>-11319.552</v>
      </c>
      <c r="AT440" s="527">
        <f t="shared" si="626"/>
        <v>-11319.552</v>
      </c>
      <c r="AU440" s="527">
        <f t="shared" si="626"/>
        <v>-11319.552</v>
      </c>
      <c r="AV440" s="527">
        <f t="shared" si="626"/>
        <v>-11319.552</v>
      </c>
      <c r="AW440" s="527">
        <f t="shared" si="626"/>
        <v>-11319.552</v>
      </c>
      <c r="AX440" s="527">
        <f t="shared" ref="AX440:BY440" si="627">(AX$622*$R156)</f>
        <v>-11319.552</v>
      </c>
      <c r="AY440" s="527">
        <f t="shared" si="627"/>
        <v>-11319.552</v>
      </c>
      <c r="AZ440" s="527">
        <f t="shared" si="627"/>
        <v>-11319.552</v>
      </c>
      <c r="BA440" s="527">
        <f t="shared" si="627"/>
        <v>-11319.552</v>
      </c>
      <c r="BB440" s="527">
        <f t="shared" si="627"/>
        <v>-11545.94304</v>
      </c>
      <c r="BC440" s="527">
        <f t="shared" si="627"/>
        <v>-11545.94304</v>
      </c>
      <c r="BD440" s="527">
        <f t="shared" si="627"/>
        <v>-11545.94304</v>
      </c>
      <c r="BE440" s="527">
        <f t="shared" si="627"/>
        <v>-11545.94304</v>
      </c>
      <c r="BF440" s="527">
        <f t="shared" si="627"/>
        <v>-11545.94304</v>
      </c>
      <c r="BG440" s="527">
        <f t="shared" si="627"/>
        <v>-11545.94304</v>
      </c>
      <c r="BH440" s="527">
        <f t="shared" si="627"/>
        <v>-11545.94304</v>
      </c>
      <c r="BI440" s="527">
        <f t="shared" si="627"/>
        <v>-11545.94304</v>
      </c>
      <c r="BJ440" s="527">
        <f t="shared" si="627"/>
        <v>-11545.94304</v>
      </c>
      <c r="BK440" s="527">
        <f t="shared" si="627"/>
        <v>-11545.94304</v>
      </c>
      <c r="BL440" s="527">
        <f t="shared" si="627"/>
        <v>-11545.94304</v>
      </c>
      <c r="BM440" s="527">
        <f t="shared" si="627"/>
        <v>-11545.94304</v>
      </c>
      <c r="BN440" s="527">
        <f t="shared" si="627"/>
        <v>-11776.861900799999</v>
      </c>
      <c r="BO440" s="527">
        <f t="shared" si="627"/>
        <v>-11776.861900799999</v>
      </c>
      <c r="BP440" s="527">
        <f t="shared" si="627"/>
        <v>-11776.861900799999</v>
      </c>
      <c r="BQ440" s="527">
        <f t="shared" si="627"/>
        <v>-11776.861900799999</v>
      </c>
      <c r="BR440" s="527">
        <f t="shared" si="627"/>
        <v>-11776.861900799999</v>
      </c>
      <c r="BS440" s="527">
        <f t="shared" si="627"/>
        <v>-11776.861900799999</v>
      </c>
      <c r="BT440" s="527">
        <f t="shared" si="627"/>
        <v>-11776.861900799999</v>
      </c>
      <c r="BU440" s="527">
        <f t="shared" si="627"/>
        <v>-11776.861900799999</v>
      </c>
      <c r="BV440" s="527">
        <f t="shared" si="627"/>
        <v>-11776.861900799999</v>
      </c>
      <c r="BW440" s="527">
        <f t="shared" si="627"/>
        <v>-11776.861900799999</v>
      </c>
      <c r="BX440" s="527">
        <f t="shared" si="627"/>
        <v>-11776.861900799999</v>
      </c>
      <c r="BY440" s="527">
        <f t="shared" si="627"/>
        <v>-11776.861900799999</v>
      </c>
    </row>
    <row r="441" spans="1:77" x14ac:dyDescent="0.3">
      <c r="A441" s="551"/>
      <c r="B441" s="548"/>
      <c r="C441" s="525"/>
      <c r="D441" s="525"/>
      <c r="E441" s="646" t="str">
        <f>"Maintenance capex: "&amp;E$157</f>
        <v>Maintenance capex: FY29 Tranche</v>
      </c>
      <c r="F441" s="525"/>
      <c r="G441" s="525"/>
      <c r="H441" s="525"/>
      <c r="I441" s="525"/>
      <c r="J441" s="525"/>
      <c r="K441" s="525"/>
      <c r="L441" s="525"/>
      <c r="M441" s="525"/>
      <c r="N441" s="525"/>
      <c r="O441" s="525"/>
      <c r="P441" s="565"/>
      <c r="Q441" s="525"/>
      <c r="R441" s="527">
        <f t="shared" ref="R441:AW441" si="628">(R$622*$R157)</f>
        <v>-10880</v>
      </c>
      <c r="S441" s="527">
        <f t="shared" si="628"/>
        <v>-10880</v>
      </c>
      <c r="T441" s="527">
        <f t="shared" si="628"/>
        <v>-10880</v>
      </c>
      <c r="U441" s="527">
        <f t="shared" si="628"/>
        <v>-10880</v>
      </c>
      <c r="V441" s="527">
        <f t="shared" si="628"/>
        <v>-10880</v>
      </c>
      <c r="W441" s="527">
        <f t="shared" si="628"/>
        <v>-10880</v>
      </c>
      <c r="X441" s="527">
        <f t="shared" si="628"/>
        <v>-10880</v>
      </c>
      <c r="Y441" s="527">
        <f t="shared" si="628"/>
        <v>-10880</v>
      </c>
      <c r="Z441" s="527">
        <f t="shared" si="628"/>
        <v>-10880</v>
      </c>
      <c r="AA441" s="527">
        <f t="shared" si="628"/>
        <v>-10880</v>
      </c>
      <c r="AB441" s="527">
        <f t="shared" si="628"/>
        <v>-10880</v>
      </c>
      <c r="AC441" s="527">
        <f t="shared" si="628"/>
        <v>-10880</v>
      </c>
      <c r="AD441" s="527">
        <f t="shared" si="628"/>
        <v>-11097.6</v>
      </c>
      <c r="AE441" s="527">
        <f t="shared" si="628"/>
        <v>-11097.6</v>
      </c>
      <c r="AF441" s="527">
        <f t="shared" si="628"/>
        <v>-11097.6</v>
      </c>
      <c r="AG441" s="527">
        <f t="shared" si="628"/>
        <v>-11097.6</v>
      </c>
      <c r="AH441" s="527">
        <f t="shared" si="628"/>
        <v>-11097.6</v>
      </c>
      <c r="AI441" s="527">
        <f t="shared" si="628"/>
        <v>-11097.6</v>
      </c>
      <c r="AJ441" s="527">
        <f t="shared" si="628"/>
        <v>-11097.6</v>
      </c>
      <c r="AK441" s="527">
        <f t="shared" si="628"/>
        <v>-11097.6</v>
      </c>
      <c r="AL441" s="527">
        <f t="shared" si="628"/>
        <v>-11097.6</v>
      </c>
      <c r="AM441" s="527">
        <f t="shared" si="628"/>
        <v>-11097.6</v>
      </c>
      <c r="AN441" s="527">
        <f t="shared" si="628"/>
        <v>-11097.6</v>
      </c>
      <c r="AO441" s="527">
        <f t="shared" si="628"/>
        <v>-11097.6</v>
      </c>
      <c r="AP441" s="527">
        <f t="shared" si="628"/>
        <v>-11319.552</v>
      </c>
      <c r="AQ441" s="527">
        <f t="shared" si="628"/>
        <v>-11319.552</v>
      </c>
      <c r="AR441" s="527">
        <f t="shared" si="628"/>
        <v>-11319.552</v>
      </c>
      <c r="AS441" s="527">
        <f t="shared" si="628"/>
        <v>-11319.552</v>
      </c>
      <c r="AT441" s="527">
        <f t="shared" si="628"/>
        <v>-11319.552</v>
      </c>
      <c r="AU441" s="527">
        <f t="shared" si="628"/>
        <v>-11319.552</v>
      </c>
      <c r="AV441" s="527">
        <f t="shared" si="628"/>
        <v>-11319.552</v>
      </c>
      <c r="AW441" s="527">
        <f t="shared" si="628"/>
        <v>-11319.552</v>
      </c>
      <c r="AX441" s="527">
        <f t="shared" ref="AX441:BY441" si="629">(AX$622*$R157)</f>
        <v>-11319.552</v>
      </c>
      <c r="AY441" s="527">
        <f t="shared" si="629"/>
        <v>-11319.552</v>
      </c>
      <c r="AZ441" s="527">
        <f t="shared" si="629"/>
        <v>-11319.552</v>
      </c>
      <c r="BA441" s="527">
        <f t="shared" si="629"/>
        <v>-11319.552</v>
      </c>
      <c r="BB441" s="527">
        <f t="shared" si="629"/>
        <v>-11545.94304</v>
      </c>
      <c r="BC441" s="527">
        <f t="shared" si="629"/>
        <v>-11545.94304</v>
      </c>
      <c r="BD441" s="527">
        <f t="shared" si="629"/>
        <v>-11545.94304</v>
      </c>
      <c r="BE441" s="527">
        <f t="shared" si="629"/>
        <v>-11545.94304</v>
      </c>
      <c r="BF441" s="527">
        <f t="shared" si="629"/>
        <v>-11545.94304</v>
      </c>
      <c r="BG441" s="527">
        <f t="shared" si="629"/>
        <v>-11545.94304</v>
      </c>
      <c r="BH441" s="527">
        <f t="shared" si="629"/>
        <v>-11545.94304</v>
      </c>
      <c r="BI441" s="527">
        <f t="shared" si="629"/>
        <v>-11545.94304</v>
      </c>
      <c r="BJ441" s="527">
        <f t="shared" si="629"/>
        <v>-11545.94304</v>
      </c>
      <c r="BK441" s="527">
        <f t="shared" si="629"/>
        <v>-11545.94304</v>
      </c>
      <c r="BL441" s="527">
        <f t="shared" si="629"/>
        <v>-11545.94304</v>
      </c>
      <c r="BM441" s="527">
        <f t="shared" si="629"/>
        <v>-11545.94304</v>
      </c>
      <c r="BN441" s="527">
        <f t="shared" si="629"/>
        <v>-11776.861900799999</v>
      </c>
      <c r="BO441" s="527">
        <f t="shared" si="629"/>
        <v>-11776.861900799999</v>
      </c>
      <c r="BP441" s="527">
        <f t="shared" si="629"/>
        <v>-11776.861900799999</v>
      </c>
      <c r="BQ441" s="527">
        <f t="shared" si="629"/>
        <v>-11776.861900799999</v>
      </c>
      <c r="BR441" s="527">
        <f t="shared" si="629"/>
        <v>-11776.861900799999</v>
      </c>
      <c r="BS441" s="527">
        <f t="shared" si="629"/>
        <v>-11776.861900799999</v>
      </c>
      <c r="BT441" s="527">
        <f t="shared" si="629"/>
        <v>-11776.861900799999</v>
      </c>
      <c r="BU441" s="527">
        <f t="shared" si="629"/>
        <v>-11776.861900799999</v>
      </c>
      <c r="BV441" s="527">
        <f t="shared" si="629"/>
        <v>-11776.861900799999</v>
      </c>
      <c r="BW441" s="527">
        <f t="shared" si="629"/>
        <v>-11776.861900799999</v>
      </c>
      <c r="BX441" s="527">
        <f t="shared" si="629"/>
        <v>-11776.861900799999</v>
      </c>
      <c r="BY441" s="527">
        <f t="shared" si="629"/>
        <v>-11776.861900799999</v>
      </c>
    </row>
    <row r="442" spans="1:77" x14ac:dyDescent="0.3">
      <c r="A442" s="551"/>
      <c r="B442" s="548"/>
      <c r="C442" s="525"/>
      <c r="D442" s="525"/>
      <c r="E442" s="646" t="str">
        <f>"Maintenance capex: "&amp;E$158</f>
        <v>Maintenance capex: FY30 Tranche</v>
      </c>
      <c r="F442" s="525"/>
      <c r="G442" s="525"/>
      <c r="H442" s="525"/>
      <c r="I442" s="525"/>
      <c r="J442" s="525"/>
      <c r="K442" s="525"/>
      <c r="L442" s="525"/>
      <c r="M442" s="525"/>
      <c r="N442" s="525"/>
      <c r="O442" s="525"/>
      <c r="P442" s="565"/>
      <c r="Q442" s="525"/>
      <c r="R442" s="527">
        <f t="shared" ref="R442:AW442" si="630">(R$622*$R158)</f>
        <v>-10880</v>
      </c>
      <c r="S442" s="527">
        <f t="shared" si="630"/>
        <v>-10880</v>
      </c>
      <c r="T442" s="527">
        <f t="shared" si="630"/>
        <v>-10880</v>
      </c>
      <c r="U442" s="527">
        <f t="shared" si="630"/>
        <v>-10880</v>
      </c>
      <c r="V442" s="527">
        <f t="shared" si="630"/>
        <v>-10880</v>
      </c>
      <c r="W442" s="527">
        <f t="shared" si="630"/>
        <v>-10880</v>
      </c>
      <c r="X442" s="527">
        <f t="shared" si="630"/>
        <v>-10880</v>
      </c>
      <c r="Y442" s="527">
        <f t="shared" si="630"/>
        <v>-10880</v>
      </c>
      <c r="Z442" s="527">
        <f t="shared" si="630"/>
        <v>-10880</v>
      </c>
      <c r="AA442" s="527">
        <f t="shared" si="630"/>
        <v>-10880</v>
      </c>
      <c r="AB442" s="527">
        <f t="shared" si="630"/>
        <v>-10880</v>
      </c>
      <c r="AC442" s="527">
        <f t="shared" si="630"/>
        <v>-10880</v>
      </c>
      <c r="AD442" s="527">
        <f t="shared" si="630"/>
        <v>-11097.6</v>
      </c>
      <c r="AE442" s="527">
        <f t="shared" si="630"/>
        <v>-11097.6</v>
      </c>
      <c r="AF442" s="527">
        <f t="shared" si="630"/>
        <v>-11097.6</v>
      </c>
      <c r="AG442" s="527">
        <f t="shared" si="630"/>
        <v>-11097.6</v>
      </c>
      <c r="AH442" s="527">
        <f t="shared" si="630"/>
        <v>-11097.6</v>
      </c>
      <c r="AI442" s="527">
        <f t="shared" si="630"/>
        <v>-11097.6</v>
      </c>
      <c r="AJ442" s="527">
        <f t="shared" si="630"/>
        <v>-11097.6</v>
      </c>
      <c r="AK442" s="527">
        <f t="shared" si="630"/>
        <v>-11097.6</v>
      </c>
      <c r="AL442" s="527">
        <f t="shared" si="630"/>
        <v>-11097.6</v>
      </c>
      <c r="AM442" s="527">
        <f t="shared" si="630"/>
        <v>-11097.6</v>
      </c>
      <c r="AN442" s="527">
        <f t="shared" si="630"/>
        <v>-11097.6</v>
      </c>
      <c r="AO442" s="527">
        <f t="shared" si="630"/>
        <v>-11097.6</v>
      </c>
      <c r="AP442" s="527">
        <f t="shared" si="630"/>
        <v>-11319.552</v>
      </c>
      <c r="AQ442" s="527">
        <f t="shared" si="630"/>
        <v>-11319.552</v>
      </c>
      <c r="AR442" s="527">
        <f t="shared" si="630"/>
        <v>-11319.552</v>
      </c>
      <c r="AS442" s="527">
        <f t="shared" si="630"/>
        <v>-11319.552</v>
      </c>
      <c r="AT442" s="527">
        <f t="shared" si="630"/>
        <v>-11319.552</v>
      </c>
      <c r="AU442" s="527">
        <f t="shared" si="630"/>
        <v>-11319.552</v>
      </c>
      <c r="AV442" s="527">
        <f t="shared" si="630"/>
        <v>-11319.552</v>
      </c>
      <c r="AW442" s="527">
        <f t="shared" si="630"/>
        <v>-11319.552</v>
      </c>
      <c r="AX442" s="527">
        <f t="shared" ref="AX442:BY442" si="631">(AX$622*$R158)</f>
        <v>-11319.552</v>
      </c>
      <c r="AY442" s="527">
        <f t="shared" si="631"/>
        <v>-11319.552</v>
      </c>
      <c r="AZ442" s="527">
        <f t="shared" si="631"/>
        <v>-11319.552</v>
      </c>
      <c r="BA442" s="527">
        <f t="shared" si="631"/>
        <v>-11319.552</v>
      </c>
      <c r="BB442" s="527">
        <f t="shared" si="631"/>
        <v>-11545.94304</v>
      </c>
      <c r="BC442" s="527">
        <f t="shared" si="631"/>
        <v>-11545.94304</v>
      </c>
      <c r="BD442" s="527">
        <f t="shared" si="631"/>
        <v>-11545.94304</v>
      </c>
      <c r="BE442" s="527">
        <f t="shared" si="631"/>
        <v>-11545.94304</v>
      </c>
      <c r="BF442" s="527">
        <f t="shared" si="631"/>
        <v>-11545.94304</v>
      </c>
      <c r="BG442" s="527">
        <f t="shared" si="631"/>
        <v>-11545.94304</v>
      </c>
      <c r="BH442" s="527">
        <f t="shared" si="631"/>
        <v>-11545.94304</v>
      </c>
      <c r="BI442" s="527">
        <f t="shared" si="631"/>
        <v>-11545.94304</v>
      </c>
      <c r="BJ442" s="527">
        <f t="shared" si="631"/>
        <v>-11545.94304</v>
      </c>
      <c r="BK442" s="527">
        <f t="shared" si="631"/>
        <v>-11545.94304</v>
      </c>
      <c r="BL442" s="527">
        <f t="shared" si="631"/>
        <v>-11545.94304</v>
      </c>
      <c r="BM442" s="527">
        <f t="shared" si="631"/>
        <v>-11545.94304</v>
      </c>
      <c r="BN442" s="527">
        <f t="shared" si="631"/>
        <v>-11776.861900799999</v>
      </c>
      <c r="BO442" s="527">
        <f t="shared" si="631"/>
        <v>-11776.861900799999</v>
      </c>
      <c r="BP442" s="527">
        <f t="shared" si="631"/>
        <v>-11776.861900799999</v>
      </c>
      <c r="BQ442" s="527">
        <f t="shared" si="631"/>
        <v>-11776.861900799999</v>
      </c>
      <c r="BR442" s="527">
        <f t="shared" si="631"/>
        <v>-11776.861900799999</v>
      </c>
      <c r="BS442" s="527">
        <f t="shared" si="631"/>
        <v>-11776.861900799999</v>
      </c>
      <c r="BT442" s="527">
        <f t="shared" si="631"/>
        <v>-11776.861900799999</v>
      </c>
      <c r="BU442" s="527">
        <f t="shared" si="631"/>
        <v>-11776.861900799999</v>
      </c>
      <c r="BV442" s="527">
        <f t="shared" si="631"/>
        <v>-11776.861900799999</v>
      </c>
      <c r="BW442" s="527">
        <f t="shared" si="631"/>
        <v>-11776.861900799999</v>
      </c>
      <c r="BX442" s="527">
        <f t="shared" si="631"/>
        <v>-11776.861900799999</v>
      </c>
      <c r="BY442" s="527">
        <f t="shared" si="631"/>
        <v>-11776.861900799999</v>
      </c>
    </row>
    <row r="443" spans="1:77" x14ac:dyDescent="0.3">
      <c r="A443" s="551"/>
      <c r="B443" s="548"/>
      <c r="C443" s="525"/>
      <c r="D443" s="525"/>
      <c r="E443" s="646" t="str">
        <f>"Maintenance capex: "&amp;E$159</f>
        <v>Maintenance capex: FY31 Tranche</v>
      </c>
      <c r="F443" s="525"/>
      <c r="G443" s="525"/>
      <c r="H443" s="525"/>
      <c r="I443" s="525"/>
      <c r="J443" s="525"/>
      <c r="K443" s="525"/>
      <c r="L443" s="525"/>
      <c r="M443" s="525"/>
      <c r="N443" s="525"/>
      <c r="O443" s="525"/>
      <c r="P443" s="565"/>
      <c r="Q443" s="525"/>
      <c r="R443" s="527">
        <f t="shared" ref="R443:AW443" si="632">(R$622*$R159)</f>
        <v>-10880</v>
      </c>
      <c r="S443" s="527">
        <f t="shared" si="632"/>
        <v>-10880</v>
      </c>
      <c r="T443" s="527">
        <f t="shared" si="632"/>
        <v>-10880</v>
      </c>
      <c r="U443" s="527">
        <f t="shared" si="632"/>
        <v>-10880</v>
      </c>
      <c r="V443" s="527">
        <f t="shared" si="632"/>
        <v>-10880</v>
      </c>
      <c r="W443" s="527">
        <f t="shared" si="632"/>
        <v>-10880</v>
      </c>
      <c r="X443" s="527">
        <f t="shared" si="632"/>
        <v>-10880</v>
      </c>
      <c r="Y443" s="527">
        <f t="shared" si="632"/>
        <v>-10880</v>
      </c>
      <c r="Z443" s="527">
        <f t="shared" si="632"/>
        <v>-10880</v>
      </c>
      <c r="AA443" s="527">
        <f t="shared" si="632"/>
        <v>-10880</v>
      </c>
      <c r="AB443" s="527">
        <f t="shared" si="632"/>
        <v>-10880</v>
      </c>
      <c r="AC443" s="527">
        <f t="shared" si="632"/>
        <v>-10880</v>
      </c>
      <c r="AD443" s="527">
        <f t="shared" si="632"/>
        <v>-11097.6</v>
      </c>
      <c r="AE443" s="527">
        <f t="shared" si="632"/>
        <v>-11097.6</v>
      </c>
      <c r="AF443" s="527">
        <f t="shared" si="632"/>
        <v>-11097.6</v>
      </c>
      <c r="AG443" s="527">
        <f t="shared" si="632"/>
        <v>-11097.6</v>
      </c>
      <c r="AH443" s="527">
        <f t="shared" si="632"/>
        <v>-11097.6</v>
      </c>
      <c r="AI443" s="527">
        <f t="shared" si="632"/>
        <v>-11097.6</v>
      </c>
      <c r="AJ443" s="527">
        <f t="shared" si="632"/>
        <v>-11097.6</v>
      </c>
      <c r="AK443" s="527">
        <f t="shared" si="632"/>
        <v>-11097.6</v>
      </c>
      <c r="AL443" s="527">
        <f t="shared" si="632"/>
        <v>-11097.6</v>
      </c>
      <c r="AM443" s="527">
        <f t="shared" si="632"/>
        <v>-11097.6</v>
      </c>
      <c r="AN443" s="527">
        <f t="shared" si="632"/>
        <v>-11097.6</v>
      </c>
      <c r="AO443" s="527">
        <f t="shared" si="632"/>
        <v>-11097.6</v>
      </c>
      <c r="AP443" s="527">
        <f t="shared" si="632"/>
        <v>-11319.552</v>
      </c>
      <c r="AQ443" s="527">
        <f t="shared" si="632"/>
        <v>-11319.552</v>
      </c>
      <c r="AR443" s="527">
        <f t="shared" si="632"/>
        <v>-11319.552</v>
      </c>
      <c r="AS443" s="527">
        <f t="shared" si="632"/>
        <v>-11319.552</v>
      </c>
      <c r="AT443" s="527">
        <f t="shared" si="632"/>
        <v>-11319.552</v>
      </c>
      <c r="AU443" s="527">
        <f t="shared" si="632"/>
        <v>-11319.552</v>
      </c>
      <c r="AV443" s="527">
        <f t="shared" si="632"/>
        <v>-11319.552</v>
      </c>
      <c r="AW443" s="527">
        <f t="shared" si="632"/>
        <v>-11319.552</v>
      </c>
      <c r="AX443" s="527">
        <f t="shared" ref="AX443:BY443" si="633">(AX$622*$R159)</f>
        <v>-11319.552</v>
      </c>
      <c r="AY443" s="527">
        <f t="shared" si="633"/>
        <v>-11319.552</v>
      </c>
      <c r="AZ443" s="527">
        <f t="shared" si="633"/>
        <v>-11319.552</v>
      </c>
      <c r="BA443" s="527">
        <f t="shared" si="633"/>
        <v>-11319.552</v>
      </c>
      <c r="BB443" s="527">
        <f t="shared" si="633"/>
        <v>-11545.94304</v>
      </c>
      <c r="BC443" s="527">
        <f t="shared" si="633"/>
        <v>-11545.94304</v>
      </c>
      <c r="BD443" s="527">
        <f t="shared" si="633"/>
        <v>-11545.94304</v>
      </c>
      <c r="BE443" s="527">
        <f t="shared" si="633"/>
        <v>-11545.94304</v>
      </c>
      <c r="BF443" s="527">
        <f t="shared" si="633"/>
        <v>-11545.94304</v>
      </c>
      <c r="BG443" s="527">
        <f t="shared" si="633"/>
        <v>-11545.94304</v>
      </c>
      <c r="BH443" s="527">
        <f t="shared" si="633"/>
        <v>-11545.94304</v>
      </c>
      <c r="BI443" s="527">
        <f t="shared" si="633"/>
        <v>-11545.94304</v>
      </c>
      <c r="BJ443" s="527">
        <f t="shared" si="633"/>
        <v>-11545.94304</v>
      </c>
      <c r="BK443" s="527">
        <f t="shared" si="633"/>
        <v>-11545.94304</v>
      </c>
      <c r="BL443" s="527">
        <f t="shared" si="633"/>
        <v>-11545.94304</v>
      </c>
      <c r="BM443" s="527">
        <f t="shared" si="633"/>
        <v>-11545.94304</v>
      </c>
      <c r="BN443" s="527">
        <f t="shared" si="633"/>
        <v>-11776.861900799999</v>
      </c>
      <c r="BO443" s="527">
        <f t="shared" si="633"/>
        <v>-11776.861900799999</v>
      </c>
      <c r="BP443" s="527">
        <f t="shared" si="633"/>
        <v>-11776.861900799999</v>
      </c>
      <c r="BQ443" s="527">
        <f t="shared" si="633"/>
        <v>-11776.861900799999</v>
      </c>
      <c r="BR443" s="527">
        <f t="shared" si="633"/>
        <v>-11776.861900799999</v>
      </c>
      <c r="BS443" s="527">
        <f t="shared" si="633"/>
        <v>-11776.861900799999</v>
      </c>
      <c r="BT443" s="527">
        <f t="shared" si="633"/>
        <v>-11776.861900799999</v>
      </c>
      <c r="BU443" s="527">
        <f t="shared" si="633"/>
        <v>-11776.861900799999</v>
      </c>
      <c r="BV443" s="527">
        <f t="shared" si="633"/>
        <v>-11776.861900799999</v>
      </c>
      <c r="BW443" s="527">
        <f t="shared" si="633"/>
        <v>-11776.861900799999</v>
      </c>
      <c r="BX443" s="527">
        <f t="shared" si="633"/>
        <v>-11776.861900799999</v>
      </c>
      <c r="BY443" s="527">
        <f t="shared" si="633"/>
        <v>-11776.861900799999</v>
      </c>
    </row>
    <row r="444" spans="1:77" x14ac:dyDescent="0.3">
      <c r="A444" s="551"/>
      <c r="B444" s="548"/>
      <c r="C444" s="525"/>
      <c r="D444" s="525"/>
      <c r="E444" s="646" t="str">
        <f>"Maintenance capex: "&amp;E$160</f>
        <v>Maintenance capex: Uninvested Tranche</v>
      </c>
      <c r="F444" s="525"/>
      <c r="G444" s="525"/>
      <c r="H444" s="525"/>
      <c r="I444" s="525"/>
      <c r="J444" s="525"/>
      <c r="K444" s="525"/>
      <c r="L444" s="525"/>
      <c r="M444" s="525"/>
      <c r="N444" s="525"/>
      <c r="O444" s="525"/>
      <c r="P444" s="565"/>
      <c r="Q444" s="525"/>
      <c r="R444" s="527">
        <f t="shared" ref="R444:AW444" si="634">(R$622*$R160)</f>
        <v>-23800</v>
      </c>
      <c r="S444" s="527">
        <f t="shared" si="634"/>
        <v>-23800</v>
      </c>
      <c r="T444" s="527">
        <f t="shared" si="634"/>
        <v>-23800</v>
      </c>
      <c r="U444" s="527">
        <f t="shared" si="634"/>
        <v>-23800</v>
      </c>
      <c r="V444" s="527">
        <f t="shared" si="634"/>
        <v>-23800</v>
      </c>
      <c r="W444" s="527">
        <f t="shared" si="634"/>
        <v>-23800</v>
      </c>
      <c r="X444" s="527">
        <f t="shared" si="634"/>
        <v>-23800</v>
      </c>
      <c r="Y444" s="527">
        <f t="shared" si="634"/>
        <v>-23800</v>
      </c>
      <c r="Z444" s="527">
        <f t="shared" si="634"/>
        <v>-23800</v>
      </c>
      <c r="AA444" s="527">
        <f t="shared" si="634"/>
        <v>-23800</v>
      </c>
      <c r="AB444" s="527">
        <f t="shared" si="634"/>
        <v>-23800</v>
      </c>
      <c r="AC444" s="527">
        <f t="shared" si="634"/>
        <v>-23800</v>
      </c>
      <c r="AD444" s="527">
        <f t="shared" si="634"/>
        <v>-24276</v>
      </c>
      <c r="AE444" s="527">
        <f t="shared" si="634"/>
        <v>-24276</v>
      </c>
      <c r="AF444" s="527">
        <f t="shared" si="634"/>
        <v>-24276</v>
      </c>
      <c r="AG444" s="527">
        <f t="shared" si="634"/>
        <v>-24276</v>
      </c>
      <c r="AH444" s="527">
        <f t="shared" si="634"/>
        <v>-24276</v>
      </c>
      <c r="AI444" s="527">
        <f t="shared" si="634"/>
        <v>-24276</v>
      </c>
      <c r="AJ444" s="527">
        <f t="shared" si="634"/>
        <v>-24276</v>
      </c>
      <c r="AK444" s="527">
        <f t="shared" si="634"/>
        <v>-24276</v>
      </c>
      <c r="AL444" s="527">
        <f t="shared" si="634"/>
        <v>-24276</v>
      </c>
      <c r="AM444" s="527">
        <f t="shared" si="634"/>
        <v>-24276</v>
      </c>
      <c r="AN444" s="527">
        <f t="shared" si="634"/>
        <v>-24276</v>
      </c>
      <c r="AO444" s="527">
        <f t="shared" si="634"/>
        <v>-24276</v>
      </c>
      <c r="AP444" s="527">
        <f t="shared" si="634"/>
        <v>-24761.52</v>
      </c>
      <c r="AQ444" s="527">
        <f t="shared" si="634"/>
        <v>-24761.52</v>
      </c>
      <c r="AR444" s="527">
        <f t="shared" si="634"/>
        <v>-24761.52</v>
      </c>
      <c r="AS444" s="527">
        <f t="shared" si="634"/>
        <v>-24761.52</v>
      </c>
      <c r="AT444" s="527">
        <f t="shared" si="634"/>
        <v>-24761.52</v>
      </c>
      <c r="AU444" s="527">
        <f t="shared" si="634"/>
        <v>-24761.52</v>
      </c>
      <c r="AV444" s="527">
        <f t="shared" si="634"/>
        <v>-24761.52</v>
      </c>
      <c r="AW444" s="527">
        <f t="shared" si="634"/>
        <v>-24761.52</v>
      </c>
      <c r="AX444" s="527">
        <f t="shared" ref="AX444:BY444" si="635">(AX$622*$R160)</f>
        <v>-24761.52</v>
      </c>
      <c r="AY444" s="527">
        <f t="shared" si="635"/>
        <v>-24761.52</v>
      </c>
      <c r="AZ444" s="527">
        <f t="shared" si="635"/>
        <v>-24761.52</v>
      </c>
      <c r="BA444" s="527">
        <f t="shared" si="635"/>
        <v>-24761.52</v>
      </c>
      <c r="BB444" s="527">
        <f t="shared" si="635"/>
        <v>-25256.750400000001</v>
      </c>
      <c r="BC444" s="527">
        <f t="shared" si="635"/>
        <v>-25256.750400000001</v>
      </c>
      <c r="BD444" s="527">
        <f t="shared" si="635"/>
        <v>-25256.750400000001</v>
      </c>
      <c r="BE444" s="527">
        <f t="shared" si="635"/>
        <v>-25256.750400000001</v>
      </c>
      <c r="BF444" s="527">
        <f t="shared" si="635"/>
        <v>-25256.750400000001</v>
      </c>
      <c r="BG444" s="527">
        <f t="shared" si="635"/>
        <v>-25256.750400000001</v>
      </c>
      <c r="BH444" s="527">
        <f t="shared" si="635"/>
        <v>-25256.750400000001</v>
      </c>
      <c r="BI444" s="527">
        <f t="shared" si="635"/>
        <v>-25256.750400000001</v>
      </c>
      <c r="BJ444" s="527">
        <f t="shared" si="635"/>
        <v>-25256.750400000001</v>
      </c>
      <c r="BK444" s="527">
        <f t="shared" si="635"/>
        <v>-25256.750400000001</v>
      </c>
      <c r="BL444" s="527">
        <f t="shared" si="635"/>
        <v>-25256.750400000001</v>
      </c>
      <c r="BM444" s="527">
        <f t="shared" si="635"/>
        <v>-25256.750400000001</v>
      </c>
      <c r="BN444" s="527">
        <f t="shared" si="635"/>
        <v>-25761.885407999998</v>
      </c>
      <c r="BO444" s="527">
        <f t="shared" si="635"/>
        <v>-25761.885407999998</v>
      </c>
      <c r="BP444" s="527">
        <f t="shared" si="635"/>
        <v>-25761.885407999998</v>
      </c>
      <c r="BQ444" s="527">
        <f t="shared" si="635"/>
        <v>-25761.885407999998</v>
      </c>
      <c r="BR444" s="527">
        <f t="shared" si="635"/>
        <v>-25761.885407999998</v>
      </c>
      <c r="BS444" s="527">
        <f t="shared" si="635"/>
        <v>-25761.885407999998</v>
      </c>
      <c r="BT444" s="527">
        <f t="shared" si="635"/>
        <v>-25761.885407999998</v>
      </c>
      <c r="BU444" s="527">
        <f t="shared" si="635"/>
        <v>-25761.885407999998</v>
      </c>
      <c r="BV444" s="527">
        <f t="shared" si="635"/>
        <v>-25761.885407999998</v>
      </c>
      <c r="BW444" s="527">
        <f t="shared" si="635"/>
        <v>-25761.885407999998</v>
      </c>
      <c r="BX444" s="527">
        <f t="shared" si="635"/>
        <v>-25761.885407999998</v>
      </c>
      <c r="BY444" s="527">
        <f t="shared" si="635"/>
        <v>-25761.885407999998</v>
      </c>
    </row>
    <row r="445" spans="1:77" x14ac:dyDescent="0.3">
      <c r="A445" s="551"/>
      <c r="B445" s="548"/>
      <c r="C445" s="525"/>
      <c r="D445" s="525"/>
      <c r="E445" s="572" t="s">
        <v>36</v>
      </c>
      <c r="F445" s="572"/>
      <c r="G445" s="572"/>
      <c r="H445" s="572"/>
      <c r="I445" s="572"/>
      <c r="J445" s="572"/>
      <c r="K445" s="572"/>
      <c r="L445" s="572"/>
      <c r="M445" s="572"/>
      <c r="N445" s="572"/>
      <c r="O445" s="572"/>
      <c r="P445" s="612"/>
      <c r="Q445" s="572"/>
      <c r="R445" s="530">
        <f t="shared" ref="R445:AW445" si="636">SUM(R439:R444)</f>
        <v>-78200</v>
      </c>
      <c r="S445" s="530">
        <f t="shared" si="636"/>
        <v>-78200</v>
      </c>
      <c r="T445" s="530">
        <f t="shared" si="636"/>
        <v>-78200</v>
      </c>
      <c r="U445" s="530">
        <f t="shared" si="636"/>
        <v>-78200</v>
      </c>
      <c r="V445" s="530">
        <f t="shared" si="636"/>
        <v>-78200</v>
      </c>
      <c r="W445" s="530">
        <f t="shared" si="636"/>
        <v>-78200</v>
      </c>
      <c r="X445" s="530">
        <f t="shared" si="636"/>
        <v>-78200</v>
      </c>
      <c r="Y445" s="530">
        <f t="shared" si="636"/>
        <v>-78200</v>
      </c>
      <c r="Z445" s="530">
        <f t="shared" si="636"/>
        <v>-78200</v>
      </c>
      <c r="AA445" s="530">
        <f t="shared" si="636"/>
        <v>-78200</v>
      </c>
      <c r="AB445" s="530">
        <f t="shared" si="636"/>
        <v>-78200</v>
      </c>
      <c r="AC445" s="530">
        <f t="shared" si="636"/>
        <v>-78200</v>
      </c>
      <c r="AD445" s="530">
        <f t="shared" si="636"/>
        <v>-79764</v>
      </c>
      <c r="AE445" s="530">
        <f t="shared" si="636"/>
        <v>-79764</v>
      </c>
      <c r="AF445" s="530">
        <f t="shared" si="636"/>
        <v>-79764</v>
      </c>
      <c r="AG445" s="530">
        <f t="shared" si="636"/>
        <v>-79764</v>
      </c>
      <c r="AH445" s="530">
        <f t="shared" si="636"/>
        <v>-79764</v>
      </c>
      <c r="AI445" s="530">
        <f t="shared" si="636"/>
        <v>-79764</v>
      </c>
      <c r="AJ445" s="530">
        <f t="shared" si="636"/>
        <v>-79764</v>
      </c>
      <c r="AK445" s="530">
        <f t="shared" si="636"/>
        <v>-79764</v>
      </c>
      <c r="AL445" s="530">
        <f t="shared" si="636"/>
        <v>-79764</v>
      </c>
      <c r="AM445" s="530">
        <f t="shared" si="636"/>
        <v>-79764</v>
      </c>
      <c r="AN445" s="530">
        <f t="shared" si="636"/>
        <v>-79764</v>
      </c>
      <c r="AO445" s="530">
        <f t="shared" si="636"/>
        <v>-79764</v>
      </c>
      <c r="AP445" s="530">
        <f t="shared" si="636"/>
        <v>-81359.28</v>
      </c>
      <c r="AQ445" s="530">
        <f t="shared" si="636"/>
        <v>-81359.28</v>
      </c>
      <c r="AR445" s="530">
        <f t="shared" si="636"/>
        <v>-81359.28</v>
      </c>
      <c r="AS445" s="530">
        <f t="shared" si="636"/>
        <v>-81359.28</v>
      </c>
      <c r="AT445" s="530">
        <f t="shared" si="636"/>
        <v>-81359.28</v>
      </c>
      <c r="AU445" s="530">
        <f t="shared" si="636"/>
        <v>-81359.28</v>
      </c>
      <c r="AV445" s="530">
        <f t="shared" si="636"/>
        <v>-81359.28</v>
      </c>
      <c r="AW445" s="530">
        <f t="shared" si="636"/>
        <v>-81359.28</v>
      </c>
      <c r="AX445" s="530">
        <f t="shared" ref="AX445:BY445" si="637">SUM(AX439:AX444)</f>
        <v>-81359.28</v>
      </c>
      <c r="AY445" s="530">
        <f t="shared" si="637"/>
        <v>-81359.28</v>
      </c>
      <c r="AZ445" s="530">
        <f t="shared" si="637"/>
        <v>-81359.28</v>
      </c>
      <c r="BA445" s="530">
        <f t="shared" si="637"/>
        <v>-81359.28</v>
      </c>
      <c r="BB445" s="530">
        <f t="shared" si="637"/>
        <v>-82986.465599999996</v>
      </c>
      <c r="BC445" s="530">
        <f t="shared" si="637"/>
        <v>-82986.465599999996</v>
      </c>
      <c r="BD445" s="530">
        <f t="shared" si="637"/>
        <v>-82986.465599999996</v>
      </c>
      <c r="BE445" s="530">
        <f t="shared" si="637"/>
        <v>-82986.465599999996</v>
      </c>
      <c r="BF445" s="530">
        <f t="shared" si="637"/>
        <v>-82986.465599999996</v>
      </c>
      <c r="BG445" s="530">
        <f t="shared" si="637"/>
        <v>-82986.465599999996</v>
      </c>
      <c r="BH445" s="530">
        <f t="shared" si="637"/>
        <v>-82986.465599999996</v>
      </c>
      <c r="BI445" s="530">
        <f t="shared" si="637"/>
        <v>-82986.465599999996</v>
      </c>
      <c r="BJ445" s="530">
        <f t="shared" si="637"/>
        <v>-82986.465599999996</v>
      </c>
      <c r="BK445" s="530">
        <f t="shared" si="637"/>
        <v>-82986.465599999996</v>
      </c>
      <c r="BL445" s="530">
        <f t="shared" si="637"/>
        <v>-82986.465599999996</v>
      </c>
      <c r="BM445" s="530">
        <f t="shared" si="637"/>
        <v>-82986.465599999996</v>
      </c>
      <c r="BN445" s="530">
        <f t="shared" si="637"/>
        <v>-84646.194911999992</v>
      </c>
      <c r="BO445" s="530">
        <f t="shared" si="637"/>
        <v>-84646.194911999992</v>
      </c>
      <c r="BP445" s="530">
        <f t="shared" si="637"/>
        <v>-84646.194911999992</v>
      </c>
      <c r="BQ445" s="530">
        <f t="shared" si="637"/>
        <v>-84646.194911999992</v>
      </c>
      <c r="BR445" s="530">
        <f t="shared" si="637"/>
        <v>-84646.194911999992</v>
      </c>
      <c r="BS445" s="530">
        <f t="shared" si="637"/>
        <v>-84646.194911999992</v>
      </c>
      <c r="BT445" s="530">
        <f t="shared" si="637"/>
        <v>-84646.194911999992</v>
      </c>
      <c r="BU445" s="530">
        <f t="shared" si="637"/>
        <v>-84646.194911999992</v>
      </c>
      <c r="BV445" s="530">
        <f t="shared" si="637"/>
        <v>-84646.194911999992</v>
      </c>
      <c r="BW445" s="530">
        <f t="shared" si="637"/>
        <v>-84646.194911999992</v>
      </c>
      <c r="BX445" s="530">
        <f t="shared" si="637"/>
        <v>-84646.194911999992</v>
      </c>
      <c r="BY445" s="530">
        <f t="shared" si="637"/>
        <v>-84646.194911999992</v>
      </c>
    </row>
    <row r="446" spans="1:77" x14ac:dyDescent="0.3">
      <c r="A446" s="551"/>
      <c r="B446" s="548"/>
      <c r="C446" s="525"/>
      <c r="D446" s="525"/>
      <c r="E446" s="525"/>
      <c r="F446" s="525"/>
      <c r="G446" s="525"/>
      <c r="H446" s="525"/>
      <c r="I446" s="525"/>
      <c r="J446" s="525"/>
      <c r="K446" s="525"/>
      <c r="L446" s="525"/>
      <c r="M446" s="525"/>
      <c r="N446" s="525"/>
      <c r="O446" s="525"/>
      <c r="P446" s="565"/>
      <c r="Q446" s="525"/>
      <c r="R446" s="525"/>
      <c r="S446" s="525"/>
      <c r="T446" s="525"/>
      <c r="U446" s="525"/>
      <c r="V446" s="525"/>
      <c r="W446" s="525"/>
      <c r="X446" s="525"/>
      <c r="Y446" s="525"/>
      <c r="Z446" s="525"/>
      <c r="AA446" s="525"/>
      <c r="AB446" s="525"/>
      <c r="AC446" s="525"/>
      <c r="AD446" s="525"/>
      <c r="AE446" s="525"/>
      <c r="AF446" s="525"/>
      <c r="AG446" s="525"/>
      <c r="AH446" s="525"/>
      <c r="AI446" s="525"/>
      <c r="AJ446" s="525"/>
      <c r="AK446" s="525"/>
      <c r="AL446" s="525"/>
      <c r="AM446" s="525"/>
      <c r="AN446" s="525"/>
      <c r="AO446" s="525"/>
      <c r="AP446" s="525"/>
      <c r="AQ446" s="525"/>
      <c r="AR446" s="525"/>
      <c r="AS446" s="525"/>
      <c r="AT446" s="525"/>
      <c r="AU446" s="525"/>
      <c r="AV446" s="525"/>
      <c r="AW446" s="525"/>
      <c r="AX446" s="525"/>
      <c r="AY446" s="525"/>
      <c r="AZ446" s="525"/>
      <c r="BA446" s="525"/>
      <c r="BB446" s="525"/>
      <c r="BC446" s="525"/>
      <c r="BD446" s="525"/>
      <c r="BE446" s="525"/>
      <c r="BF446" s="525"/>
      <c r="BG446" s="525"/>
      <c r="BH446" s="525"/>
      <c r="BI446" s="525"/>
      <c r="BJ446" s="525"/>
      <c r="BK446" s="525"/>
      <c r="BL446" s="525"/>
      <c r="BM446" s="525"/>
      <c r="BN446" s="525"/>
      <c r="BO446" s="525"/>
      <c r="BP446" s="525"/>
      <c r="BQ446" s="525"/>
      <c r="BR446" s="525"/>
      <c r="BS446" s="525"/>
      <c r="BT446" s="525"/>
      <c r="BU446" s="525"/>
      <c r="BV446" s="525"/>
      <c r="BW446" s="525"/>
      <c r="BX446" s="525"/>
      <c r="BY446" s="525"/>
    </row>
    <row r="447" spans="1:77" x14ac:dyDescent="0.3">
      <c r="A447" s="551"/>
      <c r="B447" s="548"/>
      <c r="C447" s="584" t="s">
        <v>37</v>
      </c>
      <c r="D447" s="525"/>
      <c r="E447" s="538" t="s">
        <v>69</v>
      </c>
      <c r="F447" s="538"/>
      <c r="G447" s="538"/>
      <c r="H447" s="538"/>
      <c r="I447" s="538"/>
      <c r="J447" s="538"/>
      <c r="K447" s="538"/>
      <c r="L447" s="538"/>
      <c r="M447" s="538"/>
      <c r="N447" s="538"/>
      <c r="O447" s="538"/>
      <c r="P447" s="584"/>
      <c r="Q447" s="538"/>
      <c r="R447" s="538"/>
      <c r="S447" s="538"/>
      <c r="T447" s="538"/>
      <c r="U447" s="538"/>
      <c r="V447" s="538"/>
      <c r="W447" s="538"/>
      <c r="X447" s="538"/>
      <c r="Y447" s="538"/>
      <c r="Z447" s="538"/>
      <c r="AA447" s="538"/>
      <c r="AB447" s="538"/>
      <c r="AC447" s="538"/>
      <c r="AD447" s="538"/>
      <c r="AE447" s="538"/>
      <c r="AF447" s="538"/>
      <c r="AG447" s="538"/>
      <c r="AH447" s="538"/>
      <c r="AI447" s="538"/>
      <c r="AJ447" s="538"/>
      <c r="AK447" s="538"/>
      <c r="AL447" s="538"/>
      <c r="AM447" s="538"/>
      <c r="AN447" s="538"/>
      <c r="AO447" s="538"/>
      <c r="AP447" s="538"/>
      <c r="AQ447" s="538"/>
      <c r="AR447" s="538"/>
      <c r="AS447" s="538"/>
      <c r="AT447" s="538"/>
      <c r="AU447" s="538"/>
      <c r="AV447" s="538"/>
      <c r="AW447" s="538"/>
      <c r="AX447" s="538"/>
      <c r="AY447" s="538"/>
      <c r="AZ447" s="538"/>
      <c r="BA447" s="538"/>
      <c r="BB447" s="538"/>
      <c r="BC447" s="538"/>
      <c r="BD447" s="538"/>
      <c r="BE447" s="538"/>
      <c r="BF447" s="538"/>
      <c r="BG447" s="538"/>
      <c r="BH447" s="538"/>
      <c r="BI447" s="538"/>
      <c r="BJ447" s="538"/>
      <c r="BK447" s="538"/>
      <c r="BL447" s="538"/>
      <c r="BM447" s="538"/>
      <c r="BN447" s="538"/>
      <c r="BO447" s="538"/>
      <c r="BP447" s="538"/>
      <c r="BQ447" s="538"/>
      <c r="BR447" s="538"/>
      <c r="BS447" s="538"/>
      <c r="BT447" s="538"/>
      <c r="BU447" s="538"/>
      <c r="BV447" s="538"/>
      <c r="BW447" s="538"/>
      <c r="BX447" s="538"/>
      <c r="BY447" s="538"/>
    </row>
    <row r="448" spans="1:77" x14ac:dyDescent="0.3">
      <c r="A448" s="551"/>
      <c r="B448" s="548"/>
      <c r="C448" s="525"/>
      <c r="D448" s="525"/>
      <c r="E448" s="525"/>
      <c r="F448" s="525"/>
      <c r="G448" s="525"/>
      <c r="H448" s="525"/>
      <c r="I448" s="525"/>
      <c r="J448" s="525"/>
      <c r="K448" s="525"/>
      <c r="L448" s="525"/>
      <c r="M448" s="525"/>
      <c r="N448" s="525"/>
      <c r="O448" s="525"/>
      <c r="P448" s="565"/>
      <c r="Q448" s="525"/>
      <c r="R448" s="525"/>
      <c r="S448" s="525"/>
      <c r="T448" s="525"/>
      <c r="U448" s="525"/>
      <c r="V448" s="525"/>
      <c r="W448" s="525"/>
      <c r="X448" s="525"/>
      <c r="Y448" s="525"/>
      <c r="Z448" s="525"/>
      <c r="AA448" s="525"/>
      <c r="AB448" s="525"/>
      <c r="AC448" s="525"/>
      <c r="AD448" s="525"/>
      <c r="AE448" s="525"/>
      <c r="AF448" s="525"/>
      <c r="AG448" s="525"/>
      <c r="AH448" s="525"/>
      <c r="AI448" s="525"/>
      <c r="AJ448" s="525"/>
      <c r="AK448" s="525"/>
      <c r="AL448" s="525"/>
      <c r="AM448" s="525"/>
      <c r="AN448" s="525"/>
      <c r="AO448" s="525"/>
      <c r="AP448" s="525"/>
      <c r="AQ448" s="525"/>
      <c r="AR448" s="525"/>
      <c r="AS448" s="525"/>
      <c r="AT448" s="525"/>
      <c r="AU448" s="525"/>
      <c r="AV448" s="525"/>
      <c r="AW448" s="525"/>
      <c r="AX448" s="525"/>
      <c r="AY448" s="525"/>
      <c r="AZ448" s="525"/>
      <c r="BA448" s="525"/>
      <c r="BB448" s="525"/>
      <c r="BC448" s="525"/>
      <c r="BD448" s="525"/>
      <c r="BE448" s="525"/>
      <c r="BF448" s="525"/>
      <c r="BG448" s="525"/>
      <c r="BH448" s="525"/>
      <c r="BI448" s="525"/>
      <c r="BJ448" s="525"/>
      <c r="BK448" s="525"/>
      <c r="BL448" s="525"/>
      <c r="BM448" s="525"/>
      <c r="BN448" s="525"/>
      <c r="BO448" s="525"/>
      <c r="BP448" s="525"/>
      <c r="BQ448" s="525"/>
      <c r="BR448" s="525"/>
      <c r="BS448" s="525"/>
      <c r="BT448" s="525"/>
      <c r="BU448" s="525"/>
      <c r="BV448" s="525"/>
      <c r="BW448" s="525"/>
      <c r="BX448" s="525"/>
      <c r="BY448" s="525"/>
    </row>
    <row r="449" spans="1:77" x14ac:dyDescent="0.3">
      <c r="A449" s="551"/>
      <c r="B449" s="548"/>
      <c r="C449" s="525"/>
      <c r="D449" s="525"/>
      <c r="E449" s="614" t="s">
        <v>110</v>
      </c>
      <c r="F449" s="539"/>
      <c r="G449" s="539"/>
      <c r="H449" s="539"/>
      <c r="I449" s="539"/>
      <c r="J449" s="539"/>
      <c r="K449" s="539"/>
      <c r="L449" s="539"/>
      <c r="M449" s="539"/>
      <c r="N449" s="539"/>
      <c r="O449" s="539"/>
      <c r="P449" s="615"/>
      <c r="Q449" s="539"/>
      <c r="R449" s="539"/>
      <c r="S449" s="539"/>
      <c r="T449" s="539"/>
      <c r="U449" s="539"/>
      <c r="V449" s="539"/>
      <c r="W449" s="539"/>
      <c r="X449" s="539"/>
      <c r="Y449" s="539"/>
      <c r="Z449" s="539"/>
      <c r="AA449" s="539"/>
      <c r="AB449" s="539"/>
      <c r="AC449" s="539"/>
      <c r="AD449" s="539"/>
      <c r="AE449" s="539"/>
      <c r="AF449" s="539"/>
      <c r="AG449" s="539"/>
      <c r="AH449" s="539"/>
      <c r="AI449" s="539"/>
      <c r="AJ449" s="539"/>
      <c r="AK449" s="539"/>
      <c r="AL449" s="539"/>
      <c r="AM449" s="539"/>
      <c r="AN449" s="539"/>
      <c r="AO449" s="539"/>
      <c r="AP449" s="539"/>
      <c r="AQ449" s="539"/>
      <c r="AR449" s="539"/>
      <c r="AS449" s="539"/>
      <c r="AT449" s="539"/>
      <c r="AU449" s="539"/>
      <c r="AV449" s="539"/>
      <c r="AW449" s="539"/>
      <c r="AX449" s="539"/>
      <c r="AY449" s="539"/>
      <c r="AZ449" s="539"/>
      <c r="BA449" s="539"/>
      <c r="BB449" s="539"/>
      <c r="BC449" s="539"/>
      <c r="BD449" s="539"/>
      <c r="BE449" s="539"/>
      <c r="BF449" s="539"/>
      <c r="BG449" s="539"/>
      <c r="BH449" s="539"/>
      <c r="BI449" s="539"/>
      <c r="BJ449" s="539"/>
      <c r="BK449" s="539"/>
      <c r="BL449" s="539"/>
      <c r="BM449" s="539"/>
      <c r="BN449" s="539"/>
      <c r="BO449" s="539"/>
      <c r="BP449" s="539"/>
      <c r="BQ449" s="539"/>
      <c r="BR449" s="539"/>
      <c r="BS449" s="539"/>
      <c r="BT449" s="539"/>
      <c r="BU449" s="539"/>
      <c r="BV449" s="539"/>
      <c r="BW449" s="539"/>
      <c r="BX449" s="539"/>
      <c r="BY449" s="539"/>
    </row>
    <row r="450" spans="1:77" x14ac:dyDescent="0.3">
      <c r="A450" s="551"/>
      <c r="B450" s="647"/>
      <c r="C450" s="647"/>
      <c r="D450" s="647"/>
      <c r="E450" s="525"/>
      <c r="F450" s="525"/>
      <c r="G450" s="525"/>
      <c r="H450" s="525"/>
      <c r="I450" s="525"/>
      <c r="J450" s="525"/>
      <c r="K450" s="525"/>
      <c r="L450" s="525"/>
      <c r="M450" s="525"/>
      <c r="N450" s="525"/>
      <c r="O450" s="525"/>
      <c r="P450" s="565"/>
      <c r="Q450" s="525"/>
      <c r="R450" s="525"/>
      <c r="S450" s="525"/>
      <c r="T450" s="525"/>
      <c r="U450" s="525"/>
      <c r="V450" s="525"/>
      <c r="W450" s="525"/>
      <c r="X450" s="525"/>
      <c r="Y450" s="525"/>
      <c r="Z450" s="525"/>
      <c r="AA450" s="525"/>
      <c r="AB450" s="525"/>
      <c r="AC450" s="525"/>
      <c r="AD450" s="525"/>
      <c r="AE450" s="525"/>
      <c r="AF450" s="525"/>
      <c r="AG450" s="525"/>
      <c r="AH450" s="525"/>
      <c r="AI450" s="525"/>
      <c r="AJ450" s="525"/>
      <c r="AK450" s="525"/>
      <c r="AL450" s="525"/>
      <c r="AM450" s="525"/>
      <c r="AN450" s="525"/>
      <c r="AO450" s="525"/>
      <c r="AP450" s="525"/>
      <c r="AQ450" s="525"/>
      <c r="AR450" s="525"/>
      <c r="AS450" s="525"/>
      <c r="AT450" s="525"/>
      <c r="AU450" s="525"/>
      <c r="AV450" s="525"/>
      <c r="AW450" s="525"/>
      <c r="AX450" s="525"/>
      <c r="AY450" s="525"/>
      <c r="AZ450" s="525"/>
      <c r="BA450" s="525"/>
      <c r="BB450" s="525"/>
      <c r="BC450" s="525"/>
      <c r="BD450" s="525"/>
      <c r="BE450" s="525"/>
      <c r="BF450" s="525"/>
      <c r="BG450" s="525"/>
      <c r="BH450" s="525"/>
      <c r="BI450" s="525"/>
      <c r="BJ450" s="525"/>
      <c r="BK450" s="525"/>
      <c r="BL450" s="525"/>
      <c r="BM450" s="525"/>
      <c r="BN450" s="525"/>
      <c r="BO450" s="525"/>
      <c r="BP450" s="525"/>
      <c r="BQ450" s="525"/>
      <c r="BR450" s="525"/>
      <c r="BS450" s="525"/>
      <c r="BT450" s="525"/>
      <c r="BU450" s="525"/>
      <c r="BV450" s="525"/>
      <c r="BW450" s="525"/>
      <c r="BX450" s="525"/>
      <c r="BY450" s="525"/>
    </row>
    <row r="451" spans="1:77" x14ac:dyDescent="0.3">
      <c r="A451" s="648"/>
      <c r="B451" s="648" t="s">
        <v>53</v>
      </c>
      <c r="C451" s="648">
        <f t="shared" ref="C451:C456" si="638">$C$559</f>
        <v>20</v>
      </c>
      <c r="D451" s="647"/>
      <c r="E451" s="649" t="str">
        <f>"Bad debts: "&amp;E$155</f>
        <v>Bad debts: FY27 Tranche</v>
      </c>
      <c r="F451" s="525"/>
      <c r="G451" s="525"/>
      <c r="H451" s="525"/>
      <c r="I451" s="525"/>
      <c r="J451" s="525"/>
      <c r="K451" s="525"/>
      <c r="L451" s="525"/>
      <c r="M451" s="525"/>
      <c r="N451" s="525"/>
      <c r="O451" s="525"/>
      <c r="P451" s="565"/>
      <c r="Q451" s="525"/>
      <c r="R451" s="527" cm="1">
        <f t="array" ref="R451">R412*(INDEX(('Detailed Assumptions'!$D$59:$J$79,'Detailed Assumptions'!$L$59:$R$79,'Detailed Assumptions'!$T$59:$Z$79,'Detailed Assumptions'!$AB$59:$AH$79),$C451,2,$C$506))</f>
        <v>-1986.0852939756835</v>
      </c>
      <c r="S451" s="527" cm="1">
        <f t="array" ref="S451">S412*(INDEX(('Detailed Assumptions'!$D$59:$J$79,'Detailed Assumptions'!$L$59:$R$79,'Detailed Assumptions'!$T$59:$Z$79,'Detailed Assumptions'!$AB$59:$AH$79),$C451,2,$C$506))</f>
        <v>-1986.0852939756835</v>
      </c>
      <c r="T451" s="527" cm="1">
        <f t="array" ref="T451">T412*(INDEX(('Detailed Assumptions'!$D$59:$J$79,'Detailed Assumptions'!$L$59:$R$79,'Detailed Assumptions'!$T$59:$Z$79,'Detailed Assumptions'!$AB$59:$AH$79),$C451,2,$C$506))</f>
        <v>-1986.0852939756835</v>
      </c>
      <c r="U451" s="527" cm="1">
        <f t="array" ref="U451">U412*(INDEX(('Detailed Assumptions'!$D$59:$J$79,'Detailed Assumptions'!$L$59:$R$79,'Detailed Assumptions'!$T$59:$Z$79,'Detailed Assumptions'!$AB$59:$AH$79),$C451,2,$C$506))</f>
        <v>-1986.0852939756835</v>
      </c>
      <c r="V451" s="527" cm="1">
        <f t="array" ref="V451">V412*(INDEX(('Detailed Assumptions'!$D$59:$J$79,'Detailed Assumptions'!$L$59:$R$79,'Detailed Assumptions'!$T$59:$Z$79,'Detailed Assumptions'!$AB$59:$AH$79),$C451,2,$C$506))</f>
        <v>-1986.0852939756835</v>
      </c>
      <c r="W451" s="527" cm="1">
        <f t="array" ref="W451">W412*(INDEX(('Detailed Assumptions'!$D$59:$J$79,'Detailed Assumptions'!$L$59:$R$79,'Detailed Assumptions'!$T$59:$Z$79,'Detailed Assumptions'!$AB$59:$AH$79),$C451,2,$C$506))</f>
        <v>-1986.0852939756835</v>
      </c>
      <c r="X451" s="527" cm="1">
        <f t="array" ref="X451">X412*(INDEX(('Detailed Assumptions'!$D$59:$J$79,'Detailed Assumptions'!$L$59:$R$79,'Detailed Assumptions'!$T$59:$Z$79,'Detailed Assumptions'!$AB$59:$AH$79),$C451,2,$C$506))</f>
        <v>-2349.760460714228</v>
      </c>
      <c r="Y451" s="527" cm="1">
        <f t="array" ref="Y451">Y412*(INDEX(('Detailed Assumptions'!$D$59:$J$79,'Detailed Assumptions'!$L$59:$R$79,'Detailed Assumptions'!$T$59:$Z$79,'Detailed Assumptions'!$AB$59:$AH$79),$C451,2,$C$506))</f>
        <v>-2349.760460714228</v>
      </c>
      <c r="Z451" s="527" cm="1">
        <f t="array" ref="Z451">Z412*(INDEX(('Detailed Assumptions'!$D$59:$J$79,'Detailed Assumptions'!$L$59:$R$79,'Detailed Assumptions'!$T$59:$Z$79,'Detailed Assumptions'!$AB$59:$AH$79),$C451,2,$C$506))</f>
        <v>-2349.760460714228</v>
      </c>
      <c r="AA451" s="527" cm="1">
        <f t="array" ref="AA451">AA412*(INDEX(('Detailed Assumptions'!$D$59:$J$79,'Detailed Assumptions'!$L$59:$R$79,'Detailed Assumptions'!$T$59:$Z$79,'Detailed Assumptions'!$AB$59:$AH$79),$C451,2,$C$506))</f>
        <v>-2349.760460714228</v>
      </c>
      <c r="AB451" s="527" cm="1">
        <f t="array" ref="AB451">AB412*(INDEX(('Detailed Assumptions'!$D$59:$J$79,'Detailed Assumptions'!$L$59:$R$79,'Detailed Assumptions'!$T$59:$Z$79,'Detailed Assumptions'!$AB$59:$AH$79),$C451,2,$C$506))</f>
        <v>-2349.760460714228</v>
      </c>
      <c r="AC451" s="527" cm="1">
        <f t="array" ref="AC451">AC412*(INDEX(('Detailed Assumptions'!$D$59:$J$79,'Detailed Assumptions'!$L$59:$R$79,'Detailed Assumptions'!$T$59:$Z$79,'Detailed Assumptions'!$AB$59:$AH$79),$C451,2,$C$506))</f>
        <v>-2349.760460714228</v>
      </c>
      <c r="AD451" s="527" cm="1">
        <f t="array" ref="AD451">AD412*(INDEX(('Detailed Assumptions'!$D$59:$J$79,'Detailed Assumptions'!$L$59:$R$79,'Detailed Assumptions'!$T$59:$Z$79,'Detailed Assumptions'!$AB$59:$AH$79),$C451,2,$C$506))</f>
        <v>-2349.760460714228</v>
      </c>
      <c r="AE451" s="527" cm="1">
        <f t="array" ref="AE451">AE412*(INDEX(('Detailed Assumptions'!$D$59:$J$79,'Detailed Assumptions'!$L$59:$R$79,'Detailed Assumptions'!$T$59:$Z$79,'Detailed Assumptions'!$AB$59:$AH$79),$C451,2,$C$506))</f>
        <v>-2349.760460714228</v>
      </c>
      <c r="AF451" s="527" cm="1">
        <f t="array" ref="AF451">AF412*(INDEX(('Detailed Assumptions'!$D$59:$J$79,'Detailed Assumptions'!$L$59:$R$79,'Detailed Assumptions'!$T$59:$Z$79,'Detailed Assumptions'!$AB$59:$AH$79),$C451,2,$C$506))</f>
        <v>-2349.760460714228</v>
      </c>
      <c r="AG451" s="527" cm="1">
        <f t="array" ref="AG451">AG412*(INDEX(('Detailed Assumptions'!$D$59:$J$79,'Detailed Assumptions'!$L$59:$R$79,'Detailed Assumptions'!$T$59:$Z$79,'Detailed Assumptions'!$AB$59:$AH$79),$C451,2,$C$506))</f>
        <v>-2349.760460714228</v>
      </c>
      <c r="AH451" s="527" cm="1">
        <f t="array" ref="AH451">AH412*(INDEX(('Detailed Assumptions'!$D$59:$J$79,'Detailed Assumptions'!$L$59:$R$79,'Detailed Assumptions'!$T$59:$Z$79,'Detailed Assumptions'!$AB$59:$AH$79),$C451,2,$C$506))</f>
        <v>-2349.760460714228</v>
      </c>
      <c r="AI451" s="527" cm="1">
        <f t="array" ref="AI451">AI412*(INDEX(('Detailed Assumptions'!$D$59:$J$79,'Detailed Assumptions'!$L$59:$R$79,'Detailed Assumptions'!$T$59:$Z$79,'Detailed Assumptions'!$AB$59:$AH$79),$C451,2,$C$506))</f>
        <v>-2349.760460714228</v>
      </c>
      <c r="AJ451" s="527" cm="1">
        <f t="array" ref="AJ451">AJ412*(INDEX(('Detailed Assumptions'!$D$59:$J$79,'Detailed Assumptions'!$L$59:$R$79,'Detailed Assumptions'!$T$59:$Z$79,'Detailed Assumptions'!$AB$59:$AH$79),$C451,2,$C$506))</f>
        <v>-2443.7508791427972</v>
      </c>
      <c r="AK451" s="527" cm="1">
        <f t="array" ref="AK451">AK412*(INDEX(('Detailed Assumptions'!$D$59:$J$79,'Detailed Assumptions'!$L$59:$R$79,'Detailed Assumptions'!$T$59:$Z$79,'Detailed Assumptions'!$AB$59:$AH$79),$C451,2,$C$506))</f>
        <v>-2443.7508791427972</v>
      </c>
      <c r="AL451" s="527" cm="1">
        <f t="array" ref="AL451">AL412*(INDEX(('Detailed Assumptions'!$D$59:$J$79,'Detailed Assumptions'!$L$59:$R$79,'Detailed Assumptions'!$T$59:$Z$79,'Detailed Assumptions'!$AB$59:$AH$79),$C451,2,$C$506))</f>
        <v>-2443.7508791427972</v>
      </c>
      <c r="AM451" s="527" cm="1">
        <f t="array" ref="AM451">AM412*(INDEX(('Detailed Assumptions'!$D$59:$J$79,'Detailed Assumptions'!$L$59:$R$79,'Detailed Assumptions'!$T$59:$Z$79,'Detailed Assumptions'!$AB$59:$AH$79),$C451,2,$C$506))</f>
        <v>-2443.7508791427972</v>
      </c>
      <c r="AN451" s="527" cm="1">
        <f t="array" ref="AN451">AN412*(INDEX(('Detailed Assumptions'!$D$59:$J$79,'Detailed Assumptions'!$L$59:$R$79,'Detailed Assumptions'!$T$59:$Z$79,'Detailed Assumptions'!$AB$59:$AH$79),$C451,2,$C$506))</f>
        <v>-2443.7508791427972</v>
      </c>
      <c r="AO451" s="527" cm="1">
        <f t="array" ref="AO451">AO412*(INDEX(('Detailed Assumptions'!$D$59:$J$79,'Detailed Assumptions'!$L$59:$R$79,'Detailed Assumptions'!$T$59:$Z$79,'Detailed Assumptions'!$AB$59:$AH$79),$C451,2,$C$506))</f>
        <v>-2443.7508791427972</v>
      </c>
      <c r="AP451" s="527" cm="1">
        <f t="array" ref="AP451">AP412*(INDEX(('Detailed Assumptions'!$D$59:$J$79,'Detailed Assumptions'!$L$59:$R$79,'Detailed Assumptions'!$T$59:$Z$79,'Detailed Assumptions'!$AB$59:$AH$79),$C451,2,$C$506))</f>
        <v>-2443.7508791427972</v>
      </c>
      <c r="AQ451" s="527" cm="1">
        <f t="array" ref="AQ451">AQ412*(INDEX(('Detailed Assumptions'!$D$59:$J$79,'Detailed Assumptions'!$L$59:$R$79,'Detailed Assumptions'!$T$59:$Z$79,'Detailed Assumptions'!$AB$59:$AH$79),$C451,2,$C$506))</f>
        <v>-2443.7508791427972</v>
      </c>
      <c r="AR451" s="527" cm="1">
        <f t="array" ref="AR451">AR412*(INDEX(('Detailed Assumptions'!$D$59:$J$79,'Detailed Assumptions'!$L$59:$R$79,'Detailed Assumptions'!$T$59:$Z$79,'Detailed Assumptions'!$AB$59:$AH$79),$C451,2,$C$506))</f>
        <v>-2443.7508791427972</v>
      </c>
      <c r="AS451" s="527" cm="1">
        <f t="array" ref="AS451">AS412*(INDEX(('Detailed Assumptions'!$D$59:$J$79,'Detailed Assumptions'!$L$59:$R$79,'Detailed Assumptions'!$T$59:$Z$79,'Detailed Assumptions'!$AB$59:$AH$79),$C451,2,$C$506))</f>
        <v>-2443.7508791427972</v>
      </c>
      <c r="AT451" s="527" cm="1">
        <f t="array" ref="AT451">AT412*(INDEX(('Detailed Assumptions'!$D$59:$J$79,'Detailed Assumptions'!$L$59:$R$79,'Detailed Assumptions'!$T$59:$Z$79,'Detailed Assumptions'!$AB$59:$AH$79),$C451,2,$C$506))</f>
        <v>-2443.7508791427972</v>
      </c>
      <c r="AU451" s="527" cm="1">
        <f t="array" ref="AU451">AU412*(INDEX(('Detailed Assumptions'!$D$59:$J$79,'Detailed Assumptions'!$L$59:$R$79,'Detailed Assumptions'!$T$59:$Z$79,'Detailed Assumptions'!$AB$59:$AH$79),$C451,2,$C$506))</f>
        <v>-2443.7508791427972</v>
      </c>
      <c r="AV451" s="527" cm="1">
        <f t="array" ref="AV451">AV412*(INDEX(('Detailed Assumptions'!$D$59:$J$79,'Detailed Assumptions'!$L$59:$R$79,'Detailed Assumptions'!$T$59:$Z$79,'Detailed Assumptions'!$AB$59:$AH$79),$C451,2,$C$506))</f>
        <v>-2541.5009143085094</v>
      </c>
      <c r="AW451" s="527" cm="1">
        <f t="array" ref="AW451">AW412*(INDEX(('Detailed Assumptions'!$D$59:$J$79,'Detailed Assumptions'!$L$59:$R$79,'Detailed Assumptions'!$T$59:$Z$79,'Detailed Assumptions'!$AB$59:$AH$79),$C451,2,$C$506))</f>
        <v>-2541.5009143085094</v>
      </c>
      <c r="AX451" s="527" cm="1">
        <f t="array" ref="AX451">AX412*(INDEX(('Detailed Assumptions'!$D$59:$J$79,'Detailed Assumptions'!$L$59:$R$79,'Detailed Assumptions'!$T$59:$Z$79,'Detailed Assumptions'!$AB$59:$AH$79),$C451,2,$C$506))</f>
        <v>-2541.5009143085094</v>
      </c>
      <c r="AY451" s="527" cm="1">
        <f t="array" ref="AY451">AY412*(INDEX(('Detailed Assumptions'!$D$59:$J$79,'Detailed Assumptions'!$L$59:$R$79,'Detailed Assumptions'!$T$59:$Z$79,'Detailed Assumptions'!$AB$59:$AH$79),$C451,2,$C$506))</f>
        <v>-2541.5009143085094</v>
      </c>
      <c r="AZ451" s="527" cm="1">
        <f t="array" ref="AZ451">AZ412*(INDEX(('Detailed Assumptions'!$D$59:$J$79,'Detailed Assumptions'!$L$59:$R$79,'Detailed Assumptions'!$T$59:$Z$79,'Detailed Assumptions'!$AB$59:$AH$79),$C451,2,$C$506))</f>
        <v>-2541.5009143085094</v>
      </c>
      <c r="BA451" s="527" cm="1">
        <f t="array" ref="BA451">BA412*(INDEX(('Detailed Assumptions'!$D$59:$J$79,'Detailed Assumptions'!$L$59:$R$79,'Detailed Assumptions'!$T$59:$Z$79,'Detailed Assumptions'!$AB$59:$AH$79),$C451,2,$C$506))</f>
        <v>-2541.5009143085094</v>
      </c>
      <c r="BB451" s="527" cm="1">
        <f t="array" ref="BB451">BB412*(INDEX(('Detailed Assumptions'!$D$59:$J$79,'Detailed Assumptions'!$L$59:$R$79,'Detailed Assumptions'!$T$59:$Z$79,'Detailed Assumptions'!$AB$59:$AH$79),$C451,2,$C$506))</f>
        <v>-2541.5009143085094</v>
      </c>
      <c r="BC451" s="527" cm="1">
        <f t="array" ref="BC451">BC412*(INDEX(('Detailed Assumptions'!$D$59:$J$79,'Detailed Assumptions'!$L$59:$R$79,'Detailed Assumptions'!$T$59:$Z$79,'Detailed Assumptions'!$AB$59:$AH$79),$C451,2,$C$506))</f>
        <v>-2541.5009143085094</v>
      </c>
      <c r="BD451" s="527" cm="1">
        <f t="array" ref="BD451">BD412*(INDEX(('Detailed Assumptions'!$D$59:$J$79,'Detailed Assumptions'!$L$59:$R$79,'Detailed Assumptions'!$T$59:$Z$79,'Detailed Assumptions'!$AB$59:$AH$79),$C451,2,$C$506))</f>
        <v>-2541.5009143085094</v>
      </c>
      <c r="BE451" s="527" cm="1">
        <f t="array" ref="BE451">BE412*(INDEX(('Detailed Assumptions'!$D$59:$J$79,'Detailed Assumptions'!$L$59:$R$79,'Detailed Assumptions'!$T$59:$Z$79,'Detailed Assumptions'!$AB$59:$AH$79),$C451,2,$C$506))</f>
        <v>-2541.5009143085094</v>
      </c>
      <c r="BF451" s="527" cm="1">
        <f t="array" ref="BF451">BF412*(INDEX(('Detailed Assumptions'!$D$59:$J$79,'Detailed Assumptions'!$L$59:$R$79,'Detailed Assumptions'!$T$59:$Z$79,'Detailed Assumptions'!$AB$59:$AH$79),$C451,2,$C$506))</f>
        <v>-2541.5009143085094</v>
      </c>
      <c r="BG451" s="527" cm="1">
        <f t="array" ref="BG451">BG412*(INDEX(('Detailed Assumptions'!$D$59:$J$79,'Detailed Assumptions'!$L$59:$R$79,'Detailed Assumptions'!$T$59:$Z$79,'Detailed Assumptions'!$AB$59:$AH$79),$C451,2,$C$506))</f>
        <v>-2541.5009143085094</v>
      </c>
      <c r="BH451" s="527" cm="1">
        <f t="array" ref="BH451">BH412*(INDEX(('Detailed Assumptions'!$D$59:$J$79,'Detailed Assumptions'!$L$59:$R$79,'Detailed Assumptions'!$T$59:$Z$79,'Detailed Assumptions'!$AB$59:$AH$79),$C451,2,$C$506))</f>
        <v>-2643.1609508808501</v>
      </c>
      <c r="BI451" s="527" cm="1">
        <f t="array" ref="BI451">BI412*(INDEX(('Detailed Assumptions'!$D$59:$J$79,'Detailed Assumptions'!$L$59:$R$79,'Detailed Assumptions'!$T$59:$Z$79,'Detailed Assumptions'!$AB$59:$AH$79),$C451,2,$C$506))</f>
        <v>-2643.1609508808501</v>
      </c>
      <c r="BJ451" s="527" cm="1">
        <f t="array" ref="BJ451">BJ412*(INDEX(('Detailed Assumptions'!$D$59:$J$79,'Detailed Assumptions'!$L$59:$R$79,'Detailed Assumptions'!$T$59:$Z$79,'Detailed Assumptions'!$AB$59:$AH$79),$C451,2,$C$506))</f>
        <v>-2643.1609508808501</v>
      </c>
      <c r="BK451" s="527" cm="1">
        <f t="array" ref="BK451">BK412*(INDEX(('Detailed Assumptions'!$D$59:$J$79,'Detailed Assumptions'!$L$59:$R$79,'Detailed Assumptions'!$T$59:$Z$79,'Detailed Assumptions'!$AB$59:$AH$79),$C451,2,$C$506))</f>
        <v>-2643.1609508808501</v>
      </c>
      <c r="BL451" s="527" cm="1">
        <f t="array" ref="BL451">BL412*(INDEX(('Detailed Assumptions'!$D$59:$J$79,'Detailed Assumptions'!$L$59:$R$79,'Detailed Assumptions'!$T$59:$Z$79,'Detailed Assumptions'!$AB$59:$AH$79),$C451,2,$C$506))</f>
        <v>-2643.1609508808501</v>
      </c>
      <c r="BM451" s="527" cm="1">
        <f t="array" ref="BM451">BM412*(INDEX(('Detailed Assumptions'!$D$59:$J$79,'Detailed Assumptions'!$L$59:$R$79,'Detailed Assumptions'!$T$59:$Z$79,'Detailed Assumptions'!$AB$59:$AH$79),$C451,2,$C$506))</f>
        <v>-2643.1609508808501</v>
      </c>
      <c r="BN451" s="527" cm="1">
        <f t="array" ref="BN451">BN412*(INDEX(('Detailed Assumptions'!$D$59:$J$79,'Detailed Assumptions'!$L$59:$R$79,'Detailed Assumptions'!$T$59:$Z$79,'Detailed Assumptions'!$AB$59:$AH$79),$C451,2,$C$506))</f>
        <v>-2643.1609508808501</v>
      </c>
      <c r="BO451" s="527" cm="1">
        <f t="array" ref="BO451">BO412*(INDEX(('Detailed Assumptions'!$D$59:$J$79,'Detailed Assumptions'!$L$59:$R$79,'Detailed Assumptions'!$T$59:$Z$79,'Detailed Assumptions'!$AB$59:$AH$79),$C451,2,$C$506))</f>
        <v>-2643.1609508808501</v>
      </c>
      <c r="BP451" s="527" cm="1">
        <f t="array" ref="BP451">BP412*(INDEX(('Detailed Assumptions'!$D$59:$J$79,'Detailed Assumptions'!$L$59:$R$79,'Detailed Assumptions'!$T$59:$Z$79,'Detailed Assumptions'!$AB$59:$AH$79),$C451,2,$C$506))</f>
        <v>-2643.1609508808501</v>
      </c>
      <c r="BQ451" s="527" cm="1">
        <f t="array" ref="BQ451">BQ412*(INDEX(('Detailed Assumptions'!$D$59:$J$79,'Detailed Assumptions'!$L$59:$R$79,'Detailed Assumptions'!$T$59:$Z$79,'Detailed Assumptions'!$AB$59:$AH$79),$C451,2,$C$506))</f>
        <v>-2643.1609508808501</v>
      </c>
      <c r="BR451" s="527" cm="1">
        <f t="array" ref="BR451">BR412*(INDEX(('Detailed Assumptions'!$D$59:$J$79,'Detailed Assumptions'!$L$59:$R$79,'Detailed Assumptions'!$T$59:$Z$79,'Detailed Assumptions'!$AB$59:$AH$79),$C451,2,$C$506))</f>
        <v>-2643.1609508808501</v>
      </c>
      <c r="BS451" s="527" cm="1">
        <f t="array" ref="BS451">BS412*(INDEX(('Detailed Assumptions'!$D$59:$J$79,'Detailed Assumptions'!$L$59:$R$79,'Detailed Assumptions'!$T$59:$Z$79,'Detailed Assumptions'!$AB$59:$AH$79),$C451,2,$C$506))</f>
        <v>-2643.1609508808501</v>
      </c>
      <c r="BT451" s="527" cm="1">
        <f t="array" ref="BT451">BT412*(INDEX(('Detailed Assumptions'!$D$59:$J$79,'Detailed Assumptions'!$L$59:$R$79,'Detailed Assumptions'!$T$59:$Z$79,'Detailed Assumptions'!$AB$59:$AH$79),$C451,2,$C$506))</f>
        <v>-2748.8873889160832</v>
      </c>
      <c r="BU451" s="527" cm="1">
        <f t="array" ref="BU451">BU412*(INDEX(('Detailed Assumptions'!$D$59:$J$79,'Detailed Assumptions'!$L$59:$R$79,'Detailed Assumptions'!$T$59:$Z$79,'Detailed Assumptions'!$AB$59:$AH$79),$C451,2,$C$506))</f>
        <v>-2748.8873889160832</v>
      </c>
      <c r="BV451" s="527" cm="1">
        <f t="array" ref="BV451">BV412*(INDEX(('Detailed Assumptions'!$D$59:$J$79,'Detailed Assumptions'!$L$59:$R$79,'Detailed Assumptions'!$T$59:$Z$79,'Detailed Assumptions'!$AB$59:$AH$79),$C451,2,$C$506))</f>
        <v>-2748.8873889160832</v>
      </c>
      <c r="BW451" s="527" cm="1">
        <f t="array" ref="BW451">BW412*(INDEX(('Detailed Assumptions'!$D$59:$J$79,'Detailed Assumptions'!$L$59:$R$79,'Detailed Assumptions'!$T$59:$Z$79,'Detailed Assumptions'!$AB$59:$AH$79),$C451,2,$C$506))</f>
        <v>-2748.8873889160832</v>
      </c>
      <c r="BX451" s="527" cm="1">
        <f t="array" ref="BX451">BX412*(INDEX(('Detailed Assumptions'!$D$59:$J$79,'Detailed Assumptions'!$L$59:$R$79,'Detailed Assumptions'!$T$59:$Z$79,'Detailed Assumptions'!$AB$59:$AH$79),$C451,2,$C$506))</f>
        <v>-2748.8873889160832</v>
      </c>
      <c r="BY451" s="527" cm="1">
        <f t="array" ref="BY451">BY412*(INDEX(('Detailed Assumptions'!$D$59:$J$79,'Detailed Assumptions'!$L$59:$R$79,'Detailed Assumptions'!$T$59:$Z$79,'Detailed Assumptions'!$AB$59:$AH$79),$C451,2,$C$506))</f>
        <v>-2748.8873889160832</v>
      </c>
    </row>
    <row r="452" spans="1:77" x14ac:dyDescent="0.3">
      <c r="A452" s="648"/>
      <c r="B452" s="648" t="s">
        <v>53</v>
      </c>
      <c r="C452" s="648">
        <f t="shared" si="638"/>
        <v>20</v>
      </c>
      <c r="D452" s="647"/>
      <c r="E452" s="649" t="str">
        <f>"Bad debts: "&amp;E$156</f>
        <v>Bad debts: FY28 Tranche</v>
      </c>
      <c r="F452" s="525"/>
      <c r="G452" s="525"/>
      <c r="H452" s="525"/>
      <c r="I452" s="525"/>
      <c r="J452" s="525"/>
      <c r="K452" s="525"/>
      <c r="L452" s="525"/>
      <c r="M452" s="525"/>
      <c r="N452" s="525"/>
      <c r="O452" s="525"/>
      <c r="P452" s="565"/>
      <c r="Q452" s="525"/>
      <c r="R452" s="527" cm="1">
        <f t="array" ref="R452">R413*(INDEX(('Detailed Assumptions'!$D$59:$J$79,'Detailed Assumptions'!$L$59:$R$79,'Detailed Assumptions'!$T$59:$Z$79,'Detailed Assumptions'!$AB$59:$AH$79),$C452,2,$C$506))</f>
        <v>-1986.0852939756835</v>
      </c>
      <c r="S452" s="527" cm="1">
        <f t="array" ref="S452">S413*(INDEX(('Detailed Assumptions'!$D$59:$J$79,'Detailed Assumptions'!$L$59:$R$79,'Detailed Assumptions'!$T$59:$Z$79,'Detailed Assumptions'!$AB$59:$AH$79),$C452,2,$C$506))</f>
        <v>-1986.0852939756835</v>
      </c>
      <c r="T452" s="527" cm="1">
        <f t="array" ref="T452">T413*(INDEX(('Detailed Assumptions'!$D$59:$J$79,'Detailed Assumptions'!$L$59:$R$79,'Detailed Assumptions'!$T$59:$Z$79,'Detailed Assumptions'!$AB$59:$AH$79),$C452,2,$C$506))</f>
        <v>-1986.0852939756835</v>
      </c>
      <c r="U452" s="527" cm="1">
        <f t="array" ref="U452">U413*(INDEX(('Detailed Assumptions'!$D$59:$J$79,'Detailed Assumptions'!$L$59:$R$79,'Detailed Assumptions'!$T$59:$Z$79,'Detailed Assumptions'!$AB$59:$AH$79),$C452,2,$C$506))</f>
        <v>-1986.0852939756835</v>
      </c>
      <c r="V452" s="527" cm="1">
        <f t="array" ref="V452">V413*(INDEX(('Detailed Assumptions'!$D$59:$J$79,'Detailed Assumptions'!$L$59:$R$79,'Detailed Assumptions'!$T$59:$Z$79,'Detailed Assumptions'!$AB$59:$AH$79),$C452,2,$C$506))</f>
        <v>-1986.0852939756835</v>
      </c>
      <c r="W452" s="527" cm="1">
        <f t="array" ref="W452">W413*(INDEX(('Detailed Assumptions'!$D$59:$J$79,'Detailed Assumptions'!$L$59:$R$79,'Detailed Assumptions'!$T$59:$Z$79,'Detailed Assumptions'!$AB$59:$AH$79),$C452,2,$C$506))</f>
        <v>-1986.0852939756835</v>
      </c>
      <c r="X452" s="527" cm="1">
        <f t="array" ref="X452">X413*(INDEX(('Detailed Assumptions'!$D$59:$J$79,'Detailed Assumptions'!$L$59:$R$79,'Detailed Assumptions'!$T$59:$Z$79,'Detailed Assumptions'!$AB$59:$AH$79),$C452,2,$C$506))</f>
        <v>-1986.0852939756835</v>
      </c>
      <c r="Y452" s="527" cm="1">
        <f t="array" ref="Y452">Y413*(INDEX(('Detailed Assumptions'!$D$59:$J$79,'Detailed Assumptions'!$L$59:$R$79,'Detailed Assumptions'!$T$59:$Z$79,'Detailed Assumptions'!$AB$59:$AH$79),$C452,2,$C$506))</f>
        <v>-1986.0852939756835</v>
      </c>
      <c r="Z452" s="527" cm="1">
        <f t="array" ref="Z452">Z413*(INDEX(('Detailed Assumptions'!$D$59:$J$79,'Detailed Assumptions'!$L$59:$R$79,'Detailed Assumptions'!$T$59:$Z$79,'Detailed Assumptions'!$AB$59:$AH$79),$C452,2,$C$506))</f>
        <v>-1986.0852939756835</v>
      </c>
      <c r="AA452" s="527" cm="1">
        <f t="array" ref="AA452">AA413*(INDEX(('Detailed Assumptions'!$D$59:$J$79,'Detailed Assumptions'!$L$59:$R$79,'Detailed Assumptions'!$T$59:$Z$79,'Detailed Assumptions'!$AB$59:$AH$79),$C452,2,$C$506))</f>
        <v>-1986.0852939756835</v>
      </c>
      <c r="AB452" s="527" cm="1">
        <f t="array" ref="AB452">AB413*(INDEX(('Detailed Assumptions'!$D$59:$J$79,'Detailed Assumptions'!$L$59:$R$79,'Detailed Assumptions'!$T$59:$Z$79,'Detailed Assumptions'!$AB$59:$AH$79),$C452,2,$C$506))</f>
        <v>-1986.0852939756835</v>
      </c>
      <c r="AC452" s="527" cm="1">
        <f t="array" ref="AC452">AC413*(INDEX(('Detailed Assumptions'!$D$59:$J$79,'Detailed Assumptions'!$L$59:$R$79,'Detailed Assumptions'!$T$59:$Z$79,'Detailed Assumptions'!$AB$59:$AH$79),$C452,2,$C$506))</f>
        <v>-1986.0852939756835</v>
      </c>
      <c r="AD452" s="527" cm="1">
        <f t="array" ref="AD452">AD413*(INDEX(('Detailed Assumptions'!$D$59:$J$79,'Detailed Assumptions'!$L$59:$R$79,'Detailed Assumptions'!$T$59:$Z$79,'Detailed Assumptions'!$AB$59:$AH$79),$C452,2,$C$506))</f>
        <v>-2064.5108901545605</v>
      </c>
      <c r="AE452" s="527" cm="1">
        <f t="array" ref="AE452">AE413*(INDEX(('Detailed Assumptions'!$D$59:$J$79,'Detailed Assumptions'!$L$59:$R$79,'Detailed Assumptions'!$T$59:$Z$79,'Detailed Assumptions'!$AB$59:$AH$79),$C452,2,$C$506))</f>
        <v>-2064.5108901545605</v>
      </c>
      <c r="AF452" s="527" cm="1">
        <f t="array" ref="AF452">AF413*(INDEX(('Detailed Assumptions'!$D$59:$J$79,'Detailed Assumptions'!$L$59:$R$79,'Detailed Assumptions'!$T$59:$Z$79,'Detailed Assumptions'!$AB$59:$AH$79),$C452,2,$C$506))</f>
        <v>-2064.5108901545605</v>
      </c>
      <c r="AG452" s="527" cm="1">
        <f t="array" ref="AG452">AG413*(INDEX(('Detailed Assumptions'!$D$59:$J$79,'Detailed Assumptions'!$L$59:$R$79,'Detailed Assumptions'!$T$59:$Z$79,'Detailed Assumptions'!$AB$59:$AH$79),$C452,2,$C$506))</f>
        <v>-2064.5108901545605</v>
      </c>
      <c r="AH452" s="527" cm="1">
        <f t="array" ref="AH452">AH413*(INDEX(('Detailed Assumptions'!$D$59:$J$79,'Detailed Assumptions'!$L$59:$R$79,'Detailed Assumptions'!$T$59:$Z$79,'Detailed Assumptions'!$AB$59:$AH$79),$C452,2,$C$506))</f>
        <v>-2064.5108901545605</v>
      </c>
      <c r="AI452" s="527" cm="1">
        <f t="array" ref="AI452">AI413*(INDEX(('Detailed Assumptions'!$D$59:$J$79,'Detailed Assumptions'!$L$59:$R$79,'Detailed Assumptions'!$T$59:$Z$79,'Detailed Assumptions'!$AB$59:$AH$79),$C452,2,$C$506))</f>
        <v>-2064.5108901545605</v>
      </c>
      <c r="AJ452" s="527" cm="1">
        <f t="array" ref="AJ452">AJ413*(INDEX(('Detailed Assumptions'!$D$59:$J$79,'Detailed Assumptions'!$L$59:$R$79,'Detailed Assumptions'!$T$59:$Z$79,'Detailed Assumptions'!$AB$59:$AH$79),$C452,2,$C$506))</f>
        <v>-2436.9323720133611</v>
      </c>
      <c r="AK452" s="527" cm="1">
        <f t="array" ref="AK452">AK413*(INDEX(('Detailed Assumptions'!$D$59:$J$79,'Detailed Assumptions'!$L$59:$R$79,'Detailed Assumptions'!$T$59:$Z$79,'Detailed Assumptions'!$AB$59:$AH$79),$C452,2,$C$506))</f>
        <v>-2436.9323720133611</v>
      </c>
      <c r="AL452" s="527" cm="1">
        <f t="array" ref="AL452">AL413*(INDEX(('Detailed Assumptions'!$D$59:$J$79,'Detailed Assumptions'!$L$59:$R$79,'Detailed Assumptions'!$T$59:$Z$79,'Detailed Assumptions'!$AB$59:$AH$79),$C452,2,$C$506))</f>
        <v>-2436.9323720133611</v>
      </c>
      <c r="AM452" s="527" cm="1">
        <f t="array" ref="AM452">AM413*(INDEX(('Detailed Assumptions'!$D$59:$J$79,'Detailed Assumptions'!$L$59:$R$79,'Detailed Assumptions'!$T$59:$Z$79,'Detailed Assumptions'!$AB$59:$AH$79),$C452,2,$C$506))</f>
        <v>-2436.9323720133611</v>
      </c>
      <c r="AN452" s="527" cm="1">
        <f t="array" ref="AN452">AN413*(INDEX(('Detailed Assumptions'!$D$59:$J$79,'Detailed Assumptions'!$L$59:$R$79,'Detailed Assumptions'!$T$59:$Z$79,'Detailed Assumptions'!$AB$59:$AH$79),$C452,2,$C$506))</f>
        <v>-2436.9323720133611</v>
      </c>
      <c r="AO452" s="527" cm="1">
        <f t="array" ref="AO452">AO413*(INDEX(('Detailed Assumptions'!$D$59:$J$79,'Detailed Assumptions'!$L$59:$R$79,'Detailed Assumptions'!$T$59:$Z$79,'Detailed Assumptions'!$AB$59:$AH$79),$C452,2,$C$506))</f>
        <v>-2436.9323720133611</v>
      </c>
      <c r="AP452" s="527" cm="1">
        <f t="array" ref="AP452">AP413*(INDEX(('Detailed Assumptions'!$D$59:$J$79,'Detailed Assumptions'!$L$59:$R$79,'Detailed Assumptions'!$T$59:$Z$79,'Detailed Assumptions'!$AB$59:$AH$79),$C452,2,$C$506))</f>
        <v>-2436.9323720133611</v>
      </c>
      <c r="AQ452" s="527" cm="1">
        <f t="array" ref="AQ452">AQ413*(INDEX(('Detailed Assumptions'!$D$59:$J$79,'Detailed Assumptions'!$L$59:$R$79,'Detailed Assumptions'!$T$59:$Z$79,'Detailed Assumptions'!$AB$59:$AH$79),$C452,2,$C$506))</f>
        <v>-2436.9323720133611</v>
      </c>
      <c r="AR452" s="527" cm="1">
        <f t="array" ref="AR452">AR413*(INDEX(('Detailed Assumptions'!$D$59:$J$79,'Detailed Assumptions'!$L$59:$R$79,'Detailed Assumptions'!$T$59:$Z$79,'Detailed Assumptions'!$AB$59:$AH$79),$C452,2,$C$506))</f>
        <v>-2436.9323720133611</v>
      </c>
      <c r="AS452" s="527" cm="1">
        <f t="array" ref="AS452">AS413*(INDEX(('Detailed Assumptions'!$D$59:$J$79,'Detailed Assumptions'!$L$59:$R$79,'Detailed Assumptions'!$T$59:$Z$79,'Detailed Assumptions'!$AB$59:$AH$79),$C452,2,$C$506))</f>
        <v>-2436.9323720133611</v>
      </c>
      <c r="AT452" s="527" cm="1">
        <f t="array" ref="AT452">AT413*(INDEX(('Detailed Assumptions'!$D$59:$J$79,'Detailed Assumptions'!$L$59:$R$79,'Detailed Assumptions'!$T$59:$Z$79,'Detailed Assumptions'!$AB$59:$AH$79),$C452,2,$C$506))</f>
        <v>-2436.9323720133611</v>
      </c>
      <c r="AU452" s="527" cm="1">
        <f t="array" ref="AU452">AU413*(INDEX(('Detailed Assumptions'!$D$59:$J$79,'Detailed Assumptions'!$L$59:$R$79,'Detailed Assumptions'!$T$59:$Z$79,'Detailed Assumptions'!$AB$59:$AH$79),$C452,2,$C$506))</f>
        <v>-2436.9323720133611</v>
      </c>
      <c r="AV452" s="527" cm="1">
        <f t="array" ref="AV452">AV413*(INDEX(('Detailed Assumptions'!$D$59:$J$79,'Detailed Assumptions'!$L$59:$R$79,'Detailed Assumptions'!$T$59:$Z$79,'Detailed Assumptions'!$AB$59:$AH$79),$C452,2,$C$506))</f>
        <v>-2534.4096668938951</v>
      </c>
      <c r="AW452" s="527" cm="1">
        <f t="array" ref="AW452">AW413*(INDEX(('Detailed Assumptions'!$D$59:$J$79,'Detailed Assumptions'!$L$59:$R$79,'Detailed Assumptions'!$T$59:$Z$79,'Detailed Assumptions'!$AB$59:$AH$79),$C452,2,$C$506))</f>
        <v>-2534.4096668938951</v>
      </c>
      <c r="AX452" s="527" cm="1">
        <f t="array" ref="AX452">AX413*(INDEX(('Detailed Assumptions'!$D$59:$J$79,'Detailed Assumptions'!$L$59:$R$79,'Detailed Assumptions'!$T$59:$Z$79,'Detailed Assumptions'!$AB$59:$AH$79),$C452,2,$C$506))</f>
        <v>-2534.4096668938951</v>
      </c>
      <c r="AY452" s="527" cm="1">
        <f t="array" ref="AY452">AY413*(INDEX(('Detailed Assumptions'!$D$59:$J$79,'Detailed Assumptions'!$L$59:$R$79,'Detailed Assumptions'!$T$59:$Z$79,'Detailed Assumptions'!$AB$59:$AH$79),$C452,2,$C$506))</f>
        <v>-2534.4096668938951</v>
      </c>
      <c r="AZ452" s="527" cm="1">
        <f t="array" ref="AZ452">AZ413*(INDEX(('Detailed Assumptions'!$D$59:$J$79,'Detailed Assumptions'!$L$59:$R$79,'Detailed Assumptions'!$T$59:$Z$79,'Detailed Assumptions'!$AB$59:$AH$79),$C452,2,$C$506))</f>
        <v>-2534.4096668938951</v>
      </c>
      <c r="BA452" s="527" cm="1">
        <f t="array" ref="BA452">BA413*(INDEX(('Detailed Assumptions'!$D$59:$J$79,'Detailed Assumptions'!$L$59:$R$79,'Detailed Assumptions'!$T$59:$Z$79,'Detailed Assumptions'!$AB$59:$AH$79),$C452,2,$C$506))</f>
        <v>-2534.4096668938951</v>
      </c>
      <c r="BB452" s="527" cm="1">
        <f t="array" ref="BB452">BB413*(INDEX(('Detailed Assumptions'!$D$59:$J$79,'Detailed Assumptions'!$L$59:$R$79,'Detailed Assumptions'!$T$59:$Z$79,'Detailed Assumptions'!$AB$59:$AH$79),$C452,2,$C$506))</f>
        <v>-2534.4096668938951</v>
      </c>
      <c r="BC452" s="527" cm="1">
        <f t="array" ref="BC452">BC413*(INDEX(('Detailed Assumptions'!$D$59:$J$79,'Detailed Assumptions'!$L$59:$R$79,'Detailed Assumptions'!$T$59:$Z$79,'Detailed Assumptions'!$AB$59:$AH$79),$C452,2,$C$506))</f>
        <v>-2534.4096668938951</v>
      </c>
      <c r="BD452" s="527" cm="1">
        <f t="array" ref="BD452">BD413*(INDEX(('Detailed Assumptions'!$D$59:$J$79,'Detailed Assumptions'!$L$59:$R$79,'Detailed Assumptions'!$T$59:$Z$79,'Detailed Assumptions'!$AB$59:$AH$79),$C452,2,$C$506))</f>
        <v>-2534.4096668938951</v>
      </c>
      <c r="BE452" s="527" cm="1">
        <f t="array" ref="BE452">BE413*(INDEX(('Detailed Assumptions'!$D$59:$J$79,'Detailed Assumptions'!$L$59:$R$79,'Detailed Assumptions'!$T$59:$Z$79,'Detailed Assumptions'!$AB$59:$AH$79),$C452,2,$C$506))</f>
        <v>-2534.4096668938951</v>
      </c>
      <c r="BF452" s="527" cm="1">
        <f t="array" ref="BF452">BF413*(INDEX(('Detailed Assumptions'!$D$59:$J$79,'Detailed Assumptions'!$L$59:$R$79,'Detailed Assumptions'!$T$59:$Z$79,'Detailed Assumptions'!$AB$59:$AH$79),$C452,2,$C$506))</f>
        <v>-2534.4096668938951</v>
      </c>
      <c r="BG452" s="527" cm="1">
        <f t="array" ref="BG452">BG413*(INDEX(('Detailed Assumptions'!$D$59:$J$79,'Detailed Assumptions'!$L$59:$R$79,'Detailed Assumptions'!$T$59:$Z$79,'Detailed Assumptions'!$AB$59:$AH$79),$C452,2,$C$506))</f>
        <v>-2534.4096668938951</v>
      </c>
      <c r="BH452" s="527" cm="1">
        <f t="array" ref="BH452">BH413*(INDEX(('Detailed Assumptions'!$D$59:$J$79,'Detailed Assumptions'!$L$59:$R$79,'Detailed Assumptions'!$T$59:$Z$79,'Detailed Assumptions'!$AB$59:$AH$79),$C452,2,$C$506))</f>
        <v>-2635.7860535696514</v>
      </c>
      <c r="BI452" s="527" cm="1">
        <f t="array" ref="BI452">BI413*(INDEX(('Detailed Assumptions'!$D$59:$J$79,'Detailed Assumptions'!$L$59:$R$79,'Detailed Assumptions'!$T$59:$Z$79,'Detailed Assumptions'!$AB$59:$AH$79),$C452,2,$C$506))</f>
        <v>-2635.7860535696514</v>
      </c>
      <c r="BJ452" s="527" cm="1">
        <f t="array" ref="BJ452">BJ413*(INDEX(('Detailed Assumptions'!$D$59:$J$79,'Detailed Assumptions'!$L$59:$R$79,'Detailed Assumptions'!$T$59:$Z$79,'Detailed Assumptions'!$AB$59:$AH$79),$C452,2,$C$506))</f>
        <v>-2635.7860535696514</v>
      </c>
      <c r="BK452" s="527" cm="1">
        <f t="array" ref="BK452">BK413*(INDEX(('Detailed Assumptions'!$D$59:$J$79,'Detailed Assumptions'!$L$59:$R$79,'Detailed Assumptions'!$T$59:$Z$79,'Detailed Assumptions'!$AB$59:$AH$79),$C452,2,$C$506))</f>
        <v>-2635.7860535696514</v>
      </c>
      <c r="BL452" s="527" cm="1">
        <f t="array" ref="BL452">BL413*(INDEX(('Detailed Assumptions'!$D$59:$J$79,'Detailed Assumptions'!$L$59:$R$79,'Detailed Assumptions'!$T$59:$Z$79,'Detailed Assumptions'!$AB$59:$AH$79),$C452,2,$C$506))</f>
        <v>-2635.7860535696514</v>
      </c>
      <c r="BM452" s="527" cm="1">
        <f t="array" ref="BM452">BM413*(INDEX(('Detailed Assumptions'!$D$59:$J$79,'Detailed Assumptions'!$L$59:$R$79,'Detailed Assumptions'!$T$59:$Z$79,'Detailed Assumptions'!$AB$59:$AH$79),$C452,2,$C$506))</f>
        <v>-2635.7860535696514</v>
      </c>
      <c r="BN452" s="527" cm="1">
        <f t="array" ref="BN452">BN413*(INDEX(('Detailed Assumptions'!$D$59:$J$79,'Detailed Assumptions'!$L$59:$R$79,'Detailed Assumptions'!$T$59:$Z$79,'Detailed Assumptions'!$AB$59:$AH$79),$C452,2,$C$506))</f>
        <v>-2635.7860535696509</v>
      </c>
      <c r="BO452" s="527" cm="1">
        <f t="array" ref="BO452">BO413*(INDEX(('Detailed Assumptions'!$D$59:$J$79,'Detailed Assumptions'!$L$59:$R$79,'Detailed Assumptions'!$T$59:$Z$79,'Detailed Assumptions'!$AB$59:$AH$79),$C452,2,$C$506))</f>
        <v>-2635.7860535696509</v>
      </c>
      <c r="BP452" s="527" cm="1">
        <f t="array" ref="BP452">BP413*(INDEX(('Detailed Assumptions'!$D$59:$J$79,'Detailed Assumptions'!$L$59:$R$79,'Detailed Assumptions'!$T$59:$Z$79,'Detailed Assumptions'!$AB$59:$AH$79),$C452,2,$C$506))</f>
        <v>-2635.7860535696509</v>
      </c>
      <c r="BQ452" s="527" cm="1">
        <f t="array" ref="BQ452">BQ413*(INDEX(('Detailed Assumptions'!$D$59:$J$79,'Detailed Assumptions'!$L$59:$R$79,'Detailed Assumptions'!$T$59:$Z$79,'Detailed Assumptions'!$AB$59:$AH$79),$C452,2,$C$506))</f>
        <v>-2635.7860535696509</v>
      </c>
      <c r="BR452" s="527" cm="1">
        <f t="array" ref="BR452">BR413*(INDEX(('Detailed Assumptions'!$D$59:$J$79,'Detailed Assumptions'!$L$59:$R$79,'Detailed Assumptions'!$T$59:$Z$79,'Detailed Assumptions'!$AB$59:$AH$79),$C452,2,$C$506))</f>
        <v>-2635.7860535696509</v>
      </c>
      <c r="BS452" s="527" cm="1">
        <f t="array" ref="BS452">BS413*(INDEX(('Detailed Assumptions'!$D$59:$J$79,'Detailed Assumptions'!$L$59:$R$79,'Detailed Assumptions'!$T$59:$Z$79,'Detailed Assumptions'!$AB$59:$AH$79),$C452,2,$C$506))</f>
        <v>-2635.7860535696509</v>
      </c>
      <c r="BT452" s="527" cm="1">
        <f t="array" ref="BT452">BT413*(INDEX(('Detailed Assumptions'!$D$59:$J$79,'Detailed Assumptions'!$L$59:$R$79,'Detailed Assumptions'!$T$59:$Z$79,'Detailed Assumptions'!$AB$59:$AH$79),$C452,2,$C$506))</f>
        <v>-2741.2174957124371</v>
      </c>
      <c r="BU452" s="527" cm="1">
        <f t="array" ref="BU452">BU413*(INDEX(('Detailed Assumptions'!$D$59:$J$79,'Detailed Assumptions'!$L$59:$R$79,'Detailed Assumptions'!$T$59:$Z$79,'Detailed Assumptions'!$AB$59:$AH$79),$C452,2,$C$506))</f>
        <v>-2741.2174957124371</v>
      </c>
      <c r="BV452" s="527" cm="1">
        <f t="array" ref="BV452">BV413*(INDEX(('Detailed Assumptions'!$D$59:$J$79,'Detailed Assumptions'!$L$59:$R$79,'Detailed Assumptions'!$T$59:$Z$79,'Detailed Assumptions'!$AB$59:$AH$79),$C452,2,$C$506))</f>
        <v>-2741.2174957124371</v>
      </c>
      <c r="BW452" s="527" cm="1">
        <f t="array" ref="BW452">BW413*(INDEX(('Detailed Assumptions'!$D$59:$J$79,'Detailed Assumptions'!$L$59:$R$79,'Detailed Assumptions'!$T$59:$Z$79,'Detailed Assumptions'!$AB$59:$AH$79),$C452,2,$C$506))</f>
        <v>-2741.2174957124371</v>
      </c>
      <c r="BX452" s="527" cm="1">
        <f t="array" ref="BX452">BX413*(INDEX(('Detailed Assumptions'!$D$59:$J$79,'Detailed Assumptions'!$L$59:$R$79,'Detailed Assumptions'!$T$59:$Z$79,'Detailed Assumptions'!$AB$59:$AH$79),$C452,2,$C$506))</f>
        <v>-2741.2174957124371</v>
      </c>
      <c r="BY452" s="527" cm="1">
        <f t="array" ref="BY452">BY413*(INDEX(('Detailed Assumptions'!$D$59:$J$79,'Detailed Assumptions'!$L$59:$R$79,'Detailed Assumptions'!$T$59:$Z$79,'Detailed Assumptions'!$AB$59:$AH$79),$C452,2,$C$506))</f>
        <v>-2741.2174957124371</v>
      </c>
    </row>
    <row r="453" spans="1:77" x14ac:dyDescent="0.3">
      <c r="A453" s="648"/>
      <c r="B453" s="648" t="s">
        <v>53</v>
      </c>
      <c r="C453" s="648">
        <f t="shared" si="638"/>
        <v>20</v>
      </c>
      <c r="D453" s="647"/>
      <c r="E453" s="649" t="str">
        <f>"Bad debts: "&amp;E$157</f>
        <v>Bad debts: FY29 Tranche</v>
      </c>
      <c r="F453" s="525"/>
      <c r="G453" s="525"/>
      <c r="H453" s="525"/>
      <c r="I453" s="525"/>
      <c r="J453" s="525"/>
      <c r="K453" s="525"/>
      <c r="L453" s="525"/>
      <c r="M453" s="525"/>
      <c r="N453" s="525"/>
      <c r="O453" s="525"/>
      <c r="P453" s="565"/>
      <c r="Q453" s="525"/>
      <c r="R453" s="527" cm="1">
        <f t="array" ref="R453">R414*(INDEX(('Detailed Assumptions'!$D$59:$J$79,'Detailed Assumptions'!$L$59:$R$79,'Detailed Assumptions'!$T$59:$Z$79,'Detailed Assumptions'!$AB$59:$AH$79),$C453,2,$C$506))</f>
        <v>-1986.0852939756835</v>
      </c>
      <c r="S453" s="527" cm="1">
        <f t="array" ref="S453">S414*(INDEX(('Detailed Assumptions'!$D$59:$J$79,'Detailed Assumptions'!$L$59:$R$79,'Detailed Assumptions'!$T$59:$Z$79,'Detailed Assumptions'!$AB$59:$AH$79),$C453,2,$C$506))</f>
        <v>-1986.0852939756835</v>
      </c>
      <c r="T453" s="527" cm="1">
        <f t="array" ref="T453">T414*(INDEX(('Detailed Assumptions'!$D$59:$J$79,'Detailed Assumptions'!$L$59:$R$79,'Detailed Assumptions'!$T$59:$Z$79,'Detailed Assumptions'!$AB$59:$AH$79),$C453,2,$C$506))</f>
        <v>-1986.0852939756835</v>
      </c>
      <c r="U453" s="527" cm="1">
        <f t="array" ref="U453">U414*(INDEX(('Detailed Assumptions'!$D$59:$J$79,'Detailed Assumptions'!$L$59:$R$79,'Detailed Assumptions'!$T$59:$Z$79,'Detailed Assumptions'!$AB$59:$AH$79),$C453,2,$C$506))</f>
        <v>-1986.0852939756835</v>
      </c>
      <c r="V453" s="527" cm="1">
        <f t="array" ref="V453">V414*(INDEX(('Detailed Assumptions'!$D$59:$J$79,'Detailed Assumptions'!$L$59:$R$79,'Detailed Assumptions'!$T$59:$Z$79,'Detailed Assumptions'!$AB$59:$AH$79),$C453,2,$C$506))</f>
        <v>-1986.0852939756835</v>
      </c>
      <c r="W453" s="527" cm="1">
        <f t="array" ref="W453">W414*(INDEX(('Detailed Assumptions'!$D$59:$J$79,'Detailed Assumptions'!$L$59:$R$79,'Detailed Assumptions'!$T$59:$Z$79,'Detailed Assumptions'!$AB$59:$AH$79),$C453,2,$C$506))</f>
        <v>-1986.0852939756835</v>
      </c>
      <c r="X453" s="527" cm="1">
        <f t="array" ref="X453">X414*(INDEX(('Detailed Assumptions'!$D$59:$J$79,'Detailed Assumptions'!$L$59:$R$79,'Detailed Assumptions'!$T$59:$Z$79,'Detailed Assumptions'!$AB$59:$AH$79),$C453,2,$C$506))</f>
        <v>-1986.0852939756835</v>
      </c>
      <c r="Y453" s="527" cm="1">
        <f t="array" ref="Y453">Y414*(INDEX(('Detailed Assumptions'!$D$59:$J$79,'Detailed Assumptions'!$L$59:$R$79,'Detailed Assumptions'!$T$59:$Z$79,'Detailed Assumptions'!$AB$59:$AH$79),$C453,2,$C$506))</f>
        <v>-1986.0852939756835</v>
      </c>
      <c r="Z453" s="527" cm="1">
        <f t="array" ref="Z453">Z414*(INDEX(('Detailed Assumptions'!$D$59:$J$79,'Detailed Assumptions'!$L$59:$R$79,'Detailed Assumptions'!$T$59:$Z$79,'Detailed Assumptions'!$AB$59:$AH$79),$C453,2,$C$506))</f>
        <v>-1986.0852939756835</v>
      </c>
      <c r="AA453" s="527" cm="1">
        <f t="array" ref="AA453">AA414*(INDEX(('Detailed Assumptions'!$D$59:$J$79,'Detailed Assumptions'!$L$59:$R$79,'Detailed Assumptions'!$T$59:$Z$79,'Detailed Assumptions'!$AB$59:$AH$79),$C453,2,$C$506))</f>
        <v>-1986.0852939756835</v>
      </c>
      <c r="AB453" s="527" cm="1">
        <f t="array" ref="AB453">AB414*(INDEX(('Detailed Assumptions'!$D$59:$J$79,'Detailed Assumptions'!$L$59:$R$79,'Detailed Assumptions'!$T$59:$Z$79,'Detailed Assumptions'!$AB$59:$AH$79),$C453,2,$C$506))</f>
        <v>-1986.0852939756835</v>
      </c>
      <c r="AC453" s="527" cm="1">
        <f t="array" ref="AC453">AC414*(INDEX(('Detailed Assumptions'!$D$59:$J$79,'Detailed Assumptions'!$L$59:$R$79,'Detailed Assumptions'!$T$59:$Z$79,'Detailed Assumptions'!$AB$59:$AH$79),$C453,2,$C$506))</f>
        <v>-1986.0852939756835</v>
      </c>
      <c r="AD453" s="527" cm="1">
        <f t="array" ref="AD453">AD414*(INDEX(('Detailed Assumptions'!$D$59:$J$79,'Detailed Assumptions'!$L$59:$R$79,'Detailed Assumptions'!$T$59:$Z$79,'Detailed Assumptions'!$AB$59:$AH$79),$C453,2,$C$506))</f>
        <v>-2064.5108901545605</v>
      </c>
      <c r="AE453" s="527" cm="1">
        <f t="array" ref="AE453">AE414*(INDEX(('Detailed Assumptions'!$D$59:$J$79,'Detailed Assumptions'!$L$59:$R$79,'Detailed Assumptions'!$T$59:$Z$79,'Detailed Assumptions'!$AB$59:$AH$79),$C453,2,$C$506))</f>
        <v>-2064.5108901545605</v>
      </c>
      <c r="AF453" s="527" cm="1">
        <f t="array" ref="AF453">AF414*(INDEX(('Detailed Assumptions'!$D$59:$J$79,'Detailed Assumptions'!$L$59:$R$79,'Detailed Assumptions'!$T$59:$Z$79,'Detailed Assumptions'!$AB$59:$AH$79),$C453,2,$C$506))</f>
        <v>-2064.5108901545605</v>
      </c>
      <c r="AG453" s="527" cm="1">
        <f t="array" ref="AG453">AG414*(INDEX(('Detailed Assumptions'!$D$59:$J$79,'Detailed Assumptions'!$L$59:$R$79,'Detailed Assumptions'!$T$59:$Z$79,'Detailed Assumptions'!$AB$59:$AH$79),$C453,2,$C$506))</f>
        <v>-2064.5108901545605</v>
      </c>
      <c r="AH453" s="527" cm="1">
        <f t="array" ref="AH453">AH414*(INDEX(('Detailed Assumptions'!$D$59:$J$79,'Detailed Assumptions'!$L$59:$R$79,'Detailed Assumptions'!$T$59:$Z$79,'Detailed Assumptions'!$AB$59:$AH$79),$C453,2,$C$506))</f>
        <v>-2064.5108901545605</v>
      </c>
      <c r="AI453" s="527" cm="1">
        <f t="array" ref="AI453">AI414*(INDEX(('Detailed Assumptions'!$D$59:$J$79,'Detailed Assumptions'!$L$59:$R$79,'Detailed Assumptions'!$T$59:$Z$79,'Detailed Assumptions'!$AB$59:$AH$79),$C453,2,$C$506))</f>
        <v>-2064.5108901545605</v>
      </c>
      <c r="AJ453" s="527" cm="1">
        <f t="array" ref="AJ453">AJ414*(INDEX(('Detailed Assumptions'!$D$59:$J$79,'Detailed Assumptions'!$L$59:$R$79,'Detailed Assumptions'!$T$59:$Z$79,'Detailed Assumptions'!$AB$59:$AH$79),$C453,2,$C$506))</f>
        <v>-2064.5108901545605</v>
      </c>
      <c r="AK453" s="527" cm="1">
        <f t="array" ref="AK453">AK414*(INDEX(('Detailed Assumptions'!$D$59:$J$79,'Detailed Assumptions'!$L$59:$R$79,'Detailed Assumptions'!$T$59:$Z$79,'Detailed Assumptions'!$AB$59:$AH$79),$C453,2,$C$506))</f>
        <v>-2064.5108901545605</v>
      </c>
      <c r="AL453" s="527" cm="1">
        <f t="array" ref="AL453">AL414*(INDEX(('Detailed Assumptions'!$D$59:$J$79,'Detailed Assumptions'!$L$59:$R$79,'Detailed Assumptions'!$T$59:$Z$79,'Detailed Assumptions'!$AB$59:$AH$79),$C453,2,$C$506))</f>
        <v>-2064.5108901545605</v>
      </c>
      <c r="AM453" s="527" cm="1">
        <f t="array" ref="AM453">AM414*(INDEX(('Detailed Assumptions'!$D$59:$J$79,'Detailed Assumptions'!$L$59:$R$79,'Detailed Assumptions'!$T$59:$Z$79,'Detailed Assumptions'!$AB$59:$AH$79),$C453,2,$C$506))</f>
        <v>-2064.5108901545605</v>
      </c>
      <c r="AN453" s="527" cm="1">
        <f t="array" ref="AN453">AN414*(INDEX(('Detailed Assumptions'!$D$59:$J$79,'Detailed Assumptions'!$L$59:$R$79,'Detailed Assumptions'!$T$59:$Z$79,'Detailed Assumptions'!$AB$59:$AH$79),$C453,2,$C$506))</f>
        <v>-2064.5108901545605</v>
      </c>
      <c r="AO453" s="527" cm="1">
        <f t="array" ref="AO453">AO414*(INDEX(('Detailed Assumptions'!$D$59:$J$79,'Detailed Assumptions'!$L$59:$R$79,'Detailed Assumptions'!$T$59:$Z$79,'Detailed Assumptions'!$AB$59:$AH$79),$C453,2,$C$506))</f>
        <v>-2064.5108901545605</v>
      </c>
      <c r="AP453" s="527" cm="1">
        <f t="array" ref="AP453">AP414*(INDEX(('Detailed Assumptions'!$D$59:$J$79,'Detailed Assumptions'!$L$59:$R$79,'Detailed Assumptions'!$T$59:$Z$79,'Detailed Assumptions'!$AB$59:$AH$79),$C453,2,$C$506))</f>
        <v>-2142.2045746067934</v>
      </c>
      <c r="AQ453" s="527" cm="1">
        <f t="array" ref="AQ453">AQ414*(INDEX(('Detailed Assumptions'!$D$59:$J$79,'Detailed Assumptions'!$L$59:$R$79,'Detailed Assumptions'!$T$59:$Z$79,'Detailed Assumptions'!$AB$59:$AH$79),$C453,2,$C$506))</f>
        <v>-2142.2045746067934</v>
      </c>
      <c r="AR453" s="527" cm="1">
        <f t="array" ref="AR453">AR414*(INDEX(('Detailed Assumptions'!$D$59:$J$79,'Detailed Assumptions'!$L$59:$R$79,'Detailed Assumptions'!$T$59:$Z$79,'Detailed Assumptions'!$AB$59:$AH$79),$C453,2,$C$506))</f>
        <v>-2142.2045746067934</v>
      </c>
      <c r="AS453" s="527" cm="1">
        <f t="array" ref="AS453">AS414*(INDEX(('Detailed Assumptions'!$D$59:$J$79,'Detailed Assumptions'!$L$59:$R$79,'Detailed Assumptions'!$T$59:$Z$79,'Detailed Assumptions'!$AB$59:$AH$79),$C453,2,$C$506))</f>
        <v>-2142.2045746067934</v>
      </c>
      <c r="AT453" s="527" cm="1">
        <f t="array" ref="AT453">AT414*(INDEX(('Detailed Assumptions'!$D$59:$J$79,'Detailed Assumptions'!$L$59:$R$79,'Detailed Assumptions'!$T$59:$Z$79,'Detailed Assumptions'!$AB$59:$AH$79),$C453,2,$C$506))</f>
        <v>-2142.2045746067934</v>
      </c>
      <c r="AU453" s="527" cm="1">
        <f t="array" ref="AU453">AU414*(INDEX(('Detailed Assumptions'!$D$59:$J$79,'Detailed Assumptions'!$L$59:$R$79,'Detailed Assumptions'!$T$59:$Z$79,'Detailed Assumptions'!$AB$59:$AH$79),$C453,2,$C$506))</f>
        <v>-2142.2045746067934</v>
      </c>
      <c r="AV453" s="527" cm="1">
        <f t="array" ref="AV453">AV414*(INDEX(('Detailed Assumptions'!$D$59:$J$79,'Detailed Assumptions'!$L$59:$R$79,'Detailed Assumptions'!$T$59:$Z$79,'Detailed Assumptions'!$AB$59:$AH$79),$C453,2,$C$506))</f>
        <v>-2522.988564206491</v>
      </c>
      <c r="AW453" s="527" cm="1">
        <f t="array" ref="AW453">AW414*(INDEX(('Detailed Assumptions'!$D$59:$J$79,'Detailed Assumptions'!$L$59:$R$79,'Detailed Assumptions'!$T$59:$Z$79,'Detailed Assumptions'!$AB$59:$AH$79),$C453,2,$C$506))</f>
        <v>-2522.988564206491</v>
      </c>
      <c r="AX453" s="527" cm="1">
        <f t="array" ref="AX453">AX414*(INDEX(('Detailed Assumptions'!$D$59:$J$79,'Detailed Assumptions'!$L$59:$R$79,'Detailed Assumptions'!$T$59:$Z$79,'Detailed Assumptions'!$AB$59:$AH$79),$C453,2,$C$506))</f>
        <v>-2522.988564206491</v>
      </c>
      <c r="AY453" s="527" cm="1">
        <f t="array" ref="AY453">AY414*(INDEX(('Detailed Assumptions'!$D$59:$J$79,'Detailed Assumptions'!$L$59:$R$79,'Detailed Assumptions'!$T$59:$Z$79,'Detailed Assumptions'!$AB$59:$AH$79),$C453,2,$C$506))</f>
        <v>-2522.988564206491</v>
      </c>
      <c r="AZ453" s="527" cm="1">
        <f t="array" ref="AZ453">AZ414*(INDEX(('Detailed Assumptions'!$D$59:$J$79,'Detailed Assumptions'!$L$59:$R$79,'Detailed Assumptions'!$T$59:$Z$79,'Detailed Assumptions'!$AB$59:$AH$79),$C453,2,$C$506))</f>
        <v>-2522.988564206491</v>
      </c>
      <c r="BA453" s="527" cm="1">
        <f t="array" ref="BA453">BA414*(INDEX(('Detailed Assumptions'!$D$59:$J$79,'Detailed Assumptions'!$L$59:$R$79,'Detailed Assumptions'!$T$59:$Z$79,'Detailed Assumptions'!$AB$59:$AH$79),$C453,2,$C$506))</f>
        <v>-2522.988564206491</v>
      </c>
      <c r="BB453" s="527" cm="1">
        <f t="array" ref="BB453">BB414*(INDEX(('Detailed Assumptions'!$D$59:$J$79,'Detailed Assumptions'!$L$59:$R$79,'Detailed Assumptions'!$T$59:$Z$79,'Detailed Assumptions'!$AB$59:$AH$79),$C453,2,$C$506))</f>
        <v>-2522.988564206491</v>
      </c>
      <c r="BC453" s="527" cm="1">
        <f t="array" ref="BC453">BC414*(INDEX(('Detailed Assumptions'!$D$59:$J$79,'Detailed Assumptions'!$L$59:$R$79,'Detailed Assumptions'!$T$59:$Z$79,'Detailed Assumptions'!$AB$59:$AH$79),$C453,2,$C$506))</f>
        <v>-2522.988564206491</v>
      </c>
      <c r="BD453" s="527" cm="1">
        <f t="array" ref="BD453">BD414*(INDEX(('Detailed Assumptions'!$D$59:$J$79,'Detailed Assumptions'!$L$59:$R$79,'Detailed Assumptions'!$T$59:$Z$79,'Detailed Assumptions'!$AB$59:$AH$79),$C453,2,$C$506))</f>
        <v>-2522.988564206491</v>
      </c>
      <c r="BE453" s="527" cm="1">
        <f t="array" ref="BE453">BE414*(INDEX(('Detailed Assumptions'!$D$59:$J$79,'Detailed Assumptions'!$L$59:$R$79,'Detailed Assumptions'!$T$59:$Z$79,'Detailed Assumptions'!$AB$59:$AH$79),$C453,2,$C$506))</f>
        <v>-2522.988564206491</v>
      </c>
      <c r="BF453" s="527" cm="1">
        <f t="array" ref="BF453">BF414*(INDEX(('Detailed Assumptions'!$D$59:$J$79,'Detailed Assumptions'!$L$59:$R$79,'Detailed Assumptions'!$T$59:$Z$79,'Detailed Assumptions'!$AB$59:$AH$79),$C453,2,$C$506))</f>
        <v>-2522.988564206491</v>
      </c>
      <c r="BG453" s="527" cm="1">
        <f t="array" ref="BG453">BG414*(INDEX(('Detailed Assumptions'!$D$59:$J$79,'Detailed Assumptions'!$L$59:$R$79,'Detailed Assumptions'!$T$59:$Z$79,'Detailed Assumptions'!$AB$59:$AH$79),$C453,2,$C$506))</f>
        <v>-2522.988564206491</v>
      </c>
      <c r="BH453" s="527" cm="1">
        <f t="array" ref="BH453">BH414*(INDEX(('Detailed Assumptions'!$D$59:$J$79,'Detailed Assumptions'!$L$59:$R$79,'Detailed Assumptions'!$T$59:$Z$79,'Detailed Assumptions'!$AB$59:$AH$79),$C453,2,$C$506))</f>
        <v>-2623.9081067747502</v>
      </c>
      <c r="BI453" s="527" cm="1">
        <f t="array" ref="BI453">BI414*(INDEX(('Detailed Assumptions'!$D$59:$J$79,'Detailed Assumptions'!$L$59:$R$79,'Detailed Assumptions'!$T$59:$Z$79,'Detailed Assumptions'!$AB$59:$AH$79),$C453,2,$C$506))</f>
        <v>-2623.9081067747502</v>
      </c>
      <c r="BJ453" s="527" cm="1">
        <f t="array" ref="BJ453">BJ414*(INDEX(('Detailed Assumptions'!$D$59:$J$79,'Detailed Assumptions'!$L$59:$R$79,'Detailed Assumptions'!$T$59:$Z$79,'Detailed Assumptions'!$AB$59:$AH$79),$C453,2,$C$506))</f>
        <v>-2623.9081067747502</v>
      </c>
      <c r="BK453" s="527" cm="1">
        <f t="array" ref="BK453">BK414*(INDEX(('Detailed Assumptions'!$D$59:$J$79,'Detailed Assumptions'!$L$59:$R$79,'Detailed Assumptions'!$T$59:$Z$79,'Detailed Assumptions'!$AB$59:$AH$79),$C453,2,$C$506))</f>
        <v>-2623.9081067747502</v>
      </c>
      <c r="BL453" s="527" cm="1">
        <f t="array" ref="BL453">BL414*(INDEX(('Detailed Assumptions'!$D$59:$J$79,'Detailed Assumptions'!$L$59:$R$79,'Detailed Assumptions'!$T$59:$Z$79,'Detailed Assumptions'!$AB$59:$AH$79),$C453,2,$C$506))</f>
        <v>-2623.9081067747502</v>
      </c>
      <c r="BM453" s="527" cm="1">
        <f t="array" ref="BM453">BM414*(INDEX(('Detailed Assumptions'!$D$59:$J$79,'Detailed Assumptions'!$L$59:$R$79,'Detailed Assumptions'!$T$59:$Z$79,'Detailed Assumptions'!$AB$59:$AH$79),$C453,2,$C$506))</f>
        <v>-2623.9081067747502</v>
      </c>
      <c r="BN453" s="527" cm="1">
        <f t="array" ref="BN453">BN414*(INDEX(('Detailed Assumptions'!$D$59:$J$79,'Detailed Assumptions'!$L$59:$R$79,'Detailed Assumptions'!$T$59:$Z$79,'Detailed Assumptions'!$AB$59:$AH$79),$C453,2,$C$506))</f>
        <v>-2623.9081067747497</v>
      </c>
      <c r="BO453" s="527" cm="1">
        <f t="array" ref="BO453">BO414*(INDEX(('Detailed Assumptions'!$D$59:$J$79,'Detailed Assumptions'!$L$59:$R$79,'Detailed Assumptions'!$T$59:$Z$79,'Detailed Assumptions'!$AB$59:$AH$79),$C453,2,$C$506))</f>
        <v>-2623.9081067747497</v>
      </c>
      <c r="BP453" s="527" cm="1">
        <f t="array" ref="BP453">BP414*(INDEX(('Detailed Assumptions'!$D$59:$J$79,'Detailed Assumptions'!$L$59:$R$79,'Detailed Assumptions'!$T$59:$Z$79,'Detailed Assumptions'!$AB$59:$AH$79),$C453,2,$C$506))</f>
        <v>-2623.9081067747497</v>
      </c>
      <c r="BQ453" s="527" cm="1">
        <f t="array" ref="BQ453">BQ414*(INDEX(('Detailed Assumptions'!$D$59:$J$79,'Detailed Assumptions'!$L$59:$R$79,'Detailed Assumptions'!$T$59:$Z$79,'Detailed Assumptions'!$AB$59:$AH$79),$C453,2,$C$506))</f>
        <v>-2623.9081067747497</v>
      </c>
      <c r="BR453" s="527" cm="1">
        <f t="array" ref="BR453">BR414*(INDEX(('Detailed Assumptions'!$D$59:$J$79,'Detailed Assumptions'!$L$59:$R$79,'Detailed Assumptions'!$T$59:$Z$79,'Detailed Assumptions'!$AB$59:$AH$79),$C453,2,$C$506))</f>
        <v>-2623.9081067747497</v>
      </c>
      <c r="BS453" s="527" cm="1">
        <f t="array" ref="BS453">BS414*(INDEX(('Detailed Assumptions'!$D$59:$J$79,'Detailed Assumptions'!$L$59:$R$79,'Detailed Assumptions'!$T$59:$Z$79,'Detailed Assumptions'!$AB$59:$AH$79),$C453,2,$C$506))</f>
        <v>-2623.9081067747497</v>
      </c>
      <c r="BT453" s="527" cm="1">
        <f t="array" ref="BT453">BT414*(INDEX(('Detailed Assumptions'!$D$59:$J$79,'Detailed Assumptions'!$L$59:$R$79,'Detailed Assumptions'!$T$59:$Z$79,'Detailed Assumptions'!$AB$59:$AH$79),$C453,2,$C$506))</f>
        <v>-2728.8644310457398</v>
      </c>
      <c r="BU453" s="527" cm="1">
        <f t="array" ref="BU453">BU414*(INDEX(('Detailed Assumptions'!$D$59:$J$79,'Detailed Assumptions'!$L$59:$R$79,'Detailed Assumptions'!$T$59:$Z$79,'Detailed Assumptions'!$AB$59:$AH$79),$C453,2,$C$506))</f>
        <v>-2728.8644310457398</v>
      </c>
      <c r="BV453" s="527" cm="1">
        <f t="array" ref="BV453">BV414*(INDEX(('Detailed Assumptions'!$D$59:$J$79,'Detailed Assumptions'!$L$59:$R$79,'Detailed Assumptions'!$T$59:$Z$79,'Detailed Assumptions'!$AB$59:$AH$79),$C453,2,$C$506))</f>
        <v>-2728.8644310457398</v>
      </c>
      <c r="BW453" s="527" cm="1">
        <f t="array" ref="BW453">BW414*(INDEX(('Detailed Assumptions'!$D$59:$J$79,'Detailed Assumptions'!$L$59:$R$79,'Detailed Assumptions'!$T$59:$Z$79,'Detailed Assumptions'!$AB$59:$AH$79),$C453,2,$C$506))</f>
        <v>-2728.8644310457398</v>
      </c>
      <c r="BX453" s="527" cm="1">
        <f t="array" ref="BX453">BX414*(INDEX(('Detailed Assumptions'!$D$59:$J$79,'Detailed Assumptions'!$L$59:$R$79,'Detailed Assumptions'!$T$59:$Z$79,'Detailed Assumptions'!$AB$59:$AH$79),$C453,2,$C$506))</f>
        <v>-2728.8644310457398</v>
      </c>
      <c r="BY453" s="527" cm="1">
        <f t="array" ref="BY453">BY414*(INDEX(('Detailed Assumptions'!$D$59:$J$79,'Detailed Assumptions'!$L$59:$R$79,'Detailed Assumptions'!$T$59:$Z$79,'Detailed Assumptions'!$AB$59:$AH$79),$C453,2,$C$506))</f>
        <v>-2728.8644310457398</v>
      </c>
    </row>
    <row r="454" spans="1:77" x14ac:dyDescent="0.3">
      <c r="A454" s="648"/>
      <c r="B454" s="648" t="s">
        <v>53</v>
      </c>
      <c r="C454" s="648">
        <f t="shared" si="638"/>
        <v>20</v>
      </c>
      <c r="D454" s="647"/>
      <c r="E454" s="649" t="str">
        <f>"Bad debts: "&amp;E$158</f>
        <v>Bad debts: FY30 Tranche</v>
      </c>
      <c r="F454" s="525"/>
      <c r="G454" s="525"/>
      <c r="H454" s="525"/>
      <c r="I454" s="525"/>
      <c r="J454" s="525"/>
      <c r="K454" s="525"/>
      <c r="L454" s="525"/>
      <c r="M454" s="525"/>
      <c r="N454" s="525"/>
      <c r="O454" s="525"/>
      <c r="P454" s="565"/>
      <c r="Q454" s="525"/>
      <c r="R454" s="527" cm="1">
        <f t="array" ref="R454">R415*(INDEX(('Detailed Assumptions'!$D$59:$J$79,'Detailed Assumptions'!$L$59:$R$79,'Detailed Assumptions'!$T$59:$Z$79,'Detailed Assumptions'!$AB$59:$AH$79),$C454,2,$C$506))</f>
        <v>-1986.0852939756835</v>
      </c>
      <c r="S454" s="527" cm="1">
        <f t="array" ref="S454">S415*(INDEX(('Detailed Assumptions'!$D$59:$J$79,'Detailed Assumptions'!$L$59:$R$79,'Detailed Assumptions'!$T$59:$Z$79,'Detailed Assumptions'!$AB$59:$AH$79),$C454,2,$C$506))</f>
        <v>-1986.0852939756835</v>
      </c>
      <c r="T454" s="527" cm="1">
        <f t="array" ref="T454">T415*(INDEX(('Detailed Assumptions'!$D$59:$J$79,'Detailed Assumptions'!$L$59:$R$79,'Detailed Assumptions'!$T$59:$Z$79,'Detailed Assumptions'!$AB$59:$AH$79),$C454,2,$C$506))</f>
        <v>-1986.0852939756835</v>
      </c>
      <c r="U454" s="527" cm="1">
        <f t="array" ref="U454">U415*(INDEX(('Detailed Assumptions'!$D$59:$J$79,'Detailed Assumptions'!$L$59:$R$79,'Detailed Assumptions'!$T$59:$Z$79,'Detailed Assumptions'!$AB$59:$AH$79),$C454,2,$C$506))</f>
        <v>-1986.0852939756835</v>
      </c>
      <c r="V454" s="527" cm="1">
        <f t="array" ref="V454">V415*(INDEX(('Detailed Assumptions'!$D$59:$J$79,'Detailed Assumptions'!$L$59:$R$79,'Detailed Assumptions'!$T$59:$Z$79,'Detailed Assumptions'!$AB$59:$AH$79),$C454,2,$C$506))</f>
        <v>-1986.0852939756835</v>
      </c>
      <c r="W454" s="527" cm="1">
        <f t="array" ref="W454">W415*(INDEX(('Detailed Assumptions'!$D$59:$J$79,'Detailed Assumptions'!$L$59:$R$79,'Detailed Assumptions'!$T$59:$Z$79,'Detailed Assumptions'!$AB$59:$AH$79),$C454,2,$C$506))</f>
        <v>-1986.0852939756835</v>
      </c>
      <c r="X454" s="527" cm="1">
        <f t="array" ref="X454">X415*(INDEX(('Detailed Assumptions'!$D$59:$J$79,'Detailed Assumptions'!$L$59:$R$79,'Detailed Assumptions'!$T$59:$Z$79,'Detailed Assumptions'!$AB$59:$AH$79),$C454,2,$C$506))</f>
        <v>-1986.0852939756835</v>
      </c>
      <c r="Y454" s="527" cm="1">
        <f t="array" ref="Y454">Y415*(INDEX(('Detailed Assumptions'!$D$59:$J$79,'Detailed Assumptions'!$L$59:$R$79,'Detailed Assumptions'!$T$59:$Z$79,'Detailed Assumptions'!$AB$59:$AH$79),$C454,2,$C$506))</f>
        <v>-1986.0852939756835</v>
      </c>
      <c r="Z454" s="527" cm="1">
        <f t="array" ref="Z454">Z415*(INDEX(('Detailed Assumptions'!$D$59:$J$79,'Detailed Assumptions'!$L$59:$R$79,'Detailed Assumptions'!$T$59:$Z$79,'Detailed Assumptions'!$AB$59:$AH$79),$C454,2,$C$506))</f>
        <v>-1986.0852939756835</v>
      </c>
      <c r="AA454" s="527" cm="1">
        <f t="array" ref="AA454">AA415*(INDEX(('Detailed Assumptions'!$D$59:$J$79,'Detailed Assumptions'!$L$59:$R$79,'Detailed Assumptions'!$T$59:$Z$79,'Detailed Assumptions'!$AB$59:$AH$79),$C454,2,$C$506))</f>
        <v>-1986.0852939756835</v>
      </c>
      <c r="AB454" s="527" cm="1">
        <f t="array" ref="AB454">AB415*(INDEX(('Detailed Assumptions'!$D$59:$J$79,'Detailed Assumptions'!$L$59:$R$79,'Detailed Assumptions'!$T$59:$Z$79,'Detailed Assumptions'!$AB$59:$AH$79),$C454,2,$C$506))</f>
        <v>-1986.0852939756835</v>
      </c>
      <c r="AC454" s="527" cm="1">
        <f t="array" ref="AC454">AC415*(INDEX(('Detailed Assumptions'!$D$59:$J$79,'Detailed Assumptions'!$L$59:$R$79,'Detailed Assumptions'!$T$59:$Z$79,'Detailed Assumptions'!$AB$59:$AH$79),$C454,2,$C$506))</f>
        <v>-1986.0852939756835</v>
      </c>
      <c r="AD454" s="527" cm="1">
        <f t="array" ref="AD454">AD415*(INDEX(('Detailed Assumptions'!$D$59:$J$79,'Detailed Assumptions'!$L$59:$R$79,'Detailed Assumptions'!$T$59:$Z$79,'Detailed Assumptions'!$AB$59:$AH$79),$C454,2,$C$506))</f>
        <v>-2064.5108901545605</v>
      </c>
      <c r="AE454" s="527" cm="1">
        <f t="array" ref="AE454">AE415*(INDEX(('Detailed Assumptions'!$D$59:$J$79,'Detailed Assumptions'!$L$59:$R$79,'Detailed Assumptions'!$T$59:$Z$79,'Detailed Assumptions'!$AB$59:$AH$79),$C454,2,$C$506))</f>
        <v>-2064.5108901545605</v>
      </c>
      <c r="AF454" s="527" cm="1">
        <f t="array" ref="AF454">AF415*(INDEX(('Detailed Assumptions'!$D$59:$J$79,'Detailed Assumptions'!$L$59:$R$79,'Detailed Assumptions'!$T$59:$Z$79,'Detailed Assumptions'!$AB$59:$AH$79),$C454,2,$C$506))</f>
        <v>-2064.5108901545605</v>
      </c>
      <c r="AG454" s="527" cm="1">
        <f t="array" ref="AG454">AG415*(INDEX(('Detailed Assumptions'!$D$59:$J$79,'Detailed Assumptions'!$L$59:$R$79,'Detailed Assumptions'!$T$59:$Z$79,'Detailed Assumptions'!$AB$59:$AH$79),$C454,2,$C$506))</f>
        <v>-2064.5108901545605</v>
      </c>
      <c r="AH454" s="527" cm="1">
        <f t="array" ref="AH454">AH415*(INDEX(('Detailed Assumptions'!$D$59:$J$79,'Detailed Assumptions'!$L$59:$R$79,'Detailed Assumptions'!$T$59:$Z$79,'Detailed Assumptions'!$AB$59:$AH$79),$C454,2,$C$506))</f>
        <v>-2064.5108901545605</v>
      </c>
      <c r="AI454" s="527" cm="1">
        <f t="array" ref="AI454">AI415*(INDEX(('Detailed Assumptions'!$D$59:$J$79,'Detailed Assumptions'!$L$59:$R$79,'Detailed Assumptions'!$T$59:$Z$79,'Detailed Assumptions'!$AB$59:$AH$79),$C454,2,$C$506))</f>
        <v>-2064.5108901545605</v>
      </c>
      <c r="AJ454" s="527" cm="1">
        <f t="array" ref="AJ454">AJ415*(INDEX(('Detailed Assumptions'!$D$59:$J$79,'Detailed Assumptions'!$L$59:$R$79,'Detailed Assumptions'!$T$59:$Z$79,'Detailed Assumptions'!$AB$59:$AH$79),$C454,2,$C$506))</f>
        <v>-2064.5108901545605</v>
      </c>
      <c r="AK454" s="527" cm="1">
        <f t="array" ref="AK454">AK415*(INDEX(('Detailed Assumptions'!$D$59:$J$79,'Detailed Assumptions'!$L$59:$R$79,'Detailed Assumptions'!$T$59:$Z$79,'Detailed Assumptions'!$AB$59:$AH$79),$C454,2,$C$506))</f>
        <v>-2064.5108901545605</v>
      </c>
      <c r="AL454" s="527" cm="1">
        <f t="array" ref="AL454">AL415*(INDEX(('Detailed Assumptions'!$D$59:$J$79,'Detailed Assumptions'!$L$59:$R$79,'Detailed Assumptions'!$T$59:$Z$79,'Detailed Assumptions'!$AB$59:$AH$79),$C454,2,$C$506))</f>
        <v>-2064.5108901545605</v>
      </c>
      <c r="AM454" s="527" cm="1">
        <f t="array" ref="AM454">AM415*(INDEX(('Detailed Assumptions'!$D$59:$J$79,'Detailed Assumptions'!$L$59:$R$79,'Detailed Assumptions'!$T$59:$Z$79,'Detailed Assumptions'!$AB$59:$AH$79),$C454,2,$C$506))</f>
        <v>-2064.5108901545605</v>
      </c>
      <c r="AN454" s="527" cm="1">
        <f t="array" ref="AN454">AN415*(INDEX(('Detailed Assumptions'!$D$59:$J$79,'Detailed Assumptions'!$L$59:$R$79,'Detailed Assumptions'!$T$59:$Z$79,'Detailed Assumptions'!$AB$59:$AH$79),$C454,2,$C$506))</f>
        <v>-2064.5108901545605</v>
      </c>
      <c r="AO454" s="527" cm="1">
        <f t="array" ref="AO454">AO415*(INDEX(('Detailed Assumptions'!$D$59:$J$79,'Detailed Assumptions'!$L$59:$R$79,'Detailed Assumptions'!$T$59:$Z$79,'Detailed Assumptions'!$AB$59:$AH$79),$C454,2,$C$506))</f>
        <v>-2064.5108901545605</v>
      </c>
      <c r="AP454" s="527" cm="1">
        <f t="array" ref="AP454">AP415*(INDEX(('Detailed Assumptions'!$D$59:$J$79,'Detailed Assumptions'!$L$59:$R$79,'Detailed Assumptions'!$T$59:$Z$79,'Detailed Assumptions'!$AB$59:$AH$79),$C454,2,$C$506))</f>
        <v>-2142.2045746067934</v>
      </c>
      <c r="AQ454" s="527" cm="1">
        <f t="array" ref="AQ454">AQ415*(INDEX(('Detailed Assumptions'!$D$59:$J$79,'Detailed Assumptions'!$L$59:$R$79,'Detailed Assumptions'!$T$59:$Z$79,'Detailed Assumptions'!$AB$59:$AH$79),$C454,2,$C$506))</f>
        <v>-2142.2045746067934</v>
      </c>
      <c r="AR454" s="527" cm="1">
        <f t="array" ref="AR454">AR415*(INDEX(('Detailed Assumptions'!$D$59:$J$79,'Detailed Assumptions'!$L$59:$R$79,'Detailed Assumptions'!$T$59:$Z$79,'Detailed Assumptions'!$AB$59:$AH$79),$C454,2,$C$506))</f>
        <v>-2142.2045746067934</v>
      </c>
      <c r="AS454" s="527" cm="1">
        <f t="array" ref="AS454">AS415*(INDEX(('Detailed Assumptions'!$D$59:$J$79,'Detailed Assumptions'!$L$59:$R$79,'Detailed Assumptions'!$T$59:$Z$79,'Detailed Assumptions'!$AB$59:$AH$79),$C454,2,$C$506))</f>
        <v>-2142.2045746067934</v>
      </c>
      <c r="AT454" s="527" cm="1">
        <f t="array" ref="AT454">AT415*(INDEX(('Detailed Assumptions'!$D$59:$J$79,'Detailed Assumptions'!$L$59:$R$79,'Detailed Assumptions'!$T$59:$Z$79,'Detailed Assumptions'!$AB$59:$AH$79),$C454,2,$C$506))</f>
        <v>-2142.2045746067934</v>
      </c>
      <c r="AU454" s="527" cm="1">
        <f t="array" ref="AU454">AU415*(INDEX(('Detailed Assumptions'!$D$59:$J$79,'Detailed Assumptions'!$L$59:$R$79,'Detailed Assumptions'!$T$59:$Z$79,'Detailed Assumptions'!$AB$59:$AH$79),$C454,2,$C$506))</f>
        <v>-2142.2045746067934</v>
      </c>
      <c r="AV454" s="527" cm="1">
        <f t="array" ref="AV454">AV415*(INDEX(('Detailed Assumptions'!$D$59:$J$79,'Detailed Assumptions'!$L$59:$R$79,'Detailed Assumptions'!$T$59:$Z$79,'Detailed Assumptions'!$AB$59:$AH$79),$C454,2,$C$506))</f>
        <v>-2142.2045746067934</v>
      </c>
      <c r="AW454" s="527" cm="1">
        <f t="array" ref="AW454">AW415*(INDEX(('Detailed Assumptions'!$D$59:$J$79,'Detailed Assumptions'!$L$59:$R$79,'Detailed Assumptions'!$T$59:$Z$79,'Detailed Assumptions'!$AB$59:$AH$79),$C454,2,$C$506))</f>
        <v>-2142.2045746067934</v>
      </c>
      <c r="AX454" s="527" cm="1">
        <f t="array" ref="AX454">AX415*(INDEX(('Detailed Assumptions'!$D$59:$J$79,'Detailed Assumptions'!$L$59:$R$79,'Detailed Assumptions'!$T$59:$Z$79,'Detailed Assumptions'!$AB$59:$AH$79),$C454,2,$C$506))</f>
        <v>-2142.2045746067934</v>
      </c>
      <c r="AY454" s="527" cm="1">
        <f t="array" ref="AY454">AY415*(INDEX(('Detailed Assumptions'!$D$59:$J$79,'Detailed Assumptions'!$L$59:$R$79,'Detailed Assumptions'!$T$59:$Z$79,'Detailed Assumptions'!$AB$59:$AH$79),$C454,2,$C$506))</f>
        <v>-2142.2045746067934</v>
      </c>
      <c r="AZ454" s="527" cm="1">
        <f t="array" ref="AZ454">AZ415*(INDEX(('Detailed Assumptions'!$D$59:$J$79,'Detailed Assumptions'!$L$59:$R$79,'Detailed Assumptions'!$T$59:$Z$79,'Detailed Assumptions'!$AB$59:$AH$79),$C454,2,$C$506))</f>
        <v>-2142.2045746067934</v>
      </c>
      <c r="BA454" s="527" cm="1">
        <f t="array" ref="BA454">BA415*(INDEX(('Detailed Assumptions'!$D$59:$J$79,'Detailed Assumptions'!$L$59:$R$79,'Detailed Assumptions'!$T$59:$Z$79,'Detailed Assumptions'!$AB$59:$AH$79),$C454,2,$C$506))</f>
        <v>-2142.2045746067934</v>
      </c>
      <c r="BB454" s="527" cm="1">
        <f t="array" ref="BB454">BB415*(INDEX(('Detailed Assumptions'!$D$59:$J$79,'Detailed Assumptions'!$L$59:$R$79,'Detailed Assumptions'!$T$59:$Z$79,'Detailed Assumptions'!$AB$59:$AH$79),$C454,2,$C$506))</f>
        <v>-2216.2080376248659</v>
      </c>
      <c r="BC454" s="527" cm="1">
        <f t="array" ref="BC454">BC415*(INDEX(('Detailed Assumptions'!$D$59:$J$79,'Detailed Assumptions'!$L$59:$R$79,'Detailed Assumptions'!$T$59:$Z$79,'Detailed Assumptions'!$AB$59:$AH$79),$C454,2,$C$506))</f>
        <v>-2216.2080376248659</v>
      </c>
      <c r="BD454" s="527" cm="1">
        <f t="array" ref="BD454">BD415*(INDEX(('Detailed Assumptions'!$D$59:$J$79,'Detailed Assumptions'!$L$59:$R$79,'Detailed Assumptions'!$T$59:$Z$79,'Detailed Assumptions'!$AB$59:$AH$79),$C454,2,$C$506))</f>
        <v>-2216.2080376248659</v>
      </c>
      <c r="BE454" s="527" cm="1">
        <f t="array" ref="BE454">BE415*(INDEX(('Detailed Assumptions'!$D$59:$J$79,'Detailed Assumptions'!$L$59:$R$79,'Detailed Assumptions'!$T$59:$Z$79,'Detailed Assumptions'!$AB$59:$AH$79),$C454,2,$C$506))</f>
        <v>-2216.2080376248659</v>
      </c>
      <c r="BF454" s="527" cm="1">
        <f t="array" ref="BF454">BF415*(INDEX(('Detailed Assumptions'!$D$59:$J$79,'Detailed Assumptions'!$L$59:$R$79,'Detailed Assumptions'!$T$59:$Z$79,'Detailed Assumptions'!$AB$59:$AH$79),$C454,2,$C$506))</f>
        <v>-2216.2080376248659</v>
      </c>
      <c r="BG454" s="527" cm="1">
        <f t="array" ref="BG454">BG415*(INDEX(('Detailed Assumptions'!$D$59:$J$79,'Detailed Assumptions'!$L$59:$R$79,'Detailed Assumptions'!$T$59:$Z$79,'Detailed Assumptions'!$AB$59:$AH$79),$C454,2,$C$506))</f>
        <v>-2216.2080376248659</v>
      </c>
      <c r="BH454" s="527" cm="1">
        <f t="array" ref="BH454">BH415*(INDEX(('Detailed Assumptions'!$D$59:$J$79,'Detailed Assumptions'!$L$59:$R$79,'Detailed Assumptions'!$T$59:$Z$79,'Detailed Assumptions'!$AB$59:$AH$79),$C454,2,$C$506))</f>
        <v>-2604.865737200751</v>
      </c>
      <c r="BI454" s="527" cm="1">
        <f t="array" ref="BI454">BI415*(INDEX(('Detailed Assumptions'!$D$59:$J$79,'Detailed Assumptions'!$L$59:$R$79,'Detailed Assumptions'!$T$59:$Z$79,'Detailed Assumptions'!$AB$59:$AH$79),$C454,2,$C$506))</f>
        <v>-2604.865737200751</v>
      </c>
      <c r="BJ454" s="527" cm="1">
        <f t="array" ref="BJ454">BJ415*(INDEX(('Detailed Assumptions'!$D$59:$J$79,'Detailed Assumptions'!$L$59:$R$79,'Detailed Assumptions'!$T$59:$Z$79,'Detailed Assumptions'!$AB$59:$AH$79),$C454,2,$C$506))</f>
        <v>-2604.865737200751</v>
      </c>
      <c r="BK454" s="527" cm="1">
        <f t="array" ref="BK454">BK415*(INDEX(('Detailed Assumptions'!$D$59:$J$79,'Detailed Assumptions'!$L$59:$R$79,'Detailed Assumptions'!$T$59:$Z$79,'Detailed Assumptions'!$AB$59:$AH$79),$C454,2,$C$506))</f>
        <v>-2604.865737200751</v>
      </c>
      <c r="BL454" s="527" cm="1">
        <f t="array" ref="BL454">BL415*(INDEX(('Detailed Assumptions'!$D$59:$J$79,'Detailed Assumptions'!$L$59:$R$79,'Detailed Assumptions'!$T$59:$Z$79,'Detailed Assumptions'!$AB$59:$AH$79),$C454,2,$C$506))</f>
        <v>-2604.865737200751</v>
      </c>
      <c r="BM454" s="527" cm="1">
        <f t="array" ref="BM454">BM415*(INDEX(('Detailed Assumptions'!$D$59:$J$79,'Detailed Assumptions'!$L$59:$R$79,'Detailed Assumptions'!$T$59:$Z$79,'Detailed Assumptions'!$AB$59:$AH$79),$C454,2,$C$506))</f>
        <v>-2604.865737200751</v>
      </c>
      <c r="BN454" s="527" cm="1">
        <f t="array" ref="BN454">BN415*(INDEX(('Detailed Assumptions'!$D$59:$J$79,'Detailed Assumptions'!$L$59:$R$79,'Detailed Assumptions'!$T$59:$Z$79,'Detailed Assumptions'!$AB$59:$AH$79),$C454,2,$C$506))</f>
        <v>-2604.865737200751</v>
      </c>
      <c r="BO454" s="527" cm="1">
        <f t="array" ref="BO454">BO415*(INDEX(('Detailed Assumptions'!$D$59:$J$79,'Detailed Assumptions'!$L$59:$R$79,'Detailed Assumptions'!$T$59:$Z$79,'Detailed Assumptions'!$AB$59:$AH$79),$C454,2,$C$506))</f>
        <v>-2604.865737200751</v>
      </c>
      <c r="BP454" s="527" cm="1">
        <f t="array" ref="BP454">BP415*(INDEX(('Detailed Assumptions'!$D$59:$J$79,'Detailed Assumptions'!$L$59:$R$79,'Detailed Assumptions'!$T$59:$Z$79,'Detailed Assumptions'!$AB$59:$AH$79),$C454,2,$C$506))</f>
        <v>-2604.865737200751</v>
      </c>
      <c r="BQ454" s="527" cm="1">
        <f t="array" ref="BQ454">BQ415*(INDEX(('Detailed Assumptions'!$D$59:$J$79,'Detailed Assumptions'!$L$59:$R$79,'Detailed Assumptions'!$T$59:$Z$79,'Detailed Assumptions'!$AB$59:$AH$79),$C454,2,$C$506))</f>
        <v>-2604.865737200751</v>
      </c>
      <c r="BR454" s="527" cm="1">
        <f t="array" ref="BR454">BR415*(INDEX(('Detailed Assumptions'!$D$59:$J$79,'Detailed Assumptions'!$L$59:$R$79,'Detailed Assumptions'!$T$59:$Z$79,'Detailed Assumptions'!$AB$59:$AH$79),$C454,2,$C$506))</f>
        <v>-2604.865737200751</v>
      </c>
      <c r="BS454" s="527" cm="1">
        <f t="array" ref="BS454">BS415*(INDEX(('Detailed Assumptions'!$D$59:$J$79,'Detailed Assumptions'!$L$59:$R$79,'Detailed Assumptions'!$T$59:$Z$79,'Detailed Assumptions'!$AB$59:$AH$79),$C454,2,$C$506))</f>
        <v>-2604.865737200751</v>
      </c>
      <c r="BT454" s="527" cm="1">
        <f t="array" ref="BT454">BT415*(INDEX(('Detailed Assumptions'!$D$59:$J$79,'Detailed Assumptions'!$L$59:$R$79,'Detailed Assumptions'!$T$59:$Z$79,'Detailed Assumptions'!$AB$59:$AH$79),$C454,2,$C$506))</f>
        <v>-2709.060366688781</v>
      </c>
      <c r="BU454" s="527" cm="1">
        <f t="array" ref="BU454">BU415*(INDEX(('Detailed Assumptions'!$D$59:$J$79,'Detailed Assumptions'!$L$59:$R$79,'Detailed Assumptions'!$T$59:$Z$79,'Detailed Assumptions'!$AB$59:$AH$79),$C454,2,$C$506))</f>
        <v>-2709.060366688781</v>
      </c>
      <c r="BV454" s="527" cm="1">
        <f t="array" ref="BV454">BV415*(INDEX(('Detailed Assumptions'!$D$59:$J$79,'Detailed Assumptions'!$L$59:$R$79,'Detailed Assumptions'!$T$59:$Z$79,'Detailed Assumptions'!$AB$59:$AH$79),$C454,2,$C$506))</f>
        <v>-2709.060366688781</v>
      </c>
      <c r="BW454" s="527" cm="1">
        <f t="array" ref="BW454">BW415*(INDEX(('Detailed Assumptions'!$D$59:$J$79,'Detailed Assumptions'!$L$59:$R$79,'Detailed Assumptions'!$T$59:$Z$79,'Detailed Assumptions'!$AB$59:$AH$79),$C454,2,$C$506))</f>
        <v>-2709.060366688781</v>
      </c>
      <c r="BX454" s="527" cm="1">
        <f t="array" ref="BX454">BX415*(INDEX(('Detailed Assumptions'!$D$59:$J$79,'Detailed Assumptions'!$L$59:$R$79,'Detailed Assumptions'!$T$59:$Z$79,'Detailed Assumptions'!$AB$59:$AH$79),$C454,2,$C$506))</f>
        <v>-2709.060366688781</v>
      </c>
      <c r="BY454" s="527" cm="1">
        <f t="array" ref="BY454">BY415*(INDEX(('Detailed Assumptions'!$D$59:$J$79,'Detailed Assumptions'!$L$59:$R$79,'Detailed Assumptions'!$T$59:$Z$79,'Detailed Assumptions'!$AB$59:$AH$79),$C454,2,$C$506))</f>
        <v>-2709.060366688781</v>
      </c>
    </row>
    <row r="455" spans="1:77" x14ac:dyDescent="0.3">
      <c r="A455" s="648"/>
      <c r="B455" s="648" t="s">
        <v>53</v>
      </c>
      <c r="C455" s="648">
        <f t="shared" si="638"/>
        <v>20</v>
      </c>
      <c r="D455" s="647"/>
      <c r="E455" s="649" t="str">
        <f>"Bad debts: "&amp;E$159</f>
        <v>Bad debts: FY31 Tranche</v>
      </c>
      <c r="F455" s="525"/>
      <c r="G455" s="525"/>
      <c r="H455" s="525"/>
      <c r="I455" s="525"/>
      <c r="J455" s="525"/>
      <c r="K455" s="525"/>
      <c r="L455" s="525"/>
      <c r="M455" s="525"/>
      <c r="N455" s="525"/>
      <c r="O455" s="525"/>
      <c r="P455" s="565"/>
      <c r="Q455" s="525"/>
      <c r="R455" s="527" cm="1">
        <f t="array" ref="R455">R416*(INDEX(('Detailed Assumptions'!$D$59:$J$79,'Detailed Assumptions'!$L$59:$R$79,'Detailed Assumptions'!$T$59:$Z$79,'Detailed Assumptions'!$AB$59:$AH$79),$C455,2,$C$506))</f>
        <v>-1986.0852939756835</v>
      </c>
      <c r="S455" s="527" cm="1">
        <f t="array" ref="S455">S416*(INDEX(('Detailed Assumptions'!$D$59:$J$79,'Detailed Assumptions'!$L$59:$R$79,'Detailed Assumptions'!$T$59:$Z$79,'Detailed Assumptions'!$AB$59:$AH$79),$C455,2,$C$506))</f>
        <v>-1986.0852939756835</v>
      </c>
      <c r="T455" s="527" cm="1">
        <f t="array" ref="T455">T416*(INDEX(('Detailed Assumptions'!$D$59:$J$79,'Detailed Assumptions'!$L$59:$R$79,'Detailed Assumptions'!$T$59:$Z$79,'Detailed Assumptions'!$AB$59:$AH$79),$C455,2,$C$506))</f>
        <v>-1986.0852939756835</v>
      </c>
      <c r="U455" s="527" cm="1">
        <f t="array" ref="U455">U416*(INDEX(('Detailed Assumptions'!$D$59:$J$79,'Detailed Assumptions'!$L$59:$R$79,'Detailed Assumptions'!$T$59:$Z$79,'Detailed Assumptions'!$AB$59:$AH$79),$C455,2,$C$506))</f>
        <v>-1986.0852939756835</v>
      </c>
      <c r="V455" s="527" cm="1">
        <f t="array" ref="V455">V416*(INDEX(('Detailed Assumptions'!$D$59:$J$79,'Detailed Assumptions'!$L$59:$R$79,'Detailed Assumptions'!$T$59:$Z$79,'Detailed Assumptions'!$AB$59:$AH$79),$C455,2,$C$506))</f>
        <v>-1986.0852939756835</v>
      </c>
      <c r="W455" s="527" cm="1">
        <f t="array" ref="W455">W416*(INDEX(('Detailed Assumptions'!$D$59:$J$79,'Detailed Assumptions'!$L$59:$R$79,'Detailed Assumptions'!$T$59:$Z$79,'Detailed Assumptions'!$AB$59:$AH$79),$C455,2,$C$506))</f>
        <v>-1986.0852939756835</v>
      </c>
      <c r="X455" s="527" cm="1">
        <f t="array" ref="X455">X416*(INDEX(('Detailed Assumptions'!$D$59:$J$79,'Detailed Assumptions'!$L$59:$R$79,'Detailed Assumptions'!$T$59:$Z$79,'Detailed Assumptions'!$AB$59:$AH$79),$C455,2,$C$506))</f>
        <v>-1986.0852939756835</v>
      </c>
      <c r="Y455" s="527" cm="1">
        <f t="array" ref="Y455">Y416*(INDEX(('Detailed Assumptions'!$D$59:$J$79,'Detailed Assumptions'!$L$59:$R$79,'Detailed Assumptions'!$T$59:$Z$79,'Detailed Assumptions'!$AB$59:$AH$79),$C455,2,$C$506))</f>
        <v>-1986.0852939756835</v>
      </c>
      <c r="Z455" s="527" cm="1">
        <f t="array" ref="Z455">Z416*(INDEX(('Detailed Assumptions'!$D$59:$J$79,'Detailed Assumptions'!$L$59:$R$79,'Detailed Assumptions'!$T$59:$Z$79,'Detailed Assumptions'!$AB$59:$AH$79),$C455,2,$C$506))</f>
        <v>-1986.0852939756835</v>
      </c>
      <c r="AA455" s="527" cm="1">
        <f t="array" ref="AA455">AA416*(INDEX(('Detailed Assumptions'!$D$59:$J$79,'Detailed Assumptions'!$L$59:$R$79,'Detailed Assumptions'!$T$59:$Z$79,'Detailed Assumptions'!$AB$59:$AH$79),$C455,2,$C$506))</f>
        <v>-1986.0852939756835</v>
      </c>
      <c r="AB455" s="527" cm="1">
        <f t="array" ref="AB455">AB416*(INDEX(('Detailed Assumptions'!$D$59:$J$79,'Detailed Assumptions'!$L$59:$R$79,'Detailed Assumptions'!$T$59:$Z$79,'Detailed Assumptions'!$AB$59:$AH$79),$C455,2,$C$506))</f>
        <v>-1986.0852939756835</v>
      </c>
      <c r="AC455" s="527" cm="1">
        <f t="array" ref="AC455">AC416*(INDEX(('Detailed Assumptions'!$D$59:$J$79,'Detailed Assumptions'!$L$59:$R$79,'Detailed Assumptions'!$T$59:$Z$79,'Detailed Assumptions'!$AB$59:$AH$79),$C455,2,$C$506))</f>
        <v>-1986.0852939756835</v>
      </c>
      <c r="AD455" s="527" cm="1">
        <f t="array" ref="AD455">AD416*(INDEX(('Detailed Assumptions'!$D$59:$J$79,'Detailed Assumptions'!$L$59:$R$79,'Detailed Assumptions'!$T$59:$Z$79,'Detailed Assumptions'!$AB$59:$AH$79),$C455,2,$C$506))</f>
        <v>-2064.5108901545605</v>
      </c>
      <c r="AE455" s="527" cm="1">
        <f t="array" ref="AE455">AE416*(INDEX(('Detailed Assumptions'!$D$59:$J$79,'Detailed Assumptions'!$L$59:$R$79,'Detailed Assumptions'!$T$59:$Z$79,'Detailed Assumptions'!$AB$59:$AH$79),$C455,2,$C$506))</f>
        <v>-2064.5108901545605</v>
      </c>
      <c r="AF455" s="527" cm="1">
        <f t="array" ref="AF455">AF416*(INDEX(('Detailed Assumptions'!$D$59:$J$79,'Detailed Assumptions'!$L$59:$R$79,'Detailed Assumptions'!$T$59:$Z$79,'Detailed Assumptions'!$AB$59:$AH$79),$C455,2,$C$506))</f>
        <v>-2064.5108901545605</v>
      </c>
      <c r="AG455" s="527" cm="1">
        <f t="array" ref="AG455">AG416*(INDEX(('Detailed Assumptions'!$D$59:$J$79,'Detailed Assumptions'!$L$59:$R$79,'Detailed Assumptions'!$T$59:$Z$79,'Detailed Assumptions'!$AB$59:$AH$79),$C455,2,$C$506))</f>
        <v>-2064.5108901545605</v>
      </c>
      <c r="AH455" s="527" cm="1">
        <f t="array" ref="AH455">AH416*(INDEX(('Detailed Assumptions'!$D$59:$J$79,'Detailed Assumptions'!$L$59:$R$79,'Detailed Assumptions'!$T$59:$Z$79,'Detailed Assumptions'!$AB$59:$AH$79),$C455,2,$C$506))</f>
        <v>-2064.5108901545605</v>
      </c>
      <c r="AI455" s="527" cm="1">
        <f t="array" ref="AI455">AI416*(INDEX(('Detailed Assumptions'!$D$59:$J$79,'Detailed Assumptions'!$L$59:$R$79,'Detailed Assumptions'!$T$59:$Z$79,'Detailed Assumptions'!$AB$59:$AH$79),$C455,2,$C$506))</f>
        <v>-2064.5108901545605</v>
      </c>
      <c r="AJ455" s="527" cm="1">
        <f t="array" ref="AJ455">AJ416*(INDEX(('Detailed Assumptions'!$D$59:$J$79,'Detailed Assumptions'!$L$59:$R$79,'Detailed Assumptions'!$T$59:$Z$79,'Detailed Assumptions'!$AB$59:$AH$79),$C455,2,$C$506))</f>
        <v>-2064.5108901545605</v>
      </c>
      <c r="AK455" s="527" cm="1">
        <f t="array" ref="AK455">AK416*(INDEX(('Detailed Assumptions'!$D$59:$J$79,'Detailed Assumptions'!$L$59:$R$79,'Detailed Assumptions'!$T$59:$Z$79,'Detailed Assumptions'!$AB$59:$AH$79),$C455,2,$C$506))</f>
        <v>-2064.5108901545605</v>
      </c>
      <c r="AL455" s="527" cm="1">
        <f t="array" ref="AL455">AL416*(INDEX(('Detailed Assumptions'!$D$59:$J$79,'Detailed Assumptions'!$L$59:$R$79,'Detailed Assumptions'!$T$59:$Z$79,'Detailed Assumptions'!$AB$59:$AH$79),$C455,2,$C$506))</f>
        <v>-2064.5108901545605</v>
      </c>
      <c r="AM455" s="527" cm="1">
        <f t="array" ref="AM455">AM416*(INDEX(('Detailed Assumptions'!$D$59:$J$79,'Detailed Assumptions'!$L$59:$R$79,'Detailed Assumptions'!$T$59:$Z$79,'Detailed Assumptions'!$AB$59:$AH$79),$C455,2,$C$506))</f>
        <v>-2064.5108901545605</v>
      </c>
      <c r="AN455" s="527" cm="1">
        <f t="array" ref="AN455">AN416*(INDEX(('Detailed Assumptions'!$D$59:$J$79,'Detailed Assumptions'!$L$59:$R$79,'Detailed Assumptions'!$T$59:$Z$79,'Detailed Assumptions'!$AB$59:$AH$79),$C455,2,$C$506))</f>
        <v>-2064.5108901545605</v>
      </c>
      <c r="AO455" s="527" cm="1">
        <f t="array" ref="AO455">AO416*(INDEX(('Detailed Assumptions'!$D$59:$J$79,'Detailed Assumptions'!$L$59:$R$79,'Detailed Assumptions'!$T$59:$Z$79,'Detailed Assumptions'!$AB$59:$AH$79),$C455,2,$C$506))</f>
        <v>-2064.5108901545605</v>
      </c>
      <c r="AP455" s="527" cm="1">
        <f t="array" ref="AP455">AP416*(INDEX(('Detailed Assumptions'!$D$59:$J$79,'Detailed Assumptions'!$L$59:$R$79,'Detailed Assumptions'!$T$59:$Z$79,'Detailed Assumptions'!$AB$59:$AH$79),$C455,2,$C$506))</f>
        <v>-2142.2045746067934</v>
      </c>
      <c r="AQ455" s="527" cm="1">
        <f t="array" ref="AQ455">AQ416*(INDEX(('Detailed Assumptions'!$D$59:$J$79,'Detailed Assumptions'!$L$59:$R$79,'Detailed Assumptions'!$T$59:$Z$79,'Detailed Assumptions'!$AB$59:$AH$79),$C455,2,$C$506))</f>
        <v>-2142.2045746067934</v>
      </c>
      <c r="AR455" s="527" cm="1">
        <f t="array" ref="AR455">AR416*(INDEX(('Detailed Assumptions'!$D$59:$J$79,'Detailed Assumptions'!$L$59:$R$79,'Detailed Assumptions'!$T$59:$Z$79,'Detailed Assumptions'!$AB$59:$AH$79),$C455,2,$C$506))</f>
        <v>-2142.2045746067934</v>
      </c>
      <c r="AS455" s="527" cm="1">
        <f t="array" ref="AS455">AS416*(INDEX(('Detailed Assumptions'!$D$59:$J$79,'Detailed Assumptions'!$L$59:$R$79,'Detailed Assumptions'!$T$59:$Z$79,'Detailed Assumptions'!$AB$59:$AH$79),$C455,2,$C$506))</f>
        <v>-2142.2045746067934</v>
      </c>
      <c r="AT455" s="527" cm="1">
        <f t="array" ref="AT455">AT416*(INDEX(('Detailed Assumptions'!$D$59:$J$79,'Detailed Assumptions'!$L$59:$R$79,'Detailed Assumptions'!$T$59:$Z$79,'Detailed Assumptions'!$AB$59:$AH$79),$C455,2,$C$506))</f>
        <v>-2142.2045746067934</v>
      </c>
      <c r="AU455" s="527" cm="1">
        <f t="array" ref="AU455">AU416*(INDEX(('Detailed Assumptions'!$D$59:$J$79,'Detailed Assumptions'!$L$59:$R$79,'Detailed Assumptions'!$T$59:$Z$79,'Detailed Assumptions'!$AB$59:$AH$79),$C455,2,$C$506))</f>
        <v>-2142.2045746067934</v>
      </c>
      <c r="AV455" s="527" cm="1">
        <f t="array" ref="AV455">AV416*(INDEX(('Detailed Assumptions'!$D$59:$J$79,'Detailed Assumptions'!$L$59:$R$79,'Detailed Assumptions'!$T$59:$Z$79,'Detailed Assumptions'!$AB$59:$AH$79),$C455,2,$C$506))</f>
        <v>-2142.2045746067934</v>
      </c>
      <c r="AW455" s="527" cm="1">
        <f t="array" ref="AW455">AW416*(INDEX(('Detailed Assumptions'!$D$59:$J$79,'Detailed Assumptions'!$L$59:$R$79,'Detailed Assumptions'!$T$59:$Z$79,'Detailed Assumptions'!$AB$59:$AH$79),$C455,2,$C$506))</f>
        <v>-2142.2045746067934</v>
      </c>
      <c r="AX455" s="527" cm="1">
        <f t="array" ref="AX455">AX416*(INDEX(('Detailed Assumptions'!$D$59:$J$79,'Detailed Assumptions'!$L$59:$R$79,'Detailed Assumptions'!$T$59:$Z$79,'Detailed Assumptions'!$AB$59:$AH$79),$C455,2,$C$506))</f>
        <v>-2142.2045746067934</v>
      </c>
      <c r="AY455" s="527" cm="1">
        <f t="array" ref="AY455">AY416*(INDEX(('Detailed Assumptions'!$D$59:$J$79,'Detailed Assumptions'!$L$59:$R$79,'Detailed Assumptions'!$T$59:$Z$79,'Detailed Assumptions'!$AB$59:$AH$79),$C455,2,$C$506))</f>
        <v>-2142.2045746067934</v>
      </c>
      <c r="AZ455" s="527" cm="1">
        <f t="array" ref="AZ455">AZ416*(INDEX(('Detailed Assumptions'!$D$59:$J$79,'Detailed Assumptions'!$L$59:$R$79,'Detailed Assumptions'!$T$59:$Z$79,'Detailed Assumptions'!$AB$59:$AH$79),$C455,2,$C$506))</f>
        <v>-2142.2045746067934</v>
      </c>
      <c r="BA455" s="527" cm="1">
        <f t="array" ref="BA455">BA416*(INDEX(('Detailed Assumptions'!$D$59:$J$79,'Detailed Assumptions'!$L$59:$R$79,'Detailed Assumptions'!$T$59:$Z$79,'Detailed Assumptions'!$AB$59:$AH$79),$C455,2,$C$506))</f>
        <v>-2142.2045746067934</v>
      </c>
      <c r="BB455" s="527" cm="1">
        <f t="array" ref="BB455">BB416*(INDEX(('Detailed Assumptions'!$D$59:$J$79,'Detailed Assumptions'!$L$59:$R$79,'Detailed Assumptions'!$T$59:$Z$79,'Detailed Assumptions'!$AB$59:$AH$79),$C455,2,$C$506))</f>
        <v>-2216.2080376248659</v>
      </c>
      <c r="BC455" s="527" cm="1">
        <f t="array" ref="BC455">BC416*(INDEX(('Detailed Assumptions'!$D$59:$J$79,'Detailed Assumptions'!$L$59:$R$79,'Detailed Assumptions'!$T$59:$Z$79,'Detailed Assumptions'!$AB$59:$AH$79),$C455,2,$C$506))</f>
        <v>-2216.2080376248659</v>
      </c>
      <c r="BD455" s="527" cm="1">
        <f t="array" ref="BD455">BD416*(INDEX(('Detailed Assumptions'!$D$59:$J$79,'Detailed Assumptions'!$L$59:$R$79,'Detailed Assumptions'!$T$59:$Z$79,'Detailed Assumptions'!$AB$59:$AH$79),$C455,2,$C$506))</f>
        <v>-2216.2080376248659</v>
      </c>
      <c r="BE455" s="527" cm="1">
        <f t="array" ref="BE455">BE416*(INDEX(('Detailed Assumptions'!$D$59:$J$79,'Detailed Assumptions'!$L$59:$R$79,'Detailed Assumptions'!$T$59:$Z$79,'Detailed Assumptions'!$AB$59:$AH$79),$C455,2,$C$506))</f>
        <v>-2216.2080376248659</v>
      </c>
      <c r="BF455" s="527" cm="1">
        <f t="array" ref="BF455">BF416*(INDEX(('Detailed Assumptions'!$D$59:$J$79,'Detailed Assumptions'!$L$59:$R$79,'Detailed Assumptions'!$T$59:$Z$79,'Detailed Assumptions'!$AB$59:$AH$79),$C455,2,$C$506))</f>
        <v>-2216.2080376248659</v>
      </c>
      <c r="BG455" s="527" cm="1">
        <f t="array" ref="BG455">BG416*(INDEX(('Detailed Assumptions'!$D$59:$J$79,'Detailed Assumptions'!$L$59:$R$79,'Detailed Assumptions'!$T$59:$Z$79,'Detailed Assumptions'!$AB$59:$AH$79),$C455,2,$C$506))</f>
        <v>-2216.2080376248659</v>
      </c>
      <c r="BH455" s="527" cm="1">
        <f t="array" ref="BH455">BH416*(INDEX(('Detailed Assumptions'!$D$59:$J$79,'Detailed Assumptions'!$L$59:$R$79,'Detailed Assumptions'!$T$59:$Z$79,'Detailed Assumptions'!$AB$59:$AH$79),$C455,2,$C$506))</f>
        <v>-2216.2080376248659</v>
      </c>
      <c r="BI455" s="527" cm="1">
        <f t="array" ref="BI455">BI416*(INDEX(('Detailed Assumptions'!$D$59:$J$79,'Detailed Assumptions'!$L$59:$R$79,'Detailed Assumptions'!$T$59:$Z$79,'Detailed Assumptions'!$AB$59:$AH$79),$C455,2,$C$506))</f>
        <v>-2216.2080376248659</v>
      </c>
      <c r="BJ455" s="527" cm="1">
        <f t="array" ref="BJ455">BJ416*(INDEX(('Detailed Assumptions'!$D$59:$J$79,'Detailed Assumptions'!$L$59:$R$79,'Detailed Assumptions'!$T$59:$Z$79,'Detailed Assumptions'!$AB$59:$AH$79),$C455,2,$C$506))</f>
        <v>-2216.2080376248659</v>
      </c>
      <c r="BK455" s="527" cm="1">
        <f t="array" ref="BK455">BK416*(INDEX(('Detailed Assumptions'!$D$59:$J$79,'Detailed Assumptions'!$L$59:$R$79,'Detailed Assumptions'!$T$59:$Z$79,'Detailed Assumptions'!$AB$59:$AH$79),$C455,2,$C$506))</f>
        <v>-2216.2080376248659</v>
      </c>
      <c r="BL455" s="527" cm="1">
        <f t="array" ref="BL455">BL416*(INDEX(('Detailed Assumptions'!$D$59:$J$79,'Detailed Assumptions'!$L$59:$R$79,'Detailed Assumptions'!$T$59:$Z$79,'Detailed Assumptions'!$AB$59:$AH$79),$C455,2,$C$506))</f>
        <v>-2216.2080376248659</v>
      </c>
      <c r="BM455" s="527" cm="1">
        <f t="array" ref="BM455">BM416*(INDEX(('Detailed Assumptions'!$D$59:$J$79,'Detailed Assumptions'!$L$59:$R$79,'Detailed Assumptions'!$T$59:$Z$79,'Detailed Assumptions'!$AB$59:$AH$79),$C455,2,$C$506))</f>
        <v>-2216.2080376248659</v>
      </c>
      <c r="BN455" s="527" cm="1">
        <f t="array" ref="BN455">BN416*(INDEX(('Detailed Assumptions'!$D$59:$J$79,'Detailed Assumptions'!$L$59:$R$79,'Detailed Assumptions'!$T$59:$Z$79,'Detailed Assumptions'!$AB$59:$AH$79),$C455,2,$C$506))</f>
        <v>-2290.4710218409141</v>
      </c>
      <c r="BO455" s="527" cm="1">
        <f t="array" ref="BO455">BO416*(INDEX(('Detailed Assumptions'!$D$59:$J$79,'Detailed Assumptions'!$L$59:$R$79,'Detailed Assumptions'!$T$59:$Z$79,'Detailed Assumptions'!$AB$59:$AH$79),$C455,2,$C$506))</f>
        <v>-2290.4710218409141</v>
      </c>
      <c r="BP455" s="527" cm="1">
        <f t="array" ref="BP455">BP416*(INDEX(('Detailed Assumptions'!$D$59:$J$79,'Detailed Assumptions'!$L$59:$R$79,'Detailed Assumptions'!$T$59:$Z$79,'Detailed Assumptions'!$AB$59:$AH$79),$C455,2,$C$506))</f>
        <v>-2290.4710218409141</v>
      </c>
      <c r="BQ455" s="527" cm="1">
        <f t="array" ref="BQ455">BQ416*(INDEX(('Detailed Assumptions'!$D$59:$J$79,'Detailed Assumptions'!$L$59:$R$79,'Detailed Assumptions'!$T$59:$Z$79,'Detailed Assumptions'!$AB$59:$AH$79),$C455,2,$C$506))</f>
        <v>-2290.4710218409141</v>
      </c>
      <c r="BR455" s="527" cm="1">
        <f t="array" ref="BR455">BR416*(INDEX(('Detailed Assumptions'!$D$59:$J$79,'Detailed Assumptions'!$L$59:$R$79,'Detailed Assumptions'!$T$59:$Z$79,'Detailed Assumptions'!$AB$59:$AH$79),$C455,2,$C$506))</f>
        <v>-2290.4710218409141</v>
      </c>
      <c r="BS455" s="527" cm="1">
        <f t="array" ref="BS455">BS416*(INDEX(('Detailed Assumptions'!$D$59:$J$79,'Detailed Assumptions'!$L$59:$R$79,'Detailed Assumptions'!$T$59:$Z$79,'Detailed Assumptions'!$AB$59:$AH$79),$C455,2,$C$506))</f>
        <v>-2290.4710218409141</v>
      </c>
      <c r="BT455" s="527" cm="1">
        <f t="array" ref="BT455">BT416*(INDEX(('Detailed Assumptions'!$D$59:$J$79,'Detailed Assumptions'!$L$59:$R$79,'Detailed Assumptions'!$T$59:$Z$79,'Detailed Assumptions'!$AB$59:$AH$79),$C455,2,$C$506))</f>
        <v>-2686.7137561601085</v>
      </c>
      <c r="BU455" s="527" cm="1">
        <f t="array" ref="BU455">BU416*(INDEX(('Detailed Assumptions'!$D$59:$J$79,'Detailed Assumptions'!$L$59:$R$79,'Detailed Assumptions'!$T$59:$Z$79,'Detailed Assumptions'!$AB$59:$AH$79),$C455,2,$C$506))</f>
        <v>-2686.7137561601085</v>
      </c>
      <c r="BV455" s="527" cm="1">
        <f t="array" ref="BV455">BV416*(INDEX(('Detailed Assumptions'!$D$59:$J$79,'Detailed Assumptions'!$L$59:$R$79,'Detailed Assumptions'!$T$59:$Z$79,'Detailed Assumptions'!$AB$59:$AH$79),$C455,2,$C$506))</f>
        <v>-2686.7137561601085</v>
      </c>
      <c r="BW455" s="527" cm="1">
        <f t="array" ref="BW455">BW416*(INDEX(('Detailed Assumptions'!$D$59:$J$79,'Detailed Assumptions'!$L$59:$R$79,'Detailed Assumptions'!$T$59:$Z$79,'Detailed Assumptions'!$AB$59:$AH$79),$C455,2,$C$506))</f>
        <v>-2686.7137561601085</v>
      </c>
      <c r="BX455" s="527" cm="1">
        <f t="array" ref="BX455">BX416*(INDEX(('Detailed Assumptions'!$D$59:$J$79,'Detailed Assumptions'!$L$59:$R$79,'Detailed Assumptions'!$T$59:$Z$79,'Detailed Assumptions'!$AB$59:$AH$79),$C455,2,$C$506))</f>
        <v>-2686.7137561601085</v>
      </c>
      <c r="BY455" s="527" cm="1">
        <f t="array" ref="BY455">BY416*(INDEX(('Detailed Assumptions'!$D$59:$J$79,'Detailed Assumptions'!$L$59:$R$79,'Detailed Assumptions'!$T$59:$Z$79,'Detailed Assumptions'!$AB$59:$AH$79),$C455,2,$C$506))</f>
        <v>-2686.7137561601085</v>
      </c>
    </row>
    <row r="456" spans="1:77" x14ac:dyDescent="0.3">
      <c r="A456" s="648"/>
      <c r="B456" s="648" t="s">
        <v>53</v>
      </c>
      <c r="C456" s="648">
        <f t="shared" si="638"/>
        <v>20</v>
      </c>
      <c r="D456" s="647"/>
      <c r="E456" s="649" t="str">
        <f>"Bad debts: "&amp;E$160</f>
        <v>Bad debts: Uninvested Tranche</v>
      </c>
      <c r="F456" s="525"/>
      <c r="G456" s="525"/>
      <c r="H456" s="525"/>
      <c r="I456" s="525"/>
      <c r="J456" s="525"/>
      <c r="K456" s="525"/>
      <c r="L456" s="525"/>
      <c r="M456" s="525"/>
      <c r="N456" s="525"/>
      <c r="O456" s="525"/>
      <c r="P456" s="565"/>
      <c r="Q456" s="525"/>
      <c r="R456" s="527" cm="1">
        <f t="array" ref="R456">R417*(INDEX(('Detailed Assumptions'!$D$59:$J$79,'Detailed Assumptions'!$L$59:$R$79,'Detailed Assumptions'!$T$59:$Z$79,'Detailed Assumptions'!$AB$59:$AH$79),$C456,2,$C$506))</f>
        <v>-4344.5615805718089</v>
      </c>
      <c r="S456" s="527" cm="1">
        <f t="array" ref="S456">S417*(INDEX(('Detailed Assumptions'!$D$59:$J$79,'Detailed Assumptions'!$L$59:$R$79,'Detailed Assumptions'!$T$59:$Z$79,'Detailed Assumptions'!$AB$59:$AH$79),$C456,2,$C$506))</f>
        <v>-4344.5615805718089</v>
      </c>
      <c r="T456" s="527" cm="1">
        <f t="array" ref="T456">T417*(INDEX(('Detailed Assumptions'!$D$59:$J$79,'Detailed Assumptions'!$L$59:$R$79,'Detailed Assumptions'!$T$59:$Z$79,'Detailed Assumptions'!$AB$59:$AH$79),$C456,2,$C$506))</f>
        <v>-4344.5615805718089</v>
      </c>
      <c r="U456" s="527" cm="1">
        <f t="array" ref="U456">U417*(INDEX(('Detailed Assumptions'!$D$59:$J$79,'Detailed Assumptions'!$L$59:$R$79,'Detailed Assumptions'!$T$59:$Z$79,'Detailed Assumptions'!$AB$59:$AH$79),$C456,2,$C$506))</f>
        <v>-4344.5615805718089</v>
      </c>
      <c r="V456" s="527" cm="1">
        <f t="array" ref="V456">V417*(INDEX(('Detailed Assumptions'!$D$59:$J$79,'Detailed Assumptions'!$L$59:$R$79,'Detailed Assumptions'!$T$59:$Z$79,'Detailed Assumptions'!$AB$59:$AH$79),$C456,2,$C$506))</f>
        <v>-4344.5615805718089</v>
      </c>
      <c r="W456" s="527" cm="1">
        <f t="array" ref="W456">W417*(INDEX(('Detailed Assumptions'!$D$59:$J$79,'Detailed Assumptions'!$L$59:$R$79,'Detailed Assumptions'!$T$59:$Z$79,'Detailed Assumptions'!$AB$59:$AH$79),$C456,2,$C$506))</f>
        <v>-4344.5615805718089</v>
      </c>
      <c r="X456" s="527" cm="1">
        <f t="array" ref="X456">X417*(INDEX(('Detailed Assumptions'!$D$59:$J$79,'Detailed Assumptions'!$L$59:$R$79,'Detailed Assumptions'!$T$59:$Z$79,'Detailed Assumptions'!$AB$59:$AH$79),$C456,2,$C$506))</f>
        <v>-4344.5615805718089</v>
      </c>
      <c r="Y456" s="527" cm="1">
        <f t="array" ref="Y456">Y417*(INDEX(('Detailed Assumptions'!$D$59:$J$79,'Detailed Assumptions'!$L$59:$R$79,'Detailed Assumptions'!$T$59:$Z$79,'Detailed Assumptions'!$AB$59:$AH$79),$C456,2,$C$506))</f>
        <v>-4344.5615805718089</v>
      </c>
      <c r="Z456" s="527" cm="1">
        <f t="array" ref="Z456">Z417*(INDEX(('Detailed Assumptions'!$D$59:$J$79,'Detailed Assumptions'!$L$59:$R$79,'Detailed Assumptions'!$T$59:$Z$79,'Detailed Assumptions'!$AB$59:$AH$79),$C456,2,$C$506))</f>
        <v>-4344.5615805718089</v>
      </c>
      <c r="AA456" s="527" cm="1">
        <f t="array" ref="AA456">AA417*(INDEX(('Detailed Assumptions'!$D$59:$J$79,'Detailed Assumptions'!$L$59:$R$79,'Detailed Assumptions'!$T$59:$Z$79,'Detailed Assumptions'!$AB$59:$AH$79),$C456,2,$C$506))</f>
        <v>-4344.5615805718089</v>
      </c>
      <c r="AB456" s="527" cm="1">
        <f t="array" ref="AB456">AB417*(INDEX(('Detailed Assumptions'!$D$59:$J$79,'Detailed Assumptions'!$L$59:$R$79,'Detailed Assumptions'!$T$59:$Z$79,'Detailed Assumptions'!$AB$59:$AH$79),$C456,2,$C$506))</f>
        <v>-4344.5615805718089</v>
      </c>
      <c r="AC456" s="527" cm="1">
        <f t="array" ref="AC456">AC417*(INDEX(('Detailed Assumptions'!$D$59:$J$79,'Detailed Assumptions'!$L$59:$R$79,'Detailed Assumptions'!$T$59:$Z$79,'Detailed Assumptions'!$AB$59:$AH$79),$C456,2,$C$506))</f>
        <v>-4344.5615805718089</v>
      </c>
      <c r="AD456" s="527" cm="1">
        <f t="array" ref="AD456">AD417*(INDEX(('Detailed Assumptions'!$D$59:$J$79,'Detailed Assumptions'!$L$59:$R$79,'Detailed Assumptions'!$T$59:$Z$79,'Detailed Assumptions'!$AB$59:$AH$79),$C456,2,$C$506))</f>
        <v>-4516.1175722131011</v>
      </c>
      <c r="AE456" s="527" cm="1">
        <f t="array" ref="AE456">AE417*(INDEX(('Detailed Assumptions'!$D$59:$J$79,'Detailed Assumptions'!$L$59:$R$79,'Detailed Assumptions'!$T$59:$Z$79,'Detailed Assumptions'!$AB$59:$AH$79),$C456,2,$C$506))</f>
        <v>-4516.1175722131011</v>
      </c>
      <c r="AF456" s="527" cm="1">
        <f t="array" ref="AF456">AF417*(INDEX(('Detailed Assumptions'!$D$59:$J$79,'Detailed Assumptions'!$L$59:$R$79,'Detailed Assumptions'!$T$59:$Z$79,'Detailed Assumptions'!$AB$59:$AH$79),$C456,2,$C$506))</f>
        <v>-4516.1175722131011</v>
      </c>
      <c r="AG456" s="527" cm="1">
        <f t="array" ref="AG456">AG417*(INDEX(('Detailed Assumptions'!$D$59:$J$79,'Detailed Assumptions'!$L$59:$R$79,'Detailed Assumptions'!$T$59:$Z$79,'Detailed Assumptions'!$AB$59:$AH$79),$C456,2,$C$506))</f>
        <v>-4516.1175722131011</v>
      </c>
      <c r="AH456" s="527" cm="1">
        <f t="array" ref="AH456">AH417*(INDEX(('Detailed Assumptions'!$D$59:$J$79,'Detailed Assumptions'!$L$59:$R$79,'Detailed Assumptions'!$T$59:$Z$79,'Detailed Assumptions'!$AB$59:$AH$79),$C456,2,$C$506))</f>
        <v>-4516.1175722131011</v>
      </c>
      <c r="AI456" s="527" cm="1">
        <f t="array" ref="AI456">AI417*(INDEX(('Detailed Assumptions'!$D$59:$J$79,'Detailed Assumptions'!$L$59:$R$79,'Detailed Assumptions'!$T$59:$Z$79,'Detailed Assumptions'!$AB$59:$AH$79),$C456,2,$C$506))</f>
        <v>-4516.1175722131011</v>
      </c>
      <c r="AJ456" s="527" cm="1">
        <f t="array" ref="AJ456">AJ417*(INDEX(('Detailed Assumptions'!$D$59:$J$79,'Detailed Assumptions'!$L$59:$R$79,'Detailed Assumptions'!$T$59:$Z$79,'Detailed Assumptions'!$AB$59:$AH$79),$C456,2,$C$506))</f>
        <v>-4516.1175722131011</v>
      </c>
      <c r="AK456" s="527" cm="1">
        <f t="array" ref="AK456">AK417*(INDEX(('Detailed Assumptions'!$D$59:$J$79,'Detailed Assumptions'!$L$59:$R$79,'Detailed Assumptions'!$T$59:$Z$79,'Detailed Assumptions'!$AB$59:$AH$79),$C456,2,$C$506))</f>
        <v>-4516.1175722131011</v>
      </c>
      <c r="AL456" s="527" cm="1">
        <f t="array" ref="AL456">AL417*(INDEX(('Detailed Assumptions'!$D$59:$J$79,'Detailed Assumptions'!$L$59:$R$79,'Detailed Assumptions'!$T$59:$Z$79,'Detailed Assumptions'!$AB$59:$AH$79),$C456,2,$C$506))</f>
        <v>-4516.1175722131011</v>
      </c>
      <c r="AM456" s="527" cm="1">
        <f t="array" ref="AM456">AM417*(INDEX(('Detailed Assumptions'!$D$59:$J$79,'Detailed Assumptions'!$L$59:$R$79,'Detailed Assumptions'!$T$59:$Z$79,'Detailed Assumptions'!$AB$59:$AH$79),$C456,2,$C$506))</f>
        <v>-4516.1175722131011</v>
      </c>
      <c r="AN456" s="527" cm="1">
        <f t="array" ref="AN456">AN417*(INDEX(('Detailed Assumptions'!$D$59:$J$79,'Detailed Assumptions'!$L$59:$R$79,'Detailed Assumptions'!$T$59:$Z$79,'Detailed Assumptions'!$AB$59:$AH$79),$C456,2,$C$506))</f>
        <v>-4516.1175722131011</v>
      </c>
      <c r="AO456" s="527" cm="1">
        <f t="array" ref="AO456">AO417*(INDEX(('Detailed Assumptions'!$D$59:$J$79,'Detailed Assumptions'!$L$59:$R$79,'Detailed Assumptions'!$T$59:$Z$79,'Detailed Assumptions'!$AB$59:$AH$79),$C456,2,$C$506))</f>
        <v>-4516.1175722131011</v>
      </c>
      <c r="AP456" s="527" cm="1">
        <f t="array" ref="AP456">AP417*(INDEX(('Detailed Assumptions'!$D$59:$J$79,'Detailed Assumptions'!$L$59:$R$79,'Detailed Assumptions'!$T$59:$Z$79,'Detailed Assumptions'!$AB$59:$AH$79),$C456,2,$C$506))</f>
        <v>-4686.0725069523614</v>
      </c>
      <c r="AQ456" s="527" cm="1">
        <f t="array" ref="AQ456">AQ417*(INDEX(('Detailed Assumptions'!$D$59:$J$79,'Detailed Assumptions'!$L$59:$R$79,'Detailed Assumptions'!$T$59:$Z$79,'Detailed Assumptions'!$AB$59:$AH$79),$C456,2,$C$506))</f>
        <v>-4686.0725069523614</v>
      </c>
      <c r="AR456" s="527" cm="1">
        <f t="array" ref="AR456">AR417*(INDEX(('Detailed Assumptions'!$D$59:$J$79,'Detailed Assumptions'!$L$59:$R$79,'Detailed Assumptions'!$T$59:$Z$79,'Detailed Assumptions'!$AB$59:$AH$79),$C456,2,$C$506))</f>
        <v>-4686.0725069523614</v>
      </c>
      <c r="AS456" s="527" cm="1">
        <f t="array" ref="AS456">AS417*(INDEX(('Detailed Assumptions'!$D$59:$J$79,'Detailed Assumptions'!$L$59:$R$79,'Detailed Assumptions'!$T$59:$Z$79,'Detailed Assumptions'!$AB$59:$AH$79),$C456,2,$C$506))</f>
        <v>-4686.0725069523614</v>
      </c>
      <c r="AT456" s="527" cm="1">
        <f t="array" ref="AT456">AT417*(INDEX(('Detailed Assumptions'!$D$59:$J$79,'Detailed Assumptions'!$L$59:$R$79,'Detailed Assumptions'!$T$59:$Z$79,'Detailed Assumptions'!$AB$59:$AH$79),$C456,2,$C$506))</f>
        <v>-4686.0725069523614</v>
      </c>
      <c r="AU456" s="527" cm="1">
        <f t="array" ref="AU456">AU417*(INDEX(('Detailed Assumptions'!$D$59:$J$79,'Detailed Assumptions'!$L$59:$R$79,'Detailed Assumptions'!$T$59:$Z$79,'Detailed Assumptions'!$AB$59:$AH$79),$C456,2,$C$506))</f>
        <v>-4686.0725069523614</v>
      </c>
      <c r="AV456" s="527" cm="1">
        <f t="array" ref="AV456">AV417*(INDEX(('Detailed Assumptions'!$D$59:$J$79,'Detailed Assumptions'!$L$59:$R$79,'Detailed Assumptions'!$T$59:$Z$79,'Detailed Assumptions'!$AB$59:$AH$79),$C456,2,$C$506))</f>
        <v>-4686.0725069523614</v>
      </c>
      <c r="AW456" s="527" cm="1">
        <f t="array" ref="AW456">AW417*(INDEX(('Detailed Assumptions'!$D$59:$J$79,'Detailed Assumptions'!$L$59:$R$79,'Detailed Assumptions'!$T$59:$Z$79,'Detailed Assumptions'!$AB$59:$AH$79),$C456,2,$C$506))</f>
        <v>-4686.0725069523614</v>
      </c>
      <c r="AX456" s="527" cm="1">
        <f t="array" ref="AX456">AX417*(INDEX(('Detailed Assumptions'!$D$59:$J$79,'Detailed Assumptions'!$L$59:$R$79,'Detailed Assumptions'!$T$59:$Z$79,'Detailed Assumptions'!$AB$59:$AH$79),$C456,2,$C$506))</f>
        <v>-4686.0725069523614</v>
      </c>
      <c r="AY456" s="527" cm="1">
        <f t="array" ref="AY456">AY417*(INDEX(('Detailed Assumptions'!$D$59:$J$79,'Detailed Assumptions'!$L$59:$R$79,'Detailed Assumptions'!$T$59:$Z$79,'Detailed Assumptions'!$AB$59:$AH$79),$C456,2,$C$506))</f>
        <v>-4686.0725069523614</v>
      </c>
      <c r="AZ456" s="527" cm="1">
        <f t="array" ref="AZ456">AZ417*(INDEX(('Detailed Assumptions'!$D$59:$J$79,'Detailed Assumptions'!$L$59:$R$79,'Detailed Assumptions'!$T$59:$Z$79,'Detailed Assumptions'!$AB$59:$AH$79),$C456,2,$C$506))</f>
        <v>-4686.0725069523614</v>
      </c>
      <c r="BA456" s="527" cm="1">
        <f t="array" ref="BA456">BA417*(INDEX(('Detailed Assumptions'!$D$59:$J$79,'Detailed Assumptions'!$L$59:$R$79,'Detailed Assumptions'!$T$59:$Z$79,'Detailed Assumptions'!$AB$59:$AH$79),$C456,2,$C$506))</f>
        <v>-4686.0725069523614</v>
      </c>
      <c r="BB456" s="527" cm="1">
        <f t="array" ref="BB456">BB417*(INDEX(('Detailed Assumptions'!$D$59:$J$79,'Detailed Assumptions'!$L$59:$R$79,'Detailed Assumptions'!$T$59:$Z$79,'Detailed Assumptions'!$AB$59:$AH$79),$C456,2,$C$506))</f>
        <v>-4847.9550823043946</v>
      </c>
      <c r="BC456" s="527" cm="1">
        <f t="array" ref="BC456">BC417*(INDEX(('Detailed Assumptions'!$D$59:$J$79,'Detailed Assumptions'!$L$59:$R$79,'Detailed Assumptions'!$T$59:$Z$79,'Detailed Assumptions'!$AB$59:$AH$79),$C456,2,$C$506))</f>
        <v>-4847.9550823043946</v>
      </c>
      <c r="BD456" s="527" cm="1">
        <f t="array" ref="BD456">BD417*(INDEX(('Detailed Assumptions'!$D$59:$J$79,'Detailed Assumptions'!$L$59:$R$79,'Detailed Assumptions'!$T$59:$Z$79,'Detailed Assumptions'!$AB$59:$AH$79),$C456,2,$C$506))</f>
        <v>-4847.9550823043946</v>
      </c>
      <c r="BE456" s="527" cm="1">
        <f t="array" ref="BE456">BE417*(INDEX(('Detailed Assumptions'!$D$59:$J$79,'Detailed Assumptions'!$L$59:$R$79,'Detailed Assumptions'!$T$59:$Z$79,'Detailed Assumptions'!$AB$59:$AH$79),$C456,2,$C$506))</f>
        <v>-4847.9550823043946</v>
      </c>
      <c r="BF456" s="527" cm="1">
        <f t="array" ref="BF456">BF417*(INDEX(('Detailed Assumptions'!$D$59:$J$79,'Detailed Assumptions'!$L$59:$R$79,'Detailed Assumptions'!$T$59:$Z$79,'Detailed Assumptions'!$AB$59:$AH$79),$C456,2,$C$506))</f>
        <v>-4847.9550823043946</v>
      </c>
      <c r="BG456" s="527" cm="1">
        <f t="array" ref="BG456">BG417*(INDEX(('Detailed Assumptions'!$D$59:$J$79,'Detailed Assumptions'!$L$59:$R$79,'Detailed Assumptions'!$T$59:$Z$79,'Detailed Assumptions'!$AB$59:$AH$79),$C456,2,$C$506))</f>
        <v>-4847.9550823043946</v>
      </c>
      <c r="BH456" s="527" cm="1">
        <f t="array" ref="BH456">BH417*(INDEX(('Detailed Assumptions'!$D$59:$J$79,'Detailed Assumptions'!$L$59:$R$79,'Detailed Assumptions'!$T$59:$Z$79,'Detailed Assumptions'!$AB$59:$AH$79),$C456,2,$C$506))</f>
        <v>-4847.9550823043946</v>
      </c>
      <c r="BI456" s="527" cm="1">
        <f t="array" ref="BI456">BI417*(INDEX(('Detailed Assumptions'!$D$59:$J$79,'Detailed Assumptions'!$L$59:$R$79,'Detailed Assumptions'!$T$59:$Z$79,'Detailed Assumptions'!$AB$59:$AH$79),$C456,2,$C$506))</f>
        <v>-4847.9550823043946</v>
      </c>
      <c r="BJ456" s="527" cm="1">
        <f t="array" ref="BJ456">BJ417*(INDEX(('Detailed Assumptions'!$D$59:$J$79,'Detailed Assumptions'!$L$59:$R$79,'Detailed Assumptions'!$T$59:$Z$79,'Detailed Assumptions'!$AB$59:$AH$79),$C456,2,$C$506))</f>
        <v>-4847.9550823043946</v>
      </c>
      <c r="BK456" s="527" cm="1">
        <f t="array" ref="BK456">BK417*(INDEX(('Detailed Assumptions'!$D$59:$J$79,'Detailed Assumptions'!$L$59:$R$79,'Detailed Assumptions'!$T$59:$Z$79,'Detailed Assumptions'!$AB$59:$AH$79),$C456,2,$C$506))</f>
        <v>-4847.9550823043946</v>
      </c>
      <c r="BL456" s="527" cm="1">
        <f t="array" ref="BL456">BL417*(INDEX(('Detailed Assumptions'!$D$59:$J$79,'Detailed Assumptions'!$L$59:$R$79,'Detailed Assumptions'!$T$59:$Z$79,'Detailed Assumptions'!$AB$59:$AH$79),$C456,2,$C$506))</f>
        <v>-4847.9550823043946</v>
      </c>
      <c r="BM456" s="527" cm="1">
        <f t="array" ref="BM456">BM417*(INDEX(('Detailed Assumptions'!$D$59:$J$79,'Detailed Assumptions'!$L$59:$R$79,'Detailed Assumptions'!$T$59:$Z$79,'Detailed Assumptions'!$AB$59:$AH$79),$C456,2,$C$506))</f>
        <v>-4847.9550823043946</v>
      </c>
      <c r="BN456" s="527" cm="1">
        <f t="array" ref="BN456">BN417*(INDEX(('Detailed Assumptions'!$D$59:$J$79,'Detailed Assumptions'!$L$59:$R$79,'Detailed Assumptions'!$T$59:$Z$79,'Detailed Assumptions'!$AB$59:$AH$79),$C456,2,$C$506))</f>
        <v>-5010.4053602770018</v>
      </c>
      <c r="BO456" s="527" cm="1">
        <f t="array" ref="BO456">BO417*(INDEX(('Detailed Assumptions'!$D$59:$J$79,'Detailed Assumptions'!$L$59:$R$79,'Detailed Assumptions'!$T$59:$Z$79,'Detailed Assumptions'!$AB$59:$AH$79),$C456,2,$C$506))</f>
        <v>-5010.4053602770018</v>
      </c>
      <c r="BP456" s="527" cm="1">
        <f t="array" ref="BP456">BP417*(INDEX(('Detailed Assumptions'!$D$59:$J$79,'Detailed Assumptions'!$L$59:$R$79,'Detailed Assumptions'!$T$59:$Z$79,'Detailed Assumptions'!$AB$59:$AH$79),$C456,2,$C$506))</f>
        <v>-5010.4053602770018</v>
      </c>
      <c r="BQ456" s="527" cm="1">
        <f t="array" ref="BQ456">BQ417*(INDEX(('Detailed Assumptions'!$D$59:$J$79,'Detailed Assumptions'!$L$59:$R$79,'Detailed Assumptions'!$T$59:$Z$79,'Detailed Assumptions'!$AB$59:$AH$79),$C456,2,$C$506))</f>
        <v>-5010.4053602770018</v>
      </c>
      <c r="BR456" s="527" cm="1">
        <f t="array" ref="BR456">BR417*(INDEX(('Detailed Assumptions'!$D$59:$J$79,'Detailed Assumptions'!$L$59:$R$79,'Detailed Assumptions'!$T$59:$Z$79,'Detailed Assumptions'!$AB$59:$AH$79),$C456,2,$C$506))</f>
        <v>-5010.4053602770018</v>
      </c>
      <c r="BS456" s="527" cm="1">
        <f t="array" ref="BS456">BS417*(INDEX(('Detailed Assumptions'!$D$59:$J$79,'Detailed Assumptions'!$L$59:$R$79,'Detailed Assumptions'!$T$59:$Z$79,'Detailed Assumptions'!$AB$59:$AH$79),$C456,2,$C$506))</f>
        <v>-5010.4053602770018</v>
      </c>
      <c r="BT456" s="527" cm="1">
        <f t="array" ref="BT456">BT417*(INDEX(('Detailed Assumptions'!$D$59:$J$79,'Detailed Assumptions'!$L$59:$R$79,'Detailed Assumptions'!$T$59:$Z$79,'Detailed Assumptions'!$AB$59:$AH$79),$C456,2,$C$506))</f>
        <v>-5010.4053602770018</v>
      </c>
      <c r="BU456" s="527" cm="1">
        <f t="array" ref="BU456">BU417*(INDEX(('Detailed Assumptions'!$D$59:$J$79,'Detailed Assumptions'!$L$59:$R$79,'Detailed Assumptions'!$T$59:$Z$79,'Detailed Assumptions'!$AB$59:$AH$79),$C456,2,$C$506))</f>
        <v>-5010.4053602770018</v>
      </c>
      <c r="BV456" s="527" cm="1">
        <f t="array" ref="BV456">BV417*(INDEX(('Detailed Assumptions'!$D$59:$J$79,'Detailed Assumptions'!$L$59:$R$79,'Detailed Assumptions'!$T$59:$Z$79,'Detailed Assumptions'!$AB$59:$AH$79),$C456,2,$C$506))</f>
        <v>-5010.4053602770018</v>
      </c>
      <c r="BW456" s="527" cm="1">
        <f t="array" ref="BW456">BW417*(INDEX(('Detailed Assumptions'!$D$59:$J$79,'Detailed Assumptions'!$L$59:$R$79,'Detailed Assumptions'!$T$59:$Z$79,'Detailed Assumptions'!$AB$59:$AH$79),$C456,2,$C$506))</f>
        <v>-5010.4053602770018</v>
      </c>
      <c r="BX456" s="527" cm="1">
        <f t="array" ref="BX456">BX417*(INDEX(('Detailed Assumptions'!$D$59:$J$79,'Detailed Assumptions'!$L$59:$R$79,'Detailed Assumptions'!$T$59:$Z$79,'Detailed Assumptions'!$AB$59:$AH$79),$C456,2,$C$506))</f>
        <v>-5010.4053602770018</v>
      </c>
      <c r="BY456" s="527" cm="1">
        <f t="array" ref="BY456">BY417*(INDEX(('Detailed Assumptions'!$D$59:$J$79,'Detailed Assumptions'!$L$59:$R$79,'Detailed Assumptions'!$T$59:$Z$79,'Detailed Assumptions'!$AB$59:$AH$79),$C456,2,$C$506))</f>
        <v>-5010.4053602770018</v>
      </c>
    </row>
    <row r="457" spans="1:77" x14ac:dyDescent="0.3">
      <c r="A457" s="551"/>
      <c r="B457" s="647"/>
      <c r="C457" s="647"/>
      <c r="D457" s="647"/>
      <c r="E457" s="572" t="s">
        <v>36</v>
      </c>
      <c r="F457" s="572"/>
      <c r="G457" s="572"/>
      <c r="H457" s="572"/>
      <c r="I457" s="572"/>
      <c r="J457" s="572"/>
      <c r="K457" s="572"/>
      <c r="L457" s="572"/>
      <c r="M457" s="572"/>
      <c r="N457" s="572"/>
      <c r="O457" s="572"/>
      <c r="P457" s="612"/>
      <c r="Q457" s="572"/>
      <c r="R457" s="530">
        <f t="shared" ref="R457:AW457" si="639">SUM(R451:R456)</f>
        <v>-14274.988050450225</v>
      </c>
      <c r="S457" s="530">
        <f t="shared" si="639"/>
        <v>-14274.988050450225</v>
      </c>
      <c r="T457" s="530">
        <f t="shared" si="639"/>
        <v>-14274.988050450225</v>
      </c>
      <c r="U457" s="530">
        <f t="shared" si="639"/>
        <v>-14274.988050450225</v>
      </c>
      <c r="V457" s="530">
        <f t="shared" si="639"/>
        <v>-14274.988050450225</v>
      </c>
      <c r="W457" s="530">
        <f t="shared" si="639"/>
        <v>-14274.988050450225</v>
      </c>
      <c r="X457" s="530">
        <f t="shared" si="639"/>
        <v>-14638.663217188772</v>
      </c>
      <c r="Y457" s="530">
        <f t="shared" si="639"/>
        <v>-14638.663217188772</v>
      </c>
      <c r="Z457" s="530">
        <f t="shared" si="639"/>
        <v>-14638.663217188772</v>
      </c>
      <c r="AA457" s="530">
        <f t="shared" si="639"/>
        <v>-14638.663217188772</v>
      </c>
      <c r="AB457" s="530">
        <f t="shared" si="639"/>
        <v>-14638.663217188772</v>
      </c>
      <c r="AC457" s="530">
        <f t="shared" si="639"/>
        <v>-14638.663217188772</v>
      </c>
      <c r="AD457" s="530">
        <f t="shared" si="639"/>
        <v>-15123.921593545572</v>
      </c>
      <c r="AE457" s="530">
        <f t="shared" si="639"/>
        <v>-15123.921593545572</v>
      </c>
      <c r="AF457" s="530">
        <f t="shared" si="639"/>
        <v>-15123.921593545572</v>
      </c>
      <c r="AG457" s="530">
        <f t="shared" si="639"/>
        <v>-15123.921593545572</v>
      </c>
      <c r="AH457" s="530">
        <f t="shared" si="639"/>
        <v>-15123.921593545572</v>
      </c>
      <c r="AI457" s="530">
        <f t="shared" si="639"/>
        <v>-15123.921593545572</v>
      </c>
      <c r="AJ457" s="530">
        <f t="shared" si="639"/>
        <v>-15590.333493832943</v>
      </c>
      <c r="AK457" s="530">
        <f t="shared" si="639"/>
        <v>-15590.333493832943</v>
      </c>
      <c r="AL457" s="530">
        <f t="shared" si="639"/>
        <v>-15590.333493832943</v>
      </c>
      <c r="AM457" s="530">
        <f t="shared" si="639"/>
        <v>-15590.333493832943</v>
      </c>
      <c r="AN457" s="530">
        <f t="shared" si="639"/>
        <v>-15590.333493832943</v>
      </c>
      <c r="AO457" s="530">
        <f t="shared" si="639"/>
        <v>-15590.333493832943</v>
      </c>
      <c r="AP457" s="530">
        <f t="shared" si="639"/>
        <v>-15993.369481928901</v>
      </c>
      <c r="AQ457" s="530">
        <f t="shared" si="639"/>
        <v>-15993.369481928901</v>
      </c>
      <c r="AR457" s="530">
        <f t="shared" si="639"/>
        <v>-15993.369481928901</v>
      </c>
      <c r="AS457" s="530">
        <f t="shared" si="639"/>
        <v>-15993.369481928901</v>
      </c>
      <c r="AT457" s="530">
        <f t="shared" si="639"/>
        <v>-15993.369481928901</v>
      </c>
      <c r="AU457" s="530">
        <f t="shared" si="639"/>
        <v>-15993.369481928901</v>
      </c>
      <c r="AV457" s="530">
        <f t="shared" si="639"/>
        <v>-16569.380801574844</v>
      </c>
      <c r="AW457" s="530">
        <f t="shared" si="639"/>
        <v>-16569.380801574844</v>
      </c>
      <c r="AX457" s="530">
        <f t="shared" ref="AX457:BY457" si="640">SUM(AX451:AX456)</f>
        <v>-16569.380801574844</v>
      </c>
      <c r="AY457" s="530">
        <f t="shared" si="640"/>
        <v>-16569.380801574844</v>
      </c>
      <c r="AZ457" s="530">
        <f t="shared" si="640"/>
        <v>-16569.380801574844</v>
      </c>
      <c r="BA457" s="530">
        <f t="shared" si="640"/>
        <v>-16569.380801574844</v>
      </c>
      <c r="BB457" s="530">
        <f t="shared" si="640"/>
        <v>-16879.270302963021</v>
      </c>
      <c r="BC457" s="530">
        <f t="shared" si="640"/>
        <v>-16879.270302963021</v>
      </c>
      <c r="BD457" s="530">
        <f t="shared" si="640"/>
        <v>-16879.270302963021</v>
      </c>
      <c r="BE457" s="530">
        <f t="shared" si="640"/>
        <v>-16879.270302963021</v>
      </c>
      <c r="BF457" s="530">
        <f t="shared" si="640"/>
        <v>-16879.270302963021</v>
      </c>
      <c r="BG457" s="530">
        <f t="shared" si="640"/>
        <v>-16879.270302963021</v>
      </c>
      <c r="BH457" s="530">
        <f t="shared" si="640"/>
        <v>-17571.883968355261</v>
      </c>
      <c r="BI457" s="530">
        <f t="shared" si="640"/>
        <v>-17571.883968355261</v>
      </c>
      <c r="BJ457" s="530">
        <f t="shared" si="640"/>
        <v>-17571.883968355261</v>
      </c>
      <c r="BK457" s="530">
        <f t="shared" si="640"/>
        <v>-17571.883968355261</v>
      </c>
      <c r="BL457" s="530">
        <f t="shared" si="640"/>
        <v>-17571.883968355261</v>
      </c>
      <c r="BM457" s="530">
        <f t="shared" si="640"/>
        <v>-17571.883968355261</v>
      </c>
      <c r="BN457" s="530">
        <f t="shared" si="640"/>
        <v>-17808.597230543921</v>
      </c>
      <c r="BO457" s="530">
        <f t="shared" si="640"/>
        <v>-17808.597230543921</v>
      </c>
      <c r="BP457" s="530">
        <f t="shared" si="640"/>
        <v>-17808.597230543921</v>
      </c>
      <c r="BQ457" s="530">
        <f t="shared" si="640"/>
        <v>-17808.597230543921</v>
      </c>
      <c r="BR457" s="530">
        <f t="shared" si="640"/>
        <v>-17808.597230543921</v>
      </c>
      <c r="BS457" s="530">
        <f t="shared" si="640"/>
        <v>-17808.597230543921</v>
      </c>
      <c r="BT457" s="530">
        <f t="shared" si="640"/>
        <v>-18625.148798800154</v>
      </c>
      <c r="BU457" s="530">
        <f t="shared" si="640"/>
        <v>-18625.148798800154</v>
      </c>
      <c r="BV457" s="530">
        <f t="shared" si="640"/>
        <v>-18625.148798800154</v>
      </c>
      <c r="BW457" s="530">
        <f t="shared" si="640"/>
        <v>-18625.148798800154</v>
      </c>
      <c r="BX457" s="530">
        <f t="shared" si="640"/>
        <v>-18625.148798800154</v>
      </c>
      <c r="BY457" s="530">
        <f t="shared" si="640"/>
        <v>-18625.148798800154</v>
      </c>
    </row>
    <row r="458" spans="1:77" x14ac:dyDescent="0.3">
      <c r="A458" s="551"/>
      <c r="B458" s="647"/>
      <c r="C458" s="647"/>
      <c r="D458" s="647"/>
      <c r="E458" s="525"/>
      <c r="F458" s="525"/>
      <c r="G458" s="525"/>
      <c r="H458" s="525"/>
      <c r="I458" s="525"/>
      <c r="J458" s="525"/>
      <c r="K458" s="525"/>
      <c r="L458" s="525"/>
      <c r="M458" s="525"/>
      <c r="N458" s="525"/>
      <c r="O458" s="525"/>
      <c r="P458" s="565"/>
      <c r="Q458" s="525"/>
      <c r="R458" s="525"/>
      <c r="S458" s="525"/>
      <c r="T458" s="525"/>
      <c r="U458" s="525"/>
      <c r="V458" s="525"/>
      <c r="W458" s="525"/>
      <c r="X458" s="525"/>
      <c r="Y458" s="525"/>
      <c r="Z458" s="525"/>
      <c r="AA458" s="525"/>
      <c r="AB458" s="525"/>
      <c r="AC458" s="525"/>
      <c r="AD458" s="525"/>
      <c r="AE458" s="525"/>
      <c r="AF458" s="525"/>
      <c r="AG458" s="525"/>
      <c r="AH458" s="525"/>
      <c r="AI458" s="525"/>
      <c r="AJ458" s="525"/>
      <c r="AK458" s="525"/>
      <c r="AL458" s="525"/>
      <c r="AM458" s="525"/>
      <c r="AN458" s="525"/>
      <c r="AO458" s="525"/>
      <c r="AP458" s="525"/>
      <c r="AQ458" s="525"/>
      <c r="AR458" s="525"/>
      <c r="AS458" s="525"/>
      <c r="AT458" s="525"/>
      <c r="AU458" s="525"/>
      <c r="AV458" s="525"/>
      <c r="AW458" s="525"/>
      <c r="AX458" s="525"/>
      <c r="AY458" s="525"/>
      <c r="AZ458" s="525"/>
      <c r="BA458" s="525"/>
      <c r="BB458" s="525"/>
      <c r="BC458" s="525"/>
      <c r="BD458" s="525"/>
      <c r="BE458" s="525"/>
      <c r="BF458" s="525"/>
      <c r="BG458" s="525"/>
      <c r="BH458" s="525"/>
      <c r="BI458" s="525"/>
      <c r="BJ458" s="525"/>
      <c r="BK458" s="525"/>
      <c r="BL458" s="525"/>
      <c r="BM458" s="525"/>
      <c r="BN458" s="525"/>
      <c r="BO458" s="525"/>
      <c r="BP458" s="525"/>
      <c r="BQ458" s="525"/>
      <c r="BR458" s="525"/>
      <c r="BS458" s="525"/>
      <c r="BT458" s="525"/>
      <c r="BU458" s="525"/>
      <c r="BV458" s="525"/>
      <c r="BW458" s="525"/>
      <c r="BX458" s="525"/>
      <c r="BY458" s="525"/>
    </row>
    <row r="459" spans="1:77" x14ac:dyDescent="0.3">
      <c r="A459" s="551"/>
      <c r="B459" s="548"/>
      <c r="C459" s="584" t="s">
        <v>37</v>
      </c>
      <c r="D459" s="525"/>
      <c r="E459" s="538" t="s">
        <v>373</v>
      </c>
      <c r="F459" s="538"/>
      <c r="G459" s="538"/>
      <c r="H459" s="538"/>
      <c r="I459" s="538"/>
      <c r="J459" s="538"/>
      <c r="K459" s="538"/>
      <c r="L459" s="538"/>
      <c r="M459" s="538"/>
      <c r="N459" s="538"/>
      <c r="O459" s="538"/>
      <c r="P459" s="584"/>
      <c r="Q459" s="538"/>
      <c r="R459" s="538"/>
      <c r="S459" s="538"/>
      <c r="T459" s="538"/>
      <c r="U459" s="538"/>
      <c r="V459" s="538"/>
      <c r="W459" s="538"/>
      <c r="X459" s="538"/>
      <c r="Y459" s="538"/>
      <c r="Z459" s="538"/>
      <c r="AA459" s="538"/>
      <c r="AB459" s="538"/>
      <c r="AC459" s="538"/>
      <c r="AD459" s="538"/>
      <c r="AE459" s="538"/>
      <c r="AF459" s="538"/>
      <c r="AG459" s="538"/>
      <c r="AH459" s="538"/>
      <c r="AI459" s="538"/>
      <c r="AJ459" s="538"/>
      <c r="AK459" s="538"/>
      <c r="AL459" s="538"/>
      <c r="AM459" s="538"/>
      <c r="AN459" s="538"/>
      <c r="AO459" s="538"/>
      <c r="AP459" s="538"/>
      <c r="AQ459" s="538"/>
      <c r="AR459" s="538"/>
      <c r="AS459" s="538"/>
      <c r="AT459" s="538"/>
      <c r="AU459" s="538"/>
      <c r="AV459" s="538"/>
      <c r="AW459" s="538"/>
      <c r="AX459" s="538"/>
      <c r="AY459" s="538"/>
      <c r="AZ459" s="538"/>
      <c r="BA459" s="538"/>
      <c r="BB459" s="538"/>
      <c r="BC459" s="538"/>
      <c r="BD459" s="538"/>
      <c r="BE459" s="538"/>
      <c r="BF459" s="538"/>
      <c r="BG459" s="538"/>
      <c r="BH459" s="538"/>
      <c r="BI459" s="538"/>
      <c r="BJ459" s="538"/>
      <c r="BK459" s="538"/>
      <c r="BL459" s="538"/>
      <c r="BM459" s="538"/>
      <c r="BN459" s="538"/>
      <c r="BO459" s="538"/>
      <c r="BP459" s="538"/>
      <c r="BQ459" s="538"/>
      <c r="BR459" s="538"/>
      <c r="BS459" s="538"/>
      <c r="BT459" s="538"/>
      <c r="BU459" s="538"/>
      <c r="BV459" s="538"/>
      <c r="BW459" s="538"/>
      <c r="BX459" s="538"/>
      <c r="BY459" s="538"/>
    </row>
    <row r="460" spans="1:77" x14ac:dyDescent="0.3">
      <c r="A460" s="551"/>
      <c r="B460" s="548"/>
      <c r="C460" s="525"/>
      <c r="D460" s="525"/>
      <c r="E460" s="525"/>
      <c r="F460" s="525"/>
      <c r="G460" s="525"/>
      <c r="H460" s="525"/>
      <c r="I460" s="525"/>
      <c r="J460" s="525"/>
      <c r="K460" s="525"/>
      <c r="L460" s="525"/>
      <c r="M460" s="525"/>
      <c r="N460" s="525"/>
      <c r="O460" s="525"/>
      <c r="P460" s="565"/>
      <c r="Q460" s="525"/>
      <c r="R460" s="525"/>
      <c r="S460" s="525"/>
      <c r="T460" s="525"/>
      <c r="U460" s="525"/>
      <c r="V460" s="525"/>
      <c r="W460" s="525"/>
      <c r="X460" s="525"/>
      <c r="Y460" s="525"/>
      <c r="Z460" s="525"/>
      <c r="AA460" s="525"/>
      <c r="AB460" s="525"/>
      <c r="AC460" s="525"/>
      <c r="AD460" s="525"/>
      <c r="AE460" s="525"/>
      <c r="AF460" s="525"/>
      <c r="AG460" s="525"/>
      <c r="AH460" s="525"/>
      <c r="AI460" s="525"/>
      <c r="AJ460" s="525"/>
      <c r="AK460" s="525"/>
      <c r="AL460" s="525"/>
      <c r="AM460" s="525"/>
      <c r="AN460" s="525"/>
      <c r="AO460" s="525"/>
      <c r="AP460" s="525"/>
      <c r="AQ460" s="525"/>
      <c r="AR460" s="525"/>
      <c r="AS460" s="525"/>
      <c r="AT460" s="525"/>
      <c r="AU460" s="525"/>
      <c r="AV460" s="525"/>
      <c r="AW460" s="525"/>
      <c r="AX460" s="525"/>
      <c r="AY460" s="525"/>
      <c r="AZ460" s="525"/>
      <c r="BA460" s="525"/>
      <c r="BB460" s="525"/>
      <c r="BC460" s="525"/>
      <c r="BD460" s="525"/>
      <c r="BE460" s="525"/>
      <c r="BF460" s="525"/>
      <c r="BG460" s="525"/>
      <c r="BH460" s="525"/>
      <c r="BI460" s="525"/>
      <c r="BJ460" s="525"/>
      <c r="BK460" s="525"/>
      <c r="BL460" s="525"/>
      <c r="BM460" s="525"/>
      <c r="BN460" s="525"/>
      <c r="BO460" s="525"/>
      <c r="BP460" s="525"/>
      <c r="BQ460" s="525"/>
      <c r="BR460" s="525"/>
      <c r="BS460" s="525"/>
      <c r="BT460" s="525"/>
      <c r="BU460" s="525"/>
      <c r="BV460" s="525"/>
      <c r="BW460" s="525"/>
      <c r="BX460" s="525"/>
      <c r="BY460" s="525"/>
    </row>
    <row r="461" spans="1:77" x14ac:dyDescent="0.3">
      <c r="A461" s="551"/>
      <c r="B461" s="548"/>
      <c r="C461" s="525"/>
      <c r="D461" s="525"/>
      <c r="E461" s="614" t="s">
        <v>110</v>
      </c>
      <c r="F461" s="539"/>
      <c r="G461" s="539"/>
      <c r="H461" s="539"/>
      <c r="I461" s="539"/>
      <c r="J461" s="539"/>
      <c r="K461" s="539"/>
      <c r="L461" s="539"/>
      <c r="M461" s="539"/>
      <c r="N461" s="539"/>
      <c r="O461" s="539"/>
      <c r="P461" s="615"/>
      <c r="Q461" s="539"/>
      <c r="R461" s="539"/>
      <c r="S461" s="539"/>
      <c r="T461" s="539"/>
      <c r="U461" s="539"/>
      <c r="V461" s="539"/>
      <c r="W461" s="539"/>
      <c r="X461" s="539"/>
      <c r="Y461" s="539"/>
      <c r="Z461" s="539"/>
      <c r="AA461" s="539"/>
      <c r="AB461" s="539"/>
      <c r="AC461" s="539"/>
      <c r="AD461" s="539"/>
      <c r="AE461" s="539"/>
      <c r="AF461" s="539"/>
      <c r="AG461" s="539"/>
      <c r="AH461" s="539"/>
      <c r="AI461" s="539"/>
      <c r="AJ461" s="539"/>
      <c r="AK461" s="539"/>
      <c r="AL461" s="539"/>
      <c r="AM461" s="539"/>
      <c r="AN461" s="539"/>
      <c r="AO461" s="539"/>
      <c r="AP461" s="539"/>
      <c r="AQ461" s="539"/>
      <c r="AR461" s="539"/>
      <c r="AS461" s="539"/>
      <c r="AT461" s="539"/>
      <c r="AU461" s="539"/>
      <c r="AV461" s="539"/>
      <c r="AW461" s="539"/>
      <c r="AX461" s="539"/>
      <c r="AY461" s="539"/>
      <c r="AZ461" s="539"/>
      <c r="BA461" s="539"/>
      <c r="BB461" s="539"/>
      <c r="BC461" s="539"/>
      <c r="BD461" s="539"/>
      <c r="BE461" s="539"/>
      <c r="BF461" s="539"/>
      <c r="BG461" s="539"/>
      <c r="BH461" s="539"/>
      <c r="BI461" s="539"/>
      <c r="BJ461" s="539"/>
      <c r="BK461" s="539"/>
      <c r="BL461" s="539"/>
      <c r="BM461" s="539"/>
      <c r="BN461" s="539"/>
      <c r="BO461" s="539"/>
      <c r="BP461" s="539"/>
      <c r="BQ461" s="539"/>
      <c r="BR461" s="539"/>
      <c r="BS461" s="539"/>
      <c r="BT461" s="539"/>
      <c r="BU461" s="539"/>
      <c r="BV461" s="539"/>
      <c r="BW461" s="539"/>
      <c r="BX461" s="539"/>
      <c r="BY461" s="539"/>
    </row>
    <row r="462" spans="1:77" x14ac:dyDescent="0.3">
      <c r="A462" s="551"/>
      <c r="B462" s="548"/>
      <c r="C462" s="525"/>
      <c r="D462" s="525"/>
      <c r="E462" s="525"/>
      <c r="F462" s="525"/>
      <c r="G462" s="525"/>
      <c r="H462" s="525"/>
      <c r="I462" s="525"/>
      <c r="J462" s="525"/>
      <c r="K462" s="525"/>
      <c r="L462" s="525"/>
      <c r="M462" s="525"/>
      <c r="N462" s="525"/>
      <c r="O462" s="525"/>
      <c r="P462" s="565"/>
      <c r="Q462" s="525"/>
      <c r="R462" s="525"/>
      <c r="S462" s="525"/>
      <c r="T462" s="525"/>
      <c r="U462" s="525"/>
      <c r="V462" s="525"/>
      <c r="W462" s="525"/>
      <c r="X462" s="525"/>
      <c r="Y462" s="525"/>
      <c r="Z462" s="525"/>
      <c r="AA462" s="525"/>
      <c r="AB462" s="525"/>
      <c r="AC462" s="525"/>
      <c r="AD462" s="525"/>
      <c r="AE462" s="525"/>
      <c r="AF462" s="525"/>
      <c r="AG462" s="525"/>
      <c r="AH462" s="525"/>
      <c r="AI462" s="525"/>
      <c r="AJ462" s="525"/>
      <c r="AK462" s="525"/>
      <c r="AL462" s="525"/>
      <c r="AM462" s="525"/>
      <c r="AN462" s="525"/>
      <c r="AO462" s="525"/>
      <c r="AP462" s="525"/>
      <c r="AQ462" s="525"/>
      <c r="AR462" s="525"/>
      <c r="AS462" s="525"/>
      <c r="AT462" s="525"/>
      <c r="AU462" s="525"/>
      <c r="AV462" s="525"/>
      <c r="AW462" s="525"/>
      <c r="AX462" s="525"/>
      <c r="AY462" s="525"/>
      <c r="AZ462" s="525"/>
      <c r="BA462" s="525"/>
      <c r="BB462" s="525"/>
      <c r="BC462" s="525"/>
      <c r="BD462" s="525"/>
      <c r="BE462" s="525"/>
      <c r="BF462" s="525"/>
      <c r="BG462" s="525"/>
      <c r="BH462" s="525"/>
      <c r="BI462" s="525"/>
      <c r="BJ462" s="525"/>
      <c r="BK462" s="525"/>
      <c r="BL462" s="525"/>
      <c r="BM462" s="525"/>
      <c r="BN462" s="525"/>
      <c r="BO462" s="525"/>
      <c r="BP462" s="525"/>
      <c r="BQ462" s="525"/>
      <c r="BR462" s="525"/>
      <c r="BS462" s="525"/>
      <c r="BT462" s="525"/>
      <c r="BU462" s="525"/>
      <c r="BV462" s="525"/>
      <c r="BW462" s="525"/>
      <c r="BX462" s="525"/>
      <c r="BY462" s="525"/>
    </row>
    <row r="463" spans="1:77" x14ac:dyDescent="0.3">
      <c r="A463" s="551"/>
      <c r="B463" s="548"/>
      <c r="C463" s="525"/>
      <c r="D463" s="525"/>
      <c r="E463" s="650" t="str">
        <f>"Volumes: "&amp;E$155</f>
        <v>Volumes: FY27 Tranche</v>
      </c>
      <c r="F463" s="525"/>
      <c r="G463" s="525"/>
      <c r="H463" s="525"/>
      <c r="I463" s="525"/>
      <c r="J463" s="525"/>
      <c r="K463" s="525"/>
      <c r="L463" s="525"/>
      <c r="M463" s="525"/>
      <c r="N463" s="525"/>
      <c r="O463" s="525"/>
      <c r="P463" s="565"/>
      <c r="Q463" s="525"/>
      <c r="R463" s="527">
        <f t="shared" ref="R463:AW463" si="641">R246/R$509</f>
        <v>182.54901834171886</v>
      </c>
      <c r="S463" s="527">
        <f t="shared" si="641"/>
        <v>182.54901834171886</v>
      </c>
      <c r="T463" s="527">
        <f t="shared" si="641"/>
        <v>182.54901834171886</v>
      </c>
      <c r="U463" s="527">
        <f t="shared" si="641"/>
        <v>182.54901834171886</v>
      </c>
      <c r="V463" s="527">
        <f t="shared" si="641"/>
        <v>182.54901834171886</v>
      </c>
      <c r="W463" s="527">
        <f t="shared" si="641"/>
        <v>182.54901834171886</v>
      </c>
      <c r="X463" s="527">
        <f t="shared" si="641"/>
        <v>216.35111682126475</v>
      </c>
      <c r="Y463" s="527">
        <f t="shared" si="641"/>
        <v>216.35111682126475</v>
      </c>
      <c r="Z463" s="527">
        <f t="shared" si="641"/>
        <v>216.35111682126475</v>
      </c>
      <c r="AA463" s="527">
        <f t="shared" si="641"/>
        <v>216.35111682126475</v>
      </c>
      <c r="AB463" s="527">
        <f t="shared" si="641"/>
        <v>216.35111682126475</v>
      </c>
      <c r="AC463" s="527">
        <f t="shared" si="641"/>
        <v>216.35111682126475</v>
      </c>
      <c r="AD463" s="527">
        <f t="shared" si="641"/>
        <v>207.77587098136578</v>
      </c>
      <c r="AE463" s="527">
        <f t="shared" si="641"/>
        <v>207.77587098136578</v>
      </c>
      <c r="AF463" s="527">
        <f t="shared" si="641"/>
        <v>207.77587098136578</v>
      </c>
      <c r="AG463" s="527">
        <f t="shared" si="641"/>
        <v>207.77587098136578</v>
      </c>
      <c r="AH463" s="527">
        <f t="shared" si="641"/>
        <v>207.77587098136578</v>
      </c>
      <c r="AI463" s="527">
        <f t="shared" si="641"/>
        <v>207.77587098136578</v>
      </c>
      <c r="AJ463" s="527">
        <f t="shared" si="641"/>
        <v>216.08817949977697</v>
      </c>
      <c r="AK463" s="527">
        <f t="shared" si="641"/>
        <v>216.08817949977697</v>
      </c>
      <c r="AL463" s="527">
        <f t="shared" si="641"/>
        <v>216.08817949977697</v>
      </c>
      <c r="AM463" s="527">
        <f t="shared" si="641"/>
        <v>216.08817949977697</v>
      </c>
      <c r="AN463" s="527">
        <f t="shared" si="641"/>
        <v>216.08817949977697</v>
      </c>
      <c r="AO463" s="527">
        <f t="shared" si="641"/>
        <v>216.08817949977697</v>
      </c>
      <c r="AP463" s="527">
        <f t="shared" si="641"/>
        <v>207.98572627544732</v>
      </c>
      <c r="AQ463" s="527">
        <f t="shared" si="641"/>
        <v>207.98572627544732</v>
      </c>
      <c r="AR463" s="527">
        <f t="shared" si="641"/>
        <v>207.98572627544732</v>
      </c>
      <c r="AS463" s="527">
        <f t="shared" si="641"/>
        <v>207.98572627544732</v>
      </c>
      <c r="AT463" s="527">
        <f t="shared" si="641"/>
        <v>207.98572627544732</v>
      </c>
      <c r="AU463" s="527">
        <f t="shared" si="641"/>
        <v>207.98572627544732</v>
      </c>
      <c r="AV463" s="527">
        <f t="shared" si="641"/>
        <v>216.2313557446854</v>
      </c>
      <c r="AW463" s="527">
        <f t="shared" si="641"/>
        <v>216.2313557446854</v>
      </c>
      <c r="AX463" s="527">
        <f t="shared" ref="AX463:BY463" si="642">AX246/AX$509</f>
        <v>216.2313557446854</v>
      </c>
      <c r="AY463" s="527">
        <f t="shared" si="642"/>
        <v>216.2313557446854</v>
      </c>
      <c r="AZ463" s="527">
        <f t="shared" si="642"/>
        <v>216.2313557446854</v>
      </c>
      <c r="BA463" s="527">
        <f t="shared" si="642"/>
        <v>216.2313557446854</v>
      </c>
      <c r="BB463" s="527">
        <f t="shared" si="642"/>
        <v>208.78904289266498</v>
      </c>
      <c r="BC463" s="527">
        <f t="shared" si="642"/>
        <v>208.78904289266498</v>
      </c>
      <c r="BD463" s="527">
        <f t="shared" si="642"/>
        <v>208.78904289266498</v>
      </c>
      <c r="BE463" s="527">
        <f t="shared" si="642"/>
        <v>208.78904289266498</v>
      </c>
      <c r="BF463" s="527">
        <f t="shared" si="642"/>
        <v>208.78904289266498</v>
      </c>
      <c r="BG463" s="527">
        <f t="shared" si="642"/>
        <v>208.78904289266498</v>
      </c>
      <c r="BH463" s="527">
        <f t="shared" si="642"/>
        <v>216.98953557699321</v>
      </c>
      <c r="BI463" s="527">
        <f t="shared" si="642"/>
        <v>216.98953557699321</v>
      </c>
      <c r="BJ463" s="527">
        <f t="shared" si="642"/>
        <v>216.98953557699321</v>
      </c>
      <c r="BK463" s="527">
        <f t="shared" si="642"/>
        <v>216.98953557699321</v>
      </c>
      <c r="BL463" s="527">
        <f t="shared" si="642"/>
        <v>216.98953557699321</v>
      </c>
      <c r="BM463" s="527">
        <f t="shared" si="642"/>
        <v>216.98953557699321</v>
      </c>
      <c r="BN463" s="527">
        <f t="shared" si="642"/>
        <v>209.76479534772128</v>
      </c>
      <c r="BO463" s="527">
        <f t="shared" si="642"/>
        <v>209.76479534772128</v>
      </c>
      <c r="BP463" s="527">
        <f t="shared" si="642"/>
        <v>209.76479534772128</v>
      </c>
      <c r="BQ463" s="527">
        <f t="shared" si="642"/>
        <v>209.76479534772128</v>
      </c>
      <c r="BR463" s="527">
        <f t="shared" si="642"/>
        <v>209.76479534772128</v>
      </c>
      <c r="BS463" s="527">
        <f t="shared" si="642"/>
        <v>209.76479534772128</v>
      </c>
      <c r="BT463" s="527">
        <f t="shared" si="642"/>
        <v>217.92331342346722</v>
      </c>
      <c r="BU463" s="527">
        <f t="shared" si="642"/>
        <v>217.92331342346722</v>
      </c>
      <c r="BV463" s="527">
        <f t="shared" si="642"/>
        <v>217.92331342346722</v>
      </c>
      <c r="BW463" s="527">
        <f t="shared" si="642"/>
        <v>217.92331342346722</v>
      </c>
      <c r="BX463" s="527">
        <f t="shared" si="642"/>
        <v>217.92331342346722</v>
      </c>
      <c r="BY463" s="527">
        <f t="shared" si="642"/>
        <v>217.92331342346722</v>
      </c>
    </row>
    <row r="464" spans="1:77" x14ac:dyDescent="0.3">
      <c r="A464" s="551"/>
      <c r="B464" s="548"/>
      <c r="C464" s="525"/>
      <c r="D464" s="525"/>
      <c r="E464" s="650" t="str">
        <f>"Volumes: "&amp;E$156</f>
        <v>Volumes: FY28 Tranche</v>
      </c>
      <c r="F464" s="525"/>
      <c r="G464" s="525"/>
      <c r="H464" s="525"/>
      <c r="I464" s="525"/>
      <c r="J464" s="525"/>
      <c r="K464" s="525"/>
      <c r="L464" s="525"/>
      <c r="M464" s="525"/>
      <c r="N464" s="525"/>
      <c r="O464" s="525"/>
      <c r="P464" s="565"/>
      <c r="Q464" s="525"/>
      <c r="R464" s="527">
        <f t="shared" ref="R464:AW464" si="643">R247/R$509</f>
        <v>182.54901834171886</v>
      </c>
      <c r="S464" s="527">
        <f t="shared" si="643"/>
        <v>182.54901834171886</v>
      </c>
      <c r="T464" s="527">
        <f t="shared" si="643"/>
        <v>182.54901834171886</v>
      </c>
      <c r="U464" s="527">
        <f t="shared" si="643"/>
        <v>182.54901834171886</v>
      </c>
      <c r="V464" s="527">
        <f t="shared" si="643"/>
        <v>182.54901834171886</v>
      </c>
      <c r="W464" s="527">
        <f t="shared" si="643"/>
        <v>182.54901834171886</v>
      </c>
      <c r="X464" s="527">
        <f t="shared" si="643"/>
        <v>182.54901834171886</v>
      </c>
      <c r="Y464" s="527">
        <f t="shared" si="643"/>
        <v>182.54901834171886</v>
      </c>
      <c r="Z464" s="527">
        <f t="shared" si="643"/>
        <v>182.54901834171886</v>
      </c>
      <c r="AA464" s="527">
        <f t="shared" si="643"/>
        <v>182.54901834171886</v>
      </c>
      <c r="AB464" s="527">
        <f t="shared" si="643"/>
        <v>182.54901834171886</v>
      </c>
      <c r="AC464" s="527">
        <f t="shared" si="643"/>
        <v>182.54901834171886</v>
      </c>
      <c r="AD464" s="527">
        <f t="shared" si="643"/>
        <v>182.54901834171883</v>
      </c>
      <c r="AE464" s="527">
        <f t="shared" si="643"/>
        <v>182.54901834171883</v>
      </c>
      <c r="AF464" s="527">
        <f t="shared" si="643"/>
        <v>182.54901834171883</v>
      </c>
      <c r="AG464" s="527">
        <f t="shared" si="643"/>
        <v>182.54901834171883</v>
      </c>
      <c r="AH464" s="527">
        <f t="shared" si="643"/>
        <v>182.54901834171883</v>
      </c>
      <c r="AI464" s="527">
        <f t="shared" si="643"/>
        <v>182.54901834171883</v>
      </c>
      <c r="AJ464" s="527">
        <f t="shared" si="643"/>
        <v>215.48516553471063</v>
      </c>
      <c r="AK464" s="527">
        <f t="shared" si="643"/>
        <v>215.48516553471063</v>
      </c>
      <c r="AL464" s="527">
        <f t="shared" si="643"/>
        <v>215.48516553471063</v>
      </c>
      <c r="AM464" s="527">
        <f t="shared" si="643"/>
        <v>215.48516553471063</v>
      </c>
      <c r="AN464" s="527">
        <f t="shared" si="643"/>
        <v>215.48516553471063</v>
      </c>
      <c r="AO464" s="527">
        <f t="shared" si="643"/>
        <v>215.48516553471063</v>
      </c>
      <c r="AP464" s="527">
        <f t="shared" si="643"/>
        <v>207.41055632049671</v>
      </c>
      <c r="AQ464" s="527">
        <f t="shared" si="643"/>
        <v>207.41055632049671</v>
      </c>
      <c r="AR464" s="527">
        <f t="shared" si="643"/>
        <v>207.41055632049671</v>
      </c>
      <c r="AS464" s="527">
        <f t="shared" si="643"/>
        <v>207.41055632049671</v>
      </c>
      <c r="AT464" s="527">
        <f t="shared" si="643"/>
        <v>207.41055632049671</v>
      </c>
      <c r="AU464" s="527">
        <f t="shared" si="643"/>
        <v>207.41055632049671</v>
      </c>
      <c r="AV464" s="527">
        <f t="shared" si="643"/>
        <v>215.63317899153671</v>
      </c>
      <c r="AW464" s="527">
        <f t="shared" si="643"/>
        <v>215.63317899153671</v>
      </c>
      <c r="AX464" s="527">
        <f t="shared" ref="AX464:BY464" si="644">AX247/AX$509</f>
        <v>215.63317899153671</v>
      </c>
      <c r="AY464" s="527">
        <f t="shared" si="644"/>
        <v>215.63317899153671</v>
      </c>
      <c r="AZ464" s="527">
        <f t="shared" si="644"/>
        <v>215.63317899153671</v>
      </c>
      <c r="BA464" s="527">
        <f t="shared" si="644"/>
        <v>215.63317899153671</v>
      </c>
      <c r="BB464" s="527">
        <f t="shared" si="644"/>
        <v>208.21702143264</v>
      </c>
      <c r="BC464" s="527">
        <f t="shared" si="644"/>
        <v>208.21702143264</v>
      </c>
      <c r="BD464" s="527">
        <f t="shared" si="644"/>
        <v>208.21702143264</v>
      </c>
      <c r="BE464" s="527">
        <f t="shared" si="644"/>
        <v>208.21702143264</v>
      </c>
      <c r="BF464" s="527">
        <f t="shared" si="644"/>
        <v>208.21702143264</v>
      </c>
      <c r="BG464" s="527">
        <f t="shared" si="644"/>
        <v>208.21702143264</v>
      </c>
      <c r="BH464" s="527">
        <f t="shared" si="644"/>
        <v>216.39463325856718</v>
      </c>
      <c r="BI464" s="527">
        <f t="shared" si="644"/>
        <v>216.39463325856718</v>
      </c>
      <c r="BJ464" s="527">
        <f t="shared" si="644"/>
        <v>216.39463325856718</v>
      </c>
      <c r="BK464" s="527">
        <f t="shared" si="644"/>
        <v>216.39463325856718</v>
      </c>
      <c r="BL464" s="527">
        <f t="shared" si="644"/>
        <v>216.39463325856718</v>
      </c>
      <c r="BM464" s="527">
        <f t="shared" si="644"/>
        <v>216.39463325856718</v>
      </c>
      <c r="BN464" s="527">
        <f t="shared" si="644"/>
        <v>209.19570180651888</v>
      </c>
      <c r="BO464" s="527">
        <f t="shared" si="644"/>
        <v>209.19570180651888</v>
      </c>
      <c r="BP464" s="527">
        <f t="shared" si="644"/>
        <v>209.19570180651888</v>
      </c>
      <c r="BQ464" s="527">
        <f t="shared" si="644"/>
        <v>209.19570180651888</v>
      </c>
      <c r="BR464" s="527">
        <f t="shared" si="644"/>
        <v>209.19570180651888</v>
      </c>
      <c r="BS464" s="527">
        <f t="shared" si="644"/>
        <v>209.19570180651888</v>
      </c>
      <c r="BT464" s="527">
        <f t="shared" si="644"/>
        <v>217.33145614061678</v>
      </c>
      <c r="BU464" s="527">
        <f t="shared" si="644"/>
        <v>217.33145614061678</v>
      </c>
      <c r="BV464" s="527">
        <f t="shared" si="644"/>
        <v>217.33145614061678</v>
      </c>
      <c r="BW464" s="527">
        <f t="shared" si="644"/>
        <v>217.33145614061678</v>
      </c>
      <c r="BX464" s="527">
        <f t="shared" si="644"/>
        <v>217.33145614061678</v>
      </c>
      <c r="BY464" s="527">
        <f t="shared" si="644"/>
        <v>217.33145614061678</v>
      </c>
    </row>
    <row r="465" spans="1:77" x14ac:dyDescent="0.3">
      <c r="A465" s="551"/>
      <c r="B465" s="548"/>
      <c r="C465" s="525"/>
      <c r="D465" s="525"/>
      <c r="E465" s="650" t="str">
        <f>"Volumes: "&amp;E$157</f>
        <v>Volumes: FY29 Tranche</v>
      </c>
      <c r="F465" s="525"/>
      <c r="G465" s="525"/>
      <c r="H465" s="525"/>
      <c r="I465" s="525"/>
      <c r="J465" s="525"/>
      <c r="K465" s="525"/>
      <c r="L465" s="525"/>
      <c r="M465" s="525"/>
      <c r="N465" s="525"/>
      <c r="O465" s="525"/>
      <c r="P465" s="565"/>
      <c r="Q465" s="525"/>
      <c r="R465" s="527">
        <f t="shared" ref="R465:AW465" si="645">R248/R$509</f>
        <v>182.54901834171886</v>
      </c>
      <c r="S465" s="527">
        <f t="shared" si="645"/>
        <v>182.54901834171886</v>
      </c>
      <c r="T465" s="527">
        <f t="shared" si="645"/>
        <v>182.54901834171886</v>
      </c>
      <c r="U465" s="527">
        <f t="shared" si="645"/>
        <v>182.54901834171886</v>
      </c>
      <c r="V465" s="527">
        <f t="shared" si="645"/>
        <v>182.54901834171886</v>
      </c>
      <c r="W465" s="527">
        <f t="shared" si="645"/>
        <v>182.54901834171886</v>
      </c>
      <c r="X465" s="527">
        <f t="shared" si="645"/>
        <v>182.54901834171886</v>
      </c>
      <c r="Y465" s="527">
        <f t="shared" si="645"/>
        <v>182.54901834171886</v>
      </c>
      <c r="Z465" s="527">
        <f t="shared" si="645"/>
        <v>182.54901834171886</v>
      </c>
      <c r="AA465" s="527">
        <f t="shared" si="645"/>
        <v>182.54901834171886</v>
      </c>
      <c r="AB465" s="527">
        <f t="shared" si="645"/>
        <v>182.54901834171886</v>
      </c>
      <c r="AC465" s="527">
        <f t="shared" si="645"/>
        <v>182.54901834171886</v>
      </c>
      <c r="AD465" s="527">
        <f t="shared" si="645"/>
        <v>182.54901834171883</v>
      </c>
      <c r="AE465" s="527">
        <f t="shared" si="645"/>
        <v>182.54901834171883</v>
      </c>
      <c r="AF465" s="527">
        <f t="shared" si="645"/>
        <v>182.54901834171883</v>
      </c>
      <c r="AG465" s="527">
        <f t="shared" si="645"/>
        <v>182.54901834171883</v>
      </c>
      <c r="AH465" s="527">
        <f t="shared" si="645"/>
        <v>182.54901834171883</v>
      </c>
      <c r="AI465" s="527">
        <f t="shared" si="645"/>
        <v>182.54901834171883</v>
      </c>
      <c r="AJ465" s="527">
        <f t="shared" si="645"/>
        <v>182.54901834171883</v>
      </c>
      <c r="AK465" s="527">
        <f t="shared" si="645"/>
        <v>182.54901834171883</v>
      </c>
      <c r="AL465" s="527">
        <f t="shared" si="645"/>
        <v>182.54901834171883</v>
      </c>
      <c r="AM465" s="527">
        <f t="shared" si="645"/>
        <v>182.54901834171883</v>
      </c>
      <c r="AN465" s="527">
        <f t="shared" si="645"/>
        <v>182.54901834171883</v>
      </c>
      <c r="AO465" s="527">
        <f t="shared" si="645"/>
        <v>182.54901834171883</v>
      </c>
      <c r="AP465" s="527">
        <f t="shared" si="645"/>
        <v>182.54901834171883</v>
      </c>
      <c r="AQ465" s="527">
        <f t="shared" si="645"/>
        <v>182.54901834171883</v>
      </c>
      <c r="AR465" s="527">
        <f t="shared" si="645"/>
        <v>182.54901834171883</v>
      </c>
      <c r="AS465" s="527">
        <f t="shared" si="645"/>
        <v>182.54901834171883</v>
      </c>
      <c r="AT465" s="527">
        <f t="shared" si="645"/>
        <v>182.54901834171883</v>
      </c>
      <c r="AU465" s="527">
        <f t="shared" si="645"/>
        <v>182.54901834171883</v>
      </c>
      <c r="AV465" s="527">
        <f t="shared" si="645"/>
        <v>214.66976060779075</v>
      </c>
      <c r="AW465" s="527">
        <f t="shared" si="645"/>
        <v>214.66976060779075</v>
      </c>
      <c r="AX465" s="527">
        <f t="shared" ref="AX465:BY465" si="646">AX248/AX$509</f>
        <v>214.66976060779075</v>
      </c>
      <c r="AY465" s="527">
        <f t="shared" si="646"/>
        <v>214.66976060779075</v>
      </c>
      <c r="AZ465" s="527">
        <f t="shared" si="646"/>
        <v>214.66976060779075</v>
      </c>
      <c r="BA465" s="527">
        <f t="shared" si="646"/>
        <v>214.66976060779075</v>
      </c>
      <c r="BB465" s="527">
        <f t="shared" si="646"/>
        <v>207.29572854122563</v>
      </c>
      <c r="BC465" s="527">
        <f t="shared" si="646"/>
        <v>207.29572854122563</v>
      </c>
      <c r="BD465" s="527">
        <f t="shared" si="646"/>
        <v>207.29572854122563</v>
      </c>
      <c r="BE465" s="527">
        <f t="shared" si="646"/>
        <v>207.29572854122563</v>
      </c>
      <c r="BF465" s="527">
        <f t="shared" si="646"/>
        <v>207.29572854122563</v>
      </c>
      <c r="BG465" s="527">
        <f t="shared" si="646"/>
        <v>207.29572854122563</v>
      </c>
      <c r="BH465" s="527">
        <f t="shared" si="646"/>
        <v>215.43648865149623</v>
      </c>
      <c r="BI465" s="527">
        <f t="shared" si="646"/>
        <v>215.43648865149623</v>
      </c>
      <c r="BJ465" s="527">
        <f t="shared" si="646"/>
        <v>215.43648865149623</v>
      </c>
      <c r="BK465" s="527">
        <f t="shared" si="646"/>
        <v>215.43648865149623</v>
      </c>
      <c r="BL465" s="527">
        <f t="shared" si="646"/>
        <v>215.43648865149623</v>
      </c>
      <c r="BM465" s="527">
        <f t="shared" si="646"/>
        <v>215.43648865149623</v>
      </c>
      <c r="BN465" s="527">
        <f t="shared" si="646"/>
        <v>208.27912459622212</v>
      </c>
      <c r="BO465" s="527">
        <f t="shared" si="646"/>
        <v>208.27912459622212</v>
      </c>
      <c r="BP465" s="527">
        <f t="shared" si="646"/>
        <v>208.27912459622212</v>
      </c>
      <c r="BQ465" s="527">
        <f t="shared" si="646"/>
        <v>208.27912459622212</v>
      </c>
      <c r="BR465" s="527">
        <f t="shared" si="646"/>
        <v>208.27912459622212</v>
      </c>
      <c r="BS465" s="527">
        <f t="shared" si="646"/>
        <v>208.27912459622212</v>
      </c>
      <c r="BT465" s="527">
        <f t="shared" si="646"/>
        <v>216.37821584190809</v>
      </c>
      <c r="BU465" s="527">
        <f t="shared" si="646"/>
        <v>216.37821584190809</v>
      </c>
      <c r="BV465" s="527">
        <f t="shared" si="646"/>
        <v>216.37821584190809</v>
      </c>
      <c r="BW465" s="527">
        <f t="shared" si="646"/>
        <v>216.37821584190809</v>
      </c>
      <c r="BX465" s="527">
        <f t="shared" si="646"/>
        <v>216.37821584190809</v>
      </c>
      <c r="BY465" s="527">
        <f t="shared" si="646"/>
        <v>216.37821584190809</v>
      </c>
    </row>
    <row r="466" spans="1:77" x14ac:dyDescent="0.3">
      <c r="A466" s="551"/>
      <c r="B466" s="548"/>
      <c r="C466" s="525"/>
      <c r="D466" s="525"/>
      <c r="E466" s="650" t="str">
        <f>"Volumes: "&amp;E$158</f>
        <v>Volumes: FY30 Tranche</v>
      </c>
      <c r="F466" s="525"/>
      <c r="G466" s="525"/>
      <c r="H466" s="525"/>
      <c r="I466" s="525"/>
      <c r="J466" s="525"/>
      <c r="K466" s="525"/>
      <c r="L466" s="525"/>
      <c r="M466" s="525"/>
      <c r="N466" s="525"/>
      <c r="O466" s="525"/>
      <c r="P466" s="565"/>
      <c r="Q466" s="525"/>
      <c r="R466" s="527">
        <f t="shared" ref="R466:AW466" si="647">R249/R$509</f>
        <v>182.54901834171886</v>
      </c>
      <c r="S466" s="527">
        <f t="shared" si="647"/>
        <v>182.54901834171886</v>
      </c>
      <c r="T466" s="527">
        <f t="shared" si="647"/>
        <v>182.54901834171886</v>
      </c>
      <c r="U466" s="527">
        <f t="shared" si="647"/>
        <v>182.54901834171886</v>
      </c>
      <c r="V466" s="527">
        <f t="shared" si="647"/>
        <v>182.54901834171886</v>
      </c>
      <c r="W466" s="527">
        <f t="shared" si="647"/>
        <v>182.54901834171886</v>
      </c>
      <c r="X466" s="527">
        <f t="shared" si="647"/>
        <v>182.54901834171886</v>
      </c>
      <c r="Y466" s="527">
        <f t="shared" si="647"/>
        <v>182.54901834171886</v>
      </c>
      <c r="Z466" s="527">
        <f t="shared" si="647"/>
        <v>182.54901834171886</v>
      </c>
      <c r="AA466" s="527">
        <f t="shared" si="647"/>
        <v>182.54901834171886</v>
      </c>
      <c r="AB466" s="527">
        <f t="shared" si="647"/>
        <v>182.54901834171886</v>
      </c>
      <c r="AC466" s="527">
        <f t="shared" si="647"/>
        <v>182.54901834171886</v>
      </c>
      <c r="AD466" s="527">
        <f t="shared" si="647"/>
        <v>182.54901834171883</v>
      </c>
      <c r="AE466" s="527">
        <f t="shared" si="647"/>
        <v>182.54901834171883</v>
      </c>
      <c r="AF466" s="527">
        <f t="shared" si="647"/>
        <v>182.54901834171883</v>
      </c>
      <c r="AG466" s="527">
        <f t="shared" si="647"/>
        <v>182.54901834171883</v>
      </c>
      <c r="AH466" s="527">
        <f t="shared" si="647"/>
        <v>182.54901834171883</v>
      </c>
      <c r="AI466" s="527">
        <f t="shared" si="647"/>
        <v>182.54901834171883</v>
      </c>
      <c r="AJ466" s="527">
        <f t="shared" si="647"/>
        <v>182.54901834171883</v>
      </c>
      <c r="AK466" s="527">
        <f t="shared" si="647"/>
        <v>182.54901834171883</v>
      </c>
      <c r="AL466" s="527">
        <f t="shared" si="647"/>
        <v>182.54901834171883</v>
      </c>
      <c r="AM466" s="527">
        <f t="shared" si="647"/>
        <v>182.54901834171883</v>
      </c>
      <c r="AN466" s="527">
        <f t="shared" si="647"/>
        <v>182.54901834171883</v>
      </c>
      <c r="AO466" s="527">
        <f t="shared" si="647"/>
        <v>182.54901834171883</v>
      </c>
      <c r="AP466" s="527">
        <f t="shared" si="647"/>
        <v>182.54901834171883</v>
      </c>
      <c r="AQ466" s="527">
        <f t="shared" si="647"/>
        <v>182.54901834171883</v>
      </c>
      <c r="AR466" s="527">
        <f t="shared" si="647"/>
        <v>182.54901834171883</v>
      </c>
      <c r="AS466" s="527">
        <f t="shared" si="647"/>
        <v>182.54901834171883</v>
      </c>
      <c r="AT466" s="527">
        <f t="shared" si="647"/>
        <v>182.54901834171883</v>
      </c>
      <c r="AU466" s="527">
        <f t="shared" si="647"/>
        <v>182.54901834171883</v>
      </c>
      <c r="AV466" s="527">
        <f t="shared" si="647"/>
        <v>182.54901834171883</v>
      </c>
      <c r="AW466" s="527">
        <f t="shared" si="647"/>
        <v>182.54901834171883</v>
      </c>
      <c r="AX466" s="527">
        <f t="shared" ref="AX466:BY466" si="648">AX249/AX$509</f>
        <v>182.54901834171883</v>
      </c>
      <c r="AY466" s="527">
        <f t="shared" si="648"/>
        <v>182.54901834171883</v>
      </c>
      <c r="AZ466" s="527">
        <f t="shared" si="648"/>
        <v>182.54901834171883</v>
      </c>
      <c r="BA466" s="527">
        <f t="shared" si="648"/>
        <v>182.54901834171883</v>
      </c>
      <c r="BB466" s="527">
        <f t="shared" si="648"/>
        <v>182.54901834171886</v>
      </c>
      <c r="BC466" s="527">
        <f t="shared" si="648"/>
        <v>182.54901834171886</v>
      </c>
      <c r="BD466" s="527">
        <f t="shared" si="648"/>
        <v>182.54901834171886</v>
      </c>
      <c r="BE466" s="527">
        <f t="shared" si="648"/>
        <v>182.54901834171886</v>
      </c>
      <c r="BF466" s="527">
        <f t="shared" si="648"/>
        <v>182.54901834171886</v>
      </c>
      <c r="BG466" s="527">
        <f t="shared" si="648"/>
        <v>182.54901834171886</v>
      </c>
      <c r="BH466" s="527">
        <f t="shared" si="648"/>
        <v>213.90041983184025</v>
      </c>
      <c r="BI466" s="527">
        <f t="shared" si="648"/>
        <v>213.90041983184025</v>
      </c>
      <c r="BJ466" s="527">
        <f t="shared" si="648"/>
        <v>213.90041983184025</v>
      </c>
      <c r="BK466" s="527">
        <f t="shared" si="648"/>
        <v>213.90041983184025</v>
      </c>
      <c r="BL466" s="527">
        <f t="shared" si="648"/>
        <v>213.90041983184025</v>
      </c>
      <c r="BM466" s="527">
        <f t="shared" si="648"/>
        <v>213.90041983184025</v>
      </c>
      <c r="BN466" s="527">
        <f t="shared" si="648"/>
        <v>206.80969538568982</v>
      </c>
      <c r="BO466" s="527">
        <f t="shared" si="648"/>
        <v>206.80969538568982</v>
      </c>
      <c r="BP466" s="527">
        <f t="shared" si="648"/>
        <v>206.80969538568982</v>
      </c>
      <c r="BQ466" s="527">
        <f t="shared" si="648"/>
        <v>206.80969538568982</v>
      </c>
      <c r="BR466" s="527">
        <f t="shared" si="648"/>
        <v>206.80969538568982</v>
      </c>
      <c r="BS466" s="527">
        <f t="shared" si="648"/>
        <v>206.80969538568982</v>
      </c>
      <c r="BT466" s="527">
        <f t="shared" si="648"/>
        <v>214.85000946295452</v>
      </c>
      <c r="BU466" s="527">
        <f t="shared" si="648"/>
        <v>214.85000946295452</v>
      </c>
      <c r="BV466" s="527">
        <f t="shared" si="648"/>
        <v>214.85000946295452</v>
      </c>
      <c r="BW466" s="527">
        <f t="shared" si="648"/>
        <v>214.85000946295452</v>
      </c>
      <c r="BX466" s="527">
        <f t="shared" si="648"/>
        <v>214.85000946295452</v>
      </c>
      <c r="BY466" s="527">
        <f t="shared" si="648"/>
        <v>214.85000946295452</v>
      </c>
    </row>
    <row r="467" spans="1:77" x14ac:dyDescent="0.3">
      <c r="A467" s="551"/>
      <c r="B467" s="548"/>
      <c r="C467" s="525"/>
      <c r="D467" s="525"/>
      <c r="E467" s="650" t="str">
        <f>"Volumes: "&amp;E$159</f>
        <v>Volumes: FY31 Tranche</v>
      </c>
      <c r="F467" s="525"/>
      <c r="G467" s="525"/>
      <c r="H467" s="525"/>
      <c r="I467" s="525"/>
      <c r="J467" s="525"/>
      <c r="K467" s="525"/>
      <c r="L467" s="525"/>
      <c r="M467" s="525"/>
      <c r="N467" s="525"/>
      <c r="O467" s="525"/>
      <c r="P467" s="565"/>
      <c r="Q467" s="525"/>
      <c r="R467" s="527">
        <f t="shared" ref="R467:AW467" si="649">R250/R$509</f>
        <v>182.54901834171886</v>
      </c>
      <c r="S467" s="527">
        <f t="shared" si="649"/>
        <v>182.54901834171886</v>
      </c>
      <c r="T467" s="527">
        <f t="shared" si="649"/>
        <v>182.54901834171886</v>
      </c>
      <c r="U467" s="527">
        <f t="shared" si="649"/>
        <v>182.54901834171886</v>
      </c>
      <c r="V467" s="527">
        <f t="shared" si="649"/>
        <v>182.54901834171886</v>
      </c>
      <c r="W467" s="527">
        <f t="shared" si="649"/>
        <v>182.54901834171886</v>
      </c>
      <c r="X467" s="527">
        <f t="shared" si="649"/>
        <v>182.54901834171886</v>
      </c>
      <c r="Y467" s="527">
        <f t="shared" si="649"/>
        <v>182.54901834171886</v>
      </c>
      <c r="Z467" s="527">
        <f t="shared" si="649"/>
        <v>182.54901834171886</v>
      </c>
      <c r="AA467" s="527">
        <f t="shared" si="649"/>
        <v>182.54901834171886</v>
      </c>
      <c r="AB467" s="527">
        <f t="shared" si="649"/>
        <v>182.54901834171886</v>
      </c>
      <c r="AC467" s="527">
        <f t="shared" si="649"/>
        <v>182.54901834171886</v>
      </c>
      <c r="AD467" s="527">
        <f t="shared" si="649"/>
        <v>182.54901834171883</v>
      </c>
      <c r="AE467" s="527">
        <f t="shared" si="649"/>
        <v>182.54901834171883</v>
      </c>
      <c r="AF467" s="527">
        <f t="shared" si="649"/>
        <v>182.54901834171883</v>
      </c>
      <c r="AG467" s="527">
        <f t="shared" si="649"/>
        <v>182.54901834171883</v>
      </c>
      <c r="AH467" s="527">
        <f t="shared" si="649"/>
        <v>182.54901834171883</v>
      </c>
      <c r="AI467" s="527">
        <f t="shared" si="649"/>
        <v>182.54901834171883</v>
      </c>
      <c r="AJ467" s="527">
        <f t="shared" si="649"/>
        <v>182.54901834171883</v>
      </c>
      <c r="AK467" s="527">
        <f t="shared" si="649"/>
        <v>182.54901834171883</v>
      </c>
      <c r="AL467" s="527">
        <f t="shared" si="649"/>
        <v>182.54901834171883</v>
      </c>
      <c r="AM467" s="527">
        <f t="shared" si="649"/>
        <v>182.54901834171883</v>
      </c>
      <c r="AN467" s="527">
        <f t="shared" si="649"/>
        <v>182.54901834171883</v>
      </c>
      <c r="AO467" s="527">
        <f t="shared" si="649"/>
        <v>182.54901834171883</v>
      </c>
      <c r="AP467" s="527">
        <f t="shared" si="649"/>
        <v>182.54901834171883</v>
      </c>
      <c r="AQ467" s="527">
        <f t="shared" si="649"/>
        <v>182.54901834171883</v>
      </c>
      <c r="AR467" s="527">
        <f t="shared" si="649"/>
        <v>182.54901834171883</v>
      </c>
      <c r="AS467" s="527">
        <f t="shared" si="649"/>
        <v>182.54901834171883</v>
      </c>
      <c r="AT467" s="527">
        <f t="shared" si="649"/>
        <v>182.54901834171883</v>
      </c>
      <c r="AU467" s="527">
        <f t="shared" si="649"/>
        <v>182.54901834171883</v>
      </c>
      <c r="AV467" s="527">
        <f t="shared" si="649"/>
        <v>182.54901834171883</v>
      </c>
      <c r="AW467" s="527">
        <f t="shared" si="649"/>
        <v>182.54901834171883</v>
      </c>
      <c r="AX467" s="527">
        <f t="shared" ref="AX467:BY467" si="650">AX250/AX$509</f>
        <v>182.54901834171883</v>
      </c>
      <c r="AY467" s="527">
        <f t="shared" si="650"/>
        <v>182.54901834171883</v>
      </c>
      <c r="AZ467" s="527">
        <f t="shared" si="650"/>
        <v>182.54901834171883</v>
      </c>
      <c r="BA467" s="527">
        <f t="shared" si="650"/>
        <v>182.54901834171883</v>
      </c>
      <c r="BB467" s="527">
        <f t="shared" si="650"/>
        <v>182.54901834171886</v>
      </c>
      <c r="BC467" s="527">
        <f t="shared" si="650"/>
        <v>182.54901834171886</v>
      </c>
      <c r="BD467" s="527">
        <f t="shared" si="650"/>
        <v>182.54901834171886</v>
      </c>
      <c r="BE467" s="527">
        <f t="shared" si="650"/>
        <v>182.54901834171886</v>
      </c>
      <c r="BF467" s="527">
        <f t="shared" si="650"/>
        <v>182.54901834171886</v>
      </c>
      <c r="BG467" s="527">
        <f t="shared" si="650"/>
        <v>182.54901834171886</v>
      </c>
      <c r="BH467" s="527">
        <f t="shared" si="650"/>
        <v>182.54901834171886</v>
      </c>
      <c r="BI467" s="527">
        <f t="shared" si="650"/>
        <v>182.54901834171886</v>
      </c>
      <c r="BJ467" s="527">
        <f t="shared" si="650"/>
        <v>182.54901834171886</v>
      </c>
      <c r="BK467" s="527">
        <f t="shared" si="650"/>
        <v>182.54901834171886</v>
      </c>
      <c r="BL467" s="527">
        <f t="shared" si="650"/>
        <v>182.54901834171886</v>
      </c>
      <c r="BM467" s="527">
        <f t="shared" si="650"/>
        <v>182.54901834171886</v>
      </c>
      <c r="BN467" s="527">
        <f t="shared" si="650"/>
        <v>182.54901834171881</v>
      </c>
      <c r="BO467" s="527">
        <f t="shared" si="650"/>
        <v>182.54901834171881</v>
      </c>
      <c r="BP467" s="527">
        <f t="shared" si="650"/>
        <v>182.54901834171881</v>
      </c>
      <c r="BQ467" s="527">
        <f t="shared" si="650"/>
        <v>182.54901834171881</v>
      </c>
      <c r="BR467" s="527">
        <f t="shared" si="650"/>
        <v>182.54901834171881</v>
      </c>
      <c r="BS467" s="527">
        <f t="shared" si="650"/>
        <v>182.54901834171881</v>
      </c>
      <c r="BT467" s="527">
        <f t="shared" si="650"/>
        <v>213.12560420237941</v>
      </c>
      <c r="BU467" s="527">
        <f t="shared" si="650"/>
        <v>213.12560420237941</v>
      </c>
      <c r="BV467" s="527">
        <f t="shared" si="650"/>
        <v>213.12560420237941</v>
      </c>
      <c r="BW467" s="527">
        <f t="shared" si="650"/>
        <v>213.12560420237941</v>
      </c>
      <c r="BX467" s="527">
        <f t="shared" si="650"/>
        <v>213.12560420237941</v>
      </c>
      <c r="BY467" s="527">
        <f t="shared" si="650"/>
        <v>213.12560420237941</v>
      </c>
    </row>
    <row r="468" spans="1:77" x14ac:dyDescent="0.3">
      <c r="A468" s="551"/>
      <c r="B468" s="548"/>
      <c r="C468" s="525"/>
      <c r="D468" s="525"/>
      <c r="E468" s="650" t="str">
        <f>"Volumes: "&amp;E$160</f>
        <v>Volumes: Uninvested Tranche</v>
      </c>
      <c r="F468" s="525"/>
      <c r="G468" s="525"/>
      <c r="H468" s="525"/>
      <c r="I468" s="525"/>
      <c r="J468" s="525"/>
      <c r="K468" s="525"/>
      <c r="L468" s="525"/>
      <c r="M468" s="525"/>
      <c r="N468" s="525"/>
      <c r="O468" s="525"/>
      <c r="P468" s="565"/>
      <c r="Q468" s="525"/>
      <c r="R468" s="527">
        <f t="shared" ref="R468:AW468" si="651">R251/R$509</f>
        <v>399.32597762250998</v>
      </c>
      <c r="S468" s="527">
        <f t="shared" si="651"/>
        <v>399.32597762250998</v>
      </c>
      <c r="T468" s="527">
        <f t="shared" si="651"/>
        <v>399.32597762250998</v>
      </c>
      <c r="U468" s="527">
        <f t="shared" si="651"/>
        <v>399.32597762250998</v>
      </c>
      <c r="V468" s="527">
        <f t="shared" si="651"/>
        <v>399.32597762250998</v>
      </c>
      <c r="W468" s="527">
        <f t="shared" si="651"/>
        <v>399.32597762250998</v>
      </c>
      <c r="X468" s="527">
        <f t="shared" si="651"/>
        <v>399.32597762250998</v>
      </c>
      <c r="Y468" s="527">
        <f t="shared" si="651"/>
        <v>399.32597762250998</v>
      </c>
      <c r="Z468" s="527">
        <f t="shared" si="651"/>
        <v>399.32597762250998</v>
      </c>
      <c r="AA468" s="527">
        <f t="shared" si="651"/>
        <v>399.32597762250998</v>
      </c>
      <c r="AB468" s="527">
        <f t="shared" si="651"/>
        <v>399.32597762250998</v>
      </c>
      <c r="AC468" s="527">
        <f t="shared" si="651"/>
        <v>399.32597762250998</v>
      </c>
      <c r="AD468" s="527">
        <f t="shared" si="651"/>
        <v>399.32597762250998</v>
      </c>
      <c r="AE468" s="527">
        <f t="shared" si="651"/>
        <v>399.32597762250998</v>
      </c>
      <c r="AF468" s="527">
        <f t="shared" si="651"/>
        <v>399.32597762250998</v>
      </c>
      <c r="AG468" s="527">
        <f t="shared" si="651"/>
        <v>399.32597762250998</v>
      </c>
      <c r="AH468" s="527">
        <f t="shared" si="651"/>
        <v>399.32597762250998</v>
      </c>
      <c r="AI468" s="527">
        <f t="shared" si="651"/>
        <v>399.32597762250998</v>
      </c>
      <c r="AJ468" s="527">
        <f t="shared" si="651"/>
        <v>399.32597762250998</v>
      </c>
      <c r="AK468" s="527">
        <f t="shared" si="651"/>
        <v>399.32597762250998</v>
      </c>
      <c r="AL468" s="527">
        <f t="shared" si="651"/>
        <v>399.32597762250998</v>
      </c>
      <c r="AM468" s="527">
        <f t="shared" si="651"/>
        <v>399.32597762250998</v>
      </c>
      <c r="AN468" s="527">
        <f t="shared" si="651"/>
        <v>399.32597762250998</v>
      </c>
      <c r="AO468" s="527">
        <f t="shared" si="651"/>
        <v>399.32597762250998</v>
      </c>
      <c r="AP468" s="527">
        <f t="shared" si="651"/>
        <v>399.32597762250998</v>
      </c>
      <c r="AQ468" s="527">
        <f t="shared" si="651"/>
        <v>399.32597762250998</v>
      </c>
      <c r="AR468" s="527">
        <f t="shared" si="651"/>
        <v>399.32597762250998</v>
      </c>
      <c r="AS468" s="527">
        <f t="shared" si="651"/>
        <v>399.32597762250998</v>
      </c>
      <c r="AT468" s="527">
        <f t="shared" si="651"/>
        <v>399.32597762250998</v>
      </c>
      <c r="AU468" s="527">
        <f t="shared" si="651"/>
        <v>399.32597762250998</v>
      </c>
      <c r="AV468" s="527">
        <f t="shared" si="651"/>
        <v>399.32597762250998</v>
      </c>
      <c r="AW468" s="527">
        <f t="shared" si="651"/>
        <v>399.32597762250998</v>
      </c>
      <c r="AX468" s="527">
        <f t="shared" ref="AX468:BY468" si="652">AX251/AX$509</f>
        <v>399.32597762250998</v>
      </c>
      <c r="AY468" s="527">
        <f t="shared" si="652"/>
        <v>399.32597762250998</v>
      </c>
      <c r="AZ468" s="527">
        <f t="shared" si="652"/>
        <v>399.32597762250998</v>
      </c>
      <c r="BA468" s="527">
        <f t="shared" si="652"/>
        <v>399.32597762250998</v>
      </c>
      <c r="BB468" s="527">
        <f t="shared" si="652"/>
        <v>399.32597762251004</v>
      </c>
      <c r="BC468" s="527">
        <f t="shared" si="652"/>
        <v>399.32597762251004</v>
      </c>
      <c r="BD468" s="527">
        <f t="shared" si="652"/>
        <v>399.32597762251004</v>
      </c>
      <c r="BE468" s="527">
        <f t="shared" si="652"/>
        <v>399.32597762251004</v>
      </c>
      <c r="BF468" s="527">
        <f t="shared" si="652"/>
        <v>399.32597762251004</v>
      </c>
      <c r="BG468" s="527">
        <f t="shared" si="652"/>
        <v>399.32597762251004</v>
      </c>
      <c r="BH468" s="527">
        <f t="shared" si="652"/>
        <v>399.32597762251004</v>
      </c>
      <c r="BI468" s="527">
        <f t="shared" si="652"/>
        <v>399.32597762251004</v>
      </c>
      <c r="BJ468" s="527">
        <f t="shared" si="652"/>
        <v>399.32597762251004</v>
      </c>
      <c r="BK468" s="527">
        <f t="shared" si="652"/>
        <v>399.32597762251004</v>
      </c>
      <c r="BL468" s="527">
        <f t="shared" si="652"/>
        <v>399.32597762251004</v>
      </c>
      <c r="BM468" s="527">
        <f t="shared" si="652"/>
        <v>399.32597762251004</v>
      </c>
      <c r="BN468" s="527">
        <f t="shared" si="652"/>
        <v>399.32597762250992</v>
      </c>
      <c r="BO468" s="527">
        <f t="shared" si="652"/>
        <v>399.32597762250992</v>
      </c>
      <c r="BP468" s="527">
        <f t="shared" si="652"/>
        <v>399.32597762250992</v>
      </c>
      <c r="BQ468" s="527">
        <f t="shared" si="652"/>
        <v>399.32597762250992</v>
      </c>
      <c r="BR468" s="527">
        <f t="shared" si="652"/>
        <v>399.32597762250992</v>
      </c>
      <c r="BS468" s="527">
        <f t="shared" si="652"/>
        <v>399.32597762250992</v>
      </c>
      <c r="BT468" s="527">
        <f t="shared" si="652"/>
        <v>399.32597762250992</v>
      </c>
      <c r="BU468" s="527">
        <f t="shared" si="652"/>
        <v>399.32597762250992</v>
      </c>
      <c r="BV468" s="527">
        <f t="shared" si="652"/>
        <v>399.32597762250992</v>
      </c>
      <c r="BW468" s="527">
        <f t="shared" si="652"/>
        <v>399.32597762250992</v>
      </c>
      <c r="BX468" s="527">
        <f t="shared" si="652"/>
        <v>399.32597762250992</v>
      </c>
      <c r="BY468" s="527">
        <f t="shared" si="652"/>
        <v>399.32597762250992</v>
      </c>
    </row>
    <row r="469" spans="1:77" x14ac:dyDescent="0.3">
      <c r="A469" s="551"/>
      <c r="B469" s="548"/>
      <c r="C469" s="525"/>
      <c r="D469" s="525"/>
      <c r="E469" s="572" t="s">
        <v>36</v>
      </c>
      <c r="F469" s="572"/>
      <c r="G469" s="572"/>
      <c r="H469" s="572"/>
      <c r="I469" s="572"/>
      <c r="J469" s="572"/>
      <c r="K469" s="572"/>
      <c r="L469" s="572"/>
      <c r="M469" s="572"/>
      <c r="N469" s="572"/>
      <c r="O469" s="572"/>
      <c r="P469" s="612"/>
      <c r="Q469" s="572"/>
      <c r="R469" s="530">
        <f t="shared" ref="R469:AW469" si="653">R252/R$509</f>
        <v>1312.0710693311041</v>
      </c>
      <c r="S469" s="530">
        <f t="shared" si="653"/>
        <v>1312.0710693311041</v>
      </c>
      <c r="T469" s="530">
        <f t="shared" si="653"/>
        <v>1312.0710693311041</v>
      </c>
      <c r="U469" s="530">
        <f t="shared" si="653"/>
        <v>1312.0710693311041</v>
      </c>
      <c r="V469" s="530">
        <f t="shared" si="653"/>
        <v>1312.0710693311041</v>
      </c>
      <c r="W469" s="530">
        <f t="shared" si="653"/>
        <v>1312.0710693311041</v>
      </c>
      <c r="X469" s="530">
        <f t="shared" si="653"/>
        <v>1345.8731678106503</v>
      </c>
      <c r="Y469" s="530">
        <f t="shared" si="653"/>
        <v>1345.8731678106503</v>
      </c>
      <c r="Z469" s="530">
        <f t="shared" si="653"/>
        <v>1345.8731678106503</v>
      </c>
      <c r="AA469" s="530">
        <f t="shared" si="653"/>
        <v>1345.8731678106503</v>
      </c>
      <c r="AB469" s="530">
        <f t="shared" si="653"/>
        <v>1345.8731678106503</v>
      </c>
      <c r="AC469" s="530">
        <f t="shared" si="653"/>
        <v>1345.8731678106503</v>
      </c>
      <c r="AD469" s="530">
        <f t="shared" si="653"/>
        <v>1337.2979219707513</v>
      </c>
      <c r="AE469" s="530">
        <f t="shared" si="653"/>
        <v>1337.2979219707513</v>
      </c>
      <c r="AF469" s="530">
        <f t="shared" si="653"/>
        <v>1337.2979219707513</v>
      </c>
      <c r="AG469" s="530">
        <f t="shared" si="653"/>
        <v>1337.2979219707513</v>
      </c>
      <c r="AH469" s="530">
        <f t="shared" si="653"/>
        <v>1337.2979219707513</v>
      </c>
      <c r="AI469" s="530">
        <f t="shared" si="653"/>
        <v>1337.2979219707513</v>
      </c>
      <c r="AJ469" s="530">
        <f t="shared" si="653"/>
        <v>1378.5463776821541</v>
      </c>
      <c r="AK469" s="530">
        <f t="shared" si="653"/>
        <v>1378.5463776821541</v>
      </c>
      <c r="AL469" s="530">
        <f t="shared" si="653"/>
        <v>1378.5463776821541</v>
      </c>
      <c r="AM469" s="530">
        <f t="shared" si="653"/>
        <v>1378.5463776821541</v>
      </c>
      <c r="AN469" s="530">
        <f t="shared" si="653"/>
        <v>1378.5463776821541</v>
      </c>
      <c r="AO469" s="530">
        <f t="shared" si="653"/>
        <v>1378.5463776821541</v>
      </c>
      <c r="AP469" s="530">
        <f t="shared" si="653"/>
        <v>1362.3693152436103</v>
      </c>
      <c r="AQ469" s="530">
        <f t="shared" si="653"/>
        <v>1362.3693152436103</v>
      </c>
      <c r="AR469" s="530">
        <f t="shared" si="653"/>
        <v>1362.3693152436103</v>
      </c>
      <c r="AS469" s="530">
        <f t="shared" si="653"/>
        <v>1362.3693152436103</v>
      </c>
      <c r="AT469" s="530">
        <f t="shared" si="653"/>
        <v>1362.3693152436103</v>
      </c>
      <c r="AU469" s="530">
        <f t="shared" si="653"/>
        <v>1362.3693152436103</v>
      </c>
      <c r="AV469" s="530">
        <f t="shared" si="653"/>
        <v>1410.9583096499605</v>
      </c>
      <c r="AW469" s="530">
        <f t="shared" si="653"/>
        <v>1410.9583096499605</v>
      </c>
      <c r="AX469" s="530">
        <f t="shared" ref="AX469:BY469" si="654">AX252/AX$509</f>
        <v>1410.9583096499605</v>
      </c>
      <c r="AY469" s="530">
        <f t="shared" si="654"/>
        <v>1410.9583096499605</v>
      </c>
      <c r="AZ469" s="530">
        <f t="shared" si="654"/>
        <v>1410.9583096499605</v>
      </c>
      <c r="BA469" s="530">
        <f t="shared" si="654"/>
        <v>1410.9583096499605</v>
      </c>
      <c r="BB469" s="530">
        <f t="shared" si="654"/>
        <v>1388.7258071724782</v>
      </c>
      <c r="BC469" s="530">
        <f t="shared" si="654"/>
        <v>1388.7258071724782</v>
      </c>
      <c r="BD469" s="530">
        <f t="shared" si="654"/>
        <v>1388.7258071724782</v>
      </c>
      <c r="BE469" s="530">
        <f t="shared" si="654"/>
        <v>1388.7258071724782</v>
      </c>
      <c r="BF469" s="530">
        <f t="shared" si="654"/>
        <v>1388.7258071724782</v>
      </c>
      <c r="BG469" s="530">
        <f t="shared" si="654"/>
        <v>1388.7258071724782</v>
      </c>
      <c r="BH469" s="530">
        <f t="shared" si="654"/>
        <v>1444.5960732831256</v>
      </c>
      <c r="BI469" s="530">
        <f t="shared" si="654"/>
        <v>1444.5960732831256</v>
      </c>
      <c r="BJ469" s="530">
        <f t="shared" si="654"/>
        <v>1444.5960732831256</v>
      </c>
      <c r="BK469" s="530">
        <f t="shared" si="654"/>
        <v>1444.5960732831256</v>
      </c>
      <c r="BL469" s="530">
        <f t="shared" si="654"/>
        <v>1444.5960732831256</v>
      </c>
      <c r="BM469" s="530">
        <f t="shared" si="654"/>
        <v>1444.5960732831256</v>
      </c>
      <c r="BN469" s="530">
        <f t="shared" si="654"/>
        <v>1415.9243131003809</v>
      </c>
      <c r="BO469" s="530">
        <f t="shared" si="654"/>
        <v>1415.9243131003809</v>
      </c>
      <c r="BP469" s="530">
        <f t="shared" si="654"/>
        <v>1415.9243131003809</v>
      </c>
      <c r="BQ469" s="530">
        <f t="shared" si="654"/>
        <v>1415.9243131003809</v>
      </c>
      <c r="BR469" s="530">
        <f t="shared" si="654"/>
        <v>1415.9243131003809</v>
      </c>
      <c r="BS469" s="530">
        <f t="shared" si="654"/>
        <v>1415.9243131003809</v>
      </c>
      <c r="BT469" s="530">
        <f t="shared" si="654"/>
        <v>1478.9345766938357</v>
      </c>
      <c r="BU469" s="530">
        <f t="shared" si="654"/>
        <v>1478.9345766938357</v>
      </c>
      <c r="BV469" s="530">
        <f t="shared" si="654"/>
        <v>1478.9345766938357</v>
      </c>
      <c r="BW469" s="530">
        <f t="shared" si="654"/>
        <v>1478.9345766938357</v>
      </c>
      <c r="BX469" s="530">
        <f t="shared" si="654"/>
        <v>1478.9345766938357</v>
      </c>
      <c r="BY469" s="530">
        <f t="shared" si="654"/>
        <v>1478.9345766938357</v>
      </c>
    </row>
    <row r="470" spans="1:77" x14ac:dyDescent="0.3">
      <c r="A470" s="551"/>
      <c r="B470" s="548"/>
      <c r="C470" s="525"/>
      <c r="D470" s="525"/>
      <c r="E470" s="525"/>
      <c r="F470" s="525"/>
      <c r="G470" s="525"/>
      <c r="H470" s="525"/>
      <c r="I470" s="525"/>
      <c r="J470" s="525"/>
      <c r="K470" s="525"/>
      <c r="L470" s="525"/>
      <c r="M470" s="525"/>
      <c r="N470" s="525"/>
      <c r="O470" s="525"/>
      <c r="P470" s="565"/>
      <c r="Q470" s="525"/>
      <c r="R470" s="525"/>
      <c r="S470" s="525"/>
      <c r="T470" s="525"/>
      <c r="U470" s="525"/>
      <c r="V470" s="525"/>
      <c r="W470" s="525"/>
      <c r="X470" s="525"/>
      <c r="Y470" s="525"/>
      <c r="Z470" s="525"/>
      <c r="AA470" s="525"/>
      <c r="AB470" s="525"/>
      <c r="AC470" s="525"/>
      <c r="AD470" s="525"/>
      <c r="AE470" s="525"/>
      <c r="AF470" s="525"/>
      <c r="AG470" s="525"/>
      <c r="AH470" s="525"/>
      <c r="AI470" s="525"/>
      <c r="AJ470" s="525"/>
      <c r="AK470" s="525"/>
      <c r="AL470" s="525"/>
      <c r="AM470" s="525"/>
      <c r="AN470" s="525"/>
      <c r="AO470" s="525"/>
      <c r="AP470" s="525"/>
      <c r="AQ470" s="525"/>
      <c r="AR470" s="525"/>
      <c r="AS470" s="525"/>
      <c r="AT470" s="525"/>
      <c r="AU470" s="525"/>
      <c r="AV470" s="525"/>
      <c r="AW470" s="525"/>
      <c r="AX470" s="525"/>
      <c r="AY470" s="525"/>
      <c r="AZ470" s="525"/>
      <c r="BA470" s="525"/>
      <c r="BB470" s="525"/>
      <c r="BC470" s="525"/>
      <c r="BD470" s="525"/>
      <c r="BE470" s="525"/>
      <c r="BF470" s="525"/>
      <c r="BG470" s="525"/>
      <c r="BH470" s="525"/>
      <c r="BI470" s="525"/>
      <c r="BJ470" s="525"/>
      <c r="BK470" s="525"/>
      <c r="BL470" s="525"/>
      <c r="BM470" s="525"/>
      <c r="BN470" s="525"/>
      <c r="BO470" s="525"/>
      <c r="BP470" s="525"/>
      <c r="BQ470" s="525"/>
      <c r="BR470" s="525"/>
      <c r="BS470" s="525"/>
      <c r="BT470" s="525"/>
      <c r="BU470" s="525"/>
      <c r="BV470" s="525"/>
      <c r="BW470" s="525"/>
      <c r="BX470" s="525"/>
      <c r="BY470" s="525"/>
    </row>
    <row r="471" spans="1:77" x14ac:dyDescent="0.3">
      <c r="A471" s="551"/>
      <c r="B471" s="548"/>
      <c r="C471" s="560" t="s">
        <v>37</v>
      </c>
      <c r="D471" s="561"/>
      <c r="E471" s="526" t="s">
        <v>112</v>
      </c>
      <c r="F471" s="526"/>
      <c r="G471" s="526"/>
      <c r="H471" s="526"/>
      <c r="I471" s="526"/>
      <c r="J471" s="526"/>
      <c r="K471" s="526"/>
      <c r="L471" s="526"/>
      <c r="M471" s="526"/>
      <c r="N471" s="526"/>
      <c r="O471" s="526"/>
      <c r="P471" s="560"/>
      <c r="Q471" s="526"/>
      <c r="R471" s="526"/>
      <c r="S471" s="526"/>
      <c r="T471" s="526"/>
      <c r="U471" s="526"/>
      <c r="V471" s="526"/>
      <c r="W471" s="526"/>
      <c r="X471" s="526"/>
      <c r="Y471" s="526"/>
      <c r="Z471" s="526"/>
      <c r="AA471" s="526"/>
      <c r="AB471" s="526"/>
      <c r="AC471" s="526"/>
      <c r="AD471" s="526"/>
      <c r="AE471" s="526"/>
      <c r="AF471" s="526"/>
      <c r="AG471" s="526"/>
      <c r="AH471" s="526"/>
      <c r="AI471" s="526"/>
      <c r="AJ471" s="526"/>
      <c r="AK471" s="526"/>
      <c r="AL471" s="526"/>
      <c r="AM471" s="526"/>
      <c r="AN471" s="526"/>
      <c r="AO471" s="526"/>
      <c r="AP471" s="526"/>
      <c r="AQ471" s="526"/>
      <c r="AR471" s="526"/>
      <c r="AS471" s="526"/>
      <c r="AT471" s="526"/>
      <c r="AU471" s="526"/>
      <c r="AV471" s="526"/>
      <c r="AW471" s="526"/>
      <c r="AX471" s="526"/>
      <c r="AY471" s="526"/>
      <c r="AZ471" s="526"/>
      <c r="BA471" s="526"/>
      <c r="BB471" s="526"/>
      <c r="BC471" s="526"/>
      <c r="BD471" s="526"/>
      <c r="BE471" s="526"/>
      <c r="BF471" s="526"/>
      <c r="BG471" s="526"/>
      <c r="BH471" s="526"/>
      <c r="BI471" s="526"/>
      <c r="BJ471" s="526"/>
      <c r="BK471" s="526"/>
      <c r="BL471" s="526"/>
      <c r="BM471" s="526"/>
      <c r="BN471" s="526"/>
      <c r="BO471" s="526"/>
      <c r="BP471" s="526"/>
      <c r="BQ471" s="526"/>
      <c r="BR471" s="526"/>
      <c r="BS471" s="526"/>
      <c r="BT471" s="526"/>
      <c r="BU471" s="526"/>
      <c r="BV471" s="526"/>
      <c r="BW471" s="526"/>
      <c r="BX471" s="526"/>
      <c r="BY471" s="526"/>
    </row>
    <row r="472" spans="1:77" x14ac:dyDescent="0.3">
      <c r="A472" s="551"/>
      <c r="B472" s="548"/>
      <c r="C472" s="525"/>
      <c r="D472" s="525"/>
      <c r="E472" s="525"/>
      <c r="F472" s="525"/>
      <c r="G472" s="525"/>
      <c r="H472" s="525"/>
      <c r="I472" s="525"/>
      <c r="J472" s="525"/>
      <c r="K472" s="525"/>
      <c r="L472" s="525"/>
      <c r="M472" s="525"/>
      <c r="N472" s="525"/>
      <c r="O472" s="525"/>
      <c r="P472" s="565"/>
      <c r="Q472" s="525"/>
      <c r="R472" s="525"/>
      <c r="S472" s="525"/>
      <c r="T472" s="525"/>
      <c r="U472" s="525"/>
      <c r="V472" s="525"/>
      <c r="W472" s="525"/>
      <c r="X472" s="525"/>
      <c r="Y472" s="525"/>
      <c r="Z472" s="525"/>
      <c r="AA472" s="525"/>
      <c r="AB472" s="525"/>
      <c r="AC472" s="525"/>
      <c r="AD472" s="525"/>
      <c r="AE472" s="525"/>
      <c r="AF472" s="525"/>
      <c r="AG472" s="525"/>
      <c r="AH472" s="525"/>
      <c r="AI472" s="525"/>
      <c r="AJ472" s="525"/>
      <c r="AK472" s="525"/>
      <c r="AL472" s="525"/>
      <c r="AM472" s="525"/>
      <c r="AN472" s="525"/>
      <c r="AO472" s="525"/>
      <c r="AP472" s="525"/>
      <c r="AQ472" s="525"/>
      <c r="AR472" s="525"/>
      <c r="AS472" s="525"/>
      <c r="AT472" s="525"/>
      <c r="AU472" s="525"/>
      <c r="AV472" s="525"/>
      <c r="AW472" s="525"/>
      <c r="AX472" s="525"/>
      <c r="AY472" s="525"/>
      <c r="AZ472" s="525"/>
      <c r="BA472" s="525"/>
      <c r="BB472" s="525"/>
      <c r="BC472" s="525"/>
      <c r="BD472" s="525"/>
      <c r="BE472" s="525"/>
      <c r="BF472" s="525"/>
      <c r="BG472" s="525"/>
      <c r="BH472" s="525"/>
      <c r="BI472" s="525"/>
      <c r="BJ472" s="525"/>
      <c r="BK472" s="525"/>
      <c r="BL472" s="525"/>
      <c r="BM472" s="525"/>
      <c r="BN472" s="525"/>
      <c r="BO472" s="525"/>
      <c r="BP472" s="525"/>
      <c r="BQ472" s="525"/>
      <c r="BR472" s="525"/>
      <c r="BS472" s="525"/>
      <c r="BT472" s="525"/>
      <c r="BU472" s="525"/>
      <c r="BV472" s="525"/>
      <c r="BW472" s="525"/>
      <c r="BX472" s="525"/>
      <c r="BY472" s="525"/>
    </row>
    <row r="473" spans="1:77" x14ac:dyDescent="0.3">
      <c r="A473" s="551"/>
      <c r="B473" s="548"/>
      <c r="C473" s="525"/>
      <c r="D473" s="525"/>
      <c r="E473" s="570" t="s">
        <v>113</v>
      </c>
      <c r="F473" s="525"/>
      <c r="G473" s="525"/>
      <c r="H473" s="525"/>
      <c r="I473" s="525"/>
      <c r="J473" s="525"/>
      <c r="K473" s="525"/>
      <c r="L473" s="525"/>
      <c r="M473" s="525"/>
      <c r="N473" s="525"/>
      <c r="O473" s="525"/>
      <c r="P473" s="565"/>
      <c r="Q473" s="525"/>
      <c r="R473" s="525"/>
      <c r="S473" s="525"/>
      <c r="T473" s="525"/>
      <c r="U473" s="525"/>
      <c r="V473" s="525"/>
      <c r="W473" s="525"/>
      <c r="X473" s="525"/>
      <c r="Y473" s="525"/>
      <c r="Z473" s="525"/>
      <c r="AA473" s="525"/>
      <c r="AB473" s="525"/>
      <c r="AC473" s="525"/>
      <c r="AD473" s="525"/>
      <c r="AE473" s="525"/>
      <c r="AF473" s="525"/>
      <c r="AG473" s="525"/>
      <c r="AH473" s="525"/>
      <c r="AI473" s="525"/>
      <c r="AJ473" s="525"/>
      <c r="AK473" s="525"/>
      <c r="AL473" s="525"/>
      <c r="AM473" s="525"/>
      <c r="AN473" s="525"/>
      <c r="AO473" s="525"/>
      <c r="AP473" s="525"/>
      <c r="AQ473" s="525"/>
      <c r="AR473" s="525"/>
      <c r="AS473" s="525"/>
      <c r="AT473" s="525"/>
      <c r="AU473" s="525"/>
      <c r="AV473" s="525"/>
      <c r="AW473" s="525"/>
      <c r="AX473" s="525"/>
      <c r="AY473" s="525"/>
      <c r="AZ473" s="525"/>
      <c r="BA473" s="525"/>
      <c r="BB473" s="525"/>
      <c r="BC473" s="525"/>
      <c r="BD473" s="525"/>
      <c r="BE473" s="525"/>
      <c r="BF473" s="525"/>
      <c r="BG473" s="525"/>
      <c r="BH473" s="525"/>
      <c r="BI473" s="525"/>
      <c r="BJ473" s="525"/>
      <c r="BK473" s="525"/>
      <c r="BL473" s="525"/>
      <c r="BM473" s="525"/>
      <c r="BN473" s="525"/>
      <c r="BO473" s="525"/>
      <c r="BP473" s="525"/>
      <c r="BQ473" s="525"/>
      <c r="BR473" s="525"/>
      <c r="BS473" s="525"/>
      <c r="BT473" s="525"/>
      <c r="BU473" s="525"/>
      <c r="BV473" s="525"/>
      <c r="BW473" s="525"/>
      <c r="BX473" s="525"/>
      <c r="BY473" s="525"/>
    </row>
    <row r="474" spans="1:77" x14ac:dyDescent="0.3">
      <c r="A474" s="551"/>
      <c r="B474" s="548"/>
      <c r="C474" s="525"/>
      <c r="D474" s="525"/>
      <c r="E474" s="651" t="str">
        <f>"Flag - capex period: "&amp;E$155</f>
        <v>Flag - capex period: FY27 Tranche</v>
      </c>
      <c r="F474" s="525"/>
      <c r="G474" s="525"/>
      <c r="H474" s="525"/>
      <c r="I474" s="525"/>
      <c r="J474" s="525"/>
      <c r="K474" s="525"/>
      <c r="L474" s="525"/>
      <c r="M474" s="525"/>
      <c r="N474" s="525"/>
      <c r="O474" s="525"/>
      <c r="P474" s="565"/>
      <c r="Q474" s="525"/>
      <c r="R474" s="542">
        <f>IF(AND(R$4&gt;$T155,R$4&lt;=$V155),1,0)*'Detailed Assumptions'!$E$6</f>
        <v>0</v>
      </c>
      <c r="S474" s="542">
        <f>IF(AND(S$4&gt;$T155,S$4&lt;=$V155),1,0)*'Detailed Assumptions'!$E$6</f>
        <v>0</v>
      </c>
      <c r="T474" s="542">
        <f>IF(AND(T$4&gt;$T155,T$4&lt;=$V155),1,0)*'Detailed Assumptions'!$E$6</f>
        <v>0</v>
      </c>
      <c r="U474" s="542">
        <f>IF(AND(U$4&gt;$T155,U$4&lt;=$V155),1,0)*'Detailed Assumptions'!$E$6</f>
        <v>0</v>
      </c>
      <c r="V474" s="542">
        <f>IF(AND(V$4&gt;$T155,V$4&lt;=$V155),1,0)*'Detailed Assumptions'!$E$6</f>
        <v>0</v>
      </c>
      <c r="W474" s="542">
        <f>IF(AND(W$4&gt;$T155,W$4&lt;=$V155),1,0)*'Detailed Assumptions'!$E$6</f>
        <v>1</v>
      </c>
      <c r="X474" s="542">
        <f>IF(AND(X$4&gt;$T155,X$4&lt;=$V155),1,0)*'Detailed Assumptions'!$E$6</f>
        <v>0</v>
      </c>
      <c r="Y474" s="542">
        <f>IF(AND(Y$4&gt;$T155,Y$4&lt;=$V155),1,0)*'Detailed Assumptions'!$E$6</f>
        <v>0</v>
      </c>
      <c r="Z474" s="542">
        <f>IF(AND(Z$4&gt;$T155,Z$4&lt;=$V155),1,0)*'Detailed Assumptions'!$E$6</f>
        <v>0</v>
      </c>
      <c r="AA474" s="542">
        <f>IF(AND(AA$4&gt;$T155,AA$4&lt;=$V155),1,0)*'Detailed Assumptions'!$E$6</f>
        <v>0</v>
      </c>
      <c r="AB474" s="542">
        <f>IF(AND(AB$4&gt;$T155,AB$4&lt;=$V155),1,0)*'Detailed Assumptions'!$E$6</f>
        <v>0</v>
      </c>
      <c r="AC474" s="542">
        <f>IF(AND(AC$4&gt;$T155,AC$4&lt;=$V155),1,0)*'Detailed Assumptions'!$E$6</f>
        <v>0</v>
      </c>
      <c r="AD474" s="542">
        <f>IF(AND(AD$4&gt;$T155,AD$4&lt;=$V155),1,0)*'Detailed Assumptions'!$E$6</f>
        <v>0</v>
      </c>
      <c r="AE474" s="542">
        <f>IF(AND(AE$4&gt;$T155,AE$4&lt;=$V155),1,0)*'Detailed Assumptions'!$E$6</f>
        <v>0</v>
      </c>
      <c r="AF474" s="542">
        <f>IF(AND(AF$4&gt;$T155,AF$4&lt;=$V155),1,0)*'Detailed Assumptions'!$E$6</f>
        <v>0</v>
      </c>
      <c r="AG474" s="542">
        <f>IF(AND(AG$4&gt;$T155,AG$4&lt;=$V155),1,0)*'Detailed Assumptions'!$E$6</f>
        <v>0</v>
      </c>
      <c r="AH474" s="542">
        <f>IF(AND(AH$4&gt;$T155,AH$4&lt;=$V155),1,0)*'Detailed Assumptions'!$E$6</f>
        <v>0</v>
      </c>
      <c r="AI474" s="542">
        <f>IF(AND(AI$4&gt;$T155,AI$4&lt;=$V155),1,0)*'Detailed Assumptions'!$E$6</f>
        <v>0</v>
      </c>
      <c r="AJ474" s="542">
        <f>IF(AND(AJ$4&gt;$T155,AJ$4&lt;=$V155),1,0)*'Detailed Assumptions'!$E$6</f>
        <v>0</v>
      </c>
      <c r="AK474" s="542">
        <f>IF(AND(AK$4&gt;$T155,AK$4&lt;=$V155),1,0)*'Detailed Assumptions'!$E$6</f>
        <v>0</v>
      </c>
      <c r="AL474" s="542">
        <f>IF(AND(AL$4&gt;$T155,AL$4&lt;=$V155),1,0)*'Detailed Assumptions'!$E$6</f>
        <v>0</v>
      </c>
      <c r="AM474" s="542">
        <f>IF(AND(AM$4&gt;$T155,AM$4&lt;=$V155),1,0)*'Detailed Assumptions'!$E$6</f>
        <v>0</v>
      </c>
      <c r="AN474" s="542">
        <f>IF(AND(AN$4&gt;$T155,AN$4&lt;=$V155),1,0)*'Detailed Assumptions'!$E$6</f>
        <v>0</v>
      </c>
      <c r="AO474" s="542">
        <f>IF(AND(AO$4&gt;$T155,AO$4&lt;=$V155),1,0)*'Detailed Assumptions'!$E$6</f>
        <v>0</v>
      </c>
      <c r="AP474" s="542">
        <f>IF(AND(AP$4&gt;$T155,AP$4&lt;=$V155),1,0)*'Detailed Assumptions'!$E$6</f>
        <v>0</v>
      </c>
      <c r="AQ474" s="542">
        <f>IF(AND(AQ$4&gt;$T155,AQ$4&lt;=$V155),1,0)*'Detailed Assumptions'!$E$6</f>
        <v>0</v>
      </c>
      <c r="AR474" s="542">
        <f>IF(AND(AR$4&gt;$T155,AR$4&lt;=$V155),1,0)*'Detailed Assumptions'!$E$6</f>
        <v>0</v>
      </c>
      <c r="AS474" s="542">
        <f>IF(AND(AS$4&gt;$T155,AS$4&lt;=$V155),1,0)*'Detailed Assumptions'!$E$6</f>
        <v>0</v>
      </c>
      <c r="AT474" s="542">
        <f>IF(AND(AT$4&gt;$T155,AT$4&lt;=$V155),1,0)*'Detailed Assumptions'!$E$6</f>
        <v>0</v>
      </c>
      <c r="AU474" s="542">
        <f>IF(AND(AU$4&gt;$T155,AU$4&lt;=$V155),1,0)*'Detailed Assumptions'!$E$6</f>
        <v>0</v>
      </c>
      <c r="AV474" s="542">
        <f>IF(AND(AV$4&gt;$T155,AV$4&lt;=$V155),1,0)*'Detailed Assumptions'!$E$6</f>
        <v>0</v>
      </c>
      <c r="AW474" s="542">
        <f>IF(AND(AW$4&gt;$T155,AW$4&lt;=$V155),1,0)*'Detailed Assumptions'!$E$6</f>
        <v>0</v>
      </c>
      <c r="AX474" s="542">
        <f>IF(AND(AX$4&gt;$T155,AX$4&lt;=$V155),1,0)*'Detailed Assumptions'!$E$6</f>
        <v>0</v>
      </c>
      <c r="AY474" s="542">
        <f>IF(AND(AY$4&gt;$T155,AY$4&lt;=$V155),1,0)*'Detailed Assumptions'!$E$6</f>
        <v>0</v>
      </c>
      <c r="AZ474" s="542">
        <f>IF(AND(AZ$4&gt;$T155,AZ$4&lt;=$V155),1,0)*'Detailed Assumptions'!$E$6</f>
        <v>0</v>
      </c>
      <c r="BA474" s="542">
        <f>IF(AND(BA$4&gt;$T155,BA$4&lt;=$V155),1,0)*'Detailed Assumptions'!$E$6</f>
        <v>0</v>
      </c>
      <c r="BB474" s="542">
        <f>IF(AND(BB$4&gt;$T155,BB$4&lt;=$V155),1,0)*'Detailed Assumptions'!$E$6</f>
        <v>0</v>
      </c>
      <c r="BC474" s="542">
        <f>IF(AND(BC$4&gt;$T155,BC$4&lt;=$V155),1,0)*'Detailed Assumptions'!$E$6</f>
        <v>0</v>
      </c>
      <c r="BD474" s="542">
        <f>IF(AND(BD$4&gt;$T155,BD$4&lt;=$V155),1,0)*'Detailed Assumptions'!$E$6</f>
        <v>0</v>
      </c>
      <c r="BE474" s="542">
        <f>IF(AND(BE$4&gt;$T155,BE$4&lt;=$V155),1,0)*'Detailed Assumptions'!$E$6</f>
        <v>0</v>
      </c>
      <c r="BF474" s="542">
        <f>IF(AND(BF$4&gt;$T155,BF$4&lt;=$V155),1,0)*'Detailed Assumptions'!$E$6</f>
        <v>0</v>
      </c>
      <c r="BG474" s="542">
        <f>IF(AND(BG$4&gt;$T155,BG$4&lt;=$V155),1,0)*'Detailed Assumptions'!$E$6</f>
        <v>0</v>
      </c>
      <c r="BH474" s="542">
        <f>IF(AND(BH$4&gt;$T155,BH$4&lt;=$V155),1,0)*'Detailed Assumptions'!$E$6</f>
        <v>0</v>
      </c>
      <c r="BI474" s="542">
        <f>IF(AND(BI$4&gt;$T155,BI$4&lt;=$V155),1,0)*'Detailed Assumptions'!$E$6</f>
        <v>0</v>
      </c>
      <c r="BJ474" s="542">
        <f>IF(AND(BJ$4&gt;$T155,BJ$4&lt;=$V155),1,0)*'Detailed Assumptions'!$E$6</f>
        <v>0</v>
      </c>
      <c r="BK474" s="542">
        <f>IF(AND(BK$4&gt;$T155,BK$4&lt;=$V155),1,0)*'Detailed Assumptions'!$E$6</f>
        <v>0</v>
      </c>
      <c r="BL474" s="542">
        <f>IF(AND(BL$4&gt;$T155,BL$4&lt;=$V155),1,0)*'Detailed Assumptions'!$E$6</f>
        <v>0</v>
      </c>
      <c r="BM474" s="542">
        <f>IF(AND(BM$4&gt;$T155,BM$4&lt;=$V155),1,0)*'Detailed Assumptions'!$E$6</f>
        <v>0</v>
      </c>
      <c r="BN474" s="542">
        <f>IF(AND(BN$4&gt;$T155,BN$4&lt;=$V155),1,0)*'Detailed Assumptions'!$E$6</f>
        <v>0</v>
      </c>
      <c r="BO474" s="542">
        <f>IF(AND(BO$4&gt;$T155,BO$4&lt;=$V155),1,0)*'Detailed Assumptions'!$E$6</f>
        <v>0</v>
      </c>
      <c r="BP474" s="542">
        <f>IF(AND(BP$4&gt;$T155,BP$4&lt;=$V155),1,0)*'Detailed Assumptions'!$E$6</f>
        <v>0</v>
      </c>
      <c r="BQ474" s="542">
        <f>IF(AND(BQ$4&gt;$T155,BQ$4&lt;=$V155),1,0)*'Detailed Assumptions'!$E$6</f>
        <v>0</v>
      </c>
      <c r="BR474" s="542">
        <f>IF(AND(BR$4&gt;$T155,BR$4&lt;=$V155),1,0)*'Detailed Assumptions'!$E$6</f>
        <v>0</v>
      </c>
      <c r="BS474" s="542">
        <f>IF(AND(BS$4&gt;$T155,BS$4&lt;=$V155),1,0)*'Detailed Assumptions'!$E$6</f>
        <v>0</v>
      </c>
      <c r="BT474" s="542">
        <f>IF(AND(BT$4&gt;$T155,BT$4&lt;=$V155),1,0)*'Detailed Assumptions'!$E$6</f>
        <v>0</v>
      </c>
      <c r="BU474" s="542">
        <f>IF(AND(BU$4&gt;$T155,BU$4&lt;=$V155),1,0)*'Detailed Assumptions'!$E$6</f>
        <v>0</v>
      </c>
      <c r="BV474" s="542">
        <f>IF(AND(BV$4&gt;$T155,BV$4&lt;=$V155),1,0)*'Detailed Assumptions'!$E$6</f>
        <v>0</v>
      </c>
      <c r="BW474" s="542">
        <f>IF(AND(BW$4&gt;$T155,BW$4&lt;=$V155),1,0)*'Detailed Assumptions'!$E$6</f>
        <v>0</v>
      </c>
      <c r="BX474" s="542">
        <f>IF(AND(BX$4&gt;$T155,BX$4&lt;=$V155),1,0)*'Detailed Assumptions'!$E$6</f>
        <v>0</v>
      </c>
      <c r="BY474" s="542">
        <f>IF(AND(BY$4&gt;$T155,BY$4&lt;=$V155),1,0)*'Detailed Assumptions'!$E$6</f>
        <v>0</v>
      </c>
    </row>
    <row r="475" spans="1:77" x14ac:dyDescent="0.3">
      <c r="A475" s="551"/>
      <c r="B475" s="548"/>
      <c r="C475" s="525"/>
      <c r="D475" s="525"/>
      <c r="E475" s="651" t="str">
        <f>"Flag - capex period: "&amp;E$156</f>
        <v>Flag - capex period: FY28 Tranche</v>
      </c>
      <c r="F475" s="525"/>
      <c r="G475" s="525"/>
      <c r="H475" s="525"/>
      <c r="I475" s="525"/>
      <c r="J475" s="525"/>
      <c r="K475" s="525"/>
      <c r="L475" s="525"/>
      <c r="M475" s="525"/>
      <c r="N475" s="525"/>
      <c r="O475" s="525"/>
      <c r="P475" s="565"/>
      <c r="Q475" s="525"/>
      <c r="R475" s="542">
        <f>IF(AND(R$4&gt;$T156,R$4&lt;=$V156),1,0)*'Detailed Assumptions'!$E$6</f>
        <v>0</v>
      </c>
      <c r="S475" s="542">
        <f>IF(AND(S$4&gt;$T156,S$4&lt;=$V156),1,0)*'Detailed Assumptions'!$E$6</f>
        <v>0</v>
      </c>
      <c r="T475" s="542">
        <f>IF(AND(T$4&gt;$T156,T$4&lt;=$V156),1,0)*'Detailed Assumptions'!$E$6</f>
        <v>0</v>
      </c>
      <c r="U475" s="542">
        <f>IF(AND(U$4&gt;$T156,U$4&lt;=$V156),1,0)*'Detailed Assumptions'!$E$6</f>
        <v>0</v>
      </c>
      <c r="V475" s="542">
        <f>IF(AND(V$4&gt;$T156,V$4&lt;=$V156),1,0)*'Detailed Assumptions'!$E$6</f>
        <v>0</v>
      </c>
      <c r="W475" s="542">
        <f>IF(AND(W$4&gt;$T156,W$4&lt;=$V156),1,0)*'Detailed Assumptions'!$E$6</f>
        <v>0</v>
      </c>
      <c r="X475" s="542">
        <f>IF(AND(X$4&gt;$T156,X$4&lt;=$V156),1,0)*'Detailed Assumptions'!$E$6</f>
        <v>0</v>
      </c>
      <c r="Y475" s="542">
        <f>IF(AND(Y$4&gt;$T156,Y$4&lt;=$V156),1,0)*'Detailed Assumptions'!$E$6</f>
        <v>0</v>
      </c>
      <c r="Z475" s="542">
        <f>IF(AND(Z$4&gt;$T156,Z$4&lt;=$V156),1,0)*'Detailed Assumptions'!$E$6</f>
        <v>0</v>
      </c>
      <c r="AA475" s="542">
        <f>IF(AND(AA$4&gt;$T156,AA$4&lt;=$V156),1,0)*'Detailed Assumptions'!$E$6</f>
        <v>0</v>
      </c>
      <c r="AB475" s="542">
        <f>IF(AND(AB$4&gt;$T156,AB$4&lt;=$V156),1,0)*'Detailed Assumptions'!$E$6</f>
        <v>0</v>
      </c>
      <c r="AC475" s="542">
        <f>IF(AND(AC$4&gt;$T156,AC$4&lt;=$V156),1,0)*'Detailed Assumptions'!$E$6</f>
        <v>0</v>
      </c>
      <c r="AD475" s="542">
        <f>IF(AND(AD$4&gt;$T156,AD$4&lt;=$V156),1,0)*'Detailed Assumptions'!$E$6</f>
        <v>0</v>
      </c>
      <c r="AE475" s="542">
        <f>IF(AND(AE$4&gt;$T156,AE$4&lt;=$V156),1,0)*'Detailed Assumptions'!$E$6</f>
        <v>0</v>
      </c>
      <c r="AF475" s="542">
        <f>IF(AND(AF$4&gt;$T156,AF$4&lt;=$V156),1,0)*'Detailed Assumptions'!$E$6</f>
        <v>0</v>
      </c>
      <c r="AG475" s="542">
        <f>IF(AND(AG$4&gt;$T156,AG$4&lt;=$V156),1,0)*'Detailed Assumptions'!$E$6</f>
        <v>0</v>
      </c>
      <c r="AH475" s="542">
        <f>IF(AND(AH$4&gt;$T156,AH$4&lt;=$V156),1,0)*'Detailed Assumptions'!$E$6</f>
        <v>0</v>
      </c>
      <c r="AI475" s="542">
        <f>IF(AND(AI$4&gt;$T156,AI$4&lt;=$V156),1,0)*'Detailed Assumptions'!$E$6</f>
        <v>1</v>
      </c>
      <c r="AJ475" s="542">
        <f>IF(AND(AJ$4&gt;$T156,AJ$4&lt;=$V156),1,0)*'Detailed Assumptions'!$E$6</f>
        <v>0</v>
      </c>
      <c r="AK475" s="542">
        <f>IF(AND(AK$4&gt;$T156,AK$4&lt;=$V156),1,0)*'Detailed Assumptions'!$E$6</f>
        <v>0</v>
      </c>
      <c r="AL475" s="542">
        <f>IF(AND(AL$4&gt;$T156,AL$4&lt;=$V156),1,0)*'Detailed Assumptions'!$E$6</f>
        <v>0</v>
      </c>
      <c r="AM475" s="542">
        <f>IF(AND(AM$4&gt;$T156,AM$4&lt;=$V156),1,0)*'Detailed Assumptions'!$E$6</f>
        <v>0</v>
      </c>
      <c r="AN475" s="542">
        <f>IF(AND(AN$4&gt;$T156,AN$4&lt;=$V156),1,0)*'Detailed Assumptions'!$E$6</f>
        <v>0</v>
      </c>
      <c r="AO475" s="542">
        <f>IF(AND(AO$4&gt;$T156,AO$4&lt;=$V156),1,0)*'Detailed Assumptions'!$E$6</f>
        <v>0</v>
      </c>
      <c r="AP475" s="542">
        <f>IF(AND(AP$4&gt;$T156,AP$4&lt;=$V156),1,0)*'Detailed Assumptions'!$E$6</f>
        <v>0</v>
      </c>
      <c r="AQ475" s="542">
        <f>IF(AND(AQ$4&gt;$T156,AQ$4&lt;=$V156),1,0)*'Detailed Assumptions'!$E$6</f>
        <v>0</v>
      </c>
      <c r="AR475" s="542">
        <f>IF(AND(AR$4&gt;$T156,AR$4&lt;=$V156),1,0)*'Detailed Assumptions'!$E$6</f>
        <v>0</v>
      </c>
      <c r="AS475" s="542">
        <f>IF(AND(AS$4&gt;$T156,AS$4&lt;=$V156),1,0)*'Detailed Assumptions'!$E$6</f>
        <v>0</v>
      </c>
      <c r="AT475" s="542">
        <f>IF(AND(AT$4&gt;$T156,AT$4&lt;=$V156),1,0)*'Detailed Assumptions'!$E$6</f>
        <v>0</v>
      </c>
      <c r="AU475" s="542">
        <f>IF(AND(AU$4&gt;$T156,AU$4&lt;=$V156),1,0)*'Detailed Assumptions'!$E$6</f>
        <v>0</v>
      </c>
      <c r="AV475" s="542">
        <f>IF(AND(AV$4&gt;$T156,AV$4&lt;=$V156),1,0)*'Detailed Assumptions'!$E$6</f>
        <v>0</v>
      </c>
      <c r="AW475" s="542">
        <f>IF(AND(AW$4&gt;$T156,AW$4&lt;=$V156),1,0)*'Detailed Assumptions'!$E$6</f>
        <v>0</v>
      </c>
      <c r="AX475" s="542">
        <f>IF(AND(AX$4&gt;$T156,AX$4&lt;=$V156),1,0)*'Detailed Assumptions'!$E$6</f>
        <v>0</v>
      </c>
      <c r="AY475" s="542">
        <f>IF(AND(AY$4&gt;$T156,AY$4&lt;=$V156),1,0)*'Detailed Assumptions'!$E$6</f>
        <v>0</v>
      </c>
      <c r="AZ475" s="542">
        <f>IF(AND(AZ$4&gt;$T156,AZ$4&lt;=$V156),1,0)*'Detailed Assumptions'!$E$6</f>
        <v>0</v>
      </c>
      <c r="BA475" s="542">
        <f>IF(AND(BA$4&gt;$T156,BA$4&lt;=$V156),1,0)*'Detailed Assumptions'!$E$6</f>
        <v>0</v>
      </c>
      <c r="BB475" s="542">
        <f>IF(AND(BB$4&gt;$T156,BB$4&lt;=$V156),1,0)*'Detailed Assumptions'!$E$6</f>
        <v>0</v>
      </c>
      <c r="BC475" s="542">
        <f>IF(AND(BC$4&gt;$T156,BC$4&lt;=$V156),1,0)*'Detailed Assumptions'!$E$6</f>
        <v>0</v>
      </c>
      <c r="BD475" s="542">
        <f>IF(AND(BD$4&gt;$T156,BD$4&lt;=$V156),1,0)*'Detailed Assumptions'!$E$6</f>
        <v>0</v>
      </c>
      <c r="BE475" s="542">
        <f>IF(AND(BE$4&gt;$T156,BE$4&lt;=$V156),1,0)*'Detailed Assumptions'!$E$6</f>
        <v>0</v>
      </c>
      <c r="BF475" s="542">
        <f>IF(AND(BF$4&gt;$T156,BF$4&lt;=$V156),1,0)*'Detailed Assumptions'!$E$6</f>
        <v>0</v>
      </c>
      <c r="BG475" s="542">
        <f>IF(AND(BG$4&gt;$T156,BG$4&lt;=$V156),1,0)*'Detailed Assumptions'!$E$6</f>
        <v>0</v>
      </c>
      <c r="BH475" s="542">
        <f>IF(AND(BH$4&gt;$T156,BH$4&lt;=$V156),1,0)*'Detailed Assumptions'!$E$6</f>
        <v>0</v>
      </c>
      <c r="BI475" s="542">
        <f>IF(AND(BI$4&gt;$T156,BI$4&lt;=$V156),1,0)*'Detailed Assumptions'!$E$6</f>
        <v>0</v>
      </c>
      <c r="BJ475" s="542">
        <f>IF(AND(BJ$4&gt;$T156,BJ$4&lt;=$V156),1,0)*'Detailed Assumptions'!$E$6</f>
        <v>0</v>
      </c>
      <c r="BK475" s="542">
        <f>IF(AND(BK$4&gt;$T156,BK$4&lt;=$V156),1,0)*'Detailed Assumptions'!$E$6</f>
        <v>0</v>
      </c>
      <c r="BL475" s="542">
        <f>IF(AND(BL$4&gt;$T156,BL$4&lt;=$V156),1,0)*'Detailed Assumptions'!$E$6</f>
        <v>0</v>
      </c>
      <c r="BM475" s="542">
        <f>IF(AND(BM$4&gt;$T156,BM$4&lt;=$V156),1,0)*'Detailed Assumptions'!$E$6</f>
        <v>0</v>
      </c>
      <c r="BN475" s="542">
        <f>IF(AND(BN$4&gt;$T156,BN$4&lt;=$V156),1,0)*'Detailed Assumptions'!$E$6</f>
        <v>0</v>
      </c>
      <c r="BO475" s="542">
        <f>IF(AND(BO$4&gt;$T156,BO$4&lt;=$V156),1,0)*'Detailed Assumptions'!$E$6</f>
        <v>0</v>
      </c>
      <c r="BP475" s="542">
        <f>IF(AND(BP$4&gt;$T156,BP$4&lt;=$V156),1,0)*'Detailed Assumptions'!$E$6</f>
        <v>0</v>
      </c>
      <c r="BQ475" s="542">
        <f>IF(AND(BQ$4&gt;$T156,BQ$4&lt;=$V156),1,0)*'Detailed Assumptions'!$E$6</f>
        <v>0</v>
      </c>
      <c r="BR475" s="542">
        <f>IF(AND(BR$4&gt;$T156,BR$4&lt;=$V156),1,0)*'Detailed Assumptions'!$E$6</f>
        <v>0</v>
      </c>
      <c r="BS475" s="542">
        <f>IF(AND(BS$4&gt;$T156,BS$4&lt;=$V156),1,0)*'Detailed Assumptions'!$E$6</f>
        <v>0</v>
      </c>
      <c r="BT475" s="542">
        <f>IF(AND(BT$4&gt;$T156,BT$4&lt;=$V156),1,0)*'Detailed Assumptions'!$E$6</f>
        <v>0</v>
      </c>
      <c r="BU475" s="542">
        <f>IF(AND(BU$4&gt;$T156,BU$4&lt;=$V156),1,0)*'Detailed Assumptions'!$E$6</f>
        <v>0</v>
      </c>
      <c r="BV475" s="542">
        <f>IF(AND(BV$4&gt;$T156,BV$4&lt;=$V156),1,0)*'Detailed Assumptions'!$E$6</f>
        <v>0</v>
      </c>
      <c r="BW475" s="542">
        <f>IF(AND(BW$4&gt;$T156,BW$4&lt;=$V156),1,0)*'Detailed Assumptions'!$E$6</f>
        <v>0</v>
      </c>
      <c r="BX475" s="542">
        <f>IF(AND(BX$4&gt;$T156,BX$4&lt;=$V156),1,0)*'Detailed Assumptions'!$E$6</f>
        <v>0</v>
      </c>
      <c r="BY475" s="542">
        <f>IF(AND(BY$4&gt;$T156,BY$4&lt;=$V156),1,0)*'Detailed Assumptions'!$E$6</f>
        <v>0</v>
      </c>
    </row>
    <row r="476" spans="1:77" x14ac:dyDescent="0.3">
      <c r="A476" s="551"/>
      <c r="B476" s="548"/>
      <c r="C476" s="525"/>
      <c r="D476" s="525"/>
      <c r="E476" s="651" t="str">
        <f>"Flag - capex period: "&amp;E$157</f>
        <v>Flag - capex period: FY29 Tranche</v>
      </c>
      <c r="F476" s="525"/>
      <c r="G476" s="525"/>
      <c r="H476" s="525"/>
      <c r="I476" s="525"/>
      <c r="J476" s="525"/>
      <c r="K476" s="525"/>
      <c r="L476" s="525"/>
      <c r="M476" s="525"/>
      <c r="N476" s="525"/>
      <c r="O476" s="525"/>
      <c r="P476" s="565"/>
      <c r="Q476" s="525"/>
      <c r="R476" s="542">
        <f>IF(AND(R$4&gt;$T157,R$4&lt;=$V157),1,0)*'Detailed Assumptions'!$E$6</f>
        <v>0</v>
      </c>
      <c r="S476" s="542">
        <f>IF(AND(S$4&gt;$T157,S$4&lt;=$V157),1,0)*'Detailed Assumptions'!$E$6</f>
        <v>0</v>
      </c>
      <c r="T476" s="542">
        <f>IF(AND(T$4&gt;$T157,T$4&lt;=$V157),1,0)*'Detailed Assumptions'!$E$6</f>
        <v>0</v>
      </c>
      <c r="U476" s="542">
        <f>IF(AND(U$4&gt;$T157,U$4&lt;=$V157),1,0)*'Detailed Assumptions'!$E$6</f>
        <v>0</v>
      </c>
      <c r="V476" s="542">
        <f>IF(AND(V$4&gt;$T157,V$4&lt;=$V157),1,0)*'Detailed Assumptions'!$E$6</f>
        <v>0</v>
      </c>
      <c r="W476" s="542">
        <f>IF(AND(W$4&gt;$T157,W$4&lt;=$V157),1,0)*'Detailed Assumptions'!$E$6</f>
        <v>0</v>
      </c>
      <c r="X476" s="542">
        <f>IF(AND(X$4&gt;$T157,X$4&lt;=$V157),1,0)*'Detailed Assumptions'!$E$6</f>
        <v>0</v>
      </c>
      <c r="Y476" s="542">
        <f>IF(AND(Y$4&gt;$T157,Y$4&lt;=$V157),1,0)*'Detailed Assumptions'!$E$6</f>
        <v>0</v>
      </c>
      <c r="Z476" s="542">
        <f>IF(AND(Z$4&gt;$T157,Z$4&lt;=$V157),1,0)*'Detailed Assumptions'!$E$6</f>
        <v>0</v>
      </c>
      <c r="AA476" s="542">
        <f>IF(AND(AA$4&gt;$T157,AA$4&lt;=$V157),1,0)*'Detailed Assumptions'!$E$6</f>
        <v>0</v>
      </c>
      <c r="AB476" s="542">
        <f>IF(AND(AB$4&gt;$T157,AB$4&lt;=$V157),1,0)*'Detailed Assumptions'!$E$6</f>
        <v>0</v>
      </c>
      <c r="AC476" s="542">
        <f>IF(AND(AC$4&gt;$T157,AC$4&lt;=$V157),1,0)*'Detailed Assumptions'!$E$6</f>
        <v>0</v>
      </c>
      <c r="AD476" s="542">
        <f>IF(AND(AD$4&gt;$T157,AD$4&lt;=$V157),1,0)*'Detailed Assumptions'!$E$6</f>
        <v>0</v>
      </c>
      <c r="AE476" s="542">
        <f>IF(AND(AE$4&gt;$T157,AE$4&lt;=$V157),1,0)*'Detailed Assumptions'!$E$6</f>
        <v>0</v>
      </c>
      <c r="AF476" s="542">
        <f>IF(AND(AF$4&gt;$T157,AF$4&lt;=$V157),1,0)*'Detailed Assumptions'!$E$6</f>
        <v>0</v>
      </c>
      <c r="AG476" s="542">
        <f>IF(AND(AG$4&gt;$T157,AG$4&lt;=$V157),1,0)*'Detailed Assumptions'!$E$6</f>
        <v>0</v>
      </c>
      <c r="AH476" s="542">
        <f>IF(AND(AH$4&gt;$T157,AH$4&lt;=$V157),1,0)*'Detailed Assumptions'!$E$6</f>
        <v>0</v>
      </c>
      <c r="AI476" s="542">
        <f>IF(AND(AI$4&gt;$T157,AI$4&lt;=$V157),1,0)*'Detailed Assumptions'!$E$6</f>
        <v>0</v>
      </c>
      <c r="AJ476" s="542">
        <f>IF(AND(AJ$4&gt;$T157,AJ$4&lt;=$V157),1,0)*'Detailed Assumptions'!$E$6</f>
        <v>0</v>
      </c>
      <c r="AK476" s="542">
        <f>IF(AND(AK$4&gt;$T157,AK$4&lt;=$V157),1,0)*'Detailed Assumptions'!$E$6</f>
        <v>0</v>
      </c>
      <c r="AL476" s="542">
        <f>IF(AND(AL$4&gt;$T157,AL$4&lt;=$V157),1,0)*'Detailed Assumptions'!$E$6</f>
        <v>0</v>
      </c>
      <c r="AM476" s="542">
        <f>IF(AND(AM$4&gt;$T157,AM$4&lt;=$V157),1,0)*'Detailed Assumptions'!$E$6</f>
        <v>0</v>
      </c>
      <c r="AN476" s="542">
        <f>IF(AND(AN$4&gt;$T157,AN$4&lt;=$V157),1,0)*'Detailed Assumptions'!$E$6</f>
        <v>0</v>
      </c>
      <c r="AO476" s="542">
        <f>IF(AND(AO$4&gt;$T157,AO$4&lt;=$V157),1,0)*'Detailed Assumptions'!$E$6</f>
        <v>0</v>
      </c>
      <c r="AP476" s="542">
        <f>IF(AND(AP$4&gt;$T157,AP$4&lt;=$V157),1,0)*'Detailed Assumptions'!$E$6</f>
        <v>0</v>
      </c>
      <c r="AQ476" s="542">
        <f>IF(AND(AQ$4&gt;$T157,AQ$4&lt;=$V157),1,0)*'Detailed Assumptions'!$E$6</f>
        <v>0</v>
      </c>
      <c r="AR476" s="542">
        <f>IF(AND(AR$4&gt;$T157,AR$4&lt;=$V157),1,0)*'Detailed Assumptions'!$E$6</f>
        <v>0</v>
      </c>
      <c r="AS476" s="542">
        <f>IF(AND(AS$4&gt;$T157,AS$4&lt;=$V157),1,0)*'Detailed Assumptions'!$E$6</f>
        <v>0</v>
      </c>
      <c r="AT476" s="542">
        <f>IF(AND(AT$4&gt;$T157,AT$4&lt;=$V157),1,0)*'Detailed Assumptions'!$E$6</f>
        <v>0</v>
      </c>
      <c r="AU476" s="542">
        <f>IF(AND(AU$4&gt;$T157,AU$4&lt;=$V157),1,0)*'Detailed Assumptions'!$E$6</f>
        <v>1</v>
      </c>
      <c r="AV476" s="542">
        <f>IF(AND(AV$4&gt;$T157,AV$4&lt;=$V157),1,0)*'Detailed Assumptions'!$E$6</f>
        <v>0</v>
      </c>
      <c r="AW476" s="542">
        <f>IF(AND(AW$4&gt;$T157,AW$4&lt;=$V157),1,0)*'Detailed Assumptions'!$E$6</f>
        <v>0</v>
      </c>
      <c r="AX476" s="542">
        <f>IF(AND(AX$4&gt;$T157,AX$4&lt;=$V157),1,0)*'Detailed Assumptions'!$E$6</f>
        <v>0</v>
      </c>
      <c r="AY476" s="542">
        <f>IF(AND(AY$4&gt;$T157,AY$4&lt;=$V157),1,0)*'Detailed Assumptions'!$E$6</f>
        <v>0</v>
      </c>
      <c r="AZ476" s="542">
        <f>IF(AND(AZ$4&gt;$T157,AZ$4&lt;=$V157),1,0)*'Detailed Assumptions'!$E$6</f>
        <v>0</v>
      </c>
      <c r="BA476" s="542">
        <f>IF(AND(BA$4&gt;$T157,BA$4&lt;=$V157),1,0)*'Detailed Assumptions'!$E$6</f>
        <v>0</v>
      </c>
      <c r="BB476" s="542">
        <f>IF(AND(BB$4&gt;$T157,BB$4&lt;=$V157),1,0)*'Detailed Assumptions'!$E$6</f>
        <v>0</v>
      </c>
      <c r="BC476" s="542">
        <f>IF(AND(BC$4&gt;$T157,BC$4&lt;=$V157),1,0)*'Detailed Assumptions'!$E$6</f>
        <v>0</v>
      </c>
      <c r="BD476" s="542">
        <f>IF(AND(BD$4&gt;$T157,BD$4&lt;=$V157),1,0)*'Detailed Assumptions'!$E$6</f>
        <v>0</v>
      </c>
      <c r="BE476" s="542">
        <f>IF(AND(BE$4&gt;$T157,BE$4&lt;=$V157),1,0)*'Detailed Assumptions'!$E$6</f>
        <v>0</v>
      </c>
      <c r="BF476" s="542">
        <f>IF(AND(BF$4&gt;$T157,BF$4&lt;=$V157),1,0)*'Detailed Assumptions'!$E$6</f>
        <v>0</v>
      </c>
      <c r="BG476" s="542">
        <f>IF(AND(BG$4&gt;$T157,BG$4&lt;=$V157),1,0)*'Detailed Assumptions'!$E$6</f>
        <v>0</v>
      </c>
      <c r="BH476" s="542">
        <f>IF(AND(BH$4&gt;$T157,BH$4&lt;=$V157),1,0)*'Detailed Assumptions'!$E$6</f>
        <v>0</v>
      </c>
      <c r="BI476" s="542">
        <f>IF(AND(BI$4&gt;$T157,BI$4&lt;=$V157),1,0)*'Detailed Assumptions'!$E$6</f>
        <v>0</v>
      </c>
      <c r="BJ476" s="542">
        <f>IF(AND(BJ$4&gt;$T157,BJ$4&lt;=$V157),1,0)*'Detailed Assumptions'!$E$6</f>
        <v>0</v>
      </c>
      <c r="BK476" s="542">
        <f>IF(AND(BK$4&gt;$T157,BK$4&lt;=$V157),1,0)*'Detailed Assumptions'!$E$6</f>
        <v>0</v>
      </c>
      <c r="BL476" s="542">
        <f>IF(AND(BL$4&gt;$T157,BL$4&lt;=$V157),1,0)*'Detailed Assumptions'!$E$6</f>
        <v>0</v>
      </c>
      <c r="BM476" s="542">
        <f>IF(AND(BM$4&gt;$T157,BM$4&lt;=$V157),1,0)*'Detailed Assumptions'!$E$6</f>
        <v>0</v>
      </c>
      <c r="BN476" s="542">
        <f>IF(AND(BN$4&gt;$T157,BN$4&lt;=$V157),1,0)*'Detailed Assumptions'!$E$6</f>
        <v>0</v>
      </c>
      <c r="BO476" s="542">
        <f>IF(AND(BO$4&gt;$T157,BO$4&lt;=$V157),1,0)*'Detailed Assumptions'!$E$6</f>
        <v>0</v>
      </c>
      <c r="BP476" s="542">
        <f>IF(AND(BP$4&gt;$T157,BP$4&lt;=$V157),1,0)*'Detailed Assumptions'!$E$6</f>
        <v>0</v>
      </c>
      <c r="BQ476" s="542">
        <f>IF(AND(BQ$4&gt;$T157,BQ$4&lt;=$V157),1,0)*'Detailed Assumptions'!$E$6</f>
        <v>0</v>
      </c>
      <c r="BR476" s="542">
        <f>IF(AND(BR$4&gt;$T157,BR$4&lt;=$V157),1,0)*'Detailed Assumptions'!$E$6</f>
        <v>0</v>
      </c>
      <c r="BS476" s="542">
        <f>IF(AND(BS$4&gt;$T157,BS$4&lt;=$V157),1,0)*'Detailed Assumptions'!$E$6</f>
        <v>0</v>
      </c>
      <c r="BT476" s="542">
        <f>IF(AND(BT$4&gt;$T157,BT$4&lt;=$V157),1,0)*'Detailed Assumptions'!$E$6</f>
        <v>0</v>
      </c>
      <c r="BU476" s="542">
        <f>IF(AND(BU$4&gt;$T157,BU$4&lt;=$V157),1,0)*'Detailed Assumptions'!$E$6</f>
        <v>0</v>
      </c>
      <c r="BV476" s="542">
        <f>IF(AND(BV$4&gt;$T157,BV$4&lt;=$V157),1,0)*'Detailed Assumptions'!$E$6</f>
        <v>0</v>
      </c>
      <c r="BW476" s="542">
        <f>IF(AND(BW$4&gt;$T157,BW$4&lt;=$V157),1,0)*'Detailed Assumptions'!$E$6</f>
        <v>0</v>
      </c>
      <c r="BX476" s="542">
        <f>IF(AND(BX$4&gt;$T157,BX$4&lt;=$V157),1,0)*'Detailed Assumptions'!$E$6</f>
        <v>0</v>
      </c>
      <c r="BY476" s="542">
        <f>IF(AND(BY$4&gt;$T157,BY$4&lt;=$V157),1,0)*'Detailed Assumptions'!$E$6</f>
        <v>0</v>
      </c>
    </row>
    <row r="477" spans="1:77" x14ac:dyDescent="0.3">
      <c r="A477" s="551"/>
      <c r="B477" s="548"/>
      <c r="C477" s="525"/>
      <c r="D477" s="525"/>
      <c r="E477" s="651" t="str">
        <f>"Flag - capex period: "&amp;E$158</f>
        <v>Flag - capex period: FY30 Tranche</v>
      </c>
      <c r="F477" s="525"/>
      <c r="G477" s="525"/>
      <c r="H477" s="525"/>
      <c r="I477" s="525"/>
      <c r="J477" s="525"/>
      <c r="K477" s="525"/>
      <c r="L477" s="525"/>
      <c r="M477" s="525"/>
      <c r="N477" s="525"/>
      <c r="O477" s="525"/>
      <c r="P477" s="565"/>
      <c r="Q477" s="525"/>
      <c r="R477" s="542">
        <f>IF(AND(R$4&gt;$T158,R$4&lt;=$V158),1,0)*'Detailed Assumptions'!$E$6</f>
        <v>0</v>
      </c>
      <c r="S477" s="542">
        <f>IF(AND(S$4&gt;$T158,S$4&lt;=$V158),1,0)*'Detailed Assumptions'!$E$6</f>
        <v>0</v>
      </c>
      <c r="T477" s="542">
        <f>IF(AND(T$4&gt;$T158,T$4&lt;=$V158),1,0)*'Detailed Assumptions'!$E$6</f>
        <v>0</v>
      </c>
      <c r="U477" s="542">
        <f>IF(AND(U$4&gt;$T158,U$4&lt;=$V158),1,0)*'Detailed Assumptions'!$E$6</f>
        <v>0</v>
      </c>
      <c r="V477" s="542">
        <f>IF(AND(V$4&gt;$T158,V$4&lt;=$V158),1,0)*'Detailed Assumptions'!$E$6</f>
        <v>0</v>
      </c>
      <c r="W477" s="542">
        <f>IF(AND(W$4&gt;$T158,W$4&lt;=$V158),1,0)*'Detailed Assumptions'!$E$6</f>
        <v>0</v>
      </c>
      <c r="X477" s="542">
        <f>IF(AND(X$4&gt;$T158,X$4&lt;=$V158),1,0)*'Detailed Assumptions'!$E$6</f>
        <v>0</v>
      </c>
      <c r="Y477" s="542">
        <f>IF(AND(Y$4&gt;$T158,Y$4&lt;=$V158),1,0)*'Detailed Assumptions'!$E$6</f>
        <v>0</v>
      </c>
      <c r="Z477" s="542">
        <f>IF(AND(Z$4&gt;$T158,Z$4&lt;=$V158),1,0)*'Detailed Assumptions'!$E$6</f>
        <v>0</v>
      </c>
      <c r="AA477" s="542">
        <f>IF(AND(AA$4&gt;$T158,AA$4&lt;=$V158),1,0)*'Detailed Assumptions'!$E$6</f>
        <v>0</v>
      </c>
      <c r="AB477" s="542">
        <f>IF(AND(AB$4&gt;$T158,AB$4&lt;=$V158),1,0)*'Detailed Assumptions'!$E$6</f>
        <v>0</v>
      </c>
      <c r="AC477" s="542">
        <f>IF(AND(AC$4&gt;$T158,AC$4&lt;=$V158),1,0)*'Detailed Assumptions'!$E$6</f>
        <v>0</v>
      </c>
      <c r="AD477" s="542">
        <f>IF(AND(AD$4&gt;$T158,AD$4&lt;=$V158),1,0)*'Detailed Assumptions'!$E$6</f>
        <v>0</v>
      </c>
      <c r="AE477" s="542">
        <f>IF(AND(AE$4&gt;$T158,AE$4&lt;=$V158),1,0)*'Detailed Assumptions'!$E$6</f>
        <v>0</v>
      </c>
      <c r="AF477" s="542">
        <f>IF(AND(AF$4&gt;$T158,AF$4&lt;=$V158),1,0)*'Detailed Assumptions'!$E$6</f>
        <v>0</v>
      </c>
      <c r="AG477" s="542">
        <f>IF(AND(AG$4&gt;$T158,AG$4&lt;=$V158),1,0)*'Detailed Assumptions'!$E$6</f>
        <v>0</v>
      </c>
      <c r="AH477" s="542">
        <f>IF(AND(AH$4&gt;$T158,AH$4&lt;=$V158),1,0)*'Detailed Assumptions'!$E$6</f>
        <v>0</v>
      </c>
      <c r="AI477" s="542">
        <f>IF(AND(AI$4&gt;$T158,AI$4&lt;=$V158),1,0)*'Detailed Assumptions'!$E$6</f>
        <v>0</v>
      </c>
      <c r="AJ477" s="542">
        <f>IF(AND(AJ$4&gt;$T158,AJ$4&lt;=$V158),1,0)*'Detailed Assumptions'!$E$6</f>
        <v>0</v>
      </c>
      <c r="AK477" s="542">
        <f>IF(AND(AK$4&gt;$T158,AK$4&lt;=$V158),1,0)*'Detailed Assumptions'!$E$6</f>
        <v>0</v>
      </c>
      <c r="AL477" s="542">
        <f>IF(AND(AL$4&gt;$T158,AL$4&lt;=$V158),1,0)*'Detailed Assumptions'!$E$6</f>
        <v>0</v>
      </c>
      <c r="AM477" s="542">
        <f>IF(AND(AM$4&gt;$T158,AM$4&lt;=$V158),1,0)*'Detailed Assumptions'!$E$6</f>
        <v>0</v>
      </c>
      <c r="AN477" s="542">
        <f>IF(AND(AN$4&gt;$T158,AN$4&lt;=$V158),1,0)*'Detailed Assumptions'!$E$6</f>
        <v>0</v>
      </c>
      <c r="AO477" s="542">
        <f>IF(AND(AO$4&gt;$T158,AO$4&lt;=$V158),1,0)*'Detailed Assumptions'!$E$6</f>
        <v>0</v>
      </c>
      <c r="AP477" s="542">
        <f>IF(AND(AP$4&gt;$T158,AP$4&lt;=$V158),1,0)*'Detailed Assumptions'!$E$6</f>
        <v>0</v>
      </c>
      <c r="AQ477" s="542">
        <f>IF(AND(AQ$4&gt;$T158,AQ$4&lt;=$V158),1,0)*'Detailed Assumptions'!$E$6</f>
        <v>0</v>
      </c>
      <c r="AR477" s="542">
        <f>IF(AND(AR$4&gt;$T158,AR$4&lt;=$V158),1,0)*'Detailed Assumptions'!$E$6</f>
        <v>0</v>
      </c>
      <c r="AS477" s="542">
        <f>IF(AND(AS$4&gt;$T158,AS$4&lt;=$V158),1,0)*'Detailed Assumptions'!$E$6</f>
        <v>0</v>
      </c>
      <c r="AT477" s="542">
        <f>IF(AND(AT$4&gt;$T158,AT$4&lt;=$V158),1,0)*'Detailed Assumptions'!$E$6</f>
        <v>0</v>
      </c>
      <c r="AU477" s="542">
        <f>IF(AND(AU$4&gt;$T158,AU$4&lt;=$V158),1,0)*'Detailed Assumptions'!$E$6</f>
        <v>0</v>
      </c>
      <c r="AV477" s="542">
        <f>IF(AND(AV$4&gt;$T158,AV$4&lt;=$V158),1,0)*'Detailed Assumptions'!$E$6</f>
        <v>0</v>
      </c>
      <c r="AW477" s="542">
        <f>IF(AND(AW$4&gt;$T158,AW$4&lt;=$V158),1,0)*'Detailed Assumptions'!$E$6</f>
        <v>0</v>
      </c>
      <c r="AX477" s="542">
        <f>IF(AND(AX$4&gt;$T158,AX$4&lt;=$V158),1,0)*'Detailed Assumptions'!$E$6</f>
        <v>0</v>
      </c>
      <c r="AY477" s="542">
        <f>IF(AND(AY$4&gt;$T158,AY$4&lt;=$V158),1,0)*'Detailed Assumptions'!$E$6</f>
        <v>0</v>
      </c>
      <c r="AZ477" s="542">
        <f>IF(AND(AZ$4&gt;$T158,AZ$4&lt;=$V158),1,0)*'Detailed Assumptions'!$E$6</f>
        <v>0</v>
      </c>
      <c r="BA477" s="542">
        <f>IF(AND(BA$4&gt;$T158,BA$4&lt;=$V158),1,0)*'Detailed Assumptions'!$E$6</f>
        <v>0</v>
      </c>
      <c r="BB477" s="542">
        <f>IF(AND(BB$4&gt;$T158,BB$4&lt;=$V158),1,0)*'Detailed Assumptions'!$E$6</f>
        <v>0</v>
      </c>
      <c r="BC477" s="542">
        <f>IF(AND(BC$4&gt;$T158,BC$4&lt;=$V158),1,0)*'Detailed Assumptions'!$E$6</f>
        <v>0</v>
      </c>
      <c r="BD477" s="542">
        <f>IF(AND(BD$4&gt;$T158,BD$4&lt;=$V158),1,0)*'Detailed Assumptions'!$E$6</f>
        <v>0</v>
      </c>
      <c r="BE477" s="542">
        <f>IF(AND(BE$4&gt;$T158,BE$4&lt;=$V158),1,0)*'Detailed Assumptions'!$E$6</f>
        <v>0</v>
      </c>
      <c r="BF477" s="542">
        <f>IF(AND(BF$4&gt;$T158,BF$4&lt;=$V158),1,0)*'Detailed Assumptions'!$E$6</f>
        <v>0</v>
      </c>
      <c r="BG477" s="542">
        <f>IF(AND(BG$4&gt;$T158,BG$4&lt;=$V158),1,0)*'Detailed Assumptions'!$E$6</f>
        <v>1</v>
      </c>
      <c r="BH477" s="542">
        <f>IF(AND(BH$4&gt;$T158,BH$4&lt;=$V158),1,0)*'Detailed Assumptions'!$E$6</f>
        <v>0</v>
      </c>
      <c r="BI477" s="542">
        <f>IF(AND(BI$4&gt;$T158,BI$4&lt;=$V158),1,0)*'Detailed Assumptions'!$E$6</f>
        <v>0</v>
      </c>
      <c r="BJ477" s="542">
        <f>IF(AND(BJ$4&gt;$T158,BJ$4&lt;=$V158),1,0)*'Detailed Assumptions'!$E$6</f>
        <v>0</v>
      </c>
      <c r="BK477" s="542">
        <f>IF(AND(BK$4&gt;$T158,BK$4&lt;=$V158),1,0)*'Detailed Assumptions'!$E$6</f>
        <v>0</v>
      </c>
      <c r="BL477" s="542">
        <f>IF(AND(BL$4&gt;$T158,BL$4&lt;=$V158),1,0)*'Detailed Assumptions'!$E$6</f>
        <v>0</v>
      </c>
      <c r="BM477" s="542">
        <f>IF(AND(BM$4&gt;$T158,BM$4&lt;=$V158),1,0)*'Detailed Assumptions'!$E$6</f>
        <v>0</v>
      </c>
      <c r="BN477" s="542">
        <f>IF(AND(BN$4&gt;$T158,BN$4&lt;=$V158),1,0)*'Detailed Assumptions'!$E$6</f>
        <v>0</v>
      </c>
      <c r="BO477" s="542">
        <f>IF(AND(BO$4&gt;$T158,BO$4&lt;=$V158),1,0)*'Detailed Assumptions'!$E$6</f>
        <v>0</v>
      </c>
      <c r="BP477" s="542">
        <f>IF(AND(BP$4&gt;$T158,BP$4&lt;=$V158),1,0)*'Detailed Assumptions'!$E$6</f>
        <v>0</v>
      </c>
      <c r="BQ477" s="542">
        <f>IF(AND(BQ$4&gt;$T158,BQ$4&lt;=$V158),1,0)*'Detailed Assumptions'!$E$6</f>
        <v>0</v>
      </c>
      <c r="BR477" s="542">
        <f>IF(AND(BR$4&gt;$T158,BR$4&lt;=$V158),1,0)*'Detailed Assumptions'!$E$6</f>
        <v>0</v>
      </c>
      <c r="BS477" s="542">
        <f>IF(AND(BS$4&gt;$T158,BS$4&lt;=$V158),1,0)*'Detailed Assumptions'!$E$6</f>
        <v>0</v>
      </c>
      <c r="BT477" s="542">
        <f>IF(AND(BT$4&gt;$T158,BT$4&lt;=$V158),1,0)*'Detailed Assumptions'!$E$6</f>
        <v>0</v>
      </c>
      <c r="BU477" s="542">
        <f>IF(AND(BU$4&gt;$T158,BU$4&lt;=$V158),1,0)*'Detailed Assumptions'!$E$6</f>
        <v>0</v>
      </c>
      <c r="BV477" s="542">
        <f>IF(AND(BV$4&gt;$T158,BV$4&lt;=$V158),1,0)*'Detailed Assumptions'!$E$6</f>
        <v>0</v>
      </c>
      <c r="BW477" s="542">
        <f>IF(AND(BW$4&gt;$T158,BW$4&lt;=$V158),1,0)*'Detailed Assumptions'!$E$6</f>
        <v>0</v>
      </c>
      <c r="BX477" s="542">
        <f>IF(AND(BX$4&gt;$T158,BX$4&lt;=$V158),1,0)*'Detailed Assumptions'!$E$6</f>
        <v>0</v>
      </c>
      <c r="BY477" s="542">
        <f>IF(AND(BY$4&gt;$T158,BY$4&lt;=$V158),1,0)*'Detailed Assumptions'!$E$6</f>
        <v>0</v>
      </c>
    </row>
    <row r="478" spans="1:77" x14ac:dyDescent="0.3">
      <c r="A478" s="551"/>
      <c r="B478" s="548"/>
      <c r="C478" s="525"/>
      <c r="D478" s="525"/>
      <c r="E478" s="651" t="str">
        <f>"Flag - capex period: "&amp;E$159</f>
        <v>Flag - capex period: FY31 Tranche</v>
      </c>
      <c r="F478" s="525"/>
      <c r="G478" s="525"/>
      <c r="H478" s="525"/>
      <c r="I478" s="525"/>
      <c r="J478" s="525"/>
      <c r="K478" s="525"/>
      <c r="L478" s="525"/>
      <c r="M478" s="525"/>
      <c r="N478" s="525"/>
      <c r="O478" s="525"/>
      <c r="P478" s="565"/>
      <c r="Q478" s="525"/>
      <c r="R478" s="542">
        <f>IF(AND(R$4&gt;$T159,R$4&lt;=$V159),1,0)*'Detailed Assumptions'!$E$6</f>
        <v>0</v>
      </c>
      <c r="S478" s="542">
        <f>IF(AND(S$4&gt;$T159,S$4&lt;=$V159),1,0)*'Detailed Assumptions'!$E$6</f>
        <v>0</v>
      </c>
      <c r="T478" s="542">
        <f>IF(AND(T$4&gt;$T159,T$4&lt;=$V159),1,0)*'Detailed Assumptions'!$E$6</f>
        <v>0</v>
      </c>
      <c r="U478" s="542">
        <f>IF(AND(U$4&gt;$T159,U$4&lt;=$V159),1,0)*'Detailed Assumptions'!$E$6</f>
        <v>0</v>
      </c>
      <c r="V478" s="542">
        <f>IF(AND(V$4&gt;$T159,V$4&lt;=$V159),1,0)*'Detailed Assumptions'!$E$6</f>
        <v>0</v>
      </c>
      <c r="W478" s="542">
        <f>IF(AND(W$4&gt;$T159,W$4&lt;=$V159),1,0)*'Detailed Assumptions'!$E$6</f>
        <v>0</v>
      </c>
      <c r="X478" s="542">
        <f>IF(AND(X$4&gt;$T159,X$4&lt;=$V159),1,0)*'Detailed Assumptions'!$E$6</f>
        <v>0</v>
      </c>
      <c r="Y478" s="542">
        <f>IF(AND(Y$4&gt;$T159,Y$4&lt;=$V159),1,0)*'Detailed Assumptions'!$E$6</f>
        <v>0</v>
      </c>
      <c r="Z478" s="542">
        <f>IF(AND(Z$4&gt;$T159,Z$4&lt;=$V159),1,0)*'Detailed Assumptions'!$E$6</f>
        <v>0</v>
      </c>
      <c r="AA478" s="542">
        <f>IF(AND(AA$4&gt;$T159,AA$4&lt;=$V159),1,0)*'Detailed Assumptions'!$E$6</f>
        <v>0</v>
      </c>
      <c r="AB478" s="542">
        <f>IF(AND(AB$4&gt;$T159,AB$4&lt;=$V159),1,0)*'Detailed Assumptions'!$E$6</f>
        <v>0</v>
      </c>
      <c r="AC478" s="542">
        <f>IF(AND(AC$4&gt;$T159,AC$4&lt;=$V159),1,0)*'Detailed Assumptions'!$E$6</f>
        <v>0</v>
      </c>
      <c r="AD478" s="542">
        <f>IF(AND(AD$4&gt;$T159,AD$4&lt;=$V159),1,0)*'Detailed Assumptions'!$E$6</f>
        <v>0</v>
      </c>
      <c r="AE478" s="542">
        <f>IF(AND(AE$4&gt;$T159,AE$4&lt;=$V159),1,0)*'Detailed Assumptions'!$E$6</f>
        <v>0</v>
      </c>
      <c r="AF478" s="542">
        <f>IF(AND(AF$4&gt;$T159,AF$4&lt;=$V159),1,0)*'Detailed Assumptions'!$E$6</f>
        <v>0</v>
      </c>
      <c r="AG478" s="542">
        <f>IF(AND(AG$4&gt;$T159,AG$4&lt;=$V159),1,0)*'Detailed Assumptions'!$E$6</f>
        <v>0</v>
      </c>
      <c r="AH478" s="542">
        <f>IF(AND(AH$4&gt;$T159,AH$4&lt;=$V159),1,0)*'Detailed Assumptions'!$E$6</f>
        <v>0</v>
      </c>
      <c r="AI478" s="542">
        <f>IF(AND(AI$4&gt;$T159,AI$4&lt;=$V159),1,0)*'Detailed Assumptions'!$E$6</f>
        <v>0</v>
      </c>
      <c r="AJ478" s="542">
        <f>IF(AND(AJ$4&gt;$T159,AJ$4&lt;=$V159),1,0)*'Detailed Assumptions'!$E$6</f>
        <v>0</v>
      </c>
      <c r="AK478" s="542">
        <f>IF(AND(AK$4&gt;$T159,AK$4&lt;=$V159),1,0)*'Detailed Assumptions'!$E$6</f>
        <v>0</v>
      </c>
      <c r="AL478" s="542">
        <f>IF(AND(AL$4&gt;$T159,AL$4&lt;=$V159),1,0)*'Detailed Assumptions'!$E$6</f>
        <v>0</v>
      </c>
      <c r="AM478" s="542">
        <f>IF(AND(AM$4&gt;$T159,AM$4&lt;=$V159),1,0)*'Detailed Assumptions'!$E$6</f>
        <v>0</v>
      </c>
      <c r="AN478" s="542">
        <f>IF(AND(AN$4&gt;$T159,AN$4&lt;=$V159),1,0)*'Detailed Assumptions'!$E$6</f>
        <v>0</v>
      </c>
      <c r="AO478" s="542">
        <f>IF(AND(AO$4&gt;$T159,AO$4&lt;=$V159),1,0)*'Detailed Assumptions'!$E$6</f>
        <v>0</v>
      </c>
      <c r="AP478" s="542">
        <f>IF(AND(AP$4&gt;$T159,AP$4&lt;=$V159),1,0)*'Detailed Assumptions'!$E$6</f>
        <v>0</v>
      </c>
      <c r="AQ478" s="542">
        <f>IF(AND(AQ$4&gt;$T159,AQ$4&lt;=$V159),1,0)*'Detailed Assumptions'!$E$6</f>
        <v>0</v>
      </c>
      <c r="AR478" s="542">
        <f>IF(AND(AR$4&gt;$T159,AR$4&lt;=$V159),1,0)*'Detailed Assumptions'!$E$6</f>
        <v>0</v>
      </c>
      <c r="AS478" s="542">
        <f>IF(AND(AS$4&gt;$T159,AS$4&lt;=$V159),1,0)*'Detailed Assumptions'!$E$6</f>
        <v>0</v>
      </c>
      <c r="AT478" s="542">
        <f>IF(AND(AT$4&gt;$T159,AT$4&lt;=$V159),1,0)*'Detailed Assumptions'!$E$6</f>
        <v>0</v>
      </c>
      <c r="AU478" s="542">
        <f>IF(AND(AU$4&gt;$T159,AU$4&lt;=$V159),1,0)*'Detailed Assumptions'!$E$6</f>
        <v>0</v>
      </c>
      <c r="AV478" s="542">
        <f>IF(AND(AV$4&gt;$T159,AV$4&lt;=$V159),1,0)*'Detailed Assumptions'!$E$6</f>
        <v>0</v>
      </c>
      <c r="AW478" s="542">
        <f>IF(AND(AW$4&gt;$T159,AW$4&lt;=$V159),1,0)*'Detailed Assumptions'!$E$6</f>
        <v>0</v>
      </c>
      <c r="AX478" s="542">
        <f>IF(AND(AX$4&gt;$T159,AX$4&lt;=$V159),1,0)*'Detailed Assumptions'!$E$6</f>
        <v>0</v>
      </c>
      <c r="AY478" s="542">
        <f>IF(AND(AY$4&gt;$T159,AY$4&lt;=$V159),1,0)*'Detailed Assumptions'!$E$6</f>
        <v>0</v>
      </c>
      <c r="AZ478" s="542">
        <f>IF(AND(AZ$4&gt;$T159,AZ$4&lt;=$V159),1,0)*'Detailed Assumptions'!$E$6</f>
        <v>0</v>
      </c>
      <c r="BA478" s="542">
        <f>IF(AND(BA$4&gt;$T159,BA$4&lt;=$V159),1,0)*'Detailed Assumptions'!$E$6</f>
        <v>0</v>
      </c>
      <c r="BB478" s="542">
        <f>IF(AND(BB$4&gt;$T159,BB$4&lt;=$V159),1,0)*'Detailed Assumptions'!$E$6</f>
        <v>0</v>
      </c>
      <c r="BC478" s="542">
        <f>IF(AND(BC$4&gt;$T159,BC$4&lt;=$V159),1,0)*'Detailed Assumptions'!$E$6</f>
        <v>0</v>
      </c>
      <c r="BD478" s="542">
        <f>IF(AND(BD$4&gt;$T159,BD$4&lt;=$V159),1,0)*'Detailed Assumptions'!$E$6</f>
        <v>0</v>
      </c>
      <c r="BE478" s="542">
        <f>IF(AND(BE$4&gt;$T159,BE$4&lt;=$V159),1,0)*'Detailed Assumptions'!$E$6</f>
        <v>0</v>
      </c>
      <c r="BF478" s="542">
        <f>IF(AND(BF$4&gt;$T159,BF$4&lt;=$V159),1,0)*'Detailed Assumptions'!$E$6</f>
        <v>0</v>
      </c>
      <c r="BG478" s="542">
        <f>IF(AND(BG$4&gt;$T159,BG$4&lt;=$V159),1,0)*'Detailed Assumptions'!$E$6</f>
        <v>0</v>
      </c>
      <c r="BH478" s="542">
        <f>IF(AND(BH$4&gt;$T159,BH$4&lt;=$V159),1,0)*'Detailed Assumptions'!$E$6</f>
        <v>0</v>
      </c>
      <c r="BI478" s="542">
        <f>IF(AND(BI$4&gt;$T159,BI$4&lt;=$V159),1,0)*'Detailed Assumptions'!$E$6</f>
        <v>0</v>
      </c>
      <c r="BJ478" s="542">
        <f>IF(AND(BJ$4&gt;$T159,BJ$4&lt;=$V159),1,0)*'Detailed Assumptions'!$E$6</f>
        <v>0</v>
      </c>
      <c r="BK478" s="542">
        <f>IF(AND(BK$4&gt;$T159,BK$4&lt;=$V159),1,0)*'Detailed Assumptions'!$E$6</f>
        <v>0</v>
      </c>
      <c r="BL478" s="542">
        <f>IF(AND(BL$4&gt;$T159,BL$4&lt;=$V159),1,0)*'Detailed Assumptions'!$E$6</f>
        <v>0</v>
      </c>
      <c r="BM478" s="542">
        <f>IF(AND(BM$4&gt;$T159,BM$4&lt;=$V159),1,0)*'Detailed Assumptions'!$E$6</f>
        <v>0</v>
      </c>
      <c r="BN478" s="542">
        <f>IF(AND(BN$4&gt;$T159,BN$4&lt;=$V159),1,0)*'Detailed Assumptions'!$E$6</f>
        <v>0</v>
      </c>
      <c r="BO478" s="542">
        <f>IF(AND(BO$4&gt;$T159,BO$4&lt;=$V159),1,0)*'Detailed Assumptions'!$E$6</f>
        <v>0</v>
      </c>
      <c r="BP478" s="542">
        <f>IF(AND(BP$4&gt;$T159,BP$4&lt;=$V159),1,0)*'Detailed Assumptions'!$E$6</f>
        <v>0</v>
      </c>
      <c r="BQ478" s="542">
        <f>IF(AND(BQ$4&gt;$T159,BQ$4&lt;=$V159),1,0)*'Detailed Assumptions'!$E$6</f>
        <v>0</v>
      </c>
      <c r="BR478" s="542">
        <f>IF(AND(BR$4&gt;$T159,BR$4&lt;=$V159),1,0)*'Detailed Assumptions'!$E$6</f>
        <v>0</v>
      </c>
      <c r="BS478" s="542">
        <f>IF(AND(BS$4&gt;$T159,BS$4&lt;=$V159),1,0)*'Detailed Assumptions'!$E$6</f>
        <v>1</v>
      </c>
      <c r="BT478" s="542">
        <f>IF(AND(BT$4&gt;$T159,BT$4&lt;=$V159),1,0)*'Detailed Assumptions'!$E$6</f>
        <v>0</v>
      </c>
      <c r="BU478" s="542">
        <f>IF(AND(BU$4&gt;$T159,BU$4&lt;=$V159),1,0)*'Detailed Assumptions'!$E$6</f>
        <v>0</v>
      </c>
      <c r="BV478" s="542">
        <f>IF(AND(BV$4&gt;$T159,BV$4&lt;=$V159),1,0)*'Detailed Assumptions'!$E$6</f>
        <v>0</v>
      </c>
      <c r="BW478" s="542">
        <f>IF(AND(BW$4&gt;$T159,BW$4&lt;=$V159),1,0)*'Detailed Assumptions'!$E$6</f>
        <v>0</v>
      </c>
      <c r="BX478" s="542">
        <f>IF(AND(BX$4&gt;$T159,BX$4&lt;=$V159),1,0)*'Detailed Assumptions'!$E$6</f>
        <v>0</v>
      </c>
      <c r="BY478" s="542">
        <f>IF(AND(BY$4&gt;$T159,BY$4&lt;=$V159),1,0)*'Detailed Assumptions'!$E$6</f>
        <v>0</v>
      </c>
    </row>
    <row r="479" spans="1:77" x14ac:dyDescent="0.3">
      <c r="A479" s="551"/>
      <c r="B479" s="548"/>
      <c r="C479" s="525"/>
      <c r="D479" s="525"/>
      <c r="E479" s="651" t="str">
        <f>"Flag - capex period: "&amp;E$160</f>
        <v>Flag - capex period: Uninvested Tranche</v>
      </c>
      <c r="F479" s="525"/>
      <c r="G479" s="525"/>
      <c r="H479" s="525"/>
      <c r="I479" s="525"/>
      <c r="J479" s="525"/>
      <c r="K479" s="525"/>
      <c r="L479" s="525"/>
      <c r="M479" s="525"/>
      <c r="N479" s="525"/>
      <c r="O479" s="525"/>
      <c r="P479" s="565"/>
      <c r="Q479" s="525"/>
      <c r="R479" s="542">
        <f>IF(AND(R$4&gt;$T160,R$4&lt;=$V160),1,0)*'Detailed Assumptions'!$E$6</f>
        <v>0</v>
      </c>
      <c r="S479" s="542">
        <f>IF(AND(S$4&gt;$T160,S$4&lt;=$V160),1,0)*'Detailed Assumptions'!$E$6</f>
        <v>0</v>
      </c>
      <c r="T479" s="542">
        <f>IF(AND(T$4&gt;$T160,T$4&lt;=$V160),1,0)*'Detailed Assumptions'!$E$6</f>
        <v>0</v>
      </c>
      <c r="U479" s="542">
        <f>IF(AND(U$4&gt;$T160,U$4&lt;=$V160),1,0)*'Detailed Assumptions'!$E$6</f>
        <v>0</v>
      </c>
      <c r="V479" s="542">
        <f>IF(AND(V$4&gt;$T160,V$4&lt;=$V160),1,0)*'Detailed Assumptions'!$E$6</f>
        <v>0</v>
      </c>
      <c r="W479" s="542">
        <f>IF(AND(W$4&gt;$T160,W$4&lt;=$V160),1,0)*'Detailed Assumptions'!$E$6</f>
        <v>0</v>
      </c>
      <c r="X479" s="542">
        <f>IF(AND(X$4&gt;$T160,X$4&lt;=$V160),1,0)*'Detailed Assumptions'!$E$6</f>
        <v>0</v>
      </c>
      <c r="Y479" s="542">
        <f>IF(AND(Y$4&gt;$T160,Y$4&lt;=$V160),1,0)*'Detailed Assumptions'!$E$6</f>
        <v>0</v>
      </c>
      <c r="Z479" s="542">
        <f>IF(AND(Z$4&gt;$T160,Z$4&lt;=$V160),1,0)*'Detailed Assumptions'!$E$6</f>
        <v>0</v>
      </c>
      <c r="AA479" s="542">
        <f>IF(AND(AA$4&gt;$T160,AA$4&lt;=$V160),1,0)*'Detailed Assumptions'!$E$6</f>
        <v>0</v>
      </c>
      <c r="AB479" s="542">
        <f>IF(AND(AB$4&gt;$T160,AB$4&lt;=$V160),1,0)*'Detailed Assumptions'!$E$6</f>
        <v>0</v>
      </c>
      <c r="AC479" s="542">
        <f>IF(AND(AC$4&gt;$T160,AC$4&lt;=$V160),1,0)*'Detailed Assumptions'!$E$6</f>
        <v>0</v>
      </c>
      <c r="AD479" s="542">
        <f>IF(AND(AD$4&gt;$T160,AD$4&lt;=$V160),1,0)*'Detailed Assumptions'!$E$6</f>
        <v>0</v>
      </c>
      <c r="AE479" s="542">
        <f>IF(AND(AE$4&gt;$T160,AE$4&lt;=$V160),1,0)*'Detailed Assumptions'!$E$6</f>
        <v>0</v>
      </c>
      <c r="AF479" s="542">
        <f>IF(AND(AF$4&gt;$T160,AF$4&lt;=$V160),1,0)*'Detailed Assumptions'!$E$6</f>
        <v>0</v>
      </c>
      <c r="AG479" s="542">
        <f>IF(AND(AG$4&gt;$T160,AG$4&lt;=$V160),1,0)*'Detailed Assumptions'!$E$6</f>
        <v>0</v>
      </c>
      <c r="AH479" s="542">
        <f>IF(AND(AH$4&gt;$T160,AH$4&lt;=$V160),1,0)*'Detailed Assumptions'!$E$6</f>
        <v>0</v>
      </c>
      <c r="AI479" s="542">
        <f>IF(AND(AI$4&gt;$T160,AI$4&lt;=$V160),1,0)*'Detailed Assumptions'!$E$6</f>
        <v>0</v>
      </c>
      <c r="AJ479" s="542">
        <f>IF(AND(AJ$4&gt;$T160,AJ$4&lt;=$V160),1,0)*'Detailed Assumptions'!$E$6</f>
        <v>0</v>
      </c>
      <c r="AK479" s="542">
        <f>IF(AND(AK$4&gt;$T160,AK$4&lt;=$V160),1,0)*'Detailed Assumptions'!$E$6</f>
        <v>0</v>
      </c>
      <c r="AL479" s="542">
        <f>IF(AND(AL$4&gt;$T160,AL$4&lt;=$V160),1,0)*'Detailed Assumptions'!$E$6</f>
        <v>0</v>
      </c>
      <c r="AM479" s="542">
        <f>IF(AND(AM$4&gt;$T160,AM$4&lt;=$V160),1,0)*'Detailed Assumptions'!$E$6</f>
        <v>0</v>
      </c>
      <c r="AN479" s="542">
        <f>IF(AND(AN$4&gt;$T160,AN$4&lt;=$V160),1,0)*'Detailed Assumptions'!$E$6</f>
        <v>0</v>
      </c>
      <c r="AO479" s="542">
        <f>IF(AND(AO$4&gt;$T160,AO$4&lt;=$V160),1,0)*'Detailed Assumptions'!$E$6</f>
        <v>0</v>
      </c>
      <c r="AP479" s="542">
        <f>IF(AND(AP$4&gt;$T160,AP$4&lt;=$V160),1,0)*'Detailed Assumptions'!$E$6</f>
        <v>0</v>
      </c>
      <c r="AQ479" s="542">
        <f>IF(AND(AQ$4&gt;$T160,AQ$4&lt;=$V160),1,0)*'Detailed Assumptions'!$E$6</f>
        <v>0</v>
      </c>
      <c r="AR479" s="542">
        <f>IF(AND(AR$4&gt;$T160,AR$4&lt;=$V160),1,0)*'Detailed Assumptions'!$E$6</f>
        <v>0</v>
      </c>
      <c r="AS479" s="542">
        <f>IF(AND(AS$4&gt;$T160,AS$4&lt;=$V160),1,0)*'Detailed Assumptions'!$E$6</f>
        <v>0</v>
      </c>
      <c r="AT479" s="542">
        <f>IF(AND(AT$4&gt;$T160,AT$4&lt;=$V160),1,0)*'Detailed Assumptions'!$E$6</f>
        <v>0</v>
      </c>
      <c r="AU479" s="542">
        <f>IF(AND(AU$4&gt;$T160,AU$4&lt;=$V160),1,0)*'Detailed Assumptions'!$E$6</f>
        <v>0</v>
      </c>
      <c r="AV479" s="542">
        <f>IF(AND(AV$4&gt;$T160,AV$4&lt;=$V160),1,0)*'Detailed Assumptions'!$E$6</f>
        <v>0</v>
      </c>
      <c r="AW479" s="542">
        <f>IF(AND(AW$4&gt;$T160,AW$4&lt;=$V160),1,0)*'Detailed Assumptions'!$E$6</f>
        <v>0</v>
      </c>
      <c r="AX479" s="542">
        <f>IF(AND(AX$4&gt;$T160,AX$4&lt;=$V160),1,0)*'Detailed Assumptions'!$E$6</f>
        <v>0</v>
      </c>
      <c r="AY479" s="542">
        <f>IF(AND(AY$4&gt;$T160,AY$4&lt;=$V160),1,0)*'Detailed Assumptions'!$E$6</f>
        <v>0</v>
      </c>
      <c r="AZ479" s="542">
        <f>IF(AND(AZ$4&gt;$T160,AZ$4&lt;=$V160),1,0)*'Detailed Assumptions'!$E$6</f>
        <v>0</v>
      </c>
      <c r="BA479" s="542">
        <f>IF(AND(BA$4&gt;$T160,BA$4&lt;=$V160),1,0)*'Detailed Assumptions'!$E$6</f>
        <v>0</v>
      </c>
      <c r="BB479" s="542">
        <f>IF(AND(BB$4&gt;$T160,BB$4&lt;=$V160),1,0)*'Detailed Assumptions'!$E$6</f>
        <v>0</v>
      </c>
      <c r="BC479" s="542">
        <f>IF(AND(BC$4&gt;$T160,BC$4&lt;=$V160),1,0)*'Detailed Assumptions'!$E$6</f>
        <v>0</v>
      </c>
      <c r="BD479" s="542">
        <f>IF(AND(BD$4&gt;$T160,BD$4&lt;=$V160),1,0)*'Detailed Assumptions'!$E$6</f>
        <v>0</v>
      </c>
      <c r="BE479" s="542">
        <f>IF(AND(BE$4&gt;$T160,BE$4&lt;=$V160),1,0)*'Detailed Assumptions'!$E$6</f>
        <v>0</v>
      </c>
      <c r="BF479" s="542">
        <f>IF(AND(BF$4&gt;$T160,BF$4&lt;=$V160),1,0)*'Detailed Assumptions'!$E$6</f>
        <v>0</v>
      </c>
      <c r="BG479" s="542">
        <f>IF(AND(BG$4&gt;$T160,BG$4&lt;=$V160),1,0)*'Detailed Assumptions'!$E$6</f>
        <v>0</v>
      </c>
      <c r="BH479" s="542">
        <f>IF(AND(BH$4&gt;$T160,BH$4&lt;=$V160),1,0)*'Detailed Assumptions'!$E$6</f>
        <v>0</v>
      </c>
      <c r="BI479" s="542">
        <f>IF(AND(BI$4&gt;$T160,BI$4&lt;=$V160),1,0)*'Detailed Assumptions'!$E$6</f>
        <v>0</v>
      </c>
      <c r="BJ479" s="542">
        <f>IF(AND(BJ$4&gt;$T160,BJ$4&lt;=$V160),1,0)*'Detailed Assumptions'!$E$6</f>
        <v>0</v>
      </c>
      <c r="BK479" s="542">
        <f>IF(AND(BK$4&gt;$T160,BK$4&lt;=$V160),1,0)*'Detailed Assumptions'!$E$6</f>
        <v>0</v>
      </c>
      <c r="BL479" s="542">
        <f>IF(AND(BL$4&gt;$T160,BL$4&lt;=$V160),1,0)*'Detailed Assumptions'!$E$6</f>
        <v>0</v>
      </c>
      <c r="BM479" s="542">
        <f>IF(AND(BM$4&gt;$T160,BM$4&lt;=$V160),1,0)*'Detailed Assumptions'!$E$6</f>
        <v>0</v>
      </c>
      <c r="BN479" s="542">
        <f>IF(AND(BN$4&gt;$T160,BN$4&lt;=$V160),1,0)*'Detailed Assumptions'!$E$6</f>
        <v>0</v>
      </c>
      <c r="BO479" s="542">
        <f>IF(AND(BO$4&gt;$T160,BO$4&lt;=$V160),1,0)*'Detailed Assumptions'!$E$6</f>
        <v>0</v>
      </c>
      <c r="BP479" s="542">
        <f>IF(AND(BP$4&gt;$T160,BP$4&lt;=$V160),1,0)*'Detailed Assumptions'!$E$6</f>
        <v>0</v>
      </c>
      <c r="BQ479" s="542">
        <f>IF(AND(BQ$4&gt;$T160,BQ$4&lt;=$V160),1,0)*'Detailed Assumptions'!$E$6</f>
        <v>0</v>
      </c>
      <c r="BR479" s="542">
        <f>IF(AND(BR$4&gt;$T160,BR$4&lt;=$V160),1,0)*'Detailed Assumptions'!$E$6</f>
        <v>0</v>
      </c>
      <c r="BS479" s="542">
        <f>IF(AND(BS$4&gt;$T160,BS$4&lt;=$V160),1,0)*'Detailed Assumptions'!$E$6</f>
        <v>0</v>
      </c>
      <c r="BT479" s="542">
        <f>IF(AND(BT$4&gt;$T160,BT$4&lt;=$V160),1,0)*'Detailed Assumptions'!$E$6</f>
        <v>0</v>
      </c>
      <c r="BU479" s="542">
        <f>IF(AND(BU$4&gt;$T160,BU$4&lt;=$V160),1,0)*'Detailed Assumptions'!$E$6</f>
        <v>0</v>
      </c>
      <c r="BV479" s="542">
        <f>IF(AND(BV$4&gt;$T160,BV$4&lt;=$V160),1,0)*'Detailed Assumptions'!$E$6</f>
        <v>0</v>
      </c>
      <c r="BW479" s="542">
        <f>IF(AND(BW$4&gt;$T160,BW$4&lt;=$V160),1,0)*'Detailed Assumptions'!$E$6</f>
        <v>0</v>
      </c>
      <c r="BX479" s="542">
        <f>IF(AND(BX$4&gt;$T160,BX$4&lt;=$V160),1,0)*'Detailed Assumptions'!$E$6</f>
        <v>0</v>
      </c>
      <c r="BY479" s="542">
        <f>IF(AND(BY$4&gt;$T160,BY$4&lt;=$V160),1,0)*'Detailed Assumptions'!$E$6</f>
        <v>0</v>
      </c>
    </row>
    <row r="480" spans="1:77" x14ac:dyDescent="0.3">
      <c r="A480" s="551"/>
      <c r="B480" s="548"/>
      <c r="C480" s="525"/>
      <c r="D480" s="525"/>
      <c r="E480" s="525"/>
      <c r="F480" s="525"/>
      <c r="G480" s="525"/>
      <c r="H480" s="525"/>
      <c r="I480" s="525"/>
      <c r="J480" s="525"/>
      <c r="K480" s="525"/>
      <c r="L480" s="525"/>
      <c r="M480" s="525"/>
      <c r="N480" s="525"/>
      <c r="O480" s="525"/>
      <c r="P480" s="565"/>
      <c r="Q480" s="525"/>
      <c r="R480" s="525"/>
      <c r="S480" s="525"/>
      <c r="T480" s="525"/>
      <c r="U480" s="525"/>
      <c r="V480" s="525"/>
      <c r="W480" s="525"/>
      <c r="X480" s="525"/>
      <c r="Y480" s="525"/>
      <c r="Z480" s="525"/>
      <c r="AA480" s="525"/>
      <c r="AB480" s="525"/>
      <c r="AC480" s="525"/>
      <c r="AD480" s="525"/>
      <c r="AE480" s="525"/>
      <c r="AF480" s="525"/>
      <c r="AG480" s="525"/>
      <c r="AH480" s="525"/>
      <c r="AI480" s="525"/>
      <c r="AJ480" s="525"/>
      <c r="AK480" s="525"/>
      <c r="AL480" s="525"/>
      <c r="AM480" s="525"/>
      <c r="AN480" s="525"/>
      <c r="AO480" s="525"/>
      <c r="AP480" s="525"/>
      <c r="AQ480" s="525"/>
      <c r="AR480" s="525"/>
      <c r="AS480" s="525"/>
      <c r="AT480" s="525"/>
      <c r="AU480" s="525"/>
      <c r="AV480" s="525"/>
      <c r="AW480" s="525"/>
      <c r="AX480" s="525"/>
      <c r="AY480" s="525"/>
      <c r="AZ480" s="525"/>
      <c r="BA480" s="525"/>
      <c r="BB480" s="525"/>
      <c r="BC480" s="525"/>
      <c r="BD480" s="525"/>
      <c r="BE480" s="525"/>
      <c r="BF480" s="525"/>
      <c r="BG480" s="525"/>
      <c r="BH480" s="525"/>
      <c r="BI480" s="525"/>
      <c r="BJ480" s="525"/>
      <c r="BK480" s="525"/>
      <c r="BL480" s="525"/>
      <c r="BM480" s="525"/>
      <c r="BN480" s="525"/>
      <c r="BO480" s="525"/>
      <c r="BP480" s="525"/>
      <c r="BQ480" s="525"/>
      <c r="BR480" s="525"/>
      <c r="BS480" s="525"/>
      <c r="BT480" s="525"/>
      <c r="BU480" s="525"/>
      <c r="BV480" s="525"/>
      <c r="BW480" s="525"/>
      <c r="BX480" s="525"/>
      <c r="BY480" s="525"/>
    </row>
    <row r="481" spans="1:77" x14ac:dyDescent="0.3">
      <c r="A481" s="551"/>
      <c r="B481" s="548"/>
      <c r="C481" s="525"/>
      <c r="D481" s="525"/>
      <c r="E481" s="570" t="s">
        <v>114</v>
      </c>
      <c r="F481" s="525"/>
      <c r="G481" s="525"/>
      <c r="H481" s="525"/>
      <c r="I481" s="525"/>
      <c r="J481" s="525"/>
      <c r="K481" s="525"/>
      <c r="L481" s="525"/>
      <c r="M481" s="525"/>
      <c r="N481" s="525"/>
      <c r="O481" s="525"/>
      <c r="P481" s="565"/>
      <c r="Q481" s="525"/>
      <c r="R481" s="525"/>
      <c r="S481" s="525"/>
      <c r="T481" s="525"/>
      <c r="U481" s="525"/>
      <c r="V481" s="525"/>
      <c r="W481" s="525"/>
      <c r="X481" s="525"/>
      <c r="Y481" s="525"/>
      <c r="Z481" s="525"/>
      <c r="AA481" s="525"/>
      <c r="AB481" s="525"/>
      <c r="AC481" s="525"/>
      <c r="AD481" s="525"/>
      <c r="AE481" s="525"/>
      <c r="AF481" s="525"/>
      <c r="AG481" s="525"/>
      <c r="AH481" s="525"/>
      <c r="AI481" s="525"/>
      <c r="AJ481" s="525"/>
      <c r="AK481" s="525"/>
      <c r="AL481" s="525"/>
      <c r="AM481" s="525"/>
      <c r="AN481" s="525"/>
      <c r="AO481" s="525"/>
      <c r="AP481" s="525"/>
      <c r="AQ481" s="525"/>
      <c r="AR481" s="525"/>
      <c r="AS481" s="525"/>
      <c r="AT481" s="525"/>
      <c r="AU481" s="525"/>
      <c r="AV481" s="525"/>
      <c r="AW481" s="525"/>
      <c r="AX481" s="525"/>
      <c r="AY481" s="525"/>
      <c r="AZ481" s="525"/>
      <c r="BA481" s="525"/>
      <c r="BB481" s="525"/>
      <c r="BC481" s="525"/>
      <c r="BD481" s="525"/>
      <c r="BE481" s="525"/>
      <c r="BF481" s="525"/>
      <c r="BG481" s="525"/>
      <c r="BH481" s="525"/>
      <c r="BI481" s="525"/>
      <c r="BJ481" s="525"/>
      <c r="BK481" s="525"/>
      <c r="BL481" s="525"/>
      <c r="BM481" s="525"/>
      <c r="BN481" s="525"/>
      <c r="BO481" s="525"/>
      <c r="BP481" s="525"/>
      <c r="BQ481" s="525"/>
      <c r="BR481" s="525"/>
      <c r="BS481" s="525"/>
      <c r="BT481" s="525"/>
      <c r="BU481" s="525"/>
      <c r="BV481" s="525"/>
      <c r="BW481" s="525"/>
      <c r="BX481" s="525"/>
      <c r="BY481" s="525"/>
    </row>
    <row r="482" spans="1:77" x14ac:dyDescent="0.3">
      <c r="A482" s="551"/>
      <c r="B482" s="548"/>
      <c r="C482" s="548"/>
      <c r="D482" s="525"/>
      <c r="E482" s="652" t="str">
        <f>"Pre vs post capex: "&amp;E$155</f>
        <v>Pre vs post capex: FY27 Tranche</v>
      </c>
      <c r="F482" s="574"/>
      <c r="G482" s="574"/>
      <c r="H482" s="574"/>
      <c r="I482" s="574"/>
      <c r="J482" s="574"/>
      <c r="K482" s="574"/>
      <c r="L482" s="574"/>
      <c r="M482" s="574"/>
      <c r="N482" s="574"/>
      <c r="O482" s="574"/>
      <c r="P482" s="653"/>
      <c r="Q482" s="574"/>
      <c r="R482" s="543">
        <f t="shared" ref="R482:BY486" si="655">IF(R498=0,0,1)</f>
        <v>0</v>
      </c>
      <c r="S482" s="543">
        <f t="shared" si="655"/>
        <v>0</v>
      </c>
      <c r="T482" s="543">
        <f t="shared" si="655"/>
        <v>0</v>
      </c>
      <c r="U482" s="543">
        <f t="shared" si="655"/>
        <v>0</v>
      </c>
      <c r="V482" s="543">
        <f t="shared" si="655"/>
        <v>0</v>
      </c>
      <c r="W482" s="543">
        <f t="shared" si="655"/>
        <v>0</v>
      </c>
      <c r="X482" s="543">
        <f t="shared" si="655"/>
        <v>1</v>
      </c>
      <c r="Y482" s="543">
        <f t="shared" si="655"/>
        <v>1</v>
      </c>
      <c r="Z482" s="543">
        <f t="shared" si="655"/>
        <v>1</v>
      </c>
      <c r="AA482" s="543">
        <f t="shared" si="655"/>
        <v>1</v>
      </c>
      <c r="AB482" s="543">
        <f t="shared" si="655"/>
        <v>1</v>
      </c>
      <c r="AC482" s="543">
        <f t="shared" si="655"/>
        <v>1</v>
      </c>
      <c r="AD482" s="543">
        <f t="shared" si="655"/>
        <v>1</v>
      </c>
      <c r="AE482" s="543">
        <f t="shared" si="655"/>
        <v>1</v>
      </c>
      <c r="AF482" s="543">
        <f t="shared" si="655"/>
        <v>1</v>
      </c>
      <c r="AG482" s="543">
        <f t="shared" si="655"/>
        <v>1</v>
      </c>
      <c r="AH482" s="543">
        <f t="shared" si="655"/>
        <v>1</v>
      </c>
      <c r="AI482" s="543">
        <f t="shared" si="655"/>
        <v>1</v>
      </c>
      <c r="AJ482" s="543">
        <f t="shared" si="655"/>
        <v>1</v>
      </c>
      <c r="AK482" s="543">
        <f t="shared" si="655"/>
        <v>1</v>
      </c>
      <c r="AL482" s="543">
        <f t="shared" si="655"/>
        <v>1</v>
      </c>
      <c r="AM482" s="543">
        <f t="shared" si="655"/>
        <v>1</v>
      </c>
      <c r="AN482" s="543">
        <f t="shared" si="655"/>
        <v>1</v>
      </c>
      <c r="AO482" s="543">
        <f t="shared" si="655"/>
        <v>1</v>
      </c>
      <c r="AP482" s="543">
        <f t="shared" si="655"/>
        <v>1</v>
      </c>
      <c r="AQ482" s="543">
        <f t="shared" si="655"/>
        <v>1</v>
      </c>
      <c r="AR482" s="543">
        <f t="shared" si="655"/>
        <v>1</v>
      </c>
      <c r="AS482" s="543">
        <f t="shared" si="655"/>
        <v>1</v>
      </c>
      <c r="AT482" s="543">
        <f t="shared" si="655"/>
        <v>1</v>
      </c>
      <c r="AU482" s="543">
        <f t="shared" si="655"/>
        <v>1</v>
      </c>
      <c r="AV482" s="543">
        <f t="shared" si="655"/>
        <v>1</v>
      </c>
      <c r="AW482" s="543">
        <f t="shared" si="655"/>
        <v>1</v>
      </c>
      <c r="AX482" s="543">
        <f t="shared" si="655"/>
        <v>1</v>
      </c>
      <c r="AY482" s="543">
        <f t="shared" si="655"/>
        <v>1</v>
      </c>
      <c r="AZ482" s="543">
        <f t="shared" si="655"/>
        <v>1</v>
      </c>
      <c r="BA482" s="543">
        <f t="shared" si="655"/>
        <v>1</v>
      </c>
      <c r="BB482" s="543">
        <f t="shared" si="655"/>
        <v>1</v>
      </c>
      <c r="BC482" s="543">
        <f t="shared" si="655"/>
        <v>1</v>
      </c>
      <c r="BD482" s="543">
        <f t="shared" si="655"/>
        <v>1</v>
      </c>
      <c r="BE482" s="543">
        <f t="shared" si="655"/>
        <v>1</v>
      </c>
      <c r="BF482" s="543">
        <f t="shared" si="655"/>
        <v>1</v>
      </c>
      <c r="BG482" s="543">
        <f t="shared" si="655"/>
        <v>1</v>
      </c>
      <c r="BH482" s="543">
        <f t="shared" si="655"/>
        <v>1</v>
      </c>
      <c r="BI482" s="543">
        <f t="shared" si="655"/>
        <v>1</v>
      </c>
      <c r="BJ482" s="543">
        <f t="shared" si="655"/>
        <v>1</v>
      </c>
      <c r="BK482" s="543">
        <f t="shared" si="655"/>
        <v>1</v>
      </c>
      <c r="BL482" s="543">
        <f t="shared" si="655"/>
        <v>1</v>
      </c>
      <c r="BM482" s="543">
        <f t="shared" si="655"/>
        <v>1</v>
      </c>
      <c r="BN482" s="543">
        <f t="shared" si="655"/>
        <v>1</v>
      </c>
      <c r="BO482" s="543">
        <f t="shared" si="655"/>
        <v>1</v>
      </c>
      <c r="BP482" s="543">
        <f t="shared" si="655"/>
        <v>1</v>
      </c>
      <c r="BQ482" s="543">
        <f t="shared" si="655"/>
        <v>1</v>
      </c>
      <c r="BR482" s="543">
        <f t="shared" si="655"/>
        <v>1</v>
      </c>
      <c r="BS482" s="543">
        <f t="shared" si="655"/>
        <v>1</v>
      </c>
      <c r="BT482" s="543">
        <f t="shared" si="655"/>
        <v>1</v>
      </c>
      <c r="BU482" s="543">
        <f t="shared" si="655"/>
        <v>1</v>
      </c>
      <c r="BV482" s="543">
        <f t="shared" si="655"/>
        <v>1</v>
      </c>
      <c r="BW482" s="543">
        <f t="shared" si="655"/>
        <v>1</v>
      </c>
      <c r="BX482" s="543">
        <f t="shared" si="655"/>
        <v>1</v>
      </c>
      <c r="BY482" s="543">
        <f t="shared" si="655"/>
        <v>1</v>
      </c>
    </row>
    <row r="483" spans="1:77" x14ac:dyDescent="0.3">
      <c r="A483" s="551"/>
      <c r="B483" s="548"/>
      <c r="C483" s="548"/>
      <c r="D483" s="525"/>
      <c r="E483" s="652" t="str">
        <f>"Pre vs post capex: "&amp;E$156</f>
        <v>Pre vs post capex: FY28 Tranche</v>
      </c>
      <c r="F483" s="574"/>
      <c r="G483" s="574"/>
      <c r="H483" s="574"/>
      <c r="I483" s="574"/>
      <c r="J483" s="574"/>
      <c r="K483" s="574"/>
      <c r="L483" s="574"/>
      <c r="M483" s="574"/>
      <c r="N483" s="574"/>
      <c r="O483" s="574"/>
      <c r="P483" s="653"/>
      <c r="Q483" s="574"/>
      <c r="R483" s="543">
        <f t="shared" si="655"/>
        <v>0</v>
      </c>
      <c r="S483" s="543">
        <f t="shared" si="655"/>
        <v>0</v>
      </c>
      <c r="T483" s="543">
        <f t="shared" si="655"/>
        <v>0</v>
      </c>
      <c r="U483" s="543">
        <f t="shared" si="655"/>
        <v>0</v>
      </c>
      <c r="V483" s="543">
        <f t="shared" si="655"/>
        <v>0</v>
      </c>
      <c r="W483" s="543">
        <f t="shared" si="655"/>
        <v>0</v>
      </c>
      <c r="X483" s="543">
        <f t="shared" si="655"/>
        <v>0</v>
      </c>
      <c r="Y483" s="543">
        <f t="shared" si="655"/>
        <v>0</v>
      </c>
      <c r="Z483" s="543">
        <f t="shared" si="655"/>
        <v>0</v>
      </c>
      <c r="AA483" s="543">
        <f t="shared" si="655"/>
        <v>0</v>
      </c>
      <c r="AB483" s="543">
        <f t="shared" si="655"/>
        <v>0</v>
      </c>
      <c r="AC483" s="543">
        <f t="shared" si="655"/>
        <v>0</v>
      </c>
      <c r="AD483" s="543">
        <f t="shared" si="655"/>
        <v>0</v>
      </c>
      <c r="AE483" s="543">
        <f t="shared" si="655"/>
        <v>0</v>
      </c>
      <c r="AF483" s="543">
        <f t="shared" si="655"/>
        <v>0</v>
      </c>
      <c r="AG483" s="543">
        <f t="shared" si="655"/>
        <v>0</v>
      </c>
      <c r="AH483" s="543">
        <f t="shared" si="655"/>
        <v>0</v>
      </c>
      <c r="AI483" s="543">
        <f t="shared" si="655"/>
        <v>0</v>
      </c>
      <c r="AJ483" s="543">
        <f t="shared" si="655"/>
        <v>1</v>
      </c>
      <c r="AK483" s="543">
        <f t="shared" si="655"/>
        <v>1</v>
      </c>
      <c r="AL483" s="543">
        <f t="shared" si="655"/>
        <v>1</v>
      </c>
      <c r="AM483" s="543">
        <f t="shared" si="655"/>
        <v>1</v>
      </c>
      <c r="AN483" s="543">
        <f t="shared" si="655"/>
        <v>1</v>
      </c>
      <c r="AO483" s="543">
        <f t="shared" si="655"/>
        <v>1</v>
      </c>
      <c r="AP483" s="543">
        <f t="shared" si="655"/>
        <v>1</v>
      </c>
      <c r="AQ483" s="543">
        <f t="shared" si="655"/>
        <v>1</v>
      </c>
      <c r="AR483" s="543">
        <f t="shared" si="655"/>
        <v>1</v>
      </c>
      <c r="AS483" s="543">
        <f t="shared" si="655"/>
        <v>1</v>
      </c>
      <c r="AT483" s="543">
        <f t="shared" si="655"/>
        <v>1</v>
      </c>
      <c r="AU483" s="543">
        <f t="shared" si="655"/>
        <v>1</v>
      </c>
      <c r="AV483" s="543">
        <f t="shared" si="655"/>
        <v>1</v>
      </c>
      <c r="AW483" s="543">
        <f t="shared" si="655"/>
        <v>1</v>
      </c>
      <c r="AX483" s="543">
        <f t="shared" si="655"/>
        <v>1</v>
      </c>
      <c r="AY483" s="543">
        <f t="shared" si="655"/>
        <v>1</v>
      </c>
      <c r="AZ483" s="543">
        <f t="shared" si="655"/>
        <v>1</v>
      </c>
      <c r="BA483" s="543">
        <f t="shared" si="655"/>
        <v>1</v>
      </c>
      <c r="BB483" s="543">
        <f t="shared" si="655"/>
        <v>1</v>
      </c>
      <c r="BC483" s="543">
        <f t="shared" si="655"/>
        <v>1</v>
      </c>
      <c r="BD483" s="543">
        <f t="shared" si="655"/>
        <v>1</v>
      </c>
      <c r="BE483" s="543">
        <f t="shared" si="655"/>
        <v>1</v>
      </c>
      <c r="BF483" s="543">
        <f t="shared" si="655"/>
        <v>1</v>
      </c>
      <c r="BG483" s="543">
        <f t="shared" si="655"/>
        <v>1</v>
      </c>
      <c r="BH483" s="543">
        <f t="shared" si="655"/>
        <v>1</v>
      </c>
      <c r="BI483" s="543">
        <f t="shared" si="655"/>
        <v>1</v>
      </c>
      <c r="BJ483" s="543">
        <f t="shared" si="655"/>
        <v>1</v>
      </c>
      <c r="BK483" s="543">
        <f t="shared" si="655"/>
        <v>1</v>
      </c>
      <c r="BL483" s="543">
        <f t="shared" si="655"/>
        <v>1</v>
      </c>
      <c r="BM483" s="543">
        <f t="shared" si="655"/>
        <v>1</v>
      </c>
      <c r="BN483" s="543">
        <f t="shared" si="655"/>
        <v>1</v>
      </c>
      <c r="BO483" s="543">
        <f t="shared" si="655"/>
        <v>1</v>
      </c>
      <c r="BP483" s="543">
        <f t="shared" si="655"/>
        <v>1</v>
      </c>
      <c r="BQ483" s="543">
        <f t="shared" si="655"/>
        <v>1</v>
      </c>
      <c r="BR483" s="543">
        <f t="shared" si="655"/>
        <v>1</v>
      </c>
      <c r="BS483" s="543">
        <f t="shared" si="655"/>
        <v>1</v>
      </c>
      <c r="BT483" s="543">
        <f t="shared" si="655"/>
        <v>1</v>
      </c>
      <c r="BU483" s="543">
        <f t="shared" si="655"/>
        <v>1</v>
      </c>
      <c r="BV483" s="543">
        <f t="shared" si="655"/>
        <v>1</v>
      </c>
      <c r="BW483" s="543">
        <f t="shared" si="655"/>
        <v>1</v>
      </c>
      <c r="BX483" s="543">
        <f t="shared" si="655"/>
        <v>1</v>
      </c>
      <c r="BY483" s="543">
        <f t="shared" si="655"/>
        <v>1</v>
      </c>
    </row>
    <row r="484" spans="1:77" x14ac:dyDescent="0.3">
      <c r="A484" s="551"/>
      <c r="B484" s="548"/>
      <c r="C484" s="548"/>
      <c r="D484" s="525"/>
      <c r="E484" s="652" t="str">
        <f>"Pre vs post capex: "&amp;E$157</f>
        <v>Pre vs post capex: FY29 Tranche</v>
      </c>
      <c r="F484" s="574"/>
      <c r="G484" s="574"/>
      <c r="H484" s="574"/>
      <c r="I484" s="574"/>
      <c r="J484" s="574"/>
      <c r="K484" s="574"/>
      <c r="L484" s="574"/>
      <c r="M484" s="574"/>
      <c r="N484" s="574"/>
      <c r="O484" s="574"/>
      <c r="P484" s="653"/>
      <c r="Q484" s="574"/>
      <c r="R484" s="543">
        <f t="shared" si="655"/>
        <v>0</v>
      </c>
      <c r="S484" s="543">
        <f t="shared" si="655"/>
        <v>0</v>
      </c>
      <c r="T484" s="543">
        <f t="shared" si="655"/>
        <v>0</v>
      </c>
      <c r="U484" s="543">
        <f t="shared" si="655"/>
        <v>0</v>
      </c>
      <c r="V484" s="543">
        <f t="shared" si="655"/>
        <v>0</v>
      </c>
      <c r="W484" s="543">
        <f t="shared" si="655"/>
        <v>0</v>
      </c>
      <c r="X484" s="543">
        <f t="shared" si="655"/>
        <v>0</v>
      </c>
      <c r="Y484" s="543">
        <f t="shared" si="655"/>
        <v>0</v>
      </c>
      <c r="Z484" s="543">
        <f t="shared" si="655"/>
        <v>0</v>
      </c>
      <c r="AA484" s="543">
        <f t="shared" si="655"/>
        <v>0</v>
      </c>
      <c r="AB484" s="543">
        <f t="shared" si="655"/>
        <v>0</v>
      </c>
      <c r="AC484" s="543">
        <f t="shared" si="655"/>
        <v>0</v>
      </c>
      <c r="AD484" s="543">
        <f t="shared" si="655"/>
        <v>0</v>
      </c>
      <c r="AE484" s="543">
        <f t="shared" si="655"/>
        <v>0</v>
      </c>
      <c r="AF484" s="543">
        <f t="shared" si="655"/>
        <v>0</v>
      </c>
      <c r="AG484" s="543">
        <f t="shared" si="655"/>
        <v>0</v>
      </c>
      <c r="AH484" s="543">
        <f t="shared" si="655"/>
        <v>0</v>
      </c>
      <c r="AI484" s="543">
        <f t="shared" si="655"/>
        <v>0</v>
      </c>
      <c r="AJ484" s="543">
        <f t="shared" si="655"/>
        <v>0</v>
      </c>
      <c r="AK484" s="543">
        <f t="shared" si="655"/>
        <v>0</v>
      </c>
      <c r="AL484" s="543">
        <f t="shared" si="655"/>
        <v>0</v>
      </c>
      <c r="AM484" s="543">
        <f t="shared" si="655"/>
        <v>0</v>
      </c>
      <c r="AN484" s="543">
        <f t="shared" si="655"/>
        <v>0</v>
      </c>
      <c r="AO484" s="543">
        <f t="shared" si="655"/>
        <v>0</v>
      </c>
      <c r="AP484" s="543">
        <f t="shared" si="655"/>
        <v>0</v>
      </c>
      <c r="AQ484" s="543">
        <f t="shared" si="655"/>
        <v>0</v>
      </c>
      <c r="AR484" s="543">
        <f t="shared" si="655"/>
        <v>0</v>
      </c>
      <c r="AS484" s="543">
        <f t="shared" si="655"/>
        <v>0</v>
      </c>
      <c r="AT484" s="543">
        <f t="shared" si="655"/>
        <v>0</v>
      </c>
      <c r="AU484" s="543">
        <f t="shared" si="655"/>
        <v>0</v>
      </c>
      <c r="AV484" s="543">
        <f t="shared" si="655"/>
        <v>1</v>
      </c>
      <c r="AW484" s="543">
        <f t="shared" si="655"/>
        <v>1</v>
      </c>
      <c r="AX484" s="543">
        <f t="shared" si="655"/>
        <v>1</v>
      </c>
      <c r="AY484" s="543">
        <f t="shared" si="655"/>
        <v>1</v>
      </c>
      <c r="AZ484" s="543">
        <f t="shared" si="655"/>
        <v>1</v>
      </c>
      <c r="BA484" s="543">
        <f t="shared" si="655"/>
        <v>1</v>
      </c>
      <c r="BB484" s="543">
        <f t="shared" si="655"/>
        <v>1</v>
      </c>
      <c r="BC484" s="543">
        <f t="shared" si="655"/>
        <v>1</v>
      </c>
      <c r="BD484" s="543">
        <f t="shared" si="655"/>
        <v>1</v>
      </c>
      <c r="BE484" s="543">
        <f t="shared" si="655"/>
        <v>1</v>
      </c>
      <c r="BF484" s="543">
        <f t="shared" si="655"/>
        <v>1</v>
      </c>
      <c r="BG484" s="543">
        <f t="shared" si="655"/>
        <v>1</v>
      </c>
      <c r="BH484" s="543">
        <f t="shared" si="655"/>
        <v>1</v>
      </c>
      <c r="BI484" s="543">
        <f t="shared" si="655"/>
        <v>1</v>
      </c>
      <c r="BJ484" s="543">
        <f t="shared" si="655"/>
        <v>1</v>
      </c>
      <c r="BK484" s="543">
        <f t="shared" si="655"/>
        <v>1</v>
      </c>
      <c r="BL484" s="543">
        <f t="shared" si="655"/>
        <v>1</v>
      </c>
      <c r="BM484" s="543">
        <f t="shared" si="655"/>
        <v>1</v>
      </c>
      <c r="BN484" s="543">
        <f t="shared" si="655"/>
        <v>1</v>
      </c>
      <c r="BO484" s="543">
        <f t="shared" si="655"/>
        <v>1</v>
      </c>
      <c r="BP484" s="543">
        <f t="shared" si="655"/>
        <v>1</v>
      </c>
      <c r="BQ484" s="543">
        <f t="shared" si="655"/>
        <v>1</v>
      </c>
      <c r="BR484" s="543">
        <f t="shared" si="655"/>
        <v>1</v>
      </c>
      <c r="BS484" s="543">
        <f t="shared" si="655"/>
        <v>1</v>
      </c>
      <c r="BT484" s="543">
        <f t="shared" si="655"/>
        <v>1</v>
      </c>
      <c r="BU484" s="543">
        <f t="shared" si="655"/>
        <v>1</v>
      </c>
      <c r="BV484" s="543">
        <f t="shared" si="655"/>
        <v>1</v>
      </c>
      <c r="BW484" s="543">
        <f t="shared" si="655"/>
        <v>1</v>
      </c>
      <c r="BX484" s="543">
        <f t="shared" si="655"/>
        <v>1</v>
      </c>
      <c r="BY484" s="543">
        <f t="shared" si="655"/>
        <v>1</v>
      </c>
    </row>
    <row r="485" spans="1:77" x14ac:dyDescent="0.3">
      <c r="A485" s="551"/>
      <c r="B485" s="548"/>
      <c r="C485" s="548"/>
      <c r="D485" s="525"/>
      <c r="E485" s="652" t="str">
        <f>"Pre vs post capex: "&amp;E$158</f>
        <v>Pre vs post capex: FY30 Tranche</v>
      </c>
      <c r="F485" s="574"/>
      <c r="G485" s="574"/>
      <c r="H485" s="574"/>
      <c r="I485" s="574"/>
      <c r="J485" s="574"/>
      <c r="K485" s="574"/>
      <c r="L485" s="574"/>
      <c r="M485" s="574"/>
      <c r="N485" s="574"/>
      <c r="O485" s="574"/>
      <c r="P485" s="653"/>
      <c r="Q485" s="574"/>
      <c r="R485" s="543">
        <f t="shared" si="655"/>
        <v>0</v>
      </c>
      <c r="S485" s="543">
        <f t="shared" si="655"/>
        <v>0</v>
      </c>
      <c r="T485" s="543">
        <f t="shared" si="655"/>
        <v>0</v>
      </c>
      <c r="U485" s="543">
        <f t="shared" si="655"/>
        <v>0</v>
      </c>
      <c r="V485" s="543">
        <f t="shared" si="655"/>
        <v>0</v>
      </c>
      <c r="W485" s="543">
        <f t="shared" si="655"/>
        <v>0</v>
      </c>
      <c r="X485" s="543">
        <f t="shared" si="655"/>
        <v>0</v>
      </c>
      <c r="Y485" s="543">
        <f t="shared" si="655"/>
        <v>0</v>
      </c>
      <c r="Z485" s="543">
        <f t="shared" si="655"/>
        <v>0</v>
      </c>
      <c r="AA485" s="543">
        <f t="shared" si="655"/>
        <v>0</v>
      </c>
      <c r="AB485" s="543">
        <f t="shared" si="655"/>
        <v>0</v>
      </c>
      <c r="AC485" s="543">
        <f t="shared" si="655"/>
        <v>0</v>
      </c>
      <c r="AD485" s="543">
        <f t="shared" si="655"/>
        <v>0</v>
      </c>
      <c r="AE485" s="543">
        <f t="shared" si="655"/>
        <v>0</v>
      </c>
      <c r="AF485" s="543">
        <f t="shared" si="655"/>
        <v>0</v>
      </c>
      <c r="AG485" s="543">
        <f t="shared" si="655"/>
        <v>0</v>
      </c>
      <c r="AH485" s="543">
        <f t="shared" si="655"/>
        <v>0</v>
      </c>
      <c r="AI485" s="543">
        <f t="shared" si="655"/>
        <v>0</v>
      </c>
      <c r="AJ485" s="543">
        <f t="shared" si="655"/>
        <v>0</v>
      </c>
      <c r="AK485" s="543">
        <f t="shared" si="655"/>
        <v>0</v>
      </c>
      <c r="AL485" s="543">
        <f t="shared" si="655"/>
        <v>0</v>
      </c>
      <c r="AM485" s="543">
        <f t="shared" si="655"/>
        <v>0</v>
      </c>
      <c r="AN485" s="543">
        <f t="shared" si="655"/>
        <v>0</v>
      </c>
      <c r="AO485" s="543">
        <f t="shared" si="655"/>
        <v>0</v>
      </c>
      <c r="AP485" s="543">
        <f t="shared" si="655"/>
        <v>0</v>
      </c>
      <c r="AQ485" s="543">
        <f t="shared" si="655"/>
        <v>0</v>
      </c>
      <c r="AR485" s="543">
        <f t="shared" si="655"/>
        <v>0</v>
      </c>
      <c r="AS485" s="543">
        <f t="shared" si="655"/>
        <v>0</v>
      </c>
      <c r="AT485" s="543">
        <f t="shared" si="655"/>
        <v>0</v>
      </c>
      <c r="AU485" s="543">
        <f t="shared" si="655"/>
        <v>0</v>
      </c>
      <c r="AV485" s="543">
        <f t="shared" si="655"/>
        <v>0</v>
      </c>
      <c r="AW485" s="543">
        <f t="shared" si="655"/>
        <v>0</v>
      </c>
      <c r="AX485" s="543">
        <f t="shared" si="655"/>
        <v>0</v>
      </c>
      <c r="AY485" s="543">
        <f t="shared" si="655"/>
        <v>0</v>
      </c>
      <c r="AZ485" s="543">
        <f t="shared" si="655"/>
        <v>0</v>
      </c>
      <c r="BA485" s="543">
        <f t="shared" si="655"/>
        <v>0</v>
      </c>
      <c r="BB485" s="543">
        <f t="shared" si="655"/>
        <v>0</v>
      </c>
      <c r="BC485" s="543">
        <f t="shared" si="655"/>
        <v>0</v>
      </c>
      <c r="BD485" s="543">
        <f t="shared" si="655"/>
        <v>0</v>
      </c>
      <c r="BE485" s="543">
        <f t="shared" si="655"/>
        <v>0</v>
      </c>
      <c r="BF485" s="543">
        <f t="shared" si="655"/>
        <v>0</v>
      </c>
      <c r="BG485" s="543">
        <f t="shared" si="655"/>
        <v>0</v>
      </c>
      <c r="BH485" s="543">
        <f t="shared" si="655"/>
        <v>1</v>
      </c>
      <c r="BI485" s="543">
        <f t="shared" si="655"/>
        <v>1</v>
      </c>
      <c r="BJ485" s="543">
        <f t="shared" si="655"/>
        <v>1</v>
      </c>
      <c r="BK485" s="543">
        <f t="shared" si="655"/>
        <v>1</v>
      </c>
      <c r="BL485" s="543">
        <f t="shared" si="655"/>
        <v>1</v>
      </c>
      <c r="BM485" s="543">
        <f t="shared" si="655"/>
        <v>1</v>
      </c>
      <c r="BN485" s="543">
        <f t="shared" si="655"/>
        <v>1</v>
      </c>
      <c r="BO485" s="543">
        <f t="shared" si="655"/>
        <v>1</v>
      </c>
      <c r="BP485" s="543">
        <f t="shared" si="655"/>
        <v>1</v>
      </c>
      <c r="BQ485" s="543">
        <f t="shared" si="655"/>
        <v>1</v>
      </c>
      <c r="BR485" s="543">
        <f t="shared" si="655"/>
        <v>1</v>
      </c>
      <c r="BS485" s="543">
        <f t="shared" si="655"/>
        <v>1</v>
      </c>
      <c r="BT485" s="543">
        <f t="shared" si="655"/>
        <v>1</v>
      </c>
      <c r="BU485" s="543">
        <f t="shared" si="655"/>
        <v>1</v>
      </c>
      <c r="BV485" s="543">
        <f t="shared" si="655"/>
        <v>1</v>
      </c>
      <c r="BW485" s="543">
        <f t="shared" si="655"/>
        <v>1</v>
      </c>
      <c r="BX485" s="543">
        <f t="shared" si="655"/>
        <v>1</v>
      </c>
      <c r="BY485" s="543">
        <f t="shared" si="655"/>
        <v>1</v>
      </c>
    </row>
    <row r="486" spans="1:77" x14ac:dyDescent="0.3">
      <c r="A486" s="551"/>
      <c r="B486" s="548"/>
      <c r="C486" s="548"/>
      <c r="D486" s="525"/>
      <c r="E486" s="652" t="str">
        <f>"Pre vs post capex: "&amp;E$159</f>
        <v>Pre vs post capex: FY31 Tranche</v>
      </c>
      <c r="F486" s="574"/>
      <c r="G486" s="574"/>
      <c r="H486" s="574"/>
      <c r="I486" s="574"/>
      <c r="J486" s="574"/>
      <c r="K486" s="574"/>
      <c r="L486" s="574"/>
      <c r="M486" s="574"/>
      <c r="N486" s="574"/>
      <c r="O486" s="574"/>
      <c r="P486" s="653"/>
      <c r="Q486" s="574"/>
      <c r="R486" s="543">
        <f t="shared" si="655"/>
        <v>0</v>
      </c>
      <c r="S486" s="543">
        <f t="shared" si="655"/>
        <v>0</v>
      </c>
      <c r="T486" s="543">
        <f t="shared" si="655"/>
        <v>0</v>
      </c>
      <c r="U486" s="543">
        <f t="shared" si="655"/>
        <v>0</v>
      </c>
      <c r="V486" s="543">
        <f t="shared" si="655"/>
        <v>0</v>
      </c>
      <c r="W486" s="543">
        <f t="shared" si="655"/>
        <v>0</v>
      </c>
      <c r="X486" s="543">
        <f t="shared" si="655"/>
        <v>0</v>
      </c>
      <c r="Y486" s="543">
        <f t="shared" si="655"/>
        <v>0</v>
      </c>
      <c r="Z486" s="543">
        <f t="shared" si="655"/>
        <v>0</v>
      </c>
      <c r="AA486" s="543">
        <f t="shared" si="655"/>
        <v>0</v>
      </c>
      <c r="AB486" s="543">
        <f t="shared" si="655"/>
        <v>0</v>
      </c>
      <c r="AC486" s="543">
        <f t="shared" si="655"/>
        <v>0</v>
      </c>
      <c r="AD486" s="543">
        <f t="shared" si="655"/>
        <v>0</v>
      </c>
      <c r="AE486" s="543">
        <f t="shared" si="655"/>
        <v>0</v>
      </c>
      <c r="AF486" s="543">
        <f t="shared" si="655"/>
        <v>0</v>
      </c>
      <c r="AG486" s="543">
        <f t="shared" ref="AG486:BY486" si="656">IF(AG502=0,0,1)</f>
        <v>0</v>
      </c>
      <c r="AH486" s="543">
        <f t="shared" si="656"/>
        <v>0</v>
      </c>
      <c r="AI486" s="543">
        <f t="shared" si="656"/>
        <v>0</v>
      </c>
      <c r="AJ486" s="543">
        <f t="shared" si="656"/>
        <v>0</v>
      </c>
      <c r="AK486" s="543">
        <f t="shared" si="656"/>
        <v>0</v>
      </c>
      <c r="AL486" s="543">
        <f t="shared" si="656"/>
        <v>0</v>
      </c>
      <c r="AM486" s="543">
        <f t="shared" si="656"/>
        <v>0</v>
      </c>
      <c r="AN486" s="543">
        <f t="shared" si="656"/>
        <v>0</v>
      </c>
      <c r="AO486" s="543">
        <f t="shared" si="656"/>
        <v>0</v>
      </c>
      <c r="AP486" s="543">
        <f t="shared" si="656"/>
        <v>0</v>
      </c>
      <c r="AQ486" s="543">
        <f t="shared" si="656"/>
        <v>0</v>
      </c>
      <c r="AR486" s="543">
        <f t="shared" si="656"/>
        <v>0</v>
      </c>
      <c r="AS486" s="543">
        <f t="shared" si="656"/>
        <v>0</v>
      </c>
      <c r="AT486" s="543">
        <f t="shared" si="656"/>
        <v>0</v>
      </c>
      <c r="AU486" s="543">
        <f t="shared" si="656"/>
        <v>0</v>
      </c>
      <c r="AV486" s="543">
        <f t="shared" si="656"/>
        <v>0</v>
      </c>
      <c r="AW486" s="543">
        <f t="shared" si="656"/>
        <v>0</v>
      </c>
      <c r="AX486" s="543">
        <f t="shared" si="656"/>
        <v>0</v>
      </c>
      <c r="AY486" s="543">
        <f t="shared" si="656"/>
        <v>0</v>
      </c>
      <c r="AZ486" s="543">
        <f t="shared" si="656"/>
        <v>0</v>
      </c>
      <c r="BA486" s="543">
        <f t="shared" si="656"/>
        <v>0</v>
      </c>
      <c r="BB486" s="543">
        <f t="shared" si="656"/>
        <v>0</v>
      </c>
      <c r="BC486" s="543">
        <f t="shared" si="656"/>
        <v>0</v>
      </c>
      <c r="BD486" s="543">
        <f t="shared" si="656"/>
        <v>0</v>
      </c>
      <c r="BE486" s="543">
        <f t="shared" si="656"/>
        <v>0</v>
      </c>
      <c r="BF486" s="543">
        <f t="shared" si="656"/>
        <v>0</v>
      </c>
      <c r="BG486" s="543">
        <f t="shared" si="656"/>
        <v>0</v>
      </c>
      <c r="BH486" s="543">
        <f t="shared" si="656"/>
        <v>0</v>
      </c>
      <c r="BI486" s="543">
        <f t="shared" si="656"/>
        <v>0</v>
      </c>
      <c r="BJ486" s="543">
        <f t="shared" si="656"/>
        <v>0</v>
      </c>
      <c r="BK486" s="543">
        <f t="shared" si="656"/>
        <v>0</v>
      </c>
      <c r="BL486" s="543">
        <f t="shared" si="656"/>
        <v>0</v>
      </c>
      <c r="BM486" s="543">
        <f t="shared" si="656"/>
        <v>0</v>
      </c>
      <c r="BN486" s="543">
        <f t="shared" si="656"/>
        <v>0</v>
      </c>
      <c r="BO486" s="543">
        <f t="shared" si="656"/>
        <v>0</v>
      </c>
      <c r="BP486" s="543">
        <f t="shared" si="656"/>
        <v>0</v>
      </c>
      <c r="BQ486" s="543">
        <f t="shared" si="656"/>
        <v>0</v>
      </c>
      <c r="BR486" s="543">
        <f t="shared" si="656"/>
        <v>0</v>
      </c>
      <c r="BS486" s="543">
        <f t="shared" si="656"/>
        <v>0</v>
      </c>
      <c r="BT486" s="543">
        <f t="shared" si="656"/>
        <v>1</v>
      </c>
      <c r="BU486" s="543">
        <f t="shared" si="656"/>
        <v>1</v>
      </c>
      <c r="BV486" s="543">
        <f t="shared" si="656"/>
        <v>1</v>
      </c>
      <c r="BW486" s="543">
        <f t="shared" si="656"/>
        <v>1</v>
      </c>
      <c r="BX486" s="543">
        <f t="shared" si="656"/>
        <v>1</v>
      </c>
      <c r="BY486" s="543">
        <f t="shared" si="656"/>
        <v>1</v>
      </c>
    </row>
    <row r="487" spans="1:77" x14ac:dyDescent="0.3">
      <c r="A487" s="551"/>
      <c r="B487" s="548"/>
      <c r="C487" s="548"/>
      <c r="D487" s="525"/>
      <c r="E487" s="652" t="str">
        <f>"Pre vs post capex: "&amp;E$160</f>
        <v>Pre vs post capex: Uninvested Tranche</v>
      </c>
      <c r="F487" s="574"/>
      <c r="G487" s="574"/>
      <c r="H487" s="574"/>
      <c r="I487" s="574"/>
      <c r="J487" s="574"/>
      <c r="K487" s="574"/>
      <c r="L487" s="574"/>
      <c r="M487" s="574"/>
      <c r="N487" s="574"/>
      <c r="O487" s="574"/>
      <c r="P487" s="653"/>
      <c r="Q487" s="574"/>
      <c r="R487" s="543">
        <f t="shared" ref="R487:AF487" si="657">IF(R503=0,0,1)</f>
        <v>0</v>
      </c>
      <c r="S487" s="543">
        <f t="shared" si="657"/>
        <v>0</v>
      </c>
      <c r="T487" s="543">
        <f t="shared" si="657"/>
        <v>0</v>
      </c>
      <c r="U487" s="543">
        <f t="shared" si="657"/>
        <v>0</v>
      </c>
      <c r="V487" s="543">
        <f t="shared" si="657"/>
        <v>0</v>
      </c>
      <c r="W487" s="543">
        <f t="shared" si="657"/>
        <v>0</v>
      </c>
      <c r="X487" s="543">
        <f t="shared" si="657"/>
        <v>0</v>
      </c>
      <c r="Y487" s="543">
        <f t="shared" si="657"/>
        <v>0</v>
      </c>
      <c r="Z487" s="543">
        <f t="shared" si="657"/>
        <v>0</v>
      </c>
      <c r="AA487" s="543">
        <f t="shared" si="657"/>
        <v>0</v>
      </c>
      <c r="AB487" s="543">
        <f t="shared" si="657"/>
        <v>0</v>
      </c>
      <c r="AC487" s="543">
        <f t="shared" si="657"/>
        <v>0</v>
      </c>
      <c r="AD487" s="543">
        <f t="shared" si="657"/>
        <v>0</v>
      </c>
      <c r="AE487" s="543">
        <f t="shared" si="657"/>
        <v>0</v>
      </c>
      <c r="AF487" s="543">
        <f t="shared" si="657"/>
        <v>0</v>
      </c>
      <c r="AG487" s="543">
        <f t="shared" ref="AG487:BY487" si="658">IF(AG503=0,0,1)</f>
        <v>0</v>
      </c>
      <c r="AH487" s="543">
        <f t="shared" si="658"/>
        <v>0</v>
      </c>
      <c r="AI487" s="543">
        <f t="shared" si="658"/>
        <v>0</v>
      </c>
      <c r="AJ487" s="543">
        <f t="shared" si="658"/>
        <v>0</v>
      </c>
      <c r="AK487" s="543">
        <f t="shared" si="658"/>
        <v>0</v>
      </c>
      <c r="AL487" s="543">
        <f t="shared" si="658"/>
        <v>0</v>
      </c>
      <c r="AM487" s="543">
        <f t="shared" si="658"/>
        <v>0</v>
      </c>
      <c r="AN487" s="543">
        <f t="shared" si="658"/>
        <v>0</v>
      </c>
      <c r="AO487" s="543">
        <f t="shared" si="658"/>
        <v>0</v>
      </c>
      <c r="AP487" s="543">
        <f t="shared" si="658"/>
        <v>0</v>
      </c>
      <c r="AQ487" s="543">
        <f t="shared" si="658"/>
        <v>0</v>
      </c>
      <c r="AR487" s="543">
        <f t="shared" si="658"/>
        <v>0</v>
      </c>
      <c r="AS487" s="543">
        <f t="shared" si="658"/>
        <v>0</v>
      </c>
      <c r="AT487" s="543">
        <f t="shared" si="658"/>
        <v>0</v>
      </c>
      <c r="AU487" s="543">
        <f t="shared" si="658"/>
        <v>0</v>
      </c>
      <c r="AV487" s="543">
        <f t="shared" si="658"/>
        <v>0</v>
      </c>
      <c r="AW487" s="543">
        <f t="shared" si="658"/>
        <v>0</v>
      </c>
      <c r="AX487" s="543">
        <f t="shared" si="658"/>
        <v>0</v>
      </c>
      <c r="AY487" s="543">
        <f t="shared" si="658"/>
        <v>0</v>
      </c>
      <c r="AZ487" s="543">
        <f t="shared" si="658"/>
        <v>0</v>
      </c>
      <c r="BA487" s="543">
        <f t="shared" si="658"/>
        <v>0</v>
      </c>
      <c r="BB487" s="543">
        <f t="shared" si="658"/>
        <v>0</v>
      </c>
      <c r="BC487" s="543">
        <f t="shared" si="658"/>
        <v>0</v>
      </c>
      <c r="BD487" s="543">
        <f t="shared" si="658"/>
        <v>0</v>
      </c>
      <c r="BE487" s="543">
        <f t="shared" si="658"/>
        <v>0</v>
      </c>
      <c r="BF487" s="543">
        <f t="shared" si="658"/>
        <v>0</v>
      </c>
      <c r="BG487" s="543">
        <f t="shared" si="658"/>
        <v>0</v>
      </c>
      <c r="BH487" s="543">
        <f t="shared" si="658"/>
        <v>0</v>
      </c>
      <c r="BI487" s="543">
        <f t="shared" si="658"/>
        <v>0</v>
      </c>
      <c r="BJ487" s="543">
        <f t="shared" si="658"/>
        <v>0</v>
      </c>
      <c r="BK487" s="543">
        <f t="shared" si="658"/>
        <v>0</v>
      </c>
      <c r="BL487" s="543">
        <f t="shared" si="658"/>
        <v>0</v>
      </c>
      <c r="BM487" s="543">
        <f t="shared" si="658"/>
        <v>0</v>
      </c>
      <c r="BN487" s="543">
        <f t="shared" si="658"/>
        <v>0</v>
      </c>
      <c r="BO487" s="543">
        <f t="shared" si="658"/>
        <v>0</v>
      </c>
      <c r="BP487" s="543">
        <f t="shared" si="658"/>
        <v>0</v>
      </c>
      <c r="BQ487" s="543">
        <f t="shared" si="658"/>
        <v>0</v>
      </c>
      <c r="BR487" s="543">
        <f t="shared" si="658"/>
        <v>0</v>
      </c>
      <c r="BS487" s="543">
        <f t="shared" si="658"/>
        <v>0</v>
      </c>
      <c r="BT487" s="543">
        <f t="shared" si="658"/>
        <v>0</v>
      </c>
      <c r="BU487" s="543">
        <f t="shared" si="658"/>
        <v>0</v>
      </c>
      <c r="BV487" s="543">
        <f t="shared" si="658"/>
        <v>0</v>
      </c>
      <c r="BW487" s="543">
        <f t="shared" si="658"/>
        <v>0</v>
      </c>
      <c r="BX487" s="543">
        <f t="shared" si="658"/>
        <v>0</v>
      </c>
      <c r="BY487" s="543">
        <f t="shared" si="658"/>
        <v>0</v>
      </c>
    </row>
    <row r="488" spans="1:77" x14ac:dyDescent="0.3">
      <c r="A488" s="551"/>
      <c r="B488" s="548"/>
      <c r="C488" s="525"/>
      <c r="D488" s="525"/>
      <c r="E488" s="525"/>
      <c r="F488" s="525"/>
      <c r="G488" s="525"/>
      <c r="H488" s="525"/>
      <c r="I488" s="525"/>
      <c r="J488" s="525"/>
      <c r="K488" s="525"/>
      <c r="L488" s="525"/>
      <c r="M488" s="525"/>
      <c r="N488" s="525"/>
      <c r="O488" s="525"/>
      <c r="P488" s="565"/>
      <c r="Q488" s="525"/>
      <c r="R488" s="525"/>
      <c r="S488" s="525"/>
      <c r="T488" s="525"/>
      <c r="U488" s="525"/>
      <c r="V488" s="525"/>
      <c r="W488" s="525"/>
      <c r="X488" s="525"/>
      <c r="Y488" s="525"/>
      <c r="Z488" s="525"/>
      <c r="AA488" s="525"/>
      <c r="AB488" s="525"/>
      <c r="AC488" s="525"/>
      <c r="AD488" s="525"/>
      <c r="AE488" s="525"/>
      <c r="AF488" s="525"/>
      <c r="AG488" s="525"/>
      <c r="AH488" s="525"/>
      <c r="AI488" s="525"/>
      <c r="AJ488" s="525"/>
      <c r="AK488" s="525"/>
      <c r="AL488" s="525"/>
      <c r="AM488" s="525"/>
      <c r="AN488" s="525"/>
      <c r="AO488" s="525"/>
      <c r="AP488" s="525"/>
      <c r="AQ488" s="525"/>
      <c r="AR488" s="525"/>
      <c r="AS488" s="525"/>
      <c r="AT488" s="525"/>
      <c r="AU488" s="525"/>
      <c r="AV488" s="525"/>
      <c r="AW488" s="525"/>
      <c r="AX488" s="525"/>
      <c r="AY488" s="525"/>
      <c r="AZ488" s="525"/>
      <c r="BA488" s="525"/>
      <c r="BB488" s="525"/>
      <c r="BC488" s="525"/>
      <c r="BD488" s="525"/>
      <c r="BE488" s="525"/>
      <c r="BF488" s="525"/>
      <c r="BG488" s="525"/>
      <c r="BH488" s="525"/>
      <c r="BI488" s="525"/>
      <c r="BJ488" s="525"/>
      <c r="BK488" s="525"/>
      <c r="BL488" s="525"/>
      <c r="BM488" s="525"/>
      <c r="BN488" s="525"/>
      <c r="BO488" s="525"/>
      <c r="BP488" s="525"/>
      <c r="BQ488" s="525"/>
      <c r="BR488" s="525"/>
      <c r="BS488" s="525"/>
      <c r="BT488" s="525"/>
      <c r="BU488" s="525"/>
      <c r="BV488" s="525"/>
      <c r="BW488" s="525"/>
      <c r="BX488" s="525"/>
      <c r="BY488" s="525"/>
    </row>
    <row r="489" spans="1:77" x14ac:dyDescent="0.3">
      <c r="A489" s="551"/>
      <c r="B489" s="548"/>
      <c r="C489" s="525"/>
      <c r="D489" s="525"/>
      <c r="E489" s="570" t="s">
        <v>115</v>
      </c>
      <c r="F489" s="525"/>
      <c r="G489" s="525"/>
      <c r="H489" s="525"/>
      <c r="I489" s="525"/>
      <c r="J489" s="525"/>
      <c r="K489" s="525"/>
      <c r="L489" s="525"/>
      <c r="M489" s="525"/>
      <c r="N489" s="525"/>
      <c r="O489" s="525"/>
      <c r="P489" s="565"/>
      <c r="Q489" s="525"/>
      <c r="R489" s="525"/>
      <c r="S489" s="525"/>
      <c r="T489" s="525"/>
      <c r="U489" s="525"/>
      <c r="V489" s="525"/>
      <c r="W489" s="525"/>
      <c r="X489" s="525"/>
      <c r="Y489" s="525"/>
      <c r="Z489" s="525"/>
      <c r="AA489" s="525"/>
      <c r="AB489" s="525"/>
      <c r="AC489" s="525"/>
      <c r="AD489" s="525"/>
      <c r="AE489" s="525"/>
      <c r="AF489" s="525"/>
      <c r="AG489" s="525"/>
      <c r="AH489" s="525"/>
      <c r="AI489" s="525"/>
      <c r="AJ489" s="525"/>
      <c r="AK489" s="525"/>
      <c r="AL489" s="525"/>
      <c r="AM489" s="525"/>
      <c r="AN489" s="525"/>
      <c r="AO489" s="525"/>
      <c r="AP489" s="525"/>
      <c r="AQ489" s="525"/>
      <c r="AR489" s="525"/>
      <c r="AS489" s="525"/>
      <c r="AT489" s="525"/>
      <c r="AU489" s="525"/>
      <c r="AV489" s="525"/>
      <c r="AW489" s="525"/>
      <c r="AX489" s="525"/>
      <c r="AY489" s="525"/>
      <c r="AZ489" s="525"/>
      <c r="BA489" s="525"/>
      <c r="BB489" s="525"/>
      <c r="BC489" s="525"/>
      <c r="BD489" s="525"/>
      <c r="BE489" s="525"/>
      <c r="BF489" s="525"/>
      <c r="BG489" s="525"/>
      <c r="BH489" s="525"/>
      <c r="BI489" s="525"/>
      <c r="BJ489" s="525"/>
      <c r="BK489" s="525"/>
      <c r="BL489" s="525"/>
      <c r="BM489" s="525"/>
      <c r="BN489" s="525"/>
      <c r="BO489" s="525"/>
      <c r="BP489" s="525"/>
      <c r="BQ489" s="525"/>
      <c r="BR489" s="525"/>
      <c r="BS489" s="525"/>
      <c r="BT489" s="525"/>
      <c r="BU489" s="525"/>
      <c r="BV489" s="525"/>
      <c r="BW489" s="525"/>
      <c r="BX489" s="525"/>
      <c r="BY489" s="525"/>
    </row>
    <row r="490" spans="1:77" x14ac:dyDescent="0.3">
      <c r="A490" s="551"/>
      <c r="B490" s="548"/>
      <c r="C490" s="548"/>
      <c r="D490" s="525"/>
      <c r="E490" s="652" t="str">
        <f>"Pre vs post capex: "&amp;E$155</f>
        <v>Pre vs post capex: FY27 Tranche</v>
      </c>
      <c r="F490" s="574"/>
      <c r="G490" s="574"/>
      <c r="H490" s="574"/>
      <c r="I490" s="574"/>
      <c r="J490" s="574"/>
      <c r="K490" s="574"/>
      <c r="L490" s="574"/>
      <c r="M490" s="574"/>
      <c r="N490" s="574"/>
      <c r="O490" s="574"/>
      <c r="P490" s="653"/>
      <c r="Q490" s="574"/>
      <c r="R490" s="543">
        <f t="shared" ref="R490:AW490" si="659">IF(R482=1,0,1)</f>
        <v>1</v>
      </c>
      <c r="S490" s="543">
        <f t="shared" si="659"/>
        <v>1</v>
      </c>
      <c r="T490" s="543">
        <f t="shared" si="659"/>
        <v>1</v>
      </c>
      <c r="U490" s="543">
        <f t="shared" si="659"/>
        <v>1</v>
      </c>
      <c r="V490" s="543">
        <f t="shared" si="659"/>
        <v>1</v>
      </c>
      <c r="W490" s="543">
        <f t="shared" si="659"/>
        <v>1</v>
      </c>
      <c r="X490" s="543">
        <f t="shared" si="659"/>
        <v>0</v>
      </c>
      <c r="Y490" s="543">
        <f t="shared" si="659"/>
        <v>0</v>
      </c>
      <c r="Z490" s="543">
        <f t="shared" si="659"/>
        <v>0</v>
      </c>
      <c r="AA490" s="543">
        <f t="shared" si="659"/>
        <v>0</v>
      </c>
      <c r="AB490" s="543">
        <f t="shared" si="659"/>
        <v>0</v>
      </c>
      <c r="AC490" s="543">
        <f t="shared" si="659"/>
        <v>0</v>
      </c>
      <c r="AD490" s="543">
        <f t="shared" si="659"/>
        <v>0</v>
      </c>
      <c r="AE490" s="543">
        <f t="shared" si="659"/>
        <v>0</v>
      </c>
      <c r="AF490" s="543">
        <f t="shared" si="659"/>
        <v>0</v>
      </c>
      <c r="AG490" s="543">
        <f t="shared" si="659"/>
        <v>0</v>
      </c>
      <c r="AH490" s="543">
        <f t="shared" si="659"/>
        <v>0</v>
      </c>
      <c r="AI490" s="543">
        <f t="shared" si="659"/>
        <v>0</v>
      </c>
      <c r="AJ490" s="543">
        <f t="shared" si="659"/>
        <v>0</v>
      </c>
      <c r="AK490" s="543">
        <f t="shared" si="659"/>
        <v>0</v>
      </c>
      <c r="AL490" s="543">
        <f t="shared" si="659"/>
        <v>0</v>
      </c>
      <c r="AM490" s="543">
        <f t="shared" si="659"/>
        <v>0</v>
      </c>
      <c r="AN490" s="543">
        <f t="shared" si="659"/>
        <v>0</v>
      </c>
      <c r="AO490" s="543">
        <f t="shared" si="659"/>
        <v>0</v>
      </c>
      <c r="AP490" s="543">
        <f t="shared" si="659"/>
        <v>0</v>
      </c>
      <c r="AQ490" s="543">
        <f t="shared" si="659"/>
        <v>0</v>
      </c>
      <c r="AR490" s="543">
        <f t="shared" si="659"/>
        <v>0</v>
      </c>
      <c r="AS490" s="543">
        <f t="shared" si="659"/>
        <v>0</v>
      </c>
      <c r="AT490" s="543">
        <f t="shared" si="659"/>
        <v>0</v>
      </c>
      <c r="AU490" s="543">
        <f t="shared" si="659"/>
        <v>0</v>
      </c>
      <c r="AV490" s="543">
        <f t="shared" si="659"/>
        <v>0</v>
      </c>
      <c r="AW490" s="543">
        <f t="shared" si="659"/>
        <v>0</v>
      </c>
      <c r="AX490" s="543">
        <f t="shared" ref="AX490:BY490" si="660">IF(AX482=1,0,1)</f>
        <v>0</v>
      </c>
      <c r="AY490" s="543">
        <f t="shared" si="660"/>
        <v>0</v>
      </c>
      <c r="AZ490" s="543">
        <f t="shared" si="660"/>
        <v>0</v>
      </c>
      <c r="BA490" s="543">
        <f t="shared" si="660"/>
        <v>0</v>
      </c>
      <c r="BB490" s="543">
        <f t="shared" si="660"/>
        <v>0</v>
      </c>
      <c r="BC490" s="543">
        <f t="shared" si="660"/>
        <v>0</v>
      </c>
      <c r="BD490" s="543">
        <f t="shared" si="660"/>
        <v>0</v>
      </c>
      <c r="BE490" s="543">
        <f t="shared" si="660"/>
        <v>0</v>
      </c>
      <c r="BF490" s="543">
        <f t="shared" si="660"/>
        <v>0</v>
      </c>
      <c r="BG490" s="543">
        <f t="shared" si="660"/>
        <v>0</v>
      </c>
      <c r="BH490" s="543">
        <f t="shared" si="660"/>
        <v>0</v>
      </c>
      <c r="BI490" s="543">
        <f t="shared" si="660"/>
        <v>0</v>
      </c>
      <c r="BJ490" s="543">
        <f t="shared" si="660"/>
        <v>0</v>
      </c>
      <c r="BK490" s="543">
        <f t="shared" si="660"/>
        <v>0</v>
      </c>
      <c r="BL490" s="543">
        <f t="shared" si="660"/>
        <v>0</v>
      </c>
      <c r="BM490" s="543">
        <f t="shared" si="660"/>
        <v>0</v>
      </c>
      <c r="BN490" s="543">
        <f t="shared" si="660"/>
        <v>0</v>
      </c>
      <c r="BO490" s="543">
        <f t="shared" si="660"/>
        <v>0</v>
      </c>
      <c r="BP490" s="543">
        <f t="shared" si="660"/>
        <v>0</v>
      </c>
      <c r="BQ490" s="543">
        <f t="shared" si="660"/>
        <v>0</v>
      </c>
      <c r="BR490" s="543">
        <f t="shared" si="660"/>
        <v>0</v>
      </c>
      <c r="BS490" s="543">
        <f t="shared" si="660"/>
        <v>0</v>
      </c>
      <c r="BT490" s="543">
        <f t="shared" si="660"/>
        <v>0</v>
      </c>
      <c r="BU490" s="543">
        <f t="shared" si="660"/>
        <v>0</v>
      </c>
      <c r="BV490" s="543">
        <f t="shared" si="660"/>
        <v>0</v>
      </c>
      <c r="BW490" s="543">
        <f t="shared" si="660"/>
        <v>0</v>
      </c>
      <c r="BX490" s="543">
        <f t="shared" si="660"/>
        <v>0</v>
      </c>
      <c r="BY490" s="543">
        <f t="shared" si="660"/>
        <v>0</v>
      </c>
    </row>
    <row r="491" spans="1:77" x14ac:dyDescent="0.3">
      <c r="A491" s="551"/>
      <c r="B491" s="548"/>
      <c r="C491" s="548"/>
      <c r="D491" s="525"/>
      <c r="E491" s="652" t="str">
        <f>"Pre vs post capex: "&amp;E$156</f>
        <v>Pre vs post capex: FY28 Tranche</v>
      </c>
      <c r="F491" s="574"/>
      <c r="G491" s="574"/>
      <c r="H491" s="574"/>
      <c r="I491" s="574"/>
      <c r="J491" s="574"/>
      <c r="K491" s="574"/>
      <c r="L491" s="574"/>
      <c r="M491" s="574"/>
      <c r="N491" s="574"/>
      <c r="O491" s="574"/>
      <c r="P491" s="653"/>
      <c r="Q491" s="574"/>
      <c r="R491" s="543">
        <f t="shared" ref="R491:AW491" si="661">IF(R483=1,0,1)</f>
        <v>1</v>
      </c>
      <c r="S491" s="543">
        <f t="shared" si="661"/>
        <v>1</v>
      </c>
      <c r="T491" s="543">
        <f t="shared" si="661"/>
        <v>1</v>
      </c>
      <c r="U491" s="543">
        <f t="shared" si="661"/>
        <v>1</v>
      </c>
      <c r="V491" s="543">
        <f t="shared" si="661"/>
        <v>1</v>
      </c>
      <c r="W491" s="543">
        <f t="shared" si="661"/>
        <v>1</v>
      </c>
      <c r="X491" s="543">
        <f t="shared" si="661"/>
        <v>1</v>
      </c>
      <c r="Y491" s="543">
        <f t="shared" si="661"/>
        <v>1</v>
      </c>
      <c r="Z491" s="543">
        <f t="shared" si="661"/>
        <v>1</v>
      </c>
      <c r="AA491" s="543">
        <f t="shared" si="661"/>
        <v>1</v>
      </c>
      <c r="AB491" s="543">
        <f t="shared" si="661"/>
        <v>1</v>
      </c>
      <c r="AC491" s="543">
        <f t="shared" si="661"/>
        <v>1</v>
      </c>
      <c r="AD491" s="543">
        <f t="shared" si="661"/>
        <v>1</v>
      </c>
      <c r="AE491" s="543">
        <f t="shared" si="661"/>
        <v>1</v>
      </c>
      <c r="AF491" s="543">
        <f t="shared" si="661"/>
        <v>1</v>
      </c>
      <c r="AG491" s="543">
        <f t="shared" si="661"/>
        <v>1</v>
      </c>
      <c r="AH491" s="543">
        <f t="shared" si="661"/>
        <v>1</v>
      </c>
      <c r="AI491" s="543">
        <f t="shared" si="661"/>
        <v>1</v>
      </c>
      <c r="AJ491" s="543">
        <f t="shared" si="661"/>
        <v>0</v>
      </c>
      <c r="AK491" s="543">
        <f t="shared" si="661"/>
        <v>0</v>
      </c>
      <c r="AL491" s="543">
        <f t="shared" si="661"/>
        <v>0</v>
      </c>
      <c r="AM491" s="543">
        <f t="shared" si="661"/>
        <v>0</v>
      </c>
      <c r="AN491" s="543">
        <f t="shared" si="661"/>
        <v>0</v>
      </c>
      <c r="AO491" s="543">
        <f t="shared" si="661"/>
        <v>0</v>
      </c>
      <c r="AP491" s="543">
        <f t="shared" si="661"/>
        <v>0</v>
      </c>
      <c r="AQ491" s="543">
        <f t="shared" si="661"/>
        <v>0</v>
      </c>
      <c r="AR491" s="543">
        <f t="shared" si="661"/>
        <v>0</v>
      </c>
      <c r="AS491" s="543">
        <f t="shared" si="661"/>
        <v>0</v>
      </c>
      <c r="AT491" s="543">
        <f t="shared" si="661"/>
        <v>0</v>
      </c>
      <c r="AU491" s="543">
        <f t="shared" si="661"/>
        <v>0</v>
      </c>
      <c r="AV491" s="543">
        <f t="shared" si="661"/>
        <v>0</v>
      </c>
      <c r="AW491" s="543">
        <f t="shared" si="661"/>
        <v>0</v>
      </c>
      <c r="AX491" s="543">
        <f t="shared" ref="AX491:BY491" si="662">IF(AX483=1,0,1)</f>
        <v>0</v>
      </c>
      <c r="AY491" s="543">
        <f t="shared" si="662"/>
        <v>0</v>
      </c>
      <c r="AZ491" s="543">
        <f t="shared" si="662"/>
        <v>0</v>
      </c>
      <c r="BA491" s="543">
        <f t="shared" si="662"/>
        <v>0</v>
      </c>
      <c r="BB491" s="543">
        <f t="shared" si="662"/>
        <v>0</v>
      </c>
      <c r="BC491" s="543">
        <f t="shared" si="662"/>
        <v>0</v>
      </c>
      <c r="BD491" s="543">
        <f t="shared" si="662"/>
        <v>0</v>
      </c>
      <c r="BE491" s="543">
        <f t="shared" si="662"/>
        <v>0</v>
      </c>
      <c r="BF491" s="543">
        <f t="shared" si="662"/>
        <v>0</v>
      </c>
      <c r="BG491" s="543">
        <f t="shared" si="662"/>
        <v>0</v>
      </c>
      <c r="BH491" s="543">
        <f t="shared" si="662"/>
        <v>0</v>
      </c>
      <c r="BI491" s="543">
        <f t="shared" si="662"/>
        <v>0</v>
      </c>
      <c r="BJ491" s="543">
        <f t="shared" si="662"/>
        <v>0</v>
      </c>
      <c r="BK491" s="543">
        <f t="shared" si="662"/>
        <v>0</v>
      </c>
      <c r="BL491" s="543">
        <f t="shared" si="662"/>
        <v>0</v>
      </c>
      <c r="BM491" s="543">
        <f t="shared" si="662"/>
        <v>0</v>
      </c>
      <c r="BN491" s="543">
        <f t="shared" si="662"/>
        <v>0</v>
      </c>
      <c r="BO491" s="543">
        <f t="shared" si="662"/>
        <v>0</v>
      </c>
      <c r="BP491" s="543">
        <f t="shared" si="662"/>
        <v>0</v>
      </c>
      <c r="BQ491" s="543">
        <f t="shared" si="662"/>
        <v>0</v>
      </c>
      <c r="BR491" s="543">
        <f t="shared" si="662"/>
        <v>0</v>
      </c>
      <c r="BS491" s="543">
        <f t="shared" si="662"/>
        <v>0</v>
      </c>
      <c r="BT491" s="543">
        <f t="shared" si="662"/>
        <v>0</v>
      </c>
      <c r="BU491" s="543">
        <f t="shared" si="662"/>
        <v>0</v>
      </c>
      <c r="BV491" s="543">
        <f t="shared" si="662"/>
        <v>0</v>
      </c>
      <c r="BW491" s="543">
        <f t="shared" si="662"/>
        <v>0</v>
      </c>
      <c r="BX491" s="543">
        <f t="shared" si="662"/>
        <v>0</v>
      </c>
      <c r="BY491" s="543">
        <f t="shared" si="662"/>
        <v>0</v>
      </c>
    </row>
    <row r="492" spans="1:77" x14ac:dyDescent="0.3">
      <c r="A492" s="551"/>
      <c r="B492" s="548"/>
      <c r="C492" s="548"/>
      <c r="D492" s="525"/>
      <c r="E492" s="652" t="str">
        <f>"Pre vs post capex: "&amp;E$157</f>
        <v>Pre vs post capex: FY29 Tranche</v>
      </c>
      <c r="F492" s="574"/>
      <c r="G492" s="574"/>
      <c r="H492" s="574"/>
      <c r="I492" s="574"/>
      <c r="J492" s="574"/>
      <c r="K492" s="574"/>
      <c r="L492" s="574"/>
      <c r="M492" s="574"/>
      <c r="N492" s="574"/>
      <c r="O492" s="574"/>
      <c r="P492" s="653"/>
      <c r="Q492" s="574"/>
      <c r="R492" s="543">
        <f t="shared" ref="R492:AW492" si="663">IF(R484=1,0,1)</f>
        <v>1</v>
      </c>
      <c r="S492" s="543">
        <f t="shared" si="663"/>
        <v>1</v>
      </c>
      <c r="T492" s="543">
        <f t="shared" si="663"/>
        <v>1</v>
      </c>
      <c r="U492" s="543">
        <f t="shared" si="663"/>
        <v>1</v>
      </c>
      <c r="V492" s="543">
        <f t="shared" si="663"/>
        <v>1</v>
      </c>
      <c r="W492" s="543">
        <f t="shared" si="663"/>
        <v>1</v>
      </c>
      <c r="X492" s="543">
        <f t="shared" si="663"/>
        <v>1</v>
      </c>
      <c r="Y492" s="543">
        <f t="shared" si="663"/>
        <v>1</v>
      </c>
      <c r="Z492" s="543">
        <f t="shared" si="663"/>
        <v>1</v>
      </c>
      <c r="AA492" s="543">
        <f t="shared" si="663"/>
        <v>1</v>
      </c>
      <c r="AB492" s="543">
        <f t="shared" si="663"/>
        <v>1</v>
      </c>
      <c r="AC492" s="543">
        <f t="shared" si="663"/>
        <v>1</v>
      </c>
      <c r="AD492" s="543">
        <f t="shared" si="663"/>
        <v>1</v>
      </c>
      <c r="AE492" s="543">
        <f t="shared" si="663"/>
        <v>1</v>
      </c>
      <c r="AF492" s="543">
        <f t="shared" si="663"/>
        <v>1</v>
      </c>
      <c r="AG492" s="543">
        <f t="shared" si="663"/>
        <v>1</v>
      </c>
      <c r="AH492" s="543">
        <f t="shared" si="663"/>
        <v>1</v>
      </c>
      <c r="AI492" s="543">
        <f t="shared" si="663"/>
        <v>1</v>
      </c>
      <c r="AJ492" s="543">
        <f t="shared" si="663"/>
        <v>1</v>
      </c>
      <c r="AK492" s="543">
        <f t="shared" si="663"/>
        <v>1</v>
      </c>
      <c r="AL492" s="543">
        <f t="shared" si="663"/>
        <v>1</v>
      </c>
      <c r="AM492" s="543">
        <f t="shared" si="663"/>
        <v>1</v>
      </c>
      <c r="AN492" s="543">
        <f t="shared" si="663"/>
        <v>1</v>
      </c>
      <c r="AO492" s="543">
        <f t="shared" si="663"/>
        <v>1</v>
      </c>
      <c r="AP492" s="543">
        <f t="shared" si="663"/>
        <v>1</v>
      </c>
      <c r="AQ492" s="543">
        <f t="shared" si="663"/>
        <v>1</v>
      </c>
      <c r="AR492" s="543">
        <f t="shared" si="663"/>
        <v>1</v>
      </c>
      <c r="AS492" s="543">
        <f t="shared" si="663"/>
        <v>1</v>
      </c>
      <c r="AT492" s="543">
        <f t="shared" si="663"/>
        <v>1</v>
      </c>
      <c r="AU492" s="543">
        <f t="shared" si="663"/>
        <v>1</v>
      </c>
      <c r="AV492" s="543">
        <f t="shared" si="663"/>
        <v>0</v>
      </c>
      <c r="AW492" s="543">
        <f t="shared" si="663"/>
        <v>0</v>
      </c>
      <c r="AX492" s="543">
        <f t="shared" ref="AX492:BY492" si="664">IF(AX484=1,0,1)</f>
        <v>0</v>
      </c>
      <c r="AY492" s="543">
        <f t="shared" si="664"/>
        <v>0</v>
      </c>
      <c r="AZ492" s="543">
        <f t="shared" si="664"/>
        <v>0</v>
      </c>
      <c r="BA492" s="543">
        <f t="shared" si="664"/>
        <v>0</v>
      </c>
      <c r="BB492" s="543">
        <f t="shared" si="664"/>
        <v>0</v>
      </c>
      <c r="BC492" s="543">
        <f t="shared" si="664"/>
        <v>0</v>
      </c>
      <c r="BD492" s="543">
        <f t="shared" si="664"/>
        <v>0</v>
      </c>
      <c r="BE492" s="543">
        <f t="shared" si="664"/>
        <v>0</v>
      </c>
      <c r="BF492" s="543">
        <f t="shared" si="664"/>
        <v>0</v>
      </c>
      <c r="BG492" s="543">
        <f t="shared" si="664"/>
        <v>0</v>
      </c>
      <c r="BH492" s="543">
        <f t="shared" si="664"/>
        <v>0</v>
      </c>
      <c r="BI492" s="543">
        <f t="shared" si="664"/>
        <v>0</v>
      </c>
      <c r="BJ492" s="543">
        <f t="shared" si="664"/>
        <v>0</v>
      </c>
      <c r="BK492" s="543">
        <f t="shared" si="664"/>
        <v>0</v>
      </c>
      <c r="BL492" s="543">
        <f t="shared" si="664"/>
        <v>0</v>
      </c>
      <c r="BM492" s="543">
        <f t="shared" si="664"/>
        <v>0</v>
      </c>
      <c r="BN492" s="543">
        <f t="shared" si="664"/>
        <v>0</v>
      </c>
      <c r="BO492" s="543">
        <f t="shared" si="664"/>
        <v>0</v>
      </c>
      <c r="BP492" s="543">
        <f t="shared" si="664"/>
        <v>0</v>
      </c>
      <c r="BQ492" s="543">
        <f t="shared" si="664"/>
        <v>0</v>
      </c>
      <c r="BR492" s="543">
        <f t="shared" si="664"/>
        <v>0</v>
      </c>
      <c r="BS492" s="543">
        <f t="shared" si="664"/>
        <v>0</v>
      </c>
      <c r="BT492" s="543">
        <f t="shared" si="664"/>
        <v>0</v>
      </c>
      <c r="BU492" s="543">
        <f t="shared" si="664"/>
        <v>0</v>
      </c>
      <c r="BV492" s="543">
        <f t="shared" si="664"/>
        <v>0</v>
      </c>
      <c r="BW492" s="543">
        <f t="shared" si="664"/>
        <v>0</v>
      </c>
      <c r="BX492" s="543">
        <f t="shared" si="664"/>
        <v>0</v>
      </c>
      <c r="BY492" s="543">
        <f t="shared" si="664"/>
        <v>0</v>
      </c>
    </row>
    <row r="493" spans="1:77" x14ac:dyDescent="0.3">
      <c r="A493" s="551"/>
      <c r="B493" s="548"/>
      <c r="C493" s="548"/>
      <c r="D493" s="525"/>
      <c r="E493" s="652" t="str">
        <f>"Pre vs post capex: "&amp;E$158</f>
        <v>Pre vs post capex: FY30 Tranche</v>
      </c>
      <c r="F493" s="574"/>
      <c r="G493" s="574"/>
      <c r="H493" s="574"/>
      <c r="I493" s="574"/>
      <c r="J493" s="574"/>
      <c r="K493" s="574"/>
      <c r="L493" s="574"/>
      <c r="M493" s="574"/>
      <c r="N493" s="574"/>
      <c r="O493" s="574"/>
      <c r="P493" s="653"/>
      <c r="Q493" s="574"/>
      <c r="R493" s="543">
        <f t="shared" ref="R493:AW493" si="665">IF(R485=1,0,1)</f>
        <v>1</v>
      </c>
      <c r="S493" s="543">
        <f t="shared" si="665"/>
        <v>1</v>
      </c>
      <c r="T493" s="543">
        <f t="shared" si="665"/>
        <v>1</v>
      </c>
      <c r="U493" s="543">
        <f t="shared" si="665"/>
        <v>1</v>
      </c>
      <c r="V493" s="543">
        <f t="shared" si="665"/>
        <v>1</v>
      </c>
      <c r="W493" s="543">
        <f t="shared" si="665"/>
        <v>1</v>
      </c>
      <c r="X493" s="543">
        <f t="shared" si="665"/>
        <v>1</v>
      </c>
      <c r="Y493" s="543">
        <f t="shared" si="665"/>
        <v>1</v>
      </c>
      <c r="Z493" s="543">
        <f t="shared" si="665"/>
        <v>1</v>
      </c>
      <c r="AA493" s="543">
        <f t="shared" si="665"/>
        <v>1</v>
      </c>
      <c r="AB493" s="543">
        <f t="shared" si="665"/>
        <v>1</v>
      </c>
      <c r="AC493" s="543">
        <f t="shared" si="665"/>
        <v>1</v>
      </c>
      <c r="AD493" s="543">
        <f t="shared" si="665"/>
        <v>1</v>
      </c>
      <c r="AE493" s="543">
        <f t="shared" si="665"/>
        <v>1</v>
      </c>
      <c r="AF493" s="543">
        <f t="shared" si="665"/>
        <v>1</v>
      </c>
      <c r="AG493" s="543">
        <f t="shared" si="665"/>
        <v>1</v>
      </c>
      <c r="AH493" s="543">
        <f t="shared" si="665"/>
        <v>1</v>
      </c>
      <c r="AI493" s="543">
        <f t="shared" si="665"/>
        <v>1</v>
      </c>
      <c r="AJ493" s="543">
        <f t="shared" si="665"/>
        <v>1</v>
      </c>
      <c r="AK493" s="543">
        <f t="shared" si="665"/>
        <v>1</v>
      </c>
      <c r="AL493" s="543">
        <f t="shared" si="665"/>
        <v>1</v>
      </c>
      <c r="AM493" s="543">
        <f t="shared" si="665"/>
        <v>1</v>
      </c>
      <c r="AN493" s="543">
        <f t="shared" si="665"/>
        <v>1</v>
      </c>
      <c r="AO493" s="543">
        <f t="shared" si="665"/>
        <v>1</v>
      </c>
      <c r="AP493" s="543">
        <f t="shared" si="665"/>
        <v>1</v>
      </c>
      <c r="AQ493" s="543">
        <f t="shared" si="665"/>
        <v>1</v>
      </c>
      <c r="AR493" s="543">
        <f t="shared" si="665"/>
        <v>1</v>
      </c>
      <c r="AS493" s="543">
        <f t="shared" si="665"/>
        <v>1</v>
      </c>
      <c r="AT493" s="543">
        <f t="shared" si="665"/>
        <v>1</v>
      </c>
      <c r="AU493" s="543">
        <f t="shared" si="665"/>
        <v>1</v>
      </c>
      <c r="AV493" s="543">
        <f t="shared" si="665"/>
        <v>1</v>
      </c>
      <c r="AW493" s="543">
        <f t="shared" si="665"/>
        <v>1</v>
      </c>
      <c r="AX493" s="543">
        <f t="shared" ref="AX493:BY493" si="666">IF(AX485=1,0,1)</f>
        <v>1</v>
      </c>
      <c r="AY493" s="543">
        <f t="shared" si="666"/>
        <v>1</v>
      </c>
      <c r="AZ493" s="543">
        <f t="shared" si="666"/>
        <v>1</v>
      </c>
      <c r="BA493" s="543">
        <f t="shared" si="666"/>
        <v>1</v>
      </c>
      <c r="BB493" s="543">
        <f t="shared" si="666"/>
        <v>1</v>
      </c>
      <c r="BC493" s="543">
        <f t="shared" si="666"/>
        <v>1</v>
      </c>
      <c r="BD493" s="543">
        <f t="shared" si="666"/>
        <v>1</v>
      </c>
      <c r="BE493" s="543">
        <f t="shared" si="666"/>
        <v>1</v>
      </c>
      <c r="BF493" s="543">
        <f t="shared" si="666"/>
        <v>1</v>
      </c>
      <c r="BG493" s="543">
        <f t="shared" si="666"/>
        <v>1</v>
      </c>
      <c r="BH493" s="543">
        <f t="shared" si="666"/>
        <v>0</v>
      </c>
      <c r="BI493" s="543">
        <f t="shared" si="666"/>
        <v>0</v>
      </c>
      <c r="BJ493" s="543">
        <f t="shared" si="666"/>
        <v>0</v>
      </c>
      <c r="BK493" s="543">
        <f t="shared" si="666"/>
        <v>0</v>
      </c>
      <c r="BL493" s="543">
        <f t="shared" si="666"/>
        <v>0</v>
      </c>
      <c r="BM493" s="543">
        <f t="shared" si="666"/>
        <v>0</v>
      </c>
      <c r="BN493" s="543">
        <f t="shared" si="666"/>
        <v>0</v>
      </c>
      <c r="BO493" s="543">
        <f t="shared" si="666"/>
        <v>0</v>
      </c>
      <c r="BP493" s="543">
        <f t="shared" si="666"/>
        <v>0</v>
      </c>
      <c r="BQ493" s="543">
        <f t="shared" si="666"/>
        <v>0</v>
      </c>
      <c r="BR493" s="543">
        <f t="shared" si="666"/>
        <v>0</v>
      </c>
      <c r="BS493" s="543">
        <f t="shared" si="666"/>
        <v>0</v>
      </c>
      <c r="BT493" s="543">
        <f t="shared" si="666"/>
        <v>0</v>
      </c>
      <c r="BU493" s="543">
        <f t="shared" si="666"/>
        <v>0</v>
      </c>
      <c r="BV493" s="543">
        <f t="shared" si="666"/>
        <v>0</v>
      </c>
      <c r="BW493" s="543">
        <f t="shared" si="666"/>
        <v>0</v>
      </c>
      <c r="BX493" s="543">
        <f t="shared" si="666"/>
        <v>0</v>
      </c>
      <c r="BY493" s="543">
        <f t="shared" si="666"/>
        <v>0</v>
      </c>
    </row>
    <row r="494" spans="1:77" x14ac:dyDescent="0.3">
      <c r="A494" s="551"/>
      <c r="B494" s="548"/>
      <c r="C494" s="548"/>
      <c r="D494" s="525"/>
      <c r="E494" s="652" t="str">
        <f>"Pre vs post capex: "&amp;E$159</f>
        <v>Pre vs post capex: FY31 Tranche</v>
      </c>
      <c r="F494" s="574"/>
      <c r="G494" s="574"/>
      <c r="H494" s="574"/>
      <c r="I494" s="574"/>
      <c r="J494" s="574"/>
      <c r="K494" s="574"/>
      <c r="L494" s="574"/>
      <c r="M494" s="574"/>
      <c r="N494" s="574"/>
      <c r="O494" s="574"/>
      <c r="P494" s="653"/>
      <c r="Q494" s="574"/>
      <c r="R494" s="543">
        <f t="shared" ref="R494:AW494" si="667">IF(R486=1,0,1)</f>
        <v>1</v>
      </c>
      <c r="S494" s="543">
        <f t="shared" si="667"/>
        <v>1</v>
      </c>
      <c r="T494" s="543">
        <f t="shared" si="667"/>
        <v>1</v>
      </c>
      <c r="U494" s="543">
        <f t="shared" si="667"/>
        <v>1</v>
      </c>
      <c r="V494" s="543">
        <f t="shared" si="667"/>
        <v>1</v>
      </c>
      <c r="W494" s="543">
        <f t="shared" si="667"/>
        <v>1</v>
      </c>
      <c r="X494" s="543">
        <f t="shared" si="667"/>
        <v>1</v>
      </c>
      <c r="Y494" s="543">
        <f t="shared" si="667"/>
        <v>1</v>
      </c>
      <c r="Z494" s="543">
        <f t="shared" si="667"/>
        <v>1</v>
      </c>
      <c r="AA494" s="543">
        <f t="shared" si="667"/>
        <v>1</v>
      </c>
      <c r="AB494" s="543">
        <f t="shared" si="667"/>
        <v>1</v>
      </c>
      <c r="AC494" s="543">
        <f t="shared" si="667"/>
        <v>1</v>
      </c>
      <c r="AD494" s="543">
        <f t="shared" si="667"/>
        <v>1</v>
      </c>
      <c r="AE494" s="543">
        <f t="shared" si="667"/>
        <v>1</v>
      </c>
      <c r="AF494" s="543">
        <f t="shared" si="667"/>
        <v>1</v>
      </c>
      <c r="AG494" s="543">
        <f t="shared" si="667"/>
        <v>1</v>
      </c>
      <c r="AH494" s="543">
        <f t="shared" si="667"/>
        <v>1</v>
      </c>
      <c r="AI494" s="543">
        <f t="shared" si="667"/>
        <v>1</v>
      </c>
      <c r="AJ494" s="543">
        <f t="shared" si="667"/>
        <v>1</v>
      </c>
      <c r="AK494" s="543">
        <f t="shared" si="667"/>
        <v>1</v>
      </c>
      <c r="AL494" s="543">
        <f t="shared" si="667"/>
        <v>1</v>
      </c>
      <c r="AM494" s="543">
        <f t="shared" si="667"/>
        <v>1</v>
      </c>
      <c r="AN494" s="543">
        <f t="shared" si="667"/>
        <v>1</v>
      </c>
      <c r="AO494" s="543">
        <f t="shared" si="667"/>
        <v>1</v>
      </c>
      <c r="AP494" s="543">
        <f t="shared" si="667"/>
        <v>1</v>
      </c>
      <c r="AQ494" s="543">
        <f t="shared" si="667"/>
        <v>1</v>
      </c>
      <c r="AR494" s="543">
        <f t="shared" si="667"/>
        <v>1</v>
      </c>
      <c r="AS494" s="543">
        <f t="shared" si="667"/>
        <v>1</v>
      </c>
      <c r="AT494" s="543">
        <f t="shared" si="667"/>
        <v>1</v>
      </c>
      <c r="AU494" s="543">
        <f t="shared" si="667"/>
        <v>1</v>
      </c>
      <c r="AV494" s="543">
        <f t="shared" si="667"/>
        <v>1</v>
      </c>
      <c r="AW494" s="543">
        <f t="shared" si="667"/>
        <v>1</v>
      </c>
      <c r="AX494" s="543">
        <f t="shared" ref="AX494:BY494" si="668">IF(AX486=1,0,1)</f>
        <v>1</v>
      </c>
      <c r="AY494" s="543">
        <f t="shared" si="668"/>
        <v>1</v>
      </c>
      <c r="AZ494" s="543">
        <f t="shared" si="668"/>
        <v>1</v>
      </c>
      <c r="BA494" s="543">
        <f t="shared" si="668"/>
        <v>1</v>
      </c>
      <c r="BB494" s="543">
        <f t="shared" si="668"/>
        <v>1</v>
      </c>
      <c r="BC494" s="543">
        <f t="shared" si="668"/>
        <v>1</v>
      </c>
      <c r="BD494" s="543">
        <f t="shared" si="668"/>
        <v>1</v>
      </c>
      <c r="BE494" s="543">
        <f t="shared" si="668"/>
        <v>1</v>
      </c>
      <c r="BF494" s="543">
        <f t="shared" si="668"/>
        <v>1</v>
      </c>
      <c r="BG494" s="543">
        <f t="shared" si="668"/>
        <v>1</v>
      </c>
      <c r="BH494" s="543">
        <f t="shared" si="668"/>
        <v>1</v>
      </c>
      <c r="BI494" s="543">
        <f t="shared" si="668"/>
        <v>1</v>
      </c>
      <c r="BJ494" s="543">
        <f t="shared" si="668"/>
        <v>1</v>
      </c>
      <c r="BK494" s="543">
        <f t="shared" si="668"/>
        <v>1</v>
      </c>
      <c r="BL494" s="543">
        <f t="shared" si="668"/>
        <v>1</v>
      </c>
      <c r="BM494" s="543">
        <f t="shared" si="668"/>
        <v>1</v>
      </c>
      <c r="BN494" s="543">
        <f t="shared" si="668"/>
        <v>1</v>
      </c>
      <c r="BO494" s="543">
        <f t="shared" si="668"/>
        <v>1</v>
      </c>
      <c r="BP494" s="543">
        <f t="shared" si="668"/>
        <v>1</v>
      </c>
      <c r="BQ494" s="543">
        <f t="shared" si="668"/>
        <v>1</v>
      </c>
      <c r="BR494" s="543">
        <f t="shared" si="668"/>
        <v>1</v>
      </c>
      <c r="BS494" s="543">
        <f t="shared" si="668"/>
        <v>1</v>
      </c>
      <c r="BT494" s="543">
        <f t="shared" si="668"/>
        <v>0</v>
      </c>
      <c r="BU494" s="543">
        <f t="shared" si="668"/>
        <v>0</v>
      </c>
      <c r="BV494" s="543">
        <f t="shared" si="668"/>
        <v>0</v>
      </c>
      <c r="BW494" s="543">
        <f t="shared" si="668"/>
        <v>0</v>
      </c>
      <c r="BX494" s="543">
        <f t="shared" si="668"/>
        <v>0</v>
      </c>
      <c r="BY494" s="543">
        <f t="shared" si="668"/>
        <v>0</v>
      </c>
    </row>
    <row r="495" spans="1:77" x14ac:dyDescent="0.3">
      <c r="A495" s="551"/>
      <c r="B495" s="548"/>
      <c r="C495" s="548"/>
      <c r="D495" s="525"/>
      <c r="E495" s="652" t="str">
        <f>"Pre vs post capex: "&amp;E$160</f>
        <v>Pre vs post capex: Uninvested Tranche</v>
      </c>
      <c r="F495" s="574"/>
      <c r="G495" s="574"/>
      <c r="H495" s="574"/>
      <c r="I495" s="574"/>
      <c r="J495" s="574"/>
      <c r="K495" s="574"/>
      <c r="L495" s="574"/>
      <c r="M495" s="574"/>
      <c r="N495" s="574"/>
      <c r="O495" s="574"/>
      <c r="P495" s="653"/>
      <c r="Q495" s="574"/>
      <c r="R495" s="543">
        <f t="shared" ref="R495:AW495" si="669">IF(R487=1,0,1)</f>
        <v>1</v>
      </c>
      <c r="S495" s="543">
        <f t="shared" si="669"/>
        <v>1</v>
      </c>
      <c r="T495" s="543">
        <f t="shared" si="669"/>
        <v>1</v>
      </c>
      <c r="U495" s="543">
        <f t="shared" si="669"/>
        <v>1</v>
      </c>
      <c r="V495" s="543">
        <f t="shared" si="669"/>
        <v>1</v>
      </c>
      <c r="W495" s="543">
        <f t="shared" si="669"/>
        <v>1</v>
      </c>
      <c r="X495" s="543">
        <f t="shared" si="669"/>
        <v>1</v>
      </c>
      <c r="Y495" s="543">
        <f t="shared" si="669"/>
        <v>1</v>
      </c>
      <c r="Z495" s="543">
        <f t="shared" si="669"/>
        <v>1</v>
      </c>
      <c r="AA495" s="543">
        <f t="shared" si="669"/>
        <v>1</v>
      </c>
      <c r="AB495" s="543">
        <f t="shared" si="669"/>
        <v>1</v>
      </c>
      <c r="AC495" s="543">
        <f t="shared" si="669"/>
        <v>1</v>
      </c>
      <c r="AD495" s="543">
        <f t="shared" si="669"/>
        <v>1</v>
      </c>
      <c r="AE495" s="543">
        <f t="shared" si="669"/>
        <v>1</v>
      </c>
      <c r="AF495" s="543">
        <f t="shared" si="669"/>
        <v>1</v>
      </c>
      <c r="AG495" s="543">
        <f t="shared" si="669"/>
        <v>1</v>
      </c>
      <c r="AH495" s="543">
        <f t="shared" si="669"/>
        <v>1</v>
      </c>
      <c r="AI495" s="543">
        <f t="shared" si="669"/>
        <v>1</v>
      </c>
      <c r="AJ495" s="543">
        <f t="shared" si="669"/>
        <v>1</v>
      </c>
      <c r="AK495" s="543">
        <f t="shared" si="669"/>
        <v>1</v>
      </c>
      <c r="AL495" s="543">
        <f t="shared" si="669"/>
        <v>1</v>
      </c>
      <c r="AM495" s="543">
        <f t="shared" si="669"/>
        <v>1</v>
      </c>
      <c r="AN495" s="543">
        <f t="shared" si="669"/>
        <v>1</v>
      </c>
      <c r="AO495" s="543">
        <f t="shared" si="669"/>
        <v>1</v>
      </c>
      <c r="AP495" s="543">
        <f t="shared" si="669"/>
        <v>1</v>
      </c>
      <c r="AQ495" s="543">
        <f t="shared" si="669"/>
        <v>1</v>
      </c>
      <c r="AR495" s="543">
        <f t="shared" si="669"/>
        <v>1</v>
      </c>
      <c r="AS495" s="543">
        <f t="shared" si="669"/>
        <v>1</v>
      </c>
      <c r="AT495" s="543">
        <f t="shared" si="669"/>
        <v>1</v>
      </c>
      <c r="AU495" s="543">
        <f t="shared" si="669"/>
        <v>1</v>
      </c>
      <c r="AV495" s="543">
        <f t="shared" si="669"/>
        <v>1</v>
      </c>
      <c r="AW495" s="543">
        <f t="shared" si="669"/>
        <v>1</v>
      </c>
      <c r="AX495" s="543">
        <f t="shared" ref="AX495:BY495" si="670">IF(AX487=1,0,1)</f>
        <v>1</v>
      </c>
      <c r="AY495" s="543">
        <f t="shared" si="670"/>
        <v>1</v>
      </c>
      <c r="AZ495" s="543">
        <f t="shared" si="670"/>
        <v>1</v>
      </c>
      <c r="BA495" s="543">
        <f t="shared" si="670"/>
        <v>1</v>
      </c>
      <c r="BB495" s="543">
        <f t="shared" si="670"/>
        <v>1</v>
      </c>
      <c r="BC495" s="543">
        <f t="shared" si="670"/>
        <v>1</v>
      </c>
      <c r="BD495" s="543">
        <f t="shared" si="670"/>
        <v>1</v>
      </c>
      <c r="BE495" s="543">
        <f t="shared" si="670"/>
        <v>1</v>
      </c>
      <c r="BF495" s="543">
        <f t="shared" si="670"/>
        <v>1</v>
      </c>
      <c r="BG495" s="543">
        <f t="shared" si="670"/>
        <v>1</v>
      </c>
      <c r="BH495" s="543">
        <f t="shared" si="670"/>
        <v>1</v>
      </c>
      <c r="BI495" s="543">
        <f t="shared" si="670"/>
        <v>1</v>
      </c>
      <c r="BJ495" s="543">
        <f t="shared" si="670"/>
        <v>1</v>
      </c>
      <c r="BK495" s="543">
        <f t="shared" si="670"/>
        <v>1</v>
      </c>
      <c r="BL495" s="543">
        <f t="shared" si="670"/>
        <v>1</v>
      </c>
      <c r="BM495" s="543">
        <f t="shared" si="670"/>
        <v>1</v>
      </c>
      <c r="BN495" s="543">
        <f t="shared" si="670"/>
        <v>1</v>
      </c>
      <c r="BO495" s="543">
        <f t="shared" si="670"/>
        <v>1</v>
      </c>
      <c r="BP495" s="543">
        <f t="shared" si="670"/>
        <v>1</v>
      </c>
      <c r="BQ495" s="543">
        <f t="shared" si="670"/>
        <v>1</v>
      </c>
      <c r="BR495" s="543">
        <f t="shared" si="670"/>
        <v>1</v>
      </c>
      <c r="BS495" s="543">
        <f t="shared" si="670"/>
        <v>1</v>
      </c>
      <c r="BT495" s="543">
        <f t="shared" si="670"/>
        <v>1</v>
      </c>
      <c r="BU495" s="543">
        <f t="shared" si="670"/>
        <v>1</v>
      </c>
      <c r="BV495" s="543">
        <f t="shared" si="670"/>
        <v>1</v>
      </c>
      <c r="BW495" s="543">
        <f t="shared" si="670"/>
        <v>1</v>
      </c>
      <c r="BX495" s="543">
        <f t="shared" si="670"/>
        <v>1</v>
      </c>
      <c r="BY495" s="543">
        <f t="shared" si="670"/>
        <v>1</v>
      </c>
    </row>
    <row r="496" spans="1:77" x14ac:dyDescent="0.3">
      <c r="A496" s="551"/>
      <c r="B496" s="548"/>
      <c r="C496" s="525"/>
      <c r="D496" s="525"/>
      <c r="E496" s="525"/>
      <c r="F496" s="525"/>
      <c r="G496" s="525"/>
      <c r="H496" s="525"/>
      <c r="I496" s="525"/>
      <c r="J496" s="525"/>
      <c r="K496" s="525"/>
      <c r="L496" s="654"/>
      <c r="M496" s="525"/>
      <c r="N496" s="525"/>
      <c r="O496" s="525"/>
      <c r="P496" s="565"/>
      <c r="Q496" s="525"/>
      <c r="R496" s="525"/>
      <c r="S496" s="525"/>
      <c r="T496" s="525"/>
      <c r="U496" s="525"/>
      <c r="V496" s="525"/>
      <c r="W496" s="525"/>
      <c r="X496" s="525"/>
      <c r="Y496" s="525"/>
      <c r="Z496" s="525"/>
      <c r="AA496" s="525"/>
      <c r="AB496" s="525"/>
      <c r="AC496" s="525"/>
      <c r="AD496" s="525"/>
      <c r="AE496" s="525"/>
      <c r="AF496" s="525"/>
      <c r="AG496" s="525"/>
      <c r="AH496" s="525"/>
      <c r="AI496" s="525"/>
      <c r="AJ496" s="525"/>
      <c r="AK496" s="525"/>
      <c r="AL496" s="525"/>
      <c r="AM496" s="525"/>
      <c r="AN496" s="525"/>
      <c r="AO496" s="525"/>
      <c r="AP496" s="525"/>
      <c r="AQ496" s="525"/>
      <c r="AR496" s="525"/>
      <c r="AS496" s="525"/>
      <c r="AT496" s="525"/>
      <c r="AU496" s="525"/>
      <c r="AV496" s="525"/>
      <c r="AW496" s="525"/>
      <c r="AX496" s="525"/>
      <c r="AY496" s="525"/>
      <c r="AZ496" s="525"/>
      <c r="BA496" s="525"/>
      <c r="BB496" s="525"/>
      <c r="BC496" s="525"/>
      <c r="BD496" s="525"/>
      <c r="BE496" s="525"/>
      <c r="BF496" s="525"/>
      <c r="BG496" s="525"/>
      <c r="BH496" s="525"/>
      <c r="BI496" s="525"/>
      <c r="BJ496" s="525"/>
      <c r="BK496" s="525"/>
      <c r="BL496" s="525"/>
      <c r="BM496" s="525"/>
      <c r="BN496" s="525"/>
      <c r="BO496" s="525"/>
      <c r="BP496" s="525"/>
      <c r="BQ496" s="525"/>
      <c r="BR496" s="525"/>
      <c r="BS496" s="525"/>
      <c r="BT496" s="525"/>
      <c r="BU496" s="525"/>
      <c r="BV496" s="525"/>
      <c r="BW496" s="525"/>
      <c r="BX496" s="525"/>
      <c r="BY496" s="525"/>
    </row>
    <row r="497" spans="1:80" x14ac:dyDescent="0.3">
      <c r="A497" s="551"/>
      <c r="B497" s="548"/>
      <c r="C497" s="525"/>
      <c r="D497" s="525"/>
      <c r="E497" s="570" t="s">
        <v>116</v>
      </c>
      <c r="F497" s="525"/>
      <c r="G497" s="525"/>
      <c r="H497" s="525"/>
      <c r="I497" s="525"/>
      <c r="J497" s="525"/>
      <c r="K497" s="525"/>
      <c r="L497" s="525"/>
      <c r="M497" s="525"/>
      <c r="N497" s="525"/>
      <c r="O497" s="525"/>
      <c r="P497" s="565"/>
      <c r="Q497" s="525"/>
      <c r="R497" s="525"/>
      <c r="S497" s="525"/>
      <c r="T497" s="525"/>
      <c r="U497" s="525"/>
      <c r="V497" s="525"/>
      <c r="W497" s="525"/>
      <c r="X497" s="525"/>
      <c r="Y497" s="525"/>
      <c r="Z497" s="525"/>
      <c r="AA497" s="525"/>
      <c r="AB497" s="525"/>
      <c r="AC497" s="525"/>
      <c r="AD497" s="525"/>
      <c r="AE497" s="525"/>
      <c r="AF497" s="525"/>
      <c r="AG497" s="525"/>
      <c r="AH497" s="525"/>
      <c r="AI497" s="525"/>
      <c r="AJ497" s="525"/>
      <c r="AK497" s="525"/>
      <c r="AL497" s="525"/>
      <c r="AM497" s="525"/>
      <c r="AN497" s="525"/>
      <c r="AO497" s="525"/>
      <c r="AP497" s="525"/>
      <c r="AQ497" s="525"/>
      <c r="AR497" s="525"/>
      <c r="AS497" s="525"/>
      <c r="AT497" s="525"/>
      <c r="AU497" s="525"/>
      <c r="AV497" s="525"/>
      <c r="AW497" s="525"/>
      <c r="AX497" s="525"/>
      <c r="AY497" s="525"/>
      <c r="AZ497" s="525"/>
      <c r="BA497" s="525"/>
      <c r="BB497" s="525"/>
      <c r="BC497" s="525"/>
      <c r="BD497" s="525"/>
      <c r="BE497" s="525"/>
      <c r="BF497" s="525"/>
      <c r="BG497" s="525"/>
      <c r="BH497" s="525"/>
      <c r="BI497" s="525"/>
      <c r="BJ497" s="525"/>
      <c r="BK497" s="525"/>
      <c r="BL497" s="525"/>
      <c r="BM497" s="525"/>
      <c r="BN497" s="525"/>
      <c r="BO497" s="525"/>
      <c r="BP497" s="525"/>
      <c r="BQ497" s="525"/>
      <c r="BR497" s="525"/>
      <c r="BS497" s="525"/>
      <c r="BT497" s="525"/>
      <c r="BU497" s="525"/>
      <c r="BV497" s="525"/>
      <c r="BW497" s="525"/>
      <c r="BX497" s="525"/>
      <c r="BY497" s="525"/>
      <c r="BZ497" s="537"/>
      <c r="CA497" s="537"/>
      <c r="CB497" s="537"/>
    </row>
    <row r="498" spans="1:80" x14ac:dyDescent="0.3">
      <c r="A498" s="551"/>
      <c r="B498" s="548"/>
      <c r="C498" s="548"/>
      <c r="D498" s="525"/>
      <c r="E498" s="655" t="str">
        <f>"EBITDA growth post capex: "&amp;E$155</f>
        <v>EBITDA growth post capex: FY27 Tranche</v>
      </c>
      <c r="F498" s="574"/>
      <c r="G498" s="574"/>
      <c r="H498" s="574"/>
      <c r="I498" s="574"/>
      <c r="J498" s="574"/>
      <c r="K498" s="574"/>
      <c r="L498" s="574"/>
      <c r="M498" s="574"/>
      <c r="N498" s="574"/>
      <c r="O498" s="574"/>
      <c r="P498" s="653"/>
      <c r="Q498" s="574"/>
      <c r="R498" s="543">
        <f>IF(AND(R$4&lt;=$AH155,R$4&gt;$V155),1,IF(AND(R$4&lt;=$AI155,R$4&gt;$AH155),2,IF(AND(R$4&lt;=$AJ155,R$4&gt;$AI155),3,IF(AND(R$4&lt;=$AK155,R$4&gt;$AJ155),4,IF(AND(R$4&lt;=$AL155,R$4&gt;$AK155),5,0)))))*'Detailed Assumptions'!$E$6</f>
        <v>0</v>
      </c>
      <c r="S498" s="543">
        <f>IF(AND(S$4&lt;=$AH155,S$4&gt;$V155),1,IF(AND(S$4&lt;=$AI155,S$4&gt;$AH155),2,IF(AND(S$4&lt;=$AJ155,S$4&gt;$AI155),3,IF(AND(S$4&lt;=$AK155,S$4&gt;$AJ155),4,IF(AND(S$4&lt;=$AL155,S$4&gt;$AK155),5,0)))))*'Detailed Assumptions'!$E$6</f>
        <v>0</v>
      </c>
      <c r="T498" s="543">
        <f>IF(AND(T$4&lt;=$AH155,T$4&gt;$V155),1,IF(AND(T$4&lt;=$AI155,T$4&gt;$AH155),2,IF(AND(T$4&lt;=$AJ155,T$4&gt;$AI155),3,IF(AND(T$4&lt;=$AK155,T$4&gt;$AJ155),4,IF(AND(T$4&lt;=$AL155,T$4&gt;$AK155),5,0)))))*'Detailed Assumptions'!$E$6</f>
        <v>0</v>
      </c>
      <c r="U498" s="543">
        <f>IF(AND(U$4&lt;=$AH155,U$4&gt;$V155),1,IF(AND(U$4&lt;=$AI155,U$4&gt;$AH155),2,IF(AND(U$4&lt;=$AJ155,U$4&gt;$AI155),3,IF(AND(U$4&lt;=$AK155,U$4&gt;$AJ155),4,IF(AND(U$4&lt;=$AL155,U$4&gt;$AK155),5,0)))))*'Detailed Assumptions'!$E$6</f>
        <v>0</v>
      </c>
      <c r="V498" s="543">
        <f>IF(AND(V$4&lt;=$AH155,V$4&gt;$V155),1,IF(AND(V$4&lt;=$AI155,V$4&gt;$AH155),2,IF(AND(V$4&lt;=$AJ155,V$4&gt;$AI155),3,IF(AND(V$4&lt;=$AK155,V$4&gt;$AJ155),4,IF(AND(V$4&lt;=$AL155,V$4&gt;$AK155),5,0)))))*'Detailed Assumptions'!$E$6</f>
        <v>0</v>
      </c>
      <c r="W498" s="543">
        <f>IF(AND(W$4&lt;=$AH155,W$4&gt;$V155),1,IF(AND(W$4&lt;=$AI155,W$4&gt;$AH155),2,IF(AND(W$4&lt;=$AJ155,W$4&gt;$AI155),3,IF(AND(W$4&lt;=$AK155,W$4&gt;$AJ155),4,IF(AND(W$4&lt;=$AL155,W$4&gt;$AK155),5,0)))))*'Detailed Assumptions'!$E$6</f>
        <v>0</v>
      </c>
      <c r="X498" s="543">
        <f>IF(AND(X$4&lt;=$AH155,X$4&gt;$V155),1,IF(AND(X$4&lt;=$AI155,X$4&gt;$AH155),2,IF(AND(X$4&lt;=$AJ155,X$4&gt;$AI155),3,IF(AND(X$4&lt;=$AK155,X$4&gt;$AJ155),4,IF(AND(X$4&lt;=$AL155,X$4&gt;$AK155),5,0)))))*'Detailed Assumptions'!$E$6</f>
        <v>1</v>
      </c>
      <c r="Y498" s="543">
        <f>IF(AND(Y$4&lt;=$AH155,Y$4&gt;$V155),1,IF(AND(Y$4&lt;=$AI155,Y$4&gt;$AH155),2,IF(AND(Y$4&lt;=$AJ155,Y$4&gt;$AI155),3,IF(AND(Y$4&lt;=$AK155,Y$4&gt;$AJ155),4,IF(AND(Y$4&lt;=$AL155,Y$4&gt;$AK155),5,0)))))*'Detailed Assumptions'!$E$6</f>
        <v>1</v>
      </c>
      <c r="Z498" s="543">
        <f>IF(AND(Z$4&lt;=$AH155,Z$4&gt;$V155),1,IF(AND(Z$4&lt;=$AI155,Z$4&gt;$AH155),2,IF(AND(Z$4&lt;=$AJ155,Z$4&gt;$AI155),3,IF(AND(Z$4&lt;=$AK155,Z$4&gt;$AJ155),4,IF(AND(Z$4&lt;=$AL155,Z$4&gt;$AK155),5,0)))))*'Detailed Assumptions'!$E$6</f>
        <v>1</v>
      </c>
      <c r="AA498" s="543">
        <f>IF(AND(AA$4&lt;=$AH155,AA$4&gt;$V155),1,IF(AND(AA$4&lt;=$AI155,AA$4&gt;$AH155),2,IF(AND(AA$4&lt;=$AJ155,AA$4&gt;$AI155),3,IF(AND(AA$4&lt;=$AK155,AA$4&gt;$AJ155),4,IF(AND(AA$4&lt;=$AL155,AA$4&gt;$AK155),5,0)))))*'Detailed Assumptions'!$E$6</f>
        <v>1</v>
      </c>
      <c r="AB498" s="543">
        <f>IF(AND(AB$4&lt;=$AH155,AB$4&gt;$V155),1,IF(AND(AB$4&lt;=$AI155,AB$4&gt;$AH155),2,IF(AND(AB$4&lt;=$AJ155,AB$4&gt;$AI155),3,IF(AND(AB$4&lt;=$AK155,AB$4&gt;$AJ155),4,IF(AND(AB$4&lt;=$AL155,AB$4&gt;$AK155),5,0)))))*'Detailed Assumptions'!$E$6</f>
        <v>1</v>
      </c>
      <c r="AC498" s="543">
        <f>IF(AND(AC$4&lt;=$AH155,AC$4&gt;$V155),1,IF(AND(AC$4&lt;=$AI155,AC$4&gt;$AH155),2,IF(AND(AC$4&lt;=$AJ155,AC$4&gt;$AI155),3,IF(AND(AC$4&lt;=$AK155,AC$4&gt;$AJ155),4,IF(AND(AC$4&lt;=$AL155,AC$4&gt;$AK155),5,0)))))*'Detailed Assumptions'!$E$6</f>
        <v>1</v>
      </c>
      <c r="AD498" s="543">
        <f>IF(AND(AD$4&lt;=$AH155,AD$4&gt;$V155),1,IF(AND(AD$4&lt;=$AI155,AD$4&gt;$AH155),2,IF(AND(AD$4&lt;=$AJ155,AD$4&gt;$AI155),3,IF(AND(AD$4&lt;=$AK155,AD$4&gt;$AJ155),4,IF(AND(AD$4&lt;=$AL155,AD$4&gt;$AK155),5,0)))))*'Detailed Assumptions'!$E$6</f>
        <v>1</v>
      </c>
      <c r="AE498" s="543">
        <f>IF(AND(AE$4&lt;=$AH155,AE$4&gt;$V155),1,IF(AND(AE$4&lt;=$AI155,AE$4&gt;$AH155),2,IF(AND(AE$4&lt;=$AJ155,AE$4&gt;$AI155),3,IF(AND(AE$4&lt;=$AK155,AE$4&gt;$AJ155),4,IF(AND(AE$4&lt;=$AL155,AE$4&gt;$AK155),5,0)))))*'Detailed Assumptions'!$E$6</f>
        <v>1</v>
      </c>
      <c r="AF498" s="543">
        <f>IF(AND(AF$4&lt;=$AH155,AF$4&gt;$V155),1,IF(AND(AF$4&lt;=$AI155,AF$4&gt;$AH155),2,IF(AND(AF$4&lt;=$AJ155,AF$4&gt;$AI155),3,IF(AND(AF$4&lt;=$AK155,AF$4&gt;$AJ155),4,IF(AND(AF$4&lt;=$AL155,AF$4&gt;$AK155),5,0)))))*'Detailed Assumptions'!$E$6</f>
        <v>1</v>
      </c>
      <c r="AG498" s="543">
        <f>IF(AND(AG$4&lt;=$AH155,AG$4&gt;$V155),1,IF(AND(AG$4&lt;=$AI155,AG$4&gt;$AH155),2,IF(AND(AG$4&lt;=$AJ155,AG$4&gt;$AI155),3,IF(AND(AG$4&lt;=$AK155,AG$4&gt;$AJ155),4,IF(AND(AG$4&lt;=$AL155,AG$4&gt;$AK155),5,0)))))*'Detailed Assumptions'!$E$6</f>
        <v>1</v>
      </c>
      <c r="AH498" s="543">
        <f>IF(AND(AH$4&lt;=$AH155,AH$4&gt;$V155),1,IF(AND(AH$4&lt;=$AI155,AH$4&gt;$AH155),2,IF(AND(AH$4&lt;=$AJ155,AH$4&gt;$AI155),3,IF(AND(AH$4&lt;=$AK155,AH$4&gt;$AJ155),4,IF(AND(AH$4&lt;=$AL155,AH$4&gt;$AK155),5,0)))))*'Detailed Assumptions'!$E$6</f>
        <v>1</v>
      </c>
      <c r="AI498" s="543">
        <f>IF(AND(AI$4&lt;=$AH155,AI$4&gt;$V155),1,IF(AND(AI$4&lt;=$AI155,AI$4&gt;$AH155),2,IF(AND(AI$4&lt;=$AJ155,AI$4&gt;$AI155),3,IF(AND(AI$4&lt;=$AK155,AI$4&gt;$AJ155),4,IF(AND(AI$4&lt;=$AL155,AI$4&gt;$AK155),5,0)))))*'Detailed Assumptions'!$E$6</f>
        <v>1</v>
      </c>
      <c r="AJ498" s="543">
        <f>IF(AND(AJ$4&lt;=$AH155,AJ$4&gt;$V155),1,IF(AND(AJ$4&lt;=$AI155,AJ$4&gt;$AH155),2,IF(AND(AJ$4&lt;=$AJ155,AJ$4&gt;$AI155),3,IF(AND(AJ$4&lt;=$AK155,AJ$4&gt;$AJ155),4,IF(AND(AJ$4&lt;=$AL155,AJ$4&gt;$AK155),5,0)))))*'Detailed Assumptions'!$E$6</f>
        <v>2</v>
      </c>
      <c r="AK498" s="543">
        <f>IF(AND(AK$4&lt;=$AH155,AK$4&gt;$V155),1,IF(AND(AK$4&lt;=$AI155,AK$4&gt;$AH155),2,IF(AND(AK$4&lt;=$AJ155,AK$4&gt;$AI155),3,IF(AND(AK$4&lt;=$AK155,AK$4&gt;$AJ155),4,IF(AND(AK$4&lt;=$AL155,AK$4&gt;$AK155),5,0)))))*'Detailed Assumptions'!$E$6</f>
        <v>2</v>
      </c>
      <c r="AL498" s="543">
        <f>IF(AND(AL$4&lt;=$AH155,AL$4&gt;$V155),1,IF(AND(AL$4&lt;=$AI155,AL$4&gt;$AH155),2,IF(AND(AL$4&lt;=$AJ155,AL$4&gt;$AI155),3,IF(AND(AL$4&lt;=$AK155,AL$4&gt;$AJ155),4,IF(AND(AL$4&lt;=$AL155,AL$4&gt;$AK155),5,0)))))*'Detailed Assumptions'!$E$6</f>
        <v>2</v>
      </c>
      <c r="AM498" s="543">
        <f>IF(AND(AM$4&lt;=$AH155,AM$4&gt;$V155),1,IF(AND(AM$4&lt;=$AI155,AM$4&gt;$AH155),2,IF(AND(AM$4&lt;=$AJ155,AM$4&gt;$AI155),3,IF(AND(AM$4&lt;=$AK155,AM$4&gt;$AJ155),4,IF(AND(AM$4&lt;=$AL155,AM$4&gt;$AK155),5,0)))))*'Detailed Assumptions'!$E$6</f>
        <v>2</v>
      </c>
      <c r="AN498" s="543">
        <f>IF(AND(AN$4&lt;=$AH155,AN$4&gt;$V155),1,IF(AND(AN$4&lt;=$AI155,AN$4&gt;$AH155),2,IF(AND(AN$4&lt;=$AJ155,AN$4&gt;$AI155),3,IF(AND(AN$4&lt;=$AK155,AN$4&gt;$AJ155),4,IF(AND(AN$4&lt;=$AL155,AN$4&gt;$AK155),5,0)))))*'Detailed Assumptions'!$E$6</f>
        <v>2</v>
      </c>
      <c r="AO498" s="543">
        <f>IF(AND(AO$4&lt;=$AH155,AO$4&gt;$V155),1,IF(AND(AO$4&lt;=$AI155,AO$4&gt;$AH155),2,IF(AND(AO$4&lt;=$AJ155,AO$4&gt;$AI155),3,IF(AND(AO$4&lt;=$AK155,AO$4&gt;$AJ155),4,IF(AND(AO$4&lt;=$AL155,AO$4&gt;$AK155),5,0)))))*'Detailed Assumptions'!$E$6</f>
        <v>2</v>
      </c>
      <c r="AP498" s="543">
        <f>IF(AND(AP$4&lt;=$AH155,AP$4&gt;$V155),1,IF(AND(AP$4&lt;=$AI155,AP$4&gt;$AH155),2,IF(AND(AP$4&lt;=$AJ155,AP$4&gt;$AI155),3,IF(AND(AP$4&lt;=$AK155,AP$4&gt;$AJ155),4,IF(AND(AP$4&lt;=$AL155,AP$4&gt;$AK155),5,0)))))*'Detailed Assumptions'!$E$6</f>
        <v>2</v>
      </c>
      <c r="AQ498" s="543">
        <f>IF(AND(AQ$4&lt;=$AH155,AQ$4&gt;$V155),1,IF(AND(AQ$4&lt;=$AI155,AQ$4&gt;$AH155),2,IF(AND(AQ$4&lt;=$AJ155,AQ$4&gt;$AI155),3,IF(AND(AQ$4&lt;=$AK155,AQ$4&gt;$AJ155),4,IF(AND(AQ$4&lt;=$AL155,AQ$4&gt;$AK155),5,0)))))*'Detailed Assumptions'!$E$6</f>
        <v>2</v>
      </c>
      <c r="AR498" s="543">
        <f>IF(AND(AR$4&lt;=$AH155,AR$4&gt;$V155),1,IF(AND(AR$4&lt;=$AI155,AR$4&gt;$AH155),2,IF(AND(AR$4&lt;=$AJ155,AR$4&gt;$AI155),3,IF(AND(AR$4&lt;=$AK155,AR$4&gt;$AJ155),4,IF(AND(AR$4&lt;=$AL155,AR$4&gt;$AK155),5,0)))))*'Detailed Assumptions'!$E$6</f>
        <v>2</v>
      </c>
      <c r="AS498" s="543">
        <f>IF(AND(AS$4&lt;=$AH155,AS$4&gt;$V155),1,IF(AND(AS$4&lt;=$AI155,AS$4&gt;$AH155),2,IF(AND(AS$4&lt;=$AJ155,AS$4&gt;$AI155),3,IF(AND(AS$4&lt;=$AK155,AS$4&gt;$AJ155),4,IF(AND(AS$4&lt;=$AL155,AS$4&gt;$AK155),5,0)))))*'Detailed Assumptions'!$E$6</f>
        <v>2</v>
      </c>
      <c r="AT498" s="543">
        <f>IF(AND(AT$4&lt;=$AH155,AT$4&gt;$V155),1,IF(AND(AT$4&lt;=$AI155,AT$4&gt;$AH155),2,IF(AND(AT$4&lt;=$AJ155,AT$4&gt;$AI155),3,IF(AND(AT$4&lt;=$AK155,AT$4&gt;$AJ155),4,IF(AND(AT$4&lt;=$AL155,AT$4&gt;$AK155),5,0)))))*'Detailed Assumptions'!$E$6</f>
        <v>2</v>
      </c>
      <c r="AU498" s="543">
        <f>IF(AND(AU$4&lt;=$AH155,AU$4&gt;$V155),1,IF(AND(AU$4&lt;=$AI155,AU$4&gt;$AH155),2,IF(AND(AU$4&lt;=$AJ155,AU$4&gt;$AI155),3,IF(AND(AU$4&lt;=$AK155,AU$4&gt;$AJ155),4,IF(AND(AU$4&lt;=$AL155,AU$4&gt;$AK155),5,0)))))*'Detailed Assumptions'!$E$6</f>
        <v>2</v>
      </c>
      <c r="AV498" s="543">
        <f>IF(AND(AV$4&lt;=$AH155,AV$4&gt;$V155),1,IF(AND(AV$4&lt;=$AI155,AV$4&gt;$AH155),2,IF(AND(AV$4&lt;=$AJ155,AV$4&gt;$AI155),3,IF(AND(AV$4&lt;=$AK155,AV$4&gt;$AJ155),4,IF(AND(AV$4&lt;=$AL155,AV$4&gt;$AK155),5,0)))))*'Detailed Assumptions'!$E$6</f>
        <v>3</v>
      </c>
      <c r="AW498" s="543">
        <f>IF(AND(AW$4&lt;=$AH155,AW$4&gt;$V155),1,IF(AND(AW$4&lt;=$AI155,AW$4&gt;$AH155),2,IF(AND(AW$4&lt;=$AJ155,AW$4&gt;$AI155),3,IF(AND(AW$4&lt;=$AK155,AW$4&gt;$AJ155),4,IF(AND(AW$4&lt;=$AL155,AW$4&gt;$AK155),5,0)))))*'Detailed Assumptions'!$E$6</f>
        <v>3</v>
      </c>
      <c r="AX498" s="543">
        <f>IF(AND(AX$4&lt;=$AH155,AX$4&gt;$V155),1,IF(AND(AX$4&lt;=$AI155,AX$4&gt;$AH155),2,IF(AND(AX$4&lt;=$AJ155,AX$4&gt;$AI155),3,IF(AND(AX$4&lt;=$AK155,AX$4&gt;$AJ155),4,IF(AND(AX$4&lt;=$AL155,AX$4&gt;$AK155),5,0)))))*'Detailed Assumptions'!$E$6</f>
        <v>3</v>
      </c>
      <c r="AY498" s="543">
        <f>IF(AND(AY$4&lt;=$AH155,AY$4&gt;$V155),1,IF(AND(AY$4&lt;=$AI155,AY$4&gt;$AH155),2,IF(AND(AY$4&lt;=$AJ155,AY$4&gt;$AI155),3,IF(AND(AY$4&lt;=$AK155,AY$4&gt;$AJ155),4,IF(AND(AY$4&lt;=$AL155,AY$4&gt;$AK155),5,0)))))*'Detailed Assumptions'!$E$6</f>
        <v>3</v>
      </c>
      <c r="AZ498" s="543">
        <f>IF(AND(AZ$4&lt;=$AH155,AZ$4&gt;$V155),1,IF(AND(AZ$4&lt;=$AI155,AZ$4&gt;$AH155),2,IF(AND(AZ$4&lt;=$AJ155,AZ$4&gt;$AI155),3,IF(AND(AZ$4&lt;=$AK155,AZ$4&gt;$AJ155),4,IF(AND(AZ$4&lt;=$AL155,AZ$4&gt;$AK155),5,0)))))*'Detailed Assumptions'!$E$6</f>
        <v>3</v>
      </c>
      <c r="BA498" s="543">
        <f>IF(AND(BA$4&lt;=$AH155,BA$4&gt;$V155),1,IF(AND(BA$4&lt;=$AI155,BA$4&gt;$AH155),2,IF(AND(BA$4&lt;=$AJ155,BA$4&gt;$AI155),3,IF(AND(BA$4&lt;=$AK155,BA$4&gt;$AJ155),4,IF(AND(BA$4&lt;=$AL155,BA$4&gt;$AK155),5,0)))))*'Detailed Assumptions'!$E$6</f>
        <v>3</v>
      </c>
      <c r="BB498" s="543">
        <f>IF(AND(BB$4&lt;=$AH155,BB$4&gt;$V155),1,IF(AND(BB$4&lt;=$AI155,BB$4&gt;$AH155),2,IF(AND(BB$4&lt;=$AJ155,BB$4&gt;$AI155),3,IF(AND(BB$4&lt;=$AK155,BB$4&gt;$AJ155),4,IF(AND(BB$4&lt;=$AL155,BB$4&gt;$AK155),5,0)))))*'Detailed Assumptions'!$E$6</f>
        <v>3</v>
      </c>
      <c r="BC498" s="543">
        <f>IF(AND(BC$4&lt;=$AH155,BC$4&gt;$V155),1,IF(AND(BC$4&lt;=$AI155,BC$4&gt;$AH155),2,IF(AND(BC$4&lt;=$AJ155,BC$4&gt;$AI155),3,IF(AND(BC$4&lt;=$AK155,BC$4&gt;$AJ155),4,IF(AND(BC$4&lt;=$AL155,BC$4&gt;$AK155),5,0)))))*'Detailed Assumptions'!$E$6</f>
        <v>3</v>
      </c>
      <c r="BD498" s="543">
        <f>IF(AND(BD$4&lt;=$AH155,BD$4&gt;$V155),1,IF(AND(BD$4&lt;=$AI155,BD$4&gt;$AH155),2,IF(AND(BD$4&lt;=$AJ155,BD$4&gt;$AI155),3,IF(AND(BD$4&lt;=$AK155,BD$4&gt;$AJ155),4,IF(AND(BD$4&lt;=$AL155,BD$4&gt;$AK155),5,0)))))*'Detailed Assumptions'!$E$6</f>
        <v>3</v>
      </c>
      <c r="BE498" s="543">
        <f>IF(AND(BE$4&lt;=$AH155,BE$4&gt;$V155),1,IF(AND(BE$4&lt;=$AI155,BE$4&gt;$AH155),2,IF(AND(BE$4&lt;=$AJ155,BE$4&gt;$AI155),3,IF(AND(BE$4&lt;=$AK155,BE$4&gt;$AJ155),4,IF(AND(BE$4&lt;=$AL155,BE$4&gt;$AK155),5,0)))))*'Detailed Assumptions'!$E$6</f>
        <v>3</v>
      </c>
      <c r="BF498" s="543">
        <f>IF(AND(BF$4&lt;=$AH155,BF$4&gt;$V155),1,IF(AND(BF$4&lt;=$AI155,BF$4&gt;$AH155),2,IF(AND(BF$4&lt;=$AJ155,BF$4&gt;$AI155),3,IF(AND(BF$4&lt;=$AK155,BF$4&gt;$AJ155),4,IF(AND(BF$4&lt;=$AL155,BF$4&gt;$AK155),5,0)))))*'Detailed Assumptions'!$E$6</f>
        <v>3</v>
      </c>
      <c r="BG498" s="543">
        <f>IF(AND(BG$4&lt;=$AH155,BG$4&gt;$V155),1,IF(AND(BG$4&lt;=$AI155,BG$4&gt;$AH155),2,IF(AND(BG$4&lt;=$AJ155,BG$4&gt;$AI155),3,IF(AND(BG$4&lt;=$AK155,BG$4&gt;$AJ155),4,IF(AND(BG$4&lt;=$AL155,BG$4&gt;$AK155),5,0)))))*'Detailed Assumptions'!$E$6</f>
        <v>3</v>
      </c>
      <c r="BH498" s="543">
        <f>IF(AND(BH$4&lt;=$AH155,BH$4&gt;$V155),1,IF(AND(BH$4&lt;=$AI155,BH$4&gt;$AH155),2,IF(AND(BH$4&lt;=$AJ155,BH$4&gt;$AI155),3,IF(AND(BH$4&lt;=$AK155,BH$4&gt;$AJ155),4,IF(AND(BH$4&lt;=$AL155,BH$4&gt;$AK155),5,0)))))*'Detailed Assumptions'!$E$6</f>
        <v>4</v>
      </c>
      <c r="BI498" s="543">
        <f>IF(AND(BI$4&lt;=$AH155,BI$4&gt;$V155),1,IF(AND(BI$4&lt;=$AI155,BI$4&gt;$AH155),2,IF(AND(BI$4&lt;=$AJ155,BI$4&gt;$AI155),3,IF(AND(BI$4&lt;=$AK155,BI$4&gt;$AJ155),4,IF(AND(BI$4&lt;=$AL155,BI$4&gt;$AK155),5,0)))))*'Detailed Assumptions'!$E$6</f>
        <v>4</v>
      </c>
      <c r="BJ498" s="543">
        <f>IF(AND(BJ$4&lt;=$AH155,BJ$4&gt;$V155),1,IF(AND(BJ$4&lt;=$AI155,BJ$4&gt;$AH155),2,IF(AND(BJ$4&lt;=$AJ155,BJ$4&gt;$AI155),3,IF(AND(BJ$4&lt;=$AK155,BJ$4&gt;$AJ155),4,IF(AND(BJ$4&lt;=$AL155,BJ$4&gt;$AK155),5,0)))))*'Detailed Assumptions'!$E$6</f>
        <v>4</v>
      </c>
      <c r="BK498" s="543">
        <f>IF(AND(BK$4&lt;=$AH155,BK$4&gt;$V155),1,IF(AND(BK$4&lt;=$AI155,BK$4&gt;$AH155),2,IF(AND(BK$4&lt;=$AJ155,BK$4&gt;$AI155),3,IF(AND(BK$4&lt;=$AK155,BK$4&gt;$AJ155),4,IF(AND(BK$4&lt;=$AL155,BK$4&gt;$AK155),5,0)))))*'Detailed Assumptions'!$E$6</f>
        <v>4</v>
      </c>
      <c r="BL498" s="543">
        <f>IF(AND(BL$4&lt;=$AH155,BL$4&gt;$V155),1,IF(AND(BL$4&lt;=$AI155,BL$4&gt;$AH155),2,IF(AND(BL$4&lt;=$AJ155,BL$4&gt;$AI155),3,IF(AND(BL$4&lt;=$AK155,BL$4&gt;$AJ155),4,IF(AND(BL$4&lt;=$AL155,BL$4&gt;$AK155),5,0)))))*'Detailed Assumptions'!$E$6</f>
        <v>4</v>
      </c>
      <c r="BM498" s="543">
        <f>IF(AND(BM$4&lt;=$AH155,BM$4&gt;$V155),1,IF(AND(BM$4&lt;=$AI155,BM$4&gt;$AH155),2,IF(AND(BM$4&lt;=$AJ155,BM$4&gt;$AI155),3,IF(AND(BM$4&lt;=$AK155,BM$4&gt;$AJ155),4,IF(AND(BM$4&lt;=$AL155,BM$4&gt;$AK155),5,0)))))*'Detailed Assumptions'!$E$6</f>
        <v>4</v>
      </c>
      <c r="BN498" s="543">
        <f>IF(AND(BN$4&lt;=$AH155,BN$4&gt;$V155),1,IF(AND(BN$4&lt;=$AI155,BN$4&gt;$AH155),2,IF(AND(BN$4&lt;=$AJ155,BN$4&gt;$AI155),3,IF(AND(BN$4&lt;=$AK155,BN$4&gt;$AJ155),4,IF(AND(BN$4&lt;=$AL155,BN$4&gt;$AK155),5,0)))))*'Detailed Assumptions'!$E$6</f>
        <v>4</v>
      </c>
      <c r="BO498" s="543">
        <f>IF(AND(BO$4&lt;=$AH155,BO$4&gt;$V155),1,IF(AND(BO$4&lt;=$AI155,BO$4&gt;$AH155),2,IF(AND(BO$4&lt;=$AJ155,BO$4&gt;$AI155),3,IF(AND(BO$4&lt;=$AK155,BO$4&gt;$AJ155),4,IF(AND(BO$4&lt;=$AL155,BO$4&gt;$AK155),5,0)))))*'Detailed Assumptions'!$E$6</f>
        <v>4</v>
      </c>
      <c r="BP498" s="543">
        <f>IF(AND(BP$4&lt;=$AH155,BP$4&gt;$V155),1,IF(AND(BP$4&lt;=$AI155,BP$4&gt;$AH155),2,IF(AND(BP$4&lt;=$AJ155,BP$4&gt;$AI155),3,IF(AND(BP$4&lt;=$AK155,BP$4&gt;$AJ155),4,IF(AND(BP$4&lt;=$AL155,BP$4&gt;$AK155),5,0)))))*'Detailed Assumptions'!$E$6</f>
        <v>4</v>
      </c>
      <c r="BQ498" s="543">
        <f>IF(AND(BQ$4&lt;=$AH155,BQ$4&gt;$V155),1,IF(AND(BQ$4&lt;=$AI155,BQ$4&gt;$AH155),2,IF(AND(BQ$4&lt;=$AJ155,BQ$4&gt;$AI155),3,IF(AND(BQ$4&lt;=$AK155,BQ$4&gt;$AJ155),4,IF(AND(BQ$4&lt;=$AL155,BQ$4&gt;$AK155),5,0)))))*'Detailed Assumptions'!$E$6</f>
        <v>4</v>
      </c>
      <c r="BR498" s="543">
        <f>IF(AND(BR$4&lt;=$AH155,BR$4&gt;$V155),1,IF(AND(BR$4&lt;=$AI155,BR$4&gt;$AH155),2,IF(AND(BR$4&lt;=$AJ155,BR$4&gt;$AI155),3,IF(AND(BR$4&lt;=$AK155,BR$4&gt;$AJ155),4,IF(AND(BR$4&lt;=$AL155,BR$4&gt;$AK155),5,0)))))*'Detailed Assumptions'!$E$6</f>
        <v>4</v>
      </c>
      <c r="BS498" s="543">
        <f>IF(AND(BS$4&lt;=$AH155,BS$4&gt;$V155),1,IF(AND(BS$4&lt;=$AI155,BS$4&gt;$AH155),2,IF(AND(BS$4&lt;=$AJ155,BS$4&gt;$AI155),3,IF(AND(BS$4&lt;=$AK155,BS$4&gt;$AJ155),4,IF(AND(BS$4&lt;=$AL155,BS$4&gt;$AK155),5,0)))))*'Detailed Assumptions'!$E$6</f>
        <v>4</v>
      </c>
      <c r="BT498" s="543">
        <f>IF(AND(BT$4&lt;=$AH155,BT$4&gt;$V155),1,IF(AND(BT$4&lt;=$AI155,BT$4&gt;$AH155),2,IF(AND(BT$4&lt;=$AJ155,BT$4&gt;$AI155),3,IF(AND(BT$4&lt;=$AK155,BT$4&gt;$AJ155),4,IF(AND(BT$4&lt;=$AL155,BT$4&gt;$AK155),5,0)))))*'Detailed Assumptions'!$E$6</f>
        <v>5</v>
      </c>
      <c r="BU498" s="543">
        <f>IF(AND(BU$4&lt;=$AH155,BU$4&gt;$V155),1,IF(AND(BU$4&lt;=$AI155,BU$4&gt;$AH155),2,IF(AND(BU$4&lt;=$AJ155,BU$4&gt;$AI155),3,IF(AND(BU$4&lt;=$AK155,BU$4&gt;$AJ155),4,IF(AND(BU$4&lt;=$AL155,BU$4&gt;$AK155),5,0)))))*'Detailed Assumptions'!$E$6</f>
        <v>5</v>
      </c>
      <c r="BV498" s="543">
        <f>IF(AND(BV$4&lt;=$AH155,BV$4&gt;$V155),1,IF(AND(BV$4&lt;=$AI155,BV$4&gt;$AH155),2,IF(AND(BV$4&lt;=$AJ155,BV$4&gt;$AI155),3,IF(AND(BV$4&lt;=$AK155,BV$4&gt;$AJ155),4,IF(AND(BV$4&lt;=$AL155,BV$4&gt;$AK155),5,0)))))*'Detailed Assumptions'!$E$6</f>
        <v>5</v>
      </c>
      <c r="BW498" s="543">
        <f>IF(AND(BW$4&lt;=$AH155,BW$4&gt;$V155),1,IF(AND(BW$4&lt;=$AI155,BW$4&gt;$AH155),2,IF(AND(BW$4&lt;=$AJ155,BW$4&gt;$AI155),3,IF(AND(BW$4&lt;=$AK155,BW$4&gt;$AJ155),4,IF(AND(BW$4&lt;=$AL155,BW$4&gt;$AK155),5,0)))))*'Detailed Assumptions'!$E$6</f>
        <v>5</v>
      </c>
      <c r="BX498" s="543">
        <f>IF(AND(BX$4&lt;=$AH155,BX$4&gt;$V155),1,IF(AND(BX$4&lt;=$AI155,BX$4&gt;$AH155),2,IF(AND(BX$4&lt;=$AJ155,BX$4&gt;$AI155),3,IF(AND(BX$4&lt;=$AK155,BX$4&gt;$AJ155),4,IF(AND(BX$4&lt;=$AL155,BX$4&gt;$AK155),5,0)))))*'Detailed Assumptions'!$E$6</f>
        <v>5</v>
      </c>
      <c r="BY498" s="543">
        <f>IF(AND(BY$4&lt;=$AH155,BY$4&gt;$V155),1,IF(AND(BY$4&lt;=$AI155,BY$4&gt;$AH155),2,IF(AND(BY$4&lt;=$AJ155,BY$4&gt;$AI155),3,IF(AND(BY$4&lt;=$AK155,BY$4&gt;$AJ155),4,IF(AND(BY$4&lt;=$AL155,BY$4&gt;$AK155),5,0)))))*'Detailed Assumptions'!$E$6</f>
        <v>5</v>
      </c>
      <c r="BZ498" s="537"/>
      <c r="CA498" s="537"/>
      <c r="CB498" s="537"/>
    </row>
    <row r="499" spans="1:80" x14ac:dyDescent="0.3">
      <c r="A499" s="551"/>
      <c r="B499" s="548"/>
      <c r="C499" s="548"/>
      <c r="D499" s="525"/>
      <c r="E499" s="655" t="str">
        <f>"EBITDA growth post capex: "&amp;E$156</f>
        <v>EBITDA growth post capex: FY28 Tranche</v>
      </c>
      <c r="F499" s="574"/>
      <c r="G499" s="574"/>
      <c r="H499" s="574"/>
      <c r="I499" s="574"/>
      <c r="J499" s="574"/>
      <c r="K499" s="574"/>
      <c r="L499" s="574"/>
      <c r="M499" s="574"/>
      <c r="N499" s="574"/>
      <c r="O499" s="574"/>
      <c r="P499" s="653"/>
      <c r="Q499" s="574"/>
      <c r="R499" s="543">
        <f>IF(AND(R$4&lt;=$AH156,R$4&gt;$V156),1,IF(AND(R$4&lt;=$AI156,R$4&gt;$AH156),2,IF(AND(R$4&lt;=$AJ156,R$4&gt;$AI156),3,IF(AND(R$4&lt;=$AK156,R$4&gt;$AJ156),4,IF(AND(R$4&lt;=$AL156,R$4&gt;$AK156),5,0)))))*'Detailed Assumptions'!$E$6</f>
        <v>0</v>
      </c>
      <c r="S499" s="543">
        <f>IF(AND(S$4&lt;=$AH156,S$4&gt;$V156),1,IF(AND(S$4&lt;=$AI156,S$4&gt;$AH156),2,IF(AND(S$4&lt;=$AJ156,S$4&gt;$AI156),3,IF(AND(S$4&lt;=$AK156,S$4&gt;$AJ156),4,IF(AND(S$4&lt;=$AL156,S$4&gt;$AK156),5,0)))))*'Detailed Assumptions'!$E$6</f>
        <v>0</v>
      </c>
      <c r="T499" s="543">
        <f>IF(AND(T$4&lt;=$AH156,T$4&gt;$V156),1,IF(AND(T$4&lt;=$AI156,T$4&gt;$AH156),2,IF(AND(T$4&lt;=$AJ156,T$4&gt;$AI156),3,IF(AND(T$4&lt;=$AK156,T$4&gt;$AJ156),4,IF(AND(T$4&lt;=$AL156,T$4&gt;$AK156),5,0)))))*'Detailed Assumptions'!$E$6</f>
        <v>0</v>
      </c>
      <c r="U499" s="543">
        <f>IF(AND(U$4&lt;=$AH156,U$4&gt;$V156),1,IF(AND(U$4&lt;=$AI156,U$4&gt;$AH156),2,IF(AND(U$4&lt;=$AJ156,U$4&gt;$AI156),3,IF(AND(U$4&lt;=$AK156,U$4&gt;$AJ156),4,IF(AND(U$4&lt;=$AL156,U$4&gt;$AK156),5,0)))))*'Detailed Assumptions'!$E$6</f>
        <v>0</v>
      </c>
      <c r="V499" s="543">
        <f>IF(AND(V$4&lt;=$AH156,V$4&gt;$V156),1,IF(AND(V$4&lt;=$AI156,V$4&gt;$AH156),2,IF(AND(V$4&lt;=$AJ156,V$4&gt;$AI156),3,IF(AND(V$4&lt;=$AK156,V$4&gt;$AJ156),4,IF(AND(V$4&lt;=$AL156,V$4&gt;$AK156),5,0)))))*'Detailed Assumptions'!$E$6</f>
        <v>0</v>
      </c>
      <c r="W499" s="543">
        <f>IF(AND(W$4&lt;=$AH156,W$4&gt;$V156),1,IF(AND(W$4&lt;=$AI156,W$4&gt;$AH156),2,IF(AND(W$4&lt;=$AJ156,W$4&gt;$AI156),3,IF(AND(W$4&lt;=$AK156,W$4&gt;$AJ156),4,IF(AND(W$4&lt;=$AL156,W$4&gt;$AK156),5,0)))))*'Detailed Assumptions'!$E$6</f>
        <v>0</v>
      </c>
      <c r="X499" s="543">
        <f>IF(AND(X$4&lt;=$AH156,X$4&gt;$V156),1,IF(AND(X$4&lt;=$AI156,X$4&gt;$AH156),2,IF(AND(X$4&lt;=$AJ156,X$4&gt;$AI156),3,IF(AND(X$4&lt;=$AK156,X$4&gt;$AJ156),4,IF(AND(X$4&lt;=$AL156,X$4&gt;$AK156),5,0)))))*'Detailed Assumptions'!$E$6</f>
        <v>0</v>
      </c>
      <c r="Y499" s="543">
        <f>IF(AND(Y$4&lt;=$AH156,Y$4&gt;$V156),1,IF(AND(Y$4&lt;=$AI156,Y$4&gt;$AH156),2,IF(AND(Y$4&lt;=$AJ156,Y$4&gt;$AI156),3,IF(AND(Y$4&lt;=$AK156,Y$4&gt;$AJ156),4,IF(AND(Y$4&lt;=$AL156,Y$4&gt;$AK156),5,0)))))*'Detailed Assumptions'!$E$6</f>
        <v>0</v>
      </c>
      <c r="Z499" s="543">
        <f>IF(AND(Z$4&lt;=$AH156,Z$4&gt;$V156),1,IF(AND(Z$4&lt;=$AI156,Z$4&gt;$AH156),2,IF(AND(Z$4&lt;=$AJ156,Z$4&gt;$AI156),3,IF(AND(Z$4&lt;=$AK156,Z$4&gt;$AJ156),4,IF(AND(Z$4&lt;=$AL156,Z$4&gt;$AK156),5,0)))))*'Detailed Assumptions'!$E$6</f>
        <v>0</v>
      </c>
      <c r="AA499" s="543">
        <f>IF(AND(AA$4&lt;=$AH156,AA$4&gt;$V156),1,IF(AND(AA$4&lt;=$AI156,AA$4&gt;$AH156),2,IF(AND(AA$4&lt;=$AJ156,AA$4&gt;$AI156),3,IF(AND(AA$4&lt;=$AK156,AA$4&gt;$AJ156),4,IF(AND(AA$4&lt;=$AL156,AA$4&gt;$AK156),5,0)))))*'Detailed Assumptions'!$E$6</f>
        <v>0</v>
      </c>
      <c r="AB499" s="543">
        <f>IF(AND(AB$4&lt;=$AH156,AB$4&gt;$V156),1,IF(AND(AB$4&lt;=$AI156,AB$4&gt;$AH156),2,IF(AND(AB$4&lt;=$AJ156,AB$4&gt;$AI156),3,IF(AND(AB$4&lt;=$AK156,AB$4&gt;$AJ156),4,IF(AND(AB$4&lt;=$AL156,AB$4&gt;$AK156),5,0)))))*'Detailed Assumptions'!$E$6</f>
        <v>0</v>
      </c>
      <c r="AC499" s="543">
        <f>IF(AND(AC$4&lt;=$AH156,AC$4&gt;$V156),1,IF(AND(AC$4&lt;=$AI156,AC$4&gt;$AH156),2,IF(AND(AC$4&lt;=$AJ156,AC$4&gt;$AI156),3,IF(AND(AC$4&lt;=$AK156,AC$4&gt;$AJ156),4,IF(AND(AC$4&lt;=$AL156,AC$4&gt;$AK156),5,0)))))*'Detailed Assumptions'!$E$6</f>
        <v>0</v>
      </c>
      <c r="AD499" s="543">
        <f>IF(AND(AD$4&lt;=$AH156,AD$4&gt;$V156),1,IF(AND(AD$4&lt;=$AI156,AD$4&gt;$AH156),2,IF(AND(AD$4&lt;=$AJ156,AD$4&gt;$AI156),3,IF(AND(AD$4&lt;=$AK156,AD$4&gt;$AJ156),4,IF(AND(AD$4&lt;=$AL156,AD$4&gt;$AK156),5,0)))))*'Detailed Assumptions'!$E$6</f>
        <v>0</v>
      </c>
      <c r="AE499" s="543">
        <f>IF(AND(AE$4&lt;=$AH156,AE$4&gt;$V156),1,IF(AND(AE$4&lt;=$AI156,AE$4&gt;$AH156),2,IF(AND(AE$4&lt;=$AJ156,AE$4&gt;$AI156),3,IF(AND(AE$4&lt;=$AK156,AE$4&gt;$AJ156),4,IF(AND(AE$4&lt;=$AL156,AE$4&gt;$AK156),5,0)))))*'Detailed Assumptions'!$E$6</f>
        <v>0</v>
      </c>
      <c r="AF499" s="543">
        <f>IF(AND(AF$4&lt;=$AH156,AF$4&gt;$V156),1,IF(AND(AF$4&lt;=$AI156,AF$4&gt;$AH156),2,IF(AND(AF$4&lt;=$AJ156,AF$4&gt;$AI156),3,IF(AND(AF$4&lt;=$AK156,AF$4&gt;$AJ156),4,IF(AND(AF$4&lt;=$AL156,AF$4&gt;$AK156),5,0)))))*'Detailed Assumptions'!$E$6</f>
        <v>0</v>
      </c>
      <c r="AG499" s="543">
        <f>IF(AND(AG$4&lt;=$AH156,AG$4&gt;$V156),1,IF(AND(AG$4&lt;=$AI156,AG$4&gt;$AH156),2,IF(AND(AG$4&lt;=$AJ156,AG$4&gt;$AI156),3,IF(AND(AG$4&lt;=$AK156,AG$4&gt;$AJ156),4,IF(AND(AG$4&lt;=$AL156,AG$4&gt;$AK156),5,0)))))*'Detailed Assumptions'!$E$6</f>
        <v>0</v>
      </c>
      <c r="AH499" s="543">
        <f>IF(AND(AH$4&lt;=$AH156,AH$4&gt;$V156),1,IF(AND(AH$4&lt;=$AI156,AH$4&gt;$AH156),2,IF(AND(AH$4&lt;=$AJ156,AH$4&gt;$AI156),3,IF(AND(AH$4&lt;=$AK156,AH$4&gt;$AJ156),4,IF(AND(AH$4&lt;=$AL156,AH$4&gt;$AK156),5,0)))))*'Detailed Assumptions'!$E$6</f>
        <v>0</v>
      </c>
      <c r="AI499" s="543">
        <f>IF(AND(AI$4&lt;=$AH156,AI$4&gt;$V156),1,IF(AND(AI$4&lt;=$AI156,AI$4&gt;$AH156),2,IF(AND(AI$4&lt;=$AJ156,AI$4&gt;$AI156),3,IF(AND(AI$4&lt;=$AK156,AI$4&gt;$AJ156),4,IF(AND(AI$4&lt;=$AL156,AI$4&gt;$AK156),5,0)))))*'Detailed Assumptions'!$E$6</f>
        <v>0</v>
      </c>
      <c r="AJ499" s="543">
        <f>IF(AND(AJ$4&lt;=$AH156,AJ$4&gt;$V156),1,IF(AND(AJ$4&lt;=$AI156,AJ$4&gt;$AH156),2,IF(AND(AJ$4&lt;=$AJ156,AJ$4&gt;$AI156),3,IF(AND(AJ$4&lt;=$AK156,AJ$4&gt;$AJ156),4,IF(AND(AJ$4&lt;=$AL156,AJ$4&gt;$AK156),5,0)))))*'Detailed Assumptions'!$E$6</f>
        <v>1</v>
      </c>
      <c r="AK499" s="543">
        <f>IF(AND(AK$4&lt;=$AH156,AK$4&gt;$V156),1,IF(AND(AK$4&lt;=$AI156,AK$4&gt;$AH156),2,IF(AND(AK$4&lt;=$AJ156,AK$4&gt;$AI156),3,IF(AND(AK$4&lt;=$AK156,AK$4&gt;$AJ156),4,IF(AND(AK$4&lt;=$AL156,AK$4&gt;$AK156),5,0)))))*'Detailed Assumptions'!$E$6</f>
        <v>1</v>
      </c>
      <c r="AL499" s="543">
        <f>IF(AND(AL$4&lt;=$AH156,AL$4&gt;$V156),1,IF(AND(AL$4&lt;=$AI156,AL$4&gt;$AH156),2,IF(AND(AL$4&lt;=$AJ156,AL$4&gt;$AI156),3,IF(AND(AL$4&lt;=$AK156,AL$4&gt;$AJ156),4,IF(AND(AL$4&lt;=$AL156,AL$4&gt;$AK156),5,0)))))*'Detailed Assumptions'!$E$6</f>
        <v>1</v>
      </c>
      <c r="AM499" s="543">
        <f>IF(AND(AM$4&lt;=$AH156,AM$4&gt;$V156),1,IF(AND(AM$4&lt;=$AI156,AM$4&gt;$AH156),2,IF(AND(AM$4&lt;=$AJ156,AM$4&gt;$AI156),3,IF(AND(AM$4&lt;=$AK156,AM$4&gt;$AJ156),4,IF(AND(AM$4&lt;=$AL156,AM$4&gt;$AK156),5,0)))))*'Detailed Assumptions'!$E$6</f>
        <v>1</v>
      </c>
      <c r="AN499" s="543">
        <f>IF(AND(AN$4&lt;=$AH156,AN$4&gt;$V156),1,IF(AND(AN$4&lt;=$AI156,AN$4&gt;$AH156),2,IF(AND(AN$4&lt;=$AJ156,AN$4&gt;$AI156),3,IF(AND(AN$4&lt;=$AK156,AN$4&gt;$AJ156),4,IF(AND(AN$4&lt;=$AL156,AN$4&gt;$AK156),5,0)))))*'Detailed Assumptions'!$E$6</f>
        <v>1</v>
      </c>
      <c r="AO499" s="543">
        <f>IF(AND(AO$4&lt;=$AH156,AO$4&gt;$V156),1,IF(AND(AO$4&lt;=$AI156,AO$4&gt;$AH156),2,IF(AND(AO$4&lt;=$AJ156,AO$4&gt;$AI156),3,IF(AND(AO$4&lt;=$AK156,AO$4&gt;$AJ156),4,IF(AND(AO$4&lt;=$AL156,AO$4&gt;$AK156),5,0)))))*'Detailed Assumptions'!$E$6</f>
        <v>1</v>
      </c>
      <c r="AP499" s="543">
        <f>IF(AND(AP$4&lt;=$AH156,AP$4&gt;$V156),1,IF(AND(AP$4&lt;=$AI156,AP$4&gt;$AH156),2,IF(AND(AP$4&lt;=$AJ156,AP$4&gt;$AI156),3,IF(AND(AP$4&lt;=$AK156,AP$4&gt;$AJ156),4,IF(AND(AP$4&lt;=$AL156,AP$4&gt;$AK156),5,0)))))*'Detailed Assumptions'!$E$6</f>
        <v>1</v>
      </c>
      <c r="AQ499" s="543">
        <f>IF(AND(AQ$4&lt;=$AH156,AQ$4&gt;$V156),1,IF(AND(AQ$4&lt;=$AI156,AQ$4&gt;$AH156),2,IF(AND(AQ$4&lt;=$AJ156,AQ$4&gt;$AI156),3,IF(AND(AQ$4&lt;=$AK156,AQ$4&gt;$AJ156),4,IF(AND(AQ$4&lt;=$AL156,AQ$4&gt;$AK156),5,0)))))*'Detailed Assumptions'!$E$6</f>
        <v>1</v>
      </c>
      <c r="AR499" s="543">
        <f>IF(AND(AR$4&lt;=$AH156,AR$4&gt;$V156),1,IF(AND(AR$4&lt;=$AI156,AR$4&gt;$AH156),2,IF(AND(AR$4&lt;=$AJ156,AR$4&gt;$AI156),3,IF(AND(AR$4&lt;=$AK156,AR$4&gt;$AJ156),4,IF(AND(AR$4&lt;=$AL156,AR$4&gt;$AK156),5,0)))))*'Detailed Assumptions'!$E$6</f>
        <v>1</v>
      </c>
      <c r="AS499" s="543">
        <f>IF(AND(AS$4&lt;=$AH156,AS$4&gt;$V156),1,IF(AND(AS$4&lt;=$AI156,AS$4&gt;$AH156),2,IF(AND(AS$4&lt;=$AJ156,AS$4&gt;$AI156),3,IF(AND(AS$4&lt;=$AK156,AS$4&gt;$AJ156),4,IF(AND(AS$4&lt;=$AL156,AS$4&gt;$AK156),5,0)))))*'Detailed Assumptions'!$E$6</f>
        <v>1</v>
      </c>
      <c r="AT499" s="543">
        <f>IF(AND(AT$4&lt;=$AH156,AT$4&gt;$V156),1,IF(AND(AT$4&lt;=$AI156,AT$4&gt;$AH156),2,IF(AND(AT$4&lt;=$AJ156,AT$4&gt;$AI156),3,IF(AND(AT$4&lt;=$AK156,AT$4&gt;$AJ156),4,IF(AND(AT$4&lt;=$AL156,AT$4&gt;$AK156),5,0)))))*'Detailed Assumptions'!$E$6</f>
        <v>1</v>
      </c>
      <c r="AU499" s="543">
        <f>IF(AND(AU$4&lt;=$AH156,AU$4&gt;$V156),1,IF(AND(AU$4&lt;=$AI156,AU$4&gt;$AH156),2,IF(AND(AU$4&lt;=$AJ156,AU$4&gt;$AI156),3,IF(AND(AU$4&lt;=$AK156,AU$4&gt;$AJ156),4,IF(AND(AU$4&lt;=$AL156,AU$4&gt;$AK156),5,0)))))*'Detailed Assumptions'!$E$6</f>
        <v>1</v>
      </c>
      <c r="AV499" s="543">
        <f>IF(AND(AV$4&lt;=$AH156,AV$4&gt;$V156),1,IF(AND(AV$4&lt;=$AI156,AV$4&gt;$AH156),2,IF(AND(AV$4&lt;=$AJ156,AV$4&gt;$AI156),3,IF(AND(AV$4&lt;=$AK156,AV$4&gt;$AJ156),4,IF(AND(AV$4&lt;=$AL156,AV$4&gt;$AK156),5,0)))))*'Detailed Assumptions'!$E$6</f>
        <v>2</v>
      </c>
      <c r="AW499" s="543">
        <f>IF(AND(AW$4&lt;=$AH156,AW$4&gt;$V156),1,IF(AND(AW$4&lt;=$AI156,AW$4&gt;$AH156),2,IF(AND(AW$4&lt;=$AJ156,AW$4&gt;$AI156),3,IF(AND(AW$4&lt;=$AK156,AW$4&gt;$AJ156),4,IF(AND(AW$4&lt;=$AL156,AW$4&gt;$AK156),5,0)))))*'Detailed Assumptions'!$E$6</f>
        <v>2</v>
      </c>
      <c r="AX499" s="543">
        <f>IF(AND(AX$4&lt;=$AH156,AX$4&gt;$V156),1,IF(AND(AX$4&lt;=$AI156,AX$4&gt;$AH156),2,IF(AND(AX$4&lt;=$AJ156,AX$4&gt;$AI156),3,IF(AND(AX$4&lt;=$AK156,AX$4&gt;$AJ156),4,IF(AND(AX$4&lt;=$AL156,AX$4&gt;$AK156),5,0)))))*'Detailed Assumptions'!$E$6</f>
        <v>2</v>
      </c>
      <c r="AY499" s="543">
        <f>IF(AND(AY$4&lt;=$AH156,AY$4&gt;$V156),1,IF(AND(AY$4&lt;=$AI156,AY$4&gt;$AH156),2,IF(AND(AY$4&lt;=$AJ156,AY$4&gt;$AI156),3,IF(AND(AY$4&lt;=$AK156,AY$4&gt;$AJ156),4,IF(AND(AY$4&lt;=$AL156,AY$4&gt;$AK156),5,0)))))*'Detailed Assumptions'!$E$6</f>
        <v>2</v>
      </c>
      <c r="AZ499" s="543">
        <f>IF(AND(AZ$4&lt;=$AH156,AZ$4&gt;$V156),1,IF(AND(AZ$4&lt;=$AI156,AZ$4&gt;$AH156),2,IF(AND(AZ$4&lt;=$AJ156,AZ$4&gt;$AI156),3,IF(AND(AZ$4&lt;=$AK156,AZ$4&gt;$AJ156),4,IF(AND(AZ$4&lt;=$AL156,AZ$4&gt;$AK156),5,0)))))*'Detailed Assumptions'!$E$6</f>
        <v>2</v>
      </c>
      <c r="BA499" s="543">
        <f>IF(AND(BA$4&lt;=$AH156,BA$4&gt;$V156),1,IF(AND(BA$4&lt;=$AI156,BA$4&gt;$AH156),2,IF(AND(BA$4&lt;=$AJ156,BA$4&gt;$AI156),3,IF(AND(BA$4&lt;=$AK156,BA$4&gt;$AJ156),4,IF(AND(BA$4&lt;=$AL156,BA$4&gt;$AK156),5,0)))))*'Detailed Assumptions'!$E$6</f>
        <v>2</v>
      </c>
      <c r="BB499" s="543">
        <f>IF(AND(BB$4&lt;=$AH156,BB$4&gt;$V156),1,IF(AND(BB$4&lt;=$AI156,BB$4&gt;$AH156),2,IF(AND(BB$4&lt;=$AJ156,BB$4&gt;$AI156),3,IF(AND(BB$4&lt;=$AK156,BB$4&gt;$AJ156),4,IF(AND(BB$4&lt;=$AL156,BB$4&gt;$AK156),5,0)))))*'Detailed Assumptions'!$E$6</f>
        <v>2</v>
      </c>
      <c r="BC499" s="543">
        <f>IF(AND(BC$4&lt;=$AH156,BC$4&gt;$V156),1,IF(AND(BC$4&lt;=$AI156,BC$4&gt;$AH156),2,IF(AND(BC$4&lt;=$AJ156,BC$4&gt;$AI156),3,IF(AND(BC$4&lt;=$AK156,BC$4&gt;$AJ156),4,IF(AND(BC$4&lt;=$AL156,BC$4&gt;$AK156),5,0)))))*'Detailed Assumptions'!$E$6</f>
        <v>2</v>
      </c>
      <c r="BD499" s="543">
        <f>IF(AND(BD$4&lt;=$AH156,BD$4&gt;$V156),1,IF(AND(BD$4&lt;=$AI156,BD$4&gt;$AH156),2,IF(AND(BD$4&lt;=$AJ156,BD$4&gt;$AI156),3,IF(AND(BD$4&lt;=$AK156,BD$4&gt;$AJ156),4,IF(AND(BD$4&lt;=$AL156,BD$4&gt;$AK156),5,0)))))*'Detailed Assumptions'!$E$6</f>
        <v>2</v>
      </c>
      <c r="BE499" s="543">
        <f>IF(AND(BE$4&lt;=$AH156,BE$4&gt;$V156),1,IF(AND(BE$4&lt;=$AI156,BE$4&gt;$AH156),2,IF(AND(BE$4&lt;=$AJ156,BE$4&gt;$AI156),3,IF(AND(BE$4&lt;=$AK156,BE$4&gt;$AJ156),4,IF(AND(BE$4&lt;=$AL156,BE$4&gt;$AK156),5,0)))))*'Detailed Assumptions'!$E$6</f>
        <v>2</v>
      </c>
      <c r="BF499" s="543">
        <f>IF(AND(BF$4&lt;=$AH156,BF$4&gt;$V156),1,IF(AND(BF$4&lt;=$AI156,BF$4&gt;$AH156),2,IF(AND(BF$4&lt;=$AJ156,BF$4&gt;$AI156),3,IF(AND(BF$4&lt;=$AK156,BF$4&gt;$AJ156),4,IF(AND(BF$4&lt;=$AL156,BF$4&gt;$AK156),5,0)))))*'Detailed Assumptions'!$E$6</f>
        <v>2</v>
      </c>
      <c r="BG499" s="543">
        <f>IF(AND(BG$4&lt;=$AH156,BG$4&gt;$V156),1,IF(AND(BG$4&lt;=$AI156,BG$4&gt;$AH156),2,IF(AND(BG$4&lt;=$AJ156,BG$4&gt;$AI156),3,IF(AND(BG$4&lt;=$AK156,BG$4&gt;$AJ156),4,IF(AND(BG$4&lt;=$AL156,BG$4&gt;$AK156),5,0)))))*'Detailed Assumptions'!$E$6</f>
        <v>2</v>
      </c>
      <c r="BH499" s="543">
        <f>IF(AND(BH$4&lt;=$AH156,BH$4&gt;$V156),1,IF(AND(BH$4&lt;=$AI156,BH$4&gt;$AH156),2,IF(AND(BH$4&lt;=$AJ156,BH$4&gt;$AI156),3,IF(AND(BH$4&lt;=$AK156,BH$4&gt;$AJ156),4,IF(AND(BH$4&lt;=$AL156,BH$4&gt;$AK156),5,0)))))*'Detailed Assumptions'!$E$6</f>
        <v>3</v>
      </c>
      <c r="BI499" s="543">
        <f>IF(AND(BI$4&lt;=$AH156,BI$4&gt;$V156),1,IF(AND(BI$4&lt;=$AI156,BI$4&gt;$AH156),2,IF(AND(BI$4&lt;=$AJ156,BI$4&gt;$AI156),3,IF(AND(BI$4&lt;=$AK156,BI$4&gt;$AJ156),4,IF(AND(BI$4&lt;=$AL156,BI$4&gt;$AK156),5,0)))))*'Detailed Assumptions'!$E$6</f>
        <v>3</v>
      </c>
      <c r="BJ499" s="543">
        <f>IF(AND(BJ$4&lt;=$AH156,BJ$4&gt;$V156),1,IF(AND(BJ$4&lt;=$AI156,BJ$4&gt;$AH156),2,IF(AND(BJ$4&lt;=$AJ156,BJ$4&gt;$AI156),3,IF(AND(BJ$4&lt;=$AK156,BJ$4&gt;$AJ156),4,IF(AND(BJ$4&lt;=$AL156,BJ$4&gt;$AK156),5,0)))))*'Detailed Assumptions'!$E$6</f>
        <v>3</v>
      </c>
      <c r="BK499" s="543">
        <f>IF(AND(BK$4&lt;=$AH156,BK$4&gt;$V156),1,IF(AND(BK$4&lt;=$AI156,BK$4&gt;$AH156),2,IF(AND(BK$4&lt;=$AJ156,BK$4&gt;$AI156),3,IF(AND(BK$4&lt;=$AK156,BK$4&gt;$AJ156),4,IF(AND(BK$4&lt;=$AL156,BK$4&gt;$AK156),5,0)))))*'Detailed Assumptions'!$E$6</f>
        <v>3</v>
      </c>
      <c r="BL499" s="543">
        <f>IF(AND(BL$4&lt;=$AH156,BL$4&gt;$V156),1,IF(AND(BL$4&lt;=$AI156,BL$4&gt;$AH156),2,IF(AND(BL$4&lt;=$AJ156,BL$4&gt;$AI156),3,IF(AND(BL$4&lt;=$AK156,BL$4&gt;$AJ156),4,IF(AND(BL$4&lt;=$AL156,BL$4&gt;$AK156),5,0)))))*'Detailed Assumptions'!$E$6</f>
        <v>3</v>
      </c>
      <c r="BM499" s="543">
        <f>IF(AND(BM$4&lt;=$AH156,BM$4&gt;$V156),1,IF(AND(BM$4&lt;=$AI156,BM$4&gt;$AH156),2,IF(AND(BM$4&lt;=$AJ156,BM$4&gt;$AI156),3,IF(AND(BM$4&lt;=$AK156,BM$4&gt;$AJ156),4,IF(AND(BM$4&lt;=$AL156,BM$4&gt;$AK156),5,0)))))*'Detailed Assumptions'!$E$6</f>
        <v>3</v>
      </c>
      <c r="BN499" s="543">
        <f>IF(AND(BN$4&lt;=$AH156,BN$4&gt;$V156),1,IF(AND(BN$4&lt;=$AI156,BN$4&gt;$AH156),2,IF(AND(BN$4&lt;=$AJ156,BN$4&gt;$AI156),3,IF(AND(BN$4&lt;=$AK156,BN$4&gt;$AJ156),4,IF(AND(BN$4&lt;=$AL156,BN$4&gt;$AK156),5,0)))))*'Detailed Assumptions'!$E$6</f>
        <v>3</v>
      </c>
      <c r="BO499" s="543">
        <f>IF(AND(BO$4&lt;=$AH156,BO$4&gt;$V156),1,IF(AND(BO$4&lt;=$AI156,BO$4&gt;$AH156),2,IF(AND(BO$4&lt;=$AJ156,BO$4&gt;$AI156),3,IF(AND(BO$4&lt;=$AK156,BO$4&gt;$AJ156),4,IF(AND(BO$4&lt;=$AL156,BO$4&gt;$AK156),5,0)))))*'Detailed Assumptions'!$E$6</f>
        <v>3</v>
      </c>
      <c r="BP499" s="543">
        <f>IF(AND(BP$4&lt;=$AH156,BP$4&gt;$V156),1,IF(AND(BP$4&lt;=$AI156,BP$4&gt;$AH156),2,IF(AND(BP$4&lt;=$AJ156,BP$4&gt;$AI156),3,IF(AND(BP$4&lt;=$AK156,BP$4&gt;$AJ156),4,IF(AND(BP$4&lt;=$AL156,BP$4&gt;$AK156),5,0)))))*'Detailed Assumptions'!$E$6</f>
        <v>3</v>
      </c>
      <c r="BQ499" s="543">
        <f>IF(AND(BQ$4&lt;=$AH156,BQ$4&gt;$V156),1,IF(AND(BQ$4&lt;=$AI156,BQ$4&gt;$AH156),2,IF(AND(BQ$4&lt;=$AJ156,BQ$4&gt;$AI156),3,IF(AND(BQ$4&lt;=$AK156,BQ$4&gt;$AJ156),4,IF(AND(BQ$4&lt;=$AL156,BQ$4&gt;$AK156),5,0)))))*'Detailed Assumptions'!$E$6</f>
        <v>3</v>
      </c>
      <c r="BR499" s="543">
        <f>IF(AND(BR$4&lt;=$AH156,BR$4&gt;$V156),1,IF(AND(BR$4&lt;=$AI156,BR$4&gt;$AH156),2,IF(AND(BR$4&lt;=$AJ156,BR$4&gt;$AI156),3,IF(AND(BR$4&lt;=$AK156,BR$4&gt;$AJ156),4,IF(AND(BR$4&lt;=$AL156,BR$4&gt;$AK156),5,0)))))*'Detailed Assumptions'!$E$6</f>
        <v>3</v>
      </c>
      <c r="BS499" s="543">
        <f>IF(AND(BS$4&lt;=$AH156,BS$4&gt;$V156),1,IF(AND(BS$4&lt;=$AI156,BS$4&gt;$AH156),2,IF(AND(BS$4&lt;=$AJ156,BS$4&gt;$AI156),3,IF(AND(BS$4&lt;=$AK156,BS$4&gt;$AJ156),4,IF(AND(BS$4&lt;=$AL156,BS$4&gt;$AK156),5,0)))))*'Detailed Assumptions'!$E$6</f>
        <v>3</v>
      </c>
      <c r="BT499" s="543">
        <f>IF(AND(BT$4&lt;=$AH156,BT$4&gt;$V156),1,IF(AND(BT$4&lt;=$AI156,BT$4&gt;$AH156),2,IF(AND(BT$4&lt;=$AJ156,BT$4&gt;$AI156),3,IF(AND(BT$4&lt;=$AK156,BT$4&gt;$AJ156),4,IF(AND(BT$4&lt;=$AL156,BT$4&gt;$AK156),5,0)))))*'Detailed Assumptions'!$E$6</f>
        <v>4</v>
      </c>
      <c r="BU499" s="543">
        <f>IF(AND(BU$4&lt;=$AH156,BU$4&gt;$V156),1,IF(AND(BU$4&lt;=$AI156,BU$4&gt;$AH156),2,IF(AND(BU$4&lt;=$AJ156,BU$4&gt;$AI156),3,IF(AND(BU$4&lt;=$AK156,BU$4&gt;$AJ156),4,IF(AND(BU$4&lt;=$AL156,BU$4&gt;$AK156),5,0)))))*'Detailed Assumptions'!$E$6</f>
        <v>4</v>
      </c>
      <c r="BV499" s="543">
        <f>IF(AND(BV$4&lt;=$AH156,BV$4&gt;$V156),1,IF(AND(BV$4&lt;=$AI156,BV$4&gt;$AH156),2,IF(AND(BV$4&lt;=$AJ156,BV$4&gt;$AI156),3,IF(AND(BV$4&lt;=$AK156,BV$4&gt;$AJ156),4,IF(AND(BV$4&lt;=$AL156,BV$4&gt;$AK156),5,0)))))*'Detailed Assumptions'!$E$6</f>
        <v>4</v>
      </c>
      <c r="BW499" s="543">
        <f>IF(AND(BW$4&lt;=$AH156,BW$4&gt;$V156),1,IF(AND(BW$4&lt;=$AI156,BW$4&gt;$AH156),2,IF(AND(BW$4&lt;=$AJ156,BW$4&gt;$AI156),3,IF(AND(BW$4&lt;=$AK156,BW$4&gt;$AJ156),4,IF(AND(BW$4&lt;=$AL156,BW$4&gt;$AK156),5,0)))))*'Detailed Assumptions'!$E$6</f>
        <v>4</v>
      </c>
      <c r="BX499" s="543">
        <f>IF(AND(BX$4&lt;=$AH156,BX$4&gt;$V156),1,IF(AND(BX$4&lt;=$AI156,BX$4&gt;$AH156),2,IF(AND(BX$4&lt;=$AJ156,BX$4&gt;$AI156),3,IF(AND(BX$4&lt;=$AK156,BX$4&gt;$AJ156),4,IF(AND(BX$4&lt;=$AL156,BX$4&gt;$AK156),5,0)))))*'Detailed Assumptions'!$E$6</f>
        <v>4</v>
      </c>
      <c r="BY499" s="543">
        <f>IF(AND(BY$4&lt;=$AH156,BY$4&gt;$V156),1,IF(AND(BY$4&lt;=$AI156,BY$4&gt;$AH156),2,IF(AND(BY$4&lt;=$AJ156,BY$4&gt;$AI156),3,IF(AND(BY$4&lt;=$AK156,BY$4&gt;$AJ156),4,IF(AND(BY$4&lt;=$AL156,BY$4&gt;$AK156),5,0)))))*'Detailed Assumptions'!$E$6</f>
        <v>4</v>
      </c>
      <c r="BZ499" s="537"/>
      <c r="CA499" s="537"/>
      <c r="CB499" s="537"/>
    </row>
    <row r="500" spans="1:80" x14ac:dyDescent="0.3">
      <c r="A500" s="551"/>
      <c r="B500" s="548"/>
      <c r="C500" s="548"/>
      <c r="D500" s="525"/>
      <c r="E500" s="655" t="str">
        <f>"EBITDA growth post capex: "&amp;E$157</f>
        <v>EBITDA growth post capex: FY29 Tranche</v>
      </c>
      <c r="F500" s="574"/>
      <c r="G500" s="574"/>
      <c r="H500" s="574"/>
      <c r="I500" s="574"/>
      <c r="J500" s="574"/>
      <c r="K500" s="574"/>
      <c r="L500" s="574"/>
      <c r="M500" s="574"/>
      <c r="N500" s="574"/>
      <c r="O500" s="574"/>
      <c r="P500" s="653"/>
      <c r="Q500" s="574"/>
      <c r="R500" s="543">
        <f>IF(AND(R$4&lt;=$AH157,R$4&gt;$V157),1,IF(AND(R$4&lt;=$AI157,R$4&gt;$AH157),2,IF(AND(R$4&lt;=$AJ157,R$4&gt;$AI157),3,IF(AND(R$4&lt;=$AK157,R$4&gt;$AJ157),4,IF(AND(R$4&lt;=$AL157,R$4&gt;$AK157),5,0)))))*'Detailed Assumptions'!$E$6</f>
        <v>0</v>
      </c>
      <c r="S500" s="543">
        <f>IF(AND(S$4&lt;=$AH157,S$4&gt;$V157),1,IF(AND(S$4&lt;=$AI157,S$4&gt;$AH157),2,IF(AND(S$4&lt;=$AJ157,S$4&gt;$AI157),3,IF(AND(S$4&lt;=$AK157,S$4&gt;$AJ157),4,IF(AND(S$4&lt;=$AL157,S$4&gt;$AK157),5,0)))))*'Detailed Assumptions'!$E$6</f>
        <v>0</v>
      </c>
      <c r="T500" s="543">
        <f>IF(AND(T$4&lt;=$AH157,T$4&gt;$V157),1,IF(AND(T$4&lt;=$AI157,T$4&gt;$AH157),2,IF(AND(T$4&lt;=$AJ157,T$4&gt;$AI157),3,IF(AND(T$4&lt;=$AK157,T$4&gt;$AJ157),4,IF(AND(T$4&lt;=$AL157,T$4&gt;$AK157),5,0)))))*'Detailed Assumptions'!$E$6</f>
        <v>0</v>
      </c>
      <c r="U500" s="543">
        <f>IF(AND(U$4&lt;=$AH157,U$4&gt;$V157),1,IF(AND(U$4&lt;=$AI157,U$4&gt;$AH157),2,IF(AND(U$4&lt;=$AJ157,U$4&gt;$AI157),3,IF(AND(U$4&lt;=$AK157,U$4&gt;$AJ157),4,IF(AND(U$4&lt;=$AL157,U$4&gt;$AK157),5,0)))))*'Detailed Assumptions'!$E$6</f>
        <v>0</v>
      </c>
      <c r="V500" s="543">
        <f>IF(AND(V$4&lt;=$AH157,V$4&gt;$V157),1,IF(AND(V$4&lt;=$AI157,V$4&gt;$AH157),2,IF(AND(V$4&lt;=$AJ157,V$4&gt;$AI157),3,IF(AND(V$4&lt;=$AK157,V$4&gt;$AJ157),4,IF(AND(V$4&lt;=$AL157,V$4&gt;$AK157),5,0)))))*'Detailed Assumptions'!$E$6</f>
        <v>0</v>
      </c>
      <c r="W500" s="543">
        <f>IF(AND(W$4&lt;=$AH157,W$4&gt;$V157),1,IF(AND(W$4&lt;=$AI157,W$4&gt;$AH157),2,IF(AND(W$4&lt;=$AJ157,W$4&gt;$AI157),3,IF(AND(W$4&lt;=$AK157,W$4&gt;$AJ157),4,IF(AND(W$4&lt;=$AL157,W$4&gt;$AK157),5,0)))))*'Detailed Assumptions'!$E$6</f>
        <v>0</v>
      </c>
      <c r="X500" s="543">
        <f>IF(AND(X$4&lt;=$AH157,X$4&gt;$V157),1,IF(AND(X$4&lt;=$AI157,X$4&gt;$AH157),2,IF(AND(X$4&lt;=$AJ157,X$4&gt;$AI157),3,IF(AND(X$4&lt;=$AK157,X$4&gt;$AJ157),4,IF(AND(X$4&lt;=$AL157,X$4&gt;$AK157),5,0)))))*'Detailed Assumptions'!$E$6</f>
        <v>0</v>
      </c>
      <c r="Y500" s="543">
        <f>IF(AND(Y$4&lt;=$AH157,Y$4&gt;$V157),1,IF(AND(Y$4&lt;=$AI157,Y$4&gt;$AH157),2,IF(AND(Y$4&lt;=$AJ157,Y$4&gt;$AI157),3,IF(AND(Y$4&lt;=$AK157,Y$4&gt;$AJ157),4,IF(AND(Y$4&lt;=$AL157,Y$4&gt;$AK157),5,0)))))*'Detailed Assumptions'!$E$6</f>
        <v>0</v>
      </c>
      <c r="Z500" s="543">
        <f>IF(AND(Z$4&lt;=$AH157,Z$4&gt;$V157),1,IF(AND(Z$4&lt;=$AI157,Z$4&gt;$AH157),2,IF(AND(Z$4&lt;=$AJ157,Z$4&gt;$AI157),3,IF(AND(Z$4&lt;=$AK157,Z$4&gt;$AJ157),4,IF(AND(Z$4&lt;=$AL157,Z$4&gt;$AK157),5,0)))))*'Detailed Assumptions'!$E$6</f>
        <v>0</v>
      </c>
      <c r="AA500" s="543">
        <f>IF(AND(AA$4&lt;=$AH157,AA$4&gt;$V157),1,IF(AND(AA$4&lt;=$AI157,AA$4&gt;$AH157),2,IF(AND(AA$4&lt;=$AJ157,AA$4&gt;$AI157),3,IF(AND(AA$4&lt;=$AK157,AA$4&gt;$AJ157),4,IF(AND(AA$4&lt;=$AL157,AA$4&gt;$AK157),5,0)))))*'Detailed Assumptions'!$E$6</f>
        <v>0</v>
      </c>
      <c r="AB500" s="543">
        <f>IF(AND(AB$4&lt;=$AH157,AB$4&gt;$V157),1,IF(AND(AB$4&lt;=$AI157,AB$4&gt;$AH157),2,IF(AND(AB$4&lt;=$AJ157,AB$4&gt;$AI157),3,IF(AND(AB$4&lt;=$AK157,AB$4&gt;$AJ157),4,IF(AND(AB$4&lt;=$AL157,AB$4&gt;$AK157),5,0)))))*'Detailed Assumptions'!$E$6</f>
        <v>0</v>
      </c>
      <c r="AC500" s="543">
        <f>IF(AND(AC$4&lt;=$AH157,AC$4&gt;$V157),1,IF(AND(AC$4&lt;=$AI157,AC$4&gt;$AH157),2,IF(AND(AC$4&lt;=$AJ157,AC$4&gt;$AI157),3,IF(AND(AC$4&lt;=$AK157,AC$4&gt;$AJ157),4,IF(AND(AC$4&lt;=$AL157,AC$4&gt;$AK157),5,0)))))*'Detailed Assumptions'!$E$6</f>
        <v>0</v>
      </c>
      <c r="AD500" s="543">
        <f>IF(AND(AD$4&lt;=$AH157,AD$4&gt;$V157),1,IF(AND(AD$4&lt;=$AI157,AD$4&gt;$AH157),2,IF(AND(AD$4&lt;=$AJ157,AD$4&gt;$AI157),3,IF(AND(AD$4&lt;=$AK157,AD$4&gt;$AJ157),4,IF(AND(AD$4&lt;=$AL157,AD$4&gt;$AK157),5,0)))))*'Detailed Assumptions'!$E$6</f>
        <v>0</v>
      </c>
      <c r="AE500" s="543">
        <f>IF(AND(AE$4&lt;=$AH157,AE$4&gt;$V157),1,IF(AND(AE$4&lt;=$AI157,AE$4&gt;$AH157),2,IF(AND(AE$4&lt;=$AJ157,AE$4&gt;$AI157),3,IF(AND(AE$4&lt;=$AK157,AE$4&gt;$AJ157),4,IF(AND(AE$4&lt;=$AL157,AE$4&gt;$AK157),5,0)))))*'Detailed Assumptions'!$E$6</f>
        <v>0</v>
      </c>
      <c r="AF500" s="543">
        <f>IF(AND(AF$4&lt;=$AH157,AF$4&gt;$V157),1,IF(AND(AF$4&lt;=$AI157,AF$4&gt;$AH157),2,IF(AND(AF$4&lt;=$AJ157,AF$4&gt;$AI157),3,IF(AND(AF$4&lt;=$AK157,AF$4&gt;$AJ157),4,IF(AND(AF$4&lt;=$AL157,AF$4&gt;$AK157),5,0)))))*'Detailed Assumptions'!$E$6</f>
        <v>0</v>
      </c>
      <c r="AG500" s="543">
        <f>IF(AND(AG$4&lt;=$AH157,AG$4&gt;$V157),1,IF(AND(AG$4&lt;=$AI157,AG$4&gt;$AH157),2,IF(AND(AG$4&lt;=$AJ157,AG$4&gt;$AI157),3,IF(AND(AG$4&lt;=$AK157,AG$4&gt;$AJ157),4,IF(AND(AG$4&lt;=$AL157,AG$4&gt;$AK157),5,0)))))*'Detailed Assumptions'!$E$6</f>
        <v>0</v>
      </c>
      <c r="AH500" s="543">
        <f>IF(AND(AH$4&lt;=$AH157,AH$4&gt;$V157),1,IF(AND(AH$4&lt;=$AI157,AH$4&gt;$AH157),2,IF(AND(AH$4&lt;=$AJ157,AH$4&gt;$AI157),3,IF(AND(AH$4&lt;=$AK157,AH$4&gt;$AJ157),4,IF(AND(AH$4&lt;=$AL157,AH$4&gt;$AK157),5,0)))))*'Detailed Assumptions'!$E$6</f>
        <v>0</v>
      </c>
      <c r="AI500" s="543">
        <f>IF(AND(AI$4&lt;=$AH157,AI$4&gt;$V157),1,IF(AND(AI$4&lt;=$AI157,AI$4&gt;$AH157),2,IF(AND(AI$4&lt;=$AJ157,AI$4&gt;$AI157),3,IF(AND(AI$4&lt;=$AK157,AI$4&gt;$AJ157),4,IF(AND(AI$4&lt;=$AL157,AI$4&gt;$AK157),5,0)))))*'Detailed Assumptions'!$E$6</f>
        <v>0</v>
      </c>
      <c r="AJ500" s="543">
        <f>IF(AND(AJ$4&lt;=$AH157,AJ$4&gt;$V157),1,IF(AND(AJ$4&lt;=$AI157,AJ$4&gt;$AH157),2,IF(AND(AJ$4&lt;=$AJ157,AJ$4&gt;$AI157),3,IF(AND(AJ$4&lt;=$AK157,AJ$4&gt;$AJ157),4,IF(AND(AJ$4&lt;=$AL157,AJ$4&gt;$AK157),5,0)))))*'Detailed Assumptions'!$E$6</f>
        <v>0</v>
      </c>
      <c r="AK500" s="543">
        <f>IF(AND(AK$4&lt;=$AH157,AK$4&gt;$V157),1,IF(AND(AK$4&lt;=$AI157,AK$4&gt;$AH157),2,IF(AND(AK$4&lt;=$AJ157,AK$4&gt;$AI157),3,IF(AND(AK$4&lt;=$AK157,AK$4&gt;$AJ157),4,IF(AND(AK$4&lt;=$AL157,AK$4&gt;$AK157),5,0)))))*'Detailed Assumptions'!$E$6</f>
        <v>0</v>
      </c>
      <c r="AL500" s="543">
        <f>IF(AND(AL$4&lt;=$AH157,AL$4&gt;$V157),1,IF(AND(AL$4&lt;=$AI157,AL$4&gt;$AH157),2,IF(AND(AL$4&lt;=$AJ157,AL$4&gt;$AI157),3,IF(AND(AL$4&lt;=$AK157,AL$4&gt;$AJ157),4,IF(AND(AL$4&lt;=$AL157,AL$4&gt;$AK157),5,0)))))*'Detailed Assumptions'!$E$6</f>
        <v>0</v>
      </c>
      <c r="AM500" s="543">
        <f>IF(AND(AM$4&lt;=$AH157,AM$4&gt;$V157),1,IF(AND(AM$4&lt;=$AI157,AM$4&gt;$AH157),2,IF(AND(AM$4&lt;=$AJ157,AM$4&gt;$AI157),3,IF(AND(AM$4&lt;=$AK157,AM$4&gt;$AJ157),4,IF(AND(AM$4&lt;=$AL157,AM$4&gt;$AK157),5,0)))))*'Detailed Assumptions'!$E$6</f>
        <v>0</v>
      </c>
      <c r="AN500" s="543">
        <f>IF(AND(AN$4&lt;=$AH157,AN$4&gt;$V157),1,IF(AND(AN$4&lt;=$AI157,AN$4&gt;$AH157),2,IF(AND(AN$4&lt;=$AJ157,AN$4&gt;$AI157),3,IF(AND(AN$4&lt;=$AK157,AN$4&gt;$AJ157),4,IF(AND(AN$4&lt;=$AL157,AN$4&gt;$AK157),5,0)))))*'Detailed Assumptions'!$E$6</f>
        <v>0</v>
      </c>
      <c r="AO500" s="543">
        <f>IF(AND(AO$4&lt;=$AH157,AO$4&gt;$V157),1,IF(AND(AO$4&lt;=$AI157,AO$4&gt;$AH157),2,IF(AND(AO$4&lt;=$AJ157,AO$4&gt;$AI157),3,IF(AND(AO$4&lt;=$AK157,AO$4&gt;$AJ157),4,IF(AND(AO$4&lt;=$AL157,AO$4&gt;$AK157),5,0)))))*'Detailed Assumptions'!$E$6</f>
        <v>0</v>
      </c>
      <c r="AP500" s="543">
        <f>IF(AND(AP$4&lt;=$AH157,AP$4&gt;$V157),1,IF(AND(AP$4&lt;=$AI157,AP$4&gt;$AH157),2,IF(AND(AP$4&lt;=$AJ157,AP$4&gt;$AI157),3,IF(AND(AP$4&lt;=$AK157,AP$4&gt;$AJ157),4,IF(AND(AP$4&lt;=$AL157,AP$4&gt;$AK157),5,0)))))*'Detailed Assumptions'!$E$6</f>
        <v>0</v>
      </c>
      <c r="AQ500" s="543">
        <f>IF(AND(AQ$4&lt;=$AH157,AQ$4&gt;$V157),1,IF(AND(AQ$4&lt;=$AI157,AQ$4&gt;$AH157),2,IF(AND(AQ$4&lt;=$AJ157,AQ$4&gt;$AI157),3,IF(AND(AQ$4&lt;=$AK157,AQ$4&gt;$AJ157),4,IF(AND(AQ$4&lt;=$AL157,AQ$4&gt;$AK157),5,0)))))*'Detailed Assumptions'!$E$6</f>
        <v>0</v>
      </c>
      <c r="AR500" s="543">
        <f>IF(AND(AR$4&lt;=$AH157,AR$4&gt;$V157),1,IF(AND(AR$4&lt;=$AI157,AR$4&gt;$AH157),2,IF(AND(AR$4&lt;=$AJ157,AR$4&gt;$AI157),3,IF(AND(AR$4&lt;=$AK157,AR$4&gt;$AJ157),4,IF(AND(AR$4&lt;=$AL157,AR$4&gt;$AK157),5,0)))))*'Detailed Assumptions'!$E$6</f>
        <v>0</v>
      </c>
      <c r="AS500" s="543">
        <f>IF(AND(AS$4&lt;=$AH157,AS$4&gt;$V157),1,IF(AND(AS$4&lt;=$AI157,AS$4&gt;$AH157),2,IF(AND(AS$4&lt;=$AJ157,AS$4&gt;$AI157),3,IF(AND(AS$4&lt;=$AK157,AS$4&gt;$AJ157),4,IF(AND(AS$4&lt;=$AL157,AS$4&gt;$AK157),5,0)))))*'Detailed Assumptions'!$E$6</f>
        <v>0</v>
      </c>
      <c r="AT500" s="543">
        <f>IF(AND(AT$4&lt;=$AH157,AT$4&gt;$V157),1,IF(AND(AT$4&lt;=$AI157,AT$4&gt;$AH157),2,IF(AND(AT$4&lt;=$AJ157,AT$4&gt;$AI157),3,IF(AND(AT$4&lt;=$AK157,AT$4&gt;$AJ157),4,IF(AND(AT$4&lt;=$AL157,AT$4&gt;$AK157),5,0)))))*'Detailed Assumptions'!$E$6</f>
        <v>0</v>
      </c>
      <c r="AU500" s="543">
        <f>IF(AND(AU$4&lt;=$AH157,AU$4&gt;$V157),1,IF(AND(AU$4&lt;=$AI157,AU$4&gt;$AH157),2,IF(AND(AU$4&lt;=$AJ157,AU$4&gt;$AI157),3,IF(AND(AU$4&lt;=$AK157,AU$4&gt;$AJ157),4,IF(AND(AU$4&lt;=$AL157,AU$4&gt;$AK157),5,0)))))*'Detailed Assumptions'!$E$6</f>
        <v>0</v>
      </c>
      <c r="AV500" s="543">
        <f>IF(AND(AV$4&lt;=$AH157,AV$4&gt;$V157),1,IF(AND(AV$4&lt;=$AI157,AV$4&gt;$AH157),2,IF(AND(AV$4&lt;=$AJ157,AV$4&gt;$AI157),3,IF(AND(AV$4&lt;=$AK157,AV$4&gt;$AJ157),4,IF(AND(AV$4&lt;=$AL157,AV$4&gt;$AK157),5,0)))))*'Detailed Assumptions'!$E$6</f>
        <v>1</v>
      </c>
      <c r="AW500" s="543">
        <f>IF(AND(AW$4&lt;=$AH157,AW$4&gt;$V157),1,IF(AND(AW$4&lt;=$AI157,AW$4&gt;$AH157),2,IF(AND(AW$4&lt;=$AJ157,AW$4&gt;$AI157),3,IF(AND(AW$4&lt;=$AK157,AW$4&gt;$AJ157),4,IF(AND(AW$4&lt;=$AL157,AW$4&gt;$AK157),5,0)))))*'Detailed Assumptions'!$E$6</f>
        <v>1</v>
      </c>
      <c r="AX500" s="543">
        <f>IF(AND(AX$4&lt;=$AH157,AX$4&gt;$V157),1,IF(AND(AX$4&lt;=$AI157,AX$4&gt;$AH157),2,IF(AND(AX$4&lt;=$AJ157,AX$4&gt;$AI157),3,IF(AND(AX$4&lt;=$AK157,AX$4&gt;$AJ157),4,IF(AND(AX$4&lt;=$AL157,AX$4&gt;$AK157),5,0)))))*'Detailed Assumptions'!$E$6</f>
        <v>1</v>
      </c>
      <c r="AY500" s="543">
        <f>IF(AND(AY$4&lt;=$AH157,AY$4&gt;$V157),1,IF(AND(AY$4&lt;=$AI157,AY$4&gt;$AH157),2,IF(AND(AY$4&lt;=$AJ157,AY$4&gt;$AI157),3,IF(AND(AY$4&lt;=$AK157,AY$4&gt;$AJ157),4,IF(AND(AY$4&lt;=$AL157,AY$4&gt;$AK157),5,0)))))*'Detailed Assumptions'!$E$6</f>
        <v>1</v>
      </c>
      <c r="AZ500" s="543">
        <f>IF(AND(AZ$4&lt;=$AH157,AZ$4&gt;$V157),1,IF(AND(AZ$4&lt;=$AI157,AZ$4&gt;$AH157),2,IF(AND(AZ$4&lt;=$AJ157,AZ$4&gt;$AI157),3,IF(AND(AZ$4&lt;=$AK157,AZ$4&gt;$AJ157),4,IF(AND(AZ$4&lt;=$AL157,AZ$4&gt;$AK157),5,0)))))*'Detailed Assumptions'!$E$6</f>
        <v>1</v>
      </c>
      <c r="BA500" s="543">
        <f>IF(AND(BA$4&lt;=$AH157,BA$4&gt;$V157),1,IF(AND(BA$4&lt;=$AI157,BA$4&gt;$AH157),2,IF(AND(BA$4&lt;=$AJ157,BA$4&gt;$AI157),3,IF(AND(BA$4&lt;=$AK157,BA$4&gt;$AJ157),4,IF(AND(BA$4&lt;=$AL157,BA$4&gt;$AK157),5,0)))))*'Detailed Assumptions'!$E$6</f>
        <v>1</v>
      </c>
      <c r="BB500" s="543">
        <f>IF(AND(BB$4&lt;=$AH157,BB$4&gt;$V157),1,IF(AND(BB$4&lt;=$AI157,BB$4&gt;$AH157),2,IF(AND(BB$4&lt;=$AJ157,BB$4&gt;$AI157),3,IF(AND(BB$4&lt;=$AK157,BB$4&gt;$AJ157),4,IF(AND(BB$4&lt;=$AL157,BB$4&gt;$AK157),5,0)))))*'Detailed Assumptions'!$E$6</f>
        <v>1</v>
      </c>
      <c r="BC500" s="543">
        <f>IF(AND(BC$4&lt;=$AH157,BC$4&gt;$V157),1,IF(AND(BC$4&lt;=$AI157,BC$4&gt;$AH157),2,IF(AND(BC$4&lt;=$AJ157,BC$4&gt;$AI157),3,IF(AND(BC$4&lt;=$AK157,BC$4&gt;$AJ157),4,IF(AND(BC$4&lt;=$AL157,BC$4&gt;$AK157),5,0)))))*'Detailed Assumptions'!$E$6</f>
        <v>1</v>
      </c>
      <c r="BD500" s="543">
        <f>IF(AND(BD$4&lt;=$AH157,BD$4&gt;$V157),1,IF(AND(BD$4&lt;=$AI157,BD$4&gt;$AH157),2,IF(AND(BD$4&lt;=$AJ157,BD$4&gt;$AI157),3,IF(AND(BD$4&lt;=$AK157,BD$4&gt;$AJ157),4,IF(AND(BD$4&lt;=$AL157,BD$4&gt;$AK157),5,0)))))*'Detailed Assumptions'!$E$6</f>
        <v>1</v>
      </c>
      <c r="BE500" s="543">
        <f>IF(AND(BE$4&lt;=$AH157,BE$4&gt;$V157),1,IF(AND(BE$4&lt;=$AI157,BE$4&gt;$AH157),2,IF(AND(BE$4&lt;=$AJ157,BE$4&gt;$AI157),3,IF(AND(BE$4&lt;=$AK157,BE$4&gt;$AJ157),4,IF(AND(BE$4&lt;=$AL157,BE$4&gt;$AK157),5,0)))))*'Detailed Assumptions'!$E$6</f>
        <v>1</v>
      </c>
      <c r="BF500" s="543">
        <f>IF(AND(BF$4&lt;=$AH157,BF$4&gt;$V157),1,IF(AND(BF$4&lt;=$AI157,BF$4&gt;$AH157),2,IF(AND(BF$4&lt;=$AJ157,BF$4&gt;$AI157),3,IF(AND(BF$4&lt;=$AK157,BF$4&gt;$AJ157),4,IF(AND(BF$4&lt;=$AL157,BF$4&gt;$AK157),5,0)))))*'Detailed Assumptions'!$E$6</f>
        <v>1</v>
      </c>
      <c r="BG500" s="543">
        <f>IF(AND(BG$4&lt;=$AH157,BG$4&gt;$V157),1,IF(AND(BG$4&lt;=$AI157,BG$4&gt;$AH157),2,IF(AND(BG$4&lt;=$AJ157,BG$4&gt;$AI157),3,IF(AND(BG$4&lt;=$AK157,BG$4&gt;$AJ157),4,IF(AND(BG$4&lt;=$AL157,BG$4&gt;$AK157),5,0)))))*'Detailed Assumptions'!$E$6</f>
        <v>1</v>
      </c>
      <c r="BH500" s="543">
        <f>IF(AND(BH$4&lt;=$AH157,BH$4&gt;$V157),1,IF(AND(BH$4&lt;=$AI157,BH$4&gt;$AH157),2,IF(AND(BH$4&lt;=$AJ157,BH$4&gt;$AI157),3,IF(AND(BH$4&lt;=$AK157,BH$4&gt;$AJ157),4,IF(AND(BH$4&lt;=$AL157,BH$4&gt;$AK157),5,0)))))*'Detailed Assumptions'!$E$6</f>
        <v>2</v>
      </c>
      <c r="BI500" s="543">
        <f>IF(AND(BI$4&lt;=$AH157,BI$4&gt;$V157),1,IF(AND(BI$4&lt;=$AI157,BI$4&gt;$AH157),2,IF(AND(BI$4&lt;=$AJ157,BI$4&gt;$AI157),3,IF(AND(BI$4&lt;=$AK157,BI$4&gt;$AJ157),4,IF(AND(BI$4&lt;=$AL157,BI$4&gt;$AK157),5,0)))))*'Detailed Assumptions'!$E$6</f>
        <v>2</v>
      </c>
      <c r="BJ500" s="543">
        <f>IF(AND(BJ$4&lt;=$AH157,BJ$4&gt;$V157),1,IF(AND(BJ$4&lt;=$AI157,BJ$4&gt;$AH157),2,IF(AND(BJ$4&lt;=$AJ157,BJ$4&gt;$AI157),3,IF(AND(BJ$4&lt;=$AK157,BJ$4&gt;$AJ157),4,IF(AND(BJ$4&lt;=$AL157,BJ$4&gt;$AK157),5,0)))))*'Detailed Assumptions'!$E$6</f>
        <v>2</v>
      </c>
      <c r="BK500" s="543">
        <f>IF(AND(BK$4&lt;=$AH157,BK$4&gt;$V157),1,IF(AND(BK$4&lt;=$AI157,BK$4&gt;$AH157),2,IF(AND(BK$4&lt;=$AJ157,BK$4&gt;$AI157),3,IF(AND(BK$4&lt;=$AK157,BK$4&gt;$AJ157),4,IF(AND(BK$4&lt;=$AL157,BK$4&gt;$AK157),5,0)))))*'Detailed Assumptions'!$E$6</f>
        <v>2</v>
      </c>
      <c r="BL500" s="543">
        <f>IF(AND(BL$4&lt;=$AH157,BL$4&gt;$V157),1,IF(AND(BL$4&lt;=$AI157,BL$4&gt;$AH157),2,IF(AND(BL$4&lt;=$AJ157,BL$4&gt;$AI157),3,IF(AND(BL$4&lt;=$AK157,BL$4&gt;$AJ157),4,IF(AND(BL$4&lt;=$AL157,BL$4&gt;$AK157),5,0)))))*'Detailed Assumptions'!$E$6</f>
        <v>2</v>
      </c>
      <c r="BM500" s="543">
        <f>IF(AND(BM$4&lt;=$AH157,BM$4&gt;$V157),1,IF(AND(BM$4&lt;=$AI157,BM$4&gt;$AH157),2,IF(AND(BM$4&lt;=$AJ157,BM$4&gt;$AI157),3,IF(AND(BM$4&lt;=$AK157,BM$4&gt;$AJ157),4,IF(AND(BM$4&lt;=$AL157,BM$4&gt;$AK157),5,0)))))*'Detailed Assumptions'!$E$6</f>
        <v>2</v>
      </c>
      <c r="BN500" s="543">
        <f>IF(AND(BN$4&lt;=$AH157,BN$4&gt;$V157),1,IF(AND(BN$4&lt;=$AI157,BN$4&gt;$AH157),2,IF(AND(BN$4&lt;=$AJ157,BN$4&gt;$AI157),3,IF(AND(BN$4&lt;=$AK157,BN$4&gt;$AJ157),4,IF(AND(BN$4&lt;=$AL157,BN$4&gt;$AK157),5,0)))))*'Detailed Assumptions'!$E$6</f>
        <v>2</v>
      </c>
      <c r="BO500" s="543">
        <f>IF(AND(BO$4&lt;=$AH157,BO$4&gt;$V157),1,IF(AND(BO$4&lt;=$AI157,BO$4&gt;$AH157),2,IF(AND(BO$4&lt;=$AJ157,BO$4&gt;$AI157),3,IF(AND(BO$4&lt;=$AK157,BO$4&gt;$AJ157),4,IF(AND(BO$4&lt;=$AL157,BO$4&gt;$AK157),5,0)))))*'Detailed Assumptions'!$E$6</f>
        <v>2</v>
      </c>
      <c r="BP500" s="543">
        <f>IF(AND(BP$4&lt;=$AH157,BP$4&gt;$V157),1,IF(AND(BP$4&lt;=$AI157,BP$4&gt;$AH157),2,IF(AND(BP$4&lt;=$AJ157,BP$4&gt;$AI157),3,IF(AND(BP$4&lt;=$AK157,BP$4&gt;$AJ157),4,IF(AND(BP$4&lt;=$AL157,BP$4&gt;$AK157),5,0)))))*'Detailed Assumptions'!$E$6</f>
        <v>2</v>
      </c>
      <c r="BQ500" s="543">
        <f>IF(AND(BQ$4&lt;=$AH157,BQ$4&gt;$V157),1,IF(AND(BQ$4&lt;=$AI157,BQ$4&gt;$AH157),2,IF(AND(BQ$4&lt;=$AJ157,BQ$4&gt;$AI157),3,IF(AND(BQ$4&lt;=$AK157,BQ$4&gt;$AJ157),4,IF(AND(BQ$4&lt;=$AL157,BQ$4&gt;$AK157),5,0)))))*'Detailed Assumptions'!$E$6</f>
        <v>2</v>
      </c>
      <c r="BR500" s="543">
        <f>IF(AND(BR$4&lt;=$AH157,BR$4&gt;$V157),1,IF(AND(BR$4&lt;=$AI157,BR$4&gt;$AH157),2,IF(AND(BR$4&lt;=$AJ157,BR$4&gt;$AI157),3,IF(AND(BR$4&lt;=$AK157,BR$4&gt;$AJ157),4,IF(AND(BR$4&lt;=$AL157,BR$4&gt;$AK157),5,0)))))*'Detailed Assumptions'!$E$6</f>
        <v>2</v>
      </c>
      <c r="BS500" s="543">
        <f>IF(AND(BS$4&lt;=$AH157,BS$4&gt;$V157),1,IF(AND(BS$4&lt;=$AI157,BS$4&gt;$AH157),2,IF(AND(BS$4&lt;=$AJ157,BS$4&gt;$AI157),3,IF(AND(BS$4&lt;=$AK157,BS$4&gt;$AJ157),4,IF(AND(BS$4&lt;=$AL157,BS$4&gt;$AK157),5,0)))))*'Detailed Assumptions'!$E$6</f>
        <v>2</v>
      </c>
      <c r="BT500" s="543">
        <f>IF(AND(BT$4&lt;=$AH157,BT$4&gt;$V157),1,IF(AND(BT$4&lt;=$AI157,BT$4&gt;$AH157),2,IF(AND(BT$4&lt;=$AJ157,BT$4&gt;$AI157),3,IF(AND(BT$4&lt;=$AK157,BT$4&gt;$AJ157),4,IF(AND(BT$4&lt;=$AL157,BT$4&gt;$AK157),5,0)))))*'Detailed Assumptions'!$E$6</f>
        <v>3</v>
      </c>
      <c r="BU500" s="543">
        <f>IF(AND(BU$4&lt;=$AH157,BU$4&gt;$V157),1,IF(AND(BU$4&lt;=$AI157,BU$4&gt;$AH157),2,IF(AND(BU$4&lt;=$AJ157,BU$4&gt;$AI157),3,IF(AND(BU$4&lt;=$AK157,BU$4&gt;$AJ157),4,IF(AND(BU$4&lt;=$AL157,BU$4&gt;$AK157),5,0)))))*'Detailed Assumptions'!$E$6</f>
        <v>3</v>
      </c>
      <c r="BV500" s="543">
        <f>IF(AND(BV$4&lt;=$AH157,BV$4&gt;$V157),1,IF(AND(BV$4&lt;=$AI157,BV$4&gt;$AH157),2,IF(AND(BV$4&lt;=$AJ157,BV$4&gt;$AI157),3,IF(AND(BV$4&lt;=$AK157,BV$4&gt;$AJ157),4,IF(AND(BV$4&lt;=$AL157,BV$4&gt;$AK157),5,0)))))*'Detailed Assumptions'!$E$6</f>
        <v>3</v>
      </c>
      <c r="BW500" s="543">
        <f>IF(AND(BW$4&lt;=$AH157,BW$4&gt;$V157),1,IF(AND(BW$4&lt;=$AI157,BW$4&gt;$AH157),2,IF(AND(BW$4&lt;=$AJ157,BW$4&gt;$AI157),3,IF(AND(BW$4&lt;=$AK157,BW$4&gt;$AJ157),4,IF(AND(BW$4&lt;=$AL157,BW$4&gt;$AK157),5,0)))))*'Detailed Assumptions'!$E$6</f>
        <v>3</v>
      </c>
      <c r="BX500" s="543">
        <f>IF(AND(BX$4&lt;=$AH157,BX$4&gt;$V157),1,IF(AND(BX$4&lt;=$AI157,BX$4&gt;$AH157),2,IF(AND(BX$4&lt;=$AJ157,BX$4&gt;$AI157),3,IF(AND(BX$4&lt;=$AK157,BX$4&gt;$AJ157),4,IF(AND(BX$4&lt;=$AL157,BX$4&gt;$AK157),5,0)))))*'Detailed Assumptions'!$E$6</f>
        <v>3</v>
      </c>
      <c r="BY500" s="543">
        <f>IF(AND(BY$4&lt;=$AH157,BY$4&gt;$V157),1,IF(AND(BY$4&lt;=$AI157,BY$4&gt;$AH157),2,IF(AND(BY$4&lt;=$AJ157,BY$4&gt;$AI157),3,IF(AND(BY$4&lt;=$AK157,BY$4&gt;$AJ157),4,IF(AND(BY$4&lt;=$AL157,BY$4&gt;$AK157),5,0)))))*'Detailed Assumptions'!$E$6</f>
        <v>3</v>
      </c>
      <c r="BZ500" s="537"/>
      <c r="CA500" s="537"/>
      <c r="CB500" s="537"/>
    </row>
    <row r="501" spans="1:80" x14ac:dyDescent="0.3">
      <c r="A501" s="551"/>
      <c r="B501" s="548"/>
      <c r="C501" s="548"/>
      <c r="D501" s="525"/>
      <c r="E501" s="655" t="str">
        <f>"EBITDA growth post capex: "&amp;E$158</f>
        <v>EBITDA growth post capex: FY30 Tranche</v>
      </c>
      <c r="F501" s="574"/>
      <c r="G501" s="574"/>
      <c r="H501" s="574"/>
      <c r="I501" s="574"/>
      <c r="J501" s="574"/>
      <c r="K501" s="574"/>
      <c r="L501" s="574"/>
      <c r="M501" s="574"/>
      <c r="N501" s="574"/>
      <c r="O501" s="574"/>
      <c r="P501" s="653"/>
      <c r="Q501" s="574"/>
      <c r="R501" s="543">
        <f>IF(AND(R$4&lt;=$AH158,R$4&gt;$V158),1,IF(AND(R$4&lt;=$AI158,R$4&gt;$AH158),2,IF(AND(R$4&lt;=$AJ158,R$4&gt;$AI158),3,IF(AND(R$4&lt;=$AK158,R$4&gt;$AJ158),4,IF(AND(R$4&lt;=$AL158,R$4&gt;$AK158),5,0)))))*'Detailed Assumptions'!$E$6</f>
        <v>0</v>
      </c>
      <c r="S501" s="543">
        <f>IF(AND(S$4&lt;=$AH158,S$4&gt;$V158),1,IF(AND(S$4&lt;=$AI158,S$4&gt;$AH158),2,IF(AND(S$4&lt;=$AJ158,S$4&gt;$AI158),3,IF(AND(S$4&lt;=$AK158,S$4&gt;$AJ158),4,IF(AND(S$4&lt;=$AL158,S$4&gt;$AK158),5,0)))))*'Detailed Assumptions'!$E$6</f>
        <v>0</v>
      </c>
      <c r="T501" s="543">
        <f>IF(AND(T$4&lt;=$AH158,T$4&gt;$V158),1,IF(AND(T$4&lt;=$AI158,T$4&gt;$AH158),2,IF(AND(T$4&lt;=$AJ158,T$4&gt;$AI158),3,IF(AND(T$4&lt;=$AK158,T$4&gt;$AJ158),4,IF(AND(T$4&lt;=$AL158,T$4&gt;$AK158),5,0)))))*'Detailed Assumptions'!$E$6</f>
        <v>0</v>
      </c>
      <c r="U501" s="543">
        <f>IF(AND(U$4&lt;=$AH158,U$4&gt;$V158),1,IF(AND(U$4&lt;=$AI158,U$4&gt;$AH158),2,IF(AND(U$4&lt;=$AJ158,U$4&gt;$AI158),3,IF(AND(U$4&lt;=$AK158,U$4&gt;$AJ158),4,IF(AND(U$4&lt;=$AL158,U$4&gt;$AK158),5,0)))))*'Detailed Assumptions'!$E$6</f>
        <v>0</v>
      </c>
      <c r="V501" s="543">
        <f>IF(AND(V$4&lt;=$AH158,V$4&gt;$V158),1,IF(AND(V$4&lt;=$AI158,V$4&gt;$AH158),2,IF(AND(V$4&lt;=$AJ158,V$4&gt;$AI158),3,IF(AND(V$4&lt;=$AK158,V$4&gt;$AJ158),4,IF(AND(V$4&lt;=$AL158,V$4&gt;$AK158),5,0)))))*'Detailed Assumptions'!$E$6</f>
        <v>0</v>
      </c>
      <c r="W501" s="543">
        <f>IF(AND(W$4&lt;=$AH158,W$4&gt;$V158),1,IF(AND(W$4&lt;=$AI158,W$4&gt;$AH158),2,IF(AND(W$4&lt;=$AJ158,W$4&gt;$AI158),3,IF(AND(W$4&lt;=$AK158,W$4&gt;$AJ158),4,IF(AND(W$4&lt;=$AL158,W$4&gt;$AK158),5,0)))))*'Detailed Assumptions'!$E$6</f>
        <v>0</v>
      </c>
      <c r="X501" s="543">
        <f>IF(AND(X$4&lt;=$AH158,X$4&gt;$V158),1,IF(AND(X$4&lt;=$AI158,X$4&gt;$AH158),2,IF(AND(X$4&lt;=$AJ158,X$4&gt;$AI158),3,IF(AND(X$4&lt;=$AK158,X$4&gt;$AJ158),4,IF(AND(X$4&lt;=$AL158,X$4&gt;$AK158),5,0)))))*'Detailed Assumptions'!$E$6</f>
        <v>0</v>
      </c>
      <c r="Y501" s="543">
        <f>IF(AND(Y$4&lt;=$AH158,Y$4&gt;$V158),1,IF(AND(Y$4&lt;=$AI158,Y$4&gt;$AH158),2,IF(AND(Y$4&lt;=$AJ158,Y$4&gt;$AI158),3,IF(AND(Y$4&lt;=$AK158,Y$4&gt;$AJ158),4,IF(AND(Y$4&lt;=$AL158,Y$4&gt;$AK158),5,0)))))*'Detailed Assumptions'!$E$6</f>
        <v>0</v>
      </c>
      <c r="Z501" s="543">
        <f>IF(AND(Z$4&lt;=$AH158,Z$4&gt;$V158),1,IF(AND(Z$4&lt;=$AI158,Z$4&gt;$AH158),2,IF(AND(Z$4&lt;=$AJ158,Z$4&gt;$AI158),3,IF(AND(Z$4&lt;=$AK158,Z$4&gt;$AJ158),4,IF(AND(Z$4&lt;=$AL158,Z$4&gt;$AK158),5,0)))))*'Detailed Assumptions'!$E$6</f>
        <v>0</v>
      </c>
      <c r="AA501" s="543">
        <f>IF(AND(AA$4&lt;=$AH158,AA$4&gt;$V158),1,IF(AND(AA$4&lt;=$AI158,AA$4&gt;$AH158),2,IF(AND(AA$4&lt;=$AJ158,AA$4&gt;$AI158),3,IF(AND(AA$4&lt;=$AK158,AA$4&gt;$AJ158),4,IF(AND(AA$4&lt;=$AL158,AA$4&gt;$AK158),5,0)))))*'Detailed Assumptions'!$E$6</f>
        <v>0</v>
      </c>
      <c r="AB501" s="543">
        <f>IF(AND(AB$4&lt;=$AH158,AB$4&gt;$V158),1,IF(AND(AB$4&lt;=$AI158,AB$4&gt;$AH158),2,IF(AND(AB$4&lt;=$AJ158,AB$4&gt;$AI158),3,IF(AND(AB$4&lt;=$AK158,AB$4&gt;$AJ158),4,IF(AND(AB$4&lt;=$AL158,AB$4&gt;$AK158),5,0)))))*'Detailed Assumptions'!$E$6</f>
        <v>0</v>
      </c>
      <c r="AC501" s="543">
        <f>IF(AND(AC$4&lt;=$AH158,AC$4&gt;$V158),1,IF(AND(AC$4&lt;=$AI158,AC$4&gt;$AH158),2,IF(AND(AC$4&lt;=$AJ158,AC$4&gt;$AI158),3,IF(AND(AC$4&lt;=$AK158,AC$4&gt;$AJ158),4,IF(AND(AC$4&lt;=$AL158,AC$4&gt;$AK158),5,0)))))*'Detailed Assumptions'!$E$6</f>
        <v>0</v>
      </c>
      <c r="AD501" s="543">
        <f>IF(AND(AD$4&lt;=$AH158,AD$4&gt;$V158),1,IF(AND(AD$4&lt;=$AI158,AD$4&gt;$AH158),2,IF(AND(AD$4&lt;=$AJ158,AD$4&gt;$AI158),3,IF(AND(AD$4&lt;=$AK158,AD$4&gt;$AJ158),4,IF(AND(AD$4&lt;=$AL158,AD$4&gt;$AK158),5,0)))))*'Detailed Assumptions'!$E$6</f>
        <v>0</v>
      </c>
      <c r="AE501" s="543">
        <f>IF(AND(AE$4&lt;=$AH158,AE$4&gt;$V158),1,IF(AND(AE$4&lt;=$AI158,AE$4&gt;$AH158),2,IF(AND(AE$4&lt;=$AJ158,AE$4&gt;$AI158),3,IF(AND(AE$4&lt;=$AK158,AE$4&gt;$AJ158),4,IF(AND(AE$4&lt;=$AL158,AE$4&gt;$AK158),5,0)))))*'Detailed Assumptions'!$E$6</f>
        <v>0</v>
      </c>
      <c r="AF501" s="543">
        <f>IF(AND(AF$4&lt;=$AH158,AF$4&gt;$V158),1,IF(AND(AF$4&lt;=$AI158,AF$4&gt;$AH158),2,IF(AND(AF$4&lt;=$AJ158,AF$4&gt;$AI158),3,IF(AND(AF$4&lt;=$AK158,AF$4&gt;$AJ158),4,IF(AND(AF$4&lt;=$AL158,AF$4&gt;$AK158),5,0)))))*'Detailed Assumptions'!$E$6</f>
        <v>0</v>
      </c>
      <c r="AG501" s="543">
        <f>IF(AND(AG$4&lt;=$AH158,AG$4&gt;$V158),1,IF(AND(AG$4&lt;=$AI158,AG$4&gt;$AH158),2,IF(AND(AG$4&lt;=$AJ158,AG$4&gt;$AI158),3,IF(AND(AG$4&lt;=$AK158,AG$4&gt;$AJ158),4,IF(AND(AG$4&lt;=$AL158,AG$4&gt;$AK158),5,0)))))*'Detailed Assumptions'!$E$6</f>
        <v>0</v>
      </c>
      <c r="AH501" s="543">
        <f>IF(AND(AH$4&lt;=$AH158,AH$4&gt;$V158),1,IF(AND(AH$4&lt;=$AI158,AH$4&gt;$AH158),2,IF(AND(AH$4&lt;=$AJ158,AH$4&gt;$AI158),3,IF(AND(AH$4&lt;=$AK158,AH$4&gt;$AJ158),4,IF(AND(AH$4&lt;=$AL158,AH$4&gt;$AK158),5,0)))))*'Detailed Assumptions'!$E$6</f>
        <v>0</v>
      </c>
      <c r="AI501" s="543">
        <f>IF(AND(AI$4&lt;=$AH158,AI$4&gt;$V158),1,IF(AND(AI$4&lt;=$AI158,AI$4&gt;$AH158),2,IF(AND(AI$4&lt;=$AJ158,AI$4&gt;$AI158),3,IF(AND(AI$4&lt;=$AK158,AI$4&gt;$AJ158),4,IF(AND(AI$4&lt;=$AL158,AI$4&gt;$AK158),5,0)))))*'Detailed Assumptions'!$E$6</f>
        <v>0</v>
      </c>
      <c r="AJ501" s="543">
        <f>IF(AND(AJ$4&lt;=$AH158,AJ$4&gt;$V158),1,IF(AND(AJ$4&lt;=$AI158,AJ$4&gt;$AH158),2,IF(AND(AJ$4&lt;=$AJ158,AJ$4&gt;$AI158),3,IF(AND(AJ$4&lt;=$AK158,AJ$4&gt;$AJ158),4,IF(AND(AJ$4&lt;=$AL158,AJ$4&gt;$AK158),5,0)))))*'Detailed Assumptions'!$E$6</f>
        <v>0</v>
      </c>
      <c r="AK501" s="543">
        <f>IF(AND(AK$4&lt;=$AH158,AK$4&gt;$V158),1,IF(AND(AK$4&lt;=$AI158,AK$4&gt;$AH158),2,IF(AND(AK$4&lt;=$AJ158,AK$4&gt;$AI158),3,IF(AND(AK$4&lt;=$AK158,AK$4&gt;$AJ158),4,IF(AND(AK$4&lt;=$AL158,AK$4&gt;$AK158),5,0)))))*'Detailed Assumptions'!$E$6</f>
        <v>0</v>
      </c>
      <c r="AL501" s="543">
        <f>IF(AND(AL$4&lt;=$AH158,AL$4&gt;$V158),1,IF(AND(AL$4&lt;=$AI158,AL$4&gt;$AH158),2,IF(AND(AL$4&lt;=$AJ158,AL$4&gt;$AI158),3,IF(AND(AL$4&lt;=$AK158,AL$4&gt;$AJ158),4,IF(AND(AL$4&lt;=$AL158,AL$4&gt;$AK158),5,0)))))*'Detailed Assumptions'!$E$6</f>
        <v>0</v>
      </c>
      <c r="AM501" s="543">
        <f>IF(AND(AM$4&lt;=$AH158,AM$4&gt;$V158),1,IF(AND(AM$4&lt;=$AI158,AM$4&gt;$AH158),2,IF(AND(AM$4&lt;=$AJ158,AM$4&gt;$AI158),3,IF(AND(AM$4&lt;=$AK158,AM$4&gt;$AJ158),4,IF(AND(AM$4&lt;=$AL158,AM$4&gt;$AK158),5,0)))))*'Detailed Assumptions'!$E$6</f>
        <v>0</v>
      </c>
      <c r="AN501" s="543">
        <f>IF(AND(AN$4&lt;=$AH158,AN$4&gt;$V158),1,IF(AND(AN$4&lt;=$AI158,AN$4&gt;$AH158),2,IF(AND(AN$4&lt;=$AJ158,AN$4&gt;$AI158),3,IF(AND(AN$4&lt;=$AK158,AN$4&gt;$AJ158),4,IF(AND(AN$4&lt;=$AL158,AN$4&gt;$AK158),5,0)))))*'Detailed Assumptions'!$E$6</f>
        <v>0</v>
      </c>
      <c r="AO501" s="543">
        <f>IF(AND(AO$4&lt;=$AH158,AO$4&gt;$V158),1,IF(AND(AO$4&lt;=$AI158,AO$4&gt;$AH158),2,IF(AND(AO$4&lt;=$AJ158,AO$4&gt;$AI158),3,IF(AND(AO$4&lt;=$AK158,AO$4&gt;$AJ158),4,IF(AND(AO$4&lt;=$AL158,AO$4&gt;$AK158),5,0)))))*'Detailed Assumptions'!$E$6</f>
        <v>0</v>
      </c>
      <c r="AP501" s="543">
        <f>IF(AND(AP$4&lt;=$AH158,AP$4&gt;$V158),1,IF(AND(AP$4&lt;=$AI158,AP$4&gt;$AH158),2,IF(AND(AP$4&lt;=$AJ158,AP$4&gt;$AI158),3,IF(AND(AP$4&lt;=$AK158,AP$4&gt;$AJ158),4,IF(AND(AP$4&lt;=$AL158,AP$4&gt;$AK158),5,0)))))*'Detailed Assumptions'!$E$6</f>
        <v>0</v>
      </c>
      <c r="AQ501" s="543">
        <f>IF(AND(AQ$4&lt;=$AH158,AQ$4&gt;$V158),1,IF(AND(AQ$4&lt;=$AI158,AQ$4&gt;$AH158),2,IF(AND(AQ$4&lt;=$AJ158,AQ$4&gt;$AI158),3,IF(AND(AQ$4&lt;=$AK158,AQ$4&gt;$AJ158),4,IF(AND(AQ$4&lt;=$AL158,AQ$4&gt;$AK158),5,0)))))*'Detailed Assumptions'!$E$6</f>
        <v>0</v>
      </c>
      <c r="AR501" s="543">
        <f>IF(AND(AR$4&lt;=$AH158,AR$4&gt;$V158),1,IF(AND(AR$4&lt;=$AI158,AR$4&gt;$AH158),2,IF(AND(AR$4&lt;=$AJ158,AR$4&gt;$AI158),3,IF(AND(AR$4&lt;=$AK158,AR$4&gt;$AJ158),4,IF(AND(AR$4&lt;=$AL158,AR$4&gt;$AK158),5,0)))))*'Detailed Assumptions'!$E$6</f>
        <v>0</v>
      </c>
      <c r="AS501" s="543">
        <f>IF(AND(AS$4&lt;=$AH158,AS$4&gt;$V158),1,IF(AND(AS$4&lt;=$AI158,AS$4&gt;$AH158),2,IF(AND(AS$4&lt;=$AJ158,AS$4&gt;$AI158),3,IF(AND(AS$4&lt;=$AK158,AS$4&gt;$AJ158),4,IF(AND(AS$4&lt;=$AL158,AS$4&gt;$AK158),5,0)))))*'Detailed Assumptions'!$E$6</f>
        <v>0</v>
      </c>
      <c r="AT501" s="543">
        <f>IF(AND(AT$4&lt;=$AH158,AT$4&gt;$V158),1,IF(AND(AT$4&lt;=$AI158,AT$4&gt;$AH158),2,IF(AND(AT$4&lt;=$AJ158,AT$4&gt;$AI158),3,IF(AND(AT$4&lt;=$AK158,AT$4&gt;$AJ158),4,IF(AND(AT$4&lt;=$AL158,AT$4&gt;$AK158),5,0)))))*'Detailed Assumptions'!$E$6</f>
        <v>0</v>
      </c>
      <c r="AU501" s="543">
        <f>IF(AND(AU$4&lt;=$AH158,AU$4&gt;$V158),1,IF(AND(AU$4&lt;=$AI158,AU$4&gt;$AH158),2,IF(AND(AU$4&lt;=$AJ158,AU$4&gt;$AI158),3,IF(AND(AU$4&lt;=$AK158,AU$4&gt;$AJ158),4,IF(AND(AU$4&lt;=$AL158,AU$4&gt;$AK158),5,0)))))*'Detailed Assumptions'!$E$6</f>
        <v>0</v>
      </c>
      <c r="AV501" s="543">
        <f>IF(AND(AV$4&lt;=$AH158,AV$4&gt;$V158),1,IF(AND(AV$4&lt;=$AI158,AV$4&gt;$AH158),2,IF(AND(AV$4&lt;=$AJ158,AV$4&gt;$AI158),3,IF(AND(AV$4&lt;=$AK158,AV$4&gt;$AJ158),4,IF(AND(AV$4&lt;=$AL158,AV$4&gt;$AK158),5,0)))))*'Detailed Assumptions'!$E$6</f>
        <v>0</v>
      </c>
      <c r="AW501" s="543">
        <f>IF(AND(AW$4&lt;=$AH158,AW$4&gt;$V158),1,IF(AND(AW$4&lt;=$AI158,AW$4&gt;$AH158),2,IF(AND(AW$4&lt;=$AJ158,AW$4&gt;$AI158),3,IF(AND(AW$4&lt;=$AK158,AW$4&gt;$AJ158),4,IF(AND(AW$4&lt;=$AL158,AW$4&gt;$AK158),5,0)))))*'Detailed Assumptions'!$E$6</f>
        <v>0</v>
      </c>
      <c r="AX501" s="543">
        <f>IF(AND(AX$4&lt;=$AH158,AX$4&gt;$V158),1,IF(AND(AX$4&lt;=$AI158,AX$4&gt;$AH158),2,IF(AND(AX$4&lt;=$AJ158,AX$4&gt;$AI158),3,IF(AND(AX$4&lt;=$AK158,AX$4&gt;$AJ158),4,IF(AND(AX$4&lt;=$AL158,AX$4&gt;$AK158),5,0)))))*'Detailed Assumptions'!$E$6</f>
        <v>0</v>
      </c>
      <c r="AY501" s="543">
        <f>IF(AND(AY$4&lt;=$AH158,AY$4&gt;$V158),1,IF(AND(AY$4&lt;=$AI158,AY$4&gt;$AH158),2,IF(AND(AY$4&lt;=$AJ158,AY$4&gt;$AI158),3,IF(AND(AY$4&lt;=$AK158,AY$4&gt;$AJ158),4,IF(AND(AY$4&lt;=$AL158,AY$4&gt;$AK158),5,0)))))*'Detailed Assumptions'!$E$6</f>
        <v>0</v>
      </c>
      <c r="AZ501" s="543">
        <f>IF(AND(AZ$4&lt;=$AH158,AZ$4&gt;$V158),1,IF(AND(AZ$4&lt;=$AI158,AZ$4&gt;$AH158),2,IF(AND(AZ$4&lt;=$AJ158,AZ$4&gt;$AI158),3,IF(AND(AZ$4&lt;=$AK158,AZ$4&gt;$AJ158),4,IF(AND(AZ$4&lt;=$AL158,AZ$4&gt;$AK158),5,0)))))*'Detailed Assumptions'!$E$6</f>
        <v>0</v>
      </c>
      <c r="BA501" s="543">
        <f>IF(AND(BA$4&lt;=$AH158,BA$4&gt;$V158),1,IF(AND(BA$4&lt;=$AI158,BA$4&gt;$AH158),2,IF(AND(BA$4&lt;=$AJ158,BA$4&gt;$AI158),3,IF(AND(BA$4&lt;=$AK158,BA$4&gt;$AJ158),4,IF(AND(BA$4&lt;=$AL158,BA$4&gt;$AK158),5,0)))))*'Detailed Assumptions'!$E$6</f>
        <v>0</v>
      </c>
      <c r="BB501" s="543">
        <f>IF(AND(BB$4&lt;=$AH158,BB$4&gt;$V158),1,IF(AND(BB$4&lt;=$AI158,BB$4&gt;$AH158),2,IF(AND(BB$4&lt;=$AJ158,BB$4&gt;$AI158),3,IF(AND(BB$4&lt;=$AK158,BB$4&gt;$AJ158),4,IF(AND(BB$4&lt;=$AL158,BB$4&gt;$AK158),5,0)))))*'Detailed Assumptions'!$E$6</f>
        <v>0</v>
      </c>
      <c r="BC501" s="543">
        <f>IF(AND(BC$4&lt;=$AH158,BC$4&gt;$V158),1,IF(AND(BC$4&lt;=$AI158,BC$4&gt;$AH158),2,IF(AND(BC$4&lt;=$AJ158,BC$4&gt;$AI158),3,IF(AND(BC$4&lt;=$AK158,BC$4&gt;$AJ158),4,IF(AND(BC$4&lt;=$AL158,BC$4&gt;$AK158),5,0)))))*'Detailed Assumptions'!$E$6</f>
        <v>0</v>
      </c>
      <c r="BD501" s="543">
        <f>IF(AND(BD$4&lt;=$AH158,BD$4&gt;$V158),1,IF(AND(BD$4&lt;=$AI158,BD$4&gt;$AH158),2,IF(AND(BD$4&lt;=$AJ158,BD$4&gt;$AI158),3,IF(AND(BD$4&lt;=$AK158,BD$4&gt;$AJ158),4,IF(AND(BD$4&lt;=$AL158,BD$4&gt;$AK158),5,0)))))*'Detailed Assumptions'!$E$6</f>
        <v>0</v>
      </c>
      <c r="BE501" s="543">
        <f>IF(AND(BE$4&lt;=$AH158,BE$4&gt;$V158),1,IF(AND(BE$4&lt;=$AI158,BE$4&gt;$AH158),2,IF(AND(BE$4&lt;=$AJ158,BE$4&gt;$AI158),3,IF(AND(BE$4&lt;=$AK158,BE$4&gt;$AJ158),4,IF(AND(BE$4&lt;=$AL158,BE$4&gt;$AK158),5,0)))))*'Detailed Assumptions'!$E$6</f>
        <v>0</v>
      </c>
      <c r="BF501" s="543">
        <f>IF(AND(BF$4&lt;=$AH158,BF$4&gt;$V158),1,IF(AND(BF$4&lt;=$AI158,BF$4&gt;$AH158),2,IF(AND(BF$4&lt;=$AJ158,BF$4&gt;$AI158),3,IF(AND(BF$4&lt;=$AK158,BF$4&gt;$AJ158),4,IF(AND(BF$4&lt;=$AL158,BF$4&gt;$AK158),5,0)))))*'Detailed Assumptions'!$E$6</f>
        <v>0</v>
      </c>
      <c r="BG501" s="543">
        <f>IF(AND(BG$4&lt;=$AH158,BG$4&gt;$V158),1,IF(AND(BG$4&lt;=$AI158,BG$4&gt;$AH158),2,IF(AND(BG$4&lt;=$AJ158,BG$4&gt;$AI158),3,IF(AND(BG$4&lt;=$AK158,BG$4&gt;$AJ158),4,IF(AND(BG$4&lt;=$AL158,BG$4&gt;$AK158),5,0)))))*'Detailed Assumptions'!$E$6</f>
        <v>0</v>
      </c>
      <c r="BH501" s="543">
        <f>IF(AND(BH$4&lt;=$AH158,BH$4&gt;$V158),1,IF(AND(BH$4&lt;=$AI158,BH$4&gt;$AH158),2,IF(AND(BH$4&lt;=$AJ158,BH$4&gt;$AI158),3,IF(AND(BH$4&lt;=$AK158,BH$4&gt;$AJ158),4,IF(AND(BH$4&lt;=$AL158,BH$4&gt;$AK158),5,0)))))*'Detailed Assumptions'!$E$6</f>
        <v>1</v>
      </c>
      <c r="BI501" s="543">
        <f>IF(AND(BI$4&lt;=$AH158,BI$4&gt;$V158),1,IF(AND(BI$4&lt;=$AI158,BI$4&gt;$AH158),2,IF(AND(BI$4&lt;=$AJ158,BI$4&gt;$AI158),3,IF(AND(BI$4&lt;=$AK158,BI$4&gt;$AJ158),4,IF(AND(BI$4&lt;=$AL158,BI$4&gt;$AK158),5,0)))))*'Detailed Assumptions'!$E$6</f>
        <v>1</v>
      </c>
      <c r="BJ501" s="543">
        <f>IF(AND(BJ$4&lt;=$AH158,BJ$4&gt;$V158),1,IF(AND(BJ$4&lt;=$AI158,BJ$4&gt;$AH158),2,IF(AND(BJ$4&lt;=$AJ158,BJ$4&gt;$AI158),3,IF(AND(BJ$4&lt;=$AK158,BJ$4&gt;$AJ158),4,IF(AND(BJ$4&lt;=$AL158,BJ$4&gt;$AK158),5,0)))))*'Detailed Assumptions'!$E$6</f>
        <v>1</v>
      </c>
      <c r="BK501" s="543">
        <f>IF(AND(BK$4&lt;=$AH158,BK$4&gt;$V158),1,IF(AND(BK$4&lt;=$AI158,BK$4&gt;$AH158),2,IF(AND(BK$4&lt;=$AJ158,BK$4&gt;$AI158),3,IF(AND(BK$4&lt;=$AK158,BK$4&gt;$AJ158),4,IF(AND(BK$4&lt;=$AL158,BK$4&gt;$AK158),5,0)))))*'Detailed Assumptions'!$E$6</f>
        <v>1</v>
      </c>
      <c r="BL501" s="543">
        <f>IF(AND(BL$4&lt;=$AH158,BL$4&gt;$V158),1,IF(AND(BL$4&lt;=$AI158,BL$4&gt;$AH158),2,IF(AND(BL$4&lt;=$AJ158,BL$4&gt;$AI158),3,IF(AND(BL$4&lt;=$AK158,BL$4&gt;$AJ158),4,IF(AND(BL$4&lt;=$AL158,BL$4&gt;$AK158),5,0)))))*'Detailed Assumptions'!$E$6</f>
        <v>1</v>
      </c>
      <c r="BM501" s="543">
        <f>IF(AND(BM$4&lt;=$AH158,BM$4&gt;$V158),1,IF(AND(BM$4&lt;=$AI158,BM$4&gt;$AH158),2,IF(AND(BM$4&lt;=$AJ158,BM$4&gt;$AI158),3,IF(AND(BM$4&lt;=$AK158,BM$4&gt;$AJ158),4,IF(AND(BM$4&lt;=$AL158,BM$4&gt;$AK158),5,0)))))*'Detailed Assumptions'!$E$6</f>
        <v>1</v>
      </c>
      <c r="BN501" s="543">
        <f>IF(AND(BN$4&lt;=$AH158,BN$4&gt;$V158),1,IF(AND(BN$4&lt;=$AI158,BN$4&gt;$AH158),2,IF(AND(BN$4&lt;=$AJ158,BN$4&gt;$AI158),3,IF(AND(BN$4&lt;=$AK158,BN$4&gt;$AJ158),4,IF(AND(BN$4&lt;=$AL158,BN$4&gt;$AK158),5,0)))))*'Detailed Assumptions'!$E$6</f>
        <v>1</v>
      </c>
      <c r="BO501" s="543">
        <f>IF(AND(BO$4&lt;=$AH158,BO$4&gt;$V158),1,IF(AND(BO$4&lt;=$AI158,BO$4&gt;$AH158),2,IF(AND(BO$4&lt;=$AJ158,BO$4&gt;$AI158),3,IF(AND(BO$4&lt;=$AK158,BO$4&gt;$AJ158),4,IF(AND(BO$4&lt;=$AL158,BO$4&gt;$AK158),5,0)))))*'Detailed Assumptions'!$E$6</f>
        <v>1</v>
      </c>
      <c r="BP501" s="543">
        <f>IF(AND(BP$4&lt;=$AH158,BP$4&gt;$V158),1,IF(AND(BP$4&lt;=$AI158,BP$4&gt;$AH158),2,IF(AND(BP$4&lt;=$AJ158,BP$4&gt;$AI158),3,IF(AND(BP$4&lt;=$AK158,BP$4&gt;$AJ158),4,IF(AND(BP$4&lt;=$AL158,BP$4&gt;$AK158),5,0)))))*'Detailed Assumptions'!$E$6</f>
        <v>1</v>
      </c>
      <c r="BQ501" s="543">
        <f>IF(AND(BQ$4&lt;=$AH158,BQ$4&gt;$V158),1,IF(AND(BQ$4&lt;=$AI158,BQ$4&gt;$AH158),2,IF(AND(BQ$4&lt;=$AJ158,BQ$4&gt;$AI158),3,IF(AND(BQ$4&lt;=$AK158,BQ$4&gt;$AJ158),4,IF(AND(BQ$4&lt;=$AL158,BQ$4&gt;$AK158),5,0)))))*'Detailed Assumptions'!$E$6</f>
        <v>1</v>
      </c>
      <c r="BR501" s="543">
        <f>IF(AND(BR$4&lt;=$AH158,BR$4&gt;$V158),1,IF(AND(BR$4&lt;=$AI158,BR$4&gt;$AH158),2,IF(AND(BR$4&lt;=$AJ158,BR$4&gt;$AI158),3,IF(AND(BR$4&lt;=$AK158,BR$4&gt;$AJ158),4,IF(AND(BR$4&lt;=$AL158,BR$4&gt;$AK158),5,0)))))*'Detailed Assumptions'!$E$6</f>
        <v>1</v>
      </c>
      <c r="BS501" s="543">
        <f>IF(AND(BS$4&lt;=$AH158,BS$4&gt;$V158),1,IF(AND(BS$4&lt;=$AI158,BS$4&gt;$AH158),2,IF(AND(BS$4&lt;=$AJ158,BS$4&gt;$AI158),3,IF(AND(BS$4&lt;=$AK158,BS$4&gt;$AJ158),4,IF(AND(BS$4&lt;=$AL158,BS$4&gt;$AK158),5,0)))))*'Detailed Assumptions'!$E$6</f>
        <v>1</v>
      </c>
      <c r="BT501" s="543">
        <f>IF(AND(BT$4&lt;=$AH158,BT$4&gt;$V158),1,IF(AND(BT$4&lt;=$AI158,BT$4&gt;$AH158),2,IF(AND(BT$4&lt;=$AJ158,BT$4&gt;$AI158),3,IF(AND(BT$4&lt;=$AK158,BT$4&gt;$AJ158),4,IF(AND(BT$4&lt;=$AL158,BT$4&gt;$AK158),5,0)))))*'Detailed Assumptions'!$E$6</f>
        <v>2</v>
      </c>
      <c r="BU501" s="543">
        <f>IF(AND(BU$4&lt;=$AH158,BU$4&gt;$V158),1,IF(AND(BU$4&lt;=$AI158,BU$4&gt;$AH158),2,IF(AND(BU$4&lt;=$AJ158,BU$4&gt;$AI158),3,IF(AND(BU$4&lt;=$AK158,BU$4&gt;$AJ158),4,IF(AND(BU$4&lt;=$AL158,BU$4&gt;$AK158),5,0)))))*'Detailed Assumptions'!$E$6</f>
        <v>2</v>
      </c>
      <c r="BV501" s="543">
        <f>IF(AND(BV$4&lt;=$AH158,BV$4&gt;$V158),1,IF(AND(BV$4&lt;=$AI158,BV$4&gt;$AH158),2,IF(AND(BV$4&lt;=$AJ158,BV$4&gt;$AI158),3,IF(AND(BV$4&lt;=$AK158,BV$4&gt;$AJ158),4,IF(AND(BV$4&lt;=$AL158,BV$4&gt;$AK158),5,0)))))*'Detailed Assumptions'!$E$6</f>
        <v>2</v>
      </c>
      <c r="BW501" s="543">
        <f>IF(AND(BW$4&lt;=$AH158,BW$4&gt;$V158),1,IF(AND(BW$4&lt;=$AI158,BW$4&gt;$AH158),2,IF(AND(BW$4&lt;=$AJ158,BW$4&gt;$AI158),3,IF(AND(BW$4&lt;=$AK158,BW$4&gt;$AJ158),4,IF(AND(BW$4&lt;=$AL158,BW$4&gt;$AK158),5,0)))))*'Detailed Assumptions'!$E$6</f>
        <v>2</v>
      </c>
      <c r="BX501" s="543">
        <f>IF(AND(BX$4&lt;=$AH158,BX$4&gt;$V158),1,IF(AND(BX$4&lt;=$AI158,BX$4&gt;$AH158),2,IF(AND(BX$4&lt;=$AJ158,BX$4&gt;$AI158),3,IF(AND(BX$4&lt;=$AK158,BX$4&gt;$AJ158),4,IF(AND(BX$4&lt;=$AL158,BX$4&gt;$AK158),5,0)))))*'Detailed Assumptions'!$E$6</f>
        <v>2</v>
      </c>
      <c r="BY501" s="543">
        <f>IF(AND(BY$4&lt;=$AH158,BY$4&gt;$V158),1,IF(AND(BY$4&lt;=$AI158,BY$4&gt;$AH158),2,IF(AND(BY$4&lt;=$AJ158,BY$4&gt;$AI158),3,IF(AND(BY$4&lt;=$AK158,BY$4&gt;$AJ158),4,IF(AND(BY$4&lt;=$AL158,BY$4&gt;$AK158),5,0)))))*'Detailed Assumptions'!$E$6</f>
        <v>2</v>
      </c>
      <c r="BZ501" s="537"/>
      <c r="CA501" s="537"/>
      <c r="CB501" s="537"/>
    </row>
    <row r="502" spans="1:80" x14ac:dyDescent="0.3">
      <c r="A502" s="551"/>
      <c r="B502" s="548"/>
      <c r="C502" s="548"/>
      <c r="D502" s="525"/>
      <c r="E502" s="655" t="str">
        <f>"EBITDA growth post capex: "&amp;E$159</f>
        <v>EBITDA growth post capex: FY31 Tranche</v>
      </c>
      <c r="F502" s="574"/>
      <c r="G502" s="574"/>
      <c r="H502" s="574"/>
      <c r="I502" s="574"/>
      <c r="J502" s="574"/>
      <c r="K502" s="574"/>
      <c r="L502" s="574"/>
      <c r="M502" s="574"/>
      <c r="N502" s="574"/>
      <c r="O502" s="574"/>
      <c r="P502" s="653"/>
      <c r="Q502" s="574"/>
      <c r="R502" s="543">
        <f>IF(AND(R$4&lt;=$AH159,R$4&gt;$V159),1,IF(AND(R$4&lt;=$AI159,R$4&gt;$AH159),2,IF(AND(R$4&lt;=$AJ159,R$4&gt;$AI159),3,IF(AND(R$4&lt;=$AK159,R$4&gt;$AJ159),4,IF(AND(R$4&lt;=$AL159,R$4&gt;$AK159),5,0)))))*'Detailed Assumptions'!$E$6</f>
        <v>0</v>
      </c>
      <c r="S502" s="543">
        <f>IF(AND(S$4&lt;=$AH159,S$4&gt;$V159),1,IF(AND(S$4&lt;=$AI159,S$4&gt;$AH159),2,IF(AND(S$4&lt;=$AJ159,S$4&gt;$AI159),3,IF(AND(S$4&lt;=$AK159,S$4&gt;$AJ159),4,IF(AND(S$4&lt;=$AL159,S$4&gt;$AK159),5,0)))))*'Detailed Assumptions'!$E$6</f>
        <v>0</v>
      </c>
      <c r="T502" s="543">
        <f>IF(AND(T$4&lt;=$AH159,T$4&gt;$V159),1,IF(AND(T$4&lt;=$AI159,T$4&gt;$AH159),2,IF(AND(T$4&lt;=$AJ159,T$4&gt;$AI159),3,IF(AND(T$4&lt;=$AK159,T$4&gt;$AJ159),4,IF(AND(T$4&lt;=$AL159,T$4&gt;$AK159),5,0)))))*'Detailed Assumptions'!$E$6</f>
        <v>0</v>
      </c>
      <c r="U502" s="543">
        <f>IF(AND(U$4&lt;=$AH159,U$4&gt;$V159),1,IF(AND(U$4&lt;=$AI159,U$4&gt;$AH159),2,IF(AND(U$4&lt;=$AJ159,U$4&gt;$AI159),3,IF(AND(U$4&lt;=$AK159,U$4&gt;$AJ159),4,IF(AND(U$4&lt;=$AL159,U$4&gt;$AK159),5,0)))))*'Detailed Assumptions'!$E$6</f>
        <v>0</v>
      </c>
      <c r="V502" s="543">
        <f>IF(AND(V$4&lt;=$AH159,V$4&gt;$V159),1,IF(AND(V$4&lt;=$AI159,V$4&gt;$AH159),2,IF(AND(V$4&lt;=$AJ159,V$4&gt;$AI159),3,IF(AND(V$4&lt;=$AK159,V$4&gt;$AJ159),4,IF(AND(V$4&lt;=$AL159,V$4&gt;$AK159),5,0)))))*'Detailed Assumptions'!$E$6</f>
        <v>0</v>
      </c>
      <c r="W502" s="543">
        <f>IF(AND(W$4&lt;=$AH159,W$4&gt;$V159),1,IF(AND(W$4&lt;=$AI159,W$4&gt;$AH159),2,IF(AND(W$4&lt;=$AJ159,W$4&gt;$AI159),3,IF(AND(W$4&lt;=$AK159,W$4&gt;$AJ159),4,IF(AND(W$4&lt;=$AL159,W$4&gt;$AK159),5,0)))))*'Detailed Assumptions'!$E$6</f>
        <v>0</v>
      </c>
      <c r="X502" s="543">
        <f>IF(AND(X$4&lt;=$AH159,X$4&gt;$V159),1,IF(AND(X$4&lt;=$AI159,X$4&gt;$AH159),2,IF(AND(X$4&lt;=$AJ159,X$4&gt;$AI159),3,IF(AND(X$4&lt;=$AK159,X$4&gt;$AJ159),4,IF(AND(X$4&lt;=$AL159,X$4&gt;$AK159),5,0)))))*'Detailed Assumptions'!$E$6</f>
        <v>0</v>
      </c>
      <c r="Y502" s="543">
        <f>IF(AND(Y$4&lt;=$AH159,Y$4&gt;$V159),1,IF(AND(Y$4&lt;=$AI159,Y$4&gt;$AH159),2,IF(AND(Y$4&lt;=$AJ159,Y$4&gt;$AI159),3,IF(AND(Y$4&lt;=$AK159,Y$4&gt;$AJ159),4,IF(AND(Y$4&lt;=$AL159,Y$4&gt;$AK159),5,0)))))*'Detailed Assumptions'!$E$6</f>
        <v>0</v>
      </c>
      <c r="Z502" s="543">
        <f>IF(AND(Z$4&lt;=$AH159,Z$4&gt;$V159),1,IF(AND(Z$4&lt;=$AI159,Z$4&gt;$AH159),2,IF(AND(Z$4&lt;=$AJ159,Z$4&gt;$AI159),3,IF(AND(Z$4&lt;=$AK159,Z$4&gt;$AJ159),4,IF(AND(Z$4&lt;=$AL159,Z$4&gt;$AK159),5,0)))))*'Detailed Assumptions'!$E$6</f>
        <v>0</v>
      </c>
      <c r="AA502" s="543">
        <f>IF(AND(AA$4&lt;=$AH159,AA$4&gt;$V159),1,IF(AND(AA$4&lt;=$AI159,AA$4&gt;$AH159),2,IF(AND(AA$4&lt;=$AJ159,AA$4&gt;$AI159),3,IF(AND(AA$4&lt;=$AK159,AA$4&gt;$AJ159),4,IF(AND(AA$4&lt;=$AL159,AA$4&gt;$AK159),5,0)))))*'Detailed Assumptions'!$E$6</f>
        <v>0</v>
      </c>
      <c r="AB502" s="543">
        <f>IF(AND(AB$4&lt;=$AH159,AB$4&gt;$V159),1,IF(AND(AB$4&lt;=$AI159,AB$4&gt;$AH159),2,IF(AND(AB$4&lt;=$AJ159,AB$4&gt;$AI159),3,IF(AND(AB$4&lt;=$AK159,AB$4&gt;$AJ159),4,IF(AND(AB$4&lt;=$AL159,AB$4&gt;$AK159),5,0)))))*'Detailed Assumptions'!$E$6</f>
        <v>0</v>
      </c>
      <c r="AC502" s="543">
        <f>IF(AND(AC$4&lt;=$AH159,AC$4&gt;$V159),1,IF(AND(AC$4&lt;=$AI159,AC$4&gt;$AH159),2,IF(AND(AC$4&lt;=$AJ159,AC$4&gt;$AI159),3,IF(AND(AC$4&lt;=$AK159,AC$4&gt;$AJ159),4,IF(AND(AC$4&lt;=$AL159,AC$4&gt;$AK159),5,0)))))*'Detailed Assumptions'!$E$6</f>
        <v>0</v>
      </c>
      <c r="AD502" s="543">
        <f>IF(AND(AD$4&lt;=$AH159,AD$4&gt;$V159),1,IF(AND(AD$4&lt;=$AI159,AD$4&gt;$AH159),2,IF(AND(AD$4&lt;=$AJ159,AD$4&gt;$AI159),3,IF(AND(AD$4&lt;=$AK159,AD$4&gt;$AJ159),4,IF(AND(AD$4&lt;=$AL159,AD$4&gt;$AK159),5,0)))))*'Detailed Assumptions'!$E$6</f>
        <v>0</v>
      </c>
      <c r="AE502" s="543">
        <f>IF(AND(AE$4&lt;=$AH159,AE$4&gt;$V159),1,IF(AND(AE$4&lt;=$AI159,AE$4&gt;$AH159),2,IF(AND(AE$4&lt;=$AJ159,AE$4&gt;$AI159),3,IF(AND(AE$4&lt;=$AK159,AE$4&gt;$AJ159),4,IF(AND(AE$4&lt;=$AL159,AE$4&gt;$AK159),5,0)))))*'Detailed Assumptions'!$E$6</f>
        <v>0</v>
      </c>
      <c r="AF502" s="543">
        <f>IF(AND(AF$4&lt;=$AH159,AF$4&gt;$V159),1,IF(AND(AF$4&lt;=$AI159,AF$4&gt;$AH159),2,IF(AND(AF$4&lt;=$AJ159,AF$4&gt;$AI159),3,IF(AND(AF$4&lt;=$AK159,AF$4&gt;$AJ159),4,IF(AND(AF$4&lt;=$AL159,AF$4&gt;$AK159),5,0)))))*'Detailed Assumptions'!$E$6</f>
        <v>0</v>
      </c>
      <c r="AG502" s="543">
        <f>IF(AND(AG$4&lt;=$AH159,AG$4&gt;$V159),1,IF(AND(AG$4&lt;=$AI159,AG$4&gt;$AH159),2,IF(AND(AG$4&lt;=$AJ159,AG$4&gt;$AI159),3,IF(AND(AG$4&lt;=$AK159,AG$4&gt;$AJ159),4,IF(AND(AG$4&lt;=$AL159,AG$4&gt;$AK159),5,0)))))*'Detailed Assumptions'!$E$6</f>
        <v>0</v>
      </c>
      <c r="AH502" s="543">
        <f>IF(AND(AH$4&lt;=$AH159,AH$4&gt;$V159),1,IF(AND(AH$4&lt;=$AI159,AH$4&gt;$AH159),2,IF(AND(AH$4&lt;=$AJ159,AH$4&gt;$AI159),3,IF(AND(AH$4&lt;=$AK159,AH$4&gt;$AJ159),4,IF(AND(AH$4&lt;=$AL159,AH$4&gt;$AK159),5,0)))))*'Detailed Assumptions'!$E$6</f>
        <v>0</v>
      </c>
      <c r="AI502" s="543">
        <f>IF(AND(AI$4&lt;=$AH159,AI$4&gt;$V159),1,IF(AND(AI$4&lt;=$AI159,AI$4&gt;$AH159),2,IF(AND(AI$4&lt;=$AJ159,AI$4&gt;$AI159),3,IF(AND(AI$4&lt;=$AK159,AI$4&gt;$AJ159),4,IF(AND(AI$4&lt;=$AL159,AI$4&gt;$AK159),5,0)))))*'Detailed Assumptions'!$E$6</f>
        <v>0</v>
      </c>
      <c r="AJ502" s="543">
        <f>IF(AND(AJ$4&lt;=$AH159,AJ$4&gt;$V159),1,IF(AND(AJ$4&lt;=$AI159,AJ$4&gt;$AH159),2,IF(AND(AJ$4&lt;=$AJ159,AJ$4&gt;$AI159),3,IF(AND(AJ$4&lt;=$AK159,AJ$4&gt;$AJ159),4,IF(AND(AJ$4&lt;=$AL159,AJ$4&gt;$AK159),5,0)))))*'Detailed Assumptions'!$E$6</f>
        <v>0</v>
      </c>
      <c r="AK502" s="543">
        <f>IF(AND(AK$4&lt;=$AH159,AK$4&gt;$V159),1,IF(AND(AK$4&lt;=$AI159,AK$4&gt;$AH159),2,IF(AND(AK$4&lt;=$AJ159,AK$4&gt;$AI159),3,IF(AND(AK$4&lt;=$AK159,AK$4&gt;$AJ159),4,IF(AND(AK$4&lt;=$AL159,AK$4&gt;$AK159),5,0)))))*'Detailed Assumptions'!$E$6</f>
        <v>0</v>
      </c>
      <c r="AL502" s="543">
        <f>IF(AND(AL$4&lt;=$AH159,AL$4&gt;$V159),1,IF(AND(AL$4&lt;=$AI159,AL$4&gt;$AH159),2,IF(AND(AL$4&lt;=$AJ159,AL$4&gt;$AI159),3,IF(AND(AL$4&lt;=$AK159,AL$4&gt;$AJ159),4,IF(AND(AL$4&lt;=$AL159,AL$4&gt;$AK159),5,0)))))*'Detailed Assumptions'!$E$6</f>
        <v>0</v>
      </c>
      <c r="AM502" s="543">
        <f>IF(AND(AM$4&lt;=$AH159,AM$4&gt;$V159),1,IF(AND(AM$4&lt;=$AI159,AM$4&gt;$AH159),2,IF(AND(AM$4&lt;=$AJ159,AM$4&gt;$AI159),3,IF(AND(AM$4&lt;=$AK159,AM$4&gt;$AJ159),4,IF(AND(AM$4&lt;=$AL159,AM$4&gt;$AK159),5,0)))))*'Detailed Assumptions'!$E$6</f>
        <v>0</v>
      </c>
      <c r="AN502" s="543">
        <f>IF(AND(AN$4&lt;=$AH159,AN$4&gt;$V159),1,IF(AND(AN$4&lt;=$AI159,AN$4&gt;$AH159),2,IF(AND(AN$4&lt;=$AJ159,AN$4&gt;$AI159),3,IF(AND(AN$4&lt;=$AK159,AN$4&gt;$AJ159),4,IF(AND(AN$4&lt;=$AL159,AN$4&gt;$AK159),5,0)))))*'Detailed Assumptions'!$E$6</f>
        <v>0</v>
      </c>
      <c r="AO502" s="543">
        <f>IF(AND(AO$4&lt;=$AH159,AO$4&gt;$V159),1,IF(AND(AO$4&lt;=$AI159,AO$4&gt;$AH159),2,IF(AND(AO$4&lt;=$AJ159,AO$4&gt;$AI159),3,IF(AND(AO$4&lt;=$AK159,AO$4&gt;$AJ159),4,IF(AND(AO$4&lt;=$AL159,AO$4&gt;$AK159),5,0)))))*'Detailed Assumptions'!$E$6</f>
        <v>0</v>
      </c>
      <c r="AP502" s="543">
        <f>IF(AND(AP$4&lt;=$AH159,AP$4&gt;$V159),1,IF(AND(AP$4&lt;=$AI159,AP$4&gt;$AH159),2,IF(AND(AP$4&lt;=$AJ159,AP$4&gt;$AI159),3,IF(AND(AP$4&lt;=$AK159,AP$4&gt;$AJ159),4,IF(AND(AP$4&lt;=$AL159,AP$4&gt;$AK159),5,0)))))*'Detailed Assumptions'!$E$6</f>
        <v>0</v>
      </c>
      <c r="AQ502" s="543">
        <f>IF(AND(AQ$4&lt;=$AH159,AQ$4&gt;$V159),1,IF(AND(AQ$4&lt;=$AI159,AQ$4&gt;$AH159),2,IF(AND(AQ$4&lt;=$AJ159,AQ$4&gt;$AI159),3,IF(AND(AQ$4&lt;=$AK159,AQ$4&gt;$AJ159),4,IF(AND(AQ$4&lt;=$AL159,AQ$4&gt;$AK159),5,0)))))*'Detailed Assumptions'!$E$6</f>
        <v>0</v>
      </c>
      <c r="AR502" s="543">
        <f>IF(AND(AR$4&lt;=$AH159,AR$4&gt;$V159),1,IF(AND(AR$4&lt;=$AI159,AR$4&gt;$AH159),2,IF(AND(AR$4&lt;=$AJ159,AR$4&gt;$AI159),3,IF(AND(AR$4&lt;=$AK159,AR$4&gt;$AJ159),4,IF(AND(AR$4&lt;=$AL159,AR$4&gt;$AK159),5,0)))))*'Detailed Assumptions'!$E$6</f>
        <v>0</v>
      </c>
      <c r="AS502" s="543">
        <f>IF(AND(AS$4&lt;=$AH159,AS$4&gt;$V159),1,IF(AND(AS$4&lt;=$AI159,AS$4&gt;$AH159),2,IF(AND(AS$4&lt;=$AJ159,AS$4&gt;$AI159),3,IF(AND(AS$4&lt;=$AK159,AS$4&gt;$AJ159),4,IF(AND(AS$4&lt;=$AL159,AS$4&gt;$AK159),5,0)))))*'Detailed Assumptions'!$E$6</f>
        <v>0</v>
      </c>
      <c r="AT502" s="543">
        <f>IF(AND(AT$4&lt;=$AH159,AT$4&gt;$V159),1,IF(AND(AT$4&lt;=$AI159,AT$4&gt;$AH159),2,IF(AND(AT$4&lt;=$AJ159,AT$4&gt;$AI159),3,IF(AND(AT$4&lt;=$AK159,AT$4&gt;$AJ159),4,IF(AND(AT$4&lt;=$AL159,AT$4&gt;$AK159),5,0)))))*'Detailed Assumptions'!$E$6</f>
        <v>0</v>
      </c>
      <c r="AU502" s="543">
        <f>IF(AND(AU$4&lt;=$AH159,AU$4&gt;$V159),1,IF(AND(AU$4&lt;=$AI159,AU$4&gt;$AH159),2,IF(AND(AU$4&lt;=$AJ159,AU$4&gt;$AI159),3,IF(AND(AU$4&lt;=$AK159,AU$4&gt;$AJ159),4,IF(AND(AU$4&lt;=$AL159,AU$4&gt;$AK159),5,0)))))*'Detailed Assumptions'!$E$6</f>
        <v>0</v>
      </c>
      <c r="AV502" s="543">
        <f>IF(AND(AV$4&lt;=$AH159,AV$4&gt;$V159),1,IF(AND(AV$4&lt;=$AI159,AV$4&gt;$AH159),2,IF(AND(AV$4&lt;=$AJ159,AV$4&gt;$AI159),3,IF(AND(AV$4&lt;=$AK159,AV$4&gt;$AJ159),4,IF(AND(AV$4&lt;=$AL159,AV$4&gt;$AK159),5,0)))))*'Detailed Assumptions'!$E$6</f>
        <v>0</v>
      </c>
      <c r="AW502" s="543">
        <f>IF(AND(AW$4&lt;=$AH159,AW$4&gt;$V159),1,IF(AND(AW$4&lt;=$AI159,AW$4&gt;$AH159),2,IF(AND(AW$4&lt;=$AJ159,AW$4&gt;$AI159),3,IF(AND(AW$4&lt;=$AK159,AW$4&gt;$AJ159),4,IF(AND(AW$4&lt;=$AL159,AW$4&gt;$AK159),5,0)))))*'Detailed Assumptions'!$E$6</f>
        <v>0</v>
      </c>
      <c r="AX502" s="543">
        <f>IF(AND(AX$4&lt;=$AH159,AX$4&gt;$V159),1,IF(AND(AX$4&lt;=$AI159,AX$4&gt;$AH159),2,IF(AND(AX$4&lt;=$AJ159,AX$4&gt;$AI159),3,IF(AND(AX$4&lt;=$AK159,AX$4&gt;$AJ159),4,IF(AND(AX$4&lt;=$AL159,AX$4&gt;$AK159),5,0)))))*'Detailed Assumptions'!$E$6</f>
        <v>0</v>
      </c>
      <c r="AY502" s="543">
        <f>IF(AND(AY$4&lt;=$AH159,AY$4&gt;$V159),1,IF(AND(AY$4&lt;=$AI159,AY$4&gt;$AH159),2,IF(AND(AY$4&lt;=$AJ159,AY$4&gt;$AI159),3,IF(AND(AY$4&lt;=$AK159,AY$4&gt;$AJ159),4,IF(AND(AY$4&lt;=$AL159,AY$4&gt;$AK159),5,0)))))*'Detailed Assumptions'!$E$6</f>
        <v>0</v>
      </c>
      <c r="AZ502" s="543">
        <f>IF(AND(AZ$4&lt;=$AH159,AZ$4&gt;$V159),1,IF(AND(AZ$4&lt;=$AI159,AZ$4&gt;$AH159),2,IF(AND(AZ$4&lt;=$AJ159,AZ$4&gt;$AI159),3,IF(AND(AZ$4&lt;=$AK159,AZ$4&gt;$AJ159),4,IF(AND(AZ$4&lt;=$AL159,AZ$4&gt;$AK159),5,0)))))*'Detailed Assumptions'!$E$6</f>
        <v>0</v>
      </c>
      <c r="BA502" s="543">
        <f>IF(AND(BA$4&lt;=$AH159,BA$4&gt;$V159),1,IF(AND(BA$4&lt;=$AI159,BA$4&gt;$AH159),2,IF(AND(BA$4&lt;=$AJ159,BA$4&gt;$AI159),3,IF(AND(BA$4&lt;=$AK159,BA$4&gt;$AJ159),4,IF(AND(BA$4&lt;=$AL159,BA$4&gt;$AK159),5,0)))))*'Detailed Assumptions'!$E$6</f>
        <v>0</v>
      </c>
      <c r="BB502" s="543">
        <f>IF(AND(BB$4&lt;=$AH159,BB$4&gt;$V159),1,IF(AND(BB$4&lt;=$AI159,BB$4&gt;$AH159),2,IF(AND(BB$4&lt;=$AJ159,BB$4&gt;$AI159),3,IF(AND(BB$4&lt;=$AK159,BB$4&gt;$AJ159),4,IF(AND(BB$4&lt;=$AL159,BB$4&gt;$AK159),5,0)))))*'Detailed Assumptions'!$E$6</f>
        <v>0</v>
      </c>
      <c r="BC502" s="543">
        <f>IF(AND(BC$4&lt;=$AH159,BC$4&gt;$V159),1,IF(AND(BC$4&lt;=$AI159,BC$4&gt;$AH159),2,IF(AND(BC$4&lt;=$AJ159,BC$4&gt;$AI159),3,IF(AND(BC$4&lt;=$AK159,BC$4&gt;$AJ159),4,IF(AND(BC$4&lt;=$AL159,BC$4&gt;$AK159),5,0)))))*'Detailed Assumptions'!$E$6</f>
        <v>0</v>
      </c>
      <c r="BD502" s="543">
        <f>IF(AND(BD$4&lt;=$AH159,BD$4&gt;$V159),1,IF(AND(BD$4&lt;=$AI159,BD$4&gt;$AH159),2,IF(AND(BD$4&lt;=$AJ159,BD$4&gt;$AI159),3,IF(AND(BD$4&lt;=$AK159,BD$4&gt;$AJ159),4,IF(AND(BD$4&lt;=$AL159,BD$4&gt;$AK159),5,0)))))*'Detailed Assumptions'!$E$6</f>
        <v>0</v>
      </c>
      <c r="BE502" s="543">
        <f>IF(AND(BE$4&lt;=$AH159,BE$4&gt;$V159),1,IF(AND(BE$4&lt;=$AI159,BE$4&gt;$AH159),2,IF(AND(BE$4&lt;=$AJ159,BE$4&gt;$AI159),3,IF(AND(BE$4&lt;=$AK159,BE$4&gt;$AJ159),4,IF(AND(BE$4&lt;=$AL159,BE$4&gt;$AK159),5,0)))))*'Detailed Assumptions'!$E$6</f>
        <v>0</v>
      </c>
      <c r="BF502" s="543">
        <f>IF(AND(BF$4&lt;=$AH159,BF$4&gt;$V159),1,IF(AND(BF$4&lt;=$AI159,BF$4&gt;$AH159),2,IF(AND(BF$4&lt;=$AJ159,BF$4&gt;$AI159),3,IF(AND(BF$4&lt;=$AK159,BF$4&gt;$AJ159),4,IF(AND(BF$4&lt;=$AL159,BF$4&gt;$AK159),5,0)))))*'Detailed Assumptions'!$E$6</f>
        <v>0</v>
      </c>
      <c r="BG502" s="543">
        <f>IF(AND(BG$4&lt;=$AH159,BG$4&gt;$V159),1,IF(AND(BG$4&lt;=$AI159,BG$4&gt;$AH159),2,IF(AND(BG$4&lt;=$AJ159,BG$4&gt;$AI159),3,IF(AND(BG$4&lt;=$AK159,BG$4&gt;$AJ159),4,IF(AND(BG$4&lt;=$AL159,BG$4&gt;$AK159),5,0)))))*'Detailed Assumptions'!$E$6</f>
        <v>0</v>
      </c>
      <c r="BH502" s="543">
        <f>IF(AND(BH$4&lt;=$AH159,BH$4&gt;$V159),1,IF(AND(BH$4&lt;=$AI159,BH$4&gt;$AH159),2,IF(AND(BH$4&lt;=$AJ159,BH$4&gt;$AI159),3,IF(AND(BH$4&lt;=$AK159,BH$4&gt;$AJ159),4,IF(AND(BH$4&lt;=$AL159,BH$4&gt;$AK159),5,0)))))*'Detailed Assumptions'!$E$6</f>
        <v>0</v>
      </c>
      <c r="BI502" s="543">
        <f>IF(AND(BI$4&lt;=$AH159,BI$4&gt;$V159),1,IF(AND(BI$4&lt;=$AI159,BI$4&gt;$AH159),2,IF(AND(BI$4&lt;=$AJ159,BI$4&gt;$AI159),3,IF(AND(BI$4&lt;=$AK159,BI$4&gt;$AJ159),4,IF(AND(BI$4&lt;=$AL159,BI$4&gt;$AK159),5,0)))))*'Detailed Assumptions'!$E$6</f>
        <v>0</v>
      </c>
      <c r="BJ502" s="543">
        <f>IF(AND(BJ$4&lt;=$AH159,BJ$4&gt;$V159),1,IF(AND(BJ$4&lt;=$AI159,BJ$4&gt;$AH159),2,IF(AND(BJ$4&lt;=$AJ159,BJ$4&gt;$AI159),3,IF(AND(BJ$4&lt;=$AK159,BJ$4&gt;$AJ159),4,IF(AND(BJ$4&lt;=$AL159,BJ$4&gt;$AK159),5,0)))))*'Detailed Assumptions'!$E$6</f>
        <v>0</v>
      </c>
      <c r="BK502" s="543">
        <f>IF(AND(BK$4&lt;=$AH159,BK$4&gt;$V159),1,IF(AND(BK$4&lt;=$AI159,BK$4&gt;$AH159),2,IF(AND(BK$4&lt;=$AJ159,BK$4&gt;$AI159),3,IF(AND(BK$4&lt;=$AK159,BK$4&gt;$AJ159),4,IF(AND(BK$4&lt;=$AL159,BK$4&gt;$AK159),5,0)))))*'Detailed Assumptions'!$E$6</f>
        <v>0</v>
      </c>
      <c r="BL502" s="543">
        <f>IF(AND(BL$4&lt;=$AH159,BL$4&gt;$V159),1,IF(AND(BL$4&lt;=$AI159,BL$4&gt;$AH159),2,IF(AND(BL$4&lt;=$AJ159,BL$4&gt;$AI159),3,IF(AND(BL$4&lt;=$AK159,BL$4&gt;$AJ159),4,IF(AND(BL$4&lt;=$AL159,BL$4&gt;$AK159),5,0)))))*'Detailed Assumptions'!$E$6</f>
        <v>0</v>
      </c>
      <c r="BM502" s="543">
        <f>IF(AND(BM$4&lt;=$AH159,BM$4&gt;$V159),1,IF(AND(BM$4&lt;=$AI159,BM$4&gt;$AH159),2,IF(AND(BM$4&lt;=$AJ159,BM$4&gt;$AI159),3,IF(AND(BM$4&lt;=$AK159,BM$4&gt;$AJ159),4,IF(AND(BM$4&lt;=$AL159,BM$4&gt;$AK159),5,0)))))*'Detailed Assumptions'!$E$6</f>
        <v>0</v>
      </c>
      <c r="BN502" s="543">
        <f>IF(AND(BN$4&lt;=$AH159,BN$4&gt;$V159),1,IF(AND(BN$4&lt;=$AI159,BN$4&gt;$AH159),2,IF(AND(BN$4&lt;=$AJ159,BN$4&gt;$AI159),3,IF(AND(BN$4&lt;=$AK159,BN$4&gt;$AJ159),4,IF(AND(BN$4&lt;=$AL159,BN$4&gt;$AK159),5,0)))))*'Detailed Assumptions'!$E$6</f>
        <v>0</v>
      </c>
      <c r="BO502" s="543">
        <f>IF(AND(BO$4&lt;=$AH159,BO$4&gt;$V159),1,IF(AND(BO$4&lt;=$AI159,BO$4&gt;$AH159),2,IF(AND(BO$4&lt;=$AJ159,BO$4&gt;$AI159),3,IF(AND(BO$4&lt;=$AK159,BO$4&gt;$AJ159),4,IF(AND(BO$4&lt;=$AL159,BO$4&gt;$AK159),5,0)))))*'Detailed Assumptions'!$E$6</f>
        <v>0</v>
      </c>
      <c r="BP502" s="543">
        <f>IF(AND(BP$4&lt;=$AH159,BP$4&gt;$V159),1,IF(AND(BP$4&lt;=$AI159,BP$4&gt;$AH159),2,IF(AND(BP$4&lt;=$AJ159,BP$4&gt;$AI159),3,IF(AND(BP$4&lt;=$AK159,BP$4&gt;$AJ159),4,IF(AND(BP$4&lt;=$AL159,BP$4&gt;$AK159),5,0)))))*'Detailed Assumptions'!$E$6</f>
        <v>0</v>
      </c>
      <c r="BQ502" s="543">
        <f>IF(AND(BQ$4&lt;=$AH159,BQ$4&gt;$V159),1,IF(AND(BQ$4&lt;=$AI159,BQ$4&gt;$AH159),2,IF(AND(BQ$4&lt;=$AJ159,BQ$4&gt;$AI159),3,IF(AND(BQ$4&lt;=$AK159,BQ$4&gt;$AJ159),4,IF(AND(BQ$4&lt;=$AL159,BQ$4&gt;$AK159),5,0)))))*'Detailed Assumptions'!$E$6</f>
        <v>0</v>
      </c>
      <c r="BR502" s="543">
        <f>IF(AND(BR$4&lt;=$AH159,BR$4&gt;$V159),1,IF(AND(BR$4&lt;=$AI159,BR$4&gt;$AH159),2,IF(AND(BR$4&lt;=$AJ159,BR$4&gt;$AI159),3,IF(AND(BR$4&lt;=$AK159,BR$4&gt;$AJ159),4,IF(AND(BR$4&lt;=$AL159,BR$4&gt;$AK159),5,0)))))*'Detailed Assumptions'!$E$6</f>
        <v>0</v>
      </c>
      <c r="BS502" s="543">
        <f>IF(AND(BS$4&lt;=$AH159,BS$4&gt;$V159),1,IF(AND(BS$4&lt;=$AI159,BS$4&gt;$AH159),2,IF(AND(BS$4&lt;=$AJ159,BS$4&gt;$AI159),3,IF(AND(BS$4&lt;=$AK159,BS$4&gt;$AJ159),4,IF(AND(BS$4&lt;=$AL159,BS$4&gt;$AK159),5,0)))))*'Detailed Assumptions'!$E$6</f>
        <v>0</v>
      </c>
      <c r="BT502" s="543">
        <f>IF(AND(BT$4&lt;=$AH159,BT$4&gt;$V159),1,IF(AND(BT$4&lt;=$AI159,BT$4&gt;$AH159),2,IF(AND(BT$4&lt;=$AJ159,BT$4&gt;$AI159),3,IF(AND(BT$4&lt;=$AK159,BT$4&gt;$AJ159),4,IF(AND(BT$4&lt;=$AL159,BT$4&gt;$AK159),5,0)))))*'Detailed Assumptions'!$E$6</f>
        <v>1</v>
      </c>
      <c r="BU502" s="543">
        <f>IF(AND(BU$4&lt;=$AH159,BU$4&gt;$V159),1,IF(AND(BU$4&lt;=$AI159,BU$4&gt;$AH159),2,IF(AND(BU$4&lt;=$AJ159,BU$4&gt;$AI159),3,IF(AND(BU$4&lt;=$AK159,BU$4&gt;$AJ159),4,IF(AND(BU$4&lt;=$AL159,BU$4&gt;$AK159),5,0)))))*'Detailed Assumptions'!$E$6</f>
        <v>1</v>
      </c>
      <c r="BV502" s="543">
        <f>IF(AND(BV$4&lt;=$AH159,BV$4&gt;$V159),1,IF(AND(BV$4&lt;=$AI159,BV$4&gt;$AH159),2,IF(AND(BV$4&lt;=$AJ159,BV$4&gt;$AI159),3,IF(AND(BV$4&lt;=$AK159,BV$4&gt;$AJ159),4,IF(AND(BV$4&lt;=$AL159,BV$4&gt;$AK159),5,0)))))*'Detailed Assumptions'!$E$6</f>
        <v>1</v>
      </c>
      <c r="BW502" s="543">
        <f>IF(AND(BW$4&lt;=$AH159,BW$4&gt;$V159),1,IF(AND(BW$4&lt;=$AI159,BW$4&gt;$AH159),2,IF(AND(BW$4&lt;=$AJ159,BW$4&gt;$AI159),3,IF(AND(BW$4&lt;=$AK159,BW$4&gt;$AJ159),4,IF(AND(BW$4&lt;=$AL159,BW$4&gt;$AK159),5,0)))))*'Detailed Assumptions'!$E$6</f>
        <v>1</v>
      </c>
      <c r="BX502" s="543">
        <f>IF(AND(BX$4&lt;=$AH159,BX$4&gt;$V159),1,IF(AND(BX$4&lt;=$AI159,BX$4&gt;$AH159),2,IF(AND(BX$4&lt;=$AJ159,BX$4&gt;$AI159),3,IF(AND(BX$4&lt;=$AK159,BX$4&gt;$AJ159),4,IF(AND(BX$4&lt;=$AL159,BX$4&gt;$AK159),5,0)))))*'Detailed Assumptions'!$E$6</f>
        <v>1</v>
      </c>
      <c r="BY502" s="543">
        <f>IF(AND(BY$4&lt;=$AH159,BY$4&gt;$V159),1,IF(AND(BY$4&lt;=$AI159,BY$4&gt;$AH159),2,IF(AND(BY$4&lt;=$AJ159,BY$4&gt;$AI159),3,IF(AND(BY$4&lt;=$AK159,BY$4&gt;$AJ159),4,IF(AND(BY$4&lt;=$AL159,BY$4&gt;$AK159),5,0)))))*'Detailed Assumptions'!$E$6</f>
        <v>1</v>
      </c>
      <c r="BZ502" s="537"/>
      <c r="CA502" s="537"/>
      <c r="CB502" s="537"/>
    </row>
    <row r="503" spans="1:80" x14ac:dyDescent="0.3">
      <c r="A503" s="551"/>
      <c r="B503" s="548"/>
      <c r="C503" s="548"/>
      <c r="D503" s="525"/>
      <c r="E503" s="655" t="str">
        <f>"EBITDA growth post capex: "&amp;E$160</f>
        <v>EBITDA growth post capex: Uninvested Tranche</v>
      </c>
      <c r="F503" s="574"/>
      <c r="G503" s="574"/>
      <c r="H503" s="574"/>
      <c r="I503" s="574"/>
      <c r="J503" s="574"/>
      <c r="K503" s="574"/>
      <c r="L503" s="574"/>
      <c r="M503" s="574"/>
      <c r="N503" s="574"/>
      <c r="O503" s="574"/>
      <c r="P503" s="653"/>
      <c r="Q503" s="574"/>
      <c r="R503" s="543">
        <f>IF(AND(R$4&lt;=$AH160,R$4&gt;$V160),1,IF(AND(R$4&lt;=$AI160,R$4&gt;$AH160),2,IF(AND(R$4&lt;=$AJ160,R$4&gt;$AI160),3,IF(AND(R$4&lt;=$AK160,R$4&gt;$AJ160),4,IF(AND(R$4&lt;=$AL160,R$4&gt;$AK160),5,0)))))*'Detailed Assumptions'!$E$6</f>
        <v>0</v>
      </c>
      <c r="S503" s="543">
        <f>IF(AND(S$4&lt;=$AH160,S$4&gt;$V160),1,IF(AND(S$4&lt;=$AI160,S$4&gt;$AH160),2,IF(AND(S$4&lt;=$AJ160,S$4&gt;$AI160),3,IF(AND(S$4&lt;=$AK160,S$4&gt;$AJ160),4,IF(AND(S$4&lt;=$AL160,S$4&gt;$AK160),5,0)))))*'Detailed Assumptions'!$E$6</f>
        <v>0</v>
      </c>
      <c r="T503" s="543">
        <f>IF(AND(T$4&lt;=$AH160,T$4&gt;$V160),1,IF(AND(T$4&lt;=$AI160,T$4&gt;$AH160),2,IF(AND(T$4&lt;=$AJ160,T$4&gt;$AI160),3,IF(AND(T$4&lt;=$AK160,T$4&gt;$AJ160),4,IF(AND(T$4&lt;=$AL160,T$4&gt;$AK160),5,0)))))*'Detailed Assumptions'!$E$6</f>
        <v>0</v>
      </c>
      <c r="U503" s="543">
        <f>IF(AND(U$4&lt;=$AH160,U$4&gt;$V160),1,IF(AND(U$4&lt;=$AI160,U$4&gt;$AH160),2,IF(AND(U$4&lt;=$AJ160,U$4&gt;$AI160),3,IF(AND(U$4&lt;=$AK160,U$4&gt;$AJ160),4,IF(AND(U$4&lt;=$AL160,U$4&gt;$AK160),5,0)))))*'Detailed Assumptions'!$E$6</f>
        <v>0</v>
      </c>
      <c r="V503" s="543">
        <f>IF(AND(V$4&lt;=$AH160,V$4&gt;$V160),1,IF(AND(V$4&lt;=$AI160,V$4&gt;$AH160),2,IF(AND(V$4&lt;=$AJ160,V$4&gt;$AI160),3,IF(AND(V$4&lt;=$AK160,V$4&gt;$AJ160),4,IF(AND(V$4&lt;=$AL160,V$4&gt;$AK160),5,0)))))*'Detailed Assumptions'!$E$6</f>
        <v>0</v>
      </c>
      <c r="W503" s="543">
        <f>IF(AND(W$4&lt;=$AH160,W$4&gt;$V160),1,IF(AND(W$4&lt;=$AI160,W$4&gt;$AH160),2,IF(AND(W$4&lt;=$AJ160,W$4&gt;$AI160),3,IF(AND(W$4&lt;=$AK160,W$4&gt;$AJ160),4,IF(AND(W$4&lt;=$AL160,W$4&gt;$AK160),5,0)))))*'Detailed Assumptions'!$E$6</f>
        <v>0</v>
      </c>
      <c r="X503" s="543">
        <f>IF(AND(X$4&lt;=$AH160,X$4&gt;$V160),1,IF(AND(X$4&lt;=$AI160,X$4&gt;$AH160),2,IF(AND(X$4&lt;=$AJ160,X$4&gt;$AI160),3,IF(AND(X$4&lt;=$AK160,X$4&gt;$AJ160),4,IF(AND(X$4&lt;=$AL160,X$4&gt;$AK160),5,0)))))*'Detailed Assumptions'!$E$6</f>
        <v>0</v>
      </c>
      <c r="Y503" s="543">
        <f>IF(AND(Y$4&lt;=$AH160,Y$4&gt;$V160),1,IF(AND(Y$4&lt;=$AI160,Y$4&gt;$AH160),2,IF(AND(Y$4&lt;=$AJ160,Y$4&gt;$AI160),3,IF(AND(Y$4&lt;=$AK160,Y$4&gt;$AJ160),4,IF(AND(Y$4&lt;=$AL160,Y$4&gt;$AK160),5,0)))))*'Detailed Assumptions'!$E$6</f>
        <v>0</v>
      </c>
      <c r="Z503" s="543">
        <f>IF(AND(Z$4&lt;=$AH160,Z$4&gt;$V160),1,IF(AND(Z$4&lt;=$AI160,Z$4&gt;$AH160),2,IF(AND(Z$4&lt;=$AJ160,Z$4&gt;$AI160),3,IF(AND(Z$4&lt;=$AK160,Z$4&gt;$AJ160),4,IF(AND(Z$4&lt;=$AL160,Z$4&gt;$AK160),5,0)))))*'Detailed Assumptions'!$E$6</f>
        <v>0</v>
      </c>
      <c r="AA503" s="543">
        <f>IF(AND(AA$4&lt;=$AH160,AA$4&gt;$V160),1,IF(AND(AA$4&lt;=$AI160,AA$4&gt;$AH160),2,IF(AND(AA$4&lt;=$AJ160,AA$4&gt;$AI160),3,IF(AND(AA$4&lt;=$AK160,AA$4&gt;$AJ160),4,IF(AND(AA$4&lt;=$AL160,AA$4&gt;$AK160),5,0)))))*'Detailed Assumptions'!$E$6</f>
        <v>0</v>
      </c>
      <c r="AB503" s="543">
        <f>IF(AND(AB$4&lt;=$AH160,AB$4&gt;$V160),1,IF(AND(AB$4&lt;=$AI160,AB$4&gt;$AH160),2,IF(AND(AB$4&lt;=$AJ160,AB$4&gt;$AI160),3,IF(AND(AB$4&lt;=$AK160,AB$4&gt;$AJ160),4,IF(AND(AB$4&lt;=$AL160,AB$4&gt;$AK160),5,0)))))*'Detailed Assumptions'!$E$6</f>
        <v>0</v>
      </c>
      <c r="AC503" s="543">
        <f>IF(AND(AC$4&lt;=$AH160,AC$4&gt;$V160),1,IF(AND(AC$4&lt;=$AI160,AC$4&gt;$AH160),2,IF(AND(AC$4&lt;=$AJ160,AC$4&gt;$AI160),3,IF(AND(AC$4&lt;=$AK160,AC$4&gt;$AJ160),4,IF(AND(AC$4&lt;=$AL160,AC$4&gt;$AK160),5,0)))))*'Detailed Assumptions'!$E$6</f>
        <v>0</v>
      </c>
      <c r="AD503" s="543">
        <f>IF(AND(AD$4&lt;=$AH160,AD$4&gt;$V160),1,IF(AND(AD$4&lt;=$AI160,AD$4&gt;$AH160),2,IF(AND(AD$4&lt;=$AJ160,AD$4&gt;$AI160),3,IF(AND(AD$4&lt;=$AK160,AD$4&gt;$AJ160),4,IF(AND(AD$4&lt;=$AL160,AD$4&gt;$AK160),5,0)))))*'Detailed Assumptions'!$E$6</f>
        <v>0</v>
      </c>
      <c r="AE503" s="543">
        <f>IF(AND(AE$4&lt;=$AH160,AE$4&gt;$V160),1,IF(AND(AE$4&lt;=$AI160,AE$4&gt;$AH160),2,IF(AND(AE$4&lt;=$AJ160,AE$4&gt;$AI160),3,IF(AND(AE$4&lt;=$AK160,AE$4&gt;$AJ160),4,IF(AND(AE$4&lt;=$AL160,AE$4&gt;$AK160),5,0)))))*'Detailed Assumptions'!$E$6</f>
        <v>0</v>
      </c>
      <c r="AF503" s="543">
        <f>IF(AND(AF$4&lt;=$AH160,AF$4&gt;$V160),1,IF(AND(AF$4&lt;=$AI160,AF$4&gt;$AH160),2,IF(AND(AF$4&lt;=$AJ160,AF$4&gt;$AI160),3,IF(AND(AF$4&lt;=$AK160,AF$4&gt;$AJ160),4,IF(AND(AF$4&lt;=$AL160,AF$4&gt;$AK160),5,0)))))*'Detailed Assumptions'!$E$6</f>
        <v>0</v>
      </c>
      <c r="AG503" s="543">
        <f>IF(AND(AG$4&lt;=$AH160,AG$4&gt;$V160),1,IF(AND(AG$4&lt;=$AI160,AG$4&gt;$AH160),2,IF(AND(AG$4&lt;=$AJ160,AG$4&gt;$AI160),3,IF(AND(AG$4&lt;=$AK160,AG$4&gt;$AJ160),4,IF(AND(AG$4&lt;=$AL160,AG$4&gt;$AK160),5,0)))))*'Detailed Assumptions'!$E$6</f>
        <v>0</v>
      </c>
      <c r="AH503" s="543">
        <f>IF(AND(AH$4&lt;=$AH160,AH$4&gt;$V160),1,IF(AND(AH$4&lt;=$AI160,AH$4&gt;$AH160),2,IF(AND(AH$4&lt;=$AJ160,AH$4&gt;$AI160),3,IF(AND(AH$4&lt;=$AK160,AH$4&gt;$AJ160),4,IF(AND(AH$4&lt;=$AL160,AH$4&gt;$AK160),5,0)))))*'Detailed Assumptions'!$E$6</f>
        <v>0</v>
      </c>
      <c r="AI503" s="543">
        <f>IF(AND(AI$4&lt;=$AH160,AI$4&gt;$V160),1,IF(AND(AI$4&lt;=$AI160,AI$4&gt;$AH160),2,IF(AND(AI$4&lt;=$AJ160,AI$4&gt;$AI160),3,IF(AND(AI$4&lt;=$AK160,AI$4&gt;$AJ160),4,IF(AND(AI$4&lt;=$AL160,AI$4&gt;$AK160),5,0)))))*'Detailed Assumptions'!$E$6</f>
        <v>0</v>
      </c>
      <c r="AJ503" s="543">
        <f>IF(AND(AJ$4&lt;=$AH160,AJ$4&gt;$V160),1,IF(AND(AJ$4&lt;=$AI160,AJ$4&gt;$AH160),2,IF(AND(AJ$4&lt;=$AJ160,AJ$4&gt;$AI160),3,IF(AND(AJ$4&lt;=$AK160,AJ$4&gt;$AJ160),4,IF(AND(AJ$4&lt;=$AL160,AJ$4&gt;$AK160),5,0)))))*'Detailed Assumptions'!$E$6</f>
        <v>0</v>
      </c>
      <c r="AK503" s="543">
        <f>IF(AND(AK$4&lt;=$AH160,AK$4&gt;$V160),1,IF(AND(AK$4&lt;=$AI160,AK$4&gt;$AH160),2,IF(AND(AK$4&lt;=$AJ160,AK$4&gt;$AI160),3,IF(AND(AK$4&lt;=$AK160,AK$4&gt;$AJ160),4,IF(AND(AK$4&lt;=$AL160,AK$4&gt;$AK160),5,0)))))*'Detailed Assumptions'!$E$6</f>
        <v>0</v>
      </c>
      <c r="AL503" s="543">
        <f>IF(AND(AL$4&lt;=$AH160,AL$4&gt;$V160),1,IF(AND(AL$4&lt;=$AI160,AL$4&gt;$AH160),2,IF(AND(AL$4&lt;=$AJ160,AL$4&gt;$AI160),3,IF(AND(AL$4&lt;=$AK160,AL$4&gt;$AJ160),4,IF(AND(AL$4&lt;=$AL160,AL$4&gt;$AK160),5,0)))))*'Detailed Assumptions'!$E$6</f>
        <v>0</v>
      </c>
      <c r="AM503" s="543">
        <f>IF(AND(AM$4&lt;=$AH160,AM$4&gt;$V160),1,IF(AND(AM$4&lt;=$AI160,AM$4&gt;$AH160),2,IF(AND(AM$4&lt;=$AJ160,AM$4&gt;$AI160),3,IF(AND(AM$4&lt;=$AK160,AM$4&gt;$AJ160),4,IF(AND(AM$4&lt;=$AL160,AM$4&gt;$AK160),5,0)))))*'Detailed Assumptions'!$E$6</f>
        <v>0</v>
      </c>
      <c r="AN503" s="543">
        <f>IF(AND(AN$4&lt;=$AH160,AN$4&gt;$V160),1,IF(AND(AN$4&lt;=$AI160,AN$4&gt;$AH160),2,IF(AND(AN$4&lt;=$AJ160,AN$4&gt;$AI160),3,IF(AND(AN$4&lt;=$AK160,AN$4&gt;$AJ160),4,IF(AND(AN$4&lt;=$AL160,AN$4&gt;$AK160),5,0)))))*'Detailed Assumptions'!$E$6</f>
        <v>0</v>
      </c>
      <c r="AO503" s="543">
        <f>IF(AND(AO$4&lt;=$AH160,AO$4&gt;$V160),1,IF(AND(AO$4&lt;=$AI160,AO$4&gt;$AH160),2,IF(AND(AO$4&lt;=$AJ160,AO$4&gt;$AI160),3,IF(AND(AO$4&lt;=$AK160,AO$4&gt;$AJ160),4,IF(AND(AO$4&lt;=$AL160,AO$4&gt;$AK160),5,0)))))*'Detailed Assumptions'!$E$6</f>
        <v>0</v>
      </c>
      <c r="AP503" s="543">
        <f>IF(AND(AP$4&lt;=$AH160,AP$4&gt;$V160),1,IF(AND(AP$4&lt;=$AI160,AP$4&gt;$AH160),2,IF(AND(AP$4&lt;=$AJ160,AP$4&gt;$AI160),3,IF(AND(AP$4&lt;=$AK160,AP$4&gt;$AJ160),4,IF(AND(AP$4&lt;=$AL160,AP$4&gt;$AK160),5,0)))))*'Detailed Assumptions'!$E$6</f>
        <v>0</v>
      </c>
      <c r="AQ503" s="543">
        <f>IF(AND(AQ$4&lt;=$AH160,AQ$4&gt;$V160),1,IF(AND(AQ$4&lt;=$AI160,AQ$4&gt;$AH160),2,IF(AND(AQ$4&lt;=$AJ160,AQ$4&gt;$AI160),3,IF(AND(AQ$4&lt;=$AK160,AQ$4&gt;$AJ160),4,IF(AND(AQ$4&lt;=$AL160,AQ$4&gt;$AK160),5,0)))))*'Detailed Assumptions'!$E$6</f>
        <v>0</v>
      </c>
      <c r="AR503" s="543">
        <f>IF(AND(AR$4&lt;=$AH160,AR$4&gt;$V160),1,IF(AND(AR$4&lt;=$AI160,AR$4&gt;$AH160),2,IF(AND(AR$4&lt;=$AJ160,AR$4&gt;$AI160),3,IF(AND(AR$4&lt;=$AK160,AR$4&gt;$AJ160),4,IF(AND(AR$4&lt;=$AL160,AR$4&gt;$AK160),5,0)))))*'Detailed Assumptions'!$E$6</f>
        <v>0</v>
      </c>
      <c r="AS503" s="543">
        <f>IF(AND(AS$4&lt;=$AH160,AS$4&gt;$V160),1,IF(AND(AS$4&lt;=$AI160,AS$4&gt;$AH160),2,IF(AND(AS$4&lt;=$AJ160,AS$4&gt;$AI160),3,IF(AND(AS$4&lt;=$AK160,AS$4&gt;$AJ160),4,IF(AND(AS$4&lt;=$AL160,AS$4&gt;$AK160),5,0)))))*'Detailed Assumptions'!$E$6</f>
        <v>0</v>
      </c>
      <c r="AT503" s="543">
        <f>IF(AND(AT$4&lt;=$AH160,AT$4&gt;$V160),1,IF(AND(AT$4&lt;=$AI160,AT$4&gt;$AH160),2,IF(AND(AT$4&lt;=$AJ160,AT$4&gt;$AI160),3,IF(AND(AT$4&lt;=$AK160,AT$4&gt;$AJ160),4,IF(AND(AT$4&lt;=$AL160,AT$4&gt;$AK160),5,0)))))*'Detailed Assumptions'!$E$6</f>
        <v>0</v>
      </c>
      <c r="AU503" s="543">
        <f>IF(AND(AU$4&lt;=$AH160,AU$4&gt;$V160),1,IF(AND(AU$4&lt;=$AI160,AU$4&gt;$AH160),2,IF(AND(AU$4&lt;=$AJ160,AU$4&gt;$AI160),3,IF(AND(AU$4&lt;=$AK160,AU$4&gt;$AJ160),4,IF(AND(AU$4&lt;=$AL160,AU$4&gt;$AK160),5,0)))))*'Detailed Assumptions'!$E$6</f>
        <v>0</v>
      </c>
      <c r="AV503" s="543">
        <f>IF(AND(AV$4&lt;=$AH160,AV$4&gt;$V160),1,IF(AND(AV$4&lt;=$AI160,AV$4&gt;$AH160),2,IF(AND(AV$4&lt;=$AJ160,AV$4&gt;$AI160),3,IF(AND(AV$4&lt;=$AK160,AV$4&gt;$AJ160),4,IF(AND(AV$4&lt;=$AL160,AV$4&gt;$AK160),5,0)))))*'Detailed Assumptions'!$E$6</f>
        <v>0</v>
      </c>
      <c r="AW503" s="543">
        <f>IF(AND(AW$4&lt;=$AH160,AW$4&gt;$V160),1,IF(AND(AW$4&lt;=$AI160,AW$4&gt;$AH160),2,IF(AND(AW$4&lt;=$AJ160,AW$4&gt;$AI160),3,IF(AND(AW$4&lt;=$AK160,AW$4&gt;$AJ160),4,IF(AND(AW$4&lt;=$AL160,AW$4&gt;$AK160),5,0)))))*'Detailed Assumptions'!$E$6</f>
        <v>0</v>
      </c>
      <c r="AX503" s="543">
        <f>IF(AND(AX$4&lt;=$AH160,AX$4&gt;$V160),1,IF(AND(AX$4&lt;=$AI160,AX$4&gt;$AH160),2,IF(AND(AX$4&lt;=$AJ160,AX$4&gt;$AI160),3,IF(AND(AX$4&lt;=$AK160,AX$4&gt;$AJ160),4,IF(AND(AX$4&lt;=$AL160,AX$4&gt;$AK160),5,0)))))*'Detailed Assumptions'!$E$6</f>
        <v>0</v>
      </c>
      <c r="AY503" s="543">
        <f>IF(AND(AY$4&lt;=$AH160,AY$4&gt;$V160),1,IF(AND(AY$4&lt;=$AI160,AY$4&gt;$AH160),2,IF(AND(AY$4&lt;=$AJ160,AY$4&gt;$AI160),3,IF(AND(AY$4&lt;=$AK160,AY$4&gt;$AJ160),4,IF(AND(AY$4&lt;=$AL160,AY$4&gt;$AK160),5,0)))))*'Detailed Assumptions'!$E$6</f>
        <v>0</v>
      </c>
      <c r="AZ503" s="543">
        <f>IF(AND(AZ$4&lt;=$AH160,AZ$4&gt;$V160),1,IF(AND(AZ$4&lt;=$AI160,AZ$4&gt;$AH160),2,IF(AND(AZ$4&lt;=$AJ160,AZ$4&gt;$AI160),3,IF(AND(AZ$4&lt;=$AK160,AZ$4&gt;$AJ160),4,IF(AND(AZ$4&lt;=$AL160,AZ$4&gt;$AK160),5,0)))))*'Detailed Assumptions'!$E$6</f>
        <v>0</v>
      </c>
      <c r="BA503" s="543">
        <f>IF(AND(BA$4&lt;=$AH160,BA$4&gt;$V160),1,IF(AND(BA$4&lt;=$AI160,BA$4&gt;$AH160),2,IF(AND(BA$4&lt;=$AJ160,BA$4&gt;$AI160),3,IF(AND(BA$4&lt;=$AK160,BA$4&gt;$AJ160),4,IF(AND(BA$4&lt;=$AL160,BA$4&gt;$AK160),5,0)))))*'Detailed Assumptions'!$E$6</f>
        <v>0</v>
      </c>
      <c r="BB503" s="543">
        <f>IF(AND(BB$4&lt;=$AH160,BB$4&gt;$V160),1,IF(AND(BB$4&lt;=$AI160,BB$4&gt;$AH160),2,IF(AND(BB$4&lt;=$AJ160,BB$4&gt;$AI160),3,IF(AND(BB$4&lt;=$AK160,BB$4&gt;$AJ160),4,IF(AND(BB$4&lt;=$AL160,BB$4&gt;$AK160),5,0)))))*'Detailed Assumptions'!$E$6</f>
        <v>0</v>
      </c>
      <c r="BC503" s="543">
        <f>IF(AND(BC$4&lt;=$AH160,BC$4&gt;$V160),1,IF(AND(BC$4&lt;=$AI160,BC$4&gt;$AH160),2,IF(AND(BC$4&lt;=$AJ160,BC$4&gt;$AI160),3,IF(AND(BC$4&lt;=$AK160,BC$4&gt;$AJ160),4,IF(AND(BC$4&lt;=$AL160,BC$4&gt;$AK160),5,0)))))*'Detailed Assumptions'!$E$6</f>
        <v>0</v>
      </c>
      <c r="BD503" s="543">
        <f>IF(AND(BD$4&lt;=$AH160,BD$4&gt;$V160),1,IF(AND(BD$4&lt;=$AI160,BD$4&gt;$AH160),2,IF(AND(BD$4&lt;=$AJ160,BD$4&gt;$AI160),3,IF(AND(BD$4&lt;=$AK160,BD$4&gt;$AJ160),4,IF(AND(BD$4&lt;=$AL160,BD$4&gt;$AK160),5,0)))))*'Detailed Assumptions'!$E$6</f>
        <v>0</v>
      </c>
      <c r="BE503" s="543">
        <f>IF(AND(BE$4&lt;=$AH160,BE$4&gt;$V160),1,IF(AND(BE$4&lt;=$AI160,BE$4&gt;$AH160),2,IF(AND(BE$4&lt;=$AJ160,BE$4&gt;$AI160),3,IF(AND(BE$4&lt;=$AK160,BE$4&gt;$AJ160),4,IF(AND(BE$4&lt;=$AL160,BE$4&gt;$AK160),5,0)))))*'Detailed Assumptions'!$E$6</f>
        <v>0</v>
      </c>
      <c r="BF503" s="543">
        <f>IF(AND(BF$4&lt;=$AH160,BF$4&gt;$V160),1,IF(AND(BF$4&lt;=$AI160,BF$4&gt;$AH160),2,IF(AND(BF$4&lt;=$AJ160,BF$4&gt;$AI160),3,IF(AND(BF$4&lt;=$AK160,BF$4&gt;$AJ160),4,IF(AND(BF$4&lt;=$AL160,BF$4&gt;$AK160),5,0)))))*'Detailed Assumptions'!$E$6</f>
        <v>0</v>
      </c>
      <c r="BG503" s="543">
        <f>IF(AND(BG$4&lt;=$AH160,BG$4&gt;$V160),1,IF(AND(BG$4&lt;=$AI160,BG$4&gt;$AH160),2,IF(AND(BG$4&lt;=$AJ160,BG$4&gt;$AI160),3,IF(AND(BG$4&lt;=$AK160,BG$4&gt;$AJ160),4,IF(AND(BG$4&lt;=$AL160,BG$4&gt;$AK160),5,0)))))*'Detailed Assumptions'!$E$6</f>
        <v>0</v>
      </c>
      <c r="BH503" s="543">
        <f>IF(AND(BH$4&lt;=$AH160,BH$4&gt;$V160),1,IF(AND(BH$4&lt;=$AI160,BH$4&gt;$AH160),2,IF(AND(BH$4&lt;=$AJ160,BH$4&gt;$AI160),3,IF(AND(BH$4&lt;=$AK160,BH$4&gt;$AJ160),4,IF(AND(BH$4&lt;=$AL160,BH$4&gt;$AK160),5,0)))))*'Detailed Assumptions'!$E$6</f>
        <v>0</v>
      </c>
      <c r="BI503" s="543">
        <f>IF(AND(BI$4&lt;=$AH160,BI$4&gt;$V160),1,IF(AND(BI$4&lt;=$AI160,BI$4&gt;$AH160),2,IF(AND(BI$4&lt;=$AJ160,BI$4&gt;$AI160),3,IF(AND(BI$4&lt;=$AK160,BI$4&gt;$AJ160),4,IF(AND(BI$4&lt;=$AL160,BI$4&gt;$AK160),5,0)))))*'Detailed Assumptions'!$E$6</f>
        <v>0</v>
      </c>
      <c r="BJ503" s="543">
        <f>IF(AND(BJ$4&lt;=$AH160,BJ$4&gt;$V160),1,IF(AND(BJ$4&lt;=$AI160,BJ$4&gt;$AH160),2,IF(AND(BJ$4&lt;=$AJ160,BJ$4&gt;$AI160),3,IF(AND(BJ$4&lt;=$AK160,BJ$4&gt;$AJ160),4,IF(AND(BJ$4&lt;=$AL160,BJ$4&gt;$AK160),5,0)))))*'Detailed Assumptions'!$E$6</f>
        <v>0</v>
      </c>
      <c r="BK503" s="543">
        <f>IF(AND(BK$4&lt;=$AH160,BK$4&gt;$V160),1,IF(AND(BK$4&lt;=$AI160,BK$4&gt;$AH160),2,IF(AND(BK$4&lt;=$AJ160,BK$4&gt;$AI160),3,IF(AND(BK$4&lt;=$AK160,BK$4&gt;$AJ160),4,IF(AND(BK$4&lt;=$AL160,BK$4&gt;$AK160),5,0)))))*'Detailed Assumptions'!$E$6</f>
        <v>0</v>
      </c>
      <c r="BL503" s="543">
        <f>IF(AND(BL$4&lt;=$AH160,BL$4&gt;$V160),1,IF(AND(BL$4&lt;=$AI160,BL$4&gt;$AH160),2,IF(AND(BL$4&lt;=$AJ160,BL$4&gt;$AI160),3,IF(AND(BL$4&lt;=$AK160,BL$4&gt;$AJ160),4,IF(AND(BL$4&lt;=$AL160,BL$4&gt;$AK160),5,0)))))*'Detailed Assumptions'!$E$6</f>
        <v>0</v>
      </c>
      <c r="BM503" s="543">
        <f>IF(AND(BM$4&lt;=$AH160,BM$4&gt;$V160),1,IF(AND(BM$4&lt;=$AI160,BM$4&gt;$AH160),2,IF(AND(BM$4&lt;=$AJ160,BM$4&gt;$AI160),3,IF(AND(BM$4&lt;=$AK160,BM$4&gt;$AJ160),4,IF(AND(BM$4&lt;=$AL160,BM$4&gt;$AK160),5,0)))))*'Detailed Assumptions'!$E$6</f>
        <v>0</v>
      </c>
      <c r="BN503" s="543">
        <f>IF(AND(BN$4&lt;=$AH160,BN$4&gt;$V160),1,IF(AND(BN$4&lt;=$AI160,BN$4&gt;$AH160),2,IF(AND(BN$4&lt;=$AJ160,BN$4&gt;$AI160),3,IF(AND(BN$4&lt;=$AK160,BN$4&gt;$AJ160),4,IF(AND(BN$4&lt;=$AL160,BN$4&gt;$AK160),5,0)))))*'Detailed Assumptions'!$E$6</f>
        <v>0</v>
      </c>
      <c r="BO503" s="543">
        <f>IF(AND(BO$4&lt;=$AH160,BO$4&gt;$V160),1,IF(AND(BO$4&lt;=$AI160,BO$4&gt;$AH160),2,IF(AND(BO$4&lt;=$AJ160,BO$4&gt;$AI160),3,IF(AND(BO$4&lt;=$AK160,BO$4&gt;$AJ160),4,IF(AND(BO$4&lt;=$AL160,BO$4&gt;$AK160),5,0)))))*'Detailed Assumptions'!$E$6</f>
        <v>0</v>
      </c>
      <c r="BP503" s="543">
        <f>IF(AND(BP$4&lt;=$AH160,BP$4&gt;$V160),1,IF(AND(BP$4&lt;=$AI160,BP$4&gt;$AH160),2,IF(AND(BP$4&lt;=$AJ160,BP$4&gt;$AI160),3,IF(AND(BP$4&lt;=$AK160,BP$4&gt;$AJ160),4,IF(AND(BP$4&lt;=$AL160,BP$4&gt;$AK160),5,0)))))*'Detailed Assumptions'!$E$6</f>
        <v>0</v>
      </c>
      <c r="BQ503" s="543">
        <f>IF(AND(BQ$4&lt;=$AH160,BQ$4&gt;$V160),1,IF(AND(BQ$4&lt;=$AI160,BQ$4&gt;$AH160),2,IF(AND(BQ$4&lt;=$AJ160,BQ$4&gt;$AI160),3,IF(AND(BQ$4&lt;=$AK160,BQ$4&gt;$AJ160),4,IF(AND(BQ$4&lt;=$AL160,BQ$4&gt;$AK160),5,0)))))*'Detailed Assumptions'!$E$6</f>
        <v>0</v>
      </c>
      <c r="BR503" s="543">
        <f>IF(AND(BR$4&lt;=$AH160,BR$4&gt;$V160),1,IF(AND(BR$4&lt;=$AI160,BR$4&gt;$AH160),2,IF(AND(BR$4&lt;=$AJ160,BR$4&gt;$AI160),3,IF(AND(BR$4&lt;=$AK160,BR$4&gt;$AJ160),4,IF(AND(BR$4&lt;=$AL160,BR$4&gt;$AK160),5,0)))))*'Detailed Assumptions'!$E$6</f>
        <v>0</v>
      </c>
      <c r="BS503" s="543">
        <f>IF(AND(BS$4&lt;=$AH160,BS$4&gt;$V160),1,IF(AND(BS$4&lt;=$AI160,BS$4&gt;$AH160),2,IF(AND(BS$4&lt;=$AJ160,BS$4&gt;$AI160),3,IF(AND(BS$4&lt;=$AK160,BS$4&gt;$AJ160),4,IF(AND(BS$4&lt;=$AL160,BS$4&gt;$AK160),5,0)))))*'Detailed Assumptions'!$E$6</f>
        <v>0</v>
      </c>
      <c r="BT503" s="543">
        <f>IF(AND(BT$4&lt;=$AH160,BT$4&gt;$V160),1,IF(AND(BT$4&lt;=$AI160,BT$4&gt;$AH160),2,IF(AND(BT$4&lt;=$AJ160,BT$4&gt;$AI160),3,IF(AND(BT$4&lt;=$AK160,BT$4&gt;$AJ160),4,IF(AND(BT$4&lt;=$AL160,BT$4&gt;$AK160),5,0)))))*'Detailed Assumptions'!$E$6</f>
        <v>0</v>
      </c>
      <c r="BU503" s="543">
        <f>IF(AND(BU$4&lt;=$AH160,BU$4&gt;$V160),1,IF(AND(BU$4&lt;=$AI160,BU$4&gt;$AH160),2,IF(AND(BU$4&lt;=$AJ160,BU$4&gt;$AI160),3,IF(AND(BU$4&lt;=$AK160,BU$4&gt;$AJ160),4,IF(AND(BU$4&lt;=$AL160,BU$4&gt;$AK160),5,0)))))*'Detailed Assumptions'!$E$6</f>
        <v>0</v>
      </c>
      <c r="BV503" s="543">
        <f>IF(AND(BV$4&lt;=$AH160,BV$4&gt;$V160),1,IF(AND(BV$4&lt;=$AI160,BV$4&gt;$AH160),2,IF(AND(BV$4&lt;=$AJ160,BV$4&gt;$AI160),3,IF(AND(BV$4&lt;=$AK160,BV$4&gt;$AJ160),4,IF(AND(BV$4&lt;=$AL160,BV$4&gt;$AK160),5,0)))))*'Detailed Assumptions'!$E$6</f>
        <v>0</v>
      </c>
      <c r="BW503" s="543">
        <f>IF(AND(BW$4&lt;=$AH160,BW$4&gt;$V160),1,IF(AND(BW$4&lt;=$AI160,BW$4&gt;$AH160),2,IF(AND(BW$4&lt;=$AJ160,BW$4&gt;$AI160),3,IF(AND(BW$4&lt;=$AK160,BW$4&gt;$AJ160),4,IF(AND(BW$4&lt;=$AL160,BW$4&gt;$AK160),5,0)))))*'Detailed Assumptions'!$E$6</f>
        <v>0</v>
      </c>
      <c r="BX503" s="543">
        <f>IF(AND(BX$4&lt;=$AH160,BX$4&gt;$V160),1,IF(AND(BX$4&lt;=$AI160,BX$4&gt;$AH160),2,IF(AND(BX$4&lt;=$AJ160,BX$4&gt;$AI160),3,IF(AND(BX$4&lt;=$AK160,BX$4&gt;$AJ160),4,IF(AND(BX$4&lt;=$AL160,BX$4&gt;$AK160),5,0)))))*'Detailed Assumptions'!$E$6</f>
        <v>0</v>
      </c>
      <c r="BY503" s="543">
        <f>IF(AND(BY$4&lt;=$AH160,BY$4&gt;$V160),1,IF(AND(BY$4&lt;=$AI160,BY$4&gt;$AH160),2,IF(AND(BY$4&lt;=$AJ160,BY$4&gt;$AI160),3,IF(AND(BY$4&lt;=$AK160,BY$4&gt;$AJ160),4,IF(AND(BY$4&lt;=$AL160,BY$4&gt;$AK160),5,0)))))*'Detailed Assumptions'!$E$6</f>
        <v>0</v>
      </c>
      <c r="BZ503" s="537"/>
      <c r="CA503" s="537"/>
      <c r="CB503" s="537"/>
    </row>
    <row r="504" spans="1:80" x14ac:dyDescent="0.3">
      <c r="A504" s="551"/>
      <c r="B504" s="548"/>
      <c r="C504" s="525"/>
      <c r="D504" s="525"/>
      <c r="E504" s="525"/>
      <c r="F504" s="525"/>
      <c r="G504" s="525"/>
      <c r="H504" s="525"/>
      <c r="I504" s="537"/>
      <c r="J504" s="537"/>
      <c r="K504" s="537"/>
      <c r="L504" s="537"/>
      <c r="M504" s="537"/>
      <c r="N504" s="537"/>
      <c r="O504" s="537"/>
      <c r="P504" s="547"/>
      <c r="Q504" s="537"/>
      <c r="R504" s="525"/>
      <c r="S504" s="525"/>
      <c r="T504" s="525"/>
      <c r="U504" s="525"/>
      <c r="V504" s="525"/>
      <c r="W504" s="525"/>
      <c r="X504" s="525"/>
      <c r="Y504" s="525"/>
      <c r="Z504" s="525"/>
      <c r="AA504" s="525"/>
      <c r="AB504" s="525"/>
      <c r="AC504" s="525"/>
      <c r="AD504" s="525"/>
      <c r="AE504" s="525"/>
      <c r="AF504" s="525"/>
      <c r="AG504" s="525"/>
      <c r="AH504" s="525"/>
      <c r="AI504" s="525"/>
      <c r="AJ504" s="525"/>
      <c r="AK504" s="525"/>
      <c r="AL504" s="525"/>
      <c r="AM504" s="525"/>
      <c r="AN504" s="525"/>
      <c r="AO504" s="525"/>
      <c r="AP504" s="525"/>
      <c r="AQ504" s="525"/>
      <c r="AR504" s="525"/>
      <c r="AS504" s="525"/>
      <c r="AT504" s="525"/>
      <c r="AU504" s="525"/>
      <c r="AV504" s="525"/>
      <c r="AW504" s="525"/>
      <c r="AX504" s="525"/>
      <c r="AY504" s="525"/>
      <c r="AZ504" s="525"/>
      <c r="BA504" s="525"/>
      <c r="BB504" s="525"/>
      <c r="BC504" s="525"/>
      <c r="BD504" s="525"/>
      <c r="BE504" s="525"/>
      <c r="BF504" s="525"/>
      <c r="BG504" s="525"/>
      <c r="BH504" s="525"/>
      <c r="BI504" s="525"/>
      <c r="BJ504" s="525"/>
      <c r="BK504" s="525"/>
      <c r="BL504" s="525"/>
      <c r="BM504" s="525"/>
      <c r="BN504" s="525"/>
      <c r="BO504" s="525"/>
      <c r="BP504" s="525"/>
      <c r="BQ504" s="525"/>
      <c r="BR504" s="525"/>
      <c r="BS504" s="525"/>
      <c r="BT504" s="525"/>
      <c r="BU504" s="525"/>
      <c r="BV504" s="525"/>
      <c r="BW504" s="525"/>
      <c r="BX504" s="525"/>
      <c r="BY504" s="525"/>
      <c r="BZ504" s="537"/>
      <c r="CA504" s="537"/>
      <c r="CB504" s="537"/>
    </row>
    <row r="505" spans="1:80" x14ac:dyDescent="0.3">
      <c r="A505" s="537"/>
      <c r="B505" s="548"/>
      <c r="C505" s="560" t="s">
        <v>37</v>
      </c>
      <c r="D505" s="537"/>
      <c r="E505" s="526" t="s">
        <v>118</v>
      </c>
      <c r="F505" s="526"/>
      <c r="G505" s="526"/>
      <c r="H505" s="554"/>
      <c r="I505" s="526"/>
      <c r="J505" s="526"/>
      <c r="K505" s="526"/>
      <c r="L505" s="526"/>
      <c r="M505" s="526"/>
      <c r="N505" s="526"/>
      <c r="O505" s="526"/>
      <c r="P505" s="560"/>
      <c r="Q505" s="560"/>
      <c r="R505" s="526"/>
      <c r="S505" s="526"/>
      <c r="T505" s="526"/>
      <c r="U505" s="526"/>
      <c r="V505" s="526"/>
      <c r="W505" s="526"/>
      <c r="X505" s="526"/>
      <c r="Y505" s="526"/>
      <c r="Z505" s="526"/>
      <c r="AA505" s="526"/>
      <c r="AB505" s="526"/>
      <c r="AC505" s="526"/>
      <c r="AD505" s="526"/>
      <c r="AE505" s="526"/>
      <c r="AF505" s="526"/>
      <c r="AG505" s="526"/>
      <c r="AH505" s="526"/>
      <c r="AI505" s="526"/>
      <c r="AJ505" s="526"/>
      <c r="AK505" s="526"/>
      <c r="AL505" s="526"/>
      <c r="AM505" s="526"/>
      <c r="AN505" s="526"/>
      <c r="AO505" s="526"/>
      <c r="AP505" s="526"/>
      <c r="AQ505" s="526"/>
      <c r="AR505" s="526"/>
      <c r="AS505" s="526"/>
      <c r="AT505" s="526"/>
      <c r="AU505" s="526"/>
      <c r="AV505" s="526"/>
      <c r="AW505" s="526"/>
      <c r="AX505" s="526"/>
      <c r="AY505" s="526"/>
      <c r="AZ505" s="526"/>
      <c r="BA505" s="526"/>
      <c r="BB505" s="526"/>
      <c r="BC505" s="526"/>
      <c r="BD505" s="526"/>
      <c r="BE505" s="526"/>
      <c r="BF505" s="526"/>
      <c r="BG505" s="526"/>
      <c r="BH505" s="526"/>
      <c r="BI505" s="526"/>
      <c r="BJ505" s="526"/>
      <c r="BK505" s="526"/>
      <c r="BL505" s="526"/>
      <c r="BM505" s="526"/>
      <c r="BN505" s="526"/>
      <c r="BO505" s="526"/>
      <c r="BP505" s="526"/>
      <c r="BQ505" s="526"/>
      <c r="BR505" s="526"/>
      <c r="BS505" s="526"/>
      <c r="BT505" s="526"/>
      <c r="BU505" s="526"/>
      <c r="BV505" s="526"/>
      <c r="BW505" s="526"/>
      <c r="BX505" s="526"/>
      <c r="BY505" s="526"/>
      <c r="BZ505" s="537"/>
      <c r="CA505" s="537"/>
      <c r="CB505" s="554"/>
    </row>
    <row r="506" spans="1:80" x14ac:dyDescent="0.3">
      <c r="A506" s="648"/>
      <c r="B506" s="648"/>
      <c r="C506" s="648">
        <f>INDEX(Index_Tab!$E$27:$E$30,MATCH($B$4,Index_Tab!$D$27:$D$30,0))</f>
        <v>3</v>
      </c>
      <c r="D506" s="648"/>
      <c r="E506" s="525"/>
      <c r="F506" s="525"/>
      <c r="G506" s="525"/>
      <c r="H506" s="554"/>
      <c r="I506" s="525"/>
      <c r="J506" s="525"/>
      <c r="K506" s="525"/>
      <c r="L506" s="525"/>
      <c r="M506" s="525"/>
      <c r="N506" s="525"/>
      <c r="O506" s="525"/>
      <c r="P506" s="565"/>
      <c r="Q506" s="554"/>
      <c r="R506" s="525"/>
      <c r="S506" s="525"/>
      <c r="T506" s="525"/>
      <c r="U506" s="525"/>
      <c r="V506" s="525"/>
      <c r="W506" s="525"/>
      <c r="X506" s="525"/>
      <c r="Y506" s="525"/>
      <c r="Z506" s="525"/>
      <c r="AA506" s="525"/>
      <c r="AB506" s="525"/>
      <c r="AC506" s="525"/>
      <c r="AD506" s="525"/>
      <c r="AE506" s="525"/>
      <c r="AF506" s="525"/>
      <c r="AG506" s="525"/>
      <c r="AH506" s="525"/>
      <c r="AI506" s="525"/>
      <c r="AJ506" s="525"/>
      <c r="AK506" s="525"/>
      <c r="AL506" s="525"/>
      <c r="AM506" s="525"/>
      <c r="AN506" s="525"/>
      <c r="AO506" s="525"/>
      <c r="AP506" s="525"/>
      <c r="AQ506" s="525"/>
      <c r="AR506" s="525"/>
      <c r="AS506" s="525"/>
      <c r="AT506" s="525"/>
      <c r="AU506" s="525"/>
      <c r="AV506" s="525"/>
      <c r="AW506" s="525"/>
      <c r="AX506" s="525"/>
      <c r="AY506" s="525"/>
      <c r="AZ506" s="525"/>
      <c r="BA506" s="525"/>
      <c r="BB506" s="525"/>
      <c r="BC506" s="525"/>
      <c r="BD506" s="525"/>
      <c r="BE506" s="525"/>
      <c r="BF506" s="525"/>
      <c r="BG506" s="525"/>
      <c r="BH506" s="525"/>
      <c r="BI506" s="525"/>
      <c r="BJ506" s="525"/>
      <c r="BK506" s="525"/>
      <c r="BL506" s="525"/>
      <c r="BM506" s="525"/>
      <c r="BN506" s="525"/>
      <c r="BO506" s="525"/>
      <c r="BP506" s="525"/>
      <c r="BQ506" s="525"/>
      <c r="BR506" s="525"/>
      <c r="BS506" s="525"/>
      <c r="BT506" s="525"/>
      <c r="BU506" s="525"/>
      <c r="BV506" s="525"/>
      <c r="BW506" s="525"/>
      <c r="BX506" s="525"/>
      <c r="BY506" s="525"/>
      <c r="BZ506" s="537"/>
      <c r="CA506" s="537"/>
      <c r="CB506" s="554"/>
    </row>
    <row r="507" spans="1:80" x14ac:dyDescent="0.3">
      <c r="A507" s="648"/>
      <c r="B507" s="648" t="s">
        <v>48</v>
      </c>
      <c r="C507" s="648" cm="1">
        <f t="array" ref="C507">SUMPRODUCT((Index_Tab!$D$36:$D$45=$B507)*(Index_Tab!$E$35:$F$35=$B$3)*Index_Tab!$E$36:$F$45)</f>
        <v>3</v>
      </c>
      <c r="D507" s="648"/>
      <c r="E507" s="525" t="s">
        <v>373</v>
      </c>
      <c r="F507" s="567"/>
      <c r="G507" s="567"/>
      <c r="H507" s="529"/>
      <c r="I507" s="656">
        <v>15744.85283197325</v>
      </c>
      <c r="J507" s="657" cm="1">
        <f t="array" ref="J507">I507*(1+INDEX(('Detailed Assumptions'!$D$59:$J$79,'Detailed Assumptions'!$L$59:$R$79,'Detailed Assumptions'!$T$59:$Z$79,'Detailed Assumptions'!$AB$59:$AH$79),$C507,J$2,$C$506))</f>
        <v>15744.85283197325</v>
      </c>
      <c r="K507" s="657" cm="1">
        <f t="array" ref="K507">J507*(1+INDEX(('Detailed Assumptions'!$D$59:$J$79,'Detailed Assumptions'!$L$59:$R$79,'Detailed Assumptions'!$T$59:$Z$79,'Detailed Assumptions'!$AB$59:$AH$79),$C507,K$2,$C$506))</f>
        <v>15744.85283197325</v>
      </c>
      <c r="L507" s="657" cm="1">
        <f t="array" ref="L507">K507*(1+INDEX(('Detailed Assumptions'!$D$59:$J$79,'Detailed Assumptions'!$L$59:$R$79,'Detailed Assumptions'!$T$59:$Z$79,'Detailed Assumptions'!$AB$59:$AH$79),$C507,L$2,$C$506))</f>
        <v>15744.85283197325</v>
      </c>
      <c r="M507" s="657" cm="1">
        <f t="array" ref="M507">L507*(1+INDEX(('Detailed Assumptions'!$D$59:$J$79,'Detailed Assumptions'!$L$59:$R$79,'Detailed Assumptions'!$T$59:$Z$79,'Detailed Assumptions'!$AB$59:$AH$79),$C507,M$2,$C$506))</f>
        <v>15744.85283197325</v>
      </c>
      <c r="N507" s="657" cm="1">
        <f t="array" ref="N507">M507*(1+INDEX(('Detailed Assumptions'!$D$59:$J$79,'Detailed Assumptions'!$L$59:$R$79,'Detailed Assumptions'!$T$59:$Z$79,'Detailed Assumptions'!$AB$59:$AH$79),$C507,N$2,$C$506))</f>
        <v>15744.85283197325</v>
      </c>
      <c r="O507" s="574"/>
      <c r="P507" s="568">
        <f>IFERROR(((N507/I507)^(1/5))-1,0)</f>
        <v>0</v>
      </c>
      <c r="Q507" s="537"/>
      <c r="R507" s="543">
        <f t="shared" ref="R507:BY507" si="671">(INDEX($I507:$N507,MATCH(R$2,$I$3:$N$3,0)))/12</f>
        <v>1312.0710693311041</v>
      </c>
      <c r="S507" s="543">
        <f t="shared" si="671"/>
        <v>1312.0710693311041</v>
      </c>
      <c r="T507" s="543">
        <f t="shared" si="671"/>
        <v>1312.0710693311041</v>
      </c>
      <c r="U507" s="543">
        <f t="shared" si="671"/>
        <v>1312.0710693311041</v>
      </c>
      <c r="V507" s="543">
        <f t="shared" si="671"/>
        <v>1312.0710693311041</v>
      </c>
      <c r="W507" s="543">
        <f t="shared" si="671"/>
        <v>1312.0710693311041</v>
      </c>
      <c r="X507" s="543">
        <f t="shared" si="671"/>
        <v>1312.0710693311041</v>
      </c>
      <c r="Y507" s="543">
        <f t="shared" si="671"/>
        <v>1312.0710693311041</v>
      </c>
      <c r="Z507" s="543">
        <f t="shared" si="671"/>
        <v>1312.0710693311041</v>
      </c>
      <c r="AA507" s="543">
        <f t="shared" si="671"/>
        <v>1312.0710693311041</v>
      </c>
      <c r="AB507" s="543">
        <f t="shared" si="671"/>
        <v>1312.0710693311041</v>
      </c>
      <c r="AC507" s="543">
        <f t="shared" si="671"/>
        <v>1312.0710693311041</v>
      </c>
      <c r="AD507" s="543">
        <f t="shared" si="671"/>
        <v>1312.0710693311041</v>
      </c>
      <c r="AE507" s="543">
        <f t="shared" si="671"/>
        <v>1312.0710693311041</v>
      </c>
      <c r="AF507" s="543">
        <f t="shared" si="671"/>
        <v>1312.0710693311041</v>
      </c>
      <c r="AG507" s="543">
        <f t="shared" si="671"/>
        <v>1312.0710693311041</v>
      </c>
      <c r="AH507" s="543">
        <f t="shared" si="671"/>
        <v>1312.0710693311041</v>
      </c>
      <c r="AI507" s="543">
        <f t="shared" si="671"/>
        <v>1312.0710693311041</v>
      </c>
      <c r="AJ507" s="543">
        <f t="shared" si="671"/>
        <v>1312.0710693311041</v>
      </c>
      <c r="AK507" s="543">
        <f t="shared" si="671"/>
        <v>1312.0710693311041</v>
      </c>
      <c r="AL507" s="543">
        <f t="shared" si="671"/>
        <v>1312.0710693311041</v>
      </c>
      <c r="AM507" s="543">
        <f t="shared" si="671"/>
        <v>1312.0710693311041</v>
      </c>
      <c r="AN507" s="543">
        <f t="shared" si="671"/>
        <v>1312.0710693311041</v>
      </c>
      <c r="AO507" s="543">
        <f t="shared" si="671"/>
        <v>1312.0710693311041</v>
      </c>
      <c r="AP507" s="543">
        <f t="shared" si="671"/>
        <v>1312.0710693311041</v>
      </c>
      <c r="AQ507" s="543">
        <f t="shared" si="671"/>
        <v>1312.0710693311041</v>
      </c>
      <c r="AR507" s="543">
        <f t="shared" si="671"/>
        <v>1312.0710693311041</v>
      </c>
      <c r="AS507" s="543">
        <f t="shared" si="671"/>
        <v>1312.0710693311041</v>
      </c>
      <c r="AT507" s="543">
        <f t="shared" si="671"/>
        <v>1312.0710693311041</v>
      </c>
      <c r="AU507" s="543">
        <f t="shared" si="671"/>
        <v>1312.0710693311041</v>
      </c>
      <c r="AV507" s="543">
        <f t="shared" si="671"/>
        <v>1312.0710693311041</v>
      </c>
      <c r="AW507" s="543">
        <f t="shared" si="671"/>
        <v>1312.0710693311041</v>
      </c>
      <c r="AX507" s="543">
        <f t="shared" si="671"/>
        <v>1312.0710693311041</v>
      </c>
      <c r="AY507" s="543">
        <f t="shared" si="671"/>
        <v>1312.0710693311041</v>
      </c>
      <c r="AZ507" s="543">
        <f t="shared" si="671"/>
        <v>1312.0710693311041</v>
      </c>
      <c r="BA507" s="543">
        <f t="shared" si="671"/>
        <v>1312.0710693311041</v>
      </c>
      <c r="BB507" s="543">
        <f t="shared" si="671"/>
        <v>1312.0710693311041</v>
      </c>
      <c r="BC507" s="543">
        <f t="shared" si="671"/>
        <v>1312.0710693311041</v>
      </c>
      <c r="BD507" s="543">
        <f t="shared" si="671"/>
        <v>1312.0710693311041</v>
      </c>
      <c r="BE507" s="543">
        <f t="shared" si="671"/>
        <v>1312.0710693311041</v>
      </c>
      <c r="BF507" s="543">
        <f t="shared" si="671"/>
        <v>1312.0710693311041</v>
      </c>
      <c r="BG507" s="543">
        <f t="shared" si="671"/>
        <v>1312.0710693311041</v>
      </c>
      <c r="BH507" s="543">
        <f t="shared" si="671"/>
        <v>1312.0710693311041</v>
      </c>
      <c r="BI507" s="543">
        <f t="shared" si="671"/>
        <v>1312.0710693311041</v>
      </c>
      <c r="BJ507" s="543">
        <f t="shared" si="671"/>
        <v>1312.0710693311041</v>
      </c>
      <c r="BK507" s="543">
        <f t="shared" si="671"/>
        <v>1312.0710693311041</v>
      </c>
      <c r="BL507" s="543">
        <f t="shared" si="671"/>
        <v>1312.0710693311041</v>
      </c>
      <c r="BM507" s="543">
        <f t="shared" si="671"/>
        <v>1312.0710693311041</v>
      </c>
      <c r="BN507" s="543">
        <f t="shared" si="671"/>
        <v>1312.0710693311041</v>
      </c>
      <c r="BO507" s="543">
        <f t="shared" si="671"/>
        <v>1312.0710693311041</v>
      </c>
      <c r="BP507" s="543">
        <f t="shared" si="671"/>
        <v>1312.0710693311041</v>
      </c>
      <c r="BQ507" s="543">
        <f t="shared" si="671"/>
        <v>1312.0710693311041</v>
      </c>
      <c r="BR507" s="543">
        <f t="shared" si="671"/>
        <v>1312.0710693311041</v>
      </c>
      <c r="BS507" s="543">
        <f t="shared" si="671"/>
        <v>1312.0710693311041</v>
      </c>
      <c r="BT507" s="543">
        <f t="shared" si="671"/>
        <v>1312.0710693311041</v>
      </c>
      <c r="BU507" s="543">
        <f t="shared" si="671"/>
        <v>1312.0710693311041</v>
      </c>
      <c r="BV507" s="543">
        <f t="shared" si="671"/>
        <v>1312.0710693311041</v>
      </c>
      <c r="BW507" s="543">
        <f t="shared" si="671"/>
        <v>1312.0710693311041</v>
      </c>
      <c r="BX507" s="543">
        <f t="shared" si="671"/>
        <v>1312.0710693311041</v>
      </c>
      <c r="BY507" s="543">
        <f t="shared" si="671"/>
        <v>1312.0710693311041</v>
      </c>
      <c r="BZ507" s="537"/>
      <c r="CA507" s="537"/>
      <c r="CB507" s="529"/>
    </row>
    <row r="508" spans="1:80" x14ac:dyDescent="0.3">
      <c r="A508" s="648"/>
      <c r="B508" s="648"/>
      <c r="C508" s="648" cm="1">
        <f t="array" ref="C508">SUMPRODUCT((Index_Tab!$D$36:$D$45=$B508)*(Index_Tab!$E$35:$F$35=$B$3)*Index_Tab!$E$36:$F$45)</f>
        <v>0</v>
      </c>
      <c r="D508" s="648"/>
      <c r="E508" s="525"/>
      <c r="F508" s="567"/>
      <c r="G508" s="567"/>
      <c r="H508" s="529"/>
      <c r="I508" s="529"/>
      <c r="J508" s="529"/>
      <c r="K508" s="529"/>
      <c r="L508" s="529"/>
      <c r="M508" s="529"/>
      <c r="N508" s="529"/>
      <c r="O508" s="529"/>
      <c r="P508" s="562"/>
      <c r="Q508" s="529"/>
      <c r="R508" s="529"/>
      <c r="S508" s="529"/>
      <c r="T508" s="529"/>
      <c r="U508" s="529"/>
      <c r="V508" s="529"/>
      <c r="W508" s="529"/>
      <c r="X508" s="529"/>
      <c r="Y508" s="529"/>
      <c r="Z508" s="529"/>
      <c r="AA508" s="529"/>
      <c r="AB508" s="529"/>
      <c r="AC508" s="529"/>
      <c r="AD508" s="529"/>
      <c r="AE508" s="529"/>
      <c r="AF508" s="529"/>
      <c r="AG508" s="529"/>
      <c r="AH508" s="529"/>
      <c r="AI508" s="529"/>
      <c r="AJ508" s="529"/>
      <c r="AK508" s="529"/>
      <c r="AL508" s="529"/>
      <c r="AM508" s="529"/>
      <c r="AN508" s="529"/>
      <c r="AO508" s="529"/>
      <c r="AP508" s="529"/>
      <c r="AQ508" s="529"/>
      <c r="AR508" s="529"/>
      <c r="AS508" s="529"/>
      <c r="AT508" s="529"/>
      <c r="AU508" s="529"/>
      <c r="AV508" s="529"/>
      <c r="AW508" s="529"/>
      <c r="AX508" s="529"/>
      <c r="AY508" s="529"/>
      <c r="AZ508" s="529"/>
      <c r="BA508" s="529"/>
      <c r="BB508" s="529"/>
      <c r="BC508" s="529"/>
      <c r="BD508" s="529"/>
      <c r="BE508" s="529"/>
      <c r="BF508" s="529"/>
      <c r="BG508" s="529"/>
      <c r="BH508" s="529"/>
      <c r="BI508" s="529"/>
      <c r="BJ508" s="529"/>
      <c r="BK508" s="529"/>
      <c r="BL508" s="529"/>
      <c r="BM508" s="529"/>
      <c r="BN508" s="529"/>
      <c r="BO508" s="529"/>
      <c r="BP508" s="529"/>
      <c r="BQ508" s="529"/>
      <c r="BR508" s="529"/>
      <c r="BS508" s="529"/>
      <c r="BT508" s="529"/>
      <c r="BU508" s="529"/>
      <c r="BV508" s="529"/>
      <c r="BW508" s="529"/>
      <c r="BX508" s="529"/>
      <c r="BY508" s="529"/>
      <c r="BZ508" s="537"/>
      <c r="CA508" s="537"/>
      <c r="CB508" s="529"/>
    </row>
    <row r="509" spans="1:80" x14ac:dyDescent="0.3">
      <c r="A509" s="648"/>
      <c r="B509" s="648" t="s">
        <v>238</v>
      </c>
      <c r="C509" s="648" cm="1">
        <f t="array" ref="C509">SUMPRODUCT((Index_Tab!$D$36:$D$45=$B509)*(Index_Tab!$E$35:$F$35=$B$3)*Index_Tab!$E$36:$F$45)</f>
        <v>5</v>
      </c>
      <c r="D509" s="648"/>
      <c r="E509" s="525" t="s">
        <v>117</v>
      </c>
      <c r="F509" s="529"/>
      <c r="G509" s="529"/>
      <c r="H509" s="529"/>
      <c r="I509" s="527">
        <f>IFERROR(I512/I507,0)</f>
        <v>782.35770358606464</v>
      </c>
      <c r="J509" s="657" cm="1">
        <f t="array" ref="J509">(I509-'Detailed Assumptions'!$E$29)*(1+INDEX(('Detailed Assumptions'!$D$59:$J$79,'Detailed Assumptions'!$L$59:$R$79,'Detailed Assumptions'!$T$59:$Z$79,'Detailed Assumptions'!$AB$59:$AH$79),$C509,J$2,$C$506))+'Detailed Assumptions'!$E$29</f>
        <v>811.72610450827722</v>
      </c>
      <c r="K509" s="657" cm="1">
        <f t="array" ref="K509">(J509-'Detailed Assumptions'!$E$29)*(1+INDEX(('Detailed Assumptions'!$D$59:$J$79,'Detailed Assumptions'!$L$59:$R$79,'Detailed Assumptions'!$T$59:$Z$79,'Detailed Assumptions'!$AB$59:$AH$79),$C509,K$2,$C$506))+'Detailed Assumptions'!$E$29</f>
        <v>841.37423409748908</v>
      </c>
      <c r="L509" s="657" cm="1">
        <f t="array" ref="L509">(K509-'Detailed Assumptions'!$E$29)*(1+INDEX(('Detailed Assumptions'!$D$59:$J$79,'Detailed Assumptions'!$L$59:$R$79,'Detailed Assumptions'!$T$59:$Z$79,'Detailed Assumptions'!$AB$59:$AH$79),$C509,L$2,$C$506))+'Detailed Assumptions'!$E$29</f>
        <v>871.06725916663288</v>
      </c>
      <c r="M509" s="657" cm="1">
        <f t="array" ref="M509">(L509-'Detailed Assumptions'!$E$29)*(1+INDEX(('Detailed Assumptions'!$D$59:$J$79,'Detailed Assumptions'!$L$59:$R$79,'Detailed Assumptions'!$T$59:$Z$79,'Detailed Assumptions'!$AB$59:$AH$79),$C509,M$2,$C$506))+'Detailed Assumptions'!$E$29</f>
        <v>900.61050061968751</v>
      </c>
      <c r="N509" s="657" cm="1">
        <f t="array" ref="N509">(M509-'Detailed Assumptions'!$E$29)*(1+INDEX(('Detailed Assumptions'!$D$59:$J$79,'Detailed Assumptions'!$L$59:$R$79,'Detailed Assumptions'!$T$59:$Z$79,'Detailed Assumptions'!$AB$59:$AH$79),$C509,N$2,$C$506))+'Detailed Assumptions'!$E$29</f>
        <v>931.16976684013071</v>
      </c>
      <c r="O509" s="529"/>
      <c r="P509" s="568">
        <f>IFERROR(((N509/I509)^(1/5))-1,0)</f>
        <v>3.5439433900881889E-2</v>
      </c>
      <c r="Q509" s="529"/>
      <c r="R509" s="527">
        <f>(INDEX($I509:$N509,MATCH(R$2,$I$3:$N$3,0)))</f>
        <v>811.72610450827722</v>
      </c>
      <c r="S509" s="527">
        <f t="shared" ref="S509:BY509" si="672">(INDEX($I509:$N509,MATCH(S$2,$I$3:$N$3,0)))</f>
        <v>811.72610450827722</v>
      </c>
      <c r="T509" s="527">
        <f t="shared" si="672"/>
        <v>811.72610450827722</v>
      </c>
      <c r="U509" s="527">
        <f t="shared" si="672"/>
        <v>811.72610450827722</v>
      </c>
      <c r="V509" s="527">
        <f t="shared" si="672"/>
        <v>811.72610450827722</v>
      </c>
      <c r="W509" s="527">
        <f t="shared" si="672"/>
        <v>811.72610450827722</v>
      </c>
      <c r="X509" s="527">
        <f t="shared" si="672"/>
        <v>811.72610450827722</v>
      </c>
      <c r="Y509" s="527">
        <f t="shared" si="672"/>
        <v>811.72610450827722</v>
      </c>
      <c r="Z509" s="527">
        <f t="shared" si="672"/>
        <v>811.72610450827722</v>
      </c>
      <c r="AA509" s="527">
        <f t="shared" si="672"/>
        <v>811.72610450827722</v>
      </c>
      <c r="AB509" s="527">
        <f t="shared" si="672"/>
        <v>811.72610450827722</v>
      </c>
      <c r="AC509" s="527">
        <f t="shared" si="672"/>
        <v>811.72610450827722</v>
      </c>
      <c r="AD509" s="527">
        <f t="shared" si="672"/>
        <v>841.37423409748908</v>
      </c>
      <c r="AE509" s="527">
        <f t="shared" si="672"/>
        <v>841.37423409748908</v>
      </c>
      <c r="AF509" s="527">
        <f t="shared" si="672"/>
        <v>841.37423409748908</v>
      </c>
      <c r="AG509" s="527">
        <f t="shared" si="672"/>
        <v>841.37423409748908</v>
      </c>
      <c r="AH509" s="527">
        <f t="shared" si="672"/>
        <v>841.37423409748908</v>
      </c>
      <c r="AI509" s="527">
        <f t="shared" si="672"/>
        <v>841.37423409748908</v>
      </c>
      <c r="AJ509" s="527">
        <f t="shared" si="672"/>
        <v>841.37423409748908</v>
      </c>
      <c r="AK509" s="527">
        <f t="shared" si="672"/>
        <v>841.37423409748908</v>
      </c>
      <c r="AL509" s="527">
        <f t="shared" si="672"/>
        <v>841.37423409748908</v>
      </c>
      <c r="AM509" s="527">
        <f t="shared" si="672"/>
        <v>841.37423409748908</v>
      </c>
      <c r="AN509" s="527">
        <f t="shared" si="672"/>
        <v>841.37423409748908</v>
      </c>
      <c r="AO509" s="527">
        <f t="shared" si="672"/>
        <v>841.37423409748908</v>
      </c>
      <c r="AP509" s="527">
        <f t="shared" si="672"/>
        <v>871.06725916663288</v>
      </c>
      <c r="AQ509" s="527">
        <f t="shared" si="672"/>
        <v>871.06725916663288</v>
      </c>
      <c r="AR509" s="527">
        <f t="shared" si="672"/>
        <v>871.06725916663288</v>
      </c>
      <c r="AS509" s="527">
        <f t="shared" si="672"/>
        <v>871.06725916663288</v>
      </c>
      <c r="AT509" s="527">
        <f t="shared" si="672"/>
        <v>871.06725916663288</v>
      </c>
      <c r="AU509" s="527">
        <f t="shared" si="672"/>
        <v>871.06725916663288</v>
      </c>
      <c r="AV509" s="527">
        <f t="shared" si="672"/>
        <v>871.06725916663288</v>
      </c>
      <c r="AW509" s="527">
        <f t="shared" si="672"/>
        <v>871.06725916663288</v>
      </c>
      <c r="AX509" s="527">
        <f t="shared" si="672"/>
        <v>871.06725916663288</v>
      </c>
      <c r="AY509" s="527">
        <f t="shared" si="672"/>
        <v>871.06725916663288</v>
      </c>
      <c r="AZ509" s="527">
        <f t="shared" si="672"/>
        <v>871.06725916663288</v>
      </c>
      <c r="BA509" s="527">
        <f t="shared" si="672"/>
        <v>871.06725916663288</v>
      </c>
      <c r="BB509" s="527">
        <f t="shared" si="672"/>
        <v>900.61050061968751</v>
      </c>
      <c r="BC509" s="527">
        <f t="shared" si="672"/>
        <v>900.61050061968751</v>
      </c>
      <c r="BD509" s="527">
        <f t="shared" si="672"/>
        <v>900.61050061968751</v>
      </c>
      <c r="BE509" s="527">
        <f t="shared" si="672"/>
        <v>900.61050061968751</v>
      </c>
      <c r="BF509" s="527">
        <f t="shared" si="672"/>
        <v>900.61050061968751</v>
      </c>
      <c r="BG509" s="527">
        <f t="shared" si="672"/>
        <v>900.61050061968751</v>
      </c>
      <c r="BH509" s="527">
        <f t="shared" si="672"/>
        <v>900.61050061968751</v>
      </c>
      <c r="BI509" s="527">
        <f t="shared" si="672"/>
        <v>900.61050061968751</v>
      </c>
      <c r="BJ509" s="527">
        <f t="shared" si="672"/>
        <v>900.61050061968751</v>
      </c>
      <c r="BK509" s="527">
        <f t="shared" si="672"/>
        <v>900.61050061968751</v>
      </c>
      <c r="BL509" s="527">
        <f t="shared" si="672"/>
        <v>900.61050061968751</v>
      </c>
      <c r="BM509" s="527">
        <f t="shared" si="672"/>
        <v>900.61050061968751</v>
      </c>
      <c r="BN509" s="527">
        <f t="shared" si="672"/>
        <v>931.16976684013071</v>
      </c>
      <c r="BO509" s="527">
        <f t="shared" si="672"/>
        <v>931.16976684013071</v>
      </c>
      <c r="BP509" s="527">
        <f t="shared" si="672"/>
        <v>931.16976684013071</v>
      </c>
      <c r="BQ509" s="527">
        <f t="shared" si="672"/>
        <v>931.16976684013071</v>
      </c>
      <c r="BR509" s="527">
        <f t="shared" si="672"/>
        <v>931.16976684013071</v>
      </c>
      <c r="BS509" s="527">
        <f t="shared" si="672"/>
        <v>931.16976684013071</v>
      </c>
      <c r="BT509" s="527">
        <f t="shared" si="672"/>
        <v>931.16976684013071</v>
      </c>
      <c r="BU509" s="527">
        <f t="shared" si="672"/>
        <v>931.16976684013071</v>
      </c>
      <c r="BV509" s="527">
        <f t="shared" si="672"/>
        <v>931.16976684013071</v>
      </c>
      <c r="BW509" s="527">
        <f t="shared" si="672"/>
        <v>931.16976684013071</v>
      </c>
      <c r="BX509" s="527">
        <f t="shared" si="672"/>
        <v>931.16976684013071</v>
      </c>
      <c r="BY509" s="527">
        <f t="shared" si="672"/>
        <v>931.16976684013071</v>
      </c>
      <c r="BZ509" s="537"/>
      <c r="CA509" s="537"/>
      <c r="CB509" s="529"/>
    </row>
    <row r="510" spans="1:80" x14ac:dyDescent="0.3">
      <c r="A510" s="648"/>
      <c r="B510" s="648"/>
      <c r="C510" s="648" cm="1">
        <f t="array" ref="C510">SUMPRODUCT((Index_Tab!$D$36:$D$45=$B510)*(Index_Tab!$E$35:$F$35=$B$3)*Index_Tab!$E$36:$F$45)</f>
        <v>0</v>
      </c>
      <c r="D510" s="648"/>
      <c r="E510" s="525"/>
      <c r="F510" s="529"/>
      <c r="G510" s="529"/>
      <c r="H510" s="529"/>
      <c r="I510" s="529"/>
      <c r="J510" s="529"/>
      <c r="K510" s="529"/>
      <c r="L510" s="529"/>
      <c r="M510" s="529"/>
      <c r="N510" s="529"/>
      <c r="O510" s="529"/>
      <c r="P510" s="562"/>
      <c r="Q510" s="529"/>
      <c r="R510" s="529"/>
      <c r="S510" s="529"/>
      <c r="T510" s="529"/>
      <c r="U510" s="529"/>
      <c r="V510" s="529"/>
      <c r="W510" s="529"/>
      <c r="X510" s="529"/>
      <c r="Y510" s="529"/>
      <c r="Z510" s="529"/>
      <c r="AA510" s="529"/>
      <c r="AB510" s="529"/>
      <c r="AC510" s="529"/>
      <c r="AD510" s="529"/>
      <c r="AE510" s="529"/>
      <c r="AF510" s="529"/>
      <c r="AG510" s="529"/>
      <c r="AH510" s="529"/>
      <c r="AI510" s="529"/>
      <c r="AJ510" s="529"/>
      <c r="AK510" s="529"/>
      <c r="AL510" s="529"/>
      <c r="AM510" s="529"/>
      <c r="AN510" s="529"/>
      <c r="AO510" s="529"/>
      <c r="AP510" s="529"/>
      <c r="AQ510" s="529"/>
      <c r="AR510" s="529"/>
      <c r="AS510" s="529"/>
      <c r="AT510" s="529"/>
      <c r="AU510" s="529"/>
      <c r="AV510" s="529"/>
      <c r="AW510" s="529"/>
      <c r="AX510" s="529"/>
      <c r="AY510" s="529"/>
      <c r="AZ510" s="529"/>
      <c r="BA510" s="529"/>
      <c r="BB510" s="529"/>
      <c r="BC510" s="529"/>
      <c r="BD510" s="529"/>
      <c r="BE510" s="529"/>
      <c r="BF510" s="529"/>
      <c r="BG510" s="529"/>
      <c r="BH510" s="529"/>
      <c r="BI510" s="529"/>
      <c r="BJ510" s="529"/>
      <c r="BK510" s="529"/>
      <c r="BL510" s="529"/>
      <c r="BM510" s="529"/>
      <c r="BN510" s="529"/>
      <c r="BO510" s="529"/>
      <c r="BP510" s="529"/>
      <c r="BQ510" s="529"/>
      <c r="BR510" s="529"/>
      <c r="BS510" s="529"/>
      <c r="BT510" s="529"/>
      <c r="BU510" s="529"/>
      <c r="BV510" s="529"/>
      <c r="BW510" s="529"/>
      <c r="BX510" s="529"/>
      <c r="BY510" s="529"/>
      <c r="BZ510" s="537"/>
      <c r="CA510" s="537"/>
      <c r="CB510" s="529"/>
    </row>
    <row r="511" spans="1:80" x14ac:dyDescent="0.3">
      <c r="A511" s="648"/>
      <c r="B511" s="648"/>
      <c r="C511" s="648" cm="1">
        <f t="array" ref="C511">SUMPRODUCT((Index_Tab!$D$36:$D$45=$B511)*(Index_Tab!$E$35:$F$35=$B$3)*Index_Tab!$E$36:$F$45)</f>
        <v>0</v>
      </c>
      <c r="D511" s="648"/>
      <c r="E511" s="570" t="s">
        <v>22</v>
      </c>
      <c r="F511" s="529"/>
      <c r="G511" s="529"/>
      <c r="H511" s="529"/>
      <c r="I511" s="529"/>
      <c r="J511" s="576"/>
      <c r="K511" s="529"/>
      <c r="L511" s="529"/>
      <c r="M511" s="529"/>
      <c r="N511" s="529"/>
      <c r="O511" s="529"/>
      <c r="P511" s="562"/>
      <c r="Q511" s="529"/>
      <c r="R511" s="529"/>
      <c r="S511" s="529"/>
      <c r="T511" s="529"/>
      <c r="U511" s="529"/>
      <c r="V511" s="529"/>
      <c r="W511" s="529"/>
      <c r="X511" s="529"/>
      <c r="Y511" s="529"/>
      <c r="Z511" s="529"/>
      <c r="AA511" s="529"/>
      <c r="AB511" s="529"/>
      <c r="AC511" s="529"/>
      <c r="AD511" s="529"/>
      <c r="AE511" s="529"/>
      <c r="AF511" s="529"/>
      <c r="AG511" s="529"/>
      <c r="AH511" s="529"/>
      <c r="AI511" s="529"/>
      <c r="AJ511" s="529"/>
      <c r="AK511" s="529"/>
      <c r="AL511" s="529"/>
      <c r="AM511" s="529"/>
      <c r="AN511" s="529"/>
      <c r="AO511" s="529"/>
      <c r="AP511" s="529"/>
      <c r="AQ511" s="529"/>
      <c r="AR511" s="529"/>
      <c r="AS511" s="529"/>
      <c r="AT511" s="529"/>
      <c r="AU511" s="529"/>
      <c r="AV511" s="529"/>
      <c r="AW511" s="529"/>
      <c r="AX511" s="529"/>
      <c r="AY511" s="529"/>
      <c r="AZ511" s="529"/>
      <c r="BA511" s="529"/>
      <c r="BB511" s="529"/>
      <c r="BC511" s="529"/>
      <c r="BD511" s="529"/>
      <c r="BE511" s="529"/>
      <c r="BF511" s="529"/>
      <c r="BG511" s="529"/>
      <c r="BH511" s="529"/>
      <c r="BI511" s="529"/>
      <c r="BJ511" s="529"/>
      <c r="BK511" s="529"/>
      <c r="BL511" s="529"/>
      <c r="BM511" s="529"/>
      <c r="BN511" s="529"/>
      <c r="BO511" s="529"/>
      <c r="BP511" s="529"/>
      <c r="BQ511" s="529"/>
      <c r="BR511" s="529"/>
      <c r="BS511" s="529"/>
      <c r="BT511" s="529"/>
      <c r="BU511" s="529"/>
      <c r="BV511" s="529"/>
      <c r="BW511" s="529"/>
      <c r="BX511" s="529"/>
      <c r="BY511" s="529"/>
      <c r="BZ511" s="537"/>
      <c r="CA511" s="537"/>
      <c r="CB511" s="529"/>
    </row>
    <row r="512" spans="1:80" x14ac:dyDescent="0.3">
      <c r="A512" s="648"/>
      <c r="B512" s="648" t="s">
        <v>0</v>
      </c>
      <c r="C512" s="648" cm="1">
        <f t="array" ref="C512">SUMPRODUCT((Index_Tab!$D$36:$D$45=$B512)*(Index_Tab!$E$35:$F$35=$B$3)*Index_Tab!$E$36:$F$45)</f>
        <v>0</v>
      </c>
      <c r="D512" s="648"/>
      <c r="E512" s="572" t="s">
        <v>388</v>
      </c>
      <c r="F512" s="573"/>
      <c r="G512" s="573"/>
      <c r="H512" s="529"/>
      <c r="I512" s="658">
        <v>12318106.904923139</v>
      </c>
      <c r="J512" s="530">
        <f>J507*J509</f>
        <v>12780508.055353763</v>
      </c>
      <c r="K512" s="530">
        <f>K507*K509</f>
        <v>13247313.492479175</v>
      </c>
      <c r="L512" s="530">
        <f>L507*L509</f>
        <v>13714825.802328937</v>
      </c>
      <c r="M512" s="530">
        <f>M507*M509</f>
        <v>14179979.791186733</v>
      </c>
      <c r="N512" s="530">
        <f>N507*N509</f>
        <v>14661130.940480703</v>
      </c>
      <c r="O512" s="536"/>
      <c r="P512" s="568">
        <f>IFERROR(((N512/I512)^(1/5))-1,0)</f>
        <v>3.5439433900881889E-2</v>
      </c>
      <c r="Q512" s="529"/>
      <c r="R512" s="530">
        <f>R507*R509</f>
        <v>1065042.337946147</v>
      </c>
      <c r="S512" s="530">
        <f t="shared" ref="S512:BY512" si="673">S507*S509</f>
        <v>1065042.337946147</v>
      </c>
      <c r="T512" s="530">
        <f t="shared" si="673"/>
        <v>1065042.337946147</v>
      </c>
      <c r="U512" s="530">
        <f t="shared" si="673"/>
        <v>1065042.337946147</v>
      </c>
      <c r="V512" s="530">
        <f t="shared" si="673"/>
        <v>1065042.337946147</v>
      </c>
      <c r="W512" s="530">
        <f t="shared" si="673"/>
        <v>1065042.337946147</v>
      </c>
      <c r="X512" s="530">
        <f t="shared" si="673"/>
        <v>1065042.337946147</v>
      </c>
      <c r="Y512" s="530">
        <f t="shared" si="673"/>
        <v>1065042.337946147</v>
      </c>
      <c r="Z512" s="530">
        <f t="shared" si="673"/>
        <v>1065042.337946147</v>
      </c>
      <c r="AA512" s="530">
        <f t="shared" si="673"/>
        <v>1065042.337946147</v>
      </c>
      <c r="AB512" s="530">
        <f t="shared" si="673"/>
        <v>1065042.337946147</v>
      </c>
      <c r="AC512" s="530">
        <f t="shared" si="673"/>
        <v>1065042.337946147</v>
      </c>
      <c r="AD512" s="530">
        <f t="shared" si="673"/>
        <v>1103942.7910399311</v>
      </c>
      <c r="AE512" s="530">
        <f t="shared" si="673"/>
        <v>1103942.7910399311</v>
      </c>
      <c r="AF512" s="530">
        <f t="shared" si="673"/>
        <v>1103942.7910399311</v>
      </c>
      <c r="AG512" s="530">
        <f t="shared" si="673"/>
        <v>1103942.7910399311</v>
      </c>
      <c r="AH512" s="530">
        <f t="shared" si="673"/>
        <v>1103942.7910399311</v>
      </c>
      <c r="AI512" s="530">
        <f t="shared" si="673"/>
        <v>1103942.7910399311</v>
      </c>
      <c r="AJ512" s="530">
        <f t="shared" si="673"/>
        <v>1103942.7910399311</v>
      </c>
      <c r="AK512" s="530">
        <f t="shared" si="673"/>
        <v>1103942.7910399311</v>
      </c>
      <c r="AL512" s="530">
        <f t="shared" si="673"/>
        <v>1103942.7910399311</v>
      </c>
      <c r="AM512" s="530">
        <f t="shared" si="673"/>
        <v>1103942.7910399311</v>
      </c>
      <c r="AN512" s="530">
        <f t="shared" si="673"/>
        <v>1103942.7910399311</v>
      </c>
      <c r="AO512" s="530">
        <f t="shared" si="673"/>
        <v>1103942.7910399311</v>
      </c>
      <c r="AP512" s="530">
        <f t="shared" si="673"/>
        <v>1142902.150194078</v>
      </c>
      <c r="AQ512" s="530">
        <f t="shared" si="673"/>
        <v>1142902.150194078</v>
      </c>
      <c r="AR512" s="530">
        <f t="shared" si="673"/>
        <v>1142902.150194078</v>
      </c>
      <c r="AS512" s="530">
        <f t="shared" si="673"/>
        <v>1142902.150194078</v>
      </c>
      <c r="AT512" s="530">
        <f t="shared" si="673"/>
        <v>1142902.150194078</v>
      </c>
      <c r="AU512" s="530">
        <f t="shared" si="673"/>
        <v>1142902.150194078</v>
      </c>
      <c r="AV512" s="530">
        <f t="shared" si="673"/>
        <v>1142902.150194078</v>
      </c>
      <c r="AW512" s="530">
        <f t="shared" si="673"/>
        <v>1142902.150194078</v>
      </c>
      <c r="AX512" s="530">
        <f t="shared" si="673"/>
        <v>1142902.150194078</v>
      </c>
      <c r="AY512" s="530">
        <f t="shared" si="673"/>
        <v>1142902.150194078</v>
      </c>
      <c r="AZ512" s="530">
        <f t="shared" si="673"/>
        <v>1142902.150194078</v>
      </c>
      <c r="BA512" s="530">
        <f t="shared" si="673"/>
        <v>1142902.150194078</v>
      </c>
      <c r="BB512" s="530">
        <f t="shared" si="673"/>
        <v>1181664.9825988945</v>
      </c>
      <c r="BC512" s="530">
        <f t="shared" si="673"/>
        <v>1181664.9825988945</v>
      </c>
      <c r="BD512" s="530">
        <f t="shared" si="673"/>
        <v>1181664.9825988945</v>
      </c>
      <c r="BE512" s="530">
        <f t="shared" si="673"/>
        <v>1181664.9825988945</v>
      </c>
      <c r="BF512" s="530">
        <f t="shared" si="673"/>
        <v>1181664.9825988945</v>
      </c>
      <c r="BG512" s="530">
        <f t="shared" si="673"/>
        <v>1181664.9825988945</v>
      </c>
      <c r="BH512" s="530">
        <f t="shared" si="673"/>
        <v>1181664.9825988945</v>
      </c>
      <c r="BI512" s="530">
        <f t="shared" si="673"/>
        <v>1181664.9825988945</v>
      </c>
      <c r="BJ512" s="530">
        <f t="shared" si="673"/>
        <v>1181664.9825988945</v>
      </c>
      <c r="BK512" s="530">
        <f t="shared" si="673"/>
        <v>1181664.9825988945</v>
      </c>
      <c r="BL512" s="530">
        <f t="shared" si="673"/>
        <v>1181664.9825988945</v>
      </c>
      <c r="BM512" s="530">
        <f t="shared" si="673"/>
        <v>1181664.9825988945</v>
      </c>
      <c r="BN512" s="530">
        <f t="shared" si="673"/>
        <v>1221760.9117067251</v>
      </c>
      <c r="BO512" s="530">
        <f t="shared" si="673"/>
        <v>1221760.9117067251</v>
      </c>
      <c r="BP512" s="530">
        <f t="shared" si="673"/>
        <v>1221760.9117067251</v>
      </c>
      <c r="BQ512" s="530">
        <f t="shared" si="673"/>
        <v>1221760.9117067251</v>
      </c>
      <c r="BR512" s="530">
        <f t="shared" si="673"/>
        <v>1221760.9117067251</v>
      </c>
      <c r="BS512" s="530">
        <f t="shared" si="673"/>
        <v>1221760.9117067251</v>
      </c>
      <c r="BT512" s="530">
        <f t="shared" si="673"/>
        <v>1221760.9117067251</v>
      </c>
      <c r="BU512" s="530">
        <f t="shared" si="673"/>
        <v>1221760.9117067251</v>
      </c>
      <c r="BV512" s="530">
        <f t="shared" si="673"/>
        <v>1221760.9117067251</v>
      </c>
      <c r="BW512" s="530">
        <f t="shared" si="673"/>
        <v>1221760.9117067251</v>
      </c>
      <c r="BX512" s="530">
        <f t="shared" si="673"/>
        <v>1221760.9117067251</v>
      </c>
      <c r="BY512" s="530">
        <f t="shared" si="673"/>
        <v>1221760.9117067251</v>
      </c>
      <c r="BZ512" s="537"/>
      <c r="CA512" s="537"/>
      <c r="CB512" s="529"/>
    </row>
    <row r="513" spans="1:80" x14ac:dyDescent="0.3">
      <c r="A513" s="648"/>
      <c r="B513" s="648" t="s">
        <v>1</v>
      </c>
      <c r="C513" s="648" cm="1">
        <f t="array" ref="C513">SUMPRODUCT((Index_Tab!$D$36:$D$45=$B513)*(Index_Tab!$E$35:$F$35=$B$3)*Index_Tab!$E$36:$F$45)</f>
        <v>7</v>
      </c>
      <c r="D513" s="648"/>
      <c r="E513" s="525" t="s">
        <v>387</v>
      </c>
      <c r="F513" s="567"/>
      <c r="G513" s="567"/>
      <c r="H513" s="529"/>
      <c r="I513" s="544">
        <v>-4045933.3445348414</v>
      </c>
      <c r="J513" s="657" cm="1">
        <f t="array" ref="J513">((((I513/I$507+'Detailed Assumptions'!$E$29)*(1+INDEX(('Detailed Assumptions'!$D$59:$J$79,'Detailed Assumptions'!$L$59:$R$79,'Detailed Assumptions'!$T$59:$Z$79,'Detailed Assumptions'!$AB$59:$AH$79),$C513,J$2,$C$506))))-'Detailed Assumptions'!$E$29)*J$507</f>
        <v>-4087489.8793456051</v>
      </c>
      <c r="K513" s="657" cm="1">
        <f t="array" ref="K513">((((J513/J$507+'Detailed Assumptions'!$E$29)*(1+INDEX(('Detailed Assumptions'!$D$59:$J$79,'Detailed Assumptions'!$L$59:$R$79,'Detailed Assumptions'!$T$59:$Z$79,'Detailed Assumptions'!$AB$59:$AH$79),$C513,K$2,$C$506))))-'Detailed Assumptions'!$E$29)*K$507</f>
        <v>-4129877.5448525837</v>
      </c>
      <c r="L513" s="657" cm="1">
        <f t="array" ref="L513">((((K513/K$507+'Detailed Assumptions'!$E$29)*(1+INDEX(('Detailed Assumptions'!$D$59:$J$79,'Detailed Assumptions'!$L$59:$R$79,'Detailed Assumptions'!$T$59:$Z$79,'Detailed Assumptions'!$AB$59:$AH$79),$C513,L$2,$C$506))))-'Detailed Assumptions'!$E$29)*L$507</f>
        <v>-4173112.9636697015</v>
      </c>
      <c r="M513" s="657" cm="1">
        <f t="array" ref="M513">((((L513/L$507+'Detailed Assumptions'!$E$29)*(1+INDEX(('Detailed Assumptions'!$D$59:$J$79,'Detailed Assumptions'!$L$59:$R$79,'Detailed Assumptions'!$T$59:$Z$79,'Detailed Assumptions'!$AB$59:$AH$79),$C513,M$2,$C$506))))-'Detailed Assumptions'!$E$29)*M$507</f>
        <v>-4217213.0908631627</v>
      </c>
      <c r="N513" s="657" cm="1">
        <f t="array" ref="N513">((((M513/M$507+'Detailed Assumptions'!$E$29)*(1+INDEX(('Detailed Assumptions'!$D$59:$J$79,'Detailed Assumptions'!$L$59:$R$79,'Detailed Assumptions'!$T$59:$Z$79,'Detailed Assumptions'!$AB$59:$AH$79),$C513,N$2,$C$506))))-'Detailed Assumptions'!$E$29)*N$507</f>
        <v>-4262195.2206004923</v>
      </c>
      <c r="O513" s="529"/>
      <c r="P513" s="564">
        <f t="shared" ref="P513:P518" si="674">IFERROR(((N513/I513)^(1/5))-1,0)</f>
        <v>1.0468833436704461E-2</v>
      </c>
      <c r="Q513" s="529"/>
      <c r="R513" s="527">
        <f t="shared" ref="R513:AG514" si="675">(INDEX($I513:$N513,MATCH(R$2,$I$3:$N$3,0)))/12</f>
        <v>-340624.15661213378</v>
      </c>
      <c r="S513" s="527">
        <f t="shared" si="675"/>
        <v>-340624.15661213378</v>
      </c>
      <c r="T513" s="527">
        <f t="shared" si="675"/>
        <v>-340624.15661213378</v>
      </c>
      <c r="U513" s="527">
        <f t="shared" si="675"/>
        <v>-340624.15661213378</v>
      </c>
      <c r="V513" s="527">
        <f t="shared" si="675"/>
        <v>-340624.15661213378</v>
      </c>
      <c r="W513" s="527">
        <f t="shared" si="675"/>
        <v>-340624.15661213378</v>
      </c>
      <c r="X513" s="527">
        <f t="shared" si="675"/>
        <v>-340624.15661213378</v>
      </c>
      <c r="Y513" s="527">
        <f t="shared" si="675"/>
        <v>-340624.15661213378</v>
      </c>
      <c r="Z513" s="527">
        <f t="shared" si="675"/>
        <v>-340624.15661213378</v>
      </c>
      <c r="AA513" s="527">
        <f t="shared" si="675"/>
        <v>-340624.15661213378</v>
      </c>
      <c r="AB513" s="527">
        <f t="shared" si="675"/>
        <v>-340624.15661213378</v>
      </c>
      <c r="AC513" s="527">
        <f t="shared" si="675"/>
        <v>-340624.15661213378</v>
      </c>
      <c r="AD513" s="527">
        <f t="shared" si="675"/>
        <v>-344156.46207104862</v>
      </c>
      <c r="AE513" s="527">
        <f t="shared" si="675"/>
        <v>-344156.46207104862</v>
      </c>
      <c r="AF513" s="527">
        <f t="shared" si="675"/>
        <v>-344156.46207104862</v>
      </c>
      <c r="AG513" s="527">
        <f t="shared" si="675"/>
        <v>-344156.46207104862</v>
      </c>
      <c r="AH513" s="527">
        <f t="shared" ref="AH513:AW514" si="676">(INDEX($I513:$N513,MATCH(AH$2,$I$3:$N$3,0)))/12</f>
        <v>-344156.46207104862</v>
      </c>
      <c r="AI513" s="527">
        <f t="shared" si="676"/>
        <v>-344156.46207104862</v>
      </c>
      <c r="AJ513" s="527">
        <f t="shared" si="676"/>
        <v>-344156.46207104862</v>
      </c>
      <c r="AK513" s="527">
        <f t="shared" si="676"/>
        <v>-344156.46207104862</v>
      </c>
      <c r="AL513" s="527">
        <f t="shared" si="676"/>
        <v>-344156.46207104862</v>
      </c>
      <c r="AM513" s="527">
        <f t="shared" si="676"/>
        <v>-344156.46207104862</v>
      </c>
      <c r="AN513" s="527">
        <f t="shared" si="676"/>
        <v>-344156.46207104862</v>
      </c>
      <c r="AO513" s="527">
        <f t="shared" si="676"/>
        <v>-344156.46207104862</v>
      </c>
      <c r="AP513" s="527">
        <f t="shared" si="676"/>
        <v>-347759.41363914177</v>
      </c>
      <c r="AQ513" s="527">
        <f t="shared" si="676"/>
        <v>-347759.41363914177</v>
      </c>
      <c r="AR513" s="527">
        <f t="shared" si="676"/>
        <v>-347759.41363914177</v>
      </c>
      <c r="AS513" s="527">
        <f t="shared" si="676"/>
        <v>-347759.41363914177</v>
      </c>
      <c r="AT513" s="527">
        <f t="shared" si="676"/>
        <v>-347759.41363914177</v>
      </c>
      <c r="AU513" s="527">
        <f t="shared" si="676"/>
        <v>-347759.41363914177</v>
      </c>
      <c r="AV513" s="527">
        <f t="shared" si="676"/>
        <v>-347759.41363914177</v>
      </c>
      <c r="AW513" s="527">
        <f t="shared" si="676"/>
        <v>-347759.41363914177</v>
      </c>
      <c r="AX513" s="527">
        <f t="shared" ref="AX513:BM514" si="677">(INDEX($I513:$N513,MATCH(AX$2,$I$3:$N$3,0)))/12</f>
        <v>-347759.41363914177</v>
      </c>
      <c r="AY513" s="527">
        <f t="shared" si="677"/>
        <v>-347759.41363914177</v>
      </c>
      <c r="AZ513" s="527">
        <f t="shared" si="677"/>
        <v>-347759.41363914177</v>
      </c>
      <c r="BA513" s="527">
        <f t="shared" si="677"/>
        <v>-347759.41363914177</v>
      </c>
      <c r="BB513" s="527">
        <f t="shared" si="677"/>
        <v>-351434.42423859687</v>
      </c>
      <c r="BC513" s="527">
        <f t="shared" si="677"/>
        <v>-351434.42423859687</v>
      </c>
      <c r="BD513" s="527">
        <f t="shared" si="677"/>
        <v>-351434.42423859687</v>
      </c>
      <c r="BE513" s="527">
        <f t="shared" si="677"/>
        <v>-351434.42423859687</v>
      </c>
      <c r="BF513" s="527">
        <f t="shared" si="677"/>
        <v>-351434.42423859687</v>
      </c>
      <c r="BG513" s="527">
        <f t="shared" si="677"/>
        <v>-351434.42423859687</v>
      </c>
      <c r="BH513" s="527">
        <f t="shared" si="677"/>
        <v>-351434.42423859687</v>
      </c>
      <c r="BI513" s="527">
        <f t="shared" si="677"/>
        <v>-351434.42423859687</v>
      </c>
      <c r="BJ513" s="527">
        <f t="shared" si="677"/>
        <v>-351434.42423859687</v>
      </c>
      <c r="BK513" s="527">
        <f t="shared" si="677"/>
        <v>-351434.42423859687</v>
      </c>
      <c r="BL513" s="527">
        <f t="shared" si="677"/>
        <v>-351434.42423859687</v>
      </c>
      <c r="BM513" s="527">
        <f t="shared" si="677"/>
        <v>-351434.42423859687</v>
      </c>
      <c r="BN513" s="527">
        <f t="shared" ref="BN513:BY514" si="678">(INDEX($I513:$N513,MATCH(BN$2,$I$3:$N$3,0)))/12</f>
        <v>-355182.93505004101</v>
      </c>
      <c r="BO513" s="527">
        <f t="shared" si="678"/>
        <v>-355182.93505004101</v>
      </c>
      <c r="BP513" s="527">
        <f t="shared" si="678"/>
        <v>-355182.93505004101</v>
      </c>
      <c r="BQ513" s="527">
        <f t="shared" si="678"/>
        <v>-355182.93505004101</v>
      </c>
      <c r="BR513" s="527">
        <f t="shared" si="678"/>
        <v>-355182.93505004101</v>
      </c>
      <c r="BS513" s="527">
        <f t="shared" si="678"/>
        <v>-355182.93505004101</v>
      </c>
      <c r="BT513" s="527">
        <f t="shared" si="678"/>
        <v>-355182.93505004101</v>
      </c>
      <c r="BU513" s="527">
        <f t="shared" si="678"/>
        <v>-355182.93505004101</v>
      </c>
      <c r="BV513" s="527">
        <f t="shared" si="678"/>
        <v>-355182.93505004101</v>
      </c>
      <c r="BW513" s="527">
        <f t="shared" si="678"/>
        <v>-355182.93505004101</v>
      </c>
      <c r="BX513" s="527">
        <f t="shared" si="678"/>
        <v>-355182.93505004101</v>
      </c>
      <c r="BY513" s="527">
        <f t="shared" si="678"/>
        <v>-355182.93505004101</v>
      </c>
      <c r="BZ513" s="537"/>
      <c r="CA513" s="537"/>
      <c r="CB513" s="529"/>
    </row>
    <row r="514" spans="1:80" x14ac:dyDescent="0.3">
      <c r="A514" s="648"/>
      <c r="B514" s="648" t="s">
        <v>2</v>
      </c>
      <c r="C514" s="648" cm="1">
        <f t="array" ref="C514">SUMPRODUCT((Index_Tab!$D$36:$D$45=$B514)*(Index_Tab!$E$35:$F$35=$B$3)*Index_Tab!$E$36:$F$45)</f>
        <v>0</v>
      </c>
      <c r="D514" s="648"/>
      <c r="E514" s="525" t="s">
        <v>386</v>
      </c>
      <c r="F514" s="567"/>
      <c r="G514" s="567"/>
      <c r="H514" s="529"/>
      <c r="I514" s="544">
        <v>-778452.60080684221</v>
      </c>
      <c r="J514" s="657">
        <f>((I514/I$507)*(1+'Detailed Assumptions'!F$44))*J$507</f>
        <v>-794021.65282297914</v>
      </c>
      <c r="K514" s="657">
        <f>((J514/J$507)*(1+'Detailed Assumptions'!G$44))*K$507</f>
        <v>-809902.08587943867</v>
      </c>
      <c r="L514" s="657">
        <f>((K514/K$507)*(1+'Detailed Assumptions'!H$44))*L$507</f>
        <v>-826100.12759702746</v>
      </c>
      <c r="M514" s="657">
        <f>((L514/L$507)*(1+'Detailed Assumptions'!I$44))*M$507</f>
        <v>-842622.13014896808</v>
      </c>
      <c r="N514" s="657">
        <f>((M514/M$507)*(1+'Detailed Assumptions'!J$44))*N$507</f>
        <v>-859474.57275194733</v>
      </c>
      <c r="O514" s="529"/>
      <c r="P514" s="564">
        <f t="shared" si="674"/>
        <v>2.0000000000000018E-2</v>
      </c>
      <c r="Q514" s="529"/>
      <c r="R514" s="527">
        <f t="shared" si="675"/>
        <v>-66168.471068581595</v>
      </c>
      <c r="S514" s="527">
        <f t="shared" si="675"/>
        <v>-66168.471068581595</v>
      </c>
      <c r="T514" s="527">
        <f t="shared" si="675"/>
        <v>-66168.471068581595</v>
      </c>
      <c r="U514" s="527">
        <f t="shared" si="675"/>
        <v>-66168.471068581595</v>
      </c>
      <c r="V514" s="527">
        <f t="shared" si="675"/>
        <v>-66168.471068581595</v>
      </c>
      <c r="W514" s="527">
        <f t="shared" si="675"/>
        <v>-66168.471068581595</v>
      </c>
      <c r="X514" s="527">
        <f t="shared" si="675"/>
        <v>-66168.471068581595</v>
      </c>
      <c r="Y514" s="527">
        <f t="shared" si="675"/>
        <v>-66168.471068581595</v>
      </c>
      <c r="Z514" s="527">
        <f t="shared" si="675"/>
        <v>-66168.471068581595</v>
      </c>
      <c r="AA514" s="527">
        <f t="shared" si="675"/>
        <v>-66168.471068581595</v>
      </c>
      <c r="AB514" s="527">
        <f t="shared" si="675"/>
        <v>-66168.471068581595</v>
      </c>
      <c r="AC514" s="527">
        <f t="shared" si="675"/>
        <v>-66168.471068581595</v>
      </c>
      <c r="AD514" s="527">
        <f t="shared" si="675"/>
        <v>-67491.840489953218</v>
      </c>
      <c r="AE514" s="527">
        <f t="shared" si="675"/>
        <v>-67491.840489953218</v>
      </c>
      <c r="AF514" s="527">
        <f t="shared" si="675"/>
        <v>-67491.840489953218</v>
      </c>
      <c r="AG514" s="527">
        <f t="shared" si="675"/>
        <v>-67491.840489953218</v>
      </c>
      <c r="AH514" s="527">
        <f t="shared" si="676"/>
        <v>-67491.840489953218</v>
      </c>
      <c r="AI514" s="527">
        <f t="shared" si="676"/>
        <v>-67491.840489953218</v>
      </c>
      <c r="AJ514" s="527">
        <f t="shared" si="676"/>
        <v>-67491.840489953218</v>
      </c>
      <c r="AK514" s="527">
        <f t="shared" si="676"/>
        <v>-67491.840489953218</v>
      </c>
      <c r="AL514" s="527">
        <f t="shared" si="676"/>
        <v>-67491.840489953218</v>
      </c>
      <c r="AM514" s="527">
        <f t="shared" si="676"/>
        <v>-67491.840489953218</v>
      </c>
      <c r="AN514" s="527">
        <f t="shared" si="676"/>
        <v>-67491.840489953218</v>
      </c>
      <c r="AO514" s="527">
        <f t="shared" si="676"/>
        <v>-67491.840489953218</v>
      </c>
      <c r="AP514" s="527">
        <f t="shared" si="676"/>
        <v>-68841.677299752293</v>
      </c>
      <c r="AQ514" s="527">
        <f t="shared" si="676"/>
        <v>-68841.677299752293</v>
      </c>
      <c r="AR514" s="527">
        <f t="shared" si="676"/>
        <v>-68841.677299752293</v>
      </c>
      <c r="AS514" s="527">
        <f t="shared" si="676"/>
        <v>-68841.677299752293</v>
      </c>
      <c r="AT514" s="527">
        <f t="shared" si="676"/>
        <v>-68841.677299752293</v>
      </c>
      <c r="AU514" s="527">
        <f t="shared" si="676"/>
        <v>-68841.677299752293</v>
      </c>
      <c r="AV514" s="527">
        <f t="shared" si="676"/>
        <v>-68841.677299752293</v>
      </c>
      <c r="AW514" s="527">
        <f t="shared" si="676"/>
        <v>-68841.677299752293</v>
      </c>
      <c r="AX514" s="527">
        <f t="shared" si="677"/>
        <v>-68841.677299752293</v>
      </c>
      <c r="AY514" s="527">
        <f t="shared" si="677"/>
        <v>-68841.677299752293</v>
      </c>
      <c r="AZ514" s="527">
        <f t="shared" si="677"/>
        <v>-68841.677299752293</v>
      </c>
      <c r="BA514" s="527">
        <f t="shared" si="677"/>
        <v>-68841.677299752293</v>
      </c>
      <c r="BB514" s="527">
        <f t="shared" si="677"/>
        <v>-70218.51084574734</v>
      </c>
      <c r="BC514" s="527">
        <f t="shared" si="677"/>
        <v>-70218.51084574734</v>
      </c>
      <c r="BD514" s="527">
        <f t="shared" si="677"/>
        <v>-70218.51084574734</v>
      </c>
      <c r="BE514" s="527">
        <f t="shared" si="677"/>
        <v>-70218.51084574734</v>
      </c>
      <c r="BF514" s="527">
        <f t="shared" si="677"/>
        <v>-70218.51084574734</v>
      </c>
      <c r="BG514" s="527">
        <f t="shared" si="677"/>
        <v>-70218.51084574734</v>
      </c>
      <c r="BH514" s="527">
        <f t="shared" si="677"/>
        <v>-70218.51084574734</v>
      </c>
      <c r="BI514" s="527">
        <f t="shared" si="677"/>
        <v>-70218.51084574734</v>
      </c>
      <c r="BJ514" s="527">
        <f t="shared" si="677"/>
        <v>-70218.51084574734</v>
      </c>
      <c r="BK514" s="527">
        <f t="shared" si="677"/>
        <v>-70218.51084574734</v>
      </c>
      <c r="BL514" s="527">
        <f t="shared" si="677"/>
        <v>-70218.51084574734</v>
      </c>
      <c r="BM514" s="527">
        <f t="shared" si="677"/>
        <v>-70218.51084574734</v>
      </c>
      <c r="BN514" s="527">
        <f t="shared" si="678"/>
        <v>-71622.881062662273</v>
      </c>
      <c r="BO514" s="527">
        <f t="shared" si="678"/>
        <v>-71622.881062662273</v>
      </c>
      <c r="BP514" s="527">
        <f t="shared" si="678"/>
        <v>-71622.881062662273</v>
      </c>
      <c r="BQ514" s="527">
        <f t="shared" si="678"/>
        <v>-71622.881062662273</v>
      </c>
      <c r="BR514" s="527">
        <f t="shared" si="678"/>
        <v>-71622.881062662273</v>
      </c>
      <c r="BS514" s="527">
        <f t="shared" si="678"/>
        <v>-71622.881062662273</v>
      </c>
      <c r="BT514" s="527">
        <f t="shared" si="678"/>
        <v>-71622.881062662273</v>
      </c>
      <c r="BU514" s="527">
        <f t="shared" si="678"/>
        <v>-71622.881062662273</v>
      </c>
      <c r="BV514" s="527">
        <f t="shared" si="678"/>
        <v>-71622.881062662273</v>
      </c>
      <c r="BW514" s="527">
        <f t="shared" si="678"/>
        <v>-71622.881062662273</v>
      </c>
      <c r="BX514" s="527">
        <f t="shared" si="678"/>
        <v>-71622.881062662273</v>
      </c>
      <c r="BY514" s="527">
        <f t="shared" si="678"/>
        <v>-71622.881062662273</v>
      </c>
      <c r="BZ514" s="537"/>
      <c r="CA514" s="537"/>
      <c r="CB514" s="529"/>
    </row>
    <row r="515" spans="1:80" x14ac:dyDescent="0.3">
      <c r="A515" s="648"/>
      <c r="B515" s="648" t="s">
        <v>3</v>
      </c>
      <c r="C515" s="648" cm="1">
        <f t="array" ref="C515">SUMPRODUCT((Index_Tab!$D$36:$D$45=$B515)*(Index_Tab!$E$35:$F$35=$B$3)*Index_Tab!$E$36:$F$45)</f>
        <v>0</v>
      </c>
      <c r="D515" s="648"/>
      <c r="E515" s="572" t="s">
        <v>385</v>
      </c>
      <c r="F515" s="573"/>
      <c r="G515" s="573"/>
      <c r="H515" s="529"/>
      <c r="I515" s="659">
        <v>6978857.2800000012</v>
      </c>
      <c r="J515" s="532">
        <f>SUM(J512:J514)</f>
        <v>7898996.5231851786</v>
      </c>
      <c r="K515" s="532">
        <f>SUM(K512:K514)</f>
        <v>8307533.8617471522</v>
      </c>
      <c r="L515" s="532">
        <f>SUM(L512:L514)</f>
        <v>8715612.7110622078</v>
      </c>
      <c r="M515" s="532">
        <f>SUM(M512:M514)</f>
        <v>9120144.5701746028</v>
      </c>
      <c r="N515" s="530">
        <f>SUM(N512:N514)</f>
        <v>9539461.1471282654</v>
      </c>
      <c r="O515" s="536"/>
      <c r="P515" s="568">
        <f t="shared" si="674"/>
        <v>6.450548935828504E-2</v>
      </c>
      <c r="Q515" s="529"/>
      <c r="R515" s="532">
        <f>SUM(R512:R514)</f>
        <v>658249.71026543155</v>
      </c>
      <c r="S515" s="532">
        <f t="shared" ref="S515:BY515" si="679">SUM(S512:S514)</f>
        <v>658249.71026543155</v>
      </c>
      <c r="T515" s="532">
        <f t="shared" si="679"/>
        <v>658249.71026543155</v>
      </c>
      <c r="U515" s="532">
        <f t="shared" si="679"/>
        <v>658249.71026543155</v>
      </c>
      <c r="V515" s="532">
        <f t="shared" si="679"/>
        <v>658249.71026543155</v>
      </c>
      <c r="W515" s="532">
        <f t="shared" si="679"/>
        <v>658249.71026543155</v>
      </c>
      <c r="X515" s="532">
        <f t="shared" si="679"/>
        <v>658249.71026543155</v>
      </c>
      <c r="Y515" s="532">
        <f t="shared" si="679"/>
        <v>658249.71026543155</v>
      </c>
      <c r="Z515" s="532">
        <f t="shared" si="679"/>
        <v>658249.71026543155</v>
      </c>
      <c r="AA515" s="532">
        <f t="shared" si="679"/>
        <v>658249.71026543155</v>
      </c>
      <c r="AB515" s="532">
        <f t="shared" si="679"/>
        <v>658249.71026543155</v>
      </c>
      <c r="AC515" s="532">
        <f t="shared" si="679"/>
        <v>658249.71026543155</v>
      </c>
      <c r="AD515" s="532">
        <f t="shared" si="679"/>
        <v>692294.48847892939</v>
      </c>
      <c r="AE515" s="532">
        <f t="shared" si="679"/>
        <v>692294.48847892939</v>
      </c>
      <c r="AF515" s="532">
        <f t="shared" si="679"/>
        <v>692294.48847892939</v>
      </c>
      <c r="AG515" s="532">
        <f t="shared" si="679"/>
        <v>692294.48847892939</v>
      </c>
      <c r="AH515" s="532">
        <f t="shared" si="679"/>
        <v>692294.48847892939</v>
      </c>
      <c r="AI515" s="532">
        <f t="shared" si="679"/>
        <v>692294.48847892939</v>
      </c>
      <c r="AJ515" s="532">
        <f t="shared" si="679"/>
        <v>692294.48847892939</v>
      </c>
      <c r="AK515" s="532">
        <f t="shared" si="679"/>
        <v>692294.48847892939</v>
      </c>
      <c r="AL515" s="532">
        <f t="shared" si="679"/>
        <v>692294.48847892939</v>
      </c>
      <c r="AM515" s="532">
        <f t="shared" si="679"/>
        <v>692294.48847892939</v>
      </c>
      <c r="AN515" s="532">
        <f t="shared" si="679"/>
        <v>692294.48847892939</v>
      </c>
      <c r="AO515" s="532">
        <f t="shared" si="679"/>
        <v>692294.48847892939</v>
      </c>
      <c r="AP515" s="532">
        <f t="shared" si="679"/>
        <v>726301.05925518402</v>
      </c>
      <c r="AQ515" s="532">
        <f t="shared" si="679"/>
        <v>726301.05925518402</v>
      </c>
      <c r="AR515" s="532">
        <f t="shared" si="679"/>
        <v>726301.05925518402</v>
      </c>
      <c r="AS515" s="532">
        <f t="shared" si="679"/>
        <v>726301.05925518402</v>
      </c>
      <c r="AT515" s="532">
        <f t="shared" si="679"/>
        <v>726301.05925518402</v>
      </c>
      <c r="AU515" s="532">
        <f t="shared" si="679"/>
        <v>726301.05925518402</v>
      </c>
      <c r="AV515" s="532">
        <f t="shared" si="679"/>
        <v>726301.05925518402</v>
      </c>
      <c r="AW515" s="532">
        <f t="shared" si="679"/>
        <v>726301.05925518402</v>
      </c>
      <c r="AX515" s="532">
        <f t="shared" si="679"/>
        <v>726301.05925518402</v>
      </c>
      <c r="AY515" s="532">
        <f t="shared" si="679"/>
        <v>726301.05925518402</v>
      </c>
      <c r="AZ515" s="532">
        <f t="shared" si="679"/>
        <v>726301.05925518402</v>
      </c>
      <c r="BA515" s="532">
        <f t="shared" si="679"/>
        <v>726301.05925518402</v>
      </c>
      <c r="BB515" s="532">
        <f t="shared" si="679"/>
        <v>760012.04751455039</v>
      </c>
      <c r="BC515" s="532">
        <f t="shared" si="679"/>
        <v>760012.04751455039</v>
      </c>
      <c r="BD515" s="532">
        <f t="shared" si="679"/>
        <v>760012.04751455039</v>
      </c>
      <c r="BE515" s="532">
        <f t="shared" si="679"/>
        <v>760012.04751455039</v>
      </c>
      <c r="BF515" s="532">
        <f t="shared" si="679"/>
        <v>760012.04751455039</v>
      </c>
      <c r="BG515" s="532">
        <f t="shared" si="679"/>
        <v>760012.04751455039</v>
      </c>
      <c r="BH515" s="532">
        <f t="shared" si="679"/>
        <v>760012.04751455039</v>
      </c>
      <c r="BI515" s="532">
        <f t="shared" si="679"/>
        <v>760012.04751455039</v>
      </c>
      <c r="BJ515" s="532">
        <f t="shared" si="679"/>
        <v>760012.04751455039</v>
      </c>
      <c r="BK515" s="532">
        <f t="shared" si="679"/>
        <v>760012.04751455039</v>
      </c>
      <c r="BL515" s="532">
        <f t="shared" si="679"/>
        <v>760012.04751455039</v>
      </c>
      <c r="BM515" s="532">
        <f t="shared" si="679"/>
        <v>760012.04751455039</v>
      </c>
      <c r="BN515" s="532">
        <f t="shared" si="679"/>
        <v>794955.09559402196</v>
      </c>
      <c r="BO515" s="532">
        <f t="shared" si="679"/>
        <v>794955.09559402196</v>
      </c>
      <c r="BP515" s="532">
        <f t="shared" si="679"/>
        <v>794955.09559402196</v>
      </c>
      <c r="BQ515" s="532">
        <f t="shared" si="679"/>
        <v>794955.09559402196</v>
      </c>
      <c r="BR515" s="532">
        <f t="shared" si="679"/>
        <v>794955.09559402196</v>
      </c>
      <c r="BS515" s="532">
        <f t="shared" si="679"/>
        <v>794955.09559402196</v>
      </c>
      <c r="BT515" s="532">
        <f t="shared" si="679"/>
        <v>794955.09559402196</v>
      </c>
      <c r="BU515" s="532">
        <f t="shared" si="679"/>
        <v>794955.09559402196</v>
      </c>
      <c r="BV515" s="532">
        <f t="shared" si="679"/>
        <v>794955.09559402196</v>
      </c>
      <c r="BW515" s="532">
        <f t="shared" si="679"/>
        <v>794955.09559402196</v>
      </c>
      <c r="BX515" s="532">
        <f t="shared" si="679"/>
        <v>794955.09559402196</v>
      </c>
      <c r="BY515" s="532">
        <f t="shared" si="679"/>
        <v>794955.09559402196</v>
      </c>
      <c r="BZ515" s="537"/>
      <c r="CA515" s="537"/>
      <c r="CB515" s="529"/>
    </row>
    <row r="516" spans="1:80" x14ac:dyDescent="0.3">
      <c r="A516" s="648"/>
      <c r="B516" s="648" t="s">
        <v>4</v>
      </c>
      <c r="C516" s="648" cm="1">
        <f t="array" ref="C516">SUMPRODUCT((Index_Tab!$D$36:$D$45=$B516)*(Index_Tab!$E$35:$F$35=$B$3)*Index_Tab!$E$36:$F$45)</f>
        <v>8</v>
      </c>
      <c r="D516" s="648"/>
      <c r="E516" s="525" t="s">
        <v>389</v>
      </c>
      <c r="F516" s="567"/>
      <c r="G516" s="567"/>
      <c r="H516" s="529"/>
      <c r="I516" s="544">
        <v>-2038153.6747655887</v>
      </c>
      <c r="J516" s="657" cm="1">
        <f t="array" ref="J516">((I516/I$507)*(1+INDEX(('Detailed Assumptions'!$D$59:$J$79,'Detailed Assumptions'!$L$59:$R$79,'Detailed Assumptions'!$T$59:$Z$79,'Detailed Assumptions'!$AB$59:$AH$79),$C516,J$2,$C$506)))*J$507</f>
        <v>-2129211.1217766432</v>
      </c>
      <c r="K516" s="657" cm="1">
        <f t="array" ref="K516">((J516/J$507)*(1+INDEX(('Detailed Assumptions'!$D$59:$J$79,'Detailed Assumptions'!$L$59:$R$79,'Detailed Assumptions'!$T$59:$Z$79,'Detailed Assumptions'!$AB$59:$AH$79),$C516,K$2,$C$506)))*K$507</f>
        <v>-2221135.8743771384</v>
      </c>
      <c r="L516" s="657" cm="1">
        <f t="array" ref="L516">((K516/K$507)*(1+INDEX(('Detailed Assumptions'!$D$59:$J$79,'Detailed Assumptions'!$L$59:$R$79,'Detailed Assumptions'!$T$59:$Z$79,'Detailed Assumptions'!$AB$59:$AH$79),$C516,L$2,$C$506)))*L$507</f>
        <v>-2313199.8265137528</v>
      </c>
      <c r="M516" s="657" cm="1">
        <f t="array" ref="M516">((L516/L$507)*(1+INDEX(('Detailed Assumptions'!$D$59:$J$79,'Detailed Assumptions'!$L$59:$R$79,'Detailed Assumptions'!$T$59:$Z$79,'Detailed Assumptions'!$AB$59:$AH$79),$C516,M$2,$C$506)))*M$507</f>
        <v>-2404799.3708768119</v>
      </c>
      <c r="N516" s="657" cm="1">
        <f t="array" ref="N516">((M516/M$507)*(1+INDEX(('Detailed Assumptions'!$D$59:$J$79,'Detailed Assumptions'!$L$59:$R$79,'Detailed Assumptions'!$T$59:$Z$79,'Detailed Assumptions'!$AB$59:$AH$79),$C516,N$2,$C$506)))*N$507</f>
        <v>-2499549.1249385006</v>
      </c>
      <c r="O516" s="529"/>
      <c r="P516" s="564">
        <f t="shared" si="674"/>
        <v>4.165751177604271E-2</v>
      </c>
      <c r="Q516" s="529"/>
      <c r="R516" s="527">
        <f t="shared" ref="R516:BY516" si="680">(INDEX($I516:$N516,MATCH(R$2,$I$3:$N$3,0)))/12</f>
        <v>-177434.26014805361</v>
      </c>
      <c r="S516" s="527">
        <f t="shared" si="680"/>
        <v>-177434.26014805361</v>
      </c>
      <c r="T516" s="527">
        <f t="shared" si="680"/>
        <v>-177434.26014805361</v>
      </c>
      <c r="U516" s="527">
        <f t="shared" si="680"/>
        <v>-177434.26014805361</v>
      </c>
      <c r="V516" s="527">
        <f t="shared" si="680"/>
        <v>-177434.26014805361</v>
      </c>
      <c r="W516" s="527">
        <f t="shared" si="680"/>
        <v>-177434.26014805361</v>
      </c>
      <c r="X516" s="527">
        <f t="shared" si="680"/>
        <v>-177434.26014805361</v>
      </c>
      <c r="Y516" s="527">
        <f t="shared" si="680"/>
        <v>-177434.26014805361</v>
      </c>
      <c r="Z516" s="527">
        <f t="shared" si="680"/>
        <v>-177434.26014805361</v>
      </c>
      <c r="AA516" s="527">
        <f t="shared" si="680"/>
        <v>-177434.26014805361</v>
      </c>
      <c r="AB516" s="527">
        <f t="shared" si="680"/>
        <v>-177434.26014805361</v>
      </c>
      <c r="AC516" s="527">
        <f t="shared" si="680"/>
        <v>-177434.26014805361</v>
      </c>
      <c r="AD516" s="527">
        <f t="shared" si="680"/>
        <v>-185094.65619809486</v>
      </c>
      <c r="AE516" s="527">
        <f t="shared" si="680"/>
        <v>-185094.65619809486</v>
      </c>
      <c r="AF516" s="527">
        <f t="shared" si="680"/>
        <v>-185094.65619809486</v>
      </c>
      <c r="AG516" s="527">
        <f t="shared" si="680"/>
        <v>-185094.65619809486</v>
      </c>
      <c r="AH516" s="527">
        <f t="shared" si="680"/>
        <v>-185094.65619809486</v>
      </c>
      <c r="AI516" s="527">
        <f t="shared" si="680"/>
        <v>-185094.65619809486</v>
      </c>
      <c r="AJ516" s="527">
        <f t="shared" si="680"/>
        <v>-185094.65619809486</v>
      </c>
      <c r="AK516" s="527">
        <f t="shared" si="680"/>
        <v>-185094.65619809486</v>
      </c>
      <c r="AL516" s="527">
        <f t="shared" si="680"/>
        <v>-185094.65619809486</v>
      </c>
      <c r="AM516" s="527">
        <f t="shared" si="680"/>
        <v>-185094.65619809486</v>
      </c>
      <c r="AN516" s="527">
        <f t="shared" si="680"/>
        <v>-185094.65619809486</v>
      </c>
      <c r="AO516" s="527">
        <f t="shared" si="680"/>
        <v>-185094.65619809486</v>
      </c>
      <c r="AP516" s="527">
        <f t="shared" si="680"/>
        <v>-192766.65220947939</v>
      </c>
      <c r="AQ516" s="527">
        <f t="shared" si="680"/>
        <v>-192766.65220947939</v>
      </c>
      <c r="AR516" s="527">
        <f t="shared" si="680"/>
        <v>-192766.65220947939</v>
      </c>
      <c r="AS516" s="527">
        <f t="shared" si="680"/>
        <v>-192766.65220947939</v>
      </c>
      <c r="AT516" s="527">
        <f t="shared" si="680"/>
        <v>-192766.65220947939</v>
      </c>
      <c r="AU516" s="527">
        <f t="shared" si="680"/>
        <v>-192766.65220947939</v>
      </c>
      <c r="AV516" s="527">
        <f t="shared" si="680"/>
        <v>-192766.65220947939</v>
      </c>
      <c r="AW516" s="527">
        <f t="shared" si="680"/>
        <v>-192766.65220947939</v>
      </c>
      <c r="AX516" s="527">
        <f t="shared" si="680"/>
        <v>-192766.65220947939</v>
      </c>
      <c r="AY516" s="527">
        <f t="shared" si="680"/>
        <v>-192766.65220947939</v>
      </c>
      <c r="AZ516" s="527">
        <f t="shared" si="680"/>
        <v>-192766.65220947939</v>
      </c>
      <c r="BA516" s="527">
        <f t="shared" si="680"/>
        <v>-192766.65220947939</v>
      </c>
      <c r="BB516" s="527">
        <f t="shared" si="680"/>
        <v>-200399.94757306765</v>
      </c>
      <c r="BC516" s="527">
        <f t="shared" si="680"/>
        <v>-200399.94757306765</v>
      </c>
      <c r="BD516" s="527">
        <f t="shared" si="680"/>
        <v>-200399.94757306765</v>
      </c>
      <c r="BE516" s="527">
        <f t="shared" si="680"/>
        <v>-200399.94757306765</v>
      </c>
      <c r="BF516" s="527">
        <f t="shared" si="680"/>
        <v>-200399.94757306765</v>
      </c>
      <c r="BG516" s="527">
        <f t="shared" si="680"/>
        <v>-200399.94757306765</v>
      </c>
      <c r="BH516" s="527">
        <f t="shared" si="680"/>
        <v>-200399.94757306765</v>
      </c>
      <c r="BI516" s="527">
        <f t="shared" si="680"/>
        <v>-200399.94757306765</v>
      </c>
      <c r="BJ516" s="527">
        <f t="shared" si="680"/>
        <v>-200399.94757306765</v>
      </c>
      <c r="BK516" s="527">
        <f t="shared" si="680"/>
        <v>-200399.94757306765</v>
      </c>
      <c r="BL516" s="527">
        <f t="shared" si="680"/>
        <v>-200399.94757306765</v>
      </c>
      <c r="BM516" s="527">
        <f t="shared" si="680"/>
        <v>-200399.94757306765</v>
      </c>
      <c r="BN516" s="527">
        <f t="shared" si="680"/>
        <v>-208295.76041154171</v>
      </c>
      <c r="BO516" s="527">
        <f t="shared" si="680"/>
        <v>-208295.76041154171</v>
      </c>
      <c r="BP516" s="527">
        <f t="shared" si="680"/>
        <v>-208295.76041154171</v>
      </c>
      <c r="BQ516" s="527">
        <f t="shared" si="680"/>
        <v>-208295.76041154171</v>
      </c>
      <c r="BR516" s="527">
        <f t="shared" si="680"/>
        <v>-208295.76041154171</v>
      </c>
      <c r="BS516" s="527">
        <f t="shared" si="680"/>
        <v>-208295.76041154171</v>
      </c>
      <c r="BT516" s="527">
        <f t="shared" si="680"/>
        <v>-208295.76041154171</v>
      </c>
      <c r="BU516" s="527">
        <f t="shared" si="680"/>
        <v>-208295.76041154171</v>
      </c>
      <c r="BV516" s="527">
        <f t="shared" si="680"/>
        <v>-208295.76041154171</v>
      </c>
      <c r="BW516" s="527">
        <f t="shared" si="680"/>
        <v>-208295.76041154171</v>
      </c>
      <c r="BX516" s="527">
        <f t="shared" si="680"/>
        <v>-208295.76041154171</v>
      </c>
      <c r="BY516" s="527">
        <f t="shared" si="680"/>
        <v>-208295.76041154171</v>
      </c>
      <c r="BZ516" s="537"/>
      <c r="CA516" s="537"/>
      <c r="CB516" s="529"/>
    </row>
    <row r="517" spans="1:80" x14ac:dyDescent="0.3">
      <c r="A517" s="648"/>
      <c r="B517" s="648" t="s">
        <v>5</v>
      </c>
      <c r="C517" s="648" cm="1">
        <f t="array" ref="C517">SUMPRODUCT((Index_Tab!$D$36:$D$45=$B517)*(Index_Tab!$E$35:$F$35=$B$3)*Index_Tab!$E$36:$F$45)</f>
        <v>0</v>
      </c>
      <c r="D517" s="648"/>
      <c r="E517" s="572" t="s">
        <v>390</v>
      </c>
      <c r="F517" s="573"/>
      <c r="G517" s="573"/>
      <c r="H517" s="529"/>
      <c r="I517" s="659">
        <v>5455567.2848158674</v>
      </c>
      <c r="J517" s="532">
        <f>SUM(J515:J516)</f>
        <v>5769785.4014085354</v>
      </c>
      <c r="K517" s="532">
        <f>SUM(K515:K516)</f>
        <v>6086397.9873700142</v>
      </c>
      <c r="L517" s="532">
        <f>SUM(L515:L516)</f>
        <v>6402412.8845484555</v>
      </c>
      <c r="M517" s="532">
        <f>SUM(M515:M516)</f>
        <v>6715345.1992977913</v>
      </c>
      <c r="N517" s="530">
        <f>SUM(N515:N516)</f>
        <v>7039912.0221897643</v>
      </c>
      <c r="O517" s="536"/>
      <c r="P517" s="568">
        <f t="shared" si="674"/>
        <v>5.2314278122602698E-2</v>
      </c>
      <c r="Q517" s="529"/>
      <c r="R517" s="532">
        <f t="shared" ref="R517:BX517" si="681">SUM(R515:R516)</f>
        <v>480815.45011737791</v>
      </c>
      <c r="S517" s="532">
        <f t="shared" si="681"/>
        <v>480815.45011737791</v>
      </c>
      <c r="T517" s="532">
        <f t="shared" si="681"/>
        <v>480815.45011737791</v>
      </c>
      <c r="U517" s="532">
        <f t="shared" si="681"/>
        <v>480815.45011737791</v>
      </c>
      <c r="V517" s="532">
        <f t="shared" si="681"/>
        <v>480815.45011737791</v>
      </c>
      <c r="W517" s="532">
        <f t="shared" si="681"/>
        <v>480815.45011737791</v>
      </c>
      <c r="X517" s="532">
        <f t="shared" si="681"/>
        <v>480815.45011737791</v>
      </c>
      <c r="Y517" s="532">
        <f t="shared" si="681"/>
        <v>480815.45011737791</v>
      </c>
      <c r="Z517" s="532">
        <f t="shared" si="681"/>
        <v>480815.45011737791</v>
      </c>
      <c r="AA517" s="532">
        <f t="shared" si="681"/>
        <v>480815.45011737791</v>
      </c>
      <c r="AB517" s="532">
        <f t="shared" si="681"/>
        <v>480815.45011737791</v>
      </c>
      <c r="AC517" s="532">
        <f t="shared" si="681"/>
        <v>480815.45011737791</v>
      </c>
      <c r="AD517" s="532">
        <f t="shared" si="681"/>
        <v>507199.83228083455</v>
      </c>
      <c r="AE517" s="532">
        <f t="shared" si="681"/>
        <v>507199.83228083455</v>
      </c>
      <c r="AF517" s="532">
        <f t="shared" si="681"/>
        <v>507199.83228083455</v>
      </c>
      <c r="AG517" s="532">
        <f t="shared" si="681"/>
        <v>507199.83228083455</v>
      </c>
      <c r="AH517" s="532">
        <f t="shared" si="681"/>
        <v>507199.83228083455</v>
      </c>
      <c r="AI517" s="532">
        <f t="shared" si="681"/>
        <v>507199.83228083455</v>
      </c>
      <c r="AJ517" s="532">
        <f t="shared" si="681"/>
        <v>507199.83228083455</v>
      </c>
      <c r="AK517" s="532">
        <f t="shared" si="681"/>
        <v>507199.83228083455</v>
      </c>
      <c r="AL517" s="532">
        <f t="shared" si="681"/>
        <v>507199.83228083455</v>
      </c>
      <c r="AM517" s="532">
        <f t="shared" si="681"/>
        <v>507199.83228083455</v>
      </c>
      <c r="AN517" s="532">
        <f t="shared" si="681"/>
        <v>507199.83228083455</v>
      </c>
      <c r="AO517" s="532">
        <f t="shared" si="681"/>
        <v>507199.83228083455</v>
      </c>
      <c r="AP517" s="532">
        <f t="shared" si="681"/>
        <v>533534.40704570466</v>
      </c>
      <c r="AQ517" s="532">
        <f t="shared" si="681"/>
        <v>533534.40704570466</v>
      </c>
      <c r="AR517" s="532">
        <f t="shared" si="681"/>
        <v>533534.40704570466</v>
      </c>
      <c r="AS517" s="532">
        <f t="shared" si="681"/>
        <v>533534.40704570466</v>
      </c>
      <c r="AT517" s="532">
        <f t="shared" si="681"/>
        <v>533534.40704570466</v>
      </c>
      <c r="AU517" s="532">
        <f t="shared" si="681"/>
        <v>533534.40704570466</v>
      </c>
      <c r="AV517" s="532">
        <f t="shared" si="681"/>
        <v>533534.40704570466</v>
      </c>
      <c r="AW517" s="532">
        <f t="shared" si="681"/>
        <v>533534.40704570466</v>
      </c>
      <c r="AX517" s="532">
        <f t="shared" si="681"/>
        <v>533534.40704570466</v>
      </c>
      <c r="AY517" s="532">
        <f t="shared" si="681"/>
        <v>533534.40704570466</v>
      </c>
      <c r="AZ517" s="532">
        <f t="shared" si="681"/>
        <v>533534.40704570466</v>
      </c>
      <c r="BA517" s="532">
        <f t="shared" si="681"/>
        <v>533534.40704570466</v>
      </c>
      <c r="BB517" s="532">
        <f t="shared" si="681"/>
        <v>559612.09994148277</v>
      </c>
      <c r="BC517" s="532">
        <f t="shared" si="681"/>
        <v>559612.09994148277</v>
      </c>
      <c r="BD517" s="532">
        <f t="shared" si="681"/>
        <v>559612.09994148277</v>
      </c>
      <c r="BE517" s="532">
        <f t="shared" si="681"/>
        <v>559612.09994148277</v>
      </c>
      <c r="BF517" s="532">
        <f t="shared" si="681"/>
        <v>559612.09994148277</v>
      </c>
      <c r="BG517" s="532">
        <f t="shared" si="681"/>
        <v>559612.09994148277</v>
      </c>
      <c r="BH517" s="532">
        <f t="shared" si="681"/>
        <v>559612.09994148277</v>
      </c>
      <c r="BI517" s="532">
        <f t="shared" si="681"/>
        <v>559612.09994148277</v>
      </c>
      <c r="BJ517" s="532">
        <f t="shared" si="681"/>
        <v>559612.09994148277</v>
      </c>
      <c r="BK517" s="532">
        <f t="shared" si="681"/>
        <v>559612.09994148277</v>
      </c>
      <c r="BL517" s="532">
        <f t="shared" si="681"/>
        <v>559612.09994148277</v>
      </c>
      <c r="BM517" s="532">
        <f t="shared" si="681"/>
        <v>559612.09994148277</v>
      </c>
      <c r="BN517" s="532">
        <f t="shared" si="681"/>
        <v>586659.33518248028</v>
      </c>
      <c r="BO517" s="532">
        <f t="shared" si="681"/>
        <v>586659.33518248028</v>
      </c>
      <c r="BP517" s="532">
        <f t="shared" si="681"/>
        <v>586659.33518248028</v>
      </c>
      <c r="BQ517" s="532">
        <f t="shared" si="681"/>
        <v>586659.33518248028</v>
      </c>
      <c r="BR517" s="532">
        <f t="shared" si="681"/>
        <v>586659.33518248028</v>
      </c>
      <c r="BS517" s="532">
        <f t="shared" si="681"/>
        <v>586659.33518248028</v>
      </c>
      <c r="BT517" s="532">
        <f t="shared" si="681"/>
        <v>586659.33518248028</v>
      </c>
      <c r="BU517" s="532">
        <f t="shared" si="681"/>
        <v>586659.33518248028</v>
      </c>
      <c r="BV517" s="532">
        <f t="shared" si="681"/>
        <v>586659.33518248028</v>
      </c>
      <c r="BW517" s="532">
        <f t="shared" si="681"/>
        <v>586659.33518248028</v>
      </c>
      <c r="BX517" s="532">
        <f t="shared" si="681"/>
        <v>586659.33518248028</v>
      </c>
      <c r="BY517" s="532">
        <f>SUM(BY515:BY516)</f>
        <v>586659.33518248028</v>
      </c>
      <c r="BZ517" s="537"/>
      <c r="CA517" s="537"/>
      <c r="CB517" s="529"/>
    </row>
    <row r="518" spans="1:80" x14ac:dyDescent="0.3">
      <c r="A518" s="648"/>
      <c r="B518" s="648"/>
      <c r="C518" s="648" cm="1">
        <f t="array" ref="C518">SUMPRODUCT((Index_Tab!$D$36:$D$45=$B518)*(Index_Tab!$E$35:$F$35=$B$3)*Index_Tab!$E$36:$F$45)</f>
        <v>0</v>
      </c>
      <c r="D518" s="648"/>
      <c r="E518" s="525" t="s">
        <v>175</v>
      </c>
      <c r="F518" s="575"/>
      <c r="G518" s="575"/>
      <c r="H518" s="529"/>
      <c r="I518" s="531">
        <f t="shared" ref="I518:N518" si="682">IFERROR(I517/I512,0)</f>
        <v>0.44289007449963419</v>
      </c>
      <c r="J518" s="531">
        <f t="shared" si="682"/>
        <v>0.45145195921938086</v>
      </c>
      <c r="K518" s="531">
        <f t="shared" si="682"/>
        <v>0.45944394618768641</v>
      </c>
      <c r="L518" s="531">
        <f t="shared" si="682"/>
        <v>0.46682422196432499</v>
      </c>
      <c r="M518" s="531">
        <f t="shared" si="682"/>
        <v>0.47357932085852283</v>
      </c>
      <c r="N518" s="531">
        <f t="shared" si="682"/>
        <v>0.48017523687425318</v>
      </c>
      <c r="O518" s="546"/>
      <c r="P518" s="564">
        <f t="shared" si="674"/>
        <v>1.6297277918175368E-2</v>
      </c>
      <c r="Q518" s="529"/>
      <c r="R518" s="531">
        <f t="shared" ref="R518:BY518" si="683">IFERROR(R517/R512,0)</f>
        <v>0.45145195921938081</v>
      </c>
      <c r="S518" s="531">
        <f t="shared" si="683"/>
        <v>0.45145195921938081</v>
      </c>
      <c r="T518" s="531">
        <f t="shared" si="683"/>
        <v>0.45145195921938081</v>
      </c>
      <c r="U518" s="531">
        <f t="shared" si="683"/>
        <v>0.45145195921938081</v>
      </c>
      <c r="V518" s="531">
        <f t="shared" si="683"/>
        <v>0.45145195921938081</v>
      </c>
      <c r="W518" s="531">
        <f t="shared" si="683"/>
        <v>0.45145195921938081</v>
      </c>
      <c r="X518" s="531">
        <f t="shared" si="683"/>
        <v>0.45145195921938081</v>
      </c>
      <c r="Y518" s="531">
        <f t="shared" si="683"/>
        <v>0.45145195921938081</v>
      </c>
      <c r="Z518" s="531">
        <f t="shared" si="683"/>
        <v>0.45145195921938081</v>
      </c>
      <c r="AA518" s="531">
        <f t="shared" si="683"/>
        <v>0.45145195921938081</v>
      </c>
      <c r="AB518" s="531">
        <f t="shared" si="683"/>
        <v>0.45145195921938081</v>
      </c>
      <c r="AC518" s="531">
        <f t="shared" si="683"/>
        <v>0.45145195921938081</v>
      </c>
      <c r="AD518" s="531">
        <f t="shared" si="683"/>
        <v>0.45944394618768652</v>
      </c>
      <c r="AE518" s="531">
        <f t="shared" si="683"/>
        <v>0.45944394618768652</v>
      </c>
      <c r="AF518" s="531">
        <f t="shared" si="683"/>
        <v>0.45944394618768652</v>
      </c>
      <c r="AG518" s="531">
        <f t="shared" si="683"/>
        <v>0.45944394618768652</v>
      </c>
      <c r="AH518" s="531">
        <f t="shared" si="683"/>
        <v>0.45944394618768652</v>
      </c>
      <c r="AI518" s="531">
        <f t="shared" si="683"/>
        <v>0.45944394618768652</v>
      </c>
      <c r="AJ518" s="531">
        <f t="shared" si="683"/>
        <v>0.45944394618768652</v>
      </c>
      <c r="AK518" s="531">
        <f t="shared" si="683"/>
        <v>0.45944394618768652</v>
      </c>
      <c r="AL518" s="531">
        <f t="shared" si="683"/>
        <v>0.45944394618768652</v>
      </c>
      <c r="AM518" s="531">
        <f t="shared" si="683"/>
        <v>0.45944394618768652</v>
      </c>
      <c r="AN518" s="531">
        <f t="shared" si="683"/>
        <v>0.45944394618768652</v>
      </c>
      <c r="AO518" s="531">
        <f t="shared" si="683"/>
        <v>0.45944394618768652</v>
      </c>
      <c r="AP518" s="531">
        <f t="shared" si="683"/>
        <v>0.4668242219643251</v>
      </c>
      <c r="AQ518" s="531">
        <f t="shared" si="683"/>
        <v>0.4668242219643251</v>
      </c>
      <c r="AR518" s="531">
        <f t="shared" si="683"/>
        <v>0.4668242219643251</v>
      </c>
      <c r="AS518" s="531">
        <f t="shared" si="683"/>
        <v>0.4668242219643251</v>
      </c>
      <c r="AT518" s="531">
        <f t="shared" si="683"/>
        <v>0.4668242219643251</v>
      </c>
      <c r="AU518" s="531">
        <f t="shared" si="683"/>
        <v>0.4668242219643251</v>
      </c>
      <c r="AV518" s="531">
        <f t="shared" si="683"/>
        <v>0.4668242219643251</v>
      </c>
      <c r="AW518" s="531">
        <f t="shared" si="683"/>
        <v>0.4668242219643251</v>
      </c>
      <c r="AX518" s="531">
        <f t="shared" si="683"/>
        <v>0.4668242219643251</v>
      </c>
      <c r="AY518" s="531">
        <f t="shared" si="683"/>
        <v>0.4668242219643251</v>
      </c>
      <c r="AZ518" s="531">
        <f t="shared" si="683"/>
        <v>0.4668242219643251</v>
      </c>
      <c r="BA518" s="531">
        <f t="shared" si="683"/>
        <v>0.4668242219643251</v>
      </c>
      <c r="BB518" s="531">
        <f t="shared" si="683"/>
        <v>0.47357932085852295</v>
      </c>
      <c r="BC518" s="531">
        <f t="shared" si="683"/>
        <v>0.47357932085852295</v>
      </c>
      <c r="BD518" s="531">
        <f t="shared" si="683"/>
        <v>0.47357932085852295</v>
      </c>
      <c r="BE518" s="531">
        <f t="shared" si="683"/>
        <v>0.47357932085852295</v>
      </c>
      <c r="BF518" s="531">
        <f t="shared" si="683"/>
        <v>0.47357932085852295</v>
      </c>
      <c r="BG518" s="531">
        <f t="shared" si="683"/>
        <v>0.47357932085852295</v>
      </c>
      <c r="BH518" s="531">
        <f t="shared" si="683"/>
        <v>0.47357932085852295</v>
      </c>
      <c r="BI518" s="531">
        <f t="shared" si="683"/>
        <v>0.47357932085852295</v>
      </c>
      <c r="BJ518" s="531">
        <f t="shared" si="683"/>
        <v>0.47357932085852295</v>
      </c>
      <c r="BK518" s="531">
        <f t="shared" si="683"/>
        <v>0.47357932085852295</v>
      </c>
      <c r="BL518" s="531">
        <f t="shared" si="683"/>
        <v>0.47357932085852295</v>
      </c>
      <c r="BM518" s="531">
        <f t="shared" si="683"/>
        <v>0.47357932085852295</v>
      </c>
      <c r="BN518" s="531">
        <f t="shared" si="683"/>
        <v>0.48017523687425318</v>
      </c>
      <c r="BO518" s="531">
        <f t="shared" si="683"/>
        <v>0.48017523687425318</v>
      </c>
      <c r="BP518" s="531">
        <f t="shared" si="683"/>
        <v>0.48017523687425318</v>
      </c>
      <c r="BQ518" s="531">
        <f t="shared" si="683"/>
        <v>0.48017523687425318</v>
      </c>
      <c r="BR518" s="531">
        <f t="shared" si="683"/>
        <v>0.48017523687425318</v>
      </c>
      <c r="BS518" s="531">
        <f t="shared" si="683"/>
        <v>0.48017523687425318</v>
      </c>
      <c r="BT518" s="531">
        <f t="shared" si="683"/>
        <v>0.48017523687425318</v>
      </c>
      <c r="BU518" s="531">
        <f t="shared" si="683"/>
        <v>0.48017523687425318</v>
      </c>
      <c r="BV518" s="531">
        <f t="shared" si="683"/>
        <v>0.48017523687425318</v>
      </c>
      <c r="BW518" s="531">
        <f t="shared" si="683"/>
        <v>0.48017523687425318</v>
      </c>
      <c r="BX518" s="531">
        <f t="shared" si="683"/>
        <v>0.48017523687425318</v>
      </c>
      <c r="BY518" s="531">
        <f t="shared" si="683"/>
        <v>0.48017523687425318</v>
      </c>
      <c r="BZ518" s="537"/>
      <c r="CA518" s="537"/>
      <c r="CB518" s="529"/>
    </row>
    <row r="519" spans="1:80" x14ac:dyDescent="0.3">
      <c r="A519" s="648"/>
      <c r="B519" s="648"/>
      <c r="C519" s="648" cm="1">
        <f t="array" ref="C519">SUMPRODUCT((Index_Tab!$D$36:$D$45=$B519)*(Index_Tab!$E$35:$F$35=$B$3)*Index_Tab!$E$36:$F$45)</f>
        <v>0</v>
      </c>
      <c r="D519" s="648"/>
      <c r="E519" s="525"/>
      <c r="F519" s="575"/>
      <c r="G519" s="575"/>
      <c r="H519" s="529"/>
      <c r="I519" s="529"/>
      <c r="J519" s="529"/>
      <c r="K519" s="529"/>
      <c r="L519" s="529"/>
      <c r="M519" s="529"/>
      <c r="N519" s="529"/>
      <c r="O519" s="529"/>
      <c r="P519" s="660"/>
      <c r="Q519" s="529"/>
      <c r="R519" s="529"/>
      <c r="S519" s="529"/>
      <c r="T519" s="529"/>
      <c r="U519" s="529"/>
      <c r="V519" s="529"/>
      <c r="W519" s="529"/>
      <c r="X519" s="529"/>
      <c r="Y519" s="529"/>
      <c r="Z519" s="529"/>
      <c r="AA519" s="529"/>
      <c r="AB519" s="529"/>
      <c r="AC519" s="529"/>
      <c r="AD519" s="529"/>
      <c r="AE519" s="529"/>
      <c r="AF519" s="529"/>
      <c r="AG519" s="529"/>
      <c r="AH519" s="529"/>
      <c r="AI519" s="529"/>
      <c r="AJ519" s="529"/>
      <c r="AK519" s="529"/>
      <c r="AL519" s="529"/>
      <c r="AM519" s="529"/>
      <c r="AN519" s="529"/>
      <c r="AO519" s="529"/>
      <c r="AP519" s="529"/>
      <c r="AQ519" s="529"/>
      <c r="AR519" s="529"/>
      <c r="AS519" s="529"/>
      <c r="AT519" s="529"/>
      <c r="AU519" s="529"/>
      <c r="AV519" s="529"/>
      <c r="AW519" s="529"/>
      <c r="AX519" s="529"/>
      <c r="AY519" s="529"/>
      <c r="AZ519" s="529"/>
      <c r="BA519" s="529"/>
      <c r="BB519" s="529"/>
      <c r="BC519" s="529"/>
      <c r="BD519" s="529"/>
      <c r="BE519" s="529"/>
      <c r="BF519" s="529"/>
      <c r="BG519" s="529"/>
      <c r="BH519" s="529"/>
      <c r="BI519" s="529"/>
      <c r="BJ519" s="529"/>
      <c r="BK519" s="529"/>
      <c r="BL519" s="529"/>
      <c r="BM519" s="529"/>
      <c r="BN519" s="529"/>
      <c r="BO519" s="529"/>
      <c r="BP519" s="529"/>
      <c r="BQ519" s="529"/>
      <c r="BR519" s="529"/>
      <c r="BS519" s="529"/>
      <c r="BT519" s="529"/>
      <c r="BU519" s="529"/>
      <c r="BV519" s="529"/>
      <c r="BW519" s="529"/>
      <c r="BX519" s="529"/>
      <c r="BY519" s="529"/>
      <c r="BZ519" s="537"/>
      <c r="CA519" s="537"/>
      <c r="CB519" s="529"/>
    </row>
    <row r="520" spans="1:80" x14ac:dyDescent="0.3">
      <c r="A520" s="648"/>
      <c r="B520" s="648"/>
      <c r="C520" s="648" cm="1">
        <f t="array" ref="C520">SUMPRODUCT((Index_Tab!$D$36:$D$45=$B520)*(Index_Tab!$E$35:$F$35=$B$3)*Index_Tab!$E$36:$F$45)</f>
        <v>0</v>
      </c>
      <c r="D520" s="648"/>
      <c r="E520" s="570" t="s">
        <v>23</v>
      </c>
      <c r="F520" s="529"/>
      <c r="G520" s="529"/>
      <c r="H520" s="529"/>
      <c r="I520" s="576"/>
      <c r="J520" s="576"/>
      <c r="K520" s="576"/>
      <c r="L520" s="576"/>
      <c r="M520" s="576"/>
      <c r="N520" s="576"/>
      <c r="O520" s="529"/>
      <c r="P520" s="660"/>
      <c r="Q520" s="529"/>
      <c r="R520" s="529"/>
      <c r="S520" s="529"/>
      <c r="T520" s="529"/>
      <c r="U520" s="529"/>
      <c r="V520" s="529"/>
      <c r="W520" s="529"/>
      <c r="X520" s="529"/>
      <c r="Y520" s="529"/>
      <c r="Z520" s="529"/>
      <c r="AA520" s="529"/>
      <c r="AB520" s="529"/>
      <c r="AC520" s="529"/>
      <c r="AD520" s="529"/>
      <c r="AE520" s="529"/>
      <c r="AF520" s="529"/>
      <c r="AG520" s="529"/>
      <c r="AH520" s="529"/>
      <c r="AI520" s="529"/>
      <c r="AJ520" s="529"/>
      <c r="AK520" s="529"/>
      <c r="AL520" s="529"/>
      <c r="AM520" s="529"/>
      <c r="AN520" s="529"/>
      <c r="AO520" s="529"/>
      <c r="AP520" s="529"/>
      <c r="AQ520" s="529"/>
      <c r="AR520" s="529"/>
      <c r="AS520" s="529"/>
      <c r="AT520" s="529"/>
      <c r="AU520" s="529"/>
      <c r="AV520" s="529"/>
      <c r="AW520" s="529"/>
      <c r="AX520" s="529"/>
      <c r="AY520" s="529"/>
      <c r="AZ520" s="529"/>
      <c r="BA520" s="529"/>
      <c r="BB520" s="529"/>
      <c r="BC520" s="529"/>
      <c r="BD520" s="529"/>
      <c r="BE520" s="529"/>
      <c r="BF520" s="529"/>
      <c r="BG520" s="529"/>
      <c r="BH520" s="529"/>
      <c r="BI520" s="529"/>
      <c r="BJ520" s="529"/>
      <c r="BK520" s="529"/>
      <c r="BL520" s="529"/>
      <c r="BM520" s="529"/>
      <c r="BN520" s="529"/>
      <c r="BO520" s="529"/>
      <c r="BP520" s="529"/>
      <c r="BQ520" s="529"/>
      <c r="BR520" s="529"/>
      <c r="BS520" s="529"/>
      <c r="BT520" s="529"/>
      <c r="BU520" s="529"/>
      <c r="BV520" s="529"/>
      <c r="BW520" s="529"/>
      <c r="BX520" s="529"/>
      <c r="BY520" s="529"/>
      <c r="BZ520" s="537"/>
      <c r="CA520" s="537"/>
      <c r="CB520" s="529"/>
    </row>
    <row r="521" spans="1:80" x14ac:dyDescent="0.3">
      <c r="A521" s="648"/>
      <c r="B521" s="648" t="s">
        <v>6</v>
      </c>
      <c r="C521" s="648" cm="1">
        <f t="array" ref="C521">SUMPRODUCT((Index_Tab!$D$36:$D$45=$B521)*(Index_Tab!$E$35:$F$35=$B$3)*Index_Tab!$E$36:$F$45)</f>
        <v>11</v>
      </c>
      <c r="D521" s="648"/>
      <c r="E521" s="572" t="s">
        <v>391</v>
      </c>
      <c r="F521" s="573"/>
      <c r="G521" s="573"/>
      <c r="H521" s="529"/>
      <c r="I521" s="658">
        <v>1119661.6050219014</v>
      </c>
      <c r="J521" s="661" cm="1">
        <f t="array" ref="J521">I521*(1+INDEX(('Detailed Assumptions'!$D$59:$J$79,'Detailed Assumptions'!$L$59:$R$79,'Detailed Assumptions'!$T$59:$Z$79,'Detailed Assumptions'!$AB$59:$AH$79),$C521,J$2,$C$506))</f>
        <v>1119661.6050219014</v>
      </c>
      <c r="K521" s="661" cm="1">
        <f t="array" ref="K521">J521*(1+INDEX(('Detailed Assumptions'!$D$59:$J$79,'Detailed Assumptions'!$L$59:$R$79,'Detailed Assumptions'!$T$59:$Z$79,'Detailed Assumptions'!$AB$59:$AH$79),$C521,K$2,$C$506))</f>
        <v>1119661.6050219014</v>
      </c>
      <c r="L521" s="661" cm="1">
        <f t="array" ref="L521">K521*(1+INDEX(('Detailed Assumptions'!$D$59:$J$79,'Detailed Assumptions'!$L$59:$R$79,'Detailed Assumptions'!$T$59:$Z$79,'Detailed Assumptions'!$AB$59:$AH$79),$C521,L$2,$C$506))</f>
        <v>1119661.6050219014</v>
      </c>
      <c r="M521" s="661" cm="1">
        <f t="array" ref="M521">L521*(1+INDEX(('Detailed Assumptions'!$D$59:$J$79,'Detailed Assumptions'!$L$59:$R$79,'Detailed Assumptions'!$T$59:$Z$79,'Detailed Assumptions'!$AB$59:$AH$79),$C521,M$2,$C$506))</f>
        <v>1119661.6050219014</v>
      </c>
      <c r="N521" s="661" cm="1">
        <f t="array" ref="N521">M521*(1+INDEX(('Detailed Assumptions'!$D$59:$J$79,'Detailed Assumptions'!$L$59:$R$79,'Detailed Assumptions'!$T$59:$Z$79,'Detailed Assumptions'!$AB$59:$AH$79),$C521,N$2,$C$506))</f>
        <v>1119661.6050219014</v>
      </c>
      <c r="O521" s="536"/>
      <c r="P521" s="568">
        <f t="shared" ref="P521:P527" si="684">IFERROR(((N521/I521)^(1/5))-1,0)</f>
        <v>0</v>
      </c>
      <c r="Q521" s="529"/>
      <c r="R521" s="532">
        <f t="shared" ref="R521:AG523" si="685">(INDEX($I521:$N521,MATCH(R$2,$I$3:$N$3,0)))/12</f>
        <v>93305.133751825124</v>
      </c>
      <c r="S521" s="532">
        <f t="shared" si="685"/>
        <v>93305.133751825124</v>
      </c>
      <c r="T521" s="532">
        <f t="shared" si="685"/>
        <v>93305.133751825124</v>
      </c>
      <c r="U521" s="532">
        <f t="shared" si="685"/>
        <v>93305.133751825124</v>
      </c>
      <c r="V521" s="532">
        <f t="shared" si="685"/>
        <v>93305.133751825124</v>
      </c>
      <c r="W521" s="532">
        <f t="shared" si="685"/>
        <v>93305.133751825124</v>
      </c>
      <c r="X521" s="532">
        <f t="shared" si="685"/>
        <v>93305.133751825124</v>
      </c>
      <c r="Y521" s="532">
        <f t="shared" si="685"/>
        <v>93305.133751825124</v>
      </c>
      <c r="Z521" s="532">
        <f t="shared" si="685"/>
        <v>93305.133751825124</v>
      </c>
      <c r="AA521" s="532">
        <f t="shared" si="685"/>
        <v>93305.133751825124</v>
      </c>
      <c r="AB521" s="532">
        <f t="shared" si="685"/>
        <v>93305.133751825124</v>
      </c>
      <c r="AC521" s="532">
        <f t="shared" si="685"/>
        <v>93305.133751825124</v>
      </c>
      <c r="AD521" s="532">
        <f t="shared" si="685"/>
        <v>93305.133751825124</v>
      </c>
      <c r="AE521" s="532">
        <f t="shared" si="685"/>
        <v>93305.133751825124</v>
      </c>
      <c r="AF521" s="532">
        <f t="shared" si="685"/>
        <v>93305.133751825124</v>
      </c>
      <c r="AG521" s="532">
        <f t="shared" si="685"/>
        <v>93305.133751825124</v>
      </c>
      <c r="AH521" s="532">
        <f t="shared" ref="AH521:AW523" si="686">(INDEX($I521:$N521,MATCH(AH$2,$I$3:$N$3,0)))/12</f>
        <v>93305.133751825124</v>
      </c>
      <c r="AI521" s="532">
        <f t="shared" si="686"/>
        <v>93305.133751825124</v>
      </c>
      <c r="AJ521" s="532">
        <f t="shared" si="686"/>
        <v>93305.133751825124</v>
      </c>
      <c r="AK521" s="532">
        <f t="shared" si="686"/>
        <v>93305.133751825124</v>
      </c>
      <c r="AL521" s="532">
        <f t="shared" si="686"/>
        <v>93305.133751825124</v>
      </c>
      <c r="AM521" s="532">
        <f t="shared" si="686"/>
        <v>93305.133751825124</v>
      </c>
      <c r="AN521" s="532">
        <f t="shared" si="686"/>
        <v>93305.133751825124</v>
      </c>
      <c r="AO521" s="532">
        <f t="shared" si="686"/>
        <v>93305.133751825124</v>
      </c>
      <c r="AP521" s="532">
        <f t="shared" si="686"/>
        <v>93305.133751825124</v>
      </c>
      <c r="AQ521" s="532">
        <f t="shared" si="686"/>
        <v>93305.133751825124</v>
      </c>
      <c r="AR521" s="532">
        <f t="shared" si="686"/>
        <v>93305.133751825124</v>
      </c>
      <c r="AS521" s="532">
        <f t="shared" si="686"/>
        <v>93305.133751825124</v>
      </c>
      <c r="AT521" s="532">
        <f t="shared" si="686"/>
        <v>93305.133751825124</v>
      </c>
      <c r="AU521" s="532">
        <f t="shared" si="686"/>
        <v>93305.133751825124</v>
      </c>
      <c r="AV521" s="532">
        <f t="shared" si="686"/>
        <v>93305.133751825124</v>
      </c>
      <c r="AW521" s="532">
        <f t="shared" si="686"/>
        <v>93305.133751825124</v>
      </c>
      <c r="AX521" s="532">
        <f t="shared" ref="AX521:BM523" si="687">(INDEX($I521:$N521,MATCH(AX$2,$I$3:$N$3,0)))/12</f>
        <v>93305.133751825124</v>
      </c>
      <c r="AY521" s="532">
        <f t="shared" si="687"/>
        <v>93305.133751825124</v>
      </c>
      <c r="AZ521" s="532">
        <f t="shared" si="687"/>
        <v>93305.133751825124</v>
      </c>
      <c r="BA521" s="532">
        <f t="shared" si="687"/>
        <v>93305.133751825124</v>
      </c>
      <c r="BB521" s="532">
        <f t="shared" si="687"/>
        <v>93305.133751825124</v>
      </c>
      <c r="BC521" s="532">
        <f t="shared" si="687"/>
        <v>93305.133751825124</v>
      </c>
      <c r="BD521" s="532">
        <f t="shared" si="687"/>
        <v>93305.133751825124</v>
      </c>
      <c r="BE521" s="532">
        <f t="shared" si="687"/>
        <v>93305.133751825124</v>
      </c>
      <c r="BF521" s="532">
        <f t="shared" si="687"/>
        <v>93305.133751825124</v>
      </c>
      <c r="BG521" s="532">
        <f t="shared" si="687"/>
        <v>93305.133751825124</v>
      </c>
      <c r="BH521" s="532">
        <f t="shared" si="687"/>
        <v>93305.133751825124</v>
      </c>
      <c r="BI521" s="532">
        <f t="shared" si="687"/>
        <v>93305.133751825124</v>
      </c>
      <c r="BJ521" s="532">
        <f t="shared" si="687"/>
        <v>93305.133751825124</v>
      </c>
      <c r="BK521" s="532">
        <f t="shared" si="687"/>
        <v>93305.133751825124</v>
      </c>
      <c r="BL521" s="532">
        <f t="shared" si="687"/>
        <v>93305.133751825124</v>
      </c>
      <c r="BM521" s="532">
        <f t="shared" si="687"/>
        <v>93305.133751825124</v>
      </c>
      <c r="BN521" s="532">
        <f t="shared" ref="BN521:BY523" si="688">(INDEX($I521:$N521,MATCH(BN$2,$I$3:$N$3,0)))/12</f>
        <v>93305.133751825124</v>
      </c>
      <c r="BO521" s="532">
        <f t="shared" si="688"/>
        <v>93305.133751825124</v>
      </c>
      <c r="BP521" s="532">
        <f t="shared" si="688"/>
        <v>93305.133751825124</v>
      </c>
      <c r="BQ521" s="532">
        <f t="shared" si="688"/>
        <v>93305.133751825124</v>
      </c>
      <c r="BR521" s="532">
        <f t="shared" si="688"/>
        <v>93305.133751825124</v>
      </c>
      <c r="BS521" s="532">
        <f t="shared" si="688"/>
        <v>93305.133751825124</v>
      </c>
      <c r="BT521" s="532">
        <f t="shared" si="688"/>
        <v>93305.133751825124</v>
      </c>
      <c r="BU521" s="532">
        <f t="shared" si="688"/>
        <v>93305.133751825124</v>
      </c>
      <c r="BV521" s="532">
        <f t="shared" si="688"/>
        <v>93305.133751825124</v>
      </c>
      <c r="BW521" s="532">
        <f t="shared" si="688"/>
        <v>93305.133751825124</v>
      </c>
      <c r="BX521" s="532">
        <f t="shared" si="688"/>
        <v>93305.133751825124</v>
      </c>
      <c r="BY521" s="532">
        <f t="shared" si="688"/>
        <v>93305.133751825124</v>
      </c>
      <c r="BZ521" s="537"/>
      <c r="CA521" s="537"/>
      <c r="CB521" s="529"/>
    </row>
    <row r="522" spans="1:80" x14ac:dyDescent="0.3">
      <c r="A522" s="648"/>
      <c r="B522" s="648" t="s">
        <v>7</v>
      </c>
      <c r="C522" s="648" cm="1">
        <f t="array" ref="C522">SUMPRODUCT((Index_Tab!$D$36:$D$45=$B522)*(Index_Tab!$E$35:$F$35=$B$3)*Index_Tab!$E$36:$F$45)</f>
        <v>12</v>
      </c>
      <c r="D522" s="648"/>
      <c r="E522" s="525" t="s">
        <v>392</v>
      </c>
      <c r="F522" s="567"/>
      <c r="G522" s="567"/>
      <c r="H522" s="529"/>
      <c r="I522" s="544">
        <v>-571685.56915050291</v>
      </c>
      <c r="J522" s="542" cm="1">
        <f t="array" ref="J522">I522*(1+INDEX(('Detailed Assumptions'!$D$59:$J$79,'Detailed Assumptions'!$L$59:$R$79,'Detailed Assumptions'!$T$59:$Z$79,'Detailed Assumptions'!$AB$59:$AH$79),$C522,J$2,$C$506))</f>
        <v>-571685.56915050291</v>
      </c>
      <c r="K522" s="542" cm="1">
        <f t="array" ref="K522">J522*(1+INDEX(('Detailed Assumptions'!$D$59:$J$79,'Detailed Assumptions'!$L$59:$R$79,'Detailed Assumptions'!$T$59:$Z$79,'Detailed Assumptions'!$AB$59:$AH$79),$C522,K$2,$C$506))</f>
        <v>-571685.56915050291</v>
      </c>
      <c r="L522" s="542" cm="1">
        <f t="array" ref="L522">K522*(1+INDEX(('Detailed Assumptions'!$D$59:$J$79,'Detailed Assumptions'!$L$59:$R$79,'Detailed Assumptions'!$T$59:$Z$79,'Detailed Assumptions'!$AB$59:$AH$79),$C522,L$2,$C$506))</f>
        <v>-571685.56915050291</v>
      </c>
      <c r="M522" s="542" cm="1">
        <f t="array" ref="M522">L522*(1+INDEX(('Detailed Assumptions'!$D$59:$J$79,'Detailed Assumptions'!$L$59:$R$79,'Detailed Assumptions'!$T$59:$Z$79,'Detailed Assumptions'!$AB$59:$AH$79),$C522,M$2,$C$506))</f>
        <v>-571685.56915050291</v>
      </c>
      <c r="N522" s="542" cm="1">
        <f t="array" ref="N522">M522*(1+INDEX(('Detailed Assumptions'!$D$59:$J$79,'Detailed Assumptions'!$L$59:$R$79,'Detailed Assumptions'!$T$59:$Z$79,'Detailed Assumptions'!$AB$59:$AH$79),$C522,N$2,$C$506))</f>
        <v>-571685.56915050291</v>
      </c>
      <c r="O522" s="529"/>
      <c r="P522" s="564">
        <f t="shared" si="684"/>
        <v>0</v>
      </c>
      <c r="Q522" s="529"/>
      <c r="R522" s="527">
        <f t="shared" si="685"/>
        <v>-47640.464095875242</v>
      </c>
      <c r="S522" s="527">
        <f t="shared" si="685"/>
        <v>-47640.464095875242</v>
      </c>
      <c r="T522" s="527">
        <f t="shared" si="685"/>
        <v>-47640.464095875242</v>
      </c>
      <c r="U522" s="527">
        <f t="shared" si="685"/>
        <v>-47640.464095875242</v>
      </c>
      <c r="V522" s="527">
        <f t="shared" si="685"/>
        <v>-47640.464095875242</v>
      </c>
      <c r="W522" s="527">
        <f t="shared" si="685"/>
        <v>-47640.464095875242</v>
      </c>
      <c r="X522" s="527">
        <f t="shared" si="685"/>
        <v>-47640.464095875242</v>
      </c>
      <c r="Y522" s="527">
        <f t="shared" si="685"/>
        <v>-47640.464095875242</v>
      </c>
      <c r="Z522" s="527">
        <f t="shared" si="685"/>
        <v>-47640.464095875242</v>
      </c>
      <c r="AA522" s="527">
        <f t="shared" si="685"/>
        <v>-47640.464095875242</v>
      </c>
      <c r="AB522" s="527">
        <f t="shared" si="685"/>
        <v>-47640.464095875242</v>
      </c>
      <c r="AC522" s="527">
        <f t="shared" si="685"/>
        <v>-47640.464095875242</v>
      </c>
      <c r="AD522" s="527">
        <f t="shared" si="685"/>
        <v>-47640.464095875242</v>
      </c>
      <c r="AE522" s="527">
        <f t="shared" si="685"/>
        <v>-47640.464095875242</v>
      </c>
      <c r="AF522" s="527">
        <f t="shared" si="685"/>
        <v>-47640.464095875242</v>
      </c>
      <c r="AG522" s="527">
        <f t="shared" si="685"/>
        <v>-47640.464095875242</v>
      </c>
      <c r="AH522" s="527">
        <f t="shared" si="686"/>
        <v>-47640.464095875242</v>
      </c>
      <c r="AI522" s="527">
        <f t="shared" si="686"/>
        <v>-47640.464095875242</v>
      </c>
      <c r="AJ522" s="527">
        <f t="shared" si="686"/>
        <v>-47640.464095875242</v>
      </c>
      <c r="AK522" s="527">
        <f t="shared" si="686"/>
        <v>-47640.464095875242</v>
      </c>
      <c r="AL522" s="527">
        <f t="shared" si="686"/>
        <v>-47640.464095875242</v>
      </c>
      <c r="AM522" s="527">
        <f t="shared" si="686"/>
        <v>-47640.464095875242</v>
      </c>
      <c r="AN522" s="527">
        <f t="shared" si="686"/>
        <v>-47640.464095875242</v>
      </c>
      <c r="AO522" s="527">
        <f t="shared" si="686"/>
        <v>-47640.464095875242</v>
      </c>
      <c r="AP522" s="527">
        <f t="shared" si="686"/>
        <v>-47640.464095875242</v>
      </c>
      <c r="AQ522" s="527">
        <f t="shared" si="686"/>
        <v>-47640.464095875242</v>
      </c>
      <c r="AR522" s="527">
        <f t="shared" si="686"/>
        <v>-47640.464095875242</v>
      </c>
      <c r="AS522" s="527">
        <f t="shared" si="686"/>
        <v>-47640.464095875242</v>
      </c>
      <c r="AT522" s="527">
        <f t="shared" si="686"/>
        <v>-47640.464095875242</v>
      </c>
      <c r="AU522" s="527">
        <f t="shared" si="686"/>
        <v>-47640.464095875242</v>
      </c>
      <c r="AV522" s="527">
        <f t="shared" si="686"/>
        <v>-47640.464095875242</v>
      </c>
      <c r="AW522" s="527">
        <f t="shared" si="686"/>
        <v>-47640.464095875242</v>
      </c>
      <c r="AX522" s="527">
        <f t="shared" si="687"/>
        <v>-47640.464095875242</v>
      </c>
      <c r="AY522" s="527">
        <f t="shared" si="687"/>
        <v>-47640.464095875242</v>
      </c>
      <c r="AZ522" s="527">
        <f t="shared" si="687"/>
        <v>-47640.464095875242</v>
      </c>
      <c r="BA522" s="527">
        <f t="shared" si="687"/>
        <v>-47640.464095875242</v>
      </c>
      <c r="BB522" s="527">
        <f t="shared" si="687"/>
        <v>-47640.464095875242</v>
      </c>
      <c r="BC522" s="527">
        <f t="shared" si="687"/>
        <v>-47640.464095875242</v>
      </c>
      <c r="BD522" s="527">
        <f t="shared" si="687"/>
        <v>-47640.464095875242</v>
      </c>
      <c r="BE522" s="527">
        <f t="shared" si="687"/>
        <v>-47640.464095875242</v>
      </c>
      <c r="BF522" s="527">
        <f t="shared" si="687"/>
        <v>-47640.464095875242</v>
      </c>
      <c r="BG522" s="527">
        <f t="shared" si="687"/>
        <v>-47640.464095875242</v>
      </c>
      <c r="BH522" s="527">
        <f t="shared" si="687"/>
        <v>-47640.464095875242</v>
      </c>
      <c r="BI522" s="527">
        <f t="shared" si="687"/>
        <v>-47640.464095875242</v>
      </c>
      <c r="BJ522" s="527">
        <f t="shared" si="687"/>
        <v>-47640.464095875242</v>
      </c>
      <c r="BK522" s="527">
        <f t="shared" si="687"/>
        <v>-47640.464095875242</v>
      </c>
      <c r="BL522" s="527">
        <f t="shared" si="687"/>
        <v>-47640.464095875242</v>
      </c>
      <c r="BM522" s="527">
        <f t="shared" si="687"/>
        <v>-47640.464095875242</v>
      </c>
      <c r="BN522" s="527">
        <f t="shared" si="688"/>
        <v>-47640.464095875242</v>
      </c>
      <c r="BO522" s="527">
        <f t="shared" si="688"/>
        <v>-47640.464095875242</v>
      </c>
      <c r="BP522" s="527">
        <f t="shared" si="688"/>
        <v>-47640.464095875242</v>
      </c>
      <c r="BQ522" s="527">
        <f t="shared" si="688"/>
        <v>-47640.464095875242</v>
      </c>
      <c r="BR522" s="527">
        <f t="shared" si="688"/>
        <v>-47640.464095875242</v>
      </c>
      <c r="BS522" s="527">
        <f t="shared" si="688"/>
        <v>-47640.464095875242</v>
      </c>
      <c r="BT522" s="527">
        <f t="shared" si="688"/>
        <v>-47640.464095875242</v>
      </c>
      <c r="BU522" s="527">
        <f t="shared" si="688"/>
        <v>-47640.464095875242</v>
      </c>
      <c r="BV522" s="527">
        <f t="shared" si="688"/>
        <v>-47640.464095875242</v>
      </c>
      <c r="BW522" s="527">
        <f t="shared" si="688"/>
        <v>-47640.464095875242</v>
      </c>
      <c r="BX522" s="527">
        <f t="shared" si="688"/>
        <v>-47640.464095875242</v>
      </c>
      <c r="BY522" s="527">
        <f t="shared" si="688"/>
        <v>-47640.464095875242</v>
      </c>
      <c r="BZ522" s="537"/>
      <c r="CA522" s="537"/>
      <c r="CB522" s="529"/>
    </row>
    <row r="523" spans="1:80" x14ac:dyDescent="0.3">
      <c r="A523" s="648"/>
      <c r="B523" s="648" t="s">
        <v>8</v>
      </c>
      <c r="C523" s="648" cm="1">
        <f t="array" ref="C523">SUMPRODUCT((Index_Tab!$D$36:$D$45=$B523)*(Index_Tab!$E$35:$F$35=$B$3)*Index_Tab!$E$36:$F$45)</f>
        <v>0</v>
      </c>
      <c r="D523" s="648"/>
      <c r="E523" s="525" t="s">
        <v>393</v>
      </c>
      <c r="F523" s="567"/>
      <c r="G523" s="567"/>
      <c r="H523" s="529"/>
      <c r="I523" s="544">
        <v>-78213.195088549503</v>
      </c>
      <c r="J523" s="542">
        <f>I523*(1+'Detailed Assumptions'!$E$35)</f>
        <v>-78213.195088549503</v>
      </c>
      <c r="K523" s="542">
        <f>J523*(1+'Detailed Assumptions'!$E$35)</f>
        <v>-78213.195088549503</v>
      </c>
      <c r="L523" s="542">
        <f>K523*(1+'Detailed Assumptions'!$E$35)</f>
        <v>-78213.195088549503</v>
      </c>
      <c r="M523" s="542">
        <f>L523*(1+'Detailed Assumptions'!$E$35)</f>
        <v>-78213.195088549503</v>
      </c>
      <c r="N523" s="542">
        <f>M523*(1+'Detailed Assumptions'!$E$35)</f>
        <v>-78213.195088549503</v>
      </c>
      <c r="O523" s="529"/>
      <c r="P523" s="564">
        <f t="shared" si="684"/>
        <v>0</v>
      </c>
      <c r="Q523" s="529"/>
      <c r="R523" s="527">
        <f t="shared" si="685"/>
        <v>-6517.7662573791249</v>
      </c>
      <c r="S523" s="527">
        <f t="shared" si="685"/>
        <v>-6517.7662573791249</v>
      </c>
      <c r="T523" s="527">
        <f t="shared" si="685"/>
        <v>-6517.7662573791249</v>
      </c>
      <c r="U523" s="527">
        <f t="shared" si="685"/>
        <v>-6517.7662573791249</v>
      </c>
      <c r="V523" s="527">
        <f t="shared" si="685"/>
        <v>-6517.7662573791249</v>
      </c>
      <c r="W523" s="527">
        <f t="shared" si="685"/>
        <v>-6517.7662573791249</v>
      </c>
      <c r="X523" s="527">
        <f t="shared" si="685"/>
        <v>-6517.7662573791249</v>
      </c>
      <c r="Y523" s="527">
        <f t="shared" si="685"/>
        <v>-6517.7662573791249</v>
      </c>
      <c r="Z523" s="527">
        <f t="shared" si="685"/>
        <v>-6517.7662573791249</v>
      </c>
      <c r="AA523" s="527">
        <f t="shared" si="685"/>
        <v>-6517.7662573791249</v>
      </c>
      <c r="AB523" s="527">
        <f t="shared" si="685"/>
        <v>-6517.7662573791249</v>
      </c>
      <c r="AC523" s="527">
        <f t="shared" si="685"/>
        <v>-6517.7662573791249</v>
      </c>
      <c r="AD523" s="527">
        <f t="shared" si="685"/>
        <v>-6517.7662573791249</v>
      </c>
      <c r="AE523" s="527">
        <f t="shared" si="685"/>
        <v>-6517.7662573791249</v>
      </c>
      <c r="AF523" s="527">
        <f t="shared" si="685"/>
        <v>-6517.7662573791249</v>
      </c>
      <c r="AG523" s="527">
        <f t="shared" si="685"/>
        <v>-6517.7662573791249</v>
      </c>
      <c r="AH523" s="527">
        <f t="shared" si="686"/>
        <v>-6517.7662573791249</v>
      </c>
      <c r="AI523" s="527">
        <f t="shared" si="686"/>
        <v>-6517.7662573791249</v>
      </c>
      <c r="AJ523" s="527">
        <f t="shared" si="686"/>
        <v>-6517.7662573791249</v>
      </c>
      <c r="AK523" s="527">
        <f t="shared" si="686"/>
        <v>-6517.7662573791249</v>
      </c>
      <c r="AL523" s="527">
        <f t="shared" si="686"/>
        <v>-6517.7662573791249</v>
      </c>
      <c r="AM523" s="527">
        <f t="shared" si="686"/>
        <v>-6517.7662573791249</v>
      </c>
      <c r="AN523" s="527">
        <f t="shared" si="686"/>
        <v>-6517.7662573791249</v>
      </c>
      <c r="AO523" s="527">
        <f t="shared" si="686"/>
        <v>-6517.7662573791249</v>
      </c>
      <c r="AP523" s="527">
        <f t="shared" si="686"/>
        <v>-6517.7662573791249</v>
      </c>
      <c r="AQ523" s="527">
        <f t="shared" si="686"/>
        <v>-6517.7662573791249</v>
      </c>
      <c r="AR523" s="527">
        <f t="shared" si="686"/>
        <v>-6517.7662573791249</v>
      </c>
      <c r="AS523" s="527">
        <f t="shared" si="686"/>
        <v>-6517.7662573791249</v>
      </c>
      <c r="AT523" s="527">
        <f t="shared" si="686"/>
        <v>-6517.7662573791249</v>
      </c>
      <c r="AU523" s="527">
        <f t="shared" si="686"/>
        <v>-6517.7662573791249</v>
      </c>
      <c r="AV523" s="527">
        <f t="shared" si="686"/>
        <v>-6517.7662573791249</v>
      </c>
      <c r="AW523" s="527">
        <f t="shared" si="686"/>
        <v>-6517.7662573791249</v>
      </c>
      <c r="AX523" s="527">
        <f t="shared" si="687"/>
        <v>-6517.7662573791249</v>
      </c>
      <c r="AY523" s="527">
        <f t="shared" si="687"/>
        <v>-6517.7662573791249</v>
      </c>
      <c r="AZ523" s="527">
        <f t="shared" si="687"/>
        <v>-6517.7662573791249</v>
      </c>
      <c r="BA523" s="527">
        <f t="shared" si="687"/>
        <v>-6517.7662573791249</v>
      </c>
      <c r="BB523" s="527">
        <f t="shared" si="687"/>
        <v>-6517.7662573791249</v>
      </c>
      <c r="BC523" s="527">
        <f t="shared" si="687"/>
        <v>-6517.7662573791249</v>
      </c>
      <c r="BD523" s="527">
        <f t="shared" si="687"/>
        <v>-6517.7662573791249</v>
      </c>
      <c r="BE523" s="527">
        <f t="shared" si="687"/>
        <v>-6517.7662573791249</v>
      </c>
      <c r="BF523" s="527">
        <f t="shared" si="687"/>
        <v>-6517.7662573791249</v>
      </c>
      <c r="BG523" s="527">
        <f t="shared" si="687"/>
        <v>-6517.7662573791249</v>
      </c>
      <c r="BH523" s="527">
        <f t="shared" si="687"/>
        <v>-6517.7662573791249</v>
      </c>
      <c r="BI523" s="527">
        <f t="shared" si="687"/>
        <v>-6517.7662573791249</v>
      </c>
      <c r="BJ523" s="527">
        <f t="shared" si="687"/>
        <v>-6517.7662573791249</v>
      </c>
      <c r="BK523" s="527">
        <f t="shared" si="687"/>
        <v>-6517.7662573791249</v>
      </c>
      <c r="BL523" s="527">
        <f t="shared" si="687"/>
        <v>-6517.7662573791249</v>
      </c>
      <c r="BM523" s="527">
        <f t="shared" si="687"/>
        <v>-6517.7662573791249</v>
      </c>
      <c r="BN523" s="527">
        <f t="shared" si="688"/>
        <v>-6517.7662573791249</v>
      </c>
      <c r="BO523" s="527">
        <f t="shared" si="688"/>
        <v>-6517.7662573791249</v>
      </c>
      <c r="BP523" s="527">
        <f t="shared" si="688"/>
        <v>-6517.7662573791249</v>
      </c>
      <c r="BQ523" s="527">
        <f t="shared" si="688"/>
        <v>-6517.7662573791249</v>
      </c>
      <c r="BR523" s="527">
        <f t="shared" si="688"/>
        <v>-6517.7662573791249</v>
      </c>
      <c r="BS523" s="527">
        <f t="shared" si="688"/>
        <v>-6517.7662573791249</v>
      </c>
      <c r="BT523" s="527">
        <f t="shared" si="688"/>
        <v>-6517.7662573791249</v>
      </c>
      <c r="BU523" s="527">
        <f t="shared" si="688"/>
        <v>-6517.7662573791249</v>
      </c>
      <c r="BV523" s="527">
        <f t="shared" si="688"/>
        <v>-6517.7662573791249</v>
      </c>
      <c r="BW523" s="527">
        <f t="shared" si="688"/>
        <v>-6517.7662573791249</v>
      </c>
      <c r="BX523" s="527">
        <f t="shared" si="688"/>
        <v>-6517.7662573791249</v>
      </c>
      <c r="BY523" s="527">
        <f t="shared" si="688"/>
        <v>-6517.7662573791249</v>
      </c>
      <c r="BZ523" s="537"/>
      <c r="CA523" s="537"/>
      <c r="CB523" s="529"/>
    </row>
    <row r="524" spans="1:80" x14ac:dyDescent="0.3">
      <c r="A524" s="648"/>
      <c r="B524" s="648" t="s">
        <v>9</v>
      </c>
      <c r="C524" s="648" cm="1">
        <f t="array" ref="C524">SUMPRODUCT((Index_Tab!$D$36:$D$45=$B524)*(Index_Tab!$E$35:$F$35=$B$3)*Index_Tab!$E$36:$F$45)</f>
        <v>0</v>
      </c>
      <c r="D524" s="648"/>
      <c r="E524" s="572" t="s">
        <v>394</v>
      </c>
      <c r="F524" s="573"/>
      <c r="G524" s="573"/>
      <c r="H524" s="529"/>
      <c r="I524" s="659">
        <v>428049.75999999995</v>
      </c>
      <c r="J524" s="532">
        <f>SUM(J521:J523)</f>
        <v>469762.840782849</v>
      </c>
      <c r="K524" s="532">
        <f>SUM(K521:K523)</f>
        <v>469762.840782849</v>
      </c>
      <c r="L524" s="532">
        <f>SUM(L521:L523)</f>
        <v>469762.840782849</v>
      </c>
      <c r="M524" s="532">
        <f>SUM(M521:M523)</f>
        <v>469762.840782849</v>
      </c>
      <c r="N524" s="532">
        <f>SUM(N521:N523)</f>
        <v>469762.840782849</v>
      </c>
      <c r="O524" s="536"/>
      <c r="P524" s="568">
        <f t="shared" si="684"/>
        <v>1.8771718943155991E-2</v>
      </c>
      <c r="Q524" s="529"/>
      <c r="R524" s="532">
        <f t="shared" ref="R524:BX524" si="689">SUM(R521:R523)</f>
        <v>39146.903398570757</v>
      </c>
      <c r="S524" s="532">
        <f t="shared" si="689"/>
        <v>39146.903398570757</v>
      </c>
      <c r="T524" s="532">
        <f t="shared" si="689"/>
        <v>39146.903398570757</v>
      </c>
      <c r="U524" s="532">
        <f t="shared" si="689"/>
        <v>39146.903398570757</v>
      </c>
      <c r="V524" s="532">
        <f t="shared" si="689"/>
        <v>39146.903398570757</v>
      </c>
      <c r="W524" s="532">
        <f t="shared" si="689"/>
        <v>39146.903398570757</v>
      </c>
      <c r="X524" s="532">
        <f t="shared" si="689"/>
        <v>39146.903398570757</v>
      </c>
      <c r="Y524" s="532">
        <f t="shared" si="689"/>
        <v>39146.903398570757</v>
      </c>
      <c r="Z524" s="532">
        <f t="shared" si="689"/>
        <v>39146.903398570757</v>
      </c>
      <c r="AA524" s="532">
        <f t="shared" si="689"/>
        <v>39146.903398570757</v>
      </c>
      <c r="AB524" s="532">
        <f t="shared" si="689"/>
        <v>39146.903398570757</v>
      </c>
      <c r="AC524" s="532">
        <f t="shared" si="689"/>
        <v>39146.903398570757</v>
      </c>
      <c r="AD524" s="532">
        <f t="shared" si="689"/>
        <v>39146.903398570757</v>
      </c>
      <c r="AE524" s="532">
        <f t="shared" si="689"/>
        <v>39146.903398570757</v>
      </c>
      <c r="AF524" s="532">
        <f t="shared" si="689"/>
        <v>39146.903398570757</v>
      </c>
      <c r="AG524" s="532">
        <f t="shared" si="689"/>
        <v>39146.903398570757</v>
      </c>
      <c r="AH524" s="532">
        <f t="shared" si="689"/>
        <v>39146.903398570757</v>
      </c>
      <c r="AI524" s="532">
        <f t="shared" si="689"/>
        <v>39146.903398570757</v>
      </c>
      <c r="AJ524" s="532">
        <f t="shared" si="689"/>
        <v>39146.903398570757</v>
      </c>
      <c r="AK524" s="532">
        <f t="shared" si="689"/>
        <v>39146.903398570757</v>
      </c>
      <c r="AL524" s="532">
        <f t="shared" si="689"/>
        <v>39146.903398570757</v>
      </c>
      <c r="AM524" s="532">
        <f t="shared" si="689"/>
        <v>39146.903398570757</v>
      </c>
      <c r="AN524" s="532">
        <f t="shared" si="689"/>
        <v>39146.903398570757</v>
      </c>
      <c r="AO524" s="532">
        <f t="shared" si="689"/>
        <v>39146.903398570757</v>
      </c>
      <c r="AP524" s="532">
        <f t="shared" si="689"/>
        <v>39146.903398570757</v>
      </c>
      <c r="AQ524" s="532">
        <f t="shared" si="689"/>
        <v>39146.903398570757</v>
      </c>
      <c r="AR524" s="532">
        <f t="shared" si="689"/>
        <v>39146.903398570757</v>
      </c>
      <c r="AS524" s="532">
        <f t="shared" si="689"/>
        <v>39146.903398570757</v>
      </c>
      <c r="AT524" s="532">
        <f t="shared" si="689"/>
        <v>39146.903398570757</v>
      </c>
      <c r="AU524" s="532">
        <f t="shared" si="689"/>
        <v>39146.903398570757</v>
      </c>
      <c r="AV524" s="532">
        <f t="shared" si="689"/>
        <v>39146.903398570757</v>
      </c>
      <c r="AW524" s="532">
        <f t="shared" si="689"/>
        <v>39146.903398570757</v>
      </c>
      <c r="AX524" s="532">
        <f t="shared" si="689"/>
        <v>39146.903398570757</v>
      </c>
      <c r="AY524" s="532">
        <f t="shared" si="689"/>
        <v>39146.903398570757</v>
      </c>
      <c r="AZ524" s="532">
        <f t="shared" si="689"/>
        <v>39146.903398570757</v>
      </c>
      <c r="BA524" s="532">
        <f t="shared" si="689"/>
        <v>39146.903398570757</v>
      </c>
      <c r="BB524" s="532">
        <f t="shared" si="689"/>
        <v>39146.903398570757</v>
      </c>
      <c r="BC524" s="532">
        <f t="shared" si="689"/>
        <v>39146.903398570757</v>
      </c>
      <c r="BD524" s="532">
        <f t="shared" si="689"/>
        <v>39146.903398570757</v>
      </c>
      <c r="BE524" s="532">
        <f t="shared" si="689"/>
        <v>39146.903398570757</v>
      </c>
      <c r="BF524" s="532">
        <f t="shared" si="689"/>
        <v>39146.903398570757</v>
      </c>
      <c r="BG524" s="532">
        <f t="shared" si="689"/>
        <v>39146.903398570757</v>
      </c>
      <c r="BH524" s="532">
        <f t="shared" si="689"/>
        <v>39146.903398570757</v>
      </c>
      <c r="BI524" s="532">
        <f t="shared" si="689"/>
        <v>39146.903398570757</v>
      </c>
      <c r="BJ524" s="532">
        <f t="shared" si="689"/>
        <v>39146.903398570757</v>
      </c>
      <c r="BK524" s="532">
        <f t="shared" si="689"/>
        <v>39146.903398570757</v>
      </c>
      <c r="BL524" s="532">
        <f t="shared" si="689"/>
        <v>39146.903398570757</v>
      </c>
      <c r="BM524" s="532">
        <f t="shared" si="689"/>
        <v>39146.903398570757</v>
      </c>
      <c r="BN524" s="532">
        <f t="shared" si="689"/>
        <v>39146.903398570757</v>
      </c>
      <c r="BO524" s="532">
        <f t="shared" si="689"/>
        <v>39146.903398570757</v>
      </c>
      <c r="BP524" s="532">
        <f t="shared" si="689"/>
        <v>39146.903398570757</v>
      </c>
      <c r="BQ524" s="532">
        <f t="shared" si="689"/>
        <v>39146.903398570757</v>
      </c>
      <c r="BR524" s="532">
        <f t="shared" si="689"/>
        <v>39146.903398570757</v>
      </c>
      <c r="BS524" s="532">
        <f t="shared" si="689"/>
        <v>39146.903398570757</v>
      </c>
      <c r="BT524" s="532">
        <f t="shared" si="689"/>
        <v>39146.903398570757</v>
      </c>
      <c r="BU524" s="532">
        <f t="shared" si="689"/>
        <v>39146.903398570757</v>
      </c>
      <c r="BV524" s="532">
        <f t="shared" si="689"/>
        <v>39146.903398570757</v>
      </c>
      <c r="BW524" s="532">
        <f t="shared" si="689"/>
        <v>39146.903398570757</v>
      </c>
      <c r="BX524" s="532">
        <f t="shared" si="689"/>
        <v>39146.903398570757</v>
      </c>
      <c r="BY524" s="532">
        <f>SUM(BY521:BY523)</f>
        <v>39146.903398570757</v>
      </c>
      <c r="BZ524" s="537"/>
      <c r="CA524" s="537"/>
      <c r="CB524" s="529"/>
    </row>
    <row r="525" spans="1:80" x14ac:dyDescent="0.3">
      <c r="A525" s="648"/>
      <c r="B525" s="648" t="s">
        <v>10</v>
      </c>
      <c r="C525" s="648" cm="1">
        <f t="array" ref="C525">SUMPRODUCT((Index_Tab!$D$36:$D$45=$B525)*(Index_Tab!$E$35:$F$35=$B$3)*Index_Tab!$E$36:$F$45)</f>
        <v>13</v>
      </c>
      <c r="D525" s="648"/>
      <c r="E525" s="525" t="s">
        <v>395</v>
      </c>
      <c r="F525" s="567"/>
      <c r="G525" s="567"/>
      <c r="H525" s="529"/>
      <c r="I525" s="544">
        <v>-28283.793972514923</v>
      </c>
      <c r="J525" s="542" cm="1">
        <f t="array" ref="J525">I525*(1+INDEX(('Detailed Assumptions'!$D$59:$J$79,'Detailed Assumptions'!$L$59:$R$79,'Detailed Assumptions'!$T$59:$Z$79,'Detailed Assumptions'!$AB$59:$AH$79),$C525,J$2,$C$506))</f>
        <v>-28283.793972514923</v>
      </c>
      <c r="K525" s="542" cm="1">
        <f t="array" ref="K525">J525*(1+INDEX(('Detailed Assumptions'!$D$59:$J$79,'Detailed Assumptions'!$L$59:$R$79,'Detailed Assumptions'!$T$59:$Z$79,'Detailed Assumptions'!$AB$59:$AH$79),$C525,K$2,$C$506))</f>
        <v>-28283.793972514923</v>
      </c>
      <c r="L525" s="542" cm="1">
        <f t="array" ref="L525">K525*(1+INDEX(('Detailed Assumptions'!$D$59:$J$79,'Detailed Assumptions'!$L$59:$R$79,'Detailed Assumptions'!$T$59:$Z$79,'Detailed Assumptions'!$AB$59:$AH$79),$C525,L$2,$C$506))</f>
        <v>-28283.793972514923</v>
      </c>
      <c r="M525" s="542" cm="1">
        <f t="array" ref="M525">L525*(1+INDEX(('Detailed Assumptions'!$D$59:$J$79,'Detailed Assumptions'!$L$59:$R$79,'Detailed Assumptions'!$T$59:$Z$79,'Detailed Assumptions'!$AB$59:$AH$79),$C525,M$2,$C$506))</f>
        <v>-28283.793972514923</v>
      </c>
      <c r="N525" s="542" cm="1">
        <f t="array" ref="N525">M525*(1+INDEX(('Detailed Assumptions'!$D$59:$J$79,'Detailed Assumptions'!$L$59:$R$79,'Detailed Assumptions'!$T$59:$Z$79,'Detailed Assumptions'!$AB$59:$AH$79),$C525,N$2,$C$506))</f>
        <v>-28283.793972514923</v>
      </c>
      <c r="O525" s="529"/>
      <c r="P525" s="564">
        <f t="shared" si="684"/>
        <v>0</v>
      </c>
      <c r="Q525" s="529"/>
      <c r="R525" s="527">
        <f t="shared" ref="R525:BY525" si="690">(INDEX($I525:$N525,MATCH(R$2,$I$3:$N$3,0)))/12</f>
        <v>-2356.9828310429102</v>
      </c>
      <c r="S525" s="527">
        <f t="shared" si="690"/>
        <v>-2356.9828310429102</v>
      </c>
      <c r="T525" s="527">
        <f t="shared" si="690"/>
        <v>-2356.9828310429102</v>
      </c>
      <c r="U525" s="527">
        <f t="shared" si="690"/>
        <v>-2356.9828310429102</v>
      </c>
      <c r="V525" s="527">
        <f t="shared" si="690"/>
        <v>-2356.9828310429102</v>
      </c>
      <c r="W525" s="527">
        <f t="shared" si="690"/>
        <v>-2356.9828310429102</v>
      </c>
      <c r="X525" s="527">
        <f t="shared" si="690"/>
        <v>-2356.9828310429102</v>
      </c>
      <c r="Y525" s="527">
        <f t="shared" si="690"/>
        <v>-2356.9828310429102</v>
      </c>
      <c r="Z525" s="527">
        <f t="shared" si="690"/>
        <v>-2356.9828310429102</v>
      </c>
      <c r="AA525" s="527">
        <f t="shared" si="690"/>
        <v>-2356.9828310429102</v>
      </c>
      <c r="AB525" s="527">
        <f t="shared" si="690"/>
        <v>-2356.9828310429102</v>
      </c>
      <c r="AC525" s="527">
        <f t="shared" si="690"/>
        <v>-2356.9828310429102</v>
      </c>
      <c r="AD525" s="527">
        <f t="shared" si="690"/>
        <v>-2356.9828310429102</v>
      </c>
      <c r="AE525" s="527">
        <f t="shared" si="690"/>
        <v>-2356.9828310429102</v>
      </c>
      <c r="AF525" s="527">
        <f t="shared" si="690"/>
        <v>-2356.9828310429102</v>
      </c>
      <c r="AG525" s="527">
        <f t="shared" si="690"/>
        <v>-2356.9828310429102</v>
      </c>
      <c r="AH525" s="527">
        <f t="shared" si="690"/>
        <v>-2356.9828310429102</v>
      </c>
      <c r="AI525" s="527">
        <f t="shared" si="690"/>
        <v>-2356.9828310429102</v>
      </c>
      <c r="AJ525" s="527">
        <f t="shared" si="690"/>
        <v>-2356.9828310429102</v>
      </c>
      <c r="AK525" s="527">
        <f t="shared" si="690"/>
        <v>-2356.9828310429102</v>
      </c>
      <c r="AL525" s="527">
        <f t="shared" si="690"/>
        <v>-2356.9828310429102</v>
      </c>
      <c r="AM525" s="527">
        <f t="shared" si="690"/>
        <v>-2356.9828310429102</v>
      </c>
      <c r="AN525" s="527">
        <f t="shared" si="690"/>
        <v>-2356.9828310429102</v>
      </c>
      <c r="AO525" s="527">
        <f t="shared" si="690"/>
        <v>-2356.9828310429102</v>
      </c>
      <c r="AP525" s="527">
        <f t="shared" si="690"/>
        <v>-2356.9828310429102</v>
      </c>
      <c r="AQ525" s="527">
        <f t="shared" si="690"/>
        <v>-2356.9828310429102</v>
      </c>
      <c r="AR525" s="527">
        <f t="shared" si="690"/>
        <v>-2356.9828310429102</v>
      </c>
      <c r="AS525" s="527">
        <f t="shared" si="690"/>
        <v>-2356.9828310429102</v>
      </c>
      <c r="AT525" s="527">
        <f t="shared" si="690"/>
        <v>-2356.9828310429102</v>
      </c>
      <c r="AU525" s="527">
        <f t="shared" si="690"/>
        <v>-2356.9828310429102</v>
      </c>
      <c r="AV525" s="527">
        <f t="shared" si="690"/>
        <v>-2356.9828310429102</v>
      </c>
      <c r="AW525" s="527">
        <f t="shared" si="690"/>
        <v>-2356.9828310429102</v>
      </c>
      <c r="AX525" s="527">
        <f t="shared" si="690"/>
        <v>-2356.9828310429102</v>
      </c>
      <c r="AY525" s="527">
        <f t="shared" si="690"/>
        <v>-2356.9828310429102</v>
      </c>
      <c r="AZ525" s="527">
        <f t="shared" si="690"/>
        <v>-2356.9828310429102</v>
      </c>
      <c r="BA525" s="527">
        <f t="shared" si="690"/>
        <v>-2356.9828310429102</v>
      </c>
      <c r="BB525" s="527">
        <f t="shared" si="690"/>
        <v>-2356.9828310429102</v>
      </c>
      <c r="BC525" s="527">
        <f t="shared" si="690"/>
        <v>-2356.9828310429102</v>
      </c>
      <c r="BD525" s="527">
        <f t="shared" si="690"/>
        <v>-2356.9828310429102</v>
      </c>
      <c r="BE525" s="527">
        <f t="shared" si="690"/>
        <v>-2356.9828310429102</v>
      </c>
      <c r="BF525" s="527">
        <f t="shared" si="690"/>
        <v>-2356.9828310429102</v>
      </c>
      <c r="BG525" s="527">
        <f t="shared" si="690"/>
        <v>-2356.9828310429102</v>
      </c>
      <c r="BH525" s="527">
        <f t="shared" si="690"/>
        <v>-2356.9828310429102</v>
      </c>
      <c r="BI525" s="527">
        <f t="shared" si="690"/>
        <v>-2356.9828310429102</v>
      </c>
      <c r="BJ525" s="527">
        <f t="shared" si="690"/>
        <v>-2356.9828310429102</v>
      </c>
      <c r="BK525" s="527">
        <f t="shared" si="690"/>
        <v>-2356.9828310429102</v>
      </c>
      <c r="BL525" s="527">
        <f t="shared" si="690"/>
        <v>-2356.9828310429102</v>
      </c>
      <c r="BM525" s="527">
        <f t="shared" si="690"/>
        <v>-2356.9828310429102</v>
      </c>
      <c r="BN525" s="527">
        <f t="shared" si="690"/>
        <v>-2356.9828310429102</v>
      </c>
      <c r="BO525" s="527">
        <f t="shared" si="690"/>
        <v>-2356.9828310429102</v>
      </c>
      <c r="BP525" s="527">
        <f t="shared" si="690"/>
        <v>-2356.9828310429102</v>
      </c>
      <c r="BQ525" s="527">
        <f t="shared" si="690"/>
        <v>-2356.9828310429102</v>
      </c>
      <c r="BR525" s="527">
        <f t="shared" si="690"/>
        <v>-2356.9828310429102</v>
      </c>
      <c r="BS525" s="527">
        <f t="shared" si="690"/>
        <v>-2356.9828310429102</v>
      </c>
      <c r="BT525" s="527">
        <f t="shared" si="690"/>
        <v>-2356.9828310429102</v>
      </c>
      <c r="BU525" s="527">
        <f t="shared" si="690"/>
        <v>-2356.9828310429102</v>
      </c>
      <c r="BV525" s="527">
        <f t="shared" si="690"/>
        <v>-2356.9828310429102</v>
      </c>
      <c r="BW525" s="527">
        <f t="shared" si="690"/>
        <v>-2356.9828310429102</v>
      </c>
      <c r="BX525" s="527">
        <f t="shared" si="690"/>
        <v>-2356.9828310429102</v>
      </c>
      <c r="BY525" s="527">
        <f t="shared" si="690"/>
        <v>-2356.9828310429102</v>
      </c>
      <c r="BZ525" s="537"/>
      <c r="CA525" s="537"/>
      <c r="CB525" s="529"/>
    </row>
    <row r="526" spans="1:80" x14ac:dyDescent="0.3">
      <c r="A526" s="648"/>
      <c r="B526" s="648" t="s">
        <v>11</v>
      </c>
      <c r="C526" s="648" cm="1">
        <f t="array" ref="C526">SUMPRODUCT((Index_Tab!$D$36:$D$45=$B526)*(Index_Tab!$E$35:$F$35=$B$3)*Index_Tab!$E$36:$F$45)</f>
        <v>0</v>
      </c>
      <c r="D526" s="648"/>
      <c r="E526" s="572" t="s">
        <v>396</v>
      </c>
      <c r="F526" s="573"/>
      <c r="G526" s="573"/>
      <c r="H526" s="529"/>
      <c r="I526" s="659">
        <v>441479.04681033373</v>
      </c>
      <c r="J526" s="532">
        <f>SUM(J524:J525)</f>
        <v>441479.04681033408</v>
      </c>
      <c r="K526" s="532">
        <f>SUM(K524:K525)</f>
        <v>441479.04681033408</v>
      </c>
      <c r="L526" s="532">
        <f>SUM(L524:L525)</f>
        <v>441479.04681033408</v>
      </c>
      <c r="M526" s="532">
        <f>SUM(M524:M525)</f>
        <v>441479.04681033408</v>
      </c>
      <c r="N526" s="532">
        <f>SUM(N524:N525)</f>
        <v>441479.04681033408</v>
      </c>
      <c r="O526" s="536"/>
      <c r="P526" s="568">
        <f t="shared" si="684"/>
        <v>2.2204460492503131E-16</v>
      </c>
      <c r="Q526" s="529"/>
      <c r="R526" s="532">
        <f t="shared" ref="R526:BX526" si="691">SUM(R524:R525)</f>
        <v>36789.92056752785</v>
      </c>
      <c r="S526" s="532">
        <f t="shared" si="691"/>
        <v>36789.92056752785</v>
      </c>
      <c r="T526" s="532">
        <f t="shared" si="691"/>
        <v>36789.92056752785</v>
      </c>
      <c r="U526" s="532">
        <f t="shared" si="691"/>
        <v>36789.92056752785</v>
      </c>
      <c r="V526" s="532">
        <f t="shared" si="691"/>
        <v>36789.92056752785</v>
      </c>
      <c r="W526" s="532">
        <f t="shared" si="691"/>
        <v>36789.92056752785</v>
      </c>
      <c r="X526" s="532">
        <f t="shared" si="691"/>
        <v>36789.92056752785</v>
      </c>
      <c r="Y526" s="532">
        <f t="shared" si="691"/>
        <v>36789.92056752785</v>
      </c>
      <c r="Z526" s="532">
        <f t="shared" si="691"/>
        <v>36789.92056752785</v>
      </c>
      <c r="AA526" s="532">
        <f t="shared" si="691"/>
        <v>36789.92056752785</v>
      </c>
      <c r="AB526" s="532">
        <f t="shared" si="691"/>
        <v>36789.92056752785</v>
      </c>
      <c r="AC526" s="532">
        <f t="shared" si="691"/>
        <v>36789.92056752785</v>
      </c>
      <c r="AD526" s="532">
        <f t="shared" si="691"/>
        <v>36789.92056752785</v>
      </c>
      <c r="AE526" s="532">
        <f t="shared" si="691"/>
        <v>36789.92056752785</v>
      </c>
      <c r="AF526" s="532">
        <f t="shared" si="691"/>
        <v>36789.92056752785</v>
      </c>
      <c r="AG526" s="532">
        <f t="shared" si="691"/>
        <v>36789.92056752785</v>
      </c>
      <c r="AH526" s="532">
        <f t="shared" si="691"/>
        <v>36789.92056752785</v>
      </c>
      <c r="AI526" s="532">
        <f t="shared" si="691"/>
        <v>36789.92056752785</v>
      </c>
      <c r="AJ526" s="532">
        <f t="shared" si="691"/>
        <v>36789.92056752785</v>
      </c>
      <c r="AK526" s="532">
        <f t="shared" si="691"/>
        <v>36789.92056752785</v>
      </c>
      <c r="AL526" s="532">
        <f t="shared" si="691"/>
        <v>36789.92056752785</v>
      </c>
      <c r="AM526" s="532">
        <f t="shared" si="691"/>
        <v>36789.92056752785</v>
      </c>
      <c r="AN526" s="532">
        <f t="shared" si="691"/>
        <v>36789.92056752785</v>
      </c>
      <c r="AO526" s="532">
        <f t="shared" si="691"/>
        <v>36789.92056752785</v>
      </c>
      <c r="AP526" s="532">
        <f t="shared" si="691"/>
        <v>36789.92056752785</v>
      </c>
      <c r="AQ526" s="532">
        <f t="shared" si="691"/>
        <v>36789.92056752785</v>
      </c>
      <c r="AR526" s="532">
        <f t="shared" si="691"/>
        <v>36789.92056752785</v>
      </c>
      <c r="AS526" s="532">
        <f t="shared" si="691"/>
        <v>36789.92056752785</v>
      </c>
      <c r="AT526" s="532">
        <f t="shared" si="691"/>
        <v>36789.92056752785</v>
      </c>
      <c r="AU526" s="532">
        <f t="shared" si="691"/>
        <v>36789.92056752785</v>
      </c>
      <c r="AV526" s="532">
        <f t="shared" si="691"/>
        <v>36789.92056752785</v>
      </c>
      <c r="AW526" s="532">
        <f t="shared" si="691"/>
        <v>36789.92056752785</v>
      </c>
      <c r="AX526" s="532">
        <f t="shared" si="691"/>
        <v>36789.92056752785</v>
      </c>
      <c r="AY526" s="532">
        <f t="shared" si="691"/>
        <v>36789.92056752785</v>
      </c>
      <c r="AZ526" s="532">
        <f t="shared" si="691"/>
        <v>36789.92056752785</v>
      </c>
      <c r="BA526" s="532">
        <f t="shared" si="691"/>
        <v>36789.92056752785</v>
      </c>
      <c r="BB526" s="532">
        <f t="shared" si="691"/>
        <v>36789.92056752785</v>
      </c>
      <c r="BC526" s="532">
        <f t="shared" si="691"/>
        <v>36789.92056752785</v>
      </c>
      <c r="BD526" s="532">
        <f t="shared" si="691"/>
        <v>36789.92056752785</v>
      </c>
      <c r="BE526" s="532">
        <f t="shared" si="691"/>
        <v>36789.92056752785</v>
      </c>
      <c r="BF526" s="532">
        <f t="shared" si="691"/>
        <v>36789.92056752785</v>
      </c>
      <c r="BG526" s="532">
        <f t="shared" si="691"/>
        <v>36789.92056752785</v>
      </c>
      <c r="BH526" s="532">
        <f t="shared" si="691"/>
        <v>36789.92056752785</v>
      </c>
      <c r="BI526" s="532">
        <f t="shared" si="691"/>
        <v>36789.92056752785</v>
      </c>
      <c r="BJ526" s="532">
        <f t="shared" si="691"/>
        <v>36789.92056752785</v>
      </c>
      <c r="BK526" s="532">
        <f t="shared" si="691"/>
        <v>36789.92056752785</v>
      </c>
      <c r="BL526" s="532">
        <f t="shared" si="691"/>
        <v>36789.92056752785</v>
      </c>
      <c r="BM526" s="532">
        <f t="shared" si="691"/>
        <v>36789.92056752785</v>
      </c>
      <c r="BN526" s="532">
        <f t="shared" si="691"/>
        <v>36789.92056752785</v>
      </c>
      <c r="BO526" s="532">
        <f t="shared" si="691"/>
        <v>36789.92056752785</v>
      </c>
      <c r="BP526" s="532">
        <f t="shared" si="691"/>
        <v>36789.92056752785</v>
      </c>
      <c r="BQ526" s="532">
        <f t="shared" si="691"/>
        <v>36789.92056752785</v>
      </c>
      <c r="BR526" s="532">
        <f t="shared" si="691"/>
        <v>36789.92056752785</v>
      </c>
      <c r="BS526" s="532">
        <f t="shared" si="691"/>
        <v>36789.92056752785</v>
      </c>
      <c r="BT526" s="532">
        <f t="shared" si="691"/>
        <v>36789.92056752785</v>
      </c>
      <c r="BU526" s="532">
        <f t="shared" si="691"/>
        <v>36789.92056752785</v>
      </c>
      <c r="BV526" s="532">
        <f t="shared" si="691"/>
        <v>36789.92056752785</v>
      </c>
      <c r="BW526" s="532">
        <f t="shared" si="691"/>
        <v>36789.92056752785</v>
      </c>
      <c r="BX526" s="532">
        <f t="shared" si="691"/>
        <v>36789.92056752785</v>
      </c>
      <c r="BY526" s="532">
        <f>SUM(BY524:BY525)</f>
        <v>36789.92056752785</v>
      </c>
      <c r="BZ526" s="537"/>
      <c r="CA526" s="537"/>
      <c r="CB526" s="529"/>
    </row>
    <row r="527" spans="1:80" x14ac:dyDescent="0.3">
      <c r="A527" s="648"/>
      <c r="B527" s="648"/>
      <c r="C527" s="648" cm="1">
        <f t="array" ref="C527">SUMPRODUCT((Index_Tab!$D$36:$D$45=$B527)*(Index_Tab!$E$35:$F$35=$B$3)*Index_Tab!$E$36:$F$45)</f>
        <v>0</v>
      </c>
      <c r="D527" s="648"/>
      <c r="E527" s="525" t="s">
        <v>176</v>
      </c>
      <c r="F527" s="576"/>
      <c r="G527" s="576"/>
      <c r="H527" s="529"/>
      <c r="I527" s="531">
        <f t="shared" ref="I527:N527" si="692">IFERROR(I526/I521,0)</f>
        <v>0.39429685257600494</v>
      </c>
      <c r="J527" s="531">
        <f t="shared" si="692"/>
        <v>0.39429685257600522</v>
      </c>
      <c r="K527" s="531">
        <f t="shared" si="692"/>
        <v>0.39429685257600522</v>
      </c>
      <c r="L527" s="531">
        <f t="shared" si="692"/>
        <v>0.39429685257600522</v>
      </c>
      <c r="M527" s="531">
        <f t="shared" si="692"/>
        <v>0.39429685257600522</v>
      </c>
      <c r="N527" s="531">
        <f t="shared" si="692"/>
        <v>0.39429685257600522</v>
      </c>
      <c r="O527" s="546"/>
      <c r="P527" s="564">
        <f t="shared" si="684"/>
        <v>2.2204460492503131E-16</v>
      </c>
      <c r="Q527" s="529"/>
      <c r="R527" s="531">
        <f>IFERROR(J526/J521,0)</f>
        <v>0.39429685257600522</v>
      </c>
      <c r="S527" s="531">
        <f t="shared" ref="S527:BY527" si="693">IFERROR(K526/K521,0)</f>
        <v>0.39429685257600522</v>
      </c>
      <c r="T527" s="531">
        <f t="shared" si="693"/>
        <v>0.39429685257600522</v>
      </c>
      <c r="U527" s="531">
        <f t="shared" si="693"/>
        <v>0.39429685257600522</v>
      </c>
      <c r="V527" s="531">
        <f t="shared" si="693"/>
        <v>0.39429685257600522</v>
      </c>
      <c r="W527" s="531">
        <f t="shared" si="693"/>
        <v>0</v>
      </c>
      <c r="X527" s="531">
        <f t="shared" si="693"/>
        <v>0</v>
      </c>
      <c r="Y527" s="531">
        <f t="shared" si="693"/>
        <v>0</v>
      </c>
      <c r="Z527" s="531">
        <f t="shared" si="693"/>
        <v>0.39429685257600533</v>
      </c>
      <c r="AA527" s="531">
        <f t="shared" si="693"/>
        <v>0.39429685257600533</v>
      </c>
      <c r="AB527" s="531">
        <f t="shared" si="693"/>
        <v>0.39429685257600533</v>
      </c>
      <c r="AC527" s="531">
        <f t="shared" si="693"/>
        <v>0.39429685257600533</v>
      </c>
      <c r="AD527" s="531">
        <f t="shared" si="693"/>
        <v>0.39429685257600533</v>
      </c>
      <c r="AE527" s="531">
        <f t="shared" si="693"/>
        <v>0.39429685257600533</v>
      </c>
      <c r="AF527" s="531">
        <f t="shared" si="693"/>
        <v>0.39429685257600533</v>
      </c>
      <c r="AG527" s="531">
        <f t="shared" si="693"/>
        <v>0.39429685257600533</v>
      </c>
      <c r="AH527" s="531">
        <f t="shared" si="693"/>
        <v>0.39429685257600533</v>
      </c>
      <c r="AI527" s="531">
        <f t="shared" si="693"/>
        <v>0.39429685257600533</v>
      </c>
      <c r="AJ527" s="531">
        <f t="shared" si="693"/>
        <v>0.39429685257600533</v>
      </c>
      <c r="AK527" s="531">
        <f t="shared" si="693"/>
        <v>0.39429685257600533</v>
      </c>
      <c r="AL527" s="531">
        <f t="shared" si="693"/>
        <v>0.39429685257600533</v>
      </c>
      <c r="AM527" s="531">
        <f t="shared" si="693"/>
        <v>0.39429685257600533</v>
      </c>
      <c r="AN527" s="531">
        <f t="shared" si="693"/>
        <v>0.39429685257600533</v>
      </c>
      <c r="AO527" s="531">
        <f t="shared" si="693"/>
        <v>0.39429685257600533</v>
      </c>
      <c r="AP527" s="531">
        <f t="shared" si="693"/>
        <v>0.39429685257600533</v>
      </c>
      <c r="AQ527" s="531">
        <f t="shared" si="693"/>
        <v>0.39429685257600533</v>
      </c>
      <c r="AR527" s="531">
        <f t="shared" si="693"/>
        <v>0.39429685257600533</v>
      </c>
      <c r="AS527" s="531">
        <f t="shared" si="693"/>
        <v>0.39429685257600533</v>
      </c>
      <c r="AT527" s="531">
        <f t="shared" si="693"/>
        <v>0.39429685257600533</v>
      </c>
      <c r="AU527" s="531">
        <f t="shared" si="693"/>
        <v>0.39429685257600533</v>
      </c>
      <c r="AV527" s="531">
        <f t="shared" si="693"/>
        <v>0.39429685257600533</v>
      </c>
      <c r="AW527" s="531">
        <f t="shared" si="693"/>
        <v>0.39429685257600533</v>
      </c>
      <c r="AX527" s="531">
        <f t="shared" si="693"/>
        <v>0.39429685257600533</v>
      </c>
      <c r="AY527" s="531">
        <f t="shared" si="693"/>
        <v>0.39429685257600533</v>
      </c>
      <c r="AZ527" s="531">
        <f t="shared" si="693"/>
        <v>0.39429685257600533</v>
      </c>
      <c r="BA527" s="531">
        <f t="shared" si="693"/>
        <v>0.39429685257600533</v>
      </c>
      <c r="BB527" s="531">
        <f t="shared" si="693"/>
        <v>0.39429685257600533</v>
      </c>
      <c r="BC527" s="531">
        <f t="shared" si="693"/>
        <v>0.39429685257600533</v>
      </c>
      <c r="BD527" s="531">
        <f t="shared" si="693"/>
        <v>0.39429685257600533</v>
      </c>
      <c r="BE527" s="531">
        <f t="shared" si="693"/>
        <v>0.39429685257600533</v>
      </c>
      <c r="BF527" s="531">
        <f t="shared" si="693"/>
        <v>0.39429685257600533</v>
      </c>
      <c r="BG527" s="531">
        <f t="shared" si="693"/>
        <v>0.39429685257600533</v>
      </c>
      <c r="BH527" s="531">
        <f t="shared" si="693"/>
        <v>0.39429685257600533</v>
      </c>
      <c r="BI527" s="531">
        <f t="shared" si="693"/>
        <v>0.39429685257600533</v>
      </c>
      <c r="BJ527" s="531">
        <f t="shared" si="693"/>
        <v>0.39429685257600533</v>
      </c>
      <c r="BK527" s="531">
        <f t="shared" si="693"/>
        <v>0.39429685257600533</v>
      </c>
      <c r="BL527" s="531">
        <f t="shared" si="693"/>
        <v>0.39429685257600533</v>
      </c>
      <c r="BM527" s="531">
        <f t="shared" si="693"/>
        <v>0.39429685257600533</v>
      </c>
      <c r="BN527" s="531">
        <f t="shared" si="693"/>
        <v>0.39429685257600533</v>
      </c>
      <c r="BO527" s="531">
        <f t="shared" si="693"/>
        <v>0.39429685257600533</v>
      </c>
      <c r="BP527" s="531">
        <f t="shared" si="693"/>
        <v>0.39429685257600533</v>
      </c>
      <c r="BQ527" s="531">
        <f t="shared" si="693"/>
        <v>0.39429685257600533</v>
      </c>
      <c r="BR527" s="531">
        <f t="shared" si="693"/>
        <v>0.39429685257600533</v>
      </c>
      <c r="BS527" s="531">
        <f t="shared" si="693"/>
        <v>0.39429685257600533</v>
      </c>
      <c r="BT527" s="531">
        <f t="shared" si="693"/>
        <v>0.39429685257600533</v>
      </c>
      <c r="BU527" s="531">
        <f t="shared" si="693"/>
        <v>0.39429685257600533</v>
      </c>
      <c r="BV527" s="531">
        <f t="shared" si="693"/>
        <v>0.39429685257600533</v>
      </c>
      <c r="BW527" s="531">
        <f t="shared" si="693"/>
        <v>0.39429685257600533</v>
      </c>
      <c r="BX527" s="531">
        <f t="shared" si="693"/>
        <v>0.39429685257600533</v>
      </c>
      <c r="BY527" s="531">
        <f t="shared" si="693"/>
        <v>0.39429685257600533</v>
      </c>
      <c r="BZ527" s="537"/>
      <c r="CA527" s="537"/>
      <c r="CB527" s="529"/>
    </row>
    <row r="528" spans="1:80" x14ac:dyDescent="0.3">
      <c r="A528" s="648"/>
      <c r="B528" s="648"/>
      <c r="C528" s="648" cm="1">
        <f t="array" ref="C528">SUMPRODUCT((Index_Tab!$D$36:$D$45=$B528)*(Index_Tab!$E$35:$F$35=$B$3)*Index_Tab!$E$36:$F$45)</f>
        <v>0</v>
      </c>
      <c r="D528" s="648"/>
      <c r="E528" s="525"/>
      <c r="F528" s="576"/>
      <c r="G528" s="576"/>
      <c r="H528" s="529"/>
      <c r="I528" s="533"/>
      <c r="J528" s="533"/>
      <c r="K528" s="533"/>
      <c r="L528" s="533"/>
      <c r="M528" s="533"/>
      <c r="N528" s="533"/>
      <c r="O528" s="533"/>
      <c r="P528" s="662"/>
      <c r="Q528" s="529"/>
      <c r="R528" s="533"/>
      <c r="S528" s="533"/>
      <c r="T528" s="533"/>
      <c r="U528" s="533"/>
      <c r="V528" s="533"/>
      <c r="W528" s="533"/>
      <c r="X528" s="533"/>
      <c r="Y528" s="533"/>
      <c r="Z528" s="533"/>
      <c r="AA528" s="533"/>
      <c r="AB528" s="533"/>
      <c r="AC528" s="533"/>
      <c r="AD528" s="533"/>
      <c r="AE528" s="533"/>
      <c r="AF528" s="533"/>
      <c r="AG528" s="533"/>
      <c r="AH528" s="533"/>
      <c r="AI528" s="533"/>
      <c r="AJ528" s="533"/>
      <c r="AK528" s="533"/>
      <c r="AL528" s="533"/>
      <c r="AM528" s="533"/>
      <c r="AN528" s="533"/>
      <c r="AO528" s="533"/>
      <c r="AP528" s="533"/>
      <c r="AQ528" s="533"/>
      <c r="AR528" s="533"/>
      <c r="AS528" s="533"/>
      <c r="AT528" s="533"/>
      <c r="AU528" s="533"/>
      <c r="AV528" s="533"/>
      <c r="AW528" s="533"/>
      <c r="AX528" s="533"/>
      <c r="AY528" s="533"/>
      <c r="AZ528" s="533"/>
      <c r="BA528" s="533"/>
      <c r="BB528" s="533"/>
      <c r="BC528" s="533"/>
      <c r="BD528" s="533"/>
      <c r="BE528" s="533"/>
      <c r="BF528" s="533"/>
      <c r="BG528" s="533"/>
      <c r="BH528" s="533"/>
      <c r="BI528" s="533"/>
      <c r="BJ528" s="533"/>
      <c r="BK528" s="533"/>
      <c r="BL528" s="533"/>
      <c r="BM528" s="533"/>
      <c r="BN528" s="533"/>
      <c r="BO528" s="533"/>
      <c r="BP528" s="533"/>
      <c r="BQ528" s="533"/>
      <c r="BR528" s="533"/>
      <c r="BS528" s="533"/>
      <c r="BT528" s="533"/>
      <c r="BU528" s="533"/>
      <c r="BV528" s="533"/>
      <c r="BW528" s="533"/>
      <c r="BX528" s="533"/>
      <c r="BY528" s="533"/>
      <c r="BZ528" s="537"/>
      <c r="CA528" s="537"/>
      <c r="CB528" s="529"/>
    </row>
    <row r="529" spans="1:80" x14ac:dyDescent="0.3">
      <c r="A529" s="648"/>
      <c r="B529" s="648" t="s">
        <v>12</v>
      </c>
      <c r="C529" s="648" cm="1">
        <f t="array" ref="C529">SUMPRODUCT((Index_Tab!$D$36:$D$45=$B529)*(Index_Tab!$E$35:$F$35=$B$3)*Index_Tab!$E$36:$F$45)</f>
        <v>0</v>
      </c>
      <c r="D529" s="648"/>
      <c r="E529" s="578" t="s">
        <v>24</v>
      </c>
      <c r="F529" s="579"/>
      <c r="G529" s="579"/>
      <c r="H529" s="529"/>
      <c r="I529" s="534">
        <f t="shared" ref="I529:N529" si="694">SUM(I526,I517)</f>
        <v>5897046.331626201</v>
      </c>
      <c r="J529" s="534">
        <f t="shared" si="694"/>
        <v>6211264.448218869</v>
      </c>
      <c r="K529" s="534">
        <f t="shared" si="694"/>
        <v>6527877.0341803487</v>
      </c>
      <c r="L529" s="534">
        <f t="shared" si="694"/>
        <v>6843891.93135879</v>
      </c>
      <c r="M529" s="534">
        <f t="shared" si="694"/>
        <v>7156824.2461081259</v>
      </c>
      <c r="N529" s="534">
        <f t="shared" si="694"/>
        <v>7481391.0690000989</v>
      </c>
      <c r="O529" s="536"/>
      <c r="P529" s="568">
        <f>IFERROR(((N529/I529)^(1/5))-1,0)</f>
        <v>4.8744179178953795E-2</v>
      </c>
      <c r="Q529" s="529"/>
      <c r="R529" s="534">
        <f t="shared" ref="R529:BY529" si="695">SUM(R526,R517)</f>
        <v>517605.37068490579</v>
      </c>
      <c r="S529" s="534">
        <f t="shared" si="695"/>
        <v>517605.37068490579</v>
      </c>
      <c r="T529" s="534">
        <f t="shared" si="695"/>
        <v>517605.37068490579</v>
      </c>
      <c r="U529" s="534">
        <f t="shared" si="695"/>
        <v>517605.37068490579</v>
      </c>
      <c r="V529" s="534">
        <f t="shared" si="695"/>
        <v>517605.37068490579</v>
      </c>
      <c r="W529" s="534">
        <f t="shared" si="695"/>
        <v>517605.37068490579</v>
      </c>
      <c r="X529" s="534">
        <f t="shared" si="695"/>
        <v>517605.37068490579</v>
      </c>
      <c r="Y529" s="534">
        <f t="shared" si="695"/>
        <v>517605.37068490579</v>
      </c>
      <c r="Z529" s="534">
        <f t="shared" si="695"/>
        <v>517605.37068490579</v>
      </c>
      <c r="AA529" s="534">
        <f t="shared" si="695"/>
        <v>517605.37068490579</v>
      </c>
      <c r="AB529" s="534">
        <f t="shared" si="695"/>
        <v>517605.37068490579</v>
      </c>
      <c r="AC529" s="534">
        <f t="shared" si="695"/>
        <v>517605.37068490579</v>
      </c>
      <c r="AD529" s="534">
        <f t="shared" si="695"/>
        <v>543989.75284836243</v>
      </c>
      <c r="AE529" s="534">
        <f t="shared" si="695"/>
        <v>543989.75284836243</v>
      </c>
      <c r="AF529" s="534">
        <f t="shared" si="695"/>
        <v>543989.75284836243</v>
      </c>
      <c r="AG529" s="534">
        <f t="shared" si="695"/>
        <v>543989.75284836243</v>
      </c>
      <c r="AH529" s="534">
        <f t="shared" si="695"/>
        <v>543989.75284836243</v>
      </c>
      <c r="AI529" s="534">
        <f t="shared" si="695"/>
        <v>543989.75284836243</v>
      </c>
      <c r="AJ529" s="534">
        <f t="shared" si="695"/>
        <v>543989.75284836243</v>
      </c>
      <c r="AK529" s="534">
        <f t="shared" si="695"/>
        <v>543989.75284836243</v>
      </c>
      <c r="AL529" s="534">
        <f t="shared" si="695"/>
        <v>543989.75284836243</v>
      </c>
      <c r="AM529" s="534">
        <f t="shared" si="695"/>
        <v>543989.75284836243</v>
      </c>
      <c r="AN529" s="534">
        <f t="shared" si="695"/>
        <v>543989.75284836243</v>
      </c>
      <c r="AO529" s="534">
        <f t="shared" si="695"/>
        <v>543989.75284836243</v>
      </c>
      <c r="AP529" s="534">
        <f t="shared" si="695"/>
        <v>570324.32761323254</v>
      </c>
      <c r="AQ529" s="534">
        <f t="shared" si="695"/>
        <v>570324.32761323254</v>
      </c>
      <c r="AR529" s="534">
        <f t="shared" si="695"/>
        <v>570324.32761323254</v>
      </c>
      <c r="AS529" s="534">
        <f t="shared" si="695"/>
        <v>570324.32761323254</v>
      </c>
      <c r="AT529" s="534">
        <f t="shared" si="695"/>
        <v>570324.32761323254</v>
      </c>
      <c r="AU529" s="534">
        <f t="shared" si="695"/>
        <v>570324.32761323254</v>
      </c>
      <c r="AV529" s="534">
        <f t="shared" si="695"/>
        <v>570324.32761323254</v>
      </c>
      <c r="AW529" s="534">
        <f t="shared" si="695"/>
        <v>570324.32761323254</v>
      </c>
      <c r="AX529" s="534">
        <f t="shared" si="695"/>
        <v>570324.32761323254</v>
      </c>
      <c r="AY529" s="534">
        <f t="shared" si="695"/>
        <v>570324.32761323254</v>
      </c>
      <c r="AZ529" s="534">
        <f t="shared" si="695"/>
        <v>570324.32761323254</v>
      </c>
      <c r="BA529" s="534">
        <f t="shared" si="695"/>
        <v>570324.32761323254</v>
      </c>
      <c r="BB529" s="534">
        <f t="shared" si="695"/>
        <v>596402.02050901065</v>
      </c>
      <c r="BC529" s="534">
        <f t="shared" si="695"/>
        <v>596402.02050901065</v>
      </c>
      <c r="BD529" s="534">
        <f t="shared" si="695"/>
        <v>596402.02050901065</v>
      </c>
      <c r="BE529" s="534">
        <f t="shared" si="695"/>
        <v>596402.02050901065</v>
      </c>
      <c r="BF529" s="534">
        <f t="shared" si="695"/>
        <v>596402.02050901065</v>
      </c>
      <c r="BG529" s="534">
        <f t="shared" si="695"/>
        <v>596402.02050901065</v>
      </c>
      <c r="BH529" s="534">
        <f t="shared" si="695"/>
        <v>596402.02050901065</v>
      </c>
      <c r="BI529" s="534">
        <f t="shared" si="695"/>
        <v>596402.02050901065</v>
      </c>
      <c r="BJ529" s="534">
        <f t="shared" si="695"/>
        <v>596402.02050901065</v>
      </c>
      <c r="BK529" s="534">
        <f t="shared" si="695"/>
        <v>596402.02050901065</v>
      </c>
      <c r="BL529" s="534">
        <f t="shared" si="695"/>
        <v>596402.02050901065</v>
      </c>
      <c r="BM529" s="534">
        <f t="shared" si="695"/>
        <v>596402.02050901065</v>
      </c>
      <c r="BN529" s="534">
        <f t="shared" si="695"/>
        <v>623449.25575000816</v>
      </c>
      <c r="BO529" s="534">
        <f t="shared" si="695"/>
        <v>623449.25575000816</v>
      </c>
      <c r="BP529" s="534">
        <f t="shared" si="695"/>
        <v>623449.25575000816</v>
      </c>
      <c r="BQ529" s="534">
        <f t="shared" si="695"/>
        <v>623449.25575000816</v>
      </c>
      <c r="BR529" s="534">
        <f t="shared" si="695"/>
        <v>623449.25575000816</v>
      </c>
      <c r="BS529" s="534">
        <f t="shared" si="695"/>
        <v>623449.25575000816</v>
      </c>
      <c r="BT529" s="534">
        <f t="shared" si="695"/>
        <v>623449.25575000816</v>
      </c>
      <c r="BU529" s="534">
        <f t="shared" si="695"/>
        <v>623449.25575000816</v>
      </c>
      <c r="BV529" s="534">
        <f t="shared" si="695"/>
        <v>623449.25575000816</v>
      </c>
      <c r="BW529" s="534">
        <f t="shared" si="695"/>
        <v>623449.25575000816</v>
      </c>
      <c r="BX529" s="534">
        <f t="shared" si="695"/>
        <v>623449.25575000816</v>
      </c>
      <c r="BY529" s="534">
        <f t="shared" si="695"/>
        <v>623449.25575000816</v>
      </c>
      <c r="BZ529" s="537"/>
      <c r="CA529" s="537"/>
      <c r="CB529" s="529"/>
    </row>
    <row r="530" spans="1:80" x14ac:dyDescent="0.3">
      <c r="A530" s="648"/>
      <c r="B530" s="648"/>
      <c r="C530" s="648" cm="1">
        <f t="array" ref="C530">SUMPRODUCT((Index_Tab!$D$36:$D$45=$B530)*(Index_Tab!$E$35:$F$35=$B$3)*Index_Tab!$E$36:$F$45)</f>
        <v>0</v>
      </c>
      <c r="D530" s="648"/>
      <c r="E530" s="525" t="s">
        <v>177</v>
      </c>
      <c r="F530" s="529"/>
      <c r="G530" s="529"/>
      <c r="H530" s="529"/>
      <c r="I530" s="531">
        <f t="shared" ref="I530:N530" si="696">IFERROR(I529/(I512+I521),0)</f>
        <v>0.43884119057877113</v>
      </c>
      <c r="J530" s="531">
        <f t="shared" si="696"/>
        <v>0.44684810329509345</v>
      </c>
      <c r="K530" s="531">
        <f t="shared" si="696"/>
        <v>0.45436683713023046</v>
      </c>
      <c r="L530" s="531">
        <f t="shared" si="696"/>
        <v>0.4613500785991082</v>
      </c>
      <c r="M530" s="531">
        <f t="shared" si="696"/>
        <v>0.46777725443170454</v>
      </c>
      <c r="N530" s="531">
        <f t="shared" si="696"/>
        <v>0.47408208728605544</v>
      </c>
      <c r="O530" s="546"/>
      <c r="P530" s="564">
        <f>IFERROR(((N530/I530)^(1/5))-1,0)</f>
        <v>1.556852449026791E-2</v>
      </c>
      <c r="Q530" s="537"/>
      <c r="R530" s="531">
        <f t="shared" ref="R530:BY530" si="697">IFERROR(R529/(R512+R521),0)</f>
        <v>0.44684810329509345</v>
      </c>
      <c r="S530" s="531">
        <f t="shared" si="697"/>
        <v>0.44684810329509345</v>
      </c>
      <c r="T530" s="531">
        <f t="shared" si="697"/>
        <v>0.44684810329509345</v>
      </c>
      <c r="U530" s="531">
        <f t="shared" si="697"/>
        <v>0.44684810329509345</v>
      </c>
      <c r="V530" s="531">
        <f t="shared" si="697"/>
        <v>0.44684810329509345</v>
      </c>
      <c r="W530" s="531">
        <f t="shared" si="697"/>
        <v>0.44684810329509345</v>
      </c>
      <c r="X530" s="531">
        <f t="shared" si="697"/>
        <v>0.44684810329509345</v>
      </c>
      <c r="Y530" s="531">
        <f t="shared" si="697"/>
        <v>0.44684810329509345</v>
      </c>
      <c r="Z530" s="531">
        <f t="shared" si="697"/>
        <v>0.44684810329509345</v>
      </c>
      <c r="AA530" s="531">
        <f t="shared" si="697"/>
        <v>0.44684810329509345</v>
      </c>
      <c r="AB530" s="531">
        <f t="shared" si="697"/>
        <v>0.44684810329509345</v>
      </c>
      <c r="AC530" s="531">
        <f t="shared" si="697"/>
        <v>0.44684810329509345</v>
      </c>
      <c r="AD530" s="531">
        <f t="shared" si="697"/>
        <v>0.45436683713023052</v>
      </c>
      <c r="AE530" s="531">
        <f t="shared" si="697"/>
        <v>0.45436683713023052</v>
      </c>
      <c r="AF530" s="531">
        <f t="shared" si="697"/>
        <v>0.45436683713023052</v>
      </c>
      <c r="AG530" s="531">
        <f t="shared" si="697"/>
        <v>0.45436683713023052</v>
      </c>
      <c r="AH530" s="531">
        <f t="shared" si="697"/>
        <v>0.45436683713023052</v>
      </c>
      <c r="AI530" s="531">
        <f t="shared" si="697"/>
        <v>0.45436683713023052</v>
      </c>
      <c r="AJ530" s="531">
        <f t="shared" si="697"/>
        <v>0.45436683713023052</v>
      </c>
      <c r="AK530" s="531">
        <f t="shared" si="697"/>
        <v>0.45436683713023052</v>
      </c>
      <c r="AL530" s="531">
        <f t="shared" si="697"/>
        <v>0.45436683713023052</v>
      </c>
      <c r="AM530" s="531">
        <f t="shared" si="697"/>
        <v>0.45436683713023052</v>
      </c>
      <c r="AN530" s="531">
        <f t="shared" si="697"/>
        <v>0.45436683713023052</v>
      </c>
      <c r="AO530" s="531">
        <f t="shared" si="697"/>
        <v>0.45436683713023052</v>
      </c>
      <c r="AP530" s="531">
        <f t="shared" si="697"/>
        <v>0.4613500785991082</v>
      </c>
      <c r="AQ530" s="531">
        <f t="shared" si="697"/>
        <v>0.4613500785991082</v>
      </c>
      <c r="AR530" s="531">
        <f t="shared" si="697"/>
        <v>0.4613500785991082</v>
      </c>
      <c r="AS530" s="531">
        <f t="shared" si="697"/>
        <v>0.4613500785991082</v>
      </c>
      <c r="AT530" s="531">
        <f t="shared" si="697"/>
        <v>0.4613500785991082</v>
      </c>
      <c r="AU530" s="531">
        <f t="shared" si="697"/>
        <v>0.4613500785991082</v>
      </c>
      <c r="AV530" s="531">
        <f t="shared" si="697"/>
        <v>0.4613500785991082</v>
      </c>
      <c r="AW530" s="531">
        <f t="shared" si="697"/>
        <v>0.4613500785991082</v>
      </c>
      <c r="AX530" s="531">
        <f t="shared" si="697"/>
        <v>0.4613500785991082</v>
      </c>
      <c r="AY530" s="531">
        <f t="shared" si="697"/>
        <v>0.4613500785991082</v>
      </c>
      <c r="AZ530" s="531">
        <f t="shared" si="697"/>
        <v>0.4613500785991082</v>
      </c>
      <c r="BA530" s="531">
        <f t="shared" si="697"/>
        <v>0.4613500785991082</v>
      </c>
      <c r="BB530" s="531">
        <f t="shared" si="697"/>
        <v>0.46777725443170459</v>
      </c>
      <c r="BC530" s="531">
        <f t="shared" si="697"/>
        <v>0.46777725443170459</v>
      </c>
      <c r="BD530" s="531">
        <f t="shared" si="697"/>
        <v>0.46777725443170459</v>
      </c>
      <c r="BE530" s="531">
        <f t="shared" si="697"/>
        <v>0.46777725443170459</v>
      </c>
      <c r="BF530" s="531">
        <f t="shared" si="697"/>
        <v>0.46777725443170459</v>
      </c>
      <c r="BG530" s="531">
        <f t="shared" si="697"/>
        <v>0.46777725443170459</v>
      </c>
      <c r="BH530" s="531">
        <f t="shared" si="697"/>
        <v>0.46777725443170459</v>
      </c>
      <c r="BI530" s="531">
        <f t="shared" si="697"/>
        <v>0.46777725443170459</v>
      </c>
      <c r="BJ530" s="531">
        <f t="shared" si="697"/>
        <v>0.46777725443170459</v>
      </c>
      <c r="BK530" s="531">
        <f t="shared" si="697"/>
        <v>0.46777725443170459</v>
      </c>
      <c r="BL530" s="531">
        <f t="shared" si="697"/>
        <v>0.46777725443170459</v>
      </c>
      <c r="BM530" s="531">
        <f t="shared" si="697"/>
        <v>0.46777725443170459</v>
      </c>
      <c r="BN530" s="531">
        <f t="shared" si="697"/>
        <v>0.47408208728605539</v>
      </c>
      <c r="BO530" s="531">
        <f t="shared" si="697"/>
        <v>0.47408208728605539</v>
      </c>
      <c r="BP530" s="531">
        <f t="shared" si="697"/>
        <v>0.47408208728605539</v>
      </c>
      <c r="BQ530" s="531">
        <f t="shared" si="697"/>
        <v>0.47408208728605539</v>
      </c>
      <c r="BR530" s="531">
        <f t="shared" si="697"/>
        <v>0.47408208728605539</v>
      </c>
      <c r="BS530" s="531">
        <f t="shared" si="697"/>
        <v>0.47408208728605539</v>
      </c>
      <c r="BT530" s="531">
        <f t="shared" si="697"/>
        <v>0.47408208728605539</v>
      </c>
      <c r="BU530" s="531">
        <f t="shared" si="697"/>
        <v>0.47408208728605539</v>
      </c>
      <c r="BV530" s="531">
        <f t="shared" si="697"/>
        <v>0.47408208728605539</v>
      </c>
      <c r="BW530" s="531">
        <f t="shared" si="697"/>
        <v>0.47408208728605539</v>
      </c>
      <c r="BX530" s="531">
        <f t="shared" si="697"/>
        <v>0.47408208728605539</v>
      </c>
      <c r="BY530" s="531">
        <f t="shared" si="697"/>
        <v>0.47408208728605539</v>
      </c>
      <c r="BZ530" s="537"/>
      <c r="CA530" s="537"/>
      <c r="CB530" s="537"/>
    </row>
    <row r="531" spans="1:80" x14ac:dyDescent="0.3">
      <c r="A531" s="648"/>
      <c r="B531" s="648"/>
      <c r="C531" s="648" cm="1">
        <f t="array" ref="C531">SUMPRODUCT((Index_Tab!$D$36:$D$45=$B531)*(Index_Tab!$E$35:$F$35=$B$3)*Index_Tab!$E$36:$F$45)</f>
        <v>0</v>
      </c>
      <c r="D531" s="648"/>
      <c r="E531" s="525"/>
      <c r="F531" s="529"/>
      <c r="G531" s="529"/>
      <c r="H531" s="529"/>
      <c r="I531" s="529"/>
      <c r="J531" s="529"/>
      <c r="K531" s="529"/>
      <c r="L531" s="529"/>
      <c r="M531" s="529"/>
      <c r="N531" s="529"/>
      <c r="O531" s="529"/>
      <c r="P531" s="660"/>
      <c r="Q531" s="529"/>
      <c r="R531" s="529"/>
      <c r="S531" s="529"/>
      <c r="T531" s="529"/>
      <c r="U531" s="529"/>
      <c r="V531" s="529"/>
      <c r="W531" s="529"/>
      <c r="X531" s="529"/>
      <c r="Y531" s="529"/>
      <c r="Z531" s="529"/>
      <c r="AA531" s="529"/>
      <c r="AB531" s="529"/>
      <c r="AC531" s="529"/>
      <c r="AD531" s="529"/>
      <c r="AE531" s="529"/>
      <c r="AF531" s="529"/>
      <c r="AG531" s="529"/>
      <c r="AH531" s="529"/>
      <c r="AI531" s="529"/>
      <c r="AJ531" s="529"/>
      <c r="AK531" s="529"/>
      <c r="AL531" s="529"/>
      <c r="AM531" s="529"/>
      <c r="AN531" s="529"/>
      <c r="AO531" s="529"/>
      <c r="AP531" s="529"/>
      <c r="AQ531" s="529"/>
      <c r="AR531" s="529"/>
      <c r="AS531" s="529"/>
      <c r="AT531" s="529"/>
      <c r="AU531" s="529"/>
      <c r="AV531" s="529"/>
      <c r="AW531" s="529"/>
      <c r="AX531" s="529"/>
      <c r="AY531" s="529"/>
      <c r="AZ531" s="529"/>
      <c r="BA531" s="529"/>
      <c r="BB531" s="529"/>
      <c r="BC531" s="529"/>
      <c r="BD531" s="529"/>
      <c r="BE531" s="529"/>
      <c r="BF531" s="529"/>
      <c r="BG531" s="529"/>
      <c r="BH531" s="529"/>
      <c r="BI531" s="529"/>
      <c r="BJ531" s="529"/>
      <c r="BK531" s="529"/>
      <c r="BL531" s="529"/>
      <c r="BM531" s="529"/>
      <c r="BN531" s="529"/>
      <c r="BO531" s="529"/>
      <c r="BP531" s="529"/>
      <c r="BQ531" s="529"/>
      <c r="BR531" s="529"/>
      <c r="BS531" s="529"/>
      <c r="BT531" s="529"/>
      <c r="BU531" s="529"/>
      <c r="BV531" s="529"/>
      <c r="BW531" s="529"/>
      <c r="BX531" s="529"/>
      <c r="BY531" s="529"/>
      <c r="BZ531" s="537"/>
      <c r="CA531" s="537"/>
      <c r="CB531" s="529"/>
    </row>
    <row r="532" spans="1:80" x14ac:dyDescent="0.3">
      <c r="A532" s="648"/>
      <c r="B532" s="648"/>
      <c r="C532" s="648" cm="1">
        <f t="array" ref="C532">SUMPRODUCT((Index_Tab!$D$36:$D$45=$B532)*(Index_Tab!$E$35:$F$35=$B$3)*Index_Tab!$E$36:$F$45)</f>
        <v>0</v>
      </c>
      <c r="D532" s="648"/>
      <c r="E532" s="570" t="s">
        <v>25</v>
      </c>
      <c r="F532" s="529"/>
      <c r="G532" s="529"/>
      <c r="H532" s="529"/>
      <c r="I532" s="529"/>
      <c r="J532" s="663"/>
      <c r="K532" s="663"/>
      <c r="L532" s="663"/>
      <c r="M532" s="663"/>
      <c r="N532" s="663"/>
      <c r="O532" s="529"/>
      <c r="P532" s="660"/>
      <c r="Q532" s="529"/>
      <c r="R532" s="529"/>
      <c r="S532" s="529"/>
      <c r="T532" s="529"/>
      <c r="U532" s="529"/>
      <c r="V532" s="529"/>
      <c r="W532" s="529"/>
      <c r="X532" s="529"/>
      <c r="Y532" s="529"/>
      <c r="Z532" s="529"/>
      <c r="AA532" s="529"/>
      <c r="AB532" s="529"/>
      <c r="AC532" s="529"/>
      <c r="AD532" s="529"/>
      <c r="AE532" s="529"/>
      <c r="AF532" s="529"/>
      <c r="AG532" s="529"/>
      <c r="AH532" s="529"/>
      <c r="AI532" s="529"/>
      <c r="AJ532" s="529"/>
      <c r="AK532" s="529"/>
      <c r="AL532" s="529"/>
      <c r="AM532" s="529"/>
      <c r="AN532" s="529"/>
      <c r="AO532" s="529"/>
      <c r="AP532" s="529"/>
      <c r="AQ532" s="529"/>
      <c r="AR532" s="529"/>
      <c r="AS532" s="529"/>
      <c r="AT532" s="529"/>
      <c r="AU532" s="529"/>
      <c r="AV532" s="529"/>
      <c r="AW532" s="529"/>
      <c r="AX532" s="529"/>
      <c r="AY532" s="529"/>
      <c r="AZ532" s="529"/>
      <c r="BA532" s="529"/>
      <c r="BB532" s="529"/>
      <c r="BC532" s="529"/>
      <c r="BD532" s="529"/>
      <c r="BE532" s="529"/>
      <c r="BF532" s="529"/>
      <c r="BG532" s="529"/>
      <c r="BH532" s="529"/>
      <c r="BI532" s="529"/>
      <c r="BJ532" s="529"/>
      <c r="BK532" s="529"/>
      <c r="BL532" s="529"/>
      <c r="BM532" s="529"/>
      <c r="BN532" s="529"/>
      <c r="BO532" s="529"/>
      <c r="BP532" s="529"/>
      <c r="BQ532" s="529"/>
      <c r="BR532" s="529"/>
      <c r="BS532" s="529"/>
      <c r="BT532" s="529"/>
      <c r="BU532" s="529"/>
      <c r="BV532" s="529"/>
      <c r="BW532" s="529"/>
      <c r="BX532" s="529"/>
      <c r="BY532" s="529"/>
      <c r="BZ532" s="537"/>
      <c r="CA532" s="537"/>
      <c r="CB532" s="529"/>
    </row>
    <row r="533" spans="1:80" x14ac:dyDescent="0.3">
      <c r="A533" s="648"/>
      <c r="B533" s="648" t="s">
        <v>13</v>
      </c>
      <c r="C533" s="648" cm="1">
        <f t="array" ref="C533">SUMPRODUCT((Index_Tab!$D$36:$D$45=$B533)*(Index_Tab!$E$35:$F$35=$B$3)*Index_Tab!$E$36:$F$45)</f>
        <v>0</v>
      </c>
      <c r="D533" s="648"/>
      <c r="E533" s="525" t="s">
        <v>25</v>
      </c>
      <c r="F533" s="567"/>
      <c r="G533" s="567"/>
      <c r="H533" s="529"/>
      <c r="I533" s="544">
        <v>4134842.358411076</v>
      </c>
      <c r="J533" s="542" cm="1">
        <f t="array" ref="J533">(I533*INDEX(Portfolio_Categorisation!$H$24:$H$27,MATCH($B$2,Portfolio_Categorisation!$C$24:$C$27,0),0)*(1+'Detailed Assumptions'!F$40))+(I533*INDEX(Portfolio_Categorisation!$I$24:$I$27,MATCH($B$2,Portfolio_Categorisation!$C$24:$C$27,0),0)*(1+'Detailed Assumptions'!F$39))</f>
        <v>4258669.3863225495</v>
      </c>
      <c r="K533" s="542" cm="1">
        <f t="array" ref="K533">(J533*INDEX(Portfolio_Categorisation!$H$24:$H$27,MATCH($B$2,Portfolio_Categorisation!$C$24:$C$27,0),0)*(1+'Detailed Assumptions'!G$40))+(J533*INDEX(Portfolio_Categorisation!$I$24:$I$27,MATCH($B$2,Portfolio_Categorisation!$C$24:$C$27,0),0)*(1+'Detailed Assumptions'!G$39))</f>
        <v>4378887.0524479086</v>
      </c>
      <c r="L533" s="542" cm="1">
        <f t="array" ref="L533">(K533*INDEX(Portfolio_Categorisation!$H$24:$H$27,MATCH($B$2,Portfolio_Categorisation!$C$24:$C$27,0),0)*(1+'Detailed Assumptions'!H$40))+(K533*INDEX(Portfolio_Categorisation!$I$24:$I$27,MATCH($B$2,Portfolio_Categorisation!$C$24:$C$27,0),0)*(1+'Detailed Assumptions'!H$39))</f>
        <v>4495779.4054393973</v>
      </c>
      <c r="M533" s="542" cm="1">
        <f t="array" ref="M533">(L533*INDEX(Portfolio_Categorisation!$H$24:$H$27,MATCH($B$2,Portfolio_Categorisation!$C$24:$C$27,0),0)*(1+'Detailed Assumptions'!I$40))+(L533*INDEX(Portfolio_Categorisation!$I$24:$I$27,MATCH($B$2,Portfolio_Categorisation!$C$24:$C$27,0),0)*(1+'Detailed Assumptions'!I$39))</f>
        <v>4597882.7810733775</v>
      </c>
      <c r="N533" s="542" cm="1">
        <f t="array" ref="N533">(M533*INDEX(Portfolio_Categorisation!$H$24:$H$27,MATCH($B$2,Portfolio_Categorisation!$C$24:$C$27,0),0)*(1+'Detailed Assumptions'!J$40))+(M533*INDEX(Portfolio_Categorisation!$I$24:$I$27,MATCH($B$2,Portfolio_Categorisation!$C$24:$C$27,0),0)*(1+'Detailed Assumptions'!J$39))</f>
        <v>4692237.3494102042</v>
      </c>
      <c r="O533" s="529"/>
      <c r="P533" s="564">
        <f>IFERROR(((N533/I533)^(1/5))-1,0)</f>
        <v>2.5614620143270317E-2</v>
      </c>
      <c r="Q533" s="529"/>
      <c r="R533" s="527">
        <f t="shared" ref="R533:BY534" si="698">(INDEX($I533:$N533,MATCH(R$2,$I$3:$N$3,0)))/12</f>
        <v>354889.11552687915</v>
      </c>
      <c r="S533" s="527">
        <f t="shared" si="698"/>
        <v>354889.11552687915</v>
      </c>
      <c r="T533" s="527">
        <f t="shared" si="698"/>
        <v>354889.11552687915</v>
      </c>
      <c r="U533" s="527">
        <f t="shared" si="698"/>
        <v>354889.11552687915</v>
      </c>
      <c r="V533" s="527">
        <f t="shared" si="698"/>
        <v>354889.11552687915</v>
      </c>
      <c r="W533" s="527">
        <f t="shared" si="698"/>
        <v>354889.11552687915</v>
      </c>
      <c r="X533" s="527">
        <f t="shared" si="698"/>
        <v>354889.11552687915</v>
      </c>
      <c r="Y533" s="527">
        <f t="shared" si="698"/>
        <v>354889.11552687915</v>
      </c>
      <c r="Z533" s="527">
        <f t="shared" si="698"/>
        <v>354889.11552687915</v>
      </c>
      <c r="AA533" s="527">
        <f t="shared" si="698"/>
        <v>354889.11552687915</v>
      </c>
      <c r="AB533" s="527">
        <f t="shared" si="698"/>
        <v>354889.11552687915</v>
      </c>
      <c r="AC533" s="527">
        <f t="shared" si="698"/>
        <v>354889.11552687915</v>
      </c>
      <c r="AD533" s="527">
        <f t="shared" si="698"/>
        <v>364907.25437065907</v>
      </c>
      <c r="AE533" s="527">
        <f t="shared" si="698"/>
        <v>364907.25437065907</v>
      </c>
      <c r="AF533" s="527">
        <f t="shared" si="698"/>
        <v>364907.25437065907</v>
      </c>
      <c r="AG533" s="527">
        <f t="shared" si="698"/>
        <v>364907.25437065907</v>
      </c>
      <c r="AH533" s="527">
        <f t="shared" si="698"/>
        <v>364907.25437065907</v>
      </c>
      <c r="AI533" s="527">
        <f t="shared" si="698"/>
        <v>364907.25437065907</v>
      </c>
      <c r="AJ533" s="527">
        <f t="shared" si="698"/>
        <v>364907.25437065907</v>
      </c>
      <c r="AK533" s="527">
        <f t="shared" si="698"/>
        <v>364907.25437065907</v>
      </c>
      <c r="AL533" s="527">
        <f t="shared" si="698"/>
        <v>364907.25437065907</v>
      </c>
      <c r="AM533" s="527">
        <f t="shared" si="698"/>
        <v>364907.25437065907</v>
      </c>
      <c r="AN533" s="527">
        <f t="shared" si="698"/>
        <v>364907.25437065907</v>
      </c>
      <c r="AO533" s="527">
        <f t="shared" si="698"/>
        <v>364907.25437065907</v>
      </c>
      <c r="AP533" s="527">
        <f t="shared" si="698"/>
        <v>374648.28378661646</v>
      </c>
      <c r="AQ533" s="527">
        <f t="shared" si="698"/>
        <v>374648.28378661646</v>
      </c>
      <c r="AR533" s="527">
        <f t="shared" si="698"/>
        <v>374648.28378661646</v>
      </c>
      <c r="AS533" s="527">
        <f t="shared" si="698"/>
        <v>374648.28378661646</v>
      </c>
      <c r="AT533" s="527">
        <f t="shared" si="698"/>
        <v>374648.28378661646</v>
      </c>
      <c r="AU533" s="527">
        <f t="shared" si="698"/>
        <v>374648.28378661646</v>
      </c>
      <c r="AV533" s="527">
        <f t="shared" si="698"/>
        <v>374648.28378661646</v>
      </c>
      <c r="AW533" s="527">
        <f t="shared" si="698"/>
        <v>374648.28378661646</v>
      </c>
      <c r="AX533" s="527">
        <f t="shared" si="698"/>
        <v>374648.28378661646</v>
      </c>
      <c r="AY533" s="527">
        <f t="shared" si="698"/>
        <v>374648.28378661646</v>
      </c>
      <c r="AZ533" s="527">
        <f t="shared" si="698"/>
        <v>374648.28378661646</v>
      </c>
      <c r="BA533" s="527">
        <f t="shared" si="698"/>
        <v>374648.28378661646</v>
      </c>
      <c r="BB533" s="527">
        <f t="shared" si="698"/>
        <v>383156.89842278144</v>
      </c>
      <c r="BC533" s="527">
        <f t="shared" si="698"/>
        <v>383156.89842278144</v>
      </c>
      <c r="BD533" s="527">
        <f t="shared" si="698"/>
        <v>383156.89842278144</v>
      </c>
      <c r="BE533" s="527">
        <f t="shared" si="698"/>
        <v>383156.89842278144</v>
      </c>
      <c r="BF533" s="527">
        <f t="shared" si="698"/>
        <v>383156.89842278144</v>
      </c>
      <c r="BG533" s="527">
        <f t="shared" si="698"/>
        <v>383156.89842278144</v>
      </c>
      <c r="BH533" s="527">
        <f t="shared" si="698"/>
        <v>383156.89842278144</v>
      </c>
      <c r="BI533" s="527">
        <f t="shared" si="698"/>
        <v>383156.89842278144</v>
      </c>
      <c r="BJ533" s="527">
        <f t="shared" si="698"/>
        <v>383156.89842278144</v>
      </c>
      <c r="BK533" s="527">
        <f t="shared" si="698"/>
        <v>383156.89842278144</v>
      </c>
      <c r="BL533" s="527">
        <f t="shared" si="698"/>
        <v>383156.89842278144</v>
      </c>
      <c r="BM533" s="527">
        <f t="shared" si="698"/>
        <v>383156.89842278144</v>
      </c>
      <c r="BN533" s="527">
        <f t="shared" si="698"/>
        <v>391019.779117517</v>
      </c>
      <c r="BO533" s="527">
        <f t="shared" si="698"/>
        <v>391019.779117517</v>
      </c>
      <c r="BP533" s="527">
        <f t="shared" si="698"/>
        <v>391019.779117517</v>
      </c>
      <c r="BQ533" s="527">
        <f t="shared" si="698"/>
        <v>391019.779117517</v>
      </c>
      <c r="BR533" s="527">
        <f t="shared" si="698"/>
        <v>391019.779117517</v>
      </c>
      <c r="BS533" s="527">
        <f t="shared" si="698"/>
        <v>391019.779117517</v>
      </c>
      <c r="BT533" s="527">
        <f t="shared" si="698"/>
        <v>391019.779117517</v>
      </c>
      <c r="BU533" s="527">
        <f t="shared" si="698"/>
        <v>391019.779117517</v>
      </c>
      <c r="BV533" s="527">
        <f t="shared" si="698"/>
        <v>391019.779117517</v>
      </c>
      <c r="BW533" s="527">
        <f t="shared" si="698"/>
        <v>391019.779117517</v>
      </c>
      <c r="BX533" s="527">
        <f t="shared" si="698"/>
        <v>391019.779117517</v>
      </c>
      <c r="BY533" s="527">
        <f t="shared" si="698"/>
        <v>391019.779117517</v>
      </c>
      <c r="BZ533" s="537"/>
      <c r="CA533" s="537"/>
      <c r="CB533" s="529"/>
    </row>
    <row r="534" spans="1:80" x14ac:dyDescent="0.3">
      <c r="A534" s="648"/>
      <c r="B534" s="648" t="s">
        <v>14</v>
      </c>
      <c r="C534" s="648" cm="1">
        <f t="array" ref="C534">SUMPRODUCT((Index_Tab!$D$36:$D$45=$B534)*(Index_Tab!$E$35:$F$35=$B$3)*Index_Tab!$E$36:$F$45)</f>
        <v>0</v>
      </c>
      <c r="D534" s="648"/>
      <c r="E534" s="525" t="s">
        <v>14</v>
      </c>
      <c r="F534" s="567"/>
      <c r="G534" s="567"/>
      <c r="H534" s="529"/>
      <c r="I534" s="544">
        <v>574667.982724</v>
      </c>
      <c r="J534" s="542">
        <f>I534*(1+'Detailed Assumptions'!F$45)</f>
        <v>594854.41580262326</v>
      </c>
      <c r="K534" s="542">
        <f>J534*(1+'Detailed Assumptions'!G$45)</f>
        <v>614602.11564295739</v>
      </c>
      <c r="L534" s="542">
        <f>K534*(1+'Detailed Assumptions'!H$45)</f>
        <v>634176.94044997368</v>
      </c>
      <c r="M534" s="542">
        <f>L534*(1+'Detailed Assumptions'!I$45)</f>
        <v>650519.41958470899</v>
      </c>
      <c r="N534" s="542">
        <f>M534*(1+'Detailed Assumptions'!J$45)</f>
        <v>664585.60990561405</v>
      </c>
      <c r="O534" s="529"/>
      <c r="P534" s="564">
        <f>IFERROR(((N534/I534)^(1/5))-1,0)</f>
        <v>2.9501032242708725E-2</v>
      </c>
      <c r="Q534" s="529"/>
      <c r="R534" s="527">
        <f>(INDEX($I534:$N534,MATCH(R$2,$I$3:$N$3,0)))/12</f>
        <v>49571.201316885272</v>
      </c>
      <c r="S534" s="527">
        <f t="shared" si="698"/>
        <v>49571.201316885272</v>
      </c>
      <c r="T534" s="527">
        <f t="shared" si="698"/>
        <v>49571.201316885272</v>
      </c>
      <c r="U534" s="527">
        <f t="shared" si="698"/>
        <v>49571.201316885272</v>
      </c>
      <c r="V534" s="527">
        <f t="shared" si="698"/>
        <v>49571.201316885272</v>
      </c>
      <c r="W534" s="527">
        <f t="shared" si="698"/>
        <v>49571.201316885272</v>
      </c>
      <c r="X534" s="527">
        <f t="shared" si="698"/>
        <v>49571.201316885272</v>
      </c>
      <c r="Y534" s="527">
        <f t="shared" si="698"/>
        <v>49571.201316885272</v>
      </c>
      <c r="Z534" s="527">
        <f t="shared" si="698"/>
        <v>49571.201316885272</v>
      </c>
      <c r="AA534" s="527">
        <f t="shared" si="698"/>
        <v>49571.201316885272</v>
      </c>
      <c r="AB534" s="527">
        <f t="shared" si="698"/>
        <v>49571.201316885272</v>
      </c>
      <c r="AC534" s="527">
        <f t="shared" si="698"/>
        <v>49571.201316885272</v>
      </c>
      <c r="AD534" s="527">
        <f t="shared" si="698"/>
        <v>51216.842970246449</v>
      </c>
      <c r="AE534" s="527">
        <f t="shared" si="698"/>
        <v>51216.842970246449</v>
      </c>
      <c r="AF534" s="527">
        <f t="shared" si="698"/>
        <v>51216.842970246449</v>
      </c>
      <c r="AG534" s="527">
        <f t="shared" si="698"/>
        <v>51216.842970246449</v>
      </c>
      <c r="AH534" s="527">
        <f t="shared" si="698"/>
        <v>51216.842970246449</v>
      </c>
      <c r="AI534" s="527">
        <f t="shared" si="698"/>
        <v>51216.842970246449</v>
      </c>
      <c r="AJ534" s="527">
        <f t="shared" si="698"/>
        <v>51216.842970246449</v>
      </c>
      <c r="AK534" s="527">
        <f t="shared" si="698"/>
        <v>51216.842970246449</v>
      </c>
      <c r="AL534" s="527">
        <f t="shared" si="698"/>
        <v>51216.842970246449</v>
      </c>
      <c r="AM534" s="527">
        <f t="shared" si="698"/>
        <v>51216.842970246449</v>
      </c>
      <c r="AN534" s="527">
        <f t="shared" si="698"/>
        <v>51216.842970246449</v>
      </c>
      <c r="AO534" s="527">
        <f t="shared" si="698"/>
        <v>51216.842970246449</v>
      </c>
      <c r="AP534" s="527">
        <f t="shared" si="698"/>
        <v>52848.078370831143</v>
      </c>
      <c r="AQ534" s="527">
        <f t="shared" si="698"/>
        <v>52848.078370831143</v>
      </c>
      <c r="AR534" s="527">
        <f t="shared" si="698"/>
        <v>52848.078370831143</v>
      </c>
      <c r="AS534" s="527">
        <f t="shared" si="698"/>
        <v>52848.078370831143</v>
      </c>
      <c r="AT534" s="527">
        <f t="shared" si="698"/>
        <v>52848.078370831143</v>
      </c>
      <c r="AU534" s="527">
        <f t="shared" si="698"/>
        <v>52848.078370831143</v>
      </c>
      <c r="AV534" s="527">
        <f t="shared" si="698"/>
        <v>52848.078370831143</v>
      </c>
      <c r="AW534" s="527">
        <f t="shared" si="698"/>
        <v>52848.078370831143</v>
      </c>
      <c r="AX534" s="527">
        <f t="shared" si="698"/>
        <v>52848.078370831143</v>
      </c>
      <c r="AY534" s="527">
        <f t="shared" si="698"/>
        <v>52848.078370831143</v>
      </c>
      <c r="AZ534" s="527">
        <f t="shared" si="698"/>
        <v>52848.078370831143</v>
      </c>
      <c r="BA534" s="527">
        <f t="shared" si="698"/>
        <v>52848.078370831143</v>
      </c>
      <c r="BB534" s="527">
        <f t="shared" si="698"/>
        <v>54209.951632059085</v>
      </c>
      <c r="BC534" s="527">
        <f t="shared" si="698"/>
        <v>54209.951632059085</v>
      </c>
      <c r="BD534" s="527">
        <f t="shared" si="698"/>
        <v>54209.951632059085</v>
      </c>
      <c r="BE534" s="527">
        <f t="shared" si="698"/>
        <v>54209.951632059085</v>
      </c>
      <c r="BF534" s="527">
        <f t="shared" si="698"/>
        <v>54209.951632059085</v>
      </c>
      <c r="BG534" s="527">
        <f t="shared" si="698"/>
        <v>54209.951632059085</v>
      </c>
      <c r="BH534" s="527">
        <f t="shared" si="698"/>
        <v>54209.951632059085</v>
      </c>
      <c r="BI534" s="527">
        <f t="shared" si="698"/>
        <v>54209.951632059085</v>
      </c>
      <c r="BJ534" s="527">
        <f t="shared" si="698"/>
        <v>54209.951632059085</v>
      </c>
      <c r="BK534" s="527">
        <f t="shared" si="698"/>
        <v>54209.951632059085</v>
      </c>
      <c r="BL534" s="527">
        <f t="shared" si="698"/>
        <v>54209.951632059085</v>
      </c>
      <c r="BM534" s="527">
        <f t="shared" si="698"/>
        <v>54209.951632059085</v>
      </c>
      <c r="BN534" s="527">
        <f t="shared" si="698"/>
        <v>55382.134158801171</v>
      </c>
      <c r="BO534" s="527">
        <f t="shared" si="698"/>
        <v>55382.134158801171</v>
      </c>
      <c r="BP534" s="527">
        <f t="shared" si="698"/>
        <v>55382.134158801171</v>
      </c>
      <c r="BQ534" s="527">
        <f t="shared" si="698"/>
        <v>55382.134158801171</v>
      </c>
      <c r="BR534" s="527">
        <f t="shared" si="698"/>
        <v>55382.134158801171</v>
      </c>
      <c r="BS534" s="527">
        <f t="shared" si="698"/>
        <v>55382.134158801171</v>
      </c>
      <c r="BT534" s="527">
        <f t="shared" si="698"/>
        <v>55382.134158801171</v>
      </c>
      <c r="BU534" s="527">
        <f t="shared" si="698"/>
        <v>55382.134158801171</v>
      </c>
      <c r="BV534" s="527">
        <f t="shared" si="698"/>
        <v>55382.134158801171</v>
      </c>
      <c r="BW534" s="527">
        <f t="shared" si="698"/>
        <v>55382.134158801171</v>
      </c>
      <c r="BX534" s="527">
        <f t="shared" si="698"/>
        <v>55382.134158801171</v>
      </c>
      <c r="BY534" s="527">
        <f t="shared" si="698"/>
        <v>55382.134158801171</v>
      </c>
      <c r="BZ534" s="537"/>
      <c r="CA534" s="537"/>
      <c r="CB534" s="529"/>
    </row>
    <row r="535" spans="1:80" x14ac:dyDescent="0.3">
      <c r="A535" s="648"/>
      <c r="B535" s="648"/>
      <c r="C535" s="648" cm="1">
        <f t="array" ref="C535">SUMPRODUCT((Index_Tab!$D$36:$D$45=$B535)*(Index_Tab!$E$35:$F$35=$B$3)*Index_Tab!$E$36:$F$45)</f>
        <v>0</v>
      </c>
      <c r="D535" s="648"/>
      <c r="E535" s="572" t="s">
        <v>26</v>
      </c>
      <c r="F535" s="573"/>
      <c r="G535" s="573"/>
      <c r="H535" s="529"/>
      <c r="I535" s="532">
        <f>SUM(I533:I534)</f>
        <v>4709510.3411350762</v>
      </c>
      <c r="J535" s="532">
        <f>SUM(J533:J534)</f>
        <v>4853523.8021251727</v>
      </c>
      <c r="K535" s="532">
        <f t="shared" ref="K535:BX535" si="699">SUM(K533:K534)</f>
        <v>4993489.1680908659</v>
      </c>
      <c r="L535" s="532">
        <f t="shared" si="699"/>
        <v>5129956.3458893709</v>
      </c>
      <c r="M535" s="532">
        <f t="shared" si="699"/>
        <v>5248402.2006580867</v>
      </c>
      <c r="N535" s="532">
        <f t="shared" si="699"/>
        <v>5356822.9593158178</v>
      </c>
      <c r="O535" s="536"/>
      <c r="P535" s="568">
        <f>IFERROR(((N535/I535)^(1/5))-1,0)</f>
        <v>2.60920143802017E-2</v>
      </c>
      <c r="Q535" s="529"/>
      <c r="R535" s="532">
        <f t="shared" si="699"/>
        <v>404460.31684376439</v>
      </c>
      <c r="S535" s="532">
        <f t="shared" si="699"/>
        <v>404460.31684376439</v>
      </c>
      <c r="T535" s="532">
        <f t="shared" si="699"/>
        <v>404460.31684376439</v>
      </c>
      <c r="U535" s="532">
        <f t="shared" si="699"/>
        <v>404460.31684376439</v>
      </c>
      <c r="V535" s="532">
        <f t="shared" si="699"/>
        <v>404460.31684376439</v>
      </c>
      <c r="W535" s="532">
        <f t="shared" si="699"/>
        <v>404460.31684376439</v>
      </c>
      <c r="X535" s="532">
        <f t="shared" si="699"/>
        <v>404460.31684376439</v>
      </c>
      <c r="Y535" s="532">
        <f t="shared" si="699"/>
        <v>404460.31684376439</v>
      </c>
      <c r="Z535" s="532">
        <f t="shared" si="699"/>
        <v>404460.31684376439</v>
      </c>
      <c r="AA535" s="532">
        <f t="shared" si="699"/>
        <v>404460.31684376439</v>
      </c>
      <c r="AB535" s="532">
        <f t="shared" si="699"/>
        <v>404460.31684376439</v>
      </c>
      <c r="AC535" s="532">
        <f t="shared" si="699"/>
        <v>404460.31684376439</v>
      </c>
      <c r="AD535" s="532">
        <f t="shared" si="699"/>
        <v>416124.09734090552</v>
      </c>
      <c r="AE535" s="532">
        <f t="shared" si="699"/>
        <v>416124.09734090552</v>
      </c>
      <c r="AF535" s="532">
        <f t="shared" si="699"/>
        <v>416124.09734090552</v>
      </c>
      <c r="AG535" s="532">
        <f t="shared" si="699"/>
        <v>416124.09734090552</v>
      </c>
      <c r="AH535" s="532">
        <f t="shared" si="699"/>
        <v>416124.09734090552</v>
      </c>
      <c r="AI535" s="532">
        <f t="shared" si="699"/>
        <v>416124.09734090552</v>
      </c>
      <c r="AJ535" s="532">
        <f t="shared" si="699"/>
        <v>416124.09734090552</v>
      </c>
      <c r="AK535" s="532">
        <f t="shared" si="699"/>
        <v>416124.09734090552</v>
      </c>
      <c r="AL535" s="532">
        <f t="shared" si="699"/>
        <v>416124.09734090552</v>
      </c>
      <c r="AM535" s="532">
        <f t="shared" si="699"/>
        <v>416124.09734090552</v>
      </c>
      <c r="AN535" s="532">
        <f t="shared" si="699"/>
        <v>416124.09734090552</v>
      </c>
      <c r="AO535" s="532">
        <f t="shared" si="699"/>
        <v>416124.09734090552</v>
      </c>
      <c r="AP535" s="532">
        <f t="shared" si="699"/>
        <v>427496.36215744761</v>
      </c>
      <c r="AQ535" s="532">
        <f t="shared" si="699"/>
        <v>427496.36215744761</v>
      </c>
      <c r="AR535" s="532">
        <f t="shared" si="699"/>
        <v>427496.36215744761</v>
      </c>
      <c r="AS535" s="532">
        <f t="shared" si="699"/>
        <v>427496.36215744761</v>
      </c>
      <c r="AT535" s="532">
        <f t="shared" si="699"/>
        <v>427496.36215744761</v>
      </c>
      <c r="AU535" s="532">
        <f t="shared" si="699"/>
        <v>427496.36215744761</v>
      </c>
      <c r="AV535" s="532">
        <f t="shared" si="699"/>
        <v>427496.36215744761</v>
      </c>
      <c r="AW535" s="532">
        <f t="shared" si="699"/>
        <v>427496.36215744761</v>
      </c>
      <c r="AX535" s="532">
        <f t="shared" si="699"/>
        <v>427496.36215744761</v>
      </c>
      <c r="AY535" s="532">
        <f t="shared" si="699"/>
        <v>427496.36215744761</v>
      </c>
      <c r="AZ535" s="532">
        <f t="shared" si="699"/>
        <v>427496.36215744761</v>
      </c>
      <c r="BA535" s="532">
        <f t="shared" si="699"/>
        <v>427496.36215744761</v>
      </c>
      <c r="BB535" s="532">
        <f t="shared" si="699"/>
        <v>437366.8500548405</v>
      </c>
      <c r="BC535" s="532">
        <f t="shared" si="699"/>
        <v>437366.8500548405</v>
      </c>
      <c r="BD535" s="532">
        <f t="shared" si="699"/>
        <v>437366.8500548405</v>
      </c>
      <c r="BE535" s="532">
        <f t="shared" si="699"/>
        <v>437366.8500548405</v>
      </c>
      <c r="BF535" s="532">
        <f t="shared" si="699"/>
        <v>437366.8500548405</v>
      </c>
      <c r="BG535" s="532">
        <f t="shared" si="699"/>
        <v>437366.8500548405</v>
      </c>
      <c r="BH535" s="532">
        <f t="shared" si="699"/>
        <v>437366.8500548405</v>
      </c>
      <c r="BI535" s="532">
        <f t="shared" si="699"/>
        <v>437366.8500548405</v>
      </c>
      <c r="BJ535" s="532">
        <f t="shared" si="699"/>
        <v>437366.8500548405</v>
      </c>
      <c r="BK535" s="532">
        <f t="shared" si="699"/>
        <v>437366.8500548405</v>
      </c>
      <c r="BL535" s="532">
        <f t="shared" si="699"/>
        <v>437366.8500548405</v>
      </c>
      <c r="BM535" s="532">
        <f t="shared" si="699"/>
        <v>437366.8500548405</v>
      </c>
      <c r="BN535" s="532">
        <f t="shared" si="699"/>
        <v>446401.91327631817</v>
      </c>
      <c r="BO535" s="532">
        <f t="shared" si="699"/>
        <v>446401.91327631817</v>
      </c>
      <c r="BP535" s="532">
        <f t="shared" si="699"/>
        <v>446401.91327631817</v>
      </c>
      <c r="BQ535" s="532">
        <f t="shared" si="699"/>
        <v>446401.91327631817</v>
      </c>
      <c r="BR535" s="532">
        <f t="shared" si="699"/>
        <v>446401.91327631817</v>
      </c>
      <c r="BS535" s="532">
        <f t="shared" si="699"/>
        <v>446401.91327631817</v>
      </c>
      <c r="BT535" s="532">
        <f t="shared" si="699"/>
        <v>446401.91327631817</v>
      </c>
      <c r="BU535" s="532">
        <f t="shared" si="699"/>
        <v>446401.91327631817</v>
      </c>
      <c r="BV535" s="532">
        <f t="shared" si="699"/>
        <v>446401.91327631817</v>
      </c>
      <c r="BW535" s="532">
        <f t="shared" si="699"/>
        <v>446401.91327631817</v>
      </c>
      <c r="BX535" s="532">
        <f t="shared" si="699"/>
        <v>446401.91327631817</v>
      </c>
      <c r="BY535" s="532">
        <f>SUM(BY533:BY534)</f>
        <v>446401.91327631817</v>
      </c>
      <c r="BZ535" s="537"/>
      <c r="CA535" s="537"/>
      <c r="CB535" s="529"/>
    </row>
    <row r="536" spans="1:80" x14ac:dyDescent="0.3">
      <c r="A536" s="648"/>
      <c r="B536" s="648"/>
      <c r="C536" s="648" cm="1">
        <f t="array" ref="C536">SUMPRODUCT((Index_Tab!$D$36:$D$45=$B536)*(Index_Tab!$E$35:$F$35=$B$3)*Index_Tab!$E$36:$F$45)</f>
        <v>0</v>
      </c>
      <c r="D536" s="648"/>
      <c r="E536" s="525"/>
      <c r="F536" s="529"/>
      <c r="G536" s="529"/>
      <c r="H536" s="529"/>
      <c r="I536" s="529"/>
      <c r="J536" s="529"/>
      <c r="K536" s="529"/>
      <c r="L536" s="529"/>
      <c r="M536" s="529"/>
      <c r="N536" s="529"/>
      <c r="O536" s="529"/>
      <c r="P536" s="660"/>
      <c r="Q536" s="529"/>
      <c r="R536" s="529"/>
      <c r="S536" s="529"/>
      <c r="T536" s="529"/>
      <c r="U536" s="529"/>
      <c r="V536" s="529"/>
      <c r="W536" s="529"/>
      <c r="X536" s="529"/>
      <c r="Y536" s="529"/>
      <c r="Z536" s="529"/>
      <c r="AA536" s="529"/>
      <c r="AB536" s="529"/>
      <c r="AC536" s="529"/>
      <c r="AD536" s="529"/>
      <c r="AE536" s="529"/>
      <c r="AF536" s="529"/>
      <c r="AG536" s="529"/>
      <c r="AH536" s="529"/>
      <c r="AI536" s="529"/>
      <c r="AJ536" s="529"/>
      <c r="AK536" s="529"/>
      <c r="AL536" s="529"/>
      <c r="AM536" s="529"/>
      <c r="AN536" s="529"/>
      <c r="AO536" s="529"/>
      <c r="AP536" s="529"/>
      <c r="AQ536" s="529"/>
      <c r="AR536" s="529"/>
      <c r="AS536" s="529"/>
      <c r="AT536" s="529"/>
      <c r="AU536" s="529"/>
      <c r="AV536" s="529"/>
      <c r="AW536" s="529"/>
      <c r="AX536" s="529"/>
      <c r="AY536" s="529"/>
      <c r="AZ536" s="529"/>
      <c r="BA536" s="529"/>
      <c r="BB536" s="529"/>
      <c r="BC536" s="529"/>
      <c r="BD536" s="529"/>
      <c r="BE536" s="529"/>
      <c r="BF536" s="529"/>
      <c r="BG536" s="529"/>
      <c r="BH536" s="529"/>
      <c r="BI536" s="529"/>
      <c r="BJ536" s="529"/>
      <c r="BK536" s="529"/>
      <c r="BL536" s="529"/>
      <c r="BM536" s="529"/>
      <c r="BN536" s="529"/>
      <c r="BO536" s="529"/>
      <c r="BP536" s="529"/>
      <c r="BQ536" s="529"/>
      <c r="BR536" s="529"/>
      <c r="BS536" s="529"/>
      <c r="BT536" s="529"/>
      <c r="BU536" s="529"/>
      <c r="BV536" s="529"/>
      <c r="BW536" s="529"/>
      <c r="BX536" s="529"/>
      <c r="BY536" s="529"/>
      <c r="BZ536" s="537"/>
      <c r="CA536" s="537"/>
      <c r="CB536" s="529"/>
    </row>
    <row r="537" spans="1:80" x14ac:dyDescent="0.3">
      <c r="A537" s="648"/>
      <c r="B537" s="648"/>
      <c r="C537" s="648" cm="1">
        <f t="array" ref="C537">SUMPRODUCT((Index_Tab!$D$36:$D$45=$B537)*(Index_Tab!$E$35:$F$35=$B$3)*Index_Tab!$E$36:$F$45)</f>
        <v>0</v>
      </c>
      <c r="D537" s="648"/>
      <c r="E537" s="570" t="s">
        <v>27</v>
      </c>
      <c r="F537" s="529"/>
      <c r="G537" s="529"/>
      <c r="H537" s="529"/>
      <c r="I537" s="529"/>
      <c r="J537" s="529"/>
      <c r="K537" s="529"/>
      <c r="L537" s="529"/>
      <c r="M537" s="529"/>
      <c r="N537" s="529"/>
      <c r="O537" s="529"/>
      <c r="P537" s="660"/>
      <c r="Q537" s="529"/>
      <c r="R537" s="529"/>
      <c r="S537" s="529"/>
      <c r="T537" s="529"/>
      <c r="U537" s="529"/>
      <c r="V537" s="529"/>
      <c r="W537" s="529"/>
      <c r="X537" s="529"/>
      <c r="Y537" s="529"/>
      <c r="Z537" s="529"/>
      <c r="AA537" s="529"/>
      <c r="AB537" s="529"/>
      <c r="AC537" s="529"/>
      <c r="AD537" s="529"/>
      <c r="AE537" s="529"/>
      <c r="AF537" s="529"/>
      <c r="AG537" s="529"/>
      <c r="AH537" s="529"/>
      <c r="AI537" s="529"/>
      <c r="AJ537" s="529"/>
      <c r="AK537" s="529"/>
      <c r="AL537" s="529"/>
      <c r="AM537" s="529"/>
      <c r="AN537" s="529"/>
      <c r="AO537" s="529"/>
      <c r="AP537" s="529"/>
      <c r="AQ537" s="529"/>
      <c r="AR537" s="529"/>
      <c r="AS537" s="529"/>
      <c r="AT537" s="529"/>
      <c r="AU537" s="529"/>
      <c r="AV537" s="529"/>
      <c r="AW537" s="529"/>
      <c r="AX537" s="529"/>
      <c r="AY537" s="529"/>
      <c r="AZ537" s="529"/>
      <c r="BA537" s="529"/>
      <c r="BB537" s="529"/>
      <c r="BC537" s="529"/>
      <c r="BD537" s="529"/>
      <c r="BE537" s="529"/>
      <c r="BF537" s="529"/>
      <c r="BG537" s="529"/>
      <c r="BH537" s="529"/>
      <c r="BI537" s="529"/>
      <c r="BJ537" s="529"/>
      <c r="BK537" s="529"/>
      <c r="BL537" s="529"/>
      <c r="BM537" s="529"/>
      <c r="BN537" s="529"/>
      <c r="BO537" s="529"/>
      <c r="BP537" s="529"/>
      <c r="BQ537" s="529"/>
      <c r="BR537" s="529"/>
      <c r="BS537" s="529"/>
      <c r="BT537" s="529"/>
      <c r="BU537" s="529"/>
      <c r="BV537" s="529"/>
      <c r="BW537" s="529"/>
      <c r="BX537" s="529"/>
      <c r="BY537" s="529"/>
      <c r="BZ537" s="537"/>
      <c r="CA537" s="537"/>
      <c r="CB537" s="529"/>
    </row>
    <row r="538" spans="1:80" x14ac:dyDescent="0.3">
      <c r="A538" s="648"/>
      <c r="B538" s="648" t="s">
        <v>15</v>
      </c>
      <c r="C538" s="648" cm="1">
        <f t="array" ref="C538">SUMPRODUCT((Index_Tab!$D$36:$D$45=$B538)*(Index_Tab!$E$35:$F$35=$B$3)*Index_Tab!$E$36:$F$45)</f>
        <v>0</v>
      </c>
      <c r="D538" s="648"/>
      <c r="E538" s="525" t="s">
        <v>28</v>
      </c>
      <c r="F538" s="567"/>
      <c r="G538" s="567"/>
      <c r="H538" s="529"/>
      <c r="I538" s="544">
        <v>11589.129999999997</v>
      </c>
      <c r="J538" s="542">
        <f>I538*(1+'Detailed Assumptions'!F$46)</f>
        <v>11589.129999999997</v>
      </c>
      <c r="K538" s="542">
        <f>J538*(1+'Detailed Assumptions'!G$46)</f>
        <v>11589.129999999997</v>
      </c>
      <c r="L538" s="542">
        <f>K538*(1+'Detailed Assumptions'!H$46)</f>
        <v>11589.129999999997</v>
      </c>
      <c r="M538" s="542">
        <f>L538*(1+'Detailed Assumptions'!I$46)</f>
        <v>11589.129999999997</v>
      </c>
      <c r="N538" s="542">
        <f>M538*(1+'Detailed Assumptions'!J$46)</f>
        <v>11589.129999999997</v>
      </c>
      <c r="O538" s="529"/>
      <c r="P538" s="564">
        <f>IFERROR(((N538/I538)^(1/5))-1,0)</f>
        <v>0</v>
      </c>
      <c r="Q538" s="529"/>
      <c r="R538" s="527">
        <f t="shared" ref="R538:AG541" si="700">(INDEX($I538:$N538,MATCH(R$2,$I$3:$N$3,0)))/12</f>
        <v>965.76083333333315</v>
      </c>
      <c r="S538" s="527">
        <f t="shared" si="700"/>
        <v>965.76083333333315</v>
      </c>
      <c r="T538" s="527">
        <f t="shared" si="700"/>
        <v>965.76083333333315</v>
      </c>
      <c r="U538" s="527">
        <f t="shared" si="700"/>
        <v>965.76083333333315</v>
      </c>
      <c r="V538" s="527">
        <f t="shared" si="700"/>
        <v>965.76083333333315</v>
      </c>
      <c r="W538" s="527">
        <f t="shared" si="700"/>
        <v>965.76083333333315</v>
      </c>
      <c r="X538" s="527">
        <f t="shared" si="700"/>
        <v>965.76083333333315</v>
      </c>
      <c r="Y538" s="527">
        <f t="shared" si="700"/>
        <v>965.76083333333315</v>
      </c>
      <c r="Z538" s="527">
        <f t="shared" si="700"/>
        <v>965.76083333333315</v>
      </c>
      <c r="AA538" s="527">
        <f t="shared" si="700"/>
        <v>965.76083333333315</v>
      </c>
      <c r="AB538" s="527">
        <f t="shared" si="700"/>
        <v>965.76083333333315</v>
      </c>
      <c r="AC538" s="527">
        <f t="shared" si="700"/>
        <v>965.76083333333315</v>
      </c>
      <c r="AD538" s="527">
        <f t="shared" si="700"/>
        <v>965.76083333333315</v>
      </c>
      <c r="AE538" s="527">
        <f t="shared" si="700"/>
        <v>965.76083333333315</v>
      </c>
      <c r="AF538" s="527">
        <f t="shared" si="700"/>
        <v>965.76083333333315</v>
      </c>
      <c r="AG538" s="527">
        <f t="shared" si="700"/>
        <v>965.76083333333315</v>
      </c>
      <c r="AH538" s="527">
        <f t="shared" ref="AH538:AW541" si="701">(INDEX($I538:$N538,MATCH(AH$2,$I$3:$N$3,0)))/12</f>
        <v>965.76083333333315</v>
      </c>
      <c r="AI538" s="527">
        <f t="shared" si="701"/>
        <v>965.76083333333315</v>
      </c>
      <c r="AJ538" s="527">
        <f t="shared" si="701"/>
        <v>965.76083333333315</v>
      </c>
      <c r="AK538" s="527">
        <f t="shared" si="701"/>
        <v>965.76083333333315</v>
      </c>
      <c r="AL538" s="527">
        <f t="shared" si="701"/>
        <v>965.76083333333315</v>
      </c>
      <c r="AM538" s="527">
        <f t="shared" si="701"/>
        <v>965.76083333333315</v>
      </c>
      <c r="AN538" s="527">
        <f t="shared" si="701"/>
        <v>965.76083333333315</v>
      </c>
      <c r="AO538" s="527">
        <f t="shared" si="701"/>
        <v>965.76083333333315</v>
      </c>
      <c r="AP538" s="527">
        <f t="shared" si="701"/>
        <v>965.76083333333315</v>
      </c>
      <c r="AQ538" s="527">
        <f t="shared" si="701"/>
        <v>965.76083333333315</v>
      </c>
      <c r="AR538" s="527">
        <f t="shared" si="701"/>
        <v>965.76083333333315</v>
      </c>
      <c r="AS538" s="527">
        <f t="shared" si="701"/>
        <v>965.76083333333315</v>
      </c>
      <c r="AT538" s="527">
        <f t="shared" si="701"/>
        <v>965.76083333333315</v>
      </c>
      <c r="AU538" s="527">
        <f t="shared" si="701"/>
        <v>965.76083333333315</v>
      </c>
      <c r="AV538" s="527">
        <f t="shared" si="701"/>
        <v>965.76083333333315</v>
      </c>
      <c r="AW538" s="527">
        <f t="shared" si="701"/>
        <v>965.76083333333315</v>
      </c>
      <c r="AX538" s="527">
        <f t="shared" ref="AX538:BM541" si="702">(INDEX($I538:$N538,MATCH(AX$2,$I$3:$N$3,0)))/12</f>
        <v>965.76083333333315</v>
      </c>
      <c r="AY538" s="527">
        <f t="shared" si="702"/>
        <v>965.76083333333315</v>
      </c>
      <c r="AZ538" s="527">
        <f t="shared" si="702"/>
        <v>965.76083333333315</v>
      </c>
      <c r="BA538" s="527">
        <f t="shared" si="702"/>
        <v>965.76083333333315</v>
      </c>
      <c r="BB538" s="527">
        <f t="shared" si="702"/>
        <v>965.76083333333315</v>
      </c>
      <c r="BC538" s="527">
        <f t="shared" si="702"/>
        <v>965.76083333333315</v>
      </c>
      <c r="BD538" s="527">
        <f t="shared" si="702"/>
        <v>965.76083333333315</v>
      </c>
      <c r="BE538" s="527">
        <f t="shared" si="702"/>
        <v>965.76083333333315</v>
      </c>
      <c r="BF538" s="527">
        <f t="shared" si="702"/>
        <v>965.76083333333315</v>
      </c>
      <c r="BG538" s="527">
        <f t="shared" si="702"/>
        <v>965.76083333333315</v>
      </c>
      <c r="BH538" s="527">
        <f t="shared" si="702"/>
        <v>965.76083333333315</v>
      </c>
      <c r="BI538" s="527">
        <f t="shared" si="702"/>
        <v>965.76083333333315</v>
      </c>
      <c r="BJ538" s="527">
        <f t="shared" si="702"/>
        <v>965.76083333333315</v>
      </c>
      <c r="BK538" s="527">
        <f t="shared" si="702"/>
        <v>965.76083333333315</v>
      </c>
      <c r="BL538" s="527">
        <f t="shared" si="702"/>
        <v>965.76083333333315</v>
      </c>
      <c r="BM538" s="527">
        <f t="shared" si="702"/>
        <v>965.76083333333315</v>
      </c>
      <c r="BN538" s="527">
        <f t="shared" ref="BN538:BY541" si="703">(INDEX($I538:$N538,MATCH(BN$2,$I$3:$N$3,0)))/12</f>
        <v>965.76083333333315</v>
      </c>
      <c r="BO538" s="527">
        <f t="shared" si="703"/>
        <v>965.76083333333315</v>
      </c>
      <c r="BP538" s="527">
        <f t="shared" si="703"/>
        <v>965.76083333333315</v>
      </c>
      <c r="BQ538" s="527">
        <f t="shared" si="703"/>
        <v>965.76083333333315</v>
      </c>
      <c r="BR538" s="527">
        <f t="shared" si="703"/>
        <v>965.76083333333315</v>
      </c>
      <c r="BS538" s="527">
        <f t="shared" si="703"/>
        <v>965.76083333333315</v>
      </c>
      <c r="BT538" s="527">
        <f t="shared" si="703"/>
        <v>965.76083333333315</v>
      </c>
      <c r="BU538" s="527">
        <f t="shared" si="703"/>
        <v>965.76083333333315</v>
      </c>
      <c r="BV538" s="527">
        <f t="shared" si="703"/>
        <v>965.76083333333315</v>
      </c>
      <c r="BW538" s="527">
        <f t="shared" si="703"/>
        <v>965.76083333333315</v>
      </c>
      <c r="BX538" s="527">
        <f t="shared" si="703"/>
        <v>965.76083333333315</v>
      </c>
      <c r="BY538" s="527">
        <f t="shared" si="703"/>
        <v>965.76083333333315</v>
      </c>
      <c r="BZ538" s="537"/>
      <c r="CA538" s="537"/>
      <c r="CB538" s="529"/>
    </row>
    <row r="539" spans="1:80" x14ac:dyDescent="0.3">
      <c r="A539" s="648"/>
      <c r="B539" s="648" t="s">
        <v>16</v>
      </c>
      <c r="C539" s="648" cm="1">
        <f t="array" ref="C539">SUMPRODUCT((Index_Tab!$D$36:$D$45=$B539)*(Index_Tab!$E$35:$F$35=$B$3)*Index_Tab!$E$36:$F$45)</f>
        <v>0</v>
      </c>
      <c r="D539" s="648"/>
      <c r="E539" s="525" t="s">
        <v>29</v>
      </c>
      <c r="F539" s="567"/>
      <c r="G539" s="567"/>
      <c r="H539" s="529"/>
      <c r="I539" s="544">
        <v>80178.18958524974</v>
      </c>
      <c r="J539" s="542">
        <f>I539*(1+'Detailed Assumptions'!F$46)</f>
        <v>80178.18958524974</v>
      </c>
      <c r="K539" s="542">
        <f>J539*(1+'Detailed Assumptions'!G$46)</f>
        <v>80178.18958524974</v>
      </c>
      <c r="L539" s="542">
        <f>K539*(1+'Detailed Assumptions'!H$46)</f>
        <v>80178.18958524974</v>
      </c>
      <c r="M539" s="542">
        <f>L539*(1+'Detailed Assumptions'!I$46)</f>
        <v>80178.18958524974</v>
      </c>
      <c r="N539" s="542">
        <f>M539*(1+'Detailed Assumptions'!J$46)</f>
        <v>80178.18958524974</v>
      </c>
      <c r="O539" s="529"/>
      <c r="P539" s="564">
        <f>IFERROR(((N539/I539)^(1/5))-1,0)</f>
        <v>0</v>
      </c>
      <c r="Q539" s="529"/>
      <c r="R539" s="527">
        <f t="shared" si="700"/>
        <v>6681.5157987708117</v>
      </c>
      <c r="S539" s="527">
        <f t="shared" si="700"/>
        <v>6681.5157987708117</v>
      </c>
      <c r="T539" s="527">
        <f t="shared" si="700"/>
        <v>6681.5157987708117</v>
      </c>
      <c r="U539" s="527">
        <f t="shared" si="700"/>
        <v>6681.5157987708117</v>
      </c>
      <c r="V539" s="527">
        <f t="shared" si="700"/>
        <v>6681.5157987708117</v>
      </c>
      <c r="W539" s="527">
        <f t="shared" si="700"/>
        <v>6681.5157987708117</v>
      </c>
      <c r="X539" s="527">
        <f t="shared" si="700"/>
        <v>6681.5157987708117</v>
      </c>
      <c r="Y539" s="527">
        <f t="shared" si="700"/>
        <v>6681.5157987708117</v>
      </c>
      <c r="Z539" s="527">
        <f t="shared" si="700"/>
        <v>6681.5157987708117</v>
      </c>
      <c r="AA539" s="527">
        <f t="shared" si="700"/>
        <v>6681.5157987708117</v>
      </c>
      <c r="AB539" s="527">
        <f t="shared" si="700"/>
        <v>6681.5157987708117</v>
      </c>
      <c r="AC539" s="527">
        <f t="shared" si="700"/>
        <v>6681.5157987708117</v>
      </c>
      <c r="AD539" s="527">
        <f t="shared" si="700"/>
        <v>6681.5157987708117</v>
      </c>
      <c r="AE539" s="527">
        <f t="shared" si="700"/>
        <v>6681.5157987708117</v>
      </c>
      <c r="AF539" s="527">
        <f t="shared" si="700"/>
        <v>6681.5157987708117</v>
      </c>
      <c r="AG539" s="527">
        <f t="shared" si="700"/>
        <v>6681.5157987708117</v>
      </c>
      <c r="AH539" s="527">
        <f t="shared" si="701"/>
        <v>6681.5157987708117</v>
      </c>
      <c r="AI539" s="527">
        <f t="shared" si="701"/>
        <v>6681.5157987708117</v>
      </c>
      <c r="AJ539" s="527">
        <f t="shared" si="701"/>
        <v>6681.5157987708117</v>
      </c>
      <c r="AK539" s="527">
        <f t="shared" si="701"/>
        <v>6681.5157987708117</v>
      </c>
      <c r="AL539" s="527">
        <f t="shared" si="701"/>
        <v>6681.5157987708117</v>
      </c>
      <c r="AM539" s="527">
        <f t="shared" si="701"/>
        <v>6681.5157987708117</v>
      </c>
      <c r="AN539" s="527">
        <f t="shared" si="701"/>
        <v>6681.5157987708117</v>
      </c>
      <c r="AO539" s="527">
        <f t="shared" si="701"/>
        <v>6681.5157987708117</v>
      </c>
      <c r="AP539" s="527">
        <f t="shared" si="701"/>
        <v>6681.5157987708117</v>
      </c>
      <c r="AQ539" s="527">
        <f t="shared" si="701"/>
        <v>6681.5157987708117</v>
      </c>
      <c r="AR539" s="527">
        <f t="shared" si="701"/>
        <v>6681.5157987708117</v>
      </c>
      <c r="AS539" s="527">
        <f t="shared" si="701"/>
        <v>6681.5157987708117</v>
      </c>
      <c r="AT539" s="527">
        <f t="shared" si="701"/>
        <v>6681.5157987708117</v>
      </c>
      <c r="AU539" s="527">
        <f t="shared" si="701"/>
        <v>6681.5157987708117</v>
      </c>
      <c r="AV539" s="527">
        <f t="shared" si="701"/>
        <v>6681.5157987708117</v>
      </c>
      <c r="AW539" s="527">
        <f t="shared" si="701"/>
        <v>6681.5157987708117</v>
      </c>
      <c r="AX539" s="527">
        <f t="shared" si="702"/>
        <v>6681.5157987708117</v>
      </c>
      <c r="AY539" s="527">
        <f t="shared" si="702"/>
        <v>6681.5157987708117</v>
      </c>
      <c r="AZ539" s="527">
        <f t="shared" si="702"/>
        <v>6681.5157987708117</v>
      </c>
      <c r="BA539" s="527">
        <f t="shared" si="702"/>
        <v>6681.5157987708117</v>
      </c>
      <c r="BB539" s="527">
        <f t="shared" si="702"/>
        <v>6681.5157987708117</v>
      </c>
      <c r="BC539" s="527">
        <f t="shared" si="702"/>
        <v>6681.5157987708117</v>
      </c>
      <c r="BD539" s="527">
        <f t="shared" si="702"/>
        <v>6681.5157987708117</v>
      </c>
      <c r="BE539" s="527">
        <f t="shared" si="702"/>
        <v>6681.5157987708117</v>
      </c>
      <c r="BF539" s="527">
        <f t="shared" si="702"/>
        <v>6681.5157987708117</v>
      </c>
      <c r="BG539" s="527">
        <f t="shared" si="702"/>
        <v>6681.5157987708117</v>
      </c>
      <c r="BH539" s="527">
        <f t="shared" si="702"/>
        <v>6681.5157987708117</v>
      </c>
      <c r="BI539" s="527">
        <f t="shared" si="702"/>
        <v>6681.5157987708117</v>
      </c>
      <c r="BJ539" s="527">
        <f t="shared" si="702"/>
        <v>6681.5157987708117</v>
      </c>
      <c r="BK539" s="527">
        <f t="shared" si="702"/>
        <v>6681.5157987708117</v>
      </c>
      <c r="BL539" s="527">
        <f t="shared" si="702"/>
        <v>6681.5157987708117</v>
      </c>
      <c r="BM539" s="527">
        <f t="shared" si="702"/>
        <v>6681.5157987708117</v>
      </c>
      <c r="BN539" s="527">
        <f t="shared" si="703"/>
        <v>6681.5157987708117</v>
      </c>
      <c r="BO539" s="527">
        <f t="shared" si="703"/>
        <v>6681.5157987708117</v>
      </c>
      <c r="BP539" s="527">
        <f t="shared" si="703"/>
        <v>6681.5157987708117</v>
      </c>
      <c r="BQ539" s="527">
        <f t="shared" si="703"/>
        <v>6681.5157987708117</v>
      </c>
      <c r="BR539" s="527">
        <f t="shared" si="703"/>
        <v>6681.5157987708117</v>
      </c>
      <c r="BS539" s="527">
        <f t="shared" si="703"/>
        <v>6681.5157987708117</v>
      </c>
      <c r="BT539" s="527">
        <f t="shared" si="703"/>
        <v>6681.5157987708117</v>
      </c>
      <c r="BU539" s="527">
        <f t="shared" si="703"/>
        <v>6681.5157987708117</v>
      </c>
      <c r="BV539" s="527">
        <f t="shared" si="703"/>
        <v>6681.5157987708117</v>
      </c>
      <c r="BW539" s="527">
        <f t="shared" si="703"/>
        <v>6681.5157987708117</v>
      </c>
      <c r="BX539" s="527">
        <f t="shared" si="703"/>
        <v>6681.5157987708117</v>
      </c>
      <c r="BY539" s="527">
        <f t="shared" si="703"/>
        <v>6681.5157987708117</v>
      </c>
      <c r="BZ539" s="537"/>
      <c r="CA539" s="537"/>
      <c r="CB539" s="529"/>
    </row>
    <row r="540" spans="1:80" x14ac:dyDescent="0.3">
      <c r="A540" s="648"/>
      <c r="B540" s="648" t="s">
        <v>17</v>
      </c>
      <c r="C540" s="648" cm="1">
        <f t="array" ref="C540">SUMPRODUCT((Index_Tab!$D$36:$D$45=$B540)*(Index_Tab!$E$35:$F$35=$B$3)*Index_Tab!$E$36:$F$45)</f>
        <v>0</v>
      </c>
      <c r="D540" s="648"/>
      <c r="E540" s="525" t="s">
        <v>30</v>
      </c>
      <c r="F540" s="567"/>
      <c r="G540" s="567"/>
      <c r="H540" s="529"/>
      <c r="I540" s="544">
        <v>190735.95000000004</v>
      </c>
      <c r="J540" s="542">
        <f>I540*(1+'Detailed Assumptions'!F$46)</f>
        <v>190735.95000000004</v>
      </c>
      <c r="K540" s="542">
        <f>J540*(1+'Detailed Assumptions'!G$46)</f>
        <v>190735.95000000004</v>
      </c>
      <c r="L540" s="542">
        <f>K540*(1+'Detailed Assumptions'!H$46)</f>
        <v>190735.95000000004</v>
      </c>
      <c r="M540" s="542">
        <f>L540*(1+'Detailed Assumptions'!I$46)</f>
        <v>190735.95000000004</v>
      </c>
      <c r="N540" s="542">
        <f>M540*(1+'Detailed Assumptions'!J$46)</f>
        <v>190735.95000000004</v>
      </c>
      <c r="O540" s="529"/>
      <c r="P540" s="564">
        <f>IFERROR(((N540/I540)^(1/5))-1,0)</f>
        <v>0</v>
      </c>
      <c r="Q540" s="529"/>
      <c r="R540" s="527">
        <f t="shared" si="700"/>
        <v>15894.662500000004</v>
      </c>
      <c r="S540" s="527">
        <f t="shared" si="700"/>
        <v>15894.662500000004</v>
      </c>
      <c r="T540" s="527">
        <f t="shared" si="700"/>
        <v>15894.662500000004</v>
      </c>
      <c r="U540" s="527">
        <f t="shared" si="700"/>
        <v>15894.662500000004</v>
      </c>
      <c r="V540" s="527">
        <f t="shared" si="700"/>
        <v>15894.662500000004</v>
      </c>
      <c r="W540" s="527">
        <f t="shared" si="700"/>
        <v>15894.662500000004</v>
      </c>
      <c r="X540" s="527">
        <f t="shared" si="700"/>
        <v>15894.662500000004</v>
      </c>
      <c r="Y540" s="527">
        <f t="shared" si="700"/>
        <v>15894.662500000004</v>
      </c>
      <c r="Z540" s="527">
        <f t="shared" si="700"/>
        <v>15894.662500000004</v>
      </c>
      <c r="AA540" s="527">
        <f t="shared" si="700"/>
        <v>15894.662500000004</v>
      </c>
      <c r="AB540" s="527">
        <f t="shared" si="700"/>
        <v>15894.662500000004</v>
      </c>
      <c r="AC540" s="527">
        <f t="shared" si="700"/>
        <v>15894.662500000004</v>
      </c>
      <c r="AD540" s="527">
        <f t="shared" si="700"/>
        <v>15894.662500000004</v>
      </c>
      <c r="AE540" s="527">
        <f t="shared" si="700"/>
        <v>15894.662500000004</v>
      </c>
      <c r="AF540" s="527">
        <f t="shared" si="700"/>
        <v>15894.662500000004</v>
      </c>
      <c r="AG540" s="527">
        <f t="shared" si="700"/>
        <v>15894.662500000004</v>
      </c>
      <c r="AH540" s="527">
        <f t="shared" si="701"/>
        <v>15894.662500000004</v>
      </c>
      <c r="AI540" s="527">
        <f t="shared" si="701"/>
        <v>15894.662500000004</v>
      </c>
      <c r="AJ540" s="527">
        <f t="shared" si="701"/>
        <v>15894.662500000004</v>
      </c>
      <c r="AK540" s="527">
        <f t="shared" si="701"/>
        <v>15894.662500000004</v>
      </c>
      <c r="AL540" s="527">
        <f t="shared" si="701"/>
        <v>15894.662500000004</v>
      </c>
      <c r="AM540" s="527">
        <f t="shared" si="701"/>
        <v>15894.662500000004</v>
      </c>
      <c r="AN540" s="527">
        <f t="shared" si="701"/>
        <v>15894.662500000004</v>
      </c>
      <c r="AO540" s="527">
        <f t="shared" si="701"/>
        <v>15894.662500000004</v>
      </c>
      <c r="AP540" s="527">
        <f t="shared" si="701"/>
        <v>15894.662500000004</v>
      </c>
      <c r="AQ540" s="527">
        <f t="shared" si="701"/>
        <v>15894.662500000004</v>
      </c>
      <c r="AR540" s="527">
        <f t="shared" si="701"/>
        <v>15894.662500000004</v>
      </c>
      <c r="AS540" s="527">
        <f t="shared" si="701"/>
        <v>15894.662500000004</v>
      </c>
      <c r="AT540" s="527">
        <f t="shared" si="701"/>
        <v>15894.662500000004</v>
      </c>
      <c r="AU540" s="527">
        <f t="shared" si="701"/>
        <v>15894.662500000004</v>
      </c>
      <c r="AV540" s="527">
        <f t="shared" si="701"/>
        <v>15894.662500000004</v>
      </c>
      <c r="AW540" s="527">
        <f t="shared" si="701"/>
        <v>15894.662500000004</v>
      </c>
      <c r="AX540" s="527">
        <f t="shared" si="702"/>
        <v>15894.662500000004</v>
      </c>
      <c r="AY540" s="527">
        <f t="shared" si="702"/>
        <v>15894.662500000004</v>
      </c>
      <c r="AZ540" s="527">
        <f t="shared" si="702"/>
        <v>15894.662500000004</v>
      </c>
      <c r="BA540" s="527">
        <f t="shared" si="702"/>
        <v>15894.662500000004</v>
      </c>
      <c r="BB540" s="527">
        <f t="shared" si="702"/>
        <v>15894.662500000004</v>
      </c>
      <c r="BC540" s="527">
        <f t="shared" si="702"/>
        <v>15894.662500000004</v>
      </c>
      <c r="BD540" s="527">
        <f t="shared" si="702"/>
        <v>15894.662500000004</v>
      </c>
      <c r="BE540" s="527">
        <f t="shared" si="702"/>
        <v>15894.662500000004</v>
      </c>
      <c r="BF540" s="527">
        <f t="shared" si="702"/>
        <v>15894.662500000004</v>
      </c>
      <c r="BG540" s="527">
        <f t="shared" si="702"/>
        <v>15894.662500000004</v>
      </c>
      <c r="BH540" s="527">
        <f t="shared" si="702"/>
        <v>15894.662500000004</v>
      </c>
      <c r="BI540" s="527">
        <f t="shared" si="702"/>
        <v>15894.662500000004</v>
      </c>
      <c r="BJ540" s="527">
        <f t="shared" si="702"/>
        <v>15894.662500000004</v>
      </c>
      <c r="BK540" s="527">
        <f t="shared" si="702"/>
        <v>15894.662500000004</v>
      </c>
      <c r="BL540" s="527">
        <f t="shared" si="702"/>
        <v>15894.662500000004</v>
      </c>
      <c r="BM540" s="527">
        <f t="shared" si="702"/>
        <v>15894.662500000004</v>
      </c>
      <c r="BN540" s="527">
        <f t="shared" si="703"/>
        <v>15894.662500000004</v>
      </c>
      <c r="BO540" s="527">
        <f t="shared" si="703"/>
        <v>15894.662500000004</v>
      </c>
      <c r="BP540" s="527">
        <f t="shared" si="703"/>
        <v>15894.662500000004</v>
      </c>
      <c r="BQ540" s="527">
        <f t="shared" si="703"/>
        <v>15894.662500000004</v>
      </c>
      <c r="BR540" s="527">
        <f t="shared" si="703"/>
        <v>15894.662500000004</v>
      </c>
      <c r="BS540" s="527">
        <f t="shared" si="703"/>
        <v>15894.662500000004</v>
      </c>
      <c r="BT540" s="527">
        <f t="shared" si="703"/>
        <v>15894.662500000004</v>
      </c>
      <c r="BU540" s="527">
        <f t="shared" si="703"/>
        <v>15894.662500000004</v>
      </c>
      <c r="BV540" s="527">
        <f t="shared" si="703"/>
        <v>15894.662500000004</v>
      </c>
      <c r="BW540" s="527">
        <f t="shared" si="703"/>
        <v>15894.662500000004</v>
      </c>
      <c r="BX540" s="527">
        <f t="shared" si="703"/>
        <v>15894.662500000004</v>
      </c>
      <c r="BY540" s="527">
        <f t="shared" si="703"/>
        <v>15894.662500000004</v>
      </c>
      <c r="BZ540" s="537"/>
      <c r="CA540" s="537"/>
      <c r="CB540" s="529"/>
    </row>
    <row r="541" spans="1:80" x14ac:dyDescent="0.3">
      <c r="A541" s="648"/>
      <c r="B541" s="648" t="s">
        <v>18</v>
      </c>
      <c r="C541" s="648" cm="1">
        <f t="array" ref="C541">SUMPRODUCT((Index_Tab!$D$36:$D$45=$B541)*(Index_Tab!$E$35:$F$35=$B$3)*Index_Tab!$E$36:$F$45)</f>
        <v>0</v>
      </c>
      <c r="D541" s="648"/>
      <c r="E541" s="525" t="s">
        <v>31</v>
      </c>
      <c r="F541" s="567"/>
      <c r="G541" s="567"/>
      <c r="H541" s="529"/>
      <c r="I541" s="544">
        <v>354237.6153625208</v>
      </c>
      <c r="J541" s="542">
        <f>I541*(1+'Detailed Assumptions'!F$46)</f>
        <v>354237.6153625208</v>
      </c>
      <c r="K541" s="542">
        <f>J541*(1+'Detailed Assumptions'!G$46)</f>
        <v>354237.6153625208</v>
      </c>
      <c r="L541" s="542">
        <f>K541*(1+'Detailed Assumptions'!H$46)</f>
        <v>354237.6153625208</v>
      </c>
      <c r="M541" s="542">
        <f>L541*(1+'Detailed Assumptions'!I$46)</f>
        <v>354237.6153625208</v>
      </c>
      <c r="N541" s="542">
        <f>M541*(1+'Detailed Assumptions'!J$46)</f>
        <v>354237.6153625208</v>
      </c>
      <c r="O541" s="529"/>
      <c r="P541" s="564">
        <f>IFERROR(((N541/I541)^(1/5))-1,0)</f>
        <v>0</v>
      </c>
      <c r="Q541" s="529"/>
      <c r="R541" s="527">
        <f t="shared" si="700"/>
        <v>29519.801280210067</v>
      </c>
      <c r="S541" s="527">
        <f t="shared" si="700"/>
        <v>29519.801280210067</v>
      </c>
      <c r="T541" s="527">
        <f t="shared" si="700"/>
        <v>29519.801280210067</v>
      </c>
      <c r="U541" s="527">
        <f t="shared" si="700"/>
        <v>29519.801280210067</v>
      </c>
      <c r="V541" s="527">
        <f t="shared" si="700"/>
        <v>29519.801280210067</v>
      </c>
      <c r="W541" s="527">
        <f t="shared" si="700"/>
        <v>29519.801280210067</v>
      </c>
      <c r="X541" s="527">
        <f t="shared" si="700"/>
        <v>29519.801280210067</v>
      </c>
      <c r="Y541" s="527">
        <f t="shared" si="700"/>
        <v>29519.801280210067</v>
      </c>
      <c r="Z541" s="527">
        <f t="shared" si="700"/>
        <v>29519.801280210067</v>
      </c>
      <c r="AA541" s="527">
        <f t="shared" si="700"/>
        <v>29519.801280210067</v>
      </c>
      <c r="AB541" s="527">
        <f t="shared" si="700"/>
        <v>29519.801280210067</v>
      </c>
      <c r="AC541" s="527">
        <f t="shared" si="700"/>
        <v>29519.801280210067</v>
      </c>
      <c r="AD541" s="527">
        <f t="shared" si="700"/>
        <v>29519.801280210067</v>
      </c>
      <c r="AE541" s="527">
        <f t="shared" si="700"/>
        <v>29519.801280210067</v>
      </c>
      <c r="AF541" s="527">
        <f t="shared" si="700"/>
        <v>29519.801280210067</v>
      </c>
      <c r="AG541" s="527">
        <f t="shared" si="700"/>
        <v>29519.801280210067</v>
      </c>
      <c r="AH541" s="527">
        <f t="shared" si="701"/>
        <v>29519.801280210067</v>
      </c>
      <c r="AI541" s="527">
        <f t="shared" si="701"/>
        <v>29519.801280210067</v>
      </c>
      <c r="AJ541" s="527">
        <f t="shared" si="701"/>
        <v>29519.801280210067</v>
      </c>
      <c r="AK541" s="527">
        <f t="shared" si="701"/>
        <v>29519.801280210067</v>
      </c>
      <c r="AL541" s="527">
        <f t="shared" si="701"/>
        <v>29519.801280210067</v>
      </c>
      <c r="AM541" s="527">
        <f t="shared" si="701"/>
        <v>29519.801280210067</v>
      </c>
      <c r="AN541" s="527">
        <f t="shared" si="701"/>
        <v>29519.801280210067</v>
      </c>
      <c r="AO541" s="527">
        <f t="shared" si="701"/>
        <v>29519.801280210067</v>
      </c>
      <c r="AP541" s="527">
        <f t="shared" si="701"/>
        <v>29519.801280210067</v>
      </c>
      <c r="AQ541" s="527">
        <f t="shared" si="701"/>
        <v>29519.801280210067</v>
      </c>
      <c r="AR541" s="527">
        <f t="shared" si="701"/>
        <v>29519.801280210067</v>
      </c>
      <c r="AS541" s="527">
        <f t="shared" si="701"/>
        <v>29519.801280210067</v>
      </c>
      <c r="AT541" s="527">
        <f t="shared" si="701"/>
        <v>29519.801280210067</v>
      </c>
      <c r="AU541" s="527">
        <f t="shared" si="701"/>
        <v>29519.801280210067</v>
      </c>
      <c r="AV541" s="527">
        <f t="shared" si="701"/>
        <v>29519.801280210067</v>
      </c>
      <c r="AW541" s="527">
        <f t="shared" si="701"/>
        <v>29519.801280210067</v>
      </c>
      <c r="AX541" s="527">
        <f t="shared" si="702"/>
        <v>29519.801280210067</v>
      </c>
      <c r="AY541" s="527">
        <f t="shared" si="702"/>
        <v>29519.801280210067</v>
      </c>
      <c r="AZ541" s="527">
        <f t="shared" si="702"/>
        <v>29519.801280210067</v>
      </c>
      <c r="BA541" s="527">
        <f t="shared" si="702"/>
        <v>29519.801280210067</v>
      </c>
      <c r="BB541" s="527">
        <f t="shared" si="702"/>
        <v>29519.801280210067</v>
      </c>
      <c r="BC541" s="527">
        <f t="shared" si="702"/>
        <v>29519.801280210067</v>
      </c>
      <c r="BD541" s="527">
        <f t="shared" si="702"/>
        <v>29519.801280210067</v>
      </c>
      <c r="BE541" s="527">
        <f t="shared" si="702"/>
        <v>29519.801280210067</v>
      </c>
      <c r="BF541" s="527">
        <f t="shared" si="702"/>
        <v>29519.801280210067</v>
      </c>
      <c r="BG541" s="527">
        <f t="shared" si="702"/>
        <v>29519.801280210067</v>
      </c>
      <c r="BH541" s="527">
        <f t="shared" si="702"/>
        <v>29519.801280210067</v>
      </c>
      <c r="BI541" s="527">
        <f t="shared" si="702"/>
        <v>29519.801280210067</v>
      </c>
      <c r="BJ541" s="527">
        <f t="shared" si="702"/>
        <v>29519.801280210067</v>
      </c>
      <c r="BK541" s="527">
        <f t="shared" si="702"/>
        <v>29519.801280210067</v>
      </c>
      <c r="BL541" s="527">
        <f t="shared" si="702"/>
        <v>29519.801280210067</v>
      </c>
      <c r="BM541" s="527">
        <f t="shared" si="702"/>
        <v>29519.801280210067</v>
      </c>
      <c r="BN541" s="527">
        <f t="shared" si="703"/>
        <v>29519.801280210067</v>
      </c>
      <c r="BO541" s="527">
        <f t="shared" si="703"/>
        <v>29519.801280210067</v>
      </c>
      <c r="BP541" s="527">
        <f t="shared" si="703"/>
        <v>29519.801280210067</v>
      </c>
      <c r="BQ541" s="527">
        <f t="shared" si="703"/>
        <v>29519.801280210067</v>
      </c>
      <c r="BR541" s="527">
        <f t="shared" si="703"/>
        <v>29519.801280210067</v>
      </c>
      <c r="BS541" s="527">
        <f t="shared" si="703"/>
        <v>29519.801280210067</v>
      </c>
      <c r="BT541" s="527">
        <f t="shared" si="703"/>
        <v>29519.801280210067</v>
      </c>
      <c r="BU541" s="527">
        <f t="shared" si="703"/>
        <v>29519.801280210067</v>
      </c>
      <c r="BV541" s="527">
        <f t="shared" si="703"/>
        <v>29519.801280210067</v>
      </c>
      <c r="BW541" s="527">
        <f t="shared" si="703"/>
        <v>29519.801280210067</v>
      </c>
      <c r="BX541" s="527">
        <f t="shared" si="703"/>
        <v>29519.801280210067</v>
      </c>
      <c r="BY541" s="527">
        <f t="shared" si="703"/>
        <v>29519.801280210067</v>
      </c>
      <c r="BZ541" s="537"/>
      <c r="CA541" s="537"/>
      <c r="CB541" s="529"/>
    </row>
    <row r="542" spans="1:80" x14ac:dyDescent="0.3">
      <c r="A542" s="648"/>
      <c r="B542" s="648"/>
      <c r="C542" s="648" cm="1">
        <f t="array" ref="C542">SUMPRODUCT((Index_Tab!$D$36:$D$45=$B542)*(Index_Tab!$E$35:$F$35=$B$3)*Index_Tab!$E$36:$F$45)</f>
        <v>0</v>
      </c>
      <c r="D542" s="648"/>
      <c r="E542" s="572" t="s">
        <v>32</v>
      </c>
      <c r="F542" s="573"/>
      <c r="G542" s="573"/>
      <c r="H542" s="529"/>
      <c r="I542" s="532">
        <f>SUM(I538:I541)</f>
        <v>636740.88494777051</v>
      </c>
      <c r="J542" s="532">
        <f>SUM(J538:J541)</f>
        <v>636740.88494777051</v>
      </c>
      <c r="K542" s="532">
        <f t="shared" ref="K542:BX542" si="704">SUM(K538:K541)</f>
        <v>636740.88494777051</v>
      </c>
      <c r="L542" s="532">
        <f t="shared" si="704"/>
        <v>636740.88494777051</v>
      </c>
      <c r="M542" s="532">
        <f t="shared" si="704"/>
        <v>636740.88494777051</v>
      </c>
      <c r="N542" s="532">
        <f t="shared" si="704"/>
        <v>636740.88494777051</v>
      </c>
      <c r="O542" s="536"/>
      <c r="P542" s="568">
        <f>IFERROR(((N542/I542)^(1/5))-1,0)</f>
        <v>0</v>
      </c>
      <c r="Q542" s="529"/>
      <c r="R542" s="532">
        <f t="shared" si="704"/>
        <v>53061.740412314219</v>
      </c>
      <c r="S542" s="532">
        <f t="shared" si="704"/>
        <v>53061.740412314219</v>
      </c>
      <c r="T542" s="532">
        <f t="shared" si="704"/>
        <v>53061.740412314219</v>
      </c>
      <c r="U542" s="532">
        <f t="shared" si="704"/>
        <v>53061.740412314219</v>
      </c>
      <c r="V542" s="532">
        <f t="shared" si="704"/>
        <v>53061.740412314219</v>
      </c>
      <c r="W542" s="532">
        <f t="shared" si="704"/>
        <v>53061.740412314219</v>
      </c>
      <c r="X542" s="532">
        <f t="shared" si="704"/>
        <v>53061.740412314219</v>
      </c>
      <c r="Y542" s="532">
        <f t="shared" si="704"/>
        <v>53061.740412314219</v>
      </c>
      <c r="Z542" s="532">
        <f t="shared" si="704"/>
        <v>53061.740412314219</v>
      </c>
      <c r="AA542" s="532">
        <f t="shared" si="704"/>
        <v>53061.740412314219</v>
      </c>
      <c r="AB542" s="532">
        <f t="shared" si="704"/>
        <v>53061.740412314219</v>
      </c>
      <c r="AC542" s="532">
        <f t="shared" si="704"/>
        <v>53061.740412314219</v>
      </c>
      <c r="AD542" s="532">
        <f t="shared" si="704"/>
        <v>53061.740412314219</v>
      </c>
      <c r="AE542" s="532">
        <f t="shared" si="704"/>
        <v>53061.740412314219</v>
      </c>
      <c r="AF542" s="532">
        <f t="shared" si="704"/>
        <v>53061.740412314219</v>
      </c>
      <c r="AG542" s="532">
        <f t="shared" si="704"/>
        <v>53061.740412314219</v>
      </c>
      <c r="AH542" s="532">
        <f t="shared" si="704"/>
        <v>53061.740412314219</v>
      </c>
      <c r="AI542" s="532">
        <f t="shared" si="704"/>
        <v>53061.740412314219</v>
      </c>
      <c r="AJ542" s="532">
        <f t="shared" si="704"/>
        <v>53061.740412314219</v>
      </c>
      <c r="AK542" s="532">
        <f t="shared" si="704"/>
        <v>53061.740412314219</v>
      </c>
      <c r="AL542" s="532">
        <f t="shared" si="704"/>
        <v>53061.740412314219</v>
      </c>
      <c r="AM542" s="532">
        <f t="shared" si="704"/>
        <v>53061.740412314219</v>
      </c>
      <c r="AN542" s="532">
        <f t="shared" si="704"/>
        <v>53061.740412314219</v>
      </c>
      <c r="AO542" s="532">
        <f t="shared" si="704"/>
        <v>53061.740412314219</v>
      </c>
      <c r="AP542" s="532">
        <f t="shared" si="704"/>
        <v>53061.740412314219</v>
      </c>
      <c r="AQ542" s="532">
        <f t="shared" si="704"/>
        <v>53061.740412314219</v>
      </c>
      <c r="AR542" s="532">
        <f t="shared" si="704"/>
        <v>53061.740412314219</v>
      </c>
      <c r="AS542" s="532">
        <f t="shared" si="704"/>
        <v>53061.740412314219</v>
      </c>
      <c r="AT542" s="532">
        <f t="shared" si="704"/>
        <v>53061.740412314219</v>
      </c>
      <c r="AU542" s="532">
        <f t="shared" si="704"/>
        <v>53061.740412314219</v>
      </c>
      <c r="AV542" s="532">
        <f t="shared" si="704"/>
        <v>53061.740412314219</v>
      </c>
      <c r="AW542" s="532">
        <f t="shared" si="704"/>
        <v>53061.740412314219</v>
      </c>
      <c r="AX542" s="532">
        <f t="shared" si="704"/>
        <v>53061.740412314219</v>
      </c>
      <c r="AY542" s="532">
        <f t="shared" si="704"/>
        <v>53061.740412314219</v>
      </c>
      <c r="AZ542" s="532">
        <f t="shared" si="704"/>
        <v>53061.740412314219</v>
      </c>
      <c r="BA542" s="532">
        <f t="shared" si="704"/>
        <v>53061.740412314219</v>
      </c>
      <c r="BB542" s="532">
        <f t="shared" si="704"/>
        <v>53061.740412314219</v>
      </c>
      <c r="BC542" s="532">
        <f t="shared" si="704"/>
        <v>53061.740412314219</v>
      </c>
      <c r="BD542" s="532">
        <f t="shared" si="704"/>
        <v>53061.740412314219</v>
      </c>
      <c r="BE542" s="532">
        <f t="shared" si="704"/>
        <v>53061.740412314219</v>
      </c>
      <c r="BF542" s="532">
        <f t="shared" si="704"/>
        <v>53061.740412314219</v>
      </c>
      <c r="BG542" s="532">
        <f t="shared" si="704"/>
        <v>53061.740412314219</v>
      </c>
      <c r="BH542" s="532">
        <f t="shared" si="704"/>
        <v>53061.740412314219</v>
      </c>
      <c r="BI542" s="532">
        <f t="shared" si="704"/>
        <v>53061.740412314219</v>
      </c>
      <c r="BJ542" s="532">
        <f t="shared" si="704"/>
        <v>53061.740412314219</v>
      </c>
      <c r="BK542" s="532">
        <f t="shared" si="704"/>
        <v>53061.740412314219</v>
      </c>
      <c r="BL542" s="532">
        <f t="shared" si="704"/>
        <v>53061.740412314219</v>
      </c>
      <c r="BM542" s="532">
        <f t="shared" si="704"/>
        <v>53061.740412314219</v>
      </c>
      <c r="BN542" s="532">
        <f t="shared" si="704"/>
        <v>53061.740412314219</v>
      </c>
      <c r="BO542" s="532">
        <f t="shared" si="704"/>
        <v>53061.740412314219</v>
      </c>
      <c r="BP542" s="532">
        <f t="shared" si="704"/>
        <v>53061.740412314219</v>
      </c>
      <c r="BQ542" s="532">
        <f t="shared" si="704"/>
        <v>53061.740412314219</v>
      </c>
      <c r="BR542" s="532">
        <f t="shared" si="704"/>
        <v>53061.740412314219</v>
      </c>
      <c r="BS542" s="532">
        <f t="shared" si="704"/>
        <v>53061.740412314219</v>
      </c>
      <c r="BT542" s="532">
        <f t="shared" si="704"/>
        <v>53061.740412314219</v>
      </c>
      <c r="BU542" s="532">
        <f t="shared" si="704"/>
        <v>53061.740412314219</v>
      </c>
      <c r="BV542" s="532">
        <f t="shared" si="704"/>
        <v>53061.740412314219</v>
      </c>
      <c r="BW542" s="532">
        <f t="shared" si="704"/>
        <v>53061.740412314219</v>
      </c>
      <c r="BX542" s="532">
        <f t="shared" si="704"/>
        <v>53061.740412314219</v>
      </c>
      <c r="BY542" s="532">
        <f>SUM(BY538:BY541)</f>
        <v>53061.740412314219</v>
      </c>
      <c r="BZ542" s="537"/>
      <c r="CA542" s="537"/>
      <c r="CB542" s="529"/>
    </row>
    <row r="543" spans="1:80" x14ac:dyDescent="0.3">
      <c r="A543" s="648"/>
      <c r="B543" s="648"/>
      <c r="C543" s="648" cm="1">
        <f t="array" ref="C543">SUMPRODUCT((Index_Tab!$D$36:$D$45=$B543)*(Index_Tab!$E$35:$F$35=$B$3)*Index_Tab!$E$36:$F$45)</f>
        <v>0</v>
      </c>
      <c r="D543" s="648"/>
      <c r="E543" s="525"/>
      <c r="F543" s="529"/>
      <c r="G543" s="529"/>
      <c r="H543" s="529"/>
      <c r="I543" s="529"/>
      <c r="J543" s="529"/>
      <c r="K543" s="529"/>
      <c r="L543" s="529"/>
      <c r="M543" s="529"/>
      <c r="N543" s="529"/>
      <c r="O543" s="529"/>
      <c r="P543" s="660"/>
      <c r="Q543" s="529"/>
      <c r="R543" s="529"/>
      <c r="S543" s="529"/>
      <c r="T543" s="529"/>
      <c r="U543" s="529"/>
      <c r="V543" s="529"/>
      <c r="W543" s="529"/>
      <c r="X543" s="529"/>
      <c r="Y543" s="529"/>
      <c r="Z543" s="529"/>
      <c r="AA543" s="529"/>
      <c r="AB543" s="529"/>
      <c r="AC543" s="529"/>
      <c r="AD543" s="529"/>
      <c r="AE543" s="529"/>
      <c r="AF543" s="529"/>
      <c r="AG543" s="529"/>
      <c r="AH543" s="529"/>
      <c r="AI543" s="529"/>
      <c r="AJ543" s="529"/>
      <c r="AK543" s="529"/>
      <c r="AL543" s="529"/>
      <c r="AM543" s="529"/>
      <c r="AN543" s="529"/>
      <c r="AO543" s="529"/>
      <c r="AP543" s="529"/>
      <c r="AQ543" s="529"/>
      <c r="AR543" s="529"/>
      <c r="AS543" s="529"/>
      <c r="AT543" s="529"/>
      <c r="AU543" s="529"/>
      <c r="AV543" s="529"/>
      <c r="AW543" s="529"/>
      <c r="AX543" s="529"/>
      <c r="AY543" s="529"/>
      <c r="AZ543" s="529"/>
      <c r="BA543" s="529"/>
      <c r="BB543" s="529"/>
      <c r="BC543" s="529"/>
      <c r="BD543" s="529"/>
      <c r="BE543" s="529"/>
      <c r="BF543" s="529"/>
      <c r="BG543" s="529"/>
      <c r="BH543" s="529"/>
      <c r="BI543" s="529"/>
      <c r="BJ543" s="529"/>
      <c r="BK543" s="529"/>
      <c r="BL543" s="529"/>
      <c r="BM543" s="529"/>
      <c r="BN543" s="529"/>
      <c r="BO543" s="529"/>
      <c r="BP543" s="529"/>
      <c r="BQ543" s="529"/>
      <c r="BR543" s="529"/>
      <c r="BS543" s="529"/>
      <c r="BT543" s="529"/>
      <c r="BU543" s="529"/>
      <c r="BV543" s="529"/>
      <c r="BW543" s="529"/>
      <c r="BX543" s="529"/>
      <c r="BY543" s="529"/>
      <c r="BZ543" s="537"/>
      <c r="CA543" s="537"/>
      <c r="CB543" s="529"/>
    </row>
    <row r="544" spans="1:80" x14ac:dyDescent="0.3">
      <c r="A544" s="648"/>
      <c r="B544" s="648"/>
      <c r="C544" s="648" cm="1">
        <f t="array" ref="C544">SUMPRODUCT((Index_Tab!$D$36:$D$45=$B544)*(Index_Tab!$E$35:$F$35=$B$3)*Index_Tab!$E$36:$F$45)</f>
        <v>0</v>
      </c>
      <c r="D544" s="648"/>
      <c r="E544" s="578" t="s">
        <v>33</v>
      </c>
      <c r="F544" s="579"/>
      <c r="G544" s="579"/>
      <c r="H544" s="529"/>
      <c r="I544" s="534">
        <f t="shared" ref="I544:N544" si="705">SUM(I542,I535,I529)</f>
        <v>11243297.557709048</v>
      </c>
      <c r="J544" s="534">
        <f t="shared" si="705"/>
        <v>11701529.135291811</v>
      </c>
      <c r="K544" s="534">
        <f t="shared" si="705"/>
        <v>12158107.087218985</v>
      </c>
      <c r="L544" s="534">
        <f t="shared" si="705"/>
        <v>12610589.162195932</v>
      </c>
      <c r="M544" s="534">
        <f t="shared" si="705"/>
        <v>13041967.331713982</v>
      </c>
      <c r="N544" s="534">
        <f t="shared" si="705"/>
        <v>13474954.913263686</v>
      </c>
      <c r="O544" s="536"/>
      <c r="P544" s="568">
        <f>IFERROR(((N544/I544)^(1/5))-1,0)</f>
        <v>3.6875763671751383E-2</v>
      </c>
      <c r="Q544" s="529"/>
      <c r="R544" s="534">
        <f t="shared" ref="R544:BY544" si="706">SUM(R542,R535,R529)</f>
        <v>975127.42794098437</v>
      </c>
      <c r="S544" s="534">
        <f t="shared" si="706"/>
        <v>975127.42794098437</v>
      </c>
      <c r="T544" s="534">
        <f t="shared" si="706"/>
        <v>975127.42794098437</v>
      </c>
      <c r="U544" s="534">
        <f t="shared" si="706"/>
        <v>975127.42794098437</v>
      </c>
      <c r="V544" s="534">
        <f t="shared" si="706"/>
        <v>975127.42794098437</v>
      </c>
      <c r="W544" s="534">
        <f t="shared" si="706"/>
        <v>975127.42794098437</v>
      </c>
      <c r="X544" s="534">
        <f t="shared" si="706"/>
        <v>975127.42794098437</v>
      </c>
      <c r="Y544" s="534">
        <f t="shared" si="706"/>
        <v>975127.42794098437</v>
      </c>
      <c r="Z544" s="534">
        <f t="shared" si="706"/>
        <v>975127.42794098437</v>
      </c>
      <c r="AA544" s="534">
        <f t="shared" si="706"/>
        <v>975127.42794098437</v>
      </c>
      <c r="AB544" s="534">
        <f t="shared" si="706"/>
        <v>975127.42794098437</v>
      </c>
      <c r="AC544" s="534">
        <f t="shared" si="706"/>
        <v>975127.42794098437</v>
      </c>
      <c r="AD544" s="534">
        <f t="shared" si="706"/>
        <v>1013175.5906015822</v>
      </c>
      <c r="AE544" s="534">
        <f t="shared" si="706"/>
        <v>1013175.5906015822</v>
      </c>
      <c r="AF544" s="534">
        <f t="shared" si="706"/>
        <v>1013175.5906015822</v>
      </c>
      <c r="AG544" s="534">
        <f t="shared" si="706"/>
        <v>1013175.5906015822</v>
      </c>
      <c r="AH544" s="534">
        <f t="shared" si="706"/>
        <v>1013175.5906015822</v>
      </c>
      <c r="AI544" s="534">
        <f t="shared" si="706"/>
        <v>1013175.5906015822</v>
      </c>
      <c r="AJ544" s="534">
        <f t="shared" si="706"/>
        <v>1013175.5906015822</v>
      </c>
      <c r="AK544" s="534">
        <f t="shared" si="706"/>
        <v>1013175.5906015822</v>
      </c>
      <c r="AL544" s="534">
        <f t="shared" si="706"/>
        <v>1013175.5906015822</v>
      </c>
      <c r="AM544" s="534">
        <f t="shared" si="706"/>
        <v>1013175.5906015822</v>
      </c>
      <c r="AN544" s="534">
        <f t="shared" si="706"/>
        <v>1013175.5906015822</v>
      </c>
      <c r="AO544" s="534">
        <f t="shared" si="706"/>
        <v>1013175.5906015822</v>
      </c>
      <c r="AP544" s="534">
        <f t="shared" si="706"/>
        <v>1050882.4301829943</v>
      </c>
      <c r="AQ544" s="534">
        <f t="shared" si="706"/>
        <v>1050882.4301829943</v>
      </c>
      <c r="AR544" s="534">
        <f t="shared" si="706"/>
        <v>1050882.4301829943</v>
      </c>
      <c r="AS544" s="534">
        <f t="shared" si="706"/>
        <v>1050882.4301829943</v>
      </c>
      <c r="AT544" s="534">
        <f t="shared" si="706"/>
        <v>1050882.4301829943</v>
      </c>
      <c r="AU544" s="534">
        <f t="shared" si="706"/>
        <v>1050882.4301829943</v>
      </c>
      <c r="AV544" s="534">
        <f t="shared" si="706"/>
        <v>1050882.4301829943</v>
      </c>
      <c r="AW544" s="534">
        <f t="shared" si="706"/>
        <v>1050882.4301829943</v>
      </c>
      <c r="AX544" s="534">
        <f t="shared" si="706"/>
        <v>1050882.4301829943</v>
      </c>
      <c r="AY544" s="534">
        <f t="shared" si="706"/>
        <v>1050882.4301829943</v>
      </c>
      <c r="AZ544" s="534">
        <f t="shared" si="706"/>
        <v>1050882.4301829943</v>
      </c>
      <c r="BA544" s="534">
        <f t="shared" si="706"/>
        <v>1050882.4301829943</v>
      </c>
      <c r="BB544" s="534">
        <f t="shared" si="706"/>
        <v>1086830.6109761654</v>
      </c>
      <c r="BC544" s="534">
        <f t="shared" si="706"/>
        <v>1086830.6109761654</v>
      </c>
      <c r="BD544" s="534">
        <f t="shared" si="706"/>
        <v>1086830.6109761654</v>
      </c>
      <c r="BE544" s="534">
        <f t="shared" si="706"/>
        <v>1086830.6109761654</v>
      </c>
      <c r="BF544" s="534">
        <f t="shared" si="706"/>
        <v>1086830.6109761654</v>
      </c>
      <c r="BG544" s="534">
        <f t="shared" si="706"/>
        <v>1086830.6109761654</v>
      </c>
      <c r="BH544" s="534">
        <f t="shared" si="706"/>
        <v>1086830.6109761654</v>
      </c>
      <c r="BI544" s="534">
        <f t="shared" si="706"/>
        <v>1086830.6109761654</v>
      </c>
      <c r="BJ544" s="534">
        <f t="shared" si="706"/>
        <v>1086830.6109761654</v>
      </c>
      <c r="BK544" s="534">
        <f t="shared" si="706"/>
        <v>1086830.6109761654</v>
      </c>
      <c r="BL544" s="534">
        <f t="shared" si="706"/>
        <v>1086830.6109761654</v>
      </c>
      <c r="BM544" s="534">
        <f t="shared" si="706"/>
        <v>1086830.6109761654</v>
      </c>
      <c r="BN544" s="534">
        <f t="shared" si="706"/>
        <v>1122912.9094386406</v>
      </c>
      <c r="BO544" s="534">
        <f t="shared" si="706"/>
        <v>1122912.9094386406</v>
      </c>
      <c r="BP544" s="534">
        <f t="shared" si="706"/>
        <v>1122912.9094386406</v>
      </c>
      <c r="BQ544" s="534">
        <f t="shared" si="706"/>
        <v>1122912.9094386406</v>
      </c>
      <c r="BR544" s="534">
        <f t="shared" si="706"/>
        <v>1122912.9094386406</v>
      </c>
      <c r="BS544" s="534">
        <f t="shared" si="706"/>
        <v>1122912.9094386406</v>
      </c>
      <c r="BT544" s="534">
        <f t="shared" si="706"/>
        <v>1122912.9094386406</v>
      </c>
      <c r="BU544" s="534">
        <f t="shared" si="706"/>
        <v>1122912.9094386406</v>
      </c>
      <c r="BV544" s="534">
        <f t="shared" si="706"/>
        <v>1122912.9094386406</v>
      </c>
      <c r="BW544" s="534">
        <f t="shared" si="706"/>
        <v>1122912.9094386406</v>
      </c>
      <c r="BX544" s="534">
        <f t="shared" si="706"/>
        <v>1122912.9094386406</v>
      </c>
      <c r="BY544" s="534">
        <f t="shared" si="706"/>
        <v>1122912.9094386406</v>
      </c>
      <c r="BZ544" s="537"/>
      <c r="CA544" s="537"/>
      <c r="CB544" s="529"/>
    </row>
    <row r="545" spans="1:80" x14ac:dyDescent="0.3">
      <c r="A545" s="648"/>
      <c r="B545" s="648"/>
      <c r="C545" s="648" cm="1">
        <f t="array" ref="C545">SUMPRODUCT((Index_Tab!$D$36:$D$45=$B545)*(Index_Tab!$E$35:$F$35=$B$3)*Index_Tab!$E$36:$F$45)</f>
        <v>0</v>
      </c>
      <c r="D545" s="648"/>
      <c r="E545" s="525"/>
      <c r="F545" s="529"/>
      <c r="G545" s="529"/>
      <c r="H545" s="529"/>
      <c r="I545" s="529"/>
      <c r="J545" s="529"/>
      <c r="K545" s="529"/>
      <c r="L545" s="529"/>
      <c r="M545" s="529"/>
      <c r="N545" s="529"/>
      <c r="O545" s="529"/>
      <c r="P545" s="660"/>
      <c r="Q545" s="529"/>
      <c r="R545" s="529"/>
      <c r="S545" s="529"/>
      <c r="T545" s="529"/>
      <c r="U545" s="529"/>
      <c r="V545" s="529"/>
      <c r="W545" s="529"/>
      <c r="X545" s="529"/>
      <c r="Y545" s="529"/>
      <c r="Z545" s="529"/>
      <c r="AA545" s="529"/>
      <c r="AB545" s="529"/>
      <c r="AC545" s="529"/>
      <c r="AD545" s="529"/>
      <c r="AE545" s="529"/>
      <c r="AF545" s="529"/>
      <c r="AG545" s="529"/>
      <c r="AH545" s="529"/>
      <c r="AI545" s="529"/>
      <c r="AJ545" s="529"/>
      <c r="AK545" s="529"/>
      <c r="AL545" s="529"/>
      <c r="AM545" s="529"/>
      <c r="AN545" s="529"/>
      <c r="AO545" s="529"/>
      <c r="AP545" s="529"/>
      <c r="AQ545" s="529"/>
      <c r="AR545" s="529"/>
      <c r="AS545" s="529"/>
      <c r="AT545" s="529"/>
      <c r="AU545" s="529"/>
      <c r="AV545" s="529"/>
      <c r="AW545" s="529"/>
      <c r="AX545" s="529"/>
      <c r="AY545" s="529"/>
      <c r="AZ545" s="529"/>
      <c r="BA545" s="529"/>
      <c r="BB545" s="529"/>
      <c r="BC545" s="529"/>
      <c r="BD545" s="529"/>
      <c r="BE545" s="529"/>
      <c r="BF545" s="529"/>
      <c r="BG545" s="529"/>
      <c r="BH545" s="529"/>
      <c r="BI545" s="529"/>
      <c r="BJ545" s="529"/>
      <c r="BK545" s="529"/>
      <c r="BL545" s="529"/>
      <c r="BM545" s="529"/>
      <c r="BN545" s="529"/>
      <c r="BO545" s="529"/>
      <c r="BP545" s="529"/>
      <c r="BQ545" s="529"/>
      <c r="BR545" s="529"/>
      <c r="BS545" s="529"/>
      <c r="BT545" s="529"/>
      <c r="BU545" s="529"/>
      <c r="BV545" s="529"/>
      <c r="BW545" s="529"/>
      <c r="BX545" s="529"/>
      <c r="BY545" s="529"/>
      <c r="BZ545" s="537"/>
      <c r="CA545" s="537"/>
      <c r="CB545" s="529"/>
    </row>
    <row r="546" spans="1:80" x14ac:dyDescent="0.3">
      <c r="A546" s="648"/>
      <c r="B546" s="648"/>
      <c r="C546" s="648" cm="1">
        <f t="array" ref="C546">SUMPRODUCT((Index_Tab!$D$36:$D$45=$B546)*(Index_Tab!$E$35:$F$35=$B$3)*Index_Tab!$E$36:$F$45)</f>
        <v>0</v>
      </c>
      <c r="D546" s="648"/>
      <c r="E546" s="570" t="s">
        <v>34</v>
      </c>
      <c r="F546" s="529"/>
      <c r="G546" s="529"/>
      <c r="H546" s="529"/>
      <c r="I546" s="529"/>
      <c r="J546" s="529"/>
      <c r="K546" s="529"/>
      <c r="L546" s="529"/>
      <c r="M546" s="529"/>
      <c r="N546" s="529"/>
      <c r="O546" s="529"/>
      <c r="P546" s="660"/>
      <c r="Q546" s="529"/>
      <c r="R546" s="529"/>
      <c r="S546" s="529"/>
      <c r="T546" s="529"/>
      <c r="U546" s="529"/>
      <c r="V546" s="529"/>
      <c r="W546" s="529"/>
      <c r="X546" s="529"/>
      <c r="Y546" s="529"/>
      <c r="Z546" s="529"/>
      <c r="AA546" s="529"/>
      <c r="AB546" s="529"/>
      <c r="AC546" s="529"/>
      <c r="AD546" s="529"/>
      <c r="AE546" s="529"/>
      <c r="AF546" s="529"/>
      <c r="AG546" s="529"/>
      <c r="AH546" s="529"/>
      <c r="AI546" s="529"/>
      <c r="AJ546" s="529"/>
      <c r="AK546" s="529"/>
      <c r="AL546" s="529"/>
      <c r="AM546" s="529"/>
      <c r="AN546" s="529"/>
      <c r="AO546" s="529"/>
      <c r="AP546" s="529"/>
      <c r="AQ546" s="529"/>
      <c r="AR546" s="529"/>
      <c r="AS546" s="529"/>
      <c r="AT546" s="529"/>
      <c r="AU546" s="529"/>
      <c r="AV546" s="529"/>
      <c r="AW546" s="529"/>
      <c r="AX546" s="529"/>
      <c r="AY546" s="529"/>
      <c r="AZ546" s="529"/>
      <c r="BA546" s="529"/>
      <c r="BB546" s="529"/>
      <c r="BC546" s="529"/>
      <c r="BD546" s="529"/>
      <c r="BE546" s="529"/>
      <c r="BF546" s="529"/>
      <c r="BG546" s="529"/>
      <c r="BH546" s="529"/>
      <c r="BI546" s="529"/>
      <c r="BJ546" s="529"/>
      <c r="BK546" s="529"/>
      <c r="BL546" s="529"/>
      <c r="BM546" s="529"/>
      <c r="BN546" s="529"/>
      <c r="BO546" s="529"/>
      <c r="BP546" s="529"/>
      <c r="BQ546" s="529"/>
      <c r="BR546" s="529"/>
      <c r="BS546" s="529"/>
      <c r="BT546" s="529"/>
      <c r="BU546" s="529"/>
      <c r="BV546" s="529"/>
      <c r="BW546" s="529"/>
      <c r="BX546" s="529"/>
      <c r="BY546" s="529"/>
      <c r="BZ546" s="537"/>
      <c r="CA546" s="537"/>
      <c r="CB546" s="529"/>
    </row>
    <row r="547" spans="1:80" x14ac:dyDescent="0.3">
      <c r="A547" s="648"/>
      <c r="B547" s="648" t="s">
        <v>19</v>
      </c>
      <c r="C547" s="648" cm="1">
        <f t="array" ref="C547">SUMPRODUCT((Index_Tab!$D$36:$D$45=$B547)*(Index_Tab!$E$35:$F$35=$B$3)*Index_Tab!$E$36:$F$45)</f>
        <v>0</v>
      </c>
      <c r="D547" s="648"/>
      <c r="E547" s="525" t="s">
        <v>19</v>
      </c>
      <c r="F547" s="567"/>
      <c r="G547" s="567"/>
      <c r="H547" s="529"/>
      <c r="I547" s="544">
        <v>-253880.80806745929</v>
      </c>
      <c r="J547" s="542">
        <f>I547*(1+'Detailed Assumptions'!F$47)</f>
        <v>-258958.42422880849</v>
      </c>
      <c r="K547" s="542">
        <f>J547*(1+'Detailed Assumptions'!G$47)</f>
        <v>-264137.59271338466</v>
      </c>
      <c r="L547" s="542">
        <f>K547*(1+'Detailed Assumptions'!H$47)</f>
        <v>-269420.34456765233</v>
      </c>
      <c r="M547" s="542">
        <f>L547*(1+'Detailed Assumptions'!I$47)</f>
        <v>-274808.75145900541</v>
      </c>
      <c r="N547" s="542">
        <f>M547*(1+'Detailed Assumptions'!J$47)</f>
        <v>-280304.92648818553</v>
      </c>
      <c r="O547" s="529"/>
      <c r="P547" s="564">
        <f>IFERROR(((N547/I547)^(1/5))-1,0)</f>
        <v>2.0000000000000018E-2</v>
      </c>
      <c r="Q547" s="529"/>
      <c r="R547" s="527">
        <f t="shared" ref="R547:AG548" si="707">(INDEX($I547:$N547,MATCH(R$2,$I$3:$N$3,0)))/12</f>
        <v>-21579.86868573404</v>
      </c>
      <c r="S547" s="527">
        <f t="shared" si="707"/>
        <v>-21579.86868573404</v>
      </c>
      <c r="T547" s="527">
        <f t="shared" si="707"/>
        <v>-21579.86868573404</v>
      </c>
      <c r="U547" s="527">
        <f t="shared" si="707"/>
        <v>-21579.86868573404</v>
      </c>
      <c r="V547" s="527">
        <f t="shared" si="707"/>
        <v>-21579.86868573404</v>
      </c>
      <c r="W547" s="527">
        <f t="shared" si="707"/>
        <v>-21579.86868573404</v>
      </c>
      <c r="X547" s="527">
        <f t="shared" si="707"/>
        <v>-21579.86868573404</v>
      </c>
      <c r="Y547" s="527">
        <f t="shared" si="707"/>
        <v>-21579.86868573404</v>
      </c>
      <c r="Z547" s="527">
        <f t="shared" si="707"/>
        <v>-21579.86868573404</v>
      </c>
      <c r="AA547" s="527">
        <f t="shared" si="707"/>
        <v>-21579.86868573404</v>
      </c>
      <c r="AB547" s="527">
        <f t="shared" si="707"/>
        <v>-21579.86868573404</v>
      </c>
      <c r="AC547" s="527">
        <f t="shared" si="707"/>
        <v>-21579.86868573404</v>
      </c>
      <c r="AD547" s="527">
        <f t="shared" si="707"/>
        <v>-22011.466059448721</v>
      </c>
      <c r="AE547" s="527">
        <f t="shared" si="707"/>
        <v>-22011.466059448721</v>
      </c>
      <c r="AF547" s="527">
        <f t="shared" si="707"/>
        <v>-22011.466059448721</v>
      </c>
      <c r="AG547" s="527">
        <f t="shared" si="707"/>
        <v>-22011.466059448721</v>
      </c>
      <c r="AH547" s="527">
        <f t="shared" ref="AH547:AW548" si="708">(INDEX($I547:$N547,MATCH(AH$2,$I$3:$N$3,0)))/12</f>
        <v>-22011.466059448721</v>
      </c>
      <c r="AI547" s="527">
        <f t="shared" si="708"/>
        <v>-22011.466059448721</v>
      </c>
      <c r="AJ547" s="527">
        <f t="shared" si="708"/>
        <v>-22011.466059448721</v>
      </c>
      <c r="AK547" s="527">
        <f t="shared" si="708"/>
        <v>-22011.466059448721</v>
      </c>
      <c r="AL547" s="527">
        <f t="shared" si="708"/>
        <v>-22011.466059448721</v>
      </c>
      <c r="AM547" s="527">
        <f t="shared" si="708"/>
        <v>-22011.466059448721</v>
      </c>
      <c r="AN547" s="527">
        <f t="shared" si="708"/>
        <v>-22011.466059448721</v>
      </c>
      <c r="AO547" s="527">
        <f t="shared" si="708"/>
        <v>-22011.466059448721</v>
      </c>
      <c r="AP547" s="527">
        <f t="shared" si="708"/>
        <v>-22451.695380637695</v>
      </c>
      <c r="AQ547" s="527">
        <f t="shared" si="708"/>
        <v>-22451.695380637695</v>
      </c>
      <c r="AR547" s="527">
        <f t="shared" si="708"/>
        <v>-22451.695380637695</v>
      </c>
      <c r="AS547" s="527">
        <f t="shared" si="708"/>
        <v>-22451.695380637695</v>
      </c>
      <c r="AT547" s="527">
        <f t="shared" si="708"/>
        <v>-22451.695380637695</v>
      </c>
      <c r="AU547" s="527">
        <f t="shared" si="708"/>
        <v>-22451.695380637695</v>
      </c>
      <c r="AV547" s="527">
        <f t="shared" si="708"/>
        <v>-22451.695380637695</v>
      </c>
      <c r="AW547" s="527">
        <f t="shared" si="708"/>
        <v>-22451.695380637695</v>
      </c>
      <c r="AX547" s="527">
        <f t="shared" ref="AX547:BM548" si="709">(INDEX($I547:$N547,MATCH(AX$2,$I$3:$N$3,0)))/12</f>
        <v>-22451.695380637695</v>
      </c>
      <c r="AY547" s="527">
        <f t="shared" si="709"/>
        <v>-22451.695380637695</v>
      </c>
      <c r="AZ547" s="527">
        <f t="shared" si="709"/>
        <v>-22451.695380637695</v>
      </c>
      <c r="BA547" s="527">
        <f t="shared" si="709"/>
        <v>-22451.695380637695</v>
      </c>
      <c r="BB547" s="527">
        <f t="shared" si="709"/>
        <v>-22900.729288250452</v>
      </c>
      <c r="BC547" s="527">
        <f t="shared" si="709"/>
        <v>-22900.729288250452</v>
      </c>
      <c r="BD547" s="527">
        <f t="shared" si="709"/>
        <v>-22900.729288250452</v>
      </c>
      <c r="BE547" s="527">
        <f t="shared" si="709"/>
        <v>-22900.729288250452</v>
      </c>
      <c r="BF547" s="527">
        <f t="shared" si="709"/>
        <v>-22900.729288250452</v>
      </c>
      <c r="BG547" s="527">
        <f t="shared" si="709"/>
        <v>-22900.729288250452</v>
      </c>
      <c r="BH547" s="527">
        <f t="shared" si="709"/>
        <v>-22900.729288250452</v>
      </c>
      <c r="BI547" s="527">
        <f t="shared" si="709"/>
        <v>-22900.729288250452</v>
      </c>
      <c r="BJ547" s="527">
        <f t="shared" si="709"/>
        <v>-22900.729288250452</v>
      </c>
      <c r="BK547" s="527">
        <f t="shared" si="709"/>
        <v>-22900.729288250452</v>
      </c>
      <c r="BL547" s="527">
        <f t="shared" si="709"/>
        <v>-22900.729288250452</v>
      </c>
      <c r="BM547" s="527">
        <f t="shared" si="709"/>
        <v>-22900.729288250452</v>
      </c>
      <c r="BN547" s="527">
        <f t="shared" ref="BN547:BY548" si="710">(INDEX($I547:$N547,MATCH(BN$2,$I$3:$N$3,0)))/12</f>
        <v>-23358.743874015461</v>
      </c>
      <c r="BO547" s="527">
        <f t="shared" si="710"/>
        <v>-23358.743874015461</v>
      </c>
      <c r="BP547" s="527">
        <f t="shared" si="710"/>
        <v>-23358.743874015461</v>
      </c>
      <c r="BQ547" s="527">
        <f t="shared" si="710"/>
        <v>-23358.743874015461</v>
      </c>
      <c r="BR547" s="527">
        <f t="shared" si="710"/>
        <v>-23358.743874015461</v>
      </c>
      <c r="BS547" s="527">
        <f t="shared" si="710"/>
        <v>-23358.743874015461</v>
      </c>
      <c r="BT547" s="527">
        <f t="shared" si="710"/>
        <v>-23358.743874015461</v>
      </c>
      <c r="BU547" s="527">
        <f t="shared" si="710"/>
        <v>-23358.743874015461</v>
      </c>
      <c r="BV547" s="527">
        <f t="shared" si="710"/>
        <v>-23358.743874015461</v>
      </c>
      <c r="BW547" s="527">
        <f t="shared" si="710"/>
        <v>-23358.743874015461</v>
      </c>
      <c r="BX547" s="527">
        <f t="shared" si="710"/>
        <v>-23358.743874015461</v>
      </c>
      <c r="BY547" s="527">
        <f t="shared" si="710"/>
        <v>-23358.743874015461</v>
      </c>
      <c r="BZ547" s="537"/>
      <c r="CA547" s="537"/>
      <c r="CB547" s="529"/>
    </row>
    <row r="548" spans="1:80" x14ac:dyDescent="0.3">
      <c r="A548" s="648"/>
      <c r="B548" s="648" t="s">
        <v>20</v>
      </c>
      <c r="C548" s="648" cm="1">
        <f t="array" ref="C548">SUMPRODUCT((Index_Tab!$D$36:$D$45=$B548)*(Index_Tab!$E$35:$F$35=$B$3)*Index_Tab!$E$36:$F$45)</f>
        <v>0</v>
      </c>
      <c r="D548" s="648"/>
      <c r="E548" s="525" t="s">
        <v>20</v>
      </c>
      <c r="F548" s="567"/>
      <c r="G548" s="567"/>
      <c r="H548" s="529"/>
      <c r="I548" s="544">
        <v>-22137.520296883249</v>
      </c>
      <c r="J548" s="542">
        <f>I548*(1+'Detailed Assumptions'!F$47)</f>
        <v>-22580.270702820915</v>
      </c>
      <c r="K548" s="542">
        <f>J548*(1+'Detailed Assumptions'!G$47)</f>
        <v>-23031.876116877334</v>
      </c>
      <c r="L548" s="542">
        <f>K548*(1+'Detailed Assumptions'!H$47)</f>
        <v>-23492.513639214882</v>
      </c>
      <c r="M548" s="542">
        <f>L548*(1+'Detailed Assumptions'!I$47)</f>
        <v>-23962.363911999179</v>
      </c>
      <c r="N548" s="542">
        <f>M548*(1+'Detailed Assumptions'!J$47)</f>
        <v>-24441.611190239164</v>
      </c>
      <c r="O548" s="529"/>
      <c r="P548" s="564">
        <f>IFERROR(((N548/I548)^(1/5))-1,0)</f>
        <v>2.0000000000000018E-2</v>
      </c>
      <c r="Q548" s="529"/>
      <c r="R548" s="527">
        <f t="shared" si="707"/>
        <v>-1881.6892252350763</v>
      </c>
      <c r="S548" s="527">
        <f t="shared" si="707"/>
        <v>-1881.6892252350763</v>
      </c>
      <c r="T548" s="527">
        <f t="shared" si="707"/>
        <v>-1881.6892252350763</v>
      </c>
      <c r="U548" s="527">
        <f t="shared" si="707"/>
        <v>-1881.6892252350763</v>
      </c>
      <c r="V548" s="527">
        <f t="shared" si="707"/>
        <v>-1881.6892252350763</v>
      </c>
      <c r="W548" s="527">
        <f t="shared" si="707"/>
        <v>-1881.6892252350763</v>
      </c>
      <c r="X548" s="527">
        <f t="shared" si="707"/>
        <v>-1881.6892252350763</v>
      </c>
      <c r="Y548" s="527">
        <f t="shared" si="707"/>
        <v>-1881.6892252350763</v>
      </c>
      <c r="Z548" s="527">
        <f t="shared" si="707"/>
        <v>-1881.6892252350763</v>
      </c>
      <c r="AA548" s="527">
        <f t="shared" si="707"/>
        <v>-1881.6892252350763</v>
      </c>
      <c r="AB548" s="527">
        <f t="shared" si="707"/>
        <v>-1881.6892252350763</v>
      </c>
      <c r="AC548" s="527">
        <f t="shared" si="707"/>
        <v>-1881.6892252350763</v>
      </c>
      <c r="AD548" s="527">
        <f t="shared" si="707"/>
        <v>-1919.3230097397779</v>
      </c>
      <c r="AE548" s="527">
        <f t="shared" si="707"/>
        <v>-1919.3230097397779</v>
      </c>
      <c r="AF548" s="527">
        <f t="shared" si="707"/>
        <v>-1919.3230097397779</v>
      </c>
      <c r="AG548" s="527">
        <f t="shared" si="707"/>
        <v>-1919.3230097397779</v>
      </c>
      <c r="AH548" s="527">
        <f t="shared" si="708"/>
        <v>-1919.3230097397779</v>
      </c>
      <c r="AI548" s="527">
        <f t="shared" si="708"/>
        <v>-1919.3230097397779</v>
      </c>
      <c r="AJ548" s="527">
        <f t="shared" si="708"/>
        <v>-1919.3230097397779</v>
      </c>
      <c r="AK548" s="527">
        <f t="shared" si="708"/>
        <v>-1919.3230097397779</v>
      </c>
      <c r="AL548" s="527">
        <f t="shared" si="708"/>
        <v>-1919.3230097397779</v>
      </c>
      <c r="AM548" s="527">
        <f t="shared" si="708"/>
        <v>-1919.3230097397779</v>
      </c>
      <c r="AN548" s="527">
        <f t="shared" si="708"/>
        <v>-1919.3230097397779</v>
      </c>
      <c r="AO548" s="527">
        <f t="shared" si="708"/>
        <v>-1919.3230097397779</v>
      </c>
      <c r="AP548" s="527">
        <f t="shared" si="708"/>
        <v>-1957.7094699345735</v>
      </c>
      <c r="AQ548" s="527">
        <f t="shared" si="708"/>
        <v>-1957.7094699345735</v>
      </c>
      <c r="AR548" s="527">
        <f t="shared" si="708"/>
        <v>-1957.7094699345735</v>
      </c>
      <c r="AS548" s="527">
        <f t="shared" si="708"/>
        <v>-1957.7094699345735</v>
      </c>
      <c r="AT548" s="527">
        <f t="shared" si="708"/>
        <v>-1957.7094699345735</v>
      </c>
      <c r="AU548" s="527">
        <f t="shared" si="708"/>
        <v>-1957.7094699345735</v>
      </c>
      <c r="AV548" s="527">
        <f t="shared" si="708"/>
        <v>-1957.7094699345735</v>
      </c>
      <c r="AW548" s="527">
        <f t="shared" si="708"/>
        <v>-1957.7094699345735</v>
      </c>
      <c r="AX548" s="527">
        <f t="shared" si="709"/>
        <v>-1957.7094699345735</v>
      </c>
      <c r="AY548" s="527">
        <f t="shared" si="709"/>
        <v>-1957.7094699345735</v>
      </c>
      <c r="AZ548" s="527">
        <f t="shared" si="709"/>
        <v>-1957.7094699345735</v>
      </c>
      <c r="BA548" s="527">
        <f t="shared" si="709"/>
        <v>-1957.7094699345735</v>
      </c>
      <c r="BB548" s="527">
        <f t="shared" si="709"/>
        <v>-1996.8636593332649</v>
      </c>
      <c r="BC548" s="527">
        <f t="shared" si="709"/>
        <v>-1996.8636593332649</v>
      </c>
      <c r="BD548" s="527">
        <f t="shared" si="709"/>
        <v>-1996.8636593332649</v>
      </c>
      <c r="BE548" s="527">
        <f t="shared" si="709"/>
        <v>-1996.8636593332649</v>
      </c>
      <c r="BF548" s="527">
        <f t="shared" si="709"/>
        <v>-1996.8636593332649</v>
      </c>
      <c r="BG548" s="527">
        <f t="shared" si="709"/>
        <v>-1996.8636593332649</v>
      </c>
      <c r="BH548" s="527">
        <f t="shared" si="709"/>
        <v>-1996.8636593332649</v>
      </c>
      <c r="BI548" s="527">
        <f t="shared" si="709"/>
        <v>-1996.8636593332649</v>
      </c>
      <c r="BJ548" s="527">
        <f t="shared" si="709"/>
        <v>-1996.8636593332649</v>
      </c>
      <c r="BK548" s="527">
        <f t="shared" si="709"/>
        <v>-1996.8636593332649</v>
      </c>
      <c r="BL548" s="527">
        <f t="shared" si="709"/>
        <v>-1996.8636593332649</v>
      </c>
      <c r="BM548" s="527">
        <f t="shared" si="709"/>
        <v>-1996.8636593332649</v>
      </c>
      <c r="BN548" s="527">
        <f t="shared" si="710"/>
        <v>-2036.8009325199303</v>
      </c>
      <c r="BO548" s="527">
        <f t="shared" si="710"/>
        <v>-2036.8009325199303</v>
      </c>
      <c r="BP548" s="527">
        <f t="shared" si="710"/>
        <v>-2036.8009325199303</v>
      </c>
      <c r="BQ548" s="527">
        <f t="shared" si="710"/>
        <v>-2036.8009325199303</v>
      </c>
      <c r="BR548" s="527">
        <f t="shared" si="710"/>
        <v>-2036.8009325199303</v>
      </c>
      <c r="BS548" s="527">
        <f t="shared" si="710"/>
        <v>-2036.8009325199303</v>
      </c>
      <c r="BT548" s="527">
        <f t="shared" si="710"/>
        <v>-2036.8009325199303</v>
      </c>
      <c r="BU548" s="527">
        <f t="shared" si="710"/>
        <v>-2036.8009325199303</v>
      </c>
      <c r="BV548" s="527">
        <f t="shared" si="710"/>
        <v>-2036.8009325199303</v>
      </c>
      <c r="BW548" s="527">
        <f t="shared" si="710"/>
        <v>-2036.8009325199303</v>
      </c>
      <c r="BX548" s="527">
        <f t="shared" si="710"/>
        <v>-2036.8009325199303</v>
      </c>
      <c r="BY548" s="527">
        <f t="shared" si="710"/>
        <v>-2036.8009325199303</v>
      </c>
      <c r="BZ548" s="537"/>
      <c r="CA548" s="537"/>
      <c r="CB548" s="529"/>
    </row>
    <row r="549" spans="1:80" x14ac:dyDescent="0.3">
      <c r="A549" s="648"/>
      <c r="B549" s="648"/>
      <c r="C549" s="648" cm="1">
        <f t="array" ref="C549">SUMPRODUCT((Index_Tab!$D$36:$D$45=$B549)*(Index_Tab!$E$35:$F$35=$B$3)*Index_Tab!$E$36:$F$45)</f>
        <v>0</v>
      </c>
      <c r="D549" s="648"/>
      <c r="E549" s="572" t="s">
        <v>35</v>
      </c>
      <c r="F549" s="573"/>
      <c r="G549" s="573"/>
      <c r="H549" s="529"/>
      <c r="I549" s="532">
        <f t="shared" ref="I549:N549" si="711">SUM(I547:I548)</f>
        <v>-276018.32836434257</v>
      </c>
      <c r="J549" s="532">
        <f t="shared" si="711"/>
        <v>-281538.6949316294</v>
      </c>
      <c r="K549" s="532">
        <f t="shared" si="711"/>
        <v>-287169.46883026196</v>
      </c>
      <c r="L549" s="532">
        <f t="shared" si="711"/>
        <v>-292912.85820686718</v>
      </c>
      <c r="M549" s="532">
        <f t="shared" si="711"/>
        <v>-298771.11537100456</v>
      </c>
      <c r="N549" s="532">
        <f t="shared" si="711"/>
        <v>-304746.53767842468</v>
      </c>
      <c r="O549" s="536"/>
      <c r="P549" s="568">
        <f>IFERROR(((N549/I549)^(1/5))-1,0)</f>
        <v>2.0000000000000018E-2</v>
      </c>
      <c r="Q549" s="529"/>
      <c r="R549" s="532">
        <f t="shared" ref="R549:AW549" si="712">SUM(R547:R548)</f>
        <v>-23461.557910969117</v>
      </c>
      <c r="S549" s="532">
        <f t="shared" si="712"/>
        <v>-23461.557910969117</v>
      </c>
      <c r="T549" s="532">
        <f t="shared" si="712"/>
        <v>-23461.557910969117</v>
      </c>
      <c r="U549" s="532">
        <f t="shared" si="712"/>
        <v>-23461.557910969117</v>
      </c>
      <c r="V549" s="532">
        <f t="shared" si="712"/>
        <v>-23461.557910969117</v>
      </c>
      <c r="W549" s="532">
        <f t="shared" si="712"/>
        <v>-23461.557910969117</v>
      </c>
      <c r="X549" s="532">
        <f t="shared" si="712"/>
        <v>-23461.557910969117</v>
      </c>
      <c r="Y549" s="532">
        <f t="shared" si="712"/>
        <v>-23461.557910969117</v>
      </c>
      <c r="Z549" s="532">
        <f t="shared" si="712"/>
        <v>-23461.557910969117</v>
      </c>
      <c r="AA549" s="532">
        <f t="shared" si="712"/>
        <v>-23461.557910969117</v>
      </c>
      <c r="AB549" s="532">
        <f t="shared" si="712"/>
        <v>-23461.557910969117</v>
      </c>
      <c r="AC549" s="532">
        <f t="shared" si="712"/>
        <v>-23461.557910969117</v>
      </c>
      <c r="AD549" s="532">
        <f t="shared" si="712"/>
        <v>-23930.7890691885</v>
      </c>
      <c r="AE549" s="532">
        <f t="shared" si="712"/>
        <v>-23930.7890691885</v>
      </c>
      <c r="AF549" s="532">
        <f t="shared" si="712"/>
        <v>-23930.7890691885</v>
      </c>
      <c r="AG549" s="532">
        <f t="shared" si="712"/>
        <v>-23930.7890691885</v>
      </c>
      <c r="AH549" s="532">
        <f t="shared" si="712"/>
        <v>-23930.7890691885</v>
      </c>
      <c r="AI549" s="532">
        <f t="shared" si="712"/>
        <v>-23930.7890691885</v>
      </c>
      <c r="AJ549" s="532">
        <f t="shared" si="712"/>
        <v>-23930.7890691885</v>
      </c>
      <c r="AK549" s="532">
        <f t="shared" si="712"/>
        <v>-23930.7890691885</v>
      </c>
      <c r="AL549" s="532">
        <f t="shared" si="712"/>
        <v>-23930.7890691885</v>
      </c>
      <c r="AM549" s="532">
        <f t="shared" si="712"/>
        <v>-23930.7890691885</v>
      </c>
      <c r="AN549" s="532">
        <f t="shared" si="712"/>
        <v>-23930.7890691885</v>
      </c>
      <c r="AO549" s="532">
        <f t="shared" si="712"/>
        <v>-23930.7890691885</v>
      </c>
      <c r="AP549" s="532">
        <f t="shared" si="712"/>
        <v>-24409.404850572268</v>
      </c>
      <c r="AQ549" s="532">
        <f t="shared" si="712"/>
        <v>-24409.404850572268</v>
      </c>
      <c r="AR549" s="532">
        <f t="shared" si="712"/>
        <v>-24409.404850572268</v>
      </c>
      <c r="AS549" s="532">
        <f t="shared" si="712"/>
        <v>-24409.404850572268</v>
      </c>
      <c r="AT549" s="532">
        <f t="shared" si="712"/>
        <v>-24409.404850572268</v>
      </c>
      <c r="AU549" s="532">
        <f t="shared" si="712"/>
        <v>-24409.404850572268</v>
      </c>
      <c r="AV549" s="532">
        <f t="shared" si="712"/>
        <v>-24409.404850572268</v>
      </c>
      <c r="AW549" s="532">
        <f t="shared" si="712"/>
        <v>-24409.404850572268</v>
      </c>
      <c r="AX549" s="532">
        <f t="shared" ref="AX549:BY549" si="713">SUM(AX547:AX548)</f>
        <v>-24409.404850572268</v>
      </c>
      <c r="AY549" s="532">
        <f t="shared" si="713"/>
        <v>-24409.404850572268</v>
      </c>
      <c r="AZ549" s="532">
        <f t="shared" si="713"/>
        <v>-24409.404850572268</v>
      </c>
      <c r="BA549" s="532">
        <f t="shared" si="713"/>
        <v>-24409.404850572268</v>
      </c>
      <c r="BB549" s="532">
        <f t="shared" si="713"/>
        <v>-24897.592947583718</v>
      </c>
      <c r="BC549" s="532">
        <f t="shared" si="713"/>
        <v>-24897.592947583718</v>
      </c>
      <c r="BD549" s="532">
        <f t="shared" si="713"/>
        <v>-24897.592947583718</v>
      </c>
      <c r="BE549" s="532">
        <f t="shared" si="713"/>
        <v>-24897.592947583718</v>
      </c>
      <c r="BF549" s="532">
        <f t="shared" si="713"/>
        <v>-24897.592947583718</v>
      </c>
      <c r="BG549" s="532">
        <f t="shared" si="713"/>
        <v>-24897.592947583718</v>
      </c>
      <c r="BH549" s="532">
        <f t="shared" si="713"/>
        <v>-24897.592947583718</v>
      </c>
      <c r="BI549" s="532">
        <f t="shared" si="713"/>
        <v>-24897.592947583718</v>
      </c>
      <c r="BJ549" s="532">
        <f t="shared" si="713"/>
        <v>-24897.592947583718</v>
      </c>
      <c r="BK549" s="532">
        <f t="shared" si="713"/>
        <v>-24897.592947583718</v>
      </c>
      <c r="BL549" s="532">
        <f t="shared" si="713"/>
        <v>-24897.592947583718</v>
      </c>
      <c r="BM549" s="532">
        <f t="shared" si="713"/>
        <v>-24897.592947583718</v>
      </c>
      <c r="BN549" s="532">
        <f t="shared" si="713"/>
        <v>-25395.544806535392</v>
      </c>
      <c r="BO549" s="532">
        <f t="shared" si="713"/>
        <v>-25395.544806535392</v>
      </c>
      <c r="BP549" s="532">
        <f t="shared" si="713"/>
        <v>-25395.544806535392</v>
      </c>
      <c r="BQ549" s="532">
        <f t="shared" si="713"/>
        <v>-25395.544806535392</v>
      </c>
      <c r="BR549" s="532">
        <f t="shared" si="713"/>
        <v>-25395.544806535392</v>
      </c>
      <c r="BS549" s="532">
        <f t="shared" si="713"/>
        <v>-25395.544806535392</v>
      </c>
      <c r="BT549" s="532">
        <f t="shared" si="713"/>
        <v>-25395.544806535392</v>
      </c>
      <c r="BU549" s="532">
        <f t="shared" si="713"/>
        <v>-25395.544806535392</v>
      </c>
      <c r="BV549" s="532">
        <f t="shared" si="713"/>
        <v>-25395.544806535392</v>
      </c>
      <c r="BW549" s="532">
        <f t="shared" si="713"/>
        <v>-25395.544806535392</v>
      </c>
      <c r="BX549" s="532">
        <f t="shared" si="713"/>
        <v>-25395.544806535392</v>
      </c>
      <c r="BY549" s="532">
        <f t="shared" si="713"/>
        <v>-25395.544806535392</v>
      </c>
      <c r="BZ549" s="537"/>
      <c r="CA549" s="537"/>
      <c r="CB549" s="529"/>
    </row>
    <row r="550" spans="1:80" x14ac:dyDescent="0.3">
      <c r="A550" s="648"/>
      <c r="B550" s="648"/>
      <c r="C550" s="648" cm="1">
        <f t="array" ref="C550">SUMPRODUCT((Index_Tab!$D$36:$D$45=$B550)*(Index_Tab!$E$35:$F$35=$B$3)*Index_Tab!$E$36:$F$45)</f>
        <v>0</v>
      </c>
      <c r="D550" s="648"/>
      <c r="E550" s="525"/>
      <c r="F550" s="529"/>
      <c r="G550" s="529"/>
      <c r="H550" s="529"/>
      <c r="I550" s="529"/>
      <c r="J550" s="529"/>
      <c r="K550" s="529"/>
      <c r="L550" s="529"/>
      <c r="M550" s="529"/>
      <c r="N550" s="529"/>
      <c r="O550" s="529"/>
      <c r="P550" s="660"/>
      <c r="Q550" s="529"/>
      <c r="R550" s="529"/>
      <c r="S550" s="529"/>
      <c r="T550" s="529"/>
      <c r="U550" s="529"/>
      <c r="V550" s="529"/>
      <c r="W550" s="529"/>
      <c r="X550" s="529"/>
      <c r="Y550" s="529"/>
      <c r="Z550" s="529"/>
      <c r="AA550" s="529"/>
      <c r="AB550" s="529"/>
      <c r="AC550" s="529"/>
      <c r="AD550" s="529"/>
      <c r="AE550" s="529"/>
      <c r="AF550" s="529"/>
      <c r="AG550" s="529"/>
      <c r="AH550" s="529"/>
      <c r="AI550" s="529"/>
      <c r="AJ550" s="529"/>
      <c r="AK550" s="529"/>
      <c r="AL550" s="529"/>
      <c r="AM550" s="529"/>
      <c r="AN550" s="529"/>
      <c r="AO550" s="529"/>
      <c r="AP550" s="529"/>
      <c r="AQ550" s="529"/>
      <c r="AR550" s="529"/>
      <c r="AS550" s="529"/>
      <c r="AT550" s="529"/>
      <c r="AU550" s="529"/>
      <c r="AV550" s="529"/>
      <c r="AW550" s="529"/>
      <c r="AX550" s="529"/>
      <c r="AY550" s="529"/>
      <c r="AZ550" s="529"/>
      <c r="BA550" s="529"/>
      <c r="BB550" s="529"/>
      <c r="BC550" s="529"/>
      <c r="BD550" s="529"/>
      <c r="BE550" s="529"/>
      <c r="BF550" s="529"/>
      <c r="BG550" s="529"/>
      <c r="BH550" s="529"/>
      <c r="BI550" s="529"/>
      <c r="BJ550" s="529"/>
      <c r="BK550" s="529"/>
      <c r="BL550" s="529"/>
      <c r="BM550" s="529"/>
      <c r="BN550" s="529"/>
      <c r="BO550" s="529"/>
      <c r="BP550" s="529"/>
      <c r="BQ550" s="529"/>
      <c r="BR550" s="529"/>
      <c r="BS550" s="529"/>
      <c r="BT550" s="529"/>
      <c r="BU550" s="529"/>
      <c r="BV550" s="529"/>
      <c r="BW550" s="529"/>
      <c r="BX550" s="529"/>
      <c r="BY550" s="529"/>
      <c r="BZ550" s="537"/>
      <c r="CA550" s="537"/>
      <c r="CB550" s="529"/>
    </row>
    <row r="551" spans="1:80" x14ac:dyDescent="0.3">
      <c r="A551" s="648"/>
      <c r="B551" s="648"/>
      <c r="C551" s="648" cm="1">
        <f t="array" ref="C551">SUMPRODUCT((Index_Tab!$D$36:$D$45=$B551)*(Index_Tab!$E$35:$F$35=$B$3)*Index_Tab!$E$36:$F$45)</f>
        <v>0</v>
      </c>
      <c r="D551" s="648"/>
      <c r="E551" s="62" t="s">
        <v>21</v>
      </c>
      <c r="F551" s="579"/>
      <c r="G551" s="579"/>
      <c r="H551" s="529"/>
      <c r="I551" s="535">
        <f t="shared" ref="I551:N551" si="714">SUM(I544,I549)</f>
        <v>10967279.229344705</v>
      </c>
      <c r="J551" s="535">
        <f t="shared" si="714"/>
        <v>11419990.440360181</v>
      </c>
      <c r="K551" s="535">
        <f t="shared" si="714"/>
        <v>11870937.618388724</v>
      </c>
      <c r="L551" s="535">
        <f t="shared" si="714"/>
        <v>12317676.303989066</v>
      </c>
      <c r="M551" s="535">
        <f t="shared" si="714"/>
        <v>12743196.216342978</v>
      </c>
      <c r="N551" s="535">
        <f t="shared" si="714"/>
        <v>13170208.375585262</v>
      </c>
      <c r="O551" s="536"/>
      <c r="P551" s="568">
        <f>IFERROR(((N551/I551)^(1/5))-1,0)</f>
        <v>3.7286555852937164E-2</v>
      </c>
      <c r="Q551" s="529"/>
      <c r="R551" s="535">
        <f t="shared" ref="R551:AW551" si="715">SUM(R544,R549)</f>
        <v>951665.87003001524</v>
      </c>
      <c r="S551" s="535">
        <f t="shared" si="715"/>
        <v>951665.87003001524</v>
      </c>
      <c r="T551" s="535">
        <f t="shared" si="715"/>
        <v>951665.87003001524</v>
      </c>
      <c r="U551" s="535">
        <f t="shared" si="715"/>
        <v>951665.87003001524</v>
      </c>
      <c r="V551" s="535">
        <f t="shared" si="715"/>
        <v>951665.87003001524</v>
      </c>
      <c r="W551" s="535">
        <f t="shared" si="715"/>
        <v>951665.87003001524</v>
      </c>
      <c r="X551" s="535">
        <f t="shared" si="715"/>
        <v>951665.87003001524</v>
      </c>
      <c r="Y551" s="535">
        <f t="shared" si="715"/>
        <v>951665.87003001524</v>
      </c>
      <c r="Z551" s="535">
        <f t="shared" si="715"/>
        <v>951665.87003001524</v>
      </c>
      <c r="AA551" s="535">
        <f t="shared" si="715"/>
        <v>951665.87003001524</v>
      </c>
      <c r="AB551" s="535">
        <f t="shared" si="715"/>
        <v>951665.87003001524</v>
      </c>
      <c r="AC551" s="535">
        <f t="shared" si="715"/>
        <v>951665.87003001524</v>
      </c>
      <c r="AD551" s="535">
        <f t="shared" si="715"/>
        <v>989244.80153239367</v>
      </c>
      <c r="AE551" s="535">
        <f t="shared" si="715"/>
        <v>989244.80153239367</v>
      </c>
      <c r="AF551" s="535">
        <f t="shared" si="715"/>
        <v>989244.80153239367</v>
      </c>
      <c r="AG551" s="535">
        <f t="shared" si="715"/>
        <v>989244.80153239367</v>
      </c>
      <c r="AH551" s="535">
        <f t="shared" si="715"/>
        <v>989244.80153239367</v>
      </c>
      <c r="AI551" s="535">
        <f t="shared" si="715"/>
        <v>989244.80153239367</v>
      </c>
      <c r="AJ551" s="535">
        <f t="shared" si="715"/>
        <v>989244.80153239367</v>
      </c>
      <c r="AK551" s="535">
        <f t="shared" si="715"/>
        <v>989244.80153239367</v>
      </c>
      <c r="AL551" s="535">
        <f t="shared" si="715"/>
        <v>989244.80153239367</v>
      </c>
      <c r="AM551" s="535">
        <f t="shared" si="715"/>
        <v>989244.80153239367</v>
      </c>
      <c r="AN551" s="535">
        <f t="shared" si="715"/>
        <v>989244.80153239367</v>
      </c>
      <c r="AO551" s="535">
        <f t="shared" si="715"/>
        <v>989244.80153239367</v>
      </c>
      <c r="AP551" s="535">
        <f t="shared" si="715"/>
        <v>1026473.0253324221</v>
      </c>
      <c r="AQ551" s="535">
        <f t="shared" si="715"/>
        <v>1026473.0253324221</v>
      </c>
      <c r="AR551" s="535">
        <f t="shared" si="715"/>
        <v>1026473.0253324221</v>
      </c>
      <c r="AS551" s="535">
        <f t="shared" si="715"/>
        <v>1026473.0253324221</v>
      </c>
      <c r="AT551" s="535">
        <f t="shared" si="715"/>
        <v>1026473.0253324221</v>
      </c>
      <c r="AU551" s="535">
        <f t="shared" si="715"/>
        <v>1026473.0253324221</v>
      </c>
      <c r="AV551" s="535">
        <f t="shared" si="715"/>
        <v>1026473.0253324221</v>
      </c>
      <c r="AW551" s="535">
        <f t="shared" si="715"/>
        <v>1026473.0253324221</v>
      </c>
      <c r="AX551" s="535">
        <f t="shared" ref="AX551:BY551" si="716">SUM(AX544,AX549)</f>
        <v>1026473.0253324221</v>
      </c>
      <c r="AY551" s="535">
        <f t="shared" si="716"/>
        <v>1026473.0253324221</v>
      </c>
      <c r="AZ551" s="535">
        <f t="shared" si="716"/>
        <v>1026473.0253324221</v>
      </c>
      <c r="BA551" s="535">
        <f t="shared" si="716"/>
        <v>1026473.0253324221</v>
      </c>
      <c r="BB551" s="535">
        <f t="shared" si="716"/>
        <v>1061933.0180285817</v>
      </c>
      <c r="BC551" s="535">
        <f t="shared" si="716"/>
        <v>1061933.0180285817</v>
      </c>
      <c r="BD551" s="535">
        <f t="shared" si="716"/>
        <v>1061933.0180285817</v>
      </c>
      <c r="BE551" s="535">
        <f t="shared" si="716"/>
        <v>1061933.0180285817</v>
      </c>
      <c r="BF551" s="535">
        <f t="shared" si="716"/>
        <v>1061933.0180285817</v>
      </c>
      <c r="BG551" s="535">
        <f t="shared" si="716"/>
        <v>1061933.0180285817</v>
      </c>
      <c r="BH551" s="535">
        <f t="shared" si="716"/>
        <v>1061933.0180285817</v>
      </c>
      <c r="BI551" s="535">
        <f t="shared" si="716"/>
        <v>1061933.0180285817</v>
      </c>
      <c r="BJ551" s="535">
        <f t="shared" si="716"/>
        <v>1061933.0180285817</v>
      </c>
      <c r="BK551" s="535">
        <f t="shared" si="716"/>
        <v>1061933.0180285817</v>
      </c>
      <c r="BL551" s="535">
        <f t="shared" si="716"/>
        <v>1061933.0180285817</v>
      </c>
      <c r="BM551" s="535">
        <f t="shared" si="716"/>
        <v>1061933.0180285817</v>
      </c>
      <c r="BN551" s="535">
        <f t="shared" si="716"/>
        <v>1097517.3646321052</v>
      </c>
      <c r="BO551" s="535">
        <f t="shared" si="716"/>
        <v>1097517.3646321052</v>
      </c>
      <c r="BP551" s="535">
        <f t="shared" si="716"/>
        <v>1097517.3646321052</v>
      </c>
      <c r="BQ551" s="535">
        <f t="shared" si="716"/>
        <v>1097517.3646321052</v>
      </c>
      <c r="BR551" s="535">
        <f t="shared" si="716"/>
        <v>1097517.3646321052</v>
      </c>
      <c r="BS551" s="535">
        <f t="shared" si="716"/>
        <v>1097517.3646321052</v>
      </c>
      <c r="BT551" s="535">
        <f t="shared" si="716"/>
        <v>1097517.3646321052</v>
      </c>
      <c r="BU551" s="535">
        <f t="shared" si="716"/>
        <v>1097517.3646321052</v>
      </c>
      <c r="BV551" s="535">
        <f t="shared" si="716"/>
        <v>1097517.3646321052</v>
      </c>
      <c r="BW551" s="535">
        <f t="shared" si="716"/>
        <v>1097517.3646321052</v>
      </c>
      <c r="BX551" s="535">
        <f t="shared" si="716"/>
        <v>1097517.3646321052</v>
      </c>
      <c r="BY551" s="535">
        <f t="shared" si="716"/>
        <v>1097517.3646321052</v>
      </c>
      <c r="BZ551" s="537"/>
      <c r="CA551" s="537"/>
      <c r="CB551" s="529"/>
    </row>
    <row r="552" spans="1:80" x14ac:dyDescent="0.3">
      <c r="A552" s="648"/>
      <c r="B552" s="648"/>
      <c r="C552" s="648" cm="1">
        <f t="array" ref="C552">SUMPRODUCT((Index_Tab!$D$36:$D$45=$B552)*(Index_Tab!$E$35:$F$35=$B$3)*Index_Tab!$E$36:$F$45)</f>
        <v>0</v>
      </c>
      <c r="D552" s="648"/>
      <c r="E552" s="2" t="s">
        <v>405</v>
      </c>
      <c r="F552" s="537"/>
      <c r="G552" s="537"/>
      <c r="H552" s="529"/>
      <c r="I552" s="531">
        <f t="shared" ref="I552:N552" si="717">I551/SUM(I512,I521,I535,I542)</f>
        <v>0.58386220752895535</v>
      </c>
      <c r="J552" s="531">
        <f t="shared" si="717"/>
        <v>0.58894969734717795</v>
      </c>
      <c r="K552" s="531">
        <f t="shared" si="717"/>
        <v>0.59362983622080479</v>
      </c>
      <c r="L552" s="531">
        <f t="shared" si="717"/>
        <v>0.59791106775267922</v>
      </c>
      <c r="M552" s="531">
        <f t="shared" si="717"/>
        <v>0.60152588416851882</v>
      </c>
      <c r="N552" s="531">
        <f t="shared" si="717"/>
        <v>0.60484949083386796</v>
      </c>
      <c r="O552" s="546"/>
      <c r="P552" s="564">
        <f>IFERROR(((N552/I552)^(1/5))-1,0)</f>
        <v>7.0879298304946659E-3</v>
      </c>
      <c r="Q552" s="537"/>
      <c r="R552" s="531">
        <f t="shared" ref="R552:AW552" si="718">R551/SUM(R512,R521,R535,R542)</f>
        <v>0.58894969734717795</v>
      </c>
      <c r="S552" s="531">
        <f t="shared" si="718"/>
        <v>0.58894969734717795</v>
      </c>
      <c r="T552" s="531">
        <f t="shared" si="718"/>
        <v>0.58894969734717795</v>
      </c>
      <c r="U552" s="531">
        <f t="shared" si="718"/>
        <v>0.58894969734717795</v>
      </c>
      <c r="V552" s="531">
        <f t="shared" si="718"/>
        <v>0.58894969734717795</v>
      </c>
      <c r="W552" s="531">
        <f t="shared" si="718"/>
        <v>0.58894969734717795</v>
      </c>
      <c r="X552" s="531">
        <f t="shared" si="718"/>
        <v>0.58894969734717795</v>
      </c>
      <c r="Y552" s="531">
        <f t="shared" si="718"/>
        <v>0.58894969734717795</v>
      </c>
      <c r="Z552" s="531">
        <f t="shared" si="718"/>
        <v>0.58894969734717795</v>
      </c>
      <c r="AA552" s="531">
        <f t="shared" si="718"/>
        <v>0.58894969734717795</v>
      </c>
      <c r="AB552" s="531">
        <f t="shared" si="718"/>
        <v>0.58894969734717795</v>
      </c>
      <c r="AC552" s="531">
        <f t="shared" si="718"/>
        <v>0.58894969734717795</v>
      </c>
      <c r="AD552" s="531">
        <f t="shared" si="718"/>
        <v>0.59362983622080479</v>
      </c>
      <c r="AE552" s="531">
        <f t="shared" si="718"/>
        <v>0.59362983622080479</v>
      </c>
      <c r="AF552" s="531">
        <f t="shared" si="718"/>
        <v>0.59362983622080479</v>
      </c>
      <c r="AG552" s="531">
        <f t="shared" si="718"/>
        <v>0.59362983622080479</v>
      </c>
      <c r="AH552" s="531">
        <f t="shared" si="718"/>
        <v>0.59362983622080479</v>
      </c>
      <c r="AI552" s="531">
        <f t="shared" si="718"/>
        <v>0.59362983622080479</v>
      </c>
      <c r="AJ552" s="531">
        <f t="shared" si="718"/>
        <v>0.59362983622080479</v>
      </c>
      <c r="AK552" s="531">
        <f t="shared" si="718"/>
        <v>0.59362983622080479</v>
      </c>
      <c r="AL552" s="531">
        <f t="shared" si="718"/>
        <v>0.59362983622080479</v>
      </c>
      <c r="AM552" s="531">
        <f t="shared" si="718"/>
        <v>0.59362983622080479</v>
      </c>
      <c r="AN552" s="531">
        <f t="shared" si="718"/>
        <v>0.59362983622080479</v>
      </c>
      <c r="AO552" s="531">
        <f t="shared" si="718"/>
        <v>0.59362983622080479</v>
      </c>
      <c r="AP552" s="531">
        <f t="shared" si="718"/>
        <v>0.5979110677526791</v>
      </c>
      <c r="AQ552" s="531">
        <f t="shared" si="718"/>
        <v>0.5979110677526791</v>
      </c>
      <c r="AR552" s="531">
        <f t="shared" si="718"/>
        <v>0.5979110677526791</v>
      </c>
      <c r="AS552" s="531">
        <f t="shared" si="718"/>
        <v>0.5979110677526791</v>
      </c>
      <c r="AT552" s="531">
        <f t="shared" si="718"/>
        <v>0.5979110677526791</v>
      </c>
      <c r="AU552" s="531">
        <f t="shared" si="718"/>
        <v>0.5979110677526791</v>
      </c>
      <c r="AV552" s="531">
        <f t="shared" si="718"/>
        <v>0.5979110677526791</v>
      </c>
      <c r="AW552" s="531">
        <f t="shared" si="718"/>
        <v>0.5979110677526791</v>
      </c>
      <c r="AX552" s="531">
        <f t="shared" ref="AX552:BY552" si="719">AX551/SUM(AX512,AX521,AX535,AX542)</f>
        <v>0.5979110677526791</v>
      </c>
      <c r="AY552" s="531">
        <f t="shared" si="719"/>
        <v>0.5979110677526791</v>
      </c>
      <c r="AZ552" s="531">
        <f t="shared" si="719"/>
        <v>0.5979110677526791</v>
      </c>
      <c r="BA552" s="531">
        <f t="shared" si="719"/>
        <v>0.5979110677526791</v>
      </c>
      <c r="BB552" s="531">
        <f t="shared" si="719"/>
        <v>0.60152588416851882</v>
      </c>
      <c r="BC552" s="531">
        <f t="shared" si="719"/>
        <v>0.60152588416851882</v>
      </c>
      <c r="BD552" s="531">
        <f t="shared" si="719"/>
        <v>0.60152588416851882</v>
      </c>
      <c r="BE552" s="531">
        <f t="shared" si="719"/>
        <v>0.60152588416851882</v>
      </c>
      <c r="BF552" s="531">
        <f t="shared" si="719"/>
        <v>0.60152588416851882</v>
      </c>
      <c r="BG552" s="531">
        <f t="shared" si="719"/>
        <v>0.60152588416851882</v>
      </c>
      <c r="BH552" s="531">
        <f t="shared" si="719"/>
        <v>0.60152588416851882</v>
      </c>
      <c r="BI552" s="531">
        <f t="shared" si="719"/>
        <v>0.60152588416851882</v>
      </c>
      <c r="BJ552" s="531">
        <f t="shared" si="719"/>
        <v>0.60152588416851882</v>
      </c>
      <c r="BK552" s="531">
        <f t="shared" si="719"/>
        <v>0.60152588416851882</v>
      </c>
      <c r="BL552" s="531">
        <f t="shared" si="719"/>
        <v>0.60152588416851882</v>
      </c>
      <c r="BM552" s="531">
        <f t="shared" si="719"/>
        <v>0.60152588416851882</v>
      </c>
      <c r="BN552" s="531">
        <f t="shared" si="719"/>
        <v>0.60484949083386808</v>
      </c>
      <c r="BO552" s="531">
        <f t="shared" si="719"/>
        <v>0.60484949083386808</v>
      </c>
      <c r="BP552" s="531">
        <f t="shared" si="719"/>
        <v>0.60484949083386808</v>
      </c>
      <c r="BQ552" s="531">
        <f t="shared" si="719"/>
        <v>0.60484949083386808</v>
      </c>
      <c r="BR552" s="531">
        <f t="shared" si="719"/>
        <v>0.60484949083386808</v>
      </c>
      <c r="BS552" s="531">
        <f t="shared" si="719"/>
        <v>0.60484949083386808</v>
      </c>
      <c r="BT552" s="531">
        <f t="shared" si="719"/>
        <v>0.60484949083386808</v>
      </c>
      <c r="BU552" s="531">
        <f t="shared" si="719"/>
        <v>0.60484949083386808</v>
      </c>
      <c r="BV552" s="531">
        <f t="shared" si="719"/>
        <v>0.60484949083386808</v>
      </c>
      <c r="BW552" s="531">
        <f t="shared" si="719"/>
        <v>0.60484949083386808</v>
      </c>
      <c r="BX552" s="531">
        <f t="shared" si="719"/>
        <v>0.60484949083386808</v>
      </c>
      <c r="BY552" s="531">
        <f t="shared" si="719"/>
        <v>0.60484949083386808</v>
      </c>
      <c r="BZ552" s="537"/>
      <c r="CA552" s="537"/>
      <c r="CB552" s="537"/>
    </row>
    <row r="553" spans="1:80" x14ac:dyDescent="0.3">
      <c r="A553" s="648"/>
      <c r="B553" s="648"/>
      <c r="C553" s="648" cm="1">
        <f t="array" ref="C553">SUMPRODUCT((Index_Tab!$D$36:$D$45=$B553)*(Index_Tab!$E$35:$F$35=$B$3)*Index_Tab!$E$36:$F$45)</f>
        <v>0</v>
      </c>
      <c r="D553" s="648"/>
      <c r="E553" s="2"/>
      <c r="F553" s="537"/>
      <c r="G553" s="537"/>
      <c r="H553" s="529"/>
      <c r="I553" s="537"/>
      <c r="J553" s="537"/>
      <c r="K553" s="537"/>
      <c r="L553" s="537"/>
      <c r="M553" s="537"/>
      <c r="N553" s="537"/>
      <c r="O553" s="525"/>
      <c r="P553" s="664"/>
      <c r="Q553" s="537"/>
      <c r="R553" s="537"/>
      <c r="S553" s="537"/>
      <c r="T553" s="537"/>
      <c r="U553" s="537"/>
      <c r="V553" s="537"/>
      <c r="W553" s="537"/>
      <c r="X553" s="537"/>
      <c r="Y553" s="537"/>
      <c r="Z553" s="537"/>
      <c r="AA553" s="537"/>
      <c r="AB553" s="537"/>
      <c r="AC553" s="537"/>
      <c r="AD553" s="537"/>
      <c r="AE553" s="537"/>
      <c r="AF553" s="537"/>
      <c r="AG553" s="537"/>
      <c r="AH553" s="537"/>
      <c r="AI553" s="537"/>
      <c r="AJ553" s="537"/>
      <c r="AK553" s="537"/>
      <c r="AL553" s="537"/>
      <c r="AM553" s="537"/>
      <c r="AN553" s="537"/>
      <c r="AO553" s="537"/>
      <c r="AP553" s="537"/>
      <c r="AQ553" s="537"/>
      <c r="AR553" s="537"/>
      <c r="AS553" s="537"/>
      <c r="AT553" s="537"/>
      <c r="AU553" s="537"/>
      <c r="AV553" s="537"/>
      <c r="AW553" s="537"/>
      <c r="AX553" s="537"/>
      <c r="AY553" s="537"/>
      <c r="AZ553" s="537"/>
      <c r="BA553" s="537"/>
      <c r="BB553" s="537"/>
      <c r="BC553" s="537"/>
      <c r="BD553" s="537"/>
      <c r="BE553" s="537"/>
      <c r="BF553" s="537"/>
      <c r="BG553" s="537"/>
      <c r="BH553" s="537"/>
      <c r="BI553" s="537"/>
      <c r="BJ553" s="537"/>
      <c r="BK553" s="537"/>
      <c r="BL553" s="537"/>
      <c r="BM553" s="537"/>
      <c r="BN553" s="537"/>
      <c r="BO553" s="537"/>
      <c r="BP553" s="537"/>
      <c r="BQ553" s="537"/>
      <c r="BR553" s="537"/>
      <c r="BS553" s="537"/>
      <c r="BT553" s="537"/>
      <c r="BU553" s="537"/>
      <c r="BV553" s="537"/>
      <c r="BW553" s="537"/>
      <c r="BX553" s="537"/>
      <c r="BY553" s="537"/>
      <c r="BZ553" s="537"/>
      <c r="CA553" s="537"/>
      <c r="CB553" s="537"/>
    </row>
    <row r="554" spans="1:80" x14ac:dyDescent="0.3">
      <c r="A554" s="648"/>
      <c r="B554" s="648"/>
      <c r="C554" s="648" cm="1">
        <f t="array" ref="C554">SUMPRODUCT((Index_Tab!$D$36:$D$45=$B554)*(Index_Tab!$E$35:$F$35=$B$3)*Index_Tab!$E$36:$F$45)</f>
        <v>0</v>
      </c>
      <c r="D554" s="648"/>
      <c r="E554" s="2" t="s">
        <v>129</v>
      </c>
      <c r="F554" s="537"/>
      <c r="G554" s="537"/>
      <c r="H554" s="529"/>
      <c r="I554" s="542">
        <f>'Detailed Assumptions'!$E$81*I571*-1</f>
        <v>-1000500</v>
      </c>
      <c r="J554" s="542">
        <f>I554*(1+'Detailed Assumptions'!F$49)</f>
        <v>-1025188.7765753425</v>
      </c>
      <c r="K554" s="542">
        <f>J554*(1+'Detailed Assumptions'!G$49)</f>
        <v>-1048945.6305754236</v>
      </c>
      <c r="L554" s="542">
        <f>K554*(1+'Detailed Assumptions'!H$49)</f>
        <v>-1071444.5085129903</v>
      </c>
      <c r="M554" s="542">
        <f>L554*(1+'Detailed Assumptions'!I$49)</f>
        <v>-1092443.3531476415</v>
      </c>
      <c r="N554" s="542">
        <f>M554*(1+'Detailed Assumptions'!J$49)</f>
        <v>-1113637.0534982546</v>
      </c>
      <c r="O554" s="537"/>
      <c r="P554" s="564">
        <f>IFERROR(((N554/I554)^(1/5))-1,0)</f>
        <v>2.1657472733383143E-2</v>
      </c>
      <c r="Q554" s="537"/>
      <c r="R554" s="527">
        <f t="shared" ref="R554:AW554" si="720">(INDEX($I554:$N554,MATCH(R$2,$I$3:$N$3,0)))/12</f>
        <v>-85432.398047945215</v>
      </c>
      <c r="S554" s="527">
        <f t="shared" si="720"/>
        <v>-85432.398047945215</v>
      </c>
      <c r="T554" s="527">
        <f t="shared" si="720"/>
        <v>-85432.398047945215</v>
      </c>
      <c r="U554" s="527">
        <f t="shared" si="720"/>
        <v>-85432.398047945215</v>
      </c>
      <c r="V554" s="527">
        <f t="shared" si="720"/>
        <v>-85432.398047945215</v>
      </c>
      <c r="W554" s="527">
        <f t="shared" si="720"/>
        <v>-85432.398047945215</v>
      </c>
      <c r="X554" s="527">
        <f t="shared" si="720"/>
        <v>-85432.398047945215</v>
      </c>
      <c r="Y554" s="527">
        <f t="shared" si="720"/>
        <v>-85432.398047945215</v>
      </c>
      <c r="Z554" s="527">
        <f t="shared" si="720"/>
        <v>-85432.398047945215</v>
      </c>
      <c r="AA554" s="527">
        <f t="shared" si="720"/>
        <v>-85432.398047945215</v>
      </c>
      <c r="AB554" s="527">
        <f t="shared" si="720"/>
        <v>-85432.398047945215</v>
      </c>
      <c r="AC554" s="527">
        <f t="shared" si="720"/>
        <v>-85432.398047945215</v>
      </c>
      <c r="AD554" s="527">
        <f t="shared" si="720"/>
        <v>-87412.1358812853</v>
      </c>
      <c r="AE554" s="527">
        <f t="shared" si="720"/>
        <v>-87412.1358812853</v>
      </c>
      <c r="AF554" s="527">
        <f t="shared" si="720"/>
        <v>-87412.1358812853</v>
      </c>
      <c r="AG554" s="527">
        <f t="shared" si="720"/>
        <v>-87412.1358812853</v>
      </c>
      <c r="AH554" s="527">
        <f t="shared" si="720"/>
        <v>-87412.1358812853</v>
      </c>
      <c r="AI554" s="527">
        <f t="shared" si="720"/>
        <v>-87412.1358812853</v>
      </c>
      <c r="AJ554" s="527">
        <f t="shared" si="720"/>
        <v>-87412.1358812853</v>
      </c>
      <c r="AK554" s="527">
        <f t="shared" si="720"/>
        <v>-87412.1358812853</v>
      </c>
      <c r="AL554" s="527">
        <f t="shared" si="720"/>
        <v>-87412.1358812853</v>
      </c>
      <c r="AM554" s="527">
        <f t="shared" si="720"/>
        <v>-87412.1358812853</v>
      </c>
      <c r="AN554" s="527">
        <f t="shared" si="720"/>
        <v>-87412.1358812853</v>
      </c>
      <c r="AO554" s="527">
        <f t="shared" si="720"/>
        <v>-87412.1358812853</v>
      </c>
      <c r="AP554" s="527">
        <f t="shared" si="720"/>
        <v>-89287.042376082522</v>
      </c>
      <c r="AQ554" s="527">
        <f t="shared" si="720"/>
        <v>-89287.042376082522</v>
      </c>
      <c r="AR554" s="527">
        <f t="shared" si="720"/>
        <v>-89287.042376082522</v>
      </c>
      <c r="AS554" s="527">
        <f t="shared" si="720"/>
        <v>-89287.042376082522</v>
      </c>
      <c r="AT554" s="527">
        <f t="shared" si="720"/>
        <v>-89287.042376082522</v>
      </c>
      <c r="AU554" s="527">
        <f t="shared" si="720"/>
        <v>-89287.042376082522</v>
      </c>
      <c r="AV554" s="527">
        <f t="shared" si="720"/>
        <v>-89287.042376082522</v>
      </c>
      <c r="AW554" s="527">
        <f t="shared" si="720"/>
        <v>-89287.042376082522</v>
      </c>
      <c r="AX554" s="527">
        <f t="shared" ref="AX554:BY554" si="721">(INDEX($I554:$N554,MATCH(AX$2,$I$3:$N$3,0)))/12</f>
        <v>-89287.042376082522</v>
      </c>
      <c r="AY554" s="527">
        <f t="shared" si="721"/>
        <v>-89287.042376082522</v>
      </c>
      <c r="AZ554" s="527">
        <f t="shared" si="721"/>
        <v>-89287.042376082522</v>
      </c>
      <c r="BA554" s="527">
        <f t="shared" si="721"/>
        <v>-89287.042376082522</v>
      </c>
      <c r="BB554" s="527">
        <f t="shared" si="721"/>
        <v>-91036.946095636798</v>
      </c>
      <c r="BC554" s="527">
        <f t="shared" si="721"/>
        <v>-91036.946095636798</v>
      </c>
      <c r="BD554" s="527">
        <f t="shared" si="721"/>
        <v>-91036.946095636798</v>
      </c>
      <c r="BE554" s="527">
        <f t="shared" si="721"/>
        <v>-91036.946095636798</v>
      </c>
      <c r="BF554" s="527">
        <f t="shared" si="721"/>
        <v>-91036.946095636798</v>
      </c>
      <c r="BG554" s="527">
        <f t="shared" si="721"/>
        <v>-91036.946095636798</v>
      </c>
      <c r="BH554" s="527">
        <f t="shared" si="721"/>
        <v>-91036.946095636798</v>
      </c>
      <c r="BI554" s="527">
        <f t="shared" si="721"/>
        <v>-91036.946095636798</v>
      </c>
      <c r="BJ554" s="527">
        <f t="shared" si="721"/>
        <v>-91036.946095636798</v>
      </c>
      <c r="BK554" s="527">
        <f t="shared" si="721"/>
        <v>-91036.946095636798</v>
      </c>
      <c r="BL554" s="527">
        <f t="shared" si="721"/>
        <v>-91036.946095636798</v>
      </c>
      <c r="BM554" s="527">
        <f t="shared" si="721"/>
        <v>-91036.946095636798</v>
      </c>
      <c r="BN554" s="527">
        <f t="shared" si="721"/>
        <v>-92803.087791521219</v>
      </c>
      <c r="BO554" s="527">
        <f t="shared" si="721"/>
        <v>-92803.087791521219</v>
      </c>
      <c r="BP554" s="527">
        <f t="shared" si="721"/>
        <v>-92803.087791521219</v>
      </c>
      <c r="BQ554" s="527">
        <f t="shared" si="721"/>
        <v>-92803.087791521219</v>
      </c>
      <c r="BR554" s="527">
        <f t="shared" si="721"/>
        <v>-92803.087791521219</v>
      </c>
      <c r="BS554" s="527">
        <f t="shared" si="721"/>
        <v>-92803.087791521219</v>
      </c>
      <c r="BT554" s="527">
        <f t="shared" si="721"/>
        <v>-92803.087791521219</v>
      </c>
      <c r="BU554" s="527">
        <f t="shared" si="721"/>
        <v>-92803.087791521219</v>
      </c>
      <c r="BV554" s="527">
        <f t="shared" si="721"/>
        <v>-92803.087791521219</v>
      </c>
      <c r="BW554" s="527">
        <f t="shared" si="721"/>
        <v>-92803.087791521219</v>
      </c>
      <c r="BX554" s="527">
        <f t="shared" si="721"/>
        <v>-92803.087791521219</v>
      </c>
      <c r="BY554" s="527">
        <f t="shared" si="721"/>
        <v>-92803.087791521219</v>
      </c>
      <c r="BZ554" s="537"/>
      <c r="CA554" s="537"/>
      <c r="CB554" s="537"/>
    </row>
    <row r="555" spans="1:80" x14ac:dyDescent="0.3">
      <c r="A555" s="648"/>
      <c r="B555" s="648"/>
      <c r="C555" s="648" cm="1">
        <f t="array" ref="C555">SUMPRODUCT((Index_Tab!$D$36:$D$45=$B555)*(Index_Tab!$E$35:$F$35=$B$3)*Index_Tab!$E$36:$F$45)</f>
        <v>0</v>
      </c>
      <c r="D555" s="648"/>
      <c r="E555" s="62" t="s">
        <v>292</v>
      </c>
      <c r="F555" s="579"/>
      <c r="G555" s="579"/>
      <c r="H555" s="537"/>
      <c r="I555" s="535">
        <f t="shared" ref="I555:N555" si="722">SUM(I551,I554)</f>
        <v>9966779.2293447051</v>
      </c>
      <c r="J555" s="535">
        <f t="shared" si="722"/>
        <v>10394801.663784839</v>
      </c>
      <c r="K555" s="535">
        <f t="shared" si="722"/>
        <v>10821991.9878133</v>
      </c>
      <c r="L555" s="535">
        <f t="shared" si="722"/>
        <v>11246231.795476075</v>
      </c>
      <c r="M555" s="535">
        <f t="shared" si="722"/>
        <v>11650752.863195337</v>
      </c>
      <c r="N555" s="535">
        <f t="shared" si="722"/>
        <v>12056571.322087007</v>
      </c>
      <c r="O555" s="536"/>
      <c r="P555" s="568">
        <f>IFERROR(((N555/I555)^(1/5))-1,0)</f>
        <v>3.8804437683149562E-2</v>
      </c>
      <c r="Q555" s="537"/>
      <c r="R555" s="535">
        <f t="shared" ref="R555:AW555" si="723">SUM(R551,R554)</f>
        <v>866233.47198207001</v>
      </c>
      <c r="S555" s="535">
        <f t="shared" si="723"/>
        <v>866233.47198207001</v>
      </c>
      <c r="T555" s="535">
        <f t="shared" si="723"/>
        <v>866233.47198207001</v>
      </c>
      <c r="U555" s="535">
        <f t="shared" si="723"/>
        <v>866233.47198207001</v>
      </c>
      <c r="V555" s="535">
        <f t="shared" si="723"/>
        <v>866233.47198207001</v>
      </c>
      <c r="W555" s="535">
        <f t="shared" si="723"/>
        <v>866233.47198207001</v>
      </c>
      <c r="X555" s="535">
        <f t="shared" si="723"/>
        <v>866233.47198207001</v>
      </c>
      <c r="Y555" s="535">
        <f t="shared" si="723"/>
        <v>866233.47198207001</v>
      </c>
      <c r="Z555" s="535">
        <f t="shared" si="723"/>
        <v>866233.47198207001</v>
      </c>
      <c r="AA555" s="535">
        <f t="shared" si="723"/>
        <v>866233.47198207001</v>
      </c>
      <c r="AB555" s="535">
        <f t="shared" si="723"/>
        <v>866233.47198207001</v>
      </c>
      <c r="AC555" s="535">
        <f t="shared" si="723"/>
        <v>866233.47198207001</v>
      </c>
      <c r="AD555" s="535">
        <f t="shared" si="723"/>
        <v>901832.66565110837</v>
      </c>
      <c r="AE555" s="535">
        <f t="shared" si="723"/>
        <v>901832.66565110837</v>
      </c>
      <c r="AF555" s="535">
        <f t="shared" si="723"/>
        <v>901832.66565110837</v>
      </c>
      <c r="AG555" s="535">
        <f t="shared" si="723"/>
        <v>901832.66565110837</v>
      </c>
      <c r="AH555" s="535">
        <f t="shared" si="723"/>
        <v>901832.66565110837</v>
      </c>
      <c r="AI555" s="535">
        <f t="shared" si="723"/>
        <v>901832.66565110837</v>
      </c>
      <c r="AJ555" s="535">
        <f t="shared" si="723"/>
        <v>901832.66565110837</v>
      </c>
      <c r="AK555" s="535">
        <f t="shared" si="723"/>
        <v>901832.66565110837</v>
      </c>
      <c r="AL555" s="535">
        <f t="shared" si="723"/>
        <v>901832.66565110837</v>
      </c>
      <c r="AM555" s="535">
        <f t="shared" si="723"/>
        <v>901832.66565110837</v>
      </c>
      <c r="AN555" s="535">
        <f t="shared" si="723"/>
        <v>901832.66565110837</v>
      </c>
      <c r="AO555" s="535">
        <f t="shared" si="723"/>
        <v>901832.66565110837</v>
      </c>
      <c r="AP555" s="535">
        <f t="shared" si="723"/>
        <v>937185.98295633961</v>
      </c>
      <c r="AQ555" s="535">
        <f t="shared" si="723"/>
        <v>937185.98295633961</v>
      </c>
      <c r="AR555" s="535">
        <f t="shared" si="723"/>
        <v>937185.98295633961</v>
      </c>
      <c r="AS555" s="535">
        <f t="shared" si="723"/>
        <v>937185.98295633961</v>
      </c>
      <c r="AT555" s="535">
        <f t="shared" si="723"/>
        <v>937185.98295633961</v>
      </c>
      <c r="AU555" s="535">
        <f t="shared" si="723"/>
        <v>937185.98295633961</v>
      </c>
      <c r="AV555" s="535">
        <f t="shared" si="723"/>
        <v>937185.98295633961</v>
      </c>
      <c r="AW555" s="535">
        <f t="shared" si="723"/>
        <v>937185.98295633961</v>
      </c>
      <c r="AX555" s="535">
        <f t="shared" ref="AX555:BY555" si="724">SUM(AX551,AX554)</f>
        <v>937185.98295633961</v>
      </c>
      <c r="AY555" s="535">
        <f t="shared" si="724"/>
        <v>937185.98295633961</v>
      </c>
      <c r="AZ555" s="535">
        <f t="shared" si="724"/>
        <v>937185.98295633961</v>
      </c>
      <c r="BA555" s="535">
        <f t="shared" si="724"/>
        <v>937185.98295633961</v>
      </c>
      <c r="BB555" s="535">
        <f t="shared" si="724"/>
        <v>970896.07193294493</v>
      </c>
      <c r="BC555" s="535">
        <f t="shared" si="724"/>
        <v>970896.07193294493</v>
      </c>
      <c r="BD555" s="535">
        <f t="shared" si="724"/>
        <v>970896.07193294493</v>
      </c>
      <c r="BE555" s="535">
        <f t="shared" si="724"/>
        <v>970896.07193294493</v>
      </c>
      <c r="BF555" s="535">
        <f t="shared" si="724"/>
        <v>970896.07193294493</v>
      </c>
      <c r="BG555" s="535">
        <f t="shared" si="724"/>
        <v>970896.07193294493</v>
      </c>
      <c r="BH555" s="535">
        <f t="shared" si="724"/>
        <v>970896.07193294493</v>
      </c>
      <c r="BI555" s="535">
        <f t="shared" si="724"/>
        <v>970896.07193294493</v>
      </c>
      <c r="BJ555" s="535">
        <f t="shared" si="724"/>
        <v>970896.07193294493</v>
      </c>
      <c r="BK555" s="535">
        <f t="shared" si="724"/>
        <v>970896.07193294493</v>
      </c>
      <c r="BL555" s="535">
        <f t="shared" si="724"/>
        <v>970896.07193294493</v>
      </c>
      <c r="BM555" s="535">
        <f t="shared" si="724"/>
        <v>970896.07193294493</v>
      </c>
      <c r="BN555" s="535">
        <f t="shared" si="724"/>
        <v>1004714.276840584</v>
      </c>
      <c r="BO555" s="535">
        <f t="shared" si="724"/>
        <v>1004714.276840584</v>
      </c>
      <c r="BP555" s="535">
        <f t="shared" si="724"/>
        <v>1004714.276840584</v>
      </c>
      <c r="BQ555" s="535">
        <f t="shared" si="724"/>
        <v>1004714.276840584</v>
      </c>
      <c r="BR555" s="535">
        <f t="shared" si="724"/>
        <v>1004714.276840584</v>
      </c>
      <c r="BS555" s="535">
        <f t="shared" si="724"/>
        <v>1004714.276840584</v>
      </c>
      <c r="BT555" s="535">
        <f t="shared" si="724"/>
        <v>1004714.276840584</v>
      </c>
      <c r="BU555" s="535">
        <f t="shared" si="724"/>
        <v>1004714.276840584</v>
      </c>
      <c r="BV555" s="535">
        <f t="shared" si="724"/>
        <v>1004714.276840584</v>
      </c>
      <c r="BW555" s="535">
        <f t="shared" si="724"/>
        <v>1004714.276840584</v>
      </c>
      <c r="BX555" s="535">
        <f t="shared" si="724"/>
        <v>1004714.276840584</v>
      </c>
      <c r="BY555" s="535">
        <f t="shared" si="724"/>
        <v>1004714.276840584</v>
      </c>
      <c r="BZ555" s="537"/>
      <c r="CA555" s="537"/>
      <c r="CB555" s="537"/>
    </row>
    <row r="556" spans="1:80" x14ac:dyDescent="0.3">
      <c r="A556" s="648"/>
      <c r="B556" s="648"/>
      <c r="C556" s="648" cm="1">
        <f t="array" ref="C556">SUMPRODUCT((Index_Tab!$D$36:$D$45=$B556)*(Index_Tab!$E$35:$F$35=$B$3)*Index_Tab!$E$36:$F$45)</f>
        <v>0</v>
      </c>
      <c r="D556" s="648"/>
      <c r="E556" s="692" t="s">
        <v>406</v>
      </c>
      <c r="F556" s="537"/>
      <c r="G556" s="537"/>
      <c r="H556" s="529"/>
      <c r="I556" s="531">
        <f t="shared" ref="I556:N556" si="725">I555/I551</f>
        <v>0.90877409254585195</v>
      </c>
      <c r="J556" s="531">
        <f t="shared" si="725"/>
        <v>0.91022857839248705</v>
      </c>
      <c r="K556" s="531">
        <f t="shared" si="725"/>
        <v>0.91163750797994669</v>
      </c>
      <c r="L556" s="531">
        <f t="shared" si="725"/>
        <v>0.91301569532509919</v>
      </c>
      <c r="M556" s="531">
        <f t="shared" si="725"/>
        <v>0.91427242156511745</v>
      </c>
      <c r="N556" s="531">
        <f t="shared" si="725"/>
        <v>0.91544271573085367</v>
      </c>
      <c r="O556" s="546"/>
      <c r="P556" s="564">
        <f>IFERROR(((N556/I556)^(1/5))-1,0)</f>
        <v>1.4633196792610548E-3</v>
      </c>
      <c r="Q556" s="537"/>
      <c r="R556" s="531">
        <f t="shared" ref="R556:AW556" si="726">R555/R551</f>
        <v>0.91022857839248694</v>
      </c>
      <c r="S556" s="531">
        <f t="shared" si="726"/>
        <v>0.91022857839248694</v>
      </c>
      <c r="T556" s="531">
        <f t="shared" si="726"/>
        <v>0.91022857839248694</v>
      </c>
      <c r="U556" s="531">
        <f t="shared" si="726"/>
        <v>0.91022857839248694</v>
      </c>
      <c r="V556" s="531">
        <f t="shared" si="726"/>
        <v>0.91022857839248694</v>
      </c>
      <c r="W556" s="531">
        <f t="shared" si="726"/>
        <v>0.91022857839248694</v>
      </c>
      <c r="X556" s="531">
        <f t="shared" si="726"/>
        <v>0.91022857839248694</v>
      </c>
      <c r="Y556" s="531">
        <f t="shared" si="726"/>
        <v>0.91022857839248694</v>
      </c>
      <c r="Z556" s="531">
        <f t="shared" si="726"/>
        <v>0.91022857839248694</v>
      </c>
      <c r="AA556" s="531">
        <f t="shared" si="726"/>
        <v>0.91022857839248694</v>
      </c>
      <c r="AB556" s="531">
        <f t="shared" si="726"/>
        <v>0.91022857839248694</v>
      </c>
      <c r="AC556" s="531">
        <f t="shared" si="726"/>
        <v>0.91022857839248694</v>
      </c>
      <c r="AD556" s="531">
        <f t="shared" si="726"/>
        <v>0.91163750797994669</v>
      </c>
      <c r="AE556" s="531">
        <f t="shared" si="726"/>
        <v>0.91163750797994669</v>
      </c>
      <c r="AF556" s="531">
        <f t="shared" si="726"/>
        <v>0.91163750797994669</v>
      </c>
      <c r="AG556" s="531">
        <f t="shared" si="726"/>
        <v>0.91163750797994669</v>
      </c>
      <c r="AH556" s="531">
        <f t="shared" si="726"/>
        <v>0.91163750797994669</v>
      </c>
      <c r="AI556" s="531">
        <f t="shared" si="726"/>
        <v>0.91163750797994669</v>
      </c>
      <c r="AJ556" s="531">
        <f t="shared" si="726"/>
        <v>0.91163750797994669</v>
      </c>
      <c r="AK556" s="531">
        <f t="shared" si="726"/>
        <v>0.91163750797994669</v>
      </c>
      <c r="AL556" s="531">
        <f t="shared" si="726"/>
        <v>0.91163750797994669</v>
      </c>
      <c r="AM556" s="531">
        <f t="shared" si="726"/>
        <v>0.91163750797994669</v>
      </c>
      <c r="AN556" s="531">
        <f t="shared" si="726"/>
        <v>0.91163750797994669</v>
      </c>
      <c r="AO556" s="531">
        <f t="shared" si="726"/>
        <v>0.91163750797994669</v>
      </c>
      <c r="AP556" s="531">
        <f t="shared" si="726"/>
        <v>0.9130156953250993</v>
      </c>
      <c r="AQ556" s="531">
        <f t="shared" si="726"/>
        <v>0.9130156953250993</v>
      </c>
      <c r="AR556" s="531">
        <f t="shared" si="726"/>
        <v>0.9130156953250993</v>
      </c>
      <c r="AS556" s="531">
        <f t="shared" si="726"/>
        <v>0.9130156953250993</v>
      </c>
      <c r="AT556" s="531">
        <f t="shared" si="726"/>
        <v>0.9130156953250993</v>
      </c>
      <c r="AU556" s="531">
        <f t="shared" si="726"/>
        <v>0.9130156953250993</v>
      </c>
      <c r="AV556" s="531">
        <f t="shared" si="726"/>
        <v>0.9130156953250993</v>
      </c>
      <c r="AW556" s="531">
        <f t="shared" si="726"/>
        <v>0.9130156953250993</v>
      </c>
      <c r="AX556" s="531">
        <f t="shared" ref="AX556:BY556" si="727">AX555/AX551</f>
        <v>0.9130156953250993</v>
      </c>
      <c r="AY556" s="531">
        <f t="shared" si="727"/>
        <v>0.9130156953250993</v>
      </c>
      <c r="AZ556" s="531">
        <f t="shared" si="727"/>
        <v>0.9130156953250993</v>
      </c>
      <c r="BA556" s="531">
        <f t="shared" si="727"/>
        <v>0.9130156953250993</v>
      </c>
      <c r="BB556" s="531">
        <f t="shared" si="727"/>
        <v>0.91427242156511745</v>
      </c>
      <c r="BC556" s="531">
        <f t="shared" si="727"/>
        <v>0.91427242156511745</v>
      </c>
      <c r="BD556" s="531">
        <f t="shared" si="727"/>
        <v>0.91427242156511745</v>
      </c>
      <c r="BE556" s="531">
        <f t="shared" si="727"/>
        <v>0.91427242156511745</v>
      </c>
      <c r="BF556" s="531">
        <f t="shared" si="727"/>
        <v>0.91427242156511745</v>
      </c>
      <c r="BG556" s="531">
        <f t="shared" si="727"/>
        <v>0.91427242156511745</v>
      </c>
      <c r="BH556" s="531">
        <f t="shared" si="727"/>
        <v>0.91427242156511745</v>
      </c>
      <c r="BI556" s="531">
        <f t="shared" si="727"/>
        <v>0.91427242156511745</v>
      </c>
      <c r="BJ556" s="531">
        <f t="shared" si="727"/>
        <v>0.91427242156511745</v>
      </c>
      <c r="BK556" s="531">
        <f t="shared" si="727"/>
        <v>0.91427242156511745</v>
      </c>
      <c r="BL556" s="531">
        <f t="shared" si="727"/>
        <v>0.91427242156511745</v>
      </c>
      <c r="BM556" s="531">
        <f t="shared" si="727"/>
        <v>0.91427242156511745</v>
      </c>
      <c r="BN556" s="531">
        <f t="shared" si="727"/>
        <v>0.91544271573085367</v>
      </c>
      <c r="BO556" s="531">
        <f t="shared" si="727"/>
        <v>0.91544271573085367</v>
      </c>
      <c r="BP556" s="531">
        <f t="shared" si="727"/>
        <v>0.91544271573085367</v>
      </c>
      <c r="BQ556" s="531">
        <f t="shared" si="727"/>
        <v>0.91544271573085367</v>
      </c>
      <c r="BR556" s="531">
        <f t="shared" si="727"/>
        <v>0.91544271573085367</v>
      </c>
      <c r="BS556" s="531">
        <f t="shared" si="727"/>
        <v>0.91544271573085367</v>
      </c>
      <c r="BT556" s="531">
        <f t="shared" si="727"/>
        <v>0.91544271573085367</v>
      </c>
      <c r="BU556" s="531">
        <f t="shared" si="727"/>
        <v>0.91544271573085367</v>
      </c>
      <c r="BV556" s="531">
        <f t="shared" si="727"/>
        <v>0.91544271573085367</v>
      </c>
      <c r="BW556" s="531">
        <f t="shared" si="727"/>
        <v>0.91544271573085367</v>
      </c>
      <c r="BX556" s="531">
        <f t="shared" si="727"/>
        <v>0.91544271573085367</v>
      </c>
      <c r="BY556" s="531">
        <f t="shared" si="727"/>
        <v>0.91544271573085367</v>
      </c>
      <c r="BZ556" s="537"/>
      <c r="CA556" s="537"/>
      <c r="CB556" s="537"/>
    </row>
    <row r="557" spans="1:80" x14ac:dyDescent="0.3">
      <c r="A557" s="648"/>
      <c r="B557" s="648"/>
      <c r="C557" s="648" cm="1">
        <f t="array" ref="C557">SUMPRODUCT((Index_Tab!$D$36:$D$45=$B557)*(Index_Tab!$E$35:$F$35=$B$3)*Index_Tab!$E$36:$F$45)</f>
        <v>0</v>
      </c>
      <c r="D557" s="648"/>
      <c r="E557" s="2"/>
      <c r="F557" s="537"/>
      <c r="G557" s="537"/>
      <c r="H557" s="529"/>
      <c r="I557" s="537"/>
      <c r="J557" s="537"/>
      <c r="K557" s="537"/>
      <c r="L557" s="537"/>
      <c r="M557" s="537"/>
      <c r="N557" s="537"/>
      <c r="O557" s="529"/>
      <c r="P557" s="660"/>
      <c r="Q557" s="537"/>
      <c r="R557" s="537"/>
      <c r="S557" s="537"/>
      <c r="T557" s="537"/>
      <c r="U557" s="537"/>
      <c r="V557" s="537"/>
      <c r="W557" s="537"/>
      <c r="X557" s="537"/>
      <c r="Y557" s="537"/>
      <c r="Z557" s="537"/>
      <c r="AA557" s="537"/>
      <c r="AB557" s="537"/>
      <c r="AC557" s="537"/>
      <c r="AD557" s="537"/>
      <c r="AE557" s="537"/>
      <c r="AF557" s="537"/>
      <c r="AG557" s="537"/>
      <c r="AH557" s="537"/>
      <c r="AI557" s="537"/>
      <c r="AJ557" s="537"/>
      <c r="AK557" s="537"/>
      <c r="AL557" s="537"/>
      <c r="AM557" s="537"/>
      <c r="AN557" s="537"/>
      <c r="AO557" s="537"/>
      <c r="AP557" s="537"/>
      <c r="AQ557" s="537"/>
      <c r="AR557" s="537"/>
      <c r="AS557" s="537"/>
      <c r="AT557" s="537"/>
      <c r="AU557" s="537"/>
      <c r="AV557" s="537"/>
      <c r="AW557" s="537"/>
      <c r="AX557" s="537"/>
      <c r="AY557" s="537"/>
      <c r="AZ557" s="537"/>
      <c r="BA557" s="537"/>
      <c r="BB557" s="537"/>
      <c r="BC557" s="537"/>
      <c r="BD557" s="537"/>
      <c r="BE557" s="537"/>
      <c r="BF557" s="537"/>
      <c r="BG557" s="537"/>
      <c r="BH557" s="537"/>
      <c r="BI557" s="537"/>
      <c r="BJ557" s="537"/>
      <c r="BK557" s="537"/>
      <c r="BL557" s="537"/>
      <c r="BM557" s="537"/>
      <c r="BN557" s="537"/>
      <c r="BO557" s="537"/>
      <c r="BP557" s="537"/>
      <c r="BQ557" s="537"/>
      <c r="BR557" s="537"/>
      <c r="BS557" s="537"/>
      <c r="BT557" s="537"/>
      <c r="BU557" s="537"/>
      <c r="BV557" s="537"/>
      <c r="BW557" s="537"/>
      <c r="BX557" s="537"/>
      <c r="BY557" s="537"/>
      <c r="BZ557" s="537"/>
      <c r="CA557" s="537"/>
      <c r="CB557" s="537"/>
    </row>
    <row r="558" spans="1:80" x14ac:dyDescent="0.3">
      <c r="A558" s="648"/>
      <c r="B558" s="648" t="s">
        <v>52</v>
      </c>
      <c r="C558" s="648" cm="1">
        <f t="array" ref="C558">SUMPRODUCT((Index_Tab!$D$36:$D$45=$B558)*(Index_Tab!$E$35:$F$35=$B$3)*Index_Tab!$E$36:$F$45)</f>
        <v>19</v>
      </c>
      <c r="D558" s="648"/>
      <c r="E558" s="2" t="s">
        <v>52</v>
      </c>
      <c r="F558" s="567"/>
      <c r="G558" s="567"/>
      <c r="H558" s="537"/>
      <c r="I558" s="544">
        <v>-1485143.1619999993</v>
      </c>
      <c r="J558" s="542">
        <f>(-'Detailed Assumptions'!$E$52*J571)*(1+'Detailed Assumptions'!F$48)</f>
        <v>-938400</v>
      </c>
      <c r="K558" s="542">
        <f>J558*(1+'Detailed Assumptions'!G$48)</f>
        <v>-957168</v>
      </c>
      <c r="L558" s="542">
        <f>K558*(1+'Detailed Assumptions'!H$48)</f>
        <v>-976311.36</v>
      </c>
      <c r="M558" s="542">
        <f>L558*(1+'Detailed Assumptions'!I$48)</f>
        <v>-995837.58719999995</v>
      </c>
      <c r="N558" s="542">
        <f>M558*(1+'Detailed Assumptions'!J$48)</f>
        <v>-1015754.338944</v>
      </c>
      <c r="O558" s="529"/>
      <c r="P558" s="564">
        <f>IFERROR(((N558/I558)^(1/5))-1,0)</f>
        <v>-7.3161483863233623E-2</v>
      </c>
      <c r="Q558" s="537"/>
      <c r="R558" s="527">
        <f t="shared" ref="R558:AW558" si="728">(INDEX($I558:$N558,MATCH(R$2,$I$3:$N$3,0)))/12</f>
        <v>-78200</v>
      </c>
      <c r="S558" s="527">
        <f t="shared" si="728"/>
        <v>-78200</v>
      </c>
      <c r="T558" s="527">
        <f t="shared" si="728"/>
        <v>-78200</v>
      </c>
      <c r="U558" s="527">
        <f t="shared" si="728"/>
        <v>-78200</v>
      </c>
      <c r="V558" s="527">
        <f t="shared" si="728"/>
        <v>-78200</v>
      </c>
      <c r="W558" s="527">
        <f t="shared" si="728"/>
        <v>-78200</v>
      </c>
      <c r="X558" s="527">
        <f t="shared" si="728"/>
        <v>-78200</v>
      </c>
      <c r="Y558" s="527">
        <f t="shared" si="728"/>
        <v>-78200</v>
      </c>
      <c r="Z558" s="527">
        <f t="shared" si="728"/>
        <v>-78200</v>
      </c>
      <c r="AA558" s="527">
        <f t="shared" si="728"/>
        <v>-78200</v>
      </c>
      <c r="AB558" s="527">
        <f t="shared" si="728"/>
        <v>-78200</v>
      </c>
      <c r="AC558" s="527">
        <f t="shared" si="728"/>
        <v>-78200</v>
      </c>
      <c r="AD558" s="527">
        <f t="shared" si="728"/>
        <v>-79764</v>
      </c>
      <c r="AE558" s="527">
        <f t="shared" si="728"/>
        <v>-79764</v>
      </c>
      <c r="AF558" s="527">
        <f t="shared" si="728"/>
        <v>-79764</v>
      </c>
      <c r="AG558" s="527">
        <f t="shared" si="728"/>
        <v>-79764</v>
      </c>
      <c r="AH558" s="527">
        <f t="shared" si="728"/>
        <v>-79764</v>
      </c>
      <c r="AI558" s="527">
        <f t="shared" si="728"/>
        <v>-79764</v>
      </c>
      <c r="AJ558" s="527">
        <f t="shared" si="728"/>
        <v>-79764</v>
      </c>
      <c r="AK558" s="527">
        <f t="shared" si="728"/>
        <v>-79764</v>
      </c>
      <c r="AL558" s="527">
        <f t="shared" si="728"/>
        <v>-79764</v>
      </c>
      <c r="AM558" s="527">
        <f t="shared" si="728"/>
        <v>-79764</v>
      </c>
      <c r="AN558" s="527">
        <f t="shared" si="728"/>
        <v>-79764</v>
      </c>
      <c r="AO558" s="527">
        <f t="shared" si="728"/>
        <v>-79764</v>
      </c>
      <c r="AP558" s="527">
        <f t="shared" si="728"/>
        <v>-81359.28</v>
      </c>
      <c r="AQ558" s="527">
        <f t="shared" si="728"/>
        <v>-81359.28</v>
      </c>
      <c r="AR558" s="527">
        <f t="shared" si="728"/>
        <v>-81359.28</v>
      </c>
      <c r="AS558" s="527">
        <f t="shared" si="728"/>
        <v>-81359.28</v>
      </c>
      <c r="AT558" s="527">
        <f t="shared" si="728"/>
        <v>-81359.28</v>
      </c>
      <c r="AU558" s="527">
        <f t="shared" si="728"/>
        <v>-81359.28</v>
      </c>
      <c r="AV558" s="527">
        <f t="shared" si="728"/>
        <v>-81359.28</v>
      </c>
      <c r="AW558" s="527">
        <f t="shared" si="728"/>
        <v>-81359.28</v>
      </c>
      <c r="AX558" s="527">
        <f t="shared" ref="AX558:BY558" si="729">(INDEX($I558:$N558,MATCH(AX$2,$I$3:$N$3,0)))/12</f>
        <v>-81359.28</v>
      </c>
      <c r="AY558" s="527">
        <f t="shared" si="729"/>
        <v>-81359.28</v>
      </c>
      <c r="AZ558" s="527">
        <f t="shared" si="729"/>
        <v>-81359.28</v>
      </c>
      <c r="BA558" s="527">
        <f t="shared" si="729"/>
        <v>-81359.28</v>
      </c>
      <c r="BB558" s="527">
        <f t="shared" si="729"/>
        <v>-82986.465599999996</v>
      </c>
      <c r="BC558" s="527">
        <f t="shared" si="729"/>
        <v>-82986.465599999996</v>
      </c>
      <c r="BD558" s="527">
        <f t="shared" si="729"/>
        <v>-82986.465599999996</v>
      </c>
      <c r="BE558" s="527">
        <f t="shared" si="729"/>
        <v>-82986.465599999996</v>
      </c>
      <c r="BF558" s="527">
        <f t="shared" si="729"/>
        <v>-82986.465599999996</v>
      </c>
      <c r="BG558" s="527">
        <f t="shared" si="729"/>
        <v>-82986.465599999996</v>
      </c>
      <c r="BH558" s="527">
        <f t="shared" si="729"/>
        <v>-82986.465599999996</v>
      </c>
      <c r="BI558" s="527">
        <f t="shared" si="729"/>
        <v>-82986.465599999996</v>
      </c>
      <c r="BJ558" s="527">
        <f t="shared" si="729"/>
        <v>-82986.465599999996</v>
      </c>
      <c r="BK558" s="527">
        <f t="shared" si="729"/>
        <v>-82986.465599999996</v>
      </c>
      <c r="BL558" s="527">
        <f t="shared" si="729"/>
        <v>-82986.465599999996</v>
      </c>
      <c r="BM558" s="527">
        <f t="shared" si="729"/>
        <v>-82986.465599999996</v>
      </c>
      <c r="BN558" s="527">
        <f t="shared" si="729"/>
        <v>-84646.194911999992</v>
      </c>
      <c r="BO558" s="527">
        <f t="shared" si="729"/>
        <v>-84646.194911999992</v>
      </c>
      <c r="BP558" s="527">
        <f t="shared" si="729"/>
        <v>-84646.194911999992</v>
      </c>
      <c r="BQ558" s="527">
        <f t="shared" si="729"/>
        <v>-84646.194911999992</v>
      </c>
      <c r="BR558" s="527">
        <f t="shared" si="729"/>
        <v>-84646.194911999992</v>
      </c>
      <c r="BS558" s="527">
        <f t="shared" si="729"/>
        <v>-84646.194911999992</v>
      </c>
      <c r="BT558" s="527">
        <f t="shared" si="729"/>
        <v>-84646.194911999992</v>
      </c>
      <c r="BU558" s="527">
        <f t="shared" si="729"/>
        <v>-84646.194911999992</v>
      </c>
      <c r="BV558" s="527">
        <f t="shared" si="729"/>
        <v>-84646.194911999992</v>
      </c>
      <c r="BW558" s="527">
        <f t="shared" si="729"/>
        <v>-84646.194911999992</v>
      </c>
      <c r="BX558" s="527">
        <f t="shared" si="729"/>
        <v>-84646.194911999992</v>
      </c>
      <c r="BY558" s="527">
        <f t="shared" si="729"/>
        <v>-84646.194911999992</v>
      </c>
      <c r="BZ558" s="537"/>
      <c r="CA558" s="537"/>
      <c r="CB558" s="537"/>
    </row>
    <row r="559" spans="1:80" x14ac:dyDescent="0.3">
      <c r="A559" s="648"/>
      <c r="B559" s="648" t="s">
        <v>53</v>
      </c>
      <c r="C559" s="648" cm="1">
        <f t="array" ref="C559">SUMPRODUCT((Index_Tab!$D$36:$D$45=$B559)*(Index_Tab!$E$35:$F$35=$B$3)*Index_Tab!$E$36:$F$45)</f>
        <v>20</v>
      </c>
      <c r="D559" s="648"/>
      <c r="E559" s="2" t="s">
        <v>69</v>
      </c>
      <c r="F559" s="567"/>
      <c r="G559" s="567"/>
      <c r="H559" s="537"/>
      <c r="I559" s="542" cm="1">
        <f t="array" ref="I559">I551*INDEX(('Detailed Assumptions'!$D$59:$J$79,'Detailed Assumptions'!$L$59:$R$79,'Detailed Assumptions'!$T$59:$Z$79,'Detailed Assumptions'!$AB$59:$AH$79),$C559,$I$2,$C$506)</f>
        <v>-164509.18844017058</v>
      </c>
      <c r="J559" s="527">
        <f>SUMIF($R$2:$BY$2,J$3,$R559:$BY559)</f>
        <v>-171299.85660540269</v>
      </c>
      <c r="K559" s="527">
        <f>SUMIF($R$2:$BY$2,K$3,$R559:$BY559)</f>
        <v>-178064.06427583084</v>
      </c>
      <c r="L559" s="527">
        <f>SUMIF($R$2:$BY$2,L$3,$R559:$BY559)</f>
        <v>-184765.14455983599</v>
      </c>
      <c r="M559" s="527">
        <f>SUMIF($R$2:$BY$2,M$3,$R559:$BY559)</f>
        <v>-191147.94324514468</v>
      </c>
      <c r="N559" s="527">
        <f>SUMIF($R$2:$BY$2,N$3,$R559:$BY559)</f>
        <v>-197553.12563377895</v>
      </c>
      <c r="O559" s="529"/>
      <c r="P559" s="564">
        <f>IFERROR(((N559/I559)^(1/5))-1,0)</f>
        <v>3.7286555852937164E-2</v>
      </c>
      <c r="Q559" s="537"/>
      <c r="R559" s="542" cm="1">
        <f t="array" ref="R559">R551*INDEX(('Detailed Assumptions'!$D$59:$J$79,'Detailed Assumptions'!$L$59:$R$79,'Detailed Assumptions'!$T$59:$Z$79,'Detailed Assumptions'!$AB$59:$AH$79),$C559,$I$2,$C$506)</f>
        <v>-14274.988050450229</v>
      </c>
      <c r="S559" s="542" cm="1">
        <f t="array" ref="S559">S551*INDEX(('Detailed Assumptions'!$D$59:$J$79,'Detailed Assumptions'!$L$59:$R$79,'Detailed Assumptions'!$T$59:$Z$79,'Detailed Assumptions'!$AB$59:$AH$79),$C559,$I$2,$C$506)</f>
        <v>-14274.988050450229</v>
      </c>
      <c r="T559" s="542" cm="1">
        <f t="array" ref="T559">T551*INDEX(('Detailed Assumptions'!$D$59:$J$79,'Detailed Assumptions'!$L$59:$R$79,'Detailed Assumptions'!$T$59:$Z$79,'Detailed Assumptions'!$AB$59:$AH$79),$C559,$I$2,$C$506)</f>
        <v>-14274.988050450229</v>
      </c>
      <c r="U559" s="542" cm="1">
        <f t="array" ref="U559">U551*INDEX(('Detailed Assumptions'!$D$59:$J$79,'Detailed Assumptions'!$L$59:$R$79,'Detailed Assumptions'!$T$59:$Z$79,'Detailed Assumptions'!$AB$59:$AH$79),$C559,$I$2,$C$506)</f>
        <v>-14274.988050450229</v>
      </c>
      <c r="V559" s="542" cm="1">
        <f t="array" ref="V559">V551*INDEX(('Detailed Assumptions'!$D$59:$J$79,'Detailed Assumptions'!$L$59:$R$79,'Detailed Assumptions'!$T$59:$Z$79,'Detailed Assumptions'!$AB$59:$AH$79),$C559,$I$2,$C$506)</f>
        <v>-14274.988050450229</v>
      </c>
      <c r="W559" s="542" cm="1">
        <f t="array" ref="W559">W551*INDEX(('Detailed Assumptions'!$D$59:$J$79,'Detailed Assumptions'!$L$59:$R$79,'Detailed Assumptions'!$T$59:$Z$79,'Detailed Assumptions'!$AB$59:$AH$79),$C559,$I$2,$C$506)</f>
        <v>-14274.988050450229</v>
      </c>
      <c r="X559" s="542" cm="1">
        <f t="array" ref="X559">X551*INDEX(('Detailed Assumptions'!$D$59:$J$79,'Detailed Assumptions'!$L$59:$R$79,'Detailed Assumptions'!$T$59:$Z$79,'Detailed Assumptions'!$AB$59:$AH$79),$C559,$I$2,$C$506)</f>
        <v>-14274.988050450229</v>
      </c>
      <c r="Y559" s="542" cm="1">
        <f t="array" ref="Y559">Y551*INDEX(('Detailed Assumptions'!$D$59:$J$79,'Detailed Assumptions'!$L$59:$R$79,'Detailed Assumptions'!$T$59:$Z$79,'Detailed Assumptions'!$AB$59:$AH$79),$C559,$I$2,$C$506)</f>
        <v>-14274.988050450229</v>
      </c>
      <c r="Z559" s="542" cm="1">
        <f t="array" ref="Z559">Z551*INDEX(('Detailed Assumptions'!$D$59:$J$79,'Detailed Assumptions'!$L$59:$R$79,'Detailed Assumptions'!$T$59:$Z$79,'Detailed Assumptions'!$AB$59:$AH$79),$C559,$I$2,$C$506)</f>
        <v>-14274.988050450229</v>
      </c>
      <c r="AA559" s="542" cm="1">
        <f t="array" ref="AA559">AA551*INDEX(('Detailed Assumptions'!$D$59:$J$79,'Detailed Assumptions'!$L$59:$R$79,'Detailed Assumptions'!$T$59:$Z$79,'Detailed Assumptions'!$AB$59:$AH$79),$C559,$I$2,$C$506)</f>
        <v>-14274.988050450229</v>
      </c>
      <c r="AB559" s="542" cm="1">
        <f t="array" ref="AB559">AB551*INDEX(('Detailed Assumptions'!$D$59:$J$79,'Detailed Assumptions'!$L$59:$R$79,'Detailed Assumptions'!$T$59:$Z$79,'Detailed Assumptions'!$AB$59:$AH$79),$C559,$I$2,$C$506)</f>
        <v>-14274.988050450229</v>
      </c>
      <c r="AC559" s="542" cm="1">
        <f t="array" ref="AC559">AC551*INDEX(('Detailed Assumptions'!$D$59:$J$79,'Detailed Assumptions'!$L$59:$R$79,'Detailed Assumptions'!$T$59:$Z$79,'Detailed Assumptions'!$AB$59:$AH$79),$C559,$I$2,$C$506)</f>
        <v>-14274.988050450229</v>
      </c>
      <c r="AD559" s="542" cm="1">
        <f t="array" ref="AD559">AD551*INDEX(('Detailed Assumptions'!$D$59:$J$79,'Detailed Assumptions'!$L$59:$R$79,'Detailed Assumptions'!$T$59:$Z$79,'Detailed Assumptions'!$AB$59:$AH$79),$C559,$I$2,$C$506)</f>
        <v>-14838.672022985904</v>
      </c>
      <c r="AE559" s="542" cm="1">
        <f t="array" ref="AE559">AE551*INDEX(('Detailed Assumptions'!$D$59:$J$79,'Detailed Assumptions'!$L$59:$R$79,'Detailed Assumptions'!$T$59:$Z$79,'Detailed Assumptions'!$AB$59:$AH$79),$C559,$I$2,$C$506)</f>
        <v>-14838.672022985904</v>
      </c>
      <c r="AF559" s="542" cm="1">
        <f t="array" ref="AF559">AF551*INDEX(('Detailed Assumptions'!$D$59:$J$79,'Detailed Assumptions'!$L$59:$R$79,'Detailed Assumptions'!$T$59:$Z$79,'Detailed Assumptions'!$AB$59:$AH$79),$C559,$I$2,$C$506)</f>
        <v>-14838.672022985904</v>
      </c>
      <c r="AG559" s="542" cm="1">
        <f t="array" ref="AG559">AG551*INDEX(('Detailed Assumptions'!$D$59:$J$79,'Detailed Assumptions'!$L$59:$R$79,'Detailed Assumptions'!$T$59:$Z$79,'Detailed Assumptions'!$AB$59:$AH$79),$C559,$I$2,$C$506)</f>
        <v>-14838.672022985904</v>
      </c>
      <c r="AH559" s="542" cm="1">
        <f t="array" ref="AH559">AH551*INDEX(('Detailed Assumptions'!$D$59:$J$79,'Detailed Assumptions'!$L$59:$R$79,'Detailed Assumptions'!$T$59:$Z$79,'Detailed Assumptions'!$AB$59:$AH$79),$C559,$I$2,$C$506)</f>
        <v>-14838.672022985904</v>
      </c>
      <c r="AI559" s="542" cm="1">
        <f t="array" ref="AI559">AI551*INDEX(('Detailed Assumptions'!$D$59:$J$79,'Detailed Assumptions'!$L$59:$R$79,'Detailed Assumptions'!$T$59:$Z$79,'Detailed Assumptions'!$AB$59:$AH$79),$C559,$I$2,$C$506)</f>
        <v>-14838.672022985904</v>
      </c>
      <c r="AJ559" s="542" cm="1">
        <f t="array" ref="AJ559">AJ551*INDEX(('Detailed Assumptions'!$D$59:$J$79,'Detailed Assumptions'!$L$59:$R$79,'Detailed Assumptions'!$T$59:$Z$79,'Detailed Assumptions'!$AB$59:$AH$79),$C559,$I$2,$C$506)</f>
        <v>-14838.672022985904</v>
      </c>
      <c r="AK559" s="542" cm="1">
        <f t="array" ref="AK559">AK551*INDEX(('Detailed Assumptions'!$D$59:$J$79,'Detailed Assumptions'!$L$59:$R$79,'Detailed Assumptions'!$T$59:$Z$79,'Detailed Assumptions'!$AB$59:$AH$79),$C559,$I$2,$C$506)</f>
        <v>-14838.672022985904</v>
      </c>
      <c r="AL559" s="542" cm="1">
        <f t="array" ref="AL559">AL551*INDEX(('Detailed Assumptions'!$D$59:$J$79,'Detailed Assumptions'!$L$59:$R$79,'Detailed Assumptions'!$T$59:$Z$79,'Detailed Assumptions'!$AB$59:$AH$79),$C559,$I$2,$C$506)</f>
        <v>-14838.672022985904</v>
      </c>
      <c r="AM559" s="542" cm="1">
        <f t="array" ref="AM559">AM551*INDEX(('Detailed Assumptions'!$D$59:$J$79,'Detailed Assumptions'!$L$59:$R$79,'Detailed Assumptions'!$T$59:$Z$79,'Detailed Assumptions'!$AB$59:$AH$79),$C559,$I$2,$C$506)</f>
        <v>-14838.672022985904</v>
      </c>
      <c r="AN559" s="542" cm="1">
        <f t="array" ref="AN559">AN551*INDEX(('Detailed Assumptions'!$D$59:$J$79,'Detailed Assumptions'!$L$59:$R$79,'Detailed Assumptions'!$T$59:$Z$79,'Detailed Assumptions'!$AB$59:$AH$79),$C559,$I$2,$C$506)</f>
        <v>-14838.672022985904</v>
      </c>
      <c r="AO559" s="542" cm="1">
        <f t="array" ref="AO559">AO551*INDEX(('Detailed Assumptions'!$D$59:$J$79,'Detailed Assumptions'!$L$59:$R$79,'Detailed Assumptions'!$T$59:$Z$79,'Detailed Assumptions'!$AB$59:$AH$79),$C559,$I$2,$C$506)</f>
        <v>-14838.672022985904</v>
      </c>
      <c r="AP559" s="542" cm="1">
        <f t="array" ref="AP559">AP551*INDEX(('Detailed Assumptions'!$D$59:$J$79,'Detailed Assumptions'!$L$59:$R$79,'Detailed Assumptions'!$T$59:$Z$79,'Detailed Assumptions'!$AB$59:$AH$79),$C559,$I$2,$C$506)</f>
        <v>-15397.095379986331</v>
      </c>
      <c r="AQ559" s="542" cm="1">
        <f t="array" ref="AQ559">AQ551*INDEX(('Detailed Assumptions'!$D$59:$J$79,'Detailed Assumptions'!$L$59:$R$79,'Detailed Assumptions'!$T$59:$Z$79,'Detailed Assumptions'!$AB$59:$AH$79),$C559,$I$2,$C$506)</f>
        <v>-15397.095379986331</v>
      </c>
      <c r="AR559" s="542" cm="1">
        <f t="array" ref="AR559">AR551*INDEX(('Detailed Assumptions'!$D$59:$J$79,'Detailed Assumptions'!$L$59:$R$79,'Detailed Assumptions'!$T$59:$Z$79,'Detailed Assumptions'!$AB$59:$AH$79),$C559,$I$2,$C$506)</f>
        <v>-15397.095379986331</v>
      </c>
      <c r="AS559" s="542" cm="1">
        <f t="array" ref="AS559">AS551*INDEX(('Detailed Assumptions'!$D$59:$J$79,'Detailed Assumptions'!$L$59:$R$79,'Detailed Assumptions'!$T$59:$Z$79,'Detailed Assumptions'!$AB$59:$AH$79),$C559,$I$2,$C$506)</f>
        <v>-15397.095379986331</v>
      </c>
      <c r="AT559" s="542" cm="1">
        <f t="array" ref="AT559">AT551*INDEX(('Detailed Assumptions'!$D$59:$J$79,'Detailed Assumptions'!$L$59:$R$79,'Detailed Assumptions'!$T$59:$Z$79,'Detailed Assumptions'!$AB$59:$AH$79),$C559,$I$2,$C$506)</f>
        <v>-15397.095379986331</v>
      </c>
      <c r="AU559" s="542" cm="1">
        <f t="array" ref="AU559">AU551*INDEX(('Detailed Assumptions'!$D$59:$J$79,'Detailed Assumptions'!$L$59:$R$79,'Detailed Assumptions'!$T$59:$Z$79,'Detailed Assumptions'!$AB$59:$AH$79),$C559,$I$2,$C$506)</f>
        <v>-15397.095379986331</v>
      </c>
      <c r="AV559" s="542" cm="1">
        <f t="array" ref="AV559">AV551*INDEX(('Detailed Assumptions'!$D$59:$J$79,'Detailed Assumptions'!$L$59:$R$79,'Detailed Assumptions'!$T$59:$Z$79,'Detailed Assumptions'!$AB$59:$AH$79),$C559,$I$2,$C$506)</f>
        <v>-15397.095379986331</v>
      </c>
      <c r="AW559" s="542" cm="1">
        <f t="array" ref="AW559">AW551*INDEX(('Detailed Assumptions'!$D$59:$J$79,'Detailed Assumptions'!$L$59:$R$79,'Detailed Assumptions'!$T$59:$Z$79,'Detailed Assumptions'!$AB$59:$AH$79),$C559,$I$2,$C$506)</f>
        <v>-15397.095379986331</v>
      </c>
      <c r="AX559" s="542" cm="1">
        <f t="array" ref="AX559">AX551*INDEX(('Detailed Assumptions'!$D$59:$J$79,'Detailed Assumptions'!$L$59:$R$79,'Detailed Assumptions'!$T$59:$Z$79,'Detailed Assumptions'!$AB$59:$AH$79),$C559,$I$2,$C$506)</f>
        <v>-15397.095379986331</v>
      </c>
      <c r="AY559" s="542" cm="1">
        <f t="array" ref="AY559">AY551*INDEX(('Detailed Assumptions'!$D$59:$J$79,'Detailed Assumptions'!$L$59:$R$79,'Detailed Assumptions'!$T$59:$Z$79,'Detailed Assumptions'!$AB$59:$AH$79),$C559,$I$2,$C$506)</f>
        <v>-15397.095379986331</v>
      </c>
      <c r="AZ559" s="542" cm="1">
        <f t="array" ref="AZ559">AZ551*INDEX(('Detailed Assumptions'!$D$59:$J$79,'Detailed Assumptions'!$L$59:$R$79,'Detailed Assumptions'!$T$59:$Z$79,'Detailed Assumptions'!$AB$59:$AH$79),$C559,$I$2,$C$506)</f>
        <v>-15397.095379986331</v>
      </c>
      <c r="BA559" s="542" cm="1">
        <f t="array" ref="BA559">BA551*INDEX(('Detailed Assumptions'!$D$59:$J$79,'Detailed Assumptions'!$L$59:$R$79,'Detailed Assumptions'!$T$59:$Z$79,'Detailed Assumptions'!$AB$59:$AH$79),$C559,$I$2,$C$506)</f>
        <v>-15397.095379986331</v>
      </c>
      <c r="BB559" s="542" cm="1">
        <f t="array" ref="BB559">BB551*INDEX(('Detailed Assumptions'!$D$59:$J$79,'Detailed Assumptions'!$L$59:$R$79,'Detailed Assumptions'!$T$59:$Z$79,'Detailed Assumptions'!$AB$59:$AH$79),$C559,$I$2,$C$506)</f>
        <v>-15928.995270428726</v>
      </c>
      <c r="BC559" s="542" cm="1">
        <f t="array" ref="BC559">BC551*INDEX(('Detailed Assumptions'!$D$59:$J$79,'Detailed Assumptions'!$L$59:$R$79,'Detailed Assumptions'!$T$59:$Z$79,'Detailed Assumptions'!$AB$59:$AH$79),$C559,$I$2,$C$506)</f>
        <v>-15928.995270428726</v>
      </c>
      <c r="BD559" s="542" cm="1">
        <f t="array" ref="BD559">BD551*INDEX(('Detailed Assumptions'!$D$59:$J$79,'Detailed Assumptions'!$L$59:$R$79,'Detailed Assumptions'!$T$59:$Z$79,'Detailed Assumptions'!$AB$59:$AH$79),$C559,$I$2,$C$506)</f>
        <v>-15928.995270428726</v>
      </c>
      <c r="BE559" s="542" cm="1">
        <f t="array" ref="BE559">BE551*INDEX(('Detailed Assumptions'!$D$59:$J$79,'Detailed Assumptions'!$L$59:$R$79,'Detailed Assumptions'!$T$59:$Z$79,'Detailed Assumptions'!$AB$59:$AH$79),$C559,$I$2,$C$506)</f>
        <v>-15928.995270428726</v>
      </c>
      <c r="BF559" s="542" cm="1">
        <f t="array" ref="BF559">BF551*INDEX(('Detailed Assumptions'!$D$59:$J$79,'Detailed Assumptions'!$L$59:$R$79,'Detailed Assumptions'!$T$59:$Z$79,'Detailed Assumptions'!$AB$59:$AH$79),$C559,$I$2,$C$506)</f>
        <v>-15928.995270428726</v>
      </c>
      <c r="BG559" s="542" cm="1">
        <f t="array" ref="BG559">BG551*INDEX(('Detailed Assumptions'!$D$59:$J$79,'Detailed Assumptions'!$L$59:$R$79,'Detailed Assumptions'!$T$59:$Z$79,'Detailed Assumptions'!$AB$59:$AH$79),$C559,$I$2,$C$506)</f>
        <v>-15928.995270428726</v>
      </c>
      <c r="BH559" s="542" cm="1">
        <f t="array" ref="BH559">BH551*INDEX(('Detailed Assumptions'!$D$59:$J$79,'Detailed Assumptions'!$L$59:$R$79,'Detailed Assumptions'!$T$59:$Z$79,'Detailed Assumptions'!$AB$59:$AH$79),$C559,$I$2,$C$506)</f>
        <v>-15928.995270428726</v>
      </c>
      <c r="BI559" s="542" cm="1">
        <f t="array" ref="BI559">BI551*INDEX(('Detailed Assumptions'!$D$59:$J$79,'Detailed Assumptions'!$L$59:$R$79,'Detailed Assumptions'!$T$59:$Z$79,'Detailed Assumptions'!$AB$59:$AH$79),$C559,$I$2,$C$506)</f>
        <v>-15928.995270428726</v>
      </c>
      <c r="BJ559" s="542" cm="1">
        <f t="array" ref="BJ559">BJ551*INDEX(('Detailed Assumptions'!$D$59:$J$79,'Detailed Assumptions'!$L$59:$R$79,'Detailed Assumptions'!$T$59:$Z$79,'Detailed Assumptions'!$AB$59:$AH$79),$C559,$I$2,$C$506)</f>
        <v>-15928.995270428726</v>
      </c>
      <c r="BK559" s="542" cm="1">
        <f t="array" ref="BK559">BK551*INDEX(('Detailed Assumptions'!$D$59:$J$79,'Detailed Assumptions'!$L$59:$R$79,'Detailed Assumptions'!$T$59:$Z$79,'Detailed Assumptions'!$AB$59:$AH$79),$C559,$I$2,$C$506)</f>
        <v>-15928.995270428726</v>
      </c>
      <c r="BL559" s="542" cm="1">
        <f t="array" ref="BL559">BL551*INDEX(('Detailed Assumptions'!$D$59:$J$79,'Detailed Assumptions'!$L$59:$R$79,'Detailed Assumptions'!$T$59:$Z$79,'Detailed Assumptions'!$AB$59:$AH$79),$C559,$I$2,$C$506)</f>
        <v>-15928.995270428726</v>
      </c>
      <c r="BM559" s="542" cm="1">
        <f t="array" ref="BM559">BM551*INDEX(('Detailed Assumptions'!$D$59:$J$79,'Detailed Assumptions'!$L$59:$R$79,'Detailed Assumptions'!$T$59:$Z$79,'Detailed Assumptions'!$AB$59:$AH$79),$C559,$I$2,$C$506)</f>
        <v>-15928.995270428726</v>
      </c>
      <c r="BN559" s="542" cm="1">
        <f t="array" ref="BN559">BN551*INDEX(('Detailed Assumptions'!$D$59:$J$79,'Detailed Assumptions'!$L$59:$R$79,'Detailed Assumptions'!$T$59:$Z$79,'Detailed Assumptions'!$AB$59:$AH$79),$C559,$I$2,$C$506)</f>
        <v>-16462.760469481578</v>
      </c>
      <c r="BO559" s="542" cm="1">
        <f t="array" ref="BO559">BO551*INDEX(('Detailed Assumptions'!$D$59:$J$79,'Detailed Assumptions'!$L$59:$R$79,'Detailed Assumptions'!$T$59:$Z$79,'Detailed Assumptions'!$AB$59:$AH$79),$C559,$I$2,$C$506)</f>
        <v>-16462.760469481578</v>
      </c>
      <c r="BP559" s="542" cm="1">
        <f t="array" ref="BP559">BP551*INDEX(('Detailed Assumptions'!$D$59:$J$79,'Detailed Assumptions'!$L$59:$R$79,'Detailed Assumptions'!$T$59:$Z$79,'Detailed Assumptions'!$AB$59:$AH$79),$C559,$I$2,$C$506)</f>
        <v>-16462.760469481578</v>
      </c>
      <c r="BQ559" s="542" cm="1">
        <f t="array" ref="BQ559">BQ551*INDEX(('Detailed Assumptions'!$D$59:$J$79,'Detailed Assumptions'!$L$59:$R$79,'Detailed Assumptions'!$T$59:$Z$79,'Detailed Assumptions'!$AB$59:$AH$79),$C559,$I$2,$C$506)</f>
        <v>-16462.760469481578</v>
      </c>
      <c r="BR559" s="542" cm="1">
        <f t="array" ref="BR559">BR551*INDEX(('Detailed Assumptions'!$D$59:$J$79,'Detailed Assumptions'!$L$59:$R$79,'Detailed Assumptions'!$T$59:$Z$79,'Detailed Assumptions'!$AB$59:$AH$79),$C559,$I$2,$C$506)</f>
        <v>-16462.760469481578</v>
      </c>
      <c r="BS559" s="542" cm="1">
        <f t="array" ref="BS559">BS551*INDEX(('Detailed Assumptions'!$D$59:$J$79,'Detailed Assumptions'!$L$59:$R$79,'Detailed Assumptions'!$T$59:$Z$79,'Detailed Assumptions'!$AB$59:$AH$79),$C559,$I$2,$C$506)</f>
        <v>-16462.760469481578</v>
      </c>
      <c r="BT559" s="542" cm="1">
        <f t="array" ref="BT559">BT551*INDEX(('Detailed Assumptions'!$D$59:$J$79,'Detailed Assumptions'!$L$59:$R$79,'Detailed Assumptions'!$T$59:$Z$79,'Detailed Assumptions'!$AB$59:$AH$79),$C559,$I$2,$C$506)</f>
        <v>-16462.760469481578</v>
      </c>
      <c r="BU559" s="542" cm="1">
        <f t="array" ref="BU559">BU551*INDEX(('Detailed Assumptions'!$D$59:$J$79,'Detailed Assumptions'!$L$59:$R$79,'Detailed Assumptions'!$T$59:$Z$79,'Detailed Assumptions'!$AB$59:$AH$79),$C559,$I$2,$C$506)</f>
        <v>-16462.760469481578</v>
      </c>
      <c r="BV559" s="542" cm="1">
        <f t="array" ref="BV559">BV551*INDEX(('Detailed Assumptions'!$D$59:$J$79,'Detailed Assumptions'!$L$59:$R$79,'Detailed Assumptions'!$T$59:$Z$79,'Detailed Assumptions'!$AB$59:$AH$79),$C559,$I$2,$C$506)</f>
        <v>-16462.760469481578</v>
      </c>
      <c r="BW559" s="542" cm="1">
        <f t="array" ref="BW559">BW551*INDEX(('Detailed Assumptions'!$D$59:$J$79,'Detailed Assumptions'!$L$59:$R$79,'Detailed Assumptions'!$T$59:$Z$79,'Detailed Assumptions'!$AB$59:$AH$79),$C559,$I$2,$C$506)</f>
        <v>-16462.760469481578</v>
      </c>
      <c r="BX559" s="542" cm="1">
        <f t="array" ref="BX559">BX551*INDEX(('Detailed Assumptions'!$D$59:$J$79,'Detailed Assumptions'!$L$59:$R$79,'Detailed Assumptions'!$T$59:$Z$79,'Detailed Assumptions'!$AB$59:$AH$79),$C559,$I$2,$C$506)</f>
        <v>-16462.760469481578</v>
      </c>
      <c r="BY559" s="542" cm="1">
        <f t="array" ref="BY559">BY551*INDEX(('Detailed Assumptions'!$D$59:$J$79,'Detailed Assumptions'!$L$59:$R$79,'Detailed Assumptions'!$T$59:$Z$79,'Detailed Assumptions'!$AB$59:$AH$79),$C559,$I$2,$C$506)</f>
        <v>-16462.760469481578</v>
      </c>
      <c r="BZ559" s="537"/>
      <c r="CA559" s="537"/>
      <c r="CB559" s="537"/>
    </row>
    <row r="560" spans="1:80" x14ac:dyDescent="0.3">
      <c r="A560" s="648"/>
      <c r="B560" s="648"/>
      <c r="C560" s="648" cm="1">
        <f t="array" ref="C560">SUMPRODUCT((Index_Tab!$D$36:$D$45=$B560)*(Index_Tab!$E$35:$F$35=$B$3)*Index_Tab!$E$36:$F$45)</f>
        <v>0</v>
      </c>
      <c r="D560" s="648"/>
      <c r="E560" s="2" t="s">
        <v>184</v>
      </c>
      <c r="F560" s="567"/>
      <c r="G560" s="567"/>
      <c r="H560" s="537"/>
      <c r="I560" s="528">
        <v>0</v>
      </c>
      <c r="J560" s="528">
        <v>0</v>
      </c>
      <c r="K560" s="528">
        <v>0</v>
      </c>
      <c r="L560" s="528">
        <v>0</v>
      </c>
      <c r="M560" s="528">
        <v>0</v>
      </c>
      <c r="N560" s="528">
        <v>0</v>
      </c>
      <c r="O560" s="544"/>
      <c r="P560" s="564">
        <f>IFERROR(((N560/I560)^(1/5))-1,0)</f>
        <v>0</v>
      </c>
      <c r="Q560" s="537"/>
      <c r="R560" s="528">
        <v>0</v>
      </c>
      <c r="S560" s="528">
        <v>0</v>
      </c>
      <c r="T560" s="528">
        <v>0</v>
      </c>
      <c r="U560" s="528">
        <v>0</v>
      </c>
      <c r="V560" s="528">
        <v>0</v>
      </c>
      <c r="W560" s="528">
        <v>0</v>
      </c>
      <c r="X560" s="528">
        <v>0</v>
      </c>
      <c r="Y560" s="528">
        <v>0</v>
      </c>
      <c r="Z560" s="528">
        <v>0</v>
      </c>
      <c r="AA560" s="528">
        <v>0</v>
      </c>
      <c r="AB560" s="528">
        <v>0</v>
      </c>
      <c r="AC560" s="528">
        <v>0</v>
      </c>
      <c r="AD560" s="528">
        <v>0</v>
      </c>
      <c r="AE560" s="528">
        <v>0</v>
      </c>
      <c r="AF560" s="528">
        <v>0</v>
      </c>
      <c r="AG560" s="528">
        <v>0</v>
      </c>
      <c r="AH560" s="528">
        <v>0</v>
      </c>
      <c r="AI560" s="528">
        <v>0</v>
      </c>
      <c r="AJ560" s="528">
        <v>0</v>
      </c>
      <c r="AK560" s="528">
        <v>0</v>
      </c>
      <c r="AL560" s="528">
        <v>0</v>
      </c>
      <c r="AM560" s="528">
        <v>0</v>
      </c>
      <c r="AN560" s="528">
        <v>0</v>
      </c>
      <c r="AO560" s="528">
        <v>0</v>
      </c>
      <c r="AP560" s="528">
        <v>0</v>
      </c>
      <c r="AQ560" s="528">
        <v>0</v>
      </c>
      <c r="AR560" s="528">
        <v>0</v>
      </c>
      <c r="AS560" s="528">
        <v>0</v>
      </c>
      <c r="AT560" s="528">
        <v>0</v>
      </c>
      <c r="AU560" s="528">
        <v>0</v>
      </c>
      <c r="AV560" s="528">
        <v>0</v>
      </c>
      <c r="AW560" s="528">
        <v>0</v>
      </c>
      <c r="AX560" s="528">
        <v>0</v>
      </c>
      <c r="AY560" s="528">
        <v>0</v>
      </c>
      <c r="AZ560" s="528">
        <v>0</v>
      </c>
      <c r="BA560" s="528">
        <v>0</v>
      </c>
      <c r="BB560" s="528">
        <v>0</v>
      </c>
      <c r="BC560" s="528">
        <v>0</v>
      </c>
      <c r="BD560" s="528">
        <v>0</v>
      </c>
      <c r="BE560" s="528">
        <v>0</v>
      </c>
      <c r="BF560" s="528">
        <v>0</v>
      </c>
      <c r="BG560" s="528">
        <v>0</v>
      </c>
      <c r="BH560" s="528">
        <v>0</v>
      </c>
      <c r="BI560" s="528">
        <v>0</v>
      </c>
      <c r="BJ560" s="528">
        <v>0</v>
      </c>
      <c r="BK560" s="528">
        <v>0</v>
      </c>
      <c r="BL560" s="528">
        <v>0</v>
      </c>
      <c r="BM560" s="528">
        <v>0</v>
      </c>
      <c r="BN560" s="528">
        <v>0</v>
      </c>
      <c r="BO560" s="528">
        <v>0</v>
      </c>
      <c r="BP560" s="528">
        <v>0</v>
      </c>
      <c r="BQ560" s="528">
        <v>0</v>
      </c>
      <c r="BR560" s="528">
        <v>0</v>
      </c>
      <c r="BS560" s="528">
        <v>0</v>
      </c>
      <c r="BT560" s="528">
        <v>0</v>
      </c>
      <c r="BU560" s="528">
        <v>0</v>
      </c>
      <c r="BV560" s="528">
        <v>0</v>
      </c>
      <c r="BW560" s="528">
        <v>0</v>
      </c>
      <c r="BX560" s="528">
        <v>0</v>
      </c>
      <c r="BY560" s="528">
        <v>0</v>
      </c>
      <c r="BZ560" s="537"/>
      <c r="CA560" s="537"/>
      <c r="CB560" s="537"/>
    </row>
    <row r="561" spans="1:77" x14ac:dyDescent="0.3">
      <c r="A561" s="648"/>
      <c r="B561" s="648"/>
      <c r="C561" s="648" cm="1">
        <f t="array" ref="C561">SUMPRODUCT((Index_Tab!$D$36:$D$45=$B561)*(Index_Tab!$E$35:$F$35=$B$3)*Index_Tab!$E$36:$F$45)</f>
        <v>0</v>
      </c>
      <c r="D561" s="648"/>
      <c r="E561" s="62" t="s">
        <v>293</v>
      </c>
      <c r="F561" s="579"/>
      <c r="G561" s="579"/>
      <c r="H561" s="537"/>
      <c r="I561" s="535">
        <f t="shared" ref="I561:N561" si="730">I555+SUM(I558:I560)</f>
        <v>8317126.8789045354</v>
      </c>
      <c r="J561" s="535">
        <f t="shared" si="730"/>
        <v>9285101.8071794361</v>
      </c>
      <c r="K561" s="535">
        <f t="shared" si="730"/>
        <v>9686759.9235374685</v>
      </c>
      <c r="L561" s="535">
        <f t="shared" si="730"/>
        <v>10085155.29091624</v>
      </c>
      <c r="M561" s="535">
        <f t="shared" si="730"/>
        <v>10463767.332750194</v>
      </c>
      <c r="N561" s="535">
        <f t="shared" si="730"/>
        <v>10843263.857509227</v>
      </c>
      <c r="O561" s="544"/>
      <c r="P561" s="568">
        <f>IFERROR(((N561/I561)^(1/5))-1,0)</f>
        <v>5.4477554517856186E-2</v>
      </c>
      <c r="Q561" s="537"/>
      <c r="R561" s="535">
        <f t="shared" ref="R561:AW561" si="731">R555+SUM(R558:R560)</f>
        <v>773758.48393161979</v>
      </c>
      <c r="S561" s="535">
        <f t="shared" si="731"/>
        <v>773758.48393161979</v>
      </c>
      <c r="T561" s="535">
        <f t="shared" si="731"/>
        <v>773758.48393161979</v>
      </c>
      <c r="U561" s="535">
        <f t="shared" si="731"/>
        <v>773758.48393161979</v>
      </c>
      <c r="V561" s="535">
        <f t="shared" si="731"/>
        <v>773758.48393161979</v>
      </c>
      <c r="W561" s="535">
        <f t="shared" si="731"/>
        <v>773758.48393161979</v>
      </c>
      <c r="X561" s="535">
        <f t="shared" si="731"/>
        <v>773758.48393161979</v>
      </c>
      <c r="Y561" s="535">
        <f t="shared" si="731"/>
        <v>773758.48393161979</v>
      </c>
      <c r="Z561" s="535">
        <f t="shared" si="731"/>
        <v>773758.48393161979</v>
      </c>
      <c r="AA561" s="535">
        <f t="shared" si="731"/>
        <v>773758.48393161979</v>
      </c>
      <c r="AB561" s="535">
        <f t="shared" si="731"/>
        <v>773758.48393161979</v>
      </c>
      <c r="AC561" s="535">
        <f t="shared" si="731"/>
        <v>773758.48393161979</v>
      </c>
      <c r="AD561" s="535">
        <f t="shared" si="731"/>
        <v>807229.99362812249</v>
      </c>
      <c r="AE561" s="535">
        <f t="shared" si="731"/>
        <v>807229.99362812249</v>
      </c>
      <c r="AF561" s="535">
        <f t="shared" si="731"/>
        <v>807229.99362812249</v>
      </c>
      <c r="AG561" s="535">
        <f t="shared" si="731"/>
        <v>807229.99362812249</v>
      </c>
      <c r="AH561" s="535">
        <f t="shared" si="731"/>
        <v>807229.99362812249</v>
      </c>
      <c r="AI561" s="535">
        <f t="shared" si="731"/>
        <v>807229.99362812249</v>
      </c>
      <c r="AJ561" s="535">
        <f t="shared" si="731"/>
        <v>807229.99362812249</v>
      </c>
      <c r="AK561" s="535">
        <f t="shared" si="731"/>
        <v>807229.99362812249</v>
      </c>
      <c r="AL561" s="535">
        <f t="shared" si="731"/>
        <v>807229.99362812249</v>
      </c>
      <c r="AM561" s="535">
        <f t="shared" si="731"/>
        <v>807229.99362812249</v>
      </c>
      <c r="AN561" s="535">
        <f t="shared" si="731"/>
        <v>807229.99362812249</v>
      </c>
      <c r="AO561" s="535">
        <f t="shared" si="731"/>
        <v>807229.99362812249</v>
      </c>
      <c r="AP561" s="535">
        <f t="shared" si="731"/>
        <v>840429.60757635324</v>
      </c>
      <c r="AQ561" s="535">
        <f t="shared" si="731"/>
        <v>840429.60757635324</v>
      </c>
      <c r="AR561" s="535">
        <f t="shared" si="731"/>
        <v>840429.60757635324</v>
      </c>
      <c r="AS561" s="535">
        <f t="shared" si="731"/>
        <v>840429.60757635324</v>
      </c>
      <c r="AT561" s="535">
        <f t="shared" si="731"/>
        <v>840429.60757635324</v>
      </c>
      <c r="AU561" s="535">
        <f t="shared" si="731"/>
        <v>840429.60757635324</v>
      </c>
      <c r="AV561" s="535">
        <f t="shared" si="731"/>
        <v>840429.60757635324</v>
      </c>
      <c r="AW561" s="535">
        <f t="shared" si="731"/>
        <v>840429.60757635324</v>
      </c>
      <c r="AX561" s="535">
        <f t="shared" ref="AX561:BY561" si="732">AX555+SUM(AX558:AX560)</f>
        <v>840429.60757635324</v>
      </c>
      <c r="AY561" s="535">
        <f t="shared" si="732"/>
        <v>840429.60757635324</v>
      </c>
      <c r="AZ561" s="535">
        <f t="shared" si="732"/>
        <v>840429.60757635324</v>
      </c>
      <c r="BA561" s="535">
        <f t="shared" si="732"/>
        <v>840429.60757635324</v>
      </c>
      <c r="BB561" s="535">
        <f t="shared" si="732"/>
        <v>871980.61106251623</v>
      </c>
      <c r="BC561" s="535">
        <f t="shared" si="732"/>
        <v>871980.61106251623</v>
      </c>
      <c r="BD561" s="535">
        <f t="shared" si="732"/>
        <v>871980.61106251623</v>
      </c>
      <c r="BE561" s="535">
        <f t="shared" si="732"/>
        <v>871980.61106251623</v>
      </c>
      <c r="BF561" s="535">
        <f t="shared" si="732"/>
        <v>871980.61106251623</v>
      </c>
      <c r="BG561" s="535">
        <f t="shared" si="732"/>
        <v>871980.61106251623</v>
      </c>
      <c r="BH561" s="535">
        <f t="shared" si="732"/>
        <v>871980.61106251623</v>
      </c>
      <c r="BI561" s="535">
        <f t="shared" si="732"/>
        <v>871980.61106251623</v>
      </c>
      <c r="BJ561" s="535">
        <f t="shared" si="732"/>
        <v>871980.61106251623</v>
      </c>
      <c r="BK561" s="535">
        <f t="shared" si="732"/>
        <v>871980.61106251623</v>
      </c>
      <c r="BL561" s="535">
        <f t="shared" si="732"/>
        <v>871980.61106251623</v>
      </c>
      <c r="BM561" s="535">
        <f t="shared" si="732"/>
        <v>871980.61106251623</v>
      </c>
      <c r="BN561" s="535">
        <f t="shared" si="732"/>
        <v>903605.32145910244</v>
      </c>
      <c r="BO561" s="535">
        <f t="shared" si="732"/>
        <v>903605.32145910244</v>
      </c>
      <c r="BP561" s="535">
        <f t="shared" si="732"/>
        <v>903605.32145910244</v>
      </c>
      <c r="BQ561" s="535">
        <f t="shared" si="732"/>
        <v>903605.32145910244</v>
      </c>
      <c r="BR561" s="535">
        <f t="shared" si="732"/>
        <v>903605.32145910244</v>
      </c>
      <c r="BS561" s="535">
        <f t="shared" si="732"/>
        <v>903605.32145910244</v>
      </c>
      <c r="BT561" s="535">
        <f t="shared" si="732"/>
        <v>903605.32145910244</v>
      </c>
      <c r="BU561" s="535">
        <f t="shared" si="732"/>
        <v>903605.32145910244</v>
      </c>
      <c r="BV561" s="535">
        <f t="shared" si="732"/>
        <v>903605.32145910244</v>
      </c>
      <c r="BW561" s="535">
        <f t="shared" si="732"/>
        <v>903605.32145910244</v>
      </c>
      <c r="BX561" s="535">
        <f t="shared" si="732"/>
        <v>903605.32145910244</v>
      </c>
      <c r="BY561" s="535">
        <f t="shared" si="732"/>
        <v>903605.32145910244</v>
      </c>
    </row>
    <row r="562" spans="1:77" x14ac:dyDescent="0.3">
      <c r="A562" s="648"/>
      <c r="B562" s="648"/>
      <c r="C562" s="648" cm="1">
        <f t="array" ref="C562">SUMPRODUCT((Index_Tab!$D$36:$D$45=$B562)*(Index_Tab!$E$35:$F$35=$B$3)*Index_Tab!$E$36:$F$45)</f>
        <v>0</v>
      </c>
      <c r="D562" s="648"/>
      <c r="E562" s="2" t="s">
        <v>407</v>
      </c>
      <c r="F562" s="567"/>
      <c r="G562" s="567"/>
      <c r="H562" s="537"/>
      <c r="I562" s="531">
        <f t="shared" ref="I562:N562" si="733">I561/I551</f>
        <v>0.75835826780544946</v>
      </c>
      <c r="J562" s="531">
        <f t="shared" si="733"/>
        <v>0.81305688088532135</v>
      </c>
      <c r="K562" s="531">
        <f t="shared" si="733"/>
        <v>0.81600630337170288</v>
      </c>
      <c r="L562" s="531">
        <f t="shared" si="733"/>
        <v>0.8187546938256669</v>
      </c>
      <c r="M562" s="531">
        <f t="shared" si="733"/>
        <v>0.82112581138243423</v>
      </c>
      <c r="N562" s="531">
        <f t="shared" si="733"/>
        <v>0.82331756250799415</v>
      </c>
      <c r="O562" s="536"/>
      <c r="P562" s="564">
        <f>IFERROR(((N562/I562)^(1/5))-1,0)</f>
        <v>1.6573046828687765E-2</v>
      </c>
      <c r="Q562" s="537"/>
      <c r="R562" s="531">
        <f t="shared" ref="R562:AW562" si="734">R561/R551</f>
        <v>0.81305688088532135</v>
      </c>
      <c r="S562" s="531">
        <f t="shared" si="734"/>
        <v>0.81305688088532135</v>
      </c>
      <c r="T562" s="531">
        <f t="shared" si="734"/>
        <v>0.81305688088532135</v>
      </c>
      <c r="U562" s="531">
        <f t="shared" si="734"/>
        <v>0.81305688088532135</v>
      </c>
      <c r="V562" s="531">
        <f t="shared" si="734"/>
        <v>0.81305688088532135</v>
      </c>
      <c r="W562" s="531">
        <f t="shared" si="734"/>
        <v>0.81305688088532135</v>
      </c>
      <c r="X562" s="531">
        <f t="shared" si="734"/>
        <v>0.81305688088532135</v>
      </c>
      <c r="Y562" s="531">
        <f t="shared" si="734"/>
        <v>0.81305688088532135</v>
      </c>
      <c r="Z562" s="531">
        <f t="shared" si="734"/>
        <v>0.81305688088532135</v>
      </c>
      <c r="AA562" s="531">
        <f t="shared" si="734"/>
        <v>0.81305688088532135</v>
      </c>
      <c r="AB562" s="531">
        <f t="shared" si="734"/>
        <v>0.81305688088532135</v>
      </c>
      <c r="AC562" s="531">
        <f t="shared" si="734"/>
        <v>0.81305688088532135</v>
      </c>
      <c r="AD562" s="531">
        <f t="shared" si="734"/>
        <v>0.81600630337170299</v>
      </c>
      <c r="AE562" s="531">
        <f t="shared" si="734"/>
        <v>0.81600630337170299</v>
      </c>
      <c r="AF562" s="531">
        <f t="shared" si="734"/>
        <v>0.81600630337170299</v>
      </c>
      <c r="AG562" s="531">
        <f t="shared" si="734"/>
        <v>0.81600630337170299</v>
      </c>
      <c r="AH562" s="531">
        <f t="shared" si="734"/>
        <v>0.81600630337170299</v>
      </c>
      <c r="AI562" s="531">
        <f t="shared" si="734"/>
        <v>0.81600630337170299</v>
      </c>
      <c r="AJ562" s="531">
        <f t="shared" si="734"/>
        <v>0.81600630337170299</v>
      </c>
      <c r="AK562" s="531">
        <f t="shared" si="734"/>
        <v>0.81600630337170299</v>
      </c>
      <c r="AL562" s="531">
        <f t="shared" si="734"/>
        <v>0.81600630337170299</v>
      </c>
      <c r="AM562" s="531">
        <f t="shared" si="734"/>
        <v>0.81600630337170299</v>
      </c>
      <c r="AN562" s="531">
        <f t="shared" si="734"/>
        <v>0.81600630337170299</v>
      </c>
      <c r="AO562" s="531">
        <f t="shared" si="734"/>
        <v>0.81600630337170299</v>
      </c>
      <c r="AP562" s="531">
        <f t="shared" si="734"/>
        <v>0.8187546938256669</v>
      </c>
      <c r="AQ562" s="531">
        <f t="shared" si="734"/>
        <v>0.8187546938256669</v>
      </c>
      <c r="AR562" s="531">
        <f t="shared" si="734"/>
        <v>0.8187546938256669</v>
      </c>
      <c r="AS562" s="531">
        <f t="shared" si="734"/>
        <v>0.8187546938256669</v>
      </c>
      <c r="AT562" s="531">
        <f t="shared" si="734"/>
        <v>0.8187546938256669</v>
      </c>
      <c r="AU562" s="531">
        <f t="shared" si="734"/>
        <v>0.8187546938256669</v>
      </c>
      <c r="AV562" s="531">
        <f t="shared" si="734"/>
        <v>0.8187546938256669</v>
      </c>
      <c r="AW562" s="531">
        <f t="shared" si="734"/>
        <v>0.8187546938256669</v>
      </c>
      <c r="AX562" s="531">
        <f t="shared" ref="AX562:BY562" si="735">AX561/AX551</f>
        <v>0.8187546938256669</v>
      </c>
      <c r="AY562" s="531">
        <f t="shared" si="735"/>
        <v>0.8187546938256669</v>
      </c>
      <c r="AZ562" s="531">
        <f t="shared" si="735"/>
        <v>0.8187546938256669</v>
      </c>
      <c r="BA562" s="531">
        <f t="shared" si="735"/>
        <v>0.8187546938256669</v>
      </c>
      <c r="BB562" s="531">
        <f t="shared" si="735"/>
        <v>0.82112581138243412</v>
      </c>
      <c r="BC562" s="531">
        <f t="shared" si="735"/>
        <v>0.82112581138243412</v>
      </c>
      <c r="BD562" s="531">
        <f t="shared" si="735"/>
        <v>0.82112581138243412</v>
      </c>
      <c r="BE562" s="531">
        <f t="shared" si="735"/>
        <v>0.82112581138243412</v>
      </c>
      <c r="BF562" s="531">
        <f t="shared" si="735"/>
        <v>0.82112581138243412</v>
      </c>
      <c r="BG562" s="531">
        <f t="shared" si="735"/>
        <v>0.82112581138243412</v>
      </c>
      <c r="BH562" s="531">
        <f t="shared" si="735"/>
        <v>0.82112581138243412</v>
      </c>
      <c r="BI562" s="531">
        <f t="shared" si="735"/>
        <v>0.82112581138243412</v>
      </c>
      <c r="BJ562" s="531">
        <f t="shared" si="735"/>
        <v>0.82112581138243412</v>
      </c>
      <c r="BK562" s="531">
        <f t="shared" si="735"/>
        <v>0.82112581138243412</v>
      </c>
      <c r="BL562" s="531">
        <f t="shared" si="735"/>
        <v>0.82112581138243412</v>
      </c>
      <c r="BM562" s="531">
        <f t="shared" si="735"/>
        <v>0.82112581138243412</v>
      </c>
      <c r="BN562" s="531">
        <f t="shared" si="735"/>
        <v>0.82331756250799426</v>
      </c>
      <c r="BO562" s="531">
        <f t="shared" si="735"/>
        <v>0.82331756250799426</v>
      </c>
      <c r="BP562" s="531">
        <f t="shared" si="735"/>
        <v>0.82331756250799426</v>
      </c>
      <c r="BQ562" s="531">
        <f t="shared" si="735"/>
        <v>0.82331756250799426</v>
      </c>
      <c r="BR562" s="531">
        <f t="shared" si="735"/>
        <v>0.82331756250799426</v>
      </c>
      <c r="BS562" s="531">
        <f t="shared" si="735"/>
        <v>0.82331756250799426</v>
      </c>
      <c r="BT562" s="531">
        <f t="shared" si="735"/>
        <v>0.82331756250799426</v>
      </c>
      <c r="BU562" s="531">
        <f t="shared" si="735"/>
        <v>0.82331756250799426</v>
      </c>
      <c r="BV562" s="531">
        <f t="shared" si="735"/>
        <v>0.82331756250799426</v>
      </c>
      <c r="BW562" s="531">
        <f t="shared" si="735"/>
        <v>0.82331756250799426</v>
      </c>
      <c r="BX562" s="531">
        <f t="shared" si="735"/>
        <v>0.82331756250799426</v>
      </c>
      <c r="BY562" s="531">
        <f t="shared" si="735"/>
        <v>0.82331756250799426</v>
      </c>
    </row>
    <row r="563" spans="1:77" x14ac:dyDescent="0.3">
      <c r="A563" s="648"/>
      <c r="B563" s="648"/>
      <c r="C563" s="648" cm="1">
        <f t="array" ref="C563">SUMPRODUCT((Index_Tab!$D$36:$D$45=$B563)*(Index_Tab!$E$35:$F$35=$B$3)*Index_Tab!$E$36:$F$45)</f>
        <v>0</v>
      </c>
      <c r="D563" s="648"/>
      <c r="E563" s="525"/>
      <c r="F563" s="567"/>
      <c r="G563" s="567"/>
      <c r="H563" s="537"/>
      <c r="I563" s="544"/>
      <c r="J563" s="544"/>
      <c r="K563" s="544"/>
      <c r="L563" s="544"/>
      <c r="M563" s="544"/>
      <c r="N563" s="544"/>
      <c r="O563" s="529"/>
      <c r="P563" s="564"/>
      <c r="Q563" s="537"/>
      <c r="R563" s="544"/>
      <c r="S563" s="544"/>
      <c r="T563" s="544"/>
      <c r="U563" s="544"/>
      <c r="V563" s="544"/>
      <c r="W563" s="544"/>
      <c r="X563" s="544"/>
      <c r="Y563" s="544"/>
      <c r="Z563" s="544"/>
      <c r="AA563" s="544"/>
      <c r="AB563" s="544"/>
      <c r="AC563" s="544"/>
      <c r="AD563" s="544"/>
      <c r="AE563" s="544"/>
      <c r="AF563" s="544"/>
      <c r="AG563" s="544"/>
      <c r="AH563" s="544"/>
      <c r="AI563" s="544"/>
      <c r="AJ563" s="544"/>
      <c r="AK563" s="544"/>
      <c r="AL563" s="544"/>
      <c r="AM563" s="544"/>
      <c r="AN563" s="544"/>
      <c r="AO563" s="544"/>
      <c r="AP563" s="544"/>
      <c r="AQ563" s="544"/>
      <c r="AR563" s="544"/>
      <c r="AS563" s="544"/>
      <c r="AT563" s="544"/>
      <c r="AU563" s="544"/>
      <c r="AV563" s="544"/>
      <c r="AW563" s="544"/>
      <c r="AX563" s="544"/>
      <c r="AY563" s="544"/>
      <c r="AZ563" s="544"/>
      <c r="BA563" s="544"/>
      <c r="BB563" s="544"/>
      <c r="BC563" s="544"/>
      <c r="BD563" s="544"/>
      <c r="BE563" s="544"/>
      <c r="BF563" s="544"/>
      <c r="BG563" s="544"/>
      <c r="BH563" s="544"/>
      <c r="BI563" s="544"/>
      <c r="BJ563" s="544"/>
      <c r="BK563" s="544"/>
      <c r="BL563" s="544"/>
      <c r="BM563" s="544"/>
      <c r="BN563" s="544"/>
      <c r="BO563" s="544"/>
      <c r="BP563" s="544"/>
      <c r="BQ563" s="544"/>
      <c r="BR563" s="544"/>
      <c r="BS563" s="544"/>
      <c r="BT563" s="544"/>
      <c r="BU563" s="544"/>
      <c r="BV563" s="544"/>
      <c r="BW563" s="544"/>
      <c r="BX563" s="544"/>
      <c r="BY563" s="544"/>
    </row>
    <row r="564" spans="1:77" x14ac:dyDescent="0.3">
      <c r="A564" s="648"/>
      <c r="B564" s="648"/>
      <c r="C564" s="648" cm="1">
        <f t="array" ref="C564">SUMPRODUCT((Index_Tab!$D$36:$D$45=$B564)*(Index_Tab!$E$35:$F$35=$B$3)*Index_Tab!$E$36:$F$45)</f>
        <v>0</v>
      </c>
      <c r="D564" s="648"/>
      <c r="E564" s="525" t="s">
        <v>70</v>
      </c>
      <c r="F564" s="567"/>
      <c r="G564" s="567"/>
      <c r="H564" s="537"/>
      <c r="I564" s="544">
        <v>-472823</v>
      </c>
      <c r="J564" s="528">
        <v>0</v>
      </c>
      <c r="K564" s="528">
        <v>0</v>
      </c>
      <c r="L564" s="528">
        <v>0</v>
      </c>
      <c r="M564" s="528">
        <v>0</v>
      </c>
      <c r="N564" s="528">
        <v>0</v>
      </c>
      <c r="O564" s="529"/>
      <c r="P564" s="564">
        <f>IFERROR(((N564/I564)^(1/5))-1,0)</f>
        <v>-1</v>
      </c>
      <c r="Q564" s="537"/>
      <c r="R564" s="528">
        <v>0</v>
      </c>
      <c r="S564" s="528">
        <v>0</v>
      </c>
      <c r="T564" s="528">
        <v>0</v>
      </c>
      <c r="U564" s="528">
        <v>0</v>
      </c>
      <c r="V564" s="528">
        <v>0</v>
      </c>
      <c r="W564" s="528">
        <v>0</v>
      </c>
      <c r="X564" s="528">
        <v>0</v>
      </c>
      <c r="Y564" s="528">
        <v>0</v>
      </c>
      <c r="Z564" s="528">
        <v>0</v>
      </c>
      <c r="AA564" s="528">
        <v>0</v>
      </c>
      <c r="AB564" s="528">
        <v>0</v>
      </c>
      <c r="AC564" s="528">
        <v>0</v>
      </c>
      <c r="AD564" s="528">
        <v>0</v>
      </c>
      <c r="AE564" s="528">
        <v>0</v>
      </c>
      <c r="AF564" s="528">
        <v>0</v>
      </c>
      <c r="AG564" s="528">
        <v>0</v>
      </c>
      <c r="AH564" s="528">
        <v>0</v>
      </c>
      <c r="AI564" s="528">
        <v>0</v>
      </c>
      <c r="AJ564" s="528">
        <v>0</v>
      </c>
      <c r="AK564" s="528">
        <v>0</v>
      </c>
      <c r="AL564" s="528">
        <v>0</v>
      </c>
      <c r="AM564" s="528">
        <v>0</v>
      </c>
      <c r="AN564" s="528">
        <v>0</v>
      </c>
      <c r="AO564" s="528">
        <v>0</v>
      </c>
      <c r="AP564" s="528">
        <v>0</v>
      </c>
      <c r="AQ564" s="528">
        <v>0</v>
      </c>
      <c r="AR564" s="528">
        <v>0</v>
      </c>
      <c r="AS564" s="528">
        <v>0</v>
      </c>
      <c r="AT564" s="528">
        <v>0</v>
      </c>
      <c r="AU564" s="528">
        <v>0</v>
      </c>
      <c r="AV564" s="528">
        <v>0</v>
      </c>
      <c r="AW564" s="528">
        <v>0</v>
      </c>
      <c r="AX564" s="528">
        <v>0</v>
      </c>
      <c r="AY564" s="528">
        <v>0</v>
      </c>
      <c r="AZ564" s="528">
        <v>0</v>
      </c>
      <c r="BA564" s="528">
        <v>0</v>
      </c>
      <c r="BB564" s="528">
        <v>0</v>
      </c>
      <c r="BC564" s="528">
        <v>0</v>
      </c>
      <c r="BD564" s="528">
        <v>0</v>
      </c>
      <c r="BE564" s="528">
        <v>0</v>
      </c>
      <c r="BF564" s="528">
        <v>0</v>
      </c>
      <c r="BG564" s="528">
        <v>0</v>
      </c>
      <c r="BH564" s="528">
        <v>0</v>
      </c>
      <c r="BI564" s="528">
        <v>0</v>
      </c>
      <c r="BJ564" s="528">
        <v>0</v>
      </c>
      <c r="BK564" s="528">
        <v>0</v>
      </c>
      <c r="BL564" s="528">
        <v>0</v>
      </c>
      <c r="BM564" s="528">
        <v>0</v>
      </c>
      <c r="BN564" s="528">
        <v>0</v>
      </c>
      <c r="BO564" s="528">
        <v>0</v>
      </c>
      <c r="BP564" s="528">
        <v>0</v>
      </c>
      <c r="BQ564" s="528">
        <v>0</v>
      </c>
      <c r="BR564" s="528">
        <v>0</v>
      </c>
      <c r="BS564" s="528">
        <v>0</v>
      </c>
      <c r="BT564" s="528">
        <v>0</v>
      </c>
      <c r="BU564" s="528">
        <v>0</v>
      </c>
      <c r="BV564" s="528">
        <v>0</v>
      </c>
      <c r="BW564" s="528">
        <v>0</v>
      </c>
      <c r="BX564" s="528">
        <v>0</v>
      </c>
      <c r="BY564" s="528">
        <v>0</v>
      </c>
    </row>
    <row r="565" spans="1:77" x14ac:dyDescent="0.3">
      <c r="A565" s="648"/>
      <c r="B565" s="648"/>
      <c r="C565" s="648" cm="1">
        <f t="array" ref="C565">SUMPRODUCT((Index_Tab!$D$36:$D$45=$B565)*(Index_Tab!$E$35:$F$35=$B$3)*Index_Tab!$E$36:$F$45)</f>
        <v>0</v>
      </c>
      <c r="D565" s="648"/>
      <c r="E565" s="525" t="s">
        <v>185</v>
      </c>
      <c r="F565" s="567"/>
      <c r="G565" s="567"/>
      <c r="H565" s="537"/>
      <c r="I565" s="528">
        <v>0</v>
      </c>
      <c r="J565" s="528">
        <v>0</v>
      </c>
      <c r="K565" s="528">
        <v>0</v>
      </c>
      <c r="L565" s="528">
        <v>0</v>
      </c>
      <c r="M565" s="528">
        <v>0</v>
      </c>
      <c r="N565" s="528">
        <v>0</v>
      </c>
      <c r="O565" s="544"/>
      <c r="P565" s="564">
        <f>IFERROR(((N565/I565)^(1/5))-1,0)</f>
        <v>0</v>
      </c>
      <c r="Q565" s="537"/>
      <c r="R565" s="528">
        <v>0</v>
      </c>
      <c r="S565" s="528">
        <v>0</v>
      </c>
      <c r="T565" s="528">
        <v>0</v>
      </c>
      <c r="U565" s="528">
        <v>0</v>
      </c>
      <c r="V565" s="528">
        <v>0</v>
      </c>
      <c r="W565" s="528">
        <v>0</v>
      </c>
      <c r="X565" s="528">
        <v>0</v>
      </c>
      <c r="Y565" s="528">
        <v>0</v>
      </c>
      <c r="Z565" s="528">
        <v>0</v>
      </c>
      <c r="AA565" s="528">
        <v>0</v>
      </c>
      <c r="AB565" s="528">
        <v>0</v>
      </c>
      <c r="AC565" s="528">
        <v>0</v>
      </c>
      <c r="AD565" s="528">
        <v>0</v>
      </c>
      <c r="AE565" s="528">
        <v>0</v>
      </c>
      <c r="AF565" s="528">
        <v>0</v>
      </c>
      <c r="AG565" s="528">
        <v>0</v>
      </c>
      <c r="AH565" s="528">
        <v>0</v>
      </c>
      <c r="AI565" s="528">
        <v>0</v>
      </c>
      <c r="AJ565" s="528">
        <v>0</v>
      </c>
      <c r="AK565" s="528">
        <v>0</v>
      </c>
      <c r="AL565" s="528">
        <v>0</v>
      </c>
      <c r="AM565" s="528">
        <v>0</v>
      </c>
      <c r="AN565" s="528">
        <v>0</v>
      </c>
      <c r="AO565" s="528">
        <v>0</v>
      </c>
      <c r="AP565" s="528">
        <v>0</v>
      </c>
      <c r="AQ565" s="528">
        <v>0</v>
      </c>
      <c r="AR565" s="528">
        <v>0</v>
      </c>
      <c r="AS565" s="528">
        <v>0</v>
      </c>
      <c r="AT565" s="528">
        <v>0</v>
      </c>
      <c r="AU565" s="528">
        <v>0</v>
      </c>
      <c r="AV565" s="528">
        <v>0</v>
      </c>
      <c r="AW565" s="528">
        <v>0</v>
      </c>
      <c r="AX565" s="528">
        <v>0</v>
      </c>
      <c r="AY565" s="528">
        <v>0</v>
      </c>
      <c r="AZ565" s="528">
        <v>0</v>
      </c>
      <c r="BA565" s="528">
        <v>0</v>
      </c>
      <c r="BB565" s="528">
        <v>0</v>
      </c>
      <c r="BC565" s="528">
        <v>0</v>
      </c>
      <c r="BD565" s="528">
        <v>0</v>
      </c>
      <c r="BE565" s="528">
        <v>0</v>
      </c>
      <c r="BF565" s="528">
        <v>0</v>
      </c>
      <c r="BG565" s="528">
        <v>0</v>
      </c>
      <c r="BH565" s="528">
        <v>0</v>
      </c>
      <c r="BI565" s="528">
        <v>0</v>
      </c>
      <c r="BJ565" s="528">
        <v>0</v>
      </c>
      <c r="BK565" s="528">
        <v>0</v>
      </c>
      <c r="BL565" s="528">
        <v>0</v>
      </c>
      <c r="BM565" s="528">
        <v>0</v>
      </c>
      <c r="BN565" s="528">
        <v>0</v>
      </c>
      <c r="BO565" s="528">
        <v>0</v>
      </c>
      <c r="BP565" s="528">
        <v>0</v>
      </c>
      <c r="BQ565" s="528">
        <v>0</v>
      </c>
      <c r="BR565" s="528">
        <v>0</v>
      </c>
      <c r="BS565" s="528">
        <v>0</v>
      </c>
      <c r="BT565" s="528">
        <v>0</v>
      </c>
      <c r="BU565" s="528">
        <v>0</v>
      </c>
      <c r="BV565" s="528">
        <v>0</v>
      </c>
      <c r="BW565" s="528">
        <v>0</v>
      </c>
      <c r="BX565" s="528">
        <v>0</v>
      </c>
      <c r="BY565" s="528">
        <v>0</v>
      </c>
    </row>
    <row r="566" spans="1:77" x14ac:dyDescent="0.3">
      <c r="A566" s="648"/>
      <c r="B566" s="648"/>
      <c r="C566" s="648" cm="1">
        <f t="array" ref="C566">SUMPRODUCT((Index_Tab!$D$36:$D$45=$B566)*(Index_Tab!$E$35:$F$35=$B$3)*Index_Tab!$E$36:$F$45)</f>
        <v>0</v>
      </c>
      <c r="D566" s="648"/>
      <c r="E566" s="525" t="s">
        <v>370</v>
      </c>
      <c r="F566" s="567"/>
      <c r="G566" s="567"/>
      <c r="H566" s="537"/>
      <c r="I566" s="580">
        <v>0</v>
      </c>
      <c r="J566" s="528">
        <v>0</v>
      </c>
      <c r="K566" s="528">
        <v>0</v>
      </c>
      <c r="L566" s="528">
        <v>0</v>
      </c>
      <c r="M566" s="528">
        <v>0</v>
      </c>
      <c r="N566" s="528">
        <v>0</v>
      </c>
      <c r="O566" s="544"/>
      <c r="P566" s="564">
        <f>IFERROR(((N566/I566)^(1/5))-1,0)</f>
        <v>0</v>
      </c>
      <c r="Q566" s="537"/>
      <c r="R566" s="528">
        <v>0</v>
      </c>
      <c r="S566" s="528">
        <v>0</v>
      </c>
      <c r="T566" s="528">
        <v>0</v>
      </c>
      <c r="U566" s="528">
        <v>0</v>
      </c>
      <c r="V566" s="528">
        <v>0</v>
      </c>
      <c r="W566" s="528">
        <v>0</v>
      </c>
      <c r="X566" s="528">
        <v>0</v>
      </c>
      <c r="Y566" s="528">
        <v>0</v>
      </c>
      <c r="Z566" s="528">
        <v>0</v>
      </c>
      <c r="AA566" s="528">
        <v>0</v>
      </c>
      <c r="AB566" s="528">
        <v>0</v>
      </c>
      <c r="AC566" s="528">
        <v>0</v>
      </c>
      <c r="AD566" s="528">
        <v>0</v>
      </c>
      <c r="AE566" s="528">
        <v>0</v>
      </c>
      <c r="AF566" s="528">
        <v>0</v>
      </c>
      <c r="AG566" s="528">
        <v>0</v>
      </c>
      <c r="AH566" s="528">
        <v>0</v>
      </c>
      <c r="AI566" s="528">
        <v>0</v>
      </c>
      <c r="AJ566" s="528">
        <v>0</v>
      </c>
      <c r="AK566" s="528">
        <v>0</v>
      </c>
      <c r="AL566" s="528">
        <v>0</v>
      </c>
      <c r="AM566" s="528">
        <v>0</v>
      </c>
      <c r="AN566" s="528">
        <v>0</v>
      </c>
      <c r="AO566" s="528">
        <v>0</v>
      </c>
      <c r="AP566" s="528">
        <v>0</v>
      </c>
      <c r="AQ566" s="528">
        <v>0</v>
      </c>
      <c r="AR566" s="528">
        <v>0</v>
      </c>
      <c r="AS566" s="528">
        <v>0</v>
      </c>
      <c r="AT566" s="528">
        <v>0</v>
      </c>
      <c r="AU566" s="528">
        <v>0</v>
      </c>
      <c r="AV566" s="528">
        <v>0</v>
      </c>
      <c r="AW566" s="528">
        <v>0</v>
      </c>
      <c r="AX566" s="528">
        <v>0</v>
      </c>
      <c r="AY566" s="528">
        <v>0</v>
      </c>
      <c r="AZ566" s="528">
        <v>0</v>
      </c>
      <c r="BA566" s="528">
        <v>0</v>
      </c>
      <c r="BB566" s="528">
        <v>0</v>
      </c>
      <c r="BC566" s="528">
        <v>0</v>
      </c>
      <c r="BD566" s="528">
        <v>0</v>
      </c>
      <c r="BE566" s="528">
        <v>0</v>
      </c>
      <c r="BF566" s="528">
        <v>0</v>
      </c>
      <c r="BG566" s="528">
        <v>0</v>
      </c>
      <c r="BH566" s="528">
        <v>0</v>
      </c>
      <c r="BI566" s="528">
        <v>0</v>
      </c>
      <c r="BJ566" s="528">
        <v>0</v>
      </c>
      <c r="BK566" s="528">
        <v>0</v>
      </c>
      <c r="BL566" s="528">
        <v>0</v>
      </c>
      <c r="BM566" s="528">
        <v>0</v>
      </c>
      <c r="BN566" s="528">
        <v>0</v>
      </c>
      <c r="BO566" s="528">
        <v>0</v>
      </c>
      <c r="BP566" s="528">
        <v>0</v>
      </c>
      <c r="BQ566" s="528">
        <v>0</v>
      </c>
      <c r="BR566" s="528">
        <v>0</v>
      </c>
      <c r="BS566" s="528">
        <v>0</v>
      </c>
      <c r="BT566" s="528">
        <v>0</v>
      </c>
      <c r="BU566" s="528">
        <v>0</v>
      </c>
      <c r="BV566" s="528">
        <v>0</v>
      </c>
      <c r="BW566" s="528">
        <v>0</v>
      </c>
      <c r="BX566" s="528">
        <v>0</v>
      </c>
      <c r="BY566" s="528">
        <v>0</v>
      </c>
    </row>
    <row r="567" spans="1:77" x14ac:dyDescent="0.3">
      <c r="A567" s="648"/>
      <c r="B567" s="648"/>
      <c r="C567" s="648" cm="1">
        <f t="array" ref="C567">SUMPRODUCT((Index_Tab!$D$36:$D$45=$B567)*(Index_Tab!$E$35:$F$35=$B$3)*Index_Tab!$E$36:$F$45)</f>
        <v>0</v>
      </c>
      <c r="D567" s="648"/>
      <c r="E567" s="578" t="s">
        <v>71</v>
      </c>
      <c r="F567" s="579"/>
      <c r="G567" s="579"/>
      <c r="H567" s="537"/>
      <c r="I567" s="535">
        <f t="shared" ref="I567:N567" si="736">I561+SUM(I564:I566)</f>
        <v>7844303.8789045354</v>
      </c>
      <c r="J567" s="535">
        <f t="shared" si="736"/>
        <v>9285101.8071794361</v>
      </c>
      <c r="K567" s="535">
        <f t="shared" si="736"/>
        <v>9686759.9235374685</v>
      </c>
      <c r="L567" s="535">
        <f t="shared" si="736"/>
        <v>10085155.29091624</v>
      </c>
      <c r="M567" s="535">
        <f t="shared" si="736"/>
        <v>10463767.332750194</v>
      </c>
      <c r="N567" s="535">
        <f t="shared" si="736"/>
        <v>10843263.857509227</v>
      </c>
      <c r="O567" s="544"/>
      <c r="P567" s="568">
        <f>IFERROR(((N567/I567)^(1/5))-1,0)</f>
        <v>6.6893632887614185E-2</v>
      </c>
      <c r="Q567" s="537"/>
      <c r="R567" s="535">
        <f>R561+SUM(R564:R566)</f>
        <v>773758.48393161979</v>
      </c>
      <c r="S567" s="535">
        <f t="shared" ref="S567:BY567" si="737">S561+SUM(S564:S566)</f>
        <v>773758.48393161979</v>
      </c>
      <c r="T567" s="535">
        <f t="shared" si="737"/>
        <v>773758.48393161979</v>
      </c>
      <c r="U567" s="535">
        <f t="shared" si="737"/>
        <v>773758.48393161979</v>
      </c>
      <c r="V567" s="535">
        <f t="shared" si="737"/>
        <v>773758.48393161979</v>
      </c>
      <c r="W567" s="535">
        <f t="shared" si="737"/>
        <v>773758.48393161979</v>
      </c>
      <c r="X567" s="535">
        <f t="shared" si="737"/>
        <v>773758.48393161979</v>
      </c>
      <c r="Y567" s="535">
        <f t="shared" si="737"/>
        <v>773758.48393161979</v>
      </c>
      <c r="Z567" s="535">
        <f t="shared" si="737"/>
        <v>773758.48393161979</v>
      </c>
      <c r="AA567" s="535">
        <f t="shared" si="737"/>
        <v>773758.48393161979</v>
      </c>
      <c r="AB567" s="535">
        <f t="shared" si="737"/>
        <v>773758.48393161979</v>
      </c>
      <c r="AC567" s="535">
        <f t="shared" si="737"/>
        <v>773758.48393161979</v>
      </c>
      <c r="AD567" s="535">
        <f t="shared" si="737"/>
        <v>807229.99362812249</v>
      </c>
      <c r="AE567" s="535">
        <f t="shared" si="737"/>
        <v>807229.99362812249</v>
      </c>
      <c r="AF567" s="535">
        <f t="shared" si="737"/>
        <v>807229.99362812249</v>
      </c>
      <c r="AG567" s="535">
        <f t="shared" si="737"/>
        <v>807229.99362812249</v>
      </c>
      <c r="AH567" s="535">
        <f t="shared" si="737"/>
        <v>807229.99362812249</v>
      </c>
      <c r="AI567" s="535">
        <f t="shared" si="737"/>
        <v>807229.99362812249</v>
      </c>
      <c r="AJ567" s="535">
        <f t="shared" si="737"/>
        <v>807229.99362812249</v>
      </c>
      <c r="AK567" s="535">
        <f t="shared" si="737"/>
        <v>807229.99362812249</v>
      </c>
      <c r="AL567" s="535">
        <f t="shared" si="737"/>
        <v>807229.99362812249</v>
      </c>
      <c r="AM567" s="535">
        <f t="shared" si="737"/>
        <v>807229.99362812249</v>
      </c>
      <c r="AN567" s="535">
        <f t="shared" si="737"/>
        <v>807229.99362812249</v>
      </c>
      <c r="AO567" s="535">
        <f t="shared" si="737"/>
        <v>807229.99362812249</v>
      </c>
      <c r="AP567" s="535">
        <f t="shared" si="737"/>
        <v>840429.60757635324</v>
      </c>
      <c r="AQ567" s="535">
        <f t="shared" si="737"/>
        <v>840429.60757635324</v>
      </c>
      <c r="AR567" s="535">
        <f t="shared" si="737"/>
        <v>840429.60757635324</v>
      </c>
      <c r="AS567" s="535">
        <f t="shared" si="737"/>
        <v>840429.60757635324</v>
      </c>
      <c r="AT567" s="535">
        <f t="shared" si="737"/>
        <v>840429.60757635324</v>
      </c>
      <c r="AU567" s="535">
        <f t="shared" si="737"/>
        <v>840429.60757635324</v>
      </c>
      <c r="AV567" s="535">
        <f t="shared" si="737"/>
        <v>840429.60757635324</v>
      </c>
      <c r="AW567" s="535">
        <f t="shared" si="737"/>
        <v>840429.60757635324</v>
      </c>
      <c r="AX567" s="535">
        <f t="shared" si="737"/>
        <v>840429.60757635324</v>
      </c>
      <c r="AY567" s="535">
        <f t="shared" si="737"/>
        <v>840429.60757635324</v>
      </c>
      <c r="AZ567" s="535">
        <f t="shared" si="737"/>
        <v>840429.60757635324</v>
      </c>
      <c r="BA567" s="535">
        <f t="shared" si="737"/>
        <v>840429.60757635324</v>
      </c>
      <c r="BB567" s="535">
        <f t="shared" si="737"/>
        <v>871980.61106251623</v>
      </c>
      <c r="BC567" s="535">
        <f t="shared" si="737"/>
        <v>871980.61106251623</v>
      </c>
      <c r="BD567" s="535">
        <f t="shared" si="737"/>
        <v>871980.61106251623</v>
      </c>
      <c r="BE567" s="535">
        <f t="shared" si="737"/>
        <v>871980.61106251623</v>
      </c>
      <c r="BF567" s="535">
        <f t="shared" si="737"/>
        <v>871980.61106251623</v>
      </c>
      <c r="BG567" s="535">
        <f t="shared" si="737"/>
        <v>871980.61106251623</v>
      </c>
      <c r="BH567" s="535">
        <f t="shared" si="737"/>
        <v>871980.61106251623</v>
      </c>
      <c r="BI567" s="535">
        <f t="shared" si="737"/>
        <v>871980.61106251623</v>
      </c>
      <c r="BJ567" s="535">
        <f t="shared" si="737"/>
        <v>871980.61106251623</v>
      </c>
      <c r="BK567" s="535">
        <f t="shared" si="737"/>
        <v>871980.61106251623</v>
      </c>
      <c r="BL567" s="535">
        <f t="shared" si="737"/>
        <v>871980.61106251623</v>
      </c>
      <c r="BM567" s="535">
        <f t="shared" si="737"/>
        <v>871980.61106251623</v>
      </c>
      <c r="BN567" s="535">
        <f t="shared" si="737"/>
        <v>903605.32145910244</v>
      </c>
      <c r="BO567" s="535">
        <f t="shared" si="737"/>
        <v>903605.32145910244</v>
      </c>
      <c r="BP567" s="535">
        <f t="shared" si="737"/>
        <v>903605.32145910244</v>
      </c>
      <c r="BQ567" s="535">
        <f t="shared" si="737"/>
        <v>903605.32145910244</v>
      </c>
      <c r="BR567" s="535">
        <f t="shared" si="737"/>
        <v>903605.32145910244</v>
      </c>
      <c r="BS567" s="535">
        <f t="shared" si="737"/>
        <v>903605.32145910244</v>
      </c>
      <c r="BT567" s="535">
        <f t="shared" si="737"/>
        <v>903605.32145910244</v>
      </c>
      <c r="BU567" s="535">
        <f t="shared" si="737"/>
        <v>903605.32145910244</v>
      </c>
      <c r="BV567" s="535">
        <f t="shared" si="737"/>
        <v>903605.32145910244</v>
      </c>
      <c r="BW567" s="535">
        <f t="shared" si="737"/>
        <v>903605.32145910244</v>
      </c>
      <c r="BX567" s="535">
        <f t="shared" si="737"/>
        <v>903605.32145910244</v>
      </c>
      <c r="BY567" s="535">
        <f t="shared" si="737"/>
        <v>903605.32145910244</v>
      </c>
    </row>
    <row r="568" spans="1:77" x14ac:dyDescent="0.3">
      <c r="A568" s="648"/>
      <c r="B568" s="648"/>
      <c r="C568" s="648"/>
      <c r="D568" s="648"/>
      <c r="E568" s="537"/>
      <c r="F568" s="537"/>
      <c r="G568" s="537"/>
      <c r="H568" s="537"/>
      <c r="I568" s="537"/>
      <c r="J568" s="537"/>
      <c r="K568" s="537"/>
      <c r="L568" s="537"/>
      <c r="M568" s="537"/>
      <c r="N568" s="537"/>
      <c r="O568" s="537"/>
      <c r="P568" s="665"/>
      <c r="Q568" s="537"/>
      <c r="R568" s="537"/>
      <c r="S568" s="537"/>
      <c r="T568" s="537"/>
      <c r="U568" s="537"/>
      <c r="V568" s="537"/>
      <c r="W568" s="537"/>
      <c r="X568" s="537"/>
      <c r="Y568" s="537"/>
      <c r="Z568" s="537"/>
      <c r="AA568" s="537"/>
      <c r="AB568" s="537"/>
      <c r="AC568" s="537"/>
      <c r="AD568" s="537"/>
      <c r="AE568" s="537"/>
      <c r="AF568" s="537"/>
      <c r="AG568" s="537"/>
      <c r="AH568" s="537"/>
      <c r="AI568" s="537"/>
      <c r="AJ568" s="537"/>
      <c r="AK568" s="537"/>
      <c r="AL568" s="537"/>
      <c r="AM568" s="537"/>
      <c r="AN568" s="537"/>
      <c r="AO568" s="537"/>
      <c r="AP568" s="537"/>
      <c r="AQ568" s="537"/>
      <c r="AR568" s="537"/>
      <c r="AS568" s="537"/>
      <c r="AT568" s="537"/>
      <c r="AU568" s="537"/>
      <c r="AV568" s="537"/>
      <c r="AW568" s="537"/>
      <c r="AX568" s="537"/>
      <c r="AY568" s="537"/>
      <c r="AZ568" s="537"/>
      <c r="BA568" s="537"/>
      <c r="BB568" s="537"/>
      <c r="BC568" s="537"/>
      <c r="BD568" s="537"/>
      <c r="BE568" s="537"/>
      <c r="BF568" s="537"/>
      <c r="BG568" s="537"/>
      <c r="BH568" s="537"/>
      <c r="BI568" s="537"/>
      <c r="BJ568" s="537"/>
      <c r="BK568" s="537"/>
      <c r="BL568" s="537"/>
      <c r="BM568" s="537"/>
      <c r="BN568" s="537"/>
      <c r="BO568" s="537"/>
      <c r="BP568" s="537"/>
      <c r="BQ568" s="537"/>
      <c r="BR568" s="537"/>
      <c r="BS568" s="537"/>
      <c r="BT568" s="537"/>
      <c r="BU568" s="537"/>
      <c r="BV568" s="537"/>
      <c r="BW568" s="537"/>
      <c r="BX568" s="537"/>
      <c r="BY568" s="537"/>
    </row>
    <row r="569" spans="1:77" x14ac:dyDescent="0.3">
      <c r="A569" s="551"/>
      <c r="B569" s="522"/>
      <c r="C569" s="522"/>
      <c r="D569" s="522"/>
      <c r="E569" s="537"/>
      <c r="F569" s="537"/>
      <c r="G569" s="537"/>
      <c r="H569" s="529"/>
      <c r="I569" s="603"/>
      <c r="J569" s="603"/>
      <c r="K569" s="603"/>
      <c r="L569" s="603"/>
      <c r="M569" s="603"/>
      <c r="N569" s="603"/>
      <c r="O569" s="546"/>
      <c r="P569" s="564"/>
      <c r="Q569" s="537"/>
      <c r="R569" s="537"/>
      <c r="S569" s="537"/>
      <c r="T569" s="537"/>
      <c r="U569" s="537"/>
      <c r="V569" s="537"/>
      <c r="W569" s="537"/>
      <c r="X569" s="537"/>
      <c r="Y569" s="537"/>
      <c r="Z569" s="537"/>
      <c r="AA569" s="537"/>
      <c r="AB569" s="537"/>
      <c r="AC569" s="537"/>
      <c r="AD569" s="537"/>
      <c r="AE569" s="537"/>
      <c r="AF569" s="537"/>
      <c r="AG569" s="537"/>
      <c r="AH569" s="537"/>
      <c r="AI569" s="537"/>
      <c r="AJ569" s="537"/>
      <c r="AK569" s="537"/>
      <c r="AL569" s="537"/>
      <c r="AM569" s="537"/>
      <c r="AN569" s="537"/>
      <c r="AO569" s="537"/>
      <c r="AP569" s="537"/>
      <c r="AQ569" s="537"/>
      <c r="AR569" s="537"/>
      <c r="AS569" s="537"/>
      <c r="AT569" s="537"/>
      <c r="AU569" s="537"/>
      <c r="AV569" s="537"/>
      <c r="AW569" s="537"/>
      <c r="AX569" s="537"/>
      <c r="AY569" s="537"/>
      <c r="AZ569" s="537"/>
      <c r="BA569" s="537"/>
      <c r="BB569" s="537"/>
      <c r="BC569" s="537"/>
      <c r="BD569" s="537"/>
      <c r="BE569" s="537"/>
      <c r="BF569" s="537"/>
      <c r="BG569" s="537"/>
      <c r="BH569" s="537"/>
      <c r="BI569" s="537"/>
      <c r="BJ569" s="537"/>
      <c r="BK569" s="537"/>
      <c r="BL569" s="537"/>
      <c r="BM569" s="537"/>
      <c r="BN569" s="537"/>
      <c r="BO569" s="537"/>
      <c r="BP569" s="537"/>
      <c r="BQ569" s="537"/>
      <c r="BR569" s="537"/>
      <c r="BS569" s="537"/>
      <c r="BT569" s="537"/>
      <c r="BU569" s="537"/>
      <c r="BV569" s="537"/>
      <c r="BW569" s="537"/>
      <c r="BX569" s="537"/>
      <c r="BY569" s="537"/>
    </row>
    <row r="570" spans="1:77" x14ac:dyDescent="0.3">
      <c r="A570" s="551"/>
      <c r="B570" s="522"/>
      <c r="C570" s="522"/>
      <c r="D570" s="522"/>
      <c r="E570" s="538" t="s">
        <v>119</v>
      </c>
      <c r="F570" s="538"/>
      <c r="G570" s="538"/>
      <c r="H570" s="529"/>
      <c r="I570" s="538"/>
      <c r="J570" s="538"/>
      <c r="K570" s="538"/>
      <c r="L570" s="538"/>
      <c r="M570" s="538"/>
      <c r="N570" s="538"/>
      <c r="O570" s="538"/>
      <c r="P570" s="666"/>
      <c r="Q570" s="584"/>
      <c r="R570" s="538"/>
      <c r="S570" s="538"/>
      <c r="T570" s="538"/>
      <c r="U570" s="538"/>
      <c r="V570" s="538"/>
      <c r="W570" s="538"/>
      <c r="X570" s="538"/>
      <c r="Y570" s="538"/>
      <c r="Z570" s="538"/>
      <c r="AA570" s="538"/>
      <c r="AB570" s="538"/>
      <c r="AC570" s="538"/>
      <c r="AD570" s="538"/>
      <c r="AE570" s="538"/>
      <c r="AF570" s="538"/>
      <c r="AG570" s="538"/>
      <c r="AH570" s="538"/>
      <c r="AI570" s="538"/>
      <c r="AJ570" s="538"/>
      <c r="AK570" s="538"/>
      <c r="AL570" s="538"/>
      <c r="AM570" s="538"/>
      <c r="AN570" s="538"/>
      <c r="AO570" s="538"/>
      <c r="AP570" s="538"/>
      <c r="AQ570" s="538"/>
      <c r="AR570" s="538"/>
      <c r="AS570" s="538"/>
      <c r="AT570" s="538"/>
      <c r="AU570" s="538"/>
      <c r="AV570" s="538"/>
      <c r="AW570" s="538"/>
      <c r="AX570" s="538"/>
      <c r="AY570" s="538"/>
      <c r="AZ570" s="538"/>
      <c r="BA570" s="538"/>
      <c r="BB570" s="538"/>
      <c r="BC570" s="538"/>
      <c r="BD570" s="538"/>
      <c r="BE570" s="538"/>
      <c r="BF570" s="538"/>
      <c r="BG570" s="538"/>
      <c r="BH570" s="538"/>
      <c r="BI570" s="538"/>
      <c r="BJ570" s="538"/>
      <c r="BK570" s="538"/>
      <c r="BL570" s="538"/>
      <c r="BM570" s="538"/>
      <c r="BN570" s="538"/>
      <c r="BO570" s="538"/>
      <c r="BP570" s="538"/>
      <c r="BQ570" s="538"/>
      <c r="BR570" s="538"/>
      <c r="BS570" s="538"/>
      <c r="BT570" s="538"/>
      <c r="BU570" s="538"/>
      <c r="BV570" s="538"/>
      <c r="BW570" s="538"/>
      <c r="BX570" s="538"/>
      <c r="BY570" s="538"/>
    </row>
    <row r="571" spans="1:77" x14ac:dyDescent="0.3">
      <c r="A571" s="537"/>
      <c r="B571" s="522"/>
      <c r="C571" s="522"/>
      <c r="D571" s="522"/>
      <c r="E571" s="537" t="s">
        <v>57</v>
      </c>
      <c r="F571" s="537"/>
      <c r="G571" s="537"/>
      <c r="H571" s="529"/>
      <c r="I571" s="545">
        <f>INDEX(Portfolio_Categorisation!$E$12:$E$15,MATCH($B$2,Portfolio_Categorisation!$C$12:$C$15,0))</f>
        <v>115</v>
      </c>
      <c r="J571" s="545">
        <f>INDEX(Portfolio_Categorisation!$E$12:$E$15,MATCH($B$2,Portfolio_Categorisation!$C$12:$C$15,0))</f>
        <v>115</v>
      </c>
      <c r="K571" s="545">
        <f>INDEX(Portfolio_Categorisation!$E$12:$E$15,MATCH($B$2,Portfolio_Categorisation!$C$12:$C$15,0))</f>
        <v>115</v>
      </c>
      <c r="L571" s="545">
        <f>INDEX(Portfolio_Categorisation!$E$12:$E$15,MATCH($B$2,Portfolio_Categorisation!$C$12:$C$15,0))</f>
        <v>115</v>
      </c>
      <c r="M571" s="545">
        <f>INDEX(Portfolio_Categorisation!$E$12:$E$15,MATCH($B$2,Portfolio_Categorisation!$C$12:$C$15,0))</f>
        <v>115</v>
      </c>
      <c r="N571" s="545">
        <f>INDEX(Portfolio_Categorisation!$E$12:$E$15,MATCH($B$2,Portfolio_Categorisation!$C$12:$C$15,0))</f>
        <v>115</v>
      </c>
      <c r="O571" s="574"/>
      <c r="P571" s="568">
        <f>IFERROR(((N571/I571)^(1/5))-1,0)</f>
        <v>0</v>
      </c>
      <c r="Q571" s="537"/>
      <c r="R571" s="545">
        <f>INDEX(Portfolio_Categorisation!$E$12:$E$15,MATCH($B$2,Portfolio_Categorisation!$C$12:$C$15,0))</f>
        <v>115</v>
      </c>
      <c r="S571" s="545">
        <f>INDEX(Portfolio_Categorisation!$E$12:$E$15,MATCH($B$2,Portfolio_Categorisation!$C$12:$C$15,0))</f>
        <v>115</v>
      </c>
      <c r="T571" s="545">
        <f>INDEX(Portfolio_Categorisation!$E$12:$E$15,MATCH($B$2,Portfolio_Categorisation!$C$12:$C$15,0))</f>
        <v>115</v>
      </c>
      <c r="U571" s="545">
        <f>INDEX(Portfolio_Categorisation!$E$12:$E$15,MATCH($B$2,Portfolio_Categorisation!$C$12:$C$15,0))</f>
        <v>115</v>
      </c>
      <c r="V571" s="545">
        <f>INDEX(Portfolio_Categorisation!$E$12:$E$15,MATCH($B$2,Portfolio_Categorisation!$C$12:$C$15,0))</f>
        <v>115</v>
      </c>
      <c r="W571" s="545">
        <f>INDEX(Portfolio_Categorisation!$E$12:$E$15,MATCH($B$2,Portfolio_Categorisation!$C$12:$C$15,0))</f>
        <v>115</v>
      </c>
      <c r="X571" s="545">
        <f>INDEX(Portfolio_Categorisation!$E$12:$E$15,MATCH($B$2,Portfolio_Categorisation!$C$12:$C$15,0))</f>
        <v>115</v>
      </c>
      <c r="Y571" s="545">
        <f>INDEX(Portfolio_Categorisation!$E$12:$E$15,MATCH($B$2,Portfolio_Categorisation!$C$12:$C$15,0))</f>
        <v>115</v>
      </c>
      <c r="Z571" s="545">
        <f>INDEX(Portfolio_Categorisation!$E$12:$E$15,MATCH($B$2,Portfolio_Categorisation!$C$12:$C$15,0))</f>
        <v>115</v>
      </c>
      <c r="AA571" s="545">
        <f>INDEX(Portfolio_Categorisation!$E$12:$E$15,MATCH($B$2,Portfolio_Categorisation!$C$12:$C$15,0))</f>
        <v>115</v>
      </c>
      <c r="AB571" s="545">
        <f>INDEX(Portfolio_Categorisation!$E$12:$E$15,MATCH($B$2,Portfolio_Categorisation!$C$12:$C$15,0))</f>
        <v>115</v>
      </c>
      <c r="AC571" s="545">
        <f>INDEX(Portfolio_Categorisation!$E$12:$E$15,MATCH($B$2,Portfolio_Categorisation!$C$12:$C$15,0))</f>
        <v>115</v>
      </c>
      <c r="AD571" s="545">
        <f>INDEX(Portfolio_Categorisation!$E$12:$E$15,MATCH($B$2,Portfolio_Categorisation!$C$12:$C$15,0))</f>
        <v>115</v>
      </c>
      <c r="AE571" s="545">
        <f>INDEX(Portfolio_Categorisation!$E$12:$E$15,MATCH($B$2,Portfolio_Categorisation!$C$12:$C$15,0))</f>
        <v>115</v>
      </c>
      <c r="AF571" s="545">
        <f>INDEX(Portfolio_Categorisation!$E$12:$E$15,MATCH($B$2,Portfolio_Categorisation!$C$12:$C$15,0))</f>
        <v>115</v>
      </c>
      <c r="AG571" s="545">
        <f>INDEX(Portfolio_Categorisation!$E$12:$E$15,MATCH($B$2,Portfolio_Categorisation!$C$12:$C$15,0))</f>
        <v>115</v>
      </c>
      <c r="AH571" s="545">
        <f>INDEX(Portfolio_Categorisation!$E$12:$E$15,MATCH($B$2,Portfolio_Categorisation!$C$12:$C$15,0))</f>
        <v>115</v>
      </c>
      <c r="AI571" s="545">
        <f>INDEX(Portfolio_Categorisation!$E$12:$E$15,MATCH($B$2,Portfolio_Categorisation!$C$12:$C$15,0))</f>
        <v>115</v>
      </c>
      <c r="AJ571" s="545">
        <f>INDEX(Portfolio_Categorisation!$E$12:$E$15,MATCH($B$2,Portfolio_Categorisation!$C$12:$C$15,0))</f>
        <v>115</v>
      </c>
      <c r="AK571" s="545">
        <f>INDEX(Portfolio_Categorisation!$E$12:$E$15,MATCH($B$2,Portfolio_Categorisation!$C$12:$C$15,0))</f>
        <v>115</v>
      </c>
      <c r="AL571" s="545">
        <f>INDEX(Portfolio_Categorisation!$E$12:$E$15,MATCH($B$2,Portfolio_Categorisation!$C$12:$C$15,0))</f>
        <v>115</v>
      </c>
      <c r="AM571" s="545">
        <f>INDEX(Portfolio_Categorisation!$E$12:$E$15,MATCH($B$2,Portfolio_Categorisation!$C$12:$C$15,0))</f>
        <v>115</v>
      </c>
      <c r="AN571" s="545">
        <f>INDEX(Portfolio_Categorisation!$E$12:$E$15,MATCH($B$2,Portfolio_Categorisation!$C$12:$C$15,0))</f>
        <v>115</v>
      </c>
      <c r="AO571" s="545">
        <f>INDEX(Portfolio_Categorisation!$E$12:$E$15,MATCH($B$2,Portfolio_Categorisation!$C$12:$C$15,0))</f>
        <v>115</v>
      </c>
      <c r="AP571" s="545">
        <f>INDEX(Portfolio_Categorisation!$E$12:$E$15,MATCH($B$2,Portfolio_Categorisation!$C$12:$C$15,0))</f>
        <v>115</v>
      </c>
      <c r="AQ571" s="545">
        <f>INDEX(Portfolio_Categorisation!$E$12:$E$15,MATCH($B$2,Portfolio_Categorisation!$C$12:$C$15,0))</f>
        <v>115</v>
      </c>
      <c r="AR571" s="545">
        <f>INDEX(Portfolio_Categorisation!$E$12:$E$15,MATCH($B$2,Portfolio_Categorisation!$C$12:$C$15,0))</f>
        <v>115</v>
      </c>
      <c r="AS571" s="545">
        <f>INDEX(Portfolio_Categorisation!$E$12:$E$15,MATCH($B$2,Portfolio_Categorisation!$C$12:$C$15,0))</f>
        <v>115</v>
      </c>
      <c r="AT571" s="545">
        <f>INDEX(Portfolio_Categorisation!$E$12:$E$15,MATCH($B$2,Portfolio_Categorisation!$C$12:$C$15,0))</f>
        <v>115</v>
      </c>
      <c r="AU571" s="545">
        <f>INDEX(Portfolio_Categorisation!$E$12:$E$15,MATCH($B$2,Portfolio_Categorisation!$C$12:$C$15,0))</f>
        <v>115</v>
      </c>
      <c r="AV571" s="545">
        <f>INDEX(Portfolio_Categorisation!$E$12:$E$15,MATCH($B$2,Portfolio_Categorisation!$C$12:$C$15,0))</f>
        <v>115</v>
      </c>
      <c r="AW571" s="545">
        <f>INDEX(Portfolio_Categorisation!$E$12:$E$15,MATCH($B$2,Portfolio_Categorisation!$C$12:$C$15,0))</f>
        <v>115</v>
      </c>
      <c r="AX571" s="545">
        <f>INDEX(Portfolio_Categorisation!$E$12:$E$15,MATCH($B$2,Portfolio_Categorisation!$C$12:$C$15,0))</f>
        <v>115</v>
      </c>
      <c r="AY571" s="545">
        <f>INDEX(Portfolio_Categorisation!$E$12:$E$15,MATCH($B$2,Portfolio_Categorisation!$C$12:$C$15,0))</f>
        <v>115</v>
      </c>
      <c r="AZ571" s="545">
        <f>INDEX(Portfolio_Categorisation!$E$12:$E$15,MATCH($B$2,Portfolio_Categorisation!$C$12:$C$15,0))</f>
        <v>115</v>
      </c>
      <c r="BA571" s="545">
        <f>INDEX(Portfolio_Categorisation!$E$12:$E$15,MATCH($B$2,Portfolio_Categorisation!$C$12:$C$15,0))</f>
        <v>115</v>
      </c>
      <c r="BB571" s="545">
        <f>INDEX(Portfolio_Categorisation!$E$12:$E$15,MATCH($B$2,Portfolio_Categorisation!$C$12:$C$15,0))</f>
        <v>115</v>
      </c>
      <c r="BC571" s="545">
        <f>INDEX(Portfolio_Categorisation!$E$12:$E$15,MATCH($B$2,Portfolio_Categorisation!$C$12:$C$15,0))</f>
        <v>115</v>
      </c>
      <c r="BD571" s="545">
        <f>INDEX(Portfolio_Categorisation!$E$12:$E$15,MATCH($B$2,Portfolio_Categorisation!$C$12:$C$15,0))</f>
        <v>115</v>
      </c>
      <c r="BE571" s="545">
        <f>INDEX(Portfolio_Categorisation!$E$12:$E$15,MATCH($B$2,Portfolio_Categorisation!$C$12:$C$15,0))</f>
        <v>115</v>
      </c>
      <c r="BF571" s="545">
        <f>INDEX(Portfolio_Categorisation!$E$12:$E$15,MATCH($B$2,Portfolio_Categorisation!$C$12:$C$15,0))</f>
        <v>115</v>
      </c>
      <c r="BG571" s="545">
        <f>INDEX(Portfolio_Categorisation!$E$12:$E$15,MATCH($B$2,Portfolio_Categorisation!$C$12:$C$15,0))</f>
        <v>115</v>
      </c>
      <c r="BH571" s="545">
        <f>INDEX(Portfolio_Categorisation!$E$12:$E$15,MATCH($B$2,Portfolio_Categorisation!$C$12:$C$15,0))</f>
        <v>115</v>
      </c>
      <c r="BI571" s="545">
        <f>INDEX(Portfolio_Categorisation!$E$12:$E$15,MATCH($B$2,Portfolio_Categorisation!$C$12:$C$15,0))</f>
        <v>115</v>
      </c>
      <c r="BJ571" s="545">
        <f>INDEX(Portfolio_Categorisation!$E$12:$E$15,MATCH($B$2,Portfolio_Categorisation!$C$12:$C$15,0))</f>
        <v>115</v>
      </c>
      <c r="BK571" s="545">
        <f>INDEX(Portfolio_Categorisation!$E$12:$E$15,MATCH($B$2,Portfolio_Categorisation!$C$12:$C$15,0))</f>
        <v>115</v>
      </c>
      <c r="BL571" s="545">
        <f>INDEX(Portfolio_Categorisation!$E$12:$E$15,MATCH($B$2,Portfolio_Categorisation!$C$12:$C$15,0))</f>
        <v>115</v>
      </c>
      <c r="BM571" s="545">
        <f>INDEX(Portfolio_Categorisation!$E$12:$E$15,MATCH($B$2,Portfolio_Categorisation!$C$12:$C$15,0))</f>
        <v>115</v>
      </c>
      <c r="BN571" s="545">
        <f>INDEX(Portfolio_Categorisation!$E$12:$E$15,MATCH($B$2,Portfolio_Categorisation!$C$12:$C$15,0))</f>
        <v>115</v>
      </c>
      <c r="BO571" s="545">
        <f>INDEX(Portfolio_Categorisation!$E$12:$E$15,MATCH($B$2,Portfolio_Categorisation!$C$12:$C$15,0))</f>
        <v>115</v>
      </c>
      <c r="BP571" s="545">
        <f>INDEX(Portfolio_Categorisation!$E$12:$E$15,MATCH($B$2,Portfolio_Categorisation!$C$12:$C$15,0))</f>
        <v>115</v>
      </c>
      <c r="BQ571" s="545">
        <f>INDEX(Portfolio_Categorisation!$E$12:$E$15,MATCH($B$2,Portfolio_Categorisation!$C$12:$C$15,0))</f>
        <v>115</v>
      </c>
      <c r="BR571" s="545">
        <f>INDEX(Portfolio_Categorisation!$E$12:$E$15,MATCH($B$2,Portfolio_Categorisation!$C$12:$C$15,0))</f>
        <v>115</v>
      </c>
      <c r="BS571" s="545">
        <f>INDEX(Portfolio_Categorisation!$E$12:$E$15,MATCH($B$2,Portfolio_Categorisation!$C$12:$C$15,0))</f>
        <v>115</v>
      </c>
      <c r="BT571" s="545">
        <f>INDEX(Portfolio_Categorisation!$E$12:$E$15,MATCH($B$2,Portfolio_Categorisation!$C$12:$C$15,0))</f>
        <v>115</v>
      </c>
      <c r="BU571" s="545">
        <f>INDEX(Portfolio_Categorisation!$E$12:$E$15,MATCH($B$2,Portfolio_Categorisation!$C$12:$C$15,0))</f>
        <v>115</v>
      </c>
      <c r="BV571" s="545">
        <f>INDEX(Portfolio_Categorisation!$E$12:$E$15,MATCH($B$2,Portfolio_Categorisation!$C$12:$C$15,0))</f>
        <v>115</v>
      </c>
      <c r="BW571" s="545">
        <f>INDEX(Portfolio_Categorisation!$E$12:$E$15,MATCH($B$2,Portfolio_Categorisation!$C$12:$C$15,0))</f>
        <v>115</v>
      </c>
      <c r="BX571" s="545">
        <f>INDEX(Portfolio_Categorisation!$E$12:$E$15,MATCH($B$2,Portfolio_Categorisation!$C$12:$C$15,0))</f>
        <v>115</v>
      </c>
      <c r="BY571" s="545">
        <f>INDEX(Portfolio_Categorisation!$E$12:$E$15,MATCH($B$2,Portfolio_Categorisation!$C$12:$C$15,0))</f>
        <v>115</v>
      </c>
    </row>
    <row r="572" spans="1:77" x14ac:dyDescent="0.3">
      <c r="A572" s="537"/>
      <c r="B572" s="522"/>
      <c r="C572" s="522"/>
      <c r="D572" s="522"/>
      <c r="E572" s="537"/>
      <c r="F572" s="537"/>
      <c r="G572" s="537"/>
      <c r="H572" s="529"/>
      <c r="I572" s="537"/>
      <c r="J572" s="537"/>
      <c r="K572" s="537"/>
      <c r="L572" s="537"/>
      <c r="M572" s="537"/>
      <c r="N572" s="537"/>
      <c r="O572" s="529"/>
      <c r="P572" s="660"/>
      <c r="Q572" s="537"/>
      <c r="R572" s="537"/>
      <c r="S572" s="537"/>
      <c r="T572" s="537"/>
      <c r="U572" s="537"/>
      <c r="V572" s="537"/>
      <c r="W572" s="537"/>
      <c r="X572" s="537"/>
      <c r="Y572" s="537"/>
      <c r="Z572" s="537"/>
      <c r="AA572" s="537"/>
      <c r="AB572" s="537"/>
      <c r="AC572" s="537"/>
      <c r="AD572" s="537"/>
      <c r="AE572" s="537"/>
      <c r="AF572" s="537"/>
      <c r="AG572" s="537"/>
      <c r="AH572" s="537"/>
      <c r="AI572" s="537"/>
      <c r="AJ572" s="537"/>
      <c r="AK572" s="537"/>
      <c r="AL572" s="537"/>
      <c r="AM572" s="537"/>
      <c r="AN572" s="537"/>
      <c r="AO572" s="537"/>
      <c r="AP572" s="537"/>
      <c r="AQ572" s="537"/>
      <c r="AR572" s="537"/>
      <c r="AS572" s="537"/>
      <c r="AT572" s="537"/>
      <c r="AU572" s="537"/>
      <c r="AV572" s="537"/>
      <c r="AW572" s="537"/>
      <c r="AX572" s="537"/>
      <c r="AY572" s="537"/>
      <c r="AZ572" s="537"/>
      <c r="BA572" s="537"/>
      <c r="BB572" s="537"/>
      <c r="BC572" s="537"/>
      <c r="BD572" s="537"/>
      <c r="BE572" s="537"/>
      <c r="BF572" s="537"/>
      <c r="BG572" s="537"/>
      <c r="BH572" s="537"/>
      <c r="BI572" s="537"/>
      <c r="BJ572" s="537"/>
      <c r="BK572" s="537"/>
      <c r="BL572" s="537"/>
      <c r="BM572" s="537"/>
      <c r="BN572" s="537"/>
      <c r="BO572" s="537"/>
      <c r="BP572" s="537"/>
      <c r="BQ572" s="537"/>
      <c r="BR572" s="537"/>
      <c r="BS572" s="537"/>
      <c r="BT572" s="537"/>
      <c r="BU572" s="537"/>
      <c r="BV572" s="537"/>
      <c r="BW572" s="537"/>
      <c r="BX572" s="537"/>
      <c r="BY572" s="537"/>
    </row>
    <row r="573" spans="1:77" x14ac:dyDescent="0.3">
      <c r="A573" s="551"/>
      <c r="B573" s="522"/>
      <c r="C573" s="522"/>
      <c r="D573" s="522"/>
      <c r="E573" s="525" t="s">
        <v>373</v>
      </c>
      <c r="F573" s="567"/>
      <c r="G573" s="567"/>
      <c r="H573" s="529"/>
      <c r="I573" s="527">
        <f t="shared" ref="I573:N573" si="738">I507/I$571</f>
        <v>136.91176375628913</v>
      </c>
      <c r="J573" s="527">
        <f t="shared" si="738"/>
        <v>136.91176375628913</v>
      </c>
      <c r="K573" s="527">
        <f t="shared" si="738"/>
        <v>136.91176375628913</v>
      </c>
      <c r="L573" s="527">
        <f t="shared" si="738"/>
        <v>136.91176375628913</v>
      </c>
      <c r="M573" s="527">
        <f t="shared" si="738"/>
        <v>136.91176375628913</v>
      </c>
      <c r="N573" s="527">
        <f t="shared" si="738"/>
        <v>136.91176375628913</v>
      </c>
      <c r="O573" s="529"/>
      <c r="P573" s="568">
        <f>IFERROR(((N573/I573)^(1/5))-1,0)</f>
        <v>0</v>
      </c>
      <c r="Q573" s="537"/>
      <c r="R573" s="527">
        <f t="shared" ref="R573:AW573" si="739">R509/R$571</f>
        <v>7.0584878652893668</v>
      </c>
      <c r="S573" s="527">
        <f t="shared" si="739"/>
        <v>7.0584878652893668</v>
      </c>
      <c r="T573" s="527">
        <f t="shared" si="739"/>
        <v>7.0584878652893668</v>
      </c>
      <c r="U573" s="527">
        <f t="shared" si="739"/>
        <v>7.0584878652893668</v>
      </c>
      <c r="V573" s="527">
        <f t="shared" si="739"/>
        <v>7.0584878652893668</v>
      </c>
      <c r="W573" s="527">
        <f t="shared" si="739"/>
        <v>7.0584878652893668</v>
      </c>
      <c r="X573" s="527">
        <f t="shared" si="739"/>
        <v>7.0584878652893668</v>
      </c>
      <c r="Y573" s="527">
        <f t="shared" si="739"/>
        <v>7.0584878652893668</v>
      </c>
      <c r="Z573" s="527">
        <f t="shared" si="739"/>
        <v>7.0584878652893668</v>
      </c>
      <c r="AA573" s="527">
        <f t="shared" si="739"/>
        <v>7.0584878652893668</v>
      </c>
      <c r="AB573" s="527">
        <f t="shared" si="739"/>
        <v>7.0584878652893668</v>
      </c>
      <c r="AC573" s="527">
        <f t="shared" si="739"/>
        <v>7.0584878652893668</v>
      </c>
      <c r="AD573" s="527">
        <f t="shared" si="739"/>
        <v>7.3162976878042532</v>
      </c>
      <c r="AE573" s="527">
        <f t="shared" si="739"/>
        <v>7.3162976878042532</v>
      </c>
      <c r="AF573" s="527">
        <f t="shared" si="739"/>
        <v>7.3162976878042532</v>
      </c>
      <c r="AG573" s="527">
        <f t="shared" si="739"/>
        <v>7.3162976878042532</v>
      </c>
      <c r="AH573" s="527">
        <f t="shared" si="739"/>
        <v>7.3162976878042532</v>
      </c>
      <c r="AI573" s="527">
        <f t="shared" si="739"/>
        <v>7.3162976878042532</v>
      </c>
      <c r="AJ573" s="527">
        <f t="shared" si="739"/>
        <v>7.3162976878042532</v>
      </c>
      <c r="AK573" s="527">
        <f t="shared" si="739"/>
        <v>7.3162976878042532</v>
      </c>
      <c r="AL573" s="527">
        <f t="shared" si="739"/>
        <v>7.3162976878042532</v>
      </c>
      <c r="AM573" s="527">
        <f t="shared" si="739"/>
        <v>7.3162976878042532</v>
      </c>
      <c r="AN573" s="527">
        <f t="shared" si="739"/>
        <v>7.3162976878042532</v>
      </c>
      <c r="AO573" s="527">
        <f t="shared" si="739"/>
        <v>7.3162976878042532</v>
      </c>
      <c r="AP573" s="527">
        <f t="shared" si="739"/>
        <v>7.5744979057968074</v>
      </c>
      <c r="AQ573" s="527">
        <f t="shared" si="739"/>
        <v>7.5744979057968074</v>
      </c>
      <c r="AR573" s="527">
        <f t="shared" si="739"/>
        <v>7.5744979057968074</v>
      </c>
      <c r="AS573" s="527">
        <f t="shared" si="739"/>
        <v>7.5744979057968074</v>
      </c>
      <c r="AT573" s="527">
        <f t="shared" si="739"/>
        <v>7.5744979057968074</v>
      </c>
      <c r="AU573" s="527">
        <f t="shared" si="739"/>
        <v>7.5744979057968074</v>
      </c>
      <c r="AV573" s="527">
        <f t="shared" si="739"/>
        <v>7.5744979057968074</v>
      </c>
      <c r="AW573" s="527">
        <f t="shared" si="739"/>
        <v>7.5744979057968074</v>
      </c>
      <c r="AX573" s="527">
        <f t="shared" ref="AX573:BY573" si="740">AX509/AX$571</f>
        <v>7.5744979057968074</v>
      </c>
      <c r="AY573" s="527">
        <f t="shared" si="740"/>
        <v>7.5744979057968074</v>
      </c>
      <c r="AZ573" s="527">
        <f t="shared" si="740"/>
        <v>7.5744979057968074</v>
      </c>
      <c r="BA573" s="527">
        <f t="shared" si="740"/>
        <v>7.5744979057968074</v>
      </c>
      <c r="BB573" s="527">
        <f t="shared" si="740"/>
        <v>7.8313956575625001</v>
      </c>
      <c r="BC573" s="527">
        <f t="shared" si="740"/>
        <v>7.8313956575625001</v>
      </c>
      <c r="BD573" s="527">
        <f t="shared" si="740"/>
        <v>7.8313956575625001</v>
      </c>
      <c r="BE573" s="527">
        <f t="shared" si="740"/>
        <v>7.8313956575625001</v>
      </c>
      <c r="BF573" s="527">
        <f t="shared" si="740"/>
        <v>7.8313956575625001</v>
      </c>
      <c r="BG573" s="527">
        <f t="shared" si="740"/>
        <v>7.8313956575625001</v>
      </c>
      <c r="BH573" s="527">
        <f t="shared" si="740"/>
        <v>7.8313956575625001</v>
      </c>
      <c r="BI573" s="527">
        <f t="shared" si="740"/>
        <v>7.8313956575625001</v>
      </c>
      <c r="BJ573" s="527">
        <f t="shared" si="740"/>
        <v>7.8313956575625001</v>
      </c>
      <c r="BK573" s="527">
        <f t="shared" si="740"/>
        <v>7.8313956575625001</v>
      </c>
      <c r="BL573" s="527">
        <f t="shared" si="740"/>
        <v>7.8313956575625001</v>
      </c>
      <c r="BM573" s="527">
        <f t="shared" si="740"/>
        <v>7.8313956575625001</v>
      </c>
      <c r="BN573" s="527">
        <f t="shared" si="740"/>
        <v>8.097128407305485</v>
      </c>
      <c r="BO573" s="527">
        <f t="shared" si="740"/>
        <v>8.097128407305485</v>
      </c>
      <c r="BP573" s="527">
        <f t="shared" si="740"/>
        <v>8.097128407305485</v>
      </c>
      <c r="BQ573" s="527">
        <f t="shared" si="740"/>
        <v>8.097128407305485</v>
      </c>
      <c r="BR573" s="527">
        <f t="shared" si="740"/>
        <v>8.097128407305485</v>
      </c>
      <c r="BS573" s="527">
        <f t="shared" si="740"/>
        <v>8.097128407305485</v>
      </c>
      <c r="BT573" s="527">
        <f t="shared" si="740"/>
        <v>8.097128407305485</v>
      </c>
      <c r="BU573" s="527">
        <f t="shared" si="740"/>
        <v>8.097128407305485</v>
      </c>
      <c r="BV573" s="527">
        <f t="shared" si="740"/>
        <v>8.097128407305485</v>
      </c>
      <c r="BW573" s="527">
        <f t="shared" si="740"/>
        <v>8.097128407305485</v>
      </c>
      <c r="BX573" s="527">
        <f t="shared" si="740"/>
        <v>8.097128407305485</v>
      </c>
      <c r="BY573" s="527">
        <f t="shared" si="740"/>
        <v>8.097128407305485</v>
      </c>
    </row>
    <row r="574" spans="1:77" x14ac:dyDescent="0.3">
      <c r="A574" s="551"/>
      <c r="B574" s="522"/>
      <c r="C574" s="522"/>
      <c r="D574" s="522"/>
      <c r="E574" s="525"/>
      <c r="F574" s="529"/>
      <c r="G574" s="529"/>
      <c r="H574" s="537"/>
      <c r="I574" s="529"/>
      <c r="J574" s="667"/>
      <c r="K574" s="529"/>
      <c r="L574" s="529"/>
      <c r="M574" s="529"/>
      <c r="N574" s="529"/>
      <c r="O574" s="529"/>
      <c r="P574" s="660"/>
      <c r="Q574" s="537"/>
      <c r="R574" s="529"/>
      <c r="S574" s="529"/>
      <c r="T574" s="529"/>
      <c r="U574" s="529"/>
      <c r="V574" s="529"/>
      <c r="W574" s="529"/>
      <c r="X574" s="529"/>
      <c r="Y574" s="529"/>
      <c r="Z574" s="529"/>
      <c r="AA574" s="529"/>
      <c r="AB574" s="529"/>
      <c r="AC574" s="529"/>
      <c r="AD574" s="529"/>
      <c r="AE574" s="529"/>
      <c r="AF574" s="529"/>
      <c r="AG574" s="529"/>
      <c r="AH574" s="529"/>
      <c r="AI574" s="529"/>
      <c r="AJ574" s="529"/>
      <c r="AK574" s="529"/>
      <c r="AL574" s="529"/>
      <c r="AM574" s="529"/>
      <c r="AN574" s="529"/>
      <c r="AO574" s="529"/>
      <c r="AP574" s="529"/>
      <c r="AQ574" s="529"/>
      <c r="AR574" s="529"/>
      <c r="AS574" s="529"/>
      <c r="AT574" s="529"/>
      <c r="AU574" s="529"/>
      <c r="AV574" s="529"/>
      <c r="AW574" s="529"/>
      <c r="AX574" s="529"/>
      <c r="AY574" s="529"/>
      <c r="AZ574" s="529"/>
      <c r="BA574" s="529"/>
      <c r="BB574" s="529"/>
      <c r="BC574" s="529"/>
      <c r="BD574" s="529"/>
      <c r="BE574" s="529"/>
      <c r="BF574" s="529"/>
      <c r="BG574" s="529"/>
      <c r="BH574" s="529"/>
      <c r="BI574" s="529"/>
      <c r="BJ574" s="529"/>
      <c r="BK574" s="529"/>
      <c r="BL574" s="529"/>
      <c r="BM574" s="529"/>
      <c r="BN574" s="529"/>
      <c r="BO574" s="529"/>
      <c r="BP574" s="529"/>
      <c r="BQ574" s="529"/>
      <c r="BR574" s="529"/>
      <c r="BS574" s="529"/>
      <c r="BT574" s="529"/>
      <c r="BU574" s="529"/>
      <c r="BV574" s="529"/>
      <c r="BW574" s="529"/>
      <c r="BX574" s="529"/>
      <c r="BY574" s="529"/>
    </row>
    <row r="575" spans="1:77" x14ac:dyDescent="0.3">
      <c r="A575" s="551"/>
      <c r="B575" s="522"/>
      <c r="C575" s="522"/>
      <c r="D575" s="522"/>
      <c r="E575" s="570" t="s">
        <v>22</v>
      </c>
      <c r="F575" s="529"/>
      <c r="G575" s="529"/>
      <c r="H575" s="537"/>
      <c r="I575" s="529"/>
      <c r="J575" s="529"/>
      <c r="K575" s="529"/>
      <c r="L575" s="529"/>
      <c r="M575" s="529"/>
      <c r="N575" s="529"/>
      <c r="O575" s="529"/>
      <c r="P575" s="660"/>
      <c r="Q575" s="537"/>
      <c r="R575" s="529"/>
      <c r="S575" s="529"/>
      <c r="T575" s="529"/>
      <c r="U575" s="529"/>
      <c r="V575" s="529"/>
      <c r="W575" s="529"/>
      <c r="X575" s="529"/>
      <c r="Y575" s="529"/>
      <c r="Z575" s="529"/>
      <c r="AA575" s="529"/>
      <c r="AB575" s="529"/>
      <c r="AC575" s="529"/>
      <c r="AD575" s="529"/>
      <c r="AE575" s="529"/>
      <c r="AF575" s="529"/>
      <c r="AG575" s="529"/>
      <c r="AH575" s="529"/>
      <c r="AI575" s="529"/>
      <c r="AJ575" s="529"/>
      <c r="AK575" s="529"/>
      <c r="AL575" s="529"/>
      <c r="AM575" s="529"/>
      <c r="AN575" s="529"/>
      <c r="AO575" s="529"/>
      <c r="AP575" s="529"/>
      <c r="AQ575" s="529"/>
      <c r="AR575" s="529"/>
      <c r="AS575" s="529"/>
      <c r="AT575" s="529"/>
      <c r="AU575" s="529"/>
      <c r="AV575" s="529"/>
      <c r="AW575" s="529"/>
      <c r="AX575" s="529"/>
      <c r="AY575" s="529"/>
      <c r="AZ575" s="529"/>
      <c r="BA575" s="529"/>
      <c r="BB575" s="529"/>
      <c r="BC575" s="529"/>
      <c r="BD575" s="529"/>
      <c r="BE575" s="529"/>
      <c r="BF575" s="529"/>
      <c r="BG575" s="529"/>
      <c r="BH575" s="529"/>
      <c r="BI575" s="529"/>
      <c r="BJ575" s="529"/>
      <c r="BK575" s="529"/>
      <c r="BL575" s="529"/>
      <c r="BM575" s="529"/>
      <c r="BN575" s="529"/>
      <c r="BO575" s="529"/>
      <c r="BP575" s="529"/>
      <c r="BQ575" s="529"/>
      <c r="BR575" s="529"/>
      <c r="BS575" s="529"/>
      <c r="BT575" s="529"/>
      <c r="BU575" s="529"/>
      <c r="BV575" s="529"/>
      <c r="BW575" s="529"/>
      <c r="BX575" s="529"/>
      <c r="BY575" s="529"/>
    </row>
    <row r="576" spans="1:77" x14ac:dyDescent="0.3">
      <c r="A576" s="551"/>
      <c r="B576" s="522"/>
      <c r="C576" s="522"/>
      <c r="D576" s="522"/>
      <c r="E576" s="572" t="s">
        <v>388</v>
      </c>
      <c r="F576" s="573"/>
      <c r="G576" s="573"/>
      <c r="H576" s="537"/>
      <c r="I576" s="530">
        <f t="shared" ref="I576:N581" si="741">I512/I$571</f>
        <v>107113.97308628817</v>
      </c>
      <c r="J576" s="530">
        <f t="shared" si="741"/>
        <v>111134.85265525011</v>
      </c>
      <c r="K576" s="530">
        <f t="shared" si="741"/>
        <v>115194.03036938413</v>
      </c>
      <c r="L576" s="530">
        <f t="shared" si="741"/>
        <v>119259.35480286033</v>
      </c>
      <c r="M576" s="530">
        <f t="shared" si="741"/>
        <v>123304.17209727594</v>
      </c>
      <c r="N576" s="530">
        <f t="shared" si="741"/>
        <v>127488.09513461481</v>
      </c>
      <c r="O576" s="536"/>
      <c r="P576" s="568">
        <f>IFERROR(((N576/I576)^(1/5))-1,0)</f>
        <v>3.5439433900881889E-2</v>
      </c>
      <c r="Q576" s="537"/>
      <c r="R576" s="530">
        <f t="shared" ref="R576:AW576" si="742">R512/R$571</f>
        <v>9261.2377212708434</v>
      </c>
      <c r="S576" s="530">
        <f t="shared" si="742"/>
        <v>9261.2377212708434</v>
      </c>
      <c r="T576" s="530">
        <f t="shared" si="742"/>
        <v>9261.2377212708434</v>
      </c>
      <c r="U576" s="530">
        <f t="shared" si="742"/>
        <v>9261.2377212708434</v>
      </c>
      <c r="V576" s="530">
        <f t="shared" si="742"/>
        <v>9261.2377212708434</v>
      </c>
      <c r="W576" s="530">
        <f t="shared" si="742"/>
        <v>9261.2377212708434</v>
      </c>
      <c r="X576" s="530">
        <f t="shared" si="742"/>
        <v>9261.2377212708434</v>
      </c>
      <c r="Y576" s="530">
        <f t="shared" si="742"/>
        <v>9261.2377212708434</v>
      </c>
      <c r="Z576" s="530">
        <f t="shared" si="742"/>
        <v>9261.2377212708434</v>
      </c>
      <c r="AA576" s="530">
        <f t="shared" si="742"/>
        <v>9261.2377212708434</v>
      </c>
      <c r="AB576" s="530">
        <f t="shared" si="742"/>
        <v>9261.2377212708434</v>
      </c>
      <c r="AC576" s="530">
        <f t="shared" si="742"/>
        <v>9261.2377212708434</v>
      </c>
      <c r="AD576" s="530">
        <f t="shared" si="742"/>
        <v>9599.5025307820106</v>
      </c>
      <c r="AE576" s="530">
        <f t="shared" si="742"/>
        <v>9599.5025307820106</v>
      </c>
      <c r="AF576" s="530">
        <f t="shared" si="742"/>
        <v>9599.5025307820106</v>
      </c>
      <c r="AG576" s="530">
        <f t="shared" si="742"/>
        <v>9599.5025307820106</v>
      </c>
      <c r="AH576" s="530">
        <f t="shared" si="742"/>
        <v>9599.5025307820106</v>
      </c>
      <c r="AI576" s="530">
        <f t="shared" si="742"/>
        <v>9599.5025307820106</v>
      </c>
      <c r="AJ576" s="530">
        <f t="shared" si="742"/>
        <v>9599.5025307820106</v>
      </c>
      <c r="AK576" s="530">
        <f t="shared" si="742"/>
        <v>9599.5025307820106</v>
      </c>
      <c r="AL576" s="530">
        <f t="shared" si="742"/>
        <v>9599.5025307820106</v>
      </c>
      <c r="AM576" s="530">
        <f t="shared" si="742"/>
        <v>9599.5025307820106</v>
      </c>
      <c r="AN576" s="530">
        <f t="shared" si="742"/>
        <v>9599.5025307820106</v>
      </c>
      <c r="AO576" s="530">
        <f t="shared" si="742"/>
        <v>9599.5025307820106</v>
      </c>
      <c r="AP576" s="530">
        <f t="shared" si="742"/>
        <v>9938.2795669050265</v>
      </c>
      <c r="AQ576" s="530">
        <f t="shared" si="742"/>
        <v>9938.2795669050265</v>
      </c>
      <c r="AR576" s="530">
        <f t="shared" si="742"/>
        <v>9938.2795669050265</v>
      </c>
      <c r="AS576" s="530">
        <f t="shared" si="742"/>
        <v>9938.2795669050265</v>
      </c>
      <c r="AT576" s="530">
        <f t="shared" si="742"/>
        <v>9938.2795669050265</v>
      </c>
      <c r="AU576" s="530">
        <f t="shared" si="742"/>
        <v>9938.2795669050265</v>
      </c>
      <c r="AV576" s="530">
        <f t="shared" si="742"/>
        <v>9938.2795669050265</v>
      </c>
      <c r="AW576" s="530">
        <f t="shared" si="742"/>
        <v>9938.2795669050265</v>
      </c>
      <c r="AX576" s="530">
        <f t="shared" ref="AX576:BY576" si="743">AX512/AX$571</f>
        <v>9938.2795669050265</v>
      </c>
      <c r="AY576" s="530">
        <f t="shared" si="743"/>
        <v>9938.2795669050265</v>
      </c>
      <c r="AZ576" s="530">
        <f t="shared" si="743"/>
        <v>9938.2795669050265</v>
      </c>
      <c r="BA576" s="530">
        <f t="shared" si="743"/>
        <v>9938.2795669050265</v>
      </c>
      <c r="BB576" s="530">
        <f t="shared" si="743"/>
        <v>10275.347674772996</v>
      </c>
      <c r="BC576" s="530">
        <f t="shared" si="743"/>
        <v>10275.347674772996</v>
      </c>
      <c r="BD576" s="530">
        <f t="shared" si="743"/>
        <v>10275.347674772996</v>
      </c>
      <c r="BE576" s="530">
        <f t="shared" si="743"/>
        <v>10275.347674772996</v>
      </c>
      <c r="BF576" s="530">
        <f t="shared" si="743"/>
        <v>10275.347674772996</v>
      </c>
      <c r="BG576" s="530">
        <f t="shared" si="743"/>
        <v>10275.347674772996</v>
      </c>
      <c r="BH576" s="530">
        <f t="shared" si="743"/>
        <v>10275.347674772996</v>
      </c>
      <c r="BI576" s="530">
        <f t="shared" si="743"/>
        <v>10275.347674772996</v>
      </c>
      <c r="BJ576" s="530">
        <f t="shared" si="743"/>
        <v>10275.347674772996</v>
      </c>
      <c r="BK576" s="530">
        <f t="shared" si="743"/>
        <v>10275.347674772996</v>
      </c>
      <c r="BL576" s="530">
        <f t="shared" si="743"/>
        <v>10275.347674772996</v>
      </c>
      <c r="BM576" s="530">
        <f t="shared" si="743"/>
        <v>10275.347674772996</v>
      </c>
      <c r="BN576" s="530">
        <f t="shared" si="743"/>
        <v>10624.007927884566</v>
      </c>
      <c r="BO576" s="530">
        <f t="shared" si="743"/>
        <v>10624.007927884566</v>
      </c>
      <c r="BP576" s="530">
        <f t="shared" si="743"/>
        <v>10624.007927884566</v>
      </c>
      <c r="BQ576" s="530">
        <f t="shared" si="743"/>
        <v>10624.007927884566</v>
      </c>
      <c r="BR576" s="530">
        <f t="shared" si="743"/>
        <v>10624.007927884566</v>
      </c>
      <c r="BS576" s="530">
        <f t="shared" si="743"/>
        <v>10624.007927884566</v>
      </c>
      <c r="BT576" s="530">
        <f t="shared" si="743"/>
        <v>10624.007927884566</v>
      </c>
      <c r="BU576" s="530">
        <f t="shared" si="743"/>
        <v>10624.007927884566</v>
      </c>
      <c r="BV576" s="530">
        <f t="shared" si="743"/>
        <v>10624.007927884566</v>
      </c>
      <c r="BW576" s="530">
        <f t="shared" si="743"/>
        <v>10624.007927884566</v>
      </c>
      <c r="BX576" s="530">
        <f t="shared" si="743"/>
        <v>10624.007927884566</v>
      </c>
      <c r="BY576" s="530">
        <f t="shared" si="743"/>
        <v>10624.007927884566</v>
      </c>
    </row>
    <row r="577" spans="1:80" x14ac:dyDescent="0.3">
      <c r="A577" s="551"/>
      <c r="B577" s="522"/>
      <c r="C577" s="522"/>
      <c r="D577" s="522"/>
      <c r="E577" s="525" t="s">
        <v>387</v>
      </c>
      <c r="F577" s="567"/>
      <c r="G577" s="567"/>
      <c r="H577" s="537"/>
      <c r="I577" s="527">
        <f t="shared" si="741"/>
        <v>-35182.029082911664</v>
      </c>
      <c r="J577" s="527">
        <f t="shared" si="741"/>
        <v>-35543.390255179176</v>
      </c>
      <c r="K577" s="527">
        <f t="shared" si="741"/>
        <v>-35911.97865089203</v>
      </c>
      <c r="L577" s="527">
        <f t="shared" si="741"/>
        <v>-36287.938814519141</v>
      </c>
      <c r="M577" s="527">
        <f t="shared" si="741"/>
        <v>-36671.418181418805</v>
      </c>
      <c r="N577" s="527">
        <f t="shared" si="741"/>
        <v>-37062.567135656456</v>
      </c>
      <c r="O577" s="529"/>
      <c r="P577" s="564">
        <f t="shared" ref="P577:P582" si="744">IFERROR(((N577/I577)^(1/5))-1,0)</f>
        <v>1.0468833436704461E-2</v>
      </c>
      <c r="Q577" s="537"/>
      <c r="R577" s="527">
        <f t="shared" ref="R577:AW577" si="745">R513/R$571</f>
        <v>-2961.9491879315983</v>
      </c>
      <c r="S577" s="527">
        <f t="shared" si="745"/>
        <v>-2961.9491879315983</v>
      </c>
      <c r="T577" s="527">
        <f t="shared" si="745"/>
        <v>-2961.9491879315983</v>
      </c>
      <c r="U577" s="527">
        <f t="shared" si="745"/>
        <v>-2961.9491879315983</v>
      </c>
      <c r="V577" s="527">
        <f t="shared" si="745"/>
        <v>-2961.9491879315983</v>
      </c>
      <c r="W577" s="527">
        <f t="shared" si="745"/>
        <v>-2961.9491879315983</v>
      </c>
      <c r="X577" s="527">
        <f t="shared" si="745"/>
        <v>-2961.9491879315983</v>
      </c>
      <c r="Y577" s="527">
        <f t="shared" si="745"/>
        <v>-2961.9491879315983</v>
      </c>
      <c r="Z577" s="527">
        <f t="shared" si="745"/>
        <v>-2961.9491879315983</v>
      </c>
      <c r="AA577" s="527">
        <f t="shared" si="745"/>
        <v>-2961.9491879315983</v>
      </c>
      <c r="AB577" s="527">
        <f t="shared" si="745"/>
        <v>-2961.9491879315983</v>
      </c>
      <c r="AC577" s="527">
        <f t="shared" si="745"/>
        <v>-2961.9491879315983</v>
      </c>
      <c r="AD577" s="527">
        <f t="shared" si="745"/>
        <v>-2992.6648875743358</v>
      </c>
      <c r="AE577" s="527">
        <f t="shared" si="745"/>
        <v>-2992.6648875743358</v>
      </c>
      <c r="AF577" s="527">
        <f t="shared" si="745"/>
        <v>-2992.6648875743358</v>
      </c>
      <c r="AG577" s="527">
        <f t="shared" si="745"/>
        <v>-2992.6648875743358</v>
      </c>
      <c r="AH577" s="527">
        <f t="shared" si="745"/>
        <v>-2992.6648875743358</v>
      </c>
      <c r="AI577" s="527">
        <f t="shared" si="745"/>
        <v>-2992.6648875743358</v>
      </c>
      <c r="AJ577" s="527">
        <f t="shared" si="745"/>
        <v>-2992.6648875743358</v>
      </c>
      <c r="AK577" s="527">
        <f t="shared" si="745"/>
        <v>-2992.6648875743358</v>
      </c>
      <c r="AL577" s="527">
        <f t="shared" si="745"/>
        <v>-2992.6648875743358</v>
      </c>
      <c r="AM577" s="527">
        <f t="shared" si="745"/>
        <v>-2992.6648875743358</v>
      </c>
      <c r="AN577" s="527">
        <f t="shared" si="745"/>
        <v>-2992.6648875743358</v>
      </c>
      <c r="AO577" s="527">
        <f t="shared" si="745"/>
        <v>-2992.6648875743358</v>
      </c>
      <c r="AP577" s="527">
        <f t="shared" si="745"/>
        <v>-3023.9949012099282</v>
      </c>
      <c r="AQ577" s="527">
        <f t="shared" si="745"/>
        <v>-3023.9949012099282</v>
      </c>
      <c r="AR577" s="527">
        <f t="shared" si="745"/>
        <v>-3023.9949012099282</v>
      </c>
      <c r="AS577" s="527">
        <f t="shared" si="745"/>
        <v>-3023.9949012099282</v>
      </c>
      <c r="AT577" s="527">
        <f t="shared" si="745"/>
        <v>-3023.9949012099282</v>
      </c>
      <c r="AU577" s="527">
        <f t="shared" si="745"/>
        <v>-3023.9949012099282</v>
      </c>
      <c r="AV577" s="527">
        <f t="shared" si="745"/>
        <v>-3023.9949012099282</v>
      </c>
      <c r="AW577" s="527">
        <f t="shared" si="745"/>
        <v>-3023.9949012099282</v>
      </c>
      <c r="AX577" s="527">
        <f t="shared" ref="AX577:BY577" si="746">AX513/AX$571</f>
        <v>-3023.9949012099282</v>
      </c>
      <c r="AY577" s="527">
        <f t="shared" si="746"/>
        <v>-3023.9949012099282</v>
      </c>
      <c r="AZ577" s="527">
        <f t="shared" si="746"/>
        <v>-3023.9949012099282</v>
      </c>
      <c r="BA577" s="527">
        <f t="shared" si="746"/>
        <v>-3023.9949012099282</v>
      </c>
      <c r="BB577" s="527">
        <f t="shared" si="746"/>
        <v>-3055.9515151182336</v>
      </c>
      <c r="BC577" s="527">
        <f t="shared" si="746"/>
        <v>-3055.9515151182336</v>
      </c>
      <c r="BD577" s="527">
        <f t="shared" si="746"/>
        <v>-3055.9515151182336</v>
      </c>
      <c r="BE577" s="527">
        <f t="shared" si="746"/>
        <v>-3055.9515151182336</v>
      </c>
      <c r="BF577" s="527">
        <f t="shared" si="746"/>
        <v>-3055.9515151182336</v>
      </c>
      <c r="BG577" s="527">
        <f t="shared" si="746"/>
        <v>-3055.9515151182336</v>
      </c>
      <c r="BH577" s="527">
        <f t="shared" si="746"/>
        <v>-3055.9515151182336</v>
      </c>
      <c r="BI577" s="527">
        <f t="shared" si="746"/>
        <v>-3055.9515151182336</v>
      </c>
      <c r="BJ577" s="527">
        <f t="shared" si="746"/>
        <v>-3055.9515151182336</v>
      </c>
      <c r="BK577" s="527">
        <f t="shared" si="746"/>
        <v>-3055.9515151182336</v>
      </c>
      <c r="BL577" s="527">
        <f t="shared" si="746"/>
        <v>-3055.9515151182336</v>
      </c>
      <c r="BM577" s="527">
        <f t="shared" si="746"/>
        <v>-3055.9515151182336</v>
      </c>
      <c r="BN577" s="527">
        <f t="shared" si="746"/>
        <v>-3088.5472613047045</v>
      </c>
      <c r="BO577" s="527">
        <f t="shared" si="746"/>
        <v>-3088.5472613047045</v>
      </c>
      <c r="BP577" s="527">
        <f t="shared" si="746"/>
        <v>-3088.5472613047045</v>
      </c>
      <c r="BQ577" s="527">
        <f t="shared" si="746"/>
        <v>-3088.5472613047045</v>
      </c>
      <c r="BR577" s="527">
        <f t="shared" si="746"/>
        <v>-3088.5472613047045</v>
      </c>
      <c r="BS577" s="527">
        <f t="shared" si="746"/>
        <v>-3088.5472613047045</v>
      </c>
      <c r="BT577" s="527">
        <f t="shared" si="746"/>
        <v>-3088.5472613047045</v>
      </c>
      <c r="BU577" s="527">
        <f t="shared" si="746"/>
        <v>-3088.5472613047045</v>
      </c>
      <c r="BV577" s="527">
        <f t="shared" si="746"/>
        <v>-3088.5472613047045</v>
      </c>
      <c r="BW577" s="527">
        <f t="shared" si="746"/>
        <v>-3088.5472613047045</v>
      </c>
      <c r="BX577" s="527">
        <f t="shared" si="746"/>
        <v>-3088.5472613047045</v>
      </c>
      <c r="BY577" s="527">
        <f t="shared" si="746"/>
        <v>-3088.5472613047045</v>
      </c>
      <c r="BZ577" s="537"/>
      <c r="CA577" s="537"/>
      <c r="CB577" s="537"/>
    </row>
    <row r="578" spans="1:80" x14ac:dyDescent="0.3">
      <c r="A578" s="551"/>
      <c r="B578" s="522"/>
      <c r="C578" s="522"/>
      <c r="D578" s="522"/>
      <c r="E578" s="525" t="s">
        <v>386</v>
      </c>
      <c r="F578" s="567"/>
      <c r="G578" s="567"/>
      <c r="H578" s="537"/>
      <c r="I578" s="527">
        <f t="shared" si="741"/>
        <v>-6769.1530504942803</v>
      </c>
      <c r="J578" s="527">
        <f t="shared" si="741"/>
        <v>-6904.5361115041669</v>
      </c>
      <c r="K578" s="527">
        <f t="shared" si="741"/>
        <v>-7042.626833734249</v>
      </c>
      <c r="L578" s="527">
        <f t="shared" si="741"/>
        <v>-7183.4793704089343</v>
      </c>
      <c r="M578" s="527">
        <f t="shared" si="741"/>
        <v>-7327.148957817114</v>
      </c>
      <c r="N578" s="527">
        <f t="shared" si="741"/>
        <v>-7473.6919369734551</v>
      </c>
      <c r="O578" s="529"/>
      <c r="P578" s="564">
        <f t="shared" si="744"/>
        <v>2.0000000000000018E-2</v>
      </c>
      <c r="Q578" s="537"/>
      <c r="R578" s="527">
        <f t="shared" ref="R578:AW578" si="747">R514/R$571</f>
        <v>-575.37800929201387</v>
      </c>
      <c r="S578" s="527">
        <f t="shared" si="747"/>
        <v>-575.37800929201387</v>
      </c>
      <c r="T578" s="527">
        <f t="shared" si="747"/>
        <v>-575.37800929201387</v>
      </c>
      <c r="U578" s="527">
        <f t="shared" si="747"/>
        <v>-575.37800929201387</v>
      </c>
      <c r="V578" s="527">
        <f t="shared" si="747"/>
        <v>-575.37800929201387</v>
      </c>
      <c r="W578" s="527">
        <f t="shared" si="747"/>
        <v>-575.37800929201387</v>
      </c>
      <c r="X578" s="527">
        <f t="shared" si="747"/>
        <v>-575.37800929201387</v>
      </c>
      <c r="Y578" s="527">
        <f t="shared" si="747"/>
        <v>-575.37800929201387</v>
      </c>
      <c r="Z578" s="527">
        <f t="shared" si="747"/>
        <v>-575.37800929201387</v>
      </c>
      <c r="AA578" s="527">
        <f t="shared" si="747"/>
        <v>-575.37800929201387</v>
      </c>
      <c r="AB578" s="527">
        <f t="shared" si="747"/>
        <v>-575.37800929201387</v>
      </c>
      <c r="AC578" s="527">
        <f t="shared" si="747"/>
        <v>-575.37800929201387</v>
      </c>
      <c r="AD578" s="527">
        <f t="shared" si="747"/>
        <v>-586.88556947785412</v>
      </c>
      <c r="AE578" s="527">
        <f t="shared" si="747"/>
        <v>-586.88556947785412</v>
      </c>
      <c r="AF578" s="527">
        <f t="shared" si="747"/>
        <v>-586.88556947785412</v>
      </c>
      <c r="AG578" s="527">
        <f t="shared" si="747"/>
        <v>-586.88556947785412</v>
      </c>
      <c r="AH578" s="527">
        <f t="shared" si="747"/>
        <v>-586.88556947785412</v>
      </c>
      <c r="AI578" s="527">
        <f t="shared" si="747"/>
        <v>-586.88556947785412</v>
      </c>
      <c r="AJ578" s="527">
        <f t="shared" si="747"/>
        <v>-586.88556947785412</v>
      </c>
      <c r="AK578" s="527">
        <f t="shared" si="747"/>
        <v>-586.88556947785412</v>
      </c>
      <c r="AL578" s="527">
        <f t="shared" si="747"/>
        <v>-586.88556947785412</v>
      </c>
      <c r="AM578" s="527">
        <f t="shared" si="747"/>
        <v>-586.88556947785412</v>
      </c>
      <c r="AN578" s="527">
        <f t="shared" si="747"/>
        <v>-586.88556947785412</v>
      </c>
      <c r="AO578" s="527">
        <f t="shared" si="747"/>
        <v>-586.88556947785412</v>
      </c>
      <c r="AP578" s="527">
        <f t="shared" si="747"/>
        <v>-598.62328086741127</v>
      </c>
      <c r="AQ578" s="527">
        <f t="shared" si="747"/>
        <v>-598.62328086741127</v>
      </c>
      <c r="AR578" s="527">
        <f t="shared" si="747"/>
        <v>-598.62328086741127</v>
      </c>
      <c r="AS578" s="527">
        <f t="shared" si="747"/>
        <v>-598.62328086741127</v>
      </c>
      <c r="AT578" s="527">
        <f t="shared" si="747"/>
        <v>-598.62328086741127</v>
      </c>
      <c r="AU578" s="527">
        <f t="shared" si="747"/>
        <v>-598.62328086741127</v>
      </c>
      <c r="AV578" s="527">
        <f t="shared" si="747"/>
        <v>-598.62328086741127</v>
      </c>
      <c r="AW578" s="527">
        <f t="shared" si="747"/>
        <v>-598.62328086741127</v>
      </c>
      <c r="AX578" s="527">
        <f t="shared" ref="AX578:BY578" si="748">AX514/AX$571</f>
        <v>-598.62328086741127</v>
      </c>
      <c r="AY578" s="527">
        <f t="shared" si="748"/>
        <v>-598.62328086741127</v>
      </c>
      <c r="AZ578" s="527">
        <f t="shared" si="748"/>
        <v>-598.62328086741127</v>
      </c>
      <c r="BA578" s="527">
        <f t="shared" si="748"/>
        <v>-598.62328086741127</v>
      </c>
      <c r="BB578" s="527">
        <f t="shared" si="748"/>
        <v>-610.5957464847595</v>
      </c>
      <c r="BC578" s="527">
        <f t="shared" si="748"/>
        <v>-610.5957464847595</v>
      </c>
      <c r="BD578" s="527">
        <f t="shared" si="748"/>
        <v>-610.5957464847595</v>
      </c>
      <c r="BE578" s="527">
        <f t="shared" si="748"/>
        <v>-610.5957464847595</v>
      </c>
      <c r="BF578" s="527">
        <f t="shared" si="748"/>
        <v>-610.5957464847595</v>
      </c>
      <c r="BG578" s="527">
        <f t="shared" si="748"/>
        <v>-610.5957464847595</v>
      </c>
      <c r="BH578" s="527">
        <f t="shared" si="748"/>
        <v>-610.5957464847595</v>
      </c>
      <c r="BI578" s="527">
        <f t="shared" si="748"/>
        <v>-610.5957464847595</v>
      </c>
      <c r="BJ578" s="527">
        <f t="shared" si="748"/>
        <v>-610.5957464847595</v>
      </c>
      <c r="BK578" s="527">
        <f t="shared" si="748"/>
        <v>-610.5957464847595</v>
      </c>
      <c r="BL578" s="527">
        <f t="shared" si="748"/>
        <v>-610.5957464847595</v>
      </c>
      <c r="BM578" s="527">
        <f t="shared" si="748"/>
        <v>-610.5957464847595</v>
      </c>
      <c r="BN578" s="527">
        <f t="shared" si="748"/>
        <v>-622.80766141445451</v>
      </c>
      <c r="BO578" s="527">
        <f t="shared" si="748"/>
        <v>-622.80766141445451</v>
      </c>
      <c r="BP578" s="527">
        <f t="shared" si="748"/>
        <v>-622.80766141445451</v>
      </c>
      <c r="BQ578" s="527">
        <f t="shared" si="748"/>
        <v>-622.80766141445451</v>
      </c>
      <c r="BR578" s="527">
        <f t="shared" si="748"/>
        <v>-622.80766141445451</v>
      </c>
      <c r="BS578" s="527">
        <f t="shared" si="748"/>
        <v>-622.80766141445451</v>
      </c>
      <c r="BT578" s="527">
        <f t="shared" si="748"/>
        <v>-622.80766141445451</v>
      </c>
      <c r="BU578" s="527">
        <f t="shared" si="748"/>
        <v>-622.80766141445451</v>
      </c>
      <c r="BV578" s="527">
        <f t="shared" si="748"/>
        <v>-622.80766141445451</v>
      </c>
      <c r="BW578" s="527">
        <f t="shared" si="748"/>
        <v>-622.80766141445451</v>
      </c>
      <c r="BX578" s="527">
        <f t="shared" si="748"/>
        <v>-622.80766141445451</v>
      </c>
      <c r="BY578" s="527">
        <f t="shared" si="748"/>
        <v>-622.80766141445451</v>
      </c>
      <c r="BZ578" s="537"/>
      <c r="CA578" s="537"/>
      <c r="CB578" s="537"/>
    </row>
    <row r="579" spans="1:80" x14ac:dyDescent="0.3">
      <c r="A579" s="551"/>
      <c r="B579" s="522"/>
      <c r="C579" s="522"/>
      <c r="D579" s="522"/>
      <c r="E579" s="572" t="s">
        <v>385</v>
      </c>
      <c r="F579" s="573"/>
      <c r="G579" s="573"/>
      <c r="H579" s="537"/>
      <c r="I579" s="532">
        <f t="shared" si="741"/>
        <v>60685.715478260878</v>
      </c>
      <c r="J579" s="532">
        <f t="shared" si="741"/>
        <v>68686.92628856677</v>
      </c>
      <c r="K579" s="532">
        <f t="shared" si="741"/>
        <v>72239.424884757842</v>
      </c>
      <c r="L579" s="532">
        <f t="shared" si="741"/>
        <v>75787.936617932239</v>
      </c>
      <c r="M579" s="532">
        <f t="shared" si="741"/>
        <v>79305.604958040029</v>
      </c>
      <c r="N579" s="532">
        <f t="shared" si="741"/>
        <v>82951.836061984912</v>
      </c>
      <c r="O579" s="536"/>
      <c r="P579" s="568">
        <f t="shared" si="744"/>
        <v>6.450548935828504E-2</v>
      </c>
      <c r="Q579" s="537"/>
      <c r="R579" s="532">
        <f t="shared" ref="R579:AW579" si="749">R515/R$571</f>
        <v>5723.9105240472309</v>
      </c>
      <c r="S579" s="532">
        <f t="shared" si="749"/>
        <v>5723.9105240472309</v>
      </c>
      <c r="T579" s="532">
        <f t="shared" si="749"/>
        <v>5723.9105240472309</v>
      </c>
      <c r="U579" s="532">
        <f t="shared" si="749"/>
        <v>5723.9105240472309</v>
      </c>
      <c r="V579" s="532">
        <f t="shared" si="749"/>
        <v>5723.9105240472309</v>
      </c>
      <c r="W579" s="532">
        <f t="shared" si="749"/>
        <v>5723.9105240472309</v>
      </c>
      <c r="X579" s="532">
        <f t="shared" si="749"/>
        <v>5723.9105240472309</v>
      </c>
      <c r="Y579" s="532">
        <f t="shared" si="749"/>
        <v>5723.9105240472309</v>
      </c>
      <c r="Z579" s="532">
        <f t="shared" si="749"/>
        <v>5723.9105240472309</v>
      </c>
      <c r="AA579" s="532">
        <f t="shared" si="749"/>
        <v>5723.9105240472309</v>
      </c>
      <c r="AB579" s="532">
        <f t="shared" si="749"/>
        <v>5723.9105240472309</v>
      </c>
      <c r="AC579" s="532">
        <f t="shared" si="749"/>
        <v>5723.9105240472309</v>
      </c>
      <c r="AD579" s="532">
        <f t="shared" si="749"/>
        <v>6019.9520737298208</v>
      </c>
      <c r="AE579" s="532">
        <f t="shared" si="749"/>
        <v>6019.9520737298208</v>
      </c>
      <c r="AF579" s="532">
        <f t="shared" si="749"/>
        <v>6019.9520737298208</v>
      </c>
      <c r="AG579" s="532">
        <f t="shared" si="749"/>
        <v>6019.9520737298208</v>
      </c>
      <c r="AH579" s="532">
        <f t="shared" si="749"/>
        <v>6019.9520737298208</v>
      </c>
      <c r="AI579" s="532">
        <f t="shared" si="749"/>
        <v>6019.9520737298208</v>
      </c>
      <c r="AJ579" s="532">
        <f t="shared" si="749"/>
        <v>6019.9520737298208</v>
      </c>
      <c r="AK579" s="532">
        <f t="shared" si="749"/>
        <v>6019.9520737298208</v>
      </c>
      <c r="AL579" s="532">
        <f t="shared" si="749"/>
        <v>6019.9520737298208</v>
      </c>
      <c r="AM579" s="532">
        <f t="shared" si="749"/>
        <v>6019.9520737298208</v>
      </c>
      <c r="AN579" s="532">
        <f t="shared" si="749"/>
        <v>6019.9520737298208</v>
      </c>
      <c r="AO579" s="532">
        <f t="shared" si="749"/>
        <v>6019.9520737298208</v>
      </c>
      <c r="AP579" s="532">
        <f t="shared" si="749"/>
        <v>6315.6613848276875</v>
      </c>
      <c r="AQ579" s="532">
        <f t="shared" si="749"/>
        <v>6315.6613848276875</v>
      </c>
      <c r="AR579" s="532">
        <f t="shared" si="749"/>
        <v>6315.6613848276875</v>
      </c>
      <c r="AS579" s="532">
        <f t="shared" si="749"/>
        <v>6315.6613848276875</v>
      </c>
      <c r="AT579" s="532">
        <f t="shared" si="749"/>
        <v>6315.6613848276875</v>
      </c>
      <c r="AU579" s="532">
        <f t="shared" si="749"/>
        <v>6315.6613848276875</v>
      </c>
      <c r="AV579" s="532">
        <f t="shared" si="749"/>
        <v>6315.6613848276875</v>
      </c>
      <c r="AW579" s="532">
        <f t="shared" si="749"/>
        <v>6315.6613848276875</v>
      </c>
      <c r="AX579" s="532">
        <f t="shared" ref="AX579:BY579" si="750">AX515/AX$571</f>
        <v>6315.6613848276875</v>
      </c>
      <c r="AY579" s="532">
        <f t="shared" si="750"/>
        <v>6315.6613848276875</v>
      </c>
      <c r="AZ579" s="532">
        <f t="shared" si="750"/>
        <v>6315.6613848276875</v>
      </c>
      <c r="BA579" s="532">
        <f t="shared" si="750"/>
        <v>6315.6613848276875</v>
      </c>
      <c r="BB579" s="532">
        <f t="shared" si="750"/>
        <v>6608.8004131700036</v>
      </c>
      <c r="BC579" s="532">
        <f t="shared" si="750"/>
        <v>6608.8004131700036</v>
      </c>
      <c r="BD579" s="532">
        <f t="shared" si="750"/>
        <v>6608.8004131700036</v>
      </c>
      <c r="BE579" s="532">
        <f t="shared" si="750"/>
        <v>6608.8004131700036</v>
      </c>
      <c r="BF579" s="532">
        <f t="shared" si="750"/>
        <v>6608.8004131700036</v>
      </c>
      <c r="BG579" s="532">
        <f t="shared" si="750"/>
        <v>6608.8004131700036</v>
      </c>
      <c r="BH579" s="532">
        <f t="shared" si="750"/>
        <v>6608.8004131700036</v>
      </c>
      <c r="BI579" s="532">
        <f t="shared" si="750"/>
        <v>6608.8004131700036</v>
      </c>
      <c r="BJ579" s="532">
        <f t="shared" si="750"/>
        <v>6608.8004131700036</v>
      </c>
      <c r="BK579" s="532">
        <f t="shared" si="750"/>
        <v>6608.8004131700036</v>
      </c>
      <c r="BL579" s="532">
        <f t="shared" si="750"/>
        <v>6608.8004131700036</v>
      </c>
      <c r="BM579" s="532">
        <f t="shared" si="750"/>
        <v>6608.8004131700036</v>
      </c>
      <c r="BN579" s="532">
        <f t="shared" si="750"/>
        <v>6912.6530051654081</v>
      </c>
      <c r="BO579" s="532">
        <f t="shared" si="750"/>
        <v>6912.6530051654081</v>
      </c>
      <c r="BP579" s="532">
        <f t="shared" si="750"/>
        <v>6912.6530051654081</v>
      </c>
      <c r="BQ579" s="532">
        <f t="shared" si="750"/>
        <v>6912.6530051654081</v>
      </c>
      <c r="BR579" s="532">
        <f t="shared" si="750"/>
        <v>6912.6530051654081</v>
      </c>
      <c r="BS579" s="532">
        <f t="shared" si="750"/>
        <v>6912.6530051654081</v>
      </c>
      <c r="BT579" s="532">
        <f t="shared" si="750"/>
        <v>6912.6530051654081</v>
      </c>
      <c r="BU579" s="532">
        <f t="shared" si="750"/>
        <v>6912.6530051654081</v>
      </c>
      <c r="BV579" s="532">
        <f t="shared" si="750"/>
        <v>6912.6530051654081</v>
      </c>
      <c r="BW579" s="532">
        <f t="shared" si="750"/>
        <v>6912.6530051654081</v>
      </c>
      <c r="BX579" s="532">
        <f t="shared" si="750"/>
        <v>6912.6530051654081</v>
      </c>
      <c r="BY579" s="532">
        <f t="shared" si="750"/>
        <v>6912.6530051654081</v>
      </c>
      <c r="BZ579" s="537"/>
      <c r="CA579" s="537"/>
      <c r="CB579" s="537"/>
    </row>
    <row r="580" spans="1:80" x14ac:dyDescent="0.3">
      <c r="A580" s="551"/>
      <c r="B580" s="522"/>
      <c r="C580" s="522"/>
      <c r="D580" s="522"/>
      <c r="E580" s="525" t="s">
        <v>389</v>
      </c>
      <c r="F580" s="567"/>
      <c r="G580" s="567"/>
      <c r="H580" s="537"/>
      <c r="I580" s="527">
        <f t="shared" si="741"/>
        <v>-17723.075432744248</v>
      </c>
      <c r="J580" s="527">
        <f t="shared" si="741"/>
        <v>-18514.879319796899</v>
      </c>
      <c r="K580" s="527">
        <f t="shared" si="741"/>
        <v>-19314.224994583812</v>
      </c>
      <c r="L580" s="527">
        <f t="shared" si="741"/>
        <v>-20114.781100119591</v>
      </c>
      <c r="M580" s="527">
        <f t="shared" si="741"/>
        <v>-20911.298877189667</v>
      </c>
      <c r="N580" s="527">
        <f t="shared" si="741"/>
        <v>-21735.209782073918</v>
      </c>
      <c r="O580" s="529"/>
      <c r="P580" s="564">
        <f t="shared" si="744"/>
        <v>4.165751177604271E-2</v>
      </c>
      <c r="Q580" s="537"/>
      <c r="R580" s="527">
        <f t="shared" ref="R580:AW580" si="751">R516/R$571</f>
        <v>-1542.906609983075</v>
      </c>
      <c r="S580" s="527">
        <f t="shared" si="751"/>
        <v>-1542.906609983075</v>
      </c>
      <c r="T580" s="527">
        <f t="shared" si="751"/>
        <v>-1542.906609983075</v>
      </c>
      <c r="U580" s="527">
        <f t="shared" si="751"/>
        <v>-1542.906609983075</v>
      </c>
      <c r="V580" s="527">
        <f t="shared" si="751"/>
        <v>-1542.906609983075</v>
      </c>
      <c r="W580" s="527">
        <f t="shared" si="751"/>
        <v>-1542.906609983075</v>
      </c>
      <c r="X580" s="527">
        <f t="shared" si="751"/>
        <v>-1542.906609983075</v>
      </c>
      <c r="Y580" s="527">
        <f t="shared" si="751"/>
        <v>-1542.906609983075</v>
      </c>
      <c r="Z580" s="527">
        <f t="shared" si="751"/>
        <v>-1542.906609983075</v>
      </c>
      <c r="AA580" s="527">
        <f t="shared" si="751"/>
        <v>-1542.906609983075</v>
      </c>
      <c r="AB580" s="527">
        <f t="shared" si="751"/>
        <v>-1542.906609983075</v>
      </c>
      <c r="AC580" s="527">
        <f t="shared" si="751"/>
        <v>-1542.906609983075</v>
      </c>
      <c r="AD580" s="527">
        <f t="shared" si="751"/>
        <v>-1609.5187495486509</v>
      </c>
      <c r="AE580" s="527">
        <f t="shared" si="751"/>
        <v>-1609.5187495486509</v>
      </c>
      <c r="AF580" s="527">
        <f t="shared" si="751"/>
        <v>-1609.5187495486509</v>
      </c>
      <c r="AG580" s="527">
        <f t="shared" si="751"/>
        <v>-1609.5187495486509</v>
      </c>
      <c r="AH580" s="527">
        <f t="shared" si="751"/>
        <v>-1609.5187495486509</v>
      </c>
      <c r="AI580" s="527">
        <f t="shared" si="751"/>
        <v>-1609.5187495486509</v>
      </c>
      <c r="AJ580" s="527">
        <f t="shared" si="751"/>
        <v>-1609.5187495486509</v>
      </c>
      <c r="AK580" s="527">
        <f t="shared" si="751"/>
        <v>-1609.5187495486509</v>
      </c>
      <c r="AL580" s="527">
        <f t="shared" si="751"/>
        <v>-1609.5187495486509</v>
      </c>
      <c r="AM580" s="527">
        <f t="shared" si="751"/>
        <v>-1609.5187495486509</v>
      </c>
      <c r="AN580" s="527">
        <f t="shared" si="751"/>
        <v>-1609.5187495486509</v>
      </c>
      <c r="AO580" s="527">
        <f t="shared" si="751"/>
        <v>-1609.5187495486509</v>
      </c>
      <c r="AP580" s="527">
        <f t="shared" si="751"/>
        <v>-1676.2317583432991</v>
      </c>
      <c r="AQ580" s="527">
        <f t="shared" si="751"/>
        <v>-1676.2317583432991</v>
      </c>
      <c r="AR580" s="527">
        <f t="shared" si="751"/>
        <v>-1676.2317583432991</v>
      </c>
      <c r="AS580" s="527">
        <f t="shared" si="751"/>
        <v>-1676.2317583432991</v>
      </c>
      <c r="AT580" s="527">
        <f t="shared" si="751"/>
        <v>-1676.2317583432991</v>
      </c>
      <c r="AU580" s="527">
        <f t="shared" si="751"/>
        <v>-1676.2317583432991</v>
      </c>
      <c r="AV580" s="527">
        <f t="shared" si="751"/>
        <v>-1676.2317583432991</v>
      </c>
      <c r="AW580" s="527">
        <f t="shared" si="751"/>
        <v>-1676.2317583432991</v>
      </c>
      <c r="AX580" s="527">
        <f t="shared" ref="AX580:BY580" si="752">AX516/AX$571</f>
        <v>-1676.2317583432991</v>
      </c>
      <c r="AY580" s="527">
        <f t="shared" si="752"/>
        <v>-1676.2317583432991</v>
      </c>
      <c r="AZ580" s="527">
        <f t="shared" si="752"/>
        <v>-1676.2317583432991</v>
      </c>
      <c r="BA580" s="527">
        <f t="shared" si="752"/>
        <v>-1676.2317583432991</v>
      </c>
      <c r="BB580" s="527">
        <f t="shared" si="752"/>
        <v>-1742.6082397658056</v>
      </c>
      <c r="BC580" s="527">
        <f t="shared" si="752"/>
        <v>-1742.6082397658056</v>
      </c>
      <c r="BD580" s="527">
        <f t="shared" si="752"/>
        <v>-1742.6082397658056</v>
      </c>
      <c r="BE580" s="527">
        <f t="shared" si="752"/>
        <v>-1742.6082397658056</v>
      </c>
      <c r="BF580" s="527">
        <f t="shared" si="752"/>
        <v>-1742.6082397658056</v>
      </c>
      <c r="BG580" s="527">
        <f t="shared" si="752"/>
        <v>-1742.6082397658056</v>
      </c>
      <c r="BH580" s="527">
        <f t="shared" si="752"/>
        <v>-1742.6082397658056</v>
      </c>
      <c r="BI580" s="527">
        <f t="shared" si="752"/>
        <v>-1742.6082397658056</v>
      </c>
      <c r="BJ580" s="527">
        <f t="shared" si="752"/>
        <v>-1742.6082397658056</v>
      </c>
      <c r="BK580" s="527">
        <f t="shared" si="752"/>
        <v>-1742.6082397658056</v>
      </c>
      <c r="BL580" s="527">
        <f t="shared" si="752"/>
        <v>-1742.6082397658056</v>
      </c>
      <c r="BM580" s="527">
        <f t="shared" si="752"/>
        <v>-1742.6082397658056</v>
      </c>
      <c r="BN580" s="527">
        <f t="shared" si="752"/>
        <v>-1811.267481839493</v>
      </c>
      <c r="BO580" s="527">
        <f t="shared" si="752"/>
        <v>-1811.267481839493</v>
      </c>
      <c r="BP580" s="527">
        <f t="shared" si="752"/>
        <v>-1811.267481839493</v>
      </c>
      <c r="BQ580" s="527">
        <f t="shared" si="752"/>
        <v>-1811.267481839493</v>
      </c>
      <c r="BR580" s="527">
        <f t="shared" si="752"/>
        <v>-1811.267481839493</v>
      </c>
      <c r="BS580" s="527">
        <f t="shared" si="752"/>
        <v>-1811.267481839493</v>
      </c>
      <c r="BT580" s="527">
        <f t="shared" si="752"/>
        <v>-1811.267481839493</v>
      </c>
      <c r="BU580" s="527">
        <f t="shared" si="752"/>
        <v>-1811.267481839493</v>
      </c>
      <c r="BV580" s="527">
        <f t="shared" si="752"/>
        <v>-1811.267481839493</v>
      </c>
      <c r="BW580" s="527">
        <f t="shared" si="752"/>
        <v>-1811.267481839493</v>
      </c>
      <c r="BX580" s="527">
        <f t="shared" si="752"/>
        <v>-1811.267481839493</v>
      </c>
      <c r="BY580" s="527">
        <f t="shared" si="752"/>
        <v>-1811.267481839493</v>
      </c>
      <c r="BZ580" s="537"/>
      <c r="CA580" s="537"/>
      <c r="CB580" s="537"/>
    </row>
    <row r="581" spans="1:80" x14ac:dyDescent="0.3">
      <c r="A581" s="551"/>
      <c r="B581" s="522"/>
      <c r="C581" s="522"/>
      <c r="D581" s="522"/>
      <c r="E581" s="572" t="s">
        <v>390</v>
      </c>
      <c r="F581" s="573"/>
      <c r="G581" s="573"/>
      <c r="H581" s="537"/>
      <c r="I581" s="532">
        <f t="shared" si="741"/>
        <v>47439.715520137979</v>
      </c>
      <c r="J581" s="532">
        <f t="shared" si="741"/>
        <v>50172.046968769871</v>
      </c>
      <c r="K581" s="532">
        <f t="shared" si="741"/>
        <v>52925.199890174037</v>
      </c>
      <c r="L581" s="532">
        <f t="shared" si="741"/>
        <v>55673.155517812658</v>
      </c>
      <c r="M581" s="532">
        <f t="shared" si="741"/>
        <v>58394.306080850358</v>
      </c>
      <c r="N581" s="532">
        <f t="shared" si="741"/>
        <v>61216.626279910997</v>
      </c>
      <c r="O581" s="536"/>
      <c r="P581" s="568">
        <f t="shared" si="744"/>
        <v>5.2314278122602698E-2</v>
      </c>
      <c r="Q581" s="537"/>
      <c r="R581" s="530">
        <f t="shared" ref="R581:AW581" si="753">R517/R$571</f>
        <v>4181.0039140641557</v>
      </c>
      <c r="S581" s="532">
        <f t="shared" si="753"/>
        <v>4181.0039140641557</v>
      </c>
      <c r="T581" s="530">
        <f t="shared" si="753"/>
        <v>4181.0039140641557</v>
      </c>
      <c r="U581" s="532">
        <f t="shared" si="753"/>
        <v>4181.0039140641557</v>
      </c>
      <c r="V581" s="530">
        <f t="shared" si="753"/>
        <v>4181.0039140641557</v>
      </c>
      <c r="W581" s="530">
        <f t="shared" si="753"/>
        <v>4181.0039140641557</v>
      </c>
      <c r="X581" s="532">
        <f t="shared" si="753"/>
        <v>4181.0039140641557</v>
      </c>
      <c r="Y581" s="532">
        <f t="shared" si="753"/>
        <v>4181.0039140641557</v>
      </c>
      <c r="Z581" s="532">
        <f t="shared" si="753"/>
        <v>4181.0039140641557</v>
      </c>
      <c r="AA581" s="532">
        <f t="shared" si="753"/>
        <v>4181.0039140641557</v>
      </c>
      <c r="AB581" s="532">
        <f t="shared" si="753"/>
        <v>4181.0039140641557</v>
      </c>
      <c r="AC581" s="532">
        <f t="shared" si="753"/>
        <v>4181.0039140641557</v>
      </c>
      <c r="AD581" s="532">
        <f t="shared" si="753"/>
        <v>4410.4333241811701</v>
      </c>
      <c r="AE581" s="532">
        <f t="shared" si="753"/>
        <v>4410.4333241811701</v>
      </c>
      <c r="AF581" s="532">
        <f t="shared" si="753"/>
        <v>4410.4333241811701</v>
      </c>
      <c r="AG581" s="532">
        <f t="shared" si="753"/>
        <v>4410.4333241811701</v>
      </c>
      <c r="AH581" s="532">
        <f t="shared" si="753"/>
        <v>4410.4333241811701</v>
      </c>
      <c r="AI581" s="532">
        <f t="shared" si="753"/>
        <v>4410.4333241811701</v>
      </c>
      <c r="AJ581" s="532">
        <f t="shared" si="753"/>
        <v>4410.4333241811701</v>
      </c>
      <c r="AK581" s="532">
        <f t="shared" si="753"/>
        <v>4410.4333241811701</v>
      </c>
      <c r="AL581" s="532">
        <f t="shared" si="753"/>
        <v>4410.4333241811701</v>
      </c>
      <c r="AM581" s="532">
        <f t="shared" si="753"/>
        <v>4410.4333241811701</v>
      </c>
      <c r="AN581" s="532">
        <f t="shared" si="753"/>
        <v>4410.4333241811701</v>
      </c>
      <c r="AO581" s="532">
        <f t="shared" si="753"/>
        <v>4410.4333241811701</v>
      </c>
      <c r="AP581" s="532">
        <f t="shared" si="753"/>
        <v>4639.4296264843888</v>
      </c>
      <c r="AQ581" s="532">
        <f t="shared" si="753"/>
        <v>4639.4296264843888</v>
      </c>
      <c r="AR581" s="532">
        <f t="shared" si="753"/>
        <v>4639.4296264843888</v>
      </c>
      <c r="AS581" s="532">
        <f t="shared" si="753"/>
        <v>4639.4296264843888</v>
      </c>
      <c r="AT581" s="532">
        <f t="shared" si="753"/>
        <v>4639.4296264843888</v>
      </c>
      <c r="AU581" s="532">
        <f t="shared" si="753"/>
        <v>4639.4296264843888</v>
      </c>
      <c r="AV581" s="532">
        <f t="shared" si="753"/>
        <v>4639.4296264843888</v>
      </c>
      <c r="AW581" s="532">
        <f t="shared" si="753"/>
        <v>4639.4296264843888</v>
      </c>
      <c r="AX581" s="532">
        <f t="shared" ref="AX581:BY581" si="754">AX517/AX$571</f>
        <v>4639.4296264843888</v>
      </c>
      <c r="AY581" s="532">
        <f t="shared" si="754"/>
        <v>4639.4296264843888</v>
      </c>
      <c r="AZ581" s="532">
        <f t="shared" si="754"/>
        <v>4639.4296264843888</v>
      </c>
      <c r="BA581" s="532">
        <f t="shared" si="754"/>
        <v>4639.4296264843888</v>
      </c>
      <c r="BB581" s="532">
        <f t="shared" si="754"/>
        <v>4866.192173404198</v>
      </c>
      <c r="BC581" s="532">
        <f t="shared" si="754"/>
        <v>4866.192173404198</v>
      </c>
      <c r="BD581" s="532">
        <f t="shared" si="754"/>
        <v>4866.192173404198</v>
      </c>
      <c r="BE581" s="532">
        <f t="shared" si="754"/>
        <v>4866.192173404198</v>
      </c>
      <c r="BF581" s="532">
        <f t="shared" si="754"/>
        <v>4866.192173404198</v>
      </c>
      <c r="BG581" s="532">
        <f t="shared" si="754"/>
        <v>4866.192173404198</v>
      </c>
      <c r="BH581" s="532">
        <f t="shared" si="754"/>
        <v>4866.192173404198</v>
      </c>
      <c r="BI581" s="532">
        <f t="shared" si="754"/>
        <v>4866.192173404198</v>
      </c>
      <c r="BJ581" s="532">
        <f t="shared" si="754"/>
        <v>4866.192173404198</v>
      </c>
      <c r="BK581" s="532">
        <f t="shared" si="754"/>
        <v>4866.192173404198</v>
      </c>
      <c r="BL581" s="532">
        <f t="shared" si="754"/>
        <v>4866.192173404198</v>
      </c>
      <c r="BM581" s="532">
        <f t="shared" si="754"/>
        <v>4866.192173404198</v>
      </c>
      <c r="BN581" s="532">
        <f t="shared" si="754"/>
        <v>5101.3855233259155</v>
      </c>
      <c r="BO581" s="532">
        <f t="shared" si="754"/>
        <v>5101.3855233259155</v>
      </c>
      <c r="BP581" s="532">
        <f t="shared" si="754"/>
        <v>5101.3855233259155</v>
      </c>
      <c r="BQ581" s="532">
        <f t="shared" si="754"/>
        <v>5101.3855233259155</v>
      </c>
      <c r="BR581" s="532">
        <f t="shared" si="754"/>
        <v>5101.3855233259155</v>
      </c>
      <c r="BS581" s="532">
        <f t="shared" si="754"/>
        <v>5101.3855233259155</v>
      </c>
      <c r="BT581" s="532">
        <f t="shared" si="754"/>
        <v>5101.3855233259155</v>
      </c>
      <c r="BU581" s="532">
        <f t="shared" si="754"/>
        <v>5101.3855233259155</v>
      </c>
      <c r="BV581" s="532">
        <f t="shared" si="754"/>
        <v>5101.3855233259155</v>
      </c>
      <c r="BW581" s="532">
        <f t="shared" si="754"/>
        <v>5101.3855233259155</v>
      </c>
      <c r="BX581" s="532">
        <f t="shared" si="754"/>
        <v>5101.3855233259155</v>
      </c>
      <c r="BY581" s="532">
        <f t="shared" si="754"/>
        <v>5101.3855233259155</v>
      </c>
      <c r="BZ581" s="537"/>
      <c r="CA581" s="537"/>
      <c r="CB581" s="537"/>
    </row>
    <row r="582" spans="1:80" x14ac:dyDescent="0.3">
      <c r="A582" s="551"/>
      <c r="B582" s="522"/>
      <c r="C582" s="522"/>
      <c r="D582" s="522"/>
      <c r="E582" s="525" t="s">
        <v>175</v>
      </c>
      <c r="F582" s="575"/>
      <c r="G582" s="575"/>
      <c r="H582" s="529"/>
      <c r="I582" s="531">
        <f t="shared" ref="I582:N582" si="755">IFERROR(I581/I576,0)</f>
        <v>0.44289007449963419</v>
      </c>
      <c r="J582" s="531">
        <f t="shared" si="755"/>
        <v>0.45145195921938081</v>
      </c>
      <c r="K582" s="531">
        <f t="shared" si="755"/>
        <v>0.45944394618768641</v>
      </c>
      <c r="L582" s="531">
        <f t="shared" si="755"/>
        <v>0.46682422196432499</v>
      </c>
      <c r="M582" s="531">
        <f t="shared" si="755"/>
        <v>0.47357932085852283</v>
      </c>
      <c r="N582" s="531">
        <f t="shared" si="755"/>
        <v>0.48017523687425323</v>
      </c>
      <c r="O582" s="546"/>
      <c r="P582" s="564">
        <f t="shared" si="744"/>
        <v>1.6297277918175368E-2</v>
      </c>
      <c r="Q582" s="529"/>
      <c r="R582" s="531">
        <f t="shared" ref="R582:BY582" si="756">IFERROR(R581/R576,0)</f>
        <v>0.45145195921938075</v>
      </c>
      <c r="S582" s="531">
        <f t="shared" si="756"/>
        <v>0.45145195921938075</v>
      </c>
      <c r="T582" s="531">
        <f t="shared" si="756"/>
        <v>0.45145195921938075</v>
      </c>
      <c r="U582" s="531">
        <f t="shared" si="756"/>
        <v>0.45145195921938075</v>
      </c>
      <c r="V582" s="531">
        <f t="shared" si="756"/>
        <v>0.45145195921938075</v>
      </c>
      <c r="W582" s="531">
        <f t="shared" si="756"/>
        <v>0.45145195921938075</v>
      </c>
      <c r="X582" s="531">
        <f t="shared" si="756"/>
        <v>0.45145195921938075</v>
      </c>
      <c r="Y582" s="531">
        <f t="shared" si="756"/>
        <v>0.45145195921938075</v>
      </c>
      <c r="Z582" s="531">
        <f t="shared" si="756"/>
        <v>0.45145195921938075</v>
      </c>
      <c r="AA582" s="531">
        <f t="shared" si="756"/>
        <v>0.45145195921938075</v>
      </c>
      <c r="AB582" s="531">
        <f t="shared" si="756"/>
        <v>0.45145195921938075</v>
      </c>
      <c r="AC582" s="531">
        <f t="shared" si="756"/>
        <v>0.45145195921938075</v>
      </c>
      <c r="AD582" s="531">
        <f t="shared" si="756"/>
        <v>0.45944394618768647</v>
      </c>
      <c r="AE582" s="531">
        <f t="shared" si="756"/>
        <v>0.45944394618768647</v>
      </c>
      <c r="AF582" s="531">
        <f t="shared" si="756"/>
        <v>0.45944394618768647</v>
      </c>
      <c r="AG582" s="531">
        <f t="shared" si="756"/>
        <v>0.45944394618768647</v>
      </c>
      <c r="AH582" s="531">
        <f t="shared" si="756"/>
        <v>0.45944394618768647</v>
      </c>
      <c r="AI582" s="531">
        <f t="shared" si="756"/>
        <v>0.45944394618768647</v>
      </c>
      <c r="AJ582" s="531">
        <f t="shared" si="756"/>
        <v>0.45944394618768647</v>
      </c>
      <c r="AK582" s="531">
        <f t="shared" si="756"/>
        <v>0.45944394618768647</v>
      </c>
      <c r="AL582" s="531">
        <f t="shared" si="756"/>
        <v>0.45944394618768647</v>
      </c>
      <c r="AM582" s="531">
        <f t="shared" si="756"/>
        <v>0.45944394618768647</v>
      </c>
      <c r="AN582" s="531">
        <f t="shared" si="756"/>
        <v>0.45944394618768647</v>
      </c>
      <c r="AO582" s="531">
        <f t="shared" si="756"/>
        <v>0.45944394618768647</v>
      </c>
      <c r="AP582" s="531">
        <f t="shared" si="756"/>
        <v>0.4668242219643251</v>
      </c>
      <c r="AQ582" s="531">
        <f t="shared" si="756"/>
        <v>0.4668242219643251</v>
      </c>
      <c r="AR582" s="531">
        <f t="shared" si="756"/>
        <v>0.4668242219643251</v>
      </c>
      <c r="AS582" s="531">
        <f t="shared" si="756"/>
        <v>0.4668242219643251</v>
      </c>
      <c r="AT582" s="531">
        <f t="shared" si="756"/>
        <v>0.4668242219643251</v>
      </c>
      <c r="AU582" s="531">
        <f t="shared" si="756"/>
        <v>0.4668242219643251</v>
      </c>
      <c r="AV582" s="531">
        <f t="shared" si="756"/>
        <v>0.4668242219643251</v>
      </c>
      <c r="AW582" s="531">
        <f t="shared" si="756"/>
        <v>0.4668242219643251</v>
      </c>
      <c r="AX582" s="531">
        <f t="shared" si="756"/>
        <v>0.4668242219643251</v>
      </c>
      <c r="AY582" s="531">
        <f t="shared" si="756"/>
        <v>0.4668242219643251</v>
      </c>
      <c r="AZ582" s="531">
        <f t="shared" si="756"/>
        <v>0.4668242219643251</v>
      </c>
      <c r="BA582" s="531">
        <f t="shared" si="756"/>
        <v>0.4668242219643251</v>
      </c>
      <c r="BB582" s="531">
        <f t="shared" si="756"/>
        <v>0.47357932085852289</v>
      </c>
      <c r="BC582" s="531">
        <f t="shared" si="756"/>
        <v>0.47357932085852289</v>
      </c>
      <c r="BD582" s="531">
        <f t="shared" si="756"/>
        <v>0.47357932085852289</v>
      </c>
      <c r="BE582" s="531">
        <f t="shared" si="756"/>
        <v>0.47357932085852289</v>
      </c>
      <c r="BF582" s="531">
        <f t="shared" si="756"/>
        <v>0.47357932085852289</v>
      </c>
      <c r="BG582" s="531">
        <f t="shared" si="756"/>
        <v>0.47357932085852289</v>
      </c>
      <c r="BH582" s="531">
        <f t="shared" si="756"/>
        <v>0.47357932085852289</v>
      </c>
      <c r="BI582" s="531">
        <f t="shared" si="756"/>
        <v>0.47357932085852289</v>
      </c>
      <c r="BJ582" s="531">
        <f t="shared" si="756"/>
        <v>0.47357932085852289</v>
      </c>
      <c r="BK582" s="531">
        <f t="shared" si="756"/>
        <v>0.47357932085852289</v>
      </c>
      <c r="BL582" s="531">
        <f t="shared" si="756"/>
        <v>0.47357932085852289</v>
      </c>
      <c r="BM582" s="531">
        <f t="shared" si="756"/>
        <v>0.47357932085852289</v>
      </c>
      <c r="BN582" s="531">
        <f t="shared" si="756"/>
        <v>0.48017523687425323</v>
      </c>
      <c r="BO582" s="531">
        <f t="shared" si="756"/>
        <v>0.48017523687425323</v>
      </c>
      <c r="BP582" s="531">
        <f t="shared" si="756"/>
        <v>0.48017523687425323</v>
      </c>
      <c r="BQ582" s="531">
        <f t="shared" si="756"/>
        <v>0.48017523687425323</v>
      </c>
      <c r="BR582" s="531">
        <f t="shared" si="756"/>
        <v>0.48017523687425323</v>
      </c>
      <c r="BS582" s="531">
        <f t="shared" si="756"/>
        <v>0.48017523687425323</v>
      </c>
      <c r="BT582" s="531">
        <f t="shared" si="756"/>
        <v>0.48017523687425323</v>
      </c>
      <c r="BU582" s="531">
        <f t="shared" si="756"/>
        <v>0.48017523687425323</v>
      </c>
      <c r="BV582" s="531">
        <f t="shared" si="756"/>
        <v>0.48017523687425323</v>
      </c>
      <c r="BW582" s="531">
        <f t="shared" si="756"/>
        <v>0.48017523687425323</v>
      </c>
      <c r="BX582" s="531">
        <f t="shared" si="756"/>
        <v>0.48017523687425323</v>
      </c>
      <c r="BY582" s="531">
        <f t="shared" si="756"/>
        <v>0.48017523687425323</v>
      </c>
      <c r="BZ582" s="537"/>
      <c r="CA582" s="537"/>
      <c r="CB582" s="529"/>
    </row>
    <row r="583" spans="1:80" x14ac:dyDescent="0.3">
      <c r="A583" s="551"/>
      <c r="B583" s="522"/>
      <c r="C583" s="522"/>
      <c r="D583" s="522"/>
      <c r="E583" s="525"/>
      <c r="F583" s="575"/>
      <c r="G583" s="575"/>
      <c r="H583" s="537"/>
      <c r="I583" s="529"/>
      <c r="J583" s="529"/>
      <c r="K583" s="529"/>
      <c r="L583" s="529"/>
      <c r="M583" s="529"/>
      <c r="N583" s="529"/>
      <c r="O583" s="529"/>
      <c r="P583" s="660"/>
      <c r="Q583" s="537"/>
      <c r="R583" s="529"/>
      <c r="S583" s="529"/>
      <c r="T583" s="529"/>
      <c r="U583" s="529"/>
      <c r="V583" s="529"/>
      <c r="W583" s="529"/>
      <c r="X583" s="529"/>
      <c r="Y583" s="529"/>
      <c r="Z583" s="529"/>
      <c r="AA583" s="529"/>
      <c r="AB583" s="529"/>
      <c r="AC583" s="529"/>
      <c r="AD583" s="529"/>
      <c r="AE583" s="529"/>
      <c r="AF583" s="529"/>
      <c r="AG583" s="529"/>
      <c r="AH583" s="529"/>
      <c r="AI583" s="529"/>
      <c r="AJ583" s="529"/>
      <c r="AK583" s="529"/>
      <c r="AL583" s="529"/>
      <c r="AM583" s="529"/>
      <c r="AN583" s="529"/>
      <c r="AO583" s="529"/>
      <c r="AP583" s="529"/>
      <c r="AQ583" s="529"/>
      <c r="AR583" s="529"/>
      <c r="AS583" s="529"/>
      <c r="AT583" s="529"/>
      <c r="AU583" s="529"/>
      <c r="AV583" s="529"/>
      <c r="AW583" s="529"/>
      <c r="AX583" s="529"/>
      <c r="AY583" s="529"/>
      <c r="AZ583" s="529"/>
      <c r="BA583" s="529"/>
      <c r="BB583" s="529"/>
      <c r="BC583" s="529"/>
      <c r="BD583" s="529"/>
      <c r="BE583" s="529"/>
      <c r="BF583" s="529"/>
      <c r="BG583" s="529"/>
      <c r="BH583" s="529"/>
      <c r="BI583" s="529"/>
      <c r="BJ583" s="529"/>
      <c r="BK583" s="529"/>
      <c r="BL583" s="529"/>
      <c r="BM583" s="529"/>
      <c r="BN583" s="529"/>
      <c r="BO583" s="529"/>
      <c r="BP583" s="529"/>
      <c r="BQ583" s="529"/>
      <c r="BR583" s="529"/>
      <c r="BS583" s="529"/>
      <c r="BT583" s="529"/>
      <c r="BU583" s="529"/>
      <c r="BV583" s="529"/>
      <c r="BW583" s="529"/>
      <c r="BX583" s="529"/>
      <c r="BY583" s="529"/>
      <c r="BZ583" s="537"/>
      <c r="CA583" s="537"/>
      <c r="CB583" s="537"/>
    </row>
    <row r="584" spans="1:80" x14ac:dyDescent="0.3">
      <c r="A584" s="551"/>
      <c r="B584" s="522"/>
      <c r="C584" s="522"/>
      <c r="D584" s="522"/>
      <c r="E584" s="570" t="s">
        <v>23</v>
      </c>
      <c r="F584" s="529"/>
      <c r="G584" s="529"/>
      <c r="H584" s="537"/>
      <c r="I584" s="529"/>
      <c r="J584" s="529"/>
      <c r="K584" s="529"/>
      <c r="L584" s="529"/>
      <c r="M584" s="529"/>
      <c r="N584" s="529"/>
      <c r="O584" s="529"/>
      <c r="P584" s="660"/>
      <c r="Q584" s="537"/>
      <c r="R584" s="529"/>
      <c r="S584" s="529"/>
      <c r="T584" s="529"/>
      <c r="U584" s="529"/>
      <c r="V584" s="529"/>
      <c r="W584" s="529"/>
      <c r="X584" s="529"/>
      <c r="Y584" s="529"/>
      <c r="Z584" s="529"/>
      <c r="AA584" s="529"/>
      <c r="AB584" s="529"/>
      <c r="AC584" s="529"/>
      <c r="AD584" s="529"/>
      <c r="AE584" s="529"/>
      <c r="AF584" s="529"/>
      <c r="AG584" s="529"/>
      <c r="AH584" s="529"/>
      <c r="AI584" s="529"/>
      <c r="AJ584" s="529"/>
      <c r="AK584" s="529"/>
      <c r="AL584" s="529"/>
      <c r="AM584" s="529"/>
      <c r="AN584" s="529"/>
      <c r="AO584" s="529"/>
      <c r="AP584" s="529"/>
      <c r="AQ584" s="529"/>
      <c r="AR584" s="529"/>
      <c r="AS584" s="529"/>
      <c r="AT584" s="529"/>
      <c r="AU584" s="529"/>
      <c r="AV584" s="529"/>
      <c r="AW584" s="529"/>
      <c r="AX584" s="529"/>
      <c r="AY584" s="529"/>
      <c r="AZ584" s="529"/>
      <c r="BA584" s="529"/>
      <c r="BB584" s="529"/>
      <c r="BC584" s="529"/>
      <c r="BD584" s="529"/>
      <c r="BE584" s="529"/>
      <c r="BF584" s="529"/>
      <c r="BG584" s="529"/>
      <c r="BH584" s="529"/>
      <c r="BI584" s="529"/>
      <c r="BJ584" s="529"/>
      <c r="BK584" s="529"/>
      <c r="BL584" s="529"/>
      <c r="BM584" s="529"/>
      <c r="BN584" s="529"/>
      <c r="BO584" s="529"/>
      <c r="BP584" s="529"/>
      <c r="BQ584" s="529"/>
      <c r="BR584" s="529"/>
      <c r="BS584" s="529"/>
      <c r="BT584" s="529"/>
      <c r="BU584" s="529"/>
      <c r="BV584" s="529"/>
      <c r="BW584" s="529"/>
      <c r="BX584" s="529"/>
      <c r="BY584" s="529"/>
      <c r="BZ584" s="537"/>
      <c r="CA584" s="537"/>
      <c r="CB584" s="537"/>
    </row>
    <row r="585" spans="1:80" x14ac:dyDescent="0.3">
      <c r="A585" s="551"/>
      <c r="B585" s="522"/>
      <c r="C585" s="522"/>
      <c r="D585" s="522"/>
      <c r="E585" s="572" t="s">
        <v>391</v>
      </c>
      <c r="F585" s="573"/>
      <c r="G585" s="573"/>
      <c r="H585" s="537"/>
      <c r="I585" s="532">
        <f t="shared" ref="I585:N590" si="757">I521/I$571</f>
        <v>9736.187869755664</v>
      </c>
      <c r="J585" s="532">
        <f t="shared" si="757"/>
        <v>9736.187869755664</v>
      </c>
      <c r="K585" s="532">
        <f t="shared" si="757"/>
        <v>9736.187869755664</v>
      </c>
      <c r="L585" s="532">
        <f t="shared" si="757"/>
        <v>9736.187869755664</v>
      </c>
      <c r="M585" s="532">
        <f t="shared" si="757"/>
        <v>9736.187869755664</v>
      </c>
      <c r="N585" s="532">
        <f t="shared" si="757"/>
        <v>9736.187869755664</v>
      </c>
      <c r="O585" s="536"/>
      <c r="P585" s="568">
        <f t="shared" ref="P585:P591" si="758">IFERROR(((N585/I585)^(1/5))-1,0)</f>
        <v>0</v>
      </c>
      <c r="Q585" s="537"/>
      <c r="R585" s="530">
        <f t="shared" ref="R585:AW585" si="759">R521/R$571</f>
        <v>811.34898914630537</v>
      </c>
      <c r="S585" s="532">
        <f t="shared" si="759"/>
        <v>811.34898914630537</v>
      </c>
      <c r="T585" s="532">
        <f t="shared" si="759"/>
        <v>811.34898914630537</v>
      </c>
      <c r="U585" s="532">
        <f t="shared" si="759"/>
        <v>811.34898914630537</v>
      </c>
      <c r="V585" s="530">
        <f t="shared" si="759"/>
        <v>811.34898914630537</v>
      </c>
      <c r="W585" s="532">
        <f t="shared" si="759"/>
        <v>811.34898914630537</v>
      </c>
      <c r="X585" s="532">
        <f t="shared" si="759"/>
        <v>811.34898914630537</v>
      </c>
      <c r="Y585" s="532">
        <f t="shared" si="759"/>
        <v>811.34898914630537</v>
      </c>
      <c r="Z585" s="532">
        <f t="shared" si="759"/>
        <v>811.34898914630537</v>
      </c>
      <c r="AA585" s="532">
        <f t="shared" si="759"/>
        <v>811.34898914630537</v>
      </c>
      <c r="AB585" s="532">
        <f t="shared" si="759"/>
        <v>811.34898914630537</v>
      </c>
      <c r="AC585" s="532">
        <f t="shared" si="759"/>
        <v>811.34898914630537</v>
      </c>
      <c r="AD585" s="532">
        <f t="shared" si="759"/>
        <v>811.34898914630537</v>
      </c>
      <c r="AE585" s="532">
        <f t="shared" si="759"/>
        <v>811.34898914630537</v>
      </c>
      <c r="AF585" s="532">
        <f t="shared" si="759"/>
        <v>811.34898914630537</v>
      </c>
      <c r="AG585" s="532">
        <f t="shared" si="759"/>
        <v>811.34898914630537</v>
      </c>
      <c r="AH585" s="532">
        <f t="shared" si="759"/>
        <v>811.34898914630537</v>
      </c>
      <c r="AI585" s="532">
        <f t="shared" si="759"/>
        <v>811.34898914630537</v>
      </c>
      <c r="AJ585" s="532">
        <f t="shared" si="759"/>
        <v>811.34898914630537</v>
      </c>
      <c r="AK585" s="532">
        <f t="shared" si="759"/>
        <v>811.34898914630537</v>
      </c>
      <c r="AL585" s="532">
        <f t="shared" si="759"/>
        <v>811.34898914630537</v>
      </c>
      <c r="AM585" s="532">
        <f t="shared" si="759"/>
        <v>811.34898914630537</v>
      </c>
      <c r="AN585" s="532">
        <f t="shared" si="759"/>
        <v>811.34898914630537</v>
      </c>
      <c r="AO585" s="532">
        <f t="shared" si="759"/>
        <v>811.34898914630537</v>
      </c>
      <c r="AP585" s="532">
        <f t="shared" si="759"/>
        <v>811.34898914630537</v>
      </c>
      <c r="AQ585" s="532">
        <f t="shared" si="759"/>
        <v>811.34898914630537</v>
      </c>
      <c r="AR585" s="532">
        <f t="shared" si="759"/>
        <v>811.34898914630537</v>
      </c>
      <c r="AS585" s="532">
        <f t="shared" si="759"/>
        <v>811.34898914630537</v>
      </c>
      <c r="AT585" s="532">
        <f t="shared" si="759"/>
        <v>811.34898914630537</v>
      </c>
      <c r="AU585" s="532">
        <f t="shared" si="759"/>
        <v>811.34898914630537</v>
      </c>
      <c r="AV585" s="532">
        <f t="shared" si="759"/>
        <v>811.34898914630537</v>
      </c>
      <c r="AW585" s="532">
        <f t="shared" si="759"/>
        <v>811.34898914630537</v>
      </c>
      <c r="AX585" s="532">
        <f t="shared" ref="AX585:BY585" si="760">AX521/AX$571</f>
        <v>811.34898914630537</v>
      </c>
      <c r="AY585" s="532">
        <f t="shared" si="760"/>
        <v>811.34898914630537</v>
      </c>
      <c r="AZ585" s="532">
        <f t="shared" si="760"/>
        <v>811.34898914630537</v>
      </c>
      <c r="BA585" s="532">
        <f t="shared" si="760"/>
        <v>811.34898914630537</v>
      </c>
      <c r="BB585" s="532">
        <f t="shared" si="760"/>
        <v>811.34898914630537</v>
      </c>
      <c r="BC585" s="532">
        <f t="shared" si="760"/>
        <v>811.34898914630537</v>
      </c>
      <c r="BD585" s="532">
        <f t="shared" si="760"/>
        <v>811.34898914630537</v>
      </c>
      <c r="BE585" s="532">
        <f t="shared" si="760"/>
        <v>811.34898914630537</v>
      </c>
      <c r="BF585" s="532">
        <f t="shared" si="760"/>
        <v>811.34898914630537</v>
      </c>
      <c r="BG585" s="532">
        <f t="shared" si="760"/>
        <v>811.34898914630537</v>
      </c>
      <c r="BH585" s="532">
        <f t="shared" si="760"/>
        <v>811.34898914630537</v>
      </c>
      <c r="BI585" s="532">
        <f t="shared" si="760"/>
        <v>811.34898914630537</v>
      </c>
      <c r="BJ585" s="532">
        <f t="shared" si="760"/>
        <v>811.34898914630537</v>
      </c>
      <c r="BK585" s="532">
        <f t="shared" si="760"/>
        <v>811.34898914630537</v>
      </c>
      <c r="BL585" s="532">
        <f t="shared" si="760"/>
        <v>811.34898914630537</v>
      </c>
      <c r="BM585" s="532">
        <f t="shared" si="760"/>
        <v>811.34898914630537</v>
      </c>
      <c r="BN585" s="532">
        <f t="shared" si="760"/>
        <v>811.34898914630537</v>
      </c>
      <c r="BO585" s="532">
        <f t="shared" si="760"/>
        <v>811.34898914630537</v>
      </c>
      <c r="BP585" s="532">
        <f t="shared" si="760"/>
        <v>811.34898914630537</v>
      </c>
      <c r="BQ585" s="532">
        <f t="shared" si="760"/>
        <v>811.34898914630537</v>
      </c>
      <c r="BR585" s="532">
        <f t="shared" si="760"/>
        <v>811.34898914630537</v>
      </c>
      <c r="BS585" s="532">
        <f t="shared" si="760"/>
        <v>811.34898914630537</v>
      </c>
      <c r="BT585" s="532">
        <f t="shared" si="760"/>
        <v>811.34898914630537</v>
      </c>
      <c r="BU585" s="532">
        <f t="shared" si="760"/>
        <v>811.34898914630537</v>
      </c>
      <c r="BV585" s="532">
        <f t="shared" si="760"/>
        <v>811.34898914630537</v>
      </c>
      <c r="BW585" s="532">
        <f t="shared" si="760"/>
        <v>811.34898914630537</v>
      </c>
      <c r="BX585" s="532">
        <f t="shared" si="760"/>
        <v>811.34898914630537</v>
      </c>
      <c r="BY585" s="532">
        <f t="shared" si="760"/>
        <v>811.34898914630537</v>
      </c>
      <c r="BZ585" s="537"/>
      <c r="CA585" s="537"/>
      <c r="CB585" s="537"/>
    </row>
    <row r="586" spans="1:80" x14ac:dyDescent="0.3">
      <c r="A586" s="551"/>
      <c r="B586" s="522"/>
      <c r="C586" s="522"/>
      <c r="D586" s="522"/>
      <c r="E586" s="525" t="s">
        <v>392</v>
      </c>
      <c r="F586" s="567"/>
      <c r="G586" s="567"/>
      <c r="H586" s="537"/>
      <c r="I586" s="527">
        <f t="shared" si="757"/>
        <v>-4971.1788621782862</v>
      </c>
      <c r="J586" s="527">
        <f t="shared" si="757"/>
        <v>-4971.1788621782862</v>
      </c>
      <c r="K586" s="527">
        <f t="shared" si="757"/>
        <v>-4971.1788621782862</v>
      </c>
      <c r="L586" s="527">
        <f t="shared" si="757"/>
        <v>-4971.1788621782862</v>
      </c>
      <c r="M586" s="527">
        <f t="shared" si="757"/>
        <v>-4971.1788621782862</v>
      </c>
      <c r="N586" s="527">
        <f t="shared" si="757"/>
        <v>-4971.1788621782862</v>
      </c>
      <c r="O586" s="529"/>
      <c r="P586" s="564">
        <f t="shared" si="758"/>
        <v>0</v>
      </c>
      <c r="Q586" s="537"/>
      <c r="R586" s="527">
        <f t="shared" ref="R586:AW586" si="761">R522/R$571</f>
        <v>-414.26490518152383</v>
      </c>
      <c r="S586" s="527">
        <f t="shared" si="761"/>
        <v>-414.26490518152383</v>
      </c>
      <c r="T586" s="527">
        <f t="shared" si="761"/>
        <v>-414.26490518152383</v>
      </c>
      <c r="U586" s="527">
        <f t="shared" si="761"/>
        <v>-414.26490518152383</v>
      </c>
      <c r="V586" s="527">
        <f t="shared" si="761"/>
        <v>-414.26490518152383</v>
      </c>
      <c r="W586" s="527">
        <f t="shared" si="761"/>
        <v>-414.26490518152383</v>
      </c>
      <c r="X586" s="527">
        <f t="shared" si="761"/>
        <v>-414.26490518152383</v>
      </c>
      <c r="Y586" s="527">
        <f t="shared" si="761"/>
        <v>-414.26490518152383</v>
      </c>
      <c r="Z586" s="527">
        <f t="shared" si="761"/>
        <v>-414.26490518152383</v>
      </c>
      <c r="AA586" s="527">
        <f t="shared" si="761"/>
        <v>-414.26490518152383</v>
      </c>
      <c r="AB586" s="527">
        <f t="shared" si="761"/>
        <v>-414.26490518152383</v>
      </c>
      <c r="AC586" s="527">
        <f t="shared" si="761"/>
        <v>-414.26490518152383</v>
      </c>
      <c r="AD586" s="527">
        <f t="shared" si="761"/>
        <v>-414.26490518152383</v>
      </c>
      <c r="AE586" s="527">
        <f t="shared" si="761"/>
        <v>-414.26490518152383</v>
      </c>
      <c r="AF586" s="527">
        <f t="shared" si="761"/>
        <v>-414.26490518152383</v>
      </c>
      <c r="AG586" s="527">
        <f t="shared" si="761"/>
        <v>-414.26490518152383</v>
      </c>
      <c r="AH586" s="527">
        <f t="shared" si="761"/>
        <v>-414.26490518152383</v>
      </c>
      <c r="AI586" s="527">
        <f t="shared" si="761"/>
        <v>-414.26490518152383</v>
      </c>
      <c r="AJ586" s="527">
        <f t="shared" si="761"/>
        <v>-414.26490518152383</v>
      </c>
      <c r="AK586" s="527">
        <f t="shared" si="761"/>
        <v>-414.26490518152383</v>
      </c>
      <c r="AL586" s="527">
        <f t="shared" si="761"/>
        <v>-414.26490518152383</v>
      </c>
      <c r="AM586" s="527">
        <f t="shared" si="761"/>
        <v>-414.26490518152383</v>
      </c>
      <c r="AN586" s="527">
        <f t="shared" si="761"/>
        <v>-414.26490518152383</v>
      </c>
      <c r="AO586" s="527">
        <f t="shared" si="761"/>
        <v>-414.26490518152383</v>
      </c>
      <c r="AP586" s="527">
        <f t="shared" si="761"/>
        <v>-414.26490518152383</v>
      </c>
      <c r="AQ586" s="527">
        <f t="shared" si="761"/>
        <v>-414.26490518152383</v>
      </c>
      <c r="AR586" s="527">
        <f t="shared" si="761"/>
        <v>-414.26490518152383</v>
      </c>
      <c r="AS586" s="527">
        <f t="shared" si="761"/>
        <v>-414.26490518152383</v>
      </c>
      <c r="AT586" s="527">
        <f t="shared" si="761"/>
        <v>-414.26490518152383</v>
      </c>
      <c r="AU586" s="527">
        <f t="shared" si="761"/>
        <v>-414.26490518152383</v>
      </c>
      <c r="AV586" s="527">
        <f t="shared" si="761"/>
        <v>-414.26490518152383</v>
      </c>
      <c r="AW586" s="527">
        <f t="shared" si="761"/>
        <v>-414.26490518152383</v>
      </c>
      <c r="AX586" s="527">
        <f t="shared" ref="AX586:BY586" si="762">AX522/AX$571</f>
        <v>-414.26490518152383</v>
      </c>
      <c r="AY586" s="527">
        <f t="shared" si="762"/>
        <v>-414.26490518152383</v>
      </c>
      <c r="AZ586" s="527">
        <f t="shared" si="762"/>
        <v>-414.26490518152383</v>
      </c>
      <c r="BA586" s="527">
        <f t="shared" si="762"/>
        <v>-414.26490518152383</v>
      </c>
      <c r="BB586" s="527">
        <f t="shared" si="762"/>
        <v>-414.26490518152383</v>
      </c>
      <c r="BC586" s="527">
        <f t="shared" si="762"/>
        <v>-414.26490518152383</v>
      </c>
      <c r="BD586" s="527">
        <f t="shared" si="762"/>
        <v>-414.26490518152383</v>
      </c>
      <c r="BE586" s="527">
        <f t="shared" si="762"/>
        <v>-414.26490518152383</v>
      </c>
      <c r="BF586" s="527">
        <f t="shared" si="762"/>
        <v>-414.26490518152383</v>
      </c>
      <c r="BG586" s="527">
        <f t="shared" si="762"/>
        <v>-414.26490518152383</v>
      </c>
      <c r="BH586" s="527">
        <f t="shared" si="762"/>
        <v>-414.26490518152383</v>
      </c>
      <c r="BI586" s="527">
        <f t="shared" si="762"/>
        <v>-414.26490518152383</v>
      </c>
      <c r="BJ586" s="527">
        <f t="shared" si="762"/>
        <v>-414.26490518152383</v>
      </c>
      <c r="BK586" s="527">
        <f t="shared" si="762"/>
        <v>-414.26490518152383</v>
      </c>
      <c r="BL586" s="527">
        <f t="shared" si="762"/>
        <v>-414.26490518152383</v>
      </c>
      <c r="BM586" s="527">
        <f t="shared" si="762"/>
        <v>-414.26490518152383</v>
      </c>
      <c r="BN586" s="527">
        <f t="shared" si="762"/>
        <v>-414.26490518152383</v>
      </c>
      <c r="BO586" s="527">
        <f t="shared" si="762"/>
        <v>-414.26490518152383</v>
      </c>
      <c r="BP586" s="527">
        <f t="shared" si="762"/>
        <v>-414.26490518152383</v>
      </c>
      <c r="BQ586" s="527">
        <f t="shared" si="762"/>
        <v>-414.26490518152383</v>
      </c>
      <c r="BR586" s="527">
        <f t="shared" si="762"/>
        <v>-414.26490518152383</v>
      </c>
      <c r="BS586" s="527">
        <f t="shared" si="762"/>
        <v>-414.26490518152383</v>
      </c>
      <c r="BT586" s="527">
        <f t="shared" si="762"/>
        <v>-414.26490518152383</v>
      </c>
      <c r="BU586" s="527">
        <f t="shared" si="762"/>
        <v>-414.26490518152383</v>
      </c>
      <c r="BV586" s="527">
        <f t="shared" si="762"/>
        <v>-414.26490518152383</v>
      </c>
      <c r="BW586" s="527">
        <f t="shared" si="762"/>
        <v>-414.26490518152383</v>
      </c>
      <c r="BX586" s="527">
        <f t="shared" si="762"/>
        <v>-414.26490518152383</v>
      </c>
      <c r="BY586" s="527">
        <f t="shared" si="762"/>
        <v>-414.26490518152383</v>
      </c>
      <c r="BZ586" s="537"/>
      <c r="CA586" s="537"/>
      <c r="CB586" s="537"/>
    </row>
    <row r="587" spans="1:80" x14ac:dyDescent="0.3">
      <c r="A587" s="551"/>
      <c r="B587" s="522"/>
      <c r="C587" s="522"/>
      <c r="D587" s="537"/>
      <c r="E587" s="525" t="s">
        <v>393</v>
      </c>
      <c r="F587" s="567"/>
      <c r="G587" s="567"/>
      <c r="H587" s="537"/>
      <c r="I587" s="527">
        <f t="shared" si="757"/>
        <v>-680.11473990043044</v>
      </c>
      <c r="J587" s="527">
        <f t="shared" si="757"/>
        <v>-680.11473990043044</v>
      </c>
      <c r="K587" s="527">
        <f t="shared" si="757"/>
        <v>-680.11473990043044</v>
      </c>
      <c r="L587" s="527">
        <f t="shared" si="757"/>
        <v>-680.11473990043044</v>
      </c>
      <c r="M587" s="527">
        <f t="shared" si="757"/>
        <v>-680.11473990043044</v>
      </c>
      <c r="N587" s="527">
        <f t="shared" si="757"/>
        <v>-680.11473990043044</v>
      </c>
      <c r="O587" s="529"/>
      <c r="P587" s="564">
        <f t="shared" si="758"/>
        <v>0</v>
      </c>
      <c r="Q587" s="537"/>
      <c r="R587" s="527">
        <f t="shared" ref="R587:AW587" si="763">R523/R$571</f>
        <v>-56.676228325035872</v>
      </c>
      <c r="S587" s="527">
        <f t="shared" si="763"/>
        <v>-56.676228325035872</v>
      </c>
      <c r="T587" s="527">
        <f t="shared" si="763"/>
        <v>-56.676228325035872</v>
      </c>
      <c r="U587" s="527">
        <f t="shared" si="763"/>
        <v>-56.676228325035872</v>
      </c>
      <c r="V587" s="527">
        <f t="shared" si="763"/>
        <v>-56.676228325035872</v>
      </c>
      <c r="W587" s="527">
        <f t="shared" si="763"/>
        <v>-56.676228325035872</v>
      </c>
      <c r="X587" s="527">
        <f t="shared" si="763"/>
        <v>-56.676228325035872</v>
      </c>
      <c r="Y587" s="527">
        <f t="shared" si="763"/>
        <v>-56.676228325035872</v>
      </c>
      <c r="Z587" s="527">
        <f t="shared" si="763"/>
        <v>-56.676228325035872</v>
      </c>
      <c r="AA587" s="527">
        <f t="shared" si="763"/>
        <v>-56.676228325035872</v>
      </c>
      <c r="AB587" s="527">
        <f t="shared" si="763"/>
        <v>-56.676228325035872</v>
      </c>
      <c r="AC587" s="527">
        <f t="shared" si="763"/>
        <v>-56.676228325035872</v>
      </c>
      <c r="AD587" s="527">
        <f t="shared" si="763"/>
        <v>-56.676228325035872</v>
      </c>
      <c r="AE587" s="527">
        <f t="shared" si="763"/>
        <v>-56.676228325035872</v>
      </c>
      <c r="AF587" s="527">
        <f t="shared" si="763"/>
        <v>-56.676228325035872</v>
      </c>
      <c r="AG587" s="527">
        <f t="shared" si="763"/>
        <v>-56.676228325035872</v>
      </c>
      <c r="AH587" s="527">
        <f t="shared" si="763"/>
        <v>-56.676228325035872</v>
      </c>
      <c r="AI587" s="527">
        <f t="shared" si="763"/>
        <v>-56.676228325035872</v>
      </c>
      <c r="AJ587" s="527">
        <f t="shared" si="763"/>
        <v>-56.676228325035872</v>
      </c>
      <c r="AK587" s="527">
        <f t="shared" si="763"/>
        <v>-56.676228325035872</v>
      </c>
      <c r="AL587" s="527">
        <f t="shared" si="763"/>
        <v>-56.676228325035872</v>
      </c>
      <c r="AM587" s="527">
        <f t="shared" si="763"/>
        <v>-56.676228325035872</v>
      </c>
      <c r="AN587" s="527">
        <f t="shared" si="763"/>
        <v>-56.676228325035872</v>
      </c>
      <c r="AO587" s="527">
        <f t="shared" si="763"/>
        <v>-56.676228325035872</v>
      </c>
      <c r="AP587" s="527">
        <f t="shared" si="763"/>
        <v>-56.676228325035872</v>
      </c>
      <c r="AQ587" s="527">
        <f t="shared" si="763"/>
        <v>-56.676228325035872</v>
      </c>
      <c r="AR587" s="527">
        <f t="shared" si="763"/>
        <v>-56.676228325035872</v>
      </c>
      <c r="AS587" s="527">
        <f t="shared" si="763"/>
        <v>-56.676228325035872</v>
      </c>
      <c r="AT587" s="527">
        <f t="shared" si="763"/>
        <v>-56.676228325035872</v>
      </c>
      <c r="AU587" s="527">
        <f t="shared" si="763"/>
        <v>-56.676228325035872</v>
      </c>
      <c r="AV587" s="527">
        <f t="shared" si="763"/>
        <v>-56.676228325035872</v>
      </c>
      <c r="AW587" s="527">
        <f t="shared" si="763"/>
        <v>-56.676228325035872</v>
      </c>
      <c r="AX587" s="527">
        <f t="shared" ref="AX587:BY587" si="764">AX523/AX$571</f>
        <v>-56.676228325035872</v>
      </c>
      <c r="AY587" s="527">
        <f t="shared" si="764"/>
        <v>-56.676228325035872</v>
      </c>
      <c r="AZ587" s="527">
        <f t="shared" si="764"/>
        <v>-56.676228325035872</v>
      </c>
      <c r="BA587" s="527">
        <f t="shared" si="764"/>
        <v>-56.676228325035872</v>
      </c>
      <c r="BB587" s="527">
        <f t="shared" si="764"/>
        <v>-56.676228325035872</v>
      </c>
      <c r="BC587" s="527">
        <f t="shared" si="764"/>
        <v>-56.676228325035872</v>
      </c>
      <c r="BD587" s="527">
        <f t="shared" si="764"/>
        <v>-56.676228325035872</v>
      </c>
      <c r="BE587" s="527">
        <f t="shared" si="764"/>
        <v>-56.676228325035872</v>
      </c>
      <c r="BF587" s="527">
        <f t="shared" si="764"/>
        <v>-56.676228325035872</v>
      </c>
      <c r="BG587" s="527">
        <f t="shared" si="764"/>
        <v>-56.676228325035872</v>
      </c>
      <c r="BH587" s="527">
        <f t="shared" si="764"/>
        <v>-56.676228325035872</v>
      </c>
      <c r="BI587" s="527">
        <f t="shared" si="764"/>
        <v>-56.676228325035872</v>
      </c>
      <c r="BJ587" s="527">
        <f t="shared" si="764"/>
        <v>-56.676228325035872</v>
      </c>
      <c r="BK587" s="527">
        <f t="shared" si="764"/>
        <v>-56.676228325035872</v>
      </c>
      <c r="BL587" s="527">
        <f t="shared" si="764"/>
        <v>-56.676228325035872</v>
      </c>
      <c r="BM587" s="527">
        <f t="shared" si="764"/>
        <v>-56.676228325035872</v>
      </c>
      <c r="BN587" s="527">
        <f t="shared" si="764"/>
        <v>-56.676228325035872</v>
      </c>
      <c r="BO587" s="527">
        <f t="shared" si="764"/>
        <v>-56.676228325035872</v>
      </c>
      <c r="BP587" s="527">
        <f t="shared" si="764"/>
        <v>-56.676228325035872</v>
      </c>
      <c r="BQ587" s="527">
        <f t="shared" si="764"/>
        <v>-56.676228325035872</v>
      </c>
      <c r="BR587" s="527">
        <f t="shared" si="764"/>
        <v>-56.676228325035872</v>
      </c>
      <c r="BS587" s="527">
        <f t="shared" si="764"/>
        <v>-56.676228325035872</v>
      </c>
      <c r="BT587" s="527">
        <f t="shared" si="764"/>
        <v>-56.676228325035872</v>
      </c>
      <c r="BU587" s="527">
        <f t="shared" si="764"/>
        <v>-56.676228325035872</v>
      </c>
      <c r="BV587" s="527">
        <f t="shared" si="764"/>
        <v>-56.676228325035872</v>
      </c>
      <c r="BW587" s="527">
        <f t="shared" si="764"/>
        <v>-56.676228325035872</v>
      </c>
      <c r="BX587" s="527">
        <f t="shared" si="764"/>
        <v>-56.676228325035872</v>
      </c>
      <c r="BY587" s="527">
        <f t="shared" si="764"/>
        <v>-56.676228325035872</v>
      </c>
      <c r="BZ587" s="537"/>
      <c r="CA587" s="537"/>
      <c r="CB587" s="537"/>
    </row>
    <row r="588" spans="1:80" x14ac:dyDescent="0.3">
      <c r="A588" s="551"/>
      <c r="B588" s="522"/>
      <c r="C588" s="522"/>
      <c r="D588" s="537"/>
      <c r="E588" s="572" t="s">
        <v>394</v>
      </c>
      <c r="F588" s="573"/>
      <c r="G588" s="573"/>
      <c r="H588" s="537"/>
      <c r="I588" s="532">
        <f t="shared" si="757"/>
        <v>3722.1718260869561</v>
      </c>
      <c r="J588" s="532">
        <f t="shared" si="757"/>
        <v>4084.8942676769479</v>
      </c>
      <c r="K588" s="532">
        <f t="shared" si="757"/>
        <v>4084.8942676769479</v>
      </c>
      <c r="L588" s="532">
        <f t="shared" si="757"/>
        <v>4084.8942676769479</v>
      </c>
      <c r="M588" s="532">
        <f t="shared" si="757"/>
        <v>4084.8942676769479</v>
      </c>
      <c r="N588" s="532">
        <f t="shared" si="757"/>
        <v>4084.8942676769479</v>
      </c>
      <c r="O588" s="536"/>
      <c r="P588" s="568">
        <f t="shared" si="758"/>
        <v>1.8771718943155991E-2</v>
      </c>
      <c r="Q588" s="537"/>
      <c r="R588" s="532">
        <f t="shared" ref="R588:AW588" si="765">R524/R$571</f>
        <v>340.40785563974572</v>
      </c>
      <c r="S588" s="532">
        <f t="shared" si="765"/>
        <v>340.40785563974572</v>
      </c>
      <c r="T588" s="532">
        <f t="shared" si="765"/>
        <v>340.40785563974572</v>
      </c>
      <c r="U588" s="532">
        <f t="shared" si="765"/>
        <v>340.40785563974572</v>
      </c>
      <c r="V588" s="532">
        <f t="shared" si="765"/>
        <v>340.40785563974572</v>
      </c>
      <c r="W588" s="532">
        <f t="shared" si="765"/>
        <v>340.40785563974572</v>
      </c>
      <c r="X588" s="532">
        <f t="shared" si="765"/>
        <v>340.40785563974572</v>
      </c>
      <c r="Y588" s="532">
        <f t="shared" si="765"/>
        <v>340.40785563974572</v>
      </c>
      <c r="Z588" s="532">
        <f t="shared" si="765"/>
        <v>340.40785563974572</v>
      </c>
      <c r="AA588" s="532">
        <f t="shared" si="765"/>
        <v>340.40785563974572</v>
      </c>
      <c r="AB588" s="532">
        <f t="shared" si="765"/>
        <v>340.40785563974572</v>
      </c>
      <c r="AC588" s="532">
        <f t="shared" si="765"/>
        <v>340.40785563974572</v>
      </c>
      <c r="AD588" s="532">
        <f t="shared" si="765"/>
        <v>340.40785563974572</v>
      </c>
      <c r="AE588" s="532">
        <f t="shared" si="765"/>
        <v>340.40785563974572</v>
      </c>
      <c r="AF588" s="532">
        <f t="shared" si="765"/>
        <v>340.40785563974572</v>
      </c>
      <c r="AG588" s="532">
        <f t="shared" si="765"/>
        <v>340.40785563974572</v>
      </c>
      <c r="AH588" s="532">
        <f t="shared" si="765"/>
        <v>340.40785563974572</v>
      </c>
      <c r="AI588" s="532">
        <f t="shared" si="765"/>
        <v>340.40785563974572</v>
      </c>
      <c r="AJ588" s="532">
        <f t="shared" si="765"/>
        <v>340.40785563974572</v>
      </c>
      <c r="AK588" s="532">
        <f t="shared" si="765"/>
        <v>340.40785563974572</v>
      </c>
      <c r="AL588" s="532">
        <f t="shared" si="765"/>
        <v>340.40785563974572</v>
      </c>
      <c r="AM588" s="532">
        <f t="shared" si="765"/>
        <v>340.40785563974572</v>
      </c>
      <c r="AN588" s="532">
        <f t="shared" si="765"/>
        <v>340.40785563974572</v>
      </c>
      <c r="AO588" s="532">
        <f t="shared" si="765"/>
        <v>340.40785563974572</v>
      </c>
      <c r="AP588" s="532">
        <f t="shared" si="765"/>
        <v>340.40785563974572</v>
      </c>
      <c r="AQ588" s="532">
        <f t="shared" si="765"/>
        <v>340.40785563974572</v>
      </c>
      <c r="AR588" s="532">
        <f t="shared" si="765"/>
        <v>340.40785563974572</v>
      </c>
      <c r="AS588" s="532">
        <f t="shared" si="765"/>
        <v>340.40785563974572</v>
      </c>
      <c r="AT588" s="532">
        <f t="shared" si="765"/>
        <v>340.40785563974572</v>
      </c>
      <c r="AU588" s="532">
        <f t="shared" si="765"/>
        <v>340.40785563974572</v>
      </c>
      <c r="AV588" s="532">
        <f t="shared" si="765"/>
        <v>340.40785563974572</v>
      </c>
      <c r="AW588" s="532">
        <f t="shared" si="765"/>
        <v>340.40785563974572</v>
      </c>
      <c r="AX588" s="532">
        <f t="shared" ref="AX588:BY588" si="766">AX524/AX$571</f>
        <v>340.40785563974572</v>
      </c>
      <c r="AY588" s="532">
        <f t="shared" si="766"/>
        <v>340.40785563974572</v>
      </c>
      <c r="AZ588" s="532">
        <f t="shared" si="766"/>
        <v>340.40785563974572</v>
      </c>
      <c r="BA588" s="532">
        <f t="shared" si="766"/>
        <v>340.40785563974572</v>
      </c>
      <c r="BB588" s="532">
        <f t="shared" si="766"/>
        <v>340.40785563974572</v>
      </c>
      <c r="BC588" s="532">
        <f t="shared" si="766"/>
        <v>340.40785563974572</v>
      </c>
      <c r="BD588" s="532">
        <f t="shared" si="766"/>
        <v>340.40785563974572</v>
      </c>
      <c r="BE588" s="532">
        <f t="shared" si="766"/>
        <v>340.40785563974572</v>
      </c>
      <c r="BF588" s="532">
        <f t="shared" si="766"/>
        <v>340.40785563974572</v>
      </c>
      <c r="BG588" s="532">
        <f t="shared" si="766"/>
        <v>340.40785563974572</v>
      </c>
      <c r="BH588" s="532">
        <f t="shared" si="766"/>
        <v>340.40785563974572</v>
      </c>
      <c r="BI588" s="532">
        <f t="shared" si="766"/>
        <v>340.40785563974572</v>
      </c>
      <c r="BJ588" s="532">
        <f t="shared" si="766"/>
        <v>340.40785563974572</v>
      </c>
      <c r="BK588" s="532">
        <f t="shared" si="766"/>
        <v>340.40785563974572</v>
      </c>
      <c r="BL588" s="532">
        <f t="shared" si="766"/>
        <v>340.40785563974572</v>
      </c>
      <c r="BM588" s="532">
        <f t="shared" si="766"/>
        <v>340.40785563974572</v>
      </c>
      <c r="BN588" s="532">
        <f t="shared" si="766"/>
        <v>340.40785563974572</v>
      </c>
      <c r="BO588" s="532">
        <f t="shared" si="766"/>
        <v>340.40785563974572</v>
      </c>
      <c r="BP588" s="532">
        <f t="shared" si="766"/>
        <v>340.40785563974572</v>
      </c>
      <c r="BQ588" s="532">
        <f t="shared" si="766"/>
        <v>340.40785563974572</v>
      </c>
      <c r="BR588" s="532">
        <f t="shared" si="766"/>
        <v>340.40785563974572</v>
      </c>
      <c r="BS588" s="532">
        <f t="shared" si="766"/>
        <v>340.40785563974572</v>
      </c>
      <c r="BT588" s="532">
        <f t="shared" si="766"/>
        <v>340.40785563974572</v>
      </c>
      <c r="BU588" s="532">
        <f t="shared" si="766"/>
        <v>340.40785563974572</v>
      </c>
      <c r="BV588" s="532">
        <f t="shared" si="766"/>
        <v>340.40785563974572</v>
      </c>
      <c r="BW588" s="532">
        <f t="shared" si="766"/>
        <v>340.40785563974572</v>
      </c>
      <c r="BX588" s="532">
        <f t="shared" si="766"/>
        <v>340.40785563974572</v>
      </c>
      <c r="BY588" s="532">
        <f t="shared" si="766"/>
        <v>340.40785563974572</v>
      </c>
      <c r="BZ588" s="537"/>
      <c r="CA588" s="537"/>
      <c r="CB588" s="537"/>
    </row>
    <row r="589" spans="1:80" x14ac:dyDescent="0.3">
      <c r="A589" s="551"/>
      <c r="B589" s="522"/>
      <c r="C589" s="522"/>
      <c r="D589" s="537"/>
      <c r="E589" s="525" t="s">
        <v>395</v>
      </c>
      <c r="F589" s="567"/>
      <c r="G589" s="567"/>
      <c r="H589" s="537"/>
      <c r="I589" s="527">
        <f t="shared" si="757"/>
        <v>-245.94603454360802</v>
      </c>
      <c r="J589" s="527">
        <f t="shared" si="757"/>
        <v>-245.94603454360802</v>
      </c>
      <c r="K589" s="527">
        <f t="shared" si="757"/>
        <v>-245.94603454360802</v>
      </c>
      <c r="L589" s="527">
        <f t="shared" si="757"/>
        <v>-245.94603454360802</v>
      </c>
      <c r="M589" s="527">
        <f t="shared" si="757"/>
        <v>-245.94603454360802</v>
      </c>
      <c r="N589" s="527">
        <f t="shared" si="757"/>
        <v>-245.94603454360802</v>
      </c>
      <c r="O589" s="529"/>
      <c r="P589" s="564">
        <f t="shared" si="758"/>
        <v>0</v>
      </c>
      <c r="Q589" s="537"/>
      <c r="R589" s="527">
        <f t="shared" ref="R589:AW589" si="767">R525/R$571</f>
        <v>-20.495502878634003</v>
      </c>
      <c r="S589" s="527">
        <f t="shared" si="767"/>
        <v>-20.495502878634003</v>
      </c>
      <c r="T589" s="527">
        <f t="shared" si="767"/>
        <v>-20.495502878634003</v>
      </c>
      <c r="U589" s="527">
        <f t="shared" si="767"/>
        <v>-20.495502878634003</v>
      </c>
      <c r="V589" s="527">
        <f t="shared" si="767"/>
        <v>-20.495502878634003</v>
      </c>
      <c r="W589" s="527">
        <f t="shared" si="767"/>
        <v>-20.495502878634003</v>
      </c>
      <c r="X589" s="527">
        <f t="shared" si="767"/>
        <v>-20.495502878634003</v>
      </c>
      <c r="Y589" s="527">
        <f t="shared" si="767"/>
        <v>-20.495502878634003</v>
      </c>
      <c r="Z589" s="527">
        <f t="shared" si="767"/>
        <v>-20.495502878634003</v>
      </c>
      <c r="AA589" s="527">
        <f t="shared" si="767"/>
        <v>-20.495502878634003</v>
      </c>
      <c r="AB589" s="527">
        <f t="shared" si="767"/>
        <v>-20.495502878634003</v>
      </c>
      <c r="AC589" s="527">
        <f t="shared" si="767"/>
        <v>-20.495502878634003</v>
      </c>
      <c r="AD589" s="527">
        <f t="shared" si="767"/>
        <v>-20.495502878634003</v>
      </c>
      <c r="AE589" s="527">
        <f t="shared" si="767"/>
        <v>-20.495502878634003</v>
      </c>
      <c r="AF589" s="527">
        <f t="shared" si="767"/>
        <v>-20.495502878634003</v>
      </c>
      <c r="AG589" s="527">
        <f t="shared" si="767"/>
        <v>-20.495502878634003</v>
      </c>
      <c r="AH589" s="527">
        <f t="shared" si="767"/>
        <v>-20.495502878634003</v>
      </c>
      <c r="AI589" s="527">
        <f t="shared" si="767"/>
        <v>-20.495502878634003</v>
      </c>
      <c r="AJ589" s="527">
        <f t="shared" si="767"/>
        <v>-20.495502878634003</v>
      </c>
      <c r="AK589" s="527">
        <f t="shared" si="767"/>
        <v>-20.495502878634003</v>
      </c>
      <c r="AL589" s="527">
        <f t="shared" si="767"/>
        <v>-20.495502878634003</v>
      </c>
      <c r="AM589" s="527">
        <f t="shared" si="767"/>
        <v>-20.495502878634003</v>
      </c>
      <c r="AN589" s="527">
        <f t="shared" si="767"/>
        <v>-20.495502878634003</v>
      </c>
      <c r="AO589" s="527">
        <f t="shared" si="767"/>
        <v>-20.495502878634003</v>
      </c>
      <c r="AP589" s="527">
        <f t="shared" si="767"/>
        <v>-20.495502878634003</v>
      </c>
      <c r="AQ589" s="527">
        <f t="shared" si="767"/>
        <v>-20.495502878634003</v>
      </c>
      <c r="AR589" s="527">
        <f t="shared" si="767"/>
        <v>-20.495502878634003</v>
      </c>
      <c r="AS589" s="527">
        <f t="shared" si="767"/>
        <v>-20.495502878634003</v>
      </c>
      <c r="AT589" s="527">
        <f t="shared" si="767"/>
        <v>-20.495502878634003</v>
      </c>
      <c r="AU589" s="527">
        <f t="shared" si="767"/>
        <v>-20.495502878634003</v>
      </c>
      <c r="AV589" s="527">
        <f t="shared" si="767"/>
        <v>-20.495502878634003</v>
      </c>
      <c r="AW589" s="527">
        <f t="shared" si="767"/>
        <v>-20.495502878634003</v>
      </c>
      <c r="AX589" s="527">
        <f t="shared" ref="AX589:BY589" si="768">AX525/AX$571</f>
        <v>-20.495502878634003</v>
      </c>
      <c r="AY589" s="527">
        <f t="shared" si="768"/>
        <v>-20.495502878634003</v>
      </c>
      <c r="AZ589" s="527">
        <f t="shared" si="768"/>
        <v>-20.495502878634003</v>
      </c>
      <c r="BA589" s="527">
        <f t="shared" si="768"/>
        <v>-20.495502878634003</v>
      </c>
      <c r="BB589" s="527">
        <f t="shared" si="768"/>
        <v>-20.495502878634003</v>
      </c>
      <c r="BC589" s="527">
        <f t="shared" si="768"/>
        <v>-20.495502878634003</v>
      </c>
      <c r="BD589" s="527">
        <f t="shared" si="768"/>
        <v>-20.495502878634003</v>
      </c>
      <c r="BE589" s="527">
        <f t="shared" si="768"/>
        <v>-20.495502878634003</v>
      </c>
      <c r="BF589" s="527">
        <f t="shared" si="768"/>
        <v>-20.495502878634003</v>
      </c>
      <c r="BG589" s="527">
        <f t="shared" si="768"/>
        <v>-20.495502878634003</v>
      </c>
      <c r="BH589" s="527">
        <f t="shared" si="768"/>
        <v>-20.495502878634003</v>
      </c>
      <c r="BI589" s="527">
        <f t="shared" si="768"/>
        <v>-20.495502878634003</v>
      </c>
      <c r="BJ589" s="527">
        <f t="shared" si="768"/>
        <v>-20.495502878634003</v>
      </c>
      <c r="BK589" s="527">
        <f t="shared" si="768"/>
        <v>-20.495502878634003</v>
      </c>
      <c r="BL589" s="527">
        <f t="shared" si="768"/>
        <v>-20.495502878634003</v>
      </c>
      <c r="BM589" s="527">
        <f t="shared" si="768"/>
        <v>-20.495502878634003</v>
      </c>
      <c r="BN589" s="527">
        <f t="shared" si="768"/>
        <v>-20.495502878634003</v>
      </c>
      <c r="BO589" s="527">
        <f t="shared" si="768"/>
        <v>-20.495502878634003</v>
      </c>
      <c r="BP589" s="527">
        <f t="shared" si="768"/>
        <v>-20.495502878634003</v>
      </c>
      <c r="BQ589" s="527">
        <f t="shared" si="768"/>
        <v>-20.495502878634003</v>
      </c>
      <c r="BR589" s="527">
        <f t="shared" si="768"/>
        <v>-20.495502878634003</v>
      </c>
      <c r="BS589" s="527">
        <f t="shared" si="768"/>
        <v>-20.495502878634003</v>
      </c>
      <c r="BT589" s="527">
        <f t="shared" si="768"/>
        <v>-20.495502878634003</v>
      </c>
      <c r="BU589" s="527">
        <f t="shared" si="768"/>
        <v>-20.495502878634003</v>
      </c>
      <c r="BV589" s="527">
        <f t="shared" si="768"/>
        <v>-20.495502878634003</v>
      </c>
      <c r="BW589" s="527">
        <f t="shared" si="768"/>
        <v>-20.495502878634003</v>
      </c>
      <c r="BX589" s="527">
        <f t="shared" si="768"/>
        <v>-20.495502878634003</v>
      </c>
      <c r="BY589" s="527">
        <f t="shared" si="768"/>
        <v>-20.495502878634003</v>
      </c>
      <c r="BZ589" s="537"/>
      <c r="CA589" s="537"/>
      <c r="CB589" s="537"/>
    </row>
    <row r="590" spans="1:80" x14ac:dyDescent="0.3">
      <c r="A590" s="551"/>
      <c r="B590" s="522"/>
      <c r="C590" s="522"/>
      <c r="D590" s="537"/>
      <c r="E590" s="572" t="s">
        <v>396</v>
      </c>
      <c r="F590" s="573"/>
      <c r="G590" s="573"/>
      <c r="H590" s="537"/>
      <c r="I590" s="532">
        <f t="shared" si="757"/>
        <v>3838.948233133337</v>
      </c>
      <c r="J590" s="532">
        <f t="shared" si="757"/>
        <v>3838.9482331333397</v>
      </c>
      <c r="K590" s="532">
        <f t="shared" si="757"/>
        <v>3838.9482331333397</v>
      </c>
      <c r="L590" s="532">
        <f t="shared" si="757"/>
        <v>3838.9482331333397</v>
      </c>
      <c r="M590" s="532">
        <f t="shared" si="757"/>
        <v>3838.9482331333397</v>
      </c>
      <c r="N590" s="532">
        <f t="shared" si="757"/>
        <v>3838.9482331333397</v>
      </c>
      <c r="O590" s="536"/>
      <c r="P590" s="568">
        <f t="shared" si="758"/>
        <v>2.2204460492503131E-16</v>
      </c>
      <c r="Q590" s="537"/>
      <c r="R590" s="530">
        <f t="shared" ref="R590:AW590" si="769">R526/R$571</f>
        <v>319.91235276111172</v>
      </c>
      <c r="S590" s="532">
        <f t="shared" si="769"/>
        <v>319.91235276111172</v>
      </c>
      <c r="T590" s="532">
        <f t="shared" si="769"/>
        <v>319.91235276111172</v>
      </c>
      <c r="U590" s="532">
        <f t="shared" si="769"/>
        <v>319.91235276111172</v>
      </c>
      <c r="V590" s="530">
        <f t="shared" si="769"/>
        <v>319.91235276111172</v>
      </c>
      <c r="W590" s="530">
        <f t="shared" si="769"/>
        <v>319.91235276111172</v>
      </c>
      <c r="X590" s="532">
        <f t="shared" si="769"/>
        <v>319.91235276111172</v>
      </c>
      <c r="Y590" s="532">
        <f t="shared" si="769"/>
        <v>319.91235276111172</v>
      </c>
      <c r="Z590" s="532">
        <f t="shared" si="769"/>
        <v>319.91235276111172</v>
      </c>
      <c r="AA590" s="532">
        <f t="shared" si="769"/>
        <v>319.91235276111172</v>
      </c>
      <c r="AB590" s="532">
        <f t="shared" si="769"/>
        <v>319.91235276111172</v>
      </c>
      <c r="AC590" s="532">
        <f t="shared" si="769"/>
        <v>319.91235276111172</v>
      </c>
      <c r="AD590" s="532">
        <f t="shared" si="769"/>
        <v>319.91235276111172</v>
      </c>
      <c r="AE590" s="532">
        <f t="shared" si="769"/>
        <v>319.91235276111172</v>
      </c>
      <c r="AF590" s="532">
        <f t="shared" si="769"/>
        <v>319.91235276111172</v>
      </c>
      <c r="AG590" s="532">
        <f t="shared" si="769"/>
        <v>319.91235276111172</v>
      </c>
      <c r="AH590" s="532">
        <f t="shared" si="769"/>
        <v>319.91235276111172</v>
      </c>
      <c r="AI590" s="532">
        <f t="shared" si="769"/>
        <v>319.91235276111172</v>
      </c>
      <c r="AJ590" s="532">
        <f t="shared" si="769"/>
        <v>319.91235276111172</v>
      </c>
      <c r="AK590" s="532">
        <f t="shared" si="769"/>
        <v>319.91235276111172</v>
      </c>
      <c r="AL590" s="532">
        <f t="shared" si="769"/>
        <v>319.91235276111172</v>
      </c>
      <c r="AM590" s="532">
        <f t="shared" si="769"/>
        <v>319.91235276111172</v>
      </c>
      <c r="AN590" s="532">
        <f t="shared" si="769"/>
        <v>319.91235276111172</v>
      </c>
      <c r="AO590" s="532">
        <f t="shared" si="769"/>
        <v>319.91235276111172</v>
      </c>
      <c r="AP590" s="532">
        <f t="shared" si="769"/>
        <v>319.91235276111172</v>
      </c>
      <c r="AQ590" s="532">
        <f t="shared" si="769"/>
        <v>319.91235276111172</v>
      </c>
      <c r="AR590" s="532">
        <f t="shared" si="769"/>
        <v>319.91235276111172</v>
      </c>
      <c r="AS590" s="532">
        <f t="shared" si="769"/>
        <v>319.91235276111172</v>
      </c>
      <c r="AT590" s="532">
        <f t="shared" si="769"/>
        <v>319.91235276111172</v>
      </c>
      <c r="AU590" s="532">
        <f t="shared" si="769"/>
        <v>319.91235276111172</v>
      </c>
      <c r="AV590" s="532">
        <f t="shared" si="769"/>
        <v>319.91235276111172</v>
      </c>
      <c r="AW590" s="532">
        <f t="shared" si="769"/>
        <v>319.91235276111172</v>
      </c>
      <c r="AX590" s="532">
        <f t="shared" ref="AX590:BY590" si="770">AX526/AX$571</f>
        <v>319.91235276111172</v>
      </c>
      <c r="AY590" s="532">
        <f t="shared" si="770"/>
        <v>319.91235276111172</v>
      </c>
      <c r="AZ590" s="532">
        <f t="shared" si="770"/>
        <v>319.91235276111172</v>
      </c>
      <c r="BA590" s="532">
        <f t="shared" si="770"/>
        <v>319.91235276111172</v>
      </c>
      <c r="BB590" s="532">
        <f t="shared" si="770"/>
        <v>319.91235276111172</v>
      </c>
      <c r="BC590" s="532">
        <f t="shared" si="770"/>
        <v>319.91235276111172</v>
      </c>
      <c r="BD590" s="532">
        <f t="shared" si="770"/>
        <v>319.91235276111172</v>
      </c>
      <c r="BE590" s="532">
        <f t="shared" si="770"/>
        <v>319.91235276111172</v>
      </c>
      <c r="BF590" s="532">
        <f t="shared" si="770"/>
        <v>319.91235276111172</v>
      </c>
      <c r="BG590" s="532">
        <f t="shared" si="770"/>
        <v>319.91235276111172</v>
      </c>
      <c r="BH590" s="532">
        <f t="shared" si="770"/>
        <v>319.91235276111172</v>
      </c>
      <c r="BI590" s="532">
        <f t="shared" si="770"/>
        <v>319.91235276111172</v>
      </c>
      <c r="BJ590" s="532">
        <f t="shared" si="770"/>
        <v>319.91235276111172</v>
      </c>
      <c r="BK590" s="532">
        <f t="shared" si="770"/>
        <v>319.91235276111172</v>
      </c>
      <c r="BL590" s="532">
        <f t="shared" si="770"/>
        <v>319.91235276111172</v>
      </c>
      <c r="BM590" s="532">
        <f t="shared" si="770"/>
        <v>319.91235276111172</v>
      </c>
      <c r="BN590" s="532">
        <f t="shared" si="770"/>
        <v>319.91235276111172</v>
      </c>
      <c r="BO590" s="532">
        <f t="shared" si="770"/>
        <v>319.91235276111172</v>
      </c>
      <c r="BP590" s="532">
        <f t="shared" si="770"/>
        <v>319.91235276111172</v>
      </c>
      <c r="BQ590" s="532">
        <f t="shared" si="770"/>
        <v>319.91235276111172</v>
      </c>
      <c r="BR590" s="532">
        <f t="shared" si="770"/>
        <v>319.91235276111172</v>
      </c>
      <c r="BS590" s="532">
        <f t="shared" si="770"/>
        <v>319.91235276111172</v>
      </c>
      <c r="BT590" s="532">
        <f t="shared" si="770"/>
        <v>319.91235276111172</v>
      </c>
      <c r="BU590" s="532">
        <f t="shared" si="770"/>
        <v>319.91235276111172</v>
      </c>
      <c r="BV590" s="532">
        <f t="shared" si="770"/>
        <v>319.91235276111172</v>
      </c>
      <c r="BW590" s="532">
        <f t="shared" si="770"/>
        <v>319.91235276111172</v>
      </c>
      <c r="BX590" s="532">
        <f t="shared" si="770"/>
        <v>319.91235276111172</v>
      </c>
      <c r="BY590" s="532">
        <f t="shared" si="770"/>
        <v>319.91235276111172</v>
      </c>
      <c r="BZ590" s="537"/>
      <c r="CA590" s="537"/>
      <c r="CB590" s="537"/>
    </row>
    <row r="591" spans="1:80" x14ac:dyDescent="0.3">
      <c r="A591" s="551"/>
      <c r="B591" s="522"/>
      <c r="C591" s="522"/>
      <c r="D591" s="537"/>
      <c r="E591" s="525" t="s">
        <v>176</v>
      </c>
      <c r="F591" s="576"/>
      <c r="G591" s="576"/>
      <c r="H591" s="529"/>
      <c r="I591" s="531">
        <f t="shared" ref="I591:N591" si="771">IFERROR(I590/I585,0)</f>
        <v>0.394296852576005</v>
      </c>
      <c r="J591" s="531">
        <f t="shared" si="771"/>
        <v>0.39429685257600527</v>
      </c>
      <c r="K591" s="531">
        <f t="shared" si="771"/>
        <v>0.39429685257600527</v>
      </c>
      <c r="L591" s="531">
        <f t="shared" si="771"/>
        <v>0.39429685257600527</v>
      </c>
      <c r="M591" s="531">
        <f t="shared" si="771"/>
        <v>0.39429685257600527</v>
      </c>
      <c r="N591" s="531">
        <f t="shared" si="771"/>
        <v>0.39429685257600527</v>
      </c>
      <c r="O591" s="546"/>
      <c r="P591" s="564">
        <f t="shared" si="758"/>
        <v>2.2204460492503131E-16</v>
      </c>
      <c r="Q591" s="529"/>
      <c r="R591" s="531">
        <f t="shared" ref="R591:BY591" si="772">IFERROR(R590/R585,0)</f>
        <v>0.39429685257600533</v>
      </c>
      <c r="S591" s="531">
        <f t="shared" si="772"/>
        <v>0.39429685257600533</v>
      </c>
      <c r="T591" s="531">
        <f t="shared" si="772"/>
        <v>0.39429685257600533</v>
      </c>
      <c r="U591" s="531">
        <f t="shared" si="772"/>
        <v>0.39429685257600533</v>
      </c>
      <c r="V591" s="531">
        <f t="shared" si="772"/>
        <v>0.39429685257600533</v>
      </c>
      <c r="W591" s="531">
        <f t="shared" si="772"/>
        <v>0.39429685257600533</v>
      </c>
      <c r="X591" s="531">
        <f t="shared" si="772"/>
        <v>0.39429685257600533</v>
      </c>
      <c r="Y591" s="531">
        <f t="shared" si="772"/>
        <v>0.39429685257600533</v>
      </c>
      <c r="Z591" s="531">
        <f t="shared" si="772"/>
        <v>0.39429685257600533</v>
      </c>
      <c r="AA591" s="531">
        <f t="shared" si="772"/>
        <v>0.39429685257600533</v>
      </c>
      <c r="AB591" s="531">
        <f t="shared" si="772"/>
        <v>0.39429685257600533</v>
      </c>
      <c r="AC591" s="531">
        <f t="shared" si="772"/>
        <v>0.39429685257600533</v>
      </c>
      <c r="AD591" s="531">
        <f t="shared" si="772"/>
        <v>0.39429685257600533</v>
      </c>
      <c r="AE591" s="531">
        <f t="shared" si="772"/>
        <v>0.39429685257600533</v>
      </c>
      <c r="AF591" s="531">
        <f t="shared" si="772"/>
        <v>0.39429685257600533</v>
      </c>
      <c r="AG591" s="531">
        <f t="shared" si="772"/>
        <v>0.39429685257600533</v>
      </c>
      <c r="AH591" s="531">
        <f t="shared" si="772"/>
        <v>0.39429685257600533</v>
      </c>
      <c r="AI591" s="531">
        <f t="shared" si="772"/>
        <v>0.39429685257600533</v>
      </c>
      <c r="AJ591" s="531">
        <f t="shared" si="772"/>
        <v>0.39429685257600533</v>
      </c>
      <c r="AK591" s="531">
        <f t="shared" si="772"/>
        <v>0.39429685257600533</v>
      </c>
      <c r="AL591" s="531">
        <f t="shared" si="772"/>
        <v>0.39429685257600533</v>
      </c>
      <c r="AM591" s="531">
        <f t="shared" si="772"/>
        <v>0.39429685257600533</v>
      </c>
      <c r="AN591" s="531">
        <f t="shared" si="772"/>
        <v>0.39429685257600533</v>
      </c>
      <c r="AO591" s="531">
        <f t="shared" si="772"/>
        <v>0.39429685257600533</v>
      </c>
      <c r="AP591" s="531">
        <f t="shared" si="772"/>
        <v>0.39429685257600533</v>
      </c>
      <c r="AQ591" s="531">
        <f t="shared" si="772"/>
        <v>0.39429685257600533</v>
      </c>
      <c r="AR591" s="531">
        <f t="shared" si="772"/>
        <v>0.39429685257600533</v>
      </c>
      <c r="AS591" s="531">
        <f t="shared" si="772"/>
        <v>0.39429685257600533</v>
      </c>
      <c r="AT591" s="531">
        <f t="shared" si="772"/>
        <v>0.39429685257600533</v>
      </c>
      <c r="AU591" s="531">
        <f t="shared" si="772"/>
        <v>0.39429685257600533</v>
      </c>
      <c r="AV591" s="531">
        <f t="shared" si="772"/>
        <v>0.39429685257600533</v>
      </c>
      <c r="AW591" s="531">
        <f t="shared" si="772"/>
        <v>0.39429685257600533</v>
      </c>
      <c r="AX591" s="531">
        <f t="shared" si="772"/>
        <v>0.39429685257600533</v>
      </c>
      <c r="AY591" s="531">
        <f t="shared" si="772"/>
        <v>0.39429685257600533</v>
      </c>
      <c r="AZ591" s="531">
        <f t="shared" si="772"/>
        <v>0.39429685257600533</v>
      </c>
      <c r="BA591" s="531">
        <f t="shared" si="772"/>
        <v>0.39429685257600533</v>
      </c>
      <c r="BB591" s="531">
        <f t="shared" si="772"/>
        <v>0.39429685257600533</v>
      </c>
      <c r="BC591" s="531">
        <f t="shared" si="772"/>
        <v>0.39429685257600533</v>
      </c>
      <c r="BD591" s="531">
        <f t="shared" si="772"/>
        <v>0.39429685257600533</v>
      </c>
      <c r="BE591" s="531">
        <f t="shared" si="772"/>
        <v>0.39429685257600533</v>
      </c>
      <c r="BF591" s="531">
        <f t="shared" si="772"/>
        <v>0.39429685257600533</v>
      </c>
      <c r="BG591" s="531">
        <f t="shared" si="772"/>
        <v>0.39429685257600533</v>
      </c>
      <c r="BH591" s="531">
        <f t="shared" si="772"/>
        <v>0.39429685257600533</v>
      </c>
      <c r="BI591" s="531">
        <f t="shared" si="772"/>
        <v>0.39429685257600533</v>
      </c>
      <c r="BJ591" s="531">
        <f t="shared" si="772"/>
        <v>0.39429685257600533</v>
      </c>
      <c r="BK591" s="531">
        <f t="shared" si="772"/>
        <v>0.39429685257600533</v>
      </c>
      <c r="BL591" s="531">
        <f t="shared" si="772"/>
        <v>0.39429685257600533</v>
      </c>
      <c r="BM591" s="531">
        <f t="shared" si="772"/>
        <v>0.39429685257600533</v>
      </c>
      <c r="BN591" s="531">
        <f t="shared" si="772"/>
        <v>0.39429685257600533</v>
      </c>
      <c r="BO591" s="531">
        <f t="shared" si="772"/>
        <v>0.39429685257600533</v>
      </c>
      <c r="BP591" s="531">
        <f t="shared" si="772"/>
        <v>0.39429685257600533</v>
      </c>
      <c r="BQ591" s="531">
        <f t="shared" si="772"/>
        <v>0.39429685257600533</v>
      </c>
      <c r="BR591" s="531">
        <f t="shared" si="772"/>
        <v>0.39429685257600533</v>
      </c>
      <c r="BS591" s="531">
        <f t="shared" si="772"/>
        <v>0.39429685257600533</v>
      </c>
      <c r="BT591" s="531">
        <f t="shared" si="772"/>
        <v>0.39429685257600533</v>
      </c>
      <c r="BU591" s="531">
        <f t="shared" si="772"/>
        <v>0.39429685257600533</v>
      </c>
      <c r="BV591" s="531">
        <f t="shared" si="772"/>
        <v>0.39429685257600533</v>
      </c>
      <c r="BW591" s="531">
        <f t="shared" si="772"/>
        <v>0.39429685257600533</v>
      </c>
      <c r="BX591" s="531">
        <f t="shared" si="772"/>
        <v>0.39429685257600533</v>
      </c>
      <c r="BY591" s="531">
        <f t="shared" si="772"/>
        <v>0.39429685257600533</v>
      </c>
      <c r="BZ591" s="537"/>
      <c r="CA591" s="537"/>
      <c r="CB591" s="529"/>
    </row>
    <row r="592" spans="1:80" x14ac:dyDescent="0.3">
      <c r="A592" s="551"/>
      <c r="B592" s="522"/>
      <c r="C592" s="522"/>
      <c r="D592" s="537"/>
      <c r="E592" s="525"/>
      <c r="F592" s="576"/>
      <c r="G592" s="576"/>
      <c r="H592" s="537"/>
      <c r="I592" s="533"/>
      <c r="J592" s="533"/>
      <c r="K592" s="533"/>
      <c r="L592" s="533"/>
      <c r="M592" s="533"/>
      <c r="N592" s="533"/>
      <c r="O592" s="533"/>
      <c r="P592" s="662"/>
      <c r="Q592" s="537"/>
      <c r="R592" s="533"/>
      <c r="S592" s="533"/>
      <c r="T592" s="533"/>
      <c r="U592" s="533"/>
      <c r="V592" s="533"/>
      <c r="W592" s="533"/>
      <c r="X592" s="533"/>
      <c r="Y592" s="533"/>
      <c r="Z592" s="533"/>
      <c r="AA592" s="533"/>
      <c r="AB592" s="533"/>
      <c r="AC592" s="533"/>
      <c r="AD592" s="533"/>
      <c r="AE592" s="533"/>
      <c r="AF592" s="533"/>
      <c r="AG592" s="533"/>
      <c r="AH592" s="533"/>
      <c r="AI592" s="533"/>
      <c r="AJ592" s="533"/>
      <c r="AK592" s="533"/>
      <c r="AL592" s="533"/>
      <c r="AM592" s="533"/>
      <c r="AN592" s="533"/>
      <c r="AO592" s="533"/>
      <c r="AP592" s="533"/>
      <c r="AQ592" s="533"/>
      <c r="AR592" s="533"/>
      <c r="AS592" s="533"/>
      <c r="AT592" s="533"/>
      <c r="AU592" s="533"/>
      <c r="AV592" s="533"/>
      <c r="AW592" s="533"/>
      <c r="AX592" s="533"/>
      <c r="AY592" s="533"/>
      <c r="AZ592" s="533"/>
      <c r="BA592" s="533"/>
      <c r="BB592" s="533"/>
      <c r="BC592" s="533"/>
      <c r="BD592" s="533"/>
      <c r="BE592" s="533"/>
      <c r="BF592" s="533"/>
      <c r="BG592" s="533"/>
      <c r="BH592" s="533"/>
      <c r="BI592" s="533"/>
      <c r="BJ592" s="533"/>
      <c r="BK592" s="533"/>
      <c r="BL592" s="533"/>
      <c r="BM592" s="533"/>
      <c r="BN592" s="533"/>
      <c r="BO592" s="533"/>
      <c r="BP592" s="533"/>
      <c r="BQ592" s="533"/>
      <c r="BR592" s="533"/>
      <c r="BS592" s="533"/>
      <c r="BT592" s="533"/>
      <c r="BU592" s="533"/>
      <c r="BV592" s="533"/>
      <c r="BW592" s="533"/>
      <c r="BX592" s="533"/>
      <c r="BY592" s="533"/>
      <c r="BZ592" s="537"/>
      <c r="CA592" s="537"/>
      <c r="CB592" s="537"/>
    </row>
    <row r="593" spans="1:77" x14ac:dyDescent="0.3">
      <c r="A593" s="551"/>
      <c r="B593" s="522"/>
      <c r="C593" s="522"/>
      <c r="D593" s="537"/>
      <c r="E593" s="578" t="s">
        <v>24</v>
      </c>
      <c r="F593" s="579"/>
      <c r="G593" s="579"/>
      <c r="H593" s="537"/>
      <c r="I593" s="534">
        <f t="shared" ref="I593:N593" si="773">I529/I$571</f>
        <v>51278.663753271314</v>
      </c>
      <c r="J593" s="534">
        <f t="shared" si="773"/>
        <v>54010.995201903206</v>
      </c>
      <c r="K593" s="534">
        <f t="shared" si="773"/>
        <v>56764.148123307379</v>
      </c>
      <c r="L593" s="534">
        <f t="shared" si="773"/>
        <v>59512.103750946</v>
      </c>
      <c r="M593" s="534">
        <f t="shared" si="773"/>
        <v>62233.2543139837</v>
      </c>
      <c r="N593" s="534">
        <f t="shared" si="773"/>
        <v>65055.574513044339</v>
      </c>
      <c r="O593" s="536"/>
      <c r="P593" s="568">
        <f>IFERROR(((N593/I593)^(1/5))-1,0)</f>
        <v>4.8744179178953795E-2</v>
      </c>
      <c r="Q593" s="537"/>
      <c r="R593" s="534">
        <f t="shared" ref="R593:AW593" si="774">R529/R$571</f>
        <v>4500.9162668252675</v>
      </c>
      <c r="S593" s="534">
        <f t="shared" si="774"/>
        <v>4500.9162668252675</v>
      </c>
      <c r="T593" s="534">
        <f t="shared" si="774"/>
        <v>4500.9162668252675</v>
      </c>
      <c r="U593" s="534">
        <f t="shared" si="774"/>
        <v>4500.9162668252675</v>
      </c>
      <c r="V593" s="534">
        <f t="shared" si="774"/>
        <v>4500.9162668252675</v>
      </c>
      <c r="W593" s="534">
        <f t="shared" si="774"/>
        <v>4500.9162668252675</v>
      </c>
      <c r="X593" s="534">
        <f t="shared" si="774"/>
        <v>4500.9162668252675</v>
      </c>
      <c r="Y593" s="534">
        <f t="shared" si="774"/>
        <v>4500.9162668252675</v>
      </c>
      <c r="Z593" s="534">
        <f t="shared" si="774"/>
        <v>4500.9162668252675</v>
      </c>
      <c r="AA593" s="534">
        <f t="shared" si="774"/>
        <v>4500.9162668252675</v>
      </c>
      <c r="AB593" s="534">
        <f t="shared" si="774"/>
        <v>4500.9162668252675</v>
      </c>
      <c r="AC593" s="534">
        <f t="shared" si="774"/>
        <v>4500.9162668252675</v>
      </c>
      <c r="AD593" s="534">
        <f t="shared" si="774"/>
        <v>4730.3456769422819</v>
      </c>
      <c r="AE593" s="534">
        <f t="shared" si="774"/>
        <v>4730.3456769422819</v>
      </c>
      <c r="AF593" s="534">
        <f t="shared" si="774"/>
        <v>4730.3456769422819</v>
      </c>
      <c r="AG593" s="534">
        <f t="shared" si="774"/>
        <v>4730.3456769422819</v>
      </c>
      <c r="AH593" s="534">
        <f t="shared" si="774"/>
        <v>4730.3456769422819</v>
      </c>
      <c r="AI593" s="534">
        <f t="shared" si="774"/>
        <v>4730.3456769422819</v>
      </c>
      <c r="AJ593" s="534">
        <f t="shared" si="774"/>
        <v>4730.3456769422819</v>
      </c>
      <c r="AK593" s="534">
        <f t="shared" si="774"/>
        <v>4730.3456769422819</v>
      </c>
      <c r="AL593" s="534">
        <f t="shared" si="774"/>
        <v>4730.3456769422819</v>
      </c>
      <c r="AM593" s="534">
        <f t="shared" si="774"/>
        <v>4730.3456769422819</v>
      </c>
      <c r="AN593" s="534">
        <f t="shared" si="774"/>
        <v>4730.3456769422819</v>
      </c>
      <c r="AO593" s="534">
        <f t="shared" si="774"/>
        <v>4730.3456769422819</v>
      </c>
      <c r="AP593" s="534">
        <f t="shared" si="774"/>
        <v>4959.3419792455006</v>
      </c>
      <c r="AQ593" s="534">
        <f t="shared" si="774"/>
        <v>4959.3419792455006</v>
      </c>
      <c r="AR593" s="534">
        <f t="shared" si="774"/>
        <v>4959.3419792455006</v>
      </c>
      <c r="AS593" s="534">
        <f t="shared" si="774"/>
        <v>4959.3419792455006</v>
      </c>
      <c r="AT593" s="534">
        <f t="shared" si="774"/>
        <v>4959.3419792455006</v>
      </c>
      <c r="AU593" s="534">
        <f t="shared" si="774"/>
        <v>4959.3419792455006</v>
      </c>
      <c r="AV593" s="534">
        <f t="shared" si="774"/>
        <v>4959.3419792455006</v>
      </c>
      <c r="AW593" s="534">
        <f t="shared" si="774"/>
        <v>4959.3419792455006</v>
      </c>
      <c r="AX593" s="534">
        <f t="shared" ref="AX593:BY593" si="775">AX529/AX$571</f>
        <v>4959.3419792455006</v>
      </c>
      <c r="AY593" s="534">
        <f t="shared" si="775"/>
        <v>4959.3419792455006</v>
      </c>
      <c r="AZ593" s="534">
        <f t="shared" si="775"/>
        <v>4959.3419792455006</v>
      </c>
      <c r="BA593" s="534">
        <f t="shared" si="775"/>
        <v>4959.3419792455006</v>
      </c>
      <c r="BB593" s="534">
        <f t="shared" si="775"/>
        <v>5186.1045261653098</v>
      </c>
      <c r="BC593" s="534">
        <f t="shared" si="775"/>
        <v>5186.1045261653098</v>
      </c>
      <c r="BD593" s="534">
        <f t="shared" si="775"/>
        <v>5186.1045261653098</v>
      </c>
      <c r="BE593" s="534">
        <f t="shared" si="775"/>
        <v>5186.1045261653098</v>
      </c>
      <c r="BF593" s="534">
        <f t="shared" si="775"/>
        <v>5186.1045261653098</v>
      </c>
      <c r="BG593" s="534">
        <f t="shared" si="775"/>
        <v>5186.1045261653098</v>
      </c>
      <c r="BH593" s="534">
        <f t="shared" si="775"/>
        <v>5186.1045261653098</v>
      </c>
      <c r="BI593" s="534">
        <f t="shared" si="775"/>
        <v>5186.1045261653098</v>
      </c>
      <c r="BJ593" s="534">
        <f t="shared" si="775"/>
        <v>5186.1045261653098</v>
      </c>
      <c r="BK593" s="534">
        <f t="shared" si="775"/>
        <v>5186.1045261653098</v>
      </c>
      <c r="BL593" s="534">
        <f t="shared" si="775"/>
        <v>5186.1045261653098</v>
      </c>
      <c r="BM593" s="534">
        <f t="shared" si="775"/>
        <v>5186.1045261653098</v>
      </c>
      <c r="BN593" s="534">
        <f t="shared" si="775"/>
        <v>5421.2978760870274</v>
      </c>
      <c r="BO593" s="534">
        <f t="shared" si="775"/>
        <v>5421.2978760870274</v>
      </c>
      <c r="BP593" s="534">
        <f t="shared" si="775"/>
        <v>5421.2978760870274</v>
      </c>
      <c r="BQ593" s="534">
        <f t="shared" si="775"/>
        <v>5421.2978760870274</v>
      </c>
      <c r="BR593" s="534">
        <f t="shared" si="775"/>
        <v>5421.2978760870274</v>
      </c>
      <c r="BS593" s="534">
        <f t="shared" si="775"/>
        <v>5421.2978760870274</v>
      </c>
      <c r="BT593" s="534">
        <f t="shared" si="775"/>
        <v>5421.2978760870274</v>
      </c>
      <c r="BU593" s="534">
        <f t="shared" si="775"/>
        <v>5421.2978760870274</v>
      </c>
      <c r="BV593" s="534">
        <f t="shared" si="775"/>
        <v>5421.2978760870274</v>
      </c>
      <c r="BW593" s="534">
        <f t="shared" si="775"/>
        <v>5421.2978760870274</v>
      </c>
      <c r="BX593" s="534">
        <f t="shared" si="775"/>
        <v>5421.2978760870274</v>
      </c>
      <c r="BY593" s="534">
        <f t="shared" si="775"/>
        <v>5421.2978760870274</v>
      </c>
    </row>
    <row r="594" spans="1:77" x14ac:dyDescent="0.3">
      <c r="A594" s="551"/>
      <c r="B594" s="522"/>
      <c r="C594" s="522"/>
      <c r="D594" s="525"/>
      <c r="E594" s="525" t="s">
        <v>177</v>
      </c>
      <c r="F594" s="529"/>
      <c r="G594" s="529"/>
      <c r="H594" s="529"/>
      <c r="I594" s="531">
        <f t="shared" ref="I594:N594" si="776">IFERROR(I593/(I576+I585),0)</f>
        <v>0.43884119057877113</v>
      </c>
      <c r="J594" s="531">
        <f t="shared" si="776"/>
        <v>0.44684810329509345</v>
      </c>
      <c r="K594" s="531">
        <f t="shared" si="776"/>
        <v>0.45436683713023046</v>
      </c>
      <c r="L594" s="531">
        <f t="shared" si="776"/>
        <v>0.46135007859910815</v>
      </c>
      <c r="M594" s="531">
        <f t="shared" si="776"/>
        <v>0.46777725443170454</v>
      </c>
      <c r="N594" s="531">
        <f t="shared" si="776"/>
        <v>0.4740820872860555</v>
      </c>
      <c r="O594" s="546"/>
      <c r="P594" s="564">
        <f>IFERROR(((N594/I594)^(1/5))-1,0)</f>
        <v>1.556852449026791E-2</v>
      </c>
      <c r="Q594" s="537"/>
      <c r="R594" s="531">
        <f t="shared" ref="R594:BY594" si="777">IFERROR(R593/(R576+R585),0)</f>
        <v>0.44684810329509345</v>
      </c>
      <c r="S594" s="531">
        <f t="shared" si="777"/>
        <v>0.44684810329509345</v>
      </c>
      <c r="T594" s="531">
        <f t="shared" si="777"/>
        <v>0.44684810329509345</v>
      </c>
      <c r="U594" s="531">
        <f t="shared" si="777"/>
        <v>0.44684810329509345</v>
      </c>
      <c r="V594" s="531">
        <f t="shared" si="777"/>
        <v>0.44684810329509345</v>
      </c>
      <c r="W594" s="531">
        <f t="shared" si="777"/>
        <v>0.44684810329509345</v>
      </c>
      <c r="X594" s="531">
        <f t="shared" si="777"/>
        <v>0.44684810329509345</v>
      </c>
      <c r="Y594" s="531">
        <f t="shared" si="777"/>
        <v>0.44684810329509345</v>
      </c>
      <c r="Z594" s="531">
        <f t="shared" si="777"/>
        <v>0.44684810329509345</v>
      </c>
      <c r="AA594" s="531">
        <f t="shared" si="777"/>
        <v>0.44684810329509345</v>
      </c>
      <c r="AB594" s="531">
        <f t="shared" si="777"/>
        <v>0.44684810329509345</v>
      </c>
      <c r="AC594" s="531">
        <f t="shared" si="777"/>
        <v>0.44684810329509345</v>
      </c>
      <c r="AD594" s="531">
        <f t="shared" si="777"/>
        <v>0.45436683713023052</v>
      </c>
      <c r="AE594" s="531">
        <f t="shared" si="777"/>
        <v>0.45436683713023052</v>
      </c>
      <c r="AF594" s="531">
        <f t="shared" si="777"/>
        <v>0.45436683713023052</v>
      </c>
      <c r="AG594" s="531">
        <f t="shared" si="777"/>
        <v>0.45436683713023052</v>
      </c>
      <c r="AH594" s="531">
        <f t="shared" si="777"/>
        <v>0.45436683713023052</v>
      </c>
      <c r="AI594" s="531">
        <f t="shared" si="777"/>
        <v>0.45436683713023052</v>
      </c>
      <c r="AJ594" s="531">
        <f t="shared" si="777"/>
        <v>0.45436683713023052</v>
      </c>
      <c r="AK594" s="531">
        <f t="shared" si="777"/>
        <v>0.45436683713023052</v>
      </c>
      <c r="AL594" s="531">
        <f t="shared" si="777"/>
        <v>0.45436683713023052</v>
      </c>
      <c r="AM594" s="531">
        <f t="shared" si="777"/>
        <v>0.45436683713023052</v>
      </c>
      <c r="AN594" s="531">
        <f t="shared" si="777"/>
        <v>0.45436683713023052</v>
      </c>
      <c r="AO594" s="531">
        <f t="shared" si="777"/>
        <v>0.45436683713023052</v>
      </c>
      <c r="AP594" s="531">
        <f t="shared" si="777"/>
        <v>0.46135007859910826</v>
      </c>
      <c r="AQ594" s="531">
        <f t="shared" si="777"/>
        <v>0.46135007859910826</v>
      </c>
      <c r="AR594" s="531">
        <f t="shared" si="777"/>
        <v>0.46135007859910826</v>
      </c>
      <c r="AS594" s="531">
        <f t="shared" si="777"/>
        <v>0.46135007859910826</v>
      </c>
      <c r="AT594" s="531">
        <f t="shared" si="777"/>
        <v>0.46135007859910826</v>
      </c>
      <c r="AU594" s="531">
        <f t="shared" si="777"/>
        <v>0.46135007859910826</v>
      </c>
      <c r="AV594" s="531">
        <f t="shared" si="777"/>
        <v>0.46135007859910826</v>
      </c>
      <c r="AW594" s="531">
        <f t="shared" si="777"/>
        <v>0.46135007859910826</v>
      </c>
      <c r="AX594" s="531">
        <f t="shared" si="777"/>
        <v>0.46135007859910826</v>
      </c>
      <c r="AY594" s="531">
        <f t="shared" si="777"/>
        <v>0.46135007859910826</v>
      </c>
      <c r="AZ594" s="531">
        <f t="shared" si="777"/>
        <v>0.46135007859910826</v>
      </c>
      <c r="BA594" s="531">
        <f t="shared" si="777"/>
        <v>0.46135007859910826</v>
      </c>
      <c r="BB594" s="531">
        <f t="shared" si="777"/>
        <v>0.46777725443170459</v>
      </c>
      <c r="BC594" s="531">
        <f t="shared" si="777"/>
        <v>0.46777725443170459</v>
      </c>
      <c r="BD594" s="531">
        <f t="shared" si="777"/>
        <v>0.46777725443170459</v>
      </c>
      <c r="BE594" s="531">
        <f t="shared" si="777"/>
        <v>0.46777725443170459</v>
      </c>
      <c r="BF594" s="531">
        <f t="shared" si="777"/>
        <v>0.46777725443170459</v>
      </c>
      <c r="BG594" s="531">
        <f t="shared" si="777"/>
        <v>0.46777725443170459</v>
      </c>
      <c r="BH594" s="531">
        <f t="shared" si="777"/>
        <v>0.46777725443170459</v>
      </c>
      <c r="BI594" s="531">
        <f t="shared" si="777"/>
        <v>0.46777725443170459</v>
      </c>
      <c r="BJ594" s="531">
        <f t="shared" si="777"/>
        <v>0.46777725443170459</v>
      </c>
      <c r="BK594" s="531">
        <f t="shared" si="777"/>
        <v>0.46777725443170459</v>
      </c>
      <c r="BL594" s="531">
        <f t="shared" si="777"/>
        <v>0.46777725443170459</v>
      </c>
      <c r="BM594" s="531">
        <f t="shared" si="777"/>
        <v>0.46777725443170459</v>
      </c>
      <c r="BN594" s="531">
        <f t="shared" si="777"/>
        <v>0.47408208728605544</v>
      </c>
      <c r="BO594" s="531">
        <f t="shared" si="777"/>
        <v>0.47408208728605544</v>
      </c>
      <c r="BP594" s="531">
        <f t="shared" si="777"/>
        <v>0.47408208728605544</v>
      </c>
      <c r="BQ594" s="531">
        <f t="shared" si="777"/>
        <v>0.47408208728605544</v>
      </c>
      <c r="BR594" s="531">
        <f t="shared" si="777"/>
        <v>0.47408208728605544</v>
      </c>
      <c r="BS594" s="531">
        <f t="shared" si="777"/>
        <v>0.47408208728605544</v>
      </c>
      <c r="BT594" s="531">
        <f t="shared" si="777"/>
        <v>0.47408208728605544</v>
      </c>
      <c r="BU594" s="531">
        <f t="shared" si="777"/>
        <v>0.47408208728605544</v>
      </c>
      <c r="BV594" s="531">
        <f t="shared" si="777"/>
        <v>0.47408208728605544</v>
      </c>
      <c r="BW594" s="531">
        <f t="shared" si="777"/>
        <v>0.47408208728605544</v>
      </c>
      <c r="BX594" s="531">
        <f t="shared" si="777"/>
        <v>0.47408208728605544</v>
      </c>
      <c r="BY594" s="531">
        <f t="shared" si="777"/>
        <v>0.47408208728605544</v>
      </c>
    </row>
    <row r="595" spans="1:77" x14ac:dyDescent="0.3">
      <c r="A595" s="551"/>
      <c r="B595" s="522"/>
      <c r="C595" s="522"/>
      <c r="D595" s="537"/>
      <c r="E595" s="525"/>
      <c r="F595" s="529"/>
      <c r="G595" s="529"/>
      <c r="H595" s="537"/>
      <c r="I595" s="529"/>
      <c r="J595" s="529"/>
      <c r="K595" s="529"/>
      <c r="L595" s="529"/>
      <c r="M595" s="529"/>
      <c r="N595" s="529"/>
      <c r="O595" s="529"/>
      <c r="P595" s="660"/>
      <c r="Q595" s="537"/>
      <c r="R595" s="529"/>
      <c r="S595" s="529"/>
      <c r="T595" s="529"/>
      <c r="U595" s="529"/>
      <c r="V595" s="529"/>
      <c r="W595" s="529"/>
      <c r="X595" s="529"/>
      <c r="Y595" s="529"/>
      <c r="Z595" s="529"/>
      <c r="AA595" s="529"/>
      <c r="AB595" s="529"/>
      <c r="AC595" s="529"/>
      <c r="AD595" s="529"/>
      <c r="AE595" s="529"/>
      <c r="AF595" s="529"/>
      <c r="AG595" s="529"/>
      <c r="AH595" s="529"/>
      <c r="AI595" s="529"/>
      <c r="AJ595" s="529"/>
      <c r="AK595" s="529"/>
      <c r="AL595" s="529"/>
      <c r="AM595" s="529"/>
      <c r="AN595" s="529"/>
      <c r="AO595" s="529"/>
      <c r="AP595" s="529"/>
      <c r="AQ595" s="529"/>
      <c r="AR595" s="529"/>
      <c r="AS595" s="529"/>
      <c r="AT595" s="529"/>
      <c r="AU595" s="529"/>
      <c r="AV595" s="529"/>
      <c r="AW595" s="529"/>
      <c r="AX595" s="529"/>
      <c r="AY595" s="529"/>
      <c r="AZ595" s="529"/>
      <c r="BA595" s="529"/>
      <c r="BB595" s="529"/>
      <c r="BC595" s="529"/>
      <c r="BD595" s="529"/>
      <c r="BE595" s="529"/>
      <c r="BF595" s="529"/>
      <c r="BG595" s="529"/>
      <c r="BH595" s="529"/>
      <c r="BI595" s="529"/>
      <c r="BJ595" s="529"/>
      <c r="BK595" s="529"/>
      <c r="BL595" s="529"/>
      <c r="BM595" s="529"/>
      <c r="BN595" s="529"/>
      <c r="BO595" s="529"/>
      <c r="BP595" s="529"/>
      <c r="BQ595" s="529"/>
      <c r="BR595" s="529"/>
      <c r="BS595" s="529"/>
      <c r="BT595" s="529"/>
      <c r="BU595" s="529"/>
      <c r="BV595" s="529"/>
      <c r="BW595" s="529"/>
      <c r="BX595" s="529"/>
      <c r="BY595" s="529"/>
    </row>
    <row r="596" spans="1:77" x14ac:dyDescent="0.3">
      <c r="A596" s="551"/>
      <c r="B596" s="522"/>
      <c r="C596" s="522"/>
      <c r="D596" s="537"/>
      <c r="E596" s="570" t="s">
        <v>25</v>
      </c>
      <c r="F596" s="529"/>
      <c r="G596" s="529"/>
      <c r="H596" s="537"/>
      <c r="I596" s="529"/>
      <c r="J596" s="529"/>
      <c r="K596" s="529"/>
      <c r="L596" s="529"/>
      <c r="M596" s="529"/>
      <c r="N596" s="529"/>
      <c r="O596" s="529"/>
      <c r="P596" s="660"/>
      <c r="Q596" s="537"/>
      <c r="R596" s="529"/>
      <c r="S596" s="529"/>
      <c r="T596" s="529"/>
      <c r="U596" s="529"/>
      <c r="V596" s="529"/>
      <c r="W596" s="529"/>
      <c r="X596" s="529"/>
      <c r="Y596" s="529"/>
      <c r="Z596" s="529"/>
      <c r="AA596" s="529"/>
      <c r="AB596" s="529"/>
      <c r="AC596" s="529"/>
      <c r="AD596" s="529"/>
      <c r="AE596" s="529"/>
      <c r="AF596" s="529"/>
      <c r="AG596" s="529"/>
      <c r="AH596" s="529"/>
      <c r="AI596" s="529"/>
      <c r="AJ596" s="529"/>
      <c r="AK596" s="529"/>
      <c r="AL596" s="529"/>
      <c r="AM596" s="529"/>
      <c r="AN596" s="529"/>
      <c r="AO596" s="529"/>
      <c r="AP596" s="529"/>
      <c r="AQ596" s="529"/>
      <c r="AR596" s="529"/>
      <c r="AS596" s="529"/>
      <c r="AT596" s="529"/>
      <c r="AU596" s="529"/>
      <c r="AV596" s="529"/>
      <c r="AW596" s="529"/>
      <c r="AX596" s="529"/>
      <c r="AY596" s="529"/>
      <c r="AZ596" s="529"/>
      <c r="BA596" s="529"/>
      <c r="BB596" s="529"/>
      <c r="BC596" s="529"/>
      <c r="BD596" s="529"/>
      <c r="BE596" s="529"/>
      <c r="BF596" s="529"/>
      <c r="BG596" s="529"/>
      <c r="BH596" s="529"/>
      <c r="BI596" s="529"/>
      <c r="BJ596" s="529"/>
      <c r="BK596" s="529"/>
      <c r="BL596" s="529"/>
      <c r="BM596" s="529"/>
      <c r="BN596" s="529"/>
      <c r="BO596" s="529"/>
      <c r="BP596" s="529"/>
      <c r="BQ596" s="529"/>
      <c r="BR596" s="529"/>
      <c r="BS596" s="529"/>
      <c r="BT596" s="529"/>
      <c r="BU596" s="529"/>
      <c r="BV596" s="529"/>
      <c r="BW596" s="529"/>
      <c r="BX596" s="529"/>
      <c r="BY596" s="529"/>
    </row>
    <row r="597" spans="1:77" x14ac:dyDescent="0.3">
      <c r="A597" s="551"/>
      <c r="B597" s="647"/>
      <c r="C597" s="668"/>
      <c r="D597" s="537"/>
      <c r="E597" s="525" t="s">
        <v>25</v>
      </c>
      <c r="F597" s="567"/>
      <c r="G597" s="567"/>
      <c r="H597" s="537"/>
      <c r="I597" s="527">
        <f t="shared" ref="I597:N599" si="778">I533/I$571</f>
        <v>35955.150942705011</v>
      </c>
      <c r="J597" s="527">
        <f t="shared" si="778"/>
        <v>37031.907707152604</v>
      </c>
      <c r="K597" s="527">
        <f t="shared" si="778"/>
        <v>38077.278716938337</v>
      </c>
      <c r="L597" s="527">
        <f t="shared" si="778"/>
        <v>39093.733960342586</v>
      </c>
      <c r="M597" s="527">
        <f t="shared" si="778"/>
        <v>39981.589400638062</v>
      </c>
      <c r="N597" s="527">
        <f t="shared" si="778"/>
        <v>40802.063907914817</v>
      </c>
      <c r="O597" s="529"/>
      <c r="P597" s="564">
        <f>IFERROR(((N597/I597)^(1/5))-1,0)</f>
        <v>2.5614620143270317E-2</v>
      </c>
      <c r="Q597" s="537"/>
      <c r="R597" s="527">
        <f t="shared" ref="R597:AW597" si="779">R533/R$571</f>
        <v>3085.9923089293839</v>
      </c>
      <c r="S597" s="527">
        <f t="shared" si="779"/>
        <v>3085.9923089293839</v>
      </c>
      <c r="T597" s="527">
        <f t="shared" si="779"/>
        <v>3085.9923089293839</v>
      </c>
      <c r="U597" s="527">
        <f t="shared" si="779"/>
        <v>3085.9923089293839</v>
      </c>
      <c r="V597" s="527">
        <f t="shared" si="779"/>
        <v>3085.9923089293839</v>
      </c>
      <c r="W597" s="527">
        <f t="shared" si="779"/>
        <v>3085.9923089293839</v>
      </c>
      <c r="X597" s="527">
        <f t="shared" si="779"/>
        <v>3085.9923089293839</v>
      </c>
      <c r="Y597" s="527">
        <f t="shared" si="779"/>
        <v>3085.9923089293839</v>
      </c>
      <c r="Z597" s="527">
        <f t="shared" si="779"/>
        <v>3085.9923089293839</v>
      </c>
      <c r="AA597" s="527">
        <f t="shared" si="779"/>
        <v>3085.9923089293839</v>
      </c>
      <c r="AB597" s="527">
        <f t="shared" si="779"/>
        <v>3085.9923089293839</v>
      </c>
      <c r="AC597" s="527">
        <f t="shared" si="779"/>
        <v>3085.9923089293839</v>
      </c>
      <c r="AD597" s="527">
        <f t="shared" si="779"/>
        <v>3173.1065597448614</v>
      </c>
      <c r="AE597" s="527">
        <f t="shared" si="779"/>
        <v>3173.1065597448614</v>
      </c>
      <c r="AF597" s="527">
        <f t="shared" si="779"/>
        <v>3173.1065597448614</v>
      </c>
      <c r="AG597" s="527">
        <f t="shared" si="779"/>
        <v>3173.1065597448614</v>
      </c>
      <c r="AH597" s="527">
        <f t="shared" si="779"/>
        <v>3173.1065597448614</v>
      </c>
      <c r="AI597" s="527">
        <f t="shared" si="779"/>
        <v>3173.1065597448614</v>
      </c>
      <c r="AJ597" s="527">
        <f t="shared" si="779"/>
        <v>3173.1065597448614</v>
      </c>
      <c r="AK597" s="527">
        <f t="shared" si="779"/>
        <v>3173.1065597448614</v>
      </c>
      <c r="AL597" s="527">
        <f t="shared" si="779"/>
        <v>3173.1065597448614</v>
      </c>
      <c r="AM597" s="527">
        <f t="shared" si="779"/>
        <v>3173.1065597448614</v>
      </c>
      <c r="AN597" s="527">
        <f t="shared" si="779"/>
        <v>3173.1065597448614</v>
      </c>
      <c r="AO597" s="527">
        <f t="shared" si="779"/>
        <v>3173.1065597448614</v>
      </c>
      <c r="AP597" s="527">
        <f t="shared" si="779"/>
        <v>3257.8111633618823</v>
      </c>
      <c r="AQ597" s="527">
        <f t="shared" si="779"/>
        <v>3257.8111633618823</v>
      </c>
      <c r="AR597" s="527">
        <f t="shared" si="779"/>
        <v>3257.8111633618823</v>
      </c>
      <c r="AS597" s="527">
        <f t="shared" si="779"/>
        <v>3257.8111633618823</v>
      </c>
      <c r="AT597" s="527">
        <f t="shared" si="779"/>
        <v>3257.8111633618823</v>
      </c>
      <c r="AU597" s="527">
        <f t="shared" si="779"/>
        <v>3257.8111633618823</v>
      </c>
      <c r="AV597" s="527">
        <f t="shared" si="779"/>
        <v>3257.8111633618823</v>
      </c>
      <c r="AW597" s="527">
        <f t="shared" si="779"/>
        <v>3257.8111633618823</v>
      </c>
      <c r="AX597" s="527">
        <f t="shared" ref="AX597:BY597" si="780">AX533/AX$571</f>
        <v>3257.8111633618823</v>
      </c>
      <c r="AY597" s="527">
        <f t="shared" si="780"/>
        <v>3257.8111633618823</v>
      </c>
      <c r="AZ597" s="527">
        <f t="shared" si="780"/>
        <v>3257.8111633618823</v>
      </c>
      <c r="BA597" s="527">
        <f t="shared" si="780"/>
        <v>3257.8111633618823</v>
      </c>
      <c r="BB597" s="527">
        <f t="shared" si="780"/>
        <v>3331.7991167198384</v>
      </c>
      <c r="BC597" s="527">
        <f t="shared" si="780"/>
        <v>3331.7991167198384</v>
      </c>
      <c r="BD597" s="527">
        <f t="shared" si="780"/>
        <v>3331.7991167198384</v>
      </c>
      <c r="BE597" s="527">
        <f t="shared" si="780"/>
        <v>3331.7991167198384</v>
      </c>
      <c r="BF597" s="527">
        <f t="shared" si="780"/>
        <v>3331.7991167198384</v>
      </c>
      <c r="BG597" s="527">
        <f t="shared" si="780"/>
        <v>3331.7991167198384</v>
      </c>
      <c r="BH597" s="527">
        <f t="shared" si="780"/>
        <v>3331.7991167198384</v>
      </c>
      <c r="BI597" s="527">
        <f t="shared" si="780"/>
        <v>3331.7991167198384</v>
      </c>
      <c r="BJ597" s="527">
        <f t="shared" si="780"/>
        <v>3331.7991167198384</v>
      </c>
      <c r="BK597" s="527">
        <f t="shared" si="780"/>
        <v>3331.7991167198384</v>
      </c>
      <c r="BL597" s="527">
        <f t="shared" si="780"/>
        <v>3331.7991167198384</v>
      </c>
      <c r="BM597" s="527">
        <f t="shared" si="780"/>
        <v>3331.7991167198384</v>
      </c>
      <c r="BN597" s="527">
        <f t="shared" si="780"/>
        <v>3400.1719923262349</v>
      </c>
      <c r="BO597" s="527">
        <f t="shared" si="780"/>
        <v>3400.1719923262349</v>
      </c>
      <c r="BP597" s="527">
        <f t="shared" si="780"/>
        <v>3400.1719923262349</v>
      </c>
      <c r="BQ597" s="527">
        <f t="shared" si="780"/>
        <v>3400.1719923262349</v>
      </c>
      <c r="BR597" s="527">
        <f t="shared" si="780"/>
        <v>3400.1719923262349</v>
      </c>
      <c r="BS597" s="527">
        <f t="shared" si="780"/>
        <v>3400.1719923262349</v>
      </c>
      <c r="BT597" s="527">
        <f t="shared" si="780"/>
        <v>3400.1719923262349</v>
      </c>
      <c r="BU597" s="527">
        <f t="shared" si="780"/>
        <v>3400.1719923262349</v>
      </c>
      <c r="BV597" s="527">
        <f t="shared" si="780"/>
        <v>3400.1719923262349</v>
      </c>
      <c r="BW597" s="527">
        <f t="shared" si="780"/>
        <v>3400.1719923262349</v>
      </c>
      <c r="BX597" s="527">
        <f t="shared" si="780"/>
        <v>3400.1719923262349</v>
      </c>
      <c r="BY597" s="527">
        <f t="shared" si="780"/>
        <v>3400.1719923262349</v>
      </c>
    </row>
    <row r="598" spans="1:77" x14ac:dyDescent="0.3">
      <c r="A598" s="551"/>
      <c r="B598" s="647"/>
      <c r="C598" s="668"/>
      <c r="D598" s="537"/>
      <c r="E598" s="525" t="s">
        <v>14</v>
      </c>
      <c r="F598" s="567"/>
      <c r="G598" s="567"/>
      <c r="H598" s="537"/>
      <c r="I598" s="527">
        <f t="shared" si="778"/>
        <v>4997.1128932521742</v>
      </c>
      <c r="J598" s="527">
        <f t="shared" si="778"/>
        <v>5172.6470939358542</v>
      </c>
      <c r="K598" s="527">
        <f t="shared" si="778"/>
        <v>5344.3662229822385</v>
      </c>
      <c r="L598" s="527">
        <f t="shared" si="778"/>
        <v>5514.5820908693368</v>
      </c>
      <c r="M598" s="527">
        <f t="shared" si="778"/>
        <v>5656.6906050844264</v>
      </c>
      <c r="N598" s="527">
        <f t="shared" si="778"/>
        <v>5779.0053035270785</v>
      </c>
      <c r="O598" s="529"/>
      <c r="P598" s="564">
        <f>IFERROR(((N598/I598)^(1/5))-1,0)</f>
        <v>2.9501032242708503E-2</v>
      </c>
      <c r="Q598" s="537"/>
      <c r="R598" s="527">
        <f t="shared" ref="R598:AW598" si="781">R534/R$571</f>
        <v>431.05392449465455</v>
      </c>
      <c r="S598" s="527">
        <f t="shared" si="781"/>
        <v>431.05392449465455</v>
      </c>
      <c r="T598" s="527">
        <f t="shared" si="781"/>
        <v>431.05392449465455</v>
      </c>
      <c r="U598" s="527">
        <f t="shared" si="781"/>
        <v>431.05392449465455</v>
      </c>
      <c r="V598" s="527">
        <f t="shared" si="781"/>
        <v>431.05392449465455</v>
      </c>
      <c r="W598" s="527">
        <f t="shared" si="781"/>
        <v>431.05392449465455</v>
      </c>
      <c r="X598" s="527">
        <f t="shared" si="781"/>
        <v>431.05392449465455</v>
      </c>
      <c r="Y598" s="527">
        <f t="shared" si="781"/>
        <v>431.05392449465455</v>
      </c>
      <c r="Z598" s="527">
        <f t="shared" si="781"/>
        <v>431.05392449465455</v>
      </c>
      <c r="AA598" s="527">
        <f t="shared" si="781"/>
        <v>431.05392449465455</v>
      </c>
      <c r="AB598" s="527">
        <f t="shared" si="781"/>
        <v>431.05392449465455</v>
      </c>
      <c r="AC598" s="527">
        <f t="shared" si="781"/>
        <v>431.05392449465455</v>
      </c>
      <c r="AD598" s="527">
        <f t="shared" si="781"/>
        <v>445.3638519151865</v>
      </c>
      <c r="AE598" s="527">
        <f t="shared" si="781"/>
        <v>445.3638519151865</v>
      </c>
      <c r="AF598" s="527">
        <f t="shared" si="781"/>
        <v>445.3638519151865</v>
      </c>
      <c r="AG598" s="527">
        <f t="shared" si="781"/>
        <v>445.3638519151865</v>
      </c>
      <c r="AH598" s="527">
        <f t="shared" si="781"/>
        <v>445.3638519151865</v>
      </c>
      <c r="AI598" s="527">
        <f t="shared" si="781"/>
        <v>445.3638519151865</v>
      </c>
      <c r="AJ598" s="527">
        <f t="shared" si="781"/>
        <v>445.3638519151865</v>
      </c>
      <c r="AK598" s="527">
        <f t="shared" si="781"/>
        <v>445.3638519151865</v>
      </c>
      <c r="AL598" s="527">
        <f t="shared" si="781"/>
        <v>445.3638519151865</v>
      </c>
      <c r="AM598" s="527">
        <f t="shared" si="781"/>
        <v>445.3638519151865</v>
      </c>
      <c r="AN598" s="527">
        <f t="shared" si="781"/>
        <v>445.3638519151865</v>
      </c>
      <c r="AO598" s="527">
        <f t="shared" si="781"/>
        <v>445.3638519151865</v>
      </c>
      <c r="AP598" s="527">
        <f t="shared" si="781"/>
        <v>459.54850757244475</v>
      </c>
      <c r="AQ598" s="527">
        <f t="shared" si="781"/>
        <v>459.54850757244475</v>
      </c>
      <c r="AR598" s="527">
        <f t="shared" si="781"/>
        <v>459.54850757244475</v>
      </c>
      <c r="AS598" s="527">
        <f t="shared" si="781"/>
        <v>459.54850757244475</v>
      </c>
      <c r="AT598" s="527">
        <f t="shared" si="781"/>
        <v>459.54850757244475</v>
      </c>
      <c r="AU598" s="527">
        <f t="shared" si="781"/>
        <v>459.54850757244475</v>
      </c>
      <c r="AV598" s="527">
        <f t="shared" si="781"/>
        <v>459.54850757244475</v>
      </c>
      <c r="AW598" s="527">
        <f t="shared" si="781"/>
        <v>459.54850757244475</v>
      </c>
      <c r="AX598" s="527">
        <f t="shared" ref="AX598:BY598" si="782">AX534/AX$571</f>
        <v>459.54850757244475</v>
      </c>
      <c r="AY598" s="527">
        <f t="shared" si="782"/>
        <v>459.54850757244475</v>
      </c>
      <c r="AZ598" s="527">
        <f t="shared" si="782"/>
        <v>459.54850757244475</v>
      </c>
      <c r="BA598" s="527">
        <f t="shared" si="782"/>
        <v>459.54850757244475</v>
      </c>
      <c r="BB598" s="527">
        <f t="shared" si="782"/>
        <v>471.39088375703551</v>
      </c>
      <c r="BC598" s="527">
        <f t="shared" si="782"/>
        <v>471.39088375703551</v>
      </c>
      <c r="BD598" s="527">
        <f t="shared" si="782"/>
        <v>471.39088375703551</v>
      </c>
      <c r="BE598" s="527">
        <f t="shared" si="782"/>
        <v>471.39088375703551</v>
      </c>
      <c r="BF598" s="527">
        <f t="shared" si="782"/>
        <v>471.39088375703551</v>
      </c>
      <c r="BG598" s="527">
        <f t="shared" si="782"/>
        <v>471.39088375703551</v>
      </c>
      <c r="BH598" s="527">
        <f t="shared" si="782"/>
        <v>471.39088375703551</v>
      </c>
      <c r="BI598" s="527">
        <f t="shared" si="782"/>
        <v>471.39088375703551</v>
      </c>
      <c r="BJ598" s="527">
        <f t="shared" si="782"/>
        <v>471.39088375703551</v>
      </c>
      <c r="BK598" s="527">
        <f t="shared" si="782"/>
        <v>471.39088375703551</v>
      </c>
      <c r="BL598" s="527">
        <f t="shared" si="782"/>
        <v>471.39088375703551</v>
      </c>
      <c r="BM598" s="527">
        <f t="shared" si="782"/>
        <v>471.39088375703551</v>
      </c>
      <c r="BN598" s="527">
        <f t="shared" si="782"/>
        <v>481.58377529392322</v>
      </c>
      <c r="BO598" s="527">
        <f t="shared" si="782"/>
        <v>481.58377529392322</v>
      </c>
      <c r="BP598" s="527">
        <f t="shared" si="782"/>
        <v>481.58377529392322</v>
      </c>
      <c r="BQ598" s="527">
        <f t="shared" si="782"/>
        <v>481.58377529392322</v>
      </c>
      <c r="BR598" s="527">
        <f t="shared" si="782"/>
        <v>481.58377529392322</v>
      </c>
      <c r="BS598" s="527">
        <f t="shared" si="782"/>
        <v>481.58377529392322</v>
      </c>
      <c r="BT598" s="527">
        <f t="shared" si="782"/>
        <v>481.58377529392322</v>
      </c>
      <c r="BU598" s="527">
        <f t="shared" si="782"/>
        <v>481.58377529392322</v>
      </c>
      <c r="BV598" s="527">
        <f t="shared" si="782"/>
        <v>481.58377529392322</v>
      </c>
      <c r="BW598" s="527">
        <f t="shared" si="782"/>
        <v>481.58377529392322</v>
      </c>
      <c r="BX598" s="527">
        <f t="shared" si="782"/>
        <v>481.58377529392322</v>
      </c>
      <c r="BY598" s="527">
        <f t="shared" si="782"/>
        <v>481.58377529392322</v>
      </c>
    </row>
    <row r="599" spans="1:77" x14ac:dyDescent="0.3">
      <c r="A599" s="551"/>
      <c r="B599" s="647"/>
      <c r="C599" s="668"/>
      <c r="D599" s="537"/>
      <c r="E599" s="572" t="s">
        <v>26</v>
      </c>
      <c r="F599" s="573"/>
      <c r="G599" s="573"/>
      <c r="H599" s="537"/>
      <c r="I599" s="532">
        <f t="shared" si="778"/>
        <v>40952.263835957187</v>
      </c>
      <c r="J599" s="532">
        <f t="shared" si="778"/>
        <v>42204.554801088459</v>
      </c>
      <c r="K599" s="532">
        <f t="shared" si="778"/>
        <v>43421.644939920574</v>
      </c>
      <c r="L599" s="532">
        <f t="shared" si="778"/>
        <v>44608.316051211921</v>
      </c>
      <c r="M599" s="532">
        <f t="shared" si="778"/>
        <v>45638.280005722496</v>
      </c>
      <c r="N599" s="532">
        <f t="shared" si="778"/>
        <v>46581.069211441893</v>
      </c>
      <c r="O599" s="536"/>
      <c r="P599" s="568">
        <f>IFERROR(((N599/I599)^(1/5))-1,0)</f>
        <v>2.60920143802017E-2</v>
      </c>
      <c r="Q599" s="537"/>
      <c r="R599" s="532">
        <f t="shared" ref="R599:AW599" si="783">R535/R$571</f>
        <v>3517.0462334240383</v>
      </c>
      <c r="S599" s="532">
        <f t="shared" si="783"/>
        <v>3517.0462334240383</v>
      </c>
      <c r="T599" s="532">
        <f t="shared" si="783"/>
        <v>3517.0462334240383</v>
      </c>
      <c r="U599" s="532">
        <f t="shared" si="783"/>
        <v>3517.0462334240383</v>
      </c>
      <c r="V599" s="532">
        <f t="shared" si="783"/>
        <v>3517.0462334240383</v>
      </c>
      <c r="W599" s="532">
        <f t="shared" si="783"/>
        <v>3517.0462334240383</v>
      </c>
      <c r="X599" s="532">
        <f t="shared" si="783"/>
        <v>3517.0462334240383</v>
      </c>
      <c r="Y599" s="532">
        <f t="shared" si="783"/>
        <v>3517.0462334240383</v>
      </c>
      <c r="Z599" s="532">
        <f t="shared" si="783"/>
        <v>3517.0462334240383</v>
      </c>
      <c r="AA599" s="532">
        <f t="shared" si="783"/>
        <v>3517.0462334240383</v>
      </c>
      <c r="AB599" s="532">
        <f t="shared" si="783"/>
        <v>3517.0462334240383</v>
      </c>
      <c r="AC599" s="532">
        <f t="shared" si="783"/>
        <v>3517.0462334240383</v>
      </c>
      <c r="AD599" s="532">
        <f t="shared" si="783"/>
        <v>3618.4704116600478</v>
      </c>
      <c r="AE599" s="532">
        <f t="shared" si="783"/>
        <v>3618.4704116600478</v>
      </c>
      <c r="AF599" s="532">
        <f t="shared" si="783"/>
        <v>3618.4704116600478</v>
      </c>
      <c r="AG599" s="532">
        <f t="shared" si="783"/>
        <v>3618.4704116600478</v>
      </c>
      <c r="AH599" s="532">
        <f t="shared" si="783"/>
        <v>3618.4704116600478</v>
      </c>
      <c r="AI599" s="532">
        <f t="shared" si="783"/>
        <v>3618.4704116600478</v>
      </c>
      <c r="AJ599" s="532">
        <f t="shared" si="783"/>
        <v>3618.4704116600478</v>
      </c>
      <c r="AK599" s="532">
        <f t="shared" si="783"/>
        <v>3618.4704116600478</v>
      </c>
      <c r="AL599" s="532">
        <f t="shared" si="783"/>
        <v>3618.4704116600478</v>
      </c>
      <c r="AM599" s="532">
        <f t="shared" si="783"/>
        <v>3618.4704116600478</v>
      </c>
      <c r="AN599" s="532">
        <f t="shared" si="783"/>
        <v>3618.4704116600478</v>
      </c>
      <c r="AO599" s="532">
        <f t="shared" si="783"/>
        <v>3618.4704116600478</v>
      </c>
      <c r="AP599" s="532">
        <f t="shared" si="783"/>
        <v>3717.3596709343269</v>
      </c>
      <c r="AQ599" s="532">
        <f t="shared" si="783"/>
        <v>3717.3596709343269</v>
      </c>
      <c r="AR599" s="532">
        <f t="shared" si="783"/>
        <v>3717.3596709343269</v>
      </c>
      <c r="AS599" s="532">
        <f t="shared" si="783"/>
        <v>3717.3596709343269</v>
      </c>
      <c r="AT599" s="532">
        <f t="shared" si="783"/>
        <v>3717.3596709343269</v>
      </c>
      <c r="AU599" s="532">
        <f t="shared" si="783"/>
        <v>3717.3596709343269</v>
      </c>
      <c r="AV599" s="532">
        <f t="shared" si="783"/>
        <v>3717.3596709343269</v>
      </c>
      <c r="AW599" s="532">
        <f t="shared" si="783"/>
        <v>3717.3596709343269</v>
      </c>
      <c r="AX599" s="532">
        <f t="shared" ref="AX599:BY599" si="784">AX535/AX$571</f>
        <v>3717.3596709343269</v>
      </c>
      <c r="AY599" s="532">
        <f t="shared" si="784"/>
        <v>3717.3596709343269</v>
      </c>
      <c r="AZ599" s="532">
        <f t="shared" si="784"/>
        <v>3717.3596709343269</v>
      </c>
      <c r="BA599" s="532">
        <f t="shared" si="784"/>
        <v>3717.3596709343269</v>
      </c>
      <c r="BB599" s="532">
        <f t="shared" si="784"/>
        <v>3803.190000476874</v>
      </c>
      <c r="BC599" s="532">
        <f t="shared" si="784"/>
        <v>3803.190000476874</v>
      </c>
      <c r="BD599" s="532">
        <f t="shared" si="784"/>
        <v>3803.190000476874</v>
      </c>
      <c r="BE599" s="532">
        <f t="shared" si="784"/>
        <v>3803.190000476874</v>
      </c>
      <c r="BF599" s="532">
        <f t="shared" si="784"/>
        <v>3803.190000476874</v>
      </c>
      <c r="BG599" s="532">
        <f t="shared" si="784"/>
        <v>3803.190000476874</v>
      </c>
      <c r="BH599" s="532">
        <f t="shared" si="784"/>
        <v>3803.190000476874</v>
      </c>
      <c r="BI599" s="532">
        <f t="shared" si="784"/>
        <v>3803.190000476874</v>
      </c>
      <c r="BJ599" s="532">
        <f t="shared" si="784"/>
        <v>3803.190000476874</v>
      </c>
      <c r="BK599" s="532">
        <f t="shared" si="784"/>
        <v>3803.190000476874</v>
      </c>
      <c r="BL599" s="532">
        <f t="shared" si="784"/>
        <v>3803.190000476874</v>
      </c>
      <c r="BM599" s="532">
        <f t="shared" si="784"/>
        <v>3803.190000476874</v>
      </c>
      <c r="BN599" s="532">
        <f t="shared" si="784"/>
        <v>3881.7557676201582</v>
      </c>
      <c r="BO599" s="532">
        <f t="shared" si="784"/>
        <v>3881.7557676201582</v>
      </c>
      <c r="BP599" s="532">
        <f t="shared" si="784"/>
        <v>3881.7557676201582</v>
      </c>
      <c r="BQ599" s="532">
        <f t="shared" si="784"/>
        <v>3881.7557676201582</v>
      </c>
      <c r="BR599" s="532">
        <f t="shared" si="784"/>
        <v>3881.7557676201582</v>
      </c>
      <c r="BS599" s="532">
        <f t="shared" si="784"/>
        <v>3881.7557676201582</v>
      </c>
      <c r="BT599" s="532">
        <f t="shared" si="784"/>
        <v>3881.7557676201582</v>
      </c>
      <c r="BU599" s="532">
        <f t="shared" si="784"/>
        <v>3881.7557676201582</v>
      </c>
      <c r="BV599" s="532">
        <f t="shared" si="784"/>
        <v>3881.7557676201582</v>
      </c>
      <c r="BW599" s="532">
        <f t="shared" si="784"/>
        <v>3881.7557676201582</v>
      </c>
      <c r="BX599" s="532">
        <f t="shared" si="784"/>
        <v>3881.7557676201582</v>
      </c>
      <c r="BY599" s="532">
        <f t="shared" si="784"/>
        <v>3881.7557676201582</v>
      </c>
    </row>
    <row r="600" spans="1:77" x14ac:dyDescent="0.3">
      <c r="A600" s="551"/>
      <c r="B600" s="647"/>
      <c r="C600" s="668"/>
      <c r="D600" s="537"/>
      <c r="E600" s="525"/>
      <c r="F600" s="529"/>
      <c r="G600" s="529"/>
      <c r="H600" s="537"/>
      <c r="I600" s="529"/>
      <c r="J600" s="529"/>
      <c r="K600" s="529"/>
      <c r="L600" s="529"/>
      <c r="M600" s="529"/>
      <c r="N600" s="529"/>
      <c r="O600" s="529"/>
      <c r="P600" s="660"/>
      <c r="Q600" s="537"/>
      <c r="R600" s="529"/>
      <c r="S600" s="529"/>
      <c r="T600" s="529"/>
      <c r="U600" s="529"/>
      <c r="V600" s="529"/>
      <c r="W600" s="529"/>
      <c r="X600" s="529"/>
      <c r="Y600" s="529"/>
      <c r="Z600" s="529"/>
      <c r="AA600" s="529"/>
      <c r="AB600" s="529"/>
      <c r="AC600" s="529"/>
      <c r="AD600" s="529"/>
      <c r="AE600" s="529"/>
      <c r="AF600" s="529"/>
      <c r="AG600" s="529"/>
      <c r="AH600" s="529"/>
      <c r="AI600" s="529"/>
      <c r="AJ600" s="529"/>
      <c r="AK600" s="529"/>
      <c r="AL600" s="529"/>
      <c r="AM600" s="529"/>
      <c r="AN600" s="529"/>
      <c r="AO600" s="529"/>
      <c r="AP600" s="529"/>
      <c r="AQ600" s="529"/>
      <c r="AR600" s="529"/>
      <c r="AS600" s="529"/>
      <c r="AT600" s="529"/>
      <c r="AU600" s="529"/>
      <c r="AV600" s="529"/>
      <c r="AW600" s="529"/>
      <c r="AX600" s="529"/>
      <c r="AY600" s="529"/>
      <c r="AZ600" s="529"/>
      <c r="BA600" s="529"/>
      <c r="BB600" s="529"/>
      <c r="BC600" s="529"/>
      <c r="BD600" s="529"/>
      <c r="BE600" s="529"/>
      <c r="BF600" s="529"/>
      <c r="BG600" s="529"/>
      <c r="BH600" s="529"/>
      <c r="BI600" s="529"/>
      <c r="BJ600" s="529"/>
      <c r="BK600" s="529"/>
      <c r="BL600" s="529"/>
      <c r="BM600" s="529"/>
      <c r="BN600" s="529"/>
      <c r="BO600" s="529"/>
      <c r="BP600" s="529"/>
      <c r="BQ600" s="529"/>
      <c r="BR600" s="529"/>
      <c r="BS600" s="529"/>
      <c r="BT600" s="529"/>
      <c r="BU600" s="529"/>
      <c r="BV600" s="529"/>
      <c r="BW600" s="529"/>
      <c r="BX600" s="529"/>
      <c r="BY600" s="529"/>
    </row>
    <row r="601" spans="1:77" x14ac:dyDescent="0.3">
      <c r="A601" s="551"/>
      <c r="B601" s="647"/>
      <c r="C601" s="668"/>
      <c r="D601" s="537"/>
      <c r="E601" s="570" t="s">
        <v>27</v>
      </c>
      <c r="F601" s="529"/>
      <c r="G601" s="529"/>
      <c r="H601" s="537"/>
      <c r="I601" s="529"/>
      <c r="J601" s="529"/>
      <c r="K601" s="529"/>
      <c r="L601" s="529"/>
      <c r="M601" s="529"/>
      <c r="N601" s="529"/>
      <c r="O601" s="529"/>
      <c r="P601" s="660"/>
      <c r="Q601" s="537"/>
      <c r="R601" s="529"/>
      <c r="S601" s="529"/>
      <c r="T601" s="529"/>
      <c r="U601" s="529"/>
      <c r="V601" s="529"/>
      <c r="W601" s="529"/>
      <c r="X601" s="529"/>
      <c r="Y601" s="529"/>
      <c r="Z601" s="529"/>
      <c r="AA601" s="529"/>
      <c r="AB601" s="529"/>
      <c r="AC601" s="529"/>
      <c r="AD601" s="529"/>
      <c r="AE601" s="529"/>
      <c r="AF601" s="529"/>
      <c r="AG601" s="529"/>
      <c r="AH601" s="529"/>
      <c r="AI601" s="529"/>
      <c r="AJ601" s="529"/>
      <c r="AK601" s="529"/>
      <c r="AL601" s="529"/>
      <c r="AM601" s="529"/>
      <c r="AN601" s="529"/>
      <c r="AO601" s="529"/>
      <c r="AP601" s="529"/>
      <c r="AQ601" s="529"/>
      <c r="AR601" s="529"/>
      <c r="AS601" s="529"/>
      <c r="AT601" s="529"/>
      <c r="AU601" s="529"/>
      <c r="AV601" s="529"/>
      <c r="AW601" s="529"/>
      <c r="AX601" s="529"/>
      <c r="AY601" s="529"/>
      <c r="AZ601" s="529"/>
      <c r="BA601" s="529"/>
      <c r="BB601" s="529"/>
      <c r="BC601" s="529"/>
      <c r="BD601" s="529"/>
      <c r="BE601" s="529"/>
      <c r="BF601" s="529"/>
      <c r="BG601" s="529"/>
      <c r="BH601" s="529"/>
      <c r="BI601" s="529"/>
      <c r="BJ601" s="529"/>
      <c r="BK601" s="529"/>
      <c r="BL601" s="529"/>
      <c r="BM601" s="529"/>
      <c r="BN601" s="529"/>
      <c r="BO601" s="529"/>
      <c r="BP601" s="529"/>
      <c r="BQ601" s="529"/>
      <c r="BR601" s="529"/>
      <c r="BS601" s="529"/>
      <c r="BT601" s="529"/>
      <c r="BU601" s="529"/>
      <c r="BV601" s="529"/>
      <c r="BW601" s="529"/>
      <c r="BX601" s="529"/>
      <c r="BY601" s="529"/>
    </row>
    <row r="602" spans="1:77" x14ac:dyDescent="0.3">
      <c r="A602" s="551"/>
      <c r="B602" s="647"/>
      <c r="C602" s="668"/>
      <c r="D602" s="537"/>
      <c r="E602" s="525" t="s">
        <v>28</v>
      </c>
      <c r="F602" s="567"/>
      <c r="G602" s="567"/>
      <c r="H602" s="537"/>
      <c r="I602" s="527">
        <f t="shared" ref="I602:N606" si="785">I538/I$571</f>
        <v>100.77504347826084</v>
      </c>
      <c r="J602" s="527">
        <f t="shared" si="785"/>
        <v>100.77504347826084</v>
      </c>
      <c r="K602" s="527">
        <f t="shared" si="785"/>
        <v>100.77504347826084</v>
      </c>
      <c r="L602" s="527">
        <f t="shared" si="785"/>
        <v>100.77504347826084</v>
      </c>
      <c r="M602" s="527">
        <f t="shared" si="785"/>
        <v>100.77504347826084</v>
      </c>
      <c r="N602" s="527">
        <f t="shared" si="785"/>
        <v>100.77504347826084</v>
      </c>
      <c r="O602" s="529"/>
      <c r="P602" s="564">
        <f>IFERROR(((N602/I602)^(1/5))-1,0)</f>
        <v>0</v>
      </c>
      <c r="Q602" s="537"/>
      <c r="R602" s="527">
        <f t="shared" ref="R602:AW602" si="786">R538/R$571</f>
        <v>8.3979202898550707</v>
      </c>
      <c r="S602" s="527">
        <f t="shared" si="786"/>
        <v>8.3979202898550707</v>
      </c>
      <c r="T602" s="527">
        <f t="shared" si="786"/>
        <v>8.3979202898550707</v>
      </c>
      <c r="U602" s="527">
        <f t="shared" si="786"/>
        <v>8.3979202898550707</v>
      </c>
      <c r="V602" s="527">
        <f t="shared" si="786"/>
        <v>8.3979202898550707</v>
      </c>
      <c r="W602" s="527">
        <f t="shared" si="786"/>
        <v>8.3979202898550707</v>
      </c>
      <c r="X602" s="527">
        <f t="shared" si="786"/>
        <v>8.3979202898550707</v>
      </c>
      <c r="Y602" s="527">
        <f t="shared" si="786"/>
        <v>8.3979202898550707</v>
      </c>
      <c r="Z602" s="527">
        <f t="shared" si="786"/>
        <v>8.3979202898550707</v>
      </c>
      <c r="AA602" s="527">
        <f t="shared" si="786"/>
        <v>8.3979202898550707</v>
      </c>
      <c r="AB602" s="527">
        <f t="shared" si="786"/>
        <v>8.3979202898550707</v>
      </c>
      <c r="AC602" s="527">
        <f t="shared" si="786"/>
        <v>8.3979202898550707</v>
      </c>
      <c r="AD602" s="527">
        <f t="shared" si="786"/>
        <v>8.3979202898550707</v>
      </c>
      <c r="AE602" s="527">
        <f t="shared" si="786"/>
        <v>8.3979202898550707</v>
      </c>
      <c r="AF602" s="527">
        <f t="shared" si="786"/>
        <v>8.3979202898550707</v>
      </c>
      <c r="AG602" s="527">
        <f t="shared" si="786"/>
        <v>8.3979202898550707</v>
      </c>
      <c r="AH602" s="527">
        <f t="shared" si="786"/>
        <v>8.3979202898550707</v>
      </c>
      <c r="AI602" s="527">
        <f t="shared" si="786"/>
        <v>8.3979202898550707</v>
      </c>
      <c r="AJ602" s="527">
        <f t="shared" si="786"/>
        <v>8.3979202898550707</v>
      </c>
      <c r="AK602" s="527">
        <f t="shared" si="786"/>
        <v>8.3979202898550707</v>
      </c>
      <c r="AL602" s="527">
        <f t="shared" si="786"/>
        <v>8.3979202898550707</v>
      </c>
      <c r="AM602" s="527">
        <f t="shared" si="786"/>
        <v>8.3979202898550707</v>
      </c>
      <c r="AN602" s="527">
        <f t="shared" si="786"/>
        <v>8.3979202898550707</v>
      </c>
      <c r="AO602" s="527">
        <f t="shared" si="786"/>
        <v>8.3979202898550707</v>
      </c>
      <c r="AP602" s="527">
        <f t="shared" si="786"/>
        <v>8.3979202898550707</v>
      </c>
      <c r="AQ602" s="527">
        <f t="shared" si="786"/>
        <v>8.3979202898550707</v>
      </c>
      <c r="AR602" s="527">
        <f t="shared" si="786"/>
        <v>8.3979202898550707</v>
      </c>
      <c r="AS602" s="527">
        <f t="shared" si="786"/>
        <v>8.3979202898550707</v>
      </c>
      <c r="AT602" s="527">
        <f t="shared" si="786"/>
        <v>8.3979202898550707</v>
      </c>
      <c r="AU602" s="527">
        <f t="shared" si="786"/>
        <v>8.3979202898550707</v>
      </c>
      <c r="AV602" s="527">
        <f t="shared" si="786"/>
        <v>8.3979202898550707</v>
      </c>
      <c r="AW602" s="527">
        <f t="shared" si="786"/>
        <v>8.3979202898550707</v>
      </c>
      <c r="AX602" s="527">
        <f t="shared" ref="AX602:BY602" si="787">AX538/AX$571</f>
        <v>8.3979202898550707</v>
      </c>
      <c r="AY602" s="527">
        <f t="shared" si="787"/>
        <v>8.3979202898550707</v>
      </c>
      <c r="AZ602" s="527">
        <f t="shared" si="787"/>
        <v>8.3979202898550707</v>
      </c>
      <c r="BA602" s="527">
        <f t="shared" si="787"/>
        <v>8.3979202898550707</v>
      </c>
      <c r="BB602" s="527">
        <f t="shared" si="787"/>
        <v>8.3979202898550707</v>
      </c>
      <c r="BC602" s="527">
        <f t="shared" si="787"/>
        <v>8.3979202898550707</v>
      </c>
      <c r="BD602" s="527">
        <f t="shared" si="787"/>
        <v>8.3979202898550707</v>
      </c>
      <c r="BE602" s="527">
        <f t="shared" si="787"/>
        <v>8.3979202898550707</v>
      </c>
      <c r="BF602" s="527">
        <f t="shared" si="787"/>
        <v>8.3979202898550707</v>
      </c>
      <c r="BG602" s="527">
        <f t="shared" si="787"/>
        <v>8.3979202898550707</v>
      </c>
      <c r="BH602" s="527">
        <f t="shared" si="787"/>
        <v>8.3979202898550707</v>
      </c>
      <c r="BI602" s="527">
        <f t="shared" si="787"/>
        <v>8.3979202898550707</v>
      </c>
      <c r="BJ602" s="527">
        <f t="shared" si="787"/>
        <v>8.3979202898550707</v>
      </c>
      <c r="BK602" s="527">
        <f t="shared" si="787"/>
        <v>8.3979202898550707</v>
      </c>
      <c r="BL602" s="527">
        <f t="shared" si="787"/>
        <v>8.3979202898550707</v>
      </c>
      <c r="BM602" s="527">
        <f t="shared" si="787"/>
        <v>8.3979202898550707</v>
      </c>
      <c r="BN602" s="527">
        <f t="shared" si="787"/>
        <v>8.3979202898550707</v>
      </c>
      <c r="BO602" s="527">
        <f t="shared" si="787"/>
        <v>8.3979202898550707</v>
      </c>
      <c r="BP602" s="527">
        <f t="shared" si="787"/>
        <v>8.3979202898550707</v>
      </c>
      <c r="BQ602" s="527">
        <f t="shared" si="787"/>
        <v>8.3979202898550707</v>
      </c>
      <c r="BR602" s="527">
        <f t="shared" si="787"/>
        <v>8.3979202898550707</v>
      </c>
      <c r="BS602" s="527">
        <f t="shared" si="787"/>
        <v>8.3979202898550707</v>
      </c>
      <c r="BT602" s="527">
        <f t="shared" si="787"/>
        <v>8.3979202898550707</v>
      </c>
      <c r="BU602" s="527">
        <f t="shared" si="787"/>
        <v>8.3979202898550707</v>
      </c>
      <c r="BV602" s="527">
        <f t="shared" si="787"/>
        <v>8.3979202898550707</v>
      </c>
      <c r="BW602" s="527">
        <f t="shared" si="787"/>
        <v>8.3979202898550707</v>
      </c>
      <c r="BX602" s="527">
        <f t="shared" si="787"/>
        <v>8.3979202898550707</v>
      </c>
      <c r="BY602" s="527">
        <f t="shared" si="787"/>
        <v>8.3979202898550707</v>
      </c>
    </row>
    <row r="603" spans="1:77" x14ac:dyDescent="0.3">
      <c r="A603" s="551"/>
      <c r="B603" s="647"/>
      <c r="C603" s="668"/>
      <c r="D603" s="537"/>
      <c r="E603" s="525" t="s">
        <v>29</v>
      </c>
      <c r="F603" s="567"/>
      <c r="G603" s="567"/>
      <c r="H603" s="537"/>
      <c r="I603" s="527">
        <f t="shared" si="785"/>
        <v>697.20164856738904</v>
      </c>
      <c r="J603" s="527">
        <f t="shared" si="785"/>
        <v>697.20164856738904</v>
      </c>
      <c r="K603" s="527">
        <f t="shared" si="785"/>
        <v>697.20164856738904</v>
      </c>
      <c r="L603" s="527">
        <f t="shared" si="785"/>
        <v>697.20164856738904</v>
      </c>
      <c r="M603" s="527">
        <f t="shared" si="785"/>
        <v>697.20164856738904</v>
      </c>
      <c r="N603" s="527">
        <f t="shared" si="785"/>
        <v>697.20164856738904</v>
      </c>
      <c r="O603" s="529"/>
      <c r="P603" s="564">
        <f>IFERROR(((N603/I603)^(1/5))-1,0)</f>
        <v>0</v>
      </c>
      <c r="Q603" s="537"/>
      <c r="R603" s="527">
        <f t="shared" ref="R603:AW603" si="788">R539/R$571</f>
        <v>58.100137380615756</v>
      </c>
      <c r="S603" s="527">
        <f t="shared" si="788"/>
        <v>58.100137380615756</v>
      </c>
      <c r="T603" s="527">
        <f t="shared" si="788"/>
        <v>58.100137380615756</v>
      </c>
      <c r="U603" s="527">
        <f t="shared" si="788"/>
        <v>58.100137380615756</v>
      </c>
      <c r="V603" s="527">
        <f t="shared" si="788"/>
        <v>58.100137380615756</v>
      </c>
      <c r="W603" s="527">
        <f t="shared" si="788"/>
        <v>58.100137380615756</v>
      </c>
      <c r="X603" s="527">
        <f t="shared" si="788"/>
        <v>58.100137380615756</v>
      </c>
      <c r="Y603" s="527">
        <f t="shared" si="788"/>
        <v>58.100137380615756</v>
      </c>
      <c r="Z603" s="527">
        <f t="shared" si="788"/>
        <v>58.100137380615756</v>
      </c>
      <c r="AA603" s="527">
        <f t="shared" si="788"/>
        <v>58.100137380615756</v>
      </c>
      <c r="AB603" s="527">
        <f t="shared" si="788"/>
        <v>58.100137380615756</v>
      </c>
      <c r="AC603" s="527">
        <f t="shared" si="788"/>
        <v>58.100137380615756</v>
      </c>
      <c r="AD603" s="527">
        <f t="shared" si="788"/>
        <v>58.100137380615756</v>
      </c>
      <c r="AE603" s="527">
        <f t="shared" si="788"/>
        <v>58.100137380615756</v>
      </c>
      <c r="AF603" s="527">
        <f t="shared" si="788"/>
        <v>58.100137380615756</v>
      </c>
      <c r="AG603" s="527">
        <f t="shared" si="788"/>
        <v>58.100137380615756</v>
      </c>
      <c r="AH603" s="527">
        <f t="shared" si="788"/>
        <v>58.100137380615756</v>
      </c>
      <c r="AI603" s="527">
        <f t="shared" si="788"/>
        <v>58.100137380615756</v>
      </c>
      <c r="AJ603" s="527">
        <f t="shared" si="788"/>
        <v>58.100137380615756</v>
      </c>
      <c r="AK603" s="527">
        <f t="shared" si="788"/>
        <v>58.100137380615756</v>
      </c>
      <c r="AL603" s="527">
        <f t="shared" si="788"/>
        <v>58.100137380615756</v>
      </c>
      <c r="AM603" s="527">
        <f t="shared" si="788"/>
        <v>58.100137380615756</v>
      </c>
      <c r="AN603" s="527">
        <f t="shared" si="788"/>
        <v>58.100137380615756</v>
      </c>
      <c r="AO603" s="527">
        <f t="shared" si="788"/>
        <v>58.100137380615756</v>
      </c>
      <c r="AP603" s="527">
        <f t="shared" si="788"/>
        <v>58.100137380615756</v>
      </c>
      <c r="AQ603" s="527">
        <f t="shared" si="788"/>
        <v>58.100137380615756</v>
      </c>
      <c r="AR603" s="527">
        <f t="shared" si="788"/>
        <v>58.100137380615756</v>
      </c>
      <c r="AS603" s="527">
        <f t="shared" si="788"/>
        <v>58.100137380615756</v>
      </c>
      <c r="AT603" s="527">
        <f t="shared" si="788"/>
        <v>58.100137380615756</v>
      </c>
      <c r="AU603" s="527">
        <f t="shared" si="788"/>
        <v>58.100137380615756</v>
      </c>
      <c r="AV603" s="527">
        <f t="shared" si="788"/>
        <v>58.100137380615756</v>
      </c>
      <c r="AW603" s="527">
        <f t="shared" si="788"/>
        <v>58.100137380615756</v>
      </c>
      <c r="AX603" s="527">
        <f t="shared" ref="AX603:BY603" si="789">AX539/AX$571</f>
        <v>58.100137380615756</v>
      </c>
      <c r="AY603" s="527">
        <f t="shared" si="789"/>
        <v>58.100137380615756</v>
      </c>
      <c r="AZ603" s="527">
        <f t="shared" si="789"/>
        <v>58.100137380615756</v>
      </c>
      <c r="BA603" s="527">
        <f t="shared" si="789"/>
        <v>58.100137380615756</v>
      </c>
      <c r="BB603" s="527">
        <f t="shared" si="789"/>
        <v>58.100137380615756</v>
      </c>
      <c r="BC603" s="527">
        <f t="shared" si="789"/>
        <v>58.100137380615756</v>
      </c>
      <c r="BD603" s="527">
        <f t="shared" si="789"/>
        <v>58.100137380615756</v>
      </c>
      <c r="BE603" s="527">
        <f t="shared" si="789"/>
        <v>58.100137380615756</v>
      </c>
      <c r="BF603" s="527">
        <f t="shared" si="789"/>
        <v>58.100137380615756</v>
      </c>
      <c r="BG603" s="527">
        <f t="shared" si="789"/>
        <v>58.100137380615756</v>
      </c>
      <c r="BH603" s="527">
        <f t="shared" si="789"/>
        <v>58.100137380615756</v>
      </c>
      <c r="BI603" s="527">
        <f t="shared" si="789"/>
        <v>58.100137380615756</v>
      </c>
      <c r="BJ603" s="527">
        <f t="shared" si="789"/>
        <v>58.100137380615756</v>
      </c>
      <c r="BK603" s="527">
        <f t="shared" si="789"/>
        <v>58.100137380615756</v>
      </c>
      <c r="BL603" s="527">
        <f t="shared" si="789"/>
        <v>58.100137380615756</v>
      </c>
      <c r="BM603" s="527">
        <f t="shared" si="789"/>
        <v>58.100137380615756</v>
      </c>
      <c r="BN603" s="527">
        <f t="shared" si="789"/>
        <v>58.100137380615756</v>
      </c>
      <c r="BO603" s="527">
        <f t="shared" si="789"/>
        <v>58.100137380615756</v>
      </c>
      <c r="BP603" s="527">
        <f t="shared" si="789"/>
        <v>58.100137380615756</v>
      </c>
      <c r="BQ603" s="527">
        <f t="shared" si="789"/>
        <v>58.100137380615756</v>
      </c>
      <c r="BR603" s="527">
        <f t="shared" si="789"/>
        <v>58.100137380615756</v>
      </c>
      <c r="BS603" s="527">
        <f t="shared" si="789"/>
        <v>58.100137380615756</v>
      </c>
      <c r="BT603" s="527">
        <f t="shared" si="789"/>
        <v>58.100137380615756</v>
      </c>
      <c r="BU603" s="527">
        <f t="shared" si="789"/>
        <v>58.100137380615756</v>
      </c>
      <c r="BV603" s="527">
        <f t="shared" si="789"/>
        <v>58.100137380615756</v>
      </c>
      <c r="BW603" s="527">
        <f t="shared" si="789"/>
        <v>58.100137380615756</v>
      </c>
      <c r="BX603" s="527">
        <f t="shared" si="789"/>
        <v>58.100137380615756</v>
      </c>
      <c r="BY603" s="527">
        <f t="shared" si="789"/>
        <v>58.100137380615756</v>
      </c>
    </row>
    <row r="604" spans="1:77" x14ac:dyDescent="0.3">
      <c r="A604" s="551"/>
      <c r="B604" s="647"/>
      <c r="C604" s="668"/>
      <c r="D604" s="537"/>
      <c r="E604" s="525" t="s">
        <v>30</v>
      </c>
      <c r="F604" s="567"/>
      <c r="G604" s="567"/>
      <c r="H604" s="537"/>
      <c r="I604" s="527">
        <f t="shared" si="785"/>
        <v>1658.5734782608699</v>
      </c>
      <c r="J604" s="527">
        <f t="shared" si="785"/>
        <v>1658.5734782608699</v>
      </c>
      <c r="K604" s="527">
        <f t="shared" si="785"/>
        <v>1658.5734782608699</v>
      </c>
      <c r="L604" s="527">
        <f t="shared" si="785"/>
        <v>1658.5734782608699</v>
      </c>
      <c r="M604" s="527">
        <f t="shared" si="785"/>
        <v>1658.5734782608699</v>
      </c>
      <c r="N604" s="527">
        <f t="shared" si="785"/>
        <v>1658.5734782608699</v>
      </c>
      <c r="O604" s="529"/>
      <c r="P604" s="564">
        <f>IFERROR(((N604/I604)^(1/5))-1,0)</f>
        <v>0</v>
      </c>
      <c r="Q604" s="537"/>
      <c r="R604" s="527">
        <f t="shared" ref="R604:AW604" si="790">R540/R$571</f>
        <v>138.21445652173915</v>
      </c>
      <c r="S604" s="527">
        <f t="shared" si="790"/>
        <v>138.21445652173915</v>
      </c>
      <c r="T604" s="527">
        <f t="shared" si="790"/>
        <v>138.21445652173915</v>
      </c>
      <c r="U604" s="527">
        <f t="shared" si="790"/>
        <v>138.21445652173915</v>
      </c>
      <c r="V604" s="527">
        <f t="shared" si="790"/>
        <v>138.21445652173915</v>
      </c>
      <c r="W604" s="527">
        <f t="shared" si="790"/>
        <v>138.21445652173915</v>
      </c>
      <c r="X604" s="527">
        <f t="shared" si="790"/>
        <v>138.21445652173915</v>
      </c>
      <c r="Y604" s="527">
        <f t="shared" si="790"/>
        <v>138.21445652173915</v>
      </c>
      <c r="Z604" s="527">
        <f t="shared" si="790"/>
        <v>138.21445652173915</v>
      </c>
      <c r="AA604" s="527">
        <f t="shared" si="790"/>
        <v>138.21445652173915</v>
      </c>
      <c r="AB604" s="527">
        <f t="shared" si="790"/>
        <v>138.21445652173915</v>
      </c>
      <c r="AC604" s="527">
        <f t="shared" si="790"/>
        <v>138.21445652173915</v>
      </c>
      <c r="AD604" s="527">
        <f t="shared" si="790"/>
        <v>138.21445652173915</v>
      </c>
      <c r="AE604" s="527">
        <f t="shared" si="790"/>
        <v>138.21445652173915</v>
      </c>
      <c r="AF604" s="527">
        <f t="shared" si="790"/>
        <v>138.21445652173915</v>
      </c>
      <c r="AG604" s="527">
        <f t="shared" si="790"/>
        <v>138.21445652173915</v>
      </c>
      <c r="AH604" s="527">
        <f t="shared" si="790"/>
        <v>138.21445652173915</v>
      </c>
      <c r="AI604" s="527">
        <f t="shared" si="790"/>
        <v>138.21445652173915</v>
      </c>
      <c r="AJ604" s="527">
        <f t="shared" si="790"/>
        <v>138.21445652173915</v>
      </c>
      <c r="AK604" s="527">
        <f t="shared" si="790"/>
        <v>138.21445652173915</v>
      </c>
      <c r="AL604" s="527">
        <f t="shared" si="790"/>
        <v>138.21445652173915</v>
      </c>
      <c r="AM604" s="527">
        <f t="shared" si="790"/>
        <v>138.21445652173915</v>
      </c>
      <c r="AN604" s="527">
        <f t="shared" si="790"/>
        <v>138.21445652173915</v>
      </c>
      <c r="AO604" s="527">
        <f t="shared" si="790"/>
        <v>138.21445652173915</v>
      </c>
      <c r="AP604" s="527">
        <f t="shared" si="790"/>
        <v>138.21445652173915</v>
      </c>
      <c r="AQ604" s="527">
        <f t="shared" si="790"/>
        <v>138.21445652173915</v>
      </c>
      <c r="AR604" s="527">
        <f t="shared" si="790"/>
        <v>138.21445652173915</v>
      </c>
      <c r="AS604" s="527">
        <f t="shared" si="790"/>
        <v>138.21445652173915</v>
      </c>
      <c r="AT604" s="527">
        <f t="shared" si="790"/>
        <v>138.21445652173915</v>
      </c>
      <c r="AU604" s="527">
        <f t="shared" si="790"/>
        <v>138.21445652173915</v>
      </c>
      <c r="AV604" s="527">
        <f t="shared" si="790"/>
        <v>138.21445652173915</v>
      </c>
      <c r="AW604" s="527">
        <f t="shared" si="790"/>
        <v>138.21445652173915</v>
      </c>
      <c r="AX604" s="527">
        <f t="shared" ref="AX604:BY604" si="791">AX540/AX$571</f>
        <v>138.21445652173915</v>
      </c>
      <c r="AY604" s="527">
        <f t="shared" si="791"/>
        <v>138.21445652173915</v>
      </c>
      <c r="AZ604" s="527">
        <f t="shared" si="791"/>
        <v>138.21445652173915</v>
      </c>
      <c r="BA604" s="527">
        <f t="shared" si="791"/>
        <v>138.21445652173915</v>
      </c>
      <c r="BB604" s="527">
        <f t="shared" si="791"/>
        <v>138.21445652173915</v>
      </c>
      <c r="BC604" s="527">
        <f t="shared" si="791"/>
        <v>138.21445652173915</v>
      </c>
      <c r="BD604" s="527">
        <f t="shared" si="791"/>
        <v>138.21445652173915</v>
      </c>
      <c r="BE604" s="527">
        <f t="shared" si="791"/>
        <v>138.21445652173915</v>
      </c>
      <c r="BF604" s="527">
        <f t="shared" si="791"/>
        <v>138.21445652173915</v>
      </c>
      <c r="BG604" s="527">
        <f t="shared" si="791"/>
        <v>138.21445652173915</v>
      </c>
      <c r="BH604" s="527">
        <f t="shared" si="791"/>
        <v>138.21445652173915</v>
      </c>
      <c r="BI604" s="527">
        <f t="shared" si="791"/>
        <v>138.21445652173915</v>
      </c>
      <c r="BJ604" s="527">
        <f t="shared" si="791"/>
        <v>138.21445652173915</v>
      </c>
      <c r="BK604" s="527">
        <f t="shared" si="791"/>
        <v>138.21445652173915</v>
      </c>
      <c r="BL604" s="527">
        <f t="shared" si="791"/>
        <v>138.21445652173915</v>
      </c>
      <c r="BM604" s="527">
        <f t="shared" si="791"/>
        <v>138.21445652173915</v>
      </c>
      <c r="BN604" s="527">
        <f t="shared" si="791"/>
        <v>138.21445652173915</v>
      </c>
      <c r="BO604" s="527">
        <f t="shared" si="791"/>
        <v>138.21445652173915</v>
      </c>
      <c r="BP604" s="527">
        <f t="shared" si="791"/>
        <v>138.21445652173915</v>
      </c>
      <c r="BQ604" s="527">
        <f t="shared" si="791"/>
        <v>138.21445652173915</v>
      </c>
      <c r="BR604" s="527">
        <f t="shared" si="791"/>
        <v>138.21445652173915</v>
      </c>
      <c r="BS604" s="527">
        <f t="shared" si="791"/>
        <v>138.21445652173915</v>
      </c>
      <c r="BT604" s="527">
        <f t="shared" si="791"/>
        <v>138.21445652173915</v>
      </c>
      <c r="BU604" s="527">
        <f t="shared" si="791"/>
        <v>138.21445652173915</v>
      </c>
      <c r="BV604" s="527">
        <f t="shared" si="791"/>
        <v>138.21445652173915</v>
      </c>
      <c r="BW604" s="527">
        <f t="shared" si="791"/>
        <v>138.21445652173915</v>
      </c>
      <c r="BX604" s="527">
        <f t="shared" si="791"/>
        <v>138.21445652173915</v>
      </c>
      <c r="BY604" s="527">
        <f t="shared" si="791"/>
        <v>138.21445652173915</v>
      </c>
    </row>
    <row r="605" spans="1:77" x14ac:dyDescent="0.3">
      <c r="A605" s="551"/>
      <c r="B605" s="647"/>
      <c r="C605" s="668"/>
      <c r="D605" s="537"/>
      <c r="E605" s="525" t="s">
        <v>31</v>
      </c>
      <c r="F605" s="567"/>
      <c r="G605" s="567"/>
      <c r="H605" s="537"/>
      <c r="I605" s="527">
        <f t="shared" si="785"/>
        <v>3080.3270901088763</v>
      </c>
      <c r="J605" s="527">
        <f t="shared" si="785"/>
        <v>3080.3270901088763</v>
      </c>
      <c r="K605" s="527">
        <f t="shared" si="785"/>
        <v>3080.3270901088763</v>
      </c>
      <c r="L605" s="527">
        <f t="shared" si="785"/>
        <v>3080.3270901088763</v>
      </c>
      <c r="M605" s="527">
        <f t="shared" si="785"/>
        <v>3080.3270901088763</v>
      </c>
      <c r="N605" s="527">
        <f t="shared" si="785"/>
        <v>3080.3270901088763</v>
      </c>
      <c r="O605" s="529"/>
      <c r="P605" s="564">
        <f>IFERROR(((N605/I605)^(1/5))-1,0)</f>
        <v>0</v>
      </c>
      <c r="Q605" s="537"/>
      <c r="R605" s="527">
        <f t="shared" ref="R605:AW605" si="792">R541/R$571</f>
        <v>256.69392417573971</v>
      </c>
      <c r="S605" s="527">
        <f t="shared" si="792"/>
        <v>256.69392417573971</v>
      </c>
      <c r="T605" s="527">
        <f t="shared" si="792"/>
        <v>256.69392417573971</v>
      </c>
      <c r="U605" s="527">
        <f t="shared" si="792"/>
        <v>256.69392417573971</v>
      </c>
      <c r="V605" s="527">
        <f t="shared" si="792"/>
        <v>256.69392417573971</v>
      </c>
      <c r="W605" s="527">
        <f t="shared" si="792"/>
        <v>256.69392417573971</v>
      </c>
      <c r="X605" s="527">
        <f t="shared" si="792"/>
        <v>256.69392417573971</v>
      </c>
      <c r="Y605" s="527">
        <f t="shared" si="792"/>
        <v>256.69392417573971</v>
      </c>
      <c r="Z605" s="527">
        <f t="shared" si="792"/>
        <v>256.69392417573971</v>
      </c>
      <c r="AA605" s="527">
        <f t="shared" si="792"/>
        <v>256.69392417573971</v>
      </c>
      <c r="AB605" s="527">
        <f t="shared" si="792"/>
        <v>256.69392417573971</v>
      </c>
      <c r="AC605" s="527">
        <f t="shared" si="792"/>
        <v>256.69392417573971</v>
      </c>
      <c r="AD605" s="527">
        <f t="shared" si="792"/>
        <v>256.69392417573971</v>
      </c>
      <c r="AE605" s="527">
        <f t="shared" si="792"/>
        <v>256.69392417573971</v>
      </c>
      <c r="AF605" s="527">
        <f t="shared" si="792"/>
        <v>256.69392417573971</v>
      </c>
      <c r="AG605" s="527">
        <f t="shared" si="792"/>
        <v>256.69392417573971</v>
      </c>
      <c r="AH605" s="527">
        <f t="shared" si="792"/>
        <v>256.69392417573971</v>
      </c>
      <c r="AI605" s="527">
        <f t="shared" si="792"/>
        <v>256.69392417573971</v>
      </c>
      <c r="AJ605" s="527">
        <f t="shared" si="792"/>
        <v>256.69392417573971</v>
      </c>
      <c r="AK605" s="527">
        <f t="shared" si="792"/>
        <v>256.69392417573971</v>
      </c>
      <c r="AL605" s="527">
        <f t="shared" si="792"/>
        <v>256.69392417573971</v>
      </c>
      <c r="AM605" s="527">
        <f t="shared" si="792"/>
        <v>256.69392417573971</v>
      </c>
      <c r="AN605" s="527">
        <f t="shared" si="792"/>
        <v>256.69392417573971</v>
      </c>
      <c r="AO605" s="527">
        <f t="shared" si="792"/>
        <v>256.69392417573971</v>
      </c>
      <c r="AP605" s="527">
        <f t="shared" si="792"/>
        <v>256.69392417573971</v>
      </c>
      <c r="AQ605" s="527">
        <f t="shared" si="792"/>
        <v>256.69392417573971</v>
      </c>
      <c r="AR605" s="527">
        <f t="shared" si="792"/>
        <v>256.69392417573971</v>
      </c>
      <c r="AS605" s="527">
        <f t="shared" si="792"/>
        <v>256.69392417573971</v>
      </c>
      <c r="AT605" s="527">
        <f t="shared" si="792"/>
        <v>256.69392417573971</v>
      </c>
      <c r="AU605" s="527">
        <f t="shared" si="792"/>
        <v>256.69392417573971</v>
      </c>
      <c r="AV605" s="527">
        <f t="shared" si="792"/>
        <v>256.69392417573971</v>
      </c>
      <c r="AW605" s="527">
        <f t="shared" si="792"/>
        <v>256.69392417573971</v>
      </c>
      <c r="AX605" s="527">
        <f t="shared" ref="AX605:BY605" si="793">AX541/AX$571</f>
        <v>256.69392417573971</v>
      </c>
      <c r="AY605" s="527">
        <f t="shared" si="793"/>
        <v>256.69392417573971</v>
      </c>
      <c r="AZ605" s="527">
        <f t="shared" si="793"/>
        <v>256.69392417573971</v>
      </c>
      <c r="BA605" s="527">
        <f t="shared" si="793"/>
        <v>256.69392417573971</v>
      </c>
      <c r="BB605" s="527">
        <f t="shared" si="793"/>
        <v>256.69392417573971</v>
      </c>
      <c r="BC605" s="527">
        <f t="shared" si="793"/>
        <v>256.69392417573971</v>
      </c>
      <c r="BD605" s="527">
        <f t="shared" si="793"/>
        <v>256.69392417573971</v>
      </c>
      <c r="BE605" s="527">
        <f t="shared" si="793"/>
        <v>256.69392417573971</v>
      </c>
      <c r="BF605" s="527">
        <f t="shared" si="793"/>
        <v>256.69392417573971</v>
      </c>
      <c r="BG605" s="527">
        <f t="shared" si="793"/>
        <v>256.69392417573971</v>
      </c>
      <c r="BH605" s="527">
        <f t="shared" si="793"/>
        <v>256.69392417573971</v>
      </c>
      <c r="BI605" s="527">
        <f t="shared" si="793"/>
        <v>256.69392417573971</v>
      </c>
      <c r="BJ605" s="527">
        <f t="shared" si="793"/>
        <v>256.69392417573971</v>
      </c>
      <c r="BK605" s="527">
        <f t="shared" si="793"/>
        <v>256.69392417573971</v>
      </c>
      <c r="BL605" s="527">
        <f t="shared" si="793"/>
        <v>256.69392417573971</v>
      </c>
      <c r="BM605" s="527">
        <f t="shared" si="793"/>
        <v>256.69392417573971</v>
      </c>
      <c r="BN605" s="527">
        <f t="shared" si="793"/>
        <v>256.69392417573971</v>
      </c>
      <c r="BO605" s="527">
        <f t="shared" si="793"/>
        <v>256.69392417573971</v>
      </c>
      <c r="BP605" s="527">
        <f t="shared" si="793"/>
        <v>256.69392417573971</v>
      </c>
      <c r="BQ605" s="527">
        <f t="shared" si="793"/>
        <v>256.69392417573971</v>
      </c>
      <c r="BR605" s="527">
        <f t="shared" si="793"/>
        <v>256.69392417573971</v>
      </c>
      <c r="BS605" s="527">
        <f t="shared" si="793"/>
        <v>256.69392417573971</v>
      </c>
      <c r="BT605" s="527">
        <f t="shared" si="793"/>
        <v>256.69392417573971</v>
      </c>
      <c r="BU605" s="527">
        <f t="shared" si="793"/>
        <v>256.69392417573971</v>
      </c>
      <c r="BV605" s="527">
        <f t="shared" si="793"/>
        <v>256.69392417573971</v>
      </c>
      <c r="BW605" s="527">
        <f t="shared" si="793"/>
        <v>256.69392417573971</v>
      </c>
      <c r="BX605" s="527">
        <f t="shared" si="793"/>
        <v>256.69392417573971</v>
      </c>
      <c r="BY605" s="527">
        <f t="shared" si="793"/>
        <v>256.69392417573971</v>
      </c>
    </row>
    <row r="606" spans="1:77" x14ac:dyDescent="0.3">
      <c r="A606" s="551"/>
      <c r="B606" s="647"/>
      <c r="C606" s="668"/>
      <c r="D606" s="537"/>
      <c r="E606" s="572" t="s">
        <v>32</v>
      </c>
      <c r="F606" s="573"/>
      <c r="G606" s="573"/>
      <c r="H606" s="537"/>
      <c r="I606" s="532">
        <f t="shared" si="785"/>
        <v>5536.8772604153955</v>
      </c>
      <c r="J606" s="532">
        <f t="shared" si="785"/>
        <v>5536.8772604153955</v>
      </c>
      <c r="K606" s="532">
        <f t="shared" si="785"/>
        <v>5536.8772604153955</v>
      </c>
      <c r="L606" s="532">
        <f t="shared" si="785"/>
        <v>5536.8772604153955</v>
      </c>
      <c r="M606" s="532">
        <f t="shared" si="785"/>
        <v>5536.8772604153955</v>
      </c>
      <c r="N606" s="532">
        <f t="shared" si="785"/>
        <v>5536.8772604153955</v>
      </c>
      <c r="O606" s="536"/>
      <c r="P606" s="568">
        <f>IFERROR(((N606/I606)^(1/5))-1,0)</f>
        <v>0</v>
      </c>
      <c r="Q606" s="537"/>
      <c r="R606" s="532">
        <f t="shared" ref="R606:AW606" si="794">R542/R$571</f>
        <v>461.4064383679497</v>
      </c>
      <c r="S606" s="532">
        <f t="shared" si="794"/>
        <v>461.4064383679497</v>
      </c>
      <c r="T606" s="532">
        <f t="shared" si="794"/>
        <v>461.4064383679497</v>
      </c>
      <c r="U606" s="532">
        <f t="shared" si="794"/>
        <v>461.4064383679497</v>
      </c>
      <c r="V606" s="532">
        <f t="shared" si="794"/>
        <v>461.4064383679497</v>
      </c>
      <c r="W606" s="532">
        <f t="shared" si="794"/>
        <v>461.4064383679497</v>
      </c>
      <c r="X606" s="532">
        <f t="shared" si="794"/>
        <v>461.4064383679497</v>
      </c>
      <c r="Y606" s="532">
        <f t="shared" si="794"/>
        <v>461.4064383679497</v>
      </c>
      <c r="Z606" s="532">
        <f t="shared" si="794"/>
        <v>461.4064383679497</v>
      </c>
      <c r="AA606" s="532">
        <f t="shared" si="794"/>
        <v>461.4064383679497</v>
      </c>
      <c r="AB606" s="532">
        <f t="shared" si="794"/>
        <v>461.4064383679497</v>
      </c>
      <c r="AC606" s="532">
        <f t="shared" si="794"/>
        <v>461.4064383679497</v>
      </c>
      <c r="AD606" s="532">
        <f t="shared" si="794"/>
        <v>461.4064383679497</v>
      </c>
      <c r="AE606" s="532">
        <f t="shared" si="794"/>
        <v>461.4064383679497</v>
      </c>
      <c r="AF606" s="532">
        <f t="shared" si="794"/>
        <v>461.4064383679497</v>
      </c>
      <c r="AG606" s="532">
        <f t="shared" si="794"/>
        <v>461.4064383679497</v>
      </c>
      <c r="AH606" s="532">
        <f t="shared" si="794"/>
        <v>461.4064383679497</v>
      </c>
      <c r="AI606" s="532">
        <f t="shared" si="794"/>
        <v>461.4064383679497</v>
      </c>
      <c r="AJ606" s="532">
        <f t="shared" si="794"/>
        <v>461.4064383679497</v>
      </c>
      <c r="AK606" s="532">
        <f t="shared" si="794"/>
        <v>461.4064383679497</v>
      </c>
      <c r="AL606" s="532">
        <f t="shared" si="794"/>
        <v>461.4064383679497</v>
      </c>
      <c r="AM606" s="532">
        <f t="shared" si="794"/>
        <v>461.4064383679497</v>
      </c>
      <c r="AN606" s="532">
        <f t="shared" si="794"/>
        <v>461.4064383679497</v>
      </c>
      <c r="AO606" s="532">
        <f t="shared" si="794"/>
        <v>461.4064383679497</v>
      </c>
      <c r="AP606" s="532">
        <f t="shared" si="794"/>
        <v>461.4064383679497</v>
      </c>
      <c r="AQ606" s="532">
        <f t="shared" si="794"/>
        <v>461.4064383679497</v>
      </c>
      <c r="AR606" s="532">
        <f t="shared" si="794"/>
        <v>461.4064383679497</v>
      </c>
      <c r="AS606" s="532">
        <f t="shared" si="794"/>
        <v>461.4064383679497</v>
      </c>
      <c r="AT606" s="532">
        <f t="shared" si="794"/>
        <v>461.4064383679497</v>
      </c>
      <c r="AU606" s="532">
        <f t="shared" si="794"/>
        <v>461.4064383679497</v>
      </c>
      <c r="AV606" s="532">
        <f t="shared" si="794"/>
        <v>461.4064383679497</v>
      </c>
      <c r="AW606" s="532">
        <f t="shared" si="794"/>
        <v>461.4064383679497</v>
      </c>
      <c r="AX606" s="532">
        <f t="shared" ref="AX606:BY606" si="795">AX542/AX$571</f>
        <v>461.4064383679497</v>
      </c>
      <c r="AY606" s="532">
        <f t="shared" si="795"/>
        <v>461.4064383679497</v>
      </c>
      <c r="AZ606" s="532">
        <f t="shared" si="795"/>
        <v>461.4064383679497</v>
      </c>
      <c r="BA606" s="532">
        <f t="shared" si="795"/>
        <v>461.4064383679497</v>
      </c>
      <c r="BB606" s="532">
        <f t="shared" si="795"/>
        <v>461.4064383679497</v>
      </c>
      <c r="BC606" s="532">
        <f t="shared" si="795"/>
        <v>461.4064383679497</v>
      </c>
      <c r="BD606" s="532">
        <f t="shared" si="795"/>
        <v>461.4064383679497</v>
      </c>
      <c r="BE606" s="532">
        <f t="shared" si="795"/>
        <v>461.4064383679497</v>
      </c>
      <c r="BF606" s="532">
        <f t="shared" si="795"/>
        <v>461.4064383679497</v>
      </c>
      <c r="BG606" s="532">
        <f t="shared" si="795"/>
        <v>461.4064383679497</v>
      </c>
      <c r="BH606" s="532">
        <f t="shared" si="795"/>
        <v>461.4064383679497</v>
      </c>
      <c r="BI606" s="532">
        <f t="shared" si="795"/>
        <v>461.4064383679497</v>
      </c>
      <c r="BJ606" s="532">
        <f t="shared" si="795"/>
        <v>461.4064383679497</v>
      </c>
      <c r="BK606" s="532">
        <f t="shared" si="795"/>
        <v>461.4064383679497</v>
      </c>
      <c r="BL606" s="532">
        <f t="shared" si="795"/>
        <v>461.4064383679497</v>
      </c>
      <c r="BM606" s="532">
        <f t="shared" si="795"/>
        <v>461.4064383679497</v>
      </c>
      <c r="BN606" s="532">
        <f t="shared" si="795"/>
        <v>461.4064383679497</v>
      </c>
      <c r="BO606" s="532">
        <f t="shared" si="795"/>
        <v>461.4064383679497</v>
      </c>
      <c r="BP606" s="532">
        <f t="shared" si="795"/>
        <v>461.4064383679497</v>
      </c>
      <c r="BQ606" s="532">
        <f t="shared" si="795"/>
        <v>461.4064383679497</v>
      </c>
      <c r="BR606" s="532">
        <f t="shared" si="795"/>
        <v>461.4064383679497</v>
      </c>
      <c r="BS606" s="532">
        <f t="shared" si="795"/>
        <v>461.4064383679497</v>
      </c>
      <c r="BT606" s="532">
        <f t="shared" si="795"/>
        <v>461.4064383679497</v>
      </c>
      <c r="BU606" s="532">
        <f t="shared" si="795"/>
        <v>461.4064383679497</v>
      </c>
      <c r="BV606" s="532">
        <f t="shared" si="795"/>
        <v>461.4064383679497</v>
      </c>
      <c r="BW606" s="532">
        <f t="shared" si="795"/>
        <v>461.4064383679497</v>
      </c>
      <c r="BX606" s="532">
        <f t="shared" si="795"/>
        <v>461.4064383679497</v>
      </c>
      <c r="BY606" s="532">
        <f t="shared" si="795"/>
        <v>461.4064383679497</v>
      </c>
    </row>
    <row r="607" spans="1:77" x14ac:dyDescent="0.3">
      <c r="A607" s="551"/>
      <c r="B607" s="647"/>
      <c r="C607" s="668"/>
      <c r="D607" s="537"/>
      <c r="E607" s="525"/>
      <c r="F607" s="529"/>
      <c r="G607" s="529"/>
      <c r="H607" s="537"/>
      <c r="I607" s="529"/>
      <c r="J607" s="529"/>
      <c r="K607" s="529"/>
      <c r="L607" s="529"/>
      <c r="M607" s="529"/>
      <c r="N607" s="529"/>
      <c r="O607" s="529"/>
      <c r="P607" s="660"/>
      <c r="Q607" s="537"/>
      <c r="R607" s="529"/>
      <c r="S607" s="529"/>
      <c r="T607" s="529"/>
      <c r="U607" s="529"/>
      <c r="V607" s="529"/>
      <c r="W607" s="529"/>
      <c r="X607" s="529"/>
      <c r="Y607" s="529"/>
      <c r="Z607" s="529"/>
      <c r="AA607" s="529"/>
      <c r="AB607" s="529"/>
      <c r="AC607" s="529"/>
      <c r="AD607" s="529"/>
      <c r="AE607" s="529"/>
      <c r="AF607" s="529"/>
      <c r="AG607" s="529"/>
      <c r="AH607" s="529"/>
      <c r="AI607" s="529"/>
      <c r="AJ607" s="529"/>
      <c r="AK607" s="529"/>
      <c r="AL607" s="529"/>
      <c r="AM607" s="529"/>
      <c r="AN607" s="529"/>
      <c r="AO607" s="529"/>
      <c r="AP607" s="529"/>
      <c r="AQ607" s="529"/>
      <c r="AR607" s="529"/>
      <c r="AS607" s="529"/>
      <c r="AT607" s="529"/>
      <c r="AU607" s="529"/>
      <c r="AV607" s="529"/>
      <c r="AW607" s="529"/>
      <c r="AX607" s="529"/>
      <c r="AY607" s="529"/>
      <c r="AZ607" s="529"/>
      <c r="BA607" s="529"/>
      <c r="BB607" s="529"/>
      <c r="BC607" s="529"/>
      <c r="BD607" s="529"/>
      <c r="BE607" s="529"/>
      <c r="BF607" s="529"/>
      <c r="BG607" s="529"/>
      <c r="BH607" s="529"/>
      <c r="BI607" s="529"/>
      <c r="BJ607" s="529"/>
      <c r="BK607" s="529"/>
      <c r="BL607" s="529"/>
      <c r="BM607" s="529"/>
      <c r="BN607" s="529"/>
      <c r="BO607" s="529"/>
      <c r="BP607" s="529"/>
      <c r="BQ607" s="529"/>
      <c r="BR607" s="529"/>
      <c r="BS607" s="529"/>
      <c r="BT607" s="529"/>
      <c r="BU607" s="529"/>
      <c r="BV607" s="529"/>
      <c r="BW607" s="529"/>
      <c r="BX607" s="529"/>
      <c r="BY607" s="529"/>
    </row>
    <row r="608" spans="1:77" x14ac:dyDescent="0.3">
      <c r="A608" s="551"/>
      <c r="B608" s="647"/>
      <c r="C608" s="668"/>
      <c r="D608" s="537"/>
      <c r="E608" s="578" t="s">
        <v>33</v>
      </c>
      <c r="F608" s="579"/>
      <c r="G608" s="579"/>
      <c r="H608" s="537"/>
      <c r="I608" s="534">
        <f t="shared" ref="I608:N608" si="796">I544/I$571</f>
        <v>97767.804849643886</v>
      </c>
      <c r="J608" s="534">
        <f t="shared" si="796"/>
        <v>101752.42726340705</v>
      </c>
      <c r="K608" s="534">
        <f t="shared" si="796"/>
        <v>105722.67032364335</v>
      </c>
      <c r="L608" s="534">
        <f t="shared" si="796"/>
        <v>109657.29706257333</v>
      </c>
      <c r="M608" s="534">
        <f t="shared" si="796"/>
        <v>113408.41158012158</v>
      </c>
      <c r="N608" s="534">
        <f t="shared" si="796"/>
        <v>117173.52098490162</v>
      </c>
      <c r="O608" s="536"/>
      <c r="P608" s="568">
        <f>IFERROR(((N608/I608)^(1/5))-1,0)</f>
        <v>3.6875763671751383E-2</v>
      </c>
      <c r="Q608" s="537"/>
      <c r="R608" s="534">
        <f t="shared" ref="R608:AW608" si="797">R544/R$571</f>
        <v>8479.3689386172555</v>
      </c>
      <c r="S608" s="534">
        <f t="shared" si="797"/>
        <v>8479.3689386172555</v>
      </c>
      <c r="T608" s="534">
        <f t="shared" si="797"/>
        <v>8479.3689386172555</v>
      </c>
      <c r="U608" s="534">
        <f t="shared" si="797"/>
        <v>8479.3689386172555</v>
      </c>
      <c r="V608" s="534">
        <f t="shared" si="797"/>
        <v>8479.3689386172555</v>
      </c>
      <c r="W608" s="534">
        <f t="shared" si="797"/>
        <v>8479.3689386172555</v>
      </c>
      <c r="X608" s="534">
        <f t="shared" si="797"/>
        <v>8479.3689386172555</v>
      </c>
      <c r="Y608" s="534">
        <f t="shared" si="797"/>
        <v>8479.3689386172555</v>
      </c>
      <c r="Z608" s="534">
        <f t="shared" si="797"/>
        <v>8479.3689386172555</v>
      </c>
      <c r="AA608" s="534">
        <f t="shared" si="797"/>
        <v>8479.3689386172555</v>
      </c>
      <c r="AB608" s="534">
        <f t="shared" si="797"/>
        <v>8479.3689386172555</v>
      </c>
      <c r="AC608" s="534">
        <f t="shared" si="797"/>
        <v>8479.3689386172555</v>
      </c>
      <c r="AD608" s="534">
        <f t="shared" si="797"/>
        <v>8810.2225269702794</v>
      </c>
      <c r="AE608" s="534">
        <f t="shared" si="797"/>
        <v>8810.2225269702794</v>
      </c>
      <c r="AF608" s="534">
        <f t="shared" si="797"/>
        <v>8810.2225269702794</v>
      </c>
      <c r="AG608" s="534">
        <f t="shared" si="797"/>
        <v>8810.2225269702794</v>
      </c>
      <c r="AH608" s="534">
        <f t="shared" si="797"/>
        <v>8810.2225269702794</v>
      </c>
      <c r="AI608" s="534">
        <f t="shared" si="797"/>
        <v>8810.2225269702794</v>
      </c>
      <c r="AJ608" s="534">
        <f t="shared" si="797"/>
        <v>8810.2225269702794</v>
      </c>
      <c r="AK608" s="534">
        <f t="shared" si="797"/>
        <v>8810.2225269702794</v>
      </c>
      <c r="AL608" s="534">
        <f t="shared" si="797"/>
        <v>8810.2225269702794</v>
      </c>
      <c r="AM608" s="534">
        <f t="shared" si="797"/>
        <v>8810.2225269702794</v>
      </c>
      <c r="AN608" s="534">
        <f t="shared" si="797"/>
        <v>8810.2225269702794</v>
      </c>
      <c r="AO608" s="534">
        <f t="shared" si="797"/>
        <v>8810.2225269702794</v>
      </c>
      <c r="AP608" s="534">
        <f t="shared" si="797"/>
        <v>9138.1080885477768</v>
      </c>
      <c r="AQ608" s="534">
        <f t="shared" si="797"/>
        <v>9138.1080885477768</v>
      </c>
      <c r="AR608" s="534">
        <f t="shared" si="797"/>
        <v>9138.1080885477768</v>
      </c>
      <c r="AS608" s="534">
        <f t="shared" si="797"/>
        <v>9138.1080885477768</v>
      </c>
      <c r="AT608" s="534">
        <f t="shared" si="797"/>
        <v>9138.1080885477768</v>
      </c>
      <c r="AU608" s="534">
        <f t="shared" si="797"/>
        <v>9138.1080885477768</v>
      </c>
      <c r="AV608" s="534">
        <f t="shared" si="797"/>
        <v>9138.1080885477768</v>
      </c>
      <c r="AW608" s="534">
        <f t="shared" si="797"/>
        <v>9138.1080885477768</v>
      </c>
      <c r="AX608" s="534">
        <f t="shared" ref="AX608:BY608" si="798">AX544/AX$571</f>
        <v>9138.1080885477768</v>
      </c>
      <c r="AY608" s="534">
        <f t="shared" si="798"/>
        <v>9138.1080885477768</v>
      </c>
      <c r="AZ608" s="534">
        <f t="shared" si="798"/>
        <v>9138.1080885477768</v>
      </c>
      <c r="BA608" s="534">
        <f t="shared" si="798"/>
        <v>9138.1080885477768</v>
      </c>
      <c r="BB608" s="534">
        <f t="shared" si="798"/>
        <v>9450.7009650101336</v>
      </c>
      <c r="BC608" s="534">
        <f t="shared" si="798"/>
        <v>9450.7009650101336</v>
      </c>
      <c r="BD608" s="534">
        <f t="shared" si="798"/>
        <v>9450.7009650101336</v>
      </c>
      <c r="BE608" s="534">
        <f t="shared" si="798"/>
        <v>9450.7009650101336</v>
      </c>
      <c r="BF608" s="534">
        <f t="shared" si="798"/>
        <v>9450.7009650101336</v>
      </c>
      <c r="BG608" s="534">
        <f t="shared" si="798"/>
        <v>9450.7009650101336</v>
      </c>
      <c r="BH608" s="534">
        <f t="shared" si="798"/>
        <v>9450.7009650101336</v>
      </c>
      <c r="BI608" s="534">
        <f t="shared" si="798"/>
        <v>9450.7009650101336</v>
      </c>
      <c r="BJ608" s="534">
        <f t="shared" si="798"/>
        <v>9450.7009650101336</v>
      </c>
      <c r="BK608" s="534">
        <f t="shared" si="798"/>
        <v>9450.7009650101336</v>
      </c>
      <c r="BL608" s="534">
        <f t="shared" si="798"/>
        <v>9450.7009650101336</v>
      </c>
      <c r="BM608" s="534">
        <f t="shared" si="798"/>
        <v>9450.7009650101336</v>
      </c>
      <c r="BN608" s="534">
        <f t="shared" si="798"/>
        <v>9764.4600820751348</v>
      </c>
      <c r="BO608" s="534">
        <f t="shared" si="798"/>
        <v>9764.4600820751348</v>
      </c>
      <c r="BP608" s="534">
        <f t="shared" si="798"/>
        <v>9764.4600820751348</v>
      </c>
      <c r="BQ608" s="534">
        <f t="shared" si="798"/>
        <v>9764.4600820751348</v>
      </c>
      <c r="BR608" s="534">
        <f t="shared" si="798"/>
        <v>9764.4600820751348</v>
      </c>
      <c r="BS608" s="534">
        <f t="shared" si="798"/>
        <v>9764.4600820751348</v>
      </c>
      <c r="BT608" s="534">
        <f t="shared" si="798"/>
        <v>9764.4600820751348</v>
      </c>
      <c r="BU608" s="534">
        <f t="shared" si="798"/>
        <v>9764.4600820751348</v>
      </c>
      <c r="BV608" s="534">
        <f t="shared" si="798"/>
        <v>9764.4600820751348</v>
      </c>
      <c r="BW608" s="534">
        <f t="shared" si="798"/>
        <v>9764.4600820751348</v>
      </c>
      <c r="BX608" s="534">
        <f t="shared" si="798"/>
        <v>9764.4600820751348</v>
      </c>
      <c r="BY608" s="534">
        <f t="shared" si="798"/>
        <v>9764.4600820751348</v>
      </c>
    </row>
    <row r="609" spans="1:77" x14ac:dyDescent="0.3">
      <c r="A609" s="551"/>
      <c r="B609" s="647"/>
      <c r="C609" s="668"/>
      <c r="D609" s="537"/>
      <c r="E609" s="525"/>
      <c r="F609" s="529"/>
      <c r="G609" s="529"/>
      <c r="H609" s="537"/>
      <c r="I609" s="529"/>
      <c r="J609" s="529"/>
      <c r="K609" s="529"/>
      <c r="L609" s="529"/>
      <c r="M609" s="529"/>
      <c r="N609" s="529"/>
      <c r="O609" s="529"/>
      <c r="P609" s="660"/>
      <c r="Q609" s="537"/>
      <c r="R609" s="529"/>
      <c r="S609" s="529"/>
      <c r="T609" s="529"/>
      <c r="U609" s="529"/>
      <c r="V609" s="529"/>
      <c r="W609" s="529"/>
      <c r="X609" s="529"/>
      <c r="Y609" s="529"/>
      <c r="Z609" s="529"/>
      <c r="AA609" s="529"/>
      <c r="AB609" s="529"/>
      <c r="AC609" s="529"/>
      <c r="AD609" s="529"/>
      <c r="AE609" s="529"/>
      <c r="AF609" s="529"/>
      <c r="AG609" s="529"/>
      <c r="AH609" s="529"/>
      <c r="AI609" s="529"/>
      <c r="AJ609" s="529"/>
      <c r="AK609" s="529"/>
      <c r="AL609" s="529"/>
      <c r="AM609" s="529"/>
      <c r="AN609" s="529"/>
      <c r="AO609" s="529"/>
      <c r="AP609" s="529"/>
      <c r="AQ609" s="529"/>
      <c r="AR609" s="529"/>
      <c r="AS609" s="529"/>
      <c r="AT609" s="529"/>
      <c r="AU609" s="529"/>
      <c r="AV609" s="529"/>
      <c r="AW609" s="529"/>
      <c r="AX609" s="529"/>
      <c r="AY609" s="529"/>
      <c r="AZ609" s="529"/>
      <c r="BA609" s="529"/>
      <c r="BB609" s="529"/>
      <c r="BC609" s="529"/>
      <c r="BD609" s="529"/>
      <c r="BE609" s="529"/>
      <c r="BF609" s="529"/>
      <c r="BG609" s="529"/>
      <c r="BH609" s="529"/>
      <c r="BI609" s="529"/>
      <c r="BJ609" s="529"/>
      <c r="BK609" s="529"/>
      <c r="BL609" s="529"/>
      <c r="BM609" s="529"/>
      <c r="BN609" s="529"/>
      <c r="BO609" s="529"/>
      <c r="BP609" s="529"/>
      <c r="BQ609" s="529"/>
      <c r="BR609" s="529"/>
      <c r="BS609" s="529"/>
      <c r="BT609" s="529"/>
      <c r="BU609" s="529"/>
      <c r="BV609" s="529"/>
      <c r="BW609" s="529"/>
      <c r="BX609" s="529"/>
      <c r="BY609" s="529"/>
    </row>
    <row r="610" spans="1:77" x14ac:dyDescent="0.3">
      <c r="A610" s="551"/>
      <c r="B610" s="647"/>
      <c r="C610" s="668"/>
      <c r="D610" s="537"/>
      <c r="E610" s="570" t="s">
        <v>34</v>
      </c>
      <c r="F610" s="529"/>
      <c r="G610" s="529"/>
      <c r="H610" s="537"/>
      <c r="I610" s="529"/>
      <c r="J610" s="529"/>
      <c r="K610" s="529"/>
      <c r="L610" s="529"/>
      <c r="M610" s="529"/>
      <c r="N610" s="529"/>
      <c r="O610" s="529"/>
      <c r="P610" s="660"/>
      <c r="Q610" s="537"/>
      <c r="R610" s="529"/>
      <c r="S610" s="529"/>
      <c r="T610" s="529"/>
      <c r="U610" s="529"/>
      <c r="V610" s="529"/>
      <c r="W610" s="529"/>
      <c r="X610" s="529"/>
      <c r="Y610" s="529"/>
      <c r="Z610" s="529"/>
      <c r="AA610" s="529"/>
      <c r="AB610" s="529"/>
      <c r="AC610" s="529"/>
      <c r="AD610" s="529"/>
      <c r="AE610" s="529"/>
      <c r="AF610" s="529"/>
      <c r="AG610" s="529"/>
      <c r="AH610" s="529"/>
      <c r="AI610" s="529"/>
      <c r="AJ610" s="529"/>
      <c r="AK610" s="529"/>
      <c r="AL610" s="529"/>
      <c r="AM610" s="529"/>
      <c r="AN610" s="529"/>
      <c r="AO610" s="529"/>
      <c r="AP610" s="529"/>
      <c r="AQ610" s="529"/>
      <c r="AR610" s="529"/>
      <c r="AS610" s="529"/>
      <c r="AT610" s="529"/>
      <c r="AU610" s="529"/>
      <c r="AV610" s="529"/>
      <c r="AW610" s="529"/>
      <c r="AX610" s="529"/>
      <c r="AY610" s="529"/>
      <c r="AZ610" s="529"/>
      <c r="BA610" s="529"/>
      <c r="BB610" s="529"/>
      <c r="BC610" s="529"/>
      <c r="BD610" s="529"/>
      <c r="BE610" s="529"/>
      <c r="BF610" s="529"/>
      <c r="BG610" s="529"/>
      <c r="BH610" s="529"/>
      <c r="BI610" s="529"/>
      <c r="BJ610" s="529"/>
      <c r="BK610" s="529"/>
      <c r="BL610" s="529"/>
      <c r="BM610" s="529"/>
      <c r="BN610" s="529"/>
      <c r="BO610" s="529"/>
      <c r="BP610" s="529"/>
      <c r="BQ610" s="529"/>
      <c r="BR610" s="529"/>
      <c r="BS610" s="529"/>
      <c r="BT610" s="529"/>
      <c r="BU610" s="529"/>
      <c r="BV610" s="529"/>
      <c r="BW610" s="529"/>
      <c r="BX610" s="529"/>
      <c r="BY610" s="529"/>
    </row>
    <row r="611" spans="1:77" x14ac:dyDescent="0.3">
      <c r="A611" s="551"/>
      <c r="B611" s="647"/>
      <c r="C611" s="668"/>
      <c r="D611" s="537"/>
      <c r="E611" s="525" t="s">
        <v>19</v>
      </c>
      <c r="F611" s="567"/>
      <c r="G611" s="567"/>
      <c r="H611" s="537"/>
      <c r="I611" s="527">
        <f t="shared" ref="I611:N613" si="799">I547/I$571</f>
        <v>-2207.6592005866028</v>
      </c>
      <c r="J611" s="527">
        <f t="shared" si="799"/>
        <v>-2251.8123845983346</v>
      </c>
      <c r="K611" s="527">
        <f t="shared" si="799"/>
        <v>-2296.8486322903013</v>
      </c>
      <c r="L611" s="527">
        <f t="shared" si="799"/>
        <v>-2342.7856049361071</v>
      </c>
      <c r="M611" s="527">
        <f t="shared" si="799"/>
        <v>-2389.6413170348296</v>
      </c>
      <c r="N611" s="527">
        <f t="shared" si="799"/>
        <v>-2437.4341433755262</v>
      </c>
      <c r="O611" s="529"/>
      <c r="P611" s="564">
        <f>IFERROR(((N611/I611)^(1/5))-1,0)</f>
        <v>2.0000000000000018E-2</v>
      </c>
      <c r="Q611" s="537"/>
      <c r="R611" s="527">
        <f t="shared" ref="R611:AW611" si="800">R547/R$571</f>
        <v>-187.65103204986121</v>
      </c>
      <c r="S611" s="527">
        <f t="shared" si="800"/>
        <v>-187.65103204986121</v>
      </c>
      <c r="T611" s="527">
        <f t="shared" si="800"/>
        <v>-187.65103204986121</v>
      </c>
      <c r="U611" s="527">
        <f t="shared" si="800"/>
        <v>-187.65103204986121</v>
      </c>
      <c r="V611" s="527">
        <f t="shared" si="800"/>
        <v>-187.65103204986121</v>
      </c>
      <c r="W611" s="527">
        <f t="shared" si="800"/>
        <v>-187.65103204986121</v>
      </c>
      <c r="X611" s="527">
        <f t="shared" si="800"/>
        <v>-187.65103204986121</v>
      </c>
      <c r="Y611" s="527">
        <f t="shared" si="800"/>
        <v>-187.65103204986121</v>
      </c>
      <c r="Z611" s="527">
        <f t="shared" si="800"/>
        <v>-187.65103204986121</v>
      </c>
      <c r="AA611" s="527">
        <f t="shared" si="800"/>
        <v>-187.65103204986121</v>
      </c>
      <c r="AB611" s="527">
        <f t="shared" si="800"/>
        <v>-187.65103204986121</v>
      </c>
      <c r="AC611" s="527">
        <f t="shared" si="800"/>
        <v>-187.65103204986121</v>
      </c>
      <c r="AD611" s="527">
        <f t="shared" si="800"/>
        <v>-191.40405269085844</v>
      </c>
      <c r="AE611" s="527">
        <f t="shared" si="800"/>
        <v>-191.40405269085844</v>
      </c>
      <c r="AF611" s="527">
        <f t="shared" si="800"/>
        <v>-191.40405269085844</v>
      </c>
      <c r="AG611" s="527">
        <f t="shared" si="800"/>
        <v>-191.40405269085844</v>
      </c>
      <c r="AH611" s="527">
        <f t="shared" si="800"/>
        <v>-191.40405269085844</v>
      </c>
      <c r="AI611" s="527">
        <f t="shared" si="800"/>
        <v>-191.40405269085844</v>
      </c>
      <c r="AJ611" s="527">
        <f t="shared" si="800"/>
        <v>-191.40405269085844</v>
      </c>
      <c r="AK611" s="527">
        <f t="shared" si="800"/>
        <v>-191.40405269085844</v>
      </c>
      <c r="AL611" s="527">
        <f t="shared" si="800"/>
        <v>-191.40405269085844</v>
      </c>
      <c r="AM611" s="527">
        <f t="shared" si="800"/>
        <v>-191.40405269085844</v>
      </c>
      <c r="AN611" s="527">
        <f t="shared" si="800"/>
        <v>-191.40405269085844</v>
      </c>
      <c r="AO611" s="527">
        <f t="shared" si="800"/>
        <v>-191.40405269085844</v>
      </c>
      <c r="AP611" s="527">
        <f t="shared" si="800"/>
        <v>-195.23213374467562</v>
      </c>
      <c r="AQ611" s="527">
        <f t="shared" si="800"/>
        <v>-195.23213374467562</v>
      </c>
      <c r="AR611" s="527">
        <f t="shared" si="800"/>
        <v>-195.23213374467562</v>
      </c>
      <c r="AS611" s="527">
        <f t="shared" si="800"/>
        <v>-195.23213374467562</v>
      </c>
      <c r="AT611" s="527">
        <f t="shared" si="800"/>
        <v>-195.23213374467562</v>
      </c>
      <c r="AU611" s="527">
        <f t="shared" si="800"/>
        <v>-195.23213374467562</v>
      </c>
      <c r="AV611" s="527">
        <f t="shared" si="800"/>
        <v>-195.23213374467562</v>
      </c>
      <c r="AW611" s="527">
        <f t="shared" si="800"/>
        <v>-195.23213374467562</v>
      </c>
      <c r="AX611" s="527">
        <f t="shared" ref="AX611:BY611" si="801">AX547/AX$571</f>
        <v>-195.23213374467562</v>
      </c>
      <c r="AY611" s="527">
        <f t="shared" si="801"/>
        <v>-195.23213374467562</v>
      </c>
      <c r="AZ611" s="527">
        <f t="shared" si="801"/>
        <v>-195.23213374467562</v>
      </c>
      <c r="BA611" s="527">
        <f t="shared" si="801"/>
        <v>-195.23213374467562</v>
      </c>
      <c r="BB611" s="527">
        <f t="shared" si="801"/>
        <v>-199.13677641956914</v>
      </c>
      <c r="BC611" s="527">
        <f t="shared" si="801"/>
        <v>-199.13677641956914</v>
      </c>
      <c r="BD611" s="527">
        <f t="shared" si="801"/>
        <v>-199.13677641956914</v>
      </c>
      <c r="BE611" s="527">
        <f t="shared" si="801"/>
        <v>-199.13677641956914</v>
      </c>
      <c r="BF611" s="527">
        <f t="shared" si="801"/>
        <v>-199.13677641956914</v>
      </c>
      <c r="BG611" s="527">
        <f t="shared" si="801"/>
        <v>-199.13677641956914</v>
      </c>
      <c r="BH611" s="527">
        <f t="shared" si="801"/>
        <v>-199.13677641956914</v>
      </c>
      <c r="BI611" s="527">
        <f t="shared" si="801"/>
        <v>-199.13677641956914</v>
      </c>
      <c r="BJ611" s="527">
        <f t="shared" si="801"/>
        <v>-199.13677641956914</v>
      </c>
      <c r="BK611" s="527">
        <f t="shared" si="801"/>
        <v>-199.13677641956914</v>
      </c>
      <c r="BL611" s="527">
        <f t="shared" si="801"/>
        <v>-199.13677641956914</v>
      </c>
      <c r="BM611" s="527">
        <f t="shared" si="801"/>
        <v>-199.13677641956914</v>
      </c>
      <c r="BN611" s="527">
        <f t="shared" si="801"/>
        <v>-203.11951194796052</v>
      </c>
      <c r="BO611" s="527">
        <f t="shared" si="801"/>
        <v>-203.11951194796052</v>
      </c>
      <c r="BP611" s="527">
        <f t="shared" si="801"/>
        <v>-203.11951194796052</v>
      </c>
      <c r="BQ611" s="527">
        <f t="shared" si="801"/>
        <v>-203.11951194796052</v>
      </c>
      <c r="BR611" s="527">
        <f t="shared" si="801"/>
        <v>-203.11951194796052</v>
      </c>
      <c r="BS611" s="527">
        <f t="shared" si="801"/>
        <v>-203.11951194796052</v>
      </c>
      <c r="BT611" s="527">
        <f t="shared" si="801"/>
        <v>-203.11951194796052</v>
      </c>
      <c r="BU611" s="527">
        <f t="shared" si="801"/>
        <v>-203.11951194796052</v>
      </c>
      <c r="BV611" s="527">
        <f t="shared" si="801"/>
        <v>-203.11951194796052</v>
      </c>
      <c r="BW611" s="527">
        <f t="shared" si="801"/>
        <v>-203.11951194796052</v>
      </c>
      <c r="BX611" s="527">
        <f t="shared" si="801"/>
        <v>-203.11951194796052</v>
      </c>
      <c r="BY611" s="527">
        <f t="shared" si="801"/>
        <v>-203.11951194796052</v>
      </c>
    </row>
    <row r="612" spans="1:77" x14ac:dyDescent="0.3">
      <c r="A612" s="551"/>
      <c r="B612" s="647"/>
      <c r="C612" s="668"/>
      <c r="D612" s="537"/>
      <c r="E612" s="525" t="s">
        <v>20</v>
      </c>
      <c r="F612" s="567"/>
      <c r="G612" s="567"/>
      <c r="H612" s="537"/>
      <c r="I612" s="527">
        <f t="shared" si="799"/>
        <v>-192.50017649463695</v>
      </c>
      <c r="J612" s="527">
        <f t="shared" si="799"/>
        <v>-196.35018002452969</v>
      </c>
      <c r="K612" s="527">
        <f t="shared" si="799"/>
        <v>-200.27718362502029</v>
      </c>
      <c r="L612" s="527">
        <f t="shared" si="799"/>
        <v>-204.28272729752072</v>
      </c>
      <c r="M612" s="527">
        <f t="shared" si="799"/>
        <v>-208.36838184347113</v>
      </c>
      <c r="N612" s="527">
        <f t="shared" si="799"/>
        <v>-212.53574948034057</v>
      </c>
      <c r="O612" s="529"/>
      <c r="P612" s="564">
        <f>IFERROR(((N612/I612)^(1/5))-1,0)</f>
        <v>2.0000000000000018E-2</v>
      </c>
      <c r="Q612" s="537"/>
      <c r="R612" s="527">
        <f t="shared" ref="R612:AW612" si="802">R548/R$571</f>
        <v>-16.362515002044141</v>
      </c>
      <c r="S612" s="527">
        <f t="shared" si="802"/>
        <v>-16.362515002044141</v>
      </c>
      <c r="T612" s="527">
        <f t="shared" si="802"/>
        <v>-16.362515002044141</v>
      </c>
      <c r="U612" s="527">
        <f t="shared" si="802"/>
        <v>-16.362515002044141</v>
      </c>
      <c r="V612" s="527">
        <f t="shared" si="802"/>
        <v>-16.362515002044141</v>
      </c>
      <c r="W612" s="527">
        <f t="shared" si="802"/>
        <v>-16.362515002044141</v>
      </c>
      <c r="X612" s="527">
        <f t="shared" si="802"/>
        <v>-16.362515002044141</v>
      </c>
      <c r="Y612" s="527">
        <f t="shared" si="802"/>
        <v>-16.362515002044141</v>
      </c>
      <c r="Z612" s="527">
        <f t="shared" si="802"/>
        <v>-16.362515002044141</v>
      </c>
      <c r="AA612" s="527">
        <f t="shared" si="802"/>
        <v>-16.362515002044141</v>
      </c>
      <c r="AB612" s="527">
        <f t="shared" si="802"/>
        <v>-16.362515002044141</v>
      </c>
      <c r="AC612" s="527">
        <f t="shared" si="802"/>
        <v>-16.362515002044141</v>
      </c>
      <c r="AD612" s="527">
        <f t="shared" si="802"/>
        <v>-16.689765302085025</v>
      </c>
      <c r="AE612" s="527">
        <f t="shared" si="802"/>
        <v>-16.689765302085025</v>
      </c>
      <c r="AF612" s="527">
        <f t="shared" si="802"/>
        <v>-16.689765302085025</v>
      </c>
      <c r="AG612" s="527">
        <f t="shared" si="802"/>
        <v>-16.689765302085025</v>
      </c>
      <c r="AH612" s="527">
        <f t="shared" si="802"/>
        <v>-16.689765302085025</v>
      </c>
      <c r="AI612" s="527">
        <f t="shared" si="802"/>
        <v>-16.689765302085025</v>
      </c>
      <c r="AJ612" s="527">
        <f t="shared" si="802"/>
        <v>-16.689765302085025</v>
      </c>
      <c r="AK612" s="527">
        <f t="shared" si="802"/>
        <v>-16.689765302085025</v>
      </c>
      <c r="AL612" s="527">
        <f t="shared" si="802"/>
        <v>-16.689765302085025</v>
      </c>
      <c r="AM612" s="527">
        <f t="shared" si="802"/>
        <v>-16.689765302085025</v>
      </c>
      <c r="AN612" s="527">
        <f t="shared" si="802"/>
        <v>-16.689765302085025</v>
      </c>
      <c r="AO612" s="527">
        <f t="shared" si="802"/>
        <v>-16.689765302085025</v>
      </c>
      <c r="AP612" s="527">
        <f t="shared" si="802"/>
        <v>-17.023560608126726</v>
      </c>
      <c r="AQ612" s="527">
        <f t="shared" si="802"/>
        <v>-17.023560608126726</v>
      </c>
      <c r="AR612" s="527">
        <f t="shared" si="802"/>
        <v>-17.023560608126726</v>
      </c>
      <c r="AS612" s="527">
        <f t="shared" si="802"/>
        <v>-17.023560608126726</v>
      </c>
      <c r="AT612" s="527">
        <f t="shared" si="802"/>
        <v>-17.023560608126726</v>
      </c>
      <c r="AU612" s="527">
        <f t="shared" si="802"/>
        <v>-17.023560608126726</v>
      </c>
      <c r="AV612" s="527">
        <f t="shared" si="802"/>
        <v>-17.023560608126726</v>
      </c>
      <c r="AW612" s="527">
        <f t="shared" si="802"/>
        <v>-17.023560608126726</v>
      </c>
      <c r="AX612" s="527">
        <f t="shared" ref="AX612:BY612" si="803">AX548/AX$571</f>
        <v>-17.023560608126726</v>
      </c>
      <c r="AY612" s="527">
        <f t="shared" si="803"/>
        <v>-17.023560608126726</v>
      </c>
      <c r="AZ612" s="527">
        <f t="shared" si="803"/>
        <v>-17.023560608126726</v>
      </c>
      <c r="BA612" s="527">
        <f t="shared" si="803"/>
        <v>-17.023560608126726</v>
      </c>
      <c r="BB612" s="527">
        <f t="shared" si="803"/>
        <v>-17.364031820289259</v>
      </c>
      <c r="BC612" s="527">
        <f t="shared" si="803"/>
        <v>-17.364031820289259</v>
      </c>
      <c r="BD612" s="527">
        <f t="shared" si="803"/>
        <v>-17.364031820289259</v>
      </c>
      <c r="BE612" s="527">
        <f t="shared" si="803"/>
        <v>-17.364031820289259</v>
      </c>
      <c r="BF612" s="527">
        <f t="shared" si="803"/>
        <v>-17.364031820289259</v>
      </c>
      <c r="BG612" s="527">
        <f t="shared" si="803"/>
        <v>-17.364031820289259</v>
      </c>
      <c r="BH612" s="527">
        <f t="shared" si="803"/>
        <v>-17.364031820289259</v>
      </c>
      <c r="BI612" s="527">
        <f t="shared" si="803"/>
        <v>-17.364031820289259</v>
      </c>
      <c r="BJ612" s="527">
        <f t="shared" si="803"/>
        <v>-17.364031820289259</v>
      </c>
      <c r="BK612" s="527">
        <f t="shared" si="803"/>
        <v>-17.364031820289259</v>
      </c>
      <c r="BL612" s="527">
        <f t="shared" si="803"/>
        <v>-17.364031820289259</v>
      </c>
      <c r="BM612" s="527">
        <f t="shared" si="803"/>
        <v>-17.364031820289259</v>
      </c>
      <c r="BN612" s="527">
        <f t="shared" si="803"/>
        <v>-17.711312456695044</v>
      </c>
      <c r="BO612" s="527">
        <f t="shared" si="803"/>
        <v>-17.711312456695044</v>
      </c>
      <c r="BP612" s="527">
        <f t="shared" si="803"/>
        <v>-17.711312456695044</v>
      </c>
      <c r="BQ612" s="527">
        <f t="shared" si="803"/>
        <v>-17.711312456695044</v>
      </c>
      <c r="BR612" s="527">
        <f t="shared" si="803"/>
        <v>-17.711312456695044</v>
      </c>
      <c r="BS612" s="527">
        <f t="shared" si="803"/>
        <v>-17.711312456695044</v>
      </c>
      <c r="BT612" s="527">
        <f t="shared" si="803"/>
        <v>-17.711312456695044</v>
      </c>
      <c r="BU612" s="527">
        <f t="shared" si="803"/>
        <v>-17.711312456695044</v>
      </c>
      <c r="BV612" s="527">
        <f t="shared" si="803"/>
        <v>-17.711312456695044</v>
      </c>
      <c r="BW612" s="527">
        <f t="shared" si="803"/>
        <v>-17.711312456695044</v>
      </c>
      <c r="BX612" s="527">
        <f t="shared" si="803"/>
        <v>-17.711312456695044</v>
      </c>
      <c r="BY612" s="527">
        <f t="shared" si="803"/>
        <v>-17.711312456695044</v>
      </c>
    </row>
    <row r="613" spans="1:77" x14ac:dyDescent="0.3">
      <c r="A613" s="551"/>
      <c r="B613" s="647"/>
      <c r="C613" s="668"/>
      <c r="D613" s="537"/>
      <c r="E613" s="572" t="s">
        <v>35</v>
      </c>
      <c r="F613" s="573"/>
      <c r="G613" s="573"/>
      <c r="H613" s="537"/>
      <c r="I613" s="532">
        <f t="shared" si="799"/>
        <v>-2400.1593770812397</v>
      </c>
      <c r="J613" s="532">
        <f t="shared" si="799"/>
        <v>-2448.1625646228645</v>
      </c>
      <c r="K613" s="532">
        <f t="shared" si="799"/>
        <v>-2497.1258159153213</v>
      </c>
      <c r="L613" s="532">
        <f t="shared" si="799"/>
        <v>-2547.0683322336276</v>
      </c>
      <c r="M613" s="532">
        <f t="shared" si="799"/>
        <v>-2598.0096988783007</v>
      </c>
      <c r="N613" s="532">
        <f t="shared" si="799"/>
        <v>-2649.9698928558669</v>
      </c>
      <c r="O613" s="536"/>
      <c r="P613" s="568">
        <f>IFERROR(((N613/I613)^(1/5))-1,0)</f>
        <v>2.0000000000000018E-2</v>
      </c>
      <c r="Q613" s="537"/>
      <c r="R613" s="532">
        <f t="shared" ref="R613:AW613" si="804">R549/R$571</f>
        <v>-204.01354705190536</v>
      </c>
      <c r="S613" s="532">
        <f t="shared" si="804"/>
        <v>-204.01354705190536</v>
      </c>
      <c r="T613" s="532">
        <f t="shared" si="804"/>
        <v>-204.01354705190536</v>
      </c>
      <c r="U613" s="532">
        <f t="shared" si="804"/>
        <v>-204.01354705190536</v>
      </c>
      <c r="V613" s="532">
        <f t="shared" si="804"/>
        <v>-204.01354705190536</v>
      </c>
      <c r="W613" s="532">
        <f t="shared" si="804"/>
        <v>-204.01354705190536</v>
      </c>
      <c r="X613" s="532">
        <f t="shared" si="804"/>
        <v>-204.01354705190536</v>
      </c>
      <c r="Y613" s="532">
        <f t="shared" si="804"/>
        <v>-204.01354705190536</v>
      </c>
      <c r="Z613" s="532">
        <f t="shared" si="804"/>
        <v>-204.01354705190536</v>
      </c>
      <c r="AA613" s="532">
        <f t="shared" si="804"/>
        <v>-204.01354705190536</v>
      </c>
      <c r="AB613" s="532">
        <f t="shared" si="804"/>
        <v>-204.01354705190536</v>
      </c>
      <c r="AC613" s="532">
        <f t="shared" si="804"/>
        <v>-204.01354705190536</v>
      </c>
      <c r="AD613" s="532">
        <f t="shared" si="804"/>
        <v>-208.09381799294349</v>
      </c>
      <c r="AE613" s="532">
        <f t="shared" si="804"/>
        <v>-208.09381799294349</v>
      </c>
      <c r="AF613" s="532">
        <f t="shared" si="804"/>
        <v>-208.09381799294349</v>
      </c>
      <c r="AG613" s="532">
        <f t="shared" si="804"/>
        <v>-208.09381799294349</v>
      </c>
      <c r="AH613" s="532">
        <f t="shared" si="804"/>
        <v>-208.09381799294349</v>
      </c>
      <c r="AI613" s="532">
        <f t="shared" si="804"/>
        <v>-208.09381799294349</v>
      </c>
      <c r="AJ613" s="532">
        <f t="shared" si="804"/>
        <v>-208.09381799294349</v>
      </c>
      <c r="AK613" s="532">
        <f t="shared" si="804"/>
        <v>-208.09381799294349</v>
      </c>
      <c r="AL613" s="532">
        <f t="shared" si="804"/>
        <v>-208.09381799294349</v>
      </c>
      <c r="AM613" s="532">
        <f t="shared" si="804"/>
        <v>-208.09381799294349</v>
      </c>
      <c r="AN613" s="532">
        <f t="shared" si="804"/>
        <v>-208.09381799294349</v>
      </c>
      <c r="AO613" s="532">
        <f t="shared" si="804"/>
        <v>-208.09381799294349</v>
      </c>
      <c r="AP613" s="532">
        <f t="shared" si="804"/>
        <v>-212.25569435280232</v>
      </c>
      <c r="AQ613" s="532">
        <f t="shared" si="804"/>
        <v>-212.25569435280232</v>
      </c>
      <c r="AR613" s="532">
        <f t="shared" si="804"/>
        <v>-212.25569435280232</v>
      </c>
      <c r="AS613" s="532">
        <f t="shared" si="804"/>
        <v>-212.25569435280232</v>
      </c>
      <c r="AT613" s="532">
        <f t="shared" si="804"/>
        <v>-212.25569435280232</v>
      </c>
      <c r="AU613" s="532">
        <f t="shared" si="804"/>
        <v>-212.25569435280232</v>
      </c>
      <c r="AV613" s="532">
        <f t="shared" si="804"/>
        <v>-212.25569435280232</v>
      </c>
      <c r="AW613" s="532">
        <f t="shared" si="804"/>
        <v>-212.25569435280232</v>
      </c>
      <c r="AX613" s="532">
        <f t="shared" ref="AX613:BY613" si="805">AX549/AX$571</f>
        <v>-212.25569435280232</v>
      </c>
      <c r="AY613" s="532">
        <f t="shared" si="805"/>
        <v>-212.25569435280232</v>
      </c>
      <c r="AZ613" s="532">
        <f t="shared" si="805"/>
        <v>-212.25569435280232</v>
      </c>
      <c r="BA613" s="532">
        <f t="shared" si="805"/>
        <v>-212.25569435280232</v>
      </c>
      <c r="BB613" s="532">
        <f t="shared" si="805"/>
        <v>-216.50080823985843</v>
      </c>
      <c r="BC613" s="532">
        <f t="shared" si="805"/>
        <v>-216.50080823985843</v>
      </c>
      <c r="BD613" s="532">
        <f t="shared" si="805"/>
        <v>-216.50080823985843</v>
      </c>
      <c r="BE613" s="532">
        <f t="shared" si="805"/>
        <v>-216.50080823985843</v>
      </c>
      <c r="BF613" s="532">
        <f t="shared" si="805"/>
        <v>-216.50080823985843</v>
      </c>
      <c r="BG613" s="532">
        <f t="shared" si="805"/>
        <v>-216.50080823985843</v>
      </c>
      <c r="BH613" s="532">
        <f t="shared" si="805"/>
        <v>-216.50080823985843</v>
      </c>
      <c r="BI613" s="532">
        <f t="shared" si="805"/>
        <v>-216.50080823985843</v>
      </c>
      <c r="BJ613" s="532">
        <f t="shared" si="805"/>
        <v>-216.50080823985843</v>
      </c>
      <c r="BK613" s="532">
        <f t="shared" si="805"/>
        <v>-216.50080823985843</v>
      </c>
      <c r="BL613" s="532">
        <f t="shared" si="805"/>
        <v>-216.50080823985843</v>
      </c>
      <c r="BM613" s="532">
        <f t="shared" si="805"/>
        <v>-216.50080823985843</v>
      </c>
      <c r="BN613" s="532">
        <f t="shared" si="805"/>
        <v>-220.83082440465557</v>
      </c>
      <c r="BO613" s="532">
        <f t="shared" si="805"/>
        <v>-220.83082440465557</v>
      </c>
      <c r="BP613" s="532">
        <f t="shared" si="805"/>
        <v>-220.83082440465557</v>
      </c>
      <c r="BQ613" s="532">
        <f t="shared" si="805"/>
        <v>-220.83082440465557</v>
      </c>
      <c r="BR613" s="532">
        <f t="shared" si="805"/>
        <v>-220.83082440465557</v>
      </c>
      <c r="BS613" s="532">
        <f t="shared" si="805"/>
        <v>-220.83082440465557</v>
      </c>
      <c r="BT613" s="532">
        <f t="shared" si="805"/>
        <v>-220.83082440465557</v>
      </c>
      <c r="BU613" s="532">
        <f t="shared" si="805"/>
        <v>-220.83082440465557</v>
      </c>
      <c r="BV613" s="532">
        <f t="shared" si="805"/>
        <v>-220.83082440465557</v>
      </c>
      <c r="BW613" s="532">
        <f t="shared" si="805"/>
        <v>-220.83082440465557</v>
      </c>
      <c r="BX613" s="532">
        <f t="shared" si="805"/>
        <v>-220.83082440465557</v>
      </c>
      <c r="BY613" s="532">
        <f t="shared" si="805"/>
        <v>-220.83082440465557</v>
      </c>
    </row>
    <row r="614" spans="1:77" x14ac:dyDescent="0.3">
      <c r="A614" s="551"/>
      <c r="B614" s="647"/>
      <c r="C614" s="668"/>
      <c r="D614" s="537"/>
      <c r="E614" s="525"/>
      <c r="F614" s="529"/>
      <c r="G614" s="529"/>
      <c r="H614" s="537"/>
      <c r="I614" s="529"/>
      <c r="J614" s="529"/>
      <c r="K614" s="529"/>
      <c r="L614" s="529"/>
      <c r="M614" s="529"/>
      <c r="N614" s="529"/>
      <c r="O614" s="529"/>
      <c r="P614" s="660"/>
      <c r="Q614" s="537"/>
      <c r="R614" s="529"/>
      <c r="S614" s="529"/>
      <c r="T614" s="529"/>
      <c r="U614" s="529"/>
      <c r="V614" s="529"/>
      <c r="W614" s="529"/>
      <c r="X614" s="529"/>
      <c r="Y614" s="529"/>
      <c r="Z614" s="529"/>
      <c r="AA614" s="529"/>
      <c r="AB614" s="529"/>
      <c r="AC614" s="529"/>
      <c r="AD614" s="529"/>
      <c r="AE614" s="529"/>
      <c r="AF614" s="529"/>
      <c r="AG614" s="529"/>
      <c r="AH614" s="529"/>
      <c r="AI614" s="529"/>
      <c r="AJ614" s="529"/>
      <c r="AK614" s="529"/>
      <c r="AL614" s="529"/>
      <c r="AM614" s="529"/>
      <c r="AN614" s="529"/>
      <c r="AO614" s="529"/>
      <c r="AP614" s="529"/>
      <c r="AQ614" s="529"/>
      <c r="AR614" s="529"/>
      <c r="AS614" s="529"/>
      <c r="AT614" s="529"/>
      <c r="AU614" s="529"/>
      <c r="AV614" s="529"/>
      <c r="AW614" s="529"/>
      <c r="AX614" s="529"/>
      <c r="AY614" s="529"/>
      <c r="AZ614" s="529"/>
      <c r="BA614" s="529"/>
      <c r="BB614" s="529"/>
      <c r="BC614" s="529"/>
      <c r="BD614" s="529"/>
      <c r="BE614" s="529"/>
      <c r="BF614" s="529"/>
      <c r="BG614" s="529"/>
      <c r="BH614" s="529"/>
      <c r="BI614" s="529"/>
      <c r="BJ614" s="529"/>
      <c r="BK614" s="529"/>
      <c r="BL614" s="529"/>
      <c r="BM614" s="529"/>
      <c r="BN614" s="529"/>
      <c r="BO614" s="529"/>
      <c r="BP614" s="529"/>
      <c r="BQ614" s="529"/>
      <c r="BR614" s="529"/>
      <c r="BS614" s="529"/>
      <c r="BT614" s="529"/>
      <c r="BU614" s="529"/>
      <c r="BV614" s="529"/>
      <c r="BW614" s="529"/>
      <c r="BX614" s="529"/>
      <c r="BY614" s="529"/>
    </row>
    <row r="615" spans="1:77" x14ac:dyDescent="0.3">
      <c r="A615" s="551"/>
      <c r="B615" s="647"/>
      <c r="C615" s="668"/>
      <c r="D615" s="537"/>
      <c r="E615" s="62" t="s">
        <v>21</v>
      </c>
      <c r="F615" s="579"/>
      <c r="G615" s="579"/>
      <c r="H615" s="537"/>
      <c r="I615" s="535">
        <f t="shared" ref="I615:N615" si="806">I551/I$571</f>
        <v>95367.645472562654</v>
      </c>
      <c r="J615" s="535">
        <f t="shared" si="806"/>
        <v>99304.264698784187</v>
      </c>
      <c r="K615" s="535">
        <f t="shared" si="806"/>
        <v>103225.54450772803</v>
      </c>
      <c r="L615" s="535">
        <f t="shared" si="806"/>
        <v>107110.2287303397</v>
      </c>
      <c r="M615" s="535">
        <f t="shared" si="806"/>
        <v>110810.40188124329</v>
      </c>
      <c r="N615" s="535">
        <f t="shared" si="806"/>
        <v>114523.55109204576</v>
      </c>
      <c r="O615" s="536"/>
      <c r="P615" s="568">
        <f>IFERROR(((N615/I615)^(1/5))-1,0)</f>
        <v>3.7286555852937164E-2</v>
      </c>
      <c r="Q615" s="537"/>
      <c r="R615" s="535">
        <f t="shared" ref="R615:AW615" si="807">R551/R$571</f>
        <v>8275.3553915653501</v>
      </c>
      <c r="S615" s="535">
        <f t="shared" si="807"/>
        <v>8275.3553915653501</v>
      </c>
      <c r="T615" s="535">
        <f t="shared" si="807"/>
        <v>8275.3553915653501</v>
      </c>
      <c r="U615" s="535">
        <f t="shared" si="807"/>
        <v>8275.3553915653501</v>
      </c>
      <c r="V615" s="535">
        <f t="shared" si="807"/>
        <v>8275.3553915653501</v>
      </c>
      <c r="W615" s="535">
        <f t="shared" si="807"/>
        <v>8275.3553915653501</v>
      </c>
      <c r="X615" s="535">
        <f t="shared" si="807"/>
        <v>8275.3553915653501</v>
      </c>
      <c r="Y615" s="535">
        <f t="shared" si="807"/>
        <v>8275.3553915653501</v>
      </c>
      <c r="Z615" s="535">
        <f t="shared" si="807"/>
        <v>8275.3553915653501</v>
      </c>
      <c r="AA615" s="535">
        <f t="shared" si="807"/>
        <v>8275.3553915653501</v>
      </c>
      <c r="AB615" s="535">
        <f t="shared" si="807"/>
        <v>8275.3553915653501</v>
      </c>
      <c r="AC615" s="535">
        <f t="shared" si="807"/>
        <v>8275.3553915653501</v>
      </c>
      <c r="AD615" s="535">
        <f t="shared" si="807"/>
        <v>8602.1287089773359</v>
      </c>
      <c r="AE615" s="535">
        <f t="shared" si="807"/>
        <v>8602.1287089773359</v>
      </c>
      <c r="AF615" s="535">
        <f t="shared" si="807"/>
        <v>8602.1287089773359</v>
      </c>
      <c r="AG615" s="535">
        <f t="shared" si="807"/>
        <v>8602.1287089773359</v>
      </c>
      <c r="AH615" s="535">
        <f t="shared" si="807"/>
        <v>8602.1287089773359</v>
      </c>
      <c r="AI615" s="535">
        <f t="shared" si="807"/>
        <v>8602.1287089773359</v>
      </c>
      <c r="AJ615" s="535">
        <f t="shared" si="807"/>
        <v>8602.1287089773359</v>
      </c>
      <c r="AK615" s="535">
        <f t="shared" si="807"/>
        <v>8602.1287089773359</v>
      </c>
      <c r="AL615" s="535">
        <f t="shared" si="807"/>
        <v>8602.1287089773359</v>
      </c>
      <c r="AM615" s="535">
        <f t="shared" si="807"/>
        <v>8602.1287089773359</v>
      </c>
      <c r="AN615" s="535">
        <f t="shared" si="807"/>
        <v>8602.1287089773359</v>
      </c>
      <c r="AO615" s="535">
        <f t="shared" si="807"/>
        <v>8602.1287089773359</v>
      </c>
      <c r="AP615" s="535">
        <f t="shared" si="807"/>
        <v>8925.8523941949752</v>
      </c>
      <c r="AQ615" s="535">
        <f t="shared" si="807"/>
        <v>8925.8523941949752</v>
      </c>
      <c r="AR615" s="535">
        <f t="shared" si="807"/>
        <v>8925.8523941949752</v>
      </c>
      <c r="AS615" s="535">
        <f t="shared" si="807"/>
        <v>8925.8523941949752</v>
      </c>
      <c r="AT615" s="535">
        <f t="shared" si="807"/>
        <v>8925.8523941949752</v>
      </c>
      <c r="AU615" s="535">
        <f t="shared" si="807"/>
        <v>8925.8523941949752</v>
      </c>
      <c r="AV615" s="535">
        <f t="shared" si="807"/>
        <v>8925.8523941949752</v>
      </c>
      <c r="AW615" s="535">
        <f t="shared" si="807"/>
        <v>8925.8523941949752</v>
      </c>
      <c r="AX615" s="535">
        <f t="shared" ref="AX615:BY615" si="808">AX551/AX$571</f>
        <v>8925.8523941949752</v>
      </c>
      <c r="AY615" s="535">
        <f t="shared" si="808"/>
        <v>8925.8523941949752</v>
      </c>
      <c r="AZ615" s="535">
        <f t="shared" si="808"/>
        <v>8925.8523941949752</v>
      </c>
      <c r="BA615" s="535">
        <f t="shared" si="808"/>
        <v>8925.8523941949752</v>
      </c>
      <c r="BB615" s="535">
        <f t="shared" si="808"/>
        <v>9234.2001567702755</v>
      </c>
      <c r="BC615" s="535">
        <f t="shared" si="808"/>
        <v>9234.2001567702755</v>
      </c>
      <c r="BD615" s="535">
        <f t="shared" si="808"/>
        <v>9234.2001567702755</v>
      </c>
      <c r="BE615" s="535">
        <f t="shared" si="808"/>
        <v>9234.2001567702755</v>
      </c>
      <c r="BF615" s="535">
        <f t="shared" si="808"/>
        <v>9234.2001567702755</v>
      </c>
      <c r="BG615" s="535">
        <f t="shared" si="808"/>
        <v>9234.2001567702755</v>
      </c>
      <c r="BH615" s="535">
        <f t="shared" si="808"/>
        <v>9234.2001567702755</v>
      </c>
      <c r="BI615" s="535">
        <f t="shared" si="808"/>
        <v>9234.2001567702755</v>
      </c>
      <c r="BJ615" s="535">
        <f t="shared" si="808"/>
        <v>9234.2001567702755</v>
      </c>
      <c r="BK615" s="535">
        <f t="shared" si="808"/>
        <v>9234.2001567702755</v>
      </c>
      <c r="BL615" s="535">
        <f t="shared" si="808"/>
        <v>9234.2001567702755</v>
      </c>
      <c r="BM615" s="535">
        <f t="shared" si="808"/>
        <v>9234.2001567702755</v>
      </c>
      <c r="BN615" s="535">
        <f t="shared" si="808"/>
        <v>9543.62925767048</v>
      </c>
      <c r="BO615" s="535">
        <f t="shared" si="808"/>
        <v>9543.62925767048</v>
      </c>
      <c r="BP615" s="535">
        <f t="shared" si="808"/>
        <v>9543.62925767048</v>
      </c>
      <c r="BQ615" s="535">
        <f t="shared" si="808"/>
        <v>9543.62925767048</v>
      </c>
      <c r="BR615" s="535">
        <f t="shared" si="808"/>
        <v>9543.62925767048</v>
      </c>
      <c r="BS615" s="535">
        <f t="shared" si="808"/>
        <v>9543.62925767048</v>
      </c>
      <c r="BT615" s="535">
        <f t="shared" si="808"/>
        <v>9543.62925767048</v>
      </c>
      <c r="BU615" s="535">
        <f t="shared" si="808"/>
        <v>9543.62925767048</v>
      </c>
      <c r="BV615" s="535">
        <f t="shared" si="808"/>
        <v>9543.62925767048</v>
      </c>
      <c r="BW615" s="535">
        <f t="shared" si="808"/>
        <v>9543.62925767048</v>
      </c>
      <c r="BX615" s="535">
        <f t="shared" si="808"/>
        <v>9543.62925767048</v>
      </c>
      <c r="BY615" s="535">
        <f t="shared" si="808"/>
        <v>9543.62925767048</v>
      </c>
    </row>
    <row r="616" spans="1:77" x14ac:dyDescent="0.3">
      <c r="A616" s="551"/>
      <c r="B616" s="647"/>
      <c r="C616" s="668"/>
      <c r="D616" s="537"/>
      <c r="E616" s="2" t="s">
        <v>405</v>
      </c>
      <c r="F616" s="537"/>
      <c r="G616" s="537"/>
      <c r="H616" s="529"/>
      <c r="I616" s="531">
        <f t="shared" ref="I616:N616" si="809">I615/SUM(I576,I585,I599,I606)</f>
        <v>0.58386220752895512</v>
      </c>
      <c r="J616" s="531">
        <f t="shared" si="809"/>
        <v>0.58894969734717784</v>
      </c>
      <c r="K616" s="531">
        <f t="shared" si="809"/>
        <v>0.59362983622080479</v>
      </c>
      <c r="L616" s="531">
        <f t="shared" si="809"/>
        <v>0.59791106775267899</v>
      </c>
      <c r="M616" s="531">
        <f t="shared" si="809"/>
        <v>0.60152588416851871</v>
      </c>
      <c r="N616" s="531">
        <f t="shared" si="809"/>
        <v>0.60484949083386796</v>
      </c>
      <c r="O616" s="546"/>
      <c r="P616" s="564">
        <f>IFERROR(((N616/I616)^(1/5))-1,0)</f>
        <v>7.0879298304946659E-3</v>
      </c>
      <c r="Q616" s="537"/>
      <c r="R616" s="531">
        <f t="shared" ref="R616:AW616" si="810">R615/SUM(R576,R585,R599,R606)</f>
        <v>0.58894969734717806</v>
      </c>
      <c r="S616" s="531">
        <f t="shared" si="810"/>
        <v>0.58894969734717806</v>
      </c>
      <c r="T616" s="531">
        <f t="shared" si="810"/>
        <v>0.58894969734717806</v>
      </c>
      <c r="U616" s="531">
        <f t="shared" si="810"/>
        <v>0.58894969734717806</v>
      </c>
      <c r="V616" s="531">
        <f t="shared" si="810"/>
        <v>0.58894969734717806</v>
      </c>
      <c r="W616" s="531">
        <f t="shared" si="810"/>
        <v>0.58894969734717806</v>
      </c>
      <c r="X616" s="531">
        <f t="shared" si="810"/>
        <v>0.58894969734717806</v>
      </c>
      <c r="Y616" s="531">
        <f t="shared" si="810"/>
        <v>0.58894969734717806</v>
      </c>
      <c r="Z616" s="531">
        <f t="shared" si="810"/>
        <v>0.58894969734717806</v>
      </c>
      <c r="AA616" s="531">
        <f t="shared" si="810"/>
        <v>0.58894969734717806</v>
      </c>
      <c r="AB616" s="531">
        <f t="shared" si="810"/>
        <v>0.58894969734717806</v>
      </c>
      <c r="AC616" s="531">
        <f t="shared" si="810"/>
        <v>0.58894969734717806</v>
      </c>
      <c r="AD616" s="531">
        <f t="shared" si="810"/>
        <v>0.59362983622080479</v>
      </c>
      <c r="AE616" s="531">
        <f t="shared" si="810"/>
        <v>0.59362983622080479</v>
      </c>
      <c r="AF616" s="531">
        <f t="shared" si="810"/>
        <v>0.59362983622080479</v>
      </c>
      <c r="AG616" s="531">
        <f t="shared" si="810"/>
        <v>0.59362983622080479</v>
      </c>
      <c r="AH616" s="531">
        <f t="shared" si="810"/>
        <v>0.59362983622080479</v>
      </c>
      <c r="AI616" s="531">
        <f t="shared" si="810"/>
        <v>0.59362983622080479</v>
      </c>
      <c r="AJ616" s="531">
        <f t="shared" si="810"/>
        <v>0.59362983622080479</v>
      </c>
      <c r="AK616" s="531">
        <f t="shared" si="810"/>
        <v>0.59362983622080479</v>
      </c>
      <c r="AL616" s="531">
        <f t="shared" si="810"/>
        <v>0.59362983622080479</v>
      </c>
      <c r="AM616" s="531">
        <f t="shared" si="810"/>
        <v>0.59362983622080479</v>
      </c>
      <c r="AN616" s="531">
        <f t="shared" si="810"/>
        <v>0.59362983622080479</v>
      </c>
      <c r="AO616" s="531">
        <f t="shared" si="810"/>
        <v>0.59362983622080479</v>
      </c>
      <c r="AP616" s="531">
        <f t="shared" si="810"/>
        <v>0.59791106775267922</v>
      </c>
      <c r="AQ616" s="531">
        <f t="shared" si="810"/>
        <v>0.59791106775267922</v>
      </c>
      <c r="AR616" s="531">
        <f t="shared" si="810"/>
        <v>0.59791106775267922</v>
      </c>
      <c r="AS616" s="531">
        <f t="shared" si="810"/>
        <v>0.59791106775267922</v>
      </c>
      <c r="AT616" s="531">
        <f t="shared" si="810"/>
        <v>0.59791106775267922</v>
      </c>
      <c r="AU616" s="531">
        <f t="shared" si="810"/>
        <v>0.59791106775267922</v>
      </c>
      <c r="AV616" s="531">
        <f t="shared" si="810"/>
        <v>0.59791106775267922</v>
      </c>
      <c r="AW616" s="531">
        <f t="shared" si="810"/>
        <v>0.59791106775267922</v>
      </c>
      <c r="AX616" s="531">
        <f t="shared" ref="AX616:BY616" si="811">AX615/SUM(AX576,AX585,AX599,AX606)</f>
        <v>0.59791106775267922</v>
      </c>
      <c r="AY616" s="531">
        <f t="shared" si="811"/>
        <v>0.59791106775267922</v>
      </c>
      <c r="AZ616" s="531">
        <f t="shared" si="811"/>
        <v>0.59791106775267922</v>
      </c>
      <c r="BA616" s="531">
        <f t="shared" si="811"/>
        <v>0.59791106775267922</v>
      </c>
      <c r="BB616" s="531">
        <f t="shared" si="811"/>
        <v>0.60152588416851893</v>
      </c>
      <c r="BC616" s="531">
        <f t="shared" si="811"/>
        <v>0.60152588416851893</v>
      </c>
      <c r="BD616" s="531">
        <f t="shared" si="811"/>
        <v>0.60152588416851893</v>
      </c>
      <c r="BE616" s="531">
        <f t="shared" si="811"/>
        <v>0.60152588416851893</v>
      </c>
      <c r="BF616" s="531">
        <f t="shared" si="811"/>
        <v>0.60152588416851893</v>
      </c>
      <c r="BG616" s="531">
        <f t="shared" si="811"/>
        <v>0.60152588416851893</v>
      </c>
      <c r="BH616" s="531">
        <f t="shared" si="811"/>
        <v>0.60152588416851893</v>
      </c>
      <c r="BI616" s="531">
        <f t="shared" si="811"/>
        <v>0.60152588416851893</v>
      </c>
      <c r="BJ616" s="531">
        <f t="shared" si="811"/>
        <v>0.60152588416851893</v>
      </c>
      <c r="BK616" s="531">
        <f t="shared" si="811"/>
        <v>0.60152588416851893</v>
      </c>
      <c r="BL616" s="531">
        <f t="shared" si="811"/>
        <v>0.60152588416851893</v>
      </c>
      <c r="BM616" s="531">
        <f t="shared" si="811"/>
        <v>0.60152588416851893</v>
      </c>
      <c r="BN616" s="531">
        <f t="shared" si="811"/>
        <v>0.60484949083386808</v>
      </c>
      <c r="BO616" s="531">
        <f t="shared" si="811"/>
        <v>0.60484949083386808</v>
      </c>
      <c r="BP616" s="531">
        <f t="shared" si="811"/>
        <v>0.60484949083386808</v>
      </c>
      <c r="BQ616" s="531">
        <f t="shared" si="811"/>
        <v>0.60484949083386808</v>
      </c>
      <c r="BR616" s="531">
        <f t="shared" si="811"/>
        <v>0.60484949083386808</v>
      </c>
      <c r="BS616" s="531">
        <f t="shared" si="811"/>
        <v>0.60484949083386808</v>
      </c>
      <c r="BT616" s="531">
        <f t="shared" si="811"/>
        <v>0.60484949083386808</v>
      </c>
      <c r="BU616" s="531">
        <f t="shared" si="811"/>
        <v>0.60484949083386808</v>
      </c>
      <c r="BV616" s="531">
        <f t="shared" si="811"/>
        <v>0.60484949083386808</v>
      </c>
      <c r="BW616" s="531">
        <f t="shared" si="811"/>
        <v>0.60484949083386808</v>
      </c>
      <c r="BX616" s="531">
        <f t="shared" si="811"/>
        <v>0.60484949083386808</v>
      </c>
      <c r="BY616" s="531">
        <f t="shared" si="811"/>
        <v>0.60484949083386808</v>
      </c>
    </row>
    <row r="617" spans="1:77" x14ac:dyDescent="0.3">
      <c r="A617" s="551"/>
      <c r="B617" s="647"/>
      <c r="C617" s="668"/>
      <c r="D617" s="537"/>
      <c r="E617" s="2"/>
      <c r="F617" s="537"/>
      <c r="G617" s="537"/>
      <c r="H617" s="537"/>
      <c r="I617" s="537"/>
      <c r="J617" s="537"/>
      <c r="K617" s="537"/>
      <c r="L617" s="537"/>
      <c r="M617" s="537"/>
      <c r="N617" s="537"/>
      <c r="O617" s="525"/>
      <c r="P617" s="664"/>
      <c r="Q617" s="537"/>
      <c r="R617" s="537"/>
      <c r="S617" s="537"/>
      <c r="T617" s="537"/>
      <c r="U617" s="537"/>
      <c r="V617" s="537"/>
      <c r="W617" s="537"/>
      <c r="X617" s="537"/>
      <c r="Y617" s="537"/>
      <c r="Z617" s="537"/>
      <c r="AA617" s="537"/>
      <c r="AB617" s="537"/>
      <c r="AC617" s="537"/>
      <c r="AD617" s="537"/>
      <c r="AE617" s="537"/>
      <c r="AF617" s="537"/>
      <c r="AG617" s="537"/>
      <c r="AH617" s="537"/>
      <c r="AI617" s="537"/>
      <c r="AJ617" s="537"/>
      <c r="AK617" s="537"/>
      <c r="AL617" s="537"/>
      <c r="AM617" s="537"/>
      <c r="AN617" s="537"/>
      <c r="AO617" s="537"/>
      <c r="AP617" s="537"/>
      <c r="AQ617" s="537"/>
      <c r="AR617" s="537"/>
      <c r="AS617" s="537"/>
      <c r="AT617" s="537"/>
      <c r="AU617" s="537"/>
      <c r="AV617" s="537"/>
      <c r="AW617" s="537"/>
      <c r="AX617" s="537"/>
      <c r="AY617" s="537"/>
      <c r="AZ617" s="537"/>
      <c r="BA617" s="537"/>
      <c r="BB617" s="537"/>
      <c r="BC617" s="537"/>
      <c r="BD617" s="537"/>
      <c r="BE617" s="537"/>
      <c r="BF617" s="537"/>
      <c r="BG617" s="537"/>
      <c r="BH617" s="537"/>
      <c r="BI617" s="537"/>
      <c r="BJ617" s="537"/>
      <c r="BK617" s="537"/>
      <c r="BL617" s="537"/>
      <c r="BM617" s="537"/>
      <c r="BN617" s="537"/>
      <c r="BO617" s="537"/>
      <c r="BP617" s="537"/>
      <c r="BQ617" s="537"/>
      <c r="BR617" s="537"/>
      <c r="BS617" s="537"/>
      <c r="BT617" s="537"/>
      <c r="BU617" s="537"/>
      <c r="BV617" s="537"/>
      <c r="BW617" s="537"/>
      <c r="BX617" s="537"/>
      <c r="BY617" s="537"/>
    </row>
    <row r="618" spans="1:77" x14ac:dyDescent="0.3">
      <c r="A618" s="551"/>
      <c r="B618" s="647"/>
      <c r="C618" s="668"/>
      <c r="D618" s="537"/>
      <c r="E618" s="2" t="s">
        <v>129</v>
      </c>
      <c r="F618" s="537"/>
      <c r="G618" s="537"/>
      <c r="H618" s="537"/>
      <c r="I618" s="527">
        <f t="shared" ref="I618:N619" si="812">I554/I$571</f>
        <v>-8700</v>
      </c>
      <c r="J618" s="527">
        <f t="shared" si="812"/>
        <v>-8914.6850136986304</v>
      </c>
      <c r="K618" s="527">
        <f t="shared" si="812"/>
        <v>-9121.2663528297708</v>
      </c>
      <c r="L618" s="527">
        <f t="shared" si="812"/>
        <v>-9316.9087696781771</v>
      </c>
      <c r="M618" s="527">
        <f t="shared" si="812"/>
        <v>-9499.5074186751444</v>
      </c>
      <c r="N618" s="527">
        <f t="shared" si="812"/>
        <v>-9683.8004652022137</v>
      </c>
      <c r="O618" s="537"/>
      <c r="P618" s="564">
        <f>IFERROR(((N618/I618)^(1/5))-1,0)</f>
        <v>2.1657472733383143E-2</v>
      </c>
      <c r="Q618" s="537"/>
      <c r="R618" s="527">
        <f t="shared" ref="R618:AW618" si="813">R554/R$571</f>
        <v>-742.89041780821924</v>
      </c>
      <c r="S618" s="527">
        <f t="shared" si="813"/>
        <v>-742.89041780821924</v>
      </c>
      <c r="T618" s="527">
        <f t="shared" si="813"/>
        <v>-742.89041780821924</v>
      </c>
      <c r="U618" s="527">
        <f t="shared" si="813"/>
        <v>-742.89041780821924</v>
      </c>
      <c r="V618" s="527">
        <f t="shared" si="813"/>
        <v>-742.89041780821924</v>
      </c>
      <c r="W618" s="527">
        <f t="shared" si="813"/>
        <v>-742.89041780821924</v>
      </c>
      <c r="X618" s="527">
        <f t="shared" si="813"/>
        <v>-742.89041780821924</v>
      </c>
      <c r="Y618" s="527">
        <f t="shared" si="813"/>
        <v>-742.89041780821924</v>
      </c>
      <c r="Z618" s="527">
        <f t="shared" si="813"/>
        <v>-742.89041780821924</v>
      </c>
      <c r="AA618" s="527">
        <f t="shared" si="813"/>
        <v>-742.89041780821924</v>
      </c>
      <c r="AB618" s="527">
        <f t="shared" si="813"/>
        <v>-742.89041780821924</v>
      </c>
      <c r="AC618" s="527">
        <f t="shared" si="813"/>
        <v>-742.89041780821924</v>
      </c>
      <c r="AD618" s="527">
        <f t="shared" si="813"/>
        <v>-760.1055294024809</v>
      </c>
      <c r="AE618" s="527">
        <f t="shared" si="813"/>
        <v>-760.1055294024809</v>
      </c>
      <c r="AF618" s="527">
        <f t="shared" si="813"/>
        <v>-760.1055294024809</v>
      </c>
      <c r="AG618" s="527">
        <f t="shared" si="813"/>
        <v>-760.1055294024809</v>
      </c>
      <c r="AH618" s="527">
        <f t="shared" si="813"/>
        <v>-760.1055294024809</v>
      </c>
      <c r="AI618" s="527">
        <f t="shared" si="813"/>
        <v>-760.1055294024809</v>
      </c>
      <c r="AJ618" s="527">
        <f t="shared" si="813"/>
        <v>-760.1055294024809</v>
      </c>
      <c r="AK618" s="527">
        <f t="shared" si="813"/>
        <v>-760.1055294024809</v>
      </c>
      <c r="AL618" s="527">
        <f t="shared" si="813"/>
        <v>-760.1055294024809</v>
      </c>
      <c r="AM618" s="527">
        <f t="shared" si="813"/>
        <v>-760.1055294024809</v>
      </c>
      <c r="AN618" s="527">
        <f t="shared" si="813"/>
        <v>-760.1055294024809</v>
      </c>
      <c r="AO618" s="527">
        <f t="shared" si="813"/>
        <v>-760.1055294024809</v>
      </c>
      <c r="AP618" s="527">
        <f t="shared" si="813"/>
        <v>-776.40906413984806</v>
      </c>
      <c r="AQ618" s="527">
        <f t="shared" si="813"/>
        <v>-776.40906413984806</v>
      </c>
      <c r="AR618" s="527">
        <f t="shared" si="813"/>
        <v>-776.40906413984806</v>
      </c>
      <c r="AS618" s="527">
        <f t="shared" si="813"/>
        <v>-776.40906413984806</v>
      </c>
      <c r="AT618" s="527">
        <f t="shared" si="813"/>
        <v>-776.40906413984806</v>
      </c>
      <c r="AU618" s="527">
        <f t="shared" si="813"/>
        <v>-776.40906413984806</v>
      </c>
      <c r="AV618" s="527">
        <f t="shared" si="813"/>
        <v>-776.40906413984806</v>
      </c>
      <c r="AW618" s="527">
        <f t="shared" si="813"/>
        <v>-776.40906413984806</v>
      </c>
      <c r="AX618" s="527">
        <f t="shared" ref="AX618:BY618" si="814">AX554/AX$571</f>
        <v>-776.40906413984806</v>
      </c>
      <c r="AY618" s="527">
        <f t="shared" si="814"/>
        <v>-776.40906413984806</v>
      </c>
      <c r="AZ618" s="527">
        <f t="shared" si="814"/>
        <v>-776.40906413984806</v>
      </c>
      <c r="BA618" s="527">
        <f t="shared" si="814"/>
        <v>-776.40906413984806</v>
      </c>
      <c r="BB618" s="527">
        <f t="shared" si="814"/>
        <v>-791.62561822292867</v>
      </c>
      <c r="BC618" s="527">
        <f t="shared" si="814"/>
        <v>-791.62561822292867</v>
      </c>
      <c r="BD618" s="527">
        <f t="shared" si="814"/>
        <v>-791.62561822292867</v>
      </c>
      <c r="BE618" s="527">
        <f t="shared" si="814"/>
        <v>-791.62561822292867</v>
      </c>
      <c r="BF618" s="527">
        <f t="shared" si="814"/>
        <v>-791.62561822292867</v>
      </c>
      <c r="BG618" s="527">
        <f t="shared" si="814"/>
        <v>-791.62561822292867</v>
      </c>
      <c r="BH618" s="527">
        <f t="shared" si="814"/>
        <v>-791.62561822292867</v>
      </c>
      <c r="BI618" s="527">
        <f t="shared" si="814"/>
        <v>-791.62561822292867</v>
      </c>
      <c r="BJ618" s="527">
        <f t="shared" si="814"/>
        <v>-791.62561822292867</v>
      </c>
      <c r="BK618" s="527">
        <f t="shared" si="814"/>
        <v>-791.62561822292867</v>
      </c>
      <c r="BL618" s="527">
        <f t="shared" si="814"/>
        <v>-791.62561822292867</v>
      </c>
      <c r="BM618" s="527">
        <f t="shared" si="814"/>
        <v>-791.62561822292867</v>
      </c>
      <c r="BN618" s="527">
        <f t="shared" si="814"/>
        <v>-806.98337210018451</v>
      </c>
      <c r="BO618" s="527">
        <f t="shared" si="814"/>
        <v>-806.98337210018451</v>
      </c>
      <c r="BP618" s="527">
        <f t="shared" si="814"/>
        <v>-806.98337210018451</v>
      </c>
      <c r="BQ618" s="527">
        <f t="shared" si="814"/>
        <v>-806.98337210018451</v>
      </c>
      <c r="BR618" s="527">
        <f t="shared" si="814"/>
        <v>-806.98337210018451</v>
      </c>
      <c r="BS618" s="527">
        <f t="shared" si="814"/>
        <v>-806.98337210018451</v>
      </c>
      <c r="BT618" s="527">
        <f t="shared" si="814"/>
        <v>-806.98337210018451</v>
      </c>
      <c r="BU618" s="527">
        <f t="shared" si="814"/>
        <v>-806.98337210018451</v>
      </c>
      <c r="BV618" s="527">
        <f t="shared" si="814"/>
        <v>-806.98337210018451</v>
      </c>
      <c r="BW618" s="527">
        <f t="shared" si="814"/>
        <v>-806.98337210018451</v>
      </c>
      <c r="BX618" s="527">
        <f t="shared" si="814"/>
        <v>-806.98337210018451</v>
      </c>
      <c r="BY618" s="527">
        <f t="shared" si="814"/>
        <v>-806.98337210018451</v>
      </c>
    </row>
    <row r="619" spans="1:77" x14ac:dyDescent="0.3">
      <c r="A619" s="551"/>
      <c r="B619" s="647"/>
      <c r="C619" s="668"/>
      <c r="D619" s="537"/>
      <c r="E619" s="62" t="s">
        <v>292</v>
      </c>
      <c r="F619" s="579"/>
      <c r="G619" s="579"/>
      <c r="H619" s="537"/>
      <c r="I619" s="535">
        <f t="shared" si="812"/>
        <v>86667.645472562654</v>
      </c>
      <c r="J619" s="535">
        <f t="shared" si="812"/>
        <v>90389.579685085555</v>
      </c>
      <c r="K619" s="535">
        <f t="shared" si="812"/>
        <v>94104.27815489826</v>
      </c>
      <c r="L619" s="535">
        <f t="shared" si="812"/>
        <v>97793.319960661524</v>
      </c>
      <c r="M619" s="535">
        <f t="shared" si="812"/>
        <v>101310.89446256815</v>
      </c>
      <c r="N619" s="535">
        <f t="shared" si="812"/>
        <v>104839.75062684354</v>
      </c>
      <c r="O619" s="536"/>
      <c r="P619" s="568">
        <f>IFERROR(((N619/I619)^(1/5))-1,0)</f>
        <v>3.8804437683149562E-2</v>
      </c>
      <c r="Q619" s="537"/>
      <c r="R619" s="535">
        <f t="shared" ref="R619:AW619" si="815">R555/R$571</f>
        <v>7532.4649737571308</v>
      </c>
      <c r="S619" s="535">
        <f t="shared" si="815"/>
        <v>7532.4649737571308</v>
      </c>
      <c r="T619" s="535">
        <f t="shared" si="815"/>
        <v>7532.4649737571308</v>
      </c>
      <c r="U619" s="535">
        <f t="shared" si="815"/>
        <v>7532.4649737571308</v>
      </c>
      <c r="V619" s="535">
        <f t="shared" si="815"/>
        <v>7532.4649737571308</v>
      </c>
      <c r="W619" s="535">
        <f t="shared" si="815"/>
        <v>7532.4649737571308</v>
      </c>
      <c r="X619" s="535">
        <f t="shared" si="815"/>
        <v>7532.4649737571308</v>
      </c>
      <c r="Y619" s="535">
        <f t="shared" si="815"/>
        <v>7532.4649737571308</v>
      </c>
      <c r="Z619" s="535">
        <f t="shared" si="815"/>
        <v>7532.4649737571308</v>
      </c>
      <c r="AA619" s="535">
        <f t="shared" si="815"/>
        <v>7532.4649737571308</v>
      </c>
      <c r="AB619" s="535">
        <f t="shared" si="815"/>
        <v>7532.4649737571308</v>
      </c>
      <c r="AC619" s="535">
        <f t="shared" si="815"/>
        <v>7532.4649737571308</v>
      </c>
      <c r="AD619" s="535">
        <f t="shared" si="815"/>
        <v>7842.023179574855</v>
      </c>
      <c r="AE619" s="535">
        <f t="shared" si="815"/>
        <v>7842.023179574855</v>
      </c>
      <c r="AF619" s="535">
        <f t="shared" si="815"/>
        <v>7842.023179574855</v>
      </c>
      <c r="AG619" s="535">
        <f t="shared" si="815"/>
        <v>7842.023179574855</v>
      </c>
      <c r="AH619" s="535">
        <f t="shared" si="815"/>
        <v>7842.023179574855</v>
      </c>
      <c r="AI619" s="535">
        <f t="shared" si="815"/>
        <v>7842.023179574855</v>
      </c>
      <c r="AJ619" s="535">
        <f t="shared" si="815"/>
        <v>7842.023179574855</v>
      </c>
      <c r="AK619" s="535">
        <f t="shared" si="815"/>
        <v>7842.023179574855</v>
      </c>
      <c r="AL619" s="535">
        <f t="shared" si="815"/>
        <v>7842.023179574855</v>
      </c>
      <c r="AM619" s="535">
        <f t="shared" si="815"/>
        <v>7842.023179574855</v>
      </c>
      <c r="AN619" s="535">
        <f t="shared" si="815"/>
        <v>7842.023179574855</v>
      </c>
      <c r="AO619" s="535">
        <f t="shared" si="815"/>
        <v>7842.023179574855</v>
      </c>
      <c r="AP619" s="535">
        <f t="shared" si="815"/>
        <v>8149.4433300551273</v>
      </c>
      <c r="AQ619" s="535">
        <f t="shared" si="815"/>
        <v>8149.4433300551273</v>
      </c>
      <c r="AR619" s="535">
        <f t="shared" si="815"/>
        <v>8149.4433300551273</v>
      </c>
      <c r="AS619" s="535">
        <f t="shared" si="815"/>
        <v>8149.4433300551273</v>
      </c>
      <c r="AT619" s="535">
        <f t="shared" si="815"/>
        <v>8149.4433300551273</v>
      </c>
      <c r="AU619" s="535">
        <f t="shared" si="815"/>
        <v>8149.4433300551273</v>
      </c>
      <c r="AV619" s="535">
        <f t="shared" si="815"/>
        <v>8149.4433300551273</v>
      </c>
      <c r="AW619" s="535">
        <f t="shared" si="815"/>
        <v>8149.4433300551273</v>
      </c>
      <c r="AX619" s="535">
        <f t="shared" ref="AX619:BY619" si="816">AX555/AX$571</f>
        <v>8149.4433300551273</v>
      </c>
      <c r="AY619" s="535">
        <f t="shared" si="816"/>
        <v>8149.4433300551273</v>
      </c>
      <c r="AZ619" s="535">
        <f t="shared" si="816"/>
        <v>8149.4433300551273</v>
      </c>
      <c r="BA619" s="535">
        <f t="shared" si="816"/>
        <v>8149.4433300551273</v>
      </c>
      <c r="BB619" s="535">
        <f t="shared" si="816"/>
        <v>8442.5745385473474</v>
      </c>
      <c r="BC619" s="535">
        <f t="shared" si="816"/>
        <v>8442.5745385473474</v>
      </c>
      <c r="BD619" s="535">
        <f t="shared" si="816"/>
        <v>8442.5745385473474</v>
      </c>
      <c r="BE619" s="535">
        <f t="shared" si="816"/>
        <v>8442.5745385473474</v>
      </c>
      <c r="BF619" s="535">
        <f t="shared" si="816"/>
        <v>8442.5745385473474</v>
      </c>
      <c r="BG619" s="535">
        <f t="shared" si="816"/>
        <v>8442.5745385473474</v>
      </c>
      <c r="BH619" s="535">
        <f t="shared" si="816"/>
        <v>8442.5745385473474</v>
      </c>
      <c r="BI619" s="535">
        <f t="shared" si="816"/>
        <v>8442.5745385473474</v>
      </c>
      <c r="BJ619" s="535">
        <f t="shared" si="816"/>
        <v>8442.5745385473474</v>
      </c>
      <c r="BK619" s="535">
        <f t="shared" si="816"/>
        <v>8442.5745385473474</v>
      </c>
      <c r="BL619" s="535">
        <f t="shared" si="816"/>
        <v>8442.5745385473474</v>
      </c>
      <c r="BM619" s="535">
        <f t="shared" si="816"/>
        <v>8442.5745385473474</v>
      </c>
      <c r="BN619" s="535">
        <f t="shared" si="816"/>
        <v>8736.6458855702949</v>
      </c>
      <c r="BO619" s="535">
        <f t="shared" si="816"/>
        <v>8736.6458855702949</v>
      </c>
      <c r="BP619" s="535">
        <f t="shared" si="816"/>
        <v>8736.6458855702949</v>
      </c>
      <c r="BQ619" s="535">
        <f t="shared" si="816"/>
        <v>8736.6458855702949</v>
      </c>
      <c r="BR619" s="535">
        <f t="shared" si="816"/>
        <v>8736.6458855702949</v>
      </c>
      <c r="BS619" s="535">
        <f t="shared" si="816"/>
        <v>8736.6458855702949</v>
      </c>
      <c r="BT619" s="535">
        <f t="shared" si="816"/>
        <v>8736.6458855702949</v>
      </c>
      <c r="BU619" s="535">
        <f t="shared" si="816"/>
        <v>8736.6458855702949</v>
      </c>
      <c r="BV619" s="535">
        <f t="shared" si="816"/>
        <v>8736.6458855702949</v>
      </c>
      <c r="BW619" s="535">
        <f t="shared" si="816"/>
        <v>8736.6458855702949</v>
      </c>
      <c r="BX619" s="535">
        <f t="shared" si="816"/>
        <v>8736.6458855702949</v>
      </c>
      <c r="BY619" s="535">
        <f t="shared" si="816"/>
        <v>8736.6458855702949</v>
      </c>
    </row>
    <row r="620" spans="1:77" x14ac:dyDescent="0.3">
      <c r="A620" s="551"/>
      <c r="B620" s="647"/>
      <c r="C620" s="668"/>
      <c r="D620" s="537"/>
      <c r="E620" s="692" t="s">
        <v>406</v>
      </c>
      <c r="F620" s="537"/>
      <c r="G620" s="537"/>
      <c r="H620" s="529"/>
      <c r="I620" s="531">
        <f t="shared" ref="I620:N620" si="817">I619/I615</f>
        <v>0.90877409254585195</v>
      </c>
      <c r="J620" s="531">
        <f t="shared" si="817"/>
        <v>0.91022857839248694</v>
      </c>
      <c r="K620" s="531">
        <f t="shared" si="817"/>
        <v>0.91163750797994669</v>
      </c>
      <c r="L620" s="531">
        <f t="shared" si="817"/>
        <v>0.91301569532509919</v>
      </c>
      <c r="M620" s="531">
        <f t="shared" si="817"/>
        <v>0.91427242156511745</v>
      </c>
      <c r="N620" s="531">
        <f t="shared" si="817"/>
        <v>0.91544271573085367</v>
      </c>
      <c r="O620" s="546"/>
      <c r="P620" s="564">
        <f>IFERROR(((N620/I620)^(1/5))-1,0)</f>
        <v>1.4633196792610548E-3</v>
      </c>
      <c r="Q620" s="537"/>
      <c r="R620" s="531">
        <f t="shared" ref="R620:AW620" si="818">R619/R615</f>
        <v>0.91022857839248694</v>
      </c>
      <c r="S620" s="531">
        <f t="shared" si="818"/>
        <v>0.91022857839248694</v>
      </c>
      <c r="T620" s="531">
        <f t="shared" si="818"/>
        <v>0.91022857839248694</v>
      </c>
      <c r="U620" s="531">
        <f t="shared" si="818"/>
        <v>0.91022857839248694</v>
      </c>
      <c r="V620" s="531">
        <f t="shared" si="818"/>
        <v>0.91022857839248694</v>
      </c>
      <c r="W620" s="531">
        <f t="shared" si="818"/>
        <v>0.91022857839248694</v>
      </c>
      <c r="X620" s="531">
        <f t="shared" si="818"/>
        <v>0.91022857839248694</v>
      </c>
      <c r="Y620" s="531">
        <f t="shared" si="818"/>
        <v>0.91022857839248694</v>
      </c>
      <c r="Z620" s="531">
        <f t="shared" si="818"/>
        <v>0.91022857839248694</v>
      </c>
      <c r="AA620" s="531">
        <f t="shared" si="818"/>
        <v>0.91022857839248694</v>
      </c>
      <c r="AB620" s="531">
        <f t="shared" si="818"/>
        <v>0.91022857839248694</v>
      </c>
      <c r="AC620" s="531">
        <f t="shared" si="818"/>
        <v>0.91022857839248694</v>
      </c>
      <c r="AD620" s="531">
        <f t="shared" si="818"/>
        <v>0.91163750797994669</v>
      </c>
      <c r="AE620" s="531">
        <f t="shared" si="818"/>
        <v>0.91163750797994669</v>
      </c>
      <c r="AF620" s="531">
        <f t="shared" si="818"/>
        <v>0.91163750797994669</v>
      </c>
      <c r="AG620" s="531">
        <f t="shared" si="818"/>
        <v>0.91163750797994669</v>
      </c>
      <c r="AH620" s="531">
        <f t="shared" si="818"/>
        <v>0.91163750797994669</v>
      </c>
      <c r="AI620" s="531">
        <f t="shared" si="818"/>
        <v>0.91163750797994669</v>
      </c>
      <c r="AJ620" s="531">
        <f t="shared" si="818"/>
        <v>0.91163750797994669</v>
      </c>
      <c r="AK620" s="531">
        <f t="shared" si="818"/>
        <v>0.91163750797994669</v>
      </c>
      <c r="AL620" s="531">
        <f t="shared" si="818"/>
        <v>0.91163750797994669</v>
      </c>
      <c r="AM620" s="531">
        <f t="shared" si="818"/>
        <v>0.91163750797994669</v>
      </c>
      <c r="AN620" s="531">
        <f t="shared" si="818"/>
        <v>0.91163750797994669</v>
      </c>
      <c r="AO620" s="531">
        <f t="shared" si="818"/>
        <v>0.91163750797994669</v>
      </c>
      <c r="AP620" s="531">
        <f t="shared" si="818"/>
        <v>0.9130156953250993</v>
      </c>
      <c r="AQ620" s="531">
        <f t="shared" si="818"/>
        <v>0.9130156953250993</v>
      </c>
      <c r="AR620" s="531">
        <f t="shared" si="818"/>
        <v>0.9130156953250993</v>
      </c>
      <c r="AS620" s="531">
        <f t="shared" si="818"/>
        <v>0.9130156953250993</v>
      </c>
      <c r="AT620" s="531">
        <f t="shared" si="818"/>
        <v>0.9130156953250993</v>
      </c>
      <c r="AU620" s="531">
        <f t="shared" si="818"/>
        <v>0.9130156953250993</v>
      </c>
      <c r="AV620" s="531">
        <f t="shared" si="818"/>
        <v>0.9130156953250993</v>
      </c>
      <c r="AW620" s="531">
        <f t="shared" si="818"/>
        <v>0.9130156953250993</v>
      </c>
      <c r="AX620" s="531">
        <f t="shared" ref="AX620:BY620" si="819">AX619/AX615</f>
        <v>0.9130156953250993</v>
      </c>
      <c r="AY620" s="531">
        <f t="shared" si="819"/>
        <v>0.9130156953250993</v>
      </c>
      <c r="AZ620" s="531">
        <f t="shared" si="819"/>
        <v>0.9130156953250993</v>
      </c>
      <c r="BA620" s="531">
        <f t="shared" si="819"/>
        <v>0.9130156953250993</v>
      </c>
      <c r="BB620" s="531">
        <f t="shared" si="819"/>
        <v>0.91427242156511745</v>
      </c>
      <c r="BC620" s="531">
        <f t="shared" si="819"/>
        <v>0.91427242156511745</v>
      </c>
      <c r="BD620" s="531">
        <f t="shared" si="819"/>
        <v>0.91427242156511745</v>
      </c>
      <c r="BE620" s="531">
        <f t="shared" si="819"/>
        <v>0.91427242156511745</v>
      </c>
      <c r="BF620" s="531">
        <f t="shared" si="819"/>
        <v>0.91427242156511745</v>
      </c>
      <c r="BG620" s="531">
        <f t="shared" si="819"/>
        <v>0.91427242156511745</v>
      </c>
      <c r="BH620" s="531">
        <f t="shared" si="819"/>
        <v>0.91427242156511745</v>
      </c>
      <c r="BI620" s="531">
        <f t="shared" si="819"/>
        <v>0.91427242156511745</v>
      </c>
      <c r="BJ620" s="531">
        <f t="shared" si="819"/>
        <v>0.91427242156511745</v>
      </c>
      <c r="BK620" s="531">
        <f t="shared" si="819"/>
        <v>0.91427242156511745</v>
      </c>
      <c r="BL620" s="531">
        <f t="shared" si="819"/>
        <v>0.91427242156511745</v>
      </c>
      <c r="BM620" s="531">
        <f t="shared" si="819"/>
        <v>0.91427242156511745</v>
      </c>
      <c r="BN620" s="531">
        <f t="shared" si="819"/>
        <v>0.91544271573085367</v>
      </c>
      <c r="BO620" s="531">
        <f t="shared" si="819"/>
        <v>0.91544271573085367</v>
      </c>
      <c r="BP620" s="531">
        <f t="shared" si="819"/>
        <v>0.91544271573085367</v>
      </c>
      <c r="BQ620" s="531">
        <f t="shared" si="819"/>
        <v>0.91544271573085367</v>
      </c>
      <c r="BR620" s="531">
        <f t="shared" si="819"/>
        <v>0.91544271573085367</v>
      </c>
      <c r="BS620" s="531">
        <f t="shared" si="819"/>
        <v>0.91544271573085367</v>
      </c>
      <c r="BT620" s="531">
        <f t="shared" si="819"/>
        <v>0.91544271573085367</v>
      </c>
      <c r="BU620" s="531">
        <f t="shared" si="819"/>
        <v>0.91544271573085367</v>
      </c>
      <c r="BV620" s="531">
        <f t="shared" si="819"/>
        <v>0.91544271573085367</v>
      </c>
      <c r="BW620" s="531">
        <f t="shared" si="819"/>
        <v>0.91544271573085367</v>
      </c>
      <c r="BX620" s="531">
        <f t="shared" si="819"/>
        <v>0.91544271573085367</v>
      </c>
      <c r="BY620" s="531">
        <f t="shared" si="819"/>
        <v>0.91544271573085367</v>
      </c>
    </row>
    <row r="621" spans="1:77" x14ac:dyDescent="0.3">
      <c r="A621" s="551"/>
      <c r="B621" s="647"/>
      <c r="C621" s="668"/>
      <c r="D621" s="537"/>
      <c r="E621" s="2"/>
      <c r="F621" s="537"/>
      <c r="G621" s="537"/>
      <c r="H621" s="537"/>
      <c r="I621" s="537"/>
      <c r="J621" s="537"/>
      <c r="K621" s="537"/>
      <c r="L621" s="537"/>
      <c r="M621" s="537"/>
      <c r="N621" s="537"/>
      <c r="O621" s="529"/>
      <c r="P621" s="660"/>
      <c r="Q621" s="537"/>
      <c r="R621" s="537"/>
      <c r="S621" s="537"/>
      <c r="T621" s="537"/>
      <c r="U621" s="537"/>
      <c r="V621" s="537"/>
      <c r="W621" s="537"/>
      <c r="X621" s="537"/>
      <c r="Y621" s="537"/>
      <c r="Z621" s="537"/>
      <c r="AA621" s="537"/>
      <c r="AB621" s="537"/>
      <c r="AC621" s="537"/>
      <c r="AD621" s="537"/>
      <c r="AE621" s="537"/>
      <c r="AF621" s="537"/>
      <c r="AG621" s="537"/>
      <c r="AH621" s="537"/>
      <c r="AI621" s="537"/>
      <c r="AJ621" s="537"/>
      <c r="AK621" s="537"/>
      <c r="AL621" s="537"/>
      <c r="AM621" s="537"/>
      <c r="AN621" s="537"/>
      <c r="AO621" s="537"/>
      <c r="AP621" s="537"/>
      <c r="AQ621" s="537"/>
      <c r="AR621" s="537"/>
      <c r="AS621" s="537"/>
      <c r="AT621" s="537"/>
      <c r="AU621" s="537"/>
      <c r="AV621" s="537"/>
      <c r="AW621" s="537"/>
      <c r="AX621" s="537"/>
      <c r="AY621" s="537"/>
      <c r="AZ621" s="537"/>
      <c r="BA621" s="537"/>
      <c r="BB621" s="537"/>
      <c r="BC621" s="537"/>
      <c r="BD621" s="537"/>
      <c r="BE621" s="537"/>
      <c r="BF621" s="537"/>
      <c r="BG621" s="537"/>
      <c r="BH621" s="537"/>
      <c r="BI621" s="537"/>
      <c r="BJ621" s="537"/>
      <c r="BK621" s="537"/>
      <c r="BL621" s="537"/>
      <c r="BM621" s="537"/>
      <c r="BN621" s="537"/>
      <c r="BO621" s="537"/>
      <c r="BP621" s="537"/>
      <c r="BQ621" s="537"/>
      <c r="BR621" s="537"/>
      <c r="BS621" s="537"/>
      <c r="BT621" s="537"/>
      <c r="BU621" s="537"/>
      <c r="BV621" s="537"/>
      <c r="BW621" s="537"/>
      <c r="BX621" s="537"/>
      <c r="BY621" s="537"/>
    </row>
    <row r="622" spans="1:77" x14ac:dyDescent="0.3">
      <c r="A622" s="551"/>
      <c r="B622" s="647"/>
      <c r="C622" s="668"/>
      <c r="D622" s="537"/>
      <c r="E622" s="2" t="s">
        <v>52</v>
      </c>
      <c r="F622" s="567"/>
      <c r="G622" s="567"/>
      <c r="H622" s="537"/>
      <c r="I622" s="527">
        <f t="shared" ref="I622:N623" si="820">I558/I$571</f>
        <v>-12914.288365217386</v>
      </c>
      <c r="J622" s="527">
        <f t="shared" si="820"/>
        <v>-8160</v>
      </c>
      <c r="K622" s="527">
        <f t="shared" si="820"/>
        <v>-8323.2000000000007</v>
      </c>
      <c r="L622" s="527">
        <f t="shared" si="820"/>
        <v>-8489.6640000000007</v>
      </c>
      <c r="M622" s="527">
        <f t="shared" si="820"/>
        <v>-8659.4572799999987</v>
      </c>
      <c r="N622" s="527">
        <f t="shared" si="820"/>
        <v>-8832.6464255999999</v>
      </c>
      <c r="O622" s="529"/>
      <c r="P622" s="564">
        <f>IFERROR(((N622/I622)^(1/5))-1,0)</f>
        <v>-7.3161483863233734E-2</v>
      </c>
      <c r="Q622" s="537"/>
      <c r="R622" s="527">
        <f t="shared" ref="R622:AW622" si="821">R558/R$571</f>
        <v>-680</v>
      </c>
      <c r="S622" s="527">
        <f t="shared" si="821"/>
        <v>-680</v>
      </c>
      <c r="T622" s="527">
        <f t="shared" si="821"/>
        <v>-680</v>
      </c>
      <c r="U622" s="527">
        <f t="shared" si="821"/>
        <v>-680</v>
      </c>
      <c r="V622" s="527">
        <f t="shared" si="821"/>
        <v>-680</v>
      </c>
      <c r="W622" s="527">
        <f t="shared" si="821"/>
        <v>-680</v>
      </c>
      <c r="X622" s="527">
        <f t="shared" si="821"/>
        <v>-680</v>
      </c>
      <c r="Y622" s="527">
        <f t="shared" si="821"/>
        <v>-680</v>
      </c>
      <c r="Z622" s="527">
        <f t="shared" si="821"/>
        <v>-680</v>
      </c>
      <c r="AA622" s="527">
        <f t="shared" si="821"/>
        <v>-680</v>
      </c>
      <c r="AB622" s="527">
        <f t="shared" si="821"/>
        <v>-680</v>
      </c>
      <c r="AC622" s="527">
        <f t="shared" si="821"/>
        <v>-680</v>
      </c>
      <c r="AD622" s="527">
        <f t="shared" si="821"/>
        <v>-693.6</v>
      </c>
      <c r="AE622" s="527">
        <f t="shared" si="821"/>
        <v>-693.6</v>
      </c>
      <c r="AF622" s="527">
        <f t="shared" si="821"/>
        <v>-693.6</v>
      </c>
      <c r="AG622" s="527">
        <f t="shared" si="821"/>
        <v>-693.6</v>
      </c>
      <c r="AH622" s="527">
        <f t="shared" si="821"/>
        <v>-693.6</v>
      </c>
      <c r="AI622" s="527">
        <f t="shared" si="821"/>
        <v>-693.6</v>
      </c>
      <c r="AJ622" s="527">
        <f t="shared" si="821"/>
        <v>-693.6</v>
      </c>
      <c r="AK622" s="527">
        <f t="shared" si="821"/>
        <v>-693.6</v>
      </c>
      <c r="AL622" s="527">
        <f t="shared" si="821"/>
        <v>-693.6</v>
      </c>
      <c r="AM622" s="527">
        <f t="shared" si="821"/>
        <v>-693.6</v>
      </c>
      <c r="AN622" s="527">
        <f t="shared" si="821"/>
        <v>-693.6</v>
      </c>
      <c r="AO622" s="527">
        <f t="shared" si="821"/>
        <v>-693.6</v>
      </c>
      <c r="AP622" s="527">
        <f t="shared" si="821"/>
        <v>-707.47199999999998</v>
      </c>
      <c r="AQ622" s="527">
        <f t="shared" si="821"/>
        <v>-707.47199999999998</v>
      </c>
      <c r="AR622" s="527">
        <f t="shared" si="821"/>
        <v>-707.47199999999998</v>
      </c>
      <c r="AS622" s="527">
        <f t="shared" si="821"/>
        <v>-707.47199999999998</v>
      </c>
      <c r="AT622" s="527">
        <f t="shared" si="821"/>
        <v>-707.47199999999998</v>
      </c>
      <c r="AU622" s="527">
        <f t="shared" si="821"/>
        <v>-707.47199999999998</v>
      </c>
      <c r="AV622" s="527">
        <f t="shared" si="821"/>
        <v>-707.47199999999998</v>
      </c>
      <c r="AW622" s="527">
        <f t="shared" si="821"/>
        <v>-707.47199999999998</v>
      </c>
      <c r="AX622" s="527">
        <f t="shared" ref="AX622:BY622" si="822">AX558/AX$571</f>
        <v>-707.47199999999998</v>
      </c>
      <c r="AY622" s="527">
        <f t="shared" si="822"/>
        <v>-707.47199999999998</v>
      </c>
      <c r="AZ622" s="527">
        <f t="shared" si="822"/>
        <v>-707.47199999999998</v>
      </c>
      <c r="BA622" s="527">
        <f t="shared" si="822"/>
        <v>-707.47199999999998</v>
      </c>
      <c r="BB622" s="527">
        <f t="shared" si="822"/>
        <v>-721.62144000000001</v>
      </c>
      <c r="BC622" s="527">
        <f t="shared" si="822"/>
        <v>-721.62144000000001</v>
      </c>
      <c r="BD622" s="527">
        <f t="shared" si="822"/>
        <v>-721.62144000000001</v>
      </c>
      <c r="BE622" s="527">
        <f t="shared" si="822"/>
        <v>-721.62144000000001</v>
      </c>
      <c r="BF622" s="527">
        <f t="shared" si="822"/>
        <v>-721.62144000000001</v>
      </c>
      <c r="BG622" s="527">
        <f t="shared" si="822"/>
        <v>-721.62144000000001</v>
      </c>
      <c r="BH622" s="527">
        <f t="shared" si="822"/>
        <v>-721.62144000000001</v>
      </c>
      <c r="BI622" s="527">
        <f t="shared" si="822"/>
        <v>-721.62144000000001</v>
      </c>
      <c r="BJ622" s="527">
        <f t="shared" si="822"/>
        <v>-721.62144000000001</v>
      </c>
      <c r="BK622" s="527">
        <f t="shared" si="822"/>
        <v>-721.62144000000001</v>
      </c>
      <c r="BL622" s="527">
        <f t="shared" si="822"/>
        <v>-721.62144000000001</v>
      </c>
      <c r="BM622" s="527">
        <f t="shared" si="822"/>
        <v>-721.62144000000001</v>
      </c>
      <c r="BN622" s="527">
        <f t="shared" si="822"/>
        <v>-736.05386879999992</v>
      </c>
      <c r="BO622" s="527">
        <f t="shared" si="822"/>
        <v>-736.05386879999992</v>
      </c>
      <c r="BP622" s="527">
        <f t="shared" si="822"/>
        <v>-736.05386879999992</v>
      </c>
      <c r="BQ622" s="527">
        <f t="shared" si="822"/>
        <v>-736.05386879999992</v>
      </c>
      <c r="BR622" s="527">
        <f t="shared" si="822"/>
        <v>-736.05386879999992</v>
      </c>
      <c r="BS622" s="527">
        <f t="shared" si="822"/>
        <v>-736.05386879999992</v>
      </c>
      <c r="BT622" s="527">
        <f t="shared" si="822"/>
        <v>-736.05386879999992</v>
      </c>
      <c r="BU622" s="527">
        <f t="shared" si="822"/>
        <v>-736.05386879999992</v>
      </c>
      <c r="BV622" s="527">
        <f t="shared" si="822"/>
        <v>-736.05386879999992</v>
      </c>
      <c r="BW622" s="527">
        <f t="shared" si="822"/>
        <v>-736.05386879999992</v>
      </c>
      <c r="BX622" s="527">
        <f t="shared" si="822"/>
        <v>-736.05386879999992</v>
      </c>
      <c r="BY622" s="527">
        <f t="shared" si="822"/>
        <v>-736.05386879999992</v>
      </c>
    </row>
    <row r="623" spans="1:77" x14ac:dyDescent="0.3">
      <c r="A623" s="551"/>
      <c r="B623" s="647"/>
      <c r="C623" s="668"/>
      <c r="D623" s="537"/>
      <c r="E623" s="2" t="s">
        <v>69</v>
      </c>
      <c r="F623" s="567"/>
      <c r="G623" s="567"/>
      <c r="H623" s="537"/>
      <c r="I623" s="527">
        <f t="shared" si="820"/>
        <v>-1430.5146820884397</v>
      </c>
      <c r="J623" s="527">
        <f t="shared" si="820"/>
        <v>-1489.5639704817625</v>
      </c>
      <c r="K623" s="527">
        <f t="shared" si="820"/>
        <v>-1548.3831676159202</v>
      </c>
      <c r="L623" s="527">
        <f t="shared" si="820"/>
        <v>-1606.6534309550955</v>
      </c>
      <c r="M623" s="527">
        <f t="shared" si="820"/>
        <v>-1662.1560282186495</v>
      </c>
      <c r="N623" s="527">
        <f t="shared" si="820"/>
        <v>-1717.8532663806866</v>
      </c>
      <c r="O623" s="529"/>
      <c r="P623" s="564">
        <f t="shared" ref="P623:P631" si="823">IFERROR(((N623/I623)^(1/5))-1,0)</f>
        <v>3.7286555852937164E-2</v>
      </c>
      <c r="Q623" s="537"/>
      <c r="R623" s="527">
        <f t="shared" ref="R623:AW623" si="824">R559/R$571</f>
        <v>-124.13033087348025</v>
      </c>
      <c r="S623" s="527">
        <f t="shared" si="824"/>
        <v>-124.13033087348025</v>
      </c>
      <c r="T623" s="527">
        <f t="shared" si="824"/>
        <v>-124.13033087348025</v>
      </c>
      <c r="U623" s="527">
        <f t="shared" si="824"/>
        <v>-124.13033087348025</v>
      </c>
      <c r="V623" s="527">
        <f t="shared" si="824"/>
        <v>-124.13033087348025</v>
      </c>
      <c r="W623" s="527">
        <f t="shared" si="824"/>
        <v>-124.13033087348025</v>
      </c>
      <c r="X623" s="527">
        <f t="shared" si="824"/>
        <v>-124.13033087348025</v>
      </c>
      <c r="Y623" s="527">
        <f t="shared" si="824"/>
        <v>-124.13033087348025</v>
      </c>
      <c r="Z623" s="527">
        <f t="shared" si="824"/>
        <v>-124.13033087348025</v>
      </c>
      <c r="AA623" s="527">
        <f t="shared" si="824"/>
        <v>-124.13033087348025</v>
      </c>
      <c r="AB623" s="527">
        <f t="shared" si="824"/>
        <v>-124.13033087348025</v>
      </c>
      <c r="AC623" s="527">
        <f t="shared" si="824"/>
        <v>-124.13033087348025</v>
      </c>
      <c r="AD623" s="527">
        <f t="shared" si="824"/>
        <v>-129.03193063466003</v>
      </c>
      <c r="AE623" s="527">
        <f t="shared" si="824"/>
        <v>-129.03193063466003</v>
      </c>
      <c r="AF623" s="527">
        <f t="shared" si="824"/>
        <v>-129.03193063466003</v>
      </c>
      <c r="AG623" s="527">
        <f t="shared" si="824"/>
        <v>-129.03193063466003</v>
      </c>
      <c r="AH623" s="527">
        <f t="shared" si="824"/>
        <v>-129.03193063466003</v>
      </c>
      <c r="AI623" s="527">
        <f t="shared" si="824"/>
        <v>-129.03193063466003</v>
      </c>
      <c r="AJ623" s="527">
        <f t="shared" si="824"/>
        <v>-129.03193063466003</v>
      </c>
      <c r="AK623" s="527">
        <f t="shared" si="824"/>
        <v>-129.03193063466003</v>
      </c>
      <c r="AL623" s="527">
        <f t="shared" si="824"/>
        <v>-129.03193063466003</v>
      </c>
      <c r="AM623" s="527">
        <f t="shared" si="824"/>
        <v>-129.03193063466003</v>
      </c>
      <c r="AN623" s="527">
        <f t="shared" si="824"/>
        <v>-129.03193063466003</v>
      </c>
      <c r="AO623" s="527">
        <f t="shared" si="824"/>
        <v>-129.03193063466003</v>
      </c>
      <c r="AP623" s="527">
        <f t="shared" si="824"/>
        <v>-133.88778591292461</v>
      </c>
      <c r="AQ623" s="527">
        <f t="shared" si="824"/>
        <v>-133.88778591292461</v>
      </c>
      <c r="AR623" s="527">
        <f t="shared" si="824"/>
        <v>-133.88778591292461</v>
      </c>
      <c r="AS623" s="527">
        <f t="shared" si="824"/>
        <v>-133.88778591292461</v>
      </c>
      <c r="AT623" s="527">
        <f t="shared" si="824"/>
        <v>-133.88778591292461</v>
      </c>
      <c r="AU623" s="527">
        <f t="shared" si="824"/>
        <v>-133.88778591292461</v>
      </c>
      <c r="AV623" s="527">
        <f t="shared" si="824"/>
        <v>-133.88778591292461</v>
      </c>
      <c r="AW623" s="527">
        <f t="shared" si="824"/>
        <v>-133.88778591292461</v>
      </c>
      <c r="AX623" s="527">
        <f t="shared" ref="AX623:BY623" si="825">AX559/AX$571</f>
        <v>-133.88778591292461</v>
      </c>
      <c r="AY623" s="527">
        <f t="shared" si="825"/>
        <v>-133.88778591292461</v>
      </c>
      <c r="AZ623" s="527">
        <f t="shared" si="825"/>
        <v>-133.88778591292461</v>
      </c>
      <c r="BA623" s="527">
        <f t="shared" si="825"/>
        <v>-133.88778591292461</v>
      </c>
      <c r="BB623" s="527">
        <f t="shared" si="825"/>
        <v>-138.51300235155415</v>
      </c>
      <c r="BC623" s="527">
        <f t="shared" si="825"/>
        <v>-138.51300235155415</v>
      </c>
      <c r="BD623" s="527">
        <f t="shared" si="825"/>
        <v>-138.51300235155415</v>
      </c>
      <c r="BE623" s="527">
        <f t="shared" si="825"/>
        <v>-138.51300235155415</v>
      </c>
      <c r="BF623" s="527">
        <f t="shared" si="825"/>
        <v>-138.51300235155415</v>
      </c>
      <c r="BG623" s="527">
        <f t="shared" si="825"/>
        <v>-138.51300235155415</v>
      </c>
      <c r="BH623" s="527">
        <f t="shared" si="825"/>
        <v>-138.51300235155415</v>
      </c>
      <c r="BI623" s="527">
        <f t="shared" si="825"/>
        <v>-138.51300235155415</v>
      </c>
      <c r="BJ623" s="527">
        <f t="shared" si="825"/>
        <v>-138.51300235155415</v>
      </c>
      <c r="BK623" s="527">
        <f t="shared" si="825"/>
        <v>-138.51300235155415</v>
      </c>
      <c r="BL623" s="527">
        <f t="shared" si="825"/>
        <v>-138.51300235155415</v>
      </c>
      <c r="BM623" s="527">
        <f t="shared" si="825"/>
        <v>-138.51300235155415</v>
      </c>
      <c r="BN623" s="527">
        <f t="shared" si="825"/>
        <v>-143.15443886505719</v>
      </c>
      <c r="BO623" s="527">
        <f t="shared" si="825"/>
        <v>-143.15443886505719</v>
      </c>
      <c r="BP623" s="527">
        <f t="shared" si="825"/>
        <v>-143.15443886505719</v>
      </c>
      <c r="BQ623" s="527">
        <f t="shared" si="825"/>
        <v>-143.15443886505719</v>
      </c>
      <c r="BR623" s="527">
        <f t="shared" si="825"/>
        <v>-143.15443886505719</v>
      </c>
      <c r="BS623" s="527">
        <f t="shared" si="825"/>
        <v>-143.15443886505719</v>
      </c>
      <c r="BT623" s="527">
        <f t="shared" si="825"/>
        <v>-143.15443886505719</v>
      </c>
      <c r="BU623" s="527">
        <f t="shared" si="825"/>
        <v>-143.15443886505719</v>
      </c>
      <c r="BV623" s="527">
        <f t="shared" si="825"/>
        <v>-143.15443886505719</v>
      </c>
      <c r="BW623" s="527">
        <f t="shared" si="825"/>
        <v>-143.15443886505719</v>
      </c>
      <c r="BX623" s="527">
        <f t="shared" si="825"/>
        <v>-143.15443886505719</v>
      </c>
      <c r="BY623" s="527">
        <f t="shared" si="825"/>
        <v>-143.15443886505719</v>
      </c>
    </row>
    <row r="624" spans="1:77" x14ac:dyDescent="0.3">
      <c r="A624" s="551"/>
      <c r="B624" s="647"/>
      <c r="C624" s="668"/>
      <c r="D624" s="537"/>
      <c r="E624" s="2" t="s">
        <v>184</v>
      </c>
      <c r="F624" s="567"/>
      <c r="G624" s="567"/>
      <c r="H624" s="537"/>
      <c r="I624" s="580">
        <v>0</v>
      </c>
      <c r="J624" s="528">
        <v>0</v>
      </c>
      <c r="K624" s="528">
        <v>0</v>
      </c>
      <c r="L624" s="528">
        <v>0</v>
      </c>
      <c r="M624" s="528">
        <v>0</v>
      </c>
      <c r="N624" s="528">
        <v>0</v>
      </c>
      <c r="O624" s="544"/>
      <c r="P624" s="564">
        <f>IFERROR(((N624/I624)^(1/5))-1,0)</f>
        <v>0</v>
      </c>
      <c r="Q624" s="537"/>
      <c r="R624" s="528">
        <v>0</v>
      </c>
      <c r="S624" s="528">
        <v>0</v>
      </c>
      <c r="T624" s="528">
        <v>0</v>
      </c>
      <c r="U624" s="528">
        <v>0</v>
      </c>
      <c r="V624" s="528">
        <v>0</v>
      </c>
      <c r="W624" s="528">
        <v>0</v>
      </c>
      <c r="X624" s="528">
        <v>0</v>
      </c>
      <c r="Y624" s="528">
        <v>0</v>
      </c>
      <c r="Z624" s="528">
        <v>0</v>
      </c>
      <c r="AA624" s="528">
        <v>0</v>
      </c>
      <c r="AB624" s="528">
        <v>0</v>
      </c>
      <c r="AC624" s="528">
        <v>0</v>
      </c>
      <c r="AD624" s="528">
        <v>0</v>
      </c>
      <c r="AE624" s="528">
        <v>0</v>
      </c>
      <c r="AF624" s="528">
        <v>0</v>
      </c>
      <c r="AG624" s="528">
        <v>0</v>
      </c>
      <c r="AH624" s="528">
        <v>0</v>
      </c>
      <c r="AI624" s="528">
        <v>0</v>
      </c>
      <c r="AJ624" s="528">
        <v>0</v>
      </c>
      <c r="AK624" s="528">
        <v>0</v>
      </c>
      <c r="AL624" s="528">
        <v>0</v>
      </c>
      <c r="AM624" s="528">
        <v>0</v>
      </c>
      <c r="AN624" s="528">
        <v>0</v>
      </c>
      <c r="AO624" s="528">
        <v>0</v>
      </c>
      <c r="AP624" s="528">
        <v>0</v>
      </c>
      <c r="AQ624" s="528">
        <v>0</v>
      </c>
      <c r="AR624" s="528">
        <v>0</v>
      </c>
      <c r="AS624" s="528">
        <v>0</v>
      </c>
      <c r="AT624" s="528">
        <v>0</v>
      </c>
      <c r="AU624" s="528">
        <v>0</v>
      </c>
      <c r="AV624" s="528">
        <v>0</v>
      </c>
      <c r="AW624" s="528">
        <v>0</v>
      </c>
      <c r="AX624" s="528">
        <v>0</v>
      </c>
      <c r="AY624" s="528">
        <v>0</v>
      </c>
      <c r="AZ624" s="528">
        <v>0</v>
      </c>
      <c r="BA624" s="528">
        <v>0</v>
      </c>
      <c r="BB624" s="528">
        <v>0</v>
      </c>
      <c r="BC624" s="528">
        <v>0</v>
      </c>
      <c r="BD624" s="528">
        <v>0</v>
      </c>
      <c r="BE624" s="528">
        <v>0</v>
      </c>
      <c r="BF624" s="528">
        <v>0</v>
      </c>
      <c r="BG624" s="528">
        <v>0</v>
      </c>
      <c r="BH624" s="528">
        <v>0</v>
      </c>
      <c r="BI624" s="528">
        <v>0</v>
      </c>
      <c r="BJ624" s="528">
        <v>0</v>
      </c>
      <c r="BK624" s="528">
        <v>0</v>
      </c>
      <c r="BL624" s="528">
        <v>0</v>
      </c>
      <c r="BM624" s="528">
        <v>0</v>
      </c>
      <c r="BN624" s="528">
        <v>0</v>
      </c>
      <c r="BO624" s="528">
        <v>0</v>
      </c>
      <c r="BP624" s="528">
        <v>0</v>
      </c>
      <c r="BQ624" s="528">
        <v>0</v>
      </c>
      <c r="BR624" s="528">
        <v>0</v>
      </c>
      <c r="BS624" s="528">
        <v>0</v>
      </c>
      <c r="BT624" s="528">
        <v>0</v>
      </c>
      <c r="BU624" s="528">
        <v>0</v>
      </c>
      <c r="BV624" s="528">
        <v>0</v>
      </c>
      <c r="BW624" s="528">
        <v>0</v>
      </c>
      <c r="BX624" s="528">
        <v>0</v>
      </c>
      <c r="BY624" s="528">
        <v>0</v>
      </c>
    </row>
    <row r="625" spans="1:77" x14ac:dyDescent="0.3">
      <c r="A625" s="551"/>
      <c r="B625" s="647"/>
      <c r="C625" s="668"/>
      <c r="D625" s="537"/>
      <c r="E625" s="62" t="s">
        <v>293</v>
      </c>
      <c r="F625" s="579"/>
      <c r="G625" s="579"/>
      <c r="H625" s="537"/>
      <c r="I625" s="535">
        <f t="shared" ref="I625:N625" si="826">I561/I$571</f>
        <v>72322.842425256837</v>
      </c>
      <c r="J625" s="535">
        <f t="shared" si="826"/>
        <v>80740.015714603796</v>
      </c>
      <c r="K625" s="535">
        <f t="shared" si="826"/>
        <v>84232.694987282332</v>
      </c>
      <c r="L625" s="535">
        <f t="shared" si="826"/>
        <v>87697.002529706428</v>
      </c>
      <c r="M625" s="535">
        <f t="shared" si="826"/>
        <v>90989.281154349505</v>
      </c>
      <c r="N625" s="535">
        <f t="shared" si="826"/>
        <v>94289.250934862852</v>
      </c>
      <c r="O625" s="544"/>
      <c r="P625" s="568">
        <f t="shared" si="823"/>
        <v>5.4477554517856186E-2</v>
      </c>
      <c r="Q625" s="537"/>
      <c r="R625" s="535">
        <f t="shared" ref="R625:AW625" si="827">R561/R$571</f>
        <v>6728.3346428836503</v>
      </c>
      <c r="S625" s="535">
        <f t="shared" si="827"/>
        <v>6728.3346428836503</v>
      </c>
      <c r="T625" s="535">
        <f t="shared" si="827"/>
        <v>6728.3346428836503</v>
      </c>
      <c r="U625" s="535">
        <f t="shared" si="827"/>
        <v>6728.3346428836503</v>
      </c>
      <c r="V625" s="535">
        <f t="shared" si="827"/>
        <v>6728.3346428836503</v>
      </c>
      <c r="W625" s="535">
        <f t="shared" si="827"/>
        <v>6728.3346428836503</v>
      </c>
      <c r="X625" s="535">
        <f t="shared" si="827"/>
        <v>6728.3346428836503</v>
      </c>
      <c r="Y625" s="535">
        <f t="shared" si="827"/>
        <v>6728.3346428836503</v>
      </c>
      <c r="Z625" s="535">
        <f t="shared" si="827"/>
        <v>6728.3346428836503</v>
      </c>
      <c r="AA625" s="535">
        <f t="shared" si="827"/>
        <v>6728.3346428836503</v>
      </c>
      <c r="AB625" s="535">
        <f t="shared" si="827"/>
        <v>6728.3346428836503</v>
      </c>
      <c r="AC625" s="535">
        <f t="shared" si="827"/>
        <v>6728.3346428836503</v>
      </c>
      <c r="AD625" s="535">
        <f t="shared" si="827"/>
        <v>7019.3912489401955</v>
      </c>
      <c r="AE625" s="535">
        <f t="shared" si="827"/>
        <v>7019.3912489401955</v>
      </c>
      <c r="AF625" s="535">
        <f t="shared" si="827"/>
        <v>7019.3912489401955</v>
      </c>
      <c r="AG625" s="535">
        <f t="shared" si="827"/>
        <v>7019.3912489401955</v>
      </c>
      <c r="AH625" s="535">
        <f t="shared" si="827"/>
        <v>7019.3912489401955</v>
      </c>
      <c r="AI625" s="535">
        <f t="shared" si="827"/>
        <v>7019.3912489401955</v>
      </c>
      <c r="AJ625" s="535">
        <f t="shared" si="827"/>
        <v>7019.3912489401955</v>
      </c>
      <c r="AK625" s="535">
        <f t="shared" si="827"/>
        <v>7019.3912489401955</v>
      </c>
      <c r="AL625" s="535">
        <f t="shared" si="827"/>
        <v>7019.3912489401955</v>
      </c>
      <c r="AM625" s="535">
        <f t="shared" si="827"/>
        <v>7019.3912489401955</v>
      </c>
      <c r="AN625" s="535">
        <f t="shared" si="827"/>
        <v>7019.3912489401955</v>
      </c>
      <c r="AO625" s="535">
        <f t="shared" si="827"/>
        <v>7019.3912489401955</v>
      </c>
      <c r="AP625" s="535">
        <f t="shared" si="827"/>
        <v>7308.0835441422023</v>
      </c>
      <c r="AQ625" s="535">
        <f t="shared" si="827"/>
        <v>7308.0835441422023</v>
      </c>
      <c r="AR625" s="535">
        <f t="shared" si="827"/>
        <v>7308.0835441422023</v>
      </c>
      <c r="AS625" s="535">
        <f t="shared" si="827"/>
        <v>7308.0835441422023</v>
      </c>
      <c r="AT625" s="535">
        <f t="shared" si="827"/>
        <v>7308.0835441422023</v>
      </c>
      <c r="AU625" s="535">
        <f t="shared" si="827"/>
        <v>7308.0835441422023</v>
      </c>
      <c r="AV625" s="535">
        <f t="shared" si="827"/>
        <v>7308.0835441422023</v>
      </c>
      <c r="AW625" s="535">
        <f t="shared" si="827"/>
        <v>7308.0835441422023</v>
      </c>
      <c r="AX625" s="535">
        <f t="shared" ref="AX625:BY625" si="828">AX561/AX$571</f>
        <v>7308.0835441422023</v>
      </c>
      <c r="AY625" s="535">
        <f t="shared" si="828"/>
        <v>7308.0835441422023</v>
      </c>
      <c r="AZ625" s="535">
        <f t="shared" si="828"/>
        <v>7308.0835441422023</v>
      </c>
      <c r="BA625" s="535">
        <f t="shared" si="828"/>
        <v>7308.0835441422023</v>
      </c>
      <c r="BB625" s="535">
        <f t="shared" si="828"/>
        <v>7582.4400961957936</v>
      </c>
      <c r="BC625" s="535">
        <f t="shared" si="828"/>
        <v>7582.4400961957936</v>
      </c>
      <c r="BD625" s="535">
        <f t="shared" si="828"/>
        <v>7582.4400961957936</v>
      </c>
      <c r="BE625" s="535">
        <f t="shared" si="828"/>
        <v>7582.4400961957936</v>
      </c>
      <c r="BF625" s="535">
        <f t="shared" si="828"/>
        <v>7582.4400961957936</v>
      </c>
      <c r="BG625" s="535">
        <f t="shared" si="828"/>
        <v>7582.4400961957936</v>
      </c>
      <c r="BH625" s="535">
        <f t="shared" si="828"/>
        <v>7582.4400961957936</v>
      </c>
      <c r="BI625" s="535">
        <f t="shared" si="828"/>
        <v>7582.4400961957936</v>
      </c>
      <c r="BJ625" s="535">
        <f t="shared" si="828"/>
        <v>7582.4400961957936</v>
      </c>
      <c r="BK625" s="535">
        <f t="shared" si="828"/>
        <v>7582.4400961957936</v>
      </c>
      <c r="BL625" s="535">
        <f t="shared" si="828"/>
        <v>7582.4400961957936</v>
      </c>
      <c r="BM625" s="535">
        <f t="shared" si="828"/>
        <v>7582.4400961957936</v>
      </c>
      <c r="BN625" s="535">
        <f t="shared" si="828"/>
        <v>7857.4375779052389</v>
      </c>
      <c r="BO625" s="535">
        <f t="shared" si="828"/>
        <v>7857.4375779052389</v>
      </c>
      <c r="BP625" s="535">
        <f t="shared" si="828"/>
        <v>7857.4375779052389</v>
      </c>
      <c r="BQ625" s="535">
        <f t="shared" si="828"/>
        <v>7857.4375779052389</v>
      </c>
      <c r="BR625" s="535">
        <f t="shared" si="828"/>
        <v>7857.4375779052389</v>
      </c>
      <c r="BS625" s="535">
        <f t="shared" si="828"/>
        <v>7857.4375779052389</v>
      </c>
      <c r="BT625" s="535">
        <f t="shared" si="828"/>
        <v>7857.4375779052389</v>
      </c>
      <c r="BU625" s="535">
        <f t="shared" si="828"/>
        <v>7857.4375779052389</v>
      </c>
      <c r="BV625" s="535">
        <f t="shared" si="828"/>
        <v>7857.4375779052389</v>
      </c>
      <c r="BW625" s="535">
        <f t="shared" si="828"/>
        <v>7857.4375779052389</v>
      </c>
      <c r="BX625" s="535">
        <f t="shared" si="828"/>
        <v>7857.4375779052389</v>
      </c>
      <c r="BY625" s="535">
        <f t="shared" si="828"/>
        <v>7857.4375779052389</v>
      </c>
    </row>
    <row r="626" spans="1:77" x14ac:dyDescent="0.3">
      <c r="A626" s="551"/>
      <c r="B626" s="647"/>
      <c r="C626" s="668"/>
      <c r="D626" s="537"/>
      <c r="E626" s="2" t="s">
        <v>407</v>
      </c>
      <c r="F626" s="567"/>
      <c r="G626" s="567"/>
      <c r="H626" s="537"/>
      <c r="I626" s="531">
        <f t="shared" ref="I626:N626" si="829">I625/I615</f>
        <v>0.75835826780544957</v>
      </c>
      <c r="J626" s="531">
        <f t="shared" si="829"/>
        <v>0.81305688088532135</v>
      </c>
      <c r="K626" s="531">
        <f t="shared" si="829"/>
        <v>0.81600630337170277</v>
      </c>
      <c r="L626" s="531">
        <f t="shared" si="829"/>
        <v>0.81875469382566679</v>
      </c>
      <c r="M626" s="531">
        <f t="shared" si="829"/>
        <v>0.82112581138243412</v>
      </c>
      <c r="N626" s="531">
        <f t="shared" si="829"/>
        <v>0.82331756250799415</v>
      </c>
      <c r="O626" s="536"/>
      <c r="P626" s="564">
        <f>IFERROR(((N626/I626)^(1/5))-1,0)</f>
        <v>1.6573046828687765E-2</v>
      </c>
      <c r="Q626" s="537"/>
      <c r="R626" s="531">
        <f t="shared" ref="R626:AW626" si="830">R625/R615</f>
        <v>0.81305688088532135</v>
      </c>
      <c r="S626" s="531">
        <f t="shared" si="830"/>
        <v>0.81305688088532135</v>
      </c>
      <c r="T626" s="531">
        <f t="shared" si="830"/>
        <v>0.81305688088532135</v>
      </c>
      <c r="U626" s="531">
        <f t="shared" si="830"/>
        <v>0.81305688088532135</v>
      </c>
      <c r="V626" s="531">
        <f t="shared" si="830"/>
        <v>0.81305688088532135</v>
      </c>
      <c r="W626" s="531">
        <f t="shared" si="830"/>
        <v>0.81305688088532135</v>
      </c>
      <c r="X626" s="531">
        <f t="shared" si="830"/>
        <v>0.81305688088532135</v>
      </c>
      <c r="Y626" s="531">
        <f t="shared" si="830"/>
        <v>0.81305688088532135</v>
      </c>
      <c r="Z626" s="531">
        <f t="shared" si="830"/>
        <v>0.81305688088532135</v>
      </c>
      <c r="AA626" s="531">
        <f t="shared" si="830"/>
        <v>0.81305688088532135</v>
      </c>
      <c r="AB626" s="531">
        <f t="shared" si="830"/>
        <v>0.81305688088532135</v>
      </c>
      <c r="AC626" s="531">
        <f t="shared" si="830"/>
        <v>0.81305688088532135</v>
      </c>
      <c r="AD626" s="531">
        <f t="shared" si="830"/>
        <v>0.81600630337170299</v>
      </c>
      <c r="AE626" s="531">
        <f t="shared" si="830"/>
        <v>0.81600630337170299</v>
      </c>
      <c r="AF626" s="531">
        <f t="shared" si="830"/>
        <v>0.81600630337170299</v>
      </c>
      <c r="AG626" s="531">
        <f t="shared" si="830"/>
        <v>0.81600630337170299</v>
      </c>
      <c r="AH626" s="531">
        <f t="shared" si="830"/>
        <v>0.81600630337170299</v>
      </c>
      <c r="AI626" s="531">
        <f t="shared" si="830"/>
        <v>0.81600630337170299</v>
      </c>
      <c r="AJ626" s="531">
        <f t="shared" si="830"/>
        <v>0.81600630337170299</v>
      </c>
      <c r="AK626" s="531">
        <f t="shared" si="830"/>
        <v>0.81600630337170299</v>
      </c>
      <c r="AL626" s="531">
        <f t="shared" si="830"/>
        <v>0.81600630337170299</v>
      </c>
      <c r="AM626" s="531">
        <f t="shared" si="830"/>
        <v>0.81600630337170299</v>
      </c>
      <c r="AN626" s="531">
        <f t="shared" si="830"/>
        <v>0.81600630337170299</v>
      </c>
      <c r="AO626" s="531">
        <f t="shared" si="830"/>
        <v>0.81600630337170299</v>
      </c>
      <c r="AP626" s="531">
        <f t="shared" si="830"/>
        <v>0.81875469382566679</v>
      </c>
      <c r="AQ626" s="531">
        <f t="shared" si="830"/>
        <v>0.81875469382566679</v>
      </c>
      <c r="AR626" s="531">
        <f t="shared" si="830"/>
        <v>0.81875469382566679</v>
      </c>
      <c r="AS626" s="531">
        <f t="shared" si="830"/>
        <v>0.81875469382566679</v>
      </c>
      <c r="AT626" s="531">
        <f t="shared" si="830"/>
        <v>0.81875469382566679</v>
      </c>
      <c r="AU626" s="531">
        <f t="shared" si="830"/>
        <v>0.81875469382566679</v>
      </c>
      <c r="AV626" s="531">
        <f t="shared" si="830"/>
        <v>0.81875469382566679</v>
      </c>
      <c r="AW626" s="531">
        <f t="shared" si="830"/>
        <v>0.81875469382566679</v>
      </c>
      <c r="AX626" s="531">
        <f t="shared" ref="AX626:BY626" si="831">AX625/AX615</f>
        <v>0.81875469382566679</v>
      </c>
      <c r="AY626" s="531">
        <f t="shared" si="831"/>
        <v>0.81875469382566679</v>
      </c>
      <c r="AZ626" s="531">
        <f t="shared" si="831"/>
        <v>0.81875469382566679</v>
      </c>
      <c r="BA626" s="531">
        <f t="shared" si="831"/>
        <v>0.81875469382566679</v>
      </c>
      <c r="BB626" s="531">
        <f t="shared" si="831"/>
        <v>0.82112581138243423</v>
      </c>
      <c r="BC626" s="531">
        <f t="shared" si="831"/>
        <v>0.82112581138243423</v>
      </c>
      <c r="BD626" s="531">
        <f t="shared" si="831"/>
        <v>0.82112581138243423</v>
      </c>
      <c r="BE626" s="531">
        <f t="shared" si="831"/>
        <v>0.82112581138243423</v>
      </c>
      <c r="BF626" s="531">
        <f t="shared" si="831"/>
        <v>0.82112581138243423</v>
      </c>
      <c r="BG626" s="531">
        <f t="shared" si="831"/>
        <v>0.82112581138243423</v>
      </c>
      <c r="BH626" s="531">
        <f t="shared" si="831"/>
        <v>0.82112581138243423</v>
      </c>
      <c r="BI626" s="531">
        <f t="shared" si="831"/>
        <v>0.82112581138243423</v>
      </c>
      <c r="BJ626" s="531">
        <f t="shared" si="831"/>
        <v>0.82112581138243423</v>
      </c>
      <c r="BK626" s="531">
        <f t="shared" si="831"/>
        <v>0.82112581138243423</v>
      </c>
      <c r="BL626" s="531">
        <f t="shared" si="831"/>
        <v>0.82112581138243423</v>
      </c>
      <c r="BM626" s="531">
        <f t="shared" si="831"/>
        <v>0.82112581138243423</v>
      </c>
      <c r="BN626" s="531">
        <f t="shared" si="831"/>
        <v>0.82331756250799437</v>
      </c>
      <c r="BO626" s="531">
        <f t="shared" si="831"/>
        <v>0.82331756250799437</v>
      </c>
      <c r="BP626" s="531">
        <f t="shared" si="831"/>
        <v>0.82331756250799437</v>
      </c>
      <c r="BQ626" s="531">
        <f t="shared" si="831"/>
        <v>0.82331756250799437</v>
      </c>
      <c r="BR626" s="531">
        <f t="shared" si="831"/>
        <v>0.82331756250799437</v>
      </c>
      <c r="BS626" s="531">
        <f t="shared" si="831"/>
        <v>0.82331756250799437</v>
      </c>
      <c r="BT626" s="531">
        <f t="shared" si="831"/>
        <v>0.82331756250799437</v>
      </c>
      <c r="BU626" s="531">
        <f t="shared" si="831"/>
        <v>0.82331756250799437</v>
      </c>
      <c r="BV626" s="531">
        <f t="shared" si="831"/>
        <v>0.82331756250799437</v>
      </c>
      <c r="BW626" s="531">
        <f t="shared" si="831"/>
        <v>0.82331756250799437</v>
      </c>
      <c r="BX626" s="531">
        <f t="shared" si="831"/>
        <v>0.82331756250799437</v>
      </c>
      <c r="BY626" s="531">
        <f t="shared" si="831"/>
        <v>0.82331756250799437</v>
      </c>
    </row>
    <row r="627" spans="1:77" x14ac:dyDescent="0.3">
      <c r="A627" s="551"/>
      <c r="B627" s="647"/>
      <c r="C627" s="668"/>
      <c r="D627" s="537"/>
      <c r="E627" s="525"/>
      <c r="F627" s="567"/>
      <c r="G627" s="567"/>
      <c r="H627" s="537"/>
      <c r="I627" s="544"/>
      <c r="J627" s="544"/>
      <c r="K627" s="544"/>
      <c r="L627" s="544"/>
      <c r="M627" s="544"/>
      <c r="N627" s="544"/>
      <c r="O627" s="529"/>
      <c r="P627" s="564"/>
      <c r="Q627" s="537"/>
      <c r="R627" s="544"/>
      <c r="S627" s="544"/>
      <c r="T627" s="544"/>
      <c r="U627" s="544"/>
      <c r="V627" s="544"/>
      <c r="W627" s="544"/>
      <c r="X627" s="544"/>
      <c r="Y627" s="544"/>
      <c r="Z627" s="544"/>
      <c r="AA627" s="544"/>
      <c r="AB627" s="544"/>
      <c r="AC627" s="544"/>
      <c r="AD627" s="544"/>
      <c r="AE627" s="544"/>
      <c r="AF627" s="544"/>
      <c r="AG627" s="544"/>
      <c r="AH627" s="544"/>
      <c r="AI627" s="544"/>
      <c r="AJ627" s="544"/>
      <c r="AK627" s="544"/>
      <c r="AL627" s="544"/>
      <c r="AM627" s="544"/>
      <c r="AN627" s="544"/>
      <c r="AO627" s="544"/>
      <c r="AP627" s="544"/>
      <c r="AQ627" s="544"/>
      <c r="AR627" s="544"/>
      <c r="AS627" s="544"/>
      <c r="AT627" s="544"/>
      <c r="AU627" s="544"/>
      <c r="AV627" s="544"/>
      <c r="AW627" s="544"/>
      <c r="AX627" s="544"/>
      <c r="AY627" s="544"/>
      <c r="AZ627" s="544"/>
      <c r="BA627" s="544"/>
      <c r="BB627" s="544"/>
      <c r="BC627" s="544"/>
      <c r="BD627" s="544"/>
      <c r="BE627" s="544"/>
      <c r="BF627" s="544"/>
      <c r="BG627" s="544"/>
      <c r="BH627" s="544"/>
      <c r="BI627" s="544"/>
      <c r="BJ627" s="544"/>
      <c r="BK627" s="544"/>
      <c r="BL627" s="544"/>
      <c r="BM627" s="544"/>
      <c r="BN627" s="544"/>
      <c r="BO627" s="544"/>
      <c r="BP627" s="544"/>
      <c r="BQ627" s="544"/>
      <c r="BR627" s="544"/>
      <c r="BS627" s="544"/>
      <c r="BT627" s="544"/>
      <c r="BU627" s="544"/>
      <c r="BV627" s="544"/>
      <c r="BW627" s="544"/>
      <c r="BX627" s="544"/>
      <c r="BY627" s="544"/>
    </row>
    <row r="628" spans="1:77" x14ac:dyDescent="0.3">
      <c r="A628" s="551"/>
      <c r="B628" s="647"/>
      <c r="C628" s="668"/>
      <c r="D628" s="537"/>
      <c r="E628" s="525" t="s">
        <v>70</v>
      </c>
      <c r="F628" s="567"/>
      <c r="G628" s="567"/>
      <c r="H628" s="537"/>
      <c r="I628" s="580">
        <v>0</v>
      </c>
      <c r="J628" s="528">
        <v>0</v>
      </c>
      <c r="K628" s="528">
        <v>0</v>
      </c>
      <c r="L628" s="528">
        <v>0</v>
      </c>
      <c r="M628" s="528">
        <v>0</v>
      </c>
      <c r="N628" s="528">
        <v>0</v>
      </c>
      <c r="O628" s="529"/>
      <c r="P628" s="564">
        <f>IFERROR(((N628/I628)^(1/5))-1,0)</f>
        <v>0</v>
      </c>
      <c r="Q628" s="537"/>
      <c r="R628" s="528">
        <v>0</v>
      </c>
      <c r="S628" s="528">
        <v>0</v>
      </c>
      <c r="T628" s="528">
        <v>0</v>
      </c>
      <c r="U628" s="528">
        <v>0</v>
      </c>
      <c r="V628" s="528">
        <v>0</v>
      </c>
      <c r="W628" s="528">
        <v>0</v>
      </c>
      <c r="X628" s="528">
        <v>0</v>
      </c>
      <c r="Y628" s="528">
        <v>0</v>
      </c>
      <c r="Z628" s="528">
        <v>0</v>
      </c>
      <c r="AA628" s="528">
        <v>0</v>
      </c>
      <c r="AB628" s="528">
        <v>0</v>
      </c>
      <c r="AC628" s="528">
        <v>0</v>
      </c>
      <c r="AD628" s="528">
        <v>0</v>
      </c>
      <c r="AE628" s="528">
        <v>0</v>
      </c>
      <c r="AF628" s="528">
        <v>0</v>
      </c>
      <c r="AG628" s="528">
        <v>0</v>
      </c>
      <c r="AH628" s="528">
        <v>0</v>
      </c>
      <c r="AI628" s="528">
        <v>0</v>
      </c>
      <c r="AJ628" s="528">
        <v>0</v>
      </c>
      <c r="AK628" s="528">
        <v>0</v>
      </c>
      <c r="AL628" s="528">
        <v>0</v>
      </c>
      <c r="AM628" s="528">
        <v>0</v>
      </c>
      <c r="AN628" s="528">
        <v>0</v>
      </c>
      <c r="AO628" s="528">
        <v>0</v>
      </c>
      <c r="AP628" s="528">
        <v>0</v>
      </c>
      <c r="AQ628" s="528">
        <v>0</v>
      </c>
      <c r="AR628" s="528">
        <v>0</v>
      </c>
      <c r="AS628" s="528">
        <v>0</v>
      </c>
      <c r="AT628" s="528">
        <v>0</v>
      </c>
      <c r="AU628" s="528">
        <v>0</v>
      </c>
      <c r="AV628" s="528">
        <v>0</v>
      </c>
      <c r="AW628" s="528">
        <v>0</v>
      </c>
      <c r="AX628" s="528">
        <v>0</v>
      </c>
      <c r="AY628" s="528">
        <v>0</v>
      </c>
      <c r="AZ628" s="528">
        <v>0</v>
      </c>
      <c r="BA628" s="528">
        <v>0</v>
      </c>
      <c r="BB628" s="528">
        <v>0</v>
      </c>
      <c r="BC628" s="528">
        <v>0</v>
      </c>
      <c r="BD628" s="528">
        <v>0</v>
      </c>
      <c r="BE628" s="528">
        <v>0</v>
      </c>
      <c r="BF628" s="528">
        <v>0</v>
      </c>
      <c r="BG628" s="528">
        <v>0</v>
      </c>
      <c r="BH628" s="528">
        <v>0</v>
      </c>
      <c r="BI628" s="528">
        <v>0</v>
      </c>
      <c r="BJ628" s="528">
        <v>0</v>
      </c>
      <c r="BK628" s="528">
        <v>0</v>
      </c>
      <c r="BL628" s="528">
        <v>0</v>
      </c>
      <c r="BM628" s="528">
        <v>0</v>
      </c>
      <c r="BN628" s="528">
        <v>0</v>
      </c>
      <c r="BO628" s="528">
        <v>0</v>
      </c>
      <c r="BP628" s="528">
        <v>0</v>
      </c>
      <c r="BQ628" s="528">
        <v>0</v>
      </c>
      <c r="BR628" s="528">
        <v>0</v>
      </c>
      <c r="BS628" s="528">
        <v>0</v>
      </c>
      <c r="BT628" s="528">
        <v>0</v>
      </c>
      <c r="BU628" s="528">
        <v>0</v>
      </c>
      <c r="BV628" s="528">
        <v>0</v>
      </c>
      <c r="BW628" s="528">
        <v>0</v>
      </c>
      <c r="BX628" s="528">
        <v>0</v>
      </c>
      <c r="BY628" s="528">
        <v>0</v>
      </c>
    </row>
    <row r="629" spans="1:77" x14ac:dyDescent="0.3">
      <c r="A629" s="551"/>
      <c r="B629" s="647"/>
      <c r="C629" s="668"/>
      <c r="D629" s="537"/>
      <c r="E629" s="525" t="s">
        <v>185</v>
      </c>
      <c r="F629" s="567"/>
      <c r="G629" s="567"/>
      <c r="H629" s="537"/>
      <c r="I629" s="580">
        <v>0</v>
      </c>
      <c r="J629" s="528">
        <v>0</v>
      </c>
      <c r="K629" s="528">
        <v>0</v>
      </c>
      <c r="L629" s="528">
        <v>0</v>
      </c>
      <c r="M629" s="528">
        <v>0</v>
      </c>
      <c r="N629" s="528">
        <v>0</v>
      </c>
      <c r="O629" s="544"/>
      <c r="P629" s="564">
        <f t="shared" si="823"/>
        <v>0</v>
      </c>
      <c r="Q629" s="537"/>
      <c r="R629" s="528">
        <v>0</v>
      </c>
      <c r="S629" s="528">
        <v>0</v>
      </c>
      <c r="T629" s="528">
        <v>0</v>
      </c>
      <c r="U629" s="528">
        <v>0</v>
      </c>
      <c r="V629" s="528">
        <v>0</v>
      </c>
      <c r="W629" s="528">
        <v>0</v>
      </c>
      <c r="X629" s="528">
        <v>0</v>
      </c>
      <c r="Y629" s="528">
        <v>0</v>
      </c>
      <c r="Z629" s="528">
        <v>0</v>
      </c>
      <c r="AA629" s="528">
        <v>0</v>
      </c>
      <c r="AB629" s="528">
        <v>0</v>
      </c>
      <c r="AC629" s="528">
        <v>0</v>
      </c>
      <c r="AD629" s="528">
        <v>0</v>
      </c>
      <c r="AE629" s="528">
        <v>0</v>
      </c>
      <c r="AF629" s="528">
        <v>0</v>
      </c>
      <c r="AG629" s="528">
        <v>0</v>
      </c>
      <c r="AH629" s="528">
        <v>0</v>
      </c>
      <c r="AI629" s="528">
        <v>0</v>
      </c>
      <c r="AJ629" s="528">
        <v>0</v>
      </c>
      <c r="AK629" s="528">
        <v>0</v>
      </c>
      <c r="AL629" s="528">
        <v>0</v>
      </c>
      <c r="AM629" s="528">
        <v>0</v>
      </c>
      <c r="AN629" s="528">
        <v>0</v>
      </c>
      <c r="AO629" s="528">
        <v>0</v>
      </c>
      <c r="AP629" s="528">
        <v>0</v>
      </c>
      <c r="AQ629" s="528">
        <v>0</v>
      </c>
      <c r="AR629" s="528">
        <v>0</v>
      </c>
      <c r="AS629" s="528">
        <v>0</v>
      </c>
      <c r="AT629" s="528">
        <v>0</v>
      </c>
      <c r="AU629" s="528">
        <v>0</v>
      </c>
      <c r="AV629" s="528">
        <v>0</v>
      </c>
      <c r="AW629" s="528">
        <v>0</v>
      </c>
      <c r="AX629" s="528">
        <v>0</v>
      </c>
      <c r="AY629" s="528">
        <v>0</v>
      </c>
      <c r="AZ629" s="528">
        <v>0</v>
      </c>
      <c r="BA629" s="528">
        <v>0</v>
      </c>
      <c r="BB629" s="528">
        <v>0</v>
      </c>
      <c r="BC629" s="528">
        <v>0</v>
      </c>
      <c r="BD629" s="528">
        <v>0</v>
      </c>
      <c r="BE629" s="528">
        <v>0</v>
      </c>
      <c r="BF629" s="528">
        <v>0</v>
      </c>
      <c r="BG629" s="528">
        <v>0</v>
      </c>
      <c r="BH629" s="528">
        <v>0</v>
      </c>
      <c r="BI629" s="528">
        <v>0</v>
      </c>
      <c r="BJ629" s="528">
        <v>0</v>
      </c>
      <c r="BK629" s="528">
        <v>0</v>
      </c>
      <c r="BL629" s="528">
        <v>0</v>
      </c>
      <c r="BM629" s="528">
        <v>0</v>
      </c>
      <c r="BN629" s="528">
        <v>0</v>
      </c>
      <c r="BO629" s="528">
        <v>0</v>
      </c>
      <c r="BP629" s="528">
        <v>0</v>
      </c>
      <c r="BQ629" s="528">
        <v>0</v>
      </c>
      <c r="BR629" s="528">
        <v>0</v>
      </c>
      <c r="BS629" s="528">
        <v>0</v>
      </c>
      <c r="BT629" s="528">
        <v>0</v>
      </c>
      <c r="BU629" s="528">
        <v>0</v>
      </c>
      <c r="BV629" s="528">
        <v>0</v>
      </c>
      <c r="BW629" s="528">
        <v>0</v>
      </c>
      <c r="BX629" s="528">
        <v>0</v>
      </c>
      <c r="BY629" s="528">
        <v>0</v>
      </c>
    </row>
    <row r="630" spans="1:77" x14ac:dyDescent="0.3">
      <c r="A630" s="551"/>
      <c r="B630" s="647"/>
      <c r="C630" s="668"/>
      <c r="D630" s="537"/>
      <c r="E630" s="525" t="s">
        <v>370</v>
      </c>
      <c r="F630" s="567"/>
      <c r="G630" s="567"/>
      <c r="H630" s="537"/>
      <c r="I630" s="580">
        <v>0</v>
      </c>
      <c r="J630" s="528">
        <v>0</v>
      </c>
      <c r="K630" s="528">
        <v>0</v>
      </c>
      <c r="L630" s="528">
        <v>0</v>
      </c>
      <c r="M630" s="528">
        <v>0</v>
      </c>
      <c r="N630" s="528">
        <v>0</v>
      </c>
      <c r="O630" s="544"/>
      <c r="P630" s="564">
        <f>IFERROR(((N630/I630)^(1/5))-1,0)</f>
        <v>0</v>
      </c>
      <c r="Q630" s="537"/>
      <c r="R630" s="528">
        <v>0</v>
      </c>
      <c r="S630" s="528">
        <v>0</v>
      </c>
      <c r="T630" s="528">
        <v>0</v>
      </c>
      <c r="U630" s="528">
        <v>0</v>
      </c>
      <c r="V630" s="528">
        <v>0</v>
      </c>
      <c r="W630" s="528">
        <v>0</v>
      </c>
      <c r="X630" s="528">
        <v>0</v>
      </c>
      <c r="Y630" s="528">
        <v>0</v>
      </c>
      <c r="Z630" s="528">
        <v>0</v>
      </c>
      <c r="AA630" s="528">
        <v>0</v>
      </c>
      <c r="AB630" s="528">
        <v>0</v>
      </c>
      <c r="AC630" s="528">
        <v>0</v>
      </c>
      <c r="AD630" s="528">
        <v>0</v>
      </c>
      <c r="AE630" s="528">
        <v>0</v>
      </c>
      <c r="AF630" s="528">
        <v>0</v>
      </c>
      <c r="AG630" s="528">
        <v>0</v>
      </c>
      <c r="AH630" s="528">
        <v>0</v>
      </c>
      <c r="AI630" s="528">
        <v>0</v>
      </c>
      <c r="AJ630" s="528">
        <v>0</v>
      </c>
      <c r="AK630" s="528">
        <v>0</v>
      </c>
      <c r="AL630" s="528">
        <v>0</v>
      </c>
      <c r="AM630" s="528">
        <v>0</v>
      </c>
      <c r="AN630" s="528">
        <v>0</v>
      </c>
      <c r="AO630" s="528">
        <v>0</v>
      </c>
      <c r="AP630" s="528">
        <v>0</v>
      </c>
      <c r="AQ630" s="528">
        <v>0</v>
      </c>
      <c r="AR630" s="528">
        <v>0</v>
      </c>
      <c r="AS630" s="528">
        <v>0</v>
      </c>
      <c r="AT630" s="528">
        <v>0</v>
      </c>
      <c r="AU630" s="528">
        <v>0</v>
      </c>
      <c r="AV630" s="528">
        <v>0</v>
      </c>
      <c r="AW630" s="528">
        <v>0</v>
      </c>
      <c r="AX630" s="528">
        <v>0</v>
      </c>
      <c r="AY630" s="528">
        <v>0</v>
      </c>
      <c r="AZ630" s="528">
        <v>0</v>
      </c>
      <c r="BA630" s="528">
        <v>0</v>
      </c>
      <c r="BB630" s="528">
        <v>0</v>
      </c>
      <c r="BC630" s="528">
        <v>0</v>
      </c>
      <c r="BD630" s="528">
        <v>0</v>
      </c>
      <c r="BE630" s="528">
        <v>0</v>
      </c>
      <c r="BF630" s="528">
        <v>0</v>
      </c>
      <c r="BG630" s="528">
        <v>0</v>
      </c>
      <c r="BH630" s="528">
        <v>0</v>
      </c>
      <c r="BI630" s="528">
        <v>0</v>
      </c>
      <c r="BJ630" s="528">
        <v>0</v>
      </c>
      <c r="BK630" s="528">
        <v>0</v>
      </c>
      <c r="BL630" s="528">
        <v>0</v>
      </c>
      <c r="BM630" s="528">
        <v>0</v>
      </c>
      <c r="BN630" s="528">
        <v>0</v>
      </c>
      <c r="BO630" s="528">
        <v>0</v>
      </c>
      <c r="BP630" s="528">
        <v>0</v>
      </c>
      <c r="BQ630" s="528">
        <v>0</v>
      </c>
      <c r="BR630" s="528">
        <v>0</v>
      </c>
      <c r="BS630" s="528">
        <v>0</v>
      </c>
      <c r="BT630" s="528">
        <v>0</v>
      </c>
      <c r="BU630" s="528">
        <v>0</v>
      </c>
      <c r="BV630" s="528">
        <v>0</v>
      </c>
      <c r="BW630" s="528">
        <v>0</v>
      </c>
      <c r="BX630" s="528">
        <v>0</v>
      </c>
      <c r="BY630" s="528">
        <v>0</v>
      </c>
    </row>
    <row r="631" spans="1:77" x14ac:dyDescent="0.3">
      <c r="A631" s="551"/>
      <c r="B631" s="647"/>
      <c r="C631" s="668"/>
      <c r="D631" s="537"/>
      <c r="E631" s="578" t="s">
        <v>71</v>
      </c>
      <c r="F631" s="579"/>
      <c r="G631" s="579"/>
      <c r="H631" s="537"/>
      <c r="I631" s="535">
        <f t="shared" ref="I631:N631" si="832">I567/I$571</f>
        <v>68211.338077430744</v>
      </c>
      <c r="J631" s="535">
        <f t="shared" si="832"/>
        <v>80740.015714603796</v>
      </c>
      <c r="K631" s="535">
        <f t="shared" si="832"/>
        <v>84232.694987282332</v>
      </c>
      <c r="L631" s="535">
        <f t="shared" si="832"/>
        <v>87697.002529706428</v>
      </c>
      <c r="M631" s="535">
        <f t="shared" si="832"/>
        <v>90989.281154349505</v>
      </c>
      <c r="N631" s="535">
        <f t="shared" si="832"/>
        <v>94289.250934862852</v>
      </c>
      <c r="O631" s="544"/>
      <c r="P631" s="568">
        <f t="shared" si="823"/>
        <v>6.6893632887614185E-2</v>
      </c>
      <c r="Q631" s="537"/>
      <c r="R631" s="535">
        <f t="shared" ref="R631:BY631" si="833">R567/R$571</f>
        <v>6728.3346428836503</v>
      </c>
      <c r="S631" s="535">
        <f t="shared" si="833"/>
        <v>6728.3346428836503</v>
      </c>
      <c r="T631" s="535">
        <f t="shared" si="833"/>
        <v>6728.3346428836503</v>
      </c>
      <c r="U631" s="535">
        <f t="shared" si="833"/>
        <v>6728.3346428836503</v>
      </c>
      <c r="V631" s="535">
        <f t="shared" si="833"/>
        <v>6728.3346428836503</v>
      </c>
      <c r="W631" s="535">
        <f t="shared" si="833"/>
        <v>6728.3346428836503</v>
      </c>
      <c r="X631" s="535">
        <f t="shared" si="833"/>
        <v>6728.3346428836503</v>
      </c>
      <c r="Y631" s="535">
        <f t="shared" si="833"/>
        <v>6728.3346428836503</v>
      </c>
      <c r="Z631" s="535">
        <f t="shared" si="833"/>
        <v>6728.3346428836503</v>
      </c>
      <c r="AA631" s="535">
        <f t="shared" si="833"/>
        <v>6728.3346428836503</v>
      </c>
      <c r="AB631" s="535">
        <f t="shared" si="833"/>
        <v>6728.3346428836503</v>
      </c>
      <c r="AC631" s="535">
        <f t="shared" si="833"/>
        <v>6728.3346428836503</v>
      </c>
      <c r="AD631" s="535">
        <f t="shared" si="833"/>
        <v>7019.3912489401955</v>
      </c>
      <c r="AE631" s="535">
        <f t="shared" si="833"/>
        <v>7019.3912489401955</v>
      </c>
      <c r="AF631" s="535">
        <f t="shared" si="833"/>
        <v>7019.3912489401955</v>
      </c>
      <c r="AG631" s="535">
        <f t="shared" si="833"/>
        <v>7019.3912489401955</v>
      </c>
      <c r="AH631" s="535">
        <f t="shared" si="833"/>
        <v>7019.3912489401955</v>
      </c>
      <c r="AI631" s="535">
        <f t="shared" si="833"/>
        <v>7019.3912489401955</v>
      </c>
      <c r="AJ631" s="535">
        <f t="shared" si="833"/>
        <v>7019.3912489401955</v>
      </c>
      <c r="AK631" s="535">
        <f t="shared" si="833"/>
        <v>7019.3912489401955</v>
      </c>
      <c r="AL631" s="535">
        <f t="shared" si="833"/>
        <v>7019.3912489401955</v>
      </c>
      <c r="AM631" s="535">
        <f t="shared" si="833"/>
        <v>7019.3912489401955</v>
      </c>
      <c r="AN631" s="535">
        <f t="shared" si="833"/>
        <v>7019.3912489401955</v>
      </c>
      <c r="AO631" s="535">
        <f t="shared" si="833"/>
        <v>7019.3912489401955</v>
      </c>
      <c r="AP631" s="535">
        <f t="shared" si="833"/>
        <v>7308.0835441422023</v>
      </c>
      <c r="AQ631" s="535">
        <f t="shared" si="833"/>
        <v>7308.0835441422023</v>
      </c>
      <c r="AR631" s="535">
        <f t="shared" si="833"/>
        <v>7308.0835441422023</v>
      </c>
      <c r="AS631" s="535">
        <f t="shared" si="833"/>
        <v>7308.0835441422023</v>
      </c>
      <c r="AT631" s="535">
        <f t="shared" si="833"/>
        <v>7308.0835441422023</v>
      </c>
      <c r="AU631" s="535">
        <f t="shared" si="833"/>
        <v>7308.0835441422023</v>
      </c>
      <c r="AV631" s="535">
        <f t="shared" si="833"/>
        <v>7308.0835441422023</v>
      </c>
      <c r="AW631" s="535">
        <f t="shared" si="833"/>
        <v>7308.0835441422023</v>
      </c>
      <c r="AX631" s="535">
        <f t="shared" si="833"/>
        <v>7308.0835441422023</v>
      </c>
      <c r="AY631" s="535">
        <f t="shared" si="833"/>
        <v>7308.0835441422023</v>
      </c>
      <c r="AZ631" s="535">
        <f t="shared" si="833"/>
        <v>7308.0835441422023</v>
      </c>
      <c r="BA631" s="535">
        <f t="shared" si="833"/>
        <v>7308.0835441422023</v>
      </c>
      <c r="BB631" s="535">
        <f t="shared" si="833"/>
        <v>7582.4400961957936</v>
      </c>
      <c r="BC631" s="535">
        <f t="shared" si="833"/>
        <v>7582.4400961957936</v>
      </c>
      <c r="BD631" s="535">
        <f t="shared" si="833"/>
        <v>7582.4400961957936</v>
      </c>
      <c r="BE631" s="535">
        <f t="shared" si="833"/>
        <v>7582.4400961957936</v>
      </c>
      <c r="BF631" s="535">
        <f t="shared" si="833"/>
        <v>7582.4400961957936</v>
      </c>
      <c r="BG631" s="535">
        <f t="shared" si="833"/>
        <v>7582.4400961957936</v>
      </c>
      <c r="BH631" s="535">
        <f t="shared" si="833"/>
        <v>7582.4400961957936</v>
      </c>
      <c r="BI631" s="535">
        <f t="shared" si="833"/>
        <v>7582.4400961957936</v>
      </c>
      <c r="BJ631" s="535">
        <f t="shared" si="833"/>
        <v>7582.4400961957936</v>
      </c>
      <c r="BK631" s="535">
        <f t="shared" si="833"/>
        <v>7582.4400961957936</v>
      </c>
      <c r="BL631" s="535">
        <f t="shared" si="833"/>
        <v>7582.4400961957936</v>
      </c>
      <c r="BM631" s="535">
        <f t="shared" si="833"/>
        <v>7582.4400961957936</v>
      </c>
      <c r="BN631" s="535">
        <f t="shared" si="833"/>
        <v>7857.4375779052389</v>
      </c>
      <c r="BO631" s="535">
        <f t="shared" si="833"/>
        <v>7857.4375779052389</v>
      </c>
      <c r="BP631" s="535">
        <f t="shared" si="833"/>
        <v>7857.4375779052389</v>
      </c>
      <c r="BQ631" s="535">
        <f t="shared" si="833"/>
        <v>7857.4375779052389</v>
      </c>
      <c r="BR631" s="535">
        <f t="shared" si="833"/>
        <v>7857.4375779052389</v>
      </c>
      <c r="BS631" s="535">
        <f t="shared" si="833"/>
        <v>7857.4375779052389</v>
      </c>
      <c r="BT631" s="535">
        <f t="shared" si="833"/>
        <v>7857.4375779052389</v>
      </c>
      <c r="BU631" s="535">
        <f t="shared" si="833"/>
        <v>7857.4375779052389</v>
      </c>
      <c r="BV631" s="535">
        <f t="shared" si="833"/>
        <v>7857.4375779052389</v>
      </c>
      <c r="BW631" s="535">
        <f t="shared" si="833"/>
        <v>7857.4375779052389</v>
      </c>
      <c r="BX631" s="535">
        <f t="shared" si="833"/>
        <v>7857.4375779052389</v>
      </c>
      <c r="BY631" s="535">
        <f t="shared" si="833"/>
        <v>7857.4375779052389</v>
      </c>
    </row>
    <row r="632" spans="1:77" x14ac:dyDescent="0.3">
      <c r="A632" s="551"/>
      <c r="B632" s="647"/>
      <c r="C632" s="668"/>
      <c r="D632" s="537"/>
      <c r="E632" s="537"/>
      <c r="F632" s="537"/>
      <c r="G632" s="537"/>
      <c r="H632" s="537"/>
      <c r="I632" s="537"/>
      <c r="J632" s="537"/>
      <c r="K632" s="537"/>
      <c r="L632" s="537"/>
      <c r="M632" s="537"/>
      <c r="N632" s="537"/>
      <c r="O632" s="537"/>
      <c r="P632" s="547"/>
      <c r="Q632" s="537"/>
      <c r="R632" s="537"/>
      <c r="S632" s="537"/>
      <c r="T632" s="537"/>
      <c r="U632" s="537"/>
      <c r="V632" s="537"/>
      <c r="W632" s="537"/>
      <c r="X632" s="537"/>
      <c r="Y632" s="537"/>
      <c r="Z632" s="537"/>
      <c r="AA632" s="537"/>
      <c r="AB632" s="537"/>
      <c r="AC632" s="537"/>
      <c r="AD632" s="537"/>
      <c r="AE632" s="537"/>
      <c r="AF632" s="537"/>
      <c r="AG632" s="537"/>
      <c r="AH632" s="537"/>
      <c r="AI632" s="537"/>
      <c r="AJ632" s="537"/>
      <c r="AK632" s="537"/>
      <c r="AL632" s="537"/>
      <c r="AM632" s="537"/>
      <c r="AN632" s="537"/>
      <c r="AO632" s="537"/>
      <c r="AP632" s="537"/>
      <c r="AQ632" s="537"/>
      <c r="AR632" s="537"/>
      <c r="AS632" s="537"/>
      <c r="AT632" s="537"/>
      <c r="AU632" s="537"/>
      <c r="AV632" s="537"/>
      <c r="AW632" s="537"/>
      <c r="AX632" s="537"/>
      <c r="AY632" s="537"/>
      <c r="AZ632" s="537"/>
      <c r="BA632" s="537"/>
      <c r="BB632" s="537"/>
      <c r="BC632" s="537"/>
      <c r="BD632" s="537"/>
      <c r="BE632" s="537"/>
      <c r="BF632" s="537"/>
      <c r="BG632" s="537"/>
      <c r="BH632" s="537"/>
      <c r="BI632" s="537"/>
      <c r="BJ632" s="537"/>
      <c r="BK632" s="537"/>
      <c r="BL632" s="537"/>
      <c r="BM632" s="537"/>
      <c r="BN632" s="537"/>
      <c r="BO632" s="537"/>
      <c r="BP632" s="537"/>
      <c r="BQ632" s="537"/>
      <c r="BR632" s="537"/>
      <c r="BS632" s="537"/>
      <c r="BT632" s="537"/>
      <c r="BU632" s="537"/>
      <c r="BV632" s="537"/>
      <c r="BW632" s="537"/>
      <c r="BX632" s="537"/>
      <c r="BY632" s="537"/>
    </row>
    <row r="633" spans="1:77" x14ac:dyDescent="0.3">
      <c r="A633" s="551"/>
      <c r="B633" s="647"/>
      <c r="C633" s="668"/>
      <c r="D633" s="537"/>
      <c r="E633" s="537"/>
      <c r="F633" s="537"/>
      <c r="G633" s="537"/>
      <c r="H633" s="537"/>
      <c r="I633" s="546"/>
      <c r="J633" s="546"/>
      <c r="K633" s="546"/>
      <c r="L633" s="546"/>
      <c r="M633" s="546"/>
      <c r="N633" s="546"/>
      <c r="O633" s="546"/>
      <c r="P633" s="669"/>
      <c r="Q633" s="537"/>
      <c r="R633" s="546"/>
      <c r="S633" s="546"/>
      <c r="T633" s="546"/>
      <c r="U633" s="546"/>
      <c r="V633" s="546"/>
      <c r="W633" s="546"/>
      <c r="X633" s="546"/>
      <c r="Y633" s="546"/>
      <c r="Z633" s="546"/>
      <c r="AA633" s="546"/>
      <c r="AB633" s="546"/>
      <c r="AC633" s="546"/>
      <c r="AD633" s="546"/>
      <c r="AE633" s="546"/>
      <c r="AF633" s="546"/>
      <c r="AG633" s="546"/>
      <c r="AH633" s="546"/>
      <c r="AI633" s="546"/>
      <c r="AJ633" s="546"/>
      <c r="AK633" s="546"/>
      <c r="AL633" s="546"/>
      <c r="AM633" s="546"/>
      <c r="AN633" s="546"/>
      <c r="AO633" s="546"/>
      <c r="AP633" s="546"/>
      <c r="AQ633" s="546"/>
      <c r="AR633" s="546"/>
      <c r="AS633" s="546"/>
      <c r="AT633" s="546"/>
      <c r="AU633" s="546"/>
      <c r="AV633" s="546"/>
      <c r="AW633" s="546"/>
      <c r="AX633" s="546"/>
      <c r="AY633" s="546"/>
      <c r="AZ633" s="546"/>
      <c r="BA633" s="546"/>
      <c r="BB633" s="546"/>
      <c r="BC633" s="546"/>
      <c r="BD633" s="546"/>
      <c r="BE633" s="546"/>
      <c r="BF633" s="546"/>
      <c r="BG633" s="546"/>
      <c r="BH633" s="546"/>
      <c r="BI633" s="546"/>
      <c r="BJ633" s="546"/>
      <c r="BK633" s="546"/>
      <c r="BL633" s="546"/>
      <c r="BM633" s="546"/>
      <c r="BN633" s="546"/>
      <c r="BO633" s="546"/>
      <c r="BP633" s="546"/>
      <c r="BQ633" s="546"/>
      <c r="BR633" s="546"/>
      <c r="BS633" s="546"/>
      <c r="BT633" s="546"/>
      <c r="BU633" s="546"/>
      <c r="BV633" s="546"/>
      <c r="BW633" s="546"/>
      <c r="BX633" s="546"/>
      <c r="BY633" s="546"/>
    </row>
    <row r="634" spans="1:77" x14ac:dyDescent="0.3">
      <c r="A634" s="551"/>
      <c r="B634" s="647"/>
      <c r="C634" s="668"/>
      <c r="D634" s="537"/>
      <c r="E634" s="537"/>
      <c r="F634" s="537"/>
      <c r="G634" s="537"/>
      <c r="H634" s="537"/>
      <c r="I634" s="537"/>
      <c r="J634" s="537"/>
      <c r="K634" s="537"/>
      <c r="L634" s="537"/>
      <c r="M634" s="537"/>
      <c r="N634" s="537"/>
      <c r="O634" s="537"/>
      <c r="P634" s="547"/>
      <c r="Q634" s="537"/>
      <c r="R634" s="537"/>
      <c r="S634" s="537"/>
      <c r="T634" s="537"/>
      <c r="U634" s="537"/>
      <c r="V634" s="537"/>
      <c r="W634" s="537"/>
      <c r="X634" s="537"/>
      <c r="Y634" s="537"/>
      <c r="Z634" s="537"/>
      <c r="AA634" s="537"/>
      <c r="AB634" s="537"/>
      <c r="AC634" s="537"/>
      <c r="AD634" s="537"/>
      <c r="AE634" s="537"/>
      <c r="AF634" s="537"/>
      <c r="AG634" s="537"/>
      <c r="AH634" s="537"/>
      <c r="AI634" s="537"/>
      <c r="AJ634" s="537"/>
      <c r="AK634" s="537"/>
      <c r="AL634" s="537"/>
      <c r="AM634" s="537"/>
      <c r="AN634" s="537"/>
      <c r="AO634" s="537"/>
      <c r="AP634" s="537"/>
      <c r="AQ634" s="537"/>
      <c r="AR634" s="537"/>
      <c r="AS634" s="537"/>
      <c r="AT634" s="537"/>
      <c r="AU634" s="537"/>
      <c r="AV634" s="537"/>
      <c r="AW634" s="537"/>
      <c r="AX634" s="537"/>
      <c r="AY634" s="537"/>
      <c r="AZ634" s="537"/>
      <c r="BA634" s="537"/>
      <c r="BB634" s="537"/>
      <c r="BC634" s="537"/>
      <c r="BD634" s="537"/>
      <c r="BE634" s="537"/>
      <c r="BF634" s="537"/>
      <c r="BG634" s="537"/>
      <c r="BH634" s="537"/>
      <c r="BI634" s="537"/>
      <c r="BJ634" s="537"/>
      <c r="BK634" s="537"/>
      <c r="BL634" s="537"/>
      <c r="BM634" s="537"/>
      <c r="BN634" s="537"/>
      <c r="BO634" s="537"/>
      <c r="BP634" s="537"/>
      <c r="BQ634" s="537"/>
      <c r="BR634" s="537"/>
      <c r="BS634" s="537"/>
      <c r="BT634" s="537"/>
      <c r="BU634" s="537"/>
      <c r="BV634" s="537"/>
      <c r="BW634" s="537"/>
      <c r="BX634" s="537"/>
      <c r="BY634" s="537"/>
    </row>
    <row r="635" spans="1:77" x14ac:dyDescent="0.3">
      <c r="A635" s="551"/>
      <c r="B635" s="647"/>
      <c r="C635" s="668"/>
      <c r="D635" s="537"/>
      <c r="E635" s="537"/>
      <c r="F635" s="537"/>
      <c r="G635" s="537"/>
      <c r="H635" s="537"/>
      <c r="I635" s="537"/>
      <c r="J635" s="537"/>
      <c r="K635" s="537"/>
      <c r="L635" s="537"/>
      <c r="M635" s="537"/>
      <c r="N635" s="537"/>
      <c r="O635" s="537"/>
      <c r="P635" s="547"/>
      <c r="Q635" s="537"/>
      <c r="R635" s="537"/>
      <c r="S635" s="537"/>
      <c r="T635" s="537"/>
      <c r="U635" s="537"/>
      <c r="V635" s="537"/>
      <c r="W635" s="537"/>
      <c r="X635" s="537"/>
      <c r="Y635" s="537"/>
      <c r="Z635" s="537"/>
      <c r="AA635" s="537"/>
      <c r="AB635" s="537"/>
      <c r="AC635" s="537"/>
      <c r="AD635" s="537"/>
      <c r="AE635" s="537"/>
      <c r="AF635" s="537"/>
      <c r="AG635" s="537"/>
      <c r="AH635" s="537"/>
      <c r="AI635" s="537"/>
      <c r="AJ635" s="537"/>
      <c r="AK635" s="537"/>
      <c r="AL635" s="537"/>
      <c r="AM635" s="537"/>
      <c r="AN635" s="537"/>
      <c r="AO635" s="537"/>
      <c r="AP635" s="537"/>
      <c r="AQ635" s="537"/>
      <c r="AR635" s="537"/>
      <c r="AS635" s="537"/>
      <c r="AT635" s="537"/>
      <c r="AU635" s="537"/>
      <c r="AV635" s="537"/>
      <c r="AW635" s="537"/>
      <c r="AX635" s="537"/>
      <c r="AY635" s="537"/>
      <c r="AZ635" s="537"/>
      <c r="BA635" s="537"/>
      <c r="BB635" s="537"/>
      <c r="BC635" s="537"/>
      <c r="BD635" s="537"/>
      <c r="BE635" s="537"/>
      <c r="BF635" s="537"/>
      <c r="BG635" s="537"/>
      <c r="BH635" s="537"/>
      <c r="BI635" s="537"/>
      <c r="BJ635" s="537"/>
      <c r="BK635" s="537"/>
      <c r="BL635" s="537"/>
      <c r="BM635" s="537"/>
      <c r="BN635" s="537"/>
      <c r="BO635" s="537"/>
      <c r="BP635" s="537"/>
      <c r="BQ635" s="537"/>
      <c r="BR635" s="537"/>
      <c r="BS635" s="537"/>
      <c r="BT635" s="537"/>
      <c r="BU635" s="537"/>
      <c r="BV635" s="537"/>
      <c r="BW635" s="537"/>
      <c r="BX635" s="537"/>
      <c r="BY635" s="537"/>
    </row>
  </sheetData>
  <pageMargins left="0.7" right="0.7" top="0.75" bottom="0.75" header="0.3" footer="0.3"/>
  <pageSetup paperSize="9" orientation="portrait" horizontalDpi="1200" verticalDpi="1200" r:id="rId1"/>
  <extLst>
    <ext xmlns:x14="http://schemas.microsoft.com/office/spreadsheetml/2009/9/main" uri="{CCE6A557-97BC-4b89-ADB6-D9C93CAAB3DF}">
      <x14:dataValidations xmlns:xm="http://schemas.microsoft.com/office/excel/2006/main" disablePrompts="1" count="1">
        <x14:dataValidation type="list" allowBlank="1" showInputMessage="1" showErrorMessage="1" xr:uid="{9EAE6C2D-C65B-43C0-83BE-A11F12A3A5A5}">
          <x14:formula1>
            <xm:f>Portfolio_Categorisation!$C$12:$C$15</xm:f>
          </x14:formula1>
          <xm:sqref>B2</xm:sqref>
        </x14:dataValidation>
      </x14:dataValidation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2BE285-62C5-40F2-9705-9B02B266B2FC}">
  <sheetPr codeName="Sheet31"/>
  <dimension ref="A1:CM635"/>
  <sheetViews>
    <sheetView showGridLines="0" workbookViewId="0">
      <pane xSplit="5" ySplit="4" topLeftCell="F5" activePane="bottomRight" state="frozen"/>
      <selection activeCell="E61" sqref="E61:E72"/>
      <selection pane="topRight" activeCell="E61" sqref="E61:E72"/>
      <selection pane="bottomLeft" activeCell="E61" sqref="E61:E72"/>
      <selection pane="bottomRight" activeCell="F5" sqref="F5"/>
    </sheetView>
  </sheetViews>
  <sheetFormatPr defaultColWidth="0" defaultRowHeight="13.5" x14ac:dyDescent="0.3"/>
  <cols>
    <col min="1" max="1" width="1.6640625" style="7" customWidth="1"/>
    <col min="2" max="2" width="1.6640625" style="1" customWidth="1"/>
    <col min="3" max="3" width="3.33203125" style="7" customWidth="1"/>
    <col min="4" max="4" width="1.6640625" style="3" customWidth="1"/>
    <col min="5" max="5" width="67.6640625" style="3" bestFit="1" customWidth="1"/>
    <col min="6" max="8" width="1.6640625" style="3" customWidth="1"/>
    <col min="9" max="14" width="13.33203125" style="3" customWidth="1"/>
    <col min="15" max="15" width="1.6640625" style="3" customWidth="1"/>
    <col min="16" max="16" width="13.33203125" style="27" customWidth="1"/>
    <col min="17" max="17" width="13.6640625" style="3" customWidth="1"/>
    <col min="18" max="77" width="13.33203125" style="3" customWidth="1"/>
    <col min="78" max="80" width="1.6640625" style="3" customWidth="1"/>
    <col min="81" max="86" width="0" style="3" hidden="1" customWidth="1"/>
    <col min="87" max="90" width="13.33203125" style="3" hidden="1" customWidth="1"/>
    <col min="91" max="91" width="1.6640625" style="3" hidden="1" customWidth="1"/>
    <col min="92" max="114" width="0" style="3" hidden="1" customWidth="1"/>
    <col min="115" max="16384" width="0" style="3" hidden="1"/>
  </cols>
  <sheetData>
    <row r="1" spans="1:80" s="38" customFormat="1" x14ac:dyDescent="0.3">
      <c r="A1" s="547"/>
      <c r="B1" s="548"/>
      <c r="C1" s="521"/>
      <c r="D1" s="521"/>
      <c r="E1" s="521"/>
      <c r="F1" s="521"/>
      <c r="G1" s="521"/>
      <c r="H1" s="521"/>
      <c r="I1" s="521"/>
      <c r="J1" s="521"/>
      <c r="K1" s="521"/>
      <c r="L1" s="521"/>
      <c r="M1" s="521"/>
      <c r="N1" s="521"/>
      <c r="O1" s="521"/>
      <c r="P1" s="521"/>
      <c r="Q1" s="549"/>
      <c r="R1" s="521"/>
      <c r="S1" s="521"/>
      <c r="T1" s="521"/>
      <c r="U1" s="521"/>
      <c r="V1" s="521"/>
      <c r="W1" s="521"/>
      <c r="X1" s="521"/>
      <c r="Y1" s="521"/>
      <c r="Z1" s="521"/>
      <c r="AA1" s="521"/>
      <c r="AB1" s="521"/>
      <c r="AC1" s="521"/>
      <c r="AD1" s="521"/>
      <c r="AE1" s="521"/>
      <c r="AF1" s="521"/>
      <c r="AG1" s="521"/>
      <c r="AH1" s="521"/>
      <c r="AI1" s="521"/>
      <c r="AJ1" s="521"/>
      <c r="AK1" s="521"/>
      <c r="AL1" s="521"/>
      <c r="AM1" s="521"/>
      <c r="AN1" s="521"/>
      <c r="AO1" s="521"/>
      <c r="AP1" s="521"/>
      <c r="AQ1" s="521"/>
      <c r="AR1" s="521"/>
      <c r="AS1" s="521"/>
      <c r="AT1" s="521"/>
      <c r="AU1" s="521"/>
      <c r="AV1" s="521"/>
      <c r="AW1" s="521"/>
      <c r="AX1" s="521"/>
      <c r="AY1" s="521"/>
      <c r="AZ1" s="521"/>
      <c r="BA1" s="521"/>
      <c r="BB1" s="521"/>
      <c r="BC1" s="521"/>
      <c r="BD1" s="521"/>
      <c r="BE1" s="521"/>
      <c r="BF1" s="521"/>
      <c r="BG1" s="521"/>
      <c r="BH1" s="521"/>
      <c r="BI1" s="521"/>
      <c r="BJ1" s="521"/>
      <c r="BK1" s="521"/>
      <c r="BL1" s="521"/>
      <c r="BM1" s="521"/>
      <c r="BN1" s="521"/>
      <c r="BO1" s="521"/>
      <c r="BP1" s="521"/>
      <c r="BQ1" s="521"/>
      <c r="BR1" s="521"/>
      <c r="BS1" s="521"/>
      <c r="BT1" s="521"/>
      <c r="BU1" s="521"/>
      <c r="BV1" s="521"/>
      <c r="BW1" s="521"/>
      <c r="BX1" s="521"/>
      <c r="BY1" s="521"/>
      <c r="BZ1" s="549"/>
      <c r="CA1" s="549"/>
      <c r="CB1" s="549"/>
    </row>
    <row r="2" spans="1:80" x14ac:dyDescent="0.3">
      <c r="A2" s="537"/>
      <c r="B2" s="550" t="s">
        <v>400</v>
      </c>
      <c r="C2" s="551"/>
      <c r="D2" s="537"/>
      <c r="E2" s="537"/>
      <c r="F2" s="537"/>
      <c r="G2" s="537"/>
      <c r="H2" s="537"/>
      <c r="I2" s="522">
        <v>2</v>
      </c>
      <c r="J2" s="522">
        <v>3</v>
      </c>
      <c r="K2" s="522">
        <v>4</v>
      </c>
      <c r="L2" s="522">
        <v>5</v>
      </c>
      <c r="M2" s="522">
        <v>6</v>
      </c>
      <c r="N2" s="522">
        <v>7</v>
      </c>
      <c r="O2" s="537"/>
      <c r="P2" s="547"/>
      <c r="Q2" s="537"/>
      <c r="R2" s="522" t="str" cm="1">
        <f t="array" ref="R2">INDEX(Index_Tab!$G$4:$K$4,MATCH(1,(R$4&gt;=Index_Tab!$G$5:$K$5)*(R$4&lt;=Index_Tab!$G$17:$K$17),0))</f>
        <v>FY27E</v>
      </c>
      <c r="S2" s="522" t="str" cm="1">
        <f t="array" ref="S2">INDEX(Index_Tab!$G$4:$K$4,MATCH(1,(S$4&gt;=Index_Tab!$G$5:$K$5)*(S$4&lt;=Index_Tab!$G$17:$K$17),0))</f>
        <v>FY27E</v>
      </c>
      <c r="T2" s="522" t="str" cm="1">
        <f t="array" ref="T2">INDEX(Index_Tab!$G$4:$K$4,MATCH(1,(T$4&gt;=Index_Tab!$G$5:$K$5)*(T$4&lt;=Index_Tab!$G$17:$K$17),0))</f>
        <v>FY27E</v>
      </c>
      <c r="U2" s="522" t="str" cm="1">
        <f t="array" ref="U2">INDEX(Index_Tab!$G$4:$K$4,MATCH(1,(U$4&gt;=Index_Tab!$G$5:$K$5)*(U$4&lt;=Index_Tab!$G$17:$K$17),0))</f>
        <v>FY27E</v>
      </c>
      <c r="V2" s="522" t="str" cm="1">
        <f t="array" ref="V2">INDEX(Index_Tab!$G$4:$K$4,MATCH(1,(V$4&gt;=Index_Tab!$G$5:$K$5)*(V$4&lt;=Index_Tab!$G$17:$K$17),0))</f>
        <v>FY27E</v>
      </c>
      <c r="W2" s="522" t="str" cm="1">
        <f t="array" ref="W2">INDEX(Index_Tab!$G$4:$K$4,MATCH(1,(W$4&gt;=Index_Tab!$G$5:$K$5)*(W$4&lt;=Index_Tab!$G$17:$K$17),0))</f>
        <v>FY27E</v>
      </c>
      <c r="X2" s="522" t="str" cm="1">
        <f t="array" ref="X2">INDEX(Index_Tab!$G$4:$K$4,MATCH(1,(X$4&gt;=Index_Tab!$G$5:$K$5)*(X$4&lt;=Index_Tab!$G$17:$K$17),0))</f>
        <v>FY27E</v>
      </c>
      <c r="Y2" s="522" t="str" cm="1">
        <f t="array" ref="Y2">INDEX(Index_Tab!$G$4:$K$4,MATCH(1,(Y$4&gt;=Index_Tab!$G$5:$K$5)*(Y$4&lt;=Index_Tab!$G$17:$K$17),0))</f>
        <v>FY27E</v>
      </c>
      <c r="Z2" s="522" t="str" cm="1">
        <f t="array" ref="Z2">INDEX(Index_Tab!$G$4:$K$4,MATCH(1,(Z$4&gt;=Index_Tab!$G$5:$K$5)*(Z$4&lt;=Index_Tab!$G$17:$K$17),0))</f>
        <v>FY27E</v>
      </c>
      <c r="AA2" s="522" t="str" cm="1">
        <f t="array" ref="AA2">INDEX(Index_Tab!$G$4:$K$4,MATCH(1,(AA$4&gt;=Index_Tab!$G$5:$K$5)*(AA$4&lt;=Index_Tab!$G$17:$K$17),0))</f>
        <v>FY27E</v>
      </c>
      <c r="AB2" s="522" t="str" cm="1">
        <f t="array" ref="AB2">INDEX(Index_Tab!$G$4:$K$4,MATCH(1,(AB$4&gt;=Index_Tab!$G$5:$K$5)*(AB$4&lt;=Index_Tab!$G$17:$K$17),0))</f>
        <v>FY27E</v>
      </c>
      <c r="AC2" s="522" t="str" cm="1">
        <f t="array" ref="AC2">INDEX(Index_Tab!$G$4:$K$4,MATCH(1,(AC$4&gt;=Index_Tab!$G$5:$K$5)*(AC$4&lt;=Index_Tab!$G$17:$K$17),0))</f>
        <v>FY27E</v>
      </c>
      <c r="AD2" s="522" t="str" cm="1">
        <f t="array" ref="AD2">INDEX(Index_Tab!$G$4:$K$4,MATCH(1,(AD$4&gt;=Index_Tab!$G$5:$K$5)*(AD$4&lt;=Index_Tab!$G$17:$K$17),0))</f>
        <v>FY28E</v>
      </c>
      <c r="AE2" s="522" t="str" cm="1">
        <f t="array" ref="AE2">INDEX(Index_Tab!$G$4:$K$4,MATCH(1,(AE$4&gt;=Index_Tab!$G$5:$K$5)*(AE$4&lt;=Index_Tab!$G$17:$K$17),0))</f>
        <v>FY28E</v>
      </c>
      <c r="AF2" s="522" t="str" cm="1">
        <f t="array" ref="AF2">INDEX(Index_Tab!$G$4:$K$4,MATCH(1,(AF$4&gt;=Index_Tab!$G$5:$K$5)*(AF$4&lt;=Index_Tab!$G$17:$K$17),0))</f>
        <v>FY28E</v>
      </c>
      <c r="AG2" s="522" t="str" cm="1">
        <f t="array" ref="AG2">INDEX(Index_Tab!$G$4:$K$4,MATCH(1,(AG$4&gt;=Index_Tab!$G$5:$K$5)*(AG$4&lt;=Index_Tab!$G$17:$K$17),0))</f>
        <v>FY28E</v>
      </c>
      <c r="AH2" s="522" t="str" cm="1">
        <f t="array" ref="AH2">INDEX(Index_Tab!$G$4:$K$4,MATCH(1,(AH$4&gt;=Index_Tab!$G$5:$K$5)*(AH$4&lt;=Index_Tab!$G$17:$K$17),0))</f>
        <v>FY28E</v>
      </c>
      <c r="AI2" s="522" t="str" cm="1">
        <f t="array" ref="AI2">INDEX(Index_Tab!$G$4:$K$4,MATCH(1,(AI$4&gt;=Index_Tab!$G$5:$K$5)*(AI$4&lt;=Index_Tab!$G$17:$K$17),0))</f>
        <v>FY28E</v>
      </c>
      <c r="AJ2" s="522" t="str" cm="1">
        <f t="array" ref="AJ2">INDEX(Index_Tab!$G$4:$K$4,MATCH(1,(AJ$4&gt;=Index_Tab!$G$5:$K$5)*(AJ$4&lt;=Index_Tab!$G$17:$K$17),0))</f>
        <v>FY28E</v>
      </c>
      <c r="AK2" s="522" t="str" cm="1">
        <f t="array" ref="AK2">INDEX(Index_Tab!$G$4:$K$4,MATCH(1,(AK$4&gt;=Index_Tab!$G$5:$K$5)*(AK$4&lt;=Index_Tab!$G$17:$K$17),0))</f>
        <v>FY28E</v>
      </c>
      <c r="AL2" s="522" t="str" cm="1">
        <f t="array" ref="AL2">INDEX(Index_Tab!$G$4:$K$4,MATCH(1,(AL$4&gt;=Index_Tab!$G$5:$K$5)*(AL$4&lt;=Index_Tab!$G$17:$K$17),0))</f>
        <v>FY28E</v>
      </c>
      <c r="AM2" s="522" t="str" cm="1">
        <f t="array" ref="AM2">INDEX(Index_Tab!$G$4:$K$4,MATCH(1,(AM$4&gt;=Index_Tab!$G$5:$K$5)*(AM$4&lt;=Index_Tab!$G$17:$K$17),0))</f>
        <v>FY28E</v>
      </c>
      <c r="AN2" s="522" t="str" cm="1">
        <f t="array" ref="AN2">INDEX(Index_Tab!$G$4:$K$4,MATCH(1,(AN$4&gt;=Index_Tab!$G$5:$K$5)*(AN$4&lt;=Index_Tab!$G$17:$K$17),0))</f>
        <v>FY28E</v>
      </c>
      <c r="AO2" s="522" t="str" cm="1">
        <f t="array" ref="AO2">INDEX(Index_Tab!$G$4:$K$4,MATCH(1,(AO$4&gt;=Index_Tab!$G$5:$K$5)*(AO$4&lt;=Index_Tab!$G$17:$K$17),0))</f>
        <v>FY28E</v>
      </c>
      <c r="AP2" s="522" t="str" cm="1">
        <f t="array" ref="AP2">INDEX(Index_Tab!$G$4:$K$4,MATCH(1,(AP$4&gt;=Index_Tab!$G$5:$K$5)*(AP$4&lt;=Index_Tab!$G$17:$K$17),0))</f>
        <v>FY29E</v>
      </c>
      <c r="AQ2" s="522" t="str" cm="1">
        <f t="array" ref="AQ2">INDEX(Index_Tab!$G$4:$K$4,MATCH(1,(AQ$4&gt;=Index_Tab!$G$5:$K$5)*(AQ$4&lt;=Index_Tab!$G$17:$K$17),0))</f>
        <v>FY29E</v>
      </c>
      <c r="AR2" s="522" t="str" cm="1">
        <f t="array" ref="AR2">INDEX(Index_Tab!$G$4:$K$4,MATCH(1,(AR$4&gt;=Index_Tab!$G$5:$K$5)*(AR$4&lt;=Index_Tab!$G$17:$K$17),0))</f>
        <v>FY29E</v>
      </c>
      <c r="AS2" s="522" t="str" cm="1">
        <f t="array" ref="AS2">INDEX(Index_Tab!$G$4:$K$4,MATCH(1,(AS$4&gt;=Index_Tab!$G$5:$K$5)*(AS$4&lt;=Index_Tab!$G$17:$K$17),0))</f>
        <v>FY29E</v>
      </c>
      <c r="AT2" s="522" t="str" cm="1">
        <f t="array" ref="AT2">INDEX(Index_Tab!$G$4:$K$4,MATCH(1,(AT$4&gt;=Index_Tab!$G$5:$K$5)*(AT$4&lt;=Index_Tab!$G$17:$K$17),0))</f>
        <v>FY29E</v>
      </c>
      <c r="AU2" s="522" t="str" cm="1">
        <f t="array" ref="AU2">INDEX(Index_Tab!$G$4:$K$4,MATCH(1,(AU$4&gt;=Index_Tab!$G$5:$K$5)*(AU$4&lt;=Index_Tab!$G$17:$K$17),0))</f>
        <v>FY29E</v>
      </c>
      <c r="AV2" s="522" t="str" cm="1">
        <f t="array" ref="AV2">INDEX(Index_Tab!$G$4:$K$4,MATCH(1,(AV$4&gt;=Index_Tab!$G$5:$K$5)*(AV$4&lt;=Index_Tab!$G$17:$K$17),0))</f>
        <v>FY29E</v>
      </c>
      <c r="AW2" s="522" t="str" cm="1">
        <f t="array" ref="AW2">INDEX(Index_Tab!$G$4:$K$4,MATCH(1,(AW$4&gt;=Index_Tab!$G$5:$K$5)*(AW$4&lt;=Index_Tab!$G$17:$K$17),0))</f>
        <v>FY29E</v>
      </c>
      <c r="AX2" s="522" t="str" cm="1">
        <f t="array" ref="AX2">INDEX(Index_Tab!$G$4:$K$4,MATCH(1,(AX$4&gt;=Index_Tab!$G$5:$K$5)*(AX$4&lt;=Index_Tab!$G$17:$K$17),0))</f>
        <v>FY29E</v>
      </c>
      <c r="AY2" s="522" t="str" cm="1">
        <f t="array" ref="AY2">INDEX(Index_Tab!$G$4:$K$4,MATCH(1,(AY$4&gt;=Index_Tab!$G$5:$K$5)*(AY$4&lt;=Index_Tab!$G$17:$K$17),0))</f>
        <v>FY29E</v>
      </c>
      <c r="AZ2" s="522" t="str" cm="1">
        <f t="array" ref="AZ2">INDEX(Index_Tab!$G$4:$K$4,MATCH(1,(AZ$4&gt;=Index_Tab!$G$5:$K$5)*(AZ$4&lt;=Index_Tab!$G$17:$K$17),0))</f>
        <v>FY29E</v>
      </c>
      <c r="BA2" s="522" t="str" cm="1">
        <f t="array" ref="BA2">INDEX(Index_Tab!$G$4:$K$4,MATCH(1,(BA$4&gt;=Index_Tab!$G$5:$K$5)*(BA$4&lt;=Index_Tab!$G$17:$K$17),0))</f>
        <v>FY29E</v>
      </c>
      <c r="BB2" s="522" t="str" cm="1">
        <f t="array" ref="BB2">INDEX(Index_Tab!$G$4:$K$4,MATCH(1,(BB$4&gt;=Index_Tab!$G$5:$K$5)*(BB$4&lt;=Index_Tab!$G$17:$K$17),0))</f>
        <v>FY30E</v>
      </c>
      <c r="BC2" s="522" t="str" cm="1">
        <f t="array" ref="BC2">INDEX(Index_Tab!$G$4:$K$4,MATCH(1,(BC$4&gt;=Index_Tab!$G$5:$K$5)*(BC$4&lt;=Index_Tab!$G$17:$K$17),0))</f>
        <v>FY30E</v>
      </c>
      <c r="BD2" s="522" t="str" cm="1">
        <f t="array" ref="BD2">INDEX(Index_Tab!$G$4:$K$4,MATCH(1,(BD$4&gt;=Index_Tab!$G$5:$K$5)*(BD$4&lt;=Index_Tab!$G$17:$K$17),0))</f>
        <v>FY30E</v>
      </c>
      <c r="BE2" s="522" t="str" cm="1">
        <f t="array" ref="BE2">INDEX(Index_Tab!$G$4:$K$4,MATCH(1,(BE$4&gt;=Index_Tab!$G$5:$K$5)*(BE$4&lt;=Index_Tab!$G$17:$K$17),0))</f>
        <v>FY30E</v>
      </c>
      <c r="BF2" s="522" t="str" cm="1">
        <f t="array" ref="BF2">INDEX(Index_Tab!$G$4:$K$4,MATCH(1,(BF$4&gt;=Index_Tab!$G$5:$K$5)*(BF$4&lt;=Index_Tab!$G$17:$K$17),0))</f>
        <v>FY30E</v>
      </c>
      <c r="BG2" s="522" t="str" cm="1">
        <f t="array" ref="BG2">INDEX(Index_Tab!$G$4:$K$4,MATCH(1,(BG$4&gt;=Index_Tab!$G$5:$K$5)*(BG$4&lt;=Index_Tab!$G$17:$K$17),0))</f>
        <v>FY30E</v>
      </c>
      <c r="BH2" s="522" t="str" cm="1">
        <f t="array" ref="BH2">INDEX(Index_Tab!$G$4:$K$4,MATCH(1,(BH$4&gt;=Index_Tab!$G$5:$K$5)*(BH$4&lt;=Index_Tab!$G$17:$K$17),0))</f>
        <v>FY30E</v>
      </c>
      <c r="BI2" s="522" t="str" cm="1">
        <f t="array" ref="BI2">INDEX(Index_Tab!$G$4:$K$4,MATCH(1,(BI$4&gt;=Index_Tab!$G$5:$K$5)*(BI$4&lt;=Index_Tab!$G$17:$K$17),0))</f>
        <v>FY30E</v>
      </c>
      <c r="BJ2" s="522" t="str" cm="1">
        <f t="array" ref="BJ2">INDEX(Index_Tab!$G$4:$K$4,MATCH(1,(BJ$4&gt;=Index_Tab!$G$5:$K$5)*(BJ$4&lt;=Index_Tab!$G$17:$K$17),0))</f>
        <v>FY30E</v>
      </c>
      <c r="BK2" s="522" t="str" cm="1">
        <f t="array" ref="BK2">INDEX(Index_Tab!$G$4:$K$4,MATCH(1,(BK$4&gt;=Index_Tab!$G$5:$K$5)*(BK$4&lt;=Index_Tab!$G$17:$K$17),0))</f>
        <v>FY30E</v>
      </c>
      <c r="BL2" s="522" t="str" cm="1">
        <f t="array" ref="BL2">INDEX(Index_Tab!$G$4:$K$4,MATCH(1,(BL$4&gt;=Index_Tab!$G$5:$K$5)*(BL$4&lt;=Index_Tab!$G$17:$K$17),0))</f>
        <v>FY30E</v>
      </c>
      <c r="BM2" s="522" t="str" cm="1">
        <f t="array" ref="BM2">INDEX(Index_Tab!$G$4:$K$4,MATCH(1,(BM$4&gt;=Index_Tab!$G$5:$K$5)*(BM$4&lt;=Index_Tab!$G$17:$K$17),0))</f>
        <v>FY30E</v>
      </c>
      <c r="BN2" s="522" t="str" cm="1">
        <f t="array" ref="BN2">INDEX(Index_Tab!$G$4:$K$4,MATCH(1,(BN$4&gt;=Index_Tab!$G$5:$K$5)*(BN$4&lt;=Index_Tab!$G$17:$K$17),0))</f>
        <v>FY31E</v>
      </c>
      <c r="BO2" s="522" t="str" cm="1">
        <f t="array" ref="BO2">INDEX(Index_Tab!$G$4:$K$4,MATCH(1,(BO$4&gt;=Index_Tab!$G$5:$K$5)*(BO$4&lt;=Index_Tab!$G$17:$K$17),0))</f>
        <v>FY31E</v>
      </c>
      <c r="BP2" s="522" t="str" cm="1">
        <f t="array" ref="BP2">INDEX(Index_Tab!$G$4:$K$4,MATCH(1,(BP$4&gt;=Index_Tab!$G$5:$K$5)*(BP$4&lt;=Index_Tab!$G$17:$K$17),0))</f>
        <v>FY31E</v>
      </c>
      <c r="BQ2" s="522" t="str" cm="1">
        <f t="array" ref="BQ2">INDEX(Index_Tab!$G$4:$K$4,MATCH(1,(BQ$4&gt;=Index_Tab!$G$5:$K$5)*(BQ$4&lt;=Index_Tab!$G$17:$K$17),0))</f>
        <v>FY31E</v>
      </c>
      <c r="BR2" s="522" t="str" cm="1">
        <f t="array" ref="BR2">INDEX(Index_Tab!$G$4:$K$4,MATCH(1,(BR$4&gt;=Index_Tab!$G$5:$K$5)*(BR$4&lt;=Index_Tab!$G$17:$K$17),0))</f>
        <v>FY31E</v>
      </c>
      <c r="BS2" s="522" t="str" cm="1">
        <f t="array" ref="BS2">INDEX(Index_Tab!$G$4:$K$4,MATCH(1,(BS$4&gt;=Index_Tab!$G$5:$K$5)*(BS$4&lt;=Index_Tab!$G$17:$K$17),0))</f>
        <v>FY31E</v>
      </c>
      <c r="BT2" s="522" t="str" cm="1">
        <f t="array" ref="BT2">INDEX(Index_Tab!$G$4:$K$4,MATCH(1,(BT$4&gt;=Index_Tab!$G$5:$K$5)*(BT$4&lt;=Index_Tab!$G$17:$K$17),0))</f>
        <v>FY31E</v>
      </c>
      <c r="BU2" s="522" t="str" cm="1">
        <f t="array" ref="BU2">INDEX(Index_Tab!$G$4:$K$4,MATCH(1,(BU$4&gt;=Index_Tab!$G$5:$K$5)*(BU$4&lt;=Index_Tab!$G$17:$K$17),0))</f>
        <v>FY31E</v>
      </c>
      <c r="BV2" s="522" t="str" cm="1">
        <f t="array" ref="BV2">INDEX(Index_Tab!$G$4:$K$4,MATCH(1,(BV$4&gt;=Index_Tab!$G$5:$K$5)*(BV$4&lt;=Index_Tab!$G$17:$K$17),0))</f>
        <v>FY31E</v>
      </c>
      <c r="BW2" s="522" t="str" cm="1">
        <f t="array" ref="BW2">INDEX(Index_Tab!$G$4:$K$4,MATCH(1,(BW$4&gt;=Index_Tab!$G$5:$K$5)*(BW$4&lt;=Index_Tab!$G$17:$K$17),0))</f>
        <v>FY31E</v>
      </c>
      <c r="BX2" s="522" t="str" cm="1">
        <f t="array" ref="BX2">INDEX(Index_Tab!$G$4:$K$4,MATCH(1,(BX$4&gt;=Index_Tab!$G$5:$K$5)*(BX$4&lt;=Index_Tab!$G$17:$K$17),0))</f>
        <v>FY31E</v>
      </c>
      <c r="BY2" s="522" t="str" cm="1">
        <f t="array" ref="BY2">INDEX(Index_Tab!$G$4:$K$4,MATCH(1,(BY$4&gt;=Index_Tab!$G$5:$K$5)*(BY$4&lt;=Index_Tab!$G$17:$K$17),0))</f>
        <v>FY31E</v>
      </c>
      <c r="BZ2" s="537"/>
      <c r="CA2" s="537"/>
      <c r="CB2" s="537"/>
    </row>
    <row r="3" spans="1:80" x14ac:dyDescent="0.3">
      <c r="A3" s="537"/>
      <c r="B3" s="552" t="str">
        <f>INDEX(Portfolio_Categorisation!$E$6:$E$10,MATCH($B$2,Portfolio_Categorisation!$C$6:$C$10,0))</f>
        <v>Portfolio</v>
      </c>
      <c r="C3" s="551"/>
      <c r="D3" s="537"/>
      <c r="E3" s="553"/>
      <c r="F3" s="553"/>
      <c r="G3" s="553"/>
      <c r="H3" s="554"/>
      <c r="I3" s="555" t="str">
        <f>'Detailed Assumptions'!$E$17</f>
        <v>FY26E</v>
      </c>
      <c r="J3" s="555" t="str">
        <f>'Detailed Assumptions'!$F$17</f>
        <v>FY27E</v>
      </c>
      <c r="K3" s="555" t="str">
        <f>'Detailed Assumptions'!$G$17</f>
        <v>FY28E</v>
      </c>
      <c r="L3" s="555" t="str">
        <f>'Detailed Assumptions'!$H$17</f>
        <v>FY29E</v>
      </c>
      <c r="M3" s="555" t="str">
        <f>'Detailed Assumptions'!$I$17</f>
        <v>FY30E</v>
      </c>
      <c r="N3" s="555" t="str">
        <f>'Detailed Assumptions'!$J$17</f>
        <v>FY31E</v>
      </c>
      <c r="O3" s="556"/>
      <c r="P3" s="557" t="str">
        <f>I3&amp;"-"&amp;N3</f>
        <v>FY26E-FY31E</v>
      </c>
      <c r="Q3" s="554"/>
      <c r="R3" s="523">
        <f>'Detailed Assumptions'!$E$12</f>
        <v>46296</v>
      </c>
      <c r="S3" s="523">
        <f>R4+1</f>
        <v>46327</v>
      </c>
      <c r="T3" s="523">
        <f t="shared" ref="T3:AN3" si="0">S4+1</f>
        <v>46357</v>
      </c>
      <c r="U3" s="523">
        <f t="shared" si="0"/>
        <v>46388</v>
      </c>
      <c r="V3" s="523">
        <f t="shared" si="0"/>
        <v>46419</v>
      </c>
      <c r="W3" s="523">
        <f>V4+1</f>
        <v>46447</v>
      </c>
      <c r="X3" s="523">
        <f t="shared" si="0"/>
        <v>46478</v>
      </c>
      <c r="Y3" s="523">
        <f t="shared" si="0"/>
        <v>46508</v>
      </c>
      <c r="Z3" s="523">
        <f t="shared" si="0"/>
        <v>46539</v>
      </c>
      <c r="AA3" s="523">
        <f t="shared" si="0"/>
        <v>46569</v>
      </c>
      <c r="AB3" s="523">
        <f t="shared" si="0"/>
        <v>46600</v>
      </c>
      <c r="AC3" s="523">
        <f>AB4+1</f>
        <v>46631</v>
      </c>
      <c r="AD3" s="523">
        <f>AC4+1</f>
        <v>46661</v>
      </c>
      <c r="AE3" s="523">
        <f>AD4+1</f>
        <v>46692</v>
      </c>
      <c r="AF3" s="523">
        <f t="shared" si="0"/>
        <v>46722</v>
      </c>
      <c r="AG3" s="523">
        <f t="shared" si="0"/>
        <v>46753</v>
      </c>
      <c r="AH3" s="523">
        <f t="shared" si="0"/>
        <v>46784</v>
      </c>
      <c r="AI3" s="523">
        <f>AH4+1</f>
        <v>46813</v>
      </c>
      <c r="AJ3" s="523">
        <f t="shared" si="0"/>
        <v>46844</v>
      </c>
      <c r="AK3" s="523">
        <f t="shared" si="0"/>
        <v>46874</v>
      </c>
      <c r="AL3" s="523">
        <f t="shared" si="0"/>
        <v>46905</v>
      </c>
      <c r="AM3" s="523">
        <f t="shared" si="0"/>
        <v>46935</v>
      </c>
      <c r="AN3" s="523">
        <f t="shared" si="0"/>
        <v>46966</v>
      </c>
      <c r="AO3" s="523">
        <f>AN4+1</f>
        <v>46997</v>
      </c>
      <c r="AP3" s="523">
        <f>AO4+1</f>
        <v>47027</v>
      </c>
      <c r="AQ3" s="523">
        <f>AP4+1</f>
        <v>47058</v>
      </c>
      <c r="AR3" s="523">
        <f t="shared" ref="AR3:AZ3" si="1">AQ4+1</f>
        <v>47088</v>
      </c>
      <c r="AS3" s="523">
        <f t="shared" si="1"/>
        <v>47119</v>
      </c>
      <c r="AT3" s="523">
        <f t="shared" si="1"/>
        <v>47150</v>
      </c>
      <c r="AU3" s="523">
        <f>AT4+1</f>
        <v>47178</v>
      </c>
      <c r="AV3" s="523">
        <f t="shared" si="1"/>
        <v>47209</v>
      </c>
      <c r="AW3" s="523">
        <f t="shared" si="1"/>
        <v>47239</v>
      </c>
      <c r="AX3" s="523">
        <f t="shared" si="1"/>
        <v>47270</v>
      </c>
      <c r="AY3" s="523">
        <f t="shared" si="1"/>
        <v>47300</v>
      </c>
      <c r="AZ3" s="523">
        <f t="shared" si="1"/>
        <v>47331</v>
      </c>
      <c r="BA3" s="523">
        <f>AZ4+1</f>
        <v>47362</v>
      </c>
      <c r="BB3" s="523">
        <f>BA4+1</f>
        <v>47392</v>
      </c>
      <c r="BC3" s="523">
        <f>BB4+1</f>
        <v>47423</v>
      </c>
      <c r="BD3" s="523">
        <f t="shared" ref="BD3:BL3" si="2">BC4+1</f>
        <v>47453</v>
      </c>
      <c r="BE3" s="523">
        <f t="shared" si="2"/>
        <v>47484</v>
      </c>
      <c r="BF3" s="523">
        <f t="shared" si="2"/>
        <v>47515</v>
      </c>
      <c r="BG3" s="523">
        <f>BF4+1</f>
        <v>47543</v>
      </c>
      <c r="BH3" s="523">
        <f t="shared" si="2"/>
        <v>47574</v>
      </c>
      <c r="BI3" s="523">
        <f t="shared" si="2"/>
        <v>47604</v>
      </c>
      <c r="BJ3" s="523">
        <f t="shared" si="2"/>
        <v>47635</v>
      </c>
      <c r="BK3" s="523">
        <f t="shared" si="2"/>
        <v>47665</v>
      </c>
      <c r="BL3" s="523">
        <f t="shared" si="2"/>
        <v>47696</v>
      </c>
      <c r="BM3" s="523">
        <f>BL4+1</f>
        <v>47727</v>
      </c>
      <c r="BN3" s="523">
        <f>BM4+1</f>
        <v>47757</v>
      </c>
      <c r="BO3" s="523">
        <f>BN4+1</f>
        <v>47788</v>
      </c>
      <c r="BP3" s="523">
        <f t="shared" ref="BP3:BX3" si="3">BO4+1</f>
        <v>47818</v>
      </c>
      <c r="BQ3" s="523">
        <f t="shared" si="3"/>
        <v>47849</v>
      </c>
      <c r="BR3" s="523">
        <f t="shared" si="3"/>
        <v>47880</v>
      </c>
      <c r="BS3" s="523">
        <f>BR4+1</f>
        <v>47908</v>
      </c>
      <c r="BT3" s="523">
        <f t="shared" si="3"/>
        <v>47939</v>
      </c>
      <c r="BU3" s="523">
        <f t="shared" si="3"/>
        <v>47969</v>
      </c>
      <c r="BV3" s="523">
        <f t="shared" si="3"/>
        <v>48000</v>
      </c>
      <c r="BW3" s="523">
        <f t="shared" si="3"/>
        <v>48030</v>
      </c>
      <c r="BX3" s="523">
        <f t="shared" si="3"/>
        <v>48061</v>
      </c>
      <c r="BY3" s="523">
        <f>BX4+1</f>
        <v>48092</v>
      </c>
      <c r="BZ3" s="537"/>
      <c r="CA3" s="537"/>
      <c r="CB3" s="554"/>
    </row>
    <row r="4" spans="1:80" x14ac:dyDescent="0.3">
      <c r="A4" s="537"/>
      <c r="B4" s="552" t="str">
        <f>INDEX(Portfolio_Categorisation!$D$6:$D$10,MATCH($B$2,Portfolio_Categorisation!$C$6:$C$10,0))</f>
        <v>Premium</v>
      </c>
      <c r="C4" s="551"/>
      <c r="D4" s="537"/>
      <c r="E4" s="553"/>
      <c r="F4" s="553"/>
      <c r="G4" s="553"/>
      <c r="H4" s="554"/>
      <c r="I4" s="524">
        <f>'Detailed Assumptions'!$E$12-1</f>
        <v>46295</v>
      </c>
      <c r="J4" s="524">
        <f>EOMONTH(I4,12)</f>
        <v>46660</v>
      </c>
      <c r="K4" s="524">
        <f>EOMONTH(J4,12)</f>
        <v>47026</v>
      </c>
      <c r="L4" s="524">
        <f>EOMONTH(K4,12)</f>
        <v>47391</v>
      </c>
      <c r="M4" s="524">
        <f>EOMONTH(L4,12)</f>
        <v>47756</v>
      </c>
      <c r="N4" s="524">
        <f>EOMONTH(M4,12)</f>
        <v>48121</v>
      </c>
      <c r="O4" s="558"/>
      <c r="P4" s="559" t="s">
        <v>180</v>
      </c>
      <c r="Q4" s="554"/>
      <c r="R4" s="524">
        <f>EOMONTH(R3,0)</f>
        <v>46326</v>
      </c>
      <c r="S4" s="524">
        <f>EOMONTH(S3,0)</f>
        <v>46356</v>
      </c>
      <c r="T4" s="524">
        <f t="shared" ref="T4:BY4" si="4">EOMONTH(T3,0)</f>
        <v>46387</v>
      </c>
      <c r="U4" s="524">
        <f t="shared" si="4"/>
        <v>46418</v>
      </c>
      <c r="V4" s="524">
        <f t="shared" si="4"/>
        <v>46446</v>
      </c>
      <c r="W4" s="524">
        <f>EOMONTH(W3,0)</f>
        <v>46477</v>
      </c>
      <c r="X4" s="524">
        <f t="shared" si="4"/>
        <v>46507</v>
      </c>
      <c r="Y4" s="524">
        <f t="shared" si="4"/>
        <v>46538</v>
      </c>
      <c r="Z4" s="524">
        <f t="shared" si="4"/>
        <v>46568</v>
      </c>
      <c r="AA4" s="524">
        <f t="shared" si="4"/>
        <v>46599</v>
      </c>
      <c r="AB4" s="524">
        <f t="shared" si="4"/>
        <v>46630</v>
      </c>
      <c r="AC4" s="524">
        <f t="shared" si="4"/>
        <v>46660</v>
      </c>
      <c r="AD4" s="524">
        <f t="shared" si="4"/>
        <v>46691</v>
      </c>
      <c r="AE4" s="524">
        <f t="shared" si="4"/>
        <v>46721</v>
      </c>
      <c r="AF4" s="524">
        <f t="shared" si="4"/>
        <v>46752</v>
      </c>
      <c r="AG4" s="524">
        <f t="shared" si="4"/>
        <v>46783</v>
      </c>
      <c r="AH4" s="524">
        <f t="shared" si="4"/>
        <v>46812</v>
      </c>
      <c r="AI4" s="524">
        <f t="shared" si="4"/>
        <v>46843</v>
      </c>
      <c r="AJ4" s="524">
        <f t="shared" si="4"/>
        <v>46873</v>
      </c>
      <c r="AK4" s="524">
        <f t="shared" si="4"/>
        <v>46904</v>
      </c>
      <c r="AL4" s="524">
        <f t="shared" si="4"/>
        <v>46934</v>
      </c>
      <c r="AM4" s="524">
        <f t="shared" si="4"/>
        <v>46965</v>
      </c>
      <c r="AN4" s="524">
        <f t="shared" si="4"/>
        <v>46996</v>
      </c>
      <c r="AO4" s="524">
        <f t="shared" si="4"/>
        <v>47026</v>
      </c>
      <c r="AP4" s="524">
        <f t="shared" si="4"/>
        <v>47057</v>
      </c>
      <c r="AQ4" s="524">
        <f t="shared" si="4"/>
        <v>47087</v>
      </c>
      <c r="AR4" s="524">
        <f t="shared" si="4"/>
        <v>47118</v>
      </c>
      <c r="AS4" s="524">
        <f t="shared" si="4"/>
        <v>47149</v>
      </c>
      <c r="AT4" s="524">
        <f t="shared" si="4"/>
        <v>47177</v>
      </c>
      <c r="AU4" s="524">
        <f t="shared" si="4"/>
        <v>47208</v>
      </c>
      <c r="AV4" s="524">
        <f t="shared" si="4"/>
        <v>47238</v>
      </c>
      <c r="AW4" s="524">
        <f t="shared" si="4"/>
        <v>47269</v>
      </c>
      <c r="AX4" s="524">
        <f t="shared" si="4"/>
        <v>47299</v>
      </c>
      <c r="AY4" s="524">
        <f t="shared" si="4"/>
        <v>47330</v>
      </c>
      <c r="AZ4" s="524">
        <f t="shared" si="4"/>
        <v>47361</v>
      </c>
      <c r="BA4" s="524">
        <f t="shared" si="4"/>
        <v>47391</v>
      </c>
      <c r="BB4" s="524">
        <f t="shared" si="4"/>
        <v>47422</v>
      </c>
      <c r="BC4" s="524">
        <f t="shared" si="4"/>
        <v>47452</v>
      </c>
      <c r="BD4" s="524">
        <f t="shared" si="4"/>
        <v>47483</v>
      </c>
      <c r="BE4" s="524">
        <f t="shared" si="4"/>
        <v>47514</v>
      </c>
      <c r="BF4" s="524">
        <f t="shared" si="4"/>
        <v>47542</v>
      </c>
      <c r="BG4" s="524">
        <f t="shared" si="4"/>
        <v>47573</v>
      </c>
      <c r="BH4" s="524">
        <f t="shared" si="4"/>
        <v>47603</v>
      </c>
      <c r="BI4" s="524">
        <f t="shared" si="4"/>
        <v>47634</v>
      </c>
      <c r="BJ4" s="524">
        <f t="shared" si="4"/>
        <v>47664</v>
      </c>
      <c r="BK4" s="524">
        <f t="shared" si="4"/>
        <v>47695</v>
      </c>
      <c r="BL4" s="524">
        <f t="shared" si="4"/>
        <v>47726</v>
      </c>
      <c r="BM4" s="524">
        <f t="shared" si="4"/>
        <v>47756</v>
      </c>
      <c r="BN4" s="524">
        <f t="shared" si="4"/>
        <v>47787</v>
      </c>
      <c r="BO4" s="524">
        <f t="shared" si="4"/>
        <v>47817</v>
      </c>
      <c r="BP4" s="524">
        <f t="shared" si="4"/>
        <v>47848</v>
      </c>
      <c r="BQ4" s="524">
        <f t="shared" si="4"/>
        <v>47879</v>
      </c>
      <c r="BR4" s="524">
        <f t="shared" si="4"/>
        <v>47907</v>
      </c>
      <c r="BS4" s="524">
        <f t="shared" si="4"/>
        <v>47938</v>
      </c>
      <c r="BT4" s="524">
        <f t="shared" si="4"/>
        <v>47968</v>
      </c>
      <c r="BU4" s="524">
        <f t="shared" si="4"/>
        <v>47999</v>
      </c>
      <c r="BV4" s="524">
        <f t="shared" si="4"/>
        <v>48029</v>
      </c>
      <c r="BW4" s="524">
        <f t="shared" si="4"/>
        <v>48060</v>
      </c>
      <c r="BX4" s="524">
        <f t="shared" si="4"/>
        <v>48091</v>
      </c>
      <c r="BY4" s="524">
        <f t="shared" si="4"/>
        <v>48121</v>
      </c>
      <c r="BZ4" s="537"/>
      <c r="CA4" s="537"/>
      <c r="CB4" s="554"/>
    </row>
    <row r="5" spans="1:80" ht="5.0999999999999996" customHeight="1" x14ac:dyDescent="0.3">
      <c r="A5" s="537"/>
      <c r="B5" s="548"/>
      <c r="C5" s="551"/>
      <c r="D5" s="537"/>
      <c r="E5" s="525"/>
      <c r="F5" s="525"/>
      <c r="G5" s="525"/>
      <c r="H5" s="554"/>
      <c r="I5" s="537"/>
      <c r="J5" s="537"/>
      <c r="K5" s="537"/>
      <c r="L5" s="537"/>
      <c r="M5" s="537"/>
      <c r="N5" s="537"/>
      <c r="O5" s="537"/>
      <c r="P5" s="547"/>
      <c r="Q5" s="554"/>
      <c r="R5" s="525"/>
      <c r="S5" s="525"/>
      <c r="T5" s="525"/>
      <c r="U5" s="525"/>
      <c r="V5" s="525"/>
      <c r="W5" s="525"/>
      <c r="X5" s="525"/>
      <c r="Y5" s="525"/>
      <c r="Z5" s="525"/>
      <c r="AA5" s="525"/>
      <c r="AB5" s="525"/>
      <c r="AC5" s="525"/>
      <c r="AD5" s="525"/>
      <c r="AE5" s="525"/>
      <c r="AF5" s="525"/>
      <c r="AG5" s="525"/>
      <c r="AH5" s="525"/>
      <c r="AI5" s="525"/>
      <c r="AJ5" s="525"/>
      <c r="AK5" s="525"/>
      <c r="AL5" s="525"/>
      <c r="AM5" s="525"/>
      <c r="AN5" s="525"/>
      <c r="AO5" s="525"/>
      <c r="AP5" s="525"/>
      <c r="AQ5" s="525"/>
      <c r="AR5" s="525"/>
      <c r="AS5" s="525"/>
      <c r="AT5" s="525"/>
      <c r="AU5" s="525"/>
      <c r="AV5" s="525"/>
      <c r="AW5" s="525"/>
      <c r="AX5" s="525"/>
      <c r="AY5" s="525"/>
      <c r="AZ5" s="525"/>
      <c r="BA5" s="525"/>
      <c r="BB5" s="525"/>
      <c r="BC5" s="525"/>
      <c r="BD5" s="525"/>
      <c r="BE5" s="525"/>
      <c r="BF5" s="525"/>
      <c r="BG5" s="525"/>
      <c r="BH5" s="525"/>
      <c r="BI5" s="525"/>
      <c r="BJ5" s="525"/>
      <c r="BK5" s="525"/>
      <c r="BL5" s="525"/>
      <c r="BM5" s="525"/>
      <c r="BN5" s="525"/>
      <c r="BO5" s="525"/>
      <c r="BP5" s="525"/>
      <c r="BQ5" s="525"/>
      <c r="BR5" s="525"/>
      <c r="BS5" s="525"/>
      <c r="BT5" s="525"/>
      <c r="BU5" s="525"/>
      <c r="BV5" s="525"/>
      <c r="BW5" s="525"/>
      <c r="BX5" s="525"/>
      <c r="BY5" s="525"/>
      <c r="BZ5" s="537"/>
      <c r="CA5" s="537"/>
      <c r="CB5" s="554"/>
    </row>
    <row r="6" spans="1:80" ht="12.75" customHeight="1" x14ac:dyDescent="0.3">
      <c r="A6" s="537"/>
      <c r="B6" s="548"/>
      <c r="C6" s="547"/>
      <c r="D6" s="537"/>
      <c r="E6" s="525"/>
      <c r="F6" s="525"/>
      <c r="G6" s="525"/>
      <c r="H6" s="554"/>
      <c r="I6" s="537"/>
      <c r="J6" s="537"/>
      <c r="K6" s="537"/>
      <c r="L6" s="537"/>
      <c r="M6" s="537"/>
      <c r="N6" s="537"/>
      <c r="O6" s="537"/>
      <c r="P6" s="547"/>
      <c r="Q6" s="554"/>
      <c r="R6" s="525"/>
      <c r="S6" s="525"/>
      <c r="T6" s="525"/>
      <c r="U6" s="525"/>
      <c r="V6" s="525"/>
      <c r="W6" s="525"/>
      <c r="X6" s="525"/>
      <c r="Y6" s="525"/>
      <c r="Z6" s="525"/>
      <c r="AA6" s="525"/>
      <c r="AB6" s="525"/>
      <c r="AC6" s="525"/>
      <c r="AD6" s="525"/>
      <c r="AE6" s="525"/>
      <c r="AF6" s="525"/>
      <c r="AG6" s="525"/>
      <c r="AH6" s="525"/>
      <c r="AI6" s="525"/>
      <c r="AJ6" s="525"/>
      <c r="AK6" s="525"/>
      <c r="AL6" s="525"/>
      <c r="AM6" s="525"/>
      <c r="AN6" s="525"/>
      <c r="AO6" s="525"/>
      <c r="AP6" s="525"/>
      <c r="AQ6" s="525"/>
      <c r="AR6" s="525"/>
      <c r="AS6" s="525"/>
      <c r="AT6" s="525"/>
      <c r="AU6" s="525"/>
      <c r="AV6" s="525"/>
      <c r="AW6" s="525"/>
      <c r="AX6" s="525"/>
      <c r="AY6" s="525"/>
      <c r="AZ6" s="525"/>
      <c r="BA6" s="525"/>
      <c r="BB6" s="525"/>
      <c r="BC6" s="525"/>
      <c r="BD6" s="525"/>
      <c r="BE6" s="525"/>
      <c r="BF6" s="525"/>
      <c r="BG6" s="525"/>
      <c r="BH6" s="525"/>
      <c r="BI6" s="525"/>
      <c r="BJ6" s="525"/>
      <c r="BK6" s="525"/>
      <c r="BL6" s="525"/>
      <c r="BM6" s="525"/>
      <c r="BN6" s="525"/>
      <c r="BO6" s="525"/>
      <c r="BP6" s="525"/>
      <c r="BQ6" s="525"/>
      <c r="BR6" s="525"/>
      <c r="BS6" s="525"/>
      <c r="BT6" s="525"/>
      <c r="BU6" s="525"/>
      <c r="BV6" s="525"/>
      <c r="BW6" s="525"/>
      <c r="BX6" s="525"/>
      <c r="BY6" s="525"/>
      <c r="BZ6" s="537"/>
      <c r="CA6" s="537"/>
      <c r="CB6" s="554"/>
    </row>
    <row r="7" spans="1:80" ht="12.75" customHeight="1" x14ac:dyDescent="0.3">
      <c r="A7" s="551"/>
      <c r="B7" s="548"/>
      <c r="C7" s="560" t="s">
        <v>37</v>
      </c>
      <c r="D7" s="561"/>
      <c r="E7" s="526" t="s">
        <v>120</v>
      </c>
      <c r="F7" s="526"/>
      <c r="G7" s="526"/>
      <c r="H7" s="526"/>
      <c r="I7" s="526"/>
      <c r="J7" s="526"/>
      <c r="K7" s="526"/>
      <c r="L7" s="526"/>
      <c r="M7" s="526"/>
      <c r="N7" s="526"/>
      <c r="O7" s="526"/>
      <c r="P7" s="560"/>
      <c r="Q7" s="526"/>
      <c r="R7" s="526"/>
      <c r="S7" s="526"/>
      <c r="T7" s="526"/>
      <c r="U7" s="526"/>
      <c r="V7" s="526"/>
      <c r="W7" s="526"/>
      <c r="X7" s="526"/>
      <c r="Y7" s="526"/>
      <c r="Z7" s="526"/>
      <c r="AA7" s="526"/>
      <c r="AB7" s="526"/>
      <c r="AC7" s="526"/>
      <c r="AD7" s="526"/>
      <c r="AE7" s="526"/>
      <c r="AF7" s="526"/>
      <c r="AG7" s="526"/>
      <c r="AH7" s="526"/>
      <c r="AI7" s="526"/>
      <c r="AJ7" s="526"/>
      <c r="AK7" s="526"/>
      <c r="AL7" s="526"/>
      <c r="AM7" s="526"/>
      <c r="AN7" s="526"/>
      <c r="AO7" s="526"/>
      <c r="AP7" s="526"/>
      <c r="AQ7" s="526"/>
      <c r="AR7" s="526"/>
      <c r="AS7" s="526"/>
      <c r="AT7" s="526"/>
      <c r="AU7" s="526"/>
      <c r="AV7" s="526"/>
      <c r="AW7" s="526"/>
      <c r="AX7" s="526"/>
      <c r="AY7" s="526"/>
      <c r="AZ7" s="526"/>
      <c r="BA7" s="526"/>
      <c r="BB7" s="526"/>
      <c r="BC7" s="526"/>
      <c r="BD7" s="526"/>
      <c r="BE7" s="526"/>
      <c r="BF7" s="526"/>
      <c r="BG7" s="526"/>
      <c r="BH7" s="526"/>
      <c r="BI7" s="526"/>
      <c r="BJ7" s="526"/>
      <c r="BK7" s="526"/>
      <c r="BL7" s="526"/>
      <c r="BM7" s="526"/>
      <c r="BN7" s="526"/>
      <c r="BO7" s="526"/>
      <c r="BP7" s="526"/>
      <c r="BQ7" s="526"/>
      <c r="BR7" s="526"/>
      <c r="BS7" s="526"/>
      <c r="BT7" s="526"/>
      <c r="BU7" s="526"/>
      <c r="BV7" s="526"/>
      <c r="BW7" s="526"/>
      <c r="BX7" s="526"/>
      <c r="BY7" s="526"/>
      <c r="BZ7" s="537"/>
      <c r="CA7" s="537"/>
      <c r="CB7" s="537"/>
    </row>
    <row r="8" spans="1:80" x14ac:dyDescent="0.3">
      <c r="A8" s="551"/>
      <c r="B8" s="548"/>
      <c r="C8" s="525"/>
      <c r="D8" s="525"/>
      <c r="E8" s="525"/>
      <c r="F8" s="525"/>
      <c r="G8" s="525"/>
      <c r="H8" s="525"/>
      <c r="I8" s="525"/>
      <c r="J8" s="529"/>
      <c r="K8" s="529"/>
      <c r="L8" s="529"/>
      <c r="M8" s="529"/>
      <c r="N8" s="529"/>
      <c r="O8" s="529"/>
      <c r="P8" s="562"/>
      <c r="Q8" s="537"/>
      <c r="R8" s="529"/>
      <c r="S8" s="525"/>
      <c r="T8" s="525"/>
      <c r="U8" s="525"/>
      <c r="V8" s="525"/>
      <c r="W8" s="525"/>
      <c r="X8" s="525"/>
      <c r="Y8" s="525"/>
      <c r="Z8" s="525"/>
      <c r="AA8" s="525"/>
      <c r="AB8" s="525"/>
      <c r="AC8" s="525"/>
      <c r="AD8" s="525"/>
      <c r="AE8" s="525"/>
      <c r="AF8" s="525"/>
      <c r="AG8" s="525"/>
      <c r="AH8" s="525"/>
      <c r="AI8" s="525"/>
      <c r="AJ8" s="525"/>
      <c r="AK8" s="525"/>
      <c r="AL8" s="525"/>
      <c r="AM8" s="525"/>
      <c r="AN8" s="525"/>
      <c r="AO8" s="525"/>
      <c r="AP8" s="525"/>
      <c r="AQ8" s="525"/>
      <c r="AR8" s="525"/>
      <c r="AS8" s="525"/>
      <c r="AT8" s="525"/>
      <c r="AU8" s="525"/>
      <c r="AV8" s="525"/>
      <c r="AW8" s="525"/>
      <c r="AX8" s="525"/>
      <c r="AY8" s="525"/>
      <c r="AZ8" s="525"/>
      <c r="BA8" s="525"/>
      <c r="BB8" s="525"/>
      <c r="BC8" s="525"/>
      <c r="BD8" s="525"/>
      <c r="BE8" s="525"/>
      <c r="BF8" s="525"/>
      <c r="BG8" s="525"/>
      <c r="BH8" s="525"/>
      <c r="BI8" s="525"/>
      <c r="BJ8" s="525"/>
      <c r="BK8" s="525"/>
      <c r="BL8" s="525"/>
      <c r="BM8" s="525"/>
      <c r="BN8" s="525"/>
      <c r="BO8" s="525"/>
      <c r="BP8" s="525"/>
      <c r="BQ8" s="525"/>
      <c r="BR8" s="525"/>
      <c r="BS8" s="525"/>
      <c r="BT8" s="525"/>
      <c r="BU8" s="525"/>
      <c r="BV8" s="525"/>
      <c r="BW8" s="525"/>
      <c r="BX8" s="525"/>
      <c r="BY8" s="525"/>
      <c r="BZ8" s="537"/>
      <c r="CA8" s="537"/>
      <c r="CB8" s="537"/>
    </row>
    <row r="9" spans="1:80" x14ac:dyDescent="0.3">
      <c r="A9" s="551"/>
      <c r="B9" s="548"/>
      <c r="C9" s="525"/>
      <c r="D9" s="525"/>
      <c r="E9" s="525" t="s">
        <v>174</v>
      </c>
      <c r="F9" s="525"/>
      <c r="G9" s="525"/>
      <c r="H9" s="525"/>
      <c r="I9" s="563">
        <f>INDEX(Portfolio_Categorisation!$E$12:$E$15,MATCH($B$2,Portfolio_Categorisation!$C$12:$C$15,0))</f>
        <v>31</v>
      </c>
      <c r="J9" s="527">
        <f>INDEX($R9:$BY9,MATCH(J$4,$R$4:$BY$4,0))</f>
        <v>31</v>
      </c>
      <c r="K9" s="527">
        <f>INDEX($R9:$BY9,MATCH(K$4,$R$4:$BY$4,0))</f>
        <v>31</v>
      </c>
      <c r="L9" s="527">
        <f>INDEX($R9:$BY9,MATCH(L$4,$R$4:$BY$4,0))</f>
        <v>31</v>
      </c>
      <c r="M9" s="527">
        <f>INDEX($R9:$BY9,MATCH(M$4,$R$4:$BY$4,0))</f>
        <v>31</v>
      </c>
      <c r="N9" s="527">
        <f>INDEX($R9:$BY9,MATCH(N$4,$R$4:$BY$4,0))</f>
        <v>31</v>
      </c>
      <c r="O9" s="529"/>
      <c r="P9" s="564"/>
      <c r="Q9" s="537"/>
      <c r="R9" s="527">
        <f t="shared" ref="R9:AW9" si="5">R571</f>
        <v>31</v>
      </c>
      <c r="S9" s="527">
        <f t="shared" si="5"/>
        <v>31</v>
      </c>
      <c r="T9" s="527">
        <f t="shared" si="5"/>
        <v>31</v>
      </c>
      <c r="U9" s="527">
        <f t="shared" si="5"/>
        <v>31</v>
      </c>
      <c r="V9" s="527">
        <f t="shared" si="5"/>
        <v>31</v>
      </c>
      <c r="W9" s="527">
        <f t="shared" si="5"/>
        <v>31</v>
      </c>
      <c r="X9" s="527">
        <f t="shared" si="5"/>
        <v>31</v>
      </c>
      <c r="Y9" s="527">
        <f t="shared" si="5"/>
        <v>31</v>
      </c>
      <c r="Z9" s="527">
        <f t="shared" si="5"/>
        <v>31</v>
      </c>
      <c r="AA9" s="527">
        <f t="shared" si="5"/>
        <v>31</v>
      </c>
      <c r="AB9" s="527">
        <f t="shared" si="5"/>
        <v>31</v>
      </c>
      <c r="AC9" s="527">
        <f t="shared" si="5"/>
        <v>31</v>
      </c>
      <c r="AD9" s="527">
        <f t="shared" si="5"/>
        <v>31</v>
      </c>
      <c r="AE9" s="527">
        <f t="shared" si="5"/>
        <v>31</v>
      </c>
      <c r="AF9" s="527">
        <f t="shared" si="5"/>
        <v>31</v>
      </c>
      <c r="AG9" s="527">
        <f t="shared" si="5"/>
        <v>31</v>
      </c>
      <c r="AH9" s="527">
        <f t="shared" si="5"/>
        <v>31</v>
      </c>
      <c r="AI9" s="527">
        <f t="shared" si="5"/>
        <v>31</v>
      </c>
      <c r="AJ9" s="527">
        <f t="shared" si="5"/>
        <v>31</v>
      </c>
      <c r="AK9" s="527">
        <f t="shared" si="5"/>
        <v>31</v>
      </c>
      <c r="AL9" s="527">
        <f t="shared" si="5"/>
        <v>31</v>
      </c>
      <c r="AM9" s="527">
        <f t="shared" si="5"/>
        <v>31</v>
      </c>
      <c r="AN9" s="527">
        <f t="shared" si="5"/>
        <v>31</v>
      </c>
      <c r="AO9" s="527">
        <f t="shared" si="5"/>
        <v>31</v>
      </c>
      <c r="AP9" s="527">
        <f t="shared" si="5"/>
        <v>31</v>
      </c>
      <c r="AQ9" s="527">
        <f t="shared" si="5"/>
        <v>31</v>
      </c>
      <c r="AR9" s="527">
        <f t="shared" si="5"/>
        <v>31</v>
      </c>
      <c r="AS9" s="527">
        <f t="shared" si="5"/>
        <v>31</v>
      </c>
      <c r="AT9" s="527">
        <f t="shared" si="5"/>
        <v>31</v>
      </c>
      <c r="AU9" s="527">
        <f t="shared" si="5"/>
        <v>31</v>
      </c>
      <c r="AV9" s="527">
        <f t="shared" si="5"/>
        <v>31</v>
      </c>
      <c r="AW9" s="527">
        <f t="shared" si="5"/>
        <v>31</v>
      </c>
      <c r="AX9" s="527">
        <f t="shared" ref="AX9:BY9" si="6">AX571</f>
        <v>31</v>
      </c>
      <c r="AY9" s="527">
        <f t="shared" si="6"/>
        <v>31</v>
      </c>
      <c r="AZ9" s="527">
        <f t="shared" si="6"/>
        <v>31</v>
      </c>
      <c r="BA9" s="527">
        <f t="shared" si="6"/>
        <v>31</v>
      </c>
      <c r="BB9" s="527">
        <f t="shared" si="6"/>
        <v>31</v>
      </c>
      <c r="BC9" s="527">
        <f t="shared" si="6"/>
        <v>31</v>
      </c>
      <c r="BD9" s="527">
        <f t="shared" si="6"/>
        <v>31</v>
      </c>
      <c r="BE9" s="527">
        <f t="shared" si="6"/>
        <v>31</v>
      </c>
      <c r="BF9" s="527">
        <f t="shared" si="6"/>
        <v>31</v>
      </c>
      <c r="BG9" s="527">
        <f t="shared" si="6"/>
        <v>31</v>
      </c>
      <c r="BH9" s="527">
        <f t="shared" si="6"/>
        <v>31</v>
      </c>
      <c r="BI9" s="527">
        <f t="shared" si="6"/>
        <v>31</v>
      </c>
      <c r="BJ9" s="527">
        <f t="shared" si="6"/>
        <v>31</v>
      </c>
      <c r="BK9" s="527">
        <f t="shared" si="6"/>
        <v>31</v>
      </c>
      <c r="BL9" s="527">
        <f t="shared" si="6"/>
        <v>31</v>
      </c>
      <c r="BM9" s="527">
        <f t="shared" si="6"/>
        <v>31</v>
      </c>
      <c r="BN9" s="527">
        <f t="shared" si="6"/>
        <v>31</v>
      </c>
      <c r="BO9" s="527">
        <f t="shared" si="6"/>
        <v>31</v>
      </c>
      <c r="BP9" s="527">
        <f t="shared" si="6"/>
        <v>31</v>
      </c>
      <c r="BQ9" s="527">
        <f t="shared" si="6"/>
        <v>31</v>
      </c>
      <c r="BR9" s="527">
        <f t="shared" si="6"/>
        <v>31</v>
      </c>
      <c r="BS9" s="527">
        <f t="shared" si="6"/>
        <v>31</v>
      </c>
      <c r="BT9" s="527">
        <f t="shared" si="6"/>
        <v>31</v>
      </c>
      <c r="BU9" s="527">
        <f t="shared" si="6"/>
        <v>31</v>
      </c>
      <c r="BV9" s="527">
        <f t="shared" si="6"/>
        <v>31</v>
      </c>
      <c r="BW9" s="527">
        <f t="shared" si="6"/>
        <v>31</v>
      </c>
      <c r="BX9" s="527">
        <f t="shared" si="6"/>
        <v>31</v>
      </c>
      <c r="BY9" s="527">
        <f t="shared" si="6"/>
        <v>31</v>
      </c>
      <c r="BZ9" s="537"/>
      <c r="CA9" s="537"/>
      <c r="CB9" s="537"/>
    </row>
    <row r="10" spans="1:80" x14ac:dyDescent="0.3">
      <c r="A10" s="551"/>
      <c r="B10" s="548"/>
      <c r="C10" s="525"/>
      <c r="D10" s="525"/>
      <c r="E10" s="525"/>
      <c r="F10" s="525"/>
      <c r="G10" s="525"/>
      <c r="H10" s="525"/>
      <c r="I10" s="529"/>
      <c r="J10" s="525"/>
      <c r="K10" s="525"/>
      <c r="L10" s="525"/>
      <c r="M10" s="525"/>
      <c r="N10" s="525"/>
      <c r="O10" s="525"/>
      <c r="P10" s="565"/>
      <c r="Q10" s="537"/>
      <c r="R10" s="525"/>
      <c r="S10" s="525"/>
      <c r="T10" s="525"/>
      <c r="U10" s="525"/>
      <c r="V10" s="525"/>
      <c r="W10" s="525"/>
      <c r="X10" s="525"/>
      <c r="Y10" s="525"/>
      <c r="Z10" s="525"/>
      <c r="AA10" s="525"/>
      <c r="AB10" s="525"/>
      <c r="AC10" s="525"/>
      <c r="AD10" s="525"/>
      <c r="AE10" s="525"/>
      <c r="AF10" s="525"/>
      <c r="AG10" s="525"/>
      <c r="AH10" s="525"/>
      <c r="AI10" s="525"/>
      <c r="AJ10" s="525"/>
      <c r="AK10" s="525"/>
      <c r="AL10" s="525"/>
      <c r="AM10" s="525"/>
      <c r="AN10" s="525"/>
      <c r="AO10" s="525"/>
      <c r="AP10" s="525"/>
      <c r="AQ10" s="525"/>
      <c r="AR10" s="525"/>
      <c r="AS10" s="525"/>
      <c r="AT10" s="525"/>
      <c r="AU10" s="525"/>
      <c r="AV10" s="525"/>
      <c r="AW10" s="525"/>
      <c r="AX10" s="525"/>
      <c r="AY10" s="525"/>
      <c r="AZ10" s="525"/>
      <c r="BA10" s="525"/>
      <c r="BB10" s="525"/>
      <c r="BC10" s="525"/>
      <c r="BD10" s="525"/>
      <c r="BE10" s="525"/>
      <c r="BF10" s="525"/>
      <c r="BG10" s="525"/>
      <c r="BH10" s="525"/>
      <c r="BI10" s="525"/>
      <c r="BJ10" s="525"/>
      <c r="BK10" s="525"/>
      <c r="BL10" s="525"/>
      <c r="BM10" s="525"/>
      <c r="BN10" s="525"/>
      <c r="BO10" s="525"/>
      <c r="BP10" s="525"/>
      <c r="BQ10" s="525"/>
      <c r="BR10" s="525"/>
      <c r="BS10" s="525"/>
      <c r="BT10" s="525"/>
      <c r="BU10" s="525"/>
      <c r="BV10" s="525"/>
      <c r="BW10" s="525"/>
      <c r="BX10" s="525"/>
      <c r="BY10" s="525"/>
      <c r="BZ10" s="537"/>
      <c r="CA10" s="537"/>
      <c r="CB10" s="537"/>
    </row>
    <row r="11" spans="1:80" x14ac:dyDescent="0.3">
      <c r="A11" s="551"/>
      <c r="B11" s="548"/>
      <c r="C11" s="525"/>
      <c r="D11" s="525"/>
      <c r="E11" s="525" t="s">
        <v>174</v>
      </c>
      <c r="F11" s="525"/>
      <c r="G11" s="525"/>
      <c r="H11" s="525"/>
      <c r="I11" s="527">
        <f t="shared" ref="I11:N11" si="7">I9</f>
        <v>31</v>
      </c>
      <c r="J11" s="527">
        <f t="shared" si="7"/>
        <v>31</v>
      </c>
      <c r="K11" s="527">
        <f t="shared" si="7"/>
        <v>31</v>
      </c>
      <c r="L11" s="527">
        <f t="shared" si="7"/>
        <v>31</v>
      </c>
      <c r="M11" s="527">
        <f t="shared" si="7"/>
        <v>31</v>
      </c>
      <c r="N11" s="527">
        <f t="shared" si="7"/>
        <v>31</v>
      </c>
      <c r="O11" s="525"/>
      <c r="P11" s="565"/>
      <c r="Q11" s="537"/>
      <c r="R11" s="527">
        <f t="shared" ref="R11:AW11" si="8">R9</f>
        <v>31</v>
      </c>
      <c r="S11" s="527">
        <f t="shared" si="8"/>
        <v>31</v>
      </c>
      <c r="T11" s="527">
        <f t="shared" si="8"/>
        <v>31</v>
      </c>
      <c r="U11" s="527">
        <f t="shared" si="8"/>
        <v>31</v>
      </c>
      <c r="V11" s="527">
        <f t="shared" si="8"/>
        <v>31</v>
      </c>
      <c r="W11" s="527">
        <f t="shared" si="8"/>
        <v>31</v>
      </c>
      <c r="X11" s="527">
        <f t="shared" si="8"/>
        <v>31</v>
      </c>
      <c r="Y11" s="527">
        <f t="shared" si="8"/>
        <v>31</v>
      </c>
      <c r="Z11" s="527">
        <f t="shared" si="8"/>
        <v>31</v>
      </c>
      <c r="AA11" s="527">
        <f t="shared" si="8"/>
        <v>31</v>
      </c>
      <c r="AB11" s="527">
        <f t="shared" si="8"/>
        <v>31</v>
      </c>
      <c r="AC11" s="527">
        <f t="shared" si="8"/>
        <v>31</v>
      </c>
      <c r="AD11" s="527">
        <f t="shared" si="8"/>
        <v>31</v>
      </c>
      <c r="AE11" s="527">
        <f t="shared" si="8"/>
        <v>31</v>
      </c>
      <c r="AF11" s="527">
        <f t="shared" si="8"/>
        <v>31</v>
      </c>
      <c r="AG11" s="527">
        <f t="shared" si="8"/>
        <v>31</v>
      </c>
      <c r="AH11" s="527">
        <f t="shared" si="8"/>
        <v>31</v>
      </c>
      <c r="AI11" s="527">
        <f t="shared" si="8"/>
        <v>31</v>
      </c>
      <c r="AJ11" s="527">
        <f t="shared" si="8"/>
        <v>31</v>
      </c>
      <c r="AK11" s="527">
        <f t="shared" si="8"/>
        <v>31</v>
      </c>
      <c r="AL11" s="527">
        <f t="shared" si="8"/>
        <v>31</v>
      </c>
      <c r="AM11" s="527">
        <f t="shared" si="8"/>
        <v>31</v>
      </c>
      <c r="AN11" s="527">
        <f t="shared" si="8"/>
        <v>31</v>
      </c>
      <c r="AO11" s="527">
        <f t="shared" si="8"/>
        <v>31</v>
      </c>
      <c r="AP11" s="527">
        <f t="shared" si="8"/>
        <v>31</v>
      </c>
      <c r="AQ11" s="527">
        <f t="shared" si="8"/>
        <v>31</v>
      </c>
      <c r="AR11" s="527">
        <f t="shared" si="8"/>
        <v>31</v>
      </c>
      <c r="AS11" s="527">
        <f t="shared" si="8"/>
        <v>31</v>
      </c>
      <c r="AT11" s="527">
        <f t="shared" si="8"/>
        <v>31</v>
      </c>
      <c r="AU11" s="527">
        <f t="shared" si="8"/>
        <v>31</v>
      </c>
      <c r="AV11" s="527">
        <f t="shared" si="8"/>
        <v>31</v>
      </c>
      <c r="AW11" s="527">
        <f t="shared" si="8"/>
        <v>31</v>
      </c>
      <c r="AX11" s="527">
        <f t="shared" ref="AX11:BY11" si="9">AX9</f>
        <v>31</v>
      </c>
      <c r="AY11" s="527">
        <f t="shared" si="9"/>
        <v>31</v>
      </c>
      <c r="AZ11" s="527">
        <f t="shared" si="9"/>
        <v>31</v>
      </c>
      <c r="BA11" s="527">
        <f t="shared" si="9"/>
        <v>31</v>
      </c>
      <c r="BB11" s="527">
        <f t="shared" si="9"/>
        <v>31</v>
      </c>
      <c r="BC11" s="527">
        <f t="shared" si="9"/>
        <v>31</v>
      </c>
      <c r="BD11" s="527">
        <f t="shared" si="9"/>
        <v>31</v>
      </c>
      <c r="BE11" s="527">
        <f t="shared" si="9"/>
        <v>31</v>
      </c>
      <c r="BF11" s="527">
        <f t="shared" si="9"/>
        <v>31</v>
      </c>
      <c r="BG11" s="527">
        <f t="shared" si="9"/>
        <v>31</v>
      </c>
      <c r="BH11" s="527">
        <f t="shared" si="9"/>
        <v>31</v>
      </c>
      <c r="BI11" s="527">
        <f t="shared" si="9"/>
        <v>31</v>
      </c>
      <c r="BJ11" s="527">
        <f t="shared" si="9"/>
        <v>31</v>
      </c>
      <c r="BK11" s="527">
        <f t="shared" si="9"/>
        <v>31</v>
      </c>
      <c r="BL11" s="527">
        <f t="shared" si="9"/>
        <v>31</v>
      </c>
      <c r="BM11" s="527">
        <f t="shared" si="9"/>
        <v>31</v>
      </c>
      <c r="BN11" s="527">
        <f t="shared" si="9"/>
        <v>31</v>
      </c>
      <c r="BO11" s="527">
        <f t="shared" si="9"/>
        <v>31</v>
      </c>
      <c r="BP11" s="527">
        <f t="shared" si="9"/>
        <v>31</v>
      </c>
      <c r="BQ11" s="527">
        <f t="shared" si="9"/>
        <v>31</v>
      </c>
      <c r="BR11" s="527">
        <f t="shared" si="9"/>
        <v>31</v>
      </c>
      <c r="BS11" s="527">
        <f t="shared" si="9"/>
        <v>31</v>
      </c>
      <c r="BT11" s="527">
        <f t="shared" si="9"/>
        <v>31</v>
      </c>
      <c r="BU11" s="527">
        <f t="shared" si="9"/>
        <v>31</v>
      </c>
      <c r="BV11" s="527">
        <f t="shared" si="9"/>
        <v>31</v>
      </c>
      <c r="BW11" s="527">
        <f t="shared" si="9"/>
        <v>31</v>
      </c>
      <c r="BX11" s="527">
        <f t="shared" si="9"/>
        <v>31</v>
      </c>
      <c r="BY11" s="527">
        <f t="shared" si="9"/>
        <v>31</v>
      </c>
      <c r="BZ11" s="537"/>
      <c r="CA11" s="537"/>
      <c r="CB11" s="537"/>
    </row>
    <row r="12" spans="1:80" x14ac:dyDescent="0.3">
      <c r="A12" s="551"/>
      <c r="B12" s="548"/>
      <c r="C12" s="525"/>
      <c r="D12" s="525"/>
      <c r="E12" s="525" t="s">
        <v>131</v>
      </c>
      <c r="F12" s="525"/>
      <c r="G12" s="525"/>
      <c r="H12" s="525"/>
      <c r="I12" s="527">
        <f t="shared" ref="I12:N12" si="10">I11</f>
        <v>31</v>
      </c>
      <c r="J12" s="527">
        <f t="shared" si="10"/>
        <v>31</v>
      </c>
      <c r="K12" s="527">
        <f t="shared" si="10"/>
        <v>31</v>
      </c>
      <c r="L12" s="527">
        <f t="shared" si="10"/>
        <v>31</v>
      </c>
      <c r="M12" s="527">
        <f t="shared" si="10"/>
        <v>31</v>
      </c>
      <c r="N12" s="527">
        <f t="shared" si="10"/>
        <v>31</v>
      </c>
      <c r="O12" s="525"/>
      <c r="P12" s="565"/>
      <c r="Q12" s="537"/>
      <c r="R12" s="527">
        <f t="shared" ref="R12:AW12" si="11">R11</f>
        <v>31</v>
      </c>
      <c r="S12" s="527">
        <f t="shared" si="11"/>
        <v>31</v>
      </c>
      <c r="T12" s="527">
        <f t="shared" si="11"/>
        <v>31</v>
      </c>
      <c r="U12" s="527">
        <f t="shared" si="11"/>
        <v>31</v>
      </c>
      <c r="V12" s="527">
        <f t="shared" si="11"/>
        <v>31</v>
      </c>
      <c r="W12" s="527">
        <f t="shared" si="11"/>
        <v>31</v>
      </c>
      <c r="X12" s="527">
        <f t="shared" si="11"/>
        <v>31</v>
      </c>
      <c r="Y12" s="527">
        <f t="shared" si="11"/>
        <v>31</v>
      </c>
      <c r="Z12" s="527">
        <f t="shared" si="11"/>
        <v>31</v>
      </c>
      <c r="AA12" s="527">
        <f t="shared" si="11"/>
        <v>31</v>
      </c>
      <c r="AB12" s="527">
        <f t="shared" si="11"/>
        <v>31</v>
      </c>
      <c r="AC12" s="527">
        <f t="shared" si="11"/>
        <v>31</v>
      </c>
      <c r="AD12" s="527">
        <f t="shared" si="11"/>
        <v>31</v>
      </c>
      <c r="AE12" s="527">
        <f t="shared" si="11"/>
        <v>31</v>
      </c>
      <c r="AF12" s="527">
        <f t="shared" si="11"/>
        <v>31</v>
      </c>
      <c r="AG12" s="527">
        <f t="shared" si="11"/>
        <v>31</v>
      </c>
      <c r="AH12" s="527">
        <f t="shared" si="11"/>
        <v>31</v>
      </c>
      <c r="AI12" s="527">
        <f t="shared" si="11"/>
        <v>31</v>
      </c>
      <c r="AJ12" s="527">
        <f t="shared" si="11"/>
        <v>31</v>
      </c>
      <c r="AK12" s="527">
        <f t="shared" si="11"/>
        <v>31</v>
      </c>
      <c r="AL12" s="527">
        <f t="shared" si="11"/>
        <v>31</v>
      </c>
      <c r="AM12" s="527">
        <f t="shared" si="11"/>
        <v>31</v>
      </c>
      <c r="AN12" s="527">
        <f t="shared" si="11"/>
        <v>31</v>
      </c>
      <c r="AO12" s="527">
        <f t="shared" si="11"/>
        <v>31</v>
      </c>
      <c r="AP12" s="527">
        <f t="shared" si="11"/>
        <v>31</v>
      </c>
      <c r="AQ12" s="527">
        <f t="shared" si="11"/>
        <v>31</v>
      </c>
      <c r="AR12" s="527">
        <f t="shared" si="11"/>
        <v>31</v>
      </c>
      <c r="AS12" s="527">
        <f t="shared" si="11"/>
        <v>31</v>
      </c>
      <c r="AT12" s="527">
        <f t="shared" si="11"/>
        <v>31</v>
      </c>
      <c r="AU12" s="527">
        <f t="shared" si="11"/>
        <v>31</v>
      </c>
      <c r="AV12" s="527">
        <f t="shared" si="11"/>
        <v>31</v>
      </c>
      <c r="AW12" s="527">
        <f t="shared" si="11"/>
        <v>31</v>
      </c>
      <c r="AX12" s="527">
        <f t="shared" ref="AX12:BY12" si="12">AX11</f>
        <v>31</v>
      </c>
      <c r="AY12" s="527">
        <f t="shared" si="12"/>
        <v>31</v>
      </c>
      <c r="AZ12" s="527">
        <f t="shared" si="12"/>
        <v>31</v>
      </c>
      <c r="BA12" s="527">
        <f t="shared" si="12"/>
        <v>31</v>
      </c>
      <c r="BB12" s="527">
        <f t="shared" si="12"/>
        <v>31</v>
      </c>
      <c r="BC12" s="527">
        <f t="shared" si="12"/>
        <v>31</v>
      </c>
      <c r="BD12" s="527">
        <f t="shared" si="12"/>
        <v>31</v>
      </c>
      <c r="BE12" s="527">
        <f t="shared" si="12"/>
        <v>31</v>
      </c>
      <c r="BF12" s="527">
        <f t="shared" si="12"/>
        <v>31</v>
      </c>
      <c r="BG12" s="527">
        <f t="shared" si="12"/>
        <v>31</v>
      </c>
      <c r="BH12" s="527">
        <f t="shared" si="12"/>
        <v>31</v>
      </c>
      <c r="BI12" s="527">
        <f t="shared" si="12"/>
        <v>31</v>
      </c>
      <c r="BJ12" s="527">
        <f t="shared" si="12"/>
        <v>31</v>
      </c>
      <c r="BK12" s="527">
        <f t="shared" si="12"/>
        <v>31</v>
      </c>
      <c r="BL12" s="527">
        <f t="shared" si="12"/>
        <v>31</v>
      </c>
      <c r="BM12" s="527">
        <f t="shared" si="12"/>
        <v>31</v>
      </c>
      <c r="BN12" s="527">
        <f t="shared" si="12"/>
        <v>31</v>
      </c>
      <c r="BO12" s="527">
        <f t="shared" si="12"/>
        <v>31</v>
      </c>
      <c r="BP12" s="527">
        <f t="shared" si="12"/>
        <v>31</v>
      </c>
      <c r="BQ12" s="527">
        <f t="shared" si="12"/>
        <v>31</v>
      </c>
      <c r="BR12" s="527">
        <f t="shared" si="12"/>
        <v>31</v>
      </c>
      <c r="BS12" s="527">
        <f t="shared" si="12"/>
        <v>31</v>
      </c>
      <c r="BT12" s="527">
        <f t="shared" si="12"/>
        <v>31</v>
      </c>
      <c r="BU12" s="527">
        <f t="shared" si="12"/>
        <v>31</v>
      </c>
      <c r="BV12" s="527">
        <f t="shared" si="12"/>
        <v>31</v>
      </c>
      <c r="BW12" s="527">
        <f t="shared" si="12"/>
        <v>31</v>
      </c>
      <c r="BX12" s="527">
        <f t="shared" si="12"/>
        <v>31</v>
      </c>
      <c r="BY12" s="527">
        <f t="shared" si="12"/>
        <v>31</v>
      </c>
      <c r="BZ12" s="537"/>
      <c r="CA12" s="537"/>
      <c r="CB12" s="537"/>
    </row>
    <row r="13" spans="1:80" x14ac:dyDescent="0.3">
      <c r="A13" s="551"/>
      <c r="B13" s="548"/>
      <c r="C13" s="525"/>
      <c r="D13" s="525"/>
      <c r="E13" s="525" t="s">
        <v>132</v>
      </c>
      <c r="F13" s="525"/>
      <c r="G13" s="525"/>
      <c r="H13" s="525"/>
      <c r="I13" s="528">
        <v>0</v>
      </c>
      <c r="J13" s="528">
        <v>0</v>
      </c>
      <c r="K13" s="528">
        <v>0</v>
      </c>
      <c r="L13" s="528">
        <v>0</v>
      </c>
      <c r="M13" s="528">
        <v>0</v>
      </c>
      <c r="N13" s="528">
        <v>0</v>
      </c>
      <c r="O13" s="525"/>
      <c r="P13" s="565"/>
      <c r="Q13" s="537"/>
      <c r="R13" s="528">
        <v>0</v>
      </c>
      <c r="S13" s="528">
        <v>0</v>
      </c>
      <c r="T13" s="528">
        <v>0</v>
      </c>
      <c r="U13" s="528">
        <v>0</v>
      </c>
      <c r="V13" s="528">
        <v>0</v>
      </c>
      <c r="W13" s="528">
        <v>0</v>
      </c>
      <c r="X13" s="528">
        <v>0</v>
      </c>
      <c r="Y13" s="528">
        <v>0</v>
      </c>
      <c r="Z13" s="528">
        <v>0</v>
      </c>
      <c r="AA13" s="528">
        <v>0</v>
      </c>
      <c r="AB13" s="528">
        <v>0</v>
      </c>
      <c r="AC13" s="528">
        <v>0</v>
      </c>
      <c r="AD13" s="528">
        <v>0</v>
      </c>
      <c r="AE13" s="528">
        <v>0</v>
      </c>
      <c r="AF13" s="528">
        <v>0</v>
      </c>
      <c r="AG13" s="528">
        <v>0</v>
      </c>
      <c r="AH13" s="528">
        <v>0</v>
      </c>
      <c r="AI13" s="528">
        <v>0</v>
      </c>
      <c r="AJ13" s="528">
        <v>0</v>
      </c>
      <c r="AK13" s="528">
        <v>0</v>
      </c>
      <c r="AL13" s="528">
        <v>0</v>
      </c>
      <c r="AM13" s="528">
        <v>0</v>
      </c>
      <c r="AN13" s="528">
        <v>0</v>
      </c>
      <c r="AO13" s="528">
        <v>0</v>
      </c>
      <c r="AP13" s="528">
        <v>0</v>
      </c>
      <c r="AQ13" s="528">
        <v>0</v>
      </c>
      <c r="AR13" s="528">
        <v>0</v>
      </c>
      <c r="AS13" s="528">
        <v>0</v>
      </c>
      <c r="AT13" s="528">
        <v>0</v>
      </c>
      <c r="AU13" s="528">
        <v>0</v>
      </c>
      <c r="AV13" s="528">
        <v>0</v>
      </c>
      <c r="AW13" s="528">
        <v>0</v>
      </c>
      <c r="AX13" s="528">
        <v>0</v>
      </c>
      <c r="AY13" s="528">
        <v>0</v>
      </c>
      <c r="AZ13" s="528">
        <v>0</v>
      </c>
      <c r="BA13" s="528">
        <v>0</v>
      </c>
      <c r="BB13" s="528">
        <v>0</v>
      </c>
      <c r="BC13" s="528">
        <v>0</v>
      </c>
      <c r="BD13" s="528">
        <v>0</v>
      </c>
      <c r="BE13" s="528">
        <v>0</v>
      </c>
      <c r="BF13" s="528">
        <v>0</v>
      </c>
      <c r="BG13" s="528">
        <v>0</v>
      </c>
      <c r="BH13" s="528">
        <v>0</v>
      </c>
      <c r="BI13" s="528">
        <v>0</v>
      </c>
      <c r="BJ13" s="528">
        <v>0</v>
      </c>
      <c r="BK13" s="528">
        <v>0</v>
      </c>
      <c r="BL13" s="528">
        <v>0</v>
      </c>
      <c r="BM13" s="528">
        <v>0</v>
      </c>
      <c r="BN13" s="528">
        <v>0</v>
      </c>
      <c r="BO13" s="528">
        <v>0</v>
      </c>
      <c r="BP13" s="528">
        <v>0</v>
      </c>
      <c r="BQ13" s="528">
        <v>0</v>
      </c>
      <c r="BR13" s="528">
        <v>0</v>
      </c>
      <c r="BS13" s="528">
        <v>0</v>
      </c>
      <c r="BT13" s="528">
        <v>0</v>
      </c>
      <c r="BU13" s="528">
        <v>0</v>
      </c>
      <c r="BV13" s="528">
        <v>0</v>
      </c>
      <c r="BW13" s="528">
        <v>0</v>
      </c>
      <c r="BX13" s="528">
        <v>0</v>
      </c>
      <c r="BY13" s="528">
        <v>0</v>
      </c>
      <c r="BZ13" s="537"/>
      <c r="CA13" s="537"/>
      <c r="CB13" s="537"/>
    </row>
    <row r="14" spans="1:80" x14ac:dyDescent="0.3">
      <c r="A14" s="551"/>
      <c r="B14" s="548"/>
      <c r="C14" s="525"/>
      <c r="D14" s="525"/>
      <c r="E14" s="525"/>
      <c r="F14" s="525"/>
      <c r="G14" s="525"/>
      <c r="H14" s="525"/>
      <c r="I14" s="529"/>
      <c r="J14" s="525"/>
      <c r="K14" s="525"/>
      <c r="L14" s="525"/>
      <c r="M14" s="525"/>
      <c r="N14" s="525"/>
      <c r="O14" s="525"/>
      <c r="P14" s="565"/>
      <c r="Q14" s="537"/>
      <c r="R14" s="525"/>
      <c r="S14" s="525"/>
      <c r="T14" s="525"/>
      <c r="U14" s="525"/>
      <c r="V14" s="525"/>
      <c r="W14" s="525"/>
      <c r="X14" s="525"/>
      <c r="Y14" s="525"/>
      <c r="Z14" s="525"/>
      <c r="AA14" s="525"/>
      <c r="AB14" s="525"/>
      <c r="AC14" s="525"/>
      <c r="AD14" s="525"/>
      <c r="AE14" s="525"/>
      <c r="AF14" s="525"/>
      <c r="AG14" s="525"/>
      <c r="AH14" s="525"/>
      <c r="AI14" s="525"/>
      <c r="AJ14" s="525"/>
      <c r="AK14" s="525"/>
      <c r="AL14" s="525"/>
      <c r="AM14" s="525"/>
      <c r="AN14" s="525"/>
      <c r="AO14" s="525"/>
      <c r="AP14" s="525"/>
      <c r="AQ14" s="525"/>
      <c r="AR14" s="525"/>
      <c r="AS14" s="525"/>
      <c r="AT14" s="525"/>
      <c r="AU14" s="525"/>
      <c r="AV14" s="525"/>
      <c r="AW14" s="525"/>
      <c r="AX14" s="525"/>
      <c r="AY14" s="525"/>
      <c r="AZ14" s="525"/>
      <c r="BA14" s="525"/>
      <c r="BB14" s="525"/>
      <c r="BC14" s="525"/>
      <c r="BD14" s="525"/>
      <c r="BE14" s="525"/>
      <c r="BF14" s="525"/>
      <c r="BG14" s="525"/>
      <c r="BH14" s="525"/>
      <c r="BI14" s="525"/>
      <c r="BJ14" s="525"/>
      <c r="BK14" s="525"/>
      <c r="BL14" s="525"/>
      <c r="BM14" s="525"/>
      <c r="BN14" s="525"/>
      <c r="BO14" s="525"/>
      <c r="BP14" s="525"/>
      <c r="BQ14" s="525"/>
      <c r="BR14" s="525"/>
      <c r="BS14" s="525"/>
      <c r="BT14" s="525"/>
      <c r="BU14" s="525"/>
      <c r="BV14" s="525"/>
      <c r="BW14" s="525"/>
      <c r="BX14" s="525"/>
      <c r="BY14" s="525"/>
      <c r="BZ14" s="537"/>
      <c r="CA14" s="537"/>
      <c r="CB14" s="537"/>
    </row>
    <row r="15" spans="1:80" x14ac:dyDescent="0.3">
      <c r="A15" s="551"/>
      <c r="B15" s="548"/>
      <c r="C15" s="525"/>
      <c r="D15" s="525"/>
      <c r="E15" s="525" t="s">
        <v>174</v>
      </c>
      <c r="F15" s="525"/>
      <c r="G15" s="525"/>
      <c r="H15" s="525"/>
      <c r="I15" s="527">
        <f t="shared" ref="I15:N15" si="13">I9</f>
        <v>31</v>
      </c>
      <c r="J15" s="527">
        <f t="shared" si="13"/>
        <v>31</v>
      </c>
      <c r="K15" s="527">
        <f t="shared" si="13"/>
        <v>31</v>
      </c>
      <c r="L15" s="527">
        <f t="shared" si="13"/>
        <v>31</v>
      </c>
      <c r="M15" s="527">
        <f t="shared" si="13"/>
        <v>31</v>
      </c>
      <c r="N15" s="527">
        <f t="shared" si="13"/>
        <v>31</v>
      </c>
      <c r="O15" s="525"/>
      <c r="P15" s="565"/>
      <c r="Q15" s="537"/>
      <c r="R15" s="527">
        <f t="shared" ref="R15:AW15" si="14">R9</f>
        <v>31</v>
      </c>
      <c r="S15" s="527">
        <f t="shared" si="14"/>
        <v>31</v>
      </c>
      <c r="T15" s="527">
        <f t="shared" si="14"/>
        <v>31</v>
      </c>
      <c r="U15" s="527">
        <f t="shared" si="14"/>
        <v>31</v>
      </c>
      <c r="V15" s="527">
        <f t="shared" si="14"/>
        <v>31</v>
      </c>
      <c r="W15" s="527">
        <f t="shared" si="14"/>
        <v>31</v>
      </c>
      <c r="X15" s="527">
        <f t="shared" si="14"/>
        <v>31</v>
      </c>
      <c r="Y15" s="527">
        <f t="shared" si="14"/>
        <v>31</v>
      </c>
      <c r="Z15" s="527">
        <f t="shared" si="14"/>
        <v>31</v>
      </c>
      <c r="AA15" s="527">
        <f t="shared" si="14"/>
        <v>31</v>
      </c>
      <c r="AB15" s="527">
        <f t="shared" si="14"/>
        <v>31</v>
      </c>
      <c r="AC15" s="527">
        <f t="shared" si="14"/>
        <v>31</v>
      </c>
      <c r="AD15" s="527">
        <f t="shared" si="14"/>
        <v>31</v>
      </c>
      <c r="AE15" s="527">
        <f t="shared" si="14"/>
        <v>31</v>
      </c>
      <c r="AF15" s="527">
        <f t="shared" si="14"/>
        <v>31</v>
      </c>
      <c r="AG15" s="527">
        <f t="shared" si="14"/>
        <v>31</v>
      </c>
      <c r="AH15" s="527">
        <f t="shared" si="14"/>
        <v>31</v>
      </c>
      <c r="AI15" s="527">
        <f t="shared" si="14"/>
        <v>31</v>
      </c>
      <c r="AJ15" s="527">
        <f t="shared" si="14"/>
        <v>31</v>
      </c>
      <c r="AK15" s="527">
        <f t="shared" si="14"/>
        <v>31</v>
      </c>
      <c r="AL15" s="527">
        <f t="shared" si="14"/>
        <v>31</v>
      </c>
      <c r="AM15" s="527">
        <f t="shared" si="14"/>
        <v>31</v>
      </c>
      <c r="AN15" s="527">
        <f t="shared" si="14"/>
        <v>31</v>
      </c>
      <c r="AO15" s="527">
        <f t="shared" si="14"/>
        <v>31</v>
      </c>
      <c r="AP15" s="527">
        <f t="shared" si="14"/>
        <v>31</v>
      </c>
      <c r="AQ15" s="527">
        <f t="shared" si="14"/>
        <v>31</v>
      </c>
      <c r="AR15" s="527">
        <f t="shared" si="14"/>
        <v>31</v>
      </c>
      <c r="AS15" s="527">
        <f t="shared" si="14"/>
        <v>31</v>
      </c>
      <c r="AT15" s="527">
        <f t="shared" si="14"/>
        <v>31</v>
      </c>
      <c r="AU15" s="527">
        <f t="shared" si="14"/>
        <v>31</v>
      </c>
      <c r="AV15" s="527">
        <f t="shared" si="14"/>
        <v>31</v>
      </c>
      <c r="AW15" s="527">
        <f t="shared" si="14"/>
        <v>31</v>
      </c>
      <c r="AX15" s="527">
        <f t="shared" ref="AX15:BY15" si="15">AX9</f>
        <v>31</v>
      </c>
      <c r="AY15" s="527">
        <f t="shared" si="15"/>
        <v>31</v>
      </c>
      <c r="AZ15" s="527">
        <f t="shared" si="15"/>
        <v>31</v>
      </c>
      <c r="BA15" s="527">
        <f t="shared" si="15"/>
        <v>31</v>
      </c>
      <c r="BB15" s="527">
        <f t="shared" si="15"/>
        <v>31</v>
      </c>
      <c r="BC15" s="527">
        <f t="shared" si="15"/>
        <v>31</v>
      </c>
      <c r="BD15" s="527">
        <f t="shared" si="15"/>
        <v>31</v>
      </c>
      <c r="BE15" s="527">
        <f t="shared" si="15"/>
        <v>31</v>
      </c>
      <c r="BF15" s="527">
        <f t="shared" si="15"/>
        <v>31</v>
      </c>
      <c r="BG15" s="527">
        <f t="shared" si="15"/>
        <v>31</v>
      </c>
      <c r="BH15" s="527">
        <f t="shared" si="15"/>
        <v>31</v>
      </c>
      <c r="BI15" s="527">
        <f t="shared" si="15"/>
        <v>31</v>
      </c>
      <c r="BJ15" s="527">
        <f t="shared" si="15"/>
        <v>31</v>
      </c>
      <c r="BK15" s="527">
        <f t="shared" si="15"/>
        <v>31</v>
      </c>
      <c r="BL15" s="527">
        <f t="shared" si="15"/>
        <v>31</v>
      </c>
      <c r="BM15" s="527">
        <f t="shared" si="15"/>
        <v>31</v>
      </c>
      <c r="BN15" s="527">
        <f t="shared" si="15"/>
        <v>31</v>
      </c>
      <c r="BO15" s="527">
        <f t="shared" si="15"/>
        <v>31</v>
      </c>
      <c r="BP15" s="527">
        <f t="shared" si="15"/>
        <v>31</v>
      </c>
      <c r="BQ15" s="527">
        <f t="shared" si="15"/>
        <v>31</v>
      </c>
      <c r="BR15" s="527">
        <f t="shared" si="15"/>
        <v>31</v>
      </c>
      <c r="BS15" s="527">
        <f t="shared" si="15"/>
        <v>31</v>
      </c>
      <c r="BT15" s="527">
        <f t="shared" si="15"/>
        <v>31</v>
      </c>
      <c r="BU15" s="527">
        <f t="shared" si="15"/>
        <v>31</v>
      </c>
      <c r="BV15" s="527">
        <f t="shared" si="15"/>
        <v>31</v>
      </c>
      <c r="BW15" s="527">
        <f t="shared" si="15"/>
        <v>31</v>
      </c>
      <c r="BX15" s="527">
        <f t="shared" si="15"/>
        <v>31</v>
      </c>
      <c r="BY15" s="527">
        <f t="shared" si="15"/>
        <v>31</v>
      </c>
      <c r="BZ15" s="537"/>
      <c r="CA15" s="537"/>
      <c r="CB15" s="537"/>
    </row>
    <row r="16" spans="1:80" x14ac:dyDescent="0.3">
      <c r="A16" s="551"/>
      <c r="B16" s="548"/>
      <c r="C16" s="525"/>
      <c r="D16" s="525"/>
      <c r="E16" s="525" t="s">
        <v>190</v>
      </c>
      <c r="F16" s="525"/>
      <c r="G16" s="525"/>
      <c r="H16" s="525"/>
      <c r="I16" s="527">
        <f t="shared" ref="I16:N16" si="16">I15</f>
        <v>31</v>
      </c>
      <c r="J16" s="527">
        <f t="shared" si="16"/>
        <v>31</v>
      </c>
      <c r="K16" s="527">
        <f t="shared" si="16"/>
        <v>31</v>
      </c>
      <c r="L16" s="527">
        <f t="shared" si="16"/>
        <v>31</v>
      </c>
      <c r="M16" s="527">
        <f t="shared" si="16"/>
        <v>31</v>
      </c>
      <c r="N16" s="527">
        <f t="shared" si="16"/>
        <v>31</v>
      </c>
      <c r="O16" s="525"/>
      <c r="P16" s="565"/>
      <c r="Q16" s="537"/>
      <c r="R16" s="527">
        <f t="shared" ref="R16:AW16" si="17">R15</f>
        <v>31</v>
      </c>
      <c r="S16" s="527">
        <f t="shared" si="17"/>
        <v>31</v>
      </c>
      <c r="T16" s="527">
        <f t="shared" si="17"/>
        <v>31</v>
      </c>
      <c r="U16" s="527">
        <f t="shared" si="17"/>
        <v>31</v>
      </c>
      <c r="V16" s="527">
        <f t="shared" si="17"/>
        <v>31</v>
      </c>
      <c r="W16" s="527">
        <f t="shared" si="17"/>
        <v>31</v>
      </c>
      <c r="X16" s="527">
        <f t="shared" si="17"/>
        <v>31</v>
      </c>
      <c r="Y16" s="527">
        <f t="shared" si="17"/>
        <v>31</v>
      </c>
      <c r="Z16" s="527">
        <f t="shared" si="17"/>
        <v>31</v>
      </c>
      <c r="AA16" s="527">
        <f t="shared" si="17"/>
        <v>31</v>
      </c>
      <c r="AB16" s="527">
        <f t="shared" si="17"/>
        <v>31</v>
      </c>
      <c r="AC16" s="527">
        <f t="shared" si="17"/>
        <v>31</v>
      </c>
      <c r="AD16" s="527">
        <f t="shared" si="17"/>
        <v>31</v>
      </c>
      <c r="AE16" s="527">
        <f t="shared" si="17"/>
        <v>31</v>
      </c>
      <c r="AF16" s="527">
        <f t="shared" si="17"/>
        <v>31</v>
      </c>
      <c r="AG16" s="527">
        <f t="shared" si="17"/>
        <v>31</v>
      </c>
      <c r="AH16" s="527">
        <f t="shared" si="17"/>
        <v>31</v>
      </c>
      <c r="AI16" s="527">
        <f t="shared" si="17"/>
        <v>31</v>
      </c>
      <c r="AJ16" s="527">
        <f t="shared" si="17"/>
        <v>31</v>
      </c>
      <c r="AK16" s="527">
        <f t="shared" si="17"/>
        <v>31</v>
      </c>
      <c r="AL16" s="527">
        <f t="shared" si="17"/>
        <v>31</v>
      </c>
      <c r="AM16" s="527">
        <f t="shared" si="17"/>
        <v>31</v>
      </c>
      <c r="AN16" s="527">
        <f t="shared" si="17"/>
        <v>31</v>
      </c>
      <c r="AO16" s="527">
        <f t="shared" si="17"/>
        <v>31</v>
      </c>
      <c r="AP16" s="527">
        <f t="shared" si="17"/>
        <v>31</v>
      </c>
      <c r="AQ16" s="527">
        <f t="shared" si="17"/>
        <v>31</v>
      </c>
      <c r="AR16" s="527">
        <f t="shared" si="17"/>
        <v>31</v>
      </c>
      <c r="AS16" s="527">
        <f t="shared" si="17"/>
        <v>31</v>
      </c>
      <c r="AT16" s="527">
        <f t="shared" si="17"/>
        <v>31</v>
      </c>
      <c r="AU16" s="527">
        <f t="shared" si="17"/>
        <v>31</v>
      </c>
      <c r="AV16" s="527">
        <f t="shared" si="17"/>
        <v>31</v>
      </c>
      <c r="AW16" s="527">
        <f t="shared" si="17"/>
        <v>31</v>
      </c>
      <c r="AX16" s="527">
        <f t="shared" ref="AX16:BY16" si="18">AX15</f>
        <v>31</v>
      </c>
      <c r="AY16" s="527">
        <f t="shared" si="18"/>
        <v>31</v>
      </c>
      <c r="AZ16" s="527">
        <f t="shared" si="18"/>
        <v>31</v>
      </c>
      <c r="BA16" s="527">
        <f t="shared" si="18"/>
        <v>31</v>
      </c>
      <c r="BB16" s="527">
        <f t="shared" si="18"/>
        <v>31</v>
      </c>
      <c r="BC16" s="527">
        <f t="shared" si="18"/>
        <v>31</v>
      </c>
      <c r="BD16" s="527">
        <f t="shared" si="18"/>
        <v>31</v>
      </c>
      <c r="BE16" s="527">
        <f t="shared" si="18"/>
        <v>31</v>
      </c>
      <c r="BF16" s="527">
        <f t="shared" si="18"/>
        <v>31</v>
      </c>
      <c r="BG16" s="527">
        <f t="shared" si="18"/>
        <v>31</v>
      </c>
      <c r="BH16" s="527">
        <f t="shared" si="18"/>
        <v>31</v>
      </c>
      <c r="BI16" s="527">
        <f t="shared" si="18"/>
        <v>31</v>
      </c>
      <c r="BJ16" s="527">
        <f t="shared" si="18"/>
        <v>31</v>
      </c>
      <c r="BK16" s="527">
        <f t="shared" si="18"/>
        <v>31</v>
      </c>
      <c r="BL16" s="527">
        <f t="shared" si="18"/>
        <v>31</v>
      </c>
      <c r="BM16" s="527">
        <f t="shared" si="18"/>
        <v>31</v>
      </c>
      <c r="BN16" s="527">
        <f t="shared" si="18"/>
        <v>31</v>
      </c>
      <c r="BO16" s="527">
        <f t="shared" si="18"/>
        <v>31</v>
      </c>
      <c r="BP16" s="527">
        <f t="shared" si="18"/>
        <v>31</v>
      </c>
      <c r="BQ16" s="527">
        <f t="shared" si="18"/>
        <v>31</v>
      </c>
      <c r="BR16" s="527">
        <f t="shared" si="18"/>
        <v>31</v>
      </c>
      <c r="BS16" s="527">
        <f t="shared" si="18"/>
        <v>31</v>
      </c>
      <c r="BT16" s="527">
        <f t="shared" si="18"/>
        <v>31</v>
      </c>
      <c r="BU16" s="527">
        <f t="shared" si="18"/>
        <v>31</v>
      </c>
      <c r="BV16" s="527">
        <f t="shared" si="18"/>
        <v>31</v>
      </c>
      <c r="BW16" s="527">
        <f t="shared" si="18"/>
        <v>31</v>
      </c>
      <c r="BX16" s="527">
        <f t="shared" si="18"/>
        <v>31</v>
      </c>
      <c r="BY16" s="527">
        <f t="shared" si="18"/>
        <v>31</v>
      </c>
      <c r="BZ16" s="537"/>
      <c r="CA16" s="537"/>
      <c r="CB16" s="537"/>
    </row>
    <row r="17" spans="1:80" x14ac:dyDescent="0.3">
      <c r="A17" s="551"/>
      <c r="B17" s="548"/>
      <c r="C17" s="525"/>
      <c r="D17" s="525"/>
      <c r="E17" s="525" t="s">
        <v>266</v>
      </c>
      <c r="F17" s="525"/>
      <c r="G17" s="525"/>
      <c r="H17" s="525"/>
      <c r="I17" s="528">
        <v>0</v>
      </c>
      <c r="J17" s="528">
        <v>0</v>
      </c>
      <c r="K17" s="528">
        <v>0</v>
      </c>
      <c r="L17" s="528">
        <v>0</v>
      </c>
      <c r="M17" s="528">
        <v>0</v>
      </c>
      <c r="N17" s="528">
        <v>0</v>
      </c>
      <c r="O17" s="525"/>
      <c r="P17" s="565"/>
      <c r="Q17" s="537"/>
      <c r="R17" s="528">
        <v>0</v>
      </c>
      <c r="S17" s="528">
        <v>0</v>
      </c>
      <c r="T17" s="528">
        <v>0</v>
      </c>
      <c r="U17" s="528">
        <v>0</v>
      </c>
      <c r="V17" s="528">
        <v>0</v>
      </c>
      <c r="W17" s="528">
        <v>0</v>
      </c>
      <c r="X17" s="528">
        <v>0</v>
      </c>
      <c r="Y17" s="528">
        <v>0</v>
      </c>
      <c r="Z17" s="528">
        <v>0</v>
      </c>
      <c r="AA17" s="528">
        <v>0</v>
      </c>
      <c r="AB17" s="528">
        <v>0</v>
      </c>
      <c r="AC17" s="528">
        <v>0</v>
      </c>
      <c r="AD17" s="528">
        <v>0</v>
      </c>
      <c r="AE17" s="528">
        <v>0</v>
      </c>
      <c r="AF17" s="528">
        <v>0</v>
      </c>
      <c r="AG17" s="528">
        <v>0</v>
      </c>
      <c r="AH17" s="528">
        <v>0</v>
      </c>
      <c r="AI17" s="528">
        <v>0</v>
      </c>
      <c r="AJ17" s="528">
        <v>0</v>
      </c>
      <c r="AK17" s="528">
        <v>0</v>
      </c>
      <c r="AL17" s="528">
        <v>0</v>
      </c>
      <c r="AM17" s="528">
        <v>0</v>
      </c>
      <c r="AN17" s="528">
        <v>0</v>
      </c>
      <c r="AO17" s="528">
        <v>0</v>
      </c>
      <c r="AP17" s="528">
        <v>0</v>
      </c>
      <c r="AQ17" s="528">
        <v>0</v>
      </c>
      <c r="AR17" s="528">
        <v>0</v>
      </c>
      <c r="AS17" s="528">
        <v>0</v>
      </c>
      <c r="AT17" s="528">
        <v>0</v>
      </c>
      <c r="AU17" s="528">
        <v>0</v>
      </c>
      <c r="AV17" s="528">
        <v>0</v>
      </c>
      <c r="AW17" s="528">
        <v>0</v>
      </c>
      <c r="AX17" s="528">
        <v>0</v>
      </c>
      <c r="AY17" s="528">
        <v>0</v>
      </c>
      <c r="AZ17" s="528">
        <v>0</v>
      </c>
      <c r="BA17" s="528">
        <v>0</v>
      </c>
      <c r="BB17" s="528">
        <v>0</v>
      </c>
      <c r="BC17" s="528">
        <v>0</v>
      </c>
      <c r="BD17" s="528">
        <v>0</v>
      </c>
      <c r="BE17" s="528">
        <v>0</v>
      </c>
      <c r="BF17" s="528">
        <v>0</v>
      </c>
      <c r="BG17" s="528">
        <v>0</v>
      </c>
      <c r="BH17" s="528">
        <v>0</v>
      </c>
      <c r="BI17" s="528">
        <v>0</v>
      </c>
      <c r="BJ17" s="528">
        <v>0</v>
      </c>
      <c r="BK17" s="528">
        <v>0</v>
      </c>
      <c r="BL17" s="528">
        <v>0</v>
      </c>
      <c r="BM17" s="528">
        <v>0</v>
      </c>
      <c r="BN17" s="528">
        <v>0</v>
      </c>
      <c r="BO17" s="528">
        <v>0</v>
      </c>
      <c r="BP17" s="528">
        <v>0</v>
      </c>
      <c r="BQ17" s="528">
        <v>0</v>
      </c>
      <c r="BR17" s="528">
        <v>0</v>
      </c>
      <c r="BS17" s="528">
        <v>0</v>
      </c>
      <c r="BT17" s="528">
        <v>0</v>
      </c>
      <c r="BU17" s="528">
        <v>0</v>
      </c>
      <c r="BV17" s="528">
        <v>0</v>
      </c>
      <c r="BW17" s="528">
        <v>0</v>
      </c>
      <c r="BX17" s="528">
        <v>0</v>
      </c>
      <c r="BY17" s="528">
        <v>0</v>
      </c>
      <c r="BZ17" s="537"/>
      <c r="CA17" s="537"/>
      <c r="CB17" s="537"/>
    </row>
    <row r="18" spans="1:80" x14ac:dyDescent="0.3">
      <c r="A18" s="551"/>
      <c r="B18" s="548"/>
      <c r="C18" s="525"/>
      <c r="D18" s="525"/>
      <c r="E18" s="525"/>
      <c r="F18" s="525"/>
      <c r="G18" s="525"/>
      <c r="H18" s="525"/>
      <c r="I18" s="529"/>
      <c r="J18" s="525"/>
      <c r="K18" s="525"/>
      <c r="L18" s="525"/>
      <c r="M18" s="525"/>
      <c r="N18" s="525"/>
      <c r="O18" s="525"/>
      <c r="P18" s="565"/>
      <c r="Q18" s="537"/>
      <c r="R18" s="525"/>
      <c r="S18" s="525"/>
      <c r="T18" s="525"/>
      <c r="U18" s="525"/>
      <c r="V18" s="525"/>
      <c r="W18" s="525"/>
      <c r="X18" s="525"/>
      <c r="Y18" s="525"/>
      <c r="Z18" s="525"/>
      <c r="AA18" s="525"/>
      <c r="AB18" s="525"/>
      <c r="AC18" s="525"/>
      <c r="AD18" s="525"/>
      <c r="AE18" s="525"/>
      <c r="AF18" s="525"/>
      <c r="AG18" s="525"/>
      <c r="AH18" s="525"/>
      <c r="AI18" s="525"/>
      <c r="AJ18" s="525"/>
      <c r="AK18" s="525"/>
      <c r="AL18" s="525"/>
      <c r="AM18" s="525"/>
      <c r="AN18" s="525"/>
      <c r="AO18" s="525"/>
      <c r="AP18" s="525"/>
      <c r="AQ18" s="525"/>
      <c r="AR18" s="525"/>
      <c r="AS18" s="525"/>
      <c r="AT18" s="525"/>
      <c r="AU18" s="525"/>
      <c r="AV18" s="525"/>
      <c r="AW18" s="525"/>
      <c r="AX18" s="525"/>
      <c r="AY18" s="525"/>
      <c r="AZ18" s="525"/>
      <c r="BA18" s="525"/>
      <c r="BB18" s="525"/>
      <c r="BC18" s="525"/>
      <c r="BD18" s="525"/>
      <c r="BE18" s="525"/>
      <c r="BF18" s="525"/>
      <c r="BG18" s="525"/>
      <c r="BH18" s="525"/>
      <c r="BI18" s="525"/>
      <c r="BJ18" s="525"/>
      <c r="BK18" s="525"/>
      <c r="BL18" s="525"/>
      <c r="BM18" s="525"/>
      <c r="BN18" s="525"/>
      <c r="BO18" s="525"/>
      <c r="BP18" s="525"/>
      <c r="BQ18" s="525"/>
      <c r="BR18" s="525"/>
      <c r="BS18" s="525"/>
      <c r="BT18" s="525"/>
      <c r="BU18" s="525"/>
      <c r="BV18" s="525"/>
      <c r="BW18" s="525"/>
      <c r="BX18" s="525"/>
      <c r="BY18" s="525"/>
      <c r="BZ18" s="537"/>
      <c r="CA18" s="537"/>
      <c r="CB18" s="537"/>
    </row>
    <row r="19" spans="1:80" x14ac:dyDescent="0.3">
      <c r="A19" s="551"/>
      <c r="B19" s="548"/>
      <c r="C19" s="525"/>
      <c r="D19" s="525"/>
      <c r="E19" s="566" t="s">
        <v>373</v>
      </c>
      <c r="F19" s="567"/>
      <c r="G19" s="567"/>
      <c r="H19" s="567"/>
      <c r="I19" s="527">
        <f>I507</f>
        <v>3736.9125949235226</v>
      </c>
      <c r="J19" s="527">
        <f>SUMIF($R$2:$BY$2,J$3,$R19:$BY19)</f>
        <v>3788.0951063762218</v>
      </c>
      <c r="K19" s="527">
        <f>SUMIF($R$2:$BY$2,K$3,$R19:$BY19)</f>
        <v>3875.2512231639244</v>
      </c>
      <c r="L19" s="527">
        <f>SUMIF($R$2:$BY$2,L$3,$R19:$BY19)</f>
        <v>3961.477773064395</v>
      </c>
      <c r="M19" s="527">
        <f>SUMIF($R$2:$BY$2,M$3,$R19:$BY19)</f>
        <v>4051.8257991390296</v>
      </c>
      <c r="N19" s="527">
        <f>SUMIF($R$2:$BY$2,N$3,$R19:$BY19)</f>
        <v>4145.0561704781776</v>
      </c>
      <c r="O19" s="529"/>
      <c r="P19" s="568">
        <f>IFERROR(((N19/I19)^(1/5))-1,0)</f>
        <v>2.0947702214874075E-2</v>
      </c>
      <c r="Q19" s="569"/>
      <c r="R19" s="527">
        <f t="shared" ref="R19:AW19" si="19">R469</f>
        <v>311.40938291029363</v>
      </c>
      <c r="S19" s="527">
        <f t="shared" si="19"/>
        <v>311.40938291029363</v>
      </c>
      <c r="T19" s="527">
        <f t="shared" si="19"/>
        <v>311.40938291029363</v>
      </c>
      <c r="U19" s="527">
        <f t="shared" si="19"/>
        <v>311.40938291029363</v>
      </c>
      <c r="V19" s="527">
        <f t="shared" si="19"/>
        <v>311.40938291029363</v>
      </c>
      <c r="W19" s="527">
        <f t="shared" si="19"/>
        <v>311.40938291029363</v>
      </c>
      <c r="X19" s="527">
        <f t="shared" si="19"/>
        <v>319.93980148574337</v>
      </c>
      <c r="Y19" s="527">
        <f t="shared" si="19"/>
        <v>319.93980148574337</v>
      </c>
      <c r="Z19" s="527">
        <f t="shared" si="19"/>
        <v>319.93980148574337</v>
      </c>
      <c r="AA19" s="527">
        <f t="shared" si="19"/>
        <v>319.93980148574337</v>
      </c>
      <c r="AB19" s="527">
        <f t="shared" si="19"/>
        <v>319.93980148574337</v>
      </c>
      <c r="AC19" s="527">
        <f t="shared" si="19"/>
        <v>319.93980148574337</v>
      </c>
      <c r="AD19" s="527">
        <f t="shared" si="19"/>
        <v>317.73070264028968</v>
      </c>
      <c r="AE19" s="527">
        <f t="shared" si="19"/>
        <v>317.73070264028968</v>
      </c>
      <c r="AF19" s="527">
        <f t="shared" si="19"/>
        <v>317.73070264028968</v>
      </c>
      <c r="AG19" s="527">
        <f t="shared" si="19"/>
        <v>317.73070264028968</v>
      </c>
      <c r="AH19" s="527">
        <f t="shared" si="19"/>
        <v>317.73070264028968</v>
      </c>
      <c r="AI19" s="527">
        <f t="shared" si="19"/>
        <v>317.73070264028968</v>
      </c>
      <c r="AJ19" s="527">
        <f t="shared" si="19"/>
        <v>328.14450122036448</v>
      </c>
      <c r="AK19" s="527">
        <f t="shared" si="19"/>
        <v>328.14450122036448</v>
      </c>
      <c r="AL19" s="527">
        <f t="shared" si="19"/>
        <v>328.14450122036448</v>
      </c>
      <c r="AM19" s="527">
        <f t="shared" si="19"/>
        <v>328.14450122036448</v>
      </c>
      <c r="AN19" s="527">
        <f t="shared" si="19"/>
        <v>328.14450122036448</v>
      </c>
      <c r="AO19" s="527">
        <f t="shared" si="19"/>
        <v>328.14450122036448</v>
      </c>
      <c r="AP19" s="527">
        <f t="shared" si="19"/>
        <v>323.99123957974678</v>
      </c>
      <c r="AQ19" s="527">
        <f t="shared" si="19"/>
        <v>323.99123957974678</v>
      </c>
      <c r="AR19" s="527">
        <f t="shared" si="19"/>
        <v>323.99123957974678</v>
      </c>
      <c r="AS19" s="527">
        <f t="shared" si="19"/>
        <v>323.99123957974678</v>
      </c>
      <c r="AT19" s="527">
        <f t="shared" si="19"/>
        <v>323.99123957974678</v>
      </c>
      <c r="AU19" s="527">
        <f t="shared" si="19"/>
        <v>323.99123957974678</v>
      </c>
      <c r="AV19" s="527">
        <f t="shared" si="19"/>
        <v>336.25505593098558</v>
      </c>
      <c r="AW19" s="527">
        <f t="shared" si="19"/>
        <v>336.25505593098558</v>
      </c>
      <c r="AX19" s="527">
        <f t="shared" ref="AX19:BY19" si="20">AX469</f>
        <v>336.25505593098558</v>
      </c>
      <c r="AY19" s="527">
        <f t="shared" si="20"/>
        <v>336.25505593098558</v>
      </c>
      <c r="AZ19" s="527">
        <f t="shared" si="20"/>
        <v>336.25505593098558</v>
      </c>
      <c r="BA19" s="527">
        <f t="shared" si="20"/>
        <v>336.25505593098558</v>
      </c>
      <c r="BB19" s="527">
        <f t="shared" si="20"/>
        <v>330.60536824767519</v>
      </c>
      <c r="BC19" s="527">
        <f t="shared" si="20"/>
        <v>330.60536824767519</v>
      </c>
      <c r="BD19" s="527">
        <f t="shared" si="20"/>
        <v>330.60536824767519</v>
      </c>
      <c r="BE19" s="527">
        <f t="shared" si="20"/>
        <v>330.60536824767519</v>
      </c>
      <c r="BF19" s="527">
        <f t="shared" si="20"/>
        <v>330.60536824767519</v>
      </c>
      <c r="BG19" s="527">
        <f t="shared" si="20"/>
        <v>330.60536824767519</v>
      </c>
      <c r="BH19" s="527">
        <f t="shared" si="20"/>
        <v>344.69893160882964</v>
      </c>
      <c r="BI19" s="527">
        <f t="shared" si="20"/>
        <v>344.69893160882964</v>
      </c>
      <c r="BJ19" s="527">
        <f t="shared" si="20"/>
        <v>344.69893160882964</v>
      </c>
      <c r="BK19" s="527">
        <f t="shared" si="20"/>
        <v>344.69893160882964</v>
      </c>
      <c r="BL19" s="527">
        <f t="shared" si="20"/>
        <v>344.69893160882964</v>
      </c>
      <c r="BM19" s="527">
        <f t="shared" si="20"/>
        <v>344.69893160882964</v>
      </c>
      <c r="BN19" s="527">
        <f t="shared" si="20"/>
        <v>337.48071728292518</v>
      </c>
      <c r="BO19" s="527">
        <f t="shared" si="20"/>
        <v>337.48071728292518</v>
      </c>
      <c r="BP19" s="527">
        <f t="shared" si="20"/>
        <v>337.48071728292518</v>
      </c>
      <c r="BQ19" s="527">
        <f t="shared" si="20"/>
        <v>337.48071728292518</v>
      </c>
      <c r="BR19" s="527">
        <f t="shared" si="20"/>
        <v>337.48071728292518</v>
      </c>
      <c r="BS19" s="527">
        <f t="shared" si="20"/>
        <v>337.48071728292518</v>
      </c>
      <c r="BT19" s="527">
        <f t="shared" si="20"/>
        <v>353.36197779677121</v>
      </c>
      <c r="BU19" s="527">
        <f t="shared" si="20"/>
        <v>353.36197779677121</v>
      </c>
      <c r="BV19" s="527">
        <f t="shared" si="20"/>
        <v>353.36197779677121</v>
      </c>
      <c r="BW19" s="527">
        <f t="shared" si="20"/>
        <v>353.36197779677121</v>
      </c>
      <c r="BX19" s="527">
        <f t="shared" si="20"/>
        <v>353.36197779677121</v>
      </c>
      <c r="BY19" s="527">
        <f t="shared" si="20"/>
        <v>353.36197779677121</v>
      </c>
      <c r="BZ19" s="537"/>
      <c r="CA19" s="537"/>
      <c r="CB19" s="537"/>
    </row>
    <row r="20" spans="1:80" x14ac:dyDescent="0.3">
      <c r="A20" s="551"/>
      <c r="B20" s="548"/>
      <c r="C20" s="525"/>
      <c r="D20" s="525"/>
      <c r="E20" s="525"/>
      <c r="F20" s="529"/>
      <c r="G20" s="529"/>
      <c r="H20" s="529"/>
      <c r="I20" s="529"/>
      <c r="J20" s="529"/>
      <c r="K20" s="529"/>
      <c r="L20" s="529"/>
      <c r="M20" s="529"/>
      <c r="N20" s="529"/>
      <c r="O20" s="529"/>
      <c r="P20" s="562"/>
      <c r="Q20" s="537"/>
      <c r="R20" s="529"/>
      <c r="S20" s="529"/>
      <c r="T20" s="529"/>
      <c r="U20" s="529"/>
      <c r="V20" s="529"/>
      <c r="W20" s="529"/>
      <c r="X20" s="529"/>
      <c r="Y20" s="529"/>
      <c r="Z20" s="529"/>
      <c r="AA20" s="529"/>
      <c r="AB20" s="529"/>
      <c r="AC20" s="529"/>
      <c r="AD20" s="529"/>
      <c r="AE20" s="529"/>
      <c r="AF20" s="529"/>
      <c r="AG20" s="529"/>
      <c r="AH20" s="529"/>
      <c r="AI20" s="529"/>
      <c r="AJ20" s="529"/>
      <c r="AK20" s="529"/>
      <c r="AL20" s="529"/>
      <c r="AM20" s="529"/>
      <c r="AN20" s="529"/>
      <c r="AO20" s="529"/>
      <c r="AP20" s="529"/>
      <c r="AQ20" s="529"/>
      <c r="AR20" s="529"/>
      <c r="AS20" s="529"/>
      <c r="AT20" s="529"/>
      <c r="AU20" s="529"/>
      <c r="AV20" s="529"/>
      <c r="AW20" s="529"/>
      <c r="AX20" s="529"/>
      <c r="AY20" s="529"/>
      <c r="AZ20" s="529"/>
      <c r="BA20" s="529"/>
      <c r="BB20" s="529"/>
      <c r="BC20" s="529"/>
      <c r="BD20" s="529"/>
      <c r="BE20" s="529"/>
      <c r="BF20" s="529"/>
      <c r="BG20" s="529"/>
      <c r="BH20" s="529"/>
      <c r="BI20" s="529"/>
      <c r="BJ20" s="529"/>
      <c r="BK20" s="529"/>
      <c r="BL20" s="529"/>
      <c r="BM20" s="529"/>
      <c r="BN20" s="529"/>
      <c r="BO20" s="529"/>
      <c r="BP20" s="529"/>
      <c r="BQ20" s="529"/>
      <c r="BR20" s="529"/>
      <c r="BS20" s="529"/>
      <c r="BT20" s="529"/>
      <c r="BU20" s="529"/>
      <c r="BV20" s="529"/>
      <c r="BW20" s="529"/>
      <c r="BX20" s="529"/>
      <c r="BY20" s="529"/>
      <c r="BZ20" s="537"/>
      <c r="CA20" s="537"/>
      <c r="CB20" s="537"/>
    </row>
    <row r="21" spans="1:80" x14ac:dyDescent="0.3">
      <c r="A21" s="551"/>
      <c r="B21" s="548"/>
      <c r="C21" s="525"/>
      <c r="D21" s="525"/>
      <c r="E21" s="570" t="s">
        <v>22</v>
      </c>
      <c r="F21" s="529"/>
      <c r="G21" s="529"/>
      <c r="H21" s="529"/>
      <c r="I21" s="571"/>
      <c r="J21" s="571"/>
      <c r="K21" s="571"/>
      <c r="L21" s="571"/>
      <c r="M21" s="571"/>
      <c r="N21" s="571"/>
      <c r="O21" s="529"/>
      <c r="P21" s="562"/>
      <c r="Q21" s="537"/>
      <c r="R21" s="529"/>
      <c r="S21" s="529"/>
      <c r="T21" s="529"/>
      <c r="U21" s="529"/>
      <c r="V21" s="529"/>
      <c r="W21" s="529"/>
      <c r="X21" s="529"/>
      <c r="Y21" s="529"/>
      <c r="Z21" s="529"/>
      <c r="AA21" s="529"/>
      <c r="AB21" s="529"/>
      <c r="AC21" s="529"/>
      <c r="AD21" s="529"/>
      <c r="AE21" s="529"/>
      <c r="AF21" s="529"/>
      <c r="AG21" s="529"/>
      <c r="AH21" s="529"/>
      <c r="AI21" s="529"/>
      <c r="AJ21" s="529"/>
      <c r="AK21" s="529"/>
      <c r="AL21" s="529"/>
      <c r="AM21" s="529"/>
      <c r="AN21" s="529"/>
      <c r="AO21" s="529"/>
      <c r="AP21" s="529"/>
      <c r="AQ21" s="529"/>
      <c r="AR21" s="529"/>
      <c r="AS21" s="529"/>
      <c r="AT21" s="529"/>
      <c r="AU21" s="529"/>
      <c r="AV21" s="529"/>
      <c r="AW21" s="529"/>
      <c r="AX21" s="529"/>
      <c r="AY21" s="529"/>
      <c r="AZ21" s="529"/>
      <c r="BA21" s="529"/>
      <c r="BB21" s="529"/>
      <c r="BC21" s="529"/>
      <c r="BD21" s="529"/>
      <c r="BE21" s="529"/>
      <c r="BF21" s="529"/>
      <c r="BG21" s="529"/>
      <c r="BH21" s="529"/>
      <c r="BI21" s="529"/>
      <c r="BJ21" s="529"/>
      <c r="BK21" s="529"/>
      <c r="BL21" s="529"/>
      <c r="BM21" s="529"/>
      <c r="BN21" s="529"/>
      <c r="BO21" s="529"/>
      <c r="BP21" s="529"/>
      <c r="BQ21" s="529"/>
      <c r="BR21" s="529"/>
      <c r="BS21" s="529"/>
      <c r="BT21" s="529"/>
      <c r="BU21" s="529"/>
      <c r="BV21" s="529"/>
      <c r="BW21" s="529"/>
      <c r="BX21" s="529"/>
      <c r="BY21" s="529"/>
      <c r="BZ21" s="537"/>
      <c r="CA21" s="537"/>
      <c r="CB21" s="537"/>
    </row>
    <row r="22" spans="1:80" x14ac:dyDescent="0.3">
      <c r="A22" s="551"/>
      <c r="B22" s="548"/>
      <c r="C22" s="525"/>
      <c r="D22" s="525"/>
      <c r="E22" s="572" t="s">
        <v>388</v>
      </c>
      <c r="F22" s="573"/>
      <c r="G22" s="573"/>
      <c r="H22" s="573"/>
      <c r="I22" s="530">
        <f t="shared" ref="I22:I27" si="21">I512</f>
        <v>2926030.0679637073</v>
      </c>
      <c r="J22" s="530">
        <f t="shared" ref="J22:N27" si="22">SUMIF($R$2:$BY$2,J$3,$R22:$BY22)</f>
        <v>3077466.5940355533</v>
      </c>
      <c r="K22" s="530">
        <f t="shared" si="22"/>
        <v>3263280.1389162177</v>
      </c>
      <c r="L22" s="530">
        <f t="shared" si="22"/>
        <v>3453634.4922911809</v>
      </c>
      <c r="M22" s="530">
        <f t="shared" si="22"/>
        <v>3652222.6855154848</v>
      </c>
      <c r="N22" s="530">
        <f t="shared" si="22"/>
        <v>3863053.4613032076</v>
      </c>
      <c r="O22" s="536"/>
      <c r="P22" s="568">
        <f t="shared" ref="P22:P28" si="23">IFERROR(((N22/I22)^(1/5))-1,0)</f>
        <v>5.7134841590352758E-2</v>
      </c>
      <c r="Q22" s="537"/>
      <c r="R22" s="530">
        <f t="shared" ref="R22:AW22" si="24">R252</f>
        <v>252990.4730645573</v>
      </c>
      <c r="S22" s="530">
        <f t="shared" si="24"/>
        <v>252990.4730645573</v>
      </c>
      <c r="T22" s="530">
        <f t="shared" si="24"/>
        <v>252990.4730645573</v>
      </c>
      <c r="U22" s="530">
        <f t="shared" si="24"/>
        <v>252990.4730645573</v>
      </c>
      <c r="V22" s="530">
        <f t="shared" si="24"/>
        <v>252990.4730645573</v>
      </c>
      <c r="W22" s="530">
        <f t="shared" si="24"/>
        <v>252990.4730645573</v>
      </c>
      <c r="X22" s="530">
        <f t="shared" si="24"/>
        <v>259920.62594136834</v>
      </c>
      <c r="Y22" s="530">
        <f t="shared" si="24"/>
        <v>259920.62594136834</v>
      </c>
      <c r="Z22" s="530">
        <f t="shared" si="24"/>
        <v>259920.62594136834</v>
      </c>
      <c r="AA22" s="530">
        <f t="shared" si="24"/>
        <v>259920.62594136834</v>
      </c>
      <c r="AB22" s="530">
        <f t="shared" si="24"/>
        <v>259920.62594136834</v>
      </c>
      <c r="AC22" s="530">
        <f t="shared" si="24"/>
        <v>259920.62594136834</v>
      </c>
      <c r="AD22" s="530">
        <f t="shared" si="24"/>
        <v>267555.37428188376</v>
      </c>
      <c r="AE22" s="530">
        <f t="shared" si="24"/>
        <v>267555.37428188376</v>
      </c>
      <c r="AF22" s="530">
        <f t="shared" si="24"/>
        <v>267555.37428188376</v>
      </c>
      <c r="AG22" s="530">
        <f t="shared" si="24"/>
        <v>267555.37428188376</v>
      </c>
      <c r="AH22" s="530">
        <f t="shared" si="24"/>
        <v>267555.37428188376</v>
      </c>
      <c r="AI22" s="530">
        <f t="shared" si="24"/>
        <v>267555.37428188376</v>
      </c>
      <c r="AJ22" s="530">
        <f t="shared" si="24"/>
        <v>276324.64887081907</v>
      </c>
      <c r="AK22" s="530">
        <f t="shared" si="24"/>
        <v>276324.64887081907</v>
      </c>
      <c r="AL22" s="530">
        <f t="shared" si="24"/>
        <v>276324.64887081907</v>
      </c>
      <c r="AM22" s="530">
        <f t="shared" si="24"/>
        <v>276324.64887081907</v>
      </c>
      <c r="AN22" s="530">
        <f t="shared" si="24"/>
        <v>276324.64887081907</v>
      </c>
      <c r="AO22" s="530">
        <f t="shared" si="24"/>
        <v>276324.64887081907</v>
      </c>
      <c r="AP22" s="530">
        <f t="shared" si="24"/>
        <v>282457.04868545296</v>
      </c>
      <c r="AQ22" s="530">
        <f t="shared" si="24"/>
        <v>282457.04868545296</v>
      </c>
      <c r="AR22" s="530">
        <f t="shared" si="24"/>
        <v>282457.04868545296</v>
      </c>
      <c r="AS22" s="530">
        <f t="shared" si="24"/>
        <v>282457.04868545296</v>
      </c>
      <c r="AT22" s="530">
        <f t="shared" si="24"/>
        <v>282457.04868545296</v>
      </c>
      <c r="AU22" s="530">
        <f t="shared" si="24"/>
        <v>282457.04868545296</v>
      </c>
      <c r="AV22" s="530">
        <f t="shared" si="24"/>
        <v>293148.70002974401</v>
      </c>
      <c r="AW22" s="530">
        <f t="shared" si="24"/>
        <v>293148.70002974401</v>
      </c>
      <c r="AX22" s="530">
        <f t="shared" ref="AX22:BY22" si="25">AX252</f>
        <v>293148.70002974401</v>
      </c>
      <c r="AY22" s="530">
        <f t="shared" si="25"/>
        <v>293148.70002974401</v>
      </c>
      <c r="AZ22" s="530">
        <f t="shared" si="25"/>
        <v>293148.70002974401</v>
      </c>
      <c r="BA22" s="530">
        <f t="shared" si="25"/>
        <v>293148.70002974401</v>
      </c>
      <c r="BB22" s="530">
        <f t="shared" si="25"/>
        <v>298000.08335104876</v>
      </c>
      <c r="BC22" s="530">
        <f t="shared" si="25"/>
        <v>298000.08335104876</v>
      </c>
      <c r="BD22" s="530">
        <f t="shared" si="25"/>
        <v>298000.08335104876</v>
      </c>
      <c r="BE22" s="530">
        <f t="shared" si="25"/>
        <v>298000.08335104876</v>
      </c>
      <c r="BF22" s="530">
        <f t="shared" si="25"/>
        <v>298000.08335104876</v>
      </c>
      <c r="BG22" s="530">
        <f t="shared" si="25"/>
        <v>298000.08335104876</v>
      </c>
      <c r="BH22" s="530">
        <f t="shared" si="25"/>
        <v>310703.6975681989</v>
      </c>
      <c r="BI22" s="530">
        <f t="shared" si="25"/>
        <v>310703.6975681989</v>
      </c>
      <c r="BJ22" s="530">
        <f t="shared" si="25"/>
        <v>310703.6975681989</v>
      </c>
      <c r="BK22" s="530">
        <f t="shared" si="25"/>
        <v>310703.6975681989</v>
      </c>
      <c r="BL22" s="530">
        <f t="shared" si="25"/>
        <v>310703.6975681989</v>
      </c>
      <c r="BM22" s="530">
        <f t="shared" si="25"/>
        <v>310703.6975681989</v>
      </c>
      <c r="BN22" s="530">
        <f t="shared" si="25"/>
        <v>314520.7204447838</v>
      </c>
      <c r="BO22" s="530">
        <f t="shared" si="25"/>
        <v>314520.7204447838</v>
      </c>
      <c r="BP22" s="530">
        <f t="shared" si="25"/>
        <v>314520.7204447838</v>
      </c>
      <c r="BQ22" s="530">
        <f t="shared" si="25"/>
        <v>314520.7204447838</v>
      </c>
      <c r="BR22" s="530">
        <f t="shared" si="25"/>
        <v>314520.7204447838</v>
      </c>
      <c r="BS22" s="530">
        <f t="shared" si="25"/>
        <v>314520.7204447838</v>
      </c>
      <c r="BT22" s="530">
        <f t="shared" si="25"/>
        <v>329321.52310575079</v>
      </c>
      <c r="BU22" s="530">
        <f t="shared" si="25"/>
        <v>329321.52310575079</v>
      </c>
      <c r="BV22" s="530">
        <f t="shared" si="25"/>
        <v>329321.52310575079</v>
      </c>
      <c r="BW22" s="530">
        <f t="shared" si="25"/>
        <v>329321.52310575079</v>
      </c>
      <c r="BX22" s="530">
        <f t="shared" si="25"/>
        <v>329321.52310575079</v>
      </c>
      <c r="BY22" s="530">
        <f t="shared" si="25"/>
        <v>329321.52310575079</v>
      </c>
      <c r="BZ22" s="537"/>
      <c r="CA22" s="537"/>
      <c r="CB22" s="574"/>
    </row>
    <row r="23" spans="1:80" x14ac:dyDescent="0.3">
      <c r="A23" s="551"/>
      <c r="B23" s="548"/>
      <c r="C23" s="525"/>
      <c r="D23" s="525"/>
      <c r="E23" s="525" t="s">
        <v>387</v>
      </c>
      <c r="F23" s="567"/>
      <c r="G23" s="567"/>
      <c r="H23" s="567"/>
      <c r="I23" s="527">
        <f t="shared" si="21"/>
        <v>-986312.26475853589</v>
      </c>
      <c r="J23" s="527">
        <f t="shared" si="22"/>
        <v>-1010347.448614403</v>
      </c>
      <c r="K23" s="527">
        <f t="shared" si="22"/>
        <v>-1044577.1629751893</v>
      </c>
      <c r="L23" s="527">
        <f t="shared" si="22"/>
        <v>-1079272.2981881069</v>
      </c>
      <c r="M23" s="527">
        <f t="shared" si="22"/>
        <v>-1115835.053873881</v>
      </c>
      <c r="N23" s="527">
        <f t="shared" si="22"/>
        <v>-1153977.3851998225</v>
      </c>
      <c r="O23" s="529"/>
      <c r="P23" s="564">
        <f t="shared" si="23"/>
        <v>3.1897529901719235E-2</v>
      </c>
      <c r="Q23" s="537"/>
      <c r="R23" s="527">
        <f t="shared" ref="R23:AW23" si="26">R260</f>
        <v>-83058.019047199836</v>
      </c>
      <c r="S23" s="527">
        <f t="shared" si="26"/>
        <v>-83058.019047199836</v>
      </c>
      <c r="T23" s="527">
        <f t="shared" si="26"/>
        <v>-83058.019047199836</v>
      </c>
      <c r="U23" s="527">
        <f t="shared" si="26"/>
        <v>-83058.019047199836</v>
      </c>
      <c r="V23" s="527">
        <f t="shared" si="26"/>
        <v>-83058.019047199836</v>
      </c>
      <c r="W23" s="527">
        <f t="shared" si="26"/>
        <v>-83058.019047199836</v>
      </c>
      <c r="X23" s="527">
        <f t="shared" si="26"/>
        <v>-85333.222388533963</v>
      </c>
      <c r="Y23" s="527">
        <f t="shared" si="26"/>
        <v>-85333.222388533963</v>
      </c>
      <c r="Z23" s="527">
        <f t="shared" si="26"/>
        <v>-85333.222388533963</v>
      </c>
      <c r="AA23" s="527">
        <f t="shared" si="26"/>
        <v>-85333.222388533963</v>
      </c>
      <c r="AB23" s="527">
        <f t="shared" si="26"/>
        <v>-85333.222388533963</v>
      </c>
      <c r="AC23" s="527">
        <f t="shared" si="26"/>
        <v>-85333.222388533963</v>
      </c>
      <c r="AD23" s="527">
        <f t="shared" si="26"/>
        <v>-85644.572917038997</v>
      </c>
      <c r="AE23" s="527">
        <f t="shared" si="26"/>
        <v>-85644.572917038997</v>
      </c>
      <c r="AF23" s="527">
        <f t="shared" si="26"/>
        <v>-85644.572917038997</v>
      </c>
      <c r="AG23" s="527">
        <f t="shared" si="26"/>
        <v>-85644.572917038997</v>
      </c>
      <c r="AH23" s="527">
        <f t="shared" si="26"/>
        <v>-85644.572917038997</v>
      </c>
      <c r="AI23" s="527">
        <f t="shared" si="26"/>
        <v>-85644.572917038997</v>
      </c>
      <c r="AJ23" s="527">
        <f t="shared" si="26"/>
        <v>-88451.62091215924</v>
      </c>
      <c r="AK23" s="527">
        <f t="shared" si="26"/>
        <v>-88451.62091215924</v>
      </c>
      <c r="AL23" s="527">
        <f t="shared" si="26"/>
        <v>-88451.62091215924</v>
      </c>
      <c r="AM23" s="527">
        <f t="shared" si="26"/>
        <v>-88451.62091215924</v>
      </c>
      <c r="AN23" s="527">
        <f t="shared" si="26"/>
        <v>-88451.62091215924</v>
      </c>
      <c r="AO23" s="527">
        <f t="shared" si="26"/>
        <v>-88451.62091215924</v>
      </c>
      <c r="AP23" s="527">
        <f t="shared" si="26"/>
        <v>-88268.769829183337</v>
      </c>
      <c r="AQ23" s="527">
        <f t="shared" si="26"/>
        <v>-88268.769829183337</v>
      </c>
      <c r="AR23" s="527">
        <f t="shared" si="26"/>
        <v>-88268.769829183337</v>
      </c>
      <c r="AS23" s="527">
        <f t="shared" si="26"/>
        <v>-88268.769829183337</v>
      </c>
      <c r="AT23" s="527">
        <f t="shared" si="26"/>
        <v>-88268.769829183337</v>
      </c>
      <c r="AU23" s="527">
        <f t="shared" si="26"/>
        <v>-88268.769829183337</v>
      </c>
      <c r="AV23" s="527">
        <f t="shared" si="26"/>
        <v>-91609.94653550112</v>
      </c>
      <c r="AW23" s="527">
        <f t="shared" si="26"/>
        <v>-91609.94653550112</v>
      </c>
      <c r="AX23" s="527">
        <f t="shared" ref="AX23:BY23" si="27">AX260</f>
        <v>-91609.94653550112</v>
      </c>
      <c r="AY23" s="527">
        <f t="shared" si="27"/>
        <v>-91609.94653550112</v>
      </c>
      <c r="AZ23" s="527">
        <f t="shared" si="27"/>
        <v>-91609.94653550112</v>
      </c>
      <c r="BA23" s="527">
        <f t="shared" si="27"/>
        <v>-91609.94653550112</v>
      </c>
      <c r="BB23" s="527">
        <f t="shared" si="27"/>
        <v>-91045.63650491256</v>
      </c>
      <c r="BC23" s="527">
        <f t="shared" si="27"/>
        <v>-91045.63650491256</v>
      </c>
      <c r="BD23" s="527">
        <f t="shared" si="27"/>
        <v>-91045.63650491256</v>
      </c>
      <c r="BE23" s="527">
        <f t="shared" si="27"/>
        <v>-91045.63650491256</v>
      </c>
      <c r="BF23" s="527">
        <f t="shared" si="27"/>
        <v>-91045.63650491256</v>
      </c>
      <c r="BG23" s="527">
        <f t="shared" si="27"/>
        <v>-91045.63650491256</v>
      </c>
      <c r="BH23" s="527">
        <f t="shared" si="27"/>
        <v>-94926.872474067612</v>
      </c>
      <c r="BI23" s="527">
        <f t="shared" si="27"/>
        <v>-94926.872474067612</v>
      </c>
      <c r="BJ23" s="527">
        <f t="shared" si="27"/>
        <v>-94926.872474067612</v>
      </c>
      <c r="BK23" s="527">
        <f t="shared" si="27"/>
        <v>-94926.872474067612</v>
      </c>
      <c r="BL23" s="527">
        <f t="shared" si="27"/>
        <v>-94926.872474067612</v>
      </c>
      <c r="BM23" s="527">
        <f t="shared" si="27"/>
        <v>-94926.872474067612</v>
      </c>
      <c r="BN23" s="527">
        <f t="shared" si="27"/>
        <v>-93954.122614599852</v>
      </c>
      <c r="BO23" s="527">
        <f t="shared" si="27"/>
        <v>-93954.122614599852</v>
      </c>
      <c r="BP23" s="527">
        <f t="shared" si="27"/>
        <v>-93954.122614599852</v>
      </c>
      <c r="BQ23" s="527">
        <f t="shared" si="27"/>
        <v>-93954.122614599852</v>
      </c>
      <c r="BR23" s="527">
        <f t="shared" si="27"/>
        <v>-93954.122614599852</v>
      </c>
      <c r="BS23" s="527">
        <f t="shared" si="27"/>
        <v>-93954.122614599852</v>
      </c>
      <c r="BT23" s="527">
        <f t="shared" si="27"/>
        <v>-98375.441585370514</v>
      </c>
      <c r="BU23" s="527">
        <f t="shared" si="27"/>
        <v>-98375.441585370514</v>
      </c>
      <c r="BV23" s="527">
        <f t="shared" si="27"/>
        <v>-98375.441585370514</v>
      </c>
      <c r="BW23" s="527">
        <f t="shared" si="27"/>
        <v>-98375.441585370514</v>
      </c>
      <c r="BX23" s="527">
        <f t="shared" si="27"/>
        <v>-98375.441585370514</v>
      </c>
      <c r="BY23" s="527">
        <f t="shared" si="27"/>
        <v>-98375.441585370514</v>
      </c>
      <c r="BZ23" s="537"/>
      <c r="CA23" s="537"/>
      <c r="CB23" s="574"/>
    </row>
    <row r="24" spans="1:80" x14ac:dyDescent="0.3">
      <c r="A24" s="551"/>
      <c r="B24" s="548"/>
      <c r="C24" s="525"/>
      <c r="D24" s="525"/>
      <c r="E24" s="525" t="s">
        <v>386</v>
      </c>
      <c r="F24" s="567"/>
      <c r="G24" s="567"/>
      <c r="H24" s="567"/>
      <c r="I24" s="527">
        <f t="shared" si="21"/>
        <v>-201261.87129490168</v>
      </c>
      <c r="J24" s="527">
        <f t="shared" si="22"/>
        <v>-208098.81745797154</v>
      </c>
      <c r="K24" s="527">
        <f t="shared" si="22"/>
        <v>-217144.46911490383</v>
      </c>
      <c r="L24" s="527">
        <f t="shared" si="22"/>
        <v>-226415.57854539528</v>
      </c>
      <c r="M24" s="527">
        <f t="shared" si="22"/>
        <v>-236210.94594781057</v>
      </c>
      <c r="N24" s="527">
        <f t="shared" si="22"/>
        <v>-246478.95574098465</v>
      </c>
      <c r="O24" s="529"/>
      <c r="P24" s="564">
        <f t="shared" si="23"/>
        <v>4.1366656259171464E-2</v>
      </c>
      <c r="Q24" s="537"/>
      <c r="R24" s="527">
        <f t="shared" ref="R24:AW24" si="28">R268</f>
        <v>-17107.259060066644</v>
      </c>
      <c r="S24" s="527">
        <f t="shared" si="28"/>
        <v>-17107.259060066644</v>
      </c>
      <c r="T24" s="527">
        <f t="shared" si="28"/>
        <v>-17107.259060066644</v>
      </c>
      <c r="U24" s="527">
        <f t="shared" si="28"/>
        <v>-17107.259060066644</v>
      </c>
      <c r="V24" s="527">
        <f t="shared" si="28"/>
        <v>-17107.259060066644</v>
      </c>
      <c r="W24" s="527">
        <f t="shared" si="28"/>
        <v>-17107.259060066644</v>
      </c>
      <c r="X24" s="527">
        <f t="shared" si="28"/>
        <v>-17575.877182928605</v>
      </c>
      <c r="Y24" s="527">
        <f t="shared" si="28"/>
        <v>-17575.877182928605</v>
      </c>
      <c r="Z24" s="527">
        <f t="shared" si="28"/>
        <v>-17575.877182928605</v>
      </c>
      <c r="AA24" s="527">
        <f t="shared" si="28"/>
        <v>-17575.877182928605</v>
      </c>
      <c r="AB24" s="527">
        <f t="shared" si="28"/>
        <v>-17575.877182928605</v>
      </c>
      <c r="AC24" s="527">
        <f t="shared" si="28"/>
        <v>-17575.877182928605</v>
      </c>
      <c r="AD24" s="527">
        <f t="shared" si="28"/>
        <v>-17803.610855969691</v>
      </c>
      <c r="AE24" s="527">
        <f t="shared" si="28"/>
        <v>-17803.610855969691</v>
      </c>
      <c r="AF24" s="527">
        <f t="shared" si="28"/>
        <v>-17803.610855969691</v>
      </c>
      <c r="AG24" s="527">
        <f t="shared" si="28"/>
        <v>-17803.610855969691</v>
      </c>
      <c r="AH24" s="527">
        <f t="shared" si="28"/>
        <v>-17803.610855969691</v>
      </c>
      <c r="AI24" s="527">
        <f t="shared" si="28"/>
        <v>-17803.610855969691</v>
      </c>
      <c r="AJ24" s="527">
        <f t="shared" si="28"/>
        <v>-18387.133996514283</v>
      </c>
      <c r="AK24" s="527">
        <f t="shared" si="28"/>
        <v>-18387.133996514283</v>
      </c>
      <c r="AL24" s="527">
        <f t="shared" si="28"/>
        <v>-18387.133996514283</v>
      </c>
      <c r="AM24" s="527">
        <f t="shared" si="28"/>
        <v>-18387.133996514283</v>
      </c>
      <c r="AN24" s="527">
        <f t="shared" si="28"/>
        <v>-18387.133996514283</v>
      </c>
      <c r="AO24" s="527">
        <f t="shared" si="28"/>
        <v>-18387.133996514283</v>
      </c>
      <c r="AP24" s="527">
        <f t="shared" si="28"/>
        <v>-18517.499820866895</v>
      </c>
      <c r="AQ24" s="527">
        <f t="shared" si="28"/>
        <v>-18517.499820866895</v>
      </c>
      <c r="AR24" s="527">
        <f t="shared" si="28"/>
        <v>-18517.499820866895</v>
      </c>
      <c r="AS24" s="527">
        <f t="shared" si="28"/>
        <v>-18517.499820866895</v>
      </c>
      <c r="AT24" s="527">
        <f t="shared" si="28"/>
        <v>-18517.499820866895</v>
      </c>
      <c r="AU24" s="527">
        <f t="shared" si="28"/>
        <v>-18517.499820866895</v>
      </c>
      <c r="AV24" s="527">
        <f t="shared" si="28"/>
        <v>-19218.429936698973</v>
      </c>
      <c r="AW24" s="527">
        <f t="shared" si="28"/>
        <v>-19218.429936698973</v>
      </c>
      <c r="AX24" s="527">
        <f t="shared" ref="AX24:BY24" si="29">AX268</f>
        <v>-19218.429936698973</v>
      </c>
      <c r="AY24" s="527">
        <f t="shared" si="29"/>
        <v>-19218.429936698973</v>
      </c>
      <c r="AZ24" s="527">
        <f t="shared" si="29"/>
        <v>-19218.429936698973</v>
      </c>
      <c r="BA24" s="527">
        <f t="shared" si="29"/>
        <v>-19218.429936698973</v>
      </c>
      <c r="BB24" s="527">
        <f t="shared" si="29"/>
        <v>-19273.43638164342</v>
      </c>
      <c r="BC24" s="527">
        <f t="shared" si="29"/>
        <v>-19273.43638164342</v>
      </c>
      <c r="BD24" s="527">
        <f t="shared" si="29"/>
        <v>-19273.43638164342</v>
      </c>
      <c r="BE24" s="527">
        <f t="shared" si="29"/>
        <v>-19273.43638164342</v>
      </c>
      <c r="BF24" s="527">
        <f t="shared" si="29"/>
        <v>-19273.43638164342</v>
      </c>
      <c r="BG24" s="527">
        <f t="shared" si="29"/>
        <v>-19273.43638164342</v>
      </c>
      <c r="BH24" s="527">
        <f t="shared" si="29"/>
        <v>-20095.054609658331</v>
      </c>
      <c r="BI24" s="527">
        <f t="shared" si="29"/>
        <v>-20095.054609658331</v>
      </c>
      <c r="BJ24" s="527">
        <f t="shared" si="29"/>
        <v>-20095.054609658331</v>
      </c>
      <c r="BK24" s="527">
        <f t="shared" si="29"/>
        <v>-20095.054609658331</v>
      </c>
      <c r="BL24" s="527">
        <f t="shared" si="29"/>
        <v>-20095.054609658331</v>
      </c>
      <c r="BM24" s="527">
        <f t="shared" si="29"/>
        <v>-20095.054609658331</v>
      </c>
      <c r="BN24" s="527">
        <f t="shared" si="29"/>
        <v>-20067.736444936501</v>
      </c>
      <c r="BO24" s="527">
        <f t="shared" si="29"/>
        <v>-20067.736444936501</v>
      </c>
      <c r="BP24" s="527">
        <f t="shared" si="29"/>
        <v>-20067.736444936501</v>
      </c>
      <c r="BQ24" s="527">
        <f t="shared" si="29"/>
        <v>-20067.736444936501</v>
      </c>
      <c r="BR24" s="527">
        <f t="shared" si="29"/>
        <v>-20067.736444936501</v>
      </c>
      <c r="BS24" s="527">
        <f t="shared" si="29"/>
        <v>-20067.736444936501</v>
      </c>
      <c r="BT24" s="527">
        <f t="shared" si="29"/>
        <v>-21012.089511894272</v>
      </c>
      <c r="BU24" s="527">
        <f t="shared" si="29"/>
        <v>-21012.089511894272</v>
      </c>
      <c r="BV24" s="527">
        <f t="shared" si="29"/>
        <v>-21012.089511894272</v>
      </c>
      <c r="BW24" s="527">
        <f t="shared" si="29"/>
        <v>-21012.089511894272</v>
      </c>
      <c r="BX24" s="527">
        <f t="shared" si="29"/>
        <v>-21012.089511894272</v>
      </c>
      <c r="BY24" s="527">
        <f t="shared" si="29"/>
        <v>-21012.089511894272</v>
      </c>
      <c r="BZ24" s="537"/>
      <c r="CA24" s="537"/>
      <c r="CB24" s="574"/>
    </row>
    <row r="25" spans="1:80" x14ac:dyDescent="0.3">
      <c r="A25" s="551"/>
      <c r="B25" s="548"/>
      <c r="C25" s="525"/>
      <c r="D25" s="525"/>
      <c r="E25" s="572" t="s">
        <v>385</v>
      </c>
      <c r="F25" s="573"/>
      <c r="G25" s="573"/>
      <c r="H25" s="573"/>
      <c r="I25" s="530">
        <f t="shared" si="21"/>
        <v>1622133.2100000002</v>
      </c>
      <c r="J25" s="530">
        <f t="shared" si="22"/>
        <v>1859020.3279631797</v>
      </c>
      <c r="K25" s="530">
        <f t="shared" si="22"/>
        <v>2001558.5068261239</v>
      </c>
      <c r="L25" s="530">
        <f t="shared" si="22"/>
        <v>2147946.6155576804</v>
      </c>
      <c r="M25" s="530">
        <f t="shared" si="22"/>
        <v>2300176.6856937939</v>
      </c>
      <c r="N25" s="530">
        <f t="shared" si="22"/>
        <v>2462597.1203624005</v>
      </c>
      <c r="O25" s="536"/>
      <c r="P25" s="568">
        <f t="shared" si="23"/>
        <v>8.7079661106662432E-2</v>
      </c>
      <c r="Q25" s="537"/>
      <c r="R25" s="530">
        <f t="shared" ref="R25:AW25" si="30">SUM(R22:R24)</f>
        <v>152825.19495729083</v>
      </c>
      <c r="S25" s="530">
        <f t="shared" si="30"/>
        <v>152825.19495729083</v>
      </c>
      <c r="T25" s="530">
        <f t="shared" si="30"/>
        <v>152825.19495729083</v>
      </c>
      <c r="U25" s="530">
        <f t="shared" si="30"/>
        <v>152825.19495729083</v>
      </c>
      <c r="V25" s="530">
        <f t="shared" si="30"/>
        <v>152825.19495729083</v>
      </c>
      <c r="W25" s="530">
        <f t="shared" si="30"/>
        <v>152825.19495729083</v>
      </c>
      <c r="X25" s="530">
        <f t="shared" si="30"/>
        <v>157011.52636990577</v>
      </c>
      <c r="Y25" s="530">
        <f t="shared" si="30"/>
        <v>157011.52636990577</v>
      </c>
      <c r="Z25" s="530">
        <f t="shared" si="30"/>
        <v>157011.52636990577</v>
      </c>
      <c r="AA25" s="530">
        <f t="shared" si="30"/>
        <v>157011.52636990577</v>
      </c>
      <c r="AB25" s="530">
        <f t="shared" si="30"/>
        <v>157011.52636990577</v>
      </c>
      <c r="AC25" s="530">
        <f t="shared" si="30"/>
        <v>157011.52636990577</v>
      </c>
      <c r="AD25" s="530">
        <f t="shared" si="30"/>
        <v>164107.19050887509</v>
      </c>
      <c r="AE25" s="530">
        <f t="shared" si="30"/>
        <v>164107.19050887509</v>
      </c>
      <c r="AF25" s="530">
        <f t="shared" si="30"/>
        <v>164107.19050887509</v>
      </c>
      <c r="AG25" s="530">
        <f t="shared" si="30"/>
        <v>164107.19050887509</v>
      </c>
      <c r="AH25" s="530">
        <f t="shared" si="30"/>
        <v>164107.19050887509</v>
      </c>
      <c r="AI25" s="530">
        <f t="shared" si="30"/>
        <v>164107.19050887509</v>
      </c>
      <c r="AJ25" s="530">
        <f t="shared" si="30"/>
        <v>169485.89396214555</v>
      </c>
      <c r="AK25" s="530">
        <f t="shared" si="30"/>
        <v>169485.89396214555</v>
      </c>
      <c r="AL25" s="530">
        <f t="shared" si="30"/>
        <v>169485.89396214555</v>
      </c>
      <c r="AM25" s="530">
        <f t="shared" si="30"/>
        <v>169485.89396214555</v>
      </c>
      <c r="AN25" s="530">
        <f t="shared" si="30"/>
        <v>169485.89396214555</v>
      </c>
      <c r="AO25" s="530">
        <f t="shared" si="30"/>
        <v>169485.89396214555</v>
      </c>
      <c r="AP25" s="530">
        <f t="shared" si="30"/>
        <v>175670.77903540272</v>
      </c>
      <c r="AQ25" s="530">
        <f t="shared" si="30"/>
        <v>175670.77903540272</v>
      </c>
      <c r="AR25" s="530">
        <f t="shared" si="30"/>
        <v>175670.77903540272</v>
      </c>
      <c r="AS25" s="530">
        <f t="shared" si="30"/>
        <v>175670.77903540272</v>
      </c>
      <c r="AT25" s="530">
        <f t="shared" si="30"/>
        <v>175670.77903540272</v>
      </c>
      <c r="AU25" s="530">
        <f t="shared" si="30"/>
        <v>175670.77903540272</v>
      </c>
      <c r="AV25" s="530">
        <f t="shared" si="30"/>
        <v>182320.32355754392</v>
      </c>
      <c r="AW25" s="530">
        <f t="shared" si="30"/>
        <v>182320.32355754392</v>
      </c>
      <c r="AX25" s="530">
        <f t="shared" ref="AX25:BY25" si="31">SUM(AX22:AX24)</f>
        <v>182320.32355754392</v>
      </c>
      <c r="AY25" s="530">
        <f t="shared" si="31"/>
        <v>182320.32355754392</v>
      </c>
      <c r="AZ25" s="530">
        <f t="shared" si="31"/>
        <v>182320.32355754392</v>
      </c>
      <c r="BA25" s="530">
        <f t="shared" si="31"/>
        <v>182320.32355754392</v>
      </c>
      <c r="BB25" s="530">
        <f t="shared" si="31"/>
        <v>187681.01046449278</v>
      </c>
      <c r="BC25" s="530">
        <f t="shared" si="31"/>
        <v>187681.01046449278</v>
      </c>
      <c r="BD25" s="530">
        <f t="shared" si="31"/>
        <v>187681.01046449278</v>
      </c>
      <c r="BE25" s="530">
        <f t="shared" si="31"/>
        <v>187681.01046449278</v>
      </c>
      <c r="BF25" s="530">
        <f t="shared" si="31"/>
        <v>187681.01046449278</v>
      </c>
      <c r="BG25" s="530">
        <f t="shared" si="31"/>
        <v>187681.01046449278</v>
      </c>
      <c r="BH25" s="530">
        <f t="shared" si="31"/>
        <v>195681.77048447295</v>
      </c>
      <c r="BI25" s="530">
        <f t="shared" si="31"/>
        <v>195681.77048447295</v>
      </c>
      <c r="BJ25" s="530">
        <f t="shared" si="31"/>
        <v>195681.77048447295</v>
      </c>
      <c r="BK25" s="530">
        <f t="shared" si="31"/>
        <v>195681.77048447295</v>
      </c>
      <c r="BL25" s="530">
        <f t="shared" si="31"/>
        <v>195681.77048447295</v>
      </c>
      <c r="BM25" s="530">
        <f t="shared" si="31"/>
        <v>195681.77048447295</v>
      </c>
      <c r="BN25" s="530">
        <f t="shared" si="31"/>
        <v>200498.86138524744</v>
      </c>
      <c r="BO25" s="530">
        <f t="shared" si="31"/>
        <v>200498.86138524744</v>
      </c>
      <c r="BP25" s="530">
        <f t="shared" si="31"/>
        <v>200498.86138524744</v>
      </c>
      <c r="BQ25" s="530">
        <f t="shared" si="31"/>
        <v>200498.86138524744</v>
      </c>
      <c r="BR25" s="530">
        <f t="shared" si="31"/>
        <v>200498.86138524744</v>
      </c>
      <c r="BS25" s="530">
        <f t="shared" si="31"/>
        <v>200498.86138524744</v>
      </c>
      <c r="BT25" s="530">
        <f t="shared" si="31"/>
        <v>209933.99200848601</v>
      </c>
      <c r="BU25" s="530">
        <f t="shared" si="31"/>
        <v>209933.99200848601</v>
      </c>
      <c r="BV25" s="530">
        <f t="shared" si="31"/>
        <v>209933.99200848601</v>
      </c>
      <c r="BW25" s="530">
        <f t="shared" si="31"/>
        <v>209933.99200848601</v>
      </c>
      <c r="BX25" s="530">
        <f t="shared" si="31"/>
        <v>209933.99200848601</v>
      </c>
      <c r="BY25" s="530">
        <f t="shared" si="31"/>
        <v>209933.99200848601</v>
      </c>
      <c r="BZ25" s="537"/>
      <c r="CA25" s="537"/>
      <c r="CB25" s="574"/>
    </row>
    <row r="26" spans="1:80" x14ac:dyDescent="0.3">
      <c r="A26" s="551"/>
      <c r="B26" s="548"/>
      <c r="C26" s="525"/>
      <c r="D26" s="525"/>
      <c r="E26" s="525" t="s">
        <v>389</v>
      </c>
      <c r="F26" s="567"/>
      <c r="G26" s="567"/>
      <c r="H26" s="567"/>
      <c r="I26" s="527">
        <f t="shared" si="21"/>
        <v>-399343.02772398229</v>
      </c>
      <c r="J26" s="527">
        <f t="shared" si="22"/>
        <v>-422898.20349821454</v>
      </c>
      <c r="K26" s="527">
        <f t="shared" si="22"/>
        <v>-451306.12607112748</v>
      </c>
      <c r="L26" s="527">
        <f t="shared" si="22"/>
        <v>-480470.37469347584</v>
      </c>
      <c r="M26" s="527">
        <f t="shared" si="22"/>
        <v>-510888.18024761637</v>
      </c>
      <c r="N26" s="527">
        <f t="shared" si="22"/>
        <v>-543235.74242613045</v>
      </c>
      <c r="O26" s="529"/>
      <c r="P26" s="564">
        <f t="shared" si="23"/>
        <v>6.3477843142613732E-2</v>
      </c>
      <c r="Q26" s="537"/>
      <c r="R26" s="527">
        <f t="shared" ref="R26:AW26" si="32">R276</f>
        <v>-34765.354323754742</v>
      </c>
      <c r="S26" s="527">
        <f t="shared" si="32"/>
        <v>-34765.354323754742</v>
      </c>
      <c r="T26" s="527">
        <f t="shared" si="32"/>
        <v>-34765.354323754742</v>
      </c>
      <c r="U26" s="527">
        <f t="shared" si="32"/>
        <v>-34765.354323754742</v>
      </c>
      <c r="V26" s="527">
        <f t="shared" si="32"/>
        <v>-34765.354323754742</v>
      </c>
      <c r="W26" s="527">
        <f t="shared" si="32"/>
        <v>-34765.354323754742</v>
      </c>
      <c r="X26" s="527">
        <f t="shared" si="32"/>
        <v>-35717.679592614353</v>
      </c>
      <c r="Y26" s="527">
        <f t="shared" si="32"/>
        <v>-35717.679592614353</v>
      </c>
      <c r="Z26" s="527">
        <f t="shared" si="32"/>
        <v>-35717.679592614353</v>
      </c>
      <c r="AA26" s="527">
        <f t="shared" si="32"/>
        <v>-35717.679592614353</v>
      </c>
      <c r="AB26" s="527">
        <f t="shared" si="32"/>
        <v>-35717.679592614353</v>
      </c>
      <c r="AC26" s="527">
        <f t="shared" si="32"/>
        <v>-35717.679592614353</v>
      </c>
      <c r="AD26" s="527">
        <f t="shared" si="32"/>
        <v>-37002.455914425467</v>
      </c>
      <c r="AE26" s="527">
        <f t="shared" si="32"/>
        <v>-37002.455914425467</v>
      </c>
      <c r="AF26" s="527">
        <f t="shared" si="32"/>
        <v>-37002.455914425467</v>
      </c>
      <c r="AG26" s="527">
        <f t="shared" si="32"/>
        <v>-37002.455914425467</v>
      </c>
      <c r="AH26" s="527">
        <f t="shared" si="32"/>
        <v>-37002.455914425467</v>
      </c>
      <c r="AI26" s="527">
        <f t="shared" si="32"/>
        <v>-37002.455914425467</v>
      </c>
      <c r="AJ26" s="527">
        <f t="shared" si="32"/>
        <v>-38215.231764095792</v>
      </c>
      <c r="AK26" s="527">
        <f t="shared" si="32"/>
        <v>-38215.231764095792</v>
      </c>
      <c r="AL26" s="527">
        <f t="shared" si="32"/>
        <v>-38215.231764095792</v>
      </c>
      <c r="AM26" s="527">
        <f t="shared" si="32"/>
        <v>-38215.231764095792</v>
      </c>
      <c r="AN26" s="527">
        <f t="shared" si="32"/>
        <v>-38215.231764095792</v>
      </c>
      <c r="AO26" s="527">
        <f t="shared" si="32"/>
        <v>-38215.231764095792</v>
      </c>
      <c r="AP26" s="527">
        <f t="shared" si="32"/>
        <v>-39295.485471793465</v>
      </c>
      <c r="AQ26" s="527">
        <f t="shared" si="32"/>
        <v>-39295.485471793465</v>
      </c>
      <c r="AR26" s="527">
        <f t="shared" si="32"/>
        <v>-39295.485471793465</v>
      </c>
      <c r="AS26" s="527">
        <f t="shared" si="32"/>
        <v>-39295.485471793465</v>
      </c>
      <c r="AT26" s="527">
        <f t="shared" si="32"/>
        <v>-39295.485471793465</v>
      </c>
      <c r="AU26" s="527">
        <f t="shared" si="32"/>
        <v>-39295.485471793465</v>
      </c>
      <c r="AV26" s="527">
        <f t="shared" si="32"/>
        <v>-40782.910310452513</v>
      </c>
      <c r="AW26" s="527">
        <f t="shared" si="32"/>
        <v>-40782.910310452513</v>
      </c>
      <c r="AX26" s="527">
        <f t="shared" ref="AX26:BY26" si="33">AX276</f>
        <v>-40782.910310452513</v>
      </c>
      <c r="AY26" s="527">
        <f t="shared" si="33"/>
        <v>-40782.910310452513</v>
      </c>
      <c r="AZ26" s="527">
        <f t="shared" si="33"/>
        <v>-40782.910310452513</v>
      </c>
      <c r="BA26" s="527">
        <f t="shared" si="33"/>
        <v>-40782.910310452513</v>
      </c>
      <c r="BB26" s="527">
        <f t="shared" si="33"/>
        <v>-41685.497683547459</v>
      </c>
      <c r="BC26" s="527">
        <f t="shared" si="33"/>
        <v>-41685.497683547459</v>
      </c>
      <c r="BD26" s="527">
        <f t="shared" si="33"/>
        <v>-41685.497683547459</v>
      </c>
      <c r="BE26" s="527">
        <f t="shared" si="33"/>
        <v>-41685.497683547459</v>
      </c>
      <c r="BF26" s="527">
        <f t="shared" si="33"/>
        <v>-41685.497683547459</v>
      </c>
      <c r="BG26" s="527">
        <f t="shared" si="33"/>
        <v>-41685.497683547459</v>
      </c>
      <c r="BH26" s="527">
        <f t="shared" si="33"/>
        <v>-43462.532357721917</v>
      </c>
      <c r="BI26" s="527">
        <f t="shared" si="33"/>
        <v>-43462.532357721917</v>
      </c>
      <c r="BJ26" s="527">
        <f t="shared" si="33"/>
        <v>-43462.532357721917</v>
      </c>
      <c r="BK26" s="527">
        <f t="shared" si="33"/>
        <v>-43462.532357721917</v>
      </c>
      <c r="BL26" s="527">
        <f t="shared" si="33"/>
        <v>-43462.532357721917</v>
      </c>
      <c r="BM26" s="527">
        <f t="shared" si="33"/>
        <v>-43462.532357721917</v>
      </c>
      <c r="BN26" s="527">
        <f t="shared" si="33"/>
        <v>-44228.975547644652</v>
      </c>
      <c r="BO26" s="527">
        <f t="shared" si="33"/>
        <v>-44228.975547644652</v>
      </c>
      <c r="BP26" s="527">
        <f t="shared" si="33"/>
        <v>-44228.975547644652</v>
      </c>
      <c r="BQ26" s="527">
        <f t="shared" si="33"/>
        <v>-44228.975547644652</v>
      </c>
      <c r="BR26" s="527">
        <f t="shared" si="33"/>
        <v>-44228.975547644652</v>
      </c>
      <c r="BS26" s="527">
        <f t="shared" si="33"/>
        <v>-44228.975547644652</v>
      </c>
      <c r="BT26" s="527">
        <f t="shared" si="33"/>
        <v>-46310.314856710436</v>
      </c>
      <c r="BU26" s="527">
        <f t="shared" si="33"/>
        <v>-46310.314856710436</v>
      </c>
      <c r="BV26" s="527">
        <f t="shared" si="33"/>
        <v>-46310.314856710436</v>
      </c>
      <c r="BW26" s="527">
        <f t="shared" si="33"/>
        <v>-46310.314856710436</v>
      </c>
      <c r="BX26" s="527">
        <f t="shared" si="33"/>
        <v>-46310.314856710436</v>
      </c>
      <c r="BY26" s="527">
        <f t="shared" si="33"/>
        <v>-46310.314856710436</v>
      </c>
      <c r="BZ26" s="537"/>
      <c r="CA26" s="537"/>
      <c r="CB26" s="574"/>
    </row>
    <row r="27" spans="1:80" x14ac:dyDescent="0.3">
      <c r="A27" s="551"/>
      <c r="B27" s="548"/>
      <c r="C27" s="525"/>
      <c r="D27" s="525"/>
      <c r="E27" s="572" t="s">
        <v>390</v>
      </c>
      <c r="F27" s="573"/>
      <c r="G27" s="573"/>
      <c r="H27" s="573"/>
      <c r="I27" s="530">
        <f t="shared" si="21"/>
        <v>1339112.9041862874</v>
      </c>
      <c r="J27" s="530">
        <f t="shared" si="22"/>
        <v>1436122.1244649652</v>
      </c>
      <c r="K27" s="530">
        <f t="shared" si="22"/>
        <v>1550252.3807549961</v>
      </c>
      <c r="L27" s="530">
        <f t="shared" si="22"/>
        <v>1667476.2408642042</v>
      </c>
      <c r="M27" s="530">
        <f t="shared" si="22"/>
        <v>1789288.5054461779</v>
      </c>
      <c r="N27" s="530">
        <f t="shared" si="22"/>
        <v>1919361.3779362696</v>
      </c>
      <c r="O27" s="536"/>
      <c r="P27" s="568">
        <f t="shared" si="23"/>
        <v>7.4652148498724591E-2</v>
      </c>
      <c r="Q27" s="537"/>
      <c r="R27" s="530">
        <f t="shared" ref="R27:AW27" si="34">SUM(R25:R26)</f>
        <v>118059.84063353609</v>
      </c>
      <c r="S27" s="530">
        <f t="shared" si="34"/>
        <v>118059.84063353609</v>
      </c>
      <c r="T27" s="530">
        <f t="shared" si="34"/>
        <v>118059.84063353609</v>
      </c>
      <c r="U27" s="530">
        <f t="shared" si="34"/>
        <v>118059.84063353609</v>
      </c>
      <c r="V27" s="530">
        <f t="shared" si="34"/>
        <v>118059.84063353609</v>
      </c>
      <c r="W27" s="530">
        <f t="shared" si="34"/>
        <v>118059.84063353609</v>
      </c>
      <c r="X27" s="530">
        <f t="shared" si="34"/>
        <v>121293.84677729142</v>
      </c>
      <c r="Y27" s="530">
        <f t="shared" si="34"/>
        <v>121293.84677729142</v>
      </c>
      <c r="Z27" s="530">
        <f t="shared" si="34"/>
        <v>121293.84677729142</v>
      </c>
      <c r="AA27" s="530">
        <f t="shared" si="34"/>
        <v>121293.84677729142</v>
      </c>
      <c r="AB27" s="530">
        <f t="shared" si="34"/>
        <v>121293.84677729142</v>
      </c>
      <c r="AC27" s="530">
        <f t="shared" si="34"/>
        <v>121293.84677729142</v>
      </c>
      <c r="AD27" s="530">
        <f t="shared" si="34"/>
        <v>127104.73459444963</v>
      </c>
      <c r="AE27" s="530">
        <f t="shared" si="34"/>
        <v>127104.73459444963</v>
      </c>
      <c r="AF27" s="530">
        <f t="shared" si="34"/>
        <v>127104.73459444963</v>
      </c>
      <c r="AG27" s="530">
        <f t="shared" si="34"/>
        <v>127104.73459444963</v>
      </c>
      <c r="AH27" s="530">
        <f t="shared" si="34"/>
        <v>127104.73459444963</v>
      </c>
      <c r="AI27" s="530">
        <f t="shared" si="34"/>
        <v>127104.73459444963</v>
      </c>
      <c r="AJ27" s="530">
        <f t="shared" si="34"/>
        <v>131270.66219804977</v>
      </c>
      <c r="AK27" s="530">
        <f t="shared" si="34"/>
        <v>131270.66219804977</v>
      </c>
      <c r="AL27" s="530">
        <f t="shared" si="34"/>
        <v>131270.66219804977</v>
      </c>
      <c r="AM27" s="530">
        <f t="shared" si="34"/>
        <v>131270.66219804977</v>
      </c>
      <c r="AN27" s="530">
        <f t="shared" si="34"/>
        <v>131270.66219804977</v>
      </c>
      <c r="AO27" s="530">
        <f t="shared" si="34"/>
        <v>131270.66219804977</v>
      </c>
      <c r="AP27" s="530">
        <f t="shared" si="34"/>
        <v>136375.29356360924</v>
      </c>
      <c r="AQ27" s="530">
        <f t="shared" si="34"/>
        <v>136375.29356360924</v>
      </c>
      <c r="AR27" s="530">
        <f t="shared" si="34"/>
        <v>136375.29356360924</v>
      </c>
      <c r="AS27" s="530">
        <f t="shared" si="34"/>
        <v>136375.29356360924</v>
      </c>
      <c r="AT27" s="530">
        <f t="shared" si="34"/>
        <v>136375.29356360924</v>
      </c>
      <c r="AU27" s="530">
        <f t="shared" si="34"/>
        <v>136375.29356360924</v>
      </c>
      <c r="AV27" s="530">
        <f t="shared" si="34"/>
        <v>141537.4132470914</v>
      </c>
      <c r="AW27" s="530">
        <f t="shared" si="34"/>
        <v>141537.4132470914</v>
      </c>
      <c r="AX27" s="530">
        <f t="shared" ref="AX27:BY27" si="35">SUM(AX25:AX26)</f>
        <v>141537.4132470914</v>
      </c>
      <c r="AY27" s="530">
        <f t="shared" si="35"/>
        <v>141537.4132470914</v>
      </c>
      <c r="AZ27" s="530">
        <f t="shared" si="35"/>
        <v>141537.4132470914</v>
      </c>
      <c r="BA27" s="530">
        <f t="shared" si="35"/>
        <v>141537.4132470914</v>
      </c>
      <c r="BB27" s="530">
        <f t="shared" si="35"/>
        <v>145995.51278094531</v>
      </c>
      <c r="BC27" s="530">
        <f t="shared" si="35"/>
        <v>145995.51278094531</v>
      </c>
      <c r="BD27" s="530">
        <f t="shared" si="35"/>
        <v>145995.51278094531</v>
      </c>
      <c r="BE27" s="530">
        <f t="shared" si="35"/>
        <v>145995.51278094531</v>
      </c>
      <c r="BF27" s="530">
        <f t="shared" si="35"/>
        <v>145995.51278094531</v>
      </c>
      <c r="BG27" s="530">
        <f t="shared" si="35"/>
        <v>145995.51278094531</v>
      </c>
      <c r="BH27" s="530">
        <f t="shared" si="35"/>
        <v>152219.23812675104</v>
      </c>
      <c r="BI27" s="530">
        <f t="shared" si="35"/>
        <v>152219.23812675104</v>
      </c>
      <c r="BJ27" s="530">
        <f t="shared" si="35"/>
        <v>152219.23812675104</v>
      </c>
      <c r="BK27" s="530">
        <f t="shared" si="35"/>
        <v>152219.23812675104</v>
      </c>
      <c r="BL27" s="530">
        <f t="shared" si="35"/>
        <v>152219.23812675104</v>
      </c>
      <c r="BM27" s="530">
        <f t="shared" si="35"/>
        <v>152219.23812675104</v>
      </c>
      <c r="BN27" s="530">
        <f t="shared" si="35"/>
        <v>156269.88583760278</v>
      </c>
      <c r="BO27" s="530">
        <f t="shared" si="35"/>
        <v>156269.88583760278</v>
      </c>
      <c r="BP27" s="530">
        <f t="shared" si="35"/>
        <v>156269.88583760278</v>
      </c>
      <c r="BQ27" s="530">
        <f t="shared" si="35"/>
        <v>156269.88583760278</v>
      </c>
      <c r="BR27" s="530">
        <f t="shared" si="35"/>
        <v>156269.88583760278</v>
      </c>
      <c r="BS27" s="530">
        <f t="shared" si="35"/>
        <v>156269.88583760278</v>
      </c>
      <c r="BT27" s="530">
        <f t="shared" si="35"/>
        <v>163623.67715177557</v>
      </c>
      <c r="BU27" s="530">
        <f t="shared" si="35"/>
        <v>163623.67715177557</v>
      </c>
      <c r="BV27" s="530">
        <f t="shared" si="35"/>
        <v>163623.67715177557</v>
      </c>
      <c r="BW27" s="530">
        <f t="shared" si="35"/>
        <v>163623.67715177557</v>
      </c>
      <c r="BX27" s="530">
        <f t="shared" si="35"/>
        <v>163623.67715177557</v>
      </c>
      <c r="BY27" s="530">
        <f t="shared" si="35"/>
        <v>163623.67715177557</v>
      </c>
      <c r="BZ27" s="537"/>
      <c r="CA27" s="537"/>
      <c r="CB27" s="574"/>
    </row>
    <row r="28" spans="1:80" x14ac:dyDescent="0.3">
      <c r="A28" s="551"/>
      <c r="B28" s="548"/>
      <c r="C28" s="525"/>
      <c r="D28" s="525"/>
      <c r="E28" s="525" t="s">
        <v>175</v>
      </c>
      <c r="F28" s="575"/>
      <c r="G28" s="575"/>
      <c r="H28" s="575"/>
      <c r="I28" s="531">
        <f t="shared" ref="I28:N28" si="36">IFERROR(I27/I22,0)</f>
        <v>0.45765520964663475</v>
      </c>
      <c r="J28" s="531">
        <f t="shared" si="36"/>
        <v>0.4666572586842429</v>
      </c>
      <c r="K28" s="531">
        <f t="shared" si="36"/>
        <v>0.47505954584391191</v>
      </c>
      <c r="L28" s="531">
        <f t="shared" si="36"/>
        <v>0.48281780963971704</v>
      </c>
      <c r="M28" s="531">
        <f t="shared" si="36"/>
        <v>0.48991769109326166</v>
      </c>
      <c r="N28" s="531">
        <f t="shared" si="36"/>
        <v>0.49685084536437396</v>
      </c>
      <c r="O28" s="546"/>
      <c r="P28" s="564">
        <f t="shared" si="23"/>
        <v>1.6570551096413366E-2</v>
      </c>
      <c r="Q28" s="537"/>
      <c r="R28" s="531">
        <f t="shared" ref="R28:AW28" si="37">IFERROR(R27/R22,0)</f>
        <v>0.46665725868424285</v>
      </c>
      <c r="S28" s="531">
        <f t="shared" si="37"/>
        <v>0.46665725868424285</v>
      </c>
      <c r="T28" s="531">
        <f t="shared" si="37"/>
        <v>0.46665725868424285</v>
      </c>
      <c r="U28" s="531">
        <f t="shared" si="37"/>
        <v>0.46665725868424285</v>
      </c>
      <c r="V28" s="531">
        <f t="shared" si="37"/>
        <v>0.46665725868424285</v>
      </c>
      <c r="W28" s="531">
        <f t="shared" si="37"/>
        <v>0.46665725868424285</v>
      </c>
      <c r="X28" s="531">
        <f t="shared" si="37"/>
        <v>0.46665725868424274</v>
      </c>
      <c r="Y28" s="531">
        <f t="shared" si="37"/>
        <v>0.46665725868424274</v>
      </c>
      <c r="Z28" s="531">
        <f t="shared" si="37"/>
        <v>0.46665725868424274</v>
      </c>
      <c r="AA28" s="531">
        <f t="shared" si="37"/>
        <v>0.46665725868424274</v>
      </c>
      <c r="AB28" s="531">
        <f t="shared" si="37"/>
        <v>0.46665725868424274</v>
      </c>
      <c r="AC28" s="531">
        <f t="shared" si="37"/>
        <v>0.46665725868424274</v>
      </c>
      <c r="AD28" s="531">
        <f t="shared" si="37"/>
        <v>0.47505954584391213</v>
      </c>
      <c r="AE28" s="531">
        <f t="shared" si="37"/>
        <v>0.47505954584391213</v>
      </c>
      <c r="AF28" s="531">
        <f t="shared" si="37"/>
        <v>0.47505954584391213</v>
      </c>
      <c r="AG28" s="531">
        <f t="shared" si="37"/>
        <v>0.47505954584391213</v>
      </c>
      <c r="AH28" s="531">
        <f t="shared" si="37"/>
        <v>0.47505954584391213</v>
      </c>
      <c r="AI28" s="531">
        <f t="shared" si="37"/>
        <v>0.47505954584391213</v>
      </c>
      <c r="AJ28" s="531">
        <f t="shared" si="37"/>
        <v>0.47505954584391202</v>
      </c>
      <c r="AK28" s="531">
        <f t="shared" si="37"/>
        <v>0.47505954584391202</v>
      </c>
      <c r="AL28" s="531">
        <f t="shared" si="37"/>
        <v>0.47505954584391202</v>
      </c>
      <c r="AM28" s="531">
        <f t="shared" si="37"/>
        <v>0.47505954584391202</v>
      </c>
      <c r="AN28" s="531">
        <f t="shared" si="37"/>
        <v>0.47505954584391202</v>
      </c>
      <c r="AO28" s="531">
        <f t="shared" si="37"/>
        <v>0.47505954584391202</v>
      </c>
      <c r="AP28" s="531">
        <f t="shared" si="37"/>
        <v>0.48281780963971677</v>
      </c>
      <c r="AQ28" s="531">
        <f t="shared" si="37"/>
        <v>0.48281780963971677</v>
      </c>
      <c r="AR28" s="531">
        <f t="shared" si="37"/>
        <v>0.48281780963971677</v>
      </c>
      <c r="AS28" s="531">
        <f t="shared" si="37"/>
        <v>0.48281780963971677</v>
      </c>
      <c r="AT28" s="531">
        <f t="shared" si="37"/>
        <v>0.48281780963971677</v>
      </c>
      <c r="AU28" s="531">
        <f t="shared" si="37"/>
        <v>0.48281780963971677</v>
      </c>
      <c r="AV28" s="531">
        <f t="shared" si="37"/>
        <v>0.48281780963971688</v>
      </c>
      <c r="AW28" s="531">
        <f t="shared" si="37"/>
        <v>0.48281780963971688</v>
      </c>
      <c r="AX28" s="531">
        <f t="shared" ref="AX28:BY28" si="38">IFERROR(AX27/AX22,0)</f>
        <v>0.48281780963971688</v>
      </c>
      <c r="AY28" s="531">
        <f t="shared" si="38"/>
        <v>0.48281780963971688</v>
      </c>
      <c r="AZ28" s="531">
        <f t="shared" si="38"/>
        <v>0.48281780963971688</v>
      </c>
      <c r="BA28" s="531">
        <f t="shared" si="38"/>
        <v>0.48281780963971688</v>
      </c>
      <c r="BB28" s="531">
        <f t="shared" si="38"/>
        <v>0.48991769109326161</v>
      </c>
      <c r="BC28" s="531">
        <f t="shared" si="38"/>
        <v>0.48991769109326161</v>
      </c>
      <c r="BD28" s="531">
        <f t="shared" si="38"/>
        <v>0.48991769109326161</v>
      </c>
      <c r="BE28" s="531">
        <f t="shared" si="38"/>
        <v>0.48991769109326161</v>
      </c>
      <c r="BF28" s="531">
        <f t="shared" si="38"/>
        <v>0.48991769109326161</v>
      </c>
      <c r="BG28" s="531">
        <f t="shared" si="38"/>
        <v>0.48991769109326161</v>
      </c>
      <c r="BH28" s="531">
        <f t="shared" si="38"/>
        <v>0.48991769109326155</v>
      </c>
      <c r="BI28" s="531">
        <f t="shared" si="38"/>
        <v>0.48991769109326155</v>
      </c>
      <c r="BJ28" s="531">
        <f t="shared" si="38"/>
        <v>0.48991769109326155</v>
      </c>
      <c r="BK28" s="531">
        <f t="shared" si="38"/>
        <v>0.48991769109326155</v>
      </c>
      <c r="BL28" s="531">
        <f t="shared" si="38"/>
        <v>0.48991769109326155</v>
      </c>
      <c r="BM28" s="531">
        <f t="shared" si="38"/>
        <v>0.48991769109326155</v>
      </c>
      <c r="BN28" s="531">
        <f t="shared" si="38"/>
        <v>0.49685084536437402</v>
      </c>
      <c r="BO28" s="531">
        <f t="shared" si="38"/>
        <v>0.49685084536437402</v>
      </c>
      <c r="BP28" s="531">
        <f t="shared" si="38"/>
        <v>0.49685084536437402</v>
      </c>
      <c r="BQ28" s="531">
        <f t="shared" si="38"/>
        <v>0.49685084536437402</v>
      </c>
      <c r="BR28" s="531">
        <f t="shared" si="38"/>
        <v>0.49685084536437402</v>
      </c>
      <c r="BS28" s="531">
        <f t="shared" si="38"/>
        <v>0.49685084536437402</v>
      </c>
      <c r="BT28" s="531">
        <f t="shared" si="38"/>
        <v>0.49685084536437418</v>
      </c>
      <c r="BU28" s="531">
        <f t="shared" si="38"/>
        <v>0.49685084536437418</v>
      </c>
      <c r="BV28" s="531">
        <f t="shared" si="38"/>
        <v>0.49685084536437418</v>
      </c>
      <c r="BW28" s="531">
        <f t="shared" si="38"/>
        <v>0.49685084536437418</v>
      </c>
      <c r="BX28" s="531">
        <f t="shared" si="38"/>
        <v>0.49685084536437418</v>
      </c>
      <c r="BY28" s="531">
        <f t="shared" si="38"/>
        <v>0.49685084536437418</v>
      </c>
      <c r="BZ28" s="537"/>
      <c r="CA28" s="537"/>
      <c r="CB28" s="537"/>
    </row>
    <row r="29" spans="1:80" x14ac:dyDescent="0.3">
      <c r="A29" s="551"/>
      <c r="B29" s="548"/>
      <c r="C29" s="525"/>
      <c r="D29" s="525"/>
      <c r="E29" s="525"/>
      <c r="F29" s="575"/>
      <c r="G29" s="575"/>
      <c r="H29" s="575"/>
      <c r="I29" s="529"/>
      <c r="J29" s="529"/>
      <c r="K29" s="529"/>
      <c r="L29" s="529"/>
      <c r="M29" s="529"/>
      <c r="N29" s="529"/>
      <c r="O29" s="529"/>
      <c r="P29" s="562"/>
      <c r="Q29" s="537"/>
      <c r="R29" s="529"/>
      <c r="S29" s="529"/>
      <c r="T29" s="529"/>
      <c r="U29" s="529"/>
      <c r="V29" s="529"/>
      <c r="W29" s="529"/>
      <c r="X29" s="529"/>
      <c r="Y29" s="529"/>
      <c r="Z29" s="529"/>
      <c r="AA29" s="529"/>
      <c r="AB29" s="529"/>
      <c r="AC29" s="529"/>
      <c r="AD29" s="529"/>
      <c r="AE29" s="529"/>
      <c r="AF29" s="529"/>
      <c r="AG29" s="529"/>
      <c r="AH29" s="529"/>
      <c r="AI29" s="529"/>
      <c r="AJ29" s="529"/>
      <c r="AK29" s="529"/>
      <c r="AL29" s="529"/>
      <c r="AM29" s="529"/>
      <c r="AN29" s="529"/>
      <c r="AO29" s="529"/>
      <c r="AP29" s="529"/>
      <c r="AQ29" s="529"/>
      <c r="AR29" s="529"/>
      <c r="AS29" s="529"/>
      <c r="AT29" s="529"/>
      <c r="AU29" s="529"/>
      <c r="AV29" s="529"/>
      <c r="AW29" s="529"/>
      <c r="AX29" s="529"/>
      <c r="AY29" s="529"/>
      <c r="AZ29" s="529"/>
      <c r="BA29" s="529"/>
      <c r="BB29" s="529"/>
      <c r="BC29" s="529"/>
      <c r="BD29" s="529"/>
      <c r="BE29" s="529"/>
      <c r="BF29" s="529"/>
      <c r="BG29" s="529"/>
      <c r="BH29" s="529"/>
      <c r="BI29" s="529"/>
      <c r="BJ29" s="529"/>
      <c r="BK29" s="529"/>
      <c r="BL29" s="529"/>
      <c r="BM29" s="529"/>
      <c r="BN29" s="529"/>
      <c r="BO29" s="529"/>
      <c r="BP29" s="529"/>
      <c r="BQ29" s="529"/>
      <c r="BR29" s="529"/>
      <c r="BS29" s="529"/>
      <c r="BT29" s="529"/>
      <c r="BU29" s="529"/>
      <c r="BV29" s="529"/>
      <c r="BW29" s="529"/>
      <c r="BX29" s="529"/>
      <c r="BY29" s="529"/>
      <c r="BZ29" s="537"/>
      <c r="CA29" s="537"/>
      <c r="CB29" s="537"/>
    </row>
    <row r="30" spans="1:80" x14ac:dyDescent="0.3">
      <c r="A30" s="551"/>
      <c r="B30" s="548"/>
      <c r="C30" s="525"/>
      <c r="D30" s="525"/>
      <c r="E30" s="570" t="s">
        <v>23</v>
      </c>
      <c r="F30" s="529"/>
      <c r="G30" s="529"/>
      <c r="H30" s="529"/>
      <c r="I30" s="529"/>
      <c r="J30" s="529"/>
      <c r="K30" s="529"/>
      <c r="L30" s="529"/>
      <c r="M30" s="529"/>
      <c r="N30" s="529"/>
      <c r="O30" s="529"/>
      <c r="P30" s="562"/>
      <c r="Q30" s="537"/>
      <c r="R30" s="529"/>
      <c r="S30" s="529"/>
      <c r="T30" s="529"/>
      <c r="U30" s="529"/>
      <c r="V30" s="529"/>
      <c r="W30" s="529"/>
      <c r="X30" s="529"/>
      <c r="Y30" s="529"/>
      <c r="Z30" s="529"/>
      <c r="AA30" s="529"/>
      <c r="AB30" s="529"/>
      <c r="AC30" s="529"/>
      <c r="AD30" s="529"/>
      <c r="AE30" s="529"/>
      <c r="AF30" s="529"/>
      <c r="AG30" s="529"/>
      <c r="AH30" s="529"/>
      <c r="AI30" s="529"/>
      <c r="AJ30" s="529"/>
      <c r="AK30" s="529"/>
      <c r="AL30" s="529"/>
      <c r="AM30" s="529"/>
      <c r="AN30" s="529"/>
      <c r="AO30" s="529"/>
      <c r="AP30" s="529"/>
      <c r="AQ30" s="529"/>
      <c r="AR30" s="529"/>
      <c r="AS30" s="529"/>
      <c r="AT30" s="529"/>
      <c r="AU30" s="529"/>
      <c r="AV30" s="529"/>
      <c r="AW30" s="529"/>
      <c r="AX30" s="529"/>
      <c r="AY30" s="529"/>
      <c r="AZ30" s="529"/>
      <c r="BA30" s="529"/>
      <c r="BB30" s="529"/>
      <c r="BC30" s="529"/>
      <c r="BD30" s="529"/>
      <c r="BE30" s="529"/>
      <c r="BF30" s="529"/>
      <c r="BG30" s="529"/>
      <c r="BH30" s="529"/>
      <c r="BI30" s="529"/>
      <c r="BJ30" s="529"/>
      <c r="BK30" s="529"/>
      <c r="BL30" s="529"/>
      <c r="BM30" s="529"/>
      <c r="BN30" s="529"/>
      <c r="BO30" s="529"/>
      <c r="BP30" s="529"/>
      <c r="BQ30" s="529"/>
      <c r="BR30" s="529"/>
      <c r="BS30" s="529"/>
      <c r="BT30" s="529"/>
      <c r="BU30" s="529"/>
      <c r="BV30" s="529"/>
      <c r="BW30" s="529"/>
      <c r="BX30" s="529"/>
      <c r="BY30" s="529"/>
      <c r="BZ30" s="537"/>
      <c r="CA30" s="537"/>
      <c r="CB30" s="537"/>
    </row>
    <row r="31" spans="1:80" x14ac:dyDescent="0.3">
      <c r="A31" s="551"/>
      <c r="B31" s="548"/>
      <c r="C31" s="525"/>
      <c r="D31" s="525"/>
      <c r="E31" s="572" t="s">
        <v>391</v>
      </c>
      <c r="F31" s="573"/>
      <c r="G31" s="573"/>
      <c r="H31" s="573"/>
      <c r="I31" s="530">
        <f t="shared" ref="I31:I36" si="39">I521</f>
        <v>136098.85986919052</v>
      </c>
      <c r="J31" s="530">
        <f t="shared" ref="J31:N36" si="40">SUMIF($R$2:$BY$2,J$3,$R31:$BY31)</f>
        <v>137962.93382784209</v>
      </c>
      <c r="K31" s="530">
        <f t="shared" si="40"/>
        <v>141137.17133651339</v>
      </c>
      <c r="L31" s="530">
        <f t="shared" si="40"/>
        <v>144277.55389398872</v>
      </c>
      <c r="M31" s="530">
        <f t="shared" si="40"/>
        <v>147568.04116866941</v>
      </c>
      <c r="N31" s="530">
        <f t="shared" si="40"/>
        <v>150963.50384598129</v>
      </c>
      <c r="O31" s="536"/>
      <c r="P31" s="568">
        <f t="shared" ref="P31:P37" si="41">IFERROR(((N31/I31)^(1/5))-1,0)</f>
        <v>2.0947702214874075E-2</v>
      </c>
      <c r="Q31" s="537"/>
      <c r="R31" s="530">
        <f t="shared" ref="R31:AW31" si="42">R296</f>
        <v>11341.571655765876</v>
      </c>
      <c r="S31" s="530">
        <f t="shared" si="42"/>
        <v>11341.571655765876</v>
      </c>
      <c r="T31" s="530">
        <f t="shared" si="42"/>
        <v>11341.571655765876</v>
      </c>
      <c r="U31" s="530">
        <f t="shared" si="42"/>
        <v>11341.571655765876</v>
      </c>
      <c r="V31" s="530">
        <f t="shared" si="42"/>
        <v>11341.571655765876</v>
      </c>
      <c r="W31" s="530">
        <f t="shared" si="42"/>
        <v>11341.571655765876</v>
      </c>
      <c r="X31" s="530">
        <f t="shared" si="42"/>
        <v>11652.250648874477</v>
      </c>
      <c r="Y31" s="530">
        <f t="shared" si="42"/>
        <v>11652.250648874477</v>
      </c>
      <c r="Z31" s="530">
        <f t="shared" si="42"/>
        <v>11652.250648874477</v>
      </c>
      <c r="AA31" s="530">
        <f t="shared" si="42"/>
        <v>11652.250648874477</v>
      </c>
      <c r="AB31" s="530">
        <f t="shared" si="42"/>
        <v>11652.250648874477</v>
      </c>
      <c r="AC31" s="530">
        <f t="shared" si="42"/>
        <v>11652.250648874477</v>
      </c>
      <c r="AD31" s="530">
        <f t="shared" si="42"/>
        <v>11571.794971475698</v>
      </c>
      <c r="AE31" s="530">
        <f t="shared" si="42"/>
        <v>11571.794971475698</v>
      </c>
      <c r="AF31" s="530">
        <f t="shared" si="42"/>
        <v>11571.794971475698</v>
      </c>
      <c r="AG31" s="530">
        <f t="shared" si="42"/>
        <v>11571.794971475698</v>
      </c>
      <c r="AH31" s="530">
        <f t="shared" si="42"/>
        <v>11571.794971475698</v>
      </c>
      <c r="AI31" s="530">
        <f t="shared" si="42"/>
        <v>11571.794971475698</v>
      </c>
      <c r="AJ31" s="530">
        <f t="shared" si="42"/>
        <v>11951.066917943202</v>
      </c>
      <c r="AK31" s="530">
        <f t="shared" si="42"/>
        <v>11951.066917943202</v>
      </c>
      <c r="AL31" s="530">
        <f t="shared" si="42"/>
        <v>11951.066917943202</v>
      </c>
      <c r="AM31" s="530">
        <f t="shared" si="42"/>
        <v>11951.066917943202</v>
      </c>
      <c r="AN31" s="530">
        <f t="shared" si="42"/>
        <v>11951.066917943202</v>
      </c>
      <c r="AO31" s="530">
        <f t="shared" si="42"/>
        <v>11951.066917943202</v>
      </c>
      <c r="AP31" s="530">
        <f t="shared" si="42"/>
        <v>11799.804569769902</v>
      </c>
      <c r="AQ31" s="530">
        <f t="shared" si="42"/>
        <v>11799.804569769902</v>
      </c>
      <c r="AR31" s="530">
        <f t="shared" si="42"/>
        <v>11799.804569769902</v>
      </c>
      <c r="AS31" s="530">
        <f t="shared" si="42"/>
        <v>11799.804569769902</v>
      </c>
      <c r="AT31" s="530">
        <f t="shared" si="42"/>
        <v>11799.804569769902</v>
      </c>
      <c r="AU31" s="530">
        <f t="shared" si="42"/>
        <v>11799.804569769902</v>
      </c>
      <c r="AV31" s="530">
        <f t="shared" si="42"/>
        <v>12246.454412561554</v>
      </c>
      <c r="AW31" s="530">
        <f t="shared" si="42"/>
        <v>12246.454412561554</v>
      </c>
      <c r="AX31" s="530">
        <f t="shared" ref="AX31:BY31" si="43">AX296</f>
        <v>12246.454412561554</v>
      </c>
      <c r="AY31" s="530">
        <f t="shared" si="43"/>
        <v>12246.454412561554</v>
      </c>
      <c r="AZ31" s="530">
        <f t="shared" si="43"/>
        <v>12246.454412561554</v>
      </c>
      <c r="BA31" s="530">
        <f t="shared" si="43"/>
        <v>12246.454412561554</v>
      </c>
      <c r="BB31" s="530">
        <f t="shared" si="43"/>
        <v>12040.692026424907</v>
      </c>
      <c r="BC31" s="530">
        <f t="shared" si="43"/>
        <v>12040.692026424907</v>
      </c>
      <c r="BD31" s="530">
        <f t="shared" si="43"/>
        <v>12040.692026424907</v>
      </c>
      <c r="BE31" s="530">
        <f t="shared" si="43"/>
        <v>12040.692026424907</v>
      </c>
      <c r="BF31" s="530">
        <f t="shared" si="43"/>
        <v>12040.692026424907</v>
      </c>
      <c r="BG31" s="530">
        <f t="shared" si="43"/>
        <v>12040.692026424907</v>
      </c>
      <c r="BH31" s="530">
        <f t="shared" si="43"/>
        <v>12553.98150168666</v>
      </c>
      <c r="BI31" s="530">
        <f t="shared" si="43"/>
        <v>12553.98150168666</v>
      </c>
      <c r="BJ31" s="530">
        <f t="shared" si="43"/>
        <v>12553.98150168666</v>
      </c>
      <c r="BK31" s="530">
        <f t="shared" si="43"/>
        <v>12553.98150168666</v>
      </c>
      <c r="BL31" s="530">
        <f t="shared" si="43"/>
        <v>12553.98150168666</v>
      </c>
      <c r="BM31" s="530">
        <f t="shared" si="43"/>
        <v>12553.98150168666</v>
      </c>
      <c r="BN31" s="530">
        <f t="shared" si="43"/>
        <v>12291.093164030168</v>
      </c>
      <c r="BO31" s="530">
        <f t="shared" si="43"/>
        <v>12291.093164030168</v>
      </c>
      <c r="BP31" s="530">
        <f t="shared" si="43"/>
        <v>12291.093164030168</v>
      </c>
      <c r="BQ31" s="530">
        <f t="shared" si="43"/>
        <v>12291.093164030168</v>
      </c>
      <c r="BR31" s="530">
        <f t="shared" si="43"/>
        <v>12291.093164030168</v>
      </c>
      <c r="BS31" s="530">
        <f t="shared" si="43"/>
        <v>12291.093164030168</v>
      </c>
      <c r="BT31" s="530">
        <f t="shared" si="43"/>
        <v>12869.490810300045</v>
      </c>
      <c r="BU31" s="530">
        <f t="shared" si="43"/>
        <v>12869.490810300045</v>
      </c>
      <c r="BV31" s="530">
        <f t="shared" si="43"/>
        <v>12869.490810300045</v>
      </c>
      <c r="BW31" s="530">
        <f t="shared" si="43"/>
        <v>12869.490810300045</v>
      </c>
      <c r="BX31" s="530">
        <f t="shared" si="43"/>
        <v>12869.490810300045</v>
      </c>
      <c r="BY31" s="530">
        <f t="shared" si="43"/>
        <v>12869.490810300045</v>
      </c>
      <c r="BZ31" s="537"/>
      <c r="CA31" s="537"/>
      <c r="CB31" s="574"/>
    </row>
    <row r="32" spans="1:80" x14ac:dyDescent="0.3">
      <c r="A32" s="551"/>
      <c r="B32" s="548"/>
      <c r="C32" s="525"/>
      <c r="D32" s="525"/>
      <c r="E32" s="525" t="s">
        <v>392</v>
      </c>
      <c r="F32" s="567"/>
      <c r="G32" s="567"/>
      <c r="H32" s="567"/>
      <c r="I32" s="527">
        <f t="shared" si="39"/>
        <v>-70354.42451220582</v>
      </c>
      <c r="J32" s="527">
        <f t="shared" si="40"/>
        <v>-71318.03178073965</v>
      </c>
      <c r="K32" s="527">
        <f t="shared" si="40"/>
        <v>-72958.909987965395</v>
      </c>
      <c r="L32" s="527">
        <f t="shared" si="40"/>
        <v>-74582.28734609831</v>
      </c>
      <c r="M32" s="527">
        <f t="shared" si="40"/>
        <v>-76283.259263110682</v>
      </c>
      <c r="N32" s="527">
        <f t="shared" si="40"/>
        <v>-78038.49676359049</v>
      </c>
      <c r="O32" s="529"/>
      <c r="P32" s="564">
        <f t="shared" si="41"/>
        <v>2.0947702214874075E-2</v>
      </c>
      <c r="Q32" s="537"/>
      <c r="R32" s="527">
        <f t="shared" ref="R32:AW32" si="44">R304</f>
        <v>-5862.8687093504832</v>
      </c>
      <c r="S32" s="527">
        <f t="shared" si="44"/>
        <v>-5862.8687093504832</v>
      </c>
      <c r="T32" s="527">
        <f t="shared" si="44"/>
        <v>-5862.8687093504832</v>
      </c>
      <c r="U32" s="527">
        <f t="shared" si="44"/>
        <v>-5862.8687093504832</v>
      </c>
      <c r="V32" s="527">
        <f t="shared" si="44"/>
        <v>-5862.8687093504832</v>
      </c>
      <c r="W32" s="527">
        <f t="shared" si="44"/>
        <v>-5862.8687093504832</v>
      </c>
      <c r="X32" s="527">
        <f t="shared" si="44"/>
        <v>-6023.4699207727926</v>
      </c>
      <c r="Y32" s="527">
        <f t="shared" si="44"/>
        <v>-6023.4699207727926</v>
      </c>
      <c r="Z32" s="527">
        <f t="shared" si="44"/>
        <v>-6023.4699207727926</v>
      </c>
      <c r="AA32" s="527">
        <f t="shared" si="44"/>
        <v>-6023.4699207727926</v>
      </c>
      <c r="AB32" s="527">
        <f t="shared" si="44"/>
        <v>-6023.4699207727926</v>
      </c>
      <c r="AC32" s="527">
        <f t="shared" si="44"/>
        <v>-6023.4699207727926</v>
      </c>
      <c r="AD32" s="527">
        <f t="shared" si="44"/>
        <v>-5981.8794703636477</v>
      </c>
      <c r="AE32" s="527">
        <f t="shared" si="44"/>
        <v>-5981.8794703636477</v>
      </c>
      <c r="AF32" s="527">
        <f t="shared" si="44"/>
        <v>-5981.8794703636477</v>
      </c>
      <c r="AG32" s="527">
        <f t="shared" si="44"/>
        <v>-5981.8794703636477</v>
      </c>
      <c r="AH32" s="527">
        <f t="shared" si="44"/>
        <v>-5981.8794703636477</v>
      </c>
      <c r="AI32" s="527">
        <f t="shared" si="44"/>
        <v>-5981.8794703636477</v>
      </c>
      <c r="AJ32" s="527">
        <f t="shared" si="44"/>
        <v>-6177.9388609639209</v>
      </c>
      <c r="AK32" s="527">
        <f t="shared" si="44"/>
        <v>-6177.9388609639209</v>
      </c>
      <c r="AL32" s="527">
        <f t="shared" si="44"/>
        <v>-6177.9388609639209</v>
      </c>
      <c r="AM32" s="527">
        <f t="shared" si="44"/>
        <v>-6177.9388609639209</v>
      </c>
      <c r="AN32" s="527">
        <f t="shared" si="44"/>
        <v>-6177.9388609639209</v>
      </c>
      <c r="AO32" s="527">
        <f t="shared" si="44"/>
        <v>-6177.9388609639209</v>
      </c>
      <c r="AP32" s="527">
        <f t="shared" si="44"/>
        <v>-6099.7458807558141</v>
      </c>
      <c r="AQ32" s="527">
        <f t="shared" si="44"/>
        <v>-6099.7458807558141</v>
      </c>
      <c r="AR32" s="527">
        <f t="shared" si="44"/>
        <v>-6099.7458807558141</v>
      </c>
      <c r="AS32" s="527">
        <f t="shared" si="44"/>
        <v>-6099.7458807558141</v>
      </c>
      <c r="AT32" s="527">
        <f t="shared" si="44"/>
        <v>-6099.7458807558141</v>
      </c>
      <c r="AU32" s="527">
        <f t="shared" si="44"/>
        <v>-6099.7458807558141</v>
      </c>
      <c r="AV32" s="527">
        <f t="shared" si="44"/>
        <v>-6330.6353435939045</v>
      </c>
      <c r="AW32" s="527">
        <f t="shared" si="44"/>
        <v>-6330.6353435939045</v>
      </c>
      <c r="AX32" s="527">
        <f t="shared" ref="AX32:BY32" si="45">AX304</f>
        <v>-6330.6353435939045</v>
      </c>
      <c r="AY32" s="527">
        <f t="shared" si="45"/>
        <v>-6330.6353435939045</v>
      </c>
      <c r="AZ32" s="527">
        <f t="shared" si="45"/>
        <v>-6330.6353435939045</v>
      </c>
      <c r="BA32" s="527">
        <f t="shared" si="45"/>
        <v>-6330.6353435939045</v>
      </c>
      <c r="BB32" s="527">
        <f t="shared" si="45"/>
        <v>-6224.2693220356359</v>
      </c>
      <c r="BC32" s="527">
        <f t="shared" si="45"/>
        <v>-6224.2693220356359</v>
      </c>
      <c r="BD32" s="527">
        <f t="shared" si="45"/>
        <v>-6224.2693220356359</v>
      </c>
      <c r="BE32" s="527">
        <f t="shared" si="45"/>
        <v>-6224.2693220356359</v>
      </c>
      <c r="BF32" s="527">
        <f t="shared" si="45"/>
        <v>-6224.2693220356359</v>
      </c>
      <c r="BG32" s="527">
        <f t="shared" si="45"/>
        <v>-6224.2693220356359</v>
      </c>
      <c r="BH32" s="527">
        <f t="shared" si="45"/>
        <v>-6489.6072218161444</v>
      </c>
      <c r="BI32" s="527">
        <f t="shared" si="45"/>
        <v>-6489.6072218161444</v>
      </c>
      <c r="BJ32" s="527">
        <f t="shared" si="45"/>
        <v>-6489.6072218161444</v>
      </c>
      <c r="BK32" s="527">
        <f t="shared" si="45"/>
        <v>-6489.6072218161444</v>
      </c>
      <c r="BL32" s="527">
        <f t="shared" si="45"/>
        <v>-6489.6072218161444</v>
      </c>
      <c r="BM32" s="527">
        <f t="shared" si="45"/>
        <v>-6489.6072218161444</v>
      </c>
      <c r="BN32" s="527">
        <f t="shared" si="45"/>
        <v>-6353.7107291888769</v>
      </c>
      <c r="BO32" s="527">
        <f t="shared" si="45"/>
        <v>-6353.7107291888769</v>
      </c>
      <c r="BP32" s="527">
        <f t="shared" si="45"/>
        <v>-6353.7107291888769</v>
      </c>
      <c r="BQ32" s="527">
        <f t="shared" si="45"/>
        <v>-6353.7107291888769</v>
      </c>
      <c r="BR32" s="527">
        <f t="shared" si="45"/>
        <v>-6353.7107291888769</v>
      </c>
      <c r="BS32" s="527">
        <f t="shared" si="45"/>
        <v>-6353.7107291888769</v>
      </c>
      <c r="BT32" s="527">
        <f t="shared" si="45"/>
        <v>-6652.7053980762066</v>
      </c>
      <c r="BU32" s="527">
        <f t="shared" si="45"/>
        <v>-6652.7053980762066</v>
      </c>
      <c r="BV32" s="527">
        <f t="shared" si="45"/>
        <v>-6652.7053980762066</v>
      </c>
      <c r="BW32" s="527">
        <f t="shared" si="45"/>
        <v>-6652.7053980762066</v>
      </c>
      <c r="BX32" s="527">
        <f t="shared" si="45"/>
        <v>-6652.7053980762066</v>
      </c>
      <c r="BY32" s="527">
        <f t="shared" si="45"/>
        <v>-6652.7053980762066</v>
      </c>
      <c r="BZ32" s="537"/>
      <c r="CA32" s="537"/>
      <c r="CB32" s="574"/>
    </row>
    <row r="33" spans="1:80" x14ac:dyDescent="0.3">
      <c r="A33" s="551"/>
      <c r="B33" s="548"/>
      <c r="C33" s="525"/>
      <c r="D33" s="525"/>
      <c r="E33" s="525" t="s">
        <v>393</v>
      </c>
      <c r="F33" s="567"/>
      <c r="G33" s="567"/>
      <c r="H33" s="567"/>
      <c r="I33" s="527">
        <f t="shared" si="39"/>
        <v>-11920.109282911453</v>
      </c>
      <c r="J33" s="527">
        <f t="shared" si="40"/>
        <v>-12083.37270275136</v>
      </c>
      <c r="K33" s="527">
        <f t="shared" si="40"/>
        <v>-12361.385744371586</v>
      </c>
      <c r="L33" s="527">
        <f t="shared" si="40"/>
        <v>-12636.433627294582</v>
      </c>
      <c r="M33" s="527">
        <f t="shared" si="40"/>
        <v>-12924.628311261235</v>
      </c>
      <c r="N33" s="527">
        <f t="shared" si="40"/>
        <v>-13222.017181517063</v>
      </c>
      <c r="O33" s="529"/>
      <c r="P33" s="564">
        <f t="shared" si="41"/>
        <v>2.0947702214874075E-2</v>
      </c>
      <c r="Q33" s="537"/>
      <c r="R33" s="527">
        <f t="shared" ref="R33:AW33" si="46">R312</f>
        <v>-993.34244024262091</v>
      </c>
      <c r="S33" s="527">
        <f t="shared" si="46"/>
        <v>-993.34244024262091</v>
      </c>
      <c r="T33" s="527">
        <f t="shared" si="46"/>
        <v>-993.34244024262091</v>
      </c>
      <c r="U33" s="527">
        <f t="shared" si="46"/>
        <v>-993.34244024262091</v>
      </c>
      <c r="V33" s="527">
        <f t="shared" si="46"/>
        <v>-993.34244024262091</v>
      </c>
      <c r="W33" s="527">
        <f t="shared" si="46"/>
        <v>-993.34244024262091</v>
      </c>
      <c r="X33" s="527">
        <f t="shared" si="46"/>
        <v>-1020.5530102159388</v>
      </c>
      <c r="Y33" s="527">
        <f t="shared" si="46"/>
        <v>-1020.5530102159388</v>
      </c>
      <c r="Z33" s="527">
        <f t="shared" si="46"/>
        <v>-1020.5530102159388</v>
      </c>
      <c r="AA33" s="527">
        <f t="shared" si="46"/>
        <v>-1020.5530102159388</v>
      </c>
      <c r="AB33" s="527">
        <f t="shared" si="46"/>
        <v>-1020.5530102159388</v>
      </c>
      <c r="AC33" s="527">
        <f t="shared" si="46"/>
        <v>-1020.5530102159388</v>
      </c>
      <c r="AD33" s="527">
        <f t="shared" si="46"/>
        <v>-1013.5063643590532</v>
      </c>
      <c r="AE33" s="527">
        <f t="shared" si="46"/>
        <v>-1013.5063643590532</v>
      </c>
      <c r="AF33" s="527">
        <f t="shared" si="46"/>
        <v>-1013.5063643590532</v>
      </c>
      <c r="AG33" s="527">
        <f t="shared" si="46"/>
        <v>-1013.5063643590532</v>
      </c>
      <c r="AH33" s="527">
        <f t="shared" si="46"/>
        <v>-1013.5063643590532</v>
      </c>
      <c r="AI33" s="527">
        <f t="shared" si="46"/>
        <v>-1013.5063643590532</v>
      </c>
      <c r="AJ33" s="527">
        <f t="shared" si="46"/>
        <v>-1046.7245930362105</v>
      </c>
      <c r="AK33" s="527">
        <f t="shared" si="46"/>
        <v>-1046.7245930362105</v>
      </c>
      <c r="AL33" s="527">
        <f t="shared" si="46"/>
        <v>-1046.7245930362105</v>
      </c>
      <c r="AM33" s="527">
        <f t="shared" si="46"/>
        <v>-1046.7245930362105</v>
      </c>
      <c r="AN33" s="527">
        <f t="shared" si="46"/>
        <v>-1046.7245930362105</v>
      </c>
      <c r="AO33" s="527">
        <f t="shared" si="46"/>
        <v>-1046.7245930362105</v>
      </c>
      <c r="AP33" s="527">
        <f t="shared" si="46"/>
        <v>-1033.4764018144137</v>
      </c>
      <c r="AQ33" s="527">
        <f t="shared" si="46"/>
        <v>-1033.4764018144137</v>
      </c>
      <c r="AR33" s="527">
        <f t="shared" si="46"/>
        <v>-1033.4764018144137</v>
      </c>
      <c r="AS33" s="527">
        <f t="shared" si="46"/>
        <v>-1033.4764018144137</v>
      </c>
      <c r="AT33" s="527">
        <f t="shared" si="46"/>
        <v>-1033.4764018144137</v>
      </c>
      <c r="AU33" s="527">
        <f t="shared" si="46"/>
        <v>-1033.4764018144137</v>
      </c>
      <c r="AV33" s="527">
        <f t="shared" si="46"/>
        <v>-1072.5958694013498</v>
      </c>
      <c r="AW33" s="527">
        <f t="shared" si="46"/>
        <v>-1072.5958694013498</v>
      </c>
      <c r="AX33" s="527">
        <f t="shared" ref="AX33:BY33" si="47">AX312</f>
        <v>-1072.5958694013498</v>
      </c>
      <c r="AY33" s="527">
        <f t="shared" si="47"/>
        <v>-1072.5958694013498</v>
      </c>
      <c r="AZ33" s="527">
        <f t="shared" si="47"/>
        <v>-1072.5958694013498</v>
      </c>
      <c r="BA33" s="527">
        <f t="shared" si="47"/>
        <v>-1072.5958694013498</v>
      </c>
      <c r="BB33" s="527">
        <f t="shared" si="47"/>
        <v>-1054.5743361466348</v>
      </c>
      <c r="BC33" s="527">
        <f t="shared" si="47"/>
        <v>-1054.5743361466348</v>
      </c>
      <c r="BD33" s="527">
        <f t="shared" si="47"/>
        <v>-1054.5743361466348</v>
      </c>
      <c r="BE33" s="527">
        <f t="shared" si="47"/>
        <v>-1054.5743361466348</v>
      </c>
      <c r="BF33" s="527">
        <f t="shared" si="47"/>
        <v>-1054.5743361466348</v>
      </c>
      <c r="BG33" s="527">
        <f t="shared" si="47"/>
        <v>-1054.5743361466348</v>
      </c>
      <c r="BH33" s="527">
        <f t="shared" si="47"/>
        <v>-1099.5303823969048</v>
      </c>
      <c r="BI33" s="527">
        <f t="shared" si="47"/>
        <v>-1099.5303823969048</v>
      </c>
      <c r="BJ33" s="527">
        <f t="shared" si="47"/>
        <v>-1099.5303823969048</v>
      </c>
      <c r="BK33" s="527">
        <f t="shared" si="47"/>
        <v>-1099.5303823969048</v>
      </c>
      <c r="BL33" s="527">
        <f t="shared" si="47"/>
        <v>-1099.5303823969048</v>
      </c>
      <c r="BM33" s="527">
        <f t="shared" si="47"/>
        <v>-1099.5303823969048</v>
      </c>
      <c r="BN33" s="527">
        <f t="shared" si="47"/>
        <v>-1076.5055185804099</v>
      </c>
      <c r="BO33" s="527">
        <f t="shared" si="47"/>
        <v>-1076.5055185804099</v>
      </c>
      <c r="BP33" s="527">
        <f t="shared" si="47"/>
        <v>-1076.5055185804099</v>
      </c>
      <c r="BQ33" s="527">
        <f t="shared" si="47"/>
        <v>-1076.5055185804099</v>
      </c>
      <c r="BR33" s="527">
        <f t="shared" si="47"/>
        <v>-1076.5055185804099</v>
      </c>
      <c r="BS33" s="527">
        <f t="shared" si="47"/>
        <v>-1076.5055185804099</v>
      </c>
      <c r="BT33" s="527">
        <f t="shared" si="47"/>
        <v>-1127.1640116724338</v>
      </c>
      <c r="BU33" s="527">
        <f t="shared" si="47"/>
        <v>-1127.1640116724338</v>
      </c>
      <c r="BV33" s="527">
        <f t="shared" si="47"/>
        <v>-1127.1640116724338</v>
      </c>
      <c r="BW33" s="527">
        <f t="shared" si="47"/>
        <v>-1127.1640116724338</v>
      </c>
      <c r="BX33" s="527">
        <f t="shared" si="47"/>
        <v>-1127.1640116724338</v>
      </c>
      <c r="BY33" s="527">
        <f t="shared" si="47"/>
        <v>-1127.1640116724338</v>
      </c>
      <c r="BZ33" s="537"/>
      <c r="CA33" s="537"/>
      <c r="CB33" s="574"/>
    </row>
    <row r="34" spans="1:80" x14ac:dyDescent="0.3">
      <c r="A34" s="551"/>
      <c r="B34" s="548"/>
      <c r="C34" s="525"/>
      <c r="D34" s="525"/>
      <c r="E34" s="572" t="s">
        <v>394</v>
      </c>
      <c r="F34" s="573"/>
      <c r="G34" s="573"/>
      <c r="H34" s="573"/>
      <c r="I34" s="532">
        <f t="shared" si="39"/>
        <v>45571.899999999994</v>
      </c>
      <c r="J34" s="532">
        <f t="shared" si="40"/>
        <v>54561.529344351111</v>
      </c>
      <c r="K34" s="530">
        <f t="shared" si="40"/>
        <v>55816.875604176399</v>
      </c>
      <c r="L34" s="532">
        <f t="shared" si="40"/>
        <v>57058.832920595851</v>
      </c>
      <c r="M34" s="532">
        <f t="shared" si="40"/>
        <v>58360.153594297495</v>
      </c>
      <c r="N34" s="532">
        <f t="shared" si="40"/>
        <v>59702.989900873712</v>
      </c>
      <c r="O34" s="536"/>
      <c r="P34" s="568">
        <f t="shared" si="41"/>
        <v>5.5503770506345029E-2</v>
      </c>
      <c r="Q34" s="537"/>
      <c r="R34" s="530">
        <f t="shared" ref="R34:AW34" si="48">SUM(R31:R33)</f>
        <v>4485.3605061727721</v>
      </c>
      <c r="S34" s="532">
        <f t="shared" si="48"/>
        <v>4485.3605061727721</v>
      </c>
      <c r="T34" s="530">
        <f t="shared" si="48"/>
        <v>4485.3605061727721</v>
      </c>
      <c r="U34" s="532">
        <f t="shared" si="48"/>
        <v>4485.3605061727721</v>
      </c>
      <c r="V34" s="532">
        <f t="shared" si="48"/>
        <v>4485.3605061727721</v>
      </c>
      <c r="W34" s="532">
        <f t="shared" si="48"/>
        <v>4485.3605061727721</v>
      </c>
      <c r="X34" s="532">
        <f t="shared" si="48"/>
        <v>4608.2277178857448</v>
      </c>
      <c r="Y34" s="532">
        <f t="shared" si="48"/>
        <v>4608.2277178857448</v>
      </c>
      <c r="Z34" s="532">
        <f t="shared" si="48"/>
        <v>4608.2277178857448</v>
      </c>
      <c r="AA34" s="532">
        <f t="shared" si="48"/>
        <v>4608.2277178857448</v>
      </c>
      <c r="AB34" s="532">
        <f t="shared" si="48"/>
        <v>4608.2277178857448</v>
      </c>
      <c r="AC34" s="532">
        <f t="shared" si="48"/>
        <v>4608.2277178857448</v>
      </c>
      <c r="AD34" s="532">
        <f t="shared" si="48"/>
        <v>4576.4091367529973</v>
      </c>
      <c r="AE34" s="532">
        <f t="shared" si="48"/>
        <v>4576.4091367529973</v>
      </c>
      <c r="AF34" s="532">
        <f t="shared" si="48"/>
        <v>4576.4091367529973</v>
      </c>
      <c r="AG34" s="532">
        <f t="shared" si="48"/>
        <v>4576.4091367529973</v>
      </c>
      <c r="AH34" s="532">
        <f t="shared" si="48"/>
        <v>4576.4091367529973</v>
      </c>
      <c r="AI34" s="532">
        <f t="shared" si="48"/>
        <v>4576.4091367529973</v>
      </c>
      <c r="AJ34" s="532">
        <f t="shared" si="48"/>
        <v>4726.4034639430711</v>
      </c>
      <c r="AK34" s="532">
        <f t="shared" si="48"/>
        <v>4726.4034639430711</v>
      </c>
      <c r="AL34" s="532">
        <f t="shared" si="48"/>
        <v>4726.4034639430711</v>
      </c>
      <c r="AM34" s="532">
        <f t="shared" si="48"/>
        <v>4726.4034639430711</v>
      </c>
      <c r="AN34" s="532">
        <f t="shared" si="48"/>
        <v>4726.4034639430711</v>
      </c>
      <c r="AO34" s="532">
        <f t="shared" si="48"/>
        <v>4726.4034639430711</v>
      </c>
      <c r="AP34" s="532">
        <f t="shared" si="48"/>
        <v>4666.5822871996734</v>
      </c>
      <c r="AQ34" s="532">
        <f t="shared" si="48"/>
        <v>4666.5822871996734</v>
      </c>
      <c r="AR34" s="532">
        <f t="shared" si="48"/>
        <v>4666.5822871996734</v>
      </c>
      <c r="AS34" s="532">
        <f t="shared" si="48"/>
        <v>4666.5822871996734</v>
      </c>
      <c r="AT34" s="532">
        <f t="shared" si="48"/>
        <v>4666.5822871996734</v>
      </c>
      <c r="AU34" s="532">
        <f t="shared" si="48"/>
        <v>4666.5822871996734</v>
      </c>
      <c r="AV34" s="532">
        <f t="shared" si="48"/>
        <v>4843.2231995662996</v>
      </c>
      <c r="AW34" s="532">
        <f t="shared" si="48"/>
        <v>4843.2231995662996</v>
      </c>
      <c r="AX34" s="532">
        <f t="shared" ref="AX34:BY34" si="49">SUM(AX31:AX33)</f>
        <v>4843.2231995662996</v>
      </c>
      <c r="AY34" s="532">
        <f t="shared" si="49"/>
        <v>4843.2231995662996</v>
      </c>
      <c r="AZ34" s="532">
        <f t="shared" si="49"/>
        <v>4843.2231995662996</v>
      </c>
      <c r="BA34" s="532">
        <f t="shared" si="49"/>
        <v>4843.2231995662996</v>
      </c>
      <c r="BB34" s="532">
        <f t="shared" si="49"/>
        <v>4761.8483682426368</v>
      </c>
      <c r="BC34" s="532">
        <f t="shared" si="49"/>
        <v>4761.8483682426368</v>
      </c>
      <c r="BD34" s="532">
        <f t="shared" si="49"/>
        <v>4761.8483682426368</v>
      </c>
      <c r="BE34" s="532">
        <f t="shared" si="49"/>
        <v>4761.8483682426368</v>
      </c>
      <c r="BF34" s="532">
        <f t="shared" si="49"/>
        <v>4761.8483682426368</v>
      </c>
      <c r="BG34" s="532">
        <f t="shared" si="49"/>
        <v>4761.8483682426368</v>
      </c>
      <c r="BH34" s="532">
        <f t="shared" si="49"/>
        <v>4964.8438974736109</v>
      </c>
      <c r="BI34" s="532">
        <f t="shared" si="49"/>
        <v>4964.8438974736109</v>
      </c>
      <c r="BJ34" s="532">
        <f t="shared" si="49"/>
        <v>4964.8438974736109</v>
      </c>
      <c r="BK34" s="532">
        <f t="shared" si="49"/>
        <v>4964.8438974736109</v>
      </c>
      <c r="BL34" s="532">
        <f t="shared" si="49"/>
        <v>4964.8438974736109</v>
      </c>
      <c r="BM34" s="532">
        <f t="shared" si="49"/>
        <v>4964.8438974736109</v>
      </c>
      <c r="BN34" s="532">
        <f t="shared" si="49"/>
        <v>4860.8769162608805</v>
      </c>
      <c r="BO34" s="532">
        <f t="shared" si="49"/>
        <v>4860.8769162608805</v>
      </c>
      <c r="BP34" s="532">
        <f t="shared" si="49"/>
        <v>4860.8769162608805</v>
      </c>
      <c r="BQ34" s="532">
        <f t="shared" si="49"/>
        <v>4860.8769162608805</v>
      </c>
      <c r="BR34" s="532">
        <f t="shared" si="49"/>
        <v>4860.8769162608805</v>
      </c>
      <c r="BS34" s="532">
        <f t="shared" si="49"/>
        <v>4860.8769162608805</v>
      </c>
      <c r="BT34" s="532">
        <f t="shared" si="49"/>
        <v>5089.6214005514048</v>
      </c>
      <c r="BU34" s="532">
        <f t="shared" si="49"/>
        <v>5089.6214005514048</v>
      </c>
      <c r="BV34" s="532">
        <f t="shared" si="49"/>
        <v>5089.6214005514048</v>
      </c>
      <c r="BW34" s="532">
        <f t="shared" si="49"/>
        <v>5089.6214005514048</v>
      </c>
      <c r="BX34" s="532">
        <f t="shared" si="49"/>
        <v>5089.6214005514048</v>
      </c>
      <c r="BY34" s="532">
        <f t="shared" si="49"/>
        <v>5089.6214005514048</v>
      </c>
      <c r="BZ34" s="537"/>
      <c r="CA34" s="537"/>
      <c r="CB34" s="574"/>
    </row>
    <row r="35" spans="1:80" x14ac:dyDescent="0.3">
      <c r="A35" s="551"/>
      <c r="B35" s="548"/>
      <c r="C35" s="525"/>
      <c r="D35" s="525"/>
      <c r="E35" s="525" t="s">
        <v>395</v>
      </c>
      <c r="F35" s="567"/>
      <c r="G35" s="567"/>
      <c r="H35" s="567"/>
      <c r="I35" s="527">
        <f t="shared" si="39"/>
        <v>-10156.33675220787</v>
      </c>
      <c r="J35" s="527">
        <f t="shared" si="40"/>
        <v>-10295.442714398025</v>
      </c>
      <c r="K35" s="527">
        <f t="shared" si="40"/>
        <v>-10532.319240039316</v>
      </c>
      <c r="L35" s="527">
        <f t="shared" si="40"/>
        <v>-10766.66935006327</v>
      </c>
      <c r="M35" s="527">
        <f t="shared" si="40"/>
        <v>-11012.220979758273</v>
      </c>
      <c r="N35" s="527">
        <f t="shared" si="40"/>
        <v>-11265.606367508604</v>
      </c>
      <c r="O35" s="529"/>
      <c r="P35" s="564">
        <f t="shared" si="41"/>
        <v>2.0947702214874075E-2</v>
      </c>
      <c r="Q35" s="537"/>
      <c r="R35" s="527">
        <f t="shared" ref="R35:AW35" si="50">R320</f>
        <v>-846.36139601732236</v>
      </c>
      <c r="S35" s="527">
        <f t="shared" si="50"/>
        <v>-846.36139601732236</v>
      </c>
      <c r="T35" s="527">
        <f t="shared" si="50"/>
        <v>-846.36139601732236</v>
      </c>
      <c r="U35" s="527">
        <f t="shared" si="50"/>
        <v>-846.36139601732236</v>
      </c>
      <c r="V35" s="527">
        <f t="shared" si="50"/>
        <v>-846.36139601732236</v>
      </c>
      <c r="W35" s="527">
        <f t="shared" si="50"/>
        <v>-846.36139601732236</v>
      </c>
      <c r="X35" s="527">
        <f t="shared" si="50"/>
        <v>-869.5457230490149</v>
      </c>
      <c r="Y35" s="527">
        <f t="shared" si="50"/>
        <v>-869.5457230490149</v>
      </c>
      <c r="Z35" s="527">
        <f t="shared" si="50"/>
        <v>-869.5457230490149</v>
      </c>
      <c r="AA35" s="527">
        <f t="shared" si="50"/>
        <v>-869.5457230490149</v>
      </c>
      <c r="AB35" s="527">
        <f t="shared" si="50"/>
        <v>-869.5457230490149</v>
      </c>
      <c r="AC35" s="527">
        <f t="shared" si="50"/>
        <v>-869.5457230490149</v>
      </c>
      <c r="AD35" s="527">
        <f t="shared" si="50"/>
        <v>-863.54174216280933</v>
      </c>
      <c r="AE35" s="527">
        <f t="shared" si="50"/>
        <v>-863.54174216280933</v>
      </c>
      <c r="AF35" s="527">
        <f t="shared" si="50"/>
        <v>-863.54174216280933</v>
      </c>
      <c r="AG35" s="527">
        <f t="shared" si="50"/>
        <v>-863.54174216280933</v>
      </c>
      <c r="AH35" s="527">
        <f t="shared" si="50"/>
        <v>-863.54174216280933</v>
      </c>
      <c r="AI35" s="527">
        <f t="shared" si="50"/>
        <v>-863.54174216280933</v>
      </c>
      <c r="AJ35" s="527">
        <f t="shared" si="50"/>
        <v>-891.84479784374332</v>
      </c>
      <c r="AK35" s="527">
        <f t="shared" si="50"/>
        <v>-891.84479784374332</v>
      </c>
      <c r="AL35" s="527">
        <f t="shared" si="50"/>
        <v>-891.84479784374332</v>
      </c>
      <c r="AM35" s="527">
        <f t="shared" si="50"/>
        <v>-891.84479784374332</v>
      </c>
      <c r="AN35" s="527">
        <f t="shared" si="50"/>
        <v>-891.84479784374332</v>
      </c>
      <c r="AO35" s="527">
        <f t="shared" si="50"/>
        <v>-891.84479784374332</v>
      </c>
      <c r="AP35" s="527">
        <f t="shared" si="50"/>
        <v>-880.55689030760141</v>
      </c>
      <c r="AQ35" s="527">
        <f t="shared" si="50"/>
        <v>-880.55689030760141</v>
      </c>
      <c r="AR35" s="527">
        <f t="shared" si="50"/>
        <v>-880.55689030760141</v>
      </c>
      <c r="AS35" s="527">
        <f t="shared" si="50"/>
        <v>-880.55689030760141</v>
      </c>
      <c r="AT35" s="527">
        <f t="shared" si="50"/>
        <v>-880.55689030760141</v>
      </c>
      <c r="AU35" s="527">
        <f t="shared" si="50"/>
        <v>-880.55689030760141</v>
      </c>
      <c r="AV35" s="527">
        <f t="shared" si="50"/>
        <v>-913.88800136961004</v>
      </c>
      <c r="AW35" s="527">
        <f t="shared" si="50"/>
        <v>-913.88800136961004</v>
      </c>
      <c r="AX35" s="527">
        <f t="shared" ref="AX35:BY35" si="51">AX320</f>
        <v>-913.88800136961004</v>
      </c>
      <c r="AY35" s="527">
        <f t="shared" si="51"/>
        <v>-913.88800136961004</v>
      </c>
      <c r="AZ35" s="527">
        <f t="shared" si="51"/>
        <v>-913.88800136961004</v>
      </c>
      <c r="BA35" s="527">
        <f t="shared" si="51"/>
        <v>-913.88800136961004</v>
      </c>
      <c r="BB35" s="527">
        <f t="shared" si="51"/>
        <v>-898.53304478474081</v>
      </c>
      <c r="BC35" s="527">
        <f t="shared" si="51"/>
        <v>-898.53304478474081</v>
      </c>
      <c r="BD35" s="527">
        <f t="shared" si="51"/>
        <v>-898.53304478474081</v>
      </c>
      <c r="BE35" s="527">
        <f t="shared" si="51"/>
        <v>-898.53304478474081</v>
      </c>
      <c r="BF35" s="527">
        <f t="shared" si="51"/>
        <v>-898.53304478474081</v>
      </c>
      <c r="BG35" s="527">
        <f t="shared" si="51"/>
        <v>-898.53304478474081</v>
      </c>
      <c r="BH35" s="527">
        <f t="shared" si="51"/>
        <v>-936.83711850830434</v>
      </c>
      <c r="BI35" s="527">
        <f t="shared" si="51"/>
        <v>-936.83711850830434</v>
      </c>
      <c r="BJ35" s="527">
        <f t="shared" si="51"/>
        <v>-936.83711850830434</v>
      </c>
      <c r="BK35" s="527">
        <f t="shared" si="51"/>
        <v>-936.83711850830434</v>
      </c>
      <c r="BL35" s="527">
        <f t="shared" si="51"/>
        <v>-936.83711850830434</v>
      </c>
      <c r="BM35" s="527">
        <f t="shared" si="51"/>
        <v>-936.83711850830434</v>
      </c>
      <c r="BN35" s="527">
        <f t="shared" si="51"/>
        <v>-917.21915486016167</v>
      </c>
      <c r="BO35" s="527">
        <f t="shared" si="51"/>
        <v>-917.21915486016167</v>
      </c>
      <c r="BP35" s="527">
        <f t="shared" si="51"/>
        <v>-917.21915486016167</v>
      </c>
      <c r="BQ35" s="527">
        <f t="shared" si="51"/>
        <v>-917.21915486016167</v>
      </c>
      <c r="BR35" s="527">
        <f t="shared" si="51"/>
        <v>-917.21915486016167</v>
      </c>
      <c r="BS35" s="527">
        <f t="shared" si="51"/>
        <v>-917.21915486016167</v>
      </c>
      <c r="BT35" s="527">
        <f t="shared" si="51"/>
        <v>-960.3819063912722</v>
      </c>
      <c r="BU35" s="527">
        <f t="shared" si="51"/>
        <v>-960.3819063912722</v>
      </c>
      <c r="BV35" s="527">
        <f t="shared" si="51"/>
        <v>-960.3819063912722</v>
      </c>
      <c r="BW35" s="527">
        <f t="shared" si="51"/>
        <v>-960.3819063912722</v>
      </c>
      <c r="BX35" s="527">
        <f t="shared" si="51"/>
        <v>-960.3819063912722</v>
      </c>
      <c r="BY35" s="527">
        <f t="shared" si="51"/>
        <v>-960.3819063912722</v>
      </c>
      <c r="BZ35" s="537"/>
      <c r="CA35" s="537"/>
      <c r="CB35" s="574"/>
    </row>
    <row r="36" spans="1:80" x14ac:dyDescent="0.3">
      <c r="A36" s="551"/>
      <c r="B36" s="548"/>
      <c r="C36" s="525"/>
      <c r="D36" s="525"/>
      <c r="E36" s="572" t="s">
        <v>396</v>
      </c>
      <c r="F36" s="573"/>
      <c r="G36" s="573"/>
      <c r="H36" s="573"/>
      <c r="I36" s="530">
        <f t="shared" si="39"/>
        <v>43667.989321865345</v>
      </c>
      <c r="J36" s="530">
        <f t="shared" si="40"/>
        <v>44266.08662995309</v>
      </c>
      <c r="K36" s="530">
        <f t="shared" si="40"/>
        <v>45284.556364137097</v>
      </c>
      <c r="L36" s="530">
        <f t="shared" si="40"/>
        <v>46292.163570532583</v>
      </c>
      <c r="M36" s="530">
        <f t="shared" si="40"/>
        <v>47347.932614539211</v>
      </c>
      <c r="N36" s="530">
        <f t="shared" si="40"/>
        <v>48437.3835333651</v>
      </c>
      <c r="O36" s="536"/>
      <c r="P36" s="568">
        <f t="shared" si="41"/>
        <v>2.0947702214874075E-2</v>
      </c>
      <c r="Q36" s="537"/>
      <c r="R36" s="530">
        <f t="shared" ref="R36:AW36" si="52">SUM(R34:R35)</f>
        <v>3638.9991101554497</v>
      </c>
      <c r="S36" s="530">
        <f t="shared" si="52"/>
        <v>3638.9991101554497</v>
      </c>
      <c r="T36" s="530">
        <f t="shared" si="52"/>
        <v>3638.9991101554497</v>
      </c>
      <c r="U36" s="530">
        <f t="shared" si="52"/>
        <v>3638.9991101554497</v>
      </c>
      <c r="V36" s="530">
        <f t="shared" si="52"/>
        <v>3638.9991101554497</v>
      </c>
      <c r="W36" s="530">
        <f t="shared" si="52"/>
        <v>3638.9991101554497</v>
      </c>
      <c r="X36" s="530">
        <f t="shared" si="52"/>
        <v>3738.6819948367302</v>
      </c>
      <c r="Y36" s="530">
        <f t="shared" si="52"/>
        <v>3738.6819948367302</v>
      </c>
      <c r="Z36" s="530">
        <f t="shared" si="52"/>
        <v>3738.6819948367302</v>
      </c>
      <c r="AA36" s="530">
        <f t="shared" si="52"/>
        <v>3738.6819948367302</v>
      </c>
      <c r="AB36" s="530">
        <f t="shared" si="52"/>
        <v>3738.6819948367302</v>
      </c>
      <c r="AC36" s="530">
        <f t="shared" si="52"/>
        <v>3738.6819948367302</v>
      </c>
      <c r="AD36" s="530">
        <f t="shared" si="52"/>
        <v>3712.8673945901878</v>
      </c>
      <c r="AE36" s="530">
        <f t="shared" si="52"/>
        <v>3712.8673945901878</v>
      </c>
      <c r="AF36" s="530">
        <f t="shared" si="52"/>
        <v>3712.8673945901878</v>
      </c>
      <c r="AG36" s="530">
        <f t="shared" si="52"/>
        <v>3712.8673945901878</v>
      </c>
      <c r="AH36" s="530">
        <f t="shared" si="52"/>
        <v>3712.8673945901878</v>
      </c>
      <c r="AI36" s="530">
        <f t="shared" si="52"/>
        <v>3712.8673945901878</v>
      </c>
      <c r="AJ36" s="530">
        <f t="shared" si="52"/>
        <v>3834.5586660993276</v>
      </c>
      <c r="AK36" s="530">
        <f t="shared" si="52"/>
        <v>3834.5586660993276</v>
      </c>
      <c r="AL36" s="530">
        <f t="shared" si="52"/>
        <v>3834.5586660993276</v>
      </c>
      <c r="AM36" s="530">
        <f t="shared" si="52"/>
        <v>3834.5586660993276</v>
      </c>
      <c r="AN36" s="530">
        <f t="shared" si="52"/>
        <v>3834.5586660993276</v>
      </c>
      <c r="AO36" s="530">
        <f t="shared" si="52"/>
        <v>3834.5586660993276</v>
      </c>
      <c r="AP36" s="530">
        <f t="shared" si="52"/>
        <v>3786.025396892072</v>
      </c>
      <c r="AQ36" s="530">
        <f t="shared" si="52"/>
        <v>3786.025396892072</v>
      </c>
      <c r="AR36" s="530">
        <f t="shared" si="52"/>
        <v>3786.025396892072</v>
      </c>
      <c r="AS36" s="530">
        <f t="shared" si="52"/>
        <v>3786.025396892072</v>
      </c>
      <c r="AT36" s="530">
        <f t="shared" si="52"/>
        <v>3786.025396892072</v>
      </c>
      <c r="AU36" s="530">
        <f t="shared" si="52"/>
        <v>3786.025396892072</v>
      </c>
      <c r="AV36" s="530">
        <f t="shared" si="52"/>
        <v>3929.3351981966898</v>
      </c>
      <c r="AW36" s="530">
        <f t="shared" si="52"/>
        <v>3929.3351981966898</v>
      </c>
      <c r="AX36" s="530">
        <f t="shared" ref="AX36:BY36" si="53">SUM(AX34:AX35)</f>
        <v>3929.3351981966898</v>
      </c>
      <c r="AY36" s="530">
        <f t="shared" si="53"/>
        <v>3929.3351981966898</v>
      </c>
      <c r="AZ36" s="530">
        <f t="shared" si="53"/>
        <v>3929.3351981966898</v>
      </c>
      <c r="BA36" s="530">
        <f t="shared" si="53"/>
        <v>3929.3351981966898</v>
      </c>
      <c r="BB36" s="530">
        <f t="shared" si="53"/>
        <v>3863.3153234578958</v>
      </c>
      <c r="BC36" s="530">
        <f t="shared" si="53"/>
        <v>3863.3153234578958</v>
      </c>
      <c r="BD36" s="530">
        <f t="shared" si="53"/>
        <v>3863.3153234578958</v>
      </c>
      <c r="BE36" s="530">
        <f t="shared" si="53"/>
        <v>3863.3153234578958</v>
      </c>
      <c r="BF36" s="530">
        <f t="shared" si="53"/>
        <v>3863.3153234578958</v>
      </c>
      <c r="BG36" s="530">
        <f t="shared" si="53"/>
        <v>3863.3153234578958</v>
      </c>
      <c r="BH36" s="530">
        <f t="shared" si="53"/>
        <v>4028.0067789653067</v>
      </c>
      <c r="BI36" s="530">
        <f t="shared" si="53"/>
        <v>4028.0067789653067</v>
      </c>
      <c r="BJ36" s="530">
        <f t="shared" si="53"/>
        <v>4028.0067789653067</v>
      </c>
      <c r="BK36" s="530">
        <f t="shared" si="53"/>
        <v>4028.0067789653067</v>
      </c>
      <c r="BL36" s="530">
        <f t="shared" si="53"/>
        <v>4028.0067789653067</v>
      </c>
      <c r="BM36" s="530">
        <f t="shared" si="53"/>
        <v>4028.0067789653067</v>
      </c>
      <c r="BN36" s="530">
        <f t="shared" si="53"/>
        <v>3943.6577614007188</v>
      </c>
      <c r="BO36" s="530">
        <f t="shared" si="53"/>
        <v>3943.6577614007188</v>
      </c>
      <c r="BP36" s="530">
        <f t="shared" si="53"/>
        <v>3943.6577614007188</v>
      </c>
      <c r="BQ36" s="530">
        <f t="shared" si="53"/>
        <v>3943.6577614007188</v>
      </c>
      <c r="BR36" s="530">
        <f t="shared" si="53"/>
        <v>3943.6577614007188</v>
      </c>
      <c r="BS36" s="530">
        <f t="shared" si="53"/>
        <v>3943.6577614007188</v>
      </c>
      <c r="BT36" s="530">
        <f t="shared" si="53"/>
        <v>4129.2394941601324</v>
      </c>
      <c r="BU36" s="530">
        <f t="shared" si="53"/>
        <v>4129.2394941601324</v>
      </c>
      <c r="BV36" s="530">
        <f t="shared" si="53"/>
        <v>4129.2394941601324</v>
      </c>
      <c r="BW36" s="530">
        <f t="shared" si="53"/>
        <v>4129.2394941601324</v>
      </c>
      <c r="BX36" s="530">
        <f t="shared" si="53"/>
        <v>4129.2394941601324</v>
      </c>
      <c r="BY36" s="530">
        <f t="shared" si="53"/>
        <v>4129.2394941601324</v>
      </c>
      <c r="BZ36" s="537"/>
      <c r="CA36" s="537"/>
      <c r="CB36" s="574"/>
    </row>
    <row r="37" spans="1:80" x14ac:dyDescent="0.3">
      <c r="A37" s="551"/>
      <c r="B37" s="548"/>
      <c r="C37" s="525"/>
      <c r="D37" s="525"/>
      <c r="E37" s="525" t="s">
        <v>176</v>
      </c>
      <c r="F37" s="575"/>
      <c r="G37" s="575"/>
      <c r="H37" s="575"/>
      <c r="I37" s="531">
        <f t="shared" ref="I37:N37" si="54">IFERROR(I36/I31,0)</f>
        <v>0.32085492386810743</v>
      </c>
      <c r="J37" s="531">
        <f t="shared" si="54"/>
        <v>0.32085492386810793</v>
      </c>
      <c r="K37" s="531">
        <f t="shared" si="54"/>
        <v>0.32085492386810782</v>
      </c>
      <c r="L37" s="531">
        <f t="shared" si="54"/>
        <v>0.32085492386810788</v>
      </c>
      <c r="M37" s="531">
        <f t="shared" si="54"/>
        <v>0.32085492386810771</v>
      </c>
      <c r="N37" s="531">
        <f t="shared" si="54"/>
        <v>0.3208549238681076</v>
      </c>
      <c r="O37" s="546"/>
      <c r="P37" s="564">
        <f t="shared" si="41"/>
        <v>0</v>
      </c>
      <c r="Q37" s="537"/>
      <c r="R37" s="531">
        <f t="shared" ref="R37:AW37" si="55">IFERROR(R36/R31,0)</f>
        <v>0.32085492386810782</v>
      </c>
      <c r="S37" s="531">
        <f t="shared" si="55"/>
        <v>0.32085492386810782</v>
      </c>
      <c r="T37" s="531">
        <f t="shared" si="55"/>
        <v>0.32085492386810782</v>
      </c>
      <c r="U37" s="531">
        <f t="shared" si="55"/>
        <v>0.32085492386810782</v>
      </c>
      <c r="V37" s="531">
        <f t="shared" si="55"/>
        <v>0.32085492386810782</v>
      </c>
      <c r="W37" s="531">
        <f t="shared" si="55"/>
        <v>0.32085492386810782</v>
      </c>
      <c r="X37" s="531">
        <f t="shared" si="55"/>
        <v>0.32085492386810782</v>
      </c>
      <c r="Y37" s="531">
        <f t="shared" si="55"/>
        <v>0.32085492386810782</v>
      </c>
      <c r="Z37" s="531">
        <f t="shared" si="55"/>
        <v>0.32085492386810782</v>
      </c>
      <c r="AA37" s="531">
        <f t="shared" si="55"/>
        <v>0.32085492386810782</v>
      </c>
      <c r="AB37" s="531">
        <f t="shared" si="55"/>
        <v>0.32085492386810782</v>
      </c>
      <c r="AC37" s="531">
        <f t="shared" si="55"/>
        <v>0.32085492386810782</v>
      </c>
      <c r="AD37" s="531">
        <f t="shared" si="55"/>
        <v>0.32085492386810782</v>
      </c>
      <c r="AE37" s="531">
        <f t="shared" si="55"/>
        <v>0.32085492386810782</v>
      </c>
      <c r="AF37" s="531">
        <f t="shared" si="55"/>
        <v>0.32085492386810782</v>
      </c>
      <c r="AG37" s="531">
        <f t="shared" si="55"/>
        <v>0.32085492386810782</v>
      </c>
      <c r="AH37" s="531">
        <f t="shared" si="55"/>
        <v>0.32085492386810782</v>
      </c>
      <c r="AI37" s="531">
        <f t="shared" si="55"/>
        <v>0.32085492386810782</v>
      </c>
      <c r="AJ37" s="531">
        <f t="shared" si="55"/>
        <v>0.32085492386810777</v>
      </c>
      <c r="AK37" s="531">
        <f t="shared" si="55"/>
        <v>0.32085492386810777</v>
      </c>
      <c r="AL37" s="531">
        <f t="shared" si="55"/>
        <v>0.32085492386810777</v>
      </c>
      <c r="AM37" s="531">
        <f t="shared" si="55"/>
        <v>0.32085492386810777</v>
      </c>
      <c r="AN37" s="531">
        <f t="shared" si="55"/>
        <v>0.32085492386810777</v>
      </c>
      <c r="AO37" s="531">
        <f t="shared" si="55"/>
        <v>0.32085492386810777</v>
      </c>
      <c r="AP37" s="531">
        <f t="shared" si="55"/>
        <v>0.32085492386810777</v>
      </c>
      <c r="AQ37" s="531">
        <f t="shared" si="55"/>
        <v>0.32085492386810777</v>
      </c>
      <c r="AR37" s="531">
        <f t="shared" si="55"/>
        <v>0.32085492386810777</v>
      </c>
      <c r="AS37" s="531">
        <f t="shared" si="55"/>
        <v>0.32085492386810777</v>
      </c>
      <c r="AT37" s="531">
        <f t="shared" si="55"/>
        <v>0.32085492386810777</v>
      </c>
      <c r="AU37" s="531">
        <f t="shared" si="55"/>
        <v>0.32085492386810777</v>
      </c>
      <c r="AV37" s="531">
        <f t="shared" si="55"/>
        <v>0.32085492386810777</v>
      </c>
      <c r="AW37" s="531">
        <f t="shared" si="55"/>
        <v>0.32085492386810777</v>
      </c>
      <c r="AX37" s="531">
        <f t="shared" ref="AX37:BY37" si="56">IFERROR(AX36/AX31,0)</f>
        <v>0.32085492386810777</v>
      </c>
      <c r="AY37" s="531">
        <f t="shared" si="56"/>
        <v>0.32085492386810777</v>
      </c>
      <c r="AZ37" s="531">
        <f t="shared" si="56"/>
        <v>0.32085492386810777</v>
      </c>
      <c r="BA37" s="531">
        <f t="shared" si="56"/>
        <v>0.32085492386810777</v>
      </c>
      <c r="BB37" s="531">
        <f t="shared" si="56"/>
        <v>0.32085492386810777</v>
      </c>
      <c r="BC37" s="531">
        <f t="shared" si="56"/>
        <v>0.32085492386810777</v>
      </c>
      <c r="BD37" s="531">
        <f t="shared" si="56"/>
        <v>0.32085492386810777</v>
      </c>
      <c r="BE37" s="531">
        <f t="shared" si="56"/>
        <v>0.32085492386810777</v>
      </c>
      <c r="BF37" s="531">
        <f t="shared" si="56"/>
        <v>0.32085492386810777</v>
      </c>
      <c r="BG37" s="531">
        <f t="shared" si="56"/>
        <v>0.32085492386810777</v>
      </c>
      <c r="BH37" s="531">
        <f t="shared" si="56"/>
        <v>0.32085492386810777</v>
      </c>
      <c r="BI37" s="531">
        <f t="shared" si="56"/>
        <v>0.32085492386810777</v>
      </c>
      <c r="BJ37" s="531">
        <f t="shared" si="56"/>
        <v>0.32085492386810777</v>
      </c>
      <c r="BK37" s="531">
        <f t="shared" si="56"/>
        <v>0.32085492386810777</v>
      </c>
      <c r="BL37" s="531">
        <f t="shared" si="56"/>
        <v>0.32085492386810777</v>
      </c>
      <c r="BM37" s="531">
        <f t="shared" si="56"/>
        <v>0.32085492386810777</v>
      </c>
      <c r="BN37" s="531">
        <f t="shared" si="56"/>
        <v>0.32085492386810771</v>
      </c>
      <c r="BO37" s="531">
        <f t="shared" si="56"/>
        <v>0.32085492386810771</v>
      </c>
      <c r="BP37" s="531">
        <f t="shared" si="56"/>
        <v>0.32085492386810771</v>
      </c>
      <c r="BQ37" s="531">
        <f t="shared" si="56"/>
        <v>0.32085492386810771</v>
      </c>
      <c r="BR37" s="531">
        <f t="shared" si="56"/>
        <v>0.32085492386810771</v>
      </c>
      <c r="BS37" s="531">
        <f t="shared" si="56"/>
        <v>0.32085492386810771</v>
      </c>
      <c r="BT37" s="531">
        <f t="shared" si="56"/>
        <v>0.32085492386810766</v>
      </c>
      <c r="BU37" s="531">
        <f t="shared" si="56"/>
        <v>0.32085492386810766</v>
      </c>
      <c r="BV37" s="531">
        <f t="shared" si="56"/>
        <v>0.32085492386810766</v>
      </c>
      <c r="BW37" s="531">
        <f t="shared" si="56"/>
        <v>0.32085492386810766</v>
      </c>
      <c r="BX37" s="531">
        <f t="shared" si="56"/>
        <v>0.32085492386810766</v>
      </c>
      <c r="BY37" s="531">
        <f t="shared" si="56"/>
        <v>0.32085492386810766</v>
      </c>
      <c r="BZ37" s="537"/>
      <c r="CA37" s="537"/>
      <c r="CB37" s="537"/>
    </row>
    <row r="38" spans="1:80" x14ac:dyDescent="0.3">
      <c r="A38" s="551"/>
      <c r="B38" s="548"/>
      <c r="C38" s="525"/>
      <c r="D38" s="525"/>
      <c r="E38" s="525"/>
      <c r="F38" s="576"/>
      <c r="G38" s="576"/>
      <c r="H38" s="576"/>
      <c r="I38" s="533"/>
      <c r="J38" s="533"/>
      <c r="K38" s="533"/>
      <c r="L38" s="533"/>
      <c r="M38" s="533"/>
      <c r="N38" s="533"/>
      <c r="O38" s="533"/>
      <c r="P38" s="577"/>
      <c r="Q38" s="537"/>
      <c r="R38" s="533"/>
      <c r="S38" s="533"/>
      <c r="T38" s="533"/>
      <c r="U38" s="533"/>
      <c r="V38" s="533"/>
      <c r="W38" s="533"/>
      <c r="X38" s="533"/>
      <c r="Y38" s="533"/>
      <c r="Z38" s="533"/>
      <c r="AA38" s="533"/>
      <c r="AB38" s="533"/>
      <c r="AC38" s="533"/>
      <c r="AD38" s="533"/>
      <c r="AE38" s="533"/>
      <c r="AF38" s="533"/>
      <c r="AG38" s="533"/>
      <c r="AH38" s="533"/>
      <c r="AI38" s="533"/>
      <c r="AJ38" s="533"/>
      <c r="AK38" s="533"/>
      <c r="AL38" s="533"/>
      <c r="AM38" s="533"/>
      <c r="AN38" s="533"/>
      <c r="AO38" s="533"/>
      <c r="AP38" s="533"/>
      <c r="AQ38" s="533"/>
      <c r="AR38" s="533"/>
      <c r="AS38" s="533"/>
      <c r="AT38" s="533"/>
      <c r="AU38" s="533"/>
      <c r="AV38" s="533"/>
      <c r="AW38" s="533"/>
      <c r="AX38" s="533"/>
      <c r="AY38" s="533"/>
      <c r="AZ38" s="533"/>
      <c r="BA38" s="533"/>
      <c r="BB38" s="533"/>
      <c r="BC38" s="533"/>
      <c r="BD38" s="533"/>
      <c r="BE38" s="533"/>
      <c r="BF38" s="533"/>
      <c r="BG38" s="533"/>
      <c r="BH38" s="533"/>
      <c r="BI38" s="533"/>
      <c r="BJ38" s="533"/>
      <c r="BK38" s="533"/>
      <c r="BL38" s="533"/>
      <c r="BM38" s="533"/>
      <c r="BN38" s="533"/>
      <c r="BO38" s="533"/>
      <c r="BP38" s="533"/>
      <c r="BQ38" s="533"/>
      <c r="BR38" s="533"/>
      <c r="BS38" s="533"/>
      <c r="BT38" s="533"/>
      <c r="BU38" s="533"/>
      <c r="BV38" s="533"/>
      <c r="BW38" s="533"/>
      <c r="BX38" s="533"/>
      <c r="BY38" s="533"/>
      <c r="BZ38" s="537"/>
      <c r="CA38" s="537"/>
      <c r="CB38" s="537"/>
    </row>
    <row r="39" spans="1:80" x14ac:dyDescent="0.3">
      <c r="A39" s="551"/>
      <c r="B39" s="548"/>
      <c r="C39" s="525"/>
      <c r="D39" s="525"/>
      <c r="E39" s="578" t="s">
        <v>24</v>
      </c>
      <c r="F39" s="579"/>
      <c r="G39" s="579"/>
      <c r="H39" s="579"/>
      <c r="I39" s="535">
        <f>I529</f>
        <v>1382780.8935081528</v>
      </c>
      <c r="J39" s="535">
        <f>SUMIF($R$2:$BY$2,J$3,$R39:$BY39)</f>
        <v>1480388.2110949177</v>
      </c>
      <c r="K39" s="534">
        <f>SUMIF($R$2:$BY$2,K$3,$R39:$BY39)</f>
        <v>1595536.9371191333</v>
      </c>
      <c r="L39" s="534">
        <f>SUMIF($R$2:$BY$2,L$3,$R39:$BY39)</f>
        <v>1713768.4044347364</v>
      </c>
      <c r="M39" s="534">
        <f>SUMIF($R$2:$BY$2,M$3,$R39:$BY39)</f>
        <v>1836636.438060717</v>
      </c>
      <c r="N39" s="535">
        <f>SUMIF($R$2:$BY$2,N$3,$R39:$BY39)</f>
        <v>1967798.7614696352</v>
      </c>
      <c r="O39" s="536"/>
      <c r="P39" s="568">
        <f>IFERROR(((N39/I39)^(1/5))-1,0)</f>
        <v>7.3113016046903789E-2</v>
      </c>
      <c r="Q39" s="537"/>
      <c r="R39" s="534">
        <f t="shared" ref="R39:AW39" si="57">R27+R36</f>
        <v>121698.83974369154</v>
      </c>
      <c r="S39" s="534">
        <f t="shared" si="57"/>
        <v>121698.83974369154</v>
      </c>
      <c r="T39" s="534">
        <f t="shared" si="57"/>
        <v>121698.83974369154</v>
      </c>
      <c r="U39" s="534">
        <f t="shared" si="57"/>
        <v>121698.83974369154</v>
      </c>
      <c r="V39" s="534">
        <f t="shared" si="57"/>
        <v>121698.83974369154</v>
      </c>
      <c r="W39" s="534">
        <f t="shared" si="57"/>
        <v>121698.83974369154</v>
      </c>
      <c r="X39" s="534">
        <f t="shared" si="57"/>
        <v>125032.52877212815</v>
      </c>
      <c r="Y39" s="534">
        <f t="shared" si="57"/>
        <v>125032.52877212815</v>
      </c>
      <c r="Z39" s="534">
        <f t="shared" si="57"/>
        <v>125032.52877212815</v>
      </c>
      <c r="AA39" s="534">
        <f t="shared" si="57"/>
        <v>125032.52877212815</v>
      </c>
      <c r="AB39" s="534">
        <f t="shared" si="57"/>
        <v>125032.52877212815</v>
      </c>
      <c r="AC39" s="534">
        <f t="shared" si="57"/>
        <v>125032.52877212815</v>
      </c>
      <c r="AD39" s="534">
        <f t="shared" si="57"/>
        <v>130817.60198903982</v>
      </c>
      <c r="AE39" s="534">
        <f t="shared" si="57"/>
        <v>130817.60198903982</v>
      </c>
      <c r="AF39" s="534">
        <f t="shared" si="57"/>
        <v>130817.60198903982</v>
      </c>
      <c r="AG39" s="534">
        <f t="shared" si="57"/>
        <v>130817.60198903982</v>
      </c>
      <c r="AH39" s="534">
        <f t="shared" si="57"/>
        <v>130817.60198903982</v>
      </c>
      <c r="AI39" s="534">
        <f t="shared" si="57"/>
        <v>130817.60198903982</v>
      </c>
      <c r="AJ39" s="534">
        <f t="shared" si="57"/>
        <v>135105.2208641491</v>
      </c>
      <c r="AK39" s="534">
        <f t="shared" si="57"/>
        <v>135105.2208641491</v>
      </c>
      <c r="AL39" s="534">
        <f t="shared" si="57"/>
        <v>135105.2208641491</v>
      </c>
      <c r="AM39" s="534">
        <f t="shared" si="57"/>
        <v>135105.2208641491</v>
      </c>
      <c r="AN39" s="534">
        <f t="shared" si="57"/>
        <v>135105.2208641491</v>
      </c>
      <c r="AO39" s="534">
        <f t="shared" si="57"/>
        <v>135105.2208641491</v>
      </c>
      <c r="AP39" s="534">
        <f t="shared" si="57"/>
        <v>140161.31896050132</v>
      </c>
      <c r="AQ39" s="534">
        <f t="shared" si="57"/>
        <v>140161.31896050132</v>
      </c>
      <c r="AR39" s="534">
        <f t="shared" si="57"/>
        <v>140161.31896050132</v>
      </c>
      <c r="AS39" s="534">
        <f t="shared" si="57"/>
        <v>140161.31896050132</v>
      </c>
      <c r="AT39" s="534">
        <f t="shared" si="57"/>
        <v>140161.31896050132</v>
      </c>
      <c r="AU39" s="534">
        <f t="shared" si="57"/>
        <v>140161.31896050132</v>
      </c>
      <c r="AV39" s="534">
        <f t="shared" si="57"/>
        <v>145466.7484452881</v>
      </c>
      <c r="AW39" s="534">
        <f t="shared" si="57"/>
        <v>145466.7484452881</v>
      </c>
      <c r="AX39" s="534">
        <f t="shared" ref="AX39:BY39" si="58">AX27+AX36</f>
        <v>145466.7484452881</v>
      </c>
      <c r="AY39" s="534">
        <f t="shared" si="58"/>
        <v>145466.7484452881</v>
      </c>
      <c r="AZ39" s="534">
        <f t="shared" si="58"/>
        <v>145466.7484452881</v>
      </c>
      <c r="BA39" s="534">
        <f t="shared" si="58"/>
        <v>145466.7484452881</v>
      </c>
      <c r="BB39" s="534">
        <f t="shared" si="58"/>
        <v>149858.82810440322</v>
      </c>
      <c r="BC39" s="534">
        <f t="shared" si="58"/>
        <v>149858.82810440322</v>
      </c>
      <c r="BD39" s="534">
        <f t="shared" si="58"/>
        <v>149858.82810440322</v>
      </c>
      <c r="BE39" s="534">
        <f t="shared" si="58"/>
        <v>149858.82810440322</v>
      </c>
      <c r="BF39" s="534">
        <f t="shared" si="58"/>
        <v>149858.82810440322</v>
      </c>
      <c r="BG39" s="534">
        <f t="shared" si="58"/>
        <v>149858.82810440322</v>
      </c>
      <c r="BH39" s="534">
        <f t="shared" si="58"/>
        <v>156247.24490571633</v>
      </c>
      <c r="BI39" s="534">
        <f t="shared" si="58"/>
        <v>156247.24490571633</v>
      </c>
      <c r="BJ39" s="534">
        <f t="shared" si="58"/>
        <v>156247.24490571633</v>
      </c>
      <c r="BK39" s="534">
        <f t="shared" si="58"/>
        <v>156247.24490571633</v>
      </c>
      <c r="BL39" s="534">
        <f t="shared" si="58"/>
        <v>156247.24490571633</v>
      </c>
      <c r="BM39" s="534">
        <f t="shared" si="58"/>
        <v>156247.24490571633</v>
      </c>
      <c r="BN39" s="534">
        <f t="shared" si="58"/>
        <v>160213.54359900349</v>
      </c>
      <c r="BO39" s="534">
        <f t="shared" si="58"/>
        <v>160213.54359900349</v>
      </c>
      <c r="BP39" s="534">
        <f t="shared" si="58"/>
        <v>160213.54359900349</v>
      </c>
      <c r="BQ39" s="534">
        <f t="shared" si="58"/>
        <v>160213.54359900349</v>
      </c>
      <c r="BR39" s="534">
        <f t="shared" si="58"/>
        <v>160213.54359900349</v>
      </c>
      <c r="BS39" s="534">
        <f t="shared" si="58"/>
        <v>160213.54359900349</v>
      </c>
      <c r="BT39" s="534">
        <f t="shared" si="58"/>
        <v>167752.91664593571</v>
      </c>
      <c r="BU39" s="534">
        <f t="shared" si="58"/>
        <v>167752.91664593571</v>
      </c>
      <c r="BV39" s="534">
        <f t="shared" si="58"/>
        <v>167752.91664593571</v>
      </c>
      <c r="BW39" s="534">
        <f t="shared" si="58"/>
        <v>167752.91664593571</v>
      </c>
      <c r="BX39" s="534">
        <f t="shared" si="58"/>
        <v>167752.91664593571</v>
      </c>
      <c r="BY39" s="534">
        <f t="shared" si="58"/>
        <v>167752.91664593571</v>
      </c>
      <c r="BZ39" s="537"/>
      <c r="CA39" s="537"/>
      <c r="CB39" s="574"/>
    </row>
    <row r="40" spans="1:80" x14ac:dyDescent="0.3">
      <c r="A40" s="551"/>
      <c r="B40" s="548"/>
      <c r="C40" s="525"/>
      <c r="D40" s="525"/>
      <c r="E40" s="525" t="s">
        <v>177</v>
      </c>
      <c r="F40" s="529"/>
      <c r="G40" s="529"/>
      <c r="H40" s="529"/>
      <c r="I40" s="531">
        <f t="shared" ref="I40:N40" si="59">IFERROR(I39/(I22+I31),0)</f>
        <v>0.45157500748564561</v>
      </c>
      <c r="J40" s="531">
        <f t="shared" si="59"/>
        <v>0.46040138596307956</v>
      </c>
      <c r="K40" s="531">
        <f t="shared" si="59"/>
        <v>0.46866667382815258</v>
      </c>
      <c r="L40" s="531">
        <f t="shared" si="59"/>
        <v>0.47632304026215094</v>
      </c>
      <c r="M40" s="531">
        <f t="shared" si="59"/>
        <v>0.48335199756209674</v>
      </c>
      <c r="N40" s="531">
        <f t="shared" si="59"/>
        <v>0.49023179985401433</v>
      </c>
      <c r="O40" s="546"/>
      <c r="P40" s="564">
        <f>IFERROR(((N40/I40)^(1/5))-1,0)</f>
        <v>1.656304145185894E-2</v>
      </c>
      <c r="Q40" s="537"/>
      <c r="R40" s="531">
        <f t="shared" ref="R40:AW40" si="60">IFERROR(R39/(R22+R31),0)</f>
        <v>0.46040138596307967</v>
      </c>
      <c r="S40" s="531">
        <f t="shared" si="60"/>
        <v>0.46040138596307967</v>
      </c>
      <c r="T40" s="531">
        <f t="shared" si="60"/>
        <v>0.46040138596307967</v>
      </c>
      <c r="U40" s="531">
        <f t="shared" si="60"/>
        <v>0.46040138596307967</v>
      </c>
      <c r="V40" s="531">
        <f t="shared" si="60"/>
        <v>0.46040138596307967</v>
      </c>
      <c r="W40" s="531">
        <f t="shared" si="60"/>
        <v>0.46040138596307967</v>
      </c>
      <c r="X40" s="531">
        <f t="shared" si="60"/>
        <v>0.4604013859630795</v>
      </c>
      <c r="Y40" s="531">
        <f t="shared" si="60"/>
        <v>0.4604013859630795</v>
      </c>
      <c r="Z40" s="531">
        <f t="shared" si="60"/>
        <v>0.4604013859630795</v>
      </c>
      <c r="AA40" s="531">
        <f t="shared" si="60"/>
        <v>0.4604013859630795</v>
      </c>
      <c r="AB40" s="531">
        <f t="shared" si="60"/>
        <v>0.4604013859630795</v>
      </c>
      <c r="AC40" s="531">
        <f t="shared" si="60"/>
        <v>0.4604013859630795</v>
      </c>
      <c r="AD40" s="531">
        <f t="shared" si="60"/>
        <v>0.46866667382815286</v>
      </c>
      <c r="AE40" s="531">
        <f t="shared" si="60"/>
        <v>0.46866667382815286</v>
      </c>
      <c r="AF40" s="531">
        <f t="shared" si="60"/>
        <v>0.46866667382815286</v>
      </c>
      <c r="AG40" s="531">
        <f t="shared" si="60"/>
        <v>0.46866667382815286</v>
      </c>
      <c r="AH40" s="531">
        <f t="shared" si="60"/>
        <v>0.46866667382815286</v>
      </c>
      <c r="AI40" s="531">
        <f t="shared" si="60"/>
        <v>0.46866667382815286</v>
      </c>
      <c r="AJ40" s="531">
        <f t="shared" si="60"/>
        <v>0.46866667382815275</v>
      </c>
      <c r="AK40" s="531">
        <f t="shared" si="60"/>
        <v>0.46866667382815275</v>
      </c>
      <c r="AL40" s="531">
        <f t="shared" si="60"/>
        <v>0.46866667382815275</v>
      </c>
      <c r="AM40" s="531">
        <f t="shared" si="60"/>
        <v>0.46866667382815275</v>
      </c>
      <c r="AN40" s="531">
        <f t="shared" si="60"/>
        <v>0.46866667382815275</v>
      </c>
      <c r="AO40" s="531">
        <f t="shared" si="60"/>
        <v>0.46866667382815275</v>
      </c>
      <c r="AP40" s="531">
        <f t="shared" si="60"/>
        <v>0.47632304026215083</v>
      </c>
      <c r="AQ40" s="531">
        <f t="shared" si="60"/>
        <v>0.47632304026215083</v>
      </c>
      <c r="AR40" s="531">
        <f t="shared" si="60"/>
        <v>0.47632304026215083</v>
      </c>
      <c r="AS40" s="531">
        <f t="shared" si="60"/>
        <v>0.47632304026215083</v>
      </c>
      <c r="AT40" s="531">
        <f t="shared" si="60"/>
        <v>0.47632304026215083</v>
      </c>
      <c r="AU40" s="531">
        <f t="shared" si="60"/>
        <v>0.47632304026215083</v>
      </c>
      <c r="AV40" s="531">
        <f t="shared" si="60"/>
        <v>0.47632304026215089</v>
      </c>
      <c r="AW40" s="531">
        <f t="shared" si="60"/>
        <v>0.47632304026215089</v>
      </c>
      <c r="AX40" s="531">
        <f t="shared" ref="AX40:BY40" si="61">IFERROR(AX39/(AX22+AX31),0)</f>
        <v>0.47632304026215089</v>
      </c>
      <c r="AY40" s="531">
        <f t="shared" si="61"/>
        <v>0.47632304026215089</v>
      </c>
      <c r="AZ40" s="531">
        <f t="shared" si="61"/>
        <v>0.47632304026215089</v>
      </c>
      <c r="BA40" s="531">
        <f t="shared" si="61"/>
        <v>0.47632304026215089</v>
      </c>
      <c r="BB40" s="531">
        <f t="shared" si="61"/>
        <v>0.48335199756209668</v>
      </c>
      <c r="BC40" s="531">
        <f t="shared" si="61"/>
        <v>0.48335199756209668</v>
      </c>
      <c r="BD40" s="531">
        <f t="shared" si="61"/>
        <v>0.48335199756209668</v>
      </c>
      <c r="BE40" s="531">
        <f t="shared" si="61"/>
        <v>0.48335199756209668</v>
      </c>
      <c r="BF40" s="531">
        <f t="shared" si="61"/>
        <v>0.48335199756209668</v>
      </c>
      <c r="BG40" s="531">
        <f t="shared" si="61"/>
        <v>0.48335199756209668</v>
      </c>
      <c r="BH40" s="531">
        <f t="shared" si="61"/>
        <v>0.48335199756209657</v>
      </c>
      <c r="BI40" s="531">
        <f t="shared" si="61"/>
        <v>0.48335199756209657</v>
      </c>
      <c r="BJ40" s="531">
        <f t="shared" si="61"/>
        <v>0.48335199756209657</v>
      </c>
      <c r="BK40" s="531">
        <f t="shared" si="61"/>
        <v>0.48335199756209657</v>
      </c>
      <c r="BL40" s="531">
        <f t="shared" si="61"/>
        <v>0.48335199756209657</v>
      </c>
      <c r="BM40" s="531">
        <f t="shared" si="61"/>
        <v>0.48335199756209657</v>
      </c>
      <c r="BN40" s="531">
        <f t="shared" si="61"/>
        <v>0.49023179985401422</v>
      </c>
      <c r="BO40" s="531">
        <f t="shared" si="61"/>
        <v>0.49023179985401422</v>
      </c>
      <c r="BP40" s="531">
        <f t="shared" si="61"/>
        <v>0.49023179985401422</v>
      </c>
      <c r="BQ40" s="531">
        <f t="shared" si="61"/>
        <v>0.49023179985401422</v>
      </c>
      <c r="BR40" s="531">
        <f t="shared" si="61"/>
        <v>0.49023179985401422</v>
      </c>
      <c r="BS40" s="531">
        <f t="shared" si="61"/>
        <v>0.49023179985401422</v>
      </c>
      <c r="BT40" s="531">
        <f t="shared" si="61"/>
        <v>0.49023179985401444</v>
      </c>
      <c r="BU40" s="531">
        <f t="shared" si="61"/>
        <v>0.49023179985401444</v>
      </c>
      <c r="BV40" s="531">
        <f t="shared" si="61"/>
        <v>0.49023179985401444</v>
      </c>
      <c r="BW40" s="531">
        <f t="shared" si="61"/>
        <v>0.49023179985401444</v>
      </c>
      <c r="BX40" s="531">
        <f t="shared" si="61"/>
        <v>0.49023179985401444</v>
      </c>
      <c r="BY40" s="531">
        <f t="shared" si="61"/>
        <v>0.49023179985401444</v>
      </c>
      <c r="BZ40" s="537"/>
      <c r="CA40" s="537"/>
      <c r="CB40" s="537"/>
    </row>
    <row r="41" spans="1:80" x14ac:dyDescent="0.3">
      <c r="A41" s="551"/>
      <c r="B41" s="548"/>
      <c r="C41" s="525"/>
      <c r="D41" s="525"/>
      <c r="E41" s="525"/>
      <c r="F41" s="529"/>
      <c r="G41" s="529"/>
      <c r="H41" s="529"/>
      <c r="I41" s="529"/>
      <c r="J41" s="529"/>
      <c r="K41" s="529"/>
      <c r="L41" s="529"/>
      <c r="M41" s="529"/>
      <c r="N41" s="529"/>
      <c r="O41" s="529"/>
      <c r="P41" s="562"/>
      <c r="Q41" s="537"/>
      <c r="R41" s="529"/>
      <c r="S41" s="529"/>
      <c r="T41" s="529"/>
      <c r="U41" s="529"/>
      <c r="V41" s="529"/>
      <c r="W41" s="529"/>
      <c r="X41" s="529"/>
      <c r="Y41" s="529"/>
      <c r="Z41" s="529"/>
      <c r="AA41" s="529"/>
      <c r="AB41" s="529"/>
      <c r="AC41" s="529"/>
      <c r="AD41" s="529"/>
      <c r="AE41" s="529"/>
      <c r="AF41" s="529"/>
      <c r="AG41" s="529"/>
      <c r="AH41" s="529"/>
      <c r="AI41" s="529"/>
      <c r="AJ41" s="529"/>
      <c r="AK41" s="529"/>
      <c r="AL41" s="529"/>
      <c r="AM41" s="529"/>
      <c r="AN41" s="529"/>
      <c r="AO41" s="529"/>
      <c r="AP41" s="529"/>
      <c r="AQ41" s="529"/>
      <c r="AR41" s="529"/>
      <c r="AS41" s="529"/>
      <c r="AT41" s="529"/>
      <c r="AU41" s="529"/>
      <c r="AV41" s="529"/>
      <c r="AW41" s="529"/>
      <c r="AX41" s="529"/>
      <c r="AY41" s="529"/>
      <c r="AZ41" s="529"/>
      <c r="BA41" s="529"/>
      <c r="BB41" s="529"/>
      <c r="BC41" s="529"/>
      <c r="BD41" s="529"/>
      <c r="BE41" s="529"/>
      <c r="BF41" s="529"/>
      <c r="BG41" s="529"/>
      <c r="BH41" s="529"/>
      <c r="BI41" s="529"/>
      <c r="BJ41" s="529"/>
      <c r="BK41" s="529"/>
      <c r="BL41" s="529"/>
      <c r="BM41" s="529"/>
      <c r="BN41" s="529"/>
      <c r="BO41" s="529"/>
      <c r="BP41" s="529"/>
      <c r="BQ41" s="529"/>
      <c r="BR41" s="529"/>
      <c r="BS41" s="529"/>
      <c r="BT41" s="529"/>
      <c r="BU41" s="529"/>
      <c r="BV41" s="529"/>
      <c r="BW41" s="529"/>
      <c r="BX41" s="529"/>
      <c r="BY41" s="529"/>
      <c r="BZ41" s="537"/>
      <c r="CA41" s="537"/>
      <c r="CB41" s="537"/>
    </row>
    <row r="42" spans="1:80" x14ac:dyDescent="0.3">
      <c r="A42" s="551"/>
      <c r="B42" s="548"/>
      <c r="C42" s="525"/>
      <c r="D42" s="525"/>
      <c r="E42" s="570" t="s">
        <v>25</v>
      </c>
      <c r="F42" s="529"/>
      <c r="G42" s="529"/>
      <c r="H42" s="529"/>
      <c r="I42" s="529"/>
      <c r="J42" s="529"/>
      <c r="K42" s="529"/>
      <c r="L42" s="529"/>
      <c r="M42" s="529"/>
      <c r="N42" s="529"/>
      <c r="O42" s="529"/>
      <c r="P42" s="562"/>
      <c r="Q42" s="537"/>
      <c r="R42" s="529"/>
      <c r="S42" s="529"/>
      <c r="T42" s="529"/>
      <c r="U42" s="529"/>
      <c r="V42" s="529"/>
      <c r="W42" s="529"/>
      <c r="X42" s="529"/>
      <c r="Y42" s="529"/>
      <c r="Z42" s="529"/>
      <c r="AA42" s="529"/>
      <c r="AB42" s="529"/>
      <c r="AC42" s="529"/>
      <c r="AD42" s="529"/>
      <c r="AE42" s="529"/>
      <c r="AF42" s="529"/>
      <c r="AG42" s="529"/>
      <c r="AH42" s="529"/>
      <c r="AI42" s="529"/>
      <c r="AJ42" s="529"/>
      <c r="AK42" s="529"/>
      <c r="AL42" s="529"/>
      <c r="AM42" s="529"/>
      <c r="AN42" s="529"/>
      <c r="AO42" s="529"/>
      <c r="AP42" s="529"/>
      <c r="AQ42" s="529"/>
      <c r="AR42" s="529"/>
      <c r="AS42" s="529"/>
      <c r="AT42" s="529"/>
      <c r="AU42" s="529"/>
      <c r="AV42" s="529"/>
      <c r="AW42" s="529"/>
      <c r="AX42" s="529"/>
      <c r="AY42" s="529"/>
      <c r="AZ42" s="529"/>
      <c r="BA42" s="529"/>
      <c r="BB42" s="529"/>
      <c r="BC42" s="529"/>
      <c r="BD42" s="529"/>
      <c r="BE42" s="529"/>
      <c r="BF42" s="529"/>
      <c r="BG42" s="529"/>
      <c r="BH42" s="529"/>
      <c r="BI42" s="529"/>
      <c r="BJ42" s="529"/>
      <c r="BK42" s="529"/>
      <c r="BL42" s="529"/>
      <c r="BM42" s="529"/>
      <c r="BN42" s="529"/>
      <c r="BO42" s="529"/>
      <c r="BP42" s="529"/>
      <c r="BQ42" s="529"/>
      <c r="BR42" s="529"/>
      <c r="BS42" s="529"/>
      <c r="BT42" s="529"/>
      <c r="BU42" s="529"/>
      <c r="BV42" s="529"/>
      <c r="BW42" s="529"/>
      <c r="BX42" s="529"/>
      <c r="BY42" s="529"/>
      <c r="BZ42" s="537"/>
      <c r="CA42" s="537"/>
      <c r="CB42" s="537"/>
    </row>
    <row r="43" spans="1:80" x14ac:dyDescent="0.3">
      <c r="A43" s="551"/>
      <c r="B43" s="548"/>
      <c r="C43" s="525"/>
      <c r="D43" s="525"/>
      <c r="E43" s="525" t="s">
        <v>25</v>
      </c>
      <c r="F43" s="567"/>
      <c r="G43" s="567"/>
      <c r="H43" s="567"/>
      <c r="I43" s="527">
        <f>I533</f>
        <v>1434054.4512204616</v>
      </c>
      <c r="J43" s="527">
        <f t="shared" ref="J43:N45" si="62">SUMIF($R$2:$BY$2,J$3,$R43:$BY43)</f>
        <v>1494509.2326466187</v>
      </c>
      <c r="K43" s="527">
        <f t="shared" si="62"/>
        <v>1567602.341185631</v>
      </c>
      <c r="L43" s="527">
        <f t="shared" si="62"/>
        <v>1642295.5338861193</v>
      </c>
      <c r="M43" s="527">
        <f t="shared" si="62"/>
        <v>1715830.884110301</v>
      </c>
      <c r="N43" s="527">
        <f t="shared" si="62"/>
        <v>1790655.0058694668</v>
      </c>
      <c r="O43" s="529"/>
      <c r="P43" s="564">
        <f>IFERROR(((N43/I43)^(1/5))-1,0)</f>
        <v>4.5416272505834243E-2</v>
      </c>
      <c r="Q43" s="537"/>
      <c r="R43" s="527">
        <f t="shared" ref="R43:AW43" si="63">R344</f>
        <v>123178.65417861537</v>
      </c>
      <c r="S43" s="527">
        <f t="shared" si="63"/>
        <v>123178.65417861537</v>
      </c>
      <c r="T43" s="527">
        <f t="shared" si="63"/>
        <v>123178.65417861537</v>
      </c>
      <c r="U43" s="527">
        <f t="shared" si="63"/>
        <v>123178.65417861537</v>
      </c>
      <c r="V43" s="527">
        <f t="shared" si="63"/>
        <v>123178.65417861537</v>
      </c>
      <c r="W43" s="527">
        <f t="shared" si="63"/>
        <v>123178.65417861537</v>
      </c>
      <c r="X43" s="527">
        <f t="shared" si="63"/>
        <v>125906.21792915446</v>
      </c>
      <c r="Y43" s="527">
        <f t="shared" si="63"/>
        <v>125906.21792915446</v>
      </c>
      <c r="Z43" s="527">
        <f t="shared" si="63"/>
        <v>125906.21792915446</v>
      </c>
      <c r="AA43" s="527">
        <f t="shared" si="63"/>
        <v>125906.21792915446</v>
      </c>
      <c r="AB43" s="527">
        <f t="shared" si="63"/>
        <v>125906.21792915446</v>
      </c>
      <c r="AC43" s="527">
        <f t="shared" si="63"/>
        <v>125906.21792915446</v>
      </c>
      <c r="AD43" s="527">
        <f t="shared" si="63"/>
        <v>128879.50252868209</v>
      </c>
      <c r="AE43" s="527">
        <f t="shared" si="63"/>
        <v>128879.50252868209</v>
      </c>
      <c r="AF43" s="527">
        <f t="shared" si="63"/>
        <v>128879.50252868209</v>
      </c>
      <c r="AG43" s="527">
        <f t="shared" si="63"/>
        <v>128879.50252868209</v>
      </c>
      <c r="AH43" s="527">
        <f t="shared" si="63"/>
        <v>128879.50252868209</v>
      </c>
      <c r="AI43" s="527">
        <f t="shared" si="63"/>
        <v>128879.50252868209</v>
      </c>
      <c r="AJ43" s="527">
        <f t="shared" si="63"/>
        <v>132387.5543355897</v>
      </c>
      <c r="AK43" s="527">
        <f t="shared" si="63"/>
        <v>132387.5543355897</v>
      </c>
      <c r="AL43" s="527">
        <f t="shared" si="63"/>
        <v>132387.5543355897</v>
      </c>
      <c r="AM43" s="527">
        <f t="shared" si="63"/>
        <v>132387.5543355897</v>
      </c>
      <c r="AN43" s="527">
        <f t="shared" si="63"/>
        <v>132387.5543355897</v>
      </c>
      <c r="AO43" s="527">
        <f t="shared" si="63"/>
        <v>132387.5543355897</v>
      </c>
      <c r="AP43" s="527">
        <f t="shared" si="63"/>
        <v>134687.55818612748</v>
      </c>
      <c r="AQ43" s="527">
        <f t="shared" si="63"/>
        <v>134687.55818612748</v>
      </c>
      <c r="AR43" s="527">
        <f t="shared" si="63"/>
        <v>134687.55818612748</v>
      </c>
      <c r="AS43" s="527">
        <f t="shared" si="63"/>
        <v>134687.55818612748</v>
      </c>
      <c r="AT43" s="527">
        <f t="shared" si="63"/>
        <v>134687.55818612748</v>
      </c>
      <c r="AU43" s="527">
        <f t="shared" si="63"/>
        <v>134687.55818612748</v>
      </c>
      <c r="AV43" s="527">
        <f t="shared" si="63"/>
        <v>139028.36412822574</v>
      </c>
      <c r="AW43" s="527">
        <f t="shared" si="63"/>
        <v>139028.36412822574</v>
      </c>
      <c r="AX43" s="527">
        <f t="shared" ref="AX43:BY43" si="64">AX344</f>
        <v>139028.36412822574</v>
      </c>
      <c r="AY43" s="527">
        <f t="shared" si="64"/>
        <v>139028.36412822574</v>
      </c>
      <c r="AZ43" s="527">
        <f t="shared" si="64"/>
        <v>139028.36412822574</v>
      </c>
      <c r="BA43" s="527">
        <f t="shared" si="64"/>
        <v>139028.36412822574</v>
      </c>
      <c r="BB43" s="527">
        <f t="shared" si="64"/>
        <v>140372.46377229094</v>
      </c>
      <c r="BC43" s="527">
        <f t="shared" si="64"/>
        <v>140372.46377229094</v>
      </c>
      <c r="BD43" s="527">
        <f t="shared" si="64"/>
        <v>140372.46377229094</v>
      </c>
      <c r="BE43" s="527">
        <f t="shared" si="64"/>
        <v>140372.46377229094</v>
      </c>
      <c r="BF43" s="527">
        <f t="shared" si="64"/>
        <v>140372.46377229094</v>
      </c>
      <c r="BG43" s="527">
        <f t="shared" si="64"/>
        <v>140372.46377229094</v>
      </c>
      <c r="BH43" s="527">
        <f t="shared" si="64"/>
        <v>145599.35024609262</v>
      </c>
      <c r="BI43" s="527">
        <f t="shared" si="64"/>
        <v>145599.35024609262</v>
      </c>
      <c r="BJ43" s="527">
        <f t="shared" si="64"/>
        <v>145599.35024609262</v>
      </c>
      <c r="BK43" s="527">
        <f t="shared" si="64"/>
        <v>145599.35024609262</v>
      </c>
      <c r="BL43" s="527">
        <f t="shared" si="64"/>
        <v>145599.35024609262</v>
      </c>
      <c r="BM43" s="527">
        <f t="shared" si="64"/>
        <v>145599.35024609262</v>
      </c>
      <c r="BN43" s="527">
        <f t="shared" si="64"/>
        <v>146136.96151537728</v>
      </c>
      <c r="BO43" s="527">
        <f t="shared" si="64"/>
        <v>146136.96151537728</v>
      </c>
      <c r="BP43" s="527">
        <f t="shared" si="64"/>
        <v>146136.96151537728</v>
      </c>
      <c r="BQ43" s="527">
        <f t="shared" si="64"/>
        <v>146136.96151537728</v>
      </c>
      <c r="BR43" s="527">
        <f t="shared" si="64"/>
        <v>146136.96151537728</v>
      </c>
      <c r="BS43" s="527">
        <f t="shared" si="64"/>
        <v>146136.96151537728</v>
      </c>
      <c r="BT43" s="527">
        <f t="shared" si="64"/>
        <v>152305.53946286716</v>
      </c>
      <c r="BU43" s="527">
        <f t="shared" si="64"/>
        <v>152305.53946286716</v>
      </c>
      <c r="BV43" s="527">
        <f t="shared" si="64"/>
        <v>152305.53946286716</v>
      </c>
      <c r="BW43" s="527">
        <f t="shared" si="64"/>
        <v>152305.53946286716</v>
      </c>
      <c r="BX43" s="527">
        <f t="shared" si="64"/>
        <v>152305.53946286716</v>
      </c>
      <c r="BY43" s="527">
        <f t="shared" si="64"/>
        <v>152305.53946286716</v>
      </c>
      <c r="BZ43" s="537"/>
      <c r="CA43" s="537"/>
      <c r="CB43" s="574"/>
    </row>
    <row r="44" spans="1:80" x14ac:dyDescent="0.3">
      <c r="A44" s="551"/>
      <c r="B44" s="548"/>
      <c r="C44" s="525"/>
      <c r="D44" s="525"/>
      <c r="E44" s="525" t="s">
        <v>14</v>
      </c>
      <c r="F44" s="567"/>
      <c r="G44" s="567"/>
      <c r="H44" s="567"/>
      <c r="I44" s="527">
        <f>I534</f>
        <v>106634.75808707695</v>
      </c>
      <c r="J44" s="527">
        <f t="shared" si="62"/>
        <v>110380.53038115271</v>
      </c>
      <c r="K44" s="527">
        <f t="shared" si="62"/>
        <v>114044.89181863617</v>
      </c>
      <c r="L44" s="527">
        <f t="shared" si="62"/>
        <v>117677.17475529602</v>
      </c>
      <c r="M44" s="527">
        <f t="shared" si="62"/>
        <v>120709.66718825715</v>
      </c>
      <c r="N44" s="527">
        <f t="shared" si="62"/>
        <v>123319.77397542591</v>
      </c>
      <c r="O44" s="529"/>
      <c r="P44" s="564">
        <f>IFERROR(((N44/I44)^(1/5))-1,0)</f>
        <v>2.9501032242708725E-2</v>
      </c>
      <c r="Q44" s="537"/>
      <c r="R44" s="527">
        <f t="shared" ref="R44:AW44" si="65">R352</f>
        <v>9198.3775317627242</v>
      </c>
      <c r="S44" s="527">
        <f t="shared" si="65"/>
        <v>9198.3775317627242</v>
      </c>
      <c r="T44" s="527">
        <f t="shared" si="65"/>
        <v>9198.3775317627242</v>
      </c>
      <c r="U44" s="527">
        <f t="shared" si="65"/>
        <v>9198.3775317627242</v>
      </c>
      <c r="V44" s="527">
        <f t="shared" si="65"/>
        <v>9198.3775317627242</v>
      </c>
      <c r="W44" s="527">
        <f t="shared" si="65"/>
        <v>9198.3775317627242</v>
      </c>
      <c r="X44" s="527">
        <f t="shared" si="65"/>
        <v>9198.3775317627242</v>
      </c>
      <c r="Y44" s="527">
        <f t="shared" si="65"/>
        <v>9198.3775317627242</v>
      </c>
      <c r="Z44" s="527">
        <f t="shared" si="65"/>
        <v>9198.3775317627242</v>
      </c>
      <c r="AA44" s="527">
        <f t="shared" si="65"/>
        <v>9198.3775317627242</v>
      </c>
      <c r="AB44" s="527">
        <f t="shared" si="65"/>
        <v>9198.3775317627242</v>
      </c>
      <c r="AC44" s="527">
        <f t="shared" si="65"/>
        <v>9198.3775317627242</v>
      </c>
      <c r="AD44" s="527">
        <f t="shared" si="65"/>
        <v>9503.7409848863481</v>
      </c>
      <c r="AE44" s="527">
        <f t="shared" si="65"/>
        <v>9503.7409848863481</v>
      </c>
      <c r="AF44" s="527">
        <f t="shared" si="65"/>
        <v>9503.7409848863481</v>
      </c>
      <c r="AG44" s="527">
        <f t="shared" si="65"/>
        <v>9503.7409848863481</v>
      </c>
      <c r="AH44" s="527">
        <f t="shared" si="65"/>
        <v>9503.7409848863481</v>
      </c>
      <c r="AI44" s="527">
        <f t="shared" si="65"/>
        <v>9503.7409848863481</v>
      </c>
      <c r="AJ44" s="527">
        <f t="shared" si="65"/>
        <v>9503.7409848863481</v>
      </c>
      <c r="AK44" s="527">
        <f t="shared" si="65"/>
        <v>9503.7409848863481</v>
      </c>
      <c r="AL44" s="527">
        <f t="shared" si="65"/>
        <v>9503.7409848863481</v>
      </c>
      <c r="AM44" s="527">
        <f t="shared" si="65"/>
        <v>9503.7409848863481</v>
      </c>
      <c r="AN44" s="527">
        <f t="shared" si="65"/>
        <v>9503.7409848863481</v>
      </c>
      <c r="AO44" s="527">
        <f t="shared" si="65"/>
        <v>9503.7409848863481</v>
      </c>
      <c r="AP44" s="527">
        <f t="shared" si="65"/>
        <v>9806.4312296079988</v>
      </c>
      <c r="AQ44" s="527">
        <f t="shared" si="65"/>
        <v>9806.4312296079988</v>
      </c>
      <c r="AR44" s="527">
        <f t="shared" si="65"/>
        <v>9806.4312296079988</v>
      </c>
      <c r="AS44" s="527">
        <f t="shared" si="65"/>
        <v>9806.4312296079988</v>
      </c>
      <c r="AT44" s="527">
        <f t="shared" si="65"/>
        <v>9806.4312296079988</v>
      </c>
      <c r="AU44" s="527">
        <f t="shared" si="65"/>
        <v>9806.4312296079988</v>
      </c>
      <c r="AV44" s="527">
        <f t="shared" si="65"/>
        <v>9806.4312296079988</v>
      </c>
      <c r="AW44" s="527">
        <f t="shared" si="65"/>
        <v>9806.4312296079988</v>
      </c>
      <c r="AX44" s="527">
        <f t="shared" ref="AX44:BY44" si="66">AX352</f>
        <v>9806.4312296079988</v>
      </c>
      <c r="AY44" s="527">
        <f t="shared" si="66"/>
        <v>9806.4312296079988</v>
      </c>
      <c r="AZ44" s="527">
        <f t="shared" si="66"/>
        <v>9806.4312296079988</v>
      </c>
      <c r="BA44" s="527">
        <f t="shared" si="66"/>
        <v>9806.4312296079988</v>
      </c>
      <c r="BB44" s="527">
        <f t="shared" si="66"/>
        <v>10059.138932354763</v>
      </c>
      <c r="BC44" s="527">
        <f t="shared" si="66"/>
        <v>10059.138932354763</v>
      </c>
      <c r="BD44" s="527">
        <f t="shared" si="66"/>
        <v>10059.138932354763</v>
      </c>
      <c r="BE44" s="527">
        <f t="shared" si="66"/>
        <v>10059.138932354763</v>
      </c>
      <c r="BF44" s="527">
        <f t="shared" si="66"/>
        <v>10059.138932354763</v>
      </c>
      <c r="BG44" s="527">
        <f t="shared" si="66"/>
        <v>10059.138932354763</v>
      </c>
      <c r="BH44" s="527">
        <f t="shared" si="66"/>
        <v>10059.138932354763</v>
      </c>
      <c r="BI44" s="527">
        <f t="shared" si="66"/>
        <v>10059.138932354763</v>
      </c>
      <c r="BJ44" s="527">
        <f t="shared" si="66"/>
        <v>10059.138932354763</v>
      </c>
      <c r="BK44" s="527">
        <f t="shared" si="66"/>
        <v>10059.138932354763</v>
      </c>
      <c r="BL44" s="527">
        <f t="shared" si="66"/>
        <v>10059.138932354763</v>
      </c>
      <c r="BM44" s="527">
        <f t="shared" si="66"/>
        <v>10059.138932354763</v>
      </c>
      <c r="BN44" s="527">
        <f t="shared" si="66"/>
        <v>10276.647831285494</v>
      </c>
      <c r="BO44" s="527">
        <f t="shared" si="66"/>
        <v>10276.647831285494</v>
      </c>
      <c r="BP44" s="527">
        <f t="shared" si="66"/>
        <v>10276.647831285494</v>
      </c>
      <c r="BQ44" s="527">
        <f t="shared" si="66"/>
        <v>10276.647831285494</v>
      </c>
      <c r="BR44" s="527">
        <f t="shared" si="66"/>
        <v>10276.647831285494</v>
      </c>
      <c r="BS44" s="527">
        <f t="shared" si="66"/>
        <v>10276.647831285494</v>
      </c>
      <c r="BT44" s="527">
        <f t="shared" si="66"/>
        <v>10276.647831285494</v>
      </c>
      <c r="BU44" s="527">
        <f t="shared" si="66"/>
        <v>10276.647831285494</v>
      </c>
      <c r="BV44" s="527">
        <f t="shared" si="66"/>
        <v>10276.647831285494</v>
      </c>
      <c r="BW44" s="527">
        <f t="shared" si="66"/>
        <v>10276.647831285494</v>
      </c>
      <c r="BX44" s="527">
        <f t="shared" si="66"/>
        <v>10276.647831285494</v>
      </c>
      <c r="BY44" s="527">
        <f t="shared" si="66"/>
        <v>10276.647831285494</v>
      </c>
      <c r="BZ44" s="537"/>
      <c r="CA44" s="537"/>
      <c r="CB44" s="574"/>
    </row>
    <row r="45" spans="1:80" x14ac:dyDescent="0.3">
      <c r="A45" s="551"/>
      <c r="B45" s="548"/>
      <c r="C45" s="525"/>
      <c r="D45" s="525"/>
      <c r="E45" s="572" t="s">
        <v>26</v>
      </c>
      <c r="F45" s="573"/>
      <c r="G45" s="573"/>
      <c r="H45" s="573"/>
      <c r="I45" s="532">
        <f>I535</f>
        <v>1540689.2093075386</v>
      </c>
      <c r="J45" s="532">
        <f t="shared" si="62"/>
        <v>1604889.7630277714</v>
      </c>
      <c r="K45" s="532">
        <f t="shared" si="62"/>
        <v>1681647.2330042664</v>
      </c>
      <c r="L45" s="532">
        <f t="shared" si="62"/>
        <v>1759972.708641415</v>
      </c>
      <c r="M45" s="532">
        <f t="shared" si="62"/>
        <v>1836540.5512985592</v>
      </c>
      <c r="N45" s="532">
        <f t="shared" si="62"/>
        <v>1913974.779844892</v>
      </c>
      <c r="O45" s="536"/>
      <c r="P45" s="568">
        <f>IFERROR(((N45/I45)^(1/5))-1,0)</f>
        <v>4.434558237793218E-2</v>
      </c>
      <c r="Q45" s="537"/>
      <c r="R45" s="532">
        <f t="shared" ref="R45:AW45" si="67">SUM(R43:R44)</f>
        <v>132377.0317103781</v>
      </c>
      <c r="S45" s="530">
        <f t="shared" si="67"/>
        <v>132377.0317103781</v>
      </c>
      <c r="T45" s="532">
        <f t="shared" si="67"/>
        <v>132377.0317103781</v>
      </c>
      <c r="U45" s="532">
        <f t="shared" si="67"/>
        <v>132377.0317103781</v>
      </c>
      <c r="V45" s="532">
        <f t="shared" si="67"/>
        <v>132377.0317103781</v>
      </c>
      <c r="W45" s="532">
        <f t="shared" si="67"/>
        <v>132377.0317103781</v>
      </c>
      <c r="X45" s="532">
        <f t="shared" si="67"/>
        <v>135104.59546091719</v>
      </c>
      <c r="Y45" s="532">
        <f t="shared" si="67"/>
        <v>135104.59546091719</v>
      </c>
      <c r="Z45" s="532">
        <f t="shared" si="67"/>
        <v>135104.59546091719</v>
      </c>
      <c r="AA45" s="532">
        <f t="shared" si="67"/>
        <v>135104.59546091719</v>
      </c>
      <c r="AB45" s="532">
        <f t="shared" si="67"/>
        <v>135104.59546091719</v>
      </c>
      <c r="AC45" s="532">
        <f t="shared" si="67"/>
        <v>135104.59546091719</v>
      </c>
      <c r="AD45" s="532">
        <f t="shared" si="67"/>
        <v>138383.24351356845</v>
      </c>
      <c r="AE45" s="532">
        <f t="shared" si="67"/>
        <v>138383.24351356845</v>
      </c>
      <c r="AF45" s="532">
        <f t="shared" si="67"/>
        <v>138383.24351356845</v>
      </c>
      <c r="AG45" s="532">
        <f t="shared" si="67"/>
        <v>138383.24351356845</v>
      </c>
      <c r="AH45" s="532">
        <f t="shared" si="67"/>
        <v>138383.24351356845</v>
      </c>
      <c r="AI45" s="532">
        <f t="shared" si="67"/>
        <v>138383.24351356845</v>
      </c>
      <c r="AJ45" s="532">
        <f t="shared" si="67"/>
        <v>141891.29532047606</v>
      </c>
      <c r="AK45" s="532">
        <f t="shared" si="67"/>
        <v>141891.29532047606</v>
      </c>
      <c r="AL45" s="532">
        <f t="shared" si="67"/>
        <v>141891.29532047606</v>
      </c>
      <c r="AM45" s="532">
        <f t="shared" si="67"/>
        <v>141891.29532047606</v>
      </c>
      <c r="AN45" s="532">
        <f t="shared" si="67"/>
        <v>141891.29532047606</v>
      </c>
      <c r="AO45" s="532">
        <f t="shared" si="67"/>
        <v>141891.29532047606</v>
      </c>
      <c r="AP45" s="532">
        <f t="shared" si="67"/>
        <v>144493.98941573547</v>
      </c>
      <c r="AQ45" s="532">
        <f t="shared" si="67"/>
        <v>144493.98941573547</v>
      </c>
      <c r="AR45" s="532">
        <f t="shared" si="67"/>
        <v>144493.98941573547</v>
      </c>
      <c r="AS45" s="532">
        <f t="shared" si="67"/>
        <v>144493.98941573547</v>
      </c>
      <c r="AT45" s="532">
        <f t="shared" si="67"/>
        <v>144493.98941573547</v>
      </c>
      <c r="AU45" s="532">
        <f t="shared" si="67"/>
        <v>144493.98941573547</v>
      </c>
      <c r="AV45" s="532">
        <f t="shared" si="67"/>
        <v>148834.79535783373</v>
      </c>
      <c r="AW45" s="532">
        <f t="shared" si="67"/>
        <v>148834.79535783373</v>
      </c>
      <c r="AX45" s="532">
        <f t="shared" ref="AX45:BY45" si="68">SUM(AX43:AX44)</f>
        <v>148834.79535783373</v>
      </c>
      <c r="AY45" s="532">
        <f t="shared" si="68"/>
        <v>148834.79535783373</v>
      </c>
      <c r="AZ45" s="532">
        <f t="shared" si="68"/>
        <v>148834.79535783373</v>
      </c>
      <c r="BA45" s="532">
        <f t="shared" si="68"/>
        <v>148834.79535783373</v>
      </c>
      <c r="BB45" s="532">
        <f t="shared" si="68"/>
        <v>150431.60270464572</v>
      </c>
      <c r="BC45" s="532">
        <f t="shared" si="68"/>
        <v>150431.60270464572</v>
      </c>
      <c r="BD45" s="532">
        <f t="shared" si="68"/>
        <v>150431.60270464572</v>
      </c>
      <c r="BE45" s="532">
        <f t="shared" si="68"/>
        <v>150431.60270464572</v>
      </c>
      <c r="BF45" s="532">
        <f t="shared" si="68"/>
        <v>150431.60270464572</v>
      </c>
      <c r="BG45" s="532">
        <f t="shared" si="68"/>
        <v>150431.60270464572</v>
      </c>
      <c r="BH45" s="532">
        <f t="shared" si="68"/>
        <v>155658.4891784474</v>
      </c>
      <c r="BI45" s="532">
        <f t="shared" si="68"/>
        <v>155658.4891784474</v>
      </c>
      <c r="BJ45" s="532">
        <f t="shared" si="68"/>
        <v>155658.4891784474</v>
      </c>
      <c r="BK45" s="532">
        <f t="shared" si="68"/>
        <v>155658.4891784474</v>
      </c>
      <c r="BL45" s="532">
        <f t="shared" si="68"/>
        <v>155658.4891784474</v>
      </c>
      <c r="BM45" s="532">
        <f t="shared" si="68"/>
        <v>155658.4891784474</v>
      </c>
      <c r="BN45" s="532">
        <f t="shared" si="68"/>
        <v>156413.60934666276</v>
      </c>
      <c r="BO45" s="532">
        <f t="shared" si="68"/>
        <v>156413.60934666276</v>
      </c>
      <c r="BP45" s="532">
        <f t="shared" si="68"/>
        <v>156413.60934666276</v>
      </c>
      <c r="BQ45" s="532">
        <f t="shared" si="68"/>
        <v>156413.60934666276</v>
      </c>
      <c r="BR45" s="532">
        <f t="shared" si="68"/>
        <v>156413.60934666276</v>
      </c>
      <c r="BS45" s="532">
        <f t="shared" si="68"/>
        <v>156413.60934666276</v>
      </c>
      <c r="BT45" s="532">
        <f t="shared" si="68"/>
        <v>162582.18729415265</v>
      </c>
      <c r="BU45" s="532">
        <f t="shared" si="68"/>
        <v>162582.18729415265</v>
      </c>
      <c r="BV45" s="532">
        <f t="shared" si="68"/>
        <v>162582.18729415265</v>
      </c>
      <c r="BW45" s="532">
        <f t="shared" si="68"/>
        <v>162582.18729415265</v>
      </c>
      <c r="BX45" s="532">
        <f t="shared" si="68"/>
        <v>162582.18729415265</v>
      </c>
      <c r="BY45" s="532">
        <f t="shared" si="68"/>
        <v>162582.18729415265</v>
      </c>
      <c r="BZ45" s="537"/>
      <c r="CA45" s="537"/>
      <c r="CB45" s="574"/>
    </row>
    <row r="46" spans="1:80" x14ac:dyDescent="0.3">
      <c r="A46" s="551"/>
      <c r="B46" s="548"/>
      <c r="C46" s="525"/>
      <c r="D46" s="525"/>
      <c r="E46" s="525"/>
      <c r="F46" s="529"/>
      <c r="G46" s="529"/>
      <c r="H46" s="529"/>
      <c r="I46" s="529"/>
      <c r="J46" s="529"/>
      <c r="K46" s="529"/>
      <c r="L46" s="529"/>
      <c r="M46" s="529"/>
      <c r="N46" s="529"/>
      <c r="O46" s="529"/>
      <c r="P46" s="562"/>
      <c r="Q46" s="537"/>
      <c r="R46" s="529"/>
      <c r="S46" s="529"/>
      <c r="T46" s="529"/>
      <c r="U46" s="529"/>
      <c r="V46" s="529"/>
      <c r="W46" s="529"/>
      <c r="X46" s="529"/>
      <c r="Y46" s="529"/>
      <c r="Z46" s="529"/>
      <c r="AA46" s="529"/>
      <c r="AB46" s="529"/>
      <c r="AC46" s="529"/>
      <c r="AD46" s="529"/>
      <c r="AE46" s="529"/>
      <c r="AF46" s="529"/>
      <c r="AG46" s="529"/>
      <c r="AH46" s="529"/>
      <c r="AI46" s="529"/>
      <c r="AJ46" s="529"/>
      <c r="AK46" s="529"/>
      <c r="AL46" s="529"/>
      <c r="AM46" s="529"/>
      <c r="AN46" s="529"/>
      <c r="AO46" s="529"/>
      <c r="AP46" s="529"/>
      <c r="AQ46" s="529"/>
      <c r="AR46" s="529"/>
      <c r="AS46" s="529"/>
      <c r="AT46" s="529"/>
      <c r="AU46" s="529"/>
      <c r="AV46" s="529"/>
      <c r="AW46" s="529"/>
      <c r="AX46" s="529"/>
      <c r="AY46" s="529"/>
      <c r="AZ46" s="529"/>
      <c r="BA46" s="529"/>
      <c r="BB46" s="529"/>
      <c r="BC46" s="529"/>
      <c r="BD46" s="529"/>
      <c r="BE46" s="529"/>
      <c r="BF46" s="529"/>
      <c r="BG46" s="529"/>
      <c r="BH46" s="529"/>
      <c r="BI46" s="529"/>
      <c r="BJ46" s="529"/>
      <c r="BK46" s="529"/>
      <c r="BL46" s="529"/>
      <c r="BM46" s="529"/>
      <c r="BN46" s="529"/>
      <c r="BO46" s="529"/>
      <c r="BP46" s="529"/>
      <c r="BQ46" s="529"/>
      <c r="BR46" s="529"/>
      <c r="BS46" s="529"/>
      <c r="BT46" s="529"/>
      <c r="BU46" s="529"/>
      <c r="BV46" s="529"/>
      <c r="BW46" s="529"/>
      <c r="BX46" s="529"/>
      <c r="BY46" s="529"/>
      <c r="BZ46" s="537"/>
      <c r="CA46" s="537"/>
      <c r="CB46" s="537"/>
    </row>
    <row r="47" spans="1:80" x14ac:dyDescent="0.3">
      <c r="A47" s="551"/>
      <c r="B47" s="548"/>
      <c r="C47" s="525"/>
      <c r="D47" s="525"/>
      <c r="E47" s="570" t="s">
        <v>27</v>
      </c>
      <c r="F47" s="529"/>
      <c r="G47" s="529"/>
      <c r="H47" s="529"/>
      <c r="I47" s="529"/>
      <c r="J47" s="529"/>
      <c r="K47" s="529"/>
      <c r="L47" s="529"/>
      <c r="M47" s="529"/>
      <c r="N47" s="529"/>
      <c r="O47" s="529"/>
      <c r="P47" s="562"/>
      <c r="Q47" s="537"/>
      <c r="R47" s="529"/>
      <c r="S47" s="529"/>
      <c r="T47" s="529"/>
      <c r="U47" s="529"/>
      <c r="V47" s="529"/>
      <c r="W47" s="529"/>
      <c r="X47" s="529"/>
      <c r="Y47" s="529"/>
      <c r="Z47" s="529"/>
      <c r="AA47" s="529"/>
      <c r="AB47" s="529"/>
      <c r="AC47" s="529"/>
      <c r="AD47" s="529"/>
      <c r="AE47" s="529"/>
      <c r="AF47" s="529"/>
      <c r="AG47" s="529"/>
      <c r="AH47" s="529"/>
      <c r="AI47" s="529"/>
      <c r="AJ47" s="529"/>
      <c r="AK47" s="529"/>
      <c r="AL47" s="529"/>
      <c r="AM47" s="529"/>
      <c r="AN47" s="529"/>
      <c r="AO47" s="529"/>
      <c r="AP47" s="529"/>
      <c r="AQ47" s="529"/>
      <c r="AR47" s="529"/>
      <c r="AS47" s="529"/>
      <c r="AT47" s="529"/>
      <c r="AU47" s="529"/>
      <c r="AV47" s="529"/>
      <c r="AW47" s="529"/>
      <c r="AX47" s="529"/>
      <c r="AY47" s="529"/>
      <c r="AZ47" s="529"/>
      <c r="BA47" s="529"/>
      <c r="BB47" s="529"/>
      <c r="BC47" s="529"/>
      <c r="BD47" s="529"/>
      <c r="BE47" s="529"/>
      <c r="BF47" s="529"/>
      <c r="BG47" s="529"/>
      <c r="BH47" s="529"/>
      <c r="BI47" s="529"/>
      <c r="BJ47" s="529"/>
      <c r="BK47" s="529"/>
      <c r="BL47" s="529"/>
      <c r="BM47" s="529"/>
      <c r="BN47" s="529"/>
      <c r="BO47" s="529"/>
      <c r="BP47" s="529"/>
      <c r="BQ47" s="529"/>
      <c r="BR47" s="529"/>
      <c r="BS47" s="529"/>
      <c r="BT47" s="529"/>
      <c r="BU47" s="529"/>
      <c r="BV47" s="529"/>
      <c r="BW47" s="529"/>
      <c r="BX47" s="529"/>
      <c r="BY47" s="529"/>
      <c r="BZ47" s="537"/>
      <c r="CA47" s="537"/>
      <c r="CB47" s="537"/>
    </row>
    <row r="48" spans="1:80" x14ac:dyDescent="0.3">
      <c r="A48" s="551"/>
      <c r="B48" s="548"/>
      <c r="C48" s="525"/>
      <c r="D48" s="525"/>
      <c r="E48" s="525" t="s">
        <v>28</v>
      </c>
      <c r="F48" s="567"/>
      <c r="G48" s="567"/>
      <c r="H48" s="567"/>
      <c r="I48" s="527">
        <f>I538</f>
        <v>10040.279999999999</v>
      </c>
      <c r="J48" s="527">
        <f t="shared" ref="J48:N52" si="69">SUMIF($R$2:$BY$2,J$3,$R48:$BY48)</f>
        <v>10040.279999999999</v>
      </c>
      <c r="K48" s="527">
        <f t="shared" si="69"/>
        <v>10040.279999999999</v>
      </c>
      <c r="L48" s="527">
        <f t="shared" si="69"/>
        <v>10040.279999999999</v>
      </c>
      <c r="M48" s="527">
        <f t="shared" si="69"/>
        <v>10040.279999999999</v>
      </c>
      <c r="N48" s="527">
        <f t="shared" si="69"/>
        <v>10040.279999999999</v>
      </c>
      <c r="O48" s="529"/>
      <c r="P48" s="564">
        <f>IFERROR(((N48/I48)^(1/5))-1,0)</f>
        <v>0</v>
      </c>
      <c r="Q48" s="537"/>
      <c r="R48" s="527">
        <f t="shared" ref="R48:AW48" si="70">R364</f>
        <v>836.68999999999994</v>
      </c>
      <c r="S48" s="527">
        <f t="shared" si="70"/>
        <v>836.68999999999994</v>
      </c>
      <c r="T48" s="527">
        <f t="shared" si="70"/>
        <v>836.68999999999994</v>
      </c>
      <c r="U48" s="527">
        <f t="shared" si="70"/>
        <v>836.68999999999994</v>
      </c>
      <c r="V48" s="527">
        <f t="shared" si="70"/>
        <v>836.68999999999994</v>
      </c>
      <c r="W48" s="527">
        <f t="shared" si="70"/>
        <v>836.68999999999994</v>
      </c>
      <c r="X48" s="527">
        <f t="shared" si="70"/>
        <v>836.68999999999994</v>
      </c>
      <c r="Y48" s="527">
        <f t="shared" si="70"/>
        <v>836.68999999999994</v>
      </c>
      <c r="Z48" s="527">
        <f t="shared" si="70"/>
        <v>836.68999999999994</v>
      </c>
      <c r="AA48" s="527">
        <f t="shared" si="70"/>
        <v>836.68999999999994</v>
      </c>
      <c r="AB48" s="527">
        <f t="shared" si="70"/>
        <v>836.68999999999994</v>
      </c>
      <c r="AC48" s="527">
        <f t="shared" si="70"/>
        <v>836.68999999999994</v>
      </c>
      <c r="AD48" s="527">
        <f t="shared" si="70"/>
        <v>836.68999999999994</v>
      </c>
      <c r="AE48" s="527">
        <f t="shared" si="70"/>
        <v>836.68999999999994</v>
      </c>
      <c r="AF48" s="527">
        <f t="shared" si="70"/>
        <v>836.68999999999994</v>
      </c>
      <c r="AG48" s="527">
        <f t="shared" si="70"/>
        <v>836.68999999999994</v>
      </c>
      <c r="AH48" s="527">
        <f t="shared" si="70"/>
        <v>836.68999999999994</v>
      </c>
      <c r="AI48" s="527">
        <f t="shared" si="70"/>
        <v>836.68999999999994</v>
      </c>
      <c r="AJ48" s="527">
        <f t="shared" si="70"/>
        <v>836.68999999999994</v>
      </c>
      <c r="AK48" s="527">
        <f t="shared" si="70"/>
        <v>836.68999999999994</v>
      </c>
      <c r="AL48" s="527">
        <f t="shared" si="70"/>
        <v>836.68999999999994</v>
      </c>
      <c r="AM48" s="527">
        <f t="shared" si="70"/>
        <v>836.68999999999994</v>
      </c>
      <c r="AN48" s="527">
        <f t="shared" si="70"/>
        <v>836.68999999999994</v>
      </c>
      <c r="AO48" s="527">
        <f t="shared" si="70"/>
        <v>836.68999999999994</v>
      </c>
      <c r="AP48" s="527">
        <f t="shared" si="70"/>
        <v>836.68999999999994</v>
      </c>
      <c r="AQ48" s="527">
        <f t="shared" si="70"/>
        <v>836.68999999999994</v>
      </c>
      <c r="AR48" s="527">
        <f t="shared" si="70"/>
        <v>836.68999999999994</v>
      </c>
      <c r="AS48" s="527">
        <f t="shared" si="70"/>
        <v>836.68999999999994</v>
      </c>
      <c r="AT48" s="527">
        <f t="shared" si="70"/>
        <v>836.68999999999994</v>
      </c>
      <c r="AU48" s="527">
        <f t="shared" si="70"/>
        <v>836.68999999999994</v>
      </c>
      <c r="AV48" s="527">
        <f t="shared" si="70"/>
        <v>836.68999999999994</v>
      </c>
      <c r="AW48" s="527">
        <f t="shared" si="70"/>
        <v>836.68999999999994</v>
      </c>
      <c r="AX48" s="527">
        <f t="shared" ref="AX48:BY48" si="71">AX364</f>
        <v>836.68999999999994</v>
      </c>
      <c r="AY48" s="527">
        <f t="shared" si="71"/>
        <v>836.68999999999994</v>
      </c>
      <c r="AZ48" s="527">
        <f t="shared" si="71"/>
        <v>836.68999999999994</v>
      </c>
      <c r="BA48" s="527">
        <f t="shared" si="71"/>
        <v>836.68999999999994</v>
      </c>
      <c r="BB48" s="527">
        <f t="shared" si="71"/>
        <v>836.68999999999994</v>
      </c>
      <c r="BC48" s="527">
        <f t="shared" si="71"/>
        <v>836.68999999999994</v>
      </c>
      <c r="BD48" s="527">
        <f t="shared" si="71"/>
        <v>836.68999999999994</v>
      </c>
      <c r="BE48" s="527">
        <f t="shared" si="71"/>
        <v>836.68999999999994</v>
      </c>
      <c r="BF48" s="527">
        <f t="shared" si="71"/>
        <v>836.68999999999994</v>
      </c>
      <c r="BG48" s="527">
        <f t="shared" si="71"/>
        <v>836.68999999999994</v>
      </c>
      <c r="BH48" s="527">
        <f t="shared" si="71"/>
        <v>836.68999999999994</v>
      </c>
      <c r="BI48" s="527">
        <f t="shared" si="71"/>
        <v>836.68999999999994</v>
      </c>
      <c r="BJ48" s="527">
        <f t="shared" si="71"/>
        <v>836.68999999999994</v>
      </c>
      <c r="BK48" s="527">
        <f t="shared" si="71"/>
        <v>836.68999999999994</v>
      </c>
      <c r="BL48" s="527">
        <f t="shared" si="71"/>
        <v>836.68999999999994</v>
      </c>
      <c r="BM48" s="527">
        <f t="shared" si="71"/>
        <v>836.68999999999994</v>
      </c>
      <c r="BN48" s="527">
        <f t="shared" si="71"/>
        <v>836.68999999999994</v>
      </c>
      <c r="BO48" s="527">
        <f t="shared" si="71"/>
        <v>836.68999999999994</v>
      </c>
      <c r="BP48" s="527">
        <f t="shared" si="71"/>
        <v>836.68999999999994</v>
      </c>
      <c r="BQ48" s="527">
        <f t="shared" si="71"/>
        <v>836.68999999999994</v>
      </c>
      <c r="BR48" s="527">
        <f t="shared" si="71"/>
        <v>836.68999999999994</v>
      </c>
      <c r="BS48" s="527">
        <f t="shared" si="71"/>
        <v>836.68999999999994</v>
      </c>
      <c r="BT48" s="527">
        <f t="shared" si="71"/>
        <v>836.68999999999994</v>
      </c>
      <c r="BU48" s="527">
        <f t="shared" si="71"/>
        <v>836.68999999999994</v>
      </c>
      <c r="BV48" s="527">
        <f t="shared" si="71"/>
        <v>836.68999999999994</v>
      </c>
      <c r="BW48" s="527">
        <f t="shared" si="71"/>
        <v>836.68999999999994</v>
      </c>
      <c r="BX48" s="527">
        <f t="shared" si="71"/>
        <v>836.68999999999994</v>
      </c>
      <c r="BY48" s="527">
        <f t="shared" si="71"/>
        <v>836.68999999999994</v>
      </c>
      <c r="BZ48" s="537"/>
      <c r="CA48" s="537"/>
      <c r="CB48" s="574"/>
    </row>
    <row r="49" spans="1:80" x14ac:dyDescent="0.3">
      <c r="A49" s="551"/>
      <c r="B49" s="548"/>
      <c r="C49" s="525"/>
      <c r="D49" s="525"/>
      <c r="E49" s="525" t="s">
        <v>29</v>
      </c>
      <c r="F49" s="567"/>
      <c r="G49" s="567"/>
      <c r="H49" s="567"/>
      <c r="I49" s="527">
        <f>I539</f>
        <v>5839.1505606981982</v>
      </c>
      <c r="J49" s="527">
        <f t="shared" si="69"/>
        <v>5839.1505606981964</v>
      </c>
      <c r="K49" s="527">
        <f t="shared" si="69"/>
        <v>5839.1505606981964</v>
      </c>
      <c r="L49" s="527">
        <f t="shared" si="69"/>
        <v>5839.1505606981964</v>
      </c>
      <c r="M49" s="527">
        <f t="shared" si="69"/>
        <v>5839.1505606981964</v>
      </c>
      <c r="N49" s="527">
        <f t="shared" si="69"/>
        <v>5839.1505606981964</v>
      </c>
      <c r="O49" s="529"/>
      <c r="P49" s="564">
        <f>IFERROR(((N49/I49)^(1/5))-1,0)</f>
        <v>-1.1102230246251565E-16</v>
      </c>
      <c r="Q49" s="537"/>
      <c r="R49" s="527">
        <f t="shared" ref="R49:AW49" si="72">R372</f>
        <v>486.59588005818318</v>
      </c>
      <c r="S49" s="527">
        <f t="shared" si="72"/>
        <v>486.59588005818318</v>
      </c>
      <c r="T49" s="527">
        <f t="shared" si="72"/>
        <v>486.59588005818318</v>
      </c>
      <c r="U49" s="527">
        <f t="shared" si="72"/>
        <v>486.59588005818318</v>
      </c>
      <c r="V49" s="527">
        <f t="shared" si="72"/>
        <v>486.59588005818318</v>
      </c>
      <c r="W49" s="527">
        <f t="shared" si="72"/>
        <v>486.59588005818318</v>
      </c>
      <c r="X49" s="527">
        <f t="shared" si="72"/>
        <v>486.59588005818318</v>
      </c>
      <c r="Y49" s="527">
        <f t="shared" si="72"/>
        <v>486.59588005818318</v>
      </c>
      <c r="Z49" s="527">
        <f t="shared" si="72"/>
        <v>486.59588005818318</v>
      </c>
      <c r="AA49" s="527">
        <f t="shared" si="72"/>
        <v>486.59588005818318</v>
      </c>
      <c r="AB49" s="527">
        <f t="shared" si="72"/>
        <v>486.59588005818318</v>
      </c>
      <c r="AC49" s="527">
        <f t="shared" si="72"/>
        <v>486.59588005818318</v>
      </c>
      <c r="AD49" s="527">
        <f t="shared" si="72"/>
        <v>486.59588005818318</v>
      </c>
      <c r="AE49" s="527">
        <f t="shared" si="72"/>
        <v>486.59588005818318</v>
      </c>
      <c r="AF49" s="527">
        <f t="shared" si="72"/>
        <v>486.59588005818318</v>
      </c>
      <c r="AG49" s="527">
        <f t="shared" si="72"/>
        <v>486.59588005818318</v>
      </c>
      <c r="AH49" s="527">
        <f t="shared" si="72"/>
        <v>486.59588005818318</v>
      </c>
      <c r="AI49" s="527">
        <f t="shared" si="72"/>
        <v>486.59588005818318</v>
      </c>
      <c r="AJ49" s="527">
        <f t="shared" si="72"/>
        <v>486.59588005818318</v>
      </c>
      <c r="AK49" s="527">
        <f t="shared" si="72"/>
        <v>486.59588005818318</v>
      </c>
      <c r="AL49" s="527">
        <f t="shared" si="72"/>
        <v>486.59588005818318</v>
      </c>
      <c r="AM49" s="527">
        <f t="shared" si="72"/>
        <v>486.59588005818318</v>
      </c>
      <c r="AN49" s="527">
        <f t="shared" si="72"/>
        <v>486.59588005818318</v>
      </c>
      <c r="AO49" s="527">
        <f t="shared" si="72"/>
        <v>486.59588005818318</v>
      </c>
      <c r="AP49" s="527">
        <f t="shared" si="72"/>
        <v>486.59588005818318</v>
      </c>
      <c r="AQ49" s="527">
        <f t="shared" si="72"/>
        <v>486.59588005818318</v>
      </c>
      <c r="AR49" s="527">
        <f t="shared" si="72"/>
        <v>486.59588005818318</v>
      </c>
      <c r="AS49" s="527">
        <f t="shared" si="72"/>
        <v>486.59588005818318</v>
      </c>
      <c r="AT49" s="527">
        <f t="shared" si="72"/>
        <v>486.59588005818318</v>
      </c>
      <c r="AU49" s="527">
        <f t="shared" si="72"/>
        <v>486.59588005818318</v>
      </c>
      <c r="AV49" s="527">
        <f t="shared" si="72"/>
        <v>486.59588005818318</v>
      </c>
      <c r="AW49" s="527">
        <f t="shared" si="72"/>
        <v>486.59588005818318</v>
      </c>
      <c r="AX49" s="527">
        <f t="shared" ref="AX49:BY49" si="73">AX372</f>
        <v>486.59588005818318</v>
      </c>
      <c r="AY49" s="527">
        <f t="shared" si="73"/>
        <v>486.59588005818318</v>
      </c>
      <c r="AZ49" s="527">
        <f t="shared" si="73"/>
        <v>486.59588005818318</v>
      </c>
      <c r="BA49" s="527">
        <f t="shared" si="73"/>
        <v>486.59588005818318</v>
      </c>
      <c r="BB49" s="527">
        <f t="shared" si="73"/>
        <v>486.59588005818318</v>
      </c>
      <c r="BC49" s="527">
        <f t="shared" si="73"/>
        <v>486.59588005818318</v>
      </c>
      <c r="BD49" s="527">
        <f t="shared" si="73"/>
        <v>486.59588005818318</v>
      </c>
      <c r="BE49" s="527">
        <f t="shared" si="73"/>
        <v>486.59588005818318</v>
      </c>
      <c r="BF49" s="527">
        <f t="shared" si="73"/>
        <v>486.59588005818318</v>
      </c>
      <c r="BG49" s="527">
        <f t="shared" si="73"/>
        <v>486.59588005818318</v>
      </c>
      <c r="BH49" s="527">
        <f t="shared" si="73"/>
        <v>486.59588005818318</v>
      </c>
      <c r="BI49" s="527">
        <f t="shared" si="73"/>
        <v>486.59588005818318</v>
      </c>
      <c r="BJ49" s="527">
        <f t="shared" si="73"/>
        <v>486.59588005818318</v>
      </c>
      <c r="BK49" s="527">
        <f t="shared" si="73"/>
        <v>486.59588005818318</v>
      </c>
      <c r="BL49" s="527">
        <f t="shared" si="73"/>
        <v>486.59588005818318</v>
      </c>
      <c r="BM49" s="527">
        <f t="shared" si="73"/>
        <v>486.59588005818318</v>
      </c>
      <c r="BN49" s="527">
        <f t="shared" si="73"/>
        <v>486.59588005818318</v>
      </c>
      <c r="BO49" s="527">
        <f t="shared" si="73"/>
        <v>486.59588005818318</v>
      </c>
      <c r="BP49" s="527">
        <f t="shared" si="73"/>
        <v>486.59588005818318</v>
      </c>
      <c r="BQ49" s="527">
        <f t="shared" si="73"/>
        <v>486.59588005818318</v>
      </c>
      <c r="BR49" s="527">
        <f t="shared" si="73"/>
        <v>486.59588005818318</v>
      </c>
      <c r="BS49" s="527">
        <f t="shared" si="73"/>
        <v>486.59588005818318</v>
      </c>
      <c r="BT49" s="527">
        <f t="shared" si="73"/>
        <v>486.59588005818318</v>
      </c>
      <c r="BU49" s="527">
        <f t="shared" si="73"/>
        <v>486.59588005818318</v>
      </c>
      <c r="BV49" s="527">
        <f t="shared" si="73"/>
        <v>486.59588005818318</v>
      </c>
      <c r="BW49" s="527">
        <f t="shared" si="73"/>
        <v>486.59588005818318</v>
      </c>
      <c r="BX49" s="527">
        <f t="shared" si="73"/>
        <v>486.59588005818318</v>
      </c>
      <c r="BY49" s="527">
        <f t="shared" si="73"/>
        <v>486.59588005818318</v>
      </c>
      <c r="BZ49" s="537"/>
      <c r="CA49" s="537"/>
      <c r="CB49" s="574"/>
    </row>
    <row r="50" spans="1:80" x14ac:dyDescent="0.3">
      <c r="A50" s="551"/>
      <c r="B50" s="548"/>
      <c r="C50" s="525"/>
      <c r="D50" s="525"/>
      <c r="E50" s="525" t="s">
        <v>30</v>
      </c>
      <c r="F50" s="567"/>
      <c r="G50" s="567"/>
      <c r="H50" s="567"/>
      <c r="I50" s="527">
        <f>I540</f>
        <v>24935.929999999997</v>
      </c>
      <c r="J50" s="527">
        <f t="shared" si="69"/>
        <v>24935.930000000004</v>
      </c>
      <c r="K50" s="527">
        <f t="shared" si="69"/>
        <v>24935.930000000004</v>
      </c>
      <c r="L50" s="527">
        <f t="shared" si="69"/>
        <v>24935.930000000004</v>
      </c>
      <c r="M50" s="527">
        <f t="shared" si="69"/>
        <v>24935.930000000004</v>
      </c>
      <c r="N50" s="527">
        <f t="shared" si="69"/>
        <v>24935.930000000004</v>
      </c>
      <c r="O50" s="529"/>
      <c r="P50" s="564">
        <f>IFERROR(((N50/I50)^(1/5))-1,0)</f>
        <v>0</v>
      </c>
      <c r="Q50" s="537"/>
      <c r="R50" s="527">
        <f t="shared" ref="R50:AW50" si="74">R380</f>
        <v>2077.9941666666664</v>
      </c>
      <c r="S50" s="527">
        <f t="shared" si="74"/>
        <v>2077.9941666666664</v>
      </c>
      <c r="T50" s="527">
        <f t="shared" si="74"/>
        <v>2077.9941666666664</v>
      </c>
      <c r="U50" s="527">
        <f t="shared" si="74"/>
        <v>2077.9941666666664</v>
      </c>
      <c r="V50" s="527">
        <f t="shared" si="74"/>
        <v>2077.9941666666664</v>
      </c>
      <c r="W50" s="527">
        <f t="shared" si="74"/>
        <v>2077.9941666666664</v>
      </c>
      <c r="X50" s="527">
        <f t="shared" si="74"/>
        <v>2077.9941666666664</v>
      </c>
      <c r="Y50" s="527">
        <f t="shared" si="74"/>
        <v>2077.9941666666664</v>
      </c>
      <c r="Z50" s="527">
        <f t="shared" si="74"/>
        <v>2077.9941666666664</v>
      </c>
      <c r="AA50" s="527">
        <f t="shared" si="74"/>
        <v>2077.9941666666664</v>
      </c>
      <c r="AB50" s="527">
        <f t="shared" si="74"/>
        <v>2077.9941666666664</v>
      </c>
      <c r="AC50" s="527">
        <f t="shared" si="74"/>
        <v>2077.9941666666664</v>
      </c>
      <c r="AD50" s="527">
        <f t="shared" si="74"/>
        <v>2077.9941666666664</v>
      </c>
      <c r="AE50" s="527">
        <f t="shared" si="74"/>
        <v>2077.9941666666664</v>
      </c>
      <c r="AF50" s="527">
        <f t="shared" si="74"/>
        <v>2077.9941666666664</v>
      </c>
      <c r="AG50" s="527">
        <f t="shared" si="74"/>
        <v>2077.9941666666664</v>
      </c>
      <c r="AH50" s="527">
        <f t="shared" si="74"/>
        <v>2077.9941666666664</v>
      </c>
      <c r="AI50" s="527">
        <f t="shared" si="74"/>
        <v>2077.9941666666664</v>
      </c>
      <c r="AJ50" s="527">
        <f t="shared" si="74"/>
        <v>2077.9941666666664</v>
      </c>
      <c r="AK50" s="527">
        <f t="shared" si="74"/>
        <v>2077.9941666666664</v>
      </c>
      <c r="AL50" s="527">
        <f t="shared" si="74"/>
        <v>2077.9941666666664</v>
      </c>
      <c r="AM50" s="527">
        <f t="shared" si="74"/>
        <v>2077.9941666666664</v>
      </c>
      <c r="AN50" s="527">
        <f t="shared" si="74"/>
        <v>2077.9941666666664</v>
      </c>
      <c r="AO50" s="527">
        <f t="shared" si="74"/>
        <v>2077.9941666666664</v>
      </c>
      <c r="AP50" s="527">
        <f t="shared" si="74"/>
        <v>2077.9941666666664</v>
      </c>
      <c r="AQ50" s="527">
        <f t="shared" si="74"/>
        <v>2077.9941666666664</v>
      </c>
      <c r="AR50" s="527">
        <f t="shared" si="74"/>
        <v>2077.9941666666664</v>
      </c>
      <c r="AS50" s="527">
        <f t="shared" si="74"/>
        <v>2077.9941666666664</v>
      </c>
      <c r="AT50" s="527">
        <f t="shared" si="74"/>
        <v>2077.9941666666664</v>
      </c>
      <c r="AU50" s="527">
        <f t="shared" si="74"/>
        <v>2077.9941666666664</v>
      </c>
      <c r="AV50" s="527">
        <f t="shared" si="74"/>
        <v>2077.9941666666664</v>
      </c>
      <c r="AW50" s="527">
        <f t="shared" si="74"/>
        <v>2077.9941666666664</v>
      </c>
      <c r="AX50" s="527">
        <f t="shared" ref="AX50:BY50" si="75">AX380</f>
        <v>2077.9941666666664</v>
      </c>
      <c r="AY50" s="527">
        <f t="shared" si="75"/>
        <v>2077.9941666666664</v>
      </c>
      <c r="AZ50" s="527">
        <f t="shared" si="75"/>
        <v>2077.9941666666664</v>
      </c>
      <c r="BA50" s="527">
        <f t="shared" si="75"/>
        <v>2077.9941666666664</v>
      </c>
      <c r="BB50" s="527">
        <f t="shared" si="75"/>
        <v>2077.9941666666664</v>
      </c>
      <c r="BC50" s="527">
        <f t="shared" si="75"/>
        <v>2077.9941666666664</v>
      </c>
      <c r="BD50" s="527">
        <f t="shared" si="75"/>
        <v>2077.9941666666664</v>
      </c>
      <c r="BE50" s="527">
        <f t="shared" si="75"/>
        <v>2077.9941666666664</v>
      </c>
      <c r="BF50" s="527">
        <f t="shared" si="75"/>
        <v>2077.9941666666664</v>
      </c>
      <c r="BG50" s="527">
        <f t="shared" si="75"/>
        <v>2077.9941666666664</v>
      </c>
      <c r="BH50" s="527">
        <f t="shared" si="75"/>
        <v>2077.9941666666664</v>
      </c>
      <c r="BI50" s="527">
        <f t="shared" si="75"/>
        <v>2077.9941666666664</v>
      </c>
      <c r="BJ50" s="527">
        <f t="shared" si="75"/>
        <v>2077.9941666666664</v>
      </c>
      <c r="BK50" s="527">
        <f t="shared" si="75"/>
        <v>2077.9941666666664</v>
      </c>
      <c r="BL50" s="527">
        <f t="shared" si="75"/>
        <v>2077.9941666666664</v>
      </c>
      <c r="BM50" s="527">
        <f t="shared" si="75"/>
        <v>2077.9941666666664</v>
      </c>
      <c r="BN50" s="527">
        <f t="shared" si="75"/>
        <v>2077.9941666666664</v>
      </c>
      <c r="BO50" s="527">
        <f t="shared" si="75"/>
        <v>2077.9941666666664</v>
      </c>
      <c r="BP50" s="527">
        <f t="shared" si="75"/>
        <v>2077.9941666666664</v>
      </c>
      <c r="BQ50" s="527">
        <f t="shared" si="75"/>
        <v>2077.9941666666664</v>
      </c>
      <c r="BR50" s="527">
        <f t="shared" si="75"/>
        <v>2077.9941666666664</v>
      </c>
      <c r="BS50" s="527">
        <f t="shared" si="75"/>
        <v>2077.9941666666664</v>
      </c>
      <c r="BT50" s="527">
        <f t="shared" si="75"/>
        <v>2077.9941666666664</v>
      </c>
      <c r="BU50" s="527">
        <f t="shared" si="75"/>
        <v>2077.9941666666664</v>
      </c>
      <c r="BV50" s="527">
        <f t="shared" si="75"/>
        <v>2077.9941666666664</v>
      </c>
      <c r="BW50" s="527">
        <f t="shared" si="75"/>
        <v>2077.9941666666664</v>
      </c>
      <c r="BX50" s="527">
        <f t="shared" si="75"/>
        <v>2077.9941666666664</v>
      </c>
      <c r="BY50" s="527">
        <f t="shared" si="75"/>
        <v>2077.9941666666664</v>
      </c>
      <c r="BZ50" s="537"/>
      <c r="CA50" s="537"/>
      <c r="CB50" s="574"/>
    </row>
    <row r="51" spans="1:80" x14ac:dyDescent="0.3">
      <c r="A51" s="551"/>
      <c r="B51" s="548"/>
      <c r="C51" s="525"/>
      <c r="D51" s="525"/>
      <c r="E51" s="525" t="s">
        <v>31</v>
      </c>
      <c r="F51" s="567"/>
      <c r="G51" s="567"/>
      <c r="H51" s="567"/>
      <c r="I51" s="527">
        <f>I541</f>
        <v>95262.168622615369</v>
      </c>
      <c r="J51" s="527">
        <f t="shared" si="69"/>
        <v>95262.168622615383</v>
      </c>
      <c r="K51" s="527">
        <f t="shared" si="69"/>
        <v>95262.168622615383</v>
      </c>
      <c r="L51" s="527">
        <f t="shared" si="69"/>
        <v>95262.168622615383</v>
      </c>
      <c r="M51" s="527">
        <f t="shared" si="69"/>
        <v>95262.168622615383</v>
      </c>
      <c r="N51" s="527">
        <f t="shared" si="69"/>
        <v>95262.168622615383</v>
      </c>
      <c r="O51" s="529"/>
      <c r="P51" s="564">
        <f>IFERROR(((N51/I51)^(1/5))-1,0)</f>
        <v>0</v>
      </c>
      <c r="Q51" s="537"/>
      <c r="R51" s="527">
        <f t="shared" ref="R51:AW51" si="76">R388</f>
        <v>7938.5140518846147</v>
      </c>
      <c r="S51" s="527">
        <f t="shared" si="76"/>
        <v>7938.5140518846147</v>
      </c>
      <c r="T51" s="527">
        <f t="shared" si="76"/>
        <v>7938.5140518846147</v>
      </c>
      <c r="U51" s="527">
        <f t="shared" si="76"/>
        <v>7938.5140518846147</v>
      </c>
      <c r="V51" s="527">
        <f t="shared" si="76"/>
        <v>7938.5140518846147</v>
      </c>
      <c r="W51" s="527">
        <f t="shared" si="76"/>
        <v>7938.5140518846147</v>
      </c>
      <c r="X51" s="527">
        <f t="shared" si="76"/>
        <v>7938.5140518846147</v>
      </c>
      <c r="Y51" s="527">
        <f t="shared" si="76"/>
        <v>7938.5140518846147</v>
      </c>
      <c r="Z51" s="527">
        <f t="shared" si="76"/>
        <v>7938.5140518846147</v>
      </c>
      <c r="AA51" s="527">
        <f t="shared" si="76"/>
        <v>7938.5140518846147</v>
      </c>
      <c r="AB51" s="527">
        <f t="shared" si="76"/>
        <v>7938.5140518846147</v>
      </c>
      <c r="AC51" s="527">
        <f t="shared" si="76"/>
        <v>7938.5140518846147</v>
      </c>
      <c r="AD51" s="527">
        <f t="shared" si="76"/>
        <v>7938.5140518846147</v>
      </c>
      <c r="AE51" s="527">
        <f t="shared" si="76"/>
        <v>7938.5140518846147</v>
      </c>
      <c r="AF51" s="527">
        <f t="shared" si="76"/>
        <v>7938.5140518846147</v>
      </c>
      <c r="AG51" s="527">
        <f t="shared" si="76"/>
        <v>7938.5140518846147</v>
      </c>
      <c r="AH51" s="527">
        <f t="shared" si="76"/>
        <v>7938.5140518846147</v>
      </c>
      <c r="AI51" s="527">
        <f t="shared" si="76"/>
        <v>7938.5140518846147</v>
      </c>
      <c r="AJ51" s="527">
        <f t="shared" si="76"/>
        <v>7938.5140518846147</v>
      </c>
      <c r="AK51" s="527">
        <f t="shared" si="76"/>
        <v>7938.5140518846147</v>
      </c>
      <c r="AL51" s="527">
        <f t="shared" si="76"/>
        <v>7938.5140518846147</v>
      </c>
      <c r="AM51" s="527">
        <f t="shared" si="76"/>
        <v>7938.5140518846147</v>
      </c>
      <c r="AN51" s="527">
        <f t="shared" si="76"/>
        <v>7938.5140518846147</v>
      </c>
      <c r="AO51" s="527">
        <f t="shared" si="76"/>
        <v>7938.5140518846147</v>
      </c>
      <c r="AP51" s="527">
        <f t="shared" si="76"/>
        <v>7938.5140518846147</v>
      </c>
      <c r="AQ51" s="527">
        <f t="shared" si="76"/>
        <v>7938.5140518846147</v>
      </c>
      <c r="AR51" s="527">
        <f t="shared" si="76"/>
        <v>7938.5140518846147</v>
      </c>
      <c r="AS51" s="527">
        <f t="shared" si="76"/>
        <v>7938.5140518846147</v>
      </c>
      <c r="AT51" s="527">
        <f t="shared" si="76"/>
        <v>7938.5140518846147</v>
      </c>
      <c r="AU51" s="527">
        <f t="shared" si="76"/>
        <v>7938.5140518846147</v>
      </c>
      <c r="AV51" s="527">
        <f t="shared" si="76"/>
        <v>7938.5140518846147</v>
      </c>
      <c r="AW51" s="527">
        <f t="shared" si="76"/>
        <v>7938.5140518846147</v>
      </c>
      <c r="AX51" s="527">
        <f t="shared" ref="AX51:BY51" si="77">AX388</f>
        <v>7938.5140518846147</v>
      </c>
      <c r="AY51" s="527">
        <f t="shared" si="77"/>
        <v>7938.5140518846147</v>
      </c>
      <c r="AZ51" s="527">
        <f t="shared" si="77"/>
        <v>7938.5140518846147</v>
      </c>
      <c r="BA51" s="527">
        <f t="shared" si="77"/>
        <v>7938.5140518846147</v>
      </c>
      <c r="BB51" s="527">
        <f t="shared" si="77"/>
        <v>7938.5140518846147</v>
      </c>
      <c r="BC51" s="527">
        <f t="shared" si="77"/>
        <v>7938.5140518846147</v>
      </c>
      <c r="BD51" s="527">
        <f t="shared" si="77"/>
        <v>7938.5140518846147</v>
      </c>
      <c r="BE51" s="527">
        <f t="shared" si="77"/>
        <v>7938.5140518846147</v>
      </c>
      <c r="BF51" s="527">
        <f t="shared" si="77"/>
        <v>7938.5140518846147</v>
      </c>
      <c r="BG51" s="527">
        <f t="shared" si="77"/>
        <v>7938.5140518846147</v>
      </c>
      <c r="BH51" s="527">
        <f t="shared" si="77"/>
        <v>7938.5140518846147</v>
      </c>
      <c r="BI51" s="527">
        <f t="shared" si="77"/>
        <v>7938.5140518846147</v>
      </c>
      <c r="BJ51" s="527">
        <f t="shared" si="77"/>
        <v>7938.5140518846147</v>
      </c>
      <c r="BK51" s="527">
        <f t="shared" si="77"/>
        <v>7938.5140518846147</v>
      </c>
      <c r="BL51" s="527">
        <f t="shared" si="77"/>
        <v>7938.5140518846147</v>
      </c>
      <c r="BM51" s="527">
        <f t="shared" si="77"/>
        <v>7938.5140518846147</v>
      </c>
      <c r="BN51" s="527">
        <f t="shared" si="77"/>
        <v>7938.5140518846147</v>
      </c>
      <c r="BO51" s="527">
        <f t="shared" si="77"/>
        <v>7938.5140518846147</v>
      </c>
      <c r="BP51" s="527">
        <f t="shared" si="77"/>
        <v>7938.5140518846147</v>
      </c>
      <c r="BQ51" s="527">
        <f t="shared" si="77"/>
        <v>7938.5140518846147</v>
      </c>
      <c r="BR51" s="527">
        <f t="shared" si="77"/>
        <v>7938.5140518846147</v>
      </c>
      <c r="BS51" s="527">
        <f t="shared" si="77"/>
        <v>7938.5140518846147</v>
      </c>
      <c r="BT51" s="527">
        <f t="shared" si="77"/>
        <v>7938.5140518846147</v>
      </c>
      <c r="BU51" s="527">
        <f t="shared" si="77"/>
        <v>7938.5140518846147</v>
      </c>
      <c r="BV51" s="527">
        <f t="shared" si="77"/>
        <v>7938.5140518846147</v>
      </c>
      <c r="BW51" s="527">
        <f t="shared" si="77"/>
        <v>7938.5140518846147</v>
      </c>
      <c r="BX51" s="527">
        <f t="shared" si="77"/>
        <v>7938.5140518846147</v>
      </c>
      <c r="BY51" s="527">
        <f t="shared" si="77"/>
        <v>7938.5140518846147</v>
      </c>
      <c r="BZ51" s="537"/>
      <c r="CA51" s="537"/>
      <c r="CB51" s="574"/>
    </row>
    <row r="52" spans="1:80" x14ac:dyDescent="0.3">
      <c r="A52" s="551"/>
      <c r="B52" s="548"/>
      <c r="C52" s="525"/>
      <c r="D52" s="525"/>
      <c r="E52" s="572" t="s">
        <v>32</v>
      </c>
      <c r="F52" s="573"/>
      <c r="G52" s="573"/>
      <c r="H52" s="573"/>
      <c r="I52" s="532">
        <f>I542</f>
        <v>136077.52918331357</v>
      </c>
      <c r="J52" s="532">
        <f t="shared" si="69"/>
        <v>136077.52918331357</v>
      </c>
      <c r="K52" s="532">
        <f t="shared" si="69"/>
        <v>136077.52918331357</v>
      </c>
      <c r="L52" s="532">
        <f t="shared" si="69"/>
        <v>136077.52918331357</v>
      </c>
      <c r="M52" s="532">
        <f t="shared" si="69"/>
        <v>136077.52918331357</v>
      </c>
      <c r="N52" s="532">
        <f t="shared" si="69"/>
        <v>136077.52918331357</v>
      </c>
      <c r="O52" s="536"/>
      <c r="P52" s="568">
        <f>IFERROR(((N52/I52)^(1/5))-1,0)</f>
        <v>0</v>
      </c>
      <c r="Q52" s="537"/>
      <c r="R52" s="532">
        <f t="shared" ref="R52:AW52" si="78">SUM(R48:R51)</f>
        <v>11339.794098609464</v>
      </c>
      <c r="S52" s="530">
        <f t="shared" si="78"/>
        <v>11339.794098609464</v>
      </c>
      <c r="T52" s="532">
        <f t="shared" si="78"/>
        <v>11339.794098609464</v>
      </c>
      <c r="U52" s="532">
        <f t="shared" si="78"/>
        <v>11339.794098609464</v>
      </c>
      <c r="V52" s="532">
        <f t="shared" si="78"/>
        <v>11339.794098609464</v>
      </c>
      <c r="W52" s="532">
        <f t="shared" si="78"/>
        <v>11339.794098609464</v>
      </c>
      <c r="X52" s="532">
        <f t="shared" si="78"/>
        <v>11339.794098609464</v>
      </c>
      <c r="Y52" s="532">
        <f t="shared" si="78"/>
        <v>11339.794098609464</v>
      </c>
      <c r="Z52" s="532">
        <f t="shared" si="78"/>
        <v>11339.794098609464</v>
      </c>
      <c r="AA52" s="532">
        <f t="shared" si="78"/>
        <v>11339.794098609464</v>
      </c>
      <c r="AB52" s="532">
        <f t="shared" si="78"/>
        <v>11339.794098609464</v>
      </c>
      <c r="AC52" s="532">
        <f t="shared" si="78"/>
        <v>11339.794098609464</v>
      </c>
      <c r="AD52" s="532">
        <f t="shared" si="78"/>
        <v>11339.794098609464</v>
      </c>
      <c r="AE52" s="532">
        <f t="shared" si="78"/>
        <v>11339.794098609464</v>
      </c>
      <c r="AF52" s="532">
        <f t="shared" si="78"/>
        <v>11339.794098609464</v>
      </c>
      <c r="AG52" s="532">
        <f t="shared" si="78"/>
        <v>11339.794098609464</v>
      </c>
      <c r="AH52" s="532">
        <f t="shared" si="78"/>
        <v>11339.794098609464</v>
      </c>
      <c r="AI52" s="532">
        <f t="shared" si="78"/>
        <v>11339.794098609464</v>
      </c>
      <c r="AJ52" s="532">
        <f t="shared" si="78"/>
        <v>11339.794098609464</v>
      </c>
      <c r="AK52" s="532">
        <f t="shared" si="78"/>
        <v>11339.794098609464</v>
      </c>
      <c r="AL52" s="532">
        <f t="shared" si="78"/>
        <v>11339.794098609464</v>
      </c>
      <c r="AM52" s="532">
        <f t="shared" si="78"/>
        <v>11339.794098609464</v>
      </c>
      <c r="AN52" s="532">
        <f t="shared" si="78"/>
        <v>11339.794098609464</v>
      </c>
      <c r="AO52" s="532">
        <f t="shared" si="78"/>
        <v>11339.794098609464</v>
      </c>
      <c r="AP52" s="532">
        <f t="shared" si="78"/>
        <v>11339.794098609464</v>
      </c>
      <c r="AQ52" s="532">
        <f t="shared" si="78"/>
        <v>11339.794098609464</v>
      </c>
      <c r="AR52" s="532">
        <f t="shared" si="78"/>
        <v>11339.794098609464</v>
      </c>
      <c r="AS52" s="532">
        <f t="shared" si="78"/>
        <v>11339.794098609464</v>
      </c>
      <c r="AT52" s="532">
        <f t="shared" si="78"/>
        <v>11339.794098609464</v>
      </c>
      <c r="AU52" s="532">
        <f t="shared" si="78"/>
        <v>11339.794098609464</v>
      </c>
      <c r="AV52" s="532">
        <f t="shared" si="78"/>
        <v>11339.794098609464</v>
      </c>
      <c r="AW52" s="532">
        <f t="shared" si="78"/>
        <v>11339.794098609464</v>
      </c>
      <c r="AX52" s="532">
        <f t="shared" ref="AX52:BY52" si="79">SUM(AX48:AX51)</f>
        <v>11339.794098609464</v>
      </c>
      <c r="AY52" s="532">
        <f t="shared" si="79"/>
        <v>11339.794098609464</v>
      </c>
      <c r="AZ52" s="532">
        <f t="shared" si="79"/>
        <v>11339.794098609464</v>
      </c>
      <c r="BA52" s="532">
        <f t="shared" si="79"/>
        <v>11339.794098609464</v>
      </c>
      <c r="BB52" s="532">
        <f t="shared" si="79"/>
        <v>11339.794098609464</v>
      </c>
      <c r="BC52" s="532">
        <f t="shared" si="79"/>
        <v>11339.794098609464</v>
      </c>
      <c r="BD52" s="532">
        <f t="shared" si="79"/>
        <v>11339.794098609464</v>
      </c>
      <c r="BE52" s="532">
        <f t="shared" si="79"/>
        <v>11339.794098609464</v>
      </c>
      <c r="BF52" s="532">
        <f t="shared" si="79"/>
        <v>11339.794098609464</v>
      </c>
      <c r="BG52" s="532">
        <f t="shared" si="79"/>
        <v>11339.794098609464</v>
      </c>
      <c r="BH52" s="532">
        <f t="shared" si="79"/>
        <v>11339.794098609464</v>
      </c>
      <c r="BI52" s="532">
        <f t="shared" si="79"/>
        <v>11339.794098609464</v>
      </c>
      <c r="BJ52" s="532">
        <f t="shared" si="79"/>
        <v>11339.794098609464</v>
      </c>
      <c r="BK52" s="532">
        <f t="shared" si="79"/>
        <v>11339.794098609464</v>
      </c>
      <c r="BL52" s="532">
        <f t="shared" si="79"/>
        <v>11339.794098609464</v>
      </c>
      <c r="BM52" s="532">
        <f t="shared" si="79"/>
        <v>11339.794098609464</v>
      </c>
      <c r="BN52" s="532">
        <f t="shared" si="79"/>
        <v>11339.794098609464</v>
      </c>
      <c r="BO52" s="532">
        <f t="shared" si="79"/>
        <v>11339.794098609464</v>
      </c>
      <c r="BP52" s="532">
        <f t="shared" si="79"/>
        <v>11339.794098609464</v>
      </c>
      <c r="BQ52" s="532">
        <f t="shared" si="79"/>
        <v>11339.794098609464</v>
      </c>
      <c r="BR52" s="532">
        <f t="shared" si="79"/>
        <v>11339.794098609464</v>
      </c>
      <c r="BS52" s="532">
        <f t="shared" si="79"/>
        <v>11339.794098609464</v>
      </c>
      <c r="BT52" s="532">
        <f t="shared" si="79"/>
        <v>11339.794098609464</v>
      </c>
      <c r="BU52" s="532">
        <f t="shared" si="79"/>
        <v>11339.794098609464</v>
      </c>
      <c r="BV52" s="532">
        <f t="shared" si="79"/>
        <v>11339.794098609464</v>
      </c>
      <c r="BW52" s="532">
        <f t="shared" si="79"/>
        <v>11339.794098609464</v>
      </c>
      <c r="BX52" s="532">
        <f t="shared" si="79"/>
        <v>11339.794098609464</v>
      </c>
      <c r="BY52" s="532">
        <f t="shared" si="79"/>
        <v>11339.794098609464</v>
      </c>
      <c r="BZ52" s="537"/>
      <c r="CA52" s="537"/>
      <c r="CB52" s="574"/>
    </row>
    <row r="53" spans="1:80" x14ac:dyDescent="0.3">
      <c r="A53" s="551"/>
      <c r="B53" s="548"/>
      <c r="C53" s="525"/>
      <c r="D53" s="525"/>
      <c r="E53" s="525"/>
      <c r="F53" s="529"/>
      <c r="G53" s="529"/>
      <c r="H53" s="529"/>
      <c r="I53" s="529"/>
      <c r="J53" s="529"/>
      <c r="K53" s="529"/>
      <c r="L53" s="529"/>
      <c r="M53" s="529"/>
      <c r="N53" s="529"/>
      <c r="O53" s="529"/>
      <c r="P53" s="562"/>
      <c r="Q53" s="537"/>
      <c r="R53" s="529"/>
      <c r="S53" s="529"/>
      <c r="T53" s="529"/>
      <c r="U53" s="529"/>
      <c r="V53" s="529"/>
      <c r="W53" s="529"/>
      <c r="X53" s="529"/>
      <c r="Y53" s="529"/>
      <c r="Z53" s="529"/>
      <c r="AA53" s="529"/>
      <c r="AB53" s="529"/>
      <c r="AC53" s="529"/>
      <c r="AD53" s="529"/>
      <c r="AE53" s="529"/>
      <c r="AF53" s="529"/>
      <c r="AG53" s="529"/>
      <c r="AH53" s="529"/>
      <c r="AI53" s="529"/>
      <c r="AJ53" s="529"/>
      <c r="AK53" s="529"/>
      <c r="AL53" s="529"/>
      <c r="AM53" s="529"/>
      <c r="AN53" s="529"/>
      <c r="AO53" s="529"/>
      <c r="AP53" s="529"/>
      <c r="AQ53" s="529"/>
      <c r="AR53" s="529"/>
      <c r="AS53" s="529"/>
      <c r="AT53" s="529"/>
      <c r="AU53" s="529"/>
      <c r="AV53" s="529"/>
      <c r="AW53" s="529"/>
      <c r="AX53" s="529"/>
      <c r="AY53" s="529"/>
      <c r="AZ53" s="529"/>
      <c r="BA53" s="529"/>
      <c r="BB53" s="529"/>
      <c r="BC53" s="529"/>
      <c r="BD53" s="529"/>
      <c r="BE53" s="529"/>
      <c r="BF53" s="529"/>
      <c r="BG53" s="529"/>
      <c r="BH53" s="529"/>
      <c r="BI53" s="529"/>
      <c r="BJ53" s="529"/>
      <c r="BK53" s="529"/>
      <c r="BL53" s="529"/>
      <c r="BM53" s="529"/>
      <c r="BN53" s="529"/>
      <c r="BO53" s="529"/>
      <c r="BP53" s="529"/>
      <c r="BQ53" s="529"/>
      <c r="BR53" s="529"/>
      <c r="BS53" s="529"/>
      <c r="BT53" s="529"/>
      <c r="BU53" s="529"/>
      <c r="BV53" s="529"/>
      <c r="BW53" s="529"/>
      <c r="BX53" s="529"/>
      <c r="BY53" s="529"/>
      <c r="BZ53" s="537"/>
      <c r="CA53" s="537"/>
      <c r="CB53" s="537"/>
    </row>
    <row r="54" spans="1:80" x14ac:dyDescent="0.3">
      <c r="A54" s="551"/>
      <c r="B54" s="548"/>
      <c r="C54" s="525"/>
      <c r="D54" s="525"/>
      <c r="E54" s="578" t="s">
        <v>33</v>
      </c>
      <c r="F54" s="579"/>
      <c r="G54" s="579"/>
      <c r="H54" s="579"/>
      <c r="I54" s="535">
        <f>I544</f>
        <v>3059547.6319990046</v>
      </c>
      <c r="J54" s="535">
        <f>SUMIF($R$2:$BY$2,J$3,$R54:$BY54)</f>
        <v>3221355.5033060028</v>
      </c>
      <c r="K54" s="534">
        <f>SUMIF($R$2:$BY$2,K$3,$R54:$BY54)</f>
        <v>3413261.6993067153</v>
      </c>
      <c r="L54" s="534">
        <f>SUMIF($R$2:$BY$2,L$3,$R54:$BY54)</f>
        <v>3609818.6422594665</v>
      </c>
      <c r="M54" s="534">
        <f>SUMIF($R$2:$BY$2,M$3,$R54:$BY54)</f>
        <v>3809254.518542591</v>
      </c>
      <c r="N54" s="535">
        <f>SUMIF($R$2:$BY$2,N$3,$R54:$BY54)</f>
        <v>4017851.0704978416</v>
      </c>
      <c r="O54" s="536"/>
      <c r="P54" s="568">
        <f>IFERROR(((N54/I54)^(1/5))-1,0)</f>
        <v>5.6008279357390833E-2</v>
      </c>
      <c r="Q54" s="537"/>
      <c r="R54" s="535">
        <f t="shared" ref="R54:AW54" si="80">R39+R45+R52</f>
        <v>265415.6655526791</v>
      </c>
      <c r="S54" s="535">
        <f t="shared" si="80"/>
        <v>265415.6655526791</v>
      </c>
      <c r="T54" s="535">
        <f t="shared" si="80"/>
        <v>265415.6655526791</v>
      </c>
      <c r="U54" s="535">
        <f t="shared" si="80"/>
        <v>265415.6655526791</v>
      </c>
      <c r="V54" s="535">
        <f t="shared" si="80"/>
        <v>265415.6655526791</v>
      </c>
      <c r="W54" s="535">
        <f t="shared" si="80"/>
        <v>265415.6655526791</v>
      </c>
      <c r="X54" s="535">
        <f t="shared" si="80"/>
        <v>271476.9183316548</v>
      </c>
      <c r="Y54" s="535">
        <f t="shared" si="80"/>
        <v>271476.9183316548</v>
      </c>
      <c r="Z54" s="535">
        <f t="shared" si="80"/>
        <v>271476.9183316548</v>
      </c>
      <c r="AA54" s="535">
        <f t="shared" si="80"/>
        <v>271476.9183316548</v>
      </c>
      <c r="AB54" s="535">
        <f t="shared" si="80"/>
        <v>271476.9183316548</v>
      </c>
      <c r="AC54" s="535">
        <f t="shared" si="80"/>
        <v>271476.9183316548</v>
      </c>
      <c r="AD54" s="534">
        <f t="shared" si="80"/>
        <v>280540.63960121776</v>
      </c>
      <c r="AE54" s="534">
        <f t="shared" si="80"/>
        <v>280540.63960121776</v>
      </c>
      <c r="AF54" s="534">
        <f t="shared" si="80"/>
        <v>280540.63960121776</v>
      </c>
      <c r="AG54" s="534">
        <f t="shared" si="80"/>
        <v>280540.63960121776</v>
      </c>
      <c r="AH54" s="534">
        <f t="shared" si="80"/>
        <v>280540.63960121776</v>
      </c>
      <c r="AI54" s="534">
        <f t="shared" si="80"/>
        <v>280540.63960121776</v>
      </c>
      <c r="AJ54" s="534">
        <f t="shared" si="80"/>
        <v>288336.31028323463</v>
      </c>
      <c r="AK54" s="534">
        <f t="shared" si="80"/>
        <v>288336.31028323463</v>
      </c>
      <c r="AL54" s="534">
        <f t="shared" si="80"/>
        <v>288336.31028323463</v>
      </c>
      <c r="AM54" s="534">
        <f t="shared" si="80"/>
        <v>288336.31028323463</v>
      </c>
      <c r="AN54" s="534">
        <f t="shared" si="80"/>
        <v>288336.31028323463</v>
      </c>
      <c r="AO54" s="534">
        <f t="shared" si="80"/>
        <v>288336.31028323463</v>
      </c>
      <c r="AP54" s="534">
        <f t="shared" si="80"/>
        <v>295995.1024748463</v>
      </c>
      <c r="AQ54" s="534">
        <f t="shared" si="80"/>
        <v>295995.1024748463</v>
      </c>
      <c r="AR54" s="534">
        <f t="shared" si="80"/>
        <v>295995.1024748463</v>
      </c>
      <c r="AS54" s="534">
        <f t="shared" si="80"/>
        <v>295995.1024748463</v>
      </c>
      <c r="AT54" s="534">
        <f t="shared" si="80"/>
        <v>295995.1024748463</v>
      </c>
      <c r="AU54" s="534">
        <f t="shared" si="80"/>
        <v>295995.1024748463</v>
      </c>
      <c r="AV54" s="534">
        <f t="shared" si="80"/>
        <v>305641.33790173131</v>
      </c>
      <c r="AW54" s="534">
        <f t="shared" si="80"/>
        <v>305641.33790173131</v>
      </c>
      <c r="AX54" s="534">
        <f t="shared" ref="AX54:BY54" si="81">AX39+AX45+AX52</f>
        <v>305641.33790173131</v>
      </c>
      <c r="AY54" s="534">
        <f t="shared" si="81"/>
        <v>305641.33790173131</v>
      </c>
      <c r="AZ54" s="534">
        <f t="shared" si="81"/>
        <v>305641.33790173131</v>
      </c>
      <c r="BA54" s="534">
        <f t="shared" si="81"/>
        <v>305641.33790173131</v>
      </c>
      <c r="BB54" s="534">
        <f t="shared" si="81"/>
        <v>311630.22490765841</v>
      </c>
      <c r="BC54" s="534">
        <f t="shared" si="81"/>
        <v>311630.22490765841</v>
      </c>
      <c r="BD54" s="534">
        <f t="shared" si="81"/>
        <v>311630.22490765841</v>
      </c>
      <c r="BE54" s="534">
        <f t="shared" si="81"/>
        <v>311630.22490765841</v>
      </c>
      <c r="BF54" s="534">
        <f t="shared" si="81"/>
        <v>311630.22490765841</v>
      </c>
      <c r="BG54" s="534">
        <f t="shared" si="81"/>
        <v>311630.22490765841</v>
      </c>
      <c r="BH54" s="534">
        <f t="shared" si="81"/>
        <v>323245.52818277321</v>
      </c>
      <c r="BI54" s="534">
        <f t="shared" si="81"/>
        <v>323245.52818277321</v>
      </c>
      <c r="BJ54" s="534">
        <f t="shared" si="81"/>
        <v>323245.52818277321</v>
      </c>
      <c r="BK54" s="534">
        <f t="shared" si="81"/>
        <v>323245.52818277321</v>
      </c>
      <c r="BL54" s="534">
        <f t="shared" si="81"/>
        <v>323245.52818277321</v>
      </c>
      <c r="BM54" s="534">
        <f t="shared" si="81"/>
        <v>323245.52818277321</v>
      </c>
      <c r="BN54" s="534">
        <f t="shared" si="81"/>
        <v>327966.9470442757</v>
      </c>
      <c r="BO54" s="534">
        <f t="shared" si="81"/>
        <v>327966.9470442757</v>
      </c>
      <c r="BP54" s="534">
        <f t="shared" si="81"/>
        <v>327966.9470442757</v>
      </c>
      <c r="BQ54" s="534">
        <f t="shared" si="81"/>
        <v>327966.9470442757</v>
      </c>
      <c r="BR54" s="534">
        <f t="shared" si="81"/>
        <v>327966.9470442757</v>
      </c>
      <c r="BS54" s="534">
        <f t="shared" si="81"/>
        <v>327966.9470442757</v>
      </c>
      <c r="BT54" s="534">
        <f t="shared" si="81"/>
        <v>341674.89803869784</v>
      </c>
      <c r="BU54" s="534">
        <f t="shared" si="81"/>
        <v>341674.89803869784</v>
      </c>
      <c r="BV54" s="534">
        <f t="shared" si="81"/>
        <v>341674.89803869784</v>
      </c>
      <c r="BW54" s="534">
        <f t="shared" si="81"/>
        <v>341674.89803869784</v>
      </c>
      <c r="BX54" s="534">
        <f t="shared" si="81"/>
        <v>341674.89803869784</v>
      </c>
      <c r="BY54" s="534">
        <f t="shared" si="81"/>
        <v>341674.89803869784</v>
      </c>
      <c r="BZ54" s="537"/>
      <c r="CA54" s="537"/>
      <c r="CB54" s="574"/>
    </row>
    <row r="55" spans="1:80" x14ac:dyDescent="0.3">
      <c r="A55" s="551"/>
      <c r="B55" s="548"/>
      <c r="C55" s="525"/>
      <c r="D55" s="525"/>
      <c r="E55" s="525"/>
      <c r="F55" s="529"/>
      <c r="G55" s="529"/>
      <c r="H55" s="529"/>
      <c r="I55" s="529"/>
      <c r="J55" s="529"/>
      <c r="K55" s="529"/>
      <c r="L55" s="529"/>
      <c r="M55" s="529"/>
      <c r="N55" s="529"/>
      <c r="O55" s="529"/>
      <c r="P55" s="562"/>
      <c r="Q55" s="537"/>
      <c r="R55" s="529"/>
      <c r="S55" s="529"/>
      <c r="T55" s="529"/>
      <c r="U55" s="529"/>
      <c r="V55" s="529"/>
      <c r="W55" s="529"/>
      <c r="X55" s="529"/>
      <c r="Y55" s="529"/>
      <c r="Z55" s="529"/>
      <c r="AA55" s="529"/>
      <c r="AB55" s="529"/>
      <c r="AC55" s="529"/>
      <c r="AD55" s="529"/>
      <c r="AE55" s="529"/>
      <c r="AF55" s="529"/>
      <c r="AG55" s="529"/>
      <c r="AH55" s="529"/>
      <c r="AI55" s="529"/>
      <c r="AJ55" s="529"/>
      <c r="AK55" s="529"/>
      <c r="AL55" s="529"/>
      <c r="AM55" s="529"/>
      <c r="AN55" s="529"/>
      <c r="AO55" s="529"/>
      <c r="AP55" s="529"/>
      <c r="AQ55" s="529"/>
      <c r="AR55" s="529"/>
      <c r="AS55" s="529"/>
      <c r="AT55" s="529"/>
      <c r="AU55" s="529"/>
      <c r="AV55" s="529"/>
      <c r="AW55" s="529"/>
      <c r="AX55" s="529"/>
      <c r="AY55" s="529"/>
      <c r="AZ55" s="529"/>
      <c r="BA55" s="529"/>
      <c r="BB55" s="529"/>
      <c r="BC55" s="529"/>
      <c r="BD55" s="529"/>
      <c r="BE55" s="529"/>
      <c r="BF55" s="529"/>
      <c r="BG55" s="529"/>
      <c r="BH55" s="529"/>
      <c r="BI55" s="529"/>
      <c r="BJ55" s="529"/>
      <c r="BK55" s="529"/>
      <c r="BL55" s="529"/>
      <c r="BM55" s="529"/>
      <c r="BN55" s="529"/>
      <c r="BO55" s="529"/>
      <c r="BP55" s="529"/>
      <c r="BQ55" s="529"/>
      <c r="BR55" s="529"/>
      <c r="BS55" s="529"/>
      <c r="BT55" s="529"/>
      <c r="BU55" s="529"/>
      <c r="BV55" s="529"/>
      <c r="BW55" s="529"/>
      <c r="BX55" s="529"/>
      <c r="BY55" s="529"/>
      <c r="BZ55" s="537"/>
      <c r="CA55" s="537"/>
      <c r="CB55" s="537"/>
    </row>
    <row r="56" spans="1:80" x14ac:dyDescent="0.3">
      <c r="A56" s="551"/>
      <c r="B56" s="548"/>
      <c r="C56" s="525"/>
      <c r="D56" s="525"/>
      <c r="E56" s="570" t="s">
        <v>51</v>
      </c>
      <c r="F56" s="529"/>
      <c r="G56" s="529"/>
      <c r="H56" s="529"/>
      <c r="I56" s="529"/>
      <c r="J56" s="529"/>
      <c r="K56" s="529"/>
      <c r="L56" s="529"/>
      <c r="M56" s="529"/>
      <c r="N56" s="529"/>
      <c r="O56" s="529"/>
      <c r="P56" s="562"/>
      <c r="Q56" s="537"/>
      <c r="R56" s="529"/>
      <c r="S56" s="529"/>
      <c r="T56" s="529"/>
      <c r="U56" s="529"/>
      <c r="V56" s="529"/>
      <c r="W56" s="529"/>
      <c r="X56" s="529"/>
      <c r="Y56" s="529"/>
      <c r="Z56" s="529"/>
      <c r="AA56" s="529"/>
      <c r="AB56" s="529"/>
      <c r="AC56" s="529"/>
      <c r="AD56" s="529"/>
      <c r="AE56" s="529"/>
      <c r="AF56" s="529"/>
      <c r="AG56" s="529"/>
      <c r="AH56" s="529"/>
      <c r="AI56" s="529"/>
      <c r="AJ56" s="529"/>
      <c r="AK56" s="529"/>
      <c r="AL56" s="529"/>
      <c r="AM56" s="529"/>
      <c r="AN56" s="529"/>
      <c r="AO56" s="529"/>
      <c r="AP56" s="529"/>
      <c r="AQ56" s="529"/>
      <c r="AR56" s="529"/>
      <c r="AS56" s="529"/>
      <c r="AT56" s="529"/>
      <c r="AU56" s="529"/>
      <c r="AV56" s="529"/>
      <c r="AW56" s="529"/>
      <c r="AX56" s="529"/>
      <c r="AY56" s="529"/>
      <c r="AZ56" s="529"/>
      <c r="BA56" s="529"/>
      <c r="BB56" s="529"/>
      <c r="BC56" s="529"/>
      <c r="BD56" s="529"/>
      <c r="BE56" s="529"/>
      <c r="BF56" s="529"/>
      <c r="BG56" s="529"/>
      <c r="BH56" s="529"/>
      <c r="BI56" s="529"/>
      <c r="BJ56" s="529"/>
      <c r="BK56" s="529"/>
      <c r="BL56" s="529"/>
      <c r="BM56" s="529"/>
      <c r="BN56" s="529"/>
      <c r="BO56" s="529"/>
      <c r="BP56" s="529"/>
      <c r="BQ56" s="529"/>
      <c r="BR56" s="529"/>
      <c r="BS56" s="529"/>
      <c r="BT56" s="529"/>
      <c r="BU56" s="529"/>
      <c r="BV56" s="529"/>
      <c r="BW56" s="529"/>
      <c r="BX56" s="529"/>
      <c r="BY56" s="529"/>
      <c r="BZ56" s="537"/>
      <c r="CA56" s="537"/>
      <c r="CB56" s="537"/>
    </row>
    <row r="57" spans="1:80" x14ac:dyDescent="0.3">
      <c r="A57" s="551"/>
      <c r="B57" s="548"/>
      <c r="C57" s="525"/>
      <c r="D57" s="525"/>
      <c r="E57" s="525" t="s">
        <v>19</v>
      </c>
      <c r="F57" s="567"/>
      <c r="G57" s="567"/>
      <c r="H57" s="567"/>
      <c r="I57" s="527">
        <f>I547</f>
        <v>-47534.760800000004</v>
      </c>
      <c r="J57" s="527">
        <f t="shared" ref="J57:N59" si="82">SUMIF($R$2:$BY$2,J$3,$R57:$BY57)</f>
        <v>-48485.456015999989</v>
      </c>
      <c r="K57" s="527">
        <f t="shared" si="82"/>
        <v>-49455.165136320014</v>
      </c>
      <c r="L57" s="527">
        <f t="shared" si="82"/>
        <v>-50444.26843904642</v>
      </c>
      <c r="M57" s="527">
        <f t="shared" si="82"/>
        <v>-51453.153807827337</v>
      </c>
      <c r="N57" s="527">
        <f t="shared" si="82"/>
        <v>-52482.2168839839</v>
      </c>
      <c r="O57" s="529"/>
      <c r="P57" s="564">
        <f>IFERROR(((N57/I57)^(1/5))-1,0)</f>
        <v>2.0000000000000018E-2</v>
      </c>
      <c r="Q57" s="537"/>
      <c r="R57" s="527">
        <f t="shared" ref="R57:AW57" si="83">R400</f>
        <v>-4040.4546680000003</v>
      </c>
      <c r="S57" s="527">
        <f t="shared" si="83"/>
        <v>-4040.4546680000003</v>
      </c>
      <c r="T57" s="527">
        <f t="shared" si="83"/>
        <v>-4040.4546680000003</v>
      </c>
      <c r="U57" s="527">
        <f t="shared" si="83"/>
        <v>-4040.4546680000003</v>
      </c>
      <c r="V57" s="527">
        <f t="shared" si="83"/>
        <v>-4040.4546680000003</v>
      </c>
      <c r="W57" s="527">
        <f t="shared" si="83"/>
        <v>-4040.4546680000003</v>
      </c>
      <c r="X57" s="527">
        <f t="shared" si="83"/>
        <v>-4040.4546680000003</v>
      </c>
      <c r="Y57" s="527">
        <f t="shared" si="83"/>
        <v>-4040.4546680000003</v>
      </c>
      <c r="Z57" s="527">
        <f t="shared" si="83"/>
        <v>-4040.4546680000003</v>
      </c>
      <c r="AA57" s="527">
        <f t="shared" si="83"/>
        <v>-4040.4546680000003</v>
      </c>
      <c r="AB57" s="527">
        <f t="shared" si="83"/>
        <v>-4040.4546680000003</v>
      </c>
      <c r="AC57" s="527">
        <f t="shared" si="83"/>
        <v>-4040.4546680000003</v>
      </c>
      <c r="AD57" s="527">
        <f t="shared" si="83"/>
        <v>-4121.2637613600009</v>
      </c>
      <c r="AE57" s="527">
        <f t="shared" si="83"/>
        <v>-4121.2637613600009</v>
      </c>
      <c r="AF57" s="527">
        <f t="shared" si="83"/>
        <v>-4121.2637613600009</v>
      </c>
      <c r="AG57" s="527">
        <f t="shared" si="83"/>
        <v>-4121.2637613600009</v>
      </c>
      <c r="AH57" s="527">
        <f t="shared" si="83"/>
        <v>-4121.2637613600009</v>
      </c>
      <c r="AI57" s="527">
        <f t="shared" si="83"/>
        <v>-4121.2637613600009</v>
      </c>
      <c r="AJ57" s="527">
        <f t="shared" si="83"/>
        <v>-4121.2637613600009</v>
      </c>
      <c r="AK57" s="527">
        <f t="shared" si="83"/>
        <v>-4121.2637613600009</v>
      </c>
      <c r="AL57" s="527">
        <f t="shared" si="83"/>
        <v>-4121.2637613600009</v>
      </c>
      <c r="AM57" s="527">
        <f t="shared" si="83"/>
        <v>-4121.2637613600009</v>
      </c>
      <c r="AN57" s="527">
        <f t="shared" si="83"/>
        <v>-4121.2637613600009</v>
      </c>
      <c r="AO57" s="527">
        <f t="shared" si="83"/>
        <v>-4121.2637613600009</v>
      </c>
      <c r="AP57" s="527">
        <f t="shared" si="83"/>
        <v>-4203.6890365872005</v>
      </c>
      <c r="AQ57" s="527">
        <f t="shared" si="83"/>
        <v>-4203.6890365872005</v>
      </c>
      <c r="AR57" s="527">
        <f t="shared" si="83"/>
        <v>-4203.6890365872005</v>
      </c>
      <c r="AS57" s="527">
        <f t="shared" si="83"/>
        <v>-4203.6890365872005</v>
      </c>
      <c r="AT57" s="527">
        <f t="shared" si="83"/>
        <v>-4203.6890365872005</v>
      </c>
      <c r="AU57" s="527">
        <f t="shared" si="83"/>
        <v>-4203.6890365872005</v>
      </c>
      <c r="AV57" s="527">
        <f t="shared" si="83"/>
        <v>-4203.6890365872005</v>
      </c>
      <c r="AW57" s="527">
        <f t="shared" si="83"/>
        <v>-4203.6890365872005</v>
      </c>
      <c r="AX57" s="527">
        <f t="shared" ref="AX57:BY57" si="84">AX400</f>
        <v>-4203.6890365872005</v>
      </c>
      <c r="AY57" s="527">
        <f t="shared" si="84"/>
        <v>-4203.6890365872005</v>
      </c>
      <c r="AZ57" s="527">
        <f t="shared" si="84"/>
        <v>-4203.6890365872005</v>
      </c>
      <c r="BA57" s="527">
        <f t="shared" si="84"/>
        <v>-4203.6890365872005</v>
      </c>
      <c r="BB57" s="527">
        <f t="shared" si="84"/>
        <v>-4287.7628173189451</v>
      </c>
      <c r="BC57" s="527">
        <f t="shared" si="84"/>
        <v>-4287.7628173189451</v>
      </c>
      <c r="BD57" s="527">
        <f t="shared" si="84"/>
        <v>-4287.7628173189451</v>
      </c>
      <c r="BE57" s="527">
        <f t="shared" si="84"/>
        <v>-4287.7628173189451</v>
      </c>
      <c r="BF57" s="527">
        <f t="shared" si="84"/>
        <v>-4287.7628173189451</v>
      </c>
      <c r="BG57" s="527">
        <f t="shared" si="84"/>
        <v>-4287.7628173189451</v>
      </c>
      <c r="BH57" s="527">
        <f t="shared" si="84"/>
        <v>-4287.7628173189451</v>
      </c>
      <c r="BI57" s="527">
        <f t="shared" si="84"/>
        <v>-4287.7628173189451</v>
      </c>
      <c r="BJ57" s="527">
        <f t="shared" si="84"/>
        <v>-4287.7628173189451</v>
      </c>
      <c r="BK57" s="527">
        <f t="shared" si="84"/>
        <v>-4287.7628173189451</v>
      </c>
      <c r="BL57" s="527">
        <f t="shared" si="84"/>
        <v>-4287.7628173189451</v>
      </c>
      <c r="BM57" s="527">
        <f t="shared" si="84"/>
        <v>-4287.7628173189451</v>
      </c>
      <c r="BN57" s="527">
        <f t="shared" si="84"/>
        <v>-4373.5180736653238</v>
      </c>
      <c r="BO57" s="527">
        <f t="shared" si="84"/>
        <v>-4373.5180736653238</v>
      </c>
      <c r="BP57" s="527">
        <f t="shared" si="84"/>
        <v>-4373.5180736653238</v>
      </c>
      <c r="BQ57" s="527">
        <f t="shared" si="84"/>
        <v>-4373.5180736653238</v>
      </c>
      <c r="BR57" s="527">
        <f t="shared" si="84"/>
        <v>-4373.5180736653238</v>
      </c>
      <c r="BS57" s="527">
        <f t="shared" si="84"/>
        <v>-4373.5180736653238</v>
      </c>
      <c r="BT57" s="527">
        <f t="shared" si="84"/>
        <v>-4373.5180736653238</v>
      </c>
      <c r="BU57" s="527">
        <f t="shared" si="84"/>
        <v>-4373.5180736653238</v>
      </c>
      <c r="BV57" s="527">
        <f t="shared" si="84"/>
        <v>-4373.5180736653238</v>
      </c>
      <c r="BW57" s="527">
        <f t="shared" si="84"/>
        <v>-4373.5180736653238</v>
      </c>
      <c r="BX57" s="527">
        <f t="shared" si="84"/>
        <v>-4373.5180736653238</v>
      </c>
      <c r="BY57" s="527">
        <f t="shared" si="84"/>
        <v>-4373.5180736653238</v>
      </c>
      <c r="BZ57" s="537"/>
      <c r="CA57" s="537"/>
      <c r="CB57" s="574"/>
    </row>
    <row r="58" spans="1:80" x14ac:dyDescent="0.3">
      <c r="A58" s="551"/>
      <c r="B58" s="548"/>
      <c r="C58" s="525"/>
      <c r="D58" s="525"/>
      <c r="E58" s="525" t="s">
        <v>20</v>
      </c>
      <c r="F58" s="567"/>
      <c r="G58" s="567"/>
      <c r="H58" s="567"/>
      <c r="I58" s="527">
        <f>I548</f>
        <v>-6467.7700000000013</v>
      </c>
      <c r="J58" s="527">
        <f t="shared" si="82"/>
        <v>-6597.1253999999999</v>
      </c>
      <c r="K58" s="527">
        <f t="shared" si="82"/>
        <v>-6729.0679080000036</v>
      </c>
      <c r="L58" s="527">
        <f t="shared" si="82"/>
        <v>-6863.6492661600032</v>
      </c>
      <c r="M58" s="527">
        <f t="shared" si="82"/>
        <v>-7000.9222514832009</v>
      </c>
      <c r="N58" s="527">
        <f t="shared" si="82"/>
        <v>-7140.9406965128683</v>
      </c>
      <c r="O58" s="529"/>
      <c r="P58" s="564">
        <f>IFERROR(((N58/I58)^(1/5))-1,0)</f>
        <v>2.0000000000000018E-2</v>
      </c>
      <c r="Q58" s="537"/>
      <c r="R58" s="527">
        <f t="shared" ref="R58:AW58" si="85">R408</f>
        <v>-549.76045000000011</v>
      </c>
      <c r="S58" s="527">
        <f t="shared" si="85"/>
        <v>-549.76045000000011</v>
      </c>
      <c r="T58" s="527">
        <f t="shared" si="85"/>
        <v>-549.76045000000011</v>
      </c>
      <c r="U58" s="527">
        <f t="shared" si="85"/>
        <v>-549.76045000000011</v>
      </c>
      <c r="V58" s="527">
        <f t="shared" si="85"/>
        <v>-549.76045000000011</v>
      </c>
      <c r="W58" s="527">
        <f t="shared" si="85"/>
        <v>-549.76045000000011</v>
      </c>
      <c r="X58" s="527">
        <f t="shared" si="85"/>
        <v>-549.76045000000011</v>
      </c>
      <c r="Y58" s="527">
        <f t="shared" si="85"/>
        <v>-549.76045000000011</v>
      </c>
      <c r="Z58" s="527">
        <f t="shared" si="85"/>
        <v>-549.76045000000011</v>
      </c>
      <c r="AA58" s="527">
        <f t="shared" si="85"/>
        <v>-549.76045000000011</v>
      </c>
      <c r="AB58" s="527">
        <f t="shared" si="85"/>
        <v>-549.76045000000011</v>
      </c>
      <c r="AC58" s="527">
        <f t="shared" si="85"/>
        <v>-549.76045000000011</v>
      </c>
      <c r="AD58" s="527">
        <f t="shared" si="85"/>
        <v>-560.75565900000015</v>
      </c>
      <c r="AE58" s="527">
        <f t="shared" si="85"/>
        <v>-560.75565900000015</v>
      </c>
      <c r="AF58" s="527">
        <f t="shared" si="85"/>
        <v>-560.75565900000015</v>
      </c>
      <c r="AG58" s="527">
        <f t="shared" si="85"/>
        <v>-560.75565900000015</v>
      </c>
      <c r="AH58" s="527">
        <f t="shared" si="85"/>
        <v>-560.75565900000015</v>
      </c>
      <c r="AI58" s="527">
        <f t="shared" si="85"/>
        <v>-560.75565900000015</v>
      </c>
      <c r="AJ58" s="527">
        <f t="shared" si="85"/>
        <v>-560.75565900000015</v>
      </c>
      <c r="AK58" s="527">
        <f t="shared" si="85"/>
        <v>-560.75565900000015</v>
      </c>
      <c r="AL58" s="527">
        <f t="shared" si="85"/>
        <v>-560.75565900000015</v>
      </c>
      <c r="AM58" s="527">
        <f t="shared" si="85"/>
        <v>-560.75565900000015</v>
      </c>
      <c r="AN58" s="527">
        <f t="shared" si="85"/>
        <v>-560.75565900000015</v>
      </c>
      <c r="AO58" s="527">
        <f t="shared" si="85"/>
        <v>-560.75565900000015</v>
      </c>
      <c r="AP58" s="527">
        <f t="shared" si="85"/>
        <v>-571.97077218000015</v>
      </c>
      <c r="AQ58" s="527">
        <f t="shared" si="85"/>
        <v>-571.97077218000015</v>
      </c>
      <c r="AR58" s="527">
        <f t="shared" si="85"/>
        <v>-571.97077218000015</v>
      </c>
      <c r="AS58" s="527">
        <f t="shared" si="85"/>
        <v>-571.97077218000015</v>
      </c>
      <c r="AT58" s="527">
        <f t="shared" si="85"/>
        <v>-571.97077218000015</v>
      </c>
      <c r="AU58" s="527">
        <f t="shared" si="85"/>
        <v>-571.97077218000015</v>
      </c>
      <c r="AV58" s="527">
        <f t="shared" si="85"/>
        <v>-571.97077218000015</v>
      </c>
      <c r="AW58" s="527">
        <f t="shared" si="85"/>
        <v>-571.97077218000015</v>
      </c>
      <c r="AX58" s="527">
        <f t="shared" ref="AX58:BY58" si="86">AX408</f>
        <v>-571.97077218000015</v>
      </c>
      <c r="AY58" s="527">
        <f t="shared" si="86"/>
        <v>-571.97077218000015</v>
      </c>
      <c r="AZ58" s="527">
        <f t="shared" si="86"/>
        <v>-571.97077218000015</v>
      </c>
      <c r="BA58" s="527">
        <f t="shared" si="86"/>
        <v>-571.97077218000015</v>
      </c>
      <c r="BB58" s="527">
        <f t="shared" si="86"/>
        <v>-583.41018762360022</v>
      </c>
      <c r="BC58" s="527">
        <f t="shared" si="86"/>
        <v>-583.41018762360022</v>
      </c>
      <c r="BD58" s="527">
        <f t="shared" si="86"/>
        <v>-583.41018762360022</v>
      </c>
      <c r="BE58" s="527">
        <f t="shared" si="86"/>
        <v>-583.41018762360022</v>
      </c>
      <c r="BF58" s="527">
        <f t="shared" si="86"/>
        <v>-583.41018762360022</v>
      </c>
      <c r="BG58" s="527">
        <f t="shared" si="86"/>
        <v>-583.41018762360022</v>
      </c>
      <c r="BH58" s="527">
        <f t="shared" si="86"/>
        <v>-583.41018762360022</v>
      </c>
      <c r="BI58" s="527">
        <f t="shared" si="86"/>
        <v>-583.41018762360022</v>
      </c>
      <c r="BJ58" s="527">
        <f t="shared" si="86"/>
        <v>-583.41018762360022</v>
      </c>
      <c r="BK58" s="527">
        <f t="shared" si="86"/>
        <v>-583.41018762360022</v>
      </c>
      <c r="BL58" s="527">
        <f t="shared" si="86"/>
        <v>-583.41018762360022</v>
      </c>
      <c r="BM58" s="527">
        <f t="shared" si="86"/>
        <v>-583.41018762360022</v>
      </c>
      <c r="BN58" s="527">
        <f t="shared" si="86"/>
        <v>-595.0783913760722</v>
      </c>
      <c r="BO58" s="527">
        <f t="shared" si="86"/>
        <v>-595.0783913760722</v>
      </c>
      <c r="BP58" s="527">
        <f t="shared" si="86"/>
        <v>-595.0783913760722</v>
      </c>
      <c r="BQ58" s="527">
        <f t="shared" si="86"/>
        <v>-595.0783913760722</v>
      </c>
      <c r="BR58" s="527">
        <f t="shared" si="86"/>
        <v>-595.0783913760722</v>
      </c>
      <c r="BS58" s="527">
        <f t="shared" si="86"/>
        <v>-595.0783913760722</v>
      </c>
      <c r="BT58" s="527">
        <f t="shared" si="86"/>
        <v>-595.0783913760722</v>
      </c>
      <c r="BU58" s="527">
        <f t="shared" si="86"/>
        <v>-595.0783913760722</v>
      </c>
      <c r="BV58" s="527">
        <f t="shared" si="86"/>
        <v>-595.0783913760722</v>
      </c>
      <c r="BW58" s="527">
        <f t="shared" si="86"/>
        <v>-595.0783913760722</v>
      </c>
      <c r="BX58" s="527">
        <f t="shared" si="86"/>
        <v>-595.0783913760722</v>
      </c>
      <c r="BY58" s="527">
        <f t="shared" si="86"/>
        <v>-595.0783913760722</v>
      </c>
      <c r="BZ58" s="537"/>
      <c r="CA58" s="537"/>
      <c r="CB58" s="574"/>
    </row>
    <row r="59" spans="1:80" x14ac:dyDescent="0.3">
      <c r="A59" s="551"/>
      <c r="B59" s="548"/>
      <c r="C59" s="525"/>
      <c r="D59" s="525"/>
      <c r="E59" s="572" t="s">
        <v>35</v>
      </c>
      <c r="F59" s="573"/>
      <c r="G59" s="573"/>
      <c r="H59" s="573"/>
      <c r="I59" s="530">
        <f>I549</f>
        <v>-54002.530800000008</v>
      </c>
      <c r="J59" s="532">
        <f t="shared" si="82"/>
        <v>-55082.581416000001</v>
      </c>
      <c r="K59" s="532">
        <f t="shared" si="82"/>
        <v>-56184.233044320026</v>
      </c>
      <c r="L59" s="532">
        <f t="shared" si="82"/>
        <v>-57307.917705206426</v>
      </c>
      <c r="M59" s="532">
        <f t="shared" si="82"/>
        <v>-58454.076059310544</v>
      </c>
      <c r="N59" s="530">
        <f t="shared" si="82"/>
        <v>-59623.157580496751</v>
      </c>
      <c r="O59" s="536"/>
      <c r="P59" s="568">
        <f>IFERROR(((N59/I59)^(1/5))-1,0)</f>
        <v>2.0000000000000018E-2</v>
      </c>
      <c r="Q59" s="537"/>
      <c r="R59" s="532">
        <f t="shared" ref="R59:AW59" si="87">SUM(R57:R58)</f>
        <v>-4590.2151180000001</v>
      </c>
      <c r="S59" s="532">
        <f t="shared" si="87"/>
        <v>-4590.2151180000001</v>
      </c>
      <c r="T59" s="530">
        <f t="shared" si="87"/>
        <v>-4590.2151180000001</v>
      </c>
      <c r="U59" s="532">
        <f t="shared" si="87"/>
        <v>-4590.2151180000001</v>
      </c>
      <c r="V59" s="532">
        <f t="shared" si="87"/>
        <v>-4590.2151180000001</v>
      </c>
      <c r="W59" s="532">
        <f t="shared" si="87"/>
        <v>-4590.2151180000001</v>
      </c>
      <c r="X59" s="532">
        <f t="shared" si="87"/>
        <v>-4590.2151180000001</v>
      </c>
      <c r="Y59" s="532">
        <f t="shared" si="87"/>
        <v>-4590.2151180000001</v>
      </c>
      <c r="Z59" s="532">
        <f t="shared" si="87"/>
        <v>-4590.2151180000001</v>
      </c>
      <c r="AA59" s="532">
        <f t="shared" si="87"/>
        <v>-4590.2151180000001</v>
      </c>
      <c r="AB59" s="532">
        <f t="shared" si="87"/>
        <v>-4590.2151180000001</v>
      </c>
      <c r="AC59" s="532">
        <f t="shared" si="87"/>
        <v>-4590.2151180000001</v>
      </c>
      <c r="AD59" s="532">
        <f t="shared" si="87"/>
        <v>-4682.0194203600013</v>
      </c>
      <c r="AE59" s="532">
        <f t="shared" si="87"/>
        <v>-4682.0194203600013</v>
      </c>
      <c r="AF59" s="532">
        <f t="shared" si="87"/>
        <v>-4682.0194203600013</v>
      </c>
      <c r="AG59" s="532">
        <f t="shared" si="87"/>
        <v>-4682.0194203600013</v>
      </c>
      <c r="AH59" s="532">
        <f t="shared" si="87"/>
        <v>-4682.0194203600013</v>
      </c>
      <c r="AI59" s="532">
        <f t="shared" si="87"/>
        <v>-4682.0194203600013</v>
      </c>
      <c r="AJ59" s="532">
        <f t="shared" si="87"/>
        <v>-4682.0194203600013</v>
      </c>
      <c r="AK59" s="532">
        <f t="shared" si="87"/>
        <v>-4682.0194203600013</v>
      </c>
      <c r="AL59" s="532">
        <f t="shared" si="87"/>
        <v>-4682.0194203600013</v>
      </c>
      <c r="AM59" s="532">
        <f t="shared" si="87"/>
        <v>-4682.0194203600013</v>
      </c>
      <c r="AN59" s="532">
        <f t="shared" si="87"/>
        <v>-4682.0194203600013</v>
      </c>
      <c r="AO59" s="532">
        <f t="shared" si="87"/>
        <v>-4682.0194203600013</v>
      </c>
      <c r="AP59" s="532">
        <f t="shared" si="87"/>
        <v>-4775.659808767201</v>
      </c>
      <c r="AQ59" s="532">
        <f t="shared" si="87"/>
        <v>-4775.659808767201</v>
      </c>
      <c r="AR59" s="532">
        <f t="shared" si="87"/>
        <v>-4775.659808767201</v>
      </c>
      <c r="AS59" s="532">
        <f t="shared" si="87"/>
        <v>-4775.659808767201</v>
      </c>
      <c r="AT59" s="532">
        <f t="shared" si="87"/>
        <v>-4775.659808767201</v>
      </c>
      <c r="AU59" s="532">
        <f t="shared" si="87"/>
        <v>-4775.659808767201</v>
      </c>
      <c r="AV59" s="532">
        <f t="shared" si="87"/>
        <v>-4775.659808767201</v>
      </c>
      <c r="AW59" s="532">
        <f t="shared" si="87"/>
        <v>-4775.659808767201</v>
      </c>
      <c r="AX59" s="532">
        <f t="shared" ref="AX59:BY59" si="88">SUM(AX57:AX58)</f>
        <v>-4775.659808767201</v>
      </c>
      <c r="AY59" s="532">
        <f t="shared" si="88"/>
        <v>-4775.659808767201</v>
      </c>
      <c r="AZ59" s="532">
        <f t="shared" si="88"/>
        <v>-4775.659808767201</v>
      </c>
      <c r="BA59" s="532">
        <f t="shared" si="88"/>
        <v>-4775.659808767201</v>
      </c>
      <c r="BB59" s="532">
        <f t="shared" si="88"/>
        <v>-4871.173004942545</v>
      </c>
      <c r="BC59" s="532">
        <f t="shared" si="88"/>
        <v>-4871.173004942545</v>
      </c>
      <c r="BD59" s="532">
        <f t="shared" si="88"/>
        <v>-4871.173004942545</v>
      </c>
      <c r="BE59" s="532">
        <f t="shared" si="88"/>
        <v>-4871.173004942545</v>
      </c>
      <c r="BF59" s="532">
        <f t="shared" si="88"/>
        <v>-4871.173004942545</v>
      </c>
      <c r="BG59" s="532">
        <f t="shared" si="88"/>
        <v>-4871.173004942545</v>
      </c>
      <c r="BH59" s="532">
        <f t="shared" si="88"/>
        <v>-4871.173004942545</v>
      </c>
      <c r="BI59" s="532">
        <f t="shared" si="88"/>
        <v>-4871.173004942545</v>
      </c>
      <c r="BJ59" s="532">
        <f t="shared" si="88"/>
        <v>-4871.173004942545</v>
      </c>
      <c r="BK59" s="532">
        <f t="shared" si="88"/>
        <v>-4871.173004942545</v>
      </c>
      <c r="BL59" s="532">
        <f t="shared" si="88"/>
        <v>-4871.173004942545</v>
      </c>
      <c r="BM59" s="532">
        <f t="shared" si="88"/>
        <v>-4871.173004942545</v>
      </c>
      <c r="BN59" s="532">
        <f t="shared" si="88"/>
        <v>-4968.5964650413962</v>
      </c>
      <c r="BO59" s="532">
        <f t="shared" si="88"/>
        <v>-4968.5964650413962</v>
      </c>
      <c r="BP59" s="532">
        <f t="shared" si="88"/>
        <v>-4968.5964650413962</v>
      </c>
      <c r="BQ59" s="532">
        <f t="shared" si="88"/>
        <v>-4968.5964650413962</v>
      </c>
      <c r="BR59" s="532">
        <f t="shared" si="88"/>
        <v>-4968.5964650413962</v>
      </c>
      <c r="BS59" s="532">
        <f t="shared" si="88"/>
        <v>-4968.5964650413962</v>
      </c>
      <c r="BT59" s="532">
        <f t="shared" si="88"/>
        <v>-4968.5964650413962</v>
      </c>
      <c r="BU59" s="532">
        <f t="shared" si="88"/>
        <v>-4968.5964650413962</v>
      </c>
      <c r="BV59" s="532">
        <f t="shared" si="88"/>
        <v>-4968.5964650413962</v>
      </c>
      <c r="BW59" s="532">
        <f t="shared" si="88"/>
        <v>-4968.5964650413962</v>
      </c>
      <c r="BX59" s="532">
        <f t="shared" si="88"/>
        <v>-4968.5964650413962</v>
      </c>
      <c r="BY59" s="532">
        <f t="shared" si="88"/>
        <v>-4968.5964650413962</v>
      </c>
      <c r="BZ59" s="537"/>
      <c r="CA59" s="537"/>
      <c r="CB59" s="574"/>
    </row>
    <row r="60" spans="1:80" x14ac:dyDescent="0.3">
      <c r="A60" s="551"/>
      <c r="B60" s="548"/>
      <c r="C60" s="525"/>
      <c r="D60" s="525"/>
      <c r="E60" s="525"/>
      <c r="F60" s="529"/>
      <c r="G60" s="529"/>
      <c r="H60" s="529"/>
      <c r="I60" s="529"/>
      <c r="J60" s="529"/>
      <c r="K60" s="529"/>
      <c r="L60" s="529"/>
      <c r="M60" s="529"/>
      <c r="N60" s="529"/>
      <c r="O60" s="529"/>
      <c r="P60" s="562"/>
      <c r="Q60" s="537"/>
      <c r="R60" s="529"/>
      <c r="S60" s="529"/>
      <c r="T60" s="529"/>
      <c r="U60" s="529"/>
      <c r="V60" s="529"/>
      <c r="W60" s="529"/>
      <c r="X60" s="529"/>
      <c r="Y60" s="529"/>
      <c r="Z60" s="529"/>
      <c r="AA60" s="529"/>
      <c r="AB60" s="529"/>
      <c r="AC60" s="529"/>
      <c r="AD60" s="529"/>
      <c r="AE60" s="529"/>
      <c r="AF60" s="529"/>
      <c r="AG60" s="529"/>
      <c r="AH60" s="529"/>
      <c r="AI60" s="529"/>
      <c r="AJ60" s="529"/>
      <c r="AK60" s="529"/>
      <c r="AL60" s="529"/>
      <c r="AM60" s="529"/>
      <c r="AN60" s="529"/>
      <c r="AO60" s="529"/>
      <c r="AP60" s="529"/>
      <c r="AQ60" s="529"/>
      <c r="AR60" s="529"/>
      <c r="AS60" s="529"/>
      <c r="AT60" s="529"/>
      <c r="AU60" s="529"/>
      <c r="AV60" s="529"/>
      <c r="AW60" s="529"/>
      <c r="AX60" s="529"/>
      <c r="AY60" s="529"/>
      <c r="AZ60" s="529"/>
      <c r="BA60" s="529"/>
      <c r="BB60" s="529"/>
      <c r="BC60" s="529"/>
      <c r="BD60" s="529"/>
      <c r="BE60" s="529"/>
      <c r="BF60" s="529"/>
      <c r="BG60" s="529"/>
      <c r="BH60" s="529"/>
      <c r="BI60" s="529"/>
      <c r="BJ60" s="529"/>
      <c r="BK60" s="529"/>
      <c r="BL60" s="529"/>
      <c r="BM60" s="529"/>
      <c r="BN60" s="529"/>
      <c r="BO60" s="529"/>
      <c r="BP60" s="529"/>
      <c r="BQ60" s="529"/>
      <c r="BR60" s="529"/>
      <c r="BS60" s="529"/>
      <c r="BT60" s="529"/>
      <c r="BU60" s="529"/>
      <c r="BV60" s="529"/>
      <c r="BW60" s="529"/>
      <c r="BX60" s="529"/>
      <c r="BY60" s="529"/>
      <c r="BZ60" s="537"/>
      <c r="CA60" s="537"/>
      <c r="CB60" s="537"/>
    </row>
    <row r="61" spans="1:80" x14ac:dyDescent="0.3">
      <c r="A61" s="551"/>
      <c r="B61" s="548"/>
      <c r="C61" s="525"/>
      <c r="D61" s="525"/>
      <c r="E61" s="62" t="s">
        <v>21</v>
      </c>
      <c r="F61" s="579"/>
      <c r="G61" s="579"/>
      <c r="H61" s="579"/>
      <c r="I61" s="535">
        <f>I551</f>
        <v>3005545.1011990048</v>
      </c>
      <c r="J61" s="534">
        <f>SUMIF($R$2:$BY$2,J$3,$R61:$BY61)</f>
        <v>3166272.9218900041</v>
      </c>
      <c r="K61" s="534">
        <f>SUMIF($R$2:$BY$2,K$3,$R61:$BY61)</f>
        <v>3357077.4662623946</v>
      </c>
      <c r="L61" s="534">
        <f>SUMIF($R$2:$BY$2,L$3,$R61:$BY61)</f>
        <v>3552510.7245542589</v>
      </c>
      <c r="M61" s="534">
        <f>SUMIF($R$2:$BY$2,M$3,$R61:$BY61)</f>
        <v>3750800.4424832799</v>
      </c>
      <c r="N61" s="535">
        <f>SUMIF($R$2:$BY$2,N$3,$R61:$BY61)</f>
        <v>3958227.9129173448</v>
      </c>
      <c r="O61" s="536"/>
      <c r="P61" s="568">
        <f>IFERROR(((N61/I61)^(1/5))-1,0)</f>
        <v>5.6611929086691104E-2</v>
      </c>
      <c r="Q61" s="537"/>
      <c r="R61" s="535">
        <f t="shared" ref="R61:AW61" si="89">R54+R59</f>
        <v>260825.45043467911</v>
      </c>
      <c r="S61" s="534">
        <f t="shared" si="89"/>
        <v>260825.45043467911</v>
      </c>
      <c r="T61" s="535">
        <f t="shared" si="89"/>
        <v>260825.45043467911</v>
      </c>
      <c r="U61" s="534">
        <f t="shared" si="89"/>
        <v>260825.45043467911</v>
      </c>
      <c r="V61" s="534">
        <f t="shared" si="89"/>
        <v>260825.45043467911</v>
      </c>
      <c r="W61" s="534">
        <f t="shared" si="89"/>
        <v>260825.45043467911</v>
      </c>
      <c r="X61" s="534">
        <f t="shared" si="89"/>
        <v>266886.70321365481</v>
      </c>
      <c r="Y61" s="534">
        <f t="shared" si="89"/>
        <v>266886.70321365481</v>
      </c>
      <c r="Z61" s="534">
        <f t="shared" si="89"/>
        <v>266886.70321365481</v>
      </c>
      <c r="AA61" s="534">
        <f t="shared" si="89"/>
        <v>266886.70321365481</v>
      </c>
      <c r="AB61" s="534">
        <f t="shared" si="89"/>
        <v>266886.70321365481</v>
      </c>
      <c r="AC61" s="534">
        <f t="shared" si="89"/>
        <v>266886.70321365481</v>
      </c>
      <c r="AD61" s="534">
        <f t="shared" si="89"/>
        <v>275858.62018085778</v>
      </c>
      <c r="AE61" s="534">
        <f t="shared" si="89"/>
        <v>275858.62018085778</v>
      </c>
      <c r="AF61" s="534">
        <f t="shared" si="89"/>
        <v>275858.62018085778</v>
      </c>
      <c r="AG61" s="534">
        <f t="shared" si="89"/>
        <v>275858.62018085778</v>
      </c>
      <c r="AH61" s="534">
        <f t="shared" si="89"/>
        <v>275858.62018085778</v>
      </c>
      <c r="AI61" s="534">
        <f t="shared" si="89"/>
        <v>275858.62018085778</v>
      </c>
      <c r="AJ61" s="534">
        <f t="shared" si="89"/>
        <v>283654.29086287465</v>
      </c>
      <c r="AK61" s="534">
        <f t="shared" si="89"/>
        <v>283654.29086287465</v>
      </c>
      <c r="AL61" s="534">
        <f t="shared" si="89"/>
        <v>283654.29086287465</v>
      </c>
      <c r="AM61" s="534">
        <f t="shared" si="89"/>
        <v>283654.29086287465</v>
      </c>
      <c r="AN61" s="534">
        <f t="shared" si="89"/>
        <v>283654.29086287465</v>
      </c>
      <c r="AO61" s="534">
        <f t="shared" si="89"/>
        <v>283654.29086287465</v>
      </c>
      <c r="AP61" s="534">
        <f t="shared" si="89"/>
        <v>291219.44266607909</v>
      </c>
      <c r="AQ61" s="534">
        <f t="shared" si="89"/>
        <v>291219.44266607909</v>
      </c>
      <c r="AR61" s="534">
        <f t="shared" si="89"/>
        <v>291219.44266607909</v>
      </c>
      <c r="AS61" s="534">
        <f t="shared" si="89"/>
        <v>291219.44266607909</v>
      </c>
      <c r="AT61" s="534">
        <f t="shared" si="89"/>
        <v>291219.44266607909</v>
      </c>
      <c r="AU61" s="534">
        <f t="shared" si="89"/>
        <v>291219.44266607909</v>
      </c>
      <c r="AV61" s="534">
        <f t="shared" si="89"/>
        <v>300865.67809296411</v>
      </c>
      <c r="AW61" s="534">
        <f t="shared" si="89"/>
        <v>300865.67809296411</v>
      </c>
      <c r="AX61" s="534">
        <f t="shared" ref="AX61:BY61" si="90">AX54+AX59</f>
        <v>300865.67809296411</v>
      </c>
      <c r="AY61" s="534">
        <f t="shared" si="90"/>
        <v>300865.67809296411</v>
      </c>
      <c r="AZ61" s="534">
        <f t="shared" si="90"/>
        <v>300865.67809296411</v>
      </c>
      <c r="BA61" s="534">
        <f t="shared" si="90"/>
        <v>300865.67809296411</v>
      </c>
      <c r="BB61" s="534">
        <f t="shared" si="90"/>
        <v>306759.05190271587</v>
      </c>
      <c r="BC61" s="534">
        <f t="shared" si="90"/>
        <v>306759.05190271587</v>
      </c>
      <c r="BD61" s="534">
        <f t="shared" si="90"/>
        <v>306759.05190271587</v>
      </c>
      <c r="BE61" s="534">
        <f t="shared" si="90"/>
        <v>306759.05190271587</v>
      </c>
      <c r="BF61" s="534">
        <f t="shared" si="90"/>
        <v>306759.05190271587</v>
      </c>
      <c r="BG61" s="534">
        <f t="shared" si="90"/>
        <v>306759.05190271587</v>
      </c>
      <c r="BH61" s="534">
        <f t="shared" si="90"/>
        <v>318374.35517783067</v>
      </c>
      <c r="BI61" s="534">
        <f t="shared" si="90"/>
        <v>318374.35517783067</v>
      </c>
      <c r="BJ61" s="534">
        <f t="shared" si="90"/>
        <v>318374.35517783067</v>
      </c>
      <c r="BK61" s="534">
        <f t="shared" si="90"/>
        <v>318374.35517783067</v>
      </c>
      <c r="BL61" s="534">
        <f t="shared" si="90"/>
        <v>318374.35517783067</v>
      </c>
      <c r="BM61" s="534">
        <f t="shared" si="90"/>
        <v>318374.35517783067</v>
      </c>
      <c r="BN61" s="534">
        <f t="shared" si="90"/>
        <v>322998.35057923431</v>
      </c>
      <c r="BO61" s="534">
        <f t="shared" si="90"/>
        <v>322998.35057923431</v>
      </c>
      <c r="BP61" s="534">
        <f t="shared" si="90"/>
        <v>322998.35057923431</v>
      </c>
      <c r="BQ61" s="534">
        <f t="shared" si="90"/>
        <v>322998.35057923431</v>
      </c>
      <c r="BR61" s="534">
        <f t="shared" si="90"/>
        <v>322998.35057923431</v>
      </c>
      <c r="BS61" s="534">
        <f t="shared" si="90"/>
        <v>322998.35057923431</v>
      </c>
      <c r="BT61" s="534">
        <f t="shared" si="90"/>
        <v>336706.30157365644</v>
      </c>
      <c r="BU61" s="534">
        <f t="shared" si="90"/>
        <v>336706.30157365644</v>
      </c>
      <c r="BV61" s="534">
        <f t="shared" si="90"/>
        <v>336706.30157365644</v>
      </c>
      <c r="BW61" s="534">
        <f t="shared" si="90"/>
        <v>336706.30157365644</v>
      </c>
      <c r="BX61" s="534">
        <f t="shared" si="90"/>
        <v>336706.30157365644</v>
      </c>
      <c r="BY61" s="534">
        <f t="shared" si="90"/>
        <v>336706.30157365644</v>
      </c>
      <c r="BZ61" s="537"/>
      <c r="CA61" s="537"/>
      <c r="CB61" s="574"/>
    </row>
    <row r="62" spans="1:80" x14ac:dyDescent="0.3">
      <c r="A62" s="551"/>
      <c r="B62" s="548"/>
      <c r="C62" s="525"/>
      <c r="D62" s="525"/>
      <c r="E62" s="2" t="s">
        <v>405</v>
      </c>
      <c r="F62" s="525"/>
      <c r="G62" s="525"/>
      <c r="H62" s="525"/>
      <c r="I62" s="531">
        <f t="shared" ref="I62:N62" si="91">IFERROR(I61/SUM(I22,I31,I45,I52),0)</f>
        <v>0.63422900878731303</v>
      </c>
      <c r="J62" s="531">
        <f t="shared" si="91"/>
        <v>0.63882554945276238</v>
      </c>
      <c r="K62" s="531">
        <f t="shared" si="91"/>
        <v>0.64285448762094466</v>
      </c>
      <c r="L62" s="531">
        <f t="shared" si="91"/>
        <v>0.64662087959609638</v>
      </c>
      <c r="M62" s="531">
        <f t="shared" si="91"/>
        <v>0.64978080516870762</v>
      </c>
      <c r="N62" s="531">
        <f t="shared" si="91"/>
        <v>0.65273461333508398</v>
      </c>
      <c r="O62" s="546"/>
      <c r="P62" s="564">
        <f>IFERROR(((N62/I62)^(1/5))-1,0)</f>
        <v>5.7686818157072217E-3</v>
      </c>
      <c r="Q62" s="537"/>
      <c r="R62" s="531">
        <f t="shared" ref="R62:AW62" si="92">IFERROR(R61/SUM(R22,R31,R45,R52),0)</f>
        <v>0.63920150078186189</v>
      </c>
      <c r="S62" s="531">
        <f t="shared" si="92"/>
        <v>0.63920150078186189</v>
      </c>
      <c r="T62" s="531">
        <f t="shared" si="92"/>
        <v>0.63920150078186189</v>
      </c>
      <c r="U62" s="531">
        <f t="shared" si="92"/>
        <v>0.63920150078186189</v>
      </c>
      <c r="V62" s="531">
        <f t="shared" si="92"/>
        <v>0.63920150078186189</v>
      </c>
      <c r="W62" s="531">
        <f t="shared" si="92"/>
        <v>0.63920150078186189</v>
      </c>
      <c r="X62" s="531">
        <f t="shared" si="92"/>
        <v>0.63845856337913365</v>
      </c>
      <c r="Y62" s="531">
        <f t="shared" si="92"/>
        <v>0.63845856337913365</v>
      </c>
      <c r="Z62" s="531">
        <f t="shared" si="92"/>
        <v>0.63845856337913365</v>
      </c>
      <c r="AA62" s="531">
        <f t="shared" si="92"/>
        <v>0.63845856337913365</v>
      </c>
      <c r="AB62" s="531">
        <f t="shared" si="92"/>
        <v>0.63845856337913365</v>
      </c>
      <c r="AC62" s="531">
        <f t="shared" si="92"/>
        <v>0.63845856337913365</v>
      </c>
      <c r="AD62" s="531">
        <f t="shared" si="92"/>
        <v>0.64325168966830215</v>
      </c>
      <c r="AE62" s="531">
        <f t="shared" si="92"/>
        <v>0.64325168966830215</v>
      </c>
      <c r="AF62" s="531">
        <f t="shared" si="92"/>
        <v>0.64325168966830215</v>
      </c>
      <c r="AG62" s="531">
        <f t="shared" si="92"/>
        <v>0.64325168966830215</v>
      </c>
      <c r="AH62" s="531">
        <f t="shared" si="92"/>
        <v>0.64325168966830215</v>
      </c>
      <c r="AI62" s="531">
        <f t="shared" si="92"/>
        <v>0.64325168966830215</v>
      </c>
      <c r="AJ62" s="531">
        <f t="shared" si="92"/>
        <v>0.64246867209518765</v>
      </c>
      <c r="AK62" s="531">
        <f t="shared" si="92"/>
        <v>0.64246867209518765</v>
      </c>
      <c r="AL62" s="531">
        <f t="shared" si="92"/>
        <v>0.64246867209518765</v>
      </c>
      <c r="AM62" s="531">
        <f t="shared" si="92"/>
        <v>0.64246867209518765</v>
      </c>
      <c r="AN62" s="531">
        <f t="shared" si="92"/>
        <v>0.64246867209518765</v>
      </c>
      <c r="AO62" s="531">
        <f t="shared" si="92"/>
        <v>0.64246867209518765</v>
      </c>
      <c r="AP62" s="531">
        <f t="shared" si="92"/>
        <v>0.64702399666930699</v>
      </c>
      <c r="AQ62" s="531">
        <f t="shared" si="92"/>
        <v>0.64702399666930699</v>
      </c>
      <c r="AR62" s="531">
        <f t="shared" si="92"/>
        <v>0.64702399666930699</v>
      </c>
      <c r="AS62" s="531">
        <f t="shared" si="92"/>
        <v>0.64702399666930699</v>
      </c>
      <c r="AT62" s="531">
        <f t="shared" si="92"/>
        <v>0.64702399666930699</v>
      </c>
      <c r="AU62" s="531">
        <f t="shared" si="92"/>
        <v>0.64702399666930699</v>
      </c>
      <c r="AV62" s="531">
        <f t="shared" si="92"/>
        <v>0.64623116522450785</v>
      </c>
      <c r="AW62" s="531">
        <f t="shared" si="92"/>
        <v>0.64623116522450785</v>
      </c>
      <c r="AX62" s="531">
        <f t="shared" ref="AX62:BY62" si="93">IFERROR(AX61/SUM(AX22,AX31,AX45,AX52),0)</f>
        <v>0.64623116522450785</v>
      </c>
      <c r="AY62" s="531">
        <f t="shared" si="93"/>
        <v>0.64623116522450785</v>
      </c>
      <c r="AZ62" s="531">
        <f t="shared" si="93"/>
        <v>0.64623116522450785</v>
      </c>
      <c r="BA62" s="531">
        <f t="shared" si="93"/>
        <v>0.64623116522450785</v>
      </c>
      <c r="BB62" s="531">
        <f t="shared" si="93"/>
        <v>0.65017197518424985</v>
      </c>
      <c r="BC62" s="531">
        <f t="shared" si="93"/>
        <v>0.65017197518424985</v>
      </c>
      <c r="BD62" s="531">
        <f t="shared" si="93"/>
        <v>0.65017197518424985</v>
      </c>
      <c r="BE62" s="531">
        <f t="shared" si="93"/>
        <v>0.65017197518424985</v>
      </c>
      <c r="BF62" s="531">
        <f t="shared" si="93"/>
        <v>0.65017197518424985</v>
      </c>
      <c r="BG62" s="531">
        <f t="shared" si="93"/>
        <v>0.65017197518424985</v>
      </c>
      <c r="BH62" s="531">
        <f t="shared" si="93"/>
        <v>0.64940435125707807</v>
      </c>
      <c r="BI62" s="531">
        <f t="shared" si="93"/>
        <v>0.64940435125707807</v>
      </c>
      <c r="BJ62" s="531">
        <f t="shared" si="93"/>
        <v>0.64940435125707807</v>
      </c>
      <c r="BK62" s="531">
        <f t="shared" si="93"/>
        <v>0.64940435125707807</v>
      </c>
      <c r="BL62" s="531">
        <f t="shared" si="93"/>
        <v>0.64940435125707807</v>
      </c>
      <c r="BM62" s="531">
        <f t="shared" si="93"/>
        <v>0.64940435125707807</v>
      </c>
      <c r="BN62" s="531">
        <f t="shared" si="93"/>
        <v>0.65309556645167555</v>
      </c>
      <c r="BO62" s="531">
        <f t="shared" si="93"/>
        <v>0.65309556645167555</v>
      </c>
      <c r="BP62" s="531">
        <f t="shared" si="93"/>
        <v>0.65309556645167555</v>
      </c>
      <c r="BQ62" s="531">
        <f t="shared" si="93"/>
        <v>0.65309556645167555</v>
      </c>
      <c r="BR62" s="531">
        <f t="shared" si="93"/>
        <v>0.65309556645167555</v>
      </c>
      <c r="BS62" s="531">
        <f t="shared" si="93"/>
        <v>0.65309556645167555</v>
      </c>
      <c r="BT62" s="531">
        <f t="shared" si="93"/>
        <v>0.6523887300535619</v>
      </c>
      <c r="BU62" s="531">
        <f t="shared" si="93"/>
        <v>0.6523887300535619</v>
      </c>
      <c r="BV62" s="531">
        <f t="shared" si="93"/>
        <v>0.6523887300535619</v>
      </c>
      <c r="BW62" s="531">
        <f t="shared" si="93"/>
        <v>0.6523887300535619</v>
      </c>
      <c r="BX62" s="531">
        <f t="shared" si="93"/>
        <v>0.6523887300535619</v>
      </c>
      <c r="BY62" s="531">
        <f t="shared" si="93"/>
        <v>0.6523887300535619</v>
      </c>
      <c r="BZ62" s="537"/>
      <c r="CA62" s="537"/>
      <c r="CB62" s="537"/>
    </row>
    <row r="63" spans="1:80" x14ac:dyDescent="0.3">
      <c r="A63" s="551"/>
      <c r="B63" s="548"/>
      <c r="C63" s="525"/>
      <c r="D63" s="525"/>
      <c r="E63" s="2"/>
      <c r="F63" s="525"/>
      <c r="G63" s="525"/>
      <c r="H63" s="525"/>
      <c r="I63" s="525"/>
      <c r="J63" s="525"/>
      <c r="K63" s="525"/>
      <c r="L63" s="525"/>
      <c r="M63" s="525"/>
      <c r="N63" s="525"/>
      <c r="O63" s="525"/>
      <c r="P63" s="565"/>
      <c r="Q63" s="537"/>
      <c r="R63" s="525"/>
      <c r="S63" s="525"/>
      <c r="T63" s="525"/>
      <c r="U63" s="525"/>
      <c r="V63" s="525"/>
      <c r="W63" s="525"/>
      <c r="X63" s="525"/>
      <c r="Y63" s="525"/>
      <c r="Z63" s="525"/>
      <c r="AA63" s="525"/>
      <c r="AB63" s="525"/>
      <c r="AC63" s="525"/>
      <c r="AD63" s="525"/>
      <c r="AE63" s="525"/>
      <c r="AF63" s="525"/>
      <c r="AG63" s="525"/>
      <c r="AH63" s="525"/>
      <c r="AI63" s="525"/>
      <c r="AJ63" s="525"/>
      <c r="AK63" s="525"/>
      <c r="AL63" s="525"/>
      <c r="AM63" s="525"/>
      <c r="AN63" s="525"/>
      <c r="AO63" s="525"/>
      <c r="AP63" s="525"/>
      <c r="AQ63" s="525"/>
      <c r="AR63" s="525"/>
      <c r="AS63" s="525"/>
      <c r="AT63" s="525"/>
      <c r="AU63" s="525"/>
      <c r="AV63" s="525"/>
      <c r="AW63" s="525"/>
      <c r="AX63" s="525"/>
      <c r="AY63" s="525"/>
      <c r="AZ63" s="525"/>
      <c r="BA63" s="525"/>
      <c r="BB63" s="525"/>
      <c r="BC63" s="525"/>
      <c r="BD63" s="525"/>
      <c r="BE63" s="525"/>
      <c r="BF63" s="525"/>
      <c r="BG63" s="525"/>
      <c r="BH63" s="525"/>
      <c r="BI63" s="525"/>
      <c r="BJ63" s="525"/>
      <c r="BK63" s="525"/>
      <c r="BL63" s="525"/>
      <c r="BM63" s="525"/>
      <c r="BN63" s="525"/>
      <c r="BO63" s="525"/>
      <c r="BP63" s="525"/>
      <c r="BQ63" s="525"/>
      <c r="BR63" s="525"/>
      <c r="BS63" s="525"/>
      <c r="BT63" s="525"/>
      <c r="BU63" s="525"/>
      <c r="BV63" s="525"/>
      <c r="BW63" s="525"/>
      <c r="BX63" s="525"/>
      <c r="BY63" s="525"/>
      <c r="BZ63" s="537"/>
      <c r="CA63" s="537"/>
      <c r="CB63" s="537"/>
    </row>
    <row r="64" spans="1:80" x14ac:dyDescent="0.3">
      <c r="A64" s="551"/>
      <c r="B64" s="548"/>
      <c r="C64" s="525"/>
      <c r="D64" s="525"/>
      <c r="E64" s="2" t="s">
        <v>129</v>
      </c>
      <c r="F64" s="567"/>
      <c r="G64" s="567"/>
      <c r="H64" s="567"/>
      <c r="I64" s="527">
        <f>I554</f>
        <v>-269700</v>
      </c>
      <c r="J64" s="527">
        <f>SUMIF($R$2:$BY$2,J$3,$R64:$BY64)</f>
        <v>-276355.23542465753</v>
      </c>
      <c r="K64" s="527">
        <f>SUMIF($R$2:$BY$2,K$3,$R64:$BY64)</f>
        <v>-282759.25693772279</v>
      </c>
      <c r="L64" s="527">
        <f>SUMIF($R$2:$BY$2,L$3,$R64:$BY64)</f>
        <v>-288824.17186002346</v>
      </c>
      <c r="M64" s="527">
        <f>SUMIF($R$2:$BY$2,M$3,$R64:$BY64)</f>
        <v>-294484.72997892939</v>
      </c>
      <c r="N64" s="527">
        <f>SUMIF($R$2:$BY$2,N$3,$R64:$BY64)</f>
        <v>-300197.81442126853</v>
      </c>
      <c r="O64" s="529"/>
      <c r="P64" s="564">
        <f>IFERROR(((N64/I64)^(1/5))-1,0)</f>
        <v>2.1657472733383143E-2</v>
      </c>
      <c r="Q64" s="537"/>
      <c r="R64" s="527">
        <f t="shared" ref="R64:AW64" si="94">R554</f>
        <v>-23029.602952054793</v>
      </c>
      <c r="S64" s="527">
        <f t="shared" si="94"/>
        <v>-23029.602952054793</v>
      </c>
      <c r="T64" s="527">
        <f t="shared" si="94"/>
        <v>-23029.602952054793</v>
      </c>
      <c r="U64" s="527">
        <f t="shared" si="94"/>
        <v>-23029.602952054793</v>
      </c>
      <c r="V64" s="527">
        <f t="shared" si="94"/>
        <v>-23029.602952054793</v>
      </c>
      <c r="W64" s="527">
        <f t="shared" si="94"/>
        <v>-23029.602952054793</v>
      </c>
      <c r="X64" s="527">
        <f t="shared" si="94"/>
        <v>-23029.602952054793</v>
      </c>
      <c r="Y64" s="527">
        <f t="shared" si="94"/>
        <v>-23029.602952054793</v>
      </c>
      <c r="Z64" s="527">
        <f t="shared" si="94"/>
        <v>-23029.602952054793</v>
      </c>
      <c r="AA64" s="527">
        <f t="shared" si="94"/>
        <v>-23029.602952054793</v>
      </c>
      <c r="AB64" s="527">
        <f t="shared" si="94"/>
        <v>-23029.602952054793</v>
      </c>
      <c r="AC64" s="527">
        <f t="shared" si="94"/>
        <v>-23029.602952054793</v>
      </c>
      <c r="AD64" s="527">
        <f t="shared" si="94"/>
        <v>-23563.271411476904</v>
      </c>
      <c r="AE64" s="527">
        <f t="shared" si="94"/>
        <v>-23563.271411476904</v>
      </c>
      <c r="AF64" s="527">
        <f t="shared" si="94"/>
        <v>-23563.271411476904</v>
      </c>
      <c r="AG64" s="527">
        <f t="shared" si="94"/>
        <v>-23563.271411476904</v>
      </c>
      <c r="AH64" s="527">
        <f t="shared" si="94"/>
        <v>-23563.271411476904</v>
      </c>
      <c r="AI64" s="527">
        <f t="shared" si="94"/>
        <v>-23563.271411476904</v>
      </c>
      <c r="AJ64" s="527">
        <f t="shared" si="94"/>
        <v>-23563.271411476904</v>
      </c>
      <c r="AK64" s="527">
        <f t="shared" si="94"/>
        <v>-23563.271411476904</v>
      </c>
      <c r="AL64" s="527">
        <f t="shared" si="94"/>
        <v>-23563.271411476904</v>
      </c>
      <c r="AM64" s="527">
        <f t="shared" si="94"/>
        <v>-23563.271411476904</v>
      </c>
      <c r="AN64" s="527">
        <f t="shared" si="94"/>
        <v>-23563.271411476904</v>
      </c>
      <c r="AO64" s="527">
        <f t="shared" si="94"/>
        <v>-23563.271411476904</v>
      </c>
      <c r="AP64" s="527">
        <f t="shared" si="94"/>
        <v>-24068.680988335287</v>
      </c>
      <c r="AQ64" s="527">
        <f t="shared" si="94"/>
        <v>-24068.680988335287</v>
      </c>
      <c r="AR64" s="527">
        <f t="shared" si="94"/>
        <v>-24068.680988335287</v>
      </c>
      <c r="AS64" s="527">
        <f t="shared" si="94"/>
        <v>-24068.680988335287</v>
      </c>
      <c r="AT64" s="527">
        <f t="shared" si="94"/>
        <v>-24068.680988335287</v>
      </c>
      <c r="AU64" s="527">
        <f t="shared" si="94"/>
        <v>-24068.680988335287</v>
      </c>
      <c r="AV64" s="527">
        <f t="shared" si="94"/>
        <v>-24068.680988335287</v>
      </c>
      <c r="AW64" s="527">
        <f t="shared" si="94"/>
        <v>-24068.680988335287</v>
      </c>
      <c r="AX64" s="527">
        <f t="shared" ref="AX64:BY64" si="95">AX554</f>
        <v>-24068.680988335287</v>
      </c>
      <c r="AY64" s="527">
        <f t="shared" si="95"/>
        <v>-24068.680988335287</v>
      </c>
      <c r="AZ64" s="527">
        <f t="shared" si="95"/>
        <v>-24068.680988335287</v>
      </c>
      <c r="BA64" s="527">
        <f t="shared" si="95"/>
        <v>-24068.680988335287</v>
      </c>
      <c r="BB64" s="527">
        <f t="shared" si="95"/>
        <v>-24540.394164910787</v>
      </c>
      <c r="BC64" s="527">
        <f t="shared" si="95"/>
        <v>-24540.394164910787</v>
      </c>
      <c r="BD64" s="527">
        <f t="shared" si="95"/>
        <v>-24540.394164910787</v>
      </c>
      <c r="BE64" s="527">
        <f t="shared" si="95"/>
        <v>-24540.394164910787</v>
      </c>
      <c r="BF64" s="527">
        <f t="shared" si="95"/>
        <v>-24540.394164910787</v>
      </c>
      <c r="BG64" s="527">
        <f t="shared" si="95"/>
        <v>-24540.394164910787</v>
      </c>
      <c r="BH64" s="527">
        <f t="shared" si="95"/>
        <v>-24540.394164910787</v>
      </c>
      <c r="BI64" s="527">
        <f t="shared" si="95"/>
        <v>-24540.394164910787</v>
      </c>
      <c r="BJ64" s="527">
        <f t="shared" si="95"/>
        <v>-24540.394164910787</v>
      </c>
      <c r="BK64" s="527">
        <f t="shared" si="95"/>
        <v>-24540.394164910787</v>
      </c>
      <c r="BL64" s="527">
        <f t="shared" si="95"/>
        <v>-24540.394164910787</v>
      </c>
      <c r="BM64" s="527">
        <f t="shared" si="95"/>
        <v>-24540.394164910787</v>
      </c>
      <c r="BN64" s="527">
        <f t="shared" si="95"/>
        <v>-25016.484535105716</v>
      </c>
      <c r="BO64" s="527">
        <f t="shared" si="95"/>
        <v>-25016.484535105716</v>
      </c>
      <c r="BP64" s="527">
        <f t="shared" si="95"/>
        <v>-25016.484535105716</v>
      </c>
      <c r="BQ64" s="527">
        <f t="shared" si="95"/>
        <v>-25016.484535105716</v>
      </c>
      <c r="BR64" s="527">
        <f t="shared" si="95"/>
        <v>-25016.484535105716</v>
      </c>
      <c r="BS64" s="527">
        <f t="shared" si="95"/>
        <v>-25016.484535105716</v>
      </c>
      <c r="BT64" s="527">
        <f t="shared" si="95"/>
        <v>-25016.484535105716</v>
      </c>
      <c r="BU64" s="527">
        <f t="shared" si="95"/>
        <v>-25016.484535105716</v>
      </c>
      <c r="BV64" s="527">
        <f t="shared" si="95"/>
        <v>-25016.484535105716</v>
      </c>
      <c r="BW64" s="527">
        <f t="shared" si="95"/>
        <v>-25016.484535105716</v>
      </c>
      <c r="BX64" s="527">
        <f t="shared" si="95"/>
        <v>-25016.484535105716</v>
      </c>
      <c r="BY64" s="527">
        <f t="shared" si="95"/>
        <v>-25016.484535105716</v>
      </c>
      <c r="BZ64" s="537"/>
      <c r="CA64" s="537"/>
      <c r="CB64" s="537"/>
    </row>
    <row r="65" spans="1:80" x14ac:dyDescent="0.3">
      <c r="A65" s="551"/>
      <c r="B65" s="548"/>
      <c r="C65" s="525"/>
      <c r="D65" s="525"/>
      <c r="E65" s="62" t="s">
        <v>292</v>
      </c>
      <c r="F65" s="579"/>
      <c r="G65" s="579"/>
      <c r="H65" s="579"/>
      <c r="I65" s="534">
        <f t="shared" ref="I65:N65" si="96">SUM(I61,I64)</f>
        <v>2735845.1011990048</v>
      </c>
      <c r="J65" s="534">
        <f t="shared" si="96"/>
        <v>2889917.6864653467</v>
      </c>
      <c r="K65" s="534">
        <f t="shared" si="96"/>
        <v>3074318.2093246719</v>
      </c>
      <c r="L65" s="534">
        <f t="shared" si="96"/>
        <v>3263686.5526942355</v>
      </c>
      <c r="M65" s="534">
        <f t="shared" si="96"/>
        <v>3456315.7125043506</v>
      </c>
      <c r="N65" s="534">
        <f t="shared" si="96"/>
        <v>3658030.0984960762</v>
      </c>
      <c r="O65" s="536"/>
      <c r="P65" s="568">
        <f>IFERROR(((N65/I65)^(1/5))-1,0)</f>
        <v>5.9817664805120963E-2</v>
      </c>
      <c r="Q65" s="537"/>
      <c r="R65" s="535">
        <f t="shared" ref="R65:AW65" si="97">SUM(R61,R64)</f>
        <v>237795.84748262432</v>
      </c>
      <c r="S65" s="535">
        <f t="shared" si="97"/>
        <v>237795.84748262432</v>
      </c>
      <c r="T65" s="535">
        <f t="shared" si="97"/>
        <v>237795.84748262432</v>
      </c>
      <c r="U65" s="535">
        <f t="shared" si="97"/>
        <v>237795.84748262432</v>
      </c>
      <c r="V65" s="535">
        <f t="shared" si="97"/>
        <v>237795.84748262432</v>
      </c>
      <c r="W65" s="535">
        <f t="shared" si="97"/>
        <v>237795.84748262432</v>
      </c>
      <c r="X65" s="535">
        <f t="shared" si="97"/>
        <v>243857.10026160002</v>
      </c>
      <c r="Y65" s="535">
        <f t="shared" si="97"/>
        <v>243857.10026160002</v>
      </c>
      <c r="Z65" s="535">
        <f t="shared" si="97"/>
        <v>243857.10026160002</v>
      </c>
      <c r="AA65" s="535">
        <f t="shared" si="97"/>
        <v>243857.10026160002</v>
      </c>
      <c r="AB65" s="535">
        <f t="shared" si="97"/>
        <v>243857.10026160002</v>
      </c>
      <c r="AC65" s="535">
        <f t="shared" si="97"/>
        <v>243857.10026160002</v>
      </c>
      <c r="AD65" s="535">
        <f t="shared" si="97"/>
        <v>252295.34876938089</v>
      </c>
      <c r="AE65" s="535">
        <f t="shared" si="97"/>
        <v>252295.34876938089</v>
      </c>
      <c r="AF65" s="535">
        <f t="shared" si="97"/>
        <v>252295.34876938089</v>
      </c>
      <c r="AG65" s="535">
        <f t="shared" si="97"/>
        <v>252295.34876938089</v>
      </c>
      <c r="AH65" s="535">
        <f t="shared" si="97"/>
        <v>252295.34876938089</v>
      </c>
      <c r="AI65" s="535">
        <f t="shared" si="97"/>
        <v>252295.34876938089</v>
      </c>
      <c r="AJ65" s="535">
        <f t="shared" si="97"/>
        <v>260091.01945139776</v>
      </c>
      <c r="AK65" s="535">
        <f t="shared" si="97"/>
        <v>260091.01945139776</v>
      </c>
      <c r="AL65" s="535">
        <f t="shared" si="97"/>
        <v>260091.01945139776</v>
      </c>
      <c r="AM65" s="535">
        <f t="shared" si="97"/>
        <v>260091.01945139776</v>
      </c>
      <c r="AN65" s="535">
        <f t="shared" si="97"/>
        <v>260091.01945139776</v>
      </c>
      <c r="AO65" s="535">
        <f t="shared" si="97"/>
        <v>260091.01945139776</v>
      </c>
      <c r="AP65" s="535">
        <f t="shared" si="97"/>
        <v>267150.76167774381</v>
      </c>
      <c r="AQ65" s="535">
        <f t="shared" si="97"/>
        <v>267150.76167774381</v>
      </c>
      <c r="AR65" s="535">
        <f t="shared" si="97"/>
        <v>267150.76167774381</v>
      </c>
      <c r="AS65" s="535">
        <f t="shared" si="97"/>
        <v>267150.76167774381</v>
      </c>
      <c r="AT65" s="535">
        <f t="shared" si="97"/>
        <v>267150.76167774381</v>
      </c>
      <c r="AU65" s="535">
        <f t="shared" si="97"/>
        <v>267150.76167774381</v>
      </c>
      <c r="AV65" s="535">
        <f t="shared" si="97"/>
        <v>276796.99710462883</v>
      </c>
      <c r="AW65" s="535">
        <f t="shared" si="97"/>
        <v>276796.99710462883</v>
      </c>
      <c r="AX65" s="535">
        <f t="shared" ref="AX65:BY65" si="98">SUM(AX61,AX64)</f>
        <v>276796.99710462883</v>
      </c>
      <c r="AY65" s="535">
        <f t="shared" si="98"/>
        <v>276796.99710462883</v>
      </c>
      <c r="AZ65" s="535">
        <f t="shared" si="98"/>
        <v>276796.99710462883</v>
      </c>
      <c r="BA65" s="535">
        <f t="shared" si="98"/>
        <v>276796.99710462883</v>
      </c>
      <c r="BB65" s="535">
        <f t="shared" si="98"/>
        <v>282218.6577378051</v>
      </c>
      <c r="BC65" s="535">
        <f t="shared" si="98"/>
        <v>282218.6577378051</v>
      </c>
      <c r="BD65" s="535">
        <f t="shared" si="98"/>
        <v>282218.6577378051</v>
      </c>
      <c r="BE65" s="535">
        <f t="shared" si="98"/>
        <v>282218.6577378051</v>
      </c>
      <c r="BF65" s="535">
        <f t="shared" si="98"/>
        <v>282218.6577378051</v>
      </c>
      <c r="BG65" s="535">
        <f t="shared" si="98"/>
        <v>282218.6577378051</v>
      </c>
      <c r="BH65" s="535">
        <f t="shared" si="98"/>
        <v>293833.9610129199</v>
      </c>
      <c r="BI65" s="535">
        <f t="shared" si="98"/>
        <v>293833.9610129199</v>
      </c>
      <c r="BJ65" s="535">
        <f t="shared" si="98"/>
        <v>293833.9610129199</v>
      </c>
      <c r="BK65" s="535">
        <f t="shared" si="98"/>
        <v>293833.9610129199</v>
      </c>
      <c r="BL65" s="535">
        <f t="shared" si="98"/>
        <v>293833.9610129199</v>
      </c>
      <c r="BM65" s="535">
        <f t="shared" si="98"/>
        <v>293833.9610129199</v>
      </c>
      <c r="BN65" s="535">
        <f t="shared" si="98"/>
        <v>297981.8660441286</v>
      </c>
      <c r="BO65" s="535">
        <f t="shared" si="98"/>
        <v>297981.8660441286</v>
      </c>
      <c r="BP65" s="535">
        <f t="shared" si="98"/>
        <v>297981.8660441286</v>
      </c>
      <c r="BQ65" s="535">
        <f t="shared" si="98"/>
        <v>297981.8660441286</v>
      </c>
      <c r="BR65" s="535">
        <f t="shared" si="98"/>
        <v>297981.8660441286</v>
      </c>
      <c r="BS65" s="535">
        <f t="shared" si="98"/>
        <v>297981.8660441286</v>
      </c>
      <c r="BT65" s="535">
        <f t="shared" si="98"/>
        <v>311689.81703855074</v>
      </c>
      <c r="BU65" s="535">
        <f t="shared" si="98"/>
        <v>311689.81703855074</v>
      </c>
      <c r="BV65" s="535">
        <f t="shared" si="98"/>
        <v>311689.81703855074</v>
      </c>
      <c r="BW65" s="535">
        <f t="shared" si="98"/>
        <v>311689.81703855074</v>
      </c>
      <c r="BX65" s="535">
        <f t="shared" si="98"/>
        <v>311689.81703855074</v>
      </c>
      <c r="BY65" s="535">
        <f t="shared" si="98"/>
        <v>311689.81703855074</v>
      </c>
      <c r="BZ65" s="537"/>
      <c r="CA65" s="537"/>
      <c r="CB65" s="574"/>
    </row>
    <row r="66" spans="1:80" x14ac:dyDescent="0.3">
      <c r="A66" s="551"/>
      <c r="B66" s="548"/>
      <c r="C66" s="525"/>
      <c r="D66" s="525"/>
      <c r="E66" s="692" t="s">
        <v>406</v>
      </c>
      <c r="F66" s="525"/>
      <c r="G66" s="525"/>
      <c r="H66" s="525"/>
      <c r="I66" s="531">
        <f t="shared" ref="I66:N66" si="99">IFERROR(I65/SUM(I22,I31,I45,I52),0)</f>
        <v>0.57731701515204847</v>
      </c>
      <c r="J66" s="531">
        <f t="shared" si="99"/>
        <v>0.5830682633724068</v>
      </c>
      <c r="K66" s="531">
        <f t="shared" si="99"/>
        <v>0.58870826696755119</v>
      </c>
      <c r="L66" s="531">
        <f t="shared" si="99"/>
        <v>0.59404968290247473</v>
      </c>
      <c r="M66" s="531">
        <f t="shared" si="99"/>
        <v>0.5987648879292099</v>
      </c>
      <c r="N66" s="531">
        <f t="shared" si="99"/>
        <v>0.60323026223876652</v>
      </c>
      <c r="O66" s="546"/>
      <c r="P66" s="564">
        <f>IFERROR(((N66/I66)^(1/5))-1,0)</f>
        <v>8.8201603188522437E-3</v>
      </c>
      <c r="Q66" s="537"/>
      <c r="R66" s="531">
        <f t="shared" ref="R66:AW66" si="100">IFERROR(R65/SUM(R22,R31,R45,R52),0)</f>
        <v>0.58276315573220805</v>
      </c>
      <c r="S66" s="531">
        <f t="shared" si="100"/>
        <v>0.58276315573220805</v>
      </c>
      <c r="T66" s="531">
        <f t="shared" si="100"/>
        <v>0.58276315573220805</v>
      </c>
      <c r="U66" s="531">
        <f t="shared" si="100"/>
        <v>0.58276315573220805</v>
      </c>
      <c r="V66" s="531">
        <f t="shared" si="100"/>
        <v>0.58276315573220805</v>
      </c>
      <c r="W66" s="531">
        <f t="shared" si="100"/>
        <v>0.58276315573220805</v>
      </c>
      <c r="X66" s="531">
        <f t="shared" si="100"/>
        <v>0.58336609515605398</v>
      </c>
      <c r="Y66" s="531">
        <f t="shared" si="100"/>
        <v>0.58336609515605398</v>
      </c>
      <c r="Z66" s="531">
        <f t="shared" si="100"/>
        <v>0.58336609515605398</v>
      </c>
      <c r="AA66" s="531">
        <f t="shared" si="100"/>
        <v>0.58336609515605398</v>
      </c>
      <c r="AB66" s="531">
        <f t="shared" si="100"/>
        <v>0.58336609515605398</v>
      </c>
      <c r="AC66" s="531">
        <f t="shared" si="100"/>
        <v>0.58336609515605398</v>
      </c>
      <c r="AD66" s="531">
        <f t="shared" si="100"/>
        <v>0.58830646395953856</v>
      </c>
      <c r="AE66" s="531">
        <f t="shared" si="100"/>
        <v>0.58830646395953856</v>
      </c>
      <c r="AF66" s="531">
        <f t="shared" si="100"/>
        <v>0.58830646395953856</v>
      </c>
      <c r="AG66" s="531">
        <f t="shared" si="100"/>
        <v>0.58830646395953856</v>
      </c>
      <c r="AH66" s="531">
        <f t="shared" si="100"/>
        <v>0.58830646395953856</v>
      </c>
      <c r="AI66" s="531">
        <f t="shared" si="100"/>
        <v>0.58830646395953856</v>
      </c>
      <c r="AJ66" s="531">
        <f t="shared" si="100"/>
        <v>0.58909855155902957</v>
      </c>
      <c r="AK66" s="531">
        <f t="shared" si="100"/>
        <v>0.58909855155902957</v>
      </c>
      <c r="AL66" s="531">
        <f t="shared" si="100"/>
        <v>0.58909855155902957</v>
      </c>
      <c r="AM66" s="531">
        <f t="shared" si="100"/>
        <v>0.58909855155902957</v>
      </c>
      <c r="AN66" s="531">
        <f t="shared" si="100"/>
        <v>0.58909855155902957</v>
      </c>
      <c r="AO66" s="531">
        <f t="shared" si="100"/>
        <v>0.58909855155902957</v>
      </c>
      <c r="AP66" s="531">
        <f t="shared" si="100"/>
        <v>0.59354880962457468</v>
      </c>
      <c r="AQ66" s="531">
        <f t="shared" si="100"/>
        <v>0.59354880962457468</v>
      </c>
      <c r="AR66" s="531">
        <f t="shared" si="100"/>
        <v>0.59354880962457468</v>
      </c>
      <c r="AS66" s="531">
        <f t="shared" si="100"/>
        <v>0.59354880962457468</v>
      </c>
      <c r="AT66" s="531">
        <f t="shared" si="100"/>
        <v>0.59354880962457468</v>
      </c>
      <c r="AU66" s="531">
        <f t="shared" si="100"/>
        <v>0.59354880962457468</v>
      </c>
      <c r="AV66" s="531">
        <f t="shared" si="100"/>
        <v>0.59453390331315459</v>
      </c>
      <c r="AW66" s="531">
        <f t="shared" si="100"/>
        <v>0.59453390331315459</v>
      </c>
      <c r="AX66" s="531">
        <f t="shared" ref="AX66:BY66" si="101">IFERROR(AX65/SUM(AX22,AX31,AX45,AX52),0)</f>
        <v>0.59453390331315459</v>
      </c>
      <c r="AY66" s="531">
        <f t="shared" si="101"/>
        <v>0.59453390331315459</v>
      </c>
      <c r="AZ66" s="531">
        <f t="shared" si="101"/>
        <v>0.59453390331315459</v>
      </c>
      <c r="BA66" s="531">
        <f t="shared" si="101"/>
        <v>0.59453390331315459</v>
      </c>
      <c r="BB66" s="531">
        <f t="shared" si="101"/>
        <v>0.5981589165734803</v>
      </c>
      <c r="BC66" s="531">
        <f t="shared" si="101"/>
        <v>0.5981589165734803</v>
      </c>
      <c r="BD66" s="531">
        <f t="shared" si="101"/>
        <v>0.5981589165734803</v>
      </c>
      <c r="BE66" s="531">
        <f t="shared" si="101"/>
        <v>0.5981589165734803</v>
      </c>
      <c r="BF66" s="531">
        <f t="shared" si="101"/>
        <v>0.5981589165734803</v>
      </c>
      <c r="BG66" s="531">
        <f t="shared" si="101"/>
        <v>0.5981589165734803</v>
      </c>
      <c r="BH66" s="531">
        <f t="shared" si="101"/>
        <v>0.59934806219649928</v>
      </c>
      <c r="BI66" s="531">
        <f t="shared" si="101"/>
        <v>0.59934806219649928</v>
      </c>
      <c r="BJ66" s="531">
        <f t="shared" si="101"/>
        <v>0.59934806219649928</v>
      </c>
      <c r="BK66" s="531">
        <f t="shared" si="101"/>
        <v>0.59934806219649928</v>
      </c>
      <c r="BL66" s="531">
        <f t="shared" si="101"/>
        <v>0.59934806219649928</v>
      </c>
      <c r="BM66" s="531">
        <f t="shared" si="101"/>
        <v>0.59934806219649928</v>
      </c>
      <c r="BN66" s="531">
        <f t="shared" si="101"/>
        <v>0.60251278450004897</v>
      </c>
      <c r="BO66" s="531">
        <f t="shared" si="101"/>
        <v>0.60251278450004897</v>
      </c>
      <c r="BP66" s="531">
        <f t="shared" si="101"/>
        <v>0.60251278450004897</v>
      </c>
      <c r="BQ66" s="531">
        <f t="shared" si="101"/>
        <v>0.60251278450004897</v>
      </c>
      <c r="BR66" s="531">
        <f t="shared" si="101"/>
        <v>0.60251278450004897</v>
      </c>
      <c r="BS66" s="531">
        <f t="shared" si="101"/>
        <v>0.60251278450004897</v>
      </c>
      <c r="BT66" s="531">
        <f t="shared" si="101"/>
        <v>0.60391778519750916</v>
      </c>
      <c r="BU66" s="531">
        <f t="shared" si="101"/>
        <v>0.60391778519750916</v>
      </c>
      <c r="BV66" s="531">
        <f t="shared" si="101"/>
        <v>0.60391778519750916</v>
      </c>
      <c r="BW66" s="531">
        <f t="shared" si="101"/>
        <v>0.60391778519750916</v>
      </c>
      <c r="BX66" s="531">
        <f t="shared" si="101"/>
        <v>0.60391778519750916</v>
      </c>
      <c r="BY66" s="531">
        <f t="shared" si="101"/>
        <v>0.60391778519750916</v>
      </c>
      <c r="BZ66" s="537"/>
      <c r="CA66" s="537"/>
      <c r="CB66" s="537"/>
    </row>
    <row r="67" spans="1:80" x14ac:dyDescent="0.3">
      <c r="A67" s="551"/>
      <c r="B67" s="548"/>
      <c r="C67" s="525"/>
      <c r="D67" s="525"/>
      <c r="E67" s="2"/>
      <c r="F67" s="567"/>
      <c r="G67" s="567"/>
      <c r="H67" s="567"/>
      <c r="I67" s="529"/>
      <c r="J67" s="529"/>
      <c r="K67" s="529"/>
      <c r="L67" s="529"/>
      <c r="M67" s="529"/>
      <c r="N67" s="529"/>
      <c r="O67" s="529"/>
      <c r="P67" s="562"/>
      <c r="Q67" s="537"/>
      <c r="R67" s="529"/>
      <c r="S67" s="529"/>
      <c r="T67" s="529"/>
      <c r="U67" s="529"/>
      <c r="V67" s="529"/>
      <c r="W67" s="529"/>
      <c r="X67" s="529"/>
      <c r="Y67" s="529"/>
      <c r="Z67" s="529"/>
      <c r="AA67" s="529"/>
      <c r="AB67" s="529"/>
      <c r="AC67" s="529"/>
      <c r="AD67" s="529"/>
      <c r="AE67" s="529"/>
      <c r="AF67" s="529"/>
      <c r="AG67" s="529"/>
      <c r="AH67" s="529"/>
      <c r="AI67" s="529"/>
      <c r="AJ67" s="529"/>
      <c r="AK67" s="529"/>
      <c r="AL67" s="529"/>
      <c r="AM67" s="529"/>
      <c r="AN67" s="529"/>
      <c r="AO67" s="529"/>
      <c r="AP67" s="529"/>
      <c r="AQ67" s="529"/>
      <c r="AR67" s="529"/>
      <c r="AS67" s="529"/>
      <c r="AT67" s="529"/>
      <c r="AU67" s="529"/>
      <c r="AV67" s="529"/>
      <c r="AW67" s="529"/>
      <c r="AX67" s="529"/>
      <c r="AY67" s="529"/>
      <c r="AZ67" s="529"/>
      <c r="BA67" s="529"/>
      <c r="BB67" s="529"/>
      <c r="BC67" s="529"/>
      <c r="BD67" s="529"/>
      <c r="BE67" s="529"/>
      <c r="BF67" s="529"/>
      <c r="BG67" s="529"/>
      <c r="BH67" s="529"/>
      <c r="BI67" s="529"/>
      <c r="BJ67" s="529"/>
      <c r="BK67" s="529"/>
      <c r="BL67" s="529"/>
      <c r="BM67" s="529"/>
      <c r="BN67" s="529"/>
      <c r="BO67" s="529"/>
      <c r="BP67" s="529"/>
      <c r="BQ67" s="529"/>
      <c r="BR67" s="529"/>
      <c r="BS67" s="529"/>
      <c r="BT67" s="529"/>
      <c r="BU67" s="529"/>
      <c r="BV67" s="529"/>
      <c r="BW67" s="529"/>
      <c r="BX67" s="529"/>
      <c r="BY67" s="529"/>
      <c r="BZ67" s="537"/>
      <c r="CA67" s="537"/>
      <c r="CB67" s="537"/>
    </row>
    <row r="68" spans="1:80" x14ac:dyDescent="0.3">
      <c r="A68" s="551"/>
      <c r="B68" s="548"/>
      <c r="C68" s="525"/>
      <c r="D68" s="525"/>
      <c r="E68" s="2" t="s">
        <v>52</v>
      </c>
      <c r="F68" s="567"/>
      <c r="G68" s="567"/>
      <c r="H68" s="567"/>
      <c r="I68" s="527">
        <f>I558</f>
        <v>-218189.16275200003</v>
      </c>
      <c r="J68" s="527">
        <f t="shared" ref="J68:N70" si="102">SUMIF($R$2:$BY$2,J$3,$R68:$BY68)</f>
        <v>-252960</v>
      </c>
      <c r="K68" s="527">
        <f t="shared" si="102"/>
        <v>-258019.20000000004</v>
      </c>
      <c r="L68" s="527">
        <f t="shared" si="102"/>
        <v>-263179.58400000009</v>
      </c>
      <c r="M68" s="527">
        <f t="shared" si="102"/>
        <v>-268443.17568000004</v>
      </c>
      <c r="N68" s="527">
        <f t="shared" si="102"/>
        <v>-273812.03919360001</v>
      </c>
      <c r="O68" s="529"/>
      <c r="P68" s="564">
        <f>IFERROR(((N68/I68)^(1/5))-1,0)</f>
        <v>4.6462988574517361E-2</v>
      </c>
      <c r="Q68" s="537"/>
      <c r="R68" s="527">
        <f t="shared" ref="R68:AW68" si="103">R445</f>
        <v>-21080</v>
      </c>
      <c r="S68" s="527">
        <f t="shared" si="103"/>
        <v>-21080</v>
      </c>
      <c r="T68" s="527">
        <f t="shared" si="103"/>
        <v>-21080</v>
      </c>
      <c r="U68" s="527">
        <f t="shared" si="103"/>
        <v>-21080</v>
      </c>
      <c r="V68" s="527">
        <f t="shared" si="103"/>
        <v>-21080</v>
      </c>
      <c r="W68" s="527">
        <f t="shared" si="103"/>
        <v>-21080</v>
      </c>
      <c r="X68" s="527">
        <f t="shared" si="103"/>
        <v>-21080</v>
      </c>
      <c r="Y68" s="527">
        <f t="shared" si="103"/>
        <v>-21080</v>
      </c>
      <c r="Z68" s="527">
        <f t="shared" si="103"/>
        <v>-21080</v>
      </c>
      <c r="AA68" s="527">
        <f t="shared" si="103"/>
        <v>-21080</v>
      </c>
      <c r="AB68" s="527">
        <f t="shared" si="103"/>
        <v>-21080</v>
      </c>
      <c r="AC68" s="527">
        <f t="shared" si="103"/>
        <v>-21080</v>
      </c>
      <c r="AD68" s="527">
        <f t="shared" si="103"/>
        <v>-21501.599999999999</v>
      </c>
      <c r="AE68" s="527">
        <f t="shared" si="103"/>
        <v>-21501.599999999999</v>
      </c>
      <c r="AF68" s="527">
        <f t="shared" si="103"/>
        <v>-21501.599999999999</v>
      </c>
      <c r="AG68" s="527">
        <f t="shared" si="103"/>
        <v>-21501.599999999999</v>
      </c>
      <c r="AH68" s="527">
        <f t="shared" si="103"/>
        <v>-21501.599999999999</v>
      </c>
      <c r="AI68" s="527">
        <f t="shared" si="103"/>
        <v>-21501.599999999999</v>
      </c>
      <c r="AJ68" s="527">
        <f t="shared" si="103"/>
        <v>-21501.599999999999</v>
      </c>
      <c r="AK68" s="527">
        <f t="shared" si="103"/>
        <v>-21501.599999999999</v>
      </c>
      <c r="AL68" s="527">
        <f t="shared" si="103"/>
        <v>-21501.599999999999</v>
      </c>
      <c r="AM68" s="527">
        <f t="shared" si="103"/>
        <v>-21501.599999999999</v>
      </c>
      <c r="AN68" s="527">
        <f t="shared" si="103"/>
        <v>-21501.599999999999</v>
      </c>
      <c r="AO68" s="527">
        <f t="shared" si="103"/>
        <v>-21501.599999999999</v>
      </c>
      <c r="AP68" s="527">
        <f t="shared" si="103"/>
        <v>-21931.632000000005</v>
      </c>
      <c r="AQ68" s="527">
        <f t="shared" si="103"/>
        <v>-21931.632000000005</v>
      </c>
      <c r="AR68" s="527">
        <f t="shared" si="103"/>
        <v>-21931.632000000005</v>
      </c>
      <c r="AS68" s="527">
        <f t="shared" si="103"/>
        <v>-21931.632000000005</v>
      </c>
      <c r="AT68" s="527">
        <f t="shared" si="103"/>
        <v>-21931.632000000005</v>
      </c>
      <c r="AU68" s="527">
        <f t="shared" si="103"/>
        <v>-21931.632000000005</v>
      </c>
      <c r="AV68" s="527">
        <f t="shared" si="103"/>
        <v>-21931.632000000005</v>
      </c>
      <c r="AW68" s="527">
        <f t="shared" si="103"/>
        <v>-21931.632000000005</v>
      </c>
      <c r="AX68" s="527">
        <f t="shared" ref="AX68:BY68" si="104">AX445</f>
        <v>-21931.632000000005</v>
      </c>
      <c r="AY68" s="527">
        <f t="shared" si="104"/>
        <v>-21931.632000000005</v>
      </c>
      <c r="AZ68" s="527">
        <f t="shared" si="104"/>
        <v>-21931.632000000005</v>
      </c>
      <c r="BA68" s="527">
        <f t="shared" si="104"/>
        <v>-21931.632000000005</v>
      </c>
      <c r="BB68" s="527">
        <f t="shared" si="104"/>
        <v>-22370.264640000001</v>
      </c>
      <c r="BC68" s="527">
        <f t="shared" si="104"/>
        <v>-22370.264640000001</v>
      </c>
      <c r="BD68" s="527">
        <f t="shared" si="104"/>
        <v>-22370.264640000001</v>
      </c>
      <c r="BE68" s="527">
        <f t="shared" si="104"/>
        <v>-22370.264640000001</v>
      </c>
      <c r="BF68" s="527">
        <f t="shared" si="104"/>
        <v>-22370.264640000001</v>
      </c>
      <c r="BG68" s="527">
        <f t="shared" si="104"/>
        <v>-22370.264640000001</v>
      </c>
      <c r="BH68" s="527">
        <f t="shared" si="104"/>
        <v>-22370.264640000001</v>
      </c>
      <c r="BI68" s="527">
        <f t="shared" si="104"/>
        <v>-22370.264640000001</v>
      </c>
      <c r="BJ68" s="527">
        <f t="shared" si="104"/>
        <v>-22370.264640000001</v>
      </c>
      <c r="BK68" s="527">
        <f t="shared" si="104"/>
        <v>-22370.264640000001</v>
      </c>
      <c r="BL68" s="527">
        <f t="shared" si="104"/>
        <v>-22370.264640000001</v>
      </c>
      <c r="BM68" s="527">
        <f t="shared" si="104"/>
        <v>-22370.264640000001</v>
      </c>
      <c r="BN68" s="527">
        <f t="shared" si="104"/>
        <v>-22817.669932800007</v>
      </c>
      <c r="BO68" s="527">
        <f t="shared" si="104"/>
        <v>-22817.669932800007</v>
      </c>
      <c r="BP68" s="527">
        <f t="shared" si="104"/>
        <v>-22817.669932800007</v>
      </c>
      <c r="BQ68" s="527">
        <f t="shared" si="104"/>
        <v>-22817.669932800007</v>
      </c>
      <c r="BR68" s="527">
        <f t="shared" si="104"/>
        <v>-22817.669932800007</v>
      </c>
      <c r="BS68" s="527">
        <f t="shared" si="104"/>
        <v>-22817.669932800007</v>
      </c>
      <c r="BT68" s="527">
        <f t="shared" si="104"/>
        <v>-22817.669932800007</v>
      </c>
      <c r="BU68" s="527">
        <f t="shared" si="104"/>
        <v>-22817.669932800007</v>
      </c>
      <c r="BV68" s="527">
        <f t="shared" si="104"/>
        <v>-22817.669932800007</v>
      </c>
      <c r="BW68" s="527">
        <f t="shared" si="104"/>
        <v>-22817.669932800007</v>
      </c>
      <c r="BX68" s="527">
        <f t="shared" si="104"/>
        <v>-22817.669932800007</v>
      </c>
      <c r="BY68" s="527">
        <f t="shared" si="104"/>
        <v>-22817.669932800007</v>
      </c>
      <c r="BZ68" s="537"/>
      <c r="CA68" s="537"/>
      <c r="CB68" s="537"/>
    </row>
    <row r="69" spans="1:80" x14ac:dyDescent="0.3">
      <c r="A69" s="551"/>
      <c r="B69" s="548"/>
      <c r="C69" s="525"/>
      <c r="D69" s="525"/>
      <c r="E69" s="2" t="s">
        <v>69</v>
      </c>
      <c r="F69" s="567"/>
      <c r="G69" s="567"/>
      <c r="H69" s="567"/>
      <c r="I69" s="527">
        <f>I559</f>
        <v>-45083.17651798507</v>
      </c>
      <c r="J69" s="527">
        <f t="shared" si="102"/>
        <v>-47494.093828350058</v>
      </c>
      <c r="K69" s="527">
        <f t="shared" si="102"/>
        <v>-50356.161993935879</v>
      </c>
      <c r="L69" s="527">
        <f t="shared" si="102"/>
        <v>-53287.660868313869</v>
      </c>
      <c r="M69" s="527">
        <f t="shared" si="102"/>
        <v>-56262.006637249178</v>
      </c>
      <c r="N69" s="527">
        <f t="shared" si="102"/>
        <v>-59373.418693760148</v>
      </c>
      <c r="O69" s="529"/>
      <c r="P69" s="564">
        <f>IFERROR(((N69/I69)^(1/5))-1,0)</f>
        <v>5.6611929086690882E-2</v>
      </c>
      <c r="Q69" s="537"/>
      <c r="R69" s="527">
        <f t="shared" ref="R69:AW69" si="105">R457</f>
        <v>-3912.3817565201862</v>
      </c>
      <c r="S69" s="527">
        <f t="shared" si="105"/>
        <v>-3912.3817565201862</v>
      </c>
      <c r="T69" s="527">
        <f t="shared" si="105"/>
        <v>-3912.3817565201862</v>
      </c>
      <c r="U69" s="527">
        <f t="shared" si="105"/>
        <v>-3912.3817565201862</v>
      </c>
      <c r="V69" s="527">
        <f t="shared" si="105"/>
        <v>-3912.3817565201862</v>
      </c>
      <c r="W69" s="527">
        <f t="shared" si="105"/>
        <v>-3912.3817565201862</v>
      </c>
      <c r="X69" s="527">
        <f t="shared" si="105"/>
        <v>-4003.3005482048225</v>
      </c>
      <c r="Y69" s="527">
        <f t="shared" si="105"/>
        <v>-4003.3005482048225</v>
      </c>
      <c r="Z69" s="527">
        <f t="shared" si="105"/>
        <v>-4003.3005482048225</v>
      </c>
      <c r="AA69" s="527">
        <f t="shared" si="105"/>
        <v>-4003.3005482048225</v>
      </c>
      <c r="AB69" s="527">
        <f t="shared" si="105"/>
        <v>-4003.3005482048225</v>
      </c>
      <c r="AC69" s="527">
        <f t="shared" si="105"/>
        <v>-4003.3005482048225</v>
      </c>
      <c r="AD69" s="527">
        <f t="shared" si="105"/>
        <v>-4137.879302712864</v>
      </c>
      <c r="AE69" s="527">
        <f t="shared" si="105"/>
        <v>-4137.879302712864</v>
      </c>
      <c r="AF69" s="527">
        <f t="shared" si="105"/>
        <v>-4137.879302712864</v>
      </c>
      <c r="AG69" s="527">
        <f t="shared" si="105"/>
        <v>-4137.879302712864</v>
      </c>
      <c r="AH69" s="527">
        <f t="shared" si="105"/>
        <v>-4137.879302712864</v>
      </c>
      <c r="AI69" s="527">
        <f t="shared" si="105"/>
        <v>-4137.879302712864</v>
      </c>
      <c r="AJ69" s="527">
        <f t="shared" si="105"/>
        <v>-4254.8143629431179</v>
      </c>
      <c r="AK69" s="527">
        <f t="shared" si="105"/>
        <v>-4254.8143629431179</v>
      </c>
      <c r="AL69" s="527">
        <f t="shared" si="105"/>
        <v>-4254.8143629431179</v>
      </c>
      <c r="AM69" s="527">
        <f t="shared" si="105"/>
        <v>-4254.8143629431179</v>
      </c>
      <c r="AN69" s="527">
        <f t="shared" si="105"/>
        <v>-4254.8143629431179</v>
      </c>
      <c r="AO69" s="527">
        <f t="shared" si="105"/>
        <v>-4254.8143629431179</v>
      </c>
      <c r="AP69" s="527">
        <f t="shared" si="105"/>
        <v>-4368.2916399911855</v>
      </c>
      <c r="AQ69" s="527">
        <f t="shared" si="105"/>
        <v>-4368.2916399911855</v>
      </c>
      <c r="AR69" s="527">
        <f t="shared" si="105"/>
        <v>-4368.2916399911855</v>
      </c>
      <c r="AS69" s="527">
        <f t="shared" si="105"/>
        <v>-4368.2916399911855</v>
      </c>
      <c r="AT69" s="527">
        <f t="shared" si="105"/>
        <v>-4368.2916399911855</v>
      </c>
      <c r="AU69" s="527">
        <f t="shared" si="105"/>
        <v>-4368.2916399911855</v>
      </c>
      <c r="AV69" s="527">
        <f t="shared" si="105"/>
        <v>-4512.9851713944608</v>
      </c>
      <c r="AW69" s="527">
        <f t="shared" si="105"/>
        <v>-4512.9851713944608</v>
      </c>
      <c r="AX69" s="527">
        <f t="shared" ref="AX69:BY69" si="106">AX457</f>
        <v>-4512.9851713944608</v>
      </c>
      <c r="AY69" s="527">
        <f t="shared" si="106"/>
        <v>-4512.9851713944608</v>
      </c>
      <c r="AZ69" s="527">
        <f t="shared" si="106"/>
        <v>-4512.9851713944608</v>
      </c>
      <c r="BA69" s="527">
        <f t="shared" si="106"/>
        <v>-4512.9851713944608</v>
      </c>
      <c r="BB69" s="527">
        <f t="shared" si="106"/>
        <v>-4601.3857785407363</v>
      </c>
      <c r="BC69" s="527">
        <f t="shared" si="106"/>
        <v>-4601.3857785407363</v>
      </c>
      <c r="BD69" s="527">
        <f t="shared" si="106"/>
        <v>-4601.3857785407363</v>
      </c>
      <c r="BE69" s="527">
        <f t="shared" si="106"/>
        <v>-4601.3857785407363</v>
      </c>
      <c r="BF69" s="527">
        <f t="shared" si="106"/>
        <v>-4601.3857785407363</v>
      </c>
      <c r="BG69" s="527">
        <f t="shared" si="106"/>
        <v>-4601.3857785407363</v>
      </c>
      <c r="BH69" s="527">
        <f t="shared" si="106"/>
        <v>-4775.6153276674595</v>
      </c>
      <c r="BI69" s="527">
        <f t="shared" si="106"/>
        <v>-4775.6153276674595</v>
      </c>
      <c r="BJ69" s="527">
        <f t="shared" si="106"/>
        <v>-4775.6153276674595</v>
      </c>
      <c r="BK69" s="527">
        <f t="shared" si="106"/>
        <v>-4775.6153276674595</v>
      </c>
      <c r="BL69" s="527">
        <f t="shared" si="106"/>
        <v>-4775.6153276674595</v>
      </c>
      <c r="BM69" s="527">
        <f t="shared" si="106"/>
        <v>-4775.6153276674595</v>
      </c>
      <c r="BN69" s="527">
        <f t="shared" si="106"/>
        <v>-4844.9752586885152</v>
      </c>
      <c r="BO69" s="527">
        <f t="shared" si="106"/>
        <v>-4844.9752586885152</v>
      </c>
      <c r="BP69" s="527">
        <f t="shared" si="106"/>
        <v>-4844.9752586885152</v>
      </c>
      <c r="BQ69" s="527">
        <f t="shared" si="106"/>
        <v>-4844.9752586885152</v>
      </c>
      <c r="BR69" s="527">
        <f t="shared" si="106"/>
        <v>-4844.9752586885152</v>
      </c>
      <c r="BS69" s="527">
        <f t="shared" si="106"/>
        <v>-4844.9752586885152</v>
      </c>
      <c r="BT69" s="527">
        <f t="shared" si="106"/>
        <v>-5050.5945236048447</v>
      </c>
      <c r="BU69" s="527">
        <f t="shared" si="106"/>
        <v>-5050.5945236048447</v>
      </c>
      <c r="BV69" s="527">
        <f t="shared" si="106"/>
        <v>-5050.5945236048447</v>
      </c>
      <c r="BW69" s="527">
        <f t="shared" si="106"/>
        <v>-5050.5945236048447</v>
      </c>
      <c r="BX69" s="527">
        <f t="shared" si="106"/>
        <v>-5050.5945236048447</v>
      </c>
      <c r="BY69" s="527">
        <f t="shared" si="106"/>
        <v>-5050.5945236048447</v>
      </c>
      <c r="BZ69" s="537"/>
      <c r="CA69" s="537"/>
      <c r="CB69" s="537"/>
    </row>
    <row r="70" spans="1:80" x14ac:dyDescent="0.3">
      <c r="A70" s="551"/>
      <c r="B70" s="548"/>
      <c r="C70" s="525"/>
      <c r="D70" s="525"/>
      <c r="E70" s="2" t="s">
        <v>184</v>
      </c>
      <c r="F70" s="567"/>
      <c r="G70" s="567"/>
      <c r="H70" s="567"/>
      <c r="I70" s="528">
        <v>0</v>
      </c>
      <c r="J70" s="527">
        <f t="shared" si="102"/>
        <v>0</v>
      </c>
      <c r="K70" s="527">
        <f t="shared" si="102"/>
        <v>0</v>
      </c>
      <c r="L70" s="527">
        <f t="shared" si="102"/>
        <v>0</v>
      </c>
      <c r="M70" s="527">
        <f t="shared" si="102"/>
        <v>0</v>
      </c>
      <c r="N70" s="527">
        <f t="shared" si="102"/>
        <v>0</v>
      </c>
      <c r="O70" s="544"/>
      <c r="P70" s="564">
        <f>IFERROR(((N70/I70)^(1/5))-1,0)</f>
        <v>0</v>
      </c>
      <c r="Q70" s="537"/>
      <c r="R70" s="528">
        <v>0</v>
      </c>
      <c r="S70" s="528">
        <v>0</v>
      </c>
      <c r="T70" s="528">
        <v>0</v>
      </c>
      <c r="U70" s="528">
        <v>0</v>
      </c>
      <c r="V70" s="528">
        <v>0</v>
      </c>
      <c r="W70" s="528">
        <v>0</v>
      </c>
      <c r="X70" s="528">
        <v>0</v>
      </c>
      <c r="Y70" s="528">
        <v>0</v>
      </c>
      <c r="Z70" s="528">
        <v>0</v>
      </c>
      <c r="AA70" s="528">
        <v>0</v>
      </c>
      <c r="AB70" s="528">
        <v>0</v>
      </c>
      <c r="AC70" s="528">
        <v>0</v>
      </c>
      <c r="AD70" s="528">
        <v>0</v>
      </c>
      <c r="AE70" s="528">
        <v>0</v>
      </c>
      <c r="AF70" s="528">
        <v>0</v>
      </c>
      <c r="AG70" s="528">
        <v>0</v>
      </c>
      <c r="AH70" s="528">
        <v>0</v>
      </c>
      <c r="AI70" s="528">
        <v>0</v>
      </c>
      <c r="AJ70" s="528">
        <v>0</v>
      </c>
      <c r="AK70" s="528">
        <v>0</v>
      </c>
      <c r="AL70" s="528">
        <v>0</v>
      </c>
      <c r="AM70" s="528">
        <v>0</v>
      </c>
      <c r="AN70" s="528">
        <v>0</v>
      </c>
      <c r="AO70" s="528">
        <v>0</v>
      </c>
      <c r="AP70" s="528">
        <v>0</v>
      </c>
      <c r="AQ70" s="528">
        <v>0</v>
      </c>
      <c r="AR70" s="528">
        <v>0</v>
      </c>
      <c r="AS70" s="528">
        <v>0</v>
      </c>
      <c r="AT70" s="528">
        <v>0</v>
      </c>
      <c r="AU70" s="528">
        <v>0</v>
      </c>
      <c r="AV70" s="528">
        <v>0</v>
      </c>
      <c r="AW70" s="528">
        <v>0</v>
      </c>
      <c r="AX70" s="528">
        <v>0</v>
      </c>
      <c r="AY70" s="528">
        <v>0</v>
      </c>
      <c r="AZ70" s="528">
        <v>0</v>
      </c>
      <c r="BA70" s="528">
        <v>0</v>
      </c>
      <c r="BB70" s="528">
        <v>0</v>
      </c>
      <c r="BC70" s="528">
        <v>0</v>
      </c>
      <c r="BD70" s="528">
        <v>0</v>
      </c>
      <c r="BE70" s="528">
        <v>0</v>
      </c>
      <c r="BF70" s="528">
        <v>0</v>
      </c>
      <c r="BG70" s="528">
        <v>0</v>
      </c>
      <c r="BH70" s="528">
        <v>0</v>
      </c>
      <c r="BI70" s="528">
        <v>0</v>
      </c>
      <c r="BJ70" s="528">
        <v>0</v>
      </c>
      <c r="BK70" s="528">
        <v>0</v>
      </c>
      <c r="BL70" s="528">
        <v>0</v>
      </c>
      <c r="BM70" s="528">
        <v>0</v>
      </c>
      <c r="BN70" s="528">
        <v>0</v>
      </c>
      <c r="BO70" s="528">
        <v>0</v>
      </c>
      <c r="BP70" s="528">
        <v>0</v>
      </c>
      <c r="BQ70" s="528">
        <v>0</v>
      </c>
      <c r="BR70" s="528">
        <v>0</v>
      </c>
      <c r="BS70" s="528">
        <v>0</v>
      </c>
      <c r="BT70" s="528">
        <v>0</v>
      </c>
      <c r="BU70" s="528">
        <v>0</v>
      </c>
      <c r="BV70" s="528">
        <v>0</v>
      </c>
      <c r="BW70" s="528">
        <v>0</v>
      </c>
      <c r="BX70" s="528">
        <v>0</v>
      </c>
      <c r="BY70" s="528">
        <v>0</v>
      </c>
      <c r="BZ70" s="537"/>
      <c r="CA70" s="537"/>
      <c r="CB70" s="537"/>
    </row>
    <row r="71" spans="1:80" x14ac:dyDescent="0.3">
      <c r="A71" s="551"/>
      <c r="B71" s="548"/>
      <c r="C71" s="525"/>
      <c r="D71" s="525"/>
      <c r="E71" s="62" t="s">
        <v>293</v>
      </c>
      <c r="F71" s="579"/>
      <c r="G71" s="579"/>
      <c r="H71" s="579"/>
      <c r="I71" s="534">
        <f t="shared" ref="I71:N71" si="107">I65+SUM(I68:I70)</f>
        <v>2472572.7619290198</v>
      </c>
      <c r="J71" s="534">
        <f t="shared" si="107"/>
        <v>2589463.5926369969</v>
      </c>
      <c r="K71" s="534">
        <f t="shared" si="107"/>
        <v>2765942.847330736</v>
      </c>
      <c r="L71" s="534">
        <f t="shared" si="107"/>
        <v>2947219.3078259216</v>
      </c>
      <c r="M71" s="534">
        <f t="shared" si="107"/>
        <v>3131610.5301871011</v>
      </c>
      <c r="N71" s="534">
        <f t="shared" si="107"/>
        <v>3324844.6406087158</v>
      </c>
      <c r="O71" s="536"/>
      <c r="P71" s="568">
        <f>IFERROR(((N71/I71)^(1/5))-1,0)</f>
        <v>6.1022161903188543E-2</v>
      </c>
      <c r="Q71" s="537"/>
      <c r="R71" s="535">
        <f t="shared" ref="R71:AW71" si="108">R65+SUM(R68:R70)</f>
        <v>212803.46572610413</v>
      </c>
      <c r="S71" s="534">
        <f t="shared" si="108"/>
        <v>212803.46572610413</v>
      </c>
      <c r="T71" s="534">
        <f t="shared" si="108"/>
        <v>212803.46572610413</v>
      </c>
      <c r="U71" s="534">
        <f t="shared" si="108"/>
        <v>212803.46572610413</v>
      </c>
      <c r="V71" s="534">
        <f t="shared" si="108"/>
        <v>212803.46572610413</v>
      </c>
      <c r="W71" s="534">
        <f t="shared" si="108"/>
        <v>212803.46572610413</v>
      </c>
      <c r="X71" s="534">
        <f t="shared" si="108"/>
        <v>218773.79971339519</v>
      </c>
      <c r="Y71" s="534">
        <f t="shared" si="108"/>
        <v>218773.79971339519</v>
      </c>
      <c r="Z71" s="534">
        <f t="shared" si="108"/>
        <v>218773.79971339519</v>
      </c>
      <c r="AA71" s="534">
        <f t="shared" si="108"/>
        <v>218773.79971339519</v>
      </c>
      <c r="AB71" s="534">
        <f t="shared" si="108"/>
        <v>218773.79971339519</v>
      </c>
      <c r="AC71" s="534">
        <f t="shared" si="108"/>
        <v>218773.79971339519</v>
      </c>
      <c r="AD71" s="534">
        <f t="shared" si="108"/>
        <v>226655.86946666802</v>
      </c>
      <c r="AE71" s="534">
        <f t="shared" si="108"/>
        <v>226655.86946666802</v>
      </c>
      <c r="AF71" s="534">
        <f t="shared" si="108"/>
        <v>226655.86946666802</v>
      </c>
      <c r="AG71" s="534">
        <f t="shared" si="108"/>
        <v>226655.86946666802</v>
      </c>
      <c r="AH71" s="534">
        <f t="shared" si="108"/>
        <v>226655.86946666802</v>
      </c>
      <c r="AI71" s="534">
        <f t="shared" si="108"/>
        <v>226655.86946666802</v>
      </c>
      <c r="AJ71" s="534">
        <f t="shared" si="108"/>
        <v>234334.60508845464</v>
      </c>
      <c r="AK71" s="534">
        <f t="shared" si="108"/>
        <v>234334.60508845464</v>
      </c>
      <c r="AL71" s="534">
        <f t="shared" si="108"/>
        <v>234334.60508845464</v>
      </c>
      <c r="AM71" s="534">
        <f t="shared" si="108"/>
        <v>234334.60508845464</v>
      </c>
      <c r="AN71" s="534">
        <f t="shared" si="108"/>
        <v>234334.60508845464</v>
      </c>
      <c r="AO71" s="534">
        <f t="shared" si="108"/>
        <v>234334.60508845464</v>
      </c>
      <c r="AP71" s="534">
        <f t="shared" si="108"/>
        <v>240850.8380377526</v>
      </c>
      <c r="AQ71" s="534">
        <f t="shared" si="108"/>
        <v>240850.8380377526</v>
      </c>
      <c r="AR71" s="534">
        <f t="shared" si="108"/>
        <v>240850.8380377526</v>
      </c>
      <c r="AS71" s="534">
        <f t="shared" si="108"/>
        <v>240850.8380377526</v>
      </c>
      <c r="AT71" s="534">
        <f t="shared" si="108"/>
        <v>240850.8380377526</v>
      </c>
      <c r="AU71" s="534">
        <f t="shared" si="108"/>
        <v>240850.8380377526</v>
      </c>
      <c r="AV71" s="534">
        <f t="shared" si="108"/>
        <v>250352.37993323436</v>
      </c>
      <c r="AW71" s="534">
        <f t="shared" si="108"/>
        <v>250352.37993323436</v>
      </c>
      <c r="AX71" s="534">
        <f t="shared" ref="AX71:BY71" si="109">AX65+SUM(AX68:AX70)</f>
        <v>250352.37993323436</v>
      </c>
      <c r="AY71" s="534">
        <f t="shared" si="109"/>
        <v>250352.37993323436</v>
      </c>
      <c r="AZ71" s="534">
        <f t="shared" si="109"/>
        <v>250352.37993323436</v>
      </c>
      <c r="BA71" s="534">
        <f t="shared" si="109"/>
        <v>250352.37993323436</v>
      </c>
      <c r="BB71" s="534">
        <f t="shared" si="109"/>
        <v>255247.00731926435</v>
      </c>
      <c r="BC71" s="534">
        <f t="shared" si="109"/>
        <v>255247.00731926435</v>
      </c>
      <c r="BD71" s="534">
        <f t="shared" si="109"/>
        <v>255247.00731926435</v>
      </c>
      <c r="BE71" s="534">
        <f t="shared" si="109"/>
        <v>255247.00731926435</v>
      </c>
      <c r="BF71" s="534">
        <f t="shared" si="109"/>
        <v>255247.00731926435</v>
      </c>
      <c r="BG71" s="534">
        <f t="shared" si="109"/>
        <v>255247.00731926435</v>
      </c>
      <c r="BH71" s="534">
        <f t="shared" si="109"/>
        <v>266688.08104525245</v>
      </c>
      <c r="BI71" s="534">
        <f t="shared" si="109"/>
        <v>266688.08104525245</v>
      </c>
      <c r="BJ71" s="534">
        <f t="shared" si="109"/>
        <v>266688.08104525245</v>
      </c>
      <c r="BK71" s="534">
        <f t="shared" si="109"/>
        <v>266688.08104525245</v>
      </c>
      <c r="BL71" s="534">
        <f t="shared" si="109"/>
        <v>266688.08104525245</v>
      </c>
      <c r="BM71" s="534">
        <f t="shared" si="109"/>
        <v>266688.08104525245</v>
      </c>
      <c r="BN71" s="534">
        <f t="shared" si="109"/>
        <v>270319.22085264011</v>
      </c>
      <c r="BO71" s="534">
        <f t="shared" si="109"/>
        <v>270319.22085264011</v>
      </c>
      <c r="BP71" s="534">
        <f t="shared" si="109"/>
        <v>270319.22085264011</v>
      </c>
      <c r="BQ71" s="534">
        <f t="shared" si="109"/>
        <v>270319.22085264011</v>
      </c>
      <c r="BR71" s="534">
        <f t="shared" si="109"/>
        <v>270319.22085264011</v>
      </c>
      <c r="BS71" s="534">
        <f t="shared" si="109"/>
        <v>270319.22085264011</v>
      </c>
      <c r="BT71" s="534">
        <f t="shared" si="109"/>
        <v>283821.5525821459</v>
      </c>
      <c r="BU71" s="534">
        <f t="shared" si="109"/>
        <v>283821.5525821459</v>
      </c>
      <c r="BV71" s="534">
        <f t="shared" si="109"/>
        <v>283821.5525821459</v>
      </c>
      <c r="BW71" s="534">
        <f t="shared" si="109"/>
        <v>283821.5525821459</v>
      </c>
      <c r="BX71" s="534">
        <f t="shared" si="109"/>
        <v>283821.5525821459</v>
      </c>
      <c r="BY71" s="534">
        <f t="shared" si="109"/>
        <v>283821.5525821459</v>
      </c>
      <c r="BZ71" s="537"/>
      <c r="CA71" s="537"/>
      <c r="CB71" s="537"/>
    </row>
    <row r="72" spans="1:80" x14ac:dyDescent="0.3">
      <c r="A72" s="551"/>
      <c r="B72" s="548"/>
      <c r="C72" s="525"/>
      <c r="D72" s="525"/>
      <c r="E72" s="2" t="s">
        <v>407</v>
      </c>
      <c r="F72" s="525"/>
      <c r="G72" s="525"/>
      <c r="H72" s="525"/>
      <c r="I72" s="531">
        <f t="shared" ref="I72:N72" si="110">IFERROR(I71/I61,0)</f>
        <v>0.82267032390984052</v>
      </c>
      <c r="J72" s="531">
        <f t="shared" si="110"/>
        <v>0.81782703402942925</v>
      </c>
      <c r="K72" s="531">
        <f t="shared" si="110"/>
        <v>0.82391391772385913</v>
      </c>
      <c r="L72" s="531">
        <f t="shared" si="110"/>
        <v>0.82961587911763879</v>
      </c>
      <c r="M72" s="531">
        <f t="shared" si="110"/>
        <v>0.83491792704219858</v>
      </c>
      <c r="N72" s="531">
        <f t="shared" si="110"/>
        <v>0.83998312218413806</v>
      </c>
      <c r="O72" s="546"/>
      <c r="P72" s="564">
        <f>IFERROR(((N72/I72)^(1/5))-1,0)</f>
        <v>4.1739381272267728E-3</v>
      </c>
      <c r="Q72" s="569"/>
      <c r="R72" s="531">
        <f t="shared" ref="R72:AW72" si="111">IFERROR(R71/R61,0)</f>
        <v>0.81588459014047954</v>
      </c>
      <c r="S72" s="531">
        <f t="shared" si="111"/>
        <v>0.81588459014047954</v>
      </c>
      <c r="T72" s="531">
        <f t="shared" si="111"/>
        <v>0.81588459014047954</v>
      </c>
      <c r="U72" s="531">
        <f t="shared" si="111"/>
        <v>0.81588459014047954</v>
      </c>
      <c r="V72" s="531">
        <f t="shared" si="111"/>
        <v>0.81588459014047954</v>
      </c>
      <c r="W72" s="531">
        <f t="shared" si="111"/>
        <v>0.81588459014047954</v>
      </c>
      <c r="X72" s="531">
        <f t="shared" si="111"/>
        <v>0.81972536315627875</v>
      </c>
      <c r="Y72" s="531">
        <f t="shared" si="111"/>
        <v>0.81972536315627875</v>
      </c>
      <c r="Z72" s="531">
        <f t="shared" si="111"/>
        <v>0.81972536315627875</v>
      </c>
      <c r="AA72" s="531">
        <f t="shared" si="111"/>
        <v>0.81972536315627875</v>
      </c>
      <c r="AB72" s="531">
        <f t="shared" si="111"/>
        <v>0.81972536315627875</v>
      </c>
      <c r="AC72" s="531">
        <f t="shared" si="111"/>
        <v>0.81972536315627875</v>
      </c>
      <c r="AD72" s="531">
        <f t="shared" si="111"/>
        <v>0.82163779880457766</v>
      </c>
      <c r="AE72" s="531">
        <f t="shared" si="111"/>
        <v>0.82163779880457766</v>
      </c>
      <c r="AF72" s="531">
        <f t="shared" si="111"/>
        <v>0.82163779880457766</v>
      </c>
      <c r="AG72" s="531">
        <f t="shared" si="111"/>
        <v>0.82163779880457766</v>
      </c>
      <c r="AH72" s="531">
        <f t="shared" si="111"/>
        <v>0.82163779880457766</v>
      </c>
      <c r="AI72" s="531">
        <f t="shared" si="111"/>
        <v>0.82163779880457766</v>
      </c>
      <c r="AJ72" s="531">
        <f t="shared" si="111"/>
        <v>0.82612748206843678</v>
      </c>
      <c r="AK72" s="531">
        <f t="shared" si="111"/>
        <v>0.82612748206843678</v>
      </c>
      <c r="AL72" s="531">
        <f t="shared" si="111"/>
        <v>0.82612748206843678</v>
      </c>
      <c r="AM72" s="531">
        <f t="shared" si="111"/>
        <v>0.82612748206843678</v>
      </c>
      <c r="AN72" s="531">
        <f t="shared" si="111"/>
        <v>0.82612748206843678</v>
      </c>
      <c r="AO72" s="531">
        <f t="shared" si="111"/>
        <v>0.82612748206843678</v>
      </c>
      <c r="AP72" s="531">
        <f t="shared" si="111"/>
        <v>0.82704243862563587</v>
      </c>
      <c r="AQ72" s="531">
        <f t="shared" si="111"/>
        <v>0.82704243862563587</v>
      </c>
      <c r="AR72" s="531">
        <f t="shared" si="111"/>
        <v>0.82704243862563587</v>
      </c>
      <c r="AS72" s="531">
        <f t="shared" si="111"/>
        <v>0.82704243862563587</v>
      </c>
      <c r="AT72" s="531">
        <f t="shared" si="111"/>
        <v>0.82704243862563587</v>
      </c>
      <c r="AU72" s="531">
        <f t="shared" si="111"/>
        <v>0.82704243862563587</v>
      </c>
      <c r="AV72" s="531">
        <f t="shared" si="111"/>
        <v>0.83210681098652373</v>
      </c>
      <c r="AW72" s="531">
        <f t="shared" si="111"/>
        <v>0.83210681098652373</v>
      </c>
      <c r="AX72" s="531">
        <f t="shared" ref="AX72:BY72" si="112">IFERROR(AX71/AX61,0)</f>
        <v>0.83210681098652373</v>
      </c>
      <c r="AY72" s="531">
        <f t="shared" si="112"/>
        <v>0.83210681098652373</v>
      </c>
      <c r="AZ72" s="531">
        <f t="shared" si="112"/>
        <v>0.83210681098652373</v>
      </c>
      <c r="BA72" s="531">
        <f t="shared" si="112"/>
        <v>0.83210681098652373</v>
      </c>
      <c r="BB72" s="531">
        <f t="shared" si="112"/>
        <v>0.83207652956305322</v>
      </c>
      <c r="BC72" s="531">
        <f t="shared" si="112"/>
        <v>0.83207652956305322</v>
      </c>
      <c r="BD72" s="531">
        <f t="shared" si="112"/>
        <v>0.83207652956305322</v>
      </c>
      <c r="BE72" s="531">
        <f t="shared" si="112"/>
        <v>0.83207652956305322</v>
      </c>
      <c r="BF72" s="531">
        <f t="shared" si="112"/>
        <v>0.83207652956305322</v>
      </c>
      <c r="BG72" s="531">
        <f t="shared" si="112"/>
        <v>0.83207652956305322</v>
      </c>
      <c r="BH72" s="531">
        <f t="shared" si="112"/>
        <v>0.83765566135592662</v>
      </c>
      <c r="BI72" s="531">
        <f t="shared" si="112"/>
        <v>0.83765566135592662</v>
      </c>
      <c r="BJ72" s="531">
        <f t="shared" si="112"/>
        <v>0.83765566135592662</v>
      </c>
      <c r="BK72" s="531">
        <f t="shared" si="112"/>
        <v>0.83765566135592662</v>
      </c>
      <c r="BL72" s="531">
        <f t="shared" si="112"/>
        <v>0.83765566135592662</v>
      </c>
      <c r="BM72" s="531">
        <f t="shared" si="112"/>
        <v>0.83765566135592662</v>
      </c>
      <c r="BN72" s="531">
        <f t="shared" si="112"/>
        <v>0.83690588626188189</v>
      </c>
      <c r="BO72" s="531">
        <f t="shared" si="112"/>
        <v>0.83690588626188189</v>
      </c>
      <c r="BP72" s="531">
        <f t="shared" si="112"/>
        <v>0.83690588626188189</v>
      </c>
      <c r="BQ72" s="531">
        <f t="shared" si="112"/>
        <v>0.83690588626188189</v>
      </c>
      <c r="BR72" s="531">
        <f t="shared" si="112"/>
        <v>0.83690588626188189</v>
      </c>
      <c r="BS72" s="531">
        <f t="shared" si="112"/>
        <v>0.83690588626188189</v>
      </c>
      <c r="BT72" s="531">
        <f t="shared" si="112"/>
        <v>0.84293507800613077</v>
      </c>
      <c r="BU72" s="531">
        <f t="shared" si="112"/>
        <v>0.84293507800613077</v>
      </c>
      <c r="BV72" s="531">
        <f t="shared" si="112"/>
        <v>0.84293507800613077</v>
      </c>
      <c r="BW72" s="531">
        <f t="shared" si="112"/>
        <v>0.84293507800613077</v>
      </c>
      <c r="BX72" s="531">
        <f t="shared" si="112"/>
        <v>0.84293507800613077</v>
      </c>
      <c r="BY72" s="531">
        <f t="shared" si="112"/>
        <v>0.84293507800613077</v>
      </c>
      <c r="BZ72" s="537"/>
      <c r="CA72" s="537"/>
      <c r="CB72" s="537"/>
    </row>
    <row r="73" spans="1:80" x14ac:dyDescent="0.3">
      <c r="A73" s="551"/>
      <c r="B73" s="548"/>
      <c r="C73" s="525"/>
      <c r="D73" s="525"/>
      <c r="E73" s="525"/>
      <c r="F73" s="567"/>
      <c r="G73" s="567"/>
      <c r="H73" s="567"/>
      <c r="I73" s="529"/>
      <c r="J73" s="529"/>
      <c r="K73" s="529"/>
      <c r="L73" s="529"/>
      <c r="M73" s="529"/>
      <c r="N73" s="529"/>
      <c r="O73" s="529"/>
      <c r="P73" s="564"/>
      <c r="Q73" s="537"/>
      <c r="R73" s="529"/>
      <c r="S73" s="529"/>
      <c r="T73" s="529"/>
      <c r="U73" s="529"/>
      <c r="V73" s="529"/>
      <c r="W73" s="529"/>
      <c r="X73" s="529"/>
      <c r="Y73" s="529"/>
      <c r="Z73" s="529"/>
      <c r="AA73" s="529"/>
      <c r="AB73" s="529"/>
      <c r="AC73" s="529"/>
      <c r="AD73" s="529"/>
      <c r="AE73" s="529"/>
      <c r="AF73" s="529"/>
      <c r="AG73" s="529"/>
      <c r="AH73" s="529"/>
      <c r="AI73" s="529"/>
      <c r="AJ73" s="529"/>
      <c r="AK73" s="529"/>
      <c r="AL73" s="529"/>
      <c r="AM73" s="529"/>
      <c r="AN73" s="529"/>
      <c r="AO73" s="529"/>
      <c r="AP73" s="529"/>
      <c r="AQ73" s="529"/>
      <c r="AR73" s="529"/>
      <c r="AS73" s="529"/>
      <c r="AT73" s="529"/>
      <c r="AU73" s="529"/>
      <c r="AV73" s="529"/>
      <c r="AW73" s="529"/>
      <c r="AX73" s="529"/>
      <c r="AY73" s="529"/>
      <c r="AZ73" s="529"/>
      <c r="BA73" s="529"/>
      <c r="BB73" s="529"/>
      <c r="BC73" s="529"/>
      <c r="BD73" s="529"/>
      <c r="BE73" s="529"/>
      <c r="BF73" s="529"/>
      <c r="BG73" s="529"/>
      <c r="BH73" s="529"/>
      <c r="BI73" s="529"/>
      <c r="BJ73" s="529"/>
      <c r="BK73" s="529"/>
      <c r="BL73" s="529"/>
      <c r="BM73" s="529"/>
      <c r="BN73" s="529"/>
      <c r="BO73" s="529"/>
      <c r="BP73" s="529"/>
      <c r="BQ73" s="529"/>
      <c r="BR73" s="529"/>
      <c r="BS73" s="529"/>
      <c r="BT73" s="529"/>
      <c r="BU73" s="529"/>
      <c r="BV73" s="529"/>
      <c r="BW73" s="529"/>
      <c r="BX73" s="529"/>
      <c r="BY73" s="529"/>
      <c r="BZ73" s="537"/>
      <c r="CA73" s="537"/>
      <c r="CB73" s="537"/>
    </row>
    <row r="74" spans="1:80" x14ac:dyDescent="0.3">
      <c r="A74" s="551"/>
      <c r="B74" s="548"/>
      <c r="C74" s="525"/>
      <c r="D74" s="525"/>
      <c r="E74" s="525" t="s">
        <v>70</v>
      </c>
      <c r="F74" s="567"/>
      <c r="G74" s="567"/>
      <c r="H74" s="567"/>
      <c r="I74" s="527">
        <f>I564</f>
        <v>-20000</v>
      </c>
      <c r="J74" s="527">
        <f t="shared" ref="J74:N76" si="113">SUMIF($R$2:$BY$2,J$3,$R74:$BY74)</f>
        <v>-161633.40743935315</v>
      </c>
      <c r="K74" s="527">
        <f t="shared" si="113"/>
        <v>-165520.65860391143</v>
      </c>
      <c r="L74" s="527">
        <f t="shared" si="113"/>
        <v>-169237.32871097644</v>
      </c>
      <c r="M74" s="527">
        <f t="shared" si="113"/>
        <v>-172736.75536706025</v>
      </c>
      <c r="N74" s="527">
        <f t="shared" si="113"/>
        <v>-176107.88191964172</v>
      </c>
      <c r="O74" s="529"/>
      <c r="P74" s="564">
        <f>IFERROR(((N74/I74)^(1/5))-1,0)</f>
        <v>0.54507569060108163</v>
      </c>
      <c r="Q74" s="574"/>
      <c r="R74" s="527">
        <f t="shared" ref="R74:AW74" si="114">R437</f>
        <v>0</v>
      </c>
      <c r="S74" s="527">
        <f t="shared" si="114"/>
        <v>0</v>
      </c>
      <c r="T74" s="527">
        <f t="shared" si="114"/>
        <v>0</v>
      </c>
      <c r="U74" s="527">
        <f t="shared" si="114"/>
        <v>0</v>
      </c>
      <c r="V74" s="527">
        <f t="shared" si="114"/>
        <v>0</v>
      </c>
      <c r="W74" s="527">
        <f t="shared" si="114"/>
        <v>-161633.40743935315</v>
      </c>
      <c r="X74" s="527">
        <f t="shared" si="114"/>
        <v>0</v>
      </c>
      <c r="Y74" s="527">
        <f t="shared" si="114"/>
        <v>0</v>
      </c>
      <c r="Z74" s="527">
        <f t="shared" si="114"/>
        <v>0</v>
      </c>
      <c r="AA74" s="527">
        <f t="shared" si="114"/>
        <v>0</v>
      </c>
      <c r="AB74" s="527">
        <f t="shared" si="114"/>
        <v>0</v>
      </c>
      <c r="AC74" s="527">
        <f t="shared" si="114"/>
        <v>0</v>
      </c>
      <c r="AD74" s="527">
        <f t="shared" si="114"/>
        <v>0</v>
      </c>
      <c r="AE74" s="527">
        <f t="shared" si="114"/>
        <v>0</v>
      </c>
      <c r="AF74" s="527">
        <f t="shared" si="114"/>
        <v>0</v>
      </c>
      <c r="AG74" s="527">
        <f t="shared" si="114"/>
        <v>0</v>
      </c>
      <c r="AH74" s="527">
        <f t="shared" si="114"/>
        <v>0</v>
      </c>
      <c r="AI74" s="527">
        <f t="shared" si="114"/>
        <v>-165520.65860391143</v>
      </c>
      <c r="AJ74" s="527">
        <f t="shared" si="114"/>
        <v>0</v>
      </c>
      <c r="AK74" s="527">
        <f t="shared" si="114"/>
        <v>0</v>
      </c>
      <c r="AL74" s="527">
        <f t="shared" si="114"/>
        <v>0</v>
      </c>
      <c r="AM74" s="527">
        <f t="shared" si="114"/>
        <v>0</v>
      </c>
      <c r="AN74" s="527">
        <f t="shared" si="114"/>
        <v>0</v>
      </c>
      <c r="AO74" s="527">
        <f t="shared" si="114"/>
        <v>0</v>
      </c>
      <c r="AP74" s="527">
        <f t="shared" si="114"/>
        <v>0</v>
      </c>
      <c r="AQ74" s="527">
        <f t="shared" si="114"/>
        <v>0</v>
      </c>
      <c r="AR74" s="527">
        <f t="shared" si="114"/>
        <v>0</v>
      </c>
      <c r="AS74" s="527">
        <f t="shared" si="114"/>
        <v>0</v>
      </c>
      <c r="AT74" s="527">
        <f t="shared" si="114"/>
        <v>0</v>
      </c>
      <c r="AU74" s="527">
        <f t="shared" si="114"/>
        <v>-169237.32871097644</v>
      </c>
      <c r="AV74" s="527">
        <f t="shared" si="114"/>
        <v>0</v>
      </c>
      <c r="AW74" s="527">
        <f t="shared" si="114"/>
        <v>0</v>
      </c>
      <c r="AX74" s="527">
        <f t="shared" ref="AX74:BY74" si="115">AX437</f>
        <v>0</v>
      </c>
      <c r="AY74" s="527">
        <f t="shared" si="115"/>
        <v>0</v>
      </c>
      <c r="AZ74" s="527">
        <f t="shared" si="115"/>
        <v>0</v>
      </c>
      <c r="BA74" s="527">
        <f t="shared" si="115"/>
        <v>0</v>
      </c>
      <c r="BB74" s="527">
        <f t="shared" si="115"/>
        <v>0</v>
      </c>
      <c r="BC74" s="527">
        <f t="shared" si="115"/>
        <v>0</v>
      </c>
      <c r="BD74" s="527">
        <f t="shared" si="115"/>
        <v>0</v>
      </c>
      <c r="BE74" s="527">
        <f t="shared" si="115"/>
        <v>0</v>
      </c>
      <c r="BF74" s="527">
        <f t="shared" si="115"/>
        <v>0</v>
      </c>
      <c r="BG74" s="527">
        <f t="shared" si="115"/>
        <v>-172736.75536706025</v>
      </c>
      <c r="BH74" s="527">
        <f t="shared" si="115"/>
        <v>0</v>
      </c>
      <c r="BI74" s="527">
        <f t="shared" si="115"/>
        <v>0</v>
      </c>
      <c r="BJ74" s="527">
        <f t="shared" si="115"/>
        <v>0</v>
      </c>
      <c r="BK74" s="527">
        <f t="shared" si="115"/>
        <v>0</v>
      </c>
      <c r="BL74" s="527">
        <f t="shared" si="115"/>
        <v>0</v>
      </c>
      <c r="BM74" s="527">
        <f t="shared" si="115"/>
        <v>0</v>
      </c>
      <c r="BN74" s="527">
        <f t="shared" si="115"/>
        <v>0</v>
      </c>
      <c r="BO74" s="527">
        <f t="shared" si="115"/>
        <v>0</v>
      </c>
      <c r="BP74" s="527">
        <f t="shared" si="115"/>
        <v>0</v>
      </c>
      <c r="BQ74" s="527">
        <f t="shared" si="115"/>
        <v>0</v>
      </c>
      <c r="BR74" s="527">
        <f t="shared" si="115"/>
        <v>0</v>
      </c>
      <c r="BS74" s="527">
        <f t="shared" si="115"/>
        <v>-176107.88191964172</v>
      </c>
      <c r="BT74" s="527">
        <f t="shared" si="115"/>
        <v>0</v>
      </c>
      <c r="BU74" s="527">
        <f t="shared" si="115"/>
        <v>0</v>
      </c>
      <c r="BV74" s="527">
        <f t="shared" si="115"/>
        <v>0</v>
      </c>
      <c r="BW74" s="527">
        <f t="shared" si="115"/>
        <v>0</v>
      </c>
      <c r="BX74" s="527">
        <f t="shared" si="115"/>
        <v>0</v>
      </c>
      <c r="BY74" s="527">
        <f t="shared" si="115"/>
        <v>0</v>
      </c>
      <c r="BZ74" s="537"/>
      <c r="CA74" s="537"/>
      <c r="CB74" s="537"/>
    </row>
    <row r="75" spans="1:80" x14ac:dyDescent="0.3">
      <c r="A75" s="551"/>
      <c r="B75" s="548"/>
      <c r="C75" s="525"/>
      <c r="D75" s="525"/>
      <c r="E75" s="525" t="s">
        <v>185</v>
      </c>
      <c r="F75" s="567"/>
      <c r="G75" s="567"/>
      <c r="H75" s="567"/>
      <c r="I75" s="528">
        <v>0</v>
      </c>
      <c r="J75" s="527">
        <f t="shared" si="113"/>
        <v>0</v>
      </c>
      <c r="K75" s="527">
        <f t="shared" si="113"/>
        <v>0</v>
      </c>
      <c r="L75" s="527">
        <f t="shared" si="113"/>
        <v>0</v>
      </c>
      <c r="M75" s="527">
        <f t="shared" si="113"/>
        <v>0</v>
      </c>
      <c r="N75" s="527">
        <f t="shared" si="113"/>
        <v>0</v>
      </c>
      <c r="O75" s="544"/>
      <c r="P75" s="564">
        <f>IFERROR(((N75/I75)^(1/5))-1,0)</f>
        <v>0</v>
      </c>
      <c r="Q75" s="537"/>
      <c r="R75" s="580">
        <v>0</v>
      </c>
      <c r="S75" s="528">
        <v>0</v>
      </c>
      <c r="T75" s="528">
        <v>0</v>
      </c>
      <c r="U75" s="528">
        <v>0</v>
      </c>
      <c r="V75" s="528">
        <v>0</v>
      </c>
      <c r="W75" s="528">
        <v>0</v>
      </c>
      <c r="X75" s="528">
        <v>0</v>
      </c>
      <c r="Y75" s="528">
        <v>0</v>
      </c>
      <c r="Z75" s="528">
        <v>0</v>
      </c>
      <c r="AA75" s="528">
        <v>0</v>
      </c>
      <c r="AB75" s="528">
        <v>0</v>
      </c>
      <c r="AC75" s="528">
        <v>0</v>
      </c>
      <c r="AD75" s="528">
        <v>0</v>
      </c>
      <c r="AE75" s="528">
        <v>0</v>
      </c>
      <c r="AF75" s="528">
        <v>0</v>
      </c>
      <c r="AG75" s="528">
        <v>0</v>
      </c>
      <c r="AH75" s="528">
        <v>0</v>
      </c>
      <c r="AI75" s="528">
        <v>0</v>
      </c>
      <c r="AJ75" s="528">
        <v>0</v>
      </c>
      <c r="AK75" s="528">
        <v>0</v>
      </c>
      <c r="AL75" s="528">
        <v>0</v>
      </c>
      <c r="AM75" s="528">
        <v>0</v>
      </c>
      <c r="AN75" s="528">
        <v>0</v>
      </c>
      <c r="AO75" s="528">
        <v>0</v>
      </c>
      <c r="AP75" s="528">
        <v>0</v>
      </c>
      <c r="AQ75" s="528">
        <v>0</v>
      </c>
      <c r="AR75" s="528">
        <v>0</v>
      </c>
      <c r="AS75" s="528">
        <v>0</v>
      </c>
      <c r="AT75" s="528">
        <v>0</v>
      </c>
      <c r="AU75" s="528">
        <v>0</v>
      </c>
      <c r="AV75" s="528">
        <v>0</v>
      </c>
      <c r="AW75" s="528">
        <v>0</v>
      </c>
      <c r="AX75" s="528">
        <v>0</v>
      </c>
      <c r="AY75" s="528">
        <v>0</v>
      </c>
      <c r="AZ75" s="528">
        <v>0</v>
      </c>
      <c r="BA75" s="528">
        <v>0</v>
      </c>
      <c r="BB75" s="528">
        <v>0</v>
      </c>
      <c r="BC75" s="528">
        <v>0</v>
      </c>
      <c r="BD75" s="528">
        <v>0</v>
      </c>
      <c r="BE75" s="528">
        <v>0</v>
      </c>
      <c r="BF75" s="528">
        <v>0</v>
      </c>
      <c r="BG75" s="528">
        <v>0</v>
      </c>
      <c r="BH75" s="528">
        <v>0</v>
      </c>
      <c r="BI75" s="528">
        <v>0</v>
      </c>
      <c r="BJ75" s="528">
        <v>0</v>
      </c>
      <c r="BK75" s="528">
        <v>0</v>
      </c>
      <c r="BL75" s="528">
        <v>0</v>
      </c>
      <c r="BM75" s="528">
        <v>0</v>
      </c>
      <c r="BN75" s="528">
        <v>0</v>
      </c>
      <c r="BO75" s="528">
        <v>0</v>
      </c>
      <c r="BP75" s="528">
        <v>0</v>
      </c>
      <c r="BQ75" s="528">
        <v>0</v>
      </c>
      <c r="BR75" s="528">
        <v>0</v>
      </c>
      <c r="BS75" s="528">
        <v>0</v>
      </c>
      <c r="BT75" s="528">
        <v>0</v>
      </c>
      <c r="BU75" s="528">
        <v>0</v>
      </c>
      <c r="BV75" s="528">
        <v>0</v>
      </c>
      <c r="BW75" s="528">
        <v>0</v>
      </c>
      <c r="BX75" s="528">
        <v>0</v>
      </c>
      <c r="BY75" s="528">
        <v>0</v>
      </c>
      <c r="BZ75" s="537"/>
      <c r="CA75" s="537"/>
      <c r="CB75" s="537"/>
    </row>
    <row r="76" spans="1:80" x14ac:dyDescent="0.3">
      <c r="A76" s="551"/>
      <c r="B76" s="548"/>
      <c r="C76" s="525"/>
      <c r="D76" s="525"/>
      <c r="E76" s="525" t="s">
        <v>370</v>
      </c>
      <c r="F76" s="567"/>
      <c r="G76" s="567"/>
      <c r="H76" s="567"/>
      <c r="I76" s="528">
        <v>0</v>
      </c>
      <c r="J76" s="527">
        <f t="shared" si="113"/>
        <v>0</v>
      </c>
      <c r="K76" s="527">
        <f t="shared" si="113"/>
        <v>0</v>
      </c>
      <c r="L76" s="527">
        <f t="shared" si="113"/>
        <v>0</v>
      </c>
      <c r="M76" s="527">
        <f t="shared" si="113"/>
        <v>0</v>
      </c>
      <c r="N76" s="527">
        <f t="shared" si="113"/>
        <v>0</v>
      </c>
      <c r="O76" s="544"/>
      <c r="P76" s="564">
        <f>IFERROR(((N76/I76)^(1/5))-1,0)</f>
        <v>0</v>
      </c>
      <c r="Q76" s="537"/>
      <c r="R76" s="528">
        <v>0</v>
      </c>
      <c r="S76" s="528">
        <v>0</v>
      </c>
      <c r="T76" s="528">
        <v>0</v>
      </c>
      <c r="U76" s="528">
        <v>0</v>
      </c>
      <c r="V76" s="528">
        <v>0</v>
      </c>
      <c r="W76" s="528">
        <v>0</v>
      </c>
      <c r="X76" s="528">
        <v>0</v>
      </c>
      <c r="Y76" s="528">
        <v>0</v>
      </c>
      <c r="Z76" s="528">
        <v>0</v>
      </c>
      <c r="AA76" s="528">
        <v>0</v>
      </c>
      <c r="AB76" s="528">
        <v>0</v>
      </c>
      <c r="AC76" s="528">
        <v>0</v>
      </c>
      <c r="AD76" s="528">
        <v>0</v>
      </c>
      <c r="AE76" s="528">
        <v>0</v>
      </c>
      <c r="AF76" s="528">
        <v>0</v>
      </c>
      <c r="AG76" s="528">
        <v>0</v>
      </c>
      <c r="AH76" s="528">
        <v>0</v>
      </c>
      <c r="AI76" s="528">
        <v>0</v>
      </c>
      <c r="AJ76" s="528">
        <v>0</v>
      </c>
      <c r="AK76" s="528">
        <v>0</v>
      </c>
      <c r="AL76" s="528">
        <v>0</v>
      </c>
      <c r="AM76" s="528">
        <v>0</v>
      </c>
      <c r="AN76" s="528">
        <v>0</v>
      </c>
      <c r="AO76" s="528">
        <v>0</v>
      </c>
      <c r="AP76" s="528">
        <v>0</v>
      </c>
      <c r="AQ76" s="528">
        <v>0</v>
      </c>
      <c r="AR76" s="528">
        <v>0</v>
      </c>
      <c r="AS76" s="528">
        <v>0</v>
      </c>
      <c r="AT76" s="528">
        <v>0</v>
      </c>
      <c r="AU76" s="528">
        <v>0</v>
      </c>
      <c r="AV76" s="528">
        <v>0</v>
      </c>
      <c r="AW76" s="528">
        <v>0</v>
      </c>
      <c r="AX76" s="528">
        <v>0</v>
      </c>
      <c r="AY76" s="528">
        <v>0</v>
      </c>
      <c r="AZ76" s="528">
        <v>0</v>
      </c>
      <c r="BA76" s="528">
        <v>0</v>
      </c>
      <c r="BB76" s="528">
        <v>0</v>
      </c>
      <c r="BC76" s="528">
        <v>0</v>
      </c>
      <c r="BD76" s="528">
        <v>0</v>
      </c>
      <c r="BE76" s="528">
        <v>0</v>
      </c>
      <c r="BF76" s="528">
        <v>0</v>
      </c>
      <c r="BG76" s="528">
        <v>0</v>
      </c>
      <c r="BH76" s="528">
        <v>0</v>
      </c>
      <c r="BI76" s="528">
        <v>0</v>
      </c>
      <c r="BJ76" s="528">
        <v>0</v>
      </c>
      <c r="BK76" s="528">
        <v>0</v>
      </c>
      <c r="BL76" s="528">
        <v>0</v>
      </c>
      <c r="BM76" s="528">
        <v>0</v>
      </c>
      <c r="BN76" s="528">
        <v>0</v>
      </c>
      <c r="BO76" s="528">
        <v>0</v>
      </c>
      <c r="BP76" s="528">
        <v>0</v>
      </c>
      <c r="BQ76" s="528">
        <v>0</v>
      </c>
      <c r="BR76" s="528">
        <v>0</v>
      </c>
      <c r="BS76" s="528">
        <v>0</v>
      </c>
      <c r="BT76" s="528">
        <v>0</v>
      </c>
      <c r="BU76" s="528">
        <v>0</v>
      </c>
      <c r="BV76" s="528">
        <v>0</v>
      </c>
      <c r="BW76" s="528">
        <v>0</v>
      </c>
      <c r="BX76" s="528">
        <v>0</v>
      </c>
      <c r="BY76" s="528">
        <v>0</v>
      </c>
      <c r="BZ76" s="537"/>
      <c r="CA76" s="537"/>
      <c r="CB76" s="537"/>
    </row>
    <row r="77" spans="1:80" x14ac:dyDescent="0.3">
      <c r="A77" s="551"/>
      <c r="B77" s="548"/>
      <c r="C77" s="525"/>
      <c r="D77" s="525"/>
      <c r="E77" s="578" t="s">
        <v>71</v>
      </c>
      <c r="F77" s="579"/>
      <c r="G77" s="579"/>
      <c r="H77" s="579"/>
      <c r="I77" s="535">
        <f t="shared" ref="I77:N77" si="116">I71+SUM(I74:I76)</f>
        <v>2452572.7619290198</v>
      </c>
      <c r="J77" s="535">
        <f t="shared" si="116"/>
        <v>2427830.1851976439</v>
      </c>
      <c r="K77" s="535">
        <f t="shared" si="116"/>
        <v>2600422.1887268247</v>
      </c>
      <c r="L77" s="535">
        <f t="shared" si="116"/>
        <v>2777981.979114945</v>
      </c>
      <c r="M77" s="535">
        <f t="shared" si="116"/>
        <v>2958873.7748200409</v>
      </c>
      <c r="N77" s="535">
        <f t="shared" si="116"/>
        <v>3148736.7586890743</v>
      </c>
      <c r="O77" s="536"/>
      <c r="P77" s="568">
        <f>IFERROR(((N77/I77)^(1/5))-1,0)</f>
        <v>5.1242452346727863E-2</v>
      </c>
      <c r="Q77" s="537"/>
      <c r="R77" s="535">
        <f t="shared" ref="R77:AW77" si="117">R71+SUM(R74:R76)</f>
        <v>212803.46572610413</v>
      </c>
      <c r="S77" s="534">
        <f t="shared" si="117"/>
        <v>212803.46572610413</v>
      </c>
      <c r="T77" s="534">
        <f t="shared" si="117"/>
        <v>212803.46572610413</v>
      </c>
      <c r="U77" s="534">
        <f t="shared" si="117"/>
        <v>212803.46572610413</v>
      </c>
      <c r="V77" s="534">
        <f t="shared" si="117"/>
        <v>212803.46572610413</v>
      </c>
      <c r="W77" s="534">
        <f t="shared" si="117"/>
        <v>51170.05828675098</v>
      </c>
      <c r="X77" s="534">
        <f t="shared" si="117"/>
        <v>218773.79971339519</v>
      </c>
      <c r="Y77" s="534">
        <f t="shared" si="117"/>
        <v>218773.79971339519</v>
      </c>
      <c r="Z77" s="534">
        <f t="shared" si="117"/>
        <v>218773.79971339519</v>
      </c>
      <c r="AA77" s="534">
        <f t="shared" si="117"/>
        <v>218773.79971339519</v>
      </c>
      <c r="AB77" s="534">
        <f t="shared" si="117"/>
        <v>218773.79971339519</v>
      </c>
      <c r="AC77" s="534">
        <f t="shared" si="117"/>
        <v>218773.79971339519</v>
      </c>
      <c r="AD77" s="534">
        <f t="shared" si="117"/>
        <v>226655.86946666802</v>
      </c>
      <c r="AE77" s="534">
        <f t="shared" si="117"/>
        <v>226655.86946666802</v>
      </c>
      <c r="AF77" s="534">
        <f t="shared" si="117"/>
        <v>226655.86946666802</v>
      </c>
      <c r="AG77" s="534">
        <f t="shared" si="117"/>
        <v>226655.86946666802</v>
      </c>
      <c r="AH77" s="534">
        <f t="shared" si="117"/>
        <v>226655.86946666802</v>
      </c>
      <c r="AI77" s="534">
        <f t="shared" si="117"/>
        <v>61135.21086275659</v>
      </c>
      <c r="AJ77" s="534">
        <f t="shared" si="117"/>
        <v>234334.60508845464</v>
      </c>
      <c r="AK77" s="534">
        <f t="shared" si="117"/>
        <v>234334.60508845464</v>
      </c>
      <c r="AL77" s="534">
        <f t="shared" si="117"/>
        <v>234334.60508845464</v>
      </c>
      <c r="AM77" s="534">
        <f t="shared" si="117"/>
        <v>234334.60508845464</v>
      </c>
      <c r="AN77" s="534">
        <f t="shared" si="117"/>
        <v>234334.60508845464</v>
      </c>
      <c r="AO77" s="534">
        <f t="shared" si="117"/>
        <v>234334.60508845464</v>
      </c>
      <c r="AP77" s="534">
        <f t="shared" si="117"/>
        <v>240850.8380377526</v>
      </c>
      <c r="AQ77" s="534">
        <f t="shared" si="117"/>
        <v>240850.8380377526</v>
      </c>
      <c r="AR77" s="534">
        <f t="shared" si="117"/>
        <v>240850.8380377526</v>
      </c>
      <c r="AS77" s="534">
        <f t="shared" si="117"/>
        <v>240850.8380377526</v>
      </c>
      <c r="AT77" s="534">
        <f t="shared" si="117"/>
        <v>240850.8380377526</v>
      </c>
      <c r="AU77" s="534">
        <f t="shared" si="117"/>
        <v>71613.509326776169</v>
      </c>
      <c r="AV77" s="534">
        <f t="shared" si="117"/>
        <v>250352.37993323436</v>
      </c>
      <c r="AW77" s="534">
        <f t="shared" si="117"/>
        <v>250352.37993323436</v>
      </c>
      <c r="AX77" s="534">
        <f t="shared" ref="AX77:BY77" si="118">AX71+SUM(AX74:AX76)</f>
        <v>250352.37993323436</v>
      </c>
      <c r="AY77" s="534">
        <f t="shared" si="118"/>
        <v>250352.37993323436</v>
      </c>
      <c r="AZ77" s="534">
        <f t="shared" si="118"/>
        <v>250352.37993323436</v>
      </c>
      <c r="BA77" s="534">
        <f t="shared" si="118"/>
        <v>250352.37993323436</v>
      </c>
      <c r="BB77" s="534">
        <f t="shared" si="118"/>
        <v>255247.00731926435</v>
      </c>
      <c r="BC77" s="534">
        <f t="shared" si="118"/>
        <v>255247.00731926435</v>
      </c>
      <c r="BD77" s="534">
        <f t="shared" si="118"/>
        <v>255247.00731926435</v>
      </c>
      <c r="BE77" s="534">
        <f t="shared" si="118"/>
        <v>255247.00731926435</v>
      </c>
      <c r="BF77" s="534">
        <f t="shared" si="118"/>
        <v>255247.00731926435</v>
      </c>
      <c r="BG77" s="534">
        <f t="shared" si="118"/>
        <v>82510.251952204097</v>
      </c>
      <c r="BH77" s="534">
        <f t="shared" si="118"/>
        <v>266688.08104525245</v>
      </c>
      <c r="BI77" s="534">
        <f t="shared" si="118"/>
        <v>266688.08104525245</v>
      </c>
      <c r="BJ77" s="534">
        <f t="shared" si="118"/>
        <v>266688.08104525245</v>
      </c>
      <c r="BK77" s="534">
        <f t="shared" si="118"/>
        <v>266688.08104525245</v>
      </c>
      <c r="BL77" s="534">
        <f t="shared" si="118"/>
        <v>266688.08104525245</v>
      </c>
      <c r="BM77" s="534">
        <f t="shared" si="118"/>
        <v>266688.08104525245</v>
      </c>
      <c r="BN77" s="534">
        <f t="shared" si="118"/>
        <v>270319.22085264011</v>
      </c>
      <c r="BO77" s="534">
        <f t="shared" si="118"/>
        <v>270319.22085264011</v>
      </c>
      <c r="BP77" s="534">
        <f t="shared" si="118"/>
        <v>270319.22085264011</v>
      </c>
      <c r="BQ77" s="534">
        <f t="shared" si="118"/>
        <v>270319.22085264011</v>
      </c>
      <c r="BR77" s="534">
        <f t="shared" si="118"/>
        <v>270319.22085264011</v>
      </c>
      <c r="BS77" s="534">
        <f t="shared" si="118"/>
        <v>94211.338932998391</v>
      </c>
      <c r="BT77" s="534">
        <f t="shared" si="118"/>
        <v>283821.5525821459</v>
      </c>
      <c r="BU77" s="534">
        <f t="shared" si="118"/>
        <v>283821.5525821459</v>
      </c>
      <c r="BV77" s="534">
        <f t="shared" si="118"/>
        <v>283821.5525821459</v>
      </c>
      <c r="BW77" s="534">
        <f t="shared" si="118"/>
        <v>283821.5525821459</v>
      </c>
      <c r="BX77" s="534">
        <f t="shared" si="118"/>
        <v>283821.5525821459</v>
      </c>
      <c r="BY77" s="534">
        <f t="shared" si="118"/>
        <v>283821.5525821459</v>
      </c>
      <c r="BZ77" s="537"/>
      <c r="CA77" s="537"/>
      <c r="CB77" s="537"/>
    </row>
    <row r="78" spans="1:80" x14ac:dyDescent="0.3">
      <c r="A78" s="551"/>
      <c r="B78" s="548"/>
      <c r="C78" s="525"/>
      <c r="D78" s="525"/>
      <c r="E78" s="566"/>
      <c r="F78" s="581"/>
      <c r="G78" s="581"/>
      <c r="H78" s="581"/>
      <c r="I78" s="536"/>
      <c r="J78" s="536"/>
      <c r="K78" s="536"/>
      <c r="L78" s="536"/>
      <c r="M78" s="536"/>
      <c r="N78" s="536"/>
      <c r="O78" s="536"/>
      <c r="P78" s="582"/>
      <c r="Q78" s="537"/>
      <c r="R78" s="536"/>
      <c r="S78" s="536"/>
      <c r="T78" s="536"/>
      <c r="U78" s="536"/>
      <c r="V78" s="536"/>
      <c r="W78" s="536"/>
      <c r="X78" s="536"/>
      <c r="Y78" s="536"/>
      <c r="Z78" s="536"/>
      <c r="AA78" s="536"/>
      <c r="AB78" s="536"/>
      <c r="AC78" s="536"/>
      <c r="AD78" s="536"/>
      <c r="AE78" s="536"/>
      <c r="AF78" s="536"/>
      <c r="AG78" s="536"/>
      <c r="AH78" s="536"/>
      <c r="AI78" s="536"/>
      <c r="AJ78" s="536"/>
      <c r="AK78" s="536"/>
      <c r="AL78" s="536"/>
      <c r="AM78" s="536"/>
      <c r="AN78" s="536"/>
      <c r="AO78" s="536"/>
      <c r="AP78" s="536"/>
      <c r="AQ78" s="536"/>
      <c r="AR78" s="536"/>
      <c r="AS78" s="536"/>
      <c r="AT78" s="536"/>
      <c r="AU78" s="536"/>
      <c r="AV78" s="536"/>
      <c r="AW78" s="536"/>
      <c r="AX78" s="536"/>
      <c r="AY78" s="536"/>
      <c r="AZ78" s="536"/>
      <c r="BA78" s="536"/>
      <c r="BB78" s="536"/>
      <c r="BC78" s="536"/>
      <c r="BD78" s="536"/>
      <c r="BE78" s="536"/>
      <c r="BF78" s="536"/>
      <c r="BG78" s="536"/>
      <c r="BH78" s="536"/>
      <c r="BI78" s="536"/>
      <c r="BJ78" s="536"/>
      <c r="BK78" s="536"/>
      <c r="BL78" s="536"/>
      <c r="BM78" s="536"/>
      <c r="BN78" s="536"/>
      <c r="BO78" s="536"/>
      <c r="BP78" s="536"/>
      <c r="BQ78" s="536"/>
      <c r="BR78" s="536"/>
      <c r="BS78" s="536"/>
      <c r="BT78" s="536"/>
      <c r="BU78" s="536"/>
      <c r="BV78" s="536"/>
      <c r="BW78" s="536"/>
      <c r="BX78" s="536"/>
      <c r="BY78" s="536"/>
      <c r="BZ78" s="537"/>
      <c r="CA78" s="537"/>
      <c r="CB78" s="537"/>
    </row>
    <row r="79" spans="1:80" x14ac:dyDescent="0.3">
      <c r="A79" s="551"/>
      <c r="B79" s="548"/>
      <c r="C79" s="525"/>
      <c r="D79" s="525"/>
      <c r="E79" s="566"/>
      <c r="F79" s="581"/>
      <c r="G79" s="581"/>
      <c r="H79" s="581"/>
      <c r="I79" s="536"/>
      <c r="J79" s="536"/>
      <c r="K79" s="536"/>
      <c r="L79" s="536"/>
      <c r="M79" s="536"/>
      <c r="N79" s="536"/>
      <c r="O79" s="536"/>
      <c r="P79" s="582"/>
      <c r="Q79" s="537"/>
      <c r="R79" s="536"/>
      <c r="S79" s="536"/>
      <c r="T79" s="536"/>
      <c r="U79" s="536"/>
      <c r="V79" s="536"/>
      <c r="W79" s="536"/>
      <c r="X79" s="536"/>
      <c r="Y79" s="536"/>
      <c r="Z79" s="536"/>
      <c r="AA79" s="536"/>
      <c r="AB79" s="536"/>
      <c r="AC79" s="536"/>
      <c r="AD79" s="536"/>
      <c r="AE79" s="536"/>
      <c r="AF79" s="536"/>
      <c r="AG79" s="536"/>
      <c r="AH79" s="536"/>
      <c r="AI79" s="536"/>
      <c r="AJ79" s="536"/>
      <c r="AK79" s="536"/>
      <c r="AL79" s="536"/>
      <c r="AM79" s="536"/>
      <c r="AN79" s="536"/>
      <c r="AO79" s="536"/>
      <c r="AP79" s="536"/>
      <c r="AQ79" s="536"/>
      <c r="AR79" s="536"/>
      <c r="AS79" s="536"/>
      <c r="AT79" s="536"/>
      <c r="AU79" s="536"/>
      <c r="AV79" s="536"/>
      <c r="AW79" s="536"/>
      <c r="AX79" s="536"/>
      <c r="AY79" s="536"/>
      <c r="AZ79" s="536"/>
      <c r="BA79" s="536"/>
      <c r="BB79" s="536"/>
      <c r="BC79" s="536"/>
      <c r="BD79" s="536"/>
      <c r="BE79" s="536"/>
      <c r="BF79" s="536"/>
      <c r="BG79" s="536"/>
      <c r="BH79" s="536"/>
      <c r="BI79" s="536"/>
      <c r="BJ79" s="536"/>
      <c r="BK79" s="536"/>
      <c r="BL79" s="536"/>
      <c r="BM79" s="536"/>
      <c r="BN79" s="536"/>
      <c r="BO79" s="536"/>
      <c r="BP79" s="536"/>
      <c r="BQ79" s="536"/>
      <c r="BR79" s="536"/>
      <c r="BS79" s="536"/>
      <c r="BT79" s="536"/>
      <c r="BU79" s="536"/>
      <c r="BV79" s="536"/>
      <c r="BW79" s="536"/>
      <c r="BX79" s="536"/>
      <c r="BY79" s="536"/>
      <c r="BZ79" s="537"/>
      <c r="CA79" s="537"/>
      <c r="CB79" s="537"/>
    </row>
    <row r="80" spans="1:80" x14ac:dyDescent="0.3">
      <c r="A80" s="551"/>
      <c r="B80" s="548"/>
      <c r="C80" s="560" t="s">
        <v>37</v>
      </c>
      <c r="D80" s="561"/>
      <c r="E80" s="526" t="s">
        <v>135</v>
      </c>
      <c r="F80" s="526"/>
      <c r="G80" s="526"/>
      <c r="H80" s="526"/>
      <c r="I80" s="526"/>
      <c r="J80" s="526"/>
      <c r="K80" s="526"/>
      <c r="L80" s="526"/>
      <c r="M80" s="526"/>
      <c r="N80" s="526"/>
      <c r="O80" s="526"/>
      <c r="P80" s="560"/>
      <c r="Q80" s="526"/>
      <c r="R80" s="526"/>
      <c r="S80" s="526"/>
      <c r="T80" s="526"/>
      <c r="U80" s="526"/>
      <c r="V80" s="526"/>
      <c r="W80" s="526"/>
      <c r="X80" s="526"/>
      <c r="Y80" s="526"/>
      <c r="Z80" s="526"/>
      <c r="AA80" s="526"/>
      <c r="AB80" s="526"/>
      <c r="AC80" s="526"/>
      <c r="AD80" s="526"/>
      <c r="AE80" s="526"/>
      <c r="AF80" s="526"/>
      <c r="AG80" s="526"/>
      <c r="AH80" s="526"/>
      <c r="AI80" s="526"/>
      <c r="AJ80" s="526"/>
      <c r="AK80" s="526"/>
      <c r="AL80" s="526"/>
      <c r="AM80" s="526"/>
      <c r="AN80" s="526"/>
      <c r="AO80" s="526"/>
      <c r="AP80" s="526"/>
      <c r="AQ80" s="526"/>
      <c r="AR80" s="526"/>
      <c r="AS80" s="526"/>
      <c r="AT80" s="526"/>
      <c r="AU80" s="526"/>
      <c r="AV80" s="526"/>
      <c r="AW80" s="526"/>
      <c r="AX80" s="526"/>
      <c r="AY80" s="526"/>
      <c r="AZ80" s="526"/>
      <c r="BA80" s="526"/>
      <c r="BB80" s="526"/>
      <c r="BC80" s="526"/>
      <c r="BD80" s="526"/>
      <c r="BE80" s="526"/>
      <c r="BF80" s="526"/>
      <c r="BG80" s="526"/>
      <c r="BH80" s="526"/>
      <c r="BI80" s="526"/>
      <c r="BJ80" s="526"/>
      <c r="BK80" s="526"/>
      <c r="BL80" s="526"/>
      <c r="BM80" s="526"/>
      <c r="BN80" s="526"/>
      <c r="BO80" s="526"/>
      <c r="BP80" s="526"/>
      <c r="BQ80" s="526"/>
      <c r="BR80" s="526"/>
      <c r="BS80" s="526"/>
      <c r="BT80" s="526"/>
      <c r="BU80" s="526"/>
      <c r="BV80" s="526"/>
      <c r="BW80" s="526"/>
      <c r="BX80" s="526"/>
      <c r="BY80" s="526"/>
      <c r="BZ80" s="537"/>
      <c r="CA80" s="537"/>
      <c r="CB80" s="537"/>
    </row>
    <row r="81" spans="1:80" x14ac:dyDescent="0.3">
      <c r="A81" s="551"/>
      <c r="B81" s="548"/>
      <c r="C81" s="525"/>
      <c r="D81" s="525"/>
      <c r="E81" s="525"/>
      <c r="F81" s="525"/>
      <c r="G81" s="525"/>
      <c r="H81" s="525"/>
      <c r="I81" s="529"/>
      <c r="J81" s="529"/>
      <c r="K81" s="529"/>
      <c r="L81" s="529"/>
      <c r="M81" s="529"/>
      <c r="N81" s="529"/>
      <c r="O81" s="529"/>
      <c r="P81" s="562"/>
      <c r="Q81" s="537"/>
      <c r="R81" s="529"/>
      <c r="S81" s="525"/>
      <c r="T81" s="525"/>
      <c r="U81" s="525"/>
      <c r="V81" s="525"/>
      <c r="W81" s="525"/>
      <c r="X81" s="525"/>
      <c r="Y81" s="525"/>
      <c r="Z81" s="525"/>
      <c r="AA81" s="525"/>
      <c r="AB81" s="525"/>
      <c r="AC81" s="525"/>
      <c r="AD81" s="525"/>
      <c r="AE81" s="525"/>
      <c r="AF81" s="525"/>
      <c r="AG81" s="525"/>
      <c r="AH81" s="525"/>
      <c r="AI81" s="525"/>
      <c r="AJ81" s="525"/>
      <c r="AK81" s="525"/>
      <c r="AL81" s="525"/>
      <c r="AM81" s="525"/>
      <c r="AN81" s="525"/>
      <c r="AO81" s="525"/>
      <c r="AP81" s="525"/>
      <c r="AQ81" s="525"/>
      <c r="AR81" s="525"/>
      <c r="AS81" s="525"/>
      <c r="AT81" s="525"/>
      <c r="AU81" s="525"/>
      <c r="AV81" s="525"/>
      <c r="AW81" s="525"/>
      <c r="AX81" s="525"/>
      <c r="AY81" s="525"/>
      <c r="AZ81" s="525"/>
      <c r="BA81" s="525"/>
      <c r="BB81" s="525"/>
      <c r="BC81" s="525"/>
      <c r="BD81" s="525"/>
      <c r="BE81" s="525"/>
      <c r="BF81" s="525"/>
      <c r="BG81" s="525"/>
      <c r="BH81" s="525"/>
      <c r="BI81" s="525"/>
      <c r="BJ81" s="525"/>
      <c r="BK81" s="525"/>
      <c r="BL81" s="525"/>
      <c r="BM81" s="525"/>
      <c r="BN81" s="525"/>
      <c r="BO81" s="525"/>
      <c r="BP81" s="525"/>
      <c r="BQ81" s="525"/>
      <c r="BR81" s="525"/>
      <c r="BS81" s="525"/>
      <c r="BT81" s="525"/>
      <c r="BU81" s="525"/>
      <c r="BV81" s="525"/>
      <c r="BW81" s="525"/>
      <c r="BX81" s="525"/>
      <c r="BY81" s="525"/>
      <c r="BZ81" s="537"/>
      <c r="CA81" s="537"/>
      <c r="CB81" s="537"/>
    </row>
    <row r="82" spans="1:80" x14ac:dyDescent="0.3">
      <c r="A82" s="551"/>
      <c r="B82" s="548"/>
      <c r="C82" s="525"/>
      <c r="D82" s="525"/>
      <c r="E82" s="525" t="s">
        <v>68</v>
      </c>
      <c r="F82" s="525"/>
      <c r="G82" s="525"/>
      <c r="H82" s="525"/>
      <c r="I82" s="527">
        <f t="shared" ref="I82:N82" si="119">I9</f>
        <v>31</v>
      </c>
      <c r="J82" s="527">
        <f t="shared" si="119"/>
        <v>31</v>
      </c>
      <c r="K82" s="527">
        <f t="shared" si="119"/>
        <v>31</v>
      </c>
      <c r="L82" s="527">
        <f t="shared" si="119"/>
        <v>31</v>
      </c>
      <c r="M82" s="527">
        <f t="shared" si="119"/>
        <v>31</v>
      </c>
      <c r="N82" s="527">
        <f t="shared" si="119"/>
        <v>31</v>
      </c>
      <c r="O82" s="529"/>
      <c r="P82" s="562"/>
      <c r="Q82" s="537"/>
      <c r="R82" s="527">
        <f t="shared" ref="R82:AW82" si="120">R9</f>
        <v>31</v>
      </c>
      <c r="S82" s="527">
        <f t="shared" si="120"/>
        <v>31</v>
      </c>
      <c r="T82" s="527">
        <f t="shared" si="120"/>
        <v>31</v>
      </c>
      <c r="U82" s="527">
        <f t="shared" si="120"/>
        <v>31</v>
      </c>
      <c r="V82" s="527">
        <f t="shared" si="120"/>
        <v>31</v>
      </c>
      <c r="W82" s="527">
        <f t="shared" si="120"/>
        <v>31</v>
      </c>
      <c r="X82" s="527">
        <f t="shared" si="120"/>
        <v>31</v>
      </c>
      <c r="Y82" s="527">
        <f t="shared" si="120"/>
        <v>31</v>
      </c>
      <c r="Z82" s="527">
        <f t="shared" si="120"/>
        <v>31</v>
      </c>
      <c r="AA82" s="527">
        <f t="shared" si="120"/>
        <v>31</v>
      </c>
      <c r="AB82" s="527">
        <f t="shared" si="120"/>
        <v>31</v>
      </c>
      <c r="AC82" s="527">
        <f t="shared" si="120"/>
        <v>31</v>
      </c>
      <c r="AD82" s="527">
        <f t="shared" si="120"/>
        <v>31</v>
      </c>
      <c r="AE82" s="527">
        <f t="shared" si="120"/>
        <v>31</v>
      </c>
      <c r="AF82" s="527">
        <f t="shared" si="120"/>
        <v>31</v>
      </c>
      <c r="AG82" s="527">
        <f t="shared" si="120"/>
        <v>31</v>
      </c>
      <c r="AH82" s="527">
        <f t="shared" si="120"/>
        <v>31</v>
      </c>
      <c r="AI82" s="527">
        <f t="shared" si="120"/>
        <v>31</v>
      </c>
      <c r="AJ82" s="527">
        <f t="shared" si="120"/>
        <v>31</v>
      </c>
      <c r="AK82" s="527">
        <f t="shared" si="120"/>
        <v>31</v>
      </c>
      <c r="AL82" s="527">
        <f t="shared" si="120"/>
        <v>31</v>
      </c>
      <c r="AM82" s="527">
        <f t="shared" si="120"/>
        <v>31</v>
      </c>
      <c r="AN82" s="527">
        <f t="shared" si="120"/>
        <v>31</v>
      </c>
      <c r="AO82" s="527">
        <f t="shared" si="120"/>
        <v>31</v>
      </c>
      <c r="AP82" s="527">
        <f t="shared" si="120"/>
        <v>31</v>
      </c>
      <c r="AQ82" s="527">
        <f t="shared" si="120"/>
        <v>31</v>
      </c>
      <c r="AR82" s="527">
        <f t="shared" si="120"/>
        <v>31</v>
      </c>
      <c r="AS82" s="527">
        <f t="shared" si="120"/>
        <v>31</v>
      </c>
      <c r="AT82" s="527">
        <f t="shared" si="120"/>
        <v>31</v>
      </c>
      <c r="AU82" s="527">
        <f t="shared" si="120"/>
        <v>31</v>
      </c>
      <c r="AV82" s="527">
        <f t="shared" si="120"/>
        <v>31</v>
      </c>
      <c r="AW82" s="527">
        <f t="shared" si="120"/>
        <v>31</v>
      </c>
      <c r="AX82" s="527">
        <f t="shared" ref="AX82:BY82" si="121">AX9</f>
        <v>31</v>
      </c>
      <c r="AY82" s="527">
        <f t="shared" si="121"/>
        <v>31</v>
      </c>
      <c r="AZ82" s="527">
        <f t="shared" si="121"/>
        <v>31</v>
      </c>
      <c r="BA82" s="527">
        <f t="shared" si="121"/>
        <v>31</v>
      </c>
      <c r="BB82" s="527">
        <f t="shared" si="121"/>
        <v>31</v>
      </c>
      <c r="BC82" s="527">
        <f t="shared" si="121"/>
        <v>31</v>
      </c>
      <c r="BD82" s="527">
        <f t="shared" si="121"/>
        <v>31</v>
      </c>
      <c r="BE82" s="527">
        <f t="shared" si="121"/>
        <v>31</v>
      </c>
      <c r="BF82" s="527">
        <f t="shared" si="121"/>
        <v>31</v>
      </c>
      <c r="BG82" s="527">
        <f t="shared" si="121"/>
        <v>31</v>
      </c>
      <c r="BH82" s="527">
        <f t="shared" si="121"/>
        <v>31</v>
      </c>
      <c r="BI82" s="527">
        <f t="shared" si="121"/>
        <v>31</v>
      </c>
      <c r="BJ82" s="527">
        <f t="shared" si="121"/>
        <v>31</v>
      </c>
      <c r="BK82" s="527">
        <f t="shared" si="121"/>
        <v>31</v>
      </c>
      <c r="BL82" s="527">
        <f t="shared" si="121"/>
        <v>31</v>
      </c>
      <c r="BM82" s="527">
        <f t="shared" si="121"/>
        <v>31</v>
      </c>
      <c r="BN82" s="527">
        <f t="shared" si="121"/>
        <v>31</v>
      </c>
      <c r="BO82" s="527">
        <f t="shared" si="121"/>
        <v>31</v>
      </c>
      <c r="BP82" s="527">
        <f t="shared" si="121"/>
        <v>31</v>
      </c>
      <c r="BQ82" s="527">
        <f t="shared" si="121"/>
        <v>31</v>
      </c>
      <c r="BR82" s="527">
        <f t="shared" si="121"/>
        <v>31</v>
      </c>
      <c r="BS82" s="527">
        <f t="shared" si="121"/>
        <v>31</v>
      </c>
      <c r="BT82" s="527">
        <f t="shared" si="121"/>
        <v>31</v>
      </c>
      <c r="BU82" s="527">
        <f t="shared" si="121"/>
        <v>31</v>
      </c>
      <c r="BV82" s="527">
        <f t="shared" si="121"/>
        <v>31</v>
      </c>
      <c r="BW82" s="527">
        <f t="shared" si="121"/>
        <v>31</v>
      </c>
      <c r="BX82" s="527">
        <f t="shared" si="121"/>
        <v>31</v>
      </c>
      <c r="BY82" s="527">
        <f t="shared" si="121"/>
        <v>31</v>
      </c>
      <c r="BZ82" s="537"/>
      <c r="CA82" s="537"/>
      <c r="CB82" s="537"/>
    </row>
    <row r="83" spans="1:80" x14ac:dyDescent="0.3">
      <c r="A83" s="551"/>
      <c r="B83" s="548"/>
      <c r="C83" s="525"/>
      <c r="D83" s="525"/>
      <c r="E83" s="525"/>
      <c r="F83" s="525"/>
      <c r="G83" s="525"/>
      <c r="H83" s="525"/>
      <c r="I83" s="529"/>
      <c r="J83" s="525"/>
      <c r="K83" s="525"/>
      <c r="L83" s="525"/>
      <c r="M83" s="525"/>
      <c r="N83" s="525"/>
      <c r="O83" s="525"/>
      <c r="P83" s="565"/>
      <c r="Q83" s="537"/>
      <c r="R83" s="525"/>
      <c r="S83" s="525"/>
      <c r="T83" s="525"/>
      <c r="U83" s="525"/>
      <c r="V83" s="525"/>
      <c r="W83" s="525"/>
      <c r="X83" s="525"/>
      <c r="Y83" s="525"/>
      <c r="Z83" s="525"/>
      <c r="AA83" s="525"/>
      <c r="AB83" s="525"/>
      <c r="AC83" s="525"/>
      <c r="AD83" s="525"/>
      <c r="AE83" s="525"/>
      <c r="AF83" s="525"/>
      <c r="AG83" s="525"/>
      <c r="AH83" s="525"/>
      <c r="AI83" s="525"/>
      <c r="AJ83" s="525"/>
      <c r="AK83" s="525"/>
      <c r="AL83" s="525"/>
      <c r="AM83" s="525"/>
      <c r="AN83" s="525"/>
      <c r="AO83" s="525"/>
      <c r="AP83" s="525"/>
      <c r="AQ83" s="525"/>
      <c r="AR83" s="525"/>
      <c r="AS83" s="525"/>
      <c r="AT83" s="525"/>
      <c r="AU83" s="525"/>
      <c r="AV83" s="525"/>
      <c r="AW83" s="525"/>
      <c r="AX83" s="525"/>
      <c r="AY83" s="525"/>
      <c r="AZ83" s="525"/>
      <c r="BA83" s="525"/>
      <c r="BB83" s="525"/>
      <c r="BC83" s="525"/>
      <c r="BD83" s="525"/>
      <c r="BE83" s="525"/>
      <c r="BF83" s="525"/>
      <c r="BG83" s="525"/>
      <c r="BH83" s="525"/>
      <c r="BI83" s="525"/>
      <c r="BJ83" s="525"/>
      <c r="BK83" s="525"/>
      <c r="BL83" s="525"/>
      <c r="BM83" s="525"/>
      <c r="BN83" s="525"/>
      <c r="BO83" s="525"/>
      <c r="BP83" s="525"/>
      <c r="BQ83" s="525"/>
      <c r="BR83" s="525"/>
      <c r="BS83" s="525"/>
      <c r="BT83" s="525"/>
      <c r="BU83" s="525"/>
      <c r="BV83" s="525"/>
      <c r="BW83" s="525"/>
      <c r="BX83" s="525"/>
      <c r="BY83" s="525"/>
      <c r="BZ83" s="537"/>
      <c r="CA83" s="537"/>
      <c r="CB83" s="537"/>
    </row>
    <row r="84" spans="1:80" x14ac:dyDescent="0.3">
      <c r="A84" s="551"/>
      <c r="B84" s="548"/>
      <c r="C84" s="525"/>
      <c r="D84" s="525"/>
      <c r="E84" s="566" t="s">
        <v>373</v>
      </c>
      <c r="F84" s="567"/>
      <c r="G84" s="567"/>
      <c r="H84" s="567"/>
      <c r="I84" s="527">
        <f t="shared" ref="I84:N84" si="122">I19/I$82</f>
        <v>120.54556757817815</v>
      </c>
      <c r="J84" s="527">
        <f t="shared" si="122"/>
        <v>122.19661633471684</v>
      </c>
      <c r="K84" s="527">
        <f t="shared" si="122"/>
        <v>125.00810397302982</v>
      </c>
      <c r="L84" s="527">
        <f t="shared" si="122"/>
        <v>127.78960558272242</v>
      </c>
      <c r="M84" s="527">
        <f t="shared" si="122"/>
        <v>130.70405803674288</v>
      </c>
      <c r="N84" s="527">
        <f t="shared" si="122"/>
        <v>133.71148937026379</v>
      </c>
      <c r="O84" s="529"/>
      <c r="P84" s="562"/>
      <c r="Q84" s="537"/>
      <c r="R84" s="527">
        <f t="shared" ref="R84:AW84" si="123">R19/R$82</f>
        <v>10.045463964848182</v>
      </c>
      <c r="S84" s="527">
        <f t="shared" si="123"/>
        <v>10.045463964848182</v>
      </c>
      <c r="T84" s="527">
        <f t="shared" si="123"/>
        <v>10.045463964848182</v>
      </c>
      <c r="U84" s="527">
        <f t="shared" si="123"/>
        <v>10.045463964848182</v>
      </c>
      <c r="V84" s="527">
        <f t="shared" si="123"/>
        <v>10.045463964848182</v>
      </c>
      <c r="W84" s="527">
        <f t="shared" si="123"/>
        <v>10.045463964848182</v>
      </c>
      <c r="X84" s="527">
        <f t="shared" si="123"/>
        <v>10.320638757604625</v>
      </c>
      <c r="Y84" s="527">
        <f t="shared" si="123"/>
        <v>10.320638757604625</v>
      </c>
      <c r="Z84" s="527">
        <f t="shared" si="123"/>
        <v>10.320638757604625</v>
      </c>
      <c r="AA84" s="527">
        <f t="shared" si="123"/>
        <v>10.320638757604625</v>
      </c>
      <c r="AB84" s="527">
        <f t="shared" si="123"/>
        <v>10.320638757604625</v>
      </c>
      <c r="AC84" s="527">
        <f t="shared" si="123"/>
        <v>10.320638757604625</v>
      </c>
      <c r="AD84" s="527">
        <f t="shared" si="123"/>
        <v>10.249377504525473</v>
      </c>
      <c r="AE84" s="527">
        <f t="shared" si="123"/>
        <v>10.249377504525473</v>
      </c>
      <c r="AF84" s="527">
        <f t="shared" si="123"/>
        <v>10.249377504525473</v>
      </c>
      <c r="AG84" s="527">
        <f t="shared" si="123"/>
        <v>10.249377504525473</v>
      </c>
      <c r="AH84" s="527">
        <f t="shared" si="123"/>
        <v>10.249377504525473</v>
      </c>
      <c r="AI84" s="527">
        <f t="shared" si="123"/>
        <v>10.249377504525473</v>
      </c>
      <c r="AJ84" s="527">
        <f t="shared" si="123"/>
        <v>10.5853064909795</v>
      </c>
      <c r="AK84" s="527">
        <f t="shared" si="123"/>
        <v>10.5853064909795</v>
      </c>
      <c r="AL84" s="527">
        <f t="shared" si="123"/>
        <v>10.5853064909795</v>
      </c>
      <c r="AM84" s="527">
        <f t="shared" si="123"/>
        <v>10.5853064909795</v>
      </c>
      <c r="AN84" s="527">
        <f t="shared" si="123"/>
        <v>10.5853064909795</v>
      </c>
      <c r="AO84" s="527">
        <f t="shared" si="123"/>
        <v>10.5853064909795</v>
      </c>
      <c r="AP84" s="527">
        <f t="shared" si="123"/>
        <v>10.45133030902409</v>
      </c>
      <c r="AQ84" s="527">
        <f t="shared" si="123"/>
        <v>10.45133030902409</v>
      </c>
      <c r="AR84" s="527">
        <f t="shared" si="123"/>
        <v>10.45133030902409</v>
      </c>
      <c r="AS84" s="527">
        <f t="shared" si="123"/>
        <v>10.45133030902409</v>
      </c>
      <c r="AT84" s="527">
        <f t="shared" si="123"/>
        <v>10.45133030902409</v>
      </c>
      <c r="AU84" s="527">
        <f t="shared" si="123"/>
        <v>10.45133030902409</v>
      </c>
      <c r="AV84" s="527">
        <f t="shared" si="123"/>
        <v>10.846937288096308</v>
      </c>
      <c r="AW84" s="527">
        <f t="shared" si="123"/>
        <v>10.846937288096308</v>
      </c>
      <c r="AX84" s="527">
        <f t="shared" ref="AX84:BY84" si="124">AX19/AX$82</f>
        <v>10.846937288096308</v>
      </c>
      <c r="AY84" s="527">
        <f t="shared" si="124"/>
        <v>10.846937288096308</v>
      </c>
      <c r="AZ84" s="527">
        <f t="shared" si="124"/>
        <v>10.846937288096308</v>
      </c>
      <c r="BA84" s="527">
        <f t="shared" si="124"/>
        <v>10.846937288096308</v>
      </c>
      <c r="BB84" s="527">
        <f t="shared" si="124"/>
        <v>10.664689298312103</v>
      </c>
      <c r="BC84" s="527">
        <f t="shared" si="124"/>
        <v>10.664689298312103</v>
      </c>
      <c r="BD84" s="527">
        <f t="shared" si="124"/>
        <v>10.664689298312103</v>
      </c>
      <c r="BE84" s="527">
        <f t="shared" si="124"/>
        <v>10.664689298312103</v>
      </c>
      <c r="BF84" s="527">
        <f t="shared" si="124"/>
        <v>10.664689298312103</v>
      </c>
      <c r="BG84" s="527">
        <f t="shared" si="124"/>
        <v>10.664689298312103</v>
      </c>
      <c r="BH84" s="527">
        <f t="shared" si="124"/>
        <v>11.119320374478376</v>
      </c>
      <c r="BI84" s="527">
        <f t="shared" si="124"/>
        <v>11.119320374478376</v>
      </c>
      <c r="BJ84" s="527">
        <f t="shared" si="124"/>
        <v>11.119320374478376</v>
      </c>
      <c r="BK84" s="527">
        <f t="shared" si="124"/>
        <v>11.119320374478376</v>
      </c>
      <c r="BL84" s="527">
        <f t="shared" si="124"/>
        <v>11.119320374478376</v>
      </c>
      <c r="BM84" s="527">
        <f t="shared" si="124"/>
        <v>11.119320374478376</v>
      </c>
      <c r="BN84" s="527">
        <f t="shared" si="124"/>
        <v>10.886474751062103</v>
      </c>
      <c r="BO84" s="527">
        <f t="shared" si="124"/>
        <v>10.886474751062103</v>
      </c>
      <c r="BP84" s="527">
        <f t="shared" si="124"/>
        <v>10.886474751062103</v>
      </c>
      <c r="BQ84" s="527">
        <f t="shared" si="124"/>
        <v>10.886474751062103</v>
      </c>
      <c r="BR84" s="527">
        <f t="shared" si="124"/>
        <v>10.886474751062103</v>
      </c>
      <c r="BS84" s="527">
        <f t="shared" si="124"/>
        <v>10.886474751062103</v>
      </c>
      <c r="BT84" s="527">
        <f t="shared" si="124"/>
        <v>11.398773477315201</v>
      </c>
      <c r="BU84" s="527">
        <f t="shared" si="124"/>
        <v>11.398773477315201</v>
      </c>
      <c r="BV84" s="527">
        <f t="shared" si="124"/>
        <v>11.398773477315201</v>
      </c>
      <c r="BW84" s="527">
        <f t="shared" si="124"/>
        <v>11.398773477315201</v>
      </c>
      <c r="BX84" s="527">
        <f t="shared" si="124"/>
        <v>11.398773477315201</v>
      </c>
      <c r="BY84" s="527">
        <f t="shared" si="124"/>
        <v>11.398773477315201</v>
      </c>
      <c r="BZ84" s="537"/>
      <c r="CA84" s="537"/>
      <c r="CB84" s="537"/>
    </row>
    <row r="85" spans="1:80" x14ac:dyDescent="0.3">
      <c r="A85" s="551"/>
      <c r="B85" s="548"/>
      <c r="C85" s="525"/>
      <c r="D85" s="525"/>
      <c r="E85" s="525"/>
      <c r="F85" s="529"/>
      <c r="G85" s="529"/>
      <c r="H85" s="529"/>
      <c r="I85" s="529"/>
      <c r="J85" s="529"/>
      <c r="K85" s="529"/>
      <c r="L85" s="529"/>
      <c r="M85" s="529"/>
      <c r="N85" s="529"/>
      <c r="O85" s="529"/>
      <c r="P85" s="562"/>
      <c r="Q85" s="537"/>
      <c r="R85" s="529"/>
      <c r="S85" s="529"/>
      <c r="T85" s="529"/>
      <c r="U85" s="529"/>
      <c r="V85" s="529"/>
      <c r="W85" s="529"/>
      <c r="X85" s="529"/>
      <c r="Y85" s="529"/>
      <c r="Z85" s="529"/>
      <c r="AA85" s="529"/>
      <c r="AB85" s="529"/>
      <c r="AC85" s="529"/>
      <c r="AD85" s="529"/>
      <c r="AE85" s="529"/>
      <c r="AF85" s="529"/>
      <c r="AG85" s="529"/>
      <c r="AH85" s="529"/>
      <c r="AI85" s="529"/>
      <c r="AJ85" s="529"/>
      <c r="AK85" s="529"/>
      <c r="AL85" s="529"/>
      <c r="AM85" s="529"/>
      <c r="AN85" s="529"/>
      <c r="AO85" s="529"/>
      <c r="AP85" s="529"/>
      <c r="AQ85" s="529"/>
      <c r="AR85" s="529"/>
      <c r="AS85" s="529"/>
      <c r="AT85" s="529"/>
      <c r="AU85" s="529"/>
      <c r="AV85" s="529"/>
      <c r="AW85" s="529"/>
      <c r="AX85" s="529"/>
      <c r="AY85" s="529"/>
      <c r="AZ85" s="529"/>
      <c r="BA85" s="529"/>
      <c r="BB85" s="529"/>
      <c r="BC85" s="529"/>
      <c r="BD85" s="529"/>
      <c r="BE85" s="529"/>
      <c r="BF85" s="529"/>
      <c r="BG85" s="529"/>
      <c r="BH85" s="529"/>
      <c r="BI85" s="529"/>
      <c r="BJ85" s="529"/>
      <c r="BK85" s="529"/>
      <c r="BL85" s="529"/>
      <c r="BM85" s="529"/>
      <c r="BN85" s="529"/>
      <c r="BO85" s="529"/>
      <c r="BP85" s="529"/>
      <c r="BQ85" s="529"/>
      <c r="BR85" s="529"/>
      <c r="BS85" s="529"/>
      <c r="BT85" s="529"/>
      <c r="BU85" s="529"/>
      <c r="BV85" s="529"/>
      <c r="BW85" s="529"/>
      <c r="BX85" s="529"/>
      <c r="BY85" s="529"/>
      <c r="BZ85" s="537"/>
      <c r="CA85" s="537"/>
      <c r="CB85" s="537"/>
    </row>
    <row r="86" spans="1:80" x14ac:dyDescent="0.3">
      <c r="A86" s="551"/>
      <c r="B86" s="548"/>
      <c r="C86" s="525"/>
      <c r="D86" s="525"/>
      <c r="E86" s="570" t="s">
        <v>22</v>
      </c>
      <c r="F86" s="529"/>
      <c r="G86" s="529"/>
      <c r="H86" s="529"/>
      <c r="I86" s="529"/>
      <c r="J86" s="529"/>
      <c r="K86" s="529"/>
      <c r="L86" s="529"/>
      <c r="M86" s="529"/>
      <c r="N86" s="529"/>
      <c r="O86" s="529"/>
      <c r="P86" s="562"/>
      <c r="Q86" s="537"/>
      <c r="R86" s="529"/>
      <c r="S86" s="529"/>
      <c r="T86" s="529"/>
      <c r="U86" s="529"/>
      <c r="V86" s="529"/>
      <c r="W86" s="529"/>
      <c r="X86" s="529"/>
      <c r="Y86" s="529"/>
      <c r="Z86" s="529"/>
      <c r="AA86" s="529"/>
      <c r="AB86" s="529"/>
      <c r="AC86" s="529"/>
      <c r="AD86" s="529"/>
      <c r="AE86" s="529"/>
      <c r="AF86" s="529"/>
      <c r="AG86" s="529"/>
      <c r="AH86" s="529"/>
      <c r="AI86" s="529"/>
      <c r="AJ86" s="529"/>
      <c r="AK86" s="529"/>
      <c r="AL86" s="529"/>
      <c r="AM86" s="529"/>
      <c r="AN86" s="529"/>
      <c r="AO86" s="529"/>
      <c r="AP86" s="529"/>
      <c r="AQ86" s="529"/>
      <c r="AR86" s="529"/>
      <c r="AS86" s="529"/>
      <c r="AT86" s="529"/>
      <c r="AU86" s="529"/>
      <c r="AV86" s="529"/>
      <c r="AW86" s="529"/>
      <c r="AX86" s="529"/>
      <c r="AY86" s="529"/>
      <c r="AZ86" s="529"/>
      <c r="BA86" s="529"/>
      <c r="BB86" s="529"/>
      <c r="BC86" s="529"/>
      <c r="BD86" s="529"/>
      <c r="BE86" s="529"/>
      <c r="BF86" s="529"/>
      <c r="BG86" s="529"/>
      <c r="BH86" s="529"/>
      <c r="BI86" s="529"/>
      <c r="BJ86" s="529"/>
      <c r="BK86" s="529"/>
      <c r="BL86" s="529"/>
      <c r="BM86" s="529"/>
      <c r="BN86" s="529"/>
      <c r="BO86" s="529"/>
      <c r="BP86" s="529"/>
      <c r="BQ86" s="529"/>
      <c r="BR86" s="529"/>
      <c r="BS86" s="529"/>
      <c r="BT86" s="529"/>
      <c r="BU86" s="529"/>
      <c r="BV86" s="529"/>
      <c r="BW86" s="529"/>
      <c r="BX86" s="529"/>
      <c r="BY86" s="529"/>
      <c r="BZ86" s="537"/>
      <c r="CA86" s="537"/>
      <c r="CB86" s="537"/>
    </row>
    <row r="87" spans="1:80" x14ac:dyDescent="0.3">
      <c r="A87" s="551"/>
      <c r="B87" s="548"/>
      <c r="C87" s="525"/>
      <c r="D87" s="525"/>
      <c r="E87" s="572" t="s">
        <v>388</v>
      </c>
      <c r="F87" s="573"/>
      <c r="G87" s="573"/>
      <c r="H87" s="573"/>
      <c r="I87" s="530">
        <f t="shared" ref="I87:N92" si="125">I22/I$82</f>
        <v>94388.066708506682</v>
      </c>
      <c r="J87" s="530">
        <f t="shared" si="125"/>
        <v>99273.115936630755</v>
      </c>
      <c r="K87" s="530">
        <f t="shared" si="125"/>
        <v>105267.10125536186</v>
      </c>
      <c r="L87" s="530">
        <f t="shared" si="125"/>
        <v>111407.56426745745</v>
      </c>
      <c r="M87" s="530">
        <f t="shared" si="125"/>
        <v>117813.63501662854</v>
      </c>
      <c r="N87" s="530">
        <f t="shared" si="125"/>
        <v>124614.62778397444</v>
      </c>
      <c r="O87" s="536"/>
      <c r="P87" s="568">
        <f t="shared" ref="P87:P93" si="126">IFERROR(((N87/I87)^(1/5))-1,0)</f>
        <v>5.7134841590352758E-2</v>
      </c>
      <c r="Q87" s="537"/>
      <c r="R87" s="530">
        <f t="shared" ref="R87:AW87" si="127">R22/R$82</f>
        <v>8160.9830020824938</v>
      </c>
      <c r="S87" s="530">
        <f t="shared" si="127"/>
        <v>8160.9830020824938</v>
      </c>
      <c r="T87" s="530">
        <f t="shared" si="127"/>
        <v>8160.9830020824938</v>
      </c>
      <c r="U87" s="530">
        <f t="shared" si="127"/>
        <v>8160.9830020824938</v>
      </c>
      <c r="V87" s="530">
        <f t="shared" si="127"/>
        <v>8160.9830020824938</v>
      </c>
      <c r="W87" s="530">
        <f t="shared" si="127"/>
        <v>8160.9830020824938</v>
      </c>
      <c r="X87" s="530">
        <f t="shared" si="127"/>
        <v>8384.5363206893016</v>
      </c>
      <c r="Y87" s="530">
        <f t="shared" si="127"/>
        <v>8384.5363206893016</v>
      </c>
      <c r="Z87" s="530">
        <f t="shared" si="127"/>
        <v>8384.5363206893016</v>
      </c>
      <c r="AA87" s="530">
        <f t="shared" si="127"/>
        <v>8384.5363206893016</v>
      </c>
      <c r="AB87" s="530">
        <f t="shared" si="127"/>
        <v>8384.5363206893016</v>
      </c>
      <c r="AC87" s="530">
        <f t="shared" si="127"/>
        <v>8384.5363206893016</v>
      </c>
      <c r="AD87" s="530">
        <f t="shared" si="127"/>
        <v>8630.8185252220574</v>
      </c>
      <c r="AE87" s="530">
        <f t="shared" si="127"/>
        <v>8630.8185252220574</v>
      </c>
      <c r="AF87" s="530">
        <f t="shared" si="127"/>
        <v>8630.8185252220574</v>
      </c>
      <c r="AG87" s="530">
        <f t="shared" si="127"/>
        <v>8630.8185252220574</v>
      </c>
      <c r="AH87" s="530">
        <f t="shared" si="127"/>
        <v>8630.8185252220574</v>
      </c>
      <c r="AI87" s="530">
        <f t="shared" si="127"/>
        <v>8630.8185252220574</v>
      </c>
      <c r="AJ87" s="530">
        <f t="shared" si="127"/>
        <v>8913.6983506715824</v>
      </c>
      <c r="AK87" s="530">
        <f t="shared" si="127"/>
        <v>8913.6983506715824</v>
      </c>
      <c r="AL87" s="530">
        <f t="shared" si="127"/>
        <v>8913.6983506715824</v>
      </c>
      <c r="AM87" s="530">
        <f t="shared" si="127"/>
        <v>8913.6983506715824</v>
      </c>
      <c r="AN87" s="530">
        <f t="shared" si="127"/>
        <v>8913.6983506715824</v>
      </c>
      <c r="AO87" s="530">
        <f t="shared" si="127"/>
        <v>8913.6983506715824</v>
      </c>
      <c r="AP87" s="530">
        <f t="shared" si="127"/>
        <v>9111.5176995307411</v>
      </c>
      <c r="AQ87" s="530">
        <f t="shared" si="127"/>
        <v>9111.5176995307411</v>
      </c>
      <c r="AR87" s="530">
        <f t="shared" si="127"/>
        <v>9111.5176995307411</v>
      </c>
      <c r="AS87" s="530">
        <f t="shared" si="127"/>
        <v>9111.5176995307411</v>
      </c>
      <c r="AT87" s="530">
        <f t="shared" si="127"/>
        <v>9111.5176995307411</v>
      </c>
      <c r="AU87" s="530">
        <f t="shared" si="127"/>
        <v>9111.5176995307411</v>
      </c>
      <c r="AV87" s="530">
        <f t="shared" si="127"/>
        <v>9456.4096783788391</v>
      </c>
      <c r="AW87" s="530">
        <f t="shared" si="127"/>
        <v>9456.4096783788391</v>
      </c>
      <c r="AX87" s="530">
        <f t="shared" ref="AX87:BY87" si="128">AX22/AX$82</f>
        <v>9456.4096783788391</v>
      </c>
      <c r="AY87" s="530">
        <f t="shared" si="128"/>
        <v>9456.4096783788391</v>
      </c>
      <c r="AZ87" s="530">
        <f t="shared" si="128"/>
        <v>9456.4096783788391</v>
      </c>
      <c r="BA87" s="530">
        <f t="shared" si="128"/>
        <v>9456.4096783788391</v>
      </c>
      <c r="BB87" s="530">
        <f t="shared" si="128"/>
        <v>9612.9059145499596</v>
      </c>
      <c r="BC87" s="530">
        <f t="shared" si="128"/>
        <v>9612.9059145499596</v>
      </c>
      <c r="BD87" s="530">
        <f t="shared" si="128"/>
        <v>9612.9059145499596</v>
      </c>
      <c r="BE87" s="530">
        <f t="shared" si="128"/>
        <v>9612.9059145499596</v>
      </c>
      <c r="BF87" s="530">
        <f t="shared" si="128"/>
        <v>9612.9059145499596</v>
      </c>
      <c r="BG87" s="530">
        <f t="shared" si="128"/>
        <v>9612.9059145499596</v>
      </c>
      <c r="BH87" s="530">
        <f t="shared" si="128"/>
        <v>10022.699921554804</v>
      </c>
      <c r="BI87" s="530">
        <f t="shared" si="128"/>
        <v>10022.699921554804</v>
      </c>
      <c r="BJ87" s="530">
        <f t="shared" si="128"/>
        <v>10022.699921554804</v>
      </c>
      <c r="BK87" s="530">
        <f t="shared" si="128"/>
        <v>10022.699921554804</v>
      </c>
      <c r="BL87" s="530">
        <f t="shared" si="128"/>
        <v>10022.699921554804</v>
      </c>
      <c r="BM87" s="530">
        <f t="shared" si="128"/>
        <v>10022.699921554804</v>
      </c>
      <c r="BN87" s="530">
        <f t="shared" si="128"/>
        <v>10145.82969176722</v>
      </c>
      <c r="BO87" s="530">
        <f t="shared" si="128"/>
        <v>10145.82969176722</v>
      </c>
      <c r="BP87" s="530">
        <f t="shared" si="128"/>
        <v>10145.82969176722</v>
      </c>
      <c r="BQ87" s="530">
        <f t="shared" si="128"/>
        <v>10145.82969176722</v>
      </c>
      <c r="BR87" s="530">
        <f t="shared" si="128"/>
        <v>10145.82969176722</v>
      </c>
      <c r="BS87" s="530">
        <f t="shared" si="128"/>
        <v>10145.82969176722</v>
      </c>
      <c r="BT87" s="530">
        <f t="shared" si="128"/>
        <v>10623.274938895187</v>
      </c>
      <c r="BU87" s="530">
        <f t="shared" si="128"/>
        <v>10623.274938895187</v>
      </c>
      <c r="BV87" s="530">
        <f t="shared" si="128"/>
        <v>10623.274938895187</v>
      </c>
      <c r="BW87" s="530">
        <f t="shared" si="128"/>
        <v>10623.274938895187</v>
      </c>
      <c r="BX87" s="530">
        <f t="shared" si="128"/>
        <v>10623.274938895187</v>
      </c>
      <c r="BY87" s="530">
        <f t="shared" si="128"/>
        <v>10623.274938895187</v>
      </c>
      <c r="BZ87" s="537"/>
      <c r="CA87" s="537"/>
      <c r="CB87" s="574"/>
    </row>
    <row r="88" spans="1:80" x14ac:dyDescent="0.3">
      <c r="A88" s="551"/>
      <c r="B88" s="548"/>
      <c r="C88" s="525"/>
      <c r="D88" s="525"/>
      <c r="E88" s="525" t="s">
        <v>387</v>
      </c>
      <c r="F88" s="567"/>
      <c r="G88" s="567"/>
      <c r="H88" s="567"/>
      <c r="I88" s="527">
        <f t="shared" si="125"/>
        <v>-31816.524669630191</v>
      </c>
      <c r="J88" s="527">
        <f t="shared" si="125"/>
        <v>-32591.853181109775</v>
      </c>
      <c r="K88" s="527">
        <f t="shared" si="125"/>
        <v>-33696.037515328688</v>
      </c>
      <c r="L88" s="527">
        <f t="shared" si="125"/>
        <v>-34815.235425422805</v>
      </c>
      <c r="M88" s="527">
        <f t="shared" si="125"/>
        <v>-35994.679157221966</v>
      </c>
      <c r="N88" s="527">
        <f t="shared" si="125"/>
        <v>-37225.076941929758</v>
      </c>
      <c r="O88" s="529"/>
      <c r="P88" s="564">
        <f t="shared" si="126"/>
        <v>3.1897529901719235E-2</v>
      </c>
      <c r="Q88" s="537"/>
      <c r="R88" s="527">
        <f t="shared" ref="R88:AW88" si="129">R23/R$82</f>
        <v>-2679.2909370064463</v>
      </c>
      <c r="S88" s="527">
        <f t="shared" si="129"/>
        <v>-2679.2909370064463</v>
      </c>
      <c r="T88" s="527">
        <f t="shared" si="129"/>
        <v>-2679.2909370064463</v>
      </c>
      <c r="U88" s="527">
        <f t="shared" si="129"/>
        <v>-2679.2909370064463</v>
      </c>
      <c r="V88" s="527">
        <f t="shared" si="129"/>
        <v>-2679.2909370064463</v>
      </c>
      <c r="W88" s="527">
        <f t="shared" si="129"/>
        <v>-2679.2909370064463</v>
      </c>
      <c r="X88" s="527">
        <f t="shared" si="129"/>
        <v>-2752.6845931785151</v>
      </c>
      <c r="Y88" s="527">
        <f t="shared" si="129"/>
        <v>-2752.6845931785151</v>
      </c>
      <c r="Z88" s="527">
        <f t="shared" si="129"/>
        <v>-2752.6845931785151</v>
      </c>
      <c r="AA88" s="527">
        <f t="shared" si="129"/>
        <v>-2752.6845931785151</v>
      </c>
      <c r="AB88" s="527">
        <f t="shared" si="129"/>
        <v>-2752.6845931785151</v>
      </c>
      <c r="AC88" s="527">
        <f t="shared" si="129"/>
        <v>-2752.6845931785151</v>
      </c>
      <c r="AD88" s="527">
        <f t="shared" si="129"/>
        <v>-2762.7281586141612</v>
      </c>
      <c r="AE88" s="527">
        <f t="shared" si="129"/>
        <v>-2762.7281586141612</v>
      </c>
      <c r="AF88" s="527">
        <f t="shared" si="129"/>
        <v>-2762.7281586141612</v>
      </c>
      <c r="AG88" s="527">
        <f t="shared" si="129"/>
        <v>-2762.7281586141612</v>
      </c>
      <c r="AH88" s="527">
        <f t="shared" si="129"/>
        <v>-2762.7281586141612</v>
      </c>
      <c r="AI88" s="527">
        <f t="shared" si="129"/>
        <v>-2762.7281586141612</v>
      </c>
      <c r="AJ88" s="527">
        <f t="shared" si="129"/>
        <v>-2853.2780939406207</v>
      </c>
      <c r="AK88" s="527">
        <f t="shared" si="129"/>
        <v>-2853.2780939406207</v>
      </c>
      <c r="AL88" s="527">
        <f t="shared" si="129"/>
        <v>-2853.2780939406207</v>
      </c>
      <c r="AM88" s="527">
        <f t="shared" si="129"/>
        <v>-2853.2780939406207</v>
      </c>
      <c r="AN88" s="527">
        <f t="shared" si="129"/>
        <v>-2853.2780939406207</v>
      </c>
      <c r="AO88" s="527">
        <f t="shared" si="129"/>
        <v>-2853.2780939406207</v>
      </c>
      <c r="AP88" s="527">
        <f t="shared" si="129"/>
        <v>-2847.3796719091397</v>
      </c>
      <c r="AQ88" s="527">
        <f t="shared" si="129"/>
        <v>-2847.3796719091397</v>
      </c>
      <c r="AR88" s="527">
        <f t="shared" si="129"/>
        <v>-2847.3796719091397</v>
      </c>
      <c r="AS88" s="527">
        <f t="shared" si="129"/>
        <v>-2847.3796719091397</v>
      </c>
      <c r="AT88" s="527">
        <f t="shared" si="129"/>
        <v>-2847.3796719091397</v>
      </c>
      <c r="AU88" s="527">
        <f t="shared" si="129"/>
        <v>-2847.3796719091397</v>
      </c>
      <c r="AV88" s="527">
        <f t="shared" si="129"/>
        <v>-2955.1595656613263</v>
      </c>
      <c r="AW88" s="527">
        <f t="shared" si="129"/>
        <v>-2955.1595656613263</v>
      </c>
      <c r="AX88" s="527">
        <f t="shared" ref="AX88:BY88" si="130">AX23/AX$82</f>
        <v>-2955.1595656613263</v>
      </c>
      <c r="AY88" s="527">
        <f t="shared" si="130"/>
        <v>-2955.1595656613263</v>
      </c>
      <c r="AZ88" s="527">
        <f t="shared" si="130"/>
        <v>-2955.1595656613263</v>
      </c>
      <c r="BA88" s="527">
        <f t="shared" si="130"/>
        <v>-2955.1595656613263</v>
      </c>
      <c r="BB88" s="527">
        <f t="shared" si="130"/>
        <v>-2936.9560162875018</v>
      </c>
      <c r="BC88" s="527">
        <f t="shared" si="130"/>
        <v>-2936.9560162875018</v>
      </c>
      <c r="BD88" s="527">
        <f t="shared" si="130"/>
        <v>-2936.9560162875018</v>
      </c>
      <c r="BE88" s="527">
        <f t="shared" si="130"/>
        <v>-2936.9560162875018</v>
      </c>
      <c r="BF88" s="527">
        <f t="shared" si="130"/>
        <v>-2936.9560162875018</v>
      </c>
      <c r="BG88" s="527">
        <f t="shared" si="130"/>
        <v>-2936.9560162875018</v>
      </c>
      <c r="BH88" s="527">
        <f t="shared" si="130"/>
        <v>-3062.1571765828262</v>
      </c>
      <c r="BI88" s="527">
        <f t="shared" si="130"/>
        <v>-3062.1571765828262</v>
      </c>
      <c r="BJ88" s="527">
        <f t="shared" si="130"/>
        <v>-3062.1571765828262</v>
      </c>
      <c r="BK88" s="527">
        <f t="shared" si="130"/>
        <v>-3062.1571765828262</v>
      </c>
      <c r="BL88" s="527">
        <f t="shared" si="130"/>
        <v>-3062.1571765828262</v>
      </c>
      <c r="BM88" s="527">
        <f t="shared" si="130"/>
        <v>-3062.1571765828262</v>
      </c>
      <c r="BN88" s="527">
        <f t="shared" si="130"/>
        <v>-3030.7781488580599</v>
      </c>
      <c r="BO88" s="527">
        <f t="shared" si="130"/>
        <v>-3030.7781488580599</v>
      </c>
      <c r="BP88" s="527">
        <f t="shared" si="130"/>
        <v>-3030.7781488580599</v>
      </c>
      <c r="BQ88" s="527">
        <f t="shared" si="130"/>
        <v>-3030.7781488580599</v>
      </c>
      <c r="BR88" s="527">
        <f t="shared" si="130"/>
        <v>-3030.7781488580599</v>
      </c>
      <c r="BS88" s="527">
        <f t="shared" si="130"/>
        <v>-3030.7781488580599</v>
      </c>
      <c r="BT88" s="527">
        <f t="shared" si="130"/>
        <v>-3173.4013414635651</v>
      </c>
      <c r="BU88" s="527">
        <f t="shared" si="130"/>
        <v>-3173.4013414635651</v>
      </c>
      <c r="BV88" s="527">
        <f t="shared" si="130"/>
        <v>-3173.4013414635651</v>
      </c>
      <c r="BW88" s="527">
        <f t="shared" si="130"/>
        <v>-3173.4013414635651</v>
      </c>
      <c r="BX88" s="527">
        <f t="shared" si="130"/>
        <v>-3173.4013414635651</v>
      </c>
      <c r="BY88" s="527">
        <f t="shared" si="130"/>
        <v>-3173.4013414635651</v>
      </c>
      <c r="BZ88" s="537"/>
      <c r="CA88" s="537"/>
      <c r="CB88" s="574"/>
    </row>
    <row r="89" spans="1:80" x14ac:dyDescent="0.3">
      <c r="A89" s="551"/>
      <c r="B89" s="548"/>
      <c r="C89" s="525"/>
      <c r="D89" s="525"/>
      <c r="E89" s="525" t="s">
        <v>386</v>
      </c>
      <c r="F89" s="567"/>
      <c r="G89" s="567"/>
      <c r="H89" s="567"/>
      <c r="I89" s="527">
        <f t="shared" si="125"/>
        <v>-6492.3184288677958</v>
      </c>
      <c r="J89" s="527">
        <f t="shared" si="125"/>
        <v>-6712.865079289405</v>
      </c>
      <c r="K89" s="527">
        <f t="shared" si="125"/>
        <v>-7004.6602940291559</v>
      </c>
      <c r="L89" s="527">
        <f t="shared" si="125"/>
        <v>-7303.7283401740415</v>
      </c>
      <c r="M89" s="527">
        <f t="shared" si="125"/>
        <v>-7619.7079338003414</v>
      </c>
      <c r="N89" s="527">
        <f t="shared" si="125"/>
        <v>-7950.9340561607951</v>
      </c>
      <c r="O89" s="529"/>
      <c r="P89" s="564">
        <f t="shared" si="126"/>
        <v>4.1366656259171686E-2</v>
      </c>
      <c r="Q89" s="537"/>
      <c r="R89" s="527">
        <f t="shared" ref="R89:AW89" si="131">R24/R$82</f>
        <v>-551.84706645376275</v>
      </c>
      <c r="S89" s="527">
        <f t="shared" si="131"/>
        <v>-551.84706645376275</v>
      </c>
      <c r="T89" s="527">
        <f t="shared" si="131"/>
        <v>-551.84706645376275</v>
      </c>
      <c r="U89" s="527">
        <f t="shared" si="131"/>
        <v>-551.84706645376275</v>
      </c>
      <c r="V89" s="527">
        <f t="shared" si="131"/>
        <v>-551.84706645376275</v>
      </c>
      <c r="W89" s="527">
        <f t="shared" si="131"/>
        <v>-551.84706645376275</v>
      </c>
      <c r="X89" s="527">
        <f t="shared" si="131"/>
        <v>-566.96378009447119</v>
      </c>
      <c r="Y89" s="527">
        <f t="shared" si="131"/>
        <v>-566.96378009447119</v>
      </c>
      <c r="Z89" s="527">
        <f t="shared" si="131"/>
        <v>-566.96378009447119</v>
      </c>
      <c r="AA89" s="527">
        <f t="shared" si="131"/>
        <v>-566.96378009447119</v>
      </c>
      <c r="AB89" s="527">
        <f t="shared" si="131"/>
        <v>-566.96378009447119</v>
      </c>
      <c r="AC89" s="527">
        <f t="shared" si="131"/>
        <v>-566.96378009447119</v>
      </c>
      <c r="AD89" s="527">
        <f t="shared" si="131"/>
        <v>-574.31002761192553</v>
      </c>
      <c r="AE89" s="527">
        <f t="shared" si="131"/>
        <v>-574.31002761192553</v>
      </c>
      <c r="AF89" s="527">
        <f t="shared" si="131"/>
        <v>-574.31002761192553</v>
      </c>
      <c r="AG89" s="527">
        <f t="shared" si="131"/>
        <v>-574.31002761192553</v>
      </c>
      <c r="AH89" s="527">
        <f t="shared" si="131"/>
        <v>-574.31002761192553</v>
      </c>
      <c r="AI89" s="527">
        <f t="shared" si="131"/>
        <v>-574.31002761192553</v>
      </c>
      <c r="AJ89" s="527">
        <f t="shared" si="131"/>
        <v>-593.13335472626716</v>
      </c>
      <c r="AK89" s="527">
        <f t="shared" si="131"/>
        <v>-593.13335472626716</v>
      </c>
      <c r="AL89" s="527">
        <f t="shared" si="131"/>
        <v>-593.13335472626716</v>
      </c>
      <c r="AM89" s="527">
        <f t="shared" si="131"/>
        <v>-593.13335472626716</v>
      </c>
      <c r="AN89" s="527">
        <f t="shared" si="131"/>
        <v>-593.13335472626716</v>
      </c>
      <c r="AO89" s="527">
        <f t="shared" si="131"/>
        <v>-593.13335472626716</v>
      </c>
      <c r="AP89" s="527">
        <f t="shared" si="131"/>
        <v>-597.33870389893207</v>
      </c>
      <c r="AQ89" s="527">
        <f t="shared" si="131"/>
        <v>-597.33870389893207</v>
      </c>
      <c r="AR89" s="527">
        <f t="shared" si="131"/>
        <v>-597.33870389893207</v>
      </c>
      <c r="AS89" s="527">
        <f t="shared" si="131"/>
        <v>-597.33870389893207</v>
      </c>
      <c r="AT89" s="527">
        <f t="shared" si="131"/>
        <v>-597.33870389893207</v>
      </c>
      <c r="AU89" s="527">
        <f t="shared" si="131"/>
        <v>-597.33870389893207</v>
      </c>
      <c r="AV89" s="527">
        <f t="shared" si="131"/>
        <v>-619.9493527967411</v>
      </c>
      <c r="AW89" s="527">
        <f t="shared" si="131"/>
        <v>-619.9493527967411</v>
      </c>
      <c r="AX89" s="527">
        <f t="shared" ref="AX89:BY89" si="132">AX24/AX$82</f>
        <v>-619.9493527967411</v>
      </c>
      <c r="AY89" s="527">
        <f t="shared" si="132"/>
        <v>-619.9493527967411</v>
      </c>
      <c r="AZ89" s="527">
        <f t="shared" si="132"/>
        <v>-619.9493527967411</v>
      </c>
      <c r="BA89" s="527">
        <f t="shared" si="132"/>
        <v>-619.9493527967411</v>
      </c>
      <c r="BB89" s="527">
        <f t="shared" si="132"/>
        <v>-621.72375424656195</v>
      </c>
      <c r="BC89" s="527">
        <f t="shared" si="132"/>
        <v>-621.72375424656195</v>
      </c>
      <c r="BD89" s="527">
        <f t="shared" si="132"/>
        <v>-621.72375424656195</v>
      </c>
      <c r="BE89" s="527">
        <f t="shared" si="132"/>
        <v>-621.72375424656195</v>
      </c>
      <c r="BF89" s="527">
        <f t="shared" si="132"/>
        <v>-621.72375424656195</v>
      </c>
      <c r="BG89" s="527">
        <f t="shared" si="132"/>
        <v>-621.72375424656195</v>
      </c>
      <c r="BH89" s="527">
        <f t="shared" si="132"/>
        <v>-648.22756805349456</v>
      </c>
      <c r="BI89" s="527">
        <f t="shared" si="132"/>
        <v>-648.22756805349456</v>
      </c>
      <c r="BJ89" s="527">
        <f t="shared" si="132"/>
        <v>-648.22756805349456</v>
      </c>
      <c r="BK89" s="527">
        <f t="shared" si="132"/>
        <v>-648.22756805349456</v>
      </c>
      <c r="BL89" s="527">
        <f t="shared" si="132"/>
        <v>-648.22756805349456</v>
      </c>
      <c r="BM89" s="527">
        <f t="shared" si="132"/>
        <v>-648.22756805349456</v>
      </c>
      <c r="BN89" s="527">
        <f t="shared" si="132"/>
        <v>-647.34633693343551</v>
      </c>
      <c r="BO89" s="527">
        <f t="shared" si="132"/>
        <v>-647.34633693343551</v>
      </c>
      <c r="BP89" s="527">
        <f t="shared" si="132"/>
        <v>-647.34633693343551</v>
      </c>
      <c r="BQ89" s="527">
        <f t="shared" si="132"/>
        <v>-647.34633693343551</v>
      </c>
      <c r="BR89" s="527">
        <f t="shared" si="132"/>
        <v>-647.34633693343551</v>
      </c>
      <c r="BS89" s="527">
        <f t="shared" si="132"/>
        <v>-647.34633693343551</v>
      </c>
      <c r="BT89" s="527">
        <f t="shared" si="132"/>
        <v>-677.80933909336363</v>
      </c>
      <c r="BU89" s="527">
        <f t="shared" si="132"/>
        <v>-677.80933909336363</v>
      </c>
      <c r="BV89" s="527">
        <f t="shared" si="132"/>
        <v>-677.80933909336363</v>
      </c>
      <c r="BW89" s="527">
        <f t="shared" si="132"/>
        <v>-677.80933909336363</v>
      </c>
      <c r="BX89" s="527">
        <f t="shared" si="132"/>
        <v>-677.80933909336363</v>
      </c>
      <c r="BY89" s="527">
        <f t="shared" si="132"/>
        <v>-677.80933909336363</v>
      </c>
      <c r="BZ89" s="537"/>
      <c r="CA89" s="537"/>
      <c r="CB89" s="574"/>
    </row>
    <row r="90" spans="1:80" x14ac:dyDescent="0.3">
      <c r="A90" s="551"/>
      <c r="B90" s="548"/>
      <c r="C90" s="525"/>
      <c r="D90" s="525"/>
      <c r="E90" s="572" t="s">
        <v>385</v>
      </c>
      <c r="F90" s="573"/>
      <c r="G90" s="573"/>
      <c r="H90" s="573"/>
      <c r="I90" s="530">
        <f t="shared" si="125"/>
        <v>52326.877741935488</v>
      </c>
      <c r="J90" s="530">
        <f t="shared" si="125"/>
        <v>59968.397676231602</v>
      </c>
      <c r="K90" s="530">
        <f t="shared" si="125"/>
        <v>64566.403446003998</v>
      </c>
      <c r="L90" s="530">
        <f t="shared" si="125"/>
        <v>69288.600501860652</v>
      </c>
      <c r="M90" s="530">
        <f t="shared" si="125"/>
        <v>74199.247925606251</v>
      </c>
      <c r="N90" s="530">
        <f t="shared" si="125"/>
        <v>79438.616785883889</v>
      </c>
      <c r="O90" s="536"/>
      <c r="P90" s="568">
        <f t="shared" si="126"/>
        <v>8.7079661106662432E-2</v>
      </c>
      <c r="Q90" s="537"/>
      <c r="R90" s="530">
        <f t="shared" ref="R90:AW90" si="133">R25/R$82</f>
        <v>4929.8449986222849</v>
      </c>
      <c r="S90" s="530">
        <f t="shared" si="133"/>
        <v>4929.8449986222849</v>
      </c>
      <c r="T90" s="530">
        <f t="shared" si="133"/>
        <v>4929.8449986222849</v>
      </c>
      <c r="U90" s="530">
        <f t="shared" si="133"/>
        <v>4929.8449986222849</v>
      </c>
      <c r="V90" s="530">
        <f t="shared" si="133"/>
        <v>4929.8449986222849</v>
      </c>
      <c r="W90" s="530">
        <f t="shared" si="133"/>
        <v>4929.8449986222849</v>
      </c>
      <c r="X90" s="530">
        <f t="shared" si="133"/>
        <v>5064.887947416315</v>
      </c>
      <c r="Y90" s="530">
        <f t="shared" si="133"/>
        <v>5064.887947416315</v>
      </c>
      <c r="Z90" s="530">
        <f t="shared" si="133"/>
        <v>5064.887947416315</v>
      </c>
      <c r="AA90" s="530">
        <f t="shared" si="133"/>
        <v>5064.887947416315</v>
      </c>
      <c r="AB90" s="530">
        <f t="shared" si="133"/>
        <v>5064.887947416315</v>
      </c>
      <c r="AC90" s="530">
        <f t="shared" si="133"/>
        <v>5064.887947416315</v>
      </c>
      <c r="AD90" s="530">
        <f t="shared" si="133"/>
        <v>5293.7803389959709</v>
      </c>
      <c r="AE90" s="530">
        <f t="shared" si="133"/>
        <v>5293.7803389959709</v>
      </c>
      <c r="AF90" s="530">
        <f t="shared" si="133"/>
        <v>5293.7803389959709</v>
      </c>
      <c r="AG90" s="530">
        <f t="shared" si="133"/>
        <v>5293.7803389959709</v>
      </c>
      <c r="AH90" s="530">
        <f t="shared" si="133"/>
        <v>5293.7803389959709</v>
      </c>
      <c r="AI90" s="530">
        <f t="shared" si="133"/>
        <v>5293.7803389959709</v>
      </c>
      <c r="AJ90" s="530">
        <f t="shared" si="133"/>
        <v>5467.2869020046955</v>
      </c>
      <c r="AK90" s="530">
        <f t="shared" si="133"/>
        <v>5467.2869020046955</v>
      </c>
      <c r="AL90" s="530">
        <f t="shared" si="133"/>
        <v>5467.2869020046955</v>
      </c>
      <c r="AM90" s="530">
        <f t="shared" si="133"/>
        <v>5467.2869020046955</v>
      </c>
      <c r="AN90" s="530">
        <f t="shared" si="133"/>
        <v>5467.2869020046955</v>
      </c>
      <c r="AO90" s="530">
        <f t="shared" si="133"/>
        <v>5467.2869020046955</v>
      </c>
      <c r="AP90" s="530">
        <f t="shared" si="133"/>
        <v>5666.7993237226683</v>
      </c>
      <c r="AQ90" s="530">
        <f t="shared" si="133"/>
        <v>5666.7993237226683</v>
      </c>
      <c r="AR90" s="530">
        <f t="shared" si="133"/>
        <v>5666.7993237226683</v>
      </c>
      <c r="AS90" s="530">
        <f t="shared" si="133"/>
        <v>5666.7993237226683</v>
      </c>
      <c r="AT90" s="530">
        <f t="shared" si="133"/>
        <v>5666.7993237226683</v>
      </c>
      <c r="AU90" s="530">
        <f t="shared" si="133"/>
        <v>5666.7993237226683</v>
      </c>
      <c r="AV90" s="530">
        <f t="shared" si="133"/>
        <v>5881.3007599207713</v>
      </c>
      <c r="AW90" s="530">
        <f t="shared" si="133"/>
        <v>5881.3007599207713</v>
      </c>
      <c r="AX90" s="530">
        <f t="shared" ref="AX90:BY90" si="134">AX25/AX$82</f>
        <v>5881.3007599207713</v>
      </c>
      <c r="AY90" s="530">
        <f t="shared" si="134"/>
        <v>5881.3007599207713</v>
      </c>
      <c r="AZ90" s="530">
        <f t="shared" si="134"/>
        <v>5881.3007599207713</v>
      </c>
      <c r="BA90" s="530">
        <f t="shared" si="134"/>
        <v>5881.3007599207713</v>
      </c>
      <c r="BB90" s="530">
        <f t="shared" si="134"/>
        <v>6054.2261440158964</v>
      </c>
      <c r="BC90" s="530">
        <f t="shared" si="134"/>
        <v>6054.2261440158964</v>
      </c>
      <c r="BD90" s="530">
        <f t="shared" si="134"/>
        <v>6054.2261440158964</v>
      </c>
      <c r="BE90" s="530">
        <f t="shared" si="134"/>
        <v>6054.2261440158964</v>
      </c>
      <c r="BF90" s="530">
        <f t="shared" si="134"/>
        <v>6054.2261440158964</v>
      </c>
      <c r="BG90" s="530">
        <f t="shared" si="134"/>
        <v>6054.2261440158964</v>
      </c>
      <c r="BH90" s="530">
        <f t="shared" si="134"/>
        <v>6312.3151769184824</v>
      </c>
      <c r="BI90" s="530">
        <f t="shared" si="134"/>
        <v>6312.3151769184824</v>
      </c>
      <c r="BJ90" s="530">
        <f t="shared" si="134"/>
        <v>6312.3151769184824</v>
      </c>
      <c r="BK90" s="530">
        <f t="shared" si="134"/>
        <v>6312.3151769184824</v>
      </c>
      <c r="BL90" s="530">
        <f t="shared" si="134"/>
        <v>6312.3151769184824</v>
      </c>
      <c r="BM90" s="530">
        <f t="shared" si="134"/>
        <v>6312.3151769184824</v>
      </c>
      <c r="BN90" s="530">
        <f t="shared" si="134"/>
        <v>6467.7052059757234</v>
      </c>
      <c r="BO90" s="530">
        <f t="shared" si="134"/>
        <v>6467.7052059757234</v>
      </c>
      <c r="BP90" s="530">
        <f t="shared" si="134"/>
        <v>6467.7052059757234</v>
      </c>
      <c r="BQ90" s="530">
        <f t="shared" si="134"/>
        <v>6467.7052059757234</v>
      </c>
      <c r="BR90" s="530">
        <f t="shared" si="134"/>
        <v>6467.7052059757234</v>
      </c>
      <c r="BS90" s="530">
        <f t="shared" si="134"/>
        <v>6467.7052059757234</v>
      </c>
      <c r="BT90" s="530">
        <f t="shared" si="134"/>
        <v>6772.0642583382587</v>
      </c>
      <c r="BU90" s="530">
        <f t="shared" si="134"/>
        <v>6772.0642583382587</v>
      </c>
      <c r="BV90" s="530">
        <f t="shared" si="134"/>
        <v>6772.0642583382587</v>
      </c>
      <c r="BW90" s="530">
        <f t="shared" si="134"/>
        <v>6772.0642583382587</v>
      </c>
      <c r="BX90" s="530">
        <f t="shared" si="134"/>
        <v>6772.0642583382587</v>
      </c>
      <c r="BY90" s="530">
        <f t="shared" si="134"/>
        <v>6772.0642583382587</v>
      </c>
      <c r="BZ90" s="537"/>
      <c r="CA90" s="537"/>
      <c r="CB90" s="574"/>
    </row>
    <row r="91" spans="1:80" x14ac:dyDescent="0.3">
      <c r="A91" s="551"/>
      <c r="B91" s="548"/>
      <c r="C91" s="525"/>
      <c r="D91" s="525"/>
      <c r="E91" s="525" t="s">
        <v>389</v>
      </c>
      <c r="F91" s="567"/>
      <c r="G91" s="567"/>
      <c r="H91" s="567"/>
      <c r="I91" s="527">
        <f t="shared" si="125"/>
        <v>-12882.033152386526</v>
      </c>
      <c r="J91" s="527">
        <f t="shared" si="125"/>
        <v>-13641.877532200469</v>
      </c>
      <c r="K91" s="527">
        <f t="shared" si="125"/>
        <v>-14558.262131326694</v>
      </c>
      <c r="L91" s="527">
        <f t="shared" si="125"/>
        <v>-15499.044344950833</v>
      </c>
      <c r="M91" s="527">
        <f t="shared" si="125"/>
        <v>-16480.263878955368</v>
      </c>
      <c r="N91" s="527">
        <f t="shared" si="125"/>
        <v>-17523.733626649369</v>
      </c>
      <c r="O91" s="529"/>
      <c r="P91" s="564">
        <f t="shared" si="126"/>
        <v>6.3477843142613732E-2</v>
      </c>
      <c r="Q91" s="537"/>
      <c r="R91" s="527">
        <f t="shared" ref="R91:AW91" si="135">R26/R$82</f>
        <v>-1121.463042701766</v>
      </c>
      <c r="S91" s="527">
        <f t="shared" si="135"/>
        <v>-1121.463042701766</v>
      </c>
      <c r="T91" s="527">
        <f t="shared" si="135"/>
        <v>-1121.463042701766</v>
      </c>
      <c r="U91" s="527">
        <f t="shared" si="135"/>
        <v>-1121.463042701766</v>
      </c>
      <c r="V91" s="527">
        <f t="shared" si="135"/>
        <v>-1121.463042701766</v>
      </c>
      <c r="W91" s="527">
        <f t="shared" si="135"/>
        <v>-1121.463042701766</v>
      </c>
      <c r="X91" s="527">
        <f t="shared" si="135"/>
        <v>-1152.1832126649792</v>
      </c>
      <c r="Y91" s="527">
        <f t="shared" si="135"/>
        <v>-1152.1832126649792</v>
      </c>
      <c r="Z91" s="527">
        <f t="shared" si="135"/>
        <v>-1152.1832126649792</v>
      </c>
      <c r="AA91" s="527">
        <f t="shared" si="135"/>
        <v>-1152.1832126649792</v>
      </c>
      <c r="AB91" s="527">
        <f t="shared" si="135"/>
        <v>-1152.1832126649792</v>
      </c>
      <c r="AC91" s="527">
        <f t="shared" si="135"/>
        <v>-1152.1832126649792</v>
      </c>
      <c r="AD91" s="527">
        <f t="shared" si="135"/>
        <v>-1193.627610142757</v>
      </c>
      <c r="AE91" s="527">
        <f t="shared" si="135"/>
        <v>-1193.627610142757</v>
      </c>
      <c r="AF91" s="527">
        <f t="shared" si="135"/>
        <v>-1193.627610142757</v>
      </c>
      <c r="AG91" s="527">
        <f t="shared" si="135"/>
        <v>-1193.627610142757</v>
      </c>
      <c r="AH91" s="527">
        <f t="shared" si="135"/>
        <v>-1193.627610142757</v>
      </c>
      <c r="AI91" s="527">
        <f t="shared" si="135"/>
        <v>-1193.627610142757</v>
      </c>
      <c r="AJ91" s="527">
        <f t="shared" si="135"/>
        <v>-1232.7494117450256</v>
      </c>
      <c r="AK91" s="527">
        <f t="shared" si="135"/>
        <v>-1232.7494117450256</v>
      </c>
      <c r="AL91" s="527">
        <f t="shared" si="135"/>
        <v>-1232.7494117450256</v>
      </c>
      <c r="AM91" s="527">
        <f t="shared" si="135"/>
        <v>-1232.7494117450256</v>
      </c>
      <c r="AN91" s="527">
        <f t="shared" si="135"/>
        <v>-1232.7494117450256</v>
      </c>
      <c r="AO91" s="527">
        <f t="shared" si="135"/>
        <v>-1232.7494117450256</v>
      </c>
      <c r="AP91" s="527">
        <f t="shared" si="135"/>
        <v>-1267.5963055417246</v>
      </c>
      <c r="AQ91" s="527">
        <f t="shared" si="135"/>
        <v>-1267.5963055417246</v>
      </c>
      <c r="AR91" s="527">
        <f t="shared" si="135"/>
        <v>-1267.5963055417246</v>
      </c>
      <c r="AS91" s="527">
        <f t="shared" si="135"/>
        <v>-1267.5963055417246</v>
      </c>
      <c r="AT91" s="527">
        <f t="shared" si="135"/>
        <v>-1267.5963055417246</v>
      </c>
      <c r="AU91" s="527">
        <f t="shared" si="135"/>
        <v>-1267.5963055417246</v>
      </c>
      <c r="AV91" s="527">
        <f t="shared" si="135"/>
        <v>-1315.5777519500812</v>
      </c>
      <c r="AW91" s="527">
        <f t="shared" si="135"/>
        <v>-1315.5777519500812</v>
      </c>
      <c r="AX91" s="527">
        <f t="shared" ref="AX91:BY91" si="136">AX26/AX$82</f>
        <v>-1315.5777519500812</v>
      </c>
      <c r="AY91" s="527">
        <f t="shared" si="136"/>
        <v>-1315.5777519500812</v>
      </c>
      <c r="AZ91" s="527">
        <f t="shared" si="136"/>
        <v>-1315.5777519500812</v>
      </c>
      <c r="BA91" s="527">
        <f t="shared" si="136"/>
        <v>-1315.5777519500812</v>
      </c>
      <c r="BB91" s="527">
        <f t="shared" si="136"/>
        <v>-1344.6934736628214</v>
      </c>
      <c r="BC91" s="527">
        <f t="shared" si="136"/>
        <v>-1344.6934736628214</v>
      </c>
      <c r="BD91" s="527">
        <f t="shared" si="136"/>
        <v>-1344.6934736628214</v>
      </c>
      <c r="BE91" s="527">
        <f t="shared" si="136"/>
        <v>-1344.6934736628214</v>
      </c>
      <c r="BF91" s="527">
        <f t="shared" si="136"/>
        <v>-1344.6934736628214</v>
      </c>
      <c r="BG91" s="527">
        <f t="shared" si="136"/>
        <v>-1344.6934736628214</v>
      </c>
      <c r="BH91" s="527">
        <f t="shared" si="136"/>
        <v>-1402.0171728297394</v>
      </c>
      <c r="BI91" s="527">
        <f t="shared" si="136"/>
        <v>-1402.0171728297394</v>
      </c>
      <c r="BJ91" s="527">
        <f t="shared" si="136"/>
        <v>-1402.0171728297394</v>
      </c>
      <c r="BK91" s="527">
        <f t="shared" si="136"/>
        <v>-1402.0171728297394</v>
      </c>
      <c r="BL91" s="527">
        <f t="shared" si="136"/>
        <v>-1402.0171728297394</v>
      </c>
      <c r="BM91" s="527">
        <f t="shared" si="136"/>
        <v>-1402.0171728297394</v>
      </c>
      <c r="BN91" s="527">
        <f t="shared" si="136"/>
        <v>-1426.7411466982146</v>
      </c>
      <c r="BO91" s="527">
        <f t="shared" si="136"/>
        <v>-1426.7411466982146</v>
      </c>
      <c r="BP91" s="527">
        <f t="shared" si="136"/>
        <v>-1426.7411466982146</v>
      </c>
      <c r="BQ91" s="527">
        <f t="shared" si="136"/>
        <v>-1426.7411466982146</v>
      </c>
      <c r="BR91" s="527">
        <f t="shared" si="136"/>
        <v>-1426.7411466982146</v>
      </c>
      <c r="BS91" s="527">
        <f t="shared" si="136"/>
        <v>-1426.7411466982146</v>
      </c>
      <c r="BT91" s="527">
        <f t="shared" si="136"/>
        <v>-1493.8811244100141</v>
      </c>
      <c r="BU91" s="527">
        <f t="shared" si="136"/>
        <v>-1493.8811244100141</v>
      </c>
      <c r="BV91" s="527">
        <f t="shared" si="136"/>
        <v>-1493.8811244100141</v>
      </c>
      <c r="BW91" s="527">
        <f t="shared" si="136"/>
        <v>-1493.8811244100141</v>
      </c>
      <c r="BX91" s="527">
        <f t="shared" si="136"/>
        <v>-1493.8811244100141</v>
      </c>
      <c r="BY91" s="527">
        <f t="shared" si="136"/>
        <v>-1493.8811244100141</v>
      </c>
      <c r="BZ91" s="537"/>
      <c r="CA91" s="537"/>
      <c r="CB91" s="574"/>
    </row>
    <row r="92" spans="1:80" x14ac:dyDescent="0.3">
      <c r="A92" s="551"/>
      <c r="B92" s="548"/>
      <c r="C92" s="525"/>
      <c r="D92" s="525"/>
      <c r="E92" s="572" t="s">
        <v>390</v>
      </c>
      <c r="F92" s="573"/>
      <c r="G92" s="573"/>
      <c r="H92" s="573"/>
      <c r="I92" s="530">
        <f t="shared" si="125"/>
        <v>43197.190457622179</v>
      </c>
      <c r="J92" s="530">
        <f t="shared" si="125"/>
        <v>46326.520144031136</v>
      </c>
      <c r="K92" s="530">
        <f t="shared" si="125"/>
        <v>50008.14131467729</v>
      </c>
      <c r="L92" s="530">
        <f t="shared" si="125"/>
        <v>53789.556156909814</v>
      </c>
      <c r="M92" s="530">
        <f t="shared" si="125"/>
        <v>57718.984046650898</v>
      </c>
      <c r="N92" s="530">
        <f t="shared" si="125"/>
        <v>61914.883159234501</v>
      </c>
      <c r="O92" s="536"/>
      <c r="P92" s="568">
        <f t="shared" si="126"/>
        <v>7.4652148498724591E-2</v>
      </c>
      <c r="Q92" s="537"/>
      <c r="R92" s="530">
        <f t="shared" ref="R92:AW92" si="137">R27/R$82</f>
        <v>3808.381955920519</v>
      </c>
      <c r="S92" s="530">
        <f t="shared" si="137"/>
        <v>3808.381955920519</v>
      </c>
      <c r="T92" s="530">
        <f t="shared" si="137"/>
        <v>3808.381955920519</v>
      </c>
      <c r="U92" s="530">
        <f t="shared" si="137"/>
        <v>3808.381955920519</v>
      </c>
      <c r="V92" s="530">
        <f t="shared" si="137"/>
        <v>3808.381955920519</v>
      </c>
      <c r="W92" s="530">
        <f t="shared" si="137"/>
        <v>3808.381955920519</v>
      </c>
      <c r="X92" s="530">
        <f t="shared" si="137"/>
        <v>3912.7047347513358</v>
      </c>
      <c r="Y92" s="530">
        <f t="shared" si="137"/>
        <v>3912.7047347513358</v>
      </c>
      <c r="Z92" s="530">
        <f t="shared" si="137"/>
        <v>3912.7047347513358</v>
      </c>
      <c r="AA92" s="530">
        <f t="shared" si="137"/>
        <v>3912.7047347513358</v>
      </c>
      <c r="AB92" s="530">
        <f t="shared" si="137"/>
        <v>3912.7047347513358</v>
      </c>
      <c r="AC92" s="530">
        <f t="shared" si="137"/>
        <v>3912.7047347513358</v>
      </c>
      <c r="AD92" s="530">
        <f t="shared" si="137"/>
        <v>4100.1527288532143</v>
      </c>
      <c r="AE92" s="530">
        <f t="shared" si="137"/>
        <v>4100.1527288532143</v>
      </c>
      <c r="AF92" s="530">
        <f t="shared" si="137"/>
        <v>4100.1527288532143</v>
      </c>
      <c r="AG92" s="530">
        <f t="shared" si="137"/>
        <v>4100.1527288532143</v>
      </c>
      <c r="AH92" s="530">
        <f t="shared" si="137"/>
        <v>4100.1527288532143</v>
      </c>
      <c r="AI92" s="530">
        <f t="shared" si="137"/>
        <v>4100.1527288532143</v>
      </c>
      <c r="AJ92" s="530">
        <f t="shared" si="137"/>
        <v>4234.5374902596704</v>
      </c>
      <c r="AK92" s="530">
        <f t="shared" si="137"/>
        <v>4234.5374902596704</v>
      </c>
      <c r="AL92" s="530">
        <f t="shared" si="137"/>
        <v>4234.5374902596704</v>
      </c>
      <c r="AM92" s="530">
        <f t="shared" si="137"/>
        <v>4234.5374902596704</v>
      </c>
      <c r="AN92" s="530">
        <f t="shared" si="137"/>
        <v>4234.5374902596704</v>
      </c>
      <c r="AO92" s="530">
        <f t="shared" si="137"/>
        <v>4234.5374902596704</v>
      </c>
      <c r="AP92" s="530">
        <f t="shared" si="137"/>
        <v>4399.2030181809432</v>
      </c>
      <c r="AQ92" s="530">
        <f t="shared" si="137"/>
        <v>4399.2030181809432</v>
      </c>
      <c r="AR92" s="530">
        <f t="shared" si="137"/>
        <v>4399.2030181809432</v>
      </c>
      <c r="AS92" s="530">
        <f t="shared" si="137"/>
        <v>4399.2030181809432</v>
      </c>
      <c r="AT92" s="530">
        <f t="shared" si="137"/>
        <v>4399.2030181809432</v>
      </c>
      <c r="AU92" s="530">
        <f t="shared" si="137"/>
        <v>4399.2030181809432</v>
      </c>
      <c r="AV92" s="530">
        <f t="shared" si="137"/>
        <v>4565.7230079706906</v>
      </c>
      <c r="AW92" s="530">
        <f t="shared" si="137"/>
        <v>4565.7230079706906</v>
      </c>
      <c r="AX92" s="530">
        <f t="shared" ref="AX92:BY92" si="138">AX27/AX$82</f>
        <v>4565.7230079706906</v>
      </c>
      <c r="AY92" s="530">
        <f t="shared" si="138"/>
        <v>4565.7230079706906</v>
      </c>
      <c r="AZ92" s="530">
        <f t="shared" si="138"/>
        <v>4565.7230079706906</v>
      </c>
      <c r="BA92" s="530">
        <f t="shared" si="138"/>
        <v>4565.7230079706906</v>
      </c>
      <c r="BB92" s="530">
        <f t="shared" si="138"/>
        <v>4709.5326703530745</v>
      </c>
      <c r="BC92" s="530">
        <f t="shared" si="138"/>
        <v>4709.5326703530745</v>
      </c>
      <c r="BD92" s="530">
        <f t="shared" si="138"/>
        <v>4709.5326703530745</v>
      </c>
      <c r="BE92" s="530">
        <f t="shared" si="138"/>
        <v>4709.5326703530745</v>
      </c>
      <c r="BF92" s="530">
        <f t="shared" si="138"/>
        <v>4709.5326703530745</v>
      </c>
      <c r="BG92" s="530">
        <f t="shared" si="138"/>
        <v>4709.5326703530745</v>
      </c>
      <c r="BH92" s="530">
        <f t="shared" si="138"/>
        <v>4910.2980040887433</v>
      </c>
      <c r="BI92" s="530">
        <f t="shared" si="138"/>
        <v>4910.2980040887433</v>
      </c>
      <c r="BJ92" s="530">
        <f t="shared" si="138"/>
        <v>4910.2980040887433</v>
      </c>
      <c r="BK92" s="530">
        <f t="shared" si="138"/>
        <v>4910.2980040887433</v>
      </c>
      <c r="BL92" s="530">
        <f t="shared" si="138"/>
        <v>4910.2980040887433</v>
      </c>
      <c r="BM92" s="530">
        <f t="shared" si="138"/>
        <v>4910.2980040887433</v>
      </c>
      <c r="BN92" s="530">
        <f t="shared" si="138"/>
        <v>5040.9640592775086</v>
      </c>
      <c r="BO92" s="530">
        <f t="shared" si="138"/>
        <v>5040.9640592775086</v>
      </c>
      <c r="BP92" s="530">
        <f t="shared" si="138"/>
        <v>5040.9640592775086</v>
      </c>
      <c r="BQ92" s="530">
        <f t="shared" si="138"/>
        <v>5040.9640592775086</v>
      </c>
      <c r="BR92" s="530">
        <f t="shared" si="138"/>
        <v>5040.9640592775086</v>
      </c>
      <c r="BS92" s="530">
        <f t="shared" si="138"/>
        <v>5040.9640592775086</v>
      </c>
      <c r="BT92" s="530">
        <f t="shared" si="138"/>
        <v>5278.1831339282444</v>
      </c>
      <c r="BU92" s="530">
        <f t="shared" si="138"/>
        <v>5278.1831339282444</v>
      </c>
      <c r="BV92" s="530">
        <f t="shared" si="138"/>
        <v>5278.1831339282444</v>
      </c>
      <c r="BW92" s="530">
        <f t="shared" si="138"/>
        <v>5278.1831339282444</v>
      </c>
      <c r="BX92" s="530">
        <f t="shared" si="138"/>
        <v>5278.1831339282444</v>
      </c>
      <c r="BY92" s="530">
        <f t="shared" si="138"/>
        <v>5278.1831339282444</v>
      </c>
      <c r="BZ92" s="537"/>
      <c r="CA92" s="537"/>
      <c r="CB92" s="574"/>
    </row>
    <row r="93" spans="1:80" x14ac:dyDescent="0.3">
      <c r="A93" s="551"/>
      <c r="B93" s="548"/>
      <c r="C93" s="525"/>
      <c r="D93" s="525"/>
      <c r="E93" s="525" t="s">
        <v>175</v>
      </c>
      <c r="F93" s="575"/>
      <c r="G93" s="575"/>
      <c r="H93" s="575"/>
      <c r="I93" s="531">
        <f t="shared" ref="I93:N93" si="139">IFERROR(I92/I87,0)</f>
        <v>0.45765520964663481</v>
      </c>
      <c r="J93" s="531">
        <f t="shared" si="139"/>
        <v>0.4666572586842429</v>
      </c>
      <c r="K93" s="531">
        <f t="shared" si="139"/>
        <v>0.47505954584391186</v>
      </c>
      <c r="L93" s="531">
        <f t="shared" si="139"/>
        <v>0.48281780963971704</v>
      </c>
      <c r="M93" s="531">
        <f t="shared" si="139"/>
        <v>0.48991769109326166</v>
      </c>
      <c r="N93" s="531">
        <f t="shared" si="139"/>
        <v>0.49685084536437391</v>
      </c>
      <c r="O93" s="546"/>
      <c r="P93" s="564">
        <f t="shared" si="126"/>
        <v>1.6570551096413366E-2</v>
      </c>
      <c r="Q93" s="537"/>
      <c r="R93" s="531">
        <f t="shared" ref="R93:AW93" si="140">IFERROR(R92/R87,0)</f>
        <v>0.46665725868424285</v>
      </c>
      <c r="S93" s="531">
        <f t="shared" si="140"/>
        <v>0.46665725868424285</v>
      </c>
      <c r="T93" s="531">
        <f t="shared" si="140"/>
        <v>0.46665725868424285</v>
      </c>
      <c r="U93" s="531">
        <f t="shared" si="140"/>
        <v>0.46665725868424285</v>
      </c>
      <c r="V93" s="531">
        <f t="shared" si="140"/>
        <v>0.46665725868424285</v>
      </c>
      <c r="W93" s="531">
        <f t="shared" si="140"/>
        <v>0.46665725868424285</v>
      </c>
      <c r="X93" s="531">
        <f t="shared" si="140"/>
        <v>0.46665725868424268</v>
      </c>
      <c r="Y93" s="531">
        <f t="shared" si="140"/>
        <v>0.46665725868424268</v>
      </c>
      <c r="Z93" s="531">
        <f t="shared" si="140"/>
        <v>0.46665725868424268</v>
      </c>
      <c r="AA93" s="531">
        <f t="shared" si="140"/>
        <v>0.46665725868424268</v>
      </c>
      <c r="AB93" s="531">
        <f t="shared" si="140"/>
        <v>0.46665725868424268</v>
      </c>
      <c r="AC93" s="531">
        <f t="shared" si="140"/>
        <v>0.46665725868424268</v>
      </c>
      <c r="AD93" s="531">
        <f t="shared" si="140"/>
        <v>0.47505954584391213</v>
      </c>
      <c r="AE93" s="531">
        <f t="shared" si="140"/>
        <v>0.47505954584391213</v>
      </c>
      <c r="AF93" s="531">
        <f t="shared" si="140"/>
        <v>0.47505954584391213</v>
      </c>
      <c r="AG93" s="531">
        <f t="shared" si="140"/>
        <v>0.47505954584391213</v>
      </c>
      <c r="AH93" s="531">
        <f t="shared" si="140"/>
        <v>0.47505954584391213</v>
      </c>
      <c r="AI93" s="531">
        <f t="shared" si="140"/>
        <v>0.47505954584391213</v>
      </c>
      <c r="AJ93" s="531">
        <f t="shared" si="140"/>
        <v>0.47505954584391213</v>
      </c>
      <c r="AK93" s="531">
        <f t="shared" si="140"/>
        <v>0.47505954584391213</v>
      </c>
      <c r="AL93" s="531">
        <f t="shared" si="140"/>
        <v>0.47505954584391213</v>
      </c>
      <c r="AM93" s="531">
        <f t="shared" si="140"/>
        <v>0.47505954584391213</v>
      </c>
      <c r="AN93" s="531">
        <f t="shared" si="140"/>
        <v>0.47505954584391213</v>
      </c>
      <c r="AO93" s="531">
        <f t="shared" si="140"/>
        <v>0.47505954584391213</v>
      </c>
      <c r="AP93" s="531">
        <f t="shared" si="140"/>
        <v>0.48281780963971677</v>
      </c>
      <c r="AQ93" s="531">
        <f t="shared" si="140"/>
        <v>0.48281780963971677</v>
      </c>
      <c r="AR93" s="531">
        <f t="shared" si="140"/>
        <v>0.48281780963971677</v>
      </c>
      <c r="AS93" s="531">
        <f t="shared" si="140"/>
        <v>0.48281780963971677</v>
      </c>
      <c r="AT93" s="531">
        <f t="shared" si="140"/>
        <v>0.48281780963971677</v>
      </c>
      <c r="AU93" s="531">
        <f t="shared" si="140"/>
        <v>0.48281780963971677</v>
      </c>
      <c r="AV93" s="531">
        <f t="shared" si="140"/>
        <v>0.48281780963971688</v>
      </c>
      <c r="AW93" s="531">
        <f t="shared" si="140"/>
        <v>0.48281780963971688</v>
      </c>
      <c r="AX93" s="531">
        <f t="shared" ref="AX93:BY93" si="141">IFERROR(AX92/AX87,0)</f>
        <v>0.48281780963971688</v>
      </c>
      <c r="AY93" s="531">
        <f t="shared" si="141"/>
        <v>0.48281780963971688</v>
      </c>
      <c r="AZ93" s="531">
        <f t="shared" si="141"/>
        <v>0.48281780963971688</v>
      </c>
      <c r="BA93" s="531">
        <f t="shared" si="141"/>
        <v>0.48281780963971688</v>
      </c>
      <c r="BB93" s="531">
        <f t="shared" si="141"/>
        <v>0.48991769109326161</v>
      </c>
      <c r="BC93" s="531">
        <f t="shared" si="141"/>
        <v>0.48991769109326161</v>
      </c>
      <c r="BD93" s="531">
        <f t="shared" si="141"/>
        <v>0.48991769109326161</v>
      </c>
      <c r="BE93" s="531">
        <f t="shared" si="141"/>
        <v>0.48991769109326161</v>
      </c>
      <c r="BF93" s="531">
        <f t="shared" si="141"/>
        <v>0.48991769109326161</v>
      </c>
      <c r="BG93" s="531">
        <f t="shared" si="141"/>
        <v>0.48991769109326161</v>
      </c>
      <c r="BH93" s="531">
        <f t="shared" si="141"/>
        <v>0.48991769109326155</v>
      </c>
      <c r="BI93" s="531">
        <f t="shared" si="141"/>
        <v>0.48991769109326155</v>
      </c>
      <c r="BJ93" s="531">
        <f t="shared" si="141"/>
        <v>0.48991769109326155</v>
      </c>
      <c r="BK93" s="531">
        <f t="shared" si="141"/>
        <v>0.48991769109326155</v>
      </c>
      <c r="BL93" s="531">
        <f t="shared" si="141"/>
        <v>0.48991769109326155</v>
      </c>
      <c r="BM93" s="531">
        <f t="shared" si="141"/>
        <v>0.48991769109326155</v>
      </c>
      <c r="BN93" s="531">
        <f t="shared" si="141"/>
        <v>0.49685084536437396</v>
      </c>
      <c r="BO93" s="531">
        <f t="shared" si="141"/>
        <v>0.49685084536437396</v>
      </c>
      <c r="BP93" s="531">
        <f t="shared" si="141"/>
        <v>0.49685084536437396</v>
      </c>
      <c r="BQ93" s="531">
        <f t="shared" si="141"/>
        <v>0.49685084536437396</v>
      </c>
      <c r="BR93" s="531">
        <f t="shared" si="141"/>
        <v>0.49685084536437396</v>
      </c>
      <c r="BS93" s="531">
        <f t="shared" si="141"/>
        <v>0.49685084536437396</v>
      </c>
      <c r="BT93" s="531">
        <f t="shared" si="141"/>
        <v>0.49685084536437418</v>
      </c>
      <c r="BU93" s="531">
        <f t="shared" si="141"/>
        <v>0.49685084536437418</v>
      </c>
      <c r="BV93" s="531">
        <f t="shared" si="141"/>
        <v>0.49685084536437418</v>
      </c>
      <c r="BW93" s="531">
        <f t="shared" si="141"/>
        <v>0.49685084536437418</v>
      </c>
      <c r="BX93" s="531">
        <f t="shared" si="141"/>
        <v>0.49685084536437418</v>
      </c>
      <c r="BY93" s="531">
        <f t="shared" si="141"/>
        <v>0.49685084536437418</v>
      </c>
      <c r="BZ93" s="537"/>
      <c r="CA93" s="537"/>
      <c r="CB93" s="537"/>
    </row>
    <row r="94" spans="1:80" x14ac:dyDescent="0.3">
      <c r="A94" s="551"/>
      <c r="B94" s="548"/>
      <c r="C94" s="525"/>
      <c r="D94" s="525"/>
      <c r="E94" s="525"/>
      <c r="F94" s="575"/>
      <c r="G94" s="575"/>
      <c r="H94" s="575"/>
      <c r="I94" s="529"/>
      <c r="J94" s="529"/>
      <c r="K94" s="529"/>
      <c r="L94" s="529"/>
      <c r="M94" s="529"/>
      <c r="N94" s="529"/>
      <c r="O94" s="529"/>
      <c r="P94" s="562"/>
      <c r="Q94" s="537"/>
      <c r="R94" s="529"/>
      <c r="S94" s="529"/>
      <c r="T94" s="529"/>
      <c r="U94" s="529"/>
      <c r="V94" s="529"/>
      <c r="W94" s="529"/>
      <c r="X94" s="529"/>
      <c r="Y94" s="529"/>
      <c r="Z94" s="529"/>
      <c r="AA94" s="529"/>
      <c r="AB94" s="529"/>
      <c r="AC94" s="529"/>
      <c r="AD94" s="529"/>
      <c r="AE94" s="529"/>
      <c r="AF94" s="529"/>
      <c r="AG94" s="529"/>
      <c r="AH94" s="529"/>
      <c r="AI94" s="529"/>
      <c r="AJ94" s="529"/>
      <c r="AK94" s="529"/>
      <c r="AL94" s="529"/>
      <c r="AM94" s="529"/>
      <c r="AN94" s="529"/>
      <c r="AO94" s="529"/>
      <c r="AP94" s="529"/>
      <c r="AQ94" s="529"/>
      <c r="AR94" s="529"/>
      <c r="AS94" s="529"/>
      <c r="AT94" s="529"/>
      <c r="AU94" s="529"/>
      <c r="AV94" s="529"/>
      <c r="AW94" s="529"/>
      <c r="AX94" s="529"/>
      <c r="AY94" s="529"/>
      <c r="AZ94" s="529"/>
      <c r="BA94" s="529"/>
      <c r="BB94" s="529"/>
      <c r="BC94" s="529"/>
      <c r="BD94" s="529"/>
      <c r="BE94" s="529"/>
      <c r="BF94" s="529"/>
      <c r="BG94" s="529"/>
      <c r="BH94" s="529"/>
      <c r="BI94" s="529"/>
      <c r="BJ94" s="529"/>
      <c r="BK94" s="529"/>
      <c r="BL94" s="529"/>
      <c r="BM94" s="529"/>
      <c r="BN94" s="529"/>
      <c r="BO94" s="529"/>
      <c r="BP94" s="529"/>
      <c r="BQ94" s="529"/>
      <c r="BR94" s="529"/>
      <c r="BS94" s="529"/>
      <c r="BT94" s="529"/>
      <c r="BU94" s="529"/>
      <c r="BV94" s="529"/>
      <c r="BW94" s="529"/>
      <c r="BX94" s="529"/>
      <c r="BY94" s="529"/>
      <c r="BZ94" s="537"/>
      <c r="CA94" s="537"/>
      <c r="CB94" s="537"/>
    </row>
    <row r="95" spans="1:80" x14ac:dyDescent="0.3">
      <c r="A95" s="551"/>
      <c r="B95" s="548"/>
      <c r="C95" s="525"/>
      <c r="D95" s="525"/>
      <c r="E95" s="570" t="s">
        <v>23</v>
      </c>
      <c r="F95" s="529"/>
      <c r="G95" s="529"/>
      <c r="H95" s="529"/>
      <c r="I95" s="529"/>
      <c r="J95" s="529"/>
      <c r="K95" s="529"/>
      <c r="L95" s="529"/>
      <c r="M95" s="529"/>
      <c r="N95" s="529"/>
      <c r="O95" s="529"/>
      <c r="P95" s="562"/>
      <c r="Q95" s="537"/>
      <c r="R95" s="529"/>
      <c r="S95" s="529"/>
      <c r="T95" s="529"/>
      <c r="U95" s="529"/>
      <c r="V95" s="529"/>
      <c r="W95" s="529"/>
      <c r="X95" s="529"/>
      <c r="Y95" s="529"/>
      <c r="Z95" s="529"/>
      <c r="AA95" s="529"/>
      <c r="AB95" s="529"/>
      <c r="AC95" s="529"/>
      <c r="AD95" s="529"/>
      <c r="AE95" s="529"/>
      <c r="AF95" s="529"/>
      <c r="AG95" s="529"/>
      <c r="AH95" s="529"/>
      <c r="AI95" s="529"/>
      <c r="AJ95" s="529"/>
      <c r="AK95" s="529"/>
      <c r="AL95" s="529"/>
      <c r="AM95" s="529"/>
      <c r="AN95" s="529"/>
      <c r="AO95" s="529"/>
      <c r="AP95" s="529"/>
      <c r="AQ95" s="529"/>
      <c r="AR95" s="529"/>
      <c r="AS95" s="529"/>
      <c r="AT95" s="529"/>
      <c r="AU95" s="529"/>
      <c r="AV95" s="529"/>
      <c r="AW95" s="529"/>
      <c r="AX95" s="529"/>
      <c r="AY95" s="529"/>
      <c r="AZ95" s="529"/>
      <c r="BA95" s="529"/>
      <c r="BB95" s="529"/>
      <c r="BC95" s="529"/>
      <c r="BD95" s="529"/>
      <c r="BE95" s="529"/>
      <c r="BF95" s="529"/>
      <c r="BG95" s="529"/>
      <c r="BH95" s="529"/>
      <c r="BI95" s="529"/>
      <c r="BJ95" s="529"/>
      <c r="BK95" s="529"/>
      <c r="BL95" s="529"/>
      <c r="BM95" s="529"/>
      <c r="BN95" s="529"/>
      <c r="BO95" s="529"/>
      <c r="BP95" s="529"/>
      <c r="BQ95" s="529"/>
      <c r="BR95" s="529"/>
      <c r="BS95" s="529"/>
      <c r="BT95" s="529"/>
      <c r="BU95" s="529"/>
      <c r="BV95" s="529"/>
      <c r="BW95" s="529"/>
      <c r="BX95" s="529"/>
      <c r="BY95" s="529"/>
      <c r="BZ95" s="537"/>
      <c r="CA95" s="537"/>
      <c r="CB95" s="537"/>
    </row>
    <row r="96" spans="1:80" x14ac:dyDescent="0.3">
      <c r="A96" s="551"/>
      <c r="B96" s="548"/>
      <c r="C96" s="525"/>
      <c r="D96" s="525"/>
      <c r="E96" s="572" t="s">
        <v>391</v>
      </c>
      <c r="F96" s="573"/>
      <c r="G96" s="573"/>
      <c r="H96" s="573"/>
      <c r="I96" s="530">
        <f t="shared" ref="I96:N101" si="142">I31/I$82</f>
        <v>4390.2858022319524</v>
      </c>
      <c r="J96" s="530">
        <f t="shared" si="142"/>
        <v>4450.4172202529708</v>
      </c>
      <c r="K96" s="530">
        <f t="shared" si="142"/>
        <v>4552.8119785972058</v>
      </c>
      <c r="L96" s="530">
        <f t="shared" si="142"/>
        <v>4654.1146417415712</v>
      </c>
      <c r="M96" s="530">
        <f t="shared" si="142"/>
        <v>4760.2593925377232</v>
      </c>
      <c r="N96" s="530">
        <f t="shared" si="142"/>
        <v>4869.790446644558</v>
      </c>
      <c r="O96" s="536"/>
      <c r="P96" s="568">
        <f t="shared" ref="P96:P102" si="143">IFERROR(((N96/I96)^(1/5))-1,0)</f>
        <v>2.0947702214874075E-2</v>
      </c>
      <c r="Q96" s="537"/>
      <c r="R96" s="530">
        <f t="shared" ref="R96:AW96" si="144">R31/R$82</f>
        <v>365.85715018599598</v>
      </c>
      <c r="S96" s="530">
        <f t="shared" si="144"/>
        <v>365.85715018599598</v>
      </c>
      <c r="T96" s="530">
        <f t="shared" si="144"/>
        <v>365.85715018599598</v>
      </c>
      <c r="U96" s="530">
        <f t="shared" si="144"/>
        <v>365.85715018599598</v>
      </c>
      <c r="V96" s="530">
        <f t="shared" si="144"/>
        <v>365.85715018599598</v>
      </c>
      <c r="W96" s="530">
        <f t="shared" si="144"/>
        <v>365.85715018599598</v>
      </c>
      <c r="X96" s="530">
        <f t="shared" si="144"/>
        <v>375.87905318949925</v>
      </c>
      <c r="Y96" s="530">
        <f t="shared" si="144"/>
        <v>375.87905318949925</v>
      </c>
      <c r="Z96" s="530">
        <f t="shared" si="144"/>
        <v>375.87905318949925</v>
      </c>
      <c r="AA96" s="530">
        <f t="shared" si="144"/>
        <v>375.87905318949925</v>
      </c>
      <c r="AB96" s="530">
        <f t="shared" si="144"/>
        <v>375.87905318949925</v>
      </c>
      <c r="AC96" s="530">
        <f t="shared" si="144"/>
        <v>375.87905318949925</v>
      </c>
      <c r="AD96" s="530">
        <f t="shared" si="144"/>
        <v>373.28370875728058</v>
      </c>
      <c r="AE96" s="530">
        <f t="shared" si="144"/>
        <v>373.28370875728058</v>
      </c>
      <c r="AF96" s="530">
        <f t="shared" si="144"/>
        <v>373.28370875728058</v>
      </c>
      <c r="AG96" s="530">
        <f t="shared" si="144"/>
        <v>373.28370875728058</v>
      </c>
      <c r="AH96" s="530">
        <f t="shared" si="144"/>
        <v>373.28370875728058</v>
      </c>
      <c r="AI96" s="530">
        <f t="shared" si="144"/>
        <v>373.28370875728058</v>
      </c>
      <c r="AJ96" s="530">
        <f t="shared" si="144"/>
        <v>385.5182876755872</v>
      </c>
      <c r="AK96" s="530">
        <f t="shared" si="144"/>
        <v>385.5182876755872</v>
      </c>
      <c r="AL96" s="530">
        <f t="shared" si="144"/>
        <v>385.5182876755872</v>
      </c>
      <c r="AM96" s="530">
        <f t="shared" si="144"/>
        <v>385.5182876755872</v>
      </c>
      <c r="AN96" s="530">
        <f t="shared" si="144"/>
        <v>385.5182876755872</v>
      </c>
      <c r="AO96" s="530">
        <f t="shared" si="144"/>
        <v>385.5182876755872</v>
      </c>
      <c r="AP96" s="530">
        <f t="shared" si="144"/>
        <v>380.63885708935169</v>
      </c>
      <c r="AQ96" s="530">
        <f t="shared" si="144"/>
        <v>380.63885708935169</v>
      </c>
      <c r="AR96" s="530">
        <f t="shared" si="144"/>
        <v>380.63885708935169</v>
      </c>
      <c r="AS96" s="530">
        <f t="shared" si="144"/>
        <v>380.63885708935169</v>
      </c>
      <c r="AT96" s="530">
        <f t="shared" si="144"/>
        <v>380.63885708935169</v>
      </c>
      <c r="AU96" s="530">
        <f t="shared" si="144"/>
        <v>380.63885708935169</v>
      </c>
      <c r="AV96" s="530">
        <f t="shared" si="144"/>
        <v>395.04691653424368</v>
      </c>
      <c r="AW96" s="530">
        <f t="shared" si="144"/>
        <v>395.04691653424368</v>
      </c>
      <c r="AX96" s="530">
        <f t="shared" ref="AX96:BY96" si="145">AX31/AX$82</f>
        <v>395.04691653424368</v>
      </c>
      <c r="AY96" s="530">
        <f t="shared" si="145"/>
        <v>395.04691653424368</v>
      </c>
      <c r="AZ96" s="530">
        <f t="shared" si="145"/>
        <v>395.04691653424368</v>
      </c>
      <c r="BA96" s="530">
        <f t="shared" si="145"/>
        <v>395.04691653424368</v>
      </c>
      <c r="BB96" s="530">
        <f t="shared" si="145"/>
        <v>388.4094202072551</v>
      </c>
      <c r="BC96" s="530">
        <f t="shared" si="145"/>
        <v>388.4094202072551</v>
      </c>
      <c r="BD96" s="530">
        <f t="shared" si="145"/>
        <v>388.4094202072551</v>
      </c>
      <c r="BE96" s="530">
        <f t="shared" si="145"/>
        <v>388.4094202072551</v>
      </c>
      <c r="BF96" s="530">
        <f t="shared" si="145"/>
        <v>388.4094202072551</v>
      </c>
      <c r="BG96" s="530">
        <f t="shared" si="145"/>
        <v>388.4094202072551</v>
      </c>
      <c r="BH96" s="530">
        <f t="shared" si="145"/>
        <v>404.96714521569868</v>
      </c>
      <c r="BI96" s="530">
        <f t="shared" si="145"/>
        <v>404.96714521569868</v>
      </c>
      <c r="BJ96" s="530">
        <f t="shared" si="145"/>
        <v>404.96714521569868</v>
      </c>
      <c r="BK96" s="530">
        <f t="shared" si="145"/>
        <v>404.96714521569868</v>
      </c>
      <c r="BL96" s="530">
        <f t="shared" si="145"/>
        <v>404.96714521569868</v>
      </c>
      <c r="BM96" s="530">
        <f t="shared" si="145"/>
        <v>404.96714521569868</v>
      </c>
      <c r="BN96" s="530">
        <f t="shared" si="145"/>
        <v>396.48687625903767</v>
      </c>
      <c r="BO96" s="530">
        <f t="shared" si="145"/>
        <v>396.48687625903767</v>
      </c>
      <c r="BP96" s="530">
        <f t="shared" si="145"/>
        <v>396.48687625903767</v>
      </c>
      <c r="BQ96" s="530">
        <f t="shared" si="145"/>
        <v>396.48687625903767</v>
      </c>
      <c r="BR96" s="530">
        <f t="shared" si="145"/>
        <v>396.48687625903767</v>
      </c>
      <c r="BS96" s="530">
        <f t="shared" si="145"/>
        <v>396.48687625903767</v>
      </c>
      <c r="BT96" s="530">
        <f t="shared" si="145"/>
        <v>415.14486484838858</v>
      </c>
      <c r="BU96" s="530">
        <f t="shared" si="145"/>
        <v>415.14486484838858</v>
      </c>
      <c r="BV96" s="530">
        <f t="shared" si="145"/>
        <v>415.14486484838858</v>
      </c>
      <c r="BW96" s="530">
        <f t="shared" si="145"/>
        <v>415.14486484838858</v>
      </c>
      <c r="BX96" s="530">
        <f t="shared" si="145"/>
        <v>415.14486484838858</v>
      </c>
      <c r="BY96" s="530">
        <f t="shared" si="145"/>
        <v>415.14486484838858</v>
      </c>
      <c r="BZ96" s="537"/>
      <c r="CA96" s="537"/>
      <c r="CB96" s="574"/>
    </row>
    <row r="97" spans="1:80" x14ac:dyDescent="0.3">
      <c r="A97" s="551"/>
      <c r="B97" s="548"/>
      <c r="C97" s="525"/>
      <c r="D97" s="525"/>
      <c r="E97" s="525" t="s">
        <v>392</v>
      </c>
      <c r="F97" s="567"/>
      <c r="G97" s="567"/>
      <c r="H97" s="567"/>
      <c r="I97" s="527">
        <f t="shared" si="142"/>
        <v>-2269.4975649098651</v>
      </c>
      <c r="J97" s="527">
        <f t="shared" si="142"/>
        <v>-2300.5816703464402</v>
      </c>
      <c r="K97" s="527">
        <f t="shared" si="142"/>
        <v>-2353.5132254182386</v>
      </c>
      <c r="L97" s="527">
        <f t="shared" si="142"/>
        <v>-2405.8802369709133</v>
      </c>
      <c r="M97" s="527">
        <f t="shared" si="142"/>
        <v>-2460.7502988100218</v>
      </c>
      <c r="N97" s="527">
        <f t="shared" si="142"/>
        <v>-2517.3708633416286</v>
      </c>
      <c r="O97" s="529"/>
      <c r="P97" s="564">
        <f t="shared" si="143"/>
        <v>2.0947702214874075E-2</v>
      </c>
      <c r="Q97" s="537"/>
      <c r="R97" s="527">
        <f t="shared" ref="R97:AW97" si="146">R32/R$82</f>
        <v>-189.12479707582204</v>
      </c>
      <c r="S97" s="527">
        <f t="shared" si="146"/>
        <v>-189.12479707582204</v>
      </c>
      <c r="T97" s="527">
        <f t="shared" si="146"/>
        <v>-189.12479707582204</v>
      </c>
      <c r="U97" s="527">
        <f t="shared" si="146"/>
        <v>-189.12479707582204</v>
      </c>
      <c r="V97" s="527">
        <f t="shared" si="146"/>
        <v>-189.12479707582204</v>
      </c>
      <c r="W97" s="527">
        <f t="shared" si="146"/>
        <v>-189.12479707582204</v>
      </c>
      <c r="X97" s="527">
        <f t="shared" si="146"/>
        <v>-194.30548131525137</v>
      </c>
      <c r="Y97" s="527">
        <f t="shared" si="146"/>
        <v>-194.30548131525137</v>
      </c>
      <c r="Z97" s="527">
        <f t="shared" si="146"/>
        <v>-194.30548131525137</v>
      </c>
      <c r="AA97" s="527">
        <f t="shared" si="146"/>
        <v>-194.30548131525137</v>
      </c>
      <c r="AB97" s="527">
        <f t="shared" si="146"/>
        <v>-194.30548131525137</v>
      </c>
      <c r="AC97" s="527">
        <f t="shared" si="146"/>
        <v>-194.30548131525137</v>
      </c>
      <c r="AD97" s="527">
        <f t="shared" si="146"/>
        <v>-192.96385388269832</v>
      </c>
      <c r="AE97" s="527">
        <f t="shared" si="146"/>
        <v>-192.96385388269832</v>
      </c>
      <c r="AF97" s="527">
        <f t="shared" si="146"/>
        <v>-192.96385388269832</v>
      </c>
      <c r="AG97" s="527">
        <f t="shared" si="146"/>
        <v>-192.96385388269832</v>
      </c>
      <c r="AH97" s="527">
        <f t="shared" si="146"/>
        <v>-192.96385388269832</v>
      </c>
      <c r="AI97" s="527">
        <f t="shared" si="146"/>
        <v>-192.96385388269832</v>
      </c>
      <c r="AJ97" s="527">
        <f t="shared" si="146"/>
        <v>-199.28835035367487</v>
      </c>
      <c r="AK97" s="527">
        <f t="shared" si="146"/>
        <v>-199.28835035367487</v>
      </c>
      <c r="AL97" s="527">
        <f t="shared" si="146"/>
        <v>-199.28835035367487</v>
      </c>
      <c r="AM97" s="527">
        <f t="shared" si="146"/>
        <v>-199.28835035367487</v>
      </c>
      <c r="AN97" s="527">
        <f t="shared" si="146"/>
        <v>-199.28835035367487</v>
      </c>
      <c r="AO97" s="527">
        <f t="shared" si="146"/>
        <v>-199.28835035367487</v>
      </c>
      <c r="AP97" s="527">
        <f t="shared" si="146"/>
        <v>-196.76599615341337</v>
      </c>
      <c r="AQ97" s="527">
        <f t="shared" si="146"/>
        <v>-196.76599615341337</v>
      </c>
      <c r="AR97" s="527">
        <f t="shared" si="146"/>
        <v>-196.76599615341337</v>
      </c>
      <c r="AS97" s="527">
        <f t="shared" si="146"/>
        <v>-196.76599615341337</v>
      </c>
      <c r="AT97" s="527">
        <f t="shared" si="146"/>
        <v>-196.76599615341337</v>
      </c>
      <c r="AU97" s="527">
        <f t="shared" si="146"/>
        <v>-196.76599615341337</v>
      </c>
      <c r="AV97" s="527">
        <f t="shared" si="146"/>
        <v>-204.21404334173886</v>
      </c>
      <c r="AW97" s="527">
        <f t="shared" si="146"/>
        <v>-204.21404334173886</v>
      </c>
      <c r="AX97" s="527">
        <f t="shared" ref="AX97:BY97" si="147">AX32/AX$82</f>
        <v>-204.21404334173886</v>
      </c>
      <c r="AY97" s="527">
        <f t="shared" si="147"/>
        <v>-204.21404334173886</v>
      </c>
      <c r="AZ97" s="527">
        <f t="shared" si="147"/>
        <v>-204.21404334173886</v>
      </c>
      <c r="BA97" s="527">
        <f t="shared" si="147"/>
        <v>-204.21404334173886</v>
      </c>
      <c r="BB97" s="527">
        <f t="shared" si="147"/>
        <v>-200.78288135598825</v>
      </c>
      <c r="BC97" s="527">
        <f t="shared" si="147"/>
        <v>-200.78288135598825</v>
      </c>
      <c r="BD97" s="527">
        <f t="shared" si="147"/>
        <v>-200.78288135598825</v>
      </c>
      <c r="BE97" s="527">
        <f t="shared" si="147"/>
        <v>-200.78288135598825</v>
      </c>
      <c r="BF97" s="527">
        <f t="shared" si="147"/>
        <v>-200.78288135598825</v>
      </c>
      <c r="BG97" s="527">
        <f t="shared" si="147"/>
        <v>-200.78288135598825</v>
      </c>
      <c r="BH97" s="527">
        <f t="shared" si="147"/>
        <v>-209.34216844568206</v>
      </c>
      <c r="BI97" s="527">
        <f t="shared" si="147"/>
        <v>-209.34216844568206</v>
      </c>
      <c r="BJ97" s="527">
        <f t="shared" si="147"/>
        <v>-209.34216844568206</v>
      </c>
      <c r="BK97" s="527">
        <f t="shared" si="147"/>
        <v>-209.34216844568206</v>
      </c>
      <c r="BL97" s="527">
        <f t="shared" si="147"/>
        <v>-209.34216844568206</v>
      </c>
      <c r="BM97" s="527">
        <f t="shared" si="147"/>
        <v>-209.34216844568206</v>
      </c>
      <c r="BN97" s="527">
        <f t="shared" si="147"/>
        <v>-204.95841061899603</v>
      </c>
      <c r="BO97" s="527">
        <f t="shared" si="147"/>
        <v>-204.95841061899603</v>
      </c>
      <c r="BP97" s="527">
        <f t="shared" si="147"/>
        <v>-204.95841061899603</v>
      </c>
      <c r="BQ97" s="527">
        <f t="shared" si="147"/>
        <v>-204.95841061899603</v>
      </c>
      <c r="BR97" s="527">
        <f t="shared" si="147"/>
        <v>-204.95841061899603</v>
      </c>
      <c r="BS97" s="527">
        <f t="shared" si="147"/>
        <v>-204.95841061899603</v>
      </c>
      <c r="BT97" s="527">
        <f t="shared" si="147"/>
        <v>-214.60339993794216</v>
      </c>
      <c r="BU97" s="527">
        <f t="shared" si="147"/>
        <v>-214.60339993794216</v>
      </c>
      <c r="BV97" s="527">
        <f t="shared" si="147"/>
        <v>-214.60339993794216</v>
      </c>
      <c r="BW97" s="527">
        <f t="shared" si="147"/>
        <v>-214.60339993794216</v>
      </c>
      <c r="BX97" s="527">
        <f t="shared" si="147"/>
        <v>-214.60339993794216</v>
      </c>
      <c r="BY97" s="527">
        <f t="shared" si="147"/>
        <v>-214.60339993794216</v>
      </c>
      <c r="BZ97" s="537"/>
      <c r="CA97" s="537"/>
      <c r="CB97" s="574"/>
    </row>
    <row r="98" spans="1:80" x14ac:dyDescent="0.3">
      <c r="A98" s="551"/>
      <c r="B98" s="548"/>
      <c r="C98" s="525"/>
      <c r="D98" s="525"/>
      <c r="E98" s="525" t="s">
        <v>393</v>
      </c>
      <c r="F98" s="567"/>
      <c r="G98" s="567"/>
      <c r="H98" s="567"/>
      <c r="I98" s="527">
        <f t="shared" si="142"/>
        <v>-384.51965428746621</v>
      </c>
      <c r="J98" s="527">
        <f t="shared" si="142"/>
        <v>-389.78621621778581</v>
      </c>
      <c r="K98" s="527">
        <f t="shared" si="142"/>
        <v>-398.7543788506963</v>
      </c>
      <c r="L98" s="527">
        <f t="shared" si="142"/>
        <v>-407.62689120305106</v>
      </c>
      <c r="M98" s="527">
        <f t="shared" si="142"/>
        <v>-416.92349391165271</v>
      </c>
      <c r="N98" s="527">
        <f t="shared" si="142"/>
        <v>-426.51668327474397</v>
      </c>
      <c r="O98" s="529"/>
      <c r="P98" s="564">
        <f t="shared" si="143"/>
        <v>2.0947702214874075E-2</v>
      </c>
      <c r="Q98" s="537"/>
      <c r="R98" s="527">
        <f t="shared" ref="R98:AW98" si="148">R33/R$82</f>
        <v>-32.043304523955513</v>
      </c>
      <c r="S98" s="527">
        <f t="shared" si="148"/>
        <v>-32.043304523955513</v>
      </c>
      <c r="T98" s="527">
        <f t="shared" si="148"/>
        <v>-32.043304523955513</v>
      </c>
      <c r="U98" s="527">
        <f t="shared" si="148"/>
        <v>-32.043304523955513</v>
      </c>
      <c r="V98" s="527">
        <f t="shared" si="148"/>
        <v>-32.043304523955513</v>
      </c>
      <c r="W98" s="527">
        <f t="shared" si="148"/>
        <v>-32.043304523955513</v>
      </c>
      <c r="X98" s="527">
        <f t="shared" si="148"/>
        <v>-32.921064845675446</v>
      </c>
      <c r="Y98" s="527">
        <f t="shared" si="148"/>
        <v>-32.921064845675446</v>
      </c>
      <c r="Z98" s="527">
        <f t="shared" si="148"/>
        <v>-32.921064845675446</v>
      </c>
      <c r="AA98" s="527">
        <f t="shared" si="148"/>
        <v>-32.921064845675446</v>
      </c>
      <c r="AB98" s="527">
        <f t="shared" si="148"/>
        <v>-32.921064845675446</v>
      </c>
      <c r="AC98" s="527">
        <f t="shared" si="148"/>
        <v>-32.921064845675446</v>
      </c>
      <c r="AD98" s="527">
        <f t="shared" si="148"/>
        <v>-32.693753689001717</v>
      </c>
      <c r="AE98" s="527">
        <f t="shared" si="148"/>
        <v>-32.693753689001717</v>
      </c>
      <c r="AF98" s="527">
        <f t="shared" si="148"/>
        <v>-32.693753689001717</v>
      </c>
      <c r="AG98" s="527">
        <f t="shared" si="148"/>
        <v>-32.693753689001717</v>
      </c>
      <c r="AH98" s="527">
        <f t="shared" si="148"/>
        <v>-32.693753689001717</v>
      </c>
      <c r="AI98" s="527">
        <f t="shared" si="148"/>
        <v>-32.693753689001717</v>
      </c>
      <c r="AJ98" s="527">
        <f t="shared" si="148"/>
        <v>-33.765309452780983</v>
      </c>
      <c r="AK98" s="527">
        <f t="shared" si="148"/>
        <v>-33.765309452780983</v>
      </c>
      <c r="AL98" s="527">
        <f t="shared" si="148"/>
        <v>-33.765309452780983</v>
      </c>
      <c r="AM98" s="527">
        <f t="shared" si="148"/>
        <v>-33.765309452780983</v>
      </c>
      <c r="AN98" s="527">
        <f t="shared" si="148"/>
        <v>-33.765309452780983</v>
      </c>
      <c r="AO98" s="527">
        <f t="shared" si="148"/>
        <v>-33.765309452780983</v>
      </c>
      <c r="AP98" s="527">
        <f t="shared" si="148"/>
        <v>-33.337948445626253</v>
      </c>
      <c r="AQ98" s="527">
        <f t="shared" si="148"/>
        <v>-33.337948445626253</v>
      </c>
      <c r="AR98" s="527">
        <f t="shared" si="148"/>
        <v>-33.337948445626253</v>
      </c>
      <c r="AS98" s="527">
        <f t="shared" si="148"/>
        <v>-33.337948445626253</v>
      </c>
      <c r="AT98" s="527">
        <f t="shared" si="148"/>
        <v>-33.337948445626253</v>
      </c>
      <c r="AU98" s="527">
        <f t="shared" si="148"/>
        <v>-33.337948445626253</v>
      </c>
      <c r="AV98" s="527">
        <f t="shared" si="148"/>
        <v>-34.59986675488225</v>
      </c>
      <c r="AW98" s="527">
        <f t="shared" si="148"/>
        <v>-34.59986675488225</v>
      </c>
      <c r="AX98" s="527">
        <f t="shared" ref="AX98:BY98" si="149">AX33/AX$82</f>
        <v>-34.59986675488225</v>
      </c>
      <c r="AY98" s="527">
        <f t="shared" si="149"/>
        <v>-34.59986675488225</v>
      </c>
      <c r="AZ98" s="527">
        <f t="shared" si="149"/>
        <v>-34.59986675488225</v>
      </c>
      <c r="BA98" s="527">
        <f t="shared" si="149"/>
        <v>-34.59986675488225</v>
      </c>
      <c r="BB98" s="527">
        <f t="shared" si="149"/>
        <v>-34.018526972472088</v>
      </c>
      <c r="BC98" s="527">
        <f t="shared" si="149"/>
        <v>-34.018526972472088</v>
      </c>
      <c r="BD98" s="527">
        <f t="shared" si="149"/>
        <v>-34.018526972472088</v>
      </c>
      <c r="BE98" s="527">
        <f t="shared" si="149"/>
        <v>-34.018526972472088</v>
      </c>
      <c r="BF98" s="527">
        <f t="shared" si="149"/>
        <v>-34.018526972472088</v>
      </c>
      <c r="BG98" s="527">
        <f t="shared" si="149"/>
        <v>-34.018526972472088</v>
      </c>
      <c r="BH98" s="527">
        <f t="shared" si="149"/>
        <v>-35.468722012803383</v>
      </c>
      <c r="BI98" s="527">
        <f t="shared" si="149"/>
        <v>-35.468722012803383</v>
      </c>
      <c r="BJ98" s="527">
        <f t="shared" si="149"/>
        <v>-35.468722012803383</v>
      </c>
      <c r="BK98" s="527">
        <f t="shared" si="149"/>
        <v>-35.468722012803383</v>
      </c>
      <c r="BL98" s="527">
        <f t="shared" si="149"/>
        <v>-35.468722012803383</v>
      </c>
      <c r="BM98" s="527">
        <f t="shared" si="149"/>
        <v>-35.468722012803383</v>
      </c>
      <c r="BN98" s="527">
        <f t="shared" si="149"/>
        <v>-34.725984470335803</v>
      </c>
      <c r="BO98" s="527">
        <f t="shared" si="149"/>
        <v>-34.725984470335803</v>
      </c>
      <c r="BP98" s="527">
        <f t="shared" si="149"/>
        <v>-34.725984470335803</v>
      </c>
      <c r="BQ98" s="527">
        <f t="shared" si="149"/>
        <v>-34.725984470335803</v>
      </c>
      <c r="BR98" s="527">
        <f t="shared" si="149"/>
        <v>-34.725984470335803</v>
      </c>
      <c r="BS98" s="527">
        <f t="shared" si="149"/>
        <v>-34.725984470335803</v>
      </c>
      <c r="BT98" s="527">
        <f t="shared" si="149"/>
        <v>-36.36012940878819</v>
      </c>
      <c r="BU98" s="527">
        <f t="shared" si="149"/>
        <v>-36.36012940878819</v>
      </c>
      <c r="BV98" s="527">
        <f t="shared" si="149"/>
        <v>-36.36012940878819</v>
      </c>
      <c r="BW98" s="527">
        <f t="shared" si="149"/>
        <v>-36.36012940878819</v>
      </c>
      <c r="BX98" s="527">
        <f t="shared" si="149"/>
        <v>-36.36012940878819</v>
      </c>
      <c r="BY98" s="527">
        <f t="shared" si="149"/>
        <v>-36.36012940878819</v>
      </c>
      <c r="BZ98" s="537"/>
      <c r="CA98" s="537"/>
      <c r="CB98" s="574"/>
    </row>
    <row r="99" spans="1:80" x14ac:dyDescent="0.3">
      <c r="A99" s="551"/>
      <c r="B99" s="548"/>
      <c r="C99" s="525"/>
      <c r="D99" s="525"/>
      <c r="E99" s="572" t="s">
        <v>394</v>
      </c>
      <c r="F99" s="573"/>
      <c r="G99" s="573"/>
      <c r="H99" s="573"/>
      <c r="I99" s="532">
        <f t="shared" si="142"/>
        <v>1470.0612903225804</v>
      </c>
      <c r="J99" s="532">
        <f t="shared" si="142"/>
        <v>1760.0493336887455</v>
      </c>
      <c r="K99" s="530">
        <f t="shared" si="142"/>
        <v>1800.544374328271</v>
      </c>
      <c r="L99" s="532">
        <f t="shared" si="142"/>
        <v>1840.6075135676081</v>
      </c>
      <c r="M99" s="532">
        <f t="shared" si="142"/>
        <v>1882.5855998160482</v>
      </c>
      <c r="N99" s="532">
        <f t="shared" si="142"/>
        <v>1925.9029000281841</v>
      </c>
      <c r="O99" s="536"/>
      <c r="P99" s="568">
        <f t="shared" si="143"/>
        <v>5.5503770506345029E-2</v>
      </c>
      <c r="Q99" s="537"/>
      <c r="R99" s="530">
        <f t="shared" ref="R99:AW99" si="150">R34/R$82</f>
        <v>144.68904858621846</v>
      </c>
      <c r="S99" s="532">
        <f t="shared" si="150"/>
        <v>144.68904858621846</v>
      </c>
      <c r="T99" s="530">
        <f t="shared" si="150"/>
        <v>144.68904858621846</v>
      </c>
      <c r="U99" s="532">
        <f t="shared" si="150"/>
        <v>144.68904858621846</v>
      </c>
      <c r="V99" s="532">
        <f t="shared" si="150"/>
        <v>144.68904858621846</v>
      </c>
      <c r="W99" s="532">
        <f t="shared" si="150"/>
        <v>144.68904858621846</v>
      </c>
      <c r="X99" s="532">
        <f t="shared" si="150"/>
        <v>148.65250702857242</v>
      </c>
      <c r="Y99" s="532">
        <f t="shared" si="150"/>
        <v>148.65250702857242</v>
      </c>
      <c r="Z99" s="532">
        <f t="shared" si="150"/>
        <v>148.65250702857242</v>
      </c>
      <c r="AA99" s="532">
        <f t="shared" si="150"/>
        <v>148.65250702857242</v>
      </c>
      <c r="AB99" s="532">
        <f t="shared" si="150"/>
        <v>148.65250702857242</v>
      </c>
      <c r="AC99" s="532">
        <f t="shared" si="150"/>
        <v>148.65250702857242</v>
      </c>
      <c r="AD99" s="532">
        <f t="shared" si="150"/>
        <v>147.62610118558055</v>
      </c>
      <c r="AE99" s="532">
        <f t="shared" si="150"/>
        <v>147.62610118558055</v>
      </c>
      <c r="AF99" s="532">
        <f t="shared" si="150"/>
        <v>147.62610118558055</v>
      </c>
      <c r="AG99" s="532">
        <f t="shared" si="150"/>
        <v>147.62610118558055</v>
      </c>
      <c r="AH99" s="532">
        <f t="shared" si="150"/>
        <v>147.62610118558055</v>
      </c>
      <c r="AI99" s="532">
        <f t="shared" si="150"/>
        <v>147.62610118558055</v>
      </c>
      <c r="AJ99" s="532">
        <f t="shared" si="150"/>
        <v>152.46462786913133</v>
      </c>
      <c r="AK99" s="532">
        <f t="shared" si="150"/>
        <v>152.46462786913133</v>
      </c>
      <c r="AL99" s="532">
        <f t="shared" si="150"/>
        <v>152.46462786913133</v>
      </c>
      <c r="AM99" s="532">
        <f t="shared" si="150"/>
        <v>152.46462786913133</v>
      </c>
      <c r="AN99" s="532">
        <f t="shared" si="150"/>
        <v>152.46462786913133</v>
      </c>
      <c r="AO99" s="532">
        <f t="shared" si="150"/>
        <v>152.46462786913133</v>
      </c>
      <c r="AP99" s="532">
        <f t="shared" si="150"/>
        <v>150.53491249031205</v>
      </c>
      <c r="AQ99" s="532">
        <f t="shared" si="150"/>
        <v>150.53491249031205</v>
      </c>
      <c r="AR99" s="532">
        <f t="shared" si="150"/>
        <v>150.53491249031205</v>
      </c>
      <c r="AS99" s="532">
        <f t="shared" si="150"/>
        <v>150.53491249031205</v>
      </c>
      <c r="AT99" s="532">
        <f t="shared" si="150"/>
        <v>150.53491249031205</v>
      </c>
      <c r="AU99" s="532">
        <f t="shared" si="150"/>
        <v>150.53491249031205</v>
      </c>
      <c r="AV99" s="532">
        <f t="shared" si="150"/>
        <v>156.23300643762258</v>
      </c>
      <c r="AW99" s="532">
        <f t="shared" si="150"/>
        <v>156.23300643762258</v>
      </c>
      <c r="AX99" s="532">
        <f t="shared" ref="AX99:BY99" si="151">AX34/AX$82</f>
        <v>156.23300643762258</v>
      </c>
      <c r="AY99" s="532">
        <f t="shared" si="151"/>
        <v>156.23300643762258</v>
      </c>
      <c r="AZ99" s="532">
        <f t="shared" si="151"/>
        <v>156.23300643762258</v>
      </c>
      <c r="BA99" s="532">
        <f t="shared" si="151"/>
        <v>156.23300643762258</v>
      </c>
      <c r="BB99" s="532">
        <f t="shared" si="151"/>
        <v>153.60801187879474</v>
      </c>
      <c r="BC99" s="532">
        <f t="shared" si="151"/>
        <v>153.60801187879474</v>
      </c>
      <c r="BD99" s="532">
        <f t="shared" si="151"/>
        <v>153.60801187879474</v>
      </c>
      <c r="BE99" s="532">
        <f t="shared" si="151"/>
        <v>153.60801187879474</v>
      </c>
      <c r="BF99" s="532">
        <f t="shared" si="151"/>
        <v>153.60801187879474</v>
      </c>
      <c r="BG99" s="532">
        <f t="shared" si="151"/>
        <v>153.60801187879474</v>
      </c>
      <c r="BH99" s="532">
        <f t="shared" si="151"/>
        <v>160.15625475721325</v>
      </c>
      <c r="BI99" s="532">
        <f t="shared" si="151"/>
        <v>160.15625475721325</v>
      </c>
      <c r="BJ99" s="532">
        <f t="shared" si="151"/>
        <v>160.15625475721325</v>
      </c>
      <c r="BK99" s="532">
        <f t="shared" si="151"/>
        <v>160.15625475721325</v>
      </c>
      <c r="BL99" s="532">
        <f t="shared" si="151"/>
        <v>160.15625475721325</v>
      </c>
      <c r="BM99" s="532">
        <f t="shared" si="151"/>
        <v>160.15625475721325</v>
      </c>
      <c r="BN99" s="532">
        <f t="shared" si="151"/>
        <v>156.80248116970583</v>
      </c>
      <c r="BO99" s="532">
        <f t="shared" si="151"/>
        <v>156.80248116970583</v>
      </c>
      <c r="BP99" s="532">
        <f t="shared" si="151"/>
        <v>156.80248116970583</v>
      </c>
      <c r="BQ99" s="532">
        <f t="shared" si="151"/>
        <v>156.80248116970583</v>
      </c>
      <c r="BR99" s="532">
        <f t="shared" si="151"/>
        <v>156.80248116970583</v>
      </c>
      <c r="BS99" s="532">
        <f t="shared" si="151"/>
        <v>156.80248116970583</v>
      </c>
      <c r="BT99" s="532">
        <f t="shared" si="151"/>
        <v>164.18133550165822</v>
      </c>
      <c r="BU99" s="532">
        <f t="shared" si="151"/>
        <v>164.18133550165822</v>
      </c>
      <c r="BV99" s="532">
        <f t="shared" si="151"/>
        <v>164.18133550165822</v>
      </c>
      <c r="BW99" s="532">
        <f t="shared" si="151"/>
        <v>164.18133550165822</v>
      </c>
      <c r="BX99" s="532">
        <f t="shared" si="151"/>
        <v>164.18133550165822</v>
      </c>
      <c r="BY99" s="532">
        <f t="shared" si="151"/>
        <v>164.18133550165822</v>
      </c>
      <c r="BZ99" s="537"/>
      <c r="CA99" s="537"/>
      <c r="CB99" s="574"/>
    </row>
    <row r="100" spans="1:80" x14ac:dyDescent="0.3">
      <c r="A100" s="551"/>
      <c r="B100" s="548"/>
      <c r="C100" s="525"/>
      <c r="D100" s="525"/>
      <c r="E100" s="525" t="s">
        <v>395</v>
      </c>
      <c r="F100" s="567"/>
      <c r="G100" s="567"/>
      <c r="H100" s="567"/>
      <c r="I100" s="527">
        <f t="shared" si="142"/>
        <v>-327.62376620025384</v>
      </c>
      <c r="J100" s="527">
        <f t="shared" si="142"/>
        <v>-332.11105530316206</v>
      </c>
      <c r="K100" s="527">
        <f t="shared" si="142"/>
        <v>-339.75223354965539</v>
      </c>
      <c r="L100" s="527">
        <f t="shared" si="142"/>
        <v>-347.31191451817</v>
      </c>
      <c r="M100" s="527">
        <f t="shared" si="142"/>
        <v>-355.23293483091203</v>
      </c>
      <c r="N100" s="527">
        <f t="shared" si="142"/>
        <v>-363.4066570164066</v>
      </c>
      <c r="O100" s="529"/>
      <c r="P100" s="564">
        <f t="shared" si="143"/>
        <v>2.0947702214874075E-2</v>
      </c>
      <c r="Q100" s="537"/>
      <c r="R100" s="527">
        <f t="shared" ref="R100:AW100" si="152">R35/R$82</f>
        <v>-27.301980516687816</v>
      </c>
      <c r="S100" s="527">
        <f t="shared" si="152"/>
        <v>-27.301980516687816</v>
      </c>
      <c r="T100" s="527">
        <f t="shared" si="152"/>
        <v>-27.301980516687816</v>
      </c>
      <c r="U100" s="527">
        <f t="shared" si="152"/>
        <v>-27.301980516687816</v>
      </c>
      <c r="V100" s="527">
        <f t="shared" si="152"/>
        <v>-27.301980516687816</v>
      </c>
      <c r="W100" s="527">
        <f t="shared" si="152"/>
        <v>-27.301980516687816</v>
      </c>
      <c r="X100" s="527">
        <f t="shared" si="152"/>
        <v>-28.04986203383919</v>
      </c>
      <c r="Y100" s="527">
        <f t="shared" si="152"/>
        <v>-28.04986203383919</v>
      </c>
      <c r="Z100" s="527">
        <f t="shared" si="152"/>
        <v>-28.04986203383919</v>
      </c>
      <c r="AA100" s="527">
        <f t="shared" si="152"/>
        <v>-28.04986203383919</v>
      </c>
      <c r="AB100" s="527">
        <f t="shared" si="152"/>
        <v>-28.04986203383919</v>
      </c>
      <c r="AC100" s="527">
        <f t="shared" si="152"/>
        <v>-28.04986203383919</v>
      </c>
      <c r="AD100" s="527">
        <f t="shared" si="152"/>
        <v>-27.856185231058365</v>
      </c>
      <c r="AE100" s="527">
        <f t="shared" si="152"/>
        <v>-27.856185231058365</v>
      </c>
      <c r="AF100" s="527">
        <f t="shared" si="152"/>
        <v>-27.856185231058365</v>
      </c>
      <c r="AG100" s="527">
        <f t="shared" si="152"/>
        <v>-27.856185231058365</v>
      </c>
      <c r="AH100" s="527">
        <f t="shared" si="152"/>
        <v>-27.856185231058365</v>
      </c>
      <c r="AI100" s="527">
        <f t="shared" si="152"/>
        <v>-27.856185231058365</v>
      </c>
      <c r="AJ100" s="527">
        <f t="shared" si="152"/>
        <v>-28.769187027217527</v>
      </c>
      <c r="AK100" s="527">
        <f t="shared" si="152"/>
        <v>-28.769187027217527</v>
      </c>
      <c r="AL100" s="527">
        <f t="shared" si="152"/>
        <v>-28.769187027217527</v>
      </c>
      <c r="AM100" s="527">
        <f t="shared" si="152"/>
        <v>-28.769187027217527</v>
      </c>
      <c r="AN100" s="527">
        <f t="shared" si="152"/>
        <v>-28.769187027217527</v>
      </c>
      <c r="AO100" s="527">
        <f t="shared" si="152"/>
        <v>-28.769187027217527</v>
      </c>
      <c r="AP100" s="527">
        <f t="shared" si="152"/>
        <v>-28.405060977664562</v>
      </c>
      <c r="AQ100" s="527">
        <f t="shared" si="152"/>
        <v>-28.405060977664562</v>
      </c>
      <c r="AR100" s="527">
        <f t="shared" si="152"/>
        <v>-28.405060977664562</v>
      </c>
      <c r="AS100" s="527">
        <f t="shared" si="152"/>
        <v>-28.405060977664562</v>
      </c>
      <c r="AT100" s="527">
        <f t="shared" si="152"/>
        <v>-28.405060977664562</v>
      </c>
      <c r="AU100" s="527">
        <f t="shared" si="152"/>
        <v>-28.405060977664562</v>
      </c>
      <c r="AV100" s="527">
        <f t="shared" si="152"/>
        <v>-29.480258108697097</v>
      </c>
      <c r="AW100" s="527">
        <f t="shared" si="152"/>
        <v>-29.480258108697097</v>
      </c>
      <c r="AX100" s="527">
        <f t="shared" ref="AX100:BY100" si="153">AX35/AX$82</f>
        <v>-29.480258108697097</v>
      </c>
      <c r="AY100" s="527">
        <f t="shared" si="153"/>
        <v>-29.480258108697097</v>
      </c>
      <c r="AZ100" s="527">
        <f t="shared" si="153"/>
        <v>-29.480258108697097</v>
      </c>
      <c r="BA100" s="527">
        <f t="shared" si="153"/>
        <v>-29.480258108697097</v>
      </c>
      <c r="BB100" s="527">
        <f t="shared" si="153"/>
        <v>-28.984936928540026</v>
      </c>
      <c r="BC100" s="527">
        <f t="shared" si="153"/>
        <v>-28.984936928540026</v>
      </c>
      <c r="BD100" s="527">
        <f t="shared" si="153"/>
        <v>-28.984936928540026</v>
      </c>
      <c r="BE100" s="527">
        <f t="shared" si="153"/>
        <v>-28.984936928540026</v>
      </c>
      <c r="BF100" s="527">
        <f t="shared" si="153"/>
        <v>-28.984936928540026</v>
      </c>
      <c r="BG100" s="527">
        <f t="shared" si="153"/>
        <v>-28.984936928540026</v>
      </c>
      <c r="BH100" s="527">
        <f t="shared" si="153"/>
        <v>-30.2205522099453</v>
      </c>
      <c r="BI100" s="527">
        <f t="shared" si="153"/>
        <v>-30.2205522099453</v>
      </c>
      <c r="BJ100" s="527">
        <f t="shared" si="153"/>
        <v>-30.2205522099453</v>
      </c>
      <c r="BK100" s="527">
        <f t="shared" si="153"/>
        <v>-30.2205522099453</v>
      </c>
      <c r="BL100" s="527">
        <f t="shared" si="153"/>
        <v>-30.2205522099453</v>
      </c>
      <c r="BM100" s="527">
        <f t="shared" si="153"/>
        <v>-30.2205522099453</v>
      </c>
      <c r="BN100" s="527">
        <f t="shared" si="153"/>
        <v>-29.58771467290844</v>
      </c>
      <c r="BO100" s="527">
        <f t="shared" si="153"/>
        <v>-29.58771467290844</v>
      </c>
      <c r="BP100" s="527">
        <f t="shared" si="153"/>
        <v>-29.58771467290844</v>
      </c>
      <c r="BQ100" s="527">
        <f t="shared" si="153"/>
        <v>-29.58771467290844</v>
      </c>
      <c r="BR100" s="527">
        <f t="shared" si="153"/>
        <v>-29.58771467290844</v>
      </c>
      <c r="BS100" s="527">
        <f t="shared" si="153"/>
        <v>-29.58771467290844</v>
      </c>
      <c r="BT100" s="527">
        <f t="shared" si="153"/>
        <v>-30.980061496492652</v>
      </c>
      <c r="BU100" s="527">
        <f t="shared" si="153"/>
        <v>-30.980061496492652</v>
      </c>
      <c r="BV100" s="527">
        <f t="shared" si="153"/>
        <v>-30.980061496492652</v>
      </c>
      <c r="BW100" s="527">
        <f t="shared" si="153"/>
        <v>-30.980061496492652</v>
      </c>
      <c r="BX100" s="527">
        <f t="shared" si="153"/>
        <v>-30.980061496492652</v>
      </c>
      <c r="BY100" s="527">
        <f t="shared" si="153"/>
        <v>-30.980061496492652</v>
      </c>
      <c r="BZ100" s="537"/>
      <c r="CA100" s="537"/>
      <c r="CB100" s="574"/>
    </row>
    <row r="101" spans="1:80" x14ac:dyDescent="0.3">
      <c r="A101" s="551"/>
      <c r="B101" s="548"/>
      <c r="C101" s="525"/>
      <c r="D101" s="525"/>
      <c r="E101" s="572" t="s">
        <v>396</v>
      </c>
      <c r="F101" s="573"/>
      <c r="G101" s="573"/>
      <c r="H101" s="573"/>
      <c r="I101" s="530">
        <f t="shared" si="142"/>
        <v>1408.6448168343659</v>
      </c>
      <c r="J101" s="530">
        <f t="shared" si="142"/>
        <v>1427.9382783855835</v>
      </c>
      <c r="K101" s="530">
        <f t="shared" si="142"/>
        <v>1460.7921407786159</v>
      </c>
      <c r="L101" s="530">
        <f t="shared" si="142"/>
        <v>1493.2955990494381</v>
      </c>
      <c r="M101" s="530">
        <f t="shared" si="142"/>
        <v>1527.3526649851358</v>
      </c>
      <c r="N101" s="530">
        <f t="shared" si="142"/>
        <v>1562.4962430117773</v>
      </c>
      <c r="O101" s="536"/>
      <c r="P101" s="568">
        <f t="shared" si="143"/>
        <v>2.0947702214874075E-2</v>
      </c>
      <c r="Q101" s="537"/>
      <c r="R101" s="530">
        <f t="shared" ref="R101:AW101" si="154">R36/R$82</f>
        <v>117.38706806953063</v>
      </c>
      <c r="S101" s="530">
        <f t="shared" si="154"/>
        <v>117.38706806953063</v>
      </c>
      <c r="T101" s="530">
        <f t="shared" si="154"/>
        <v>117.38706806953063</v>
      </c>
      <c r="U101" s="530">
        <f t="shared" si="154"/>
        <v>117.38706806953063</v>
      </c>
      <c r="V101" s="530">
        <f t="shared" si="154"/>
        <v>117.38706806953063</v>
      </c>
      <c r="W101" s="530">
        <f t="shared" si="154"/>
        <v>117.38706806953063</v>
      </c>
      <c r="X101" s="530">
        <f t="shared" si="154"/>
        <v>120.60264499473323</v>
      </c>
      <c r="Y101" s="530">
        <f t="shared" si="154"/>
        <v>120.60264499473323</v>
      </c>
      <c r="Z101" s="530">
        <f t="shared" si="154"/>
        <v>120.60264499473323</v>
      </c>
      <c r="AA101" s="530">
        <f t="shared" si="154"/>
        <v>120.60264499473323</v>
      </c>
      <c r="AB101" s="530">
        <f t="shared" si="154"/>
        <v>120.60264499473323</v>
      </c>
      <c r="AC101" s="530">
        <f t="shared" si="154"/>
        <v>120.60264499473323</v>
      </c>
      <c r="AD101" s="530">
        <f t="shared" si="154"/>
        <v>119.76991595452219</v>
      </c>
      <c r="AE101" s="530">
        <f t="shared" si="154"/>
        <v>119.76991595452219</v>
      </c>
      <c r="AF101" s="530">
        <f t="shared" si="154"/>
        <v>119.76991595452219</v>
      </c>
      <c r="AG101" s="530">
        <f t="shared" si="154"/>
        <v>119.76991595452219</v>
      </c>
      <c r="AH101" s="530">
        <f t="shared" si="154"/>
        <v>119.76991595452219</v>
      </c>
      <c r="AI101" s="530">
        <f t="shared" si="154"/>
        <v>119.76991595452219</v>
      </c>
      <c r="AJ101" s="530">
        <f t="shared" si="154"/>
        <v>123.69544084191379</v>
      </c>
      <c r="AK101" s="530">
        <f t="shared" si="154"/>
        <v>123.69544084191379</v>
      </c>
      <c r="AL101" s="530">
        <f t="shared" si="154"/>
        <v>123.69544084191379</v>
      </c>
      <c r="AM101" s="530">
        <f t="shared" si="154"/>
        <v>123.69544084191379</v>
      </c>
      <c r="AN101" s="530">
        <f t="shared" si="154"/>
        <v>123.69544084191379</v>
      </c>
      <c r="AO101" s="530">
        <f t="shared" si="154"/>
        <v>123.69544084191379</v>
      </c>
      <c r="AP101" s="530">
        <f t="shared" si="154"/>
        <v>122.12985151264748</v>
      </c>
      <c r="AQ101" s="530">
        <f t="shared" si="154"/>
        <v>122.12985151264748</v>
      </c>
      <c r="AR101" s="530">
        <f t="shared" si="154"/>
        <v>122.12985151264748</v>
      </c>
      <c r="AS101" s="530">
        <f t="shared" si="154"/>
        <v>122.12985151264748</v>
      </c>
      <c r="AT101" s="530">
        <f t="shared" si="154"/>
        <v>122.12985151264748</v>
      </c>
      <c r="AU101" s="530">
        <f t="shared" si="154"/>
        <v>122.12985151264748</v>
      </c>
      <c r="AV101" s="530">
        <f t="shared" si="154"/>
        <v>126.75274832892548</v>
      </c>
      <c r="AW101" s="530">
        <f t="shared" si="154"/>
        <v>126.75274832892548</v>
      </c>
      <c r="AX101" s="530">
        <f t="shared" ref="AX101:BY101" si="155">AX36/AX$82</f>
        <v>126.75274832892548</v>
      </c>
      <c r="AY101" s="530">
        <f t="shared" si="155"/>
        <v>126.75274832892548</v>
      </c>
      <c r="AZ101" s="530">
        <f t="shared" si="155"/>
        <v>126.75274832892548</v>
      </c>
      <c r="BA101" s="530">
        <f t="shared" si="155"/>
        <v>126.75274832892548</v>
      </c>
      <c r="BB101" s="530">
        <f t="shared" si="155"/>
        <v>124.6230749502547</v>
      </c>
      <c r="BC101" s="530">
        <f t="shared" si="155"/>
        <v>124.6230749502547</v>
      </c>
      <c r="BD101" s="530">
        <f t="shared" si="155"/>
        <v>124.6230749502547</v>
      </c>
      <c r="BE101" s="530">
        <f t="shared" si="155"/>
        <v>124.6230749502547</v>
      </c>
      <c r="BF101" s="530">
        <f t="shared" si="155"/>
        <v>124.6230749502547</v>
      </c>
      <c r="BG101" s="530">
        <f t="shared" si="155"/>
        <v>124.6230749502547</v>
      </c>
      <c r="BH101" s="530">
        <f t="shared" si="155"/>
        <v>129.93570254726797</v>
      </c>
      <c r="BI101" s="530">
        <f t="shared" si="155"/>
        <v>129.93570254726797</v>
      </c>
      <c r="BJ101" s="530">
        <f t="shared" si="155"/>
        <v>129.93570254726797</v>
      </c>
      <c r="BK101" s="530">
        <f t="shared" si="155"/>
        <v>129.93570254726797</v>
      </c>
      <c r="BL101" s="530">
        <f t="shared" si="155"/>
        <v>129.93570254726797</v>
      </c>
      <c r="BM101" s="530">
        <f t="shared" si="155"/>
        <v>129.93570254726797</v>
      </c>
      <c r="BN101" s="530">
        <f t="shared" si="155"/>
        <v>127.21476649679738</v>
      </c>
      <c r="BO101" s="530">
        <f t="shared" si="155"/>
        <v>127.21476649679738</v>
      </c>
      <c r="BP101" s="530">
        <f t="shared" si="155"/>
        <v>127.21476649679738</v>
      </c>
      <c r="BQ101" s="530">
        <f t="shared" si="155"/>
        <v>127.21476649679738</v>
      </c>
      <c r="BR101" s="530">
        <f t="shared" si="155"/>
        <v>127.21476649679738</v>
      </c>
      <c r="BS101" s="530">
        <f t="shared" si="155"/>
        <v>127.21476649679738</v>
      </c>
      <c r="BT101" s="530">
        <f t="shared" si="155"/>
        <v>133.20127400516557</v>
      </c>
      <c r="BU101" s="530">
        <f t="shared" si="155"/>
        <v>133.20127400516557</v>
      </c>
      <c r="BV101" s="530">
        <f t="shared" si="155"/>
        <v>133.20127400516557</v>
      </c>
      <c r="BW101" s="530">
        <f t="shared" si="155"/>
        <v>133.20127400516557</v>
      </c>
      <c r="BX101" s="530">
        <f t="shared" si="155"/>
        <v>133.20127400516557</v>
      </c>
      <c r="BY101" s="530">
        <f t="shared" si="155"/>
        <v>133.20127400516557</v>
      </c>
      <c r="BZ101" s="537"/>
      <c r="CA101" s="537"/>
      <c r="CB101" s="574"/>
    </row>
    <row r="102" spans="1:80" x14ac:dyDescent="0.3">
      <c r="A102" s="551"/>
      <c r="B102" s="548"/>
      <c r="C102" s="525"/>
      <c r="D102" s="525"/>
      <c r="E102" s="525" t="s">
        <v>176</v>
      </c>
      <c r="F102" s="575"/>
      <c r="G102" s="575"/>
      <c r="H102" s="575"/>
      <c r="I102" s="531">
        <f t="shared" ref="I102:N102" si="156">IFERROR(I101/I96,0)</f>
        <v>0.32085492386810738</v>
      </c>
      <c r="J102" s="531">
        <f t="shared" si="156"/>
        <v>0.32085492386810793</v>
      </c>
      <c r="K102" s="531">
        <f t="shared" si="156"/>
        <v>0.32085492386810788</v>
      </c>
      <c r="L102" s="531">
        <f t="shared" si="156"/>
        <v>0.32085492386810793</v>
      </c>
      <c r="M102" s="531">
        <f t="shared" si="156"/>
        <v>0.32085492386810771</v>
      </c>
      <c r="N102" s="531">
        <f t="shared" si="156"/>
        <v>0.3208549238681076</v>
      </c>
      <c r="O102" s="546"/>
      <c r="P102" s="564">
        <f t="shared" si="143"/>
        <v>2.2204460492503131E-16</v>
      </c>
      <c r="Q102" s="537"/>
      <c r="R102" s="531">
        <f t="shared" ref="R102:AW102" si="157">IFERROR(R101/R96,0)</f>
        <v>0.32085492386810782</v>
      </c>
      <c r="S102" s="531">
        <f t="shared" si="157"/>
        <v>0.32085492386810782</v>
      </c>
      <c r="T102" s="531">
        <f t="shared" si="157"/>
        <v>0.32085492386810782</v>
      </c>
      <c r="U102" s="531">
        <f t="shared" si="157"/>
        <v>0.32085492386810782</v>
      </c>
      <c r="V102" s="531">
        <f t="shared" si="157"/>
        <v>0.32085492386810782</v>
      </c>
      <c r="W102" s="531">
        <f t="shared" si="157"/>
        <v>0.32085492386810782</v>
      </c>
      <c r="X102" s="531">
        <f t="shared" si="157"/>
        <v>0.32085492386810782</v>
      </c>
      <c r="Y102" s="531">
        <f t="shared" si="157"/>
        <v>0.32085492386810782</v>
      </c>
      <c r="Z102" s="531">
        <f t="shared" si="157"/>
        <v>0.32085492386810782</v>
      </c>
      <c r="AA102" s="531">
        <f t="shared" si="157"/>
        <v>0.32085492386810782</v>
      </c>
      <c r="AB102" s="531">
        <f t="shared" si="157"/>
        <v>0.32085492386810782</v>
      </c>
      <c r="AC102" s="531">
        <f t="shared" si="157"/>
        <v>0.32085492386810782</v>
      </c>
      <c r="AD102" s="531">
        <f t="shared" si="157"/>
        <v>0.32085492386810782</v>
      </c>
      <c r="AE102" s="531">
        <f t="shared" si="157"/>
        <v>0.32085492386810782</v>
      </c>
      <c r="AF102" s="531">
        <f t="shared" si="157"/>
        <v>0.32085492386810782</v>
      </c>
      <c r="AG102" s="531">
        <f t="shared" si="157"/>
        <v>0.32085492386810782</v>
      </c>
      <c r="AH102" s="531">
        <f t="shared" si="157"/>
        <v>0.32085492386810782</v>
      </c>
      <c r="AI102" s="531">
        <f t="shared" si="157"/>
        <v>0.32085492386810782</v>
      </c>
      <c r="AJ102" s="531">
        <f t="shared" si="157"/>
        <v>0.32085492386810777</v>
      </c>
      <c r="AK102" s="531">
        <f t="shared" si="157"/>
        <v>0.32085492386810777</v>
      </c>
      <c r="AL102" s="531">
        <f t="shared" si="157"/>
        <v>0.32085492386810777</v>
      </c>
      <c r="AM102" s="531">
        <f t="shared" si="157"/>
        <v>0.32085492386810777</v>
      </c>
      <c r="AN102" s="531">
        <f t="shared" si="157"/>
        <v>0.32085492386810777</v>
      </c>
      <c r="AO102" s="531">
        <f t="shared" si="157"/>
        <v>0.32085492386810777</v>
      </c>
      <c r="AP102" s="531">
        <f t="shared" si="157"/>
        <v>0.32085492386810771</v>
      </c>
      <c r="AQ102" s="531">
        <f t="shared" si="157"/>
        <v>0.32085492386810771</v>
      </c>
      <c r="AR102" s="531">
        <f t="shared" si="157"/>
        <v>0.32085492386810771</v>
      </c>
      <c r="AS102" s="531">
        <f t="shared" si="157"/>
        <v>0.32085492386810771</v>
      </c>
      <c r="AT102" s="531">
        <f t="shared" si="157"/>
        <v>0.32085492386810771</v>
      </c>
      <c r="AU102" s="531">
        <f t="shared" si="157"/>
        <v>0.32085492386810771</v>
      </c>
      <c r="AV102" s="531">
        <f t="shared" si="157"/>
        <v>0.32085492386810777</v>
      </c>
      <c r="AW102" s="531">
        <f t="shared" si="157"/>
        <v>0.32085492386810777</v>
      </c>
      <c r="AX102" s="531">
        <f t="shared" ref="AX102:BY102" si="158">IFERROR(AX101/AX96,0)</f>
        <v>0.32085492386810777</v>
      </c>
      <c r="AY102" s="531">
        <f t="shared" si="158"/>
        <v>0.32085492386810777</v>
      </c>
      <c r="AZ102" s="531">
        <f t="shared" si="158"/>
        <v>0.32085492386810777</v>
      </c>
      <c r="BA102" s="531">
        <f t="shared" si="158"/>
        <v>0.32085492386810777</v>
      </c>
      <c r="BB102" s="531">
        <f t="shared" si="158"/>
        <v>0.32085492386810777</v>
      </c>
      <c r="BC102" s="531">
        <f t="shared" si="158"/>
        <v>0.32085492386810777</v>
      </c>
      <c r="BD102" s="531">
        <f t="shared" si="158"/>
        <v>0.32085492386810777</v>
      </c>
      <c r="BE102" s="531">
        <f t="shared" si="158"/>
        <v>0.32085492386810777</v>
      </c>
      <c r="BF102" s="531">
        <f t="shared" si="158"/>
        <v>0.32085492386810777</v>
      </c>
      <c r="BG102" s="531">
        <f t="shared" si="158"/>
        <v>0.32085492386810777</v>
      </c>
      <c r="BH102" s="531">
        <f t="shared" si="158"/>
        <v>0.32085492386810782</v>
      </c>
      <c r="BI102" s="531">
        <f t="shared" si="158"/>
        <v>0.32085492386810782</v>
      </c>
      <c r="BJ102" s="531">
        <f t="shared" si="158"/>
        <v>0.32085492386810782</v>
      </c>
      <c r="BK102" s="531">
        <f t="shared" si="158"/>
        <v>0.32085492386810782</v>
      </c>
      <c r="BL102" s="531">
        <f t="shared" si="158"/>
        <v>0.32085492386810782</v>
      </c>
      <c r="BM102" s="531">
        <f t="shared" si="158"/>
        <v>0.32085492386810782</v>
      </c>
      <c r="BN102" s="531">
        <f t="shared" si="158"/>
        <v>0.32085492386810771</v>
      </c>
      <c r="BO102" s="531">
        <f t="shared" si="158"/>
        <v>0.32085492386810771</v>
      </c>
      <c r="BP102" s="531">
        <f t="shared" si="158"/>
        <v>0.32085492386810771</v>
      </c>
      <c r="BQ102" s="531">
        <f t="shared" si="158"/>
        <v>0.32085492386810771</v>
      </c>
      <c r="BR102" s="531">
        <f t="shared" si="158"/>
        <v>0.32085492386810771</v>
      </c>
      <c r="BS102" s="531">
        <f t="shared" si="158"/>
        <v>0.32085492386810771</v>
      </c>
      <c r="BT102" s="531">
        <f t="shared" si="158"/>
        <v>0.32085492386810771</v>
      </c>
      <c r="BU102" s="531">
        <f t="shared" si="158"/>
        <v>0.32085492386810771</v>
      </c>
      <c r="BV102" s="531">
        <f t="shared" si="158"/>
        <v>0.32085492386810771</v>
      </c>
      <c r="BW102" s="531">
        <f t="shared" si="158"/>
        <v>0.32085492386810771</v>
      </c>
      <c r="BX102" s="531">
        <f t="shared" si="158"/>
        <v>0.32085492386810771</v>
      </c>
      <c r="BY102" s="531">
        <f t="shared" si="158"/>
        <v>0.32085492386810771</v>
      </c>
      <c r="BZ102" s="537"/>
      <c r="CA102" s="537"/>
      <c r="CB102" s="537"/>
    </row>
    <row r="103" spans="1:80" x14ac:dyDescent="0.3">
      <c r="A103" s="551"/>
      <c r="B103" s="548"/>
      <c r="C103" s="525"/>
      <c r="D103" s="525"/>
      <c r="E103" s="525"/>
      <c r="F103" s="576"/>
      <c r="G103" s="576"/>
      <c r="H103" s="576"/>
      <c r="I103" s="533"/>
      <c r="J103" s="533"/>
      <c r="K103" s="533"/>
      <c r="L103" s="533"/>
      <c r="M103" s="533"/>
      <c r="N103" s="533"/>
      <c r="O103" s="533"/>
      <c r="P103" s="577"/>
      <c r="Q103" s="537"/>
      <c r="R103" s="533"/>
      <c r="S103" s="533"/>
      <c r="T103" s="533"/>
      <c r="U103" s="533"/>
      <c r="V103" s="533"/>
      <c r="W103" s="533"/>
      <c r="X103" s="533"/>
      <c r="Y103" s="533"/>
      <c r="Z103" s="533"/>
      <c r="AA103" s="533"/>
      <c r="AB103" s="533"/>
      <c r="AC103" s="533"/>
      <c r="AD103" s="533"/>
      <c r="AE103" s="533"/>
      <c r="AF103" s="533"/>
      <c r="AG103" s="533"/>
      <c r="AH103" s="533"/>
      <c r="AI103" s="533"/>
      <c r="AJ103" s="533"/>
      <c r="AK103" s="533"/>
      <c r="AL103" s="533"/>
      <c r="AM103" s="533"/>
      <c r="AN103" s="533"/>
      <c r="AO103" s="533"/>
      <c r="AP103" s="533"/>
      <c r="AQ103" s="533"/>
      <c r="AR103" s="533"/>
      <c r="AS103" s="533"/>
      <c r="AT103" s="533"/>
      <c r="AU103" s="533"/>
      <c r="AV103" s="533"/>
      <c r="AW103" s="533"/>
      <c r="AX103" s="533"/>
      <c r="AY103" s="533"/>
      <c r="AZ103" s="533"/>
      <c r="BA103" s="533"/>
      <c r="BB103" s="533"/>
      <c r="BC103" s="533"/>
      <c r="BD103" s="533"/>
      <c r="BE103" s="533"/>
      <c r="BF103" s="533"/>
      <c r="BG103" s="533"/>
      <c r="BH103" s="533"/>
      <c r="BI103" s="533"/>
      <c r="BJ103" s="533"/>
      <c r="BK103" s="533"/>
      <c r="BL103" s="533"/>
      <c r="BM103" s="533"/>
      <c r="BN103" s="533"/>
      <c r="BO103" s="533"/>
      <c r="BP103" s="533"/>
      <c r="BQ103" s="533"/>
      <c r="BR103" s="533"/>
      <c r="BS103" s="533"/>
      <c r="BT103" s="533"/>
      <c r="BU103" s="533"/>
      <c r="BV103" s="533"/>
      <c r="BW103" s="533"/>
      <c r="BX103" s="533"/>
      <c r="BY103" s="533"/>
      <c r="BZ103" s="537"/>
      <c r="CA103" s="537"/>
      <c r="CB103" s="537"/>
    </row>
    <row r="104" spans="1:80" x14ac:dyDescent="0.3">
      <c r="A104" s="551"/>
      <c r="B104" s="548"/>
      <c r="C104" s="525"/>
      <c r="D104" s="525"/>
      <c r="E104" s="578" t="s">
        <v>24</v>
      </c>
      <c r="F104" s="579"/>
      <c r="G104" s="579"/>
      <c r="H104" s="579"/>
      <c r="I104" s="535">
        <f t="shared" ref="I104:N104" si="159">I39/I$82</f>
        <v>44605.835274456542</v>
      </c>
      <c r="J104" s="535">
        <f t="shared" si="159"/>
        <v>47754.458422416697</v>
      </c>
      <c r="K104" s="534">
        <f t="shared" si="159"/>
        <v>51468.93345545591</v>
      </c>
      <c r="L104" s="534">
        <f t="shared" si="159"/>
        <v>55282.851755959236</v>
      </c>
      <c r="M104" s="534">
        <f t="shared" si="159"/>
        <v>59246.336711636031</v>
      </c>
      <c r="N104" s="535">
        <f t="shared" si="159"/>
        <v>63477.379402246297</v>
      </c>
      <c r="O104" s="536"/>
      <c r="P104" s="568">
        <f>IFERROR(((N104/I104)^(1/5))-1,0)</f>
        <v>7.3113016046903789E-2</v>
      </c>
      <c r="Q104" s="537"/>
      <c r="R104" s="534">
        <f t="shared" ref="R104:AW104" si="160">R39/R$82</f>
        <v>3925.7690239900498</v>
      </c>
      <c r="S104" s="534">
        <f t="shared" si="160"/>
        <v>3925.7690239900498</v>
      </c>
      <c r="T104" s="534">
        <f t="shared" si="160"/>
        <v>3925.7690239900498</v>
      </c>
      <c r="U104" s="534">
        <f t="shared" si="160"/>
        <v>3925.7690239900498</v>
      </c>
      <c r="V104" s="534">
        <f t="shared" si="160"/>
        <v>3925.7690239900498</v>
      </c>
      <c r="W104" s="534">
        <f t="shared" si="160"/>
        <v>3925.7690239900498</v>
      </c>
      <c r="X104" s="534">
        <f t="shared" si="160"/>
        <v>4033.3073797460693</v>
      </c>
      <c r="Y104" s="534">
        <f t="shared" si="160"/>
        <v>4033.3073797460693</v>
      </c>
      <c r="Z104" s="534">
        <f t="shared" si="160"/>
        <v>4033.3073797460693</v>
      </c>
      <c r="AA104" s="534">
        <f t="shared" si="160"/>
        <v>4033.3073797460693</v>
      </c>
      <c r="AB104" s="534">
        <f t="shared" si="160"/>
        <v>4033.3073797460693</v>
      </c>
      <c r="AC104" s="534">
        <f t="shared" si="160"/>
        <v>4033.3073797460693</v>
      </c>
      <c r="AD104" s="534">
        <f t="shared" si="160"/>
        <v>4219.9226448077361</v>
      </c>
      <c r="AE104" s="534">
        <f t="shared" si="160"/>
        <v>4219.9226448077361</v>
      </c>
      <c r="AF104" s="534">
        <f t="shared" si="160"/>
        <v>4219.9226448077361</v>
      </c>
      <c r="AG104" s="534">
        <f t="shared" si="160"/>
        <v>4219.9226448077361</v>
      </c>
      <c r="AH104" s="534">
        <f t="shared" si="160"/>
        <v>4219.9226448077361</v>
      </c>
      <c r="AI104" s="534">
        <f t="shared" si="160"/>
        <v>4219.9226448077361</v>
      </c>
      <c r="AJ104" s="534">
        <f t="shared" si="160"/>
        <v>4358.2329311015837</v>
      </c>
      <c r="AK104" s="534">
        <f t="shared" si="160"/>
        <v>4358.2329311015837</v>
      </c>
      <c r="AL104" s="534">
        <f t="shared" si="160"/>
        <v>4358.2329311015837</v>
      </c>
      <c r="AM104" s="534">
        <f t="shared" si="160"/>
        <v>4358.2329311015837</v>
      </c>
      <c r="AN104" s="534">
        <f t="shared" si="160"/>
        <v>4358.2329311015837</v>
      </c>
      <c r="AO104" s="534">
        <f t="shared" si="160"/>
        <v>4358.2329311015837</v>
      </c>
      <c r="AP104" s="534">
        <f t="shared" si="160"/>
        <v>4521.3328696935905</v>
      </c>
      <c r="AQ104" s="534">
        <f t="shared" si="160"/>
        <v>4521.3328696935905</v>
      </c>
      <c r="AR104" s="534">
        <f t="shared" si="160"/>
        <v>4521.3328696935905</v>
      </c>
      <c r="AS104" s="534">
        <f t="shared" si="160"/>
        <v>4521.3328696935905</v>
      </c>
      <c r="AT104" s="534">
        <f t="shared" si="160"/>
        <v>4521.3328696935905</v>
      </c>
      <c r="AU104" s="534">
        <f t="shared" si="160"/>
        <v>4521.3328696935905</v>
      </c>
      <c r="AV104" s="534">
        <f t="shared" si="160"/>
        <v>4692.4757562996165</v>
      </c>
      <c r="AW104" s="534">
        <f t="shared" si="160"/>
        <v>4692.4757562996165</v>
      </c>
      <c r="AX104" s="534">
        <f t="shared" ref="AX104:BY104" si="161">AX39/AX$82</f>
        <v>4692.4757562996165</v>
      </c>
      <c r="AY104" s="534">
        <f t="shared" si="161"/>
        <v>4692.4757562996165</v>
      </c>
      <c r="AZ104" s="534">
        <f t="shared" si="161"/>
        <v>4692.4757562996165</v>
      </c>
      <c r="BA104" s="534">
        <f t="shared" si="161"/>
        <v>4692.4757562996165</v>
      </c>
      <c r="BB104" s="534">
        <f t="shared" si="161"/>
        <v>4834.1557453033292</v>
      </c>
      <c r="BC104" s="534">
        <f t="shared" si="161"/>
        <v>4834.1557453033292</v>
      </c>
      <c r="BD104" s="534">
        <f t="shared" si="161"/>
        <v>4834.1557453033292</v>
      </c>
      <c r="BE104" s="534">
        <f t="shared" si="161"/>
        <v>4834.1557453033292</v>
      </c>
      <c r="BF104" s="534">
        <f t="shared" si="161"/>
        <v>4834.1557453033292</v>
      </c>
      <c r="BG104" s="534">
        <f t="shared" si="161"/>
        <v>4834.1557453033292</v>
      </c>
      <c r="BH104" s="534">
        <f t="shared" si="161"/>
        <v>5040.2337066360105</v>
      </c>
      <c r="BI104" s="534">
        <f t="shared" si="161"/>
        <v>5040.2337066360105</v>
      </c>
      <c r="BJ104" s="534">
        <f t="shared" si="161"/>
        <v>5040.2337066360105</v>
      </c>
      <c r="BK104" s="534">
        <f t="shared" si="161"/>
        <v>5040.2337066360105</v>
      </c>
      <c r="BL104" s="534">
        <f t="shared" si="161"/>
        <v>5040.2337066360105</v>
      </c>
      <c r="BM104" s="534">
        <f t="shared" si="161"/>
        <v>5040.2337066360105</v>
      </c>
      <c r="BN104" s="534">
        <f t="shared" si="161"/>
        <v>5168.1788257743065</v>
      </c>
      <c r="BO104" s="534">
        <f t="shared" si="161"/>
        <v>5168.1788257743065</v>
      </c>
      <c r="BP104" s="534">
        <f t="shared" si="161"/>
        <v>5168.1788257743065</v>
      </c>
      <c r="BQ104" s="534">
        <f t="shared" si="161"/>
        <v>5168.1788257743065</v>
      </c>
      <c r="BR104" s="534">
        <f t="shared" si="161"/>
        <v>5168.1788257743065</v>
      </c>
      <c r="BS104" s="534">
        <f t="shared" si="161"/>
        <v>5168.1788257743065</v>
      </c>
      <c r="BT104" s="534">
        <f t="shared" si="161"/>
        <v>5411.3844079334103</v>
      </c>
      <c r="BU104" s="534">
        <f t="shared" si="161"/>
        <v>5411.3844079334103</v>
      </c>
      <c r="BV104" s="534">
        <f t="shared" si="161"/>
        <v>5411.3844079334103</v>
      </c>
      <c r="BW104" s="534">
        <f t="shared" si="161"/>
        <v>5411.3844079334103</v>
      </c>
      <c r="BX104" s="534">
        <f t="shared" si="161"/>
        <v>5411.3844079334103</v>
      </c>
      <c r="BY104" s="534">
        <f t="shared" si="161"/>
        <v>5411.3844079334103</v>
      </c>
      <c r="BZ104" s="537"/>
      <c r="CA104" s="537"/>
      <c r="CB104" s="574"/>
    </row>
    <row r="105" spans="1:80" x14ac:dyDescent="0.3">
      <c r="A105" s="551"/>
      <c r="B105" s="548"/>
      <c r="C105" s="525"/>
      <c r="D105" s="525"/>
      <c r="E105" s="525" t="s">
        <v>177</v>
      </c>
      <c r="F105" s="529"/>
      <c r="G105" s="529"/>
      <c r="H105" s="529"/>
      <c r="I105" s="531">
        <f t="shared" ref="I105:N105" si="162">IFERROR(I104/(I87+I96),0)</f>
        <v>0.45157500748564561</v>
      </c>
      <c r="J105" s="531">
        <f t="shared" si="162"/>
        <v>0.4604013859630795</v>
      </c>
      <c r="K105" s="531">
        <f t="shared" si="162"/>
        <v>0.46866667382815252</v>
      </c>
      <c r="L105" s="531">
        <f t="shared" si="162"/>
        <v>0.47632304026215089</v>
      </c>
      <c r="M105" s="531">
        <f t="shared" si="162"/>
        <v>0.48335199756209668</v>
      </c>
      <c r="N105" s="531">
        <f t="shared" si="162"/>
        <v>0.49023179985401433</v>
      </c>
      <c r="O105" s="546"/>
      <c r="P105" s="564">
        <f>IFERROR(((N105/I105)^(1/5))-1,0)</f>
        <v>1.656304145185894E-2</v>
      </c>
      <c r="Q105" s="537"/>
      <c r="R105" s="531">
        <f t="shared" ref="R105:AW105" si="163">IFERROR(R104/(R87+R96),0)</f>
        <v>0.46040138596307972</v>
      </c>
      <c r="S105" s="531">
        <f t="shared" si="163"/>
        <v>0.46040138596307972</v>
      </c>
      <c r="T105" s="531">
        <f t="shared" si="163"/>
        <v>0.46040138596307972</v>
      </c>
      <c r="U105" s="531">
        <f t="shared" si="163"/>
        <v>0.46040138596307972</v>
      </c>
      <c r="V105" s="531">
        <f t="shared" si="163"/>
        <v>0.46040138596307972</v>
      </c>
      <c r="W105" s="531">
        <f t="shared" si="163"/>
        <v>0.46040138596307972</v>
      </c>
      <c r="X105" s="531">
        <f t="shared" si="163"/>
        <v>0.4604013859630795</v>
      </c>
      <c r="Y105" s="531">
        <f t="shared" si="163"/>
        <v>0.4604013859630795</v>
      </c>
      <c r="Z105" s="531">
        <f t="shared" si="163"/>
        <v>0.4604013859630795</v>
      </c>
      <c r="AA105" s="531">
        <f t="shared" si="163"/>
        <v>0.4604013859630795</v>
      </c>
      <c r="AB105" s="531">
        <f t="shared" si="163"/>
        <v>0.4604013859630795</v>
      </c>
      <c r="AC105" s="531">
        <f t="shared" si="163"/>
        <v>0.4604013859630795</v>
      </c>
      <c r="AD105" s="531">
        <f t="shared" si="163"/>
        <v>0.46866667382815275</v>
      </c>
      <c r="AE105" s="531">
        <f t="shared" si="163"/>
        <v>0.46866667382815275</v>
      </c>
      <c r="AF105" s="531">
        <f t="shared" si="163"/>
        <v>0.46866667382815275</v>
      </c>
      <c r="AG105" s="531">
        <f t="shared" si="163"/>
        <v>0.46866667382815275</v>
      </c>
      <c r="AH105" s="531">
        <f t="shared" si="163"/>
        <v>0.46866667382815275</v>
      </c>
      <c r="AI105" s="531">
        <f t="shared" si="163"/>
        <v>0.46866667382815275</v>
      </c>
      <c r="AJ105" s="531">
        <f t="shared" si="163"/>
        <v>0.46866667382815269</v>
      </c>
      <c r="AK105" s="531">
        <f t="shared" si="163"/>
        <v>0.46866667382815269</v>
      </c>
      <c r="AL105" s="531">
        <f t="shared" si="163"/>
        <v>0.46866667382815269</v>
      </c>
      <c r="AM105" s="531">
        <f t="shared" si="163"/>
        <v>0.46866667382815269</v>
      </c>
      <c r="AN105" s="531">
        <f t="shared" si="163"/>
        <v>0.46866667382815269</v>
      </c>
      <c r="AO105" s="531">
        <f t="shared" si="163"/>
        <v>0.46866667382815269</v>
      </c>
      <c r="AP105" s="531">
        <f t="shared" si="163"/>
        <v>0.47632304026215072</v>
      </c>
      <c r="AQ105" s="531">
        <f t="shared" si="163"/>
        <v>0.47632304026215072</v>
      </c>
      <c r="AR105" s="531">
        <f t="shared" si="163"/>
        <v>0.47632304026215072</v>
      </c>
      <c r="AS105" s="531">
        <f t="shared" si="163"/>
        <v>0.47632304026215072</v>
      </c>
      <c r="AT105" s="531">
        <f t="shared" si="163"/>
        <v>0.47632304026215072</v>
      </c>
      <c r="AU105" s="531">
        <f t="shared" si="163"/>
        <v>0.47632304026215072</v>
      </c>
      <c r="AV105" s="531">
        <f t="shared" si="163"/>
        <v>0.47632304026215089</v>
      </c>
      <c r="AW105" s="531">
        <f t="shared" si="163"/>
        <v>0.47632304026215089</v>
      </c>
      <c r="AX105" s="531">
        <f t="shared" ref="AX105:BY105" si="164">IFERROR(AX104/(AX87+AX96),0)</f>
        <v>0.47632304026215089</v>
      </c>
      <c r="AY105" s="531">
        <f t="shared" si="164"/>
        <v>0.47632304026215089</v>
      </c>
      <c r="AZ105" s="531">
        <f t="shared" si="164"/>
        <v>0.47632304026215089</v>
      </c>
      <c r="BA105" s="531">
        <f t="shared" si="164"/>
        <v>0.47632304026215089</v>
      </c>
      <c r="BB105" s="531">
        <f t="shared" si="164"/>
        <v>0.48335199756209662</v>
      </c>
      <c r="BC105" s="531">
        <f t="shared" si="164"/>
        <v>0.48335199756209662</v>
      </c>
      <c r="BD105" s="531">
        <f t="shared" si="164"/>
        <v>0.48335199756209662</v>
      </c>
      <c r="BE105" s="531">
        <f t="shared" si="164"/>
        <v>0.48335199756209662</v>
      </c>
      <c r="BF105" s="531">
        <f t="shared" si="164"/>
        <v>0.48335199756209662</v>
      </c>
      <c r="BG105" s="531">
        <f t="shared" si="164"/>
        <v>0.48335199756209662</v>
      </c>
      <c r="BH105" s="531">
        <f t="shared" si="164"/>
        <v>0.48335199756209657</v>
      </c>
      <c r="BI105" s="531">
        <f t="shared" si="164"/>
        <v>0.48335199756209657</v>
      </c>
      <c r="BJ105" s="531">
        <f t="shared" si="164"/>
        <v>0.48335199756209657</v>
      </c>
      <c r="BK105" s="531">
        <f t="shared" si="164"/>
        <v>0.48335199756209657</v>
      </c>
      <c r="BL105" s="531">
        <f t="shared" si="164"/>
        <v>0.48335199756209657</v>
      </c>
      <c r="BM105" s="531">
        <f t="shared" si="164"/>
        <v>0.48335199756209657</v>
      </c>
      <c r="BN105" s="531">
        <f t="shared" si="164"/>
        <v>0.49023179985401422</v>
      </c>
      <c r="BO105" s="531">
        <f t="shared" si="164"/>
        <v>0.49023179985401422</v>
      </c>
      <c r="BP105" s="531">
        <f t="shared" si="164"/>
        <v>0.49023179985401422</v>
      </c>
      <c r="BQ105" s="531">
        <f t="shared" si="164"/>
        <v>0.49023179985401422</v>
      </c>
      <c r="BR105" s="531">
        <f t="shared" si="164"/>
        <v>0.49023179985401422</v>
      </c>
      <c r="BS105" s="531">
        <f t="shared" si="164"/>
        <v>0.49023179985401422</v>
      </c>
      <c r="BT105" s="531">
        <f t="shared" si="164"/>
        <v>0.49023179985401444</v>
      </c>
      <c r="BU105" s="531">
        <f t="shared" si="164"/>
        <v>0.49023179985401444</v>
      </c>
      <c r="BV105" s="531">
        <f t="shared" si="164"/>
        <v>0.49023179985401444</v>
      </c>
      <c r="BW105" s="531">
        <f t="shared" si="164"/>
        <v>0.49023179985401444</v>
      </c>
      <c r="BX105" s="531">
        <f t="shared" si="164"/>
        <v>0.49023179985401444</v>
      </c>
      <c r="BY105" s="531">
        <f t="shared" si="164"/>
        <v>0.49023179985401444</v>
      </c>
      <c r="BZ105" s="537"/>
      <c r="CA105" s="537"/>
      <c r="CB105" s="537"/>
    </row>
    <row r="106" spans="1:80" x14ac:dyDescent="0.3">
      <c r="A106" s="551"/>
      <c r="B106" s="548"/>
      <c r="C106" s="525"/>
      <c r="D106" s="525"/>
      <c r="E106" s="525"/>
      <c r="F106" s="529"/>
      <c r="G106" s="529"/>
      <c r="H106" s="529"/>
      <c r="I106" s="529"/>
      <c r="J106" s="529"/>
      <c r="K106" s="529"/>
      <c r="L106" s="529"/>
      <c r="M106" s="529"/>
      <c r="N106" s="529"/>
      <c r="O106" s="529"/>
      <c r="P106" s="562"/>
      <c r="Q106" s="537"/>
      <c r="R106" s="529"/>
      <c r="S106" s="529"/>
      <c r="T106" s="529"/>
      <c r="U106" s="529"/>
      <c r="V106" s="529"/>
      <c r="W106" s="529"/>
      <c r="X106" s="529"/>
      <c r="Y106" s="529"/>
      <c r="Z106" s="529"/>
      <c r="AA106" s="529"/>
      <c r="AB106" s="529"/>
      <c r="AC106" s="529"/>
      <c r="AD106" s="529"/>
      <c r="AE106" s="529"/>
      <c r="AF106" s="529"/>
      <c r="AG106" s="529"/>
      <c r="AH106" s="529"/>
      <c r="AI106" s="529"/>
      <c r="AJ106" s="529"/>
      <c r="AK106" s="529"/>
      <c r="AL106" s="529"/>
      <c r="AM106" s="529"/>
      <c r="AN106" s="529"/>
      <c r="AO106" s="529"/>
      <c r="AP106" s="529"/>
      <c r="AQ106" s="529"/>
      <c r="AR106" s="529"/>
      <c r="AS106" s="529"/>
      <c r="AT106" s="529"/>
      <c r="AU106" s="529"/>
      <c r="AV106" s="529"/>
      <c r="AW106" s="529"/>
      <c r="AX106" s="529"/>
      <c r="AY106" s="529"/>
      <c r="AZ106" s="529"/>
      <c r="BA106" s="529"/>
      <c r="BB106" s="529"/>
      <c r="BC106" s="529"/>
      <c r="BD106" s="529"/>
      <c r="BE106" s="529"/>
      <c r="BF106" s="529"/>
      <c r="BG106" s="529"/>
      <c r="BH106" s="529"/>
      <c r="BI106" s="529"/>
      <c r="BJ106" s="529"/>
      <c r="BK106" s="529"/>
      <c r="BL106" s="529"/>
      <c r="BM106" s="529"/>
      <c r="BN106" s="529"/>
      <c r="BO106" s="529"/>
      <c r="BP106" s="529"/>
      <c r="BQ106" s="529"/>
      <c r="BR106" s="529"/>
      <c r="BS106" s="529"/>
      <c r="BT106" s="529"/>
      <c r="BU106" s="529"/>
      <c r="BV106" s="529"/>
      <c r="BW106" s="529"/>
      <c r="BX106" s="529"/>
      <c r="BY106" s="529"/>
      <c r="BZ106" s="537"/>
      <c r="CA106" s="537"/>
      <c r="CB106" s="537"/>
    </row>
    <row r="107" spans="1:80" x14ac:dyDescent="0.3">
      <c r="A107" s="551"/>
      <c r="B107" s="548"/>
      <c r="C107" s="525"/>
      <c r="D107" s="525"/>
      <c r="E107" s="570" t="s">
        <v>25</v>
      </c>
      <c r="F107" s="529"/>
      <c r="G107" s="529"/>
      <c r="H107" s="529"/>
      <c r="I107" s="529"/>
      <c r="J107" s="529"/>
      <c r="K107" s="529"/>
      <c r="L107" s="529"/>
      <c r="M107" s="529"/>
      <c r="N107" s="529"/>
      <c r="O107" s="529"/>
      <c r="P107" s="562"/>
      <c r="Q107" s="537"/>
      <c r="R107" s="529"/>
      <c r="S107" s="529"/>
      <c r="T107" s="529"/>
      <c r="U107" s="529"/>
      <c r="V107" s="529"/>
      <c r="W107" s="529"/>
      <c r="X107" s="529"/>
      <c r="Y107" s="529"/>
      <c r="Z107" s="529"/>
      <c r="AA107" s="529"/>
      <c r="AB107" s="529"/>
      <c r="AC107" s="529"/>
      <c r="AD107" s="529"/>
      <c r="AE107" s="529"/>
      <c r="AF107" s="529"/>
      <c r="AG107" s="529"/>
      <c r="AH107" s="529"/>
      <c r="AI107" s="529"/>
      <c r="AJ107" s="529"/>
      <c r="AK107" s="529"/>
      <c r="AL107" s="529"/>
      <c r="AM107" s="529"/>
      <c r="AN107" s="529"/>
      <c r="AO107" s="529"/>
      <c r="AP107" s="529"/>
      <c r="AQ107" s="529"/>
      <c r="AR107" s="529"/>
      <c r="AS107" s="529"/>
      <c r="AT107" s="529"/>
      <c r="AU107" s="529"/>
      <c r="AV107" s="529"/>
      <c r="AW107" s="529"/>
      <c r="AX107" s="529"/>
      <c r="AY107" s="529"/>
      <c r="AZ107" s="529"/>
      <c r="BA107" s="529"/>
      <c r="BB107" s="529"/>
      <c r="BC107" s="529"/>
      <c r="BD107" s="529"/>
      <c r="BE107" s="529"/>
      <c r="BF107" s="529"/>
      <c r="BG107" s="529"/>
      <c r="BH107" s="529"/>
      <c r="BI107" s="529"/>
      <c r="BJ107" s="529"/>
      <c r="BK107" s="529"/>
      <c r="BL107" s="529"/>
      <c r="BM107" s="529"/>
      <c r="BN107" s="529"/>
      <c r="BO107" s="529"/>
      <c r="BP107" s="529"/>
      <c r="BQ107" s="529"/>
      <c r="BR107" s="529"/>
      <c r="BS107" s="529"/>
      <c r="BT107" s="529"/>
      <c r="BU107" s="529"/>
      <c r="BV107" s="529"/>
      <c r="BW107" s="529"/>
      <c r="BX107" s="529"/>
      <c r="BY107" s="529"/>
      <c r="BZ107" s="537"/>
      <c r="CA107" s="537"/>
      <c r="CB107" s="537"/>
    </row>
    <row r="108" spans="1:80" x14ac:dyDescent="0.3">
      <c r="A108" s="551"/>
      <c r="B108" s="548"/>
      <c r="C108" s="525"/>
      <c r="D108" s="525"/>
      <c r="E108" s="525" t="s">
        <v>25</v>
      </c>
      <c r="F108" s="567"/>
      <c r="G108" s="567"/>
      <c r="H108" s="567"/>
      <c r="I108" s="527">
        <f t="shared" ref="I108:N110" si="165">I43/I$82</f>
        <v>46259.821007111663</v>
      </c>
      <c r="J108" s="527">
        <f t="shared" si="165"/>
        <v>48209.975246665119</v>
      </c>
      <c r="K108" s="527">
        <f t="shared" si="165"/>
        <v>50567.817457600999</v>
      </c>
      <c r="L108" s="527">
        <f t="shared" si="165"/>
        <v>52977.275286649012</v>
      </c>
      <c r="M108" s="527">
        <f t="shared" si="165"/>
        <v>55349.383358396808</v>
      </c>
      <c r="N108" s="527">
        <f t="shared" si="165"/>
        <v>57763.06470546667</v>
      </c>
      <c r="O108" s="529"/>
      <c r="P108" s="564">
        <f>IFERROR(((N108/I108)^(1/5))-1,0)</f>
        <v>4.5416272505834243E-2</v>
      </c>
      <c r="Q108" s="537"/>
      <c r="R108" s="527">
        <f t="shared" ref="R108:AW108" si="166">R43/R$82</f>
        <v>3973.5049735037214</v>
      </c>
      <c r="S108" s="527">
        <f t="shared" si="166"/>
        <v>3973.5049735037214</v>
      </c>
      <c r="T108" s="527">
        <f t="shared" si="166"/>
        <v>3973.5049735037214</v>
      </c>
      <c r="U108" s="527">
        <f t="shared" si="166"/>
        <v>3973.5049735037214</v>
      </c>
      <c r="V108" s="527">
        <f t="shared" si="166"/>
        <v>3973.5049735037214</v>
      </c>
      <c r="W108" s="527">
        <f t="shared" si="166"/>
        <v>3973.5049735037214</v>
      </c>
      <c r="X108" s="527">
        <f t="shared" si="166"/>
        <v>4061.4909009404664</v>
      </c>
      <c r="Y108" s="527">
        <f t="shared" si="166"/>
        <v>4061.4909009404664</v>
      </c>
      <c r="Z108" s="527">
        <f t="shared" si="166"/>
        <v>4061.4909009404664</v>
      </c>
      <c r="AA108" s="527">
        <f t="shared" si="166"/>
        <v>4061.4909009404664</v>
      </c>
      <c r="AB108" s="527">
        <f t="shared" si="166"/>
        <v>4061.4909009404664</v>
      </c>
      <c r="AC108" s="527">
        <f t="shared" si="166"/>
        <v>4061.4909009404664</v>
      </c>
      <c r="AD108" s="527">
        <f t="shared" si="166"/>
        <v>4157.4033073768414</v>
      </c>
      <c r="AE108" s="527">
        <f t="shared" si="166"/>
        <v>4157.4033073768414</v>
      </c>
      <c r="AF108" s="527">
        <f t="shared" si="166"/>
        <v>4157.4033073768414</v>
      </c>
      <c r="AG108" s="527">
        <f t="shared" si="166"/>
        <v>4157.4033073768414</v>
      </c>
      <c r="AH108" s="527">
        <f t="shared" si="166"/>
        <v>4157.4033073768414</v>
      </c>
      <c r="AI108" s="527">
        <f t="shared" si="166"/>
        <v>4157.4033073768414</v>
      </c>
      <c r="AJ108" s="527">
        <f t="shared" si="166"/>
        <v>4270.5662688899902</v>
      </c>
      <c r="AK108" s="527">
        <f t="shared" si="166"/>
        <v>4270.5662688899902</v>
      </c>
      <c r="AL108" s="527">
        <f t="shared" si="166"/>
        <v>4270.5662688899902</v>
      </c>
      <c r="AM108" s="527">
        <f t="shared" si="166"/>
        <v>4270.5662688899902</v>
      </c>
      <c r="AN108" s="527">
        <f t="shared" si="166"/>
        <v>4270.5662688899902</v>
      </c>
      <c r="AO108" s="527">
        <f t="shared" si="166"/>
        <v>4270.5662688899902</v>
      </c>
      <c r="AP108" s="527">
        <f t="shared" si="166"/>
        <v>4344.7599414879833</v>
      </c>
      <c r="AQ108" s="527">
        <f t="shared" si="166"/>
        <v>4344.7599414879833</v>
      </c>
      <c r="AR108" s="527">
        <f t="shared" si="166"/>
        <v>4344.7599414879833</v>
      </c>
      <c r="AS108" s="527">
        <f t="shared" si="166"/>
        <v>4344.7599414879833</v>
      </c>
      <c r="AT108" s="527">
        <f t="shared" si="166"/>
        <v>4344.7599414879833</v>
      </c>
      <c r="AU108" s="527">
        <f t="shared" si="166"/>
        <v>4344.7599414879833</v>
      </c>
      <c r="AV108" s="527">
        <f t="shared" si="166"/>
        <v>4484.7859396201857</v>
      </c>
      <c r="AW108" s="527">
        <f t="shared" si="166"/>
        <v>4484.7859396201857</v>
      </c>
      <c r="AX108" s="527">
        <f t="shared" ref="AX108:BY108" si="167">AX43/AX$82</f>
        <v>4484.7859396201857</v>
      </c>
      <c r="AY108" s="527">
        <f t="shared" si="167"/>
        <v>4484.7859396201857</v>
      </c>
      <c r="AZ108" s="527">
        <f t="shared" si="167"/>
        <v>4484.7859396201857</v>
      </c>
      <c r="BA108" s="527">
        <f t="shared" si="167"/>
        <v>4484.7859396201857</v>
      </c>
      <c r="BB108" s="527">
        <f t="shared" si="167"/>
        <v>4528.1439926545463</v>
      </c>
      <c r="BC108" s="527">
        <f t="shared" si="167"/>
        <v>4528.1439926545463</v>
      </c>
      <c r="BD108" s="527">
        <f t="shared" si="167"/>
        <v>4528.1439926545463</v>
      </c>
      <c r="BE108" s="527">
        <f t="shared" si="167"/>
        <v>4528.1439926545463</v>
      </c>
      <c r="BF108" s="527">
        <f t="shared" si="167"/>
        <v>4528.1439926545463</v>
      </c>
      <c r="BG108" s="527">
        <f t="shared" si="167"/>
        <v>4528.1439926545463</v>
      </c>
      <c r="BH108" s="527">
        <f t="shared" si="167"/>
        <v>4696.7532337449238</v>
      </c>
      <c r="BI108" s="527">
        <f t="shared" si="167"/>
        <v>4696.7532337449238</v>
      </c>
      <c r="BJ108" s="527">
        <f t="shared" si="167"/>
        <v>4696.7532337449238</v>
      </c>
      <c r="BK108" s="527">
        <f t="shared" si="167"/>
        <v>4696.7532337449238</v>
      </c>
      <c r="BL108" s="527">
        <f t="shared" si="167"/>
        <v>4696.7532337449238</v>
      </c>
      <c r="BM108" s="527">
        <f t="shared" si="167"/>
        <v>4696.7532337449238</v>
      </c>
      <c r="BN108" s="527">
        <f t="shared" si="167"/>
        <v>4714.095532754106</v>
      </c>
      <c r="BO108" s="527">
        <f t="shared" si="167"/>
        <v>4714.095532754106</v>
      </c>
      <c r="BP108" s="527">
        <f t="shared" si="167"/>
        <v>4714.095532754106</v>
      </c>
      <c r="BQ108" s="527">
        <f t="shared" si="167"/>
        <v>4714.095532754106</v>
      </c>
      <c r="BR108" s="527">
        <f t="shared" si="167"/>
        <v>4714.095532754106</v>
      </c>
      <c r="BS108" s="527">
        <f t="shared" si="167"/>
        <v>4714.095532754106</v>
      </c>
      <c r="BT108" s="527">
        <f t="shared" si="167"/>
        <v>4913.081918157005</v>
      </c>
      <c r="BU108" s="527">
        <f t="shared" si="167"/>
        <v>4913.081918157005</v>
      </c>
      <c r="BV108" s="527">
        <f t="shared" si="167"/>
        <v>4913.081918157005</v>
      </c>
      <c r="BW108" s="527">
        <f t="shared" si="167"/>
        <v>4913.081918157005</v>
      </c>
      <c r="BX108" s="527">
        <f t="shared" si="167"/>
        <v>4913.081918157005</v>
      </c>
      <c r="BY108" s="527">
        <f t="shared" si="167"/>
        <v>4913.081918157005</v>
      </c>
      <c r="BZ108" s="537"/>
      <c r="CA108" s="537"/>
      <c r="CB108" s="574"/>
    </row>
    <row r="109" spans="1:80" x14ac:dyDescent="0.3">
      <c r="A109" s="551"/>
      <c r="B109" s="548"/>
      <c r="C109" s="525"/>
      <c r="D109" s="525"/>
      <c r="E109" s="525" t="s">
        <v>14</v>
      </c>
      <c r="F109" s="567"/>
      <c r="G109" s="567"/>
      <c r="H109" s="567"/>
      <c r="I109" s="527">
        <f t="shared" si="165"/>
        <v>3439.8309060347401</v>
      </c>
      <c r="J109" s="527">
        <f t="shared" si="165"/>
        <v>3560.662270359765</v>
      </c>
      <c r="K109" s="527">
        <f t="shared" si="165"/>
        <v>3678.8674780205215</v>
      </c>
      <c r="L109" s="527">
        <f t="shared" si="165"/>
        <v>3796.0378953321297</v>
      </c>
      <c r="M109" s="527">
        <f t="shared" si="165"/>
        <v>3893.8602318792632</v>
      </c>
      <c r="N109" s="527">
        <f t="shared" si="165"/>
        <v>3978.0572250137388</v>
      </c>
      <c r="O109" s="529"/>
      <c r="P109" s="564">
        <f>IFERROR(((N109/I109)^(1/5))-1,0)</f>
        <v>2.9501032242708725E-2</v>
      </c>
      <c r="Q109" s="537"/>
      <c r="R109" s="527">
        <f t="shared" ref="R109:AW109" si="168">R44/R$82</f>
        <v>296.72185586331369</v>
      </c>
      <c r="S109" s="527">
        <f t="shared" si="168"/>
        <v>296.72185586331369</v>
      </c>
      <c r="T109" s="527">
        <f t="shared" si="168"/>
        <v>296.72185586331369</v>
      </c>
      <c r="U109" s="527">
        <f t="shared" si="168"/>
        <v>296.72185586331369</v>
      </c>
      <c r="V109" s="527">
        <f t="shared" si="168"/>
        <v>296.72185586331369</v>
      </c>
      <c r="W109" s="527">
        <f t="shared" si="168"/>
        <v>296.72185586331369</v>
      </c>
      <c r="X109" s="527">
        <f t="shared" si="168"/>
        <v>296.72185586331369</v>
      </c>
      <c r="Y109" s="527">
        <f t="shared" si="168"/>
        <v>296.72185586331369</v>
      </c>
      <c r="Z109" s="527">
        <f t="shared" si="168"/>
        <v>296.72185586331369</v>
      </c>
      <c r="AA109" s="527">
        <f t="shared" si="168"/>
        <v>296.72185586331369</v>
      </c>
      <c r="AB109" s="527">
        <f t="shared" si="168"/>
        <v>296.72185586331369</v>
      </c>
      <c r="AC109" s="527">
        <f t="shared" si="168"/>
        <v>296.72185586331369</v>
      </c>
      <c r="AD109" s="527">
        <f t="shared" si="168"/>
        <v>306.57228983504348</v>
      </c>
      <c r="AE109" s="527">
        <f t="shared" si="168"/>
        <v>306.57228983504348</v>
      </c>
      <c r="AF109" s="527">
        <f t="shared" si="168"/>
        <v>306.57228983504348</v>
      </c>
      <c r="AG109" s="527">
        <f t="shared" si="168"/>
        <v>306.57228983504348</v>
      </c>
      <c r="AH109" s="527">
        <f t="shared" si="168"/>
        <v>306.57228983504348</v>
      </c>
      <c r="AI109" s="527">
        <f t="shared" si="168"/>
        <v>306.57228983504348</v>
      </c>
      <c r="AJ109" s="527">
        <f t="shared" si="168"/>
        <v>306.57228983504348</v>
      </c>
      <c r="AK109" s="527">
        <f t="shared" si="168"/>
        <v>306.57228983504348</v>
      </c>
      <c r="AL109" s="527">
        <f t="shared" si="168"/>
        <v>306.57228983504348</v>
      </c>
      <c r="AM109" s="527">
        <f t="shared" si="168"/>
        <v>306.57228983504348</v>
      </c>
      <c r="AN109" s="527">
        <f t="shared" si="168"/>
        <v>306.57228983504348</v>
      </c>
      <c r="AO109" s="527">
        <f t="shared" si="168"/>
        <v>306.57228983504348</v>
      </c>
      <c r="AP109" s="527">
        <f t="shared" si="168"/>
        <v>316.3364912776774</v>
      </c>
      <c r="AQ109" s="527">
        <f t="shared" si="168"/>
        <v>316.3364912776774</v>
      </c>
      <c r="AR109" s="527">
        <f t="shared" si="168"/>
        <v>316.3364912776774</v>
      </c>
      <c r="AS109" s="527">
        <f t="shared" si="168"/>
        <v>316.3364912776774</v>
      </c>
      <c r="AT109" s="527">
        <f t="shared" si="168"/>
        <v>316.3364912776774</v>
      </c>
      <c r="AU109" s="527">
        <f t="shared" si="168"/>
        <v>316.3364912776774</v>
      </c>
      <c r="AV109" s="527">
        <f t="shared" si="168"/>
        <v>316.3364912776774</v>
      </c>
      <c r="AW109" s="527">
        <f t="shared" si="168"/>
        <v>316.3364912776774</v>
      </c>
      <c r="AX109" s="527">
        <f t="shared" ref="AX109:BY109" si="169">AX44/AX$82</f>
        <v>316.3364912776774</v>
      </c>
      <c r="AY109" s="527">
        <f t="shared" si="169"/>
        <v>316.3364912776774</v>
      </c>
      <c r="AZ109" s="527">
        <f t="shared" si="169"/>
        <v>316.3364912776774</v>
      </c>
      <c r="BA109" s="527">
        <f t="shared" si="169"/>
        <v>316.3364912776774</v>
      </c>
      <c r="BB109" s="527">
        <f t="shared" si="169"/>
        <v>324.48835265660523</v>
      </c>
      <c r="BC109" s="527">
        <f t="shared" si="169"/>
        <v>324.48835265660523</v>
      </c>
      <c r="BD109" s="527">
        <f t="shared" si="169"/>
        <v>324.48835265660523</v>
      </c>
      <c r="BE109" s="527">
        <f t="shared" si="169"/>
        <v>324.48835265660523</v>
      </c>
      <c r="BF109" s="527">
        <f t="shared" si="169"/>
        <v>324.48835265660523</v>
      </c>
      <c r="BG109" s="527">
        <f t="shared" si="169"/>
        <v>324.48835265660523</v>
      </c>
      <c r="BH109" s="527">
        <f t="shared" si="169"/>
        <v>324.48835265660523</v>
      </c>
      <c r="BI109" s="527">
        <f t="shared" si="169"/>
        <v>324.48835265660523</v>
      </c>
      <c r="BJ109" s="527">
        <f t="shared" si="169"/>
        <v>324.48835265660523</v>
      </c>
      <c r="BK109" s="527">
        <f t="shared" si="169"/>
        <v>324.48835265660523</v>
      </c>
      <c r="BL109" s="527">
        <f t="shared" si="169"/>
        <v>324.48835265660523</v>
      </c>
      <c r="BM109" s="527">
        <f t="shared" si="169"/>
        <v>324.48835265660523</v>
      </c>
      <c r="BN109" s="527">
        <f t="shared" si="169"/>
        <v>331.50476875114498</v>
      </c>
      <c r="BO109" s="527">
        <f t="shared" si="169"/>
        <v>331.50476875114498</v>
      </c>
      <c r="BP109" s="527">
        <f t="shared" si="169"/>
        <v>331.50476875114498</v>
      </c>
      <c r="BQ109" s="527">
        <f t="shared" si="169"/>
        <v>331.50476875114498</v>
      </c>
      <c r="BR109" s="527">
        <f t="shared" si="169"/>
        <v>331.50476875114498</v>
      </c>
      <c r="BS109" s="527">
        <f t="shared" si="169"/>
        <v>331.50476875114498</v>
      </c>
      <c r="BT109" s="527">
        <f t="shared" si="169"/>
        <v>331.50476875114498</v>
      </c>
      <c r="BU109" s="527">
        <f t="shared" si="169"/>
        <v>331.50476875114498</v>
      </c>
      <c r="BV109" s="527">
        <f t="shared" si="169"/>
        <v>331.50476875114498</v>
      </c>
      <c r="BW109" s="527">
        <f t="shared" si="169"/>
        <v>331.50476875114498</v>
      </c>
      <c r="BX109" s="527">
        <f t="shared" si="169"/>
        <v>331.50476875114498</v>
      </c>
      <c r="BY109" s="527">
        <f t="shared" si="169"/>
        <v>331.50476875114498</v>
      </c>
      <c r="BZ109" s="537"/>
      <c r="CA109" s="537"/>
      <c r="CB109" s="574"/>
    </row>
    <row r="110" spans="1:80" x14ac:dyDescent="0.3">
      <c r="A110" s="551"/>
      <c r="B110" s="548"/>
      <c r="C110" s="525"/>
      <c r="D110" s="525"/>
      <c r="E110" s="572" t="s">
        <v>26</v>
      </c>
      <c r="F110" s="573"/>
      <c r="G110" s="573"/>
      <c r="H110" s="573"/>
      <c r="I110" s="532">
        <f t="shared" si="165"/>
        <v>49699.651913146408</v>
      </c>
      <c r="J110" s="532">
        <f t="shared" si="165"/>
        <v>51770.637517024887</v>
      </c>
      <c r="K110" s="532">
        <f t="shared" si="165"/>
        <v>54246.684935621495</v>
      </c>
      <c r="L110" s="532">
        <f t="shared" si="165"/>
        <v>56773.313181981131</v>
      </c>
      <c r="M110" s="532">
        <f t="shared" si="165"/>
        <v>59243.243590276099</v>
      </c>
      <c r="N110" s="532">
        <f t="shared" si="165"/>
        <v>61741.121930480389</v>
      </c>
      <c r="O110" s="536"/>
      <c r="P110" s="568">
        <f>IFERROR(((N110/I110)^(1/5))-1,0)</f>
        <v>4.434558237793218E-2</v>
      </c>
      <c r="Q110" s="537"/>
      <c r="R110" s="532">
        <f t="shared" ref="R110:AW110" si="170">R45/R$82</f>
        <v>4270.2268293670359</v>
      </c>
      <c r="S110" s="530">
        <f t="shared" si="170"/>
        <v>4270.2268293670359</v>
      </c>
      <c r="T110" s="532">
        <f t="shared" si="170"/>
        <v>4270.2268293670359</v>
      </c>
      <c r="U110" s="532">
        <f t="shared" si="170"/>
        <v>4270.2268293670359</v>
      </c>
      <c r="V110" s="532">
        <f t="shared" si="170"/>
        <v>4270.2268293670359</v>
      </c>
      <c r="W110" s="532">
        <f t="shared" si="170"/>
        <v>4270.2268293670359</v>
      </c>
      <c r="X110" s="532">
        <f t="shared" si="170"/>
        <v>4358.2127568037804</v>
      </c>
      <c r="Y110" s="532">
        <f t="shared" si="170"/>
        <v>4358.2127568037804</v>
      </c>
      <c r="Z110" s="532">
        <f t="shared" si="170"/>
        <v>4358.2127568037804</v>
      </c>
      <c r="AA110" s="532">
        <f t="shared" si="170"/>
        <v>4358.2127568037804</v>
      </c>
      <c r="AB110" s="532">
        <f t="shared" si="170"/>
        <v>4358.2127568037804</v>
      </c>
      <c r="AC110" s="532">
        <f t="shared" si="170"/>
        <v>4358.2127568037804</v>
      </c>
      <c r="AD110" s="532">
        <f t="shared" si="170"/>
        <v>4463.9755972118855</v>
      </c>
      <c r="AE110" s="532">
        <f t="shared" si="170"/>
        <v>4463.9755972118855</v>
      </c>
      <c r="AF110" s="532">
        <f t="shared" si="170"/>
        <v>4463.9755972118855</v>
      </c>
      <c r="AG110" s="532">
        <f t="shared" si="170"/>
        <v>4463.9755972118855</v>
      </c>
      <c r="AH110" s="532">
        <f t="shared" si="170"/>
        <v>4463.9755972118855</v>
      </c>
      <c r="AI110" s="532">
        <f t="shared" si="170"/>
        <v>4463.9755972118855</v>
      </c>
      <c r="AJ110" s="532">
        <f t="shared" si="170"/>
        <v>4577.1385587250343</v>
      </c>
      <c r="AK110" s="532">
        <f t="shared" si="170"/>
        <v>4577.1385587250343</v>
      </c>
      <c r="AL110" s="532">
        <f t="shared" si="170"/>
        <v>4577.1385587250343</v>
      </c>
      <c r="AM110" s="532">
        <f t="shared" si="170"/>
        <v>4577.1385587250343</v>
      </c>
      <c r="AN110" s="532">
        <f t="shared" si="170"/>
        <v>4577.1385587250343</v>
      </c>
      <c r="AO110" s="532">
        <f t="shared" si="170"/>
        <v>4577.1385587250343</v>
      </c>
      <c r="AP110" s="532">
        <f t="shared" si="170"/>
        <v>4661.0964327656602</v>
      </c>
      <c r="AQ110" s="532">
        <f t="shared" si="170"/>
        <v>4661.0964327656602</v>
      </c>
      <c r="AR110" s="532">
        <f t="shared" si="170"/>
        <v>4661.0964327656602</v>
      </c>
      <c r="AS110" s="532">
        <f t="shared" si="170"/>
        <v>4661.0964327656602</v>
      </c>
      <c r="AT110" s="532">
        <f t="shared" si="170"/>
        <v>4661.0964327656602</v>
      </c>
      <c r="AU110" s="532">
        <f t="shared" si="170"/>
        <v>4661.0964327656602</v>
      </c>
      <c r="AV110" s="532">
        <f t="shared" si="170"/>
        <v>4801.1224308978626</v>
      </c>
      <c r="AW110" s="532">
        <f t="shared" si="170"/>
        <v>4801.1224308978626</v>
      </c>
      <c r="AX110" s="532">
        <f t="shared" ref="AX110:BY110" si="171">AX45/AX$82</f>
        <v>4801.1224308978626</v>
      </c>
      <c r="AY110" s="532">
        <f t="shared" si="171"/>
        <v>4801.1224308978626</v>
      </c>
      <c r="AZ110" s="532">
        <f t="shared" si="171"/>
        <v>4801.1224308978626</v>
      </c>
      <c r="BA110" s="532">
        <f t="shared" si="171"/>
        <v>4801.1224308978626</v>
      </c>
      <c r="BB110" s="532">
        <f t="shared" si="171"/>
        <v>4852.6323453111518</v>
      </c>
      <c r="BC110" s="532">
        <f t="shared" si="171"/>
        <v>4852.6323453111518</v>
      </c>
      <c r="BD110" s="532">
        <f t="shared" si="171"/>
        <v>4852.6323453111518</v>
      </c>
      <c r="BE110" s="532">
        <f t="shared" si="171"/>
        <v>4852.6323453111518</v>
      </c>
      <c r="BF110" s="532">
        <f t="shared" si="171"/>
        <v>4852.6323453111518</v>
      </c>
      <c r="BG110" s="532">
        <f t="shared" si="171"/>
        <v>4852.6323453111518</v>
      </c>
      <c r="BH110" s="532">
        <f t="shared" si="171"/>
        <v>5021.2415864015293</v>
      </c>
      <c r="BI110" s="532">
        <f t="shared" si="171"/>
        <v>5021.2415864015293</v>
      </c>
      <c r="BJ110" s="532">
        <f t="shared" si="171"/>
        <v>5021.2415864015293</v>
      </c>
      <c r="BK110" s="532">
        <f t="shared" si="171"/>
        <v>5021.2415864015293</v>
      </c>
      <c r="BL110" s="532">
        <f t="shared" si="171"/>
        <v>5021.2415864015293</v>
      </c>
      <c r="BM110" s="532">
        <f t="shared" si="171"/>
        <v>5021.2415864015293</v>
      </c>
      <c r="BN110" s="532">
        <f t="shared" si="171"/>
        <v>5045.6003015052502</v>
      </c>
      <c r="BO110" s="532">
        <f t="shared" si="171"/>
        <v>5045.6003015052502</v>
      </c>
      <c r="BP110" s="532">
        <f t="shared" si="171"/>
        <v>5045.6003015052502</v>
      </c>
      <c r="BQ110" s="532">
        <f t="shared" si="171"/>
        <v>5045.6003015052502</v>
      </c>
      <c r="BR110" s="532">
        <f t="shared" si="171"/>
        <v>5045.6003015052502</v>
      </c>
      <c r="BS110" s="532">
        <f t="shared" si="171"/>
        <v>5045.6003015052502</v>
      </c>
      <c r="BT110" s="532">
        <f t="shared" si="171"/>
        <v>5244.5866869081501</v>
      </c>
      <c r="BU110" s="532">
        <f t="shared" si="171"/>
        <v>5244.5866869081501</v>
      </c>
      <c r="BV110" s="532">
        <f t="shared" si="171"/>
        <v>5244.5866869081501</v>
      </c>
      <c r="BW110" s="532">
        <f t="shared" si="171"/>
        <v>5244.5866869081501</v>
      </c>
      <c r="BX110" s="532">
        <f t="shared" si="171"/>
        <v>5244.5866869081501</v>
      </c>
      <c r="BY110" s="532">
        <f t="shared" si="171"/>
        <v>5244.5866869081501</v>
      </c>
      <c r="BZ110" s="537"/>
      <c r="CA110" s="537"/>
      <c r="CB110" s="574"/>
    </row>
    <row r="111" spans="1:80" x14ac:dyDescent="0.3">
      <c r="A111" s="551"/>
      <c r="B111" s="548"/>
      <c r="C111" s="525"/>
      <c r="D111" s="525"/>
      <c r="E111" s="525"/>
      <c r="F111" s="529"/>
      <c r="G111" s="529"/>
      <c r="H111" s="529"/>
      <c r="I111" s="529"/>
      <c r="J111" s="529"/>
      <c r="K111" s="529"/>
      <c r="L111" s="529"/>
      <c r="M111" s="529"/>
      <c r="N111" s="529"/>
      <c r="O111" s="529"/>
      <c r="P111" s="562"/>
      <c r="Q111" s="537"/>
      <c r="R111" s="529"/>
      <c r="S111" s="529"/>
      <c r="T111" s="529"/>
      <c r="U111" s="529"/>
      <c r="V111" s="529"/>
      <c r="W111" s="529"/>
      <c r="X111" s="529"/>
      <c r="Y111" s="529"/>
      <c r="Z111" s="529"/>
      <c r="AA111" s="529"/>
      <c r="AB111" s="529"/>
      <c r="AC111" s="529"/>
      <c r="AD111" s="529"/>
      <c r="AE111" s="529"/>
      <c r="AF111" s="529"/>
      <c r="AG111" s="529"/>
      <c r="AH111" s="529"/>
      <c r="AI111" s="529"/>
      <c r="AJ111" s="529"/>
      <c r="AK111" s="529"/>
      <c r="AL111" s="529"/>
      <c r="AM111" s="529"/>
      <c r="AN111" s="529"/>
      <c r="AO111" s="529"/>
      <c r="AP111" s="529"/>
      <c r="AQ111" s="529"/>
      <c r="AR111" s="529"/>
      <c r="AS111" s="529"/>
      <c r="AT111" s="529"/>
      <c r="AU111" s="529"/>
      <c r="AV111" s="529"/>
      <c r="AW111" s="529"/>
      <c r="AX111" s="529"/>
      <c r="AY111" s="529"/>
      <c r="AZ111" s="529"/>
      <c r="BA111" s="529"/>
      <c r="BB111" s="529"/>
      <c r="BC111" s="529"/>
      <c r="BD111" s="529"/>
      <c r="BE111" s="529"/>
      <c r="BF111" s="529"/>
      <c r="BG111" s="529"/>
      <c r="BH111" s="529"/>
      <c r="BI111" s="529"/>
      <c r="BJ111" s="529"/>
      <c r="BK111" s="529"/>
      <c r="BL111" s="529"/>
      <c r="BM111" s="529"/>
      <c r="BN111" s="529"/>
      <c r="BO111" s="529"/>
      <c r="BP111" s="529"/>
      <c r="BQ111" s="529"/>
      <c r="BR111" s="529"/>
      <c r="BS111" s="529"/>
      <c r="BT111" s="529"/>
      <c r="BU111" s="529"/>
      <c r="BV111" s="529"/>
      <c r="BW111" s="529"/>
      <c r="BX111" s="529"/>
      <c r="BY111" s="529"/>
      <c r="BZ111" s="537"/>
      <c r="CA111" s="537"/>
      <c r="CB111" s="537"/>
    </row>
    <row r="112" spans="1:80" x14ac:dyDescent="0.3">
      <c r="A112" s="551"/>
      <c r="B112" s="548"/>
      <c r="C112" s="525"/>
      <c r="D112" s="525"/>
      <c r="E112" s="570" t="s">
        <v>27</v>
      </c>
      <c r="F112" s="529"/>
      <c r="G112" s="529"/>
      <c r="H112" s="529"/>
      <c r="I112" s="529"/>
      <c r="J112" s="529"/>
      <c r="K112" s="529"/>
      <c r="L112" s="529"/>
      <c r="M112" s="529"/>
      <c r="N112" s="529"/>
      <c r="O112" s="529"/>
      <c r="P112" s="562"/>
      <c r="Q112" s="537"/>
      <c r="R112" s="529"/>
      <c r="S112" s="529"/>
      <c r="T112" s="529"/>
      <c r="U112" s="529"/>
      <c r="V112" s="529"/>
      <c r="W112" s="529"/>
      <c r="X112" s="529"/>
      <c r="Y112" s="529"/>
      <c r="Z112" s="529"/>
      <c r="AA112" s="529"/>
      <c r="AB112" s="529"/>
      <c r="AC112" s="529"/>
      <c r="AD112" s="529"/>
      <c r="AE112" s="529"/>
      <c r="AF112" s="529"/>
      <c r="AG112" s="529"/>
      <c r="AH112" s="529"/>
      <c r="AI112" s="529"/>
      <c r="AJ112" s="529"/>
      <c r="AK112" s="529"/>
      <c r="AL112" s="529"/>
      <c r="AM112" s="529"/>
      <c r="AN112" s="529"/>
      <c r="AO112" s="529"/>
      <c r="AP112" s="529"/>
      <c r="AQ112" s="529"/>
      <c r="AR112" s="529"/>
      <c r="AS112" s="529"/>
      <c r="AT112" s="529"/>
      <c r="AU112" s="529"/>
      <c r="AV112" s="529"/>
      <c r="AW112" s="529"/>
      <c r="AX112" s="529"/>
      <c r="AY112" s="529"/>
      <c r="AZ112" s="529"/>
      <c r="BA112" s="529"/>
      <c r="BB112" s="529"/>
      <c r="BC112" s="529"/>
      <c r="BD112" s="529"/>
      <c r="BE112" s="529"/>
      <c r="BF112" s="529"/>
      <c r="BG112" s="529"/>
      <c r="BH112" s="529"/>
      <c r="BI112" s="529"/>
      <c r="BJ112" s="529"/>
      <c r="BK112" s="529"/>
      <c r="BL112" s="529"/>
      <c r="BM112" s="529"/>
      <c r="BN112" s="529"/>
      <c r="BO112" s="529"/>
      <c r="BP112" s="529"/>
      <c r="BQ112" s="529"/>
      <c r="BR112" s="529"/>
      <c r="BS112" s="529"/>
      <c r="BT112" s="529"/>
      <c r="BU112" s="529"/>
      <c r="BV112" s="529"/>
      <c r="BW112" s="529"/>
      <c r="BX112" s="529"/>
      <c r="BY112" s="529"/>
      <c r="BZ112" s="537"/>
      <c r="CA112" s="537"/>
      <c r="CB112" s="537"/>
    </row>
    <row r="113" spans="1:80" x14ac:dyDescent="0.3">
      <c r="A113" s="551"/>
      <c r="B113" s="548"/>
      <c r="C113" s="525"/>
      <c r="D113" s="525"/>
      <c r="E113" s="525" t="s">
        <v>28</v>
      </c>
      <c r="F113" s="567"/>
      <c r="G113" s="567"/>
      <c r="H113" s="567"/>
      <c r="I113" s="527">
        <f t="shared" ref="I113:N117" si="172">I48/I$82</f>
        <v>323.87999999999994</v>
      </c>
      <c r="J113" s="527">
        <f t="shared" si="172"/>
        <v>323.87999999999994</v>
      </c>
      <c r="K113" s="527">
        <f t="shared" si="172"/>
        <v>323.87999999999994</v>
      </c>
      <c r="L113" s="527">
        <f t="shared" si="172"/>
        <v>323.87999999999994</v>
      </c>
      <c r="M113" s="527">
        <f t="shared" si="172"/>
        <v>323.87999999999994</v>
      </c>
      <c r="N113" s="527">
        <f t="shared" si="172"/>
        <v>323.87999999999994</v>
      </c>
      <c r="O113" s="529"/>
      <c r="P113" s="564">
        <f>IFERROR(((N113/I113)^(1/5))-1,0)</f>
        <v>0</v>
      </c>
      <c r="Q113" s="537"/>
      <c r="R113" s="527">
        <f t="shared" ref="R113:AW113" si="173">R48/R$82</f>
        <v>26.99</v>
      </c>
      <c r="S113" s="527">
        <f t="shared" si="173"/>
        <v>26.99</v>
      </c>
      <c r="T113" s="527">
        <f t="shared" si="173"/>
        <v>26.99</v>
      </c>
      <c r="U113" s="527">
        <f t="shared" si="173"/>
        <v>26.99</v>
      </c>
      <c r="V113" s="527">
        <f t="shared" si="173"/>
        <v>26.99</v>
      </c>
      <c r="W113" s="527">
        <f t="shared" si="173"/>
        <v>26.99</v>
      </c>
      <c r="X113" s="527">
        <f t="shared" si="173"/>
        <v>26.99</v>
      </c>
      <c r="Y113" s="527">
        <f t="shared" si="173"/>
        <v>26.99</v>
      </c>
      <c r="Z113" s="527">
        <f t="shared" si="173"/>
        <v>26.99</v>
      </c>
      <c r="AA113" s="527">
        <f t="shared" si="173"/>
        <v>26.99</v>
      </c>
      <c r="AB113" s="527">
        <f t="shared" si="173"/>
        <v>26.99</v>
      </c>
      <c r="AC113" s="527">
        <f t="shared" si="173"/>
        <v>26.99</v>
      </c>
      <c r="AD113" s="527">
        <f t="shared" si="173"/>
        <v>26.99</v>
      </c>
      <c r="AE113" s="527">
        <f t="shared" si="173"/>
        <v>26.99</v>
      </c>
      <c r="AF113" s="527">
        <f t="shared" si="173"/>
        <v>26.99</v>
      </c>
      <c r="AG113" s="527">
        <f t="shared" si="173"/>
        <v>26.99</v>
      </c>
      <c r="AH113" s="527">
        <f t="shared" si="173"/>
        <v>26.99</v>
      </c>
      <c r="AI113" s="527">
        <f t="shared" si="173"/>
        <v>26.99</v>
      </c>
      <c r="AJ113" s="527">
        <f t="shared" si="173"/>
        <v>26.99</v>
      </c>
      <c r="AK113" s="527">
        <f t="shared" si="173"/>
        <v>26.99</v>
      </c>
      <c r="AL113" s="527">
        <f t="shared" si="173"/>
        <v>26.99</v>
      </c>
      <c r="AM113" s="527">
        <f t="shared" si="173"/>
        <v>26.99</v>
      </c>
      <c r="AN113" s="527">
        <f t="shared" si="173"/>
        <v>26.99</v>
      </c>
      <c r="AO113" s="527">
        <f t="shared" si="173"/>
        <v>26.99</v>
      </c>
      <c r="AP113" s="527">
        <f t="shared" si="173"/>
        <v>26.99</v>
      </c>
      <c r="AQ113" s="527">
        <f t="shared" si="173"/>
        <v>26.99</v>
      </c>
      <c r="AR113" s="527">
        <f t="shared" si="173"/>
        <v>26.99</v>
      </c>
      <c r="AS113" s="527">
        <f t="shared" si="173"/>
        <v>26.99</v>
      </c>
      <c r="AT113" s="527">
        <f t="shared" si="173"/>
        <v>26.99</v>
      </c>
      <c r="AU113" s="527">
        <f t="shared" si="173"/>
        <v>26.99</v>
      </c>
      <c r="AV113" s="527">
        <f t="shared" si="173"/>
        <v>26.99</v>
      </c>
      <c r="AW113" s="527">
        <f t="shared" si="173"/>
        <v>26.99</v>
      </c>
      <c r="AX113" s="527">
        <f t="shared" ref="AX113:BY113" si="174">AX48/AX$82</f>
        <v>26.99</v>
      </c>
      <c r="AY113" s="527">
        <f t="shared" si="174"/>
        <v>26.99</v>
      </c>
      <c r="AZ113" s="527">
        <f t="shared" si="174"/>
        <v>26.99</v>
      </c>
      <c r="BA113" s="527">
        <f t="shared" si="174"/>
        <v>26.99</v>
      </c>
      <c r="BB113" s="527">
        <f t="shared" si="174"/>
        <v>26.99</v>
      </c>
      <c r="BC113" s="527">
        <f t="shared" si="174"/>
        <v>26.99</v>
      </c>
      <c r="BD113" s="527">
        <f t="shared" si="174"/>
        <v>26.99</v>
      </c>
      <c r="BE113" s="527">
        <f t="shared" si="174"/>
        <v>26.99</v>
      </c>
      <c r="BF113" s="527">
        <f t="shared" si="174"/>
        <v>26.99</v>
      </c>
      <c r="BG113" s="527">
        <f t="shared" si="174"/>
        <v>26.99</v>
      </c>
      <c r="BH113" s="527">
        <f t="shared" si="174"/>
        <v>26.99</v>
      </c>
      <c r="BI113" s="527">
        <f t="shared" si="174"/>
        <v>26.99</v>
      </c>
      <c r="BJ113" s="527">
        <f t="shared" si="174"/>
        <v>26.99</v>
      </c>
      <c r="BK113" s="527">
        <f t="shared" si="174"/>
        <v>26.99</v>
      </c>
      <c r="BL113" s="527">
        <f t="shared" si="174"/>
        <v>26.99</v>
      </c>
      <c r="BM113" s="527">
        <f t="shared" si="174"/>
        <v>26.99</v>
      </c>
      <c r="BN113" s="527">
        <f t="shared" si="174"/>
        <v>26.99</v>
      </c>
      <c r="BO113" s="527">
        <f t="shared" si="174"/>
        <v>26.99</v>
      </c>
      <c r="BP113" s="527">
        <f t="shared" si="174"/>
        <v>26.99</v>
      </c>
      <c r="BQ113" s="527">
        <f t="shared" si="174"/>
        <v>26.99</v>
      </c>
      <c r="BR113" s="527">
        <f t="shared" si="174"/>
        <v>26.99</v>
      </c>
      <c r="BS113" s="527">
        <f t="shared" si="174"/>
        <v>26.99</v>
      </c>
      <c r="BT113" s="527">
        <f t="shared" si="174"/>
        <v>26.99</v>
      </c>
      <c r="BU113" s="527">
        <f t="shared" si="174"/>
        <v>26.99</v>
      </c>
      <c r="BV113" s="527">
        <f t="shared" si="174"/>
        <v>26.99</v>
      </c>
      <c r="BW113" s="527">
        <f t="shared" si="174"/>
        <v>26.99</v>
      </c>
      <c r="BX113" s="527">
        <f t="shared" si="174"/>
        <v>26.99</v>
      </c>
      <c r="BY113" s="527">
        <f t="shared" si="174"/>
        <v>26.99</v>
      </c>
      <c r="BZ113" s="537"/>
      <c r="CA113" s="537"/>
      <c r="CB113" s="574"/>
    </row>
    <row r="114" spans="1:80" x14ac:dyDescent="0.3">
      <c r="A114" s="551"/>
      <c r="B114" s="548"/>
      <c r="C114" s="525"/>
      <c r="D114" s="525"/>
      <c r="E114" s="525" t="s">
        <v>29</v>
      </c>
      <c r="F114" s="567"/>
      <c r="G114" s="567"/>
      <c r="H114" s="567"/>
      <c r="I114" s="527">
        <f t="shared" si="172"/>
        <v>188.35969550639348</v>
      </c>
      <c r="J114" s="527">
        <f t="shared" si="172"/>
        <v>188.35969550639342</v>
      </c>
      <c r="K114" s="527">
        <f t="shared" si="172"/>
        <v>188.35969550639342</v>
      </c>
      <c r="L114" s="527">
        <f t="shared" si="172"/>
        <v>188.35969550639342</v>
      </c>
      <c r="M114" s="527">
        <f t="shared" si="172"/>
        <v>188.35969550639342</v>
      </c>
      <c r="N114" s="527">
        <f t="shared" si="172"/>
        <v>188.35969550639342</v>
      </c>
      <c r="O114" s="529"/>
      <c r="P114" s="564">
        <f>IFERROR(((N114/I114)^(1/5))-1,0)</f>
        <v>-1.1102230246251565E-16</v>
      </c>
      <c r="Q114" s="537"/>
      <c r="R114" s="527">
        <f t="shared" ref="R114:AW114" si="175">R49/R$82</f>
        <v>15.696641292199457</v>
      </c>
      <c r="S114" s="527">
        <f t="shared" si="175"/>
        <v>15.696641292199457</v>
      </c>
      <c r="T114" s="527">
        <f t="shared" si="175"/>
        <v>15.696641292199457</v>
      </c>
      <c r="U114" s="527">
        <f t="shared" si="175"/>
        <v>15.696641292199457</v>
      </c>
      <c r="V114" s="527">
        <f t="shared" si="175"/>
        <v>15.696641292199457</v>
      </c>
      <c r="W114" s="527">
        <f t="shared" si="175"/>
        <v>15.696641292199457</v>
      </c>
      <c r="X114" s="527">
        <f t="shared" si="175"/>
        <v>15.696641292199457</v>
      </c>
      <c r="Y114" s="527">
        <f t="shared" si="175"/>
        <v>15.696641292199457</v>
      </c>
      <c r="Z114" s="527">
        <f t="shared" si="175"/>
        <v>15.696641292199457</v>
      </c>
      <c r="AA114" s="527">
        <f t="shared" si="175"/>
        <v>15.696641292199457</v>
      </c>
      <c r="AB114" s="527">
        <f t="shared" si="175"/>
        <v>15.696641292199457</v>
      </c>
      <c r="AC114" s="527">
        <f t="shared" si="175"/>
        <v>15.696641292199457</v>
      </c>
      <c r="AD114" s="527">
        <f t="shared" si="175"/>
        <v>15.696641292199457</v>
      </c>
      <c r="AE114" s="527">
        <f t="shared" si="175"/>
        <v>15.696641292199457</v>
      </c>
      <c r="AF114" s="527">
        <f t="shared" si="175"/>
        <v>15.696641292199457</v>
      </c>
      <c r="AG114" s="527">
        <f t="shared" si="175"/>
        <v>15.696641292199457</v>
      </c>
      <c r="AH114" s="527">
        <f t="shared" si="175"/>
        <v>15.696641292199457</v>
      </c>
      <c r="AI114" s="527">
        <f t="shared" si="175"/>
        <v>15.696641292199457</v>
      </c>
      <c r="AJ114" s="527">
        <f t="shared" si="175"/>
        <v>15.696641292199457</v>
      </c>
      <c r="AK114" s="527">
        <f t="shared" si="175"/>
        <v>15.696641292199457</v>
      </c>
      <c r="AL114" s="527">
        <f t="shared" si="175"/>
        <v>15.696641292199457</v>
      </c>
      <c r="AM114" s="527">
        <f t="shared" si="175"/>
        <v>15.696641292199457</v>
      </c>
      <c r="AN114" s="527">
        <f t="shared" si="175"/>
        <v>15.696641292199457</v>
      </c>
      <c r="AO114" s="527">
        <f t="shared" si="175"/>
        <v>15.696641292199457</v>
      </c>
      <c r="AP114" s="527">
        <f t="shared" si="175"/>
        <v>15.696641292199457</v>
      </c>
      <c r="AQ114" s="527">
        <f t="shared" si="175"/>
        <v>15.696641292199457</v>
      </c>
      <c r="AR114" s="527">
        <f t="shared" si="175"/>
        <v>15.696641292199457</v>
      </c>
      <c r="AS114" s="527">
        <f t="shared" si="175"/>
        <v>15.696641292199457</v>
      </c>
      <c r="AT114" s="527">
        <f t="shared" si="175"/>
        <v>15.696641292199457</v>
      </c>
      <c r="AU114" s="527">
        <f t="shared" si="175"/>
        <v>15.696641292199457</v>
      </c>
      <c r="AV114" s="527">
        <f t="shared" si="175"/>
        <v>15.696641292199457</v>
      </c>
      <c r="AW114" s="527">
        <f t="shared" si="175"/>
        <v>15.696641292199457</v>
      </c>
      <c r="AX114" s="527">
        <f t="shared" ref="AX114:BY114" si="176">AX49/AX$82</f>
        <v>15.696641292199457</v>
      </c>
      <c r="AY114" s="527">
        <f t="shared" si="176"/>
        <v>15.696641292199457</v>
      </c>
      <c r="AZ114" s="527">
        <f t="shared" si="176"/>
        <v>15.696641292199457</v>
      </c>
      <c r="BA114" s="527">
        <f t="shared" si="176"/>
        <v>15.696641292199457</v>
      </c>
      <c r="BB114" s="527">
        <f t="shared" si="176"/>
        <v>15.696641292199457</v>
      </c>
      <c r="BC114" s="527">
        <f t="shared" si="176"/>
        <v>15.696641292199457</v>
      </c>
      <c r="BD114" s="527">
        <f t="shared" si="176"/>
        <v>15.696641292199457</v>
      </c>
      <c r="BE114" s="527">
        <f t="shared" si="176"/>
        <v>15.696641292199457</v>
      </c>
      <c r="BF114" s="527">
        <f t="shared" si="176"/>
        <v>15.696641292199457</v>
      </c>
      <c r="BG114" s="527">
        <f t="shared" si="176"/>
        <v>15.696641292199457</v>
      </c>
      <c r="BH114" s="527">
        <f t="shared" si="176"/>
        <v>15.696641292199457</v>
      </c>
      <c r="BI114" s="527">
        <f t="shared" si="176"/>
        <v>15.696641292199457</v>
      </c>
      <c r="BJ114" s="527">
        <f t="shared" si="176"/>
        <v>15.696641292199457</v>
      </c>
      <c r="BK114" s="527">
        <f t="shared" si="176"/>
        <v>15.696641292199457</v>
      </c>
      <c r="BL114" s="527">
        <f t="shared" si="176"/>
        <v>15.696641292199457</v>
      </c>
      <c r="BM114" s="527">
        <f t="shared" si="176"/>
        <v>15.696641292199457</v>
      </c>
      <c r="BN114" s="527">
        <f t="shared" si="176"/>
        <v>15.696641292199457</v>
      </c>
      <c r="BO114" s="527">
        <f t="shared" si="176"/>
        <v>15.696641292199457</v>
      </c>
      <c r="BP114" s="527">
        <f t="shared" si="176"/>
        <v>15.696641292199457</v>
      </c>
      <c r="BQ114" s="527">
        <f t="shared" si="176"/>
        <v>15.696641292199457</v>
      </c>
      <c r="BR114" s="527">
        <f t="shared" si="176"/>
        <v>15.696641292199457</v>
      </c>
      <c r="BS114" s="527">
        <f t="shared" si="176"/>
        <v>15.696641292199457</v>
      </c>
      <c r="BT114" s="527">
        <f t="shared" si="176"/>
        <v>15.696641292199457</v>
      </c>
      <c r="BU114" s="527">
        <f t="shared" si="176"/>
        <v>15.696641292199457</v>
      </c>
      <c r="BV114" s="527">
        <f t="shared" si="176"/>
        <v>15.696641292199457</v>
      </c>
      <c r="BW114" s="527">
        <f t="shared" si="176"/>
        <v>15.696641292199457</v>
      </c>
      <c r="BX114" s="527">
        <f t="shared" si="176"/>
        <v>15.696641292199457</v>
      </c>
      <c r="BY114" s="527">
        <f t="shared" si="176"/>
        <v>15.696641292199457</v>
      </c>
      <c r="BZ114" s="537"/>
      <c r="CA114" s="537"/>
      <c r="CB114" s="574"/>
    </row>
    <row r="115" spans="1:80" x14ac:dyDescent="0.3">
      <c r="A115" s="551"/>
      <c r="B115" s="548"/>
      <c r="C115" s="525"/>
      <c r="D115" s="525"/>
      <c r="E115" s="525" t="s">
        <v>30</v>
      </c>
      <c r="F115" s="567"/>
      <c r="G115" s="567"/>
      <c r="H115" s="567"/>
      <c r="I115" s="527">
        <f t="shared" si="172"/>
        <v>804.3848387096773</v>
      </c>
      <c r="J115" s="527">
        <f t="shared" si="172"/>
        <v>804.38483870967752</v>
      </c>
      <c r="K115" s="527">
        <f t="shared" si="172"/>
        <v>804.38483870967752</v>
      </c>
      <c r="L115" s="527">
        <f t="shared" si="172"/>
        <v>804.38483870967752</v>
      </c>
      <c r="M115" s="527">
        <f t="shared" si="172"/>
        <v>804.38483870967752</v>
      </c>
      <c r="N115" s="527">
        <f t="shared" si="172"/>
        <v>804.38483870967752</v>
      </c>
      <c r="O115" s="529"/>
      <c r="P115" s="564">
        <f>IFERROR(((N115/I115)^(1/5))-1,0)</f>
        <v>0</v>
      </c>
      <c r="Q115" s="537"/>
      <c r="R115" s="527">
        <f t="shared" ref="R115:AW115" si="177">R50/R$82</f>
        <v>67.032069892473103</v>
      </c>
      <c r="S115" s="527">
        <f t="shared" si="177"/>
        <v>67.032069892473103</v>
      </c>
      <c r="T115" s="527">
        <f t="shared" si="177"/>
        <v>67.032069892473103</v>
      </c>
      <c r="U115" s="527">
        <f t="shared" si="177"/>
        <v>67.032069892473103</v>
      </c>
      <c r="V115" s="527">
        <f t="shared" si="177"/>
        <v>67.032069892473103</v>
      </c>
      <c r="W115" s="527">
        <f t="shared" si="177"/>
        <v>67.032069892473103</v>
      </c>
      <c r="X115" s="527">
        <f t="shared" si="177"/>
        <v>67.032069892473103</v>
      </c>
      <c r="Y115" s="527">
        <f t="shared" si="177"/>
        <v>67.032069892473103</v>
      </c>
      <c r="Z115" s="527">
        <f t="shared" si="177"/>
        <v>67.032069892473103</v>
      </c>
      <c r="AA115" s="527">
        <f t="shared" si="177"/>
        <v>67.032069892473103</v>
      </c>
      <c r="AB115" s="527">
        <f t="shared" si="177"/>
        <v>67.032069892473103</v>
      </c>
      <c r="AC115" s="527">
        <f t="shared" si="177"/>
        <v>67.032069892473103</v>
      </c>
      <c r="AD115" s="527">
        <f t="shared" si="177"/>
        <v>67.032069892473103</v>
      </c>
      <c r="AE115" s="527">
        <f t="shared" si="177"/>
        <v>67.032069892473103</v>
      </c>
      <c r="AF115" s="527">
        <f t="shared" si="177"/>
        <v>67.032069892473103</v>
      </c>
      <c r="AG115" s="527">
        <f t="shared" si="177"/>
        <v>67.032069892473103</v>
      </c>
      <c r="AH115" s="527">
        <f t="shared" si="177"/>
        <v>67.032069892473103</v>
      </c>
      <c r="AI115" s="527">
        <f t="shared" si="177"/>
        <v>67.032069892473103</v>
      </c>
      <c r="AJ115" s="527">
        <f t="shared" si="177"/>
        <v>67.032069892473103</v>
      </c>
      <c r="AK115" s="527">
        <f t="shared" si="177"/>
        <v>67.032069892473103</v>
      </c>
      <c r="AL115" s="527">
        <f t="shared" si="177"/>
        <v>67.032069892473103</v>
      </c>
      <c r="AM115" s="527">
        <f t="shared" si="177"/>
        <v>67.032069892473103</v>
      </c>
      <c r="AN115" s="527">
        <f t="shared" si="177"/>
        <v>67.032069892473103</v>
      </c>
      <c r="AO115" s="527">
        <f t="shared" si="177"/>
        <v>67.032069892473103</v>
      </c>
      <c r="AP115" s="527">
        <f t="shared" si="177"/>
        <v>67.032069892473103</v>
      </c>
      <c r="AQ115" s="527">
        <f t="shared" si="177"/>
        <v>67.032069892473103</v>
      </c>
      <c r="AR115" s="527">
        <f t="shared" si="177"/>
        <v>67.032069892473103</v>
      </c>
      <c r="AS115" s="527">
        <f t="shared" si="177"/>
        <v>67.032069892473103</v>
      </c>
      <c r="AT115" s="527">
        <f t="shared" si="177"/>
        <v>67.032069892473103</v>
      </c>
      <c r="AU115" s="527">
        <f t="shared" si="177"/>
        <v>67.032069892473103</v>
      </c>
      <c r="AV115" s="527">
        <f t="shared" si="177"/>
        <v>67.032069892473103</v>
      </c>
      <c r="AW115" s="527">
        <f t="shared" si="177"/>
        <v>67.032069892473103</v>
      </c>
      <c r="AX115" s="527">
        <f t="shared" ref="AX115:BY115" si="178">AX50/AX$82</f>
        <v>67.032069892473103</v>
      </c>
      <c r="AY115" s="527">
        <f t="shared" si="178"/>
        <v>67.032069892473103</v>
      </c>
      <c r="AZ115" s="527">
        <f t="shared" si="178"/>
        <v>67.032069892473103</v>
      </c>
      <c r="BA115" s="527">
        <f t="shared" si="178"/>
        <v>67.032069892473103</v>
      </c>
      <c r="BB115" s="527">
        <f t="shared" si="178"/>
        <v>67.032069892473103</v>
      </c>
      <c r="BC115" s="527">
        <f t="shared" si="178"/>
        <v>67.032069892473103</v>
      </c>
      <c r="BD115" s="527">
        <f t="shared" si="178"/>
        <v>67.032069892473103</v>
      </c>
      <c r="BE115" s="527">
        <f t="shared" si="178"/>
        <v>67.032069892473103</v>
      </c>
      <c r="BF115" s="527">
        <f t="shared" si="178"/>
        <v>67.032069892473103</v>
      </c>
      <c r="BG115" s="527">
        <f t="shared" si="178"/>
        <v>67.032069892473103</v>
      </c>
      <c r="BH115" s="527">
        <f t="shared" si="178"/>
        <v>67.032069892473103</v>
      </c>
      <c r="BI115" s="527">
        <f t="shared" si="178"/>
        <v>67.032069892473103</v>
      </c>
      <c r="BJ115" s="527">
        <f t="shared" si="178"/>
        <v>67.032069892473103</v>
      </c>
      <c r="BK115" s="527">
        <f t="shared" si="178"/>
        <v>67.032069892473103</v>
      </c>
      <c r="BL115" s="527">
        <f t="shared" si="178"/>
        <v>67.032069892473103</v>
      </c>
      <c r="BM115" s="527">
        <f t="shared" si="178"/>
        <v>67.032069892473103</v>
      </c>
      <c r="BN115" s="527">
        <f t="shared" si="178"/>
        <v>67.032069892473103</v>
      </c>
      <c r="BO115" s="527">
        <f t="shared" si="178"/>
        <v>67.032069892473103</v>
      </c>
      <c r="BP115" s="527">
        <f t="shared" si="178"/>
        <v>67.032069892473103</v>
      </c>
      <c r="BQ115" s="527">
        <f t="shared" si="178"/>
        <v>67.032069892473103</v>
      </c>
      <c r="BR115" s="527">
        <f t="shared" si="178"/>
        <v>67.032069892473103</v>
      </c>
      <c r="BS115" s="527">
        <f t="shared" si="178"/>
        <v>67.032069892473103</v>
      </c>
      <c r="BT115" s="527">
        <f t="shared" si="178"/>
        <v>67.032069892473103</v>
      </c>
      <c r="BU115" s="527">
        <f t="shared" si="178"/>
        <v>67.032069892473103</v>
      </c>
      <c r="BV115" s="527">
        <f t="shared" si="178"/>
        <v>67.032069892473103</v>
      </c>
      <c r="BW115" s="527">
        <f t="shared" si="178"/>
        <v>67.032069892473103</v>
      </c>
      <c r="BX115" s="527">
        <f t="shared" si="178"/>
        <v>67.032069892473103</v>
      </c>
      <c r="BY115" s="527">
        <f t="shared" si="178"/>
        <v>67.032069892473103</v>
      </c>
      <c r="BZ115" s="537"/>
      <c r="CA115" s="537"/>
      <c r="CB115" s="574"/>
    </row>
    <row r="116" spans="1:80" x14ac:dyDescent="0.3">
      <c r="A116" s="551"/>
      <c r="B116" s="548"/>
      <c r="C116" s="525"/>
      <c r="D116" s="525"/>
      <c r="E116" s="525" t="s">
        <v>31</v>
      </c>
      <c r="F116" s="567"/>
      <c r="G116" s="567"/>
      <c r="H116" s="567"/>
      <c r="I116" s="527">
        <f t="shared" si="172"/>
        <v>3072.9731813746894</v>
      </c>
      <c r="J116" s="527">
        <f t="shared" si="172"/>
        <v>3072.9731813746898</v>
      </c>
      <c r="K116" s="527">
        <f t="shared" si="172"/>
        <v>3072.9731813746898</v>
      </c>
      <c r="L116" s="527">
        <f t="shared" si="172"/>
        <v>3072.9731813746898</v>
      </c>
      <c r="M116" s="527">
        <f t="shared" si="172"/>
        <v>3072.9731813746898</v>
      </c>
      <c r="N116" s="527">
        <f t="shared" si="172"/>
        <v>3072.9731813746898</v>
      </c>
      <c r="O116" s="529"/>
      <c r="P116" s="564">
        <f>IFERROR(((N116/I116)^(1/5))-1,0)</f>
        <v>0</v>
      </c>
      <c r="Q116" s="537"/>
      <c r="R116" s="527">
        <f t="shared" ref="R116:AW116" si="179">R51/R$82</f>
        <v>256.08109844789078</v>
      </c>
      <c r="S116" s="527">
        <f t="shared" si="179"/>
        <v>256.08109844789078</v>
      </c>
      <c r="T116" s="527">
        <f t="shared" si="179"/>
        <v>256.08109844789078</v>
      </c>
      <c r="U116" s="527">
        <f t="shared" si="179"/>
        <v>256.08109844789078</v>
      </c>
      <c r="V116" s="527">
        <f t="shared" si="179"/>
        <v>256.08109844789078</v>
      </c>
      <c r="W116" s="527">
        <f t="shared" si="179"/>
        <v>256.08109844789078</v>
      </c>
      <c r="X116" s="527">
        <f t="shared" si="179"/>
        <v>256.08109844789078</v>
      </c>
      <c r="Y116" s="527">
        <f t="shared" si="179"/>
        <v>256.08109844789078</v>
      </c>
      <c r="Z116" s="527">
        <f t="shared" si="179"/>
        <v>256.08109844789078</v>
      </c>
      <c r="AA116" s="527">
        <f t="shared" si="179"/>
        <v>256.08109844789078</v>
      </c>
      <c r="AB116" s="527">
        <f t="shared" si="179"/>
        <v>256.08109844789078</v>
      </c>
      <c r="AC116" s="527">
        <f t="shared" si="179"/>
        <v>256.08109844789078</v>
      </c>
      <c r="AD116" s="527">
        <f t="shared" si="179"/>
        <v>256.08109844789078</v>
      </c>
      <c r="AE116" s="527">
        <f t="shared" si="179"/>
        <v>256.08109844789078</v>
      </c>
      <c r="AF116" s="527">
        <f t="shared" si="179"/>
        <v>256.08109844789078</v>
      </c>
      <c r="AG116" s="527">
        <f t="shared" si="179"/>
        <v>256.08109844789078</v>
      </c>
      <c r="AH116" s="527">
        <f t="shared" si="179"/>
        <v>256.08109844789078</v>
      </c>
      <c r="AI116" s="527">
        <f t="shared" si="179"/>
        <v>256.08109844789078</v>
      </c>
      <c r="AJ116" s="527">
        <f t="shared" si="179"/>
        <v>256.08109844789078</v>
      </c>
      <c r="AK116" s="527">
        <f t="shared" si="179"/>
        <v>256.08109844789078</v>
      </c>
      <c r="AL116" s="527">
        <f t="shared" si="179"/>
        <v>256.08109844789078</v>
      </c>
      <c r="AM116" s="527">
        <f t="shared" si="179"/>
        <v>256.08109844789078</v>
      </c>
      <c r="AN116" s="527">
        <f t="shared" si="179"/>
        <v>256.08109844789078</v>
      </c>
      <c r="AO116" s="527">
        <f t="shared" si="179"/>
        <v>256.08109844789078</v>
      </c>
      <c r="AP116" s="527">
        <f t="shared" si="179"/>
        <v>256.08109844789078</v>
      </c>
      <c r="AQ116" s="527">
        <f t="shared" si="179"/>
        <v>256.08109844789078</v>
      </c>
      <c r="AR116" s="527">
        <f t="shared" si="179"/>
        <v>256.08109844789078</v>
      </c>
      <c r="AS116" s="527">
        <f t="shared" si="179"/>
        <v>256.08109844789078</v>
      </c>
      <c r="AT116" s="527">
        <f t="shared" si="179"/>
        <v>256.08109844789078</v>
      </c>
      <c r="AU116" s="527">
        <f t="shared" si="179"/>
        <v>256.08109844789078</v>
      </c>
      <c r="AV116" s="527">
        <f t="shared" si="179"/>
        <v>256.08109844789078</v>
      </c>
      <c r="AW116" s="527">
        <f t="shared" si="179"/>
        <v>256.08109844789078</v>
      </c>
      <c r="AX116" s="527">
        <f t="shared" ref="AX116:BY116" si="180">AX51/AX$82</f>
        <v>256.08109844789078</v>
      </c>
      <c r="AY116" s="527">
        <f t="shared" si="180"/>
        <v>256.08109844789078</v>
      </c>
      <c r="AZ116" s="527">
        <f t="shared" si="180"/>
        <v>256.08109844789078</v>
      </c>
      <c r="BA116" s="527">
        <f t="shared" si="180"/>
        <v>256.08109844789078</v>
      </c>
      <c r="BB116" s="527">
        <f t="shared" si="180"/>
        <v>256.08109844789078</v>
      </c>
      <c r="BC116" s="527">
        <f t="shared" si="180"/>
        <v>256.08109844789078</v>
      </c>
      <c r="BD116" s="527">
        <f t="shared" si="180"/>
        <v>256.08109844789078</v>
      </c>
      <c r="BE116" s="527">
        <f t="shared" si="180"/>
        <v>256.08109844789078</v>
      </c>
      <c r="BF116" s="527">
        <f t="shared" si="180"/>
        <v>256.08109844789078</v>
      </c>
      <c r="BG116" s="527">
        <f t="shared" si="180"/>
        <v>256.08109844789078</v>
      </c>
      <c r="BH116" s="527">
        <f t="shared" si="180"/>
        <v>256.08109844789078</v>
      </c>
      <c r="BI116" s="527">
        <f t="shared" si="180"/>
        <v>256.08109844789078</v>
      </c>
      <c r="BJ116" s="527">
        <f t="shared" si="180"/>
        <v>256.08109844789078</v>
      </c>
      <c r="BK116" s="527">
        <f t="shared" si="180"/>
        <v>256.08109844789078</v>
      </c>
      <c r="BL116" s="527">
        <f t="shared" si="180"/>
        <v>256.08109844789078</v>
      </c>
      <c r="BM116" s="527">
        <f t="shared" si="180"/>
        <v>256.08109844789078</v>
      </c>
      <c r="BN116" s="527">
        <f t="shared" si="180"/>
        <v>256.08109844789078</v>
      </c>
      <c r="BO116" s="527">
        <f t="shared" si="180"/>
        <v>256.08109844789078</v>
      </c>
      <c r="BP116" s="527">
        <f t="shared" si="180"/>
        <v>256.08109844789078</v>
      </c>
      <c r="BQ116" s="527">
        <f t="shared" si="180"/>
        <v>256.08109844789078</v>
      </c>
      <c r="BR116" s="527">
        <f t="shared" si="180"/>
        <v>256.08109844789078</v>
      </c>
      <c r="BS116" s="527">
        <f t="shared" si="180"/>
        <v>256.08109844789078</v>
      </c>
      <c r="BT116" s="527">
        <f t="shared" si="180"/>
        <v>256.08109844789078</v>
      </c>
      <c r="BU116" s="527">
        <f t="shared" si="180"/>
        <v>256.08109844789078</v>
      </c>
      <c r="BV116" s="527">
        <f t="shared" si="180"/>
        <v>256.08109844789078</v>
      </c>
      <c r="BW116" s="527">
        <f t="shared" si="180"/>
        <v>256.08109844789078</v>
      </c>
      <c r="BX116" s="527">
        <f t="shared" si="180"/>
        <v>256.08109844789078</v>
      </c>
      <c r="BY116" s="527">
        <f t="shared" si="180"/>
        <v>256.08109844789078</v>
      </c>
      <c r="BZ116" s="537"/>
      <c r="CA116" s="537"/>
      <c r="CB116" s="574"/>
    </row>
    <row r="117" spans="1:80" x14ac:dyDescent="0.3">
      <c r="A117" s="551"/>
      <c r="B117" s="548"/>
      <c r="C117" s="525"/>
      <c r="D117" s="525"/>
      <c r="E117" s="572" t="s">
        <v>32</v>
      </c>
      <c r="F117" s="573"/>
      <c r="G117" s="573"/>
      <c r="H117" s="573"/>
      <c r="I117" s="532">
        <f t="shared" si="172"/>
        <v>4389.5977155907603</v>
      </c>
      <c r="J117" s="532">
        <f t="shared" si="172"/>
        <v>4389.5977155907603</v>
      </c>
      <c r="K117" s="532">
        <f t="shared" si="172"/>
        <v>4389.5977155907603</v>
      </c>
      <c r="L117" s="532">
        <f t="shared" si="172"/>
        <v>4389.5977155907603</v>
      </c>
      <c r="M117" s="532">
        <f t="shared" si="172"/>
        <v>4389.5977155907603</v>
      </c>
      <c r="N117" s="532">
        <f t="shared" si="172"/>
        <v>4389.5977155907603</v>
      </c>
      <c r="O117" s="536"/>
      <c r="P117" s="568">
        <f>IFERROR(((N117/I117)^(1/5))-1,0)</f>
        <v>0</v>
      </c>
      <c r="Q117" s="537"/>
      <c r="R117" s="532">
        <f t="shared" ref="R117:AW117" si="181">R52/R$82</f>
        <v>365.79980963256332</v>
      </c>
      <c r="S117" s="530">
        <f t="shared" si="181"/>
        <v>365.79980963256332</v>
      </c>
      <c r="T117" s="532">
        <f t="shared" si="181"/>
        <v>365.79980963256332</v>
      </c>
      <c r="U117" s="532">
        <f t="shared" si="181"/>
        <v>365.79980963256332</v>
      </c>
      <c r="V117" s="532">
        <f t="shared" si="181"/>
        <v>365.79980963256332</v>
      </c>
      <c r="W117" s="532">
        <f t="shared" si="181"/>
        <v>365.79980963256332</v>
      </c>
      <c r="X117" s="532">
        <f t="shared" si="181"/>
        <v>365.79980963256332</v>
      </c>
      <c r="Y117" s="532">
        <f t="shared" si="181"/>
        <v>365.79980963256332</v>
      </c>
      <c r="Z117" s="532">
        <f t="shared" si="181"/>
        <v>365.79980963256332</v>
      </c>
      <c r="AA117" s="532">
        <f t="shared" si="181"/>
        <v>365.79980963256332</v>
      </c>
      <c r="AB117" s="532">
        <f t="shared" si="181"/>
        <v>365.79980963256332</v>
      </c>
      <c r="AC117" s="532">
        <f t="shared" si="181"/>
        <v>365.79980963256332</v>
      </c>
      <c r="AD117" s="532">
        <f t="shared" si="181"/>
        <v>365.79980963256332</v>
      </c>
      <c r="AE117" s="532">
        <f t="shared" si="181"/>
        <v>365.79980963256332</v>
      </c>
      <c r="AF117" s="532">
        <f t="shared" si="181"/>
        <v>365.79980963256332</v>
      </c>
      <c r="AG117" s="532">
        <f t="shared" si="181"/>
        <v>365.79980963256332</v>
      </c>
      <c r="AH117" s="532">
        <f t="shared" si="181"/>
        <v>365.79980963256332</v>
      </c>
      <c r="AI117" s="532">
        <f t="shared" si="181"/>
        <v>365.79980963256332</v>
      </c>
      <c r="AJ117" s="532">
        <f t="shared" si="181"/>
        <v>365.79980963256332</v>
      </c>
      <c r="AK117" s="532">
        <f t="shared" si="181"/>
        <v>365.79980963256332</v>
      </c>
      <c r="AL117" s="532">
        <f t="shared" si="181"/>
        <v>365.79980963256332</v>
      </c>
      <c r="AM117" s="532">
        <f t="shared" si="181"/>
        <v>365.79980963256332</v>
      </c>
      <c r="AN117" s="532">
        <f t="shared" si="181"/>
        <v>365.79980963256332</v>
      </c>
      <c r="AO117" s="532">
        <f t="shared" si="181"/>
        <v>365.79980963256332</v>
      </c>
      <c r="AP117" s="532">
        <f t="shared" si="181"/>
        <v>365.79980963256332</v>
      </c>
      <c r="AQ117" s="532">
        <f t="shared" si="181"/>
        <v>365.79980963256332</v>
      </c>
      <c r="AR117" s="532">
        <f t="shared" si="181"/>
        <v>365.79980963256332</v>
      </c>
      <c r="AS117" s="532">
        <f t="shared" si="181"/>
        <v>365.79980963256332</v>
      </c>
      <c r="AT117" s="532">
        <f t="shared" si="181"/>
        <v>365.79980963256332</v>
      </c>
      <c r="AU117" s="532">
        <f t="shared" si="181"/>
        <v>365.79980963256332</v>
      </c>
      <c r="AV117" s="532">
        <f t="shared" si="181"/>
        <v>365.79980963256332</v>
      </c>
      <c r="AW117" s="532">
        <f t="shared" si="181"/>
        <v>365.79980963256332</v>
      </c>
      <c r="AX117" s="532">
        <f t="shared" ref="AX117:BY117" si="182">AX52/AX$82</f>
        <v>365.79980963256332</v>
      </c>
      <c r="AY117" s="532">
        <f t="shared" si="182"/>
        <v>365.79980963256332</v>
      </c>
      <c r="AZ117" s="532">
        <f t="shared" si="182"/>
        <v>365.79980963256332</v>
      </c>
      <c r="BA117" s="532">
        <f t="shared" si="182"/>
        <v>365.79980963256332</v>
      </c>
      <c r="BB117" s="532">
        <f t="shared" si="182"/>
        <v>365.79980963256332</v>
      </c>
      <c r="BC117" s="532">
        <f t="shared" si="182"/>
        <v>365.79980963256332</v>
      </c>
      <c r="BD117" s="532">
        <f t="shared" si="182"/>
        <v>365.79980963256332</v>
      </c>
      <c r="BE117" s="532">
        <f t="shared" si="182"/>
        <v>365.79980963256332</v>
      </c>
      <c r="BF117" s="532">
        <f t="shared" si="182"/>
        <v>365.79980963256332</v>
      </c>
      <c r="BG117" s="532">
        <f t="shared" si="182"/>
        <v>365.79980963256332</v>
      </c>
      <c r="BH117" s="532">
        <f t="shared" si="182"/>
        <v>365.79980963256332</v>
      </c>
      <c r="BI117" s="532">
        <f t="shared" si="182"/>
        <v>365.79980963256332</v>
      </c>
      <c r="BJ117" s="532">
        <f t="shared" si="182"/>
        <v>365.79980963256332</v>
      </c>
      <c r="BK117" s="532">
        <f t="shared" si="182"/>
        <v>365.79980963256332</v>
      </c>
      <c r="BL117" s="532">
        <f t="shared" si="182"/>
        <v>365.79980963256332</v>
      </c>
      <c r="BM117" s="532">
        <f t="shared" si="182"/>
        <v>365.79980963256332</v>
      </c>
      <c r="BN117" s="532">
        <f t="shared" si="182"/>
        <v>365.79980963256332</v>
      </c>
      <c r="BO117" s="532">
        <f t="shared" si="182"/>
        <v>365.79980963256332</v>
      </c>
      <c r="BP117" s="532">
        <f t="shared" si="182"/>
        <v>365.79980963256332</v>
      </c>
      <c r="BQ117" s="532">
        <f t="shared" si="182"/>
        <v>365.79980963256332</v>
      </c>
      <c r="BR117" s="532">
        <f t="shared" si="182"/>
        <v>365.79980963256332</v>
      </c>
      <c r="BS117" s="532">
        <f t="shared" si="182"/>
        <v>365.79980963256332</v>
      </c>
      <c r="BT117" s="532">
        <f t="shared" si="182"/>
        <v>365.79980963256332</v>
      </c>
      <c r="BU117" s="532">
        <f t="shared" si="182"/>
        <v>365.79980963256332</v>
      </c>
      <c r="BV117" s="532">
        <f t="shared" si="182"/>
        <v>365.79980963256332</v>
      </c>
      <c r="BW117" s="532">
        <f t="shared" si="182"/>
        <v>365.79980963256332</v>
      </c>
      <c r="BX117" s="532">
        <f t="shared" si="182"/>
        <v>365.79980963256332</v>
      </c>
      <c r="BY117" s="532">
        <f t="shared" si="182"/>
        <v>365.79980963256332</v>
      </c>
      <c r="BZ117" s="537"/>
      <c r="CA117" s="537"/>
      <c r="CB117" s="574"/>
    </row>
    <row r="118" spans="1:80" x14ac:dyDescent="0.3">
      <c r="A118" s="551"/>
      <c r="B118" s="548"/>
      <c r="C118" s="525"/>
      <c r="D118" s="525"/>
      <c r="E118" s="525"/>
      <c r="F118" s="529"/>
      <c r="G118" s="529"/>
      <c r="H118" s="529"/>
      <c r="I118" s="529"/>
      <c r="J118" s="529"/>
      <c r="K118" s="529"/>
      <c r="L118" s="529"/>
      <c r="M118" s="529"/>
      <c r="N118" s="529"/>
      <c r="O118" s="529"/>
      <c r="P118" s="562"/>
      <c r="Q118" s="537"/>
      <c r="R118" s="529"/>
      <c r="S118" s="529"/>
      <c r="T118" s="529"/>
      <c r="U118" s="529"/>
      <c r="V118" s="529"/>
      <c r="W118" s="529"/>
      <c r="X118" s="529"/>
      <c r="Y118" s="529"/>
      <c r="Z118" s="529"/>
      <c r="AA118" s="529"/>
      <c r="AB118" s="529"/>
      <c r="AC118" s="529"/>
      <c r="AD118" s="529"/>
      <c r="AE118" s="529"/>
      <c r="AF118" s="529"/>
      <c r="AG118" s="529"/>
      <c r="AH118" s="529"/>
      <c r="AI118" s="529"/>
      <c r="AJ118" s="529"/>
      <c r="AK118" s="529"/>
      <c r="AL118" s="529"/>
      <c r="AM118" s="529"/>
      <c r="AN118" s="529"/>
      <c r="AO118" s="529"/>
      <c r="AP118" s="529"/>
      <c r="AQ118" s="529"/>
      <c r="AR118" s="529"/>
      <c r="AS118" s="529"/>
      <c r="AT118" s="529"/>
      <c r="AU118" s="529"/>
      <c r="AV118" s="529"/>
      <c r="AW118" s="529"/>
      <c r="AX118" s="529"/>
      <c r="AY118" s="529"/>
      <c r="AZ118" s="529"/>
      <c r="BA118" s="529"/>
      <c r="BB118" s="529"/>
      <c r="BC118" s="529"/>
      <c r="BD118" s="529"/>
      <c r="BE118" s="529"/>
      <c r="BF118" s="529"/>
      <c r="BG118" s="529"/>
      <c r="BH118" s="529"/>
      <c r="BI118" s="529"/>
      <c r="BJ118" s="529"/>
      <c r="BK118" s="529"/>
      <c r="BL118" s="529"/>
      <c r="BM118" s="529"/>
      <c r="BN118" s="529"/>
      <c r="BO118" s="529"/>
      <c r="BP118" s="529"/>
      <c r="BQ118" s="529"/>
      <c r="BR118" s="529"/>
      <c r="BS118" s="529"/>
      <c r="BT118" s="529"/>
      <c r="BU118" s="529"/>
      <c r="BV118" s="529"/>
      <c r="BW118" s="529"/>
      <c r="BX118" s="529"/>
      <c r="BY118" s="529"/>
      <c r="BZ118" s="537"/>
      <c r="CA118" s="537"/>
      <c r="CB118" s="537"/>
    </row>
    <row r="119" spans="1:80" x14ac:dyDescent="0.3">
      <c r="A119" s="551"/>
      <c r="B119" s="548"/>
      <c r="C119" s="525"/>
      <c r="D119" s="525"/>
      <c r="E119" s="578" t="s">
        <v>33</v>
      </c>
      <c r="F119" s="579"/>
      <c r="G119" s="579"/>
      <c r="H119" s="579"/>
      <c r="I119" s="534">
        <f t="shared" ref="I119:N119" si="183">I54/I$82</f>
        <v>98695.084903193696</v>
      </c>
      <c r="J119" s="534">
        <f t="shared" si="183"/>
        <v>103914.69365503234</v>
      </c>
      <c r="K119" s="534">
        <f t="shared" si="183"/>
        <v>110105.21610666823</v>
      </c>
      <c r="L119" s="534">
        <f t="shared" si="183"/>
        <v>116445.76265353117</v>
      </c>
      <c r="M119" s="534">
        <f t="shared" si="183"/>
        <v>122879.17801750294</v>
      </c>
      <c r="N119" s="535">
        <f t="shared" si="183"/>
        <v>129608.09904831747</v>
      </c>
      <c r="O119" s="536"/>
      <c r="P119" s="568">
        <f>IFERROR(((N119/I119)^(1/5))-1,0)</f>
        <v>5.6008279357390833E-2</v>
      </c>
      <c r="Q119" s="537"/>
      <c r="R119" s="535">
        <f t="shared" ref="R119:AW119" si="184">R54/R$82</f>
        <v>8561.7956629896489</v>
      </c>
      <c r="S119" s="535">
        <f t="shared" si="184"/>
        <v>8561.7956629896489</v>
      </c>
      <c r="T119" s="534">
        <f t="shared" si="184"/>
        <v>8561.7956629896489</v>
      </c>
      <c r="U119" s="534">
        <f t="shared" si="184"/>
        <v>8561.7956629896489</v>
      </c>
      <c r="V119" s="534">
        <f t="shared" si="184"/>
        <v>8561.7956629896489</v>
      </c>
      <c r="W119" s="534">
        <f t="shared" si="184"/>
        <v>8561.7956629896489</v>
      </c>
      <c r="X119" s="534">
        <f t="shared" si="184"/>
        <v>8757.3199461824133</v>
      </c>
      <c r="Y119" s="534">
        <f t="shared" si="184"/>
        <v>8757.3199461824133</v>
      </c>
      <c r="Z119" s="534">
        <f t="shared" si="184"/>
        <v>8757.3199461824133</v>
      </c>
      <c r="AA119" s="534">
        <f t="shared" si="184"/>
        <v>8757.3199461824133</v>
      </c>
      <c r="AB119" s="534">
        <f t="shared" si="184"/>
        <v>8757.3199461824133</v>
      </c>
      <c r="AC119" s="534">
        <f t="shared" si="184"/>
        <v>8757.3199461824133</v>
      </c>
      <c r="AD119" s="534">
        <f t="shared" si="184"/>
        <v>9049.6980516521853</v>
      </c>
      <c r="AE119" s="534">
        <f t="shared" si="184"/>
        <v>9049.6980516521853</v>
      </c>
      <c r="AF119" s="534">
        <f t="shared" si="184"/>
        <v>9049.6980516521853</v>
      </c>
      <c r="AG119" s="534">
        <f t="shared" si="184"/>
        <v>9049.6980516521853</v>
      </c>
      <c r="AH119" s="534">
        <f t="shared" si="184"/>
        <v>9049.6980516521853</v>
      </c>
      <c r="AI119" s="534">
        <f t="shared" si="184"/>
        <v>9049.6980516521853</v>
      </c>
      <c r="AJ119" s="534">
        <f t="shared" si="184"/>
        <v>9301.1712994591817</v>
      </c>
      <c r="AK119" s="534">
        <f t="shared" si="184"/>
        <v>9301.1712994591817</v>
      </c>
      <c r="AL119" s="534">
        <f t="shared" si="184"/>
        <v>9301.1712994591817</v>
      </c>
      <c r="AM119" s="534">
        <f t="shared" si="184"/>
        <v>9301.1712994591817</v>
      </c>
      <c r="AN119" s="534">
        <f t="shared" si="184"/>
        <v>9301.1712994591817</v>
      </c>
      <c r="AO119" s="534">
        <f t="shared" si="184"/>
        <v>9301.1712994591817</v>
      </c>
      <c r="AP119" s="534">
        <f t="shared" si="184"/>
        <v>9548.2291120918162</v>
      </c>
      <c r="AQ119" s="534">
        <f t="shared" si="184"/>
        <v>9548.2291120918162</v>
      </c>
      <c r="AR119" s="534">
        <f t="shared" si="184"/>
        <v>9548.2291120918162</v>
      </c>
      <c r="AS119" s="534">
        <f t="shared" si="184"/>
        <v>9548.2291120918162</v>
      </c>
      <c r="AT119" s="534">
        <f t="shared" si="184"/>
        <v>9548.2291120918162</v>
      </c>
      <c r="AU119" s="534">
        <f t="shared" si="184"/>
        <v>9548.2291120918162</v>
      </c>
      <c r="AV119" s="534">
        <f t="shared" si="184"/>
        <v>9859.3979968300428</v>
      </c>
      <c r="AW119" s="534">
        <f t="shared" si="184"/>
        <v>9859.3979968300428</v>
      </c>
      <c r="AX119" s="534">
        <f t="shared" ref="AX119:BY119" si="185">AX54/AX$82</f>
        <v>9859.3979968300428</v>
      </c>
      <c r="AY119" s="534">
        <f t="shared" si="185"/>
        <v>9859.3979968300428</v>
      </c>
      <c r="AZ119" s="534">
        <f t="shared" si="185"/>
        <v>9859.3979968300428</v>
      </c>
      <c r="BA119" s="534">
        <f t="shared" si="185"/>
        <v>9859.3979968300428</v>
      </c>
      <c r="BB119" s="534">
        <f t="shared" si="185"/>
        <v>10052.587900247045</v>
      </c>
      <c r="BC119" s="534">
        <f t="shared" si="185"/>
        <v>10052.587900247045</v>
      </c>
      <c r="BD119" s="534">
        <f t="shared" si="185"/>
        <v>10052.587900247045</v>
      </c>
      <c r="BE119" s="534">
        <f t="shared" si="185"/>
        <v>10052.587900247045</v>
      </c>
      <c r="BF119" s="534">
        <f t="shared" si="185"/>
        <v>10052.587900247045</v>
      </c>
      <c r="BG119" s="534">
        <f t="shared" si="185"/>
        <v>10052.587900247045</v>
      </c>
      <c r="BH119" s="534">
        <f t="shared" si="185"/>
        <v>10427.275102670104</v>
      </c>
      <c r="BI119" s="534">
        <f t="shared" si="185"/>
        <v>10427.275102670104</v>
      </c>
      <c r="BJ119" s="534">
        <f t="shared" si="185"/>
        <v>10427.275102670104</v>
      </c>
      <c r="BK119" s="534">
        <f t="shared" si="185"/>
        <v>10427.275102670104</v>
      </c>
      <c r="BL119" s="534">
        <f t="shared" si="185"/>
        <v>10427.275102670104</v>
      </c>
      <c r="BM119" s="534">
        <f t="shared" si="185"/>
        <v>10427.275102670104</v>
      </c>
      <c r="BN119" s="534">
        <f t="shared" si="185"/>
        <v>10579.578936912119</v>
      </c>
      <c r="BO119" s="534">
        <f t="shared" si="185"/>
        <v>10579.578936912119</v>
      </c>
      <c r="BP119" s="534">
        <f t="shared" si="185"/>
        <v>10579.578936912119</v>
      </c>
      <c r="BQ119" s="534">
        <f t="shared" si="185"/>
        <v>10579.578936912119</v>
      </c>
      <c r="BR119" s="534">
        <f t="shared" si="185"/>
        <v>10579.578936912119</v>
      </c>
      <c r="BS119" s="534">
        <f t="shared" si="185"/>
        <v>10579.578936912119</v>
      </c>
      <c r="BT119" s="534">
        <f t="shared" si="185"/>
        <v>11021.770904474124</v>
      </c>
      <c r="BU119" s="534">
        <f t="shared" si="185"/>
        <v>11021.770904474124</v>
      </c>
      <c r="BV119" s="534">
        <f t="shared" si="185"/>
        <v>11021.770904474124</v>
      </c>
      <c r="BW119" s="534">
        <f t="shared" si="185"/>
        <v>11021.770904474124</v>
      </c>
      <c r="BX119" s="534">
        <f t="shared" si="185"/>
        <v>11021.770904474124</v>
      </c>
      <c r="BY119" s="534">
        <f t="shared" si="185"/>
        <v>11021.770904474124</v>
      </c>
      <c r="BZ119" s="537"/>
      <c r="CA119" s="537"/>
      <c r="CB119" s="574"/>
    </row>
    <row r="120" spans="1:80" x14ac:dyDescent="0.3">
      <c r="A120" s="551"/>
      <c r="B120" s="548"/>
      <c r="C120" s="525"/>
      <c r="D120" s="525"/>
      <c r="E120" s="525"/>
      <c r="F120" s="529"/>
      <c r="G120" s="529"/>
      <c r="H120" s="529"/>
      <c r="I120" s="529"/>
      <c r="J120" s="529"/>
      <c r="K120" s="529"/>
      <c r="L120" s="529"/>
      <c r="M120" s="529"/>
      <c r="N120" s="529"/>
      <c r="O120" s="529"/>
      <c r="P120" s="562"/>
      <c r="Q120" s="537"/>
      <c r="R120" s="529"/>
      <c r="S120" s="529"/>
      <c r="T120" s="529"/>
      <c r="U120" s="529"/>
      <c r="V120" s="529"/>
      <c r="W120" s="529"/>
      <c r="X120" s="529"/>
      <c r="Y120" s="529"/>
      <c r="Z120" s="529"/>
      <c r="AA120" s="529"/>
      <c r="AB120" s="529"/>
      <c r="AC120" s="529"/>
      <c r="AD120" s="529"/>
      <c r="AE120" s="529"/>
      <c r="AF120" s="529"/>
      <c r="AG120" s="529"/>
      <c r="AH120" s="529"/>
      <c r="AI120" s="529"/>
      <c r="AJ120" s="529"/>
      <c r="AK120" s="529"/>
      <c r="AL120" s="529"/>
      <c r="AM120" s="529"/>
      <c r="AN120" s="529"/>
      <c r="AO120" s="529"/>
      <c r="AP120" s="529"/>
      <c r="AQ120" s="529"/>
      <c r="AR120" s="529"/>
      <c r="AS120" s="529"/>
      <c r="AT120" s="529"/>
      <c r="AU120" s="529"/>
      <c r="AV120" s="529"/>
      <c r="AW120" s="529"/>
      <c r="AX120" s="529"/>
      <c r="AY120" s="529"/>
      <c r="AZ120" s="529"/>
      <c r="BA120" s="529"/>
      <c r="BB120" s="529"/>
      <c r="BC120" s="529"/>
      <c r="BD120" s="529"/>
      <c r="BE120" s="529"/>
      <c r="BF120" s="529"/>
      <c r="BG120" s="529"/>
      <c r="BH120" s="529"/>
      <c r="BI120" s="529"/>
      <c r="BJ120" s="529"/>
      <c r="BK120" s="529"/>
      <c r="BL120" s="529"/>
      <c r="BM120" s="529"/>
      <c r="BN120" s="529"/>
      <c r="BO120" s="529"/>
      <c r="BP120" s="529"/>
      <c r="BQ120" s="529"/>
      <c r="BR120" s="529"/>
      <c r="BS120" s="529"/>
      <c r="BT120" s="529"/>
      <c r="BU120" s="529"/>
      <c r="BV120" s="529"/>
      <c r="BW120" s="529"/>
      <c r="BX120" s="529"/>
      <c r="BY120" s="529"/>
      <c r="BZ120" s="537"/>
      <c r="CA120" s="537"/>
      <c r="CB120" s="537"/>
    </row>
    <row r="121" spans="1:80" x14ac:dyDescent="0.3">
      <c r="A121" s="551"/>
      <c r="B121" s="548"/>
      <c r="C121" s="525"/>
      <c r="D121" s="525"/>
      <c r="E121" s="570" t="s">
        <v>51</v>
      </c>
      <c r="F121" s="529"/>
      <c r="G121" s="529"/>
      <c r="H121" s="529"/>
      <c r="I121" s="529"/>
      <c r="J121" s="529"/>
      <c r="K121" s="529"/>
      <c r="L121" s="529"/>
      <c r="M121" s="529"/>
      <c r="N121" s="529"/>
      <c r="O121" s="529"/>
      <c r="P121" s="562"/>
      <c r="Q121" s="537"/>
      <c r="R121" s="529"/>
      <c r="S121" s="529"/>
      <c r="T121" s="529"/>
      <c r="U121" s="529"/>
      <c r="V121" s="529"/>
      <c r="W121" s="529"/>
      <c r="X121" s="529"/>
      <c r="Y121" s="529"/>
      <c r="Z121" s="529"/>
      <c r="AA121" s="529"/>
      <c r="AB121" s="529"/>
      <c r="AC121" s="529"/>
      <c r="AD121" s="529"/>
      <c r="AE121" s="529"/>
      <c r="AF121" s="529"/>
      <c r="AG121" s="529"/>
      <c r="AH121" s="529"/>
      <c r="AI121" s="529"/>
      <c r="AJ121" s="529"/>
      <c r="AK121" s="529"/>
      <c r="AL121" s="529"/>
      <c r="AM121" s="529"/>
      <c r="AN121" s="529"/>
      <c r="AO121" s="529"/>
      <c r="AP121" s="529"/>
      <c r="AQ121" s="529"/>
      <c r="AR121" s="529"/>
      <c r="AS121" s="529"/>
      <c r="AT121" s="529"/>
      <c r="AU121" s="529"/>
      <c r="AV121" s="529"/>
      <c r="AW121" s="529"/>
      <c r="AX121" s="529"/>
      <c r="AY121" s="529"/>
      <c r="AZ121" s="529"/>
      <c r="BA121" s="529"/>
      <c r="BB121" s="529"/>
      <c r="BC121" s="529"/>
      <c r="BD121" s="529"/>
      <c r="BE121" s="529"/>
      <c r="BF121" s="529"/>
      <c r="BG121" s="529"/>
      <c r="BH121" s="529"/>
      <c r="BI121" s="529"/>
      <c r="BJ121" s="529"/>
      <c r="BK121" s="529"/>
      <c r="BL121" s="529"/>
      <c r="BM121" s="529"/>
      <c r="BN121" s="529"/>
      <c r="BO121" s="529"/>
      <c r="BP121" s="529"/>
      <c r="BQ121" s="529"/>
      <c r="BR121" s="529"/>
      <c r="BS121" s="529"/>
      <c r="BT121" s="529"/>
      <c r="BU121" s="529"/>
      <c r="BV121" s="529"/>
      <c r="BW121" s="529"/>
      <c r="BX121" s="529"/>
      <c r="BY121" s="529"/>
      <c r="BZ121" s="537"/>
      <c r="CA121" s="537"/>
      <c r="CB121" s="537"/>
    </row>
    <row r="122" spans="1:80" x14ac:dyDescent="0.3">
      <c r="A122" s="551"/>
      <c r="B122" s="548"/>
      <c r="C122" s="525"/>
      <c r="D122" s="525"/>
      <c r="E122" s="525" t="s">
        <v>19</v>
      </c>
      <c r="F122" s="567"/>
      <c r="G122" s="567"/>
      <c r="H122" s="567"/>
      <c r="I122" s="527">
        <f t="shared" ref="I122:N124" si="186">I57/I$82</f>
        <v>-1533.3793806451615</v>
      </c>
      <c r="J122" s="527">
        <f t="shared" si="186"/>
        <v>-1564.0469682580642</v>
      </c>
      <c r="K122" s="527">
        <f t="shared" si="186"/>
        <v>-1595.3279076232263</v>
      </c>
      <c r="L122" s="527">
        <f t="shared" si="186"/>
        <v>-1627.234465775691</v>
      </c>
      <c r="M122" s="527">
        <f t="shared" si="186"/>
        <v>-1659.7791550912045</v>
      </c>
      <c r="N122" s="527">
        <f t="shared" si="186"/>
        <v>-1692.974738193029</v>
      </c>
      <c r="O122" s="529"/>
      <c r="P122" s="564">
        <f>IFERROR(((N122/I122)^(1/5))-1,0)</f>
        <v>2.0000000000000018E-2</v>
      </c>
      <c r="Q122" s="537"/>
      <c r="R122" s="527">
        <f t="shared" ref="R122:AW122" si="187">R57/R$82</f>
        <v>-130.33724735483872</v>
      </c>
      <c r="S122" s="527">
        <f t="shared" si="187"/>
        <v>-130.33724735483872</v>
      </c>
      <c r="T122" s="527">
        <f t="shared" si="187"/>
        <v>-130.33724735483872</v>
      </c>
      <c r="U122" s="527">
        <f t="shared" si="187"/>
        <v>-130.33724735483872</v>
      </c>
      <c r="V122" s="527">
        <f t="shared" si="187"/>
        <v>-130.33724735483872</v>
      </c>
      <c r="W122" s="527">
        <f t="shared" si="187"/>
        <v>-130.33724735483872</v>
      </c>
      <c r="X122" s="527">
        <f t="shared" si="187"/>
        <v>-130.33724735483872</v>
      </c>
      <c r="Y122" s="527">
        <f t="shared" si="187"/>
        <v>-130.33724735483872</v>
      </c>
      <c r="Z122" s="527">
        <f t="shared" si="187"/>
        <v>-130.33724735483872</v>
      </c>
      <c r="AA122" s="527">
        <f t="shared" si="187"/>
        <v>-130.33724735483872</v>
      </c>
      <c r="AB122" s="527">
        <f t="shared" si="187"/>
        <v>-130.33724735483872</v>
      </c>
      <c r="AC122" s="527">
        <f t="shared" si="187"/>
        <v>-130.33724735483872</v>
      </c>
      <c r="AD122" s="527">
        <f t="shared" si="187"/>
        <v>-132.94399230193551</v>
      </c>
      <c r="AE122" s="527">
        <f t="shared" si="187"/>
        <v>-132.94399230193551</v>
      </c>
      <c r="AF122" s="527">
        <f t="shared" si="187"/>
        <v>-132.94399230193551</v>
      </c>
      <c r="AG122" s="527">
        <f t="shared" si="187"/>
        <v>-132.94399230193551</v>
      </c>
      <c r="AH122" s="527">
        <f t="shared" si="187"/>
        <v>-132.94399230193551</v>
      </c>
      <c r="AI122" s="527">
        <f t="shared" si="187"/>
        <v>-132.94399230193551</v>
      </c>
      <c r="AJ122" s="527">
        <f t="shared" si="187"/>
        <v>-132.94399230193551</v>
      </c>
      <c r="AK122" s="527">
        <f t="shared" si="187"/>
        <v>-132.94399230193551</v>
      </c>
      <c r="AL122" s="527">
        <f t="shared" si="187"/>
        <v>-132.94399230193551</v>
      </c>
      <c r="AM122" s="527">
        <f t="shared" si="187"/>
        <v>-132.94399230193551</v>
      </c>
      <c r="AN122" s="527">
        <f t="shared" si="187"/>
        <v>-132.94399230193551</v>
      </c>
      <c r="AO122" s="527">
        <f t="shared" si="187"/>
        <v>-132.94399230193551</v>
      </c>
      <c r="AP122" s="527">
        <f t="shared" si="187"/>
        <v>-135.60287214797421</v>
      </c>
      <c r="AQ122" s="527">
        <f t="shared" si="187"/>
        <v>-135.60287214797421</v>
      </c>
      <c r="AR122" s="527">
        <f t="shared" si="187"/>
        <v>-135.60287214797421</v>
      </c>
      <c r="AS122" s="527">
        <f t="shared" si="187"/>
        <v>-135.60287214797421</v>
      </c>
      <c r="AT122" s="527">
        <f t="shared" si="187"/>
        <v>-135.60287214797421</v>
      </c>
      <c r="AU122" s="527">
        <f t="shared" si="187"/>
        <v>-135.60287214797421</v>
      </c>
      <c r="AV122" s="527">
        <f t="shared" si="187"/>
        <v>-135.60287214797421</v>
      </c>
      <c r="AW122" s="527">
        <f t="shared" si="187"/>
        <v>-135.60287214797421</v>
      </c>
      <c r="AX122" s="527">
        <f t="shared" ref="AX122:BY122" si="188">AX57/AX$82</f>
        <v>-135.60287214797421</v>
      </c>
      <c r="AY122" s="527">
        <f t="shared" si="188"/>
        <v>-135.60287214797421</v>
      </c>
      <c r="AZ122" s="527">
        <f t="shared" si="188"/>
        <v>-135.60287214797421</v>
      </c>
      <c r="BA122" s="527">
        <f t="shared" si="188"/>
        <v>-135.60287214797421</v>
      </c>
      <c r="BB122" s="527">
        <f t="shared" si="188"/>
        <v>-138.3149295909337</v>
      </c>
      <c r="BC122" s="527">
        <f t="shared" si="188"/>
        <v>-138.3149295909337</v>
      </c>
      <c r="BD122" s="527">
        <f t="shared" si="188"/>
        <v>-138.3149295909337</v>
      </c>
      <c r="BE122" s="527">
        <f t="shared" si="188"/>
        <v>-138.3149295909337</v>
      </c>
      <c r="BF122" s="527">
        <f t="shared" si="188"/>
        <v>-138.3149295909337</v>
      </c>
      <c r="BG122" s="527">
        <f t="shared" si="188"/>
        <v>-138.3149295909337</v>
      </c>
      <c r="BH122" s="527">
        <f t="shared" si="188"/>
        <v>-138.3149295909337</v>
      </c>
      <c r="BI122" s="527">
        <f t="shared" si="188"/>
        <v>-138.3149295909337</v>
      </c>
      <c r="BJ122" s="527">
        <f t="shared" si="188"/>
        <v>-138.3149295909337</v>
      </c>
      <c r="BK122" s="527">
        <f t="shared" si="188"/>
        <v>-138.3149295909337</v>
      </c>
      <c r="BL122" s="527">
        <f t="shared" si="188"/>
        <v>-138.3149295909337</v>
      </c>
      <c r="BM122" s="527">
        <f t="shared" si="188"/>
        <v>-138.3149295909337</v>
      </c>
      <c r="BN122" s="527">
        <f t="shared" si="188"/>
        <v>-141.08122818275237</v>
      </c>
      <c r="BO122" s="527">
        <f t="shared" si="188"/>
        <v>-141.08122818275237</v>
      </c>
      <c r="BP122" s="527">
        <f t="shared" si="188"/>
        <v>-141.08122818275237</v>
      </c>
      <c r="BQ122" s="527">
        <f t="shared" si="188"/>
        <v>-141.08122818275237</v>
      </c>
      <c r="BR122" s="527">
        <f t="shared" si="188"/>
        <v>-141.08122818275237</v>
      </c>
      <c r="BS122" s="527">
        <f t="shared" si="188"/>
        <v>-141.08122818275237</v>
      </c>
      <c r="BT122" s="527">
        <f t="shared" si="188"/>
        <v>-141.08122818275237</v>
      </c>
      <c r="BU122" s="527">
        <f t="shared" si="188"/>
        <v>-141.08122818275237</v>
      </c>
      <c r="BV122" s="527">
        <f t="shared" si="188"/>
        <v>-141.08122818275237</v>
      </c>
      <c r="BW122" s="527">
        <f t="shared" si="188"/>
        <v>-141.08122818275237</v>
      </c>
      <c r="BX122" s="527">
        <f t="shared" si="188"/>
        <v>-141.08122818275237</v>
      </c>
      <c r="BY122" s="527">
        <f t="shared" si="188"/>
        <v>-141.08122818275237</v>
      </c>
      <c r="BZ122" s="537"/>
      <c r="CA122" s="537"/>
      <c r="CB122" s="574"/>
    </row>
    <row r="123" spans="1:80" x14ac:dyDescent="0.3">
      <c r="A123" s="551"/>
      <c r="B123" s="548"/>
      <c r="C123" s="525"/>
      <c r="D123" s="525"/>
      <c r="E123" s="525" t="s">
        <v>20</v>
      </c>
      <c r="F123" s="567"/>
      <c r="G123" s="567"/>
      <c r="H123" s="567"/>
      <c r="I123" s="527">
        <f t="shared" si="186"/>
        <v>-208.63774193548392</v>
      </c>
      <c r="J123" s="527">
        <f t="shared" si="186"/>
        <v>-212.81049677419355</v>
      </c>
      <c r="K123" s="527">
        <f t="shared" si="186"/>
        <v>-217.06670670967753</v>
      </c>
      <c r="L123" s="527">
        <f t="shared" si="186"/>
        <v>-221.40804084387108</v>
      </c>
      <c r="M123" s="527">
        <f t="shared" si="186"/>
        <v>-225.8362016607484</v>
      </c>
      <c r="N123" s="527">
        <f t="shared" si="186"/>
        <v>-230.3529256939635</v>
      </c>
      <c r="O123" s="529"/>
      <c r="P123" s="564">
        <f>IFERROR(((N123/I123)^(1/5))-1,0)</f>
        <v>2.0000000000000018E-2</v>
      </c>
      <c r="Q123" s="537"/>
      <c r="R123" s="527">
        <f t="shared" ref="R123:AW123" si="189">R58/R$82</f>
        <v>-17.734208064516132</v>
      </c>
      <c r="S123" s="527">
        <f t="shared" si="189"/>
        <v>-17.734208064516132</v>
      </c>
      <c r="T123" s="527">
        <f t="shared" si="189"/>
        <v>-17.734208064516132</v>
      </c>
      <c r="U123" s="527">
        <f t="shared" si="189"/>
        <v>-17.734208064516132</v>
      </c>
      <c r="V123" s="527">
        <f t="shared" si="189"/>
        <v>-17.734208064516132</v>
      </c>
      <c r="W123" s="527">
        <f t="shared" si="189"/>
        <v>-17.734208064516132</v>
      </c>
      <c r="X123" s="527">
        <f t="shared" si="189"/>
        <v>-17.734208064516132</v>
      </c>
      <c r="Y123" s="527">
        <f t="shared" si="189"/>
        <v>-17.734208064516132</v>
      </c>
      <c r="Z123" s="527">
        <f t="shared" si="189"/>
        <v>-17.734208064516132</v>
      </c>
      <c r="AA123" s="527">
        <f t="shared" si="189"/>
        <v>-17.734208064516132</v>
      </c>
      <c r="AB123" s="527">
        <f t="shared" si="189"/>
        <v>-17.734208064516132</v>
      </c>
      <c r="AC123" s="527">
        <f t="shared" si="189"/>
        <v>-17.734208064516132</v>
      </c>
      <c r="AD123" s="527">
        <f t="shared" si="189"/>
        <v>-18.088892225806458</v>
      </c>
      <c r="AE123" s="527">
        <f t="shared" si="189"/>
        <v>-18.088892225806458</v>
      </c>
      <c r="AF123" s="527">
        <f t="shared" si="189"/>
        <v>-18.088892225806458</v>
      </c>
      <c r="AG123" s="527">
        <f t="shared" si="189"/>
        <v>-18.088892225806458</v>
      </c>
      <c r="AH123" s="527">
        <f t="shared" si="189"/>
        <v>-18.088892225806458</v>
      </c>
      <c r="AI123" s="527">
        <f t="shared" si="189"/>
        <v>-18.088892225806458</v>
      </c>
      <c r="AJ123" s="527">
        <f t="shared" si="189"/>
        <v>-18.088892225806458</v>
      </c>
      <c r="AK123" s="527">
        <f t="shared" si="189"/>
        <v>-18.088892225806458</v>
      </c>
      <c r="AL123" s="527">
        <f t="shared" si="189"/>
        <v>-18.088892225806458</v>
      </c>
      <c r="AM123" s="527">
        <f t="shared" si="189"/>
        <v>-18.088892225806458</v>
      </c>
      <c r="AN123" s="527">
        <f t="shared" si="189"/>
        <v>-18.088892225806458</v>
      </c>
      <c r="AO123" s="527">
        <f t="shared" si="189"/>
        <v>-18.088892225806458</v>
      </c>
      <c r="AP123" s="527">
        <f t="shared" si="189"/>
        <v>-18.450670070322584</v>
      </c>
      <c r="AQ123" s="527">
        <f t="shared" si="189"/>
        <v>-18.450670070322584</v>
      </c>
      <c r="AR123" s="527">
        <f t="shared" si="189"/>
        <v>-18.450670070322584</v>
      </c>
      <c r="AS123" s="527">
        <f t="shared" si="189"/>
        <v>-18.450670070322584</v>
      </c>
      <c r="AT123" s="527">
        <f t="shared" si="189"/>
        <v>-18.450670070322584</v>
      </c>
      <c r="AU123" s="527">
        <f t="shared" si="189"/>
        <v>-18.450670070322584</v>
      </c>
      <c r="AV123" s="527">
        <f t="shared" si="189"/>
        <v>-18.450670070322584</v>
      </c>
      <c r="AW123" s="527">
        <f t="shared" si="189"/>
        <v>-18.450670070322584</v>
      </c>
      <c r="AX123" s="527">
        <f t="shared" ref="AX123:BY123" si="190">AX58/AX$82</f>
        <v>-18.450670070322584</v>
      </c>
      <c r="AY123" s="527">
        <f t="shared" si="190"/>
        <v>-18.450670070322584</v>
      </c>
      <c r="AZ123" s="527">
        <f t="shared" si="190"/>
        <v>-18.450670070322584</v>
      </c>
      <c r="BA123" s="527">
        <f t="shared" si="190"/>
        <v>-18.450670070322584</v>
      </c>
      <c r="BB123" s="527">
        <f t="shared" si="190"/>
        <v>-18.819683471729039</v>
      </c>
      <c r="BC123" s="527">
        <f t="shared" si="190"/>
        <v>-18.819683471729039</v>
      </c>
      <c r="BD123" s="527">
        <f t="shared" si="190"/>
        <v>-18.819683471729039</v>
      </c>
      <c r="BE123" s="527">
        <f t="shared" si="190"/>
        <v>-18.819683471729039</v>
      </c>
      <c r="BF123" s="527">
        <f t="shared" si="190"/>
        <v>-18.819683471729039</v>
      </c>
      <c r="BG123" s="527">
        <f t="shared" si="190"/>
        <v>-18.819683471729039</v>
      </c>
      <c r="BH123" s="527">
        <f t="shared" si="190"/>
        <v>-18.819683471729039</v>
      </c>
      <c r="BI123" s="527">
        <f t="shared" si="190"/>
        <v>-18.819683471729039</v>
      </c>
      <c r="BJ123" s="527">
        <f t="shared" si="190"/>
        <v>-18.819683471729039</v>
      </c>
      <c r="BK123" s="527">
        <f t="shared" si="190"/>
        <v>-18.819683471729039</v>
      </c>
      <c r="BL123" s="527">
        <f t="shared" si="190"/>
        <v>-18.819683471729039</v>
      </c>
      <c r="BM123" s="527">
        <f t="shared" si="190"/>
        <v>-18.819683471729039</v>
      </c>
      <c r="BN123" s="527">
        <f t="shared" si="190"/>
        <v>-19.19607714116362</v>
      </c>
      <c r="BO123" s="527">
        <f t="shared" si="190"/>
        <v>-19.19607714116362</v>
      </c>
      <c r="BP123" s="527">
        <f t="shared" si="190"/>
        <v>-19.19607714116362</v>
      </c>
      <c r="BQ123" s="527">
        <f t="shared" si="190"/>
        <v>-19.19607714116362</v>
      </c>
      <c r="BR123" s="527">
        <f t="shared" si="190"/>
        <v>-19.19607714116362</v>
      </c>
      <c r="BS123" s="527">
        <f t="shared" si="190"/>
        <v>-19.19607714116362</v>
      </c>
      <c r="BT123" s="527">
        <f t="shared" si="190"/>
        <v>-19.19607714116362</v>
      </c>
      <c r="BU123" s="527">
        <f t="shared" si="190"/>
        <v>-19.19607714116362</v>
      </c>
      <c r="BV123" s="527">
        <f t="shared" si="190"/>
        <v>-19.19607714116362</v>
      </c>
      <c r="BW123" s="527">
        <f t="shared" si="190"/>
        <v>-19.19607714116362</v>
      </c>
      <c r="BX123" s="527">
        <f t="shared" si="190"/>
        <v>-19.19607714116362</v>
      </c>
      <c r="BY123" s="527">
        <f t="shared" si="190"/>
        <v>-19.19607714116362</v>
      </c>
      <c r="BZ123" s="537"/>
      <c r="CA123" s="537"/>
      <c r="CB123" s="574"/>
    </row>
    <row r="124" spans="1:80" x14ac:dyDescent="0.3">
      <c r="A124" s="551"/>
      <c r="B124" s="548"/>
      <c r="C124" s="525"/>
      <c r="D124" s="525"/>
      <c r="E124" s="572" t="s">
        <v>35</v>
      </c>
      <c r="F124" s="573"/>
      <c r="G124" s="573"/>
      <c r="H124" s="573"/>
      <c r="I124" s="530">
        <f t="shared" si="186"/>
        <v>-1742.0171225806455</v>
      </c>
      <c r="J124" s="532">
        <f t="shared" si="186"/>
        <v>-1776.857465032258</v>
      </c>
      <c r="K124" s="532">
        <f t="shared" si="186"/>
        <v>-1812.394614332904</v>
      </c>
      <c r="L124" s="532">
        <f t="shared" si="186"/>
        <v>-1848.642506619562</v>
      </c>
      <c r="M124" s="532">
        <f t="shared" si="186"/>
        <v>-1885.615356751953</v>
      </c>
      <c r="N124" s="530">
        <f t="shared" si="186"/>
        <v>-1923.327663886992</v>
      </c>
      <c r="O124" s="536"/>
      <c r="P124" s="568">
        <f>IFERROR(((N124/I124)^(1/5))-1,0)</f>
        <v>2.0000000000000018E-2</v>
      </c>
      <c r="Q124" s="537"/>
      <c r="R124" s="532">
        <f t="shared" ref="R124:AW124" si="191">R59/R$82</f>
        <v>-148.07145541935483</v>
      </c>
      <c r="S124" s="532">
        <f t="shared" si="191"/>
        <v>-148.07145541935483</v>
      </c>
      <c r="T124" s="530">
        <f t="shared" si="191"/>
        <v>-148.07145541935483</v>
      </c>
      <c r="U124" s="532">
        <f t="shared" si="191"/>
        <v>-148.07145541935483</v>
      </c>
      <c r="V124" s="532">
        <f t="shared" si="191"/>
        <v>-148.07145541935483</v>
      </c>
      <c r="W124" s="532">
        <f t="shared" si="191"/>
        <v>-148.07145541935483</v>
      </c>
      <c r="X124" s="532">
        <f t="shared" si="191"/>
        <v>-148.07145541935483</v>
      </c>
      <c r="Y124" s="532">
        <f t="shared" si="191"/>
        <v>-148.07145541935483</v>
      </c>
      <c r="Z124" s="532">
        <f t="shared" si="191"/>
        <v>-148.07145541935483</v>
      </c>
      <c r="AA124" s="532">
        <f t="shared" si="191"/>
        <v>-148.07145541935483</v>
      </c>
      <c r="AB124" s="532">
        <f t="shared" si="191"/>
        <v>-148.07145541935483</v>
      </c>
      <c r="AC124" s="532">
        <f t="shared" si="191"/>
        <v>-148.07145541935483</v>
      </c>
      <c r="AD124" s="532">
        <f t="shared" si="191"/>
        <v>-151.03288452774197</v>
      </c>
      <c r="AE124" s="532">
        <f t="shared" si="191"/>
        <v>-151.03288452774197</v>
      </c>
      <c r="AF124" s="532">
        <f t="shared" si="191"/>
        <v>-151.03288452774197</v>
      </c>
      <c r="AG124" s="532">
        <f t="shared" si="191"/>
        <v>-151.03288452774197</v>
      </c>
      <c r="AH124" s="532">
        <f t="shared" si="191"/>
        <v>-151.03288452774197</v>
      </c>
      <c r="AI124" s="532">
        <f t="shared" si="191"/>
        <v>-151.03288452774197</v>
      </c>
      <c r="AJ124" s="532">
        <f t="shared" si="191"/>
        <v>-151.03288452774197</v>
      </c>
      <c r="AK124" s="532">
        <f t="shared" si="191"/>
        <v>-151.03288452774197</v>
      </c>
      <c r="AL124" s="532">
        <f t="shared" si="191"/>
        <v>-151.03288452774197</v>
      </c>
      <c r="AM124" s="532">
        <f t="shared" si="191"/>
        <v>-151.03288452774197</v>
      </c>
      <c r="AN124" s="532">
        <f t="shared" si="191"/>
        <v>-151.03288452774197</v>
      </c>
      <c r="AO124" s="532">
        <f t="shared" si="191"/>
        <v>-151.03288452774197</v>
      </c>
      <c r="AP124" s="532">
        <f t="shared" si="191"/>
        <v>-154.0535422182968</v>
      </c>
      <c r="AQ124" s="532">
        <f t="shared" si="191"/>
        <v>-154.0535422182968</v>
      </c>
      <c r="AR124" s="532">
        <f t="shared" si="191"/>
        <v>-154.0535422182968</v>
      </c>
      <c r="AS124" s="532">
        <f t="shared" si="191"/>
        <v>-154.0535422182968</v>
      </c>
      <c r="AT124" s="532">
        <f t="shared" si="191"/>
        <v>-154.0535422182968</v>
      </c>
      <c r="AU124" s="532">
        <f t="shared" si="191"/>
        <v>-154.0535422182968</v>
      </c>
      <c r="AV124" s="532">
        <f t="shared" si="191"/>
        <v>-154.0535422182968</v>
      </c>
      <c r="AW124" s="532">
        <f t="shared" si="191"/>
        <v>-154.0535422182968</v>
      </c>
      <c r="AX124" s="532">
        <f t="shared" ref="AX124:BY124" si="192">AX59/AX$82</f>
        <v>-154.0535422182968</v>
      </c>
      <c r="AY124" s="532">
        <f t="shared" si="192"/>
        <v>-154.0535422182968</v>
      </c>
      <c r="AZ124" s="532">
        <f t="shared" si="192"/>
        <v>-154.0535422182968</v>
      </c>
      <c r="BA124" s="532">
        <f t="shared" si="192"/>
        <v>-154.0535422182968</v>
      </c>
      <c r="BB124" s="532">
        <f t="shared" si="192"/>
        <v>-157.13461306266274</v>
      </c>
      <c r="BC124" s="532">
        <f t="shared" si="192"/>
        <v>-157.13461306266274</v>
      </c>
      <c r="BD124" s="532">
        <f t="shared" si="192"/>
        <v>-157.13461306266274</v>
      </c>
      <c r="BE124" s="532">
        <f t="shared" si="192"/>
        <v>-157.13461306266274</v>
      </c>
      <c r="BF124" s="532">
        <f t="shared" si="192"/>
        <v>-157.13461306266274</v>
      </c>
      <c r="BG124" s="532">
        <f t="shared" si="192"/>
        <v>-157.13461306266274</v>
      </c>
      <c r="BH124" s="532">
        <f t="shared" si="192"/>
        <v>-157.13461306266274</v>
      </c>
      <c r="BI124" s="532">
        <f t="shared" si="192"/>
        <v>-157.13461306266274</v>
      </c>
      <c r="BJ124" s="532">
        <f t="shared" si="192"/>
        <v>-157.13461306266274</v>
      </c>
      <c r="BK124" s="532">
        <f t="shared" si="192"/>
        <v>-157.13461306266274</v>
      </c>
      <c r="BL124" s="532">
        <f t="shared" si="192"/>
        <v>-157.13461306266274</v>
      </c>
      <c r="BM124" s="532">
        <f t="shared" si="192"/>
        <v>-157.13461306266274</v>
      </c>
      <c r="BN124" s="532">
        <f t="shared" si="192"/>
        <v>-160.27730532391601</v>
      </c>
      <c r="BO124" s="532">
        <f t="shared" si="192"/>
        <v>-160.27730532391601</v>
      </c>
      <c r="BP124" s="532">
        <f t="shared" si="192"/>
        <v>-160.27730532391601</v>
      </c>
      <c r="BQ124" s="532">
        <f t="shared" si="192"/>
        <v>-160.27730532391601</v>
      </c>
      <c r="BR124" s="532">
        <f t="shared" si="192"/>
        <v>-160.27730532391601</v>
      </c>
      <c r="BS124" s="532">
        <f t="shared" si="192"/>
        <v>-160.27730532391601</v>
      </c>
      <c r="BT124" s="532">
        <f t="shared" si="192"/>
        <v>-160.27730532391601</v>
      </c>
      <c r="BU124" s="532">
        <f t="shared" si="192"/>
        <v>-160.27730532391601</v>
      </c>
      <c r="BV124" s="532">
        <f t="shared" si="192"/>
        <v>-160.27730532391601</v>
      </c>
      <c r="BW124" s="532">
        <f t="shared" si="192"/>
        <v>-160.27730532391601</v>
      </c>
      <c r="BX124" s="532">
        <f t="shared" si="192"/>
        <v>-160.27730532391601</v>
      </c>
      <c r="BY124" s="532">
        <f t="shared" si="192"/>
        <v>-160.27730532391601</v>
      </c>
      <c r="BZ124" s="537"/>
      <c r="CA124" s="537"/>
      <c r="CB124" s="574"/>
    </row>
    <row r="125" spans="1:80" x14ac:dyDescent="0.3">
      <c r="A125" s="551"/>
      <c r="B125" s="548"/>
      <c r="C125" s="525"/>
      <c r="D125" s="525"/>
      <c r="E125" s="525"/>
      <c r="F125" s="529"/>
      <c r="G125" s="529"/>
      <c r="H125" s="529"/>
      <c r="I125" s="529"/>
      <c r="J125" s="529"/>
      <c r="K125" s="529"/>
      <c r="L125" s="529"/>
      <c r="M125" s="529"/>
      <c r="N125" s="529"/>
      <c r="O125" s="529"/>
      <c r="P125" s="562"/>
      <c r="Q125" s="537"/>
      <c r="R125" s="529"/>
      <c r="S125" s="529"/>
      <c r="T125" s="529"/>
      <c r="U125" s="529"/>
      <c r="V125" s="529"/>
      <c r="W125" s="529"/>
      <c r="X125" s="529"/>
      <c r="Y125" s="529"/>
      <c r="Z125" s="529"/>
      <c r="AA125" s="529"/>
      <c r="AB125" s="529"/>
      <c r="AC125" s="529"/>
      <c r="AD125" s="529"/>
      <c r="AE125" s="529"/>
      <c r="AF125" s="529"/>
      <c r="AG125" s="529"/>
      <c r="AH125" s="529"/>
      <c r="AI125" s="529"/>
      <c r="AJ125" s="529"/>
      <c r="AK125" s="529"/>
      <c r="AL125" s="529"/>
      <c r="AM125" s="529"/>
      <c r="AN125" s="529"/>
      <c r="AO125" s="529"/>
      <c r="AP125" s="529"/>
      <c r="AQ125" s="529"/>
      <c r="AR125" s="529"/>
      <c r="AS125" s="529"/>
      <c r="AT125" s="529"/>
      <c r="AU125" s="529"/>
      <c r="AV125" s="529"/>
      <c r="AW125" s="529"/>
      <c r="AX125" s="529"/>
      <c r="AY125" s="529"/>
      <c r="AZ125" s="529"/>
      <c r="BA125" s="529"/>
      <c r="BB125" s="529"/>
      <c r="BC125" s="529"/>
      <c r="BD125" s="529"/>
      <c r="BE125" s="529"/>
      <c r="BF125" s="529"/>
      <c r="BG125" s="529"/>
      <c r="BH125" s="529"/>
      <c r="BI125" s="529"/>
      <c r="BJ125" s="529"/>
      <c r="BK125" s="529"/>
      <c r="BL125" s="529"/>
      <c r="BM125" s="529"/>
      <c r="BN125" s="529"/>
      <c r="BO125" s="529"/>
      <c r="BP125" s="529"/>
      <c r="BQ125" s="529"/>
      <c r="BR125" s="529"/>
      <c r="BS125" s="529"/>
      <c r="BT125" s="529"/>
      <c r="BU125" s="529"/>
      <c r="BV125" s="529"/>
      <c r="BW125" s="529"/>
      <c r="BX125" s="529"/>
      <c r="BY125" s="529"/>
      <c r="BZ125" s="537"/>
      <c r="CA125" s="537"/>
      <c r="CB125" s="537"/>
    </row>
    <row r="126" spans="1:80" x14ac:dyDescent="0.3">
      <c r="A126" s="551"/>
      <c r="B126" s="548"/>
      <c r="C126" s="525"/>
      <c r="D126" s="525"/>
      <c r="E126" s="62" t="s">
        <v>21</v>
      </c>
      <c r="F126" s="579"/>
      <c r="G126" s="579"/>
      <c r="H126" s="579"/>
      <c r="I126" s="535">
        <f t="shared" ref="I126:N126" si="193">I61/I$82</f>
        <v>96953.067780613055</v>
      </c>
      <c r="J126" s="535">
        <f t="shared" si="193"/>
        <v>102137.83619000013</v>
      </c>
      <c r="K126" s="534">
        <f t="shared" si="193"/>
        <v>108292.82149233531</v>
      </c>
      <c r="L126" s="534">
        <f t="shared" si="193"/>
        <v>114597.12014691158</v>
      </c>
      <c r="M126" s="534">
        <f t="shared" si="193"/>
        <v>120993.56266075096</v>
      </c>
      <c r="N126" s="535">
        <f t="shared" si="193"/>
        <v>127684.77138443048</v>
      </c>
      <c r="O126" s="536"/>
      <c r="P126" s="568">
        <f>IFERROR(((N126/I126)^(1/5))-1,0)</f>
        <v>5.6611929086691104E-2</v>
      </c>
      <c r="Q126" s="537"/>
      <c r="R126" s="535">
        <f t="shared" ref="R126:AW126" si="194">R61/R$82</f>
        <v>8413.7242075702943</v>
      </c>
      <c r="S126" s="534">
        <f t="shared" si="194"/>
        <v>8413.7242075702943</v>
      </c>
      <c r="T126" s="535">
        <f t="shared" si="194"/>
        <v>8413.7242075702943</v>
      </c>
      <c r="U126" s="534">
        <f t="shared" si="194"/>
        <v>8413.7242075702943</v>
      </c>
      <c r="V126" s="534">
        <f t="shared" si="194"/>
        <v>8413.7242075702943</v>
      </c>
      <c r="W126" s="534">
        <f t="shared" si="194"/>
        <v>8413.7242075702943</v>
      </c>
      <c r="X126" s="534">
        <f t="shared" si="194"/>
        <v>8609.2484907630587</v>
      </c>
      <c r="Y126" s="534">
        <f t="shared" si="194"/>
        <v>8609.2484907630587</v>
      </c>
      <c r="Z126" s="534">
        <f t="shared" si="194"/>
        <v>8609.2484907630587</v>
      </c>
      <c r="AA126" s="534">
        <f t="shared" si="194"/>
        <v>8609.2484907630587</v>
      </c>
      <c r="AB126" s="534">
        <f t="shared" si="194"/>
        <v>8609.2484907630587</v>
      </c>
      <c r="AC126" s="534">
        <f t="shared" si="194"/>
        <v>8609.2484907630587</v>
      </c>
      <c r="AD126" s="534">
        <f t="shared" si="194"/>
        <v>8898.6651671244435</v>
      </c>
      <c r="AE126" s="534">
        <f t="shared" si="194"/>
        <v>8898.6651671244435</v>
      </c>
      <c r="AF126" s="534">
        <f t="shared" si="194"/>
        <v>8898.6651671244435</v>
      </c>
      <c r="AG126" s="534">
        <f t="shared" si="194"/>
        <v>8898.6651671244435</v>
      </c>
      <c r="AH126" s="534">
        <f t="shared" si="194"/>
        <v>8898.6651671244435</v>
      </c>
      <c r="AI126" s="534">
        <f t="shared" si="194"/>
        <v>8898.6651671244435</v>
      </c>
      <c r="AJ126" s="534">
        <f t="shared" si="194"/>
        <v>9150.1384149314399</v>
      </c>
      <c r="AK126" s="534">
        <f t="shared" si="194"/>
        <v>9150.1384149314399</v>
      </c>
      <c r="AL126" s="534">
        <f t="shared" si="194"/>
        <v>9150.1384149314399</v>
      </c>
      <c r="AM126" s="534">
        <f t="shared" si="194"/>
        <v>9150.1384149314399</v>
      </c>
      <c r="AN126" s="534">
        <f t="shared" si="194"/>
        <v>9150.1384149314399</v>
      </c>
      <c r="AO126" s="534">
        <f t="shared" si="194"/>
        <v>9150.1384149314399</v>
      </c>
      <c r="AP126" s="534">
        <f t="shared" si="194"/>
        <v>9394.1755698735196</v>
      </c>
      <c r="AQ126" s="534">
        <f t="shared" si="194"/>
        <v>9394.1755698735196</v>
      </c>
      <c r="AR126" s="534">
        <f t="shared" si="194"/>
        <v>9394.1755698735196</v>
      </c>
      <c r="AS126" s="534">
        <f t="shared" si="194"/>
        <v>9394.1755698735196</v>
      </c>
      <c r="AT126" s="534">
        <f t="shared" si="194"/>
        <v>9394.1755698735196</v>
      </c>
      <c r="AU126" s="534">
        <f t="shared" si="194"/>
        <v>9394.1755698735196</v>
      </c>
      <c r="AV126" s="534">
        <f t="shared" si="194"/>
        <v>9705.3444546117462</v>
      </c>
      <c r="AW126" s="534">
        <f t="shared" si="194"/>
        <v>9705.3444546117462</v>
      </c>
      <c r="AX126" s="534">
        <f t="shared" ref="AX126:BY126" si="195">AX61/AX$82</f>
        <v>9705.3444546117462</v>
      </c>
      <c r="AY126" s="534">
        <f t="shared" si="195"/>
        <v>9705.3444546117462</v>
      </c>
      <c r="AZ126" s="534">
        <f t="shared" si="195"/>
        <v>9705.3444546117462</v>
      </c>
      <c r="BA126" s="534">
        <f t="shared" si="195"/>
        <v>9705.3444546117462</v>
      </c>
      <c r="BB126" s="534">
        <f t="shared" si="195"/>
        <v>9895.4532871843821</v>
      </c>
      <c r="BC126" s="534">
        <f t="shared" si="195"/>
        <v>9895.4532871843821</v>
      </c>
      <c r="BD126" s="534">
        <f t="shared" si="195"/>
        <v>9895.4532871843821</v>
      </c>
      <c r="BE126" s="534">
        <f t="shared" si="195"/>
        <v>9895.4532871843821</v>
      </c>
      <c r="BF126" s="534">
        <f t="shared" si="195"/>
        <v>9895.4532871843821</v>
      </c>
      <c r="BG126" s="534">
        <f t="shared" si="195"/>
        <v>9895.4532871843821</v>
      </c>
      <c r="BH126" s="534">
        <f t="shared" si="195"/>
        <v>10270.140489607442</v>
      </c>
      <c r="BI126" s="534">
        <f t="shared" si="195"/>
        <v>10270.140489607442</v>
      </c>
      <c r="BJ126" s="534">
        <f t="shared" si="195"/>
        <v>10270.140489607442</v>
      </c>
      <c r="BK126" s="534">
        <f t="shared" si="195"/>
        <v>10270.140489607442</v>
      </c>
      <c r="BL126" s="534">
        <f t="shared" si="195"/>
        <v>10270.140489607442</v>
      </c>
      <c r="BM126" s="534">
        <f t="shared" si="195"/>
        <v>10270.140489607442</v>
      </c>
      <c r="BN126" s="534">
        <f t="shared" si="195"/>
        <v>10419.301631588203</v>
      </c>
      <c r="BO126" s="534">
        <f t="shared" si="195"/>
        <v>10419.301631588203</v>
      </c>
      <c r="BP126" s="534">
        <f t="shared" si="195"/>
        <v>10419.301631588203</v>
      </c>
      <c r="BQ126" s="534">
        <f t="shared" si="195"/>
        <v>10419.301631588203</v>
      </c>
      <c r="BR126" s="534">
        <f t="shared" si="195"/>
        <v>10419.301631588203</v>
      </c>
      <c r="BS126" s="534">
        <f t="shared" si="195"/>
        <v>10419.301631588203</v>
      </c>
      <c r="BT126" s="534">
        <f t="shared" si="195"/>
        <v>10861.493599150208</v>
      </c>
      <c r="BU126" s="534">
        <f t="shared" si="195"/>
        <v>10861.493599150208</v>
      </c>
      <c r="BV126" s="534">
        <f t="shared" si="195"/>
        <v>10861.493599150208</v>
      </c>
      <c r="BW126" s="534">
        <f t="shared" si="195"/>
        <v>10861.493599150208</v>
      </c>
      <c r="BX126" s="534">
        <f t="shared" si="195"/>
        <v>10861.493599150208</v>
      </c>
      <c r="BY126" s="534">
        <f t="shared" si="195"/>
        <v>10861.493599150208</v>
      </c>
      <c r="BZ126" s="537"/>
      <c r="CA126" s="537"/>
      <c r="CB126" s="574"/>
    </row>
    <row r="127" spans="1:80" x14ac:dyDescent="0.3">
      <c r="A127" s="551"/>
      <c r="B127" s="548"/>
      <c r="C127" s="525"/>
      <c r="D127" s="525"/>
      <c r="E127" s="2" t="s">
        <v>405</v>
      </c>
      <c r="F127" s="525"/>
      <c r="G127" s="525"/>
      <c r="H127" s="525"/>
      <c r="I127" s="531">
        <f t="shared" ref="I127:N127" si="196">IFERROR(I126/SUM(I87,I96,I110,I117),0)</f>
        <v>0.63422900878731292</v>
      </c>
      <c r="J127" s="531">
        <f t="shared" si="196"/>
        <v>0.63882554945276238</v>
      </c>
      <c r="K127" s="531">
        <f t="shared" si="196"/>
        <v>0.64285448762094466</v>
      </c>
      <c r="L127" s="531">
        <f t="shared" si="196"/>
        <v>0.64662087959609638</v>
      </c>
      <c r="M127" s="531">
        <f t="shared" si="196"/>
        <v>0.64978080516870751</v>
      </c>
      <c r="N127" s="531">
        <f t="shared" si="196"/>
        <v>0.65273461333508387</v>
      </c>
      <c r="O127" s="546"/>
      <c r="P127" s="564">
        <f>IFERROR(((N127/I127)^(1/5))-1,0)</f>
        <v>5.7686818157072217E-3</v>
      </c>
      <c r="Q127" s="537"/>
      <c r="R127" s="531">
        <f t="shared" ref="R127:AW127" si="197">IFERROR(R126/SUM(R87,R96,R110,R117),0)</f>
        <v>0.639201500781862</v>
      </c>
      <c r="S127" s="531">
        <f t="shared" si="197"/>
        <v>0.639201500781862</v>
      </c>
      <c r="T127" s="531">
        <f t="shared" si="197"/>
        <v>0.639201500781862</v>
      </c>
      <c r="U127" s="531">
        <f t="shared" si="197"/>
        <v>0.639201500781862</v>
      </c>
      <c r="V127" s="531">
        <f t="shared" si="197"/>
        <v>0.639201500781862</v>
      </c>
      <c r="W127" s="531">
        <f t="shared" si="197"/>
        <v>0.639201500781862</v>
      </c>
      <c r="X127" s="531">
        <f t="shared" si="197"/>
        <v>0.63845856337913387</v>
      </c>
      <c r="Y127" s="531">
        <f t="shared" si="197"/>
        <v>0.63845856337913387</v>
      </c>
      <c r="Z127" s="531">
        <f t="shared" si="197"/>
        <v>0.63845856337913387</v>
      </c>
      <c r="AA127" s="531">
        <f t="shared" si="197"/>
        <v>0.63845856337913387</v>
      </c>
      <c r="AB127" s="531">
        <f t="shared" si="197"/>
        <v>0.63845856337913387</v>
      </c>
      <c r="AC127" s="531">
        <f t="shared" si="197"/>
        <v>0.63845856337913387</v>
      </c>
      <c r="AD127" s="531">
        <f t="shared" si="197"/>
        <v>0.64325168966830193</v>
      </c>
      <c r="AE127" s="531">
        <f t="shared" si="197"/>
        <v>0.64325168966830193</v>
      </c>
      <c r="AF127" s="531">
        <f t="shared" si="197"/>
        <v>0.64325168966830193</v>
      </c>
      <c r="AG127" s="531">
        <f t="shared" si="197"/>
        <v>0.64325168966830193</v>
      </c>
      <c r="AH127" s="531">
        <f t="shared" si="197"/>
        <v>0.64325168966830193</v>
      </c>
      <c r="AI127" s="531">
        <f t="shared" si="197"/>
        <v>0.64325168966830193</v>
      </c>
      <c r="AJ127" s="531">
        <f t="shared" si="197"/>
        <v>0.64246867209518765</v>
      </c>
      <c r="AK127" s="531">
        <f t="shared" si="197"/>
        <v>0.64246867209518765</v>
      </c>
      <c r="AL127" s="531">
        <f t="shared" si="197"/>
        <v>0.64246867209518765</v>
      </c>
      <c r="AM127" s="531">
        <f t="shared" si="197"/>
        <v>0.64246867209518765</v>
      </c>
      <c r="AN127" s="531">
        <f t="shared" si="197"/>
        <v>0.64246867209518765</v>
      </c>
      <c r="AO127" s="531">
        <f t="shared" si="197"/>
        <v>0.64246867209518765</v>
      </c>
      <c r="AP127" s="531">
        <f t="shared" si="197"/>
        <v>0.64702399666930699</v>
      </c>
      <c r="AQ127" s="531">
        <f t="shared" si="197"/>
        <v>0.64702399666930699</v>
      </c>
      <c r="AR127" s="531">
        <f t="shared" si="197"/>
        <v>0.64702399666930699</v>
      </c>
      <c r="AS127" s="531">
        <f t="shared" si="197"/>
        <v>0.64702399666930699</v>
      </c>
      <c r="AT127" s="531">
        <f t="shared" si="197"/>
        <v>0.64702399666930699</v>
      </c>
      <c r="AU127" s="531">
        <f t="shared" si="197"/>
        <v>0.64702399666930699</v>
      </c>
      <c r="AV127" s="531">
        <f t="shared" si="197"/>
        <v>0.64623116522450796</v>
      </c>
      <c r="AW127" s="531">
        <f t="shared" si="197"/>
        <v>0.64623116522450796</v>
      </c>
      <c r="AX127" s="531">
        <f t="shared" ref="AX127:BY127" si="198">IFERROR(AX126/SUM(AX87,AX96,AX110,AX117),0)</f>
        <v>0.64623116522450796</v>
      </c>
      <c r="AY127" s="531">
        <f t="shared" si="198"/>
        <v>0.64623116522450796</v>
      </c>
      <c r="AZ127" s="531">
        <f t="shared" si="198"/>
        <v>0.64623116522450796</v>
      </c>
      <c r="BA127" s="531">
        <f t="shared" si="198"/>
        <v>0.64623116522450796</v>
      </c>
      <c r="BB127" s="531">
        <f t="shared" si="198"/>
        <v>0.65017197518424996</v>
      </c>
      <c r="BC127" s="531">
        <f t="shared" si="198"/>
        <v>0.65017197518424996</v>
      </c>
      <c r="BD127" s="531">
        <f t="shared" si="198"/>
        <v>0.65017197518424996</v>
      </c>
      <c r="BE127" s="531">
        <f t="shared" si="198"/>
        <v>0.65017197518424996</v>
      </c>
      <c r="BF127" s="531">
        <f t="shared" si="198"/>
        <v>0.65017197518424996</v>
      </c>
      <c r="BG127" s="531">
        <f t="shared" si="198"/>
        <v>0.65017197518424996</v>
      </c>
      <c r="BH127" s="531">
        <f t="shared" si="198"/>
        <v>0.64940435125707818</v>
      </c>
      <c r="BI127" s="531">
        <f t="shared" si="198"/>
        <v>0.64940435125707818</v>
      </c>
      <c r="BJ127" s="531">
        <f t="shared" si="198"/>
        <v>0.64940435125707818</v>
      </c>
      <c r="BK127" s="531">
        <f t="shared" si="198"/>
        <v>0.64940435125707818</v>
      </c>
      <c r="BL127" s="531">
        <f t="shared" si="198"/>
        <v>0.64940435125707818</v>
      </c>
      <c r="BM127" s="531">
        <f t="shared" si="198"/>
        <v>0.64940435125707818</v>
      </c>
      <c r="BN127" s="531">
        <f t="shared" si="198"/>
        <v>0.65309556645167555</v>
      </c>
      <c r="BO127" s="531">
        <f t="shared" si="198"/>
        <v>0.65309556645167555</v>
      </c>
      <c r="BP127" s="531">
        <f t="shared" si="198"/>
        <v>0.65309556645167555</v>
      </c>
      <c r="BQ127" s="531">
        <f t="shared" si="198"/>
        <v>0.65309556645167555</v>
      </c>
      <c r="BR127" s="531">
        <f t="shared" si="198"/>
        <v>0.65309556645167555</v>
      </c>
      <c r="BS127" s="531">
        <f t="shared" si="198"/>
        <v>0.65309556645167555</v>
      </c>
      <c r="BT127" s="531">
        <f t="shared" si="198"/>
        <v>0.6523887300535619</v>
      </c>
      <c r="BU127" s="531">
        <f t="shared" si="198"/>
        <v>0.6523887300535619</v>
      </c>
      <c r="BV127" s="531">
        <f t="shared" si="198"/>
        <v>0.6523887300535619</v>
      </c>
      <c r="BW127" s="531">
        <f t="shared" si="198"/>
        <v>0.6523887300535619</v>
      </c>
      <c r="BX127" s="531">
        <f t="shared" si="198"/>
        <v>0.6523887300535619</v>
      </c>
      <c r="BY127" s="531">
        <f t="shared" si="198"/>
        <v>0.6523887300535619</v>
      </c>
      <c r="BZ127" s="537"/>
      <c r="CA127" s="537"/>
      <c r="CB127" s="537"/>
    </row>
    <row r="128" spans="1:80" x14ac:dyDescent="0.3">
      <c r="A128" s="551"/>
      <c r="B128" s="548"/>
      <c r="C128" s="525"/>
      <c r="D128" s="525"/>
      <c r="E128" s="2"/>
      <c r="F128" s="525"/>
      <c r="G128" s="525"/>
      <c r="H128" s="525"/>
      <c r="I128" s="525"/>
      <c r="J128" s="525"/>
      <c r="K128" s="525"/>
      <c r="L128" s="525"/>
      <c r="M128" s="525"/>
      <c r="N128" s="525"/>
      <c r="O128" s="525"/>
      <c r="P128" s="565"/>
      <c r="Q128" s="537"/>
      <c r="R128" s="525"/>
      <c r="S128" s="525"/>
      <c r="T128" s="525"/>
      <c r="U128" s="525"/>
      <c r="V128" s="525"/>
      <c r="W128" s="525"/>
      <c r="X128" s="525"/>
      <c r="Y128" s="525"/>
      <c r="Z128" s="525"/>
      <c r="AA128" s="525"/>
      <c r="AB128" s="525"/>
      <c r="AC128" s="525"/>
      <c r="AD128" s="525"/>
      <c r="AE128" s="525"/>
      <c r="AF128" s="525"/>
      <c r="AG128" s="525"/>
      <c r="AH128" s="525"/>
      <c r="AI128" s="525"/>
      <c r="AJ128" s="525"/>
      <c r="AK128" s="525"/>
      <c r="AL128" s="525"/>
      <c r="AM128" s="525"/>
      <c r="AN128" s="525"/>
      <c r="AO128" s="525"/>
      <c r="AP128" s="525"/>
      <c r="AQ128" s="525"/>
      <c r="AR128" s="525"/>
      <c r="AS128" s="525"/>
      <c r="AT128" s="525"/>
      <c r="AU128" s="525"/>
      <c r="AV128" s="525"/>
      <c r="AW128" s="525"/>
      <c r="AX128" s="525"/>
      <c r="AY128" s="525"/>
      <c r="AZ128" s="525"/>
      <c r="BA128" s="525"/>
      <c r="BB128" s="525"/>
      <c r="BC128" s="525"/>
      <c r="BD128" s="525"/>
      <c r="BE128" s="525"/>
      <c r="BF128" s="525"/>
      <c r="BG128" s="525"/>
      <c r="BH128" s="525"/>
      <c r="BI128" s="525"/>
      <c r="BJ128" s="525"/>
      <c r="BK128" s="525"/>
      <c r="BL128" s="525"/>
      <c r="BM128" s="525"/>
      <c r="BN128" s="525"/>
      <c r="BO128" s="525"/>
      <c r="BP128" s="525"/>
      <c r="BQ128" s="525"/>
      <c r="BR128" s="525"/>
      <c r="BS128" s="525"/>
      <c r="BT128" s="525"/>
      <c r="BU128" s="525"/>
      <c r="BV128" s="525"/>
      <c r="BW128" s="525"/>
      <c r="BX128" s="525"/>
      <c r="BY128" s="525"/>
      <c r="BZ128" s="537"/>
      <c r="CA128" s="537"/>
      <c r="CB128" s="537"/>
    </row>
    <row r="129" spans="1:80" x14ac:dyDescent="0.3">
      <c r="A129" s="551"/>
      <c r="B129" s="548"/>
      <c r="C129" s="525"/>
      <c r="D129" s="525"/>
      <c r="E129" s="2" t="s">
        <v>129</v>
      </c>
      <c r="F129" s="525"/>
      <c r="G129" s="525"/>
      <c r="H129" s="525"/>
      <c r="I129" s="527">
        <f t="shared" ref="I129:N130" si="199">I64/I$82</f>
        <v>-8700</v>
      </c>
      <c r="J129" s="527">
        <f t="shared" si="199"/>
        <v>-8914.6850136986304</v>
      </c>
      <c r="K129" s="527">
        <f t="shared" si="199"/>
        <v>-9121.2663528297671</v>
      </c>
      <c r="L129" s="527">
        <f t="shared" si="199"/>
        <v>-9316.9087696781753</v>
      </c>
      <c r="M129" s="527">
        <f t="shared" si="199"/>
        <v>-9499.5074186751408</v>
      </c>
      <c r="N129" s="527">
        <f t="shared" si="199"/>
        <v>-9683.80046520221</v>
      </c>
      <c r="O129" s="525"/>
      <c r="P129" s="564">
        <f>IFERROR(((N129/I129)^(1/5))-1,0)</f>
        <v>2.1657472733382921E-2</v>
      </c>
      <c r="Q129" s="537"/>
      <c r="R129" s="527">
        <f t="shared" ref="R129:AW129" si="200">R64/R$82</f>
        <v>-742.89041780821913</v>
      </c>
      <c r="S129" s="527">
        <f t="shared" si="200"/>
        <v>-742.89041780821913</v>
      </c>
      <c r="T129" s="527">
        <f t="shared" si="200"/>
        <v>-742.89041780821913</v>
      </c>
      <c r="U129" s="527">
        <f t="shared" si="200"/>
        <v>-742.89041780821913</v>
      </c>
      <c r="V129" s="527">
        <f t="shared" si="200"/>
        <v>-742.89041780821913</v>
      </c>
      <c r="W129" s="527">
        <f t="shared" si="200"/>
        <v>-742.89041780821913</v>
      </c>
      <c r="X129" s="527">
        <f t="shared" si="200"/>
        <v>-742.89041780821913</v>
      </c>
      <c r="Y129" s="527">
        <f t="shared" si="200"/>
        <v>-742.89041780821913</v>
      </c>
      <c r="Z129" s="527">
        <f t="shared" si="200"/>
        <v>-742.89041780821913</v>
      </c>
      <c r="AA129" s="527">
        <f t="shared" si="200"/>
        <v>-742.89041780821913</v>
      </c>
      <c r="AB129" s="527">
        <f t="shared" si="200"/>
        <v>-742.89041780821913</v>
      </c>
      <c r="AC129" s="527">
        <f t="shared" si="200"/>
        <v>-742.89041780821913</v>
      </c>
      <c r="AD129" s="527">
        <f t="shared" si="200"/>
        <v>-760.10552940248078</v>
      </c>
      <c r="AE129" s="527">
        <f t="shared" si="200"/>
        <v>-760.10552940248078</v>
      </c>
      <c r="AF129" s="527">
        <f t="shared" si="200"/>
        <v>-760.10552940248078</v>
      </c>
      <c r="AG129" s="527">
        <f t="shared" si="200"/>
        <v>-760.10552940248078</v>
      </c>
      <c r="AH129" s="527">
        <f t="shared" si="200"/>
        <v>-760.10552940248078</v>
      </c>
      <c r="AI129" s="527">
        <f t="shared" si="200"/>
        <v>-760.10552940248078</v>
      </c>
      <c r="AJ129" s="527">
        <f t="shared" si="200"/>
        <v>-760.10552940248078</v>
      </c>
      <c r="AK129" s="527">
        <f t="shared" si="200"/>
        <v>-760.10552940248078</v>
      </c>
      <c r="AL129" s="527">
        <f t="shared" si="200"/>
        <v>-760.10552940248078</v>
      </c>
      <c r="AM129" s="527">
        <f t="shared" si="200"/>
        <v>-760.10552940248078</v>
      </c>
      <c r="AN129" s="527">
        <f t="shared" si="200"/>
        <v>-760.10552940248078</v>
      </c>
      <c r="AO129" s="527">
        <f t="shared" si="200"/>
        <v>-760.10552940248078</v>
      </c>
      <c r="AP129" s="527">
        <f t="shared" si="200"/>
        <v>-776.40906413984794</v>
      </c>
      <c r="AQ129" s="527">
        <f t="shared" si="200"/>
        <v>-776.40906413984794</v>
      </c>
      <c r="AR129" s="527">
        <f t="shared" si="200"/>
        <v>-776.40906413984794</v>
      </c>
      <c r="AS129" s="527">
        <f t="shared" si="200"/>
        <v>-776.40906413984794</v>
      </c>
      <c r="AT129" s="527">
        <f t="shared" si="200"/>
        <v>-776.40906413984794</v>
      </c>
      <c r="AU129" s="527">
        <f t="shared" si="200"/>
        <v>-776.40906413984794</v>
      </c>
      <c r="AV129" s="527">
        <f t="shared" si="200"/>
        <v>-776.40906413984794</v>
      </c>
      <c r="AW129" s="527">
        <f t="shared" si="200"/>
        <v>-776.40906413984794</v>
      </c>
      <c r="AX129" s="527">
        <f t="shared" ref="AX129:BY129" si="201">AX64/AX$82</f>
        <v>-776.40906413984794</v>
      </c>
      <c r="AY129" s="527">
        <f t="shared" si="201"/>
        <v>-776.40906413984794</v>
      </c>
      <c r="AZ129" s="527">
        <f t="shared" si="201"/>
        <v>-776.40906413984794</v>
      </c>
      <c r="BA129" s="527">
        <f t="shared" si="201"/>
        <v>-776.40906413984794</v>
      </c>
      <c r="BB129" s="527">
        <f t="shared" si="201"/>
        <v>-791.62561822292867</v>
      </c>
      <c r="BC129" s="527">
        <f t="shared" si="201"/>
        <v>-791.62561822292867</v>
      </c>
      <c r="BD129" s="527">
        <f t="shared" si="201"/>
        <v>-791.62561822292867</v>
      </c>
      <c r="BE129" s="527">
        <f t="shared" si="201"/>
        <v>-791.62561822292867</v>
      </c>
      <c r="BF129" s="527">
        <f t="shared" si="201"/>
        <v>-791.62561822292867</v>
      </c>
      <c r="BG129" s="527">
        <f t="shared" si="201"/>
        <v>-791.62561822292867</v>
      </c>
      <c r="BH129" s="527">
        <f t="shared" si="201"/>
        <v>-791.62561822292867</v>
      </c>
      <c r="BI129" s="527">
        <f t="shared" si="201"/>
        <v>-791.62561822292867</v>
      </c>
      <c r="BJ129" s="527">
        <f t="shared" si="201"/>
        <v>-791.62561822292867</v>
      </c>
      <c r="BK129" s="527">
        <f t="shared" si="201"/>
        <v>-791.62561822292867</v>
      </c>
      <c r="BL129" s="527">
        <f t="shared" si="201"/>
        <v>-791.62561822292867</v>
      </c>
      <c r="BM129" s="527">
        <f t="shared" si="201"/>
        <v>-791.62561822292867</v>
      </c>
      <c r="BN129" s="527">
        <f t="shared" si="201"/>
        <v>-806.9833721001844</v>
      </c>
      <c r="BO129" s="527">
        <f t="shared" si="201"/>
        <v>-806.9833721001844</v>
      </c>
      <c r="BP129" s="527">
        <f t="shared" si="201"/>
        <v>-806.9833721001844</v>
      </c>
      <c r="BQ129" s="527">
        <f t="shared" si="201"/>
        <v>-806.9833721001844</v>
      </c>
      <c r="BR129" s="527">
        <f t="shared" si="201"/>
        <v>-806.9833721001844</v>
      </c>
      <c r="BS129" s="527">
        <f t="shared" si="201"/>
        <v>-806.9833721001844</v>
      </c>
      <c r="BT129" s="527">
        <f t="shared" si="201"/>
        <v>-806.9833721001844</v>
      </c>
      <c r="BU129" s="527">
        <f t="shared" si="201"/>
        <v>-806.9833721001844</v>
      </c>
      <c r="BV129" s="527">
        <f t="shared" si="201"/>
        <v>-806.9833721001844</v>
      </c>
      <c r="BW129" s="527">
        <f t="shared" si="201"/>
        <v>-806.9833721001844</v>
      </c>
      <c r="BX129" s="527">
        <f t="shared" si="201"/>
        <v>-806.9833721001844</v>
      </c>
      <c r="BY129" s="527">
        <f t="shared" si="201"/>
        <v>-806.9833721001844</v>
      </c>
      <c r="BZ129" s="537"/>
      <c r="CA129" s="537"/>
      <c r="CB129" s="537"/>
    </row>
    <row r="130" spans="1:80" x14ac:dyDescent="0.3">
      <c r="A130" s="551"/>
      <c r="B130" s="548"/>
      <c r="C130" s="525"/>
      <c r="D130" s="525"/>
      <c r="E130" s="62" t="s">
        <v>292</v>
      </c>
      <c r="F130" s="579"/>
      <c r="G130" s="579"/>
      <c r="H130" s="579"/>
      <c r="I130" s="535">
        <f t="shared" si="199"/>
        <v>88253.067780613055</v>
      </c>
      <c r="J130" s="534">
        <f t="shared" si="199"/>
        <v>93223.151176301501</v>
      </c>
      <c r="K130" s="534">
        <f t="shared" si="199"/>
        <v>99171.555139505552</v>
      </c>
      <c r="L130" s="534">
        <f t="shared" si="199"/>
        <v>105280.2113772334</v>
      </c>
      <c r="M130" s="534">
        <f t="shared" si="199"/>
        <v>111494.05524207583</v>
      </c>
      <c r="N130" s="534">
        <f t="shared" si="199"/>
        <v>118000.97091922826</v>
      </c>
      <c r="O130" s="536"/>
      <c r="P130" s="568">
        <f>IFERROR(((N130/I130)^(1/5))-1,0)</f>
        <v>5.9817664805120963E-2</v>
      </c>
      <c r="Q130" s="537"/>
      <c r="R130" s="535">
        <f t="shared" ref="R130:AW130" si="202">R65/R$82</f>
        <v>7670.833789762075</v>
      </c>
      <c r="S130" s="534">
        <f t="shared" si="202"/>
        <v>7670.833789762075</v>
      </c>
      <c r="T130" s="534">
        <f t="shared" si="202"/>
        <v>7670.833789762075</v>
      </c>
      <c r="U130" s="534">
        <f t="shared" si="202"/>
        <v>7670.833789762075</v>
      </c>
      <c r="V130" s="534">
        <f t="shared" si="202"/>
        <v>7670.833789762075</v>
      </c>
      <c r="W130" s="534">
        <f t="shared" si="202"/>
        <v>7670.833789762075</v>
      </c>
      <c r="X130" s="534">
        <f t="shared" si="202"/>
        <v>7866.3580729548394</v>
      </c>
      <c r="Y130" s="534">
        <f t="shared" si="202"/>
        <v>7866.3580729548394</v>
      </c>
      <c r="Z130" s="534">
        <f t="shared" si="202"/>
        <v>7866.3580729548394</v>
      </c>
      <c r="AA130" s="534">
        <f t="shared" si="202"/>
        <v>7866.3580729548394</v>
      </c>
      <c r="AB130" s="534">
        <f t="shared" si="202"/>
        <v>7866.3580729548394</v>
      </c>
      <c r="AC130" s="534">
        <f t="shared" si="202"/>
        <v>7866.3580729548394</v>
      </c>
      <c r="AD130" s="534">
        <f t="shared" si="202"/>
        <v>8138.5596377219645</v>
      </c>
      <c r="AE130" s="534">
        <f t="shared" si="202"/>
        <v>8138.5596377219645</v>
      </c>
      <c r="AF130" s="534">
        <f t="shared" si="202"/>
        <v>8138.5596377219645</v>
      </c>
      <c r="AG130" s="534">
        <f t="shared" si="202"/>
        <v>8138.5596377219645</v>
      </c>
      <c r="AH130" s="534">
        <f t="shared" si="202"/>
        <v>8138.5596377219645</v>
      </c>
      <c r="AI130" s="534">
        <f t="shared" si="202"/>
        <v>8138.5596377219645</v>
      </c>
      <c r="AJ130" s="534">
        <f t="shared" si="202"/>
        <v>8390.0328855289608</v>
      </c>
      <c r="AK130" s="534">
        <f t="shared" si="202"/>
        <v>8390.0328855289608</v>
      </c>
      <c r="AL130" s="534">
        <f t="shared" si="202"/>
        <v>8390.0328855289608</v>
      </c>
      <c r="AM130" s="534">
        <f t="shared" si="202"/>
        <v>8390.0328855289608</v>
      </c>
      <c r="AN130" s="534">
        <f t="shared" si="202"/>
        <v>8390.0328855289608</v>
      </c>
      <c r="AO130" s="534">
        <f t="shared" si="202"/>
        <v>8390.0328855289608</v>
      </c>
      <c r="AP130" s="534">
        <f t="shared" si="202"/>
        <v>8617.7665057336708</v>
      </c>
      <c r="AQ130" s="534">
        <f t="shared" si="202"/>
        <v>8617.7665057336708</v>
      </c>
      <c r="AR130" s="534">
        <f t="shared" si="202"/>
        <v>8617.7665057336708</v>
      </c>
      <c r="AS130" s="534">
        <f t="shared" si="202"/>
        <v>8617.7665057336708</v>
      </c>
      <c r="AT130" s="534">
        <f t="shared" si="202"/>
        <v>8617.7665057336708</v>
      </c>
      <c r="AU130" s="534">
        <f t="shared" si="202"/>
        <v>8617.7665057336708</v>
      </c>
      <c r="AV130" s="534">
        <f t="shared" si="202"/>
        <v>8928.9353904718973</v>
      </c>
      <c r="AW130" s="534">
        <f t="shared" si="202"/>
        <v>8928.9353904718973</v>
      </c>
      <c r="AX130" s="534">
        <f t="shared" ref="AX130:BY130" si="203">AX65/AX$82</f>
        <v>8928.9353904718973</v>
      </c>
      <c r="AY130" s="534">
        <f t="shared" si="203"/>
        <v>8928.9353904718973</v>
      </c>
      <c r="AZ130" s="534">
        <f t="shared" si="203"/>
        <v>8928.9353904718973</v>
      </c>
      <c r="BA130" s="534">
        <f t="shared" si="203"/>
        <v>8928.9353904718973</v>
      </c>
      <c r="BB130" s="534">
        <f t="shared" si="203"/>
        <v>9103.827668961454</v>
      </c>
      <c r="BC130" s="534">
        <f t="shared" si="203"/>
        <v>9103.827668961454</v>
      </c>
      <c r="BD130" s="534">
        <f t="shared" si="203"/>
        <v>9103.827668961454</v>
      </c>
      <c r="BE130" s="534">
        <f t="shared" si="203"/>
        <v>9103.827668961454</v>
      </c>
      <c r="BF130" s="534">
        <f t="shared" si="203"/>
        <v>9103.827668961454</v>
      </c>
      <c r="BG130" s="534">
        <f t="shared" si="203"/>
        <v>9103.827668961454</v>
      </c>
      <c r="BH130" s="534">
        <f t="shared" si="203"/>
        <v>9478.5148713845138</v>
      </c>
      <c r="BI130" s="534">
        <f t="shared" si="203"/>
        <v>9478.5148713845138</v>
      </c>
      <c r="BJ130" s="534">
        <f t="shared" si="203"/>
        <v>9478.5148713845138</v>
      </c>
      <c r="BK130" s="534">
        <f t="shared" si="203"/>
        <v>9478.5148713845138</v>
      </c>
      <c r="BL130" s="534">
        <f t="shared" si="203"/>
        <v>9478.5148713845138</v>
      </c>
      <c r="BM130" s="534">
        <f t="shared" si="203"/>
        <v>9478.5148713845138</v>
      </c>
      <c r="BN130" s="534">
        <f t="shared" si="203"/>
        <v>9612.31825948802</v>
      </c>
      <c r="BO130" s="534">
        <f t="shared" si="203"/>
        <v>9612.31825948802</v>
      </c>
      <c r="BP130" s="534">
        <f t="shared" si="203"/>
        <v>9612.31825948802</v>
      </c>
      <c r="BQ130" s="534">
        <f t="shared" si="203"/>
        <v>9612.31825948802</v>
      </c>
      <c r="BR130" s="534">
        <f t="shared" si="203"/>
        <v>9612.31825948802</v>
      </c>
      <c r="BS130" s="534">
        <f t="shared" si="203"/>
        <v>9612.31825948802</v>
      </c>
      <c r="BT130" s="534">
        <f t="shared" si="203"/>
        <v>10054.510227050025</v>
      </c>
      <c r="BU130" s="534">
        <f t="shared" si="203"/>
        <v>10054.510227050025</v>
      </c>
      <c r="BV130" s="534">
        <f t="shared" si="203"/>
        <v>10054.510227050025</v>
      </c>
      <c r="BW130" s="534">
        <f t="shared" si="203"/>
        <v>10054.510227050025</v>
      </c>
      <c r="BX130" s="534">
        <f t="shared" si="203"/>
        <v>10054.510227050025</v>
      </c>
      <c r="BY130" s="534">
        <f t="shared" si="203"/>
        <v>10054.510227050025</v>
      </c>
      <c r="BZ130" s="537"/>
      <c r="CA130" s="537"/>
      <c r="CB130" s="574"/>
    </row>
    <row r="131" spans="1:80" x14ac:dyDescent="0.3">
      <c r="A131" s="551"/>
      <c r="B131" s="548"/>
      <c r="C131" s="525"/>
      <c r="D131" s="525"/>
      <c r="E131" s="692" t="s">
        <v>406</v>
      </c>
      <c r="F131" s="525"/>
      <c r="G131" s="525"/>
      <c r="H131" s="525"/>
      <c r="I131" s="531">
        <f t="shared" ref="I131:N131" si="204">IFERROR(I130/I126,0)</f>
        <v>0.91026586162609624</v>
      </c>
      <c r="J131" s="531">
        <f t="shared" si="204"/>
        <v>0.91271907310513956</v>
      </c>
      <c r="K131" s="531">
        <f t="shared" si="204"/>
        <v>0.91577219775850671</v>
      </c>
      <c r="L131" s="531">
        <f t="shared" si="204"/>
        <v>0.91869857848317604</v>
      </c>
      <c r="M131" s="531">
        <f t="shared" si="204"/>
        <v>0.92148749727032653</v>
      </c>
      <c r="N131" s="531">
        <f t="shared" si="204"/>
        <v>0.92415853229633427</v>
      </c>
      <c r="O131" s="546"/>
      <c r="P131" s="564">
        <f>IFERROR(((N131/I131)^(1/5))-1,0)</f>
        <v>3.0339764583207085E-3</v>
      </c>
      <c r="Q131" s="537"/>
      <c r="R131" s="531">
        <f t="shared" ref="R131:AW131" si="205">IFERROR(R130/R126,0)</f>
        <v>0.91170492406444703</v>
      </c>
      <c r="S131" s="531">
        <f t="shared" si="205"/>
        <v>0.91170492406444703</v>
      </c>
      <c r="T131" s="531">
        <f t="shared" si="205"/>
        <v>0.91170492406444703</v>
      </c>
      <c r="U131" s="531">
        <f t="shared" si="205"/>
        <v>0.91170492406444703</v>
      </c>
      <c r="V131" s="531">
        <f t="shared" si="205"/>
        <v>0.91170492406444703</v>
      </c>
      <c r="W131" s="531">
        <f t="shared" si="205"/>
        <v>0.91170492406444703</v>
      </c>
      <c r="X131" s="531">
        <f t="shared" si="205"/>
        <v>0.91371018984929131</v>
      </c>
      <c r="Y131" s="531">
        <f t="shared" si="205"/>
        <v>0.91371018984929131</v>
      </c>
      <c r="Z131" s="531">
        <f t="shared" si="205"/>
        <v>0.91371018984929131</v>
      </c>
      <c r="AA131" s="531">
        <f t="shared" si="205"/>
        <v>0.91371018984929131</v>
      </c>
      <c r="AB131" s="531">
        <f t="shared" si="205"/>
        <v>0.91371018984929131</v>
      </c>
      <c r="AC131" s="531">
        <f t="shared" si="205"/>
        <v>0.91371018984929131</v>
      </c>
      <c r="AD131" s="531">
        <f t="shared" si="205"/>
        <v>0.91458207325176799</v>
      </c>
      <c r="AE131" s="531">
        <f t="shared" si="205"/>
        <v>0.91458207325176799</v>
      </c>
      <c r="AF131" s="531">
        <f t="shared" si="205"/>
        <v>0.91458207325176799</v>
      </c>
      <c r="AG131" s="531">
        <f t="shared" si="205"/>
        <v>0.91458207325176799</v>
      </c>
      <c r="AH131" s="531">
        <f t="shared" si="205"/>
        <v>0.91458207325176799</v>
      </c>
      <c r="AI131" s="531">
        <f t="shared" si="205"/>
        <v>0.91458207325176799</v>
      </c>
      <c r="AJ131" s="531">
        <f t="shared" si="205"/>
        <v>0.91692961407423967</v>
      </c>
      <c r="AK131" s="531">
        <f t="shared" si="205"/>
        <v>0.91692961407423967</v>
      </c>
      <c r="AL131" s="531">
        <f t="shared" si="205"/>
        <v>0.91692961407423967</v>
      </c>
      <c r="AM131" s="531">
        <f t="shared" si="205"/>
        <v>0.91692961407423967</v>
      </c>
      <c r="AN131" s="531">
        <f t="shared" si="205"/>
        <v>0.91692961407423967</v>
      </c>
      <c r="AO131" s="531">
        <f t="shared" si="205"/>
        <v>0.91692961407423967</v>
      </c>
      <c r="AP131" s="531">
        <f t="shared" si="205"/>
        <v>0.91735208072651531</v>
      </c>
      <c r="AQ131" s="531">
        <f t="shared" si="205"/>
        <v>0.91735208072651531</v>
      </c>
      <c r="AR131" s="531">
        <f t="shared" si="205"/>
        <v>0.91735208072651531</v>
      </c>
      <c r="AS131" s="531">
        <f t="shared" si="205"/>
        <v>0.91735208072651531</v>
      </c>
      <c r="AT131" s="531">
        <f t="shared" si="205"/>
        <v>0.91735208072651531</v>
      </c>
      <c r="AU131" s="531">
        <f t="shared" si="205"/>
        <v>0.91735208072651531</v>
      </c>
      <c r="AV131" s="531">
        <f t="shared" si="205"/>
        <v>0.92000190536556192</v>
      </c>
      <c r="AW131" s="531">
        <f t="shared" si="205"/>
        <v>0.92000190536556192</v>
      </c>
      <c r="AX131" s="531">
        <f t="shared" ref="AX131:BY131" si="206">IFERROR(AX130/AX126,0)</f>
        <v>0.92000190536556192</v>
      </c>
      <c r="AY131" s="531">
        <f t="shared" si="206"/>
        <v>0.92000190536556192</v>
      </c>
      <c r="AZ131" s="531">
        <f t="shared" si="206"/>
        <v>0.92000190536556192</v>
      </c>
      <c r="BA131" s="531">
        <f t="shared" si="206"/>
        <v>0.92000190536556192</v>
      </c>
      <c r="BB131" s="531">
        <f t="shared" si="206"/>
        <v>0.92000107572149692</v>
      </c>
      <c r="BC131" s="531">
        <f t="shared" si="206"/>
        <v>0.92000107572149692</v>
      </c>
      <c r="BD131" s="531">
        <f t="shared" si="206"/>
        <v>0.92000107572149692</v>
      </c>
      <c r="BE131" s="531">
        <f t="shared" si="206"/>
        <v>0.92000107572149692</v>
      </c>
      <c r="BF131" s="531">
        <f t="shared" si="206"/>
        <v>0.92000107572149692</v>
      </c>
      <c r="BG131" s="531">
        <f t="shared" si="206"/>
        <v>0.92000107572149692</v>
      </c>
      <c r="BH131" s="531">
        <f t="shared" si="206"/>
        <v>0.92291968946052982</v>
      </c>
      <c r="BI131" s="531">
        <f t="shared" si="206"/>
        <v>0.92291968946052982</v>
      </c>
      <c r="BJ131" s="531">
        <f t="shared" si="206"/>
        <v>0.92291968946052982</v>
      </c>
      <c r="BK131" s="531">
        <f t="shared" si="206"/>
        <v>0.92291968946052982</v>
      </c>
      <c r="BL131" s="531">
        <f t="shared" si="206"/>
        <v>0.92291968946052982</v>
      </c>
      <c r="BM131" s="531">
        <f t="shared" si="206"/>
        <v>0.92291968946052982</v>
      </c>
      <c r="BN131" s="531">
        <f t="shared" si="206"/>
        <v>0.92254918797497409</v>
      </c>
      <c r="BO131" s="531">
        <f t="shared" si="206"/>
        <v>0.92254918797497409</v>
      </c>
      <c r="BP131" s="531">
        <f t="shared" si="206"/>
        <v>0.92254918797497409</v>
      </c>
      <c r="BQ131" s="531">
        <f t="shared" si="206"/>
        <v>0.92254918797497409</v>
      </c>
      <c r="BR131" s="531">
        <f t="shared" si="206"/>
        <v>0.92254918797497409</v>
      </c>
      <c r="BS131" s="531">
        <f t="shared" si="206"/>
        <v>0.92254918797497409</v>
      </c>
      <c r="BT131" s="531">
        <f t="shared" si="206"/>
        <v>0.92570235716353777</v>
      </c>
      <c r="BU131" s="531">
        <f t="shared" si="206"/>
        <v>0.92570235716353777</v>
      </c>
      <c r="BV131" s="531">
        <f t="shared" si="206"/>
        <v>0.92570235716353777</v>
      </c>
      <c r="BW131" s="531">
        <f t="shared" si="206"/>
        <v>0.92570235716353777</v>
      </c>
      <c r="BX131" s="531">
        <f t="shared" si="206"/>
        <v>0.92570235716353777</v>
      </c>
      <c r="BY131" s="531">
        <f t="shared" si="206"/>
        <v>0.92570235716353777</v>
      </c>
      <c r="BZ131" s="537"/>
      <c r="CA131" s="537"/>
      <c r="CB131" s="537"/>
    </row>
    <row r="132" spans="1:80" x14ac:dyDescent="0.3">
      <c r="A132" s="551"/>
      <c r="B132" s="548"/>
      <c r="C132" s="525"/>
      <c r="D132" s="525"/>
      <c r="E132" s="2"/>
      <c r="F132" s="525"/>
      <c r="G132" s="525"/>
      <c r="H132" s="525"/>
      <c r="I132" s="525"/>
      <c r="J132" s="525"/>
      <c r="K132" s="525"/>
      <c r="L132" s="525"/>
      <c r="M132" s="525"/>
      <c r="N132" s="525"/>
      <c r="O132" s="525"/>
      <c r="P132" s="562"/>
      <c r="Q132" s="537"/>
      <c r="R132" s="525"/>
      <c r="S132" s="525"/>
      <c r="T132" s="525"/>
      <c r="U132" s="525"/>
      <c r="V132" s="525"/>
      <c r="W132" s="525"/>
      <c r="X132" s="525"/>
      <c r="Y132" s="525"/>
      <c r="Z132" s="525"/>
      <c r="AA132" s="525"/>
      <c r="AB132" s="525"/>
      <c r="AC132" s="525"/>
      <c r="AD132" s="525"/>
      <c r="AE132" s="525"/>
      <c r="AF132" s="525"/>
      <c r="AG132" s="525"/>
      <c r="AH132" s="525"/>
      <c r="AI132" s="525"/>
      <c r="AJ132" s="525"/>
      <c r="AK132" s="525"/>
      <c r="AL132" s="525"/>
      <c r="AM132" s="525"/>
      <c r="AN132" s="525"/>
      <c r="AO132" s="525"/>
      <c r="AP132" s="525"/>
      <c r="AQ132" s="525"/>
      <c r="AR132" s="525"/>
      <c r="AS132" s="525"/>
      <c r="AT132" s="525"/>
      <c r="AU132" s="525"/>
      <c r="AV132" s="525"/>
      <c r="AW132" s="525"/>
      <c r="AX132" s="525"/>
      <c r="AY132" s="525"/>
      <c r="AZ132" s="525"/>
      <c r="BA132" s="525"/>
      <c r="BB132" s="525"/>
      <c r="BC132" s="525"/>
      <c r="BD132" s="525"/>
      <c r="BE132" s="525"/>
      <c r="BF132" s="525"/>
      <c r="BG132" s="525"/>
      <c r="BH132" s="525"/>
      <c r="BI132" s="525"/>
      <c r="BJ132" s="525"/>
      <c r="BK132" s="525"/>
      <c r="BL132" s="525"/>
      <c r="BM132" s="525"/>
      <c r="BN132" s="525"/>
      <c r="BO132" s="525"/>
      <c r="BP132" s="525"/>
      <c r="BQ132" s="525"/>
      <c r="BR132" s="525"/>
      <c r="BS132" s="525"/>
      <c r="BT132" s="525"/>
      <c r="BU132" s="525"/>
      <c r="BV132" s="525"/>
      <c r="BW132" s="525"/>
      <c r="BX132" s="525"/>
      <c r="BY132" s="525"/>
      <c r="BZ132" s="537"/>
      <c r="CA132" s="537"/>
      <c r="CB132" s="537"/>
    </row>
    <row r="133" spans="1:80" x14ac:dyDescent="0.3">
      <c r="A133" s="551"/>
      <c r="B133" s="548"/>
      <c r="C133" s="525"/>
      <c r="D133" s="525"/>
      <c r="E133" s="2" t="s">
        <v>52</v>
      </c>
      <c r="F133" s="567"/>
      <c r="G133" s="567"/>
      <c r="H133" s="567"/>
      <c r="I133" s="527">
        <f t="shared" ref="I133:N136" si="207">I68/I$82</f>
        <v>-7038.360088774195</v>
      </c>
      <c r="J133" s="527">
        <f t="shared" si="207"/>
        <v>-8160</v>
      </c>
      <c r="K133" s="527">
        <f t="shared" si="207"/>
        <v>-8323.2000000000007</v>
      </c>
      <c r="L133" s="527">
        <f t="shared" si="207"/>
        <v>-8489.6640000000025</v>
      </c>
      <c r="M133" s="527">
        <f t="shared" si="207"/>
        <v>-8659.4572800000005</v>
      </c>
      <c r="N133" s="527">
        <f t="shared" si="207"/>
        <v>-8832.6464255999999</v>
      </c>
      <c r="O133" s="529"/>
      <c r="P133" s="564">
        <f>IFERROR(((N133/I133)^(1/5))-1,0)</f>
        <v>4.6462988574517361E-2</v>
      </c>
      <c r="Q133" s="537"/>
      <c r="R133" s="527">
        <f t="shared" ref="R133:AW133" si="208">R68/R$82</f>
        <v>-680</v>
      </c>
      <c r="S133" s="527">
        <f t="shared" si="208"/>
        <v>-680</v>
      </c>
      <c r="T133" s="527">
        <f t="shared" si="208"/>
        <v>-680</v>
      </c>
      <c r="U133" s="527">
        <f t="shared" si="208"/>
        <v>-680</v>
      </c>
      <c r="V133" s="527">
        <f t="shared" si="208"/>
        <v>-680</v>
      </c>
      <c r="W133" s="527">
        <f t="shared" si="208"/>
        <v>-680</v>
      </c>
      <c r="X133" s="527">
        <f t="shared" si="208"/>
        <v>-680</v>
      </c>
      <c r="Y133" s="527">
        <f t="shared" si="208"/>
        <v>-680</v>
      </c>
      <c r="Z133" s="527">
        <f t="shared" si="208"/>
        <v>-680</v>
      </c>
      <c r="AA133" s="527">
        <f t="shared" si="208"/>
        <v>-680</v>
      </c>
      <c r="AB133" s="527">
        <f t="shared" si="208"/>
        <v>-680</v>
      </c>
      <c r="AC133" s="527">
        <f t="shared" si="208"/>
        <v>-680</v>
      </c>
      <c r="AD133" s="527">
        <f t="shared" si="208"/>
        <v>-693.59999999999991</v>
      </c>
      <c r="AE133" s="527">
        <f t="shared" si="208"/>
        <v>-693.59999999999991</v>
      </c>
      <c r="AF133" s="527">
        <f t="shared" si="208"/>
        <v>-693.59999999999991</v>
      </c>
      <c r="AG133" s="527">
        <f t="shared" si="208"/>
        <v>-693.59999999999991</v>
      </c>
      <c r="AH133" s="527">
        <f t="shared" si="208"/>
        <v>-693.59999999999991</v>
      </c>
      <c r="AI133" s="527">
        <f t="shared" si="208"/>
        <v>-693.59999999999991</v>
      </c>
      <c r="AJ133" s="527">
        <f t="shared" si="208"/>
        <v>-693.59999999999991</v>
      </c>
      <c r="AK133" s="527">
        <f t="shared" si="208"/>
        <v>-693.59999999999991</v>
      </c>
      <c r="AL133" s="527">
        <f t="shared" si="208"/>
        <v>-693.59999999999991</v>
      </c>
      <c r="AM133" s="527">
        <f t="shared" si="208"/>
        <v>-693.59999999999991</v>
      </c>
      <c r="AN133" s="527">
        <f t="shared" si="208"/>
        <v>-693.59999999999991</v>
      </c>
      <c r="AO133" s="527">
        <f t="shared" si="208"/>
        <v>-693.59999999999991</v>
      </c>
      <c r="AP133" s="527">
        <f t="shared" si="208"/>
        <v>-707.47200000000021</v>
      </c>
      <c r="AQ133" s="527">
        <f t="shared" si="208"/>
        <v>-707.47200000000021</v>
      </c>
      <c r="AR133" s="527">
        <f t="shared" si="208"/>
        <v>-707.47200000000021</v>
      </c>
      <c r="AS133" s="527">
        <f t="shared" si="208"/>
        <v>-707.47200000000021</v>
      </c>
      <c r="AT133" s="527">
        <f t="shared" si="208"/>
        <v>-707.47200000000021</v>
      </c>
      <c r="AU133" s="527">
        <f t="shared" si="208"/>
        <v>-707.47200000000021</v>
      </c>
      <c r="AV133" s="527">
        <f t="shared" si="208"/>
        <v>-707.47200000000021</v>
      </c>
      <c r="AW133" s="527">
        <f t="shared" si="208"/>
        <v>-707.47200000000021</v>
      </c>
      <c r="AX133" s="527">
        <f t="shared" ref="AX133:BY133" si="209">AX68/AX$82</f>
        <v>-707.47200000000021</v>
      </c>
      <c r="AY133" s="527">
        <f t="shared" si="209"/>
        <v>-707.47200000000021</v>
      </c>
      <c r="AZ133" s="527">
        <f t="shared" si="209"/>
        <v>-707.47200000000021</v>
      </c>
      <c r="BA133" s="527">
        <f t="shared" si="209"/>
        <v>-707.47200000000021</v>
      </c>
      <c r="BB133" s="527">
        <f t="shared" si="209"/>
        <v>-721.62144000000001</v>
      </c>
      <c r="BC133" s="527">
        <f t="shared" si="209"/>
        <v>-721.62144000000001</v>
      </c>
      <c r="BD133" s="527">
        <f t="shared" si="209"/>
        <v>-721.62144000000001</v>
      </c>
      <c r="BE133" s="527">
        <f t="shared" si="209"/>
        <v>-721.62144000000001</v>
      </c>
      <c r="BF133" s="527">
        <f t="shared" si="209"/>
        <v>-721.62144000000001</v>
      </c>
      <c r="BG133" s="527">
        <f t="shared" si="209"/>
        <v>-721.62144000000001</v>
      </c>
      <c r="BH133" s="527">
        <f t="shared" si="209"/>
        <v>-721.62144000000001</v>
      </c>
      <c r="BI133" s="527">
        <f t="shared" si="209"/>
        <v>-721.62144000000001</v>
      </c>
      <c r="BJ133" s="527">
        <f t="shared" si="209"/>
        <v>-721.62144000000001</v>
      </c>
      <c r="BK133" s="527">
        <f t="shared" si="209"/>
        <v>-721.62144000000001</v>
      </c>
      <c r="BL133" s="527">
        <f t="shared" si="209"/>
        <v>-721.62144000000001</v>
      </c>
      <c r="BM133" s="527">
        <f t="shared" si="209"/>
        <v>-721.62144000000001</v>
      </c>
      <c r="BN133" s="527">
        <f t="shared" si="209"/>
        <v>-736.05386880000026</v>
      </c>
      <c r="BO133" s="527">
        <f t="shared" si="209"/>
        <v>-736.05386880000026</v>
      </c>
      <c r="BP133" s="527">
        <f t="shared" si="209"/>
        <v>-736.05386880000026</v>
      </c>
      <c r="BQ133" s="527">
        <f t="shared" si="209"/>
        <v>-736.05386880000026</v>
      </c>
      <c r="BR133" s="527">
        <f t="shared" si="209"/>
        <v>-736.05386880000026</v>
      </c>
      <c r="BS133" s="527">
        <f t="shared" si="209"/>
        <v>-736.05386880000026</v>
      </c>
      <c r="BT133" s="527">
        <f t="shared" si="209"/>
        <v>-736.05386880000026</v>
      </c>
      <c r="BU133" s="527">
        <f t="shared" si="209"/>
        <v>-736.05386880000026</v>
      </c>
      <c r="BV133" s="527">
        <f t="shared" si="209"/>
        <v>-736.05386880000026</v>
      </c>
      <c r="BW133" s="527">
        <f t="shared" si="209"/>
        <v>-736.05386880000026</v>
      </c>
      <c r="BX133" s="527">
        <f t="shared" si="209"/>
        <v>-736.05386880000026</v>
      </c>
      <c r="BY133" s="527">
        <f t="shared" si="209"/>
        <v>-736.05386880000026</v>
      </c>
      <c r="BZ133" s="537"/>
      <c r="CA133" s="537"/>
      <c r="CB133" s="537"/>
    </row>
    <row r="134" spans="1:80" x14ac:dyDescent="0.3">
      <c r="A134" s="551"/>
      <c r="B134" s="548"/>
      <c r="C134" s="525"/>
      <c r="D134" s="525"/>
      <c r="E134" s="2" t="s">
        <v>69</v>
      </c>
      <c r="F134" s="567"/>
      <c r="G134" s="567"/>
      <c r="H134" s="567"/>
      <c r="I134" s="527">
        <f t="shared" si="207"/>
        <v>-1454.2960167091958</v>
      </c>
      <c r="J134" s="527">
        <f t="shared" si="207"/>
        <v>-1532.0675428500019</v>
      </c>
      <c r="K134" s="527">
        <f t="shared" si="207"/>
        <v>-1624.3923223850284</v>
      </c>
      <c r="L134" s="527">
        <f t="shared" si="207"/>
        <v>-1718.9568022036733</v>
      </c>
      <c r="M134" s="527">
        <f t="shared" si="207"/>
        <v>-1814.9034399112638</v>
      </c>
      <c r="N134" s="527">
        <f t="shared" si="207"/>
        <v>-1915.2715707664563</v>
      </c>
      <c r="O134" s="529"/>
      <c r="P134" s="564">
        <f>IFERROR(((N134/I134)^(1/5))-1,0)</f>
        <v>5.6611929086690882E-2</v>
      </c>
      <c r="Q134" s="537"/>
      <c r="R134" s="527">
        <f t="shared" ref="R134:AW134" si="210">R69/R$82</f>
        <v>-126.20586311355439</v>
      </c>
      <c r="S134" s="527">
        <f t="shared" si="210"/>
        <v>-126.20586311355439</v>
      </c>
      <c r="T134" s="527">
        <f t="shared" si="210"/>
        <v>-126.20586311355439</v>
      </c>
      <c r="U134" s="527">
        <f t="shared" si="210"/>
        <v>-126.20586311355439</v>
      </c>
      <c r="V134" s="527">
        <f t="shared" si="210"/>
        <v>-126.20586311355439</v>
      </c>
      <c r="W134" s="527">
        <f t="shared" si="210"/>
        <v>-126.20586311355439</v>
      </c>
      <c r="X134" s="527">
        <f t="shared" si="210"/>
        <v>-129.13872736144589</v>
      </c>
      <c r="Y134" s="527">
        <f t="shared" si="210"/>
        <v>-129.13872736144589</v>
      </c>
      <c r="Z134" s="527">
        <f t="shared" si="210"/>
        <v>-129.13872736144589</v>
      </c>
      <c r="AA134" s="527">
        <f t="shared" si="210"/>
        <v>-129.13872736144589</v>
      </c>
      <c r="AB134" s="527">
        <f t="shared" si="210"/>
        <v>-129.13872736144589</v>
      </c>
      <c r="AC134" s="527">
        <f t="shared" si="210"/>
        <v>-129.13872736144589</v>
      </c>
      <c r="AD134" s="527">
        <f t="shared" si="210"/>
        <v>-133.47997750686659</v>
      </c>
      <c r="AE134" s="527">
        <f t="shared" si="210"/>
        <v>-133.47997750686659</v>
      </c>
      <c r="AF134" s="527">
        <f t="shared" si="210"/>
        <v>-133.47997750686659</v>
      </c>
      <c r="AG134" s="527">
        <f t="shared" si="210"/>
        <v>-133.47997750686659</v>
      </c>
      <c r="AH134" s="527">
        <f t="shared" si="210"/>
        <v>-133.47997750686659</v>
      </c>
      <c r="AI134" s="527">
        <f t="shared" si="210"/>
        <v>-133.47997750686659</v>
      </c>
      <c r="AJ134" s="527">
        <f t="shared" si="210"/>
        <v>-137.25207622397156</v>
      </c>
      <c r="AK134" s="527">
        <f t="shared" si="210"/>
        <v>-137.25207622397156</v>
      </c>
      <c r="AL134" s="527">
        <f t="shared" si="210"/>
        <v>-137.25207622397156</v>
      </c>
      <c r="AM134" s="527">
        <f t="shared" si="210"/>
        <v>-137.25207622397156</v>
      </c>
      <c r="AN134" s="527">
        <f t="shared" si="210"/>
        <v>-137.25207622397156</v>
      </c>
      <c r="AO134" s="527">
        <f t="shared" si="210"/>
        <v>-137.25207622397156</v>
      </c>
      <c r="AP134" s="527">
        <f t="shared" si="210"/>
        <v>-140.91263354810275</v>
      </c>
      <c r="AQ134" s="527">
        <f t="shared" si="210"/>
        <v>-140.91263354810275</v>
      </c>
      <c r="AR134" s="527">
        <f t="shared" si="210"/>
        <v>-140.91263354810275</v>
      </c>
      <c r="AS134" s="527">
        <f t="shared" si="210"/>
        <v>-140.91263354810275</v>
      </c>
      <c r="AT134" s="527">
        <f t="shared" si="210"/>
        <v>-140.91263354810275</v>
      </c>
      <c r="AU134" s="527">
        <f t="shared" si="210"/>
        <v>-140.91263354810275</v>
      </c>
      <c r="AV134" s="527">
        <f t="shared" si="210"/>
        <v>-145.58016681917616</v>
      </c>
      <c r="AW134" s="527">
        <f t="shared" si="210"/>
        <v>-145.58016681917616</v>
      </c>
      <c r="AX134" s="527">
        <f t="shared" ref="AX134:BY134" si="211">AX69/AX$82</f>
        <v>-145.58016681917616</v>
      </c>
      <c r="AY134" s="527">
        <f t="shared" si="211"/>
        <v>-145.58016681917616</v>
      </c>
      <c r="AZ134" s="527">
        <f t="shared" si="211"/>
        <v>-145.58016681917616</v>
      </c>
      <c r="BA134" s="527">
        <f t="shared" si="211"/>
        <v>-145.58016681917616</v>
      </c>
      <c r="BB134" s="527">
        <f t="shared" si="211"/>
        <v>-148.43179930776569</v>
      </c>
      <c r="BC134" s="527">
        <f t="shared" si="211"/>
        <v>-148.43179930776569</v>
      </c>
      <c r="BD134" s="527">
        <f t="shared" si="211"/>
        <v>-148.43179930776569</v>
      </c>
      <c r="BE134" s="527">
        <f t="shared" si="211"/>
        <v>-148.43179930776569</v>
      </c>
      <c r="BF134" s="527">
        <f t="shared" si="211"/>
        <v>-148.43179930776569</v>
      </c>
      <c r="BG134" s="527">
        <f t="shared" si="211"/>
        <v>-148.43179930776569</v>
      </c>
      <c r="BH134" s="527">
        <f t="shared" si="211"/>
        <v>-154.05210734411159</v>
      </c>
      <c r="BI134" s="527">
        <f t="shared" si="211"/>
        <v>-154.05210734411159</v>
      </c>
      <c r="BJ134" s="527">
        <f t="shared" si="211"/>
        <v>-154.05210734411159</v>
      </c>
      <c r="BK134" s="527">
        <f t="shared" si="211"/>
        <v>-154.05210734411159</v>
      </c>
      <c r="BL134" s="527">
        <f t="shared" si="211"/>
        <v>-154.05210734411159</v>
      </c>
      <c r="BM134" s="527">
        <f t="shared" si="211"/>
        <v>-154.05210734411159</v>
      </c>
      <c r="BN134" s="527">
        <f t="shared" si="211"/>
        <v>-156.28952447382306</v>
      </c>
      <c r="BO134" s="527">
        <f t="shared" si="211"/>
        <v>-156.28952447382306</v>
      </c>
      <c r="BP134" s="527">
        <f t="shared" si="211"/>
        <v>-156.28952447382306</v>
      </c>
      <c r="BQ134" s="527">
        <f t="shared" si="211"/>
        <v>-156.28952447382306</v>
      </c>
      <c r="BR134" s="527">
        <f t="shared" si="211"/>
        <v>-156.28952447382306</v>
      </c>
      <c r="BS134" s="527">
        <f t="shared" si="211"/>
        <v>-156.28952447382306</v>
      </c>
      <c r="BT134" s="527">
        <f t="shared" si="211"/>
        <v>-162.92240398725306</v>
      </c>
      <c r="BU134" s="527">
        <f t="shared" si="211"/>
        <v>-162.92240398725306</v>
      </c>
      <c r="BV134" s="527">
        <f t="shared" si="211"/>
        <v>-162.92240398725306</v>
      </c>
      <c r="BW134" s="527">
        <f t="shared" si="211"/>
        <v>-162.92240398725306</v>
      </c>
      <c r="BX134" s="527">
        <f t="shared" si="211"/>
        <v>-162.92240398725306</v>
      </c>
      <c r="BY134" s="527">
        <f t="shared" si="211"/>
        <v>-162.92240398725306</v>
      </c>
      <c r="BZ134" s="537"/>
      <c r="CA134" s="537"/>
      <c r="CB134" s="537"/>
    </row>
    <row r="135" spans="1:80" x14ac:dyDescent="0.3">
      <c r="A135" s="551"/>
      <c r="B135" s="548"/>
      <c r="C135" s="525"/>
      <c r="D135" s="525"/>
      <c r="E135" s="2" t="s">
        <v>184</v>
      </c>
      <c r="F135" s="567"/>
      <c r="G135" s="567"/>
      <c r="H135" s="567"/>
      <c r="I135" s="527">
        <f t="shared" si="207"/>
        <v>0</v>
      </c>
      <c r="J135" s="527">
        <f t="shared" si="207"/>
        <v>0</v>
      </c>
      <c r="K135" s="527">
        <f t="shared" si="207"/>
        <v>0</v>
      </c>
      <c r="L135" s="527">
        <f t="shared" si="207"/>
        <v>0</v>
      </c>
      <c r="M135" s="527">
        <f t="shared" si="207"/>
        <v>0</v>
      </c>
      <c r="N135" s="527">
        <f t="shared" si="207"/>
        <v>0</v>
      </c>
      <c r="O135" s="529"/>
      <c r="P135" s="564">
        <f>IFERROR(((N135/I135)^(1/5))-1,0)</f>
        <v>0</v>
      </c>
      <c r="Q135" s="537"/>
      <c r="R135" s="527">
        <f t="shared" ref="R135:AW135" si="212">R70/R$82</f>
        <v>0</v>
      </c>
      <c r="S135" s="527">
        <f t="shared" si="212"/>
        <v>0</v>
      </c>
      <c r="T135" s="527">
        <f t="shared" si="212"/>
        <v>0</v>
      </c>
      <c r="U135" s="527">
        <f t="shared" si="212"/>
        <v>0</v>
      </c>
      <c r="V135" s="527">
        <f t="shared" si="212"/>
        <v>0</v>
      </c>
      <c r="W135" s="527">
        <f t="shared" si="212"/>
        <v>0</v>
      </c>
      <c r="X135" s="527">
        <f t="shared" si="212"/>
        <v>0</v>
      </c>
      <c r="Y135" s="527">
        <f t="shared" si="212"/>
        <v>0</v>
      </c>
      <c r="Z135" s="527">
        <f t="shared" si="212"/>
        <v>0</v>
      </c>
      <c r="AA135" s="527">
        <f t="shared" si="212"/>
        <v>0</v>
      </c>
      <c r="AB135" s="527">
        <f t="shared" si="212"/>
        <v>0</v>
      </c>
      <c r="AC135" s="527">
        <f t="shared" si="212"/>
        <v>0</v>
      </c>
      <c r="AD135" s="527">
        <f t="shared" si="212"/>
        <v>0</v>
      </c>
      <c r="AE135" s="527">
        <f t="shared" si="212"/>
        <v>0</v>
      </c>
      <c r="AF135" s="527">
        <f t="shared" si="212"/>
        <v>0</v>
      </c>
      <c r="AG135" s="527">
        <f t="shared" si="212"/>
        <v>0</v>
      </c>
      <c r="AH135" s="527">
        <f t="shared" si="212"/>
        <v>0</v>
      </c>
      <c r="AI135" s="527">
        <f t="shared" si="212"/>
        <v>0</v>
      </c>
      <c r="AJ135" s="527">
        <f t="shared" si="212"/>
        <v>0</v>
      </c>
      <c r="AK135" s="527">
        <f t="shared" si="212"/>
        <v>0</v>
      </c>
      <c r="AL135" s="527">
        <f t="shared" si="212"/>
        <v>0</v>
      </c>
      <c r="AM135" s="527">
        <f t="shared" si="212"/>
        <v>0</v>
      </c>
      <c r="AN135" s="527">
        <f t="shared" si="212"/>
        <v>0</v>
      </c>
      <c r="AO135" s="527">
        <f t="shared" si="212"/>
        <v>0</v>
      </c>
      <c r="AP135" s="527">
        <f t="shared" si="212"/>
        <v>0</v>
      </c>
      <c r="AQ135" s="527">
        <f t="shared" si="212"/>
        <v>0</v>
      </c>
      <c r="AR135" s="527">
        <f t="shared" si="212"/>
        <v>0</v>
      </c>
      <c r="AS135" s="527">
        <f t="shared" si="212"/>
        <v>0</v>
      </c>
      <c r="AT135" s="527">
        <f t="shared" si="212"/>
        <v>0</v>
      </c>
      <c r="AU135" s="527">
        <f t="shared" si="212"/>
        <v>0</v>
      </c>
      <c r="AV135" s="527">
        <f t="shared" si="212"/>
        <v>0</v>
      </c>
      <c r="AW135" s="527">
        <f t="shared" si="212"/>
        <v>0</v>
      </c>
      <c r="AX135" s="527">
        <f t="shared" ref="AX135:BY135" si="213">AX70/AX$82</f>
        <v>0</v>
      </c>
      <c r="AY135" s="527">
        <f t="shared" si="213"/>
        <v>0</v>
      </c>
      <c r="AZ135" s="527">
        <f t="shared" si="213"/>
        <v>0</v>
      </c>
      <c r="BA135" s="527">
        <f t="shared" si="213"/>
        <v>0</v>
      </c>
      <c r="BB135" s="527">
        <f t="shared" si="213"/>
        <v>0</v>
      </c>
      <c r="BC135" s="527">
        <f t="shared" si="213"/>
        <v>0</v>
      </c>
      <c r="BD135" s="527">
        <f t="shared" si="213"/>
        <v>0</v>
      </c>
      <c r="BE135" s="527">
        <f t="shared" si="213"/>
        <v>0</v>
      </c>
      <c r="BF135" s="527">
        <f t="shared" si="213"/>
        <v>0</v>
      </c>
      <c r="BG135" s="527">
        <f t="shared" si="213"/>
        <v>0</v>
      </c>
      <c r="BH135" s="527">
        <f t="shared" si="213"/>
        <v>0</v>
      </c>
      <c r="BI135" s="527">
        <f t="shared" si="213"/>
        <v>0</v>
      </c>
      <c r="BJ135" s="527">
        <f t="shared" si="213"/>
        <v>0</v>
      </c>
      <c r="BK135" s="527">
        <f t="shared" si="213"/>
        <v>0</v>
      </c>
      <c r="BL135" s="527">
        <f t="shared" si="213"/>
        <v>0</v>
      </c>
      <c r="BM135" s="527">
        <f t="shared" si="213"/>
        <v>0</v>
      </c>
      <c r="BN135" s="527">
        <f t="shared" si="213"/>
        <v>0</v>
      </c>
      <c r="BO135" s="527">
        <f t="shared" si="213"/>
        <v>0</v>
      </c>
      <c r="BP135" s="527">
        <f t="shared" si="213"/>
        <v>0</v>
      </c>
      <c r="BQ135" s="527">
        <f t="shared" si="213"/>
        <v>0</v>
      </c>
      <c r="BR135" s="527">
        <f t="shared" si="213"/>
        <v>0</v>
      </c>
      <c r="BS135" s="527">
        <f t="shared" si="213"/>
        <v>0</v>
      </c>
      <c r="BT135" s="527">
        <f t="shared" si="213"/>
        <v>0</v>
      </c>
      <c r="BU135" s="527">
        <f t="shared" si="213"/>
        <v>0</v>
      </c>
      <c r="BV135" s="527">
        <f t="shared" si="213"/>
        <v>0</v>
      </c>
      <c r="BW135" s="527">
        <f t="shared" si="213"/>
        <v>0</v>
      </c>
      <c r="BX135" s="527">
        <f t="shared" si="213"/>
        <v>0</v>
      </c>
      <c r="BY135" s="527">
        <f t="shared" si="213"/>
        <v>0</v>
      </c>
      <c r="BZ135" s="537"/>
      <c r="CA135" s="537"/>
      <c r="CB135" s="537"/>
    </row>
    <row r="136" spans="1:80" x14ac:dyDescent="0.3">
      <c r="A136" s="551"/>
      <c r="B136" s="548"/>
      <c r="C136" s="525"/>
      <c r="D136" s="525"/>
      <c r="E136" s="62" t="s">
        <v>293</v>
      </c>
      <c r="F136" s="579"/>
      <c r="G136" s="579"/>
      <c r="H136" s="579"/>
      <c r="I136" s="534">
        <f t="shared" si="207"/>
        <v>79760.411675129668</v>
      </c>
      <c r="J136" s="534">
        <f t="shared" si="207"/>
        <v>83531.083633451519</v>
      </c>
      <c r="K136" s="534">
        <f t="shared" si="207"/>
        <v>89223.962817120511</v>
      </c>
      <c r="L136" s="534">
        <f t="shared" si="207"/>
        <v>95071.590575029724</v>
      </c>
      <c r="M136" s="534">
        <f t="shared" si="207"/>
        <v>101019.69452216456</v>
      </c>
      <c r="N136" s="534">
        <f t="shared" si="207"/>
        <v>107253.0529228618</v>
      </c>
      <c r="O136" s="536"/>
      <c r="P136" s="568">
        <f>IFERROR(((N136/I136)^(1/5))-1,0)</f>
        <v>6.1022161903188543E-2</v>
      </c>
      <c r="Q136" s="537"/>
      <c r="R136" s="535">
        <f t="shared" ref="R136:AW136" si="214">R71/R$82</f>
        <v>6864.6279266485199</v>
      </c>
      <c r="S136" s="535">
        <f t="shared" si="214"/>
        <v>6864.6279266485199</v>
      </c>
      <c r="T136" s="535">
        <f t="shared" si="214"/>
        <v>6864.6279266485199</v>
      </c>
      <c r="U136" s="535">
        <f t="shared" si="214"/>
        <v>6864.6279266485199</v>
      </c>
      <c r="V136" s="535">
        <f t="shared" si="214"/>
        <v>6864.6279266485199</v>
      </c>
      <c r="W136" s="535">
        <f t="shared" si="214"/>
        <v>6864.6279266485199</v>
      </c>
      <c r="X136" s="535">
        <f t="shared" si="214"/>
        <v>7057.219345593393</v>
      </c>
      <c r="Y136" s="535">
        <f t="shared" si="214"/>
        <v>7057.219345593393</v>
      </c>
      <c r="Z136" s="535">
        <f t="shared" si="214"/>
        <v>7057.219345593393</v>
      </c>
      <c r="AA136" s="535">
        <f t="shared" si="214"/>
        <v>7057.219345593393</v>
      </c>
      <c r="AB136" s="535">
        <f t="shared" si="214"/>
        <v>7057.219345593393</v>
      </c>
      <c r="AC136" s="535">
        <f t="shared" si="214"/>
        <v>7057.219345593393</v>
      </c>
      <c r="AD136" s="535">
        <f t="shared" si="214"/>
        <v>7311.4796602150973</v>
      </c>
      <c r="AE136" s="535">
        <f t="shared" si="214"/>
        <v>7311.4796602150973</v>
      </c>
      <c r="AF136" s="535">
        <f t="shared" si="214"/>
        <v>7311.4796602150973</v>
      </c>
      <c r="AG136" s="535">
        <f t="shared" si="214"/>
        <v>7311.4796602150973</v>
      </c>
      <c r="AH136" s="535">
        <f t="shared" si="214"/>
        <v>7311.4796602150973</v>
      </c>
      <c r="AI136" s="535">
        <f t="shared" si="214"/>
        <v>7311.4796602150973</v>
      </c>
      <c r="AJ136" s="535">
        <f t="shared" si="214"/>
        <v>7559.1808093049885</v>
      </c>
      <c r="AK136" s="535">
        <f t="shared" si="214"/>
        <v>7559.1808093049885</v>
      </c>
      <c r="AL136" s="535">
        <f t="shared" si="214"/>
        <v>7559.1808093049885</v>
      </c>
      <c r="AM136" s="535">
        <f t="shared" si="214"/>
        <v>7559.1808093049885</v>
      </c>
      <c r="AN136" s="535">
        <f t="shared" si="214"/>
        <v>7559.1808093049885</v>
      </c>
      <c r="AO136" s="535">
        <f t="shared" si="214"/>
        <v>7559.1808093049885</v>
      </c>
      <c r="AP136" s="535">
        <f t="shared" si="214"/>
        <v>7769.3818721855678</v>
      </c>
      <c r="AQ136" s="535">
        <f t="shared" si="214"/>
        <v>7769.3818721855678</v>
      </c>
      <c r="AR136" s="535">
        <f t="shared" si="214"/>
        <v>7769.3818721855678</v>
      </c>
      <c r="AS136" s="535">
        <f t="shared" si="214"/>
        <v>7769.3818721855678</v>
      </c>
      <c r="AT136" s="535">
        <f t="shared" si="214"/>
        <v>7769.3818721855678</v>
      </c>
      <c r="AU136" s="535">
        <f t="shared" si="214"/>
        <v>7769.3818721855678</v>
      </c>
      <c r="AV136" s="535">
        <f t="shared" si="214"/>
        <v>8075.8832236527214</v>
      </c>
      <c r="AW136" s="535">
        <f t="shared" si="214"/>
        <v>8075.8832236527214</v>
      </c>
      <c r="AX136" s="535">
        <f t="shared" ref="AX136:BY136" si="215">AX71/AX$82</f>
        <v>8075.8832236527214</v>
      </c>
      <c r="AY136" s="535">
        <f t="shared" si="215"/>
        <v>8075.8832236527214</v>
      </c>
      <c r="AZ136" s="535">
        <f t="shared" si="215"/>
        <v>8075.8832236527214</v>
      </c>
      <c r="BA136" s="535">
        <f t="shared" si="215"/>
        <v>8075.8832236527214</v>
      </c>
      <c r="BB136" s="535">
        <f t="shared" si="215"/>
        <v>8233.7744296536894</v>
      </c>
      <c r="BC136" s="535">
        <f t="shared" si="215"/>
        <v>8233.7744296536894</v>
      </c>
      <c r="BD136" s="535">
        <f t="shared" si="215"/>
        <v>8233.7744296536894</v>
      </c>
      <c r="BE136" s="535">
        <f t="shared" si="215"/>
        <v>8233.7744296536894</v>
      </c>
      <c r="BF136" s="535">
        <f t="shared" si="215"/>
        <v>8233.7744296536894</v>
      </c>
      <c r="BG136" s="535">
        <f t="shared" si="215"/>
        <v>8233.7744296536894</v>
      </c>
      <c r="BH136" s="535">
        <f t="shared" si="215"/>
        <v>8602.8413240404007</v>
      </c>
      <c r="BI136" s="535">
        <f t="shared" si="215"/>
        <v>8602.8413240404007</v>
      </c>
      <c r="BJ136" s="535">
        <f t="shared" si="215"/>
        <v>8602.8413240404007</v>
      </c>
      <c r="BK136" s="535">
        <f t="shared" si="215"/>
        <v>8602.8413240404007</v>
      </c>
      <c r="BL136" s="535">
        <f t="shared" si="215"/>
        <v>8602.8413240404007</v>
      </c>
      <c r="BM136" s="535">
        <f t="shared" si="215"/>
        <v>8602.8413240404007</v>
      </c>
      <c r="BN136" s="535">
        <f t="shared" si="215"/>
        <v>8719.9748662141974</v>
      </c>
      <c r="BO136" s="535">
        <f t="shared" si="215"/>
        <v>8719.9748662141974</v>
      </c>
      <c r="BP136" s="535">
        <f t="shared" si="215"/>
        <v>8719.9748662141974</v>
      </c>
      <c r="BQ136" s="535">
        <f t="shared" si="215"/>
        <v>8719.9748662141974</v>
      </c>
      <c r="BR136" s="535">
        <f t="shared" si="215"/>
        <v>8719.9748662141974</v>
      </c>
      <c r="BS136" s="535">
        <f t="shared" si="215"/>
        <v>8719.9748662141974</v>
      </c>
      <c r="BT136" s="535">
        <f t="shared" si="215"/>
        <v>9155.5339542627717</v>
      </c>
      <c r="BU136" s="535">
        <f t="shared" si="215"/>
        <v>9155.5339542627717</v>
      </c>
      <c r="BV136" s="535">
        <f t="shared" si="215"/>
        <v>9155.5339542627717</v>
      </c>
      <c r="BW136" s="535">
        <f t="shared" si="215"/>
        <v>9155.5339542627717</v>
      </c>
      <c r="BX136" s="535">
        <f t="shared" si="215"/>
        <v>9155.5339542627717</v>
      </c>
      <c r="BY136" s="535">
        <f t="shared" si="215"/>
        <v>9155.5339542627717</v>
      </c>
      <c r="BZ136" s="537"/>
      <c r="CA136" s="537"/>
      <c r="CB136" s="537"/>
    </row>
    <row r="137" spans="1:80" x14ac:dyDescent="0.3">
      <c r="A137" s="551"/>
      <c r="B137" s="548"/>
      <c r="C137" s="525"/>
      <c r="D137" s="525"/>
      <c r="E137" s="2" t="s">
        <v>407</v>
      </c>
      <c r="F137" s="525"/>
      <c r="G137" s="525"/>
      <c r="H137" s="525"/>
      <c r="I137" s="531">
        <f t="shared" ref="I137:N137" si="216">IFERROR(I136/I130,0)</f>
        <v>0.90376928169120252</v>
      </c>
      <c r="J137" s="531">
        <f t="shared" si="216"/>
        <v>0.89603368454558496</v>
      </c>
      <c r="K137" s="531">
        <f t="shared" si="216"/>
        <v>0.89969308932998304</v>
      </c>
      <c r="L137" s="531">
        <f t="shared" si="216"/>
        <v>0.9030338116854193</v>
      </c>
      <c r="M137" s="531">
        <f t="shared" si="216"/>
        <v>0.90605453629640298</v>
      </c>
      <c r="N137" s="531">
        <f t="shared" si="216"/>
        <v>0.90891669862849334</v>
      </c>
      <c r="O137" s="546"/>
      <c r="P137" s="564">
        <f>IFERROR(((N137/I137)^(1/5))-1,0)</f>
        <v>1.1365135136611748E-3</v>
      </c>
      <c r="Q137" s="537"/>
      <c r="R137" s="531">
        <f t="shared" ref="R137:AW137" si="217">IFERROR(R136/R130,0)</f>
        <v>0.89489983941647089</v>
      </c>
      <c r="S137" s="531">
        <f t="shared" si="217"/>
        <v>0.89489983941647089</v>
      </c>
      <c r="T137" s="531">
        <f t="shared" si="217"/>
        <v>0.89489983941647089</v>
      </c>
      <c r="U137" s="531">
        <f t="shared" si="217"/>
        <v>0.89489983941647089</v>
      </c>
      <c r="V137" s="531">
        <f t="shared" si="217"/>
        <v>0.89489983941647089</v>
      </c>
      <c r="W137" s="531">
        <f t="shared" si="217"/>
        <v>0.89489983941647089</v>
      </c>
      <c r="X137" s="531">
        <f t="shared" si="217"/>
        <v>0.89713934709591603</v>
      </c>
      <c r="Y137" s="531">
        <f t="shared" si="217"/>
        <v>0.89713934709591603</v>
      </c>
      <c r="Z137" s="531">
        <f t="shared" si="217"/>
        <v>0.89713934709591603</v>
      </c>
      <c r="AA137" s="531">
        <f t="shared" si="217"/>
        <v>0.89713934709591603</v>
      </c>
      <c r="AB137" s="531">
        <f t="shared" si="217"/>
        <v>0.89713934709591603</v>
      </c>
      <c r="AC137" s="531">
        <f t="shared" si="217"/>
        <v>0.89713934709591603</v>
      </c>
      <c r="AD137" s="531">
        <f t="shared" si="217"/>
        <v>0.89837514077142377</v>
      </c>
      <c r="AE137" s="531">
        <f t="shared" si="217"/>
        <v>0.89837514077142377</v>
      </c>
      <c r="AF137" s="531">
        <f t="shared" si="217"/>
        <v>0.89837514077142377</v>
      </c>
      <c r="AG137" s="531">
        <f t="shared" si="217"/>
        <v>0.89837514077142377</v>
      </c>
      <c r="AH137" s="531">
        <f t="shared" si="217"/>
        <v>0.89837514077142377</v>
      </c>
      <c r="AI137" s="531">
        <f t="shared" si="217"/>
        <v>0.89837514077142377</v>
      </c>
      <c r="AJ137" s="531">
        <f t="shared" si="217"/>
        <v>0.90097153520613527</v>
      </c>
      <c r="AK137" s="531">
        <f t="shared" si="217"/>
        <v>0.90097153520613527</v>
      </c>
      <c r="AL137" s="531">
        <f t="shared" si="217"/>
        <v>0.90097153520613527</v>
      </c>
      <c r="AM137" s="531">
        <f t="shared" si="217"/>
        <v>0.90097153520613527</v>
      </c>
      <c r="AN137" s="531">
        <f t="shared" si="217"/>
        <v>0.90097153520613527</v>
      </c>
      <c r="AO137" s="531">
        <f t="shared" si="217"/>
        <v>0.90097153520613527</v>
      </c>
      <c r="AP137" s="531">
        <f t="shared" si="217"/>
        <v>0.90155400091385096</v>
      </c>
      <c r="AQ137" s="531">
        <f t="shared" si="217"/>
        <v>0.90155400091385096</v>
      </c>
      <c r="AR137" s="531">
        <f t="shared" si="217"/>
        <v>0.90155400091385096</v>
      </c>
      <c r="AS137" s="531">
        <f t="shared" si="217"/>
        <v>0.90155400091385096</v>
      </c>
      <c r="AT137" s="531">
        <f t="shared" si="217"/>
        <v>0.90155400091385096</v>
      </c>
      <c r="AU137" s="531">
        <f t="shared" si="217"/>
        <v>0.90155400091385096</v>
      </c>
      <c r="AV137" s="531">
        <f t="shared" si="217"/>
        <v>0.90446205179965</v>
      </c>
      <c r="AW137" s="531">
        <f t="shared" si="217"/>
        <v>0.90446205179965</v>
      </c>
      <c r="AX137" s="531">
        <f t="shared" ref="AX137:BY137" si="218">IFERROR(AX136/AX130,0)</f>
        <v>0.90446205179965</v>
      </c>
      <c r="AY137" s="531">
        <f t="shared" si="218"/>
        <v>0.90446205179965</v>
      </c>
      <c r="AZ137" s="531">
        <f t="shared" si="218"/>
        <v>0.90446205179965</v>
      </c>
      <c r="BA137" s="531">
        <f t="shared" si="218"/>
        <v>0.90446205179965</v>
      </c>
      <c r="BB137" s="531">
        <f t="shared" si="218"/>
        <v>0.90442995287859851</v>
      </c>
      <c r="BC137" s="531">
        <f t="shared" si="218"/>
        <v>0.90442995287859851</v>
      </c>
      <c r="BD137" s="531">
        <f t="shared" si="218"/>
        <v>0.90442995287859851</v>
      </c>
      <c r="BE137" s="531">
        <f t="shared" si="218"/>
        <v>0.90442995287859851</v>
      </c>
      <c r="BF137" s="531">
        <f t="shared" si="218"/>
        <v>0.90442995287859851</v>
      </c>
      <c r="BG137" s="531">
        <f t="shared" si="218"/>
        <v>0.90442995287859851</v>
      </c>
      <c r="BH137" s="531">
        <f t="shared" si="218"/>
        <v>0.90761489967296904</v>
      </c>
      <c r="BI137" s="531">
        <f t="shared" si="218"/>
        <v>0.90761489967296904</v>
      </c>
      <c r="BJ137" s="531">
        <f t="shared" si="218"/>
        <v>0.90761489967296904</v>
      </c>
      <c r="BK137" s="531">
        <f t="shared" si="218"/>
        <v>0.90761489967296904</v>
      </c>
      <c r="BL137" s="531">
        <f t="shared" si="218"/>
        <v>0.90761489967296904</v>
      </c>
      <c r="BM137" s="531">
        <f t="shared" si="218"/>
        <v>0.90761489967296904</v>
      </c>
      <c r="BN137" s="531">
        <f t="shared" si="218"/>
        <v>0.90716668246049614</v>
      </c>
      <c r="BO137" s="531">
        <f t="shared" si="218"/>
        <v>0.90716668246049614</v>
      </c>
      <c r="BP137" s="531">
        <f t="shared" si="218"/>
        <v>0.90716668246049614</v>
      </c>
      <c r="BQ137" s="531">
        <f t="shared" si="218"/>
        <v>0.90716668246049614</v>
      </c>
      <c r="BR137" s="531">
        <f t="shared" si="218"/>
        <v>0.90716668246049614</v>
      </c>
      <c r="BS137" s="531">
        <f t="shared" si="218"/>
        <v>0.90716668246049614</v>
      </c>
      <c r="BT137" s="531">
        <f t="shared" si="218"/>
        <v>0.91058975002395404</v>
      </c>
      <c r="BU137" s="531">
        <f t="shared" si="218"/>
        <v>0.91058975002395404</v>
      </c>
      <c r="BV137" s="531">
        <f t="shared" si="218"/>
        <v>0.91058975002395404</v>
      </c>
      <c r="BW137" s="531">
        <f t="shared" si="218"/>
        <v>0.91058975002395404</v>
      </c>
      <c r="BX137" s="531">
        <f t="shared" si="218"/>
        <v>0.91058975002395404</v>
      </c>
      <c r="BY137" s="531">
        <f t="shared" si="218"/>
        <v>0.91058975002395404</v>
      </c>
      <c r="BZ137" s="537"/>
      <c r="CA137" s="537"/>
      <c r="CB137" s="537"/>
    </row>
    <row r="138" spans="1:80" x14ac:dyDescent="0.3">
      <c r="A138" s="551"/>
      <c r="B138" s="548"/>
      <c r="C138" s="525"/>
      <c r="D138" s="525"/>
      <c r="E138" s="525"/>
      <c r="F138" s="567"/>
      <c r="G138" s="567"/>
      <c r="H138" s="567"/>
      <c r="I138" s="529"/>
      <c r="J138" s="529"/>
      <c r="K138" s="529"/>
      <c r="L138" s="529"/>
      <c r="M138" s="529"/>
      <c r="N138" s="529"/>
      <c r="O138" s="529"/>
      <c r="P138" s="564"/>
      <c r="Q138" s="537"/>
      <c r="R138" s="529"/>
      <c r="S138" s="529"/>
      <c r="T138" s="529"/>
      <c r="U138" s="529"/>
      <c r="V138" s="529"/>
      <c r="W138" s="529"/>
      <c r="X138" s="529"/>
      <c r="Y138" s="529"/>
      <c r="Z138" s="529"/>
      <c r="AA138" s="529"/>
      <c r="AB138" s="529"/>
      <c r="AC138" s="529"/>
      <c r="AD138" s="529"/>
      <c r="AE138" s="529"/>
      <c r="AF138" s="529"/>
      <c r="AG138" s="529"/>
      <c r="AH138" s="529"/>
      <c r="AI138" s="529"/>
      <c r="AJ138" s="529"/>
      <c r="AK138" s="529"/>
      <c r="AL138" s="529"/>
      <c r="AM138" s="529"/>
      <c r="AN138" s="529"/>
      <c r="AO138" s="529"/>
      <c r="AP138" s="529"/>
      <c r="AQ138" s="529"/>
      <c r="AR138" s="529"/>
      <c r="AS138" s="529"/>
      <c r="AT138" s="529"/>
      <c r="AU138" s="529"/>
      <c r="AV138" s="529"/>
      <c r="AW138" s="529"/>
      <c r="AX138" s="529"/>
      <c r="AY138" s="529"/>
      <c r="AZ138" s="529"/>
      <c r="BA138" s="529"/>
      <c r="BB138" s="529"/>
      <c r="BC138" s="529"/>
      <c r="BD138" s="529"/>
      <c r="BE138" s="529"/>
      <c r="BF138" s="529"/>
      <c r="BG138" s="529"/>
      <c r="BH138" s="529"/>
      <c r="BI138" s="529"/>
      <c r="BJ138" s="529"/>
      <c r="BK138" s="529"/>
      <c r="BL138" s="529"/>
      <c r="BM138" s="529"/>
      <c r="BN138" s="529"/>
      <c r="BO138" s="529"/>
      <c r="BP138" s="529"/>
      <c r="BQ138" s="529"/>
      <c r="BR138" s="529"/>
      <c r="BS138" s="529"/>
      <c r="BT138" s="529"/>
      <c r="BU138" s="529"/>
      <c r="BV138" s="529"/>
      <c r="BW138" s="529"/>
      <c r="BX138" s="529"/>
      <c r="BY138" s="529"/>
      <c r="BZ138" s="537"/>
      <c r="CA138" s="537"/>
      <c r="CB138" s="537"/>
    </row>
    <row r="139" spans="1:80" x14ac:dyDescent="0.3">
      <c r="A139" s="551"/>
      <c r="B139" s="548"/>
      <c r="C139" s="525"/>
      <c r="D139" s="525"/>
      <c r="E139" s="525" t="s">
        <v>70</v>
      </c>
      <c r="F139" s="567"/>
      <c r="G139" s="567"/>
      <c r="H139" s="567"/>
      <c r="I139" s="527">
        <f t="shared" ref="I139:N142" si="219">I74/I$82</f>
        <v>-645.16129032258061</v>
      </c>
      <c r="J139" s="527">
        <f t="shared" si="219"/>
        <v>-5213.9808851404241</v>
      </c>
      <c r="K139" s="527">
        <f t="shared" si="219"/>
        <v>-5339.3760839971428</v>
      </c>
      <c r="L139" s="527">
        <f t="shared" si="219"/>
        <v>-5459.2686680960142</v>
      </c>
      <c r="M139" s="527">
        <f t="shared" si="219"/>
        <v>-5572.1533989374275</v>
      </c>
      <c r="N139" s="527">
        <f t="shared" si="219"/>
        <v>-5680.8994167626361</v>
      </c>
      <c r="O139" s="529"/>
      <c r="P139" s="564">
        <f>IFERROR(((N139/I139)^(1/5))-1,0)</f>
        <v>0.54507569060108163</v>
      </c>
      <c r="Q139" s="537"/>
      <c r="R139" s="527">
        <f t="shared" ref="R139:AW139" si="220">R74/R$82</f>
        <v>0</v>
      </c>
      <c r="S139" s="527">
        <f t="shared" si="220"/>
        <v>0</v>
      </c>
      <c r="T139" s="527">
        <f t="shared" si="220"/>
        <v>0</v>
      </c>
      <c r="U139" s="527">
        <f t="shared" si="220"/>
        <v>0</v>
      </c>
      <c r="V139" s="527">
        <f t="shared" si="220"/>
        <v>0</v>
      </c>
      <c r="W139" s="527">
        <f t="shared" si="220"/>
        <v>-5213.9808851404241</v>
      </c>
      <c r="X139" s="527">
        <f t="shared" si="220"/>
        <v>0</v>
      </c>
      <c r="Y139" s="527">
        <f t="shared" si="220"/>
        <v>0</v>
      </c>
      <c r="Z139" s="527">
        <f t="shared" si="220"/>
        <v>0</v>
      </c>
      <c r="AA139" s="527">
        <f t="shared" si="220"/>
        <v>0</v>
      </c>
      <c r="AB139" s="527">
        <f t="shared" si="220"/>
        <v>0</v>
      </c>
      <c r="AC139" s="527">
        <f t="shared" si="220"/>
        <v>0</v>
      </c>
      <c r="AD139" s="527">
        <f t="shared" si="220"/>
        <v>0</v>
      </c>
      <c r="AE139" s="527">
        <f t="shared" si="220"/>
        <v>0</v>
      </c>
      <c r="AF139" s="527">
        <f t="shared" si="220"/>
        <v>0</v>
      </c>
      <c r="AG139" s="527">
        <f t="shared" si="220"/>
        <v>0</v>
      </c>
      <c r="AH139" s="527">
        <f t="shared" si="220"/>
        <v>0</v>
      </c>
      <c r="AI139" s="527">
        <f t="shared" si="220"/>
        <v>-5339.3760839971428</v>
      </c>
      <c r="AJ139" s="527">
        <f t="shared" si="220"/>
        <v>0</v>
      </c>
      <c r="AK139" s="527">
        <f t="shared" si="220"/>
        <v>0</v>
      </c>
      <c r="AL139" s="527">
        <f t="shared" si="220"/>
        <v>0</v>
      </c>
      <c r="AM139" s="527">
        <f t="shared" si="220"/>
        <v>0</v>
      </c>
      <c r="AN139" s="527">
        <f t="shared" si="220"/>
        <v>0</v>
      </c>
      <c r="AO139" s="527">
        <f t="shared" si="220"/>
        <v>0</v>
      </c>
      <c r="AP139" s="527">
        <f t="shared" si="220"/>
        <v>0</v>
      </c>
      <c r="AQ139" s="527">
        <f t="shared" si="220"/>
        <v>0</v>
      </c>
      <c r="AR139" s="527">
        <f t="shared" si="220"/>
        <v>0</v>
      </c>
      <c r="AS139" s="527">
        <f t="shared" si="220"/>
        <v>0</v>
      </c>
      <c r="AT139" s="527">
        <f t="shared" si="220"/>
        <v>0</v>
      </c>
      <c r="AU139" s="527">
        <f t="shared" si="220"/>
        <v>-5459.2686680960142</v>
      </c>
      <c r="AV139" s="527">
        <f t="shared" si="220"/>
        <v>0</v>
      </c>
      <c r="AW139" s="527">
        <f t="shared" si="220"/>
        <v>0</v>
      </c>
      <c r="AX139" s="527">
        <f t="shared" ref="AX139:BY139" si="221">AX74/AX$82</f>
        <v>0</v>
      </c>
      <c r="AY139" s="527">
        <f t="shared" si="221"/>
        <v>0</v>
      </c>
      <c r="AZ139" s="527">
        <f t="shared" si="221"/>
        <v>0</v>
      </c>
      <c r="BA139" s="527">
        <f t="shared" si="221"/>
        <v>0</v>
      </c>
      <c r="BB139" s="527">
        <f t="shared" si="221"/>
        <v>0</v>
      </c>
      <c r="BC139" s="527">
        <f t="shared" si="221"/>
        <v>0</v>
      </c>
      <c r="BD139" s="527">
        <f t="shared" si="221"/>
        <v>0</v>
      </c>
      <c r="BE139" s="527">
        <f t="shared" si="221"/>
        <v>0</v>
      </c>
      <c r="BF139" s="527">
        <f t="shared" si="221"/>
        <v>0</v>
      </c>
      <c r="BG139" s="527">
        <f t="shared" si="221"/>
        <v>-5572.1533989374275</v>
      </c>
      <c r="BH139" s="527">
        <f t="shared" si="221"/>
        <v>0</v>
      </c>
      <c r="BI139" s="527">
        <f t="shared" si="221"/>
        <v>0</v>
      </c>
      <c r="BJ139" s="527">
        <f t="shared" si="221"/>
        <v>0</v>
      </c>
      <c r="BK139" s="527">
        <f t="shared" si="221"/>
        <v>0</v>
      </c>
      <c r="BL139" s="527">
        <f t="shared" si="221"/>
        <v>0</v>
      </c>
      <c r="BM139" s="527">
        <f t="shared" si="221"/>
        <v>0</v>
      </c>
      <c r="BN139" s="527">
        <f t="shared" si="221"/>
        <v>0</v>
      </c>
      <c r="BO139" s="527">
        <f t="shared" si="221"/>
        <v>0</v>
      </c>
      <c r="BP139" s="527">
        <f t="shared" si="221"/>
        <v>0</v>
      </c>
      <c r="BQ139" s="527">
        <f t="shared" si="221"/>
        <v>0</v>
      </c>
      <c r="BR139" s="527">
        <f t="shared" si="221"/>
        <v>0</v>
      </c>
      <c r="BS139" s="527">
        <f t="shared" si="221"/>
        <v>-5680.8994167626361</v>
      </c>
      <c r="BT139" s="527">
        <f t="shared" si="221"/>
        <v>0</v>
      </c>
      <c r="BU139" s="527">
        <f t="shared" si="221"/>
        <v>0</v>
      </c>
      <c r="BV139" s="527">
        <f t="shared" si="221"/>
        <v>0</v>
      </c>
      <c r="BW139" s="527">
        <f t="shared" si="221"/>
        <v>0</v>
      </c>
      <c r="BX139" s="527">
        <f t="shared" si="221"/>
        <v>0</v>
      </c>
      <c r="BY139" s="527">
        <f t="shared" si="221"/>
        <v>0</v>
      </c>
      <c r="BZ139" s="537"/>
      <c r="CA139" s="537"/>
      <c r="CB139" s="537"/>
    </row>
    <row r="140" spans="1:80" x14ac:dyDescent="0.3">
      <c r="A140" s="551"/>
      <c r="B140" s="548"/>
      <c r="C140" s="525"/>
      <c r="D140" s="525"/>
      <c r="E140" s="525" t="s">
        <v>185</v>
      </c>
      <c r="F140" s="567"/>
      <c r="G140" s="567"/>
      <c r="H140" s="567"/>
      <c r="I140" s="527">
        <f t="shared" si="219"/>
        <v>0</v>
      </c>
      <c r="J140" s="527">
        <f t="shared" si="219"/>
        <v>0</v>
      </c>
      <c r="K140" s="527">
        <f t="shared" si="219"/>
        <v>0</v>
      </c>
      <c r="L140" s="527">
        <f t="shared" si="219"/>
        <v>0</v>
      </c>
      <c r="M140" s="527">
        <f t="shared" si="219"/>
        <v>0</v>
      </c>
      <c r="N140" s="527">
        <f t="shared" si="219"/>
        <v>0</v>
      </c>
      <c r="O140" s="529"/>
      <c r="P140" s="564">
        <f>IFERROR(((N140/I140)^(1/5))-1,0)</f>
        <v>0</v>
      </c>
      <c r="Q140" s="537"/>
      <c r="R140" s="527">
        <f t="shared" ref="R140:AW140" si="222">R75/R$82</f>
        <v>0</v>
      </c>
      <c r="S140" s="527">
        <f t="shared" si="222"/>
        <v>0</v>
      </c>
      <c r="T140" s="527">
        <f t="shared" si="222"/>
        <v>0</v>
      </c>
      <c r="U140" s="527">
        <f t="shared" si="222"/>
        <v>0</v>
      </c>
      <c r="V140" s="527">
        <f t="shared" si="222"/>
        <v>0</v>
      </c>
      <c r="W140" s="527">
        <f t="shared" si="222"/>
        <v>0</v>
      </c>
      <c r="X140" s="527">
        <f t="shared" si="222"/>
        <v>0</v>
      </c>
      <c r="Y140" s="527">
        <f t="shared" si="222"/>
        <v>0</v>
      </c>
      <c r="Z140" s="527">
        <f t="shared" si="222"/>
        <v>0</v>
      </c>
      <c r="AA140" s="527">
        <f t="shared" si="222"/>
        <v>0</v>
      </c>
      <c r="AB140" s="527">
        <f t="shared" si="222"/>
        <v>0</v>
      </c>
      <c r="AC140" s="527">
        <f t="shared" si="222"/>
        <v>0</v>
      </c>
      <c r="AD140" s="527">
        <f t="shared" si="222"/>
        <v>0</v>
      </c>
      <c r="AE140" s="527">
        <f t="shared" si="222"/>
        <v>0</v>
      </c>
      <c r="AF140" s="527">
        <f t="shared" si="222"/>
        <v>0</v>
      </c>
      <c r="AG140" s="527">
        <f t="shared" si="222"/>
        <v>0</v>
      </c>
      <c r="AH140" s="527">
        <f t="shared" si="222"/>
        <v>0</v>
      </c>
      <c r="AI140" s="527">
        <f t="shared" si="222"/>
        <v>0</v>
      </c>
      <c r="AJ140" s="527">
        <f t="shared" si="222"/>
        <v>0</v>
      </c>
      <c r="AK140" s="527">
        <f t="shared" si="222"/>
        <v>0</v>
      </c>
      <c r="AL140" s="527">
        <f t="shared" si="222"/>
        <v>0</v>
      </c>
      <c r="AM140" s="527">
        <f t="shared" si="222"/>
        <v>0</v>
      </c>
      <c r="AN140" s="527">
        <f t="shared" si="222"/>
        <v>0</v>
      </c>
      <c r="AO140" s="527">
        <f t="shared" si="222"/>
        <v>0</v>
      </c>
      <c r="AP140" s="527">
        <f t="shared" si="222"/>
        <v>0</v>
      </c>
      <c r="AQ140" s="527">
        <f t="shared" si="222"/>
        <v>0</v>
      </c>
      <c r="AR140" s="527">
        <f t="shared" si="222"/>
        <v>0</v>
      </c>
      <c r="AS140" s="527">
        <f t="shared" si="222"/>
        <v>0</v>
      </c>
      <c r="AT140" s="527">
        <f t="shared" si="222"/>
        <v>0</v>
      </c>
      <c r="AU140" s="527">
        <f t="shared" si="222"/>
        <v>0</v>
      </c>
      <c r="AV140" s="527">
        <f t="shared" si="222"/>
        <v>0</v>
      </c>
      <c r="AW140" s="527">
        <f t="shared" si="222"/>
        <v>0</v>
      </c>
      <c r="AX140" s="527">
        <f t="shared" ref="AX140:BY140" si="223">AX75/AX$82</f>
        <v>0</v>
      </c>
      <c r="AY140" s="527">
        <f t="shared" si="223"/>
        <v>0</v>
      </c>
      <c r="AZ140" s="527">
        <f t="shared" si="223"/>
        <v>0</v>
      </c>
      <c r="BA140" s="527">
        <f t="shared" si="223"/>
        <v>0</v>
      </c>
      <c r="BB140" s="527">
        <f t="shared" si="223"/>
        <v>0</v>
      </c>
      <c r="BC140" s="527">
        <f t="shared" si="223"/>
        <v>0</v>
      </c>
      <c r="BD140" s="527">
        <f t="shared" si="223"/>
        <v>0</v>
      </c>
      <c r="BE140" s="527">
        <f t="shared" si="223"/>
        <v>0</v>
      </c>
      <c r="BF140" s="527">
        <f t="shared" si="223"/>
        <v>0</v>
      </c>
      <c r="BG140" s="527">
        <f t="shared" si="223"/>
        <v>0</v>
      </c>
      <c r="BH140" s="527">
        <f t="shared" si="223"/>
        <v>0</v>
      </c>
      <c r="BI140" s="527">
        <f t="shared" si="223"/>
        <v>0</v>
      </c>
      <c r="BJ140" s="527">
        <f t="shared" si="223"/>
        <v>0</v>
      </c>
      <c r="BK140" s="527">
        <f t="shared" si="223"/>
        <v>0</v>
      </c>
      <c r="BL140" s="527">
        <f t="shared" si="223"/>
        <v>0</v>
      </c>
      <c r="BM140" s="527">
        <f t="shared" si="223"/>
        <v>0</v>
      </c>
      <c r="BN140" s="527">
        <f t="shared" si="223"/>
        <v>0</v>
      </c>
      <c r="BO140" s="527">
        <f t="shared" si="223"/>
        <v>0</v>
      </c>
      <c r="BP140" s="527">
        <f t="shared" si="223"/>
        <v>0</v>
      </c>
      <c r="BQ140" s="527">
        <f t="shared" si="223"/>
        <v>0</v>
      </c>
      <c r="BR140" s="527">
        <f t="shared" si="223"/>
        <v>0</v>
      </c>
      <c r="BS140" s="527">
        <f t="shared" si="223"/>
        <v>0</v>
      </c>
      <c r="BT140" s="527">
        <f t="shared" si="223"/>
        <v>0</v>
      </c>
      <c r="BU140" s="527">
        <f t="shared" si="223"/>
        <v>0</v>
      </c>
      <c r="BV140" s="527">
        <f t="shared" si="223"/>
        <v>0</v>
      </c>
      <c r="BW140" s="527">
        <f t="shared" si="223"/>
        <v>0</v>
      </c>
      <c r="BX140" s="527">
        <f t="shared" si="223"/>
        <v>0</v>
      </c>
      <c r="BY140" s="527">
        <f t="shared" si="223"/>
        <v>0</v>
      </c>
      <c r="BZ140" s="537"/>
      <c r="CA140" s="537"/>
      <c r="CB140" s="537"/>
    </row>
    <row r="141" spans="1:80" x14ac:dyDescent="0.3">
      <c r="A141" s="551"/>
      <c r="B141" s="548"/>
      <c r="C141" s="525"/>
      <c r="D141" s="525"/>
      <c r="E141" s="525" t="s">
        <v>370</v>
      </c>
      <c r="F141" s="567"/>
      <c r="G141" s="567"/>
      <c r="H141" s="567"/>
      <c r="I141" s="527">
        <f t="shared" si="219"/>
        <v>0</v>
      </c>
      <c r="J141" s="527">
        <f t="shared" si="219"/>
        <v>0</v>
      </c>
      <c r="K141" s="527">
        <f t="shared" si="219"/>
        <v>0</v>
      </c>
      <c r="L141" s="527">
        <f t="shared" si="219"/>
        <v>0</v>
      </c>
      <c r="M141" s="527">
        <f t="shared" si="219"/>
        <v>0</v>
      </c>
      <c r="N141" s="527">
        <f t="shared" si="219"/>
        <v>0</v>
      </c>
      <c r="O141" s="529"/>
      <c r="P141" s="564">
        <f>IFERROR(((N141/I141)^(1/5))-1,0)</f>
        <v>0</v>
      </c>
      <c r="Q141" s="537"/>
      <c r="R141" s="527">
        <f t="shared" ref="R141:AW141" si="224">R76/R$82</f>
        <v>0</v>
      </c>
      <c r="S141" s="527">
        <f t="shared" si="224"/>
        <v>0</v>
      </c>
      <c r="T141" s="527">
        <f t="shared" si="224"/>
        <v>0</v>
      </c>
      <c r="U141" s="527">
        <f t="shared" si="224"/>
        <v>0</v>
      </c>
      <c r="V141" s="527">
        <f t="shared" si="224"/>
        <v>0</v>
      </c>
      <c r="W141" s="527">
        <f t="shared" si="224"/>
        <v>0</v>
      </c>
      <c r="X141" s="527">
        <f t="shared" si="224"/>
        <v>0</v>
      </c>
      <c r="Y141" s="527">
        <f t="shared" si="224"/>
        <v>0</v>
      </c>
      <c r="Z141" s="527">
        <f t="shared" si="224"/>
        <v>0</v>
      </c>
      <c r="AA141" s="527">
        <f t="shared" si="224"/>
        <v>0</v>
      </c>
      <c r="AB141" s="527">
        <f t="shared" si="224"/>
        <v>0</v>
      </c>
      <c r="AC141" s="527">
        <f t="shared" si="224"/>
        <v>0</v>
      </c>
      <c r="AD141" s="527">
        <f t="shared" si="224"/>
        <v>0</v>
      </c>
      <c r="AE141" s="527">
        <f t="shared" si="224"/>
        <v>0</v>
      </c>
      <c r="AF141" s="527">
        <f t="shared" si="224"/>
        <v>0</v>
      </c>
      <c r="AG141" s="527">
        <f t="shared" si="224"/>
        <v>0</v>
      </c>
      <c r="AH141" s="527">
        <f t="shared" si="224"/>
        <v>0</v>
      </c>
      <c r="AI141" s="527">
        <f t="shared" si="224"/>
        <v>0</v>
      </c>
      <c r="AJ141" s="527">
        <f t="shared" si="224"/>
        <v>0</v>
      </c>
      <c r="AK141" s="527">
        <f t="shared" si="224"/>
        <v>0</v>
      </c>
      <c r="AL141" s="527">
        <f t="shared" si="224"/>
        <v>0</v>
      </c>
      <c r="AM141" s="527">
        <f t="shared" si="224"/>
        <v>0</v>
      </c>
      <c r="AN141" s="527">
        <f t="shared" si="224"/>
        <v>0</v>
      </c>
      <c r="AO141" s="527">
        <f t="shared" si="224"/>
        <v>0</v>
      </c>
      <c r="AP141" s="527">
        <f t="shared" si="224"/>
        <v>0</v>
      </c>
      <c r="AQ141" s="527">
        <f t="shared" si="224"/>
        <v>0</v>
      </c>
      <c r="AR141" s="527">
        <f t="shared" si="224"/>
        <v>0</v>
      </c>
      <c r="AS141" s="527">
        <f t="shared" si="224"/>
        <v>0</v>
      </c>
      <c r="AT141" s="527">
        <f t="shared" si="224"/>
        <v>0</v>
      </c>
      <c r="AU141" s="527">
        <f t="shared" si="224"/>
        <v>0</v>
      </c>
      <c r="AV141" s="527">
        <f t="shared" si="224"/>
        <v>0</v>
      </c>
      <c r="AW141" s="527">
        <f t="shared" si="224"/>
        <v>0</v>
      </c>
      <c r="AX141" s="527">
        <f t="shared" ref="AX141:BY141" si="225">AX76/AX$82</f>
        <v>0</v>
      </c>
      <c r="AY141" s="527">
        <f t="shared" si="225"/>
        <v>0</v>
      </c>
      <c r="AZ141" s="527">
        <f t="shared" si="225"/>
        <v>0</v>
      </c>
      <c r="BA141" s="527">
        <f t="shared" si="225"/>
        <v>0</v>
      </c>
      <c r="BB141" s="527">
        <f t="shared" si="225"/>
        <v>0</v>
      </c>
      <c r="BC141" s="527">
        <f t="shared" si="225"/>
        <v>0</v>
      </c>
      <c r="BD141" s="527">
        <f t="shared" si="225"/>
        <v>0</v>
      </c>
      <c r="BE141" s="527">
        <f t="shared" si="225"/>
        <v>0</v>
      </c>
      <c r="BF141" s="527">
        <f t="shared" si="225"/>
        <v>0</v>
      </c>
      <c r="BG141" s="527">
        <f t="shared" si="225"/>
        <v>0</v>
      </c>
      <c r="BH141" s="527">
        <f t="shared" si="225"/>
        <v>0</v>
      </c>
      <c r="BI141" s="527">
        <f t="shared" si="225"/>
        <v>0</v>
      </c>
      <c r="BJ141" s="527">
        <f t="shared" si="225"/>
        <v>0</v>
      </c>
      <c r="BK141" s="527">
        <f t="shared" si="225"/>
        <v>0</v>
      </c>
      <c r="BL141" s="527">
        <f t="shared" si="225"/>
        <v>0</v>
      </c>
      <c r="BM141" s="527">
        <f t="shared" si="225"/>
        <v>0</v>
      </c>
      <c r="BN141" s="527">
        <f t="shared" si="225"/>
        <v>0</v>
      </c>
      <c r="BO141" s="527">
        <f t="shared" si="225"/>
        <v>0</v>
      </c>
      <c r="BP141" s="527">
        <f t="shared" si="225"/>
        <v>0</v>
      </c>
      <c r="BQ141" s="527">
        <f t="shared" si="225"/>
        <v>0</v>
      </c>
      <c r="BR141" s="527">
        <f t="shared" si="225"/>
        <v>0</v>
      </c>
      <c r="BS141" s="527">
        <f t="shared" si="225"/>
        <v>0</v>
      </c>
      <c r="BT141" s="527">
        <f t="shared" si="225"/>
        <v>0</v>
      </c>
      <c r="BU141" s="527">
        <f t="shared" si="225"/>
        <v>0</v>
      </c>
      <c r="BV141" s="527">
        <f t="shared" si="225"/>
        <v>0</v>
      </c>
      <c r="BW141" s="527">
        <f t="shared" si="225"/>
        <v>0</v>
      </c>
      <c r="BX141" s="527">
        <f t="shared" si="225"/>
        <v>0</v>
      </c>
      <c r="BY141" s="527">
        <f t="shared" si="225"/>
        <v>0</v>
      </c>
      <c r="BZ141" s="537"/>
      <c r="CA141" s="537"/>
      <c r="CB141" s="537"/>
    </row>
    <row r="142" spans="1:80" x14ac:dyDescent="0.3">
      <c r="A142" s="551"/>
      <c r="B142" s="548"/>
      <c r="C142" s="525"/>
      <c r="D142" s="525"/>
      <c r="E142" s="578" t="s">
        <v>71</v>
      </c>
      <c r="F142" s="579"/>
      <c r="G142" s="579"/>
      <c r="H142" s="579"/>
      <c r="I142" s="534">
        <f t="shared" si="219"/>
        <v>79115.250384807092</v>
      </c>
      <c r="J142" s="534">
        <f t="shared" si="219"/>
        <v>78317.102748311096</v>
      </c>
      <c r="K142" s="534">
        <f t="shared" si="219"/>
        <v>83884.586733123375</v>
      </c>
      <c r="L142" s="534">
        <f t="shared" si="219"/>
        <v>89612.321906933706</v>
      </c>
      <c r="M142" s="534">
        <f t="shared" si="219"/>
        <v>95447.541123227129</v>
      </c>
      <c r="N142" s="535">
        <f t="shared" si="219"/>
        <v>101572.15350609917</v>
      </c>
      <c r="O142" s="536"/>
      <c r="P142" s="568">
        <f>IFERROR(((N142/I142)^(1/5))-1,0)</f>
        <v>5.1242452346727863E-2</v>
      </c>
      <c r="Q142" s="537"/>
      <c r="R142" s="535">
        <f t="shared" ref="R142:AW142" si="226">R77/R$82</f>
        <v>6864.6279266485199</v>
      </c>
      <c r="S142" s="534">
        <f t="shared" si="226"/>
        <v>6864.6279266485199</v>
      </c>
      <c r="T142" s="534">
        <f t="shared" si="226"/>
        <v>6864.6279266485199</v>
      </c>
      <c r="U142" s="534">
        <f t="shared" si="226"/>
        <v>6864.6279266485199</v>
      </c>
      <c r="V142" s="534">
        <f t="shared" si="226"/>
        <v>6864.6279266485199</v>
      </c>
      <c r="W142" s="534">
        <f t="shared" si="226"/>
        <v>1650.6470415080962</v>
      </c>
      <c r="X142" s="534">
        <f t="shared" si="226"/>
        <v>7057.219345593393</v>
      </c>
      <c r="Y142" s="534">
        <f t="shared" si="226"/>
        <v>7057.219345593393</v>
      </c>
      <c r="Z142" s="534">
        <f t="shared" si="226"/>
        <v>7057.219345593393</v>
      </c>
      <c r="AA142" s="534">
        <f t="shared" si="226"/>
        <v>7057.219345593393</v>
      </c>
      <c r="AB142" s="534">
        <f t="shared" si="226"/>
        <v>7057.219345593393</v>
      </c>
      <c r="AC142" s="534">
        <f t="shared" si="226"/>
        <v>7057.219345593393</v>
      </c>
      <c r="AD142" s="534">
        <f t="shared" si="226"/>
        <v>7311.4796602150973</v>
      </c>
      <c r="AE142" s="534">
        <f t="shared" si="226"/>
        <v>7311.4796602150973</v>
      </c>
      <c r="AF142" s="534">
        <f t="shared" si="226"/>
        <v>7311.4796602150973</v>
      </c>
      <c r="AG142" s="534">
        <f t="shared" si="226"/>
        <v>7311.4796602150973</v>
      </c>
      <c r="AH142" s="534">
        <f t="shared" si="226"/>
        <v>7311.4796602150973</v>
      </c>
      <c r="AI142" s="534">
        <f t="shared" si="226"/>
        <v>1972.1035762179545</v>
      </c>
      <c r="AJ142" s="534">
        <f t="shared" si="226"/>
        <v>7559.1808093049885</v>
      </c>
      <c r="AK142" s="534">
        <f t="shared" si="226"/>
        <v>7559.1808093049885</v>
      </c>
      <c r="AL142" s="534">
        <f t="shared" si="226"/>
        <v>7559.1808093049885</v>
      </c>
      <c r="AM142" s="534">
        <f t="shared" si="226"/>
        <v>7559.1808093049885</v>
      </c>
      <c r="AN142" s="534">
        <f t="shared" si="226"/>
        <v>7559.1808093049885</v>
      </c>
      <c r="AO142" s="534">
        <f t="shared" si="226"/>
        <v>7559.1808093049885</v>
      </c>
      <c r="AP142" s="534">
        <f t="shared" si="226"/>
        <v>7769.3818721855678</v>
      </c>
      <c r="AQ142" s="534">
        <f t="shared" si="226"/>
        <v>7769.3818721855678</v>
      </c>
      <c r="AR142" s="534">
        <f t="shared" si="226"/>
        <v>7769.3818721855678</v>
      </c>
      <c r="AS142" s="534">
        <f t="shared" si="226"/>
        <v>7769.3818721855678</v>
      </c>
      <c r="AT142" s="534">
        <f t="shared" si="226"/>
        <v>7769.3818721855678</v>
      </c>
      <c r="AU142" s="534">
        <f t="shared" si="226"/>
        <v>2310.1132040895541</v>
      </c>
      <c r="AV142" s="534">
        <f t="shared" si="226"/>
        <v>8075.8832236527214</v>
      </c>
      <c r="AW142" s="534">
        <f t="shared" si="226"/>
        <v>8075.8832236527214</v>
      </c>
      <c r="AX142" s="534">
        <f t="shared" ref="AX142:BY142" si="227">AX77/AX$82</f>
        <v>8075.8832236527214</v>
      </c>
      <c r="AY142" s="534">
        <f t="shared" si="227"/>
        <v>8075.8832236527214</v>
      </c>
      <c r="AZ142" s="534">
        <f t="shared" si="227"/>
        <v>8075.8832236527214</v>
      </c>
      <c r="BA142" s="534">
        <f t="shared" si="227"/>
        <v>8075.8832236527214</v>
      </c>
      <c r="BB142" s="534">
        <f t="shared" si="227"/>
        <v>8233.7744296536894</v>
      </c>
      <c r="BC142" s="534">
        <f t="shared" si="227"/>
        <v>8233.7744296536894</v>
      </c>
      <c r="BD142" s="534">
        <f t="shared" si="227"/>
        <v>8233.7744296536894</v>
      </c>
      <c r="BE142" s="534">
        <f t="shared" si="227"/>
        <v>8233.7744296536894</v>
      </c>
      <c r="BF142" s="534">
        <f t="shared" si="227"/>
        <v>8233.7744296536894</v>
      </c>
      <c r="BG142" s="534">
        <f t="shared" si="227"/>
        <v>2661.621030716261</v>
      </c>
      <c r="BH142" s="534">
        <f t="shared" si="227"/>
        <v>8602.8413240404007</v>
      </c>
      <c r="BI142" s="534">
        <f t="shared" si="227"/>
        <v>8602.8413240404007</v>
      </c>
      <c r="BJ142" s="534">
        <f t="shared" si="227"/>
        <v>8602.8413240404007</v>
      </c>
      <c r="BK142" s="534">
        <f t="shared" si="227"/>
        <v>8602.8413240404007</v>
      </c>
      <c r="BL142" s="534">
        <f t="shared" si="227"/>
        <v>8602.8413240404007</v>
      </c>
      <c r="BM142" s="534">
        <f t="shared" si="227"/>
        <v>8602.8413240404007</v>
      </c>
      <c r="BN142" s="534">
        <f t="shared" si="227"/>
        <v>8719.9748662141974</v>
      </c>
      <c r="BO142" s="534">
        <f t="shared" si="227"/>
        <v>8719.9748662141974</v>
      </c>
      <c r="BP142" s="534">
        <f t="shared" si="227"/>
        <v>8719.9748662141974</v>
      </c>
      <c r="BQ142" s="534">
        <f t="shared" si="227"/>
        <v>8719.9748662141974</v>
      </c>
      <c r="BR142" s="534">
        <f t="shared" si="227"/>
        <v>8719.9748662141974</v>
      </c>
      <c r="BS142" s="534">
        <f t="shared" si="227"/>
        <v>3039.0754494515609</v>
      </c>
      <c r="BT142" s="534">
        <f t="shared" si="227"/>
        <v>9155.5339542627717</v>
      </c>
      <c r="BU142" s="534">
        <f t="shared" si="227"/>
        <v>9155.5339542627717</v>
      </c>
      <c r="BV142" s="534">
        <f t="shared" si="227"/>
        <v>9155.5339542627717</v>
      </c>
      <c r="BW142" s="534">
        <f t="shared" si="227"/>
        <v>9155.5339542627717</v>
      </c>
      <c r="BX142" s="534">
        <f t="shared" si="227"/>
        <v>9155.5339542627717</v>
      </c>
      <c r="BY142" s="534">
        <f t="shared" si="227"/>
        <v>9155.5339542627717</v>
      </c>
      <c r="BZ142" s="537"/>
      <c r="CA142" s="537"/>
      <c r="CB142" s="537"/>
    </row>
    <row r="143" spans="1:80" x14ac:dyDescent="0.3">
      <c r="A143" s="551"/>
      <c r="B143" s="548"/>
      <c r="C143" s="551"/>
      <c r="D143" s="537"/>
      <c r="E143" s="537"/>
      <c r="F143" s="537"/>
      <c r="G143" s="537"/>
      <c r="H143" s="537"/>
      <c r="I143" s="537"/>
      <c r="J143" s="537"/>
      <c r="K143" s="537"/>
      <c r="L143" s="537"/>
      <c r="M143" s="537"/>
      <c r="N143" s="537"/>
      <c r="O143" s="537"/>
      <c r="P143" s="547"/>
      <c r="Q143" s="537"/>
      <c r="R143" s="537"/>
      <c r="S143" s="537"/>
      <c r="T143" s="537"/>
      <c r="U143" s="537"/>
      <c r="V143" s="537"/>
      <c r="W143" s="537"/>
      <c r="X143" s="537"/>
      <c r="Y143" s="537"/>
      <c r="Z143" s="537"/>
      <c r="AA143" s="537"/>
      <c r="AB143" s="537"/>
      <c r="AC143" s="537"/>
      <c r="AD143" s="537"/>
      <c r="AE143" s="537"/>
      <c r="AF143" s="537"/>
      <c r="AG143" s="537"/>
      <c r="AH143" s="537"/>
      <c r="AI143" s="537"/>
      <c r="AJ143" s="537"/>
      <c r="AK143" s="537"/>
      <c r="AL143" s="537"/>
      <c r="AM143" s="537"/>
      <c r="AN143" s="537"/>
      <c r="AO143" s="537"/>
      <c r="AP143" s="537"/>
      <c r="AQ143" s="537"/>
      <c r="AR143" s="537"/>
      <c r="AS143" s="537"/>
      <c r="AT143" s="537"/>
      <c r="AU143" s="537"/>
      <c r="AV143" s="537"/>
      <c r="AW143" s="537"/>
      <c r="AX143" s="537"/>
      <c r="AY143" s="537"/>
      <c r="AZ143" s="537"/>
      <c r="BA143" s="537"/>
      <c r="BB143" s="537"/>
      <c r="BC143" s="537"/>
      <c r="BD143" s="537"/>
      <c r="BE143" s="537"/>
      <c r="BF143" s="537"/>
      <c r="BG143" s="537"/>
      <c r="BH143" s="537"/>
      <c r="BI143" s="537"/>
      <c r="BJ143" s="537"/>
      <c r="BK143" s="537"/>
      <c r="BL143" s="537"/>
      <c r="BM143" s="537"/>
      <c r="BN143" s="537"/>
      <c r="BO143" s="537"/>
      <c r="BP143" s="537"/>
      <c r="BQ143" s="537"/>
      <c r="BR143" s="537"/>
      <c r="BS143" s="537"/>
      <c r="BT143" s="537"/>
      <c r="BU143" s="537"/>
      <c r="BV143" s="537"/>
      <c r="BW143" s="537"/>
      <c r="BX143" s="537"/>
      <c r="BY143" s="537"/>
      <c r="BZ143" s="537"/>
      <c r="CA143" s="537"/>
      <c r="CB143" s="537"/>
    </row>
    <row r="144" spans="1:80" x14ac:dyDescent="0.3">
      <c r="A144" s="551"/>
      <c r="B144" s="548"/>
      <c r="C144" s="560" t="s">
        <v>37</v>
      </c>
      <c r="D144" s="561"/>
      <c r="E144" s="526" t="s">
        <v>178</v>
      </c>
      <c r="F144" s="526"/>
      <c r="G144" s="526"/>
      <c r="H144" s="526"/>
      <c r="I144" s="526"/>
      <c r="J144" s="526"/>
      <c r="K144" s="526"/>
      <c r="L144" s="526"/>
      <c r="M144" s="526"/>
      <c r="N144" s="526"/>
      <c r="O144" s="526"/>
      <c r="P144" s="560"/>
      <c r="Q144" s="526"/>
      <c r="R144" s="526"/>
      <c r="S144" s="526"/>
      <c r="T144" s="526"/>
      <c r="U144" s="526"/>
      <c r="V144" s="526"/>
      <c r="W144" s="526"/>
      <c r="X144" s="526"/>
      <c r="Y144" s="526"/>
      <c r="Z144" s="526"/>
      <c r="AA144" s="526"/>
      <c r="AB144" s="526"/>
      <c r="AC144" s="526"/>
      <c r="AD144" s="526"/>
      <c r="AE144" s="526"/>
      <c r="AF144" s="526"/>
      <c r="AG144" s="526"/>
      <c r="AH144" s="526"/>
      <c r="AI144" s="526"/>
      <c r="AJ144" s="526"/>
      <c r="AK144" s="526"/>
      <c r="AL144" s="526"/>
      <c r="AM144" s="526"/>
      <c r="AN144" s="526"/>
      <c r="AO144" s="526"/>
      <c r="AP144" s="526"/>
      <c r="AQ144" s="526"/>
      <c r="AR144" s="526"/>
      <c r="AS144" s="526"/>
      <c r="AT144" s="526"/>
      <c r="AU144" s="526"/>
      <c r="AV144" s="526"/>
      <c r="AW144" s="526"/>
      <c r="AX144" s="526"/>
      <c r="AY144" s="526"/>
      <c r="AZ144" s="526"/>
      <c r="BA144" s="526"/>
      <c r="BB144" s="526"/>
      <c r="BC144" s="526"/>
      <c r="BD144" s="526"/>
      <c r="BE144" s="526"/>
      <c r="BF144" s="526"/>
      <c r="BG144" s="526"/>
      <c r="BH144" s="526"/>
      <c r="BI144" s="526"/>
      <c r="BJ144" s="526"/>
      <c r="BK144" s="526"/>
      <c r="BL144" s="526"/>
      <c r="BM144" s="526"/>
      <c r="BN144" s="526"/>
      <c r="BO144" s="526"/>
      <c r="BP144" s="526"/>
      <c r="BQ144" s="526"/>
      <c r="BR144" s="526"/>
      <c r="BS144" s="526"/>
      <c r="BT144" s="526"/>
      <c r="BU144" s="526"/>
      <c r="BV144" s="526"/>
      <c r="BW144" s="526"/>
      <c r="BX144" s="526"/>
      <c r="BY144" s="526"/>
      <c r="BZ144" s="537"/>
      <c r="CA144" s="537"/>
      <c r="CB144" s="537"/>
    </row>
    <row r="145" spans="1:77" x14ac:dyDescent="0.3">
      <c r="A145" s="551"/>
      <c r="B145" s="548"/>
      <c r="C145" s="525"/>
      <c r="D145" s="525"/>
      <c r="E145" s="525" t="s">
        <v>133</v>
      </c>
      <c r="F145" s="567"/>
      <c r="G145" s="567"/>
      <c r="H145" s="567"/>
      <c r="I145" s="527">
        <f t="shared" ref="I145:N147" si="228">IFERROR(I22/I$19,0)</f>
        <v>783.00736065880335</v>
      </c>
      <c r="J145" s="527">
        <f t="shared" si="228"/>
        <v>812.40478594517867</v>
      </c>
      <c r="K145" s="527">
        <f t="shared" si="228"/>
        <v>842.0822163503334</v>
      </c>
      <c r="L145" s="527">
        <f t="shared" si="228"/>
        <v>871.8045866049697</v>
      </c>
      <c r="M145" s="527">
        <f t="shared" si="228"/>
        <v>901.37702521454491</v>
      </c>
      <c r="N145" s="527">
        <f t="shared" si="228"/>
        <v>931.96649271403294</v>
      </c>
      <c r="O145" s="529"/>
      <c r="P145" s="562"/>
      <c r="Q145" s="537"/>
      <c r="R145" s="527">
        <f t="shared" ref="R145:AW145" si="229">IFERROR(R22/R$19,0)</f>
        <v>812.40478594517879</v>
      </c>
      <c r="S145" s="527">
        <f t="shared" si="229"/>
        <v>812.40478594517879</v>
      </c>
      <c r="T145" s="527">
        <f t="shared" si="229"/>
        <v>812.40478594517879</v>
      </c>
      <c r="U145" s="527">
        <f t="shared" si="229"/>
        <v>812.40478594517879</v>
      </c>
      <c r="V145" s="527">
        <f t="shared" si="229"/>
        <v>812.40478594517879</v>
      </c>
      <c r="W145" s="527">
        <f t="shared" si="229"/>
        <v>812.40478594517879</v>
      </c>
      <c r="X145" s="527">
        <f t="shared" si="229"/>
        <v>812.40478594517879</v>
      </c>
      <c r="Y145" s="527">
        <f t="shared" si="229"/>
        <v>812.40478594517879</v>
      </c>
      <c r="Z145" s="527">
        <f t="shared" si="229"/>
        <v>812.40478594517879</v>
      </c>
      <c r="AA145" s="527">
        <f t="shared" si="229"/>
        <v>812.40478594517879</v>
      </c>
      <c r="AB145" s="527">
        <f t="shared" si="229"/>
        <v>812.40478594517879</v>
      </c>
      <c r="AC145" s="527">
        <f t="shared" si="229"/>
        <v>812.40478594517879</v>
      </c>
      <c r="AD145" s="527">
        <f t="shared" si="229"/>
        <v>842.08221635033306</v>
      </c>
      <c r="AE145" s="527">
        <f t="shared" si="229"/>
        <v>842.08221635033306</v>
      </c>
      <c r="AF145" s="527">
        <f t="shared" si="229"/>
        <v>842.08221635033306</v>
      </c>
      <c r="AG145" s="527">
        <f t="shared" si="229"/>
        <v>842.08221635033306</v>
      </c>
      <c r="AH145" s="527">
        <f t="shared" si="229"/>
        <v>842.08221635033306</v>
      </c>
      <c r="AI145" s="527">
        <f t="shared" si="229"/>
        <v>842.08221635033306</v>
      </c>
      <c r="AJ145" s="527">
        <f t="shared" si="229"/>
        <v>842.08221635033306</v>
      </c>
      <c r="AK145" s="527">
        <f t="shared" si="229"/>
        <v>842.08221635033306</v>
      </c>
      <c r="AL145" s="527">
        <f t="shared" si="229"/>
        <v>842.08221635033306</v>
      </c>
      <c r="AM145" s="527">
        <f t="shared" si="229"/>
        <v>842.08221635033306</v>
      </c>
      <c r="AN145" s="527">
        <f t="shared" si="229"/>
        <v>842.08221635033306</v>
      </c>
      <c r="AO145" s="527">
        <f t="shared" si="229"/>
        <v>842.08221635033306</v>
      </c>
      <c r="AP145" s="527">
        <f t="shared" si="229"/>
        <v>871.80458660497004</v>
      </c>
      <c r="AQ145" s="527">
        <f t="shared" si="229"/>
        <v>871.80458660497004</v>
      </c>
      <c r="AR145" s="527">
        <f t="shared" si="229"/>
        <v>871.80458660497004</v>
      </c>
      <c r="AS145" s="527">
        <f t="shared" si="229"/>
        <v>871.80458660497004</v>
      </c>
      <c r="AT145" s="527">
        <f t="shared" si="229"/>
        <v>871.80458660497004</v>
      </c>
      <c r="AU145" s="527">
        <f t="shared" si="229"/>
        <v>871.80458660497004</v>
      </c>
      <c r="AV145" s="527">
        <f t="shared" si="229"/>
        <v>871.80458660497015</v>
      </c>
      <c r="AW145" s="527">
        <f t="shared" si="229"/>
        <v>871.80458660497015</v>
      </c>
      <c r="AX145" s="527">
        <f t="shared" ref="AX145:BY145" si="230">IFERROR(AX22/AX$19,0)</f>
        <v>871.80458660497015</v>
      </c>
      <c r="AY145" s="527">
        <f t="shared" si="230"/>
        <v>871.80458660497015</v>
      </c>
      <c r="AZ145" s="527">
        <f t="shared" si="230"/>
        <v>871.80458660497015</v>
      </c>
      <c r="BA145" s="527">
        <f t="shared" si="230"/>
        <v>871.80458660497015</v>
      </c>
      <c r="BB145" s="527">
        <f t="shared" si="230"/>
        <v>901.37702521454537</v>
      </c>
      <c r="BC145" s="527">
        <f t="shared" si="230"/>
        <v>901.37702521454537</v>
      </c>
      <c r="BD145" s="527">
        <f t="shared" si="230"/>
        <v>901.37702521454537</v>
      </c>
      <c r="BE145" s="527">
        <f t="shared" si="230"/>
        <v>901.37702521454537</v>
      </c>
      <c r="BF145" s="527">
        <f t="shared" si="230"/>
        <v>901.37702521454537</v>
      </c>
      <c r="BG145" s="527">
        <f t="shared" si="230"/>
        <v>901.37702521454537</v>
      </c>
      <c r="BH145" s="527">
        <f t="shared" si="230"/>
        <v>901.37702521454537</v>
      </c>
      <c r="BI145" s="527">
        <f t="shared" si="230"/>
        <v>901.37702521454537</v>
      </c>
      <c r="BJ145" s="527">
        <f t="shared" si="230"/>
        <v>901.37702521454537</v>
      </c>
      <c r="BK145" s="527">
        <f t="shared" si="230"/>
        <v>901.37702521454537</v>
      </c>
      <c r="BL145" s="527">
        <f t="shared" si="230"/>
        <v>901.37702521454537</v>
      </c>
      <c r="BM145" s="527">
        <f t="shared" si="230"/>
        <v>901.37702521454537</v>
      </c>
      <c r="BN145" s="527">
        <f t="shared" si="230"/>
        <v>931.9664927140326</v>
      </c>
      <c r="BO145" s="527">
        <f t="shared" si="230"/>
        <v>931.9664927140326</v>
      </c>
      <c r="BP145" s="527">
        <f t="shared" si="230"/>
        <v>931.9664927140326</v>
      </c>
      <c r="BQ145" s="527">
        <f t="shared" si="230"/>
        <v>931.9664927140326</v>
      </c>
      <c r="BR145" s="527">
        <f t="shared" si="230"/>
        <v>931.9664927140326</v>
      </c>
      <c r="BS145" s="527">
        <f t="shared" si="230"/>
        <v>931.9664927140326</v>
      </c>
      <c r="BT145" s="527">
        <f t="shared" si="230"/>
        <v>931.96649271403282</v>
      </c>
      <c r="BU145" s="527">
        <f t="shared" si="230"/>
        <v>931.96649271403282</v>
      </c>
      <c r="BV145" s="527">
        <f t="shared" si="230"/>
        <v>931.96649271403282</v>
      </c>
      <c r="BW145" s="527">
        <f t="shared" si="230"/>
        <v>931.96649271403282</v>
      </c>
      <c r="BX145" s="527">
        <f t="shared" si="230"/>
        <v>931.96649271403282</v>
      </c>
      <c r="BY145" s="527">
        <f t="shared" si="230"/>
        <v>931.96649271403282</v>
      </c>
    </row>
    <row r="146" spans="1:77" x14ac:dyDescent="0.3">
      <c r="A146" s="551"/>
      <c r="B146" s="548"/>
      <c r="C146" s="525"/>
      <c r="D146" s="525"/>
      <c r="E146" s="525" t="s">
        <v>134</v>
      </c>
      <c r="F146" s="567"/>
      <c r="G146" s="567"/>
      <c r="H146" s="567"/>
      <c r="I146" s="527">
        <f t="shared" si="228"/>
        <v>-263.9377399670546</v>
      </c>
      <c r="J146" s="527">
        <f t="shared" si="228"/>
        <v>-266.71649476639578</v>
      </c>
      <c r="K146" s="527">
        <f t="shared" si="228"/>
        <v>-269.55082466172371</v>
      </c>
      <c r="L146" s="527">
        <f t="shared" si="228"/>
        <v>-272.44184115495807</v>
      </c>
      <c r="M146" s="527">
        <f t="shared" si="228"/>
        <v>-275.39067797805723</v>
      </c>
      <c r="N146" s="527">
        <f t="shared" si="228"/>
        <v>-278.39849153761855</v>
      </c>
      <c r="O146" s="529"/>
      <c r="P146" s="562"/>
      <c r="Q146" s="537"/>
      <c r="R146" s="527">
        <f t="shared" ref="R146:AW146" si="231">IFERROR(R23/R$19,0)</f>
        <v>-266.71649476639567</v>
      </c>
      <c r="S146" s="527">
        <f t="shared" si="231"/>
        <v>-266.71649476639567</v>
      </c>
      <c r="T146" s="527">
        <f t="shared" si="231"/>
        <v>-266.71649476639567</v>
      </c>
      <c r="U146" s="527">
        <f t="shared" si="231"/>
        <v>-266.71649476639567</v>
      </c>
      <c r="V146" s="527">
        <f t="shared" si="231"/>
        <v>-266.71649476639567</v>
      </c>
      <c r="W146" s="527">
        <f t="shared" si="231"/>
        <v>-266.71649476639567</v>
      </c>
      <c r="X146" s="527">
        <f t="shared" si="231"/>
        <v>-266.71649476639573</v>
      </c>
      <c r="Y146" s="527">
        <f t="shared" si="231"/>
        <v>-266.71649476639573</v>
      </c>
      <c r="Z146" s="527">
        <f t="shared" si="231"/>
        <v>-266.71649476639573</v>
      </c>
      <c r="AA146" s="527">
        <f t="shared" si="231"/>
        <v>-266.71649476639573</v>
      </c>
      <c r="AB146" s="527">
        <f t="shared" si="231"/>
        <v>-266.71649476639573</v>
      </c>
      <c r="AC146" s="527">
        <f t="shared" si="231"/>
        <v>-266.71649476639573</v>
      </c>
      <c r="AD146" s="527">
        <f t="shared" si="231"/>
        <v>-269.55082466172371</v>
      </c>
      <c r="AE146" s="527">
        <f t="shared" si="231"/>
        <v>-269.55082466172371</v>
      </c>
      <c r="AF146" s="527">
        <f t="shared" si="231"/>
        <v>-269.55082466172371</v>
      </c>
      <c r="AG146" s="527">
        <f t="shared" si="231"/>
        <v>-269.55082466172371</v>
      </c>
      <c r="AH146" s="527">
        <f t="shared" si="231"/>
        <v>-269.55082466172371</v>
      </c>
      <c r="AI146" s="527">
        <f t="shared" si="231"/>
        <v>-269.55082466172371</v>
      </c>
      <c r="AJ146" s="527">
        <f t="shared" si="231"/>
        <v>-269.55082466172371</v>
      </c>
      <c r="AK146" s="527">
        <f t="shared" si="231"/>
        <v>-269.55082466172371</v>
      </c>
      <c r="AL146" s="527">
        <f t="shared" si="231"/>
        <v>-269.55082466172371</v>
      </c>
      <c r="AM146" s="527">
        <f t="shared" si="231"/>
        <v>-269.55082466172371</v>
      </c>
      <c r="AN146" s="527">
        <f t="shared" si="231"/>
        <v>-269.55082466172371</v>
      </c>
      <c r="AO146" s="527">
        <f t="shared" si="231"/>
        <v>-269.55082466172371</v>
      </c>
      <c r="AP146" s="527">
        <f t="shared" si="231"/>
        <v>-272.44184115495807</v>
      </c>
      <c r="AQ146" s="527">
        <f t="shared" si="231"/>
        <v>-272.44184115495807</v>
      </c>
      <c r="AR146" s="527">
        <f t="shared" si="231"/>
        <v>-272.44184115495807</v>
      </c>
      <c r="AS146" s="527">
        <f t="shared" si="231"/>
        <v>-272.44184115495807</v>
      </c>
      <c r="AT146" s="527">
        <f t="shared" si="231"/>
        <v>-272.44184115495807</v>
      </c>
      <c r="AU146" s="527">
        <f t="shared" si="231"/>
        <v>-272.44184115495807</v>
      </c>
      <c r="AV146" s="527">
        <f t="shared" si="231"/>
        <v>-272.44184115495807</v>
      </c>
      <c r="AW146" s="527">
        <f t="shared" si="231"/>
        <v>-272.44184115495807</v>
      </c>
      <c r="AX146" s="527">
        <f t="shared" ref="AX146:BY146" si="232">IFERROR(AX23/AX$19,0)</f>
        <v>-272.44184115495807</v>
      </c>
      <c r="AY146" s="527">
        <f t="shared" si="232"/>
        <v>-272.44184115495807</v>
      </c>
      <c r="AZ146" s="527">
        <f t="shared" si="232"/>
        <v>-272.44184115495807</v>
      </c>
      <c r="BA146" s="527">
        <f t="shared" si="232"/>
        <v>-272.44184115495807</v>
      </c>
      <c r="BB146" s="527">
        <f t="shared" si="232"/>
        <v>-275.39067797805728</v>
      </c>
      <c r="BC146" s="527">
        <f t="shared" si="232"/>
        <v>-275.39067797805728</v>
      </c>
      <c r="BD146" s="527">
        <f t="shared" si="232"/>
        <v>-275.39067797805728</v>
      </c>
      <c r="BE146" s="527">
        <f t="shared" si="232"/>
        <v>-275.39067797805728</v>
      </c>
      <c r="BF146" s="527">
        <f t="shared" si="232"/>
        <v>-275.39067797805728</v>
      </c>
      <c r="BG146" s="527">
        <f t="shared" si="232"/>
        <v>-275.39067797805728</v>
      </c>
      <c r="BH146" s="527">
        <f t="shared" si="232"/>
        <v>-275.39067797805734</v>
      </c>
      <c r="BI146" s="527">
        <f t="shared" si="232"/>
        <v>-275.39067797805734</v>
      </c>
      <c r="BJ146" s="527">
        <f t="shared" si="232"/>
        <v>-275.39067797805734</v>
      </c>
      <c r="BK146" s="527">
        <f t="shared" si="232"/>
        <v>-275.39067797805734</v>
      </c>
      <c r="BL146" s="527">
        <f t="shared" si="232"/>
        <v>-275.39067797805734</v>
      </c>
      <c r="BM146" s="527">
        <f t="shared" si="232"/>
        <v>-275.39067797805734</v>
      </c>
      <c r="BN146" s="527">
        <f t="shared" si="232"/>
        <v>-278.39849153761844</v>
      </c>
      <c r="BO146" s="527">
        <f t="shared" si="232"/>
        <v>-278.39849153761844</v>
      </c>
      <c r="BP146" s="527">
        <f t="shared" si="232"/>
        <v>-278.39849153761844</v>
      </c>
      <c r="BQ146" s="527">
        <f t="shared" si="232"/>
        <v>-278.39849153761844</v>
      </c>
      <c r="BR146" s="527">
        <f t="shared" si="232"/>
        <v>-278.39849153761844</v>
      </c>
      <c r="BS146" s="527">
        <f t="shared" si="232"/>
        <v>-278.39849153761844</v>
      </c>
      <c r="BT146" s="527">
        <f t="shared" si="232"/>
        <v>-278.39849153761838</v>
      </c>
      <c r="BU146" s="527">
        <f t="shared" si="232"/>
        <v>-278.39849153761838</v>
      </c>
      <c r="BV146" s="527">
        <f t="shared" si="232"/>
        <v>-278.39849153761838</v>
      </c>
      <c r="BW146" s="527">
        <f t="shared" si="232"/>
        <v>-278.39849153761838</v>
      </c>
      <c r="BX146" s="527">
        <f t="shared" si="232"/>
        <v>-278.39849153761838</v>
      </c>
      <c r="BY146" s="527">
        <f t="shared" si="232"/>
        <v>-278.39849153761838</v>
      </c>
    </row>
    <row r="147" spans="1:77" x14ac:dyDescent="0.3">
      <c r="A147" s="551"/>
      <c r="B147" s="548"/>
      <c r="C147" s="525"/>
      <c r="D147" s="525"/>
      <c r="E147" s="525" t="s">
        <v>55</v>
      </c>
      <c r="F147" s="567"/>
      <c r="G147" s="567"/>
      <c r="H147" s="567"/>
      <c r="I147" s="527">
        <f t="shared" si="228"/>
        <v>-53.857794685460277</v>
      </c>
      <c r="J147" s="527">
        <f t="shared" si="228"/>
        <v>-54.934950579169488</v>
      </c>
      <c r="K147" s="527">
        <f t="shared" si="228"/>
        <v>-56.03364959075288</v>
      </c>
      <c r="L147" s="527">
        <f t="shared" si="228"/>
        <v>-57.154322582567936</v>
      </c>
      <c r="M147" s="527">
        <f t="shared" si="228"/>
        <v>-58.297409034219314</v>
      </c>
      <c r="N147" s="527">
        <f t="shared" si="228"/>
        <v>-59.463357214903702</v>
      </c>
      <c r="O147" s="529"/>
      <c r="P147" s="562"/>
      <c r="Q147" s="537"/>
      <c r="R147" s="527">
        <f t="shared" ref="R147:AW147" si="233">IFERROR(R24/R$19,0)</f>
        <v>-54.934950579169474</v>
      </c>
      <c r="S147" s="527">
        <f t="shared" si="233"/>
        <v>-54.934950579169474</v>
      </c>
      <c r="T147" s="527">
        <f t="shared" si="233"/>
        <v>-54.934950579169474</v>
      </c>
      <c r="U147" s="527">
        <f t="shared" si="233"/>
        <v>-54.934950579169474</v>
      </c>
      <c r="V147" s="527">
        <f t="shared" si="233"/>
        <v>-54.934950579169474</v>
      </c>
      <c r="W147" s="527">
        <f t="shared" si="233"/>
        <v>-54.934950579169474</v>
      </c>
      <c r="X147" s="527">
        <f t="shared" si="233"/>
        <v>-54.934950579169474</v>
      </c>
      <c r="Y147" s="527">
        <f t="shared" si="233"/>
        <v>-54.934950579169474</v>
      </c>
      <c r="Z147" s="527">
        <f t="shared" si="233"/>
        <v>-54.934950579169474</v>
      </c>
      <c r="AA147" s="527">
        <f t="shared" si="233"/>
        <v>-54.934950579169474</v>
      </c>
      <c r="AB147" s="527">
        <f t="shared" si="233"/>
        <v>-54.934950579169474</v>
      </c>
      <c r="AC147" s="527">
        <f t="shared" si="233"/>
        <v>-54.934950579169474</v>
      </c>
      <c r="AD147" s="527">
        <f t="shared" si="233"/>
        <v>-56.033649590752873</v>
      </c>
      <c r="AE147" s="527">
        <f t="shared" si="233"/>
        <v>-56.033649590752873</v>
      </c>
      <c r="AF147" s="527">
        <f t="shared" si="233"/>
        <v>-56.033649590752873</v>
      </c>
      <c r="AG147" s="527">
        <f t="shared" si="233"/>
        <v>-56.033649590752873</v>
      </c>
      <c r="AH147" s="527">
        <f t="shared" si="233"/>
        <v>-56.033649590752873</v>
      </c>
      <c r="AI147" s="527">
        <f t="shared" si="233"/>
        <v>-56.033649590752873</v>
      </c>
      <c r="AJ147" s="527">
        <f t="shared" si="233"/>
        <v>-56.03364959075288</v>
      </c>
      <c r="AK147" s="527">
        <f t="shared" si="233"/>
        <v>-56.03364959075288</v>
      </c>
      <c r="AL147" s="527">
        <f t="shared" si="233"/>
        <v>-56.03364959075288</v>
      </c>
      <c r="AM147" s="527">
        <f t="shared" si="233"/>
        <v>-56.03364959075288</v>
      </c>
      <c r="AN147" s="527">
        <f t="shared" si="233"/>
        <v>-56.03364959075288</v>
      </c>
      <c r="AO147" s="527">
        <f t="shared" si="233"/>
        <v>-56.03364959075288</v>
      </c>
      <c r="AP147" s="527">
        <f t="shared" si="233"/>
        <v>-57.154322582567922</v>
      </c>
      <c r="AQ147" s="527">
        <f t="shared" si="233"/>
        <v>-57.154322582567922</v>
      </c>
      <c r="AR147" s="527">
        <f t="shared" si="233"/>
        <v>-57.154322582567922</v>
      </c>
      <c r="AS147" s="527">
        <f t="shared" si="233"/>
        <v>-57.154322582567922</v>
      </c>
      <c r="AT147" s="527">
        <f t="shared" si="233"/>
        <v>-57.154322582567922</v>
      </c>
      <c r="AU147" s="527">
        <f t="shared" si="233"/>
        <v>-57.154322582567922</v>
      </c>
      <c r="AV147" s="527">
        <f t="shared" si="233"/>
        <v>-57.154322582567936</v>
      </c>
      <c r="AW147" s="527">
        <f t="shared" si="233"/>
        <v>-57.154322582567936</v>
      </c>
      <c r="AX147" s="527">
        <f t="shared" ref="AX147:BY147" si="234">IFERROR(AX24/AX$19,0)</f>
        <v>-57.154322582567936</v>
      </c>
      <c r="AY147" s="527">
        <f t="shared" si="234"/>
        <v>-57.154322582567936</v>
      </c>
      <c r="AZ147" s="527">
        <f t="shared" si="234"/>
        <v>-57.154322582567936</v>
      </c>
      <c r="BA147" s="527">
        <f t="shared" si="234"/>
        <v>-57.154322582567936</v>
      </c>
      <c r="BB147" s="527">
        <f t="shared" si="234"/>
        <v>-58.297409034219307</v>
      </c>
      <c r="BC147" s="527">
        <f t="shared" si="234"/>
        <v>-58.297409034219307</v>
      </c>
      <c r="BD147" s="527">
        <f t="shared" si="234"/>
        <v>-58.297409034219307</v>
      </c>
      <c r="BE147" s="527">
        <f t="shared" si="234"/>
        <v>-58.297409034219307</v>
      </c>
      <c r="BF147" s="527">
        <f t="shared" si="234"/>
        <v>-58.297409034219307</v>
      </c>
      <c r="BG147" s="527">
        <f t="shared" si="234"/>
        <v>-58.297409034219307</v>
      </c>
      <c r="BH147" s="527">
        <f t="shared" si="234"/>
        <v>-58.297409034219314</v>
      </c>
      <c r="BI147" s="527">
        <f t="shared" si="234"/>
        <v>-58.297409034219314</v>
      </c>
      <c r="BJ147" s="527">
        <f t="shared" si="234"/>
        <v>-58.297409034219314</v>
      </c>
      <c r="BK147" s="527">
        <f t="shared" si="234"/>
        <v>-58.297409034219314</v>
      </c>
      <c r="BL147" s="527">
        <f t="shared" si="234"/>
        <v>-58.297409034219314</v>
      </c>
      <c r="BM147" s="527">
        <f t="shared" si="234"/>
        <v>-58.297409034219314</v>
      </c>
      <c r="BN147" s="527">
        <f t="shared" si="234"/>
        <v>-59.463357214903688</v>
      </c>
      <c r="BO147" s="527">
        <f t="shared" si="234"/>
        <v>-59.463357214903688</v>
      </c>
      <c r="BP147" s="527">
        <f t="shared" si="234"/>
        <v>-59.463357214903688</v>
      </c>
      <c r="BQ147" s="527">
        <f t="shared" si="234"/>
        <v>-59.463357214903688</v>
      </c>
      <c r="BR147" s="527">
        <f t="shared" si="234"/>
        <v>-59.463357214903688</v>
      </c>
      <c r="BS147" s="527">
        <f t="shared" si="234"/>
        <v>-59.463357214903688</v>
      </c>
      <c r="BT147" s="527">
        <f t="shared" si="234"/>
        <v>-59.463357214903688</v>
      </c>
      <c r="BU147" s="527">
        <f t="shared" si="234"/>
        <v>-59.463357214903688</v>
      </c>
      <c r="BV147" s="527">
        <f t="shared" si="234"/>
        <v>-59.463357214903688</v>
      </c>
      <c r="BW147" s="527">
        <f t="shared" si="234"/>
        <v>-59.463357214903688</v>
      </c>
      <c r="BX147" s="527">
        <f t="shared" si="234"/>
        <v>-59.463357214903688</v>
      </c>
      <c r="BY147" s="527">
        <f t="shared" si="234"/>
        <v>-59.463357214903688</v>
      </c>
    </row>
    <row r="148" spans="1:77" x14ac:dyDescent="0.3">
      <c r="A148" s="551"/>
      <c r="B148" s="548"/>
      <c r="C148" s="525"/>
      <c r="D148" s="525"/>
      <c r="E148" s="525" t="s">
        <v>56</v>
      </c>
      <c r="F148" s="567"/>
      <c r="G148" s="567"/>
      <c r="H148" s="567"/>
      <c r="I148" s="527">
        <f t="shared" ref="I148:N148" si="235">IFERROR(I26/I$19,0)</f>
        <v>-106.86442820912566</v>
      </c>
      <c r="J148" s="527">
        <f t="shared" si="235"/>
        <v>-111.63875024847742</v>
      </c>
      <c r="K148" s="527">
        <f t="shared" si="235"/>
        <v>-116.45854683523238</v>
      </c>
      <c r="L148" s="527">
        <f t="shared" si="235"/>
        <v>-121.28564192897358</v>
      </c>
      <c r="M148" s="527">
        <f t="shared" si="235"/>
        <v>-126.08838720464605</v>
      </c>
      <c r="N148" s="527">
        <f t="shared" si="235"/>
        <v>-131.05630420527262</v>
      </c>
      <c r="O148" s="529"/>
      <c r="P148" s="562"/>
      <c r="Q148" s="537"/>
      <c r="R148" s="527">
        <f t="shared" ref="R148:AW148" si="236">IFERROR(R26/R$19,0)</f>
        <v>-111.63875024847742</v>
      </c>
      <c r="S148" s="527">
        <f t="shared" si="236"/>
        <v>-111.63875024847742</v>
      </c>
      <c r="T148" s="527">
        <f t="shared" si="236"/>
        <v>-111.63875024847742</v>
      </c>
      <c r="U148" s="527">
        <f t="shared" si="236"/>
        <v>-111.63875024847742</v>
      </c>
      <c r="V148" s="527">
        <f t="shared" si="236"/>
        <v>-111.63875024847742</v>
      </c>
      <c r="W148" s="527">
        <f t="shared" si="236"/>
        <v>-111.63875024847742</v>
      </c>
      <c r="X148" s="527">
        <f t="shared" si="236"/>
        <v>-111.63875024847744</v>
      </c>
      <c r="Y148" s="527">
        <f t="shared" si="236"/>
        <v>-111.63875024847744</v>
      </c>
      <c r="Z148" s="527">
        <f t="shared" si="236"/>
        <v>-111.63875024847744</v>
      </c>
      <c r="AA148" s="527">
        <f t="shared" si="236"/>
        <v>-111.63875024847744</v>
      </c>
      <c r="AB148" s="527">
        <f t="shared" si="236"/>
        <v>-111.63875024847744</v>
      </c>
      <c r="AC148" s="527">
        <f t="shared" si="236"/>
        <v>-111.63875024847744</v>
      </c>
      <c r="AD148" s="527">
        <f t="shared" si="236"/>
        <v>-116.45854683523238</v>
      </c>
      <c r="AE148" s="527">
        <f t="shared" si="236"/>
        <v>-116.45854683523238</v>
      </c>
      <c r="AF148" s="527">
        <f t="shared" si="236"/>
        <v>-116.45854683523238</v>
      </c>
      <c r="AG148" s="527">
        <f t="shared" si="236"/>
        <v>-116.45854683523238</v>
      </c>
      <c r="AH148" s="527">
        <f t="shared" si="236"/>
        <v>-116.45854683523238</v>
      </c>
      <c r="AI148" s="527">
        <f t="shared" si="236"/>
        <v>-116.45854683523238</v>
      </c>
      <c r="AJ148" s="527">
        <f t="shared" si="236"/>
        <v>-116.4585468352324</v>
      </c>
      <c r="AK148" s="527">
        <f t="shared" si="236"/>
        <v>-116.4585468352324</v>
      </c>
      <c r="AL148" s="527">
        <f t="shared" si="236"/>
        <v>-116.4585468352324</v>
      </c>
      <c r="AM148" s="527">
        <f t="shared" si="236"/>
        <v>-116.4585468352324</v>
      </c>
      <c r="AN148" s="527">
        <f t="shared" si="236"/>
        <v>-116.4585468352324</v>
      </c>
      <c r="AO148" s="527">
        <f t="shared" si="236"/>
        <v>-116.4585468352324</v>
      </c>
      <c r="AP148" s="527">
        <f t="shared" si="236"/>
        <v>-121.28564192897359</v>
      </c>
      <c r="AQ148" s="527">
        <f t="shared" si="236"/>
        <v>-121.28564192897359</v>
      </c>
      <c r="AR148" s="527">
        <f t="shared" si="236"/>
        <v>-121.28564192897359</v>
      </c>
      <c r="AS148" s="527">
        <f t="shared" si="236"/>
        <v>-121.28564192897359</v>
      </c>
      <c r="AT148" s="527">
        <f t="shared" si="236"/>
        <v>-121.28564192897359</v>
      </c>
      <c r="AU148" s="527">
        <f t="shared" si="236"/>
        <v>-121.28564192897359</v>
      </c>
      <c r="AV148" s="527">
        <f t="shared" si="236"/>
        <v>-121.28564192897362</v>
      </c>
      <c r="AW148" s="527">
        <f t="shared" si="236"/>
        <v>-121.28564192897362</v>
      </c>
      <c r="AX148" s="527">
        <f t="shared" ref="AX148:BY148" si="237">IFERROR(AX26/AX$19,0)</f>
        <v>-121.28564192897362</v>
      </c>
      <c r="AY148" s="527">
        <f t="shared" si="237"/>
        <v>-121.28564192897362</v>
      </c>
      <c r="AZ148" s="527">
        <f t="shared" si="237"/>
        <v>-121.28564192897362</v>
      </c>
      <c r="BA148" s="527">
        <f t="shared" si="237"/>
        <v>-121.28564192897362</v>
      </c>
      <c r="BB148" s="527">
        <f t="shared" si="237"/>
        <v>-126.08838720464604</v>
      </c>
      <c r="BC148" s="527">
        <f t="shared" si="237"/>
        <v>-126.08838720464604</v>
      </c>
      <c r="BD148" s="527">
        <f t="shared" si="237"/>
        <v>-126.08838720464604</v>
      </c>
      <c r="BE148" s="527">
        <f t="shared" si="237"/>
        <v>-126.08838720464604</v>
      </c>
      <c r="BF148" s="527">
        <f t="shared" si="237"/>
        <v>-126.08838720464604</v>
      </c>
      <c r="BG148" s="527">
        <f t="shared" si="237"/>
        <v>-126.08838720464604</v>
      </c>
      <c r="BH148" s="527">
        <f t="shared" si="237"/>
        <v>-126.08838720464604</v>
      </c>
      <c r="BI148" s="527">
        <f t="shared" si="237"/>
        <v>-126.08838720464604</v>
      </c>
      <c r="BJ148" s="527">
        <f t="shared" si="237"/>
        <v>-126.08838720464604</v>
      </c>
      <c r="BK148" s="527">
        <f t="shared" si="237"/>
        <v>-126.08838720464604</v>
      </c>
      <c r="BL148" s="527">
        <f t="shared" si="237"/>
        <v>-126.08838720464604</v>
      </c>
      <c r="BM148" s="527">
        <f t="shared" si="237"/>
        <v>-126.08838720464604</v>
      </c>
      <c r="BN148" s="527">
        <f t="shared" si="237"/>
        <v>-131.05630420527262</v>
      </c>
      <c r="BO148" s="527">
        <f t="shared" si="237"/>
        <v>-131.05630420527262</v>
      </c>
      <c r="BP148" s="527">
        <f t="shared" si="237"/>
        <v>-131.05630420527262</v>
      </c>
      <c r="BQ148" s="527">
        <f t="shared" si="237"/>
        <v>-131.05630420527262</v>
      </c>
      <c r="BR148" s="527">
        <f t="shared" si="237"/>
        <v>-131.05630420527262</v>
      </c>
      <c r="BS148" s="527">
        <f t="shared" si="237"/>
        <v>-131.05630420527262</v>
      </c>
      <c r="BT148" s="527">
        <f t="shared" si="237"/>
        <v>-131.05630420527262</v>
      </c>
      <c r="BU148" s="527">
        <f t="shared" si="237"/>
        <v>-131.05630420527262</v>
      </c>
      <c r="BV148" s="527">
        <f t="shared" si="237"/>
        <v>-131.05630420527262</v>
      </c>
      <c r="BW148" s="527">
        <f t="shared" si="237"/>
        <v>-131.05630420527262</v>
      </c>
      <c r="BX148" s="527">
        <f t="shared" si="237"/>
        <v>-131.05630420527262</v>
      </c>
      <c r="BY148" s="527">
        <f t="shared" si="237"/>
        <v>-131.05630420527262</v>
      </c>
    </row>
    <row r="149" spans="1:77" x14ac:dyDescent="0.3">
      <c r="A149" s="551"/>
      <c r="B149" s="548"/>
      <c r="C149" s="525"/>
      <c r="D149" s="525"/>
      <c r="E149" s="566"/>
      <c r="F149" s="581"/>
      <c r="G149" s="581"/>
      <c r="H149" s="581"/>
      <c r="I149" s="536"/>
      <c r="J149" s="536"/>
      <c r="K149" s="536"/>
      <c r="L149" s="536"/>
      <c r="M149" s="536"/>
      <c r="N149" s="536"/>
      <c r="O149" s="536"/>
      <c r="P149" s="582"/>
      <c r="Q149" s="537"/>
      <c r="R149" s="536"/>
      <c r="S149" s="536"/>
      <c r="T149" s="536"/>
      <c r="U149" s="536"/>
      <c r="V149" s="536"/>
      <c r="W149" s="536"/>
      <c r="X149" s="536"/>
      <c r="Y149" s="536"/>
      <c r="Z149" s="536"/>
      <c r="AA149" s="536"/>
      <c r="AB149" s="536"/>
      <c r="AC149" s="536"/>
      <c r="AD149" s="536"/>
      <c r="AE149" s="536"/>
      <c r="AF149" s="536"/>
      <c r="AG149" s="536"/>
      <c r="AH149" s="536"/>
      <c r="AI149" s="536"/>
      <c r="AJ149" s="536"/>
      <c r="AK149" s="536"/>
      <c r="AL149" s="536"/>
      <c r="AM149" s="536"/>
      <c r="AN149" s="536"/>
      <c r="AO149" s="536"/>
      <c r="AP149" s="536"/>
      <c r="AQ149" s="536"/>
      <c r="AR149" s="536"/>
      <c r="AS149" s="536"/>
      <c r="AT149" s="536"/>
      <c r="AU149" s="536"/>
      <c r="AV149" s="536"/>
      <c r="AW149" s="536"/>
      <c r="AX149" s="536"/>
      <c r="AY149" s="536"/>
      <c r="AZ149" s="536"/>
      <c r="BA149" s="536"/>
      <c r="BB149" s="536"/>
      <c r="BC149" s="536"/>
      <c r="BD149" s="536"/>
      <c r="BE149" s="536"/>
      <c r="BF149" s="536"/>
      <c r="BG149" s="536"/>
      <c r="BH149" s="536"/>
      <c r="BI149" s="536"/>
      <c r="BJ149" s="536"/>
      <c r="BK149" s="536"/>
      <c r="BL149" s="536"/>
      <c r="BM149" s="536"/>
      <c r="BN149" s="536"/>
      <c r="BO149" s="536"/>
      <c r="BP149" s="536"/>
      <c r="BQ149" s="536"/>
      <c r="BR149" s="536"/>
      <c r="BS149" s="536"/>
      <c r="BT149" s="536"/>
      <c r="BU149" s="536"/>
      <c r="BV149" s="536"/>
      <c r="BW149" s="536"/>
      <c r="BX149" s="536"/>
      <c r="BY149" s="536"/>
    </row>
    <row r="150" spans="1:77" x14ac:dyDescent="0.3">
      <c r="A150" s="551"/>
      <c r="B150" s="548"/>
      <c r="C150" s="525"/>
      <c r="D150" s="525"/>
      <c r="E150" s="566"/>
      <c r="F150" s="581"/>
      <c r="G150" s="581"/>
      <c r="H150" s="581"/>
      <c r="I150" s="536"/>
      <c r="J150" s="536"/>
      <c r="K150" s="536"/>
      <c r="L150" s="536"/>
      <c r="M150" s="536"/>
      <c r="N150" s="536"/>
      <c r="O150" s="536"/>
      <c r="P150" s="582"/>
      <c r="Q150" s="537"/>
      <c r="R150" s="536"/>
      <c r="S150" s="536"/>
      <c r="T150" s="536"/>
      <c r="U150" s="536"/>
      <c r="V150" s="536"/>
      <c r="W150" s="536"/>
      <c r="X150" s="536"/>
      <c r="Y150" s="536"/>
      <c r="Z150" s="536"/>
      <c r="AA150" s="536"/>
      <c r="AB150" s="536"/>
      <c r="AC150" s="536"/>
      <c r="AD150" s="536"/>
      <c r="AE150" s="536"/>
      <c r="AF150" s="536"/>
      <c r="AG150" s="536"/>
      <c r="AH150" s="536"/>
      <c r="AI150" s="536"/>
      <c r="AJ150" s="536"/>
      <c r="AK150" s="536"/>
      <c r="AL150" s="536"/>
      <c r="AM150" s="536"/>
      <c r="AN150" s="536"/>
      <c r="AO150" s="536"/>
      <c r="AP150" s="536"/>
      <c r="AQ150" s="536"/>
      <c r="AR150" s="536"/>
      <c r="AS150" s="536"/>
      <c r="AT150" s="536"/>
      <c r="AU150" s="536"/>
      <c r="AV150" s="536"/>
      <c r="AW150" s="536"/>
      <c r="AX150" s="536"/>
      <c r="AY150" s="536"/>
      <c r="AZ150" s="536"/>
      <c r="BA150" s="536"/>
      <c r="BB150" s="536"/>
      <c r="BC150" s="536"/>
      <c r="BD150" s="536"/>
      <c r="BE150" s="536"/>
      <c r="BF150" s="536"/>
      <c r="BG150" s="536"/>
      <c r="BH150" s="536"/>
      <c r="BI150" s="536"/>
      <c r="BJ150" s="536"/>
      <c r="BK150" s="536"/>
      <c r="BL150" s="536"/>
      <c r="BM150" s="536"/>
      <c r="BN150" s="536"/>
      <c r="BO150" s="536"/>
      <c r="BP150" s="536"/>
      <c r="BQ150" s="536"/>
      <c r="BR150" s="536"/>
      <c r="BS150" s="536"/>
      <c r="BT150" s="536"/>
      <c r="BU150" s="536"/>
      <c r="BV150" s="536"/>
      <c r="BW150" s="536"/>
      <c r="BX150" s="536"/>
      <c r="BY150" s="536"/>
    </row>
    <row r="151" spans="1:77" x14ac:dyDescent="0.3">
      <c r="A151" s="551"/>
      <c r="B151" s="548"/>
      <c r="C151" s="560" t="s">
        <v>37</v>
      </c>
      <c r="D151" s="561"/>
      <c r="E151" s="526" t="s">
        <v>72</v>
      </c>
      <c r="F151" s="526"/>
      <c r="G151" s="526"/>
      <c r="H151" s="526"/>
      <c r="I151" s="526"/>
      <c r="J151" s="526"/>
      <c r="K151" s="526"/>
      <c r="L151" s="526"/>
      <c r="M151" s="526"/>
      <c r="N151" s="526"/>
      <c r="O151" s="526"/>
      <c r="P151" s="560"/>
      <c r="Q151" s="526"/>
      <c r="R151" s="526"/>
      <c r="S151" s="526"/>
      <c r="T151" s="526"/>
      <c r="U151" s="526"/>
      <c r="V151" s="526"/>
      <c r="W151" s="526"/>
      <c r="X151" s="526"/>
      <c r="Y151" s="526"/>
      <c r="Z151" s="526"/>
      <c r="AA151" s="526"/>
      <c r="AB151" s="526"/>
      <c r="AC151" s="526"/>
      <c r="AD151" s="526"/>
      <c r="AE151" s="526"/>
      <c r="AF151" s="526"/>
      <c r="AG151" s="526"/>
      <c r="AH151" s="526"/>
      <c r="AI151" s="526"/>
      <c r="AJ151" s="526"/>
      <c r="AK151" s="526"/>
      <c r="AL151" s="526"/>
      <c r="AM151" s="526"/>
      <c r="AN151" s="526"/>
      <c r="AO151" s="526"/>
      <c r="AP151" s="526"/>
      <c r="AQ151" s="526"/>
      <c r="AR151" s="526"/>
      <c r="AS151" s="526"/>
      <c r="AT151" s="526"/>
      <c r="AU151" s="526"/>
      <c r="AV151" s="526"/>
      <c r="AW151" s="526"/>
      <c r="AX151" s="526"/>
      <c r="AY151" s="526"/>
      <c r="AZ151" s="526"/>
      <c r="BA151" s="526"/>
      <c r="BB151" s="526"/>
      <c r="BC151" s="526"/>
      <c r="BD151" s="526"/>
      <c r="BE151" s="526"/>
      <c r="BF151" s="526"/>
      <c r="BG151" s="526"/>
      <c r="BH151" s="526"/>
      <c r="BI151" s="526"/>
      <c r="BJ151" s="526"/>
      <c r="BK151" s="526"/>
      <c r="BL151" s="526"/>
      <c r="BM151" s="526"/>
      <c r="BN151" s="526"/>
      <c r="BO151" s="526"/>
      <c r="BP151" s="526"/>
      <c r="BQ151" s="526"/>
      <c r="BR151" s="526"/>
      <c r="BS151" s="526"/>
      <c r="BT151" s="526"/>
      <c r="BU151" s="526"/>
      <c r="BV151" s="526"/>
      <c r="BW151" s="526"/>
      <c r="BX151" s="526"/>
      <c r="BY151" s="526"/>
    </row>
    <row r="152" spans="1:77" x14ac:dyDescent="0.3">
      <c r="A152" s="551"/>
      <c r="B152" s="548"/>
      <c r="C152" s="525"/>
      <c r="D152" s="525"/>
      <c r="E152" s="525"/>
      <c r="F152" s="525"/>
      <c r="G152" s="525"/>
      <c r="H152" s="525"/>
      <c r="I152" s="525"/>
      <c r="J152" s="525"/>
      <c r="K152" s="525"/>
      <c r="L152" s="525"/>
      <c r="M152" s="525"/>
      <c r="N152" s="525"/>
      <c r="O152" s="525"/>
      <c r="P152" s="565"/>
      <c r="Q152" s="525"/>
      <c r="R152" s="525"/>
      <c r="S152" s="525"/>
      <c r="T152" s="525"/>
      <c r="U152" s="525"/>
      <c r="V152" s="525"/>
      <c r="W152" s="525"/>
      <c r="X152" s="525"/>
      <c r="Y152" s="525"/>
      <c r="Z152" s="525"/>
      <c r="AA152" s="525"/>
      <c r="AB152" s="525"/>
      <c r="AC152" s="525"/>
      <c r="AD152" s="525"/>
      <c r="AE152" s="525"/>
      <c r="AF152" s="525"/>
      <c r="AG152" s="525"/>
      <c r="AH152" s="525"/>
      <c r="AI152" s="525"/>
      <c r="AJ152" s="525"/>
      <c r="AK152" s="525"/>
      <c r="AL152" s="525"/>
      <c r="AM152" s="525"/>
      <c r="AN152" s="525"/>
      <c r="AO152" s="525"/>
      <c r="AP152" s="525"/>
      <c r="AQ152" s="525"/>
      <c r="AR152" s="525"/>
      <c r="AS152" s="525"/>
      <c r="AT152" s="525"/>
      <c r="AU152" s="525"/>
      <c r="AV152" s="525"/>
      <c r="AW152" s="525"/>
      <c r="AX152" s="525"/>
      <c r="AY152" s="525"/>
      <c r="AZ152" s="525"/>
      <c r="BA152" s="525"/>
      <c r="BB152" s="525"/>
      <c r="BC152" s="525"/>
      <c r="BD152" s="525"/>
      <c r="BE152" s="525"/>
      <c r="BF152" s="525"/>
      <c r="BG152" s="525"/>
      <c r="BH152" s="525"/>
      <c r="BI152" s="525"/>
      <c r="BJ152" s="525"/>
      <c r="BK152" s="525"/>
      <c r="BL152" s="525"/>
      <c r="BM152" s="525"/>
      <c r="BN152" s="525"/>
      <c r="BO152" s="525"/>
      <c r="BP152" s="525"/>
      <c r="BQ152" s="525"/>
      <c r="BR152" s="525"/>
      <c r="BS152" s="525"/>
      <c r="BT152" s="525"/>
      <c r="BU152" s="525"/>
      <c r="BV152" s="525"/>
      <c r="BW152" s="525"/>
      <c r="BX152" s="525"/>
      <c r="BY152" s="525"/>
    </row>
    <row r="153" spans="1:77" x14ac:dyDescent="0.3">
      <c r="A153" s="551"/>
      <c r="B153" s="548"/>
      <c r="C153" s="525"/>
      <c r="D153" s="525"/>
      <c r="E153" s="525"/>
      <c r="F153" s="525"/>
      <c r="G153" s="525"/>
      <c r="H153" s="525"/>
      <c r="I153" s="525"/>
      <c r="J153" s="525"/>
      <c r="K153" s="525"/>
      <c r="L153" s="525"/>
      <c r="M153" s="525"/>
      <c r="N153" s="525"/>
      <c r="O153" s="525"/>
      <c r="P153" s="565"/>
      <c r="Q153" s="525"/>
      <c r="R153" s="583" t="s">
        <v>74</v>
      </c>
      <c r="S153" s="583"/>
      <c r="T153" s="583"/>
      <c r="U153" s="583"/>
      <c r="V153" s="583"/>
      <c r="W153" s="583"/>
      <c r="X153" s="525"/>
      <c r="Y153" s="583" t="s">
        <v>75</v>
      </c>
      <c r="Z153" s="583"/>
      <c r="AA153" s="583"/>
      <c r="AB153" s="583"/>
      <c r="AC153" s="583"/>
      <c r="AD153" s="525"/>
      <c r="AE153" s="583" t="s">
        <v>76</v>
      </c>
      <c r="AF153" s="583"/>
      <c r="AG153" s="525"/>
      <c r="AH153" s="525"/>
      <c r="AI153" s="525"/>
      <c r="AJ153" s="525"/>
      <c r="AK153" s="525"/>
      <c r="AL153" s="525"/>
      <c r="AM153" s="525"/>
      <c r="AN153" s="525"/>
      <c r="AO153" s="525"/>
      <c r="AP153" s="525"/>
      <c r="AQ153" s="525"/>
      <c r="AR153" s="525"/>
      <c r="AS153" s="525"/>
      <c r="AT153" s="525"/>
      <c r="AU153" s="525"/>
      <c r="AV153" s="525"/>
      <c r="AW153" s="525"/>
      <c r="AX153" s="525"/>
      <c r="AY153" s="525"/>
      <c r="AZ153" s="525"/>
      <c r="BA153" s="525"/>
      <c r="BB153" s="525"/>
      <c r="BC153" s="525"/>
      <c r="BD153" s="525"/>
      <c r="BE153" s="525"/>
      <c r="BF153" s="525"/>
      <c r="BG153" s="525"/>
      <c r="BH153" s="525"/>
      <c r="BI153" s="525"/>
      <c r="BJ153" s="525"/>
      <c r="BK153" s="525"/>
      <c r="BL153" s="525"/>
      <c r="BM153" s="525"/>
      <c r="BN153" s="525"/>
      <c r="BO153" s="525"/>
      <c r="BP153" s="525"/>
      <c r="BQ153" s="525"/>
      <c r="BR153" s="525"/>
      <c r="BS153" s="525"/>
      <c r="BT153" s="525"/>
      <c r="BU153" s="525"/>
      <c r="BV153" s="525"/>
      <c r="BW153" s="525"/>
      <c r="BX153" s="525"/>
      <c r="BY153" s="525"/>
    </row>
    <row r="154" spans="1:77" x14ac:dyDescent="0.3">
      <c r="A154" s="551"/>
      <c r="B154" s="548"/>
      <c r="C154" s="525"/>
      <c r="D154" s="525"/>
      <c r="E154" s="538"/>
      <c r="F154" s="538"/>
      <c r="G154" s="538"/>
      <c r="H154" s="538"/>
      <c r="I154" s="538"/>
      <c r="J154" s="538"/>
      <c r="K154" s="538"/>
      <c r="L154" s="538"/>
      <c r="M154" s="538"/>
      <c r="N154" s="538"/>
      <c r="O154" s="538"/>
      <c r="P154" s="584" t="s">
        <v>275</v>
      </c>
      <c r="Q154" s="584" t="str">
        <f>"Share of "&amp;B3</f>
        <v>Share of Portfolio</v>
      </c>
      <c r="R154" s="585" t="s">
        <v>77</v>
      </c>
      <c r="S154" s="585" t="s">
        <v>78</v>
      </c>
      <c r="T154" s="585" t="s">
        <v>79</v>
      </c>
      <c r="U154" s="585" t="s">
        <v>80</v>
      </c>
      <c r="V154" s="585" t="s">
        <v>81</v>
      </c>
      <c r="W154" s="585" t="s">
        <v>82</v>
      </c>
      <c r="X154" s="525"/>
      <c r="Y154" s="586">
        <v>1</v>
      </c>
      <c r="Z154" s="586">
        <v>2</v>
      </c>
      <c r="AA154" s="586">
        <v>3</v>
      </c>
      <c r="AB154" s="586">
        <v>4</v>
      </c>
      <c r="AC154" s="586">
        <v>5</v>
      </c>
      <c r="AD154" s="525"/>
      <c r="AE154" s="585" t="s">
        <v>83</v>
      </c>
      <c r="AF154" s="585" t="s">
        <v>84</v>
      </c>
      <c r="AG154" s="525"/>
      <c r="AH154" s="587" t="s">
        <v>85</v>
      </c>
      <c r="AI154" s="587" t="s">
        <v>86</v>
      </c>
      <c r="AJ154" s="587" t="s">
        <v>87</v>
      </c>
      <c r="AK154" s="587" t="s">
        <v>88</v>
      </c>
      <c r="AL154" s="587" t="s">
        <v>89</v>
      </c>
      <c r="AM154" s="537"/>
      <c r="AN154" s="537"/>
      <c r="AO154" s="537"/>
      <c r="AP154" s="537"/>
      <c r="AQ154" s="537"/>
      <c r="AR154" s="537"/>
      <c r="AS154" s="537"/>
      <c r="AT154" s="537"/>
      <c r="AU154" s="537"/>
      <c r="AV154" s="537"/>
      <c r="AW154" s="537"/>
      <c r="AX154" s="537"/>
      <c r="AY154" s="537"/>
      <c r="AZ154" s="537"/>
      <c r="BA154" s="537"/>
      <c r="BB154" s="537"/>
      <c r="BC154" s="537"/>
      <c r="BD154" s="537"/>
      <c r="BE154" s="537"/>
      <c r="BF154" s="537"/>
      <c r="BG154" s="537"/>
      <c r="BH154" s="537"/>
      <c r="BI154" s="537"/>
      <c r="BJ154" s="537"/>
      <c r="BK154" s="537"/>
      <c r="BL154" s="537"/>
      <c r="BM154" s="537"/>
      <c r="BN154" s="537"/>
      <c r="BO154" s="537"/>
      <c r="BP154" s="537"/>
      <c r="BQ154" s="537"/>
      <c r="BR154" s="537"/>
      <c r="BS154" s="537"/>
      <c r="BT154" s="537"/>
      <c r="BU154" s="537"/>
      <c r="BV154" s="537"/>
      <c r="BW154" s="537"/>
      <c r="BX154" s="537"/>
      <c r="BY154" s="537"/>
    </row>
    <row r="155" spans="1:77" x14ac:dyDescent="0.3">
      <c r="A155" s="551"/>
      <c r="B155" s="548"/>
      <c r="C155" s="525"/>
      <c r="D155" s="525"/>
      <c r="E155" s="588" t="str">
        <f>"FY"&amp;VALUE(MID(P155,3,2))&amp;" Tranche"</f>
        <v>FY27 Tranche</v>
      </c>
      <c r="F155" s="525"/>
      <c r="G155" s="525"/>
      <c r="H155" s="525"/>
      <c r="I155" s="525"/>
      <c r="J155" s="525"/>
      <c r="K155" s="525"/>
      <c r="L155" s="525"/>
      <c r="M155" s="525"/>
      <c r="N155" s="525"/>
      <c r="O155" s="525"/>
      <c r="P155" s="589" t="str">
        <f t="shared" ref="P155:P160" si="238">IFERROR(INDEX($R$2:$BY$2,MATCH($T155,$R$4:$BY$4,0)),0)</f>
        <v>FY27E</v>
      </c>
      <c r="Q155" s="576">
        <f>$I$9/INDEX(Portfolio_Categorisation!$E$19:$E$19,MATCH($B$3,Portfolio_Categorisation!$C$19:$C$19,0))</f>
        <v>0.10064935064935066</v>
      </c>
      <c r="R155" s="590">
        <f>IFERROR(ROUND(INDEX('Detailed Assumptions'!$F$94:$J$94,MATCH($B$3,'Detailed Assumptions'!$D$94:$D$94,0),MATCH(P155,'Detailed Assumptions'!$F$93:$J$93,0))*Q155,0),0)</f>
        <v>4</v>
      </c>
      <c r="S155" s="542">
        <f>IFERROR('Detailed Assumptions'!$E$88*INDEX(Inflation_Curves!$R$6:$BY$6,MATCH($T155,Inflation_Curves!$R$4:$BY$4,0)),0)</f>
        <v>40408.351859838287</v>
      </c>
      <c r="T155" s="591">
        <f>'Detailed Assumptions'!$E$87</f>
        <v>46446</v>
      </c>
      <c r="U155" s="592">
        <f>'Detailed Assumptions'!E86</f>
        <v>1</v>
      </c>
      <c r="V155" s="554">
        <f t="shared" ref="V155:V160" si="239">EOMONTH(T155,U155)</f>
        <v>46477</v>
      </c>
      <c r="W155" s="527">
        <f t="shared" ref="W155:W160" si="240">S155/U155</f>
        <v>40408.351859838287</v>
      </c>
      <c r="X155" s="525"/>
      <c r="Y155" s="593">
        <f>IFERROR(('Detailed Assumptions'!$E$85*R155*S155)/R170,0)</f>
        <v>0.1801001741155866</v>
      </c>
      <c r="Z155" s="593" cm="1">
        <f t="array" ref="Z155">'Detailed Assumptions'!$E$6*INDEX('Detailed Assumptions'!$E$91:$J$91,0,MATCH(Z$154,'Detailed Assumptions'!$E$90:$J$90,0))</f>
        <v>0.04</v>
      </c>
      <c r="AA155" s="593" cm="1">
        <f t="array" ref="AA155">'Detailed Assumptions'!$E$6*INDEX('Detailed Assumptions'!$E$91:$J$91,0,MATCH(AA$154,'Detailed Assumptions'!$E$90:$J$90,0))</f>
        <v>0.04</v>
      </c>
      <c r="AB155" s="593" cm="1">
        <f t="array" ref="AB155">'Detailed Assumptions'!$E$6*INDEX('Detailed Assumptions'!$E$91:$J$91,0,MATCH(AB$154,'Detailed Assumptions'!$E$90:$J$90,0))</f>
        <v>0.04</v>
      </c>
      <c r="AC155" s="593" cm="1">
        <f t="array" ref="AC155">'Detailed Assumptions'!$E$6*INDEX('Detailed Assumptions'!$E$91:$J$91,0,MATCH(AC$154,'Detailed Assumptions'!$E$90:$J$90,0))</f>
        <v>0.04</v>
      </c>
      <c r="AD155" s="525"/>
      <c r="AE155" s="593">
        <f>'Detailed Assumptions'!$E$101</f>
        <v>0.55000000000000004</v>
      </c>
      <c r="AF155" s="594">
        <f t="shared" ref="AF155:AF160" si="241">1-AE155</f>
        <v>0.44999999999999996</v>
      </c>
      <c r="AG155" s="525"/>
      <c r="AH155" s="595">
        <f t="shared" ref="AH155:AH160" si="242">EOMONTH(V155,12)</f>
        <v>46843</v>
      </c>
      <c r="AI155" s="595">
        <f t="shared" ref="AI155:AL160" si="243">EOMONTH(AH155,12)</f>
        <v>47208</v>
      </c>
      <c r="AJ155" s="595">
        <f t="shared" si="243"/>
        <v>47573</v>
      </c>
      <c r="AK155" s="595">
        <f t="shared" si="243"/>
        <v>47938</v>
      </c>
      <c r="AL155" s="595">
        <f t="shared" si="243"/>
        <v>48304</v>
      </c>
      <c r="AM155" s="537"/>
      <c r="AN155" s="537"/>
      <c r="AO155" s="537"/>
      <c r="AP155" s="537"/>
      <c r="AQ155" s="537"/>
      <c r="AR155" s="537"/>
      <c r="AS155" s="537"/>
      <c r="AT155" s="537"/>
      <c r="AU155" s="537"/>
      <c r="AV155" s="537"/>
      <c r="AW155" s="537"/>
      <c r="AX155" s="537"/>
      <c r="AY155" s="537"/>
      <c r="AZ155" s="537"/>
      <c r="BA155" s="537"/>
      <c r="BB155" s="537"/>
      <c r="BC155" s="537"/>
      <c r="BD155" s="537"/>
      <c r="BE155" s="537"/>
      <c r="BF155" s="537"/>
      <c r="BG155" s="537"/>
      <c r="BH155" s="537"/>
      <c r="BI155" s="537"/>
      <c r="BJ155" s="537"/>
      <c r="BK155" s="537"/>
      <c r="BL155" s="537"/>
      <c r="BM155" s="537"/>
      <c r="BN155" s="537"/>
      <c r="BO155" s="537"/>
      <c r="BP155" s="537"/>
      <c r="BQ155" s="537"/>
      <c r="BR155" s="537"/>
      <c r="BS155" s="537"/>
      <c r="BT155" s="537"/>
      <c r="BU155" s="537"/>
      <c r="BV155" s="537"/>
      <c r="BW155" s="537"/>
      <c r="BX155" s="537"/>
      <c r="BY155" s="537"/>
    </row>
    <row r="156" spans="1:77" x14ac:dyDescent="0.3">
      <c r="A156" s="551"/>
      <c r="B156" s="548"/>
      <c r="C156" s="525"/>
      <c r="D156" s="525"/>
      <c r="E156" s="588" t="str">
        <f>"FY"&amp;VALUE(MID(P156,3,2))&amp;" Tranche"</f>
        <v>FY28 Tranche</v>
      </c>
      <c r="F156" s="525"/>
      <c r="G156" s="525"/>
      <c r="H156" s="525"/>
      <c r="I156" s="525"/>
      <c r="J156" s="525"/>
      <c r="K156" s="525"/>
      <c r="L156" s="525"/>
      <c r="M156" s="525"/>
      <c r="N156" s="525"/>
      <c r="O156" s="525"/>
      <c r="P156" s="589" t="str">
        <f t="shared" si="238"/>
        <v>FY28E</v>
      </c>
      <c r="Q156" s="576">
        <f>$I$9/INDEX(Portfolio_Categorisation!$E$19:$E$19,MATCH($B$3,Portfolio_Categorisation!$C$19:$C$19,0))</f>
        <v>0.10064935064935066</v>
      </c>
      <c r="R156" s="590">
        <f>IFERROR(ROUND(INDEX('Detailed Assumptions'!$F$94:$J$94,MATCH($B$3,'Detailed Assumptions'!$D$94:$D$94,0),MATCH(P156,'Detailed Assumptions'!$F$93:$J$93,0))*Q156,0),0)</f>
        <v>4</v>
      </c>
      <c r="S156" s="542">
        <f>IFERROR('Detailed Assumptions'!$E$88*INDEX(Inflation_Curves!$R$6:$BY$6,MATCH($T156,Inflation_Curves!$R$4:$BY$4,0)),0)</f>
        <v>41380.164650977858</v>
      </c>
      <c r="T156" s="596">
        <f>EOMONTH(T155,12)</f>
        <v>46812</v>
      </c>
      <c r="U156" s="597">
        <f>U$155</f>
        <v>1</v>
      </c>
      <c r="V156" s="554">
        <f t="shared" si="239"/>
        <v>46843</v>
      </c>
      <c r="W156" s="527">
        <f t="shared" si="240"/>
        <v>41380.164650977858</v>
      </c>
      <c r="X156" s="525"/>
      <c r="Y156" s="593">
        <f>IFERROR(('Detailed Assumptions'!$E$85*R156*S156)/R171,0)</f>
        <v>0.17742431764899891</v>
      </c>
      <c r="Z156" s="594">
        <f t="shared" ref="Z156:AC160" si="244">Z$155</f>
        <v>0.04</v>
      </c>
      <c r="AA156" s="594">
        <f t="shared" si="244"/>
        <v>0.04</v>
      </c>
      <c r="AB156" s="594">
        <f t="shared" si="244"/>
        <v>0.04</v>
      </c>
      <c r="AC156" s="594">
        <f t="shared" si="244"/>
        <v>0.04</v>
      </c>
      <c r="AD156" s="525"/>
      <c r="AE156" s="594">
        <f>AE$155</f>
        <v>0.55000000000000004</v>
      </c>
      <c r="AF156" s="594">
        <f t="shared" si="241"/>
        <v>0.44999999999999996</v>
      </c>
      <c r="AG156" s="525"/>
      <c r="AH156" s="595">
        <f t="shared" si="242"/>
        <v>47208</v>
      </c>
      <c r="AI156" s="595">
        <f t="shared" si="243"/>
        <v>47573</v>
      </c>
      <c r="AJ156" s="595">
        <f t="shared" si="243"/>
        <v>47938</v>
      </c>
      <c r="AK156" s="595">
        <f t="shared" si="243"/>
        <v>48304</v>
      </c>
      <c r="AL156" s="595">
        <f t="shared" si="243"/>
        <v>48669</v>
      </c>
      <c r="AM156" s="537"/>
      <c r="AN156" s="537"/>
      <c r="AO156" s="537"/>
      <c r="AP156" s="537"/>
      <c r="AQ156" s="537"/>
      <c r="AR156" s="537"/>
      <c r="AS156" s="537"/>
      <c r="AT156" s="537"/>
      <c r="AU156" s="537"/>
      <c r="AV156" s="537"/>
      <c r="AW156" s="537"/>
      <c r="AX156" s="537"/>
      <c r="AY156" s="537"/>
      <c r="AZ156" s="537"/>
      <c r="BA156" s="537"/>
      <c r="BB156" s="537"/>
      <c r="BC156" s="537"/>
      <c r="BD156" s="537"/>
      <c r="BE156" s="537"/>
      <c r="BF156" s="537"/>
      <c r="BG156" s="537"/>
      <c r="BH156" s="537"/>
      <c r="BI156" s="537"/>
      <c r="BJ156" s="537"/>
      <c r="BK156" s="537"/>
      <c r="BL156" s="537"/>
      <c r="BM156" s="537"/>
      <c r="BN156" s="537"/>
      <c r="BO156" s="537"/>
      <c r="BP156" s="537"/>
      <c r="BQ156" s="537"/>
      <c r="BR156" s="537"/>
      <c r="BS156" s="537"/>
      <c r="BT156" s="537"/>
      <c r="BU156" s="537"/>
      <c r="BV156" s="537"/>
      <c r="BW156" s="537"/>
      <c r="BX156" s="537"/>
      <c r="BY156" s="537"/>
    </row>
    <row r="157" spans="1:77" x14ac:dyDescent="0.3">
      <c r="A157" s="551"/>
      <c r="B157" s="548"/>
      <c r="C157" s="525"/>
      <c r="D157" s="525"/>
      <c r="E157" s="588" t="str">
        <f>"FY"&amp;VALUE(MID(P157,3,2))&amp;" Tranche"</f>
        <v>FY29 Tranche</v>
      </c>
      <c r="F157" s="525"/>
      <c r="G157" s="525"/>
      <c r="H157" s="525"/>
      <c r="I157" s="525"/>
      <c r="J157" s="525"/>
      <c r="K157" s="525"/>
      <c r="L157" s="525"/>
      <c r="M157" s="525"/>
      <c r="N157" s="525"/>
      <c r="O157" s="525"/>
      <c r="P157" s="589" t="str">
        <f t="shared" si="238"/>
        <v>FY29E</v>
      </c>
      <c r="Q157" s="576">
        <f>$I$9/INDEX(Portfolio_Categorisation!$E$19:$E$19,MATCH($B$3,Portfolio_Categorisation!$C$19:$C$19,0))</f>
        <v>0.10064935064935066</v>
      </c>
      <c r="R157" s="590">
        <f>IFERROR(ROUND(INDEX('Detailed Assumptions'!$F$94:$J$94,MATCH($B$3,'Detailed Assumptions'!$D$94:$D$94,0),MATCH(P157,'Detailed Assumptions'!$F$93:$J$93,0))*Q157,0),0)</f>
        <v>4</v>
      </c>
      <c r="S157" s="542">
        <f>IFERROR('Detailed Assumptions'!$E$88*INDEX(Inflation_Curves!$R$6:$BY$6,MATCH($T157,Inflation_Curves!$R$4:$BY$4,0)),0)</f>
        <v>42309.332177744109</v>
      </c>
      <c r="T157" s="596">
        <f>EOMONTH(T156,12)</f>
        <v>47177</v>
      </c>
      <c r="U157" s="597">
        <f>U$155</f>
        <v>1</v>
      </c>
      <c r="V157" s="554">
        <f t="shared" si="239"/>
        <v>47208</v>
      </c>
      <c r="W157" s="527">
        <f t="shared" si="240"/>
        <v>42309.332177744109</v>
      </c>
      <c r="X157" s="525"/>
      <c r="Y157" s="593">
        <f>IFERROR(('Detailed Assumptions'!$E$85*R157*S157)/R172,0)</f>
        <v>0.17483316347466166</v>
      </c>
      <c r="Z157" s="594">
        <f t="shared" si="244"/>
        <v>0.04</v>
      </c>
      <c r="AA157" s="594">
        <f t="shared" si="244"/>
        <v>0.04</v>
      </c>
      <c r="AB157" s="594">
        <f t="shared" si="244"/>
        <v>0.04</v>
      </c>
      <c r="AC157" s="594">
        <f t="shared" si="244"/>
        <v>0.04</v>
      </c>
      <c r="AD157" s="525"/>
      <c r="AE157" s="594">
        <f>AE$155</f>
        <v>0.55000000000000004</v>
      </c>
      <c r="AF157" s="594">
        <f t="shared" si="241"/>
        <v>0.44999999999999996</v>
      </c>
      <c r="AG157" s="525"/>
      <c r="AH157" s="595">
        <f t="shared" si="242"/>
        <v>47573</v>
      </c>
      <c r="AI157" s="595">
        <f t="shared" si="243"/>
        <v>47938</v>
      </c>
      <c r="AJ157" s="595">
        <f t="shared" si="243"/>
        <v>48304</v>
      </c>
      <c r="AK157" s="595">
        <f t="shared" si="243"/>
        <v>48669</v>
      </c>
      <c r="AL157" s="595">
        <f t="shared" si="243"/>
        <v>49034</v>
      </c>
      <c r="AM157" s="537"/>
      <c r="AN157" s="537"/>
      <c r="AO157" s="537"/>
      <c r="AP157" s="537"/>
      <c r="AQ157" s="537"/>
      <c r="AR157" s="537"/>
      <c r="AS157" s="537"/>
      <c r="AT157" s="537"/>
      <c r="AU157" s="537"/>
      <c r="AV157" s="537"/>
      <c r="AW157" s="537"/>
      <c r="AX157" s="537"/>
      <c r="AY157" s="537"/>
      <c r="AZ157" s="537"/>
      <c r="BA157" s="537"/>
      <c r="BB157" s="537"/>
      <c r="BC157" s="537"/>
      <c r="BD157" s="537"/>
      <c r="BE157" s="537"/>
      <c r="BF157" s="537"/>
      <c r="BG157" s="537"/>
      <c r="BH157" s="537"/>
      <c r="BI157" s="537"/>
      <c r="BJ157" s="537"/>
      <c r="BK157" s="537"/>
      <c r="BL157" s="537"/>
      <c r="BM157" s="537"/>
      <c r="BN157" s="537"/>
      <c r="BO157" s="537"/>
      <c r="BP157" s="537"/>
      <c r="BQ157" s="537"/>
      <c r="BR157" s="537"/>
      <c r="BS157" s="537"/>
      <c r="BT157" s="537"/>
      <c r="BU157" s="537"/>
      <c r="BV157" s="537"/>
      <c r="BW157" s="537"/>
      <c r="BX157" s="537"/>
      <c r="BY157" s="537"/>
    </row>
    <row r="158" spans="1:77" x14ac:dyDescent="0.3">
      <c r="A158" s="551"/>
      <c r="B158" s="548"/>
      <c r="C158" s="525"/>
      <c r="D158" s="525"/>
      <c r="E158" s="588" t="str">
        <f>"FY"&amp;VALUE(MID(P158,3,2))&amp;" Tranche"</f>
        <v>FY30 Tranche</v>
      </c>
      <c r="F158" s="525"/>
      <c r="G158" s="525"/>
      <c r="H158" s="525"/>
      <c r="I158" s="525"/>
      <c r="J158" s="525"/>
      <c r="K158" s="525"/>
      <c r="L158" s="525"/>
      <c r="M158" s="525"/>
      <c r="N158" s="525"/>
      <c r="O158" s="525"/>
      <c r="P158" s="589" t="str">
        <f t="shared" si="238"/>
        <v>FY30E</v>
      </c>
      <c r="Q158" s="576">
        <f>$I$9/INDEX(Portfolio_Categorisation!$E$19:$E$19,MATCH($B$3,Portfolio_Categorisation!$C$19:$C$19,0))</f>
        <v>0.10064935064935066</v>
      </c>
      <c r="R158" s="590">
        <f>IFERROR(ROUND(INDEX('Detailed Assumptions'!$F$94:$J$94,MATCH($B$3,'Detailed Assumptions'!$D$94:$D$94,0),MATCH(P158,'Detailed Assumptions'!$F$93:$J$93,0))*Q158,0),0)</f>
        <v>4</v>
      </c>
      <c r="S158" s="542">
        <f>IFERROR('Detailed Assumptions'!$E$88*INDEX(Inflation_Curves!$R$6:$BY$6,MATCH($T158,Inflation_Curves!$R$4:$BY$4,0)),0)</f>
        <v>43184.188841765063</v>
      </c>
      <c r="T158" s="596">
        <f>EOMONTH(T157,12)</f>
        <v>47542</v>
      </c>
      <c r="U158" s="597">
        <f>U$155</f>
        <v>1</v>
      </c>
      <c r="V158" s="554">
        <f t="shared" si="239"/>
        <v>47573</v>
      </c>
      <c r="W158" s="527">
        <f t="shared" si="240"/>
        <v>43184.188841765063</v>
      </c>
      <c r="X158" s="525"/>
      <c r="Y158" s="593">
        <f>IFERROR(('Detailed Assumptions'!$E$85*R158*S158)/R173,0)</f>
        <v>0.17255059138747617</v>
      </c>
      <c r="Z158" s="594">
        <f t="shared" si="244"/>
        <v>0.04</v>
      </c>
      <c r="AA158" s="594">
        <f t="shared" si="244"/>
        <v>0.04</v>
      </c>
      <c r="AB158" s="594">
        <f t="shared" si="244"/>
        <v>0.04</v>
      </c>
      <c r="AC158" s="594">
        <f t="shared" si="244"/>
        <v>0.04</v>
      </c>
      <c r="AD158" s="525"/>
      <c r="AE158" s="594">
        <f>AE$155</f>
        <v>0.55000000000000004</v>
      </c>
      <c r="AF158" s="594">
        <f t="shared" si="241"/>
        <v>0.44999999999999996</v>
      </c>
      <c r="AG158" s="525"/>
      <c r="AH158" s="595">
        <f t="shared" si="242"/>
        <v>47938</v>
      </c>
      <c r="AI158" s="595">
        <f t="shared" si="243"/>
        <v>48304</v>
      </c>
      <c r="AJ158" s="595">
        <f t="shared" si="243"/>
        <v>48669</v>
      </c>
      <c r="AK158" s="595">
        <f t="shared" si="243"/>
        <v>49034</v>
      </c>
      <c r="AL158" s="595">
        <f t="shared" si="243"/>
        <v>49399</v>
      </c>
      <c r="AM158" s="537"/>
      <c r="AN158" s="537"/>
      <c r="AO158" s="537"/>
      <c r="AP158" s="537"/>
      <c r="AQ158" s="537"/>
      <c r="AR158" s="537"/>
      <c r="AS158" s="537"/>
      <c r="AT158" s="537"/>
      <c r="AU158" s="537"/>
      <c r="AV158" s="537"/>
      <c r="AW158" s="537"/>
      <c r="AX158" s="537"/>
      <c r="AY158" s="537"/>
      <c r="AZ158" s="537"/>
      <c r="BA158" s="537"/>
      <c r="BB158" s="537"/>
      <c r="BC158" s="537"/>
      <c r="BD158" s="537"/>
      <c r="BE158" s="537"/>
      <c r="BF158" s="537"/>
      <c r="BG158" s="537"/>
      <c r="BH158" s="537"/>
      <c r="BI158" s="537"/>
      <c r="BJ158" s="537"/>
      <c r="BK158" s="537"/>
      <c r="BL158" s="537"/>
      <c r="BM158" s="537"/>
      <c r="BN158" s="537"/>
      <c r="BO158" s="537"/>
      <c r="BP158" s="537"/>
      <c r="BQ158" s="537"/>
      <c r="BR158" s="537"/>
      <c r="BS158" s="537"/>
      <c r="BT158" s="537"/>
      <c r="BU158" s="537"/>
      <c r="BV158" s="537"/>
      <c r="BW158" s="537"/>
      <c r="BX158" s="537"/>
      <c r="BY158" s="537"/>
    </row>
    <row r="159" spans="1:77" x14ac:dyDescent="0.3">
      <c r="A159" s="551"/>
      <c r="B159" s="548"/>
      <c r="C159" s="525"/>
      <c r="D159" s="525"/>
      <c r="E159" s="588" t="str">
        <f>"FY"&amp;VALUE(MID(P159,3,2))&amp;" Tranche"</f>
        <v>FY31 Tranche</v>
      </c>
      <c r="F159" s="525"/>
      <c r="G159" s="525"/>
      <c r="H159" s="525"/>
      <c r="I159" s="525"/>
      <c r="J159" s="525"/>
      <c r="K159" s="525"/>
      <c r="L159" s="525"/>
      <c r="M159" s="525"/>
      <c r="N159" s="525"/>
      <c r="O159" s="525"/>
      <c r="P159" s="589" t="str">
        <f t="shared" si="238"/>
        <v>FY31E</v>
      </c>
      <c r="Q159" s="576">
        <f>$I$9/INDEX(Portfolio_Categorisation!$E$19:$E$19,MATCH($B$3,Portfolio_Categorisation!$C$19:$C$19,0))</f>
        <v>0.10064935064935066</v>
      </c>
      <c r="R159" s="590">
        <f>IFERROR(ROUND(INDEX('Detailed Assumptions'!$F$94:$J$94,MATCH($B$3,'Detailed Assumptions'!$D$94:$D$94,0),MATCH(P159,'Detailed Assumptions'!$F$93:$J$93,0))*Q159,0),0)</f>
        <v>4</v>
      </c>
      <c r="S159" s="542">
        <f>IFERROR('Detailed Assumptions'!$E$88*INDEX(Inflation_Curves!$R$6:$BY$6,MATCH($T159,Inflation_Curves!$R$4:$BY$4,0)),0)</f>
        <v>44026.970479910429</v>
      </c>
      <c r="T159" s="596">
        <f>EOMONTH(T158,12)</f>
        <v>47907</v>
      </c>
      <c r="U159" s="597">
        <f>U$155</f>
        <v>1</v>
      </c>
      <c r="V159" s="554">
        <f t="shared" si="239"/>
        <v>47938</v>
      </c>
      <c r="W159" s="527">
        <f t="shared" si="240"/>
        <v>44026.970479910429</v>
      </c>
      <c r="X159" s="525"/>
      <c r="Y159" s="593">
        <f>IFERROR(('Detailed Assumptions'!$E$85*R159*S159)/R174,0)</f>
        <v>0.17032358397841668</v>
      </c>
      <c r="Z159" s="594">
        <f t="shared" si="244"/>
        <v>0.04</v>
      </c>
      <c r="AA159" s="594">
        <f t="shared" si="244"/>
        <v>0.04</v>
      </c>
      <c r="AB159" s="594">
        <f t="shared" si="244"/>
        <v>0.04</v>
      </c>
      <c r="AC159" s="594">
        <f t="shared" si="244"/>
        <v>0.04</v>
      </c>
      <c r="AD159" s="525"/>
      <c r="AE159" s="594">
        <f>AE$155</f>
        <v>0.55000000000000004</v>
      </c>
      <c r="AF159" s="594">
        <f t="shared" si="241"/>
        <v>0.44999999999999996</v>
      </c>
      <c r="AG159" s="525"/>
      <c r="AH159" s="595">
        <f t="shared" si="242"/>
        <v>48304</v>
      </c>
      <c r="AI159" s="595">
        <f t="shared" si="243"/>
        <v>48669</v>
      </c>
      <c r="AJ159" s="595">
        <f t="shared" si="243"/>
        <v>49034</v>
      </c>
      <c r="AK159" s="595">
        <f t="shared" si="243"/>
        <v>49399</v>
      </c>
      <c r="AL159" s="595">
        <f t="shared" si="243"/>
        <v>49765</v>
      </c>
      <c r="AM159" s="537"/>
      <c r="AN159" s="537"/>
      <c r="AO159" s="537"/>
      <c r="AP159" s="537"/>
      <c r="AQ159" s="537"/>
      <c r="AR159" s="537"/>
      <c r="AS159" s="537"/>
      <c r="AT159" s="537"/>
      <c r="AU159" s="537"/>
      <c r="AV159" s="537"/>
      <c r="AW159" s="537"/>
      <c r="AX159" s="537"/>
      <c r="AY159" s="537"/>
      <c r="AZ159" s="537"/>
      <c r="BA159" s="537"/>
      <c r="BB159" s="537"/>
      <c r="BC159" s="537"/>
      <c r="BD159" s="537"/>
      <c r="BE159" s="537"/>
      <c r="BF159" s="537"/>
      <c r="BG159" s="537"/>
      <c r="BH159" s="537"/>
      <c r="BI159" s="537"/>
      <c r="BJ159" s="537"/>
      <c r="BK159" s="537"/>
      <c r="BL159" s="537"/>
      <c r="BM159" s="537"/>
      <c r="BN159" s="537"/>
      <c r="BO159" s="537"/>
      <c r="BP159" s="537"/>
      <c r="BQ159" s="537"/>
      <c r="BR159" s="537"/>
      <c r="BS159" s="537"/>
      <c r="BT159" s="537"/>
      <c r="BU159" s="537"/>
      <c r="BV159" s="537"/>
      <c r="BW159" s="537"/>
      <c r="BX159" s="537"/>
      <c r="BY159" s="537"/>
    </row>
    <row r="160" spans="1:77" x14ac:dyDescent="0.3">
      <c r="A160" s="551"/>
      <c r="B160" s="548"/>
      <c r="C160" s="525"/>
      <c r="D160" s="525"/>
      <c r="E160" s="588" t="s">
        <v>364</v>
      </c>
      <c r="F160" s="525"/>
      <c r="G160" s="525"/>
      <c r="H160" s="525"/>
      <c r="I160" s="525"/>
      <c r="J160" s="525"/>
      <c r="K160" s="525"/>
      <c r="L160" s="525"/>
      <c r="M160" s="525"/>
      <c r="N160" s="525"/>
      <c r="O160" s="522" t="s">
        <v>286</v>
      </c>
      <c r="P160" s="598">
        <f t="shared" si="238"/>
        <v>0</v>
      </c>
      <c r="Q160" s="599">
        <f>$I$9/INDEX(Portfolio_Categorisation!$E$19:$E$19,MATCH($B$3,Portfolio_Categorisation!$C$19:$C$19,0))</f>
        <v>0.10064935064935066</v>
      </c>
      <c r="R160" s="600">
        <f>$I$9-SUM(R155:R159)</f>
        <v>11</v>
      </c>
      <c r="S160" s="542">
        <f>IFERROR('Detailed Assumptions'!$E$88*INDEX(Inflation_Curves!$R$6:$BY$6,MATCH($T160,Inflation_Curves!$R$4:$BY$4,0)),0)</f>
        <v>0</v>
      </c>
      <c r="T160" s="596">
        <f>EOMONTH(T159,12)</f>
        <v>48273</v>
      </c>
      <c r="U160" s="597">
        <f>U$155</f>
        <v>1</v>
      </c>
      <c r="V160" s="601">
        <f t="shared" si="239"/>
        <v>48304</v>
      </c>
      <c r="W160" s="527">
        <f t="shared" si="240"/>
        <v>0</v>
      </c>
      <c r="X160" s="525"/>
      <c r="Y160" s="593">
        <f>IFERROR(('Detailed Assumptions'!$E$85*R160*S160)/R175,0)</f>
        <v>0</v>
      </c>
      <c r="Z160" s="594">
        <f t="shared" si="244"/>
        <v>0.04</v>
      </c>
      <c r="AA160" s="594">
        <f t="shared" si="244"/>
        <v>0.04</v>
      </c>
      <c r="AB160" s="594">
        <f t="shared" si="244"/>
        <v>0.04</v>
      </c>
      <c r="AC160" s="594">
        <f t="shared" si="244"/>
        <v>0.04</v>
      </c>
      <c r="AD160" s="525"/>
      <c r="AE160" s="594">
        <f>AE$155</f>
        <v>0.55000000000000004</v>
      </c>
      <c r="AF160" s="594">
        <f t="shared" si="241"/>
        <v>0.44999999999999996</v>
      </c>
      <c r="AG160" s="525"/>
      <c r="AH160" s="595">
        <f t="shared" si="242"/>
        <v>48669</v>
      </c>
      <c r="AI160" s="595">
        <f t="shared" si="243"/>
        <v>49034</v>
      </c>
      <c r="AJ160" s="595">
        <f t="shared" si="243"/>
        <v>49399</v>
      </c>
      <c r="AK160" s="595">
        <f t="shared" si="243"/>
        <v>49765</v>
      </c>
      <c r="AL160" s="595">
        <f t="shared" si="243"/>
        <v>50130</v>
      </c>
      <c r="AM160" s="537"/>
      <c r="AN160" s="537"/>
      <c r="AO160" s="537"/>
      <c r="AP160" s="537"/>
      <c r="AQ160" s="537"/>
      <c r="AR160" s="537"/>
      <c r="AS160" s="537"/>
      <c r="AT160" s="537"/>
      <c r="AU160" s="537"/>
      <c r="AV160" s="537"/>
      <c r="AW160" s="537"/>
      <c r="AX160" s="537"/>
      <c r="AY160" s="537"/>
      <c r="AZ160" s="537"/>
      <c r="BA160" s="537"/>
      <c r="BB160" s="537"/>
      <c r="BC160" s="537"/>
      <c r="BD160" s="537"/>
      <c r="BE160" s="537"/>
      <c r="BF160" s="537"/>
      <c r="BG160" s="537"/>
      <c r="BH160" s="537"/>
      <c r="BI160" s="537"/>
      <c r="BJ160" s="537"/>
      <c r="BK160" s="537"/>
      <c r="BL160" s="537"/>
      <c r="BM160" s="537"/>
      <c r="BN160" s="537"/>
      <c r="BO160" s="537"/>
      <c r="BP160" s="537"/>
      <c r="BQ160" s="537"/>
      <c r="BR160" s="537"/>
      <c r="BS160" s="537"/>
      <c r="BT160" s="537"/>
      <c r="BU160" s="537"/>
      <c r="BV160" s="537"/>
      <c r="BW160" s="537"/>
      <c r="BX160" s="537"/>
      <c r="BY160" s="537"/>
    </row>
    <row r="161" spans="1:77" x14ac:dyDescent="0.3">
      <c r="A161" s="551"/>
      <c r="B161" s="548"/>
      <c r="C161" s="525"/>
      <c r="D161" s="525"/>
      <c r="E161" s="525"/>
      <c r="F161" s="525"/>
      <c r="G161" s="525"/>
      <c r="H161" s="525"/>
      <c r="I161" s="525"/>
      <c r="J161" s="525"/>
      <c r="K161" s="525"/>
      <c r="L161" s="525"/>
      <c r="M161" s="525"/>
      <c r="N161" s="525"/>
      <c r="O161" s="525"/>
      <c r="P161" s="565"/>
      <c r="Q161" s="525"/>
      <c r="R161" s="602" t="b">
        <f>SUM(R155:R160)=$R$9</f>
        <v>1</v>
      </c>
      <c r="S161" s="525"/>
      <c r="T161" s="525"/>
      <c r="U161" s="525"/>
      <c r="V161" s="525"/>
      <c r="W161" s="525"/>
      <c r="X161" s="525"/>
      <c r="Y161" s="525"/>
      <c r="Z161" s="525"/>
      <c r="AA161" s="525"/>
      <c r="AB161" s="525"/>
      <c r="AC161" s="525"/>
      <c r="AD161" s="525"/>
      <c r="AE161" s="525"/>
      <c r="AF161" s="525"/>
      <c r="AG161" s="525"/>
      <c r="AH161" s="525"/>
      <c r="AI161" s="525"/>
      <c r="AJ161" s="525"/>
      <c r="AK161" s="525"/>
      <c r="AL161" s="525"/>
      <c r="AM161" s="525"/>
      <c r="AN161" s="525"/>
      <c r="AO161" s="525"/>
      <c r="AP161" s="525"/>
      <c r="AQ161" s="525"/>
      <c r="AR161" s="525"/>
      <c r="AS161" s="525"/>
      <c r="AT161" s="525"/>
      <c r="AU161" s="525"/>
      <c r="AV161" s="525"/>
      <c r="AW161" s="525"/>
      <c r="AX161" s="525"/>
      <c r="AY161" s="525"/>
      <c r="AZ161" s="525"/>
      <c r="BA161" s="525"/>
      <c r="BB161" s="525"/>
      <c r="BC161" s="525"/>
      <c r="BD161" s="525"/>
      <c r="BE161" s="525"/>
      <c r="BF161" s="525"/>
      <c r="BG161" s="525"/>
      <c r="BH161" s="525"/>
      <c r="BI161" s="525"/>
      <c r="BJ161" s="525"/>
      <c r="BK161" s="525"/>
      <c r="BL161" s="525"/>
      <c r="BM161" s="525"/>
      <c r="BN161" s="525"/>
      <c r="BO161" s="525"/>
      <c r="BP161" s="525"/>
      <c r="BQ161" s="525"/>
      <c r="BR161" s="525"/>
      <c r="BS161" s="525"/>
      <c r="BT161" s="525"/>
      <c r="BU161" s="525"/>
      <c r="BV161" s="525"/>
      <c r="BW161" s="525"/>
      <c r="BX161" s="525"/>
      <c r="BY161" s="525"/>
    </row>
    <row r="162" spans="1:77" x14ac:dyDescent="0.3">
      <c r="A162" s="551"/>
      <c r="B162" s="548"/>
      <c r="C162" s="525"/>
      <c r="D162" s="525"/>
      <c r="E162" s="525"/>
      <c r="F162" s="525"/>
      <c r="G162" s="525"/>
      <c r="H162" s="525"/>
      <c r="I162" s="525"/>
      <c r="J162" s="525"/>
      <c r="K162" s="525"/>
      <c r="L162" s="525"/>
      <c r="M162" s="525"/>
      <c r="N162" s="525"/>
      <c r="O162" s="525"/>
      <c r="P162" s="565"/>
      <c r="Q162" s="525"/>
      <c r="R162" s="525"/>
      <c r="S162" s="525"/>
      <c r="T162" s="525"/>
      <c r="U162" s="525"/>
      <c r="V162" s="525"/>
      <c r="W162" s="525"/>
      <c r="X162" s="525"/>
      <c r="Y162" s="525"/>
      <c r="Z162" s="525"/>
      <c r="AA162" s="525"/>
      <c r="AB162" s="525"/>
      <c r="AC162" s="525"/>
      <c r="AD162" s="525"/>
      <c r="AE162" s="525"/>
      <c r="AF162" s="525"/>
      <c r="AG162" s="525"/>
      <c r="AH162" s="525"/>
      <c r="AI162" s="525"/>
      <c r="AJ162" s="525"/>
      <c r="AK162" s="525"/>
      <c r="AL162" s="525"/>
      <c r="AM162" s="525"/>
      <c r="AN162" s="525"/>
      <c r="AO162" s="525"/>
      <c r="AP162" s="525"/>
      <c r="AQ162" s="525"/>
      <c r="AR162" s="525"/>
      <c r="AS162" s="525"/>
      <c r="AT162" s="525"/>
      <c r="AU162" s="525"/>
      <c r="AV162" s="525"/>
      <c r="AW162" s="525"/>
      <c r="AX162" s="525"/>
      <c r="AY162" s="525"/>
      <c r="AZ162" s="525"/>
      <c r="BA162" s="525"/>
      <c r="BB162" s="525"/>
      <c r="BC162" s="525"/>
      <c r="BD162" s="525"/>
      <c r="BE162" s="525"/>
      <c r="BF162" s="525"/>
      <c r="BG162" s="525"/>
      <c r="BH162" s="525"/>
      <c r="BI162" s="525"/>
      <c r="BJ162" s="525"/>
      <c r="BK162" s="525"/>
      <c r="BL162" s="525"/>
      <c r="BM162" s="525"/>
      <c r="BN162" s="525"/>
      <c r="BO162" s="525"/>
      <c r="BP162" s="525"/>
      <c r="BQ162" s="525"/>
      <c r="BR162" s="525"/>
      <c r="BS162" s="525"/>
      <c r="BT162" s="525"/>
      <c r="BU162" s="525"/>
      <c r="BV162" s="525"/>
      <c r="BW162" s="525"/>
      <c r="BX162" s="525"/>
      <c r="BY162" s="525"/>
    </row>
    <row r="163" spans="1:77" x14ac:dyDescent="0.3">
      <c r="A163" s="551"/>
      <c r="B163" s="548"/>
      <c r="C163" s="560" t="s">
        <v>37</v>
      </c>
      <c r="D163" s="561"/>
      <c r="E163" s="526" t="s">
        <v>90</v>
      </c>
      <c r="F163" s="526"/>
      <c r="G163" s="526"/>
      <c r="H163" s="526"/>
      <c r="I163" s="526"/>
      <c r="J163" s="526"/>
      <c r="K163" s="526"/>
      <c r="L163" s="526"/>
      <c r="M163" s="526"/>
      <c r="N163" s="526"/>
      <c r="O163" s="526"/>
      <c r="P163" s="560"/>
      <c r="Q163" s="526"/>
      <c r="R163" s="526"/>
      <c r="S163" s="526"/>
      <c r="T163" s="526"/>
      <c r="U163" s="526"/>
      <c r="V163" s="526"/>
      <c r="W163" s="526"/>
      <c r="X163" s="526"/>
      <c r="Y163" s="526"/>
      <c r="Z163" s="526"/>
      <c r="AA163" s="526"/>
      <c r="AB163" s="526"/>
      <c r="AC163" s="526"/>
      <c r="AD163" s="526"/>
      <c r="AE163" s="526"/>
      <c r="AF163" s="526"/>
      <c r="AG163" s="526"/>
      <c r="AH163" s="526"/>
      <c r="AI163" s="526"/>
      <c r="AJ163" s="526"/>
      <c r="AK163" s="526"/>
      <c r="AL163" s="526"/>
      <c r="AM163" s="526"/>
      <c r="AN163" s="526"/>
      <c r="AO163" s="526"/>
      <c r="AP163" s="526"/>
      <c r="AQ163" s="526"/>
      <c r="AR163" s="526"/>
      <c r="AS163" s="526"/>
      <c r="AT163" s="526"/>
      <c r="AU163" s="526"/>
      <c r="AV163" s="526"/>
      <c r="AW163" s="526"/>
      <c r="AX163" s="526"/>
      <c r="AY163" s="526"/>
      <c r="AZ163" s="526"/>
      <c r="BA163" s="526"/>
      <c r="BB163" s="526"/>
      <c r="BC163" s="526"/>
      <c r="BD163" s="526"/>
      <c r="BE163" s="526"/>
      <c r="BF163" s="526"/>
      <c r="BG163" s="526"/>
      <c r="BH163" s="526"/>
      <c r="BI163" s="526"/>
      <c r="BJ163" s="526"/>
      <c r="BK163" s="526"/>
      <c r="BL163" s="526"/>
      <c r="BM163" s="526"/>
      <c r="BN163" s="526"/>
      <c r="BO163" s="526"/>
      <c r="BP163" s="526"/>
      <c r="BQ163" s="526"/>
      <c r="BR163" s="526"/>
      <c r="BS163" s="526"/>
      <c r="BT163" s="526"/>
      <c r="BU163" s="526"/>
      <c r="BV163" s="526"/>
      <c r="BW163" s="526"/>
      <c r="BX163" s="526"/>
      <c r="BY163" s="526"/>
    </row>
    <row r="164" spans="1:77" x14ac:dyDescent="0.3">
      <c r="A164" s="551"/>
      <c r="B164" s="548"/>
      <c r="C164" s="525"/>
      <c r="D164" s="525"/>
      <c r="E164" s="525"/>
      <c r="F164" s="525"/>
      <c r="G164" s="525"/>
      <c r="H164" s="525"/>
      <c r="I164" s="525"/>
      <c r="J164" s="525"/>
      <c r="K164" s="525"/>
      <c r="L164" s="525"/>
      <c r="M164" s="525"/>
      <c r="N164" s="525"/>
      <c r="O164" s="525"/>
      <c r="P164" s="565"/>
      <c r="Q164" s="525"/>
      <c r="R164" s="525"/>
      <c r="S164" s="525"/>
      <c r="T164" s="525"/>
      <c r="U164" s="525"/>
      <c r="V164" s="525"/>
      <c r="W164" s="525"/>
      <c r="X164" s="525"/>
      <c r="Y164" s="525"/>
      <c r="Z164" s="525"/>
      <c r="AA164" s="525"/>
      <c r="AB164" s="525"/>
      <c r="AC164" s="525"/>
      <c r="AD164" s="525"/>
      <c r="AE164" s="525"/>
      <c r="AF164" s="525"/>
      <c r="AG164" s="525"/>
      <c r="AH164" s="525"/>
      <c r="AI164" s="525"/>
      <c r="AJ164" s="525"/>
      <c r="AK164" s="525"/>
      <c r="AL164" s="525"/>
      <c r="AM164" s="525"/>
      <c r="AN164" s="525"/>
      <c r="AO164" s="525"/>
      <c r="AP164" s="525"/>
      <c r="AQ164" s="525"/>
      <c r="AR164" s="525"/>
      <c r="AS164" s="525"/>
      <c r="AT164" s="525"/>
      <c r="AU164" s="525"/>
      <c r="AV164" s="525"/>
      <c r="AW164" s="525"/>
      <c r="AX164" s="525"/>
      <c r="AY164" s="525"/>
      <c r="AZ164" s="525"/>
      <c r="BA164" s="525"/>
      <c r="BB164" s="525"/>
      <c r="BC164" s="525"/>
      <c r="BD164" s="525"/>
      <c r="BE164" s="525"/>
      <c r="BF164" s="525"/>
      <c r="BG164" s="525"/>
      <c r="BH164" s="525"/>
      <c r="BI164" s="525"/>
      <c r="BJ164" s="525"/>
      <c r="BK164" s="525"/>
      <c r="BL164" s="525"/>
      <c r="BM164" s="525"/>
      <c r="BN164" s="525"/>
      <c r="BO164" s="525"/>
      <c r="BP164" s="525"/>
      <c r="BQ164" s="525"/>
      <c r="BR164" s="525"/>
      <c r="BS164" s="525"/>
      <c r="BT164" s="525"/>
      <c r="BU164" s="525"/>
      <c r="BV164" s="525"/>
      <c r="BW164" s="525"/>
      <c r="BX164" s="525"/>
      <c r="BY164" s="525"/>
    </row>
    <row r="165" spans="1:77" x14ac:dyDescent="0.3">
      <c r="A165" s="551"/>
      <c r="B165" s="548"/>
      <c r="C165" s="584" t="s">
        <v>37</v>
      </c>
      <c r="D165" s="525"/>
      <c r="E165" s="538" t="s">
        <v>91</v>
      </c>
      <c r="F165" s="538"/>
      <c r="G165" s="538"/>
      <c r="H165" s="538"/>
      <c r="I165" s="538"/>
      <c r="J165" s="538"/>
      <c r="K165" s="538"/>
      <c r="L165" s="538"/>
      <c r="M165" s="538"/>
      <c r="N165" s="538"/>
      <c r="O165" s="538"/>
      <c r="P165" s="584"/>
      <c r="Q165" s="538"/>
      <c r="R165" s="538"/>
      <c r="S165" s="538"/>
      <c r="T165" s="538"/>
      <c r="U165" s="538"/>
      <c r="V165" s="538"/>
      <c r="W165" s="538"/>
      <c r="X165" s="538"/>
      <c r="Y165" s="538"/>
      <c r="Z165" s="538"/>
      <c r="AA165" s="538"/>
      <c r="AB165" s="538"/>
      <c r="AC165" s="538"/>
      <c r="AD165" s="538"/>
      <c r="AE165" s="538"/>
      <c r="AF165" s="538"/>
      <c r="AG165" s="538"/>
      <c r="AH165" s="538"/>
      <c r="AI165" s="538"/>
      <c r="AJ165" s="538"/>
      <c r="AK165" s="538"/>
      <c r="AL165" s="538"/>
      <c r="AM165" s="538"/>
      <c r="AN165" s="538"/>
      <c r="AO165" s="538"/>
      <c r="AP165" s="538"/>
      <c r="AQ165" s="538"/>
      <c r="AR165" s="538"/>
      <c r="AS165" s="538"/>
      <c r="AT165" s="538"/>
      <c r="AU165" s="538"/>
      <c r="AV165" s="538"/>
      <c r="AW165" s="538"/>
      <c r="AX165" s="538"/>
      <c r="AY165" s="538"/>
      <c r="AZ165" s="538"/>
      <c r="BA165" s="538"/>
      <c r="BB165" s="538"/>
      <c r="BC165" s="538"/>
      <c r="BD165" s="538"/>
      <c r="BE165" s="538"/>
      <c r="BF165" s="538"/>
      <c r="BG165" s="538"/>
      <c r="BH165" s="538"/>
      <c r="BI165" s="538"/>
      <c r="BJ165" s="538"/>
      <c r="BK165" s="538"/>
      <c r="BL165" s="538"/>
      <c r="BM165" s="538"/>
      <c r="BN165" s="538"/>
      <c r="BO165" s="538"/>
      <c r="BP165" s="538"/>
      <c r="BQ165" s="538"/>
      <c r="BR165" s="538"/>
      <c r="BS165" s="538"/>
      <c r="BT165" s="538"/>
      <c r="BU165" s="538"/>
      <c r="BV165" s="538"/>
      <c r="BW165" s="538"/>
      <c r="BX165" s="538"/>
      <c r="BY165" s="538"/>
    </row>
    <row r="166" spans="1:77" x14ac:dyDescent="0.3">
      <c r="A166" s="551"/>
      <c r="B166" s="548"/>
      <c r="C166" s="525"/>
      <c r="D166" s="525"/>
      <c r="E166" s="525"/>
      <c r="F166" s="525"/>
      <c r="G166" s="525"/>
      <c r="H166" s="525"/>
      <c r="I166" s="525"/>
      <c r="J166" s="525"/>
      <c r="K166" s="525"/>
      <c r="L166" s="525"/>
      <c r="M166" s="525"/>
      <c r="N166" s="525"/>
      <c r="O166" s="525"/>
      <c r="P166" s="565"/>
      <c r="Q166" s="525"/>
      <c r="R166" s="525"/>
      <c r="S166" s="576"/>
      <c r="T166" s="525"/>
      <c r="U166" s="525"/>
      <c r="V166" s="525"/>
      <c r="W166" s="525"/>
      <c r="X166" s="525"/>
      <c r="Y166" s="525"/>
      <c r="Z166" s="525"/>
      <c r="AA166" s="525"/>
      <c r="AB166" s="525"/>
      <c r="AC166" s="525"/>
      <c r="AD166" s="525"/>
      <c r="AE166" s="525"/>
      <c r="AF166" s="525"/>
      <c r="AG166" s="525"/>
      <c r="AH166" s="525"/>
      <c r="AI166" s="525"/>
      <c r="AJ166" s="525"/>
      <c r="AK166" s="525"/>
      <c r="AL166" s="525"/>
      <c r="AM166" s="525"/>
      <c r="AN166" s="525"/>
      <c r="AO166" s="525"/>
      <c r="AP166" s="525"/>
      <c r="AQ166" s="525"/>
      <c r="AR166" s="525"/>
      <c r="AS166" s="525"/>
      <c r="AT166" s="525"/>
      <c r="AU166" s="525"/>
      <c r="AV166" s="525"/>
      <c r="AW166" s="525"/>
      <c r="AX166" s="525"/>
      <c r="AY166" s="525"/>
      <c r="AZ166" s="525"/>
      <c r="BA166" s="525"/>
      <c r="BB166" s="525"/>
      <c r="BC166" s="525"/>
      <c r="BD166" s="525"/>
      <c r="BE166" s="525"/>
      <c r="BF166" s="525"/>
      <c r="BG166" s="525"/>
      <c r="BH166" s="525"/>
      <c r="BI166" s="525"/>
      <c r="BJ166" s="525"/>
      <c r="BK166" s="525"/>
      <c r="BL166" s="525"/>
      <c r="BM166" s="525"/>
      <c r="BN166" s="525"/>
      <c r="BO166" s="525"/>
      <c r="BP166" s="525"/>
      <c r="BQ166" s="525"/>
      <c r="BR166" s="525"/>
      <c r="BS166" s="525"/>
      <c r="BT166" s="525"/>
      <c r="BU166" s="525"/>
      <c r="BV166" s="525"/>
      <c r="BW166" s="525"/>
      <c r="BX166" s="525"/>
      <c r="BY166" s="525"/>
    </row>
    <row r="167" spans="1:77" x14ac:dyDescent="0.3">
      <c r="A167" s="551"/>
      <c r="B167" s="548"/>
      <c r="C167" s="525"/>
      <c r="D167" s="525"/>
      <c r="E167" s="525"/>
      <c r="F167" s="525"/>
      <c r="G167" s="525"/>
      <c r="H167" s="525"/>
      <c r="I167" s="525"/>
      <c r="J167" s="525"/>
      <c r="K167" s="525"/>
      <c r="L167" s="525"/>
      <c r="M167" s="525"/>
      <c r="N167" s="525"/>
      <c r="O167" s="525"/>
      <c r="P167" s="565"/>
      <c r="Q167" s="525"/>
      <c r="R167" s="603"/>
      <c r="S167" s="604">
        <v>1</v>
      </c>
      <c r="T167" s="604">
        <v>2</v>
      </c>
      <c r="U167" s="604">
        <v>3</v>
      </c>
      <c r="V167" s="604">
        <v>4</v>
      </c>
      <c r="W167" s="604">
        <v>5</v>
      </c>
      <c r="X167" s="525"/>
      <c r="Y167" s="525"/>
      <c r="Z167" s="525"/>
      <c r="AA167" s="525"/>
      <c r="AB167" s="525"/>
      <c r="AC167" s="525"/>
      <c r="AD167" s="525"/>
      <c r="AE167" s="525"/>
      <c r="AF167" s="525"/>
      <c r="AG167" s="525"/>
      <c r="AH167" s="525"/>
      <c r="AI167" s="525"/>
      <c r="AJ167" s="525"/>
      <c r="AK167" s="525"/>
      <c r="AL167" s="525"/>
      <c r="AM167" s="525"/>
      <c r="AN167" s="525"/>
      <c r="AO167" s="525"/>
      <c r="AP167" s="525"/>
      <c r="AQ167" s="525"/>
      <c r="AR167" s="525"/>
      <c r="AS167" s="525"/>
      <c r="AT167" s="525"/>
      <c r="AU167" s="525"/>
      <c r="AV167" s="525"/>
      <c r="AW167" s="525"/>
      <c r="AX167" s="525"/>
      <c r="AY167" s="525"/>
      <c r="AZ167" s="525"/>
      <c r="BA167" s="525"/>
      <c r="BB167" s="525"/>
      <c r="BC167" s="525"/>
      <c r="BD167" s="525"/>
      <c r="BE167" s="525"/>
      <c r="BF167" s="525"/>
      <c r="BG167" s="525"/>
      <c r="BH167" s="525"/>
      <c r="BI167" s="525"/>
      <c r="BJ167" s="525"/>
      <c r="BK167" s="525"/>
      <c r="BL167" s="525"/>
      <c r="BM167" s="525"/>
      <c r="BN167" s="525"/>
      <c r="BO167" s="525"/>
      <c r="BP167" s="525"/>
      <c r="BQ167" s="525"/>
      <c r="BR167" s="525"/>
      <c r="BS167" s="525"/>
      <c r="BT167" s="525"/>
      <c r="BU167" s="525"/>
      <c r="BV167" s="525"/>
      <c r="BW167" s="525"/>
      <c r="BX167" s="525"/>
      <c r="BY167" s="525"/>
    </row>
    <row r="168" spans="1:77" x14ac:dyDescent="0.3">
      <c r="A168" s="551"/>
      <c r="B168" s="548"/>
      <c r="C168" s="525"/>
      <c r="D168" s="525"/>
      <c r="E168" s="525"/>
      <c r="F168" s="525"/>
      <c r="G168" s="525"/>
      <c r="H168" s="525"/>
      <c r="I168" s="525"/>
      <c r="J168" s="525"/>
      <c r="K168" s="525"/>
      <c r="L168" s="525"/>
      <c r="M168" s="525"/>
      <c r="N168" s="525"/>
      <c r="O168" s="525"/>
      <c r="P168" s="565"/>
      <c r="Q168" s="525"/>
      <c r="R168" s="583" t="s">
        <v>92</v>
      </c>
      <c r="S168" s="583"/>
      <c r="T168" s="583"/>
      <c r="U168" s="583"/>
      <c r="V168" s="583"/>
      <c r="W168" s="583"/>
      <c r="X168" s="525"/>
      <c r="Y168" s="525"/>
      <c r="Z168" s="525"/>
      <c r="AA168" s="525"/>
      <c r="AB168" s="525"/>
      <c r="AC168" s="525"/>
      <c r="AD168" s="525"/>
      <c r="AE168" s="525"/>
      <c r="AF168" s="525"/>
      <c r="AG168" s="525"/>
      <c r="AH168" s="525"/>
      <c r="AI168" s="525"/>
      <c r="AJ168" s="525"/>
      <c r="AK168" s="525"/>
      <c r="AL168" s="525"/>
      <c r="AM168" s="525"/>
      <c r="AN168" s="525"/>
      <c r="AO168" s="525"/>
      <c r="AP168" s="525"/>
      <c r="AQ168" s="525"/>
      <c r="AR168" s="525"/>
      <c r="AS168" s="525"/>
      <c r="AT168" s="525"/>
      <c r="AU168" s="525"/>
      <c r="AV168" s="525"/>
      <c r="AW168" s="525"/>
      <c r="AX168" s="525"/>
      <c r="AY168" s="525"/>
      <c r="AZ168" s="525"/>
      <c r="BA168" s="525"/>
      <c r="BB168" s="525"/>
      <c r="BC168" s="525"/>
      <c r="BD168" s="525"/>
      <c r="BE168" s="525"/>
      <c r="BF168" s="525"/>
      <c r="BG168" s="525"/>
      <c r="BH168" s="525"/>
      <c r="BI168" s="525"/>
      <c r="BJ168" s="525"/>
      <c r="BK168" s="525"/>
      <c r="BL168" s="525"/>
      <c r="BM168" s="525"/>
      <c r="BN168" s="525"/>
      <c r="BO168" s="525"/>
      <c r="BP168" s="525"/>
      <c r="BQ168" s="525"/>
      <c r="BR168" s="525"/>
      <c r="BS168" s="525"/>
      <c r="BT168" s="525"/>
      <c r="BU168" s="525"/>
      <c r="BV168" s="525"/>
      <c r="BW168" s="525"/>
      <c r="BX168" s="525"/>
      <c r="BY168" s="525"/>
    </row>
    <row r="169" spans="1:77" x14ac:dyDescent="0.3">
      <c r="A169" s="551"/>
      <c r="B169" s="548"/>
      <c r="C169" s="525"/>
      <c r="D169" s="525"/>
      <c r="E169" s="605" t="s">
        <v>93</v>
      </c>
      <c r="F169" s="605"/>
      <c r="G169" s="605"/>
      <c r="H169" s="605"/>
      <c r="I169" s="605"/>
      <c r="J169" s="605"/>
      <c r="K169" s="605"/>
      <c r="L169" s="605"/>
      <c r="M169" s="605"/>
      <c r="N169" s="605"/>
      <c r="O169" s="605"/>
      <c r="P169" s="606"/>
      <c r="Q169" s="605"/>
      <c r="R169" s="607" t="s">
        <v>94</v>
      </c>
      <c r="S169" s="608">
        <v>1</v>
      </c>
      <c r="T169" s="608">
        <v>2</v>
      </c>
      <c r="U169" s="608">
        <v>3</v>
      </c>
      <c r="V169" s="608">
        <v>4</v>
      </c>
      <c r="W169" s="608">
        <v>5</v>
      </c>
      <c r="X169" s="525"/>
      <c r="Y169" s="525"/>
      <c r="Z169" s="525"/>
      <c r="AA169" s="525"/>
      <c r="AB169" s="525"/>
      <c r="AC169" s="525"/>
      <c r="AD169" s="525"/>
      <c r="AE169" s="525"/>
      <c r="AF169" s="525"/>
      <c r="AG169" s="525"/>
      <c r="AH169" s="525"/>
      <c r="AI169" s="525"/>
      <c r="AJ169" s="525"/>
      <c r="AK169" s="525"/>
      <c r="AL169" s="525"/>
      <c r="AM169" s="525"/>
      <c r="AN169" s="525"/>
      <c r="AO169" s="525"/>
      <c r="AP169" s="525"/>
      <c r="AQ169" s="525"/>
      <c r="AR169" s="525"/>
      <c r="AS169" s="525"/>
      <c r="AT169" s="525"/>
      <c r="AU169" s="525"/>
      <c r="AV169" s="525"/>
      <c r="AW169" s="525"/>
      <c r="AX169" s="525"/>
      <c r="AY169" s="525"/>
      <c r="AZ169" s="525"/>
      <c r="BA169" s="525"/>
      <c r="BB169" s="525"/>
      <c r="BC169" s="525"/>
      <c r="BD169" s="525"/>
      <c r="BE169" s="525"/>
      <c r="BF169" s="525"/>
      <c r="BG169" s="525"/>
      <c r="BH169" s="525"/>
      <c r="BI169" s="525"/>
      <c r="BJ169" s="525"/>
      <c r="BK169" s="525"/>
      <c r="BL169" s="525"/>
      <c r="BM169" s="525"/>
      <c r="BN169" s="525"/>
      <c r="BO169" s="525"/>
      <c r="BP169" s="525"/>
      <c r="BQ169" s="525"/>
      <c r="BR169" s="525"/>
      <c r="BS169" s="525"/>
      <c r="BT169" s="525"/>
      <c r="BU169" s="525"/>
      <c r="BV169" s="525"/>
      <c r="BW169" s="525"/>
      <c r="BX169" s="525"/>
      <c r="BY169" s="525"/>
    </row>
    <row r="170" spans="1:77" x14ac:dyDescent="0.3">
      <c r="A170" s="551"/>
      <c r="B170" s="548"/>
      <c r="C170" s="525"/>
      <c r="D170" s="525"/>
      <c r="E170" s="609" t="str">
        <f>"Post-capex - outlet EBITDA: "&amp;E$155</f>
        <v>Post-capex - outlet EBITDA: FY27 Tranche</v>
      </c>
      <c r="F170" s="525"/>
      <c r="G170" s="525"/>
      <c r="H170" s="525"/>
      <c r="I170" s="525"/>
      <c r="J170" s="525"/>
      <c r="K170" s="525"/>
      <c r="L170" s="525"/>
      <c r="M170" s="525"/>
      <c r="N170" s="525"/>
      <c r="O170" s="537"/>
      <c r="P170" s="565"/>
      <c r="Q170" s="525"/>
      <c r="R170" s="527">
        <f t="shared" ref="R170:R175" si="245">IFERROR(INDEX($R$615:$BY$615,MATCH($T155,$R$4:$BY$4,0))*12*$R155,0)</f>
        <v>403858.7619633741</v>
      </c>
      <c r="S170" s="527">
        <f t="shared" ref="S170:W175" si="246">R170*(1+Y155)</f>
        <v>476593.79531108297</v>
      </c>
      <c r="T170" s="527">
        <f t="shared" si="246"/>
        <v>495657.54712352628</v>
      </c>
      <c r="U170" s="527">
        <f t="shared" si="246"/>
        <v>515483.84900846734</v>
      </c>
      <c r="V170" s="527">
        <f t="shared" si="246"/>
        <v>536103.20296880603</v>
      </c>
      <c r="W170" s="527">
        <f t="shared" si="246"/>
        <v>557547.3310875583</v>
      </c>
      <c r="X170" s="525"/>
      <c r="Y170" s="525"/>
      <c r="Z170" s="525"/>
      <c r="AA170" s="525"/>
      <c r="AB170" s="525"/>
      <c r="AC170" s="525"/>
      <c r="AD170" s="525"/>
      <c r="AE170" s="525"/>
      <c r="AF170" s="525"/>
      <c r="AG170" s="525"/>
      <c r="AH170" s="525"/>
      <c r="AI170" s="525"/>
      <c r="AJ170" s="525"/>
      <c r="AK170" s="525"/>
      <c r="AL170" s="525"/>
      <c r="AM170" s="525"/>
      <c r="AN170" s="525"/>
      <c r="AO170" s="525"/>
      <c r="AP170" s="525"/>
      <c r="AQ170" s="525"/>
      <c r="AR170" s="525"/>
      <c r="AS170" s="525"/>
      <c r="AT170" s="525"/>
      <c r="AU170" s="525"/>
      <c r="AV170" s="525"/>
      <c r="AW170" s="525"/>
      <c r="AX170" s="525"/>
      <c r="AY170" s="525"/>
      <c r="AZ170" s="525"/>
      <c r="BA170" s="525"/>
      <c r="BB170" s="525"/>
      <c r="BC170" s="525"/>
      <c r="BD170" s="525"/>
      <c r="BE170" s="525"/>
      <c r="BF170" s="525"/>
      <c r="BG170" s="525"/>
      <c r="BH170" s="525"/>
      <c r="BI170" s="525"/>
      <c r="BJ170" s="525"/>
      <c r="BK170" s="525"/>
      <c r="BL170" s="525"/>
      <c r="BM170" s="525"/>
      <c r="BN170" s="525"/>
      <c r="BO170" s="525"/>
      <c r="BP170" s="525"/>
      <c r="BQ170" s="525"/>
      <c r="BR170" s="525"/>
      <c r="BS170" s="525"/>
      <c r="BT170" s="525"/>
      <c r="BU170" s="525"/>
      <c r="BV170" s="525"/>
      <c r="BW170" s="525"/>
      <c r="BX170" s="525"/>
      <c r="BY170" s="525"/>
    </row>
    <row r="171" spans="1:77" x14ac:dyDescent="0.3">
      <c r="A171" s="551"/>
      <c r="B171" s="548"/>
      <c r="C171" s="525"/>
      <c r="D171" s="525"/>
      <c r="E171" s="609" t="str">
        <f>"Post-capex - outlet EBITDA: "&amp;E$156</f>
        <v>Post-capex - outlet EBITDA: FY28 Tranche</v>
      </c>
      <c r="F171" s="525"/>
      <c r="G171" s="525"/>
      <c r="H171" s="525"/>
      <c r="I171" s="525"/>
      <c r="J171" s="610"/>
      <c r="K171" s="525"/>
      <c r="L171" s="525"/>
      <c r="M171" s="525"/>
      <c r="N171" s="525"/>
      <c r="O171" s="525"/>
      <c r="P171" s="565"/>
      <c r="Q171" s="525"/>
      <c r="R171" s="527">
        <f t="shared" si="245"/>
        <v>419808.83657173486</v>
      </c>
      <c r="S171" s="527">
        <f t="shared" si="246"/>
        <v>494293.132943495</v>
      </c>
      <c r="T171" s="527">
        <f t="shared" si="246"/>
        <v>514064.85826123483</v>
      </c>
      <c r="U171" s="527">
        <f t="shared" si="246"/>
        <v>534627.45259168418</v>
      </c>
      <c r="V171" s="527">
        <f t="shared" si="246"/>
        <v>556012.55069535156</v>
      </c>
      <c r="W171" s="527">
        <f t="shared" si="246"/>
        <v>578253.0527231656</v>
      </c>
      <c r="X171" s="525"/>
      <c r="Y171" s="525"/>
      <c r="Z171" s="525"/>
      <c r="AA171" s="525"/>
      <c r="AB171" s="525"/>
      <c r="AC171" s="525"/>
      <c r="AD171" s="525"/>
      <c r="AE171" s="525"/>
      <c r="AF171" s="525"/>
      <c r="AG171" s="525"/>
      <c r="AH171" s="525"/>
      <c r="AI171" s="525"/>
      <c r="AJ171" s="525"/>
      <c r="AK171" s="525"/>
      <c r="AL171" s="525"/>
      <c r="AM171" s="525"/>
      <c r="AN171" s="525"/>
      <c r="AO171" s="525"/>
      <c r="AP171" s="525"/>
      <c r="AQ171" s="525"/>
      <c r="AR171" s="525"/>
      <c r="AS171" s="525"/>
      <c r="AT171" s="525"/>
      <c r="AU171" s="525"/>
      <c r="AV171" s="525"/>
      <c r="AW171" s="525"/>
      <c r="AX171" s="525"/>
      <c r="AY171" s="525"/>
      <c r="AZ171" s="525"/>
      <c r="BA171" s="525"/>
      <c r="BB171" s="525"/>
      <c r="BC171" s="525"/>
      <c r="BD171" s="525"/>
      <c r="BE171" s="525"/>
      <c r="BF171" s="525"/>
      <c r="BG171" s="525"/>
      <c r="BH171" s="525"/>
      <c r="BI171" s="525"/>
      <c r="BJ171" s="525"/>
      <c r="BK171" s="525"/>
      <c r="BL171" s="525"/>
      <c r="BM171" s="525"/>
      <c r="BN171" s="525"/>
      <c r="BO171" s="525"/>
      <c r="BP171" s="525"/>
      <c r="BQ171" s="525"/>
      <c r="BR171" s="525"/>
      <c r="BS171" s="525"/>
      <c r="BT171" s="525"/>
      <c r="BU171" s="525"/>
      <c r="BV171" s="525"/>
      <c r="BW171" s="525"/>
      <c r="BX171" s="525"/>
      <c r="BY171" s="525"/>
    </row>
    <row r="172" spans="1:77" x14ac:dyDescent="0.3">
      <c r="A172" s="551"/>
      <c r="B172" s="548"/>
      <c r="C172" s="525"/>
      <c r="D172" s="525"/>
      <c r="E172" s="609" t="str">
        <f>"Post-capex - outlet EBITDA: "&amp;E$157</f>
        <v>Post-capex - outlet EBITDA: FY29 Tranche</v>
      </c>
      <c r="F172" s="525"/>
      <c r="G172" s="525"/>
      <c r="H172" s="525"/>
      <c r="I172" s="525"/>
      <c r="J172" s="525"/>
      <c r="K172" s="525"/>
      <c r="L172" s="525"/>
      <c r="M172" s="525"/>
      <c r="N172" s="525"/>
      <c r="O172" s="525"/>
      <c r="P172" s="565"/>
      <c r="Q172" s="525"/>
      <c r="R172" s="527">
        <f t="shared" si="245"/>
        <v>435596.9794653788</v>
      </c>
      <c r="S172" s="527">
        <f t="shared" si="246"/>
        <v>511753.77738531819</v>
      </c>
      <c r="T172" s="527">
        <f t="shared" si="246"/>
        <v>532223.92848073097</v>
      </c>
      <c r="U172" s="527">
        <f t="shared" si="246"/>
        <v>553512.88561996026</v>
      </c>
      <c r="V172" s="527">
        <f t="shared" si="246"/>
        <v>575653.40104475874</v>
      </c>
      <c r="W172" s="527">
        <f t="shared" si="246"/>
        <v>598679.5370865491</v>
      </c>
      <c r="X172" s="525"/>
      <c r="Y172" s="525"/>
      <c r="Z172" s="525"/>
      <c r="AA172" s="525"/>
      <c r="AB172" s="525"/>
      <c r="AC172" s="525"/>
      <c r="AD172" s="525"/>
      <c r="AE172" s="525"/>
      <c r="AF172" s="525"/>
      <c r="AG172" s="525"/>
      <c r="AH172" s="525"/>
      <c r="AI172" s="525"/>
      <c r="AJ172" s="525"/>
      <c r="AK172" s="525"/>
      <c r="AL172" s="525"/>
      <c r="AM172" s="525"/>
      <c r="AN172" s="525"/>
      <c r="AO172" s="525"/>
      <c r="AP172" s="525"/>
      <c r="AQ172" s="525"/>
      <c r="AR172" s="525"/>
      <c r="AS172" s="525"/>
      <c r="AT172" s="525"/>
      <c r="AU172" s="525"/>
      <c r="AV172" s="525"/>
      <c r="AW172" s="525"/>
      <c r="AX172" s="525"/>
      <c r="AY172" s="525"/>
      <c r="AZ172" s="525"/>
      <c r="BA172" s="525"/>
      <c r="BB172" s="525"/>
      <c r="BC172" s="525"/>
      <c r="BD172" s="525"/>
      <c r="BE172" s="525"/>
      <c r="BF172" s="525"/>
      <c r="BG172" s="525"/>
      <c r="BH172" s="525"/>
      <c r="BI172" s="525"/>
      <c r="BJ172" s="525"/>
      <c r="BK172" s="525"/>
      <c r="BL172" s="525"/>
      <c r="BM172" s="525"/>
      <c r="BN172" s="525"/>
      <c r="BO172" s="525"/>
      <c r="BP172" s="525"/>
      <c r="BQ172" s="525"/>
      <c r="BR172" s="525"/>
      <c r="BS172" s="525"/>
      <c r="BT172" s="525"/>
      <c r="BU172" s="525"/>
      <c r="BV172" s="525"/>
      <c r="BW172" s="525"/>
      <c r="BX172" s="525"/>
      <c r="BY172" s="525"/>
    </row>
    <row r="173" spans="1:77" x14ac:dyDescent="0.3">
      <c r="A173" s="551"/>
      <c r="B173" s="548"/>
      <c r="C173" s="525"/>
      <c r="D173" s="525"/>
      <c r="E173" s="609" t="str">
        <f>"Post-capex - outlet EBITDA: "&amp;E$158</f>
        <v>Post-capex - outlet EBITDA: FY30 Tranche</v>
      </c>
      <c r="F173" s="525"/>
      <c r="G173" s="525"/>
      <c r="H173" s="525"/>
      <c r="I173" s="525"/>
      <c r="J173" s="525"/>
      <c r="K173" s="525"/>
      <c r="L173" s="525"/>
      <c r="M173" s="525"/>
      <c r="N173" s="525"/>
      <c r="O173" s="525"/>
      <c r="P173" s="565"/>
      <c r="Q173" s="525"/>
      <c r="R173" s="527">
        <f t="shared" si="245"/>
        <v>450485.50277422532</v>
      </c>
      <c r="S173" s="527">
        <f t="shared" si="246"/>
        <v>528217.04268940235</v>
      </c>
      <c r="T173" s="527">
        <f t="shared" si="246"/>
        <v>549345.7243969785</v>
      </c>
      <c r="U173" s="527">
        <f t="shared" si="246"/>
        <v>571319.55337285763</v>
      </c>
      <c r="V173" s="527">
        <f t="shared" si="246"/>
        <v>594172.33550777193</v>
      </c>
      <c r="W173" s="527">
        <f t="shared" si="246"/>
        <v>617939.22892808286</v>
      </c>
      <c r="X173" s="525"/>
      <c r="Y173" s="525"/>
      <c r="Z173" s="525"/>
      <c r="AA173" s="525"/>
      <c r="AB173" s="525"/>
      <c r="AC173" s="525"/>
      <c r="AD173" s="525"/>
      <c r="AE173" s="525"/>
      <c r="AF173" s="525"/>
      <c r="AG173" s="525"/>
      <c r="AH173" s="525"/>
      <c r="AI173" s="525"/>
      <c r="AJ173" s="525"/>
      <c r="AK173" s="525"/>
      <c r="AL173" s="525"/>
      <c r="AM173" s="525"/>
      <c r="AN173" s="525"/>
      <c r="AO173" s="525"/>
      <c r="AP173" s="525"/>
      <c r="AQ173" s="525"/>
      <c r="AR173" s="525"/>
      <c r="AS173" s="525"/>
      <c r="AT173" s="525"/>
      <c r="AU173" s="525"/>
      <c r="AV173" s="525"/>
      <c r="AW173" s="525"/>
      <c r="AX173" s="525"/>
      <c r="AY173" s="525"/>
      <c r="AZ173" s="525"/>
      <c r="BA173" s="525"/>
      <c r="BB173" s="525"/>
      <c r="BC173" s="525"/>
      <c r="BD173" s="525"/>
      <c r="BE173" s="525"/>
      <c r="BF173" s="525"/>
      <c r="BG173" s="525"/>
      <c r="BH173" s="525"/>
      <c r="BI173" s="525"/>
      <c r="BJ173" s="525"/>
      <c r="BK173" s="525"/>
      <c r="BL173" s="525"/>
      <c r="BM173" s="525"/>
      <c r="BN173" s="525"/>
      <c r="BO173" s="525"/>
      <c r="BP173" s="525"/>
      <c r="BQ173" s="525"/>
      <c r="BR173" s="525"/>
      <c r="BS173" s="525"/>
      <c r="BT173" s="525"/>
      <c r="BU173" s="525"/>
      <c r="BV173" s="525"/>
      <c r="BW173" s="525"/>
      <c r="BX173" s="525"/>
      <c r="BY173" s="525"/>
    </row>
    <row r="174" spans="1:77" x14ac:dyDescent="0.3">
      <c r="A174" s="551"/>
      <c r="B174" s="548"/>
      <c r="C174" s="525"/>
      <c r="D174" s="525"/>
      <c r="E174" s="609" t="str">
        <f>"Post-capex - outlet EBITDA: "&amp;E$159</f>
        <v>Post-capex - outlet EBITDA: FY31 Tranche</v>
      </c>
      <c r="F174" s="525"/>
      <c r="G174" s="525"/>
      <c r="H174" s="525"/>
      <c r="I174" s="525"/>
      <c r="J174" s="525"/>
      <c r="K174" s="525"/>
      <c r="L174" s="525"/>
      <c r="M174" s="525"/>
      <c r="N174" s="525"/>
      <c r="O174" s="525"/>
      <c r="P174" s="565"/>
      <c r="Q174" s="525"/>
      <c r="R174" s="527">
        <f t="shared" si="245"/>
        <v>465282.28805871715</v>
      </c>
      <c r="S174" s="527">
        <f t="shared" si="246"/>
        <v>544530.83492255595</v>
      </c>
      <c r="T174" s="527">
        <f t="shared" si="246"/>
        <v>566312.06831945817</v>
      </c>
      <c r="U174" s="527">
        <f t="shared" si="246"/>
        <v>588964.55105223646</v>
      </c>
      <c r="V174" s="527">
        <f t="shared" si="246"/>
        <v>612523.13309432589</v>
      </c>
      <c r="W174" s="527">
        <f t="shared" si="246"/>
        <v>637024.05841809895</v>
      </c>
      <c r="X174" s="525"/>
      <c r="Y174" s="525"/>
      <c r="Z174" s="525"/>
      <c r="AA174" s="525"/>
      <c r="AB174" s="525"/>
      <c r="AC174" s="525"/>
      <c r="AD174" s="525"/>
      <c r="AE174" s="525"/>
      <c r="AF174" s="525"/>
      <c r="AG174" s="525"/>
      <c r="AH174" s="525"/>
      <c r="AI174" s="525"/>
      <c r="AJ174" s="525"/>
      <c r="AK174" s="525"/>
      <c r="AL174" s="525"/>
      <c r="AM174" s="525"/>
      <c r="AN174" s="525"/>
      <c r="AO174" s="525"/>
      <c r="AP174" s="525"/>
      <c r="AQ174" s="525"/>
      <c r="AR174" s="525"/>
      <c r="AS174" s="525"/>
      <c r="AT174" s="525"/>
      <c r="AU174" s="525"/>
      <c r="AV174" s="525"/>
      <c r="AW174" s="525"/>
      <c r="AX174" s="525"/>
      <c r="AY174" s="525"/>
      <c r="AZ174" s="525"/>
      <c r="BA174" s="525"/>
      <c r="BB174" s="525"/>
      <c r="BC174" s="525"/>
      <c r="BD174" s="525"/>
      <c r="BE174" s="525"/>
      <c r="BF174" s="525"/>
      <c r="BG174" s="525"/>
      <c r="BH174" s="525"/>
      <c r="BI174" s="525"/>
      <c r="BJ174" s="525"/>
      <c r="BK174" s="525"/>
      <c r="BL174" s="525"/>
      <c r="BM174" s="525"/>
      <c r="BN174" s="525"/>
      <c r="BO174" s="525"/>
      <c r="BP174" s="525"/>
      <c r="BQ174" s="525"/>
      <c r="BR174" s="525"/>
      <c r="BS174" s="525"/>
      <c r="BT174" s="525"/>
      <c r="BU174" s="525"/>
      <c r="BV174" s="525"/>
      <c r="BW174" s="525"/>
      <c r="BX174" s="525"/>
      <c r="BY174" s="525"/>
    </row>
    <row r="175" spans="1:77" x14ac:dyDescent="0.3">
      <c r="A175" s="551"/>
      <c r="B175" s="548"/>
      <c r="C175" s="525"/>
      <c r="D175" s="525"/>
      <c r="E175" s="609" t="str">
        <f>"Post-capex - outlet EBITDA: "&amp;E$160</f>
        <v>Post-capex - outlet EBITDA: Uninvested Tranche</v>
      </c>
      <c r="F175" s="525"/>
      <c r="G175" s="525"/>
      <c r="H175" s="525"/>
      <c r="I175" s="525"/>
      <c r="J175" s="525"/>
      <c r="K175" s="525"/>
      <c r="L175" s="525"/>
      <c r="M175" s="525"/>
      <c r="N175" s="525"/>
      <c r="O175" s="525"/>
      <c r="P175" s="565"/>
      <c r="Q175" s="525"/>
      <c r="R175" s="527">
        <f t="shared" si="245"/>
        <v>0</v>
      </c>
      <c r="S175" s="527">
        <f t="shared" si="246"/>
        <v>0</v>
      </c>
      <c r="T175" s="527">
        <f t="shared" si="246"/>
        <v>0</v>
      </c>
      <c r="U175" s="527">
        <f t="shared" si="246"/>
        <v>0</v>
      </c>
      <c r="V175" s="527">
        <f t="shared" si="246"/>
        <v>0</v>
      </c>
      <c r="W175" s="527">
        <f t="shared" si="246"/>
        <v>0</v>
      </c>
      <c r="X175" s="525"/>
      <c r="Y175" s="525"/>
      <c r="Z175" s="576"/>
      <c r="AA175" s="525"/>
      <c r="AB175" s="525"/>
      <c r="AC175" s="525"/>
      <c r="AD175" s="525"/>
      <c r="AE175" s="525"/>
      <c r="AF175" s="525"/>
      <c r="AG175" s="525"/>
      <c r="AH175" s="525"/>
      <c r="AI175" s="525"/>
      <c r="AJ175" s="525"/>
      <c r="AK175" s="525"/>
      <c r="AL175" s="525"/>
      <c r="AM175" s="525"/>
      <c r="AN175" s="525"/>
      <c r="AO175" s="525"/>
      <c r="AP175" s="525"/>
      <c r="AQ175" s="525"/>
      <c r="AR175" s="525"/>
      <c r="AS175" s="525"/>
      <c r="AT175" s="525"/>
      <c r="AU175" s="525"/>
      <c r="AV175" s="525"/>
      <c r="AW175" s="525"/>
      <c r="AX175" s="525"/>
      <c r="AY175" s="525"/>
      <c r="AZ175" s="525"/>
      <c r="BA175" s="525"/>
      <c r="BB175" s="525"/>
      <c r="BC175" s="525"/>
      <c r="BD175" s="525"/>
      <c r="BE175" s="525"/>
      <c r="BF175" s="525"/>
      <c r="BG175" s="525"/>
      <c r="BH175" s="525"/>
      <c r="BI175" s="525"/>
      <c r="BJ175" s="525"/>
      <c r="BK175" s="525"/>
      <c r="BL175" s="525"/>
      <c r="BM175" s="525"/>
      <c r="BN175" s="525"/>
      <c r="BO175" s="525"/>
      <c r="BP175" s="525"/>
      <c r="BQ175" s="525"/>
      <c r="BR175" s="525"/>
      <c r="BS175" s="525"/>
      <c r="BT175" s="525"/>
      <c r="BU175" s="525"/>
      <c r="BV175" s="525"/>
      <c r="BW175" s="525"/>
      <c r="BX175" s="525"/>
      <c r="BY175" s="525"/>
    </row>
    <row r="176" spans="1:77" x14ac:dyDescent="0.3">
      <c r="A176" s="551"/>
      <c r="B176" s="548"/>
      <c r="C176" s="525"/>
      <c r="D176" s="525"/>
      <c r="E176" s="525"/>
      <c r="F176" s="525"/>
      <c r="G176" s="525"/>
      <c r="H176" s="525"/>
      <c r="I176" s="525"/>
      <c r="J176" s="525"/>
      <c r="K176" s="525"/>
      <c r="L176" s="525"/>
      <c r="M176" s="525"/>
      <c r="N176" s="576"/>
      <c r="O176" s="537"/>
      <c r="P176" s="562"/>
      <c r="Q176" s="529"/>
      <c r="R176" s="525"/>
      <c r="S176" s="525"/>
      <c r="T176" s="525"/>
      <c r="U176" s="525"/>
      <c r="V176" s="525"/>
      <c r="W176" s="525"/>
      <c r="X176" s="525"/>
      <c r="Y176" s="529"/>
      <c r="Z176" s="525"/>
      <c r="AA176" s="525"/>
      <c r="AB176" s="525"/>
      <c r="AC176" s="525"/>
      <c r="AD176" s="525"/>
      <c r="AE176" s="525"/>
      <c r="AF176" s="525"/>
      <c r="AG176" s="525"/>
      <c r="AH176" s="525"/>
      <c r="AI176" s="525"/>
      <c r="AJ176" s="525"/>
      <c r="AK176" s="525"/>
      <c r="AL176" s="525"/>
      <c r="AM176" s="525"/>
      <c r="AN176" s="525"/>
      <c r="AO176" s="525"/>
      <c r="AP176" s="525"/>
      <c r="AQ176" s="525"/>
      <c r="AR176" s="525"/>
      <c r="AS176" s="525"/>
      <c r="AT176" s="525"/>
      <c r="AU176" s="525"/>
      <c r="AV176" s="525"/>
      <c r="AW176" s="525"/>
      <c r="AX176" s="525"/>
      <c r="AY176" s="525"/>
      <c r="AZ176" s="525"/>
      <c r="BA176" s="525"/>
      <c r="BB176" s="525"/>
      <c r="BC176" s="525"/>
      <c r="BD176" s="525"/>
      <c r="BE176" s="525"/>
      <c r="BF176" s="525"/>
      <c r="BG176" s="525"/>
      <c r="BH176" s="525"/>
      <c r="BI176" s="525"/>
      <c r="BJ176" s="525"/>
      <c r="BK176" s="525"/>
      <c r="BL176" s="525"/>
      <c r="BM176" s="525"/>
      <c r="BN176" s="525"/>
      <c r="BO176" s="525"/>
      <c r="BP176" s="525"/>
      <c r="BQ176" s="525"/>
      <c r="BR176" s="525"/>
      <c r="BS176" s="525"/>
      <c r="BT176" s="525"/>
      <c r="BU176" s="525"/>
      <c r="BV176" s="525"/>
      <c r="BW176" s="525"/>
      <c r="BX176" s="525"/>
      <c r="BY176" s="525"/>
    </row>
    <row r="177" spans="1:77" x14ac:dyDescent="0.3">
      <c r="A177" s="551"/>
      <c r="B177" s="548"/>
      <c r="C177" s="525"/>
      <c r="D177" s="525"/>
      <c r="E177" s="611" t="str">
        <f>"Outlet EBITDA: "&amp;E$155</f>
        <v>Outlet EBITDA: FY27 Tranche</v>
      </c>
      <c r="F177" s="525"/>
      <c r="G177" s="525"/>
      <c r="H177" s="525"/>
      <c r="I177" s="525"/>
      <c r="J177" s="525"/>
      <c r="K177" s="525"/>
      <c r="L177" s="525"/>
      <c r="M177" s="525"/>
      <c r="N177" s="525"/>
      <c r="O177" s="525"/>
      <c r="P177" s="562"/>
      <c r="Q177" s="529"/>
      <c r="R177" s="527">
        <f t="shared" ref="R177:AW177" si="247">(R490*R$615*$R155)+IF(R498=0,0,INDEX($S170:$W170,MATCH(R498,$S$169:$W$169,0))/12)</f>
        <v>33654.896830281177</v>
      </c>
      <c r="S177" s="527">
        <f t="shared" si="247"/>
        <v>33654.896830281177</v>
      </c>
      <c r="T177" s="527">
        <f t="shared" si="247"/>
        <v>33654.896830281177</v>
      </c>
      <c r="U177" s="527">
        <f t="shared" si="247"/>
        <v>33654.896830281177</v>
      </c>
      <c r="V177" s="527">
        <f t="shared" si="247"/>
        <v>33654.896830281177</v>
      </c>
      <c r="W177" s="527">
        <f t="shared" si="247"/>
        <v>33654.896830281177</v>
      </c>
      <c r="X177" s="527">
        <f t="shared" si="247"/>
        <v>39716.149609256914</v>
      </c>
      <c r="Y177" s="527">
        <f t="shared" si="247"/>
        <v>39716.149609256914</v>
      </c>
      <c r="Z177" s="527">
        <f t="shared" si="247"/>
        <v>39716.149609256914</v>
      </c>
      <c r="AA177" s="527">
        <f t="shared" si="247"/>
        <v>39716.149609256914</v>
      </c>
      <c r="AB177" s="527">
        <f t="shared" si="247"/>
        <v>39716.149609256914</v>
      </c>
      <c r="AC177" s="527">
        <f t="shared" si="247"/>
        <v>39716.149609256914</v>
      </c>
      <c r="AD177" s="527">
        <f t="shared" si="247"/>
        <v>39716.149609256914</v>
      </c>
      <c r="AE177" s="527">
        <f t="shared" si="247"/>
        <v>39716.149609256914</v>
      </c>
      <c r="AF177" s="527">
        <f t="shared" si="247"/>
        <v>39716.149609256914</v>
      </c>
      <c r="AG177" s="527">
        <f t="shared" si="247"/>
        <v>39716.149609256914</v>
      </c>
      <c r="AH177" s="527">
        <f t="shared" si="247"/>
        <v>39716.149609256914</v>
      </c>
      <c r="AI177" s="527">
        <f t="shared" si="247"/>
        <v>39716.149609256914</v>
      </c>
      <c r="AJ177" s="527">
        <f t="shared" si="247"/>
        <v>41304.79559362719</v>
      </c>
      <c r="AK177" s="527">
        <f t="shared" si="247"/>
        <v>41304.79559362719</v>
      </c>
      <c r="AL177" s="527">
        <f t="shared" si="247"/>
        <v>41304.79559362719</v>
      </c>
      <c r="AM177" s="527">
        <f t="shared" si="247"/>
        <v>41304.79559362719</v>
      </c>
      <c r="AN177" s="527">
        <f t="shared" si="247"/>
        <v>41304.79559362719</v>
      </c>
      <c r="AO177" s="527">
        <f t="shared" si="247"/>
        <v>41304.79559362719</v>
      </c>
      <c r="AP177" s="527">
        <f t="shared" si="247"/>
        <v>41304.79559362719</v>
      </c>
      <c r="AQ177" s="527">
        <f t="shared" si="247"/>
        <v>41304.79559362719</v>
      </c>
      <c r="AR177" s="527">
        <f t="shared" si="247"/>
        <v>41304.79559362719</v>
      </c>
      <c r="AS177" s="527">
        <f t="shared" si="247"/>
        <v>41304.79559362719</v>
      </c>
      <c r="AT177" s="527">
        <f t="shared" si="247"/>
        <v>41304.79559362719</v>
      </c>
      <c r="AU177" s="527">
        <f t="shared" si="247"/>
        <v>41304.79559362719</v>
      </c>
      <c r="AV177" s="527">
        <f t="shared" si="247"/>
        <v>42956.987417372278</v>
      </c>
      <c r="AW177" s="527">
        <f t="shared" si="247"/>
        <v>42956.987417372278</v>
      </c>
      <c r="AX177" s="527">
        <f t="shared" ref="AX177:BY177" si="248">(AX490*AX$615*$R155)+IF(AX498=0,0,INDEX($S170:$W170,MATCH(AX498,$S$169:$W$169,0))/12)</f>
        <v>42956.987417372278</v>
      </c>
      <c r="AY177" s="527">
        <f t="shared" si="248"/>
        <v>42956.987417372278</v>
      </c>
      <c r="AZ177" s="527">
        <f t="shared" si="248"/>
        <v>42956.987417372278</v>
      </c>
      <c r="BA177" s="527">
        <f t="shared" si="248"/>
        <v>42956.987417372278</v>
      </c>
      <c r="BB177" s="527">
        <f t="shared" si="248"/>
        <v>42956.987417372278</v>
      </c>
      <c r="BC177" s="527">
        <f t="shared" si="248"/>
        <v>42956.987417372278</v>
      </c>
      <c r="BD177" s="527">
        <f t="shared" si="248"/>
        <v>42956.987417372278</v>
      </c>
      <c r="BE177" s="527">
        <f t="shared" si="248"/>
        <v>42956.987417372278</v>
      </c>
      <c r="BF177" s="527">
        <f t="shared" si="248"/>
        <v>42956.987417372278</v>
      </c>
      <c r="BG177" s="527">
        <f t="shared" si="248"/>
        <v>42956.987417372278</v>
      </c>
      <c r="BH177" s="527">
        <f t="shared" si="248"/>
        <v>44675.266914067171</v>
      </c>
      <c r="BI177" s="527">
        <f t="shared" si="248"/>
        <v>44675.266914067171</v>
      </c>
      <c r="BJ177" s="527">
        <f t="shared" si="248"/>
        <v>44675.266914067171</v>
      </c>
      <c r="BK177" s="527">
        <f t="shared" si="248"/>
        <v>44675.266914067171</v>
      </c>
      <c r="BL177" s="527">
        <f t="shared" si="248"/>
        <v>44675.266914067171</v>
      </c>
      <c r="BM177" s="527">
        <f t="shared" si="248"/>
        <v>44675.266914067171</v>
      </c>
      <c r="BN177" s="527">
        <f t="shared" si="248"/>
        <v>44675.266914067171</v>
      </c>
      <c r="BO177" s="527">
        <f t="shared" si="248"/>
        <v>44675.266914067171</v>
      </c>
      <c r="BP177" s="527">
        <f t="shared" si="248"/>
        <v>44675.266914067171</v>
      </c>
      <c r="BQ177" s="527">
        <f t="shared" si="248"/>
        <v>44675.266914067171</v>
      </c>
      <c r="BR177" s="527">
        <f t="shared" si="248"/>
        <v>44675.266914067171</v>
      </c>
      <c r="BS177" s="527">
        <f t="shared" si="248"/>
        <v>44675.266914067171</v>
      </c>
      <c r="BT177" s="527">
        <f t="shared" si="248"/>
        <v>46462.277590629856</v>
      </c>
      <c r="BU177" s="527">
        <f t="shared" si="248"/>
        <v>46462.277590629856</v>
      </c>
      <c r="BV177" s="527">
        <f t="shared" si="248"/>
        <v>46462.277590629856</v>
      </c>
      <c r="BW177" s="527">
        <f t="shared" si="248"/>
        <v>46462.277590629856</v>
      </c>
      <c r="BX177" s="527">
        <f t="shared" si="248"/>
        <v>46462.277590629856</v>
      </c>
      <c r="BY177" s="527">
        <f t="shared" si="248"/>
        <v>46462.277590629856</v>
      </c>
    </row>
    <row r="178" spans="1:77" x14ac:dyDescent="0.3">
      <c r="A178" s="551"/>
      <c r="B178" s="548"/>
      <c r="C178" s="525"/>
      <c r="D178" s="525"/>
      <c r="E178" s="611" t="str">
        <f>"Outlet EBITDA: "&amp;E$156</f>
        <v>Outlet EBITDA: FY28 Tranche</v>
      </c>
      <c r="F178" s="525"/>
      <c r="G178" s="525"/>
      <c r="H178" s="525"/>
      <c r="I178" s="525"/>
      <c r="J178" s="525"/>
      <c r="K178" s="525"/>
      <c r="L178" s="525"/>
      <c r="M178" s="525"/>
      <c r="N178" s="525"/>
      <c r="O178" s="525"/>
      <c r="P178" s="565"/>
      <c r="Q178" s="525"/>
      <c r="R178" s="527">
        <f>(R491*R$615*$R156)</f>
        <v>33654.896830281177</v>
      </c>
      <c r="S178" s="527">
        <f t="shared" ref="S178:AX178" si="249">(S491*S$615*$R156)+IF(S499=0,0,INDEX($S171:$W171,MATCH(S499,$S$169:$W$169,0))/12)</f>
        <v>33654.896830281177</v>
      </c>
      <c r="T178" s="527">
        <f t="shared" si="249"/>
        <v>33654.896830281177</v>
      </c>
      <c r="U178" s="527">
        <f t="shared" si="249"/>
        <v>33654.896830281177</v>
      </c>
      <c r="V178" s="527">
        <f t="shared" si="249"/>
        <v>33654.896830281177</v>
      </c>
      <c r="W178" s="527">
        <f t="shared" si="249"/>
        <v>33654.896830281177</v>
      </c>
      <c r="X178" s="527">
        <f t="shared" si="249"/>
        <v>33654.896830281177</v>
      </c>
      <c r="Y178" s="527">
        <f t="shared" si="249"/>
        <v>33654.896830281177</v>
      </c>
      <c r="Z178" s="527">
        <f t="shared" si="249"/>
        <v>33654.896830281177</v>
      </c>
      <c r="AA178" s="527">
        <f t="shared" si="249"/>
        <v>33654.896830281177</v>
      </c>
      <c r="AB178" s="527">
        <f t="shared" si="249"/>
        <v>33654.896830281177</v>
      </c>
      <c r="AC178" s="527">
        <f t="shared" si="249"/>
        <v>33654.896830281177</v>
      </c>
      <c r="AD178" s="527">
        <f t="shared" si="249"/>
        <v>34984.069714311241</v>
      </c>
      <c r="AE178" s="527">
        <f t="shared" si="249"/>
        <v>34984.069714311241</v>
      </c>
      <c r="AF178" s="527">
        <f t="shared" si="249"/>
        <v>34984.069714311241</v>
      </c>
      <c r="AG178" s="527">
        <f t="shared" si="249"/>
        <v>34984.069714311241</v>
      </c>
      <c r="AH178" s="527">
        <f t="shared" si="249"/>
        <v>34984.069714311241</v>
      </c>
      <c r="AI178" s="527">
        <f t="shared" si="249"/>
        <v>34984.069714311241</v>
      </c>
      <c r="AJ178" s="527">
        <f t="shared" si="249"/>
        <v>41191.094411957914</v>
      </c>
      <c r="AK178" s="527">
        <f t="shared" si="249"/>
        <v>41191.094411957914</v>
      </c>
      <c r="AL178" s="527">
        <f t="shared" si="249"/>
        <v>41191.094411957914</v>
      </c>
      <c r="AM178" s="527">
        <f t="shared" si="249"/>
        <v>41191.094411957914</v>
      </c>
      <c r="AN178" s="527">
        <f t="shared" si="249"/>
        <v>41191.094411957914</v>
      </c>
      <c r="AO178" s="527">
        <f t="shared" si="249"/>
        <v>41191.094411957914</v>
      </c>
      <c r="AP178" s="527">
        <f t="shared" si="249"/>
        <v>41191.094411957914</v>
      </c>
      <c r="AQ178" s="527">
        <f t="shared" si="249"/>
        <v>41191.094411957914</v>
      </c>
      <c r="AR178" s="527">
        <f t="shared" si="249"/>
        <v>41191.094411957914</v>
      </c>
      <c r="AS178" s="527">
        <f t="shared" si="249"/>
        <v>41191.094411957914</v>
      </c>
      <c r="AT178" s="527">
        <f t="shared" si="249"/>
        <v>41191.094411957914</v>
      </c>
      <c r="AU178" s="527">
        <f t="shared" si="249"/>
        <v>41191.094411957914</v>
      </c>
      <c r="AV178" s="527">
        <f t="shared" si="249"/>
        <v>42838.738188436233</v>
      </c>
      <c r="AW178" s="527">
        <f t="shared" si="249"/>
        <v>42838.738188436233</v>
      </c>
      <c r="AX178" s="527">
        <f t="shared" si="249"/>
        <v>42838.738188436233</v>
      </c>
      <c r="AY178" s="527">
        <f t="shared" ref="AY178:BY178" si="250">(AY491*AY$615*$R156)+IF(AY499=0,0,INDEX($S171:$W171,MATCH(AY499,$S$169:$W$169,0))/12)</f>
        <v>42838.738188436233</v>
      </c>
      <c r="AZ178" s="527">
        <f t="shared" si="250"/>
        <v>42838.738188436233</v>
      </c>
      <c r="BA178" s="527">
        <f t="shared" si="250"/>
        <v>42838.738188436233</v>
      </c>
      <c r="BB178" s="527">
        <f t="shared" si="250"/>
        <v>42838.738188436233</v>
      </c>
      <c r="BC178" s="527">
        <f t="shared" si="250"/>
        <v>42838.738188436233</v>
      </c>
      <c r="BD178" s="527">
        <f t="shared" si="250"/>
        <v>42838.738188436233</v>
      </c>
      <c r="BE178" s="527">
        <f t="shared" si="250"/>
        <v>42838.738188436233</v>
      </c>
      <c r="BF178" s="527">
        <f t="shared" si="250"/>
        <v>42838.738188436233</v>
      </c>
      <c r="BG178" s="527">
        <f t="shared" si="250"/>
        <v>42838.738188436233</v>
      </c>
      <c r="BH178" s="527">
        <f t="shared" si="250"/>
        <v>44552.287715973682</v>
      </c>
      <c r="BI178" s="527">
        <f t="shared" si="250"/>
        <v>44552.287715973682</v>
      </c>
      <c r="BJ178" s="527">
        <f t="shared" si="250"/>
        <v>44552.287715973682</v>
      </c>
      <c r="BK178" s="527">
        <f t="shared" si="250"/>
        <v>44552.287715973682</v>
      </c>
      <c r="BL178" s="527">
        <f t="shared" si="250"/>
        <v>44552.287715973682</v>
      </c>
      <c r="BM178" s="527">
        <f t="shared" si="250"/>
        <v>44552.287715973682</v>
      </c>
      <c r="BN178" s="527">
        <f t="shared" si="250"/>
        <v>44552.287715973682</v>
      </c>
      <c r="BO178" s="527">
        <f t="shared" si="250"/>
        <v>44552.287715973682</v>
      </c>
      <c r="BP178" s="527">
        <f t="shared" si="250"/>
        <v>44552.287715973682</v>
      </c>
      <c r="BQ178" s="527">
        <f t="shared" si="250"/>
        <v>44552.287715973682</v>
      </c>
      <c r="BR178" s="527">
        <f t="shared" si="250"/>
        <v>44552.287715973682</v>
      </c>
      <c r="BS178" s="527">
        <f t="shared" si="250"/>
        <v>44552.287715973682</v>
      </c>
      <c r="BT178" s="527">
        <f t="shared" si="250"/>
        <v>46334.379224612632</v>
      </c>
      <c r="BU178" s="527">
        <f t="shared" si="250"/>
        <v>46334.379224612632</v>
      </c>
      <c r="BV178" s="527">
        <f t="shared" si="250"/>
        <v>46334.379224612632</v>
      </c>
      <c r="BW178" s="527">
        <f t="shared" si="250"/>
        <v>46334.379224612632</v>
      </c>
      <c r="BX178" s="527">
        <f t="shared" si="250"/>
        <v>46334.379224612632</v>
      </c>
      <c r="BY178" s="527">
        <f t="shared" si="250"/>
        <v>46334.379224612632</v>
      </c>
    </row>
    <row r="179" spans="1:77" x14ac:dyDescent="0.3">
      <c r="A179" s="551"/>
      <c r="B179" s="548"/>
      <c r="C179" s="525"/>
      <c r="D179" s="525"/>
      <c r="E179" s="611" t="str">
        <f>"Outlet EBITDA: "&amp;E$157</f>
        <v>Outlet EBITDA: FY29 Tranche</v>
      </c>
      <c r="F179" s="525"/>
      <c r="G179" s="525"/>
      <c r="H179" s="525"/>
      <c r="I179" s="525"/>
      <c r="J179" s="525"/>
      <c r="K179" s="525"/>
      <c r="L179" s="525"/>
      <c r="M179" s="525"/>
      <c r="N179" s="525"/>
      <c r="O179" s="525"/>
      <c r="P179" s="565"/>
      <c r="Q179" s="525"/>
      <c r="R179" s="527">
        <f>(R492*R$615*$R157)</f>
        <v>33654.896830281177</v>
      </c>
      <c r="S179" s="527">
        <f t="shared" ref="S179:AX179" si="251">(S492*S$615*$R157)+IF(S500=0,0,INDEX($S172:$W172,MATCH(S500,$S$169:$W$169,0))/12)</f>
        <v>33654.896830281177</v>
      </c>
      <c r="T179" s="527">
        <f t="shared" si="251"/>
        <v>33654.896830281177</v>
      </c>
      <c r="U179" s="527">
        <f t="shared" si="251"/>
        <v>33654.896830281177</v>
      </c>
      <c r="V179" s="527">
        <f t="shared" si="251"/>
        <v>33654.896830281177</v>
      </c>
      <c r="W179" s="527">
        <f t="shared" si="251"/>
        <v>33654.896830281177</v>
      </c>
      <c r="X179" s="527">
        <f t="shared" si="251"/>
        <v>33654.896830281177</v>
      </c>
      <c r="Y179" s="527">
        <f t="shared" si="251"/>
        <v>33654.896830281177</v>
      </c>
      <c r="Z179" s="527">
        <f t="shared" si="251"/>
        <v>33654.896830281177</v>
      </c>
      <c r="AA179" s="527">
        <f t="shared" si="251"/>
        <v>33654.896830281177</v>
      </c>
      <c r="AB179" s="527">
        <f t="shared" si="251"/>
        <v>33654.896830281177</v>
      </c>
      <c r="AC179" s="527">
        <f t="shared" si="251"/>
        <v>33654.896830281177</v>
      </c>
      <c r="AD179" s="527">
        <f t="shared" si="251"/>
        <v>34984.069714311241</v>
      </c>
      <c r="AE179" s="527">
        <f t="shared" si="251"/>
        <v>34984.069714311241</v>
      </c>
      <c r="AF179" s="527">
        <f t="shared" si="251"/>
        <v>34984.069714311241</v>
      </c>
      <c r="AG179" s="527">
        <f t="shared" si="251"/>
        <v>34984.069714311241</v>
      </c>
      <c r="AH179" s="527">
        <f t="shared" si="251"/>
        <v>34984.069714311241</v>
      </c>
      <c r="AI179" s="527">
        <f t="shared" si="251"/>
        <v>34984.069714311241</v>
      </c>
      <c r="AJ179" s="527">
        <f t="shared" si="251"/>
        <v>34984.069714311241</v>
      </c>
      <c r="AK179" s="527">
        <f t="shared" si="251"/>
        <v>34984.069714311241</v>
      </c>
      <c r="AL179" s="527">
        <f t="shared" si="251"/>
        <v>34984.069714311241</v>
      </c>
      <c r="AM179" s="527">
        <f t="shared" si="251"/>
        <v>34984.069714311241</v>
      </c>
      <c r="AN179" s="527">
        <f t="shared" si="251"/>
        <v>34984.069714311241</v>
      </c>
      <c r="AO179" s="527">
        <f t="shared" si="251"/>
        <v>34984.069714311241</v>
      </c>
      <c r="AP179" s="527">
        <f t="shared" si="251"/>
        <v>36299.748288781564</v>
      </c>
      <c r="AQ179" s="527">
        <f t="shared" si="251"/>
        <v>36299.748288781564</v>
      </c>
      <c r="AR179" s="527">
        <f t="shared" si="251"/>
        <v>36299.748288781564</v>
      </c>
      <c r="AS179" s="527">
        <f t="shared" si="251"/>
        <v>36299.748288781564</v>
      </c>
      <c r="AT179" s="527">
        <f t="shared" si="251"/>
        <v>36299.748288781564</v>
      </c>
      <c r="AU179" s="527">
        <f t="shared" si="251"/>
        <v>36299.748288781564</v>
      </c>
      <c r="AV179" s="527">
        <f t="shared" si="251"/>
        <v>42646.148115443182</v>
      </c>
      <c r="AW179" s="527">
        <f t="shared" si="251"/>
        <v>42646.148115443182</v>
      </c>
      <c r="AX179" s="527">
        <f t="shared" si="251"/>
        <v>42646.148115443182</v>
      </c>
      <c r="AY179" s="527">
        <f t="shared" ref="AY179:BY179" si="252">(AY492*AY$615*$R157)+IF(AY500=0,0,INDEX($S172:$W172,MATCH(AY500,$S$169:$W$169,0))/12)</f>
        <v>42646.148115443182</v>
      </c>
      <c r="AZ179" s="527">
        <f t="shared" si="252"/>
        <v>42646.148115443182</v>
      </c>
      <c r="BA179" s="527">
        <f t="shared" si="252"/>
        <v>42646.148115443182</v>
      </c>
      <c r="BB179" s="527">
        <f t="shared" si="252"/>
        <v>42646.148115443182</v>
      </c>
      <c r="BC179" s="527">
        <f t="shared" si="252"/>
        <v>42646.148115443182</v>
      </c>
      <c r="BD179" s="527">
        <f t="shared" si="252"/>
        <v>42646.148115443182</v>
      </c>
      <c r="BE179" s="527">
        <f t="shared" si="252"/>
        <v>42646.148115443182</v>
      </c>
      <c r="BF179" s="527">
        <f t="shared" si="252"/>
        <v>42646.148115443182</v>
      </c>
      <c r="BG179" s="527">
        <f t="shared" si="252"/>
        <v>42646.148115443182</v>
      </c>
      <c r="BH179" s="527">
        <f t="shared" si="252"/>
        <v>44351.994040060912</v>
      </c>
      <c r="BI179" s="527">
        <f t="shared" si="252"/>
        <v>44351.994040060912</v>
      </c>
      <c r="BJ179" s="527">
        <f t="shared" si="252"/>
        <v>44351.994040060912</v>
      </c>
      <c r="BK179" s="527">
        <f t="shared" si="252"/>
        <v>44351.994040060912</v>
      </c>
      <c r="BL179" s="527">
        <f t="shared" si="252"/>
        <v>44351.994040060912</v>
      </c>
      <c r="BM179" s="527">
        <f t="shared" si="252"/>
        <v>44351.994040060912</v>
      </c>
      <c r="BN179" s="527">
        <f t="shared" si="252"/>
        <v>44351.994040060912</v>
      </c>
      <c r="BO179" s="527">
        <f t="shared" si="252"/>
        <v>44351.994040060912</v>
      </c>
      <c r="BP179" s="527">
        <f t="shared" si="252"/>
        <v>44351.994040060912</v>
      </c>
      <c r="BQ179" s="527">
        <f t="shared" si="252"/>
        <v>44351.994040060912</v>
      </c>
      <c r="BR179" s="527">
        <f t="shared" si="252"/>
        <v>44351.994040060912</v>
      </c>
      <c r="BS179" s="527">
        <f t="shared" si="252"/>
        <v>44351.994040060912</v>
      </c>
      <c r="BT179" s="527">
        <f t="shared" si="252"/>
        <v>46126.073801663355</v>
      </c>
      <c r="BU179" s="527">
        <f t="shared" si="252"/>
        <v>46126.073801663355</v>
      </c>
      <c r="BV179" s="527">
        <f t="shared" si="252"/>
        <v>46126.073801663355</v>
      </c>
      <c r="BW179" s="527">
        <f t="shared" si="252"/>
        <v>46126.073801663355</v>
      </c>
      <c r="BX179" s="527">
        <f t="shared" si="252"/>
        <v>46126.073801663355</v>
      </c>
      <c r="BY179" s="527">
        <f t="shared" si="252"/>
        <v>46126.073801663355</v>
      </c>
    </row>
    <row r="180" spans="1:77" x14ac:dyDescent="0.3">
      <c r="A180" s="551"/>
      <c r="B180" s="548"/>
      <c r="C180" s="525"/>
      <c r="D180" s="525"/>
      <c r="E180" s="611" t="str">
        <f>"Outlet EBITDA: "&amp;E$158</f>
        <v>Outlet EBITDA: FY30 Tranche</v>
      </c>
      <c r="F180" s="525"/>
      <c r="G180" s="525"/>
      <c r="H180" s="525"/>
      <c r="I180" s="525"/>
      <c r="J180" s="525"/>
      <c r="K180" s="525"/>
      <c r="L180" s="525"/>
      <c r="M180" s="525"/>
      <c r="N180" s="525"/>
      <c r="O180" s="525"/>
      <c r="P180" s="565"/>
      <c r="Q180" s="525"/>
      <c r="R180" s="527">
        <f>(R493*R$615*$R158)</f>
        <v>33654.896830281177</v>
      </c>
      <c r="S180" s="527">
        <f t="shared" ref="S180:AX180" si="253">(S493*S$615*$R158)+IF(S501=0,0,INDEX($S173:$W173,MATCH(S501,$S$169:$W$169,0))/12)</f>
        <v>33654.896830281177</v>
      </c>
      <c r="T180" s="527">
        <f t="shared" si="253"/>
        <v>33654.896830281177</v>
      </c>
      <c r="U180" s="527">
        <f t="shared" si="253"/>
        <v>33654.896830281177</v>
      </c>
      <c r="V180" s="527">
        <f t="shared" si="253"/>
        <v>33654.896830281177</v>
      </c>
      <c r="W180" s="527">
        <f t="shared" si="253"/>
        <v>33654.896830281177</v>
      </c>
      <c r="X180" s="527">
        <f t="shared" si="253"/>
        <v>33654.896830281177</v>
      </c>
      <c r="Y180" s="527">
        <f t="shared" si="253"/>
        <v>33654.896830281177</v>
      </c>
      <c r="Z180" s="527">
        <f t="shared" si="253"/>
        <v>33654.896830281177</v>
      </c>
      <c r="AA180" s="527">
        <f t="shared" si="253"/>
        <v>33654.896830281177</v>
      </c>
      <c r="AB180" s="527">
        <f t="shared" si="253"/>
        <v>33654.896830281177</v>
      </c>
      <c r="AC180" s="527">
        <f t="shared" si="253"/>
        <v>33654.896830281177</v>
      </c>
      <c r="AD180" s="527">
        <f t="shared" si="253"/>
        <v>34984.069714311241</v>
      </c>
      <c r="AE180" s="527">
        <f t="shared" si="253"/>
        <v>34984.069714311241</v>
      </c>
      <c r="AF180" s="527">
        <f t="shared" si="253"/>
        <v>34984.069714311241</v>
      </c>
      <c r="AG180" s="527">
        <f t="shared" si="253"/>
        <v>34984.069714311241</v>
      </c>
      <c r="AH180" s="527">
        <f t="shared" si="253"/>
        <v>34984.069714311241</v>
      </c>
      <c r="AI180" s="527">
        <f t="shared" si="253"/>
        <v>34984.069714311241</v>
      </c>
      <c r="AJ180" s="527">
        <f t="shared" si="253"/>
        <v>34984.069714311241</v>
      </c>
      <c r="AK180" s="527">
        <f t="shared" si="253"/>
        <v>34984.069714311241</v>
      </c>
      <c r="AL180" s="527">
        <f t="shared" si="253"/>
        <v>34984.069714311241</v>
      </c>
      <c r="AM180" s="527">
        <f t="shared" si="253"/>
        <v>34984.069714311241</v>
      </c>
      <c r="AN180" s="527">
        <f t="shared" si="253"/>
        <v>34984.069714311241</v>
      </c>
      <c r="AO180" s="527">
        <f t="shared" si="253"/>
        <v>34984.069714311241</v>
      </c>
      <c r="AP180" s="527">
        <f t="shared" si="253"/>
        <v>36299.748288781564</v>
      </c>
      <c r="AQ180" s="527">
        <f t="shared" si="253"/>
        <v>36299.748288781564</v>
      </c>
      <c r="AR180" s="527">
        <f t="shared" si="253"/>
        <v>36299.748288781564</v>
      </c>
      <c r="AS180" s="527">
        <f t="shared" si="253"/>
        <v>36299.748288781564</v>
      </c>
      <c r="AT180" s="527">
        <f t="shared" si="253"/>
        <v>36299.748288781564</v>
      </c>
      <c r="AU180" s="527">
        <f t="shared" si="253"/>
        <v>36299.748288781564</v>
      </c>
      <c r="AV180" s="527">
        <f t="shared" si="253"/>
        <v>36299.748288781564</v>
      </c>
      <c r="AW180" s="527">
        <f t="shared" si="253"/>
        <v>36299.748288781564</v>
      </c>
      <c r="AX180" s="527">
        <f t="shared" si="253"/>
        <v>36299.748288781564</v>
      </c>
      <c r="AY180" s="527">
        <f t="shared" ref="AY180:BY180" si="254">(AY493*AY$615*$R158)+IF(AY501=0,0,INDEX($S173:$W173,MATCH(AY501,$S$169:$W$169,0))/12)</f>
        <v>36299.748288781564</v>
      </c>
      <c r="AZ180" s="527">
        <f t="shared" si="254"/>
        <v>36299.748288781564</v>
      </c>
      <c r="BA180" s="527">
        <f t="shared" si="254"/>
        <v>36299.748288781564</v>
      </c>
      <c r="BB180" s="527">
        <f t="shared" si="254"/>
        <v>37540.458564518776</v>
      </c>
      <c r="BC180" s="527">
        <f t="shared" si="254"/>
        <v>37540.458564518776</v>
      </c>
      <c r="BD180" s="527">
        <f t="shared" si="254"/>
        <v>37540.458564518776</v>
      </c>
      <c r="BE180" s="527">
        <f t="shared" si="254"/>
        <v>37540.458564518776</v>
      </c>
      <c r="BF180" s="527">
        <f t="shared" si="254"/>
        <v>37540.458564518776</v>
      </c>
      <c r="BG180" s="527">
        <f t="shared" si="254"/>
        <v>37540.458564518776</v>
      </c>
      <c r="BH180" s="527">
        <f t="shared" si="254"/>
        <v>44018.086890783532</v>
      </c>
      <c r="BI180" s="527">
        <f t="shared" si="254"/>
        <v>44018.086890783532</v>
      </c>
      <c r="BJ180" s="527">
        <f t="shared" si="254"/>
        <v>44018.086890783532</v>
      </c>
      <c r="BK180" s="527">
        <f t="shared" si="254"/>
        <v>44018.086890783532</v>
      </c>
      <c r="BL180" s="527">
        <f t="shared" si="254"/>
        <v>44018.086890783532</v>
      </c>
      <c r="BM180" s="527">
        <f t="shared" si="254"/>
        <v>44018.086890783532</v>
      </c>
      <c r="BN180" s="527">
        <f t="shared" si="254"/>
        <v>44018.086890783532</v>
      </c>
      <c r="BO180" s="527">
        <f t="shared" si="254"/>
        <v>44018.086890783532</v>
      </c>
      <c r="BP180" s="527">
        <f t="shared" si="254"/>
        <v>44018.086890783532</v>
      </c>
      <c r="BQ180" s="527">
        <f t="shared" si="254"/>
        <v>44018.086890783532</v>
      </c>
      <c r="BR180" s="527">
        <f t="shared" si="254"/>
        <v>44018.086890783532</v>
      </c>
      <c r="BS180" s="527">
        <f t="shared" si="254"/>
        <v>44018.086890783532</v>
      </c>
      <c r="BT180" s="527">
        <f t="shared" si="254"/>
        <v>45778.810366414873</v>
      </c>
      <c r="BU180" s="527">
        <f t="shared" si="254"/>
        <v>45778.810366414873</v>
      </c>
      <c r="BV180" s="527">
        <f t="shared" si="254"/>
        <v>45778.810366414873</v>
      </c>
      <c r="BW180" s="527">
        <f t="shared" si="254"/>
        <v>45778.810366414873</v>
      </c>
      <c r="BX180" s="527">
        <f t="shared" si="254"/>
        <v>45778.810366414873</v>
      </c>
      <c r="BY180" s="527">
        <f t="shared" si="254"/>
        <v>45778.810366414873</v>
      </c>
    </row>
    <row r="181" spans="1:77" x14ac:dyDescent="0.3">
      <c r="A181" s="551"/>
      <c r="B181" s="548"/>
      <c r="C181" s="525"/>
      <c r="D181" s="525"/>
      <c r="E181" s="611" t="str">
        <f>"Outlet EBITDA: "&amp;E$159</f>
        <v>Outlet EBITDA: FY31 Tranche</v>
      </c>
      <c r="F181" s="525"/>
      <c r="G181" s="525"/>
      <c r="H181" s="525"/>
      <c r="I181" s="525"/>
      <c r="J181" s="525"/>
      <c r="K181" s="525"/>
      <c r="L181" s="525"/>
      <c r="M181" s="525"/>
      <c r="N181" s="525"/>
      <c r="O181" s="525"/>
      <c r="P181" s="565"/>
      <c r="Q181" s="525"/>
      <c r="R181" s="527">
        <f>(R494*R$615*$R159)</f>
        <v>33654.896830281177</v>
      </c>
      <c r="S181" s="527">
        <f t="shared" ref="S181:AX181" si="255">(S494*S$615*$R159)+IF(S502=0,0,INDEX($S174:$W174,MATCH(S502,$S$169:$W$169,0))/12)</f>
        <v>33654.896830281177</v>
      </c>
      <c r="T181" s="527">
        <f t="shared" si="255"/>
        <v>33654.896830281177</v>
      </c>
      <c r="U181" s="527">
        <f t="shared" si="255"/>
        <v>33654.896830281177</v>
      </c>
      <c r="V181" s="527">
        <f t="shared" si="255"/>
        <v>33654.896830281177</v>
      </c>
      <c r="W181" s="527">
        <f t="shared" si="255"/>
        <v>33654.896830281177</v>
      </c>
      <c r="X181" s="527">
        <f t="shared" si="255"/>
        <v>33654.896830281177</v>
      </c>
      <c r="Y181" s="527">
        <f t="shared" si="255"/>
        <v>33654.896830281177</v>
      </c>
      <c r="Z181" s="527">
        <f t="shared" si="255"/>
        <v>33654.896830281177</v>
      </c>
      <c r="AA181" s="527">
        <f t="shared" si="255"/>
        <v>33654.896830281177</v>
      </c>
      <c r="AB181" s="527">
        <f t="shared" si="255"/>
        <v>33654.896830281177</v>
      </c>
      <c r="AC181" s="527">
        <f t="shared" si="255"/>
        <v>33654.896830281177</v>
      </c>
      <c r="AD181" s="527">
        <f t="shared" si="255"/>
        <v>34984.069714311241</v>
      </c>
      <c r="AE181" s="527">
        <f t="shared" si="255"/>
        <v>34984.069714311241</v>
      </c>
      <c r="AF181" s="527">
        <f t="shared" si="255"/>
        <v>34984.069714311241</v>
      </c>
      <c r="AG181" s="527">
        <f t="shared" si="255"/>
        <v>34984.069714311241</v>
      </c>
      <c r="AH181" s="527">
        <f t="shared" si="255"/>
        <v>34984.069714311241</v>
      </c>
      <c r="AI181" s="527">
        <f t="shared" si="255"/>
        <v>34984.069714311241</v>
      </c>
      <c r="AJ181" s="527">
        <f t="shared" si="255"/>
        <v>34984.069714311241</v>
      </c>
      <c r="AK181" s="527">
        <f t="shared" si="255"/>
        <v>34984.069714311241</v>
      </c>
      <c r="AL181" s="527">
        <f t="shared" si="255"/>
        <v>34984.069714311241</v>
      </c>
      <c r="AM181" s="527">
        <f t="shared" si="255"/>
        <v>34984.069714311241</v>
      </c>
      <c r="AN181" s="527">
        <f t="shared" si="255"/>
        <v>34984.069714311241</v>
      </c>
      <c r="AO181" s="527">
        <f t="shared" si="255"/>
        <v>34984.069714311241</v>
      </c>
      <c r="AP181" s="527">
        <f t="shared" si="255"/>
        <v>36299.748288781564</v>
      </c>
      <c r="AQ181" s="527">
        <f t="shared" si="255"/>
        <v>36299.748288781564</v>
      </c>
      <c r="AR181" s="527">
        <f t="shared" si="255"/>
        <v>36299.748288781564</v>
      </c>
      <c r="AS181" s="527">
        <f t="shared" si="255"/>
        <v>36299.748288781564</v>
      </c>
      <c r="AT181" s="527">
        <f t="shared" si="255"/>
        <v>36299.748288781564</v>
      </c>
      <c r="AU181" s="527">
        <f t="shared" si="255"/>
        <v>36299.748288781564</v>
      </c>
      <c r="AV181" s="527">
        <f t="shared" si="255"/>
        <v>36299.748288781564</v>
      </c>
      <c r="AW181" s="527">
        <f t="shared" si="255"/>
        <v>36299.748288781564</v>
      </c>
      <c r="AX181" s="527">
        <f t="shared" si="255"/>
        <v>36299.748288781564</v>
      </c>
      <c r="AY181" s="527">
        <f t="shared" ref="AY181:BY181" si="256">(AY494*AY$615*$R159)+IF(AY502=0,0,INDEX($S174:$W174,MATCH(AY502,$S$169:$W$169,0))/12)</f>
        <v>36299.748288781564</v>
      </c>
      <c r="AZ181" s="527">
        <f t="shared" si="256"/>
        <v>36299.748288781564</v>
      </c>
      <c r="BA181" s="527">
        <f t="shared" si="256"/>
        <v>36299.748288781564</v>
      </c>
      <c r="BB181" s="527">
        <f t="shared" si="256"/>
        <v>37540.458564518776</v>
      </c>
      <c r="BC181" s="527">
        <f t="shared" si="256"/>
        <v>37540.458564518776</v>
      </c>
      <c r="BD181" s="527">
        <f t="shared" si="256"/>
        <v>37540.458564518776</v>
      </c>
      <c r="BE181" s="527">
        <f t="shared" si="256"/>
        <v>37540.458564518776</v>
      </c>
      <c r="BF181" s="527">
        <f t="shared" si="256"/>
        <v>37540.458564518776</v>
      </c>
      <c r="BG181" s="527">
        <f t="shared" si="256"/>
        <v>37540.458564518776</v>
      </c>
      <c r="BH181" s="527">
        <f t="shared" si="256"/>
        <v>37540.458564518776</v>
      </c>
      <c r="BI181" s="527">
        <f t="shared" si="256"/>
        <v>37540.458564518776</v>
      </c>
      <c r="BJ181" s="527">
        <f t="shared" si="256"/>
        <v>37540.458564518776</v>
      </c>
      <c r="BK181" s="527">
        <f t="shared" si="256"/>
        <v>37540.458564518776</v>
      </c>
      <c r="BL181" s="527">
        <f t="shared" si="256"/>
        <v>37540.458564518776</v>
      </c>
      <c r="BM181" s="527">
        <f t="shared" si="256"/>
        <v>37540.458564518776</v>
      </c>
      <c r="BN181" s="527">
        <f t="shared" si="256"/>
        <v>38773.524004893094</v>
      </c>
      <c r="BO181" s="527">
        <f t="shared" si="256"/>
        <v>38773.524004893094</v>
      </c>
      <c r="BP181" s="527">
        <f t="shared" si="256"/>
        <v>38773.524004893094</v>
      </c>
      <c r="BQ181" s="527">
        <f t="shared" si="256"/>
        <v>38773.524004893094</v>
      </c>
      <c r="BR181" s="527">
        <f t="shared" si="256"/>
        <v>38773.524004893094</v>
      </c>
      <c r="BS181" s="527">
        <f t="shared" si="256"/>
        <v>38773.524004893094</v>
      </c>
      <c r="BT181" s="527">
        <f t="shared" si="256"/>
        <v>45377.569576879665</v>
      </c>
      <c r="BU181" s="527">
        <f t="shared" si="256"/>
        <v>45377.569576879665</v>
      </c>
      <c r="BV181" s="527">
        <f t="shared" si="256"/>
        <v>45377.569576879665</v>
      </c>
      <c r="BW181" s="527">
        <f t="shared" si="256"/>
        <v>45377.569576879665</v>
      </c>
      <c r="BX181" s="527">
        <f t="shared" si="256"/>
        <v>45377.569576879665</v>
      </c>
      <c r="BY181" s="527">
        <f t="shared" si="256"/>
        <v>45377.569576879665</v>
      </c>
    </row>
    <row r="182" spans="1:77" x14ac:dyDescent="0.3">
      <c r="A182" s="551"/>
      <c r="B182" s="548"/>
      <c r="C182" s="525"/>
      <c r="D182" s="525"/>
      <c r="E182" s="611" t="str">
        <f>"Outlet EBITDA: "&amp;E$160</f>
        <v>Outlet EBITDA: Uninvested Tranche</v>
      </c>
      <c r="F182" s="525"/>
      <c r="G182" s="525"/>
      <c r="H182" s="525"/>
      <c r="I182" s="525"/>
      <c r="J182" s="525"/>
      <c r="K182" s="525"/>
      <c r="L182" s="525"/>
      <c r="M182" s="525"/>
      <c r="N182" s="525"/>
      <c r="O182" s="525"/>
      <c r="P182" s="565"/>
      <c r="Q182" s="525"/>
      <c r="R182" s="527">
        <f>(R495*R$615*$R160)</f>
        <v>92550.966283273243</v>
      </c>
      <c r="S182" s="527">
        <f t="shared" ref="S182:AX182" si="257">(S495*S$615*$R160)+IF(S503=0,0,INDEX($S175:$W175,MATCH(S503,$S$169:$W$169,0))/12)</f>
        <v>92550.966283273243</v>
      </c>
      <c r="T182" s="527">
        <f t="shared" si="257"/>
        <v>92550.966283273243</v>
      </c>
      <c r="U182" s="527">
        <f t="shared" si="257"/>
        <v>92550.966283273243</v>
      </c>
      <c r="V182" s="527">
        <f t="shared" si="257"/>
        <v>92550.966283273243</v>
      </c>
      <c r="W182" s="527">
        <f t="shared" si="257"/>
        <v>92550.966283273243</v>
      </c>
      <c r="X182" s="527">
        <f t="shared" si="257"/>
        <v>92550.966283273243</v>
      </c>
      <c r="Y182" s="527">
        <f t="shared" si="257"/>
        <v>92550.966283273243</v>
      </c>
      <c r="Z182" s="527">
        <f t="shared" si="257"/>
        <v>92550.966283273243</v>
      </c>
      <c r="AA182" s="527">
        <f t="shared" si="257"/>
        <v>92550.966283273243</v>
      </c>
      <c r="AB182" s="527">
        <f t="shared" si="257"/>
        <v>92550.966283273243</v>
      </c>
      <c r="AC182" s="527">
        <f t="shared" si="257"/>
        <v>92550.966283273243</v>
      </c>
      <c r="AD182" s="527">
        <f t="shared" si="257"/>
        <v>96206.191714355911</v>
      </c>
      <c r="AE182" s="527">
        <f t="shared" si="257"/>
        <v>96206.191714355911</v>
      </c>
      <c r="AF182" s="527">
        <f t="shared" si="257"/>
        <v>96206.191714355911</v>
      </c>
      <c r="AG182" s="527">
        <f t="shared" si="257"/>
        <v>96206.191714355911</v>
      </c>
      <c r="AH182" s="527">
        <f t="shared" si="257"/>
        <v>96206.191714355911</v>
      </c>
      <c r="AI182" s="527">
        <f t="shared" si="257"/>
        <v>96206.191714355911</v>
      </c>
      <c r="AJ182" s="527">
        <f t="shared" si="257"/>
        <v>96206.191714355911</v>
      </c>
      <c r="AK182" s="527">
        <f t="shared" si="257"/>
        <v>96206.191714355911</v>
      </c>
      <c r="AL182" s="527">
        <f t="shared" si="257"/>
        <v>96206.191714355911</v>
      </c>
      <c r="AM182" s="527">
        <f t="shared" si="257"/>
        <v>96206.191714355911</v>
      </c>
      <c r="AN182" s="527">
        <f t="shared" si="257"/>
        <v>96206.191714355911</v>
      </c>
      <c r="AO182" s="527">
        <f t="shared" si="257"/>
        <v>96206.191714355911</v>
      </c>
      <c r="AP182" s="527">
        <f t="shared" si="257"/>
        <v>99824.307794149296</v>
      </c>
      <c r="AQ182" s="527">
        <f t="shared" si="257"/>
        <v>99824.307794149296</v>
      </c>
      <c r="AR182" s="527">
        <f t="shared" si="257"/>
        <v>99824.307794149296</v>
      </c>
      <c r="AS182" s="527">
        <f t="shared" si="257"/>
        <v>99824.307794149296</v>
      </c>
      <c r="AT182" s="527">
        <f t="shared" si="257"/>
        <v>99824.307794149296</v>
      </c>
      <c r="AU182" s="527">
        <f t="shared" si="257"/>
        <v>99824.307794149296</v>
      </c>
      <c r="AV182" s="527">
        <f t="shared" si="257"/>
        <v>99824.307794149296</v>
      </c>
      <c r="AW182" s="527">
        <f t="shared" si="257"/>
        <v>99824.307794149296</v>
      </c>
      <c r="AX182" s="527">
        <f t="shared" si="257"/>
        <v>99824.307794149296</v>
      </c>
      <c r="AY182" s="527">
        <f t="shared" ref="AY182:BY182" si="258">(AY495*AY$615*$R160)+IF(AY503=0,0,INDEX($S175:$W175,MATCH(AY503,$S$169:$W$169,0))/12)</f>
        <v>99824.307794149296</v>
      </c>
      <c r="AZ182" s="527">
        <f t="shared" si="258"/>
        <v>99824.307794149296</v>
      </c>
      <c r="BA182" s="527">
        <f t="shared" si="258"/>
        <v>99824.307794149296</v>
      </c>
      <c r="BB182" s="527">
        <f t="shared" si="258"/>
        <v>103236.26105242663</v>
      </c>
      <c r="BC182" s="527">
        <f t="shared" si="258"/>
        <v>103236.26105242663</v>
      </c>
      <c r="BD182" s="527">
        <f t="shared" si="258"/>
        <v>103236.26105242663</v>
      </c>
      <c r="BE182" s="527">
        <f t="shared" si="258"/>
        <v>103236.26105242663</v>
      </c>
      <c r="BF182" s="527">
        <f t="shared" si="258"/>
        <v>103236.26105242663</v>
      </c>
      <c r="BG182" s="527">
        <f t="shared" si="258"/>
        <v>103236.26105242663</v>
      </c>
      <c r="BH182" s="527">
        <f t="shared" si="258"/>
        <v>103236.26105242663</v>
      </c>
      <c r="BI182" s="527">
        <f t="shared" si="258"/>
        <v>103236.26105242663</v>
      </c>
      <c r="BJ182" s="527">
        <f t="shared" si="258"/>
        <v>103236.26105242663</v>
      </c>
      <c r="BK182" s="527">
        <f t="shared" si="258"/>
        <v>103236.26105242663</v>
      </c>
      <c r="BL182" s="527">
        <f t="shared" si="258"/>
        <v>103236.26105242663</v>
      </c>
      <c r="BM182" s="527">
        <f t="shared" si="258"/>
        <v>103236.26105242663</v>
      </c>
      <c r="BN182" s="527">
        <f t="shared" si="258"/>
        <v>106627.191013456</v>
      </c>
      <c r="BO182" s="527">
        <f t="shared" si="258"/>
        <v>106627.191013456</v>
      </c>
      <c r="BP182" s="527">
        <f t="shared" si="258"/>
        <v>106627.191013456</v>
      </c>
      <c r="BQ182" s="527">
        <f t="shared" si="258"/>
        <v>106627.191013456</v>
      </c>
      <c r="BR182" s="527">
        <f t="shared" si="258"/>
        <v>106627.191013456</v>
      </c>
      <c r="BS182" s="527">
        <f t="shared" si="258"/>
        <v>106627.191013456</v>
      </c>
      <c r="BT182" s="527">
        <f t="shared" si="258"/>
        <v>106627.191013456</v>
      </c>
      <c r="BU182" s="527">
        <f t="shared" si="258"/>
        <v>106627.191013456</v>
      </c>
      <c r="BV182" s="527">
        <f t="shared" si="258"/>
        <v>106627.191013456</v>
      </c>
      <c r="BW182" s="527">
        <f t="shared" si="258"/>
        <v>106627.191013456</v>
      </c>
      <c r="BX182" s="527">
        <f t="shared" si="258"/>
        <v>106627.191013456</v>
      </c>
      <c r="BY182" s="527">
        <f t="shared" si="258"/>
        <v>106627.191013456</v>
      </c>
    </row>
    <row r="183" spans="1:77" x14ac:dyDescent="0.3">
      <c r="A183" s="551"/>
      <c r="B183" s="548"/>
      <c r="C183" s="525"/>
      <c r="D183" s="525"/>
      <c r="E183" s="572" t="s">
        <v>36</v>
      </c>
      <c r="F183" s="572"/>
      <c r="G183" s="572"/>
      <c r="H183" s="572"/>
      <c r="I183" s="572"/>
      <c r="J183" s="572"/>
      <c r="K183" s="572"/>
      <c r="L183" s="572"/>
      <c r="M183" s="572"/>
      <c r="N183" s="572"/>
      <c r="O183" s="572"/>
      <c r="P183" s="612"/>
      <c r="Q183" s="572"/>
      <c r="R183" s="532">
        <f t="shared" ref="R183:AW183" si="259">SUM(R177:R182)</f>
        <v>260825.45043467914</v>
      </c>
      <c r="S183" s="532">
        <f t="shared" si="259"/>
        <v>260825.45043467914</v>
      </c>
      <c r="T183" s="532">
        <f t="shared" si="259"/>
        <v>260825.45043467914</v>
      </c>
      <c r="U183" s="532">
        <f t="shared" si="259"/>
        <v>260825.45043467914</v>
      </c>
      <c r="V183" s="532">
        <f t="shared" si="259"/>
        <v>260825.45043467914</v>
      </c>
      <c r="W183" s="532">
        <f t="shared" si="259"/>
        <v>260825.45043467914</v>
      </c>
      <c r="X183" s="532">
        <f t="shared" si="259"/>
        <v>266886.70321365492</v>
      </c>
      <c r="Y183" s="532">
        <f t="shared" si="259"/>
        <v>266886.70321365492</v>
      </c>
      <c r="Z183" s="532">
        <f t="shared" si="259"/>
        <v>266886.70321365492</v>
      </c>
      <c r="AA183" s="532">
        <f t="shared" si="259"/>
        <v>266886.70321365492</v>
      </c>
      <c r="AB183" s="532">
        <f t="shared" si="259"/>
        <v>266886.70321365492</v>
      </c>
      <c r="AC183" s="532">
        <f t="shared" si="259"/>
        <v>266886.70321365492</v>
      </c>
      <c r="AD183" s="532">
        <f t="shared" si="259"/>
        <v>275858.62018085783</v>
      </c>
      <c r="AE183" s="532">
        <f t="shared" si="259"/>
        <v>275858.62018085783</v>
      </c>
      <c r="AF183" s="532">
        <f t="shared" si="259"/>
        <v>275858.62018085783</v>
      </c>
      <c r="AG183" s="532">
        <f t="shared" si="259"/>
        <v>275858.62018085783</v>
      </c>
      <c r="AH183" s="532">
        <f t="shared" si="259"/>
        <v>275858.62018085783</v>
      </c>
      <c r="AI183" s="532">
        <f t="shared" si="259"/>
        <v>275858.62018085783</v>
      </c>
      <c r="AJ183" s="532">
        <f t="shared" si="259"/>
        <v>283654.29086287477</v>
      </c>
      <c r="AK183" s="532">
        <f t="shared" si="259"/>
        <v>283654.29086287477</v>
      </c>
      <c r="AL183" s="532">
        <f t="shared" si="259"/>
        <v>283654.29086287477</v>
      </c>
      <c r="AM183" s="532">
        <f t="shared" si="259"/>
        <v>283654.29086287477</v>
      </c>
      <c r="AN183" s="532">
        <f t="shared" si="259"/>
        <v>283654.29086287477</v>
      </c>
      <c r="AO183" s="532">
        <f t="shared" si="259"/>
        <v>283654.29086287477</v>
      </c>
      <c r="AP183" s="532">
        <f t="shared" si="259"/>
        <v>291219.44266607903</v>
      </c>
      <c r="AQ183" s="532">
        <f t="shared" si="259"/>
        <v>291219.44266607903</v>
      </c>
      <c r="AR183" s="532">
        <f t="shared" si="259"/>
        <v>291219.44266607903</v>
      </c>
      <c r="AS183" s="532">
        <f t="shared" si="259"/>
        <v>291219.44266607903</v>
      </c>
      <c r="AT183" s="532">
        <f t="shared" si="259"/>
        <v>291219.44266607903</v>
      </c>
      <c r="AU183" s="532">
        <f t="shared" si="259"/>
        <v>291219.44266607903</v>
      </c>
      <c r="AV183" s="532">
        <f t="shared" si="259"/>
        <v>300865.67809296411</v>
      </c>
      <c r="AW183" s="532">
        <f t="shared" si="259"/>
        <v>300865.67809296411</v>
      </c>
      <c r="AX183" s="532">
        <f t="shared" ref="AX183:BY183" si="260">SUM(AX177:AX182)</f>
        <v>300865.67809296411</v>
      </c>
      <c r="AY183" s="532">
        <f t="shared" si="260"/>
        <v>300865.67809296411</v>
      </c>
      <c r="AZ183" s="532">
        <f t="shared" si="260"/>
        <v>300865.67809296411</v>
      </c>
      <c r="BA183" s="532">
        <f t="shared" si="260"/>
        <v>300865.67809296411</v>
      </c>
      <c r="BB183" s="532">
        <f t="shared" si="260"/>
        <v>306759.05190271587</v>
      </c>
      <c r="BC183" s="532">
        <f t="shared" si="260"/>
        <v>306759.05190271587</v>
      </c>
      <c r="BD183" s="532">
        <f t="shared" si="260"/>
        <v>306759.05190271587</v>
      </c>
      <c r="BE183" s="532">
        <f t="shared" si="260"/>
        <v>306759.05190271587</v>
      </c>
      <c r="BF183" s="532">
        <f t="shared" si="260"/>
        <v>306759.05190271587</v>
      </c>
      <c r="BG183" s="532">
        <f t="shared" si="260"/>
        <v>306759.05190271587</v>
      </c>
      <c r="BH183" s="532">
        <f t="shared" si="260"/>
        <v>318374.35517783073</v>
      </c>
      <c r="BI183" s="532">
        <f t="shared" si="260"/>
        <v>318374.35517783073</v>
      </c>
      <c r="BJ183" s="532">
        <f t="shared" si="260"/>
        <v>318374.35517783073</v>
      </c>
      <c r="BK183" s="532">
        <f t="shared" si="260"/>
        <v>318374.35517783073</v>
      </c>
      <c r="BL183" s="532">
        <f t="shared" si="260"/>
        <v>318374.35517783073</v>
      </c>
      <c r="BM183" s="532">
        <f t="shared" si="260"/>
        <v>318374.35517783073</v>
      </c>
      <c r="BN183" s="532">
        <f t="shared" si="260"/>
        <v>322998.35057923442</v>
      </c>
      <c r="BO183" s="532">
        <f t="shared" si="260"/>
        <v>322998.35057923442</v>
      </c>
      <c r="BP183" s="532">
        <f t="shared" si="260"/>
        <v>322998.35057923442</v>
      </c>
      <c r="BQ183" s="532">
        <f t="shared" si="260"/>
        <v>322998.35057923442</v>
      </c>
      <c r="BR183" s="532">
        <f t="shared" si="260"/>
        <v>322998.35057923442</v>
      </c>
      <c r="BS183" s="532">
        <f t="shared" si="260"/>
        <v>322998.35057923442</v>
      </c>
      <c r="BT183" s="532">
        <f t="shared" si="260"/>
        <v>336706.30157365638</v>
      </c>
      <c r="BU183" s="532">
        <f t="shared" si="260"/>
        <v>336706.30157365638</v>
      </c>
      <c r="BV183" s="532">
        <f t="shared" si="260"/>
        <v>336706.30157365638</v>
      </c>
      <c r="BW183" s="532">
        <f t="shared" si="260"/>
        <v>336706.30157365638</v>
      </c>
      <c r="BX183" s="532">
        <f t="shared" si="260"/>
        <v>336706.30157365638</v>
      </c>
      <c r="BY183" s="532">
        <f t="shared" si="260"/>
        <v>336706.30157365638</v>
      </c>
    </row>
    <row r="184" spans="1:77" x14ac:dyDescent="0.3">
      <c r="A184" s="551"/>
      <c r="B184" s="548"/>
      <c r="C184" s="525"/>
      <c r="D184" s="525"/>
      <c r="E184" s="525"/>
      <c r="F184" s="525"/>
      <c r="G184" s="525"/>
      <c r="H184" s="525"/>
      <c r="I184" s="525"/>
      <c r="J184" s="525"/>
      <c r="K184" s="525"/>
      <c r="L184" s="525"/>
      <c r="M184" s="525"/>
      <c r="N184" s="525"/>
      <c r="O184" s="525"/>
      <c r="P184" s="565"/>
      <c r="Q184" s="525"/>
      <c r="R184" s="525"/>
      <c r="S184" s="525"/>
      <c r="T184" s="525"/>
      <c r="U184" s="525"/>
      <c r="V184" s="525"/>
      <c r="W184" s="525"/>
      <c r="X184" s="525"/>
      <c r="Y184" s="525"/>
      <c r="Z184" s="525"/>
      <c r="AA184" s="525"/>
      <c r="AB184" s="525"/>
      <c r="AC184" s="525"/>
      <c r="AD184" s="525"/>
      <c r="AE184" s="525"/>
      <c r="AF184" s="525"/>
      <c r="AG184" s="525"/>
      <c r="AH184" s="525"/>
      <c r="AI184" s="529"/>
      <c r="AJ184" s="525"/>
      <c r="AK184" s="525"/>
      <c r="AL184" s="525"/>
      <c r="AM184" s="525"/>
      <c r="AN184" s="525"/>
      <c r="AO184" s="525"/>
      <c r="AP184" s="525"/>
      <c r="AQ184" s="525"/>
      <c r="AR184" s="525"/>
      <c r="AS184" s="525"/>
      <c r="AT184" s="525"/>
      <c r="AU184" s="525"/>
      <c r="AV184" s="525"/>
      <c r="AW184" s="525"/>
      <c r="AX184" s="525"/>
      <c r="AY184" s="525"/>
      <c r="AZ184" s="525"/>
      <c r="BA184" s="525"/>
      <c r="BB184" s="525"/>
      <c r="BC184" s="525"/>
      <c r="BD184" s="525"/>
      <c r="BE184" s="525"/>
      <c r="BF184" s="525"/>
      <c r="BG184" s="525"/>
      <c r="BH184" s="525"/>
      <c r="BI184" s="525"/>
      <c r="BJ184" s="525"/>
      <c r="BK184" s="525"/>
      <c r="BL184" s="525"/>
      <c r="BM184" s="525"/>
      <c r="BN184" s="525"/>
      <c r="BO184" s="525"/>
      <c r="BP184" s="525"/>
      <c r="BQ184" s="525"/>
      <c r="BR184" s="525"/>
      <c r="BS184" s="525"/>
      <c r="BT184" s="525"/>
      <c r="BU184" s="525"/>
      <c r="BV184" s="525"/>
      <c r="BW184" s="525"/>
      <c r="BX184" s="525"/>
      <c r="BY184" s="525"/>
    </row>
    <row r="185" spans="1:77" x14ac:dyDescent="0.3">
      <c r="A185" s="551"/>
      <c r="B185" s="548"/>
      <c r="C185" s="525"/>
      <c r="D185" s="525"/>
      <c r="E185" s="613" t="str">
        <f>"EBITDA uplift due to capex: "&amp;E$155</f>
        <v>EBITDA uplift due to capex: FY27 Tranche</v>
      </c>
      <c r="F185" s="525"/>
      <c r="G185" s="525"/>
      <c r="H185" s="525"/>
      <c r="I185" s="525"/>
      <c r="J185" s="525"/>
      <c r="K185" s="525"/>
      <c r="L185" s="525"/>
      <c r="M185" s="525"/>
      <c r="N185" s="525"/>
      <c r="O185" s="525"/>
      <c r="P185" s="565"/>
      <c r="Q185" s="525"/>
      <c r="R185" s="527">
        <f t="shared" ref="R185:AW185" si="261">(R177*R482)-(R$615*$R155*R482)</f>
        <v>0</v>
      </c>
      <c r="S185" s="527">
        <f t="shared" si="261"/>
        <v>0</v>
      </c>
      <c r="T185" s="527">
        <f t="shared" si="261"/>
        <v>0</v>
      </c>
      <c r="U185" s="527">
        <f t="shared" si="261"/>
        <v>0</v>
      </c>
      <c r="V185" s="527">
        <f t="shared" si="261"/>
        <v>0</v>
      </c>
      <c r="W185" s="527">
        <f t="shared" si="261"/>
        <v>0</v>
      </c>
      <c r="X185" s="527">
        <f t="shared" si="261"/>
        <v>6061.2527789757369</v>
      </c>
      <c r="Y185" s="527">
        <f t="shared" si="261"/>
        <v>6061.2527789757369</v>
      </c>
      <c r="Z185" s="527">
        <f t="shared" si="261"/>
        <v>6061.2527789757369</v>
      </c>
      <c r="AA185" s="527">
        <f t="shared" si="261"/>
        <v>6061.2527789757369</v>
      </c>
      <c r="AB185" s="527">
        <f t="shared" si="261"/>
        <v>6061.2527789757369</v>
      </c>
      <c r="AC185" s="527">
        <f t="shared" si="261"/>
        <v>6061.2527789757369</v>
      </c>
      <c r="AD185" s="527">
        <f t="shared" si="261"/>
        <v>4732.079894945673</v>
      </c>
      <c r="AE185" s="527">
        <f t="shared" si="261"/>
        <v>4732.079894945673</v>
      </c>
      <c r="AF185" s="527">
        <f t="shared" si="261"/>
        <v>4732.079894945673</v>
      </c>
      <c r="AG185" s="527">
        <f t="shared" si="261"/>
        <v>4732.079894945673</v>
      </c>
      <c r="AH185" s="527">
        <f t="shared" si="261"/>
        <v>4732.079894945673</v>
      </c>
      <c r="AI185" s="527">
        <f t="shared" si="261"/>
        <v>4732.079894945673</v>
      </c>
      <c r="AJ185" s="527">
        <f t="shared" si="261"/>
        <v>6320.725879315949</v>
      </c>
      <c r="AK185" s="527">
        <f t="shared" si="261"/>
        <v>6320.725879315949</v>
      </c>
      <c r="AL185" s="527">
        <f t="shared" si="261"/>
        <v>6320.725879315949</v>
      </c>
      <c r="AM185" s="527">
        <f t="shared" si="261"/>
        <v>6320.725879315949</v>
      </c>
      <c r="AN185" s="527">
        <f t="shared" si="261"/>
        <v>6320.725879315949</v>
      </c>
      <c r="AO185" s="527">
        <f t="shared" si="261"/>
        <v>6320.725879315949</v>
      </c>
      <c r="AP185" s="527">
        <f t="shared" si="261"/>
        <v>5005.0473048456261</v>
      </c>
      <c r="AQ185" s="527">
        <f t="shared" si="261"/>
        <v>5005.0473048456261</v>
      </c>
      <c r="AR185" s="527">
        <f t="shared" si="261"/>
        <v>5005.0473048456261</v>
      </c>
      <c r="AS185" s="527">
        <f t="shared" si="261"/>
        <v>5005.0473048456261</v>
      </c>
      <c r="AT185" s="527">
        <f t="shared" si="261"/>
        <v>5005.0473048456261</v>
      </c>
      <c r="AU185" s="527">
        <f t="shared" si="261"/>
        <v>5005.0473048456261</v>
      </c>
      <c r="AV185" s="527">
        <f t="shared" si="261"/>
        <v>6657.2391285907142</v>
      </c>
      <c r="AW185" s="527">
        <f t="shared" si="261"/>
        <v>6657.2391285907142</v>
      </c>
      <c r="AX185" s="527">
        <f t="shared" ref="AX185:BY185" si="262">(AX177*AX482)-(AX$615*$R155*AX482)</f>
        <v>6657.2391285907142</v>
      </c>
      <c r="AY185" s="527">
        <f t="shared" si="262"/>
        <v>6657.2391285907142</v>
      </c>
      <c r="AZ185" s="527">
        <f t="shared" si="262"/>
        <v>6657.2391285907142</v>
      </c>
      <c r="BA185" s="527">
        <f t="shared" si="262"/>
        <v>6657.2391285907142</v>
      </c>
      <c r="BB185" s="527">
        <f t="shared" si="262"/>
        <v>5416.528852853502</v>
      </c>
      <c r="BC185" s="527">
        <f t="shared" si="262"/>
        <v>5416.528852853502</v>
      </c>
      <c r="BD185" s="527">
        <f t="shared" si="262"/>
        <v>5416.528852853502</v>
      </c>
      <c r="BE185" s="527">
        <f t="shared" si="262"/>
        <v>5416.528852853502</v>
      </c>
      <c r="BF185" s="527">
        <f t="shared" si="262"/>
        <v>5416.528852853502</v>
      </c>
      <c r="BG185" s="527">
        <f t="shared" si="262"/>
        <v>5416.528852853502</v>
      </c>
      <c r="BH185" s="527">
        <f t="shared" si="262"/>
        <v>7134.8083495483952</v>
      </c>
      <c r="BI185" s="527">
        <f t="shared" si="262"/>
        <v>7134.8083495483952</v>
      </c>
      <c r="BJ185" s="527">
        <f t="shared" si="262"/>
        <v>7134.8083495483952</v>
      </c>
      <c r="BK185" s="527">
        <f t="shared" si="262"/>
        <v>7134.8083495483952</v>
      </c>
      <c r="BL185" s="527">
        <f t="shared" si="262"/>
        <v>7134.8083495483952</v>
      </c>
      <c r="BM185" s="527">
        <f t="shared" si="262"/>
        <v>7134.8083495483952</v>
      </c>
      <c r="BN185" s="527">
        <f t="shared" si="262"/>
        <v>5901.7429091740778</v>
      </c>
      <c r="BO185" s="527">
        <f t="shared" si="262"/>
        <v>5901.7429091740778</v>
      </c>
      <c r="BP185" s="527">
        <f t="shared" si="262"/>
        <v>5901.7429091740778</v>
      </c>
      <c r="BQ185" s="527">
        <f t="shared" si="262"/>
        <v>5901.7429091740778</v>
      </c>
      <c r="BR185" s="527">
        <f t="shared" si="262"/>
        <v>5901.7429091740778</v>
      </c>
      <c r="BS185" s="527">
        <f t="shared" si="262"/>
        <v>5901.7429091740778</v>
      </c>
      <c r="BT185" s="527">
        <f t="shared" si="262"/>
        <v>7688.753585736762</v>
      </c>
      <c r="BU185" s="527">
        <f t="shared" si="262"/>
        <v>7688.753585736762</v>
      </c>
      <c r="BV185" s="527">
        <f t="shared" si="262"/>
        <v>7688.753585736762</v>
      </c>
      <c r="BW185" s="527">
        <f t="shared" si="262"/>
        <v>7688.753585736762</v>
      </c>
      <c r="BX185" s="527">
        <f t="shared" si="262"/>
        <v>7688.753585736762</v>
      </c>
      <c r="BY185" s="527">
        <f t="shared" si="262"/>
        <v>7688.753585736762</v>
      </c>
    </row>
    <row r="186" spans="1:77" x14ac:dyDescent="0.3">
      <c r="A186" s="551"/>
      <c r="B186" s="548"/>
      <c r="C186" s="525"/>
      <c r="D186" s="525"/>
      <c r="E186" s="613" t="str">
        <f>"EBITDA uplift due to capex: "&amp;E$156</f>
        <v>EBITDA uplift due to capex: FY28 Tranche</v>
      </c>
      <c r="F186" s="525"/>
      <c r="G186" s="525"/>
      <c r="H186" s="525"/>
      <c r="I186" s="525"/>
      <c r="J186" s="525"/>
      <c r="K186" s="525"/>
      <c r="L186" s="525"/>
      <c r="M186" s="525"/>
      <c r="N186" s="525"/>
      <c r="O186" s="525"/>
      <c r="P186" s="565"/>
      <c r="Q186" s="525"/>
      <c r="R186" s="527">
        <f t="shared" ref="R186:AW186" si="263">(R178*R483)-(R$615*$R156*R483)</f>
        <v>0</v>
      </c>
      <c r="S186" s="527">
        <f t="shared" si="263"/>
        <v>0</v>
      </c>
      <c r="T186" s="527">
        <f t="shared" si="263"/>
        <v>0</v>
      </c>
      <c r="U186" s="527">
        <f t="shared" si="263"/>
        <v>0</v>
      </c>
      <c r="V186" s="527">
        <f t="shared" si="263"/>
        <v>0</v>
      </c>
      <c r="W186" s="527">
        <f t="shared" si="263"/>
        <v>0</v>
      </c>
      <c r="X186" s="527">
        <f t="shared" si="263"/>
        <v>0</v>
      </c>
      <c r="Y186" s="527">
        <f t="shared" si="263"/>
        <v>0</v>
      </c>
      <c r="Z186" s="527">
        <f t="shared" si="263"/>
        <v>0</v>
      </c>
      <c r="AA186" s="527">
        <f t="shared" si="263"/>
        <v>0</v>
      </c>
      <c r="AB186" s="527">
        <f t="shared" si="263"/>
        <v>0</v>
      </c>
      <c r="AC186" s="527">
        <f t="shared" si="263"/>
        <v>0</v>
      </c>
      <c r="AD186" s="527">
        <f t="shared" si="263"/>
        <v>0</v>
      </c>
      <c r="AE186" s="527">
        <f t="shared" si="263"/>
        <v>0</v>
      </c>
      <c r="AF186" s="527">
        <f t="shared" si="263"/>
        <v>0</v>
      </c>
      <c r="AG186" s="527">
        <f t="shared" si="263"/>
        <v>0</v>
      </c>
      <c r="AH186" s="527">
        <f t="shared" si="263"/>
        <v>0</v>
      </c>
      <c r="AI186" s="527">
        <f t="shared" si="263"/>
        <v>0</v>
      </c>
      <c r="AJ186" s="527">
        <f t="shared" si="263"/>
        <v>6207.0246976466733</v>
      </c>
      <c r="AK186" s="527">
        <f t="shared" si="263"/>
        <v>6207.0246976466733</v>
      </c>
      <c r="AL186" s="527">
        <f t="shared" si="263"/>
        <v>6207.0246976466733</v>
      </c>
      <c r="AM186" s="527">
        <f t="shared" si="263"/>
        <v>6207.0246976466733</v>
      </c>
      <c r="AN186" s="527">
        <f t="shared" si="263"/>
        <v>6207.0246976466733</v>
      </c>
      <c r="AO186" s="527">
        <f t="shared" si="263"/>
        <v>6207.0246976466733</v>
      </c>
      <c r="AP186" s="527">
        <f t="shared" si="263"/>
        <v>4891.3461231763504</v>
      </c>
      <c r="AQ186" s="527">
        <f t="shared" si="263"/>
        <v>4891.3461231763504</v>
      </c>
      <c r="AR186" s="527">
        <f t="shared" si="263"/>
        <v>4891.3461231763504</v>
      </c>
      <c r="AS186" s="527">
        <f t="shared" si="263"/>
        <v>4891.3461231763504</v>
      </c>
      <c r="AT186" s="527">
        <f t="shared" si="263"/>
        <v>4891.3461231763504</v>
      </c>
      <c r="AU186" s="527">
        <f t="shared" si="263"/>
        <v>4891.3461231763504</v>
      </c>
      <c r="AV186" s="527">
        <f t="shared" si="263"/>
        <v>6538.989899654669</v>
      </c>
      <c r="AW186" s="527">
        <f t="shared" si="263"/>
        <v>6538.989899654669</v>
      </c>
      <c r="AX186" s="527">
        <f t="shared" ref="AX186:BY186" si="264">(AX178*AX483)-(AX$615*$R156*AX483)</f>
        <v>6538.989899654669</v>
      </c>
      <c r="AY186" s="527">
        <f t="shared" si="264"/>
        <v>6538.989899654669</v>
      </c>
      <c r="AZ186" s="527">
        <f t="shared" si="264"/>
        <v>6538.989899654669</v>
      </c>
      <c r="BA186" s="527">
        <f t="shared" si="264"/>
        <v>6538.989899654669</v>
      </c>
      <c r="BB186" s="527">
        <f t="shared" si="264"/>
        <v>5298.2796239174568</v>
      </c>
      <c r="BC186" s="527">
        <f t="shared" si="264"/>
        <v>5298.2796239174568</v>
      </c>
      <c r="BD186" s="527">
        <f t="shared" si="264"/>
        <v>5298.2796239174568</v>
      </c>
      <c r="BE186" s="527">
        <f t="shared" si="264"/>
        <v>5298.2796239174568</v>
      </c>
      <c r="BF186" s="527">
        <f t="shared" si="264"/>
        <v>5298.2796239174568</v>
      </c>
      <c r="BG186" s="527">
        <f t="shared" si="264"/>
        <v>5298.2796239174568</v>
      </c>
      <c r="BH186" s="527">
        <f t="shared" si="264"/>
        <v>7011.8291514549055</v>
      </c>
      <c r="BI186" s="527">
        <f t="shared" si="264"/>
        <v>7011.8291514549055</v>
      </c>
      <c r="BJ186" s="527">
        <f t="shared" si="264"/>
        <v>7011.8291514549055</v>
      </c>
      <c r="BK186" s="527">
        <f t="shared" si="264"/>
        <v>7011.8291514549055</v>
      </c>
      <c r="BL186" s="527">
        <f t="shared" si="264"/>
        <v>7011.8291514549055</v>
      </c>
      <c r="BM186" s="527">
        <f t="shared" si="264"/>
        <v>7011.8291514549055</v>
      </c>
      <c r="BN186" s="527">
        <f t="shared" si="264"/>
        <v>5778.7637110805881</v>
      </c>
      <c r="BO186" s="527">
        <f t="shared" si="264"/>
        <v>5778.7637110805881</v>
      </c>
      <c r="BP186" s="527">
        <f t="shared" si="264"/>
        <v>5778.7637110805881</v>
      </c>
      <c r="BQ186" s="527">
        <f t="shared" si="264"/>
        <v>5778.7637110805881</v>
      </c>
      <c r="BR186" s="527">
        <f t="shared" si="264"/>
        <v>5778.7637110805881</v>
      </c>
      <c r="BS186" s="527">
        <f t="shared" si="264"/>
        <v>5778.7637110805881</v>
      </c>
      <c r="BT186" s="527">
        <f t="shared" si="264"/>
        <v>7560.8552197195386</v>
      </c>
      <c r="BU186" s="527">
        <f t="shared" si="264"/>
        <v>7560.8552197195386</v>
      </c>
      <c r="BV186" s="527">
        <f t="shared" si="264"/>
        <v>7560.8552197195386</v>
      </c>
      <c r="BW186" s="527">
        <f t="shared" si="264"/>
        <v>7560.8552197195386</v>
      </c>
      <c r="BX186" s="527">
        <f t="shared" si="264"/>
        <v>7560.8552197195386</v>
      </c>
      <c r="BY186" s="527">
        <f t="shared" si="264"/>
        <v>7560.8552197195386</v>
      </c>
    </row>
    <row r="187" spans="1:77" x14ac:dyDescent="0.3">
      <c r="A187" s="551"/>
      <c r="B187" s="548"/>
      <c r="C187" s="525"/>
      <c r="D187" s="525"/>
      <c r="E187" s="613" t="str">
        <f>"EBITDA uplift due to capex: "&amp;E$157</f>
        <v>EBITDA uplift due to capex: FY29 Tranche</v>
      </c>
      <c r="F187" s="525"/>
      <c r="G187" s="525"/>
      <c r="H187" s="525"/>
      <c r="I187" s="525"/>
      <c r="J187" s="525"/>
      <c r="K187" s="525"/>
      <c r="L187" s="525"/>
      <c r="M187" s="525"/>
      <c r="N187" s="525"/>
      <c r="O187" s="525"/>
      <c r="P187" s="565"/>
      <c r="Q187" s="525"/>
      <c r="R187" s="527">
        <f t="shared" ref="R187:AW187" si="265">(R179*R484)-(R$615*$R157*R484)</f>
        <v>0</v>
      </c>
      <c r="S187" s="527">
        <f t="shared" si="265"/>
        <v>0</v>
      </c>
      <c r="T187" s="527">
        <f t="shared" si="265"/>
        <v>0</v>
      </c>
      <c r="U187" s="527">
        <f t="shared" si="265"/>
        <v>0</v>
      </c>
      <c r="V187" s="527">
        <f t="shared" si="265"/>
        <v>0</v>
      </c>
      <c r="W187" s="527">
        <f t="shared" si="265"/>
        <v>0</v>
      </c>
      <c r="X187" s="527">
        <f t="shared" si="265"/>
        <v>0</v>
      </c>
      <c r="Y187" s="527">
        <f t="shared" si="265"/>
        <v>0</v>
      </c>
      <c r="Z187" s="527">
        <f t="shared" si="265"/>
        <v>0</v>
      </c>
      <c r="AA187" s="527">
        <f t="shared" si="265"/>
        <v>0</v>
      </c>
      <c r="AB187" s="527">
        <f t="shared" si="265"/>
        <v>0</v>
      </c>
      <c r="AC187" s="527">
        <f t="shared" si="265"/>
        <v>0</v>
      </c>
      <c r="AD187" s="527">
        <f t="shared" si="265"/>
        <v>0</v>
      </c>
      <c r="AE187" s="527">
        <f t="shared" si="265"/>
        <v>0</v>
      </c>
      <c r="AF187" s="527">
        <f t="shared" si="265"/>
        <v>0</v>
      </c>
      <c r="AG187" s="527">
        <f t="shared" si="265"/>
        <v>0</v>
      </c>
      <c r="AH187" s="527">
        <f t="shared" si="265"/>
        <v>0</v>
      </c>
      <c r="AI187" s="527">
        <f t="shared" si="265"/>
        <v>0</v>
      </c>
      <c r="AJ187" s="527">
        <f t="shared" si="265"/>
        <v>0</v>
      </c>
      <c r="AK187" s="527">
        <f t="shared" si="265"/>
        <v>0</v>
      </c>
      <c r="AL187" s="527">
        <f t="shared" si="265"/>
        <v>0</v>
      </c>
      <c r="AM187" s="527">
        <f t="shared" si="265"/>
        <v>0</v>
      </c>
      <c r="AN187" s="527">
        <f t="shared" si="265"/>
        <v>0</v>
      </c>
      <c r="AO187" s="527">
        <f t="shared" si="265"/>
        <v>0</v>
      </c>
      <c r="AP187" s="527">
        <f t="shared" si="265"/>
        <v>0</v>
      </c>
      <c r="AQ187" s="527">
        <f t="shared" si="265"/>
        <v>0</v>
      </c>
      <c r="AR187" s="527">
        <f t="shared" si="265"/>
        <v>0</v>
      </c>
      <c r="AS187" s="527">
        <f t="shared" si="265"/>
        <v>0</v>
      </c>
      <c r="AT187" s="527">
        <f t="shared" si="265"/>
        <v>0</v>
      </c>
      <c r="AU187" s="527">
        <f t="shared" si="265"/>
        <v>0</v>
      </c>
      <c r="AV187" s="527">
        <f t="shared" si="265"/>
        <v>6346.3998266616181</v>
      </c>
      <c r="AW187" s="527">
        <f t="shared" si="265"/>
        <v>6346.3998266616181</v>
      </c>
      <c r="AX187" s="527">
        <f t="shared" ref="AX187:BY187" si="266">(AX179*AX484)-(AX$615*$R157*AX484)</f>
        <v>6346.3998266616181</v>
      </c>
      <c r="AY187" s="527">
        <f t="shared" si="266"/>
        <v>6346.3998266616181</v>
      </c>
      <c r="AZ187" s="527">
        <f t="shared" si="266"/>
        <v>6346.3998266616181</v>
      </c>
      <c r="BA187" s="527">
        <f t="shared" si="266"/>
        <v>6346.3998266616181</v>
      </c>
      <c r="BB187" s="527">
        <f t="shared" si="266"/>
        <v>5105.6895509244059</v>
      </c>
      <c r="BC187" s="527">
        <f t="shared" si="266"/>
        <v>5105.6895509244059</v>
      </c>
      <c r="BD187" s="527">
        <f t="shared" si="266"/>
        <v>5105.6895509244059</v>
      </c>
      <c r="BE187" s="527">
        <f t="shared" si="266"/>
        <v>5105.6895509244059</v>
      </c>
      <c r="BF187" s="527">
        <f t="shared" si="266"/>
        <v>5105.6895509244059</v>
      </c>
      <c r="BG187" s="527">
        <f t="shared" si="266"/>
        <v>5105.6895509244059</v>
      </c>
      <c r="BH187" s="527">
        <f t="shared" si="266"/>
        <v>6811.5354755421358</v>
      </c>
      <c r="BI187" s="527">
        <f t="shared" si="266"/>
        <v>6811.5354755421358</v>
      </c>
      <c r="BJ187" s="527">
        <f t="shared" si="266"/>
        <v>6811.5354755421358</v>
      </c>
      <c r="BK187" s="527">
        <f t="shared" si="266"/>
        <v>6811.5354755421358</v>
      </c>
      <c r="BL187" s="527">
        <f t="shared" si="266"/>
        <v>6811.5354755421358</v>
      </c>
      <c r="BM187" s="527">
        <f t="shared" si="266"/>
        <v>6811.5354755421358</v>
      </c>
      <c r="BN187" s="527">
        <f t="shared" si="266"/>
        <v>5578.4700351678184</v>
      </c>
      <c r="BO187" s="527">
        <f t="shared" si="266"/>
        <v>5578.4700351678184</v>
      </c>
      <c r="BP187" s="527">
        <f t="shared" si="266"/>
        <v>5578.4700351678184</v>
      </c>
      <c r="BQ187" s="527">
        <f t="shared" si="266"/>
        <v>5578.4700351678184</v>
      </c>
      <c r="BR187" s="527">
        <f t="shared" si="266"/>
        <v>5578.4700351678184</v>
      </c>
      <c r="BS187" s="527">
        <f t="shared" si="266"/>
        <v>5578.4700351678184</v>
      </c>
      <c r="BT187" s="527">
        <f t="shared" si="266"/>
        <v>7352.5497967702613</v>
      </c>
      <c r="BU187" s="527">
        <f t="shared" si="266"/>
        <v>7352.5497967702613</v>
      </c>
      <c r="BV187" s="527">
        <f t="shared" si="266"/>
        <v>7352.5497967702613</v>
      </c>
      <c r="BW187" s="527">
        <f t="shared" si="266"/>
        <v>7352.5497967702613</v>
      </c>
      <c r="BX187" s="527">
        <f t="shared" si="266"/>
        <v>7352.5497967702613</v>
      </c>
      <c r="BY187" s="527">
        <f t="shared" si="266"/>
        <v>7352.5497967702613</v>
      </c>
    </row>
    <row r="188" spans="1:77" x14ac:dyDescent="0.3">
      <c r="A188" s="551"/>
      <c r="B188" s="548"/>
      <c r="C188" s="525"/>
      <c r="D188" s="525"/>
      <c r="E188" s="613" t="str">
        <f>"EBITDA uplift due to capex: "&amp;E$158</f>
        <v>EBITDA uplift due to capex: FY30 Tranche</v>
      </c>
      <c r="F188" s="525"/>
      <c r="G188" s="525"/>
      <c r="H188" s="525"/>
      <c r="I188" s="525"/>
      <c r="J188" s="525"/>
      <c r="K188" s="525"/>
      <c r="L188" s="525"/>
      <c r="M188" s="525"/>
      <c r="N188" s="525"/>
      <c r="O188" s="525"/>
      <c r="P188" s="565"/>
      <c r="Q188" s="525"/>
      <c r="R188" s="527">
        <f t="shared" ref="R188:AW188" si="267">(R180*R485)-(R$615*$R158*R485)</f>
        <v>0</v>
      </c>
      <c r="S188" s="527">
        <f t="shared" si="267"/>
        <v>0</v>
      </c>
      <c r="T188" s="527">
        <f t="shared" si="267"/>
        <v>0</v>
      </c>
      <c r="U188" s="527">
        <f t="shared" si="267"/>
        <v>0</v>
      </c>
      <c r="V188" s="527">
        <f t="shared" si="267"/>
        <v>0</v>
      </c>
      <c r="W188" s="527">
        <f t="shared" si="267"/>
        <v>0</v>
      </c>
      <c r="X188" s="527">
        <f t="shared" si="267"/>
        <v>0</v>
      </c>
      <c r="Y188" s="527">
        <f t="shared" si="267"/>
        <v>0</v>
      </c>
      <c r="Z188" s="527">
        <f t="shared" si="267"/>
        <v>0</v>
      </c>
      <c r="AA188" s="527">
        <f t="shared" si="267"/>
        <v>0</v>
      </c>
      <c r="AB188" s="527">
        <f t="shared" si="267"/>
        <v>0</v>
      </c>
      <c r="AC188" s="527">
        <f t="shared" si="267"/>
        <v>0</v>
      </c>
      <c r="AD188" s="527">
        <f t="shared" si="267"/>
        <v>0</v>
      </c>
      <c r="AE188" s="527">
        <f t="shared" si="267"/>
        <v>0</v>
      </c>
      <c r="AF188" s="527">
        <f t="shared" si="267"/>
        <v>0</v>
      </c>
      <c r="AG188" s="527">
        <f t="shared" si="267"/>
        <v>0</v>
      </c>
      <c r="AH188" s="527">
        <f t="shared" si="267"/>
        <v>0</v>
      </c>
      <c r="AI188" s="527">
        <f t="shared" si="267"/>
        <v>0</v>
      </c>
      <c r="AJ188" s="527">
        <f t="shared" si="267"/>
        <v>0</v>
      </c>
      <c r="AK188" s="527">
        <f t="shared" si="267"/>
        <v>0</v>
      </c>
      <c r="AL188" s="527">
        <f t="shared" si="267"/>
        <v>0</v>
      </c>
      <c r="AM188" s="527">
        <f t="shared" si="267"/>
        <v>0</v>
      </c>
      <c r="AN188" s="527">
        <f t="shared" si="267"/>
        <v>0</v>
      </c>
      <c r="AO188" s="527">
        <f t="shared" si="267"/>
        <v>0</v>
      </c>
      <c r="AP188" s="527">
        <f t="shared" si="267"/>
        <v>0</v>
      </c>
      <c r="AQ188" s="527">
        <f t="shared" si="267"/>
        <v>0</v>
      </c>
      <c r="AR188" s="527">
        <f t="shared" si="267"/>
        <v>0</v>
      </c>
      <c r="AS188" s="527">
        <f t="shared" si="267"/>
        <v>0</v>
      </c>
      <c r="AT188" s="527">
        <f t="shared" si="267"/>
        <v>0</v>
      </c>
      <c r="AU188" s="527">
        <f t="shared" si="267"/>
        <v>0</v>
      </c>
      <c r="AV188" s="527">
        <f t="shared" si="267"/>
        <v>0</v>
      </c>
      <c r="AW188" s="527">
        <f t="shared" si="267"/>
        <v>0</v>
      </c>
      <c r="AX188" s="527">
        <f t="shared" ref="AX188:BY188" si="268">(AX180*AX485)-(AX$615*$R158*AX485)</f>
        <v>0</v>
      </c>
      <c r="AY188" s="527">
        <f t="shared" si="268"/>
        <v>0</v>
      </c>
      <c r="AZ188" s="527">
        <f t="shared" si="268"/>
        <v>0</v>
      </c>
      <c r="BA188" s="527">
        <f t="shared" si="268"/>
        <v>0</v>
      </c>
      <c r="BB188" s="527">
        <f t="shared" si="268"/>
        <v>0</v>
      </c>
      <c r="BC188" s="527">
        <f t="shared" si="268"/>
        <v>0</v>
      </c>
      <c r="BD188" s="527">
        <f t="shared" si="268"/>
        <v>0</v>
      </c>
      <c r="BE188" s="527">
        <f t="shared" si="268"/>
        <v>0</v>
      </c>
      <c r="BF188" s="527">
        <f t="shared" si="268"/>
        <v>0</v>
      </c>
      <c r="BG188" s="527">
        <f t="shared" si="268"/>
        <v>0</v>
      </c>
      <c r="BH188" s="527">
        <f t="shared" si="268"/>
        <v>6477.6283262647557</v>
      </c>
      <c r="BI188" s="527">
        <f t="shared" si="268"/>
        <v>6477.6283262647557</v>
      </c>
      <c r="BJ188" s="527">
        <f t="shared" si="268"/>
        <v>6477.6283262647557</v>
      </c>
      <c r="BK188" s="527">
        <f t="shared" si="268"/>
        <v>6477.6283262647557</v>
      </c>
      <c r="BL188" s="527">
        <f t="shared" si="268"/>
        <v>6477.6283262647557</v>
      </c>
      <c r="BM188" s="527">
        <f t="shared" si="268"/>
        <v>6477.6283262647557</v>
      </c>
      <c r="BN188" s="527">
        <f t="shared" si="268"/>
        <v>5244.5628858904383</v>
      </c>
      <c r="BO188" s="527">
        <f t="shared" si="268"/>
        <v>5244.5628858904383</v>
      </c>
      <c r="BP188" s="527">
        <f t="shared" si="268"/>
        <v>5244.5628858904383</v>
      </c>
      <c r="BQ188" s="527">
        <f t="shared" si="268"/>
        <v>5244.5628858904383</v>
      </c>
      <c r="BR188" s="527">
        <f t="shared" si="268"/>
        <v>5244.5628858904383</v>
      </c>
      <c r="BS188" s="527">
        <f t="shared" si="268"/>
        <v>5244.5628858904383</v>
      </c>
      <c r="BT188" s="527">
        <f t="shared" si="268"/>
        <v>7005.2863615217793</v>
      </c>
      <c r="BU188" s="527">
        <f t="shared" si="268"/>
        <v>7005.2863615217793</v>
      </c>
      <c r="BV188" s="527">
        <f t="shared" si="268"/>
        <v>7005.2863615217793</v>
      </c>
      <c r="BW188" s="527">
        <f t="shared" si="268"/>
        <v>7005.2863615217793</v>
      </c>
      <c r="BX188" s="527">
        <f t="shared" si="268"/>
        <v>7005.2863615217793</v>
      </c>
      <c r="BY188" s="527">
        <f t="shared" si="268"/>
        <v>7005.2863615217793</v>
      </c>
    </row>
    <row r="189" spans="1:77" x14ac:dyDescent="0.3">
      <c r="A189" s="551"/>
      <c r="B189" s="548"/>
      <c r="C189" s="525"/>
      <c r="D189" s="525"/>
      <c r="E189" s="613" t="str">
        <f>"EBITDA uplift due to capex: "&amp;E$159</f>
        <v>EBITDA uplift due to capex: FY31 Tranche</v>
      </c>
      <c r="F189" s="525"/>
      <c r="G189" s="525"/>
      <c r="H189" s="525"/>
      <c r="I189" s="525"/>
      <c r="J189" s="525"/>
      <c r="K189" s="525"/>
      <c r="L189" s="525"/>
      <c r="M189" s="525"/>
      <c r="N189" s="525"/>
      <c r="O189" s="525"/>
      <c r="P189" s="565"/>
      <c r="Q189" s="525"/>
      <c r="R189" s="527">
        <f t="shared" ref="R189:AW189" si="269">(R181*R486)-(R$615*$R159*R486)</f>
        <v>0</v>
      </c>
      <c r="S189" s="527">
        <f t="shared" si="269"/>
        <v>0</v>
      </c>
      <c r="T189" s="527">
        <f t="shared" si="269"/>
        <v>0</v>
      </c>
      <c r="U189" s="527">
        <f t="shared" si="269"/>
        <v>0</v>
      </c>
      <c r="V189" s="527">
        <f t="shared" si="269"/>
        <v>0</v>
      </c>
      <c r="W189" s="527">
        <f t="shared" si="269"/>
        <v>0</v>
      </c>
      <c r="X189" s="527">
        <f t="shared" si="269"/>
        <v>0</v>
      </c>
      <c r="Y189" s="527">
        <f t="shared" si="269"/>
        <v>0</v>
      </c>
      <c r="Z189" s="527">
        <f t="shared" si="269"/>
        <v>0</v>
      </c>
      <c r="AA189" s="527">
        <f t="shared" si="269"/>
        <v>0</v>
      </c>
      <c r="AB189" s="527">
        <f t="shared" si="269"/>
        <v>0</v>
      </c>
      <c r="AC189" s="527">
        <f t="shared" si="269"/>
        <v>0</v>
      </c>
      <c r="AD189" s="527">
        <f t="shared" si="269"/>
        <v>0</v>
      </c>
      <c r="AE189" s="527">
        <f t="shared" si="269"/>
        <v>0</v>
      </c>
      <c r="AF189" s="527">
        <f t="shared" si="269"/>
        <v>0</v>
      </c>
      <c r="AG189" s="527">
        <f t="shared" si="269"/>
        <v>0</v>
      </c>
      <c r="AH189" s="527">
        <f t="shared" si="269"/>
        <v>0</v>
      </c>
      <c r="AI189" s="527">
        <f t="shared" si="269"/>
        <v>0</v>
      </c>
      <c r="AJ189" s="527">
        <f t="shared" si="269"/>
        <v>0</v>
      </c>
      <c r="AK189" s="527">
        <f t="shared" si="269"/>
        <v>0</v>
      </c>
      <c r="AL189" s="527">
        <f t="shared" si="269"/>
        <v>0</v>
      </c>
      <c r="AM189" s="527">
        <f t="shared" si="269"/>
        <v>0</v>
      </c>
      <c r="AN189" s="527">
        <f t="shared" si="269"/>
        <v>0</v>
      </c>
      <c r="AO189" s="527">
        <f t="shared" si="269"/>
        <v>0</v>
      </c>
      <c r="AP189" s="527">
        <f t="shared" si="269"/>
        <v>0</v>
      </c>
      <c r="AQ189" s="527">
        <f t="shared" si="269"/>
        <v>0</v>
      </c>
      <c r="AR189" s="527">
        <f t="shared" si="269"/>
        <v>0</v>
      </c>
      <c r="AS189" s="527">
        <f t="shared" si="269"/>
        <v>0</v>
      </c>
      <c r="AT189" s="527">
        <f t="shared" si="269"/>
        <v>0</v>
      </c>
      <c r="AU189" s="527">
        <f t="shared" si="269"/>
        <v>0</v>
      </c>
      <c r="AV189" s="527">
        <f t="shared" si="269"/>
        <v>0</v>
      </c>
      <c r="AW189" s="527">
        <f t="shared" si="269"/>
        <v>0</v>
      </c>
      <c r="AX189" s="527">
        <f t="shared" ref="AX189:BY189" si="270">(AX181*AX486)-(AX$615*$R159*AX486)</f>
        <v>0</v>
      </c>
      <c r="AY189" s="527">
        <f t="shared" si="270"/>
        <v>0</v>
      </c>
      <c r="AZ189" s="527">
        <f t="shared" si="270"/>
        <v>0</v>
      </c>
      <c r="BA189" s="527">
        <f t="shared" si="270"/>
        <v>0</v>
      </c>
      <c r="BB189" s="527">
        <f t="shared" si="270"/>
        <v>0</v>
      </c>
      <c r="BC189" s="527">
        <f t="shared" si="270"/>
        <v>0</v>
      </c>
      <c r="BD189" s="527">
        <f t="shared" si="270"/>
        <v>0</v>
      </c>
      <c r="BE189" s="527">
        <f t="shared" si="270"/>
        <v>0</v>
      </c>
      <c r="BF189" s="527">
        <f t="shared" si="270"/>
        <v>0</v>
      </c>
      <c r="BG189" s="527">
        <f t="shared" si="270"/>
        <v>0</v>
      </c>
      <c r="BH189" s="527">
        <f t="shared" si="270"/>
        <v>0</v>
      </c>
      <c r="BI189" s="527">
        <f t="shared" si="270"/>
        <v>0</v>
      </c>
      <c r="BJ189" s="527">
        <f t="shared" si="270"/>
        <v>0</v>
      </c>
      <c r="BK189" s="527">
        <f t="shared" si="270"/>
        <v>0</v>
      </c>
      <c r="BL189" s="527">
        <f t="shared" si="270"/>
        <v>0</v>
      </c>
      <c r="BM189" s="527">
        <f t="shared" si="270"/>
        <v>0</v>
      </c>
      <c r="BN189" s="527">
        <f t="shared" si="270"/>
        <v>0</v>
      </c>
      <c r="BO189" s="527">
        <f t="shared" si="270"/>
        <v>0</v>
      </c>
      <c r="BP189" s="527">
        <f t="shared" si="270"/>
        <v>0</v>
      </c>
      <c r="BQ189" s="527">
        <f t="shared" si="270"/>
        <v>0</v>
      </c>
      <c r="BR189" s="527">
        <f t="shared" si="270"/>
        <v>0</v>
      </c>
      <c r="BS189" s="527">
        <f t="shared" si="270"/>
        <v>0</v>
      </c>
      <c r="BT189" s="527">
        <f t="shared" si="270"/>
        <v>6604.0455719865713</v>
      </c>
      <c r="BU189" s="527">
        <f t="shared" si="270"/>
        <v>6604.0455719865713</v>
      </c>
      <c r="BV189" s="527">
        <f t="shared" si="270"/>
        <v>6604.0455719865713</v>
      </c>
      <c r="BW189" s="527">
        <f t="shared" si="270"/>
        <v>6604.0455719865713</v>
      </c>
      <c r="BX189" s="527">
        <f t="shared" si="270"/>
        <v>6604.0455719865713</v>
      </c>
      <c r="BY189" s="527">
        <f t="shared" si="270"/>
        <v>6604.0455719865713</v>
      </c>
    </row>
    <row r="190" spans="1:77" x14ac:dyDescent="0.3">
      <c r="A190" s="551"/>
      <c r="B190" s="548"/>
      <c r="C190" s="525"/>
      <c r="D190" s="525"/>
      <c r="E190" s="613" t="str">
        <f>"EBITDA uplift due to capex: "&amp;E$160</f>
        <v>EBITDA uplift due to capex: Uninvested Tranche</v>
      </c>
      <c r="F190" s="525"/>
      <c r="G190" s="525"/>
      <c r="H190" s="525"/>
      <c r="I190" s="525"/>
      <c r="J190" s="525"/>
      <c r="K190" s="525"/>
      <c r="L190" s="525"/>
      <c r="M190" s="525"/>
      <c r="N190" s="525"/>
      <c r="O190" s="525"/>
      <c r="P190" s="565"/>
      <c r="Q190" s="525"/>
      <c r="R190" s="527">
        <f t="shared" ref="R190:AW190" si="271">(R182*R487)-(R$615*$R160*R487)</f>
        <v>0</v>
      </c>
      <c r="S190" s="527">
        <f t="shared" si="271"/>
        <v>0</v>
      </c>
      <c r="T190" s="527">
        <f t="shared" si="271"/>
        <v>0</v>
      </c>
      <c r="U190" s="527">
        <f t="shared" si="271"/>
        <v>0</v>
      </c>
      <c r="V190" s="527">
        <f t="shared" si="271"/>
        <v>0</v>
      </c>
      <c r="W190" s="527">
        <f t="shared" si="271"/>
        <v>0</v>
      </c>
      <c r="X190" s="527">
        <f t="shared" si="271"/>
        <v>0</v>
      </c>
      <c r="Y190" s="527">
        <f t="shared" si="271"/>
        <v>0</v>
      </c>
      <c r="Z190" s="527">
        <f t="shared" si="271"/>
        <v>0</v>
      </c>
      <c r="AA190" s="527">
        <f t="shared" si="271"/>
        <v>0</v>
      </c>
      <c r="AB190" s="527">
        <f t="shared" si="271"/>
        <v>0</v>
      </c>
      <c r="AC190" s="527">
        <f t="shared" si="271"/>
        <v>0</v>
      </c>
      <c r="AD190" s="527">
        <f t="shared" si="271"/>
        <v>0</v>
      </c>
      <c r="AE190" s="527">
        <f t="shared" si="271"/>
        <v>0</v>
      </c>
      <c r="AF190" s="527">
        <f t="shared" si="271"/>
        <v>0</v>
      </c>
      <c r="AG190" s="527">
        <f t="shared" si="271"/>
        <v>0</v>
      </c>
      <c r="AH190" s="527">
        <f t="shared" si="271"/>
        <v>0</v>
      </c>
      <c r="AI190" s="527">
        <f t="shared" si="271"/>
        <v>0</v>
      </c>
      <c r="AJ190" s="527">
        <f t="shared" si="271"/>
        <v>0</v>
      </c>
      <c r="AK190" s="527">
        <f t="shared" si="271"/>
        <v>0</v>
      </c>
      <c r="AL190" s="527">
        <f t="shared" si="271"/>
        <v>0</v>
      </c>
      <c r="AM190" s="527">
        <f t="shared" si="271"/>
        <v>0</v>
      </c>
      <c r="AN190" s="527">
        <f t="shared" si="271"/>
        <v>0</v>
      </c>
      <c r="AO190" s="527">
        <f t="shared" si="271"/>
        <v>0</v>
      </c>
      <c r="AP190" s="527">
        <f t="shared" si="271"/>
        <v>0</v>
      </c>
      <c r="AQ190" s="527">
        <f t="shared" si="271"/>
        <v>0</v>
      </c>
      <c r="AR190" s="527">
        <f t="shared" si="271"/>
        <v>0</v>
      </c>
      <c r="AS190" s="527">
        <f t="shared" si="271"/>
        <v>0</v>
      </c>
      <c r="AT190" s="527">
        <f t="shared" si="271"/>
        <v>0</v>
      </c>
      <c r="AU190" s="527">
        <f t="shared" si="271"/>
        <v>0</v>
      </c>
      <c r="AV190" s="527">
        <f t="shared" si="271"/>
        <v>0</v>
      </c>
      <c r="AW190" s="527">
        <f t="shared" si="271"/>
        <v>0</v>
      </c>
      <c r="AX190" s="527">
        <f t="shared" ref="AX190:BY190" si="272">(AX182*AX487)-(AX$615*$R160*AX487)</f>
        <v>0</v>
      </c>
      <c r="AY190" s="527">
        <f t="shared" si="272"/>
        <v>0</v>
      </c>
      <c r="AZ190" s="527">
        <f t="shared" si="272"/>
        <v>0</v>
      </c>
      <c r="BA190" s="527">
        <f t="shared" si="272"/>
        <v>0</v>
      </c>
      <c r="BB190" s="527">
        <f t="shared" si="272"/>
        <v>0</v>
      </c>
      <c r="BC190" s="527">
        <f t="shared" si="272"/>
        <v>0</v>
      </c>
      <c r="BD190" s="527">
        <f t="shared" si="272"/>
        <v>0</v>
      </c>
      <c r="BE190" s="527">
        <f t="shared" si="272"/>
        <v>0</v>
      </c>
      <c r="BF190" s="527">
        <f t="shared" si="272"/>
        <v>0</v>
      </c>
      <c r="BG190" s="527">
        <f t="shared" si="272"/>
        <v>0</v>
      </c>
      <c r="BH190" s="527">
        <f t="shared" si="272"/>
        <v>0</v>
      </c>
      <c r="BI190" s="527">
        <f t="shared" si="272"/>
        <v>0</v>
      </c>
      <c r="BJ190" s="527">
        <f t="shared" si="272"/>
        <v>0</v>
      </c>
      <c r="BK190" s="527">
        <f t="shared" si="272"/>
        <v>0</v>
      </c>
      <c r="BL190" s="527">
        <f t="shared" si="272"/>
        <v>0</v>
      </c>
      <c r="BM190" s="527">
        <f t="shared" si="272"/>
        <v>0</v>
      </c>
      <c r="BN190" s="527">
        <f t="shared" si="272"/>
        <v>0</v>
      </c>
      <c r="BO190" s="527">
        <f t="shared" si="272"/>
        <v>0</v>
      </c>
      <c r="BP190" s="527">
        <f t="shared" si="272"/>
        <v>0</v>
      </c>
      <c r="BQ190" s="527">
        <f t="shared" si="272"/>
        <v>0</v>
      </c>
      <c r="BR190" s="527">
        <f t="shared" si="272"/>
        <v>0</v>
      </c>
      <c r="BS190" s="527">
        <f t="shared" si="272"/>
        <v>0</v>
      </c>
      <c r="BT190" s="527">
        <f t="shared" si="272"/>
        <v>0</v>
      </c>
      <c r="BU190" s="527">
        <f t="shared" si="272"/>
        <v>0</v>
      </c>
      <c r="BV190" s="527">
        <f t="shared" si="272"/>
        <v>0</v>
      </c>
      <c r="BW190" s="527">
        <f t="shared" si="272"/>
        <v>0</v>
      </c>
      <c r="BX190" s="527">
        <f t="shared" si="272"/>
        <v>0</v>
      </c>
      <c r="BY190" s="527">
        <f t="shared" si="272"/>
        <v>0</v>
      </c>
    </row>
    <row r="191" spans="1:77" x14ac:dyDescent="0.3">
      <c r="A191" s="551"/>
      <c r="B191" s="548"/>
      <c r="C191" s="525"/>
      <c r="D191" s="525"/>
      <c r="E191" s="572" t="s">
        <v>36</v>
      </c>
      <c r="F191" s="572"/>
      <c r="G191" s="572"/>
      <c r="H191" s="572"/>
      <c r="I191" s="572"/>
      <c r="J191" s="572"/>
      <c r="K191" s="572"/>
      <c r="L191" s="572"/>
      <c r="M191" s="572"/>
      <c r="N191" s="572"/>
      <c r="O191" s="572"/>
      <c r="P191" s="612"/>
      <c r="Q191" s="572"/>
      <c r="R191" s="532">
        <f t="shared" ref="R191:AW191" si="273">SUM(R185:R190)</f>
        <v>0</v>
      </c>
      <c r="S191" s="532">
        <f t="shared" si="273"/>
        <v>0</v>
      </c>
      <c r="T191" s="532">
        <f t="shared" si="273"/>
        <v>0</v>
      </c>
      <c r="U191" s="532">
        <f t="shared" si="273"/>
        <v>0</v>
      </c>
      <c r="V191" s="532">
        <f t="shared" si="273"/>
        <v>0</v>
      </c>
      <c r="W191" s="532">
        <f t="shared" si="273"/>
        <v>0</v>
      </c>
      <c r="X191" s="532">
        <f t="shared" si="273"/>
        <v>6061.2527789757369</v>
      </c>
      <c r="Y191" s="532">
        <f t="shared" si="273"/>
        <v>6061.2527789757369</v>
      </c>
      <c r="Z191" s="532">
        <f t="shared" si="273"/>
        <v>6061.2527789757369</v>
      </c>
      <c r="AA191" s="532">
        <f t="shared" si="273"/>
        <v>6061.2527789757369</v>
      </c>
      <c r="AB191" s="532">
        <f t="shared" si="273"/>
        <v>6061.2527789757369</v>
      </c>
      <c r="AC191" s="532">
        <f t="shared" si="273"/>
        <v>6061.2527789757369</v>
      </c>
      <c r="AD191" s="532">
        <f t="shared" si="273"/>
        <v>4732.079894945673</v>
      </c>
      <c r="AE191" s="532">
        <f t="shared" si="273"/>
        <v>4732.079894945673</v>
      </c>
      <c r="AF191" s="532">
        <f t="shared" si="273"/>
        <v>4732.079894945673</v>
      </c>
      <c r="AG191" s="532">
        <f t="shared" si="273"/>
        <v>4732.079894945673</v>
      </c>
      <c r="AH191" s="532">
        <f t="shared" si="273"/>
        <v>4732.079894945673</v>
      </c>
      <c r="AI191" s="532">
        <f t="shared" si="273"/>
        <v>4732.079894945673</v>
      </c>
      <c r="AJ191" s="532">
        <f t="shared" si="273"/>
        <v>12527.750576962622</v>
      </c>
      <c r="AK191" s="532">
        <f t="shared" si="273"/>
        <v>12527.750576962622</v>
      </c>
      <c r="AL191" s="532">
        <f t="shared" si="273"/>
        <v>12527.750576962622</v>
      </c>
      <c r="AM191" s="532">
        <f t="shared" si="273"/>
        <v>12527.750576962622</v>
      </c>
      <c r="AN191" s="532">
        <f t="shared" si="273"/>
        <v>12527.750576962622</v>
      </c>
      <c r="AO191" s="532">
        <f t="shared" si="273"/>
        <v>12527.750576962622</v>
      </c>
      <c r="AP191" s="532">
        <f t="shared" si="273"/>
        <v>9896.3934280219764</v>
      </c>
      <c r="AQ191" s="532">
        <f t="shared" si="273"/>
        <v>9896.3934280219764</v>
      </c>
      <c r="AR191" s="532">
        <f t="shared" si="273"/>
        <v>9896.3934280219764</v>
      </c>
      <c r="AS191" s="532">
        <f t="shared" si="273"/>
        <v>9896.3934280219764</v>
      </c>
      <c r="AT191" s="532">
        <f t="shared" si="273"/>
        <v>9896.3934280219764</v>
      </c>
      <c r="AU191" s="532">
        <f t="shared" si="273"/>
        <v>9896.3934280219764</v>
      </c>
      <c r="AV191" s="532">
        <f t="shared" si="273"/>
        <v>19542.628854907001</v>
      </c>
      <c r="AW191" s="532">
        <f t="shared" si="273"/>
        <v>19542.628854907001</v>
      </c>
      <c r="AX191" s="532">
        <f t="shared" ref="AX191:BY191" si="274">SUM(AX185:AX190)</f>
        <v>19542.628854907001</v>
      </c>
      <c r="AY191" s="532">
        <f t="shared" si="274"/>
        <v>19542.628854907001</v>
      </c>
      <c r="AZ191" s="532">
        <f t="shared" si="274"/>
        <v>19542.628854907001</v>
      </c>
      <c r="BA191" s="532">
        <f t="shared" si="274"/>
        <v>19542.628854907001</v>
      </c>
      <c r="BB191" s="532">
        <f t="shared" si="274"/>
        <v>15820.498027695365</v>
      </c>
      <c r="BC191" s="532">
        <f t="shared" si="274"/>
        <v>15820.498027695365</v>
      </c>
      <c r="BD191" s="532">
        <f t="shared" si="274"/>
        <v>15820.498027695365</v>
      </c>
      <c r="BE191" s="532">
        <f t="shared" si="274"/>
        <v>15820.498027695365</v>
      </c>
      <c r="BF191" s="532">
        <f t="shared" si="274"/>
        <v>15820.498027695365</v>
      </c>
      <c r="BG191" s="532">
        <f t="shared" si="274"/>
        <v>15820.498027695365</v>
      </c>
      <c r="BH191" s="532">
        <f t="shared" si="274"/>
        <v>27435.801302810192</v>
      </c>
      <c r="BI191" s="532">
        <f t="shared" si="274"/>
        <v>27435.801302810192</v>
      </c>
      <c r="BJ191" s="532">
        <f t="shared" si="274"/>
        <v>27435.801302810192</v>
      </c>
      <c r="BK191" s="532">
        <f t="shared" si="274"/>
        <v>27435.801302810192</v>
      </c>
      <c r="BL191" s="532">
        <f t="shared" si="274"/>
        <v>27435.801302810192</v>
      </c>
      <c r="BM191" s="532">
        <f t="shared" si="274"/>
        <v>27435.801302810192</v>
      </c>
      <c r="BN191" s="532">
        <f t="shared" si="274"/>
        <v>22503.539541312923</v>
      </c>
      <c r="BO191" s="532">
        <f t="shared" si="274"/>
        <v>22503.539541312923</v>
      </c>
      <c r="BP191" s="532">
        <f t="shared" si="274"/>
        <v>22503.539541312923</v>
      </c>
      <c r="BQ191" s="532">
        <f t="shared" si="274"/>
        <v>22503.539541312923</v>
      </c>
      <c r="BR191" s="532">
        <f t="shared" si="274"/>
        <v>22503.539541312923</v>
      </c>
      <c r="BS191" s="532">
        <f t="shared" si="274"/>
        <v>22503.539541312923</v>
      </c>
      <c r="BT191" s="532">
        <f t="shared" si="274"/>
        <v>36211.490535734913</v>
      </c>
      <c r="BU191" s="532">
        <f t="shared" si="274"/>
        <v>36211.490535734913</v>
      </c>
      <c r="BV191" s="532">
        <f t="shared" si="274"/>
        <v>36211.490535734913</v>
      </c>
      <c r="BW191" s="532">
        <f t="shared" si="274"/>
        <v>36211.490535734913</v>
      </c>
      <c r="BX191" s="532">
        <f t="shared" si="274"/>
        <v>36211.490535734913</v>
      </c>
      <c r="BY191" s="532">
        <f t="shared" si="274"/>
        <v>36211.490535734913</v>
      </c>
    </row>
    <row r="192" spans="1:77" x14ac:dyDescent="0.3">
      <c r="A192" s="551"/>
      <c r="B192" s="548"/>
      <c r="C192" s="525"/>
      <c r="D192" s="525"/>
      <c r="E192" s="525"/>
      <c r="F192" s="525"/>
      <c r="G192" s="525"/>
      <c r="H192" s="525"/>
      <c r="I192" s="525"/>
      <c r="J192" s="525"/>
      <c r="K192" s="525"/>
      <c r="L192" s="525"/>
      <c r="M192" s="525"/>
      <c r="N192" s="525"/>
      <c r="O192" s="525"/>
      <c r="P192" s="565"/>
      <c r="Q192" s="525"/>
      <c r="R192" s="525"/>
      <c r="S192" s="525"/>
      <c r="T192" s="525"/>
      <c r="U192" s="525"/>
      <c r="V192" s="525"/>
      <c r="W192" s="525"/>
      <c r="X192" s="525"/>
      <c r="Y192" s="525"/>
      <c r="Z192" s="525"/>
      <c r="AA192" s="525"/>
      <c r="AB192" s="525"/>
      <c r="AC192" s="525"/>
      <c r="AD192" s="525"/>
      <c r="AE192" s="525"/>
      <c r="AF192" s="525"/>
      <c r="AG192" s="525"/>
      <c r="AH192" s="525"/>
      <c r="AI192" s="525"/>
      <c r="AJ192" s="525"/>
      <c r="AK192" s="525"/>
      <c r="AL192" s="525"/>
      <c r="AM192" s="525"/>
      <c r="AN192" s="525"/>
      <c r="AO192" s="525"/>
      <c r="AP192" s="525"/>
      <c r="AQ192" s="525"/>
      <c r="AR192" s="525"/>
      <c r="AS192" s="525"/>
      <c r="AT192" s="525"/>
      <c r="AU192" s="525"/>
      <c r="AV192" s="525"/>
      <c r="AW192" s="525"/>
      <c r="AX192" s="525"/>
      <c r="AY192" s="525"/>
      <c r="AZ192" s="525"/>
      <c r="BA192" s="525"/>
      <c r="BB192" s="525"/>
      <c r="BC192" s="525"/>
      <c r="BD192" s="525"/>
      <c r="BE192" s="525"/>
      <c r="BF192" s="525"/>
      <c r="BG192" s="525"/>
      <c r="BH192" s="525"/>
      <c r="BI192" s="525"/>
      <c r="BJ192" s="525"/>
      <c r="BK192" s="525"/>
      <c r="BL192" s="525"/>
      <c r="BM192" s="525"/>
      <c r="BN192" s="525"/>
      <c r="BO192" s="525"/>
      <c r="BP192" s="525"/>
      <c r="BQ192" s="525"/>
      <c r="BR192" s="525"/>
      <c r="BS192" s="525"/>
      <c r="BT192" s="525"/>
      <c r="BU192" s="525"/>
      <c r="BV192" s="525"/>
      <c r="BW192" s="525"/>
      <c r="BX192" s="525"/>
      <c r="BY192" s="525"/>
    </row>
    <row r="193" spans="1:77" x14ac:dyDescent="0.3">
      <c r="A193" s="551"/>
      <c r="B193" s="548"/>
      <c r="C193" s="584" t="s">
        <v>37</v>
      </c>
      <c r="D193" s="525"/>
      <c r="E193" s="538" t="s">
        <v>95</v>
      </c>
      <c r="F193" s="538"/>
      <c r="G193" s="538"/>
      <c r="H193" s="538"/>
      <c r="I193" s="538"/>
      <c r="J193" s="538"/>
      <c r="K193" s="538"/>
      <c r="L193" s="538"/>
      <c r="M193" s="538"/>
      <c r="N193" s="538"/>
      <c r="O193" s="538"/>
      <c r="P193" s="584"/>
      <c r="Q193" s="538"/>
      <c r="R193" s="538"/>
      <c r="S193" s="538"/>
      <c r="T193" s="538"/>
      <c r="U193" s="538"/>
      <c r="V193" s="538"/>
      <c r="W193" s="538"/>
      <c r="X193" s="538"/>
      <c r="Y193" s="538"/>
      <c r="Z193" s="538"/>
      <c r="AA193" s="538"/>
      <c r="AB193" s="538"/>
      <c r="AC193" s="538"/>
      <c r="AD193" s="538"/>
      <c r="AE193" s="538"/>
      <c r="AF193" s="538"/>
      <c r="AG193" s="538"/>
      <c r="AH193" s="538"/>
      <c r="AI193" s="538"/>
      <c r="AJ193" s="538"/>
      <c r="AK193" s="538"/>
      <c r="AL193" s="538"/>
      <c r="AM193" s="538"/>
      <c r="AN193" s="538"/>
      <c r="AO193" s="538"/>
      <c r="AP193" s="538"/>
      <c r="AQ193" s="538"/>
      <c r="AR193" s="538"/>
      <c r="AS193" s="538"/>
      <c r="AT193" s="538"/>
      <c r="AU193" s="538"/>
      <c r="AV193" s="538"/>
      <c r="AW193" s="538"/>
      <c r="AX193" s="538"/>
      <c r="AY193" s="538"/>
      <c r="AZ193" s="538"/>
      <c r="BA193" s="538"/>
      <c r="BB193" s="538"/>
      <c r="BC193" s="538"/>
      <c r="BD193" s="538"/>
      <c r="BE193" s="538"/>
      <c r="BF193" s="538"/>
      <c r="BG193" s="538"/>
      <c r="BH193" s="538"/>
      <c r="BI193" s="538"/>
      <c r="BJ193" s="538"/>
      <c r="BK193" s="538"/>
      <c r="BL193" s="538"/>
      <c r="BM193" s="538"/>
      <c r="BN193" s="538"/>
      <c r="BO193" s="538"/>
      <c r="BP193" s="538"/>
      <c r="BQ193" s="538"/>
      <c r="BR193" s="538"/>
      <c r="BS193" s="538"/>
      <c r="BT193" s="538"/>
      <c r="BU193" s="538"/>
      <c r="BV193" s="538"/>
      <c r="BW193" s="538"/>
      <c r="BX193" s="538"/>
      <c r="BY193" s="538"/>
    </row>
    <row r="194" spans="1:77" x14ac:dyDescent="0.3">
      <c r="A194" s="551"/>
      <c r="B194" s="548"/>
      <c r="C194" s="525"/>
      <c r="D194" s="525"/>
      <c r="E194" s="525"/>
      <c r="F194" s="525"/>
      <c r="G194" s="525"/>
      <c r="H194" s="525"/>
      <c r="I194" s="525"/>
      <c r="J194" s="525"/>
      <c r="K194" s="525"/>
      <c r="L194" s="525"/>
      <c r="M194" s="525"/>
      <c r="N194" s="525"/>
      <c r="O194" s="525"/>
      <c r="P194" s="565"/>
      <c r="Q194" s="525"/>
      <c r="R194" s="525"/>
      <c r="S194" s="525"/>
      <c r="T194" s="525"/>
      <c r="U194" s="525"/>
      <c r="V194" s="525"/>
      <c r="W194" s="525"/>
      <c r="X194" s="525"/>
      <c r="Y194" s="525"/>
      <c r="Z194" s="525"/>
      <c r="AA194" s="525"/>
      <c r="AB194" s="525"/>
      <c r="AC194" s="525"/>
      <c r="AD194" s="525"/>
      <c r="AE194" s="525"/>
      <c r="AF194" s="525"/>
      <c r="AG194" s="525"/>
      <c r="AH194" s="525"/>
      <c r="AI194" s="525"/>
      <c r="AJ194" s="525"/>
      <c r="AK194" s="525"/>
      <c r="AL194" s="525"/>
      <c r="AM194" s="525"/>
      <c r="AN194" s="525"/>
      <c r="AO194" s="525"/>
      <c r="AP194" s="525"/>
      <c r="AQ194" s="525"/>
      <c r="AR194" s="525"/>
      <c r="AS194" s="525"/>
      <c r="AT194" s="525"/>
      <c r="AU194" s="525"/>
      <c r="AV194" s="525"/>
      <c r="AW194" s="525"/>
      <c r="AX194" s="525"/>
      <c r="AY194" s="525"/>
      <c r="AZ194" s="525"/>
      <c r="BA194" s="525"/>
      <c r="BB194" s="525"/>
      <c r="BC194" s="525"/>
      <c r="BD194" s="525"/>
      <c r="BE194" s="525"/>
      <c r="BF194" s="525"/>
      <c r="BG194" s="525"/>
      <c r="BH194" s="525"/>
      <c r="BI194" s="525"/>
      <c r="BJ194" s="525"/>
      <c r="BK194" s="525"/>
      <c r="BL194" s="525"/>
      <c r="BM194" s="525"/>
      <c r="BN194" s="525"/>
      <c r="BO194" s="525"/>
      <c r="BP194" s="525"/>
      <c r="BQ194" s="525"/>
      <c r="BR194" s="525"/>
      <c r="BS194" s="525"/>
      <c r="BT194" s="525"/>
      <c r="BU194" s="525"/>
      <c r="BV194" s="525"/>
      <c r="BW194" s="525"/>
      <c r="BX194" s="525"/>
      <c r="BY194" s="525"/>
    </row>
    <row r="195" spans="1:77" x14ac:dyDescent="0.3">
      <c r="A195" s="551"/>
      <c r="B195" s="548"/>
      <c r="C195" s="525"/>
      <c r="D195" s="525"/>
      <c r="E195" s="614" t="s">
        <v>96</v>
      </c>
      <c r="F195" s="539"/>
      <c r="G195" s="539"/>
      <c r="H195" s="539"/>
      <c r="I195" s="539"/>
      <c r="J195" s="539"/>
      <c r="K195" s="539"/>
      <c r="L195" s="539"/>
      <c r="M195" s="539"/>
      <c r="N195" s="539"/>
      <c r="O195" s="539"/>
      <c r="P195" s="615"/>
      <c r="Q195" s="539"/>
      <c r="R195" s="539"/>
      <c r="S195" s="539"/>
      <c r="T195" s="539"/>
      <c r="U195" s="539"/>
      <c r="V195" s="539"/>
      <c r="W195" s="539"/>
      <c r="X195" s="539"/>
      <c r="Y195" s="539"/>
      <c r="Z195" s="539"/>
      <c r="AA195" s="539"/>
      <c r="AB195" s="539"/>
      <c r="AC195" s="539"/>
      <c r="AD195" s="539"/>
      <c r="AE195" s="539"/>
      <c r="AF195" s="539"/>
      <c r="AG195" s="539"/>
      <c r="AH195" s="539"/>
      <c r="AI195" s="539"/>
      <c r="AJ195" s="539"/>
      <c r="AK195" s="539"/>
      <c r="AL195" s="539"/>
      <c r="AM195" s="539"/>
      <c r="AN195" s="539"/>
      <c r="AO195" s="539"/>
      <c r="AP195" s="539"/>
      <c r="AQ195" s="539"/>
      <c r="AR195" s="539"/>
      <c r="AS195" s="539"/>
      <c r="AT195" s="539"/>
      <c r="AU195" s="539"/>
      <c r="AV195" s="539"/>
      <c r="AW195" s="539"/>
      <c r="AX195" s="539"/>
      <c r="AY195" s="539"/>
      <c r="AZ195" s="539"/>
      <c r="BA195" s="539"/>
      <c r="BB195" s="539"/>
      <c r="BC195" s="539"/>
      <c r="BD195" s="539"/>
      <c r="BE195" s="539"/>
      <c r="BF195" s="539"/>
      <c r="BG195" s="539"/>
      <c r="BH195" s="539"/>
      <c r="BI195" s="539"/>
      <c r="BJ195" s="539"/>
      <c r="BK195" s="539"/>
      <c r="BL195" s="539"/>
      <c r="BM195" s="539"/>
      <c r="BN195" s="539"/>
      <c r="BO195" s="539"/>
      <c r="BP195" s="539"/>
      <c r="BQ195" s="539"/>
      <c r="BR195" s="539"/>
      <c r="BS195" s="539"/>
      <c r="BT195" s="539"/>
      <c r="BU195" s="539"/>
      <c r="BV195" s="539"/>
      <c r="BW195" s="539"/>
      <c r="BX195" s="539"/>
      <c r="BY195" s="539"/>
    </row>
    <row r="196" spans="1:77" x14ac:dyDescent="0.3">
      <c r="A196" s="551"/>
      <c r="B196" s="548"/>
      <c r="C196" s="525"/>
      <c r="D196" s="525"/>
      <c r="E196" s="525"/>
      <c r="F196" s="525"/>
      <c r="G196" s="525"/>
      <c r="H196" s="525"/>
      <c r="I196" s="525"/>
      <c r="J196" s="525"/>
      <c r="K196" s="525"/>
      <c r="L196" s="525"/>
      <c r="M196" s="525"/>
      <c r="N196" s="525"/>
      <c r="O196" s="525"/>
      <c r="P196" s="565"/>
      <c r="Q196" s="525"/>
      <c r="R196" s="525"/>
      <c r="S196" s="525"/>
      <c r="T196" s="525"/>
      <c r="U196" s="525"/>
      <c r="V196" s="525"/>
      <c r="W196" s="525"/>
      <c r="X196" s="525"/>
      <c r="Y196" s="525"/>
      <c r="Z196" s="525"/>
      <c r="AA196" s="525"/>
      <c r="AB196" s="525"/>
      <c r="AC196" s="525"/>
      <c r="AD196" s="525"/>
      <c r="AE196" s="525"/>
      <c r="AF196" s="525"/>
      <c r="AG196" s="525"/>
      <c r="AH196" s="525"/>
      <c r="AI196" s="525"/>
      <c r="AJ196" s="525"/>
      <c r="AK196" s="525"/>
      <c r="AL196" s="525"/>
      <c r="AM196" s="525"/>
      <c r="AN196" s="525"/>
      <c r="AO196" s="525"/>
      <c r="AP196" s="525"/>
      <c r="AQ196" s="525"/>
      <c r="AR196" s="525"/>
      <c r="AS196" s="525"/>
      <c r="AT196" s="525"/>
      <c r="AU196" s="525"/>
      <c r="AV196" s="525"/>
      <c r="AW196" s="525"/>
      <c r="AX196" s="525"/>
      <c r="AY196" s="525"/>
      <c r="AZ196" s="525"/>
      <c r="BA196" s="525"/>
      <c r="BB196" s="525"/>
      <c r="BC196" s="525"/>
      <c r="BD196" s="525"/>
      <c r="BE196" s="525"/>
      <c r="BF196" s="525"/>
      <c r="BG196" s="525"/>
      <c r="BH196" s="525"/>
      <c r="BI196" s="525"/>
      <c r="BJ196" s="525"/>
      <c r="BK196" s="525"/>
      <c r="BL196" s="525"/>
      <c r="BM196" s="525"/>
      <c r="BN196" s="525"/>
      <c r="BO196" s="525"/>
      <c r="BP196" s="525"/>
      <c r="BQ196" s="525"/>
      <c r="BR196" s="525"/>
      <c r="BS196" s="525"/>
      <c r="BT196" s="525"/>
      <c r="BU196" s="525"/>
      <c r="BV196" s="525"/>
      <c r="BW196" s="525"/>
      <c r="BX196" s="525"/>
      <c r="BY196" s="525"/>
    </row>
    <row r="197" spans="1:77" x14ac:dyDescent="0.3">
      <c r="A197" s="551"/>
      <c r="B197" s="548"/>
      <c r="C197" s="525"/>
      <c r="D197" s="525"/>
      <c r="E197" s="616" t="str">
        <f>"Drinks net comm. uplift due to capex: "&amp;E$155</f>
        <v>Drinks net comm. uplift due to capex: FY27 Tranche</v>
      </c>
      <c r="F197" s="525"/>
      <c r="G197" s="525"/>
      <c r="H197" s="525"/>
      <c r="I197" s="525"/>
      <c r="J197" s="525"/>
      <c r="K197" s="525"/>
      <c r="L197" s="525"/>
      <c r="M197" s="525"/>
      <c r="N197" s="525"/>
      <c r="O197" s="525"/>
      <c r="P197" s="565"/>
      <c r="Q197" s="525"/>
      <c r="R197" s="527">
        <f t="shared" ref="R197:AW197" si="275">R185*$AE155</f>
        <v>0</v>
      </c>
      <c r="S197" s="527">
        <f t="shared" si="275"/>
        <v>0</v>
      </c>
      <c r="T197" s="527">
        <f t="shared" si="275"/>
        <v>0</v>
      </c>
      <c r="U197" s="527">
        <f t="shared" si="275"/>
        <v>0</v>
      </c>
      <c r="V197" s="527">
        <f t="shared" si="275"/>
        <v>0</v>
      </c>
      <c r="W197" s="527">
        <f t="shared" si="275"/>
        <v>0</v>
      </c>
      <c r="X197" s="527">
        <f t="shared" si="275"/>
        <v>3333.6890284366555</v>
      </c>
      <c r="Y197" s="527">
        <f t="shared" si="275"/>
        <v>3333.6890284366555</v>
      </c>
      <c r="Z197" s="527">
        <f t="shared" si="275"/>
        <v>3333.6890284366555</v>
      </c>
      <c r="AA197" s="527">
        <f t="shared" si="275"/>
        <v>3333.6890284366555</v>
      </c>
      <c r="AB197" s="527">
        <f t="shared" si="275"/>
        <v>3333.6890284366555</v>
      </c>
      <c r="AC197" s="527">
        <f t="shared" si="275"/>
        <v>3333.6890284366555</v>
      </c>
      <c r="AD197" s="527">
        <f t="shared" si="275"/>
        <v>2602.6439422201202</v>
      </c>
      <c r="AE197" s="527">
        <f t="shared" si="275"/>
        <v>2602.6439422201202</v>
      </c>
      <c r="AF197" s="527">
        <f t="shared" si="275"/>
        <v>2602.6439422201202</v>
      </c>
      <c r="AG197" s="527">
        <f t="shared" si="275"/>
        <v>2602.6439422201202</v>
      </c>
      <c r="AH197" s="527">
        <f t="shared" si="275"/>
        <v>2602.6439422201202</v>
      </c>
      <c r="AI197" s="527">
        <f t="shared" si="275"/>
        <v>2602.6439422201202</v>
      </c>
      <c r="AJ197" s="527">
        <f t="shared" si="275"/>
        <v>3476.399233623772</v>
      </c>
      <c r="AK197" s="527">
        <f t="shared" si="275"/>
        <v>3476.399233623772</v>
      </c>
      <c r="AL197" s="527">
        <f t="shared" si="275"/>
        <v>3476.399233623772</v>
      </c>
      <c r="AM197" s="527">
        <f t="shared" si="275"/>
        <v>3476.399233623772</v>
      </c>
      <c r="AN197" s="527">
        <f t="shared" si="275"/>
        <v>3476.399233623772</v>
      </c>
      <c r="AO197" s="527">
        <f t="shared" si="275"/>
        <v>3476.399233623772</v>
      </c>
      <c r="AP197" s="527">
        <f t="shared" si="275"/>
        <v>2752.7760176650945</v>
      </c>
      <c r="AQ197" s="527">
        <f t="shared" si="275"/>
        <v>2752.7760176650945</v>
      </c>
      <c r="AR197" s="527">
        <f t="shared" si="275"/>
        <v>2752.7760176650945</v>
      </c>
      <c r="AS197" s="527">
        <f t="shared" si="275"/>
        <v>2752.7760176650945</v>
      </c>
      <c r="AT197" s="527">
        <f t="shared" si="275"/>
        <v>2752.7760176650945</v>
      </c>
      <c r="AU197" s="527">
        <f t="shared" si="275"/>
        <v>2752.7760176650945</v>
      </c>
      <c r="AV197" s="527">
        <f t="shared" si="275"/>
        <v>3661.481520724893</v>
      </c>
      <c r="AW197" s="527">
        <f t="shared" si="275"/>
        <v>3661.481520724893</v>
      </c>
      <c r="AX197" s="527">
        <f t="shared" ref="AX197:BY197" si="276">AX185*$AE155</f>
        <v>3661.481520724893</v>
      </c>
      <c r="AY197" s="527">
        <f t="shared" si="276"/>
        <v>3661.481520724893</v>
      </c>
      <c r="AZ197" s="527">
        <f t="shared" si="276"/>
        <v>3661.481520724893</v>
      </c>
      <c r="BA197" s="527">
        <f t="shared" si="276"/>
        <v>3661.481520724893</v>
      </c>
      <c r="BB197" s="527">
        <f t="shared" si="276"/>
        <v>2979.0908690694264</v>
      </c>
      <c r="BC197" s="527">
        <f t="shared" si="276"/>
        <v>2979.0908690694264</v>
      </c>
      <c r="BD197" s="527">
        <f t="shared" si="276"/>
        <v>2979.0908690694264</v>
      </c>
      <c r="BE197" s="527">
        <f t="shared" si="276"/>
        <v>2979.0908690694264</v>
      </c>
      <c r="BF197" s="527">
        <f t="shared" si="276"/>
        <v>2979.0908690694264</v>
      </c>
      <c r="BG197" s="527">
        <f t="shared" si="276"/>
        <v>2979.0908690694264</v>
      </c>
      <c r="BH197" s="527">
        <f t="shared" si="276"/>
        <v>3924.1445922516177</v>
      </c>
      <c r="BI197" s="527">
        <f t="shared" si="276"/>
        <v>3924.1445922516177</v>
      </c>
      <c r="BJ197" s="527">
        <f t="shared" si="276"/>
        <v>3924.1445922516177</v>
      </c>
      <c r="BK197" s="527">
        <f t="shared" si="276"/>
        <v>3924.1445922516177</v>
      </c>
      <c r="BL197" s="527">
        <f t="shared" si="276"/>
        <v>3924.1445922516177</v>
      </c>
      <c r="BM197" s="527">
        <f t="shared" si="276"/>
        <v>3924.1445922516177</v>
      </c>
      <c r="BN197" s="527">
        <f t="shared" si="276"/>
        <v>3245.958600045743</v>
      </c>
      <c r="BO197" s="527">
        <f t="shared" si="276"/>
        <v>3245.958600045743</v>
      </c>
      <c r="BP197" s="527">
        <f t="shared" si="276"/>
        <v>3245.958600045743</v>
      </c>
      <c r="BQ197" s="527">
        <f t="shared" si="276"/>
        <v>3245.958600045743</v>
      </c>
      <c r="BR197" s="527">
        <f t="shared" si="276"/>
        <v>3245.958600045743</v>
      </c>
      <c r="BS197" s="527">
        <f t="shared" si="276"/>
        <v>3245.958600045743</v>
      </c>
      <c r="BT197" s="527">
        <f t="shared" si="276"/>
        <v>4228.8144721552198</v>
      </c>
      <c r="BU197" s="527">
        <f t="shared" si="276"/>
        <v>4228.8144721552198</v>
      </c>
      <c r="BV197" s="527">
        <f t="shared" si="276"/>
        <v>4228.8144721552198</v>
      </c>
      <c r="BW197" s="527">
        <f t="shared" si="276"/>
        <v>4228.8144721552198</v>
      </c>
      <c r="BX197" s="527">
        <f t="shared" si="276"/>
        <v>4228.8144721552198</v>
      </c>
      <c r="BY197" s="527">
        <f t="shared" si="276"/>
        <v>4228.8144721552198</v>
      </c>
    </row>
    <row r="198" spans="1:77" x14ac:dyDescent="0.3">
      <c r="A198" s="551"/>
      <c r="B198" s="548"/>
      <c r="C198" s="525"/>
      <c r="D198" s="525"/>
      <c r="E198" s="616" t="str">
        <f>"Drinks net comm. uplift due to capex: "&amp;E$156</f>
        <v>Drinks net comm. uplift due to capex: FY28 Tranche</v>
      </c>
      <c r="F198" s="525"/>
      <c r="G198" s="525"/>
      <c r="H198" s="525"/>
      <c r="I198" s="525"/>
      <c r="J198" s="525"/>
      <c r="K198" s="525"/>
      <c r="L198" s="525"/>
      <c r="M198" s="525"/>
      <c r="N198" s="525"/>
      <c r="O198" s="525"/>
      <c r="P198" s="565"/>
      <c r="Q198" s="525"/>
      <c r="R198" s="527">
        <f t="shared" ref="R198:AW198" si="277">R186*$AE156</f>
        <v>0</v>
      </c>
      <c r="S198" s="527">
        <f t="shared" si="277"/>
        <v>0</v>
      </c>
      <c r="T198" s="527">
        <f t="shared" si="277"/>
        <v>0</v>
      </c>
      <c r="U198" s="527">
        <f t="shared" si="277"/>
        <v>0</v>
      </c>
      <c r="V198" s="527">
        <f t="shared" si="277"/>
        <v>0</v>
      </c>
      <c r="W198" s="527">
        <f t="shared" si="277"/>
        <v>0</v>
      </c>
      <c r="X198" s="527">
        <f t="shared" si="277"/>
        <v>0</v>
      </c>
      <c r="Y198" s="527">
        <f t="shared" si="277"/>
        <v>0</v>
      </c>
      <c r="Z198" s="527">
        <f t="shared" si="277"/>
        <v>0</v>
      </c>
      <c r="AA198" s="527">
        <f t="shared" si="277"/>
        <v>0</v>
      </c>
      <c r="AB198" s="527">
        <f t="shared" si="277"/>
        <v>0</v>
      </c>
      <c r="AC198" s="527">
        <f t="shared" si="277"/>
        <v>0</v>
      </c>
      <c r="AD198" s="527">
        <f t="shared" si="277"/>
        <v>0</v>
      </c>
      <c r="AE198" s="527">
        <f t="shared" si="277"/>
        <v>0</v>
      </c>
      <c r="AF198" s="527">
        <f t="shared" si="277"/>
        <v>0</v>
      </c>
      <c r="AG198" s="527">
        <f t="shared" si="277"/>
        <v>0</v>
      </c>
      <c r="AH198" s="527">
        <f t="shared" si="277"/>
        <v>0</v>
      </c>
      <c r="AI198" s="527">
        <f t="shared" si="277"/>
        <v>0</v>
      </c>
      <c r="AJ198" s="527">
        <f t="shared" si="277"/>
        <v>3413.8635837056704</v>
      </c>
      <c r="AK198" s="527">
        <f t="shared" si="277"/>
        <v>3413.8635837056704</v>
      </c>
      <c r="AL198" s="527">
        <f t="shared" si="277"/>
        <v>3413.8635837056704</v>
      </c>
      <c r="AM198" s="527">
        <f t="shared" si="277"/>
        <v>3413.8635837056704</v>
      </c>
      <c r="AN198" s="527">
        <f t="shared" si="277"/>
        <v>3413.8635837056704</v>
      </c>
      <c r="AO198" s="527">
        <f t="shared" si="277"/>
        <v>3413.8635837056704</v>
      </c>
      <c r="AP198" s="527">
        <f t="shared" si="277"/>
        <v>2690.2403677469929</v>
      </c>
      <c r="AQ198" s="527">
        <f t="shared" si="277"/>
        <v>2690.2403677469929</v>
      </c>
      <c r="AR198" s="527">
        <f t="shared" si="277"/>
        <v>2690.2403677469929</v>
      </c>
      <c r="AS198" s="527">
        <f t="shared" si="277"/>
        <v>2690.2403677469929</v>
      </c>
      <c r="AT198" s="527">
        <f t="shared" si="277"/>
        <v>2690.2403677469929</v>
      </c>
      <c r="AU198" s="527">
        <f t="shared" si="277"/>
        <v>2690.2403677469929</v>
      </c>
      <c r="AV198" s="527">
        <f t="shared" si="277"/>
        <v>3596.444444810068</v>
      </c>
      <c r="AW198" s="527">
        <f t="shared" si="277"/>
        <v>3596.444444810068</v>
      </c>
      <c r="AX198" s="527">
        <f t="shared" ref="AX198:BY198" si="278">AX186*$AE156</f>
        <v>3596.444444810068</v>
      </c>
      <c r="AY198" s="527">
        <f t="shared" si="278"/>
        <v>3596.444444810068</v>
      </c>
      <c r="AZ198" s="527">
        <f t="shared" si="278"/>
        <v>3596.444444810068</v>
      </c>
      <c r="BA198" s="527">
        <f t="shared" si="278"/>
        <v>3596.444444810068</v>
      </c>
      <c r="BB198" s="527">
        <f t="shared" si="278"/>
        <v>2914.0537931546014</v>
      </c>
      <c r="BC198" s="527">
        <f t="shared" si="278"/>
        <v>2914.0537931546014</v>
      </c>
      <c r="BD198" s="527">
        <f t="shared" si="278"/>
        <v>2914.0537931546014</v>
      </c>
      <c r="BE198" s="527">
        <f t="shared" si="278"/>
        <v>2914.0537931546014</v>
      </c>
      <c r="BF198" s="527">
        <f t="shared" si="278"/>
        <v>2914.0537931546014</v>
      </c>
      <c r="BG198" s="527">
        <f t="shared" si="278"/>
        <v>2914.0537931546014</v>
      </c>
      <c r="BH198" s="527">
        <f t="shared" si="278"/>
        <v>3856.5060333001984</v>
      </c>
      <c r="BI198" s="527">
        <f t="shared" si="278"/>
        <v>3856.5060333001984</v>
      </c>
      <c r="BJ198" s="527">
        <f t="shared" si="278"/>
        <v>3856.5060333001984</v>
      </c>
      <c r="BK198" s="527">
        <f t="shared" si="278"/>
        <v>3856.5060333001984</v>
      </c>
      <c r="BL198" s="527">
        <f t="shared" si="278"/>
        <v>3856.5060333001984</v>
      </c>
      <c r="BM198" s="527">
        <f t="shared" si="278"/>
        <v>3856.5060333001984</v>
      </c>
      <c r="BN198" s="527">
        <f t="shared" si="278"/>
        <v>3178.3200410943236</v>
      </c>
      <c r="BO198" s="527">
        <f t="shared" si="278"/>
        <v>3178.3200410943236</v>
      </c>
      <c r="BP198" s="527">
        <f t="shared" si="278"/>
        <v>3178.3200410943236</v>
      </c>
      <c r="BQ198" s="527">
        <f t="shared" si="278"/>
        <v>3178.3200410943236</v>
      </c>
      <c r="BR198" s="527">
        <f t="shared" si="278"/>
        <v>3178.3200410943236</v>
      </c>
      <c r="BS198" s="527">
        <f t="shared" si="278"/>
        <v>3178.3200410943236</v>
      </c>
      <c r="BT198" s="527">
        <f t="shared" si="278"/>
        <v>4158.4703708457464</v>
      </c>
      <c r="BU198" s="527">
        <f t="shared" si="278"/>
        <v>4158.4703708457464</v>
      </c>
      <c r="BV198" s="527">
        <f t="shared" si="278"/>
        <v>4158.4703708457464</v>
      </c>
      <c r="BW198" s="527">
        <f t="shared" si="278"/>
        <v>4158.4703708457464</v>
      </c>
      <c r="BX198" s="527">
        <f t="shared" si="278"/>
        <v>4158.4703708457464</v>
      </c>
      <c r="BY198" s="527">
        <f t="shared" si="278"/>
        <v>4158.4703708457464</v>
      </c>
    </row>
    <row r="199" spans="1:77" x14ac:dyDescent="0.3">
      <c r="A199" s="551"/>
      <c r="B199" s="548"/>
      <c r="C199" s="525"/>
      <c r="D199" s="525"/>
      <c r="E199" s="616" t="str">
        <f>"Drinks net comm. uplift due to capex: "&amp;E$157</f>
        <v>Drinks net comm. uplift due to capex: FY29 Tranche</v>
      </c>
      <c r="F199" s="525"/>
      <c r="G199" s="525"/>
      <c r="H199" s="525"/>
      <c r="I199" s="525"/>
      <c r="J199" s="525"/>
      <c r="K199" s="525"/>
      <c r="L199" s="525"/>
      <c r="M199" s="525"/>
      <c r="N199" s="525"/>
      <c r="O199" s="525"/>
      <c r="P199" s="565"/>
      <c r="Q199" s="525"/>
      <c r="R199" s="527">
        <f t="shared" ref="R199:AW199" si="279">R187*$AE157</f>
        <v>0</v>
      </c>
      <c r="S199" s="527">
        <f t="shared" si="279"/>
        <v>0</v>
      </c>
      <c r="T199" s="527">
        <f t="shared" si="279"/>
        <v>0</v>
      </c>
      <c r="U199" s="527">
        <f t="shared" si="279"/>
        <v>0</v>
      </c>
      <c r="V199" s="527">
        <f t="shared" si="279"/>
        <v>0</v>
      </c>
      <c r="W199" s="527">
        <f t="shared" si="279"/>
        <v>0</v>
      </c>
      <c r="X199" s="527">
        <f t="shared" si="279"/>
        <v>0</v>
      </c>
      <c r="Y199" s="527">
        <f t="shared" si="279"/>
        <v>0</v>
      </c>
      <c r="Z199" s="527">
        <f t="shared" si="279"/>
        <v>0</v>
      </c>
      <c r="AA199" s="527">
        <f t="shared" si="279"/>
        <v>0</v>
      </c>
      <c r="AB199" s="527">
        <f t="shared" si="279"/>
        <v>0</v>
      </c>
      <c r="AC199" s="527">
        <f t="shared" si="279"/>
        <v>0</v>
      </c>
      <c r="AD199" s="527">
        <f t="shared" si="279"/>
        <v>0</v>
      </c>
      <c r="AE199" s="527">
        <f t="shared" si="279"/>
        <v>0</v>
      </c>
      <c r="AF199" s="527">
        <f t="shared" si="279"/>
        <v>0</v>
      </c>
      <c r="AG199" s="527">
        <f t="shared" si="279"/>
        <v>0</v>
      </c>
      <c r="AH199" s="527">
        <f t="shared" si="279"/>
        <v>0</v>
      </c>
      <c r="AI199" s="527">
        <f t="shared" si="279"/>
        <v>0</v>
      </c>
      <c r="AJ199" s="527">
        <f t="shared" si="279"/>
        <v>0</v>
      </c>
      <c r="AK199" s="527">
        <f t="shared" si="279"/>
        <v>0</v>
      </c>
      <c r="AL199" s="527">
        <f t="shared" si="279"/>
        <v>0</v>
      </c>
      <c r="AM199" s="527">
        <f t="shared" si="279"/>
        <v>0</v>
      </c>
      <c r="AN199" s="527">
        <f t="shared" si="279"/>
        <v>0</v>
      </c>
      <c r="AO199" s="527">
        <f t="shared" si="279"/>
        <v>0</v>
      </c>
      <c r="AP199" s="527">
        <f t="shared" si="279"/>
        <v>0</v>
      </c>
      <c r="AQ199" s="527">
        <f t="shared" si="279"/>
        <v>0</v>
      </c>
      <c r="AR199" s="527">
        <f t="shared" si="279"/>
        <v>0</v>
      </c>
      <c r="AS199" s="527">
        <f t="shared" si="279"/>
        <v>0</v>
      </c>
      <c r="AT199" s="527">
        <f t="shared" si="279"/>
        <v>0</v>
      </c>
      <c r="AU199" s="527">
        <f t="shared" si="279"/>
        <v>0</v>
      </c>
      <c r="AV199" s="527">
        <f t="shared" si="279"/>
        <v>3490.5199046638904</v>
      </c>
      <c r="AW199" s="527">
        <f t="shared" si="279"/>
        <v>3490.5199046638904</v>
      </c>
      <c r="AX199" s="527">
        <f t="shared" ref="AX199:BY199" si="280">AX187*$AE157</f>
        <v>3490.5199046638904</v>
      </c>
      <c r="AY199" s="527">
        <f t="shared" si="280"/>
        <v>3490.5199046638904</v>
      </c>
      <c r="AZ199" s="527">
        <f t="shared" si="280"/>
        <v>3490.5199046638904</v>
      </c>
      <c r="BA199" s="527">
        <f t="shared" si="280"/>
        <v>3490.5199046638904</v>
      </c>
      <c r="BB199" s="527">
        <f t="shared" si="280"/>
        <v>2808.1292530084233</v>
      </c>
      <c r="BC199" s="527">
        <f t="shared" si="280"/>
        <v>2808.1292530084233</v>
      </c>
      <c r="BD199" s="527">
        <f t="shared" si="280"/>
        <v>2808.1292530084233</v>
      </c>
      <c r="BE199" s="527">
        <f t="shared" si="280"/>
        <v>2808.1292530084233</v>
      </c>
      <c r="BF199" s="527">
        <f t="shared" si="280"/>
        <v>2808.1292530084233</v>
      </c>
      <c r="BG199" s="527">
        <f t="shared" si="280"/>
        <v>2808.1292530084233</v>
      </c>
      <c r="BH199" s="527">
        <f t="shared" si="280"/>
        <v>3746.344511548175</v>
      </c>
      <c r="BI199" s="527">
        <f t="shared" si="280"/>
        <v>3746.344511548175</v>
      </c>
      <c r="BJ199" s="527">
        <f t="shared" si="280"/>
        <v>3746.344511548175</v>
      </c>
      <c r="BK199" s="527">
        <f t="shared" si="280"/>
        <v>3746.344511548175</v>
      </c>
      <c r="BL199" s="527">
        <f t="shared" si="280"/>
        <v>3746.344511548175</v>
      </c>
      <c r="BM199" s="527">
        <f t="shared" si="280"/>
        <v>3746.344511548175</v>
      </c>
      <c r="BN199" s="527">
        <f t="shared" si="280"/>
        <v>3068.1585193423002</v>
      </c>
      <c r="BO199" s="527">
        <f t="shared" si="280"/>
        <v>3068.1585193423002</v>
      </c>
      <c r="BP199" s="527">
        <f t="shared" si="280"/>
        <v>3068.1585193423002</v>
      </c>
      <c r="BQ199" s="527">
        <f t="shared" si="280"/>
        <v>3068.1585193423002</v>
      </c>
      <c r="BR199" s="527">
        <f t="shared" si="280"/>
        <v>3068.1585193423002</v>
      </c>
      <c r="BS199" s="527">
        <f t="shared" si="280"/>
        <v>3068.1585193423002</v>
      </c>
      <c r="BT199" s="527">
        <f t="shared" si="280"/>
        <v>4043.9023882236443</v>
      </c>
      <c r="BU199" s="527">
        <f t="shared" si="280"/>
        <v>4043.9023882236443</v>
      </c>
      <c r="BV199" s="527">
        <f t="shared" si="280"/>
        <v>4043.9023882236443</v>
      </c>
      <c r="BW199" s="527">
        <f t="shared" si="280"/>
        <v>4043.9023882236443</v>
      </c>
      <c r="BX199" s="527">
        <f t="shared" si="280"/>
        <v>4043.9023882236443</v>
      </c>
      <c r="BY199" s="527">
        <f t="shared" si="280"/>
        <v>4043.9023882236443</v>
      </c>
    </row>
    <row r="200" spans="1:77" x14ac:dyDescent="0.3">
      <c r="A200" s="551"/>
      <c r="B200" s="548"/>
      <c r="C200" s="525"/>
      <c r="D200" s="525"/>
      <c r="E200" s="616" t="str">
        <f>"Drinks net comm. uplift due to capex: "&amp;E$158</f>
        <v>Drinks net comm. uplift due to capex: FY30 Tranche</v>
      </c>
      <c r="F200" s="525"/>
      <c r="G200" s="525"/>
      <c r="H200" s="525"/>
      <c r="I200" s="525"/>
      <c r="J200" s="525"/>
      <c r="K200" s="525"/>
      <c r="L200" s="525"/>
      <c r="M200" s="525"/>
      <c r="N200" s="525"/>
      <c r="O200" s="525"/>
      <c r="P200" s="565"/>
      <c r="Q200" s="525"/>
      <c r="R200" s="527">
        <f t="shared" ref="R200:AW200" si="281">R188*$AE158</f>
        <v>0</v>
      </c>
      <c r="S200" s="527">
        <f t="shared" si="281"/>
        <v>0</v>
      </c>
      <c r="T200" s="527">
        <f t="shared" si="281"/>
        <v>0</v>
      </c>
      <c r="U200" s="527">
        <f t="shared" si="281"/>
        <v>0</v>
      </c>
      <c r="V200" s="527">
        <f t="shared" si="281"/>
        <v>0</v>
      </c>
      <c r="W200" s="527">
        <f t="shared" si="281"/>
        <v>0</v>
      </c>
      <c r="X200" s="527">
        <f t="shared" si="281"/>
        <v>0</v>
      </c>
      <c r="Y200" s="527">
        <f t="shared" si="281"/>
        <v>0</v>
      </c>
      <c r="Z200" s="527">
        <f t="shared" si="281"/>
        <v>0</v>
      </c>
      <c r="AA200" s="527">
        <f t="shared" si="281"/>
        <v>0</v>
      </c>
      <c r="AB200" s="527">
        <f t="shared" si="281"/>
        <v>0</v>
      </c>
      <c r="AC200" s="527">
        <f t="shared" si="281"/>
        <v>0</v>
      </c>
      <c r="AD200" s="527">
        <f t="shared" si="281"/>
        <v>0</v>
      </c>
      <c r="AE200" s="527">
        <f t="shared" si="281"/>
        <v>0</v>
      </c>
      <c r="AF200" s="527">
        <f t="shared" si="281"/>
        <v>0</v>
      </c>
      <c r="AG200" s="527">
        <f t="shared" si="281"/>
        <v>0</v>
      </c>
      <c r="AH200" s="527">
        <f t="shared" si="281"/>
        <v>0</v>
      </c>
      <c r="AI200" s="527">
        <f t="shared" si="281"/>
        <v>0</v>
      </c>
      <c r="AJ200" s="527">
        <f t="shared" si="281"/>
        <v>0</v>
      </c>
      <c r="AK200" s="527">
        <f t="shared" si="281"/>
        <v>0</v>
      </c>
      <c r="AL200" s="527">
        <f t="shared" si="281"/>
        <v>0</v>
      </c>
      <c r="AM200" s="527">
        <f t="shared" si="281"/>
        <v>0</v>
      </c>
      <c r="AN200" s="527">
        <f t="shared" si="281"/>
        <v>0</v>
      </c>
      <c r="AO200" s="527">
        <f t="shared" si="281"/>
        <v>0</v>
      </c>
      <c r="AP200" s="527">
        <f t="shared" si="281"/>
        <v>0</v>
      </c>
      <c r="AQ200" s="527">
        <f t="shared" si="281"/>
        <v>0</v>
      </c>
      <c r="AR200" s="527">
        <f t="shared" si="281"/>
        <v>0</v>
      </c>
      <c r="AS200" s="527">
        <f t="shared" si="281"/>
        <v>0</v>
      </c>
      <c r="AT200" s="527">
        <f t="shared" si="281"/>
        <v>0</v>
      </c>
      <c r="AU200" s="527">
        <f t="shared" si="281"/>
        <v>0</v>
      </c>
      <c r="AV200" s="527">
        <f t="shared" si="281"/>
        <v>0</v>
      </c>
      <c r="AW200" s="527">
        <f t="shared" si="281"/>
        <v>0</v>
      </c>
      <c r="AX200" s="527">
        <f t="shared" ref="AX200:BY200" si="282">AX188*$AE158</f>
        <v>0</v>
      </c>
      <c r="AY200" s="527">
        <f t="shared" si="282"/>
        <v>0</v>
      </c>
      <c r="AZ200" s="527">
        <f t="shared" si="282"/>
        <v>0</v>
      </c>
      <c r="BA200" s="527">
        <f t="shared" si="282"/>
        <v>0</v>
      </c>
      <c r="BB200" s="527">
        <f t="shared" si="282"/>
        <v>0</v>
      </c>
      <c r="BC200" s="527">
        <f t="shared" si="282"/>
        <v>0</v>
      </c>
      <c r="BD200" s="527">
        <f t="shared" si="282"/>
        <v>0</v>
      </c>
      <c r="BE200" s="527">
        <f t="shared" si="282"/>
        <v>0</v>
      </c>
      <c r="BF200" s="527">
        <f t="shared" si="282"/>
        <v>0</v>
      </c>
      <c r="BG200" s="527">
        <f t="shared" si="282"/>
        <v>0</v>
      </c>
      <c r="BH200" s="527">
        <f t="shared" si="282"/>
        <v>3562.6955794456157</v>
      </c>
      <c r="BI200" s="527">
        <f t="shared" si="282"/>
        <v>3562.6955794456157</v>
      </c>
      <c r="BJ200" s="527">
        <f t="shared" si="282"/>
        <v>3562.6955794456157</v>
      </c>
      <c r="BK200" s="527">
        <f t="shared" si="282"/>
        <v>3562.6955794456157</v>
      </c>
      <c r="BL200" s="527">
        <f t="shared" si="282"/>
        <v>3562.6955794456157</v>
      </c>
      <c r="BM200" s="527">
        <f t="shared" si="282"/>
        <v>3562.6955794456157</v>
      </c>
      <c r="BN200" s="527">
        <f t="shared" si="282"/>
        <v>2884.5095872397414</v>
      </c>
      <c r="BO200" s="527">
        <f t="shared" si="282"/>
        <v>2884.5095872397414</v>
      </c>
      <c r="BP200" s="527">
        <f t="shared" si="282"/>
        <v>2884.5095872397414</v>
      </c>
      <c r="BQ200" s="527">
        <f t="shared" si="282"/>
        <v>2884.5095872397414</v>
      </c>
      <c r="BR200" s="527">
        <f t="shared" si="282"/>
        <v>2884.5095872397414</v>
      </c>
      <c r="BS200" s="527">
        <f t="shared" si="282"/>
        <v>2884.5095872397414</v>
      </c>
      <c r="BT200" s="527">
        <f t="shared" si="282"/>
        <v>3852.9074988369789</v>
      </c>
      <c r="BU200" s="527">
        <f t="shared" si="282"/>
        <v>3852.9074988369789</v>
      </c>
      <c r="BV200" s="527">
        <f t="shared" si="282"/>
        <v>3852.9074988369789</v>
      </c>
      <c r="BW200" s="527">
        <f t="shared" si="282"/>
        <v>3852.9074988369789</v>
      </c>
      <c r="BX200" s="527">
        <f t="shared" si="282"/>
        <v>3852.9074988369789</v>
      </c>
      <c r="BY200" s="527">
        <f t="shared" si="282"/>
        <v>3852.9074988369789</v>
      </c>
    </row>
    <row r="201" spans="1:77" x14ac:dyDescent="0.3">
      <c r="A201" s="551"/>
      <c r="B201" s="548"/>
      <c r="C201" s="525"/>
      <c r="D201" s="525"/>
      <c r="E201" s="616" t="str">
        <f>"Drinks net comm. uplift due to capex: "&amp;E$159</f>
        <v>Drinks net comm. uplift due to capex: FY31 Tranche</v>
      </c>
      <c r="F201" s="525"/>
      <c r="G201" s="525"/>
      <c r="H201" s="525"/>
      <c r="I201" s="525"/>
      <c r="J201" s="525"/>
      <c r="K201" s="525"/>
      <c r="L201" s="525"/>
      <c r="M201" s="525"/>
      <c r="N201" s="525"/>
      <c r="O201" s="525"/>
      <c r="P201" s="565"/>
      <c r="Q201" s="525"/>
      <c r="R201" s="527">
        <f t="shared" ref="R201:AW201" si="283">R189*$AE159</f>
        <v>0</v>
      </c>
      <c r="S201" s="527">
        <f t="shared" si="283"/>
        <v>0</v>
      </c>
      <c r="T201" s="527">
        <f t="shared" si="283"/>
        <v>0</v>
      </c>
      <c r="U201" s="527">
        <f t="shared" si="283"/>
        <v>0</v>
      </c>
      <c r="V201" s="527">
        <f t="shared" si="283"/>
        <v>0</v>
      </c>
      <c r="W201" s="527">
        <f t="shared" si="283"/>
        <v>0</v>
      </c>
      <c r="X201" s="527">
        <f t="shared" si="283"/>
        <v>0</v>
      </c>
      <c r="Y201" s="527">
        <f t="shared" si="283"/>
        <v>0</v>
      </c>
      <c r="Z201" s="527">
        <f t="shared" si="283"/>
        <v>0</v>
      </c>
      <c r="AA201" s="527">
        <f t="shared" si="283"/>
        <v>0</v>
      </c>
      <c r="AB201" s="527">
        <f t="shared" si="283"/>
        <v>0</v>
      </c>
      <c r="AC201" s="527">
        <f t="shared" si="283"/>
        <v>0</v>
      </c>
      <c r="AD201" s="527">
        <f t="shared" si="283"/>
        <v>0</v>
      </c>
      <c r="AE201" s="527">
        <f t="shared" si="283"/>
        <v>0</v>
      </c>
      <c r="AF201" s="527">
        <f t="shared" si="283"/>
        <v>0</v>
      </c>
      <c r="AG201" s="527">
        <f t="shared" si="283"/>
        <v>0</v>
      </c>
      <c r="AH201" s="527">
        <f t="shared" si="283"/>
        <v>0</v>
      </c>
      <c r="AI201" s="527">
        <f t="shared" si="283"/>
        <v>0</v>
      </c>
      <c r="AJ201" s="527">
        <f t="shared" si="283"/>
        <v>0</v>
      </c>
      <c r="AK201" s="527">
        <f t="shared" si="283"/>
        <v>0</v>
      </c>
      <c r="AL201" s="527">
        <f t="shared" si="283"/>
        <v>0</v>
      </c>
      <c r="AM201" s="527">
        <f t="shared" si="283"/>
        <v>0</v>
      </c>
      <c r="AN201" s="527">
        <f t="shared" si="283"/>
        <v>0</v>
      </c>
      <c r="AO201" s="527">
        <f t="shared" si="283"/>
        <v>0</v>
      </c>
      <c r="AP201" s="527">
        <f t="shared" si="283"/>
        <v>0</v>
      </c>
      <c r="AQ201" s="527">
        <f t="shared" si="283"/>
        <v>0</v>
      </c>
      <c r="AR201" s="527">
        <f t="shared" si="283"/>
        <v>0</v>
      </c>
      <c r="AS201" s="527">
        <f t="shared" si="283"/>
        <v>0</v>
      </c>
      <c r="AT201" s="527">
        <f t="shared" si="283"/>
        <v>0</v>
      </c>
      <c r="AU201" s="527">
        <f t="shared" si="283"/>
        <v>0</v>
      </c>
      <c r="AV201" s="527">
        <f t="shared" si="283"/>
        <v>0</v>
      </c>
      <c r="AW201" s="527">
        <f t="shared" si="283"/>
        <v>0</v>
      </c>
      <c r="AX201" s="527">
        <f t="shared" ref="AX201:BY201" si="284">AX189*$AE159</f>
        <v>0</v>
      </c>
      <c r="AY201" s="527">
        <f t="shared" si="284"/>
        <v>0</v>
      </c>
      <c r="AZ201" s="527">
        <f t="shared" si="284"/>
        <v>0</v>
      </c>
      <c r="BA201" s="527">
        <f t="shared" si="284"/>
        <v>0</v>
      </c>
      <c r="BB201" s="527">
        <f t="shared" si="284"/>
        <v>0</v>
      </c>
      <c r="BC201" s="527">
        <f t="shared" si="284"/>
        <v>0</v>
      </c>
      <c r="BD201" s="527">
        <f t="shared" si="284"/>
        <v>0</v>
      </c>
      <c r="BE201" s="527">
        <f t="shared" si="284"/>
        <v>0</v>
      </c>
      <c r="BF201" s="527">
        <f t="shared" si="284"/>
        <v>0</v>
      </c>
      <c r="BG201" s="527">
        <f t="shared" si="284"/>
        <v>0</v>
      </c>
      <c r="BH201" s="527">
        <f t="shared" si="284"/>
        <v>0</v>
      </c>
      <c r="BI201" s="527">
        <f t="shared" si="284"/>
        <v>0</v>
      </c>
      <c r="BJ201" s="527">
        <f t="shared" si="284"/>
        <v>0</v>
      </c>
      <c r="BK201" s="527">
        <f t="shared" si="284"/>
        <v>0</v>
      </c>
      <c r="BL201" s="527">
        <f t="shared" si="284"/>
        <v>0</v>
      </c>
      <c r="BM201" s="527">
        <f t="shared" si="284"/>
        <v>0</v>
      </c>
      <c r="BN201" s="527">
        <f t="shared" si="284"/>
        <v>0</v>
      </c>
      <c r="BO201" s="527">
        <f t="shared" si="284"/>
        <v>0</v>
      </c>
      <c r="BP201" s="527">
        <f t="shared" si="284"/>
        <v>0</v>
      </c>
      <c r="BQ201" s="527">
        <f t="shared" si="284"/>
        <v>0</v>
      </c>
      <c r="BR201" s="527">
        <f t="shared" si="284"/>
        <v>0</v>
      </c>
      <c r="BS201" s="527">
        <f t="shared" si="284"/>
        <v>0</v>
      </c>
      <c r="BT201" s="527">
        <f t="shared" si="284"/>
        <v>3632.2250645926147</v>
      </c>
      <c r="BU201" s="527">
        <f t="shared" si="284"/>
        <v>3632.2250645926147</v>
      </c>
      <c r="BV201" s="527">
        <f t="shared" si="284"/>
        <v>3632.2250645926147</v>
      </c>
      <c r="BW201" s="527">
        <f t="shared" si="284"/>
        <v>3632.2250645926147</v>
      </c>
      <c r="BX201" s="527">
        <f t="shared" si="284"/>
        <v>3632.2250645926147</v>
      </c>
      <c r="BY201" s="527">
        <f t="shared" si="284"/>
        <v>3632.2250645926147</v>
      </c>
    </row>
    <row r="202" spans="1:77" x14ac:dyDescent="0.3">
      <c r="A202" s="551"/>
      <c r="B202" s="548"/>
      <c r="C202" s="525"/>
      <c r="D202" s="525"/>
      <c r="E202" s="616" t="str">
        <f>"Drinks net comm. uplift due to capex: "&amp;E$160</f>
        <v>Drinks net comm. uplift due to capex: Uninvested Tranche</v>
      </c>
      <c r="F202" s="525"/>
      <c r="G202" s="525"/>
      <c r="H202" s="525"/>
      <c r="I202" s="525"/>
      <c r="J202" s="525"/>
      <c r="K202" s="525"/>
      <c r="L202" s="525"/>
      <c r="M202" s="525"/>
      <c r="N202" s="525"/>
      <c r="O202" s="525"/>
      <c r="P202" s="565"/>
      <c r="Q202" s="525"/>
      <c r="R202" s="527">
        <f t="shared" ref="R202:AW202" si="285">R190*$AE160</f>
        <v>0</v>
      </c>
      <c r="S202" s="527">
        <f t="shared" si="285"/>
        <v>0</v>
      </c>
      <c r="T202" s="527">
        <f t="shared" si="285"/>
        <v>0</v>
      </c>
      <c r="U202" s="527">
        <f t="shared" si="285"/>
        <v>0</v>
      </c>
      <c r="V202" s="527">
        <f t="shared" si="285"/>
        <v>0</v>
      </c>
      <c r="W202" s="527">
        <f t="shared" si="285"/>
        <v>0</v>
      </c>
      <c r="X202" s="527">
        <f t="shared" si="285"/>
        <v>0</v>
      </c>
      <c r="Y202" s="527">
        <f t="shared" si="285"/>
        <v>0</v>
      </c>
      <c r="Z202" s="527">
        <f t="shared" si="285"/>
        <v>0</v>
      </c>
      <c r="AA202" s="527">
        <f t="shared" si="285"/>
        <v>0</v>
      </c>
      <c r="AB202" s="527">
        <f t="shared" si="285"/>
        <v>0</v>
      </c>
      <c r="AC202" s="527">
        <f t="shared" si="285"/>
        <v>0</v>
      </c>
      <c r="AD202" s="527">
        <f t="shared" si="285"/>
        <v>0</v>
      </c>
      <c r="AE202" s="527">
        <f t="shared" si="285"/>
        <v>0</v>
      </c>
      <c r="AF202" s="527">
        <f t="shared" si="285"/>
        <v>0</v>
      </c>
      <c r="AG202" s="527">
        <f t="shared" si="285"/>
        <v>0</v>
      </c>
      <c r="AH202" s="527">
        <f t="shared" si="285"/>
        <v>0</v>
      </c>
      <c r="AI202" s="527">
        <f t="shared" si="285"/>
        <v>0</v>
      </c>
      <c r="AJ202" s="527">
        <f t="shared" si="285"/>
        <v>0</v>
      </c>
      <c r="AK202" s="527">
        <f t="shared" si="285"/>
        <v>0</v>
      </c>
      <c r="AL202" s="527">
        <f t="shared" si="285"/>
        <v>0</v>
      </c>
      <c r="AM202" s="527">
        <f t="shared" si="285"/>
        <v>0</v>
      </c>
      <c r="AN202" s="527">
        <f t="shared" si="285"/>
        <v>0</v>
      </c>
      <c r="AO202" s="527">
        <f t="shared" si="285"/>
        <v>0</v>
      </c>
      <c r="AP202" s="527">
        <f t="shared" si="285"/>
        <v>0</v>
      </c>
      <c r="AQ202" s="527">
        <f t="shared" si="285"/>
        <v>0</v>
      </c>
      <c r="AR202" s="527">
        <f t="shared" si="285"/>
        <v>0</v>
      </c>
      <c r="AS202" s="527">
        <f t="shared" si="285"/>
        <v>0</v>
      </c>
      <c r="AT202" s="527">
        <f t="shared" si="285"/>
        <v>0</v>
      </c>
      <c r="AU202" s="527">
        <f t="shared" si="285"/>
        <v>0</v>
      </c>
      <c r="AV202" s="527">
        <f t="shared" si="285"/>
        <v>0</v>
      </c>
      <c r="AW202" s="527">
        <f t="shared" si="285"/>
        <v>0</v>
      </c>
      <c r="AX202" s="527">
        <f t="shared" ref="AX202:BY202" si="286">AX190*$AE160</f>
        <v>0</v>
      </c>
      <c r="AY202" s="527">
        <f t="shared" si="286"/>
        <v>0</v>
      </c>
      <c r="AZ202" s="527">
        <f t="shared" si="286"/>
        <v>0</v>
      </c>
      <c r="BA202" s="527">
        <f t="shared" si="286"/>
        <v>0</v>
      </c>
      <c r="BB202" s="527">
        <f t="shared" si="286"/>
        <v>0</v>
      </c>
      <c r="BC202" s="527">
        <f t="shared" si="286"/>
        <v>0</v>
      </c>
      <c r="BD202" s="527">
        <f t="shared" si="286"/>
        <v>0</v>
      </c>
      <c r="BE202" s="527">
        <f t="shared" si="286"/>
        <v>0</v>
      </c>
      <c r="BF202" s="527">
        <f t="shared" si="286"/>
        <v>0</v>
      </c>
      <c r="BG202" s="527">
        <f t="shared" si="286"/>
        <v>0</v>
      </c>
      <c r="BH202" s="527">
        <f t="shared" si="286"/>
        <v>0</v>
      </c>
      <c r="BI202" s="527">
        <f t="shared" si="286"/>
        <v>0</v>
      </c>
      <c r="BJ202" s="527">
        <f t="shared" si="286"/>
        <v>0</v>
      </c>
      <c r="BK202" s="527">
        <f t="shared" si="286"/>
        <v>0</v>
      </c>
      <c r="BL202" s="527">
        <f t="shared" si="286"/>
        <v>0</v>
      </c>
      <c r="BM202" s="527">
        <f t="shared" si="286"/>
        <v>0</v>
      </c>
      <c r="BN202" s="527">
        <f t="shared" si="286"/>
        <v>0</v>
      </c>
      <c r="BO202" s="527">
        <f t="shared" si="286"/>
        <v>0</v>
      </c>
      <c r="BP202" s="527">
        <f t="shared" si="286"/>
        <v>0</v>
      </c>
      <c r="BQ202" s="527">
        <f t="shared" si="286"/>
        <v>0</v>
      </c>
      <c r="BR202" s="527">
        <f t="shared" si="286"/>
        <v>0</v>
      </c>
      <c r="BS202" s="527">
        <f t="shared" si="286"/>
        <v>0</v>
      </c>
      <c r="BT202" s="527">
        <f t="shared" si="286"/>
        <v>0</v>
      </c>
      <c r="BU202" s="527">
        <f t="shared" si="286"/>
        <v>0</v>
      </c>
      <c r="BV202" s="527">
        <f t="shared" si="286"/>
        <v>0</v>
      </c>
      <c r="BW202" s="527">
        <f t="shared" si="286"/>
        <v>0</v>
      </c>
      <c r="BX202" s="527">
        <f t="shared" si="286"/>
        <v>0</v>
      </c>
      <c r="BY202" s="527">
        <f t="shared" si="286"/>
        <v>0</v>
      </c>
    </row>
    <row r="203" spans="1:77" x14ac:dyDescent="0.3">
      <c r="A203" s="551"/>
      <c r="B203" s="548"/>
      <c r="C203" s="525"/>
      <c r="D203" s="525"/>
      <c r="E203" s="572" t="s">
        <v>36</v>
      </c>
      <c r="F203" s="572"/>
      <c r="G203" s="572"/>
      <c r="H203" s="572"/>
      <c r="I203" s="572"/>
      <c r="J203" s="572"/>
      <c r="K203" s="572"/>
      <c r="L203" s="572"/>
      <c r="M203" s="572"/>
      <c r="N203" s="572"/>
      <c r="O203" s="572"/>
      <c r="P203" s="612"/>
      <c r="Q203" s="572"/>
      <c r="R203" s="532">
        <f t="shared" ref="R203:AW203" si="287">SUM(R197:R202)</f>
        <v>0</v>
      </c>
      <c r="S203" s="532">
        <f t="shared" si="287"/>
        <v>0</v>
      </c>
      <c r="T203" s="532">
        <f t="shared" si="287"/>
        <v>0</v>
      </c>
      <c r="U203" s="532">
        <f t="shared" si="287"/>
        <v>0</v>
      </c>
      <c r="V203" s="532">
        <f t="shared" si="287"/>
        <v>0</v>
      </c>
      <c r="W203" s="532">
        <f t="shared" si="287"/>
        <v>0</v>
      </c>
      <c r="X203" s="532">
        <f t="shared" si="287"/>
        <v>3333.6890284366555</v>
      </c>
      <c r="Y203" s="532">
        <f t="shared" si="287"/>
        <v>3333.6890284366555</v>
      </c>
      <c r="Z203" s="532">
        <f t="shared" si="287"/>
        <v>3333.6890284366555</v>
      </c>
      <c r="AA203" s="532">
        <f t="shared" si="287"/>
        <v>3333.6890284366555</v>
      </c>
      <c r="AB203" s="532">
        <f t="shared" si="287"/>
        <v>3333.6890284366555</v>
      </c>
      <c r="AC203" s="532">
        <f t="shared" si="287"/>
        <v>3333.6890284366555</v>
      </c>
      <c r="AD203" s="532">
        <f t="shared" si="287"/>
        <v>2602.6439422201202</v>
      </c>
      <c r="AE203" s="532">
        <f t="shared" si="287"/>
        <v>2602.6439422201202</v>
      </c>
      <c r="AF203" s="532">
        <f t="shared" si="287"/>
        <v>2602.6439422201202</v>
      </c>
      <c r="AG203" s="532">
        <f t="shared" si="287"/>
        <v>2602.6439422201202</v>
      </c>
      <c r="AH203" s="532">
        <f t="shared" si="287"/>
        <v>2602.6439422201202</v>
      </c>
      <c r="AI203" s="532">
        <f t="shared" si="287"/>
        <v>2602.6439422201202</v>
      </c>
      <c r="AJ203" s="532">
        <f t="shared" si="287"/>
        <v>6890.2628173294424</v>
      </c>
      <c r="AK203" s="532">
        <f t="shared" si="287"/>
        <v>6890.2628173294424</v>
      </c>
      <c r="AL203" s="532">
        <f t="shared" si="287"/>
        <v>6890.2628173294424</v>
      </c>
      <c r="AM203" s="532">
        <f t="shared" si="287"/>
        <v>6890.2628173294424</v>
      </c>
      <c r="AN203" s="532">
        <f t="shared" si="287"/>
        <v>6890.2628173294424</v>
      </c>
      <c r="AO203" s="532">
        <f t="shared" si="287"/>
        <v>6890.2628173294424</v>
      </c>
      <c r="AP203" s="532">
        <f t="shared" si="287"/>
        <v>5443.0163854120874</v>
      </c>
      <c r="AQ203" s="532">
        <f t="shared" si="287"/>
        <v>5443.0163854120874</v>
      </c>
      <c r="AR203" s="532">
        <f t="shared" si="287"/>
        <v>5443.0163854120874</v>
      </c>
      <c r="AS203" s="532">
        <f t="shared" si="287"/>
        <v>5443.0163854120874</v>
      </c>
      <c r="AT203" s="532">
        <f t="shared" si="287"/>
        <v>5443.0163854120874</v>
      </c>
      <c r="AU203" s="532">
        <f t="shared" si="287"/>
        <v>5443.0163854120874</v>
      </c>
      <c r="AV203" s="532">
        <f t="shared" si="287"/>
        <v>10748.445870198851</v>
      </c>
      <c r="AW203" s="532">
        <f t="shared" si="287"/>
        <v>10748.445870198851</v>
      </c>
      <c r="AX203" s="532">
        <f t="shared" ref="AX203:BY203" si="288">SUM(AX197:AX202)</f>
        <v>10748.445870198851</v>
      </c>
      <c r="AY203" s="532">
        <f t="shared" si="288"/>
        <v>10748.445870198851</v>
      </c>
      <c r="AZ203" s="532">
        <f t="shared" si="288"/>
        <v>10748.445870198851</v>
      </c>
      <c r="BA203" s="532">
        <f t="shared" si="288"/>
        <v>10748.445870198851</v>
      </c>
      <c r="BB203" s="532">
        <f t="shared" si="288"/>
        <v>8701.2739152324502</v>
      </c>
      <c r="BC203" s="532">
        <f t="shared" si="288"/>
        <v>8701.2739152324502</v>
      </c>
      <c r="BD203" s="532">
        <f t="shared" si="288"/>
        <v>8701.2739152324502</v>
      </c>
      <c r="BE203" s="532">
        <f t="shared" si="288"/>
        <v>8701.2739152324502</v>
      </c>
      <c r="BF203" s="532">
        <f t="shared" si="288"/>
        <v>8701.2739152324502</v>
      </c>
      <c r="BG203" s="532">
        <f t="shared" si="288"/>
        <v>8701.2739152324502</v>
      </c>
      <c r="BH203" s="532">
        <f t="shared" si="288"/>
        <v>15089.690716545607</v>
      </c>
      <c r="BI203" s="532">
        <f t="shared" si="288"/>
        <v>15089.690716545607</v>
      </c>
      <c r="BJ203" s="532">
        <f t="shared" si="288"/>
        <v>15089.690716545607</v>
      </c>
      <c r="BK203" s="532">
        <f t="shared" si="288"/>
        <v>15089.690716545607</v>
      </c>
      <c r="BL203" s="532">
        <f t="shared" si="288"/>
        <v>15089.690716545607</v>
      </c>
      <c r="BM203" s="532">
        <f t="shared" si="288"/>
        <v>15089.690716545607</v>
      </c>
      <c r="BN203" s="532">
        <f t="shared" si="288"/>
        <v>12376.946747722108</v>
      </c>
      <c r="BO203" s="532">
        <f t="shared" si="288"/>
        <v>12376.946747722108</v>
      </c>
      <c r="BP203" s="532">
        <f t="shared" si="288"/>
        <v>12376.946747722108</v>
      </c>
      <c r="BQ203" s="532">
        <f t="shared" si="288"/>
        <v>12376.946747722108</v>
      </c>
      <c r="BR203" s="532">
        <f t="shared" si="288"/>
        <v>12376.946747722108</v>
      </c>
      <c r="BS203" s="532">
        <f t="shared" si="288"/>
        <v>12376.946747722108</v>
      </c>
      <c r="BT203" s="532">
        <f t="shared" si="288"/>
        <v>19916.319794654202</v>
      </c>
      <c r="BU203" s="532">
        <f t="shared" si="288"/>
        <v>19916.319794654202</v>
      </c>
      <c r="BV203" s="532">
        <f t="shared" si="288"/>
        <v>19916.319794654202</v>
      </c>
      <c r="BW203" s="532">
        <f t="shared" si="288"/>
        <v>19916.319794654202</v>
      </c>
      <c r="BX203" s="532">
        <f t="shared" si="288"/>
        <v>19916.319794654202</v>
      </c>
      <c r="BY203" s="532">
        <f t="shared" si="288"/>
        <v>19916.319794654202</v>
      </c>
    </row>
    <row r="204" spans="1:77" x14ac:dyDescent="0.3">
      <c r="A204" s="551"/>
      <c r="B204" s="548"/>
      <c r="C204" s="525"/>
      <c r="D204" s="525"/>
      <c r="E204" s="525"/>
      <c r="F204" s="525"/>
      <c r="G204" s="525"/>
      <c r="H204" s="525"/>
      <c r="I204" s="525"/>
      <c r="J204" s="525"/>
      <c r="K204" s="525"/>
      <c r="L204" s="525"/>
      <c r="M204" s="525"/>
      <c r="N204" s="525"/>
      <c r="O204" s="525"/>
      <c r="P204" s="565"/>
      <c r="Q204" s="525"/>
      <c r="R204" s="525"/>
      <c r="S204" s="525"/>
      <c r="T204" s="525"/>
      <c r="U204" s="525"/>
      <c r="V204" s="525"/>
      <c r="W204" s="525"/>
      <c r="X204" s="525"/>
      <c r="Y204" s="525"/>
      <c r="Z204" s="525"/>
      <c r="AA204" s="525"/>
      <c r="AB204" s="525"/>
      <c r="AC204" s="525"/>
      <c r="AD204" s="525"/>
      <c r="AE204" s="525"/>
      <c r="AF204" s="525"/>
      <c r="AG204" s="525"/>
      <c r="AH204" s="525"/>
      <c r="AI204" s="525"/>
      <c r="AJ204" s="525"/>
      <c r="AK204" s="525"/>
      <c r="AL204" s="525"/>
      <c r="AM204" s="525"/>
      <c r="AN204" s="525"/>
      <c r="AO204" s="525"/>
      <c r="AP204" s="525"/>
      <c r="AQ204" s="525"/>
      <c r="AR204" s="525"/>
      <c r="AS204" s="525"/>
      <c r="AT204" s="525"/>
      <c r="AU204" s="525"/>
      <c r="AV204" s="525"/>
      <c r="AW204" s="525"/>
      <c r="AX204" s="525"/>
      <c r="AY204" s="525"/>
      <c r="AZ204" s="525"/>
      <c r="BA204" s="525"/>
      <c r="BB204" s="525"/>
      <c r="BC204" s="525"/>
      <c r="BD204" s="525"/>
      <c r="BE204" s="525"/>
      <c r="BF204" s="525"/>
      <c r="BG204" s="525"/>
      <c r="BH204" s="525"/>
      <c r="BI204" s="525"/>
      <c r="BJ204" s="525"/>
      <c r="BK204" s="525"/>
      <c r="BL204" s="525"/>
      <c r="BM204" s="525"/>
      <c r="BN204" s="525"/>
      <c r="BO204" s="525"/>
      <c r="BP204" s="525"/>
      <c r="BQ204" s="525"/>
      <c r="BR204" s="525"/>
      <c r="BS204" s="525"/>
      <c r="BT204" s="525"/>
      <c r="BU204" s="525"/>
      <c r="BV204" s="525"/>
      <c r="BW204" s="525"/>
      <c r="BX204" s="525"/>
      <c r="BY204" s="525"/>
    </row>
    <row r="205" spans="1:77" x14ac:dyDescent="0.3">
      <c r="A205" s="551"/>
      <c r="B205" s="548"/>
      <c r="C205" s="525"/>
      <c r="D205" s="525"/>
      <c r="E205" s="617" t="str">
        <f>"BCF net comm. uplift due to capex: "&amp;E$155</f>
        <v>BCF net comm. uplift due to capex: FY27 Tranche</v>
      </c>
      <c r="F205" s="525"/>
      <c r="G205" s="525"/>
      <c r="H205" s="525"/>
      <c r="I205" s="525"/>
      <c r="J205" s="525"/>
      <c r="K205" s="525"/>
      <c r="L205" s="525"/>
      <c r="M205" s="525"/>
      <c r="N205" s="525"/>
      <c r="O205" s="525"/>
      <c r="P205" s="565"/>
      <c r="Q205" s="525"/>
      <c r="R205" s="527">
        <f t="shared" ref="R205:AW205" si="289">IFERROR(R197*(R$581/SUM(R$581,R$590)),0)</f>
        <v>0</v>
      </c>
      <c r="S205" s="527">
        <f t="shared" si="289"/>
        <v>0</v>
      </c>
      <c r="T205" s="527">
        <f t="shared" si="289"/>
        <v>0</v>
      </c>
      <c r="U205" s="527">
        <f t="shared" si="289"/>
        <v>0</v>
      </c>
      <c r="V205" s="527">
        <f t="shared" si="289"/>
        <v>0</v>
      </c>
      <c r="W205" s="527">
        <f t="shared" si="289"/>
        <v>0</v>
      </c>
      <c r="X205" s="527">
        <f t="shared" si="289"/>
        <v>3234.0061437553759</v>
      </c>
      <c r="Y205" s="527">
        <f t="shared" si="289"/>
        <v>3234.0061437553759</v>
      </c>
      <c r="Z205" s="527">
        <f t="shared" si="289"/>
        <v>3234.0061437553759</v>
      </c>
      <c r="AA205" s="527">
        <f t="shared" si="289"/>
        <v>3234.0061437553759</v>
      </c>
      <c r="AB205" s="527">
        <f t="shared" si="289"/>
        <v>3234.0061437553759</v>
      </c>
      <c r="AC205" s="527">
        <f t="shared" si="289"/>
        <v>3234.0061437553759</v>
      </c>
      <c r="AD205" s="527">
        <f t="shared" si="289"/>
        <v>2528.775657785382</v>
      </c>
      <c r="AE205" s="527">
        <f t="shared" si="289"/>
        <v>2528.775657785382</v>
      </c>
      <c r="AF205" s="527">
        <f t="shared" si="289"/>
        <v>2528.775657785382</v>
      </c>
      <c r="AG205" s="527">
        <f t="shared" si="289"/>
        <v>2528.775657785382</v>
      </c>
      <c r="AH205" s="527">
        <f t="shared" si="289"/>
        <v>2528.775657785382</v>
      </c>
      <c r="AI205" s="527">
        <f t="shared" si="289"/>
        <v>2528.775657785382</v>
      </c>
      <c r="AJ205" s="527">
        <f t="shared" si="289"/>
        <v>3377.7320117144345</v>
      </c>
      <c r="AK205" s="527">
        <f t="shared" si="289"/>
        <v>3377.7320117144345</v>
      </c>
      <c r="AL205" s="527">
        <f t="shared" si="289"/>
        <v>3377.7320117144345</v>
      </c>
      <c r="AM205" s="527">
        <f t="shared" si="289"/>
        <v>3377.7320117144345</v>
      </c>
      <c r="AN205" s="527">
        <f t="shared" si="289"/>
        <v>3377.7320117144345</v>
      </c>
      <c r="AO205" s="527">
        <f t="shared" si="289"/>
        <v>3377.7320117144345</v>
      </c>
      <c r="AP205" s="527">
        <f t="shared" si="289"/>
        <v>2678.4182705196604</v>
      </c>
      <c r="AQ205" s="527">
        <f t="shared" si="289"/>
        <v>2678.4182705196604</v>
      </c>
      <c r="AR205" s="527">
        <f t="shared" si="289"/>
        <v>2678.4182705196604</v>
      </c>
      <c r="AS205" s="527">
        <f t="shared" si="289"/>
        <v>2678.4182705196604</v>
      </c>
      <c r="AT205" s="527">
        <f t="shared" si="289"/>
        <v>2678.4182705196604</v>
      </c>
      <c r="AU205" s="527">
        <f t="shared" si="289"/>
        <v>2678.4182705196604</v>
      </c>
      <c r="AV205" s="527">
        <f t="shared" si="289"/>
        <v>3562.5778993083304</v>
      </c>
      <c r="AW205" s="527">
        <f t="shared" si="289"/>
        <v>3562.5778993083304</v>
      </c>
      <c r="AX205" s="527">
        <f t="shared" ref="AX205:BY205" si="290">IFERROR(AX197*(AX$581/SUM(AX$581,AX$590)),0)</f>
        <v>3562.5778993083304</v>
      </c>
      <c r="AY205" s="527">
        <f t="shared" si="290"/>
        <v>3562.5778993083304</v>
      </c>
      <c r="AZ205" s="527">
        <f t="shared" si="290"/>
        <v>3562.5778993083304</v>
      </c>
      <c r="BA205" s="527">
        <f t="shared" si="290"/>
        <v>3562.5778993083304</v>
      </c>
      <c r="BB205" s="527">
        <f t="shared" si="290"/>
        <v>2902.2908063034797</v>
      </c>
      <c r="BC205" s="527">
        <f t="shared" si="290"/>
        <v>2902.2908063034797</v>
      </c>
      <c r="BD205" s="527">
        <f t="shared" si="290"/>
        <v>2902.2908063034797</v>
      </c>
      <c r="BE205" s="527">
        <f t="shared" si="290"/>
        <v>2902.2908063034797</v>
      </c>
      <c r="BF205" s="527">
        <f t="shared" si="290"/>
        <v>2902.2908063034797</v>
      </c>
      <c r="BG205" s="527">
        <f t="shared" si="290"/>
        <v>2902.2908063034797</v>
      </c>
      <c r="BH205" s="527">
        <f t="shared" si="290"/>
        <v>3822.9813299568641</v>
      </c>
      <c r="BI205" s="527">
        <f t="shared" si="290"/>
        <v>3822.9813299568641</v>
      </c>
      <c r="BJ205" s="527">
        <f t="shared" si="290"/>
        <v>3822.9813299568641</v>
      </c>
      <c r="BK205" s="527">
        <f t="shared" si="290"/>
        <v>3822.9813299568641</v>
      </c>
      <c r="BL205" s="527">
        <f t="shared" si="290"/>
        <v>3822.9813299568641</v>
      </c>
      <c r="BM205" s="527">
        <f t="shared" si="290"/>
        <v>3822.9813299568641</v>
      </c>
      <c r="BN205" s="527">
        <f t="shared" si="290"/>
        <v>3166.0593010308285</v>
      </c>
      <c r="BO205" s="527">
        <f t="shared" si="290"/>
        <v>3166.0593010308285</v>
      </c>
      <c r="BP205" s="527">
        <f t="shared" si="290"/>
        <v>3166.0593010308285</v>
      </c>
      <c r="BQ205" s="527">
        <f t="shared" si="290"/>
        <v>3166.0593010308285</v>
      </c>
      <c r="BR205" s="527">
        <f t="shared" si="290"/>
        <v>3166.0593010308285</v>
      </c>
      <c r="BS205" s="527">
        <f t="shared" si="290"/>
        <v>3166.0593010308285</v>
      </c>
      <c r="BT205" s="527">
        <f t="shared" si="290"/>
        <v>4124.7221673474605</v>
      </c>
      <c r="BU205" s="527">
        <f t="shared" si="290"/>
        <v>4124.7221673474605</v>
      </c>
      <c r="BV205" s="527">
        <f t="shared" si="290"/>
        <v>4124.7221673474605</v>
      </c>
      <c r="BW205" s="527">
        <f t="shared" si="290"/>
        <v>4124.7221673474605</v>
      </c>
      <c r="BX205" s="527">
        <f t="shared" si="290"/>
        <v>4124.7221673474605</v>
      </c>
      <c r="BY205" s="527">
        <f t="shared" si="290"/>
        <v>4124.7221673474605</v>
      </c>
    </row>
    <row r="206" spans="1:77" x14ac:dyDescent="0.3">
      <c r="A206" s="551"/>
      <c r="B206" s="548"/>
      <c r="C206" s="525"/>
      <c r="D206" s="525"/>
      <c r="E206" s="617" t="str">
        <f>"BCF net comm. uplift due to capex: "&amp;E$156</f>
        <v>BCF net comm. uplift due to capex: FY28 Tranche</v>
      </c>
      <c r="F206" s="525"/>
      <c r="G206" s="525"/>
      <c r="H206" s="525"/>
      <c r="I206" s="525"/>
      <c r="J206" s="525"/>
      <c r="K206" s="525"/>
      <c r="L206" s="525"/>
      <c r="M206" s="525"/>
      <c r="N206" s="525"/>
      <c r="O206" s="525"/>
      <c r="P206" s="565"/>
      <c r="Q206" s="525"/>
      <c r="R206" s="527">
        <f t="shared" ref="R206:AW206" si="291">IFERROR(R198*(R$581/SUM(R$581,R$590)),0)</f>
        <v>0</v>
      </c>
      <c r="S206" s="527">
        <f t="shared" si="291"/>
        <v>0</v>
      </c>
      <c r="T206" s="527">
        <f t="shared" si="291"/>
        <v>0</v>
      </c>
      <c r="U206" s="527">
        <f t="shared" si="291"/>
        <v>0</v>
      </c>
      <c r="V206" s="527">
        <f t="shared" si="291"/>
        <v>0</v>
      </c>
      <c r="W206" s="527">
        <f t="shared" si="291"/>
        <v>0</v>
      </c>
      <c r="X206" s="527">
        <f t="shared" si="291"/>
        <v>0</v>
      </c>
      <c r="Y206" s="527">
        <f t="shared" si="291"/>
        <v>0</v>
      </c>
      <c r="Z206" s="527">
        <f t="shared" si="291"/>
        <v>0</v>
      </c>
      <c r="AA206" s="527">
        <f t="shared" si="291"/>
        <v>0</v>
      </c>
      <c r="AB206" s="527">
        <f t="shared" si="291"/>
        <v>0</v>
      </c>
      <c r="AC206" s="527">
        <f t="shared" si="291"/>
        <v>0</v>
      </c>
      <c r="AD206" s="527">
        <f t="shared" si="291"/>
        <v>0</v>
      </c>
      <c r="AE206" s="527">
        <f t="shared" si="291"/>
        <v>0</v>
      </c>
      <c r="AF206" s="527">
        <f t="shared" si="291"/>
        <v>0</v>
      </c>
      <c r="AG206" s="527">
        <f t="shared" si="291"/>
        <v>0</v>
      </c>
      <c r="AH206" s="527">
        <f t="shared" si="291"/>
        <v>0</v>
      </c>
      <c r="AI206" s="527">
        <f t="shared" si="291"/>
        <v>0</v>
      </c>
      <c r="AJ206" s="527">
        <f t="shared" si="291"/>
        <v>3316.9712496711304</v>
      </c>
      <c r="AK206" s="527">
        <f t="shared" si="291"/>
        <v>3316.9712496711304</v>
      </c>
      <c r="AL206" s="527">
        <f t="shared" si="291"/>
        <v>3316.9712496711304</v>
      </c>
      <c r="AM206" s="527">
        <f t="shared" si="291"/>
        <v>3316.9712496711304</v>
      </c>
      <c r="AN206" s="527">
        <f t="shared" si="291"/>
        <v>3316.9712496711304</v>
      </c>
      <c r="AO206" s="527">
        <f t="shared" si="291"/>
        <v>3316.9712496711304</v>
      </c>
      <c r="AP206" s="527">
        <f t="shared" si="291"/>
        <v>2617.5718281558043</v>
      </c>
      <c r="AQ206" s="527">
        <f t="shared" si="291"/>
        <v>2617.5718281558043</v>
      </c>
      <c r="AR206" s="527">
        <f t="shared" si="291"/>
        <v>2617.5718281558043</v>
      </c>
      <c r="AS206" s="527">
        <f t="shared" si="291"/>
        <v>2617.5718281558043</v>
      </c>
      <c r="AT206" s="527">
        <f t="shared" si="291"/>
        <v>2617.5718281558043</v>
      </c>
      <c r="AU206" s="527">
        <f t="shared" si="291"/>
        <v>2617.5718281558043</v>
      </c>
      <c r="AV206" s="527">
        <f t="shared" si="291"/>
        <v>3499.2975992499209</v>
      </c>
      <c r="AW206" s="527">
        <f t="shared" si="291"/>
        <v>3499.2975992499209</v>
      </c>
      <c r="AX206" s="527">
        <f t="shared" ref="AX206:BY206" si="292">IFERROR(AX198*(AX$581/SUM(AX$581,AX$590)),0)</f>
        <v>3499.2975992499209</v>
      </c>
      <c r="AY206" s="527">
        <f t="shared" si="292"/>
        <v>3499.2975992499209</v>
      </c>
      <c r="AZ206" s="527">
        <f t="shared" si="292"/>
        <v>3499.2975992499209</v>
      </c>
      <c r="BA206" s="527">
        <f t="shared" si="292"/>
        <v>3499.2975992499209</v>
      </c>
      <c r="BB206" s="527">
        <f t="shared" si="292"/>
        <v>2838.9303665611969</v>
      </c>
      <c r="BC206" s="527">
        <f t="shared" si="292"/>
        <v>2838.9303665611969</v>
      </c>
      <c r="BD206" s="527">
        <f t="shared" si="292"/>
        <v>2838.9303665611969</v>
      </c>
      <c r="BE206" s="527">
        <f t="shared" si="292"/>
        <v>2838.9303665611969</v>
      </c>
      <c r="BF206" s="527">
        <f t="shared" si="292"/>
        <v>2838.9303665611969</v>
      </c>
      <c r="BG206" s="527">
        <f t="shared" si="292"/>
        <v>2838.9303665611969</v>
      </c>
      <c r="BH206" s="527">
        <f t="shared" si="292"/>
        <v>3757.0864726248888</v>
      </c>
      <c r="BI206" s="527">
        <f t="shared" si="292"/>
        <v>3757.0864726248888</v>
      </c>
      <c r="BJ206" s="527">
        <f t="shared" si="292"/>
        <v>3757.0864726248888</v>
      </c>
      <c r="BK206" s="527">
        <f t="shared" si="292"/>
        <v>3757.0864726248888</v>
      </c>
      <c r="BL206" s="527">
        <f t="shared" si="292"/>
        <v>3757.0864726248888</v>
      </c>
      <c r="BM206" s="527">
        <f t="shared" si="292"/>
        <v>3757.0864726248888</v>
      </c>
      <c r="BN206" s="527">
        <f t="shared" si="292"/>
        <v>3100.0856657930144</v>
      </c>
      <c r="BO206" s="527">
        <f t="shared" si="292"/>
        <v>3100.0856657930144</v>
      </c>
      <c r="BP206" s="527">
        <f t="shared" si="292"/>
        <v>3100.0856657930144</v>
      </c>
      <c r="BQ206" s="527">
        <f t="shared" si="292"/>
        <v>3100.0856657930144</v>
      </c>
      <c r="BR206" s="527">
        <f t="shared" si="292"/>
        <v>3100.0856657930144</v>
      </c>
      <c r="BS206" s="527">
        <f t="shared" si="292"/>
        <v>3100.0856657930144</v>
      </c>
      <c r="BT206" s="527">
        <f t="shared" si="292"/>
        <v>4056.1095867001368</v>
      </c>
      <c r="BU206" s="527">
        <f t="shared" si="292"/>
        <v>4056.1095867001368</v>
      </c>
      <c r="BV206" s="527">
        <f t="shared" si="292"/>
        <v>4056.1095867001368</v>
      </c>
      <c r="BW206" s="527">
        <f t="shared" si="292"/>
        <v>4056.1095867001368</v>
      </c>
      <c r="BX206" s="527">
        <f t="shared" si="292"/>
        <v>4056.1095867001368</v>
      </c>
      <c r="BY206" s="527">
        <f t="shared" si="292"/>
        <v>4056.1095867001368</v>
      </c>
    </row>
    <row r="207" spans="1:77" x14ac:dyDescent="0.3">
      <c r="A207" s="551"/>
      <c r="B207" s="548"/>
      <c r="C207" s="525"/>
      <c r="D207" s="525"/>
      <c r="E207" s="617" t="str">
        <f>"BCF net comm. uplift due to capex: "&amp;E$157</f>
        <v>BCF net comm. uplift due to capex: FY29 Tranche</v>
      </c>
      <c r="F207" s="525"/>
      <c r="G207" s="525"/>
      <c r="H207" s="525"/>
      <c r="I207" s="525"/>
      <c r="J207" s="525"/>
      <c r="K207" s="525"/>
      <c r="L207" s="525"/>
      <c r="M207" s="525"/>
      <c r="N207" s="525"/>
      <c r="O207" s="525"/>
      <c r="P207" s="565"/>
      <c r="Q207" s="525"/>
      <c r="R207" s="527">
        <f t="shared" ref="R207:AW207" si="293">IFERROR(R199*(R$581/SUM(R$581,R$590)),0)</f>
        <v>0</v>
      </c>
      <c r="S207" s="527">
        <f t="shared" si="293"/>
        <v>0</v>
      </c>
      <c r="T207" s="527">
        <f t="shared" si="293"/>
        <v>0</v>
      </c>
      <c r="U207" s="527">
        <f t="shared" si="293"/>
        <v>0</v>
      </c>
      <c r="V207" s="527">
        <f t="shared" si="293"/>
        <v>0</v>
      </c>
      <c r="W207" s="527">
        <f t="shared" si="293"/>
        <v>0</v>
      </c>
      <c r="X207" s="527">
        <f t="shared" si="293"/>
        <v>0</v>
      </c>
      <c r="Y207" s="527">
        <f t="shared" si="293"/>
        <v>0</v>
      </c>
      <c r="Z207" s="527">
        <f t="shared" si="293"/>
        <v>0</v>
      </c>
      <c r="AA207" s="527">
        <f t="shared" si="293"/>
        <v>0</v>
      </c>
      <c r="AB207" s="527">
        <f t="shared" si="293"/>
        <v>0</v>
      </c>
      <c r="AC207" s="527">
        <f t="shared" si="293"/>
        <v>0</v>
      </c>
      <c r="AD207" s="527">
        <f t="shared" si="293"/>
        <v>0</v>
      </c>
      <c r="AE207" s="527">
        <f t="shared" si="293"/>
        <v>0</v>
      </c>
      <c r="AF207" s="527">
        <f t="shared" si="293"/>
        <v>0</v>
      </c>
      <c r="AG207" s="527">
        <f t="shared" si="293"/>
        <v>0</v>
      </c>
      <c r="AH207" s="527">
        <f t="shared" si="293"/>
        <v>0</v>
      </c>
      <c r="AI207" s="527">
        <f t="shared" si="293"/>
        <v>0</v>
      </c>
      <c r="AJ207" s="527">
        <f t="shared" si="293"/>
        <v>0</v>
      </c>
      <c r="AK207" s="527">
        <f t="shared" si="293"/>
        <v>0</v>
      </c>
      <c r="AL207" s="527">
        <f t="shared" si="293"/>
        <v>0</v>
      </c>
      <c r="AM207" s="527">
        <f t="shared" si="293"/>
        <v>0</v>
      </c>
      <c r="AN207" s="527">
        <f t="shared" si="293"/>
        <v>0</v>
      </c>
      <c r="AO207" s="527">
        <f t="shared" si="293"/>
        <v>0</v>
      </c>
      <c r="AP207" s="527">
        <f t="shared" si="293"/>
        <v>0</v>
      </c>
      <c r="AQ207" s="527">
        <f t="shared" si="293"/>
        <v>0</v>
      </c>
      <c r="AR207" s="527">
        <f t="shared" si="293"/>
        <v>0</v>
      </c>
      <c r="AS207" s="527">
        <f t="shared" si="293"/>
        <v>0</v>
      </c>
      <c r="AT207" s="527">
        <f t="shared" si="293"/>
        <v>0</v>
      </c>
      <c r="AU207" s="527">
        <f t="shared" si="293"/>
        <v>0</v>
      </c>
      <c r="AV207" s="527">
        <f t="shared" si="293"/>
        <v>3396.2342835993586</v>
      </c>
      <c r="AW207" s="527">
        <f t="shared" si="293"/>
        <v>3396.2342835993586</v>
      </c>
      <c r="AX207" s="527">
        <f t="shared" ref="AX207:BY207" si="294">IFERROR(AX199*(AX$581/SUM(AX$581,AX$590)),0)</f>
        <v>3396.2342835993586</v>
      </c>
      <c r="AY207" s="527">
        <f t="shared" si="294"/>
        <v>3396.2342835993586</v>
      </c>
      <c r="AZ207" s="527">
        <f t="shared" si="294"/>
        <v>3396.2342835993586</v>
      </c>
      <c r="BA207" s="527">
        <f t="shared" si="294"/>
        <v>3396.2342835993586</v>
      </c>
      <c r="BB207" s="527">
        <f t="shared" si="294"/>
        <v>2735.7365290653283</v>
      </c>
      <c r="BC207" s="527">
        <f t="shared" si="294"/>
        <v>2735.7365290653283</v>
      </c>
      <c r="BD207" s="527">
        <f t="shared" si="294"/>
        <v>2735.7365290653283</v>
      </c>
      <c r="BE207" s="527">
        <f t="shared" si="294"/>
        <v>2735.7365290653283</v>
      </c>
      <c r="BF207" s="527">
        <f t="shared" si="294"/>
        <v>2735.7365290653283</v>
      </c>
      <c r="BG207" s="527">
        <f t="shared" si="294"/>
        <v>2735.7365290653283</v>
      </c>
      <c r="BH207" s="527">
        <f t="shared" si="294"/>
        <v>3649.7648816291871</v>
      </c>
      <c r="BI207" s="527">
        <f t="shared" si="294"/>
        <v>3649.7648816291871</v>
      </c>
      <c r="BJ207" s="527">
        <f t="shared" si="294"/>
        <v>3649.7648816291871</v>
      </c>
      <c r="BK207" s="527">
        <f t="shared" si="294"/>
        <v>3649.7648816291871</v>
      </c>
      <c r="BL207" s="527">
        <f t="shared" si="294"/>
        <v>3649.7648816291871</v>
      </c>
      <c r="BM207" s="527">
        <f t="shared" si="294"/>
        <v>3649.7648816291871</v>
      </c>
      <c r="BN207" s="527">
        <f t="shared" si="294"/>
        <v>2992.6357708517207</v>
      </c>
      <c r="BO207" s="527">
        <f t="shared" si="294"/>
        <v>2992.6357708517207</v>
      </c>
      <c r="BP207" s="527">
        <f t="shared" si="294"/>
        <v>2992.6357708517207</v>
      </c>
      <c r="BQ207" s="527">
        <f t="shared" si="294"/>
        <v>2992.6357708517207</v>
      </c>
      <c r="BR207" s="527">
        <f t="shared" si="294"/>
        <v>2992.6357708517207</v>
      </c>
      <c r="BS207" s="527">
        <f t="shared" si="294"/>
        <v>2992.6357708517207</v>
      </c>
      <c r="BT207" s="527">
        <f t="shared" si="294"/>
        <v>3944.3616959611936</v>
      </c>
      <c r="BU207" s="527">
        <f t="shared" si="294"/>
        <v>3944.3616959611936</v>
      </c>
      <c r="BV207" s="527">
        <f t="shared" si="294"/>
        <v>3944.3616959611936</v>
      </c>
      <c r="BW207" s="527">
        <f t="shared" si="294"/>
        <v>3944.3616959611936</v>
      </c>
      <c r="BX207" s="527">
        <f t="shared" si="294"/>
        <v>3944.3616959611936</v>
      </c>
      <c r="BY207" s="527">
        <f t="shared" si="294"/>
        <v>3944.3616959611936</v>
      </c>
    </row>
    <row r="208" spans="1:77" x14ac:dyDescent="0.3">
      <c r="A208" s="551"/>
      <c r="B208" s="548"/>
      <c r="C208" s="525"/>
      <c r="D208" s="525"/>
      <c r="E208" s="617" t="str">
        <f>"BCF net comm. uplift due to capex: "&amp;E$158</f>
        <v>BCF net comm. uplift due to capex: FY30 Tranche</v>
      </c>
      <c r="F208" s="525"/>
      <c r="G208" s="525"/>
      <c r="H208" s="525"/>
      <c r="I208" s="525"/>
      <c r="J208" s="525"/>
      <c r="K208" s="525"/>
      <c r="L208" s="525"/>
      <c r="M208" s="525"/>
      <c r="N208" s="525"/>
      <c r="O208" s="525"/>
      <c r="P208" s="565"/>
      <c r="Q208" s="525"/>
      <c r="R208" s="527">
        <f t="shared" ref="R208:AW208" si="295">IFERROR(R200*(R$581/SUM(R$581,R$590)),0)</f>
        <v>0</v>
      </c>
      <c r="S208" s="527">
        <f t="shared" si="295"/>
        <v>0</v>
      </c>
      <c r="T208" s="527">
        <f t="shared" si="295"/>
        <v>0</v>
      </c>
      <c r="U208" s="527">
        <f t="shared" si="295"/>
        <v>0</v>
      </c>
      <c r="V208" s="527">
        <f t="shared" si="295"/>
        <v>0</v>
      </c>
      <c r="W208" s="527">
        <f t="shared" si="295"/>
        <v>0</v>
      </c>
      <c r="X208" s="527">
        <f t="shared" si="295"/>
        <v>0</v>
      </c>
      <c r="Y208" s="527">
        <f t="shared" si="295"/>
        <v>0</v>
      </c>
      <c r="Z208" s="527">
        <f t="shared" si="295"/>
        <v>0</v>
      </c>
      <c r="AA208" s="527">
        <f t="shared" si="295"/>
        <v>0</v>
      </c>
      <c r="AB208" s="527">
        <f t="shared" si="295"/>
        <v>0</v>
      </c>
      <c r="AC208" s="527">
        <f t="shared" si="295"/>
        <v>0</v>
      </c>
      <c r="AD208" s="527">
        <f t="shared" si="295"/>
        <v>0</v>
      </c>
      <c r="AE208" s="527">
        <f t="shared" si="295"/>
        <v>0</v>
      </c>
      <c r="AF208" s="527">
        <f t="shared" si="295"/>
        <v>0</v>
      </c>
      <c r="AG208" s="527">
        <f t="shared" si="295"/>
        <v>0</v>
      </c>
      <c r="AH208" s="527">
        <f t="shared" si="295"/>
        <v>0</v>
      </c>
      <c r="AI208" s="527">
        <f t="shared" si="295"/>
        <v>0</v>
      </c>
      <c r="AJ208" s="527">
        <f t="shared" si="295"/>
        <v>0</v>
      </c>
      <c r="AK208" s="527">
        <f t="shared" si="295"/>
        <v>0</v>
      </c>
      <c r="AL208" s="527">
        <f t="shared" si="295"/>
        <v>0</v>
      </c>
      <c r="AM208" s="527">
        <f t="shared" si="295"/>
        <v>0</v>
      </c>
      <c r="AN208" s="527">
        <f t="shared" si="295"/>
        <v>0</v>
      </c>
      <c r="AO208" s="527">
        <f t="shared" si="295"/>
        <v>0</v>
      </c>
      <c r="AP208" s="527">
        <f t="shared" si="295"/>
        <v>0</v>
      </c>
      <c r="AQ208" s="527">
        <f t="shared" si="295"/>
        <v>0</v>
      </c>
      <c r="AR208" s="527">
        <f t="shared" si="295"/>
        <v>0</v>
      </c>
      <c r="AS208" s="527">
        <f t="shared" si="295"/>
        <v>0</v>
      </c>
      <c r="AT208" s="527">
        <f t="shared" si="295"/>
        <v>0</v>
      </c>
      <c r="AU208" s="527">
        <f t="shared" si="295"/>
        <v>0</v>
      </c>
      <c r="AV208" s="527">
        <f t="shared" si="295"/>
        <v>0</v>
      </c>
      <c r="AW208" s="527">
        <f t="shared" si="295"/>
        <v>0</v>
      </c>
      <c r="AX208" s="527">
        <f t="shared" ref="AX208:BY208" si="296">IFERROR(AX200*(AX$581/SUM(AX$581,AX$590)),0)</f>
        <v>0</v>
      </c>
      <c r="AY208" s="527">
        <f t="shared" si="296"/>
        <v>0</v>
      </c>
      <c r="AZ208" s="527">
        <f t="shared" si="296"/>
        <v>0</v>
      </c>
      <c r="BA208" s="527">
        <f t="shared" si="296"/>
        <v>0</v>
      </c>
      <c r="BB208" s="527">
        <f t="shared" si="296"/>
        <v>0</v>
      </c>
      <c r="BC208" s="527">
        <f t="shared" si="296"/>
        <v>0</v>
      </c>
      <c r="BD208" s="527">
        <f t="shared" si="296"/>
        <v>0</v>
      </c>
      <c r="BE208" s="527">
        <f t="shared" si="296"/>
        <v>0</v>
      </c>
      <c r="BF208" s="527">
        <f t="shared" si="296"/>
        <v>0</v>
      </c>
      <c r="BG208" s="527">
        <f t="shared" si="296"/>
        <v>0</v>
      </c>
      <c r="BH208" s="527">
        <f t="shared" si="296"/>
        <v>3470.8503635248094</v>
      </c>
      <c r="BI208" s="527">
        <f t="shared" si="296"/>
        <v>3470.8503635248094</v>
      </c>
      <c r="BJ208" s="527">
        <f t="shared" si="296"/>
        <v>3470.8503635248094</v>
      </c>
      <c r="BK208" s="527">
        <f t="shared" si="296"/>
        <v>3470.8503635248094</v>
      </c>
      <c r="BL208" s="527">
        <f t="shared" si="296"/>
        <v>3470.8503635248094</v>
      </c>
      <c r="BM208" s="527">
        <f t="shared" si="296"/>
        <v>3470.8503635248094</v>
      </c>
      <c r="BN208" s="527">
        <f t="shared" si="296"/>
        <v>2813.5073588012738</v>
      </c>
      <c r="BO208" s="527">
        <f t="shared" si="296"/>
        <v>2813.5073588012738</v>
      </c>
      <c r="BP208" s="527">
        <f t="shared" si="296"/>
        <v>2813.5073588012738</v>
      </c>
      <c r="BQ208" s="527">
        <f t="shared" si="296"/>
        <v>2813.5073588012738</v>
      </c>
      <c r="BR208" s="527">
        <f t="shared" si="296"/>
        <v>2813.5073588012738</v>
      </c>
      <c r="BS208" s="527">
        <f t="shared" si="296"/>
        <v>2813.5073588012738</v>
      </c>
      <c r="BT208" s="527">
        <f t="shared" si="296"/>
        <v>3758.0681474287248</v>
      </c>
      <c r="BU208" s="527">
        <f t="shared" si="296"/>
        <v>3758.0681474287248</v>
      </c>
      <c r="BV208" s="527">
        <f t="shared" si="296"/>
        <v>3758.0681474287248</v>
      </c>
      <c r="BW208" s="527">
        <f t="shared" si="296"/>
        <v>3758.0681474287248</v>
      </c>
      <c r="BX208" s="527">
        <f t="shared" si="296"/>
        <v>3758.0681474287248</v>
      </c>
      <c r="BY208" s="527">
        <f t="shared" si="296"/>
        <v>3758.0681474287248</v>
      </c>
    </row>
    <row r="209" spans="1:77" x14ac:dyDescent="0.3">
      <c r="A209" s="551"/>
      <c r="B209" s="548"/>
      <c r="C209" s="525"/>
      <c r="D209" s="525"/>
      <c r="E209" s="617" t="str">
        <f>"BCF net comm. uplift due to capex: "&amp;E$159</f>
        <v>BCF net comm. uplift due to capex: FY31 Tranche</v>
      </c>
      <c r="F209" s="525"/>
      <c r="G209" s="525"/>
      <c r="H209" s="525"/>
      <c r="I209" s="525"/>
      <c r="J209" s="525"/>
      <c r="K209" s="525"/>
      <c r="L209" s="525"/>
      <c r="M209" s="525"/>
      <c r="N209" s="525"/>
      <c r="O209" s="525"/>
      <c r="P209" s="565"/>
      <c r="Q209" s="525"/>
      <c r="R209" s="527">
        <f t="shared" ref="R209:AW209" si="297">IFERROR(R201*(R$581/SUM(R$581,R$590)),0)</f>
        <v>0</v>
      </c>
      <c r="S209" s="527">
        <f t="shared" si="297"/>
        <v>0</v>
      </c>
      <c r="T209" s="527">
        <f t="shared" si="297"/>
        <v>0</v>
      </c>
      <c r="U209" s="527">
        <f t="shared" si="297"/>
        <v>0</v>
      </c>
      <c r="V209" s="527">
        <f t="shared" si="297"/>
        <v>0</v>
      </c>
      <c r="W209" s="527">
        <f t="shared" si="297"/>
        <v>0</v>
      </c>
      <c r="X209" s="527">
        <f t="shared" si="297"/>
        <v>0</v>
      </c>
      <c r="Y209" s="527">
        <f t="shared" si="297"/>
        <v>0</v>
      </c>
      <c r="Z209" s="527">
        <f t="shared" si="297"/>
        <v>0</v>
      </c>
      <c r="AA209" s="527">
        <f t="shared" si="297"/>
        <v>0</v>
      </c>
      <c r="AB209" s="527">
        <f t="shared" si="297"/>
        <v>0</v>
      </c>
      <c r="AC209" s="527">
        <f t="shared" si="297"/>
        <v>0</v>
      </c>
      <c r="AD209" s="527">
        <f t="shared" si="297"/>
        <v>0</v>
      </c>
      <c r="AE209" s="527">
        <f t="shared" si="297"/>
        <v>0</v>
      </c>
      <c r="AF209" s="527">
        <f t="shared" si="297"/>
        <v>0</v>
      </c>
      <c r="AG209" s="527">
        <f t="shared" si="297"/>
        <v>0</v>
      </c>
      <c r="AH209" s="527">
        <f t="shared" si="297"/>
        <v>0</v>
      </c>
      <c r="AI209" s="527">
        <f t="shared" si="297"/>
        <v>0</v>
      </c>
      <c r="AJ209" s="527">
        <f t="shared" si="297"/>
        <v>0</v>
      </c>
      <c r="AK209" s="527">
        <f t="shared" si="297"/>
        <v>0</v>
      </c>
      <c r="AL209" s="527">
        <f t="shared" si="297"/>
        <v>0</v>
      </c>
      <c r="AM209" s="527">
        <f t="shared" si="297"/>
        <v>0</v>
      </c>
      <c r="AN209" s="527">
        <f t="shared" si="297"/>
        <v>0</v>
      </c>
      <c r="AO209" s="527">
        <f t="shared" si="297"/>
        <v>0</v>
      </c>
      <c r="AP209" s="527">
        <f t="shared" si="297"/>
        <v>0</v>
      </c>
      <c r="AQ209" s="527">
        <f t="shared" si="297"/>
        <v>0</v>
      </c>
      <c r="AR209" s="527">
        <f t="shared" si="297"/>
        <v>0</v>
      </c>
      <c r="AS209" s="527">
        <f t="shared" si="297"/>
        <v>0</v>
      </c>
      <c r="AT209" s="527">
        <f t="shared" si="297"/>
        <v>0</v>
      </c>
      <c r="AU209" s="527">
        <f t="shared" si="297"/>
        <v>0</v>
      </c>
      <c r="AV209" s="527">
        <f t="shared" si="297"/>
        <v>0</v>
      </c>
      <c r="AW209" s="527">
        <f t="shared" si="297"/>
        <v>0</v>
      </c>
      <c r="AX209" s="527">
        <f t="shared" ref="AX209:BY209" si="298">IFERROR(AX201*(AX$581/SUM(AX$581,AX$590)),0)</f>
        <v>0</v>
      </c>
      <c r="AY209" s="527">
        <f t="shared" si="298"/>
        <v>0</v>
      </c>
      <c r="AZ209" s="527">
        <f t="shared" si="298"/>
        <v>0</v>
      </c>
      <c r="BA209" s="527">
        <f t="shared" si="298"/>
        <v>0</v>
      </c>
      <c r="BB209" s="527">
        <f t="shared" si="298"/>
        <v>0</v>
      </c>
      <c r="BC209" s="527">
        <f t="shared" si="298"/>
        <v>0</v>
      </c>
      <c r="BD209" s="527">
        <f t="shared" si="298"/>
        <v>0</v>
      </c>
      <c r="BE209" s="527">
        <f t="shared" si="298"/>
        <v>0</v>
      </c>
      <c r="BF209" s="527">
        <f t="shared" si="298"/>
        <v>0</v>
      </c>
      <c r="BG209" s="527">
        <f t="shared" si="298"/>
        <v>0</v>
      </c>
      <c r="BH209" s="527">
        <f t="shared" si="298"/>
        <v>0</v>
      </c>
      <c r="BI209" s="527">
        <f t="shared" si="298"/>
        <v>0</v>
      </c>
      <c r="BJ209" s="527">
        <f t="shared" si="298"/>
        <v>0</v>
      </c>
      <c r="BK209" s="527">
        <f t="shared" si="298"/>
        <v>0</v>
      </c>
      <c r="BL209" s="527">
        <f t="shared" si="298"/>
        <v>0</v>
      </c>
      <c r="BM209" s="527">
        <f t="shared" si="298"/>
        <v>0</v>
      </c>
      <c r="BN209" s="527">
        <f t="shared" si="298"/>
        <v>0</v>
      </c>
      <c r="BO209" s="527">
        <f t="shared" si="298"/>
        <v>0</v>
      </c>
      <c r="BP209" s="527">
        <f t="shared" si="298"/>
        <v>0</v>
      </c>
      <c r="BQ209" s="527">
        <f t="shared" si="298"/>
        <v>0</v>
      </c>
      <c r="BR209" s="527">
        <f t="shared" si="298"/>
        <v>0</v>
      </c>
      <c r="BS209" s="527">
        <f t="shared" si="298"/>
        <v>0</v>
      </c>
      <c r="BT209" s="527">
        <f t="shared" si="298"/>
        <v>3542.8178132120015</v>
      </c>
      <c r="BU209" s="527">
        <f t="shared" si="298"/>
        <v>3542.8178132120015</v>
      </c>
      <c r="BV209" s="527">
        <f t="shared" si="298"/>
        <v>3542.8178132120015</v>
      </c>
      <c r="BW209" s="527">
        <f t="shared" si="298"/>
        <v>3542.8178132120015</v>
      </c>
      <c r="BX209" s="527">
        <f t="shared" si="298"/>
        <v>3542.8178132120015</v>
      </c>
      <c r="BY209" s="527">
        <f t="shared" si="298"/>
        <v>3542.8178132120015</v>
      </c>
    </row>
    <row r="210" spans="1:77" x14ac:dyDescent="0.3">
      <c r="A210" s="551"/>
      <c r="B210" s="548"/>
      <c r="C210" s="525"/>
      <c r="D210" s="525"/>
      <c r="E210" s="617" t="str">
        <f>"BCF net comm. uplift due to capex: "&amp;E$160</f>
        <v>BCF net comm. uplift due to capex: Uninvested Tranche</v>
      </c>
      <c r="F210" s="525"/>
      <c r="G210" s="525"/>
      <c r="H210" s="525"/>
      <c r="I210" s="525"/>
      <c r="J210" s="525"/>
      <c r="K210" s="525"/>
      <c r="L210" s="525"/>
      <c r="M210" s="525"/>
      <c r="N210" s="525"/>
      <c r="O210" s="525"/>
      <c r="P210" s="565"/>
      <c r="Q210" s="525"/>
      <c r="R210" s="527">
        <f t="shared" ref="R210:AW210" si="299">IFERROR(R202*(R$581/SUM(R$581,R$590)),0)</f>
        <v>0</v>
      </c>
      <c r="S210" s="527">
        <f t="shared" si="299"/>
        <v>0</v>
      </c>
      <c r="T210" s="527">
        <f t="shared" si="299"/>
        <v>0</v>
      </c>
      <c r="U210" s="527">
        <f t="shared" si="299"/>
        <v>0</v>
      </c>
      <c r="V210" s="527">
        <f t="shared" si="299"/>
        <v>0</v>
      </c>
      <c r="W210" s="527">
        <f t="shared" si="299"/>
        <v>0</v>
      </c>
      <c r="X210" s="527">
        <f t="shared" si="299"/>
        <v>0</v>
      </c>
      <c r="Y210" s="527">
        <f t="shared" si="299"/>
        <v>0</v>
      </c>
      <c r="Z210" s="527">
        <f t="shared" si="299"/>
        <v>0</v>
      </c>
      <c r="AA210" s="527">
        <f t="shared" si="299"/>
        <v>0</v>
      </c>
      <c r="AB210" s="527">
        <f t="shared" si="299"/>
        <v>0</v>
      </c>
      <c r="AC210" s="527">
        <f t="shared" si="299"/>
        <v>0</v>
      </c>
      <c r="AD210" s="527">
        <f t="shared" si="299"/>
        <v>0</v>
      </c>
      <c r="AE210" s="527">
        <f t="shared" si="299"/>
        <v>0</v>
      </c>
      <c r="AF210" s="527">
        <f t="shared" si="299"/>
        <v>0</v>
      </c>
      <c r="AG210" s="527">
        <f t="shared" si="299"/>
        <v>0</v>
      </c>
      <c r="AH210" s="527">
        <f t="shared" si="299"/>
        <v>0</v>
      </c>
      <c r="AI210" s="527">
        <f t="shared" si="299"/>
        <v>0</v>
      </c>
      <c r="AJ210" s="527">
        <f t="shared" si="299"/>
        <v>0</v>
      </c>
      <c r="AK210" s="527">
        <f t="shared" si="299"/>
        <v>0</v>
      </c>
      <c r="AL210" s="527">
        <f t="shared" si="299"/>
        <v>0</v>
      </c>
      <c r="AM210" s="527">
        <f t="shared" si="299"/>
        <v>0</v>
      </c>
      <c r="AN210" s="527">
        <f t="shared" si="299"/>
        <v>0</v>
      </c>
      <c r="AO210" s="527">
        <f t="shared" si="299"/>
        <v>0</v>
      </c>
      <c r="AP210" s="527">
        <f t="shared" si="299"/>
        <v>0</v>
      </c>
      <c r="AQ210" s="527">
        <f t="shared" si="299"/>
        <v>0</v>
      </c>
      <c r="AR210" s="527">
        <f t="shared" si="299"/>
        <v>0</v>
      </c>
      <c r="AS210" s="527">
        <f t="shared" si="299"/>
        <v>0</v>
      </c>
      <c r="AT210" s="527">
        <f t="shared" si="299"/>
        <v>0</v>
      </c>
      <c r="AU210" s="527">
        <f t="shared" si="299"/>
        <v>0</v>
      </c>
      <c r="AV210" s="527">
        <f t="shared" si="299"/>
        <v>0</v>
      </c>
      <c r="AW210" s="527">
        <f t="shared" si="299"/>
        <v>0</v>
      </c>
      <c r="AX210" s="527">
        <f t="shared" ref="AX210:BY210" si="300">IFERROR(AX202*(AX$581/SUM(AX$581,AX$590)),0)</f>
        <v>0</v>
      </c>
      <c r="AY210" s="527">
        <f t="shared" si="300"/>
        <v>0</v>
      </c>
      <c r="AZ210" s="527">
        <f t="shared" si="300"/>
        <v>0</v>
      </c>
      <c r="BA210" s="527">
        <f t="shared" si="300"/>
        <v>0</v>
      </c>
      <c r="BB210" s="527">
        <f t="shared" si="300"/>
        <v>0</v>
      </c>
      <c r="BC210" s="527">
        <f t="shared" si="300"/>
        <v>0</v>
      </c>
      <c r="BD210" s="527">
        <f t="shared" si="300"/>
        <v>0</v>
      </c>
      <c r="BE210" s="527">
        <f t="shared" si="300"/>
        <v>0</v>
      </c>
      <c r="BF210" s="527">
        <f t="shared" si="300"/>
        <v>0</v>
      </c>
      <c r="BG210" s="527">
        <f t="shared" si="300"/>
        <v>0</v>
      </c>
      <c r="BH210" s="527">
        <f t="shared" si="300"/>
        <v>0</v>
      </c>
      <c r="BI210" s="527">
        <f t="shared" si="300"/>
        <v>0</v>
      </c>
      <c r="BJ210" s="527">
        <f t="shared" si="300"/>
        <v>0</v>
      </c>
      <c r="BK210" s="527">
        <f t="shared" si="300"/>
        <v>0</v>
      </c>
      <c r="BL210" s="527">
        <f t="shared" si="300"/>
        <v>0</v>
      </c>
      <c r="BM210" s="527">
        <f t="shared" si="300"/>
        <v>0</v>
      </c>
      <c r="BN210" s="527">
        <f t="shared" si="300"/>
        <v>0</v>
      </c>
      <c r="BO210" s="527">
        <f t="shared" si="300"/>
        <v>0</v>
      </c>
      <c r="BP210" s="527">
        <f t="shared" si="300"/>
        <v>0</v>
      </c>
      <c r="BQ210" s="527">
        <f t="shared" si="300"/>
        <v>0</v>
      </c>
      <c r="BR210" s="527">
        <f t="shared" si="300"/>
        <v>0</v>
      </c>
      <c r="BS210" s="527">
        <f t="shared" si="300"/>
        <v>0</v>
      </c>
      <c r="BT210" s="527">
        <f t="shared" si="300"/>
        <v>0</v>
      </c>
      <c r="BU210" s="527">
        <f t="shared" si="300"/>
        <v>0</v>
      </c>
      <c r="BV210" s="527">
        <f t="shared" si="300"/>
        <v>0</v>
      </c>
      <c r="BW210" s="527">
        <f t="shared" si="300"/>
        <v>0</v>
      </c>
      <c r="BX210" s="527">
        <f t="shared" si="300"/>
        <v>0</v>
      </c>
      <c r="BY210" s="527">
        <f t="shared" si="300"/>
        <v>0</v>
      </c>
    </row>
    <row r="211" spans="1:77" x14ac:dyDescent="0.3">
      <c r="A211" s="551"/>
      <c r="B211" s="548"/>
      <c r="C211" s="525"/>
      <c r="D211" s="525"/>
      <c r="E211" s="572" t="s">
        <v>36</v>
      </c>
      <c r="F211" s="572"/>
      <c r="G211" s="572"/>
      <c r="H211" s="572"/>
      <c r="I211" s="572"/>
      <c r="J211" s="572"/>
      <c r="K211" s="572"/>
      <c r="L211" s="572"/>
      <c r="M211" s="572"/>
      <c r="N211" s="572"/>
      <c r="O211" s="572"/>
      <c r="P211" s="612"/>
      <c r="Q211" s="572"/>
      <c r="R211" s="532">
        <f t="shared" ref="R211:AW211" si="301">SUM(R205:R210)</f>
        <v>0</v>
      </c>
      <c r="S211" s="532">
        <f t="shared" si="301"/>
        <v>0</v>
      </c>
      <c r="T211" s="532">
        <f t="shared" si="301"/>
        <v>0</v>
      </c>
      <c r="U211" s="532">
        <f t="shared" si="301"/>
        <v>0</v>
      </c>
      <c r="V211" s="532">
        <f t="shared" si="301"/>
        <v>0</v>
      </c>
      <c r="W211" s="532">
        <f t="shared" si="301"/>
        <v>0</v>
      </c>
      <c r="X211" s="532">
        <f t="shared" si="301"/>
        <v>3234.0061437553759</v>
      </c>
      <c r="Y211" s="532">
        <f t="shared" si="301"/>
        <v>3234.0061437553759</v>
      </c>
      <c r="Z211" s="532">
        <f t="shared" si="301"/>
        <v>3234.0061437553759</v>
      </c>
      <c r="AA211" s="532">
        <f t="shared" si="301"/>
        <v>3234.0061437553759</v>
      </c>
      <c r="AB211" s="532">
        <f t="shared" si="301"/>
        <v>3234.0061437553759</v>
      </c>
      <c r="AC211" s="532">
        <f t="shared" si="301"/>
        <v>3234.0061437553759</v>
      </c>
      <c r="AD211" s="532">
        <f t="shared" si="301"/>
        <v>2528.775657785382</v>
      </c>
      <c r="AE211" s="532">
        <f t="shared" si="301"/>
        <v>2528.775657785382</v>
      </c>
      <c r="AF211" s="532">
        <f t="shared" si="301"/>
        <v>2528.775657785382</v>
      </c>
      <c r="AG211" s="532">
        <f t="shared" si="301"/>
        <v>2528.775657785382</v>
      </c>
      <c r="AH211" s="532">
        <f t="shared" si="301"/>
        <v>2528.775657785382</v>
      </c>
      <c r="AI211" s="532">
        <f t="shared" si="301"/>
        <v>2528.775657785382</v>
      </c>
      <c r="AJ211" s="532">
        <f t="shared" si="301"/>
        <v>6694.7032613855645</v>
      </c>
      <c r="AK211" s="532">
        <f t="shared" si="301"/>
        <v>6694.7032613855645</v>
      </c>
      <c r="AL211" s="532">
        <f t="shared" si="301"/>
        <v>6694.7032613855645</v>
      </c>
      <c r="AM211" s="532">
        <f t="shared" si="301"/>
        <v>6694.7032613855645</v>
      </c>
      <c r="AN211" s="532">
        <f t="shared" si="301"/>
        <v>6694.7032613855645</v>
      </c>
      <c r="AO211" s="532">
        <f t="shared" si="301"/>
        <v>6694.7032613855645</v>
      </c>
      <c r="AP211" s="532">
        <f t="shared" si="301"/>
        <v>5295.9900986754647</v>
      </c>
      <c r="AQ211" s="532">
        <f t="shared" si="301"/>
        <v>5295.9900986754647</v>
      </c>
      <c r="AR211" s="532">
        <f t="shared" si="301"/>
        <v>5295.9900986754647</v>
      </c>
      <c r="AS211" s="532">
        <f t="shared" si="301"/>
        <v>5295.9900986754647</v>
      </c>
      <c r="AT211" s="532">
        <f t="shared" si="301"/>
        <v>5295.9900986754647</v>
      </c>
      <c r="AU211" s="532">
        <f t="shared" si="301"/>
        <v>5295.9900986754647</v>
      </c>
      <c r="AV211" s="532">
        <f t="shared" si="301"/>
        <v>10458.10978215761</v>
      </c>
      <c r="AW211" s="532">
        <f t="shared" si="301"/>
        <v>10458.10978215761</v>
      </c>
      <c r="AX211" s="532">
        <f t="shared" ref="AX211:BY211" si="302">SUM(AX205:AX210)</f>
        <v>10458.10978215761</v>
      </c>
      <c r="AY211" s="532">
        <f t="shared" si="302"/>
        <v>10458.10978215761</v>
      </c>
      <c r="AZ211" s="532">
        <f t="shared" si="302"/>
        <v>10458.10978215761</v>
      </c>
      <c r="BA211" s="532">
        <f t="shared" si="302"/>
        <v>10458.10978215761</v>
      </c>
      <c r="BB211" s="532">
        <f t="shared" si="302"/>
        <v>8476.957701930005</v>
      </c>
      <c r="BC211" s="532">
        <f t="shared" si="302"/>
        <v>8476.957701930005</v>
      </c>
      <c r="BD211" s="532">
        <f t="shared" si="302"/>
        <v>8476.957701930005</v>
      </c>
      <c r="BE211" s="532">
        <f t="shared" si="302"/>
        <v>8476.957701930005</v>
      </c>
      <c r="BF211" s="532">
        <f t="shared" si="302"/>
        <v>8476.957701930005</v>
      </c>
      <c r="BG211" s="532">
        <f t="shared" si="302"/>
        <v>8476.957701930005</v>
      </c>
      <c r="BH211" s="532">
        <f t="shared" si="302"/>
        <v>14700.683047735749</v>
      </c>
      <c r="BI211" s="532">
        <f t="shared" si="302"/>
        <v>14700.683047735749</v>
      </c>
      <c r="BJ211" s="532">
        <f t="shared" si="302"/>
        <v>14700.683047735749</v>
      </c>
      <c r="BK211" s="532">
        <f t="shared" si="302"/>
        <v>14700.683047735749</v>
      </c>
      <c r="BL211" s="532">
        <f t="shared" si="302"/>
        <v>14700.683047735749</v>
      </c>
      <c r="BM211" s="532">
        <f t="shared" si="302"/>
        <v>14700.683047735749</v>
      </c>
      <c r="BN211" s="532">
        <f t="shared" si="302"/>
        <v>12072.288096476837</v>
      </c>
      <c r="BO211" s="532">
        <f t="shared" si="302"/>
        <v>12072.288096476837</v>
      </c>
      <c r="BP211" s="532">
        <f t="shared" si="302"/>
        <v>12072.288096476837</v>
      </c>
      <c r="BQ211" s="532">
        <f t="shared" si="302"/>
        <v>12072.288096476837</v>
      </c>
      <c r="BR211" s="532">
        <f t="shared" si="302"/>
        <v>12072.288096476837</v>
      </c>
      <c r="BS211" s="532">
        <f t="shared" si="302"/>
        <v>12072.288096476837</v>
      </c>
      <c r="BT211" s="532">
        <f t="shared" si="302"/>
        <v>19426.07941064952</v>
      </c>
      <c r="BU211" s="532">
        <f t="shared" si="302"/>
        <v>19426.07941064952</v>
      </c>
      <c r="BV211" s="532">
        <f t="shared" si="302"/>
        <v>19426.07941064952</v>
      </c>
      <c r="BW211" s="532">
        <f t="shared" si="302"/>
        <v>19426.07941064952</v>
      </c>
      <c r="BX211" s="532">
        <f t="shared" si="302"/>
        <v>19426.07941064952</v>
      </c>
      <c r="BY211" s="532">
        <f t="shared" si="302"/>
        <v>19426.07941064952</v>
      </c>
    </row>
    <row r="212" spans="1:77" x14ac:dyDescent="0.3">
      <c r="A212" s="551"/>
      <c r="B212" s="548"/>
      <c r="C212" s="525"/>
      <c r="D212" s="525"/>
      <c r="E212" s="525"/>
      <c r="F212" s="525"/>
      <c r="G212" s="525"/>
      <c r="H212" s="525"/>
      <c r="I212" s="525"/>
      <c r="J212" s="525"/>
      <c r="K212" s="525"/>
      <c r="L212" s="525"/>
      <c r="M212" s="525"/>
      <c r="N212" s="525"/>
      <c r="O212" s="525"/>
      <c r="P212" s="565"/>
      <c r="Q212" s="525"/>
      <c r="R212" s="525"/>
      <c r="S212" s="525"/>
      <c r="T212" s="525"/>
      <c r="U212" s="525"/>
      <c r="V212" s="525"/>
      <c r="W212" s="525"/>
      <c r="X212" s="525"/>
      <c r="Y212" s="525"/>
      <c r="Z212" s="525"/>
      <c r="AA212" s="525"/>
      <c r="AB212" s="525"/>
      <c r="AC212" s="525"/>
      <c r="AD212" s="525"/>
      <c r="AE212" s="525"/>
      <c r="AF212" s="525"/>
      <c r="AG212" s="525"/>
      <c r="AH212" s="525"/>
      <c r="AI212" s="525"/>
      <c r="AJ212" s="525"/>
      <c r="AK212" s="525"/>
      <c r="AL212" s="525"/>
      <c r="AM212" s="525"/>
      <c r="AN212" s="525"/>
      <c r="AO212" s="525"/>
      <c r="AP212" s="525"/>
      <c r="AQ212" s="525"/>
      <c r="AR212" s="525"/>
      <c r="AS212" s="525"/>
      <c r="AT212" s="525"/>
      <c r="AU212" s="525"/>
      <c r="AV212" s="525"/>
      <c r="AW212" s="525"/>
      <c r="AX212" s="525"/>
      <c r="AY212" s="525"/>
      <c r="AZ212" s="525"/>
      <c r="BA212" s="525"/>
      <c r="BB212" s="525"/>
      <c r="BC212" s="525"/>
      <c r="BD212" s="525"/>
      <c r="BE212" s="525"/>
      <c r="BF212" s="525"/>
      <c r="BG212" s="525"/>
      <c r="BH212" s="525"/>
      <c r="BI212" s="525"/>
      <c r="BJ212" s="525"/>
      <c r="BK212" s="525"/>
      <c r="BL212" s="525"/>
      <c r="BM212" s="525"/>
      <c r="BN212" s="525"/>
      <c r="BO212" s="525"/>
      <c r="BP212" s="525"/>
      <c r="BQ212" s="525"/>
      <c r="BR212" s="525"/>
      <c r="BS212" s="525"/>
      <c r="BT212" s="525"/>
      <c r="BU212" s="525"/>
      <c r="BV212" s="525"/>
      <c r="BW212" s="525"/>
      <c r="BX212" s="525"/>
      <c r="BY212" s="525"/>
    </row>
    <row r="213" spans="1:77" x14ac:dyDescent="0.3">
      <c r="A213" s="551"/>
      <c r="B213" s="548"/>
      <c r="C213" s="525"/>
      <c r="D213" s="525"/>
      <c r="E213" s="618" t="str">
        <f>"WSM net comm. uplift due to capex: "&amp;E$155</f>
        <v>WSM net comm. uplift due to capex: FY27 Tranche</v>
      </c>
      <c r="F213" s="525"/>
      <c r="G213" s="525"/>
      <c r="H213" s="525"/>
      <c r="I213" s="525"/>
      <c r="J213" s="525"/>
      <c r="K213" s="525"/>
      <c r="L213" s="525"/>
      <c r="M213" s="525"/>
      <c r="N213" s="525"/>
      <c r="O213" s="525"/>
      <c r="P213" s="565"/>
      <c r="Q213" s="525"/>
      <c r="R213" s="527">
        <f t="shared" ref="R213:AW213" si="303">IFERROR(R197*(R$590/SUM(R$581,R$590)),0)</f>
        <v>0</v>
      </c>
      <c r="S213" s="527">
        <f t="shared" si="303"/>
        <v>0</v>
      </c>
      <c r="T213" s="527">
        <f t="shared" si="303"/>
        <v>0</v>
      </c>
      <c r="U213" s="527">
        <f t="shared" si="303"/>
        <v>0</v>
      </c>
      <c r="V213" s="527">
        <f t="shared" si="303"/>
        <v>0</v>
      </c>
      <c r="W213" s="527">
        <f t="shared" si="303"/>
        <v>0</v>
      </c>
      <c r="X213" s="527">
        <f t="shared" si="303"/>
        <v>99.68288468127993</v>
      </c>
      <c r="Y213" s="527">
        <f t="shared" si="303"/>
        <v>99.68288468127993</v>
      </c>
      <c r="Z213" s="527">
        <f t="shared" si="303"/>
        <v>99.68288468127993</v>
      </c>
      <c r="AA213" s="527">
        <f t="shared" si="303"/>
        <v>99.68288468127993</v>
      </c>
      <c r="AB213" s="527">
        <f t="shared" si="303"/>
        <v>99.68288468127993</v>
      </c>
      <c r="AC213" s="527">
        <f t="shared" si="303"/>
        <v>99.68288468127993</v>
      </c>
      <c r="AD213" s="527">
        <f t="shared" si="303"/>
        <v>73.868284434738058</v>
      </c>
      <c r="AE213" s="527">
        <f t="shared" si="303"/>
        <v>73.868284434738058</v>
      </c>
      <c r="AF213" s="527">
        <f t="shared" si="303"/>
        <v>73.868284434738058</v>
      </c>
      <c r="AG213" s="527">
        <f t="shared" si="303"/>
        <v>73.868284434738058</v>
      </c>
      <c r="AH213" s="527">
        <f t="shared" si="303"/>
        <v>73.868284434738058</v>
      </c>
      <c r="AI213" s="527">
        <f t="shared" si="303"/>
        <v>73.868284434738058</v>
      </c>
      <c r="AJ213" s="527">
        <f t="shared" si="303"/>
        <v>98.667221909337741</v>
      </c>
      <c r="AK213" s="527">
        <f t="shared" si="303"/>
        <v>98.667221909337741</v>
      </c>
      <c r="AL213" s="527">
        <f t="shared" si="303"/>
        <v>98.667221909337741</v>
      </c>
      <c r="AM213" s="527">
        <f t="shared" si="303"/>
        <v>98.667221909337741</v>
      </c>
      <c r="AN213" s="527">
        <f t="shared" si="303"/>
        <v>98.667221909337741</v>
      </c>
      <c r="AO213" s="527">
        <f t="shared" si="303"/>
        <v>98.667221909337741</v>
      </c>
      <c r="AP213" s="527">
        <f t="shared" si="303"/>
        <v>74.357747145433848</v>
      </c>
      <c r="AQ213" s="527">
        <f t="shared" si="303"/>
        <v>74.357747145433848</v>
      </c>
      <c r="AR213" s="527">
        <f t="shared" si="303"/>
        <v>74.357747145433848</v>
      </c>
      <c r="AS213" s="527">
        <f t="shared" si="303"/>
        <v>74.357747145433848</v>
      </c>
      <c r="AT213" s="527">
        <f t="shared" si="303"/>
        <v>74.357747145433848</v>
      </c>
      <c r="AU213" s="527">
        <f t="shared" si="303"/>
        <v>74.357747145433848</v>
      </c>
      <c r="AV213" s="527">
        <f t="shared" si="303"/>
        <v>98.903621416562189</v>
      </c>
      <c r="AW213" s="527">
        <f t="shared" si="303"/>
        <v>98.903621416562189</v>
      </c>
      <c r="AX213" s="527">
        <f t="shared" ref="AX213:BY213" si="304">IFERROR(AX197*(AX$590/SUM(AX$581,AX$590)),0)</f>
        <v>98.903621416562189</v>
      </c>
      <c r="AY213" s="527">
        <f t="shared" si="304"/>
        <v>98.903621416562189</v>
      </c>
      <c r="AZ213" s="527">
        <f t="shared" si="304"/>
        <v>98.903621416562189</v>
      </c>
      <c r="BA213" s="527">
        <f t="shared" si="304"/>
        <v>98.903621416562189</v>
      </c>
      <c r="BB213" s="527">
        <f t="shared" si="304"/>
        <v>76.800062765946862</v>
      </c>
      <c r="BC213" s="527">
        <f t="shared" si="304"/>
        <v>76.800062765946862</v>
      </c>
      <c r="BD213" s="527">
        <f t="shared" si="304"/>
        <v>76.800062765946862</v>
      </c>
      <c r="BE213" s="527">
        <f t="shared" si="304"/>
        <v>76.800062765946862</v>
      </c>
      <c r="BF213" s="527">
        <f t="shared" si="304"/>
        <v>76.800062765946862</v>
      </c>
      <c r="BG213" s="527">
        <f t="shared" si="304"/>
        <v>76.800062765946862</v>
      </c>
      <c r="BH213" s="527">
        <f t="shared" si="304"/>
        <v>101.16326229475338</v>
      </c>
      <c r="BI213" s="527">
        <f t="shared" si="304"/>
        <v>101.16326229475338</v>
      </c>
      <c r="BJ213" s="527">
        <f t="shared" si="304"/>
        <v>101.16326229475338</v>
      </c>
      <c r="BK213" s="527">
        <f t="shared" si="304"/>
        <v>101.16326229475338</v>
      </c>
      <c r="BL213" s="527">
        <f t="shared" si="304"/>
        <v>101.16326229475338</v>
      </c>
      <c r="BM213" s="527">
        <f t="shared" si="304"/>
        <v>101.16326229475338</v>
      </c>
      <c r="BN213" s="527">
        <f t="shared" si="304"/>
        <v>79.899299014914334</v>
      </c>
      <c r="BO213" s="527">
        <f t="shared" si="304"/>
        <v>79.899299014914334</v>
      </c>
      <c r="BP213" s="527">
        <f t="shared" si="304"/>
        <v>79.899299014914334</v>
      </c>
      <c r="BQ213" s="527">
        <f t="shared" si="304"/>
        <v>79.899299014914334</v>
      </c>
      <c r="BR213" s="527">
        <f t="shared" si="304"/>
        <v>79.899299014914334</v>
      </c>
      <c r="BS213" s="527">
        <f t="shared" si="304"/>
        <v>79.899299014914334</v>
      </c>
      <c r="BT213" s="527">
        <f t="shared" si="304"/>
        <v>104.09230480775865</v>
      </c>
      <c r="BU213" s="527">
        <f t="shared" si="304"/>
        <v>104.09230480775865</v>
      </c>
      <c r="BV213" s="527">
        <f t="shared" si="304"/>
        <v>104.09230480775865</v>
      </c>
      <c r="BW213" s="527">
        <f t="shared" si="304"/>
        <v>104.09230480775865</v>
      </c>
      <c r="BX213" s="527">
        <f t="shared" si="304"/>
        <v>104.09230480775865</v>
      </c>
      <c r="BY213" s="527">
        <f t="shared" si="304"/>
        <v>104.09230480775865</v>
      </c>
    </row>
    <row r="214" spans="1:77" x14ac:dyDescent="0.3">
      <c r="A214" s="551"/>
      <c r="B214" s="548"/>
      <c r="C214" s="525"/>
      <c r="D214" s="525"/>
      <c r="E214" s="618" t="str">
        <f>"WSM net comm. uplift due to capex: "&amp;E$156</f>
        <v>WSM net comm. uplift due to capex: FY28 Tranche</v>
      </c>
      <c r="F214" s="525"/>
      <c r="G214" s="525"/>
      <c r="H214" s="525"/>
      <c r="I214" s="525"/>
      <c r="J214" s="525"/>
      <c r="K214" s="525"/>
      <c r="L214" s="525"/>
      <c r="M214" s="525"/>
      <c r="N214" s="525"/>
      <c r="O214" s="525"/>
      <c r="P214" s="565"/>
      <c r="Q214" s="525"/>
      <c r="R214" s="527">
        <f t="shared" ref="R214:AW214" si="305">IFERROR(R198*(R$590/SUM(R$581,R$590)),0)</f>
        <v>0</v>
      </c>
      <c r="S214" s="527">
        <f t="shared" si="305"/>
        <v>0</v>
      </c>
      <c r="T214" s="527">
        <f t="shared" si="305"/>
        <v>0</v>
      </c>
      <c r="U214" s="527">
        <f t="shared" si="305"/>
        <v>0</v>
      </c>
      <c r="V214" s="527">
        <f t="shared" si="305"/>
        <v>0</v>
      </c>
      <c r="W214" s="527">
        <f t="shared" si="305"/>
        <v>0</v>
      </c>
      <c r="X214" s="527">
        <f t="shared" si="305"/>
        <v>0</v>
      </c>
      <c r="Y214" s="527">
        <f t="shared" si="305"/>
        <v>0</v>
      </c>
      <c r="Z214" s="527">
        <f t="shared" si="305"/>
        <v>0</v>
      </c>
      <c r="AA214" s="527">
        <f t="shared" si="305"/>
        <v>0</v>
      </c>
      <c r="AB214" s="527">
        <f t="shared" si="305"/>
        <v>0</v>
      </c>
      <c r="AC214" s="527">
        <f t="shared" si="305"/>
        <v>0</v>
      </c>
      <c r="AD214" s="527">
        <f t="shared" si="305"/>
        <v>0</v>
      </c>
      <c r="AE214" s="527">
        <f t="shared" si="305"/>
        <v>0</v>
      </c>
      <c r="AF214" s="527">
        <f t="shared" si="305"/>
        <v>0</v>
      </c>
      <c r="AG214" s="527">
        <f t="shared" si="305"/>
        <v>0</v>
      </c>
      <c r="AH214" s="527">
        <f t="shared" si="305"/>
        <v>0</v>
      </c>
      <c r="AI214" s="527">
        <f t="shared" si="305"/>
        <v>0</v>
      </c>
      <c r="AJ214" s="527">
        <f t="shared" si="305"/>
        <v>96.892334034540283</v>
      </c>
      <c r="AK214" s="527">
        <f t="shared" si="305"/>
        <v>96.892334034540283</v>
      </c>
      <c r="AL214" s="527">
        <f t="shared" si="305"/>
        <v>96.892334034540283</v>
      </c>
      <c r="AM214" s="527">
        <f t="shared" si="305"/>
        <v>96.892334034540283</v>
      </c>
      <c r="AN214" s="527">
        <f t="shared" si="305"/>
        <v>96.892334034540283</v>
      </c>
      <c r="AO214" s="527">
        <f t="shared" si="305"/>
        <v>96.892334034540283</v>
      </c>
      <c r="AP214" s="527">
        <f t="shared" si="305"/>
        <v>72.668539591188406</v>
      </c>
      <c r="AQ214" s="527">
        <f t="shared" si="305"/>
        <v>72.668539591188406</v>
      </c>
      <c r="AR214" s="527">
        <f t="shared" si="305"/>
        <v>72.668539591188406</v>
      </c>
      <c r="AS214" s="527">
        <f t="shared" si="305"/>
        <v>72.668539591188406</v>
      </c>
      <c r="AT214" s="527">
        <f t="shared" si="305"/>
        <v>72.668539591188406</v>
      </c>
      <c r="AU214" s="527">
        <f t="shared" si="305"/>
        <v>72.668539591188406</v>
      </c>
      <c r="AV214" s="527">
        <f t="shared" si="305"/>
        <v>97.146845560146943</v>
      </c>
      <c r="AW214" s="527">
        <f t="shared" si="305"/>
        <v>97.146845560146943</v>
      </c>
      <c r="AX214" s="527">
        <f t="shared" ref="AX214:BY214" si="306">IFERROR(AX198*(AX$590/SUM(AX$581,AX$590)),0)</f>
        <v>97.146845560146943</v>
      </c>
      <c r="AY214" s="527">
        <f t="shared" si="306"/>
        <v>97.146845560146943</v>
      </c>
      <c r="AZ214" s="527">
        <f t="shared" si="306"/>
        <v>97.146845560146943</v>
      </c>
      <c r="BA214" s="527">
        <f t="shared" si="306"/>
        <v>97.146845560146943</v>
      </c>
      <c r="BB214" s="527">
        <f t="shared" si="306"/>
        <v>75.123426593404588</v>
      </c>
      <c r="BC214" s="527">
        <f t="shared" si="306"/>
        <v>75.123426593404588</v>
      </c>
      <c r="BD214" s="527">
        <f t="shared" si="306"/>
        <v>75.123426593404588</v>
      </c>
      <c r="BE214" s="527">
        <f t="shared" si="306"/>
        <v>75.123426593404588</v>
      </c>
      <c r="BF214" s="527">
        <f t="shared" si="306"/>
        <v>75.123426593404588</v>
      </c>
      <c r="BG214" s="527">
        <f t="shared" si="306"/>
        <v>75.123426593404588</v>
      </c>
      <c r="BH214" s="527">
        <f t="shared" si="306"/>
        <v>99.419560675309384</v>
      </c>
      <c r="BI214" s="527">
        <f t="shared" si="306"/>
        <v>99.419560675309384</v>
      </c>
      <c r="BJ214" s="527">
        <f t="shared" si="306"/>
        <v>99.419560675309384</v>
      </c>
      <c r="BK214" s="527">
        <f t="shared" si="306"/>
        <v>99.419560675309384</v>
      </c>
      <c r="BL214" s="527">
        <f t="shared" si="306"/>
        <v>99.419560675309384</v>
      </c>
      <c r="BM214" s="527">
        <f t="shared" si="306"/>
        <v>99.419560675309384</v>
      </c>
      <c r="BN214" s="527">
        <f t="shared" si="306"/>
        <v>78.234375301308987</v>
      </c>
      <c r="BO214" s="527">
        <f t="shared" si="306"/>
        <v>78.234375301308987</v>
      </c>
      <c r="BP214" s="527">
        <f t="shared" si="306"/>
        <v>78.234375301308987</v>
      </c>
      <c r="BQ214" s="527">
        <f t="shared" si="306"/>
        <v>78.234375301308987</v>
      </c>
      <c r="BR214" s="527">
        <f t="shared" si="306"/>
        <v>78.234375301308987</v>
      </c>
      <c r="BS214" s="527">
        <f t="shared" si="306"/>
        <v>78.234375301308987</v>
      </c>
      <c r="BT214" s="527">
        <f t="shared" si="306"/>
        <v>102.36078414560916</v>
      </c>
      <c r="BU214" s="527">
        <f t="shared" si="306"/>
        <v>102.36078414560916</v>
      </c>
      <c r="BV214" s="527">
        <f t="shared" si="306"/>
        <v>102.36078414560916</v>
      </c>
      <c r="BW214" s="527">
        <f t="shared" si="306"/>
        <v>102.36078414560916</v>
      </c>
      <c r="BX214" s="527">
        <f t="shared" si="306"/>
        <v>102.36078414560916</v>
      </c>
      <c r="BY214" s="527">
        <f t="shared" si="306"/>
        <v>102.36078414560916</v>
      </c>
    </row>
    <row r="215" spans="1:77" x14ac:dyDescent="0.3">
      <c r="A215" s="551"/>
      <c r="B215" s="548"/>
      <c r="C215" s="525"/>
      <c r="D215" s="525"/>
      <c r="E215" s="618" t="str">
        <f>"WSM net comm. uplift due to capex: "&amp;E$157</f>
        <v>WSM net comm. uplift due to capex: FY29 Tranche</v>
      </c>
      <c r="F215" s="525"/>
      <c r="G215" s="525"/>
      <c r="H215" s="525"/>
      <c r="I215" s="525"/>
      <c r="J215" s="525"/>
      <c r="K215" s="525"/>
      <c r="L215" s="525"/>
      <c r="M215" s="525"/>
      <c r="N215" s="525"/>
      <c r="O215" s="525"/>
      <c r="P215" s="565"/>
      <c r="Q215" s="525"/>
      <c r="R215" s="527">
        <f t="shared" ref="R215:AW215" si="307">IFERROR(R199*(R$590/SUM(R$581,R$590)),0)</f>
        <v>0</v>
      </c>
      <c r="S215" s="527">
        <f t="shared" si="307"/>
        <v>0</v>
      </c>
      <c r="T215" s="527">
        <f t="shared" si="307"/>
        <v>0</v>
      </c>
      <c r="U215" s="527">
        <f t="shared" si="307"/>
        <v>0</v>
      </c>
      <c r="V215" s="527">
        <f t="shared" si="307"/>
        <v>0</v>
      </c>
      <c r="W215" s="527">
        <f t="shared" si="307"/>
        <v>0</v>
      </c>
      <c r="X215" s="527">
        <f t="shared" si="307"/>
        <v>0</v>
      </c>
      <c r="Y215" s="527">
        <f t="shared" si="307"/>
        <v>0</v>
      </c>
      <c r="Z215" s="527">
        <f t="shared" si="307"/>
        <v>0</v>
      </c>
      <c r="AA215" s="527">
        <f t="shared" si="307"/>
        <v>0</v>
      </c>
      <c r="AB215" s="527">
        <f t="shared" si="307"/>
        <v>0</v>
      </c>
      <c r="AC215" s="527">
        <f t="shared" si="307"/>
        <v>0</v>
      </c>
      <c r="AD215" s="527">
        <f t="shared" si="307"/>
        <v>0</v>
      </c>
      <c r="AE215" s="527">
        <f t="shared" si="307"/>
        <v>0</v>
      </c>
      <c r="AF215" s="527">
        <f t="shared" si="307"/>
        <v>0</v>
      </c>
      <c r="AG215" s="527">
        <f t="shared" si="307"/>
        <v>0</v>
      </c>
      <c r="AH215" s="527">
        <f t="shared" si="307"/>
        <v>0</v>
      </c>
      <c r="AI215" s="527">
        <f t="shared" si="307"/>
        <v>0</v>
      </c>
      <c r="AJ215" s="527">
        <f t="shared" si="307"/>
        <v>0</v>
      </c>
      <c r="AK215" s="527">
        <f t="shared" si="307"/>
        <v>0</v>
      </c>
      <c r="AL215" s="527">
        <f t="shared" si="307"/>
        <v>0</v>
      </c>
      <c r="AM215" s="527">
        <f t="shared" si="307"/>
        <v>0</v>
      </c>
      <c r="AN215" s="527">
        <f t="shared" si="307"/>
        <v>0</v>
      </c>
      <c r="AO215" s="527">
        <f t="shared" si="307"/>
        <v>0</v>
      </c>
      <c r="AP215" s="527">
        <f t="shared" si="307"/>
        <v>0</v>
      </c>
      <c r="AQ215" s="527">
        <f t="shared" si="307"/>
        <v>0</v>
      </c>
      <c r="AR215" s="527">
        <f t="shared" si="307"/>
        <v>0</v>
      </c>
      <c r="AS215" s="527">
        <f t="shared" si="307"/>
        <v>0</v>
      </c>
      <c r="AT215" s="527">
        <f t="shared" si="307"/>
        <v>0</v>
      </c>
      <c r="AU215" s="527">
        <f t="shared" si="307"/>
        <v>0</v>
      </c>
      <c r="AV215" s="527">
        <f t="shared" si="307"/>
        <v>94.285621064531597</v>
      </c>
      <c r="AW215" s="527">
        <f t="shared" si="307"/>
        <v>94.285621064531597</v>
      </c>
      <c r="AX215" s="527">
        <f t="shared" ref="AX215:BY215" si="308">IFERROR(AX199*(AX$590/SUM(AX$581,AX$590)),0)</f>
        <v>94.285621064531597</v>
      </c>
      <c r="AY215" s="527">
        <f t="shared" si="308"/>
        <v>94.285621064531597</v>
      </c>
      <c r="AZ215" s="527">
        <f t="shared" si="308"/>
        <v>94.285621064531597</v>
      </c>
      <c r="BA215" s="527">
        <f t="shared" si="308"/>
        <v>94.285621064531597</v>
      </c>
      <c r="BB215" s="527">
        <f t="shared" si="308"/>
        <v>72.392723943095149</v>
      </c>
      <c r="BC215" s="527">
        <f t="shared" si="308"/>
        <v>72.392723943095149</v>
      </c>
      <c r="BD215" s="527">
        <f t="shared" si="308"/>
        <v>72.392723943095149</v>
      </c>
      <c r="BE215" s="527">
        <f t="shared" si="308"/>
        <v>72.392723943095149</v>
      </c>
      <c r="BF215" s="527">
        <f t="shared" si="308"/>
        <v>72.392723943095149</v>
      </c>
      <c r="BG215" s="527">
        <f t="shared" si="308"/>
        <v>72.392723943095149</v>
      </c>
      <c r="BH215" s="527">
        <f t="shared" si="308"/>
        <v>96.579629918987607</v>
      </c>
      <c r="BI215" s="527">
        <f t="shared" si="308"/>
        <v>96.579629918987607</v>
      </c>
      <c r="BJ215" s="527">
        <f t="shared" si="308"/>
        <v>96.579629918987607</v>
      </c>
      <c r="BK215" s="527">
        <f t="shared" si="308"/>
        <v>96.579629918987607</v>
      </c>
      <c r="BL215" s="527">
        <f t="shared" si="308"/>
        <v>96.579629918987607</v>
      </c>
      <c r="BM215" s="527">
        <f t="shared" si="308"/>
        <v>96.579629918987607</v>
      </c>
      <c r="BN215" s="527">
        <f t="shared" si="308"/>
        <v>75.522748490579218</v>
      </c>
      <c r="BO215" s="527">
        <f t="shared" si="308"/>
        <v>75.522748490579218</v>
      </c>
      <c r="BP215" s="527">
        <f t="shared" si="308"/>
        <v>75.522748490579218</v>
      </c>
      <c r="BQ215" s="527">
        <f t="shared" si="308"/>
        <v>75.522748490579218</v>
      </c>
      <c r="BR215" s="527">
        <f t="shared" si="308"/>
        <v>75.522748490579218</v>
      </c>
      <c r="BS215" s="527">
        <f t="shared" si="308"/>
        <v>75.522748490579218</v>
      </c>
      <c r="BT215" s="527">
        <f t="shared" si="308"/>
        <v>99.54069226245025</v>
      </c>
      <c r="BU215" s="527">
        <f t="shared" si="308"/>
        <v>99.54069226245025</v>
      </c>
      <c r="BV215" s="527">
        <f t="shared" si="308"/>
        <v>99.54069226245025</v>
      </c>
      <c r="BW215" s="527">
        <f t="shared" si="308"/>
        <v>99.54069226245025</v>
      </c>
      <c r="BX215" s="527">
        <f t="shared" si="308"/>
        <v>99.54069226245025</v>
      </c>
      <c r="BY215" s="527">
        <f t="shared" si="308"/>
        <v>99.54069226245025</v>
      </c>
    </row>
    <row r="216" spans="1:77" x14ac:dyDescent="0.3">
      <c r="A216" s="551"/>
      <c r="B216" s="548"/>
      <c r="C216" s="525"/>
      <c r="D216" s="525"/>
      <c r="E216" s="618" t="str">
        <f>"WSM net comm. uplift due to capex: "&amp;E$158</f>
        <v>WSM net comm. uplift due to capex: FY30 Tranche</v>
      </c>
      <c r="F216" s="525"/>
      <c r="G216" s="525"/>
      <c r="H216" s="525"/>
      <c r="I216" s="525"/>
      <c r="J216" s="525"/>
      <c r="K216" s="525"/>
      <c r="L216" s="525"/>
      <c r="M216" s="525"/>
      <c r="N216" s="525"/>
      <c r="O216" s="525"/>
      <c r="P216" s="565"/>
      <c r="Q216" s="525"/>
      <c r="R216" s="527">
        <f t="shared" ref="R216:AW216" si="309">IFERROR(R200*(R$590/SUM(R$581,R$590)),0)</f>
        <v>0</v>
      </c>
      <c r="S216" s="527">
        <f t="shared" si="309"/>
        <v>0</v>
      </c>
      <c r="T216" s="527">
        <f t="shared" si="309"/>
        <v>0</v>
      </c>
      <c r="U216" s="527">
        <f t="shared" si="309"/>
        <v>0</v>
      </c>
      <c r="V216" s="527">
        <f t="shared" si="309"/>
        <v>0</v>
      </c>
      <c r="W216" s="527">
        <f t="shared" si="309"/>
        <v>0</v>
      </c>
      <c r="X216" s="527">
        <f t="shared" si="309"/>
        <v>0</v>
      </c>
      <c r="Y216" s="527">
        <f t="shared" si="309"/>
        <v>0</v>
      </c>
      <c r="Z216" s="527">
        <f t="shared" si="309"/>
        <v>0</v>
      </c>
      <c r="AA216" s="527">
        <f t="shared" si="309"/>
        <v>0</v>
      </c>
      <c r="AB216" s="527">
        <f t="shared" si="309"/>
        <v>0</v>
      </c>
      <c r="AC216" s="527">
        <f t="shared" si="309"/>
        <v>0</v>
      </c>
      <c r="AD216" s="527">
        <f t="shared" si="309"/>
        <v>0</v>
      </c>
      <c r="AE216" s="527">
        <f t="shared" si="309"/>
        <v>0</v>
      </c>
      <c r="AF216" s="527">
        <f t="shared" si="309"/>
        <v>0</v>
      </c>
      <c r="AG216" s="527">
        <f t="shared" si="309"/>
        <v>0</v>
      </c>
      <c r="AH216" s="527">
        <f t="shared" si="309"/>
        <v>0</v>
      </c>
      <c r="AI216" s="527">
        <f t="shared" si="309"/>
        <v>0</v>
      </c>
      <c r="AJ216" s="527">
        <f t="shared" si="309"/>
        <v>0</v>
      </c>
      <c r="AK216" s="527">
        <f t="shared" si="309"/>
        <v>0</v>
      </c>
      <c r="AL216" s="527">
        <f t="shared" si="309"/>
        <v>0</v>
      </c>
      <c r="AM216" s="527">
        <f t="shared" si="309"/>
        <v>0</v>
      </c>
      <c r="AN216" s="527">
        <f t="shared" si="309"/>
        <v>0</v>
      </c>
      <c r="AO216" s="527">
        <f t="shared" si="309"/>
        <v>0</v>
      </c>
      <c r="AP216" s="527">
        <f t="shared" si="309"/>
        <v>0</v>
      </c>
      <c r="AQ216" s="527">
        <f t="shared" si="309"/>
        <v>0</v>
      </c>
      <c r="AR216" s="527">
        <f t="shared" si="309"/>
        <v>0</v>
      </c>
      <c r="AS216" s="527">
        <f t="shared" si="309"/>
        <v>0</v>
      </c>
      <c r="AT216" s="527">
        <f t="shared" si="309"/>
        <v>0</v>
      </c>
      <c r="AU216" s="527">
        <f t="shared" si="309"/>
        <v>0</v>
      </c>
      <c r="AV216" s="527">
        <f t="shared" si="309"/>
        <v>0</v>
      </c>
      <c r="AW216" s="527">
        <f t="shared" si="309"/>
        <v>0</v>
      </c>
      <c r="AX216" s="527">
        <f t="shared" ref="AX216:BY216" si="310">IFERROR(AX200*(AX$590/SUM(AX$581,AX$590)),0)</f>
        <v>0</v>
      </c>
      <c r="AY216" s="527">
        <f t="shared" si="310"/>
        <v>0</v>
      </c>
      <c r="AZ216" s="527">
        <f t="shared" si="310"/>
        <v>0</v>
      </c>
      <c r="BA216" s="527">
        <f t="shared" si="310"/>
        <v>0</v>
      </c>
      <c r="BB216" s="527">
        <f t="shared" si="310"/>
        <v>0</v>
      </c>
      <c r="BC216" s="527">
        <f t="shared" si="310"/>
        <v>0</v>
      </c>
      <c r="BD216" s="527">
        <f t="shared" si="310"/>
        <v>0</v>
      </c>
      <c r="BE216" s="527">
        <f t="shared" si="310"/>
        <v>0</v>
      </c>
      <c r="BF216" s="527">
        <f t="shared" si="310"/>
        <v>0</v>
      </c>
      <c r="BG216" s="527">
        <f t="shared" si="310"/>
        <v>0</v>
      </c>
      <c r="BH216" s="527">
        <f t="shared" si="310"/>
        <v>91.845215920806552</v>
      </c>
      <c r="BI216" s="527">
        <f t="shared" si="310"/>
        <v>91.845215920806552</v>
      </c>
      <c r="BJ216" s="527">
        <f t="shared" si="310"/>
        <v>91.845215920806552</v>
      </c>
      <c r="BK216" s="527">
        <f t="shared" si="310"/>
        <v>91.845215920806552</v>
      </c>
      <c r="BL216" s="527">
        <f t="shared" si="310"/>
        <v>91.845215920806552</v>
      </c>
      <c r="BM216" s="527">
        <f t="shared" si="310"/>
        <v>91.845215920806552</v>
      </c>
      <c r="BN216" s="527">
        <f t="shared" si="310"/>
        <v>71.002228438467256</v>
      </c>
      <c r="BO216" s="527">
        <f t="shared" si="310"/>
        <v>71.002228438467256</v>
      </c>
      <c r="BP216" s="527">
        <f t="shared" si="310"/>
        <v>71.002228438467256</v>
      </c>
      <c r="BQ216" s="527">
        <f t="shared" si="310"/>
        <v>71.002228438467256</v>
      </c>
      <c r="BR216" s="527">
        <f t="shared" si="310"/>
        <v>71.002228438467256</v>
      </c>
      <c r="BS216" s="527">
        <f t="shared" si="310"/>
        <v>71.002228438467256</v>
      </c>
      <c r="BT216" s="527">
        <f t="shared" si="310"/>
        <v>94.839351408253719</v>
      </c>
      <c r="BU216" s="527">
        <f t="shared" si="310"/>
        <v>94.839351408253719</v>
      </c>
      <c r="BV216" s="527">
        <f t="shared" si="310"/>
        <v>94.839351408253719</v>
      </c>
      <c r="BW216" s="527">
        <f t="shared" si="310"/>
        <v>94.839351408253719</v>
      </c>
      <c r="BX216" s="527">
        <f t="shared" si="310"/>
        <v>94.839351408253719</v>
      </c>
      <c r="BY216" s="527">
        <f t="shared" si="310"/>
        <v>94.839351408253719</v>
      </c>
    </row>
    <row r="217" spans="1:77" x14ac:dyDescent="0.3">
      <c r="A217" s="551"/>
      <c r="B217" s="548"/>
      <c r="C217" s="525"/>
      <c r="D217" s="525"/>
      <c r="E217" s="618" t="str">
        <f>"WSM net comm. uplift due to capex: "&amp;E$159</f>
        <v>WSM net comm. uplift due to capex: FY31 Tranche</v>
      </c>
      <c r="F217" s="525"/>
      <c r="G217" s="525"/>
      <c r="H217" s="525"/>
      <c r="I217" s="525"/>
      <c r="J217" s="525"/>
      <c r="K217" s="525"/>
      <c r="L217" s="525"/>
      <c r="M217" s="525"/>
      <c r="N217" s="525"/>
      <c r="O217" s="525"/>
      <c r="P217" s="565"/>
      <c r="Q217" s="525"/>
      <c r="R217" s="527">
        <f t="shared" ref="R217:AW217" si="311">IFERROR(R201*(R$590/SUM(R$581,R$590)),0)</f>
        <v>0</v>
      </c>
      <c r="S217" s="527">
        <f t="shared" si="311"/>
        <v>0</v>
      </c>
      <c r="T217" s="527">
        <f t="shared" si="311"/>
        <v>0</v>
      </c>
      <c r="U217" s="527">
        <f t="shared" si="311"/>
        <v>0</v>
      </c>
      <c r="V217" s="527">
        <f t="shared" si="311"/>
        <v>0</v>
      </c>
      <c r="W217" s="527">
        <f t="shared" si="311"/>
        <v>0</v>
      </c>
      <c r="X217" s="527">
        <f t="shared" si="311"/>
        <v>0</v>
      </c>
      <c r="Y217" s="527">
        <f t="shared" si="311"/>
        <v>0</v>
      </c>
      <c r="Z217" s="527">
        <f t="shared" si="311"/>
        <v>0</v>
      </c>
      <c r="AA217" s="527">
        <f t="shared" si="311"/>
        <v>0</v>
      </c>
      <c r="AB217" s="527">
        <f t="shared" si="311"/>
        <v>0</v>
      </c>
      <c r="AC217" s="527">
        <f t="shared" si="311"/>
        <v>0</v>
      </c>
      <c r="AD217" s="527">
        <f t="shared" si="311"/>
        <v>0</v>
      </c>
      <c r="AE217" s="527">
        <f t="shared" si="311"/>
        <v>0</v>
      </c>
      <c r="AF217" s="527">
        <f t="shared" si="311"/>
        <v>0</v>
      </c>
      <c r="AG217" s="527">
        <f t="shared" si="311"/>
        <v>0</v>
      </c>
      <c r="AH217" s="527">
        <f t="shared" si="311"/>
        <v>0</v>
      </c>
      <c r="AI217" s="527">
        <f t="shared" si="311"/>
        <v>0</v>
      </c>
      <c r="AJ217" s="527">
        <f t="shared" si="311"/>
        <v>0</v>
      </c>
      <c r="AK217" s="527">
        <f t="shared" si="311"/>
        <v>0</v>
      </c>
      <c r="AL217" s="527">
        <f t="shared" si="311"/>
        <v>0</v>
      </c>
      <c r="AM217" s="527">
        <f t="shared" si="311"/>
        <v>0</v>
      </c>
      <c r="AN217" s="527">
        <f t="shared" si="311"/>
        <v>0</v>
      </c>
      <c r="AO217" s="527">
        <f t="shared" si="311"/>
        <v>0</v>
      </c>
      <c r="AP217" s="527">
        <f t="shared" si="311"/>
        <v>0</v>
      </c>
      <c r="AQ217" s="527">
        <f t="shared" si="311"/>
        <v>0</v>
      </c>
      <c r="AR217" s="527">
        <f t="shared" si="311"/>
        <v>0</v>
      </c>
      <c r="AS217" s="527">
        <f t="shared" si="311"/>
        <v>0</v>
      </c>
      <c r="AT217" s="527">
        <f t="shared" si="311"/>
        <v>0</v>
      </c>
      <c r="AU217" s="527">
        <f t="shared" si="311"/>
        <v>0</v>
      </c>
      <c r="AV217" s="527">
        <f t="shared" si="311"/>
        <v>0</v>
      </c>
      <c r="AW217" s="527">
        <f t="shared" si="311"/>
        <v>0</v>
      </c>
      <c r="AX217" s="527">
        <f t="shared" ref="AX217:BY217" si="312">IFERROR(AX201*(AX$590/SUM(AX$581,AX$590)),0)</f>
        <v>0</v>
      </c>
      <c r="AY217" s="527">
        <f t="shared" si="312"/>
        <v>0</v>
      </c>
      <c r="AZ217" s="527">
        <f t="shared" si="312"/>
        <v>0</v>
      </c>
      <c r="BA217" s="527">
        <f t="shared" si="312"/>
        <v>0</v>
      </c>
      <c r="BB217" s="527">
        <f t="shared" si="312"/>
        <v>0</v>
      </c>
      <c r="BC217" s="527">
        <f t="shared" si="312"/>
        <v>0</v>
      </c>
      <c r="BD217" s="527">
        <f t="shared" si="312"/>
        <v>0</v>
      </c>
      <c r="BE217" s="527">
        <f t="shared" si="312"/>
        <v>0</v>
      </c>
      <c r="BF217" s="527">
        <f t="shared" si="312"/>
        <v>0</v>
      </c>
      <c r="BG217" s="527">
        <f t="shared" si="312"/>
        <v>0</v>
      </c>
      <c r="BH217" s="527">
        <f t="shared" si="312"/>
        <v>0</v>
      </c>
      <c r="BI217" s="527">
        <f t="shared" si="312"/>
        <v>0</v>
      </c>
      <c r="BJ217" s="527">
        <f t="shared" si="312"/>
        <v>0</v>
      </c>
      <c r="BK217" s="527">
        <f t="shared" si="312"/>
        <v>0</v>
      </c>
      <c r="BL217" s="527">
        <f t="shared" si="312"/>
        <v>0</v>
      </c>
      <c r="BM217" s="527">
        <f t="shared" si="312"/>
        <v>0</v>
      </c>
      <c r="BN217" s="527">
        <f t="shared" si="312"/>
        <v>0</v>
      </c>
      <c r="BO217" s="527">
        <f t="shared" si="312"/>
        <v>0</v>
      </c>
      <c r="BP217" s="527">
        <f t="shared" si="312"/>
        <v>0</v>
      </c>
      <c r="BQ217" s="527">
        <f t="shared" si="312"/>
        <v>0</v>
      </c>
      <c r="BR217" s="527">
        <f t="shared" si="312"/>
        <v>0</v>
      </c>
      <c r="BS217" s="527">
        <f t="shared" si="312"/>
        <v>0</v>
      </c>
      <c r="BT217" s="527">
        <f t="shared" si="312"/>
        <v>89.407251380612834</v>
      </c>
      <c r="BU217" s="527">
        <f t="shared" si="312"/>
        <v>89.407251380612834</v>
      </c>
      <c r="BV217" s="527">
        <f t="shared" si="312"/>
        <v>89.407251380612834</v>
      </c>
      <c r="BW217" s="527">
        <f t="shared" si="312"/>
        <v>89.407251380612834</v>
      </c>
      <c r="BX217" s="527">
        <f t="shared" si="312"/>
        <v>89.407251380612834</v>
      </c>
      <c r="BY217" s="527">
        <f t="shared" si="312"/>
        <v>89.407251380612834</v>
      </c>
    </row>
    <row r="218" spans="1:77" x14ac:dyDescent="0.3">
      <c r="A218" s="551"/>
      <c r="B218" s="548"/>
      <c r="C218" s="525"/>
      <c r="D218" s="525"/>
      <c r="E218" s="618" t="str">
        <f>"WSM net comm. uplift due to capex: "&amp;E$160</f>
        <v>WSM net comm. uplift due to capex: Uninvested Tranche</v>
      </c>
      <c r="F218" s="525"/>
      <c r="G218" s="525"/>
      <c r="H218" s="525"/>
      <c r="I218" s="525"/>
      <c r="J218" s="525"/>
      <c r="K218" s="525"/>
      <c r="L218" s="525"/>
      <c r="M218" s="525"/>
      <c r="N218" s="525"/>
      <c r="O218" s="525"/>
      <c r="P218" s="565"/>
      <c r="Q218" s="525"/>
      <c r="R218" s="527">
        <f t="shared" ref="R218:AW218" si="313">IFERROR(R202*(R$590/SUM(R$581,R$590)),0)</f>
        <v>0</v>
      </c>
      <c r="S218" s="527">
        <f t="shared" si="313"/>
        <v>0</v>
      </c>
      <c r="T218" s="527">
        <f t="shared" si="313"/>
        <v>0</v>
      </c>
      <c r="U218" s="527">
        <f t="shared" si="313"/>
        <v>0</v>
      </c>
      <c r="V218" s="527">
        <f t="shared" si="313"/>
        <v>0</v>
      </c>
      <c r="W218" s="527">
        <f t="shared" si="313"/>
        <v>0</v>
      </c>
      <c r="X218" s="527">
        <f t="shared" si="313"/>
        <v>0</v>
      </c>
      <c r="Y218" s="527">
        <f t="shared" si="313"/>
        <v>0</v>
      </c>
      <c r="Z218" s="527">
        <f t="shared" si="313"/>
        <v>0</v>
      </c>
      <c r="AA218" s="527">
        <f t="shared" si="313"/>
        <v>0</v>
      </c>
      <c r="AB218" s="527">
        <f t="shared" si="313"/>
        <v>0</v>
      </c>
      <c r="AC218" s="527">
        <f t="shared" si="313"/>
        <v>0</v>
      </c>
      <c r="AD218" s="527">
        <f t="shared" si="313"/>
        <v>0</v>
      </c>
      <c r="AE218" s="527">
        <f t="shared" si="313"/>
        <v>0</v>
      </c>
      <c r="AF218" s="527">
        <f t="shared" si="313"/>
        <v>0</v>
      </c>
      <c r="AG218" s="527">
        <f t="shared" si="313"/>
        <v>0</v>
      </c>
      <c r="AH218" s="527">
        <f t="shared" si="313"/>
        <v>0</v>
      </c>
      <c r="AI218" s="527">
        <f t="shared" si="313"/>
        <v>0</v>
      </c>
      <c r="AJ218" s="527">
        <f t="shared" si="313"/>
        <v>0</v>
      </c>
      <c r="AK218" s="527">
        <f t="shared" si="313"/>
        <v>0</v>
      </c>
      <c r="AL218" s="527">
        <f t="shared" si="313"/>
        <v>0</v>
      </c>
      <c r="AM218" s="527">
        <f t="shared" si="313"/>
        <v>0</v>
      </c>
      <c r="AN218" s="527">
        <f t="shared" si="313"/>
        <v>0</v>
      </c>
      <c r="AO218" s="527">
        <f t="shared" si="313"/>
        <v>0</v>
      </c>
      <c r="AP218" s="527">
        <f t="shared" si="313"/>
        <v>0</v>
      </c>
      <c r="AQ218" s="527">
        <f t="shared" si="313"/>
        <v>0</v>
      </c>
      <c r="AR218" s="527">
        <f t="shared" si="313"/>
        <v>0</v>
      </c>
      <c r="AS218" s="527">
        <f t="shared" si="313"/>
        <v>0</v>
      </c>
      <c r="AT218" s="527">
        <f t="shared" si="313"/>
        <v>0</v>
      </c>
      <c r="AU218" s="527">
        <f t="shared" si="313"/>
        <v>0</v>
      </c>
      <c r="AV218" s="527">
        <f t="shared" si="313"/>
        <v>0</v>
      </c>
      <c r="AW218" s="527">
        <f t="shared" si="313"/>
        <v>0</v>
      </c>
      <c r="AX218" s="527">
        <f t="shared" ref="AX218:BY218" si="314">IFERROR(AX202*(AX$590/SUM(AX$581,AX$590)),0)</f>
        <v>0</v>
      </c>
      <c r="AY218" s="527">
        <f t="shared" si="314"/>
        <v>0</v>
      </c>
      <c r="AZ218" s="527">
        <f t="shared" si="314"/>
        <v>0</v>
      </c>
      <c r="BA218" s="527">
        <f t="shared" si="314"/>
        <v>0</v>
      </c>
      <c r="BB218" s="527">
        <f t="shared" si="314"/>
        <v>0</v>
      </c>
      <c r="BC218" s="527">
        <f t="shared" si="314"/>
        <v>0</v>
      </c>
      <c r="BD218" s="527">
        <f t="shared" si="314"/>
        <v>0</v>
      </c>
      <c r="BE218" s="527">
        <f t="shared" si="314"/>
        <v>0</v>
      </c>
      <c r="BF218" s="527">
        <f t="shared" si="314"/>
        <v>0</v>
      </c>
      <c r="BG218" s="527">
        <f t="shared" si="314"/>
        <v>0</v>
      </c>
      <c r="BH218" s="527">
        <f t="shared" si="314"/>
        <v>0</v>
      </c>
      <c r="BI218" s="527">
        <f t="shared" si="314"/>
        <v>0</v>
      </c>
      <c r="BJ218" s="527">
        <f t="shared" si="314"/>
        <v>0</v>
      </c>
      <c r="BK218" s="527">
        <f t="shared" si="314"/>
        <v>0</v>
      </c>
      <c r="BL218" s="527">
        <f t="shared" si="314"/>
        <v>0</v>
      </c>
      <c r="BM218" s="527">
        <f t="shared" si="314"/>
        <v>0</v>
      </c>
      <c r="BN218" s="527">
        <f t="shared" si="314"/>
        <v>0</v>
      </c>
      <c r="BO218" s="527">
        <f t="shared" si="314"/>
        <v>0</v>
      </c>
      <c r="BP218" s="527">
        <f t="shared" si="314"/>
        <v>0</v>
      </c>
      <c r="BQ218" s="527">
        <f t="shared" si="314"/>
        <v>0</v>
      </c>
      <c r="BR218" s="527">
        <f t="shared" si="314"/>
        <v>0</v>
      </c>
      <c r="BS218" s="527">
        <f t="shared" si="314"/>
        <v>0</v>
      </c>
      <c r="BT218" s="527">
        <f t="shared" si="314"/>
        <v>0</v>
      </c>
      <c r="BU218" s="527">
        <f t="shared" si="314"/>
        <v>0</v>
      </c>
      <c r="BV218" s="527">
        <f t="shared" si="314"/>
        <v>0</v>
      </c>
      <c r="BW218" s="527">
        <f t="shared" si="314"/>
        <v>0</v>
      </c>
      <c r="BX218" s="527">
        <f t="shared" si="314"/>
        <v>0</v>
      </c>
      <c r="BY218" s="527">
        <f t="shared" si="314"/>
        <v>0</v>
      </c>
    </row>
    <row r="219" spans="1:77" x14ac:dyDescent="0.3">
      <c r="A219" s="551"/>
      <c r="B219" s="548"/>
      <c r="C219" s="525"/>
      <c r="D219" s="525"/>
      <c r="E219" s="572" t="s">
        <v>36</v>
      </c>
      <c r="F219" s="572"/>
      <c r="G219" s="572"/>
      <c r="H219" s="572"/>
      <c r="I219" s="572"/>
      <c r="J219" s="572"/>
      <c r="K219" s="572"/>
      <c r="L219" s="572"/>
      <c r="M219" s="572"/>
      <c r="N219" s="572"/>
      <c r="O219" s="572"/>
      <c r="P219" s="612"/>
      <c r="Q219" s="572"/>
      <c r="R219" s="532">
        <f t="shared" ref="R219:AW219" si="315">SUM(R213:R218)</f>
        <v>0</v>
      </c>
      <c r="S219" s="532">
        <f t="shared" si="315"/>
        <v>0</v>
      </c>
      <c r="T219" s="532">
        <f t="shared" si="315"/>
        <v>0</v>
      </c>
      <c r="U219" s="532">
        <f t="shared" si="315"/>
        <v>0</v>
      </c>
      <c r="V219" s="532">
        <f t="shared" si="315"/>
        <v>0</v>
      </c>
      <c r="W219" s="532">
        <f t="shared" si="315"/>
        <v>0</v>
      </c>
      <c r="X219" s="532">
        <f t="shared" si="315"/>
        <v>99.68288468127993</v>
      </c>
      <c r="Y219" s="532">
        <f t="shared" si="315"/>
        <v>99.68288468127993</v>
      </c>
      <c r="Z219" s="532">
        <f t="shared" si="315"/>
        <v>99.68288468127993</v>
      </c>
      <c r="AA219" s="532">
        <f t="shared" si="315"/>
        <v>99.68288468127993</v>
      </c>
      <c r="AB219" s="532">
        <f t="shared" si="315"/>
        <v>99.68288468127993</v>
      </c>
      <c r="AC219" s="532">
        <f t="shared" si="315"/>
        <v>99.68288468127993</v>
      </c>
      <c r="AD219" s="532">
        <f t="shared" si="315"/>
        <v>73.868284434738058</v>
      </c>
      <c r="AE219" s="532">
        <f t="shared" si="315"/>
        <v>73.868284434738058</v>
      </c>
      <c r="AF219" s="532">
        <f t="shared" si="315"/>
        <v>73.868284434738058</v>
      </c>
      <c r="AG219" s="532">
        <f t="shared" si="315"/>
        <v>73.868284434738058</v>
      </c>
      <c r="AH219" s="532">
        <f t="shared" si="315"/>
        <v>73.868284434738058</v>
      </c>
      <c r="AI219" s="532">
        <f t="shared" si="315"/>
        <v>73.868284434738058</v>
      </c>
      <c r="AJ219" s="532">
        <f t="shared" si="315"/>
        <v>195.55955594387802</v>
      </c>
      <c r="AK219" s="532">
        <f t="shared" si="315"/>
        <v>195.55955594387802</v>
      </c>
      <c r="AL219" s="532">
        <f t="shared" si="315"/>
        <v>195.55955594387802</v>
      </c>
      <c r="AM219" s="532">
        <f t="shared" si="315"/>
        <v>195.55955594387802</v>
      </c>
      <c r="AN219" s="532">
        <f t="shared" si="315"/>
        <v>195.55955594387802</v>
      </c>
      <c r="AO219" s="532">
        <f t="shared" si="315"/>
        <v>195.55955594387802</v>
      </c>
      <c r="AP219" s="532">
        <f t="shared" si="315"/>
        <v>147.02628673662224</v>
      </c>
      <c r="AQ219" s="532">
        <f t="shared" si="315"/>
        <v>147.02628673662224</v>
      </c>
      <c r="AR219" s="532">
        <f t="shared" si="315"/>
        <v>147.02628673662224</v>
      </c>
      <c r="AS219" s="532">
        <f t="shared" si="315"/>
        <v>147.02628673662224</v>
      </c>
      <c r="AT219" s="532">
        <f t="shared" si="315"/>
        <v>147.02628673662224</v>
      </c>
      <c r="AU219" s="532">
        <f t="shared" si="315"/>
        <v>147.02628673662224</v>
      </c>
      <c r="AV219" s="532">
        <f t="shared" si="315"/>
        <v>290.33608804124071</v>
      </c>
      <c r="AW219" s="532">
        <f t="shared" si="315"/>
        <v>290.33608804124071</v>
      </c>
      <c r="AX219" s="532">
        <f t="shared" ref="AX219:BY219" si="316">SUM(AX213:AX218)</f>
        <v>290.33608804124071</v>
      </c>
      <c r="AY219" s="532">
        <f t="shared" si="316"/>
        <v>290.33608804124071</v>
      </c>
      <c r="AZ219" s="532">
        <f t="shared" si="316"/>
        <v>290.33608804124071</v>
      </c>
      <c r="BA219" s="532">
        <f t="shared" si="316"/>
        <v>290.33608804124071</v>
      </c>
      <c r="BB219" s="532">
        <f t="shared" si="316"/>
        <v>224.31621330244658</v>
      </c>
      <c r="BC219" s="532">
        <f t="shared" si="316"/>
        <v>224.31621330244658</v>
      </c>
      <c r="BD219" s="532">
        <f t="shared" si="316"/>
        <v>224.31621330244658</v>
      </c>
      <c r="BE219" s="532">
        <f t="shared" si="316"/>
        <v>224.31621330244658</v>
      </c>
      <c r="BF219" s="532">
        <f t="shared" si="316"/>
        <v>224.31621330244658</v>
      </c>
      <c r="BG219" s="532">
        <f t="shared" si="316"/>
        <v>224.31621330244658</v>
      </c>
      <c r="BH219" s="532">
        <f t="shared" si="316"/>
        <v>389.00766880985691</v>
      </c>
      <c r="BI219" s="532">
        <f t="shared" si="316"/>
        <v>389.00766880985691</v>
      </c>
      <c r="BJ219" s="532">
        <f t="shared" si="316"/>
        <v>389.00766880985691</v>
      </c>
      <c r="BK219" s="532">
        <f t="shared" si="316"/>
        <v>389.00766880985691</v>
      </c>
      <c r="BL219" s="532">
        <f t="shared" si="316"/>
        <v>389.00766880985691</v>
      </c>
      <c r="BM219" s="532">
        <f t="shared" si="316"/>
        <v>389.00766880985691</v>
      </c>
      <c r="BN219" s="532">
        <f t="shared" si="316"/>
        <v>304.65865124526977</v>
      </c>
      <c r="BO219" s="532">
        <f t="shared" si="316"/>
        <v>304.65865124526977</v>
      </c>
      <c r="BP219" s="532">
        <f t="shared" si="316"/>
        <v>304.65865124526977</v>
      </c>
      <c r="BQ219" s="532">
        <f t="shared" si="316"/>
        <v>304.65865124526977</v>
      </c>
      <c r="BR219" s="532">
        <f t="shared" si="316"/>
        <v>304.65865124526977</v>
      </c>
      <c r="BS219" s="532">
        <f t="shared" si="316"/>
        <v>304.65865124526977</v>
      </c>
      <c r="BT219" s="532">
        <f t="shared" si="316"/>
        <v>490.24038400468459</v>
      </c>
      <c r="BU219" s="532">
        <f t="shared" si="316"/>
        <v>490.24038400468459</v>
      </c>
      <c r="BV219" s="532">
        <f t="shared" si="316"/>
        <v>490.24038400468459</v>
      </c>
      <c r="BW219" s="532">
        <f t="shared" si="316"/>
        <v>490.24038400468459</v>
      </c>
      <c r="BX219" s="532">
        <f t="shared" si="316"/>
        <v>490.24038400468459</v>
      </c>
      <c r="BY219" s="532">
        <f t="shared" si="316"/>
        <v>490.24038400468459</v>
      </c>
    </row>
    <row r="220" spans="1:77" x14ac:dyDescent="0.3">
      <c r="A220" s="551"/>
      <c r="B220" s="548"/>
      <c r="C220" s="525"/>
      <c r="D220" s="525"/>
      <c r="E220" s="525"/>
      <c r="F220" s="525"/>
      <c r="G220" s="525"/>
      <c r="H220" s="525"/>
      <c r="I220" s="525"/>
      <c r="J220" s="525"/>
      <c r="K220" s="525"/>
      <c r="L220" s="525"/>
      <c r="M220" s="525"/>
      <c r="N220" s="525"/>
      <c r="O220" s="525"/>
      <c r="P220" s="565"/>
      <c r="Q220" s="525"/>
      <c r="R220" s="529"/>
      <c r="S220" s="529"/>
      <c r="T220" s="529"/>
      <c r="U220" s="529"/>
      <c r="V220" s="529"/>
      <c r="W220" s="529"/>
      <c r="X220" s="529"/>
      <c r="Y220" s="529"/>
      <c r="Z220" s="529"/>
      <c r="AA220" s="529"/>
      <c r="AB220" s="529"/>
      <c r="AC220" s="529"/>
      <c r="AD220" s="529"/>
      <c r="AE220" s="529"/>
      <c r="AF220" s="529"/>
      <c r="AG220" s="529"/>
      <c r="AH220" s="529"/>
      <c r="AI220" s="529"/>
      <c r="AJ220" s="529"/>
      <c r="AK220" s="529"/>
      <c r="AL220" s="529"/>
      <c r="AM220" s="529"/>
      <c r="AN220" s="529"/>
      <c r="AO220" s="529"/>
      <c r="AP220" s="529"/>
      <c r="AQ220" s="529"/>
      <c r="AR220" s="529"/>
      <c r="AS220" s="529"/>
      <c r="AT220" s="529"/>
      <c r="AU220" s="529"/>
      <c r="AV220" s="529"/>
      <c r="AW220" s="529"/>
      <c r="AX220" s="529"/>
      <c r="AY220" s="529"/>
      <c r="AZ220" s="529"/>
      <c r="BA220" s="529"/>
      <c r="BB220" s="529"/>
      <c r="BC220" s="529"/>
      <c r="BD220" s="529"/>
      <c r="BE220" s="529"/>
      <c r="BF220" s="529"/>
      <c r="BG220" s="529"/>
      <c r="BH220" s="529"/>
      <c r="BI220" s="529"/>
      <c r="BJ220" s="529"/>
      <c r="BK220" s="529"/>
      <c r="BL220" s="529"/>
      <c r="BM220" s="529"/>
      <c r="BN220" s="529"/>
      <c r="BO220" s="529"/>
      <c r="BP220" s="529"/>
      <c r="BQ220" s="529"/>
      <c r="BR220" s="529"/>
      <c r="BS220" s="529"/>
      <c r="BT220" s="529"/>
      <c r="BU220" s="529"/>
      <c r="BV220" s="529"/>
      <c r="BW220" s="529"/>
      <c r="BX220" s="529"/>
      <c r="BY220" s="529"/>
    </row>
    <row r="221" spans="1:77" x14ac:dyDescent="0.3">
      <c r="A221" s="551"/>
      <c r="B221" s="548"/>
      <c r="C221" s="525"/>
      <c r="D221" s="525"/>
      <c r="E221" s="614" t="s">
        <v>97</v>
      </c>
      <c r="F221" s="539"/>
      <c r="G221" s="539"/>
      <c r="H221" s="539"/>
      <c r="I221" s="539"/>
      <c r="J221" s="539"/>
      <c r="K221" s="539"/>
      <c r="L221" s="539"/>
      <c r="M221" s="539"/>
      <c r="N221" s="539"/>
      <c r="O221" s="539"/>
      <c r="P221" s="615"/>
      <c r="Q221" s="539"/>
      <c r="R221" s="539"/>
      <c r="S221" s="539"/>
      <c r="T221" s="539"/>
      <c r="U221" s="539"/>
      <c r="V221" s="539"/>
      <c r="W221" s="539"/>
      <c r="X221" s="539"/>
      <c r="Y221" s="539"/>
      <c r="Z221" s="539"/>
      <c r="AA221" s="539"/>
      <c r="AB221" s="539"/>
      <c r="AC221" s="539"/>
      <c r="AD221" s="539"/>
      <c r="AE221" s="539"/>
      <c r="AF221" s="539"/>
      <c r="AG221" s="539"/>
      <c r="AH221" s="539"/>
      <c r="AI221" s="539"/>
      <c r="AJ221" s="539"/>
      <c r="AK221" s="539"/>
      <c r="AL221" s="539"/>
      <c r="AM221" s="539"/>
      <c r="AN221" s="539"/>
      <c r="AO221" s="539"/>
      <c r="AP221" s="539"/>
      <c r="AQ221" s="539"/>
      <c r="AR221" s="539"/>
      <c r="AS221" s="539"/>
      <c r="AT221" s="539"/>
      <c r="AU221" s="539"/>
      <c r="AV221" s="539"/>
      <c r="AW221" s="539"/>
      <c r="AX221" s="539"/>
      <c r="AY221" s="539"/>
      <c r="AZ221" s="539"/>
      <c r="BA221" s="539"/>
      <c r="BB221" s="539"/>
      <c r="BC221" s="539"/>
      <c r="BD221" s="539"/>
      <c r="BE221" s="539"/>
      <c r="BF221" s="539"/>
      <c r="BG221" s="539"/>
      <c r="BH221" s="539"/>
      <c r="BI221" s="539"/>
      <c r="BJ221" s="539"/>
      <c r="BK221" s="539"/>
      <c r="BL221" s="539"/>
      <c r="BM221" s="539"/>
      <c r="BN221" s="539"/>
      <c r="BO221" s="539"/>
      <c r="BP221" s="539"/>
      <c r="BQ221" s="539"/>
      <c r="BR221" s="539"/>
      <c r="BS221" s="539"/>
      <c r="BT221" s="539"/>
      <c r="BU221" s="539"/>
      <c r="BV221" s="539"/>
      <c r="BW221" s="539"/>
      <c r="BX221" s="539"/>
      <c r="BY221" s="539"/>
    </row>
    <row r="222" spans="1:77" x14ac:dyDescent="0.3">
      <c r="A222" s="551"/>
      <c r="B222" s="548"/>
      <c r="C222" s="525"/>
      <c r="D222" s="525"/>
      <c r="E222" s="525"/>
      <c r="F222" s="525"/>
      <c r="G222" s="525"/>
      <c r="H222" s="525"/>
      <c r="I222" s="525"/>
      <c r="J222" s="525"/>
      <c r="K222" s="525"/>
      <c r="L222" s="525"/>
      <c r="M222" s="525"/>
      <c r="N222" s="525"/>
      <c r="O222" s="525"/>
      <c r="P222" s="565"/>
      <c r="Q222" s="525"/>
      <c r="R222" s="525"/>
      <c r="S222" s="525"/>
      <c r="T222" s="525"/>
      <c r="U222" s="525"/>
      <c r="V222" s="525"/>
      <c r="W222" s="525"/>
      <c r="X222" s="525"/>
      <c r="Y222" s="525"/>
      <c r="Z222" s="525"/>
      <c r="AA222" s="525"/>
      <c r="AB222" s="525"/>
      <c r="AC222" s="525"/>
      <c r="AD222" s="525"/>
      <c r="AE222" s="525"/>
      <c r="AF222" s="525"/>
      <c r="AG222" s="525"/>
      <c r="AH222" s="525"/>
      <c r="AI222" s="525"/>
      <c r="AJ222" s="525"/>
      <c r="AK222" s="525"/>
      <c r="AL222" s="525"/>
      <c r="AM222" s="525"/>
      <c r="AN222" s="525"/>
      <c r="AO222" s="525"/>
      <c r="AP222" s="525"/>
      <c r="AQ222" s="525"/>
      <c r="AR222" s="525"/>
      <c r="AS222" s="525"/>
      <c r="AT222" s="525"/>
      <c r="AU222" s="525"/>
      <c r="AV222" s="525"/>
      <c r="AW222" s="525"/>
      <c r="AX222" s="525"/>
      <c r="AY222" s="525"/>
      <c r="AZ222" s="525"/>
      <c r="BA222" s="525"/>
      <c r="BB222" s="525"/>
      <c r="BC222" s="525"/>
      <c r="BD222" s="525"/>
      <c r="BE222" s="525"/>
      <c r="BF222" s="525"/>
      <c r="BG222" s="525"/>
      <c r="BH222" s="525"/>
      <c r="BI222" s="525"/>
      <c r="BJ222" s="525"/>
      <c r="BK222" s="525"/>
      <c r="BL222" s="525"/>
      <c r="BM222" s="525"/>
      <c r="BN222" s="525"/>
      <c r="BO222" s="525"/>
      <c r="BP222" s="525"/>
      <c r="BQ222" s="525"/>
      <c r="BR222" s="525"/>
      <c r="BS222" s="525"/>
      <c r="BT222" s="525"/>
      <c r="BU222" s="525"/>
      <c r="BV222" s="525"/>
      <c r="BW222" s="525"/>
      <c r="BX222" s="525"/>
      <c r="BY222" s="525"/>
    </row>
    <row r="223" spans="1:77" x14ac:dyDescent="0.3">
      <c r="A223" s="537"/>
      <c r="B223" s="525"/>
      <c r="C223" s="525"/>
      <c r="D223" s="525"/>
      <c r="E223" s="525" t="s">
        <v>98</v>
      </c>
      <c r="F223" s="525"/>
      <c r="G223" s="525"/>
      <c r="H223" s="525"/>
      <c r="I223" s="525"/>
      <c r="J223" s="525"/>
      <c r="K223" s="525"/>
      <c r="L223" s="525"/>
      <c r="M223" s="525"/>
      <c r="N223" s="525"/>
      <c r="O223" s="525"/>
      <c r="P223" s="565"/>
      <c r="Q223" s="525"/>
      <c r="R223" s="540">
        <f t="shared" ref="R223:BY223" si="317">IFERROR(R581/R576,0)</f>
        <v>0.46665725868424285</v>
      </c>
      <c r="S223" s="540">
        <f t="shared" si="317"/>
        <v>0.46665725868424285</v>
      </c>
      <c r="T223" s="540">
        <f t="shared" si="317"/>
        <v>0.46665725868424285</v>
      </c>
      <c r="U223" s="540">
        <f t="shared" si="317"/>
        <v>0.46665725868424285</v>
      </c>
      <c r="V223" s="540">
        <f t="shared" si="317"/>
        <v>0.46665725868424285</v>
      </c>
      <c r="W223" s="540">
        <f t="shared" si="317"/>
        <v>0.46665725868424285</v>
      </c>
      <c r="X223" s="540">
        <f t="shared" si="317"/>
        <v>0.46665725868424285</v>
      </c>
      <c r="Y223" s="540">
        <f t="shared" si="317"/>
        <v>0.46665725868424285</v>
      </c>
      <c r="Z223" s="540">
        <f t="shared" si="317"/>
        <v>0.46665725868424285</v>
      </c>
      <c r="AA223" s="540">
        <f t="shared" si="317"/>
        <v>0.46665725868424285</v>
      </c>
      <c r="AB223" s="540">
        <f t="shared" si="317"/>
        <v>0.46665725868424285</v>
      </c>
      <c r="AC223" s="540">
        <f t="shared" si="317"/>
        <v>0.46665725868424285</v>
      </c>
      <c r="AD223" s="540">
        <f t="shared" si="317"/>
        <v>0.47505954584391213</v>
      </c>
      <c r="AE223" s="540">
        <f t="shared" si="317"/>
        <v>0.47505954584391213</v>
      </c>
      <c r="AF223" s="540">
        <f t="shared" si="317"/>
        <v>0.47505954584391213</v>
      </c>
      <c r="AG223" s="540">
        <f t="shared" si="317"/>
        <v>0.47505954584391213</v>
      </c>
      <c r="AH223" s="540">
        <f t="shared" si="317"/>
        <v>0.47505954584391213</v>
      </c>
      <c r="AI223" s="540">
        <f t="shared" si="317"/>
        <v>0.47505954584391213</v>
      </c>
      <c r="AJ223" s="540">
        <f t="shared" si="317"/>
        <v>0.47505954584391213</v>
      </c>
      <c r="AK223" s="540">
        <f t="shared" si="317"/>
        <v>0.47505954584391213</v>
      </c>
      <c r="AL223" s="540">
        <f t="shared" si="317"/>
        <v>0.47505954584391213</v>
      </c>
      <c r="AM223" s="540">
        <f t="shared" si="317"/>
        <v>0.47505954584391213</v>
      </c>
      <c r="AN223" s="540">
        <f t="shared" si="317"/>
        <v>0.47505954584391213</v>
      </c>
      <c r="AO223" s="540">
        <f t="shared" si="317"/>
        <v>0.47505954584391213</v>
      </c>
      <c r="AP223" s="540">
        <f t="shared" si="317"/>
        <v>0.48281780963971682</v>
      </c>
      <c r="AQ223" s="540">
        <f t="shared" si="317"/>
        <v>0.48281780963971682</v>
      </c>
      <c r="AR223" s="540">
        <f t="shared" si="317"/>
        <v>0.48281780963971682</v>
      </c>
      <c r="AS223" s="540">
        <f t="shared" si="317"/>
        <v>0.48281780963971682</v>
      </c>
      <c r="AT223" s="540">
        <f t="shared" si="317"/>
        <v>0.48281780963971682</v>
      </c>
      <c r="AU223" s="540">
        <f t="shared" si="317"/>
        <v>0.48281780963971682</v>
      </c>
      <c r="AV223" s="540">
        <f t="shared" si="317"/>
        <v>0.48281780963971682</v>
      </c>
      <c r="AW223" s="540">
        <f t="shared" si="317"/>
        <v>0.48281780963971682</v>
      </c>
      <c r="AX223" s="540">
        <f t="shared" si="317"/>
        <v>0.48281780963971682</v>
      </c>
      <c r="AY223" s="540">
        <f t="shared" si="317"/>
        <v>0.48281780963971682</v>
      </c>
      <c r="AZ223" s="540">
        <f t="shared" si="317"/>
        <v>0.48281780963971682</v>
      </c>
      <c r="BA223" s="540">
        <f t="shared" si="317"/>
        <v>0.48281780963971682</v>
      </c>
      <c r="BB223" s="540">
        <f t="shared" si="317"/>
        <v>0.48991769109326166</v>
      </c>
      <c r="BC223" s="540">
        <f t="shared" si="317"/>
        <v>0.48991769109326166</v>
      </c>
      <c r="BD223" s="540">
        <f t="shared" si="317"/>
        <v>0.48991769109326166</v>
      </c>
      <c r="BE223" s="540">
        <f t="shared" si="317"/>
        <v>0.48991769109326166</v>
      </c>
      <c r="BF223" s="540">
        <f t="shared" si="317"/>
        <v>0.48991769109326166</v>
      </c>
      <c r="BG223" s="540">
        <f t="shared" si="317"/>
        <v>0.48991769109326166</v>
      </c>
      <c r="BH223" s="540">
        <f t="shared" si="317"/>
        <v>0.48991769109326166</v>
      </c>
      <c r="BI223" s="540">
        <f t="shared" si="317"/>
        <v>0.48991769109326166</v>
      </c>
      <c r="BJ223" s="540">
        <f t="shared" si="317"/>
        <v>0.48991769109326166</v>
      </c>
      <c r="BK223" s="540">
        <f t="shared" si="317"/>
        <v>0.48991769109326166</v>
      </c>
      <c r="BL223" s="540">
        <f t="shared" si="317"/>
        <v>0.48991769109326166</v>
      </c>
      <c r="BM223" s="540">
        <f t="shared" si="317"/>
        <v>0.48991769109326166</v>
      </c>
      <c r="BN223" s="540">
        <f t="shared" si="317"/>
        <v>0.49685084536437413</v>
      </c>
      <c r="BO223" s="540">
        <f t="shared" si="317"/>
        <v>0.49685084536437413</v>
      </c>
      <c r="BP223" s="540">
        <f t="shared" si="317"/>
        <v>0.49685084536437413</v>
      </c>
      <c r="BQ223" s="540">
        <f t="shared" si="317"/>
        <v>0.49685084536437413</v>
      </c>
      <c r="BR223" s="540">
        <f t="shared" si="317"/>
        <v>0.49685084536437413</v>
      </c>
      <c r="BS223" s="540">
        <f t="shared" si="317"/>
        <v>0.49685084536437413</v>
      </c>
      <c r="BT223" s="540">
        <f t="shared" si="317"/>
        <v>0.49685084536437413</v>
      </c>
      <c r="BU223" s="540">
        <f t="shared" si="317"/>
        <v>0.49685084536437413</v>
      </c>
      <c r="BV223" s="540">
        <f t="shared" si="317"/>
        <v>0.49685084536437413</v>
      </c>
      <c r="BW223" s="540">
        <f t="shared" si="317"/>
        <v>0.49685084536437413</v>
      </c>
      <c r="BX223" s="540">
        <f t="shared" si="317"/>
        <v>0.49685084536437413</v>
      </c>
      <c r="BY223" s="540">
        <f t="shared" si="317"/>
        <v>0.49685084536437413</v>
      </c>
    </row>
    <row r="224" spans="1:77" x14ac:dyDescent="0.3">
      <c r="A224" s="537"/>
      <c r="B224" s="525"/>
      <c r="C224" s="525"/>
      <c r="D224" s="525"/>
      <c r="E224" s="525" t="s">
        <v>99</v>
      </c>
      <c r="F224" s="525"/>
      <c r="G224" s="525"/>
      <c r="H224" s="525"/>
      <c r="I224" s="525"/>
      <c r="J224" s="525"/>
      <c r="K224" s="525"/>
      <c r="L224" s="525"/>
      <c r="M224" s="525"/>
      <c r="N224" s="525"/>
      <c r="O224" s="525"/>
      <c r="P224" s="565"/>
      <c r="Q224" s="525"/>
      <c r="R224" s="540">
        <f t="shared" ref="R224:BY224" si="318">IFERROR(R590/R585,0)</f>
        <v>0.32085492386810766</v>
      </c>
      <c r="S224" s="540">
        <f t="shared" si="318"/>
        <v>0.32085492386810766</v>
      </c>
      <c r="T224" s="540">
        <f t="shared" si="318"/>
        <v>0.32085492386810766</v>
      </c>
      <c r="U224" s="540">
        <f t="shared" si="318"/>
        <v>0.32085492386810766</v>
      </c>
      <c r="V224" s="540">
        <f t="shared" si="318"/>
        <v>0.32085492386810766</v>
      </c>
      <c r="W224" s="540">
        <f t="shared" si="318"/>
        <v>0.32085492386810766</v>
      </c>
      <c r="X224" s="540">
        <f t="shared" si="318"/>
        <v>0.32085492386810766</v>
      </c>
      <c r="Y224" s="540">
        <f t="shared" si="318"/>
        <v>0.32085492386810766</v>
      </c>
      <c r="Z224" s="540">
        <f t="shared" si="318"/>
        <v>0.32085492386810766</v>
      </c>
      <c r="AA224" s="540">
        <f t="shared" si="318"/>
        <v>0.32085492386810766</v>
      </c>
      <c r="AB224" s="540">
        <f t="shared" si="318"/>
        <v>0.32085492386810766</v>
      </c>
      <c r="AC224" s="540">
        <f t="shared" si="318"/>
        <v>0.32085492386810766</v>
      </c>
      <c r="AD224" s="540">
        <f t="shared" si="318"/>
        <v>0.32085492386810766</v>
      </c>
      <c r="AE224" s="540">
        <f t="shared" si="318"/>
        <v>0.32085492386810766</v>
      </c>
      <c r="AF224" s="540">
        <f t="shared" si="318"/>
        <v>0.32085492386810766</v>
      </c>
      <c r="AG224" s="540">
        <f t="shared" si="318"/>
        <v>0.32085492386810766</v>
      </c>
      <c r="AH224" s="540">
        <f t="shared" si="318"/>
        <v>0.32085492386810766</v>
      </c>
      <c r="AI224" s="540">
        <f t="shared" si="318"/>
        <v>0.32085492386810766</v>
      </c>
      <c r="AJ224" s="540">
        <f t="shared" si="318"/>
        <v>0.32085492386810766</v>
      </c>
      <c r="AK224" s="540">
        <f t="shared" si="318"/>
        <v>0.32085492386810766</v>
      </c>
      <c r="AL224" s="540">
        <f t="shared" si="318"/>
        <v>0.32085492386810766</v>
      </c>
      <c r="AM224" s="540">
        <f t="shared" si="318"/>
        <v>0.32085492386810766</v>
      </c>
      <c r="AN224" s="540">
        <f t="shared" si="318"/>
        <v>0.32085492386810766</v>
      </c>
      <c r="AO224" s="540">
        <f t="shared" si="318"/>
        <v>0.32085492386810766</v>
      </c>
      <c r="AP224" s="540">
        <f t="shared" si="318"/>
        <v>0.32085492386810766</v>
      </c>
      <c r="AQ224" s="540">
        <f t="shared" si="318"/>
        <v>0.32085492386810766</v>
      </c>
      <c r="AR224" s="540">
        <f t="shared" si="318"/>
        <v>0.32085492386810766</v>
      </c>
      <c r="AS224" s="540">
        <f t="shared" si="318"/>
        <v>0.32085492386810766</v>
      </c>
      <c r="AT224" s="540">
        <f t="shared" si="318"/>
        <v>0.32085492386810766</v>
      </c>
      <c r="AU224" s="540">
        <f t="shared" si="318"/>
        <v>0.32085492386810766</v>
      </c>
      <c r="AV224" s="540">
        <f t="shared" si="318"/>
        <v>0.32085492386810766</v>
      </c>
      <c r="AW224" s="540">
        <f t="shared" si="318"/>
        <v>0.32085492386810766</v>
      </c>
      <c r="AX224" s="540">
        <f t="shared" si="318"/>
        <v>0.32085492386810766</v>
      </c>
      <c r="AY224" s="540">
        <f t="shared" si="318"/>
        <v>0.32085492386810766</v>
      </c>
      <c r="AZ224" s="540">
        <f t="shared" si="318"/>
        <v>0.32085492386810766</v>
      </c>
      <c r="BA224" s="540">
        <f t="shared" si="318"/>
        <v>0.32085492386810766</v>
      </c>
      <c r="BB224" s="540">
        <f t="shared" si="318"/>
        <v>0.32085492386810766</v>
      </c>
      <c r="BC224" s="540">
        <f t="shared" si="318"/>
        <v>0.32085492386810766</v>
      </c>
      <c r="BD224" s="540">
        <f t="shared" si="318"/>
        <v>0.32085492386810766</v>
      </c>
      <c r="BE224" s="540">
        <f t="shared" si="318"/>
        <v>0.32085492386810766</v>
      </c>
      <c r="BF224" s="540">
        <f t="shared" si="318"/>
        <v>0.32085492386810766</v>
      </c>
      <c r="BG224" s="540">
        <f t="shared" si="318"/>
        <v>0.32085492386810766</v>
      </c>
      <c r="BH224" s="540">
        <f t="shared" si="318"/>
        <v>0.32085492386810766</v>
      </c>
      <c r="BI224" s="540">
        <f t="shared" si="318"/>
        <v>0.32085492386810766</v>
      </c>
      <c r="BJ224" s="540">
        <f t="shared" si="318"/>
        <v>0.32085492386810766</v>
      </c>
      <c r="BK224" s="540">
        <f t="shared" si="318"/>
        <v>0.32085492386810766</v>
      </c>
      <c r="BL224" s="540">
        <f t="shared" si="318"/>
        <v>0.32085492386810766</v>
      </c>
      <c r="BM224" s="540">
        <f t="shared" si="318"/>
        <v>0.32085492386810766</v>
      </c>
      <c r="BN224" s="540">
        <f t="shared" si="318"/>
        <v>0.32085492386810766</v>
      </c>
      <c r="BO224" s="540">
        <f t="shared" si="318"/>
        <v>0.32085492386810766</v>
      </c>
      <c r="BP224" s="540">
        <f t="shared" si="318"/>
        <v>0.32085492386810766</v>
      </c>
      <c r="BQ224" s="540">
        <f t="shared" si="318"/>
        <v>0.32085492386810766</v>
      </c>
      <c r="BR224" s="540">
        <f t="shared" si="318"/>
        <v>0.32085492386810766</v>
      </c>
      <c r="BS224" s="540">
        <f t="shared" si="318"/>
        <v>0.32085492386810766</v>
      </c>
      <c r="BT224" s="540">
        <f t="shared" si="318"/>
        <v>0.32085492386810766</v>
      </c>
      <c r="BU224" s="540">
        <f t="shared" si="318"/>
        <v>0.32085492386810766</v>
      </c>
      <c r="BV224" s="540">
        <f t="shared" si="318"/>
        <v>0.32085492386810766</v>
      </c>
      <c r="BW224" s="540">
        <f t="shared" si="318"/>
        <v>0.32085492386810766</v>
      </c>
      <c r="BX224" s="540">
        <f t="shared" si="318"/>
        <v>0.32085492386810766</v>
      </c>
      <c r="BY224" s="540">
        <f t="shared" si="318"/>
        <v>0.32085492386810766</v>
      </c>
    </row>
    <row r="225" spans="1:77" x14ac:dyDescent="0.3">
      <c r="A225" s="551"/>
      <c r="B225" s="548"/>
      <c r="C225" s="525"/>
      <c r="D225" s="525"/>
      <c r="E225" s="525"/>
      <c r="F225" s="525"/>
      <c r="G225" s="525"/>
      <c r="H225" s="525"/>
      <c r="I225" s="525"/>
      <c r="J225" s="525"/>
      <c r="K225" s="525"/>
      <c r="L225" s="525"/>
      <c r="M225" s="525"/>
      <c r="N225" s="525"/>
      <c r="O225" s="525"/>
      <c r="P225" s="565"/>
      <c r="Q225" s="525"/>
      <c r="R225" s="525"/>
      <c r="S225" s="525"/>
      <c r="T225" s="525"/>
      <c r="U225" s="525"/>
      <c r="V225" s="525"/>
      <c r="W225" s="525"/>
      <c r="X225" s="525"/>
      <c r="Y225" s="525"/>
      <c r="Z225" s="525"/>
      <c r="AA225" s="525"/>
      <c r="AB225" s="525"/>
      <c r="AC225" s="525"/>
      <c r="AD225" s="525"/>
      <c r="AE225" s="525"/>
      <c r="AF225" s="525"/>
      <c r="AG225" s="525"/>
      <c r="AH225" s="525"/>
      <c r="AI225" s="525"/>
      <c r="AJ225" s="525"/>
      <c r="AK225" s="525"/>
      <c r="AL225" s="525"/>
      <c r="AM225" s="525"/>
      <c r="AN225" s="525"/>
      <c r="AO225" s="525"/>
      <c r="AP225" s="525"/>
      <c r="AQ225" s="525"/>
      <c r="AR225" s="525"/>
      <c r="AS225" s="525"/>
      <c r="AT225" s="525"/>
      <c r="AU225" s="525"/>
      <c r="AV225" s="525"/>
      <c r="AW225" s="525"/>
      <c r="AX225" s="525"/>
      <c r="AY225" s="525"/>
      <c r="AZ225" s="525"/>
      <c r="BA225" s="525"/>
      <c r="BB225" s="525"/>
      <c r="BC225" s="525"/>
      <c r="BD225" s="525"/>
      <c r="BE225" s="525"/>
      <c r="BF225" s="525"/>
      <c r="BG225" s="525"/>
      <c r="BH225" s="525"/>
      <c r="BI225" s="525"/>
      <c r="BJ225" s="525"/>
      <c r="BK225" s="525"/>
      <c r="BL225" s="525"/>
      <c r="BM225" s="525"/>
      <c r="BN225" s="525"/>
      <c r="BO225" s="525"/>
      <c r="BP225" s="525"/>
      <c r="BQ225" s="525"/>
      <c r="BR225" s="525"/>
      <c r="BS225" s="525"/>
      <c r="BT225" s="525"/>
      <c r="BU225" s="525"/>
      <c r="BV225" s="525"/>
      <c r="BW225" s="525"/>
      <c r="BX225" s="525"/>
      <c r="BY225" s="525"/>
    </row>
    <row r="226" spans="1:77" x14ac:dyDescent="0.3">
      <c r="A226" s="551"/>
      <c r="B226" s="548"/>
      <c r="C226" s="525"/>
      <c r="D226" s="525"/>
      <c r="E226" s="614" t="s">
        <v>100</v>
      </c>
      <c r="F226" s="539"/>
      <c r="G226" s="539"/>
      <c r="H226" s="539"/>
      <c r="I226" s="539"/>
      <c r="J226" s="539"/>
      <c r="K226" s="539"/>
      <c r="L226" s="539"/>
      <c r="M226" s="539"/>
      <c r="N226" s="539"/>
      <c r="O226" s="539"/>
      <c r="P226" s="615"/>
      <c r="Q226" s="539"/>
      <c r="R226" s="539"/>
      <c r="S226" s="539"/>
      <c r="T226" s="539"/>
      <c r="U226" s="539"/>
      <c r="V226" s="539"/>
      <c r="W226" s="539"/>
      <c r="X226" s="539"/>
      <c r="Y226" s="539"/>
      <c r="Z226" s="539"/>
      <c r="AA226" s="539"/>
      <c r="AB226" s="539"/>
      <c r="AC226" s="539"/>
      <c r="AD226" s="539"/>
      <c r="AE226" s="539"/>
      <c r="AF226" s="539"/>
      <c r="AG226" s="539"/>
      <c r="AH226" s="539"/>
      <c r="AI226" s="539"/>
      <c r="AJ226" s="539"/>
      <c r="AK226" s="539"/>
      <c r="AL226" s="539"/>
      <c r="AM226" s="539"/>
      <c r="AN226" s="539"/>
      <c r="AO226" s="539"/>
      <c r="AP226" s="539"/>
      <c r="AQ226" s="539"/>
      <c r="AR226" s="539"/>
      <c r="AS226" s="539"/>
      <c r="AT226" s="539"/>
      <c r="AU226" s="539"/>
      <c r="AV226" s="539"/>
      <c r="AW226" s="539"/>
      <c r="AX226" s="539"/>
      <c r="AY226" s="539"/>
      <c r="AZ226" s="539"/>
      <c r="BA226" s="539"/>
      <c r="BB226" s="539"/>
      <c r="BC226" s="539"/>
      <c r="BD226" s="539"/>
      <c r="BE226" s="539"/>
      <c r="BF226" s="539"/>
      <c r="BG226" s="539"/>
      <c r="BH226" s="539"/>
      <c r="BI226" s="539"/>
      <c r="BJ226" s="539"/>
      <c r="BK226" s="539"/>
      <c r="BL226" s="539"/>
      <c r="BM226" s="539"/>
      <c r="BN226" s="539"/>
      <c r="BO226" s="539"/>
      <c r="BP226" s="539"/>
      <c r="BQ226" s="539"/>
      <c r="BR226" s="539"/>
      <c r="BS226" s="539"/>
      <c r="BT226" s="539"/>
      <c r="BU226" s="539"/>
      <c r="BV226" s="539"/>
      <c r="BW226" s="539"/>
      <c r="BX226" s="539"/>
      <c r="BY226" s="539"/>
    </row>
    <row r="227" spans="1:77" x14ac:dyDescent="0.3">
      <c r="A227" s="551"/>
      <c r="B227" s="548"/>
      <c r="C227" s="525"/>
      <c r="D227" s="525"/>
      <c r="E227" s="525"/>
      <c r="F227" s="525"/>
      <c r="G227" s="525"/>
      <c r="H227" s="525"/>
      <c r="I227" s="525"/>
      <c r="J227" s="525"/>
      <c r="K227" s="525"/>
      <c r="L227" s="525"/>
      <c r="M227" s="525"/>
      <c r="N227" s="525"/>
      <c r="O227" s="525"/>
      <c r="P227" s="565"/>
      <c r="Q227" s="525"/>
      <c r="R227" s="525"/>
      <c r="S227" s="525"/>
      <c r="T227" s="525"/>
      <c r="U227" s="525"/>
      <c r="V227" s="525"/>
      <c r="W227" s="525"/>
      <c r="X227" s="525"/>
      <c r="Y227" s="525"/>
      <c r="Z227" s="525"/>
      <c r="AA227" s="525"/>
      <c r="AB227" s="525"/>
      <c r="AC227" s="525"/>
      <c r="AD227" s="525"/>
      <c r="AE227" s="525"/>
      <c r="AF227" s="525"/>
      <c r="AG227" s="525"/>
      <c r="AH227" s="525"/>
      <c r="AI227" s="525"/>
      <c r="AJ227" s="525"/>
      <c r="AK227" s="525"/>
      <c r="AL227" s="525"/>
      <c r="AM227" s="525"/>
      <c r="AN227" s="525"/>
      <c r="AO227" s="525"/>
      <c r="AP227" s="525"/>
      <c r="AQ227" s="525"/>
      <c r="AR227" s="525"/>
      <c r="AS227" s="525"/>
      <c r="AT227" s="525"/>
      <c r="AU227" s="525"/>
      <c r="AV227" s="525"/>
      <c r="AW227" s="525"/>
      <c r="AX227" s="525"/>
      <c r="AY227" s="525"/>
      <c r="AZ227" s="525"/>
      <c r="BA227" s="525"/>
      <c r="BB227" s="525"/>
      <c r="BC227" s="525"/>
      <c r="BD227" s="525"/>
      <c r="BE227" s="525"/>
      <c r="BF227" s="525"/>
      <c r="BG227" s="525"/>
      <c r="BH227" s="525"/>
      <c r="BI227" s="525"/>
      <c r="BJ227" s="525"/>
      <c r="BK227" s="525"/>
      <c r="BL227" s="525"/>
      <c r="BM227" s="525"/>
      <c r="BN227" s="525"/>
      <c r="BO227" s="525"/>
      <c r="BP227" s="525"/>
      <c r="BQ227" s="525"/>
      <c r="BR227" s="525"/>
      <c r="BS227" s="525"/>
      <c r="BT227" s="525"/>
      <c r="BU227" s="525"/>
      <c r="BV227" s="525"/>
      <c r="BW227" s="525"/>
      <c r="BX227" s="525"/>
      <c r="BY227" s="525"/>
    </row>
    <row r="228" spans="1:77" x14ac:dyDescent="0.3">
      <c r="A228" s="537"/>
      <c r="B228" s="525"/>
      <c r="C228" s="525"/>
      <c r="D228" s="525"/>
      <c r="E228" s="525" t="s">
        <v>101</v>
      </c>
      <c r="F228" s="525"/>
      <c r="G228" s="525"/>
      <c r="H228" s="525"/>
      <c r="I228" s="525"/>
      <c r="J228" s="525"/>
      <c r="K228" s="525"/>
      <c r="L228" s="525"/>
      <c r="M228" s="525"/>
      <c r="N228" s="525"/>
      <c r="O228" s="525"/>
      <c r="P228" s="565"/>
      <c r="Q228" s="525"/>
      <c r="R228" s="540">
        <f t="shared" ref="R228:BY228" si="319">IFERROR(R577/SUM(R577,R578,R580),0)</f>
        <v>0.61556088154897282</v>
      </c>
      <c r="S228" s="540">
        <f t="shared" si="319"/>
        <v>0.61556088154897282</v>
      </c>
      <c r="T228" s="540">
        <f t="shared" si="319"/>
        <v>0.61556088154897282</v>
      </c>
      <c r="U228" s="540">
        <f t="shared" si="319"/>
        <v>0.61556088154897282</v>
      </c>
      <c r="V228" s="540">
        <f t="shared" si="319"/>
        <v>0.61556088154897282</v>
      </c>
      <c r="W228" s="540">
        <f t="shared" si="319"/>
        <v>0.61556088154897282</v>
      </c>
      <c r="X228" s="540">
        <f t="shared" si="319"/>
        <v>0.61556088154897282</v>
      </c>
      <c r="Y228" s="540">
        <f t="shared" si="319"/>
        <v>0.61556088154897282</v>
      </c>
      <c r="Z228" s="540">
        <f t="shared" si="319"/>
        <v>0.61556088154897282</v>
      </c>
      <c r="AA228" s="540">
        <f t="shared" si="319"/>
        <v>0.61556088154897282</v>
      </c>
      <c r="AB228" s="540">
        <f t="shared" si="319"/>
        <v>0.61556088154897282</v>
      </c>
      <c r="AC228" s="540">
        <f t="shared" si="319"/>
        <v>0.61556088154897282</v>
      </c>
      <c r="AD228" s="540">
        <f t="shared" si="319"/>
        <v>0.60978414272542081</v>
      </c>
      <c r="AE228" s="540">
        <f t="shared" si="319"/>
        <v>0.60978414272542081</v>
      </c>
      <c r="AF228" s="540">
        <f t="shared" si="319"/>
        <v>0.60978414272542081</v>
      </c>
      <c r="AG228" s="540">
        <f t="shared" si="319"/>
        <v>0.60978414272542081</v>
      </c>
      <c r="AH228" s="540">
        <f t="shared" si="319"/>
        <v>0.60978414272542081</v>
      </c>
      <c r="AI228" s="540">
        <f t="shared" si="319"/>
        <v>0.60978414272542081</v>
      </c>
      <c r="AJ228" s="540">
        <f t="shared" si="319"/>
        <v>0.60978414272542081</v>
      </c>
      <c r="AK228" s="540">
        <f t="shared" si="319"/>
        <v>0.60978414272542081</v>
      </c>
      <c r="AL228" s="540">
        <f t="shared" si="319"/>
        <v>0.60978414272542081</v>
      </c>
      <c r="AM228" s="540">
        <f t="shared" si="319"/>
        <v>0.60978414272542081</v>
      </c>
      <c r="AN228" s="540">
        <f t="shared" si="319"/>
        <v>0.60978414272542081</v>
      </c>
      <c r="AO228" s="540">
        <f t="shared" si="319"/>
        <v>0.60978414272542081</v>
      </c>
      <c r="AP228" s="540">
        <f t="shared" si="319"/>
        <v>0.60424225979185575</v>
      </c>
      <c r="AQ228" s="540">
        <f t="shared" si="319"/>
        <v>0.60424225979185575</v>
      </c>
      <c r="AR228" s="540">
        <f t="shared" si="319"/>
        <v>0.60424225979185575</v>
      </c>
      <c r="AS228" s="540">
        <f t="shared" si="319"/>
        <v>0.60424225979185575</v>
      </c>
      <c r="AT228" s="540">
        <f t="shared" si="319"/>
        <v>0.60424225979185575</v>
      </c>
      <c r="AU228" s="540">
        <f t="shared" si="319"/>
        <v>0.60424225979185575</v>
      </c>
      <c r="AV228" s="540">
        <f t="shared" si="319"/>
        <v>0.60424225979185575</v>
      </c>
      <c r="AW228" s="540">
        <f t="shared" si="319"/>
        <v>0.60424225979185575</v>
      </c>
      <c r="AX228" s="540">
        <f t="shared" si="319"/>
        <v>0.60424225979185575</v>
      </c>
      <c r="AY228" s="540">
        <f t="shared" si="319"/>
        <v>0.60424225979185575</v>
      </c>
      <c r="AZ228" s="540">
        <f t="shared" si="319"/>
        <v>0.60424225979185575</v>
      </c>
      <c r="BA228" s="540">
        <f t="shared" si="319"/>
        <v>0.60424225979185575</v>
      </c>
      <c r="BB228" s="540">
        <f t="shared" si="319"/>
        <v>0.59896644004479438</v>
      </c>
      <c r="BC228" s="540">
        <f t="shared" si="319"/>
        <v>0.59896644004479438</v>
      </c>
      <c r="BD228" s="540">
        <f t="shared" si="319"/>
        <v>0.59896644004479438</v>
      </c>
      <c r="BE228" s="540">
        <f t="shared" si="319"/>
        <v>0.59896644004479438</v>
      </c>
      <c r="BF228" s="540">
        <f t="shared" si="319"/>
        <v>0.59896644004479438</v>
      </c>
      <c r="BG228" s="540">
        <f t="shared" si="319"/>
        <v>0.59896644004479438</v>
      </c>
      <c r="BH228" s="540">
        <f t="shared" si="319"/>
        <v>0.59896644004479438</v>
      </c>
      <c r="BI228" s="540">
        <f t="shared" si="319"/>
        <v>0.59896644004479438</v>
      </c>
      <c r="BJ228" s="540">
        <f t="shared" si="319"/>
        <v>0.59896644004479438</v>
      </c>
      <c r="BK228" s="540">
        <f t="shared" si="319"/>
        <v>0.59896644004479438</v>
      </c>
      <c r="BL228" s="540">
        <f t="shared" si="319"/>
        <v>0.59896644004479438</v>
      </c>
      <c r="BM228" s="540">
        <f t="shared" si="319"/>
        <v>0.59896644004479438</v>
      </c>
      <c r="BN228" s="540">
        <f t="shared" si="319"/>
        <v>0.59370380477182305</v>
      </c>
      <c r="BO228" s="540">
        <f t="shared" si="319"/>
        <v>0.59370380477182305</v>
      </c>
      <c r="BP228" s="540">
        <f t="shared" si="319"/>
        <v>0.59370380477182305</v>
      </c>
      <c r="BQ228" s="540">
        <f t="shared" si="319"/>
        <v>0.59370380477182305</v>
      </c>
      <c r="BR228" s="540">
        <f t="shared" si="319"/>
        <v>0.59370380477182305</v>
      </c>
      <c r="BS228" s="540">
        <f t="shared" si="319"/>
        <v>0.59370380477182305</v>
      </c>
      <c r="BT228" s="540">
        <f t="shared" si="319"/>
        <v>0.59370380477182305</v>
      </c>
      <c r="BU228" s="540">
        <f t="shared" si="319"/>
        <v>0.59370380477182305</v>
      </c>
      <c r="BV228" s="540">
        <f t="shared" si="319"/>
        <v>0.59370380477182305</v>
      </c>
      <c r="BW228" s="540">
        <f t="shared" si="319"/>
        <v>0.59370380477182305</v>
      </c>
      <c r="BX228" s="540">
        <f t="shared" si="319"/>
        <v>0.59370380477182305</v>
      </c>
      <c r="BY228" s="540">
        <f t="shared" si="319"/>
        <v>0.59370380477182305</v>
      </c>
    </row>
    <row r="229" spans="1:77" x14ac:dyDescent="0.3">
      <c r="A229" s="537"/>
      <c r="B229" s="525"/>
      <c r="C229" s="525"/>
      <c r="D229" s="525"/>
      <c r="E229" s="525" t="s">
        <v>102</v>
      </c>
      <c r="F229" s="525"/>
      <c r="G229" s="525"/>
      <c r="H229" s="525"/>
      <c r="I229" s="525"/>
      <c r="J229" s="525"/>
      <c r="K229" s="525"/>
      <c r="L229" s="525"/>
      <c r="M229" s="525"/>
      <c r="N229" s="525"/>
      <c r="O229" s="525"/>
      <c r="P229" s="565"/>
      <c r="Q229" s="525"/>
      <c r="R229" s="540">
        <f t="shared" ref="R229:BY229" si="320">IFERROR(R578/SUM(R577,R578,R580),0)</f>
        <v>0.12678558420610797</v>
      </c>
      <c r="S229" s="540">
        <f t="shared" si="320"/>
        <v>0.12678558420610797</v>
      </c>
      <c r="T229" s="540">
        <f t="shared" si="320"/>
        <v>0.12678558420610797</v>
      </c>
      <c r="U229" s="540">
        <f t="shared" si="320"/>
        <v>0.12678558420610797</v>
      </c>
      <c r="V229" s="540">
        <f t="shared" si="320"/>
        <v>0.12678558420610797</v>
      </c>
      <c r="W229" s="540">
        <f t="shared" si="320"/>
        <v>0.12678558420610797</v>
      </c>
      <c r="X229" s="540">
        <f t="shared" si="320"/>
        <v>0.12678558420610797</v>
      </c>
      <c r="Y229" s="540">
        <f t="shared" si="320"/>
        <v>0.12678558420610797</v>
      </c>
      <c r="Z229" s="540">
        <f t="shared" si="320"/>
        <v>0.12678558420610797</v>
      </c>
      <c r="AA229" s="540">
        <f t="shared" si="320"/>
        <v>0.12678558420610797</v>
      </c>
      <c r="AB229" s="540">
        <f t="shared" si="320"/>
        <v>0.12678558420610797</v>
      </c>
      <c r="AC229" s="540">
        <f t="shared" si="320"/>
        <v>0.12678558420610797</v>
      </c>
      <c r="AD229" s="540">
        <f t="shared" si="320"/>
        <v>0.12676062491129078</v>
      </c>
      <c r="AE229" s="540">
        <f t="shared" si="320"/>
        <v>0.12676062491129078</v>
      </c>
      <c r="AF229" s="540">
        <f t="shared" si="320"/>
        <v>0.12676062491129078</v>
      </c>
      <c r="AG229" s="540">
        <f t="shared" si="320"/>
        <v>0.12676062491129078</v>
      </c>
      <c r="AH229" s="540">
        <f t="shared" si="320"/>
        <v>0.12676062491129078</v>
      </c>
      <c r="AI229" s="540">
        <f t="shared" si="320"/>
        <v>0.12676062491129078</v>
      </c>
      <c r="AJ229" s="540">
        <f t="shared" si="320"/>
        <v>0.12676062491129078</v>
      </c>
      <c r="AK229" s="540">
        <f t="shared" si="320"/>
        <v>0.12676062491129078</v>
      </c>
      <c r="AL229" s="540">
        <f t="shared" si="320"/>
        <v>0.12676062491129078</v>
      </c>
      <c r="AM229" s="540">
        <f t="shared" si="320"/>
        <v>0.12676062491129078</v>
      </c>
      <c r="AN229" s="540">
        <f t="shared" si="320"/>
        <v>0.12676062491129078</v>
      </c>
      <c r="AO229" s="540">
        <f t="shared" si="320"/>
        <v>0.12676062491129078</v>
      </c>
      <c r="AP229" s="540">
        <f t="shared" si="320"/>
        <v>0.12676120851246511</v>
      </c>
      <c r="AQ229" s="540">
        <f t="shared" si="320"/>
        <v>0.12676120851246511</v>
      </c>
      <c r="AR229" s="540">
        <f t="shared" si="320"/>
        <v>0.12676120851246511</v>
      </c>
      <c r="AS229" s="540">
        <f t="shared" si="320"/>
        <v>0.12676120851246511</v>
      </c>
      <c r="AT229" s="540">
        <f t="shared" si="320"/>
        <v>0.12676120851246511</v>
      </c>
      <c r="AU229" s="540">
        <f t="shared" si="320"/>
        <v>0.12676120851246511</v>
      </c>
      <c r="AV229" s="540">
        <f t="shared" si="320"/>
        <v>0.12676120851246511</v>
      </c>
      <c r="AW229" s="540">
        <f t="shared" si="320"/>
        <v>0.12676120851246511</v>
      </c>
      <c r="AX229" s="540">
        <f t="shared" si="320"/>
        <v>0.12676120851246511</v>
      </c>
      <c r="AY229" s="540">
        <f t="shared" si="320"/>
        <v>0.12676120851246511</v>
      </c>
      <c r="AZ229" s="540">
        <f t="shared" si="320"/>
        <v>0.12676120851246511</v>
      </c>
      <c r="BA229" s="540">
        <f t="shared" si="320"/>
        <v>0.12676120851246511</v>
      </c>
      <c r="BB229" s="540">
        <f t="shared" si="320"/>
        <v>0.12679511089276521</v>
      </c>
      <c r="BC229" s="540">
        <f t="shared" si="320"/>
        <v>0.12679511089276521</v>
      </c>
      <c r="BD229" s="540">
        <f t="shared" si="320"/>
        <v>0.12679511089276521</v>
      </c>
      <c r="BE229" s="540">
        <f t="shared" si="320"/>
        <v>0.12679511089276521</v>
      </c>
      <c r="BF229" s="540">
        <f t="shared" si="320"/>
        <v>0.12679511089276521</v>
      </c>
      <c r="BG229" s="540">
        <f t="shared" si="320"/>
        <v>0.12679511089276521</v>
      </c>
      <c r="BH229" s="540">
        <f t="shared" si="320"/>
        <v>0.12679511089276521</v>
      </c>
      <c r="BI229" s="540">
        <f t="shared" si="320"/>
        <v>0.12679511089276521</v>
      </c>
      <c r="BJ229" s="540">
        <f t="shared" si="320"/>
        <v>0.12679511089276521</v>
      </c>
      <c r="BK229" s="540">
        <f t="shared" si="320"/>
        <v>0.12679511089276521</v>
      </c>
      <c r="BL229" s="540">
        <f t="shared" si="320"/>
        <v>0.12679511089276521</v>
      </c>
      <c r="BM229" s="540">
        <f t="shared" si="320"/>
        <v>0.12679511089276521</v>
      </c>
      <c r="BN229" s="540">
        <f t="shared" si="320"/>
        <v>0.12680967209272387</v>
      </c>
      <c r="BO229" s="540">
        <f t="shared" si="320"/>
        <v>0.12680967209272387</v>
      </c>
      <c r="BP229" s="540">
        <f t="shared" si="320"/>
        <v>0.12680967209272387</v>
      </c>
      <c r="BQ229" s="540">
        <f t="shared" si="320"/>
        <v>0.12680967209272387</v>
      </c>
      <c r="BR229" s="540">
        <f t="shared" si="320"/>
        <v>0.12680967209272387</v>
      </c>
      <c r="BS229" s="540">
        <f t="shared" si="320"/>
        <v>0.12680967209272387</v>
      </c>
      <c r="BT229" s="540">
        <f t="shared" si="320"/>
        <v>0.12680967209272387</v>
      </c>
      <c r="BU229" s="540">
        <f t="shared" si="320"/>
        <v>0.12680967209272387</v>
      </c>
      <c r="BV229" s="540">
        <f t="shared" si="320"/>
        <v>0.12680967209272387</v>
      </c>
      <c r="BW229" s="540">
        <f t="shared" si="320"/>
        <v>0.12680967209272387</v>
      </c>
      <c r="BX229" s="540">
        <f t="shared" si="320"/>
        <v>0.12680967209272387</v>
      </c>
      <c r="BY229" s="540">
        <f t="shared" si="320"/>
        <v>0.12680967209272387</v>
      </c>
    </row>
    <row r="230" spans="1:77" x14ac:dyDescent="0.3">
      <c r="A230" s="537"/>
      <c r="B230" s="525"/>
      <c r="C230" s="525"/>
      <c r="D230" s="525"/>
      <c r="E230" s="525" t="s">
        <v>103</v>
      </c>
      <c r="F230" s="525"/>
      <c r="G230" s="525"/>
      <c r="H230" s="525"/>
      <c r="I230" s="525"/>
      <c r="J230" s="525"/>
      <c r="K230" s="525"/>
      <c r="L230" s="525"/>
      <c r="M230" s="525"/>
      <c r="N230" s="525"/>
      <c r="O230" s="525"/>
      <c r="P230" s="565"/>
      <c r="Q230" s="525"/>
      <c r="R230" s="540">
        <f t="shared" ref="R230:BY230" si="321">IFERROR(R580/SUM(R577,R578,R580),0)</f>
        <v>0.25765353424491927</v>
      </c>
      <c r="S230" s="540">
        <f t="shared" si="321"/>
        <v>0.25765353424491927</v>
      </c>
      <c r="T230" s="540">
        <f t="shared" si="321"/>
        <v>0.25765353424491927</v>
      </c>
      <c r="U230" s="540">
        <f t="shared" si="321"/>
        <v>0.25765353424491927</v>
      </c>
      <c r="V230" s="540">
        <f t="shared" si="321"/>
        <v>0.25765353424491927</v>
      </c>
      <c r="W230" s="540">
        <f t="shared" si="321"/>
        <v>0.25765353424491927</v>
      </c>
      <c r="X230" s="540">
        <f t="shared" si="321"/>
        <v>0.25765353424491927</v>
      </c>
      <c r="Y230" s="540">
        <f t="shared" si="321"/>
        <v>0.25765353424491927</v>
      </c>
      <c r="Z230" s="540">
        <f t="shared" si="321"/>
        <v>0.25765353424491927</v>
      </c>
      <c r="AA230" s="540">
        <f t="shared" si="321"/>
        <v>0.25765353424491927</v>
      </c>
      <c r="AB230" s="540">
        <f t="shared" si="321"/>
        <v>0.25765353424491927</v>
      </c>
      <c r="AC230" s="540">
        <f t="shared" si="321"/>
        <v>0.25765353424491927</v>
      </c>
      <c r="AD230" s="540">
        <f t="shared" si="321"/>
        <v>0.26345523236328849</v>
      </c>
      <c r="AE230" s="540">
        <f t="shared" si="321"/>
        <v>0.26345523236328849</v>
      </c>
      <c r="AF230" s="540">
        <f t="shared" si="321"/>
        <v>0.26345523236328849</v>
      </c>
      <c r="AG230" s="540">
        <f t="shared" si="321"/>
        <v>0.26345523236328849</v>
      </c>
      <c r="AH230" s="540">
        <f t="shared" si="321"/>
        <v>0.26345523236328849</v>
      </c>
      <c r="AI230" s="540">
        <f t="shared" si="321"/>
        <v>0.26345523236328849</v>
      </c>
      <c r="AJ230" s="540">
        <f t="shared" si="321"/>
        <v>0.26345523236328849</v>
      </c>
      <c r="AK230" s="540">
        <f t="shared" si="321"/>
        <v>0.26345523236328849</v>
      </c>
      <c r="AL230" s="540">
        <f t="shared" si="321"/>
        <v>0.26345523236328849</v>
      </c>
      <c r="AM230" s="540">
        <f t="shared" si="321"/>
        <v>0.26345523236328849</v>
      </c>
      <c r="AN230" s="540">
        <f t="shared" si="321"/>
        <v>0.26345523236328849</v>
      </c>
      <c r="AO230" s="540">
        <f t="shared" si="321"/>
        <v>0.26345523236328849</v>
      </c>
      <c r="AP230" s="540">
        <f t="shared" si="321"/>
        <v>0.26899653169567911</v>
      </c>
      <c r="AQ230" s="540">
        <f t="shared" si="321"/>
        <v>0.26899653169567911</v>
      </c>
      <c r="AR230" s="540">
        <f t="shared" si="321"/>
        <v>0.26899653169567911</v>
      </c>
      <c r="AS230" s="540">
        <f t="shared" si="321"/>
        <v>0.26899653169567911</v>
      </c>
      <c r="AT230" s="540">
        <f t="shared" si="321"/>
        <v>0.26899653169567911</v>
      </c>
      <c r="AU230" s="540">
        <f t="shared" si="321"/>
        <v>0.26899653169567911</v>
      </c>
      <c r="AV230" s="540">
        <f t="shared" si="321"/>
        <v>0.26899653169567911</v>
      </c>
      <c r="AW230" s="540">
        <f t="shared" si="321"/>
        <v>0.26899653169567911</v>
      </c>
      <c r="AX230" s="540">
        <f t="shared" si="321"/>
        <v>0.26899653169567911</v>
      </c>
      <c r="AY230" s="540">
        <f t="shared" si="321"/>
        <v>0.26899653169567911</v>
      </c>
      <c r="AZ230" s="540">
        <f t="shared" si="321"/>
        <v>0.26899653169567911</v>
      </c>
      <c r="BA230" s="540">
        <f t="shared" si="321"/>
        <v>0.26899653169567911</v>
      </c>
      <c r="BB230" s="540">
        <f t="shared" si="321"/>
        <v>0.27423844906244055</v>
      </c>
      <c r="BC230" s="540">
        <f t="shared" si="321"/>
        <v>0.27423844906244055</v>
      </c>
      <c r="BD230" s="540">
        <f t="shared" si="321"/>
        <v>0.27423844906244055</v>
      </c>
      <c r="BE230" s="540">
        <f t="shared" si="321"/>
        <v>0.27423844906244055</v>
      </c>
      <c r="BF230" s="540">
        <f t="shared" si="321"/>
        <v>0.27423844906244055</v>
      </c>
      <c r="BG230" s="540">
        <f t="shared" si="321"/>
        <v>0.27423844906244055</v>
      </c>
      <c r="BH230" s="540">
        <f t="shared" si="321"/>
        <v>0.27423844906244055</v>
      </c>
      <c r="BI230" s="540">
        <f t="shared" si="321"/>
        <v>0.27423844906244055</v>
      </c>
      <c r="BJ230" s="540">
        <f t="shared" si="321"/>
        <v>0.27423844906244055</v>
      </c>
      <c r="BK230" s="540">
        <f t="shared" si="321"/>
        <v>0.27423844906244055</v>
      </c>
      <c r="BL230" s="540">
        <f t="shared" si="321"/>
        <v>0.27423844906244055</v>
      </c>
      <c r="BM230" s="540">
        <f t="shared" si="321"/>
        <v>0.27423844906244055</v>
      </c>
      <c r="BN230" s="540">
        <f t="shared" si="321"/>
        <v>0.27948652313545308</v>
      </c>
      <c r="BO230" s="540">
        <f t="shared" si="321"/>
        <v>0.27948652313545308</v>
      </c>
      <c r="BP230" s="540">
        <f t="shared" si="321"/>
        <v>0.27948652313545308</v>
      </c>
      <c r="BQ230" s="540">
        <f t="shared" si="321"/>
        <v>0.27948652313545308</v>
      </c>
      <c r="BR230" s="540">
        <f t="shared" si="321"/>
        <v>0.27948652313545308</v>
      </c>
      <c r="BS230" s="540">
        <f t="shared" si="321"/>
        <v>0.27948652313545308</v>
      </c>
      <c r="BT230" s="540">
        <f t="shared" si="321"/>
        <v>0.27948652313545308</v>
      </c>
      <c r="BU230" s="540">
        <f t="shared" si="321"/>
        <v>0.27948652313545308</v>
      </c>
      <c r="BV230" s="540">
        <f t="shared" si="321"/>
        <v>0.27948652313545308</v>
      </c>
      <c r="BW230" s="540">
        <f t="shared" si="321"/>
        <v>0.27948652313545308</v>
      </c>
      <c r="BX230" s="540">
        <f t="shared" si="321"/>
        <v>0.27948652313545308</v>
      </c>
      <c r="BY230" s="540">
        <f t="shared" si="321"/>
        <v>0.27948652313545308</v>
      </c>
    </row>
    <row r="231" spans="1:77" x14ac:dyDescent="0.3">
      <c r="A231" s="537"/>
      <c r="B231" s="525"/>
      <c r="C231" s="525"/>
      <c r="D231" s="525"/>
      <c r="E231" s="525"/>
      <c r="F231" s="525"/>
      <c r="G231" s="525"/>
      <c r="H231" s="525"/>
      <c r="I231" s="525"/>
      <c r="J231" s="525"/>
      <c r="K231" s="525"/>
      <c r="L231" s="525"/>
      <c r="M231" s="525"/>
      <c r="N231" s="525"/>
      <c r="O231" s="525"/>
      <c r="P231" s="565"/>
      <c r="Q231" s="525"/>
      <c r="R231" s="525"/>
      <c r="S231" s="525"/>
      <c r="T231" s="525"/>
      <c r="U231" s="525"/>
      <c r="V231" s="525"/>
      <c r="W231" s="525"/>
      <c r="X231" s="525"/>
      <c r="Y231" s="525"/>
      <c r="Z231" s="525"/>
      <c r="AA231" s="525"/>
      <c r="AB231" s="525"/>
      <c r="AC231" s="525"/>
      <c r="AD231" s="525"/>
      <c r="AE231" s="525"/>
      <c r="AF231" s="525"/>
      <c r="AG231" s="525"/>
      <c r="AH231" s="525"/>
      <c r="AI231" s="525"/>
      <c r="AJ231" s="525"/>
      <c r="AK231" s="525"/>
      <c r="AL231" s="525"/>
      <c r="AM231" s="525"/>
      <c r="AN231" s="525"/>
      <c r="AO231" s="525"/>
      <c r="AP231" s="525"/>
      <c r="AQ231" s="525"/>
      <c r="AR231" s="525"/>
      <c r="AS231" s="525"/>
      <c r="AT231" s="525"/>
      <c r="AU231" s="525"/>
      <c r="AV231" s="525"/>
      <c r="AW231" s="525"/>
      <c r="AX231" s="525"/>
      <c r="AY231" s="525"/>
      <c r="AZ231" s="525"/>
      <c r="BA231" s="525"/>
      <c r="BB231" s="525"/>
      <c r="BC231" s="525"/>
      <c r="BD231" s="525"/>
      <c r="BE231" s="525"/>
      <c r="BF231" s="525"/>
      <c r="BG231" s="525"/>
      <c r="BH231" s="525"/>
      <c r="BI231" s="525"/>
      <c r="BJ231" s="525"/>
      <c r="BK231" s="525"/>
      <c r="BL231" s="525"/>
      <c r="BM231" s="525"/>
      <c r="BN231" s="525"/>
      <c r="BO231" s="525"/>
      <c r="BP231" s="525"/>
      <c r="BQ231" s="525"/>
      <c r="BR231" s="525"/>
      <c r="BS231" s="525"/>
      <c r="BT231" s="525"/>
      <c r="BU231" s="525"/>
      <c r="BV231" s="525"/>
      <c r="BW231" s="525"/>
      <c r="BX231" s="525"/>
      <c r="BY231" s="525"/>
    </row>
    <row r="232" spans="1:77" x14ac:dyDescent="0.3">
      <c r="A232" s="537"/>
      <c r="B232" s="525"/>
      <c r="C232" s="525"/>
      <c r="D232" s="525"/>
      <c r="E232" s="525" t="s">
        <v>104</v>
      </c>
      <c r="F232" s="525"/>
      <c r="G232" s="525"/>
      <c r="H232" s="525"/>
      <c r="I232" s="525"/>
      <c r="J232" s="525"/>
      <c r="K232" s="525"/>
      <c r="L232" s="525"/>
      <c r="M232" s="525"/>
      <c r="N232" s="525"/>
      <c r="O232" s="525"/>
      <c r="P232" s="565"/>
      <c r="Q232" s="525"/>
      <c r="R232" s="540">
        <f t="shared" ref="R232:BY232" si="322">IFERROR(R586/SUM(R586,R587,R589),0)</f>
        <v>0.76115722047845413</v>
      </c>
      <c r="S232" s="540">
        <f t="shared" si="322"/>
        <v>0.76115722047845413</v>
      </c>
      <c r="T232" s="540">
        <f t="shared" si="322"/>
        <v>0.76115722047845413</v>
      </c>
      <c r="U232" s="540">
        <f t="shared" si="322"/>
        <v>0.76115722047845413</v>
      </c>
      <c r="V232" s="540">
        <f t="shared" si="322"/>
        <v>0.76115722047845413</v>
      </c>
      <c r="W232" s="540">
        <f t="shared" si="322"/>
        <v>0.76115722047845413</v>
      </c>
      <c r="X232" s="540">
        <f t="shared" si="322"/>
        <v>0.76115722047845413</v>
      </c>
      <c r="Y232" s="540">
        <f t="shared" si="322"/>
        <v>0.76115722047845413</v>
      </c>
      <c r="Z232" s="540">
        <f t="shared" si="322"/>
        <v>0.76115722047845413</v>
      </c>
      <c r="AA232" s="540">
        <f t="shared" si="322"/>
        <v>0.76115722047845413</v>
      </c>
      <c r="AB232" s="540">
        <f t="shared" si="322"/>
        <v>0.76115722047845413</v>
      </c>
      <c r="AC232" s="540">
        <f t="shared" si="322"/>
        <v>0.76115722047845413</v>
      </c>
      <c r="AD232" s="540">
        <f t="shared" si="322"/>
        <v>0.76115722047845413</v>
      </c>
      <c r="AE232" s="540">
        <f t="shared" si="322"/>
        <v>0.76115722047845413</v>
      </c>
      <c r="AF232" s="540">
        <f t="shared" si="322"/>
        <v>0.76115722047845413</v>
      </c>
      <c r="AG232" s="540">
        <f t="shared" si="322"/>
        <v>0.76115722047845413</v>
      </c>
      <c r="AH232" s="540">
        <f t="shared" si="322"/>
        <v>0.76115722047845413</v>
      </c>
      <c r="AI232" s="540">
        <f t="shared" si="322"/>
        <v>0.76115722047845413</v>
      </c>
      <c r="AJ232" s="540">
        <f t="shared" si="322"/>
        <v>0.76115722047845413</v>
      </c>
      <c r="AK232" s="540">
        <f t="shared" si="322"/>
        <v>0.76115722047845413</v>
      </c>
      <c r="AL232" s="540">
        <f t="shared" si="322"/>
        <v>0.76115722047845413</v>
      </c>
      <c r="AM232" s="540">
        <f t="shared" si="322"/>
        <v>0.76115722047845413</v>
      </c>
      <c r="AN232" s="540">
        <f t="shared" si="322"/>
        <v>0.76115722047845413</v>
      </c>
      <c r="AO232" s="540">
        <f t="shared" si="322"/>
        <v>0.76115722047845413</v>
      </c>
      <c r="AP232" s="540">
        <f t="shared" si="322"/>
        <v>0.76115722047845413</v>
      </c>
      <c r="AQ232" s="540">
        <f t="shared" si="322"/>
        <v>0.76115722047845413</v>
      </c>
      <c r="AR232" s="540">
        <f t="shared" si="322"/>
        <v>0.76115722047845413</v>
      </c>
      <c r="AS232" s="540">
        <f t="shared" si="322"/>
        <v>0.76115722047845413</v>
      </c>
      <c r="AT232" s="540">
        <f t="shared" si="322"/>
        <v>0.76115722047845413</v>
      </c>
      <c r="AU232" s="540">
        <f t="shared" si="322"/>
        <v>0.76115722047845413</v>
      </c>
      <c r="AV232" s="540">
        <f t="shared" si="322"/>
        <v>0.76115722047845413</v>
      </c>
      <c r="AW232" s="540">
        <f t="shared" si="322"/>
        <v>0.76115722047845413</v>
      </c>
      <c r="AX232" s="540">
        <f t="shared" si="322"/>
        <v>0.76115722047845413</v>
      </c>
      <c r="AY232" s="540">
        <f t="shared" si="322"/>
        <v>0.76115722047845413</v>
      </c>
      <c r="AZ232" s="540">
        <f t="shared" si="322"/>
        <v>0.76115722047845413</v>
      </c>
      <c r="BA232" s="540">
        <f t="shared" si="322"/>
        <v>0.76115722047845413</v>
      </c>
      <c r="BB232" s="540">
        <f t="shared" si="322"/>
        <v>0.76115722047845413</v>
      </c>
      <c r="BC232" s="540">
        <f t="shared" si="322"/>
        <v>0.76115722047845413</v>
      </c>
      <c r="BD232" s="540">
        <f t="shared" si="322"/>
        <v>0.76115722047845413</v>
      </c>
      <c r="BE232" s="540">
        <f t="shared" si="322"/>
        <v>0.76115722047845413</v>
      </c>
      <c r="BF232" s="540">
        <f t="shared" si="322"/>
        <v>0.76115722047845413</v>
      </c>
      <c r="BG232" s="540">
        <f t="shared" si="322"/>
        <v>0.76115722047845413</v>
      </c>
      <c r="BH232" s="540">
        <f t="shared" si="322"/>
        <v>0.76115722047845413</v>
      </c>
      <c r="BI232" s="540">
        <f t="shared" si="322"/>
        <v>0.76115722047845413</v>
      </c>
      <c r="BJ232" s="540">
        <f t="shared" si="322"/>
        <v>0.76115722047845413</v>
      </c>
      <c r="BK232" s="540">
        <f t="shared" si="322"/>
        <v>0.76115722047845413</v>
      </c>
      <c r="BL232" s="540">
        <f t="shared" si="322"/>
        <v>0.76115722047845413</v>
      </c>
      <c r="BM232" s="540">
        <f t="shared" si="322"/>
        <v>0.76115722047845413</v>
      </c>
      <c r="BN232" s="540">
        <f t="shared" si="322"/>
        <v>0.76115722047845413</v>
      </c>
      <c r="BO232" s="540">
        <f t="shared" si="322"/>
        <v>0.76115722047845413</v>
      </c>
      <c r="BP232" s="540">
        <f t="shared" si="322"/>
        <v>0.76115722047845413</v>
      </c>
      <c r="BQ232" s="540">
        <f t="shared" si="322"/>
        <v>0.76115722047845413</v>
      </c>
      <c r="BR232" s="540">
        <f t="shared" si="322"/>
        <v>0.76115722047845413</v>
      </c>
      <c r="BS232" s="540">
        <f t="shared" si="322"/>
        <v>0.76115722047845413</v>
      </c>
      <c r="BT232" s="540">
        <f t="shared" si="322"/>
        <v>0.76115722047845413</v>
      </c>
      <c r="BU232" s="540">
        <f t="shared" si="322"/>
        <v>0.76115722047845413</v>
      </c>
      <c r="BV232" s="540">
        <f t="shared" si="322"/>
        <v>0.76115722047845413</v>
      </c>
      <c r="BW232" s="540">
        <f t="shared" si="322"/>
        <v>0.76115722047845413</v>
      </c>
      <c r="BX232" s="540">
        <f t="shared" si="322"/>
        <v>0.76115722047845413</v>
      </c>
      <c r="BY232" s="540">
        <f t="shared" si="322"/>
        <v>0.76115722047845413</v>
      </c>
    </row>
    <row r="233" spans="1:77" x14ac:dyDescent="0.3">
      <c r="A233" s="537"/>
      <c r="B233" s="525"/>
      <c r="C233" s="525"/>
      <c r="D233" s="525"/>
      <c r="E233" s="525" t="s">
        <v>105</v>
      </c>
      <c r="F233" s="525"/>
      <c r="G233" s="525"/>
      <c r="H233" s="525"/>
      <c r="I233" s="525"/>
      <c r="J233" s="525"/>
      <c r="K233" s="525"/>
      <c r="L233" s="525"/>
      <c r="M233" s="525"/>
      <c r="N233" s="525"/>
      <c r="O233" s="525"/>
      <c r="P233" s="565"/>
      <c r="Q233" s="525"/>
      <c r="R233" s="540">
        <f t="shared" ref="R233:BY233" si="323">IFERROR(R587/SUM(R586,R587,R589),0)</f>
        <v>0.12896242578185269</v>
      </c>
      <c r="S233" s="540">
        <f t="shared" si="323"/>
        <v>0.12896242578185269</v>
      </c>
      <c r="T233" s="540">
        <f t="shared" si="323"/>
        <v>0.12896242578185269</v>
      </c>
      <c r="U233" s="540">
        <f t="shared" si="323"/>
        <v>0.12896242578185269</v>
      </c>
      <c r="V233" s="540">
        <f t="shared" si="323"/>
        <v>0.12896242578185269</v>
      </c>
      <c r="W233" s="540">
        <f t="shared" si="323"/>
        <v>0.12896242578185269</v>
      </c>
      <c r="X233" s="540">
        <f t="shared" si="323"/>
        <v>0.12896242578185269</v>
      </c>
      <c r="Y233" s="540">
        <f t="shared" si="323"/>
        <v>0.12896242578185269</v>
      </c>
      <c r="Z233" s="540">
        <f t="shared" si="323"/>
        <v>0.12896242578185269</v>
      </c>
      <c r="AA233" s="540">
        <f t="shared" si="323"/>
        <v>0.12896242578185269</v>
      </c>
      <c r="AB233" s="540">
        <f t="shared" si="323"/>
        <v>0.12896242578185269</v>
      </c>
      <c r="AC233" s="540">
        <f t="shared" si="323"/>
        <v>0.12896242578185269</v>
      </c>
      <c r="AD233" s="540">
        <f t="shared" si="323"/>
        <v>0.12896242578185269</v>
      </c>
      <c r="AE233" s="540">
        <f t="shared" si="323"/>
        <v>0.12896242578185269</v>
      </c>
      <c r="AF233" s="540">
        <f t="shared" si="323"/>
        <v>0.12896242578185269</v>
      </c>
      <c r="AG233" s="540">
        <f t="shared" si="323"/>
        <v>0.12896242578185269</v>
      </c>
      <c r="AH233" s="540">
        <f t="shared" si="323"/>
        <v>0.12896242578185269</v>
      </c>
      <c r="AI233" s="540">
        <f t="shared" si="323"/>
        <v>0.12896242578185269</v>
      </c>
      <c r="AJ233" s="540">
        <f t="shared" si="323"/>
        <v>0.12896242578185269</v>
      </c>
      <c r="AK233" s="540">
        <f t="shared" si="323"/>
        <v>0.12896242578185269</v>
      </c>
      <c r="AL233" s="540">
        <f t="shared" si="323"/>
        <v>0.12896242578185269</v>
      </c>
      <c r="AM233" s="540">
        <f t="shared" si="323"/>
        <v>0.12896242578185269</v>
      </c>
      <c r="AN233" s="540">
        <f t="shared" si="323"/>
        <v>0.12896242578185269</v>
      </c>
      <c r="AO233" s="540">
        <f t="shared" si="323"/>
        <v>0.12896242578185269</v>
      </c>
      <c r="AP233" s="540">
        <f t="shared" si="323"/>
        <v>0.12896242578185269</v>
      </c>
      <c r="AQ233" s="540">
        <f t="shared" si="323"/>
        <v>0.12896242578185269</v>
      </c>
      <c r="AR233" s="540">
        <f t="shared" si="323"/>
        <v>0.12896242578185269</v>
      </c>
      <c r="AS233" s="540">
        <f t="shared" si="323"/>
        <v>0.12896242578185269</v>
      </c>
      <c r="AT233" s="540">
        <f t="shared" si="323"/>
        <v>0.12896242578185269</v>
      </c>
      <c r="AU233" s="540">
        <f t="shared" si="323"/>
        <v>0.12896242578185269</v>
      </c>
      <c r="AV233" s="540">
        <f t="shared" si="323"/>
        <v>0.12896242578185269</v>
      </c>
      <c r="AW233" s="540">
        <f t="shared" si="323"/>
        <v>0.12896242578185269</v>
      </c>
      <c r="AX233" s="540">
        <f t="shared" si="323"/>
        <v>0.12896242578185269</v>
      </c>
      <c r="AY233" s="540">
        <f t="shared" si="323"/>
        <v>0.12896242578185269</v>
      </c>
      <c r="AZ233" s="540">
        <f t="shared" si="323"/>
        <v>0.12896242578185269</v>
      </c>
      <c r="BA233" s="540">
        <f t="shared" si="323"/>
        <v>0.12896242578185269</v>
      </c>
      <c r="BB233" s="540">
        <f t="shared" si="323"/>
        <v>0.12896242578185269</v>
      </c>
      <c r="BC233" s="540">
        <f t="shared" si="323"/>
        <v>0.12896242578185269</v>
      </c>
      <c r="BD233" s="540">
        <f t="shared" si="323"/>
        <v>0.12896242578185269</v>
      </c>
      <c r="BE233" s="540">
        <f t="shared" si="323"/>
        <v>0.12896242578185269</v>
      </c>
      <c r="BF233" s="540">
        <f t="shared" si="323"/>
        <v>0.12896242578185269</v>
      </c>
      <c r="BG233" s="540">
        <f t="shared" si="323"/>
        <v>0.12896242578185269</v>
      </c>
      <c r="BH233" s="540">
        <f t="shared" si="323"/>
        <v>0.12896242578185269</v>
      </c>
      <c r="BI233" s="540">
        <f t="shared" si="323"/>
        <v>0.12896242578185269</v>
      </c>
      <c r="BJ233" s="540">
        <f t="shared" si="323"/>
        <v>0.12896242578185269</v>
      </c>
      <c r="BK233" s="540">
        <f t="shared" si="323"/>
        <v>0.12896242578185269</v>
      </c>
      <c r="BL233" s="540">
        <f t="shared" si="323"/>
        <v>0.12896242578185269</v>
      </c>
      <c r="BM233" s="540">
        <f t="shared" si="323"/>
        <v>0.12896242578185269</v>
      </c>
      <c r="BN233" s="540">
        <f t="shared" si="323"/>
        <v>0.12896242578185269</v>
      </c>
      <c r="BO233" s="540">
        <f t="shared" si="323"/>
        <v>0.12896242578185269</v>
      </c>
      <c r="BP233" s="540">
        <f t="shared" si="323"/>
        <v>0.12896242578185269</v>
      </c>
      <c r="BQ233" s="540">
        <f t="shared" si="323"/>
        <v>0.12896242578185269</v>
      </c>
      <c r="BR233" s="540">
        <f t="shared" si="323"/>
        <v>0.12896242578185269</v>
      </c>
      <c r="BS233" s="540">
        <f t="shared" si="323"/>
        <v>0.12896242578185269</v>
      </c>
      <c r="BT233" s="540">
        <f t="shared" si="323"/>
        <v>0.12896242578185269</v>
      </c>
      <c r="BU233" s="540">
        <f t="shared" si="323"/>
        <v>0.12896242578185269</v>
      </c>
      <c r="BV233" s="540">
        <f t="shared" si="323"/>
        <v>0.12896242578185269</v>
      </c>
      <c r="BW233" s="540">
        <f t="shared" si="323"/>
        <v>0.12896242578185269</v>
      </c>
      <c r="BX233" s="540">
        <f t="shared" si="323"/>
        <v>0.12896242578185269</v>
      </c>
      <c r="BY233" s="540">
        <f t="shared" si="323"/>
        <v>0.12896242578185269</v>
      </c>
    </row>
    <row r="234" spans="1:77" x14ac:dyDescent="0.3">
      <c r="A234" s="537"/>
      <c r="B234" s="525"/>
      <c r="C234" s="525"/>
      <c r="D234" s="525"/>
      <c r="E234" s="525" t="s">
        <v>106</v>
      </c>
      <c r="F234" s="525"/>
      <c r="G234" s="525"/>
      <c r="H234" s="525"/>
      <c r="I234" s="525"/>
      <c r="J234" s="525"/>
      <c r="K234" s="525"/>
      <c r="L234" s="525"/>
      <c r="M234" s="525"/>
      <c r="N234" s="525"/>
      <c r="O234" s="525"/>
      <c r="P234" s="565"/>
      <c r="Q234" s="525"/>
      <c r="R234" s="540">
        <f t="shared" ref="R234:BY234" si="324">IFERROR(R589/SUM(R586,R587,R589),0)</f>
        <v>0.10988035373969313</v>
      </c>
      <c r="S234" s="540">
        <f t="shared" si="324"/>
        <v>0.10988035373969313</v>
      </c>
      <c r="T234" s="540">
        <f t="shared" si="324"/>
        <v>0.10988035373969313</v>
      </c>
      <c r="U234" s="540">
        <f t="shared" si="324"/>
        <v>0.10988035373969313</v>
      </c>
      <c r="V234" s="540">
        <f t="shared" si="324"/>
        <v>0.10988035373969313</v>
      </c>
      <c r="W234" s="540">
        <f t="shared" si="324"/>
        <v>0.10988035373969313</v>
      </c>
      <c r="X234" s="540">
        <f t="shared" si="324"/>
        <v>0.10988035373969313</v>
      </c>
      <c r="Y234" s="540">
        <f t="shared" si="324"/>
        <v>0.10988035373969313</v>
      </c>
      <c r="Z234" s="540">
        <f t="shared" si="324"/>
        <v>0.10988035373969313</v>
      </c>
      <c r="AA234" s="540">
        <f t="shared" si="324"/>
        <v>0.10988035373969313</v>
      </c>
      <c r="AB234" s="540">
        <f t="shared" si="324"/>
        <v>0.10988035373969313</v>
      </c>
      <c r="AC234" s="540">
        <f t="shared" si="324"/>
        <v>0.10988035373969313</v>
      </c>
      <c r="AD234" s="540">
        <f t="shared" si="324"/>
        <v>0.10988035373969313</v>
      </c>
      <c r="AE234" s="540">
        <f t="shared" si="324"/>
        <v>0.10988035373969313</v>
      </c>
      <c r="AF234" s="540">
        <f t="shared" si="324"/>
        <v>0.10988035373969313</v>
      </c>
      <c r="AG234" s="540">
        <f t="shared" si="324"/>
        <v>0.10988035373969313</v>
      </c>
      <c r="AH234" s="540">
        <f t="shared" si="324"/>
        <v>0.10988035373969313</v>
      </c>
      <c r="AI234" s="540">
        <f t="shared" si="324"/>
        <v>0.10988035373969313</v>
      </c>
      <c r="AJ234" s="540">
        <f t="shared" si="324"/>
        <v>0.10988035373969313</v>
      </c>
      <c r="AK234" s="540">
        <f t="shared" si="324"/>
        <v>0.10988035373969313</v>
      </c>
      <c r="AL234" s="540">
        <f t="shared" si="324"/>
        <v>0.10988035373969313</v>
      </c>
      <c r="AM234" s="540">
        <f t="shared" si="324"/>
        <v>0.10988035373969313</v>
      </c>
      <c r="AN234" s="540">
        <f t="shared" si="324"/>
        <v>0.10988035373969313</v>
      </c>
      <c r="AO234" s="540">
        <f t="shared" si="324"/>
        <v>0.10988035373969313</v>
      </c>
      <c r="AP234" s="540">
        <f t="shared" si="324"/>
        <v>0.10988035373969313</v>
      </c>
      <c r="AQ234" s="540">
        <f t="shared" si="324"/>
        <v>0.10988035373969313</v>
      </c>
      <c r="AR234" s="540">
        <f t="shared" si="324"/>
        <v>0.10988035373969313</v>
      </c>
      <c r="AS234" s="540">
        <f t="shared" si="324"/>
        <v>0.10988035373969313</v>
      </c>
      <c r="AT234" s="540">
        <f t="shared" si="324"/>
        <v>0.10988035373969313</v>
      </c>
      <c r="AU234" s="540">
        <f t="shared" si="324"/>
        <v>0.10988035373969313</v>
      </c>
      <c r="AV234" s="540">
        <f t="shared" si="324"/>
        <v>0.10988035373969313</v>
      </c>
      <c r="AW234" s="540">
        <f t="shared" si="324"/>
        <v>0.10988035373969313</v>
      </c>
      <c r="AX234" s="540">
        <f t="shared" si="324"/>
        <v>0.10988035373969313</v>
      </c>
      <c r="AY234" s="540">
        <f t="shared" si="324"/>
        <v>0.10988035373969313</v>
      </c>
      <c r="AZ234" s="540">
        <f t="shared" si="324"/>
        <v>0.10988035373969313</v>
      </c>
      <c r="BA234" s="540">
        <f t="shared" si="324"/>
        <v>0.10988035373969313</v>
      </c>
      <c r="BB234" s="540">
        <f t="shared" si="324"/>
        <v>0.10988035373969313</v>
      </c>
      <c r="BC234" s="540">
        <f t="shared" si="324"/>
        <v>0.10988035373969313</v>
      </c>
      <c r="BD234" s="540">
        <f t="shared" si="324"/>
        <v>0.10988035373969313</v>
      </c>
      <c r="BE234" s="540">
        <f t="shared" si="324"/>
        <v>0.10988035373969313</v>
      </c>
      <c r="BF234" s="540">
        <f t="shared" si="324"/>
        <v>0.10988035373969313</v>
      </c>
      <c r="BG234" s="540">
        <f t="shared" si="324"/>
        <v>0.10988035373969313</v>
      </c>
      <c r="BH234" s="540">
        <f t="shared" si="324"/>
        <v>0.10988035373969313</v>
      </c>
      <c r="BI234" s="540">
        <f t="shared" si="324"/>
        <v>0.10988035373969313</v>
      </c>
      <c r="BJ234" s="540">
        <f t="shared" si="324"/>
        <v>0.10988035373969313</v>
      </c>
      <c r="BK234" s="540">
        <f t="shared" si="324"/>
        <v>0.10988035373969313</v>
      </c>
      <c r="BL234" s="540">
        <f t="shared" si="324"/>
        <v>0.10988035373969313</v>
      </c>
      <c r="BM234" s="540">
        <f t="shared" si="324"/>
        <v>0.10988035373969313</v>
      </c>
      <c r="BN234" s="540">
        <f t="shared" si="324"/>
        <v>0.10988035373969313</v>
      </c>
      <c r="BO234" s="540">
        <f t="shared" si="324"/>
        <v>0.10988035373969313</v>
      </c>
      <c r="BP234" s="540">
        <f t="shared" si="324"/>
        <v>0.10988035373969313</v>
      </c>
      <c r="BQ234" s="540">
        <f t="shared" si="324"/>
        <v>0.10988035373969313</v>
      </c>
      <c r="BR234" s="540">
        <f t="shared" si="324"/>
        <v>0.10988035373969313</v>
      </c>
      <c r="BS234" s="540">
        <f t="shared" si="324"/>
        <v>0.10988035373969313</v>
      </c>
      <c r="BT234" s="540">
        <f t="shared" si="324"/>
        <v>0.10988035373969313</v>
      </c>
      <c r="BU234" s="540">
        <f t="shared" si="324"/>
        <v>0.10988035373969313</v>
      </c>
      <c r="BV234" s="540">
        <f t="shared" si="324"/>
        <v>0.10988035373969313</v>
      </c>
      <c r="BW234" s="540">
        <f t="shared" si="324"/>
        <v>0.10988035373969313</v>
      </c>
      <c r="BX234" s="540">
        <f t="shared" si="324"/>
        <v>0.10988035373969313</v>
      </c>
      <c r="BY234" s="540">
        <f t="shared" si="324"/>
        <v>0.10988035373969313</v>
      </c>
    </row>
    <row r="235" spans="1:77" x14ac:dyDescent="0.3">
      <c r="A235" s="551"/>
      <c r="B235" s="548"/>
      <c r="C235" s="525"/>
      <c r="D235" s="525"/>
      <c r="E235" s="525"/>
      <c r="F235" s="525"/>
      <c r="G235" s="525"/>
      <c r="H235" s="525"/>
      <c r="I235" s="525"/>
      <c r="J235" s="525"/>
      <c r="K235" s="525"/>
      <c r="L235" s="525"/>
      <c r="M235" s="525"/>
      <c r="N235" s="525"/>
      <c r="O235" s="525"/>
      <c r="P235" s="565"/>
      <c r="Q235" s="525"/>
      <c r="R235" s="525"/>
      <c r="S235" s="525"/>
      <c r="T235" s="525"/>
      <c r="U235" s="525"/>
      <c r="V235" s="525"/>
      <c r="W235" s="525"/>
      <c r="X235" s="525"/>
      <c r="Y235" s="525"/>
      <c r="Z235" s="525"/>
      <c r="AA235" s="525"/>
      <c r="AB235" s="525"/>
      <c r="AC235" s="525"/>
      <c r="AD235" s="525"/>
      <c r="AE235" s="525"/>
      <c r="AF235" s="525"/>
      <c r="AG235" s="525"/>
      <c r="AH235" s="525"/>
      <c r="AI235" s="525"/>
      <c r="AJ235" s="525"/>
      <c r="AK235" s="525"/>
      <c r="AL235" s="525"/>
      <c r="AM235" s="525"/>
      <c r="AN235" s="525"/>
      <c r="AO235" s="525"/>
      <c r="AP235" s="525"/>
      <c r="AQ235" s="525"/>
      <c r="AR235" s="525"/>
      <c r="AS235" s="525"/>
      <c r="AT235" s="525"/>
      <c r="AU235" s="525"/>
      <c r="AV235" s="525"/>
      <c r="AW235" s="525"/>
      <c r="AX235" s="525"/>
      <c r="AY235" s="525"/>
      <c r="AZ235" s="525"/>
      <c r="BA235" s="525"/>
      <c r="BB235" s="525"/>
      <c r="BC235" s="525"/>
      <c r="BD235" s="525"/>
      <c r="BE235" s="525"/>
      <c r="BF235" s="525"/>
      <c r="BG235" s="525"/>
      <c r="BH235" s="525"/>
      <c r="BI235" s="525"/>
      <c r="BJ235" s="525"/>
      <c r="BK235" s="525"/>
      <c r="BL235" s="525"/>
      <c r="BM235" s="525"/>
      <c r="BN235" s="525"/>
      <c r="BO235" s="525"/>
      <c r="BP235" s="525"/>
      <c r="BQ235" s="525"/>
      <c r="BR235" s="525"/>
      <c r="BS235" s="525"/>
      <c r="BT235" s="525"/>
      <c r="BU235" s="525"/>
      <c r="BV235" s="525"/>
      <c r="BW235" s="525"/>
      <c r="BX235" s="525"/>
      <c r="BY235" s="525"/>
    </row>
    <row r="236" spans="1:77" x14ac:dyDescent="0.3">
      <c r="A236" s="551"/>
      <c r="B236" s="548"/>
      <c r="C236" s="525"/>
      <c r="D236" s="525"/>
      <c r="E236" s="614" t="s">
        <v>107</v>
      </c>
      <c r="F236" s="539"/>
      <c r="G236" s="539"/>
      <c r="H236" s="539"/>
      <c r="I236" s="539"/>
      <c r="J236" s="539"/>
      <c r="K236" s="539"/>
      <c r="L236" s="539"/>
      <c r="M236" s="539"/>
      <c r="N236" s="539"/>
      <c r="O236" s="539"/>
      <c r="P236" s="615"/>
      <c r="Q236" s="539"/>
      <c r="R236" s="539"/>
      <c r="S236" s="539"/>
      <c r="T236" s="539"/>
      <c r="U236" s="539"/>
      <c r="V236" s="539"/>
      <c r="W236" s="539"/>
      <c r="X236" s="539"/>
      <c r="Y236" s="539"/>
      <c r="Z236" s="539"/>
      <c r="AA236" s="539"/>
      <c r="AB236" s="539"/>
      <c r="AC236" s="539"/>
      <c r="AD236" s="539"/>
      <c r="AE236" s="539"/>
      <c r="AF236" s="539"/>
      <c r="AG236" s="539"/>
      <c r="AH236" s="539"/>
      <c r="AI236" s="539"/>
      <c r="AJ236" s="539"/>
      <c r="AK236" s="539"/>
      <c r="AL236" s="539"/>
      <c r="AM236" s="539"/>
      <c r="AN236" s="539"/>
      <c r="AO236" s="539"/>
      <c r="AP236" s="539"/>
      <c r="AQ236" s="539"/>
      <c r="AR236" s="539"/>
      <c r="AS236" s="539"/>
      <c r="AT236" s="539"/>
      <c r="AU236" s="539"/>
      <c r="AV236" s="539"/>
      <c r="AW236" s="539"/>
      <c r="AX236" s="539"/>
      <c r="AY236" s="539"/>
      <c r="AZ236" s="539"/>
      <c r="BA236" s="539"/>
      <c r="BB236" s="539"/>
      <c r="BC236" s="539"/>
      <c r="BD236" s="539"/>
      <c r="BE236" s="539"/>
      <c r="BF236" s="539"/>
      <c r="BG236" s="539"/>
      <c r="BH236" s="539"/>
      <c r="BI236" s="539"/>
      <c r="BJ236" s="539"/>
      <c r="BK236" s="539"/>
      <c r="BL236" s="539"/>
      <c r="BM236" s="539"/>
      <c r="BN236" s="539"/>
      <c r="BO236" s="539"/>
      <c r="BP236" s="539"/>
      <c r="BQ236" s="539"/>
      <c r="BR236" s="539"/>
      <c r="BS236" s="539"/>
      <c r="BT236" s="539"/>
      <c r="BU236" s="539"/>
      <c r="BV236" s="539"/>
      <c r="BW236" s="539"/>
      <c r="BX236" s="539"/>
      <c r="BY236" s="539"/>
    </row>
    <row r="237" spans="1:77" x14ac:dyDescent="0.3">
      <c r="A237" s="551"/>
      <c r="B237" s="548"/>
      <c r="C237" s="525"/>
      <c r="D237" s="525"/>
      <c r="E237" s="525"/>
      <c r="F237" s="525"/>
      <c r="G237" s="525"/>
      <c r="H237" s="525"/>
      <c r="I237" s="525"/>
      <c r="J237" s="525"/>
      <c r="K237" s="525"/>
      <c r="L237" s="525"/>
      <c r="M237" s="525"/>
      <c r="N237" s="525"/>
      <c r="O237" s="525"/>
      <c r="P237" s="565"/>
      <c r="Q237" s="525"/>
      <c r="R237" s="525"/>
      <c r="S237" s="525"/>
      <c r="T237" s="525"/>
      <c r="U237" s="525"/>
      <c r="V237" s="525"/>
      <c r="W237" s="525"/>
      <c r="X237" s="525"/>
      <c r="Y237" s="525"/>
      <c r="Z237" s="525"/>
      <c r="AA237" s="525"/>
      <c r="AB237" s="525"/>
      <c r="AC237" s="525"/>
      <c r="AD237" s="525"/>
      <c r="AE237" s="525"/>
      <c r="AF237" s="525"/>
      <c r="AG237" s="525"/>
      <c r="AH237" s="525"/>
      <c r="AI237" s="525"/>
      <c r="AJ237" s="525"/>
      <c r="AK237" s="525"/>
      <c r="AL237" s="525"/>
      <c r="AM237" s="525"/>
      <c r="AN237" s="525"/>
      <c r="AO237" s="525"/>
      <c r="AP237" s="525"/>
      <c r="AQ237" s="525"/>
      <c r="AR237" s="525"/>
      <c r="AS237" s="525"/>
      <c r="AT237" s="525"/>
      <c r="AU237" s="525"/>
      <c r="AV237" s="525"/>
      <c r="AW237" s="525"/>
      <c r="AX237" s="525"/>
      <c r="AY237" s="525"/>
      <c r="AZ237" s="525"/>
      <c r="BA237" s="525"/>
      <c r="BB237" s="525"/>
      <c r="BC237" s="525"/>
      <c r="BD237" s="525"/>
      <c r="BE237" s="525"/>
      <c r="BF237" s="525"/>
      <c r="BG237" s="525"/>
      <c r="BH237" s="525"/>
      <c r="BI237" s="525"/>
      <c r="BJ237" s="525"/>
      <c r="BK237" s="525"/>
      <c r="BL237" s="525"/>
      <c r="BM237" s="525"/>
      <c r="BN237" s="525"/>
      <c r="BO237" s="525"/>
      <c r="BP237" s="525"/>
      <c r="BQ237" s="525"/>
      <c r="BR237" s="525"/>
      <c r="BS237" s="525"/>
      <c r="BT237" s="525"/>
      <c r="BU237" s="525"/>
      <c r="BV237" s="525"/>
      <c r="BW237" s="525"/>
      <c r="BX237" s="525"/>
      <c r="BY237" s="525"/>
    </row>
    <row r="238" spans="1:77" x14ac:dyDescent="0.3">
      <c r="A238" s="551"/>
      <c r="B238" s="548"/>
      <c r="C238" s="525"/>
      <c r="D238" s="525"/>
      <c r="E238" s="619" t="str">
        <f>"BCF net comm.: "&amp;E$155</f>
        <v>BCF net comm.: FY27 Tranche</v>
      </c>
      <c r="F238" s="525"/>
      <c r="G238" s="525"/>
      <c r="H238" s="525"/>
      <c r="I238" s="525"/>
      <c r="J238" s="525"/>
      <c r="K238" s="525"/>
      <c r="L238" s="525"/>
      <c r="M238" s="525"/>
      <c r="N238" s="525"/>
      <c r="O238" s="525"/>
      <c r="P238" s="565"/>
      <c r="Q238" s="525"/>
      <c r="R238" s="527">
        <f t="shared" ref="R238:AW238" si="325">($R155*R$581*R490)+((($R155*R$581)+R205)*R482)</f>
        <v>15233.527823682074</v>
      </c>
      <c r="S238" s="527">
        <f t="shared" si="325"/>
        <v>15233.527823682074</v>
      </c>
      <c r="T238" s="527">
        <f t="shared" si="325"/>
        <v>15233.527823682074</v>
      </c>
      <c r="U238" s="527">
        <f t="shared" si="325"/>
        <v>15233.527823682074</v>
      </c>
      <c r="V238" s="527">
        <f t="shared" si="325"/>
        <v>15233.527823682074</v>
      </c>
      <c r="W238" s="527">
        <f t="shared" si="325"/>
        <v>15233.527823682074</v>
      </c>
      <c r="X238" s="527">
        <f t="shared" si="325"/>
        <v>18467.533967437448</v>
      </c>
      <c r="Y238" s="527">
        <f t="shared" si="325"/>
        <v>18467.533967437448</v>
      </c>
      <c r="Z238" s="527">
        <f t="shared" si="325"/>
        <v>18467.533967437448</v>
      </c>
      <c r="AA238" s="527">
        <f t="shared" si="325"/>
        <v>18467.533967437448</v>
      </c>
      <c r="AB238" s="527">
        <f t="shared" si="325"/>
        <v>18467.533967437448</v>
      </c>
      <c r="AC238" s="527">
        <f t="shared" si="325"/>
        <v>18467.533967437448</v>
      </c>
      <c r="AD238" s="527">
        <f t="shared" si="325"/>
        <v>18603.092939935606</v>
      </c>
      <c r="AE238" s="527">
        <f t="shared" si="325"/>
        <v>18603.092939935606</v>
      </c>
      <c r="AF238" s="527">
        <f t="shared" si="325"/>
        <v>18603.092939935606</v>
      </c>
      <c r="AG238" s="527">
        <f t="shared" si="325"/>
        <v>18603.092939935606</v>
      </c>
      <c r="AH238" s="527">
        <f t="shared" si="325"/>
        <v>18603.092939935606</v>
      </c>
      <c r="AI238" s="527">
        <f t="shared" si="325"/>
        <v>18603.092939935606</v>
      </c>
      <c r="AJ238" s="527">
        <f t="shared" si="325"/>
        <v>19452.04929386466</v>
      </c>
      <c r="AK238" s="527">
        <f t="shared" si="325"/>
        <v>19452.04929386466</v>
      </c>
      <c r="AL238" s="527">
        <f t="shared" si="325"/>
        <v>19452.04929386466</v>
      </c>
      <c r="AM238" s="527">
        <f t="shared" si="325"/>
        <v>19452.04929386466</v>
      </c>
      <c r="AN238" s="527">
        <f t="shared" si="325"/>
        <v>19452.04929386466</v>
      </c>
      <c r="AO238" s="527">
        <f t="shared" si="325"/>
        <v>19452.04929386466</v>
      </c>
      <c r="AP238" s="527">
        <f t="shared" si="325"/>
        <v>19591.876782124022</v>
      </c>
      <c r="AQ238" s="527">
        <f t="shared" si="325"/>
        <v>19591.876782124022</v>
      </c>
      <c r="AR238" s="527">
        <f t="shared" si="325"/>
        <v>19591.876782124022</v>
      </c>
      <c r="AS238" s="527">
        <f t="shared" si="325"/>
        <v>19591.876782124022</v>
      </c>
      <c r="AT238" s="527">
        <f t="shared" si="325"/>
        <v>19591.876782124022</v>
      </c>
      <c r="AU238" s="527">
        <f t="shared" si="325"/>
        <v>19591.876782124022</v>
      </c>
      <c r="AV238" s="527">
        <f t="shared" si="325"/>
        <v>20476.036410912689</v>
      </c>
      <c r="AW238" s="527">
        <f t="shared" si="325"/>
        <v>20476.036410912689</v>
      </c>
      <c r="AX238" s="527">
        <f t="shared" ref="AX238:BY238" si="326">($R155*AX$581*AX490)+((($R155*AX$581)+AX205)*AX482)</f>
        <v>20476.036410912689</v>
      </c>
      <c r="AY238" s="527">
        <f t="shared" si="326"/>
        <v>20476.036410912689</v>
      </c>
      <c r="AZ238" s="527">
        <f t="shared" si="326"/>
        <v>20476.036410912689</v>
      </c>
      <c r="BA238" s="527">
        <f t="shared" si="326"/>
        <v>20476.036410912689</v>
      </c>
      <c r="BB238" s="527">
        <f t="shared" si="326"/>
        <v>20646.620493918363</v>
      </c>
      <c r="BC238" s="527">
        <f t="shared" si="326"/>
        <v>20646.620493918363</v>
      </c>
      <c r="BD238" s="527">
        <f t="shared" si="326"/>
        <v>20646.620493918363</v>
      </c>
      <c r="BE238" s="527">
        <f t="shared" si="326"/>
        <v>20646.620493918363</v>
      </c>
      <c r="BF238" s="527">
        <f t="shared" si="326"/>
        <v>20646.620493918363</v>
      </c>
      <c r="BG238" s="527">
        <f t="shared" si="326"/>
        <v>20646.620493918363</v>
      </c>
      <c r="BH238" s="527">
        <f t="shared" si="326"/>
        <v>21567.311017571745</v>
      </c>
      <c r="BI238" s="527">
        <f t="shared" si="326"/>
        <v>21567.311017571745</v>
      </c>
      <c r="BJ238" s="527">
        <f t="shared" si="326"/>
        <v>21567.311017571745</v>
      </c>
      <c r="BK238" s="527">
        <f t="shared" si="326"/>
        <v>21567.311017571745</v>
      </c>
      <c r="BL238" s="527">
        <f t="shared" si="326"/>
        <v>21567.311017571745</v>
      </c>
      <c r="BM238" s="527">
        <f t="shared" si="326"/>
        <v>21567.311017571745</v>
      </c>
      <c r="BN238" s="527">
        <f t="shared" si="326"/>
        <v>21772.20094504709</v>
      </c>
      <c r="BO238" s="527">
        <f t="shared" si="326"/>
        <v>21772.20094504709</v>
      </c>
      <c r="BP238" s="527">
        <f t="shared" si="326"/>
        <v>21772.20094504709</v>
      </c>
      <c r="BQ238" s="527">
        <f t="shared" si="326"/>
        <v>21772.20094504709</v>
      </c>
      <c r="BR238" s="527">
        <f t="shared" si="326"/>
        <v>21772.20094504709</v>
      </c>
      <c r="BS238" s="527">
        <f t="shared" si="326"/>
        <v>21772.20094504709</v>
      </c>
      <c r="BT238" s="527">
        <f t="shared" si="326"/>
        <v>22730.863811363721</v>
      </c>
      <c r="BU238" s="527">
        <f t="shared" si="326"/>
        <v>22730.863811363721</v>
      </c>
      <c r="BV238" s="527">
        <f t="shared" si="326"/>
        <v>22730.863811363721</v>
      </c>
      <c r="BW238" s="527">
        <f t="shared" si="326"/>
        <v>22730.863811363721</v>
      </c>
      <c r="BX238" s="527">
        <f t="shared" si="326"/>
        <v>22730.863811363721</v>
      </c>
      <c r="BY238" s="527">
        <f t="shared" si="326"/>
        <v>22730.863811363721</v>
      </c>
    </row>
    <row r="239" spans="1:77" x14ac:dyDescent="0.3">
      <c r="A239" s="551"/>
      <c r="B239" s="548"/>
      <c r="C239" s="525"/>
      <c r="D239" s="525"/>
      <c r="E239" s="619" t="str">
        <f>"BCF net comm.: "&amp;E$156</f>
        <v>BCF net comm.: FY28 Tranche</v>
      </c>
      <c r="F239" s="525"/>
      <c r="G239" s="525"/>
      <c r="H239" s="525"/>
      <c r="I239" s="525"/>
      <c r="J239" s="525"/>
      <c r="K239" s="525"/>
      <c r="L239" s="525"/>
      <c r="M239" s="525"/>
      <c r="N239" s="525"/>
      <c r="O239" s="525"/>
      <c r="P239" s="565"/>
      <c r="Q239" s="525"/>
      <c r="R239" s="527">
        <f t="shared" ref="R239:AW239" si="327">($R156*R$581*R491)+((($R156*R$581)+R206)*R483)</f>
        <v>15233.527823682074</v>
      </c>
      <c r="S239" s="527">
        <f t="shared" si="327"/>
        <v>15233.527823682074</v>
      </c>
      <c r="T239" s="527">
        <f t="shared" si="327"/>
        <v>15233.527823682074</v>
      </c>
      <c r="U239" s="527">
        <f t="shared" si="327"/>
        <v>15233.527823682074</v>
      </c>
      <c r="V239" s="527">
        <f t="shared" si="327"/>
        <v>15233.527823682074</v>
      </c>
      <c r="W239" s="527">
        <f t="shared" si="327"/>
        <v>15233.527823682074</v>
      </c>
      <c r="X239" s="527">
        <f t="shared" si="327"/>
        <v>15233.527823682074</v>
      </c>
      <c r="Y239" s="527">
        <f t="shared" si="327"/>
        <v>15233.527823682074</v>
      </c>
      <c r="Z239" s="527">
        <f t="shared" si="327"/>
        <v>15233.527823682074</v>
      </c>
      <c r="AA239" s="527">
        <f t="shared" si="327"/>
        <v>15233.527823682074</v>
      </c>
      <c r="AB239" s="527">
        <f t="shared" si="327"/>
        <v>15233.527823682074</v>
      </c>
      <c r="AC239" s="527">
        <f t="shared" si="327"/>
        <v>15233.527823682074</v>
      </c>
      <c r="AD239" s="527">
        <f t="shared" si="327"/>
        <v>16074.317282150225</v>
      </c>
      <c r="AE239" s="527">
        <f t="shared" si="327"/>
        <v>16074.317282150225</v>
      </c>
      <c r="AF239" s="527">
        <f t="shared" si="327"/>
        <v>16074.317282150225</v>
      </c>
      <c r="AG239" s="527">
        <f t="shared" si="327"/>
        <v>16074.317282150225</v>
      </c>
      <c r="AH239" s="527">
        <f t="shared" si="327"/>
        <v>16074.317282150225</v>
      </c>
      <c r="AI239" s="527">
        <f t="shared" si="327"/>
        <v>16074.317282150225</v>
      </c>
      <c r="AJ239" s="527">
        <f t="shared" si="327"/>
        <v>19391.288531821356</v>
      </c>
      <c r="AK239" s="527">
        <f t="shared" si="327"/>
        <v>19391.288531821356</v>
      </c>
      <c r="AL239" s="527">
        <f t="shared" si="327"/>
        <v>19391.288531821356</v>
      </c>
      <c r="AM239" s="527">
        <f t="shared" si="327"/>
        <v>19391.288531821356</v>
      </c>
      <c r="AN239" s="527">
        <f t="shared" si="327"/>
        <v>19391.288531821356</v>
      </c>
      <c r="AO239" s="527">
        <f t="shared" si="327"/>
        <v>19391.288531821356</v>
      </c>
      <c r="AP239" s="527">
        <f t="shared" si="327"/>
        <v>19531.030339760164</v>
      </c>
      <c r="AQ239" s="527">
        <f t="shared" si="327"/>
        <v>19531.030339760164</v>
      </c>
      <c r="AR239" s="527">
        <f t="shared" si="327"/>
        <v>19531.030339760164</v>
      </c>
      <c r="AS239" s="527">
        <f t="shared" si="327"/>
        <v>19531.030339760164</v>
      </c>
      <c r="AT239" s="527">
        <f t="shared" si="327"/>
        <v>19531.030339760164</v>
      </c>
      <c r="AU239" s="527">
        <f t="shared" si="327"/>
        <v>19531.030339760164</v>
      </c>
      <c r="AV239" s="527">
        <f t="shared" si="327"/>
        <v>20412.75611085428</v>
      </c>
      <c r="AW239" s="527">
        <f t="shared" si="327"/>
        <v>20412.75611085428</v>
      </c>
      <c r="AX239" s="527">
        <f t="shared" ref="AX239:BY239" si="328">($R156*AX$581*AX491)+((($R156*AX$581)+AX206)*AX483)</f>
        <v>20412.75611085428</v>
      </c>
      <c r="AY239" s="527">
        <f t="shared" si="328"/>
        <v>20412.75611085428</v>
      </c>
      <c r="AZ239" s="527">
        <f t="shared" si="328"/>
        <v>20412.75611085428</v>
      </c>
      <c r="BA239" s="527">
        <f t="shared" si="328"/>
        <v>20412.75611085428</v>
      </c>
      <c r="BB239" s="527">
        <f t="shared" si="328"/>
        <v>20583.260054176077</v>
      </c>
      <c r="BC239" s="527">
        <f t="shared" si="328"/>
        <v>20583.260054176077</v>
      </c>
      <c r="BD239" s="527">
        <f t="shared" si="328"/>
        <v>20583.260054176077</v>
      </c>
      <c r="BE239" s="527">
        <f t="shared" si="328"/>
        <v>20583.260054176077</v>
      </c>
      <c r="BF239" s="527">
        <f t="shared" si="328"/>
        <v>20583.260054176077</v>
      </c>
      <c r="BG239" s="527">
        <f t="shared" si="328"/>
        <v>20583.260054176077</v>
      </c>
      <c r="BH239" s="527">
        <f t="shared" si="328"/>
        <v>21501.416160239769</v>
      </c>
      <c r="BI239" s="527">
        <f t="shared" si="328"/>
        <v>21501.416160239769</v>
      </c>
      <c r="BJ239" s="527">
        <f t="shared" si="328"/>
        <v>21501.416160239769</v>
      </c>
      <c r="BK239" s="527">
        <f t="shared" si="328"/>
        <v>21501.416160239769</v>
      </c>
      <c r="BL239" s="527">
        <f t="shared" si="328"/>
        <v>21501.416160239769</v>
      </c>
      <c r="BM239" s="527">
        <f t="shared" si="328"/>
        <v>21501.416160239769</v>
      </c>
      <c r="BN239" s="527">
        <f t="shared" si="328"/>
        <v>21706.227309809277</v>
      </c>
      <c r="BO239" s="527">
        <f t="shared" si="328"/>
        <v>21706.227309809277</v>
      </c>
      <c r="BP239" s="527">
        <f t="shared" si="328"/>
        <v>21706.227309809277</v>
      </c>
      <c r="BQ239" s="527">
        <f t="shared" si="328"/>
        <v>21706.227309809277</v>
      </c>
      <c r="BR239" s="527">
        <f t="shared" si="328"/>
        <v>21706.227309809277</v>
      </c>
      <c r="BS239" s="527">
        <f t="shared" si="328"/>
        <v>21706.227309809277</v>
      </c>
      <c r="BT239" s="527">
        <f t="shared" si="328"/>
        <v>22662.2512307164</v>
      </c>
      <c r="BU239" s="527">
        <f t="shared" si="328"/>
        <v>22662.2512307164</v>
      </c>
      <c r="BV239" s="527">
        <f t="shared" si="328"/>
        <v>22662.2512307164</v>
      </c>
      <c r="BW239" s="527">
        <f t="shared" si="328"/>
        <v>22662.2512307164</v>
      </c>
      <c r="BX239" s="527">
        <f t="shared" si="328"/>
        <v>22662.2512307164</v>
      </c>
      <c r="BY239" s="527">
        <f t="shared" si="328"/>
        <v>22662.2512307164</v>
      </c>
    </row>
    <row r="240" spans="1:77" x14ac:dyDescent="0.3">
      <c r="A240" s="551"/>
      <c r="B240" s="548"/>
      <c r="C240" s="525"/>
      <c r="D240" s="525"/>
      <c r="E240" s="619" t="str">
        <f>"BCF net comm.: "&amp;E$157</f>
        <v>BCF net comm.: FY29 Tranche</v>
      </c>
      <c r="F240" s="525"/>
      <c r="G240" s="525"/>
      <c r="H240" s="525"/>
      <c r="I240" s="525"/>
      <c r="J240" s="525"/>
      <c r="K240" s="525"/>
      <c r="L240" s="525"/>
      <c r="M240" s="525"/>
      <c r="N240" s="525"/>
      <c r="O240" s="525"/>
      <c r="P240" s="565"/>
      <c r="Q240" s="525"/>
      <c r="R240" s="527">
        <f t="shared" ref="R240:AW240" si="329">($R157*R$581*R492)+((($R157*R$581)+R207)*R484)</f>
        <v>15233.527823682074</v>
      </c>
      <c r="S240" s="527">
        <f t="shared" si="329"/>
        <v>15233.527823682074</v>
      </c>
      <c r="T240" s="527">
        <f t="shared" si="329"/>
        <v>15233.527823682074</v>
      </c>
      <c r="U240" s="527">
        <f t="shared" si="329"/>
        <v>15233.527823682074</v>
      </c>
      <c r="V240" s="527">
        <f t="shared" si="329"/>
        <v>15233.527823682074</v>
      </c>
      <c r="W240" s="527">
        <f t="shared" si="329"/>
        <v>15233.527823682074</v>
      </c>
      <c r="X240" s="527">
        <f t="shared" si="329"/>
        <v>15233.527823682074</v>
      </c>
      <c r="Y240" s="527">
        <f t="shared" si="329"/>
        <v>15233.527823682074</v>
      </c>
      <c r="Z240" s="527">
        <f t="shared" si="329"/>
        <v>15233.527823682074</v>
      </c>
      <c r="AA240" s="527">
        <f t="shared" si="329"/>
        <v>15233.527823682074</v>
      </c>
      <c r="AB240" s="527">
        <f t="shared" si="329"/>
        <v>15233.527823682074</v>
      </c>
      <c r="AC240" s="527">
        <f t="shared" si="329"/>
        <v>15233.527823682074</v>
      </c>
      <c r="AD240" s="527">
        <f t="shared" si="329"/>
        <v>16074.317282150225</v>
      </c>
      <c r="AE240" s="527">
        <f t="shared" si="329"/>
        <v>16074.317282150225</v>
      </c>
      <c r="AF240" s="527">
        <f t="shared" si="329"/>
        <v>16074.317282150225</v>
      </c>
      <c r="AG240" s="527">
        <f t="shared" si="329"/>
        <v>16074.317282150225</v>
      </c>
      <c r="AH240" s="527">
        <f t="shared" si="329"/>
        <v>16074.317282150225</v>
      </c>
      <c r="AI240" s="527">
        <f t="shared" si="329"/>
        <v>16074.317282150225</v>
      </c>
      <c r="AJ240" s="527">
        <f t="shared" si="329"/>
        <v>16074.317282150225</v>
      </c>
      <c r="AK240" s="527">
        <f t="shared" si="329"/>
        <v>16074.317282150225</v>
      </c>
      <c r="AL240" s="527">
        <f t="shared" si="329"/>
        <v>16074.317282150225</v>
      </c>
      <c r="AM240" s="527">
        <f t="shared" si="329"/>
        <v>16074.317282150225</v>
      </c>
      <c r="AN240" s="527">
        <f t="shared" si="329"/>
        <v>16074.317282150225</v>
      </c>
      <c r="AO240" s="527">
        <f t="shared" si="329"/>
        <v>16074.317282150225</v>
      </c>
      <c r="AP240" s="527">
        <f t="shared" si="329"/>
        <v>16913.45851160436</v>
      </c>
      <c r="AQ240" s="527">
        <f t="shared" si="329"/>
        <v>16913.45851160436</v>
      </c>
      <c r="AR240" s="527">
        <f t="shared" si="329"/>
        <v>16913.45851160436</v>
      </c>
      <c r="AS240" s="527">
        <f t="shared" si="329"/>
        <v>16913.45851160436</v>
      </c>
      <c r="AT240" s="527">
        <f t="shared" si="329"/>
        <v>16913.45851160436</v>
      </c>
      <c r="AU240" s="527">
        <f t="shared" si="329"/>
        <v>16913.45851160436</v>
      </c>
      <c r="AV240" s="527">
        <f t="shared" si="329"/>
        <v>20309.692795203719</v>
      </c>
      <c r="AW240" s="527">
        <f t="shared" si="329"/>
        <v>20309.692795203719</v>
      </c>
      <c r="AX240" s="527">
        <f t="shared" ref="AX240:BY240" si="330">($R157*AX$581*AX492)+((($R157*AX$581)+AX207)*AX484)</f>
        <v>20309.692795203719</v>
      </c>
      <c r="AY240" s="527">
        <f t="shared" si="330"/>
        <v>20309.692795203719</v>
      </c>
      <c r="AZ240" s="527">
        <f t="shared" si="330"/>
        <v>20309.692795203719</v>
      </c>
      <c r="BA240" s="527">
        <f t="shared" si="330"/>
        <v>20309.692795203719</v>
      </c>
      <c r="BB240" s="527">
        <f t="shared" si="330"/>
        <v>20480.06621668021</v>
      </c>
      <c r="BC240" s="527">
        <f t="shared" si="330"/>
        <v>20480.06621668021</v>
      </c>
      <c r="BD240" s="527">
        <f t="shared" si="330"/>
        <v>20480.06621668021</v>
      </c>
      <c r="BE240" s="527">
        <f t="shared" si="330"/>
        <v>20480.06621668021</v>
      </c>
      <c r="BF240" s="527">
        <f t="shared" si="330"/>
        <v>20480.06621668021</v>
      </c>
      <c r="BG240" s="527">
        <f t="shared" si="330"/>
        <v>20480.06621668021</v>
      </c>
      <c r="BH240" s="527">
        <f t="shared" si="330"/>
        <v>21394.094569244069</v>
      </c>
      <c r="BI240" s="527">
        <f t="shared" si="330"/>
        <v>21394.094569244069</v>
      </c>
      <c r="BJ240" s="527">
        <f t="shared" si="330"/>
        <v>21394.094569244069</v>
      </c>
      <c r="BK240" s="527">
        <f t="shared" si="330"/>
        <v>21394.094569244069</v>
      </c>
      <c r="BL240" s="527">
        <f t="shared" si="330"/>
        <v>21394.094569244069</v>
      </c>
      <c r="BM240" s="527">
        <f t="shared" si="330"/>
        <v>21394.094569244069</v>
      </c>
      <c r="BN240" s="527">
        <f t="shared" si="330"/>
        <v>21598.777414867982</v>
      </c>
      <c r="BO240" s="527">
        <f t="shared" si="330"/>
        <v>21598.777414867982</v>
      </c>
      <c r="BP240" s="527">
        <f t="shared" si="330"/>
        <v>21598.777414867982</v>
      </c>
      <c r="BQ240" s="527">
        <f t="shared" si="330"/>
        <v>21598.777414867982</v>
      </c>
      <c r="BR240" s="527">
        <f t="shared" si="330"/>
        <v>21598.777414867982</v>
      </c>
      <c r="BS240" s="527">
        <f t="shared" si="330"/>
        <v>21598.777414867982</v>
      </c>
      <c r="BT240" s="527">
        <f t="shared" si="330"/>
        <v>22550.503339977455</v>
      </c>
      <c r="BU240" s="527">
        <f t="shared" si="330"/>
        <v>22550.503339977455</v>
      </c>
      <c r="BV240" s="527">
        <f t="shared" si="330"/>
        <v>22550.503339977455</v>
      </c>
      <c r="BW240" s="527">
        <f t="shared" si="330"/>
        <v>22550.503339977455</v>
      </c>
      <c r="BX240" s="527">
        <f t="shared" si="330"/>
        <v>22550.503339977455</v>
      </c>
      <c r="BY240" s="527">
        <f t="shared" si="330"/>
        <v>22550.503339977455</v>
      </c>
    </row>
    <row r="241" spans="1:77" x14ac:dyDescent="0.3">
      <c r="A241" s="551"/>
      <c r="B241" s="548"/>
      <c r="C241" s="525"/>
      <c r="D241" s="525"/>
      <c r="E241" s="619" t="str">
        <f>"BCF net comm.: "&amp;E$158</f>
        <v>BCF net comm.: FY30 Tranche</v>
      </c>
      <c r="F241" s="525"/>
      <c r="G241" s="525"/>
      <c r="H241" s="525"/>
      <c r="I241" s="525"/>
      <c r="J241" s="525"/>
      <c r="K241" s="525"/>
      <c r="L241" s="525"/>
      <c r="M241" s="525"/>
      <c r="N241" s="525"/>
      <c r="O241" s="525"/>
      <c r="P241" s="565"/>
      <c r="Q241" s="525"/>
      <c r="R241" s="527">
        <f t="shared" ref="R241:AW241" si="331">($R158*R$581*R493)+((($R158*R$581)+R208)*R485)</f>
        <v>15233.527823682074</v>
      </c>
      <c r="S241" s="527">
        <f t="shared" si="331"/>
        <v>15233.527823682074</v>
      </c>
      <c r="T241" s="527">
        <f t="shared" si="331"/>
        <v>15233.527823682074</v>
      </c>
      <c r="U241" s="527">
        <f t="shared" si="331"/>
        <v>15233.527823682074</v>
      </c>
      <c r="V241" s="527">
        <f t="shared" si="331"/>
        <v>15233.527823682074</v>
      </c>
      <c r="W241" s="527">
        <f t="shared" si="331"/>
        <v>15233.527823682074</v>
      </c>
      <c r="X241" s="527">
        <f t="shared" si="331"/>
        <v>15233.527823682074</v>
      </c>
      <c r="Y241" s="527">
        <f t="shared" si="331"/>
        <v>15233.527823682074</v>
      </c>
      <c r="Z241" s="527">
        <f t="shared" si="331"/>
        <v>15233.527823682074</v>
      </c>
      <c r="AA241" s="527">
        <f t="shared" si="331"/>
        <v>15233.527823682074</v>
      </c>
      <c r="AB241" s="527">
        <f t="shared" si="331"/>
        <v>15233.527823682074</v>
      </c>
      <c r="AC241" s="527">
        <f t="shared" si="331"/>
        <v>15233.527823682074</v>
      </c>
      <c r="AD241" s="527">
        <f t="shared" si="331"/>
        <v>16074.317282150225</v>
      </c>
      <c r="AE241" s="527">
        <f t="shared" si="331"/>
        <v>16074.317282150225</v>
      </c>
      <c r="AF241" s="527">
        <f t="shared" si="331"/>
        <v>16074.317282150225</v>
      </c>
      <c r="AG241" s="527">
        <f t="shared" si="331"/>
        <v>16074.317282150225</v>
      </c>
      <c r="AH241" s="527">
        <f t="shared" si="331"/>
        <v>16074.317282150225</v>
      </c>
      <c r="AI241" s="527">
        <f t="shared" si="331"/>
        <v>16074.317282150225</v>
      </c>
      <c r="AJ241" s="527">
        <f t="shared" si="331"/>
        <v>16074.317282150225</v>
      </c>
      <c r="AK241" s="527">
        <f t="shared" si="331"/>
        <v>16074.317282150225</v>
      </c>
      <c r="AL241" s="527">
        <f t="shared" si="331"/>
        <v>16074.317282150225</v>
      </c>
      <c r="AM241" s="527">
        <f t="shared" si="331"/>
        <v>16074.317282150225</v>
      </c>
      <c r="AN241" s="527">
        <f t="shared" si="331"/>
        <v>16074.317282150225</v>
      </c>
      <c r="AO241" s="527">
        <f t="shared" si="331"/>
        <v>16074.317282150225</v>
      </c>
      <c r="AP241" s="527">
        <f t="shared" si="331"/>
        <v>16913.45851160436</v>
      </c>
      <c r="AQ241" s="527">
        <f t="shared" si="331"/>
        <v>16913.45851160436</v>
      </c>
      <c r="AR241" s="527">
        <f t="shared" si="331"/>
        <v>16913.45851160436</v>
      </c>
      <c r="AS241" s="527">
        <f t="shared" si="331"/>
        <v>16913.45851160436</v>
      </c>
      <c r="AT241" s="527">
        <f t="shared" si="331"/>
        <v>16913.45851160436</v>
      </c>
      <c r="AU241" s="527">
        <f t="shared" si="331"/>
        <v>16913.45851160436</v>
      </c>
      <c r="AV241" s="527">
        <f t="shared" si="331"/>
        <v>16913.45851160436</v>
      </c>
      <c r="AW241" s="527">
        <f t="shared" si="331"/>
        <v>16913.45851160436</v>
      </c>
      <c r="AX241" s="527">
        <f t="shared" ref="AX241:BY241" si="332">($R158*AX$581*AX493)+((($R158*AX$581)+AX208)*AX485)</f>
        <v>16913.45851160436</v>
      </c>
      <c r="AY241" s="527">
        <f t="shared" si="332"/>
        <v>16913.45851160436</v>
      </c>
      <c r="AZ241" s="527">
        <f t="shared" si="332"/>
        <v>16913.45851160436</v>
      </c>
      <c r="BA241" s="527">
        <f t="shared" si="332"/>
        <v>16913.45851160436</v>
      </c>
      <c r="BB241" s="527">
        <f t="shared" si="332"/>
        <v>17744.329687614882</v>
      </c>
      <c r="BC241" s="527">
        <f t="shared" si="332"/>
        <v>17744.329687614882</v>
      </c>
      <c r="BD241" s="527">
        <f t="shared" si="332"/>
        <v>17744.329687614882</v>
      </c>
      <c r="BE241" s="527">
        <f t="shared" si="332"/>
        <v>17744.329687614882</v>
      </c>
      <c r="BF241" s="527">
        <f t="shared" si="332"/>
        <v>17744.329687614882</v>
      </c>
      <c r="BG241" s="527">
        <f t="shared" si="332"/>
        <v>17744.329687614882</v>
      </c>
      <c r="BH241" s="527">
        <f t="shared" si="332"/>
        <v>21215.18005113969</v>
      </c>
      <c r="BI241" s="527">
        <f t="shared" si="332"/>
        <v>21215.18005113969</v>
      </c>
      <c r="BJ241" s="527">
        <f t="shared" si="332"/>
        <v>21215.18005113969</v>
      </c>
      <c r="BK241" s="527">
        <f t="shared" si="332"/>
        <v>21215.18005113969</v>
      </c>
      <c r="BL241" s="527">
        <f t="shared" si="332"/>
        <v>21215.18005113969</v>
      </c>
      <c r="BM241" s="527">
        <f t="shared" si="332"/>
        <v>21215.18005113969</v>
      </c>
      <c r="BN241" s="527">
        <f t="shared" si="332"/>
        <v>21419.649002817536</v>
      </c>
      <c r="BO241" s="527">
        <f t="shared" si="332"/>
        <v>21419.649002817536</v>
      </c>
      <c r="BP241" s="527">
        <f t="shared" si="332"/>
        <v>21419.649002817536</v>
      </c>
      <c r="BQ241" s="527">
        <f t="shared" si="332"/>
        <v>21419.649002817536</v>
      </c>
      <c r="BR241" s="527">
        <f t="shared" si="332"/>
        <v>21419.649002817536</v>
      </c>
      <c r="BS241" s="527">
        <f t="shared" si="332"/>
        <v>21419.649002817536</v>
      </c>
      <c r="BT241" s="527">
        <f t="shared" si="332"/>
        <v>22364.209791444984</v>
      </c>
      <c r="BU241" s="527">
        <f t="shared" si="332"/>
        <v>22364.209791444984</v>
      </c>
      <c r="BV241" s="527">
        <f t="shared" si="332"/>
        <v>22364.209791444984</v>
      </c>
      <c r="BW241" s="527">
        <f t="shared" si="332"/>
        <v>22364.209791444984</v>
      </c>
      <c r="BX241" s="527">
        <f t="shared" si="332"/>
        <v>22364.209791444984</v>
      </c>
      <c r="BY241" s="527">
        <f t="shared" si="332"/>
        <v>22364.209791444984</v>
      </c>
    </row>
    <row r="242" spans="1:77" x14ac:dyDescent="0.3">
      <c r="A242" s="551"/>
      <c r="B242" s="548"/>
      <c r="C242" s="525"/>
      <c r="D242" s="525"/>
      <c r="E242" s="619" t="str">
        <f>"BCF net comm.: "&amp;E$159</f>
        <v>BCF net comm.: FY31 Tranche</v>
      </c>
      <c r="F242" s="525"/>
      <c r="G242" s="525"/>
      <c r="H242" s="525"/>
      <c r="I242" s="525"/>
      <c r="J242" s="525"/>
      <c r="K242" s="525"/>
      <c r="L242" s="525"/>
      <c r="M242" s="525"/>
      <c r="N242" s="525"/>
      <c r="O242" s="525"/>
      <c r="P242" s="565"/>
      <c r="Q242" s="525"/>
      <c r="R242" s="527">
        <f t="shared" ref="R242:AW242" si="333">($R159*R$581*R494)+((($R159*R$581)+R209)*R486)</f>
        <v>15233.527823682074</v>
      </c>
      <c r="S242" s="527">
        <f t="shared" si="333"/>
        <v>15233.527823682074</v>
      </c>
      <c r="T242" s="527">
        <f t="shared" si="333"/>
        <v>15233.527823682074</v>
      </c>
      <c r="U242" s="527">
        <f t="shared" si="333"/>
        <v>15233.527823682074</v>
      </c>
      <c r="V242" s="527">
        <f t="shared" si="333"/>
        <v>15233.527823682074</v>
      </c>
      <c r="W242" s="527">
        <f t="shared" si="333"/>
        <v>15233.527823682074</v>
      </c>
      <c r="X242" s="527">
        <f t="shared" si="333"/>
        <v>15233.527823682074</v>
      </c>
      <c r="Y242" s="527">
        <f t="shared" si="333"/>
        <v>15233.527823682074</v>
      </c>
      <c r="Z242" s="527">
        <f t="shared" si="333"/>
        <v>15233.527823682074</v>
      </c>
      <c r="AA242" s="527">
        <f t="shared" si="333"/>
        <v>15233.527823682074</v>
      </c>
      <c r="AB242" s="527">
        <f t="shared" si="333"/>
        <v>15233.527823682074</v>
      </c>
      <c r="AC242" s="527">
        <f t="shared" si="333"/>
        <v>15233.527823682074</v>
      </c>
      <c r="AD242" s="527">
        <f t="shared" si="333"/>
        <v>16074.317282150225</v>
      </c>
      <c r="AE242" s="527">
        <f t="shared" si="333"/>
        <v>16074.317282150225</v>
      </c>
      <c r="AF242" s="527">
        <f t="shared" si="333"/>
        <v>16074.317282150225</v>
      </c>
      <c r="AG242" s="527">
        <f t="shared" si="333"/>
        <v>16074.317282150225</v>
      </c>
      <c r="AH242" s="527">
        <f t="shared" si="333"/>
        <v>16074.317282150225</v>
      </c>
      <c r="AI242" s="527">
        <f t="shared" si="333"/>
        <v>16074.317282150225</v>
      </c>
      <c r="AJ242" s="527">
        <f t="shared" si="333"/>
        <v>16074.317282150225</v>
      </c>
      <c r="AK242" s="527">
        <f t="shared" si="333"/>
        <v>16074.317282150225</v>
      </c>
      <c r="AL242" s="527">
        <f t="shared" si="333"/>
        <v>16074.317282150225</v>
      </c>
      <c r="AM242" s="527">
        <f t="shared" si="333"/>
        <v>16074.317282150225</v>
      </c>
      <c r="AN242" s="527">
        <f t="shared" si="333"/>
        <v>16074.317282150225</v>
      </c>
      <c r="AO242" s="527">
        <f t="shared" si="333"/>
        <v>16074.317282150225</v>
      </c>
      <c r="AP242" s="527">
        <f t="shared" si="333"/>
        <v>16913.45851160436</v>
      </c>
      <c r="AQ242" s="527">
        <f t="shared" si="333"/>
        <v>16913.45851160436</v>
      </c>
      <c r="AR242" s="527">
        <f t="shared" si="333"/>
        <v>16913.45851160436</v>
      </c>
      <c r="AS242" s="527">
        <f t="shared" si="333"/>
        <v>16913.45851160436</v>
      </c>
      <c r="AT242" s="527">
        <f t="shared" si="333"/>
        <v>16913.45851160436</v>
      </c>
      <c r="AU242" s="527">
        <f t="shared" si="333"/>
        <v>16913.45851160436</v>
      </c>
      <c r="AV242" s="527">
        <f t="shared" si="333"/>
        <v>16913.45851160436</v>
      </c>
      <c r="AW242" s="527">
        <f t="shared" si="333"/>
        <v>16913.45851160436</v>
      </c>
      <c r="AX242" s="527">
        <f t="shared" ref="AX242:BY242" si="334">($R159*AX$581*AX494)+((($R159*AX$581)+AX209)*AX486)</f>
        <v>16913.45851160436</v>
      </c>
      <c r="AY242" s="527">
        <f t="shared" si="334"/>
        <v>16913.45851160436</v>
      </c>
      <c r="AZ242" s="527">
        <f t="shared" si="334"/>
        <v>16913.45851160436</v>
      </c>
      <c r="BA242" s="527">
        <f t="shared" si="334"/>
        <v>16913.45851160436</v>
      </c>
      <c r="BB242" s="527">
        <f t="shared" si="334"/>
        <v>17744.329687614882</v>
      </c>
      <c r="BC242" s="527">
        <f t="shared" si="334"/>
        <v>17744.329687614882</v>
      </c>
      <c r="BD242" s="527">
        <f t="shared" si="334"/>
        <v>17744.329687614882</v>
      </c>
      <c r="BE242" s="527">
        <f t="shared" si="334"/>
        <v>17744.329687614882</v>
      </c>
      <c r="BF242" s="527">
        <f t="shared" si="334"/>
        <v>17744.329687614882</v>
      </c>
      <c r="BG242" s="527">
        <f t="shared" si="334"/>
        <v>17744.329687614882</v>
      </c>
      <c r="BH242" s="527">
        <f t="shared" si="334"/>
        <v>17744.329687614882</v>
      </c>
      <c r="BI242" s="527">
        <f t="shared" si="334"/>
        <v>17744.329687614882</v>
      </c>
      <c r="BJ242" s="527">
        <f t="shared" si="334"/>
        <v>17744.329687614882</v>
      </c>
      <c r="BK242" s="527">
        <f t="shared" si="334"/>
        <v>17744.329687614882</v>
      </c>
      <c r="BL242" s="527">
        <f t="shared" si="334"/>
        <v>17744.329687614882</v>
      </c>
      <c r="BM242" s="527">
        <f t="shared" si="334"/>
        <v>17744.329687614882</v>
      </c>
      <c r="BN242" s="527">
        <f t="shared" si="334"/>
        <v>18606.141644016261</v>
      </c>
      <c r="BO242" s="527">
        <f t="shared" si="334"/>
        <v>18606.141644016261</v>
      </c>
      <c r="BP242" s="527">
        <f t="shared" si="334"/>
        <v>18606.141644016261</v>
      </c>
      <c r="BQ242" s="527">
        <f t="shared" si="334"/>
        <v>18606.141644016261</v>
      </c>
      <c r="BR242" s="527">
        <f t="shared" si="334"/>
        <v>18606.141644016261</v>
      </c>
      <c r="BS242" s="527">
        <f t="shared" si="334"/>
        <v>18606.141644016261</v>
      </c>
      <c r="BT242" s="527">
        <f t="shared" si="334"/>
        <v>22148.959457228262</v>
      </c>
      <c r="BU242" s="527">
        <f t="shared" si="334"/>
        <v>22148.959457228262</v>
      </c>
      <c r="BV242" s="527">
        <f t="shared" si="334"/>
        <v>22148.959457228262</v>
      </c>
      <c r="BW242" s="527">
        <f t="shared" si="334"/>
        <v>22148.959457228262</v>
      </c>
      <c r="BX242" s="527">
        <f t="shared" si="334"/>
        <v>22148.959457228262</v>
      </c>
      <c r="BY242" s="527">
        <f t="shared" si="334"/>
        <v>22148.959457228262</v>
      </c>
    </row>
    <row r="243" spans="1:77" x14ac:dyDescent="0.3">
      <c r="A243" s="551"/>
      <c r="B243" s="548"/>
      <c r="C243" s="525"/>
      <c r="D243" s="525"/>
      <c r="E243" s="619" t="str">
        <f>"BCF net comm.: "&amp;E$160</f>
        <v>BCF net comm.: Uninvested Tranche</v>
      </c>
      <c r="F243" s="525"/>
      <c r="G243" s="525"/>
      <c r="H243" s="525"/>
      <c r="I243" s="525"/>
      <c r="J243" s="525"/>
      <c r="K243" s="525"/>
      <c r="L243" s="525"/>
      <c r="M243" s="525"/>
      <c r="N243" s="525"/>
      <c r="O243" s="525"/>
      <c r="P243" s="565"/>
      <c r="Q243" s="525"/>
      <c r="R243" s="527">
        <f t="shared" ref="R243:AW243" si="335">($R160*R$581*R495)+((($R160*R$581)+R210)*R487)</f>
        <v>41892.201515125707</v>
      </c>
      <c r="S243" s="527">
        <f t="shared" si="335"/>
        <v>41892.201515125707</v>
      </c>
      <c r="T243" s="527">
        <f t="shared" si="335"/>
        <v>41892.201515125707</v>
      </c>
      <c r="U243" s="527">
        <f t="shared" si="335"/>
        <v>41892.201515125707</v>
      </c>
      <c r="V243" s="527">
        <f t="shared" si="335"/>
        <v>41892.201515125707</v>
      </c>
      <c r="W243" s="527">
        <f t="shared" si="335"/>
        <v>41892.201515125707</v>
      </c>
      <c r="X243" s="527">
        <f t="shared" si="335"/>
        <v>41892.201515125707</v>
      </c>
      <c r="Y243" s="527">
        <f t="shared" si="335"/>
        <v>41892.201515125707</v>
      </c>
      <c r="Z243" s="527">
        <f t="shared" si="335"/>
        <v>41892.201515125707</v>
      </c>
      <c r="AA243" s="527">
        <f t="shared" si="335"/>
        <v>41892.201515125707</v>
      </c>
      <c r="AB243" s="527">
        <f t="shared" si="335"/>
        <v>41892.201515125707</v>
      </c>
      <c r="AC243" s="527">
        <f t="shared" si="335"/>
        <v>41892.201515125707</v>
      </c>
      <c r="AD243" s="527">
        <f t="shared" si="335"/>
        <v>44204.372525913117</v>
      </c>
      <c r="AE243" s="527">
        <f t="shared" si="335"/>
        <v>44204.372525913117</v>
      </c>
      <c r="AF243" s="527">
        <f t="shared" si="335"/>
        <v>44204.372525913117</v>
      </c>
      <c r="AG243" s="527">
        <f t="shared" si="335"/>
        <v>44204.372525913117</v>
      </c>
      <c r="AH243" s="527">
        <f t="shared" si="335"/>
        <v>44204.372525913117</v>
      </c>
      <c r="AI243" s="527">
        <f t="shared" si="335"/>
        <v>44204.372525913117</v>
      </c>
      <c r="AJ243" s="527">
        <f t="shared" si="335"/>
        <v>44204.372525913117</v>
      </c>
      <c r="AK243" s="527">
        <f t="shared" si="335"/>
        <v>44204.372525913117</v>
      </c>
      <c r="AL243" s="527">
        <f t="shared" si="335"/>
        <v>44204.372525913117</v>
      </c>
      <c r="AM243" s="527">
        <f t="shared" si="335"/>
        <v>44204.372525913117</v>
      </c>
      <c r="AN243" s="527">
        <f t="shared" si="335"/>
        <v>44204.372525913117</v>
      </c>
      <c r="AO243" s="527">
        <f t="shared" si="335"/>
        <v>44204.372525913117</v>
      </c>
      <c r="AP243" s="527">
        <f t="shared" si="335"/>
        <v>46512.010906911994</v>
      </c>
      <c r="AQ243" s="527">
        <f t="shared" si="335"/>
        <v>46512.010906911994</v>
      </c>
      <c r="AR243" s="527">
        <f t="shared" si="335"/>
        <v>46512.010906911994</v>
      </c>
      <c r="AS243" s="527">
        <f t="shared" si="335"/>
        <v>46512.010906911994</v>
      </c>
      <c r="AT243" s="527">
        <f t="shared" si="335"/>
        <v>46512.010906911994</v>
      </c>
      <c r="AU243" s="527">
        <f t="shared" si="335"/>
        <v>46512.010906911994</v>
      </c>
      <c r="AV243" s="527">
        <f t="shared" si="335"/>
        <v>46512.010906911994</v>
      </c>
      <c r="AW243" s="527">
        <f t="shared" si="335"/>
        <v>46512.010906911994</v>
      </c>
      <c r="AX243" s="527">
        <f t="shared" ref="AX243:BY243" si="336">($R160*AX$581*AX495)+((($R160*AX$581)+AX210)*AX487)</f>
        <v>46512.010906911994</v>
      </c>
      <c r="AY243" s="527">
        <f t="shared" si="336"/>
        <v>46512.010906911994</v>
      </c>
      <c r="AZ243" s="527">
        <f t="shared" si="336"/>
        <v>46512.010906911994</v>
      </c>
      <c r="BA243" s="527">
        <f t="shared" si="336"/>
        <v>46512.010906911994</v>
      </c>
      <c r="BB243" s="527">
        <f t="shared" si="336"/>
        <v>48796.906640940928</v>
      </c>
      <c r="BC243" s="527">
        <f t="shared" si="336"/>
        <v>48796.906640940928</v>
      </c>
      <c r="BD243" s="527">
        <f t="shared" si="336"/>
        <v>48796.906640940928</v>
      </c>
      <c r="BE243" s="527">
        <f t="shared" si="336"/>
        <v>48796.906640940928</v>
      </c>
      <c r="BF243" s="527">
        <f t="shared" si="336"/>
        <v>48796.906640940928</v>
      </c>
      <c r="BG243" s="527">
        <f t="shared" si="336"/>
        <v>48796.906640940928</v>
      </c>
      <c r="BH243" s="527">
        <f t="shared" si="336"/>
        <v>48796.906640940928</v>
      </c>
      <c r="BI243" s="527">
        <f t="shared" si="336"/>
        <v>48796.906640940928</v>
      </c>
      <c r="BJ243" s="527">
        <f t="shared" si="336"/>
        <v>48796.906640940928</v>
      </c>
      <c r="BK243" s="527">
        <f t="shared" si="336"/>
        <v>48796.906640940928</v>
      </c>
      <c r="BL243" s="527">
        <f t="shared" si="336"/>
        <v>48796.906640940928</v>
      </c>
      <c r="BM243" s="527">
        <f t="shared" si="336"/>
        <v>48796.906640940928</v>
      </c>
      <c r="BN243" s="527">
        <f t="shared" si="336"/>
        <v>51166.889521044715</v>
      </c>
      <c r="BO243" s="527">
        <f t="shared" si="336"/>
        <v>51166.889521044715</v>
      </c>
      <c r="BP243" s="527">
        <f t="shared" si="336"/>
        <v>51166.889521044715</v>
      </c>
      <c r="BQ243" s="527">
        <f t="shared" si="336"/>
        <v>51166.889521044715</v>
      </c>
      <c r="BR243" s="527">
        <f t="shared" si="336"/>
        <v>51166.889521044715</v>
      </c>
      <c r="BS243" s="527">
        <f t="shared" si="336"/>
        <v>51166.889521044715</v>
      </c>
      <c r="BT243" s="527">
        <f t="shared" si="336"/>
        <v>51166.889521044715</v>
      </c>
      <c r="BU243" s="527">
        <f t="shared" si="336"/>
        <v>51166.889521044715</v>
      </c>
      <c r="BV243" s="527">
        <f t="shared" si="336"/>
        <v>51166.889521044715</v>
      </c>
      <c r="BW243" s="527">
        <f t="shared" si="336"/>
        <v>51166.889521044715</v>
      </c>
      <c r="BX243" s="527">
        <f t="shared" si="336"/>
        <v>51166.889521044715</v>
      </c>
      <c r="BY243" s="527">
        <f t="shared" si="336"/>
        <v>51166.889521044715</v>
      </c>
    </row>
    <row r="244" spans="1:77" x14ac:dyDescent="0.3">
      <c r="A244" s="551"/>
      <c r="B244" s="548"/>
      <c r="C244" s="525"/>
      <c r="D244" s="525"/>
      <c r="E244" s="572" t="s">
        <v>36</v>
      </c>
      <c r="F244" s="572"/>
      <c r="G244" s="572"/>
      <c r="H244" s="572"/>
      <c r="I244" s="572"/>
      <c r="J244" s="572"/>
      <c r="K244" s="572"/>
      <c r="L244" s="572"/>
      <c r="M244" s="572"/>
      <c r="N244" s="572"/>
      <c r="O244" s="572"/>
      <c r="P244" s="612"/>
      <c r="Q244" s="572"/>
      <c r="R244" s="530">
        <f t="shared" ref="R244:AW244" si="337">SUM(R238:R243)</f>
        <v>118059.84063353608</v>
      </c>
      <c r="S244" s="530">
        <f t="shared" si="337"/>
        <v>118059.84063353608</v>
      </c>
      <c r="T244" s="530">
        <f t="shared" si="337"/>
        <v>118059.84063353608</v>
      </c>
      <c r="U244" s="530">
        <f t="shared" si="337"/>
        <v>118059.84063353608</v>
      </c>
      <c r="V244" s="530">
        <f t="shared" si="337"/>
        <v>118059.84063353608</v>
      </c>
      <c r="W244" s="530">
        <f t="shared" si="337"/>
        <v>118059.84063353608</v>
      </c>
      <c r="X244" s="530">
        <f t="shared" si="337"/>
        <v>121293.84677729146</v>
      </c>
      <c r="Y244" s="530">
        <f t="shared" si="337"/>
        <v>121293.84677729146</v>
      </c>
      <c r="Z244" s="530">
        <f t="shared" si="337"/>
        <v>121293.84677729146</v>
      </c>
      <c r="AA244" s="530">
        <f t="shared" si="337"/>
        <v>121293.84677729146</v>
      </c>
      <c r="AB244" s="530">
        <f t="shared" si="337"/>
        <v>121293.84677729146</v>
      </c>
      <c r="AC244" s="530">
        <f t="shared" si="337"/>
        <v>121293.84677729146</v>
      </c>
      <c r="AD244" s="530">
        <f t="shared" si="337"/>
        <v>127104.73459444962</v>
      </c>
      <c r="AE244" s="530">
        <f t="shared" si="337"/>
        <v>127104.73459444962</v>
      </c>
      <c r="AF244" s="530">
        <f t="shared" si="337"/>
        <v>127104.73459444962</v>
      </c>
      <c r="AG244" s="530">
        <f t="shared" si="337"/>
        <v>127104.73459444962</v>
      </c>
      <c r="AH244" s="530">
        <f t="shared" si="337"/>
        <v>127104.73459444962</v>
      </c>
      <c r="AI244" s="530">
        <f t="shared" si="337"/>
        <v>127104.73459444962</v>
      </c>
      <c r="AJ244" s="530">
        <f t="shared" si="337"/>
        <v>131270.6621980498</v>
      </c>
      <c r="AK244" s="530">
        <f t="shared" si="337"/>
        <v>131270.6621980498</v>
      </c>
      <c r="AL244" s="530">
        <f t="shared" si="337"/>
        <v>131270.6621980498</v>
      </c>
      <c r="AM244" s="530">
        <f t="shared" si="337"/>
        <v>131270.6621980498</v>
      </c>
      <c r="AN244" s="530">
        <f t="shared" si="337"/>
        <v>131270.6621980498</v>
      </c>
      <c r="AO244" s="530">
        <f t="shared" si="337"/>
        <v>131270.6621980498</v>
      </c>
      <c r="AP244" s="530">
        <f t="shared" si="337"/>
        <v>136375.29356360924</v>
      </c>
      <c r="AQ244" s="530">
        <f t="shared" si="337"/>
        <v>136375.29356360924</v>
      </c>
      <c r="AR244" s="530">
        <f t="shared" si="337"/>
        <v>136375.29356360924</v>
      </c>
      <c r="AS244" s="530">
        <f t="shared" si="337"/>
        <v>136375.29356360924</v>
      </c>
      <c r="AT244" s="530">
        <f t="shared" si="337"/>
        <v>136375.29356360924</v>
      </c>
      <c r="AU244" s="530">
        <f t="shared" si="337"/>
        <v>136375.29356360924</v>
      </c>
      <c r="AV244" s="530">
        <f t="shared" si="337"/>
        <v>141537.4132470914</v>
      </c>
      <c r="AW244" s="530">
        <f t="shared" si="337"/>
        <v>141537.4132470914</v>
      </c>
      <c r="AX244" s="530">
        <f t="shared" ref="AX244:BY244" si="338">SUM(AX238:AX243)</f>
        <v>141537.4132470914</v>
      </c>
      <c r="AY244" s="530">
        <f t="shared" si="338"/>
        <v>141537.4132470914</v>
      </c>
      <c r="AZ244" s="530">
        <f t="shared" si="338"/>
        <v>141537.4132470914</v>
      </c>
      <c r="BA244" s="530">
        <f t="shared" si="338"/>
        <v>141537.4132470914</v>
      </c>
      <c r="BB244" s="530">
        <f t="shared" si="338"/>
        <v>145995.51278094534</v>
      </c>
      <c r="BC244" s="530">
        <f t="shared" si="338"/>
        <v>145995.51278094534</v>
      </c>
      <c r="BD244" s="530">
        <f t="shared" si="338"/>
        <v>145995.51278094534</v>
      </c>
      <c r="BE244" s="530">
        <f t="shared" si="338"/>
        <v>145995.51278094534</v>
      </c>
      <c r="BF244" s="530">
        <f t="shared" si="338"/>
        <v>145995.51278094534</v>
      </c>
      <c r="BG244" s="530">
        <f t="shared" si="338"/>
        <v>145995.51278094534</v>
      </c>
      <c r="BH244" s="530">
        <f t="shared" si="338"/>
        <v>152219.23812675109</v>
      </c>
      <c r="BI244" s="530">
        <f t="shared" si="338"/>
        <v>152219.23812675109</v>
      </c>
      <c r="BJ244" s="530">
        <f t="shared" si="338"/>
        <v>152219.23812675109</v>
      </c>
      <c r="BK244" s="530">
        <f t="shared" si="338"/>
        <v>152219.23812675109</v>
      </c>
      <c r="BL244" s="530">
        <f t="shared" si="338"/>
        <v>152219.23812675109</v>
      </c>
      <c r="BM244" s="530">
        <f t="shared" si="338"/>
        <v>152219.23812675109</v>
      </c>
      <c r="BN244" s="530">
        <f t="shared" si="338"/>
        <v>156269.88583760287</v>
      </c>
      <c r="BO244" s="530">
        <f t="shared" si="338"/>
        <v>156269.88583760287</v>
      </c>
      <c r="BP244" s="530">
        <f t="shared" si="338"/>
        <v>156269.88583760287</v>
      </c>
      <c r="BQ244" s="530">
        <f t="shared" si="338"/>
        <v>156269.88583760287</v>
      </c>
      <c r="BR244" s="530">
        <f t="shared" si="338"/>
        <v>156269.88583760287</v>
      </c>
      <c r="BS244" s="530">
        <f t="shared" si="338"/>
        <v>156269.88583760287</v>
      </c>
      <c r="BT244" s="530">
        <f t="shared" si="338"/>
        <v>163623.67715177554</v>
      </c>
      <c r="BU244" s="530">
        <f t="shared" si="338"/>
        <v>163623.67715177554</v>
      </c>
      <c r="BV244" s="530">
        <f t="shared" si="338"/>
        <v>163623.67715177554</v>
      </c>
      <c r="BW244" s="530">
        <f t="shared" si="338"/>
        <v>163623.67715177554</v>
      </c>
      <c r="BX244" s="530">
        <f t="shared" si="338"/>
        <v>163623.67715177554</v>
      </c>
      <c r="BY244" s="530">
        <f t="shared" si="338"/>
        <v>163623.67715177554</v>
      </c>
    </row>
    <row r="245" spans="1:77" x14ac:dyDescent="0.3">
      <c r="A245" s="551"/>
      <c r="B245" s="548"/>
      <c r="C245" s="525"/>
      <c r="D245" s="525"/>
      <c r="E245" s="525"/>
      <c r="F245" s="525"/>
      <c r="G245" s="525"/>
      <c r="H245" s="525"/>
      <c r="I245" s="525"/>
      <c r="J245" s="525"/>
      <c r="K245" s="525"/>
      <c r="L245" s="525"/>
      <c r="M245" s="525"/>
      <c r="N245" s="525"/>
      <c r="O245" s="525"/>
      <c r="P245" s="565"/>
      <c r="Q245" s="525"/>
      <c r="R245" s="525"/>
      <c r="S245" s="525"/>
      <c r="T245" s="525"/>
      <c r="U245" s="525"/>
      <c r="V245" s="525"/>
      <c r="W245" s="525"/>
      <c r="X245" s="525"/>
      <c r="Y245" s="525"/>
      <c r="Z245" s="525"/>
      <c r="AA245" s="525"/>
      <c r="AB245" s="525"/>
      <c r="AC245" s="525"/>
      <c r="AD245" s="525"/>
      <c r="AE245" s="525"/>
      <c r="AF245" s="525"/>
      <c r="AG245" s="525"/>
      <c r="AH245" s="525"/>
      <c r="AI245" s="525"/>
      <c r="AJ245" s="525"/>
      <c r="AK245" s="525"/>
      <c r="AL245" s="525"/>
      <c r="AM245" s="525"/>
      <c r="AN245" s="525"/>
      <c r="AO245" s="525"/>
      <c r="AP245" s="525"/>
      <c r="AQ245" s="525"/>
      <c r="AR245" s="525"/>
      <c r="AS245" s="525"/>
      <c r="AT245" s="525"/>
      <c r="AU245" s="525"/>
      <c r="AV245" s="525"/>
      <c r="AW245" s="525"/>
      <c r="AX245" s="525"/>
      <c r="AY245" s="525"/>
      <c r="AZ245" s="525"/>
      <c r="BA245" s="525"/>
      <c r="BB245" s="525"/>
      <c r="BC245" s="525"/>
      <c r="BD245" s="525"/>
      <c r="BE245" s="525"/>
      <c r="BF245" s="525"/>
      <c r="BG245" s="525"/>
      <c r="BH245" s="525"/>
      <c r="BI245" s="525"/>
      <c r="BJ245" s="525"/>
      <c r="BK245" s="525"/>
      <c r="BL245" s="525"/>
      <c r="BM245" s="525"/>
      <c r="BN245" s="525"/>
      <c r="BO245" s="525"/>
      <c r="BP245" s="525"/>
      <c r="BQ245" s="525"/>
      <c r="BR245" s="525"/>
      <c r="BS245" s="525"/>
      <c r="BT245" s="525"/>
      <c r="BU245" s="525"/>
      <c r="BV245" s="525"/>
      <c r="BW245" s="525"/>
      <c r="BX245" s="525"/>
      <c r="BY245" s="525"/>
    </row>
    <row r="246" spans="1:77" x14ac:dyDescent="0.3">
      <c r="A246" s="551"/>
      <c r="B246" s="548"/>
      <c r="C246" s="525"/>
      <c r="D246" s="525"/>
      <c r="E246" s="620" t="str">
        <f>"BCF gross sales: "&amp;E$155</f>
        <v>BCF gross sales: FY27 Tranche</v>
      </c>
      <c r="F246" s="525"/>
      <c r="G246" s="525"/>
      <c r="H246" s="525"/>
      <c r="I246" s="525"/>
      <c r="J246" s="525"/>
      <c r="K246" s="525"/>
      <c r="L246" s="525"/>
      <c r="M246" s="525"/>
      <c r="N246" s="525"/>
      <c r="O246" s="525"/>
      <c r="P246" s="565"/>
      <c r="Q246" s="525"/>
      <c r="R246" s="527">
        <f t="shared" ref="R246:AW246" si="339">IFERROR(R238/R$223,0)</f>
        <v>32643.932008329972</v>
      </c>
      <c r="S246" s="527">
        <f t="shared" si="339"/>
        <v>32643.932008329972</v>
      </c>
      <c r="T246" s="527">
        <f t="shared" si="339"/>
        <v>32643.932008329972</v>
      </c>
      <c r="U246" s="527">
        <f t="shared" si="339"/>
        <v>32643.932008329972</v>
      </c>
      <c r="V246" s="527">
        <f t="shared" si="339"/>
        <v>32643.932008329972</v>
      </c>
      <c r="W246" s="527">
        <f t="shared" si="339"/>
        <v>32643.932008329972</v>
      </c>
      <c r="X246" s="527">
        <f t="shared" si="339"/>
        <v>39574.084885141041</v>
      </c>
      <c r="Y246" s="527">
        <f t="shared" si="339"/>
        <v>39574.084885141041</v>
      </c>
      <c r="Z246" s="527">
        <f t="shared" si="339"/>
        <v>39574.084885141041</v>
      </c>
      <c r="AA246" s="527">
        <f t="shared" si="339"/>
        <v>39574.084885141041</v>
      </c>
      <c r="AB246" s="527">
        <f t="shared" si="339"/>
        <v>39574.084885141041</v>
      </c>
      <c r="AC246" s="527">
        <f t="shared" si="339"/>
        <v>39574.084885141041</v>
      </c>
      <c r="AD246" s="527">
        <f t="shared" si="339"/>
        <v>39159.497167641231</v>
      </c>
      <c r="AE246" s="527">
        <f t="shared" si="339"/>
        <v>39159.497167641231</v>
      </c>
      <c r="AF246" s="527">
        <f t="shared" si="339"/>
        <v>39159.497167641231</v>
      </c>
      <c r="AG246" s="527">
        <f t="shared" si="339"/>
        <v>39159.497167641231</v>
      </c>
      <c r="AH246" s="527">
        <f t="shared" si="339"/>
        <v>39159.497167641231</v>
      </c>
      <c r="AI246" s="527">
        <f t="shared" si="339"/>
        <v>39159.497167641231</v>
      </c>
      <c r="AJ246" s="527">
        <f t="shared" si="339"/>
        <v>40946.549677913259</v>
      </c>
      <c r="AK246" s="527">
        <f t="shared" si="339"/>
        <v>40946.549677913259</v>
      </c>
      <c r="AL246" s="527">
        <f t="shared" si="339"/>
        <v>40946.549677913259</v>
      </c>
      <c r="AM246" s="527">
        <f t="shared" si="339"/>
        <v>40946.549677913259</v>
      </c>
      <c r="AN246" s="527">
        <f t="shared" si="339"/>
        <v>40946.549677913259</v>
      </c>
      <c r="AO246" s="527">
        <f t="shared" si="339"/>
        <v>40946.549677913259</v>
      </c>
      <c r="AP246" s="527">
        <f t="shared" si="339"/>
        <v>40578.198216722085</v>
      </c>
      <c r="AQ246" s="527">
        <f t="shared" si="339"/>
        <v>40578.198216722085</v>
      </c>
      <c r="AR246" s="527">
        <f t="shared" si="339"/>
        <v>40578.198216722085</v>
      </c>
      <c r="AS246" s="527">
        <f t="shared" si="339"/>
        <v>40578.198216722085</v>
      </c>
      <c r="AT246" s="527">
        <f t="shared" si="339"/>
        <v>40578.198216722085</v>
      </c>
      <c r="AU246" s="527">
        <f t="shared" si="339"/>
        <v>40578.198216722085</v>
      </c>
      <c r="AV246" s="527">
        <f t="shared" si="339"/>
        <v>42409.447211966144</v>
      </c>
      <c r="AW246" s="527">
        <f t="shared" si="339"/>
        <v>42409.447211966144</v>
      </c>
      <c r="AX246" s="527">
        <f t="shared" ref="AX246:BY246" si="340">IFERROR(AX238/AX$223,0)</f>
        <v>42409.447211966144</v>
      </c>
      <c r="AY246" s="527">
        <f t="shared" si="340"/>
        <v>42409.447211966144</v>
      </c>
      <c r="AZ246" s="527">
        <f t="shared" si="340"/>
        <v>42409.447211966144</v>
      </c>
      <c r="BA246" s="527">
        <f t="shared" si="340"/>
        <v>42409.447211966144</v>
      </c>
      <c r="BB246" s="527">
        <f t="shared" si="340"/>
        <v>42143.039268177869</v>
      </c>
      <c r="BC246" s="527">
        <f t="shared" si="340"/>
        <v>42143.039268177869</v>
      </c>
      <c r="BD246" s="527">
        <f t="shared" si="340"/>
        <v>42143.039268177869</v>
      </c>
      <c r="BE246" s="527">
        <f t="shared" si="340"/>
        <v>42143.039268177869</v>
      </c>
      <c r="BF246" s="527">
        <f t="shared" si="340"/>
        <v>42143.039268177869</v>
      </c>
      <c r="BG246" s="527">
        <f t="shared" si="340"/>
        <v>42143.039268177869</v>
      </c>
      <c r="BH246" s="527">
        <f t="shared" si="340"/>
        <v>44022.315196342133</v>
      </c>
      <c r="BI246" s="527">
        <f t="shared" si="340"/>
        <v>44022.315196342133</v>
      </c>
      <c r="BJ246" s="527">
        <f t="shared" si="340"/>
        <v>44022.315196342133</v>
      </c>
      <c r="BK246" s="527">
        <f t="shared" si="340"/>
        <v>44022.315196342133</v>
      </c>
      <c r="BL246" s="527">
        <f t="shared" si="340"/>
        <v>44022.315196342133</v>
      </c>
      <c r="BM246" s="527">
        <f t="shared" si="340"/>
        <v>44022.315196342133</v>
      </c>
      <c r="BN246" s="527">
        <f t="shared" si="340"/>
        <v>43820.396298370128</v>
      </c>
      <c r="BO246" s="527">
        <f t="shared" si="340"/>
        <v>43820.396298370128</v>
      </c>
      <c r="BP246" s="527">
        <f t="shared" si="340"/>
        <v>43820.396298370128</v>
      </c>
      <c r="BQ246" s="527">
        <f t="shared" si="340"/>
        <v>43820.396298370128</v>
      </c>
      <c r="BR246" s="527">
        <f t="shared" si="340"/>
        <v>43820.396298370128</v>
      </c>
      <c r="BS246" s="527">
        <f t="shared" si="340"/>
        <v>43820.396298370128</v>
      </c>
      <c r="BT246" s="527">
        <f t="shared" si="340"/>
        <v>45749.874481331819</v>
      </c>
      <c r="BU246" s="527">
        <f t="shared" si="340"/>
        <v>45749.874481331819</v>
      </c>
      <c r="BV246" s="527">
        <f t="shared" si="340"/>
        <v>45749.874481331819</v>
      </c>
      <c r="BW246" s="527">
        <f t="shared" si="340"/>
        <v>45749.874481331819</v>
      </c>
      <c r="BX246" s="527">
        <f t="shared" si="340"/>
        <v>45749.874481331819</v>
      </c>
      <c r="BY246" s="527">
        <f t="shared" si="340"/>
        <v>45749.874481331819</v>
      </c>
    </row>
    <row r="247" spans="1:77" x14ac:dyDescent="0.3">
      <c r="A247" s="551"/>
      <c r="B247" s="548"/>
      <c r="C247" s="525"/>
      <c r="D247" s="525"/>
      <c r="E247" s="620" t="str">
        <f>"BCF gross sales: "&amp;E$156</f>
        <v>BCF gross sales: FY28 Tranche</v>
      </c>
      <c r="F247" s="525"/>
      <c r="G247" s="525"/>
      <c r="H247" s="525"/>
      <c r="I247" s="525"/>
      <c r="J247" s="525"/>
      <c r="K247" s="525"/>
      <c r="L247" s="525"/>
      <c r="M247" s="525"/>
      <c r="N247" s="525"/>
      <c r="O247" s="525"/>
      <c r="P247" s="565"/>
      <c r="Q247" s="525"/>
      <c r="R247" s="527">
        <f t="shared" ref="R247:AW247" si="341">IFERROR(R239/R$223,0)</f>
        <v>32643.932008329972</v>
      </c>
      <c r="S247" s="527">
        <f t="shared" si="341"/>
        <v>32643.932008329972</v>
      </c>
      <c r="T247" s="527">
        <f t="shared" si="341"/>
        <v>32643.932008329972</v>
      </c>
      <c r="U247" s="527">
        <f t="shared" si="341"/>
        <v>32643.932008329972</v>
      </c>
      <c r="V247" s="527">
        <f t="shared" si="341"/>
        <v>32643.932008329972</v>
      </c>
      <c r="W247" s="527">
        <f t="shared" si="341"/>
        <v>32643.932008329972</v>
      </c>
      <c r="X247" s="527">
        <f t="shared" si="341"/>
        <v>32643.932008329972</v>
      </c>
      <c r="Y247" s="527">
        <f t="shared" si="341"/>
        <v>32643.932008329972</v>
      </c>
      <c r="Z247" s="527">
        <f t="shared" si="341"/>
        <v>32643.932008329972</v>
      </c>
      <c r="AA247" s="527">
        <f t="shared" si="341"/>
        <v>32643.932008329972</v>
      </c>
      <c r="AB247" s="527">
        <f t="shared" si="341"/>
        <v>32643.932008329972</v>
      </c>
      <c r="AC247" s="527">
        <f t="shared" si="341"/>
        <v>32643.932008329972</v>
      </c>
      <c r="AD247" s="527">
        <f t="shared" si="341"/>
        <v>33836.42623914704</v>
      </c>
      <c r="AE247" s="527">
        <f t="shared" si="341"/>
        <v>33836.42623914704</v>
      </c>
      <c r="AF247" s="527">
        <f t="shared" si="341"/>
        <v>33836.42623914704</v>
      </c>
      <c r="AG247" s="527">
        <f t="shared" si="341"/>
        <v>33836.42623914704</v>
      </c>
      <c r="AH247" s="527">
        <f t="shared" si="341"/>
        <v>33836.42623914704</v>
      </c>
      <c r="AI247" s="527">
        <f t="shared" si="341"/>
        <v>33836.42623914704</v>
      </c>
      <c r="AJ247" s="527">
        <f t="shared" si="341"/>
        <v>40818.648317810359</v>
      </c>
      <c r="AK247" s="527">
        <f t="shared" si="341"/>
        <v>40818.648317810359</v>
      </c>
      <c r="AL247" s="527">
        <f t="shared" si="341"/>
        <v>40818.648317810359</v>
      </c>
      <c r="AM247" s="527">
        <f t="shared" si="341"/>
        <v>40818.648317810359</v>
      </c>
      <c r="AN247" s="527">
        <f t="shared" si="341"/>
        <v>40818.648317810359</v>
      </c>
      <c r="AO247" s="527">
        <f t="shared" si="341"/>
        <v>40818.648317810359</v>
      </c>
      <c r="AP247" s="527">
        <f t="shared" si="341"/>
        <v>40452.174608750247</v>
      </c>
      <c r="AQ247" s="527">
        <f t="shared" si="341"/>
        <v>40452.174608750247</v>
      </c>
      <c r="AR247" s="527">
        <f t="shared" si="341"/>
        <v>40452.174608750247</v>
      </c>
      <c r="AS247" s="527">
        <f t="shared" si="341"/>
        <v>40452.174608750247</v>
      </c>
      <c r="AT247" s="527">
        <f t="shared" si="341"/>
        <v>40452.174608750247</v>
      </c>
      <c r="AU247" s="527">
        <f t="shared" si="341"/>
        <v>40452.174608750247</v>
      </c>
      <c r="AV247" s="527">
        <f t="shared" si="341"/>
        <v>42278.382659675437</v>
      </c>
      <c r="AW247" s="527">
        <f t="shared" si="341"/>
        <v>42278.382659675437</v>
      </c>
      <c r="AX247" s="527">
        <f t="shared" ref="AX247:BY247" si="342">IFERROR(AX239/AX$223,0)</f>
        <v>42278.382659675437</v>
      </c>
      <c r="AY247" s="527">
        <f t="shared" si="342"/>
        <v>42278.382659675437</v>
      </c>
      <c r="AZ247" s="527">
        <f t="shared" si="342"/>
        <v>42278.382659675437</v>
      </c>
      <c r="BA247" s="527">
        <f t="shared" si="342"/>
        <v>42278.382659675437</v>
      </c>
      <c r="BB247" s="527">
        <f t="shared" si="342"/>
        <v>42013.710523994545</v>
      </c>
      <c r="BC247" s="527">
        <f t="shared" si="342"/>
        <v>42013.710523994545</v>
      </c>
      <c r="BD247" s="527">
        <f t="shared" si="342"/>
        <v>42013.710523994545</v>
      </c>
      <c r="BE247" s="527">
        <f t="shared" si="342"/>
        <v>42013.710523994545</v>
      </c>
      <c r="BF247" s="527">
        <f t="shared" si="342"/>
        <v>42013.710523994545</v>
      </c>
      <c r="BG247" s="527">
        <f t="shared" si="342"/>
        <v>42013.710523994545</v>
      </c>
      <c r="BH247" s="527">
        <f t="shared" si="342"/>
        <v>43887.813302391478</v>
      </c>
      <c r="BI247" s="527">
        <f t="shared" si="342"/>
        <v>43887.813302391478</v>
      </c>
      <c r="BJ247" s="527">
        <f t="shared" si="342"/>
        <v>43887.813302391478</v>
      </c>
      <c r="BK247" s="527">
        <f t="shared" si="342"/>
        <v>43887.813302391478</v>
      </c>
      <c r="BL247" s="527">
        <f t="shared" si="342"/>
        <v>43887.813302391478</v>
      </c>
      <c r="BM247" s="527">
        <f t="shared" si="342"/>
        <v>43887.813302391478</v>
      </c>
      <c r="BN247" s="527">
        <f t="shared" si="342"/>
        <v>43687.612715825497</v>
      </c>
      <c r="BO247" s="527">
        <f t="shared" si="342"/>
        <v>43687.612715825497</v>
      </c>
      <c r="BP247" s="527">
        <f t="shared" si="342"/>
        <v>43687.612715825497</v>
      </c>
      <c r="BQ247" s="527">
        <f t="shared" si="342"/>
        <v>43687.612715825497</v>
      </c>
      <c r="BR247" s="527">
        <f t="shared" si="342"/>
        <v>43687.612715825497</v>
      </c>
      <c r="BS247" s="527">
        <f t="shared" si="342"/>
        <v>43687.612715825497</v>
      </c>
      <c r="BT247" s="527">
        <f t="shared" si="342"/>
        <v>45611.779555485402</v>
      </c>
      <c r="BU247" s="527">
        <f t="shared" si="342"/>
        <v>45611.779555485402</v>
      </c>
      <c r="BV247" s="527">
        <f t="shared" si="342"/>
        <v>45611.779555485402</v>
      </c>
      <c r="BW247" s="527">
        <f t="shared" si="342"/>
        <v>45611.779555485402</v>
      </c>
      <c r="BX247" s="527">
        <f t="shared" si="342"/>
        <v>45611.779555485402</v>
      </c>
      <c r="BY247" s="527">
        <f t="shared" si="342"/>
        <v>45611.779555485402</v>
      </c>
    </row>
    <row r="248" spans="1:77" x14ac:dyDescent="0.3">
      <c r="A248" s="551"/>
      <c r="B248" s="548"/>
      <c r="C248" s="525"/>
      <c r="D248" s="525"/>
      <c r="E248" s="620" t="str">
        <f>"BCF gross sales: "&amp;E$157</f>
        <v>BCF gross sales: FY29 Tranche</v>
      </c>
      <c r="F248" s="525"/>
      <c r="G248" s="525"/>
      <c r="H248" s="525"/>
      <c r="I248" s="525"/>
      <c r="J248" s="525"/>
      <c r="K248" s="525"/>
      <c r="L248" s="525"/>
      <c r="M248" s="525"/>
      <c r="N248" s="525"/>
      <c r="O248" s="525"/>
      <c r="P248" s="565"/>
      <c r="Q248" s="525"/>
      <c r="R248" s="527">
        <f t="shared" ref="R248:AW248" si="343">IFERROR(R240/R$223,0)</f>
        <v>32643.932008329972</v>
      </c>
      <c r="S248" s="527">
        <f t="shared" si="343"/>
        <v>32643.932008329972</v>
      </c>
      <c r="T248" s="527">
        <f t="shared" si="343"/>
        <v>32643.932008329972</v>
      </c>
      <c r="U248" s="527">
        <f t="shared" si="343"/>
        <v>32643.932008329972</v>
      </c>
      <c r="V248" s="527">
        <f t="shared" si="343"/>
        <v>32643.932008329972</v>
      </c>
      <c r="W248" s="527">
        <f t="shared" si="343"/>
        <v>32643.932008329972</v>
      </c>
      <c r="X248" s="527">
        <f t="shared" si="343"/>
        <v>32643.932008329972</v>
      </c>
      <c r="Y248" s="527">
        <f t="shared" si="343"/>
        <v>32643.932008329972</v>
      </c>
      <c r="Z248" s="527">
        <f t="shared" si="343"/>
        <v>32643.932008329972</v>
      </c>
      <c r="AA248" s="527">
        <f t="shared" si="343"/>
        <v>32643.932008329972</v>
      </c>
      <c r="AB248" s="527">
        <f t="shared" si="343"/>
        <v>32643.932008329972</v>
      </c>
      <c r="AC248" s="527">
        <f t="shared" si="343"/>
        <v>32643.932008329972</v>
      </c>
      <c r="AD248" s="527">
        <f t="shared" si="343"/>
        <v>33836.42623914704</v>
      </c>
      <c r="AE248" s="527">
        <f t="shared" si="343"/>
        <v>33836.42623914704</v>
      </c>
      <c r="AF248" s="527">
        <f t="shared" si="343"/>
        <v>33836.42623914704</v>
      </c>
      <c r="AG248" s="527">
        <f t="shared" si="343"/>
        <v>33836.42623914704</v>
      </c>
      <c r="AH248" s="527">
        <f t="shared" si="343"/>
        <v>33836.42623914704</v>
      </c>
      <c r="AI248" s="527">
        <f t="shared" si="343"/>
        <v>33836.42623914704</v>
      </c>
      <c r="AJ248" s="527">
        <f t="shared" si="343"/>
        <v>33836.42623914704</v>
      </c>
      <c r="AK248" s="527">
        <f t="shared" si="343"/>
        <v>33836.42623914704</v>
      </c>
      <c r="AL248" s="527">
        <f t="shared" si="343"/>
        <v>33836.42623914704</v>
      </c>
      <c r="AM248" s="527">
        <f t="shared" si="343"/>
        <v>33836.42623914704</v>
      </c>
      <c r="AN248" s="527">
        <f t="shared" si="343"/>
        <v>33836.42623914704</v>
      </c>
      <c r="AO248" s="527">
        <f t="shared" si="343"/>
        <v>33836.42623914704</v>
      </c>
      <c r="AP248" s="527">
        <f t="shared" si="343"/>
        <v>35030.726236518371</v>
      </c>
      <c r="AQ248" s="527">
        <f t="shared" si="343"/>
        <v>35030.726236518371</v>
      </c>
      <c r="AR248" s="527">
        <f t="shared" si="343"/>
        <v>35030.726236518371</v>
      </c>
      <c r="AS248" s="527">
        <f t="shared" si="343"/>
        <v>35030.726236518371</v>
      </c>
      <c r="AT248" s="527">
        <f t="shared" si="343"/>
        <v>35030.726236518371</v>
      </c>
      <c r="AU248" s="527">
        <f t="shared" si="343"/>
        <v>35030.726236518371</v>
      </c>
      <c r="AV248" s="527">
        <f t="shared" si="343"/>
        <v>42064.92053464018</v>
      </c>
      <c r="AW248" s="527">
        <f t="shared" si="343"/>
        <v>42064.92053464018</v>
      </c>
      <c r="AX248" s="527">
        <f t="shared" ref="AX248:BY248" si="344">IFERROR(AX240/AX$223,0)</f>
        <v>42064.92053464018</v>
      </c>
      <c r="AY248" s="527">
        <f t="shared" si="344"/>
        <v>42064.92053464018</v>
      </c>
      <c r="AZ248" s="527">
        <f t="shared" si="344"/>
        <v>42064.92053464018</v>
      </c>
      <c r="BA248" s="527">
        <f t="shared" si="344"/>
        <v>42064.92053464018</v>
      </c>
      <c r="BB248" s="527">
        <f t="shared" si="344"/>
        <v>41803.07547371582</v>
      </c>
      <c r="BC248" s="527">
        <f t="shared" si="344"/>
        <v>41803.07547371582</v>
      </c>
      <c r="BD248" s="527">
        <f t="shared" si="344"/>
        <v>41803.07547371582</v>
      </c>
      <c r="BE248" s="527">
        <f t="shared" si="344"/>
        <v>41803.07547371582</v>
      </c>
      <c r="BF248" s="527">
        <f t="shared" si="344"/>
        <v>41803.07547371582</v>
      </c>
      <c r="BG248" s="527">
        <f t="shared" si="344"/>
        <v>41803.07547371582</v>
      </c>
      <c r="BH248" s="527">
        <f t="shared" si="344"/>
        <v>43668.752850101606</v>
      </c>
      <c r="BI248" s="527">
        <f t="shared" si="344"/>
        <v>43668.752850101606</v>
      </c>
      <c r="BJ248" s="527">
        <f t="shared" si="344"/>
        <v>43668.752850101606</v>
      </c>
      <c r="BK248" s="527">
        <f t="shared" si="344"/>
        <v>43668.752850101606</v>
      </c>
      <c r="BL248" s="527">
        <f t="shared" si="344"/>
        <v>43668.752850101606</v>
      </c>
      <c r="BM248" s="527">
        <f t="shared" si="344"/>
        <v>43668.752850101606</v>
      </c>
      <c r="BN248" s="527">
        <f t="shared" si="344"/>
        <v>43471.350841776562</v>
      </c>
      <c r="BO248" s="527">
        <f t="shared" si="344"/>
        <v>43471.350841776562</v>
      </c>
      <c r="BP248" s="527">
        <f t="shared" si="344"/>
        <v>43471.350841776562</v>
      </c>
      <c r="BQ248" s="527">
        <f t="shared" si="344"/>
        <v>43471.350841776562</v>
      </c>
      <c r="BR248" s="527">
        <f t="shared" si="344"/>
        <v>43471.350841776562</v>
      </c>
      <c r="BS248" s="527">
        <f t="shared" si="344"/>
        <v>43471.350841776562</v>
      </c>
      <c r="BT248" s="527">
        <f t="shared" si="344"/>
        <v>45386.867206474519</v>
      </c>
      <c r="BU248" s="527">
        <f t="shared" si="344"/>
        <v>45386.867206474519</v>
      </c>
      <c r="BV248" s="527">
        <f t="shared" si="344"/>
        <v>45386.867206474519</v>
      </c>
      <c r="BW248" s="527">
        <f t="shared" si="344"/>
        <v>45386.867206474519</v>
      </c>
      <c r="BX248" s="527">
        <f t="shared" si="344"/>
        <v>45386.867206474519</v>
      </c>
      <c r="BY248" s="527">
        <f t="shared" si="344"/>
        <v>45386.867206474519</v>
      </c>
    </row>
    <row r="249" spans="1:77" x14ac:dyDescent="0.3">
      <c r="A249" s="551"/>
      <c r="B249" s="548"/>
      <c r="C249" s="525"/>
      <c r="D249" s="525"/>
      <c r="E249" s="620" t="str">
        <f>"BCF gross sales: "&amp;E$158</f>
        <v>BCF gross sales: FY30 Tranche</v>
      </c>
      <c r="F249" s="525"/>
      <c r="G249" s="525"/>
      <c r="H249" s="525"/>
      <c r="I249" s="525"/>
      <c r="J249" s="525"/>
      <c r="K249" s="525"/>
      <c r="L249" s="525"/>
      <c r="M249" s="525"/>
      <c r="N249" s="525"/>
      <c r="O249" s="525"/>
      <c r="P249" s="565"/>
      <c r="Q249" s="525"/>
      <c r="R249" s="527">
        <f t="shared" ref="R249:AW249" si="345">IFERROR(R241/R$223,0)</f>
        <v>32643.932008329972</v>
      </c>
      <c r="S249" s="527">
        <f t="shared" si="345"/>
        <v>32643.932008329972</v>
      </c>
      <c r="T249" s="527">
        <f t="shared" si="345"/>
        <v>32643.932008329972</v>
      </c>
      <c r="U249" s="527">
        <f t="shared" si="345"/>
        <v>32643.932008329972</v>
      </c>
      <c r="V249" s="527">
        <f t="shared" si="345"/>
        <v>32643.932008329972</v>
      </c>
      <c r="W249" s="527">
        <f t="shared" si="345"/>
        <v>32643.932008329972</v>
      </c>
      <c r="X249" s="527">
        <f t="shared" si="345"/>
        <v>32643.932008329972</v>
      </c>
      <c r="Y249" s="527">
        <f t="shared" si="345"/>
        <v>32643.932008329972</v>
      </c>
      <c r="Z249" s="527">
        <f t="shared" si="345"/>
        <v>32643.932008329972</v>
      </c>
      <c r="AA249" s="527">
        <f t="shared" si="345"/>
        <v>32643.932008329972</v>
      </c>
      <c r="AB249" s="527">
        <f t="shared" si="345"/>
        <v>32643.932008329972</v>
      </c>
      <c r="AC249" s="527">
        <f t="shared" si="345"/>
        <v>32643.932008329972</v>
      </c>
      <c r="AD249" s="527">
        <f t="shared" si="345"/>
        <v>33836.42623914704</v>
      </c>
      <c r="AE249" s="527">
        <f t="shared" si="345"/>
        <v>33836.42623914704</v>
      </c>
      <c r="AF249" s="527">
        <f t="shared" si="345"/>
        <v>33836.42623914704</v>
      </c>
      <c r="AG249" s="527">
        <f t="shared" si="345"/>
        <v>33836.42623914704</v>
      </c>
      <c r="AH249" s="527">
        <f t="shared" si="345"/>
        <v>33836.42623914704</v>
      </c>
      <c r="AI249" s="527">
        <f t="shared" si="345"/>
        <v>33836.42623914704</v>
      </c>
      <c r="AJ249" s="527">
        <f t="shared" si="345"/>
        <v>33836.42623914704</v>
      </c>
      <c r="AK249" s="527">
        <f t="shared" si="345"/>
        <v>33836.42623914704</v>
      </c>
      <c r="AL249" s="527">
        <f t="shared" si="345"/>
        <v>33836.42623914704</v>
      </c>
      <c r="AM249" s="527">
        <f t="shared" si="345"/>
        <v>33836.42623914704</v>
      </c>
      <c r="AN249" s="527">
        <f t="shared" si="345"/>
        <v>33836.42623914704</v>
      </c>
      <c r="AO249" s="527">
        <f t="shared" si="345"/>
        <v>33836.42623914704</v>
      </c>
      <c r="AP249" s="527">
        <f t="shared" si="345"/>
        <v>35030.726236518371</v>
      </c>
      <c r="AQ249" s="527">
        <f t="shared" si="345"/>
        <v>35030.726236518371</v>
      </c>
      <c r="AR249" s="527">
        <f t="shared" si="345"/>
        <v>35030.726236518371</v>
      </c>
      <c r="AS249" s="527">
        <f t="shared" si="345"/>
        <v>35030.726236518371</v>
      </c>
      <c r="AT249" s="527">
        <f t="shared" si="345"/>
        <v>35030.726236518371</v>
      </c>
      <c r="AU249" s="527">
        <f t="shared" si="345"/>
        <v>35030.726236518371</v>
      </c>
      <c r="AV249" s="527">
        <f t="shared" si="345"/>
        <v>35030.726236518371</v>
      </c>
      <c r="AW249" s="527">
        <f t="shared" si="345"/>
        <v>35030.726236518371</v>
      </c>
      <c r="AX249" s="527">
        <f t="shared" ref="AX249:BY249" si="346">IFERROR(AX241/AX$223,0)</f>
        <v>35030.726236518371</v>
      </c>
      <c r="AY249" s="527">
        <f t="shared" si="346"/>
        <v>35030.726236518371</v>
      </c>
      <c r="AZ249" s="527">
        <f t="shared" si="346"/>
        <v>35030.726236518371</v>
      </c>
      <c r="BA249" s="527">
        <f t="shared" si="346"/>
        <v>35030.726236518371</v>
      </c>
      <c r="BB249" s="527">
        <f t="shared" si="346"/>
        <v>36219.001702139059</v>
      </c>
      <c r="BC249" s="527">
        <f t="shared" si="346"/>
        <v>36219.001702139059</v>
      </c>
      <c r="BD249" s="527">
        <f t="shared" si="346"/>
        <v>36219.001702139059</v>
      </c>
      <c r="BE249" s="527">
        <f t="shared" si="346"/>
        <v>36219.001702139059</v>
      </c>
      <c r="BF249" s="527">
        <f t="shared" si="346"/>
        <v>36219.001702139059</v>
      </c>
      <c r="BG249" s="527">
        <f t="shared" si="346"/>
        <v>36219.001702139059</v>
      </c>
      <c r="BH249" s="527">
        <f t="shared" si="346"/>
        <v>43303.55983634224</v>
      </c>
      <c r="BI249" s="527">
        <f t="shared" si="346"/>
        <v>43303.55983634224</v>
      </c>
      <c r="BJ249" s="527">
        <f t="shared" si="346"/>
        <v>43303.55983634224</v>
      </c>
      <c r="BK249" s="527">
        <f t="shared" si="346"/>
        <v>43303.55983634224</v>
      </c>
      <c r="BL249" s="527">
        <f t="shared" si="346"/>
        <v>43303.55983634224</v>
      </c>
      <c r="BM249" s="527">
        <f t="shared" si="346"/>
        <v>43303.55983634224</v>
      </c>
      <c r="BN249" s="527">
        <f t="shared" si="346"/>
        <v>43110.823303740312</v>
      </c>
      <c r="BO249" s="527">
        <f t="shared" si="346"/>
        <v>43110.823303740312</v>
      </c>
      <c r="BP249" s="527">
        <f t="shared" si="346"/>
        <v>43110.823303740312</v>
      </c>
      <c r="BQ249" s="527">
        <f t="shared" si="346"/>
        <v>43110.823303740312</v>
      </c>
      <c r="BR249" s="527">
        <f t="shared" si="346"/>
        <v>43110.823303740312</v>
      </c>
      <c r="BS249" s="527">
        <f t="shared" si="346"/>
        <v>43110.823303740312</v>
      </c>
      <c r="BT249" s="527">
        <f t="shared" si="346"/>
        <v>45011.918566916807</v>
      </c>
      <c r="BU249" s="527">
        <f t="shared" si="346"/>
        <v>45011.918566916807</v>
      </c>
      <c r="BV249" s="527">
        <f t="shared" si="346"/>
        <v>45011.918566916807</v>
      </c>
      <c r="BW249" s="527">
        <f t="shared" si="346"/>
        <v>45011.918566916807</v>
      </c>
      <c r="BX249" s="527">
        <f t="shared" si="346"/>
        <v>45011.918566916807</v>
      </c>
      <c r="BY249" s="527">
        <f t="shared" si="346"/>
        <v>45011.918566916807</v>
      </c>
    </row>
    <row r="250" spans="1:77" x14ac:dyDescent="0.3">
      <c r="A250" s="551"/>
      <c r="B250" s="548"/>
      <c r="C250" s="525"/>
      <c r="D250" s="525"/>
      <c r="E250" s="620" t="str">
        <f>"BCF gross sales: "&amp;E$159</f>
        <v>BCF gross sales: FY31 Tranche</v>
      </c>
      <c r="F250" s="525"/>
      <c r="G250" s="525"/>
      <c r="H250" s="525"/>
      <c r="I250" s="525"/>
      <c r="J250" s="525"/>
      <c r="K250" s="525"/>
      <c r="L250" s="525"/>
      <c r="M250" s="525"/>
      <c r="N250" s="525"/>
      <c r="O250" s="525"/>
      <c r="P250" s="565"/>
      <c r="Q250" s="525"/>
      <c r="R250" s="527">
        <f t="shared" ref="R250:AW250" si="347">IFERROR(R242/R$223,0)</f>
        <v>32643.932008329972</v>
      </c>
      <c r="S250" s="527">
        <f t="shared" si="347"/>
        <v>32643.932008329972</v>
      </c>
      <c r="T250" s="527">
        <f t="shared" si="347"/>
        <v>32643.932008329972</v>
      </c>
      <c r="U250" s="527">
        <f t="shared" si="347"/>
        <v>32643.932008329972</v>
      </c>
      <c r="V250" s="527">
        <f t="shared" si="347"/>
        <v>32643.932008329972</v>
      </c>
      <c r="W250" s="527">
        <f t="shared" si="347"/>
        <v>32643.932008329972</v>
      </c>
      <c r="X250" s="527">
        <f t="shared" si="347"/>
        <v>32643.932008329972</v>
      </c>
      <c r="Y250" s="527">
        <f t="shared" si="347"/>
        <v>32643.932008329972</v>
      </c>
      <c r="Z250" s="527">
        <f t="shared" si="347"/>
        <v>32643.932008329972</v>
      </c>
      <c r="AA250" s="527">
        <f t="shared" si="347"/>
        <v>32643.932008329972</v>
      </c>
      <c r="AB250" s="527">
        <f t="shared" si="347"/>
        <v>32643.932008329972</v>
      </c>
      <c r="AC250" s="527">
        <f t="shared" si="347"/>
        <v>32643.932008329972</v>
      </c>
      <c r="AD250" s="527">
        <f t="shared" si="347"/>
        <v>33836.42623914704</v>
      </c>
      <c r="AE250" s="527">
        <f t="shared" si="347"/>
        <v>33836.42623914704</v>
      </c>
      <c r="AF250" s="527">
        <f t="shared" si="347"/>
        <v>33836.42623914704</v>
      </c>
      <c r="AG250" s="527">
        <f t="shared" si="347"/>
        <v>33836.42623914704</v>
      </c>
      <c r="AH250" s="527">
        <f t="shared" si="347"/>
        <v>33836.42623914704</v>
      </c>
      <c r="AI250" s="527">
        <f t="shared" si="347"/>
        <v>33836.42623914704</v>
      </c>
      <c r="AJ250" s="527">
        <f t="shared" si="347"/>
        <v>33836.42623914704</v>
      </c>
      <c r="AK250" s="527">
        <f t="shared" si="347"/>
        <v>33836.42623914704</v>
      </c>
      <c r="AL250" s="527">
        <f t="shared" si="347"/>
        <v>33836.42623914704</v>
      </c>
      <c r="AM250" s="527">
        <f t="shared" si="347"/>
        <v>33836.42623914704</v>
      </c>
      <c r="AN250" s="527">
        <f t="shared" si="347"/>
        <v>33836.42623914704</v>
      </c>
      <c r="AO250" s="527">
        <f t="shared" si="347"/>
        <v>33836.42623914704</v>
      </c>
      <c r="AP250" s="527">
        <f t="shared" si="347"/>
        <v>35030.726236518371</v>
      </c>
      <c r="AQ250" s="527">
        <f t="shared" si="347"/>
        <v>35030.726236518371</v>
      </c>
      <c r="AR250" s="527">
        <f t="shared" si="347"/>
        <v>35030.726236518371</v>
      </c>
      <c r="AS250" s="527">
        <f t="shared" si="347"/>
        <v>35030.726236518371</v>
      </c>
      <c r="AT250" s="527">
        <f t="shared" si="347"/>
        <v>35030.726236518371</v>
      </c>
      <c r="AU250" s="527">
        <f t="shared" si="347"/>
        <v>35030.726236518371</v>
      </c>
      <c r="AV250" s="527">
        <f t="shared" si="347"/>
        <v>35030.726236518371</v>
      </c>
      <c r="AW250" s="527">
        <f t="shared" si="347"/>
        <v>35030.726236518371</v>
      </c>
      <c r="AX250" s="527">
        <f t="shared" ref="AX250:BY250" si="348">IFERROR(AX242/AX$223,0)</f>
        <v>35030.726236518371</v>
      </c>
      <c r="AY250" s="527">
        <f t="shared" si="348"/>
        <v>35030.726236518371</v>
      </c>
      <c r="AZ250" s="527">
        <f t="shared" si="348"/>
        <v>35030.726236518371</v>
      </c>
      <c r="BA250" s="527">
        <f t="shared" si="348"/>
        <v>35030.726236518371</v>
      </c>
      <c r="BB250" s="527">
        <f t="shared" si="348"/>
        <v>36219.001702139059</v>
      </c>
      <c r="BC250" s="527">
        <f t="shared" si="348"/>
        <v>36219.001702139059</v>
      </c>
      <c r="BD250" s="527">
        <f t="shared" si="348"/>
        <v>36219.001702139059</v>
      </c>
      <c r="BE250" s="527">
        <f t="shared" si="348"/>
        <v>36219.001702139059</v>
      </c>
      <c r="BF250" s="527">
        <f t="shared" si="348"/>
        <v>36219.001702139059</v>
      </c>
      <c r="BG250" s="527">
        <f t="shared" si="348"/>
        <v>36219.001702139059</v>
      </c>
      <c r="BH250" s="527">
        <f t="shared" si="348"/>
        <v>36219.001702139059</v>
      </c>
      <c r="BI250" s="527">
        <f t="shared" si="348"/>
        <v>36219.001702139059</v>
      </c>
      <c r="BJ250" s="527">
        <f t="shared" si="348"/>
        <v>36219.001702139059</v>
      </c>
      <c r="BK250" s="527">
        <f t="shared" si="348"/>
        <v>36219.001702139059</v>
      </c>
      <c r="BL250" s="527">
        <f t="shared" si="348"/>
        <v>36219.001702139059</v>
      </c>
      <c r="BM250" s="527">
        <f t="shared" si="348"/>
        <v>36219.001702139059</v>
      </c>
      <c r="BN250" s="527">
        <f t="shared" si="348"/>
        <v>37448.143276019036</v>
      </c>
      <c r="BO250" s="527">
        <f t="shared" si="348"/>
        <v>37448.143276019036</v>
      </c>
      <c r="BP250" s="527">
        <f t="shared" si="348"/>
        <v>37448.143276019036</v>
      </c>
      <c r="BQ250" s="527">
        <f t="shared" si="348"/>
        <v>37448.143276019036</v>
      </c>
      <c r="BR250" s="527">
        <f t="shared" si="348"/>
        <v>37448.143276019036</v>
      </c>
      <c r="BS250" s="527">
        <f t="shared" si="348"/>
        <v>37448.143276019036</v>
      </c>
      <c r="BT250" s="527">
        <f t="shared" si="348"/>
        <v>44578.689286489876</v>
      </c>
      <c r="BU250" s="527">
        <f t="shared" si="348"/>
        <v>44578.689286489876</v>
      </c>
      <c r="BV250" s="527">
        <f t="shared" si="348"/>
        <v>44578.689286489876</v>
      </c>
      <c r="BW250" s="527">
        <f t="shared" si="348"/>
        <v>44578.689286489876</v>
      </c>
      <c r="BX250" s="527">
        <f t="shared" si="348"/>
        <v>44578.689286489876</v>
      </c>
      <c r="BY250" s="527">
        <f t="shared" si="348"/>
        <v>44578.689286489876</v>
      </c>
    </row>
    <row r="251" spans="1:77" x14ac:dyDescent="0.3">
      <c r="A251" s="551"/>
      <c r="B251" s="548"/>
      <c r="C251" s="525"/>
      <c r="D251" s="525"/>
      <c r="E251" s="620" t="str">
        <f>"BCF gross sales: "&amp;E$160</f>
        <v>BCF gross sales: Uninvested Tranche</v>
      </c>
      <c r="F251" s="525"/>
      <c r="G251" s="525"/>
      <c r="H251" s="525"/>
      <c r="I251" s="525"/>
      <c r="J251" s="525"/>
      <c r="K251" s="525"/>
      <c r="L251" s="525"/>
      <c r="M251" s="525"/>
      <c r="N251" s="525"/>
      <c r="O251" s="525"/>
      <c r="P251" s="565"/>
      <c r="Q251" s="525"/>
      <c r="R251" s="527">
        <f t="shared" ref="R251:AW251" si="349">IFERROR(R243/R$223,0)</f>
        <v>89770.81302290743</v>
      </c>
      <c r="S251" s="527">
        <f t="shared" si="349"/>
        <v>89770.81302290743</v>
      </c>
      <c r="T251" s="527">
        <f t="shared" si="349"/>
        <v>89770.81302290743</v>
      </c>
      <c r="U251" s="527">
        <f t="shared" si="349"/>
        <v>89770.81302290743</v>
      </c>
      <c r="V251" s="527">
        <f t="shared" si="349"/>
        <v>89770.81302290743</v>
      </c>
      <c r="W251" s="527">
        <f t="shared" si="349"/>
        <v>89770.81302290743</v>
      </c>
      <c r="X251" s="527">
        <f t="shared" si="349"/>
        <v>89770.81302290743</v>
      </c>
      <c r="Y251" s="527">
        <f t="shared" si="349"/>
        <v>89770.81302290743</v>
      </c>
      <c r="Z251" s="527">
        <f t="shared" si="349"/>
        <v>89770.81302290743</v>
      </c>
      <c r="AA251" s="527">
        <f t="shared" si="349"/>
        <v>89770.81302290743</v>
      </c>
      <c r="AB251" s="527">
        <f t="shared" si="349"/>
        <v>89770.81302290743</v>
      </c>
      <c r="AC251" s="527">
        <f t="shared" si="349"/>
        <v>89770.81302290743</v>
      </c>
      <c r="AD251" s="527">
        <f t="shared" si="349"/>
        <v>93050.172157654364</v>
      </c>
      <c r="AE251" s="527">
        <f t="shared" si="349"/>
        <v>93050.172157654364</v>
      </c>
      <c r="AF251" s="527">
        <f t="shared" si="349"/>
        <v>93050.172157654364</v>
      </c>
      <c r="AG251" s="527">
        <f t="shared" si="349"/>
        <v>93050.172157654364</v>
      </c>
      <c r="AH251" s="527">
        <f t="shared" si="349"/>
        <v>93050.172157654364</v>
      </c>
      <c r="AI251" s="527">
        <f t="shared" si="349"/>
        <v>93050.172157654364</v>
      </c>
      <c r="AJ251" s="527">
        <f t="shared" si="349"/>
        <v>93050.172157654364</v>
      </c>
      <c r="AK251" s="527">
        <f t="shared" si="349"/>
        <v>93050.172157654364</v>
      </c>
      <c r="AL251" s="527">
        <f t="shared" si="349"/>
        <v>93050.172157654364</v>
      </c>
      <c r="AM251" s="527">
        <f t="shared" si="349"/>
        <v>93050.172157654364</v>
      </c>
      <c r="AN251" s="527">
        <f t="shared" si="349"/>
        <v>93050.172157654364</v>
      </c>
      <c r="AO251" s="527">
        <f t="shared" si="349"/>
        <v>93050.172157654364</v>
      </c>
      <c r="AP251" s="527">
        <f t="shared" si="349"/>
        <v>96334.497150425523</v>
      </c>
      <c r="AQ251" s="527">
        <f t="shared" si="349"/>
        <v>96334.497150425523</v>
      </c>
      <c r="AR251" s="527">
        <f t="shared" si="349"/>
        <v>96334.497150425523</v>
      </c>
      <c r="AS251" s="527">
        <f t="shared" si="349"/>
        <v>96334.497150425523</v>
      </c>
      <c r="AT251" s="527">
        <f t="shared" si="349"/>
        <v>96334.497150425523</v>
      </c>
      <c r="AU251" s="527">
        <f t="shared" si="349"/>
        <v>96334.497150425523</v>
      </c>
      <c r="AV251" s="527">
        <f t="shared" si="349"/>
        <v>96334.497150425523</v>
      </c>
      <c r="AW251" s="527">
        <f t="shared" si="349"/>
        <v>96334.497150425523</v>
      </c>
      <c r="AX251" s="527">
        <f t="shared" ref="AX251:BY251" si="350">IFERROR(AX243/AX$223,0)</f>
        <v>96334.497150425523</v>
      </c>
      <c r="AY251" s="527">
        <f t="shared" si="350"/>
        <v>96334.497150425523</v>
      </c>
      <c r="AZ251" s="527">
        <f t="shared" si="350"/>
        <v>96334.497150425523</v>
      </c>
      <c r="BA251" s="527">
        <f t="shared" si="350"/>
        <v>96334.497150425523</v>
      </c>
      <c r="BB251" s="527">
        <f t="shared" si="350"/>
        <v>99602.254680882412</v>
      </c>
      <c r="BC251" s="527">
        <f t="shared" si="350"/>
        <v>99602.254680882412</v>
      </c>
      <c r="BD251" s="527">
        <f t="shared" si="350"/>
        <v>99602.254680882412</v>
      </c>
      <c r="BE251" s="527">
        <f t="shared" si="350"/>
        <v>99602.254680882412</v>
      </c>
      <c r="BF251" s="527">
        <f t="shared" si="350"/>
        <v>99602.254680882412</v>
      </c>
      <c r="BG251" s="527">
        <f t="shared" si="350"/>
        <v>99602.254680882412</v>
      </c>
      <c r="BH251" s="527">
        <f t="shared" si="350"/>
        <v>99602.254680882412</v>
      </c>
      <c r="BI251" s="527">
        <f t="shared" si="350"/>
        <v>99602.254680882412</v>
      </c>
      <c r="BJ251" s="527">
        <f t="shared" si="350"/>
        <v>99602.254680882412</v>
      </c>
      <c r="BK251" s="527">
        <f t="shared" si="350"/>
        <v>99602.254680882412</v>
      </c>
      <c r="BL251" s="527">
        <f t="shared" si="350"/>
        <v>99602.254680882412</v>
      </c>
      <c r="BM251" s="527">
        <f t="shared" si="350"/>
        <v>99602.254680882412</v>
      </c>
      <c r="BN251" s="527">
        <f t="shared" si="350"/>
        <v>102982.39400905234</v>
      </c>
      <c r="BO251" s="527">
        <f t="shared" si="350"/>
        <v>102982.39400905234</v>
      </c>
      <c r="BP251" s="527">
        <f t="shared" si="350"/>
        <v>102982.39400905234</v>
      </c>
      <c r="BQ251" s="527">
        <f t="shared" si="350"/>
        <v>102982.39400905234</v>
      </c>
      <c r="BR251" s="527">
        <f t="shared" si="350"/>
        <v>102982.39400905234</v>
      </c>
      <c r="BS251" s="527">
        <f t="shared" si="350"/>
        <v>102982.39400905234</v>
      </c>
      <c r="BT251" s="527">
        <f t="shared" si="350"/>
        <v>102982.39400905234</v>
      </c>
      <c r="BU251" s="527">
        <f t="shared" si="350"/>
        <v>102982.39400905234</v>
      </c>
      <c r="BV251" s="527">
        <f t="shared" si="350"/>
        <v>102982.39400905234</v>
      </c>
      <c r="BW251" s="527">
        <f t="shared" si="350"/>
        <v>102982.39400905234</v>
      </c>
      <c r="BX251" s="527">
        <f t="shared" si="350"/>
        <v>102982.39400905234</v>
      </c>
      <c r="BY251" s="527">
        <f t="shared" si="350"/>
        <v>102982.39400905234</v>
      </c>
    </row>
    <row r="252" spans="1:77" x14ac:dyDescent="0.3">
      <c r="A252" s="551"/>
      <c r="B252" s="548"/>
      <c r="C252" s="525"/>
      <c r="D252" s="525"/>
      <c r="E252" s="572" t="s">
        <v>36</v>
      </c>
      <c r="F252" s="572"/>
      <c r="G252" s="572"/>
      <c r="H252" s="572"/>
      <c r="I252" s="572"/>
      <c r="J252" s="572"/>
      <c r="K252" s="572"/>
      <c r="L252" s="572"/>
      <c r="M252" s="572"/>
      <c r="N252" s="572"/>
      <c r="O252" s="572"/>
      <c r="P252" s="612"/>
      <c r="Q252" s="572"/>
      <c r="R252" s="530">
        <f t="shared" ref="R252:AW252" si="351">SUM(R246:R251)</f>
        <v>252990.4730645573</v>
      </c>
      <c r="S252" s="530">
        <f t="shared" si="351"/>
        <v>252990.4730645573</v>
      </c>
      <c r="T252" s="530">
        <f t="shared" si="351"/>
        <v>252990.4730645573</v>
      </c>
      <c r="U252" s="530">
        <f t="shared" si="351"/>
        <v>252990.4730645573</v>
      </c>
      <c r="V252" s="530">
        <f t="shared" si="351"/>
        <v>252990.4730645573</v>
      </c>
      <c r="W252" s="530">
        <f t="shared" si="351"/>
        <v>252990.4730645573</v>
      </c>
      <c r="X252" s="530">
        <f t="shared" si="351"/>
        <v>259920.62594136834</v>
      </c>
      <c r="Y252" s="530">
        <f t="shared" si="351"/>
        <v>259920.62594136834</v>
      </c>
      <c r="Z252" s="530">
        <f t="shared" si="351"/>
        <v>259920.62594136834</v>
      </c>
      <c r="AA252" s="530">
        <f t="shared" si="351"/>
        <v>259920.62594136834</v>
      </c>
      <c r="AB252" s="530">
        <f t="shared" si="351"/>
        <v>259920.62594136834</v>
      </c>
      <c r="AC252" s="530">
        <f t="shared" si="351"/>
        <v>259920.62594136834</v>
      </c>
      <c r="AD252" s="530">
        <f t="shared" si="351"/>
        <v>267555.37428188376</v>
      </c>
      <c r="AE252" s="530">
        <f t="shared" si="351"/>
        <v>267555.37428188376</v>
      </c>
      <c r="AF252" s="530">
        <f t="shared" si="351"/>
        <v>267555.37428188376</v>
      </c>
      <c r="AG252" s="530">
        <f t="shared" si="351"/>
        <v>267555.37428188376</v>
      </c>
      <c r="AH252" s="530">
        <f t="shared" si="351"/>
        <v>267555.37428188376</v>
      </c>
      <c r="AI252" s="530">
        <f t="shared" si="351"/>
        <v>267555.37428188376</v>
      </c>
      <c r="AJ252" s="530">
        <f t="shared" si="351"/>
        <v>276324.64887081907</v>
      </c>
      <c r="AK252" s="530">
        <f t="shared" si="351"/>
        <v>276324.64887081907</v>
      </c>
      <c r="AL252" s="530">
        <f t="shared" si="351"/>
        <v>276324.64887081907</v>
      </c>
      <c r="AM252" s="530">
        <f t="shared" si="351"/>
        <v>276324.64887081907</v>
      </c>
      <c r="AN252" s="530">
        <f t="shared" si="351"/>
        <v>276324.64887081907</v>
      </c>
      <c r="AO252" s="530">
        <f t="shared" si="351"/>
        <v>276324.64887081907</v>
      </c>
      <c r="AP252" s="530">
        <f t="shared" si="351"/>
        <v>282457.04868545296</v>
      </c>
      <c r="AQ252" s="530">
        <f t="shared" si="351"/>
        <v>282457.04868545296</v>
      </c>
      <c r="AR252" s="530">
        <f t="shared" si="351"/>
        <v>282457.04868545296</v>
      </c>
      <c r="AS252" s="530">
        <f t="shared" si="351"/>
        <v>282457.04868545296</v>
      </c>
      <c r="AT252" s="530">
        <f t="shared" si="351"/>
        <v>282457.04868545296</v>
      </c>
      <c r="AU252" s="530">
        <f t="shared" si="351"/>
        <v>282457.04868545296</v>
      </c>
      <c r="AV252" s="530">
        <f t="shared" si="351"/>
        <v>293148.70002974401</v>
      </c>
      <c r="AW252" s="530">
        <f t="shared" si="351"/>
        <v>293148.70002974401</v>
      </c>
      <c r="AX252" s="530">
        <f t="shared" ref="AX252:BY252" si="352">SUM(AX246:AX251)</f>
        <v>293148.70002974401</v>
      </c>
      <c r="AY252" s="530">
        <f t="shared" si="352"/>
        <v>293148.70002974401</v>
      </c>
      <c r="AZ252" s="530">
        <f t="shared" si="352"/>
        <v>293148.70002974401</v>
      </c>
      <c r="BA252" s="530">
        <f t="shared" si="352"/>
        <v>293148.70002974401</v>
      </c>
      <c r="BB252" s="530">
        <f t="shared" si="352"/>
        <v>298000.08335104876</v>
      </c>
      <c r="BC252" s="530">
        <f t="shared" si="352"/>
        <v>298000.08335104876</v>
      </c>
      <c r="BD252" s="530">
        <f t="shared" si="352"/>
        <v>298000.08335104876</v>
      </c>
      <c r="BE252" s="530">
        <f t="shared" si="352"/>
        <v>298000.08335104876</v>
      </c>
      <c r="BF252" s="530">
        <f t="shared" si="352"/>
        <v>298000.08335104876</v>
      </c>
      <c r="BG252" s="530">
        <f t="shared" si="352"/>
        <v>298000.08335104876</v>
      </c>
      <c r="BH252" s="530">
        <f t="shared" si="352"/>
        <v>310703.6975681989</v>
      </c>
      <c r="BI252" s="530">
        <f t="shared" si="352"/>
        <v>310703.6975681989</v>
      </c>
      <c r="BJ252" s="530">
        <f t="shared" si="352"/>
        <v>310703.6975681989</v>
      </c>
      <c r="BK252" s="530">
        <f t="shared" si="352"/>
        <v>310703.6975681989</v>
      </c>
      <c r="BL252" s="530">
        <f t="shared" si="352"/>
        <v>310703.6975681989</v>
      </c>
      <c r="BM252" s="530">
        <f t="shared" si="352"/>
        <v>310703.6975681989</v>
      </c>
      <c r="BN252" s="530">
        <f t="shared" si="352"/>
        <v>314520.7204447838</v>
      </c>
      <c r="BO252" s="530">
        <f t="shared" si="352"/>
        <v>314520.7204447838</v>
      </c>
      <c r="BP252" s="530">
        <f t="shared" si="352"/>
        <v>314520.7204447838</v>
      </c>
      <c r="BQ252" s="530">
        <f t="shared" si="352"/>
        <v>314520.7204447838</v>
      </c>
      <c r="BR252" s="530">
        <f t="shared" si="352"/>
        <v>314520.7204447838</v>
      </c>
      <c r="BS252" s="530">
        <f t="shared" si="352"/>
        <v>314520.7204447838</v>
      </c>
      <c r="BT252" s="530">
        <f t="shared" si="352"/>
        <v>329321.52310575079</v>
      </c>
      <c r="BU252" s="530">
        <f t="shared" si="352"/>
        <v>329321.52310575079</v>
      </c>
      <c r="BV252" s="530">
        <f t="shared" si="352"/>
        <v>329321.52310575079</v>
      </c>
      <c r="BW252" s="530">
        <f t="shared" si="352"/>
        <v>329321.52310575079</v>
      </c>
      <c r="BX252" s="530">
        <f t="shared" si="352"/>
        <v>329321.52310575079</v>
      </c>
      <c r="BY252" s="530">
        <f t="shared" si="352"/>
        <v>329321.52310575079</v>
      </c>
    </row>
    <row r="253" spans="1:77" x14ac:dyDescent="0.3">
      <c r="A253" s="551"/>
      <c r="B253" s="548"/>
      <c r="C253" s="525"/>
      <c r="D253" s="525"/>
      <c r="E253" s="525"/>
      <c r="F253" s="525"/>
      <c r="G253" s="525"/>
      <c r="H253" s="525"/>
      <c r="I253" s="525"/>
      <c r="J253" s="525"/>
      <c r="K253" s="525"/>
      <c r="L253" s="525"/>
      <c r="M253" s="525"/>
      <c r="N253" s="525"/>
      <c r="O253" s="525"/>
      <c r="P253" s="565"/>
      <c r="Q253" s="525"/>
      <c r="R253" s="525"/>
      <c r="S253" s="525"/>
      <c r="T253" s="525"/>
      <c r="U253" s="525"/>
      <c r="V253" s="525"/>
      <c r="W253" s="525"/>
      <c r="X253" s="525"/>
      <c r="Y253" s="525"/>
      <c r="Z253" s="525"/>
      <c r="AA253" s="525"/>
      <c r="AB253" s="525"/>
      <c r="AC253" s="525"/>
      <c r="AD253" s="525"/>
      <c r="AE253" s="525"/>
      <c r="AF253" s="525"/>
      <c r="AG253" s="525"/>
      <c r="AH253" s="525"/>
      <c r="AI253" s="525"/>
      <c r="AJ253" s="525"/>
      <c r="AK253" s="525"/>
      <c r="AL253" s="525"/>
      <c r="AM253" s="525"/>
      <c r="AN253" s="525"/>
      <c r="AO253" s="525"/>
      <c r="AP253" s="525"/>
      <c r="AQ253" s="525"/>
      <c r="AR253" s="525"/>
      <c r="AS253" s="525"/>
      <c r="AT253" s="525"/>
      <c r="AU253" s="525"/>
      <c r="AV253" s="525"/>
      <c r="AW253" s="525"/>
      <c r="AX253" s="525"/>
      <c r="AY253" s="525"/>
      <c r="AZ253" s="525"/>
      <c r="BA253" s="525"/>
      <c r="BB253" s="525"/>
      <c r="BC253" s="525"/>
      <c r="BD253" s="525"/>
      <c r="BE253" s="525"/>
      <c r="BF253" s="525"/>
      <c r="BG253" s="525"/>
      <c r="BH253" s="525"/>
      <c r="BI253" s="525"/>
      <c r="BJ253" s="525"/>
      <c r="BK253" s="525"/>
      <c r="BL253" s="525"/>
      <c r="BM253" s="525"/>
      <c r="BN253" s="525"/>
      <c r="BO253" s="525"/>
      <c r="BP253" s="525"/>
      <c r="BQ253" s="525"/>
      <c r="BR253" s="525"/>
      <c r="BS253" s="525"/>
      <c r="BT253" s="525"/>
      <c r="BU253" s="525"/>
      <c r="BV253" s="525"/>
      <c r="BW253" s="525"/>
      <c r="BX253" s="525"/>
      <c r="BY253" s="525"/>
    </row>
    <row r="254" spans="1:77" x14ac:dyDescent="0.3">
      <c r="A254" s="551"/>
      <c r="B254" s="548"/>
      <c r="C254" s="525"/>
      <c r="D254" s="525"/>
      <c r="E254" s="621" t="str">
        <f>"BCF cost of sales: "&amp;E$155</f>
        <v>BCF cost of sales: FY27 Tranche</v>
      </c>
      <c r="F254" s="525"/>
      <c r="G254" s="525"/>
      <c r="H254" s="525"/>
      <c r="I254" s="525"/>
      <c r="J254" s="525"/>
      <c r="K254" s="525"/>
      <c r="L254" s="525"/>
      <c r="M254" s="525"/>
      <c r="N254" s="525"/>
      <c r="O254" s="525"/>
      <c r="P254" s="565"/>
      <c r="Q254" s="525"/>
      <c r="R254" s="527">
        <f t="shared" ref="R254:AW254" si="353">(R238-R246)*R$228</f>
        <v>-10717.163748025785</v>
      </c>
      <c r="S254" s="527">
        <f t="shared" si="353"/>
        <v>-10717.163748025785</v>
      </c>
      <c r="T254" s="527">
        <f t="shared" si="353"/>
        <v>-10717.163748025785</v>
      </c>
      <c r="U254" s="527">
        <f t="shared" si="353"/>
        <v>-10717.163748025785</v>
      </c>
      <c r="V254" s="527">
        <f t="shared" si="353"/>
        <v>-10717.163748025785</v>
      </c>
      <c r="W254" s="527">
        <f t="shared" si="353"/>
        <v>-10717.163748025785</v>
      </c>
      <c r="X254" s="527">
        <f t="shared" si="353"/>
        <v>-12992.367089359905</v>
      </c>
      <c r="Y254" s="527">
        <f t="shared" si="353"/>
        <v>-12992.367089359905</v>
      </c>
      <c r="Z254" s="527">
        <f t="shared" si="353"/>
        <v>-12992.367089359905</v>
      </c>
      <c r="AA254" s="527">
        <f t="shared" si="353"/>
        <v>-12992.367089359905</v>
      </c>
      <c r="AB254" s="527">
        <f t="shared" si="353"/>
        <v>-12992.367089359905</v>
      </c>
      <c r="AC254" s="527">
        <f t="shared" si="353"/>
        <v>-12992.367089359905</v>
      </c>
      <c r="AD254" s="527">
        <f t="shared" si="353"/>
        <v>-12534.969329508691</v>
      </c>
      <c r="AE254" s="527">
        <f t="shared" si="353"/>
        <v>-12534.969329508691</v>
      </c>
      <c r="AF254" s="527">
        <f t="shared" si="353"/>
        <v>-12534.969329508691</v>
      </c>
      <c r="AG254" s="527">
        <f t="shared" si="353"/>
        <v>-12534.969329508691</v>
      </c>
      <c r="AH254" s="527">
        <f t="shared" si="353"/>
        <v>-12534.969329508691</v>
      </c>
      <c r="AI254" s="527">
        <f t="shared" si="353"/>
        <v>-12534.969329508691</v>
      </c>
      <c r="AJ254" s="527">
        <f t="shared" si="353"/>
        <v>-13107.005489998302</v>
      </c>
      <c r="AK254" s="527">
        <f t="shared" si="353"/>
        <v>-13107.005489998302</v>
      </c>
      <c r="AL254" s="527">
        <f t="shared" si="353"/>
        <v>-13107.005489998302</v>
      </c>
      <c r="AM254" s="527">
        <f t="shared" si="353"/>
        <v>-13107.005489998302</v>
      </c>
      <c r="AN254" s="527">
        <f t="shared" si="353"/>
        <v>-13107.005489998302</v>
      </c>
      <c r="AO254" s="527">
        <f t="shared" si="353"/>
        <v>-13107.005489998302</v>
      </c>
      <c r="AP254" s="527">
        <f t="shared" si="353"/>
        <v>-12680.822288359794</v>
      </c>
      <c r="AQ254" s="527">
        <f t="shared" si="353"/>
        <v>-12680.822288359794</v>
      </c>
      <c r="AR254" s="527">
        <f t="shared" si="353"/>
        <v>-12680.822288359794</v>
      </c>
      <c r="AS254" s="527">
        <f t="shared" si="353"/>
        <v>-12680.822288359794</v>
      </c>
      <c r="AT254" s="527">
        <f t="shared" si="353"/>
        <v>-12680.822288359794</v>
      </c>
      <c r="AU254" s="527">
        <f t="shared" si="353"/>
        <v>-12680.822288359794</v>
      </c>
      <c r="AV254" s="527">
        <f t="shared" si="353"/>
        <v>-13253.093707371636</v>
      </c>
      <c r="AW254" s="527">
        <f t="shared" si="353"/>
        <v>-13253.093707371636</v>
      </c>
      <c r="AX254" s="527">
        <f t="shared" ref="AX254:BY254" si="354">(AX238-AX246)*AX$228</f>
        <v>-13253.093707371636</v>
      </c>
      <c r="AY254" s="527">
        <f t="shared" si="354"/>
        <v>-13253.093707371636</v>
      </c>
      <c r="AZ254" s="527">
        <f t="shared" si="354"/>
        <v>-13253.093707371636</v>
      </c>
      <c r="BA254" s="527">
        <f t="shared" si="354"/>
        <v>-13253.093707371636</v>
      </c>
      <c r="BB254" s="527">
        <f t="shared" si="354"/>
        <v>-12875.633426930299</v>
      </c>
      <c r="BC254" s="527">
        <f t="shared" si="354"/>
        <v>-12875.633426930299</v>
      </c>
      <c r="BD254" s="527">
        <f t="shared" si="354"/>
        <v>-12875.633426930299</v>
      </c>
      <c r="BE254" s="527">
        <f t="shared" si="354"/>
        <v>-12875.633426930299</v>
      </c>
      <c r="BF254" s="527">
        <f t="shared" si="354"/>
        <v>-12875.633426930299</v>
      </c>
      <c r="BG254" s="527">
        <f t="shared" si="354"/>
        <v>-12875.633426930299</v>
      </c>
      <c r="BH254" s="527">
        <f t="shared" si="354"/>
        <v>-13449.793914149081</v>
      </c>
      <c r="BI254" s="527">
        <f t="shared" si="354"/>
        <v>-13449.793914149081</v>
      </c>
      <c r="BJ254" s="527">
        <f t="shared" si="354"/>
        <v>-13449.793914149081</v>
      </c>
      <c r="BK254" s="527">
        <f t="shared" si="354"/>
        <v>-13449.793914149081</v>
      </c>
      <c r="BL254" s="527">
        <f t="shared" si="354"/>
        <v>-13449.793914149081</v>
      </c>
      <c r="BM254" s="527">
        <f t="shared" si="354"/>
        <v>-13449.793914149081</v>
      </c>
      <c r="BN254" s="527">
        <f t="shared" si="354"/>
        <v>-13090.097469620317</v>
      </c>
      <c r="BO254" s="527">
        <f t="shared" si="354"/>
        <v>-13090.097469620317</v>
      </c>
      <c r="BP254" s="527">
        <f t="shared" si="354"/>
        <v>-13090.097469620317</v>
      </c>
      <c r="BQ254" s="527">
        <f t="shared" si="354"/>
        <v>-13090.097469620317</v>
      </c>
      <c r="BR254" s="527">
        <f t="shared" si="354"/>
        <v>-13090.097469620317</v>
      </c>
      <c r="BS254" s="527">
        <f t="shared" si="354"/>
        <v>-13090.097469620317</v>
      </c>
      <c r="BT254" s="527">
        <f t="shared" si="354"/>
        <v>-13666.474216843251</v>
      </c>
      <c r="BU254" s="527">
        <f t="shared" si="354"/>
        <v>-13666.474216843251</v>
      </c>
      <c r="BV254" s="527">
        <f t="shared" si="354"/>
        <v>-13666.474216843251</v>
      </c>
      <c r="BW254" s="527">
        <f t="shared" si="354"/>
        <v>-13666.474216843251</v>
      </c>
      <c r="BX254" s="527">
        <f t="shared" si="354"/>
        <v>-13666.474216843251</v>
      </c>
      <c r="BY254" s="527">
        <f t="shared" si="354"/>
        <v>-13666.474216843251</v>
      </c>
    </row>
    <row r="255" spans="1:77" x14ac:dyDescent="0.3">
      <c r="A255" s="551"/>
      <c r="B255" s="548"/>
      <c r="C255" s="525"/>
      <c r="D255" s="525"/>
      <c r="E255" s="621" t="str">
        <f>"BCF cost of sales: "&amp;E$156</f>
        <v>BCF cost of sales: FY28 Tranche</v>
      </c>
      <c r="F255" s="525"/>
      <c r="G255" s="525"/>
      <c r="H255" s="525"/>
      <c r="I255" s="525"/>
      <c r="J255" s="525"/>
      <c r="K255" s="525"/>
      <c r="L255" s="525"/>
      <c r="M255" s="525"/>
      <c r="N255" s="525"/>
      <c r="O255" s="525"/>
      <c r="P255" s="565"/>
      <c r="Q255" s="525"/>
      <c r="R255" s="527">
        <f t="shared" ref="R255:AW255" si="355">(R239-R247)*R$228</f>
        <v>-10717.163748025785</v>
      </c>
      <c r="S255" s="527">
        <f t="shared" si="355"/>
        <v>-10717.163748025785</v>
      </c>
      <c r="T255" s="527">
        <f t="shared" si="355"/>
        <v>-10717.163748025785</v>
      </c>
      <c r="U255" s="527">
        <f t="shared" si="355"/>
        <v>-10717.163748025785</v>
      </c>
      <c r="V255" s="527">
        <f t="shared" si="355"/>
        <v>-10717.163748025785</v>
      </c>
      <c r="W255" s="527">
        <f t="shared" si="355"/>
        <v>-10717.163748025785</v>
      </c>
      <c r="X255" s="527">
        <f t="shared" si="355"/>
        <v>-10717.163748025785</v>
      </c>
      <c r="Y255" s="527">
        <f t="shared" si="355"/>
        <v>-10717.163748025785</v>
      </c>
      <c r="Z255" s="527">
        <f t="shared" si="355"/>
        <v>-10717.163748025785</v>
      </c>
      <c r="AA255" s="527">
        <f t="shared" si="355"/>
        <v>-10717.163748025785</v>
      </c>
      <c r="AB255" s="527">
        <f t="shared" si="355"/>
        <v>-10717.163748025785</v>
      </c>
      <c r="AC255" s="527">
        <f t="shared" si="355"/>
        <v>-10717.163748025785</v>
      </c>
      <c r="AD255" s="527">
        <f t="shared" si="355"/>
        <v>-10831.052383337823</v>
      </c>
      <c r="AE255" s="527">
        <f t="shared" si="355"/>
        <v>-10831.052383337823</v>
      </c>
      <c r="AF255" s="527">
        <f t="shared" si="355"/>
        <v>-10831.052383337823</v>
      </c>
      <c r="AG255" s="527">
        <f t="shared" si="355"/>
        <v>-10831.052383337823</v>
      </c>
      <c r="AH255" s="527">
        <f t="shared" si="355"/>
        <v>-10831.052383337823</v>
      </c>
      <c r="AI255" s="527">
        <f t="shared" si="355"/>
        <v>-10831.052383337823</v>
      </c>
      <c r="AJ255" s="527">
        <f t="shared" si="355"/>
        <v>-13066.06421796846</v>
      </c>
      <c r="AK255" s="527">
        <f t="shared" si="355"/>
        <v>-13066.06421796846</v>
      </c>
      <c r="AL255" s="527">
        <f t="shared" si="355"/>
        <v>-13066.06421796846</v>
      </c>
      <c r="AM255" s="527">
        <f t="shared" si="355"/>
        <v>-13066.06421796846</v>
      </c>
      <c r="AN255" s="527">
        <f t="shared" si="355"/>
        <v>-13066.06421796846</v>
      </c>
      <c r="AO255" s="527">
        <f t="shared" si="355"/>
        <v>-13066.06421796846</v>
      </c>
      <c r="AP255" s="527">
        <f t="shared" si="355"/>
        <v>-12641.439490526</v>
      </c>
      <c r="AQ255" s="527">
        <f t="shared" si="355"/>
        <v>-12641.439490526</v>
      </c>
      <c r="AR255" s="527">
        <f t="shared" si="355"/>
        <v>-12641.439490526</v>
      </c>
      <c r="AS255" s="527">
        <f t="shared" si="355"/>
        <v>-12641.439490526</v>
      </c>
      <c r="AT255" s="527">
        <f t="shared" si="355"/>
        <v>-12641.439490526</v>
      </c>
      <c r="AU255" s="527">
        <f t="shared" si="355"/>
        <v>-12641.439490526</v>
      </c>
      <c r="AV255" s="527">
        <f t="shared" si="355"/>
        <v>-13212.135597624492</v>
      </c>
      <c r="AW255" s="527">
        <f t="shared" si="355"/>
        <v>-13212.135597624492</v>
      </c>
      <c r="AX255" s="527">
        <f t="shared" ref="AX255:BY255" si="356">(AX239-AX247)*AX$228</f>
        <v>-13212.135597624492</v>
      </c>
      <c r="AY255" s="527">
        <f t="shared" si="356"/>
        <v>-13212.135597624492</v>
      </c>
      <c r="AZ255" s="527">
        <f t="shared" si="356"/>
        <v>-13212.135597624492</v>
      </c>
      <c r="BA255" s="527">
        <f t="shared" si="356"/>
        <v>-13212.135597624492</v>
      </c>
      <c r="BB255" s="527">
        <f t="shared" si="356"/>
        <v>-12836.120626463458</v>
      </c>
      <c r="BC255" s="527">
        <f t="shared" si="356"/>
        <v>-12836.120626463458</v>
      </c>
      <c r="BD255" s="527">
        <f t="shared" si="356"/>
        <v>-12836.120626463458</v>
      </c>
      <c r="BE255" s="527">
        <f t="shared" si="356"/>
        <v>-12836.120626463458</v>
      </c>
      <c r="BF255" s="527">
        <f t="shared" si="356"/>
        <v>-12836.120626463458</v>
      </c>
      <c r="BG255" s="527">
        <f t="shared" si="356"/>
        <v>-12836.120626463458</v>
      </c>
      <c r="BH255" s="527">
        <f t="shared" si="356"/>
        <v>-13408.700601663568</v>
      </c>
      <c r="BI255" s="527">
        <f t="shared" si="356"/>
        <v>-13408.700601663568</v>
      </c>
      <c r="BJ255" s="527">
        <f t="shared" si="356"/>
        <v>-13408.700601663568</v>
      </c>
      <c r="BK255" s="527">
        <f t="shared" si="356"/>
        <v>-13408.700601663568</v>
      </c>
      <c r="BL255" s="527">
        <f t="shared" si="356"/>
        <v>-13408.700601663568</v>
      </c>
      <c r="BM255" s="527">
        <f t="shared" si="356"/>
        <v>-13408.700601663568</v>
      </c>
      <c r="BN255" s="527">
        <f t="shared" si="356"/>
        <v>-13050.432149707654</v>
      </c>
      <c r="BO255" s="527">
        <f t="shared" si="356"/>
        <v>-13050.432149707654</v>
      </c>
      <c r="BP255" s="527">
        <f t="shared" si="356"/>
        <v>-13050.432149707654</v>
      </c>
      <c r="BQ255" s="527">
        <f t="shared" si="356"/>
        <v>-13050.432149707654</v>
      </c>
      <c r="BR255" s="527">
        <f t="shared" si="356"/>
        <v>-13050.432149707654</v>
      </c>
      <c r="BS255" s="527">
        <f t="shared" si="356"/>
        <v>-13050.432149707654</v>
      </c>
      <c r="BT255" s="527">
        <f t="shared" si="356"/>
        <v>-13625.222284134079</v>
      </c>
      <c r="BU255" s="527">
        <f t="shared" si="356"/>
        <v>-13625.222284134079</v>
      </c>
      <c r="BV255" s="527">
        <f t="shared" si="356"/>
        <v>-13625.222284134079</v>
      </c>
      <c r="BW255" s="527">
        <f t="shared" si="356"/>
        <v>-13625.222284134079</v>
      </c>
      <c r="BX255" s="527">
        <f t="shared" si="356"/>
        <v>-13625.222284134079</v>
      </c>
      <c r="BY255" s="527">
        <f t="shared" si="356"/>
        <v>-13625.222284134079</v>
      </c>
    </row>
    <row r="256" spans="1:77" x14ac:dyDescent="0.3">
      <c r="A256" s="551"/>
      <c r="B256" s="548"/>
      <c r="C256" s="525"/>
      <c r="D256" s="525"/>
      <c r="E256" s="621" t="str">
        <f>"BCF cost of sales: "&amp;E$157</f>
        <v>BCF cost of sales: FY29 Tranche</v>
      </c>
      <c r="F256" s="525"/>
      <c r="G256" s="525"/>
      <c r="H256" s="525"/>
      <c r="I256" s="525"/>
      <c r="J256" s="525"/>
      <c r="K256" s="525"/>
      <c r="L256" s="525"/>
      <c r="M256" s="525"/>
      <c r="N256" s="525"/>
      <c r="O256" s="525"/>
      <c r="P256" s="565"/>
      <c r="Q256" s="525"/>
      <c r="R256" s="527">
        <f t="shared" ref="R256:AW256" si="357">(R240-R248)*R$228</f>
        <v>-10717.163748025785</v>
      </c>
      <c r="S256" s="527">
        <f t="shared" si="357"/>
        <v>-10717.163748025785</v>
      </c>
      <c r="T256" s="527">
        <f t="shared" si="357"/>
        <v>-10717.163748025785</v>
      </c>
      <c r="U256" s="527">
        <f t="shared" si="357"/>
        <v>-10717.163748025785</v>
      </c>
      <c r="V256" s="527">
        <f t="shared" si="357"/>
        <v>-10717.163748025785</v>
      </c>
      <c r="W256" s="527">
        <f t="shared" si="357"/>
        <v>-10717.163748025785</v>
      </c>
      <c r="X256" s="527">
        <f t="shared" si="357"/>
        <v>-10717.163748025785</v>
      </c>
      <c r="Y256" s="527">
        <f t="shared" si="357"/>
        <v>-10717.163748025785</v>
      </c>
      <c r="Z256" s="527">
        <f t="shared" si="357"/>
        <v>-10717.163748025785</v>
      </c>
      <c r="AA256" s="527">
        <f t="shared" si="357"/>
        <v>-10717.163748025785</v>
      </c>
      <c r="AB256" s="527">
        <f t="shared" si="357"/>
        <v>-10717.163748025785</v>
      </c>
      <c r="AC256" s="527">
        <f t="shared" si="357"/>
        <v>-10717.163748025785</v>
      </c>
      <c r="AD256" s="527">
        <f t="shared" si="357"/>
        <v>-10831.052383337823</v>
      </c>
      <c r="AE256" s="527">
        <f t="shared" si="357"/>
        <v>-10831.052383337823</v>
      </c>
      <c r="AF256" s="527">
        <f t="shared" si="357"/>
        <v>-10831.052383337823</v>
      </c>
      <c r="AG256" s="527">
        <f t="shared" si="357"/>
        <v>-10831.052383337823</v>
      </c>
      <c r="AH256" s="527">
        <f t="shared" si="357"/>
        <v>-10831.052383337823</v>
      </c>
      <c r="AI256" s="527">
        <f t="shared" si="357"/>
        <v>-10831.052383337823</v>
      </c>
      <c r="AJ256" s="527">
        <f t="shared" si="357"/>
        <v>-10831.052383337823</v>
      </c>
      <c r="AK256" s="527">
        <f t="shared" si="357"/>
        <v>-10831.052383337823</v>
      </c>
      <c r="AL256" s="527">
        <f t="shared" si="357"/>
        <v>-10831.052383337823</v>
      </c>
      <c r="AM256" s="527">
        <f t="shared" si="357"/>
        <v>-10831.052383337823</v>
      </c>
      <c r="AN256" s="527">
        <f t="shared" si="357"/>
        <v>-10831.052383337823</v>
      </c>
      <c r="AO256" s="527">
        <f t="shared" si="357"/>
        <v>-10831.052383337823</v>
      </c>
      <c r="AP256" s="527">
        <f t="shared" si="357"/>
        <v>-10947.218791356096</v>
      </c>
      <c r="AQ256" s="527">
        <f t="shared" si="357"/>
        <v>-10947.218791356096</v>
      </c>
      <c r="AR256" s="527">
        <f t="shared" si="357"/>
        <v>-10947.218791356096</v>
      </c>
      <c r="AS256" s="527">
        <f t="shared" si="357"/>
        <v>-10947.218791356096</v>
      </c>
      <c r="AT256" s="527">
        <f t="shared" si="357"/>
        <v>-10947.218791356096</v>
      </c>
      <c r="AU256" s="527">
        <f t="shared" si="357"/>
        <v>-10947.218791356096</v>
      </c>
      <c r="AV256" s="527">
        <f t="shared" si="357"/>
        <v>-13145.427971563553</v>
      </c>
      <c r="AW256" s="527">
        <f t="shared" si="357"/>
        <v>-13145.427971563553</v>
      </c>
      <c r="AX256" s="527">
        <f t="shared" ref="AX256:BY256" si="358">(AX240-AX248)*AX$228</f>
        <v>-13145.427971563553</v>
      </c>
      <c r="AY256" s="527">
        <f t="shared" si="358"/>
        <v>-13145.427971563553</v>
      </c>
      <c r="AZ256" s="527">
        <f t="shared" si="358"/>
        <v>-13145.427971563553</v>
      </c>
      <c r="BA256" s="527">
        <f t="shared" si="358"/>
        <v>-13145.427971563553</v>
      </c>
      <c r="BB256" s="527">
        <f t="shared" si="358"/>
        <v>-12771.766945728816</v>
      </c>
      <c r="BC256" s="527">
        <f t="shared" si="358"/>
        <v>-12771.766945728816</v>
      </c>
      <c r="BD256" s="527">
        <f t="shared" si="358"/>
        <v>-12771.766945728816</v>
      </c>
      <c r="BE256" s="527">
        <f t="shared" si="358"/>
        <v>-12771.766945728816</v>
      </c>
      <c r="BF256" s="527">
        <f t="shared" si="358"/>
        <v>-12771.766945728816</v>
      </c>
      <c r="BG256" s="527">
        <f t="shared" si="358"/>
        <v>-12771.766945728816</v>
      </c>
      <c r="BH256" s="527">
        <f t="shared" si="358"/>
        <v>-13341.772773699538</v>
      </c>
      <c r="BI256" s="527">
        <f t="shared" si="358"/>
        <v>-13341.772773699538</v>
      </c>
      <c r="BJ256" s="527">
        <f t="shared" si="358"/>
        <v>-13341.772773699538</v>
      </c>
      <c r="BK256" s="527">
        <f t="shared" si="358"/>
        <v>-13341.772773699538</v>
      </c>
      <c r="BL256" s="527">
        <f t="shared" si="358"/>
        <v>-13341.772773699538</v>
      </c>
      <c r="BM256" s="527">
        <f t="shared" si="358"/>
        <v>-13341.772773699538</v>
      </c>
      <c r="BN256" s="527">
        <f t="shared" si="358"/>
        <v>-12985.830063706697</v>
      </c>
      <c r="BO256" s="527">
        <f t="shared" si="358"/>
        <v>-12985.830063706697</v>
      </c>
      <c r="BP256" s="527">
        <f t="shared" si="358"/>
        <v>-12985.830063706697</v>
      </c>
      <c r="BQ256" s="527">
        <f t="shared" si="358"/>
        <v>-12985.830063706697</v>
      </c>
      <c r="BR256" s="527">
        <f t="shared" si="358"/>
        <v>-12985.830063706697</v>
      </c>
      <c r="BS256" s="527">
        <f t="shared" si="358"/>
        <v>-12985.830063706697</v>
      </c>
      <c r="BT256" s="527">
        <f t="shared" si="358"/>
        <v>-13558.036114693086</v>
      </c>
      <c r="BU256" s="527">
        <f t="shared" si="358"/>
        <v>-13558.036114693086</v>
      </c>
      <c r="BV256" s="527">
        <f t="shared" si="358"/>
        <v>-13558.036114693086</v>
      </c>
      <c r="BW256" s="527">
        <f t="shared" si="358"/>
        <v>-13558.036114693086</v>
      </c>
      <c r="BX256" s="527">
        <f t="shared" si="358"/>
        <v>-13558.036114693086</v>
      </c>
      <c r="BY256" s="527">
        <f t="shared" si="358"/>
        <v>-13558.036114693086</v>
      </c>
    </row>
    <row r="257" spans="1:77" x14ac:dyDescent="0.3">
      <c r="A257" s="551"/>
      <c r="B257" s="548"/>
      <c r="C257" s="525"/>
      <c r="D257" s="525"/>
      <c r="E257" s="621" t="str">
        <f>"BCF cost of sales: "&amp;E$158</f>
        <v>BCF cost of sales: FY30 Tranche</v>
      </c>
      <c r="F257" s="525"/>
      <c r="G257" s="525"/>
      <c r="H257" s="525"/>
      <c r="I257" s="525"/>
      <c r="J257" s="525"/>
      <c r="K257" s="525"/>
      <c r="L257" s="525"/>
      <c r="M257" s="525"/>
      <c r="N257" s="525"/>
      <c r="O257" s="525"/>
      <c r="P257" s="565"/>
      <c r="Q257" s="525"/>
      <c r="R257" s="527">
        <f t="shared" ref="R257:AW257" si="359">(R241-R249)*R$228</f>
        <v>-10717.163748025785</v>
      </c>
      <c r="S257" s="527">
        <f t="shared" si="359"/>
        <v>-10717.163748025785</v>
      </c>
      <c r="T257" s="527">
        <f t="shared" si="359"/>
        <v>-10717.163748025785</v>
      </c>
      <c r="U257" s="527">
        <f t="shared" si="359"/>
        <v>-10717.163748025785</v>
      </c>
      <c r="V257" s="527">
        <f t="shared" si="359"/>
        <v>-10717.163748025785</v>
      </c>
      <c r="W257" s="527">
        <f t="shared" si="359"/>
        <v>-10717.163748025785</v>
      </c>
      <c r="X257" s="527">
        <f t="shared" si="359"/>
        <v>-10717.163748025785</v>
      </c>
      <c r="Y257" s="527">
        <f t="shared" si="359"/>
        <v>-10717.163748025785</v>
      </c>
      <c r="Z257" s="527">
        <f t="shared" si="359"/>
        <v>-10717.163748025785</v>
      </c>
      <c r="AA257" s="527">
        <f t="shared" si="359"/>
        <v>-10717.163748025785</v>
      </c>
      <c r="AB257" s="527">
        <f t="shared" si="359"/>
        <v>-10717.163748025785</v>
      </c>
      <c r="AC257" s="527">
        <f t="shared" si="359"/>
        <v>-10717.163748025785</v>
      </c>
      <c r="AD257" s="527">
        <f t="shared" si="359"/>
        <v>-10831.052383337823</v>
      </c>
      <c r="AE257" s="527">
        <f t="shared" si="359"/>
        <v>-10831.052383337823</v>
      </c>
      <c r="AF257" s="527">
        <f t="shared" si="359"/>
        <v>-10831.052383337823</v>
      </c>
      <c r="AG257" s="527">
        <f t="shared" si="359"/>
        <v>-10831.052383337823</v>
      </c>
      <c r="AH257" s="527">
        <f t="shared" si="359"/>
        <v>-10831.052383337823</v>
      </c>
      <c r="AI257" s="527">
        <f t="shared" si="359"/>
        <v>-10831.052383337823</v>
      </c>
      <c r="AJ257" s="527">
        <f t="shared" si="359"/>
        <v>-10831.052383337823</v>
      </c>
      <c r="AK257" s="527">
        <f t="shared" si="359"/>
        <v>-10831.052383337823</v>
      </c>
      <c r="AL257" s="527">
        <f t="shared" si="359"/>
        <v>-10831.052383337823</v>
      </c>
      <c r="AM257" s="527">
        <f t="shared" si="359"/>
        <v>-10831.052383337823</v>
      </c>
      <c r="AN257" s="527">
        <f t="shared" si="359"/>
        <v>-10831.052383337823</v>
      </c>
      <c r="AO257" s="527">
        <f t="shared" si="359"/>
        <v>-10831.052383337823</v>
      </c>
      <c r="AP257" s="527">
        <f t="shared" si="359"/>
        <v>-10947.218791356096</v>
      </c>
      <c r="AQ257" s="527">
        <f t="shared" si="359"/>
        <v>-10947.218791356096</v>
      </c>
      <c r="AR257" s="527">
        <f t="shared" si="359"/>
        <v>-10947.218791356096</v>
      </c>
      <c r="AS257" s="527">
        <f t="shared" si="359"/>
        <v>-10947.218791356096</v>
      </c>
      <c r="AT257" s="527">
        <f t="shared" si="359"/>
        <v>-10947.218791356096</v>
      </c>
      <c r="AU257" s="527">
        <f t="shared" si="359"/>
        <v>-10947.218791356096</v>
      </c>
      <c r="AV257" s="527">
        <f t="shared" si="359"/>
        <v>-10947.218791356096</v>
      </c>
      <c r="AW257" s="527">
        <f t="shared" si="359"/>
        <v>-10947.218791356096</v>
      </c>
      <c r="AX257" s="527">
        <f t="shared" ref="AX257:BY257" si="360">(AX241-AX249)*AX$228</f>
        <v>-10947.218791356096</v>
      </c>
      <c r="AY257" s="527">
        <f t="shared" si="360"/>
        <v>-10947.218791356096</v>
      </c>
      <c r="AZ257" s="527">
        <f t="shared" si="360"/>
        <v>-10947.218791356096</v>
      </c>
      <c r="BA257" s="527">
        <f t="shared" si="360"/>
        <v>-10947.218791356096</v>
      </c>
      <c r="BB257" s="527">
        <f t="shared" si="360"/>
        <v>-11065.708527534736</v>
      </c>
      <c r="BC257" s="527">
        <f t="shared" si="360"/>
        <v>-11065.708527534736</v>
      </c>
      <c r="BD257" s="527">
        <f t="shared" si="360"/>
        <v>-11065.708527534736</v>
      </c>
      <c r="BE257" s="527">
        <f t="shared" si="360"/>
        <v>-11065.708527534736</v>
      </c>
      <c r="BF257" s="527">
        <f t="shared" si="360"/>
        <v>-11065.708527534736</v>
      </c>
      <c r="BG257" s="527">
        <f t="shared" si="360"/>
        <v>-11065.708527534736</v>
      </c>
      <c r="BH257" s="527">
        <f t="shared" si="360"/>
        <v>-13230.198206300171</v>
      </c>
      <c r="BI257" s="527">
        <f t="shared" si="360"/>
        <v>-13230.198206300171</v>
      </c>
      <c r="BJ257" s="527">
        <f t="shared" si="360"/>
        <v>-13230.198206300171</v>
      </c>
      <c r="BK257" s="527">
        <f t="shared" si="360"/>
        <v>-13230.198206300171</v>
      </c>
      <c r="BL257" s="527">
        <f t="shared" si="360"/>
        <v>-13230.198206300171</v>
      </c>
      <c r="BM257" s="527">
        <f t="shared" si="360"/>
        <v>-13230.198206300171</v>
      </c>
      <c r="BN257" s="527">
        <f t="shared" si="360"/>
        <v>-12878.132712426641</v>
      </c>
      <c r="BO257" s="527">
        <f t="shared" si="360"/>
        <v>-12878.132712426641</v>
      </c>
      <c r="BP257" s="527">
        <f t="shared" si="360"/>
        <v>-12878.132712426641</v>
      </c>
      <c r="BQ257" s="527">
        <f t="shared" si="360"/>
        <v>-12878.132712426641</v>
      </c>
      <c r="BR257" s="527">
        <f t="shared" si="360"/>
        <v>-12878.132712426641</v>
      </c>
      <c r="BS257" s="527">
        <f t="shared" si="360"/>
        <v>-12878.132712426641</v>
      </c>
      <c r="BT257" s="527">
        <f t="shared" si="360"/>
        <v>-13446.030869361826</v>
      </c>
      <c r="BU257" s="527">
        <f t="shared" si="360"/>
        <v>-13446.030869361826</v>
      </c>
      <c r="BV257" s="527">
        <f t="shared" si="360"/>
        <v>-13446.030869361826</v>
      </c>
      <c r="BW257" s="527">
        <f t="shared" si="360"/>
        <v>-13446.030869361826</v>
      </c>
      <c r="BX257" s="527">
        <f t="shared" si="360"/>
        <v>-13446.030869361826</v>
      </c>
      <c r="BY257" s="527">
        <f t="shared" si="360"/>
        <v>-13446.030869361826</v>
      </c>
    </row>
    <row r="258" spans="1:77" x14ac:dyDescent="0.3">
      <c r="A258" s="551"/>
      <c r="B258" s="548"/>
      <c r="C258" s="525"/>
      <c r="D258" s="525"/>
      <c r="E258" s="621" t="str">
        <f>"BCF cost of sales: "&amp;E$159</f>
        <v>BCF cost of sales: FY31 Tranche</v>
      </c>
      <c r="F258" s="525"/>
      <c r="G258" s="525"/>
      <c r="H258" s="525"/>
      <c r="I258" s="525"/>
      <c r="J258" s="525"/>
      <c r="K258" s="525"/>
      <c r="L258" s="525"/>
      <c r="M258" s="525"/>
      <c r="N258" s="525"/>
      <c r="O258" s="525"/>
      <c r="P258" s="565"/>
      <c r="Q258" s="525"/>
      <c r="R258" s="527">
        <f t="shared" ref="R258:AW258" si="361">(R242-R250)*R$228</f>
        <v>-10717.163748025785</v>
      </c>
      <c r="S258" s="527">
        <f t="shared" si="361"/>
        <v>-10717.163748025785</v>
      </c>
      <c r="T258" s="527">
        <f t="shared" si="361"/>
        <v>-10717.163748025785</v>
      </c>
      <c r="U258" s="527">
        <f t="shared" si="361"/>
        <v>-10717.163748025785</v>
      </c>
      <c r="V258" s="527">
        <f t="shared" si="361"/>
        <v>-10717.163748025785</v>
      </c>
      <c r="W258" s="527">
        <f t="shared" si="361"/>
        <v>-10717.163748025785</v>
      </c>
      <c r="X258" s="527">
        <f t="shared" si="361"/>
        <v>-10717.163748025785</v>
      </c>
      <c r="Y258" s="527">
        <f t="shared" si="361"/>
        <v>-10717.163748025785</v>
      </c>
      <c r="Z258" s="527">
        <f t="shared" si="361"/>
        <v>-10717.163748025785</v>
      </c>
      <c r="AA258" s="527">
        <f t="shared" si="361"/>
        <v>-10717.163748025785</v>
      </c>
      <c r="AB258" s="527">
        <f t="shared" si="361"/>
        <v>-10717.163748025785</v>
      </c>
      <c r="AC258" s="527">
        <f t="shared" si="361"/>
        <v>-10717.163748025785</v>
      </c>
      <c r="AD258" s="527">
        <f t="shared" si="361"/>
        <v>-10831.052383337823</v>
      </c>
      <c r="AE258" s="527">
        <f t="shared" si="361"/>
        <v>-10831.052383337823</v>
      </c>
      <c r="AF258" s="527">
        <f t="shared" si="361"/>
        <v>-10831.052383337823</v>
      </c>
      <c r="AG258" s="527">
        <f t="shared" si="361"/>
        <v>-10831.052383337823</v>
      </c>
      <c r="AH258" s="527">
        <f t="shared" si="361"/>
        <v>-10831.052383337823</v>
      </c>
      <c r="AI258" s="527">
        <f t="shared" si="361"/>
        <v>-10831.052383337823</v>
      </c>
      <c r="AJ258" s="527">
        <f t="shared" si="361"/>
        <v>-10831.052383337823</v>
      </c>
      <c r="AK258" s="527">
        <f t="shared" si="361"/>
        <v>-10831.052383337823</v>
      </c>
      <c r="AL258" s="527">
        <f t="shared" si="361"/>
        <v>-10831.052383337823</v>
      </c>
      <c r="AM258" s="527">
        <f t="shared" si="361"/>
        <v>-10831.052383337823</v>
      </c>
      <c r="AN258" s="527">
        <f t="shared" si="361"/>
        <v>-10831.052383337823</v>
      </c>
      <c r="AO258" s="527">
        <f t="shared" si="361"/>
        <v>-10831.052383337823</v>
      </c>
      <c r="AP258" s="527">
        <f t="shared" si="361"/>
        <v>-10947.218791356096</v>
      </c>
      <c r="AQ258" s="527">
        <f t="shared" si="361"/>
        <v>-10947.218791356096</v>
      </c>
      <c r="AR258" s="527">
        <f t="shared" si="361"/>
        <v>-10947.218791356096</v>
      </c>
      <c r="AS258" s="527">
        <f t="shared" si="361"/>
        <v>-10947.218791356096</v>
      </c>
      <c r="AT258" s="527">
        <f t="shared" si="361"/>
        <v>-10947.218791356096</v>
      </c>
      <c r="AU258" s="527">
        <f t="shared" si="361"/>
        <v>-10947.218791356096</v>
      </c>
      <c r="AV258" s="527">
        <f t="shared" si="361"/>
        <v>-10947.218791356096</v>
      </c>
      <c r="AW258" s="527">
        <f t="shared" si="361"/>
        <v>-10947.218791356096</v>
      </c>
      <c r="AX258" s="527">
        <f t="shared" ref="AX258:BY258" si="362">(AX242-AX250)*AX$228</f>
        <v>-10947.218791356096</v>
      </c>
      <c r="AY258" s="527">
        <f t="shared" si="362"/>
        <v>-10947.218791356096</v>
      </c>
      <c r="AZ258" s="527">
        <f t="shared" si="362"/>
        <v>-10947.218791356096</v>
      </c>
      <c r="BA258" s="527">
        <f t="shared" si="362"/>
        <v>-10947.218791356096</v>
      </c>
      <c r="BB258" s="527">
        <f t="shared" si="362"/>
        <v>-11065.708527534736</v>
      </c>
      <c r="BC258" s="527">
        <f t="shared" si="362"/>
        <v>-11065.708527534736</v>
      </c>
      <c r="BD258" s="527">
        <f t="shared" si="362"/>
        <v>-11065.708527534736</v>
      </c>
      <c r="BE258" s="527">
        <f t="shared" si="362"/>
        <v>-11065.708527534736</v>
      </c>
      <c r="BF258" s="527">
        <f t="shared" si="362"/>
        <v>-11065.708527534736</v>
      </c>
      <c r="BG258" s="527">
        <f t="shared" si="362"/>
        <v>-11065.708527534736</v>
      </c>
      <c r="BH258" s="527">
        <f t="shared" si="362"/>
        <v>-11065.708527534736</v>
      </c>
      <c r="BI258" s="527">
        <f t="shared" si="362"/>
        <v>-11065.708527534736</v>
      </c>
      <c r="BJ258" s="527">
        <f t="shared" si="362"/>
        <v>-11065.708527534736</v>
      </c>
      <c r="BK258" s="527">
        <f t="shared" si="362"/>
        <v>-11065.708527534736</v>
      </c>
      <c r="BL258" s="527">
        <f t="shared" si="362"/>
        <v>-11065.708527534736</v>
      </c>
      <c r="BM258" s="527">
        <f t="shared" si="362"/>
        <v>-11065.708527534736</v>
      </c>
      <c r="BN258" s="527">
        <f t="shared" si="362"/>
        <v>-11186.568058436947</v>
      </c>
      <c r="BO258" s="527">
        <f t="shared" si="362"/>
        <v>-11186.568058436947</v>
      </c>
      <c r="BP258" s="527">
        <f t="shared" si="362"/>
        <v>-11186.568058436947</v>
      </c>
      <c r="BQ258" s="527">
        <f t="shared" si="362"/>
        <v>-11186.568058436947</v>
      </c>
      <c r="BR258" s="527">
        <f t="shared" si="362"/>
        <v>-11186.568058436947</v>
      </c>
      <c r="BS258" s="527">
        <f t="shared" si="362"/>
        <v>-11186.568058436947</v>
      </c>
      <c r="BT258" s="527">
        <f t="shared" si="362"/>
        <v>-13316.615939636673</v>
      </c>
      <c r="BU258" s="527">
        <f t="shared" si="362"/>
        <v>-13316.615939636673</v>
      </c>
      <c r="BV258" s="527">
        <f t="shared" si="362"/>
        <v>-13316.615939636673</v>
      </c>
      <c r="BW258" s="527">
        <f t="shared" si="362"/>
        <v>-13316.615939636673</v>
      </c>
      <c r="BX258" s="527">
        <f t="shared" si="362"/>
        <v>-13316.615939636673</v>
      </c>
      <c r="BY258" s="527">
        <f t="shared" si="362"/>
        <v>-13316.615939636673</v>
      </c>
    </row>
    <row r="259" spans="1:77" x14ac:dyDescent="0.3">
      <c r="A259" s="551"/>
      <c r="B259" s="548"/>
      <c r="C259" s="525"/>
      <c r="D259" s="525"/>
      <c r="E259" s="621" t="str">
        <f>"BCF cost of sales: "&amp;E$160</f>
        <v>BCF cost of sales: Uninvested Tranche</v>
      </c>
      <c r="F259" s="525"/>
      <c r="G259" s="525"/>
      <c r="H259" s="525"/>
      <c r="I259" s="525"/>
      <c r="J259" s="525"/>
      <c r="K259" s="525"/>
      <c r="L259" s="525"/>
      <c r="M259" s="525"/>
      <c r="N259" s="525"/>
      <c r="O259" s="525"/>
      <c r="P259" s="565"/>
      <c r="Q259" s="525"/>
      <c r="R259" s="527">
        <f t="shared" ref="R259:AW259" si="363">(R243-R251)*R$228</f>
        <v>-29472.200307070911</v>
      </c>
      <c r="S259" s="527">
        <f t="shared" si="363"/>
        <v>-29472.200307070911</v>
      </c>
      <c r="T259" s="527">
        <f t="shared" si="363"/>
        <v>-29472.200307070911</v>
      </c>
      <c r="U259" s="527">
        <f t="shared" si="363"/>
        <v>-29472.200307070911</v>
      </c>
      <c r="V259" s="527">
        <f t="shared" si="363"/>
        <v>-29472.200307070911</v>
      </c>
      <c r="W259" s="527">
        <f t="shared" si="363"/>
        <v>-29472.200307070911</v>
      </c>
      <c r="X259" s="527">
        <f t="shared" si="363"/>
        <v>-29472.200307070911</v>
      </c>
      <c r="Y259" s="527">
        <f t="shared" si="363"/>
        <v>-29472.200307070911</v>
      </c>
      <c r="Z259" s="527">
        <f t="shared" si="363"/>
        <v>-29472.200307070911</v>
      </c>
      <c r="AA259" s="527">
        <f t="shared" si="363"/>
        <v>-29472.200307070911</v>
      </c>
      <c r="AB259" s="527">
        <f t="shared" si="363"/>
        <v>-29472.200307070911</v>
      </c>
      <c r="AC259" s="527">
        <f t="shared" si="363"/>
        <v>-29472.200307070911</v>
      </c>
      <c r="AD259" s="527">
        <f t="shared" si="363"/>
        <v>-29785.394054179011</v>
      </c>
      <c r="AE259" s="527">
        <f t="shared" si="363"/>
        <v>-29785.394054179011</v>
      </c>
      <c r="AF259" s="527">
        <f t="shared" si="363"/>
        <v>-29785.394054179011</v>
      </c>
      <c r="AG259" s="527">
        <f t="shared" si="363"/>
        <v>-29785.394054179011</v>
      </c>
      <c r="AH259" s="527">
        <f t="shared" si="363"/>
        <v>-29785.394054179011</v>
      </c>
      <c r="AI259" s="527">
        <f t="shared" si="363"/>
        <v>-29785.394054179011</v>
      </c>
      <c r="AJ259" s="527">
        <f t="shared" si="363"/>
        <v>-29785.394054179011</v>
      </c>
      <c r="AK259" s="527">
        <f t="shared" si="363"/>
        <v>-29785.394054179011</v>
      </c>
      <c r="AL259" s="527">
        <f t="shared" si="363"/>
        <v>-29785.394054179011</v>
      </c>
      <c r="AM259" s="527">
        <f t="shared" si="363"/>
        <v>-29785.394054179011</v>
      </c>
      <c r="AN259" s="527">
        <f t="shared" si="363"/>
        <v>-29785.394054179011</v>
      </c>
      <c r="AO259" s="527">
        <f t="shared" si="363"/>
        <v>-29785.394054179011</v>
      </c>
      <c r="AP259" s="527">
        <f t="shared" si="363"/>
        <v>-30104.85167622926</v>
      </c>
      <c r="AQ259" s="527">
        <f t="shared" si="363"/>
        <v>-30104.85167622926</v>
      </c>
      <c r="AR259" s="527">
        <f t="shared" si="363"/>
        <v>-30104.85167622926</v>
      </c>
      <c r="AS259" s="527">
        <f t="shared" si="363"/>
        <v>-30104.85167622926</v>
      </c>
      <c r="AT259" s="527">
        <f t="shared" si="363"/>
        <v>-30104.85167622926</v>
      </c>
      <c r="AU259" s="527">
        <f t="shared" si="363"/>
        <v>-30104.85167622926</v>
      </c>
      <c r="AV259" s="527">
        <f t="shared" si="363"/>
        <v>-30104.85167622926</v>
      </c>
      <c r="AW259" s="527">
        <f t="shared" si="363"/>
        <v>-30104.85167622926</v>
      </c>
      <c r="AX259" s="527">
        <f t="shared" ref="AX259:BY259" si="364">(AX243-AX251)*AX$228</f>
        <v>-30104.85167622926</v>
      </c>
      <c r="AY259" s="527">
        <f t="shared" si="364"/>
        <v>-30104.85167622926</v>
      </c>
      <c r="AZ259" s="527">
        <f t="shared" si="364"/>
        <v>-30104.85167622926</v>
      </c>
      <c r="BA259" s="527">
        <f t="shared" si="364"/>
        <v>-30104.85167622926</v>
      </c>
      <c r="BB259" s="527">
        <f t="shared" si="364"/>
        <v>-30430.698450720523</v>
      </c>
      <c r="BC259" s="527">
        <f t="shared" si="364"/>
        <v>-30430.698450720523</v>
      </c>
      <c r="BD259" s="527">
        <f t="shared" si="364"/>
        <v>-30430.698450720523</v>
      </c>
      <c r="BE259" s="527">
        <f t="shared" si="364"/>
        <v>-30430.698450720523</v>
      </c>
      <c r="BF259" s="527">
        <f t="shared" si="364"/>
        <v>-30430.698450720523</v>
      </c>
      <c r="BG259" s="527">
        <f t="shared" si="364"/>
        <v>-30430.698450720523</v>
      </c>
      <c r="BH259" s="527">
        <f t="shared" si="364"/>
        <v>-30430.698450720523</v>
      </c>
      <c r="BI259" s="527">
        <f t="shared" si="364"/>
        <v>-30430.698450720523</v>
      </c>
      <c r="BJ259" s="527">
        <f t="shared" si="364"/>
        <v>-30430.698450720523</v>
      </c>
      <c r="BK259" s="527">
        <f t="shared" si="364"/>
        <v>-30430.698450720523</v>
      </c>
      <c r="BL259" s="527">
        <f t="shared" si="364"/>
        <v>-30430.698450720523</v>
      </c>
      <c r="BM259" s="527">
        <f t="shared" si="364"/>
        <v>-30430.698450720523</v>
      </c>
      <c r="BN259" s="527">
        <f t="shared" si="364"/>
        <v>-30763.0621607016</v>
      </c>
      <c r="BO259" s="527">
        <f t="shared" si="364"/>
        <v>-30763.0621607016</v>
      </c>
      <c r="BP259" s="527">
        <f t="shared" si="364"/>
        <v>-30763.0621607016</v>
      </c>
      <c r="BQ259" s="527">
        <f t="shared" si="364"/>
        <v>-30763.0621607016</v>
      </c>
      <c r="BR259" s="527">
        <f t="shared" si="364"/>
        <v>-30763.0621607016</v>
      </c>
      <c r="BS259" s="527">
        <f t="shared" si="364"/>
        <v>-30763.0621607016</v>
      </c>
      <c r="BT259" s="527">
        <f t="shared" si="364"/>
        <v>-30763.0621607016</v>
      </c>
      <c r="BU259" s="527">
        <f t="shared" si="364"/>
        <v>-30763.0621607016</v>
      </c>
      <c r="BV259" s="527">
        <f t="shared" si="364"/>
        <v>-30763.0621607016</v>
      </c>
      <c r="BW259" s="527">
        <f t="shared" si="364"/>
        <v>-30763.0621607016</v>
      </c>
      <c r="BX259" s="527">
        <f t="shared" si="364"/>
        <v>-30763.0621607016</v>
      </c>
      <c r="BY259" s="527">
        <f t="shared" si="364"/>
        <v>-30763.0621607016</v>
      </c>
    </row>
    <row r="260" spans="1:77" x14ac:dyDescent="0.3">
      <c r="A260" s="551"/>
      <c r="B260" s="548"/>
      <c r="C260" s="525"/>
      <c r="D260" s="525"/>
      <c r="E260" s="572" t="s">
        <v>36</v>
      </c>
      <c r="F260" s="572"/>
      <c r="G260" s="572"/>
      <c r="H260" s="572"/>
      <c r="I260" s="572"/>
      <c r="J260" s="572"/>
      <c r="K260" s="572"/>
      <c r="L260" s="572"/>
      <c r="M260" s="572"/>
      <c r="N260" s="572"/>
      <c r="O260" s="572"/>
      <c r="P260" s="612"/>
      <c r="Q260" s="572"/>
      <c r="R260" s="530">
        <f t="shared" ref="R260:AW260" si="365">SUM(R254:R259)</f>
        <v>-83058.019047199836</v>
      </c>
      <c r="S260" s="530">
        <f t="shared" si="365"/>
        <v>-83058.019047199836</v>
      </c>
      <c r="T260" s="530">
        <f t="shared" si="365"/>
        <v>-83058.019047199836</v>
      </c>
      <c r="U260" s="530">
        <f t="shared" si="365"/>
        <v>-83058.019047199836</v>
      </c>
      <c r="V260" s="530">
        <f t="shared" si="365"/>
        <v>-83058.019047199836</v>
      </c>
      <c r="W260" s="530">
        <f t="shared" si="365"/>
        <v>-83058.019047199836</v>
      </c>
      <c r="X260" s="530">
        <f t="shared" si="365"/>
        <v>-85333.222388533963</v>
      </c>
      <c r="Y260" s="530">
        <f t="shared" si="365"/>
        <v>-85333.222388533963</v>
      </c>
      <c r="Z260" s="530">
        <f t="shared" si="365"/>
        <v>-85333.222388533963</v>
      </c>
      <c r="AA260" s="530">
        <f t="shared" si="365"/>
        <v>-85333.222388533963</v>
      </c>
      <c r="AB260" s="530">
        <f t="shared" si="365"/>
        <v>-85333.222388533963</v>
      </c>
      <c r="AC260" s="530">
        <f t="shared" si="365"/>
        <v>-85333.222388533963</v>
      </c>
      <c r="AD260" s="530">
        <f t="shared" si="365"/>
        <v>-85644.572917038997</v>
      </c>
      <c r="AE260" s="530">
        <f t="shared" si="365"/>
        <v>-85644.572917038997</v>
      </c>
      <c r="AF260" s="530">
        <f t="shared" si="365"/>
        <v>-85644.572917038997</v>
      </c>
      <c r="AG260" s="530">
        <f t="shared" si="365"/>
        <v>-85644.572917038997</v>
      </c>
      <c r="AH260" s="530">
        <f t="shared" si="365"/>
        <v>-85644.572917038997</v>
      </c>
      <c r="AI260" s="530">
        <f t="shared" si="365"/>
        <v>-85644.572917038997</v>
      </c>
      <c r="AJ260" s="530">
        <f t="shared" si="365"/>
        <v>-88451.62091215924</v>
      </c>
      <c r="AK260" s="530">
        <f t="shared" si="365"/>
        <v>-88451.62091215924</v>
      </c>
      <c r="AL260" s="530">
        <f t="shared" si="365"/>
        <v>-88451.62091215924</v>
      </c>
      <c r="AM260" s="530">
        <f t="shared" si="365"/>
        <v>-88451.62091215924</v>
      </c>
      <c r="AN260" s="530">
        <f t="shared" si="365"/>
        <v>-88451.62091215924</v>
      </c>
      <c r="AO260" s="530">
        <f t="shared" si="365"/>
        <v>-88451.62091215924</v>
      </c>
      <c r="AP260" s="530">
        <f t="shared" si="365"/>
        <v>-88268.769829183337</v>
      </c>
      <c r="AQ260" s="530">
        <f t="shared" si="365"/>
        <v>-88268.769829183337</v>
      </c>
      <c r="AR260" s="530">
        <f t="shared" si="365"/>
        <v>-88268.769829183337</v>
      </c>
      <c r="AS260" s="530">
        <f t="shared" si="365"/>
        <v>-88268.769829183337</v>
      </c>
      <c r="AT260" s="530">
        <f t="shared" si="365"/>
        <v>-88268.769829183337</v>
      </c>
      <c r="AU260" s="530">
        <f t="shared" si="365"/>
        <v>-88268.769829183337</v>
      </c>
      <c r="AV260" s="530">
        <f t="shared" si="365"/>
        <v>-91609.94653550112</v>
      </c>
      <c r="AW260" s="530">
        <f t="shared" si="365"/>
        <v>-91609.94653550112</v>
      </c>
      <c r="AX260" s="530">
        <f t="shared" ref="AX260:BY260" si="366">SUM(AX254:AX259)</f>
        <v>-91609.94653550112</v>
      </c>
      <c r="AY260" s="530">
        <f t="shared" si="366"/>
        <v>-91609.94653550112</v>
      </c>
      <c r="AZ260" s="530">
        <f t="shared" si="366"/>
        <v>-91609.94653550112</v>
      </c>
      <c r="BA260" s="530">
        <f t="shared" si="366"/>
        <v>-91609.94653550112</v>
      </c>
      <c r="BB260" s="530">
        <f t="shared" si="366"/>
        <v>-91045.63650491256</v>
      </c>
      <c r="BC260" s="530">
        <f t="shared" si="366"/>
        <v>-91045.63650491256</v>
      </c>
      <c r="BD260" s="530">
        <f t="shared" si="366"/>
        <v>-91045.63650491256</v>
      </c>
      <c r="BE260" s="530">
        <f t="shared" si="366"/>
        <v>-91045.63650491256</v>
      </c>
      <c r="BF260" s="530">
        <f t="shared" si="366"/>
        <v>-91045.63650491256</v>
      </c>
      <c r="BG260" s="530">
        <f t="shared" si="366"/>
        <v>-91045.63650491256</v>
      </c>
      <c r="BH260" s="530">
        <f t="shared" si="366"/>
        <v>-94926.872474067612</v>
      </c>
      <c r="BI260" s="530">
        <f t="shared" si="366"/>
        <v>-94926.872474067612</v>
      </c>
      <c r="BJ260" s="530">
        <f t="shared" si="366"/>
        <v>-94926.872474067612</v>
      </c>
      <c r="BK260" s="530">
        <f t="shared" si="366"/>
        <v>-94926.872474067612</v>
      </c>
      <c r="BL260" s="530">
        <f t="shared" si="366"/>
        <v>-94926.872474067612</v>
      </c>
      <c r="BM260" s="530">
        <f t="shared" si="366"/>
        <v>-94926.872474067612</v>
      </c>
      <c r="BN260" s="530">
        <f t="shared" si="366"/>
        <v>-93954.122614599852</v>
      </c>
      <c r="BO260" s="530">
        <f t="shared" si="366"/>
        <v>-93954.122614599852</v>
      </c>
      <c r="BP260" s="530">
        <f t="shared" si="366"/>
        <v>-93954.122614599852</v>
      </c>
      <c r="BQ260" s="530">
        <f t="shared" si="366"/>
        <v>-93954.122614599852</v>
      </c>
      <c r="BR260" s="530">
        <f t="shared" si="366"/>
        <v>-93954.122614599852</v>
      </c>
      <c r="BS260" s="530">
        <f t="shared" si="366"/>
        <v>-93954.122614599852</v>
      </c>
      <c r="BT260" s="530">
        <f t="shared" si="366"/>
        <v>-98375.441585370514</v>
      </c>
      <c r="BU260" s="530">
        <f t="shared" si="366"/>
        <v>-98375.441585370514</v>
      </c>
      <c r="BV260" s="530">
        <f t="shared" si="366"/>
        <v>-98375.441585370514</v>
      </c>
      <c r="BW260" s="530">
        <f t="shared" si="366"/>
        <v>-98375.441585370514</v>
      </c>
      <c r="BX260" s="530">
        <f t="shared" si="366"/>
        <v>-98375.441585370514</v>
      </c>
      <c r="BY260" s="530">
        <f t="shared" si="366"/>
        <v>-98375.441585370514</v>
      </c>
    </row>
    <row r="261" spans="1:77" x14ac:dyDescent="0.3">
      <c r="A261" s="551"/>
      <c r="B261" s="548"/>
      <c r="C261" s="525"/>
      <c r="D261" s="525"/>
      <c r="E261" s="525"/>
      <c r="F261" s="525"/>
      <c r="G261" s="525"/>
      <c r="H261" s="525"/>
      <c r="I261" s="525"/>
      <c r="J261" s="525"/>
      <c r="K261" s="525"/>
      <c r="L261" s="525"/>
      <c r="M261" s="525"/>
      <c r="N261" s="525"/>
      <c r="O261" s="525"/>
      <c r="P261" s="565"/>
      <c r="Q261" s="525"/>
      <c r="R261" s="525"/>
      <c r="S261" s="525"/>
      <c r="T261" s="525"/>
      <c r="U261" s="525"/>
      <c r="V261" s="525"/>
      <c r="W261" s="525"/>
      <c r="X261" s="525"/>
      <c r="Y261" s="525"/>
      <c r="Z261" s="525"/>
      <c r="AA261" s="525"/>
      <c r="AB261" s="525"/>
      <c r="AC261" s="525"/>
      <c r="AD261" s="525"/>
      <c r="AE261" s="525"/>
      <c r="AF261" s="525"/>
      <c r="AG261" s="525"/>
      <c r="AH261" s="525"/>
      <c r="AI261" s="525"/>
      <c r="AJ261" s="525"/>
      <c r="AK261" s="525"/>
      <c r="AL261" s="525"/>
      <c r="AM261" s="525"/>
      <c r="AN261" s="525"/>
      <c r="AO261" s="525"/>
      <c r="AP261" s="525"/>
      <c r="AQ261" s="525"/>
      <c r="AR261" s="525"/>
      <c r="AS261" s="525"/>
      <c r="AT261" s="525"/>
      <c r="AU261" s="525"/>
      <c r="AV261" s="525"/>
      <c r="AW261" s="525"/>
      <c r="AX261" s="525"/>
      <c r="AY261" s="525"/>
      <c r="AZ261" s="525"/>
      <c r="BA261" s="525"/>
      <c r="BB261" s="525"/>
      <c r="BC261" s="525"/>
      <c r="BD261" s="525"/>
      <c r="BE261" s="525"/>
      <c r="BF261" s="525"/>
      <c r="BG261" s="525"/>
      <c r="BH261" s="525"/>
      <c r="BI261" s="525"/>
      <c r="BJ261" s="525"/>
      <c r="BK261" s="525"/>
      <c r="BL261" s="525"/>
      <c r="BM261" s="525"/>
      <c r="BN261" s="525"/>
      <c r="BO261" s="525"/>
      <c r="BP261" s="525"/>
      <c r="BQ261" s="525"/>
      <c r="BR261" s="525"/>
      <c r="BS261" s="525"/>
      <c r="BT261" s="525"/>
      <c r="BU261" s="525"/>
      <c r="BV261" s="525"/>
      <c r="BW261" s="525"/>
      <c r="BX261" s="525"/>
      <c r="BY261" s="525"/>
    </row>
    <row r="262" spans="1:77" x14ac:dyDescent="0.3">
      <c r="A262" s="551"/>
      <c r="B262" s="548"/>
      <c r="C262" s="525"/>
      <c r="D262" s="525"/>
      <c r="E262" s="622" t="str">
        <f>"BCF dist &amp; disp: "&amp;E$155</f>
        <v>BCF dist &amp; disp: FY27 Tranche</v>
      </c>
      <c r="F262" s="525"/>
      <c r="G262" s="525"/>
      <c r="H262" s="525"/>
      <c r="I262" s="525"/>
      <c r="J262" s="525"/>
      <c r="K262" s="525"/>
      <c r="L262" s="525"/>
      <c r="M262" s="525"/>
      <c r="N262" s="525"/>
      <c r="O262" s="525"/>
      <c r="P262" s="565"/>
      <c r="Q262" s="525"/>
      <c r="R262" s="527">
        <f t="shared" ref="R262:AW262" si="367">(R238-R246)*R$229</f>
        <v>-2207.3882658150505</v>
      </c>
      <c r="S262" s="527">
        <f t="shared" si="367"/>
        <v>-2207.3882658150505</v>
      </c>
      <c r="T262" s="527">
        <f t="shared" si="367"/>
        <v>-2207.3882658150505</v>
      </c>
      <c r="U262" s="527">
        <f t="shared" si="367"/>
        <v>-2207.3882658150505</v>
      </c>
      <c r="V262" s="527">
        <f t="shared" si="367"/>
        <v>-2207.3882658150505</v>
      </c>
      <c r="W262" s="527">
        <f t="shared" si="367"/>
        <v>-2207.3882658150505</v>
      </c>
      <c r="X262" s="527">
        <f t="shared" si="367"/>
        <v>-2676.0063886770145</v>
      </c>
      <c r="Y262" s="527">
        <f t="shared" si="367"/>
        <v>-2676.0063886770145</v>
      </c>
      <c r="Z262" s="527">
        <f t="shared" si="367"/>
        <v>-2676.0063886770145</v>
      </c>
      <c r="AA262" s="527">
        <f t="shared" si="367"/>
        <v>-2676.0063886770145</v>
      </c>
      <c r="AB262" s="527">
        <f t="shared" si="367"/>
        <v>-2676.0063886770145</v>
      </c>
      <c r="AC262" s="527">
        <f t="shared" si="367"/>
        <v>-2676.0063886770145</v>
      </c>
      <c r="AD262" s="527">
        <f t="shared" si="367"/>
        <v>-2605.7426458330647</v>
      </c>
      <c r="AE262" s="527">
        <f t="shared" si="367"/>
        <v>-2605.7426458330647</v>
      </c>
      <c r="AF262" s="527">
        <f t="shared" si="367"/>
        <v>-2605.7426458330647</v>
      </c>
      <c r="AG262" s="527">
        <f t="shared" si="367"/>
        <v>-2605.7426458330647</v>
      </c>
      <c r="AH262" s="527">
        <f t="shared" si="367"/>
        <v>-2605.7426458330647</v>
      </c>
      <c r="AI262" s="527">
        <f t="shared" si="367"/>
        <v>-2605.7426458330647</v>
      </c>
      <c r="AJ262" s="527">
        <f t="shared" si="367"/>
        <v>-2724.6563008379799</v>
      </c>
      <c r="AK262" s="527">
        <f t="shared" si="367"/>
        <v>-2724.6563008379799</v>
      </c>
      <c r="AL262" s="527">
        <f t="shared" si="367"/>
        <v>-2724.6563008379799</v>
      </c>
      <c r="AM262" s="527">
        <f t="shared" si="367"/>
        <v>-2724.6563008379799</v>
      </c>
      <c r="AN262" s="527">
        <f t="shared" si="367"/>
        <v>-2724.6563008379799</v>
      </c>
      <c r="AO262" s="527">
        <f t="shared" si="367"/>
        <v>-2724.6563008379799</v>
      </c>
      <c r="AP262" s="527">
        <f t="shared" si="367"/>
        <v>-2660.251467280701</v>
      </c>
      <c r="AQ262" s="527">
        <f t="shared" si="367"/>
        <v>-2660.251467280701</v>
      </c>
      <c r="AR262" s="527">
        <f t="shared" si="367"/>
        <v>-2660.251467280701</v>
      </c>
      <c r="AS262" s="527">
        <f t="shared" si="367"/>
        <v>-2660.251467280701</v>
      </c>
      <c r="AT262" s="527">
        <f t="shared" si="367"/>
        <v>-2660.251467280701</v>
      </c>
      <c r="AU262" s="527">
        <f t="shared" si="367"/>
        <v>-2660.251467280701</v>
      </c>
      <c r="AV262" s="527">
        <f t="shared" si="367"/>
        <v>-2780.3056599418915</v>
      </c>
      <c r="AW262" s="527">
        <f t="shared" si="367"/>
        <v>-2780.3056599418915</v>
      </c>
      <c r="AX262" s="527">
        <f t="shared" ref="AX262:BY262" si="368">(AX238-AX246)*AX$229</f>
        <v>-2780.3056599418915</v>
      </c>
      <c r="AY262" s="527">
        <f t="shared" si="368"/>
        <v>-2780.3056599418915</v>
      </c>
      <c r="AZ262" s="527">
        <f t="shared" si="368"/>
        <v>-2780.3056599418915</v>
      </c>
      <c r="BA262" s="527">
        <f t="shared" si="368"/>
        <v>-2780.3056599418915</v>
      </c>
      <c r="BB262" s="527">
        <f t="shared" si="368"/>
        <v>-2725.640802279554</v>
      </c>
      <c r="BC262" s="527">
        <f t="shared" si="368"/>
        <v>-2725.640802279554</v>
      </c>
      <c r="BD262" s="527">
        <f t="shared" si="368"/>
        <v>-2725.640802279554</v>
      </c>
      <c r="BE262" s="527">
        <f t="shared" si="368"/>
        <v>-2725.640802279554</v>
      </c>
      <c r="BF262" s="527">
        <f t="shared" si="368"/>
        <v>-2725.640802279554</v>
      </c>
      <c r="BG262" s="527">
        <f t="shared" si="368"/>
        <v>-2725.640802279554</v>
      </c>
      <c r="BH262" s="527">
        <f t="shared" si="368"/>
        <v>-2847.1847449446977</v>
      </c>
      <c r="BI262" s="527">
        <f t="shared" si="368"/>
        <v>-2847.1847449446977</v>
      </c>
      <c r="BJ262" s="527">
        <f t="shared" si="368"/>
        <v>-2847.1847449446977</v>
      </c>
      <c r="BK262" s="527">
        <f t="shared" si="368"/>
        <v>-2847.1847449446977</v>
      </c>
      <c r="BL262" s="527">
        <f t="shared" si="368"/>
        <v>-2847.1847449446977</v>
      </c>
      <c r="BM262" s="527">
        <f t="shared" si="368"/>
        <v>-2847.1847449446977</v>
      </c>
      <c r="BN262" s="527">
        <f t="shared" si="368"/>
        <v>-2795.9244229912124</v>
      </c>
      <c r="BO262" s="527">
        <f t="shared" si="368"/>
        <v>-2795.9244229912124</v>
      </c>
      <c r="BP262" s="527">
        <f t="shared" si="368"/>
        <v>-2795.9244229912124</v>
      </c>
      <c r="BQ262" s="527">
        <f t="shared" si="368"/>
        <v>-2795.9244229912124</v>
      </c>
      <c r="BR262" s="527">
        <f t="shared" si="368"/>
        <v>-2795.9244229912124</v>
      </c>
      <c r="BS262" s="527">
        <f t="shared" si="368"/>
        <v>-2795.9244229912124</v>
      </c>
      <c r="BT262" s="527">
        <f t="shared" si="368"/>
        <v>-2919.0331949575666</v>
      </c>
      <c r="BU262" s="527">
        <f t="shared" si="368"/>
        <v>-2919.0331949575666</v>
      </c>
      <c r="BV262" s="527">
        <f t="shared" si="368"/>
        <v>-2919.0331949575666</v>
      </c>
      <c r="BW262" s="527">
        <f t="shared" si="368"/>
        <v>-2919.0331949575666</v>
      </c>
      <c r="BX262" s="527">
        <f t="shared" si="368"/>
        <v>-2919.0331949575666</v>
      </c>
      <c r="BY262" s="527">
        <f t="shared" si="368"/>
        <v>-2919.0331949575666</v>
      </c>
    </row>
    <row r="263" spans="1:77" x14ac:dyDescent="0.3">
      <c r="A263" s="551"/>
      <c r="B263" s="548"/>
      <c r="C263" s="525"/>
      <c r="D263" s="525"/>
      <c r="E263" s="622" t="str">
        <f>"BCF dist &amp; disp: "&amp;E$156</f>
        <v>BCF dist &amp; disp: FY28 Tranche</v>
      </c>
      <c r="F263" s="525"/>
      <c r="G263" s="525"/>
      <c r="H263" s="525"/>
      <c r="I263" s="525"/>
      <c r="J263" s="525"/>
      <c r="K263" s="525"/>
      <c r="L263" s="525"/>
      <c r="M263" s="525"/>
      <c r="N263" s="525"/>
      <c r="O263" s="525"/>
      <c r="P263" s="565"/>
      <c r="Q263" s="525"/>
      <c r="R263" s="527">
        <f t="shared" ref="R263:AW263" si="369">(R239-R247)*R$229</f>
        <v>-2207.3882658150505</v>
      </c>
      <c r="S263" s="527">
        <f t="shared" si="369"/>
        <v>-2207.3882658150505</v>
      </c>
      <c r="T263" s="527">
        <f t="shared" si="369"/>
        <v>-2207.3882658150505</v>
      </c>
      <c r="U263" s="527">
        <f t="shared" si="369"/>
        <v>-2207.3882658150505</v>
      </c>
      <c r="V263" s="527">
        <f t="shared" si="369"/>
        <v>-2207.3882658150505</v>
      </c>
      <c r="W263" s="527">
        <f t="shared" si="369"/>
        <v>-2207.3882658150505</v>
      </c>
      <c r="X263" s="527">
        <f t="shared" si="369"/>
        <v>-2207.3882658150505</v>
      </c>
      <c r="Y263" s="527">
        <f t="shared" si="369"/>
        <v>-2207.3882658150505</v>
      </c>
      <c r="Z263" s="527">
        <f t="shared" si="369"/>
        <v>-2207.3882658150505</v>
      </c>
      <c r="AA263" s="527">
        <f t="shared" si="369"/>
        <v>-2207.3882658150505</v>
      </c>
      <c r="AB263" s="527">
        <f t="shared" si="369"/>
        <v>-2207.3882658150505</v>
      </c>
      <c r="AC263" s="527">
        <f t="shared" si="369"/>
        <v>-2207.3882658150505</v>
      </c>
      <c r="AD263" s="527">
        <f t="shared" si="369"/>
        <v>-2251.536031131352</v>
      </c>
      <c r="AE263" s="527">
        <f t="shared" si="369"/>
        <v>-2251.536031131352</v>
      </c>
      <c r="AF263" s="527">
        <f t="shared" si="369"/>
        <v>-2251.536031131352</v>
      </c>
      <c r="AG263" s="527">
        <f t="shared" si="369"/>
        <v>-2251.536031131352</v>
      </c>
      <c r="AH263" s="527">
        <f t="shared" si="369"/>
        <v>-2251.536031131352</v>
      </c>
      <c r="AI263" s="527">
        <f t="shared" si="369"/>
        <v>-2251.536031131352</v>
      </c>
      <c r="AJ263" s="527">
        <f t="shared" si="369"/>
        <v>-2716.145516671028</v>
      </c>
      <c r="AK263" s="527">
        <f t="shared" si="369"/>
        <v>-2716.145516671028</v>
      </c>
      <c r="AL263" s="527">
        <f t="shared" si="369"/>
        <v>-2716.145516671028</v>
      </c>
      <c r="AM263" s="527">
        <f t="shared" si="369"/>
        <v>-2716.145516671028</v>
      </c>
      <c r="AN263" s="527">
        <f t="shared" si="369"/>
        <v>-2716.145516671028</v>
      </c>
      <c r="AO263" s="527">
        <f t="shared" si="369"/>
        <v>-2716.145516671028</v>
      </c>
      <c r="AP263" s="527">
        <f t="shared" si="369"/>
        <v>-2651.9895310008164</v>
      </c>
      <c r="AQ263" s="527">
        <f t="shared" si="369"/>
        <v>-2651.9895310008164</v>
      </c>
      <c r="AR263" s="527">
        <f t="shared" si="369"/>
        <v>-2651.9895310008164</v>
      </c>
      <c r="AS263" s="527">
        <f t="shared" si="369"/>
        <v>-2651.9895310008164</v>
      </c>
      <c r="AT263" s="527">
        <f t="shared" si="369"/>
        <v>-2651.9895310008164</v>
      </c>
      <c r="AU263" s="527">
        <f t="shared" si="369"/>
        <v>-2651.9895310008164</v>
      </c>
      <c r="AV263" s="527">
        <f t="shared" si="369"/>
        <v>-2771.7132462108116</v>
      </c>
      <c r="AW263" s="527">
        <f t="shared" si="369"/>
        <v>-2771.7132462108116</v>
      </c>
      <c r="AX263" s="527">
        <f t="shared" ref="AX263:BY263" si="370">(AX239-AX247)*AX$229</f>
        <v>-2771.7132462108116</v>
      </c>
      <c r="AY263" s="527">
        <f t="shared" si="370"/>
        <v>-2771.7132462108116</v>
      </c>
      <c r="AZ263" s="527">
        <f t="shared" si="370"/>
        <v>-2771.7132462108116</v>
      </c>
      <c r="BA263" s="527">
        <f t="shared" si="370"/>
        <v>-2771.7132462108116</v>
      </c>
      <c r="BB263" s="527">
        <f t="shared" si="370"/>
        <v>-2717.2763438025449</v>
      </c>
      <c r="BC263" s="527">
        <f t="shared" si="370"/>
        <v>-2717.2763438025449</v>
      </c>
      <c r="BD263" s="527">
        <f t="shared" si="370"/>
        <v>-2717.2763438025449</v>
      </c>
      <c r="BE263" s="527">
        <f t="shared" si="370"/>
        <v>-2717.2763438025449</v>
      </c>
      <c r="BF263" s="527">
        <f t="shared" si="370"/>
        <v>-2717.2763438025449</v>
      </c>
      <c r="BG263" s="527">
        <f t="shared" si="370"/>
        <v>-2717.2763438025449</v>
      </c>
      <c r="BH263" s="527">
        <f t="shared" si="370"/>
        <v>-2838.4857081286082</v>
      </c>
      <c r="BI263" s="527">
        <f t="shared" si="370"/>
        <v>-2838.4857081286082</v>
      </c>
      <c r="BJ263" s="527">
        <f t="shared" si="370"/>
        <v>-2838.4857081286082</v>
      </c>
      <c r="BK263" s="527">
        <f t="shared" si="370"/>
        <v>-2838.4857081286082</v>
      </c>
      <c r="BL263" s="527">
        <f t="shared" si="370"/>
        <v>-2838.4857081286082</v>
      </c>
      <c r="BM263" s="527">
        <f t="shared" si="370"/>
        <v>-2838.4857081286082</v>
      </c>
      <c r="BN263" s="527">
        <f t="shared" si="370"/>
        <v>-2787.4522754807026</v>
      </c>
      <c r="BO263" s="527">
        <f t="shared" si="370"/>
        <v>-2787.4522754807026</v>
      </c>
      <c r="BP263" s="527">
        <f t="shared" si="370"/>
        <v>-2787.4522754807026</v>
      </c>
      <c r="BQ263" s="527">
        <f t="shared" si="370"/>
        <v>-2787.4522754807026</v>
      </c>
      <c r="BR263" s="527">
        <f t="shared" si="370"/>
        <v>-2787.4522754807026</v>
      </c>
      <c r="BS263" s="527">
        <f t="shared" si="370"/>
        <v>-2787.4522754807026</v>
      </c>
      <c r="BT263" s="527">
        <f t="shared" si="370"/>
        <v>-2910.2221615466356</v>
      </c>
      <c r="BU263" s="527">
        <f t="shared" si="370"/>
        <v>-2910.2221615466356</v>
      </c>
      <c r="BV263" s="527">
        <f t="shared" si="370"/>
        <v>-2910.2221615466356</v>
      </c>
      <c r="BW263" s="527">
        <f t="shared" si="370"/>
        <v>-2910.2221615466356</v>
      </c>
      <c r="BX263" s="527">
        <f t="shared" si="370"/>
        <v>-2910.2221615466356</v>
      </c>
      <c r="BY263" s="527">
        <f t="shared" si="370"/>
        <v>-2910.2221615466356</v>
      </c>
    </row>
    <row r="264" spans="1:77" x14ac:dyDescent="0.3">
      <c r="A264" s="551"/>
      <c r="B264" s="548"/>
      <c r="C264" s="525"/>
      <c r="D264" s="525"/>
      <c r="E264" s="622" t="str">
        <f>"BCF dist &amp; disp: "&amp;E$157</f>
        <v>BCF dist &amp; disp: FY29 Tranche</v>
      </c>
      <c r="F264" s="525"/>
      <c r="G264" s="525"/>
      <c r="H264" s="525"/>
      <c r="I264" s="525"/>
      <c r="J264" s="525"/>
      <c r="K264" s="525"/>
      <c r="L264" s="525"/>
      <c r="M264" s="525"/>
      <c r="N264" s="525"/>
      <c r="O264" s="525"/>
      <c r="P264" s="565"/>
      <c r="Q264" s="525"/>
      <c r="R264" s="527">
        <f t="shared" ref="R264:AW264" si="371">(R240-R248)*R$229</f>
        <v>-2207.3882658150505</v>
      </c>
      <c r="S264" s="527">
        <f t="shared" si="371"/>
        <v>-2207.3882658150505</v>
      </c>
      <c r="T264" s="527">
        <f t="shared" si="371"/>
        <v>-2207.3882658150505</v>
      </c>
      <c r="U264" s="527">
        <f t="shared" si="371"/>
        <v>-2207.3882658150505</v>
      </c>
      <c r="V264" s="527">
        <f t="shared" si="371"/>
        <v>-2207.3882658150505</v>
      </c>
      <c r="W264" s="527">
        <f t="shared" si="371"/>
        <v>-2207.3882658150505</v>
      </c>
      <c r="X264" s="527">
        <f t="shared" si="371"/>
        <v>-2207.3882658150505</v>
      </c>
      <c r="Y264" s="527">
        <f t="shared" si="371"/>
        <v>-2207.3882658150505</v>
      </c>
      <c r="Z264" s="527">
        <f t="shared" si="371"/>
        <v>-2207.3882658150505</v>
      </c>
      <c r="AA264" s="527">
        <f t="shared" si="371"/>
        <v>-2207.3882658150505</v>
      </c>
      <c r="AB264" s="527">
        <f t="shared" si="371"/>
        <v>-2207.3882658150505</v>
      </c>
      <c r="AC264" s="527">
        <f t="shared" si="371"/>
        <v>-2207.3882658150505</v>
      </c>
      <c r="AD264" s="527">
        <f t="shared" si="371"/>
        <v>-2251.536031131352</v>
      </c>
      <c r="AE264" s="527">
        <f t="shared" si="371"/>
        <v>-2251.536031131352</v>
      </c>
      <c r="AF264" s="527">
        <f t="shared" si="371"/>
        <v>-2251.536031131352</v>
      </c>
      <c r="AG264" s="527">
        <f t="shared" si="371"/>
        <v>-2251.536031131352</v>
      </c>
      <c r="AH264" s="527">
        <f t="shared" si="371"/>
        <v>-2251.536031131352</v>
      </c>
      <c r="AI264" s="527">
        <f t="shared" si="371"/>
        <v>-2251.536031131352</v>
      </c>
      <c r="AJ264" s="527">
        <f t="shared" si="371"/>
        <v>-2251.536031131352</v>
      </c>
      <c r="AK264" s="527">
        <f t="shared" si="371"/>
        <v>-2251.536031131352</v>
      </c>
      <c r="AL264" s="527">
        <f t="shared" si="371"/>
        <v>-2251.536031131352</v>
      </c>
      <c r="AM264" s="527">
        <f t="shared" si="371"/>
        <v>-2251.536031131352</v>
      </c>
      <c r="AN264" s="527">
        <f t="shared" si="371"/>
        <v>-2251.536031131352</v>
      </c>
      <c r="AO264" s="527">
        <f t="shared" si="371"/>
        <v>-2251.536031131352</v>
      </c>
      <c r="AP264" s="527">
        <f t="shared" si="371"/>
        <v>-2296.5667517539791</v>
      </c>
      <c r="AQ264" s="527">
        <f t="shared" si="371"/>
        <v>-2296.5667517539791</v>
      </c>
      <c r="AR264" s="527">
        <f t="shared" si="371"/>
        <v>-2296.5667517539791</v>
      </c>
      <c r="AS264" s="527">
        <f t="shared" si="371"/>
        <v>-2296.5667517539791</v>
      </c>
      <c r="AT264" s="527">
        <f t="shared" si="371"/>
        <v>-2296.5667517539791</v>
      </c>
      <c r="AU264" s="527">
        <f t="shared" si="371"/>
        <v>-2296.5667517539791</v>
      </c>
      <c r="AV264" s="527">
        <f t="shared" si="371"/>
        <v>-2757.7189597148704</v>
      </c>
      <c r="AW264" s="527">
        <f t="shared" si="371"/>
        <v>-2757.7189597148704</v>
      </c>
      <c r="AX264" s="527">
        <f t="shared" ref="AX264:BY264" si="372">(AX240-AX248)*AX$229</f>
        <v>-2757.7189597148704</v>
      </c>
      <c r="AY264" s="527">
        <f t="shared" si="372"/>
        <v>-2757.7189597148704</v>
      </c>
      <c r="AZ264" s="527">
        <f t="shared" si="372"/>
        <v>-2757.7189597148704</v>
      </c>
      <c r="BA264" s="527">
        <f t="shared" si="372"/>
        <v>-2757.7189597148704</v>
      </c>
      <c r="BB264" s="527">
        <f t="shared" si="372"/>
        <v>-2703.6533233132895</v>
      </c>
      <c r="BC264" s="527">
        <f t="shared" si="372"/>
        <v>-2703.6533233132895</v>
      </c>
      <c r="BD264" s="527">
        <f t="shared" si="372"/>
        <v>-2703.6533233132895</v>
      </c>
      <c r="BE264" s="527">
        <f t="shared" si="372"/>
        <v>-2703.6533233132895</v>
      </c>
      <c r="BF264" s="527">
        <f t="shared" si="372"/>
        <v>-2703.6533233132895</v>
      </c>
      <c r="BG264" s="527">
        <f t="shared" si="372"/>
        <v>-2703.6533233132895</v>
      </c>
      <c r="BH264" s="527">
        <f t="shared" si="372"/>
        <v>-2824.3177668197823</v>
      </c>
      <c r="BI264" s="527">
        <f t="shared" si="372"/>
        <v>-2824.3177668197823</v>
      </c>
      <c r="BJ264" s="527">
        <f t="shared" si="372"/>
        <v>-2824.3177668197823</v>
      </c>
      <c r="BK264" s="527">
        <f t="shared" si="372"/>
        <v>-2824.3177668197823</v>
      </c>
      <c r="BL264" s="527">
        <f t="shared" si="372"/>
        <v>-2824.3177668197823</v>
      </c>
      <c r="BM264" s="527">
        <f t="shared" si="372"/>
        <v>-2824.3177668197823</v>
      </c>
      <c r="BN264" s="527">
        <f t="shared" si="372"/>
        <v>-2773.6538640903027</v>
      </c>
      <c r="BO264" s="527">
        <f t="shared" si="372"/>
        <v>-2773.6538640903027</v>
      </c>
      <c r="BP264" s="527">
        <f t="shared" si="372"/>
        <v>-2773.6538640903027</v>
      </c>
      <c r="BQ264" s="527">
        <f t="shared" si="372"/>
        <v>-2773.6538640903027</v>
      </c>
      <c r="BR264" s="527">
        <f t="shared" si="372"/>
        <v>-2773.6538640903027</v>
      </c>
      <c r="BS264" s="527">
        <f t="shared" si="372"/>
        <v>-2773.6538640903027</v>
      </c>
      <c r="BT264" s="527">
        <f t="shared" si="372"/>
        <v>-2895.8718137006204</v>
      </c>
      <c r="BU264" s="527">
        <f t="shared" si="372"/>
        <v>-2895.8718137006204</v>
      </c>
      <c r="BV264" s="527">
        <f t="shared" si="372"/>
        <v>-2895.8718137006204</v>
      </c>
      <c r="BW264" s="527">
        <f t="shared" si="372"/>
        <v>-2895.8718137006204</v>
      </c>
      <c r="BX264" s="527">
        <f t="shared" si="372"/>
        <v>-2895.8718137006204</v>
      </c>
      <c r="BY264" s="527">
        <f t="shared" si="372"/>
        <v>-2895.8718137006204</v>
      </c>
    </row>
    <row r="265" spans="1:77" x14ac:dyDescent="0.3">
      <c r="A265" s="551"/>
      <c r="B265" s="548"/>
      <c r="C265" s="525"/>
      <c r="D265" s="525"/>
      <c r="E265" s="622" t="str">
        <f>"BCF dist &amp; disp: "&amp;E$158</f>
        <v>BCF dist &amp; disp: FY30 Tranche</v>
      </c>
      <c r="F265" s="525"/>
      <c r="G265" s="525"/>
      <c r="H265" s="525"/>
      <c r="I265" s="525"/>
      <c r="J265" s="525"/>
      <c r="K265" s="525"/>
      <c r="L265" s="525"/>
      <c r="M265" s="525"/>
      <c r="N265" s="525"/>
      <c r="O265" s="525"/>
      <c r="P265" s="565"/>
      <c r="Q265" s="525"/>
      <c r="R265" s="527">
        <f t="shared" ref="R265:AW265" si="373">(R241-R249)*R$229</f>
        <v>-2207.3882658150505</v>
      </c>
      <c r="S265" s="527">
        <f t="shared" si="373"/>
        <v>-2207.3882658150505</v>
      </c>
      <c r="T265" s="527">
        <f t="shared" si="373"/>
        <v>-2207.3882658150505</v>
      </c>
      <c r="U265" s="527">
        <f t="shared" si="373"/>
        <v>-2207.3882658150505</v>
      </c>
      <c r="V265" s="527">
        <f t="shared" si="373"/>
        <v>-2207.3882658150505</v>
      </c>
      <c r="W265" s="527">
        <f t="shared" si="373"/>
        <v>-2207.3882658150505</v>
      </c>
      <c r="X265" s="527">
        <f t="shared" si="373"/>
        <v>-2207.3882658150505</v>
      </c>
      <c r="Y265" s="527">
        <f t="shared" si="373"/>
        <v>-2207.3882658150505</v>
      </c>
      <c r="Z265" s="527">
        <f t="shared" si="373"/>
        <v>-2207.3882658150505</v>
      </c>
      <c r="AA265" s="527">
        <f t="shared" si="373"/>
        <v>-2207.3882658150505</v>
      </c>
      <c r="AB265" s="527">
        <f t="shared" si="373"/>
        <v>-2207.3882658150505</v>
      </c>
      <c r="AC265" s="527">
        <f t="shared" si="373"/>
        <v>-2207.3882658150505</v>
      </c>
      <c r="AD265" s="527">
        <f t="shared" si="373"/>
        <v>-2251.536031131352</v>
      </c>
      <c r="AE265" s="527">
        <f t="shared" si="373"/>
        <v>-2251.536031131352</v>
      </c>
      <c r="AF265" s="527">
        <f t="shared" si="373"/>
        <v>-2251.536031131352</v>
      </c>
      <c r="AG265" s="527">
        <f t="shared" si="373"/>
        <v>-2251.536031131352</v>
      </c>
      <c r="AH265" s="527">
        <f t="shared" si="373"/>
        <v>-2251.536031131352</v>
      </c>
      <c r="AI265" s="527">
        <f t="shared" si="373"/>
        <v>-2251.536031131352</v>
      </c>
      <c r="AJ265" s="527">
        <f t="shared" si="373"/>
        <v>-2251.536031131352</v>
      </c>
      <c r="AK265" s="527">
        <f t="shared" si="373"/>
        <v>-2251.536031131352</v>
      </c>
      <c r="AL265" s="527">
        <f t="shared" si="373"/>
        <v>-2251.536031131352</v>
      </c>
      <c r="AM265" s="527">
        <f t="shared" si="373"/>
        <v>-2251.536031131352</v>
      </c>
      <c r="AN265" s="527">
        <f t="shared" si="373"/>
        <v>-2251.536031131352</v>
      </c>
      <c r="AO265" s="527">
        <f t="shared" si="373"/>
        <v>-2251.536031131352</v>
      </c>
      <c r="AP265" s="527">
        <f t="shared" si="373"/>
        <v>-2296.5667517539791</v>
      </c>
      <c r="AQ265" s="527">
        <f t="shared" si="373"/>
        <v>-2296.5667517539791</v>
      </c>
      <c r="AR265" s="527">
        <f t="shared" si="373"/>
        <v>-2296.5667517539791</v>
      </c>
      <c r="AS265" s="527">
        <f t="shared" si="373"/>
        <v>-2296.5667517539791</v>
      </c>
      <c r="AT265" s="527">
        <f t="shared" si="373"/>
        <v>-2296.5667517539791</v>
      </c>
      <c r="AU265" s="527">
        <f t="shared" si="373"/>
        <v>-2296.5667517539791</v>
      </c>
      <c r="AV265" s="527">
        <f t="shared" si="373"/>
        <v>-2296.5667517539791</v>
      </c>
      <c r="AW265" s="527">
        <f t="shared" si="373"/>
        <v>-2296.5667517539791</v>
      </c>
      <c r="AX265" s="527">
        <f t="shared" ref="AX265:BY265" si="374">(AX241-AX249)*AX$229</f>
        <v>-2296.5667517539791</v>
      </c>
      <c r="AY265" s="527">
        <f t="shared" si="374"/>
        <v>-2296.5667517539791</v>
      </c>
      <c r="AZ265" s="527">
        <f t="shared" si="374"/>
        <v>-2296.5667517539791</v>
      </c>
      <c r="BA265" s="527">
        <f t="shared" si="374"/>
        <v>-2296.5667517539791</v>
      </c>
      <c r="BB265" s="527">
        <f t="shared" si="374"/>
        <v>-2342.498086789059</v>
      </c>
      <c r="BC265" s="527">
        <f t="shared" si="374"/>
        <v>-2342.498086789059</v>
      </c>
      <c r="BD265" s="527">
        <f t="shared" si="374"/>
        <v>-2342.498086789059</v>
      </c>
      <c r="BE265" s="527">
        <f t="shared" si="374"/>
        <v>-2342.498086789059</v>
      </c>
      <c r="BF265" s="527">
        <f t="shared" si="374"/>
        <v>-2342.498086789059</v>
      </c>
      <c r="BG265" s="527">
        <f t="shared" si="374"/>
        <v>-2342.498086789059</v>
      </c>
      <c r="BH265" s="527">
        <f t="shared" si="374"/>
        <v>-2800.6985643062708</v>
      </c>
      <c r="BI265" s="527">
        <f t="shared" si="374"/>
        <v>-2800.6985643062708</v>
      </c>
      <c r="BJ265" s="527">
        <f t="shared" si="374"/>
        <v>-2800.6985643062708</v>
      </c>
      <c r="BK265" s="527">
        <f t="shared" si="374"/>
        <v>-2800.6985643062708</v>
      </c>
      <c r="BL265" s="527">
        <f t="shared" si="374"/>
        <v>-2800.6985643062708</v>
      </c>
      <c r="BM265" s="527">
        <f t="shared" si="374"/>
        <v>-2800.6985643062708</v>
      </c>
      <c r="BN265" s="527">
        <f t="shared" si="374"/>
        <v>-2750.6507004061359</v>
      </c>
      <c r="BO265" s="527">
        <f t="shared" si="374"/>
        <v>-2750.6507004061359</v>
      </c>
      <c r="BP265" s="527">
        <f t="shared" si="374"/>
        <v>-2750.6507004061359</v>
      </c>
      <c r="BQ265" s="527">
        <f t="shared" si="374"/>
        <v>-2750.6507004061359</v>
      </c>
      <c r="BR265" s="527">
        <f t="shared" si="374"/>
        <v>-2750.6507004061359</v>
      </c>
      <c r="BS265" s="527">
        <f t="shared" si="374"/>
        <v>-2750.6507004061359</v>
      </c>
      <c r="BT265" s="527">
        <f t="shared" si="374"/>
        <v>-2871.9485234690869</v>
      </c>
      <c r="BU265" s="527">
        <f t="shared" si="374"/>
        <v>-2871.9485234690869</v>
      </c>
      <c r="BV265" s="527">
        <f t="shared" si="374"/>
        <v>-2871.9485234690869</v>
      </c>
      <c r="BW265" s="527">
        <f t="shared" si="374"/>
        <v>-2871.9485234690869</v>
      </c>
      <c r="BX265" s="527">
        <f t="shared" si="374"/>
        <v>-2871.9485234690869</v>
      </c>
      <c r="BY265" s="527">
        <f t="shared" si="374"/>
        <v>-2871.9485234690869</v>
      </c>
    </row>
    <row r="266" spans="1:77" x14ac:dyDescent="0.3">
      <c r="A266" s="551"/>
      <c r="B266" s="548"/>
      <c r="C266" s="525"/>
      <c r="D266" s="525"/>
      <c r="E266" s="622" t="str">
        <f>"BCF dist &amp; disp: "&amp;E$159</f>
        <v>BCF dist &amp; disp: FY31 Tranche</v>
      </c>
      <c r="F266" s="525"/>
      <c r="G266" s="525"/>
      <c r="H266" s="525"/>
      <c r="I266" s="525"/>
      <c r="J266" s="525"/>
      <c r="K266" s="525"/>
      <c r="L266" s="525"/>
      <c r="M266" s="525"/>
      <c r="N266" s="525"/>
      <c r="O266" s="525"/>
      <c r="P266" s="565"/>
      <c r="Q266" s="525"/>
      <c r="R266" s="527">
        <f t="shared" ref="R266:AW266" si="375">(R242-R250)*R$229</f>
        <v>-2207.3882658150505</v>
      </c>
      <c r="S266" s="527">
        <f t="shared" si="375"/>
        <v>-2207.3882658150505</v>
      </c>
      <c r="T266" s="527">
        <f t="shared" si="375"/>
        <v>-2207.3882658150505</v>
      </c>
      <c r="U266" s="527">
        <f t="shared" si="375"/>
        <v>-2207.3882658150505</v>
      </c>
      <c r="V266" s="527">
        <f t="shared" si="375"/>
        <v>-2207.3882658150505</v>
      </c>
      <c r="W266" s="527">
        <f t="shared" si="375"/>
        <v>-2207.3882658150505</v>
      </c>
      <c r="X266" s="527">
        <f t="shared" si="375"/>
        <v>-2207.3882658150505</v>
      </c>
      <c r="Y266" s="527">
        <f t="shared" si="375"/>
        <v>-2207.3882658150505</v>
      </c>
      <c r="Z266" s="527">
        <f t="shared" si="375"/>
        <v>-2207.3882658150505</v>
      </c>
      <c r="AA266" s="527">
        <f t="shared" si="375"/>
        <v>-2207.3882658150505</v>
      </c>
      <c r="AB266" s="527">
        <f t="shared" si="375"/>
        <v>-2207.3882658150505</v>
      </c>
      <c r="AC266" s="527">
        <f t="shared" si="375"/>
        <v>-2207.3882658150505</v>
      </c>
      <c r="AD266" s="527">
        <f t="shared" si="375"/>
        <v>-2251.536031131352</v>
      </c>
      <c r="AE266" s="527">
        <f t="shared" si="375"/>
        <v>-2251.536031131352</v>
      </c>
      <c r="AF266" s="527">
        <f t="shared" si="375"/>
        <v>-2251.536031131352</v>
      </c>
      <c r="AG266" s="527">
        <f t="shared" si="375"/>
        <v>-2251.536031131352</v>
      </c>
      <c r="AH266" s="527">
        <f t="shared" si="375"/>
        <v>-2251.536031131352</v>
      </c>
      <c r="AI266" s="527">
        <f t="shared" si="375"/>
        <v>-2251.536031131352</v>
      </c>
      <c r="AJ266" s="527">
        <f t="shared" si="375"/>
        <v>-2251.536031131352</v>
      </c>
      <c r="AK266" s="527">
        <f t="shared" si="375"/>
        <v>-2251.536031131352</v>
      </c>
      <c r="AL266" s="527">
        <f t="shared" si="375"/>
        <v>-2251.536031131352</v>
      </c>
      <c r="AM266" s="527">
        <f t="shared" si="375"/>
        <v>-2251.536031131352</v>
      </c>
      <c r="AN266" s="527">
        <f t="shared" si="375"/>
        <v>-2251.536031131352</v>
      </c>
      <c r="AO266" s="527">
        <f t="shared" si="375"/>
        <v>-2251.536031131352</v>
      </c>
      <c r="AP266" s="527">
        <f t="shared" si="375"/>
        <v>-2296.5667517539791</v>
      </c>
      <c r="AQ266" s="527">
        <f t="shared" si="375"/>
        <v>-2296.5667517539791</v>
      </c>
      <c r="AR266" s="527">
        <f t="shared" si="375"/>
        <v>-2296.5667517539791</v>
      </c>
      <c r="AS266" s="527">
        <f t="shared" si="375"/>
        <v>-2296.5667517539791</v>
      </c>
      <c r="AT266" s="527">
        <f t="shared" si="375"/>
        <v>-2296.5667517539791</v>
      </c>
      <c r="AU266" s="527">
        <f t="shared" si="375"/>
        <v>-2296.5667517539791</v>
      </c>
      <c r="AV266" s="527">
        <f t="shared" si="375"/>
        <v>-2296.5667517539791</v>
      </c>
      <c r="AW266" s="527">
        <f t="shared" si="375"/>
        <v>-2296.5667517539791</v>
      </c>
      <c r="AX266" s="527">
        <f t="shared" ref="AX266:BY266" si="376">(AX242-AX250)*AX$229</f>
        <v>-2296.5667517539791</v>
      </c>
      <c r="AY266" s="527">
        <f t="shared" si="376"/>
        <v>-2296.5667517539791</v>
      </c>
      <c r="AZ266" s="527">
        <f t="shared" si="376"/>
        <v>-2296.5667517539791</v>
      </c>
      <c r="BA266" s="527">
        <f t="shared" si="376"/>
        <v>-2296.5667517539791</v>
      </c>
      <c r="BB266" s="527">
        <f t="shared" si="376"/>
        <v>-2342.498086789059</v>
      </c>
      <c r="BC266" s="527">
        <f t="shared" si="376"/>
        <v>-2342.498086789059</v>
      </c>
      <c r="BD266" s="527">
        <f t="shared" si="376"/>
        <v>-2342.498086789059</v>
      </c>
      <c r="BE266" s="527">
        <f t="shared" si="376"/>
        <v>-2342.498086789059</v>
      </c>
      <c r="BF266" s="527">
        <f t="shared" si="376"/>
        <v>-2342.498086789059</v>
      </c>
      <c r="BG266" s="527">
        <f t="shared" si="376"/>
        <v>-2342.498086789059</v>
      </c>
      <c r="BH266" s="527">
        <f t="shared" si="376"/>
        <v>-2342.498086789059</v>
      </c>
      <c r="BI266" s="527">
        <f t="shared" si="376"/>
        <v>-2342.498086789059</v>
      </c>
      <c r="BJ266" s="527">
        <f t="shared" si="376"/>
        <v>-2342.498086789059</v>
      </c>
      <c r="BK266" s="527">
        <f t="shared" si="376"/>
        <v>-2342.498086789059</v>
      </c>
      <c r="BL266" s="527">
        <f t="shared" si="376"/>
        <v>-2342.498086789059</v>
      </c>
      <c r="BM266" s="527">
        <f t="shared" si="376"/>
        <v>-2342.498086789059</v>
      </c>
      <c r="BN266" s="527">
        <f t="shared" si="376"/>
        <v>-2389.3480485248401</v>
      </c>
      <c r="BO266" s="527">
        <f t="shared" si="376"/>
        <v>-2389.3480485248401</v>
      </c>
      <c r="BP266" s="527">
        <f t="shared" si="376"/>
        <v>-2389.3480485248401</v>
      </c>
      <c r="BQ266" s="527">
        <f t="shared" si="376"/>
        <v>-2389.3480485248401</v>
      </c>
      <c r="BR266" s="527">
        <f t="shared" si="376"/>
        <v>-2389.3480485248401</v>
      </c>
      <c r="BS266" s="527">
        <f t="shared" si="376"/>
        <v>-2389.3480485248401</v>
      </c>
      <c r="BT266" s="527">
        <f t="shared" si="376"/>
        <v>-2844.3066847770524</v>
      </c>
      <c r="BU266" s="527">
        <f t="shared" si="376"/>
        <v>-2844.3066847770524</v>
      </c>
      <c r="BV266" s="527">
        <f t="shared" si="376"/>
        <v>-2844.3066847770524</v>
      </c>
      <c r="BW266" s="527">
        <f t="shared" si="376"/>
        <v>-2844.3066847770524</v>
      </c>
      <c r="BX266" s="527">
        <f t="shared" si="376"/>
        <v>-2844.3066847770524</v>
      </c>
      <c r="BY266" s="527">
        <f t="shared" si="376"/>
        <v>-2844.3066847770524</v>
      </c>
    </row>
    <row r="267" spans="1:77" x14ac:dyDescent="0.3">
      <c r="A267" s="551"/>
      <c r="B267" s="548"/>
      <c r="C267" s="525"/>
      <c r="D267" s="525"/>
      <c r="E267" s="622" t="str">
        <f>"BCF dist &amp; disp: "&amp;E$160</f>
        <v>BCF dist &amp; disp: Uninvested Tranche</v>
      </c>
      <c r="F267" s="525"/>
      <c r="G267" s="525"/>
      <c r="H267" s="525"/>
      <c r="I267" s="525"/>
      <c r="J267" s="525"/>
      <c r="K267" s="525"/>
      <c r="L267" s="525"/>
      <c r="M267" s="525"/>
      <c r="N267" s="525"/>
      <c r="O267" s="525"/>
      <c r="P267" s="565"/>
      <c r="Q267" s="525"/>
      <c r="R267" s="527">
        <f t="shared" ref="R267:AW267" si="377">(R243-R251)*R$229</f>
        <v>-6070.3177309913899</v>
      </c>
      <c r="S267" s="527">
        <f t="shared" si="377"/>
        <v>-6070.3177309913899</v>
      </c>
      <c r="T267" s="527">
        <f t="shared" si="377"/>
        <v>-6070.3177309913899</v>
      </c>
      <c r="U267" s="527">
        <f t="shared" si="377"/>
        <v>-6070.3177309913899</v>
      </c>
      <c r="V267" s="527">
        <f t="shared" si="377"/>
        <v>-6070.3177309913899</v>
      </c>
      <c r="W267" s="527">
        <f t="shared" si="377"/>
        <v>-6070.3177309913899</v>
      </c>
      <c r="X267" s="527">
        <f t="shared" si="377"/>
        <v>-6070.3177309913899</v>
      </c>
      <c r="Y267" s="527">
        <f t="shared" si="377"/>
        <v>-6070.3177309913899</v>
      </c>
      <c r="Z267" s="527">
        <f t="shared" si="377"/>
        <v>-6070.3177309913899</v>
      </c>
      <c r="AA267" s="527">
        <f t="shared" si="377"/>
        <v>-6070.3177309913899</v>
      </c>
      <c r="AB267" s="527">
        <f t="shared" si="377"/>
        <v>-6070.3177309913899</v>
      </c>
      <c r="AC267" s="527">
        <f t="shared" si="377"/>
        <v>-6070.3177309913899</v>
      </c>
      <c r="AD267" s="527">
        <f t="shared" si="377"/>
        <v>-6191.7240856112176</v>
      </c>
      <c r="AE267" s="527">
        <f t="shared" si="377"/>
        <v>-6191.7240856112176</v>
      </c>
      <c r="AF267" s="527">
        <f t="shared" si="377"/>
        <v>-6191.7240856112176</v>
      </c>
      <c r="AG267" s="527">
        <f t="shared" si="377"/>
        <v>-6191.7240856112176</v>
      </c>
      <c r="AH267" s="527">
        <f t="shared" si="377"/>
        <v>-6191.7240856112176</v>
      </c>
      <c r="AI267" s="527">
        <f t="shared" si="377"/>
        <v>-6191.7240856112176</v>
      </c>
      <c r="AJ267" s="527">
        <f t="shared" si="377"/>
        <v>-6191.7240856112176</v>
      </c>
      <c r="AK267" s="527">
        <f t="shared" si="377"/>
        <v>-6191.7240856112176</v>
      </c>
      <c r="AL267" s="527">
        <f t="shared" si="377"/>
        <v>-6191.7240856112176</v>
      </c>
      <c r="AM267" s="527">
        <f t="shared" si="377"/>
        <v>-6191.7240856112176</v>
      </c>
      <c r="AN267" s="527">
        <f t="shared" si="377"/>
        <v>-6191.7240856112176</v>
      </c>
      <c r="AO267" s="527">
        <f t="shared" si="377"/>
        <v>-6191.7240856112176</v>
      </c>
      <c r="AP267" s="527">
        <f t="shared" si="377"/>
        <v>-6315.5585673234427</v>
      </c>
      <c r="AQ267" s="527">
        <f t="shared" si="377"/>
        <v>-6315.5585673234427</v>
      </c>
      <c r="AR267" s="527">
        <f t="shared" si="377"/>
        <v>-6315.5585673234427</v>
      </c>
      <c r="AS267" s="527">
        <f t="shared" si="377"/>
        <v>-6315.5585673234427</v>
      </c>
      <c r="AT267" s="527">
        <f t="shared" si="377"/>
        <v>-6315.5585673234427</v>
      </c>
      <c r="AU267" s="527">
        <f t="shared" si="377"/>
        <v>-6315.5585673234427</v>
      </c>
      <c r="AV267" s="527">
        <f t="shared" si="377"/>
        <v>-6315.5585673234427</v>
      </c>
      <c r="AW267" s="527">
        <f t="shared" si="377"/>
        <v>-6315.5585673234427</v>
      </c>
      <c r="AX267" s="527">
        <f t="shared" ref="AX267:BY267" si="378">(AX243-AX251)*AX$229</f>
        <v>-6315.5585673234427</v>
      </c>
      <c r="AY267" s="527">
        <f t="shared" si="378"/>
        <v>-6315.5585673234427</v>
      </c>
      <c r="AZ267" s="527">
        <f t="shared" si="378"/>
        <v>-6315.5585673234427</v>
      </c>
      <c r="BA267" s="527">
        <f t="shared" si="378"/>
        <v>-6315.5585673234427</v>
      </c>
      <c r="BB267" s="527">
        <f t="shared" si="378"/>
        <v>-6441.8697386699123</v>
      </c>
      <c r="BC267" s="527">
        <f t="shared" si="378"/>
        <v>-6441.8697386699123</v>
      </c>
      <c r="BD267" s="527">
        <f t="shared" si="378"/>
        <v>-6441.8697386699123</v>
      </c>
      <c r="BE267" s="527">
        <f t="shared" si="378"/>
        <v>-6441.8697386699123</v>
      </c>
      <c r="BF267" s="527">
        <f t="shared" si="378"/>
        <v>-6441.8697386699123</v>
      </c>
      <c r="BG267" s="527">
        <f t="shared" si="378"/>
        <v>-6441.8697386699123</v>
      </c>
      <c r="BH267" s="527">
        <f t="shared" si="378"/>
        <v>-6441.8697386699123</v>
      </c>
      <c r="BI267" s="527">
        <f t="shared" si="378"/>
        <v>-6441.8697386699123</v>
      </c>
      <c r="BJ267" s="527">
        <f t="shared" si="378"/>
        <v>-6441.8697386699123</v>
      </c>
      <c r="BK267" s="527">
        <f t="shared" si="378"/>
        <v>-6441.8697386699123</v>
      </c>
      <c r="BL267" s="527">
        <f t="shared" si="378"/>
        <v>-6441.8697386699123</v>
      </c>
      <c r="BM267" s="527">
        <f t="shared" si="378"/>
        <v>-6441.8697386699123</v>
      </c>
      <c r="BN267" s="527">
        <f t="shared" si="378"/>
        <v>-6570.7071334433085</v>
      </c>
      <c r="BO267" s="527">
        <f t="shared" si="378"/>
        <v>-6570.7071334433085</v>
      </c>
      <c r="BP267" s="527">
        <f t="shared" si="378"/>
        <v>-6570.7071334433085</v>
      </c>
      <c r="BQ267" s="527">
        <f t="shared" si="378"/>
        <v>-6570.7071334433085</v>
      </c>
      <c r="BR267" s="527">
        <f t="shared" si="378"/>
        <v>-6570.7071334433085</v>
      </c>
      <c r="BS267" s="527">
        <f t="shared" si="378"/>
        <v>-6570.7071334433085</v>
      </c>
      <c r="BT267" s="527">
        <f t="shared" si="378"/>
        <v>-6570.7071334433085</v>
      </c>
      <c r="BU267" s="527">
        <f t="shared" si="378"/>
        <v>-6570.7071334433085</v>
      </c>
      <c r="BV267" s="527">
        <f t="shared" si="378"/>
        <v>-6570.7071334433085</v>
      </c>
      <c r="BW267" s="527">
        <f t="shared" si="378"/>
        <v>-6570.7071334433085</v>
      </c>
      <c r="BX267" s="527">
        <f t="shared" si="378"/>
        <v>-6570.7071334433085</v>
      </c>
      <c r="BY267" s="527">
        <f t="shared" si="378"/>
        <v>-6570.7071334433085</v>
      </c>
    </row>
    <row r="268" spans="1:77" x14ac:dyDescent="0.3">
      <c r="A268" s="551"/>
      <c r="B268" s="548"/>
      <c r="C268" s="525"/>
      <c r="D268" s="525"/>
      <c r="E268" s="572" t="s">
        <v>36</v>
      </c>
      <c r="F268" s="572"/>
      <c r="G268" s="572"/>
      <c r="H268" s="572"/>
      <c r="I268" s="572"/>
      <c r="J268" s="572"/>
      <c r="K268" s="572"/>
      <c r="L268" s="572"/>
      <c r="M268" s="572"/>
      <c r="N268" s="572"/>
      <c r="O268" s="572"/>
      <c r="P268" s="612"/>
      <c r="Q268" s="572"/>
      <c r="R268" s="530">
        <f t="shared" ref="R268:AW268" si="379">SUM(R262:R267)</f>
        <v>-17107.259060066644</v>
      </c>
      <c r="S268" s="530">
        <f t="shared" si="379"/>
        <v>-17107.259060066644</v>
      </c>
      <c r="T268" s="530">
        <f t="shared" si="379"/>
        <v>-17107.259060066644</v>
      </c>
      <c r="U268" s="530">
        <f t="shared" si="379"/>
        <v>-17107.259060066644</v>
      </c>
      <c r="V268" s="530">
        <f t="shared" si="379"/>
        <v>-17107.259060066644</v>
      </c>
      <c r="W268" s="530">
        <f t="shared" si="379"/>
        <v>-17107.259060066644</v>
      </c>
      <c r="X268" s="530">
        <f t="shared" si="379"/>
        <v>-17575.877182928605</v>
      </c>
      <c r="Y268" s="530">
        <f t="shared" si="379"/>
        <v>-17575.877182928605</v>
      </c>
      <c r="Z268" s="530">
        <f t="shared" si="379"/>
        <v>-17575.877182928605</v>
      </c>
      <c r="AA268" s="530">
        <f t="shared" si="379"/>
        <v>-17575.877182928605</v>
      </c>
      <c r="AB268" s="530">
        <f t="shared" si="379"/>
        <v>-17575.877182928605</v>
      </c>
      <c r="AC268" s="530">
        <f t="shared" si="379"/>
        <v>-17575.877182928605</v>
      </c>
      <c r="AD268" s="530">
        <f t="shared" si="379"/>
        <v>-17803.610855969691</v>
      </c>
      <c r="AE268" s="530">
        <f t="shared" si="379"/>
        <v>-17803.610855969691</v>
      </c>
      <c r="AF268" s="530">
        <f t="shared" si="379"/>
        <v>-17803.610855969691</v>
      </c>
      <c r="AG268" s="530">
        <f t="shared" si="379"/>
        <v>-17803.610855969691</v>
      </c>
      <c r="AH268" s="530">
        <f t="shared" si="379"/>
        <v>-17803.610855969691</v>
      </c>
      <c r="AI268" s="530">
        <f t="shared" si="379"/>
        <v>-17803.610855969691</v>
      </c>
      <c r="AJ268" s="530">
        <f t="shared" si="379"/>
        <v>-18387.133996514283</v>
      </c>
      <c r="AK268" s="530">
        <f t="shared" si="379"/>
        <v>-18387.133996514283</v>
      </c>
      <c r="AL268" s="530">
        <f t="shared" si="379"/>
        <v>-18387.133996514283</v>
      </c>
      <c r="AM268" s="530">
        <f t="shared" si="379"/>
        <v>-18387.133996514283</v>
      </c>
      <c r="AN268" s="530">
        <f t="shared" si="379"/>
        <v>-18387.133996514283</v>
      </c>
      <c r="AO268" s="530">
        <f t="shared" si="379"/>
        <v>-18387.133996514283</v>
      </c>
      <c r="AP268" s="530">
        <f t="shared" si="379"/>
        <v>-18517.499820866895</v>
      </c>
      <c r="AQ268" s="530">
        <f t="shared" si="379"/>
        <v>-18517.499820866895</v>
      </c>
      <c r="AR268" s="530">
        <f t="shared" si="379"/>
        <v>-18517.499820866895</v>
      </c>
      <c r="AS268" s="530">
        <f t="shared" si="379"/>
        <v>-18517.499820866895</v>
      </c>
      <c r="AT268" s="530">
        <f t="shared" si="379"/>
        <v>-18517.499820866895</v>
      </c>
      <c r="AU268" s="530">
        <f t="shared" si="379"/>
        <v>-18517.499820866895</v>
      </c>
      <c r="AV268" s="530">
        <f t="shared" si="379"/>
        <v>-19218.429936698973</v>
      </c>
      <c r="AW268" s="530">
        <f t="shared" si="379"/>
        <v>-19218.429936698973</v>
      </c>
      <c r="AX268" s="530">
        <f t="shared" ref="AX268:BY268" si="380">SUM(AX262:AX267)</f>
        <v>-19218.429936698973</v>
      </c>
      <c r="AY268" s="530">
        <f t="shared" si="380"/>
        <v>-19218.429936698973</v>
      </c>
      <c r="AZ268" s="530">
        <f t="shared" si="380"/>
        <v>-19218.429936698973</v>
      </c>
      <c r="BA268" s="530">
        <f t="shared" si="380"/>
        <v>-19218.429936698973</v>
      </c>
      <c r="BB268" s="530">
        <f t="shared" si="380"/>
        <v>-19273.43638164342</v>
      </c>
      <c r="BC268" s="530">
        <f t="shared" si="380"/>
        <v>-19273.43638164342</v>
      </c>
      <c r="BD268" s="530">
        <f t="shared" si="380"/>
        <v>-19273.43638164342</v>
      </c>
      <c r="BE268" s="530">
        <f t="shared" si="380"/>
        <v>-19273.43638164342</v>
      </c>
      <c r="BF268" s="530">
        <f t="shared" si="380"/>
        <v>-19273.43638164342</v>
      </c>
      <c r="BG268" s="530">
        <f t="shared" si="380"/>
        <v>-19273.43638164342</v>
      </c>
      <c r="BH268" s="530">
        <f t="shared" si="380"/>
        <v>-20095.054609658331</v>
      </c>
      <c r="BI268" s="530">
        <f t="shared" si="380"/>
        <v>-20095.054609658331</v>
      </c>
      <c r="BJ268" s="530">
        <f t="shared" si="380"/>
        <v>-20095.054609658331</v>
      </c>
      <c r="BK268" s="530">
        <f t="shared" si="380"/>
        <v>-20095.054609658331</v>
      </c>
      <c r="BL268" s="530">
        <f t="shared" si="380"/>
        <v>-20095.054609658331</v>
      </c>
      <c r="BM268" s="530">
        <f t="shared" si="380"/>
        <v>-20095.054609658331</v>
      </c>
      <c r="BN268" s="530">
        <f t="shared" si="380"/>
        <v>-20067.736444936501</v>
      </c>
      <c r="BO268" s="530">
        <f t="shared" si="380"/>
        <v>-20067.736444936501</v>
      </c>
      <c r="BP268" s="530">
        <f t="shared" si="380"/>
        <v>-20067.736444936501</v>
      </c>
      <c r="BQ268" s="530">
        <f t="shared" si="380"/>
        <v>-20067.736444936501</v>
      </c>
      <c r="BR268" s="530">
        <f t="shared" si="380"/>
        <v>-20067.736444936501</v>
      </c>
      <c r="BS268" s="530">
        <f t="shared" si="380"/>
        <v>-20067.736444936501</v>
      </c>
      <c r="BT268" s="530">
        <f t="shared" si="380"/>
        <v>-21012.089511894272</v>
      </c>
      <c r="BU268" s="530">
        <f t="shared" si="380"/>
        <v>-21012.089511894272</v>
      </c>
      <c r="BV268" s="530">
        <f t="shared" si="380"/>
        <v>-21012.089511894272</v>
      </c>
      <c r="BW268" s="530">
        <f t="shared" si="380"/>
        <v>-21012.089511894272</v>
      </c>
      <c r="BX268" s="530">
        <f t="shared" si="380"/>
        <v>-21012.089511894272</v>
      </c>
      <c r="BY268" s="530">
        <f t="shared" si="380"/>
        <v>-21012.089511894272</v>
      </c>
    </row>
    <row r="269" spans="1:77" x14ac:dyDescent="0.3">
      <c r="A269" s="551"/>
      <c r="B269" s="548"/>
      <c r="C269" s="525"/>
      <c r="D269" s="525"/>
      <c r="E269" s="525"/>
      <c r="F269" s="525"/>
      <c r="G269" s="525"/>
      <c r="H269" s="525"/>
      <c r="I269" s="525"/>
      <c r="J269" s="525"/>
      <c r="K269" s="525"/>
      <c r="L269" s="525"/>
      <c r="M269" s="525"/>
      <c r="N269" s="525"/>
      <c r="O269" s="525"/>
      <c r="P269" s="565"/>
      <c r="Q269" s="525"/>
      <c r="R269" s="525"/>
      <c r="S269" s="525"/>
      <c r="T269" s="525"/>
      <c r="U269" s="525"/>
      <c r="V269" s="525"/>
      <c r="W269" s="525"/>
      <c r="X269" s="525"/>
      <c r="Y269" s="525"/>
      <c r="Z269" s="525"/>
      <c r="AA269" s="525"/>
      <c r="AB269" s="525"/>
      <c r="AC269" s="525"/>
      <c r="AD269" s="525"/>
      <c r="AE269" s="525"/>
      <c r="AF269" s="525"/>
      <c r="AG269" s="525"/>
      <c r="AH269" s="525"/>
      <c r="AI269" s="525"/>
      <c r="AJ269" s="525"/>
      <c r="AK269" s="525"/>
      <c r="AL269" s="525"/>
      <c r="AM269" s="525"/>
      <c r="AN269" s="525"/>
      <c r="AO269" s="525"/>
      <c r="AP269" s="525"/>
      <c r="AQ269" s="525"/>
      <c r="AR269" s="525"/>
      <c r="AS269" s="525"/>
      <c r="AT269" s="525"/>
      <c r="AU269" s="525"/>
      <c r="AV269" s="525"/>
      <c r="AW269" s="525"/>
      <c r="AX269" s="525"/>
      <c r="AY269" s="525"/>
      <c r="AZ269" s="525"/>
      <c r="BA269" s="525"/>
      <c r="BB269" s="525"/>
      <c r="BC269" s="525"/>
      <c r="BD269" s="525"/>
      <c r="BE269" s="525"/>
      <c r="BF269" s="525"/>
      <c r="BG269" s="525"/>
      <c r="BH269" s="525"/>
      <c r="BI269" s="525"/>
      <c r="BJ269" s="525"/>
      <c r="BK269" s="525"/>
      <c r="BL269" s="525"/>
      <c r="BM269" s="525"/>
      <c r="BN269" s="525"/>
      <c r="BO269" s="525"/>
      <c r="BP269" s="525"/>
      <c r="BQ269" s="525"/>
      <c r="BR269" s="525"/>
      <c r="BS269" s="525"/>
      <c r="BT269" s="525"/>
      <c r="BU269" s="525"/>
      <c r="BV269" s="525"/>
      <c r="BW269" s="525"/>
      <c r="BX269" s="525"/>
      <c r="BY269" s="525"/>
    </row>
    <row r="270" spans="1:77" x14ac:dyDescent="0.3">
      <c r="A270" s="551"/>
      <c r="B270" s="548"/>
      <c r="C270" s="525"/>
      <c r="D270" s="525"/>
      <c r="E270" s="623" t="str">
        <f>"BCF discounts: "&amp;E$155</f>
        <v>BCF discounts: FY27 Tranche</v>
      </c>
      <c r="F270" s="525"/>
      <c r="G270" s="525"/>
      <c r="H270" s="525"/>
      <c r="I270" s="525"/>
      <c r="J270" s="525"/>
      <c r="K270" s="525"/>
      <c r="L270" s="525"/>
      <c r="M270" s="525"/>
      <c r="N270" s="525"/>
      <c r="O270" s="525"/>
      <c r="P270" s="565"/>
      <c r="Q270" s="525"/>
      <c r="R270" s="527">
        <f t="shared" ref="R270:AW270" si="381">(R238-R246)*R$230</f>
        <v>-4485.852170807063</v>
      </c>
      <c r="S270" s="527">
        <f t="shared" si="381"/>
        <v>-4485.852170807063</v>
      </c>
      <c r="T270" s="527">
        <f t="shared" si="381"/>
        <v>-4485.852170807063</v>
      </c>
      <c r="U270" s="527">
        <f t="shared" si="381"/>
        <v>-4485.852170807063</v>
      </c>
      <c r="V270" s="527">
        <f t="shared" si="381"/>
        <v>-4485.852170807063</v>
      </c>
      <c r="W270" s="527">
        <f t="shared" si="381"/>
        <v>-4485.852170807063</v>
      </c>
      <c r="X270" s="527">
        <f t="shared" si="381"/>
        <v>-5438.1774396666751</v>
      </c>
      <c r="Y270" s="527">
        <f t="shared" si="381"/>
        <v>-5438.1774396666751</v>
      </c>
      <c r="Z270" s="527">
        <f t="shared" si="381"/>
        <v>-5438.1774396666751</v>
      </c>
      <c r="AA270" s="527">
        <f t="shared" si="381"/>
        <v>-5438.1774396666751</v>
      </c>
      <c r="AB270" s="527">
        <f t="shared" si="381"/>
        <v>-5438.1774396666751</v>
      </c>
      <c r="AC270" s="527">
        <f t="shared" si="381"/>
        <v>-5438.1774396666751</v>
      </c>
      <c r="AD270" s="527">
        <f t="shared" si="381"/>
        <v>-5415.6922523638714</v>
      </c>
      <c r="AE270" s="527">
        <f t="shared" si="381"/>
        <v>-5415.6922523638714</v>
      </c>
      <c r="AF270" s="527">
        <f t="shared" si="381"/>
        <v>-5415.6922523638714</v>
      </c>
      <c r="AG270" s="527">
        <f t="shared" si="381"/>
        <v>-5415.6922523638714</v>
      </c>
      <c r="AH270" s="527">
        <f t="shared" si="381"/>
        <v>-5415.6922523638714</v>
      </c>
      <c r="AI270" s="527">
        <f t="shared" si="381"/>
        <v>-5415.6922523638714</v>
      </c>
      <c r="AJ270" s="527">
        <f t="shared" si="381"/>
        <v>-5662.8385932123174</v>
      </c>
      <c r="AK270" s="527">
        <f t="shared" si="381"/>
        <v>-5662.8385932123174</v>
      </c>
      <c r="AL270" s="527">
        <f t="shared" si="381"/>
        <v>-5662.8385932123174</v>
      </c>
      <c r="AM270" s="527">
        <f t="shared" si="381"/>
        <v>-5662.8385932123174</v>
      </c>
      <c r="AN270" s="527">
        <f t="shared" si="381"/>
        <v>-5662.8385932123174</v>
      </c>
      <c r="AO270" s="527">
        <f t="shared" si="381"/>
        <v>-5662.8385932123174</v>
      </c>
      <c r="AP270" s="527">
        <f t="shared" si="381"/>
        <v>-5645.2476789575676</v>
      </c>
      <c r="AQ270" s="527">
        <f t="shared" si="381"/>
        <v>-5645.2476789575676</v>
      </c>
      <c r="AR270" s="527">
        <f t="shared" si="381"/>
        <v>-5645.2476789575676</v>
      </c>
      <c r="AS270" s="527">
        <f t="shared" si="381"/>
        <v>-5645.2476789575676</v>
      </c>
      <c r="AT270" s="527">
        <f t="shared" si="381"/>
        <v>-5645.2476789575676</v>
      </c>
      <c r="AU270" s="527">
        <f t="shared" si="381"/>
        <v>-5645.2476789575676</v>
      </c>
      <c r="AV270" s="527">
        <f t="shared" si="381"/>
        <v>-5900.0114337399264</v>
      </c>
      <c r="AW270" s="527">
        <f t="shared" si="381"/>
        <v>-5900.0114337399264</v>
      </c>
      <c r="AX270" s="527">
        <f t="shared" ref="AX270:BY270" si="382">(AX238-AX246)*AX$230</f>
        <v>-5900.0114337399264</v>
      </c>
      <c r="AY270" s="527">
        <f t="shared" si="382"/>
        <v>-5900.0114337399264</v>
      </c>
      <c r="AZ270" s="527">
        <f t="shared" si="382"/>
        <v>-5900.0114337399264</v>
      </c>
      <c r="BA270" s="527">
        <f t="shared" si="382"/>
        <v>-5900.0114337399264</v>
      </c>
      <c r="BB270" s="527">
        <f t="shared" si="382"/>
        <v>-5895.1445450496558</v>
      </c>
      <c r="BC270" s="527">
        <f t="shared" si="382"/>
        <v>-5895.1445450496558</v>
      </c>
      <c r="BD270" s="527">
        <f t="shared" si="382"/>
        <v>-5895.1445450496558</v>
      </c>
      <c r="BE270" s="527">
        <f t="shared" si="382"/>
        <v>-5895.1445450496558</v>
      </c>
      <c r="BF270" s="527">
        <f t="shared" si="382"/>
        <v>-5895.1445450496558</v>
      </c>
      <c r="BG270" s="527">
        <f t="shared" si="382"/>
        <v>-5895.1445450496558</v>
      </c>
      <c r="BH270" s="527">
        <f t="shared" si="382"/>
        <v>-6158.0255196766129</v>
      </c>
      <c r="BI270" s="527">
        <f t="shared" si="382"/>
        <v>-6158.0255196766129</v>
      </c>
      <c r="BJ270" s="527">
        <f t="shared" si="382"/>
        <v>-6158.0255196766129</v>
      </c>
      <c r="BK270" s="527">
        <f t="shared" si="382"/>
        <v>-6158.0255196766129</v>
      </c>
      <c r="BL270" s="527">
        <f t="shared" si="382"/>
        <v>-6158.0255196766129</v>
      </c>
      <c r="BM270" s="527">
        <f t="shared" si="382"/>
        <v>-6158.0255196766129</v>
      </c>
      <c r="BN270" s="527">
        <f t="shared" si="382"/>
        <v>-6162.1734607115077</v>
      </c>
      <c r="BO270" s="527">
        <f t="shared" si="382"/>
        <v>-6162.1734607115077</v>
      </c>
      <c r="BP270" s="527">
        <f t="shared" si="382"/>
        <v>-6162.1734607115077</v>
      </c>
      <c r="BQ270" s="527">
        <f t="shared" si="382"/>
        <v>-6162.1734607115077</v>
      </c>
      <c r="BR270" s="527">
        <f t="shared" si="382"/>
        <v>-6162.1734607115077</v>
      </c>
      <c r="BS270" s="527">
        <f t="shared" si="382"/>
        <v>-6162.1734607115077</v>
      </c>
      <c r="BT270" s="527">
        <f t="shared" si="382"/>
        <v>-6433.5032581672804</v>
      </c>
      <c r="BU270" s="527">
        <f t="shared" si="382"/>
        <v>-6433.5032581672804</v>
      </c>
      <c r="BV270" s="527">
        <f t="shared" si="382"/>
        <v>-6433.5032581672804</v>
      </c>
      <c r="BW270" s="527">
        <f t="shared" si="382"/>
        <v>-6433.5032581672804</v>
      </c>
      <c r="BX270" s="527">
        <f t="shared" si="382"/>
        <v>-6433.5032581672804</v>
      </c>
      <c r="BY270" s="527">
        <f t="shared" si="382"/>
        <v>-6433.5032581672804</v>
      </c>
    </row>
    <row r="271" spans="1:77" x14ac:dyDescent="0.3">
      <c r="A271" s="551"/>
      <c r="B271" s="548"/>
      <c r="C271" s="525"/>
      <c r="D271" s="525"/>
      <c r="E271" s="623" t="str">
        <f>"BCF discounts: "&amp;E$156</f>
        <v>BCF discounts: FY28 Tranche</v>
      </c>
      <c r="F271" s="525"/>
      <c r="G271" s="525"/>
      <c r="H271" s="525"/>
      <c r="I271" s="525"/>
      <c r="J271" s="525"/>
      <c r="K271" s="525"/>
      <c r="L271" s="525"/>
      <c r="M271" s="525"/>
      <c r="N271" s="525"/>
      <c r="O271" s="525"/>
      <c r="P271" s="565"/>
      <c r="Q271" s="525"/>
      <c r="R271" s="527">
        <f t="shared" ref="R271:AW271" si="383">(R239-R247)*R$230</f>
        <v>-4485.852170807063</v>
      </c>
      <c r="S271" s="527">
        <f t="shared" si="383"/>
        <v>-4485.852170807063</v>
      </c>
      <c r="T271" s="527">
        <f t="shared" si="383"/>
        <v>-4485.852170807063</v>
      </c>
      <c r="U271" s="527">
        <f t="shared" si="383"/>
        <v>-4485.852170807063</v>
      </c>
      <c r="V271" s="527">
        <f t="shared" si="383"/>
        <v>-4485.852170807063</v>
      </c>
      <c r="W271" s="527">
        <f t="shared" si="383"/>
        <v>-4485.852170807063</v>
      </c>
      <c r="X271" s="527">
        <f t="shared" si="383"/>
        <v>-4485.852170807063</v>
      </c>
      <c r="Y271" s="527">
        <f t="shared" si="383"/>
        <v>-4485.852170807063</v>
      </c>
      <c r="Z271" s="527">
        <f t="shared" si="383"/>
        <v>-4485.852170807063</v>
      </c>
      <c r="AA271" s="527">
        <f t="shared" si="383"/>
        <v>-4485.852170807063</v>
      </c>
      <c r="AB271" s="527">
        <f t="shared" si="383"/>
        <v>-4485.852170807063</v>
      </c>
      <c r="AC271" s="527">
        <f t="shared" si="383"/>
        <v>-4485.852170807063</v>
      </c>
      <c r="AD271" s="527">
        <f t="shared" si="383"/>
        <v>-4679.5205425276445</v>
      </c>
      <c r="AE271" s="527">
        <f t="shared" si="383"/>
        <v>-4679.5205425276445</v>
      </c>
      <c r="AF271" s="527">
        <f t="shared" si="383"/>
        <v>-4679.5205425276445</v>
      </c>
      <c r="AG271" s="527">
        <f t="shared" si="383"/>
        <v>-4679.5205425276445</v>
      </c>
      <c r="AH271" s="527">
        <f t="shared" si="383"/>
        <v>-4679.5205425276445</v>
      </c>
      <c r="AI271" s="527">
        <f t="shared" si="383"/>
        <v>-4679.5205425276445</v>
      </c>
      <c r="AJ271" s="527">
        <f t="shared" si="383"/>
        <v>-5645.1500513495166</v>
      </c>
      <c r="AK271" s="527">
        <f t="shared" si="383"/>
        <v>-5645.1500513495166</v>
      </c>
      <c r="AL271" s="527">
        <f t="shared" si="383"/>
        <v>-5645.1500513495166</v>
      </c>
      <c r="AM271" s="527">
        <f t="shared" si="383"/>
        <v>-5645.1500513495166</v>
      </c>
      <c r="AN271" s="527">
        <f t="shared" si="383"/>
        <v>-5645.1500513495166</v>
      </c>
      <c r="AO271" s="527">
        <f t="shared" si="383"/>
        <v>-5645.1500513495166</v>
      </c>
      <c r="AP271" s="527">
        <f t="shared" si="383"/>
        <v>-5627.7152474632667</v>
      </c>
      <c r="AQ271" s="527">
        <f t="shared" si="383"/>
        <v>-5627.7152474632667</v>
      </c>
      <c r="AR271" s="527">
        <f t="shared" si="383"/>
        <v>-5627.7152474632667</v>
      </c>
      <c r="AS271" s="527">
        <f t="shared" si="383"/>
        <v>-5627.7152474632667</v>
      </c>
      <c r="AT271" s="527">
        <f t="shared" si="383"/>
        <v>-5627.7152474632667</v>
      </c>
      <c r="AU271" s="527">
        <f t="shared" si="383"/>
        <v>-5627.7152474632667</v>
      </c>
      <c r="AV271" s="527">
        <f t="shared" si="383"/>
        <v>-5881.7777049858532</v>
      </c>
      <c r="AW271" s="527">
        <f t="shared" si="383"/>
        <v>-5881.7777049858532</v>
      </c>
      <c r="AX271" s="527">
        <f t="shared" ref="AX271:BY271" si="384">(AX239-AX247)*AX$230</f>
        <v>-5881.7777049858532</v>
      </c>
      <c r="AY271" s="527">
        <f t="shared" si="384"/>
        <v>-5881.7777049858532</v>
      </c>
      <c r="AZ271" s="527">
        <f t="shared" si="384"/>
        <v>-5881.7777049858532</v>
      </c>
      <c r="BA271" s="527">
        <f t="shared" si="384"/>
        <v>-5881.7777049858532</v>
      </c>
      <c r="BB271" s="527">
        <f t="shared" si="384"/>
        <v>-5877.0534995524667</v>
      </c>
      <c r="BC271" s="527">
        <f t="shared" si="384"/>
        <v>-5877.0534995524667</v>
      </c>
      <c r="BD271" s="527">
        <f t="shared" si="384"/>
        <v>-5877.0534995524667</v>
      </c>
      <c r="BE271" s="527">
        <f t="shared" si="384"/>
        <v>-5877.0534995524667</v>
      </c>
      <c r="BF271" s="527">
        <f t="shared" si="384"/>
        <v>-5877.0534995524667</v>
      </c>
      <c r="BG271" s="527">
        <f t="shared" si="384"/>
        <v>-5877.0534995524667</v>
      </c>
      <c r="BH271" s="527">
        <f t="shared" si="384"/>
        <v>-6139.2108323595357</v>
      </c>
      <c r="BI271" s="527">
        <f t="shared" si="384"/>
        <v>-6139.2108323595357</v>
      </c>
      <c r="BJ271" s="527">
        <f t="shared" si="384"/>
        <v>-6139.2108323595357</v>
      </c>
      <c r="BK271" s="527">
        <f t="shared" si="384"/>
        <v>-6139.2108323595357</v>
      </c>
      <c r="BL271" s="527">
        <f t="shared" si="384"/>
        <v>-6139.2108323595357</v>
      </c>
      <c r="BM271" s="527">
        <f t="shared" si="384"/>
        <v>-6139.2108323595357</v>
      </c>
      <c r="BN271" s="527">
        <f t="shared" si="384"/>
        <v>-6143.5009808278628</v>
      </c>
      <c r="BO271" s="527">
        <f t="shared" si="384"/>
        <v>-6143.5009808278628</v>
      </c>
      <c r="BP271" s="527">
        <f t="shared" si="384"/>
        <v>-6143.5009808278628</v>
      </c>
      <c r="BQ271" s="527">
        <f t="shared" si="384"/>
        <v>-6143.5009808278628</v>
      </c>
      <c r="BR271" s="527">
        <f t="shared" si="384"/>
        <v>-6143.5009808278628</v>
      </c>
      <c r="BS271" s="527">
        <f t="shared" si="384"/>
        <v>-6143.5009808278628</v>
      </c>
      <c r="BT271" s="527">
        <f t="shared" si="384"/>
        <v>-6414.0838790882872</v>
      </c>
      <c r="BU271" s="527">
        <f t="shared" si="384"/>
        <v>-6414.0838790882872</v>
      </c>
      <c r="BV271" s="527">
        <f t="shared" si="384"/>
        <v>-6414.0838790882872</v>
      </c>
      <c r="BW271" s="527">
        <f t="shared" si="384"/>
        <v>-6414.0838790882872</v>
      </c>
      <c r="BX271" s="527">
        <f t="shared" si="384"/>
        <v>-6414.0838790882872</v>
      </c>
      <c r="BY271" s="527">
        <f t="shared" si="384"/>
        <v>-6414.0838790882872</v>
      </c>
    </row>
    <row r="272" spans="1:77" x14ac:dyDescent="0.3">
      <c r="A272" s="551"/>
      <c r="B272" s="548"/>
      <c r="C272" s="525"/>
      <c r="D272" s="525"/>
      <c r="E272" s="623" t="str">
        <f>"BCF discounts: "&amp;E$157</f>
        <v>BCF discounts: FY29 Tranche</v>
      </c>
      <c r="F272" s="525"/>
      <c r="G272" s="525"/>
      <c r="H272" s="525"/>
      <c r="I272" s="525"/>
      <c r="J272" s="525"/>
      <c r="K272" s="525"/>
      <c r="L272" s="525"/>
      <c r="M272" s="525"/>
      <c r="N272" s="525"/>
      <c r="O272" s="525"/>
      <c r="P272" s="565"/>
      <c r="Q272" s="525"/>
      <c r="R272" s="527">
        <f t="shared" ref="R272:AW272" si="385">(R240-R248)*R$230</f>
        <v>-4485.852170807063</v>
      </c>
      <c r="S272" s="527">
        <f t="shared" si="385"/>
        <v>-4485.852170807063</v>
      </c>
      <c r="T272" s="527">
        <f t="shared" si="385"/>
        <v>-4485.852170807063</v>
      </c>
      <c r="U272" s="527">
        <f t="shared" si="385"/>
        <v>-4485.852170807063</v>
      </c>
      <c r="V272" s="527">
        <f t="shared" si="385"/>
        <v>-4485.852170807063</v>
      </c>
      <c r="W272" s="527">
        <f t="shared" si="385"/>
        <v>-4485.852170807063</v>
      </c>
      <c r="X272" s="527">
        <f t="shared" si="385"/>
        <v>-4485.852170807063</v>
      </c>
      <c r="Y272" s="527">
        <f t="shared" si="385"/>
        <v>-4485.852170807063</v>
      </c>
      <c r="Z272" s="527">
        <f t="shared" si="385"/>
        <v>-4485.852170807063</v>
      </c>
      <c r="AA272" s="527">
        <f t="shared" si="385"/>
        <v>-4485.852170807063</v>
      </c>
      <c r="AB272" s="527">
        <f t="shared" si="385"/>
        <v>-4485.852170807063</v>
      </c>
      <c r="AC272" s="527">
        <f t="shared" si="385"/>
        <v>-4485.852170807063</v>
      </c>
      <c r="AD272" s="527">
        <f t="shared" si="385"/>
        <v>-4679.5205425276445</v>
      </c>
      <c r="AE272" s="527">
        <f t="shared" si="385"/>
        <v>-4679.5205425276445</v>
      </c>
      <c r="AF272" s="527">
        <f t="shared" si="385"/>
        <v>-4679.5205425276445</v>
      </c>
      <c r="AG272" s="527">
        <f t="shared" si="385"/>
        <v>-4679.5205425276445</v>
      </c>
      <c r="AH272" s="527">
        <f t="shared" si="385"/>
        <v>-4679.5205425276445</v>
      </c>
      <c r="AI272" s="527">
        <f t="shared" si="385"/>
        <v>-4679.5205425276445</v>
      </c>
      <c r="AJ272" s="527">
        <f t="shared" si="385"/>
        <v>-4679.5205425276445</v>
      </c>
      <c r="AK272" s="527">
        <f t="shared" si="385"/>
        <v>-4679.5205425276445</v>
      </c>
      <c r="AL272" s="527">
        <f t="shared" si="385"/>
        <v>-4679.5205425276445</v>
      </c>
      <c r="AM272" s="527">
        <f t="shared" si="385"/>
        <v>-4679.5205425276445</v>
      </c>
      <c r="AN272" s="527">
        <f t="shared" si="385"/>
        <v>-4679.5205425276445</v>
      </c>
      <c r="AO272" s="527">
        <f t="shared" si="385"/>
        <v>-4679.5205425276445</v>
      </c>
      <c r="AP272" s="527">
        <f t="shared" si="385"/>
        <v>-4873.4821818039354</v>
      </c>
      <c r="AQ272" s="527">
        <f t="shared" si="385"/>
        <v>-4873.4821818039354</v>
      </c>
      <c r="AR272" s="527">
        <f t="shared" si="385"/>
        <v>-4873.4821818039354</v>
      </c>
      <c r="AS272" s="527">
        <f t="shared" si="385"/>
        <v>-4873.4821818039354</v>
      </c>
      <c r="AT272" s="527">
        <f t="shared" si="385"/>
        <v>-4873.4821818039354</v>
      </c>
      <c r="AU272" s="527">
        <f t="shared" si="385"/>
        <v>-4873.4821818039354</v>
      </c>
      <c r="AV272" s="527">
        <f t="shared" si="385"/>
        <v>-5852.0808081580371</v>
      </c>
      <c r="AW272" s="527">
        <f t="shared" si="385"/>
        <v>-5852.0808081580371</v>
      </c>
      <c r="AX272" s="527">
        <f t="shared" ref="AX272:BY272" si="386">(AX240-AX248)*AX$230</f>
        <v>-5852.0808081580371</v>
      </c>
      <c r="AY272" s="527">
        <f t="shared" si="386"/>
        <v>-5852.0808081580371</v>
      </c>
      <c r="AZ272" s="527">
        <f t="shared" si="386"/>
        <v>-5852.0808081580371</v>
      </c>
      <c r="BA272" s="527">
        <f t="shared" si="386"/>
        <v>-5852.0808081580371</v>
      </c>
      <c r="BB272" s="527">
        <f t="shared" si="386"/>
        <v>-5847.5889879935085</v>
      </c>
      <c r="BC272" s="527">
        <f t="shared" si="386"/>
        <v>-5847.5889879935085</v>
      </c>
      <c r="BD272" s="527">
        <f t="shared" si="386"/>
        <v>-5847.5889879935085</v>
      </c>
      <c r="BE272" s="527">
        <f t="shared" si="386"/>
        <v>-5847.5889879935085</v>
      </c>
      <c r="BF272" s="527">
        <f t="shared" si="386"/>
        <v>-5847.5889879935085</v>
      </c>
      <c r="BG272" s="527">
        <f t="shared" si="386"/>
        <v>-5847.5889879935085</v>
      </c>
      <c r="BH272" s="527">
        <f t="shared" si="386"/>
        <v>-6108.5677403382188</v>
      </c>
      <c r="BI272" s="527">
        <f t="shared" si="386"/>
        <v>-6108.5677403382188</v>
      </c>
      <c r="BJ272" s="527">
        <f t="shared" si="386"/>
        <v>-6108.5677403382188</v>
      </c>
      <c r="BK272" s="527">
        <f t="shared" si="386"/>
        <v>-6108.5677403382188</v>
      </c>
      <c r="BL272" s="527">
        <f t="shared" si="386"/>
        <v>-6108.5677403382188</v>
      </c>
      <c r="BM272" s="527">
        <f t="shared" si="386"/>
        <v>-6108.5677403382188</v>
      </c>
      <c r="BN272" s="527">
        <f t="shared" si="386"/>
        <v>-6113.0894991115811</v>
      </c>
      <c r="BO272" s="527">
        <f t="shared" si="386"/>
        <v>-6113.0894991115811</v>
      </c>
      <c r="BP272" s="527">
        <f t="shared" si="386"/>
        <v>-6113.0894991115811</v>
      </c>
      <c r="BQ272" s="527">
        <f t="shared" si="386"/>
        <v>-6113.0894991115811</v>
      </c>
      <c r="BR272" s="527">
        <f t="shared" si="386"/>
        <v>-6113.0894991115811</v>
      </c>
      <c r="BS272" s="527">
        <f t="shared" si="386"/>
        <v>-6113.0894991115811</v>
      </c>
      <c r="BT272" s="527">
        <f t="shared" si="386"/>
        <v>-6382.4559381033569</v>
      </c>
      <c r="BU272" s="527">
        <f t="shared" si="386"/>
        <v>-6382.4559381033569</v>
      </c>
      <c r="BV272" s="527">
        <f t="shared" si="386"/>
        <v>-6382.4559381033569</v>
      </c>
      <c r="BW272" s="527">
        <f t="shared" si="386"/>
        <v>-6382.4559381033569</v>
      </c>
      <c r="BX272" s="527">
        <f t="shared" si="386"/>
        <v>-6382.4559381033569</v>
      </c>
      <c r="BY272" s="527">
        <f t="shared" si="386"/>
        <v>-6382.4559381033569</v>
      </c>
    </row>
    <row r="273" spans="1:77" x14ac:dyDescent="0.3">
      <c r="A273" s="551"/>
      <c r="B273" s="548"/>
      <c r="C273" s="525"/>
      <c r="D273" s="525"/>
      <c r="E273" s="623" t="str">
        <f>"BCF discounts: "&amp;E$158</f>
        <v>BCF discounts: FY30 Tranche</v>
      </c>
      <c r="F273" s="525"/>
      <c r="G273" s="525"/>
      <c r="H273" s="525"/>
      <c r="I273" s="525"/>
      <c r="J273" s="525"/>
      <c r="K273" s="525"/>
      <c r="L273" s="525"/>
      <c r="M273" s="525"/>
      <c r="N273" s="525"/>
      <c r="O273" s="525"/>
      <c r="P273" s="565"/>
      <c r="Q273" s="525"/>
      <c r="R273" s="527">
        <f t="shared" ref="R273:AW273" si="387">(R241-R249)*R$230</f>
        <v>-4485.852170807063</v>
      </c>
      <c r="S273" s="527">
        <f t="shared" si="387"/>
        <v>-4485.852170807063</v>
      </c>
      <c r="T273" s="527">
        <f t="shared" si="387"/>
        <v>-4485.852170807063</v>
      </c>
      <c r="U273" s="527">
        <f t="shared" si="387"/>
        <v>-4485.852170807063</v>
      </c>
      <c r="V273" s="527">
        <f t="shared" si="387"/>
        <v>-4485.852170807063</v>
      </c>
      <c r="W273" s="527">
        <f t="shared" si="387"/>
        <v>-4485.852170807063</v>
      </c>
      <c r="X273" s="527">
        <f t="shared" si="387"/>
        <v>-4485.852170807063</v>
      </c>
      <c r="Y273" s="527">
        <f t="shared" si="387"/>
        <v>-4485.852170807063</v>
      </c>
      <c r="Z273" s="527">
        <f t="shared" si="387"/>
        <v>-4485.852170807063</v>
      </c>
      <c r="AA273" s="527">
        <f t="shared" si="387"/>
        <v>-4485.852170807063</v>
      </c>
      <c r="AB273" s="527">
        <f t="shared" si="387"/>
        <v>-4485.852170807063</v>
      </c>
      <c r="AC273" s="527">
        <f t="shared" si="387"/>
        <v>-4485.852170807063</v>
      </c>
      <c r="AD273" s="527">
        <f t="shared" si="387"/>
        <v>-4679.5205425276445</v>
      </c>
      <c r="AE273" s="527">
        <f t="shared" si="387"/>
        <v>-4679.5205425276445</v>
      </c>
      <c r="AF273" s="527">
        <f t="shared" si="387"/>
        <v>-4679.5205425276445</v>
      </c>
      <c r="AG273" s="527">
        <f t="shared" si="387"/>
        <v>-4679.5205425276445</v>
      </c>
      <c r="AH273" s="527">
        <f t="shared" si="387"/>
        <v>-4679.5205425276445</v>
      </c>
      <c r="AI273" s="527">
        <f t="shared" si="387"/>
        <v>-4679.5205425276445</v>
      </c>
      <c r="AJ273" s="527">
        <f t="shared" si="387"/>
        <v>-4679.5205425276445</v>
      </c>
      <c r="AK273" s="527">
        <f t="shared" si="387"/>
        <v>-4679.5205425276445</v>
      </c>
      <c r="AL273" s="527">
        <f t="shared" si="387"/>
        <v>-4679.5205425276445</v>
      </c>
      <c r="AM273" s="527">
        <f t="shared" si="387"/>
        <v>-4679.5205425276445</v>
      </c>
      <c r="AN273" s="527">
        <f t="shared" si="387"/>
        <v>-4679.5205425276445</v>
      </c>
      <c r="AO273" s="527">
        <f t="shared" si="387"/>
        <v>-4679.5205425276445</v>
      </c>
      <c r="AP273" s="527">
        <f t="shared" si="387"/>
        <v>-4873.4821818039354</v>
      </c>
      <c r="AQ273" s="527">
        <f t="shared" si="387"/>
        <v>-4873.4821818039354</v>
      </c>
      <c r="AR273" s="527">
        <f t="shared" si="387"/>
        <v>-4873.4821818039354</v>
      </c>
      <c r="AS273" s="527">
        <f t="shared" si="387"/>
        <v>-4873.4821818039354</v>
      </c>
      <c r="AT273" s="527">
        <f t="shared" si="387"/>
        <v>-4873.4821818039354</v>
      </c>
      <c r="AU273" s="527">
        <f t="shared" si="387"/>
        <v>-4873.4821818039354</v>
      </c>
      <c r="AV273" s="527">
        <f t="shared" si="387"/>
        <v>-4873.4821818039354</v>
      </c>
      <c r="AW273" s="527">
        <f t="shared" si="387"/>
        <v>-4873.4821818039354</v>
      </c>
      <c r="AX273" s="527">
        <f t="shared" ref="AX273:BY273" si="388">(AX241-AX249)*AX$230</f>
        <v>-4873.4821818039354</v>
      </c>
      <c r="AY273" s="527">
        <f t="shared" si="388"/>
        <v>-4873.4821818039354</v>
      </c>
      <c r="AZ273" s="527">
        <f t="shared" si="388"/>
        <v>-4873.4821818039354</v>
      </c>
      <c r="BA273" s="527">
        <f t="shared" si="388"/>
        <v>-4873.4821818039354</v>
      </c>
      <c r="BB273" s="527">
        <f t="shared" si="388"/>
        <v>-5066.4654002003845</v>
      </c>
      <c r="BC273" s="527">
        <f t="shared" si="388"/>
        <v>-5066.4654002003845</v>
      </c>
      <c r="BD273" s="527">
        <f t="shared" si="388"/>
        <v>-5066.4654002003845</v>
      </c>
      <c r="BE273" s="527">
        <f t="shared" si="388"/>
        <v>-5066.4654002003845</v>
      </c>
      <c r="BF273" s="527">
        <f t="shared" si="388"/>
        <v>-5066.4654002003845</v>
      </c>
      <c r="BG273" s="527">
        <f t="shared" si="388"/>
        <v>-5066.4654002003845</v>
      </c>
      <c r="BH273" s="527">
        <f t="shared" si="388"/>
        <v>-6057.4830145961105</v>
      </c>
      <c r="BI273" s="527">
        <f t="shared" si="388"/>
        <v>-6057.4830145961105</v>
      </c>
      <c r="BJ273" s="527">
        <f t="shared" si="388"/>
        <v>-6057.4830145961105</v>
      </c>
      <c r="BK273" s="527">
        <f t="shared" si="388"/>
        <v>-6057.4830145961105</v>
      </c>
      <c r="BL273" s="527">
        <f t="shared" si="388"/>
        <v>-6057.4830145961105</v>
      </c>
      <c r="BM273" s="527">
        <f t="shared" si="388"/>
        <v>-6057.4830145961105</v>
      </c>
      <c r="BN273" s="527">
        <f t="shared" si="388"/>
        <v>-6062.390888089999</v>
      </c>
      <c r="BO273" s="527">
        <f t="shared" si="388"/>
        <v>-6062.390888089999</v>
      </c>
      <c r="BP273" s="527">
        <f t="shared" si="388"/>
        <v>-6062.390888089999</v>
      </c>
      <c r="BQ273" s="527">
        <f t="shared" si="388"/>
        <v>-6062.390888089999</v>
      </c>
      <c r="BR273" s="527">
        <f t="shared" si="388"/>
        <v>-6062.390888089999</v>
      </c>
      <c r="BS273" s="527">
        <f t="shared" si="388"/>
        <v>-6062.390888089999</v>
      </c>
      <c r="BT273" s="527">
        <f t="shared" si="388"/>
        <v>-6329.7293826409095</v>
      </c>
      <c r="BU273" s="527">
        <f t="shared" si="388"/>
        <v>-6329.7293826409095</v>
      </c>
      <c r="BV273" s="527">
        <f t="shared" si="388"/>
        <v>-6329.7293826409095</v>
      </c>
      <c r="BW273" s="527">
        <f t="shared" si="388"/>
        <v>-6329.7293826409095</v>
      </c>
      <c r="BX273" s="527">
        <f t="shared" si="388"/>
        <v>-6329.7293826409095</v>
      </c>
      <c r="BY273" s="527">
        <f t="shared" si="388"/>
        <v>-6329.7293826409095</v>
      </c>
    </row>
    <row r="274" spans="1:77" x14ac:dyDescent="0.3">
      <c r="A274" s="551"/>
      <c r="B274" s="548"/>
      <c r="C274" s="525"/>
      <c r="D274" s="525"/>
      <c r="E274" s="623" t="str">
        <f>"BCF discounts: "&amp;E$159</f>
        <v>BCF discounts: FY31 Tranche</v>
      </c>
      <c r="F274" s="525"/>
      <c r="G274" s="525"/>
      <c r="H274" s="525"/>
      <c r="I274" s="525"/>
      <c r="J274" s="525"/>
      <c r="K274" s="525"/>
      <c r="L274" s="525"/>
      <c r="M274" s="525"/>
      <c r="N274" s="525"/>
      <c r="O274" s="525"/>
      <c r="P274" s="565"/>
      <c r="Q274" s="525"/>
      <c r="R274" s="527">
        <f t="shared" ref="R274:AW274" si="389">(R242-R250)*R$230</f>
        <v>-4485.852170807063</v>
      </c>
      <c r="S274" s="527">
        <f t="shared" si="389"/>
        <v>-4485.852170807063</v>
      </c>
      <c r="T274" s="527">
        <f t="shared" si="389"/>
        <v>-4485.852170807063</v>
      </c>
      <c r="U274" s="527">
        <f t="shared" si="389"/>
        <v>-4485.852170807063</v>
      </c>
      <c r="V274" s="527">
        <f t="shared" si="389"/>
        <v>-4485.852170807063</v>
      </c>
      <c r="W274" s="527">
        <f t="shared" si="389"/>
        <v>-4485.852170807063</v>
      </c>
      <c r="X274" s="527">
        <f t="shared" si="389"/>
        <v>-4485.852170807063</v>
      </c>
      <c r="Y274" s="527">
        <f t="shared" si="389"/>
        <v>-4485.852170807063</v>
      </c>
      <c r="Z274" s="527">
        <f t="shared" si="389"/>
        <v>-4485.852170807063</v>
      </c>
      <c r="AA274" s="527">
        <f t="shared" si="389"/>
        <v>-4485.852170807063</v>
      </c>
      <c r="AB274" s="527">
        <f t="shared" si="389"/>
        <v>-4485.852170807063</v>
      </c>
      <c r="AC274" s="527">
        <f t="shared" si="389"/>
        <v>-4485.852170807063</v>
      </c>
      <c r="AD274" s="527">
        <f t="shared" si="389"/>
        <v>-4679.5205425276445</v>
      </c>
      <c r="AE274" s="527">
        <f t="shared" si="389"/>
        <v>-4679.5205425276445</v>
      </c>
      <c r="AF274" s="527">
        <f t="shared" si="389"/>
        <v>-4679.5205425276445</v>
      </c>
      <c r="AG274" s="527">
        <f t="shared" si="389"/>
        <v>-4679.5205425276445</v>
      </c>
      <c r="AH274" s="527">
        <f t="shared" si="389"/>
        <v>-4679.5205425276445</v>
      </c>
      <c r="AI274" s="527">
        <f t="shared" si="389"/>
        <v>-4679.5205425276445</v>
      </c>
      <c r="AJ274" s="527">
        <f t="shared" si="389"/>
        <v>-4679.5205425276445</v>
      </c>
      <c r="AK274" s="527">
        <f t="shared" si="389"/>
        <v>-4679.5205425276445</v>
      </c>
      <c r="AL274" s="527">
        <f t="shared" si="389"/>
        <v>-4679.5205425276445</v>
      </c>
      <c r="AM274" s="527">
        <f t="shared" si="389"/>
        <v>-4679.5205425276445</v>
      </c>
      <c r="AN274" s="527">
        <f t="shared" si="389"/>
        <v>-4679.5205425276445</v>
      </c>
      <c r="AO274" s="527">
        <f t="shared" si="389"/>
        <v>-4679.5205425276445</v>
      </c>
      <c r="AP274" s="527">
        <f t="shared" si="389"/>
        <v>-4873.4821818039354</v>
      </c>
      <c r="AQ274" s="527">
        <f t="shared" si="389"/>
        <v>-4873.4821818039354</v>
      </c>
      <c r="AR274" s="527">
        <f t="shared" si="389"/>
        <v>-4873.4821818039354</v>
      </c>
      <c r="AS274" s="527">
        <f t="shared" si="389"/>
        <v>-4873.4821818039354</v>
      </c>
      <c r="AT274" s="527">
        <f t="shared" si="389"/>
        <v>-4873.4821818039354</v>
      </c>
      <c r="AU274" s="527">
        <f t="shared" si="389"/>
        <v>-4873.4821818039354</v>
      </c>
      <c r="AV274" s="527">
        <f t="shared" si="389"/>
        <v>-4873.4821818039354</v>
      </c>
      <c r="AW274" s="527">
        <f t="shared" si="389"/>
        <v>-4873.4821818039354</v>
      </c>
      <c r="AX274" s="527">
        <f t="shared" ref="AX274:BY274" si="390">(AX242-AX250)*AX$230</f>
        <v>-4873.4821818039354</v>
      </c>
      <c r="AY274" s="527">
        <f t="shared" si="390"/>
        <v>-4873.4821818039354</v>
      </c>
      <c r="AZ274" s="527">
        <f t="shared" si="390"/>
        <v>-4873.4821818039354</v>
      </c>
      <c r="BA274" s="527">
        <f t="shared" si="390"/>
        <v>-4873.4821818039354</v>
      </c>
      <c r="BB274" s="527">
        <f t="shared" si="390"/>
        <v>-5066.4654002003845</v>
      </c>
      <c r="BC274" s="527">
        <f t="shared" si="390"/>
        <v>-5066.4654002003845</v>
      </c>
      <c r="BD274" s="527">
        <f t="shared" si="390"/>
        <v>-5066.4654002003845</v>
      </c>
      <c r="BE274" s="527">
        <f t="shared" si="390"/>
        <v>-5066.4654002003845</v>
      </c>
      <c r="BF274" s="527">
        <f t="shared" si="390"/>
        <v>-5066.4654002003845</v>
      </c>
      <c r="BG274" s="527">
        <f t="shared" si="390"/>
        <v>-5066.4654002003845</v>
      </c>
      <c r="BH274" s="527">
        <f t="shared" si="390"/>
        <v>-5066.4654002003845</v>
      </c>
      <c r="BI274" s="527">
        <f t="shared" si="390"/>
        <v>-5066.4654002003845</v>
      </c>
      <c r="BJ274" s="527">
        <f t="shared" si="390"/>
        <v>-5066.4654002003845</v>
      </c>
      <c r="BK274" s="527">
        <f t="shared" si="390"/>
        <v>-5066.4654002003845</v>
      </c>
      <c r="BL274" s="527">
        <f t="shared" si="390"/>
        <v>-5066.4654002003845</v>
      </c>
      <c r="BM274" s="527">
        <f t="shared" si="390"/>
        <v>-5066.4654002003845</v>
      </c>
      <c r="BN274" s="527">
        <f t="shared" si="390"/>
        <v>-5266.0855250409886</v>
      </c>
      <c r="BO274" s="527">
        <f t="shared" si="390"/>
        <v>-5266.0855250409886</v>
      </c>
      <c r="BP274" s="527">
        <f t="shared" si="390"/>
        <v>-5266.0855250409886</v>
      </c>
      <c r="BQ274" s="527">
        <f t="shared" si="390"/>
        <v>-5266.0855250409886</v>
      </c>
      <c r="BR274" s="527">
        <f t="shared" si="390"/>
        <v>-5266.0855250409886</v>
      </c>
      <c r="BS274" s="527">
        <f t="shared" si="390"/>
        <v>-5266.0855250409886</v>
      </c>
      <c r="BT274" s="527">
        <f t="shared" si="390"/>
        <v>-6268.807204847888</v>
      </c>
      <c r="BU274" s="527">
        <f t="shared" si="390"/>
        <v>-6268.807204847888</v>
      </c>
      <c r="BV274" s="527">
        <f t="shared" si="390"/>
        <v>-6268.807204847888</v>
      </c>
      <c r="BW274" s="527">
        <f t="shared" si="390"/>
        <v>-6268.807204847888</v>
      </c>
      <c r="BX274" s="527">
        <f t="shared" si="390"/>
        <v>-6268.807204847888</v>
      </c>
      <c r="BY274" s="527">
        <f t="shared" si="390"/>
        <v>-6268.807204847888</v>
      </c>
    </row>
    <row r="275" spans="1:77" x14ac:dyDescent="0.3">
      <c r="A275" s="551"/>
      <c r="B275" s="548"/>
      <c r="C275" s="525"/>
      <c r="D275" s="525"/>
      <c r="E275" s="623" t="str">
        <f>"BCF discounts: "&amp;E$160</f>
        <v>BCF discounts: Uninvested Tranche</v>
      </c>
      <c r="F275" s="525"/>
      <c r="G275" s="525"/>
      <c r="H275" s="525"/>
      <c r="I275" s="525"/>
      <c r="J275" s="525"/>
      <c r="K275" s="525"/>
      <c r="L275" s="525"/>
      <c r="M275" s="525"/>
      <c r="N275" s="525"/>
      <c r="O275" s="525"/>
      <c r="P275" s="565"/>
      <c r="Q275" s="525"/>
      <c r="R275" s="527">
        <f t="shared" ref="R275:AW275" si="391">(R243-R251)*R$230</f>
        <v>-12336.093469719424</v>
      </c>
      <c r="S275" s="527">
        <f t="shared" si="391"/>
        <v>-12336.093469719424</v>
      </c>
      <c r="T275" s="527">
        <f t="shared" si="391"/>
        <v>-12336.093469719424</v>
      </c>
      <c r="U275" s="527">
        <f t="shared" si="391"/>
        <v>-12336.093469719424</v>
      </c>
      <c r="V275" s="527">
        <f t="shared" si="391"/>
        <v>-12336.093469719424</v>
      </c>
      <c r="W275" s="527">
        <f t="shared" si="391"/>
        <v>-12336.093469719424</v>
      </c>
      <c r="X275" s="527">
        <f t="shared" si="391"/>
        <v>-12336.093469719424</v>
      </c>
      <c r="Y275" s="527">
        <f t="shared" si="391"/>
        <v>-12336.093469719424</v>
      </c>
      <c r="Z275" s="527">
        <f t="shared" si="391"/>
        <v>-12336.093469719424</v>
      </c>
      <c r="AA275" s="527">
        <f t="shared" si="391"/>
        <v>-12336.093469719424</v>
      </c>
      <c r="AB275" s="527">
        <f t="shared" si="391"/>
        <v>-12336.093469719424</v>
      </c>
      <c r="AC275" s="527">
        <f t="shared" si="391"/>
        <v>-12336.093469719424</v>
      </c>
      <c r="AD275" s="527">
        <f t="shared" si="391"/>
        <v>-12868.681491951022</v>
      </c>
      <c r="AE275" s="527">
        <f t="shared" si="391"/>
        <v>-12868.681491951022</v>
      </c>
      <c r="AF275" s="527">
        <f t="shared" si="391"/>
        <v>-12868.681491951022</v>
      </c>
      <c r="AG275" s="527">
        <f t="shared" si="391"/>
        <v>-12868.681491951022</v>
      </c>
      <c r="AH275" s="527">
        <f t="shared" si="391"/>
        <v>-12868.681491951022</v>
      </c>
      <c r="AI275" s="527">
        <f t="shared" si="391"/>
        <v>-12868.681491951022</v>
      </c>
      <c r="AJ275" s="527">
        <f t="shared" si="391"/>
        <v>-12868.681491951022</v>
      </c>
      <c r="AK275" s="527">
        <f t="shared" si="391"/>
        <v>-12868.681491951022</v>
      </c>
      <c r="AL275" s="527">
        <f t="shared" si="391"/>
        <v>-12868.681491951022</v>
      </c>
      <c r="AM275" s="527">
        <f t="shared" si="391"/>
        <v>-12868.681491951022</v>
      </c>
      <c r="AN275" s="527">
        <f t="shared" si="391"/>
        <v>-12868.681491951022</v>
      </c>
      <c r="AO275" s="527">
        <f t="shared" si="391"/>
        <v>-12868.681491951022</v>
      </c>
      <c r="AP275" s="527">
        <f t="shared" si="391"/>
        <v>-13402.075999960824</v>
      </c>
      <c r="AQ275" s="527">
        <f t="shared" si="391"/>
        <v>-13402.075999960824</v>
      </c>
      <c r="AR275" s="527">
        <f t="shared" si="391"/>
        <v>-13402.075999960824</v>
      </c>
      <c r="AS275" s="527">
        <f t="shared" si="391"/>
        <v>-13402.075999960824</v>
      </c>
      <c r="AT275" s="527">
        <f t="shared" si="391"/>
        <v>-13402.075999960824</v>
      </c>
      <c r="AU275" s="527">
        <f t="shared" si="391"/>
        <v>-13402.075999960824</v>
      </c>
      <c r="AV275" s="527">
        <f t="shared" si="391"/>
        <v>-13402.075999960824</v>
      </c>
      <c r="AW275" s="527">
        <f t="shared" si="391"/>
        <v>-13402.075999960824</v>
      </c>
      <c r="AX275" s="527">
        <f t="shared" ref="AX275:BY275" si="392">(AX243-AX251)*AX$230</f>
        <v>-13402.075999960824</v>
      </c>
      <c r="AY275" s="527">
        <f t="shared" si="392"/>
        <v>-13402.075999960824</v>
      </c>
      <c r="AZ275" s="527">
        <f t="shared" si="392"/>
        <v>-13402.075999960824</v>
      </c>
      <c r="BA275" s="527">
        <f t="shared" si="392"/>
        <v>-13402.075999960824</v>
      </c>
      <c r="BB275" s="527">
        <f t="shared" si="392"/>
        <v>-13932.779850551056</v>
      </c>
      <c r="BC275" s="527">
        <f t="shared" si="392"/>
        <v>-13932.779850551056</v>
      </c>
      <c r="BD275" s="527">
        <f t="shared" si="392"/>
        <v>-13932.779850551056</v>
      </c>
      <c r="BE275" s="527">
        <f t="shared" si="392"/>
        <v>-13932.779850551056</v>
      </c>
      <c r="BF275" s="527">
        <f t="shared" si="392"/>
        <v>-13932.779850551056</v>
      </c>
      <c r="BG275" s="527">
        <f t="shared" si="392"/>
        <v>-13932.779850551056</v>
      </c>
      <c r="BH275" s="527">
        <f t="shared" si="392"/>
        <v>-13932.779850551056</v>
      </c>
      <c r="BI275" s="527">
        <f t="shared" si="392"/>
        <v>-13932.779850551056</v>
      </c>
      <c r="BJ275" s="527">
        <f t="shared" si="392"/>
        <v>-13932.779850551056</v>
      </c>
      <c r="BK275" s="527">
        <f t="shared" si="392"/>
        <v>-13932.779850551056</v>
      </c>
      <c r="BL275" s="527">
        <f t="shared" si="392"/>
        <v>-13932.779850551056</v>
      </c>
      <c r="BM275" s="527">
        <f t="shared" si="392"/>
        <v>-13932.779850551056</v>
      </c>
      <c r="BN275" s="527">
        <f t="shared" si="392"/>
        <v>-14481.735193862716</v>
      </c>
      <c r="BO275" s="527">
        <f t="shared" si="392"/>
        <v>-14481.735193862716</v>
      </c>
      <c r="BP275" s="527">
        <f t="shared" si="392"/>
        <v>-14481.735193862716</v>
      </c>
      <c r="BQ275" s="527">
        <f t="shared" si="392"/>
        <v>-14481.735193862716</v>
      </c>
      <c r="BR275" s="527">
        <f t="shared" si="392"/>
        <v>-14481.735193862716</v>
      </c>
      <c r="BS275" s="527">
        <f t="shared" si="392"/>
        <v>-14481.735193862716</v>
      </c>
      <c r="BT275" s="527">
        <f t="shared" si="392"/>
        <v>-14481.735193862716</v>
      </c>
      <c r="BU275" s="527">
        <f t="shared" si="392"/>
        <v>-14481.735193862716</v>
      </c>
      <c r="BV275" s="527">
        <f t="shared" si="392"/>
        <v>-14481.735193862716</v>
      </c>
      <c r="BW275" s="527">
        <f t="shared" si="392"/>
        <v>-14481.735193862716</v>
      </c>
      <c r="BX275" s="527">
        <f t="shared" si="392"/>
        <v>-14481.735193862716</v>
      </c>
      <c r="BY275" s="527">
        <f t="shared" si="392"/>
        <v>-14481.735193862716</v>
      </c>
    </row>
    <row r="276" spans="1:77" x14ac:dyDescent="0.3">
      <c r="A276" s="551"/>
      <c r="B276" s="548"/>
      <c r="C276" s="525"/>
      <c r="D276" s="525"/>
      <c r="E276" s="572" t="s">
        <v>36</v>
      </c>
      <c r="F276" s="572"/>
      <c r="G276" s="572"/>
      <c r="H276" s="572"/>
      <c r="I276" s="572"/>
      <c r="J276" s="572"/>
      <c r="K276" s="572"/>
      <c r="L276" s="572"/>
      <c r="M276" s="572"/>
      <c r="N276" s="572"/>
      <c r="O276" s="572"/>
      <c r="P276" s="612"/>
      <c r="Q276" s="572"/>
      <c r="R276" s="530">
        <f t="shared" ref="R276:AW276" si="393">SUM(R270:R275)</f>
        <v>-34765.354323754742</v>
      </c>
      <c r="S276" s="530">
        <f t="shared" si="393"/>
        <v>-34765.354323754742</v>
      </c>
      <c r="T276" s="530">
        <f t="shared" si="393"/>
        <v>-34765.354323754742</v>
      </c>
      <c r="U276" s="530">
        <f t="shared" si="393"/>
        <v>-34765.354323754742</v>
      </c>
      <c r="V276" s="530">
        <f t="shared" si="393"/>
        <v>-34765.354323754742</v>
      </c>
      <c r="W276" s="530">
        <f t="shared" si="393"/>
        <v>-34765.354323754742</v>
      </c>
      <c r="X276" s="530">
        <f t="shared" si="393"/>
        <v>-35717.679592614353</v>
      </c>
      <c r="Y276" s="530">
        <f t="shared" si="393"/>
        <v>-35717.679592614353</v>
      </c>
      <c r="Z276" s="530">
        <f t="shared" si="393"/>
        <v>-35717.679592614353</v>
      </c>
      <c r="AA276" s="530">
        <f t="shared" si="393"/>
        <v>-35717.679592614353</v>
      </c>
      <c r="AB276" s="530">
        <f t="shared" si="393"/>
        <v>-35717.679592614353</v>
      </c>
      <c r="AC276" s="530">
        <f t="shared" si="393"/>
        <v>-35717.679592614353</v>
      </c>
      <c r="AD276" s="530">
        <f t="shared" si="393"/>
        <v>-37002.455914425467</v>
      </c>
      <c r="AE276" s="530">
        <f t="shared" si="393"/>
        <v>-37002.455914425467</v>
      </c>
      <c r="AF276" s="530">
        <f t="shared" si="393"/>
        <v>-37002.455914425467</v>
      </c>
      <c r="AG276" s="530">
        <f t="shared" si="393"/>
        <v>-37002.455914425467</v>
      </c>
      <c r="AH276" s="530">
        <f t="shared" si="393"/>
        <v>-37002.455914425467</v>
      </c>
      <c r="AI276" s="530">
        <f t="shared" si="393"/>
        <v>-37002.455914425467</v>
      </c>
      <c r="AJ276" s="530">
        <f t="shared" si="393"/>
        <v>-38215.231764095792</v>
      </c>
      <c r="AK276" s="530">
        <f t="shared" si="393"/>
        <v>-38215.231764095792</v>
      </c>
      <c r="AL276" s="530">
        <f t="shared" si="393"/>
        <v>-38215.231764095792</v>
      </c>
      <c r="AM276" s="530">
        <f t="shared" si="393"/>
        <v>-38215.231764095792</v>
      </c>
      <c r="AN276" s="530">
        <f t="shared" si="393"/>
        <v>-38215.231764095792</v>
      </c>
      <c r="AO276" s="530">
        <f t="shared" si="393"/>
        <v>-38215.231764095792</v>
      </c>
      <c r="AP276" s="530">
        <f t="shared" si="393"/>
        <v>-39295.485471793465</v>
      </c>
      <c r="AQ276" s="530">
        <f t="shared" si="393"/>
        <v>-39295.485471793465</v>
      </c>
      <c r="AR276" s="530">
        <f t="shared" si="393"/>
        <v>-39295.485471793465</v>
      </c>
      <c r="AS276" s="530">
        <f t="shared" si="393"/>
        <v>-39295.485471793465</v>
      </c>
      <c r="AT276" s="530">
        <f t="shared" si="393"/>
        <v>-39295.485471793465</v>
      </c>
      <c r="AU276" s="530">
        <f t="shared" si="393"/>
        <v>-39295.485471793465</v>
      </c>
      <c r="AV276" s="530">
        <f t="shared" si="393"/>
        <v>-40782.910310452513</v>
      </c>
      <c r="AW276" s="530">
        <f t="shared" si="393"/>
        <v>-40782.910310452513</v>
      </c>
      <c r="AX276" s="530">
        <f t="shared" ref="AX276:BY276" si="394">SUM(AX270:AX275)</f>
        <v>-40782.910310452513</v>
      </c>
      <c r="AY276" s="530">
        <f t="shared" si="394"/>
        <v>-40782.910310452513</v>
      </c>
      <c r="AZ276" s="530">
        <f t="shared" si="394"/>
        <v>-40782.910310452513</v>
      </c>
      <c r="BA276" s="530">
        <f t="shared" si="394"/>
        <v>-40782.910310452513</v>
      </c>
      <c r="BB276" s="530">
        <f t="shared" si="394"/>
        <v>-41685.497683547459</v>
      </c>
      <c r="BC276" s="530">
        <f t="shared" si="394"/>
        <v>-41685.497683547459</v>
      </c>
      <c r="BD276" s="530">
        <f t="shared" si="394"/>
        <v>-41685.497683547459</v>
      </c>
      <c r="BE276" s="530">
        <f t="shared" si="394"/>
        <v>-41685.497683547459</v>
      </c>
      <c r="BF276" s="530">
        <f t="shared" si="394"/>
        <v>-41685.497683547459</v>
      </c>
      <c r="BG276" s="530">
        <f t="shared" si="394"/>
        <v>-41685.497683547459</v>
      </c>
      <c r="BH276" s="530">
        <f t="shared" si="394"/>
        <v>-43462.532357721917</v>
      </c>
      <c r="BI276" s="530">
        <f t="shared" si="394"/>
        <v>-43462.532357721917</v>
      </c>
      <c r="BJ276" s="530">
        <f t="shared" si="394"/>
        <v>-43462.532357721917</v>
      </c>
      <c r="BK276" s="530">
        <f t="shared" si="394"/>
        <v>-43462.532357721917</v>
      </c>
      <c r="BL276" s="530">
        <f t="shared" si="394"/>
        <v>-43462.532357721917</v>
      </c>
      <c r="BM276" s="530">
        <f t="shared" si="394"/>
        <v>-43462.532357721917</v>
      </c>
      <c r="BN276" s="530">
        <f t="shared" si="394"/>
        <v>-44228.975547644652</v>
      </c>
      <c r="BO276" s="530">
        <f t="shared" si="394"/>
        <v>-44228.975547644652</v>
      </c>
      <c r="BP276" s="530">
        <f t="shared" si="394"/>
        <v>-44228.975547644652</v>
      </c>
      <c r="BQ276" s="530">
        <f t="shared" si="394"/>
        <v>-44228.975547644652</v>
      </c>
      <c r="BR276" s="530">
        <f t="shared" si="394"/>
        <v>-44228.975547644652</v>
      </c>
      <c r="BS276" s="530">
        <f t="shared" si="394"/>
        <v>-44228.975547644652</v>
      </c>
      <c r="BT276" s="530">
        <f t="shared" si="394"/>
        <v>-46310.314856710436</v>
      </c>
      <c r="BU276" s="530">
        <f t="shared" si="394"/>
        <v>-46310.314856710436</v>
      </c>
      <c r="BV276" s="530">
        <f t="shared" si="394"/>
        <v>-46310.314856710436</v>
      </c>
      <c r="BW276" s="530">
        <f t="shared" si="394"/>
        <v>-46310.314856710436</v>
      </c>
      <c r="BX276" s="530">
        <f t="shared" si="394"/>
        <v>-46310.314856710436</v>
      </c>
      <c r="BY276" s="530">
        <f t="shared" si="394"/>
        <v>-46310.314856710436</v>
      </c>
    </row>
    <row r="277" spans="1:77" x14ac:dyDescent="0.3">
      <c r="A277" s="551"/>
      <c r="B277" s="548"/>
      <c r="C277" s="525"/>
      <c r="D277" s="525"/>
      <c r="E277" s="525"/>
      <c r="F277" s="525"/>
      <c r="G277" s="525"/>
      <c r="H277" s="525"/>
      <c r="I277" s="525"/>
      <c r="J277" s="525"/>
      <c r="K277" s="525"/>
      <c r="L277" s="525"/>
      <c r="M277" s="525"/>
      <c r="N277" s="525"/>
      <c r="O277" s="525"/>
      <c r="P277" s="565"/>
      <c r="Q277" s="525"/>
      <c r="R277" s="525"/>
      <c r="S277" s="525"/>
      <c r="T277" s="525"/>
      <c r="U277" s="525"/>
      <c r="V277" s="525"/>
      <c r="W277" s="525"/>
      <c r="X277" s="525"/>
      <c r="Y277" s="525"/>
      <c r="Z277" s="525"/>
      <c r="AA277" s="525"/>
      <c r="AB277" s="525"/>
      <c r="AC277" s="525"/>
      <c r="AD277" s="525"/>
      <c r="AE277" s="525"/>
      <c r="AF277" s="525"/>
      <c r="AG277" s="525"/>
      <c r="AH277" s="525"/>
      <c r="AI277" s="525"/>
      <c r="AJ277" s="525"/>
      <c r="AK277" s="525"/>
      <c r="AL277" s="525"/>
      <c r="AM277" s="525"/>
      <c r="AN277" s="525"/>
      <c r="AO277" s="525"/>
      <c r="AP277" s="525"/>
      <c r="AQ277" s="525"/>
      <c r="AR277" s="525"/>
      <c r="AS277" s="525"/>
      <c r="AT277" s="525"/>
      <c r="AU277" s="525"/>
      <c r="AV277" s="525"/>
      <c r="AW277" s="525"/>
      <c r="AX277" s="525"/>
      <c r="AY277" s="525"/>
      <c r="AZ277" s="525"/>
      <c r="BA277" s="525"/>
      <c r="BB277" s="525"/>
      <c r="BC277" s="525"/>
      <c r="BD277" s="525"/>
      <c r="BE277" s="525"/>
      <c r="BF277" s="525"/>
      <c r="BG277" s="525"/>
      <c r="BH277" s="525"/>
      <c r="BI277" s="525"/>
      <c r="BJ277" s="525"/>
      <c r="BK277" s="525"/>
      <c r="BL277" s="525"/>
      <c r="BM277" s="525"/>
      <c r="BN277" s="525"/>
      <c r="BO277" s="525"/>
      <c r="BP277" s="525"/>
      <c r="BQ277" s="525"/>
      <c r="BR277" s="525"/>
      <c r="BS277" s="525"/>
      <c r="BT277" s="525"/>
      <c r="BU277" s="525"/>
      <c r="BV277" s="525"/>
      <c r="BW277" s="525"/>
      <c r="BX277" s="525"/>
      <c r="BY277" s="525"/>
    </row>
    <row r="278" spans="1:77" x14ac:dyDescent="0.3">
      <c r="A278" s="551"/>
      <c r="B278" s="548"/>
      <c r="C278" s="525"/>
      <c r="D278" s="525"/>
      <c r="E278" s="624" t="s">
        <v>108</v>
      </c>
      <c r="F278" s="624"/>
      <c r="G278" s="624"/>
      <c r="H278" s="624"/>
      <c r="I278" s="624"/>
      <c r="J278" s="624"/>
      <c r="K278" s="624"/>
      <c r="L278" s="624"/>
      <c r="M278" s="624"/>
      <c r="N278" s="624"/>
      <c r="O278" s="624"/>
      <c r="P278" s="625"/>
      <c r="Q278" s="624"/>
      <c r="R278" s="541">
        <f t="shared" ref="R278:AW278" si="395">R252+R260+R268+R276-R244</f>
        <v>0</v>
      </c>
      <c r="S278" s="541">
        <f t="shared" si="395"/>
        <v>0</v>
      </c>
      <c r="T278" s="541">
        <f t="shared" si="395"/>
        <v>0</v>
      </c>
      <c r="U278" s="541">
        <f t="shared" si="395"/>
        <v>0</v>
      </c>
      <c r="V278" s="541">
        <f t="shared" si="395"/>
        <v>0</v>
      </c>
      <c r="W278" s="541">
        <f t="shared" si="395"/>
        <v>0</v>
      </c>
      <c r="X278" s="541">
        <f t="shared" si="395"/>
        <v>0</v>
      </c>
      <c r="Y278" s="541">
        <f t="shared" si="395"/>
        <v>0</v>
      </c>
      <c r="Z278" s="541">
        <f t="shared" si="395"/>
        <v>0</v>
      </c>
      <c r="AA278" s="541">
        <f t="shared" si="395"/>
        <v>0</v>
      </c>
      <c r="AB278" s="541">
        <f t="shared" si="395"/>
        <v>0</v>
      </c>
      <c r="AC278" s="541">
        <f t="shared" si="395"/>
        <v>0</v>
      </c>
      <c r="AD278" s="541">
        <f t="shared" si="395"/>
        <v>0</v>
      </c>
      <c r="AE278" s="541">
        <f t="shared" si="395"/>
        <v>0</v>
      </c>
      <c r="AF278" s="541">
        <f t="shared" si="395"/>
        <v>0</v>
      </c>
      <c r="AG278" s="541">
        <f t="shared" si="395"/>
        <v>0</v>
      </c>
      <c r="AH278" s="541">
        <f t="shared" si="395"/>
        <v>0</v>
      </c>
      <c r="AI278" s="541">
        <f t="shared" si="395"/>
        <v>0</v>
      </c>
      <c r="AJ278" s="541">
        <f t="shared" si="395"/>
        <v>0</v>
      </c>
      <c r="AK278" s="541">
        <f t="shared" si="395"/>
        <v>0</v>
      </c>
      <c r="AL278" s="541">
        <f t="shared" si="395"/>
        <v>0</v>
      </c>
      <c r="AM278" s="541">
        <f t="shared" si="395"/>
        <v>0</v>
      </c>
      <c r="AN278" s="541">
        <f t="shared" si="395"/>
        <v>0</v>
      </c>
      <c r="AO278" s="541">
        <f t="shared" si="395"/>
        <v>0</v>
      </c>
      <c r="AP278" s="541">
        <f t="shared" si="395"/>
        <v>0</v>
      </c>
      <c r="AQ278" s="541">
        <f t="shared" si="395"/>
        <v>0</v>
      </c>
      <c r="AR278" s="541">
        <f t="shared" si="395"/>
        <v>0</v>
      </c>
      <c r="AS278" s="541">
        <f t="shared" si="395"/>
        <v>0</v>
      </c>
      <c r="AT278" s="541">
        <f t="shared" si="395"/>
        <v>0</v>
      </c>
      <c r="AU278" s="541">
        <f t="shared" si="395"/>
        <v>0</v>
      </c>
      <c r="AV278" s="541">
        <f t="shared" si="395"/>
        <v>0</v>
      </c>
      <c r="AW278" s="541">
        <f t="shared" si="395"/>
        <v>0</v>
      </c>
      <c r="AX278" s="541">
        <f t="shared" ref="AX278:BY278" si="396">AX252+AX260+AX268+AX276-AX244</f>
        <v>0</v>
      </c>
      <c r="AY278" s="541">
        <f t="shared" si="396"/>
        <v>0</v>
      </c>
      <c r="AZ278" s="541">
        <f t="shared" si="396"/>
        <v>0</v>
      </c>
      <c r="BA278" s="541">
        <f t="shared" si="396"/>
        <v>0</v>
      </c>
      <c r="BB278" s="541">
        <f t="shared" si="396"/>
        <v>0</v>
      </c>
      <c r="BC278" s="541">
        <f t="shared" si="396"/>
        <v>0</v>
      </c>
      <c r="BD278" s="541">
        <f t="shared" si="396"/>
        <v>0</v>
      </c>
      <c r="BE278" s="541">
        <f t="shared" si="396"/>
        <v>0</v>
      </c>
      <c r="BF278" s="541">
        <f t="shared" si="396"/>
        <v>0</v>
      </c>
      <c r="BG278" s="541">
        <f t="shared" si="396"/>
        <v>0</v>
      </c>
      <c r="BH278" s="541">
        <f t="shared" si="396"/>
        <v>0</v>
      </c>
      <c r="BI278" s="541">
        <f t="shared" si="396"/>
        <v>0</v>
      </c>
      <c r="BJ278" s="541">
        <f t="shared" si="396"/>
        <v>0</v>
      </c>
      <c r="BK278" s="541">
        <f t="shared" si="396"/>
        <v>0</v>
      </c>
      <c r="BL278" s="541">
        <f t="shared" si="396"/>
        <v>0</v>
      </c>
      <c r="BM278" s="541">
        <f t="shared" si="396"/>
        <v>0</v>
      </c>
      <c r="BN278" s="541">
        <f t="shared" si="396"/>
        <v>0</v>
      </c>
      <c r="BO278" s="541">
        <f t="shared" si="396"/>
        <v>0</v>
      </c>
      <c r="BP278" s="541">
        <f t="shared" si="396"/>
        <v>0</v>
      </c>
      <c r="BQ278" s="541">
        <f t="shared" si="396"/>
        <v>0</v>
      </c>
      <c r="BR278" s="541">
        <f t="shared" si="396"/>
        <v>0</v>
      </c>
      <c r="BS278" s="541">
        <f t="shared" si="396"/>
        <v>0</v>
      </c>
      <c r="BT278" s="541">
        <f t="shared" si="396"/>
        <v>0</v>
      </c>
      <c r="BU278" s="541">
        <f t="shared" si="396"/>
        <v>0</v>
      </c>
      <c r="BV278" s="541">
        <f t="shared" si="396"/>
        <v>0</v>
      </c>
      <c r="BW278" s="541">
        <f t="shared" si="396"/>
        <v>0</v>
      </c>
      <c r="BX278" s="541">
        <f t="shared" si="396"/>
        <v>0</v>
      </c>
      <c r="BY278" s="541">
        <f t="shared" si="396"/>
        <v>0</v>
      </c>
    </row>
    <row r="279" spans="1:77" x14ac:dyDescent="0.3">
      <c r="A279" s="551"/>
      <c r="B279" s="548"/>
      <c r="C279" s="525"/>
      <c r="D279" s="525"/>
      <c r="E279" s="525"/>
      <c r="F279" s="525"/>
      <c r="G279" s="525"/>
      <c r="H279" s="525"/>
      <c r="I279" s="525"/>
      <c r="J279" s="525"/>
      <c r="K279" s="525"/>
      <c r="L279" s="525"/>
      <c r="M279" s="525"/>
      <c r="N279" s="525"/>
      <c r="O279" s="525"/>
      <c r="P279" s="565"/>
      <c r="Q279" s="525"/>
      <c r="R279" s="525"/>
      <c r="S279" s="525"/>
      <c r="T279" s="525"/>
      <c r="U279" s="525"/>
      <c r="V279" s="525"/>
      <c r="W279" s="525"/>
      <c r="X279" s="525"/>
      <c r="Y279" s="525"/>
      <c r="Z279" s="525"/>
      <c r="AA279" s="525"/>
      <c r="AB279" s="525"/>
      <c r="AC279" s="525"/>
      <c r="AD279" s="525"/>
      <c r="AE279" s="525"/>
      <c r="AF279" s="525"/>
      <c r="AG279" s="525"/>
      <c r="AH279" s="525"/>
      <c r="AI279" s="525"/>
      <c r="AJ279" s="525"/>
      <c r="AK279" s="525"/>
      <c r="AL279" s="525"/>
      <c r="AM279" s="525"/>
      <c r="AN279" s="525"/>
      <c r="AO279" s="525"/>
      <c r="AP279" s="525"/>
      <c r="AQ279" s="525"/>
      <c r="AR279" s="525"/>
      <c r="AS279" s="525"/>
      <c r="AT279" s="525"/>
      <c r="AU279" s="525"/>
      <c r="AV279" s="525"/>
      <c r="AW279" s="525"/>
      <c r="AX279" s="525"/>
      <c r="AY279" s="525"/>
      <c r="AZ279" s="525"/>
      <c r="BA279" s="525"/>
      <c r="BB279" s="525"/>
      <c r="BC279" s="525"/>
      <c r="BD279" s="525"/>
      <c r="BE279" s="525"/>
      <c r="BF279" s="525"/>
      <c r="BG279" s="525"/>
      <c r="BH279" s="525"/>
      <c r="BI279" s="525"/>
      <c r="BJ279" s="525"/>
      <c r="BK279" s="525"/>
      <c r="BL279" s="525"/>
      <c r="BM279" s="525"/>
      <c r="BN279" s="525"/>
      <c r="BO279" s="525"/>
      <c r="BP279" s="525"/>
      <c r="BQ279" s="525"/>
      <c r="BR279" s="525"/>
      <c r="BS279" s="525"/>
      <c r="BT279" s="525"/>
      <c r="BU279" s="525"/>
      <c r="BV279" s="525"/>
      <c r="BW279" s="525"/>
      <c r="BX279" s="525"/>
      <c r="BY279" s="525"/>
    </row>
    <row r="280" spans="1:77" x14ac:dyDescent="0.3">
      <c r="A280" s="551"/>
      <c r="B280" s="548"/>
      <c r="C280" s="525"/>
      <c r="D280" s="525"/>
      <c r="E280" s="614" t="s">
        <v>109</v>
      </c>
      <c r="F280" s="539"/>
      <c r="G280" s="539"/>
      <c r="H280" s="539"/>
      <c r="I280" s="539"/>
      <c r="J280" s="539"/>
      <c r="K280" s="539"/>
      <c r="L280" s="539"/>
      <c r="M280" s="539"/>
      <c r="N280" s="539"/>
      <c r="O280" s="539"/>
      <c r="P280" s="615"/>
      <c r="Q280" s="539"/>
      <c r="R280" s="539"/>
      <c r="S280" s="539"/>
      <c r="T280" s="539"/>
      <c r="U280" s="539"/>
      <c r="V280" s="539"/>
      <c r="W280" s="539"/>
      <c r="X280" s="539"/>
      <c r="Y280" s="539"/>
      <c r="Z280" s="539"/>
      <c r="AA280" s="539"/>
      <c r="AB280" s="539"/>
      <c r="AC280" s="539"/>
      <c r="AD280" s="539"/>
      <c r="AE280" s="539"/>
      <c r="AF280" s="539"/>
      <c r="AG280" s="539"/>
      <c r="AH280" s="539"/>
      <c r="AI280" s="539"/>
      <c r="AJ280" s="539"/>
      <c r="AK280" s="539"/>
      <c r="AL280" s="539"/>
      <c r="AM280" s="539"/>
      <c r="AN280" s="539"/>
      <c r="AO280" s="539"/>
      <c r="AP280" s="539"/>
      <c r="AQ280" s="539"/>
      <c r="AR280" s="539"/>
      <c r="AS280" s="539"/>
      <c r="AT280" s="539"/>
      <c r="AU280" s="539"/>
      <c r="AV280" s="539"/>
      <c r="AW280" s="539"/>
      <c r="AX280" s="539"/>
      <c r="AY280" s="539"/>
      <c r="AZ280" s="539"/>
      <c r="BA280" s="539"/>
      <c r="BB280" s="539"/>
      <c r="BC280" s="539"/>
      <c r="BD280" s="539"/>
      <c r="BE280" s="539"/>
      <c r="BF280" s="539"/>
      <c r="BG280" s="539"/>
      <c r="BH280" s="539"/>
      <c r="BI280" s="539"/>
      <c r="BJ280" s="539"/>
      <c r="BK280" s="539"/>
      <c r="BL280" s="539"/>
      <c r="BM280" s="539"/>
      <c r="BN280" s="539"/>
      <c r="BO280" s="539"/>
      <c r="BP280" s="539"/>
      <c r="BQ280" s="539"/>
      <c r="BR280" s="539"/>
      <c r="BS280" s="539"/>
      <c r="BT280" s="539"/>
      <c r="BU280" s="539"/>
      <c r="BV280" s="539"/>
      <c r="BW280" s="539"/>
      <c r="BX280" s="539"/>
      <c r="BY280" s="539"/>
    </row>
    <row r="281" spans="1:77" x14ac:dyDescent="0.3">
      <c r="A281" s="551"/>
      <c r="B281" s="548"/>
      <c r="C281" s="525"/>
      <c r="D281" s="525"/>
      <c r="E281" s="525"/>
      <c r="F281" s="525"/>
      <c r="G281" s="525"/>
      <c r="H281" s="525"/>
      <c r="I281" s="525"/>
      <c r="J281" s="525"/>
      <c r="K281" s="525"/>
      <c r="L281" s="525"/>
      <c r="M281" s="525"/>
      <c r="N281" s="525"/>
      <c r="O281" s="525"/>
      <c r="P281" s="565"/>
      <c r="Q281" s="525"/>
      <c r="R281" s="525"/>
      <c r="S281" s="525"/>
      <c r="T281" s="525"/>
      <c r="U281" s="525"/>
      <c r="V281" s="525"/>
      <c r="W281" s="525"/>
      <c r="X281" s="525"/>
      <c r="Y281" s="525"/>
      <c r="Z281" s="525"/>
      <c r="AA281" s="525"/>
      <c r="AB281" s="525"/>
      <c r="AC281" s="525"/>
      <c r="AD281" s="525"/>
      <c r="AE281" s="525"/>
      <c r="AF281" s="525"/>
      <c r="AG281" s="525"/>
      <c r="AH281" s="525"/>
      <c r="AI281" s="525"/>
      <c r="AJ281" s="525"/>
      <c r="AK281" s="525"/>
      <c r="AL281" s="525"/>
      <c r="AM281" s="525"/>
      <c r="AN281" s="525"/>
      <c r="AO281" s="525"/>
      <c r="AP281" s="525"/>
      <c r="AQ281" s="525"/>
      <c r="AR281" s="525"/>
      <c r="AS281" s="525"/>
      <c r="AT281" s="525"/>
      <c r="AU281" s="525"/>
      <c r="AV281" s="525"/>
      <c r="AW281" s="525"/>
      <c r="AX281" s="525"/>
      <c r="AY281" s="525"/>
      <c r="AZ281" s="525"/>
      <c r="BA281" s="525"/>
      <c r="BB281" s="525"/>
      <c r="BC281" s="525"/>
      <c r="BD281" s="525"/>
      <c r="BE281" s="525"/>
      <c r="BF281" s="525"/>
      <c r="BG281" s="525"/>
      <c r="BH281" s="525"/>
      <c r="BI281" s="525"/>
      <c r="BJ281" s="525"/>
      <c r="BK281" s="525"/>
      <c r="BL281" s="525"/>
      <c r="BM281" s="525"/>
      <c r="BN281" s="525"/>
      <c r="BO281" s="525"/>
      <c r="BP281" s="525"/>
      <c r="BQ281" s="525"/>
      <c r="BR281" s="525"/>
      <c r="BS281" s="525"/>
      <c r="BT281" s="525"/>
      <c r="BU281" s="525"/>
      <c r="BV281" s="525"/>
      <c r="BW281" s="525"/>
      <c r="BX281" s="525"/>
      <c r="BY281" s="525"/>
    </row>
    <row r="282" spans="1:77" x14ac:dyDescent="0.3">
      <c r="A282" s="551"/>
      <c r="B282" s="548"/>
      <c r="C282" s="525"/>
      <c r="D282" s="525"/>
      <c r="E282" s="626" t="str">
        <f>"WSM net comm.: "&amp;E$155</f>
        <v>WSM net comm.: FY27 Tranche</v>
      </c>
      <c r="F282" s="525"/>
      <c r="G282" s="525"/>
      <c r="H282" s="525"/>
      <c r="I282" s="525"/>
      <c r="J282" s="525"/>
      <c r="K282" s="525"/>
      <c r="L282" s="525"/>
      <c r="M282" s="525"/>
      <c r="N282" s="525"/>
      <c r="O282" s="525"/>
      <c r="P282" s="565"/>
      <c r="Q282" s="525"/>
      <c r="R282" s="527">
        <f t="shared" ref="R282:AW282" si="397">($R155*R$590*R490)+((($R155*R$590)+R213)*R482)</f>
        <v>469.54827227812228</v>
      </c>
      <c r="S282" s="527">
        <f t="shared" si="397"/>
        <v>469.54827227812228</v>
      </c>
      <c r="T282" s="527">
        <f t="shared" si="397"/>
        <v>469.54827227812228</v>
      </c>
      <c r="U282" s="527">
        <f t="shared" si="397"/>
        <v>469.54827227812228</v>
      </c>
      <c r="V282" s="527">
        <f t="shared" si="397"/>
        <v>469.54827227812228</v>
      </c>
      <c r="W282" s="527">
        <f t="shared" si="397"/>
        <v>469.54827227812228</v>
      </c>
      <c r="X282" s="527">
        <f t="shared" si="397"/>
        <v>569.23115695940226</v>
      </c>
      <c r="Y282" s="527">
        <f t="shared" si="397"/>
        <v>569.23115695940226</v>
      </c>
      <c r="Z282" s="527">
        <f t="shared" si="397"/>
        <v>569.23115695940226</v>
      </c>
      <c r="AA282" s="527">
        <f t="shared" si="397"/>
        <v>569.23115695940226</v>
      </c>
      <c r="AB282" s="527">
        <f t="shared" si="397"/>
        <v>569.23115695940226</v>
      </c>
      <c r="AC282" s="527">
        <f t="shared" si="397"/>
        <v>569.23115695940226</v>
      </c>
      <c r="AD282" s="527">
        <f t="shared" si="397"/>
        <v>543.41655671286037</v>
      </c>
      <c r="AE282" s="527">
        <f t="shared" si="397"/>
        <v>543.41655671286037</v>
      </c>
      <c r="AF282" s="527">
        <f t="shared" si="397"/>
        <v>543.41655671286037</v>
      </c>
      <c r="AG282" s="527">
        <f t="shared" si="397"/>
        <v>543.41655671286037</v>
      </c>
      <c r="AH282" s="527">
        <f t="shared" si="397"/>
        <v>543.41655671286037</v>
      </c>
      <c r="AI282" s="527">
        <f t="shared" si="397"/>
        <v>543.41655671286037</v>
      </c>
      <c r="AJ282" s="527">
        <f t="shared" si="397"/>
        <v>568.21549418746008</v>
      </c>
      <c r="AK282" s="527">
        <f t="shared" si="397"/>
        <v>568.21549418746008</v>
      </c>
      <c r="AL282" s="527">
        <f t="shared" si="397"/>
        <v>568.21549418746008</v>
      </c>
      <c r="AM282" s="527">
        <f t="shared" si="397"/>
        <v>568.21549418746008</v>
      </c>
      <c r="AN282" s="527">
        <f t="shared" si="397"/>
        <v>568.21549418746008</v>
      </c>
      <c r="AO282" s="527">
        <f t="shared" si="397"/>
        <v>568.21549418746008</v>
      </c>
      <c r="AP282" s="527">
        <f t="shared" si="397"/>
        <v>543.90601942355613</v>
      </c>
      <c r="AQ282" s="527">
        <f t="shared" si="397"/>
        <v>543.90601942355613</v>
      </c>
      <c r="AR282" s="527">
        <f t="shared" si="397"/>
        <v>543.90601942355613</v>
      </c>
      <c r="AS282" s="527">
        <f t="shared" si="397"/>
        <v>543.90601942355613</v>
      </c>
      <c r="AT282" s="527">
        <f t="shared" si="397"/>
        <v>543.90601942355613</v>
      </c>
      <c r="AU282" s="527">
        <f t="shared" si="397"/>
        <v>543.90601942355613</v>
      </c>
      <c r="AV282" s="527">
        <f t="shared" si="397"/>
        <v>568.45189369468449</v>
      </c>
      <c r="AW282" s="527">
        <f t="shared" si="397"/>
        <v>568.45189369468449</v>
      </c>
      <c r="AX282" s="527">
        <f t="shared" ref="AX282:BY282" si="398">($R155*AX$590*AX490)+((($R155*AX$590)+AX213)*AX482)</f>
        <v>568.45189369468449</v>
      </c>
      <c r="AY282" s="527">
        <f t="shared" si="398"/>
        <v>568.45189369468449</v>
      </c>
      <c r="AZ282" s="527">
        <f t="shared" si="398"/>
        <v>568.45189369468449</v>
      </c>
      <c r="BA282" s="527">
        <f t="shared" si="398"/>
        <v>568.45189369468449</v>
      </c>
      <c r="BB282" s="527">
        <f t="shared" si="398"/>
        <v>546.34833504406913</v>
      </c>
      <c r="BC282" s="527">
        <f t="shared" si="398"/>
        <v>546.34833504406913</v>
      </c>
      <c r="BD282" s="527">
        <f t="shared" si="398"/>
        <v>546.34833504406913</v>
      </c>
      <c r="BE282" s="527">
        <f t="shared" si="398"/>
        <v>546.34833504406913</v>
      </c>
      <c r="BF282" s="527">
        <f t="shared" si="398"/>
        <v>546.34833504406913</v>
      </c>
      <c r="BG282" s="527">
        <f t="shared" si="398"/>
        <v>546.34833504406913</v>
      </c>
      <c r="BH282" s="527">
        <f t="shared" si="398"/>
        <v>570.71153457287562</v>
      </c>
      <c r="BI282" s="527">
        <f t="shared" si="398"/>
        <v>570.71153457287562</v>
      </c>
      <c r="BJ282" s="527">
        <f t="shared" si="398"/>
        <v>570.71153457287562</v>
      </c>
      <c r="BK282" s="527">
        <f t="shared" si="398"/>
        <v>570.71153457287562</v>
      </c>
      <c r="BL282" s="527">
        <f t="shared" si="398"/>
        <v>570.71153457287562</v>
      </c>
      <c r="BM282" s="527">
        <f t="shared" si="398"/>
        <v>570.71153457287562</v>
      </c>
      <c r="BN282" s="527">
        <f t="shared" si="398"/>
        <v>549.44757129303662</v>
      </c>
      <c r="BO282" s="527">
        <f t="shared" si="398"/>
        <v>549.44757129303662</v>
      </c>
      <c r="BP282" s="527">
        <f t="shared" si="398"/>
        <v>549.44757129303662</v>
      </c>
      <c r="BQ282" s="527">
        <f t="shared" si="398"/>
        <v>549.44757129303662</v>
      </c>
      <c r="BR282" s="527">
        <f t="shared" si="398"/>
        <v>549.44757129303662</v>
      </c>
      <c r="BS282" s="527">
        <f t="shared" si="398"/>
        <v>549.44757129303662</v>
      </c>
      <c r="BT282" s="527">
        <f t="shared" si="398"/>
        <v>573.64057708588098</v>
      </c>
      <c r="BU282" s="527">
        <f t="shared" si="398"/>
        <v>573.64057708588098</v>
      </c>
      <c r="BV282" s="527">
        <f t="shared" si="398"/>
        <v>573.64057708588098</v>
      </c>
      <c r="BW282" s="527">
        <f t="shared" si="398"/>
        <v>573.64057708588098</v>
      </c>
      <c r="BX282" s="527">
        <f t="shared" si="398"/>
        <v>573.64057708588098</v>
      </c>
      <c r="BY282" s="527">
        <f t="shared" si="398"/>
        <v>573.64057708588098</v>
      </c>
    </row>
    <row r="283" spans="1:77" x14ac:dyDescent="0.3">
      <c r="A283" s="551"/>
      <c r="B283" s="548"/>
      <c r="C283" s="525"/>
      <c r="D283" s="525"/>
      <c r="E283" s="626" t="str">
        <f>"WSM net comm.: "&amp;E$156</f>
        <v>WSM net comm.: FY28 Tranche</v>
      </c>
      <c r="F283" s="525"/>
      <c r="G283" s="525"/>
      <c r="H283" s="525"/>
      <c r="I283" s="525"/>
      <c r="J283" s="525"/>
      <c r="K283" s="525"/>
      <c r="L283" s="525"/>
      <c r="M283" s="525"/>
      <c r="N283" s="525"/>
      <c r="O283" s="525"/>
      <c r="P283" s="565"/>
      <c r="Q283" s="525"/>
      <c r="R283" s="527">
        <f t="shared" ref="R283:AW283" si="399">($R156*R$590*R491)+((($R156*R$590)+R214)*R483)</f>
        <v>469.54827227812228</v>
      </c>
      <c r="S283" s="527">
        <f t="shared" si="399"/>
        <v>469.54827227812228</v>
      </c>
      <c r="T283" s="527">
        <f t="shared" si="399"/>
        <v>469.54827227812228</v>
      </c>
      <c r="U283" s="527">
        <f t="shared" si="399"/>
        <v>469.54827227812228</v>
      </c>
      <c r="V283" s="527">
        <f t="shared" si="399"/>
        <v>469.54827227812228</v>
      </c>
      <c r="W283" s="527">
        <f t="shared" si="399"/>
        <v>469.54827227812228</v>
      </c>
      <c r="X283" s="527">
        <f t="shared" si="399"/>
        <v>469.54827227812228</v>
      </c>
      <c r="Y283" s="527">
        <f t="shared" si="399"/>
        <v>469.54827227812228</v>
      </c>
      <c r="Z283" s="527">
        <f t="shared" si="399"/>
        <v>469.54827227812228</v>
      </c>
      <c r="AA283" s="527">
        <f t="shared" si="399"/>
        <v>469.54827227812228</v>
      </c>
      <c r="AB283" s="527">
        <f t="shared" si="399"/>
        <v>469.54827227812228</v>
      </c>
      <c r="AC283" s="527">
        <f t="shared" si="399"/>
        <v>469.54827227812228</v>
      </c>
      <c r="AD283" s="527">
        <f t="shared" si="399"/>
        <v>469.54827227812228</v>
      </c>
      <c r="AE283" s="527">
        <f t="shared" si="399"/>
        <v>469.54827227812228</v>
      </c>
      <c r="AF283" s="527">
        <f t="shared" si="399"/>
        <v>469.54827227812228</v>
      </c>
      <c r="AG283" s="527">
        <f t="shared" si="399"/>
        <v>469.54827227812228</v>
      </c>
      <c r="AH283" s="527">
        <f t="shared" si="399"/>
        <v>469.54827227812228</v>
      </c>
      <c r="AI283" s="527">
        <f t="shared" si="399"/>
        <v>469.54827227812228</v>
      </c>
      <c r="AJ283" s="527">
        <f t="shared" si="399"/>
        <v>566.44060631266257</v>
      </c>
      <c r="AK283" s="527">
        <f t="shared" si="399"/>
        <v>566.44060631266257</v>
      </c>
      <c r="AL283" s="527">
        <f t="shared" si="399"/>
        <v>566.44060631266257</v>
      </c>
      <c r="AM283" s="527">
        <f t="shared" si="399"/>
        <v>566.44060631266257</v>
      </c>
      <c r="AN283" s="527">
        <f t="shared" si="399"/>
        <v>566.44060631266257</v>
      </c>
      <c r="AO283" s="527">
        <f t="shared" si="399"/>
        <v>566.44060631266257</v>
      </c>
      <c r="AP283" s="527">
        <f t="shared" si="399"/>
        <v>542.21681186931073</v>
      </c>
      <c r="AQ283" s="527">
        <f t="shared" si="399"/>
        <v>542.21681186931073</v>
      </c>
      <c r="AR283" s="527">
        <f t="shared" si="399"/>
        <v>542.21681186931073</v>
      </c>
      <c r="AS283" s="527">
        <f t="shared" si="399"/>
        <v>542.21681186931073</v>
      </c>
      <c r="AT283" s="527">
        <f t="shared" si="399"/>
        <v>542.21681186931073</v>
      </c>
      <c r="AU283" s="527">
        <f t="shared" si="399"/>
        <v>542.21681186931073</v>
      </c>
      <c r="AV283" s="527">
        <f t="shared" si="399"/>
        <v>566.6951178382692</v>
      </c>
      <c r="AW283" s="527">
        <f t="shared" si="399"/>
        <v>566.6951178382692</v>
      </c>
      <c r="AX283" s="527">
        <f t="shared" ref="AX283:BY283" si="400">($R156*AX$590*AX491)+((($R156*AX$590)+AX214)*AX483)</f>
        <v>566.6951178382692</v>
      </c>
      <c r="AY283" s="527">
        <f t="shared" si="400"/>
        <v>566.6951178382692</v>
      </c>
      <c r="AZ283" s="527">
        <f t="shared" si="400"/>
        <v>566.6951178382692</v>
      </c>
      <c r="BA283" s="527">
        <f t="shared" si="400"/>
        <v>566.6951178382692</v>
      </c>
      <c r="BB283" s="527">
        <f t="shared" si="400"/>
        <v>544.67169887152681</v>
      </c>
      <c r="BC283" s="527">
        <f t="shared" si="400"/>
        <v>544.67169887152681</v>
      </c>
      <c r="BD283" s="527">
        <f t="shared" si="400"/>
        <v>544.67169887152681</v>
      </c>
      <c r="BE283" s="527">
        <f t="shared" si="400"/>
        <v>544.67169887152681</v>
      </c>
      <c r="BF283" s="527">
        <f t="shared" si="400"/>
        <v>544.67169887152681</v>
      </c>
      <c r="BG283" s="527">
        <f t="shared" si="400"/>
        <v>544.67169887152681</v>
      </c>
      <c r="BH283" s="527">
        <f t="shared" si="400"/>
        <v>568.96783295343164</v>
      </c>
      <c r="BI283" s="527">
        <f t="shared" si="400"/>
        <v>568.96783295343164</v>
      </c>
      <c r="BJ283" s="527">
        <f t="shared" si="400"/>
        <v>568.96783295343164</v>
      </c>
      <c r="BK283" s="527">
        <f t="shared" si="400"/>
        <v>568.96783295343164</v>
      </c>
      <c r="BL283" s="527">
        <f t="shared" si="400"/>
        <v>568.96783295343164</v>
      </c>
      <c r="BM283" s="527">
        <f t="shared" si="400"/>
        <v>568.96783295343164</v>
      </c>
      <c r="BN283" s="527">
        <f t="shared" si="400"/>
        <v>547.78264757943123</v>
      </c>
      <c r="BO283" s="527">
        <f t="shared" si="400"/>
        <v>547.78264757943123</v>
      </c>
      <c r="BP283" s="527">
        <f t="shared" si="400"/>
        <v>547.78264757943123</v>
      </c>
      <c r="BQ283" s="527">
        <f t="shared" si="400"/>
        <v>547.78264757943123</v>
      </c>
      <c r="BR283" s="527">
        <f t="shared" si="400"/>
        <v>547.78264757943123</v>
      </c>
      <c r="BS283" s="527">
        <f t="shared" si="400"/>
        <v>547.78264757943123</v>
      </c>
      <c r="BT283" s="527">
        <f t="shared" si="400"/>
        <v>571.9090564237315</v>
      </c>
      <c r="BU283" s="527">
        <f t="shared" si="400"/>
        <v>571.9090564237315</v>
      </c>
      <c r="BV283" s="527">
        <f t="shared" si="400"/>
        <v>571.9090564237315</v>
      </c>
      <c r="BW283" s="527">
        <f t="shared" si="400"/>
        <v>571.9090564237315</v>
      </c>
      <c r="BX283" s="527">
        <f t="shared" si="400"/>
        <v>571.9090564237315</v>
      </c>
      <c r="BY283" s="527">
        <f t="shared" si="400"/>
        <v>571.9090564237315</v>
      </c>
    </row>
    <row r="284" spans="1:77" x14ac:dyDescent="0.3">
      <c r="A284" s="551"/>
      <c r="B284" s="548"/>
      <c r="C284" s="525"/>
      <c r="D284" s="525"/>
      <c r="E284" s="626" t="str">
        <f>"WSM net comm.: "&amp;E$157</f>
        <v>WSM net comm.: FY29 Tranche</v>
      </c>
      <c r="F284" s="525"/>
      <c r="G284" s="525"/>
      <c r="H284" s="525"/>
      <c r="I284" s="525"/>
      <c r="J284" s="525"/>
      <c r="K284" s="525"/>
      <c r="L284" s="525"/>
      <c r="M284" s="525"/>
      <c r="N284" s="525"/>
      <c r="O284" s="525"/>
      <c r="P284" s="565"/>
      <c r="Q284" s="525"/>
      <c r="R284" s="527">
        <f t="shared" ref="R284:AW284" si="401">($R157*R$590*R492)+((($R157*R$590)+R215)*R484)</f>
        <v>469.54827227812228</v>
      </c>
      <c r="S284" s="527">
        <f t="shared" si="401"/>
        <v>469.54827227812228</v>
      </c>
      <c r="T284" s="527">
        <f t="shared" si="401"/>
        <v>469.54827227812228</v>
      </c>
      <c r="U284" s="527">
        <f t="shared" si="401"/>
        <v>469.54827227812228</v>
      </c>
      <c r="V284" s="527">
        <f t="shared" si="401"/>
        <v>469.54827227812228</v>
      </c>
      <c r="W284" s="527">
        <f t="shared" si="401"/>
        <v>469.54827227812228</v>
      </c>
      <c r="X284" s="527">
        <f t="shared" si="401"/>
        <v>469.54827227812228</v>
      </c>
      <c r="Y284" s="527">
        <f t="shared" si="401"/>
        <v>469.54827227812228</v>
      </c>
      <c r="Z284" s="527">
        <f t="shared" si="401"/>
        <v>469.54827227812228</v>
      </c>
      <c r="AA284" s="527">
        <f t="shared" si="401"/>
        <v>469.54827227812228</v>
      </c>
      <c r="AB284" s="527">
        <f t="shared" si="401"/>
        <v>469.54827227812228</v>
      </c>
      <c r="AC284" s="527">
        <f t="shared" si="401"/>
        <v>469.54827227812228</v>
      </c>
      <c r="AD284" s="527">
        <f t="shared" si="401"/>
        <v>469.54827227812228</v>
      </c>
      <c r="AE284" s="527">
        <f t="shared" si="401"/>
        <v>469.54827227812228</v>
      </c>
      <c r="AF284" s="527">
        <f t="shared" si="401"/>
        <v>469.54827227812228</v>
      </c>
      <c r="AG284" s="527">
        <f t="shared" si="401"/>
        <v>469.54827227812228</v>
      </c>
      <c r="AH284" s="527">
        <f t="shared" si="401"/>
        <v>469.54827227812228</v>
      </c>
      <c r="AI284" s="527">
        <f t="shared" si="401"/>
        <v>469.54827227812228</v>
      </c>
      <c r="AJ284" s="527">
        <f t="shared" si="401"/>
        <v>469.54827227812228</v>
      </c>
      <c r="AK284" s="527">
        <f t="shared" si="401"/>
        <v>469.54827227812228</v>
      </c>
      <c r="AL284" s="527">
        <f t="shared" si="401"/>
        <v>469.54827227812228</v>
      </c>
      <c r="AM284" s="527">
        <f t="shared" si="401"/>
        <v>469.54827227812228</v>
      </c>
      <c r="AN284" s="527">
        <f t="shared" si="401"/>
        <v>469.54827227812228</v>
      </c>
      <c r="AO284" s="527">
        <f t="shared" si="401"/>
        <v>469.54827227812228</v>
      </c>
      <c r="AP284" s="527">
        <f t="shared" si="401"/>
        <v>469.54827227812228</v>
      </c>
      <c r="AQ284" s="527">
        <f t="shared" si="401"/>
        <v>469.54827227812228</v>
      </c>
      <c r="AR284" s="527">
        <f t="shared" si="401"/>
        <v>469.54827227812228</v>
      </c>
      <c r="AS284" s="527">
        <f t="shared" si="401"/>
        <v>469.54827227812228</v>
      </c>
      <c r="AT284" s="527">
        <f t="shared" si="401"/>
        <v>469.54827227812228</v>
      </c>
      <c r="AU284" s="527">
        <f t="shared" si="401"/>
        <v>469.54827227812228</v>
      </c>
      <c r="AV284" s="527">
        <f t="shared" si="401"/>
        <v>563.83389334265394</v>
      </c>
      <c r="AW284" s="527">
        <f t="shared" si="401"/>
        <v>563.83389334265394</v>
      </c>
      <c r="AX284" s="527">
        <f t="shared" ref="AX284:BY284" si="402">($R157*AX$590*AX492)+((($R157*AX$590)+AX215)*AX484)</f>
        <v>563.83389334265394</v>
      </c>
      <c r="AY284" s="527">
        <f t="shared" si="402"/>
        <v>563.83389334265394</v>
      </c>
      <c r="AZ284" s="527">
        <f t="shared" si="402"/>
        <v>563.83389334265394</v>
      </c>
      <c r="BA284" s="527">
        <f t="shared" si="402"/>
        <v>563.83389334265394</v>
      </c>
      <c r="BB284" s="527">
        <f t="shared" si="402"/>
        <v>541.94099622121746</v>
      </c>
      <c r="BC284" s="527">
        <f t="shared" si="402"/>
        <v>541.94099622121746</v>
      </c>
      <c r="BD284" s="527">
        <f t="shared" si="402"/>
        <v>541.94099622121746</v>
      </c>
      <c r="BE284" s="527">
        <f t="shared" si="402"/>
        <v>541.94099622121746</v>
      </c>
      <c r="BF284" s="527">
        <f t="shared" si="402"/>
        <v>541.94099622121746</v>
      </c>
      <c r="BG284" s="527">
        <f t="shared" si="402"/>
        <v>541.94099622121746</v>
      </c>
      <c r="BH284" s="527">
        <f t="shared" si="402"/>
        <v>566.12790219710985</v>
      </c>
      <c r="BI284" s="527">
        <f t="shared" si="402"/>
        <v>566.12790219710985</v>
      </c>
      <c r="BJ284" s="527">
        <f t="shared" si="402"/>
        <v>566.12790219710985</v>
      </c>
      <c r="BK284" s="527">
        <f t="shared" si="402"/>
        <v>566.12790219710985</v>
      </c>
      <c r="BL284" s="527">
        <f t="shared" si="402"/>
        <v>566.12790219710985</v>
      </c>
      <c r="BM284" s="527">
        <f t="shared" si="402"/>
        <v>566.12790219710985</v>
      </c>
      <c r="BN284" s="527">
        <f t="shared" si="402"/>
        <v>545.07102076870149</v>
      </c>
      <c r="BO284" s="527">
        <f t="shared" si="402"/>
        <v>545.07102076870149</v>
      </c>
      <c r="BP284" s="527">
        <f t="shared" si="402"/>
        <v>545.07102076870149</v>
      </c>
      <c r="BQ284" s="527">
        <f t="shared" si="402"/>
        <v>545.07102076870149</v>
      </c>
      <c r="BR284" s="527">
        <f t="shared" si="402"/>
        <v>545.07102076870149</v>
      </c>
      <c r="BS284" s="527">
        <f t="shared" si="402"/>
        <v>545.07102076870149</v>
      </c>
      <c r="BT284" s="527">
        <f t="shared" si="402"/>
        <v>569.08896454057253</v>
      </c>
      <c r="BU284" s="527">
        <f t="shared" si="402"/>
        <v>569.08896454057253</v>
      </c>
      <c r="BV284" s="527">
        <f t="shared" si="402"/>
        <v>569.08896454057253</v>
      </c>
      <c r="BW284" s="527">
        <f t="shared" si="402"/>
        <v>569.08896454057253</v>
      </c>
      <c r="BX284" s="527">
        <f t="shared" si="402"/>
        <v>569.08896454057253</v>
      </c>
      <c r="BY284" s="527">
        <f t="shared" si="402"/>
        <v>569.08896454057253</v>
      </c>
    </row>
    <row r="285" spans="1:77" x14ac:dyDescent="0.3">
      <c r="A285" s="551"/>
      <c r="B285" s="548"/>
      <c r="C285" s="525"/>
      <c r="D285" s="525"/>
      <c r="E285" s="626" t="str">
        <f>"WSM net comm.: "&amp;E$158</f>
        <v>WSM net comm.: FY30 Tranche</v>
      </c>
      <c r="F285" s="525"/>
      <c r="G285" s="525"/>
      <c r="H285" s="525"/>
      <c r="I285" s="525"/>
      <c r="J285" s="525"/>
      <c r="K285" s="525"/>
      <c r="L285" s="525"/>
      <c r="M285" s="525"/>
      <c r="N285" s="525"/>
      <c r="O285" s="525"/>
      <c r="P285" s="565"/>
      <c r="Q285" s="525"/>
      <c r="R285" s="527">
        <f t="shared" ref="R285:AW285" si="403">($R158*R$590*R493)+((($R158*R$590)+R216)*R485)</f>
        <v>469.54827227812228</v>
      </c>
      <c r="S285" s="527">
        <f t="shared" si="403"/>
        <v>469.54827227812228</v>
      </c>
      <c r="T285" s="527">
        <f t="shared" si="403"/>
        <v>469.54827227812228</v>
      </c>
      <c r="U285" s="527">
        <f t="shared" si="403"/>
        <v>469.54827227812228</v>
      </c>
      <c r="V285" s="527">
        <f t="shared" si="403"/>
        <v>469.54827227812228</v>
      </c>
      <c r="W285" s="527">
        <f t="shared" si="403"/>
        <v>469.54827227812228</v>
      </c>
      <c r="X285" s="527">
        <f t="shared" si="403"/>
        <v>469.54827227812228</v>
      </c>
      <c r="Y285" s="527">
        <f t="shared" si="403"/>
        <v>469.54827227812228</v>
      </c>
      <c r="Z285" s="527">
        <f t="shared" si="403"/>
        <v>469.54827227812228</v>
      </c>
      <c r="AA285" s="527">
        <f t="shared" si="403"/>
        <v>469.54827227812228</v>
      </c>
      <c r="AB285" s="527">
        <f t="shared" si="403"/>
        <v>469.54827227812228</v>
      </c>
      <c r="AC285" s="527">
        <f t="shared" si="403"/>
        <v>469.54827227812228</v>
      </c>
      <c r="AD285" s="527">
        <f t="shared" si="403"/>
        <v>469.54827227812228</v>
      </c>
      <c r="AE285" s="527">
        <f t="shared" si="403"/>
        <v>469.54827227812228</v>
      </c>
      <c r="AF285" s="527">
        <f t="shared" si="403"/>
        <v>469.54827227812228</v>
      </c>
      <c r="AG285" s="527">
        <f t="shared" si="403"/>
        <v>469.54827227812228</v>
      </c>
      <c r="AH285" s="527">
        <f t="shared" si="403"/>
        <v>469.54827227812228</v>
      </c>
      <c r="AI285" s="527">
        <f t="shared" si="403"/>
        <v>469.54827227812228</v>
      </c>
      <c r="AJ285" s="527">
        <f t="shared" si="403"/>
        <v>469.54827227812228</v>
      </c>
      <c r="AK285" s="527">
        <f t="shared" si="403"/>
        <v>469.54827227812228</v>
      </c>
      <c r="AL285" s="527">
        <f t="shared" si="403"/>
        <v>469.54827227812228</v>
      </c>
      <c r="AM285" s="527">
        <f t="shared" si="403"/>
        <v>469.54827227812228</v>
      </c>
      <c r="AN285" s="527">
        <f t="shared" si="403"/>
        <v>469.54827227812228</v>
      </c>
      <c r="AO285" s="527">
        <f t="shared" si="403"/>
        <v>469.54827227812228</v>
      </c>
      <c r="AP285" s="527">
        <f t="shared" si="403"/>
        <v>469.54827227812228</v>
      </c>
      <c r="AQ285" s="527">
        <f t="shared" si="403"/>
        <v>469.54827227812228</v>
      </c>
      <c r="AR285" s="527">
        <f t="shared" si="403"/>
        <v>469.54827227812228</v>
      </c>
      <c r="AS285" s="527">
        <f t="shared" si="403"/>
        <v>469.54827227812228</v>
      </c>
      <c r="AT285" s="527">
        <f t="shared" si="403"/>
        <v>469.54827227812228</v>
      </c>
      <c r="AU285" s="527">
        <f t="shared" si="403"/>
        <v>469.54827227812228</v>
      </c>
      <c r="AV285" s="527">
        <f t="shared" si="403"/>
        <v>469.54827227812228</v>
      </c>
      <c r="AW285" s="527">
        <f t="shared" si="403"/>
        <v>469.54827227812228</v>
      </c>
      <c r="AX285" s="527">
        <f t="shared" ref="AX285:BY285" si="404">($R158*AX$590*AX493)+((($R158*AX$590)+AX216)*AX485)</f>
        <v>469.54827227812228</v>
      </c>
      <c r="AY285" s="527">
        <f t="shared" si="404"/>
        <v>469.54827227812228</v>
      </c>
      <c r="AZ285" s="527">
        <f t="shared" si="404"/>
        <v>469.54827227812228</v>
      </c>
      <c r="BA285" s="527">
        <f t="shared" si="404"/>
        <v>469.54827227812228</v>
      </c>
      <c r="BB285" s="527">
        <f t="shared" si="404"/>
        <v>469.54827227812228</v>
      </c>
      <c r="BC285" s="527">
        <f t="shared" si="404"/>
        <v>469.54827227812228</v>
      </c>
      <c r="BD285" s="527">
        <f t="shared" si="404"/>
        <v>469.54827227812228</v>
      </c>
      <c r="BE285" s="527">
        <f t="shared" si="404"/>
        <v>469.54827227812228</v>
      </c>
      <c r="BF285" s="527">
        <f t="shared" si="404"/>
        <v>469.54827227812228</v>
      </c>
      <c r="BG285" s="527">
        <f t="shared" si="404"/>
        <v>469.54827227812228</v>
      </c>
      <c r="BH285" s="527">
        <f t="shared" si="404"/>
        <v>561.39348819892882</v>
      </c>
      <c r="BI285" s="527">
        <f t="shared" si="404"/>
        <v>561.39348819892882</v>
      </c>
      <c r="BJ285" s="527">
        <f t="shared" si="404"/>
        <v>561.39348819892882</v>
      </c>
      <c r="BK285" s="527">
        <f t="shared" si="404"/>
        <v>561.39348819892882</v>
      </c>
      <c r="BL285" s="527">
        <f t="shared" si="404"/>
        <v>561.39348819892882</v>
      </c>
      <c r="BM285" s="527">
        <f t="shared" si="404"/>
        <v>561.39348819892882</v>
      </c>
      <c r="BN285" s="527">
        <f t="shared" si="404"/>
        <v>540.55050071658957</v>
      </c>
      <c r="BO285" s="527">
        <f t="shared" si="404"/>
        <v>540.55050071658957</v>
      </c>
      <c r="BP285" s="527">
        <f t="shared" si="404"/>
        <v>540.55050071658957</v>
      </c>
      <c r="BQ285" s="527">
        <f t="shared" si="404"/>
        <v>540.55050071658957</v>
      </c>
      <c r="BR285" s="527">
        <f t="shared" si="404"/>
        <v>540.55050071658957</v>
      </c>
      <c r="BS285" s="527">
        <f t="shared" si="404"/>
        <v>540.55050071658957</v>
      </c>
      <c r="BT285" s="527">
        <f t="shared" si="404"/>
        <v>564.38762368637595</v>
      </c>
      <c r="BU285" s="527">
        <f t="shared" si="404"/>
        <v>564.38762368637595</v>
      </c>
      <c r="BV285" s="527">
        <f t="shared" si="404"/>
        <v>564.38762368637595</v>
      </c>
      <c r="BW285" s="527">
        <f t="shared" si="404"/>
        <v>564.38762368637595</v>
      </c>
      <c r="BX285" s="527">
        <f t="shared" si="404"/>
        <v>564.38762368637595</v>
      </c>
      <c r="BY285" s="527">
        <f t="shared" si="404"/>
        <v>564.38762368637595</v>
      </c>
    </row>
    <row r="286" spans="1:77" x14ac:dyDescent="0.3">
      <c r="A286" s="551"/>
      <c r="B286" s="548"/>
      <c r="C286" s="525"/>
      <c r="D286" s="525"/>
      <c r="E286" s="626" t="str">
        <f>"WSM net comm.: "&amp;E$159</f>
        <v>WSM net comm.: FY31 Tranche</v>
      </c>
      <c r="F286" s="525"/>
      <c r="G286" s="525"/>
      <c r="H286" s="525"/>
      <c r="I286" s="525"/>
      <c r="J286" s="525"/>
      <c r="K286" s="525"/>
      <c r="L286" s="525"/>
      <c r="M286" s="525"/>
      <c r="N286" s="525"/>
      <c r="O286" s="525"/>
      <c r="P286" s="565"/>
      <c r="Q286" s="525"/>
      <c r="R286" s="527">
        <f t="shared" ref="R286:AW286" si="405">($R159*R$590*R494)+((($R159*R$590)+R217)*R486)</f>
        <v>469.54827227812228</v>
      </c>
      <c r="S286" s="527">
        <f t="shared" si="405"/>
        <v>469.54827227812228</v>
      </c>
      <c r="T286" s="527">
        <f t="shared" si="405"/>
        <v>469.54827227812228</v>
      </c>
      <c r="U286" s="527">
        <f t="shared" si="405"/>
        <v>469.54827227812228</v>
      </c>
      <c r="V286" s="527">
        <f t="shared" si="405"/>
        <v>469.54827227812228</v>
      </c>
      <c r="W286" s="527">
        <f t="shared" si="405"/>
        <v>469.54827227812228</v>
      </c>
      <c r="X286" s="527">
        <f t="shared" si="405"/>
        <v>469.54827227812228</v>
      </c>
      <c r="Y286" s="527">
        <f t="shared" si="405"/>
        <v>469.54827227812228</v>
      </c>
      <c r="Z286" s="527">
        <f t="shared" si="405"/>
        <v>469.54827227812228</v>
      </c>
      <c r="AA286" s="527">
        <f t="shared" si="405"/>
        <v>469.54827227812228</v>
      </c>
      <c r="AB286" s="527">
        <f t="shared" si="405"/>
        <v>469.54827227812228</v>
      </c>
      <c r="AC286" s="527">
        <f t="shared" si="405"/>
        <v>469.54827227812228</v>
      </c>
      <c r="AD286" s="527">
        <f t="shared" si="405"/>
        <v>469.54827227812228</v>
      </c>
      <c r="AE286" s="527">
        <f t="shared" si="405"/>
        <v>469.54827227812228</v>
      </c>
      <c r="AF286" s="527">
        <f t="shared" si="405"/>
        <v>469.54827227812228</v>
      </c>
      <c r="AG286" s="527">
        <f t="shared" si="405"/>
        <v>469.54827227812228</v>
      </c>
      <c r="AH286" s="527">
        <f t="shared" si="405"/>
        <v>469.54827227812228</v>
      </c>
      <c r="AI286" s="527">
        <f t="shared" si="405"/>
        <v>469.54827227812228</v>
      </c>
      <c r="AJ286" s="527">
        <f t="shared" si="405"/>
        <v>469.54827227812228</v>
      </c>
      <c r="AK286" s="527">
        <f t="shared" si="405"/>
        <v>469.54827227812228</v>
      </c>
      <c r="AL286" s="527">
        <f t="shared" si="405"/>
        <v>469.54827227812228</v>
      </c>
      <c r="AM286" s="527">
        <f t="shared" si="405"/>
        <v>469.54827227812228</v>
      </c>
      <c r="AN286" s="527">
        <f t="shared" si="405"/>
        <v>469.54827227812228</v>
      </c>
      <c r="AO286" s="527">
        <f t="shared" si="405"/>
        <v>469.54827227812228</v>
      </c>
      <c r="AP286" s="527">
        <f t="shared" si="405"/>
        <v>469.54827227812228</v>
      </c>
      <c r="AQ286" s="527">
        <f t="shared" si="405"/>
        <v>469.54827227812228</v>
      </c>
      <c r="AR286" s="527">
        <f t="shared" si="405"/>
        <v>469.54827227812228</v>
      </c>
      <c r="AS286" s="527">
        <f t="shared" si="405"/>
        <v>469.54827227812228</v>
      </c>
      <c r="AT286" s="527">
        <f t="shared" si="405"/>
        <v>469.54827227812228</v>
      </c>
      <c r="AU286" s="527">
        <f t="shared" si="405"/>
        <v>469.54827227812228</v>
      </c>
      <c r="AV286" s="527">
        <f t="shared" si="405"/>
        <v>469.54827227812228</v>
      </c>
      <c r="AW286" s="527">
        <f t="shared" si="405"/>
        <v>469.54827227812228</v>
      </c>
      <c r="AX286" s="527">
        <f t="shared" ref="AX286:BY286" si="406">($R159*AX$590*AX494)+((($R159*AX$590)+AX217)*AX486)</f>
        <v>469.54827227812228</v>
      </c>
      <c r="AY286" s="527">
        <f t="shared" si="406"/>
        <v>469.54827227812228</v>
      </c>
      <c r="AZ286" s="527">
        <f t="shared" si="406"/>
        <v>469.54827227812228</v>
      </c>
      <c r="BA286" s="527">
        <f t="shared" si="406"/>
        <v>469.54827227812228</v>
      </c>
      <c r="BB286" s="527">
        <f t="shared" si="406"/>
        <v>469.54827227812228</v>
      </c>
      <c r="BC286" s="527">
        <f t="shared" si="406"/>
        <v>469.54827227812228</v>
      </c>
      <c r="BD286" s="527">
        <f t="shared" si="406"/>
        <v>469.54827227812228</v>
      </c>
      <c r="BE286" s="527">
        <f t="shared" si="406"/>
        <v>469.54827227812228</v>
      </c>
      <c r="BF286" s="527">
        <f t="shared" si="406"/>
        <v>469.54827227812228</v>
      </c>
      <c r="BG286" s="527">
        <f t="shared" si="406"/>
        <v>469.54827227812228</v>
      </c>
      <c r="BH286" s="527">
        <f t="shared" si="406"/>
        <v>469.54827227812228</v>
      </c>
      <c r="BI286" s="527">
        <f t="shared" si="406"/>
        <v>469.54827227812228</v>
      </c>
      <c r="BJ286" s="527">
        <f t="shared" si="406"/>
        <v>469.54827227812228</v>
      </c>
      <c r="BK286" s="527">
        <f t="shared" si="406"/>
        <v>469.54827227812228</v>
      </c>
      <c r="BL286" s="527">
        <f t="shared" si="406"/>
        <v>469.54827227812228</v>
      </c>
      <c r="BM286" s="527">
        <f t="shared" si="406"/>
        <v>469.54827227812228</v>
      </c>
      <c r="BN286" s="527">
        <f t="shared" si="406"/>
        <v>469.54827227812228</v>
      </c>
      <c r="BO286" s="527">
        <f t="shared" si="406"/>
        <v>469.54827227812228</v>
      </c>
      <c r="BP286" s="527">
        <f t="shared" si="406"/>
        <v>469.54827227812228</v>
      </c>
      <c r="BQ286" s="527">
        <f t="shared" si="406"/>
        <v>469.54827227812228</v>
      </c>
      <c r="BR286" s="527">
        <f t="shared" si="406"/>
        <v>469.54827227812228</v>
      </c>
      <c r="BS286" s="527">
        <f t="shared" si="406"/>
        <v>469.54827227812228</v>
      </c>
      <c r="BT286" s="527">
        <f t="shared" si="406"/>
        <v>558.95552365873516</v>
      </c>
      <c r="BU286" s="527">
        <f t="shared" si="406"/>
        <v>558.95552365873516</v>
      </c>
      <c r="BV286" s="527">
        <f t="shared" si="406"/>
        <v>558.95552365873516</v>
      </c>
      <c r="BW286" s="527">
        <f t="shared" si="406"/>
        <v>558.95552365873516</v>
      </c>
      <c r="BX286" s="527">
        <f t="shared" si="406"/>
        <v>558.95552365873516</v>
      </c>
      <c r="BY286" s="527">
        <f t="shared" si="406"/>
        <v>558.95552365873516</v>
      </c>
    </row>
    <row r="287" spans="1:77" x14ac:dyDescent="0.3">
      <c r="A287" s="551"/>
      <c r="B287" s="548"/>
      <c r="C287" s="525"/>
      <c r="D287" s="525"/>
      <c r="E287" s="626" t="str">
        <f>"WSM net comm.: "&amp;E$160</f>
        <v>WSM net comm.: Uninvested Tranche</v>
      </c>
      <c r="F287" s="525"/>
      <c r="G287" s="525"/>
      <c r="H287" s="525"/>
      <c r="I287" s="525"/>
      <c r="J287" s="525"/>
      <c r="K287" s="525"/>
      <c r="L287" s="525"/>
      <c r="M287" s="525"/>
      <c r="N287" s="525"/>
      <c r="O287" s="525"/>
      <c r="P287" s="565"/>
      <c r="Q287" s="525"/>
      <c r="R287" s="527">
        <f t="shared" ref="R287:AW287" si="407">($R160*R$590*R495)+((($R160*R$590)+R218)*R487)</f>
        <v>1291.2577487648364</v>
      </c>
      <c r="S287" s="527">
        <f t="shared" si="407"/>
        <v>1291.2577487648364</v>
      </c>
      <c r="T287" s="527">
        <f t="shared" si="407"/>
        <v>1291.2577487648364</v>
      </c>
      <c r="U287" s="527">
        <f t="shared" si="407"/>
        <v>1291.2577487648364</v>
      </c>
      <c r="V287" s="527">
        <f t="shared" si="407"/>
        <v>1291.2577487648364</v>
      </c>
      <c r="W287" s="527">
        <f t="shared" si="407"/>
        <v>1291.2577487648364</v>
      </c>
      <c r="X287" s="527">
        <f t="shared" si="407"/>
        <v>1291.2577487648364</v>
      </c>
      <c r="Y287" s="527">
        <f t="shared" si="407"/>
        <v>1291.2577487648364</v>
      </c>
      <c r="Z287" s="527">
        <f t="shared" si="407"/>
        <v>1291.2577487648364</v>
      </c>
      <c r="AA287" s="527">
        <f t="shared" si="407"/>
        <v>1291.2577487648364</v>
      </c>
      <c r="AB287" s="527">
        <f t="shared" si="407"/>
        <v>1291.2577487648364</v>
      </c>
      <c r="AC287" s="527">
        <f t="shared" si="407"/>
        <v>1291.2577487648364</v>
      </c>
      <c r="AD287" s="527">
        <f t="shared" si="407"/>
        <v>1291.2577487648364</v>
      </c>
      <c r="AE287" s="527">
        <f t="shared" si="407"/>
        <v>1291.2577487648364</v>
      </c>
      <c r="AF287" s="527">
        <f t="shared" si="407"/>
        <v>1291.2577487648364</v>
      </c>
      <c r="AG287" s="527">
        <f t="shared" si="407"/>
        <v>1291.2577487648364</v>
      </c>
      <c r="AH287" s="527">
        <f t="shared" si="407"/>
        <v>1291.2577487648364</v>
      </c>
      <c r="AI287" s="527">
        <f t="shared" si="407"/>
        <v>1291.2577487648364</v>
      </c>
      <c r="AJ287" s="527">
        <f t="shared" si="407"/>
        <v>1291.2577487648364</v>
      </c>
      <c r="AK287" s="527">
        <f t="shared" si="407"/>
        <v>1291.2577487648364</v>
      </c>
      <c r="AL287" s="527">
        <f t="shared" si="407"/>
        <v>1291.2577487648364</v>
      </c>
      <c r="AM287" s="527">
        <f t="shared" si="407"/>
        <v>1291.2577487648364</v>
      </c>
      <c r="AN287" s="527">
        <f t="shared" si="407"/>
        <v>1291.2577487648364</v>
      </c>
      <c r="AO287" s="527">
        <f t="shared" si="407"/>
        <v>1291.2577487648364</v>
      </c>
      <c r="AP287" s="527">
        <f t="shared" si="407"/>
        <v>1291.2577487648364</v>
      </c>
      <c r="AQ287" s="527">
        <f t="shared" si="407"/>
        <v>1291.2577487648364</v>
      </c>
      <c r="AR287" s="527">
        <f t="shared" si="407"/>
        <v>1291.2577487648364</v>
      </c>
      <c r="AS287" s="527">
        <f t="shared" si="407"/>
        <v>1291.2577487648364</v>
      </c>
      <c r="AT287" s="527">
        <f t="shared" si="407"/>
        <v>1291.2577487648364</v>
      </c>
      <c r="AU287" s="527">
        <f t="shared" si="407"/>
        <v>1291.2577487648364</v>
      </c>
      <c r="AV287" s="527">
        <f t="shared" si="407"/>
        <v>1291.2577487648364</v>
      </c>
      <c r="AW287" s="527">
        <f t="shared" si="407"/>
        <v>1291.2577487648364</v>
      </c>
      <c r="AX287" s="527">
        <f t="shared" ref="AX287:BY287" si="408">($R160*AX$590*AX495)+((($R160*AX$590)+AX218)*AX487)</f>
        <v>1291.2577487648364</v>
      </c>
      <c r="AY287" s="527">
        <f t="shared" si="408"/>
        <v>1291.2577487648364</v>
      </c>
      <c r="AZ287" s="527">
        <f t="shared" si="408"/>
        <v>1291.2577487648364</v>
      </c>
      <c r="BA287" s="527">
        <f t="shared" si="408"/>
        <v>1291.2577487648364</v>
      </c>
      <c r="BB287" s="527">
        <f t="shared" si="408"/>
        <v>1291.2577487648364</v>
      </c>
      <c r="BC287" s="527">
        <f t="shared" si="408"/>
        <v>1291.2577487648364</v>
      </c>
      <c r="BD287" s="527">
        <f t="shared" si="408"/>
        <v>1291.2577487648364</v>
      </c>
      <c r="BE287" s="527">
        <f t="shared" si="408"/>
        <v>1291.2577487648364</v>
      </c>
      <c r="BF287" s="527">
        <f t="shared" si="408"/>
        <v>1291.2577487648364</v>
      </c>
      <c r="BG287" s="527">
        <f t="shared" si="408"/>
        <v>1291.2577487648364</v>
      </c>
      <c r="BH287" s="527">
        <f t="shared" si="408"/>
        <v>1291.2577487648364</v>
      </c>
      <c r="BI287" s="527">
        <f t="shared" si="408"/>
        <v>1291.2577487648364</v>
      </c>
      <c r="BJ287" s="527">
        <f t="shared" si="408"/>
        <v>1291.2577487648364</v>
      </c>
      <c r="BK287" s="527">
        <f t="shared" si="408"/>
        <v>1291.2577487648364</v>
      </c>
      <c r="BL287" s="527">
        <f t="shared" si="408"/>
        <v>1291.2577487648364</v>
      </c>
      <c r="BM287" s="527">
        <f t="shared" si="408"/>
        <v>1291.2577487648364</v>
      </c>
      <c r="BN287" s="527">
        <f t="shared" si="408"/>
        <v>1291.2577487648364</v>
      </c>
      <c r="BO287" s="527">
        <f t="shared" si="408"/>
        <v>1291.2577487648364</v>
      </c>
      <c r="BP287" s="527">
        <f t="shared" si="408"/>
        <v>1291.2577487648364</v>
      </c>
      <c r="BQ287" s="527">
        <f t="shared" si="408"/>
        <v>1291.2577487648364</v>
      </c>
      <c r="BR287" s="527">
        <f t="shared" si="408"/>
        <v>1291.2577487648364</v>
      </c>
      <c r="BS287" s="527">
        <f t="shared" si="408"/>
        <v>1291.2577487648364</v>
      </c>
      <c r="BT287" s="527">
        <f t="shared" si="408"/>
        <v>1291.2577487648364</v>
      </c>
      <c r="BU287" s="527">
        <f t="shared" si="408"/>
        <v>1291.2577487648364</v>
      </c>
      <c r="BV287" s="527">
        <f t="shared" si="408"/>
        <v>1291.2577487648364</v>
      </c>
      <c r="BW287" s="527">
        <f t="shared" si="408"/>
        <v>1291.2577487648364</v>
      </c>
      <c r="BX287" s="527">
        <f t="shared" si="408"/>
        <v>1291.2577487648364</v>
      </c>
      <c r="BY287" s="527">
        <f t="shared" si="408"/>
        <v>1291.2577487648364</v>
      </c>
    </row>
    <row r="288" spans="1:77" x14ac:dyDescent="0.3">
      <c r="A288" s="551"/>
      <c r="B288" s="548"/>
      <c r="C288" s="525"/>
      <c r="D288" s="525"/>
      <c r="E288" s="572" t="s">
        <v>36</v>
      </c>
      <c r="F288" s="572"/>
      <c r="G288" s="572"/>
      <c r="H288" s="572"/>
      <c r="I288" s="572"/>
      <c r="J288" s="572"/>
      <c r="K288" s="572"/>
      <c r="L288" s="572"/>
      <c r="M288" s="572"/>
      <c r="N288" s="572"/>
      <c r="O288" s="572"/>
      <c r="P288" s="612"/>
      <c r="Q288" s="572"/>
      <c r="R288" s="530">
        <f t="shared" ref="R288:AW288" si="409">SUM(R282:R287)</f>
        <v>3638.9991101554479</v>
      </c>
      <c r="S288" s="530">
        <f t="shared" si="409"/>
        <v>3638.9991101554479</v>
      </c>
      <c r="T288" s="530">
        <f t="shared" si="409"/>
        <v>3638.9991101554479</v>
      </c>
      <c r="U288" s="530">
        <f t="shared" si="409"/>
        <v>3638.9991101554479</v>
      </c>
      <c r="V288" s="530">
        <f t="shared" si="409"/>
        <v>3638.9991101554479</v>
      </c>
      <c r="W288" s="530">
        <f t="shared" si="409"/>
        <v>3638.9991101554479</v>
      </c>
      <c r="X288" s="530">
        <f t="shared" si="409"/>
        <v>3738.6819948367279</v>
      </c>
      <c r="Y288" s="530">
        <f t="shared" si="409"/>
        <v>3738.6819948367279</v>
      </c>
      <c r="Z288" s="530">
        <f t="shared" si="409"/>
        <v>3738.6819948367279</v>
      </c>
      <c r="AA288" s="530">
        <f t="shared" si="409"/>
        <v>3738.6819948367279</v>
      </c>
      <c r="AB288" s="530">
        <f t="shared" si="409"/>
        <v>3738.6819948367279</v>
      </c>
      <c r="AC288" s="530">
        <f t="shared" si="409"/>
        <v>3738.6819948367279</v>
      </c>
      <c r="AD288" s="530">
        <f t="shared" si="409"/>
        <v>3712.867394590186</v>
      </c>
      <c r="AE288" s="530">
        <f t="shared" si="409"/>
        <v>3712.867394590186</v>
      </c>
      <c r="AF288" s="530">
        <f t="shared" si="409"/>
        <v>3712.867394590186</v>
      </c>
      <c r="AG288" s="530">
        <f t="shared" si="409"/>
        <v>3712.867394590186</v>
      </c>
      <c r="AH288" s="530">
        <f t="shared" si="409"/>
        <v>3712.867394590186</v>
      </c>
      <c r="AI288" s="530">
        <f t="shared" si="409"/>
        <v>3712.867394590186</v>
      </c>
      <c r="AJ288" s="530">
        <f t="shared" si="409"/>
        <v>3834.5586660993258</v>
      </c>
      <c r="AK288" s="530">
        <f t="shared" si="409"/>
        <v>3834.5586660993258</v>
      </c>
      <c r="AL288" s="530">
        <f t="shared" si="409"/>
        <v>3834.5586660993258</v>
      </c>
      <c r="AM288" s="530">
        <f t="shared" si="409"/>
        <v>3834.5586660993258</v>
      </c>
      <c r="AN288" s="530">
        <f t="shared" si="409"/>
        <v>3834.5586660993258</v>
      </c>
      <c r="AO288" s="530">
        <f t="shared" si="409"/>
        <v>3834.5586660993258</v>
      </c>
      <c r="AP288" s="530">
        <f t="shared" si="409"/>
        <v>3786.0253968920701</v>
      </c>
      <c r="AQ288" s="530">
        <f t="shared" si="409"/>
        <v>3786.0253968920701</v>
      </c>
      <c r="AR288" s="530">
        <f t="shared" si="409"/>
        <v>3786.0253968920701</v>
      </c>
      <c r="AS288" s="530">
        <f t="shared" si="409"/>
        <v>3786.0253968920701</v>
      </c>
      <c r="AT288" s="530">
        <f t="shared" si="409"/>
        <v>3786.0253968920701</v>
      </c>
      <c r="AU288" s="530">
        <f t="shared" si="409"/>
        <v>3786.0253968920701</v>
      </c>
      <c r="AV288" s="530">
        <f t="shared" si="409"/>
        <v>3929.3351981966885</v>
      </c>
      <c r="AW288" s="530">
        <f t="shared" si="409"/>
        <v>3929.3351981966885</v>
      </c>
      <c r="AX288" s="530">
        <f t="shared" ref="AX288:BY288" si="410">SUM(AX282:AX287)</f>
        <v>3929.3351981966885</v>
      </c>
      <c r="AY288" s="530">
        <f t="shared" si="410"/>
        <v>3929.3351981966885</v>
      </c>
      <c r="AZ288" s="530">
        <f t="shared" si="410"/>
        <v>3929.3351981966885</v>
      </c>
      <c r="BA288" s="530">
        <f t="shared" si="410"/>
        <v>3929.3351981966885</v>
      </c>
      <c r="BB288" s="530">
        <f t="shared" si="410"/>
        <v>3863.315323457894</v>
      </c>
      <c r="BC288" s="530">
        <f t="shared" si="410"/>
        <v>3863.315323457894</v>
      </c>
      <c r="BD288" s="530">
        <f t="shared" si="410"/>
        <v>3863.315323457894</v>
      </c>
      <c r="BE288" s="530">
        <f t="shared" si="410"/>
        <v>3863.315323457894</v>
      </c>
      <c r="BF288" s="530">
        <f t="shared" si="410"/>
        <v>3863.315323457894</v>
      </c>
      <c r="BG288" s="530">
        <f t="shared" si="410"/>
        <v>3863.315323457894</v>
      </c>
      <c r="BH288" s="530">
        <f t="shared" si="410"/>
        <v>4028.0067789653044</v>
      </c>
      <c r="BI288" s="530">
        <f t="shared" si="410"/>
        <v>4028.0067789653044</v>
      </c>
      <c r="BJ288" s="530">
        <f t="shared" si="410"/>
        <v>4028.0067789653044</v>
      </c>
      <c r="BK288" s="530">
        <f t="shared" si="410"/>
        <v>4028.0067789653044</v>
      </c>
      <c r="BL288" s="530">
        <f t="shared" si="410"/>
        <v>4028.0067789653044</v>
      </c>
      <c r="BM288" s="530">
        <f t="shared" si="410"/>
        <v>4028.0067789653044</v>
      </c>
      <c r="BN288" s="530">
        <f t="shared" si="410"/>
        <v>3943.6577614007174</v>
      </c>
      <c r="BO288" s="530">
        <f t="shared" si="410"/>
        <v>3943.6577614007174</v>
      </c>
      <c r="BP288" s="530">
        <f t="shared" si="410"/>
        <v>3943.6577614007174</v>
      </c>
      <c r="BQ288" s="530">
        <f t="shared" si="410"/>
        <v>3943.6577614007174</v>
      </c>
      <c r="BR288" s="530">
        <f t="shared" si="410"/>
        <v>3943.6577614007174</v>
      </c>
      <c r="BS288" s="530">
        <f t="shared" si="410"/>
        <v>3943.6577614007174</v>
      </c>
      <c r="BT288" s="530">
        <f t="shared" si="410"/>
        <v>4129.2394941601324</v>
      </c>
      <c r="BU288" s="530">
        <f t="shared" si="410"/>
        <v>4129.2394941601324</v>
      </c>
      <c r="BV288" s="530">
        <f t="shared" si="410"/>
        <v>4129.2394941601324</v>
      </c>
      <c r="BW288" s="530">
        <f t="shared" si="410"/>
        <v>4129.2394941601324</v>
      </c>
      <c r="BX288" s="530">
        <f t="shared" si="410"/>
        <v>4129.2394941601324</v>
      </c>
      <c r="BY288" s="530">
        <f t="shared" si="410"/>
        <v>4129.2394941601324</v>
      </c>
    </row>
    <row r="289" spans="1:77" x14ac:dyDescent="0.3">
      <c r="A289" s="551"/>
      <c r="B289" s="548"/>
      <c r="C289" s="525"/>
      <c r="D289" s="525"/>
      <c r="E289" s="525"/>
      <c r="F289" s="525"/>
      <c r="G289" s="525"/>
      <c r="H289" s="525"/>
      <c r="I289" s="525"/>
      <c r="J289" s="525"/>
      <c r="K289" s="525"/>
      <c r="L289" s="525"/>
      <c r="M289" s="525"/>
      <c r="N289" s="525"/>
      <c r="O289" s="525"/>
      <c r="P289" s="565"/>
      <c r="Q289" s="525"/>
      <c r="R289" s="525"/>
      <c r="S289" s="525"/>
      <c r="T289" s="525"/>
      <c r="U289" s="525"/>
      <c r="V289" s="525"/>
      <c r="W289" s="525"/>
      <c r="X289" s="525"/>
      <c r="Y289" s="525"/>
      <c r="Z289" s="525"/>
      <c r="AA289" s="525"/>
      <c r="AB289" s="525"/>
      <c r="AC289" s="525"/>
      <c r="AD289" s="525"/>
      <c r="AE289" s="525"/>
      <c r="AF289" s="525"/>
      <c r="AG289" s="525"/>
      <c r="AH289" s="525"/>
      <c r="AI289" s="525"/>
      <c r="AJ289" s="525"/>
      <c r="AK289" s="525"/>
      <c r="AL289" s="525"/>
      <c r="AM289" s="525"/>
      <c r="AN289" s="525"/>
      <c r="AO289" s="525"/>
      <c r="AP289" s="525"/>
      <c r="AQ289" s="525"/>
      <c r="AR289" s="525"/>
      <c r="AS289" s="525"/>
      <c r="AT289" s="525"/>
      <c r="AU289" s="525"/>
      <c r="AV289" s="525"/>
      <c r="AW289" s="525"/>
      <c r="AX289" s="525"/>
      <c r="AY289" s="525"/>
      <c r="AZ289" s="525"/>
      <c r="BA289" s="525"/>
      <c r="BB289" s="525"/>
      <c r="BC289" s="525"/>
      <c r="BD289" s="525"/>
      <c r="BE289" s="525"/>
      <c r="BF289" s="525"/>
      <c r="BG289" s="525"/>
      <c r="BH289" s="525"/>
      <c r="BI289" s="525"/>
      <c r="BJ289" s="525"/>
      <c r="BK289" s="525"/>
      <c r="BL289" s="525"/>
      <c r="BM289" s="525"/>
      <c r="BN289" s="525"/>
      <c r="BO289" s="525"/>
      <c r="BP289" s="525"/>
      <c r="BQ289" s="525"/>
      <c r="BR289" s="525"/>
      <c r="BS289" s="525"/>
      <c r="BT289" s="525"/>
      <c r="BU289" s="525"/>
      <c r="BV289" s="525"/>
      <c r="BW289" s="525"/>
      <c r="BX289" s="525"/>
      <c r="BY289" s="525"/>
    </row>
    <row r="290" spans="1:77" x14ac:dyDescent="0.3">
      <c r="A290" s="551"/>
      <c r="B290" s="548"/>
      <c r="C290" s="525"/>
      <c r="D290" s="525"/>
      <c r="E290" s="627" t="str">
        <f>"WSM gross sales: "&amp;E$155</f>
        <v>WSM gross sales: FY27 Tranche</v>
      </c>
      <c r="F290" s="525"/>
      <c r="G290" s="525"/>
      <c r="H290" s="525"/>
      <c r="I290" s="525"/>
      <c r="J290" s="525"/>
      <c r="K290" s="525"/>
      <c r="L290" s="525"/>
      <c r="M290" s="525"/>
      <c r="N290" s="525"/>
      <c r="O290" s="525"/>
      <c r="P290" s="565"/>
      <c r="Q290" s="525"/>
      <c r="R290" s="527">
        <f t="shared" ref="R290:AW290" si="411">IFERROR(R282/R$224,0)</f>
        <v>1463.4286007439839</v>
      </c>
      <c r="S290" s="527">
        <f t="shared" si="411"/>
        <v>1463.4286007439839</v>
      </c>
      <c r="T290" s="527">
        <f t="shared" si="411"/>
        <v>1463.4286007439839</v>
      </c>
      <c r="U290" s="527">
        <f t="shared" si="411"/>
        <v>1463.4286007439839</v>
      </c>
      <c r="V290" s="527">
        <f t="shared" si="411"/>
        <v>1463.4286007439839</v>
      </c>
      <c r="W290" s="527">
        <f t="shared" si="411"/>
        <v>1463.4286007439839</v>
      </c>
      <c r="X290" s="527">
        <f t="shared" si="411"/>
        <v>1774.1075938525832</v>
      </c>
      <c r="Y290" s="527">
        <f t="shared" si="411"/>
        <v>1774.1075938525832</v>
      </c>
      <c r="Z290" s="527">
        <f t="shared" si="411"/>
        <v>1774.1075938525832</v>
      </c>
      <c r="AA290" s="527">
        <f t="shared" si="411"/>
        <v>1774.1075938525832</v>
      </c>
      <c r="AB290" s="527">
        <f t="shared" si="411"/>
        <v>1774.1075938525832</v>
      </c>
      <c r="AC290" s="527">
        <f t="shared" si="411"/>
        <v>1774.1075938525832</v>
      </c>
      <c r="AD290" s="527">
        <f t="shared" si="411"/>
        <v>1693.6519164538054</v>
      </c>
      <c r="AE290" s="527">
        <f t="shared" si="411"/>
        <v>1693.6519164538054</v>
      </c>
      <c r="AF290" s="527">
        <f t="shared" si="411"/>
        <v>1693.6519164538054</v>
      </c>
      <c r="AG290" s="527">
        <f t="shared" si="411"/>
        <v>1693.6519164538054</v>
      </c>
      <c r="AH290" s="527">
        <f t="shared" si="411"/>
        <v>1693.6519164538054</v>
      </c>
      <c r="AI290" s="527">
        <f t="shared" si="411"/>
        <v>1693.6519164538054</v>
      </c>
      <c r="AJ290" s="527">
        <f t="shared" si="411"/>
        <v>1770.9421047284093</v>
      </c>
      <c r="AK290" s="527">
        <f t="shared" si="411"/>
        <v>1770.9421047284093</v>
      </c>
      <c r="AL290" s="527">
        <f t="shared" si="411"/>
        <v>1770.9421047284093</v>
      </c>
      <c r="AM290" s="527">
        <f t="shared" si="411"/>
        <v>1770.9421047284093</v>
      </c>
      <c r="AN290" s="527">
        <f t="shared" si="411"/>
        <v>1770.9421047284093</v>
      </c>
      <c r="AO290" s="527">
        <f t="shared" si="411"/>
        <v>1770.9421047284093</v>
      </c>
      <c r="AP290" s="527">
        <f t="shared" si="411"/>
        <v>1695.1774118546396</v>
      </c>
      <c r="AQ290" s="527">
        <f t="shared" si="411"/>
        <v>1695.1774118546396</v>
      </c>
      <c r="AR290" s="527">
        <f t="shared" si="411"/>
        <v>1695.1774118546396</v>
      </c>
      <c r="AS290" s="527">
        <f t="shared" si="411"/>
        <v>1695.1774118546396</v>
      </c>
      <c r="AT290" s="527">
        <f t="shared" si="411"/>
        <v>1695.1774118546396</v>
      </c>
      <c r="AU290" s="527">
        <f t="shared" si="411"/>
        <v>1695.1774118546396</v>
      </c>
      <c r="AV290" s="527">
        <f t="shared" si="411"/>
        <v>1771.6788847795751</v>
      </c>
      <c r="AW290" s="527">
        <f t="shared" si="411"/>
        <v>1771.6788847795751</v>
      </c>
      <c r="AX290" s="527">
        <f t="shared" ref="AX290:BY290" si="412">IFERROR(AX282/AX$224,0)</f>
        <v>1771.6788847795751</v>
      </c>
      <c r="AY290" s="527">
        <f t="shared" si="412"/>
        <v>1771.6788847795751</v>
      </c>
      <c r="AZ290" s="527">
        <f t="shared" si="412"/>
        <v>1771.6788847795751</v>
      </c>
      <c r="BA290" s="527">
        <f t="shared" si="412"/>
        <v>1771.6788847795751</v>
      </c>
      <c r="BB290" s="527">
        <f t="shared" si="412"/>
        <v>1702.7893119341811</v>
      </c>
      <c r="BC290" s="527">
        <f t="shared" si="412"/>
        <v>1702.7893119341811</v>
      </c>
      <c r="BD290" s="527">
        <f t="shared" si="412"/>
        <v>1702.7893119341811</v>
      </c>
      <c r="BE290" s="527">
        <f t="shared" si="412"/>
        <v>1702.7893119341811</v>
      </c>
      <c r="BF290" s="527">
        <f t="shared" si="412"/>
        <v>1702.7893119341811</v>
      </c>
      <c r="BG290" s="527">
        <f t="shared" si="412"/>
        <v>1702.7893119341811</v>
      </c>
      <c r="BH290" s="527">
        <f t="shared" si="412"/>
        <v>1778.7214473525592</v>
      </c>
      <c r="BI290" s="527">
        <f t="shared" si="412"/>
        <v>1778.7214473525592</v>
      </c>
      <c r="BJ290" s="527">
        <f t="shared" si="412"/>
        <v>1778.7214473525592</v>
      </c>
      <c r="BK290" s="527">
        <f t="shared" si="412"/>
        <v>1778.7214473525592</v>
      </c>
      <c r="BL290" s="527">
        <f t="shared" si="412"/>
        <v>1778.7214473525592</v>
      </c>
      <c r="BM290" s="527">
        <f t="shared" si="412"/>
        <v>1778.7214473525592</v>
      </c>
      <c r="BN290" s="527">
        <f t="shared" si="412"/>
        <v>1712.4486190490736</v>
      </c>
      <c r="BO290" s="527">
        <f t="shared" si="412"/>
        <v>1712.4486190490736</v>
      </c>
      <c r="BP290" s="527">
        <f t="shared" si="412"/>
        <v>1712.4486190490736</v>
      </c>
      <c r="BQ290" s="527">
        <f t="shared" si="412"/>
        <v>1712.4486190490736</v>
      </c>
      <c r="BR290" s="527">
        <f t="shared" si="412"/>
        <v>1712.4486190490736</v>
      </c>
      <c r="BS290" s="527">
        <f t="shared" si="412"/>
        <v>1712.4486190490736</v>
      </c>
      <c r="BT290" s="527">
        <f t="shared" si="412"/>
        <v>1787.8503161811684</v>
      </c>
      <c r="BU290" s="527">
        <f t="shared" si="412"/>
        <v>1787.8503161811684</v>
      </c>
      <c r="BV290" s="527">
        <f t="shared" si="412"/>
        <v>1787.8503161811684</v>
      </c>
      <c r="BW290" s="527">
        <f t="shared" si="412"/>
        <v>1787.8503161811684</v>
      </c>
      <c r="BX290" s="527">
        <f t="shared" si="412"/>
        <v>1787.8503161811684</v>
      </c>
      <c r="BY290" s="527">
        <f t="shared" si="412"/>
        <v>1787.8503161811684</v>
      </c>
    </row>
    <row r="291" spans="1:77" x14ac:dyDescent="0.3">
      <c r="A291" s="551"/>
      <c r="B291" s="548"/>
      <c r="C291" s="525"/>
      <c r="D291" s="525"/>
      <c r="E291" s="627" t="str">
        <f>"WSM gross sales: "&amp;E$156</f>
        <v>WSM gross sales: FY28 Tranche</v>
      </c>
      <c r="F291" s="525"/>
      <c r="G291" s="525"/>
      <c r="H291" s="525"/>
      <c r="I291" s="525"/>
      <c r="J291" s="525"/>
      <c r="K291" s="525"/>
      <c r="L291" s="525"/>
      <c r="M291" s="525"/>
      <c r="N291" s="525"/>
      <c r="O291" s="525"/>
      <c r="P291" s="565"/>
      <c r="Q291" s="525"/>
      <c r="R291" s="527">
        <f t="shared" ref="R291:AW291" si="413">IFERROR(R283/R$224,0)</f>
        <v>1463.4286007439839</v>
      </c>
      <c r="S291" s="527">
        <f t="shared" si="413"/>
        <v>1463.4286007439839</v>
      </c>
      <c r="T291" s="527">
        <f t="shared" si="413"/>
        <v>1463.4286007439839</v>
      </c>
      <c r="U291" s="527">
        <f t="shared" si="413"/>
        <v>1463.4286007439839</v>
      </c>
      <c r="V291" s="527">
        <f t="shared" si="413"/>
        <v>1463.4286007439839</v>
      </c>
      <c r="W291" s="527">
        <f t="shared" si="413"/>
        <v>1463.4286007439839</v>
      </c>
      <c r="X291" s="527">
        <f t="shared" si="413"/>
        <v>1463.4286007439839</v>
      </c>
      <c r="Y291" s="527">
        <f t="shared" si="413"/>
        <v>1463.4286007439839</v>
      </c>
      <c r="Z291" s="527">
        <f t="shared" si="413"/>
        <v>1463.4286007439839</v>
      </c>
      <c r="AA291" s="527">
        <f t="shared" si="413"/>
        <v>1463.4286007439839</v>
      </c>
      <c r="AB291" s="527">
        <f t="shared" si="413"/>
        <v>1463.4286007439839</v>
      </c>
      <c r="AC291" s="527">
        <f t="shared" si="413"/>
        <v>1463.4286007439839</v>
      </c>
      <c r="AD291" s="527">
        <f t="shared" si="413"/>
        <v>1463.4286007439839</v>
      </c>
      <c r="AE291" s="527">
        <f t="shared" si="413"/>
        <v>1463.4286007439839</v>
      </c>
      <c r="AF291" s="527">
        <f t="shared" si="413"/>
        <v>1463.4286007439839</v>
      </c>
      <c r="AG291" s="527">
        <f t="shared" si="413"/>
        <v>1463.4286007439839</v>
      </c>
      <c r="AH291" s="527">
        <f t="shared" si="413"/>
        <v>1463.4286007439839</v>
      </c>
      <c r="AI291" s="527">
        <f t="shared" si="413"/>
        <v>1463.4286007439839</v>
      </c>
      <c r="AJ291" s="527">
        <f t="shared" si="413"/>
        <v>1765.4103589368842</v>
      </c>
      <c r="AK291" s="527">
        <f t="shared" si="413"/>
        <v>1765.4103589368842</v>
      </c>
      <c r="AL291" s="527">
        <f t="shared" si="413"/>
        <v>1765.4103589368842</v>
      </c>
      <c r="AM291" s="527">
        <f t="shared" si="413"/>
        <v>1765.4103589368842</v>
      </c>
      <c r="AN291" s="527">
        <f t="shared" si="413"/>
        <v>1765.4103589368842</v>
      </c>
      <c r="AO291" s="527">
        <f t="shared" si="413"/>
        <v>1765.4103589368842</v>
      </c>
      <c r="AP291" s="527">
        <f t="shared" si="413"/>
        <v>1689.9127036373525</v>
      </c>
      <c r="AQ291" s="527">
        <f t="shared" si="413"/>
        <v>1689.9127036373525</v>
      </c>
      <c r="AR291" s="527">
        <f t="shared" si="413"/>
        <v>1689.9127036373525</v>
      </c>
      <c r="AS291" s="527">
        <f t="shared" si="413"/>
        <v>1689.9127036373525</v>
      </c>
      <c r="AT291" s="527">
        <f t="shared" si="413"/>
        <v>1689.9127036373525</v>
      </c>
      <c r="AU291" s="527">
        <f t="shared" si="413"/>
        <v>1689.9127036373525</v>
      </c>
      <c r="AV291" s="527">
        <f t="shared" si="413"/>
        <v>1766.2035882335965</v>
      </c>
      <c r="AW291" s="527">
        <f t="shared" si="413"/>
        <v>1766.2035882335965</v>
      </c>
      <c r="AX291" s="527">
        <f t="shared" ref="AX291:BY291" si="414">IFERROR(AX283/AX$224,0)</f>
        <v>1766.2035882335965</v>
      </c>
      <c r="AY291" s="527">
        <f t="shared" si="414"/>
        <v>1766.2035882335965</v>
      </c>
      <c r="AZ291" s="527">
        <f t="shared" si="414"/>
        <v>1766.2035882335965</v>
      </c>
      <c r="BA291" s="527">
        <f t="shared" si="414"/>
        <v>1766.2035882335965</v>
      </c>
      <c r="BB291" s="527">
        <f t="shared" si="414"/>
        <v>1697.5637846075956</v>
      </c>
      <c r="BC291" s="527">
        <f t="shared" si="414"/>
        <v>1697.5637846075956</v>
      </c>
      <c r="BD291" s="527">
        <f t="shared" si="414"/>
        <v>1697.5637846075956</v>
      </c>
      <c r="BE291" s="527">
        <f t="shared" si="414"/>
        <v>1697.5637846075956</v>
      </c>
      <c r="BF291" s="527">
        <f t="shared" si="414"/>
        <v>1697.5637846075956</v>
      </c>
      <c r="BG291" s="527">
        <f t="shared" si="414"/>
        <v>1697.5637846075956</v>
      </c>
      <c r="BH291" s="527">
        <f t="shared" si="414"/>
        <v>1773.2868989329102</v>
      </c>
      <c r="BI291" s="527">
        <f t="shared" si="414"/>
        <v>1773.2868989329102</v>
      </c>
      <c r="BJ291" s="527">
        <f t="shared" si="414"/>
        <v>1773.2868989329102</v>
      </c>
      <c r="BK291" s="527">
        <f t="shared" si="414"/>
        <v>1773.2868989329102</v>
      </c>
      <c r="BL291" s="527">
        <f t="shared" si="414"/>
        <v>1773.2868989329102</v>
      </c>
      <c r="BM291" s="527">
        <f t="shared" si="414"/>
        <v>1773.2868989329102</v>
      </c>
      <c r="BN291" s="527">
        <f t="shared" si="414"/>
        <v>1707.259595631469</v>
      </c>
      <c r="BO291" s="527">
        <f t="shared" si="414"/>
        <v>1707.259595631469</v>
      </c>
      <c r="BP291" s="527">
        <f t="shared" si="414"/>
        <v>1707.259595631469</v>
      </c>
      <c r="BQ291" s="527">
        <f t="shared" si="414"/>
        <v>1707.259595631469</v>
      </c>
      <c r="BR291" s="527">
        <f t="shared" si="414"/>
        <v>1707.259595631469</v>
      </c>
      <c r="BS291" s="527">
        <f t="shared" si="414"/>
        <v>1707.259595631469</v>
      </c>
      <c r="BT291" s="527">
        <f t="shared" si="414"/>
        <v>1782.4537318268599</v>
      </c>
      <c r="BU291" s="527">
        <f t="shared" si="414"/>
        <v>1782.4537318268599</v>
      </c>
      <c r="BV291" s="527">
        <f t="shared" si="414"/>
        <v>1782.4537318268599</v>
      </c>
      <c r="BW291" s="527">
        <f t="shared" si="414"/>
        <v>1782.4537318268599</v>
      </c>
      <c r="BX291" s="527">
        <f t="shared" si="414"/>
        <v>1782.4537318268599</v>
      </c>
      <c r="BY291" s="527">
        <f t="shared" si="414"/>
        <v>1782.4537318268599</v>
      </c>
    </row>
    <row r="292" spans="1:77" x14ac:dyDescent="0.3">
      <c r="A292" s="551"/>
      <c r="B292" s="548"/>
      <c r="C292" s="525"/>
      <c r="D292" s="525"/>
      <c r="E292" s="627" t="str">
        <f>"WSM gross sales: "&amp;E$157</f>
        <v>WSM gross sales: FY29 Tranche</v>
      </c>
      <c r="F292" s="525"/>
      <c r="G292" s="525"/>
      <c r="H292" s="525"/>
      <c r="I292" s="525"/>
      <c r="J292" s="525"/>
      <c r="K292" s="525"/>
      <c r="L292" s="525"/>
      <c r="M292" s="525"/>
      <c r="N292" s="525"/>
      <c r="O292" s="525"/>
      <c r="P292" s="565"/>
      <c r="Q292" s="525"/>
      <c r="R292" s="527">
        <f t="shared" ref="R292:AW292" si="415">IFERROR(R284/R$224,0)</f>
        <v>1463.4286007439839</v>
      </c>
      <c r="S292" s="527">
        <f t="shared" si="415"/>
        <v>1463.4286007439839</v>
      </c>
      <c r="T292" s="527">
        <f t="shared" si="415"/>
        <v>1463.4286007439839</v>
      </c>
      <c r="U292" s="527">
        <f t="shared" si="415"/>
        <v>1463.4286007439839</v>
      </c>
      <c r="V292" s="527">
        <f t="shared" si="415"/>
        <v>1463.4286007439839</v>
      </c>
      <c r="W292" s="527">
        <f t="shared" si="415"/>
        <v>1463.4286007439839</v>
      </c>
      <c r="X292" s="527">
        <f t="shared" si="415"/>
        <v>1463.4286007439839</v>
      </c>
      <c r="Y292" s="527">
        <f t="shared" si="415"/>
        <v>1463.4286007439839</v>
      </c>
      <c r="Z292" s="527">
        <f t="shared" si="415"/>
        <v>1463.4286007439839</v>
      </c>
      <c r="AA292" s="527">
        <f t="shared" si="415"/>
        <v>1463.4286007439839</v>
      </c>
      <c r="AB292" s="527">
        <f t="shared" si="415"/>
        <v>1463.4286007439839</v>
      </c>
      <c r="AC292" s="527">
        <f t="shared" si="415"/>
        <v>1463.4286007439839</v>
      </c>
      <c r="AD292" s="527">
        <f t="shared" si="415"/>
        <v>1463.4286007439839</v>
      </c>
      <c r="AE292" s="527">
        <f t="shared" si="415"/>
        <v>1463.4286007439839</v>
      </c>
      <c r="AF292" s="527">
        <f t="shared" si="415"/>
        <v>1463.4286007439839</v>
      </c>
      <c r="AG292" s="527">
        <f t="shared" si="415"/>
        <v>1463.4286007439839</v>
      </c>
      <c r="AH292" s="527">
        <f t="shared" si="415"/>
        <v>1463.4286007439839</v>
      </c>
      <c r="AI292" s="527">
        <f t="shared" si="415"/>
        <v>1463.4286007439839</v>
      </c>
      <c r="AJ292" s="527">
        <f t="shared" si="415"/>
        <v>1463.4286007439839</v>
      </c>
      <c r="AK292" s="527">
        <f t="shared" si="415"/>
        <v>1463.4286007439839</v>
      </c>
      <c r="AL292" s="527">
        <f t="shared" si="415"/>
        <v>1463.4286007439839</v>
      </c>
      <c r="AM292" s="527">
        <f t="shared" si="415"/>
        <v>1463.4286007439839</v>
      </c>
      <c r="AN292" s="527">
        <f t="shared" si="415"/>
        <v>1463.4286007439839</v>
      </c>
      <c r="AO292" s="527">
        <f t="shared" si="415"/>
        <v>1463.4286007439839</v>
      </c>
      <c r="AP292" s="527">
        <f t="shared" si="415"/>
        <v>1463.4286007439839</v>
      </c>
      <c r="AQ292" s="527">
        <f t="shared" si="415"/>
        <v>1463.4286007439839</v>
      </c>
      <c r="AR292" s="527">
        <f t="shared" si="415"/>
        <v>1463.4286007439839</v>
      </c>
      <c r="AS292" s="527">
        <f t="shared" si="415"/>
        <v>1463.4286007439839</v>
      </c>
      <c r="AT292" s="527">
        <f t="shared" si="415"/>
        <v>1463.4286007439839</v>
      </c>
      <c r="AU292" s="527">
        <f t="shared" si="415"/>
        <v>1463.4286007439839</v>
      </c>
      <c r="AV292" s="527">
        <f t="shared" si="415"/>
        <v>1757.2860860144583</v>
      </c>
      <c r="AW292" s="527">
        <f t="shared" si="415"/>
        <v>1757.2860860144583</v>
      </c>
      <c r="AX292" s="527">
        <f t="shared" ref="AX292:BY292" si="416">IFERROR(AX284/AX$224,0)</f>
        <v>1757.2860860144583</v>
      </c>
      <c r="AY292" s="527">
        <f t="shared" si="416"/>
        <v>1757.2860860144583</v>
      </c>
      <c r="AZ292" s="527">
        <f t="shared" si="416"/>
        <v>1757.2860860144583</v>
      </c>
      <c r="BA292" s="527">
        <f t="shared" si="416"/>
        <v>1757.2860860144583</v>
      </c>
      <c r="BB292" s="527">
        <f t="shared" si="416"/>
        <v>1689.0530763492059</v>
      </c>
      <c r="BC292" s="527">
        <f t="shared" si="416"/>
        <v>1689.0530763492059</v>
      </c>
      <c r="BD292" s="527">
        <f t="shared" si="416"/>
        <v>1689.0530763492059</v>
      </c>
      <c r="BE292" s="527">
        <f t="shared" si="416"/>
        <v>1689.0530763492059</v>
      </c>
      <c r="BF292" s="527">
        <f t="shared" si="416"/>
        <v>1689.0530763492059</v>
      </c>
      <c r="BG292" s="527">
        <f t="shared" si="416"/>
        <v>1689.0530763492059</v>
      </c>
      <c r="BH292" s="527">
        <f t="shared" si="416"/>
        <v>1764.4357623441847</v>
      </c>
      <c r="BI292" s="527">
        <f t="shared" si="416"/>
        <v>1764.4357623441847</v>
      </c>
      <c r="BJ292" s="527">
        <f t="shared" si="416"/>
        <v>1764.4357623441847</v>
      </c>
      <c r="BK292" s="527">
        <f t="shared" si="416"/>
        <v>1764.4357623441847</v>
      </c>
      <c r="BL292" s="527">
        <f t="shared" si="416"/>
        <v>1764.4357623441847</v>
      </c>
      <c r="BM292" s="527">
        <f t="shared" si="416"/>
        <v>1764.4357623441847</v>
      </c>
      <c r="BN292" s="527">
        <f t="shared" si="416"/>
        <v>1698.8083405344944</v>
      </c>
      <c r="BO292" s="527">
        <f t="shared" si="416"/>
        <v>1698.8083405344944</v>
      </c>
      <c r="BP292" s="527">
        <f t="shared" si="416"/>
        <v>1698.8083405344944</v>
      </c>
      <c r="BQ292" s="527">
        <f t="shared" si="416"/>
        <v>1698.8083405344944</v>
      </c>
      <c r="BR292" s="527">
        <f t="shared" si="416"/>
        <v>1698.8083405344944</v>
      </c>
      <c r="BS292" s="527">
        <f t="shared" si="416"/>
        <v>1698.8083405344944</v>
      </c>
      <c r="BT292" s="527">
        <f t="shared" si="416"/>
        <v>1773.6644265260061</v>
      </c>
      <c r="BU292" s="527">
        <f t="shared" si="416"/>
        <v>1773.6644265260061</v>
      </c>
      <c r="BV292" s="527">
        <f t="shared" si="416"/>
        <v>1773.6644265260061</v>
      </c>
      <c r="BW292" s="527">
        <f t="shared" si="416"/>
        <v>1773.6644265260061</v>
      </c>
      <c r="BX292" s="527">
        <f t="shared" si="416"/>
        <v>1773.6644265260061</v>
      </c>
      <c r="BY292" s="527">
        <f t="shared" si="416"/>
        <v>1773.6644265260061</v>
      </c>
    </row>
    <row r="293" spans="1:77" x14ac:dyDescent="0.3">
      <c r="A293" s="551"/>
      <c r="B293" s="548"/>
      <c r="C293" s="525"/>
      <c r="D293" s="525"/>
      <c r="E293" s="627" t="str">
        <f>"WSM gross sales: "&amp;E$158</f>
        <v>WSM gross sales: FY30 Tranche</v>
      </c>
      <c r="F293" s="525"/>
      <c r="G293" s="525"/>
      <c r="H293" s="525"/>
      <c r="I293" s="525"/>
      <c r="J293" s="525"/>
      <c r="K293" s="525"/>
      <c r="L293" s="525"/>
      <c r="M293" s="525"/>
      <c r="N293" s="525"/>
      <c r="O293" s="525"/>
      <c r="P293" s="565"/>
      <c r="Q293" s="525"/>
      <c r="R293" s="527">
        <f t="shared" ref="R293:AW293" si="417">IFERROR(R285/R$224,0)</f>
        <v>1463.4286007439839</v>
      </c>
      <c r="S293" s="527">
        <f t="shared" si="417"/>
        <v>1463.4286007439839</v>
      </c>
      <c r="T293" s="527">
        <f t="shared" si="417"/>
        <v>1463.4286007439839</v>
      </c>
      <c r="U293" s="527">
        <f t="shared" si="417"/>
        <v>1463.4286007439839</v>
      </c>
      <c r="V293" s="527">
        <f t="shared" si="417"/>
        <v>1463.4286007439839</v>
      </c>
      <c r="W293" s="527">
        <f t="shared" si="417"/>
        <v>1463.4286007439839</v>
      </c>
      <c r="X293" s="527">
        <f t="shared" si="417"/>
        <v>1463.4286007439839</v>
      </c>
      <c r="Y293" s="527">
        <f t="shared" si="417"/>
        <v>1463.4286007439839</v>
      </c>
      <c r="Z293" s="527">
        <f t="shared" si="417"/>
        <v>1463.4286007439839</v>
      </c>
      <c r="AA293" s="527">
        <f t="shared" si="417"/>
        <v>1463.4286007439839</v>
      </c>
      <c r="AB293" s="527">
        <f t="shared" si="417"/>
        <v>1463.4286007439839</v>
      </c>
      <c r="AC293" s="527">
        <f t="shared" si="417"/>
        <v>1463.4286007439839</v>
      </c>
      <c r="AD293" s="527">
        <f t="shared" si="417"/>
        <v>1463.4286007439839</v>
      </c>
      <c r="AE293" s="527">
        <f t="shared" si="417"/>
        <v>1463.4286007439839</v>
      </c>
      <c r="AF293" s="527">
        <f t="shared" si="417"/>
        <v>1463.4286007439839</v>
      </c>
      <c r="AG293" s="527">
        <f t="shared" si="417"/>
        <v>1463.4286007439839</v>
      </c>
      <c r="AH293" s="527">
        <f t="shared" si="417"/>
        <v>1463.4286007439839</v>
      </c>
      <c r="AI293" s="527">
        <f t="shared" si="417"/>
        <v>1463.4286007439839</v>
      </c>
      <c r="AJ293" s="527">
        <f t="shared" si="417"/>
        <v>1463.4286007439839</v>
      </c>
      <c r="AK293" s="527">
        <f t="shared" si="417"/>
        <v>1463.4286007439839</v>
      </c>
      <c r="AL293" s="527">
        <f t="shared" si="417"/>
        <v>1463.4286007439839</v>
      </c>
      <c r="AM293" s="527">
        <f t="shared" si="417"/>
        <v>1463.4286007439839</v>
      </c>
      <c r="AN293" s="527">
        <f t="shared" si="417"/>
        <v>1463.4286007439839</v>
      </c>
      <c r="AO293" s="527">
        <f t="shared" si="417"/>
        <v>1463.4286007439839</v>
      </c>
      <c r="AP293" s="527">
        <f t="shared" si="417"/>
        <v>1463.4286007439839</v>
      </c>
      <c r="AQ293" s="527">
        <f t="shared" si="417"/>
        <v>1463.4286007439839</v>
      </c>
      <c r="AR293" s="527">
        <f t="shared" si="417"/>
        <v>1463.4286007439839</v>
      </c>
      <c r="AS293" s="527">
        <f t="shared" si="417"/>
        <v>1463.4286007439839</v>
      </c>
      <c r="AT293" s="527">
        <f t="shared" si="417"/>
        <v>1463.4286007439839</v>
      </c>
      <c r="AU293" s="527">
        <f t="shared" si="417"/>
        <v>1463.4286007439839</v>
      </c>
      <c r="AV293" s="527">
        <f t="shared" si="417"/>
        <v>1463.4286007439839</v>
      </c>
      <c r="AW293" s="527">
        <f t="shared" si="417"/>
        <v>1463.4286007439839</v>
      </c>
      <c r="AX293" s="527">
        <f t="shared" ref="AX293:BY293" si="418">IFERROR(AX285/AX$224,0)</f>
        <v>1463.4286007439839</v>
      </c>
      <c r="AY293" s="527">
        <f t="shared" si="418"/>
        <v>1463.4286007439839</v>
      </c>
      <c r="AZ293" s="527">
        <f t="shared" si="418"/>
        <v>1463.4286007439839</v>
      </c>
      <c r="BA293" s="527">
        <f t="shared" si="418"/>
        <v>1463.4286007439839</v>
      </c>
      <c r="BB293" s="527">
        <f t="shared" si="418"/>
        <v>1463.4286007439839</v>
      </c>
      <c r="BC293" s="527">
        <f t="shared" si="418"/>
        <v>1463.4286007439839</v>
      </c>
      <c r="BD293" s="527">
        <f t="shared" si="418"/>
        <v>1463.4286007439839</v>
      </c>
      <c r="BE293" s="527">
        <f t="shared" si="418"/>
        <v>1463.4286007439839</v>
      </c>
      <c r="BF293" s="527">
        <f t="shared" si="418"/>
        <v>1463.4286007439839</v>
      </c>
      <c r="BG293" s="527">
        <f t="shared" si="418"/>
        <v>1463.4286007439839</v>
      </c>
      <c r="BH293" s="527">
        <f t="shared" si="418"/>
        <v>1749.6801402670642</v>
      </c>
      <c r="BI293" s="527">
        <f t="shared" si="418"/>
        <v>1749.6801402670642</v>
      </c>
      <c r="BJ293" s="527">
        <f t="shared" si="418"/>
        <v>1749.6801402670642</v>
      </c>
      <c r="BK293" s="527">
        <f t="shared" si="418"/>
        <v>1749.6801402670642</v>
      </c>
      <c r="BL293" s="527">
        <f t="shared" si="418"/>
        <v>1749.6801402670642</v>
      </c>
      <c r="BM293" s="527">
        <f t="shared" si="418"/>
        <v>1749.6801402670642</v>
      </c>
      <c r="BN293" s="527">
        <f t="shared" si="418"/>
        <v>1684.7193560251897</v>
      </c>
      <c r="BO293" s="527">
        <f t="shared" si="418"/>
        <v>1684.7193560251897</v>
      </c>
      <c r="BP293" s="527">
        <f t="shared" si="418"/>
        <v>1684.7193560251897</v>
      </c>
      <c r="BQ293" s="527">
        <f t="shared" si="418"/>
        <v>1684.7193560251897</v>
      </c>
      <c r="BR293" s="527">
        <f t="shared" si="418"/>
        <v>1684.7193560251897</v>
      </c>
      <c r="BS293" s="527">
        <f t="shared" si="418"/>
        <v>1684.7193560251897</v>
      </c>
      <c r="BT293" s="527">
        <f t="shared" si="418"/>
        <v>1759.0118826363287</v>
      </c>
      <c r="BU293" s="527">
        <f t="shared" si="418"/>
        <v>1759.0118826363287</v>
      </c>
      <c r="BV293" s="527">
        <f t="shared" si="418"/>
        <v>1759.0118826363287</v>
      </c>
      <c r="BW293" s="527">
        <f t="shared" si="418"/>
        <v>1759.0118826363287</v>
      </c>
      <c r="BX293" s="527">
        <f t="shared" si="418"/>
        <v>1759.0118826363287</v>
      </c>
      <c r="BY293" s="527">
        <f t="shared" si="418"/>
        <v>1759.0118826363287</v>
      </c>
    </row>
    <row r="294" spans="1:77" x14ac:dyDescent="0.3">
      <c r="A294" s="551"/>
      <c r="B294" s="548"/>
      <c r="C294" s="525"/>
      <c r="D294" s="525"/>
      <c r="E294" s="627" t="str">
        <f>"WSM gross sales: "&amp;E$159</f>
        <v>WSM gross sales: FY31 Tranche</v>
      </c>
      <c r="F294" s="525"/>
      <c r="G294" s="525"/>
      <c r="H294" s="525"/>
      <c r="I294" s="525"/>
      <c r="J294" s="525"/>
      <c r="K294" s="525"/>
      <c r="L294" s="525"/>
      <c r="M294" s="525"/>
      <c r="N294" s="525"/>
      <c r="O294" s="525"/>
      <c r="P294" s="565"/>
      <c r="Q294" s="525"/>
      <c r="R294" s="527">
        <f t="shared" ref="R294:AW294" si="419">IFERROR(R286/R$224,0)</f>
        <v>1463.4286007439839</v>
      </c>
      <c r="S294" s="527">
        <f t="shared" si="419"/>
        <v>1463.4286007439839</v>
      </c>
      <c r="T294" s="527">
        <f t="shared" si="419"/>
        <v>1463.4286007439839</v>
      </c>
      <c r="U294" s="527">
        <f t="shared" si="419"/>
        <v>1463.4286007439839</v>
      </c>
      <c r="V294" s="527">
        <f t="shared" si="419"/>
        <v>1463.4286007439839</v>
      </c>
      <c r="W294" s="527">
        <f t="shared" si="419"/>
        <v>1463.4286007439839</v>
      </c>
      <c r="X294" s="527">
        <f t="shared" si="419"/>
        <v>1463.4286007439839</v>
      </c>
      <c r="Y294" s="527">
        <f t="shared" si="419"/>
        <v>1463.4286007439839</v>
      </c>
      <c r="Z294" s="527">
        <f t="shared" si="419"/>
        <v>1463.4286007439839</v>
      </c>
      <c r="AA294" s="527">
        <f t="shared" si="419"/>
        <v>1463.4286007439839</v>
      </c>
      <c r="AB294" s="527">
        <f t="shared" si="419"/>
        <v>1463.4286007439839</v>
      </c>
      <c r="AC294" s="527">
        <f t="shared" si="419"/>
        <v>1463.4286007439839</v>
      </c>
      <c r="AD294" s="527">
        <f t="shared" si="419"/>
        <v>1463.4286007439839</v>
      </c>
      <c r="AE294" s="527">
        <f t="shared" si="419"/>
        <v>1463.4286007439839</v>
      </c>
      <c r="AF294" s="527">
        <f t="shared" si="419"/>
        <v>1463.4286007439839</v>
      </c>
      <c r="AG294" s="527">
        <f t="shared" si="419"/>
        <v>1463.4286007439839</v>
      </c>
      <c r="AH294" s="527">
        <f t="shared" si="419"/>
        <v>1463.4286007439839</v>
      </c>
      <c r="AI294" s="527">
        <f t="shared" si="419"/>
        <v>1463.4286007439839</v>
      </c>
      <c r="AJ294" s="527">
        <f t="shared" si="419"/>
        <v>1463.4286007439839</v>
      </c>
      <c r="AK294" s="527">
        <f t="shared" si="419"/>
        <v>1463.4286007439839</v>
      </c>
      <c r="AL294" s="527">
        <f t="shared" si="419"/>
        <v>1463.4286007439839</v>
      </c>
      <c r="AM294" s="527">
        <f t="shared" si="419"/>
        <v>1463.4286007439839</v>
      </c>
      <c r="AN294" s="527">
        <f t="shared" si="419"/>
        <v>1463.4286007439839</v>
      </c>
      <c r="AO294" s="527">
        <f t="shared" si="419"/>
        <v>1463.4286007439839</v>
      </c>
      <c r="AP294" s="527">
        <f t="shared" si="419"/>
        <v>1463.4286007439839</v>
      </c>
      <c r="AQ294" s="527">
        <f t="shared" si="419"/>
        <v>1463.4286007439839</v>
      </c>
      <c r="AR294" s="527">
        <f t="shared" si="419"/>
        <v>1463.4286007439839</v>
      </c>
      <c r="AS294" s="527">
        <f t="shared" si="419"/>
        <v>1463.4286007439839</v>
      </c>
      <c r="AT294" s="527">
        <f t="shared" si="419"/>
        <v>1463.4286007439839</v>
      </c>
      <c r="AU294" s="527">
        <f t="shared" si="419"/>
        <v>1463.4286007439839</v>
      </c>
      <c r="AV294" s="527">
        <f t="shared" si="419"/>
        <v>1463.4286007439839</v>
      </c>
      <c r="AW294" s="527">
        <f t="shared" si="419"/>
        <v>1463.4286007439839</v>
      </c>
      <c r="AX294" s="527">
        <f t="shared" ref="AX294:BY294" si="420">IFERROR(AX286/AX$224,0)</f>
        <v>1463.4286007439839</v>
      </c>
      <c r="AY294" s="527">
        <f t="shared" si="420"/>
        <v>1463.4286007439839</v>
      </c>
      <c r="AZ294" s="527">
        <f t="shared" si="420"/>
        <v>1463.4286007439839</v>
      </c>
      <c r="BA294" s="527">
        <f t="shared" si="420"/>
        <v>1463.4286007439839</v>
      </c>
      <c r="BB294" s="527">
        <f t="shared" si="420"/>
        <v>1463.4286007439839</v>
      </c>
      <c r="BC294" s="527">
        <f t="shared" si="420"/>
        <v>1463.4286007439839</v>
      </c>
      <c r="BD294" s="527">
        <f t="shared" si="420"/>
        <v>1463.4286007439839</v>
      </c>
      <c r="BE294" s="527">
        <f t="shared" si="420"/>
        <v>1463.4286007439839</v>
      </c>
      <c r="BF294" s="527">
        <f t="shared" si="420"/>
        <v>1463.4286007439839</v>
      </c>
      <c r="BG294" s="527">
        <f t="shared" si="420"/>
        <v>1463.4286007439839</v>
      </c>
      <c r="BH294" s="527">
        <f t="shared" si="420"/>
        <v>1463.4286007439839</v>
      </c>
      <c r="BI294" s="527">
        <f t="shared" si="420"/>
        <v>1463.4286007439839</v>
      </c>
      <c r="BJ294" s="527">
        <f t="shared" si="420"/>
        <v>1463.4286007439839</v>
      </c>
      <c r="BK294" s="527">
        <f t="shared" si="420"/>
        <v>1463.4286007439839</v>
      </c>
      <c r="BL294" s="527">
        <f t="shared" si="420"/>
        <v>1463.4286007439839</v>
      </c>
      <c r="BM294" s="527">
        <f t="shared" si="420"/>
        <v>1463.4286007439839</v>
      </c>
      <c r="BN294" s="527">
        <f t="shared" si="420"/>
        <v>1463.4286007439839</v>
      </c>
      <c r="BO294" s="527">
        <f t="shared" si="420"/>
        <v>1463.4286007439839</v>
      </c>
      <c r="BP294" s="527">
        <f t="shared" si="420"/>
        <v>1463.4286007439839</v>
      </c>
      <c r="BQ294" s="527">
        <f t="shared" si="420"/>
        <v>1463.4286007439839</v>
      </c>
      <c r="BR294" s="527">
        <f t="shared" si="420"/>
        <v>1463.4286007439839</v>
      </c>
      <c r="BS294" s="527">
        <f t="shared" si="420"/>
        <v>1463.4286007439839</v>
      </c>
      <c r="BT294" s="527">
        <f t="shared" si="420"/>
        <v>1742.0818010837272</v>
      </c>
      <c r="BU294" s="527">
        <f t="shared" si="420"/>
        <v>1742.0818010837272</v>
      </c>
      <c r="BV294" s="527">
        <f t="shared" si="420"/>
        <v>1742.0818010837272</v>
      </c>
      <c r="BW294" s="527">
        <f t="shared" si="420"/>
        <v>1742.0818010837272</v>
      </c>
      <c r="BX294" s="527">
        <f t="shared" si="420"/>
        <v>1742.0818010837272</v>
      </c>
      <c r="BY294" s="527">
        <f t="shared" si="420"/>
        <v>1742.0818010837272</v>
      </c>
    </row>
    <row r="295" spans="1:77" x14ac:dyDescent="0.3">
      <c r="A295" s="551"/>
      <c r="B295" s="548"/>
      <c r="C295" s="525"/>
      <c r="D295" s="525"/>
      <c r="E295" s="627" t="str">
        <f>"WSM gross sales: "&amp;E$160</f>
        <v>WSM gross sales: Uninvested Tranche</v>
      </c>
      <c r="F295" s="525"/>
      <c r="G295" s="525"/>
      <c r="H295" s="525"/>
      <c r="I295" s="525"/>
      <c r="J295" s="525"/>
      <c r="K295" s="525"/>
      <c r="L295" s="525"/>
      <c r="M295" s="525"/>
      <c r="N295" s="525"/>
      <c r="O295" s="525"/>
      <c r="P295" s="565"/>
      <c r="Q295" s="525"/>
      <c r="R295" s="527">
        <f t="shared" ref="R295:AW295" si="421">IFERROR(R287/R$224,0)</f>
        <v>4024.4286520459564</v>
      </c>
      <c r="S295" s="527">
        <f t="shared" si="421"/>
        <v>4024.4286520459564</v>
      </c>
      <c r="T295" s="527">
        <f t="shared" si="421"/>
        <v>4024.4286520459564</v>
      </c>
      <c r="U295" s="527">
        <f t="shared" si="421"/>
        <v>4024.4286520459564</v>
      </c>
      <c r="V295" s="527">
        <f t="shared" si="421"/>
        <v>4024.4286520459564</v>
      </c>
      <c r="W295" s="527">
        <f t="shared" si="421"/>
        <v>4024.4286520459564</v>
      </c>
      <c r="X295" s="527">
        <f t="shared" si="421"/>
        <v>4024.4286520459564</v>
      </c>
      <c r="Y295" s="527">
        <f t="shared" si="421"/>
        <v>4024.4286520459564</v>
      </c>
      <c r="Z295" s="527">
        <f t="shared" si="421"/>
        <v>4024.4286520459564</v>
      </c>
      <c r="AA295" s="527">
        <f t="shared" si="421"/>
        <v>4024.4286520459564</v>
      </c>
      <c r="AB295" s="527">
        <f t="shared" si="421"/>
        <v>4024.4286520459564</v>
      </c>
      <c r="AC295" s="527">
        <f t="shared" si="421"/>
        <v>4024.4286520459564</v>
      </c>
      <c r="AD295" s="527">
        <f t="shared" si="421"/>
        <v>4024.4286520459564</v>
      </c>
      <c r="AE295" s="527">
        <f t="shared" si="421"/>
        <v>4024.4286520459564</v>
      </c>
      <c r="AF295" s="527">
        <f t="shared" si="421"/>
        <v>4024.4286520459564</v>
      </c>
      <c r="AG295" s="527">
        <f t="shared" si="421"/>
        <v>4024.4286520459564</v>
      </c>
      <c r="AH295" s="527">
        <f t="shared" si="421"/>
        <v>4024.4286520459564</v>
      </c>
      <c r="AI295" s="527">
        <f t="shared" si="421"/>
        <v>4024.4286520459564</v>
      </c>
      <c r="AJ295" s="527">
        <f t="shared" si="421"/>
        <v>4024.4286520459564</v>
      </c>
      <c r="AK295" s="527">
        <f t="shared" si="421"/>
        <v>4024.4286520459564</v>
      </c>
      <c r="AL295" s="527">
        <f t="shared" si="421"/>
        <v>4024.4286520459564</v>
      </c>
      <c r="AM295" s="527">
        <f t="shared" si="421"/>
        <v>4024.4286520459564</v>
      </c>
      <c r="AN295" s="527">
        <f t="shared" si="421"/>
        <v>4024.4286520459564</v>
      </c>
      <c r="AO295" s="527">
        <f t="shared" si="421"/>
        <v>4024.4286520459564</v>
      </c>
      <c r="AP295" s="527">
        <f t="shared" si="421"/>
        <v>4024.4286520459564</v>
      </c>
      <c r="AQ295" s="527">
        <f t="shared" si="421"/>
        <v>4024.4286520459564</v>
      </c>
      <c r="AR295" s="527">
        <f t="shared" si="421"/>
        <v>4024.4286520459564</v>
      </c>
      <c r="AS295" s="527">
        <f t="shared" si="421"/>
        <v>4024.4286520459564</v>
      </c>
      <c r="AT295" s="527">
        <f t="shared" si="421"/>
        <v>4024.4286520459564</v>
      </c>
      <c r="AU295" s="527">
        <f t="shared" si="421"/>
        <v>4024.4286520459564</v>
      </c>
      <c r="AV295" s="527">
        <f t="shared" si="421"/>
        <v>4024.4286520459564</v>
      </c>
      <c r="AW295" s="527">
        <f t="shared" si="421"/>
        <v>4024.4286520459564</v>
      </c>
      <c r="AX295" s="527">
        <f t="shared" ref="AX295:BY295" si="422">IFERROR(AX287/AX$224,0)</f>
        <v>4024.4286520459564</v>
      </c>
      <c r="AY295" s="527">
        <f t="shared" si="422"/>
        <v>4024.4286520459564</v>
      </c>
      <c r="AZ295" s="527">
        <f t="shared" si="422"/>
        <v>4024.4286520459564</v>
      </c>
      <c r="BA295" s="527">
        <f t="shared" si="422"/>
        <v>4024.4286520459564</v>
      </c>
      <c r="BB295" s="527">
        <f t="shared" si="422"/>
        <v>4024.4286520459564</v>
      </c>
      <c r="BC295" s="527">
        <f t="shared" si="422"/>
        <v>4024.4286520459564</v>
      </c>
      <c r="BD295" s="527">
        <f t="shared" si="422"/>
        <v>4024.4286520459564</v>
      </c>
      <c r="BE295" s="527">
        <f t="shared" si="422"/>
        <v>4024.4286520459564</v>
      </c>
      <c r="BF295" s="527">
        <f t="shared" si="422"/>
        <v>4024.4286520459564</v>
      </c>
      <c r="BG295" s="527">
        <f t="shared" si="422"/>
        <v>4024.4286520459564</v>
      </c>
      <c r="BH295" s="527">
        <f t="shared" si="422"/>
        <v>4024.4286520459564</v>
      </c>
      <c r="BI295" s="527">
        <f t="shared" si="422"/>
        <v>4024.4286520459564</v>
      </c>
      <c r="BJ295" s="527">
        <f t="shared" si="422"/>
        <v>4024.4286520459564</v>
      </c>
      <c r="BK295" s="527">
        <f t="shared" si="422"/>
        <v>4024.4286520459564</v>
      </c>
      <c r="BL295" s="527">
        <f t="shared" si="422"/>
        <v>4024.4286520459564</v>
      </c>
      <c r="BM295" s="527">
        <f t="shared" si="422"/>
        <v>4024.4286520459564</v>
      </c>
      <c r="BN295" s="527">
        <f t="shared" si="422"/>
        <v>4024.4286520459564</v>
      </c>
      <c r="BO295" s="527">
        <f t="shared" si="422"/>
        <v>4024.4286520459564</v>
      </c>
      <c r="BP295" s="527">
        <f t="shared" si="422"/>
        <v>4024.4286520459564</v>
      </c>
      <c r="BQ295" s="527">
        <f t="shared" si="422"/>
        <v>4024.4286520459564</v>
      </c>
      <c r="BR295" s="527">
        <f t="shared" si="422"/>
        <v>4024.4286520459564</v>
      </c>
      <c r="BS295" s="527">
        <f t="shared" si="422"/>
        <v>4024.4286520459564</v>
      </c>
      <c r="BT295" s="527">
        <f t="shared" si="422"/>
        <v>4024.4286520459564</v>
      </c>
      <c r="BU295" s="527">
        <f t="shared" si="422"/>
        <v>4024.4286520459564</v>
      </c>
      <c r="BV295" s="527">
        <f t="shared" si="422"/>
        <v>4024.4286520459564</v>
      </c>
      <c r="BW295" s="527">
        <f t="shared" si="422"/>
        <v>4024.4286520459564</v>
      </c>
      <c r="BX295" s="527">
        <f t="shared" si="422"/>
        <v>4024.4286520459564</v>
      </c>
      <c r="BY295" s="527">
        <f t="shared" si="422"/>
        <v>4024.4286520459564</v>
      </c>
    </row>
    <row r="296" spans="1:77" x14ac:dyDescent="0.3">
      <c r="A296" s="551"/>
      <c r="B296" s="548"/>
      <c r="C296" s="525"/>
      <c r="D296" s="525"/>
      <c r="E296" s="572" t="s">
        <v>36</v>
      </c>
      <c r="F296" s="572"/>
      <c r="G296" s="572"/>
      <c r="H296" s="572"/>
      <c r="I296" s="572"/>
      <c r="J296" s="572"/>
      <c r="K296" s="572"/>
      <c r="L296" s="572"/>
      <c r="M296" s="572"/>
      <c r="N296" s="572"/>
      <c r="O296" s="572"/>
      <c r="P296" s="612"/>
      <c r="Q296" s="572"/>
      <c r="R296" s="530">
        <f t="shared" ref="R296:AW296" si="423">SUM(R290:R295)</f>
        <v>11341.571655765876</v>
      </c>
      <c r="S296" s="530">
        <f t="shared" si="423"/>
        <v>11341.571655765876</v>
      </c>
      <c r="T296" s="530">
        <f t="shared" si="423"/>
        <v>11341.571655765876</v>
      </c>
      <c r="U296" s="530">
        <f t="shared" si="423"/>
        <v>11341.571655765876</v>
      </c>
      <c r="V296" s="530">
        <f t="shared" si="423"/>
        <v>11341.571655765876</v>
      </c>
      <c r="W296" s="530">
        <f t="shared" si="423"/>
        <v>11341.571655765876</v>
      </c>
      <c r="X296" s="530">
        <f t="shared" si="423"/>
        <v>11652.250648874477</v>
      </c>
      <c r="Y296" s="530">
        <f t="shared" si="423"/>
        <v>11652.250648874477</v>
      </c>
      <c r="Z296" s="530">
        <f t="shared" si="423"/>
        <v>11652.250648874477</v>
      </c>
      <c r="AA296" s="530">
        <f t="shared" si="423"/>
        <v>11652.250648874477</v>
      </c>
      <c r="AB296" s="530">
        <f t="shared" si="423"/>
        <v>11652.250648874477</v>
      </c>
      <c r="AC296" s="530">
        <f t="shared" si="423"/>
        <v>11652.250648874477</v>
      </c>
      <c r="AD296" s="530">
        <f t="shared" si="423"/>
        <v>11571.794971475698</v>
      </c>
      <c r="AE296" s="530">
        <f t="shared" si="423"/>
        <v>11571.794971475698</v>
      </c>
      <c r="AF296" s="530">
        <f t="shared" si="423"/>
        <v>11571.794971475698</v>
      </c>
      <c r="AG296" s="530">
        <f t="shared" si="423"/>
        <v>11571.794971475698</v>
      </c>
      <c r="AH296" s="530">
        <f t="shared" si="423"/>
        <v>11571.794971475698</v>
      </c>
      <c r="AI296" s="530">
        <f t="shared" si="423"/>
        <v>11571.794971475698</v>
      </c>
      <c r="AJ296" s="530">
        <f t="shared" si="423"/>
        <v>11951.066917943202</v>
      </c>
      <c r="AK296" s="530">
        <f t="shared" si="423"/>
        <v>11951.066917943202</v>
      </c>
      <c r="AL296" s="530">
        <f t="shared" si="423"/>
        <v>11951.066917943202</v>
      </c>
      <c r="AM296" s="530">
        <f t="shared" si="423"/>
        <v>11951.066917943202</v>
      </c>
      <c r="AN296" s="530">
        <f t="shared" si="423"/>
        <v>11951.066917943202</v>
      </c>
      <c r="AO296" s="530">
        <f t="shared" si="423"/>
        <v>11951.066917943202</v>
      </c>
      <c r="AP296" s="530">
        <f t="shared" si="423"/>
        <v>11799.804569769902</v>
      </c>
      <c r="AQ296" s="530">
        <f t="shared" si="423"/>
        <v>11799.804569769902</v>
      </c>
      <c r="AR296" s="530">
        <f t="shared" si="423"/>
        <v>11799.804569769902</v>
      </c>
      <c r="AS296" s="530">
        <f t="shared" si="423"/>
        <v>11799.804569769902</v>
      </c>
      <c r="AT296" s="530">
        <f t="shared" si="423"/>
        <v>11799.804569769902</v>
      </c>
      <c r="AU296" s="530">
        <f t="shared" si="423"/>
        <v>11799.804569769902</v>
      </c>
      <c r="AV296" s="530">
        <f t="shared" si="423"/>
        <v>12246.454412561554</v>
      </c>
      <c r="AW296" s="530">
        <f t="shared" si="423"/>
        <v>12246.454412561554</v>
      </c>
      <c r="AX296" s="530">
        <f t="shared" ref="AX296:BY296" si="424">SUM(AX290:AX295)</f>
        <v>12246.454412561554</v>
      </c>
      <c r="AY296" s="530">
        <f t="shared" si="424"/>
        <v>12246.454412561554</v>
      </c>
      <c r="AZ296" s="530">
        <f t="shared" si="424"/>
        <v>12246.454412561554</v>
      </c>
      <c r="BA296" s="530">
        <f t="shared" si="424"/>
        <v>12246.454412561554</v>
      </c>
      <c r="BB296" s="530">
        <f t="shared" si="424"/>
        <v>12040.692026424907</v>
      </c>
      <c r="BC296" s="530">
        <f t="shared" si="424"/>
        <v>12040.692026424907</v>
      </c>
      <c r="BD296" s="530">
        <f t="shared" si="424"/>
        <v>12040.692026424907</v>
      </c>
      <c r="BE296" s="530">
        <f t="shared" si="424"/>
        <v>12040.692026424907</v>
      </c>
      <c r="BF296" s="530">
        <f t="shared" si="424"/>
        <v>12040.692026424907</v>
      </c>
      <c r="BG296" s="530">
        <f t="shared" si="424"/>
        <v>12040.692026424907</v>
      </c>
      <c r="BH296" s="530">
        <f t="shared" si="424"/>
        <v>12553.98150168666</v>
      </c>
      <c r="BI296" s="530">
        <f t="shared" si="424"/>
        <v>12553.98150168666</v>
      </c>
      <c r="BJ296" s="530">
        <f t="shared" si="424"/>
        <v>12553.98150168666</v>
      </c>
      <c r="BK296" s="530">
        <f t="shared" si="424"/>
        <v>12553.98150168666</v>
      </c>
      <c r="BL296" s="530">
        <f t="shared" si="424"/>
        <v>12553.98150168666</v>
      </c>
      <c r="BM296" s="530">
        <f t="shared" si="424"/>
        <v>12553.98150168666</v>
      </c>
      <c r="BN296" s="530">
        <f t="shared" si="424"/>
        <v>12291.093164030168</v>
      </c>
      <c r="BO296" s="530">
        <f t="shared" si="424"/>
        <v>12291.093164030168</v>
      </c>
      <c r="BP296" s="530">
        <f t="shared" si="424"/>
        <v>12291.093164030168</v>
      </c>
      <c r="BQ296" s="530">
        <f t="shared" si="424"/>
        <v>12291.093164030168</v>
      </c>
      <c r="BR296" s="530">
        <f t="shared" si="424"/>
        <v>12291.093164030168</v>
      </c>
      <c r="BS296" s="530">
        <f t="shared" si="424"/>
        <v>12291.093164030168</v>
      </c>
      <c r="BT296" s="530">
        <f t="shared" si="424"/>
        <v>12869.490810300045</v>
      </c>
      <c r="BU296" s="530">
        <f t="shared" si="424"/>
        <v>12869.490810300045</v>
      </c>
      <c r="BV296" s="530">
        <f t="shared" si="424"/>
        <v>12869.490810300045</v>
      </c>
      <c r="BW296" s="530">
        <f t="shared" si="424"/>
        <v>12869.490810300045</v>
      </c>
      <c r="BX296" s="530">
        <f t="shared" si="424"/>
        <v>12869.490810300045</v>
      </c>
      <c r="BY296" s="530">
        <f t="shared" si="424"/>
        <v>12869.490810300045</v>
      </c>
    </row>
    <row r="297" spans="1:77" x14ac:dyDescent="0.3">
      <c r="A297" s="551"/>
      <c r="B297" s="548"/>
      <c r="C297" s="525"/>
      <c r="D297" s="525"/>
      <c r="E297" s="525"/>
      <c r="F297" s="525"/>
      <c r="G297" s="525"/>
      <c r="H297" s="525"/>
      <c r="I297" s="525"/>
      <c r="J297" s="525"/>
      <c r="K297" s="525"/>
      <c r="L297" s="525"/>
      <c r="M297" s="525"/>
      <c r="N297" s="525"/>
      <c r="O297" s="525"/>
      <c r="P297" s="565"/>
      <c r="Q297" s="525"/>
      <c r="R297" s="525"/>
      <c r="S297" s="525"/>
      <c r="T297" s="525"/>
      <c r="U297" s="525"/>
      <c r="V297" s="525"/>
      <c r="W297" s="525"/>
      <c r="X297" s="525"/>
      <c r="Y297" s="525"/>
      <c r="Z297" s="525"/>
      <c r="AA297" s="525"/>
      <c r="AB297" s="525"/>
      <c r="AC297" s="525"/>
      <c r="AD297" s="525"/>
      <c r="AE297" s="525"/>
      <c r="AF297" s="525"/>
      <c r="AG297" s="525"/>
      <c r="AH297" s="525"/>
      <c r="AI297" s="525"/>
      <c r="AJ297" s="525"/>
      <c r="AK297" s="525"/>
      <c r="AL297" s="525"/>
      <c r="AM297" s="525"/>
      <c r="AN297" s="525"/>
      <c r="AO297" s="525"/>
      <c r="AP297" s="525"/>
      <c r="AQ297" s="525"/>
      <c r="AR297" s="525"/>
      <c r="AS297" s="525"/>
      <c r="AT297" s="525"/>
      <c r="AU297" s="525"/>
      <c r="AV297" s="525"/>
      <c r="AW297" s="525"/>
      <c r="AX297" s="525"/>
      <c r="AY297" s="525"/>
      <c r="AZ297" s="525"/>
      <c r="BA297" s="525"/>
      <c r="BB297" s="525"/>
      <c r="BC297" s="525"/>
      <c r="BD297" s="525"/>
      <c r="BE297" s="525"/>
      <c r="BF297" s="525"/>
      <c r="BG297" s="525"/>
      <c r="BH297" s="525"/>
      <c r="BI297" s="525"/>
      <c r="BJ297" s="525"/>
      <c r="BK297" s="525"/>
      <c r="BL297" s="525"/>
      <c r="BM297" s="525"/>
      <c r="BN297" s="525"/>
      <c r="BO297" s="525"/>
      <c r="BP297" s="525"/>
      <c r="BQ297" s="525"/>
      <c r="BR297" s="525"/>
      <c r="BS297" s="525"/>
      <c r="BT297" s="525"/>
      <c r="BU297" s="525"/>
      <c r="BV297" s="525"/>
      <c r="BW297" s="525"/>
      <c r="BX297" s="525"/>
      <c r="BY297" s="525"/>
    </row>
    <row r="298" spans="1:77" x14ac:dyDescent="0.3">
      <c r="A298" s="551"/>
      <c r="B298" s="548"/>
      <c r="C298" s="525"/>
      <c r="D298" s="525"/>
      <c r="E298" s="628" t="str">
        <f>"WSM cost of sales: "&amp;E$155</f>
        <v>WSM cost of sales: FY27 Tranche</v>
      </c>
      <c r="F298" s="525"/>
      <c r="G298" s="525"/>
      <c r="H298" s="525"/>
      <c r="I298" s="525"/>
      <c r="J298" s="525"/>
      <c r="K298" s="525"/>
      <c r="L298" s="525"/>
      <c r="M298" s="525"/>
      <c r="N298" s="525"/>
      <c r="O298" s="525"/>
      <c r="P298" s="565"/>
      <c r="Q298" s="525"/>
      <c r="R298" s="527">
        <f t="shared" ref="R298:AW298" si="425">(R282-R290)*R$232</f>
        <v>-756.49918830328818</v>
      </c>
      <c r="S298" s="527">
        <f t="shared" si="425"/>
        <v>-756.49918830328818</v>
      </c>
      <c r="T298" s="527">
        <f t="shared" si="425"/>
        <v>-756.49918830328818</v>
      </c>
      <c r="U298" s="527">
        <f t="shared" si="425"/>
        <v>-756.49918830328818</v>
      </c>
      <c r="V298" s="527">
        <f t="shared" si="425"/>
        <v>-756.49918830328818</v>
      </c>
      <c r="W298" s="527">
        <f t="shared" si="425"/>
        <v>-756.49918830328818</v>
      </c>
      <c r="X298" s="527">
        <f t="shared" si="425"/>
        <v>-917.1003997255973</v>
      </c>
      <c r="Y298" s="527">
        <f t="shared" si="425"/>
        <v>-917.1003997255973</v>
      </c>
      <c r="Z298" s="527">
        <f t="shared" si="425"/>
        <v>-917.1003997255973</v>
      </c>
      <c r="AA298" s="527">
        <f t="shared" si="425"/>
        <v>-917.1003997255973</v>
      </c>
      <c r="AB298" s="527">
        <f t="shared" si="425"/>
        <v>-917.1003997255973</v>
      </c>
      <c r="AC298" s="527">
        <f t="shared" si="425"/>
        <v>-917.1003997255973</v>
      </c>
      <c r="AD298" s="527">
        <f t="shared" si="425"/>
        <v>-875.50994931645255</v>
      </c>
      <c r="AE298" s="527">
        <f t="shared" si="425"/>
        <v>-875.50994931645255</v>
      </c>
      <c r="AF298" s="527">
        <f t="shared" si="425"/>
        <v>-875.50994931645255</v>
      </c>
      <c r="AG298" s="527">
        <f t="shared" si="425"/>
        <v>-875.50994931645255</v>
      </c>
      <c r="AH298" s="527">
        <f t="shared" si="425"/>
        <v>-875.50994931645255</v>
      </c>
      <c r="AI298" s="527">
        <f t="shared" si="425"/>
        <v>-875.50994931645255</v>
      </c>
      <c r="AJ298" s="527">
        <f t="shared" si="425"/>
        <v>-915.46404387482107</v>
      </c>
      <c r="AK298" s="527">
        <f t="shared" si="425"/>
        <v>-915.46404387482107</v>
      </c>
      <c r="AL298" s="527">
        <f t="shared" si="425"/>
        <v>-915.46404387482107</v>
      </c>
      <c r="AM298" s="527">
        <f t="shared" si="425"/>
        <v>-915.46404387482107</v>
      </c>
      <c r="AN298" s="527">
        <f t="shared" si="425"/>
        <v>-915.46404387482107</v>
      </c>
      <c r="AO298" s="527">
        <f t="shared" si="425"/>
        <v>-915.46404387482107</v>
      </c>
      <c r="AP298" s="527">
        <f t="shared" si="425"/>
        <v>-876.29853307920303</v>
      </c>
      <c r="AQ298" s="527">
        <f t="shared" si="425"/>
        <v>-876.29853307920303</v>
      </c>
      <c r="AR298" s="527">
        <f t="shared" si="425"/>
        <v>-876.29853307920303</v>
      </c>
      <c r="AS298" s="527">
        <f t="shared" si="425"/>
        <v>-876.29853307920303</v>
      </c>
      <c r="AT298" s="527">
        <f t="shared" si="425"/>
        <v>-876.29853307920303</v>
      </c>
      <c r="AU298" s="527">
        <f t="shared" si="425"/>
        <v>-876.29853307920303</v>
      </c>
      <c r="AV298" s="527">
        <f t="shared" si="425"/>
        <v>-915.84491213882905</v>
      </c>
      <c r="AW298" s="527">
        <f t="shared" si="425"/>
        <v>-915.84491213882905</v>
      </c>
      <c r="AX298" s="527">
        <f t="shared" ref="AX298:BY298" si="426">(AX282-AX290)*AX$232</f>
        <v>-915.84491213882905</v>
      </c>
      <c r="AY298" s="527">
        <f t="shared" si="426"/>
        <v>-915.84491213882905</v>
      </c>
      <c r="AZ298" s="527">
        <f t="shared" si="426"/>
        <v>-915.84491213882905</v>
      </c>
      <c r="BA298" s="527">
        <f t="shared" si="426"/>
        <v>-915.84491213882905</v>
      </c>
      <c r="BB298" s="527">
        <f t="shared" si="426"/>
        <v>-880.23339961706574</v>
      </c>
      <c r="BC298" s="527">
        <f t="shared" si="426"/>
        <v>-880.23339961706574</v>
      </c>
      <c r="BD298" s="527">
        <f t="shared" si="426"/>
        <v>-880.23339961706574</v>
      </c>
      <c r="BE298" s="527">
        <f t="shared" si="426"/>
        <v>-880.23339961706574</v>
      </c>
      <c r="BF298" s="527">
        <f t="shared" si="426"/>
        <v>-880.23339961706574</v>
      </c>
      <c r="BG298" s="527">
        <f t="shared" si="426"/>
        <v>-880.23339961706574</v>
      </c>
      <c r="BH298" s="527">
        <f t="shared" si="426"/>
        <v>-919.48546752180368</v>
      </c>
      <c r="BI298" s="527">
        <f t="shared" si="426"/>
        <v>-919.48546752180368</v>
      </c>
      <c r="BJ298" s="527">
        <f t="shared" si="426"/>
        <v>-919.48546752180368</v>
      </c>
      <c r="BK298" s="527">
        <f t="shared" si="426"/>
        <v>-919.48546752180368</v>
      </c>
      <c r="BL298" s="527">
        <f t="shared" si="426"/>
        <v>-919.48546752180368</v>
      </c>
      <c r="BM298" s="527">
        <f t="shared" si="426"/>
        <v>-919.48546752180368</v>
      </c>
      <c r="BN298" s="527">
        <f t="shared" si="426"/>
        <v>-885.22664492351498</v>
      </c>
      <c r="BO298" s="527">
        <f t="shared" si="426"/>
        <v>-885.22664492351498</v>
      </c>
      <c r="BP298" s="527">
        <f t="shared" si="426"/>
        <v>-885.22664492351498</v>
      </c>
      <c r="BQ298" s="527">
        <f t="shared" si="426"/>
        <v>-885.22664492351498</v>
      </c>
      <c r="BR298" s="527">
        <f t="shared" si="426"/>
        <v>-885.22664492351498</v>
      </c>
      <c r="BS298" s="527">
        <f t="shared" si="426"/>
        <v>-885.22664492351498</v>
      </c>
      <c r="BT298" s="527">
        <f t="shared" si="426"/>
        <v>-924.20451008763791</v>
      </c>
      <c r="BU298" s="527">
        <f t="shared" si="426"/>
        <v>-924.20451008763791</v>
      </c>
      <c r="BV298" s="527">
        <f t="shared" si="426"/>
        <v>-924.20451008763791</v>
      </c>
      <c r="BW298" s="527">
        <f t="shared" si="426"/>
        <v>-924.20451008763791</v>
      </c>
      <c r="BX298" s="527">
        <f t="shared" si="426"/>
        <v>-924.20451008763791</v>
      </c>
      <c r="BY298" s="527">
        <f t="shared" si="426"/>
        <v>-924.20451008763791</v>
      </c>
    </row>
    <row r="299" spans="1:77" x14ac:dyDescent="0.3">
      <c r="A299" s="551"/>
      <c r="B299" s="548"/>
      <c r="C299" s="525"/>
      <c r="D299" s="525"/>
      <c r="E299" s="628" t="str">
        <f>"WSM cost of sales: "&amp;E$156</f>
        <v>WSM cost of sales: FY28 Tranche</v>
      </c>
      <c r="F299" s="525"/>
      <c r="G299" s="525"/>
      <c r="H299" s="525"/>
      <c r="I299" s="525"/>
      <c r="J299" s="525"/>
      <c r="K299" s="525"/>
      <c r="L299" s="525"/>
      <c r="M299" s="525"/>
      <c r="N299" s="525"/>
      <c r="O299" s="525"/>
      <c r="P299" s="565"/>
      <c r="Q299" s="525"/>
      <c r="R299" s="527">
        <f t="shared" ref="R299:AW299" si="427">(R283-R291)*R$232</f>
        <v>-756.49918830328818</v>
      </c>
      <c r="S299" s="527">
        <f t="shared" si="427"/>
        <v>-756.49918830328818</v>
      </c>
      <c r="T299" s="527">
        <f t="shared" si="427"/>
        <v>-756.49918830328818</v>
      </c>
      <c r="U299" s="527">
        <f t="shared" si="427"/>
        <v>-756.49918830328818</v>
      </c>
      <c r="V299" s="527">
        <f t="shared" si="427"/>
        <v>-756.49918830328818</v>
      </c>
      <c r="W299" s="527">
        <f t="shared" si="427"/>
        <v>-756.49918830328818</v>
      </c>
      <c r="X299" s="527">
        <f t="shared" si="427"/>
        <v>-756.49918830328818</v>
      </c>
      <c r="Y299" s="527">
        <f t="shared" si="427"/>
        <v>-756.49918830328818</v>
      </c>
      <c r="Z299" s="527">
        <f t="shared" si="427"/>
        <v>-756.49918830328818</v>
      </c>
      <c r="AA299" s="527">
        <f t="shared" si="427"/>
        <v>-756.49918830328818</v>
      </c>
      <c r="AB299" s="527">
        <f t="shared" si="427"/>
        <v>-756.49918830328818</v>
      </c>
      <c r="AC299" s="527">
        <f t="shared" si="427"/>
        <v>-756.49918830328818</v>
      </c>
      <c r="AD299" s="527">
        <f t="shared" si="427"/>
        <v>-756.49918830328818</v>
      </c>
      <c r="AE299" s="527">
        <f t="shared" si="427"/>
        <v>-756.49918830328818</v>
      </c>
      <c r="AF299" s="527">
        <f t="shared" si="427"/>
        <v>-756.49918830328818</v>
      </c>
      <c r="AG299" s="527">
        <f t="shared" si="427"/>
        <v>-756.49918830328818</v>
      </c>
      <c r="AH299" s="527">
        <f t="shared" si="427"/>
        <v>-756.49918830328818</v>
      </c>
      <c r="AI299" s="527">
        <f t="shared" si="427"/>
        <v>-756.49918830328818</v>
      </c>
      <c r="AJ299" s="527">
        <f t="shared" si="427"/>
        <v>-912.6044843451923</v>
      </c>
      <c r="AK299" s="527">
        <f t="shared" si="427"/>
        <v>-912.6044843451923</v>
      </c>
      <c r="AL299" s="527">
        <f t="shared" si="427"/>
        <v>-912.6044843451923</v>
      </c>
      <c r="AM299" s="527">
        <f t="shared" si="427"/>
        <v>-912.6044843451923</v>
      </c>
      <c r="AN299" s="527">
        <f t="shared" si="427"/>
        <v>-912.6044843451923</v>
      </c>
      <c r="AO299" s="527">
        <f t="shared" si="427"/>
        <v>-912.6044843451923</v>
      </c>
      <c r="AP299" s="527">
        <f t="shared" si="427"/>
        <v>-873.57701493270338</v>
      </c>
      <c r="AQ299" s="527">
        <f t="shared" si="427"/>
        <v>-873.57701493270338</v>
      </c>
      <c r="AR299" s="527">
        <f t="shared" si="427"/>
        <v>-873.57701493270338</v>
      </c>
      <c r="AS299" s="527">
        <f t="shared" si="427"/>
        <v>-873.57701493270338</v>
      </c>
      <c r="AT299" s="527">
        <f t="shared" si="427"/>
        <v>-873.57701493270338</v>
      </c>
      <c r="AU299" s="527">
        <f t="shared" si="427"/>
        <v>-873.57701493270338</v>
      </c>
      <c r="AV299" s="527">
        <f t="shared" si="427"/>
        <v>-913.01453326646947</v>
      </c>
      <c r="AW299" s="527">
        <f t="shared" si="427"/>
        <v>-913.01453326646947</v>
      </c>
      <c r="AX299" s="527">
        <f t="shared" ref="AX299:BY299" si="428">(AX283-AX291)*AX$232</f>
        <v>-913.01453326646947</v>
      </c>
      <c r="AY299" s="527">
        <f t="shared" si="428"/>
        <v>-913.01453326646947</v>
      </c>
      <c r="AZ299" s="527">
        <f t="shared" si="428"/>
        <v>-913.01453326646947</v>
      </c>
      <c r="BA299" s="527">
        <f t="shared" si="428"/>
        <v>-913.01453326646947</v>
      </c>
      <c r="BB299" s="527">
        <f t="shared" si="428"/>
        <v>-877.53213549047371</v>
      </c>
      <c r="BC299" s="527">
        <f t="shared" si="428"/>
        <v>-877.53213549047371</v>
      </c>
      <c r="BD299" s="527">
        <f t="shared" si="428"/>
        <v>-877.53213549047371</v>
      </c>
      <c r="BE299" s="527">
        <f t="shared" si="428"/>
        <v>-877.53213549047371</v>
      </c>
      <c r="BF299" s="527">
        <f t="shared" si="428"/>
        <v>-877.53213549047371</v>
      </c>
      <c r="BG299" s="527">
        <f t="shared" si="428"/>
        <v>-877.53213549047371</v>
      </c>
      <c r="BH299" s="527">
        <f t="shared" si="428"/>
        <v>-916.676152830148</v>
      </c>
      <c r="BI299" s="527">
        <f t="shared" si="428"/>
        <v>-916.676152830148</v>
      </c>
      <c r="BJ299" s="527">
        <f t="shared" si="428"/>
        <v>-916.676152830148</v>
      </c>
      <c r="BK299" s="527">
        <f t="shared" si="428"/>
        <v>-916.676152830148</v>
      </c>
      <c r="BL299" s="527">
        <f t="shared" si="428"/>
        <v>-916.676152830148</v>
      </c>
      <c r="BM299" s="527">
        <f t="shared" si="428"/>
        <v>-916.676152830148</v>
      </c>
      <c r="BN299" s="527">
        <f t="shared" si="428"/>
        <v>-882.54425098812987</v>
      </c>
      <c r="BO299" s="527">
        <f t="shared" si="428"/>
        <v>-882.54425098812987</v>
      </c>
      <c r="BP299" s="527">
        <f t="shared" si="428"/>
        <v>-882.54425098812987</v>
      </c>
      <c r="BQ299" s="527">
        <f t="shared" si="428"/>
        <v>-882.54425098812987</v>
      </c>
      <c r="BR299" s="527">
        <f t="shared" si="428"/>
        <v>-882.54425098812987</v>
      </c>
      <c r="BS299" s="527">
        <f t="shared" si="428"/>
        <v>-882.54425098812987</v>
      </c>
      <c r="BT299" s="527">
        <f t="shared" si="428"/>
        <v>-921.41482039483765</v>
      </c>
      <c r="BU299" s="527">
        <f t="shared" si="428"/>
        <v>-921.41482039483765</v>
      </c>
      <c r="BV299" s="527">
        <f t="shared" si="428"/>
        <v>-921.41482039483765</v>
      </c>
      <c r="BW299" s="527">
        <f t="shared" si="428"/>
        <v>-921.41482039483765</v>
      </c>
      <c r="BX299" s="527">
        <f t="shared" si="428"/>
        <v>-921.41482039483765</v>
      </c>
      <c r="BY299" s="527">
        <f t="shared" si="428"/>
        <v>-921.41482039483765</v>
      </c>
    </row>
    <row r="300" spans="1:77" x14ac:dyDescent="0.3">
      <c r="A300" s="551"/>
      <c r="B300" s="548"/>
      <c r="C300" s="525"/>
      <c r="D300" s="525"/>
      <c r="E300" s="628" t="str">
        <f>"WSM cost of sales: "&amp;E$157</f>
        <v>WSM cost of sales: FY29 Tranche</v>
      </c>
      <c r="F300" s="525"/>
      <c r="G300" s="525"/>
      <c r="H300" s="525"/>
      <c r="I300" s="525"/>
      <c r="J300" s="525"/>
      <c r="K300" s="525"/>
      <c r="L300" s="525"/>
      <c r="M300" s="525"/>
      <c r="N300" s="525"/>
      <c r="O300" s="525"/>
      <c r="P300" s="565"/>
      <c r="Q300" s="525"/>
      <c r="R300" s="527">
        <f t="shared" ref="R300:AW300" si="429">(R284-R292)*R$232</f>
        <v>-756.49918830328818</v>
      </c>
      <c r="S300" s="527">
        <f t="shared" si="429"/>
        <v>-756.49918830328818</v>
      </c>
      <c r="T300" s="527">
        <f t="shared" si="429"/>
        <v>-756.49918830328818</v>
      </c>
      <c r="U300" s="527">
        <f t="shared" si="429"/>
        <v>-756.49918830328818</v>
      </c>
      <c r="V300" s="527">
        <f t="shared" si="429"/>
        <v>-756.49918830328818</v>
      </c>
      <c r="W300" s="527">
        <f t="shared" si="429"/>
        <v>-756.49918830328818</v>
      </c>
      <c r="X300" s="527">
        <f t="shared" si="429"/>
        <v>-756.49918830328818</v>
      </c>
      <c r="Y300" s="527">
        <f t="shared" si="429"/>
        <v>-756.49918830328818</v>
      </c>
      <c r="Z300" s="527">
        <f t="shared" si="429"/>
        <v>-756.49918830328818</v>
      </c>
      <c r="AA300" s="527">
        <f t="shared" si="429"/>
        <v>-756.49918830328818</v>
      </c>
      <c r="AB300" s="527">
        <f t="shared" si="429"/>
        <v>-756.49918830328818</v>
      </c>
      <c r="AC300" s="527">
        <f t="shared" si="429"/>
        <v>-756.49918830328818</v>
      </c>
      <c r="AD300" s="527">
        <f t="shared" si="429"/>
        <v>-756.49918830328818</v>
      </c>
      <c r="AE300" s="527">
        <f t="shared" si="429"/>
        <v>-756.49918830328818</v>
      </c>
      <c r="AF300" s="527">
        <f t="shared" si="429"/>
        <v>-756.49918830328818</v>
      </c>
      <c r="AG300" s="527">
        <f t="shared" si="429"/>
        <v>-756.49918830328818</v>
      </c>
      <c r="AH300" s="527">
        <f t="shared" si="429"/>
        <v>-756.49918830328818</v>
      </c>
      <c r="AI300" s="527">
        <f t="shared" si="429"/>
        <v>-756.49918830328818</v>
      </c>
      <c r="AJ300" s="527">
        <f t="shared" si="429"/>
        <v>-756.49918830328818</v>
      </c>
      <c r="AK300" s="527">
        <f t="shared" si="429"/>
        <v>-756.49918830328818</v>
      </c>
      <c r="AL300" s="527">
        <f t="shared" si="429"/>
        <v>-756.49918830328818</v>
      </c>
      <c r="AM300" s="527">
        <f t="shared" si="429"/>
        <v>-756.49918830328818</v>
      </c>
      <c r="AN300" s="527">
        <f t="shared" si="429"/>
        <v>-756.49918830328818</v>
      </c>
      <c r="AO300" s="527">
        <f t="shared" si="429"/>
        <v>-756.49918830328818</v>
      </c>
      <c r="AP300" s="527">
        <f t="shared" si="429"/>
        <v>-756.49918830328818</v>
      </c>
      <c r="AQ300" s="527">
        <f t="shared" si="429"/>
        <v>-756.49918830328818</v>
      </c>
      <c r="AR300" s="527">
        <f t="shared" si="429"/>
        <v>-756.49918830328818</v>
      </c>
      <c r="AS300" s="527">
        <f t="shared" si="429"/>
        <v>-756.49918830328818</v>
      </c>
      <c r="AT300" s="527">
        <f t="shared" si="429"/>
        <v>-756.49918830328818</v>
      </c>
      <c r="AU300" s="527">
        <f t="shared" si="429"/>
        <v>-756.49918830328818</v>
      </c>
      <c r="AV300" s="527">
        <f t="shared" si="429"/>
        <v>-908.40475374798712</v>
      </c>
      <c r="AW300" s="527">
        <f t="shared" si="429"/>
        <v>-908.40475374798712</v>
      </c>
      <c r="AX300" s="527">
        <f t="shared" ref="AX300:BY300" si="430">(AX284-AX292)*AX$232</f>
        <v>-908.40475374798712</v>
      </c>
      <c r="AY300" s="527">
        <f t="shared" si="430"/>
        <v>-908.40475374798712</v>
      </c>
      <c r="AZ300" s="527">
        <f t="shared" si="430"/>
        <v>-908.40475374798712</v>
      </c>
      <c r="BA300" s="527">
        <f t="shared" si="430"/>
        <v>-908.40475374798712</v>
      </c>
      <c r="BB300" s="527">
        <f t="shared" si="430"/>
        <v>-873.13264248747748</v>
      </c>
      <c r="BC300" s="527">
        <f t="shared" si="430"/>
        <v>-873.13264248747748</v>
      </c>
      <c r="BD300" s="527">
        <f t="shared" si="430"/>
        <v>-873.13264248747748</v>
      </c>
      <c r="BE300" s="527">
        <f t="shared" si="430"/>
        <v>-873.13264248747748</v>
      </c>
      <c r="BF300" s="527">
        <f t="shared" si="430"/>
        <v>-873.13264248747748</v>
      </c>
      <c r="BG300" s="527">
        <f t="shared" si="430"/>
        <v>-873.13264248747748</v>
      </c>
      <c r="BH300" s="527">
        <f t="shared" si="430"/>
        <v>-912.10068010703151</v>
      </c>
      <c r="BI300" s="527">
        <f t="shared" si="430"/>
        <v>-912.10068010703151</v>
      </c>
      <c r="BJ300" s="527">
        <f t="shared" si="430"/>
        <v>-912.10068010703151</v>
      </c>
      <c r="BK300" s="527">
        <f t="shared" si="430"/>
        <v>-912.10068010703151</v>
      </c>
      <c r="BL300" s="527">
        <f t="shared" si="430"/>
        <v>-912.10068010703151</v>
      </c>
      <c r="BM300" s="527">
        <f t="shared" si="430"/>
        <v>-912.10068010703151</v>
      </c>
      <c r="BN300" s="527">
        <f t="shared" si="430"/>
        <v>-878.17549147519242</v>
      </c>
      <c r="BO300" s="527">
        <f t="shared" si="430"/>
        <v>-878.17549147519242</v>
      </c>
      <c r="BP300" s="527">
        <f t="shared" si="430"/>
        <v>-878.17549147519242</v>
      </c>
      <c r="BQ300" s="527">
        <f t="shared" si="430"/>
        <v>-878.17549147519242</v>
      </c>
      <c r="BR300" s="527">
        <f t="shared" si="430"/>
        <v>-878.17549147519242</v>
      </c>
      <c r="BS300" s="527">
        <f t="shared" si="430"/>
        <v>-878.17549147519242</v>
      </c>
      <c r="BT300" s="527">
        <f t="shared" si="430"/>
        <v>-916.87131050138237</v>
      </c>
      <c r="BU300" s="527">
        <f t="shared" si="430"/>
        <v>-916.87131050138237</v>
      </c>
      <c r="BV300" s="527">
        <f t="shared" si="430"/>
        <v>-916.87131050138237</v>
      </c>
      <c r="BW300" s="527">
        <f t="shared" si="430"/>
        <v>-916.87131050138237</v>
      </c>
      <c r="BX300" s="527">
        <f t="shared" si="430"/>
        <v>-916.87131050138237</v>
      </c>
      <c r="BY300" s="527">
        <f t="shared" si="430"/>
        <v>-916.87131050138237</v>
      </c>
    </row>
    <row r="301" spans="1:77" x14ac:dyDescent="0.3">
      <c r="A301" s="551"/>
      <c r="B301" s="548"/>
      <c r="C301" s="525"/>
      <c r="D301" s="525"/>
      <c r="E301" s="628" t="str">
        <f>"WSM cost of sales: "&amp;E$158</f>
        <v>WSM cost of sales: FY30 Tranche</v>
      </c>
      <c r="F301" s="525"/>
      <c r="G301" s="525"/>
      <c r="H301" s="525"/>
      <c r="I301" s="525"/>
      <c r="J301" s="525"/>
      <c r="K301" s="525"/>
      <c r="L301" s="525"/>
      <c r="M301" s="525"/>
      <c r="N301" s="525"/>
      <c r="O301" s="525"/>
      <c r="P301" s="565"/>
      <c r="Q301" s="525"/>
      <c r="R301" s="527">
        <f t="shared" ref="R301:AW301" si="431">(R285-R293)*R$232</f>
        <v>-756.49918830328818</v>
      </c>
      <c r="S301" s="527">
        <f t="shared" si="431"/>
        <v>-756.49918830328818</v>
      </c>
      <c r="T301" s="527">
        <f t="shared" si="431"/>
        <v>-756.49918830328818</v>
      </c>
      <c r="U301" s="527">
        <f t="shared" si="431"/>
        <v>-756.49918830328818</v>
      </c>
      <c r="V301" s="527">
        <f t="shared" si="431"/>
        <v>-756.49918830328818</v>
      </c>
      <c r="W301" s="527">
        <f t="shared" si="431"/>
        <v>-756.49918830328818</v>
      </c>
      <c r="X301" s="527">
        <f t="shared" si="431"/>
        <v>-756.49918830328818</v>
      </c>
      <c r="Y301" s="527">
        <f t="shared" si="431"/>
        <v>-756.49918830328818</v>
      </c>
      <c r="Z301" s="527">
        <f t="shared" si="431"/>
        <v>-756.49918830328818</v>
      </c>
      <c r="AA301" s="527">
        <f t="shared" si="431"/>
        <v>-756.49918830328818</v>
      </c>
      <c r="AB301" s="527">
        <f t="shared" si="431"/>
        <v>-756.49918830328818</v>
      </c>
      <c r="AC301" s="527">
        <f t="shared" si="431"/>
        <v>-756.49918830328818</v>
      </c>
      <c r="AD301" s="527">
        <f t="shared" si="431"/>
        <v>-756.49918830328818</v>
      </c>
      <c r="AE301" s="527">
        <f t="shared" si="431"/>
        <v>-756.49918830328818</v>
      </c>
      <c r="AF301" s="527">
        <f t="shared" si="431"/>
        <v>-756.49918830328818</v>
      </c>
      <c r="AG301" s="527">
        <f t="shared" si="431"/>
        <v>-756.49918830328818</v>
      </c>
      <c r="AH301" s="527">
        <f t="shared" si="431"/>
        <v>-756.49918830328818</v>
      </c>
      <c r="AI301" s="527">
        <f t="shared" si="431"/>
        <v>-756.49918830328818</v>
      </c>
      <c r="AJ301" s="527">
        <f t="shared" si="431"/>
        <v>-756.49918830328818</v>
      </c>
      <c r="AK301" s="527">
        <f t="shared" si="431"/>
        <v>-756.49918830328818</v>
      </c>
      <c r="AL301" s="527">
        <f t="shared" si="431"/>
        <v>-756.49918830328818</v>
      </c>
      <c r="AM301" s="527">
        <f t="shared" si="431"/>
        <v>-756.49918830328818</v>
      </c>
      <c r="AN301" s="527">
        <f t="shared" si="431"/>
        <v>-756.49918830328818</v>
      </c>
      <c r="AO301" s="527">
        <f t="shared" si="431"/>
        <v>-756.49918830328818</v>
      </c>
      <c r="AP301" s="527">
        <f t="shared" si="431"/>
        <v>-756.49918830328818</v>
      </c>
      <c r="AQ301" s="527">
        <f t="shared" si="431"/>
        <v>-756.49918830328818</v>
      </c>
      <c r="AR301" s="527">
        <f t="shared" si="431"/>
        <v>-756.49918830328818</v>
      </c>
      <c r="AS301" s="527">
        <f t="shared" si="431"/>
        <v>-756.49918830328818</v>
      </c>
      <c r="AT301" s="527">
        <f t="shared" si="431"/>
        <v>-756.49918830328818</v>
      </c>
      <c r="AU301" s="527">
        <f t="shared" si="431"/>
        <v>-756.49918830328818</v>
      </c>
      <c r="AV301" s="527">
        <f t="shared" si="431"/>
        <v>-756.49918830328818</v>
      </c>
      <c r="AW301" s="527">
        <f t="shared" si="431"/>
        <v>-756.49918830328818</v>
      </c>
      <c r="AX301" s="527">
        <f t="shared" ref="AX301:BY301" si="432">(AX285-AX293)*AX$232</f>
        <v>-756.49918830328818</v>
      </c>
      <c r="AY301" s="527">
        <f t="shared" si="432"/>
        <v>-756.49918830328818</v>
      </c>
      <c r="AZ301" s="527">
        <f t="shared" si="432"/>
        <v>-756.49918830328818</v>
      </c>
      <c r="BA301" s="527">
        <f t="shared" si="432"/>
        <v>-756.49918830328818</v>
      </c>
      <c r="BB301" s="527">
        <f t="shared" si="432"/>
        <v>-756.49918830328818</v>
      </c>
      <c r="BC301" s="527">
        <f t="shared" si="432"/>
        <v>-756.49918830328818</v>
      </c>
      <c r="BD301" s="527">
        <f t="shared" si="432"/>
        <v>-756.49918830328818</v>
      </c>
      <c r="BE301" s="527">
        <f t="shared" si="432"/>
        <v>-756.49918830328818</v>
      </c>
      <c r="BF301" s="527">
        <f t="shared" si="432"/>
        <v>-756.49918830328818</v>
      </c>
      <c r="BG301" s="527">
        <f t="shared" si="432"/>
        <v>-756.49918830328818</v>
      </c>
      <c r="BH301" s="527">
        <f t="shared" si="432"/>
        <v>-904.47296521982992</v>
      </c>
      <c r="BI301" s="527">
        <f t="shared" si="432"/>
        <v>-904.47296521982992</v>
      </c>
      <c r="BJ301" s="527">
        <f t="shared" si="432"/>
        <v>-904.47296521982992</v>
      </c>
      <c r="BK301" s="527">
        <f t="shared" si="432"/>
        <v>-904.47296521982992</v>
      </c>
      <c r="BL301" s="527">
        <f t="shared" si="432"/>
        <v>-904.47296521982992</v>
      </c>
      <c r="BM301" s="527">
        <f t="shared" si="432"/>
        <v>-904.47296521982992</v>
      </c>
      <c r="BN301" s="527">
        <f t="shared" si="432"/>
        <v>-870.89238566470863</v>
      </c>
      <c r="BO301" s="527">
        <f t="shared" si="432"/>
        <v>-870.89238566470863</v>
      </c>
      <c r="BP301" s="527">
        <f t="shared" si="432"/>
        <v>-870.89238566470863</v>
      </c>
      <c r="BQ301" s="527">
        <f t="shared" si="432"/>
        <v>-870.89238566470863</v>
      </c>
      <c r="BR301" s="527">
        <f t="shared" si="432"/>
        <v>-870.89238566470863</v>
      </c>
      <c r="BS301" s="527">
        <f t="shared" si="432"/>
        <v>-870.89238566470863</v>
      </c>
      <c r="BT301" s="527">
        <f t="shared" si="432"/>
        <v>-909.296880458479</v>
      </c>
      <c r="BU301" s="527">
        <f t="shared" si="432"/>
        <v>-909.296880458479</v>
      </c>
      <c r="BV301" s="527">
        <f t="shared" si="432"/>
        <v>-909.296880458479</v>
      </c>
      <c r="BW301" s="527">
        <f t="shared" si="432"/>
        <v>-909.296880458479</v>
      </c>
      <c r="BX301" s="527">
        <f t="shared" si="432"/>
        <v>-909.296880458479</v>
      </c>
      <c r="BY301" s="527">
        <f t="shared" si="432"/>
        <v>-909.296880458479</v>
      </c>
    </row>
    <row r="302" spans="1:77" x14ac:dyDescent="0.3">
      <c r="A302" s="551"/>
      <c r="B302" s="548"/>
      <c r="C302" s="525"/>
      <c r="D302" s="525"/>
      <c r="E302" s="628" t="str">
        <f>"WSM cost of sales: "&amp;E$159</f>
        <v>WSM cost of sales: FY31 Tranche</v>
      </c>
      <c r="F302" s="525"/>
      <c r="G302" s="525"/>
      <c r="H302" s="525"/>
      <c r="I302" s="525"/>
      <c r="J302" s="525"/>
      <c r="K302" s="525"/>
      <c r="L302" s="525"/>
      <c r="M302" s="525"/>
      <c r="N302" s="525"/>
      <c r="O302" s="525"/>
      <c r="P302" s="565"/>
      <c r="Q302" s="525"/>
      <c r="R302" s="527">
        <f t="shared" ref="R302:AW302" si="433">(R286-R294)*R$232</f>
        <v>-756.49918830328818</v>
      </c>
      <c r="S302" s="527">
        <f t="shared" si="433"/>
        <v>-756.49918830328818</v>
      </c>
      <c r="T302" s="527">
        <f t="shared" si="433"/>
        <v>-756.49918830328818</v>
      </c>
      <c r="U302" s="527">
        <f t="shared" si="433"/>
        <v>-756.49918830328818</v>
      </c>
      <c r="V302" s="527">
        <f t="shared" si="433"/>
        <v>-756.49918830328818</v>
      </c>
      <c r="W302" s="527">
        <f t="shared" si="433"/>
        <v>-756.49918830328818</v>
      </c>
      <c r="X302" s="527">
        <f t="shared" si="433"/>
        <v>-756.49918830328818</v>
      </c>
      <c r="Y302" s="527">
        <f t="shared" si="433"/>
        <v>-756.49918830328818</v>
      </c>
      <c r="Z302" s="527">
        <f t="shared" si="433"/>
        <v>-756.49918830328818</v>
      </c>
      <c r="AA302" s="527">
        <f t="shared" si="433"/>
        <v>-756.49918830328818</v>
      </c>
      <c r="AB302" s="527">
        <f t="shared" si="433"/>
        <v>-756.49918830328818</v>
      </c>
      <c r="AC302" s="527">
        <f t="shared" si="433"/>
        <v>-756.49918830328818</v>
      </c>
      <c r="AD302" s="527">
        <f t="shared" si="433"/>
        <v>-756.49918830328818</v>
      </c>
      <c r="AE302" s="527">
        <f t="shared" si="433"/>
        <v>-756.49918830328818</v>
      </c>
      <c r="AF302" s="527">
        <f t="shared" si="433"/>
        <v>-756.49918830328818</v>
      </c>
      <c r="AG302" s="527">
        <f t="shared" si="433"/>
        <v>-756.49918830328818</v>
      </c>
      <c r="AH302" s="527">
        <f t="shared" si="433"/>
        <v>-756.49918830328818</v>
      </c>
      <c r="AI302" s="527">
        <f t="shared" si="433"/>
        <v>-756.49918830328818</v>
      </c>
      <c r="AJ302" s="527">
        <f t="shared" si="433"/>
        <v>-756.49918830328818</v>
      </c>
      <c r="AK302" s="527">
        <f t="shared" si="433"/>
        <v>-756.49918830328818</v>
      </c>
      <c r="AL302" s="527">
        <f t="shared" si="433"/>
        <v>-756.49918830328818</v>
      </c>
      <c r="AM302" s="527">
        <f t="shared" si="433"/>
        <v>-756.49918830328818</v>
      </c>
      <c r="AN302" s="527">
        <f t="shared" si="433"/>
        <v>-756.49918830328818</v>
      </c>
      <c r="AO302" s="527">
        <f t="shared" si="433"/>
        <v>-756.49918830328818</v>
      </c>
      <c r="AP302" s="527">
        <f t="shared" si="433"/>
        <v>-756.49918830328818</v>
      </c>
      <c r="AQ302" s="527">
        <f t="shared" si="433"/>
        <v>-756.49918830328818</v>
      </c>
      <c r="AR302" s="527">
        <f t="shared" si="433"/>
        <v>-756.49918830328818</v>
      </c>
      <c r="AS302" s="527">
        <f t="shared" si="433"/>
        <v>-756.49918830328818</v>
      </c>
      <c r="AT302" s="527">
        <f t="shared" si="433"/>
        <v>-756.49918830328818</v>
      </c>
      <c r="AU302" s="527">
        <f t="shared" si="433"/>
        <v>-756.49918830328818</v>
      </c>
      <c r="AV302" s="527">
        <f t="shared" si="433"/>
        <v>-756.49918830328818</v>
      </c>
      <c r="AW302" s="527">
        <f t="shared" si="433"/>
        <v>-756.49918830328818</v>
      </c>
      <c r="AX302" s="527">
        <f t="shared" ref="AX302:BY302" si="434">(AX286-AX294)*AX$232</f>
        <v>-756.49918830328818</v>
      </c>
      <c r="AY302" s="527">
        <f t="shared" si="434"/>
        <v>-756.49918830328818</v>
      </c>
      <c r="AZ302" s="527">
        <f t="shared" si="434"/>
        <v>-756.49918830328818</v>
      </c>
      <c r="BA302" s="527">
        <f t="shared" si="434"/>
        <v>-756.49918830328818</v>
      </c>
      <c r="BB302" s="527">
        <f t="shared" si="434"/>
        <v>-756.49918830328818</v>
      </c>
      <c r="BC302" s="527">
        <f t="shared" si="434"/>
        <v>-756.49918830328818</v>
      </c>
      <c r="BD302" s="527">
        <f t="shared" si="434"/>
        <v>-756.49918830328818</v>
      </c>
      <c r="BE302" s="527">
        <f t="shared" si="434"/>
        <v>-756.49918830328818</v>
      </c>
      <c r="BF302" s="527">
        <f t="shared" si="434"/>
        <v>-756.49918830328818</v>
      </c>
      <c r="BG302" s="527">
        <f t="shared" si="434"/>
        <v>-756.49918830328818</v>
      </c>
      <c r="BH302" s="527">
        <f t="shared" si="434"/>
        <v>-756.49918830328818</v>
      </c>
      <c r="BI302" s="527">
        <f t="shared" si="434"/>
        <v>-756.49918830328818</v>
      </c>
      <c r="BJ302" s="527">
        <f t="shared" si="434"/>
        <v>-756.49918830328818</v>
      </c>
      <c r="BK302" s="527">
        <f t="shared" si="434"/>
        <v>-756.49918830328818</v>
      </c>
      <c r="BL302" s="527">
        <f t="shared" si="434"/>
        <v>-756.49918830328818</v>
      </c>
      <c r="BM302" s="527">
        <f t="shared" si="434"/>
        <v>-756.49918830328818</v>
      </c>
      <c r="BN302" s="527">
        <f t="shared" si="434"/>
        <v>-756.49918830328818</v>
      </c>
      <c r="BO302" s="527">
        <f t="shared" si="434"/>
        <v>-756.49918830328818</v>
      </c>
      <c r="BP302" s="527">
        <f t="shared" si="434"/>
        <v>-756.49918830328818</v>
      </c>
      <c r="BQ302" s="527">
        <f t="shared" si="434"/>
        <v>-756.49918830328818</v>
      </c>
      <c r="BR302" s="527">
        <f t="shared" si="434"/>
        <v>-756.49918830328818</v>
      </c>
      <c r="BS302" s="527">
        <f t="shared" si="434"/>
        <v>-756.49918830328818</v>
      </c>
      <c r="BT302" s="527">
        <f t="shared" si="434"/>
        <v>-900.5451087998274</v>
      </c>
      <c r="BU302" s="527">
        <f t="shared" si="434"/>
        <v>-900.5451087998274</v>
      </c>
      <c r="BV302" s="527">
        <f t="shared" si="434"/>
        <v>-900.5451087998274</v>
      </c>
      <c r="BW302" s="527">
        <f t="shared" si="434"/>
        <v>-900.5451087998274</v>
      </c>
      <c r="BX302" s="527">
        <f t="shared" si="434"/>
        <v>-900.5451087998274</v>
      </c>
      <c r="BY302" s="527">
        <f t="shared" si="434"/>
        <v>-900.5451087998274</v>
      </c>
    </row>
    <row r="303" spans="1:77" x14ac:dyDescent="0.3">
      <c r="A303" s="551"/>
      <c r="B303" s="548"/>
      <c r="C303" s="525"/>
      <c r="D303" s="525"/>
      <c r="E303" s="628" t="str">
        <f>"WSM cost of sales: "&amp;E$160</f>
        <v>WSM cost of sales: Uninvested Tranche</v>
      </c>
      <c r="F303" s="525"/>
      <c r="G303" s="525"/>
      <c r="H303" s="525"/>
      <c r="I303" s="525"/>
      <c r="J303" s="525"/>
      <c r="K303" s="525"/>
      <c r="L303" s="525"/>
      <c r="M303" s="525"/>
      <c r="N303" s="525"/>
      <c r="O303" s="525"/>
      <c r="P303" s="565"/>
      <c r="Q303" s="525"/>
      <c r="R303" s="527">
        <f t="shared" ref="R303:AW303" si="435">(R287-R295)*R$232</f>
        <v>-2080.3727678340429</v>
      </c>
      <c r="S303" s="527">
        <f t="shared" si="435"/>
        <v>-2080.3727678340429</v>
      </c>
      <c r="T303" s="527">
        <f t="shared" si="435"/>
        <v>-2080.3727678340429</v>
      </c>
      <c r="U303" s="527">
        <f t="shared" si="435"/>
        <v>-2080.3727678340429</v>
      </c>
      <c r="V303" s="527">
        <f t="shared" si="435"/>
        <v>-2080.3727678340429</v>
      </c>
      <c r="W303" s="527">
        <f t="shared" si="435"/>
        <v>-2080.3727678340429</v>
      </c>
      <c r="X303" s="527">
        <f t="shared" si="435"/>
        <v>-2080.3727678340429</v>
      </c>
      <c r="Y303" s="527">
        <f t="shared" si="435"/>
        <v>-2080.3727678340429</v>
      </c>
      <c r="Z303" s="527">
        <f t="shared" si="435"/>
        <v>-2080.3727678340429</v>
      </c>
      <c r="AA303" s="527">
        <f t="shared" si="435"/>
        <v>-2080.3727678340429</v>
      </c>
      <c r="AB303" s="527">
        <f t="shared" si="435"/>
        <v>-2080.3727678340429</v>
      </c>
      <c r="AC303" s="527">
        <f t="shared" si="435"/>
        <v>-2080.3727678340429</v>
      </c>
      <c r="AD303" s="527">
        <f t="shared" si="435"/>
        <v>-2080.3727678340429</v>
      </c>
      <c r="AE303" s="527">
        <f t="shared" si="435"/>
        <v>-2080.3727678340429</v>
      </c>
      <c r="AF303" s="527">
        <f t="shared" si="435"/>
        <v>-2080.3727678340429</v>
      </c>
      <c r="AG303" s="527">
        <f t="shared" si="435"/>
        <v>-2080.3727678340429</v>
      </c>
      <c r="AH303" s="527">
        <f t="shared" si="435"/>
        <v>-2080.3727678340429</v>
      </c>
      <c r="AI303" s="527">
        <f t="shared" si="435"/>
        <v>-2080.3727678340429</v>
      </c>
      <c r="AJ303" s="527">
        <f t="shared" si="435"/>
        <v>-2080.3727678340429</v>
      </c>
      <c r="AK303" s="527">
        <f t="shared" si="435"/>
        <v>-2080.3727678340429</v>
      </c>
      <c r="AL303" s="527">
        <f t="shared" si="435"/>
        <v>-2080.3727678340429</v>
      </c>
      <c r="AM303" s="527">
        <f t="shared" si="435"/>
        <v>-2080.3727678340429</v>
      </c>
      <c r="AN303" s="527">
        <f t="shared" si="435"/>
        <v>-2080.3727678340429</v>
      </c>
      <c r="AO303" s="527">
        <f t="shared" si="435"/>
        <v>-2080.3727678340429</v>
      </c>
      <c r="AP303" s="527">
        <f t="shared" si="435"/>
        <v>-2080.3727678340429</v>
      </c>
      <c r="AQ303" s="527">
        <f t="shared" si="435"/>
        <v>-2080.3727678340429</v>
      </c>
      <c r="AR303" s="527">
        <f t="shared" si="435"/>
        <v>-2080.3727678340429</v>
      </c>
      <c r="AS303" s="527">
        <f t="shared" si="435"/>
        <v>-2080.3727678340429</v>
      </c>
      <c r="AT303" s="527">
        <f t="shared" si="435"/>
        <v>-2080.3727678340429</v>
      </c>
      <c r="AU303" s="527">
        <f t="shared" si="435"/>
        <v>-2080.3727678340429</v>
      </c>
      <c r="AV303" s="527">
        <f t="shared" si="435"/>
        <v>-2080.3727678340429</v>
      </c>
      <c r="AW303" s="527">
        <f t="shared" si="435"/>
        <v>-2080.3727678340429</v>
      </c>
      <c r="AX303" s="527">
        <f t="shared" ref="AX303:BY303" si="436">(AX287-AX295)*AX$232</f>
        <v>-2080.3727678340429</v>
      </c>
      <c r="AY303" s="527">
        <f t="shared" si="436"/>
        <v>-2080.3727678340429</v>
      </c>
      <c r="AZ303" s="527">
        <f t="shared" si="436"/>
        <v>-2080.3727678340429</v>
      </c>
      <c r="BA303" s="527">
        <f t="shared" si="436"/>
        <v>-2080.3727678340429</v>
      </c>
      <c r="BB303" s="527">
        <f t="shared" si="436"/>
        <v>-2080.3727678340429</v>
      </c>
      <c r="BC303" s="527">
        <f t="shared" si="436"/>
        <v>-2080.3727678340429</v>
      </c>
      <c r="BD303" s="527">
        <f t="shared" si="436"/>
        <v>-2080.3727678340429</v>
      </c>
      <c r="BE303" s="527">
        <f t="shared" si="436"/>
        <v>-2080.3727678340429</v>
      </c>
      <c r="BF303" s="527">
        <f t="shared" si="436"/>
        <v>-2080.3727678340429</v>
      </c>
      <c r="BG303" s="527">
        <f t="shared" si="436"/>
        <v>-2080.3727678340429</v>
      </c>
      <c r="BH303" s="527">
        <f t="shared" si="436"/>
        <v>-2080.3727678340429</v>
      </c>
      <c r="BI303" s="527">
        <f t="shared" si="436"/>
        <v>-2080.3727678340429</v>
      </c>
      <c r="BJ303" s="527">
        <f t="shared" si="436"/>
        <v>-2080.3727678340429</v>
      </c>
      <c r="BK303" s="527">
        <f t="shared" si="436"/>
        <v>-2080.3727678340429</v>
      </c>
      <c r="BL303" s="527">
        <f t="shared" si="436"/>
        <v>-2080.3727678340429</v>
      </c>
      <c r="BM303" s="527">
        <f t="shared" si="436"/>
        <v>-2080.3727678340429</v>
      </c>
      <c r="BN303" s="527">
        <f t="shared" si="436"/>
        <v>-2080.3727678340429</v>
      </c>
      <c r="BO303" s="527">
        <f t="shared" si="436"/>
        <v>-2080.3727678340429</v>
      </c>
      <c r="BP303" s="527">
        <f t="shared" si="436"/>
        <v>-2080.3727678340429</v>
      </c>
      <c r="BQ303" s="527">
        <f t="shared" si="436"/>
        <v>-2080.3727678340429</v>
      </c>
      <c r="BR303" s="527">
        <f t="shared" si="436"/>
        <v>-2080.3727678340429</v>
      </c>
      <c r="BS303" s="527">
        <f t="shared" si="436"/>
        <v>-2080.3727678340429</v>
      </c>
      <c r="BT303" s="527">
        <f t="shared" si="436"/>
        <v>-2080.3727678340429</v>
      </c>
      <c r="BU303" s="527">
        <f t="shared" si="436"/>
        <v>-2080.3727678340429</v>
      </c>
      <c r="BV303" s="527">
        <f t="shared" si="436"/>
        <v>-2080.3727678340429</v>
      </c>
      <c r="BW303" s="527">
        <f t="shared" si="436"/>
        <v>-2080.3727678340429</v>
      </c>
      <c r="BX303" s="527">
        <f t="shared" si="436"/>
        <v>-2080.3727678340429</v>
      </c>
      <c r="BY303" s="527">
        <f t="shared" si="436"/>
        <v>-2080.3727678340429</v>
      </c>
    </row>
    <row r="304" spans="1:77" x14ac:dyDescent="0.3">
      <c r="A304" s="551"/>
      <c r="B304" s="548"/>
      <c r="C304" s="525"/>
      <c r="D304" s="525"/>
      <c r="E304" s="572" t="s">
        <v>36</v>
      </c>
      <c r="F304" s="572"/>
      <c r="G304" s="572"/>
      <c r="H304" s="572"/>
      <c r="I304" s="572"/>
      <c r="J304" s="572"/>
      <c r="K304" s="572"/>
      <c r="L304" s="572"/>
      <c r="M304" s="572"/>
      <c r="N304" s="572"/>
      <c r="O304" s="572"/>
      <c r="P304" s="612"/>
      <c r="Q304" s="572"/>
      <c r="R304" s="530">
        <f t="shared" ref="R304:AW304" si="437">SUM(R298:R303)</f>
        <v>-5862.8687093504832</v>
      </c>
      <c r="S304" s="530">
        <f t="shared" si="437"/>
        <v>-5862.8687093504832</v>
      </c>
      <c r="T304" s="530">
        <f t="shared" si="437"/>
        <v>-5862.8687093504832</v>
      </c>
      <c r="U304" s="530">
        <f t="shared" si="437"/>
        <v>-5862.8687093504832</v>
      </c>
      <c r="V304" s="530">
        <f t="shared" si="437"/>
        <v>-5862.8687093504832</v>
      </c>
      <c r="W304" s="530">
        <f t="shared" si="437"/>
        <v>-5862.8687093504832</v>
      </c>
      <c r="X304" s="530">
        <f t="shared" si="437"/>
        <v>-6023.4699207727926</v>
      </c>
      <c r="Y304" s="530">
        <f t="shared" si="437"/>
        <v>-6023.4699207727926</v>
      </c>
      <c r="Z304" s="530">
        <f t="shared" si="437"/>
        <v>-6023.4699207727926</v>
      </c>
      <c r="AA304" s="530">
        <f t="shared" si="437"/>
        <v>-6023.4699207727926</v>
      </c>
      <c r="AB304" s="530">
        <f t="shared" si="437"/>
        <v>-6023.4699207727926</v>
      </c>
      <c r="AC304" s="530">
        <f t="shared" si="437"/>
        <v>-6023.4699207727926</v>
      </c>
      <c r="AD304" s="530">
        <f t="shared" si="437"/>
        <v>-5981.8794703636477</v>
      </c>
      <c r="AE304" s="530">
        <f t="shared" si="437"/>
        <v>-5981.8794703636477</v>
      </c>
      <c r="AF304" s="530">
        <f t="shared" si="437"/>
        <v>-5981.8794703636477</v>
      </c>
      <c r="AG304" s="530">
        <f t="shared" si="437"/>
        <v>-5981.8794703636477</v>
      </c>
      <c r="AH304" s="530">
        <f t="shared" si="437"/>
        <v>-5981.8794703636477</v>
      </c>
      <c r="AI304" s="530">
        <f t="shared" si="437"/>
        <v>-5981.8794703636477</v>
      </c>
      <c r="AJ304" s="530">
        <f t="shared" si="437"/>
        <v>-6177.9388609639209</v>
      </c>
      <c r="AK304" s="530">
        <f t="shared" si="437"/>
        <v>-6177.9388609639209</v>
      </c>
      <c r="AL304" s="530">
        <f t="shared" si="437"/>
        <v>-6177.9388609639209</v>
      </c>
      <c r="AM304" s="530">
        <f t="shared" si="437"/>
        <v>-6177.9388609639209</v>
      </c>
      <c r="AN304" s="530">
        <f t="shared" si="437"/>
        <v>-6177.9388609639209</v>
      </c>
      <c r="AO304" s="530">
        <f t="shared" si="437"/>
        <v>-6177.9388609639209</v>
      </c>
      <c r="AP304" s="530">
        <f t="shared" si="437"/>
        <v>-6099.7458807558141</v>
      </c>
      <c r="AQ304" s="530">
        <f t="shared" si="437"/>
        <v>-6099.7458807558141</v>
      </c>
      <c r="AR304" s="530">
        <f t="shared" si="437"/>
        <v>-6099.7458807558141</v>
      </c>
      <c r="AS304" s="530">
        <f t="shared" si="437"/>
        <v>-6099.7458807558141</v>
      </c>
      <c r="AT304" s="530">
        <f t="shared" si="437"/>
        <v>-6099.7458807558141</v>
      </c>
      <c r="AU304" s="530">
        <f t="shared" si="437"/>
        <v>-6099.7458807558141</v>
      </c>
      <c r="AV304" s="530">
        <f t="shared" si="437"/>
        <v>-6330.6353435939045</v>
      </c>
      <c r="AW304" s="530">
        <f t="shared" si="437"/>
        <v>-6330.6353435939045</v>
      </c>
      <c r="AX304" s="530">
        <f t="shared" ref="AX304:BY304" si="438">SUM(AX298:AX303)</f>
        <v>-6330.6353435939045</v>
      </c>
      <c r="AY304" s="530">
        <f t="shared" si="438"/>
        <v>-6330.6353435939045</v>
      </c>
      <c r="AZ304" s="530">
        <f t="shared" si="438"/>
        <v>-6330.6353435939045</v>
      </c>
      <c r="BA304" s="530">
        <f t="shared" si="438"/>
        <v>-6330.6353435939045</v>
      </c>
      <c r="BB304" s="530">
        <f t="shared" si="438"/>
        <v>-6224.2693220356359</v>
      </c>
      <c r="BC304" s="530">
        <f t="shared" si="438"/>
        <v>-6224.2693220356359</v>
      </c>
      <c r="BD304" s="530">
        <f t="shared" si="438"/>
        <v>-6224.2693220356359</v>
      </c>
      <c r="BE304" s="530">
        <f t="shared" si="438"/>
        <v>-6224.2693220356359</v>
      </c>
      <c r="BF304" s="530">
        <f t="shared" si="438"/>
        <v>-6224.2693220356359</v>
      </c>
      <c r="BG304" s="530">
        <f t="shared" si="438"/>
        <v>-6224.2693220356359</v>
      </c>
      <c r="BH304" s="530">
        <f t="shared" si="438"/>
        <v>-6489.6072218161444</v>
      </c>
      <c r="BI304" s="530">
        <f t="shared" si="438"/>
        <v>-6489.6072218161444</v>
      </c>
      <c r="BJ304" s="530">
        <f t="shared" si="438"/>
        <v>-6489.6072218161444</v>
      </c>
      <c r="BK304" s="530">
        <f t="shared" si="438"/>
        <v>-6489.6072218161444</v>
      </c>
      <c r="BL304" s="530">
        <f t="shared" si="438"/>
        <v>-6489.6072218161444</v>
      </c>
      <c r="BM304" s="530">
        <f t="shared" si="438"/>
        <v>-6489.6072218161444</v>
      </c>
      <c r="BN304" s="530">
        <f t="shared" si="438"/>
        <v>-6353.7107291888769</v>
      </c>
      <c r="BO304" s="530">
        <f t="shared" si="438"/>
        <v>-6353.7107291888769</v>
      </c>
      <c r="BP304" s="530">
        <f t="shared" si="438"/>
        <v>-6353.7107291888769</v>
      </c>
      <c r="BQ304" s="530">
        <f t="shared" si="438"/>
        <v>-6353.7107291888769</v>
      </c>
      <c r="BR304" s="530">
        <f t="shared" si="438"/>
        <v>-6353.7107291888769</v>
      </c>
      <c r="BS304" s="530">
        <f t="shared" si="438"/>
        <v>-6353.7107291888769</v>
      </c>
      <c r="BT304" s="530">
        <f t="shared" si="438"/>
        <v>-6652.7053980762066</v>
      </c>
      <c r="BU304" s="530">
        <f t="shared" si="438"/>
        <v>-6652.7053980762066</v>
      </c>
      <c r="BV304" s="530">
        <f t="shared" si="438"/>
        <v>-6652.7053980762066</v>
      </c>
      <c r="BW304" s="530">
        <f t="shared" si="438"/>
        <v>-6652.7053980762066</v>
      </c>
      <c r="BX304" s="530">
        <f t="shared" si="438"/>
        <v>-6652.7053980762066</v>
      </c>
      <c r="BY304" s="530">
        <f t="shared" si="438"/>
        <v>-6652.7053980762066</v>
      </c>
    </row>
    <row r="305" spans="1:77" x14ac:dyDescent="0.3">
      <c r="A305" s="551"/>
      <c r="B305" s="548"/>
      <c r="C305" s="525"/>
      <c r="D305" s="525"/>
      <c r="E305" s="525"/>
      <c r="F305" s="525"/>
      <c r="G305" s="525"/>
      <c r="H305" s="525"/>
      <c r="I305" s="525"/>
      <c r="J305" s="525"/>
      <c r="K305" s="525"/>
      <c r="L305" s="525"/>
      <c r="M305" s="525"/>
      <c r="N305" s="525"/>
      <c r="O305" s="525"/>
      <c r="P305" s="565"/>
      <c r="Q305" s="525"/>
      <c r="R305" s="525"/>
      <c r="S305" s="525"/>
      <c r="T305" s="525"/>
      <c r="U305" s="525"/>
      <c r="V305" s="525"/>
      <c r="W305" s="525"/>
      <c r="X305" s="525"/>
      <c r="Y305" s="525"/>
      <c r="Z305" s="525"/>
      <c r="AA305" s="525"/>
      <c r="AB305" s="525"/>
      <c r="AC305" s="525"/>
      <c r="AD305" s="525"/>
      <c r="AE305" s="525"/>
      <c r="AF305" s="525"/>
      <c r="AG305" s="525"/>
      <c r="AH305" s="525"/>
      <c r="AI305" s="525"/>
      <c r="AJ305" s="525"/>
      <c r="AK305" s="525"/>
      <c r="AL305" s="525"/>
      <c r="AM305" s="525"/>
      <c r="AN305" s="525"/>
      <c r="AO305" s="525"/>
      <c r="AP305" s="525"/>
      <c r="AQ305" s="525"/>
      <c r="AR305" s="525"/>
      <c r="AS305" s="525"/>
      <c r="AT305" s="525"/>
      <c r="AU305" s="525"/>
      <c r="AV305" s="525"/>
      <c r="AW305" s="525"/>
      <c r="AX305" s="525"/>
      <c r="AY305" s="525"/>
      <c r="AZ305" s="525"/>
      <c r="BA305" s="525"/>
      <c r="BB305" s="525"/>
      <c r="BC305" s="525"/>
      <c r="BD305" s="525"/>
      <c r="BE305" s="525"/>
      <c r="BF305" s="525"/>
      <c r="BG305" s="525"/>
      <c r="BH305" s="525"/>
      <c r="BI305" s="525"/>
      <c r="BJ305" s="525"/>
      <c r="BK305" s="525"/>
      <c r="BL305" s="525"/>
      <c r="BM305" s="525"/>
      <c r="BN305" s="525"/>
      <c r="BO305" s="525"/>
      <c r="BP305" s="525"/>
      <c r="BQ305" s="525"/>
      <c r="BR305" s="525"/>
      <c r="BS305" s="525"/>
      <c r="BT305" s="525"/>
      <c r="BU305" s="525"/>
      <c r="BV305" s="525"/>
      <c r="BW305" s="525"/>
      <c r="BX305" s="525"/>
      <c r="BY305" s="525"/>
    </row>
    <row r="306" spans="1:77" x14ac:dyDescent="0.3">
      <c r="A306" s="551"/>
      <c r="B306" s="548"/>
      <c r="C306" s="525"/>
      <c r="D306" s="525"/>
      <c r="E306" s="629" t="str">
        <f>"WSM dist &amp; disp: "&amp;E$155</f>
        <v>WSM dist &amp; disp: FY27 Tranche</v>
      </c>
      <c r="F306" s="525"/>
      <c r="G306" s="525"/>
      <c r="H306" s="525"/>
      <c r="I306" s="525"/>
      <c r="J306" s="525"/>
      <c r="K306" s="525"/>
      <c r="L306" s="525"/>
      <c r="M306" s="525"/>
      <c r="N306" s="525"/>
      <c r="O306" s="525"/>
      <c r="P306" s="565"/>
      <c r="Q306" s="525"/>
      <c r="R306" s="527">
        <f t="shared" ref="R306:AW306" si="439">(R282-R290)*R$233</f>
        <v>-128.17321809582205</v>
      </c>
      <c r="S306" s="527">
        <f t="shared" si="439"/>
        <v>-128.17321809582205</v>
      </c>
      <c r="T306" s="527">
        <f t="shared" si="439"/>
        <v>-128.17321809582205</v>
      </c>
      <c r="U306" s="527">
        <f t="shared" si="439"/>
        <v>-128.17321809582205</v>
      </c>
      <c r="V306" s="527">
        <f t="shared" si="439"/>
        <v>-128.17321809582205</v>
      </c>
      <c r="W306" s="527">
        <f t="shared" si="439"/>
        <v>-128.17321809582205</v>
      </c>
      <c r="X306" s="527">
        <f t="shared" si="439"/>
        <v>-155.38378806913997</v>
      </c>
      <c r="Y306" s="527">
        <f t="shared" si="439"/>
        <v>-155.38378806913997</v>
      </c>
      <c r="Z306" s="527">
        <f t="shared" si="439"/>
        <v>-155.38378806913997</v>
      </c>
      <c r="AA306" s="527">
        <f t="shared" si="439"/>
        <v>-155.38378806913997</v>
      </c>
      <c r="AB306" s="527">
        <f t="shared" si="439"/>
        <v>-155.38378806913997</v>
      </c>
      <c r="AC306" s="527">
        <f t="shared" si="439"/>
        <v>-155.38378806913997</v>
      </c>
      <c r="AD306" s="527">
        <f t="shared" si="439"/>
        <v>-148.33714221225426</v>
      </c>
      <c r="AE306" s="527">
        <f t="shared" si="439"/>
        <v>-148.33714221225426</v>
      </c>
      <c r="AF306" s="527">
        <f t="shared" si="439"/>
        <v>-148.33714221225426</v>
      </c>
      <c r="AG306" s="527">
        <f t="shared" si="439"/>
        <v>-148.33714221225426</v>
      </c>
      <c r="AH306" s="527">
        <f t="shared" si="439"/>
        <v>-148.33714221225426</v>
      </c>
      <c r="AI306" s="527">
        <f t="shared" si="439"/>
        <v>-148.33714221225426</v>
      </c>
      <c r="AJ306" s="527">
        <f t="shared" si="439"/>
        <v>-155.10654124774641</v>
      </c>
      <c r="AK306" s="527">
        <f t="shared" si="439"/>
        <v>-155.10654124774641</v>
      </c>
      <c r="AL306" s="527">
        <f t="shared" si="439"/>
        <v>-155.10654124774641</v>
      </c>
      <c r="AM306" s="527">
        <f t="shared" si="439"/>
        <v>-155.10654124774641</v>
      </c>
      <c r="AN306" s="527">
        <f t="shared" si="439"/>
        <v>-155.10654124774641</v>
      </c>
      <c r="AO306" s="527">
        <f t="shared" si="439"/>
        <v>-155.10654124774641</v>
      </c>
      <c r="AP306" s="527">
        <f t="shared" si="439"/>
        <v>-148.47075150116379</v>
      </c>
      <c r="AQ306" s="527">
        <f t="shared" si="439"/>
        <v>-148.47075150116379</v>
      </c>
      <c r="AR306" s="527">
        <f t="shared" si="439"/>
        <v>-148.47075150116379</v>
      </c>
      <c r="AS306" s="527">
        <f t="shared" si="439"/>
        <v>-148.47075150116379</v>
      </c>
      <c r="AT306" s="527">
        <f t="shared" si="439"/>
        <v>-148.47075150116379</v>
      </c>
      <c r="AU306" s="527">
        <f t="shared" si="439"/>
        <v>-148.47075150116379</v>
      </c>
      <c r="AV306" s="527">
        <f t="shared" si="439"/>
        <v>-155.17107153650713</v>
      </c>
      <c r="AW306" s="527">
        <f t="shared" si="439"/>
        <v>-155.17107153650713</v>
      </c>
      <c r="AX306" s="527">
        <f t="shared" ref="AX306:BY306" si="440">(AX282-AX290)*AX$233</f>
        <v>-155.17107153650713</v>
      </c>
      <c r="AY306" s="527">
        <f t="shared" si="440"/>
        <v>-155.17107153650713</v>
      </c>
      <c r="AZ306" s="527">
        <f t="shared" si="440"/>
        <v>-155.17107153650713</v>
      </c>
      <c r="BA306" s="527">
        <f t="shared" si="440"/>
        <v>-155.17107153650713</v>
      </c>
      <c r="BB306" s="527">
        <f t="shared" si="440"/>
        <v>-149.13743365328426</v>
      </c>
      <c r="BC306" s="527">
        <f t="shared" si="440"/>
        <v>-149.13743365328426</v>
      </c>
      <c r="BD306" s="527">
        <f t="shared" si="440"/>
        <v>-149.13743365328426</v>
      </c>
      <c r="BE306" s="527">
        <f t="shared" si="440"/>
        <v>-149.13743365328426</v>
      </c>
      <c r="BF306" s="527">
        <f t="shared" si="440"/>
        <v>-149.13743365328426</v>
      </c>
      <c r="BG306" s="527">
        <f t="shared" si="440"/>
        <v>-149.13743365328426</v>
      </c>
      <c r="BH306" s="527">
        <f t="shared" si="440"/>
        <v>-155.78788872059226</v>
      </c>
      <c r="BI306" s="527">
        <f t="shared" si="440"/>
        <v>-155.78788872059226</v>
      </c>
      <c r="BJ306" s="527">
        <f t="shared" si="440"/>
        <v>-155.78788872059226</v>
      </c>
      <c r="BK306" s="527">
        <f t="shared" si="440"/>
        <v>-155.78788872059226</v>
      </c>
      <c r="BL306" s="527">
        <f t="shared" si="440"/>
        <v>-155.78788872059226</v>
      </c>
      <c r="BM306" s="527">
        <f t="shared" si="440"/>
        <v>-155.78788872059226</v>
      </c>
      <c r="BN306" s="527">
        <f t="shared" si="440"/>
        <v>-149.98343630545483</v>
      </c>
      <c r="BO306" s="527">
        <f t="shared" si="440"/>
        <v>-149.98343630545483</v>
      </c>
      <c r="BP306" s="527">
        <f t="shared" si="440"/>
        <v>-149.98343630545483</v>
      </c>
      <c r="BQ306" s="527">
        <f t="shared" si="440"/>
        <v>-149.98343630545483</v>
      </c>
      <c r="BR306" s="527">
        <f t="shared" si="440"/>
        <v>-149.98343630545483</v>
      </c>
      <c r="BS306" s="527">
        <f t="shared" si="440"/>
        <v>-149.98343630545483</v>
      </c>
      <c r="BT306" s="527">
        <f t="shared" si="440"/>
        <v>-156.58743336167871</v>
      </c>
      <c r="BU306" s="527">
        <f t="shared" si="440"/>
        <v>-156.58743336167871</v>
      </c>
      <c r="BV306" s="527">
        <f t="shared" si="440"/>
        <v>-156.58743336167871</v>
      </c>
      <c r="BW306" s="527">
        <f t="shared" si="440"/>
        <v>-156.58743336167871</v>
      </c>
      <c r="BX306" s="527">
        <f t="shared" si="440"/>
        <v>-156.58743336167871</v>
      </c>
      <c r="BY306" s="527">
        <f t="shared" si="440"/>
        <v>-156.58743336167871</v>
      </c>
    </row>
    <row r="307" spans="1:77" x14ac:dyDescent="0.3">
      <c r="A307" s="551"/>
      <c r="B307" s="548"/>
      <c r="C307" s="525"/>
      <c r="D307" s="525"/>
      <c r="E307" s="629" t="str">
        <f>"WSM dist &amp; disp: "&amp;E$156</f>
        <v>WSM dist &amp; disp: FY28 Tranche</v>
      </c>
      <c r="F307" s="525"/>
      <c r="G307" s="525"/>
      <c r="H307" s="525"/>
      <c r="I307" s="525"/>
      <c r="J307" s="525"/>
      <c r="K307" s="525"/>
      <c r="L307" s="525"/>
      <c r="M307" s="525"/>
      <c r="N307" s="525"/>
      <c r="O307" s="525"/>
      <c r="P307" s="565"/>
      <c r="Q307" s="525"/>
      <c r="R307" s="527">
        <f t="shared" ref="R307:AW307" si="441">(R283-R291)*R$233</f>
        <v>-128.17321809582205</v>
      </c>
      <c r="S307" s="527">
        <f t="shared" si="441"/>
        <v>-128.17321809582205</v>
      </c>
      <c r="T307" s="527">
        <f t="shared" si="441"/>
        <v>-128.17321809582205</v>
      </c>
      <c r="U307" s="527">
        <f t="shared" si="441"/>
        <v>-128.17321809582205</v>
      </c>
      <c r="V307" s="527">
        <f t="shared" si="441"/>
        <v>-128.17321809582205</v>
      </c>
      <c r="W307" s="527">
        <f t="shared" si="441"/>
        <v>-128.17321809582205</v>
      </c>
      <c r="X307" s="527">
        <f t="shared" si="441"/>
        <v>-128.17321809582205</v>
      </c>
      <c r="Y307" s="527">
        <f t="shared" si="441"/>
        <v>-128.17321809582205</v>
      </c>
      <c r="Z307" s="527">
        <f t="shared" si="441"/>
        <v>-128.17321809582205</v>
      </c>
      <c r="AA307" s="527">
        <f t="shared" si="441"/>
        <v>-128.17321809582205</v>
      </c>
      <c r="AB307" s="527">
        <f t="shared" si="441"/>
        <v>-128.17321809582205</v>
      </c>
      <c r="AC307" s="527">
        <f t="shared" si="441"/>
        <v>-128.17321809582205</v>
      </c>
      <c r="AD307" s="527">
        <f t="shared" si="441"/>
        <v>-128.17321809582205</v>
      </c>
      <c r="AE307" s="527">
        <f t="shared" si="441"/>
        <v>-128.17321809582205</v>
      </c>
      <c r="AF307" s="527">
        <f t="shared" si="441"/>
        <v>-128.17321809582205</v>
      </c>
      <c r="AG307" s="527">
        <f t="shared" si="441"/>
        <v>-128.17321809582205</v>
      </c>
      <c r="AH307" s="527">
        <f t="shared" si="441"/>
        <v>-128.17321809582205</v>
      </c>
      <c r="AI307" s="527">
        <f t="shared" si="441"/>
        <v>-128.17321809582205</v>
      </c>
      <c r="AJ307" s="527">
        <f t="shared" si="441"/>
        <v>-154.62204773748746</v>
      </c>
      <c r="AK307" s="527">
        <f t="shared" si="441"/>
        <v>-154.62204773748746</v>
      </c>
      <c r="AL307" s="527">
        <f t="shared" si="441"/>
        <v>-154.62204773748746</v>
      </c>
      <c r="AM307" s="527">
        <f t="shared" si="441"/>
        <v>-154.62204773748746</v>
      </c>
      <c r="AN307" s="527">
        <f t="shared" si="441"/>
        <v>-154.62204773748746</v>
      </c>
      <c r="AO307" s="527">
        <f t="shared" si="441"/>
        <v>-154.62204773748746</v>
      </c>
      <c r="AP307" s="527">
        <f t="shared" si="441"/>
        <v>-148.00964626227332</v>
      </c>
      <c r="AQ307" s="527">
        <f t="shared" si="441"/>
        <v>-148.00964626227332</v>
      </c>
      <c r="AR307" s="527">
        <f t="shared" si="441"/>
        <v>-148.00964626227332</v>
      </c>
      <c r="AS307" s="527">
        <f t="shared" si="441"/>
        <v>-148.00964626227332</v>
      </c>
      <c r="AT307" s="527">
        <f t="shared" si="441"/>
        <v>-148.00964626227332</v>
      </c>
      <c r="AU307" s="527">
        <f t="shared" si="441"/>
        <v>-148.00964626227332</v>
      </c>
      <c r="AV307" s="527">
        <f t="shared" si="441"/>
        <v>-154.69152208806105</v>
      </c>
      <c r="AW307" s="527">
        <f t="shared" si="441"/>
        <v>-154.69152208806105</v>
      </c>
      <c r="AX307" s="527">
        <f t="shared" ref="AX307:BY307" si="442">(AX283-AX291)*AX$233</f>
        <v>-154.69152208806105</v>
      </c>
      <c r="AY307" s="527">
        <f t="shared" si="442"/>
        <v>-154.69152208806105</v>
      </c>
      <c r="AZ307" s="527">
        <f t="shared" si="442"/>
        <v>-154.69152208806105</v>
      </c>
      <c r="BA307" s="527">
        <f t="shared" si="442"/>
        <v>-154.69152208806105</v>
      </c>
      <c r="BB307" s="527">
        <f t="shared" si="442"/>
        <v>-148.67976004122312</v>
      </c>
      <c r="BC307" s="527">
        <f t="shared" si="442"/>
        <v>-148.67976004122312</v>
      </c>
      <c r="BD307" s="527">
        <f t="shared" si="442"/>
        <v>-148.67976004122312</v>
      </c>
      <c r="BE307" s="527">
        <f t="shared" si="442"/>
        <v>-148.67976004122312</v>
      </c>
      <c r="BF307" s="527">
        <f t="shared" si="442"/>
        <v>-148.67976004122312</v>
      </c>
      <c r="BG307" s="527">
        <f t="shared" si="442"/>
        <v>-148.67976004122312</v>
      </c>
      <c r="BH307" s="527">
        <f t="shared" si="442"/>
        <v>-155.31190816404867</v>
      </c>
      <c r="BI307" s="527">
        <f t="shared" si="442"/>
        <v>-155.31190816404867</v>
      </c>
      <c r="BJ307" s="527">
        <f t="shared" si="442"/>
        <v>-155.31190816404867</v>
      </c>
      <c r="BK307" s="527">
        <f t="shared" si="442"/>
        <v>-155.31190816404867</v>
      </c>
      <c r="BL307" s="527">
        <f t="shared" si="442"/>
        <v>-155.31190816404867</v>
      </c>
      <c r="BM307" s="527">
        <f t="shared" si="442"/>
        <v>-155.31190816404867</v>
      </c>
      <c r="BN307" s="527">
        <f t="shared" si="442"/>
        <v>-149.52895985892997</v>
      </c>
      <c r="BO307" s="527">
        <f t="shared" si="442"/>
        <v>-149.52895985892997</v>
      </c>
      <c r="BP307" s="527">
        <f t="shared" si="442"/>
        <v>-149.52895985892997</v>
      </c>
      <c r="BQ307" s="527">
        <f t="shared" si="442"/>
        <v>-149.52895985892997</v>
      </c>
      <c r="BR307" s="527">
        <f t="shared" si="442"/>
        <v>-149.52895985892997</v>
      </c>
      <c r="BS307" s="527">
        <f t="shared" si="442"/>
        <v>-149.52895985892997</v>
      </c>
      <c r="BT307" s="527">
        <f t="shared" si="442"/>
        <v>-156.11477785729289</v>
      </c>
      <c r="BU307" s="527">
        <f t="shared" si="442"/>
        <v>-156.11477785729289</v>
      </c>
      <c r="BV307" s="527">
        <f t="shared" si="442"/>
        <v>-156.11477785729289</v>
      </c>
      <c r="BW307" s="527">
        <f t="shared" si="442"/>
        <v>-156.11477785729289</v>
      </c>
      <c r="BX307" s="527">
        <f t="shared" si="442"/>
        <v>-156.11477785729289</v>
      </c>
      <c r="BY307" s="527">
        <f t="shared" si="442"/>
        <v>-156.11477785729289</v>
      </c>
    </row>
    <row r="308" spans="1:77" x14ac:dyDescent="0.3">
      <c r="A308" s="551"/>
      <c r="B308" s="548"/>
      <c r="C308" s="525"/>
      <c r="D308" s="525"/>
      <c r="E308" s="629" t="str">
        <f>"WSM dist &amp; disp: "&amp;E$157</f>
        <v>WSM dist &amp; disp: FY29 Tranche</v>
      </c>
      <c r="F308" s="525"/>
      <c r="G308" s="525"/>
      <c r="H308" s="525"/>
      <c r="I308" s="525"/>
      <c r="J308" s="525"/>
      <c r="K308" s="525"/>
      <c r="L308" s="525"/>
      <c r="M308" s="525"/>
      <c r="N308" s="525"/>
      <c r="O308" s="525"/>
      <c r="P308" s="565"/>
      <c r="Q308" s="525"/>
      <c r="R308" s="527">
        <f t="shared" ref="R308:AW308" si="443">(R284-R292)*R$233</f>
        <v>-128.17321809582205</v>
      </c>
      <c r="S308" s="527">
        <f t="shared" si="443"/>
        <v>-128.17321809582205</v>
      </c>
      <c r="T308" s="527">
        <f t="shared" si="443"/>
        <v>-128.17321809582205</v>
      </c>
      <c r="U308" s="527">
        <f t="shared" si="443"/>
        <v>-128.17321809582205</v>
      </c>
      <c r="V308" s="527">
        <f t="shared" si="443"/>
        <v>-128.17321809582205</v>
      </c>
      <c r="W308" s="527">
        <f t="shared" si="443"/>
        <v>-128.17321809582205</v>
      </c>
      <c r="X308" s="527">
        <f t="shared" si="443"/>
        <v>-128.17321809582205</v>
      </c>
      <c r="Y308" s="527">
        <f t="shared" si="443"/>
        <v>-128.17321809582205</v>
      </c>
      <c r="Z308" s="527">
        <f t="shared" si="443"/>
        <v>-128.17321809582205</v>
      </c>
      <c r="AA308" s="527">
        <f t="shared" si="443"/>
        <v>-128.17321809582205</v>
      </c>
      <c r="AB308" s="527">
        <f t="shared" si="443"/>
        <v>-128.17321809582205</v>
      </c>
      <c r="AC308" s="527">
        <f t="shared" si="443"/>
        <v>-128.17321809582205</v>
      </c>
      <c r="AD308" s="527">
        <f t="shared" si="443"/>
        <v>-128.17321809582205</v>
      </c>
      <c r="AE308" s="527">
        <f t="shared" si="443"/>
        <v>-128.17321809582205</v>
      </c>
      <c r="AF308" s="527">
        <f t="shared" si="443"/>
        <v>-128.17321809582205</v>
      </c>
      <c r="AG308" s="527">
        <f t="shared" si="443"/>
        <v>-128.17321809582205</v>
      </c>
      <c r="AH308" s="527">
        <f t="shared" si="443"/>
        <v>-128.17321809582205</v>
      </c>
      <c r="AI308" s="527">
        <f t="shared" si="443"/>
        <v>-128.17321809582205</v>
      </c>
      <c r="AJ308" s="527">
        <f t="shared" si="443"/>
        <v>-128.17321809582205</v>
      </c>
      <c r="AK308" s="527">
        <f t="shared" si="443"/>
        <v>-128.17321809582205</v>
      </c>
      <c r="AL308" s="527">
        <f t="shared" si="443"/>
        <v>-128.17321809582205</v>
      </c>
      <c r="AM308" s="527">
        <f t="shared" si="443"/>
        <v>-128.17321809582205</v>
      </c>
      <c r="AN308" s="527">
        <f t="shared" si="443"/>
        <v>-128.17321809582205</v>
      </c>
      <c r="AO308" s="527">
        <f t="shared" si="443"/>
        <v>-128.17321809582205</v>
      </c>
      <c r="AP308" s="527">
        <f t="shared" si="443"/>
        <v>-128.17321809582205</v>
      </c>
      <c r="AQ308" s="527">
        <f t="shared" si="443"/>
        <v>-128.17321809582205</v>
      </c>
      <c r="AR308" s="527">
        <f t="shared" si="443"/>
        <v>-128.17321809582205</v>
      </c>
      <c r="AS308" s="527">
        <f t="shared" si="443"/>
        <v>-128.17321809582205</v>
      </c>
      <c r="AT308" s="527">
        <f t="shared" si="443"/>
        <v>-128.17321809582205</v>
      </c>
      <c r="AU308" s="527">
        <f t="shared" si="443"/>
        <v>-128.17321809582205</v>
      </c>
      <c r="AV308" s="527">
        <f t="shared" si="443"/>
        <v>-153.91048982162692</v>
      </c>
      <c r="AW308" s="527">
        <f t="shared" si="443"/>
        <v>-153.91048982162692</v>
      </c>
      <c r="AX308" s="527">
        <f t="shared" ref="AX308:BY308" si="444">(AX284-AX292)*AX$233</f>
        <v>-153.91048982162692</v>
      </c>
      <c r="AY308" s="527">
        <f t="shared" si="444"/>
        <v>-153.91048982162692</v>
      </c>
      <c r="AZ308" s="527">
        <f t="shared" si="444"/>
        <v>-153.91048982162692</v>
      </c>
      <c r="BA308" s="527">
        <f t="shared" si="444"/>
        <v>-153.91048982162692</v>
      </c>
      <c r="BB308" s="527">
        <f t="shared" si="444"/>
        <v>-147.93435649697238</v>
      </c>
      <c r="BC308" s="527">
        <f t="shared" si="444"/>
        <v>-147.93435649697238</v>
      </c>
      <c r="BD308" s="527">
        <f t="shared" si="444"/>
        <v>-147.93435649697238</v>
      </c>
      <c r="BE308" s="527">
        <f t="shared" si="444"/>
        <v>-147.93435649697238</v>
      </c>
      <c r="BF308" s="527">
        <f t="shared" si="444"/>
        <v>-147.93435649697238</v>
      </c>
      <c r="BG308" s="527">
        <f t="shared" si="444"/>
        <v>-147.93435649697238</v>
      </c>
      <c r="BH308" s="527">
        <f t="shared" si="444"/>
        <v>-154.53668847802783</v>
      </c>
      <c r="BI308" s="527">
        <f t="shared" si="444"/>
        <v>-154.53668847802783</v>
      </c>
      <c r="BJ308" s="527">
        <f t="shared" si="444"/>
        <v>-154.53668847802783</v>
      </c>
      <c r="BK308" s="527">
        <f t="shared" si="444"/>
        <v>-154.53668847802783</v>
      </c>
      <c r="BL308" s="527">
        <f t="shared" si="444"/>
        <v>-154.53668847802783</v>
      </c>
      <c r="BM308" s="527">
        <f t="shared" si="444"/>
        <v>-154.53668847802783</v>
      </c>
      <c r="BN308" s="527">
        <f t="shared" si="444"/>
        <v>-148.78876347204971</v>
      </c>
      <c r="BO308" s="527">
        <f t="shared" si="444"/>
        <v>-148.78876347204971</v>
      </c>
      <c r="BP308" s="527">
        <f t="shared" si="444"/>
        <v>-148.78876347204971</v>
      </c>
      <c r="BQ308" s="527">
        <f t="shared" si="444"/>
        <v>-148.78876347204971</v>
      </c>
      <c r="BR308" s="527">
        <f t="shared" si="444"/>
        <v>-148.78876347204971</v>
      </c>
      <c r="BS308" s="527">
        <f t="shared" si="444"/>
        <v>-148.78876347204971</v>
      </c>
      <c r="BT308" s="527">
        <f t="shared" si="444"/>
        <v>-155.34497361493737</v>
      </c>
      <c r="BU308" s="527">
        <f t="shared" si="444"/>
        <v>-155.34497361493737</v>
      </c>
      <c r="BV308" s="527">
        <f t="shared" si="444"/>
        <v>-155.34497361493737</v>
      </c>
      <c r="BW308" s="527">
        <f t="shared" si="444"/>
        <v>-155.34497361493737</v>
      </c>
      <c r="BX308" s="527">
        <f t="shared" si="444"/>
        <v>-155.34497361493737</v>
      </c>
      <c r="BY308" s="527">
        <f t="shared" si="444"/>
        <v>-155.34497361493737</v>
      </c>
    </row>
    <row r="309" spans="1:77" x14ac:dyDescent="0.3">
      <c r="A309" s="551"/>
      <c r="B309" s="548"/>
      <c r="C309" s="525"/>
      <c r="D309" s="525"/>
      <c r="E309" s="629" t="str">
        <f>"WSM dist &amp; disp: "&amp;E$158</f>
        <v>WSM dist &amp; disp: FY30 Tranche</v>
      </c>
      <c r="F309" s="525"/>
      <c r="G309" s="525"/>
      <c r="H309" s="525"/>
      <c r="I309" s="525"/>
      <c r="J309" s="525"/>
      <c r="K309" s="525"/>
      <c r="L309" s="525"/>
      <c r="M309" s="525"/>
      <c r="N309" s="525"/>
      <c r="O309" s="525"/>
      <c r="P309" s="565"/>
      <c r="Q309" s="525"/>
      <c r="R309" s="527">
        <f t="shared" ref="R309:AW309" si="445">(R285-R293)*R$233</f>
        <v>-128.17321809582205</v>
      </c>
      <c r="S309" s="527">
        <f t="shared" si="445"/>
        <v>-128.17321809582205</v>
      </c>
      <c r="T309" s="527">
        <f t="shared" si="445"/>
        <v>-128.17321809582205</v>
      </c>
      <c r="U309" s="527">
        <f t="shared" si="445"/>
        <v>-128.17321809582205</v>
      </c>
      <c r="V309" s="527">
        <f t="shared" si="445"/>
        <v>-128.17321809582205</v>
      </c>
      <c r="W309" s="527">
        <f t="shared" si="445"/>
        <v>-128.17321809582205</v>
      </c>
      <c r="X309" s="527">
        <f t="shared" si="445"/>
        <v>-128.17321809582205</v>
      </c>
      <c r="Y309" s="527">
        <f t="shared" si="445"/>
        <v>-128.17321809582205</v>
      </c>
      <c r="Z309" s="527">
        <f t="shared" si="445"/>
        <v>-128.17321809582205</v>
      </c>
      <c r="AA309" s="527">
        <f t="shared" si="445"/>
        <v>-128.17321809582205</v>
      </c>
      <c r="AB309" s="527">
        <f t="shared" si="445"/>
        <v>-128.17321809582205</v>
      </c>
      <c r="AC309" s="527">
        <f t="shared" si="445"/>
        <v>-128.17321809582205</v>
      </c>
      <c r="AD309" s="527">
        <f t="shared" si="445"/>
        <v>-128.17321809582205</v>
      </c>
      <c r="AE309" s="527">
        <f t="shared" si="445"/>
        <v>-128.17321809582205</v>
      </c>
      <c r="AF309" s="527">
        <f t="shared" si="445"/>
        <v>-128.17321809582205</v>
      </c>
      <c r="AG309" s="527">
        <f t="shared" si="445"/>
        <v>-128.17321809582205</v>
      </c>
      <c r="AH309" s="527">
        <f t="shared" si="445"/>
        <v>-128.17321809582205</v>
      </c>
      <c r="AI309" s="527">
        <f t="shared" si="445"/>
        <v>-128.17321809582205</v>
      </c>
      <c r="AJ309" s="527">
        <f t="shared" si="445"/>
        <v>-128.17321809582205</v>
      </c>
      <c r="AK309" s="527">
        <f t="shared" si="445"/>
        <v>-128.17321809582205</v>
      </c>
      <c r="AL309" s="527">
        <f t="shared" si="445"/>
        <v>-128.17321809582205</v>
      </c>
      <c r="AM309" s="527">
        <f t="shared" si="445"/>
        <v>-128.17321809582205</v>
      </c>
      <c r="AN309" s="527">
        <f t="shared" si="445"/>
        <v>-128.17321809582205</v>
      </c>
      <c r="AO309" s="527">
        <f t="shared" si="445"/>
        <v>-128.17321809582205</v>
      </c>
      <c r="AP309" s="527">
        <f t="shared" si="445"/>
        <v>-128.17321809582205</v>
      </c>
      <c r="AQ309" s="527">
        <f t="shared" si="445"/>
        <v>-128.17321809582205</v>
      </c>
      <c r="AR309" s="527">
        <f t="shared" si="445"/>
        <v>-128.17321809582205</v>
      </c>
      <c r="AS309" s="527">
        <f t="shared" si="445"/>
        <v>-128.17321809582205</v>
      </c>
      <c r="AT309" s="527">
        <f t="shared" si="445"/>
        <v>-128.17321809582205</v>
      </c>
      <c r="AU309" s="527">
        <f t="shared" si="445"/>
        <v>-128.17321809582205</v>
      </c>
      <c r="AV309" s="527">
        <f t="shared" si="445"/>
        <v>-128.17321809582205</v>
      </c>
      <c r="AW309" s="527">
        <f t="shared" si="445"/>
        <v>-128.17321809582205</v>
      </c>
      <c r="AX309" s="527">
        <f t="shared" ref="AX309:BY309" si="446">(AX285-AX293)*AX$233</f>
        <v>-128.17321809582205</v>
      </c>
      <c r="AY309" s="527">
        <f t="shared" si="446"/>
        <v>-128.17321809582205</v>
      </c>
      <c r="AZ309" s="527">
        <f t="shared" si="446"/>
        <v>-128.17321809582205</v>
      </c>
      <c r="BA309" s="527">
        <f t="shared" si="446"/>
        <v>-128.17321809582205</v>
      </c>
      <c r="BB309" s="527">
        <f t="shared" si="446"/>
        <v>-128.17321809582205</v>
      </c>
      <c r="BC309" s="527">
        <f t="shared" si="446"/>
        <v>-128.17321809582205</v>
      </c>
      <c r="BD309" s="527">
        <f t="shared" si="446"/>
        <v>-128.17321809582205</v>
      </c>
      <c r="BE309" s="527">
        <f t="shared" si="446"/>
        <v>-128.17321809582205</v>
      </c>
      <c r="BF309" s="527">
        <f t="shared" si="446"/>
        <v>-128.17321809582205</v>
      </c>
      <c r="BG309" s="527">
        <f t="shared" si="446"/>
        <v>-128.17321809582205</v>
      </c>
      <c r="BH309" s="527">
        <f t="shared" si="446"/>
        <v>-153.24432917490313</v>
      </c>
      <c r="BI309" s="527">
        <f t="shared" si="446"/>
        <v>-153.24432917490313</v>
      </c>
      <c r="BJ309" s="527">
        <f t="shared" si="446"/>
        <v>-153.24432917490313</v>
      </c>
      <c r="BK309" s="527">
        <f t="shared" si="446"/>
        <v>-153.24432917490313</v>
      </c>
      <c r="BL309" s="527">
        <f t="shared" si="446"/>
        <v>-153.24432917490313</v>
      </c>
      <c r="BM309" s="527">
        <f t="shared" si="446"/>
        <v>-153.24432917490313</v>
      </c>
      <c r="BN309" s="527">
        <f t="shared" si="446"/>
        <v>-147.55479108464269</v>
      </c>
      <c r="BO309" s="527">
        <f t="shared" si="446"/>
        <v>-147.55479108464269</v>
      </c>
      <c r="BP309" s="527">
        <f t="shared" si="446"/>
        <v>-147.55479108464269</v>
      </c>
      <c r="BQ309" s="527">
        <f t="shared" si="446"/>
        <v>-147.55479108464269</v>
      </c>
      <c r="BR309" s="527">
        <f t="shared" si="446"/>
        <v>-147.55479108464269</v>
      </c>
      <c r="BS309" s="527">
        <f t="shared" si="446"/>
        <v>-147.55479108464269</v>
      </c>
      <c r="BT309" s="527">
        <f t="shared" si="446"/>
        <v>-154.06164233203404</v>
      </c>
      <c r="BU309" s="527">
        <f t="shared" si="446"/>
        <v>-154.06164233203404</v>
      </c>
      <c r="BV309" s="527">
        <f t="shared" si="446"/>
        <v>-154.06164233203404</v>
      </c>
      <c r="BW309" s="527">
        <f t="shared" si="446"/>
        <v>-154.06164233203404</v>
      </c>
      <c r="BX309" s="527">
        <f t="shared" si="446"/>
        <v>-154.06164233203404</v>
      </c>
      <c r="BY309" s="527">
        <f t="shared" si="446"/>
        <v>-154.06164233203404</v>
      </c>
    </row>
    <row r="310" spans="1:77" x14ac:dyDescent="0.3">
      <c r="A310" s="551"/>
      <c r="B310" s="548"/>
      <c r="C310" s="525"/>
      <c r="D310" s="525"/>
      <c r="E310" s="629" t="str">
        <f>"WSM dist &amp; disp: "&amp;E$159</f>
        <v>WSM dist &amp; disp: FY31 Tranche</v>
      </c>
      <c r="F310" s="525"/>
      <c r="G310" s="525"/>
      <c r="H310" s="525"/>
      <c r="I310" s="525"/>
      <c r="J310" s="525"/>
      <c r="K310" s="525"/>
      <c r="L310" s="525"/>
      <c r="M310" s="525"/>
      <c r="N310" s="525"/>
      <c r="O310" s="525"/>
      <c r="P310" s="565"/>
      <c r="Q310" s="525"/>
      <c r="R310" s="527">
        <f t="shared" ref="R310:AW310" si="447">(R286-R294)*R$233</f>
        <v>-128.17321809582205</v>
      </c>
      <c r="S310" s="527">
        <f t="shared" si="447"/>
        <v>-128.17321809582205</v>
      </c>
      <c r="T310" s="527">
        <f t="shared" si="447"/>
        <v>-128.17321809582205</v>
      </c>
      <c r="U310" s="527">
        <f t="shared" si="447"/>
        <v>-128.17321809582205</v>
      </c>
      <c r="V310" s="527">
        <f t="shared" si="447"/>
        <v>-128.17321809582205</v>
      </c>
      <c r="W310" s="527">
        <f t="shared" si="447"/>
        <v>-128.17321809582205</v>
      </c>
      <c r="X310" s="527">
        <f t="shared" si="447"/>
        <v>-128.17321809582205</v>
      </c>
      <c r="Y310" s="527">
        <f t="shared" si="447"/>
        <v>-128.17321809582205</v>
      </c>
      <c r="Z310" s="527">
        <f t="shared" si="447"/>
        <v>-128.17321809582205</v>
      </c>
      <c r="AA310" s="527">
        <f t="shared" si="447"/>
        <v>-128.17321809582205</v>
      </c>
      <c r="AB310" s="527">
        <f t="shared" si="447"/>
        <v>-128.17321809582205</v>
      </c>
      <c r="AC310" s="527">
        <f t="shared" si="447"/>
        <v>-128.17321809582205</v>
      </c>
      <c r="AD310" s="527">
        <f t="shared" si="447"/>
        <v>-128.17321809582205</v>
      </c>
      <c r="AE310" s="527">
        <f t="shared" si="447"/>
        <v>-128.17321809582205</v>
      </c>
      <c r="AF310" s="527">
        <f t="shared" si="447"/>
        <v>-128.17321809582205</v>
      </c>
      <c r="AG310" s="527">
        <f t="shared" si="447"/>
        <v>-128.17321809582205</v>
      </c>
      <c r="AH310" s="527">
        <f t="shared" si="447"/>
        <v>-128.17321809582205</v>
      </c>
      <c r="AI310" s="527">
        <f t="shared" si="447"/>
        <v>-128.17321809582205</v>
      </c>
      <c r="AJ310" s="527">
        <f t="shared" si="447"/>
        <v>-128.17321809582205</v>
      </c>
      <c r="AK310" s="527">
        <f t="shared" si="447"/>
        <v>-128.17321809582205</v>
      </c>
      <c r="AL310" s="527">
        <f t="shared" si="447"/>
        <v>-128.17321809582205</v>
      </c>
      <c r="AM310" s="527">
        <f t="shared" si="447"/>
        <v>-128.17321809582205</v>
      </c>
      <c r="AN310" s="527">
        <f t="shared" si="447"/>
        <v>-128.17321809582205</v>
      </c>
      <c r="AO310" s="527">
        <f t="shared" si="447"/>
        <v>-128.17321809582205</v>
      </c>
      <c r="AP310" s="527">
        <f t="shared" si="447"/>
        <v>-128.17321809582205</v>
      </c>
      <c r="AQ310" s="527">
        <f t="shared" si="447"/>
        <v>-128.17321809582205</v>
      </c>
      <c r="AR310" s="527">
        <f t="shared" si="447"/>
        <v>-128.17321809582205</v>
      </c>
      <c r="AS310" s="527">
        <f t="shared" si="447"/>
        <v>-128.17321809582205</v>
      </c>
      <c r="AT310" s="527">
        <f t="shared" si="447"/>
        <v>-128.17321809582205</v>
      </c>
      <c r="AU310" s="527">
        <f t="shared" si="447"/>
        <v>-128.17321809582205</v>
      </c>
      <c r="AV310" s="527">
        <f t="shared" si="447"/>
        <v>-128.17321809582205</v>
      </c>
      <c r="AW310" s="527">
        <f t="shared" si="447"/>
        <v>-128.17321809582205</v>
      </c>
      <c r="AX310" s="527">
        <f t="shared" ref="AX310:BY310" si="448">(AX286-AX294)*AX$233</f>
        <v>-128.17321809582205</v>
      </c>
      <c r="AY310" s="527">
        <f t="shared" si="448"/>
        <v>-128.17321809582205</v>
      </c>
      <c r="AZ310" s="527">
        <f t="shared" si="448"/>
        <v>-128.17321809582205</v>
      </c>
      <c r="BA310" s="527">
        <f t="shared" si="448"/>
        <v>-128.17321809582205</v>
      </c>
      <c r="BB310" s="527">
        <f t="shared" si="448"/>
        <v>-128.17321809582205</v>
      </c>
      <c r="BC310" s="527">
        <f t="shared" si="448"/>
        <v>-128.17321809582205</v>
      </c>
      <c r="BD310" s="527">
        <f t="shared" si="448"/>
        <v>-128.17321809582205</v>
      </c>
      <c r="BE310" s="527">
        <f t="shared" si="448"/>
        <v>-128.17321809582205</v>
      </c>
      <c r="BF310" s="527">
        <f t="shared" si="448"/>
        <v>-128.17321809582205</v>
      </c>
      <c r="BG310" s="527">
        <f t="shared" si="448"/>
        <v>-128.17321809582205</v>
      </c>
      <c r="BH310" s="527">
        <f t="shared" si="448"/>
        <v>-128.17321809582205</v>
      </c>
      <c r="BI310" s="527">
        <f t="shared" si="448"/>
        <v>-128.17321809582205</v>
      </c>
      <c r="BJ310" s="527">
        <f t="shared" si="448"/>
        <v>-128.17321809582205</v>
      </c>
      <c r="BK310" s="527">
        <f t="shared" si="448"/>
        <v>-128.17321809582205</v>
      </c>
      <c r="BL310" s="527">
        <f t="shared" si="448"/>
        <v>-128.17321809582205</v>
      </c>
      <c r="BM310" s="527">
        <f t="shared" si="448"/>
        <v>-128.17321809582205</v>
      </c>
      <c r="BN310" s="527">
        <f t="shared" si="448"/>
        <v>-128.17321809582205</v>
      </c>
      <c r="BO310" s="527">
        <f t="shared" si="448"/>
        <v>-128.17321809582205</v>
      </c>
      <c r="BP310" s="527">
        <f t="shared" si="448"/>
        <v>-128.17321809582205</v>
      </c>
      <c r="BQ310" s="527">
        <f t="shared" si="448"/>
        <v>-128.17321809582205</v>
      </c>
      <c r="BR310" s="527">
        <f t="shared" si="448"/>
        <v>-128.17321809582205</v>
      </c>
      <c r="BS310" s="527">
        <f t="shared" si="448"/>
        <v>-128.17321809582205</v>
      </c>
      <c r="BT310" s="527">
        <f t="shared" si="448"/>
        <v>-152.57883474298021</v>
      </c>
      <c r="BU310" s="527">
        <f t="shared" si="448"/>
        <v>-152.57883474298021</v>
      </c>
      <c r="BV310" s="527">
        <f t="shared" si="448"/>
        <v>-152.57883474298021</v>
      </c>
      <c r="BW310" s="527">
        <f t="shared" si="448"/>
        <v>-152.57883474298021</v>
      </c>
      <c r="BX310" s="527">
        <f t="shared" si="448"/>
        <v>-152.57883474298021</v>
      </c>
      <c r="BY310" s="527">
        <f t="shared" si="448"/>
        <v>-152.57883474298021</v>
      </c>
    </row>
    <row r="311" spans="1:77" x14ac:dyDescent="0.3">
      <c r="A311" s="551"/>
      <c r="B311" s="548"/>
      <c r="C311" s="525"/>
      <c r="D311" s="525"/>
      <c r="E311" s="629" t="str">
        <f>"WSM dist &amp; disp: "&amp;E$160</f>
        <v>WSM dist &amp; disp: Uninvested Tranche</v>
      </c>
      <c r="F311" s="525"/>
      <c r="G311" s="525"/>
      <c r="H311" s="525"/>
      <c r="I311" s="525"/>
      <c r="J311" s="525"/>
      <c r="K311" s="525"/>
      <c r="L311" s="525"/>
      <c r="M311" s="525"/>
      <c r="N311" s="525"/>
      <c r="O311" s="525"/>
      <c r="P311" s="565"/>
      <c r="Q311" s="525"/>
      <c r="R311" s="527">
        <f t="shared" ref="R311:AW311" si="449">(R287-R295)*R$233</f>
        <v>-352.47634976351071</v>
      </c>
      <c r="S311" s="527">
        <f t="shared" si="449"/>
        <v>-352.47634976351071</v>
      </c>
      <c r="T311" s="527">
        <f t="shared" si="449"/>
        <v>-352.47634976351071</v>
      </c>
      <c r="U311" s="527">
        <f t="shared" si="449"/>
        <v>-352.47634976351071</v>
      </c>
      <c r="V311" s="527">
        <f t="shared" si="449"/>
        <v>-352.47634976351071</v>
      </c>
      <c r="W311" s="527">
        <f t="shared" si="449"/>
        <v>-352.47634976351071</v>
      </c>
      <c r="X311" s="527">
        <f t="shared" si="449"/>
        <v>-352.47634976351071</v>
      </c>
      <c r="Y311" s="527">
        <f t="shared" si="449"/>
        <v>-352.47634976351071</v>
      </c>
      <c r="Z311" s="527">
        <f t="shared" si="449"/>
        <v>-352.47634976351071</v>
      </c>
      <c r="AA311" s="527">
        <f t="shared" si="449"/>
        <v>-352.47634976351071</v>
      </c>
      <c r="AB311" s="527">
        <f t="shared" si="449"/>
        <v>-352.47634976351071</v>
      </c>
      <c r="AC311" s="527">
        <f t="shared" si="449"/>
        <v>-352.47634976351071</v>
      </c>
      <c r="AD311" s="527">
        <f t="shared" si="449"/>
        <v>-352.47634976351071</v>
      </c>
      <c r="AE311" s="527">
        <f t="shared" si="449"/>
        <v>-352.47634976351071</v>
      </c>
      <c r="AF311" s="527">
        <f t="shared" si="449"/>
        <v>-352.47634976351071</v>
      </c>
      <c r="AG311" s="527">
        <f t="shared" si="449"/>
        <v>-352.47634976351071</v>
      </c>
      <c r="AH311" s="527">
        <f t="shared" si="449"/>
        <v>-352.47634976351071</v>
      </c>
      <c r="AI311" s="527">
        <f t="shared" si="449"/>
        <v>-352.47634976351071</v>
      </c>
      <c r="AJ311" s="527">
        <f t="shared" si="449"/>
        <v>-352.47634976351071</v>
      </c>
      <c r="AK311" s="527">
        <f t="shared" si="449"/>
        <v>-352.47634976351071</v>
      </c>
      <c r="AL311" s="527">
        <f t="shared" si="449"/>
        <v>-352.47634976351071</v>
      </c>
      <c r="AM311" s="527">
        <f t="shared" si="449"/>
        <v>-352.47634976351071</v>
      </c>
      <c r="AN311" s="527">
        <f t="shared" si="449"/>
        <v>-352.47634976351071</v>
      </c>
      <c r="AO311" s="527">
        <f t="shared" si="449"/>
        <v>-352.47634976351071</v>
      </c>
      <c r="AP311" s="527">
        <f t="shared" si="449"/>
        <v>-352.47634976351071</v>
      </c>
      <c r="AQ311" s="527">
        <f t="shared" si="449"/>
        <v>-352.47634976351071</v>
      </c>
      <c r="AR311" s="527">
        <f t="shared" si="449"/>
        <v>-352.47634976351071</v>
      </c>
      <c r="AS311" s="527">
        <f t="shared" si="449"/>
        <v>-352.47634976351071</v>
      </c>
      <c r="AT311" s="527">
        <f t="shared" si="449"/>
        <v>-352.47634976351071</v>
      </c>
      <c r="AU311" s="527">
        <f t="shared" si="449"/>
        <v>-352.47634976351071</v>
      </c>
      <c r="AV311" s="527">
        <f t="shared" si="449"/>
        <v>-352.47634976351071</v>
      </c>
      <c r="AW311" s="527">
        <f t="shared" si="449"/>
        <v>-352.47634976351071</v>
      </c>
      <c r="AX311" s="527">
        <f t="shared" ref="AX311:BY311" si="450">(AX287-AX295)*AX$233</f>
        <v>-352.47634976351071</v>
      </c>
      <c r="AY311" s="527">
        <f t="shared" si="450"/>
        <v>-352.47634976351071</v>
      </c>
      <c r="AZ311" s="527">
        <f t="shared" si="450"/>
        <v>-352.47634976351071</v>
      </c>
      <c r="BA311" s="527">
        <f t="shared" si="450"/>
        <v>-352.47634976351071</v>
      </c>
      <c r="BB311" s="527">
        <f t="shared" si="450"/>
        <v>-352.47634976351071</v>
      </c>
      <c r="BC311" s="527">
        <f t="shared" si="450"/>
        <v>-352.47634976351071</v>
      </c>
      <c r="BD311" s="527">
        <f t="shared" si="450"/>
        <v>-352.47634976351071</v>
      </c>
      <c r="BE311" s="527">
        <f t="shared" si="450"/>
        <v>-352.47634976351071</v>
      </c>
      <c r="BF311" s="527">
        <f t="shared" si="450"/>
        <v>-352.47634976351071</v>
      </c>
      <c r="BG311" s="527">
        <f t="shared" si="450"/>
        <v>-352.47634976351071</v>
      </c>
      <c r="BH311" s="527">
        <f t="shared" si="450"/>
        <v>-352.47634976351071</v>
      </c>
      <c r="BI311" s="527">
        <f t="shared" si="450"/>
        <v>-352.47634976351071</v>
      </c>
      <c r="BJ311" s="527">
        <f t="shared" si="450"/>
        <v>-352.47634976351071</v>
      </c>
      <c r="BK311" s="527">
        <f t="shared" si="450"/>
        <v>-352.47634976351071</v>
      </c>
      <c r="BL311" s="527">
        <f t="shared" si="450"/>
        <v>-352.47634976351071</v>
      </c>
      <c r="BM311" s="527">
        <f t="shared" si="450"/>
        <v>-352.47634976351071</v>
      </c>
      <c r="BN311" s="527">
        <f t="shared" si="450"/>
        <v>-352.47634976351071</v>
      </c>
      <c r="BO311" s="527">
        <f t="shared" si="450"/>
        <v>-352.47634976351071</v>
      </c>
      <c r="BP311" s="527">
        <f t="shared" si="450"/>
        <v>-352.47634976351071</v>
      </c>
      <c r="BQ311" s="527">
        <f t="shared" si="450"/>
        <v>-352.47634976351071</v>
      </c>
      <c r="BR311" s="527">
        <f t="shared" si="450"/>
        <v>-352.47634976351071</v>
      </c>
      <c r="BS311" s="527">
        <f t="shared" si="450"/>
        <v>-352.47634976351071</v>
      </c>
      <c r="BT311" s="527">
        <f t="shared" si="450"/>
        <v>-352.47634976351071</v>
      </c>
      <c r="BU311" s="527">
        <f t="shared" si="450"/>
        <v>-352.47634976351071</v>
      </c>
      <c r="BV311" s="527">
        <f t="shared" si="450"/>
        <v>-352.47634976351071</v>
      </c>
      <c r="BW311" s="527">
        <f t="shared" si="450"/>
        <v>-352.47634976351071</v>
      </c>
      <c r="BX311" s="527">
        <f t="shared" si="450"/>
        <v>-352.47634976351071</v>
      </c>
      <c r="BY311" s="527">
        <f t="shared" si="450"/>
        <v>-352.47634976351071</v>
      </c>
    </row>
    <row r="312" spans="1:77" x14ac:dyDescent="0.3">
      <c r="A312" s="551"/>
      <c r="B312" s="548"/>
      <c r="C312" s="525"/>
      <c r="D312" s="525"/>
      <c r="E312" s="572" t="s">
        <v>36</v>
      </c>
      <c r="F312" s="572"/>
      <c r="G312" s="572"/>
      <c r="H312" s="572"/>
      <c r="I312" s="572"/>
      <c r="J312" s="572"/>
      <c r="K312" s="572"/>
      <c r="L312" s="572"/>
      <c r="M312" s="572"/>
      <c r="N312" s="572"/>
      <c r="O312" s="572"/>
      <c r="P312" s="612"/>
      <c r="Q312" s="572"/>
      <c r="R312" s="530">
        <f t="shared" ref="R312:AW312" si="451">SUM(R306:R311)</f>
        <v>-993.34244024262091</v>
      </c>
      <c r="S312" s="530">
        <f t="shared" si="451"/>
        <v>-993.34244024262091</v>
      </c>
      <c r="T312" s="530">
        <f t="shared" si="451"/>
        <v>-993.34244024262091</v>
      </c>
      <c r="U312" s="530">
        <f t="shared" si="451"/>
        <v>-993.34244024262091</v>
      </c>
      <c r="V312" s="530">
        <f t="shared" si="451"/>
        <v>-993.34244024262091</v>
      </c>
      <c r="W312" s="530">
        <f t="shared" si="451"/>
        <v>-993.34244024262091</v>
      </c>
      <c r="X312" s="530">
        <f t="shared" si="451"/>
        <v>-1020.5530102159388</v>
      </c>
      <c r="Y312" s="530">
        <f t="shared" si="451"/>
        <v>-1020.5530102159388</v>
      </c>
      <c r="Z312" s="530">
        <f t="shared" si="451"/>
        <v>-1020.5530102159388</v>
      </c>
      <c r="AA312" s="530">
        <f t="shared" si="451"/>
        <v>-1020.5530102159388</v>
      </c>
      <c r="AB312" s="530">
        <f t="shared" si="451"/>
        <v>-1020.5530102159388</v>
      </c>
      <c r="AC312" s="530">
        <f t="shared" si="451"/>
        <v>-1020.5530102159388</v>
      </c>
      <c r="AD312" s="530">
        <f t="shared" si="451"/>
        <v>-1013.5063643590532</v>
      </c>
      <c r="AE312" s="530">
        <f t="shared" si="451"/>
        <v>-1013.5063643590532</v>
      </c>
      <c r="AF312" s="530">
        <f t="shared" si="451"/>
        <v>-1013.5063643590532</v>
      </c>
      <c r="AG312" s="530">
        <f t="shared" si="451"/>
        <v>-1013.5063643590532</v>
      </c>
      <c r="AH312" s="530">
        <f t="shared" si="451"/>
        <v>-1013.5063643590532</v>
      </c>
      <c r="AI312" s="530">
        <f t="shared" si="451"/>
        <v>-1013.5063643590532</v>
      </c>
      <c r="AJ312" s="530">
        <f t="shared" si="451"/>
        <v>-1046.7245930362105</v>
      </c>
      <c r="AK312" s="530">
        <f t="shared" si="451"/>
        <v>-1046.7245930362105</v>
      </c>
      <c r="AL312" s="530">
        <f t="shared" si="451"/>
        <v>-1046.7245930362105</v>
      </c>
      <c r="AM312" s="530">
        <f t="shared" si="451"/>
        <v>-1046.7245930362105</v>
      </c>
      <c r="AN312" s="530">
        <f t="shared" si="451"/>
        <v>-1046.7245930362105</v>
      </c>
      <c r="AO312" s="530">
        <f t="shared" si="451"/>
        <v>-1046.7245930362105</v>
      </c>
      <c r="AP312" s="530">
        <f t="shared" si="451"/>
        <v>-1033.4764018144137</v>
      </c>
      <c r="AQ312" s="530">
        <f t="shared" si="451"/>
        <v>-1033.4764018144137</v>
      </c>
      <c r="AR312" s="530">
        <f t="shared" si="451"/>
        <v>-1033.4764018144137</v>
      </c>
      <c r="AS312" s="530">
        <f t="shared" si="451"/>
        <v>-1033.4764018144137</v>
      </c>
      <c r="AT312" s="530">
        <f t="shared" si="451"/>
        <v>-1033.4764018144137</v>
      </c>
      <c r="AU312" s="530">
        <f t="shared" si="451"/>
        <v>-1033.4764018144137</v>
      </c>
      <c r="AV312" s="530">
        <f t="shared" si="451"/>
        <v>-1072.5958694013498</v>
      </c>
      <c r="AW312" s="530">
        <f t="shared" si="451"/>
        <v>-1072.5958694013498</v>
      </c>
      <c r="AX312" s="530">
        <f t="shared" ref="AX312:BY312" si="452">SUM(AX306:AX311)</f>
        <v>-1072.5958694013498</v>
      </c>
      <c r="AY312" s="530">
        <f t="shared" si="452"/>
        <v>-1072.5958694013498</v>
      </c>
      <c r="AZ312" s="530">
        <f t="shared" si="452"/>
        <v>-1072.5958694013498</v>
      </c>
      <c r="BA312" s="530">
        <f t="shared" si="452"/>
        <v>-1072.5958694013498</v>
      </c>
      <c r="BB312" s="530">
        <f t="shared" si="452"/>
        <v>-1054.5743361466348</v>
      </c>
      <c r="BC312" s="530">
        <f t="shared" si="452"/>
        <v>-1054.5743361466348</v>
      </c>
      <c r="BD312" s="530">
        <f t="shared" si="452"/>
        <v>-1054.5743361466348</v>
      </c>
      <c r="BE312" s="530">
        <f t="shared" si="452"/>
        <v>-1054.5743361466348</v>
      </c>
      <c r="BF312" s="530">
        <f t="shared" si="452"/>
        <v>-1054.5743361466348</v>
      </c>
      <c r="BG312" s="530">
        <f t="shared" si="452"/>
        <v>-1054.5743361466348</v>
      </c>
      <c r="BH312" s="530">
        <f t="shared" si="452"/>
        <v>-1099.5303823969048</v>
      </c>
      <c r="BI312" s="530">
        <f t="shared" si="452"/>
        <v>-1099.5303823969048</v>
      </c>
      <c r="BJ312" s="530">
        <f t="shared" si="452"/>
        <v>-1099.5303823969048</v>
      </c>
      <c r="BK312" s="530">
        <f t="shared" si="452"/>
        <v>-1099.5303823969048</v>
      </c>
      <c r="BL312" s="530">
        <f t="shared" si="452"/>
        <v>-1099.5303823969048</v>
      </c>
      <c r="BM312" s="530">
        <f t="shared" si="452"/>
        <v>-1099.5303823969048</v>
      </c>
      <c r="BN312" s="530">
        <f t="shared" si="452"/>
        <v>-1076.5055185804099</v>
      </c>
      <c r="BO312" s="530">
        <f t="shared" si="452"/>
        <v>-1076.5055185804099</v>
      </c>
      <c r="BP312" s="530">
        <f t="shared" si="452"/>
        <v>-1076.5055185804099</v>
      </c>
      <c r="BQ312" s="530">
        <f t="shared" si="452"/>
        <v>-1076.5055185804099</v>
      </c>
      <c r="BR312" s="530">
        <f t="shared" si="452"/>
        <v>-1076.5055185804099</v>
      </c>
      <c r="BS312" s="530">
        <f t="shared" si="452"/>
        <v>-1076.5055185804099</v>
      </c>
      <c r="BT312" s="530">
        <f t="shared" si="452"/>
        <v>-1127.1640116724338</v>
      </c>
      <c r="BU312" s="530">
        <f t="shared" si="452"/>
        <v>-1127.1640116724338</v>
      </c>
      <c r="BV312" s="530">
        <f t="shared" si="452"/>
        <v>-1127.1640116724338</v>
      </c>
      <c r="BW312" s="530">
        <f t="shared" si="452"/>
        <v>-1127.1640116724338</v>
      </c>
      <c r="BX312" s="530">
        <f t="shared" si="452"/>
        <v>-1127.1640116724338</v>
      </c>
      <c r="BY312" s="530">
        <f t="shared" si="452"/>
        <v>-1127.1640116724338</v>
      </c>
    </row>
    <row r="313" spans="1:77" x14ac:dyDescent="0.3">
      <c r="A313" s="551"/>
      <c r="B313" s="548"/>
      <c r="C313" s="525"/>
      <c r="D313" s="525"/>
      <c r="E313" s="525"/>
      <c r="F313" s="525"/>
      <c r="G313" s="525"/>
      <c r="H313" s="525"/>
      <c r="I313" s="525"/>
      <c r="J313" s="525"/>
      <c r="K313" s="525"/>
      <c r="L313" s="525"/>
      <c r="M313" s="525"/>
      <c r="N313" s="525"/>
      <c r="O313" s="525"/>
      <c r="P313" s="565"/>
      <c r="Q313" s="525"/>
      <c r="R313" s="525"/>
      <c r="S313" s="525"/>
      <c r="T313" s="525"/>
      <c r="U313" s="525"/>
      <c r="V313" s="525"/>
      <c r="W313" s="525"/>
      <c r="X313" s="525"/>
      <c r="Y313" s="525"/>
      <c r="Z313" s="525"/>
      <c r="AA313" s="525"/>
      <c r="AB313" s="525"/>
      <c r="AC313" s="525"/>
      <c r="AD313" s="525"/>
      <c r="AE313" s="525"/>
      <c r="AF313" s="525"/>
      <c r="AG313" s="525"/>
      <c r="AH313" s="525"/>
      <c r="AI313" s="525"/>
      <c r="AJ313" s="525"/>
      <c r="AK313" s="525"/>
      <c r="AL313" s="525"/>
      <c r="AM313" s="525"/>
      <c r="AN313" s="525"/>
      <c r="AO313" s="525"/>
      <c r="AP313" s="525"/>
      <c r="AQ313" s="525"/>
      <c r="AR313" s="525"/>
      <c r="AS313" s="525"/>
      <c r="AT313" s="525"/>
      <c r="AU313" s="525"/>
      <c r="AV313" s="525"/>
      <c r="AW313" s="525"/>
      <c r="AX313" s="525"/>
      <c r="AY313" s="525"/>
      <c r="AZ313" s="525"/>
      <c r="BA313" s="525"/>
      <c r="BB313" s="525"/>
      <c r="BC313" s="525"/>
      <c r="BD313" s="525"/>
      <c r="BE313" s="525"/>
      <c r="BF313" s="525"/>
      <c r="BG313" s="525"/>
      <c r="BH313" s="525"/>
      <c r="BI313" s="525"/>
      <c r="BJ313" s="525"/>
      <c r="BK313" s="525"/>
      <c r="BL313" s="525"/>
      <c r="BM313" s="525"/>
      <c r="BN313" s="525"/>
      <c r="BO313" s="525"/>
      <c r="BP313" s="525"/>
      <c r="BQ313" s="525"/>
      <c r="BR313" s="525"/>
      <c r="BS313" s="525"/>
      <c r="BT313" s="525"/>
      <c r="BU313" s="525"/>
      <c r="BV313" s="525"/>
      <c r="BW313" s="525"/>
      <c r="BX313" s="525"/>
      <c r="BY313" s="525"/>
    </row>
    <row r="314" spans="1:77" x14ac:dyDescent="0.3">
      <c r="A314" s="551"/>
      <c r="B314" s="548"/>
      <c r="C314" s="525"/>
      <c r="D314" s="525"/>
      <c r="E314" s="630" t="str">
        <f>"WSM discounts: "&amp;E$155</f>
        <v>WSM discounts: FY27 Tranche</v>
      </c>
      <c r="F314" s="525"/>
      <c r="G314" s="525"/>
      <c r="H314" s="525"/>
      <c r="I314" s="525"/>
      <c r="J314" s="525"/>
      <c r="K314" s="525"/>
      <c r="L314" s="525"/>
      <c r="M314" s="525"/>
      <c r="N314" s="525"/>
      <c r="O314" s="525"/>
      <c r="P314" s="565"/>
      <c r="Q314" s="525"/>
      <c r="R314" s="527">
        <f t="shared" ref="R314:AW314" si="453">(R282-R290)*R$234</f>
        <v>-109.20792206675127</v>
      </c>
      <c r="S314" s="527">
        <f t="shared" si="453"/>
        <v>-109.20792206675127</v>
      </c>
      <c r="T314" s="527">
        <f t="shared" si="453"/>
        <v>-109.20792206675127</v>
      </c>
      <c r="U314" s="527">
        <f t="shared" si="453"/>
        <v>-109.20792206675127</v>
      </c>
      <c r="V314" s="527">
        <f t="shared" si="453"/>
        <v>-109.20792206675127</v>
      </c>
      <c r="W314" s="527">
        <f t="shared" si="453"/>
        <v>-109.20792206675127</v>
      </c>
      <c r="X314" s="527">
        <f t="shared" si="453"/>
        <v>-132.39224909844378</v>
      </c>
      <c r="Y314" s="527">
        <f t="shared" si="453"/>
        <v>-132.39224909844378</v>
      </c>
      <c r="Z314" s="527">
        <f t="shared" si="453"/>
        <v>-132.39224909844378</v>
      </c>
      <c r="AA314" s="527">
        <f t="shared" si="453"/>
        <v>-132.39224909844378</v>
      </c>
      <c r="AB314" s="527">
        <f t="shared" si="453"/>
        <v>-132.39224909844378</v>
      </c>
      <c r="AC314" s="527">
        <f t="shared" si="453"/>
        <v>-132.39224909844378</v>
      </c>
      <c r="AD314" s="527">
        <f t="shared" si="453"/>
        <v>-126.38826821223823</v>
      </c>
      <c r="AE314" s="527">
        <f t="shared" si="453"/>
        <v>-126.38826821223823</v>
      </c>
      <c r="AF314" s="527">
        <f t="shared" si="453"/>
        <v>-126.38826821223823</v>
      </c>
      <c r="AG314" s="527">
        <f t="shared" si="453"/>
        <v>-126.38826821223823</v>
      </c>
      <c r="AH314" s="527">
        <f t="shared" si="453"/>
        <v>-126.38826821223823</v>
      </c>
      <c r="AI314" s="527">
        <f t="shared" si="453"/>
        <v>-126.38826821223823</v>
      </c>
      <c r="AJ314" s="527">
        <f t="shared" si="453"/>
        <v>-132.15602541838163</v>
      </c>
      <c r="AK314" s="527">
        <f t="shared" si="453"/>
        <v>-132.15602541838163</v>
      </c>
      <c r="AL314" s="527">
        <f t="shared" si="453"/>
        <v>-132.15602541838163</v>
      </c>
      <c r="AM314" s="527">
        <f t="shared" si="453"/>
        <v>-132.15602541838163</v>
      </c>
      <c r="AN314" s="527">
        <f t="shared" si="453"/>
        <v>-132.15602541838163</v>
      </c>
      <c r="AO314" s="527">
        <f t="shared" si="453"/>
        <v>-132.15602541838163</v>
      </c>
      <c r="AP314" s="527">
        <f t="shared" si="453"/>
        <v>-126.5021078507165</v>
      </c>
      <c r="AQ314" s="527">
        <f t="shared" si="453"/>
        <v>-126.5021078507165</v>
      </c>
      <c r="AR314" s="527">
        <f t="shared" si="453"/>
        <v>-126.5021078507165</v>
      </c>
      <c r="AS314" s="527">
        <f t="shared" si="453"/>
        <v>-126.5021078507165</v>
      </c>
      <c r="AT314" s="527">
        <f t="shared" si="453"/>
        <v>-126.5021078507165</v>
      </c>
      <c r="AU314" s="527">
        <f t="shared" si="453"/>
        <v>-126.5021078507165</v>
      </c>
      <c r="AV314" s="527">
        <f t="shared" si="453"/>
        <v>-132.21100740955438</v>
      </c>
      <c r="AW314" s="527">
        <f t="shared" si="453"/>
        <v>-132.21100740955438</v>
      </c>
      <c r="AX314" s="527">
        <f t="shared" ref="AX314:BY314" si="454">(AX282-AX290)*AX$234</f>
        <v>-132.21100740955438</v>
      </c>
      <c r="AY314" s="527">
        <f t="shared" si="454"/>
        <v>-132.21100740955438</v>
      </c>
      <c r="AZ314" s="527">
        <f t="shared" si="454"/>
        <v>-132.21100740955438</v>
      </c>
      <c r="BA314" s="527">
        <f t="shared" si="454"/>
        <v>-132.21100740955438</v>
      </c>
      <c r="BB314" s="527">
        <f t="shared" si="454"/>
        <v>-127.07014361976178</v>
      </c>
      <c r="BC314" s="527">
        <f t="shared" si="454"/>
        <v>-127.07014361976178</v>
      </c>
      <c r="BD314" s="527">
        <f t="shared" si="454"/>
        <v>-127.07014361976178</v>
      </c>
      <c r="BE314" s="527">
        <f t="shared" si="454"/>
        <v>-127.07014361976178</v>
      </c>
      <c r="BF314" s="527">
        <f t="shared" si="454"/>
        <v>-127.07014361976178</v>
      </c>
      <c r="BG314" s="527">
        <f t="shared" si="454"/>
        <v>-127.07014361976178</v>
      </c>
      <c r="BH314" s="527">
        <f t="shared" si="454"/>
        <v>-132.73655653728744</v>
      </c>
      <c r="BI314" s="527">
        <f t="shared" si="454"/>
        <v>-132.73655653728744</v>
      </c>
      <c r="BJ314" s="527">
        <f t="shared" si="454"/>
        <v>-132.73655653728744</v>
      </c>
      <c r="BK314" s="527">
        <f t="shared" si="454"/>
        <v>-132.73655653728744</v>
      </c>
      <c r="BL314" s="527">
        <f t="shared" si="454"/>
        <v>-132.73655653728744</v>
      </c>
      <c r="BM314" s="527">
        <f t="shared" si="454"/>
        <v>-132.73655653728744</v>
      </c>
      <c r="BN314" s="527">
        <f t="shared" si="454"/>
        <v>-127.79096652706708</v>
      </c>
      <c r="BO314" s="527">
        <f t="shared" si="454"/>
        <v>-127.79096652706708</v>
      </c>
      <c r="BP314" s="527">
        <f t="shared" si="454"/>
        <v>-127.79096652706708</v>
      </c>
      <c r="BQ314" s="527">
        <f t="shared" si="454"/>
        <v>-127.79096652706708</v>
      </c>
      <c r="BR314" s="527">
        <f t="shared" si="454"/>
        <v>-127.79096652706708</v>
      </c>
      <c r="BS314" s="527">
        <f t="shared" si="454"/>
        <v>-127.79096652706708</v>
      </c>
      <c r="BT314" s="527">
        <f t="shared" si="454"/>
        <v>-133.41779564597067</v>
      </c>
      <c r="BU314" s="527">
        <f t="shared" si="454"/>
        <v>-133.41779564597067</v>
      </c>
      <c r="BV314" s="527">
        <f t="shared" si="454"/>
        <v>-133.41779564597067</v>
      </c>
      <c r="BW314" s="527">
        <f t="shared" si="454"/>
        <v>-133.41779564597067</v>
      </c>
      <c r="BX314" s="527">
        <f t="shared" si="454"/>
        <v>-133.41779564597067</v>
      </c>
      <c r="BY314" s="527">
        <f t="shared" si="454"/>
        <v>-133.41779564597067</v>
      </c>
    </row>
    <row r="315" spans="1:77" x14ac:dyDescent="0.3">
      <c r="A315" s="551"/>
      <c r="B315" s="548"/>
      <c r="C315" s="525"/>
      <c r="D315" s="525"/>
      <c r="E315" s="630" t="str">
        <f>"WSM discounts: "&amp;E$156</f>
        <v>WSM discounts: FY28 Tranche</v>
      </c>
      <c r="F315" s="525"/>
      <c r="G315" s="525"/>
      <c r="H315" s="525"/>
      <c r="I315" s="525"/>
      <c r="J315" s="525"/>
      <c r="K315" s="525"/>
      <c r="L315" s="525"/>
      <c r="M315" s="525"/>
      <c r="N315" s="525"/>
      <c r="O315" s="525"/>
      <c r="P315" s="565"/>
      <c r="Q315" s="525"/>
      <c r="R315" s="527">
        <f t="shared" ref="R315:AW315" si="455">(R283-R291)*R$234</f>
        <v>-109.20792206675127</v>
      </c>
      <c r="S315" s="527">
        <f t="shared" si="455"/>
        <v>-109.20792206675127</v>
      </c>
      <c r="T315" s="527">
        <f t="shared" si="455"/>
        <v>-109.20792206675127</v>
      </c>
      <c r="U315" s="527">
        <f t="shared" si="455"/>
        <v>-109.20792206675127</v>
      </c>
      <c r="V315" s="527">
        <f t="shared" si="455"/>
        <v>-109.20792206675127</v>
      </c>
      <c r="W315" s="527">
        <f t="shared" si="455"/>
        <v>-109.20792206675127</v>
      </c>
      <c r="X315" s="527">
        <f t="shared" si="455"/>
        <v>-109.20792206675127</v>
      </c>
      <c r="Y315" s="527">
        <f t="shared" si="455"/>
        <v>-109.20792206675127</v>
      </c>
      <c r="Z315" s="527">
        <f t="shared" si="455"/>
        <v>-109.20792206675127</v>
      </c>
      <c r="AA315" s="527">
        <f t="shared" si="455"/>
        <v>-109.20792206675127</v>
      </c>
      <c r="AB315" s="527">
        <f t="shared" si="455"/>
        <v>-109.20792206675127</v>
      </c>
      <c r="AC315" s="527">
        <f t="shared" si="455"/>
        <v>-109.20792206675127</v>
      </c>
      <c r="AD315" s="527">
        <f t="shared" si="455"/>
        <v>-109.20792206675127</v>
      </c>
      <c r="AE315" s="527">
        <f t="shared" si="455"/>
        <v>-109.20792206675127</v>
      </c>
      <c r="AF315" s="527">
        <f t="shared" si="455"/>
        <v>-109.20792206675127</v>
      </c>
      <c r="AG315" s="527">
        <f t="shared" si="455"/>
        <v>-109.20792206675127</v>
      </c>
      <c r="AH315" s="527">
        <f t="shared" si="455"/>
        <v>-109.20792206675127</v>
      </c>
      <c r="AI315" s="527">
        <f t="shared" si="455"/>
        <v>-109.20792206675127</v>
      </c>
      <c r="AJ315" s="527">
        <f t="shared" si="455"/>
        <v>-131.74322054154183</v>
      </c>
      <c r="AK315" s="527">
        <f t="shared" si="455"/>
        <v>-131.74322054154183</v>
      </c>
      <c r="AL315" s="527">
        <f t="shared" si="455"/>
        <v>-131.74322054154183</v>
      </c>
      <c r="AM315" s="527">
        <f t="shared" si="455"/>
        <v>-131.74322054154183</v>
      </c>
      <c r="AN315" s="527">
        <f t="shared" si="455"/>
        <v>-131.74322054154183</v>
      </c>
      <c r="AO315" s="527">
        <f t="shared" si="455"/>
        <v>-131.74322054154183</v>
      </c>
      <c r="AP315" s="527">
        <f t="shared" si="455"/>
        <v>-126.10923057306498</v>
      </c>
      <c r="AQ315" s="527">
        <f t="shared" si="455"/>
        <v>-126.10923057306498</v>
      </c>
      <c r="AR315" s="527">
        <f t="shared" si="455"/>
        <v>-126.10923057306498</v>
      </c>
      <c r="AS315" s="527">
        <f t="shared" si="455"/>
        <v>-126.10923057306498</v>
      </c>
      <c r="AT315" s="527">
        <f t="shared" si="455"/>
        <v>-126.10923057306498</v>
      </c>
      <c r="AU315" s="527">
        <f t="shared" si="455"/>
        <v>-126.10923057306498</v>
      </c>
      <c r="AV315" s="527">
        <f t="shared" si="455"/>
        <v>-131.80241504079677</v>
      </c>
      <c r="AW315" s="527">
        <f t="shared" si="455"/>
        <v>-131.80241504079677</v>
      </c>
      <c r="AX315" s="527">
        <f t="shared" ref="AX315:BY315" si="456">(AX283-AX291)*AX$234</f>
        <v>-131.80241504079677</v>
      </c>
      <c r="AY315" s="527">
        <f t="shared" si="456"/>
        <v>-131.80241504079677</v>
      </c>
      <c r="AZ315" s="527">
        <f t="shared" si="456"/>
        <v>-131.80241504079677</v>
      </c>
      <c r="BA315" s="527">
        <f t="shared" si="456"/>
        <v>-131.80241504079677</v>
      </c>
      <c r="BB315" s="527">
        <f t="shared" si="456"/>
        <v>-126.68019020437185</v>
      </c>
      <c r="BC315" s="527">
        <f t="shared" si="456"/>
        <v>-126.68019020437185</v>
      </c>
      <c r="BD315" s="527">
        <f t="shared" si="456"/>
        <v>-126.68019020437185</v>
      </c>
      <c r="BE315" s="527">
        <f t="shared" si="456"/>
        <v>-126.68019020437185</v>
      </c>
      <c r="BF315" s="527">
        <f t="shared" si="456"/>
        <v>-126.68019020437185</v>
      </c>
      <c r="BG315" s="527">
        <f t="shared" si="456"/>
        <v>-126.68019020437185</v>
      </c>
      <c r="BH315" s="527">
        <f t="shared" si="456"/>
        <v>-132.33100498528194</v>
      </c>
      <c r="BI315" s="527">
        <f t="shared" si="456"/>
        <v>-132.33100498528194</v>
      </c>
      <c r="BJ315" s="527">
        <f t="shared" si="456"/>
        <v>-132.33100498528194</v>
      </c>
      <c r="BK315" s="527">
        <f t="shared" si="456"/>
        <v>-132.33100498528194</v>
      </c>
      <c r="BL315" s="527">
        <f t="shared" si="456"/>
        <v>-132.33100498528194</v>
      </c>
      <c r="BM315" s="527">
        <f t="shared" si="456"/>
        <v>-132.33100498528194</v>
      </c>
      <c r="BN315" s="527">
        <f t="shared" si="456"/>
        <v>-127.40373720497769</v>
      </c>
      <c r="BO315" s="527">
        <f t="shared" si="456"/>
        <v>-127.40373720497769</v>
      </c>
      <c r="BP315" s="527">
        <f t="shared" si="456"/>
        <v>-127.40373720497769</v>
      </c>
      <c r="BQ315" s="527">
        <f t="shared" si="456"/>
        <v>-127.40373720497769</v>
      </c>
      <c r="BR315" s="527">
        <f t="shared" si="456"/>
        <v>-127.40373720497769</v>
      </c>
      <c r="BS315" s="527">
        <f t="shared" si="456"/>
        <v>-127.40373720497769</v>
      </c>
      <c r="BT315" s="527">
        <f t="shared" si="456"/>
        <v>-133.01507715099774</v>
      </c>
      <c r="BU315" s="527">
        <f t="shared" si="456"/>
        <v>-133.01507715099774</v>
      </c>
      <c r="BV315" s="527">
        <f t="shared" si="456"/>
        <v>-133.01507715099774</v>
      </c>
      <c r="BW315" s="527">
        <f t="shared" si="456"/>
        <v>-133.01507715099774</v>
      </c>
      <c r="BX315" s="527">
        <f t="shared" si="456"/>
        <v>-133.01507715099774</v>
      </c>
      <c r="BY315" s="527">
        <f t="shared" si="456"/>
        <v>-133.01507715099774</v>
      </c>
    </row>
    <row r="316" spans="1:77" x14ac:dyDescent="0.3">
      <c r="A316" s="551"/>
      <c r="B316" s="548"/>
      <c r="C316" s="525"/>
      <c r="D316" s="525"/>
      <c r="E316" s="630" t="str">
        <f>"WSM discounts: "&amp;E$157</f>
        <v>WSM discounts: FY29 Tranche</v>
      </c>
      <c r="F316" s="525"/>
      <c r="G316" s="525"/>
      <c r="H316" s="525"/>
      <c r="I316" s="525"/>
      <c r="J316" s="525"/>
      <c r="K316" s="525"/>
      <c r="L316" s="525"/>
      <c r="M316" s="525"/>
      <c r="N316" s="525"/>
      <c r="O316" s="525"/>
      <c r="P316" s="565"/>
      <c r="Q316" s="525"/>
      <c r="R316" s="527">
        <f t="shared" ref="R316:AW316" si="457">(R284-R292)*R$234</f>
        <v>-109.20792206675127</v>
      </c>
      <c r="S316" s="527">
        <f t="shared" si="457"/>
        <v>-109.20792206675127</v>
      </c>
      <c r="T316" s="527">
        <f t="shared" si="457"/>
        <v>-109.20792206675127</v>
      </c>
      <c r="U316" s="527">
        <f t="shared" si="457"/>
        <v>-109.20792206675127</v>
      </c>
      <c r="V316" s="527">
        <f t="shared" si="457"/>
        <v>-109.20792206675127</v>
      </c>
      <c r="W316" s="527">
        <f t="shared" si="457"/>
        <v>-109.20792206675127</v>
      </c>
      <c r="X316" s="527">
        <f t="shared" si="457"/>
        <v>-109.20792206675127</v>
      </c>
      <c r="Y316" s="527">
        <f t="shared" si="457"/>
        <v>-109.20792206675127</v>
      </c>
      <c r="Z316" s="527">
        <f t="shared" si="457"/>
        <v>-109.20792206675127</v>
      </c>
      <c r="AA316" s="527">
        <f t="shared" si="457"/>
        <v>-109.20792206675127</v>
      </c>
      <c r="AB316" s="527">
        <f t="shared" si="457"/>
        <v>-109.20792206675127</v>
      </c>
      <c r="AC316" s="527">
        <f t="shared" si="457"/>
        <v>-109.20792206675127</v>
      </c>
      <c r="AD316" s="527">
        <f t="shared" si="457"/>
        <v>-109.20792206675127</v>
      </c>
      <c r="AE316" s="527">
        <f t="shared" si="457"/>
        <v>-109.20792206675127</v>
      </c>
      <c r="AF316" s="527">
        <f t="shared" si="457"/>
        <v>-109.20792206675127</v>
      </c>
      <c r="AG316" s="527">
        <f t="shared" si="457"/>
        <v>-109.20792206675127</v>
      </c>
      <c r="AH316" s="527">
        <f t="shared" si="457"/>
        <v>-109.20792206675127</v>
      </c>
      <c r="AI316" s="527">
        <f t="shared" si="457"/>
        <v>-109.20792206675127</v>
      </c>
      <c r="AJ316" s="527">
        <f t="shared" si="457"/>
        <v>-109.20792206675127</v>
      </c>
      <c r="AK316" s="527">
        <f t="shared" si="457"/>
        <v>-109.20792206675127</v>
      </c>
      <c r="AL316" s="527">
        <f t="shared" si="457"/>
        <v>-109.20792206675127</v>
      </c>
      <c r="AM316" s="527">
        <f t="shared" si="457"/>
        <v>-109.20792206675127</v>
      </c>
      <c r="AN316" s="527">
        <f t="shared" si="457"/>
        <v>-109.20792206675127</v>
      </c>
      <c r="AO316" s="527">
        <f t="shared" si="457"/>
        <v>-109.20792206675127</v>
      </c>
      <c r="AP316" s="527">
        <f t="shared" si="457"/>
        <v>-109.20792206675127</v>
      </c>
      <c r="AQ316" s="527">
        <f t="shared" si="457"/>
        <v>-109.20792206675127</v>
      </c>
      <c r="AR316" s="527">
        <f t="shared" si="457"/>
        <v>-109.20792206675127</v>
      </c>
      <c r="AS316" s="527">
        <f t="shared" si="457"/>
        <v>-109.20792206675127</v>
      </c>
      <c r="AT316" s="527">
        <f t="shared" si="457"/>
        <v>-109.20792206675127</v>
      </c>
      <c r="AU316" s="527">
        <f t="shared" si="457"/>
        <v>-109.20792206675127</v>
      </c>
      <c r="AV316" s="527">
        <f t="shared" si="457"/>
        <v>-131.13694910219027</v>
      </c>
      <c r="AW316" s="527">
        <f t="shared" si="457"/>
        <v>-131.13694910219027</v>
      </c>
      <c r="AX316" s="527">
        <f t="shared" ref="AX316:BY316" si="458">(AX284-AX292)*AX$234</f>
        <v>-131.13694910219027</v>
      </c>
      <c r="AY316" s="527">
        <f t="shared" si="458"/>
        <v>-131.13694910219027</v>
      </c>
      <c r="AZ316" s="527">
        <f t="shared" si="458"/>
        <v>-131.13694910219027</v>
      </c>
      <c r="BA316" s="527">
        <f t="shared" si="458"/>
        <v>-131.13694910219027</v>
      </c>
      <c r="BB316" s="527">
        <f t="shared" si="458"/>
        <v>-126.04508114353858</v>
      </c>
      <c r="BC316" s="527">
        <f t="shared" si="458"/>
        <v>-126.04508114353858</v>
      </c>
      <c r="BD316" s="527">
        <f t="shared" si="458"/>
        <v>-126.04508114353858</v>
      </c>
      <c r="BE316" s="527">
        <f t="shared" si="458"/>
        <v>-126.04508114353858</v>
      </c>
      <c r="BF316" s="527">
        <f t="shared" si="458"/>
        <v>-126.04508114353858</v>
      </c>
      <c r="BG316" s="527">
        <f t="shared" si="458"/>
        <v>-126.04508114353858</v>
      </c>
      <c r="BH316" s="527">
        <f t="shared" si="458"/>
        <v>-131.67049156201529</v>
      </c>
      <c r="BI316" s="527">
        <f t="shared" si="458"/>
        <v>-131.67049156201529</v>
      </c>
      <c r="BJ316" s="527">
        <f t="shared" si="458"/>
        <v>-131.67049156201529</v>
      </c>
      <c r="BK316" s="527">
        <f t="shared" si="458"/>
        <v>-131.67049156201529</v>
      </c>
      <c r="BL316" s="527">
        <f t="shared" si="458"/>
        <v>-131.67049156201529</v>
      </c>
      <c r="BM316" s="527">
        <f t="shared" si="458"/>
        <v>-131.67049156201529</v>
      </c>
      <c r="BN316" s="527">
        <f t="shared" si="458"/>
        <v>-126.77306481855078</v>
      </c>
      <c r="BO316" s="527">
        <f t="shared" si="458"/>
        <v>-126.77306481855078</v>
      </c>
      <c r="BP316" s="527">
        <f t="shared" si="458"/>
        <v>-126.77306481855078</v>
      </c>
      <c r="BQ316" s="527">
        <f t="shared" si="458"/>
        <v>-126.77306481855078</v>
      </c>
      <c r="BR316" s="527">
        <f t="shared" si="458"/>
        <v>-126.77306481855078</v>
      </c>
      <c r="BS316" s="527">
        <f t="shared" si="458"/>
        <v>-126.77306481855078</v>
      </c>
      <c r="BT316" s="527">
        <f t="shared" si="458"/>
        <v>-132.35917786911372</v>
      </c>
      <c r="BU316" s="527">
        <f t="shared" si="458"/>
        <v>-132.35917786911372</v>
      </c>
      <c r="BV316" s="527">
        <f t="shared" si="458"/>
        <v>-132.35917786911372</v>
      </c>
      <c r="BW316" s="527">
        <f t="shared" si="458"/>
        <v>-132.35917786911372</v>
      </c>
      <c r="BX316" s="527">
        <f t="shared" si="458"/>
        <v>-132.35917786911372</v>
      </c>
      <c r="BY316" s="527">
        <f t="shared" si="458"/>
        <v>-132.35917786911372</v>
      </c>
    </row>
    <row r="317" spans="1:77" x14ac:dyDescent="0.3">
      <c r="A317" s="551"/>
      <c r="B317" s="548"/>
      <c r="C317" s="525"/>
      <c r="D317" s="525"/>
      <c r="E317" s="630" t="str">
        <f>"WSM discounts: "&amp;E$158</f>
        <v>WSM discounts: FY30 Tranche</v>
      </c>
      <c r="F317" s="525"/>
      <c r="G317" s="525"/>
      <c r="H317" s="525"/>
      <c r="I317" s="525"/>
      <c r="J317" s="525"/>
      <c r="K317" s="525"/>
      <c r="L317" s="525"/>
      <c r="M317" s="525"/>
      <c r="N317" s="525"/>
      <c r="O317" s="525"/>
      <c r="P317" s="565"/>
      <c r="Q317" s="525"/>
      <c r="R317" s="527">
        <f t="shared" ref="R317:AW317" si="459">(R285-R293)*R$234</f>
        <v>-109.20792206675127</v>
      </c>
      <c r="S317" s="527">
        <f t="shared" si="459"/>
        <v>-109.20792206675127</v>
      </c>
      <c r="T317" s="527">
        <f t="shared" si="459"/>
        <v>-109.20792206675127</v>
      </c>
      <c r="U317" s="527">
        <f t="shared" si="459"/>
        <v>-109.20792206675127</v>
      </c>
      <c r="V317" s="527">
        <f t="shared" si="459"/>
        <v>-109.20792206675127</v>
      </c>
      <c r="W317" s="527">
        <f t="shared" si="459"/>
        <v>-109.20792206675127</v>
      </c>
      <c r="X317" s="527">
        <f t="shared" si="459"/>
        <v>-109.20792206675127</v>
      </c>
      <c r="Y317" s="527">
        <f t="shared" si="459"/>
        <v>-109.20792206675127</v>
      </c>
      <c r="Z317" s="527">
        <f t="shared" si="459"/>
        <v>-109.20792206675127</v>
      </c>
      <c r="AA317" s="527">
        <f t="shared" si="459"/>
        <v>-109.20792206675127</v>
      </c>
      <c r="AB317" s="527">
        <f t="shared" si="459"/>
        <v>-109.20792206675127</v>
      </c>
      <c r="AC317" s="527">
        <f t="shared" si="459"/>
        <v>-109.20792206675127</v>
      </c>
      <c r="AD317" s="527">
        <f t="shared" si="459"/>
        <v>-109.20792206675127</v>
      </c>
      <c r="AE317" s="527">
        <f t="shared" si="459"/>
        <v>-109.20792206675127</v>
      </c>
      <c r="AF317" s="527">
        <f t="shared" si="459"/>
        <v>-109.20792206675127</v>
      </c>
      <c r="AG317" s="527">
        <f t="shared" si="459"/>
        <v>-109.20792206675127</v>
      </c>
      <c r="AH317" s="527">
        <f t="shared" si="459"/>
        <v>-109.20792206675127</v>
      </c>
      <c r="AI317" s="527">
        <f t="shared" si="459"/>
        <v>-109.20792206675127</v>
      </c>
      <c r="AJ317" s="527">
        <f t="shared" si="459"/>
        <v>-109.20792206675127</v>
      </c>
      <c r="AK317" s="527">
        <f t="shared" si="459"/>
        <v>-109.20792206675127</v>
      </c>
      <c r="AL317" s="527">
        <f t="shared" si="459"/>
        <v>-109.20792206675127</v>
      </c>
      <c r="AM317" s="527">
        <f t="shared" si="459"/>
        <v>-109.20792206675127</v>
      </c>
      <c r="AN317" s="527">
        <f t="shared" si="459"/>
        <v>-109.20792206675127</v>
      </c>
      <c r="AO317" s="527">
        <f t="shared" si="459"/>
        <v>-109.20792206675127</v>
      </c>
      <c r="AP317" s="527">
        <f t="shared" si="459"/>
        <v>-109.20792206675127</v>
      </c>
      <c r="AQ317" s="527">
        <f t="shared" si="459"/>
        <v>-109.20792206675127</v>
      </c>
      <c r="AR317" s="527">
        <f t="shared" si="459"/>
        <v>-109.20792206675127</v>
      </c>
      <c r="AS317" s="527">
        <f t="shared" si="459"/>
        <v>-109.20792206675127</v>
      </c>
      <c r="AT317" s="527">
        <f t="shared" si="459"/>
        <v>-109.20792206675127</v>
      </c>
      <c r="AU317" s="527">
        <f t="shared" si="459"/>
        <v>-109.20792206675127</v>
      </c>
      <c r="AV317" s="527">
        <f t="shared" si="459"/>
        <v>-109.20792206675127</v>
      </c>
      <c r="AW317" s="527">
        <f t="shared" si="459"/>
        <v>-109.20792206675127</v>
      </c>
      <c r="AX317" s="527">
        <f t="shared" ref="AX317:BY317" si="460">(AX285-AX293)*AX$234</f>
        <v>-109.20792206675127</v>
      </c>
      <c r="AY317" s="527">
        <f t="shared" si="460"/>
        <v>-109.20792206675127</v>
      </c>
      <c r="AZ317" s="527">
        <f t="shared" si="460"/>
        <v>-109.20792206675127</v>
      </c>
      <c r="BA317" s="527">
        <f t="shared" si="460"/>
        <v>-109.20792206675127</v>
      </c>
      <c r="BB317" s="527">
        <f t="shared" si="460"/>
        <v>-109.20792206675127</v>
      </c>
      <c r="BC317" s="527">
        <f t="shared" si="460"/>
        <v>-109.20792206675127</v>
      </c>
      <c r="BD317" s="527">
        <f t="shared" si="460"/>
        <v>-109.20792206675127</v>
      </c>
      <c r="BE317" s="527">
        <f t="shared" si="460"/>
        <v>-109.20792206675127</v>
      </c>
      <c r="BF317" s="527">
        <f t="shared" si="460"/>
        <v>-109.20792206675127</v>
      </c>
      <c r="BG317" s="527">
        <f t="shared" si="460"/>
        <v>-109.20792206675127</v>
      </c>
      <c r="BH317" s="527">
        <f t="shared" si="460"/>
        <v>-130.56935767340238</v>
      </c>
      <c r="BI317" s="527">
        <f t="shared" si="460"/>
        <v>-130.56935767340238</v>
      </c>
      <c r="BJ317" s="527">
        <f t="shared" si="460"/>
        <v>-130.56935767340238</v>
      </c>
      <c r="BK317" s="527">
        <f t="shared" si="460"/>
        <v>-130.56935767340238</v>
      </c>
      <c r="BL317" s="527">
        <f t="shared" si="460"/>
        <v>-130.56935767340238</v>
      </c>
      <c r="BM317" s="527">
        <f t="shared" si="460"/>
        <v>-130.56935767340238</v>
      </c>
      <c r="BN317" s="527">
        <f t="shared" si="460"/>
        <v>-125.72167855924874</v>
      </c>
      <c r="BO317" s="527">
        <f t="shared" si="460"/>
        <v>-125.72167855924874</v>
      </c>
      <c r="BP317" s="527">
        <f t="shared" si="460"/>
        <v>-125.72167855924874</v>
      </c>
      <c r="BQ317" s="527">
        <f t="shared" si="460"/>
        <v>-125.72167855924874</v>
      </c>
      <c r="BR317" s="527">
        <f t="shared" si="460"/>
        <v>-125.72167855924874</v>
      </c>
      <c r="BS317" s="527">
        <f t="shared" si="460"/>
        <v>-125.72167855924874</v>
      </c>
      <c r="BT317" s="527">
        <f t="shared" si="460"/>
        <v>-131.26573615943957</v>
      </c>
      <c r="BU317" s="527">
        <f t="shared" si="460"/>
        <v>-131.26573615943957</v>
      </c>
      <c r="BV317" s="527">
        <f t="shared" si="460"/>
        <v>-131.26573615943957</v>
      </c>
      <c r="BW317" s="527">
        <f t="shared" si="460"/>
        <v>-131.26573615943957</v>
      </c>
      <c r="BX317" s="527">
        <f t="shared" si="460"/>
        <v>-131.26573615943957</v>
      </c>
      <c r="BY317" s="527">
        <f t="shared" si="460"/>
        <v>-131.26573615943957</v>
      </c>
    </row>
    <row r="318" spans="1:77" x14ac:dyDescent="0.3">
      <c r="A318" s="551"/>
      <c r="B318" s="548"/>
      <c r="C318" s="525"/>
      <c r="D318" s="525"/>
      <c r="E318" s="630" t="str">
        <f>"WSM discounts: "&amp;E$159</f>
        <v>WSM discounts: FY31 Tranche</v>
      </c>
      <c r="F318" s="525"/>
      <c r="G318" s="525"/>
      <c r="H318" s="525"/>
      <c r="I318" s="525"/>
      <c r="J318" s="525"/>
      <c r="K318" s="525"/>
      <c r="L318" s="525"/>
      <c r="M318" s="525"/>
      <c r="N318" s="525"/>
      <c r="O318" s="525"/>
      <c r="P318" s="565"/>
      <c r="Q318" s="525"/>
      <c r="R318" s="527">
        <f t="shared" ref="R318:AW318" si="461">(R286-R294)*R$234</f>
        <v>-109.20792206675127</v>
      </c>
      <c r="S318" s="527">
        <f t="shared" si="461"/>
        <v>-109.20792206675127</v>
      </c>
      <c r="T318" s="527">
        <f t="shared" si="461"/>
        <v>-109.20792206675127</v>
      </c>
      <c r="U318" s="527">
        <f t="shared" si="461"/>
        <v>-109.20792206675127</v>
      </c>
      <c r="V318" s="527">
        <f t="shared" si="461"/>
        <v>-109.20792206675127</v>
      </c>
      <c r="W318" s="527">
        <f t="shared" si="461"/>
        <v>-109.20792206675127</v>
      </c>
      <c r="X318" s="527">
        <f t="shared" si="461"/>
        <v>-109.20792206675127</v>
      </c>
      <c r="Y318" s="527">
        <f t="shared" si="461"/>
        <v>-109.20792206675127</v>
      </c>
      <c r="Z318" s="527">
        <f t="shared" si="461"/>
        <v>-109.20792206675127</v>
      </c>
      <c r="AA318" s="527">
        <f t="shared" si="461"/>
        <v>-109.20792206675127</v>
      </c>
      <c r="AB318" s="527">
        <f t="shared" si="461"/>
        <v>-109.20792206675127</v>
      </c>
      <c r="AC318" s="527">
        <f t="shared" si="461"/>
        <v>-109.20792206675127</v>
      </c>
      <c r="AD318" s="527">
        <f t="shared" si="461"/>
        <v>-109.20792206675127</v>
      </c>
      <c r="AE318" s="527">
        <f t="shared" si="461"/>
        <v>-109.20792206675127</v>
      </c>
      <c r="AF318" s="527">
        <f t="shared" si="461"/>
        <v>-109.20792206675127</v>
      </c>
      <c r="AG318" s="527">
        <f t="shared" si="461"/>
        <v>-109.20792206675127</v>
      </c>
      <c r="AH318" s="527">
        <f t="shared" si="461"/>
        <v>-109.20792206675127</v>
      </c>
      <c r="AI318" s="527">
        <f t="shared" si="461"/>
        <v>-109.20792206675127</v>
      </c>
      <c r="AJ318" s="527">
        <f t="shared" si="461"/>
        <v>-109.20792206675127</v>
      </c>
      <c r="AK318" s="527">
        <f t="shared" si="461"/>
        <v>-109.20792206675127</v>
      </c>
      <c r="AL318" s="527">
        <f t="shared" si="461"/>
        <v>-109.20792206675127</v>
      </c>
      <c r="AM318" s="527">
        <f t="shared" si="461"/>
        <v>-109.20792206675127</v>
      </c>
      <c r="AN318" s="527">
        <f t="shared" si="461"/>
        <v>-109.20792206675127</v>
      </c>
      <c r="AO318" s="527">
        <f t="shared" si="461"/>
        <v>-109.20792206675127</v>
      </c>
      <c r="AP318" s="527">
        <f t="shared" si="461"/>
        <v>-109.20792206675127</v>
      </c>
      <c r="AQ318" s="527">
        <f t="shared" si="461"/>
        <v>-109.20792206675127</v>
      </c>
      <c r="AR318" s="527">
        <f t="shared" si="461"/>
        <v>-109.20792206675127</v>
      </c>
      <c r="AS318" s="527">
        <f t="shared" si="461"/>
        <v>-109.20792206675127</v>
      </c>
      <c r="AT318" s="527">
        <f t="shared" si="461"/>
        <v>-109.20792206675127</v>
      </c>
      <c r="AU318" s="527">
        <f t="shared" si="461"/>
        <v>-109.20792206675127</v>
      </c>
      <c r="AV318" s="527">
        <f t="shared" si="461"/>
        <v>-109.20792206675127</v>
      </c>
      <c r="AW318" s="527">
        <f t="shared" si="461"/>
        <v>-109.20792206675127</v>
      </c>
      <c r="AX318" s="527">
        <f t="shared" ref="AX318:BY318" si="462">(AX286-AX294)*AX$234</f>
        <v>-109.20792206675127</v>
      </c>
      <c r="AY318" s="527">
        <f t="shared" si="462"/>
        <v>-109.20792206675127</v>
      </c>
      <c r="AZ318" s="527">
        <f t="shared" si="462"/>
        <v>-109.20792206675127</v>
      </c>
      <c r="BA318" s="527">
        <f t="shared" si="462"/>
        <v>-109.20792206675127</v>
      </c>
      <c r="BB318" s="527">
        <f t="shared" si="462"/>
        <v>-109.20792206675127</v>
      </c>
      <c r="BC318" s="527">
        <f t="shared" si="462"/>
        <v>-109.20792206675127</v>
      </c>
      <c r="BD318" s="527">
        <f t="shared" si="462"/>
        <v>-109.20792206675127</v>
      </c>
      <c r="BE318" s="527">
        <f t="shared" si="462"/>
        <v>-109.20792206675127</v>
      </c>
      <c r="BF318" s="527">
        <f t="shared" si="462"/>
        <v>-109.20792206675127</v>
      </c>
      <c r="BG318" s="527">
        <f t="shared" si="462"/>
        <v>-109.20792206675127</v>
      </c>
      <c r="BH318" s="527">
        <f t="shared" si="462"/>
        <v>-109.20792206675127</v>
      </c>
      <c r="BI318" s="527">
        <f t="shared" si="462"/>
        <v>-109.20792206675127</v>
      </c>
      <c r="BJ318" s="527">
        <f t="shared" si="462"/>
        <v>-109.20792206675127</v>
      </c>
      <c r="BK318" s="527">
        <f t="shared" si="462"/>
        <v>-109.20792206675127</v>
      </c>
      <c r="BL318" s="527">
        <f t="shared" si="462"/>
        <v>-109.20792206675127</v>
      </c>
      <c r="BM318" s="527">
        <f t="shared" si="462"/>
        <v>-109.20792206675127</v>
      </c>
      <c r="BN318" s="527">
        <f t="shared" si="462"/>
        <v>-109.20792206675127</v>
      </c>
      <c r="BO318" s="527">
        <f t="shared" si="462"/>
        <v>-109.20792206675127</v>
      </c>
      <c r="BP318" s="527">
        <f t="shared" si="462"/>
        <v>-109.20792206675127</v>
      </c>
      <c r="BQ318" s="527">
        <f t="shared" si="462"/>
        <v>-109.20792206675127</v>
      </c>
      <c r="BR318" s="527">
        <f t="shared" si="462"/>
        <v>-109.20792206675127</v>
      </c>
      <c r="BS318" s="527">
        <f t="shared" si="462"/>
        <v>-109.20792206675127</v>
      </c>
      <c r="BT318" s="527">
        <f t="shared" si="462"/>
        <v>-130.00233388218444</v>
      </c>
      <c r="BU318" s="527">
        <f t="shared" si="462"/>
        <v>-130.00233388218444</v>
      </c>
      <c r="BV318" s="527">
        <f t="shared" si="462"/>
        <v>-130.00233388218444</v>
      </c>
      <c r="BW318" s="527">
        <f t="shared" si="462"/>
        <v>-130.00233388218444</v>
      </c>
      <c r="BX318" s="527">
        <f t="shared" si="462"/>
        <v>-130.00233388218444</v>
      </c>
      <c r="BY318" s="527">
        <f t="shared" si="462"/>
        <v>-130.00233388218444</v>
      </c>
    </row>
    <row r="319" spans="1:77" x14ac:dyDescent="0.3">
      <c r="A319" s="551"/>
      <c r="B319" s="548"/>
      <c r="C319" s="525"/>
      <c r="D319" s="525"/>
      <c r="E319" s="630" t="str">
        <f>"WSM discounts: "&amp;E$160</f>
        <v>WSM discounts: Uninvested Tranche</v>
      </c>
      <c r="F319" s="525"/>
      <c r="G319" s="525"/>
      <c r="H319" s="525"/>
      <c r="I319" s="525"/>
      <c r="J319" s="525"/>
      <c r="K319" s="525"/>
      <c r="L319" s="525"/>
      <c r="M319" s="525"/>
      <c r="N319" s="525"/>
      <c r="O319" s="525"/>
      <c r="P319" s="565"/>
      <c r="Q319" s="525"/>
      <c r="R319" s="527">
        <f t="shared" ref="R319:AW319" si="463">(R287-R295)*R$234</f>
        <v>-300.32178568356608</v>
      </c>
      <c r="S319" s="527">
        <f t="shared" si="463"/>
        <v>-300.32178568356608</v>
      </c>
      <c r="T319" s="527">
        <f t="shared" si="463"/>
        <v>-300.32178568356608</v>
      </c>
      <c r="U319" s="527">
        <f t="shared" si="463"/>
        <v>-300.32178568356608</v>
      </c>
      <c r="V319" s="527">
        <f t="shared" si="463"/>
        <v>-300.32178568356608</v>
      </c>
      <c r="W319" s="527">
        <f t="shared" si="463"/>
        <v>-300.32178568356608</v>
      </c>
      <c r="X319" s="527">
        <f t="shared" si="463"/>
        <v>-300.32178568356608</v>
      </c>
      <c r="Y319" s="527">
        <f t="shared" si="463"/>
        <v>-300.32178568356608</v>
      </c>
      <c r="Z319" s="527">
        <f t="shared" si="463"/>
        <v>-300.32178568356608</v>
      </c>
      <c r="AA319" s="527">
        <f t="shared" si="463"/>
        <v>-300.32178568356608</v>
      </c>
      <c r="AB319" s="527">
        <f t="shared" si="463"/>
        <v>-300.32178568356608</v>
      </c>
      <c r="AC319" s="527">
        <f t="shared" si="463"/>
        <v>-300.32178568356608</v>
      </c>
      <c r="AD319" s="527">
        <f t="shared" si="463"/>
        <v>-300.32178568356608</v>
      </c>
      <c r="AE319" s="527">
        <f t="shared" si="463"/>
        <v>-300.32178568356608</v>
      </c>
      <c r="AF319" s="527">
        <f t="shared" si="463"/>
        <v>-300.32178568356608</v>
      </c>
      <c r="AG319" s="527">
        <f t="shared" si="463"/>
        <v>-300.32178568356608</v>
      </c>
      <c r="AH319" s="527">
        <f t="shared" si="463"/>
        <v>-300.32178568356608</v>
      </c>
      <c r="AI319" s="527">
        <f t="shared" si="463"/>
        <v>-300.32178568356608</v>
      </c>
      <c r="AJ319" s="527">
        <f t="shared" si="463"/>
        <v>-300.32178568356608</v>
      </c>
      <c r="AK319" s="527">
        <f t="shared" si="463"/>
        <v>-300.32178568356608</v>
      </c>
      <c r="AL319" s="527">
        <f t="shared" si="463"/>
        <v>-300.32178568356608</v>
      </c>
      <c r="AM319" s="527">
        <f t="shared" si="463"/>
        <v>-300.32178568356608</v>
      </c>
      <c r="AN319" s="527">
        <f t="shared" si="463"/>
        <v>-300.32178568356608</v>
      </c>
      <c r="AO319" s="527">
        <f t="shared" si="463"/>
        <v>-300.32178568356608</v>
      </c>
      <c r="AP319" s="527">
        <f t="shared" si="463"/>
        <v>-300.32178568356608</v>
      </c>
      <c r="AQ319" s="527">
        <f t="shared" si="463"/>
        <v>-300.32178568356608</v>
      </c>
      <c r="AR319" s="527">
        <f t="shared" si="463"/>
        <v>-300.32178568356608</v>
      </c>
      <c r="AS319" s="527">
        <f t="shared" si="463"/>
        <v>-300.32178568356608</v>
      </c>
      <c r="AT319" s="527">
        <f t="shared" si="463"/>
        <v>-300.32178568356608</v>
      </c>
      <c r="AU319" s="527">
        <f t="shared" si="463"/>
        <v>-300.32178568356608</v>
      </c>
      <c r="AV319" s="527">
        <f t="shared" si="463"/>
        <v>-300.32178568356608</v>
      </c>
      <c r="AW319" s="527">
        <f t="shared" si="463"/>
        <v>-300.32178568356608</v>
      </c>
      <c r="AX319" s="527">
        <f t="shared" ref="AX319:BY319" si="464">(AX287-AX295)*AX$234</f>
        <v>-300.32178568356608</v>
      </c>
      <c r="AY319" s="527">
        <f t="shared" si="464"/>
        <v>-300.32178568356608</v>
      </c>
      <c r="AZ319" s="527">
        <f t="shared" si="464"/>
        <v>-300.32178568356608</v>
      </c>
      <c r="BA319" s="527">
        <f t="shared" si="464"/>
        <v>-300.32178568356608</v>
      </c>
      <c r="BB319" s="527">
        <f t="shared" si="464"/>
        <v>-300.32178568356608</v>
      </c>
      <c r="BC319" s="527">
        <f t="shared" si="464"/>
        <v>-300.32178568356608</v>
      </c>
      <c r="BD319" s="527">
        <f t="shared" si="464"/>
        <v>-300.32178568356608</v>
      </c>
      <c r="BE319" s="527">
        <f t="shared" si="464"/>
        <v>-300.32178568356608</v>
      </c>
      <c r="BF319" s="527">
        <f t="shared" si="464"/>
        <v>-300.32178568356608</v>
      </c>
      <c r="BG319" s="527">
        <f t="shared" si="464"/>
        <v>-300.32178568356608</v>
      </c>
      <c r="BH319" s="527">
        <f t="shared" si="464"/>
        <v>-300.32178568356608</v>
      </c>
      <c r="BI319" s="527">
        <f t="shared" si="464"/>
        <v>-300.32178568356608</v>
      </c>
      <c r="BJ319" s="527">
        <f t="shared" si="464"/>
        <v>-300.32178568356608</v>
      </c>
      <c r="BK319" s="527">
        <f t="shared" si="464"/>
        <v>-300.32178568356608</v>
      </c>
      <c r="BL319" s="527">
        <f t="shared" si="464"/>
        <v>-300.32178568356608</v>
      </c>
      <c r="BM319" s="527">
        <f t="shared" si="464"/>
        <v>-300.32178568356608</v>
      </c>
      <c r="BN319" s="527">
        <f t="shared" si="464"/>
        <v>-300.32178568356608</v>
      </c>
      <c r="BO319" s="527">
        <f t="shared" si="464"/>
        <v>-300.32178568356608</v>
      </c>
      <c r="BP319" s="527">
        <f t="shared" si="464"/>
        <v>-300.32178568356608</v>
      </c>
      <c r="BQ319" s="527">
        <f t="shared" si="464"/>
        <v>-300.32178568356608</v>
      </c>
      <c r="BR319" s="527">
        <f t="shared" si="464"/>
        <v>-300.32178568356608</v>
      </c>
      <c r="BS319" s="527">
        <f t="shared" si="464"/>
        <v>-300.32178568356608</v>
      </c>
      <c r="BT319" s="527">
        <f t="shared" si="464"/>
        <v>-300.32178568356608</v>
      </c>
      <c r="BU319" s="527">
        <f t="shared" si="464"/>
        <v>-300.32178568356608</v>
      </c>
      <c r="BV319" s="527">
        <f t="shared" si="464"/>
        <v>-300.32178568356608</v>
      </c>
      <c r="BW319" s="527">
        <f t="shared" si="464"/>
        <v>-300.32178568356608</v>
      </c>
      <c r="BX319" s="527">
        <f t="shared" si="464"/>
        <v>-300.32178568356608</v>
      </c>
      <c r="BY319" s="527">
        <f t="shared" si="464"/>
        <v>-300.32178568356608</v>
      </c>
    </row>
    <row r="320" spans="1:77" x14ac:dyDescent="0.3">
      <c r="A320" s="551"/>
      <c r="B320" s="548"/>
      <c r="C320" s="525"/>
      <c r="D320" s="525"/>
      <c r="E320" s="572" t="s">
        <v>36</v>
      </c>
      <c r="F320" s="572"/>
      <c r="G320" s="572"/>
      <c r="H320" s="572"/>
      <c r="I320" s="572"/>
      <c r="J320" s="572"/>
      <c r="K320" s="572"/>
      <c r="L320" s="572"/>
      <c r="M320" s="572"/>
      <c r="N320" s="572"/>
      <c r="O320" s="572"/>
      <c r="P320" s="612"/>
      <c r="Q320" s="572"/>
      <c r="R320" s="530">
        <f t="shared" ref="R320:AW320" si="465">SUM(R314:R319)</f>
        <v>-846.36139601732236</v>
      </c>
      <c r="S320" s="530">
        <f t="shared" si="465"/>
        <v>-846.36139601732236</v>
      </c>
      <c r="T320" s="530">
        <f t="shared" si="465"/>
        <v>-846.36139601732236</v>
      </c>
      <c r="U320" s="530">
        <f t="shared" si="465"/>
        <v>-846.36139601732236</v>
      </c>
      <c r="V320" s="530">
        <f t="shared" si="465"/>
        <v>-846.36139601732236</v>
      </c>
      <c r="W320" s="530">
        <f t="shared" si="465"/>
        <v>-846.36139601732236</v>
      </c>
      <c r="X320" s="530">
        <f t="shared" si="465"/>
        <v>-869.5457230490149</v>
      </c>
      <c r="Y320" s="530">
        <f t="shared" si="465"/>
        <v>-869.5457230490149</v>
      </c>
      <c r="Z320" s="530">
        <f t="shared" si="465"/>
        <v>-869.5457230490149</v>
      </c>
      <c r="AA320" s="530">
        <f t="shared" si="465"/>
        <v>-869.5457230490149</v>
      </c>
      <c r="AB320" s="530">
        <f t="shared" si="465"/>
        <v>-869.5457230490149</v>
      </c>
      <c r="AC320" s="530">
        <f t="shared" si="465"/>
        <v>-869.5457230490149</v>
      </c>
      <c r="AD320" s="530">
        <f t="shared" si="465"/>
        <v>-863.54174216280933</v>
      </c>
      <c r="AE320" s="530">
        <f t="shared" si="465"/>
        <v>-863.54174216280933</v>
      </c>
      <c r="AF320" s="530">
        <f t="shared" si="465"/>
        <v>-863.54174216280933</v>
      </c>
      <c r="AG320" s="530">
        <f t="shared" si="465"/>
        <v>-863.54174216280933</v>
      </c>
      <c r="AH320" s="530">
        <f t="shared" si="465"/>
        <v>-863.54174216280933</v>
      </c>
      <c r="AI320" s="530">
        <f t="shared" si="465"/>
        <v>-863.54174216280933</v>
      </c>
      <c r="AJ320" s="530">
        <f t="shared" si="465"/>
        <v>-891.84479784374332</v>
      </c>
      <c r="AK320" s="530">
        <f t="shared" si="465"/>
        <v>-891.84479784374332</v>
      </c>
      <c r="AL320" s="530">
        <f t="shared" si="465"/>
        <v>-891.84479784374332</v>
      </c>
      <c r="AM320" s="530">
        <f t="shared" si="465"/>
        <v>-891.84479784374332</v>
      </c>
      <c r="AN320" s="530">
        <f t="shared" si="465"/>
        <v>-891.84479784374332</v>
      </c>
      <c r="AO320" s="530">
        <f t="shared" si="465"/>
        <v>-891.84479784374332</v>
      </c>
      <c r="AP320" s="530">
        <f t="shared" si="465"/>
        <v>-880.55689030760141</v>
      </c>
      <c r="AQ320" s="530">
        <f t="shared" si="465"/>
        <v>-880.55689030760141</v>
      </c>
      <c r="AR320" s="530">
        <f t="shared" si="465"/>
        <v>-880.55689030760141</v>
      </c>
      <c r="AS320" s="530">
        <f t="shared" si="465"/>
        <v>-880.55689030760141</v>
      </c>
      <c r="AT320" s="530">
        <f t="shared" si="465"/>
        <v>-880.55689030760141</v>
      </c>
      <c r="AU320" s="530">
        <f t="shared" si="465"/>
        <v>-880.55689030760141</v>
      </c>
      <c r="AV320" s="530">
        <f t="shared" si="465"/>
        <v>-913.88800136961004</v>
      </c>
      <c r="AW320" s="530">
        <f t="shared" si="465"/>
        <v>-913.88800136961004</v>
      </c>
      <c r="AX320" s="530">
        <f t="shared" ref="AX320:BY320" si="466">SUM(AX314:AX319)</f>
        <v>-913.88800136961004</v>
      </c>
      <c r="AY320" s="530">
        <f t="shared" si="466"/>
        <v>-913.88800136961004</v>
      </c>
      <c r="AZ320" s="530">
        <f t="shared" si="466"/>
        <v>-913.88800136961004</v>
      </c>
      <c r="BA320" s="530">
        <f t="shared" si="466"/>
        <v>-913.88800136961004</v>
      </c>
      <c r="BB320" s="530">
        <f t="shared" si="466"/>
        <v>-898.53304478474081</v>
      </c>
      <c r="BC320" s="530">
        <f t="shared" si="466"/>
        <v>-898.53304478474081</v>
      </c>
      <c r="BD320" s="530">
        <f t="shared" si="466"/>
        <v>-898.53304478474081</v>
      </c>
      <c r="BE320" s="530">
        <f t="shared" si="466"/>
        <v>-898.53304478474081</v>
      </c>
      <c r="BF320" s="530">
        <f t="shared" si="466"/>
        <v>-898.53304478474081</v>
      </c>
      <c r="BG320" s="530">
        <f t="shared" si="466"/>
        <v>-898.53304478474081</v>
      </c>
      <c r="BH320" s="530">
        <f t="shared" si="466"/>
        <v>-936.83711850830434</v>
      </c>
      <c r="BI320" s="530">
        <f t="shared" si="466"/>
        <v>-936.83711850830434</v>
      </c>
      <c r="BJ320" s="530">
        <f t="shared" si="466"/>
        <v>-936.83711850830434</v>
      </c>
      <c r="BK320" s="530">
        <f t="shared" si="466"/>
        <v>-936.83711850830434</v>
      </c>
      <c r="BL320" s="530">
        <f t="shared" si="466"/>
        <v>-936.83711850830434</v>
      </c>
      <c r="BM320" s="530">
        <f t="shared" si="466"/>
        <v>-936.83711850830434</v>
      </c>
      <c r="BN320" s="530">
        <f t="shared" si="466"/>
        <v>-917.21915486016167</v>
      </c>
      <c r="BO320" s="530">
        <f t="shared" si="466"/>
        <v>-917.21915486016167</v>
      </c>
      <c r="BP320" s="530">
        <f t="shared" si="466"/>
        <v>-917.21915486016167</v>
      </c>
      <c r="BQ320" s="530">
        <f t="shared" si="466"/>
        <v>-917.21915486016167</v>
      </c>
      <c r="BR320" s="530">
        <f t="shared" si="466"/>
        <v>-917.21915486016167</v>
      </c>
      <c r="BS320" s="530">
        <f t="shared" si="466"/>
        <v>-917.21915486016167</v>
      </c>
      <c r="BT320" s="530">
        <f t="shared" si="466"/>
        <v>-960.3819063912722</v>
      </c>
      <c r="BU320" s="530">
        <f t="shared" si="466"/>
        <v>-960.3819063912722</v>
      </c>
      <c r="BV320" s="530">
        <f t="shared" si="466"/>
        <v>-960.3819063912722</v>
      </c>
      <c r="BW320" s="530">
        <f t="shared" si="466"/>
        <v>-960.3819063912722</v>
      </c>
      <c r="BX320" s="530">
        <f t="shared" si="466"/>
        <v>-960.3819063912722</v>
      </c>
      <c r="BY320" s="530">
        <f t="shared" si="466"/>
        <v>-960.3819063912722</v>
      </c>
    </row>
    <row r="321" spans="1:77" x14ac:dyDescent="0.3">
      <c r="A321" s="551"/>
      <c r="B321" s="548"/>
      <c r="C321" s="525"/>
      <c r="D321" s="525"/>
      <c r="E321" s="525"/>
      <c r="F321" s="525"/>
      <c r="G321" s="525"/>
      <c r="H321" s="525"/>
      <c r="I321" s="525"/>
      <c r="J321" s="525"/>
      <c r="K321" s="525"/>
      <c r="L321" s="525"/>
      <c r="M321" s="525"/>
      <c r="N321" s="525"/>
      <c r="O321" s="525"/>
      <c r="P321" s="565"/>
      <c r="Q321" s="525"/>
      <c r="R321" s="525"/>
      <c r="S321" s="525"/>
      <c r="T321" s="525"/>
      <c r="U321" s="525"/>
      <c r="V321" s="525"/>
      <c r="W321" s="525"/>
      <c r="X321" s="525"/>
      <c r="Y321" s="525"/>
      <c r="Z321" s="525"/>
      <c r="AA321" s="525"/>
      <c r="AB321" s="525"/>
      <c r="AC321" s="525"/>
      <c r="AD321" s="525"/>
      <c r="AE321" s="525"/>
      <c r="AF321" s="525"/>
      <c r="AG321" s="525"/>
      <c r="AH321" s="525"/>
      <c r="AI321" s="525"/>
      <c r="AJ321" s="525"/>
      <c r="AK321" s="525"/>
      <c r="AL321" s="525"/>
      <c r="AM321" s="525"/>
      <c r="AN321" s="525"/>
      <c r="AO321" s="525"/>
      <c r="AP321" s="525"/>
      <c r="AQ321" s="525"/>
      <c r="AR321" s="525"/>
      <c r="AS321" s="525"/>
      <c r="AT321" s="525"/>
      <c r="AU321" s="525"/>
      <c r="AV321" s="525"/>
      <c r="AW321" s="525"/>
      <c r="AX321" s="525"/>
      <c r="AY321" s="525"/>
      <c r="AZ321" s="525"/>
      <c r="BA321" s="525"/>
      <c r="BB321" s="525"/>
      <c r="BC321" s="525"/>
      <c r="BD321" s="525"/>
      <c r="BE321" s="525"/>
      <c r="BF321" s="525"/>
      <c r="BG321" s="525"/>
      <c r="BH321" s="525"/>
      <c r="BI321" s="525"/>
      <c r="BJ321" s="525"/>
      <c r="BK321" s="525"/>
      <c r="BL321" s="525"/>
      <c r="BM321" s="525"/>
      <c r="BN321" s="525"/>
      <c r="BO321" s="525"/>
      <c r="BP321" s="525"/>
      <c r="BQ321" s="525"/>
      <c r="BR321" s="525"/>
      <c r="BS321" s="525"/>
      <c r="BT321" s="525"/>
      <c r="BU321" s="525"/>
      <c r="BV321" s="525"/>
      <c r="BW321" s="525"/>
      <c r="BX321" s="525"/>
      <c r="BY321" s="525"/>
    </row>
    <row r="322" spans="1:77" x14ac:dyDescent="0.3">
      <c r="A322" s="551"/>
      <c r="B322" s="548"/>
      <c r="C322" s="525"/>
      <c r="D322" s="525"/>
      <c r="E322" s="624" t="s">
        <v>108</v>
      </c>
      <c r="F322" s="624"/>
      <c r="G322" s="624"/>
      <c r="H322" s="624"/>
      <c r="I322" s="624"/>
      <c r="J322" s="624"/>
      <c r="K322" s="624"/>
      <c r="L322" s="624"/>
      <c r="M322" s="624"/>
      <c r="N322" s="624"/>
      <c r="O322" s="624"/>
      <c r="P322" s="625"/>
      <c r="Q322" s="624"/>
      <c r="R322" s="541">
        <f t="shared" ref="R322:AW322" si="467">R296+R304+R312+R320-R288</f>
        <v>0</v>
      </c>
      <c r="S322" s="541">
        <f t="shared" si="467"/>
        <v>0</v>
      </c>
      <c r="T322" s="541">
        <f t="shared" si="467"/>
        <v>0</v>
      </c>
      <c r="U322" s="541">
        <f t="shared" si="467"/>
        <v>0</v>
      </c>
      <c r="V322" s="541">
        <f t="shared" si="467"/>
        <v>0</v>
      </c>
      <c r="W322" s="541">
        <f t="shared" si="467"/>
        <v>0</v>
      </c>
      <c r="X322" s="541">
        <f t="shared" si="467"/>
        <v>0</v>
      </c>
      <c r="Y322" s="541">
        <f t="shared" si="467"/>
        <v>0</v>
      </c>
      <c r="Z322" s="541">
        <f t="shared" si="467"/>
        <v>0</v>
      </c>
      <c r="AA322" s="541">
        <f t="shared" si="467"/>
        <v>0</v>
      </c>
      <c r="AB322" s="541">
        <f t="shared" si="467"/>
        <v>0</v>
      </c>
      <c r="AC322" s="541">
        <f t="shared" si="467"/>
        <v>0</v>
      </c>
      <c r="AD322" s="541">
        <f t="shared" si="467"/>
        <v>0</v>
      </c>
      <c r="AE322" s="541">
        <f t="shared" si="467"/>
        <v>0</v>
      </c>
      <c r="AF322" s="541">
        <f t="shared" si="467"/>
        <v>0</v>
      </c>
      <c r="AG322" s="541">
        <f t="shared" si="467"/>
        <v>0</v>
      </c>
      <c r="AH322" s="541">
        <f t="shared" si="467"/>
        <v>0</v>
      </c>
      <c r="AI322" s="541">
        <f t="shared" si="467"/>
        <v>0</v>
      </c>
      <c r="AJ322" s="541">
        <f t="shared" si="467"/>
        <v>0</v>
      </c>
      <c r="AK322" s="541">
        <f t="shared" si="467"/>
        <v>0</v>
      </c>
      <c r="AL322" s="541">
        <f t="shared" si="467"/>
        <v>0</v>
      </c>
      <c r="AM322" s="541">
        <f t="shared" si="467"/>
        <v>0</v>
      </c>
      <c r="AN322" s="541">
        <f t="shared" si="467"/>
        <v>0</v>
      </c>
      <c r="AO322" s="541">
        <f t="shared" si="467"/>
        <v>0</v>
      </c>
      <c r="AP322" s="541">
        <f t="shared" si="467"/>
        <v>0</v>
      </c>
      <c r="AQ322" s="541">
        <f t="shared" si="467"/>
        <v>0</v>
      </c>
      <c r="AR322" s="541">
        <f t="shared" si="467"/>
        <v>0</v>
      </c>
      <c r="AS322" s="541">
        <f t="shared" si="467"/>
        <v>0</v>
      </c>
      <c r="AT322" s="541">
        <f t="shared" si="467"/>
        <v>0</v>
      </c>
      <c r="AU322" s="541">
        <f t="shared" si="467"/>
        <v>0</v>
      </c>
      <c r="AV322" s="541">
        <f t="shared" si="467"/>
        <v>0</v>
      </c>
      <c r="AW322" s="541">
        <f t="shared" si="467"/>
        <v>0</v>
      </c>
      <c r="AX322" s="541">
        <f t="shared" ref="AX322:BY322" si="468">AX296+AX304+AX312+AX320-AX288</f>
        <v>0</v>
      </c>
      <c r="AY322" s="541">
        <f t="shared" si="468"/>
        <v>0</v>
      </c>
      <c r="AZ322" s="541">
        <f t="shared" si="468"/>
        <v>0</v>
      </c>
      <c r="BA322" s="541">
        <f t="shared" si="468"/>
        <v>0</v>
      </c>
      <c r="BB322" s="541">
        <f t="shared" si="468"/>
        <v>0</v>
      </c>
      <c r="BC322" s="541">
        <f t="shared" si="468"/>
        <v>0</v>
      </c>
      <c r="BD322" s="541">
        <f t="shared" si="468"/>
        <v>0</v>
      </c>
      <c r="BE322" s="541">
        <f t="shared" si="468"/>
        <v>0</v>
      </c>
      <c r="BF322" s="541">
        <f t="shared" si="468"/>
        <v>0</v>
      </c>
      <c r="BG322" s="541">
        <f t="shared" si="468"/>
        <v>0</v>
      </c>
      <c r="BH322" s="541">
        <f t="shared" si="468"/>
        <v>0</v>
      </c>
      <c r="BI322" s="541">
        <f t="shared" si="468"/>
        <v>0</v>
      </c>
      <c r="BJ322" s="541">
        <f t="shared" si="468"/>
        <v>0</v>
      </c>
      <c r="BK322" s="541">
        <f t="shared" si="468"/>
        <v>0</v>
      </c>
      <c r="BL322" s="541">
        <f t="shared" si="468"/>
        <v>0</v>
      </c>
      <c r="BM322" s="541">
        <f t="shared" si="468"/>
        <v>0</v>
      </c>
      <c r="BN322" s="541">
        <f t="shared" si="468"/>
        <v>0</v>
      </c>
      <c r="BO322" s="541">
        <f t="shared" si="468"/>
        <v>0</v>
      </c>
      <c r="BP322" s="541">
        <f t="shared" si="468"/>
        <v>0</v>
      </c>
      <c r="BQ322" s="541">
        <f t="shared" si="468"/>
        <v>0</v>
      </c>
      <c r="BR322" s="541">
        <f t="shared" si="468"/>
        <v>0</v>
      </c>
      <c r="BS322" s="541">
        <f t="shared" si="468"/>
        <v>0</v>
      </c>
      <c r="BT322" s="541">
        <f t="shared" si="468"/>
        <v>0</v>
      </c>
      <c r="BU322" s="541">
        <f t="shared" si="468"/>
        <v>0</v>
      </c>
      <c r="BV322" s="541">
        <f t="shared" si="468"/>
        <v>0</v>
      </c>
      <c r="BW322" s="541">
        <f t="shared" si="468"/>
        <v>0</v>
      </c>
      <c r="BX322" s="541">
        <f t="shared" si="468"/>
        <v>0</v>
      </c>
      <c r="BY322" s="541">
        <f t="shared" si="468"/>
        <v>0</v>
      </c>
    </row>
    <row r="323" spans="1:77" x14ac:dyDescent="0.3">
      <c r="A323" s="551"/>
      <c r="B323" s="548"/>
      <c r="C323" s="525"/>
      <c r="D323" s="525"/>
      <c r="E323" s="525"/>
      <c r="F323" s="525"/>
      <c r="G323" s="525"/>
      <c r="H323" s="525"/>
      <c r="I323" s="525"/>
      <c r="J323" s="525"/>
      <c r="K323" s="525"/>
      <c r="L323" s="525"/>
      <c r="M323" s="525"/>
      <c r="N323" s="525"/>
      <c r="O323" s="525"/>
      <c r="P323" s="565"/>
      <c r="Q323" s="525"/>
      <c r="R323" s="525"/>
      <c r="S323" s="525"/>
      <c r="T323" s="525"/>
      <c r="U323" s="525"/>
      <c r="V323" s="525"/>
      <c r="W323" s="525"/>
      <c r="X323" s="525"/>
      <c r="Y323" s="525"/>
      <c r="Z323" s="525"/>
      <c r="AA323" s="525"/>
      <c r="AB323" s="525"/>
      <c r="AC323" s="525"/>
      <c r="AD323" s="525"/>
      <c r="AE323" s="525"/>
      <c r="AF323" s="525"/>
      <c r="AG323" s="525"/>
      <c r="AH323" s="525"/>
      <c r="AI323" s="525"/>
      <c r="AJ323" s="525"/>
      <c r="AK323" s="525"/>
      <c r="AL323" s="525"/>
      <c r="AM323" s="525"/>
      <c r="AN323" s="525"/>
      <c r="AO323" s="525"/>
      <c r="AP323" s="525"/>
      <c r="AQ323" s="525"/>
      <c r="AR323" s="525"/>
      <c r="AS323" s="525"/>
      <c r="AT323" s="525"/>
      <c r="AU323" s="525"/>
      <c r="AV323" s="525"/>
      <c r="AW323" s="525"/>
      <c r="AX323" s="525"/>
      <c r="AY323" s="525"/>
      <c r="AZ323" s="525"/>
      <c r="BA323" s="525"/>
      <c r="BB323" s="525"/>
      <c r="BC323" s="525"/>
      <c r="BD323" s="525"/>
      <c r="BE323" s="525"/>
      <c r="BF323" s="525"/>
      <c r="BG323" s="525"/>
      <c r="BH323" s="525"/>
      <c r="BI323" s="525"/>
      <c r="BJ323" s="525"/>
      <c r="BK323" s="525"/>
      <c r="BL323" s="525"/>
      <c r="BM323" s="525"/>
      <c r="BN323" s="525"/>
      <c r="BO323" s="525"/>
      <c r="BP323" s="525"/>
      <c r="BQ323" s="525"/>
      <c r="BR323" s="525"/>
      <c r="BS323" s="525"/>
      <c r="BT323" s="525"/>
      <c r="BU323" s="525"/>
      <c r="BV323" s="525"/>
      <c r="BW323" s="525"/>
      <c r="BX323" s="525"/>
      <c r="BY323" s="525"/>
    </row>
    <row r="324" spans="1:77" x14ac:dyDescent="0.3">
      <c r="A324" s="551"/>
      <c r="B324" s="548"/>
      <c r="C324" s="584" t="s">
        <v>37</v>
      </c>
      <c r="D324" s="525"/>
      <c r="E324" s="538" t="s">
        <v>25</v>
      </c>
      <c r="F324" s="538"/>
      <c r="G324" s="538"/>
      <c r="H324" s="538"/>
      <c r="I324" s="538"/>
      <c r="J324" s="538"/>
      <c r="K324" s="538"/>
      <c r="L324" s="538"/>
      <c r="M324" s="538"/>
      <c r="N324" s="538"/>
      <c r="O324" s="538"/>
      <c r="P324" s="584"/>
      <c r="Q324" s="538"/>
      <c r="R324" s="538"/>
      <c r="S324" s="538"/>
      <c r="T324" s="538"/>
      <c r="U324" s="538"/>
      <c r="V324" s="538"/>
      <c r="W324" s="538"/>
      <c r="X324" s="538"/>
      <c r="Y324" s="538"/>
      <c r="Z324" s="538"/>
      <c r="AA324" s="538"/>
      <c r="AB324" s="538"/>
      <c r="AC324" s="538"/>
      <c r="AD324" s="538"/>
      <c r="AE324" s="538"/>
      <c r="AF324" s="538"/>
      <c r="AG324" s="538"/>
      <c r="AH324" s="538"/>
      <c r="AI324" s="538"/>
      <c r="AJ324" s="538"/>
      <c r="AK324" s="538"/>
      <c r="AL324" s="538"/>
      <c r="AM324" s="538"/>
      <c r="AN324" s="538"/>
      <c r="AO324" s="538"/>
      <c r="AP324" s="538"/>
      <c r="AQ324" s="538"/>
      <c r="AR324" s="538"/>
      <c r="AS324" s="538"/>
      <c r="AT324" s="538"/>
      <c r="AU324" s="538"/>
      <c r="AV324" s="538"/>
      <c r="AW324" s="538"/>
      <c r="AX324" s="538"/>
      <c r="AY324" s="538"/>
      <c r="AZ324" s="538"/>
      <c r="BA324" s="538"/>
      <c r="BB324" s="538"/>
      <c r="BC324" s="538"/>
      <c r="BD324" s="538"/>
      <c r="BE324" s="538"/>
      <c r="BF324" s="538"/>
      <c r="BG324" s="538"/>
      <c r="BH324" s="538"/>
      <c r="BI324" s="538"/>
      <c r="BJ324" s="538"/>
      <c r="BK324" s="538"/>
      <c r="BL324" s="538"/>
      <c r="BM324" s="538"/>
      <c r="BN324" s="538"/>
      <c r="BO324" s="538"/>
      <c r="BP324" s="538"/>
      <c r="BQ324" s="538"/>
      <c r="BR324" s="538"/>
      <c r="BS324" s="538"/>
      <c r="BT324" s="538"/>
      <c r="BU324" s="538"/>
      <c r="BV324" s="538"/>
      <c r="BW324" s="538"/>
      <c r="BX324" s="538"/>
      <c r="BY324" s="538"/>
    </row>
    <row r="325" spans="1:77" x14ac:dyDescent="0.3">
      <c r="A325" s="551"/>
      <c r="B325" s="548"/>
      <c r="C325" s="525"/>
      <c r="D325" s="525"/>
      <c r="E325" s="525"/>
      <c r="F325" s="525"/>
      <c r="G325" s="525"/>
      <c r="H325" s="525"/>
      <c r="I325" s="525"/>
      <c r="J325" s="525"/>
      <c r="K325" s="525"/>
      <c r="L325" s="525"/>
      <c r="M325" s="525"/>
      <c r="N325" s="525"/>
      <c r="O325" s="525"/>
      <c r="P325" s="565"/>
      <c r="Q325" s="525"/>
      <c r="R325" s="525"/>
      <c r="S325" s="525"/>
      <c r="T325" s="525"/>
      <c r="U325" s="525"/>
      <c r="V325" s="525"/>
      <c r="W325" s="525"/>
      <c r="X325" s="525"/>
      <c r="Y325" s="525"/>
      <c r="Z325" s="525"/>
      <c r="AA325" s="525"/>
      <c r="AB325" s="525"/>
      <c r="AC325" s="525"/>
      <c r="AD325" s="525"/>
      <c r="AE325" s="525"/>
      <c r="AF325" s="525"/>
      <c r="AG325" s="525"/>
      <c r="AH325" s="525"/>
      <c r="AI325" s="525"/>
      <c r="AJ325" s="525"/>
      <c r="AK325" s="525"/>
      <c r="AL325" s="525"/>
      <c r="AM325" s="525"/>
      <c r="AN325" s="525"/>
      <c r="AO325" s="525"/>
      <c r="AP325" s="525"/>
      <c r="AQ325" s="525"/>
      <c r="AR325" s="525"/>
      <c r="AS325" s="525"/>
      <c r="AT325" s="525"/>
      <c r="AU325" s="525"/>
      <c r="AV325" s="525"/>
      <c r="AW325" s="525"/>
      <c r="AX325" s="525"/>
      <c r="AY325" s="525"/>
      <c r="AZ325" s="525"/>
      <c r="BA325" s="525"/>
      <c r="BB325" s="525"/>
      <c r="BC325" s="525"/>
      <c r="BD325" s="525"/>
      <c r="BE325" s="525"/>
      <c r="BF325" s="525"/>
      <c r="BG325" s="525"/>
      <c r="BH325" s="525"/>
      <c r="BI325" s="525"/>
      <c r="BJ325" s="525"/>
      <c r="BK325" s="525"/>
      <c r="BL325" s="525"/>
      <c r="BM325" s="525"/>
      <c r="BN325" s="525"/>
      <c r="BO325" s="525"/>
      <c r="BP325" s="525"/>
      <c r="BQ325" s="525"/>
      <c r="BR325" s="525"/>
      <c r="BS325" s="525"/>
      <c r="BT325" s="525"/>
      <c r="BU325" s="525"/>
      <c r="BV325" s="525"/>
      <c r="BW325" s="525"/>
      <c r="BX325" s="525"/>
      <c r="BY325" s="525"/>
    </row>
    <row r="326" spans="1:77" x14ac:dyDescent="0.3">
      <c r="A326" s="551"/>
      <c r="B326" s="548"/>
      <c r="C326" s="525"/>
      <c r="D326" s="525"/>
      <c r="E326" s="614" t="s">
        <v>96</v>
      </c>
      <c r="F326" s="539"/>
      <c r="G326" s="539"/>
      <c r="H326" s="539"/>
      <c r="I326" s="539"/>
      <c r="J326" s="539"/>
      <c r="K326" s="539"/>
      <c r="L326" s="539"/>
      <c r="M326" s="539"/>
      <c r="N326" s="539"/>
      <c r="O326" s="539"/>
      <c r="P326" s="615"/>
      <c r="Q326" s="539"/>
      <c r="R326" s="539"/>
      <c r="S326" s="539"/>
      <c r="T326" s="539"/>
      <c r="U326" s="539"/>
      <c r="V326" s="539"/>
      <c r="W326" s="539"/>
      <c r="X326" s="539"/>
      <c r="Y326" s="539"/>
      <c r="Z326" s="539"/>
      <c r="AA326" s="539"/>
      <c r="AB326" s="539"/>
      <c r="AC326" s="539"/>
      <c r="AD326" s="539"/>
      <c r="AE326" s="539"/>
      <c r="AF326" s="539"/>
      <c r="AG326" s="539"/>
      <c r="AH326" s="539"/>
      <c r="AI326" s="539"/>
      <c r="AJ326" s="539"/>
      <c r="AK326" s="539"/>
      <c r="AL326" s="539"/>
      <c r="AM326" s="539"/>
      <c r="AN326" s="539"/>
      <c r="AO326" s="539"/>
      <c r="AP326" s="539"/>
      <c r="AQ326" s="539"/>
      <c r="AR326" s="539"/>
      <c r="AS326" s="539"/>
      <c r="AT326" s="539"/>
      <c r="AU326" s="539"/>
      <c r="AV326" s="539"/>
      <c r="AW326" s="539"/>
      <c r="AX326" s="539"/>
      <c r="AY326" s="539"/>
      <c r="AZ326" s="539"/>
      <c r="BA326" s="539"/>
      <c r="BB326" s="539"/>
      <c r="BC326" s="539"/>
      <c r="BD326" s="539"/>
      <c r="BE326" s="539"/>
      <c r="BF326" s="539"/>
      <c r="BG326" s="539"/>
      <c r="BH326" s="539"/>
      <c r="BI326" s="539"/>
      <c r="BJ326" s="539"/>
      <c r="BK326" s="539"/>
      <c r="BL326" s="539"/>
      <c r="BM326" s="539"/>
      <c r="BN326" s="539"/>
      <c r="BO326" s="539"/>
      <c r="BP326" s="539"/>
      <c r="BQ326" s="539"/>
      <c r="BR326" s="539"/>
      <c r="BS326" s="539"/>
      <c r="BT326" s="539"/>
      <c r="BU326" s="539"/>
      <c r="BV326" s="539"/>
      <c r="BW326" s="539"/>
      <c r="BX326" s="539"/>
      <c r="BY326" s="539"/>
    </row>
    <row r="327" spans="1:77" x14ac:dyDescent="0.3">
      <c r="A327" s="551"/>
      <c r="B327" s="548"/>
      <c r="C327" s="525"/>
      <c r="D327" s="525"/>
      <c r="E327" s="525"/>
      <c r="F327" s="525"/>
      <c r="G327" s="525"/>
      <c r="H327" s="525"/>
      <c r="I327" s="525"/>
      <c r="J327" s="525"/>
      <c r="K327" s="525"/>
      <c r="L327" s="525"/>
      <c r="M327" s="525"/>
      <c r="N327" s="525"/>
      <c r="O327" s="525"/>
      <c r="P327" s="565"/>
      <c r="Q327" s="525"/>
      <c r="R327" s="525"/>
      <c r="S327" s="525"/>
      <c r="T327" s="525"/>
      <c r="U327" s="525"/>
      <c r="V327" s="525"/>
      <c r="W327" s="525"/>
      <c r="X327" s="525"/>
      <c r="Y327" s="525"/>
      <c r="Z327" s="525"/>
      <c r="AA327" s="525"/>
      <c r="AB327" s="525"/>
      <c r="AC327" s="525"/>
      <c r="AD327" s="525"/>
      <c r="AE327" s="525"/>
      <c r="AF327" s="525"/>
      <c r="AG327" s="525"/>
      <c r="AH327" s="525"/>
      <c r="AI327" s="525"/>
      <c r="AJ327" s="525"/>
      <c r="AK327" s="525"/>
      <c r="AL327" s="525"/>
      <c r="AM327" s="525"/>
      <c r="AN327" s="525"/>
      <c r="AO327" s="525"/>
      <c r="AP327" s="525"/>
      <c r="AQ327" s="525"/>
      <c r="AR327" s="525"/>
      <c r="AS327" s="525"/>
      <c r="AT327" s="525"/>
      <c r="AU327" s="525"/>
      <c r="AV327" s="525"/>
      <c r="AW327" s="525"/>
      <c r="AX327" s="525"/>
      <c r="AY327" s="525"/>
      <c r="AZ327" s="525"/>
      <c r="BA327" s="525"/>
      <c r="BB327" s="525"/>
      <c r="BC327" s="525"/>
      <c r="BD327" s="525"/>
      <c r="BE327" s="525"/>
      <c r="BF327" s="525"/>
      <c r="BG327" s="525"/>
      <c r="BH327" s="525"/>
      <c r="BI327" s="525"/>
      <c r="BJ327" s="525"/>
      <c r="BK327" s="525"/>
      <c r="BL327" s="525"/>
      <c r="BM327" s="525"/>
      <c r="BN327" s="525"/>
      <c r="BO327" s="525"/>
      <c r="BP327" s="525"/>
      <c r="BQ327" s="525"/>
      <c r="BR327" s="525"/>
      <c r="BS327" s="525"/>
      <c r="BT327" s="525"/>
      <c r="BU327" s="525"/>
      <c r="BV327" s="525"/>
      <c r="BW327" s="525"/>
      <c r="BX327" s="525"/>
      <c r="BY327" s="525"/>
    </row>
    <row r="328" spans="1:77" x14ac:dyDescent="0.3">
      <c r="A328" s="551"/>
      <c r="B328" s="548"/>
      <c r="C328" s="525"/>
      <c r="D328" s="525"/>
      <c r="E328" s="631" t="str">
        <f>"Rental income uplift due to capex: "&amp;E$155</f>
        <v>Rental income uplift due to capex: FY27 Tranche</v>
      </c>
      <c r="F328" s="525"/>
      <c r="G328" s="525"/>
      <c r="H328" s="525"/>
      <c r="I328" s="525"/>
      <c r="J328" s="525"/>
      <c r="K328" s="525"/>
      <c r="L328" s="525"/>
      <c r="M328" s="525"/>
      <c r="N328" s="525"/>
      <c r="O328" s="525"/>
      <c r="P328" s="565"/>
      <c r="Q328" s="525"/>
      <c r="R328" s="527">
        <f t="shared" ref="R328:AW328" si="469">R185*$AF155</f>
        <v>0</v>
      </c>
      <c r="S328" s="527">
        <f t="shared" si="469"/>
        <v>0</v>
      </c>
      <c r="T328" s="527">
        <f t="shared" si="469"/>
        <v>0</v>
      </c>
      <c r="U328" s="527">
        <f t="shared" si="469"/>
        <v>0</v>
      </c>
      <c r="V328" s="527">
        <f t="shared" si="469"/>
        <v>0</v>
      </c>
      <c r="W328" s="527">
        <f t="shared" si="469"/>
        <v>0</v>
      </c>
      <c r="X328" s="527">
        <f t="shared" si="469"/>
        <v>2727.5637505390814</v>
      </c>
      <c r="Y328" s="527">
        <f t="shared" si="469"/>
        <v>2727.5637505390814</v>
      </c>
      <c r="Z328" s="527">
        <f t="shared" si="469"/>
        <v>2727.5637505390814</v>
      </c>
      <c r="AA328" s="527">
        <f t="shared" si="469"/>
        <v>2727.5637505390814</v>
      </c>
      <c r="AB328" s="527">
        <f t="shared" si="469"/>
        <v>2727.5637505390814</v>
      </c>
      <c r="AC328" s="527">
        <f t="shared" si="469"/>
        <v>2727.5637505390814</v>
      </c>
      <c r="AD328" s="527">
        <f t="shared" si="469"/>
        <v>2129.4359527255529</v>
      </c>
      <c r="AE328" s="527">
        <f t="shared" si="469"/>
        <v>2129.4359527255529</v>
      </c>
      <c r="AF328" s="527">
        <f t="shared" si="469"/>
        <v>2129.4359527255529</v>
      </c>
      <c r="AG328" s="527">
        <f t="shared" si="469"/>
        <v>2129.4359527255529</v>
      </c>
      <c r="AH328" s="527">
        <f t="shared" si="469"/>
        <v>2129.4359527255529</v>
      </c>
      <c r="AI328" s="527">
        <f t="shared" si="469"/>
        <v>2129.4359527255529</v>
      </c>
      <c r="AJ328" s="527">
        <f t="shared" si="469"/>
        <v>2844.326645692177</v>
      </c>
      <c r="AK328" s="527">
        <f t="shared" si="469"/>
        <v>2844.326645692177</v>
      </c>
      <c r="AL328" s="527">
        <f t="shared" si="469"/>
        <v>2844.326645692177</v>
      </c>
      <c r="AM328" s="527">
        <f t="shared" si="469"/>
        <v>2844.326645692177</v>
      </c>
      <c r="AN328" s="527">
        <f t="shared" si="469"/>
        <v>2844.326645692177</v>
      </c>
      <c r="AO328" s="527">
        <f t="shared" si="469"/>
        <v>2844.326645692177</v>
      </c>
      <c r="AP328" s="527">
        <f t="shared" si="469"/>
        <v>2252.2712871805315</v>
      </c>
      <c r="AQ328" s="527">
        <f t="shared" si="469"/>
        <v>2252.2712871805315</v>
      </c>
      <c r="AR328" s="527">
        <f t="shared" si="469"/>
        <v>2252.2712871805315</v>
      </c>
      <c r="AS328" s="527">
        <f t="shared" si="469"/>
        <v>2252.2712871805315</v>
      </c>
      <c r="AT328" s="527">
        <f t="shared" si="469"/>
        <v>2252.2712871805315</v>
      </c>
      <c r="AU328" s="527">
        <f t="shared" si="469"/>
        <v>2252.2712871805315</v>
      </c>
      <c r="AV328" s="527">
        <f t="shared" si="469"/>
        <v>2995.7576078658212</v>
      </c>
      <c r="AW328" s="527">
        <f t="shared" si="469"/>
        <v>2995.7576078658212</v>
      </c>
      <c r="AX328" s="527">
        <f t="shared" ref="AX328:BY328" si="470">AX185*$AF155</f>
        <v>2995.7576078658212</v>
      </c>
      <c r="AY328" s="527">
        <f t="shared" si="470"/>
        <v>2995.7576078658212</v>
      </c>
      <c r="AZ328" s="527">
        <f t="shared" si="470"/>
        <v>2995.7576078658212</v>
      </c>
      <c r="BA328" s="527">
        <f t="shared" si="470"/>
        <v>2995.7576078658212</v>
      </c>
      <c r="BB328" s="527">
        <f t="shared" si="470"/>
        <v>2437.4379837840756</v>
      </c>
      <c r="BC328" s="527">
        <f t="shared" si="470"/>
        <v>2437.4379837840756</v>
      </c>
      <c r="BD328" s="527">
        <f t="shared" si="470"/>
        <v>2437.4379837840756</v>
      </c>
      <c r="BE328" s="527">
        <f t="shared" si="470"/>
        <v>2437.4379837840756</v>
      </c>
      <c r="BF328" s="527">
        <f t="shared" si="470"/>
        <v>2437.4379837840756</v>
      </c>
      <c r="BG328" s="527">
        <f t="shared" si="470"/>
        <v>2437.4379837840756</v>
      </c>
      <c r="BH328" s="527">
        <f t="shared" si="470"/>
        <v>3210.6637572967775</v>
      </c>
      <c r="BI328" s="527">
        <f t="shared" si="470"/>
        <v>3210.6637572967775</v>
      </c>
      <c r="BJ328" s="527">
        <f t="shared" si="470"/>
        <v>3210.6637572967775</v>
      </c>
      <c r="BK328" s="527">
        <f t="shared" si="470"/>
        <v>3210.6637572967775</v>
      </c>
      <c r="BL328" s="527">
        <f t="shared" si="470"/>
        <v>3210.6637572967775</v>
      </c>
      <c r="BM328" s="527">
        <f t="shared" si="470"/>
        <v>3210.6637572967775</v>
      </c>
      <c r="BN328" s="527">
        <f t="shared" si="470"/>
        <v>2655.7843091283348</v>
      </c>
      <c r="BO328" s="527">
        <f t="shared" si="470"/>
        <v>2655.7843091283348</v>
      </c>
      <c r="BP328" s="527">
        <f t="shared" si="470"/>
        <v>2655.7843091283348</v>
      </c>
      <c r="BQ328" s="527">
        <f t="shared" si="470"/>
        <v>2655.7843091283348</v>
      </c>
      <c r="BR328" s="527">
        <f t="shared" si="470"/>
        <v>2655.7843091283348</v>
      </c>
      <c r="BS328" s="527">
        <f t="shared" si="470"/>
        <v>2655.7843091283348</v>
      </c>
      <c r="BT328" s="527">
        <f t="shared" si="470"/>
        <v>3459.9391135815426</v>
      </c>
      <c r="BU328" s="527">
        <f t="shared" si="470"/>
        <v>3459.9391135815426</v>
      </c>
      <c r="BV328" s="527">
        <f t="shared" si="470"/>
        <v>3459.9391135815426</v>
      </c>
      <c r="BW328" s="527">
        <f t="shared" si="470"/>
        <v>3459.9391135815426</v>
      </c>
      <c r="BX328" s="527">
        <f t="shared" si="470"/>
        <v>3459.9391135815426</v>
      </c>
      <c r="BY328" s="527">
        <f t="shared" si="470"/>
        <v>3459.9391135815426</v>
      </c>
    </row>
    <row r="329" spans="1:77" x14ac:dyDescent="0.3">
      <c r="A329" s="551"/>
      <c r="B329" s="548"/>
      <c r="C329" s="525"/>
      <c r="D329" s="525"/>
      <c r="E329" s="631" t="str">
        <f>"Rental income uplift due to capex: "&amp;E$156</f>
        <v>Rental income uplift due to capex: FY28 Tranche</v>
      </c>
      <c r="F329" s="525"/>
      <c r="G329" s="525"/>
      <c r="H329" s="525"/>
      <c r="I329" s="525"/>
      <c r="J329" s="525"/>
      <c r="K329" s="525"/>
      <c r="L329" s="525"/>
      <c r="M329" s="525"/>
      <c r="N329" s="525"/>
      <c r="O329" s="525"/>
      <c r="P329" s="565"/>
      <c r="Q329" s="525"/>
      <c r="R329" s="527">
        <f t="shared" ref="R329:AW329" si="471">R186*$AF156</f>
        <v>0</v>
      </c>
      <c r="S329" s="527">
        <f t="shared" si="471"/>
        <v>0</v>
      </c>
      <c r="T329" s="527">
        <f t="shared" si="471"/>
        <v>0</v>
      </c>
      <c r="U329" s="527">
        <f t="shared" si="471"/>
        <v>0</v>
      </c>
      <c r="V329" s="527">
        <f t="shared" si="471"/>
        <v>0</v>
      </c>
      <c r="W329" s="527">
        <f t="shared" si="471"/>
        <v>0</v>
      </c>
      <c r="X329" s="527">
        <f t="shared" si="471"/>
        <v>0</v>
      </c>
      <c r="Y329" s="527">
        <f t="shared" si="471"/>
        <v>0</v>
      </c>
      <c r="Z329" s="527">
        <f t="shared" si="471"/>
        <v>0</v>
      </c>
      <c r="AA329" s="527">
        <f t="shared" si="471"/>
        <v>0</v>
      </c>
      <c r="AB329" s="527">
        <f t="shared" si="471"/>
        <v>0</v>
      </c>
      <c r="AC329" s="527">
        <f t="shared" si="471"/>
        <v>0</v>
      </c>
      <c r="AD329" s="527">
        <f t="shared" si="471"/>
        <v>0</v>
      </c>
      <c r="AE329" s="527">
        <f t="shared" si="471"/>
        <v>0</v>
      </c>
      <c r="AF329" s="527">
        <f t="shared" si="471"/>
        <v>0</v>
      </c>
      <c r="AG329" s="527">
        <f t="shared" si="471"/>
        <v>0</v>
      </c>
      <c r="AH329" s="527">
        <f t="shared" si="471"/>
        <v>0</v>
      </c>
      <c r="AI329" s="527">
        <f t="shared" si="471"/>
        <v>0</v>
      </c>
      <c r="AJ329" s="527">
        <f t="shared" si="471"/>
        <v>2793.1611139410029</v>
      </c>
      <c r="AK329" s="527">
        <f t="shared" si="471"/>
        <v>2793.1611139410029</v>
      </c>
      <c r="AL329" s="527">
        <f t="shared" si="471"/>
        <v>2793.1611139410029</v>
      </c>
      <c r="AM329" s="527">
        <f t="shared" si="471"/>
        <v>2793.1611139410029</v>
      </c>
      <c r="AN329" s="527">
        <f t="shared" si="471"/>
        <v>2793.1611139410029</v>
      </c>
      <c r="AO329" s="527">
        <f t="shared" si="471"/>
        <v>2793.1611139410029</v>
      </c>
      <c r="AP329" s="527">
        <f t="shared" si="471"/>
        <v>2201.1057554293575</v>
      </c>
      <c r="AQ329" s="527">
        <f t="shared" si="471"/>
        <v>2201.1057554293575</v>
      </c>
      <c r="AR329" s="527">
        <f t="shared" si="471"/>
        <v>2201.1057554293575</v>
      </c>
      <c r="AS329" s="527">
        <f t="shared" si="471"/>
        <v>2201.1057554293575</v>
      </c>
      <c r="AT329" s="527">
        <f t="shared" si="471"/>
        <v>2201.1057554293575</v>
      </c>
      <c r="AU329" s="527">
        <f t="shared" si="471"/>
        <v>2201.1057554293575</v>
      </c>
      <c r="AV329" s="527">
        <f t="shared" si="471"/>
        <v>2942.545454844601</v>
      </c>
      <c r="AW329" s="527">
        <f t="shared" si="471"/>
        <v>2942.545454844601</v>
      </c>
      <c r="AX329" s="527">
        <f t="shared" ref="AX329:BY329" si="472">AX186*$AF156</f>
        <v>2942.545454844601</v>
      </c>
      <c r="AY329" s="527">
        <f t="shared" si="472"/>
        <v>2942.545454844601</v>
      </c>
      <c r="AZ329" s="527">
        <f t="shared" si="472"/>
        <v>2942.545454844601</v>
      </c>
      <c r="BA329" s="527">
        <f t="shared" si="472"/>
        <v>2942.545454844601</v>
      </c>
      <c r="BB329" s="527">
        <f t="shared" si="472"/>
        <v>2384.2258307628554</v>
      </c>
      <c r="BC329" s="527">
        <f t="shared" si="472"/>
        <v>2384.2258307628554</v>
      </c>
      <c r="BD329" s="527">
        <f t="shared" si="472"/>
        <v>2384.2258307628554</v>
      </c>
      <c r="BE329" s="527">
        <f t="shared" si="472"/>
        <v>2384.2258307628554</v>
      </c>
      <c r="BF329" s="527">
        <f t="shared" si="472"/>
        <v>2384.2258307628554</v>
      </c>
      <c r="BG329" s="527">
        <f t="shared" si="472"/>
        <v>2384.2258307628554</v>
      </c>
      <c r="BH329" s="527">
        <f t="shared" si="472"/>
        <v>3155.3231181547071</v>
      </c>
      <c r="BI329" s="527">
        <f t="shared" si="472"/>
        <v>3155.3231181547071</v>
      </c>
      <c r="BJ329" s="527">
        <f t="shared" si="472"/>
        <v>3155.3231181547071</v>
      </c>
      <c r="BK329" s="527">
        <f t="shared" si="472"/>
        <v>3155.3231181547071</v>
      </c>
      <c r="BL329" s="527">
        <f t="shared" si="472"/>
        <v>3155.3231181547071</v>
      </c>
      <c r="BM329" s="527">
        <f t="shared" si="472"/>
        <v>3155.3231181547071</v>
      </c>
      <c r="BN329" s="527">
        <f t="shared" si="472"/>
        <v>2600.4436699862645</v>
      </c>
      <c r="BO329" s="527">
        <f t="shared" si="472"/>
        <v>2600.4436699862645</v>
      </c>
      <c r="BP329" s="527">
        <f t="shared" si="472"/>
        <v>2600.4436699862645</v>
      </c>
      <c r="BQ329" s="527">
        <f t="shared" si="472"/>
        <v>2600.4436699862645</v>
      </c>
      <c r="BR329" s="527">
        <f t="shared" si="472"/>
        <v>2600.4436699862645</v>
      </c>
      <c r="BS329" s="527">
        <f t="shared" si="472"/>
        <v>2600.4436699862645</v>
      </c>
      <c r="BT329" s="527">
        <f t="shared" si="472"/>
        <v>3402.3848488737922</v>
      </c>
      <c r="BU329" s="527">
        <f t="shared" si="472"/>
        <v>3402.3848488737922</v>
      </c>
      <c r="BV329" s="527">
        <f t="shared" si="472"/>
        <v>3402.3848488737922</v>
      </c>
      <c r="BW329" s="527">
        <f t="shared" si="472"/>
        <v>3402.3848488737922</v>
      </c>
      <c r="BX329" s="527">
        <f t="shared" si="472"/>
        <v>3402.3848488737922</v>
      </c>
      <c r="BY329" s="527">
        <f t="shared" si="472"/>
        <v>3402.3848488737922</v>
      </c>
    </row>
    <row r="330" spans="1:77" x14ac:dyDescent="0.3">
      <c r="A330" s="551"/>
      <c r="B330" s="548"/>
      <c r="C330" s="525"/>
      <c r="D330" s="525"/>
      <c r="E330" s="631" t="str">
        <f>"Rental income uplift due to capex: "&amp;E$157</f>
        <v>Rental income uplift due to capex: FY29 Tranche</v>
      </c>
      <c r="F330" s="525"/>
      <c r="G330" s="525"/>
      <c r="H330" s="525"/>
      <c r="I330" s="525"/>
      <c r="J330" s="525"/>
      <c r="K330" s="525"/>
      <c r="L330" s="525"/>
      <c r="M330" s="525"/>
      <c r="N330" s="525"/>
      <c r="O330" s="525"/>
      <c r="P330" s="565"/>
      <c r="Q330" s="525"/>
      <c r="R330" s="527">
        <f t="shared" ref="R330:AW330" si="473">R187*$AF157</f>
        <v>0</v>
      </c>
      <c r="S330" s="527">
        <f t="shared" si="473"/>
        <v>0</v>
      </c>
      <c r="T330" s="527">
        <f t="shared" si="473"/>
        <v>0</v>
      </c>
      <c r="U330" s="527">
        <f t="shared" si="473"/>
        <v>0</v>
      </c>
      <c r="V330" s="527">
        <f t="shared" si="473"/>
        <v>0</v>
      </c>
      <c r="W330" s="527">
        <f t="shared" si="473"/>
        <v>0</v>
      </c>
      <c r="X330" s="527">
        <f t="shared" si="473"/>
        <v>0</v>
      </c>
      <c r="Y330" s="527">
        <f t="shared" si="473"/>
        <v>0</v>
      </c>
      <c r="Z330" s="527">
        <f t="shared" si="473"/>
        <v>0</v>
      </c>
      <c r="AA330" s="527">
        <f t="shared" si="473"/>
        <v>0</v>
      </c>
      <c r="AB330" s="527">
        <f t="shared" si="473"/>
        <v>0</v>
      </c>
      <c r="AC330" s="527">
        <f t="shared" si="473"/>
        <v>0</v>
      </c>
      <c r="AD330" s="527">
        <f t="shared" si="473"/>
        <v>0</v>
      </c>
      <c r="AE330" s="527">
        <f t="shared" si="473"/>
        <v>0</v>
      </c>
      <c r="AF330" s="527">
        <f t="shared" si="473"/>
        <v>0</v>
      </c>
      <c r="AG330" s="527">
        <f t="shared" si="473"/>
        <v>0</v>
      </c>
      <c r="AH330" s="527">
        <f t="shared" si="473"/>
        <v>0</v>
      </c>
      <c r="AI330" s="527">
        <f t="shared" si="473"/>
        <v>0</v>
      </c>
      <c r="AJ330" s="527">
        <f t="shared" si="473"/>
        <v>0</v>
      </c>
      <c r="AK330" s="527">
        <f t="shared" si="473"/>
        <v>0</v>
      </c>
      <c r="AL330" s="527">
        <f t="shared" si="473"/>
        <v>0</v>
      </c>
      <c r="AM330" s="527">
        <f t="shared" si="473"/>
        <v>0</v>
      </c>
      <c r="AN330" s="527">
        <f t="shared" si="473"/>
        <v>0</v>
      </c>
      <c r="AO330" s="527">
        <f t="shared" si="473"/>
        <v>0</v>
      </c>
      <c r="AP330" s="527">
        <f t="shared" si="473"/>
        <v>0</v>
      </c>
      <c r="AQ330" s="527">
        <f t="shared" si="473"/>
        <v>0</v>
      </c>
      <c r="AR330" s="527">
        <f t="shared" si="473"/>
        <v>0</v>
      </c>
      <c r="AS330" s="527">
        <f t="shared" si="473"/>
        <v>0</v>
      </c>
      <c r="AT330" s="527">
        <f t="shared" si="473"/>
        <v>0</v>
      </c>
      <c r="AU330" s="527">
        <f t="shared" si="473"/>
        <v>0</v>
      </c>
      <c r="AV330" s="527">
        <f t="shared" si="473"/>
        <v>2855.8799219977277</v>
      </c>
      <c r="AW330" s="527">
        <f t="shared" si="473"/>
        <v>2855.8799219977277</v>
      </c>
      <c r="AX330" s="527">
        <f t="shared" ref="AX330:BY330" si="474">AX187*$AF157</f>
        <v>2855.8799219977277</v>
      </c>
      <c r="AY330" s="527">
        <f t="shared" si="474"/>
        <v>2855.8799219977277</v>
      </c>
      <c r="AZ330" s="527">
        <f t="shared" si="474"/>
        <v>2855.8799219977277</v>
      </c>
      <c r="BA330" s="527">
        <f t="shared" si="474"/>
        <v>2855.8799219977277</v>
      </c>
      <c r="BB330" s="527">
        <f t="shared" si="474"/>
        <v>2297.5602979159826</v>
      </c>
      <c r="BC330" s="527">
        <f t="shared" si="474"/>
        <v>2297.5602979159826</v>
      </c>
      <c r="BD330" s="527">
        <f t="shared" si="474"/>
        <v>2297.5602979159826</v>
      </c>
      <c r="BE330" s="527">
        <f t="shared" si="474"/>
        <v>2297.5602979159826</v>
      </c>
      <c r="BF330" s="527">
        <f t="shared" si="474"/>
        <v>2297.5602979159826</v>
      </c>
      <c r="BG330" s="527">
        <f t="shared" si="474"/>
        <v>2297.5602979159826</v>
      </c>
      <c r="BH330" s="527">
        <f t="shared" si="474"/>
        <v>3065.1909639939608</v>
      </c>
      <c r="BI330" s="527">
        <f t="shared" si="474"/>
        <v>3065.1909639939608</v>
      </c>
      <c r="BJ330" s="527">
        <f t="shared" si="474"/>
        <v>3065.1909639939608</v>
      </c>
      <c r="BK330" s="527">
        <f t="shared" si="474"/>
        <v>3065.1909639939608</v>
      </c>
      <c r="BL330" s="527">
        <f t="shared" si="474"/>
        <v>3065.1909639939608</v>
      </c>
      <c r="BM330" s="527">
        <f t="shared" si="474"/>
        <v>3065.1909639939608</v>
      </c>
      <c r="BN330" s="527">
        <f t="shared" si="474"/>
        <v>2510.3115158255182</v>
      </c>
      <c r="BO330" s="527">
        <f t="shared" si="474"/>
        <v>2510.3115158255182</v>
      </c>
      <c r="BP330" s="527">
        <f t="shared" si="474"/>
        <v>2510.3115158255182</v>
      </c>
      <c r="BQ330" s="527">
        <f t="shared" si="474"/>
        <v>2510.3115158255182</v>
      </c>
      <c r="BR330" s="527">
        <f t="shared" si="474"/>
        <v>2510.3115158255182</v>
      </c>
      <c r="BS330" s="527">
        <f t="shared" si="474"/>
        <v>2510.3115158255182</v>
      </c>
      <c r="BT330" s="527">
        <f t="shared" si="474"/>
        <v>3308.647408546617</v>
      </c>
      <c r="BU330" s="527">
        <f t="shared" si="474"/>
        <v>3308.647408546617</v>
      </c>
      <c r="BV330" s="527">
        <f t="shared" si="474"/>
        <v>3308.647408546617</v>
      </c>
      <c r="BW330" s="527">
        <f t="shared" si="474"/>
        <v>3308.647408546617</v>
      </c>
      <c r="BX330" s="527">
        <f t="shared" si="474"/>
        <v>3308.647408546617</v>
      </c>
      <c r="BY330" s="527">
        <f t="shared" si="474"/>
        <v>3308.647408546617</v>
      </c>
    </row>
    <row r="331" spans="1:77" x14ac:dyDescent="0.3">
      <c r="A331" s="551"/>
      <c r="B331" s="548"/>
      <c r="C331" s="525"/>
      <c r="D331" s="525"/>
      <c r="E331" s="631" t="str">
        <f>"Rental income uplift due to capex: "&amp;E$158</f>
        <v>Rental income uplift due to capex: FY30 Tranche</v>
      </c>
      <c r="F331" s="525"/>
      <c r="G331" s="525"/>
      <c r="H331" s="525"/>
      <c r="I331" s="525"/>
      <c r="J331" s="525"/>
      <c r="K331" s="525"/>
      <c r="L331" s="525"/>
      <c r="M331" s="525"/>
      <c r="N331" s="525"/>
      <c r="O331" s="525"/>
      <c r="P331" s="565"/>
      <c r="Q331" s="525"/>
      <c r="R331" s="527">
        <f t="shared" ref="R331:AW331" si="475">R188*$AF158</f>
        <v>0</v>
      </c>
      <c r="S331" s="527">
        <f t="shared" si="475"/>
        <v>0</v>
      </c>
      <c r="T331" s="527">
        <f t="shared" si="475"/>
        <v>0</v>
      </c>
      <c r="U331" s="527">
        <f t="shared" si="475"/>
        <v>0</v>
      </c>
      <c r="V331" s="527">
        <f t="shared" si="475"/>
        <v>0</v>
      </c>
      <c r="W331" s="527">
        <f t="shared" si="475"/>
        <v>0</v>
      </c>
      <c r="X331" s="527">
        <f t="shared" si="475"/>
        <v>0</v>
      </c>
      <c r="Y331" s="527">
        <f t="shared" si="475"/>
        <v>0</v>
      </c>
      <c r="Z331" s="527">
        <f t="shared" si="475"/>
        <v>0</v>
      </c>
      <c r="AA331" s="527">
        <f t="shared" si="475"/>
        <v>0</v>
      </c>
      <c r="AB331" s="527">
        <f t="shared" si="475"/>
        <v>0</v>
      </c>
      <c r="AC331" s="527">
        <f t="shared" si="475"/>
        <v>0</v>
      </c>
      <c r="AD331" s="527">
        <f t="shared" si="475"/>
        <v>0</v>
      </c>
      <c r="AE331" s="527">
        <f t="shared" si="475"/>
        <v>0</v>
      </c>
      <c r="AF331" s="527">
        <f t="shared" si="475"/>
        <v>0</v>
      </c>
      <c r="AG331" s="527">
        <f t="shared" si="475"/>
        <v>0</v>
      </c>
      <c r="AH331" s="527">
        <f t="shared" si="475"/>
        <v>0</v>
      </c>
      <c r="AI331" s="527">
        <f t="shared" si="475"/>
        <v>0</v>
      </c>
      <c r="AJ331" s="527">
        <f t="shared" si="475"/>
        <v>0</v>
      </c>
      <c r="AK331" s="527">
        <f t="shared" si="475"/>
        <v>0</v>
      </c>
      <c r="AL331" s="527">
        <f t="shared" si="475"/>
        <v>0</v>
      </c>
      <c r="AM331" s="527">
        <f t="shared" si="475"/>
        <v>0</v>
      </c>
      <c r="AN331" s="527">
        <f t="shared" si="475"/>
        <v>0</v>
      </c>
      <c r="AO331" s="527">
        <f t="shared" si="475"/>
        <v>0</v>
      </c>
      <c r="AP331" s="527">
        <f t="shared" si="475"/>
        <v>0</v>
      </c>
      <c r="AQ331" s="527">
        <f t="shared" si="475"/>
        <v>0</v>
      </c>
      <c r="AR331" s="527">
        <f t="shared" si="475"/>
        <v>0</v>
      </c>
      <c r="AS331" s="527">
        <f t="shared" si="475"/>
        <v>0</v>
      </c>
      <c r="AT331" s="527">
        <f t="shared" si="475"/>
        <v>0</v>
      </c>
      <c r="AU331" s="527">
        <f t="shared" si="475"/>
        <v>0</v>
      </c>
      <c r="AV331" s="527">
        <f t="shared" si="475"/>
        <v>0</v>
      </c>
      <c r="AW331" s="527">
        <f t="shared" si="475"/>
        <v>0</v>
      </c>
      <c r="AX331" s="527">
        <f t="shared" ref="AX331:BY331" si="476">AX188*$AF158</f>
        <v>0</v>
      </c>
      <c r="AY331" s="527">
        <f t="shared" si="476"/>
        <v>0</v>
      </c>
      <c r="AZ331" s="527">
        <f t="shared" si="476"/>
        <v>0</v>
      </c>
      <c r="BA331" s="527">
        <f t="shared" si="476"/>
        <v>0</v>
      </c>
      <c r="BB331" s="527">
        <f t="shared" si="476"/>
        <v>0</v>
      </c>
      <c r="BC331" s="527">
        <f t="shared" si="476"/>
        <v>0</v>
      </c>
      <c r="BD331" s="527">
        <f t="shared" si="476"/>
        <v>0</v>
      </c>
      <c r="BE331" s="527">
        <f t="shared" si="476"/>
        <v>0</v>
      </c>
      <c r="BF331" s="527">
        <f t="shared" si="476"/>
        <v>0</v>
      </c>
      <c r="BG331" s="527">
        <f t="shared" si="476"/>
        <v>0</v>
      </c>
      <c r="BH331" s="527">
        <f t="shared" si="476"/>
        <v>2914.93274681914</v>
      </c>
      <c r="BI331" s="527">
        <f t="shared" si="476"/>
        <v>2914.93274681914</v>
      </c>
      <c r="BJ331" s="527">
        <f t="shared" si="476"/>
        <v>2914.93274681914</v>
      </c>
      <c r="BK331" s="527">
        <f t="shared" si="476"/>
        <v>2914.93274681914</v>
      </c>
      <c r="BL331" s="527">
        <f t="shared" si="476"/>
        <v>2914.93274681914</v>
      </c>
      <c r="BM331" s="527">
        <f t="shared" si="476"/>
        <v>2914.93274681914</v>
      </c>
      <c r="BN331" s="527">
        <f t="shared" si="476"/>
        <v>2360.0532986506969</v>
      </c>
      <c r="BO331" s="527">
        <f t="shared" si="476"/>
        <v>2360.0532986506969</v>
      </c>
      <c r="BP331" s="527">
        <f t="shared" si="476"/>
        <v>2360.0532986506969</v>
      </c>
      <c r="BQ331" s="527">
        <f t="shared" si="476"/>
        <v>2360.0532986506969</v>
      </c>
      <c r="BR331" s="527">
        <f t="shared" si="476"/>
        <v>2360.0532986506969</v>
      </c>
      <c r="BS331" s="527">
        <f t="shared" si="476"/>
        <v>2360.0532986506969</v>
      </c>
      <c r="BT331" s="527">
        <f t="shared" si="476"/>
        <v>3152.3788626848004</v>
      </c>
      <c r="BU331" s="527">
        <f t="shared" si="476"/>
        <v>3152.3788626848004</v>
      </c>
      <c r="BV331" s="527">
        <f t="shared" si="476"/>
        <v>3152.3788626848004</v>
      </c>
      <c r="BW331" s="527">
        <f t="shared" si="476"/>
        <v>3152.3788626848004</v>
      </c>
      <c r="BX331" s="527">
        <f t="shared" si="476"/>
        <v>3152.3788626848004</v>
      </c>
      <c r="BY331" s="527">
        <f t="shared" si="476"/>
        <v>3152.3788626848004</v>
      </c>
    </row>
    <row r="332" spans="1:77" x14ac:dyDescent="0.3">
      <c r="A332" s="551"/>
      <c r="B332" s="548"/>
      <c r="C332" s="525"/>
      <c r="D332" s="525"/>
      <c r="E332" s="631" t="str">
        <f>"Rental income uplift due to capex: "&amp;E$159</f>
        <v>Rental income uplift due to capex: FY31 Tranche</v>
      </c>
      <c r="F332" s="525"/>
      <c r="G332" s="525"/>
      <c r="H332" s="525"/>
      <c r="I332" s="525"/>
      <c r="J332" s="525"/>
      <c r="K332" s="525"/>
      <c r="L332" s="525"/>
      <c r="M332" s="525"/>
      <c r="N332" s="525"/>
      <c r="O332" s="525"/>
      <c r="P332" s="565"/>
      <c r="Q332" s="525"/>
      <c r="R332" s="527">
        <f t="shared" ref="R332:AW332" si="477">R189*$AF159</f>
        <v>0</v>
      </c>
      <c r="S332" s="527">
        <f t="shared" si="477"/>
        <v>0</v>
      </c>
      <c r="T332" s="527">
        <f t="shared" si="477"/>
        <v>0</v>
      </c>
      <c r="U332" s="527">
        <f t="shared" si="477"/>
        <v>0</v>
      </c>
      <c r="V332" s="527">
        <f t="shared" si="477"/>
        <v>0</v>
      </c>
      <c r="W332" s="527">
        <f t="shared" si="477"/>
        <v>0</v>
      </c>
      <c r="X332" s="527">
        <f t="shared" si="477"/>
        <v>0</v>
      </c>
      <c r="Y332" s="527">
        <f t="shared" si="477"/>
        <v>0</v>
      </c>
      <c r="Z332" s="527">
        <f t="shared" si="477"/>
        <v>0</v>
      </c>
      <c r="AA332" s="527">
        <f t="shared" si="477"/>
        <v>0</v>
      </c>
      <c r="AB332" s="527">
        <f t="shared" si="477"/>
        <v>0</v>
      </c>
      <c r="AC332" s="527">
        <f t="shared" si="477"/>
        <v>0</v>
      </c>
      <c r="AD332" s="527">
        <f t="shared" si="477"/>
        <v>0</v>
      </c>
      <c r="AE332" s="527">
        <f t="shared" si="477"/>
        <v>0</v>
      </c>
      <c r="AF332" s="527">
        <f t="shared" si="477"/>
        <v>0</v>
      </c>
      <c r="AG332" s="527">
        <f t="shared" si="477"/>
        <v>0</v>
      </c>
      <c r="AH332" s="527">
        <f t="shared" si="477"/>
        <v>0</v>
      </c>
      <c r="AI332" s="527">
        <f t="shared" si="477"/>
        <v>0</v>
      </c>
      <c r="AJ332" s="527">
        <f t="shared" si="477"/>
        <v>0</v>
      </c>
      <c r="AK332" s="527">
        <f t="shared" si="477"/>
        <v>0</v>
      </c>
      <c r="AL332" s="527">
        <f t="shared" si="477"/>
        <v>0</v>
      </c>
      <c r="AM332" s="527">
        <f t="shared" si="477"/>
        <v>0</v>
      </c>
      <c r="AN332" s="527">
        <f t="shared" si="477"/>
        <v>0</v>
      </c>
      <c r="AO332" s="527">
        <f t="shared" si="477"/>
        <v>0</v>
      </c>
      <c r="AP332" s="527">
        <f t="shared" si="477"/>
        <v>0</v>
      </c>
      <c r="AQ332" s="527">
        <f t="shared" si="477"/>
        <v>0</v>
      </c>
      <c r="AR332" s="527">
        <f t="shared" si="477"/>
        <v>0</v>
      </c>
      <c r="AS332" s="527">
        <f t="shared" si="477"/>
        <v>0</v>
      </c>
      <c r="AT332" s="527">
        <f t="shared" si="477"/>
        <v>0</v>
      </c>
      <c r="AU332" s="527">
        <f t="shared" si="477"/>
        <v>0</v>
      </c>
      <c r="AV332" s="527">
        <f t="shared" si="477"/>
        <v>0</v>
      </c>
      <c r="AW332" s="527">
        <f t="shared" si="477"/>
        <v>0</v>
      </c>
      <c r="AX332" s="527">
        <f t="shared" ref="AX332:BY332" si="478">AX189*$AF159</f>
        <v>0</v>
      </c>
      <c r="AY332" s="527">
        <f t="shared" si="478"/>
        <v>0</v>
      </c>
      <c r="AZ332" s="527">
        <f t="shared" si="478"/>
        <v>0</v>
      </c>
      <c r="BA332" s="527">
        <f t="shared" si="478"/>
        <v>0</v>
      </c>
      <c r="BB332" s="527">
        <f t="shared" si="478"/>
        <v>0</v>
      </c>
      <c r="BC332" s="527">
        <f t="shared" si="478"/>
        <v>0</v>
      </c>
      <c r="BD332" s="527">
        <f t="shared" si="478"/>
        <v>0</v>
      </c>
      <c r="BE332" s="527">
        <f t="shared" si="478"/>
        <v>0</v>
      </c>
      <c r="BF332" s="527">
        <f t="shared" si="478"/>
        <v>0</v>
      </c>
      <c r="BG332" s="527">
        <f t="shared" si="478"/>
        <v>0</v>
      </c>
      <c r="BH332" s="527">
        <f t="shared" si="478"/>
        <v>0</v>
      </c>
      <c r="BI332" s="527">
        <f t="shared" si="478"/>
        <v>0</v>
      </c>
      <c r="BJ332" s="527">
        <f t="shared" si="478"/>
        <v>0</v>
      </c>
      <c r="BK332" s="527">
        <f t="shared" si="478"/>
        <v>0</v>
      </c>
      <c r="BL332" s="527">
        <f t="shared" si="478"/>
        <v>0</v>
      </c>
      <c r="BM332" s="527">
        <f t="shared" si="478"/>
        <v>0</v>
      </c>
      <c r="BN332" s="527">
        <f t="shared" si="478"/>
        <v>0</v>
      </c>
      <c r="BO332" s="527">
        <f t="shared" si="478"/>
        <v>0</v>
      </c>
      <c r="BP332" s="527">
        <f t="shared" si="478"/>
        <v>0</v>
      </c>
      <c r="BQ332" s="527">
        <f t="shared" si="478"/>
        <v>0</v>
      </c>
      <c r="BR332" s="527">
        <f t="shared" si="478"/>
        <v>0</v>
      </c>
      <c r="BS332" s="527">
        <f t="shared" si="478"/>
        <v>0</v>
      </c>
      <c r="BT332" s="527">
        <f t="shared" si="478"/>
        <v>2971.8205073939566</v>
      </c>
      <c r="BU332" s="527">
        <f t="shared" si="478"/>
        <v>2971.8205073939566</v>
      </c>
      <c r="BV332" s="527">
        <f t="shared" si="478"/>
        <v>2971.8205073939566</v>
      </c>
      <c r="BW332" s="527">
        <f t="shared" si="478"/>
        <v>2971.8205073939566</v>
      </c>
      <c r="BX332" s="527">
        <f t="shared" si="478"/>
        <v>2971.8205073939566</v>
      </c>
      <c r="BY332" s="527">
        <f t="shared" si="478"/>
        <v>2971.8205073939566</v>
      </c>
    </row>
    <row r="333" spans="1:77" x14ac:dyDescent="0.3">
      <c r="A333" s="551"/>
      <c r="B333" s="548"/>
      <c r="C333" s="525"/>
      <c r="D333" s="525"/>
      <c r="E333" s="631" t="str">
        <f>"Rental income uplift due to capex: "&amp;E$160</f>
        <v>Rental income uplift due to capex: Uninvested Tranche</v>
      </c>
      <c r="F333" s="525"/>
      <c r="G333" s="525"/>
      <c r="H333" s="525"/>
      <c r="I333" s="525"/>
      <c r="J333" s="525"/>
      <c r="K333" s="525"/>
      <c r="L333" s="525"/>
      <c r="M333" s="525"/>
      <c r="N333" s="525"/>
      <c r="O333" s="525"/>
      <c r="P333" s="565"/>
      <c r="Q333" s="525"/>
      <c r="R333" s="527">
        <f t="shared" ref="R333:AW333" si="479">R190*$AF160</f>
        <v>0</v>
      </c>
      <c r="S333" s="527">
        <f t="shared" si="479"/>
        <v>0</v>
      </c>
      <c r="T333" s="527">
        <f t="shared" si="479"/>
        <v>0</v>
      </c>
      <c r="U333" s="527">
        <f t="shared" si="479"/>
        <v>0</v>
      </c>
      <c r="V333" s="527">
        <f t="shared" si="479"/>
        <v>0</v>
      </c>
      <c r="W333" s="527">
        <f t="shared" si="479"/>
        <v>0</v>
      </c>
      <c r="X333" s="527">
        <f t="shared" si="479"/>
        <v>0</v>
      </c>
      <c r="Y333" s="527">
        <f t="shared" si="479"/>
        <v>0</v>
      </c>
      <c r="Z333" s="527">
        <f t="shared" si="479"/>
        <v>0</v>
      </c>
      <c r="AA333" s="527">
        <f t="shared" si="479"/>
        <v>0</v>
      </c>
      <c r="AB333" s="527">
        <f t="shared" si="479"/>
        <v>0</v>
      </c>
      <c r="AC333" s="527">
        <f t="shared" si="479"/>
        <v>0</v>
      </c>
      <c r="AD333" s="527">
        <f t="shared" si="479"/>
        <v>0</v>
      </c>
      <c r="AE333" s="527">
        <f t="shared" si="479"/>
        <v>0</v>
      </c>
      <c r="AF333" s="527">
        <f t="shared" si="479"/>
        <v>0</v>
      </c>
      <c r="AG333" s="527">
        <f t="shared" si="479"/>
        <v>0</v>
      </c>
      <c r="AH333" s="527">
        <f t="shared" si="479"/>
        <v>0</v>
      </c>
      <c r="AI333" s="527">
        <f t="shared" si="479"/>
        <v>0</v>
      </c>
      <c r="AJ333" s="527">
        <f t="shared" si="479"/>
        <v>0</v>
      </c>
      <c r="AK333" s="527">
        <f t="shared" si="479"/>
        <v>0</v>
      </c>
      <c r="AL333" s="527">
        <f t="shared" si="479"/>
        <v>0</v>
      </c>
      <c r="AM333" s="527">
        <f t="shared" si="479"/>
        <v>0</v>
      </c>
      <c r="AN333" s="527">
        <f t="shared" si="479"/>
        <v>0</v>
      </c>
      <c r="AO333" s="527">
        <f t="shared" si="479"/>
        <v>0</v>
      </c>
      <c r="AP333" s="527">
        <f t="shared" si="479"/>
        <v>0</v>
      </c>
      <c r="AQ333" s="527">
        <f t="shared" si="479"/>
        <v>0</v>
      </c>
      <c r="AR333" s="527">
        <f t="shared" si="479"/>
        <v>0</v>
      </c>
      <c r="AS333" s="527">
        <f t="shared" si="479"/>
        <v>0</v>
      </c>
      <c r="AT333" s="527">
        <f t="shared" si="479"/>
        <v>0</v>
      </c>
      <c r="AU333" s="527">
        <f t="shared" si="479"/>
        <v>0</v>
      </c>
      <c r="AV333" s="527">
        <f t="shared" si="479"/>
        <v>0</v>
      </c>
      <c r="AW333" s="527">
        <f t="shared" si="479"/>
        <v>0</v>
      </c>
      <c r="AX333" s="527">
        <f t="shared" ref="AX333:BY333" si="480">AX190*$AF160</f>
        <v>0</v>
      </c>
      <c r="AY333" s="527">
        <f t="shared" si="480"/>
        <v>0</v>
      </c>
      <c r="AZ333" s="527">
        <f t="shared" si="480"/>
        <v>0</v>
      </c>
      <c r="BA333" s="527">
        <f t="shared" si="480"/>
        <v>0</v>
      </c>
      <c r="BB333" s="527">
        <f t="shared" si="480"/>
        <v>0</v>
      </c>
      <c r="BC333" s="527">
        <f t="shared" si="480"/>
        <v>0</v>
      </c>
      <c r="BD333" s="527">
        <f t="shared" si="480"/>
        <v>0</v>
      </c>
      <c r="BE333" s="527">
        <f t="shared" si="480"/>
        <v>0</v>
      </c>
      <c r="BF333" s="527">
        <f t="shared" si="480"/>
        <v>0</v>
      </c>
      <c r="BG333" s="527">
        <f t="shared" si="480"/>
        <v>0</v>
      </c>
      <c r="BH333" s="527">
        <f t="shared" si="480"/>
        <v>0</v>
      </c>
      <c r="BI333" s="527">
        <f t="shared" si="480"/>
        <v>0</v>
      </c>
      <c r="BJ333" s="527">
        <f t="shared" si="480"/>
        <v>0</v>
      </c>
      <c r="BK333" s="527">
        <f t="shared" si="480"/>
        <v>0</v>
      </c>
      <c r="BL333" s="527">
        <f t="shared" si="480"/>
        <v>0</v>
      </c>
      <c r="BM333" s="527">
        <f t="shared" si="480"/>
        <v>0</v>
      </c>
      <c r="BN333" s="527">
        <f t="shared" si="480"/>
        <v>0</v>
      </c>
      <c r="BO333" s="527">
        <f t="shared" si="480"/>
        <v>0</v>
      </c>
      <c r="BP333" s="527">
        <f t="shared" si="480"/>
        <v>0</v>
      </c>
      <c r="BQ333" s="527">
        <f t="shared" si="480"/>
        <v>0</v>
      </c>
      <c r="BR333" s="527">
        <f t="shared" si="480"/>
        <v>0</v>
      </c>
      <c r="BS333" s="527">
        <f t="shared" si="480"/>
        <v>0</v>
      </c>
      <c r="BT333" s="527">
        <f t="shared" si="480"/>
        <v>0</v>
      </c>
      <c r="BU333" s="527">
        <f t="shared" si="480"/>
        <v>0</v>
      </c>
      <c r="BV333" s="527">
        <f t="shared" si="480"/>
        <v>0</v>
      </c>
      <c r="BW333" s="527">
        <f t="shared" si="480"/>
        <v>0</v>
      </c>
      <c r="BX333" s="527">
        <f t="shared" si="480"/>
        <v>0</v>
      </c>
      <c r="BY333" s="527">
        <f t="shared" si="480"/>
        <v>0</v>
      </c>
    </row>
    <row r="334" spans="1:77" x14ac:dyDescent="0.3">
      <c r="A334" s="551"/>
      <c r="B334" s="548"/>
      <c r="C334" s="525"/>
      <c r="D334" s="525"/>
      <c r="E334" s="572" t="s">
        <v>36</v>
      </c>
      <c r="F334" s="572"/>
      <c r="G334" s="572"/>
      <c r="H334" s="572"/>
      <c r="I334" s="572"/>
      <c r="J334" s="572"/>
      <c r="K334" s="572"/>
      <c r="L334" s="572"/>
      <c r="M334" s="572"/>
      <c r="N334" s="572"/>
      <c r="O334" s="572"/>
      <c r="P334" s="612"/>
      <c r="Q334" s="572"/>
      <c r="R334" s="532">
        <f t="shared" ref="R334:AW334" si="481">SUM(R328:R333)</f>
        <v>0</v>
      </c>
      <c r="S334" s="532">
        <f t="shared" si="481"/>
        <v>0</v>
      </c>
      <c r="T334" s="532">
        <f t="shared" si="481"/>
        <v>0</v>
      </c>
      <c r="U334" s="532">
        <f t="shared" si="481"/>
        <v>0</v>
      </c>
      <c r="V334" s="532">
        <f t="shared" si="481"/>
        <v>0</v>
      </c>
      <c r="W334" s="532">
        <f t="shared" si="481"/>
        <v>0</v>
      </c>
      <c r="X334" s="532">
        <f t="shared" si="481"/>
        <v>2727.5637505390814</v>
      </c>
      <c r="Y334" s="532">
        <f t="shared" si="481"/>
        <v>2727.5637505390814</v>
      </c>
      <c r="Z334" s="532">
        <f t="shared" si="481"/>
        <v>2727.5637505390814</v>
      </c>
      <c r="AA334" s="532">
        <f t="shared" si="481"/>
        <v>2727.5637505390814</v>
      </c>
      <c r="AB334" s="532">
        <f t="shared" si="481"/>
        <v>2727.5637505390814</v>
      </c>
      <c r="AC334" s="532">
        <f t="shared" si="481"/>
        <v>2727.5637505390814</v>
      </c>
      <c r="AD334" s="532">
        <f t="shared" si="481"/>
        <v>2129.4359527255529</v>
      </c>
      <c r="AE334" s="532">
        <f t="shared" si="481"/>
        <v>2129.4359527255529</v>
      </c>
      <c r="AF334" s="532">
        <f t="shared" si="481"/>
        <v>2129.4359527255529</v>
      </c>
      <c r="AG334" s="532">
        <f t="shared" si="481"/>
        <v>2129.4359527255529</v>
      </c>
      <c r="AH334" s="532">
        <f t="shared" si="481"/>
        <v>2129.4359527255529</v>
      </c>
      <c r="AI334" s="532">
        <f t="shared" si="481"/>
        <v>2129.4359527255529</v>
      </c>
      <c r="AJ334" s="532">
        <f t="shared" si="481"/>
        <v>5637.4877596331798</v>
      </c>
      <c r="AK334" s="532">
        <f t="shared" si="481"/>
        <v>5637.4877596331798</v>
      </c>
      <c r="AL334" s="532">
        <f t="shared" si="481"/>
        <v>5637.4877596331798</v>
      </c>
      <c r="AM334" s="532">
        <f t="shared" si="481"/>
        <v>5637.4877596331798</v>
      </c>
      <c r="AN334" s="532">
        <f t="shared" si="481"/>
        <v>5637.4877596331798</v>
      </c>
      <c r="AO334" s="532">
        <f t="shared" si="481"/>
        <v>5637.4877596331798</v>
      </c>
      <c r="AP334" s="532">
        <f t="shared" si="481"/>
        <v>4453.377042609889</v>
      </c>
      <c r="AQ334" s="532">
        <f t="shared" si="481"/>
        <v>4453.377042609889</v>
      </c>
      <c r="AR334" s="532">
        <f t="shared" si="481"/>
        <v>4453.377042609889</v>
      </c>
      <c r="AS334" s="532">
        <f t="shared" si="481"/>
        <v>4453.377042609889</v>
      </c>
      <c r="AT334" s="532">
        <f t="shared" si="481"/>
        <v>4453.377042609889</v>
      </c>
      <c r="AU334" s="532">
        <f t="shared" si="481"/>
        <v>4453.377042609889</v>
      </c>
      <c r="AV334" s="532">
        <f t="shared" si="481"/>
        <v>8794.1829847081499</v>
      </c>
      <c r="AW334" s="532">
        <f t="shared" si="481"/>
        <v>8794.1829847081499</v>
      </c>
      <c r="AX334" s="532">
        <f t="shared" ref="AX334:BY334" si="482">SUM(AX328:AX333)</f>
        <v>8794.1829847081499</v>
      </c>
      <c r="AY334" s="532">
        <f t="shared" si="482"/>
        <v>8794.1829847081499</v>
      </c>
      <c r="AZ334" s="532">
        <f t="shared" si="482"/>
        <v>8794.1829847081499</v>
      </c>
      <c r="BA334" s="532">
        <f t="shared" si="482"/>
        <v>8794.1829847081499</v>
      </c>
      <c r="BB334" s="532">
        <f t="shared" si="482"/>
        <v>7119.2241124629145</v>
      </c>
      <c r="BC334" s="532">
        <f t="shared" si="482"/>
        <v>7119.2241124629145</v>
      </c>
      <c r="BD334" s="532">
        <f t="shared" si="482"/>
        <v>7119.2241124629145</v>
      </c>
      <c r="BE334" s="532">
        <f t="shared" si="482"/>
        <v>7119.2241124629145</v>
      </c>
      <c r="BF334" s="532">
        <f t="shared" si="482"/>
        <v>7119.2241124629145</v>
      </c>
      <c r="BG334" s="532">
        <f t="shared" si="482"/>
        <v>7119.2241124629145</v>
      </c>
      <c r="BH334" s="532">
        <f t="shared" si="482"/>
        <v>12346.110586264585</v>
      </c>
      <c r="BI334" s="532">
        <f t="shared" si="482"/>
        <v>12346.110586264585</v>
      </c>
      <c r="BJ334" s="532">
        <f t="shared" si="482"/>
        <v>12346.110586264585</v>
      </c>
      <c r="BK334" s="532">
        <f t="shared" si="482"/>
        <v>12346.110586264585</v>
      </c>
      <c r="BL334" s="532">
        <f t="shared" si="482"/>
        <v>12346.110586264585</v>
      </c>
      <c r="BM334" s="532">
        <f t="shared" si="482"/>
        <v>12346.110586264585</v>
      </c>
      <c r="BN334" s="532">
        <f t="shared" si="482"/>
        <v>10126.592793590815</v>
      </c>
      <c r="BO334" s="532">
        <f t="shared" si="482"/>
        <v>10126.592793590815</v>
      </c>
      <c r="BP334" s="532">
        <f t="shared" si="482"/>
        <v>10126.592793590815</v>
      </c>
      <c r="BQ334" s="532">
        <f t="shared" si="482"/>
        <v>10126.592793590815</v>
      </c>
      <c r="BR334" s="532">
        <f t="shared" si="482"/>
        <v>10126.592793590815</v>
      </c>
      <c r="BS334" s="532">
        <f t="shared" si="482"/>
        <v>10126.592793590815</v>
      </c>
      <c r="BT334" s="532">
        <f t="shared" si="482"/>
        <v>16295.17074108071</v>
      </c>
      <c r="BU334" s="532">
        <f t="shared" si="482"/>
        <v>16295.17074108071</v>
      </c>
      <c r="BV334" s="532">
        <f t="shared" si="482"/>
        <v>16295.17074108071</v>
      </c>
      <c r="BW334" s="532">
        <f t="shared" si="482"/>
        <v>16295.17074108071</v>
      </c>
      <c r="BX334" s="532">
        <f t="shared" si="482"/>
        <v>16295.17074108071</v>
      </c>
      <c r="BY334" s="532">
        <f t="shared" si="482"/>
        <v>16295.17074108071</v>
      </c>
    </row>
    <row r="335" spans="1:77" x14ac:dyDescent="0.3">
      <c r="A335" s="551"/>
      <c r="B335" s="548"/>
      <c r="C335" s="525"/>
      <c r="D335" s="525"/>
      <c r="E335" s="525"/>
      <c r="F335" s="525"/>
      <c r="G335" s="525"/>
      <c r="H335" s="525"/>
      <c r="I335" s="525"/>
      <c r="J335" s="525"/>
      <c r="K335" s="525"/>
      <c r="L335" s="525"/>
      <c r="M335" s="525"/>
      <c r="N335" s="525"/>
      <c r="O335" s="525"/>
      <c r="P335" s="565"/>
      <c r="Q335" s="525"/>
      <c r="R335" s="525"/>
      <c r="S335" s="525"/>
      <c r="T335" s="525"/>
      <c r="U335" s="525"/>
      <c r="V335" s="525"/>
      <c r="W335" s="525"/>
      <c r="X335" s="525"/>
      <c r="Y335" s="525"/>
      <c r="Z335" s="525"/>
      <c r="AA335" s="525"/>
      <c r="AB335" s="525"/>
      <c r="AC335" s="525"/>
      <c r="AD335" s="525"/>
      <c r="AE335" s="525"/>
      <c r="AF335" s="525"/>
      <c r="AG335" s="525"/>
      <c r="AH335" s="525"/>
      <c r="AI335" s="525"/>
      <c r="AJ335" s="525"/>
      <c r="AK335" s="525"/>
      <c r="AL335" s="525"/>
      <c r="AM335" s="525"/>
      <c r="AN335" s="525"/>
      <c r="AO335" s="525"/>
      <c r="AP335" s="525"/>
      <c r="AQ335" s="525"/>
      <c r="AR335" s="525"/>
      <c r="AS335" s="525"/>
      <c r="AT335" s="525"/>
      <c r="AU335" s="525"/>
      <c r="AV335" s="525"/>
      <c r="AW335" s="525"/>
      <c r="AX335" s="525"/>
      <c r="AY335" s="525"/>
      <c r="AZ335" s="525"/>
      <c r="BA335" s="525"/>
      <c r="BB335" s="525"/>
      <c r="BC335" s="525"/>
      <c r="BD335" s="525"/>
      <c r="BE335" s="525"/>
      <c r="BF335" s="525"/>
      <c r="BG335" s="525"/>
      <c r="BH335" s="525"/>
      <c r="BI335" s="525"/>
      <c r="BJ335" s="525"/>
      <c r="BK335" s="525"/>
      <c r="BL335" s="525"/>
      <c r="BM335" s="525"/>
      <c r="BN335" s="525"/>
      <c r="BO335" s="525"/>
      <c r="BP335" s="525"/>
      <c r="BQ335" s="525"/>
      <c r="BR335" s="525"/>
      <c r="BS335" s="525"/>
      <c r="BT335" s="525"/>
      <c r="BU335" s="525"/>
      <c r="BV335" s="525"/>
      <c r="BW335" s="525"/>
      <c r="BX335" s="525"/>
      <c r="BY335" s="525"/>
    </row>
    <row r="336" spans="1:77" x14ac:dyDescent="0.3">
      <c r="A336" s="551"/>
      <c r="B336" s="548"/>
      <c r="C336" s="525"/>
      <c r="D336" s="525"/>
      <c r="E336" s="614" t="s">
        <v>110</v>
      </c>
      <c r="F336" s="539"/>
      <c r="G336" s="539"/>
      <c r="H336" s="539"/>
      <c r="I336" s="539"/>
      <c r="J336" s="539"/>
      <c r="K336" s="539"/>
      <c r="L336" s="539"/>
      <c r="M336" s="539"/>
      <c r="N336" s="539"/>
      <c r="O336" s="539"/>
      <c r="P336" s="615"/>
      <c r="Q336" s="539"/>
      <c r="R336" s="539"/>
      <c r="S336" s="539"/>
      <c r="T336" s="539"/>
      <c r="U336" s="539"/>
      <c r="V336" s="539"/>
      <c r="W336" s="539"/>
      <c r="X336" s="539"/>
      <c r="Y336" s="539"/>
      <c r="Z336" s="539"/>
      <c r="AA336" s="539"/>
      <c r="AB336" s="539"/>
      <c r="AC336" s="539"/>
      <c r="AD336" s="539"/>
      <c r="AE336" s="539"/>
      <c r="AF336" s="539"/>
      <c r="AG336" s="539"/>
      <c r="AH336" s="539"/>
      <c r="AI336" s="539"/>
      <c r="AJ336" s="539"/>
      <c r="AK336" s="539"/>
      <c r="AL336" s="539"/>
      <c r="AM336" s="539"/>
      <c r="AN336" s="539"/>
      <c r="AO336" s="539"/>
      <c r="AP336" s="539"/>
      <c r="AQ336" s="539"/>
      <c r="AR336" s="539"/>
      <c r="AS336" s="539"/>
      <c r="AT336" s="539"/>
      <c r="AU336" s="539"/>
      <c r="AV336" s="539"/>
      <c r="AW336" s="539"/>
      <c r="AX336" s="539"/>
      <c r="AY336" s="539"/>
      <c r="AZ336" s="539"/>
      <c r="BA336" s="539"/>
      <c r="BB336" s="539"/>
      <c r="BC336" s="539"/>
      <c r="BD336" s="539"/>
      <c r="BE336" s="539"/>
      <c r="BF336" s="539"/>
      <c r="BG336" s="539"/>
      <c r="BH336" s="539"/>
      <c r="BI336" s="539"/>
      <c r="BJ336" s="539"/>
      <c r="BK336" s="539"/>
      <c r="BL336" s="539"/>
      <c r="BM336" s="539"/>
      <c r="BN336" s="539"/>
      <c r="BO336" s="539"/>
      <c r="BP336" s="539"/>
      <c r="BQ336" s="539"/>
      <c r="BR336" s="539"/>
      <c r="BS336" s="539"/>
      <c r="BT336" s="539"/>
      <c r="BU336" s="539"/>
      <c r="BV336" s="539"/>
      <c r="BW336" s="539"/>
      <c r="BX336" s="539"/>
      <c r="BY336" s="539"/>
    </row>
    <row r="337" spans="1:77" x14ac:dyDescent="0.3">
      <c r="A337" s="551"/>
      <c r="B337" s="548"/>
      <c r="C337" s="525"/>
      <c r="D337" s="525"/>
      <c r="E337" s="525"/>
      <c r="F337" s="525"/>
      <c r="G337" s="525"/>
      <c r="H337" s="525"/>
      <c r="I337" s="525"/>
      <c r="J337" s="525"/>
      <c r="K337" s="525"/>
      <c r="L337" s="525"/>
      <c r="M337" s="525"/>
      <c r="N337" s="525"/>
      <c r="O337" s="525"/>
      <c r="P337" s="565"/>
      <c r="Q337" s="525"/>
      <c r="R337" s="525"/>
      <c r="S337" s="525"/>
      <c r="T337" s="525"/>
      <c r="U337" s="525"/>
      <c r="V337" s="525"/>
      <c r="W337" s="525"/>
      <c r="X337" s="525"/>
      <c r="Y337" s="525"/>
      <c r="Z337" s="525"/>
      <c r="AA337" s="525"/>
      <c r="AB337" s="525"/>
      <c r="AC337" s="525"/>
      <c r="AD337" s="525"/>
      <c r="AE337" s="525"/>
      <c r="AF337" s="525"/>
      <c r="AG337" s="525"/>
      <c r="AH337" s="525"/>
      <c r="AI337" s="525"/>
      <c r="AJ337" s="525"/>
      <c r="AK337" s="525"/>
      <c r="AL337" s="525"/>
      <c r="AM337" s="525"/>
      <c r="AN337" s="525"/>
      <c r="AO337" s="525"/>
      <c r="AP337" s="525"/>
      <c r="AQ337" s="525"/>
      <c r="AR337" s="525"/>
      <c r="AS337" s="525"/>
      <c r="AT337" s="525"/>
      <c r="AU337" s="525"/>
      <c r="AV337" s="525"/>
      <c r="AW337" s="525"/>
      <c r="AX337" s="525"/>
      <c r="AY337" s="525"/>
      <c r="AZ337" s="525"/>
      <c r="BA337" s="525"/>
      <c r="BB337" s="525"/>
      <c r="BC337" s="525"/>
      <c r="BD337" s="525"/>
      <c r="BE337" s="525"/>
      <c r="BF337" s="525"/>
      <c r="BG337" s="525"/>
      <c r="BH337" s="525"/>
      <c r="BI337" s="525"/>
      <c r="BJ337" s="525"/>
      <c r="BK337" s="525"/>
      <c r="BL337" s="525"/>
      <c r="BM337" s="525"/>
      <c r="BN337" s="525"/>
      <c r="BO337" s="525"/>
      <c r="BP337" s="525"/>
      <c r="BQ337" s="525"/>
      <c r="BR337" s="525"/>
      <c r="BS337" s="525"/>
      <c r="BT337" s="525"/>
      <c r="BU337" s="525"/>
      <c r="BV337" s="525"/>
      <c r="BW337" s="525"/>
      <c r="BX337" s="525"/>
      <c r="BY337" s="525"/>
    </row>
    <row r="338" spans="1:77" x14ac:dyDescent="0.3">
      <c r="A338" s="551"/>
      <c r="B338" s="548"/>
      <c r="C338" s="525"/>
      <c r="D338" s="525"/>
      <c r="E338" s="632" t="str">
        <f>"Rental income: "&amp;E$155</f>
        <v>Rental income: FY27 Tranche</v>
      </c>
      <c r="F338" s="525"/>
      <c r="G338" s="525"/>
      <c r="H338" s="525"/>
      <c r="I338" s="525"/>
      <c r="J338" s="525"/>
      <c r="K338" s="525"/>
      <c r="L338" s="525"/>
      <c r="M338" s="525"/>
      <c r="N338" s="525"/>
      <c r="O338" s="525"/>
      <c r="P338" s="565"/>
      <c r="Q338" s="525"/>
      <c r="R338" s="527">
        <f t="shared" ref="R338:AW338" si="483">($R155*R$597*R490)+((($R155*R$597)+R328)*R482)</f>
        <v>15894.019894014888</v>
      </c>
      <c r="S338" s="527">
        <f t="shared" si="483"/>
        <v>15894.019894014888</v>
      </c>
      <c r="T338" s="527">
        <f t="shared" si="483"/>
        <v>15894.019894014888</v>
      </c>
      <c r="U338" s="527">
        <f t="shared" si="483"/>
        <v>15894.019894014888</v>
      </c>
      <c r="V338" s="527">
        <f t="shared" si="483"/>
        <v>15894.019894014888</v>
      </c>
      <c r="W338" s="527">
        <f t="shared" si="483"/>
        <v>15894.019894014888</v>
      </c>
      <c r="X338" s="527">
        <f t="shared" si="483"/>
        <v>18621.583644553968</v>
      </c>
      <c r="Y338" s="527">
        <f t="shared" si="483"/>
        <v>18621.583644553968</v>
      </c>
      <c r="Z338" s="527">
        <f t="shared" si="483"/>
        <v>18621.583644553968</v>
      </c>
      <c r="AA338" s="527">
        <f t="shared" si="483"/>
        <v>18621.583644553968</v>
      </c>
      <c r="AB338" s="527">
        <f t="shared" si="483"/>
        <v>18621.583644553968</v>
      </c>
      <c r="AC338" s="527">
        <f t="shared" si="483"/>
        <v>18621.583644553968</v>
      </c>
      <c r="AD338" s="527">
        <f t="shared" si="483"/>
        <v>18484.283252848974</v>
      </c>
      <c r="AE338" s="527">
        <f t="shared" si="483"/>
        <v>18484.283252848974</v>
      </c>
      <c r="AF338" s="527">
        <f t="shared" si="483"/>
        <v>18484.283252848974</v>
      </c>
      <c r="AG338" s="527">
        <f t="shared" si="483"/>
        <v>18484.283252848974</v>
      </c>
      <c r="AH338" s="527">
        <f t="shared" si="483"/>
        <v>18484.283252848974</v>
      </c>
      <c r="AI338" s="527">
        <f t="shared" si="483"/>
        <v>18484.283252848974</v>
      </c>
      <c r="AJ338" s="527">
        <f t="shared" si="483"/>
        <v>19199.173945815601</v>
      </c>
      <c r="AK338" s="527">
        <f t="shared" si="483"/>
        <v>19199.173945815601</v>
      </c>
      <c r="AL338" s="527">
        <f t="shared" si="483"/>
        <v>19199.173945815601</v>
      </c>
      <c r="AM338" s="527">
        <f t="shared" si="483"/>
        <v>19199.173945815601</v>
      </c>
      <c r="AN338" s="527">
        <f t="shared" si="483"/>
        <v>19199.173945815601</v>
      </c>
      <c r="AO338" s="527">
        <f t="shared" si="483"/>
        <v>19199.173945815601</v>
      </c>
      <c r="AP338" s="527">
        <f t="shared" si="483"/>
        <v>19056.681757311831</v>
      </c>
      <c r="AQ338" s="527">
        <f t="shared" si="483"/>
        <v>19056.681757311831</v>
      </c>
      <c r="AR338" s="527">
        <f t="shared" si="483"/>
        <v>19056.681757311831</v>
      </c>
      <c r="AS338" s="527">
        <f t="shared" si="483"/>
        <v>19056.681757311831</v>
      </c>
      <c r="AT338" s="527">
        <f t="shared" si="483"/>
        <v>19056.681757311831</v>
      </c>
      <c r="AU338" s="527">
        <f t="shared" si="483"/>
        <v>19056.681757311831</v>
      </c>
      <c r="AV338" s="527">
        <f t="shared" si="483"/>
        <v>19800.168077997121</v>
      </c>
      <c r="AW338" s="527">
        <f t="shared" si="483"/>
        <v>19800.168077997121</v>
      </c>
      <c r="AX338" s="527">
        <f t="shared" ref="AX338:BY338" si="484">($R155*AX$597*AX490)+((($R155*AX$597)+AX328)*AX482)</f>
        <v>19800.168077997121</v>
      </c>
      <c r="AY338" s="527">
        <f t="shared" si="484"/>
        <v>19800.168077997121</v>
      </c>
      <c r="AZ338" s="527">
        <f t="shared" si="484"/>
        <v>19800.168077997121</v>
      </c>
      <c r="BA338" s="527">
        <f t="shared" si="484"/>
        <v>19800.168077997121</v>
      </c>
      <c r="BB338" s="527">
        <f t="shared" si="484"/>
        <v>19631.40439150382</v>
      </c>
      <c r="BC338" s="527">
        <f t="shared" si="484"/>
        <v>19631.40439150382</v>
      </c>
      <c r="BD338" s="527">
        <f t="shared" si="484"/>
        <v>19631.40439150382</v>
      </c>
      <c r="BE338" s="527">
        <f t="shared" si="484"/>
        <v>19631.40439150382</v>
      </c>
      <c r="BF338" s="527">
        <f t="shared" si="484"/>
        <v>19631.40439150382</v>
      </c>
      <c r="BG338" s="527">
        <f t="shared" si="484"/>
        <v>19631.40439150382</v>
      </c>
      <c r="BH338" s="527">
        <f t="shared" si="484"/>
        <v>20404.630165016522</v>
      </c>
      <c r="BI338" s="527">
        <f t="shared" si="484"/>
        <v>20404.630165016522</v>
      </c>
      <c r="BJ338" s="527">
        <f t="shared" si="484"/>
        <v>20404.630165016522</v>
      </c>
      <c r="BK338" s="527">
        <f t="shared" si="484"/>
        <v>20404.630165016522</v>
      </c>
      <c r="BL338" s="527">
        <f t="shared" si="484"/>
        <v>20404.630165016522</v>
      </c>
      <c r="BM338" s="527">
        <f t="shared" si="484"/>
        <v>20404.630165016522</v>
      </c>
      <c r="BN338" s="527">
        <f t="shared" si="484"/>
        <v>20205.509305487878</v>
      </c>
      <c r="BO338" s="527">
        <f t="shared" si="484"/>
        <v>20205.509305487878</v>
      </c>
      <c r="BP338" s="527">
        <f t="shared" si="484"/>
        <v>20205.509305487878</v>
      </c>
      <c r="BQ338" s="527">
        <f t="shared" si="484"/>
        <v>20205.509305487878</v>
      </c>
      <c r="BR338" s="527">
        <f t="shared" si="484"/>
        <v>20205.509305487878</v>
      </c>
      <c r="BS338" s="527">
        <f t="shared" si="484"/>
        <v>20205.509305487878</v>
      </c>
      <c r="BT338" s="527">
        <f t="shared" si="484"/>
        <v>21009.664109941084</v>
      </c>
      <c r="BU338" s="527">
        <f t="shared" si="484"/>
        <v>21009.664109941084</v>
      </c>
      <c r="BV338" s="527">
        <f t="shared" si="484"/>
        <v>21009.664109941084</v>
      </c>
      <c r="BW338" s="527">
        <f t="shared" si="484"/>
        <v>21009.664109941084</v>
      </c>
      <c r="BX338" s="527">
        <f t="shared" si="484"/>
        <v>21009.664109941084</v>
      </c>
      <c r="BY338" s="527">
        <f t="shared" si="484"/>
        <v>21009.664109941084</v>
      </c>
    </row>
    <row r="339" spans="1:77" x14ac:dyDescent="0.3">
      <c r="A339" s="551"/>
      <c r="B339" s="548"/>
      <c r="C339" s="525"/>
      <c r="D339" s="525"/>
      <c r="E339" s="632" t="str">
        <f>"Rental income: "&amp;E$156</f>
        <v>Rental income: FY28 Tranche</v>
      </c>
      <c r="F339" s="525"/>
      <c r="G339" s="525"/>
      <c r="H339" s="525"/>
      <c r="I339" s="525"/>
      <c r="J339" s="525"/>
      <c r="K339" s="525"/>
      <c r="L339" s="525"/>
      <c r="M339" s="525"/>
      <c r="N339" s="525"/>
      <c r="O339" s="525"/>
      <c r="P339" s="565"/>
      <c r="Q339" s="525"/>
      <c r="R339" s="527">
        <f t="shared" ref="R339:AW339" si="485">($R156*R$597*R491)+((($R156*R$597)+R329)*R483)</f>
        <v>15894.019894014888</v>
      </c>
      <c r="S339" s="527">
        <f t="shared" si="485"/>
        <v>15894.019894014888</v>
      </c>
      <c r="T339" s="527">
        <f t="shared" si="485"/>
        <v>15894.019894014888</v>
      </c>
      <c r="U339" s="527">
        <f t="shared" si="485"/>
        <v>15894.019894014888</v>
      </c>
      <c r="V339" s="527">
        <f t="shared" si="485"/>
        <v>15894.019894014888</v>
      </c>
      <c r="W339" s="527">
        <f t="shared" si="485"/>
        <v>15894.019894014888</v>
      </c>
      <c r="X339" s="527">
        <f t="shared" si="485"/>
        <v>15894.019894014888</v>
      </c>
      <c r="Y339" s="527">
        <f t="shared" si="485"/>
        <v>15894.019894014888</v>
      </c>
      <c r="Z339" s="527">
        <f t="shared" si="485"/>
        <v>15894.019894014888</v>
      </c>
      <c r="AA339" s="527">
        <f t="shared" si="485"/>
        <v>15894.019894014888</v>
      </c>
      <c r="AB339" s="527">
        <f t="shared" si="485"/>
        <v>15894.019894014888</v>
      </c>
      <c r="AC339" s="527">
        <f t="shared" si="485"/>
        <v>15894.019894014888</v>
      </c>
      <c r="AD339" s="527">
        <f t="shared" si="485"/>
        <v>16354.847300123423</v>
      </c>
      <c r="AE339" s="527">
        <f t="shared" si="485"/>
        <v>16354.847300123423</v>
      </c>
      <c r="AF339" s="527">
        <f t="shared" si="485"/>
        <v>16354.847300123423</v>
      </c>
      <c r="AG339" s="527">
        <f t="shared" si="485"/>
        <v>16354.847300123423</v>
      </c>
      <c r="AH339" s="527">
        <f t="shared" si="485"/>
        <v>16354.847300123423</v>
      </c>
      <c r="AI339" s="527">
        <f t="shared" si="485"/>
        <v>16354.847300123423</v>
      </c>
      <c r="AJ339" s="527">
        <f t="shared" si="485"/>
        <v>19148.008414064425</v>
      </c>
      <c r="AK339" s="527">
        <f t="shared" si="485"/>
        <v>19148.008414064425</v>
      </c>
      <c r="AL339" s="527">
        <f t="shared" si="485"/>
        <v>19148.008414064425</v>
      </c>
      <c r="AM339" s="527">
        <f t="shared" si="485"/>
        <v>19148.008414064425</v>
      </c>
      <c r="AN339" s="527">
        <f t="shared" si="485"/>
        <v>19148.008414064425</v>
      </c>
      <c r="AO339" s="527">
        <f t="shared" si="485"/>
        <v>19148.008414064425</v>
      </c>
      <c r="AP339" s="527">
        <f t="shared" si="485"/>
        <v>19005.516225560659</v>
      </c>
      <c r="AQ339" s="527">
        <f t="shared" si="485"/>
        <v>19005.516225560659</v>
      </c>
      <c r="AR339" s="527">
        <f t="shared" si="485"/>
        <v>19005.516225560659</v>
      </c>
      <c r="AS339" s="527">
        <f t="shared" si="485"/>
        <v>19005.516225560659</v>
      </c>
      <c r="AT339" s="527">
        <f t="shared" si="485"/>
        <v>19005.516225560659</v>
      </c>
      <c r="AU339" s="527">
        <f t="shared" si="485"/>
        <v>19005.516225560659</v>
      </c>
      <c r="AV339" s="527">
        <f t="shared" si="485"/>
        <v>19746.9559249759</v>
      </c>
      <c r="AW339" s="527">
        <f t="shared" si="485"/>
        <v>19746.9559249759</v>
      </c>
      <c r="AX339" s="527">
        <f t="shared" ref="AX339:BY339" si="486">($R156*AX$597*AX491)+((($R156*AX$597)+AX329)*AX483)</f>
        <v>19746.9559249759</v>
      </c>
      <c r="AY339" s="527">
        <f t="shared" si="486"/>
        <v>19746.9559249759</v>
      </c>
      <c r="AZ339" s="527">
        <f t="shared" si="486"/>
        <v>19746.9559249759</v>
      </c>
      <c r="BA339" s="527">
        <f t="shared" si="486"/>
        <v>19746.9559249759</v>
      </c>
      <c r="BB339" s="527">
        <f t="shared" si="486"/>
        <v>19578.192238482599</v>
      </c>
      <c r="BC339" s="527">
        <f t="shared" si="486"/>
        <v>19578.192238482599</v>
      </c>
      <c r="BD339" s="527">
        <f t="shared" si="486"/>
        <v>19578.192238482599</v>
      </c>
      <c r="BE339" s="527">
        <f t="shared" si="486"/>
        <v>19578.192238482599</v>
      </c>
      <c r="BF339" s="527">
        <f t="shared" si="486"/>
        <v>19578.192238482599</v>
      </c>
      <c r="BG339" s="527">
        <f t="shared" si="486"/>
        <v>19578.192238482599</v>
      </c>
      <c r="BH339" s="527">
        <f t="shared" si="486"/>
        <v>20349.289525874454</v>
      </c>
      <c r="BI339" s="527">
        <f t="shared" si="486"/>
        <v>20349.289525874454</v>
      </c>
      <c r="BJ339" s="527">
        <f t="shared" si="486"/>
        <v>20349.289525874454</v>
      </c>
      <c r="BK339" s="527">
        <f t="shared" si="486"/>
        <v>20349.289525874454</v>
      </c>
      <c r="BL339" s="527">
        <f t="shared" si="486"/>
        <v>20349.289525874454</v>
      </c>
      <c r="BM339" s="527">
        <f t="shared" si="486"/>
        <v>20349.289525874454</v>
      </c>
      <c r="BN339" s="527">
        <f t="shared" si="486"/>
        <v>20150.168666345806</v>
      </c>
      <c r="BO339" s="527">
        <f t="shared" si="486"/>
        <v>20150.168666345806</v>
      </c>
      <c r="BP339" s="527">
        <f t="shared" si="486"/>
        <v>20150.168666345806</v>
      </c>
      <c r="BQ339" s="527">
        <f t="shared" si="486"/>
        <v>20150.168666345806</v>
      </c>
      <c r="BR339" s="527">
        <f t="shared" si="486"/>
        <v>20150.168666345806</v>
      </c>
      <c r="BS339" s="527">
        <f t="shared" si="486"/>
        <v>20150.168666345806</v>
      </c>
      <c r="BT339" s="527">
        <f t="shared" si="486"/>
        <v>20952.109845233335</v>
      </c>
      <c r="BU339" s="527">
        <f t="shared" si="486"/>
        <v>20952.109845233335</v>
      </c>
      <c r="BV339" s="527">
        <f t="shared" si="486"/>
        <v>20952.109845233335</v>
      </c>
      <c r="BW339" s="527">
        <f t="shared" si="486"/>
        <v>20952.109845233335</v>
      </c>
      <c r="BX339" s="527">
        <f t="shared" si="486"/>
        <v>20952.109845233335</v>
      </c>
      <c r="BY339" s="527">
        <f t="shared" si="486"/>
        <v>20952.109845233335</v>
      </c>
    </row>
    <row r="340" spans="1:77" x14ac:dyDescent="0.3">
      <c r="A340" s="551"/>
      <c r="B340" s="548"/>
      <c r="C340" s="525"/>
      <c r="D340" s="525"/>
      <c r="E340" s="632" t="str">
        <f>"Rental income: "&amp;E$157</f>
        <v>Rental income: FY29 Tranche</v>
      </c>
      <c r="F340" s="525"/>
      <c r="G340" s="525"/>
      <c r="H340" s="525"/>
      <c r="I340" s="525"/>
      <c r="J340" s="525"/>
      <c r="K340" s="525"/>
      <c r="L340" s="525"/>
      <c r="M340" s="525"/>
      <c r="N340" s="525"/>
      <c r="O340" s="525"/>
      <c r="P340" s="565"/>
      <c r="Q340" s="525"/>
      <c r="R340" s="527">
        <f t="shared" ref="R340:AW340" si="487">($R157*R$597*R492)+((($R157*R$597)+R330)*R484)</f>
        <v>15894.019894014888</v>
      </c>
      <c r="S340" s="527">
        <f t="shared" si="487"/>
        <v>15894.019894014888</v>
      </c>
      <c r="T340" s="527">
        <f t="shared" si="487"/>
        <v>15894.019894014888</v>
      </c>
      <c r="U340" s="527">
        <f t="shared" si="487"/>
        <v>15894.019894014888</v>
      </c>
      <c r="V340" s="527">
        <f t="shared" si="487"/>
        <v>15894.019894014888</v>
      </c>
      <c r="W340" s="527">
        <f t="shared" si="487"/>
        <v>15894.019894014888</v>
      </c>
      <c r="X340" s="527">
        <f t="shared" si="487"/>
        <v>15894.019894014888</v>
      </c>
      <c r="Y340" s="527">
        <f t="shared" si="487"/>
        <v>15894.019894014888</v>
      </c>
      <c r="Z340" s="527">
        <f t="shared" si="487"/>
        <v>15894.019894014888</v>
      </c>
      <c r="AA340" s="527">
        <f t="shared" si="487"/>
        <v>15894.019894014888</v>
      </c>
      <c r="AB340" s="527">
        <f t="shared" si="487"/>
        <v>15894.019894014888</v>
      </c>
      <c r="AC340" s="527">
        <f t="shared" si="487"/>
        <v>15894.019894014888</v>
      </c>
      <c r="AD340" s="527">
        <f t="shared" si="487"/>
        <v>16354.847300123423</v>
      </c>
      <c r="AE340" s="527">
        <f t="shared" si="487"/>
        <v>16354.847300123423</v>
      </c>
      <c r="AF340" s="527">
        <f t="shared" si="487"/>
        <v>16354.847300123423</v>
      </c>
      <c r="AG340" s="527">
        <f t="shared" si="487"/>
        <v>16354.847300123423</v>
      </c>
      <c r="AH340" s="527">
        <f t="shared" si="487"/>
        <v>16354.847300123423</v>
      </c>
      <c r="AI340" s="527">
        <f t="shared" si="487"/>
        <v>16354.847300123423</v>
      </c>
      <c r="AJ340" s="527">
        <f t="shared" si="487"/>
        <v>16354.847300123423</v>
      </c>
      <c r="AK340" s="527">
        <f t="shared" si="487"/>
        <v>16354.847300123423</v>
      </c>
      <c r="AL340" s="527">
        <f t="shared" si="487"/>
        <v>16354.847300123423</v>
      </c>
      <c r="AM340" s="527">
        <f t="shared" si="487"/>
        <v>16354.847300123423</v>
      </c>
      <c r="AN340" s="527">
        <f t="shared" si="487"/>
        <v>16354.847300123423</v>
      </c>
      <c r="AO340" s="527">
        <f t="shared" si="487"/>
        <v>16354.847300123423</v>
      </c>
      <c r="AP340" s="527">
        <f t="shared" si="487"/>
        <v>16804.410470131301</v>
      </c>
      <c r="AQ340" s="527">
        <f t="shared" si="487"/>
        <v>16804.410470131301</v>
      </c>
      <c r="AR340" s="527">
        <f t="shared" si="487"/>
        <v>16804.410470131301</v>
      </c>
      <c r="AS340" s="527">
        <f t="shared" si="487"/>
        <v>16804.410470131301</v>
      </c>
      <c r="AT340" s="527">
        <f t="shared" si="487"/>
        <v>16804.410470131301</v>
      </c>
      <c r="AU340" s="527">
        <f t="shared" si="487"/>
        <v>16804.410470131301</v>
      </c>
      <c r="AV340" s="527">
        <f t="shared" si="487"/>
        <v>19660.290392129027</v>
      </c>
      <c r="AW340" s="527">
        <f t="shared" si="487"/>
        <v>19660.290392129027</v>
      </c>
      <c r="AX340" s="527">
        <f t="shared" ref="AX340:BY340" si="488">($R157*AX$597*AX492)+((($R157*AX$597)+AX330)*AX484)</f>
        <v>19660.290392129027</v>
      </c>
      <c r="AY340" s="527">
        <f t="shared" si="488"/>
        <v>19660.290392129027</v>
      </c>
      <c r="AZ340" s="527">
        <f t="shared" si="488"/>
        <v>19660.290392129027</v>
      </c>
      <c r="BA340" s="527">
        <f t="shared" si="488"/>
        <v>19660.290392129027</v>
      </c>
      <c r="BB340" s="527">
        <f t="shared" si="488"/>
        <v>19491.526705635726</v>
      </c>
      <c r="BC340" s="527">
        <f t="shared" si="488"/>
        <v>19491.526705635726</v>
      </c>
      <c r="BD340" s="527">
        <f t="shared" si="488"/>
        <v>19491.526705635726</v>
      </c>
      <c r="BE340" s="527">
        <f t="shared" si="488"/>
        <v>19491.526705635726</v>
      </c>
      <c r="BF340" s="527">
        <f t="shared" si="488"/>
        <v>19491.526705635726</v>
      </c>
      <c r="BG340" s="527">
        <f t="shared" si="488"/>
        <v>19491.526705635726</v>
      </c>
      <c r="BH340" s="527">
        <f t="shared" si="488"/>
        <v>20259.157371713707</v>
      </c>
      <c r="BI340" s="527">
        <f t="shared" si="488"/>
        <v>20259.157371713707</v>
      </c>
      <c r="BJ340" s="527">
        <f t="shared" si="488"/>
        <v>20259.157371713707</v>
      </c>
      <c r="BK340" s="527">
        <f t="shared" si="488"/>
        <v>20259.157371713707</v>
      </c>
      <c r="BL340" s="527">
        <f t="shared" si="488"/>
        <v>20259.157371713707</v>
      </c>
      <c r="BM340" s="527">
        <f t="shared" si="488"/>
        <v>20259.157371713707</v>
      </c>
      <c r="BN340" s="527">
        <f t="shared" si="488"/>
        <v>20060.036512185059</v>
      </c>
      <c r="BO340" s="527">
        <f t="shared" si="488"/>
        <v>20060.036512185059</v>
      </c>
      <c r="BP340" s="527">
        <f t="shared" si="488"/>
        <v>20060.036512185059</v>
      </c>
      <c r="BQ340" s="527">
        <f t="shared" si="488"/>
        <v>20060.036512185059</v>
      </c>
      <c r="BR340" s="527">
        <f t="shared" si="488"/>
        <v>20060.036512185059</v>
      </c>
      <c r="BS340" s="527">
        <f t="shared" si="488"/>
        <v>20060.036512185059</v>
      </c>
      <c r="BT340" s="527">
        <f t="shared" si="488"/>
        <v>20858.37240490616</v>
      </c>
      <c r="BU340" s="527">
        <f t="shared" si="488"/>
        <v>20858.37240490616</v>
      </c>
      <c r="BV340" s="527">
        <f t="shared" si="488"/>
        <v>20858.37240490616</v>
      </c>
      <c r="BW340" s="527">
        <f t="shared" si="488"/>
        <v>20858.37240490616</v>
      </c>
      <c r="BX340" s="527">
        <f t="shared" si="488"/>
        <v>20858.37240490616</v>
      </c>
      <c r="BY340" s="527">
        <f t="shared" si="488"/>
        <v>20858.37240490616</v>
      </c>
    </row>
    <row r="341" spans="1:77" x14ac:dyDescent="0.3">
      <c r="A341" s="551"/>
      <c r="B341" s="548"/>
      <c r="C341" s="525"/>
      <c r="D341" s="525"/>
      <c r="E341" s="632" t="str">
        <f>"Rental income: "&amp;E$158</f>
        <v>Rental income: FY30 Tranche</v>
      </c>
      <c r="F341" s="525"/>
      <c r="G341" s="525"/>
      <c r="H341" s="525"/>
      <c r="I341" s="525"/>
      <c r="J341" s="525"/>
      <c r="K341" s="525"/>
      <c r="L341" s="525"/>
      <c r="M341" s="525"/>
      <c r="N341" s="525"/>
      <c r="O341" s="525"/>
      <c r="P341" s="565"/>
      <c r="Q341" s="525"/>
      <c r="R341" s="527">
        <f t="shared" ref="R341:AW341" si="489">($R158*R$597*R493)+((($R158*R$597)+R331)*R485)</f>
        <v>15894.019894014888</v>
      </c>
      <c r="S341" s="527">
        <f t="shared" si="489"/>
        <v>15894.019894014888</v>
      </c>
      <c r="T341" s="527">
        <f t="shared" si="489"/>
        <v>15894.019894014888</v>
      </c>
      <c r="U341" s="527">
        <f t="shared" si="489"/>
        <v>15894.019894014888</v>
      </c>
      <c r="V341" s="527">
        <f t="shared" si="489"/>
        <v>15894.019894014888</v>
      </c>
      <c r="W341" s="527">
        <f t="shared" si="489"/>
        <v>15894.019894014888</v>
      </c>
      <c r="X341" s="527">
        <f t="shared" si="489"/>
        <v>15894.019894014888</v>
      </c>
      <c r="Y341" s="527">
        <f t="shared" si="489"/>
        <v>15894.019894014888</v>
      </c>
      <c r="Z341" s="527">
        <f t="shared" si="489"/>
        <v>15894.019894014888</v>
      </c>
      <c r="AA341" s="527">
        <f t="shared" si="489"/>
        <v>15894.019894014888</v>
      </c>
      <c r="AB341" s="527">
        <f t="shared" si="489"/>
        <v>15894.019894014888</v>
      </c>
      <c r="AC341" s="527">
        <f t="shared" si="489"/>
        <v>15894.019894014888</v>
      </c>
      <c r="AD341" s="527">
        <f t="shared" si="489"/>
        <v>16354.847300123423</v>
      </c>
      <c r="AE341" s="527">
        <f t="shared" si="489"/>
        <v>16354.847300123423</v>
      </c>
      <c r="AF341" s="527">
        <f t="shared" si="489"/>
        <v>16354.847300123423</v>
      </c>
      <c r="AG341" s="527">
        <f t="shared" si="489"/>
        <v>16354.847300123423</v>
      </c>
      <c r="AH341" s="527">
        <f t="shared" si="489"/>
        <v>16354.847300123423</v>
      </c>
      <c r="AI341" s="527">
        <f t="shared" si="489"/>
        <v>16354.847300123423</v>
      </c>
      <c r="AJ341" s="527">
        <f t="shared" si="489"/>
        <v>16354.847300123423</v>
      </c>
      <c r="AK341" s="527">
        <f t="shared" si="489"/>
        <v>16354.847300123423</v>
      </c>
      <c r="AL341" s="527">
        <f t="shared" si="489"/>
        <v>16354.847300123423</v>
      </c>
      <c r="AM341" s="527">
        <f t="shared" si="489"/>
        <v>16354.847300123423</v>
      </c>
      <c r="AN341" s="527">
        <f t="shared" si="489"/>
        <v>16354.847300123423</v>
      </c>
      <c r="AO341" s="527">
        <f t="shared" si="489"/>
        <v>16354.847300123423</v>
      </c>
      <c r="AP341" s="527">
        <f t="shared" si="489"/>
        <v>16804.410470131301</v>
      </c>
      <c r="AQ341" s="527">
        <f t="shared" si="489"/>
        <v>16804.410470131301</v>
      </c>
      <c r="AR341" s="527">
        <f t="shared" si="489"/>
        <v>16804.410470131301</v>
      </c>
      <c r="AS341" s="527">
        <f t="shared" si="489"/>
        <v>16804.410470131301</v>
      </c>
      <c r="AT341" s="527">
        <f t="shared" si="489"/>
        <v>16804.410470131301</v>
      </c>
      <c r="AU341" s="527">
        <f t="shared" si="489"/>
        <v>16804.410470131301</v>
      </c>
      <c r="AV341" s="527">
        <f t="shared" si="489"/>
        <v>16804.410470131301</v>
      </c>
      <c r="AW341" s="527">
        <f t="shared" si="489"/>
        <v>16804.410470131301</v>
      </c>
      <c r="AX341" s="527">
        <f t="shared" ref="AX341:BY341" si="490">($R158*AX$597*AX493)+((($R158*AX$597)+AX331)*AX485)</f>
        <v>16804.410470131301</v>
      </c>
      <c r="AY341" s="527">
        <f t="shared" si="490"/>
        <v>16804.410470131301</v>
      </c>
      <c r="AZ341" s="527">
        <f t="shared" si="490"/>
        <v>16804.410470131301</v>
      </c>
      <c r="BA341" s="527">
        <f t="shared" si="490"/>
        <v>16804.410470131301</v>
      </c>
      <c r="BB341" s="527">
        <f t="shared" si="490"/>
        <v>17193.966407719745</v>
      </c>
      <c r="BC341" s="527">
        <f t="shared" si="490"/>
        <v>17193.966407719745</v>
      </c>
      <c r="BD341" s="527">
        <f t="shared" si="490"/>
        <v>17193.966407719745</v>
      </c>
      <c r="BE341" s="527">
        <f t="shared" si="490"/>
        <v>17193.966407719745</v>
      </c>
      <c r="BF341" s="527">
        <f t="shared" si="490"/>
        <v>17193.966407719745</v>
      </c>
      <c r="BG341" s="527">
        <f t="shared" si="490"/>
        <v>17193.966407719745</v>
      </c>
      <c r="BH341" s="527">
        <f t="shared" si="490"/>
        <v>20108.899154538885</v>
      </c>
      <c r="BI341" s="527">
        <f t="shared" si="490"/>
        <v>20108.899154538885</v>
      </c>
      <c r="BJ341" s="527">
        <f t="shared" si="490"/>
        <v>20108.899154538885</v>
      </c>
      <c r="BK341" s="527">
        <f t="shared" si="490"/>
        <v>20108.899154538885</v>
      </c>
      <c r="BL341" s="527">
        <f t="shared" si="490"/>
        <v>20108.899154538885</v>
      </c>
      <c r="BM341" s="527">
        <f t="shared" si="490"/>
        <v>20108.899154538885</v>
      </c>
      <c r="BN341" s="527">
        <f t="shared" si="490"/>
        <v>19909.778295010241</v>
      </c>
      <c r="BO341" s="527">
        <f t="shared" si="490"/>
        <v>19909.778295010241</v>
      </c>
      <c r="BP341" s="527">
        <f t="shared" si="490"/>
        <v>19909.778295010241</v>
      </c>
      <c r="BQ341" s="527">
        <f t="shared" si="490"/>
        <v>19909.778295010241</v>
      </c>
      <c r="BR341" s="527">
        <f t="shared" si="490"/>
        <v>19909.778295010241</v>
      </c>
      <c r="BS341" s="527">
        <f t="shared" si="490"/>
        <v>19909.778295010241</v>
      </c>
      <c r="BT341" s="527">
        <f t="shared" si="490"/>
        <v>20702.103859044342</v>
      </c>
      <c r="BU341" s="527">
        <f t="shared" si="490"/>
        <v>20702.103859044342</v>
      </c>
      <c r="BV341" s="527">
        <f t="shared" si="490"/>
        <v>20702.103859044342</v>
      </c>
      <c r="BW341" s="527">
        <f t="shared" si="490"/>
        <v>20702.103859044342</v>
      </c>
      <c r="BX341" s="527">
        <f t="shared" si="490"/>
        <v>20702.103859044342</v>
      </c>
      <c r="BY341" s="527">
        <f t="shared" si="490"/>
        <v>20702.103859044342</v>
      </c>
    </row>
    <row r="342" spans="1:77" x14ac:dyDescent="0.3">
      <c r="A342" s="551"/>
      <c r="B342" s="548"/>
      <c r="C342" s="525"/>
      <c r="D342" s="525"/>
      <c r="E342" s="632" t="str">
        <f>"Rental income: "&amp;E$159</f>
        <v>Rental income: FY31 Tranche</v>
      </c>
      <c r="F342" s="525"/>
      <c r="G342" s="525"/>
      <c r="H342" s="525"/>
      <c r="I342" s="525"/>
      <c r="J342" s="525"/>
      <c r="K342" s="525"/>
      <c r="L342" s="525"/>
      <c r="M342" s="525"/>
      <c r="N342" s="525"/>
      <c r="O342" s="525"/>
      <c r="P342" s="565"/>
      <c r="Q342" s="525"/>
      <c r="R342" s="527">
        <f t="shared" ref="R342:AW342" si="491">($R159*R$597*R494)+((($R159*R$597)+R332)*R486)</f>
        <v>15894.019894014888</v>
      </c>
      <c r="S342" s="527">
        <f t="shared" si="491"/>
        <v>15894.019894014888</v>
      </c>
      <c r="T342" s="527">
        <f t="shared" si="491"/>
        <v>15894.019894014888</v>
      </c>
      <c r="U342" s="527">
        <f t="shared" si="491"/>
        <v>15894.019894014888</v>
      </c>
      <c r="V342" s="527">
        <f t="shared" si="491"/>
        <v>15894.019894014888</v>
      </c>
      <c r="W342" s="527">
        <f t="shared" si="491"/>
        <v>15894.019894014888</v>
      </c>
      <c r="X342" s="527">
        <f t="shared" si="491"/>
        <v>15894.019894014888</v>
      </c>
      <c r="Y342" s="527">
        <f t="shared" si="491"/>
        <v>15894.019894014888</v>
      </c>
      <c r="Z342" s="527">
        <f t="shared" si="491"/>
        <v>15894.019894014888</v>
      </c>
      <c r="AA342" s="527">
        <f t="shared" si="491"/>
        <v>15894.019894014888</v>
      </c>
      <c r="AB342" s="527">
        <f t="shared" si="491"/>
        <v>15894.019894014888</v>
      </c>
      <c r="AC342" s="527">
        <f t="shared" si="491"/>
        <v>15894.019894014888</v>
      </c>
      <c r="AD342" s="527">
        <f t="shared" si="491"/>
        <v>16354.847300123423</v>
      </c>
      <c r="AE342" s="527">
        <f t="shared" si="491"/>
        <v>16354.847300123423</v>
      </c>
      <c r="AF342" s="527">
        <f t="shared" si="491"/>
        <v>16354.847300123423</v>
      </c>
      <c r="AG342" s="527">
        <f t="shared" si="491"/>
        <v>16354.847300123423</v>
      </c>
      <c r="AH342" s="527">
        <f t="shared" si="491"/>
        <v>16354.847300123423</v>
      </c>
      <c r="AI342" s="527">
        <f t="shared" si="491"/>
        <v>16354.847300123423</v>
      </c>
      <c r="AJ342" s="527">
        <f t="shared" si="491"/>
        <v>16354.847300123423</v>
      </c>
      <c r="AK342" s="527">
        <f t="shared" si="491"/>
        <v>16354.847300123423</v>
      </c>
      <c r="AL342" s="527">
        <f t="shared" si="491"/>
        <v>16354.847300123423</v>
      </c>
      <c r="AM342" s="527">
        <f t="shared" si="491"/>
        <v>16354.847300123423</v>
      </c>
      <c r="AN342" s="527">
        <f t="shared" si="491"/>
        <v>16354.847300123423</v>
      </c>
      <c r="AO342" s="527">
        <f t="shared" si="491"/>
        <v>16354.847300123423</v>
      </c>
      <c r="AP342" s="527">
        <f t="shared" si="491"/>
        <v>16804.410470131301</v>
      </c>
      <c r="AQ342" s="527">
        <f t="shared" si="491"/>
        <v>16804.410470131301</v>
      </c>
      <c r="AR342" s="527">
        <f t="shared" si="491"/>
        <v>16804.410470131301</v>
      </c>
      <c r="AS342" s="527">
        <f t="shared" si="491"/>
        <v>16804.410470131301</v>
      </c>
      <c r="AT342" s="527">
        <f t="shared" si="491"/>
        <v>16804.410470131301</v>
      </c>
      <c r="AU342" s="527">
        <f t="shared" si="491"/>
        <v>16804.410470131301</v>
      </c>
      <c r="AV342" s="527">
        <f t="shared" si="491"/>
        <v>16804.410470131301</v>
      </c>
      <c r="AW342" s="527">
        <f t="shared" si="491"/>
        <v>16804.410470131301</v>
      </c>
      <c r="AX342" s="527">
        <f t="shared" ref="AX342:BY342" si="492">($R159*AX$597*AX494)+((($R159*AX$597)+AX332)*AX486)</f>
        <v>16804.410470131301</v>
      </c>
      <c r="AY342" s="527">
        <f t="shared" si="492"/>
        <v>16804.410470131301</v>
      </c>
      <c r="AZ342" s="527">
        <f t="shared" si="492"/>
        <v>16804.410470131301</v>
      </c>
      <c r="BA342" s="527">
        <f t="shared" si="492"/>
        <v>16804.410470131301</v>
      </c>
      <c r="BB342" s="527">
        <f t="shared" si="492"/>
        <v>17193.966407719745</v>
      </c>
      <c r="BC342" s="527">
        <f t="shared" si="492"/>
        <v>17193.966407719745</v>
      </c>
      <c r="BD342" s="527">
        <f t="shared" si="492"/>
        <v>17193.966407719745</v>
      </c>
      <c r="BE342" s="527">
        <f t="shared" si="492"/>
        <v>17193.966407719745</v>
      </c>
      <c r="BF342" s="527">
        <f t="shared" si="492"/>
        <v>17193.966407719745</v>
      </c>
      <c r="BG342" s="527">
        <f t="shared" si="492"/>
        <v>17193.966407719745</v>
      </c>
      <c r="BH342" s="527">
        <f t="shared" si="492"/>
        <v>17193.966407719745</v>
      </c>
      <c r="BI342" s="527">
        <f t="shared" si="492"/>
        <v>17193.966407719745</v>
      </c>
      <c r="BJ342" s="527">
        <f t="shared" si="492"/>
        <v>17193.966407719745</v>
      </c>
      <c r="BK342" s="527">
        <f t="shared" si="492"/>
        <v>17193.966407719745</v>
      </c>
      <c r="BL342" s="527">
        <f t="shared" si="492"/>
        <v>17193.966407719745</v>
      </c>
      <c r="BM342" s="527">
        <f t="shared" si="492"/>
        <v>17193.966407719745</v>
      </c>
      <c r="BN342" s="527">
        <f t="shared" si="492"/>
        <v>17549.724996359542</v>
      </c>
      <c r="BO342" s="527">
        <f t="shared" si="492"/>
        <v>17549.724996359542</v>
      </c>
      <c r="BP342" s="527">
        <f t="shared" si="492"/>
        <v>17549.724996359542</v>
      </c>
      <c r="BQ342" s="527">
        <f t="shared" si="492"/>
        <v>17549.724996359542</v>
      </c>
      <c r="BR342" s="527">
        <f t="shared" si="492"/>
        <v>17549.724996359542</v>
      </c>
      <c r="BS342" s="527">
        <f t="shared" si="492"/>
        <v>17549.724996359542</v>
      </c>
      <c r="BT342" s="527">
        <f t="shared" si="492"/>
        <v>20521.545503753499</v>
      </c>
      <c r="BU342" s="527">
        <f t="shared" si="492"/>
        <v>20521.545503753499</v>
      </c>
      <c r="BV342" s="527">
        <f t="shared" si="492"/>
        <v>20521.545503753499</v>
      </c>
      <c r="BW342" s="527">
        <f t="shared" si="492"/>
        <v>20521.545503753499</v>
      </c>
      <c r="BX342" s="527">
        <f t="shared" si="492"/>
        <v>20521.545503753499</v>
      </c>
      <c r="BY342" s="527">
        <f t="shared" si="492"/>
        <v>20521.545503753499</v>
      </c>
    </row>
    <row r="343" spans="1:77" x14ac:dyDescent="0.3">
      <c r="A343" s="551"/>
      <c r="B343" s="548"/>
      <c r="C343" s="525"/>
      <c r="D343" s="525"/>
      <c r="E343" s="632" t="str">
        <f>"Rental income: "&amp;E$160</f>
        <v>Rental income: Uninvested Tranche</v>
      </c>
      <c r="F343" s="525"/>
      <c r="G343" s="525"/>
      <c r="H343" s="525"/>
      <c r="I343" s="525"/>
      <c r="J343" s="525"/>
      <c r="K343" s="525"/>
      <c r="L343" s="525"/>
      <c r="M343" s="525"/>
      <c r="N343" s="525"/>
      <c r="O343" s="525"/>
      <c r="P343" s="565"/>
      <c r="Q343" s="525"/>
      <c r="R343" s="527">
        <f t="shared" ref="R343:AW343" si="493">($R160*R$597*R495)+((($R160*R$597)+R333)*R487)</f>
        <v>43708.554708540942</v>
      </c>
      <c r="S343" s="527">
        <f t="shared" si="493"/>
        <v>43708.554708540942</v>
      </c>
      <c r="T343" s="527">
        <f t="shared" si="493"/>
        <v>43708.554708540942</v>
      </c>
      <c r="U343" s="527">
        <f t="shared" si="493"/>
        <v>43708.554708540942</v>
      </c>
      <c r="V343" s="527">
        <f t="shared" si="493"/>
        <v>43708.554708540942</v>
      </c>
      <c r="W343" s="527">
        <f t="shared" si="493"/>
        <v>43708.554708540942</v>
      </c>
      <c r="X343" s="527">
        <f t="shared" si="493"/>
        <v>43708.554708540942</v>
      </c>
      <c r="Y343" s="527">
        <f t="shared" si="493"/>
        <v>43708.554708540942</v>
      </c>
      <c r="Z343" s="527">
        <f t="shared" si="493"/>
        <v>43708.554708540942</v>
      </c>
      <c r="AA343" s="527">
        <f t="shared" si="493"/>
        <v>43708.554708540942</v>
      </c>
      <c r="AB343" s="527">
        <f t="shared" si="493"/>
        <v>43708.554708540942</v>
      </c>
      <c r="AC343" s="527">
        <f t="shared" si="493"/>
        <v>43708.554708540942</v>
      </c>
      <c r="AD343" s="527">
        <f t="shared" si="493"/>
        <v>44975.830075339414</v>
      </c>
      <c r="AE343" s="527">
        <f t="shared" si="493"/>
        <v>44975.830075339414</v>
      </c>
      <c r="AF343" s="527">
        <f t="shared" si="493"/>
        <v>44975.830075339414</v>
      </c>
      <c r="AG343" s="527">
        <f t="shared" si="493"/>
        <v>44975.830075339414</v>
      </c>
      <c r="AH343" s="527">
        <f t="shared" si="493"/>
        <v>44975.830075339414</v>
      </c>
      <c r="AI343" s="527">
        <f t="shared" si="493"/>
        <v>44975.830075339414</v>
      </c>
      <c r="AJ343" s="527">
        <f t="shared" si="493"/>
        <v>44975.830075339414</v>
      </c>
      <c r="AK343" s="527">
        <f t="shared" si="493"/>
        <v>44975.830075339414</v>
      </c>
      <c r="AL343" s="527">
        <f t="shared" si="493"/>
        <v>44975.830075339414</v>
      </c>
      <c r="AM343" s="527">
        <f t="shared" si="493"/>
        <v>44975.830075339414</v>
      </c>
      <c r="AN343" s="527">
        <f t="shared" si="493"/>
        <v>44975.830075339414</v>
      </c>
      <c r="AO343" s="527">
        <f t="shared" si="493"/>
        <v>44975.830075339414</v>
      </c>
      <c r="AP343" s="527">
        <f t="shared" si="493"/>
        <v>46212.128792861076</v>
      </c>
      <c r="AQ343" s="527">
        <f t="shared" si="493"/>
        <v>46212.128792861076</v>
      </c>
      <c r="AR343" s="527">
        <f t="shared" si="493"/>
        <v>46212.128792861076</v>
      </c>
      <c r="AS343" s="527">
        <f t="shared" si="493"/>
        <v>46212.128792861076</v>
      </c>
      <c r="AT343" s="527">
        <f t="shared" si="493"/>
        <v>46212.128792861076</v>
      </c>
      <c r="AU343" s="527">
        <f t="shared" si="493"/>
        <v>46212.128792861076</v>
      </c>
      <c r="AV343" s="527">
        <f t="shared" si="493"/>
        <v>46212.128792861076</v>
      </c>
      <c r="AW343" s="527">
        <f t="shared" si="493"/>
        <v>46212.128792861076</v>
      </c>
      <c r="AX343" s="527">
        <f t="shared" ref="AX343:BY343" si="494">($R160*AX$597*AX495)+((($R160*AX$597)+AX333)*AX487)</f>
        <v>46212.128792861076</v>
      </c>
      <c r="AY343" s="527">
        <f t="shared" si="494"/>
        <v>46212.128792861076</v>
      </c>
      <c r="AZ343" s="527">
        <f t="shared" si="494"/>
        <v>46212.128792861076</v>
      </c>
      <c r="BA343" s="527">
        <f t="shared" si="494"/>
        <v>46212.128792861076</v>
      </c>
      <c r="BB343" s="527">
        <f t="shared" si="494"/>
        <v>47283.4076212293</v>
      </c>
      <c r="BC343" s="527">
        <f t="shared" si="494"/>
        <v>47283.4076212293</v>
      </c>
      <c r="BD343" s="527">
        <f t="shared" si="494"/>
        <v>47283.4076212293</v>
      </c>
      <c r="BE343" s="527">
        <f t="shared" si="494"/>
        <v>47283.4076212293</v>
      </c>
      <c r="BF343" s="527">
        <f t="shared" si="494"/>
        <v>47283.4076212293</v>
      </c>
      <c r="BG343" s="527">
        <f t="shared" si="494"/>
        <v>47283.4076212293</v>
      </c>
      <c r="BH343" s="527">
        <f t="shared" si="494"/>
        <v>47283.4076212293</v>
      </c>
      <c r="BI343" s="527">
        <f t="shared" si="494"/>
        <v>47283.4076212293</v>
      </c>
      <c r="BJ343" s="527">
        <f t="shared" si="494"/>
        <v>47283.4076212293</v>
      </c>
      <c r="BK343" s="527">
        <f t="shared" si="494"/>
        <v>47283.4076212293</v>
      </c>
      <c r="BL343" s="527">
        <f t="shared" si="494"/>
        <v>47283.4076212293</v>
      </c>
      <c r="BM343" s="527">
        <f t="shared" si="494"/>
        <v>47283.4076212293</v>
      </c>
      <c r="BN343" s="527">
        <f t="shared" si="494"/>
        <v>48261.743739988742</v>
      </c>
      <c r="BO343" s="527">
        <f t="shared" si="494"/>
        <v>48261.743739988742</v>
      </c>
      <c r="BP343" s="527">
        <f t="shared" si="494"/>
        <v>48261.743739988742</v>
      </c>
      <c r="BQ343" s="527">
        <f t="shared" si="494"/>
        <v>48261.743739988742</v>
      </c>
      <c r="BR343" s="527">
        <f t="shared" si="494"/>
        <v>48261.743739988742</v>
      </c>
      <c r="BS343" s="527">
        <f t="shared" si="494"/>
        <v>48261.743739988742</v>
      </c>
      <c r="BT343" s="527">
        <f t="shared" si="494"/>
        <v>48261.743739988742</v>
      </c>
      <c r="BU343" s="527">
        <f t="shared" si="494"/>
        <v>48261.743739988742</v>
      </c>
      <c r="BV343" s="527">
        <f t="shared" si="494"/>
        <v>48261.743739988742</v>
      </c>
      <c r="BW343" s="527">
        <f t="shared" si="494"/>
        <v>48261.743739988742</v>
      </c>
      <c r="BX343" s="527">
        <f t="shared" si="494"/>
        <v>48261.743739988742</v>
      </c>
      <c r="BY343" s="527">
        <f t="shared" si="494"/>
        <v>48261.743739988742</v>
      </c>
    </row>
    <row r="344" spans="1:77" x14ac:dyDescent="0.3">
      <c r="A344" s="551"/>
      <c r="B344" s="548"/>
      <c r="C344" s="525"/>
      <c r="D344" s="525"/>
      <c r="E344" s="572" t="s">
        <v>36</v>
      </c>
      <c r="F344" s="572"/>
      <c r="G344" s="572"/>
      <c r="H344" s="572"/>
      <c r="I344" s="572"/>
      <c r="J344" s="572"/>
      <c r="K344" s="572"/>
      <c r="L344" s="572"/>
      <c r="M344" s="572"/>
      <c r="N344" s="572"/>
      <c r="O344" s="572"/>
      <c r="P344" s="612"/>
      <c r="Q344" s="572"/>
      <c r="R344" s="530">
        <f t="shared" ref="R344:AW344" si="495">SUM(R338:R343)</f>
        <v>123178.65417861537</v>
      </c>
      <c r="S344" s="530">
        <f t="shared" si="495"/>
        <v>123178.65417861537</v>
      </c>
      <c r="T344" s="530">
        <f t="shared" si="495"/>
        <v>123178.65417861537</v>
      </c>
      <c r="U344" s="530">
        <f t="shared" si="495"/>
        <v>123178.65417861537</v>
      </c>
      <c r="V344" s="530">
        <f t="shared" si="495"/>
        <v>123178.65417861537</v>
      </c>
      <c r="W344" s="530">
        <f t="shared" si="495"/>
        <v>123178.65417861537</v>
      </c>
      <c r="X344" s="530">
        <f t="shared" si="495"/>
        <v>125906.21792915446</v>
      </c>
      <c r="Y344" s="530">
        <f t="shared" si="495"/>
        <v>125906.21792915446</v>
      </c>
      <c r="Z344" s="530">
        <f t="shared" si="495"/>
        <v>125906.21792915446</v>
      </c>
      <c r="AA344" s="530">
        <f t="shared" si="495"/>
        <v>125906.21792915446</v>
      </c>
      <c r="AB344" s="530">
        <f t="shared" si="495"/>
        <v>125906.21792915446</v>
      </c>
      <c r="AC344" s="530">
        <f t="shared" si="495"/>
        <v>125906.21792915446</v>
      </c>
      <c r="AD344" s="530">
        <f t="shared" si="495"/>
        <v>128879.50252868209</v>
      </c>
      <c r="AE344" s="530">
        <f t="shared" si="495"/>
        <v>128879.50252868209</v>
      </c>
      <c r="AF344" s="530">
        <f t="shared" si="495"/>
        <v>128879.50252868209</v>
      </c>
      <c r="AG344" s="530">
        <f t="shared" si="495"/>
        <v>128879.50252868209</v>
      </c>
      <c r="AH344" s="530">
        <f t="shared" si="495"/>
        <v>128879.50252868209</v>
      </c>
      <c r="AI344" s="530">
        <f t="shared" si="495"/>
        <v>128879.50252868209</v>
      </c>
      <c r="AJ344" s="530">
        <f t="shared" si="495"/>
        <v>132387.5543355897</v>
      </c>
      <c r="AK344" s="530">
        <f t="shared" si="495"/>
        <v>132387.5543355897</v>
      </c>
      <c r="AL344" s="530">
        <f t="shared" si="495"/>
        <v>132387.5543355897</v>
      </c>
      <c r="AM344" s="530">
        <f t="shared" si="495"/>
        <v>132387.5543355897</v>
      </c>
      <c r="AN344" s="530">
        <f t="shared" si="495"/>
        <v>132387.5543355897</v>
      </c>
      <c r="AO344" s="530">
        <f t="shared" si="495"/>
        <v>132387.5543355897</v>
      </c>
      <c r="AP344" s="530">
        <f t="shared" si="495"/>
        <v>134687.55818612748</v>
      </c>
      <c r="AQ344" s="530">
        <f t="shared" si="495"/>
        <v>134687.55818612748</v>
      </c>
      <c r="AR344" s="530">
        <f t="shared" si="495"/>
        <v>134687.55818612748</v>
      </c>
      <c r="AS344" s="530">
        <f t="shared" si="495"/>
        <v>134687.55818612748</v>
      </c>
      <c r="AT344" s="530">
        <f t="shared" si="495"/>
        <v>134687.55818612748</v>
      </c>
      <c r="AU344" s="530">
        <f t="shared" si="495"/>
        <v>134687.55818612748</v>
      </c>
      <c r="AV344" s="530">
        <f t="shared" si="495"/>
        <v>139028.36412822574</v>
      </c>
      <c r="AW344" s="530">
        <f t="shared" si="495"/>
        <v>139028.36412822574</v>
      </c>
      <c r="AX344" s="530">
        <f t="shared" ref="AX344:BY344" si="496">SUM(AX338:AX343)</f>
        <v>139028.36412822574</v>
      </c>
      <c r="AY344" s="530">
        <f t="shared" si="496"/>
        <v>139028.36412822574</v>
      </c>
      <c r="AZ344" s="530">
        <f t="shared" si="496"/>
        <v>139028.36412822574</v>
      </c>
      <c r="BA344" s="530">
        <f t="shared" si="496"/>
        <v>139028.36412822574</v>
      </c>
      <c r="BB344" s="530">
        <f t="shared" si="496"/>
        <v>140372.46377229094</v>
      </c>
      <c r="BC344" s="530">
        <f t="shared" si="496"/>
        <v>140372.46377229094</v>
      </c>
      <c r="BD344" s="530">
        <f t="shared" si="496"/>
        <v>140372.46377229094</v>
      </c>
      <c r="BE344" s="530">
        <f t="shared" si="496"/>
        <v>140372.46377229094</v>
      </c>
      <c r="BF344" s="530">
        <f t="shared" si="496"/>
        <v>140372.46377229094</v>
      </c>
      <c r="BG344" s="530">
        <f t="shared" si="496"/>
        <v>140372.46377229094</v>
      </c>
      <c r="BH344" s="530">
        <f t="shared" si="496"/>
        <v>145599.35024609262</v>
      </c>
      <c r="BI344" s="530">
        <f t="shared" si="496"/>
        <v>145599.35024609262</v>
      </c>
      <c r="BJ344" s="530">
        <f t="shared" si="496"/>
        <v>145599.35024609262</v>
      </c>
      <c r="BK344" s="530">
        <f t="shared" si="496"/>
        <v>145599.35024609262</v>
      </c>
      <c r="BL344" s="530">
        <f t="shared" si="496"/>
        <v>145599.35024609262</v>
      </c>
      <c r="BM344" s="530">
        <f t="shared" si="496"/>
        <v>145599.35024609262</v>
      </c>
      <c r="BN344" s="530">
        <f t="shared" si="496"/>
        <v>146136.96151537728</v>
      </c>
      <c r="BO344" s="530">
        <f t="shared" si="496"/>
        <v>146136.96151537728</v>
      </c>
      <c r="BP344" s="530">
        <f t="shared" si="496"/>
        <v>146136.96151537728</v>
      </c>
      <c r="BQ344" s="530">
        <f t="shared" si="496"/>
        <v>146136.96151537728</v>
      </c>
      <c r="BR344" s="530">
        <f t="shared" si="496"/>
        <v>146136.96151537728</v>
      </c>
      <c r="BS344" s="530">
        <f t="shared" si="496"/>
        <v>146136.96151537728</v>
      </c>
      <c r="BT344" s="530">
        <f t="shared" si="496"/>
        <v>152305.53946286716</v>
      </c>
      <c r="BU344" s="530">
        <f t="shared" si="496"/>
        <v>152305.53946286716</v>
      </c>
      <c r="BV344" s="530">
        <f t="shared" si="496"/>
        <v>152305.53946286716</v>
      </c>
      <c r="BW344" s="530">
        <f t="shared" si="496"/>
        <v>152305.53946286716</v>
      </c>
      <c r="BX344" s="530">
        <f t="shared" si="496"/>
        <v>152305.53946286716</v>
      </c>
      <c r="BY344" s="530">
        <f t="shared" si="496"/>
        <v>152305.53946286716</v>
      </c>
    </row>
    <row r="345" spans="1:77" x14ac:dyDescent="0.3">
      <c r="A345" s="551"/>
      <c r="B345" s="548"/>
      <c r="C345" s="525"/>
      <c r="D345" s="525"/>
      <c r="E345" s="525"/>
      <c r="F345" s="525"/>
      <c r="G345" s="525"/>
      <c r="H345" s="525"/>
      <c r="I345" s="525"/>
      <c r="J345" s="525"/>
      <c r="K345" s="525"/>
      <c r="L345" s="525"/>
      <c r="M345" s="525"/>
      <c r="N345" s="525"/>
      <c r="O345" s="525"/>
      <c r="P345" s="565"/>
      <c r="Q345" s="525"/>
      <c r="R345" s="525"/>
      <c r="S345" s="525"/>
      <c r="T345" s="525"/>
      <c r="U345" s="525"/>
      <c r="V345" s="525"/>
      <c r="W345" s="525"/>
      <c r="X345" s="525"/>
      <c r="Y345" s="525"/>
      <c r="Z345" s="525"/>
      <c r="AA345" s="525"/>
      <c r="AB345" s="525"/>
      <c r="AC345" s="525"/>
      <c r="AD345" s="525"/>
      <c r="AE345" s="525"/>
      <c r="AF345" s="525"/>
      <c r="AG345" s="525"/>
      <c r="AH345" s="525"/>
      <c r="AI345" s="525"/>
      <c r="AJ345" s="525"/>
      <c r="AK345" s="525"/>
      <c r="AL345" s="525"/>
      <c r="AM345" s="525"/>
      <c r="AN345" s="525"/>
      <c r="AO345" s="525"/>
      <c r="AP345" s="525"/>
      <c r="AQ345" s="525"/>
      <c r="AR345" s="525"/>
      <c r="AS345" s="525"/>
      <c r="AT345" s="525"/>
      <c r="AU345" s="525"/>
      <c r="AV345" s="525"/>
      <c r="AW345" s="525"/>
      <c r="AX345" s="525"/>
      <c r="AY345" s="525"/>
      <c r="AZ345" s="525"/>
      <c r="BA345" s="525"/>
      <c r="BB345" s="525"/>
      <c r="BC345" s="525"/>
      <c r="BD345" s="525"/>
      <c r="BE345" s="525"/>
      <c r="BF345" s="525"/>
      <c r="BG345" s="525"/>
      <c r="BH345" s="525"/>
      <c r="BI345" s="525"/>
      <c r="BJ345" s="525"/>
      <c r="BK345" s="525"/>
      <c r="BL345" s="525"/>
      <c r="BM345" s="525"/>
      <c r="BN345" s="525"/>
      <c r="BO345" s="525"/>
      <c r="BP345" s="525"/>
      <c r="BQ345" s="525"/>
      <c r="BR345" s="525"/>
      <c r="BS345" s="525"/>
      <c r="BT345" s="525"/>
      <c r="BU345" s="525"/>
      <c r="BV345" s="525"/>
      <c r="BW345" s="525"/>
      <c r="BX345" s="525"/>
      <c r="BY345" s="525"/>
    </row>
    <row r="346" spans="1:77" x14ac:dyDescent="0.3">
      <c r="A346" s="551"/>
      <c r="B346" s="548"/>
      <c r="C346" s="525"/>
      <c r="D346" s="525"/>
      <c r="E346" s="633" t="str">
        <f>"Tie release fees: "&amp;E$155</f>
        <v>Tie release fees: FY27 Tranche</v>
      </c>
      <c r="F346" s="525"/>
      <c r="G346" s="525"/>
      <c r="H346" s="525"/>
      <c r="I346" s="525"/>
      <c r="J346" s="525"/>
      <c r="K346" s="525"/>
      <c r="L346" s="525"/>
      <c r="M346" s="525"/>
      <c r="N346" s="525"/>
      <c r="O346" s="525"/>
      <c r="P346" s="565"/>
      <c r="Q346" s="525"/>
      <c r="R346" s="527">
        <f t="shared" ref="R346:AW346" si="497">R$598*$R155</f>
        <v>1186.8874234532548</v>
      </c>
      <c r="S346" s="527">
        <f t="shared" si="497"/>
        <v>1186.8874234532548</v>
      </c>
      <c r="T346" s="527">
        <f t="shared" si="497"/>
        <v>1186.8874234532548</v>
      </c>
      <c r="U346" s="527">
        <f t="shared" si="497"/>
        <v>1186.8874234532548</v>
      </c>
      <c r="V346" s="527">
        <f t="shared" si="497"/>
        <v>1186.8874234532548</v>
      </c>
      <c r="W346" s="527">
        <f t="shared" si="497"/>
        <v>1186.8874234532548</v>
      </c>
      <c r="X346" s="527">
        <f t="shared" si="497"/>
        <v>1186.8874234532548</v>
      </c>
      <c r="Y346" s="527">
        <f t="shared" si="497"/>
        <v>1186.8874234532548</v>
      </c>
      <c r="Z346" s="527">
        <f t="shared" si="497"/>
        <v>1186.8874234532548</v>
      </c>
      <c r="AA346" s="527">
        <f t="shared" si="497"/>
        <v>1186.8874234532548</v>
      </c>
      <c r="AB346" s="527">
        <f t="shared" si="497"/>
        <v>1186.8874234532548</v>
      </c>
      <c r="AC346" s="527">
        <f t="shared" si="497"/>
        <v>1186.8874234532548</v>
      </c>
      <c r="AD346" s="527">
        <f t="shared" si="497"/>
        <v>1226.2891593401739</v>
      </c>
      <c r="AE346" s="527">
        <f t="shared" si="497"/>
        <v>1226.2891593401739</v>
      </c>
      <c r="AF346" s="527">
        <f t="shared" si="497"/>
        <v>1226.2891593401739</v>
      </c>
      <c r="AG346" s="527">
        <f t="shared" si="497"/>
        <v>1226.2891593401739</v>
      </c>
      <c r="AH346" s="527">
        <f t="shared" si="497"/>
        <v>1226.2891593401739</v>
      </c>
      <c r="AI346" s="527">
        <f t="shared" si="497"/>
        <v>1226.2891593401739</v>
      </c>
      <c r="AJ346" s="527">
        <f t="shared" si="497"/>
        <v>1226.2891593401739</v>
      </c>
      <c r="AK346" s="527">
        <f t="shared" si="497"/>
        <v>1226.2891593401739</v>
      </c>
      <c r="AL346" s="527">
        <f t="shared" si="497"/>
        <v>1226.2891593401739</v>
      </c>
      <c r="AM346" s="527">
        <f t="shared" si="497"/>
        <v>1226.2891593401739</v>
      </c>
      <c r="AN346" s="527">
        <f t="shared" si="497"/>
        <v>1226.2891593401739</v>
      </c>
      <c r="AO346" s="527">
        <f t="shared" si="497"/>
        <v>1226.2891593401739</v>
      </c>
      <c r="AP346" s="527">
        <f t="shared" si="497"/>
        <v>1265.3459651107094</v>
      </c>
      <c r="AQ346" s="527">
        <f t="shared" si="497"/>
        <v>1265.3459651107094</v>
      </c>
      <c r="AR346" s="527">
        <f t="shared" si="497"/>
        <v>1265.3459651107094</v>
      </c>
      <c r="AS346" s="527">
        <f t="shared" si="497"/>
        <v>1265.3459651107094</v>
      </c>
      <c r="AT346" s="527">
        <f t="shared" si="497"/>
        <v>1265.3459651107094</v>
      </c>
      <c r="AU346" s="527">
        <f t="shared" si="497"/>
        <v>1265.3459651107094</v>
      </c>
      <c r="AV346" s="527">
        <f t="shared" si="497"/>
        <v>1265.3459651107094</v>
      </c>
      <c r="AW346" s="527">
        <f t="shared" si="497"/>
        <v>1265.3459651107094</v>
      </c>
      <c r="AX346" s="527">
        <f t="shared" ref="AX346:BY346" si="498">AX$598*$R155</f>
        <v>1265.3459651107094</v>
      </c>
      <c r="AY346" s="527">
        <f t="shared" si="498"/>
        <v>1265.3459651107094</v>
      </c>
      <c r="AZ346" s="527">
        <f t="shared" si="498"/>
        <v>1265.3459651107094</v>
      </c>
      <c r="BA346" s="527">
        <f t="shared" si="498"/>
        <v>1265.3459651107094</v>
      </c>
      <c r="BB346" s="527">
        <f t="shared" si="498"/>
        <v>1297.9534106264211</v>
      </c>
      <c r="BC346" s="527">
        <f t="shared" si="498"/>
        <v>1297.9534106264211</v>
      </c>
      <c r="BD346" s="527">
        <f t="shared" si="498"/>
        <v>1297.9534106264211</v>
      </c>
      <c r="BE346" s="527">
        <f t="shared" si="498"/>
        <v>1297.9534106264211</v>
      </c>
      <c r="BF346" s="527">
        <f t="shared" si="498"/>
        <v>1297.9534106264211</v>
      </c>
      <c r="BG346" s="527">
        <f t="shared" si="498"/>
        <v>1297.9534106264211</v>
      </c>
      <c r="BH346" s="527">
        <f t="shared" si="498"/>
        <v>1297.9534106264211</v>
      </c>
      <c r="BI346" s="527">
        <f t="shared" si="498"/>
        <v>1297.9534106264211</v>
      </c>
      <c r="BJ346" s="527">
        <f t="shared" si="498"/>
        <v>1297.9534106264211</v>
      </c>
      <c r="BK346" s="527">
        <f t="shared" si="498"/>
        <v>1297.9534106264211</v>
      </c>
      <c r="BL346" s="527">
        <f t="shared" si="498"/>
        <v>1297.9534106264211</v>
      </c>
      <c r="BM346" s="527">
        <f t="shared" si="498"/>
        <v>1297.9534106264211</v>
      </c>
      <c r="BN346" s="527">
        <f t="shared" si="498"/>
        <v>1326.0190750045799</v>
      </c>
      <c r="BO346" s="527">
        <f t="shared" si="498"/>
        <v>1326.0190750045799</v>
      </c>
      <c r="BP346" s="527">
        <f t="shared" si="498"/>
        <v>1326.0190750045799</v>
      </c>
      <c r="BQ346" s="527">
        <f t="shared" si="498"/>
        <v>1326.0190750045799</v>
      </c>
      <c r="BR346" s="527">
        <f t="shared" si="498"/>
        <v>1326.0190750045799</v>
      </c>
      <c r="BS346" s="527">
        <f t="shared" si="498"/>
        <v>1326.0190750045799</v>
      </c>
      <c r="BT346" s="527">
        <f t="shared" si="498"/>
        <v>1326.0190750045799</v>
      </c>
      <c r="BU346" s="527">
        <f t="shared" si="498"/>
        <v>1326.0190750045799</v>
      </c>
      <c r="BV346" s="527">
        <f t="shared" si="498"/>
        <v>1326.0190750045799</v>
      </c>
      <c r="BW346" s="527">
        <f t="shared" si="498"/>
        <v>1326.0190750045799</v>
      </c>
      <c r="BX346" s="527">
        <f t="shared" si="498"/>
        <v>1326.0190750045799</v>
      </c>
      <c r="BY346" s="527">
        <f t="shared" si="498"/>
        <v>1326.0190750045799</v>
      </c>
    </row>
    <row r="347" spans="1:77" x14ac:dyDescent="0.3">
      <c r="A347" s="551"/>
      <c r="B347" s="548"/>
      <c r="C347" s="525"/>
      <c r="D347" s="525"/>
      <c r="E347" s="633" t="str">
        <f>"Tie release fees: "&amp;E$156</f>
        <v>Tie release fees: FY28 Tranche</v>
      </c>
      <c r="F347" s="525"/>
      <c r="G347" s="525"/>
      <c r="H347" s="525"/>
      <c r="I347" s="525"/>
      <c r="J347" s="525"/>
      <c r="K347" s="525"/>
      <c r="L347" s="525"/>
      <c r="M347" s="525"/>
      <c r="N347" s="525"/>
      <c r="O347" s="525"/>
      <c r="P347" s="565"/>
      <c r="Q347" s="525"/>
      <c r="R347" s="527">
        <f t="shared" ref="R347:AW347" si="499">R$598*$R156</f>
        <v>1186.8874234532548</v>
      </c>
      <c r="S347" s="527">
        <f t="shared" si="499"/>
        <v>1186.8874234532548</v>
      </c>
      <c r="T347" s="527">
        <f t="shared" si="499"/>
        <v>1186.8874234532548</v>
      </c>
      <c r="U347" s="527">
        <f t="shared" si="499"/>
        <v>1186.8874234532548</v>
      </c>
      <c r="V347" s="527">
        <f t="shared" si="499"/>
        <v>1186.8874234532548</v>
      </c>
      <c r="W347" s="527">
        <f t="shared" si="499"/>
        <v>1186.8874234532548</v>
      </c>
      <c r="X347" s="527">
        <f t="shared" si="499"/>
        <v>1186.8874234532548</v>
      </c>
      <c r="Y347" s="527">
        <f t="shared" si="499"/>
        <v>1186.8874234532548</v>
      </c>
      <c r="Z347" s="527">
        <f t="shared" si="499"/>
        <v>1186.8874234532548</v>
      </c>
      <c r="AA347" s="527">
        <f t="shared" si="499"/>
        <v>1186.8874234532548</v>
      </c>
      <c r="AB347" s="527">
        <f t="shared" si="499"/>
        <v>1186.8874234532548</v>
      </c>
      <c r="AC347" s="527">
        <f t="shared" si="499"/>
        <v>1186.8874234532548</v>
      </c>
      <c r="AD347" s="527">
        <f t="shared" si="499"/>
        <v>1226.2891593401739</v>
      </c>
      <c r="AE347" s="527">
        <f t="shared" si="499"/>
        <v>1226.2891593401739</v>
      </c>
      <c r="AF347" s="527">
        <f t="shared" si="499"/>
        <v>1226.2891593401739</v>
      </c>
      <c r="AG347" s="527">
        <f t="shared" si="499"/>
        <v>1226.2891593401739</v>
      </c>
      <c r="AH347" s="527">
        <f t="shared" si="499"/>
        <v>1226.2891593401739</v>
      </c>
      <c r="AI347" s="527">
        <f t="shared" si="499"/>
        <v>1226.2891593401739</v>
      </c>
      <c r="AJ347" s="527">
        <f t="shared" si="499"/>
        <v>1226.2891593401739</v>
      </c>
      <c r="AK347" s="527">
        <f t="shared" si="499"/>
        <v>1226.2891593401739</v>
      </c>
      <c r="AL347" s="527">
        <f t="shared" si="499"/>
        <v>1226.2891593401739</v>
      </c>
      <c r="AM347" s="527">
        <f t="shared" si="499"/>
        <v>1226.2891593401739</v>
      </c>
      <c r="AN347" s="527">
        <f t="shared" si="499"/>
        <v>1226.2891593401739</v>
      </c>
      <c r="AO347" s="527">
        <f t="shared" si="499"/>
        <v>1226.2891593401739</v>
      </c>
      <c r="AP347" s="527">
        <f t="shared" si="499"/>
        <v>1265.3459651107094</v>
      </c>
      <c r="AQ347" s="527">
        <f t="shared" si="499"/>
        <v>1265.3459651107094</v>
      </c>
      <c r="AR347" s="527">
        <f t="shared" si="499"/>
        <v>1265.3459651107094</v>
      </c>
      <c r="AS347" s="527">
        <f t="shared" si="499"/>
        <v>1265.3459651107094</v>
      </c>
      <c r="AT347" s="527">
        <f t="shared" si="499"/>
        <v>1265.3459651107094</v>
      </c>
      <c r="AU347" s="527">
        <f t="shared" si="499"/>
        <v>1265.3459651107094</v>
      </c>
      <c r="AV347" s="527">
        <f t="shared" si="499"/>
        <v>1265.3459651107094</v>
      </c>
      <c r="AW347" s="527">
        <f t="shared" si="499"/>
        <v>1265.3459651107094</v>
      </c>
      <c r="AX347" s="527">
        <f t="shared" ref="AX347:BY347" si="500">AX$598*$R156</f>
        <v>1265.3459651107094</v>
      </c>
      <c r="AY347" s="527">
        <f t="shared" si="500"/>
        <v>1265.3459651107094</v>
      </c>
      <c r="AZ347" s="527">
        <f t="shared" si="500"/>
        <v>1265.3459651107094</v>
      </c>
      <c r="BA347" s="527">
        <f t="shared" si="500"/>
        <v>1265.3459651107094</v>
      </c>
      <c r="BB347" s="527">
        <f t="shared" si="500"/>
        <v>1297.9534106264211</v>
      </c>
      <c r="BC347" s="527">
        <f t="shared" si="500"/>
        <v>1297.9534106264211</v>
      </c>
      <c r="BD347" s="527">
        <f t="shared" si="500"/>
        <v>1297.9534106264211</v>
      </c>
      <c r="BE347" s="527">
        <f t="shared" si="500"/>
        <v>1297.9534106264211</v>
      </c>
      <c r="BF347" s="527">
        <f t="shared" si="500"/>
        <v>1297.9534106264211</v>
      </c>
      <c r="BG347" s="527">
        <f t="shared" si="500"/>
        <v>1297.9534106264211</v>
      </c>
      <c r="BH347" s="527">
        <f t="shared" si="500"/>
        <v>1297.9534106264211</v>
      </c>
      <c r="BI347" s="527">
        <f t="shared" si="500"/>
        <v>1297.9534106264211</v>
      </c>
      <c r="BJ347" s="527">
        <f t="shared" si="500"/>
        <v>1297.9534106264211</v>
      </c>
      <c r="BK347" s="527">
        <f t="shared" si="500"/>
        <v>1297.9534106264211</v>
      </c>
      <c r="BL347" s="527">
        <f t="shared" si="500"/>
        <v>1297.9534106264211</v>
      </c>
      <c r="BM347" s="527">
        <f t="shared" si="500"/>
        <v>1297.9534106264211</v>
      </c>
      <c r="BN347" s="527">
        <f t="shared" si="500"/>
        <v>1326.0190750045799</v>
      </c>
      <c r="BO347" s="527">
        <f t="shared" si="500"/>
        <v>1326.0190750045799</v>
      </c>
      <c r="BP347" s="527">
        <f t="shared" si="500"/>
        <v>1326.0190750045799</v>
      </c>
      <c r="BQ347" s="527">
        <f t="shared" si="500"/>
        <v>1326.0190750045799</v>
      </c>
      <c r="BR347" s="527">
        <f t="shared" si="500"/>
        <v>1326.0190750045799</v>
      </c>
      <c r="BS347" s="527">
        <f t="shared" si="500"/>
        <v>1326.0190750045799</v>
      </c>
      <c r="BT347" s="527">
        <f t="shared" si="500"/>
        <v>1326.0190750045799</v>
      </c>
      <c r="BU347" s="527">
        <f t="shared" si="500"/>
        <v>1326.0190750045799</v>
      </c>
      <c r="BV347" s="527">
        <f t="shared" si="500"/>
        <v>1326.0190750045799</v>
      </c>
      <c r="BW347" s="527">
        <f t="shared" si="500"/>
        <v>1326.0190750045799</v>
      </c>
      <c r="BX347" s="527">
        <f t="shared" si="500"/>
        <v>1326.0190750045799</v>
      </c>
      <c r="BY347" s="527">
        <f t="shared" si="500"/>
        <v>1326.0190750045799</v>
      </c>
    </row>
    <row r="348" spans="1:77" x14ac:dyDescent="0.3">
      <c r="A348" s="551"/>
      <c r="B348" s="548"/>
      <c r="C348" s="525"/>
      <c r="D348" s="525"/>
      <c r="E348" s="633" t="str">
        <f>"Tie release fees: "&amp;E$157</f>
        <v>Tie release fees: FY29 Tranche</v>
      </c>
      <c r="F348" s="525"/>
      <c r="G348" s="525"/>
      <c r="H348" s="525"/>
      <c r="I348" s="525"/>
      <c r="J348" s="525"/>
      <c r="K348" s="525"/>
      <c r="L348" s="525"/>
      <c r="M348" s="525"/>
      <c r="N348" s="525"/>
      <c r="O348" s="525"/>
      <c r="P348" s="565"/>
      <c r="Q348" s="525"/>
      <c r="R348" s="527">
        <f t="shared" ref="R348:AW348" si="501">R$598*$R157</f>
        <v>1186.8874234532548</v>
      </c>
      <c r="S348" s="527">
        <f t="shared" si="501"/>
        <v>1186.8874234532548</v>
      </c>
      <c r="T348" s="527">
        <f t="shared" si="501"/>
        <v>1186.8874234532548</v>
      </c>
      <c r="U348" s="527">
        <f t="shared" si="501"/>
        <v>1186.8874234532548</v>
      </c>
      <c r="V348" s="527">
        <f t="shared" si="501"/>
        <v>1186.8874234532548</v>
      </c>
      <c r="W348" s="527">
        <f t="shared" si="501"/>
        <v>1186.8874234532548</v>
      </c>
      <c r="X348" s="527">
        <f t="shared" si="501"/>
        <v>1186.8874234532548</v>
      </c>
      <c r="Y348" s="527">
        <f t="shared" si="501"/>
        <v>1186.8874234532548</v>
      </c>
      <c r="Z348" s="527">
        <f t="shared" si="501"/>
        <v>1186.8874234532548</v>
      </c>
      <c r="AA348" s="527">
        <f t="shared" si="501"/>
        <v>1186.8874234532548</v>
      </c>
      <c r="AB348" s="527">
        <f t="shared" si="501"/>
        <v>1186.8874234532548</v>
      </c>
      <c r="AC348" s="527">
        <f t="shared" si="501"/>
        <v>1186.8874234532548</v>
      </c>
      <c r="AD348" s="527">
        <f t="shared" si="501"/>
        <v>1226.2891593401739</v>
      </c>
      <c r="AE348" s="527">
        <f t="shared" si="501"/>
        <v>1226.2891593401739</v>
      </c>
      <c r="AF348" s="527">
        <f t="shared" si="501"/>
        <v>1226.2891593401739</v>
      </c>
      <c r="AG348" s="527">
        <f t="shared" si="501"/>
        <v>1226.2891593401739</v>
      </c>
      <c r="AH348" s="527">
        <f t="shared" si="501"/>
        <v>1226.2891593401739</v>
      </c>
      <c r="AI348" s="527">
        <f t="shared" si="501"/>
        <v>1226.2891593401739</v>
      </c>
      <c r="AJ348" s="527">
        <f t="shared" si="501"/>
        <v>1226.2891593401739</v>
      </c>
      <c r="AK348" s="527">
        <f t="shared" si="501"/>
        <v>1226.2891593401739</v>
      </c>
      <c r="AL348" s="527">
        <f t="shared" si="501"/>
        <v>1226.2891593401739</v>
      </c>
      <c r="AM348" s="527">
        <f t="shared" si="501"/>
        <v>1226.2891593401739</v>
      </c>
      <c r="AN348" s="527">
        <f t="shared" si="501"/>
        <v>1226.2891593401739</v>
      </c>
      <c r="AO348" s="527">
        <f t="shared" si="501"/>
        <v>1226.2891593401739</v>
      </c>
      <c r="AP348" s="527">
        <f t="shared" si="501"/>
        <v>1265.3459651107094</v>
      </c>
      <c r="AQ348" s="527">
        <f t="shared" si="501"/>
        <v>1265.3459651107094</v>
      </c>
      <c r="AR348" s="527">
        <f t="shared" si="501"/>
        <v>1265.3459651107094</v>
      </c>
      <c r="AS348" s="527">
        <f t="shared" si="501"/>
        <v>1265.3459651107094</v>
      </c>
      <c r="AT348" s="527">
        <f t="shared" si="501"/>
        <v>1265.3459651107094</v>
      </c>
      <c r="AU348" s="527">
        <f t="shared" si="501"/>
        <v>1265.3459651107094</v>
      </c>
      <c r="AV348" s="527">
        <f t="shared" si="501"/>
        <v>1265.3459651107094</v>
      </c>
      <c r="AW348" s="527">
        <f t="shared" si="501"/>
        <v>1265.3459651107094</v>
      </c>
      <c r="AX348" s="527">
        <f t="shared" ref="AX348:BY348" si="502">AX$598*$R157</f>
        <v>1265.3459651107094</v>
      </c>
      <c r="AY348" s="527">
        <f t="shared" si="502"/>
        <v>1265.3459651107094</v>
      </c>
      <c r="AZ348" s="527">
        <f t="shared" si="502"/>
        <v>1265.3459651107094</v>
      </c>
      <c r="BA348" s="527">
        <f t="shared" si="502"/>
        <v>1265.3459651107094</v>
      </c>
      <c r="BB348" s="527">
        <f t="shared" si="502"/>
        <v>1297.9534106264211</v>
      </c>
      <c r="BC348" s="527">
        <f t="shared" si="502"/>
        <v>1297.9534106264211</v>
      </c>
      <c r="BD348" s="527">
        <f t="shared" si="502"/>
        <v>1297.9534106264211</v>
      </c>
      <c r="BE348" s="527">
        <f t="shared" si="502"/>
        <v>1297.9534106264211</v>
      </c>
      <c r="BF348" s="527">
        <f t="shared" si="502"/>
        <v>1297.9534106264211</v>
      </c>
      <c r="BG348" s="527">
        <f t="shared" si="502"/>
        <v>1297.9534106264211</v>
      </c>
      <c r="BH348" s="527">
        <f t="shared" si="502"/>
        <v>1297.9534106264211</v>
      </c>
      <c r="BI348" s="527">
        <f t="shared" si="502"/>
        <v>1297.9534106264211</v>
      </c>
      <c r="BJ348" s="527">
        <f t="shared" si="502"/>
        <v>1297.9534106264211</v>
      </c>
      <c r="BK348" s="527">
        <f t="shared" si="502"/>
        <v>1297.9534106264211</v>
      </c>
      <c r="BL348" s="527">
        <f t="shared" si="502"/>
        <v>1297.9534106264211</v>
      </c>
      <c r="BM348" s="527">
        <f t="shared" si="502"/>
        <v>1297.9534106264211</v>
      </c>
      <c r="BN348" s="527">
        <f t="shared" si="502"/>
        <v>1326.0190750045799</v>
      </c>
      <c r="BO348" s="527">
        <f t="shared" si="502"/>
        <v>1326.0190750045799</v>
      </c>
      <c r="BP348" s="527">
        <f t="shared" si="502"/>
        <v>1326.0190750045799</v>
      </c>
      <c r="BQ348" s="527">
        <f t="shared" si="502"/>
        <v>1326.0190750045799</v>
      </c>
      <c r="BR348" s="527">
        <f t="shared" si="502"/>
        <v>1326.0190750045799</v>
      </c>
      <c r="BS348" s="527">
        <f t="shared" si="502"/>
        <v>1326.0190750045799</v>
      </c>
      <c r="BT348" s="527">
        <f t="shared" si="502"/>
        <v>1326.0190750045799</v>
      </c>
      <c r="BU348" s="527">
        <f t="shared" si="502"/>
        <v>1326.0190750045799</v>
      </c>
      <c r="BV348" s="527">
        <f t="shared" si="502"/>
        <v>1326.0190750045799</v>
      </c>
      <c r="BW348" s="527">
        <f t="shared" si="502"/>
        <v>1326.0190750045799</v>
      </c>
      <c r="BX348" s="527">
        <f t="shared" si="502"/>
        <v>1326.0190750045799</v>
      </c>
      <c r="BY348" s="527">
        <f t="shared" si="502"/>
        <v>1326.0190750045799</v>
      </c>
    </row>
    <row r="349" spans="1:77" x14ac:dyDescent="0.3">
      <c r="A349" s="551"/>
      <c r="B349" s="548"/>
      <c r="C349" s="525"/>
      <c r="D349" s="525"/>
      <c r="E349" s="633" t="str">
        <f>"Tie release fees: "&amp;E$158</f>
        <v>Tie release fees: FY30 Tranche</v>
      </c>
      <c r="F349" s="525"/>
      <c r="G349" s="525"/>
      <c r="H349" s="525"/>
      <c r="I349" s="525"/>
      <c r="J349" s="525"/>
      <c r="K349" s="525"/>
      <c r="L349" s="525"/>
      <c r="M349" s="525"/>
      <c r="N349" s="525"/>
      <c r="O349" s="525"/>
      <c r="P349" s="565"/>
      <c r="Q349" s="525"/>
      <c r="R349" s="527">
        <f t="shared" ref="R349:AW349" si="503">R$598*$R158</f>
        <v>1186.8874234532548</v>
      </c>
      <c r="S349" s="527">
        <f t="shared" si="503"/>
        <v>1186.8874234532548</v>
      </c>
      <c r="T349" s="527">
        <f t="shared" si="503"/>
        <v>1186.8874234532548</v>
      </c>
      <c r="U349" s="527">
        <f t="shared" si="503"/>
        <v>1186.8874234532548</v>
      </c>
      <c r="V349" s="527">
        <f t="shared" si="503"/>
        <v>1186.8874234532548</v>
      </c>
      <c r="W349" s="527">
        <f t="shared" si="503"/>
        <v>1186.8874234532548</v>
      </c>
      <c r="X349" s="527">
        <f t="shared" si="503"/>
        <v>1186.8874234532548</v>
      </c>
      <c r="Y349" s="527">
        <f t="shared" si="503"/>
        <v>1186.8874234532548</v>
      </c>
      <c r="Z349" s="527">
        <f t="shared" si="503"/>
        <v>1186.8874234532548</v>
      </c>
      <c r="AA349" s="527">
        <f t="shared" si="503"/>
        <v>1186.8874234532548</v>
      </c>
      <c r="AB349" s="527">
        <f t="shared" si="503"/>
        <v>1186.8874234532548</v>
      </c>
      <c r="AC349" s="527">
        <f t="shared" si="503"/>
        <v>1186.8874234532548</v>
      </c>
      <c r="AD349" s="527">
        <f t="shared" si="503"/>
        <v>1226.2891593401739</v>
      </c>
      <c r="AE349" s="527">
        <f t="shared" si="503"/>
        <v>1226.2891593401739</v>
      </c>
      <c r="AF349" s="527">
        <f t="shared" si="503"/>
        <v>1226.2891593401739</v>
      </c>
      <c r="AG349" s="527">
        <f t="shared" si="503"/>
        <v>1226.2891593401739</v>
      </c>
      <c r="AH349" s="527">
        <f t="shared" si="503"/>
        <v>1226.2891593401739</v>
      </c>
      <c r="AI349" s="527">
        <f t="shared" si="503"/>
        <v>1226.2891593401739</v>
      </c>
      <c r="AJ349" s="527">
        <f t="shared" si="503"/>
        <v>1226.2891593401739</v>
      </c>
      <c r="AK349" s="527">
        <f t="shared" si="503"/>
        <v>1226.2891593401739</v>
      </c>
      <c r="AL349" s="527">
        <f t="shared" si="503"/>
        <v>1226.2891593401739</v>
      </c>
      <c r="AM349" s="527">
        <f t="shared" si="503"/>
        <v>1226.2891593401739</v>
      </c>
      <c r="AN349" s="527">
        <f t="shared" si="503"/>
        <v>1226.2891593401739</v>
      </c>
      <c r="AO349" s="527">
        <f t="shared" si="503"/>
        <v>1226.2891593401739</v>
      </c>
      <c r="AP349" s="527">
        <f t="shared" si="503"/>
        <v>1265.3459651107094</v>
      </c>
      <c r="AQ349" s="527">
        <f t="shared" si="503"/>
        <v>1265.3459651107094</v>
      </c>
      <c r="AR349" s="527">
        <f t="shared" si="503"/>
        <v>1265.3459651107094</v>
      </c>
      <c r="AS349" s="527">
        <f t="shared" si="503"/>
        <v>1265.3459651107094</v>
      </c>
      <c r="AT349" s="527">
        <f t="shared" si="503"/>
        <v>1265.3459651107094</v>
      </c>
      <c r="AU349" s="527">
        <f t="shared" si="503"/>
        <v>1265.3459651107094</v>
      </c>
      <c r="AV349" s="527">
        <f t="shared" si="503"/>
        <v>1265.3459651107094</v>
      </c>
      <c r="AW349" s="527">
        <f t="shared" si="503"/>
        <v>1265.3459651107094</v>
      </c>
      <c r="AX349" s="527">
        <f t="shared" ref="AX349:BY349" si="504">AX$598*$R158</f>
        <v>1265.3459651107094</v>
      </c>
      <c r="AY349" s="527">
        <f t="shared" si="504"/>
        <v>1265.3459651107094</v>
      </c>
      <c r="AZ349" s="527">
        <f t="shared" si="504"/>
        <v>1265.3459651107094</v>
      </c>
      <c r="BA349" s="527">
        <f t="shared" si="504"/>
        <v>1265.3459651107094</v>
      </c>
      <c r="BB349" s="527">
        <f t="shared" si="504"/>
        <v>1297.9534106264211</v>
      </c>
      <c r="BC349" s="527">
        <f t="shared" si="504"/>
        <v>1297.9534106264211</v>
      </c>
      <c r="BD349" s="527">
        <f t="shared" si="504"/>
        <v>1297.9534106264211</v>
      </c>
      <c r="BE349" s="527">
        <f t="shared" si="504"/>
        <v>1297.9534106264211</v>
      </c>
      <c r="BF349" s="527">
        <f t="shared" si="504"/>
        <v>1297.9534106264211</v>
      </c>
      <c r="BG349" s="527">
        <f t="shared" si="504"/>
        <v>1297.9534106264211</v>
      </c>
      <c r="BH349" s="527">
        <f t="shared" si="504"/>
        <v>1297.9534106264211</v>
      </c>
      <c r="BI349" s="527">
        <f t="shared" si="504"/>
        <v>1297.9534106264211</v>
      </c>
      <c r="BJ349" s="527">
        <f t="shared" si="504"/>
        <v>1297.9534106264211</v>
      </c>
      <c r="BK349" s="527">
        <f t="shared" si="504"/>
        <v>1297.9534106264211</v>
      </c>
      <c r="BL349" s="527">
        <f t="shared" si="504"/>
        <v>1297.9534106264211</v>
      </c>
      <c r="BM349" s="527">
        <f t="shared" si="504"/>
        <v>1297.9534106264211</v>
      </c>
      <c r="BN349" s="527">
        <f t="shared" si="504"/>
        <v>1326.0190750045799</v>
      </c>
      <c r="BO349" s="527">
        <f t="shared" si="504"/>
        <v>1326.0190750045799</v>
      </c>
      <c r="BP349" s="527">
        <f t="shared" si="504"/>
        <v>1326.0190750045799</v>
      </c>
      <c r="BQ349" s="527">
        <f t="shared" si="504"/>
        <v>1326.0190750045799</v>
      </c>
      <c r="BR349" s="527">
        <f t="shared" si="504"/>
        <v>1326.0190750045799</v>
      </c>
      <c r="BS349" s="527">
        <f t="shared" si="504"/>
        <v>1326.0190750045799</v>
      </c>
      <c r="BT349" s="527">
        <f t="shared" si="504"/>
        <v>1326.0190750045799</v>
      </c>
      <c r="BU349" s="527">
        <f t="shared" si="504"/>
        <v>1326.0190750045799</v>
      </c>
      <c r="BV349" s="527">
        <f t="shared" si="504"/>
        <v>1326.0190750045799</v>
      </c>
      <c r="BW349" s="527">
        <f t="shared" si="504"/>
        <v>1326.0190750045799</v>
      </c>
      <c r="BX349" s="527">
        <f t="shared" si="504"/>
        <v>1326.0190750045799</v>
      </c>
      <c r="BY349" s="527">
        <f t="shared" si="504"/>
        <v>1326.0190750045799</v>
      </c>
    </row>
    <row r="350" spans="1:77" x14ac:dyDescent="0.3">
      <c r="A350" s="551"/>
      <c r="B350" s="548"/>
      <c r="C350" s="525"/>
      <c r="D350" s="525"/>
      <c r="E350" s="633" t="str">
        <f>"Tie release fees: "&amp;E$159</f>
        <v>Tie release fees: FY31 Tranche</v>
      </c>
      <c r="F350" s="525"/>
      <c r="G350" s="525"/>
      <c r="H350" s="525"/>
      <c r="I350" s="525"/>
      <c r="J350" s="525"/>
      <c r="K350" s="525"/>
      <c r="L350" s="525"/>
      <c r="M350" s="525"/>
      <c r="N350" s="525"/>
      <c r="O350" s="525"/>
      <c r="P350" s="565"/>
      <c r="Q350" s="525"/>
      <c r="R350" s="527">
        <f t="shared" ref="R350:AW350" si="505">R$598*$R159</f>
        <v>1186.8874234532548</v>
      </c>
      <c r="S350" s="527">
        <f t="shared" si="505"/>
        <v>1186.8874234532548</v>
      </c>
      <c r="T350" s="527">
        <f t="shared" si="505"/>
        <v>1186.8874234532548</v>
      </c>
      <c r="U350" s="527">
        <f t="shared" si="505"/>
        <v>1186.8874234532548</v>
      </c>
      <c r="V350" s="527">
        <f t="shared" si="505"/>
        <v>1186.8874234532548</v>
      </c>
      <c r="W350" s="527">
        <f t="shared" si="505"/>
        <v>1186.8874234532548</v>
      </c>
      <c r="X350" s="527">
        <f t="shared" si="505"/>
        <v>1186.8874234532548</v>
      </c>
      <c r="Y350" s="527">
        <f t="shared" si="505"/>
        <v>1186.8874234532548</v>
      </c>
      <c r="Z350" s="527">
        <f t="shared" si="505"/>
        <v>1186.8874234532548</v>
      </c>
      <c r="AA350" s="527">
        <f t="shared" si="505"/>
        <v>1186.8874234532548</v>
      </c>
      <c r="AB350" s="527">
        <f t="shared" si="505"/>
        <v>1186.8874234532548</v>
      </c>
      <c r="AC350" s="527">
        <f t="shared" si="505"/>
        <v>1186.8874234532548</v>
      </c>
      <c r="AD350" s="527">
        <f t="shared" si="505"/>
        <v>1226.2891593401739</v>
      </c>
      <c r="AE350" s="527">
        <f t="shared" si="505"/>
        <v>1226.2891593401739</v>
      </c>
      <c r="AF350" s="527">
        <f t="shared" si="505"/>
        <v>1226.2891593401739</v>
      </c>
      <c r="AG350" s="527">
        <f t="shared" si="505"/>
        <v>1226.2891593401739</v>
      </c>
      <c r="AH350" s="527">
        <f t="shared" si="505"/>
        <v>1226.2891593401739</v>
      </c>
      <c r="AI350" s="527">
        <f t="shared" si="505"/>
        <v>1226.2891593401739</v>
      </c>
      <c r="AJ350" s="527">
        <f t="shared" si="505"/>
        <v>1226.2891593401739</v>
      </c>
      <c r="AK350" s="527">
        <f t="shared" si="505"/>
        <v>1226.2891593401739</v>
      </c>
      <c r="AL350" s="527">
        <f t="shared" si="505"/>
        <v>1226.2891593401739</v>
      </c>
      <c r="AM350" s="527">
        <f t="shared" si="505"/>
        <v>1226.2891593401739</v>
      </c>
      <c r="AN350" s="527">
        <f t="shared" si="505"/>
        <v>1226.2891593401739</v>
      </c>
      <c r="AO350" s="527">
        <f t="shared" si="505"/>
        <v>1226.2891593401739</v>
      </c>
      <c r="AP350" s="527">
        <f t="shared" si="505"/>
        <v>1265.3459651107094</v>
      </c>
      <c r="AQ350" s="527">
        <f t="shared" si="505"/>
        <v>1265.3459651107094</v>
      </c>
      <c r="AR350" s="527">
        <f t="shared" si="505"/>
        <v>1265.3459651107094</v>
      </c>
      <c r="AS350" s="527">
        <f t="shared" si="505"/>
        <v>1265.3459651107094</v>
      </c>
      <c r="AT350" s="527">
        <f t="shared" si="505"/>
        <v>1265.3459651107094</v>
      </c>
      <c r="AU350" s="527">
        <f t="shared" si="505"/>
        <v>1265.3459651107094</v>
      </c>
      <c r="AV350" s="527">
        <f t="shared" si="505"/>
        <v>1265.3459651107094</v>
      </c>
      <c r="AW350" s="527">
        <f t="shared" si="505"/>
        <v>1265.3459651107094</v>
      </c>
      <c r="AX350" s="527">
        <f t="shared" ref="AX350:BY350" si="506">AX$598*$R159</f>
        <v>1265.3459651107094</v>
      </c>
      <c r="AY350" s="527">
        <f t="shared" si="506"/>
        <v>1265.3459651107094</v>
      </c>
      <c r="AZ350" s="527">
        <f t="shared" si="506"/>
        <v>1265.3459651107094</v>
      </c>
      <c r="BA350" s="527">
        <f t="shared" si="506"/>
        <v>1265.3459651107094</v>
      </c>
      <c r="BB350" s="527">
        <f t="shared" si="506"/>
        <v>1297.9534106264211</v>
      </c>
      <c r="BC350" s="527">
        <f t="shared" si="506"/>
        <v>1297.9534106264211</v>
      </c>
      <c r="BD350" s="527">
        <f t="shared" si="506"/>
        <v>1297.9534106264211</v>
      </c>
      <c r="BE350" s="527">
        <f t="shared" si="506"/>
        <v>1297.9534106264211</v>
      </c>
      <c r="BF350" s="527">
        <f t="shared" si="506"/>
        <v>1297.9534106264211</v>
      </c>
      <c r="BG350" s="527">
        <f t="shared" si="506"/>
        <v>1297.9534106264211</v>
      </c>
      <c r="BH350" s="527">
        <f t="shared" si="506"/>
        <v>1297.9534106264211</v>
      </c>
      <c r="BI350" s="527">
        <f t="shared" si="506"/>
        <v>1297.9534106264211</v>
      </c>
      <c r="BJ350" s="527">
        <f t="shared" si="506"/>
        <v>1297.9534106264211</v>
      </c>
      <c r="BK350" s="527">
        <f t="shared" si="506"/>
        <v>1297.9534106264211</v>
      </c>
      <c r="BL350" s="527">
        <f t="shared" si="506"/>
        <v>1297.9534106264211</v>
      </c>
      <c r="BM350" s="527">
        <f t="shared" si="506"/>
        <v>1297.9534106264211</v>
      </c>
      <c r="BN350" s="527">
        <f t="shared" si="506"/>
        <v>1326.0190750045799</v>
      </c>
      <c r="BO350" s="527">
        <f t="shared" si="506"/>
        <v>1326.0190750045799</v>
      </c>
      <c r="BP350" s="527">
        <f t="shared" si="506"/>
        <v>1326.0190750045799</v>
      </c>
      <c r="BQ350" s="527">
        <f t="shared" si="506"/>
        <v>1326.0190750045799</v>
      </c>
      <c r="BR350" s="527">
        <f t="shared" si="506"/>
        <v>1326.0190750045799</v>
      </c>
      <c r="BS350" s="527">
        <f t="shared" si="506"/>
        <v>1326.0190750045799</v>
      </c>
      <c r="BT350" s="527">
        <f t="shared" si="506"/>
        <v>1326.0190750045799</v>
      </c>
      <c r="BU350" s="527">
        <f t="shared" si="506"/>
        <v>1326.0190750045799</v>
      </c>
      <c r="BV350" s="527">
        <f t="shared" si="506"/>
        <v>1326.0190750045799</v>
      </c>
      <c r="BW350" s="527">
        <f t="shared" si="506"/>
        <v>1326.0190750045799</v>
      </c>
      <c r="BX350" s="527">
        <f t="shared" si="506"/>
        <v>1326.0190750045799</v>
      </c>
      <c r="BY350" s="527">
        <f t="shared" si="506"/>
        <v>1326.0190750045799</v>
      </c>
    </row>
    <row r="351" spans="1:77" x14ac:dyDescent="0.3">
      <c r="A351" s="551"/>
      <c r="B351" s="548"/>
      <c r="C351" s="525"/>
      <c r="D351" s="525"/>
      <c r="E351" s="633" t="str">
        <f>"Tie release fees: "&amp;E$160</f>
        <v>Tie release fees: Uninvested Tranche</v>
      </c>
      <c r="F351" s="525"/>
      <c r="G351" s="525"/>
      <c r="H351" s="525"/>
      <c r="I351" s="525"/>
      <c r="J351" s="525"/>
      <c r="K351" s="525"/>
      <c r="L351" s="525"/>
      <c r="M351" s="525"/>
      <c r="N351" s="525"/>
      <c r="O351" s="525"/>
      <c r="P351" s="565"/>
      <c r="Q351" s="525"/>
      <c r="R351" s="527">
        <f t="shared" ref="R351:AW351" si="507">R$598*$R160</f>
        <v>3263.9404144964506</v>
      </c>
      <c r="S351" s="527">
        <f t="shared" si="507"/>
        <v>3263.9404144964506</v>
      </c>
      <c r="T351" s="527">
        <f t="shared" si="507"/>
        <v>3263.9404144964506</v>
      </c>
      <c r="U351" s="527">
        <f t="shared" si="507"/>
        <v>3263.9404144964506</v>
      </c>
      <c r="V351" s="527">
        <f t="shared" si="507"/>
        <v>3263.9404144964506</v>
      </c>
      <c r="W351" s="527">
        <f t="shared" si="507"/>
        <v>3263.9404144964506</v>
      </c>
      <c r="X351" s="527">
        <f t="shared" si="507"/>
        <v>3263.9404144964506</v>
      </c>
      <c r="Y351" s="527">
        <f t="shared" si="507"/>
        <v>3263.9404144964506</v>
      </c>
      <c r="Z351" s="527">
        <f t="shared" si="507"/>
        <v>3263.9404144964506</v>
      </c>
      <c r="AA351" s="527">
        <f t="shared" si="507"/>
        <v>3263.9404144964506</v>
      </c>
      <c r="AB351" s="527">
        <f t="shared" si="507"/>
        <v>3263.9404144964506</v>
      </c>
      <c r="AC351" s="527">
        <f t="shared" si="507"/>
        <v>3263.9404144964506</v>
      </c>
      <c r="AD351" s="527">
        <f t="shared" si="507"/>
        <v>3372.2951881854783</v>
      </c>
      <c r="AE351" s="527">
        <f t="shared" si="507"/>
        <v>3372.2951881854783</v>
      </c>
      <c r="AF351" s="527">
        <f t="shared" si="507"/>
        <v>3372.2951881854783</v>
      </c>
      <c r="AG351" s="527">
        <f t="shared" si="507"/>
        <v>3372.2951881854783</v>
      </c>
      <c r="AH351" s="527">
        <f t="shared" si="507"/>
        <v>3372.2951881854783</v>
      </c>
      <c r="AI351" s="527">
        <f t="shared" si="507"/>
        <v>3372.2951881854783</v>
      </c>
      <c r="AJ351" s="527">
        <f t="shared" si="507"/>
        <v>3372.2951881854783</v>
      </c>
      <c r="AK351" s="527">
        <f t="shared" si="507"/>
        <v>3372.2951881854783</v>
      </c>
      <c r="AL351" s="527">
        <f t="shared" si="507"/>
        <v>3372.2951881854783</v>
      </c>
      <c r="AM351" s="527">
        <f t="shared" si="507"/>
        <v>3372.2951881854783</v>
      </c>
      <c r="AN351" s="527">
        <f t="shared" si="507"/>
        <v>3372.2951881854783</v>
      </c>
      <c r="AO351" s="527">
        <f t="shared" si="507"/>
        <v>3372.2951881854783</v>
      </c>
      <c r="AP351" s="527">
        <f t="shared" si="507"/>
        <v>3479.7014040544509</v>
      </c>
      <c r="AQ351" s="527">
        <f t="shared" si="507"/>
        <v>3479.7014040544509</v>
      </c>
      <c r="AR351" s="527">
        <f t="shared" si="507"/>
        <v>3479.7014040544509</v>
      </c>
      <c r="AS351" s="527">
        <f t="shared" si="507"/>
        <v>3479.7014040544509</v>
      </c>
      <c r="AT351" s="527">
        <f t="shared" si="507"/>
        <v>3479.7014040544509</v>
      </c>
      <c r="AU351" s="527">
        <f t="shared" si="507"/>
        <v>3479.7014040544509</v>
      </c>
      <c r="AV351" s="527">
        <f t="shared" si="507"/>
        <v>3479.7014040544509</v>
      </c>
      <c r="AW351" s="527">
        <f t="shared" si="507"/>
        <v>3479.7014040544509</v>
      </c>
      <c r="AX351" s="527">
        <f t="shared" ref="AX351:BY351" si="508">AX$598*$R160</f>
        <v>3479.7014040544509</v>
      </c>
      <c r="AY351" s="527">
        <f t="shared" si="508"/>
        <v>3479.7014040544509</v>
      </c>
      <c r="AZ351" s="527">
        <f t="shared" si="508"/>
        <v>3479.7014040544509</v>
      </c>
      <c r="BA351" s="527">
        <f t="shared" si="508"/>
        <v>3479.7014040544509</v>
      </c>
      <c r="BB351" s="527">
        <f t="shared" si="508"/>
        <v>3569.3718792226582</v>
      </c>
      <c r="BC351" s="527">
        <f t="shared" si="508"/>
        <v>3569.3718792226582</v>
      </c>
      <c r="BD351" s="527">
        <f t="shared" si="508"/>
        <v>3569.3718792226582</v>
      </c>
      <c r="BE351" s="527">
        <f t="shared" si="508"/>
        <v>3569.3718792226582</v>
      </c>
      <c r="BF351" s="527">
        <f t="shared" si="508"/>
        <v>3569.3718792226582</v>
      </c>
      <c r="BG351" s="527">
        <f t="shared" si="508"/>
        <v>3569.3718792226582</v>
      </c>
      <c r="BH351" s="527">
        <f t="shared" si="508"/>
        <v>3569.3718792226582</v>
      </c>
      <c r="BI351" s="527">
        <f t="shared" si="508"/>
        <v>3569.3718792226582</v>
      </c>
      <c r="BJ351" s="527">
        <f t="shared" si="508"/>
        <v>3569.3718792226582</v>
      </c>
      <c r="BK351" s="527">
        <f t="shared" si="508"/>
        <v>3569.3718792226582</v>
      </c>
      <c r="BL351" s="527">
        <f t="shared" si="508"/>
        <v>3569.3718792226582</v>
      </c>
      <c r="BM351" s="527">
        <f t="shared" si="508"/>
        <v>3569.3718792226582</v>
      </c>
      <c r="BN351" s="527">
        <f t="shared" si="508"/>
        <v>3646.5524562625947</v>
      </c>
      <c r="BO351" s="527">
        <f t="shared" si="508"/>
        <v>3646.5524562625947</v>
      </c>
      <c r="BP351" s="527">
        <f t="shared" si="508"/>
        <v>3646.5524562625947</v>
      </c>
      <c r="BQ351" s="527">
        <f t="shared" si="508"/>
        <v>3646.5524562625947</v>
      </c>
      <c r="BR351" s="527">
        <f t="shared" si="508"/>
        <v>3646.5524562625947</v>
      </c>
      <c r="BS351" s="527">
        <f t="shared" si="508"/>
        <v>3646.5524562625947</v>
      </c>
      <c r="BT351" s="527">
        <f t="shared" si="508"/>
        <v>3646.5524562625947</v>
      </c>
      <c r="BU351" s="527">
        <f t="shared" si="508"/>
        <v>3646.5524562625947</v>
      </c>
      <c r="BV351" s="527">
        <f t="shared" si="508"/>
        <v>3646.5524562625947</v>
      </c>
      <c r="BW351" s="527">
        <f t="shared" si="508"/>
        <v>3646.5524562625947</v>
      </c>
      <c r="BX351" s="527">
        <f t="shared" si="508"/>
        <v>3646.5524562625947</v>
      </c>
      <c r="BY351" s="527">
        <f t="shared" si="508"/>
        <v>3646.5524562625947</v>
      </c>
    </row>
    <row r="352" spans="1:77" x14ac:dyDescent="0.3">
      <c r="A352" s="551"/>
      <c r="B352" s="548"/>
      <c r="C352" s="525"/>
      <c r="D352" s="525"/>
      <c r="E352" s="572" t="s">
        <v>36</v>
      </c>
      <c r="F352" s="572"/>
      <c r="G352" s="572"/>
      <c r="H352" s="572"/>
      <c r="I352" s="572"/>
      <c r="J352" s="572"/>
      <c r="K352" s="572"/>
      <c r="L352" s="572"/>
      <c r="M352" s="572"/>
      <c r="N352" s="572"/>
      <c r="O352" s="572"/>
      <c r="P352" s="612"/>
      <c r="Q352" s="572"/>
      <c r="R352" s="530">
        <f t="shared" ref="R352:AW352" si="509">SUM(R346:R351)</f>
        <v>9198.3775317627242</v>
      </c>
      <c r="S352" s="530">
        <f t="shared" si="509"/>
        <v>9198.3775317627242</v>
      </c>
      <c r="T352" s="530">
        <f t="shared" si="509"/>
        <v>9198.3775317627242</v>
      </c>
      <c r="U352" s="530">
        <f t="shared" si="509"/>
        <v>9198.3775317627242</v>
      </c>
      <c r="V352" s="530">
        <f t="shared" si="509"/>
        <v>9198.3775317627242</v>
      </c>
      <c r="W352" s="530">
        <f t="shared" si="509"/>
        <v>9198.3775317627242</v>
      </c>
      <c r="X352" s="530">
        <f t="shared" si="509"/>
        <v>9198.3775317627242</v>
      </c>
      <c r="Y352" s="530">
        <f t="shared" si="509"/>
        <v>9198.3775317627242</v>
      </c>
      <c r="Z352" s="530">
        <f t="shared" si="509"/>
        <v>9198.3775317627242</v>
      </c>
      <c r="AA352" s="530">
        <f t="shared" si="509"/>
        <v>9198.3775317627242</v>
      </c>
      <c r="AB352" s="530">
        <f t="shared" si="509"/>
        <v>9198.3775317627242</v>
      </c>
      <c r="AC352" s="530">
        <f t="shared" si="509"/>
        <v>9198.3775317627242</v>
      </c>
      <c r="AD352" s="530">
        <f t="shared" si="509"/>
        <v>9503.7409848863481</v>
      </c>
      <c r="AE352" s="530">
        <f t="shared" si="509"/>
        <v>9503.7409848863481</v>
      </c>
      <c r="AF352" s="530">
        <f t="shared" si="509"/>
        <v>9503.7409848863481</v>
      </c>
      <c r="AG352" s="530">
        <f t="shared" si="509"/>
        <v>9503.7409848863481</v>
      </c>
      <c r="AH352" s="530">
        <f t="shared" si="509"/>
        <v>9503.7409848863481</v>
      </c>
      <c r="AI352" s="530">
        <f t="shared" si="509"/>
        <v>9503.7409848863481</v>
      </c>
      <c r="AJ352" s="530">
        <f t="shared" si="509"/>
        <v>9503.7409848863481</v>
      </c>
      <c r="AK352" s="530">
        <f t="shared" si="509"/>
        <v>9503.7409848863481</v>
      </c>
      <c r="AL352" s="530">
        <f t="shared" si="509"/>
        <v>9503.7409848863481</v>
      </c>
      <c r="AM352" s="530">
        <f t="shared" si="509"/>
        <v>9503.7409848863481</v>
      </c>
      <c r="AN352" s="530">
        <f t="shared" si="509"/>
        <v>9503.7409848863481</v>
      </c>
      <c r="AO352" s="530">
        <f t="shared" si="509"/>
        <v>9503.7409848863481</v>
      </c>
      <c r="AP352" s="530">
        <f t="shared" si="509"/>
        <v>9806.4312296079988</v>
      </c>
      <c r="AQ352" s="530">
        <f t="shared" si="509"/>
        <v>9806.4312296079988</v>
      </c>
      <c r="AR352" s="530">
        <f t="shared" si="509"/>
        <v>9806.4312296079988</v>
      </c>
      <c r="AS352" s="530">
        <f t="shared" si="509"/>
        <v>9806.4312296079988</v>
      </c>
      <c r="AT352" s="530">
        <f t="shared" si="509"/>
        <v>9806.4312296079988</v>
      </c>
      <c r="AU352" s="530">
        <f t="shared" si="509"/>
        <v>9806.4312296079988</v>
      </c>
      <c r="AV352" s="530">
        <f t="shared" si="509"/>
        <v>9806.4312296079988</v>
      </c>
      <c r="AW352" s="530">
        <f t="shared" si="509"/>
        <v>9806.4312296079988</v>
      </c>
      <c r="AX352" s="530">
        <f t="shared" ref="AX352:BY352" si="510">SUM(AX346:AX351)</f>
        <v>9806.4312296079988</v>
      </c>
      <c r="AY352" s="530">
        <f t="shared" si="510"/>
        <v>9806.4312296079988</v>
      </c>
      <c r="AZ352" s="530">
        <f t="shared" si="510"/>
        <v>9806.4312296079988</v>
      </c>
      <c r="BA352" s="530">
        <f t="shared" si="510"/>
        <v>9806.4312296079988</v>
      </c>
      <c r="BB352" s="530">
        <f t="shared" si="510"/>
        <v>10059.138932354763</v>
      </c>
      <c r="BC352" s="530">
        <f t="shared" si="510"/>
        <v>10059.138932354763</v>
      </c>
      <c r="BD352" s="530">
        <f t="shared" si="510"/>
        <v>10059.138932354763</v>
      </c>
      <c r="BE352" s="530">
        <f t="shared" si="510"/>
        <v>10059.138932354763</v>
      </c>
      <c r="BF352" s="530">
        <f t="shared" si="510"/>
        <v>10059.138932354763</v>
      </c>
      <c r="BG352" s="530">
        <f t="shared" si="510"/>
        <v>10059.138932354763</v>
      </c>
      <c r="BH352" s="530">
        <f t="shared" si="510"/>
        <v>10059.138932354763</v>
      </c>
      <c r="BI352" s="530">
        <f t="shared" si="510"/>
        <v>10059.138932354763</v>
      </c>
      <c r="BJ352" s="530">
        <f t="shared" si="510"/>
        <v>10059.138932354763</v>
      </c>
      <c r="BK352" s="530">
        <f t="shared" si="510"/>
        <v>10059.138932354763</v>
      </c>
      <c r="BL352" s="530">
        <f t="shared" si="510"/>
        <v>10059.138932354763</v>
      </c>
      <c r="BM352" s="530">
        <f t="shared" si="510"/>
        <v>10059.138932354763</v>
      </c>
      <c r="BN352" s="530">
        <f t="shared" si="510"/>
        <v>10276.647831285494</v>
      </c>
      <c r="BO352" s="530">
        <f t="shared" si="510"/>
        <v>10276.647831285494</v>
      </c>
      <c r="BP352" s="530">
        <f t="shared" si="510"/>
        <v>10276.647831285494</v>
      </c>
      <c r="BQ352" s="530">
        <f t="shared" si="510"/>
        <v>10276.647831285494</v>
      </c>
      <c r="BR352" s="530">
        <f t="shared" si="510"/>
        <v>10276.647831285494</v>
      </c>
      <c r="BS352" s="530">
        <f t="shared" si="510"/>
        <v>10276.647831285494</v>
      </c>
      <c r="BT352" s="530">
        <f t="shared" si="510"/>
        <v>10276.647831285494</v>
      </c>
      <c r="BU352" s="530">
        <f t="shared" si="510"/>
        <v>10276.647831285494</v>
      </c>
      <c r="BV352" s="530">
        <f t="shared" si="510"/>
        <v>10276.647831285494</v>
      </c>
      <c r="BW352" s="530">
        <f t="shared" si="510"/>
        <v>10276.647831285494</v>
      </c>
      <c r="BX352" s="530">
        <f t="shared" si="510"/>
        <v>10276.647831285494</v>
      </c>
      <c r="BY352" s="530">
        <f t="shared" si="510"/>
        <v>10276.647831285494</v>
      </c>
    </row>
    <row r="353" spans="1:77" x14ac:dyDescent="0.3">
      <c r="A353" s="551"/>
      <c r="B353" s="548"/>
      <c r="C353" s="525"/>
      <c r="D353" s="525"/>
      <c r="E353" s="525"/>
      <c r="F353" s="525"/>
      <c r="G353" s="525"/>
      <c r="H353" s="525"/>
      <c r="I353" s="525"/>
      <c r="J353" s="525"/>
      <c r="K353" s="525"/>
      <c r="L353" s="525"/>
      <c r="M353" s="525"/>
      <c r="N353" s="525"/>
      <c r="O353" s="525"/>
      <c r="P353" s="565"/>
      <c r="Q353" s="525"/>
      <c r="R353" s="634"/>
      <c r="S353" s="525"/>
      <c r="T353" s="525"/>
      <c r="U353" s="525"/>
      <c r="V353" s="525"/>
      <c r="W353" s="525"/>
      <c r="X353" s="525"/>
      <c r="Y353" s="525"/>
      <c r="Z353" s="525"/>
      <c r="AA353" s="525"/>
      <c r="AB353" s="525"/>
      <c r="AC353" s="525"/>
      <c r="AD353" s="525"/>
      <c r="AE353" s="525"/>
      <c r="AF353" s="525"/>
      <c r="AG353" s="525"/>
      <c r="AH353" s="525"/>
      <c r="AI353" s="525"/>
      <c r="AJ353" s="525"/>
      <c r="AK353" s="525"/>
      <c r="AL353" s="525"/>
      <c r="AM353" s="525"/>
      <c r="AN353" s="525"/>
      <c r="AO353" s="525"/>
      <c r="AP353" s="525"/>
      <c r="AQ353" s="525"/>
      <c r="AR353" s="525"/>
      <c r="AS353" s="525"/>
      <c r="AT353" s="525"/>
      <c r="AU353" s="525"/>
      <c r="AV353" s="525"/>
      <c r="AW353" s="525"/>
      <c r="AX353" s="525"/>
      <c r="AY353" s="525"/>
      <c r="AZ353" s="525"/>
      <c r="BA353" s="525"/>
      <c r="BB353" s="525"/>
      <c r="BC353" s="525"/>
      <c r="BD353" s="525"/>
      <c r="BE353" s="525"/>
      <c r="BF353" s="525"/>
      <c r="BG353" s="525"/>
      <c r="BH353" s="525"/>
      <c r="BI353" s="525"/>
      <c r="BJ353" s="525"/>
      <c r="BK353" s="525"/>
      <c r="BL353" s="525"/>
      <c r="BM353" s="525"/>
      <c r="BN353" s="525"/>
      <c r="BO353" s="525"/>
      <c r="BP353" s="525"/>
      <c r="BQ353" s="525"/>
      <c r="BR353" s="525"/>
      <c r="BS353" s="525"/>
      <c r="BT353" s="525"/>
      <c r="BU353" s="525"/>
      <c r="BV353" s="525"/>
      <c r="BW353" s="525"/>
      <c r="BX353" s="525"/>
      <c r="BY353" s="525"/>
    </row>
    <row r="354" spans="1:77" x14ac:dyDescent="0.3">
      <c r="A354" s="551"/>
      <c r="B354" s="548"/>
      <c r="C354" s="584" t="s">
        <v>37</v>
      </c>
      <c r="D354" s="525"/>
      <c r="E354" s="538" t="s">
        <v>27</v>
      </c>
      <c r="F354" s="538"/>
      <c r="G354" s="538"/>
      <c r="H354" s="538"/>
      <c r="I354" s="538"/>
      <c r="J354" s="538"/>
      <c r="K354" s="538"/>
      <c r="L354" s="538"/>
      <c r="M354" s="538"/>
      <c r="N354" s="538"/>
      <c r="O354" s="538"/>
      <c r="P354" s="584"/>
      <c r="Q354" s="538"/>
      <c r="R354" s="538"/>
      <c r="S354" s="538"/>
      <c r="T354" s="538"/>
      <c r="U354" s="538"/>
      <c r="V354" s="538"/>
      <c r="W354" s="538"/>
      <c r="X354" s="538"/>
      <c r="Y354" s="538"/>
      <c r="Z354" s="538"/>
      <c r="AA354" s="538"/>
      <c r="AB354" s="538"/>
      <c r="AC354" s="538"/>
      <c r="AD354" s="538"/>
      <c r="AE354" s="538"/>
      <c r="AF354" s="538"/>
      <c r="AG354" s="538"/>
      <c r="AH354" s="538"/>
      <c r="AI354" s="538"/>
      <c r="AJ354" s="538"/>
      <c r="AK354" s="538"/>
      <c r="AL354" s="538"/>
      <c r="AM354" s="538"/>
      <c r="AN354" s="538"/>
      <c r="AO354" s="538"/>
      <c r="AP354" s="538"/>
      <c r="AQ354" s="538"/>
      <c r="AR354" s="538"/>
      <c r="AS354" s="538"/>
      <c r="AT354" s="538"/>
      <c r="AU354" s="538"/>
      <c r="AV354" s="538"/>
      <c r="AW354" s="538"/>
      <c r="AX354" s="538"/>
      <c r="AY354" s="538"/>
      <c r="AZ354" s="538"/>
      <c r="BA354" s="538"/>
      <c r="BB354" s="538"/>
      <c r="BC354" s="538"/>
      <c r="BD354" s="538"/>
      <c r="BE354" s="538"/>
      <c r="BF354" s="538"/>
      <c r="BG354" s="538"/>
      <c r="BH354" s="538"/>
      <c r="BI354" s="538"/>
      <c r="BJ354" s="538"/>
      <c r="BK354" s="538"/>
      <c r="BL354" s="538"/>
      <c r="BM354" s="538"/>
      <c r="BN354" s="538"/>
      <c r="BO354" s="538"/>
      <c r="BP354" s="538"/>
      <c r="BQ354" s="538"/>
      <c r="BR354" s="538"/>
      <c r="BS354" s="538"/>
      <c r="BT354" s="538"/>
      <c r="BU354" s="538"/>
      <c r="BV354" s="538"/>
      <c r="BW354" s="538"/>
      <c r="BX354" s="538"/>
      <c r="BY354" s="538"/>
    </row>
    <row r="355" spans="1:77" x14ac:dyDescent="0.3">
      <c r="A355" s="551"/>
      <c r="B355" s="548"/>
      <c r="C355" s="525"/>
      <c r="D355" s="525"/>
      <c r="E355" s="525"/>
      <c r="F355" s="525"/>
      <c r="G355" s="525"/>
      <c r="H355" s="525"/>
      <c r="I355" s="525"/>
      <c r="J355" s="525"/>
      <c r="K355" s="525"/>
      <c r="L355" s="525"/>
      <c r="M355" s="525"/>
      <c r="N355" s="525"/>
      <c r="O355" s="525"/>
      <c r="P355" s="565"/>
      <c r="Q355" s="525"/>
      <c r="R355" s="525"/>
      <c r="S355" s="525"/>
      <c r="T355" s="525"/>
      <c r="U355" s="525"/>
      <c r="V355" s="525"/>
      <c r="W355" s="525"/>
      <c r="X355" s="525"/>
      <c r="Y355" s="525"/>
      <c r="Z355" s="525"/>
      <c r="AA355" s="525"/>
      <c r="AB355" s="525"/>
      <c r="AC355" s="525"/>
      <c r="AD355" s="525"/>
      <c r="AE355" s="525"/>
      <c r="AF355" s="525"/>
      <c r="AG355" s="525"/>
      <c r="AH355" s="525"/>
      <c r="AI355" s="525"/>
      <c r="AJ355" s="525"/>
      <c r="AK355" s="525"/>
      <c r="AL355" s="525"/>
      <c r="AM355" s="525"/>
      <c r="AN355" s="525"/>
      <c r="AO355" s="525"/>
      <c r="AP355" s="525"/>
      <c r="AQ355" s="525"/>
      <c r="AR355" s="525"/>
      <c r="AS355" s="525"/>
      <c r="AT355" s="525"/>
      <c r="AU355" s="525"/>
      <c r="AV355" s="525"/>
      <c r="AW355" s="525"/>
      <c r="AX355" s="525"/>
      <c r="AY355" s="525"/>
      <c r="AZ355" s="525"/>
      <c r="BA355" s="525"/>
      <c r="BB355" s="525"/>
      <c r="BC355" s="525"/>
      <c r="BD355" s="525"/>
      <c r="BE355" s="525"/>
      <c r="BF355" s="525"/>
      <c r="BG355" s="525"/>
      <c r="BH355" s="525"/>
      <c r="BI355" s="525"/>
      <c r="BJ355" s="525"/>
      <c r="BK355" s="525"/>
      <c r="BL355" s="525"/>
      <c r="BM355" s="525"/>
      <c r="BN355" s="525"/>
      <c r="BO355" s="525"/>
      <c r="BP355" s="525"/>
      <c r="BQ355" s="525"/>
      <c r="BR355" s="525"/>
      <c r="BS355" s="525"/>
      <c r="BT355" s="525"/>
      <c r="BU355" s="525"/>
      <c r="BV355" s="525"/>
      <c r="BW355" s="525"/>
      <c r="BX355" s="525"/>
      <c r="BY355" s="525"/>
    </row>
    <row r="356" spans="1:77" x14ac:dyDescent="0.3">
      <c r="A356" s="551"/>
      <c r="B356" s="548"/>
      <c r="C356" s="525"/>
      <c r="D356" s="525"/>
      <c r="E356" s="614" t="s">
        <v>110</v>
      </c>
      <c r="F356" s="539"/>
      <c r="G356" s="539"/>
      <c r="H356" s="539"/>
      <c r="I356" s="539"/>
      <c r="J356" s="539"/>
      <c r="K356" s="539"/>
      <c r="L356" s="539"/>
      <c r="M356" s="539"/>
      <c r="N356" s="539"/>
      <c r="O356" s="539"/>
      <c r="P356" s="615"/>
      <c r="Q356" s="539"/>
      <c r="R356" s="539"/>
      <c r="S356" s="539"/>
      <c r="T356" s="539"/>
      <c r="U356" s="539"/>
      <c r="V356" s="539"/>
      <c r="W356" s="539"/>
      <c r="X356" s="539"/>
      <c r="Y356" s="539"/>
      <c r="Z356" s="539"/>
      <c r="AA356" s="539"/>
      <c r="AB356" s="539"/>
      <c r="AC356" s="539"/>
      <c r="AD356" s="539"/>
      <c r="AE356" s="539"/>
      <c r="AF356" s="539"/>
      <c r="AG356" s="539"/>
      <c r="AH356" s="539"/>
      <c r="AI356" s="539"/>
      <c r="AJ356" s="539"/>
      <c r="AK356" s="539"/>
      <c r="AL356" s="539"/>
      <c r="AM356" s="539"/>
      <c r="AN356" s="539"/>
      <c r="AO356" s="539"/>
      <c r="AP356" s="539"/>
      <c r="AQ356" s="539"/>
      <c r="AR356" s="539"/>
      <c r="AS356" s="539"/>
      <c r="AT356" s="539"/>
      <c r="AU356" s="539"/>
      <c r="AV356" s="539"/>
      <c r="AW356" s="539"/>
      <c r="AX356" s="539"/>
      <c r="AY356" s="539"/>
      <c r="AZ356" s="539"/>
      <c r="BA356" s="539"/>
      <c r="BB356" s="539"/>
      <c r="BC356" s="539"/>
      <c r="BD356" s="539"/>
      <c r="BE356" s="539"/>
      <c r="BF356" s="539"/>
      <c r="BG356" s="539"/>
      <c r="BH356" s="539"/>
      <c r="BI356" s="539"/>
      <c r="BJ356" s="539"/>
      <c r="BK356" s="539"/>
      <c r="BL356" s="539"/>
      <c r="BM356" s="539"/>
      <c r="BN356" s="539"/>
      <c r="BO356" s="539"/>
      <c r="BP356" s="539"/>
      <c r="BQ356" s="539"/>
      <c r="BR356" s="539"/>
      <c r="BS356" s="539"/>
      <c r="BT356" s="539"/>
      <c r="BU356" s="539"/>
      <c r="BV356" s="539"/>
      <c r="BW356" s="539"/>
      <c r="BX356" s="539"/>
      <c r="BY356" s="539"/>
    </row>
    <row r="357" spans="1:77" x14ac:dyDescent="0.3">
      <c r="A357" s="551"/>
      <c r="B357" s="548"/>
      <c r="C357" s="525"/>
      <c r="D357" s="525"/>
      <c r="E357" s="525"/>
      <c r="F357" s="525"/>
      <c r="G357" s="525"/>
      <c r="H357" s="525"/>
      <c r="I357" s="525"/>
      <c r="J357" s="525"/>
      <c r="K357" s="525"/>
      <c r="L357" s="525"/>
      <c r="M357" s="525"/>
      <c r="N357" s="525"/>
      <c r="O357" s="525"/>
      <c r="P357" s="565"/>
      <c r="Q357" s="525"/>
      <c r="R357" s="525"/>
      <c r="S357" s="525"/>
      <c r="T357" s="525"/>
      <c r="U357" s="525"/>
      <c r="V357" s="525"/>
      <c r="W357" s="525"/>
      <c r="X357" s="525"/>
      <c r="Y357" s="525"/>
      <c r="Z357" s="525"/>
      <c r="AA357" s="525"/>
      <c r="AB357" s="525"/>
      <c r="AC357" s="525"/>
      <c r="AD357" s="525"/>
      <c r="AE357" s="525"/>
      <c r="AF357" s="525"/>
      <c r="AG357" s="525"/>
      <c r="AH357" s="525"/>
      <c r="AI357" s="525"/>
      <c r="AJ357" s="525"/>
      <c r="AK357" s="525"/>
      <c r="AL357" s="525"/>
      <c r="AM357" s="525"/>
      <c r="AN357" s="525"/>
      <c r="AO357" s="525"/>
      <c r="AP357" s="525"/>
      <c r="AQ357" s="525"/>
      <c r="AR357" s="525"/>
      <c r="AS357" s="525"/>
      <c r="AT357" s="525"/>
      <c r="AU357" s="525"/>
      <c r="AV357" s="525"/>
      <c r="AW357" s="525"/>
      <c r="AX357" s="525"/>
      <c r="AY357" s="525"/>
      <c r="AZ357" s="525"/>
      <c r="BA357" s="525"/>
      <c r="BB357" s="525"/>
      <c r="BC357" s="525"/>
      <c r="BD357" s="525"/>
      <c r="BE357" s="525"/>
      <c r="BF357" s="525"/>
      <c r="BG357" s="525"/>
      <c r="BH357" s="525"/>
      <c r="BI357" s="525"/>
      <c r="BJ357" s="525"/>
      <c r="BK357" s="525"/>
      <c r="BL357" s="525"/>
      <c r="BM357" s="525"/>
      <c r="BN357" s="525"/>
      <c r="BO357" s="525"/>
      <c r="BP357" s="525"/>
      <c r="BQ357" s="525"/>
      <c r="BR357" s="525"/>
      <c r="BS357" s="525"/>
      <c r="BT357" s="525"/>
      <c r="BU357" s="525"/>
      <c r="BV357" s="525"/>
      <c r="BW357" s="525"/>
      <c r="BX357" s="525"/>
      <c r="BY357" s="525"/>
    </row>
    <row r="358" spans="1:77" x14ac:dyDescent="0.3">
      <c r="A358" s="551"/>
      <c r="B358" s="548"/>
      <c r="C358" s="525"/>
      <c r="D358" s="525"/>
      <c r="E358" s="635" t="str">
        <f>"Other income: "&amp;E$155</f>
        <v>Other income: FY27 Tranche</v>
      </c>
      <c r="F358" s="525"/>
      <c r="G358" s="525"/>
      <c r="H358" s="525"/>
      <c r="I358" s="525"/>
      <c r="J358" s="525"/>
      <c r="K358" s="525"/>
      <c r="L358" s="525"/>
      <c r="M358" s="525"/>
      <c r="N358" s="525"/>
      <c r="O358" s="525"/>
      <c r="P358" s="565"/>
      <c r="Q358" s="525"/>
      <c r="R358" s="527">
        <f t="shared" ref="R358:AW358" si="511">R$602*$R155</f>
        <v>107.96</v>
      </c>
      <c r="S358" s="527">
        <f t="shared" si="511"/>
        <v>107.96</v>
      </c>
      <c r="T358" s="527">
        <f t="shared" si="511"/>
        <v>107.96</v>
      </c>
      <c r="U358" s="527">
        <f t="shared" si="511"/>
        <v>107.96</v>
      </c>
      <c r="V358" s="527">
        <f t="shared" si="511"/>
        <v>107.96</v>
      </c>
      <c r="W358" s="527">
        <f t="shared" si="511"/>
        <v>107.96</v>
      </c>
      <c r="X358" s="527">
        <f t="shared" si="511"/>
        <v>107.96</v>
      </c>
      <c r="Y358" s="527">
        <f t="shared" si="511"/>
        <v>107.96</v>
      </c>
      <c r="Z358" s="527">
        <f t="shared" si="511"/>
        <v>107.96</v>
      </c>
      <c r="AA358" s="527">
        <f t="shared" si="511"/>
        <v>107.96</v>
      </c>
      <c r="AB358" s="527">
        <f t="shared" si="511"/>
        <v>107.96</v>
      </c>
      <c r="AC358" s="527">
        <f t="shared" si="511"/>
        <v>107.96</v>
      </c>
      <c r="AD358" s="527">
        <f t="shared" si="511"/>
        <v>107.96</v>
      </c>
      <c r="AE358" s="527">
        <f t="shared" si="511"/>
        <v>107.96</v>
      </c>
      <c r="AF358" s="527">
        <f t="shared" si="511"/>
        <v>107.96</v>
      </c>
      <c r="AG358" s="527">
        <f t="shared" si="511"/>
        <v>107.96</v>
      </c>
      <c r="AH358" s="527">
        <f t="shared" si="511"/>
        <v>107.96</v>
      </c>
      <c r="AI358" s="527">
        <f t="shared" si="511"/>
        <v>107.96</v>
      </c>
      <c r="AJ358" s="527">
        <f t="shared" si="511"/>
        <v>107.96</v>
      </c>
      <c r="AK358" s="527">
        <f t="shared" si="511"/>
        <v>107.96</v>
      </c>
      <c r="AL358" s="527">
        <f t="shared" si="511"/>
        <v>107.96</v>
      </c>
      <c r="AM358" s="527">
        <f t="shared" si="511"/>
        <v>107.96</v>
      </c>
      <c r="AN358" s="527">
        <f t="shared" si="511"/>
        <v>107.96</v>
      </c>
      <c r="AO358" s="527">
        <f t="shared" si="511"/>
        <v>107.96</v>
      </c>
      <c r="AP358" s="527">
        <f t="shared" si="511"/>
        <v>107.96</v>
      </c>
      <c r="AQ358" s="527">
        <f t="shared" si="511"/>
        <v>107.96</v>
      </c>
      <c r="AR358" s="527">
        <f t="shared" si="511"/>
        <v>107.96</v>
      </c>
      <c r="AS358" s="527">
        <f t="shared" si="511"/>
        <v>107.96</v>
      </c>
      <c r="AT358" s="527">
        <f t="shared" si="511"/>
        <v>107.96</v>
      </c>
      <c r="AU358" s="527">
        <f t="shared" si="511"/>
        <v>107.96</v>
      </c>
      <c r="AV358" s="527">
        <f t="shared" si="511"/>
        <v>107.96</v>
      </c>
      <c r="AW358" s="527">
        <f t="shared" si="511"/>
        <v>107.96</v>
      </c>
      <c r="AX358" s="527">
        <f t="shared" ref="AX358:BY358" si="512">AX$602*$R155</f>
        <v>107.96</v>
      </c>
      <c r="AY358" s="527">
        <f t="shared" si="512"/>
        <v>107.96</v>
      </c>
      <c r="AZ358" s="527">
        <f t="shared" si="512"/>
        <v>107.96</v>
      </c>
      <c r="BA358" s="527">
        <f t="shared" si="512"/>
        <v>107.96</v>
      </c>
      <c r="BB358" s="527">
        <f t="shared" si="512"/>
        <v>107.96</v>
      </c>
      <c r="BC358" s="527">
        <f t="shared" si="512"/>
        <v>107.96</v>
      </c>
      <c r="BD358" s="527">
        <f t="shared" si="512"/>
        <v>107.96</v>
      </c>
      <c r="BE358" s="527">
        <f t="shared" si="512"/>
        <v>107.96</v>
      </c>
      <c r="BF358" s="527">
        <f t="shared" si="512"/>
        <v>107.96</v>
      </c>
      <c r="BG358" s="527">
        <f t="shared" si="512"/>
        <v>107.96</v>
      </c>
      <c r="BH358" s="527">
        <f t="shared" si="512"/>
        <v>107.96</v>
      </c>
      <c r="BI358" s="527">
        <f t="shared" si="512"/>
        <v>107.96</v>
      </c>
      <c r="BJ358" s="527">
        <f t="shared" si="512"/>
        <v>107.96</v>
      </c>
      <c r="BK358" s="527">
        <f t="shared" si="512"/>
        <v>107.96</v>
      </c>
      <c r="BL358" s="527">
        <f t="shared" si="512"/>
        <v>107.96</v>
      </c>
      <c r="BM358" s="527">
        <f t="shared" si="512"/>
        <v>107.96</v>
      </c>
      <c r="BN358" s="527">
        <f t="shared" si="512"/>
        <v>107.96</v>
      </c>
      <c r="BO358" s="527">
        <f t="shared" si="512"/>
        <v>107.96</v>
      </c>
      <c r="BP358" s="527">
        <f t="shared" si="512"/>
        <v>107.96</v>
      </c>
      <c r="BQ358" s="527">
        <f t="shared" si="512"/>
        <v>107.96</v>
      </c>
      <c r="BR358" s="527">
        <f t="shared" si="512"/>
        <v>107.96</v>
      </c>
      <c r="BS358" s="527">
        <f t="shared" si="512"/>
        <v>107.96</v>
      </c>
      <c r="BT358" s="527">
        <f t="shared" si="512"/>
        <v>107.96</v>
      </c>
      <c r="BU358" s="527">
        <f t="shared" si="512"/>
        <v>107.96</v>
      </c>
      <c r="BV358" s="527">
        <f t="shared" si="512"/>
        <v>107.96</v>
      </c>
      <c r="BW358" s="527">
        <f t="shared" si="512"/>
        <v>107.96</v>
      </c>
      <c r="BX358" s="527">
        <f t="shared" si="512"/>
        <v>107.96</v>
      </c>
      <c r="BY358" s="527">
        <f t="shared" si="512"/>
        <v>107.96</v>
      </c>
    </row>
    <row r="359" spans="1:77" x14ac:dyDescent="0.3">
      <c r="A359" s="551"/>
      <c r="B359" s="548"/>
      <c r="C359" s="525"/>
      <c r="D359" s="525"/>
      <c r="E359" s="635" t="str">
        <f>"Other income: "&amp;E$156</f>
        <v>Other income: FY28 Tranche</v>
      </c>
      <c r="F359" s="525"/>
      <c r="G359" s="525"/>
      <c r="H359" s="525"/>
      <c r="I359" s="525"/>
      <c r="J359" s="525"/>
      <c r="K359" s="525"/>
      <c r="L359" s="525"/>
      <c r="M359" s="525"/>
      <c r="N359" s="525"/>
      <c r="O359" s="525"/>
      <c r="P359" s="565"/>
      <c r="Q359" s="525"/>
      <c r="R359" s="527">
        <f t="shared" ref="R359:AW359" si="513">R$602*$R156</f>
        <v>107.96</v>
      </c>
      <c r="S359" s="527">
        <f t="shared" si="513"/>
        <v>107.96</v>
      </c>
      <c r="T359" s="527">
        <f t="shared" si="513"/>
        <v>107.96</v>
      </c>
      <c r="U359" s="527">
        <f t="shared" si="513"/>
        <v>107.96</v>
      </c>
      <c r="V359" s="527">
        <f t="shared" si="513"/>
        <v>107.96</v>
      </c>
      <c r="W359" s="527">
        <f t="shared" si="513"/>
        <v>107.96</v>
      </c>
      <c r="X359" s="527">
        <f t="shared" si="513"/>
        <v>107.96</v>
      </c>
      <c r="Y359" s="527">
        <f t="shared" si="513"/>
        <v>107.96</v>
      </c>
      <c r="Z359" s="527">
        <f t="shared" si="513"/>
        <v>107.96</v>
      </c>
      <c r="AA359" s="527">
        <f t="shared" si="513"/>
        <v>107.96</v>
      </c>
      <c r="AB359" s="527">
        <f t="shared" si="513"/>
        <v>107.96</v>
      </c>
      <c r="AC359" s="527">
        <f t="shared" si="513"/>
        <v>107.96</v>
      </c>
      <c r="AD359" s="527">
        <f t="shared" si="513"/>
        <v>107.96</v>
      </c>
      <c r="AE359" s="527">
        <f t="shared" si="513"/>
        <v>107.96</v>
      </c>
      <c r="AF359" s="527">
        <f t="shared" si="513"/>
        <v>107.96</v>
      </c>
      <c r="AG359" s="527">
        <f t="shared" si="513"/>
        <v>107.96</v>
      </c>
      <c r="AH359" s="527">
        <f t="shared" si="513"/>
        <v>107.96</v>
      </c>
      <c r="AI359" s="527">
        <f t="shared" si="513"/>
        <v>107.96</v>
      </c>
      <c r="AJ359" s="527">
        <f t="shared" si="513"/>
        <v>107.96</v>
      </c>
      <c r="AK359" s="527">
        <f t="shared" si="513"/>
        <v>107.96</v>
      </c>
      <c r="AL359" s="527">
        <f t="shared" si="513"/>
        <v>107.96</v>
      </c>
      <c r="AM359" s="527">
        <f t="shared" si="513"/>
        <v>107.96</v>
      </c>
      <c r="AN359" s="527">
        <f t="shared" si="513"/>
        <v>107.96</v>
      </c>
      <c r="AO359" s="527">
        <f t="shared" si="513"/>
        <v>107.96</v>
      </c>
      <c r="AP359" s="527">
        <f t="shared" si="513"/>
        <v>107.96</v>
      </c>
      <c r="AQ359" s="527">
        <f t="shared" si="513"/>
        <v>107.96</v>
      </c>
      <c r="AR359" s="527">
        <f t="shared" si="513"/>
        <v>107.96</v>
      </c>
      <c r="AS359" s="527">
        <f t="shared" si="513"/>
        <v>107.96</v>
      </c>
      <c r="AT359" s="527">
        <f t="shared" si="513"/>
        <v>107.96</v>
      </c>
      <c r="AU359" s="527">
        <f t="shared" si="513"/>
        <v>107.96</v>
      </c>
      <c r="AV359" s="527">
        <f t="shared" si="513"/>
        <v>107.96</v>
      </c>
      <c r="AW359" s="527">
        <f t="shared" si="513"/>
        <v>107.96</v>
      </c>
      <c r="AX359" s="527">
        <f t="shared" ref="AX359:BY359" si="514">AX$602*$R156</f>
        <v>107.96</v>
      </c>
      <c r="AY359" s="527">
        <f t="shared" si="514"/>
        <v>107.96</v>
      </c>
      <c r="AZ359" s="527">
        <f t="shared" si="514"/>
        <v>107.96</v>
      </c>
      <c r="BA359" s="527">
        <f t="shared" si="514"/>
        <v>107.96</v>
      </c>
      <c r="BB359" s="527">
        <f t="shared" si="514"/>
        <v>107.96</v>
      </c>
      <c r="BC359" s="527">
        <f t="shared" si="514"/>
        <v>107.96</v>
      </c>
      <c r="BD359" s="527">
        <f t="shared" si="514"/>
        <v>107.96</v>
      </c>
      <c r="BE359" s="527">
        <f t="shared" si="514"/>
        <v>107.96</v>
      </c>
      <c r="BF359" s="527">
        <f t="shared" si="514"/>
        <v>107.96</v>
      </c>
      <c r="BG359" s="527">
        <f t="shared" si="514"/>
        <v>107.96</v>
      </c>
      <c r="BH359" s="527">
        <f t="shared" si="514"/>
        <v>107.96</v>
      </c>
      <c r="BI359" s="527">
        <f t="shared" si="514"/>
        <v>107.96</v>
      </c>
      <c r="BJ359" s="527">
        <f t="shared" si="514"/>
        <v>107.96</v>
      </c>
      <c r="BK359" s="527">
        <f t="shared" si="514"/>
        <v>107.96</v>
      </c>
      <c r="BL359" s="527">
        <f t="shared" si="514"/>
        <v>107.96</v>
      </c>
      <c r="BM359" s="527">
        <f t="shared" si="514"/>
        <v>107.96</v>
      </c>
      <c r="BN359" s="527">
        <f t="shared" si="514"/>
        <v>107.96</v>
      </c>
      <c r="BO359" s="527">
        <f t="shared" si="514"/>
        <v>107.96</v>
      </c>
      <c r="BP359" s="527">
        <f t="shared" si="514"/>
        <v>107.96</v>
      </c>
      <c r="BQ359" s="527">
        <f t="shared" si="514"/>
        <v>107.96</v>
      </c>
      <c r="BR359" s="527">
        <f t="shared" si="514"/>
        <v>107.96</v>
      </c>
      <c r="BS359" s="527">
        <f t="shared" si="514"/>
        <v>107.96</v>
      </c>
      <c r="BT359" s="527">
        <f t="shared" si="514"/>
        <v>107.96</v>
      </c>
      <c r="BU359" s="527">
        <f t="shared" si="514"/>
        <v>107.96</v>
      </c>
      <c r="BV359" s="527">
        <f t="shared" si="514"/>
        <v>107.96</v>
      </c>
      <c r="BW359" s="527">
        <f t="shared" si="514"/>
        <v>107.96</v>
      </c>
      <c r="BX359" s="527">
        <f t="shared" si="514"/>
        <v>107.96</v>
      </c>
      <c r="BY359" s="527">
        <f t="shared" si="514"/>
        <v>107.96</v>
      </c>
    </row>
    <row r="360" spans="1:77" x14ac:dyDescent="0.3">
      <c r="A360" s="551"/>
      <c r="B360" s="548"/>
      <c r="C360" s="525"/>
      <c r="D360" s="525"/>
      <c r="E360" s="635" t="str">
        <f>"Other income: "&amp;E$157</f>
        <v>Other income: FY29 Tranche</v>
      </c>
      <c r="F360" s="525"/>
      <c r="G360" s="525"/>
      <c r="H360" s="525"/>
      <c r="I360" s="525"/>
      <c r="J360" s="525"/>
      <c r="K360" s="525"/>
      <c r="L360" s="525"/>
      <c r="M360" s="525"/>
      <c r="N360" s="525"/>
      <c r="O360" s="525"/>
      <c r="P360" s="565"/>
      <c r="Q360" s="525"/>
      <c r="R360" s="527">
        <f t="shared" ref="R360:AW360" si="515">R$602*$R157</f>
        <v>107.96</v>
      </c>
      <c r="S360" s="527">
        <f t="shared" si="515"/>
        <v>107.96</v>
      </c>
      <c r="T360" s="527">
        <f t="shared" si="515"/>
        <v>107.96</v>
      </c>
      <c r="U360" s="527">
        <f t="shared" si="515"/>
        <v>107.96</v>
      </c>
      <c r="V360" s="527">
        <f t="shared" si="515"/>
        <v>107.96</v>
      </c>
      <c r="W360" s="527">
        <f t="shared" si="515"/>
        <v>107.96</v>
      </c>
      <c r="X360" s="527">
        <f t="shared" si="515"/>
        <v>107.96</v>
      </c>
      <c r="Y360" s="527">
        <f t="shared" si="515"/>
        <v>107.96</v>
      </c>
      <c r="Z360" s="527">
        <f t="shared" si="515"/>
        <v>107.96</v>
      </c>
      <c r="AA360" s="527">
        <f t="shared" si="515"/>
        <v>107.96</v>
      </c>
      <c r="AB360" s="527">
        <f t="shared" si="515"/>
        <v>107.96</v>
      </c>
      <c r="AC360" s="527">
        <f t="shared" si="515"/>
        <v>107.96</v>
      </c>
      <c r="AD360" s="527">
        <f t="shared" si="515"/>
        <v>107.96</v>
      </c>
      <c r="AE360" s="527">
        <f t="shared" si="515"/>
        <v>107.96</v>
      </c>
      <c r="AF360" s="527">
        <f t="shared" si="515"/>
        <v>107.96</v>
      </c>
      <c r="AG360" s="527">
        <f t="shared" si="515"/>
        <v>107.96</v>
      </c>
      <c r="AH360" s="527">
        <f t="shared" si="515"/>
        <v>107.96</v>
      </c>
      <c r="AI360" s="527">
        <f t="shared" si="515"/>
        <v>107.96</v>
      </c>
      <c r="AJ360" s="527">
        <f t="shared" si="515"/>
        <v>107.96</v>
      </c>
      <c r="AK360" s="527">
        <f t="shared" si="515"/>
        <v>107.96</v>
      </c>
      <c r="AL360" s="527">
        <f t="shared" si="515"/>
        <v>107.96</v>
      </c>
      <c r="AM360" s="527">
        <f t="shared" si="515"/>
        <v>107.96</v>
      </c>
      <c r="AN360" s="527">
        <f t="shared" si="515"/>
        <v>107.96</v>
      </c>
      <c r="AO360" s="527">
        <f t="shared" si="515"/>
        <v>107.96</v>
      </c>
      <c r="AP360" s="527">
        <f t="shared" si="515"/>
        <v>107.96</v>
      </c>
      <c r="AQ360" s="527">
        <f t="shared" si="515"/>
        <v>107.96</v>
      </c>
      <c r="AR360" s="527">
        <f t="shared" si="515"/>
        <v>107.96</v>
      </c>
      <c r="AS360" s="527">
        <f t="shared" si="515"/>
        <v>107.96</v>
      </c>
      <c r="AT360" s="527">
        <f t="shared" si="515"/>
        <v>107.96</v>
      </c>
      <c r="AU360" s="527">
        <f t="shared" si="515"/>
        <v>107.96</v>
      </c>
      <c r="AV360" s="527">
        <f t="shared" si="515"/>
        <v>107.96</v>
      </c>
      <c r="AW360" s="527">
        <f t="shared" si="515"/>
        <v>107.96</v>
      </c>
      <c r="AX360" s="527">
        <f t="shared" ref="AX360:BY360" si="516">AX$602*$R157</f>
        <v>107.96</v>
      </c>
      <c r="AY360" s="527">
        <f t="shared" si="516"/>
        <v>107.96</v>
      </c>
      <c r="AZ360" s="527">
        <f t="shared" si="516"/>
        <v>107.96</v>
      </c>
      <c r="BA360" s="527">
        <f t="shared" si="516"/>
        <v>107.96</v>
      </c>
      <c r="BB360" s="527">
        <f t="shared" si="516"/>
        <v>107.96</v>
      </c>
      <c r="BC360" s="527">
        <f t="shared" si="516"/>
        <v>107.96</v>
      </c>
      <c r="BD360" s="527">
        <f t="shared" si="516"/>
        <v>107.96</v>
      </c>
      <c r="BE360" s="527">
        <f t="shared" si="516"/>
        <v>107.96</v>
      </c>
      <c r="BF360" s="527">
        <f t="shared" si="516"/>
        <v>107.96</v>
      </c>
      <c r="BG360" s="527">
        <f t="shared" si="516"/>
        <v>107.96</v>
      </c>
      <c r="BH360" s="527">
        <f t="shared" si="516"/>
        <v>107.96</v>
      </c>
      <c r="BI360" s="527">
        <f t="shared" si="516"/>
        <v>107.96</v>
      </c>
      <c r="BJ360" s="527">
        <f t="shared" si="516"/>
        <v>107.96</v>
      </c>
      <c r="BK360" s="527">
        <f t="shared" si="516"/>
        <v>107.96</v>
      </c>
      <c r="BL360" s="527">
        <f t="shared" si="516"/>
        <v>107.96</v>
      </c>
      <c r="BM360" s="527">
        <f t="shared" si="516"/>
        <v>107.96</v>
      </c>
      <c r="BN360" s="527">
        <f t="shared" si="516"/>
        <v>107.96</v>
      </c>
      <c r="BO360" s="527">
        <f t="shared" si="516"/>
        <v>107.96</v>
      </c>
      <c r="BP360" s="527">
        <f t="shared" si="516"/>
        <v>107.96</v>
      </c>
      <c r="BQ360" s="527">
        <f t="shared" si="516"/>
        <v>107.96</v>
      </c>
      <c r="BR360" s="527">
        <f t="shared" si="516"/>
        <v>107.96</v>
      </c>
      <c r="BS360" s="527">
        <f t="shared" si="516"/>
        <v>107.96</v>
      </c>
      <c r="BT360" s="527">
        <f t="shared" si="516"/>
        <v>107.96</v>
      </c>
      <c r="BU360" s="527">
        <f t="shared" si="516"/>
        <v>107.96</v>
      </c>
      <c r="BV360" s="527">
        <f t="shared" si="516"/>
        <v>107.96</v>
      </c>
      <c r="BW360" s="527">
        <f t="shared" si="516"/>
        <v>107.96</v>
      </c>
      <c r="BX360" s="527">
        <f t="shared" si="516"/>
        <v>107.96</v>
      </c>
      <c r="BY360" s="527">
        <f t="shared" si="516"/>
        <v>107.96</v>
      </c>
    </row>
    <row r="361" spans="1:77" x14ac:dyDescent="0.3">
      <c r="A361" s="551"/>
      <c r="B361" s="548"/>
      <c r="C361" s="525"/>
      <c r="D361" s="525"/>
      <c r="E361" s="635" t="str">
        <f>"Other income: "&amp;E$158</f>
        <v>Other income: FY30 Tranche</v>
      </c>
      <c r="F361" s="525"/>
      <c r="G361" s="525"/>
      <c r="H361" s="525"/>
      <c r="I361" s="525"/>
      <c r="J361" s="525"/>
      <c r="K361" s="525"/>
      <c r="L361" s="525"/>
      <c r="M361" s="525"/>
      <c r="N361" s="525"/>
      <c r="O361" s="525"/>
      <c r="P361" s="565"/>
      <c r="Q361" s="525"/>
      <c r="R361" s="527">
        <f t="shared" ref="R361:AW361" si="517">R$602*$R158</f>
        <v>107.96</v>
      </c>
      <c r="S361" s="527">
        <f t="shared" si="517"/>
        <v>107.96</v>
      </c>
      <c r="T361" s="527">
        <f t="shared" si="517"/>
        <v>107.96</v>
      </c>
      <c r="U361" s="527">
        <f t="shared" si="517"/>
        <v>107.96</v>
      </c>
      <c r="V361" s="527">
        <f t="shared" si="517"/>
        <v>107.96</v>
      </c>
      <c r="W361" s="527">
        <f t="shared" si="517"/>
        <v>107.96</v>
      </c>
      <c r="X361" s="527">
        <f t="shared" si="517"/>
        <v>107.96</v>
      </c>
      <c r="Y361" s="527">
        <f t="shared" si="517"/>
        <v>107.96</v>
      </c>
      <c r="Z361" s="527">
        <f t="shared" si="517"/>
        <v>107.96</v>
      </c>
      <c r="AA361" s="527">
        <f t="shared" si="517"/>
        <v>107.96</v>
      </c>
      <c r="AB361" s="527">
        <f t="shared" si="517"/>
        <v>107.96</v>
      </c>
      <c r="AC361" s="527">
        <f t="shared" si="517"/>
        <v>107.96</v>
      </c>
      <c r="AD361" s="527">
        <f t="shared" si="517"/>
        <v>107.96</v>
      </c>
      <c r="AE361" s="527">
        <f t="shared" si="517"/>
        <v>107.96</v>
      </c>
      <c r="AF361" s="527">
        <f t="shared" si="517"/>
        <v>107.96</v>
      </c>
      <c r="AG361" s="527">
        <f t="shared" si="517"/>
        <v>107.96</v>
      </c>
      <c r="AH361" s="527">
        <f t="shared" si="517"/>
        <v>107.96</v>
      </c>
      <c r="AI361" s="527">
        <f t="shared" si="517"/>
        <v>107.96</v>
      </c>
      <c r="AJ361" s="527">
        <f t="shared" si="517"/>
        <v>107.96</v>
      </c>
      <c r="AK361" s="527">
        <f t="shared" si="517"/>
        <v>107.96</v>
      </c>
      <c r="AL361" s="527">
        <f t="shared" si="517"/>
        <v>107.96</v>
      </c>
      <c r="AM361" s="527">
        <f t="shared" si="517"/>
        <v>107.96</v>
      </c>
      <c r="AN361" s="527">
        <f t="shared" si="517"/>
        <v>107.96</v>
      </c>
      <c r="AO361" s="527">
        <f t="shared" si="517"/>
        <v>107.96</v>
      </c>
      <c r="AP361" s="527">
        <f t="shared" si="517"/>
        <v>107.96</v>
      </c>
      <c r="AQ361" s="527">
        <f t="shared" si="517"/>
        <v>107.96</v>
      </c>
      <c r="AR361" s="527">
        <f t="shared" si="517"/>
        <v>107.96</v>
      </c>
      <c r="AS361" s="527">
        <f t="shared" si="517"/>
        <v>107.96</v>
      </c>
      <c r="AT361" s="527">
        <f t="shared" si="517"/>
        <v>107.96</v>
      </c>
      <c r="AU361" s="527">
        <f t="shared" si="517"/>
        <v>107.96</v>
      </c>
      <c r="AV361" s="527">
        <f t="shared" si="517"/>
        <v>107.96</v>
      </c>
      <c r="AW361" s="527">
        <f t="shared" si="517"/>
        <v>107.96</v>
      </c>
      <c r="AX361" s="527">
        <f t="shared" ref="AX361:BY361" si="518">AX$602*$R158</f>
        <v>107.96</v>
      </c>
      <c r="AY361" s="527">
        <f t="shared" si="518"/>
        <v>107.96</v>
      </c>
      <c r="AZ361" s="527">
        <f t="shared" si="518"/>
        <v>107.96</v>
      </c>
      <c r="BA361" s="527">
        <f t="shared" si="518"/>
        <v>107.96</v>
      </c>
      <c r="BB361" s="527">
        <f t="shared" si="518"/>
        <v>107.96</v>
      </c>
      <c r="BC361" s="527">
        <f t="shared" si="518"/>
        <v>107.96</v>
      </c>
      <c r="BD361" s="527">
        <f t="shared" si="518"/>
        <v>107.96</v>
      </c>
      <c r="BE361" s="527">
        <f t="shared" si="518"/>
        <v>107.96</v>
      </c>
      <c r="BF361" s="527">
        <f t="shared" si="518"/>
        <v>107.96</v>
      </c>
      <c r="BG361" s="527">
        <f t="shared" si="518"/>
        <v>107.96</v>
      </c>
      <c r="BH361" s="527">
        <f t="shared" si="518"/>
        <v>107.96</v>
      </c>
      <c r="BI361" s="527">
        <f t="shared" si="518"/>
        <v>107.96</v>
      </c>
      <c r="BJ361" s="527">
        <f t="shared" si="518"/>
        <v>107.96</v>
      </c>
      <c r="BK361" s="527">
        <f t="shared" si="518"/>
        <v>107.96</v>
      </c>
      <c r="BL361" s="527">
        <f t="shared" si="518"/>
        <v>107.96</v>
      </c>
      <c r="BM361" s="527">
        <f t="shared" si="518"/>
        <v>107.96</v>
      </c>
      <c r="BN361" s="527">
        <f t="shared" si="518"/>
        <v>107.96</v>
      </c>
      <c r="BO361" s="527">
        <f t="shared" si="518"/>
        <v>107.96</v>
      </c>
      <c r="BP361" s="527">
        <f t="shared" si="518"/>
        <v>107.96</v>
      </c>
      <c r="BQ361" s="527">
        <f t="shared" si="518"/>
        <v>107.96</v>
      </c>
      <c r="BR361" s="527">
        <f t="shared" si="518"/>
        <v>107.96</v>
      </c>
      <c r="BS361" s="527">
        <f t="shared" si="518"/>
        <v>107.96</v>
      </c>
      <c r="BT361" s="527">
        <f t="shared" si="518"/>
        <v>107.96</v>
      </c>
      <c r="BU361" s="527">
        <f t="shared" si="518"/>
        <v>107.96</v>
      </c>
      <c r="BV361" s="527">
        <f t="shared" si="518"/>
        <v>107.96</v>
      </c>
      <c r="BW361" s="527">
        <f t="shared" si="518"/>
        <v>107.96</v>
      </c>
      <c r="BX361" s="527">
        <f t="shared" si="518"/>
        <v>107.96</v>
      </c>
      <c r="BY361" s="527">
        <f t="shared" si="518"/>
        <v>107.96</v>
      </c>
    </row>
    <row r="362" spans="1:77" x14ac:dyDescent="0.3">
      <c r="A362" s="551"/>
      <c r="B362" s="548"/>
      <c r="C362" s="525"/>
      <c r="D362" s="525"/>
      <c r="E362" s="635" t="str">
        <f>"Other income: "&amp;E$159</f>
        <v>Other income: FY31 Tranche</v>
      </c>
      <c r="F362" s="525"/>
      <c r="G362" s="525"/>
      <c r="H362" s="525"/>
      <c r="I362" s="525"/>
      <c r="J362" s="525"/>
      <c r="K362" s="525"/>
      <c r="L362" s="525"/>
      <c r="M362" s="525"/>
      <c r="N362" s="525"/>
      <c r="O362" s="525"/>
      <c r="P362" s="565"/>
      <c r="Q362" s="525"/>
      <c r="R362" s="527">
        <f t="shared" ref="R362:AW362" si="519">R$602*$R159</f>
        <v>107.96</v>
      </c>
      <c r="S362" s="527">
        <f t="shared" si="519"/>
        <v>107.96</v>
      </c>
      <c r="T362" s="527">
        <f t="shared" si="519"/>
        <v>107.96</v>
      </c>
      <c r="U362" s="527">
        <f t="shared" si="519"/>
        <v>107.96</v>
      </c>
      <c r="V362" s="527">
        <f t="shared" si="519"/>
        <v>107.96</v>
      </c>
      <c r="W362" s="527">
        <f t="shared" si="519"/>
        <v>107.96</v>
      </c>
      <c r="X362" s="527">
        <f t="shared" si="519"/>
        <v>107.96</v>
      </c>
      <c r="Y362" s="527">
        <f t="shared" si="519"/>
        <v>107.96</v>
      </c>
      <c r="Z362" s="527">
        <f t="shared" si="519"/>
        <v>107.96</v>
      </c>
      <c r="AA362" s="527">
        <f t="shared" si="519"/>
        <v>107.96</v>
      </c>
      <c r="AB362" s="527">
        <f t="shared" si="519"/>
        <v>107.96</v>
      </c>
      <c r="AC362" s="527">
        <f t="shared" si="519"/>
        <v>107.96</v>
      </c>
      <c r="AD362" s="527">
        <f t="shared" si="519"/>
        <v>107.96</v>
      </c>
      <c r="AE362" s="527">
        <f t="shared" si="519"/>
        <v>107.96</v>
      </c>
      <c r="AF362" s="527">
        <f t="shared" si="519"/>
        <v>107.96</v>
      </c>
      <c r="AG362" s="527">
        <f t="shared" si="519"/>
        <v>107.96</v>
      </c>
      <c r="AH362" s="527">
        <f t="shared" si="519"/>
        <v>107.96</v>
      </c>
      <c r="AI362" s="527">
        <f t="shared" si="519"/>
        <v>107.96</v>
      </c>
      <c r="AJ362" s="527">
        <f t="shared" si="519"/>
        <v>107.96</v>
      </c>
      <c r="AK362" s="527">
        <f t="shared" si="519"/>
        <v>107.96</v>
      </c>
      <c r="AL362" s="527">
        <f t="shared" si="519"/>
        <v>107.96</v>
      </c>
      <c r="AM362" s="527">
        <f t="shared" si="519"/>
        <v>107.96</v>
      </c>
      <c r="AN362" s="527">
        <f t="shared" si="519"/>
        <v>107.96</v>
      </c>
      <c r="AO362" s="527">
        <f t="shared" si="519"/>
        <v>107.96</v>
      </c>
      <c r="AP362" s="527">
        <f t="shared" si="519"/>
        <v>107.96</v>
      </c>
      <c r="AQ362" s="527">
        <f t="shared" si="519"/>
        <v>107.96</v>
      </c>
      <c r="AR362" s="527">
        <f t="shared" si="519"/>
        <v>107.96</v>
      </c>
      <c r="AS362" s="527">
        <f t="shared" si="519"/>
        <v>107.96</v>
      </c>
      <c r="AT362" s="527">
        <f t="shared" si="519"/>
        <v>107.96</v>
      </c>
      <c r="AU362" s="527">
        <f t="shared" si="519"/>
        <v>107.96</v>
      </c>
      <c r="AV362" s="527">
        <f t="shared" si="519"/>
        <v>107.96</v>
      </c>
      <c r="AW362" s="527">
        <f t="shared" si="519"/>
        <v>107.96</v>
      </c>
      <c r="AX362" s="527">
        <f t="shared" ref="AX362:BY362" si="520">AX$602*$R159</f>
        <v>107.96</v>
      </c>
      <c r="AY362" s="527">
        <f t="shared" si="520"/>
        <v>107.96</v>
      </c>
      <c r="AZ362" s="527">
        <f t="shared" si="520"/>
        <v>107.96</v>
      </c>
      <c r="BA362" s="527">
        <f t="shared" si="520"/>
        <v>107.96</v>
      </c>
      <c r="BB362" s="527">
        <f t="shared" si="520"/>
        <v>107.96</v>
      </c>
      <c r="BC362" s="527">
        <f t="shared" si="520"/>
        <v>107.96</v>
      </c>
      <c r="BD362" s="527">
        <f t="shared" si="520"/>
        <v>107.96</v>
      </c>
      <c r="BE362" s="527">
        <f t="shared" si="520"/>
        <v>107.96</v>
      </c>
      <c r="BF362" s="527">
        <f t="shared" si="520"/>
        <v>107.96</v>
      </c>
      <c r="BG362" s="527">
        <f t="shared" si="520"/>
        <v>107.96</v>
      </c>
      <c r="BH362" s="527">
        <f t="shared" si="520"/>
        <v>107.96</v>
      </c>
      <c r="BI362" s="527">
        <f t="shared" si="520"/>
        <v>107.96</v>
      </c>
      <c r="BJ362" s="527">
        <f t="shared" si="520"/>
        <v>107.96</v>
      </c>
      <c r="BK362" s="527">
        <f t="shared" si="520"/>
        <v>107.96</v>
      </c>
      <c r="BL362" s="527">
        <f t="shared" si="520"/>
        <v>107.96</v>
      </c>
      <c r="BM362" s="527">
        <f t="shared" si="520"/>
        <v>107.96</v>
      </c>
      <c r="BN362" s="527">
        <f t="shared" si="520"/>
        <v>107.96</v>
      </c>
      <c r="BO362" s="527">
        <f t="shared" si="520"/>
        <v>107.96</v>
      </c>
      <c r="BP362" s="527">
        <f t="shared" si="520"/>
        <v>107.96</v>
      </c>
      <c r="BQ362" s="527">
        <f t="shared" si="520"/>
        <v>107.96</v>
      </c>
      <c r="BR362" s="527">
        <f t="shared" si="520"/>
        <v>107.96</v>
      </c>
      <c r="BS362" s="527">
        <f t="shared" si="520"/>
        <v>107.96</v>
      </c>
      <c r="BT362" s="527">
        <f t="shared" si="520"/>
        <v>107.96</v>
      </c>
      <c r="BU362" s="527">
        <f t="shared" si="520"/>
        <v>107.96</v>
      </c>
      <c r="BV362" s="527">
        <f t="shared" si="520"/>
        <v>107.96</v>
      </c>
      <c r="BW362" s="527">
        <f t="shared" si="520"/>
        <v>107.96</v>
      </c>
      <c r="BX362" s="527">
        <f t="shared" si="520"/>
        <v>107.96</v>
      </c>
      <c r="BY362" s="527">
        <f t="shared" si="520"/>
        <v>107.96</v>
      </c>
    </row>
    <row r="363" spans="1:77" x14ac:dyDescent="0.3">
      <c r="A363" s="551"/>
      <c r="B363" s="548"/>
      <c r="C363" s="525"/>
      <c r="D363" s="525"/>
      <c r="E363" s="635" t="str">
        <f>"Other income: "&amp;E$160</f>
        <v>Other income: Uninvested Tranche</v>
      </c>
      <c r="F363" s="525"/>
      <c r="G363" s="525"/>
      <c r="H363" s="525"/>
      <c r="I363" s="525"/>
      <c r="J363" s="525"/>
      <c r="K363" s="525"/>
      <c r="L363" s="525"/>
      <c r="M363" s="525"/>
      <c r="N363" s="525"/>
      <c r="O363" s="525"/>
      <c r="P363" s="565"/>
      <c r="Q363" s="525"/>
      <c r="R363" s="527">
        <f t="shared" ref="R363:AW363" si="521">R$602*$R160</f>
        <v>296.89</v>
      </c>
      <c r="S363" s="527">
        <f t="shared" si="521"/>
        <v>296.89</v>
      </c>
      <c r="T363" s="527">
        <f t="shared" si="521"/>
        <v>296.89</v>
      </c>
      <c r="U363" s="527">
        <f t="shared" si="521"/>
        <v>296.89</v>
      </c>
      <c r="V363" s="527">
        <f t="shared" si="521"/>
        <v>296.89</v>
      </c>
      <c r="W363" s="527">
        <f t="shared" si="521"/>
        <v>296.89</v>
      </c>
      <c r="X363" s="527">
        <f t="shared" si="521"/>
        <v>296.89</v>
      </c>
      <c r="Y363" s="527">
        <f t="shared" si="521"/>
        <v>296.89</v>
      </c>
      <c r="Z363" s="527">
        <f t="shared" si="521"/>
        <v>296.89</v>
      </c>
      <c r="AA363" s="527">
        <f t="shared" si="521"/>
        <v>296.89</v>
      </c>
      <c r="AB363" s="527">
        <f t="shared" si="521"/>
        <v>296.89</v>
      </c>
      <c r="AC363" s="527">
        <f t="shared" si="521"/>
        <v>296.89</v>
      </c>
      <c r="AD363" s="527">
        <f t="shared" si="521"/>
        <v>296.89</v>
      </c>
      <c r="AE363" s="527">
        <f t="shared" si="521"/>
        <v>296.89</v>
      </c>
      <c r="AF363" s="527">
        <f t="shared" si="521"/>
        <v>296.89</v>
      </c>
      <c r="AG363" s="527">
        <f t="shared" si="521"/>
        <v>296.89</v>
      </c>
      <c r="AH363" s="527">
        <f t="shared" si="521"/>
        <v>296.89</v>
      </c>
      <c r="AI363" s="527">
        <f t="shared" si="521"/>
        <v>296.89</v>
      </c>
      <c r="AJ363" s="527">
        <f t="shared" si="521"/>
        <v>296.89</v>
      </c>
      <c r="AK363" s="527">
        <f t="shared" si="521"/>
        <v>296.89</v>
      </c>
      <c r="AL363" s="527">
        <f t="shared" si="521"/>
        <v>296.89</v>
      </c>
      <c r="AM363" s="527">
        <f t="shared" si="521"/>
        <v>296.89</v>
      </c>
      <c r="AN363" s="527">
        <f t="shared" si="521"/>
        <v>296.89</v>
      </c>
      <c r="AO363" s="527">
        <f t="shared" si="521"/>
        <v>296.89</v>
      </c>
      <c r="AP363" s="527">
        <f t="shared" si="521"/>
        <v>296.89</v>
      </c>
      <c r="AQ363" s="527">
        <f t="shared" si="521"/>
        <v>296.89</v>
      </c>
      <c r="AR363" s="527">
        <f t="shared" si="521"/>
        <v>296.89</v>
      </c>
      <c r="AS363" s="527">
        <f t="shared" si="521"/>
        <v>296.89</v>
      </c>
      <c r="AT363" s="527">
        <f t="shared" si="521"/>
        <v>296.89</v>
      </c>
      <c r="AU363" s="527">
        <f t="shared" si="521"/>
        <v>296.89</v>
      </c>
      <c r="AV363" s="527">
        <f t="shared" si="521"/>
        <v>296.89</v>
      </c>
      <c r="AW363" s="527">
        <f t="shared" si="521"/>
        <v>296.89</v>
      </c>
      <c r="AX363" s="527">
        <f t="shared" ref="AX363:BY363" si="522">AX$602*$R160</f>
        <v>296.89</v>
      </c>
      <c r="AY363" s="527">
        <f t="shared" si="522"/>
        <v>296.89</v>
      </c>
      <c r="AZ363" s="527">
        <f t="shared" si="522"/>
        <v>296.89</v>
      </c>
      <c r="BA363" s="527">
        <f t="shared" si="522"/>
        <v>296.89</v>
      </c>
      <c r="BB363" s="527">
        <f t="shared" si="522"/>
        <v>296.89</v>
      </c>
      <c r="BC363" s="527">
        <f t="shared" si="522"/>
        <v>296.89</v>
      </c>
      <c r="BD363" s="527">
        <f t="shared" si="522"/>
        <v>296.89</v>
      </c>
      <c r="BE363" s="527">
        <f t="shared" si="522"/>
        <v>296.89</v>
      </c>
      <c r="BF363" s="527">
        <f t="shared" si="522"/>
        <v>296.89</v>
      </c>
      <c r="BG363" s="527">
        <f t="shared" si="522"/>
        <v>296.89</v>
      </c>
      <c r="BH363" s="527">
        <f t="shared" si="522"/>
        <v>296.89</v>
      </c>
      <c r="BI363" s="527">
        <f t="shared" si="522"/>
        <v>296.89</v>
      </c>
      <c r="BJ363" s="527">
        <f t="shared" si="522"/>
        <v>296.89</v>
      </c>
      <c r="BK363" s="527">
        <f t="shared" si="522"/>
        <v>296.89</v>
      </c>
      <c r="BL363" s="527">
        <f t="shared" si="522"/>
        <v>296.89</v>
      </c>
      <c r="BM363" s="527">
        <f t="shared" si="522"/>
        <v>296.89</v>
      </c>
      <c r="BN363" s="527">
        <f t="shared" si="522"/>
        <v>296.89</v>
      </c>
      <c r="BO363" s="527">
        <f t="shared" si="522"/>
        <v>296.89</v>
      </c>
      <c r="BP363" s="527">
        <f t="shared" si="522"/>
        <v>296.89</v>
      </c>
      <c r="BQ363" s="527">
        <f t="shared" si="522"/>
        <v>296.89</v>
      </c>
      <c r="BR363" s="527">
        <f t="shared" si="522"/>
        <v>296.89</v>
      </c>
      <c r="BS363" s="527">
        <f t="shared" si="522"/>
        <v>296.89</v>
      </c>
      <c r="BT363" s="527">
        <f t="shared" si="522"/>
        <v>296.89</v>
      </c>
      <c r="BU363" s="527">
        <f t="shared" si="522"/>
        <v>296.89</v>
      </c>
      <c r="BV363" s="527">
        <f t="shared" si="522"/>
        <v>296.89</v>
      </c>
      <c r="BW363" s="527">
        <f t="shared" si="522"/>
        <v>296.89</v>
      </c>
      <c r="BX363" s="527">
        <f t="shared" si="522"/>
        <v>296.89</v>
      </c>
      <c r="BY363" s="527">
        <f t="shared" si="522"/>
        <v>296.89</v>
      </c>
    </row>
    <row r="364" spans="1:77" x14ac:dyDescent="0.3">
      <c r="A364" s="551"/>
      <c r="B364" s="548"/>
      <c r="C364" s="525"/>
      <c r="D364" s="525"/>
      <c r="E364" s="572" t="s">
        <v>36</v>
      </c>
      <c r="F364" s="572"/>
      <c r="G364" s="572"/>
      <c r="H364" s="572"/>
      <c r="I364" s="572"/>
      <c r="J364" s="572"/>
      <c r="K364" s="572"/>
      <c r="L364" s="572"/>
      <c r="M364" s="572"/>
      <c r="N364" s="572"/>
      <c r="O364" s="572"/>
      <c r="P364" s="612"/>
      <c r="Q364" s="572"/>
      <c r="R364" s="530">
        <f t="shared" ref="R364:AW364" si="523">SUM(R358:R363)</f>
        <v>836.68999999999994</v>
      </c>
      <c r="S364" s="530">
        <f t="shared" si="523"/>
        <v>836.68999999999994</v>
      </c>
      <c r="T364" s="530">
        <f t="shared" si="523"/>
        <v>836.68999999999994</v>
      </c>
      <c r="U364" s="530">
        <f t="shared" si="523"/>
        <v>836.68999999999994</v>
      </c>
      <c r="V364" s="530">
        <f t="shared" si="523"/>
        <v>836.68999999999994</v>
      </c>
      <c r="W364" s="530">
        <f t="shared" si="523"/>
        <v>836.68999999999994</v>
      </c>
      <c r="X364" s="530">
        <f t="shared" si="523"/>
        <v>836.68999999999994</v>
      </c>
      <c r="Y364" s="530">
        <f t="shared" si="523"/>
        <v>836.68999999999994</v>
      </c>
      <c r="Z364" s="530">
        <f t="shared" si="523"/>
        <v>836.68999999999994</v>
      </c>
      <c r="AA364" s="530">
        <f t="shared" si="523"/>
        <v>836.68999999999994</v>
      </c>
      <c r="AB364" s="530">
        <f t="shared" si="523"/>
        <v>836.68999999999994</v>
      </c>
      <c r="AC364" s="530">
        <f t="shared" si="523"/>
        <v>836.68999999999994</v>
      </c>
      <c r="AD364" s="530">
        <f t="shared" si="523"/>
        <v>836.68999999999994</v>
      </c>
      <c r="AE364" s="530">
        <f t="shared" si="523"/>
        <v>836.68999999999994</v>
      </c>
      <c r="AF364" s="530">
        <f t="shared" si="523"/>
        <v>836.68999999999994</v>
      </c>
      <c r="AG364" s="530">
        <f t="shared" si="523"/>
        <v>836.68999999999994</v>
      </c>
      <c r="AH364" s="530">
        <f t="shared" si="523"/>
        <v>836.68999999999994</v>
      </c>
      <c r="AI364" s="530">
        <f t="shared" si="523"/>
        <v>836.68999999999994</v>
      </c>
      <c r="AJ364" s="530">
        <f t="shared" si="523"/>
        <v>836.68999999999994</v>
      </c>
      <c r="AK364" s="530">
        <f t="shared" si="523"/>
        <v>836.68999999999994</v>
      </c>
      <c r="AL364" s="530">
        <f t="shared" si="523"/>
        <v>836.68999999999994</v>
      </c>
      <c r="AM364" s="530">
        <f t="shared" si="523"/>
        <v>836.68999999999994</v>
      </c>
      <c r="AN364" s="530">
        <f t="shared" si="523"/>
        <v>836.68999999999994</v>
      </c>
      <c r="AO364" s="530">
        <f t="shared" si="523"/>
        <v>836.68999999999994</v>
      </c>
      <c r="AP364" s="530">
        <f t="shared" si="523"/>
        <v>836.68999999999994</v>
      </c>
      <c r="AQ364" s="530">
        <f t="shared" si="523"/>
        <v>836.68999999999994</v>
      </c>
      <c r="AR364" s="530">
        <f t="shared" si="523"/>
        <v>836.68999999999994</v>
      </c>
      <c r="AS364" s="530">
        <f t="shared" si="523"/>
        <v>836.68999999999994</v>
      </c>
      <c r="AT364" s="530">
        <f t="shared" si="523"/>
        <v>836.68999999999994</v>
      </c>
      <c r="AU364" s="530">
        <f t="shared" si="523"/>
        <v>836.68999999999994</v>
      </c>
      <c r="AV364" s="530">
        <f t="shared" si="523"/>
        <v>836.68999999999994</v>
      </c>
      <c r="AW364" s="530">
        <f t="shared" si="523"/>
        <v>836.68999999999994</v>
      </c>
      <c r="AX364" s="530">
        <f t="shared" ref="AX364:BY364" si="524">SUM(AX358:AX363)</f>
        <v>836.68999999999994</v>
      </c>
      <c r="AY364" s="530">
        <f t="shared" si="524"/>
        <v>836.68999999999994</v>
      </c>
      <c r="AZ364" s="530">
        <f t="shared" si="524"/>
        <v>836.68999999999994</v>
      </c>
      <c r="BA364" s="530">
        <f t="shared" si="524"/>
        <v>836.68999999999994</v>
      </c>
      <c r="BB364" s="530">
        <f t="shared" si="524"/>
        <v>836.68999999999994</v>
      </c>
      <c r="BC364" s="530">
        <f t="shared" si="524"/>
        <v>836.68999999999994</v>
      </c>
      <c r="BD364" s="530">
        <f t="shared" si="524"/>
        <v>836.68999999999994</v>
      </c>
      <c r="BE364" s="530">
        <f t="shared" si="524"/>
        <v>836.68999999999994</v>
      </c>
      <c r="BF364" s="530">
        <f t="shared" si="524"/>
        <v>836.68999999999994</v>
      </c>
      <c r="BG364" s="530">
        <f t="shared" si="524"/>
        <v>836.68999999999994</v>
      </c>
      <c r="BH364" s="530">
        <f t="shared" si="524"/>
        <v>836.68999999999994</v>
      </c>
      <c r="BI364" s="530">
        <f t="shared" si="524"/>
        <v>836.68999999999994</v>
      </c>
      <c r="BJ364" s="530">
        <f t="shared" si="524"/>
        <v>836.68999999999994</v>
      </c>
      <c r="BK364" s="530">
        <f t="shared" si="524"/>
        <v>836.68999999999994</v>
      </c>
      <c r="BL364" s="530">
        <f t="shared" si="524"/>
        <v>836.68999999999994</v>
      </c>
      <c r="BM364" s="530">
        <f t="shared" si="524"/>
        <v>836.68999999999994</v>
      </c>
      <c r="BN364" s="530">
        <f t="shared" si="524"/>
        <v>836.68999999999994</v>
      </c>
      <c r="BO364" s="530">
        <f t="shared" si="524"/>
        <v>836.68999999999994</v>
      </c>
      <c r="BP364" s="530">
        <f t="shared" si="524"/>
        <v>836.68999999999994</v>
      </c>
      <c r="BQ364" s="530">
        <f t="shared" si="524"/>
        <v>836.68999999999994</v>
      </c>
      <c r="BR364" s="530">
        <f t="shared" si="524"/>
        <v>836.68999999999994</v>
      </c>
      <c r="BS364" s="530">
        <f t="shared" si="524"/>
        <v>836.68999999999994</v>
      </c>
      <c r="BT364" s="530">
        <f t="shared" si="524"/>
        <v>836.68999999999994</v>
      </c>
      <c r="BU364" s="530">
        <f t="shared" si="524"/>
        <v>836.68999999999994</v>
      </c>
      <c r="BV364" s="530">
        <f t="shared" si="524"/>
        <v>836.68999999999994</v>
      </c>
      <c r="BW364" s="530">
        <f t="shared" si="524"/>
        <v>836.68999999999994</v>
      </c>
      <c r="BX364" s="530">
        <f t="shared" si="524"/>
        <v>836.68999999999994</v>
      </c>
      <c r="BY364" s="530">
        <f t="shared" si="524"/>
        <v>836.68999999999994</v>
      </c>
    </row>
    <row r="365" spans="1:77" x14ac:dyDescent="0.3">
      <c r="A365" s="551"/>
      <c r="B365" s="548"/>
      <c r="C365" s="525"/>
      <c r="D365" s="525"/>
      <c r="E365" s="525"/>
      <c r="F365" s="525"/>
      <c r="G365" s="525"/>
      <c r="H365" s="525"/>
      <c r="I365" s="525"/>
      <c r="J365" s="525"/>
      <c r="K365" s="525"/>
      <c r="L365" s="525"/>
      <c r="M365" s="525"/>
      <c r="N365" s="525"/>
      <c r="O365" s="525"/>
      <c r="P365" s="565"/>
      <c r="Q365" s="525"/>
      <c r="R365" s="525"/>
      <c r="S365" s="525"/>
      <c r="T365" s="525"/>
      <c r="U365" s="525"/>
      <c r="V365" s="525"/>
      <c r="W365" s="525"/>
      <c r="X365" s="525"/>
      <c r="Y365" s="525"/>
      <c r="Z365" s="525"/>
      <c r="AA365" s="525"/>
      <c r="AB365" s="525"/>
      <c r="AC365" s="525"/>
      <c r="AD365" s="525"/>
      <c r="AE365" s="525"/>
      <c r="AF365" s="525"/>
      <c r="AG365" s="525"/>
      <c r="AH365" s="525"/>
      <c r="AI365" s="525"/>
      <c r="AJ365" s="525"/>
      <c r="AK365" s="525"/>
      <c r="AL365" s="525"/>
      <c r="AM365" s="525"/>
      <c r="AN365" s="525"/>
      <c r="AO365" s="525"/>
      <c r="AP365" s="525"/>
      <c r="AQ365" s="525"/>
      <c r="AR365" s="525"/>
      <c r="AS365" s="525"/>
      <c r="AT365" s="525"/>
      <c r="AU365" s="525"/>
      <c r="AV365" s="525"/>
      <c r="AW365" s="525"/>
      <c r="AX365" s="525"/>
      <c r="AY365" s="525"/>
      <c r="AZ365" s="525"/>
      <c r="BA365" s="525"/>
      <c r="BB365" s="525"/>
      <c r="BC365" s="525"/>
      <c r="BD365" s="525"/>
      <c r="BE365" s="525"/>
      <c r="BF365" s="525"/>
      <c r="BG365" s="525"/>
      <c r="BH365" s="525"/>
      <c r="BI365" s="525"/>
      <c r="BJ365" s="525"/>
      <c r="BK365" s="525"/>
      <c r="BL365" s="525"/>
      <c r="BM365" s="525"/>
      <c r="BN365" s="525"/>
      <c r="BO365" s="525"/>
      <c r="BP365" s="525"/>
      <c r="BQ365" s="525"/>
      <c r="BR365" s="525"/>
      <c r="BS365" s="525"/>
      <c r="BT365" s="525"/>
      <c r="BU365" s="525"/>
      <c r="BV365" s="525"/>
      <c r="BW365" s="525"/>
      <c r="BX365" s="525"/>
      <c r="BY365" s="525"/>
    </row>
    <row r="366" spans="1:77" x14ac:dyDescent="0.3">
      <c r="A366" s="551"/>
      <c r="B366" s="548"/>
      <c r="C366" s="525"/>
      <c r="D366" s="525"/>
      <c r="E366" s="636" t="str">
        <f>"Machines income: "&amp;E$155</f>
        <v>Machines income: FY27 Tranche</v>
      </c>
      <c r="F366" s="525"/>
      <c r="G366" s="525"/>
      <c r="H366" s="525"/>
      <c r="I366" s="525"/>
      <c r="J366" s="525"/>
      <c r="K366" s="525"/>
      <c r="L366" s="525"/>
      <c r="M366" s="525"/>
      <c r="N366" s="525"/>
      <c r="O366" s="525"/>
      <c r="P366" s="565"/>
      <c r="Q366" s="525"/>
      <c r="R366" s="527">
        <f t="shared" ref="R366:AW366" si="525">R$603*$R155</f>
        <v>62.786565168797829</v>
      </c>
      <c r="S366" s="527">
        <f t="shared" si="525"/>
        <v>62.786565168797829</v>
      </c>
      <c r="T366" s="527">
        <f t="shared" si="525"/>
        <v>62.786565168797829</v>
      </c>
      <c r="U366" s="527">
        <f t="shared" si="525"/>
        <v>62.786565168797829</v>
      </c>
      <c r="V366" s="527">
        <f t="shared" si="525"/>
        <v>62.786565168797829</v>
      </c>
      <c r="W366" s="527">
        <f t="shared" si="525"/>
        <v>62.786565168797829</v>
      </c>
      <c r="X366" s="527">
        <f t="shared" si="525"/>
        <v>62.786565168797829</v>
      </c>
      <c r="Y366" s="527">
        <f t="shared" si="525"/>
        <v>62.786565168797829</v>
      </c>
      <c r="Z366" s="527">
        <f t="shared" si="525"/>
        <v>62.786565168797829</v>
      </c>
      <c r="AA366" s="527">
        <f t="shared" si="525"/>
        <v>62.786565168797829</v>
      </c>
      <c r="AB366" s="527">
        <f t="shared" si="525"/>
        <v>62.786565168797829</v>
      </c>
      <c r="AC366" s="527">
        <f t="shared" si="525"/>
        <v>62.786565168797829</v>
      </c>
      <c r="AD366" s="527">
        <f t="shared" si="525"/>
        <v>62.786565168797829</v>
      </c>
      <c r="AE366" s="527">
        <f t="shared" si="525"/>
        <v>62.786565168797829</v>
      </c>
      <c r="AF366" s="527">
        <f t="shared" si="525"/>
        <v>62.786565168797829</v>
      </c>
      <c r="AG366" s="527">
        <f t="shared" si="525"/>
        <v>62.786565168797829</v>
      </c>
      <c r="AH366" s="527">
        <f t="shared" si="525"/>
        <v>62.786565168797829</v>
      </c>
      <c r="AI366" s="527">
        <f t="shared" si="525"/>
        <v>62.786565168797829</v>
      </c>
      <c r="AJ366" s="527">
        <f t="shared" si="525"/>
        <v>62.786565168797829</v>
      </c>
      <c r="AK366" s="527">
        <f t="shared" si="525"/>
        <v>62.786565168797829</v>
      </c>
      <c r="AL366" s="527">
        <f t="shared" si="525"/>
        <v>62.786565168797829</v>
      </c>
      <c r="AM366" s="527">
        <f t="shared" si="525"/>
        <v>62.786565168797829</v>
      </c>
      <c r="AN366" s="527">
        <f t="shared" si="525"/>
        <v>62.786565168797829</v>
      </c>
      <c r="AO366" s="527">
        <f t="shared" si="525"/>
        <v>62.786565168797829</v>
      </c>
      <c r="AP366" s="527">
        <f t="shared" si="525"/>
        <v>62.786565168797829</v>
      </c>
      <c r="AQ366" s="527">
        <f t="shared" si="525"/>
        <v>62.786565168797829</v>
      </c>
      <c r="AR366" s="527">
        <f t="shared" si="525"/>
        <v>62.786565168797829</v>
      </c>
      <c r="AS366" s="527">
        <f t="shared" si="525"/>
        <v>62.786565168797829</v>
      </c>
      <c r="AT366" s="527">
        <f t="shared" si="525"/>
        <v>62.786565168797829</v>
      </c>
      <c r="AU366" s="527">
        <f t="shared" si="525"/>
        <v>62.786565168797829</v>
      </c>
      <c r="AV366" s="527">
        <f t="shared" si="525"/>
        <v>62.786565168797829</v>
      </c>
      <c r="AW366" s="527">
        <f t="shared" si="525"/>
        <v>62.786565168797829</v>
      </c>
      <c r="AX366" s="527">
        <f t="shared" ref="AX366:BY366" si="526">AX$603*$R155</f>
        <v>62.786565168797829</v>
      </c>
      <c r="AY366" s="527">
        <f t="shared" si="526"/>
        <v>62.786565168797829</v>
      </c>
      <c r="AZ366" s="527">
        <f t="shared" si="526"/>
        <v>62.786565168797829</v>
      </c>
      <c r="BA366" s="527">
        <f t="shared" si="526"/>
        <v>62.786565168797829</v>
      </c>
      <c r="BB366" s="527">
        <f t="shared" si="526"/>
        <v>62.786565168797829</v>
      </c>
      <c r="BC366" s="527">
        <f t="shared" si="526"/>
        <v>62.786565168797829</v>
      </c>
      <c r="BD366" s="527">
        <f t="shared" si="526"/>
        <v>62.786565168797829</v>
      </c>
      <c r="BE366" s="527">
        <f t="shared" si="526"/>
        <v>62.786565168797829</v>
      </c>
      <c r="BF366" s="527">
        <f t="shared" si="526"/>
        <v>62.786565168797829</v>
      </c>
      <c r="BG366" s="527">
        <f t="shared" si="526"/>
        <v>62.786565168797829</v>
      </c>
      <c r="BH366" s="527">
        <f t="shared" si="526"/>
        <v>62.786565168797829</v>
      </c>
      <c r="BI366" s="527">
        <f t="shared" si="526"/>
        <v>62.786565168797829</v>
      </c>
      <c r="BJ366" s="527">
        <f t="shared" si="526"/>
        <v>62.786565168797829</v>
      </c>
      <c r="BK366" s="527">
        <f t="shared" si="526"/>
        <v>62.786565168797829</v>
      </c>
      <c r="BL366" s="527">
        <f t="shared" si="526"/>
        <v>62.786565168797829</v>
      </c>
      <c r="BM366" s="527">
        <f t="shared" si="526"/>
        <v>62.786565168797829</v>
      </c>
      <c r="BN366" s="527">
        <f t="shared" si="526"/>
        <v>62.786565168797829</v>
      </c>
      <c r="BO366" s="527">
        <f t="shared" si="526"/>
        <v>62.786565168797829</v>
      </c>
      <c r="BP366" s="527">
        <f t="shared" si="526"/>
        <v>62.786565168797829</v>
      </c>
      <c r="BQ366" s="527">
        <f t="shared" si="526"/>
        <v>62.786565168797829</v>
      </c>
      <c r="BR366" s="527">
        <f t="shared" si="526"/>
        <v>62.786565168797829</v>
      </c>
      <c r="BS366" s="527">
        <f t="shared" si="526"/>
        <v>62.786565168797829</v>
      </c>
      <c r="BT366" s="527">
        <f t="shared" si="526"/>
        <v>62.786565168797829</v>
      </c>
      <c r="BU366" s="527">
        <f t="shared" si="526"/>
        <v>62.786565168797829</v>
      </c>
      <c r="BV366" s="527">
        <f t="shared" si="526"/>
        <v>62.786565168797829</v>
      </c>
      <c r="BW366" s="527">
        <f t="shared" si="526"/>
        <v>62.786565168797829</v>
      </c>
      <c r="BX366" s="527">
        <f t="shared" si="526"/>
        <v>62.786565168797829</v>
      </c>
      <c r="BY366" s="527">
        <f t="shared" si="526"/>
        <v>62.786565168797829</v>
      </c>
    </row>
    <row r="367" spans="1:77" x14ac:dyDescent="0.3">
      <c r="A367" s="551"/>
      <c r="B367" s="548"/>
      <c r="C367" s="525"/>
      <c r="D367" s="525"/>
      <c r="E367" s="636" t="str">
        <f>"Machines income: "&amp;E$156</f>
        <v>Machines income: FY28 Tranche</v>
      </c>
      <c r="F367" s="525"/>
      <c r="G367" s="525"/>
      <c r="H367" s="525"/>
      <c r="I367" s="525"/>
      <c r="J367" s="525"/>
      <c r="K367" s="525"/>
      <c r="L367" s="525"/>
      <c r="M367" s="525"/>
      <c r="N367" s="525"/>
      <c r="O367" s="525"/>
      <c r="P367" s="565"/>
      <c r="Q367" s="525"/>
      <c r="R367" s="527">
        <f t="shared" ref="R367:AW367" si="527">R$603*$R156</f>
        <v>62.786565168797829</v>
      </c>
      <c r="S367" s="527">
        <f t="shared" si="527"/>
        <v>62.786565168797829</v>
      </c>
      <c r="T367" s="527">
        <f t="shared" si="527"/>
        <v>62.786565168797829</v>
      </c>
      <c r="U367" s="527">
        <f t="shared" si="527"/>
        <v>62.786565168797829</v>
      </c>
      <c r="V367" s="527">
        <f t="shared" si="527"/>
        <v>62.786565168797829</v>
      </c>
      <c r="W367" s="527">
        <f t="shared" si="527"/>
        <v>62.786565168797829</v>
      </c>
      <c r="X367" s="527">
        <f t="shared" si="527"/>
        <v>62.786565168797829</v>
      </c>
      <c r="Y367" s="527">
        <f t="shared" si="527"/>
        <v>62.786565168797829</v>
      </c>
      <c r="Z367" s="527">
        <f t="shared" si="527"/>
        <v>62.786565168797829</v>
      </c>
      <c r="AA367" s="527">
        <f t="shared" si="527"/>
        <v>62.786565168797829</v>
      </c>
      <c r="AB367" s="527">
        <f t="shared" si="527"/>
        <v>62.786565168797829</v>
      </c>
      <c r="AC367" s="527">
        <f t="shared" si="527"/>
        <v>62.786565168797829</v>
      </c>
      <c r="AD367" s="527">
        <f t="shared" si="527"/>
        <v>62.786565168797829</v>
      </c>
      <c r="AE367" s="527">
        <f t="shared" si="527"/>
        <v>62.786565168797829</v>
      </c>
      <c r="AF367" s="527">
        <f t="shared" si="527"/>
        <v>62.786565168797829</v>
      </c>
      <c r="AG367" s="527">
        <f t="shared" si="527"/>
        <v>62.786565168797829</v>
      </c>
      <c r="AH367" s="527">
        <f t="shared" si="527"/>
        <v>62.786565168797829</v>
      </c>
      <c r="AI367" s="527">
        <f t="shared" si="527"/>
        <v>62.786565168797829</v>
      </c>
      <c r="AJ367" s="527">
        <f t="shared" si="527"/>
        <v>62.786565168797829</v>
      </c>
      <c r="AK367" s="527">
        <f t="shared" si="527"/>
        <v>62.786565168797829</v>
      </c>
      <c r="AL367" s="527">
        <f t="shared" si="527"/>
        <v>62.786565168797829</v>
      </c>
      <c r="AM367" s="527">
        <f t="shared" si="527"/>
        <v>62.786565168797829</v>
      </c>
      <c r="AN367" s="527">
        <f t="shared" si="527"/>
        <v>62.786565168797829</v>
      </c>
      <c r="AO367" s="527">
        <f t="shared" si="527"/>
        <v>62.786565168797829</v>
      </c>
      <c r="AP367" s="527">
        <f t="shared" si="527"/>
        <v>62.786565168797829</v>
      </c>
      <c r="AQ367" s="527">
        <f t="shared" si="527"/>
        <v>62.786565168797829</v>
      </c>
      <c r="AR367" s="527">
        <f t="shared" si="527"/>
        <v>62.786565168797829</v>
      </c>
      <c r="AS367" s="527">
        <f t="shared" si="527"/>
        <v>62.786565168797829</v>
      </c>
      <c r="AT367" s="527">
        <f t="shared" si="527"/>
        <v>62.786565168797829</v>
      </c>
      <c r="AU367" s="527">
        <f t="shared" si="527"/>
        <v>62.786565168797829</v>
      </c>
      <c r="AV367" s="527">
        <f t="shared" si="527"/>
        <v>62.786565168797829</v>
      </c>
      <c r="AW367" s="527">
        <f t="shared" si="527"/>
        <v>62.786565168797829</v>
      </c>
      <c r="AX367" s="527">
        <f t="shared" ref="AX367:BY367" si="528">AX$603*$R156</f>
        <v>62.786565168797829</v>
      </c>
      <c r="AY367" s="527">
        <f t="shared" si="528"/>
        <v>62.786565168797829</v>
      </c>
      <c r="AZ367" s="527">
        <f t="shared" si="528"/>
        <v>62.786565168797829</v>
      </c>
      <c r="BA367" s="527">
        <f t="shared" si="528"/>
        <v>62.786565168797829</v>
      </c>
      <c r="BB367" s="527">
        <f t="shared" si="528"/>
        <v>62.786565168797829</v>
      </c>
      <c r="BC367" s="527">
        <f t="shared" si="528"/>
        <v>62.786565168797829</v>
      </c>
      <c r="BD367" s="527">
        <f t="shared" si="528"/>
        <v>62.786565168797829</v>
      </c>
      <c r="BE367" s="527">
        <f t="shared" si="528"/>
        <v>62.786565168797829</v>
      </c>
      <c r="BF367" s="527">
        <f t="shared" si="528"/>
        <v>62.786565168797829</v>
      </c>
      <c r="BG367" s="527">
        <f t="shared" si="528"/>
        <v>62.786565168797829</v>
      </c>
      <c r="BH367" s="527">
        <f t="shared" si="528"/>
        <v>62.786565168797829</v>
      </c>
      <c r="BI367" s="527">
        <f t="shared" si="528"/>
        <v>62.786565168797829</v>
      </c>
      <c r="BJ367" s="527">
        <f t="shared" si="528"/>
        <v>62.786565168797829</v>
      </c>
      <c r="BK367" s="527">
        <f t="shared" si="528"/>
        <v>62.786565168797829</v>
      </c>
      <c r="BL367" s="527">
        <f t="shared" si="528"/>
        <v>62.786565168797829</v>
      </c>
      <c r="BM367" s="527">
        <f t="shared" si="528"/>
        <v>62.786565168797829</v>
      </c>
      <c r="BN367" s="527">
        <f t="shared" si="528"/>
        <v>62.786565168797829</v>
      </c>
      <c r="BO367" s="527">
        <f t="shared" si="528"/>
        <v>62.786565168797829</v>
      </c>
      <c r="BP367" s="527">
        <f t="shared" si="528"/>
        <v>62.786565168797829</v>
      </c>
      <c r="BQ367" s="527">
        <f t="shared" si="528"/>
        <v>62.786565168797829</v>
      </c>
      <c r="BR367" s="527">
        <f t="shared" si="528"/>
        <v>62.786565168797829</v>
      </c>
      <c r="BS367" s="527">
        <f t="shared" si="528"/>
        <v>62.786565168797829</v>
      </c>
      <c r="BT367" s="527">
        <f t="shared" si="528"/>
        <v>62.786565168797829</v>
      </c>
      <c r="BU367" s="527">
        <f t="shared" si="528"/>
        <v>62.786565168797829</v>
      </c>
      <c r="BV367" s="527">
        <f t="shared" si="528"/>
        <v>62.786565168797829</v>
      </c>
      <c r="BW367" s="527">
        <f t="shared" si="528"/>
        <v>62.786565168797829</v>
      </c>
      <c r="BX367" s="527">
        <f t="shared" si="528"/>
        <v>62.786565168797829</v>
      </c>
      <c r="BY367" s="527">
        <f t="shared" si="528"/>
        <v>62.786565168797829</v>
      </c>
    </row>
    <row r="368" spans="1:77" x14ac:dyDescent="0.3">
      <c r="A368" s="551"/>
      <c r="B368" s="548"/>
      <c r="C368" s="525"/>
      <c r="D368" s="525"/>
      <c r="E368" s="636" t="str">
        <f>"Machines income: "&amp;E$157</f>
        <v>Machines income: FY29 Tranche</v>
      </c>
      <c r="F368" s="525"/>
      <c r="G368" s="525"/>
      <c r="H368" s="525"/>
      <c r="I368" s="525"/>
      <c r="J368" s="525"/>
      <c r="K368" s="525"/>
      <c r="L368" s="525"/>
      <c r="M368" s="525"/>
      <c r="N368" s="525"/>
      <c r="O368" s="525"/>
      <c r="P368" s="565"/>
      <c r="Q368" s="525"/>
      <c r="R368" s="527">
        <f t="shared" ref="R368:AW368" si="529">R$603*$R157</f>
        <v>62.786565168797829</v>
      </c>
      <c r="S368" s="527">
        <f t="shared" si="529"/>
        <v>62.786565168797829</v>
      </c>
      <c r="T368" s="527">
        <f t="shared" si="529"/>
        <v>62.786565168797829</v>
      </c>
      <c r="U368" s="527">
        <f t="shared" si="529"/>
        <v>62.786565168797829</v>
      </c>
      <c r="V368" s="527">
        <f t="shared" si="529"/>
        <v>62.786565168797829</v>
      </c>
      <c r="W368" s="527">
        <f t="shared" si="529"/>
        <v>62.786565168797829</v>
      </c>
      <c r="X368" s="527">
        <f t="shared" si="529"/>
        <v>62.786565168797829</v>
      </c>
      <c r="Y368" s="527">
        <f t="shared" si="529"/>
        <v>62.786565168797829</v>
      </c>
      <c r="Z368" s="527">
        <f t="shared" si="529"/>
        <v>62.786565168797829</v>
      </c>
      <c r="AA368" s="527">
        <f t="shared" si="529"/>
        <v>62.786565168797829</v>
      </c>
      <c r="AB368" s="527">
        <f t="shared" si="529"/>
        <v>62.786565168797829</v>
      </c>
      <c r="AC368" s="527">
        <f t="shared" si="529"/>
        <v>62.786565168797829</v>
      </c>
      <c r="AD368" s="527">
        <f t="shared" si="529"/>
        <v>62.786565168797829</v>
      </c>
      <c r="AE368" s="527">
        <f t="shared" si="529"/>
        <v>62.786565168797829</v>
      </c>
      <c r="AF368" s="527">
        <f t="shared" si="529"/>
        <v>62.786565168797829</v>
      </c>
      <c r="AG368" s="527">
        <f t="shared" si="529"/>
        <v>62.786565168797829</v>
      </c>
      <c r="AH368" s="527">
        <f t="shared" si="529"/>
        <v>62.786565168797829</v>
      </c>
      <c r="AI368" s="527">
        <f t="shared" si="529"/>
        <v>62.786565168797829</v>
      </c>
      <c r="AJ368" s="527">
        <f t="shared" si="529"/>
        <v>62.786565168797829</v>
      </c>
      <c r="AK368" s="527">
        <f t="shared" si="529"/>
        <v>62.786565168797829</v>
      </c>
      <c r="AL368" s="527">
        <f t="shared" si="529"/>
        <v>62.786565168797829</v>
      </c>
      <c r="AM368" s="527">
        <f t="shared" si="529"/>
        <v>62.786565168797829</v>
      </c>
      <c r="AN368" s="527">
        <f t="shared" si="529"/>
        <v>62.786565168797829</v>
      </c>
      <c r="AO368" s="527">
        <f t="shared" si="529"/>
        <v>62.786565168797829</v>
      </c>
      <c r="AP368" s="527">
        <f t="shared" si="529"/>
        <v>62.786565168797829</v>
      </c>
      <c r="AQ368" s="527">
        <f t="shared" si="529"/>
        <v>62.786565168797829</v>
      </c>
      <c r="AR368" s="527">
        <f t="shared" si="529"/>
        <v>62.786565168797829</v>
      </c>
      <c r="AS368" s="527">
        <f t="shared" si="529"/>
        <v>62.786565168797829</v>
      </c>
      <c r="AT368" s="527">
        <f t="shared" si="529"/>
        <v>62.786565168797829</v>
      </c>
      <c r="AU368" s="527">
        <f t="shared" si="529"/>
        <v>62.786565168797829</v>
      </c>
      <c r="AV368" s="527">
        <f t="shared" si="529"/>
        <v>62.786565168797829</v>
      </c>
      <c r="AW368" s="527">
        <f t="shared" si="529"/>
        <v>62.786565168797829</v>
      </c>
      <c r="AX368" s="527">
        <f t="shared" ref="AX368:BY368" si="530">AX$603*$R157</f>
        <v>62.786565168797829</v>
      </c>
      <c r="AY368" s="527">
        <f t="shared" si="530"/>
        <v>62.786565168797829</v>
      </c>
      <c r="AZ368" s="527">
        <f t="shared" si="530"/>
        <v>62.786565168797829</v>
      </c>
      <c r="BA368" s="527">
        <f t="shared" si="530"/>
        <v>62.786565168797829</v>
      </c>
      <c r="BB368" s="527">
        <f t="shared" si="530"/>
        <v>62.786565168797829</v>
      </c>
      <c r="BC368" s="527">
        <f t="shared" si="530"/>
        <v>62.786565168797829</v>
      </c>
      <c r="BD368" s="527">
        <f t="shared" si="530"/>
        <v>62.786565168797829</v>
      </c>
      <c r="BE368" s="527">
        <f t="shared" si="530"/>
        <v>62.786565168797829</v>
      </c>
      <c r="BF368" s="527">
        <f t="shared" si="530"/>
        <v>62.786565168797829</v>
      </c>
      <c r="BG368" s="527">
        <f t="shared" si="530"/>
        <v>62.786565168797829</v>
      </c>
      <c r="BH368" s="527">
        <f t="shared" si="530"/>
        <v>62.786565168797829</v>
      </c>
      <c r="BI368" s="527">
        <f t="shared" si="530"/>
        <v>62.786565168797829</v>
      </c>
      <c r="BJ368" s="527">
        <f t="shared" si="530"/>
        <v>62.786565168797829</v>
      </c>
      <c r="BK368" s="527">
        <f t="shared" si="530"/>
        <v>62.786565168797829</v>
      </c>
      <c r="BL368" s="527">
        <f t="shared" si="530"/>
        <v>62.786565168797829</v>
      </c>
      <c r="BM368" s="527">
        <f t="shared" si="530"/>
        <v>62.786565168797829</v>
      </c>
      <c r="BN368" s="527">
        <f t="shared" si="530"/>
        <v>62.786565168797829</v>
      </c>
      <c r="BO368" s="527">
        <f t="shared" si="530"/>
        <v>62.786565168797829</v>
      </c>
      <c r="BP368" s="527">
        <f t="shared" si="530"/>
        <v>62.786565168797829</v>
      </c>
      <c r="BQ368" s="527">
        <f t="shared" si="530"/>
        <v>62.786565168797829</v>
      </c>
      <c r="BR368" s="527">
        <f t="shared" si="530"/>
        <v>62.786565168797829</v>
      </c>
      <c r="BS368" s="527">
        <f t="shared" si="530"/>
        <v>62.786565168797829</v>
      </c>
      <c r="BT368" s="527">
        <f t="shared" si="530"/>
        <v>62.786565168797829</v>
      </c>
      <c r="BU368" s="527">
        <f t="shared" si="530"/>
        <v>62.786565168797829</v>
      </c>
      <c r="BV368" s="527">
        <f t="shared" si="530"/>
        <v>62.786565168797829</v>
      </c>
      <c r="BW368" s="527">
        <f t="shared" si="530"/>
        <v>62.786565168797829</v>
      </c>
      <c r="BX368" s="527">
        <f t="shared" si="530"/>
        <v>62.786565168797829</v>
      </c>
      <c r="BY368" s="527">
        <f t="shared" si="530"/>
        <v>62.786565168797829</v>
      </c>
    </row>
    <row r="369" spans="1:77" x14ac:dyDescent="0.3">
      <c r="A369" s="551"/>
      <c r="B369" s="548"/>
      <c r="C369" s="525"/>
      <c r="D369" s="525"/>
      <c r="E369" s="636" t="str">
        <f>"Machines income: "&amp;E$158</f>
        <v>Machines income: FY30 Tranche</v>
      </c>
      <c r="F369" s="525"/>
      <c r="G369" s="525"/>
      <c r="H369" s="525"/>
      <c r="I369" s="525"/>
      <c r="J369" s="525"/>
      <c r="K369" s="525"/>
      <c r="L369" s="525"/>
      <c r="M369" s="525"/>
      <c r="N369" s="525"/>
      <c r="O369" s="525"/>
      <c r="P369" s="565"/>
      <c r="Q369" s="525"/>
      <c r="R369" s="527">
        <f t="shared" ref="R369:AW369" si="531">R$603*$R158</f>
        <v>62.786565168797829</v>
      </c>
      <c r="S369" s="527">
        <f t="shared" si="531"/>
        <v>62.786565168797829</v>
      </c>
      <c r="T369" s="527">
        <f t="shared" si="531"/>
        <v>62.786565168797829</v>
      </c>
      <c r="U369" s="527">
        <f t="shared" si="531"/>
        <v>62.786565168797829</v>
      </c>
      <c r="V369" s="527">
        <f t="shared" si="531"/>
        <v>62.786565168797829</v>
      </c>
      <c r="W369" s="527">
        <f t="shared" si="531"/>
        <v>62.786565168797829</v>
      </c>
      <c r="X369" s="527">
        <f t="shared" si="531"/>
        <v>62.786565168797829</v>
      </c>
      <c r="Y369" s="527">
        <f t="shared" si="531"/>
        <v>62.786565168797829</v>
      </c>
      <c r="Z369" s="527">
        <f t="shared" si="531"/>
        <v>62.786565168797829</v>
      </c>
      <c r="AA369" s="527">
        <f t="shared" si="531"/>
        <v>62.786565168797829</v>
      </c>
      <c r="AB369" s="527">
        <f t="shared" si="531"/>
        <v>62.786565168797829</v>
      </c>
      <c r="AC369" s="527">
        <f t="shared" si="531"/>
        <v>62.786565168797829</v>
      </c>
      <c r="AD369" s="527">
        <f t="shared" si="531"/>
        <v>62.786565168797829</v>
      </c>
      <c r="AE369" s="527">
        <f t="shared" si="531"/>
        <v>62.786565168797829</v>
      </c>
      <c r="AF369" s="527">
        <f t="shared" si="531"/>
        <v>62.786565168797829</v>
      </c>
      <c r="AG369" s="527">
        <f t="shared" si="531"/>
        <v>62.786565168797829</v>
      </c>
      <c r="AH369" s="527">
        <f t="shared" si="531"/>
        <v>62.786565168797829</v>
      </c>
      <c r="AI369" s="527">
        <f t="shared" si="531"/>
        <v>62.786565168797829</v>
      </c>
      <c r="AJ369" s="527">
        <f t="shared" si="531"/>
        <v>62.786565168797829</v>
      </c>
      <c r="AK369" s="527">
        <f t="shared" si="531"/>
        <v>62.786565168797829</v>
      </c>
      <c r="AL369" s="527">
        <f t="shared" si="531"/>
        <v>62.786565168797829</v>
      </c>
      <c r="AM369" s="527">
        <f t="shared" si="531"/>
        <v>62.786565168797829</v>
      </c>
      <c r="AN369" s="527">
        <f t="shared" si="531"/>
        <v>62.786565168797829</v>
      </c>
      <c r="AO369" s="527">
        <f t="shared" si="531"/>
        <v>62.786565168797829</v>
      </c>
      <c r="AP369" s="527">
        <f t="shared" si="531"/>
        <v>62.786565168797829</v>
      </c>
      <c r="AQ369" s="527">
        <f t="shared" si="531"/>
        <v>62.786565168797829</v>
      </c>
      <c r="AR369" s="527">
        <f t="shared" si="531"/>
        <v>62.786565168797829</v>
      </c>
      <c r="AS369" s="527">
        <f t="shared" si="531"/>
        <v>62.786565168797829</v>
      </c>
      <c r="AT369" s="527">
        <f t="shared" si="531"/>
        <v>62.786565168797829</v>
      </c>
      <c r="AU369" s="527">
        <f t="shared" si="531"/>
        <v>62.786565168797829</v>
      </c>
      <c r="AV369" s="527">
        <f t="shared" si="531"/>
        <v>62.786565168797829</v>
      </c>
      <c r="AW369" s="527">
        <f t="shared" si="531"/>
        <v>62.786565168797829</v>
      </c>
      <c r="AX369" s="527">
        <f t="shared" ref="AX369:BY369" si="532">AX$603*$R158</f>
        <v>62.786565168797829</v>
      </c>
      <c r="AY369" s="527">
        <f t="shared" si="532"/>
        <v>62.786565168797829</v>
      </c>
      <c r="AZ369" s="527">
        <f t="shared" si="532"/>
        <v>62.786565168797829</v>
      </c>
      <c r="BA369" s="527">
        <f t="shared" si="532"/>
        <v>62.786565168797829</v>
      </c>
      <c r="BB369" s="527">
        <f t="shared" si="532"/>
        <v>62.786565168797829</v>
      </c>
      <c r="BC369" s="527">
        <f t="shared" si="532"/>
        <v>62.786565168797829</v>
      </c>
      <c r="BD369" s="527">
        <f t="shared" si="532"/>
        <v>62.786565168797829</v>
      </c>
      <c r="BE369" s="527">
        <f t="shared" si="532"/>
        <v>62.786565168797829</v>
      </c>
      <c r="BF369" s="527">
        <f t="shared" si="532"/>
        <v>62.786565168797829</v>
      </c>
      <c r="BG369" s="527">
        <f t="shared" si="532"/>
        <v>62.786565168797829</v>
      </c>
      <c r="BH369" s="527">
        <f t="shared" si="532"/>
        <v>62.786565168797829</v>
      </c>
      <c r="BI369" s="527">
        <f t="shared" si="532"/>
        <v>62.786565168797829</v>
      </c>
      <c r="BJ369" s="527">
        <f t="shared" si="532"/>
        <v>62.786565168797829</v>
      </c>
      <c r="BK369" s="527">
        <f t="shared" si="532"/>
        <v>62.786565168797829</v>
      </c>
      <c r="BL369" s="527">
        <f t="shared" si="532"/>
        <v>62.786565168797829</v>
      </c>
      <c r="BM369" s="527">
        <f t="shared" si="532"/>
        <v>62.786565168797829</v>
      </c>
      <c r="BN369" s="527">
        <f t="shared" si="532"/>
        <v>62.786565168797829</v>
      </c>
      <c r="BO369" s="527">
        <f t="shared" si="532"/>
        <v>62.786565168797829</v>
      </c>
      <c r="BP369" s="527">
        <f t="shared" si="532"/>
        <v>62.786565168797829</v>
      </c>
      <c r="BQ369" s="527">
        <f t="shared" si="532"/>
        <v>62.786565168797829</v>
      </c>
      <c r="BR369" s="527">
        <f t="shared" si="532"/>
        <v>62.786565168797829</v>
      </c>
      <c r="BS369" s="527">
        <f t="shared" si="532"/>
        <v>62.786565168797829</v>
      </c>
      <c r="BT369" s="527">
        <f t="shared" si="532"/>
        <v>62.786565168797829</v>
      </c>
      <c r="BU369" s="527">
        <f t="shared" si="532"/>
        <v>62.786565168797829</v>
      </c>
      <c r="BV369" s="527">
        <f t="shared" si="532"/>
        <v>62.786565168797829</v>
      </c>
      <c r="BW369" s="527">
        <f t="shared" si="532"/>
        <v>62.786565168797829</v>
      </c>
      <c r="BX369" s="527">
        <f t="shared" si="532"/>
        <v>62.786565168797829</v>
      </c>
      <c r="BY369" s="527">
        <f t="shared" si="532"/>
        <v>62.786565168797829</v>
      </c>
    </row>
    <row r="370" spans="1:77" x14ac:dyDescent="0.3">
      <c r="A370" s="551"/>
      <c r="B370" s="548"/>
      <c r="C370" s="525"/>
      <c r="D370" s="525"/>
      <c r="E370" s="636" t="str">
        <f>"Machines income: "&amp;E$159</f>
        <v>Machines income: FY31 Tranche</v>
      </c>
      <c r="F370" s="525"/>
      <c r="G370" s="525"/>
      <c r="H370" s="525"/>
      <c r="I370" s="525"/>
      <c r="J370" s="525"/>
      <c r="K370" s="525"/>
      <c r="L370" s="525"/>
      <c r="M370" s="525"/>
      <c r="N370" s="525"/>
      <c r="O370" s="525"/>
      <c r="P370" s="565"/>
      <c r="Q370" s="525"/>
      <c r="R370" s="527">
        <f t="shared" ref="R370:AW370" si="533">R$603*$R159</f>
        <v>62.786565168797829</v>
      </c>
      <c r="S370" s="527">
        <f t="shared" si="533"/>
        <v>62.786565168797829</v>
      </c>
      <c r="T370" s="527">
        <f t="shared" si="533"/>
        <v>62.786565168797829</v>
      </c>
      <c r="U370" s="527">
        <f t="shared" si="533"/>
        <v>62.786565168797829</v>
      </c>
      <c r="V370" s="527">
        <f t="shared" si="533"/>
        <v>62.786565168797829</v>
      </c>
      <c r="W370" s="527">
        <f t="shared" si="533"/>
        <v>62.786565168797829</v>
      </c>
      <c r="X370" s="527">
        <f t="shared" si="533"/>
        <v>62.786565168797829</v>
      </c>
      <c r="Y370" s="527">
        <f t="shared" si="533"/>
        <v>62.786565168797829</v>
      </c>
      <c r="Z370" s="527">
        <f t="shared" si="533"/>
        <v>62.786565168797829</v>
      </c>
      <c r="AA370" s="527">
        <f t="shared" si="533"/>
        <v>62.786565168797829</v>
      </c>
      <c r="AB370" s="527">
        <f t="shared" si="533"/>
        <v>62.786565168797829</v>
      </c>
      <c r="AC370" s="527">
        <f t="shared" si="533"/>
        <v>62.786565168797829</v>
      </c>
      <c r="AD370" s="527">
        <f t="shared" si="533"/>
        <v>62.786565168797829</v>
      </c>
      <c r="AE370" s="527">
        <f t="shared" si="533"/>
        <v>62.786565168797829</v>
      </c>
      <c r="AF370" s="527">
        <f t="shared" si="533"/>
        <v>62.786565168797829</v>
      </c>
      <c r="AG370" s="527">
        <f t="shared" si="533"/>
        <v>62.786565168797829</v>
      </c>
      <c r="AH370" s="527">
        <f t="shared" si="533"/>
        <v>62.786565168797829</v>
      </c>
      <c r="AI370" s="527">
        <f t="shared" si="533"/>
        <v>62.786565168797829</v>
      </c>
      <c r="AJ370" s="527">
        <f t="shared" si="533"/>
        <v>62.786565168797829</v>
      </c>
      <c r="AK370" s="527">
        <f t="shared" si="533"/>
        <v>62.786565168797829</v>
      </c>
      <c r="AL370" s="527">
        <f t="shared" si="533"/>
        <v>62.786565168797829</v>
      </c>
      <c r="AM370" s="527">
        <f t="shared" si="533"/>
        <v>62.786565168797829</v>
      </c>
      <c r="AN370" s="527">
        <f t="shared" si="533"/>
        <v>62.786565168797829</v>
      </c>
      <c r="AO370" s="527">
        <f t="shared" si="533"/>
        <v>62.786565168797829</v>
      </c>
      <c r="AP370" s="527">
        <f t="shared" si="533"/>
        <v>62.786565168797829</v>
      </c>
      <c r="AQ370" s="527">
        <f t="shared" si="533"/>
        <v>62.786565168797829</v>
      </c>
      <c r="AR370" s="527">
        <f t="shared" si="533"/>
        <v>62.786565168797829</v>
      </c>
      <c r="AS370" s="527">
        <f t="shared" si="533"/>
        <v>62.786565168797829</v>
      </c>
      <c r="AT370" s="527">
        <f t="shared" si="533"/>
        <v>62.786565168797829</v>
      </c>
      <c r="AU370" s="527">
        <f t="shared" si="533"/>
        <v>62.786565168797829</v>
      </c>
      <c r="AV370" s="527">
        <f t="shared" si="533"/>
        <v>62.786565168797829</v>
      </c>
      <c r="AW370" s="527">
        <f t="shared" si="533"/>
        <v>62.786565168797829</v>
      </c>
      <c r="AX370" s="527">
        <f t="shared" ref="AX370:BY370" si="534">AX$603*$R159</f>
        <v>62.786565168797829</v>
      </c>
      <c r="AY370" s="527">
        <f t="shared" si="534"/>
        <v>62.786565168797829</v>
      </c>
      <c r="AZ370" s="527">
        <f t="shared" si="534"/>
        <v>62.786565168797829</v>
      </c>
      <c r="BA370" s="527">
        <f t="shared" si="534"/>
        <v>62.786565168797829</v>
      </c>
      <c r="BB370" s="527">
        <f t="shared" si="534"/>
        <v>62.786565168797829</v>
      </c>
      <c r="BC370" s="527">
        <f t="shared" si="534"/>
        <v>62.786565168797829</v>
      </c>
      <c r="BD370" s="527">
        <f t="shared" si="534"/>
        <v>62.786565168797829</v>
      </c>
      <c r="BE370" s="527">
        <f t="shared" si="534"/>
        <v>62.786565168797829</v>
      </c>
      <c r="BF370" s="527">
        <f t="shared" si="534"/>
        <v>62.786565168797829</v>
      </c>
      <c r="BG370" s="527">
        <f t="shared" si="534"/>
        <v>62.786565168797829</v>
      </c>
      <c r="BH370" s="527">
        <f t="shared" si="534"/>
        <v>62.786565168797829</v>
      </c>
      <c r="BI370" s="527">
        <f t="shared" si="534"/>
        <v>62.786565168797829</v>
      </c>
      <c r="BJ370" s="527">
        <f t="shared" si="534"/>
        <v>62.786565168797829</v>
      </c>
      <c r="BK370" s="527">
        <f t="shared" si="534"/>
        <v>62.786565168797829</v>
      </c>
      <c r="BL370" s="527">
        <f t="shared" si="534"/>
        <v>62.786565168797829</v>
      </c>
      <c r="BM370" s="527">
        <f t="shared" si="534"/>
        <v>62.786565168797829</v>
      </c>
      <c r="BN370" s="527">
        <f t="shared" si="534"/>
        <v>62.786565168797829</v>
      </c>
      <c r="BO370" s="527">
        <f t="shared" si="534"/>
        <v>62.786565168797829</v>
      </c>
      <c r="BP370" s="527">
        <f t="shared" si="534"/>
        <v>62.786565168797829</v>
      </c>
      <c r="BQ370" s="527">
        <f t="shared" si="534"/>
        <v>62.786565168797829</v>
      </c>
      <c r="BR370" s="527">
        <f t="shared" si="534"/>
        <v>62.786565168797829</v>
      </c>
      <c r="BS370" s="527">
        <f t="shared" si="534"/>
        <v>62.786565168797829</v>
      </c>
      <c r="BT370" s="527">
        <f t="shared" si="534"/>
        <v>62.786565168797829</v>
      </c>
      <c r="BU370" s="527">
        <f t="shared" si="534"/>
        <v>62.786565168797829</v>
      </c>
      <c r="BV370" s="527">
        <f t="shared" si="534"/>
        <v>62.786565168797829</v>
      </c>
      <c r="BW370" s="527">
        <f t="shared" si="534"/>
        <v>62.786565168797829</v>
      </c>
      <c r="BX370" s="527">
        <f t="shared" si="534"/>
        <v>62.786565168797829</v>
      </c>
      <c r="BY370" s="527">
        <f t="shared" si="534"/>
        <v>62.786565168797829</v>
      </c>
    </row>
    <row r="371" spans="1:77" x14ac:dyDescent="0.3">
      <c r="A371" s="551"/>
      <c r="B371" s="548"/>
      <c r="C371" s="525"/>
      <c r="D371" s="525"/>
      <c r="E371" s="636" t="str">
        <f>"Machines income: "&amp;E$160</f>
        <v>Machines income: Uninvested Tranche</v>
      </c>
      <c r="F371" s="525"/>
      <c r="G371" s="525"/>
      <c r="H371" s="525"/>
      <c r="I371" s="525"/>
      <c r="J371" s="525"/>
      <c r="K371" s="525"/>
      <c r="L371" s="525"/>
      <c r="M371" s="525"/>
      <c r="N371" s="525"/>
      <c r="O371" s="525"/>
      <c r="P371" s="565"/>
      <c r="Q371" s="525"/>
      <c r="R371" s="527">
        <f t="shared" ref="R371:AW371" si="535">R$603*$R160</f>
        <v>172.66305421419403</v>
      </c>
      <c r="S371" s="527">
        <f t="shared" si="535"/>
        <v>172.66305421419403</v>
      </c>
      <c r="T371" s="527">
        <f t="shared" si="535"/>
        <v>172.66305421419403</v>
      </c>
      <c r="U371" s="527">
        <f t="shared" si="535"/>
        <v>172.66305421419403</v>
      </c>
      <c r="V371" s="527">
        <f t="shared" si="535"/>
        <v>172.66305421419403</v>
      </c>
      <c r="W371" s="527">
        <f t="shared" si="535"/>
        <v>172.66305421419403</v>
      </c>
      <c r="X371" s="527">
        <f t="shared" si="535"/>
        <v>172.66305421419403</v>
      </c>
      <c r="Y371" s="527">
        <f t="shared" si="535"/>
        <v>172.66305421419403</v>
      </c>
      <c r="Z371" s="527">
        <f t="shared" si="535"/>
        <v>172.66305421419403</v>
      </c>
      <c r="AA371" s="527">
        <f t="shared" si="535"/>
        <v>172.66305421419403</v>
      </c>
      <c r="AB371" s="527">
        <f t="shared" si="535"/>
        <v>172.66305421419403</v>
      </c>
      <c r="AC371" s="527">
        <f t="shared" si="535"/>
        <v>172.66305421419403</v>
      </c>
      <c r="AD371" s="527">
        <f t="shared" si="535"/>
        <v>172.66305421419403</v>
      </c>
      <c r="AE371" s="527">
        <f t="shared" si="535"/>
        <v>172.66305421419403</v>
      </c>
      <c r="AF371" s="527">
        <f t="shared" si="535"/>
        <v>172.66305421419403</v>
      </c>
      <c r="AG371" s="527">
        <f t="shared" si="535"/>
        <v>172.66305421419403</v>
      </c>
      <c r="AH371" s="527">
        <f t="shared" si="535"/>
        <v>172.66305421419403</v>
      </c>
      <c r="AI371" s="527">
        <f t="shared" si="535"/>
        <v>172.66305421419403</v>
      </c>
      <c r="AJ371" s="527">
        <f t="shared" si="535"/>
        <v>172.66305421419403</v>
      </c>
      <c r="AK371" s="527">
        <f t="shared" si="535"/>
        <v>172.66305421419403</v>
      </c>
      <c r="AL371" s="527">
        <f t="shared" si="535"/>
        <v>172.66305421419403</v>
      </c>
      <c r="AM371" s="527">
        <f t="shared" si="535"/>
        <v>172.66305421419403</v>
      </c>
      <c r="AN371" s="527">
        <f t="shared" si="535"/>
        <v>172.66305421419403</v>
      </c>
      <c r="AO371" s="527">
        <f t="shared" si="535"/>
        <v>172.66305421419403</v>
      </c>
      <c r="AP371" s="527">
        <f t="shared" si="535"/>
        <v>172.66305421419403</v>
      </c>
      <c r="AQ371" s="527">
        <f t="shared" si="535"/>
        <v>172.66305421419403</v>
      </c>
      <c r="AR371" s="527">
        <f t="shared" si="535"/>
        <v>172.66305421419403</v>
      </c>
      <c r="AS371" s="527">
        <f t="shared" si="535"/>
        <v>172.66305421419403</v>
      </c>
      <c r="AT371" s="527">
        <f t="shared" si="535"/>
        <v>172.66305421419403</v>
      </c>
      <c r="AU371" s="527">
        <f t="shared" si="535"/>
        <v>172.66305421419403</v>
      </c>
      <c r="AV371" s="527">
        <f t="shared" si="535"/>
        <v>172.66305421419403</v>
      </c>
      <c r="AW371" s="527">
        <f t="shared" si="535"/>
        <v>172.66305421419403</v>
      </c>
      <c r="AX371" s="527">
        <f t="shared" ref="AX371:BY371" si="536">AX$603*$R160</f>
        <v>172.66305421419403</v>
      </c>
      <c r="AY371" s="527">
        <f t="shared" si="536"/>
        <v>172.66305421419403</v>
      </c>
      <c r="AZ371" s="527">
        <f t="shared" si="536"/>
        <v>172.66305421419403</v>
      </c>
      <c r="BA371" s="527">
        <f t="shared" si="536"/>
        <v>172.66305421419403</v>
      </c>
      <c r="BB371" s="527">
        <f t="shared" si="536"/>
        <v>172.66305421419403</v>
      </c>
      <c r="BC371" s="527">
        <f t="shared" si="536"/>
        <v>172.66305421419403</v>
      </c>
      <c r="BD371" s="527">
        <f t="shared" si="536"/>
        <v>172.66305421419403</v>
      </c>
      <c r="BE371" s="527">
        <f t="shared" si="536"/>
        <v>172.66305421419403</v>
      </c>
      <c r="BF371" s="527">
        <f t="shared" si="536"/>
        <v>172.66305421419403</v>
      </c>
      <c r="BG371" s="527">
        <f t="shared" si="536"/>
        <v>172.66305421419403</v>
      </c>
      <c r="BH371" s="527">
        <f t="shared" si="536"/>
        <v>172.66305421419403</v>
      </c>
      <c r="BI371" s="527">
        <f t="shared" si="536"/>
        <v>172.66305421419403</v>
      </c>
      <c r="BJ371" s="527">
        <f t="shared" si="536"/>
        <v>172.66305421419403</v>
      </c>
      <c r="BK371" s="527">
        <f t="shared" si="536"/>
        <v>172.66305421419403</v>
      </c>
      <c r="BL371" s="527">
        <f t="shared" si="536"/>
        <v>172.66305421419403</v>
      </c>
      <c r="BM371" s="527">
        <f t="shared" si="536"/>
        <v>172.66305421419403</v>
      </c>
      <c r="BN371" s="527">
        <f t="shared" si="536"/>
        <v>172.66305421419403</v>
      </c>
      <c r="BO371" s="527">
        <f t="shared" si="536"/>
        <v>172.66305421419403</v>
      </c>
      <c r="BP371" s="527">
        <f t="shared" si="536"/>
        <v>172.66305421419403</v>
      </c>
      <c r="BQ371" s="527">
        <f t="shared" si="536"/>
        <v>172.66305421419403</v>
      </c>
      <c r="BR371" s="527">
        <f t="shared" si="536"/>
        <v>172.66305421419403</v>
      </c>
      <c r="BS371" s="527">
        <f t="shared" si="536"/>
        <v>172.66305421419403</v>
      </c>
      <c r="BT371" s="527">
        <f t="shared" si="536"/>
        <v>172.66305421419403</v>
      </c>
      <c r="BU371" s="527">
        <f t="shared" si="536"/>
        <v>172.66305421419403</v>
      </c>
      <c r="BV371" s="527">
        <f t="shared" si="536"/>
        <v>172.66305421419403</v>
      </c>
      <c r="BW371" s="527">
        <f t="shared" si="536"/>
        <v>172.66305421419403</v>
      </c>
      <c r="BX371" s="527">
        <f t="shared" si="536"/>
        <v>172.66305421419403</v>
      </c>
      <c r="BY371" s="527">
        <f t="shared" si="536"/>
        <v>172.66305421419403</v>
      </c>
    </row>
    <row r="372" spans="1:77" x14ac:dyDescent="0.3">
      <c r="A372" s="551"/>
      <c r="B372" s="548"/>
      <c r="C372" s="525"/>
      <c r="D372" s="525"/>
      <c r="E372" s="572" t="s">
        <v>36</v>
      </c>
      <c r="F372" s="572"/>
      <c r="G372" s="572"/>
      <c r="H372" s="572"/>
      <c r="I372" s="572"/>
      <c r="J372" s="572"/>
      <c r="K372" s="572"/>
      <c r="L372" s="572"/>
      <c r="M372" s="572"/>
      <c r="N372" s="572"/>
      <c r="O372" s="572"/>
      <c r="P372" s="612"/>
      <c r="Q372" s="572"/>
      <c r="R372" s="530">
        <f t="shared" ref="R372:AW372" si="537">SUM(R366:R371)</f>
        <v>486.59588005818318</v>
      </c>
      <c r="S372" s="530">
        <f t="shared" si="537"/>
        <v>486.59588005818318</v>
      </c>
      <c r="T372" s="530">
        <f t="shared" si="537"/>
        <v>486.59588005818318</v>
      </c>
      <c r="U372" s="530">
        <f t="shared" si="537"/>
        <v>486.59588005818318</v>
      </c>
      <c r="V372" s="530">
        <f t="shared" si="537"/>
        <v>486.59588005818318</v>
      </c>
      <c r="W372" s="530">
        <f t="shared" si="537"/>
        <v>486.59588005818318</v>
      </c>
      <c r="X372" s="530">
        <f t="shared" si="537"/>
        <v>486.59588005818318</v>
      </c>
      <c r="Y372" s="530">
        <f t="shared" si="537"/>
        <v>486.59588005818318</v>
      </c>
      <c r="Z372" s="530">
        <f t="shared" si="537"/>
        <v>486.59588005818318</v>
      </c>
      <c r="AA372" s="530">
        <f t="shared" si="537"/>
        <v>486.59588005818318</v>
      </c>
      <c r="AB372" s="530">
        <f t="shared" si="537"/>
        <v>486.59588005818318</v>
      </c>
      <c r="AC372" s="530">
        <f t="shared" si="537"/>
        <v>486.59588005818318</v>
      </c>
      <c r="AD372" s="530">
        <f t="shared" si="537"/>
        <v>486.59588005818318</v>
      </c>
      <c r="AE372" s="530">
        <f t="shared" si="537"/>
        <v>486.59588005818318</v>
      </c>
      <c r="AF372" s="530">
        <f t="shared" si="537"/>
        <v>486.59588005818318</v>
      </c>
      <c r="AG372" s="530">
        <f t="shared" si="537"/>
        <v>486.59588005818318</v>
      </c>
      <c r="AH372" s="530">
        <f t="shared" si="537"/>
        <v>486.59588005818318</v>
      </c>
      <c r="AI372" s="530">
        <f t="shared" si="537"/>
        <v>486.59588005818318</v>
      </c>
      <c r="AJ372" s="530">
        <f t="shared" si="537"/>
        <v>486.59588005818318</v>
      </c>
      <c r="AK372" s="530">
        <f t="shared" si="537"/>
        <v>486.59588005818318</v>
      </c>
      <c r="AL372" s="530">
        <f t="shared" si="537"/>
        <v>486.59588005818318</v>
      </c>
      <c r="AM372" s="530">
        <f t="shared" si="537"/>
        <v>486.59588005818318</v>
      </c>
      <c r="AN372" s="530">
        <f t="shared" si="537"/>
        <v>486.59588005818318</v>
      </c>
      <c r="AO372" s="530">
        <f t="shared" si="537"/>
        <v>486.59588005818318</v>
      </c>
      <c r="AP372" s="530">
        <f t="shared" si="537"/>
        <v>486.59588005818318</v>
      </c>
      <c r="AQ372" s="530">
        <f t="shared" si="537"/>
        <v>486.59588005818318</v>
      </c>
      <c r="AR372" s="530">
        <f t="shared" si="537"/>
        <v>486.59588005818318</v>
      </c>
      <c r="AS372" s="530">
        <f t="shared" si="537"/>
        <v>486.59588005818318</v>
      </c>
      <c r="AT372" s="530">
        <f t="shared" si="537"/>
        <v>486.59588005818318</v>
      </c>
      <c r="AU372" s="530">
        <f t="shared" si="537"/>
        <v>486.59588005818318</v>
      </c>
      <c r="AV372" s="530">
        <f t="shared" si="537"/>
        <v>486.59588005818318</v>
      </c>
      <c r="AW372" s="530">
        <f t="shared" si="537"/>
        <v>486.59588005818318</v>
      </c>
      <c r="AX372" s="530">
        <f t="shared" ref="AX372:BY372" si="538">SUM(AX366:AX371)</f>
        <v>486.59588005818318</v>
      </c>
      <c r="AY372" s="530">
        <f t="shared" si="538"/>
        <v>486.59588005818318</v>
      </c>
      <c r="AZ372" s="530">
        <f t="shared" si="538"/>
        <v>486.59588005818318</v>
      </c>
      <c r="BA372" s="530">
        <f t="shared" si="538"/>
        <v>486.59588005818318</v>
      </c>
      <c r="BB372" s="530">
        <f t="shared" si="538"/>
        <v>486.59588005818318</v>
      </c>
      <c r="BC372" s="530">
        <f t="shared" si="538"/>
        <v>486.59588005818318</v>
      </c>
      <c r="BD372" s="530">
        <f t="shared" si="538"/>
        <v>486.59588005818318</v>
      </c>
      <c r="BE372" s="530">
        <f t="shared" si="538"/>
        <v>486.59588005818318</v>
      </c>
      <c r="BF372" s="530">
        <f t="shared" si="538"/>
        <v>486.59588005818318</v>
      </c>
      <c r="BG372" s="530">
        <f t="shared" si="538"/>
        <v>486.59588005818318</v>
      </c>
      <c r="BH372" s="530">
        <f t="shared" si="538"/>
        <v>486.59588005818318</v>
      </c>
      <c r="BI372" s="530">
        <f t="shared" si="538"/>
        <v>486.59588005818318</v>
      </c>
      <c r="BJ372" s="530">
        <f t="shared" si="538"/>
        <v>486.59588005818318</v>
      </c>
      <c r="BK372" s="530">
        <f t="shared" si="538"/>
        <v>486.59588005818318</v>
      </c>
      <c r="BL372" s="530">
        <f t="shared" si="538"/>
        <v>486.59588005818318</v>
      </c>
      <c r="BM372" s="530">
        <f t="shared" si="538"/>
        <v>486.59588005818318</v>
      </c>
      <c r="BN372" s="530">
        <f t="shared" si="538"/>
        <v>486.59588005818318</v>
      </c>
      <c r="BO372" s="530">
        <f t="shared" si="538"/>
        <v>486.59588005818318</v>
      </c>
      <c r="BP372" s="530">
        <f t="shared" si="538"/>
        <v>486.59588005818318</v>
      </c>
      <c r="BQ372" s="530">
        <f t="shared" si="538"/>
        <v>486.59588005818318</v>
      </c>
      <c r="BR372" s="530">
        <f t="shared" si="538"/>
        <v>486.59588005818318</v>
      </c>
      <c r="BS372" s="530">
        <f t="shared" si="538"/>
        <v>486.59588005818318</v>
      </c>
      <c r="BT372" s="530">
        <f t="shared" si="538"/>
        <v>486.59588005818318</v>
      </c>
      <c r="BU372" s="530">
        <f t="shared" si="538"/>
        <v>486.59588005818318</v>
      </c>
      <c r="BV372" s="530">
        <f t="shared" si="538"/>
        <v>486.59588005818318</v>
      </c>
      <c r="BW372" s="530">
        <f t="shared" si="538"/>
        <v>486.59588005818318</v>
      </c>
      <c r="BX372" s="530">
        <f t="shared" si="538"/>
        <v>486.59588005818318</v>
      </c>
      <c r="BY372" s="530">
        <f t="shared" si="538"/>
        <v>486.59588005818318</v>
      </c>
    </row>
    <row r="373" spans="1:77" x14ac:dyDescent="0.3">
      <c r="A373" s="551"/>
      <c r="B373" s="548"/>
      <c r="C373" s="525"/>
      <c r="D373" s="525"/>
      <c r="E373" s="525"/>
      <c r="F373" s="525"/>
      <c r="G373" s="525"/>
      <c r="H373" s="525"/>
      <c r="I373" s="525"/>
      <c r="J373" s="525"/>
      <c r="K373" s="525"/>
      <c r="L373" s="525"/>
      <c r="M373" s="525"/>
      <c r="N373" s="525"/>
      <c r="O373" s="525"/>
      <c r="P373" s="565"/>
      <c r="Q373" s="525"/>
      <c r="R373" s="525"/>
      <c r="S373" s="525"/>
      <c r="T373" s="525"/>
      <c r="U373" s="525"/>
      <c r="V373" s="525"/>
      <c r="W373" s="525"/>
      <c r="X373" s="525"/>
      <c r="Y373" s="525"/>
      <c r="Z373" s="525"/>
      <c r="AA373" s="525"/>
      <c r="AB373" s="525"/>
      <c r="AC373" s="525"/>
      <c r="AD373" s="525"/>
      <c r="AE373" s="525"/>
      <c r="AF373" s="525"/>
      <c r="AG373" s="525"/>
      <c r="AH373" s="525"/>
      <c r="AI373" s="525"/>
      <c r="AJ373" s="525"/>
      <c r="AK373" s="525"/>
      <c r="AL373" s="525"/>
      <c r="AM373" s="525"/>
      <c r="AN373" s="525"/>
      <c r="AO373" s="525"/>
      <c r="AP373" s="525"/>
      <c r="AQ373" s="525"/>
      <c r="AR373" s="525"/>
      <c r="AS373" s="525"/>
      <c r="AT373" s="525"/>
      <c r="AU373" s="525"/>
      <c r="AV373" s="525"/>
      <c r="AW373" s="525"/>
      <c r="AX373" s="525"/>
      <c r="AY373" s="525"/>
      <c r="AZ373" s="525"/>
      <c r="BA373" s="525"/>
      <c r="BB373" s="525"/>
      <c r="BC373" s="525"/>
      <c r="BD373" s="525"/>
      <c r="BE373" s="525"/>
      <c r="BF373" s="525"/>
      <c r="BG373" s="525"/>
      <c r="BH373" s="525"/>
      <c r="BI373" s="525"/>
      <c r="BJ373" s="525"/>
      <c r="BK373" s="525"/>
      <c r="BL373" s="525"/>
      <c r="BM373" s="525"/>
      <c r="BN373" s="525"/>
      <c r="BO373" s="525"/>
      <c r="BP373" s="525"/>
      <c r="BQ373" s="525"/>
      <c r="BR373" s="525"/>
      <c r="BS373" s="525"/>
      <c r="BT373" s="525"/>
      <c r="BU373" s="525"/>
      <c r="BV373" s="525"/>
      <c r="BW373" s="525"/>
      <c r="BX373" s="525"/>
      <c r="BY373" s="525"/>
    </row>
    <row r="374" spans="1:77" x14ac:dyDescent="0.3">
      <c r="A374" s="551"/>
      <c r="B374" s="548"/>
      <c r="C374" s="525"/>
      <c r="D374" s="525"/>
      <c r="E374" s="637" t="str">
        <f>"F&amp;F income: "&amp;E$155</f>
        <v>F&amp;F income: FY27 Tranche</v>
      </c>
      <c r="F374" s="525"/>
      <c r="G374" s="525"/>
      <c r="H374" s="525"/>
      <c r="I374" s="525"/>
      <c r="J374" s="525"/>
      <c r="K374" s="525"/>
      <c r="L374" s="525"/>
      <c r="M374" s="525"/>
      <c r="N374" s="525"/>
      <c r="O374" s="525"/>
      <c r="P374" s="565"/>
      <c r="Q374" s="525"/>
      <c r="R374" s="527">
        <f t="shared" ref="R374:AW374" si="539">R$604*$R155</f>
        <v>268.12827956989241</v>
      </c>
      <c r="S374" s="527">
        <f t="shared" si="539"/>
        <v>268.12827956989241</v>
      </c>
      <c r="T374" s="527">
        <f t="shared" si="539"/>
        <v>268.12827956989241</v>
      </c>
      <c r="U374" s="527">
        <f t="shared" si="539"/>
        <v>268.12827956989241</v>
      </c>
      <c r="V374" s="527">
        <f t="shared" si="539"/>
        <v>268.12827956989241</v>
      </c>
      <c r="W374" s="527">
        <f t="shared" si="539"/>
        <v>268.12827956989241</v>
      </c>
      <c r="X374" s="527">
        <f t="shared" si="539"/>
        <v>268.12827956989241</v>
      </c>
      <c r="Y374" s="527">
        <f t="shared" si="539"/>
        <v>268.12827956989241</v>
      </c>
      <c r="Z374" s="527">
        <f t="shared" si="539"/>
        <v>268.12827956989241</v>
      </c>
      <c r="AA374" s="527">
        <f t="shared" si="539"/>
        <v>268.12827956989241</v>
      </c>
      <c r="AB374" s="527">
        <f t="shared" si="539"/>
        <v>268.12827956989241</v>
      </c>
      <c r="AC374" s="527">
        <f t="shared" si="539"/>
        <v>268.12827956989241</v>
      </c>
      <c r="AD374" s="527">
        <f t="shared" si="539"/>
        <v>268.12827956989241</v>
      </c>
      <c r="AE374" s="527">
        <f t="shared" si="539"/>
        <v>268.12827956989241</v>
      </c>
      <c r="AF374" s="527">
        <f t="shared" si="539"/>
        <v>268.12827956989241</v>
      </c>
      <c r="AG374" s="527">
        <f t="shared" si="539"/>
        <v>268.12827956989241</v>
      </c>
      <c r="AH374" s="527">
        <f t="shared" si="539"/>
        <v>268.12827956989241</v>
      </c>
      <c r="AI374" s="527">
        <f t="shared" si="539"/>
        <v>268.12827956989241</v>
      </c>
      <c r="AJ374" s="527">
        <f t="shared" si="539"/>
        <v>268.12827956989241</v>
      </c>
      <c r="AK374" s="527">
        <f t="shared" si="539"/>
        <v>268.12827956989241</v>
      </c>
      <c r="AL374" s="527">
        <f t="shared" si="539"/>
        <v>268.12827956989241</v>
      </c>
      <c r="AM374" s="527">
        <f t="shared" si="539"/>
        <v>268.12827956989241</v>
      </c>
      <c r="AN374" s="527">
        <f t="shared" si="539"/>
        <v>268.12827956989241</v>
      </c>
      <c r="AO374" s="527">
        <f t="shared" si="539"/>
        <v>268.12827956989241</v>
      </c>
      <c r="AP374" s="527">
        <f t="shared" si="539"/>
        <v>268.12827956989241</v>
      </c>
      <c r="AQ374" s="527">
        <f t="shared" si="539"/>
        <v>268.12827956989241</v>
      </c>
      <c r="AR374" s="527">
        <f t="shared" si="539"/>
        <v>268.12827956989241</v>
      </c>
      <c r="AS374" s="527">
        <f t="shared" si="539"/>
        <v>268.12827956989241</v>
      </c>
      <c r="AT374" s="527">
        <f t="shared" si="539"/>
        <v>268.12827956989241</v>
      </c>
      <c r="AU374" s="527">
        <f t="shared" si="539"/>
        <v>268.12827956989241</v>
      </c>
      <c r="AV374" s="527">
        <f t="shared" si="539"/>
        <v>268.12827956989241</v>
      </c>
      <c r="AW374" s="527">
        <f t="shared" si="539"/>
        <v>268.12827956989241</v>
      </c>
      <c r="AX374" s="527">
        <f t="shared" ref="AX374:BY374" si="540">AX$604*$R155</f>
        <v>268.12827956989241</v>
      </c>
      <c r="AY374" s="527">
        <f t="shared" si="540"/>
        <v>268.12827956989241</v>
      </c>
      <c r="AZ374" s="527">
        <f t="shared" si="540"/>
        <v>268.12827956989241</v>
      </c>
      <c r="BA374" s="527">
        <f t="shared" si="540"/>
        <v>268.12827956989241</v>
      </c>
      <c r="BB374" s="527">
        <f t="shared" si="540"/>
        <v>268.12827956989241</v>
      </c>
      <c r="BC374" s="527">
        <f t="shared" si="540"/>
        <v>268.12827956989241</v>
      </c>
      <c r="BD374" s="527">
        <f t="shared" si="540"/>
        <v>268.12827956989241</v>
      </c>
      <c r="BE374" s="527">
        <f t="shared" si="540"/>
        <v>268.12827956989241</v>
      </c>
      <c r="BF374" s="527">
        <f t="shared" si="540"/>
        <v>268.12827956989241</v>
      </c>
      <c r="BG374" s="527">
        <f t="shared" si="540"/>
        <v>268.12827956989241</v>
      </c>
      <c r="BH374" s="527">
        <f t="shared" si="540"/>
        <v>268.12827956989241</v>
      </c>
      <c r="BI374" s="527">
        <f t="shared" si="540"/>
        <v>268.12827956989241</v>
      </c>
      <c r="BJ374" s="527">
        <f t="shared" si="540"/>
        <v>268.12827956989241</v>
      </c>
      <c r="BK374" s="527">
        <f t="shared" si="540"/>
        <v>268.12827956989241</v>
      </c>
      <c r="BL374" s="527">
        <f t="shared" si="540"/>
        <v>268.12827956989241</v>
      </c>
      <c r="BM374" s="527">
        <f t="shared" si="540"/>
        <v>268.12827956989241</v>
      </c>
      <c r="BN374" s="527">
        <f t="shared" si="540"/>
        <v>268.12827956989241</v>
      </c>
      <c r="BO374" s="527">
        <f t="shared" si="540"/>
        <v>268.12827956989241</v>
      </c>
      <c r="BP374" s="527">
        <f t="shared" si="540"/>
        <v>268.12827956989241</v>
      </c>
      <c r="BQ374" s="527">
        <f t="shared" si="540"/>
        <v>268.12827956989241</v>
      </c>
      <c r="BR374" s="527">
        <f t="shared" si="540"/>
        <v>268.12827956989241</v>
      </c>
      <c r="BS374" s="527">
        <f t="shared" si="540"/>
        <v>268.12827956989241</v>
      </c>
      <c r="BT374" s="527">
        <f t="shared" si="540"/>
        <v>268.12827956989241</v>
      </c>
      <c r="BU374" s="527">
        <f t="shared" si="540"/>
        <v>268.12827956989241</v>
      </c>
      <c r="BV374" s="527">
        <f t="shared" si="540"/>
        <v>268.12827956989241</v>
      </c>
      <c r="BW374" s="527">
        <f t="shared" si="540"/>
        <v>268.12827956989241</v>
      </c>
      <c r="BX374" s="527">
        <f t="shared" si="540"/>
        <v>268.12827956989241</v>
      </c>
      <c r="BY374" s="527">
        <f t="shared" si="540"/>
        <v>268.12827956989241</v>
      </c>
    </row>
    <row r="375" spans="1:77" x14ac:dyDescent="0.3">
      <c r="A375" s="551"/>
      <c r="B375" s="548"/>
      <c r="C375" s="525"/>
      <c r="D375" s="525"/>
      <c r="E375" s="637" t="str">
        <f>"F&amp;F income: "&amp;E$156</f>
        <v>F&amp;F income: FY28 Tranche</v>
      </c>
      <c r="F375" s="525"/>
      <c r="G375" s="525"/>
      <c r="H375" s="525"/>
      <c r="I375" s="525"/>
      <c r="J375" s="525"/>
      <c r="K375" s="525"/>
      <c r="L375" s="525"/>
      <c r="M375" s="525"/>
      <c r="N375" s="525"/>
      <c r="O375" s="525"/>
      <c r="P375" s="565"/>
      <c r="Q375" s="525"/>
      <c r="R375" s="527">
        <f t="shared" ref="R375:AW375" si="541">R$604*$R156</f>
        <v>268.12827956989241</v>
      </c>
      <c r="S375" s="527">
        <f t="shared" si="541"/>
        <v>268.12827956989241</v>
      </c>
      <c r="T375" s="527">
        <f t="shared" si="541"/>
        <v>268.12827956989241</v>
      </c>
      <c r="U375" s="527">
        <f t="shared" si="541"/>
        <v>268.12827956989241</v>
      </c>
      <c r="V375" s="527">
        <f t="shared" si="541"/>
        <v>268.12827956989241</v>
      </c>
      <c r="W375" s="527">
        <f t="shared" si="541"/>
        <v>268.12827956989241</v>
      </c>
      <c r="X375" s="527">
        <f t="shared" si="541"/>
        <v>268.12827956989241</v>
      </c>
      <c r="Y375" s="527">
        <f t="shared" si="541"/>
        <v>268.12827956989241</v>
      </c>
      <c r="Z375" s="527">
        <f t="shared" si="541"/>
        <v>268.12827956989241</v>
      </c>
      <c r="AA375" s="527">
        <f t="shared" si="541"/>
        <v>268.12827956989241</v>
      </c>
      <c r="AB375" s="527">
        <f t="shared" si="541"/>
        <v>268.12827956989241</v>
      </c>
      <c r="AC375" s="527">
        <f t="shared" si="541"/>
        <v>268.12827956989241</v>
      </c>
      <c r="AD375" s="527">
        <f t="shared" si="541"/>
        <v>268.12827956989241</v>
      </c>
      <c r="AE375" s="527">
        <f t="shared" si="541"/>
        <v>268.12827956989241</v>
      </c>
      <c r="AF375" s="527">
        <f t="shared" si="541"/>
        <v>268.12827956989241</v>
      </c>
      <c r="AG375" s="527">
        <f t="shared" si="541"/>
        <v>268.12827956989241</v>
      </c>
      <c r="AH375" s="527">
        <f t="shared" si="541"/>
        <v>268.12827956989241</v>
      </c>
      <c r="AI375" s="527">
        <f t="shared" si="541"/>
        <v>268.12827956989241</v>
      </c>
      <c r="AJ375" s="527">
        <f t="shared" si="541"/>
        <v>268.12827956989241</v>
      </c>
      <c r="AK375" s="527">
        <f t="shared" si="541"/>
        <v>268.12827956989241</v>
      </c>
      <c r="AL375" s="527">
        <f t="shared" si="541"/>
        <v>268.12827956989241</v>
      </c>
      <c r="AM375" s="527">
        <f t="shared" si="541"/>
        <v>268.12827956989241</v>
      </c>
      <c r="AN375" s="527">
        <f t="shared" si="541"/>
        <v>268.12827956989241</v>
      </c>
      <c r="AO375" s="527">
        <f t="shared" si="541"/>
        <v>268.12827956989241</v>
      </c>
      <c r="AP375" s="527">
        <f t="shared" si="541"/>
        <v>268.12827956989241</v>
      </c>
      <c r="AQ375" s="527">
        <f t="shared" si="541"/>
        <v>268.12827956989241</v>
      </c>
      <c r="AR375" s="527">
        <f t="shared" si="541"/>
        <v>268.12827956989241</v>
      </c>
      <c r="AS375" s="527">
        <f t="shared" si="541"/>
        <v>268.12827956989241</v>
      </c>
      <c r="AT375" s="527">
        <f t="shared" si="541"/>
        <v>268.12827956989241</v>
      </c>
      <c r="AU375" s="527">
        <f t="shared" si="541"/>
        <v>268.12827956989241</v>
      </c>
      <c r="AV375" s="527">
        <f t="shared" si="541"/>
        <v>268.12827956989241</v>
      </c>
      <c r="AW375" s="527">
        <f t="shared" si="541"/>
        <v>268.12827956989241</v>
      </c>
      <c r="AX375" s="527">
        <f t="shared" ref="AX375:BY375" si="542">AX$604*$R156</f>
        <v>268.12827956989241</v>
      </c>
      <c r="AY375" s="527">
        <f t="shared" si="542"/>
        <v>268.12827956989241</v>
      </c>
      <c r="AZ375" s="527">
        <f t="shared" si="542"/>
        <v>268.12827956989241</v>
      </c>
      <c r="BA375" s="527">
        <f t="shared" si="542"/>
        <v>268.12827956989241</v>
      </c>
      <c r="BB375" s="527">
        <f t="shared" si="542"/>
        <v>268.12827956989241</v>
      </c>
      <c r="BC375" s="527">
        <f t="shared" si="542"/>
        <v>268.12827956989241</v>
      </c>
      <c r="BD375" s="527">
        <f t="shared" si="542"/>
        <v>268.12827956989241</v>
      </c>
      <c r="BE375" s="527">
        <f t="shared" si="542"/>
        <v>268.12827956989241</v>
      </c>
      <c r="BF375" s="527">
        <f t="shared" si="542"/>
        <v>268.12827956989241</v>
      </c>
      <c r="BG375" s="527">
        <f t="shared" si="542"/>
        <v>268.12827956989241</v>
      </c>
      <c r="BH375" s="527">
        <f t="shared" si="542"/>
        <v>268.12827956989241</v>
      </c>
      <c r="BI375" s="527">
        <f t="shared" si="542"/>
        <v>268.12827956989241</v>
      </c>
      <c r="BJ375" s="527">
        <f t="shared" si="542"/>
        <v>268.12827956989241</v>
      </c>
      <c r="BK375" s="527">
        <f t="shared" si="542"/>
        <v>268.12827956989241</v>
      </c>
      <c r="BL375" s="527">
        <f t="shared" si="542"/>
        <v>268.12827956989241</v>
      </c>
      <c r="BM375" s="527">
        <f t="shared" si="542"/>
        <v>268.12827956989241</v>
      </c>
      <c r="BN375" s="527">
        <f t="shared" si="542"/>
        <v>268.12827956989241</v>
      </c>
      <c r="BO375" s="527">
        <f t="shared" si="542"/>
        <v>268.12827956989241</v>
      </c>
      <c r="BP375" s="527">
        <f t="shared" si="542"/>
        <v>268.12827956989241</v>
      </c>
      <c r="BQ375" s="527">
        <f t="shared" si="542"/>
        <v>268.12827956989241</v>
      </c>
      <c r="BR375" s="527">
        <f t="shared" si="542"/>
        <v>268.12827956989241</v>
      </c>
      <c r="BS375" s="527">
        <f t="shared" si="542"/>
        <v>268.12827956989241</v>
      </c>
      <c r="BT375" s="527">
        <f t="shared" si="542"/>
        <v>268.12827956989241</v>
      </c>
      <c r="BU375" s="527">
        <f t="shared" si="542"/>
        <v>268.12827956989241</v>
      </c>
      <c r="BV375" s="527">
        <f t="shared" si="542"/>
        <v>268.12827956989241</v>
      </c>
      <c r="BW375" s="527">
        <f t="shared" si="542"/>
        <v>268.12827956989241</v>
      </c>
      <c r="BX375" s="527">
        <f t="shared" si="542"/>
        <v>268.12827956989241</v>
      </c>
      <c r="BY375" s="527">
        <f t="shared" si="542"/>
        <v>268.12827956989241</v>
      </c>
    </row>
    <row r="376" spans="1:77" x14ac:dyDescent="0.3">
      <c r="A376" s="551"/>
      <c r="B376" s="548"/>
      <c r="C376" s="525"/>
      <c r="D376" s="525"/>
      <c r="E376" s="637" t="str">
        <f>"F&amp;F income: "&amp;E$157</f>
        <v>F&amp;F income: FY29 Tranche</v>
      </c>
      <c r="F376" s="525"/>
      <c r="G376" s="525"/>
      <c r="H376" s="525"/>
      <c r="I376" s="525"/>
      <c r="J376" s="525"/>
      <c r="K376" s="525"/>
      <c r="L376" s="525"/>
      <c r="M376" s="525"/>
      <c r="N376" s="525"/>
      <c r="O376" s="525"/>
      <c r="P376" s="565"/>
      <c r="Q376" s="525"/>
      <c r="R376" s="527">
        <f t="shared" ref="R376:AW376" si="543">R$604*$R157</f>
        <v>268.12827956989241</v>
      </c>
      <c r="S376" s="527">
        <f t="shared" si="543"/>
        <v>268.12827956989241</v>
      </c>
      <c r="T376" s="527">
        <f t="shared" si="543"/>
        <v>268.12827956989241</v>
      </c>
      <c r="U376" s="527">
        <f t="shared" si="543"/>
        <v>268.12827956989241</v>
      </c>
      <c r="V376" s="527">
        <f t="shared" si="543"/>
        <v>268.12827956989241</v>
      </c>
      <c r="W376" s="527">
        <f t="shared" si="543"/>
        <v>268.12827956989241</v>
      </c>
      <c r="X376" s="527">
        <f t="shared" si="543"/>
        <v>268.12827956989241</v>
      </c>
      <c r="Y376" s="527">
        <f t="shared" si="543"/>
        <v>268.12827956989241</v>
      </c>
      <c r="Z376" s="527">
        <f t="shared" si="543"/>
        <v>268.12827956989241</v>
      </c>
      <c r="AA376" s="527">
        <f t="shared" si="543"/>
        <v>268.12827956989241</v>
      </c>
      <c r="AB376" s="527">
        <f t="shared" si="543"/>
        <v>268.12827956989241</v>
      </c>
      <c r="AC376" s="527">
        <f t="shared" si="543"/>
        <v>268.12827956989241</v>
      </c>
      <c r="AD376" s="527">
        <f t="shared" si="543"/>
        <v>268.12827956989241</v>
      </c>
      <c r="AE376" s="527">
        <f t="shared" si="543"/>
        <v>268.12827956989241</v>
      </c>
      <c r="AF376" s="527">
        <f t="shared" si="543"/>
        <v>268.12827956989241</v>
      </c>
      <c r="AG376" s="527">
        <f t="shared" si="543"/>
        <v>268.12827956989241</v>
      </c>
      <c r="AH376" s="527">
        <f t="shared" si="543"/>
        <v>268.12827956989241</v>
      </c>
      <c r="AI376" s="527">
        <f t="shared" si="543"/>
        <v>268.12827956989241</v>
      </c>
      <c r="AJ376" s="527">
        <f t="shared" si="543"/>
        <v>268.12827956989241</v>
      </c>
      <c r="AK376" s="527">
        <f t="shared" si="543"/>
        <v>268.12827956989241</v>
      </c>
      <c r="AL376" s="527">
        <f t="shared" si="543"/>
        <v>268.12827956989241</v>
      </c>
      <c r="AM376" s="527">
        <f t="shared" si="543"/>
        <v>268.12827956989241</v>
      </c>
      <c r="AN376" s="527">
        <f t="shared" si="543"/>
        <v>268.12827956989241</v>
      </c>
      <c r="AO376" s="527">
        <f t="shared" si="543"/>
        <v>268.12827956989241</v>
      </c>
      <c r="AP376" s="527">
        <f t="shared" si="543"/>
        <v>268.12827956989241</v>
      </c>
      <c r="AQ376" s="527">
        <f t="shared" si="543"/>
        <v>268.12827956989241</v>
      </c>
      <c r="AR376" s="527">
        <f t="shared" si="543"/>
        <v>268.12827956989241</v>
      </c>
      <c r="AS376" s="527">
        <f t="shared" si="543"/>
        <v>268.12827956989241</v>
      </c>
      <c r="AT376" s="527">
        <f t="shared" si="543"/>
        <v>268.12827956989241</v>
      </c>
      <c r="AU376" s="527">
        <f t="shared" si="543"/>
        <v>268.12827956989241</v>
      </c>
      <c r="AV376" s="527">
        <f t="shared" si="543"/>
        <v>268.12827956989241</v>
      </c>
      <c r="AW376" s="527">
        <f t="shared" si="543"/>
        <v>268.12827956989241</v>
      </c>
      <c r="AX376" s="527">
        <f t="shared" ref="AX376:BY376" si="544">AX$604*$R157</f>
        <v>268.12827956989241</v>
      </c>
      <c r="AY376" s="527">
        <f t="shared" si="544"/>
        <v>268.12827956989241</v>
      </c>
      <c r="AZ376" s="527">
        <f t="shared" si="544"/>
        <v>268.12827956989241</v>
      </c>
      <c r="BA376" s="527">
        <f t="shared" si="544"/>
        <v>268.12827956989241</v>
      </c>
      <c r="BB376" s="527">
        <f t="shared" si="544"/>
        <v>268.12827956989241</v>
      </c>
      <c r="BC376" s="527">
        <f t="shared" si="544"/>
        <v>268.12827956989241</v>
      </c>
      <c r="BD376" s="527">
        <f t="shared" si="544"/>
        <v>268.12827956989241</v>
      </c>
      <c r="BE376" s="527">
        <f t="shared" si="544"/>
        <v>268.12827956989241</v>
      </c>
      <c r="BF376" s="527">
        <f t="shared" si="544"/>
        <v>268.12827956989241</v>
      </c>
      <c r="BG376" s="527">
        <f t="shared" si="544"/>
        <v>268.12827956989241</v>
      </c>
      <c r="BH376" s="527">
        <f t="shared" si="544"/>
        <v>268.12827956989241</v>
      </c>
      <c r="BI376" s="527">
        <f t="shared" si="544"/>
        <v>268.12827956989241</v>
      </c>
      <c r="BJ376" s="527">
        <f t="shared" si="544"/>
        <v>268.12827956989241</v>
      </c>
      <c r="BK376" s="527">
        <f t="shared" si="544"/>
        <v>268.12827956989241</v>
      </c>
      <c r="BL376" s="527">
        <f t="shared" si="544"/>
        <v>268.12827956989241</v>
      </c>
      <c r="BM376" s="527">
        <f t="shared" si="544"/>
        <v>268.12827956989241</v>
      </c>
      <c r="BN376" s="527">
        <f t="shared" si="544"/>
        <v>268.12827956989241</v>
      </c>
      <c r="BO376" s="527">
        <f t="shared" si="544"/>
        <v>268.12827956989241</v>
      </c>
      <c r="BP376" s="527">
        <f t="shared" si="544"/>
        <v>268.12827956989241</v>
      </c>
      <c r="BQ376" s="527">
        <f t="shared" si="544"/>
        <v>268.12827956989241</v>
      </c>
      <c r="BR376" s="527">
        <f t="shared" si="544"/>
        <v>268.12827956989241</v>
      </c>
      <c r="BS376" s="527">
        <f t="shared" si="544"/>
        <v>268.12827956989241</v>
      </c>
      <c r="BT376" s="527">
        <f t="shared" si="544"/>
        <v>268.12827956989241</v>
      </c>
      <c r="BU376" s="527">
        <f t="shared" si="544"/>
        <v>268.12827956989241</v>
      </c>
      <c r="BV376" s="527">
        <f t="shared" si="544"/>
        <v>268.12827956989241</v>
      </c>
      <c r="BW376" s="527">
        <f t="shared" si="544"/>
        <v>268.12827956989241</v>
      </c>
      <c r="BX376" s="527">
        <f t="shared" si="544"/>
        <v>268.12827956989241</v>
      </c>
      <c r="BY376" s="527">
        <f t="shared" si="544"/>
        <v>268.12827956989241</v>
      </c>
    </row>
    <row r="377" spans="1:77" x14ac:dyDescent="0.3">
      <c r="A377" s="551"/>
      <c r="B377" s="548"/>
      <c r="C377" s="525"/>
      <c r="D377" s="525"/>
      <c r="E377" s="637" t="str">
        <f>"F&amp;F income: "&amp;E$158</f>
        <v>F&amp;F income: FY30 Tranche</v>
      </c>
      <c r="F377" s="525"/>
      <c r="G377" s="525"/>
      <c r="H377" s="525"/>
      <c r="I377" s="525"/>
      <c r="J377" s="525"/>
      <c r="K377" s="525"/>
      <c r="L377" s="525"/>
      <c r="M377" s="525"/>
      <c r="N377" s="525"/>
      <c r="O377" s="525"/>
      <c r="P377" s="565"/>
      <c r="Q377" s="525"/>
      <c r="R377" s="527">
        <f t="shared" ref="R377:AW377" si="545">R$604*$R158</f>
        <v>268.12827956989241</v>
      </c>
      <c r="S377" s="527">
        <f t="shared" si="545"/>
        <v>268.12827956989241</v>
      </c>
      <c r="T377" s="527">
        <f t="shared" si="545"/>
        <v>268.12827956989241</v>
      </c>
      <c r="U377" s="527">
        <f t="shared" si="545"/>
        <v>268.12827956989241</v>
      </c>
      <c r="V377" s="527">
        <f t="shared" si="545"/>
        <v>268.12827956989241</v>
      </c>
      <c r="W377" s="527">
        <f t="shared" si="545"/>
        <v>268.12827956989241</v>
      </c>
      <c r="X377" s="527">
        <f t="shared" si="545"/>
        <v>268.12827956989241</v>
      </c>
      <c r="Y377" s="527">
        <f t="shared" si="545"/>
        <v>268.12827956989241</v>
      </c>
      <c r="Z377" s="527">
        <f t="shared" si="545"/>
        <v>268.12827956989241</v>
      </c>
      <c r="AA377" s="527">
        <f t="shared" si="545"/>
        <v>268.12827956989241</v>
      </c>
      <c r="AB377" s="527">
        <f t="shared" si="545"/>
        <v>268.12827956989241</v>
      </c>
      <c r="AC377" s="527">
        <f t="shared" si="545"/>
        <v>268.12827956989241</v>
      </c>
      <c r="AD377" s="527">
        <f t="shared" si="545"/>
        <v>268.12827956989241</v>
      </c>
      <c r="AE377" s="527">
        <f t="shared" si="545"/>
        <v>268.12827956989241</v>
      </c>
      <c r="AF377" s="527">
        <f t="shared" si="545"/>
        <v>268.12827956989241</v>
      </c>
      <c r="AG377" s="527">
        <f t="shared" si="545"/>
        <v>268.12827956989241</v>
      </c>
      <c r="AH377" s="527">
        <f t="shared" si="545"/>
        <v>268.12827956989241</v>
      </c>
      <c r="AI377" s="527">
        <f t="shared" si="545"/>
        <v>268.12827956989241</v>
      </c>
      <c r="AJ377" s="527">
        <f t="shared" si="545"/>
        <v>268.12827956989241</v>
      </c>
      <c r="AK377" s="527">
        <f t="shared" si="545"/>
        <v>268.12827956989241</v>
      </c>
      <c r="AL377" s="527">
        <f t="shared" si="545"/>
        <v>268.12827956989241</v>
      </c>
      <c r="AM377" s="527">
        <f t="shared" si="545"/>
        <v>268.12827956989241</v>
      </c>
      <c r="AN377" s="527">
        <f t="shared" si="545"/>
        <v>268.12827956989241</v>
      </c>
      <c r="AO377" s="527">
        <f t="shared" si="545"/>
        <v>268.12827956989241</v>
      </c>
      <c r="AP377" s="527">
        <f t="shared" si="545"/>
        <v>268.12827956989241</v>
      </c>
      <c r="AQ377" s="527">
        <f t="shared" si="545"/>
        <v>268.12827956989241</v>
      </c>
      <c r="AR377" s="527">
        <f t="shared" si="545"/>
        <v>268.12827956989241</v>
      </c>
      <c r="AS377" s="527">
        <f t="shared" si="545"/>
        <v>268.12827956989241</v>
      </c>
      <c r="AT377" s="527">
        <f t="shared" si="545"/>
        <v>268.12827956989241</v>
      </c>
      <c r="AU377" s="527">
        <f t="shared" si="545"/>
        <v>268.12827956989241</v>
      </c>
      <c r="AV377" s="527">
        <f t="shared" si="545"/>
        <v>268.12827956989241</v>
      </c>
      <c r="AW377" s="527">
        <f t="shared" si="545"/>
        <v>268.12827956989241</v>
      </c>
      <c r="AX377" s="527">
        <f t="shared" ref="AX377:BY377" si="546">AX$604*$R158</f>
        <v>268.12827956989241</v>
      </c>
      <c r="AY377" s="527">
        <f t="shared" si="546"/>
        <v>268.12827956989241</v>
      </c>
      <c r="AZ377" s="527">
        <f t="shared" si="546"/>
        <v>268.12827956989241</v>
      </c>
      <c r="BA377" s="527">
        <f t="shared" si="546"/>
        <v>268.12827956989241</v>
      </c>
      <c r="BB377" s="527">
        <f t="shared" si="546"/>
        <v>268.12827956989241</v>
      </c>
      <c r="BC377" s="527">
        <f t="shared" si="546"/>
        <v>268.12827956989241</v>
      </c>
      <c r="BD377" s="527">
        <f t="shared" si="546"/>
        <v>268.12827956989241</v>
      </c>
      <c r="BE377" s="527">
        <f t="shared" si="546"/>
        <v>268.12827956989241</v>
      </c>
      <c r="BF377" s="527">
        <f t="shared" si="546"/>
        <v>268.12827956989241</v>
      </c>
      <c r="BG377" s="527">
        <f t="shared" si="546"/>
        <v>268.12827956989241</v>
      </c>
      <c r="BH377" s="527">
        <f t="shared" si="546"/>
        <v>268.12827956989241</v>
      </c>
      <c r="BI377" s="527">
        <f t="shared" si="546"/>
        <v>268.12827956989241</v>
      </c>
      <c r="BJ377" s="527">
        <f t="shared" si="546"/>
        <v>268.12827956989241</v>
      </c>
      <c r="BK377" s="527">
        <f t="shared" si="546"/>
        <v>268.12827956989241</v>
      </c>
      <c r="BL377" s="527">
        <f t="shared" si="546"/>
        <v>268.12827956989241</v>
      </c>
      <c r="BM377" s="527">
        <f t="shared" si="546"/>
        <v>268.12827956989241</v>
      </c>
      <c r="BN377" s="527">
        <f t="shared" si="546"/>
        <v>268.12827956989241</v>
      </c>
      <c r="BO377" s="527">
        <f t="shared" si="546"/>
        <v>268.12827956989241</v>
      </c>
      <c r="BP377" s="527">
        <f t="shared" si="546"/>
        <v>268.12827956989241</v>
      </c>
      <c r="BQ377" s="527">
        <f t="shared" si="546"/>
        <v>268.12827956989241</v>
      </c>
      <c r="BR377" s="527">
        <f t="shared" si="546"/>
        <v>268.12827956989241</v>
      </c>
      <c r="BS377" s="527">
        <f t="shared" si="546"/>
        <v>268.12827956989241</v>
      </c>
      <c r="BT377" s="527">
        <f t="shared" si="546"/>
        <v>268.12827956989241</v>
      </c>
      <c r="BU377" s="527">
        <f t="shared" si="546"/>
        <v>268.12827956989241</v>
      </c>
      <c r="BV377" s="527">
        <f t="shared" si="546"/>
        <v>268.12827956989241</v>
      </c>
      <c r="BW377" s="527">
        <f t="shared" si="546"/>
        <v>268.12827956989241</v>
      </c>
      <c r="BX377" s="527">
        <f t="shared" si="546"/>
        <v>268.12827956989241</v>
      </c>
      <c r="BY377" s="527">
        <f t="shared" si="546"/>
        <v>268.12827956989241</v>
      </c>
    </row>
    <row r="378" spans="1:77" x14ac:dyDescent="0.3">
      <c r="A378" s="551"/>
      <c r="B378" s="548"/>
      <c r="C378" s="525"/>
      <c r="D378" s="525"/>
      <c r="E378" s="637" t="str">
        <f>"F&amp;F income: "&amp;E$159</f>
        <v>F&amp;F income: FY31 Tranche</v>
      </c>
      <c r="F378" s="525"/>
      <c r="G378" s="525"/>
      <c r="H378" s="525"/>
      <c r="I378" s="525"/>
      <c r="J378" s="525"/>
      <c r="K378" s="525"/>
      <c r="L378" s="525"/>
      <c r="M378" s="525"/>
      <c r="N378" s="525"/>
      <c r="O378" s="525"/>
      <c r="P378" s="565"/>
      <c r="Q378" s="525"/>
      <c r="R378" s="527">
        <f t="shared" ref="R378:AW378" si="547">R$604*$R159</f>
        <v>268.12827956989241</v>
      </c>
      <c r="S378" s="527">
        <f t="shared" si="547"/>
        <v>268.12827956989241</v>
      </c>
      <c r="T378" s="527">
        <f t="shared" si="547"/>
        <v>268.12827956989241</v>
      </c>
      <c r="U378" s="527">
        <f t="shared" si="547"/>
        <v>268.12827956989241</v>
      </c>
      <c r="V378" s="527">
        <f t="shared" si="547"/>
        <v>268.12827956989241</v>
      </c>
      <c r="W378" s="527">
        <f t="shared" si="547"/>
        <v>268.12827956989241</v>
      </c>
      <c r="X378" s="527">
        <f t="shared" si="547"/>
        <v>268.12827956989241</v>
      </c>
      <c r="Y378" s="527">
        <f t="shared" si="547"/>
        <v>268.12827956989241</v>
      </c>
      <c r="Z378" s="527">
        <f t="shared" si="547"/>
        <v>268.12827956989241</v>
      </c>
      <c r="AA378" s="527">
        <f t="shared" si="547"/>
        <v>268.12827956989241</v>
      </c>
      <c r="AB378" s="527">
        <f t="shared" si="547"/>
        <v>268.12827956989241</v>
      </c>
      <c r="AC378" s="527">
        <f t="shared" si="547"/>
        <v>268.12827956989241</v>
      </c>
      <c r="AD378" s="527">
        <f t="shared" si="547"/>
        <v>268.12827956989241</v>
      </c>
      <c r="AE378" s="527">
        <f t="shared" si="547"/>
        <v>268.12827956989241</v>
      </c>
      <c r="AF378" s="527">
        <f t="shared" si="547"/>
        <v>268.12827956989241</v>
      </c>
      <c r="AG378" s="527">
        <f t="shared" si="547"/>
        <v>268.12827956989241</v>
      </c>
      <c r="AH378" s="527">
        <f t="shared" si="547"/>
        <v>268.12827956989241</v>
      </c>
      <c r="AI378" s="527">
        <f t="shared" si="547"/>
        <v>268.12827956989241</v>
      </c>
      <c r="AJ378" s="527">
        <f t="shared" si="547"/>
        <v>268.12827956989241</v>
      </c>
      <c r="AK378" s="527">
        <f t="shared" si="547"/>
        <v>268.12827956989241</v>
      </c>
      <c r="AL378" s="527">
        <f t="shared" si="547"/>
        <v>268.12827956989241</v>
      </c>
      <c r="AM378" s="527">
        <f t="shared" si="547"/>
        <v>268.12827956989241</v>
      </c>
      <c r="AN378" s="527">
        <f t="shared" si="547"/>
        <v>268.12827956989241</v>
      </c>
      <c r="AO378" s="527">
        <f t="shared" si="547"/>
        <v>268.12827956989241</v>
      </c>
      <c r="AP378" s="527">
        <f t="shared" si="547"/>
        <v>268.12827956989241</v>
      </c>
      <c r="AQ378" s="527">
        <f t="shared" si="547"/>
        <v>268.12827956989241</v>
      </c>
      <c r="AR378" s="527">
        <f t="shared" si="547"/>
        <v>268.12827956989241</v>
      </c>
      <c r="AS378" s="527">
        <f t="shared" si="547"/>
        <v>268.12827956989241</v>
      </c>
      <c r="AT378" s="527">
        <f t="shared" si="547"/>
        <v>268.12827956989241</v>
      </c>
      <c r="AU378" s="527">
        <f t="shared" si="547"/>
        <v>268.12827956989241</v>
      </c>
      <c r="AV378" s="527">
        <f t="shared" si="547"/>
        <v>268.12827956989241</v>
      </c>
      <c r="AW378" s="527">
        <f t="shared" si="547"/>
        <v>268.12827956989241</v>
      </c>
      <c r="AX378" s="527">
        <f t="shared" ref="AX378:BY378" si="548">AX$604*$R159</f>
        <v>268.12827956989241</v>
      </c>
      <c r="AY378" s="527">
        <f t="shared" si="548"/>
        <v>268.12827956989241</v>
      </c>
      <c r="AZ378" s="527">
        <f t="shared" si="548"/>
        <v>268.12827956989241</v>
      </c>
      <c r="BA378" s="527">
        <f t="shared" si="548"/>
        <v>268.12827956989241</v>
      </c>
      <c r="BB378" s="527">
        <f t="shared" si="548"/>
        <v>268.12827956989241</v>
      </c>
      <c r="BC378" s="527">
        <f t="shared" si="548"/>
        <v>268.12827956989241</v>
      </c>
      <c r="BD378" s="527">
        <f t="shared" si="548"/>
        <v>268.12827956989241</v>
      </c>
      <c r="BE378" s="527">
        <f t="shared" si="548"/>
        <v>268.12827956989241</v>
      </c>
      <c r="BF378" s="527">
        <f t="shared" si="548"/>
        <v>268.12827956989241</v>
      </c>
      <c r="BG378" s="527">
        <f t="shared" si="548"/>
        <v>268.12827956989241</v>
      </c>
      <c r="BH378" s="527">
        <f t="shared" si="548"/>
        <v>268.12827956989241</v>
      </c>
      <c r="BI378" s="527">
        <f t="shared" si="548"/>
        <v>268.12827956989241</v>
      </c>
      <c r="BJ378" s="527">
        <f t="shared" si="548"/>
        <v>268.12827956989241</v>
      </c>
      <c r="BK378" s="527">
        <f t="shared" si="548"/>
        <v>268.12827956989241</v>
      </c>
      <c r="BL378" s="527">
        <f t="shared" si="548"/>
        <v>268.12827956989241</v>
      </c>
      <c r="BM378" s="527">
        <f t="shared" si="548"/>
        <v>268.12827956989241</v>
      </c>
      <c r="BN378" s="527">
        <f t="shared" si="548"/>
        <v>268.12827956989241</v>
      </c>
      <c r="BO378" s="527">
        <f t="shared" si="548"/>
        <v>268.12827956989241</v>
      </c>
      <c r="BP378" s="527">
        <f t="shared" si="548"/>
        <v>268.12827956989241</v>
      </c>
      <c r="BQ378" s="527">
        <f t="shared" si="548"/>
        <v>268.12827956989241</v>
      </c>
      <c r="BR378" s="527">
        <f t="shared" si="548"/>
        <v>268.12827956989241</v>
      </c>
      <c r="BS378" s="527">
        <f t="shared" si="548"/>
        <v>268.12827956989241</v>
      </c>
      <c r="BT378" s="527">
        <f t="shared" si="548"/>
        <v>268.12827956989241</v>
      </c>
      <c r="BU378" s="527">
        <f t="shared" si="548"/>
        <v>268.12827956989241</v>
      </c>
      <c r="BV378" s="527">
        <f t="shared" si="548"/>
        <v>268.12827956989241</v>
      </c>
      <c r="BW378" s="527">
        <f t="shared" si="548"/>
        <v>268.12827956989241</v>
      </c>
      <c r="BX378" s="527">
        <f t="shared" si="548"/>
        <v>268.12827956989241</v>
      </c>
      <c r="BY378" s="527">
        <f t="shared" si="548"/>
        <v>268.12827956989241</v>
      </c>
    </row>
    <row r="379" spans="1:77" x14ac:dyDescent="0.3">
      <c r="A379" s="551"/>
      <c r="B379" s="548"/>
      <c r="C379" s="525"/>
      <c r="D379" s="525"/>
      <c r="E379" s="637" t="str">
        <f>"F&amp;F income: "&amp;E$160</f>
        <v>F&amp;F income: Uninvested Tranche</v>
      </c>
      <c r="F379" s="525"/>
      <c r="G379" s="525"/>
      <c r="H379" s="525"/>
      <c r="I379" s="525"/>
      <c r="J379" s="525"/>
      <c r="K379" s="525"/>
      <c r="L379" s="525"/>
      <c r="M379" s="525"/>
      <c r="N379" s="525"/>
      <c r="O379" s="525"/>
      <c r="P379" s="565"/>
      <c r="Q379" s="525"/>
      <c r="R379" s="527">
        <f t="shared" ref="R379:AW379" si="549">R$604*$R160</f>
        <v>737.35276881720415</v>
      </c>
      <c r="S379" s="527">
        <f t="shared" si="549"/>
        <v>737.35276881720415</v>
      </c>
      <c r="T379" s="527">
        <f t="shared" si="549"/>
        <v>737.35276881720415</v>
      </c>
      <c r="U379" s="527">
        <f t="shared" si="549"/>
        <v>737.35276881720415</v>
      </c>
      <c r="V379" s="527">
        <f t="shared" si="549"/>
        <v>737.35276881720415</v>
      </c>
      <c r="W379" s="527">
        <f t="shared" si="549"/>
        <v>737.35276881720415</v>
      </c>
      <c r="X379" s="527">
        <f t="shared" si="549"/>
        <v>737.35276881720415</v>
      </c>
      <c r="Y379" s="527">
        <f t="shared" si="549"/>
        <v>737.35276881720415</v>
      </c>
      <c r="Z379" s="527">
        <f t="shared" si="549"/>
        <v>737.35276881720415</v>
      </c>
      <c r="AA379" s="527">
        <f t="shared" si="549"/>
        <v>737.35276881720415</v>
      </c>
      <c r="AB379" s="527">
        <f t="shared" si="549"/>
        <v>737.35276881720415</v>
      </c>
      <c r="AC379" s="527">
        <f t="shared" si="549"/>
        <v>737.35276881720415</v>
      </c>
      <c r="AD379" s="527">
        <f t="shared" si="549"/>
        <v>737.35276881720415</v>
      </c>
      <c r="AE379" s="527">
        <f t="shared" si="549"/>
        <v>737.35276881720415</v>
      </c>
      <c r="AF379" s="527">
        <f t="shared" si="549"/>
        <v>737.35276881720415</v>
      </c>
      <c r="AG379" s="527">
        <f t="shared" si="549"/>
        <v>737.35276881720415</v>
      </c>
      <c r="AH379" s="527">
        <f t="shared" si="549"/>
        <v>737.35276881720415</v>
      </c>
      <c r="AI379" s="527">
        <f t="shared" si="549"/>
        <v>737.35276881720415</v>
      </c>
      <c r="AJ379" s="527">
        <f t="shared" si="549"/>
        <v>737.35276881720415</v>
      </c>
      <c r="AK379" s="527">
        <f t="shared" si="549"/>
        <v>737.35276881720415</v>
      </c>
      <c r="AL379" s="527">
        <f t="shared" si="549"/>
        <v>737.35276881720415</v>
      </c>
      <c r="AM379" s="527">
        <f t="shared" si="549"/>
        <v>737.35276881720415</v>
      </c>
      <c r="AN379" s="527">
        <f t="shared" si="549"/>
        <v>737.35276881720415</v>
      </c>
      <c r="AO379" s="527">
        <f t="shared" si="549"/>
        <v>737.35276881720415</v>
      </c>
      <c r="AP379" s="527">
        <f t="shared" si="549"/>
        <v>737.35276881720415</v>
      </c>
      <c r="AQ379" s="527">
        <f t="shared" si="549"/>
        <v>737.35276881720415</v>
      </c>
      <c r="AR379" s="527">
        <f t="shared" si="549"/>
        <v>737.35276881720415</v>
      </c>
      <c r="AS379" s="527">
        <f t="shared" si="549"/>
        <v>737.35276881720415</v>
      </c>
      <c r="AT379" s="527">
        <f t="shared" si="549"/>
        <v>737.35276881720415</v>
      </c>
      <c r="AU379" s="527">
        <f t="shared" si="549"/>
        <v>737.35276881720415</v>
      </c>
      <c r="AV379" s="527">
        <f t="shared" si="549"/>
        <v>737.35276881720415</v>
      </c>
      <c r="AW379" s="527">
        <f t="shared" si="549"/>
        <v>737.35276881720415</v>
      </c>
      <c r="AX379" s="527">
        <f t="shared" ref="AX379:BY379" si="550">AX$604*$R160</f>
        <v>737.35276881720415</v>
      </c>
      <c r="AY379" s="527">
        <f t="shared" si="550"/>
        <v>737.35276881720415</v>
      </c>
      <c r="AZ379" s="527">
        <f t="shared" si="550"/>
        <v>737.35276881720415</v>
      </c>
      <c r="BA379" s="527">
        <f t="shared" si="550"/>
        <v>737.35276881720415</v>
      </c>
      <c r="BB379" s="527">
        <f t="shared" si="550"/>
        <v>737.35276881720415</v>
      </c>
      <c r="BC379" s="527">
        <f t="shared" si="550"/>
        <v>737.35276881720415</v>
      </c>
      <c r="BD379" s="527">
        <f t="shared" si="550"/>
        <v>737.35276881720415</v>
      </c>
      <c r="BE379" s="527">
        <f t="shared" si="550"/>
        <v>737.35276881720415</v>
      </c>
      <c r="BF379" s="527">
        <f t="shared" si="550"/>
        <v>737.35276881720415</v>
      </c>
      <c r="BG379" s="527">
        <f t="shared" si="550"/>
        <v>737.35276881720415</v>
      </c>
      <c r="BH379" s="527">
        <f t="shared" si="550"/>
        <v>737.35276881720415</v>
      </c>
      <c r="BI379" s="527">
        <f t="shared" si="550"/>
        <v>737.35276881720415</v>
      </c>
      <c r="BJ379" s="527">
        <f t="shared" si="550"/>
        <v>737.35276881720415</v>
      </c>
      <c r="BK379" s="527">
        <f t="shared" si="550"/>
        <v>737.35276881720415</v>
      </c>
      <c r="BL379" s="527">
        <f t="shared" si="550"/>
        <v>737.35276881720415</v>
      </c>
      <c r="BM379" s="527">
        <f t="shared" si="550"/>
        <v>737.35276881720415</v>
      </c>
      <c r="BN379" s="527">
        <f t="shared" si="550"/>
        <v>737.35276881720415</v>
      </c>
      <c r="BO379" s="527">
        <f t="shared" si="550"/>
        <v>737.35276881720415</v>
      </c>
      <c r="BP379" s="527">
        <f t="shared" si="550"/>
        <v>737.35276881720415</v>
      </c>
      <c r="BQ379" s="527">
        <f t="shared" si="550"/>
        <v>737.35276881720415</v>
      </c>
      <c r="BR379" s="527">
        <f t="shared" si="550"/>
        <v>737.35276881720415</v>
      </c>
      <c r="BS379" s="527">
        <f t="shared" si="550"/>
        <v>737.35276881720415</v>
      </c>
      <c r="BT379" s="527">
        <f t="shared" si="550"/>
        <v>737.35276881720415</v>
      </c>
      <c r="BU379" s="527">
        <f t="shared" si="550"/>
        <v>737.35276881720415</v>
      </c>
      <c r="BV379" s="527">
        <f t="shared" si="550"/>
        <v>737.35276881720415</v>
      </c>
      <c r="BW379" s="527">
        <f t="shared" si="550"/>
        <v>737.35276881720415</v>
      </c>
      <c r="BX379" s="527">
        <f t="shared" si="550"/>
        <v>737.35276881720415</v>
      </c>
      <c r="BY379" s="527">
        <f t="shared" si="550"/>
        <v>737.35276881720415</v>
      </c>
    </row>
    <row r="380" spans="1:77" x14ac:dyDescent="0.3">
      <c r="A380" s="551"/>
      <c r="B380" s="548"/>
      <c r="C380" s="525"/>
      <c r="D380" s="525"/>
      <c r="E380" s="572" t="s">
        <v>36</v>
      </c>
      <c r="F380" s="572"/>
      <c r="G380" s="572"/>
      <c r="H380" s="572"/>
      <c r="I380" s="572"/>
      <c r="J380" s="572"/>
      <c r="K380" s="572"/>
      <c r="L380" s="572"/>
      <c r="M380" s="572"/>
      <c r="N380" s="572"/>
      <c r="O380" s="572"/>
      <c r="P380" s="612"/>
      <c r="Q380" s="572"/>
      <c r="R380" s="530">
        <f t="shared" ref="R380:AW380" si="551">SUM(R374:R379)</f>
        <v>2077.9941666666664</v>
      </c>
      <c r="S380" s="530">
        <f t="shared" si="551"/>
        <v>2077.9941666666664</v>
      </c>
      <c r="T380" s="530">
        <f t="shared" si="551"/>
        <v>2077.9941666666664</v>
      </c>
      <c r="U380" s="530">
        <f t="shared" si="551"/>
        <v>2077.9941666666664</v>
      </c>
      <c r="V380" s="530">
        <f t="shared" si="551"/>
        <v>2077.9941666666664</v>
      </c>
      <c r="W380" s="530">
        <f t="shared" si="551"/>
        <v>2077.9941666666664</v>
      </c>
      <c r="X380" s="530">
        <f t="shared" si="551"/>
        <v>2077.9941666666664</v>
      </c>
      <c r="Y380" s="530">
        <f t="shared" si="551"/>
        <v>2077.9941666666664</v>
      </c>
      <c r="Z380" s="530">
        <f t="shared" si="551"/>
        <v>2077.9941666666664</v>
      </c>
      <c r="AA380" s="530">
        <f t="shared" si="551"/>
        <v>2077.9941666666664</v>
      </c>
      <c r="AB380" s="530">
        <f t="shared" si="551"/>
        <v>2077.9941666666664</v>
      </c>
      <c r="AC380" s="530">
        <f t="shared" si="551"/>
        <v>2077.9941666666664</v>
      </c>
      <c r="AD380" s="530">
        <f t="shared" si="551"/>
        <v>2077.9941666666664</v>
      </c>
      <c r="AE380" s="530">
        <f t="shared" si="551"/>
        <v>2077.9941666666664</v>
      </c>
      <c r="AF380" s="530">
        <f t="shared" si="551"/>
        <v>2077.9941666666664</v>
      </c>
      <c r="AG380" s="530">
        <f t="shared" si="551"/>
        <v>2077.9941666666664</v>
      </c>
      <c r="AH380" s="530">
        <f t="shared" si="551"/>
        <v>2077.9941666666664</v>
      </c>
      <c r="AI380" s="530">
        <f t="shared" si="551"/>
        <v>2077.9941666666664</v>
      </c>
      <c r="AJ380" s="530">
        <f t="shared" si="551"/>
        <v>2077.9941666666664</v>
      </c>
      <c r="AK380" s="530">
        <f t="shared" si="551"/>
        <v>2077.9941666666664</v>
      </c>
      <c r="AL380" s="530">
        <f t="shared" si="551"/>
        <v>2077.9941666666664</v>
      </c>
      <c r="AM380" s="530">
        <f t="shared" si="551"/>
        <v>2077.9941666666664</v>
      </c>
      <c r="AN380" s="530">
        <f t="shared" si="551"/>
        <v>2077.9941666666664</v>
      </c>
      <c r="AO380" s="530">
        <f t="shared" si="551"/>
        <v>2077.9941666666664</v>
      </c>
      <c r="AP380" s="530">
        <f t="shared" si="551"/>
        <v>2077.9941666666664</v>
      </c>
      <c r="AQ380" s="530">
        <f t="shared" si="551"/>
        <v>2077.9941666666664</v>
      </c>
      <c r="AR380" s="530">
        <f t="shared" si="551"/>
        <v>2077.9941666666664</v>
      </c>
      <c r="AS380" s="530">
        <f t="shared" si="551"/>
        <v>2077.9941666666664</v>
      </c>
      <c r="AT380" s="530">
        <f t="shared" si="551"/>
        <v>2077.9941666666664</v>
      </c>
      <c r="AU380" s="530">
        <f t="shared" si="551"/>
        <v>2077.9941666666664</v>
      </c>
      <c r="AV380" s="530">
        <f t="shared" si="551"/>
        <v>2077.9941666666664</v>
      </c>
      <c r="AW380" s="530">
        <f t="shared" si="551"/>
        <v>2077.9941666666664</v>
      </c>
      <c r="AX380" s="530">
        <f t="shared" ref="AX380:BY380" si="552">SUM(AX374:AX379)</f>
        <v>2077.9941666666664</v>
      </c>
      <c r="AY380" s="530">
        <f t="shared" si="552"/>
        <v>2077.9941666666664</v>
      </c>
      <c r="AZ380" s="530">
        <f t="shared" si="552"/>
        <v>2077.9941666666664</v>
      </c>
      <c r="BA380" s="530">
        <f t="shared" si="552"/>
        <v>2077.9941666666664</v>
      </c>
      <c r="BB380" s="530">
        <f t="shared" si="552"/>
        <v>2077.9941666666664</v>
      </c>
      <c r="BC380" s="530">
        <f t="shared" si="552"/>
        <v>2077.9941666666664</v>
      </c>
      <c r="BD380" s="530">
        <f t="shared" si="552"/>
        <v>2077.9941666666664</v>
      </c>
      <c r="BE380" s="530">
        <f t="shared" si="552"/>
        <v>2077.9941666666664</v>
      </c>
      <c r="BF380" s="530">
        <f t="shared" si="552"/>
        <v>2077.9941666666664</v>
      </c>
      <c r="BG380" s="530">
        <f t="shared" si="552"/>
        <v>2077.9941666666664</v>
      </c>
      <c r="BH380" s="530">
        <f t="shared" si="552"/>
        <v>2077.9941666666664</v>
      </c>
      <c r="BI380" s="530">
        <f t="shared" si="552"/>
        <v>2077.9941666666664</v>
      </c>
      <c r="BJ380" s="530">
        <f t="shared" si="552"/>
        <v>2077.9941666666664</v>
      </c>
      <c r="BK380" s="530">
        <f t="shared" si="552"/>
        <v>2077.9941666666664</v>
      </c>
      <c r="BL380" s="530">
        <f t="shared" si="552"/>
        <v>2077.9941666666664</v>
      </c>
      <c r="BM380" s="530">
        <f t="shared" si="552"/>
        <v>2077.9941666666664</v>
      </c>
      <c r="BN380" s="530">
        <f t="shared" si="552"/>
        <v>2077.9941666666664</v>
      </c>
      <c r="BO380" s="530">
        <f t="shared" si="552"/>
        <v>2077.9941666666664</v>
      </c>
      <c r="BP380" s="530">
        <f t="shared" si="552"/>
        <v>2077.9941666666664</v>
      </c>
      <c r="BQ380" s="530">
        <f t="shared" si="552"/>
        <v>2077.9941666666664</v>
      </c>
      <c r="BR380" s="530">
        <f t="shared" si="552"/>
        <v>2077.9941666666664</v>
      </c>
      <c r="BS380" s="530">
        <f t="shared" si="552"/>
        <v>2077.9941666666664</v>
      </c>
      <c r="BT380" s="530">
        <f t="shared" si="552"/>
        <v>2077.9941666666664</v>
      </c>
      <c r="BU380" s="530">
        <f t="shared" si="552"/>
        <v>2077.9941666666664</v>
      </c>
      <c r="BV380" s="530">
        <f t="shared" si="552"/>
        <v>2077.9941666666664</v>
      </c>
      <c r="BW380" s="530">
        <f t="shared" si="552"/>
        <v>2077.9941666666664</v>
      </c>
      <c r="BX380" s="530">
        <f t="shared" si="552"/>
        <v>2077.9941666666664</v>
      </c>
      <c r="BY380" s="530">
        <f t="shared" si="552"/>
        <v>2077.9941666666664</v>
      </c>
    </row>
    <row r="381" spans="1:77" x14ac:dyDescent="0.3">
      <c r="A381" s="551"/>
      <c r="B381" s="548"/>
      <c r="C381" s="525"/>
      <c r="D381" s="525"/>
      <c r="E381" s="525"/>
      <c r="F381" s="525"/>
      <c r="G381" s="525"/>
      <c r="H381" s="525"/>
      <c r="I381" s="525"/>
      <c r="J381" s="525"/>
      <c r="K381" s="525"/>
      <c r="L381" s="525"/>
      <c r="M381" s="525"/>
      <c r="N381" s="525"/>
      <c r="O381" s="525"/>
      <c r="P381" s="565"/>
      <c r="Q381" s="525"/>
      <c r="R381" s="525"/>
      <c r="S381" s="525"/>
      <c r="T381" s="525"/>
      <c r="U381" s="525"/>
      <c r="V381" s="525"/>
      <c r="W381" s="525"/>
      <c r="X381" s="525"/>
      <c r="Y381" s="525"/>
      <c r="Z381" s="525"/>
      <c r="AA381" s="525"/>
      <c r="AB381" s="525"/>
      <c r="AC381" s="525"/>
      <c r="AD381" s="525"/>
      <c r="AE381" s="525"/>
      <c r="AF381" s="525"/>
      <c r="AG381" s="525"/>
      <c r="AH381" s="525"/>
      <c r="AI381" s="525"/>
      <c r="AJ381" s="525"/>
      <c r="AK381" s="525"/>
      <c r="AL381" s="525"/>
      <c r="AM381" s="525"/>
      <c r="AN381" s="525"/>
      <c r="AO381" s="525"/>
      <c r="AP381" s="525"/>
      <c r="AQ381" s="525"/>
      <c r="AR381" s="525"/>
      <c r="AS381" s="525"/>
      <c r="AT381" s="525"/>
      <c r="AU381" s="525"/>
      <c r="AV381" s="525"/>
      <c r="AW381" s="525"/>
      <c r="AX381" s="525"/>
      <c r="AY381" s="525"/>
      <c r="AZ381" s="525"/>
      <c r="BA381" s="525"/>
      <c r="BB381" s="525"/>
      <c r="BC381" s="525"/>
      <c r="BD381" s="525"/>
      <c r="BE381" s="525"/>
      <c r="BF381" s="525"/>
      <c r="BG381" s="525"/>
      <c r="BH381" s="525"/>
      <c r="BI381" s="525"/>
      <c r="BJ381" s="525"/>
      <c r="BK381" s="525"/>
      <c r="BL381" s="525"/>
      <c r="BM381" s="525"/>
      <c r="BN381" s="525"/>
      <c r="BO381" s="525"/>
      <c r="BP381" s="525"/>
      <c r="BQ381" s="525"/>
      <c r="BR381" s="525"/>
      <c r="BS381" s="525"/>
      <c r="BT381" s="525"/>
      <c r="BU381" s="525"/>
      <c r="BV381" s="525"/>
      <c r="BW381" s="525"/>
      <c r="BX381" s="525"/>
      <c r="BY381" s="525"/>
    </row>
    <row r="382" spans="1:77" x14ac:dyDescent="0.3">
      <c r="A382" s="551"/>
      <c r="B382" s="548"/>
      <c r="C382" s="525"/>
      <c r="D382" s="525"/>
      <c r="E382" s="638" t="str">
        <f>"Insurance income: "&amp;E$155</f>
        <v>Insurance income: FY27 Tranche</v>
      </c>
      <c r="F382" s="525"/>
      <c r="G382" s="525"/>
      <c r="H382" s="525"/>
      <c r="I382" s="525"/>
      <c r="J382" s="525"/>
      <c r="K382" s="525"/>
      <c r="L382" s="525"/>
      <c r="M382" s="525"/>
      <c r="N382" s="525"/>
      <c r="O382" s="525"/>
      <c r="P382" s="565"/>
      <c r="Q382" s="525"/>
      <c r="R382" s="527">
        <f t="shared" ref="R382:AW382" si="553">R$605*$R155</f>
        <v>1024.3243937915631</v>
      </c>
      <c r="S382" s="527">
        <f t="shared" si="553"/>
        <v>1024.3243937915631</v>
      </c>
      <c r="T382" s="527">
        <f t="shared" si="553"/>
        <v>1024.3243937915631</v>
      </c>
      <c r="U382" s="527">
        <f t="shared" si="553"/>
        <v>1024.3243937915631</v>
      </c>
      <c r="V382" s="527">
        <f t="shared" si="553"/>
        <v>1024.3243937915631</v>
      </c>
      <c r="W382" s="527">
        <f t="shared" si="553"/>
        <v>1024.3243937915631</v>
      </c>
      <c r="X382" s="527">
        <f t="shared" si="553"/>
        <v>1024.3243937915631</v>
      </c>
      <c r="Y382" s="527">
        <f t="shared" si="553"/>
        <v>1024.3243937915631</v>
      </c>
      <c r="Z382" s="527">
        <f t="shared" si="553"/>
        <v>1024.3243937915631</v>
      </c>
      <c r="AA382" s="527">
        <f t="shared" si="553"/>
        <v>1024.3243937915631</v>
      </c>
      <c r="AB382" s="527">
        <f t="shared" si="553"/>
        <v>1024.3243937915631</v>
      </c>
      <c r="AC382" s="527">
        <f t="shared" si="553"/>
        <v>1024.3243937915631</v>
      </c>
      <c r="AD382" s="527">
        <f t="shared" si="553"/>
        <v>1024.3243937915631</v>
      </c>
      <c r="AE382" s="527">
        <f t="shared" si="553"/>
        <v>1024.3243937915631</v>
      </c>
      <c r="AF382" s="527">
        <f t="shared" si="553"/>
        <v>1024.3243937915631</v>
      </c>
      <c r="AG382" s="527">
        <f t="shared" si="553"/>
        <v>1024.3243937915631</v>
      </c>
      <c r="AH382" s="527">
        <f t="shared" si="553"/>
        <v>1024.3243937915631</v>
      </c>
      <c r="AI382" s="527">
        <f t="shared" si="553"/>
        <v>1024.3243937915631</v>
      </c>
      <c r="AJ382" s="527">
        <f t="shared" si="553"/>
        <v>1024.3243937915631</v>
      </c>
      <c r="AK382" s="527">
        <f t="shared" si="553"/>
        <v>1024.3243937915631</v>
      </c>
      <c r="AL382" s="527">
        <f t="shared" si="553"/>
        <v>1024.3243937915631</v>
      </c>
      <c r="AM382" s="527">
        <f t="shared" si="553"/>
        <v>1024.3243937915631</v>
      </c>
      <c r="AN382" s="527">
        <f t="shared" si="553"/>
        <v>1024.3243937915631</v>
      </c>
      <c r="AO382" s="527">
        <f t="shared" si="553"/>
        <v>1024.3243937915631</v>
      </c>
      <c r="AP382" s="527">
        <f t="shared" si="553"/>
        <v>1024.3243937915631</v>
      </c>
      <c r="AQ382" s="527">
        <f t="shared" si="553"/>
        <v>1024.3243937915631</v>
      </c>
      <c r="AR382" s="527">
        <f t="shared" si="553"/>
        <v>1024.3243937915631</v>
      </c>
      <c r="AS382" s="527">
        <f t="shared" si="553"/>
        <v>1024.3243937915631</v>
      </c>
      <c r="AT382" s="527">
        <f t="shared" si="553"/>
        <v>1024.3243937915631</v>
      </c>
      <c r="AU382" s="527">
        <f t="shared" si="553"/>
        <v>1024.3243937915631</v>
      </c>
      <c r="AV382" s="527">
        <f t="shared" si="553"/>
        <v>1024.3243937915631</v>
      </c>
      <c r="AW382" s="527">
        <f t="shared" si="553"/>
        <v>1024.3243937915631</v>
      </c>
      <c r="AX382" s="527">
        <f t="shared" ref="AX382:BY382" si="554">AX$605*$R155</f>
        <v>1024.3243937915631</v>
      </c>
      <c r="AY382" s="527">
        <f t="shared" si="554"/>
        <v>1024.3243937915631</v>
      </c>
      <c r="AZ382" s="527">
        <f t="shared" si="554"/>
        <v>1024.3243937915631</v>
      </c>
      <c r="BA382" s="527">
        <f t="shared" si="554"/>
        <v>1024.3243937915631</v>
      </c>
      <c r="BB382" s="527">
        <f t="shared" si="554"/>
        <v>1024.3243937915631</v>
      </c>
      <c r="BC382" s="527">
        <f t="shared" si="554"/>
        <v>1024.3243937915631</v>
      </c>
      <c r="BD382" s="527">
        <f t="shared" si="554"/>
        <v>1024.3243937915631</v>
      </c>
      <c r="BE382" s="527">
        <f t="shared" si="554"/>
        <v>1024.3243937915631</v>
      </c>
      <c r="BF382" s="527">
        <f t="shared" si="554"/>
        <v>1024.3243937915631</v>
      </c>
      <c r="BG382" s="527">
        <f t="shared" si="554"/>
        <v>1024.3243937915631</v>
      </c>
      <c r="BH382" s="527">
        <f t="shared" si="554"/>
        <v>1024.3243937915631</v>
      </c>
      <c r="BI382" s="527">
        <f t="shared" si="554"/>
        <v>1024.3243937915631</v>
      </c>
      <c r="BJ382" s="527">
        <f t="shared" si="554"/>
        <v>1024.3243937915631</v>
      </c>
      <c r="BK382" s="527">
        <f t="shared" si="554"/>
        <v>1024.3243937915631</v>
      </c>
      <c r="BL382" s="527">
        <f t="shared" si="554"/>
        <v>1024.3243937915631</v>
      </c>
      <c r="BM382" s="527">
        <f t="shared" si="554"/>
        <v>1024.3243937915631</v>
      </c>
      <c r="BN382" s="527">
        <f t="shared" si="554"/>
        <v>1024.3243937915631</v>
      </c>
      <c r="BO382" s="527">
        <f t="shared" si="554"/>
        <v>1024.3243937915631</v>
      </c>
      <c r="BP382" s="527">
        <f t="shared" si="554"/>
        <v>1024.3243937915631</v>
      </c>
      <c r="BQ382" s="527">
        <f t="shared" si="554"/>
        <v>1024.3243937915631</v>
      </c>
      <c r="BR382" s="527">
        <f t="shared" si="554"/>
        <v>1024.3243937915631</v>
      </c>
      <c r="BS382" s="527">
        <f t="shared" si="554"/>
        <v>1024.3243937915631</v>
      </c>
      <c r="BT382" s="527">
        <f t="shared" si="554"/>
        <v>1024.3243937915631</v>
      </c>
      <c r="BU382" s="527">
        <f t="shared" si="554"/>
        <v>1024.3243937915631</v>
      </c>
      <c r="BV382" s="527">
        <f t="shared" si="554"/>
        <v>1024.3243937915631</v>
      </c>
      <c r="BW382" s="527">
        <f t="shared" si="554"/>
        <v>1024.3243937915631</v>
      </c>
      <c r="BX382" s="527">
        <f t="shared" si="554"/>
        <v>1024.3243937915631</v>
      </c>
      <c r="BY382" s="527">
        <f t="shared" si="554"/>
        <v>1024.3243937915631</v>
      </c>
    </row>
    <row r="383" spans="1:77" x14ac:dyDescent="0.3">
      <c r="A383" s="551"/>
      <c r="B383" s="548"/>
      <c r="C383" s="525"/>
      <c r="D383" s="525"/>
      <c r="E383" s="638" t="str">
        <f>"Insurance income: "&amp;E$156</f>
        <v>Insurance income: FY28 Tranche</v>
      </c>
      <c r="F383" s="525"/>
      <c r="G383" s="525"/>
      <c r="H383" s="525"/>
      <c r="I383" s="525"/>
      <c r="J383" s="525"/>
      <c r="K383" s="525"/>
      <c r="L383" s="525"/>
      <c r="M383" s="525"/>
      <c r="N383" s="525"/>
      <c r="O383" s="525"/>
      <c r="P383" s="565"/>
      <c r="Q383" s="525"/>
      <c r="R383" s="527">
        <f t="shared" ref="R383:AW383" si="555">R$605*$R156</f>
        <v>1024.3243937915631</v>
      </c>
      <c r="S383" s="527">
        <f t="shared" si="555"/>
        <v>1024.3243937915631</v>
      </c>
      <c r="T383" s="527">
        <f t="shared" si="555"/>
        <v>1024.3243937915631</v>
      </c>
      <c r="U383" s="527">
        <f t="shared" si="555"/>
        <v>1024.3243937915631</v>
      </c>
      <c r="V383" s="527">
        <f t="shared" si="555"/>
        <v>1024.3243937915631</v>
      </c>
      <c r="W383" s="527">
        <f t="shared" si="555"/>
        <v>1024.3243937915631</v>
      </c>
      <c r="X383" s="527">
        <f t="shared" si="555"/>
        <v>1024.3243937915631</v>
      </c>
      <c r="Y383" s="527">
        <f t="shared" si="555"/>
        <v>1024.3243937915631</v>
      </c>
      <c r="Z383" s="527">
        <f t="shared" si="555"/>
        <v>1024.3243937915631</v>
      </c>
      <c r="AA383" s="527">
        <f t="shared" si="555"/>
        <v>1024.3243937915631</v>
      </c>
      <c r="AB383" s="527">
        <f t="shared" si="555"/>
        <v>1024.3243937915631</v>
      </c>
      <c r="AC383" s="527">
        <f t="shared" si="555"/>
        <v>1024.3243937915631</v>
      </c>
      <c r="AD383" s="527">
        <f t="shared" si="555"/>
        <v>1024.3243937915631</v>
      </c>
      <c r="AE383" s="527">
        <f t="shared" si="555"/>
        <v>1024.3243937915631</v>
      </c>
      <c r="AF383" s="527">
        <f t="shared" si="555"/>
        <v>1024.3243937915631</v>
      </c>
      <c r="AG383" s="527">
        <f t="shared" si="555"/>
        <v>1024.3243937915631</v>
      </c>
      <c r="AH383" s="527">
        <f t="shared" si="555"/>
        <v>1024.3243937915631</v>
      </c>
      <c r="AI383" s="527">
        <f t="shared" si="555"/>
        <v>1024.3243937915631</v>
      </c>
      <c r="AJ383" s="527">
        <f t="shared" si="555"/>
        <v>1024.3243937915631</v>
      </c>
      <c r="AK383" s="527">
        <f t="shared" si="555"/>
        <v>1024.3243937915631</v>
      </c>
      <c r="AL383" s="527">
        <f t="shared" si="555"/>
        <v>1024.3243937915631</v>
      </c>
      <c r="AM383" s="527">
        <f t="shared" si="555"/>
        <v>1024.3243937915631</v>
      </c>
      <c r="AN383" s="527">
        <f t="shared" si="555"/>
        <v>1024.3243937915631</v>
      </c>
      <c r="AO383" s="527">
        <f t="shared" si="555"/>
        <v>1024.3243937915631</v>
      </c>
      <c r="AP383" s="527">
        <f t="shared" si="555"/>
        <v>1024.3243937915631</v>
      </c>
      <c r="AQ383" s="527">
        <f t="shared" si="555"/>
        <v>1024.3243937915631</v>
      </c>
      <c r="AR383" s="527">
        <f t="shared" si="555"/>
        <v>1024.3243937915631</v>
      </c>
      <c r="AS383" s="527">
        <f t="shared" si="555"/>
        <v>1024.3243937915631</v>
      </c>
      <c r="AT383" s="527">
        <f t="shared" si="555"/>
        <v>1024.3243937915631</v>
      </c>
      <c r="AU383" s="527">
        <f t="shared" si="555"/>
        <v>1024.3243937915631</v>
      </c>
      <c r="AV383" s="527">
        <f t="shared" si="555"/>
        <v>1024.3243937915631</v>
      </c>
      <c r="AW383" s="527">
        <f t="shared" si="555"/>
        <v>1024.3243937915631</v>
      </c>
      <c r="AX383" s="527">
        <f t="shared" ref="AX383:BY383" si="556">AX$605*$R156</f>
        <v>1024.3243937915631</v>
      </c>
      <c r="AY383" s="527">
        <f t="shared" si="556"/>
        <v>1024.3243937915631</v>
      </c>
      <c r="AZ383" s="527">
        <f t="shared" si="556"/>
        <v>1024.3243937915631</v>
      </c>
      <c r="BA383" s="527">
        <f t="shared" si="556"/>
        <v>1024.3243937915631</v>
      </c>
      <c r="BB383" s="527">
        <f t="shared" si="556"/>
        <v>1024.3243937915631</v>
      </c>
      <c r="BC383" s="527">
        <f t="shared" si="556"/>
        <v>1024.3243937915631</v>
      </c>
      <c r="BD383" s="527">
        <f t="shared" si="556"/>
        <v>1024.3243937915631</v>
      </c>
      <c r="BE383" s="527">
        <f t="shared" si="556"/>
        <v>1024.3243937915631</v>
      </c>
      <c r="BF383" s="527">
        <f t="shared" si="556"/>
        <v>1024.3243937915631</v>
      </c>
      <c r="BG383" s="527">
        <f t="shared" si="556"/>
        <v>1024.3243937915631</v>
      </c>
      <c r="BH383" s="527">
        <f t="shared" si="556"/>
        <v>1024.3243937915631</v>
      </c>
      <c r="BI383" s="527">
        <f t="shared" si="556"/>
        <v>1024.3243937915631</v>
      </c>
      <c r="BJ383" s="527">
        <f t="shared" si="556"/>
        <v>1024.3243937915631</v>
      </c>
      <c r="BK383" s="527">
        <f t="shared" si="556"/>
        <v>1024.3243937915631</v>
      </c>
      <c r="BL383" s="527">
        <f t="shared" si="556"/>
        <v>1024.3243937915631</v>
      </c>
      <c r="BM383" s="527">
        <f t="shared" si="556"/>
        <v>1024.3243937915631</v>
      </c>
      <c r="BN383" s="527">
        <f t="shared" si="556"/>
        <v>1024.3243937915631</v>
      </c>
      <c r="BO383" s="527">
        <f t="shared" si="556"/>
        <v>1024.3243937915631</v>
      </c>
      <c r="BP383" s="527">
        <f t="shared" si="556"/>
        <v>1024.3243937915631</v>
      </c>
      <c r="BQ383" s="527">
        <f t="shared" si="556"/>
        <v>1024.3243937915631</v>
      </c>
      <c r="BR383" s="527">
        <f t="shared" si="556"/>
        <v>1024.3243937915631</v>
      </c>
      <c r="BS383" s="527">
        <f t="shared" si="556"/>
        <v>1024.3243937915631</v>
      </c>
      <c r="BT383" s="527">
        <f t="shared" si="556"/>
        <v>1024.3243937915631</v>
      </c>
      <c r="BU383" s="527">
        <f t="shared" si="556"/>
        <v>1024.3243937915631</v>
      </c>
      <c r="BV383" s="527">
        <f t="shared" si="556"/>
        <v>1024.3243937915631</v>
      </c>
      <c r="BW383" s="527">
        <f t="shared" si="556"/>
        <v>1024.3243937915631</v>
      </c>
      <c r="BX383" s="527">
        <f t="shared" si="556"/>
        <v>1024.3243937915631</v>
      </c>
      <c r="BY383" s="527">
        <f t="shared" si="556"/>
        <v>1024.3243937915631</v>
      </c>
    </row>
    <row r="384" spans="1:77" x14ac:dyDescent="0.3">
      <c r="A384" s="551"/>
      <c r="B384" s="548"/>
      <c r="C384" s="525"/>
      <c r="D384" s="525"/>
      <c r="E384" s="638" t="str">
        <f>"Insurance income: "&amp;E$157</f>
        <v>Insurance income: FY29 Tranche</v>
      </c>
      <c r="F384" s="525"/>
      <c r="G384" s="525"/>
      <c r="H384" s="525"/>
      <c r="I384" s="525"/>
      <c r="J384" s="525"/>
      <c r="K384" s="525"/>
      <c r="L384" s="525"/>
      <c r="M384" s="525"/>
      <c r="N384" s="525"/>
      <c r="O384" s="525"/>
      <c r="P384" s="565"/>
      <c r="Q384" s="525"/>
      <c r="R384" s="527">
        <f t="shared" ref="R384:AW384" si="557">R$605*$R157</f>
        <v>1024.3243937915631</v>
      </c>
      <c r="S384" s="527">
        <f t="shared" si="557"/>
        <v>1024.3243937915631</v>
      </c>
      <c r="T384" s="527">
        <f t="shared" si="557"/>
        <v>1024.3243937915631</v>
      </c>
      <c r="U384" s="527">
        <f t="shared" si="557"/>
        <v>1024.3243937915631</v>
      </c>
      <c r="V384" s="527">
        <f t="shared" si="557"/>
        <v>1024.3243937915631</v>
      </c>
      <c r="W384" s="527">
        <f t="shared" si="557"/>
        <v>1024.3243937915631</v>
      </c>
      <c r="X384" s="527">
        <f t="shared" si="557"/>
        <v>1024.3243937915631</v>
      </c>
      <c r="Y384" s="527">
        <f t="shared" si="557"/>
        <v>1024.3243937915631</v>
      </c>
      <c r="Z384" s="527">
        <f t="shared" si="557"/>
        <v>1024.3243937915631</v>
      </c>
      <c r="AA384" s="527">
        <f t="shared" si="557"/>
        <v>1024.3243937915631</v>
      </c>
      <c r="AB384" s="527">
        <f t="shared" si="557"/>
        <v>1024.3243937915631</v>
      </c>
      <c r="AC384" s="527">
        <f t="shared" si="557"/>
        <v>1024.3243937915631</v>
      </c>
      <c r="AD384" s="527">
        <f t="shared" si="557"/>
        <v>1024.3243937915631</v>
      </c>
      <c r="AE384" s="527">
        <f t="shared" si="557"/>
        <v>1024.3243937915631</v>
      </c>
      <c r="AF384" s="527">
        <f t="shared" si="557"/>
        <v>1024.3243937915631</v>
      </c>
      <c r="AG384" s="527">
        <f t="shared" si="557"/>
        <v>1024.3243937915631</v>
      </c>
      <c r="AH384" s="527">
        <f t="shared" si="557"/>
        <v>1024.3243937915631</v>
      </c>
      <c r="AI384" s="527">
        <f t="shared" si="557"/>
        <v>1024.3243937915631</v>
      </c>
      <c r="AJ384" s="527">
        <f t="shared" si="557"/>
        <v>1024.3243937915631</v>
      </c>
      <c r="AK384" s="527">
        <f t="shared" si="557"/>
        <v>1024.3243937915631</v>
      </c>
      <c r="AL384" s="527">
        <f t="shared" si="557"/>
        <v>1024.3243937915631</v>
      </c>
      <c r="AM384" s="527">
        <f t="shared" si="557"/>
        <v>1024.3243937915631</v>
      </c>
      <c r="AN384" s="527">
        <f t="shared" si="557"/>
        <v>1024.3243937915631</v>
      </c>
      <c r="AO384" s="527">
        <f t="shared" si="557"/>
        <v>1024.3243937915631</v>
      </c>
      <c r="AP384" s="527">
        <f t="shared" si="557"/>
        <v>1024.3243937915631</v>
      </c>
      <c r="AQ384" s="527">
        <f t="shared" si="557"/>
        <v>1024.3243937915631</v>
      </c>
      <c r="AR384" s="527">
        <f t="shared" si="557"/>
        <v>1024.3243937915631</v>
      </c>
      <c r="AS384" s="527">
        <f t="shared" si="557"/>
        <v>1024.3243937915631</v>
      </c>
      <c r="AT384" s="527">
        <f t="shared" si="557"/>
        <v>1024.3243937915631</v>
      </c>
      <c r="AU384" s="527">
        <f t="shared" si="557"/>
        <v>1024.3243937915631</v>
      </c>
      <c r="AV384" s="527">
        <f t="shared" si="557"/>
        <v>1024.3243937915631</v>
      </c>
      <c r="AW384" s="527">
        <f t="shared" si="557"/>
        <v>1024.3243937915631</v>
      </c>
      <c r="AX384" s="527">
        <f t="shared" ref="AX384:BY384" si="558">AX$605*$R157</f>
        <v>1024.3243937915631</v>
      </c>
      <c r="AY384" s="527">
        <f t="shared" si="558"/>
        <v>1024.3243937915631</v>
      </c>
      <c r="AZ384" s="527">
        <f t="shared" si="558"/>
        <v>1024.3243937915631</v>
      </c>
      <c r="BA384" s="527">
        <f t="shared" si="558"/>
        <v>1024.3243937915631</v>
      </c>
      <c r="BB384" s="527">
        <f t="shared" si="558"/>
        <v>1024.3243937915631</v>
      </c>
      <c r="BC384" s="527">
        <f t="shared" si="558"/>
        <v>1024.3243937915631</v>
      </c>
      <c r="BD384" s="527">
        <f t="shared" si="558"/>
        <v>1024.3243937915631</v>
      </c>
      <c r="BE384" s="527">
        <f t="shared" si="558"/>
        <v>1024.3243937915631</v>
      </c>
      <c r="BF384" s="527">
        <f t="shared" si="558"/>
        <v>1024.3243937915631</v>
      </c>
      <c r="BG384" s="527">
        <f t="shared" si="558"/>
        <v>1024.3243937915631</v>
      </c>
      <c r="BH384" s="527">
        <f t="shared" si="558"/>
        <v>1024.3243937915631</v>
      </c>
      <c r="BI384" s="527">
        <f t="shared" si="558"/>
        <v>1024.3243937915631</v>
      </c>
      <c r="BJ384" s="527">
        <f t="shared" si="558"/>
        <v>1024.3243937915631</v>
      </c>
      <c r="BK384" s="527">
        <f t="shared" si="558"/>
        <v>1024.3243937915631</v>
      </c>
      <c r="BL384" s="527">
        <f t="shared" si="558"/>
        <v>1024.3243937915631</v>
      </c>
      <c r="BM384" s="527">
        <f t="shared" si="558"/>
        <v>1024.3243937915631</v>
      </c>
      <c r="BN384" s="527">
        <f t="shared" si="558"/>
        <v>1024.3243937915631</v>
      </c>
      <c r="BO384" s="527">
        <f t="shared" si="558"/>
        <v>1024.3243937915631</v>
      </c>
      <c r="BP384" s="527">
        <f t="shared" si="558"/>
        <v>1024.3243937915631</v>
      </c>
      <c r="BQ384" s="527">
        <f t="shared" si="558"/>
        <v>1024.3243937915631</v>
      </c>
      <c r="BR384" s="527">
        <f t="shared" si="558"/>
        <v>1024.3243937915631</v>
      </c>
      <c r="BS384" s="527">
        <f t="shared" si="558"/>
        <v>1024.3243937915631</v>
      </c>
      <c r="BT384" s="527">
        <f t="shared" si="558"/>
        <v>1024.3243937915631</v>
      </c>
      <c r="BU384" s="527">
        <f t="shared" si="558"/>
        <v>1024.3243937915631</v>
      </c>
      <c r="BV384" s="527">
        <f t="shared" si="558"/>
        <v>1024.3243937915631</v>
      </c>
      <c r="BW384" s="527">
        <f t="shared" si="558"/>
        <v>1024.3243937915631</v>
      </c>
      <c r="BX384" s="527">
        <f t="shared" si="558"/>
        <v>1024.3243937915631</v>
      </c>
      <c r="BY384" s="527">
        <f t="shared" si="558"/>
        <v>1024.3243937915631</v>
      </c>
    </row>
    <row r="385" spans="1:77" x14ac:dyDescent="0.3">
      <c r="A385" s="551"/>
      <c r="B385" s="548"/>
      <c r="C385" s="525"/>
      <c r="D385" s="525"/>
      <c r="E385" s="638" t="str">
        <f>"Insurance income: "&amp;E$158</f>
        <v>Insurance income: FY30 Tranche</v>
      </c>
      <c r="F385" s="525"/>
      <c r="G385" s="525"/>
      <c r="H385" s="525"/>
      <c r="I385" s="525"/>
      <c r="J385" s="525"/>
      <c r="K385" s="525"/>
      <c r="L385" s="525"/>
      <c r="M385" s="525"/>
      <c r="N385" s="525"/>
      <c r="O385" s="525"/>
      <c r="P385" s="565"/>
      <c r="Q385" s="525"/>
      <c r="R385" s="527">
        <f t="shared" ref="R385:AW385" si="559">R$605*$R158</f>
        <v>1024.3243937915631</v>
      </c>
      <c r="S385" s="527">
        <f t="shared" si="559"/>
        <v>1024.3243937915631</v>
      </c>
      <c r="T385" s="527">
        <f t="shared" si="559"/>
        <v>1024.3243937915631</v>
      </c>
      <c r="U385" s="527">
        <f t="shared" si="559"/>
        <v>1024.3243937915631</v>
      </c>
      <c r="V385" s="527">
        <f t="shared" si="559"/>
        <v>1024.3243937915631</v>
      </c>
      <c r="W385" s="527">
        <f t="shared" si="559"/>
        <v>1024.3243937915631</v>
      </c>
      <c r="X385" s="527">
        <f t="shared" si="559"/>
        <v>1024.3243937915631</v>
      </c>
      <c r="Y385" s="527">
        <f t="shared" si="559"/>
        <v>1024.3243937915631</v>
      </c>
      <c r="Z385" s="527">
        <f t="shared" si="559"/>
        <v>1024.3243937915631</v>
      </c>
      <c r="AA385" s="527">
        <f t="shared" si="559"/>
        <v>1024.3243937915631</v>
      </c>
      <c r="AB385" s="527">
        <f t="shared" si="559"/>
        <v>1024.3243937915631</v>
      </c>
      <c r="AC385" s="527">
        <f t="shared" si="559"/>
        <v>1024.3243937915631</v>
      </c>
      <c r="AD385" s="527">
        <f t="shared" si="559"/>
        <v>1024.3243937915631</v>
      </c>
      <c r="AE385" s="527">
        <f t="shared" si="559"/>
        <v>1024.3243937915631</v>
      </c>
      <c r="AF385" s="527">
        <f t="shared" si="559"/>
        <v>1024.3243937915631</v>
      </c>
      <c r="AG385" s="527">
        <f t="shared" si="559"/>
        <v>1024.3243937915631</v>
      </c>
      <c r="AH385" s="527">
        <f t="shared" si="559"/>
        <v>1024.3243937915631</v>
      </c>
      <c r="AI385" s="527">
        <f t="shared" si="559"/>
        <v>1024.3243937915631</v>
      </c>
      <c r="AJ385" s="527">
        <f t="shared" si="559"/>
        <v>1024.3243937915631</v>
      </c>
      <c r="AK385" s="527">
        <f t="shared" si="559"/>
        <v>1024.3243937915631</v>
      </c>
      <c r="AL385" s="527">
        <f t="shared" si="559"/>
        <v>1024.3243937915631</v>
      </c>
      <c r="AM385" s="527">
        <f t="shared" si="559"/>
        <v>1024.3243937915631</v>
      </c>
      <c r="AN385" s="527">
        <f t="shared" si="559"/>
        <v>1024.3243937915631</v>
      </c>
      <c r="AO385" s="527">
        <f t="shared" si="559"/>
        <v>1024.3243937915631</v>
      </c>
      <c r="AP385" s="527">
        <f t="shared" si="559"/>
        <v>1024.3243937915631</v>
      </c>
      <c r="AQ385" s="527">
        <f t="shared" si="559"/>
        <v>1024.3243937915631</v>
      </c>
      <c r="AR385" s="527">
        <f t="shared" si="559"/>
        <v>1024.3243937915631</v>
      </c>
      <c r="AS385" s="527">
        <f t="shared" si="559"/>
        <v>1024.3243937915631</v>
      </c>
      <c r="AT385" s="527">
        <f t="shared" si="559"/>
        <v>1024.3243937915631</v>
      </c>
      <c r="AU385" s="527">
        <f t="shared" si="559"/>
        <v>1024.3243937915631</v>
      </c>
      <c r="AV385" s="527">
        <f t="shared" si="559"/>
        <v>1024.3243937915631</v>
      </c>
      <c r="AW385" s="527">
        <f t="shared" si="559"/>
        <v>1024.3243937915631</v>
      </c>
      <c r="AX385" s="527">
        <f t="shared" ref="AX385:BY385" si="560">AX$605*$R158</f>
        <v>1024.3243937915631</v>
      </c>
      <c r="AY385" s="527">
        <f t="shared" si="560"/>
        <v>1024.3243937915631</v>
      </c>
      <c r="AZ385" s="527">
        <f t="shared" si="560"/>
        <v>1024.3243937915631</v>
      </c>
      <c r="BA385" s="527">
        <f t="shared" si="560"/>
        <v>1024.3243937915631</v>
      </c>
      <c r="BB385" s="527">
        <f t="shared" si="560"/>
        <v>1024.3243937915631</v>
      </c>
      <c r="BC385" s="527">
        <f t="shared" si="560"/>
        <v>1024.3243937915631</v>
      </c>
      <c r="BD385" s="527">
        <f t="shared" si="560"/>
        <v>1024.3243937915631</v>
      </c>
      <c r="BE385" s="527">
        <f t="shared" si="560"/>
        <v>1024.3243937915631</v>
      </c>
      <c r="BF385" s="527">
        <f t="shared" si="560"/>
        <v>1024.3243937915631</v>
      </c>
      <c r="BG385" s="527">
        <f t="shared" si="560"/>
        <v>1024.3243937915631</v>
      </c>
      <c r="BH385" s="527">
        <f t="shared" si="560"/>
        <v>1024.3243937915631</v>
      </c>
      <c r="BI385" s="527">
        <f t="shared" si="560"/>
        <v>1024.3243937915631</v>
      </c>
      <c r="BJ385" s="527">
        <f t="shared" si="560"/>
        <v>1024.3243937915631</v>
      </c>
      <c r="BK385" s="527">
        <f t="shared" si="560"/>
        <v>1024.3243937915631</v>
      </c>
      <c r="BL385" s="527">
        <f t="shared" si="560"/>
        <v>1024.3243937915631</v>
      </c>
      <c r="BM385" s="527">
        <f t="shared" si="560"/>
        <v>1024.3243937915631</v>
      </c>
      <c r="BN385" s="527">
        <f t="shared" si="560"/>
        <v>1024.3243937915631</v>
      </c>
      <c r="BO385" s="527">
        <f t="shared" si="560"/>
        <v>1024.3243937915631</v>
      </c>
      <c r="BP385" s="527">
        <f t="shared" si="560"/>
        <v>1024.3243937915631</v>
      </c>
      <c r="BQ385" s="527">
        <f t="shared" si="560"/>
        <v>1024.3243937915631</v>
      </c>
      <c r="BR385" s="527">
        <f t="shared" si="560"/>
        <v>1024.3243937915631</v>
      </c>
      <c r="BS385" s="527">
        <f t="shared" si="560"/>
        <v>1024.3243937915631</v>
      </c>
      <c r="BT385" s="527">
        <f t="shared" si="560"/>
        <v>1024.3243937915631</v>
      </c>
      <c r="BU385" s="527">
        <f t="shared" si="560"/>
        <v>1024.3243937915631</v>
      </c>
      <c r="BV385" s="527">
        <f t="shared" si="560"/>
        <v>1024.3243937915631</v>
      </c>
      <c r="BW385" s="527">
        <f t="shared" si="560"/>
        <v>1024.3243937915631</v>
      </c>
      <c r="BX385" s="527">
        <f t="shared" si="560"/>
        <v>1024.3243937915631</v>
      </c>
      <c r="BY385" s="527">
        <f t="shared" si="560"/>
        <v>1024.3243937915631</v>
      </c>
    </row>
    <row r="386" spans="1:77" x14ac:dyDescent="0.3">
      <c r="A386" s="551"/>
      <c r="B386" s="548"/>
      <c r="C386" s="525"/>
      <c r="D386" s="525"/>
      <c r="E386" s="638" t="str">
        <f>"Insurance income: "&amp;E$159</f>
        <v>Insurance income: FY31 Tranche</v>
      </c>
      <c r="F386" s="525"/>
      <c r="G386" s="525"/>
      <c r="H386" s="525"/>
      <c r="I386" s="525"/>
      <c r="J386" s="525"/>
      <c r="K386" s="525"/>
      <c r="L386" s="525"/>
      <c r="M386" s="525"/>
      <c r="N386" s="525"/>
      <c r="O386" s="525"/>
      <c r="P386" s="565"/>
      <c r="Q386" s="525"/>
      <c r="R386" s="527">
        <f t="shared" ref="R386:AW386" si="561">R$605*$R159</f>
        <v>1024.3243937915631</v>
      </c>
      <c r="S386" s="527">
        <f t="shared" si="561"/>
        <v>1024.3243937915631</v>
      </c>
      <c r="T386" s="527">
        <f t="shared" si="561"/>
        <v>1024.3243937915631</v>
      </c>
      <c r="U386" s="527">
        <f t="shared" si="561"/>
        <v>1024.3243937915631</v>
      </c>
      <c r="V386" s="527">
        <f t="shared" si="561"/>
        <v>1024.3243937915631</v>
      </c>
      <c r="W386" s="527">
        <f t="shared" si="561"/>
        <v>1024.3243937915631</v>
      </c>
      <c r="X386" s="527">
        <f t="shared" si="561"/>
        <v>1024.3243937915631</v>
      </c>
      <c r="Y386" s="527">
        <f t="shared" si="561"/>
        <v>1024.3243937915631</v>
      </c>
      <c r="Z386" s="527">
        <f t="shared" si="561"/>
        <v>1024.3243937915631</v>
      </c>
      <c r="AA386" s="527">
        <f t="shared" si="561"/>
        <v>1024.3243937915631</v>
      </c>
      <c r="AB386" s="527">
        <f t="shared" si="561"/>
        <v>1024.3243937915631</v>
      </c>
      <c r="AC386" s="527">
        <f t="shared" si="561"/>
        <v>1024.3243937915631</v>
      </c>
      <c r="AD386" s="527">
        <f t="shared" si="561"/>
        <v>1024.3243937915631</v>
      </c>
      <c r="AE386" s="527">
        <f t="shared" si="561"/>
        <v>1024.3243937915631</v>
      </c>
      <c r="AF386" s="527">
        <f t="shared" si="561"/>
        <v>1024.3243937915631</v>
      </c>
      <c r="AG386" s="527">
        <f t="shared" si="561"/>
        <v>1024.3243937915631</v>
      </c>
      <c r="AH386" s="527">
        <f t="shared" si="561"/>
        <v>1024.3243937915631</v>
      </c>
      <c r="AI386" s="527">
        <f t="shared" si="561"/>
        <v>1024.3243937915631</v>
      </c>
      <c r="AJ386" s="527">
        <f t="shared" si="561"/>
        <v>1024.3243937915631</v>
      </c>
      <c r="AK386" s="527">
        <f t="shared" si="561"/>
        <v>1024.3243937915631</v>
      </c>
      <c r="AL386" s="527">
        <f t="shared" si="561"/>
        <v>1024.3243937915631</v>
      </c>
      <c r="AM386" s="527">
        <f t="shared" si="561"/>
        <v>1024.3243937915631</v>
      </c>
      <c r="AN386" s="527">
        <f t="shared" si="561"/>
        <v>1024.3243937915631</v>
      </c>
      <c r="AO386" s="527">
        <f t="shared" si="561"/>
        <v>1024.3243937915631</v>
      </c>
      <c r="AP386" s="527">
        <f t="shared" si="561"/>
        <v>1024.3243937915631</v>
      </c>
      <c r="AQ386" s="527">
        <f t="shared" si="561"/>
        <v>1024.3243937915631</v>
      </c>
      <c r="AR386" s="527">
        <f t="shared" si="561"/>
        <v>1024.3243937915631</v>
      </c>
      <c r="AS386" s="527">
        <f t="shared" si="561"/>
        <v>1024.3243937915631</v>
      </c>
      <c r="AT386" s="527">
        <f t="shared" si="561"/>
        <v>1024.3243937915631</v>
      </c>
      <c r="AU386" s="527">
        <f t="shared" si="561"/>
        <v>1024.3243937915631</v>
      </c>
      <c r="AV386" s="527">
        <f t="shared" si="561"/>
        <v>1024.3243937915631</v>
      </c>
      <c r="AW386" s="527">
        <f t="shared" si="561"/>
        <v>1024.3243937915631</v>
      </c>
      <c r="AX386" s="527">
        <f t="shared" ref="AX386:BY386" si="562">AX$605*$R159</f>
        <v>1024.3243937915631</v>
      </c>
      <c r="AY386" s="527">
        <f t="shared" si="562"/>
        <v>1024.3243937915631</v>
      </c>
      <c r="AZ386" s="527">
        <f t="shared" si="562"/>
        <v>1024.3243937915631</v>
      </c>
      <c r="BA386" s="527">
        <f t="shared" si="562"/>
        <v>1024.3243937915631</v>
      </c>
      <c r="BB386" s="527">
        <f t="shared" si="562"/>
        <v>1024.3243937915631</v>
      </c>
      <c r="BC386" s="527">
        <f t="shared" si="562"/>
        <v>1024.3243937915631</v>
      </c>
      <c r="BD386" s="527">
        <f t="shared" si="562"/>
        <v>1024.3243937915631</v>
      </c>
      <c r="BE386" s="527">
        <f t="shared" si="562"/>
        <v>1024.3243937915631</v>
      </c>
      <c r="BF386" s="527">
        <f t="shared" si="562"/>
        <v>1024.3243937915631</v>
      </c>
      <c r="BG386" s="527">
        <f t="shared" si="562"/>
        <v>1024.3243937915631</v>
      </c>
      <c r="BH386" s="527">
        <f t="shared" si="562"/>
        <v>1024.3243937915631</v>
      </c>
      <c r="BI386" s="527">
        <f t="shared" si="562"/>
        <v>1024.3243937915631</v>
      </c>
      <c r="BJ386" s="527">
        <f t="shared" si="562"/>
        <v>1024.3243937915631</v>
      </c>
      <c r="BK386" s="527">
        <f t="shared" si="562"/>
        <v>1024.3243937915631</v>
      </c>
      <c r="BL386" s="527">
        <f t="shared" si="562"/>
        <v>1024.3243937915631</v>
      </c>
      <c r="BM386" s="527">
        <f t="shared" si="562"/>
        <v>1024.3243937915631</v>
      </c>
      <c r="BN386" s="527">
        <f t="shared" si="562"/>
        <v>1024.3243937915631</v>
      </c>
      <c r="BO386" s="527">
        <f t="shared" si="562"/>
        <v>1024.3243937915631</v>
      </c>
      <c r="BP386" s="527">
        <f t="shared" si="562"/>
        <v>1024.3243937915631</v>
      </c>
      <c r="BQ386" s="527">
        <f t="shared" si="562"/>
        <v>1024.3243937915631</v>
      </c>
      <c r="BR386" s="527">
        <f t="shared" si="562"/>
        <v>1024.3243937915631</v>
      </c>
      <c r="BS386" s="527">
        <f t="shared" si="562"/>
        <v>1024.3243937915631</v>
      </c>
      <c r="BT386" s="527">
        <f t="shared" si="562"/>
        <v>1024.3243937915631</v>
      </c>
      <c r="BU386" s="527">
        <f t="shared" si="562"/>
        <v>1024.3243937915631</v>
      </c>
      <c r="BV386" s="527">
        <f t="shared" si="562"/>
        <v>1024.3243937915631</v>
      </c>
      <c r="BW386" s="527">
        <f t="shared" si="562"/>
        <v>1024.3243937915631</v>
      </c>
      <c r="BX386" s="527">
        <f t="shared" si="562"/>
        <v>1024.3243937915631</v>
      </c>
      <c r="BY386" s="527">
        <f t="shared" si="562"/>
        <v>1024.3243937915631</v>
      </c>
    </row>
    <row r="387" spans="1:77" x14ac:dyDescent="0.3">
      <c r="A387" s="551"/>
      <c r="B387" s="548"/>
      <c r="C387" s="525"/>
      <c r="D387" s="525"/>
      <c r="E387" s="638" t="str">
        <f>"Insurance income: "&amp;E$160</f>
        <v>Insurance income: Uninvested Tranche</v>
      </c>
      <c r="F387" s="525"/>
      <c r="G387" s="525"/>
      <c r="H387" s="525"/>
      <c r="I387" s="525"/>
      <c r="J387" s="525"/>
      <c r="K387" s="525"/>
      <c r="L387" s="525"/>
      <c r="M387" s="525"/>
      <c r="N387" s="525"/>
      <c r="O387" s="525"/>
      <c r="P387" s="565"/>
      <c r="Q387" s="525"/>
      <c r="R387" s="527">
        <f t="shared" ref="R387:AW387" si="563">R$605*$R160</f>
        <v>2816.8920829267986</v>
      </c>
      <c r="S387" s="527">
        <f t="shared" si="563"/>
        <v>2816.8920829267986</v>
      </c>
      <c r="T387" s="527">
        <f t="shared" si="563"/>
        <v>2816.8920829267986</v>
      </c>
      <c r="U387" s="527">
        <f t="shared" si="563"/>
        <v>2816.8920829267986</v>
      </c>
      <c r="V387" s="527">
        <f t="shared" si="563"/>
        <v>2816.8920829267986</v>
      </c>
      <c r="W387" s="527">
        <f t="shared" si="563"/>
        <v>2816.8920829267986</v>
      </c>
      <c r="X387" s="527">
        <f t="shared" si="563"/>
        <v>2816.8920829267986</v>
      </c>
      <c r="Y387" s="527">
        <f t="shared" si="563"/>
        <v>2816.8920829267986</v>
      </c>
      <c r="Z387" s="527">
        <f t="shared" si="563"/>
        <v>2816.8920829267986</v>
      </c>
      <c r="AA387" s="527">
        <f t="shared" si="563"/>
        <v>2816.8920829267986</v>
      </c>
      <c r="AB387" s="527">
        <f t="shared" si="563"/>
        <v>2816.8920829267986</v>
      </c>
      <c r="AC387" s="527">
        <f t="shared" si="563"/>
        <v>2816.8920829267986</v>
      </c>
      <c r="AD387" s="527">
        <f t="shared" si="563"/>
        <v>2816.8920829267986</v>
      </c>
      <c r="AE387" s="527">
        <f t="shared" si="563"/>
        <v>2816.8920829267986</v>
      </c>
      <c r="AF387" s="527">
        <f t="shared" si="563"/>
        <v>2816.8920829267986</v>
      </c>
      <c r="AG387" s="527">
        <f t="shared" si="563"/>
        <v>2816.8920829267986</v>
      </c>
      <c r="AH387" s="527">
        <f t="shared" si="563"/>
        <v>2816.8920829267986</v>
      </c>
      <c r="AI387" s="527">
        <f t="shared" si="563"/>
        <v>2816.8920829267986</v>
      </c>
      <c r="AJ387" s="527">
        <f t="shared" si="563"/>
        <v>2816.8920829267986</v>
      </c>
      <c r="AK387" s="527">
        <f t="shared" si="563"/>
        <v>2816.8920829267986</v>
      </c>
      <c r="AL387" s="527">
        <f t="shared" si="563"/>
        <v>2816.8920829267986</v>
      </c>
      <c r="AM387" s="527">
        <f t="shared" si="563"/>
        <v>2816.8920829267986</v>
      </c>
      <c r="AN387" s="527">
        <f t="shared" si="563"/>
        <v>2816.8920829267986</v>
      </c>
      <c r="AO387" s="527">
        <f t="shared" si="563"/>
        <v>2816.8920829267986</v>
      </c>
      <c r="AP387" s="527">
        <f t="shared" si="563"/>
        <v>2816.8920829267986</v>
      </c>
      <c r="AQ387" s="527">
        <f t="shared" si="563"/>
        <v>2816.8920829267986</v>
      </c>
      <c r="AR387" s="527">
        <f t="shared" si="563"/>
        <v>2816.8920829267986</v>
      </c>
      <c r="AS387" s="527">
        <f t="shared" si="563"/>
        <v>2816.8920829267986</v>
      </c>
      <c r="AT387" s="527">
        <f t="shared" si="563"/>
        <v>2816.8920829267986</v>
      </c>
      <c r="AU387" s="527">
        <f t="shared" si="563"/>
        <v>2816.8920829267986</v>
      </c>
      <c r="AV387" s="527">
        <f t="shared" si="563"/>
        <v>2816.8920829267986</v>
      </c>
      <c r="AW387" s="527">
        <f t="shared" si="563"/>
        <v>2816.8920829267986</v>
      </c>
      <c r="AX387" s="527">
        <f t="shared" ref="AX387:BY387" si="564">AX$605*$R160</f>
        <v>2816.8920829267986</v>
      </c>
      <c r="AY387" s="527">
        <f t="shared" si="564"/>
        <v>2816.8920829267986</v>
      </c>
      <c r="AZ387" s="527">
        <f t="shared" si="564"/>
        <v>2816.8920829267986</v>
      </c>
      <c r="BA387" s="527">
        <f t="shared" si="564"/>
        <v>2816.8920829267986</v>
      </c>
      <c r="BB387" s="527">
        <f t="shared" si="564"/>
        <v>2816.8920829267986</v>
      </c>
      <c r="BC387" s="527">
        <f t="shared" si="564"/>
        <v>2816.8920829267986</v>
      </c>
      <c r="BD387" s="527">
        <f t="shared" si="564"/>
        <v>2816.8920829267986</v>
      </c>
      <c r="BE387" s="527">
        <f t="shared" si="564"/>
        <v>2816.8920829267986</v>
      </c>
      <c r="BF387" s="527">
        <f t="shared" si="564"/>
        <v>2816.8920829267986</v>
      </c>
      <c r="BG387" s="527">
        <f t="shared" si="564"/>
        <v>2816.8920829267986</v>
      </c>
      <c r="BH387" s="527">
        <f t="shared" si="564"/>
        <v>2816.8920829267986</v>
      </c>
      <c r="BI387" s="527">
        <f t="shared" si="564"/>
        <v>2816.8920829267986</v>
      </c>
      <c r="BJ387" s="527">
        <f t="shared" si="564"/>
        <v>2816.8920829267986</v>
      </c>
      <c r="BK387" s="527">
        <f t="shared" si="564"/>
        <v>2816.8920829267986</v>
      </c>
      <c r="BL387" s="527">
        <f t="shared" si="564"/>
        <v>2816.8920829267986</v>
      </c>
      <c r="BM387" s="527">
        <f t="shared" si="564"/>
        <v>2816.8920829267986</v>
      </c>
      <c r="BN387" s="527">
        <f t="shared" si="564"/>
        <v>2816.8920829267986</v>
      </c>
      <c r="BO387" s="527">
        <f t="shared" si="564"/>
        <v>2816.8920829267986</v>
      </c>
      <c r="BP387" s="527">
        <f t="shared" si="564"/>
        <v>2816.8920829267986</v>
      </c>
      <c r="BQ387" s="527">
        <f t="shared" si="564"/>
        <v>2816.8920829267986</v>
      </c>
      <c r="BR387" s="527">
        <f t="shared" si="564"/>
        <v>2816.8920829267986</v>
      </c>
      <c r="BS387" s="527">
        <f t="shared" si="564"/>
        <v>2816.8920829267986</v>
      </c>
      <c r="BT387" s="527">
        <f t="shared" si="564"/>
        <v>2816.8920829267986</v>
      </c>
      <c r="BU387" s="527">
        <f t="shared" si="564"/>
        <v>2816.8920829267986</v>
      </c>
      <c r="BV387" s="527">
        <f t="shared" si="564"/>
        <v>2816.8920829267986</v>
      </c>
      <c r="BW387" s="527">
        <f t="shared" si="564"/>
        <v>2816.8920829267986</v>
      </c>
      <c r="BX387" s="527">
        <f t="shared" si="564"/>
        <v>2816.8920829267986</v>
      </c>
      <c r="BY387" s="527">
        <f t="shared" si="564"/>
        <v>2816.8920829267986</v>
      </c>
    </row>
    <row r="388" spans="1:77" x14ac:dyDescent="0.3">
      <c r="A388" s="551"/>
      <c r="B388" s="548"/>
      <c r="C388" s="525"/>
      <c r="D388" s="525"/>
      <c r="E388" s="572" t="s">
        <v>36</v>
      </c>
      <c r="F388" s="572"/>
      <c r="G388" s="572"/>
      <c r="H388" s="572"/>
      <c r="I388" s="572"/>
      <c r="J388" s="572"/>
      <c r="K388" s="572"/>
      <c r="L388" s="572"/>
      <c r="M388" s="572"/>
      <c r="N388" s="572"/>
      <c r="O388" s="572"/>
      <c r="P388" s="612"/>
      <c r="Q388" s="572"/>
      <c r="R388" s="530">
        <f t="shared" ref="R388:AW388" si="565">SUM(R382:R387)</f>
        <v>7938.5140518846147</v>
      </c>
      <c r="S388" s="530">
        <f t="shared" si="565"/>
        <v>7938.5140518846147</v>
      </c>
      <c r="T388" s="530">
        <f t="shared" si="565"/>
        <v>7938.5140518846147</v>
      </c>
      <c r="U388" s="530">
        <f t="shared" si="565"/>
        <v>7938.5140518846147</v>
      </c>
      <c r="V388" s="530">
        <f t="shared" si="565"/>
        <v>7938.5140518846147</v>
      </c>
      <c r="W388" s="530">
        <f t="shared" si="565"/>
        <v>7938.5140518846147</v>
      </c>
      <c r="X388" s="530">
        <f t="shared" si="565"/>
        <v>7938.5140518846147</v>
      </c>
      <c r="Y388" s="530">
        <f t="shared" si="565"/>
        <v>7938.5140518846147</v>
      </c>
      <c r="Z388" s="530">
        <f t="shared" si="565"/>
        <v>7938.5140518846147</v>
      </c>
      <c r="AA388" s="530">
        <f t="shared" si="565"/>
        <v>7938.5140518846147</v>
      </c>
      <c r="AB388" s="530">
        <f t="shared" si="565"/>
        <v>7938.5140518846147</v>
      </c>
      <c r="AC388" s="530">
        <f t="shared" si="565"/>
        <v>7938.5140518846147</v>
      </c>
      <c r="AD388" s="530">
        <f t="shared" si="565"/>
        <v>7938.5140518846147</v>
      </c>
      <c r="AE388" s="530">
        <f t="shared" si="565"/>
        <v>7938.5140518846147</v>
      </c>
      <c r="AF388" s="530">
        <f t="shared" si="565"/>
        <v>7938.5140518846147</v>
      </c>
      <c r="AG388" s="530">
        <f t="shared" si="565"/>
        <v>7938.5140518846147</v>
      </c>
      <c r="AH388" s="530">
        <f t="shared" si="565"/>
        <v>7938.5140518846147</v>
      </c>
      <c r="AI388" s="530">
        <f t="shared" si="565"/>
        <v>7938.5140518846147</v>
      </c>
      <c r="AJ388" s="530">
        <f t="shared" si="565"/>
        <v>7938.5140518846147</v>
      </c>
      <c r="AK388" s="530">
        <f t="shared" si="565"/>
        <v>7938.5140518846147</v>
      </c>
      <c r="AL388" s="530">
        <f t="shared" si="565"/>
        <v>7938.5140518846147</v>
      </c>
      <c r="AM388" s="530">
        <f t="shared" si="565"/>
        <v>7938.5140518846147</v>
      </c>
      <c r="AN388" s="530">
        <f t="shared" si="565"/>
        <v>7938.5140518846147</v>
      </c>
      <c r="AO388" s="530">
        <f t="shared" si="565"/>
        <v>7938.5140518846147</v>
      </c>
      <c r="AP388" s="530">
        <f t="shared" si="565"/>
        <v>7938.5140518846147</v>
      </c>
      <c r="AQ388" s="530">
        <f t="shared" si="565"/>
        <v>7938.5140518846147</v>
      </c>
      <c r="AR388" s="530">
        <f t="shared" si="565"/>
        <v>7938.5140518846147</v>
      </c>
      <c r="AS388" s="530">
        <f t="shared" si="565"/>
        <v>7938.5140518846147</v>
      </c>
      <c r="AT388" s="530">
        <f t="shared" si="565"/>
        <v>7938.5140518846147</v>
      </c>
      <c r="AU388" s="530">
        <f t="shared" si="565"/>
        <v>7938.5140518846147</v>
      </c>
      <c r="AV388" s="530">
        <f t="shared" si="565"/>
        <v>7938.5140518846147</v>
      </c>
      <c r="AW388" s="530">
        <f t="shared" si="565"/>
        <v>7938.5140518846147</v>
      </c>
      <c r="AX388" s="530">
        <f t="shared" ref="AX388:BY388" si="566">SUM(AX382:AX387)</f>
        <v>7938.5140518846147</v>
      </c>
      <c r="AY388" s="530">
        <f t="shared" si="566"/>
        <v>7938.5140518846147</v>
      </c>
      <c r="AZ388" s="530">
        <f t="shared" si="566"/>
        <v>7938.5140518846147</v>
      </c>
      <c r="BA388" s="530">
        <f t="shared" si="566"/>
        <v>7938.5140518846147</v>
      </c>
      <c r="BB388" s="530">
        <f t="shared" si="566"/>
        <v>7938.5140518846147</v>
      </c>
      <c r="BC388" s="530">
        <f t="shared" si="566"/>
        <v>7938.5140518846147</v>
      </c>
      <c r="BD388" s="530">
        <f t="shared" si="566"/>
        <v>7938.5140518846147</v>
      </c>
      <c r="BE388" s="530">
        <f t="shared" si="566"/>
        <v>7938.5140518846147</v>
      </c>
      <c r="BF388" s="530">
        <f t="shared" si="566"/>
        <v>7938.5140518846147</v>
      </c>
      <c r="BG388" s="530">
        <f t="shared" si="566"/>
        <v>7938.5140518846147</v>
      </c>
      <c r="BH388" s="530">
        <f t="shared" si="566"/>
        <v>7938.5140518846147</v>
      </c>
      <c r="BI388" s="530">
        <f t="shared" si="566"/>
        <v>7938.5140518846147</v>
      </c>
      <c r="BJ388" s="530">
        <f t="shared" si="566"/>
        <v>7938.5140518846147</v>
      </c>
      <c r="BK388" s="530">
        <f t="shared" si="566"/>
        <v>7938.5140518846147</v>
      </c>
      <c r="BL388" s="530">
        <f t="shared" si="566"/>
        <v>7938.5140518846147</v>
      </c>
      <c r="BM388" s="530">
        <f t="shared" si="566"/>
        <v>7938.5140518846147</v>
      </c>
      <c r="BN388" s="530">
        <f t="shared" si="566"/>
        <v>7938.5140518846147</v>
      </c>
      <c r="BO388" s="530">
        <f t="shared" si="566"/>
        <v>7938.5140518846147</v>
      </c>
      <c r="BP388" s="530">
        <f t="shared" si="566"/>
        <v>7938.5140518846147</v>
      </c>
      <c r="BQ388" s="530">
        <f t="shared" si="566"/>
        <v>7938.5140518846147</v>
      </c>
      <c r="BR388" s="530">
        <f t="shared" si="566"/>
        <v>7938.5140518846147</v>
      </c>
      <c r="BS388" s="530">
        <f t="shared" si="566"/>
        <v>7938.5140518846147</v>
      </c>
      <c r="BT388" s="530">
        <f t="shared" si="566"/>
        <v>7938.5140518846147</v>
      </c>
      <c r="BU388" s="530">
        <f t="shared" si="566"/>
        <v>7938.5140518846147</v>
      </c>
      <c r="BV388" s="530">
        <f t="shared" si="566"/>
        <v>7938.5140518846147</v>
      </c>
      <c r="BW388" s="530">
        <f t="shared" si="566"/>
        <v>7938.5140518846147</v>
      </c>
      <c r="BX388" s="530">
        <f t="shared" si="566"/>
        <v>7938.5140518846147</v>
      </c>
      <c r="BY388" s="530">
        <f t="shared" si="566"/>
        <v>7938.5140518846147</v>
      </c>
    </row>
    <row r="389" spans="1:77" x14ac:dyDescent="0.3">
      <c r="A389" s="551"/>
      <c r="B389" s="548"/>
      <c r="C389" s="525"/>
      <c r="D389" s="525"/>
      <c r="E389" s="525"/>
      <c r="F389" s="525"/>
      <c r="G389" s="525"/>
      <c r="H389" s="525"/>
      <c r="I389" s="525"/>
      <c r="J389" s="525"/>
      <c r="K389" s="525"/>
      <c r="L389" s="525"/>
      <c r="M389" s="525"/>
      <c r="N389" s="525"/>
      <c r="O389" s="525"/>
      <c r="P389" s="565"/>
      <c r="Q389" s="525"/>
      <c r="R389" s="525"/>
      <c r="S389" s="525"/>
      <c r="T389" s="525"/>
      <c r="U389" s="525"/>
      <c r="V389" s="525"/>
      <c r="W389" s="525"/>
      <c r="X389" s="525"/>
      <c r="Y389" s="525"/>
      <c r="Z389" s="525"/>
      <c r="AA389" s="525"/>
      <c r="AB389" s="525"/>
      <c r="AC389" s="525"/>
      <c r="AD389" s="525"/>
      <c r="AE389" s="525"/>
      <c r="AF389" s="525"/>
      <c r="AG389" s="525"/>
      <c r="AH389" s="525"/>
      <c r="AI389" s="525"/>
      <c r="AJ389" s="525"/>
      <c r="AK389" s="525"/>
      <c r="AL389" s="525"/>
      <c r="AM389" s="525"/>
      <c r="AN389" s="525"/>
      <c r="AO389" s="525"/>
      <c r="AP389" s="525"/>
      <c r="AQ389" s="525"/>
      <c r="AR389" s="525"/>
      <c r="AS389" s="525"/>
      <c r="AT389" s="525"/>
      <c r="AU389" s="525"/>
      <c r="AV389" s="525"/>
      <c r="AW389" s="525"/>
      <c r="AX389" s="525"/>
      <c r="AY389" s="525"/>
      <c r="AZ389" s="525"/>
      <c r="BA389" s="525"/>
      <c r="BB389" s="525"/>
      <c r="BC389" s="525"/>
      <c r="BD389" s="525"/>
      <c r="BE389" s="525"/>
      <c r="BF389" s="525"/>
      <c r="BG389" s="525"/>
      <c r="BH389" s="525"/>
      <c r="BI389" s="525"/>
      <c r="BJ389" s="525"/>
      <c r="BK389" s="525"/>
      <c r="BL389" s="525"/>
      <c r="BM389" s="525"/>
      <c r="BN389" s="525"/>
      <c r="BO389" s="525"/>
      <c r="BP389" s="525"/>
      <c r="BQ389" s="525"/>
      <c r="BR389" s="525"/>
      <c r="BS389" s="525"/>
      <c r="BT389" s="525"/>
      <c r="BU389" s="525"/>
      <c r="BV389" s="525"/>
      <c r="BW389" s="525"/>
      <c r="BX389" s="525"/>
      <c r="BY389" s="525"/>
    </row>
    <row r="390" spans="1:77" x14ac:dyDescent="0.3">
      <c r="A390" s="551"/>
      <c r="B390" s="548"/>
      <c r="C390" s="584" t="s">
        <v>37</v>
      </c>
      <c r="D390" s="525"/>
      <c r="E390" s="538" t="s">
        <v>51</v>
      </c>
      <c r="F390" s="538"/>
      <c r="G390" s="538"/>
      <c r="H390" s="538"/>
      <c r="I390" s="538"/>
      <c r="J390" s="538"/>
      <c r="K390" s="538"/>
      <c r="L390" s="538"/>
      <c r="M390" s="538"/>
      <c r="N390" s="538"/>
      <c r="O390" s="538"/>
      <c r="P390" s="584"/>
      <c r="Q390" s="538"/>
      <c r="R390" s="538"/>
      <c r="S390" s="538"/>
      <c r="T390" s="538"/>
      <c r="U390" s="538"/>
      <c r="V390" s="538"/>
      <c r="W390" s="538"/>
      <c r="X390" s="538"/>
      <c r="Y390" s="538"/>
      <c r="Z390" s="538"/>
      <c r="AA390" s="538"/>
      <c r="AB390" s="538"/>
      <c r="AC390" s="538"/>
      <c r="AD390" s="538"/>
      <c r="AE390" s="538"/>
      <c r="AF390" s="538"/>
      <c r="AG390" s="538"/>
      <c r="AH390" s="538"/>
      <c r="AI390" s="538"/>
      <c r="AJ390" s="538"/>
      <c r="AK390" s="538"/>
      <c r="AL390" s="538"/>
      <c r="AM390" s="538"/>
      <c r="AN390" s="538"/>
      <c r="AO390" s="538"/>
      <c r="AP390" s="538"/>
      <c r="AQ390" s="538"/>
      <c r="AR390" s="538"/>
      <c r="AS390" s="538"/>
      <c r="AT390" s="538"/>
      <c r="AU390" s="538"/>
      <c r="AV390" s="538"/>
      <c r="AW390" s="538"/>
      <c r="AX390" s="538"/>
      <c r="AY390" s="538"/>
      <c r="AZ390" s="538"/>
      <c r="BA390" s="538"/>
      <c r="BB390" s="538"/>
      <c r="BC390" s="538"/>
      <c r="BD390" s="538"/>
      <c r="BE390" s="538"/>
      <c r="BF390" s="538"/>
      <c r="BG390" s="538"/>
      <c r="BH390" s="538"/>
      <c r="BI390" s="538"/>
      <c r="BJ390" s="538"/>
      <c r="BK390" s="538"/>
      <c r="BL390" s="538"/>
      <c r="BM390" s="538"/>
      <c r="BN390" s="538"/>
      <c r="BO390" s="538"/>
      <c r="BP390" s="538"/>
      <c r="BQ390" s="538"/>
      <c r="BR390" s="538"/>
      <c r="BS390" s="538"/>
      <c r="BT390" s="538"/>
      <c r="BU390" s="538"/>
      <c r="BV390" s="538"/>
      <c r="BW390" s="538"/>
      <c r="BX390" s="538"/>
      <c r="BY390" s="538"/>
    </row>
    <row r="391" spans="1:77" x14ac:dyDescent="0.3">
      <c r="A391" s="551"/>
      <c r="B391" s="548"/>
      <c r="C391" s="525"/>
      <c r="D391" s="525"/>
      <c r="E391" s="525"/>
      <c r="F391" s="525"/>
      <c r="G391" s="525"/>
      <c r="H391" s="525"/>
      <c r="I391" s="525"/>
      <c r="J391" s="525"/>
      <c r="K391" s="525"/>
      <c r="L391" s="525"/>
      <c r="M391" s="525"/>
      <c r="N391" s="525"/>
      <c r="O391" s="525"/>
      <c r="P391" s="565"/>
      <c r="Q391" s="525"/>
      <c r="R391" s="525"/>
      <c r="S391" s="525"/>
      <c r="T391" s="525"/>
      <c r="U391" s="525"/>
      <c r="V391" s="525"/>
      <c r="W391" s="525"/>
      <c r="X391" s="525"/>
      <c r="Y391" s="525"/>
      <c r="Z391" s="525"/>
      <c r="AA391" s="525"/>
      <c r="AB391" s="525"/>
      <c r="AC391" s="525"/>
      <c r="AD391" s="525"/>
      <c r="AE391" s="525"/>
      <c r="AF391" s="525"/>
      <c r="AG391" s="525"/>
      <c r="AH391" s="525"/>
      <c r="AI391" s="525"/>
      <c r="AJ391" s="525"/>
      <c r="AK391" s="525"/>
      <c r="AL391" s="525"/>
      <c r="AM391" s="525"/>
      <c r="AN391" s="525"/>
      <c r="AO391" s="525"/>
      <c r="AP391" s="525"/>
      <c r="AQ391" s="525"/>
      <c r="AR391" s="525"/>
      <c r="AS391" s="525"/>
      <c r="AT391" s="525"/>
      <c r="AU391" s="525"/>
      <c r="AV391" s="525"/>
      <c r="AW391" s="525"/>
      <c r="AX391" s="525"/>
      <c r="AY391" s="525"/>
      <c r="AZ391" s="525"/>
      <c r="BA391" s="525"/>
      <c r="BB391" s="525"/>
      <c r="BC391" s="525"/>
      <c r="BD391" s="525"/>
      <c r="BE391" s="525"/>
      <c r="BF391" s="525"/>
      <c r="BG391" s="525"/>
      <c r="BH391" s="525"/>
      <c r="BI391" s="525"/>
      <c r="BJ391" s="525"/>
      <c r="BK391" s="525"/>
      <c r="BL391" s="525"/>
      <c r="BM391" s="525"/>
      <c r="BN391" s="525"/>
      <c r="BO391" s="525"/>
      <c r="BP391" s="525"/>
      <c r="BQ391" s="525"/>
      <c r="BR391" s="525"/>
      <c r="BS391" s="525"/>
      <c r="BT391" s="525"/>
      <c r="BU391" s="525"/>
      <c r="BV391" s="525"/>
      <c r="BW391" s="525"/>
      <c r="BX391" s="525"/>
      <c r="BY391" s="525"/>
    </row>
    <row r="392" spans="1:77" x14ac:dyDescent="0.3">
      <c r="A392" s="551"/>
      <c r="B392" s="548"/>
      <c r="C392" s="525"/>
      <c r="D392" s="525"/>
      <c r="E392" s="614" t="s">
        <v>110</v>
      </c>
      <c r="F392" s="539"/>
      <c r="G392" s="539"/>
      <c r="H392" s="539"/>
      <c r="I392" s="539"/>
      <c r="J392" s="539"/>
      <c r="K392" s="539"/>
      <c r="L392" s="539"/>
      <c r="M392" s="539"/>
      <c r="N392" s="539"/>
      <c r="O392" s="539"/>
      <c r="P392" s="615"/>
      <c r="Q392" s="539"/>
      <c r="R392" s="539"/>
      <c r="S392" s="539"/>
      <c r="T392" s="539"/>
      <c r="U392" s="539"/>
      <c r="V392" s="539"/>
      <c r="W392" s="539"/>
      <c r="X392" s="539"/>
      <c r="Y392" s="539"/>
      <c r="Z392" s="539"/>
      <c r="AA392" s="539"/>
      <c r="AB392" s="539"/>
      <c r="AC392" s="539"/>
      <c r="AD392" s="539"/>
      <c r="AE392" s="539"/>
      <c r="AF392" s="539"/>
      <c r="AG392" s="539"/>
      <c r="AH392" s="539"/>
      <c r="AI392" s="539"/>
      <c r="AJ392" s="539"/>
      <c r="AK392" s="539"/>
      <c r="AL392" s="539"/>
      <c r="AM392" s="539"/>
      <c r="AN392" s="539"/>
      <c r="AO392" s="539"/>
      <c r="AP392" s="539"/>
      <c r="AQ392" s="539"/>
      <c r="AR392" s="539"/>
      <c r="AS392" s="539"/>
      <c r="AT392" s="539"/>
      <c r="AU392" s="539"/>
      <c r="AV392" s="539"/>
      <c r="AW392" s="539"/>
      <c r="AX392" s="539"/>
      <c r="AY392" s="539"/>
      <c r="AZ392" s="539"/>
      <c r="BA392" s="539"/>
      <c r="BB392" s="539"/>
      <c r="BC392" s="539"/>
      <c r="BD392" s="539"/>
      <c r="BE392" s="539"/>
      <c r="BF392" s="539"/>
      <c r="BG392" s="539"/>
      <c r="BH392" s="539"/>
      <c r="BI392" s="539"/>
      <c r="BJ392" s="539"/>
      <c r="BK392" s="539"/>
      <c r="BL392" s="539"/>
      <c r="BM392" s="539"/>
      <c r="BN392" s="539"/>
      <c r="BO392" s="539"/>
      <c r="BP392" s="539"/>
      <c r="BQ392" s="539"/>
      <c r="BR392" s="539"/>
      <c r="BS392" s="539"/>
      <c r="BT392" s="539"/>
      <c r="BU392" s="539"/>
      <c r="BV392" s="539"/>
      <c r="BW392" s="539"/>
      <c r="BX392" s="539"/>
      <c r="BY392" s="539"/>
    </row>
    <row r="393" spans="1:77" x14ac:dyDescent="0.3">
      <c r="A393" s="551"/>
      <c r="B393" s="548"/>
      <c r="C393" s="525"/>
      <c r="D393" s="525"/>
      <c r="E393" s="525"/>
      <c r="F393" s="525"/>
      <c r="G393" s="525"/>
      <c r="H393" s="525"/>
      <c r="I393" s="525"/>
      <c r="J393" s="525"/>
      <c r="K393" s="525"/>
      <c r="L393" s="525"/>
      <c r="M393" s="525"/>
      <c r="N393" s="525"/>
      <c r="O393" s="525"/>
      <c r="P393" s="565"/>
      <c r="Q393" s="525"/>
      <c r="R393" s="525"/>
      <c r="S393" s="525"/>
      <c r="T393" s="525"/>
      <c r="U393" s="525"/>
      <c r="V393" s="525"/>
      <c r="W393" s="525"/>
      <c r="X393" s="525"/>
      <c r="Y393" s="525"/>
      <c r="Z393" s="525"/>
      <c r="AA393" s="525"/>
      <c r="AB393" s="525"/>
      <c r="AC393" s="525"/>
      <c r="AD393" s="525"/>
      <c r="AE393" s="525"/>
      <c r="AF393" s="525"/>
      <c r="AG393" s="525"/>
      <c r="AH393" s="525"/>
      <c r="AI393" s="525"/>
      <c r="AJ393" s="525"/>
      <c r="AK393" s="525"/>
      <c r="AL393" s="525"/>
      <c r="AM393" s="525"/>
      <c r="AN393" s="525"/>
      <c r="AO393" s="525"/>
      <c r="AP393" s="525"/>
      <c r="AQ393" s="525"/>
      <c r="AR393" s="525"/>
      <c r="AS393" s="525"/>
      <c r="AT393" s="525"/>
      <c r="AU393" s="525"/>
      <c r="AV393" s="525"/>
      <c r="AW393" s="525"/>
      <c r="AX393" s="525"/>
      <c r="AY393" s="525"/>
      <c r="AZ393" s="525"/>
      <c r="BA393" s="525"/>
      <c r="BB393" s="525"/>
      <c r="BC393" s="525"/>
      <c r="BD393" s="525"/>
      <c r="BE393" s="525"/>
      <c r="BF393" s="525"/>
      <c r="BG393" s="525"/>
      <c r="BH393" s="525"/>
      <c r="BI393" s="525"/>
      <c r="BJ393" s="525"/>
      <c r="BK393" s="525"/>
      <c r="BL393" s="525"/>
      <c r="BM393" s="525"/>
      <c r="BN393" s="525"/>
      <c r="BO393" s="525"/>
      <c r="BP393" s="525"/>
      <c r="BQ393" s="525"/>
      <c r="BR393" s="525"/>
      <c r="BS393" s="525"/>
      <c r="BT393" s="525"/>
      <c r="BU393" s="525"/>
      <c r="BV393" s="525"/>
      <c r="BW393" s="525"/>
      <c r="BX393" s="525"/>
      <c r="BY393" s="525"/>
    </row>
    <row r="394" spans="1:77" x14ac:dyDescent="0.3">
      <c r="A394" s="551"/>
      <c r="B394" s="548"/>
      <c r="C394" s="525"/>
      <c r="D394" s="525"/>
      <c r="E394" s="639" t="str">
        <f>"R&amp;M: "&amp;E$155</f>
        <v>R&amp;M: FY27 Tranche</v>
      </c>
      <c r="F394" s="525"/>
      <c r="G394" s="525"/>
      <c r="H394" s="525"/>
      <c r="I394" s="525"/>
      <c r="J394" s="525"/>
      <c r="K394" s="525"/>
      <c r="L394" s="525"/>
      <c r="M394" s="525"/>
      <c r="N394" s="525"/>
      <c r="O394" s="525"/>
      <c r="P394" s="565"/>
      <c r="Q394" s="525"/>
      <c r="R394" s="527">
        <f t="shared" ref="R394:AW394" si="567">R$611*$R155</f>
        <v>-521.34898941935489</v>
      </c>
      <c r="S394" s="527">
        <f t="shared" si="567"/>
        <v>-521.34898941935489</v>
      </c>
      <c r="T394" s="527">
        <f t="shared" si="567"/>
        <v>-521.34898941935489</v>
      </c>
      <c r="U394" s="527">
        <f t="shared" si="567"/>
        <v>-521.34898941935489</v>
      </c>
      <c r="V394" s="527">
        <f t="shared" si="567"/>
        <v>-521.34898941935489</v>
      </c>
      <c r="W394" s="527">
        <f t="shared" si="567"/>
        <v>-521.34898941935489</v>
      </c>
      <c r="X394" s="527">
        <f t="shared" si="567"/>
        <v>-521.34898941935489</v>
      </c>
      <c r="Y394" s="527">
        <f t="shared" si="567"/>
        <v>-521.34898941935489</v>
      </c>
      <c r="Z394" s="527">
        <f t="shared" si="567"/>
        <v>-521.34898941935489</v>
      </c>
      <c r="AA394" s="527">
        <f t="shared" si="567"/>
        <v>-521.34898941935489</v>
      </c>
      <c r="AB394" s="527">
        <f t="shared" si="567"/>
        <v>-521.34898941935489</v>
      </c>
      <c r="AC394" s="527">
        <f t="shared" si="567"/>
        <v>-521.34898941935489</v>
      </c>
      <c r="AD394" s="527">
        <f t="shared" si="567"/>
        <v>-531.77596920774204</v>
      </c>
      <c r="AE394" s="527">
        <f t="shared" si="567"/>
        <v>-531.77596920774204</v>
      </c>
      <c r="AF394" s="527">
        <f t="shared" si="567"/>
        <v>-531.77596920774204</v>
      </c>
      <c r="AG394" s="527">
        <f t="shared" si="567"/>
        <v>-531.77596920774204</v>
      </c>
      <c r="AH394" s="527">
        <f t="shared" si="567"/>
        <v>-531.77596920774204</v>
      </c>
      <c r="AI394" s="527">
        <f t="shared" si="567"/>
        <v>-531.77596920774204</v>
      </c>
      <c r="AJ394" s="527">
        <f t="shared" si="567"/>
        <v>-531.77596920774204</v>
      </c>
      <c r="AK394" s="527">
        <f t="shared" si="567"/>
        <v>-531.77596920774204</v>
      </c>
      <c r="AL394" s="527">
        <f t="shared" si="567"/>
        <v>-531.77596920774204</v>
      </c>
      <c r="AM394" s="527">
        <f t="shared" si="567"/>
        <v>-531.77596920774204</v>
      </c>
      <c r="AN394" s="527">
        <f t="shared" si="567"/>
        <v>-531.77596920774204</v>
      </c>
      <c r="AO394" s="527">
        <f t="shared" si="567"/>
        <v>-531.77596920774204</v>
      </c>
      <c r="AP394" s="527">
        <f t="shared" si="567"/>
        <v>-542.41148859189684</v>
      </c>
      <c r="AQ394" s="527">
        <f t="shared" si="567"/>
        <v>-542.41148859189684</v>
      </c>
      <c r="AR394" s="527">
        <f t="shared" si="567"/>
        <v>-542.41148859189684</v>
      </c>
      <c r="AS394" s="527">
        <f t="shared" si="567"/>
        <v>-542.41148859189684</v>
      </c>
      <c r="AT394" s="527">
        <f t="shared" si="567"/>
        <v>-542.41148859189684</v>
      </c>
      <c r="AU394" s="527">
        <f t="shared" si="567"/>
        <v>-542.41148859189684</v>
      </c>
      <c r="AV394" s="527">
        <f t="shared" si="567"/>
        <v>-542.41148859189684</v>
      </c>
      <c r="AW394" s="527">
        <f t="shared" si="567"/>
        <v>-542.41148859189684</v>
      </c>
      <c r="AX394" s="527">
        <f t="shared" ref="AX394:BY394" si="568">AX$611*$R155</f>
        <v>-542.41148859189684</v>
      </c>
      <c r="AY394" s="527">
        <f t="shared" si="568"/>
        <v>-542.41148859189684</v>
      </c>
      <c r="AZ394" s="527">
        <f t="shared" si="568"/>
        <v>-542.41148859189684</v>
      </c>
      <c r="BA394" s="527">
        <f t="shared" si="568"/>
        <v>-542.41148859189684</v>
      </c>
      <c r="BB394" s="527">
        <f t="shared" si="568"/>
        <v>-553.25971836373481</v>
      </c>
      <c r="BC394" s="527">
        <f t="shared" si="568"/>
        <v>-553.25971836373481</v>
      </c>
      <c r="BD394" s="527">
        <f t="shared" si="568"/>
        <v>-553.25971836373481</v>
      </c>
      <c r="BE394" s="527">
        <f t="shared" si="568"/>
        <v>-553.25971836373481</v>
      </c>
      <c r="BF394" s="527">
        <f t="shared" si="568"/>
        <v>-553.25971836373481</v>
      </c>
      <c r="BG394" s="527">
        <f t="shared" si="568"/>
        <v>-553.25971836373481</v>
      </c>
      <c r="BH394" s="527">
        <f t="shared" si="568"/>
        <v>-553.25971836373481</v>
      </c>
      <c r="BI394" s="527">
        <f t="shared" si="568"/>
        <v>-553.25971836373481</v>
      </c>
      <c r="BJ394" s="527">
        <f t="shared" si="568"/>
        <v>-553.25971836373481</v>
      </c>
      <c r="BK394" s="527">
        <f t="shared" si="568"/>
        <v>-553.25971836373481</v>
      </c>
      <c r="BL394" s="527">
        <f t="shared" si="568"/>
        <v>-553.25971836373481</v>
      </c>
      <c r="BM394" s="527">
        <f t="shared" si="568"/>
        <v>-553.25971836373481</v>
      </c>
      <c r="BN394" s="527">
        <f t="shared" si="568"/>
        <v>-564.32491273100948</v>
      </c>
      <c r="BO394" s="527">
        <f t="shared" si="568"/>
        <v>-564.32491273100948</v>
      </c>
      <c r="BP394" s="527">
        <f t="shared" si="568"/>
        <v>-564.32491273100948</v>
      </c>
      <c r="BQ394" s="527">
        <f t="shared" si="568"/>
        <v>-564.32491273100948</v>
      </c>
      <c r="BR394" s="527">
        <f t="shared" si="568"/>
        <v>-564.32491273100948</v>
      </c>
      <c r="BS394" s="527">
        <f t="shared" si="568"/>
        <v>-564.32491273100948</v>
      </c>
      <c r="BT394" s="527">
        <f t="shared" si="568"/>
        <v>-564.32491273100948</v>
      </c>
      <c r="BU394" s="527">
        <f t="shared" si="568"/>
        <v>-564.32491273100948</v>
      </c>
      <c r="BV394" s="527">
        <f t="shared" si="568"/>
        <v>-564.32491273100948</v>
      </c>
      <c r="BW394" s="527">
        <f t="shared" si="568"/>
        <v>-564.32491273100948</v>
      </c>
      <c r="BX394" s="527">
        <f t="shared" si="568"/>
        <v>-564.32491273100948</v>
      </c>
      <c r="BY394" s="527">
        <f t="shared" si="568"/>
        <v>-564.32491273100948</v>
      </c>
    </row>
    <row r="395" spans="1:77" x14ac:dyDescent="0.3">
      <c r="A395" s="551"/>
      <c r="B395" s="548"/>
      <c r="C395" s="525"/>
      <c r="D395" s="525"/>
      <c r="E395" s="639" t="str">
        <f>"R&amp;M: "&amp;E$156</f>
        <v>R&amp;M: FY28 Tranche</v>
      </c>
      <c r="F395" s="525"/>
      <c r="G395" s="525"/>
      <c r="H395" s="525"/>
      <c r="I395" s="525"/>
      <c r="J395" s="525"/>
      <c r="K395" s="525"/>
      <c r="L395" s="525"/>
      <c r="M395" s="525"/>
      <c r="N395" s="525"/>
      <c r="O395" s="525"/>
      <c r="P395" s="565"/>
      <c r="Q395" s="525"/>
      <c r="R395" s="527">
        <f t="shared" ref="R395:AW395" si="569">R$611*$R156</f>
        <v>-521.34898941935489</v>
      </c>
      <c r="S395" s="527">
        <f t="shared" si="569"/>
        <v>-521.34898941935489</v>
      </c>
      <c r="T395" s="527">
        <f t="shared" si="569"/>
        <v>-521.34898941935489</v>
      </c>
      <c r="U395" s="527">
        <f t="shared" si="569"/>
        <v>-521.34898941935489</v>
      </c>
      <c r="V395" s="527">
        <f t="shared" si="569"/>
        <v>-521.34898941935489</v>
      </c>
      <c r="W395" s="527">
        <f t="shared" si="569"/>
        <v>-521.34898941935489</v>
      </c>
      <c r="X395" s="527">
        <f t="shared" si="569"/>
        <v>-521.34898941935489</v>
      </c>
      <c r="Y395" s="527">
        <f t="shared" si="569"/>
        <v>-521.34898941935489</v>
      </c>
      <c r="Z395" s="527">
        <f t="shared" si="569"/>
        <v>-521.34898941935489</v>
      </c>
      <c r="AA395" s="527">
        <f t="shared" si="569"/>
        <v>-521.34898941935489</v>
      </c>
      <c r="AB395" s="527">
        <f t="shared" si="569"/>
        <v>-521.34898941935489</v>
      </c>
      <c r="AC395" s="527">
        <f t="shared" si="569"/>
        <v>-521.34898941935489</v>
      </c>
      <c r="AD395" s="527">
        <f t="shared" si="569"/>
        <v>-531.77596920774204</v>
      </c>
      <c r="AE395" s="527">
        <f t="shared" si="569"/>
        <v>-531.77596920774204</v>
      </c>
      <c r="AF395" s="527">
        <f t="shared" si="569"/>
        <v>-531.77596920774204</v>
      </c>
      <c r="AG395" s="527">
        <f t="shared" si="569"/>
        <v>-531.77596920774204</v>
      </c>
      <c r="AH395" s="527">
        <f t="shared" si="569"/>
        <v>-531.77596920774204</v>
      </c>
      <c r="AI395" s="527">
        <f t="shared" si="569"/>
        <v>-531.77596920774204</v>
      </c>
      <c r="AJ395" s="527">
        <f t="shared" si="569"/>
        <v>-531.77596920774204</v>
      </c>
      <c r="AK395" s="527">
        <f t="shared" si="569"/>
        <v>-531.77596920774204</v>
      </c>
      <c r="AL395" s="527">
        <f t="shared" si="569"/>
        <v>-531.77596920774204</v>
      </c>
      <c r="AM395" s="527">
        <f t="shared" si="569"/>
        <v>-531.77596920774204</v>
      </c>
      <c r="AN395" s="527">
        <f t="shared" si="569"/>
        <v>-531.77596920774204</v>
      </c>
      <c r="AO395" s="527">
        <f t="shared" si="569"/>
        <v>-531.77596920774204</v>
      </c>
      <c r="AP395" s="527">
        <f t="shared" si="569"/>
        <v>-542.41148859189684</v>
      </c>
      <c r="AQ395" s="527">
        <f t="shared" si="569"/>
        <v>-542.41148859189684</v>
      </c>
      <c r="AR395" s="527">
        <f t="shared" si="569"/>
        <v>-542.41148859189684</v>
      </c>
      <c r="AS395" s="527">
        <f t="shared" si="569"/>
        <v>-542.41148859189684</v>
      </c>
      <c r="AT395" s="527">
        <f t="shared" si="569"/>
        <v>-542.41148859189684</v>
      </c>
      <c r="AU395" s="527">
        <f t="shared" si="569"/>
        <v>-542.41148859189684</v>
      </c>
      <c r="AV395" s="527">
        <f t="shared" si="569"/>
        <v>-542.41148859189684</v>
      </c>
      <c r="AW395" s="527">
        <f t="shared" si="569"/>
        <v>-542.41148859189684</v>
      </c>
      <c r="AX395" s="527">
        <f t="shared" ref="AX395:BY395" si="570">AX$611*$R156</f>
        <v>-542.41148859189684</v>
      </c>
      <c r="AY395" s="527">
        <f t="shared" si="570"/>
        <v>-542.41148859189684</v>
      </c>
      <c r="AZ395" s="527">
        <f t="shared" si="570"/>
        <v>-542.41148859189684</v>
      </c>
      <c r="BA395" s="527">
        <f t="shared" si="570"/>
        <v>-542.41148859189684</v>
      </c>
      <c r="BB395" s="527">
        <f t="shared" si="570"/>
        <v>-553.25971836373481</v>
      </c>
      <c r="BC395" s="527">
        <f t="shared" si="570"/>
        <v>-553.25971836373481</v>
      </c>
      <c r="BD395" s="527">
        <f t="shared" si="570"/>
        <v>-553.25971836373481</v>
      </c>
      <c r="BE395" s="527">
        <f t="shared" si="570"/>
        <v>-553.25971836373481</v>
      </c>
      <c r="BF395" s="527">
        <f t="shared" si="570"/>
        <v>-553.25971836373481</v>
      </c>
      <c r="BG395" s="527">
        <f t="shared" si="570"/>
        <v>-553.25971836373481</v>
      </c>
      <c r="BH395" s="527">
        <f t="shared" si="570"/>
        <v>-553.25971836373481</v>
      </c>
      <c r="BI395" s="527">
        <f t="shared" si="570"/>
        <v>-553.25971836373481</v>
      </c>
      <c r="BJ395" s="527">
        <f t="shared" si="570"/>
        <v>-553.25971836373481</v>
      </c>
      <c r="BK395" s="527">
        <f t="shared" si="570"/>
        <v>-553.25971836373481</v>
      </c>
      <c r="BL395" s="527">
        <f t="shared" si="570"/>
        <v>-553.25971836373481</v>
      </c>
      <c r="BM395" s="527">
        <f t="shared" si="570"/>
        <v>-553.25971836373481</v>
      </c>
      <c r="BN395" s="527">
        <f t="shared" si="570"/>
        <v>-564.32491273100948</v>
      </c>
      <c r="BO395" s="527">
        <f t="shared" si="570"/>
        <v>-564.32491273100948</v>
      </c>
      <c r="BP395" s="527">
        <f t="shared" si="570"/>
        <v>-564.32491273100948</v>
      </c>
      <c r="BQ395" s="527">
        <f t="shared" si="570"/>
        <v>-564.32491273100948</v>
      </c>
      <c r="BR395" s="527">
        <f t="shared" si="570"/>
        <v>-564.32491273100948</v>
      </c>
      <c r="BS395" s="527">
        <f t="shared" si="570"/>
        <v>-564.32491273100948</v>
      </c>
      <c r="BT395" s="527">
        <f t="shared" si="570"/>
        <v>-564.32491273100948</v>
      </c>
      <c r="BU395" s="527">
        <f t="shared" si="570"/>
        <v>-564.32491273100948</v>
      </c>
      <c r="BV395" s="527">
        <f t="shared" si="570"/>
        <v>-564.32491273100948</v>
      </c>
      <c r="BW395" s="527">
        <f t="shared" si="570"/>
        <v>-564.32491273100948</v>
      </c>
      <c r="BX395" s="527">
        <f t="shared" si="570"/>
        <v>-564.32491273100948</v>
      </c>
      <c r="BY395" s="527">
        <f t="shared" si="570"/>
        <v>-564.32491273100948</v>
      </c>
    </row>
    <row r="396" spans="1:77" x14ac:dyDescent="0.3">
      <c r="A396" s="551"/>
      <c r="B396" s="548"/>
      <c r="C396" s="525"/>
      <c r="D396" s="525"/>
      <c r="E396" s="639" t="str">
        <f>"R&amp;M: "&amp;E$157</f>
        <v>R&amp;M: FY29 Tranche</v>
      </c>
      <c r="F396" s="525"/>
      <c r="G396" s="525"/>
      <c r="H396" s="525"/>
      <c r="I396" s="525"/>
      <c r="J396" s="525"/>
      <c r="K396" s="525"/>
      <c r="L396" s="525"/>
      <c r="M396" s="525"/>
      <c r="N396" s="525"/>
      <c r="O396" s="525"/>
      <c r="P396" s="565"/>
      <c r="Q396" s="525"/>
      <c r="R396" s="527">
        <f t="shared" ref="R396:AW396" si="571">R$611*$R157</f>
        <v>-521.34898941935489</v>
      </c>
      <c r="S396" s="527">
        <f t="shared" si="571"/>
        <v>-521.34898941935489</v>
      </c>
      <c r="T396" s="527">
        <f t="shared" si="571"/>
        <v>-521.34898941935489</v>
      </c>
      <c r="U396" s="527">
        <f t="shared" si="571"/>
        <v>-521.34898941935489</v>
      </c>
      <c r="V396" s="527">
        <f t="shared" si="571"/>
        <v>-521.34898941935489</v>
      </c>
      <c r="W396" s="527">
        <f t="shared" si="571"/>
        <v>-521.34898941935489</v>
      </c>
      <c r="X396" s="527">
        <f t="shared" si="571"/>
        <v>-521.34898941935489</v>
      </c>
      <c r="Y396" s="527">
        <f t="shared" si="571"/>
        <v>-521.34898941935489</v>
      </c>
      <c r="Z396" s="527">
        <f t="shared" si="571"/>
        <v>-521.34898941935489</v>
      </c>
      <c r="AA396" s="527">
        <f t="shared" si="571"/>
        <v>-521.34898941935489</v>
      </c>
      <c r="AB396" s="527">
        <f t="shared" si="571"/>
        <v>-521.34898941935489</v>
      </c>
      <c r="AC396" s="527">
        <f t="shared" si="571"/>
        <v>-521.34898941935489</v>
      </c>
      <c r="AD396" s="527">
        <f t="shared" si="571"/>
        <v>-531.77596920774204</v>
      </c>
      <c r="AE396" s="527">
        <f t="shared" si="571"/>
        <v>-531.77596920774204</v>
      </c>
      <c r="AF396" s="527">
        <f t="shared" si="571"/>
        <v>-531.77596920774204</v>
      </c>
      <c r="AG396" s="527">
        <f t="shared" si="571"/>
        <v>-531.77596920774204</v>
      </c>
      <c r="AH396" s="527">
        <f t="shared" si="571"/>
        <v>-531.77596920774204</v>
      </c>
      <c r="AI396" s="527">
        <f t="shared" si="571"/>
        <v>-531.77596920774204</v>
      </c>
      <c r="AJ396" s="527">
        <f t="shared" si="571"/>
        <v>-531.77596920774204</v>
      </c>
      <c r="AK396" s="527">
        <f t="shared" si="571"/>
        <v>-531.77596920774204</v>
      </c>
      <c r="AL396" s="527">
        <f t="shared" si="571"/>
        <v>-531.77596920774204</v>
      </c>
      <c r="AM396" s="527">
        <f t="shared" si="571"/>
        <v>-531.77596920774204</v>
      </c>
      <c r="AN396" s="527">
        <f t="shared" si="571"/>
        <v>-531.77596920774204</v>
      </c>
      <c r="AO396" s="527">
        <f t="shared" si="571"/>
        <v>-531.77596920774204</v>
      </c>
      <c r="AP396" s="527">
        <f t="shared" si="571"/>
        <v>-542.41148859189684</v>
      </c>
      <c r="AQ396" s="527">
        <f t="shared" si="571"/>
        <v>-542.41148859189684</v>
      </c>
      <c r="AR396" s="527">
        <f t="shared" si="571"/>
        <v>-542.41148859189684</v>
      </c>
      <c r="AS396" s="527">
        <f t="shared" si="571"/>
        <v>-542.41148859189684</v>
      </c>
      <c r="AT396" s="527">
        <f t="shared" si="571"/>
        <v>-542.41148859189684</v>
      </c>
      <c r="AU396" s="527">
        <f t="shared" si="571"/>
        <v>-542.41148859189684</v>
      </c>
      <c r="AV396" s="527">
        <f t="shared" si="571"/>
        <v>-542.41148859189684</v>
      </c>
      <c r="AW396" s="527">
        <f t="shared" si="571"/>
        <v>-542.41148859189684</v>
      </c>
      <c r="AX396" s="527">
        <f t="shared" ref="AX396:BY396" si="572">AX$611*$R157</f>
        <v>-542.41148859189684</v>
      </c>
      <c r="AY396" s="527">
        <f t="shared" si="572"/>
        <v>-542.41148859189684</v>
      </c>
      <c r="AZ396" s="527">
        <f t="shared" si="572"/>
        <v>-542.41148859189684</v>
      </c>
      <c r="BA396" s="527">
        <f t="shared" si="572"/>
        <v>-542.41148859189684</v>
      </c>
      <c r="BB396" s="527">
        <f t="shared" si="572"/>
        <v>-553.25971836373481</v>
      </c>
      <c r="BC396" s="527">
        <f t="shared" si="572"/>
        <v>-553.25971836373481</v>
      </c>
      <c r="BD396" s="527">
        <f t="shared" si="572"/>
        <v>-553.25971836373481</v>
      </c>
      <c r="BE396" s="527">
        <f t="shared" si="572"/>
        <v>-553.25971836373481</v>
      </c>
      <c r="BF396" s="527">
        <f t="shared" si="572"/>
        <v>-553.25971836373481</v>
      </c>
      <c r="BG396" s="527">
        <f t="shared" si="572"/>
        <v>-553.25971836373481</v>
      </c>
      <c r="BH396" s="527">
        <f t="shared" si="572"/>
        <v>-553.25971836373481</v>
      </c>
      <c r="BI396" s="527">
        <f t="shared" si="572"/>
        <v>-553.25971836373481</v>
      </c>
      <c r="BJ396" s="527">
        <f t="shared" si="572"/>
        <v>-553.25971836373481</v>
      </c>
      <c r="BK396" s="527">
        <f t="shared" si="572"/>
        <v>-553.25971836373481</v>
      </c>
      <c r="BL396" s="527">
        <f t="shared" si="572"/>
        <v>-553.25971836373481</v>
      </c>
      <c r="BM396" s="527">
        <f t="shared" si="572"/>
        <v>-553.25971836373481</v>
      </c>
      <c r="BN396" s="527">
        <f t="shared" si="572"/>
        <v>-564.32491273100948</v>
      </c>
      <c r="BO396" s="527">
        <f t="shared" si="572"/>
        <v>-564.32491273100948</v>
      </c>
      <c r="BP396" s="527">
        <f t="shared" si="572"/>
        <v>-564.32491273100948</v>
      </c>
      <c r="BQ396" s="527">
        <f t="shared" si="572"/>
        <v>-564.32491273100948</v>
      </c>
      <c r="BR396" s="527">
        <f t="shared" si="572"/>
        <v>-564.32491273100948</v>
      </c>
      <c r="BS396" s="527">
        <f t="shared" si="572"/>
        <v>-564.32491273100948</v>
      </c>
      <c r="BT396" s="527">
        <f t="shared" si="572"/>
        <v>-564.32491273100948</v>
      </c>
      <c r="BU396" s="527">
        <f t="shared" si="572"/>
        <v>-564.32491273100948</v>
      </c>
      <c r="BV396" s="527">
        <f t="shared" si="572"/>
        <v>-564.32491273100948</v>
      </c>
      <c r="BW396" s="527">
        <f t="shared" si="572"/>
        <v>-564.32491273100948</v>
      </c>
      <c r="BX396" s="527">
        <f t="shared" si="572"/>
        <v>-564.32491273100948</v>
      </c>
      <c r="BY396" s="527">
        <f t="shared" si="572"/>
        <v>-564.32491273100948</v>
      </c>
    </row>
    <row r="397" spans="1:77" x14ac:dyDescent="0.3">
      <c r="A397" s="551"/>
      <c r="B397" s="548"/>
      <c r="C397" s="525"/>
      <c r="D397" s="525"/>
      <c r="E397" s="639" t="str">
        <f>"R&amp;M: "&amp;E$158</f>
        <v>R&amp;M: FY30 Tranche</v>
      </c>
      <c r="F397" s="525"/>
      <c r="G397" s="525"/>
      <c r="H397" s="525"/>
      <c r="I397" s="525"/>
      <c r="J397" s="525"/>
      <c r="K397" s="525"/>
      <c r="L397" s="525"/>
      <c r="M397" s="525"/>
      <c r="N397" s="525"/>
      <c r="O397" s="525"/>
      <c r="P397" s="565"/>
      <c r="Q397" s="525"/>
      <c r="R397" s="527">
        <f t="shared" ref="R397:AW397" si="573">R$611*$R158</f>
        <v>-521.34898941935489</v>
      </c>
      <c r="S397" s="527">
        <f t="shared" si="573"/>
        <v>-521.34898941935489</v>
      </c>
      <c r="T397" s="527">
        <f t="shared" si="573"/>
        <v>-521.34898941935489</v>
      </c>
      <c r="U397" s="527">
        <f t="shared" si="573"/>
        <v>-521.34898941935489</v>
      </c>
      <c r="V397" s="527">
        <f t="shared" si="573"/>
        <v>-521.34898941935489</v>
      </c>
      <c r="W397" s="527">
        <f t="shared" si="573"/>
        <v>-521.34898941935489</v>
      </c>
      <c r="X397" s="527">
        <f t="shared" si="573"/>
        <v>-521.34898941935489</v>
      </c>
      <c r="Y397" s="527">
        <f t="shared" si="573"/>
        <v>-521.34898941935489</v>
      </c>
      <c r="Z397" s="527">
        <f t="shared" si="573"/>
        <v>-521.34898941935489</v>
      </c>
      <c r="AA397" s="527">
        <f t="shared" si="573"/>
        <v>-521.34898941935489</v>
      </c>
      <c r="AB397" s="527">
        <f t="shared" si="573"/>
        <v>-521.34898941935489</v>
      </c>
      <c r="AC397" s="527">
        <f t="shared" si="573"/>
        <v>-521.34898941935489</v>
      </c>
      <c r="AD397" s="527">
        <f t="shared" si="573"/>
        <v>-531.77596920774204</v>
      </c>
      <c r="AE397" s="527">
        <f t="shared" si="573"/>
        <v>-531.77596920774204</v>
      </c>
      <c r="AF397" s="527">
        <f t="shared" si="573"/>
        <v>-531.77596920774204</v>
      </c>
      <c r="AG397" s="527">
        <f t="shared" si="573"/>
        <v>-531.77596920774204</v>
      </c>
      <c r="AH397" s="527">
        <f t="shared" si="573"/>
        <v>-531.77596920774204</v>
      </c>
      <c r="AI397" s="527">
        <f t="shared" si="573"/>
        <v>-531.77596920774204</v>
      </c>
      <c r="AJ397" s="527">
        <f t="shared" si="573"/>
        <v>-531.77596920774204</v>
      </c>
      <c r="AK397" s="527">
        <f t="shared" si="573"/>
        <v>-531.77596920774204</v>
      </c>
      <c r="AL397" s="527">
        <f t="shared" si="573"/>
        <v>-531.77596920774204</v>
      </c>
      <c r="AM397" s="527">
        <f t="shared" si="573"/>
        <v>-531.77596920774204</v>
      </c>
      <c r="AN397" s="527">
        <f t="shared" si="573"/>
        <v>-531.77596920774204</v>
      </c>
      <c r="AO397" s="527">
        <f t="shared" si="573"/>
        <v>-531.77596920774204</v>
      </c>
      <c r="AP397" s="527">
        <f t="shared" si="573"/>
        <v>-542.41148859189684</v>
      </c>
      <c r="AQ397" s="527">
        <f t="shared" si="573"/>
        <v>-542.41148859189684</v>
      </c>
      <c r="AR397" s="527">
        <f t="shared" si="573"/>
        <v>-542.41148859189684</v>
      </c>
      <c r="AS397" s="527">
        <f t="shared" si="573"/>
        <v>-542.41148859189684</v>
      </c>
      <c r="AT397" s="527">
        <f t="shared" si="573"/>
        <v>-542.41148859189684</v>
      </c>
      <c r="AU397" s="527">
        <f t="shared" si="573"/>
        <v>-542.41148859189684</v>
      </c>
      <c r="AV397" s="527">
        <f t="shared" si="573"/>
        <v>-542.41148859189684</v>
      </c>
      <c r="AW397" s="527">
        <f t="shared" si="573"/>
        <v>-542.41148859189684</v>
      </c>
      <c r="AX397" s="527">
        <f t="shared" ref="AX397:BY397" si="574">AX$611*$R158</f>
        <v>-542.41148859189684</v>
      </c>
      <c r="AY397" s="527">
        <f t="shared" si="574"/>
        <v>-542.41148859189684</v>
      </c>
      <c r="AZ397" s="527">
        <f t="shared" si="574"/>
        <v>-542.41148859189684</v>
      </c>
      <c r="BA397" s="527">
        <f t="shared" si="574"/>
        <v>-542.41148859189684</v>
      </c>
      <c r="BB397" s="527">
        <f t="shared" si="574"/>
        <v>-553.25971836373481</v>
      </c>
      <c r="BC397" s="527">
        <f t="shared" si="574"/>
        <v>-553.25971836373481</v>
      </c>
      <c r="BD397" s="527">
        <f t="shared" si="574"/>
        <v>-553.25971836373481</v>
      </c>
      <c r="BE397" s="527">
        <f t="shared" si="574"/>
        <v>-553.25971836373481</v>
      </c>
      <c r="BF397" s="527">
        <f t="shared" si="574"/>
        <v>-553.25971836373481</v>
      </c>
      <c r="BG397" s="527">
        <f t="shared" si="574"/>
        <v>-553.25971836373481</v>
      </c>
      <c r="BH397" s="527">
        <f t="shared" si="574"/>
        <v>-553.25971836373481</v>
      </c>
      <c r="BI397" s="527">
        <f t="shared" si="574"/>
        <v>-553.25971836373481</v>
      </c>
      <c r="BJ397" s="527">
        <f t="shared" si="574"/>
        <v>-553.25971836373481</v>
      </c>
      <c r="BK397" s="527">
        <f t="shared" si="574"/>
        <v>-553.25971836373481</v>
      </c>
      <c r="BL397" s="527">
        <f t="shared" si="574"/>
        <v>-553.25971836373481</v>
      </c>
      <c r="BM397" s="527">
        <f t="shared" si="574"/>
        <v>-553.25971836373481</v>
      </c>
      <c r="BN397" s="527">
        <f t="shared" si="574"/>
        <v>-564.32491273100948</v>
      </c>
      <c r="BO397" s="527">
        <f t="shared" si="574"/>
        <v>-564.32491273100948</v>
      </c>
      <c r="BP397" s="527">
        <f t="shared" si="574"/>
        <v>-564.32491273100948</v>
      </c>
      <c r="BQ397" s="527">
        <f t="shared" si="574"/>
        <v>-564.32491273100948</v>
      </c>
      <c r="BR397" s="527">
        <f t="shared" si="574"/>
        <v>-564.32491273100948</v>
      </c>
      <c r="BS397" s="527">
        <f t="shared" si="574"/>
        <v>-564.32491273100948</v>
      </c>
      <c r="BT397" s="527">
        <f t="shared" si="574"/>
        <v>-564.32491273100948</v>
      </c>
      <c r="BU397" s="527">
        <f t="shared" si="574"/>
        <v>-564.32491273100948</v>
      </c>
      <c r="BV397" s="527">
        <f t="shared" si="574"/>
        <v>-564.32491273100948</v>
      </c>
      <c r="BW397" s="527">
        <f t="shared" si="574"/>
        <v>-564.32491273100948</v>
      </c>
      <c r="BX397" s="527">
        <f t="shared" si="574"/>
        <v>-564.32491273100948</v>
      </c>
      <c r="BY397" s="527">
        <f t="shared" si="574"/>
        <v>-564.32491273100948</v>
      </c>
    </row>
    <row r="398" spans="1:77" x14ac:dyDescent="0.3">
      <c r="A398" s="551"/>
      <c r="B398" s="548"/>
      <c r="C398" s="525"/>
      <c r="D398" s="525"/>
      <c r="E398" s="639" t="str">
        <f>"R&amp;M: "&amp;E$159</f>
        <v>R&amp;M: FY31 Tranche</v>
      </c>
      <c r="F398" s="525"/>
      <c r="G398" s="525"/>
      <c r="H398" s="525"/>
      <c r="I398" s="525"/>
      <c r="J398" s="525"/>
      <c r="K398" s="525"/>
      <c r="L398" s="525"/>
      <c r="M398" s="525"/>
      <c r="N398" s="525"/>
      <c r="O398" s="525"/>
      <c r="P398" s="565"/>
      <c r="Q398" s="525"/>
      <c r="R398" s="527">
        <f t="shared" ref="R398:AW398" si="575">R$611*$R159</f>
        <v>-521.34898941935489</v>
      </c>
      <c r="S398" s="527">
        <f t="shared" si="575"/>
        <v>-521.34898941935489</v>
      </c>
      <c r="T398" s="527">
        <f t="shared" si="575"/>
        <v>-521.34898941935489</v>
      </c>
      <c r="U398" s="527">
        <f t="shared" si="575"/>
        <v>-521.34898941935489</v>
      </c>
      <c r="V398" s="527">
        <f t="shared" si="575"/>
        <v>-521.34898941935489</v>
      </c>
      <c r="W398" s="527">
        <f t="shared" si="575"/>
        <v>-521.34898941935489</v>
      </c>
      <c r="X398" s="527">
        <f t="shared" si="575"/>
        <v>-521.34898941935489</v>
      </c>
      <c r="Y398" s="527">
        <f t="shared" si="575"/>
        <v>-521.34898941935489</v>
      </c>
      <c r="Z398" s="527">
        <f t="shared" si="575"/>
        <v>-521.34898941935489</v>
      </c>
      <c r="AA398" s="527">
        <f t="shared" si="575"/>
        <v>-521.34898941935489</v>
      </c>
      <c r="AB398" s="527">
        <f t="shared" si="575"/>
        <v>-521.34898941935489</v>
      </c>
      <c r="AC398" s="527">
        <f t="shared" si="575"/>
        <v>-521.34898941935489</v>
      </c>
      <c r="AD398" s="527">
        <f t="shared" si="575"/>
        <v>-531.77596920774204</v>
      </c>
      <c r="AE398" s="527">
        <f t="shared" si="575"/>
        <v>-531.77596920774204</v>
      </c>
      <c r="AF398" s="527">
        <f t="shared" si="575"/>
        <v>-531.77596920774204</v>
      </c>
      <c r="AG398" s="527">
        <f t="shared" si="575"/>
        <v>-531.77596920774204</v>
      </c>
      <c r="AH398" s="527">
        <f t="shared" si="575"/>
        <v>-531.77596920774204</v>
      </c>
      <c r="AI398" s="527">
        <f t="shared" si="575"/>
        <v>-531.77596920774204</v>
      </c>
      <c r="AJ398" s="527">
        <f t="shared" si="575"/>
        <v>-531.77596920774204</v>
      </c>
      <c r="AK398" s="527">
        <f t="shared" si="575"/>
        <v>-531.77596920774204</v>
      </c>
      <c r="AL398" s="527">
        <f t="shared" si="575"/>
        <v>-531.77596920774204</v>
      </c>
      <c r="AM398" s="527">
        <f t="shared" si="575"/>
        <v>-531.77596920774204</v>
      </c>
      <c r="AN398" s="527">
        <f t="shared" si="575"/>
        <v>-531.77596920774204</v>
      </c>
      <c r="AO398" s="527">
        <f t="shared" si="575"/>
        <v>-531.77596920774204</v>
      </c>
      <c r="AP398" s="527">
        <f t="shared" si="575"/>
        <v>-542.41148859189684</v>
      </c>
      <c r="AQ398" s="527">
        <f t="shared" si="575"/>
        <v>-542.41148859189684</v>
      </c>
      <c r="AR398" s="527">
        <f t="shared" si="575"/>
        <v>-542.41148859189684</v>
      </c>
      <c r="AS398" s="527">
        <f t="shared" si="575"/>
        <v>-542.41148859189684</v>
      </c>
      <c r="AT398" s="527">
        <f t="shared" si="575"/>
        <v>-542.41148859189684</v>
      </c>
      <c r="AU398" s="527">
        <f t="shared" si="575"/>
        <v>-542.41148859189684</v>
      </c>
      <c r="AV398" s="527">
        <f t="shared" si="575"/>
        <v>-542.41148859189684</v>
      </c>
      <c r="AW398" s="527">
        <f t="shared" si="575"/>
        <v>-542.41148859189684</v>
      </c>
      <c r="AX398" s="527">
        <f t="shared" ref="AX398:BY398" si="576">AX$611*$R159</f>
        <v>-542.41148859189684</v>
      </c>
      <c r="AY398" s="527">
        <f t="shared" si="576"/>
        <v>-542.41148859189684</v>
      </c>
      <c r="AZ398" s="527">
        <f t="shared" si="576"/>
        <v>-542.41148859189684</v>
      </c>
      <c r="BA398" s="527">
        <f t="shared" si="576"/>
        <v>-542.41148859189684</v>
      </c>
      <c r="BB398" s="527">
        <f t="shared" si="576"/>
        <v>-553.25971836373481</v>
      </c>
      <c r="BC398" s="527">
        <f t="shared" si="576"/>
        <v>-553.25971836373481</v>
      </c>
      <c r="BD398" s="527">
        <f t="shared" si="576"/>
        <v>-553.25971836373481</v>
      </c>
      <c r="BE398" s="527">
        <f t="shared" si="576"/>
        <v>-553.25971836373481</v>
      </c>
      <c r="BF398" s="527">
        <f t="shared" si="576"/>
        <v>-553.25971836373481</v>
      </c>
      <c r="BG398" s="527">
        <f t="shared" si="576"/>
        <v>-553.25971836373481</v>
      </c>
      <c r="BH398" s="527">
        <f t="shared" si="576"/>
        <v>-553.25971836373481</v>
      </c>
      <c r="BI398" s="527">
        <f t="shared" si="576"/>
        <v>-553.25971836373481</v>
      </c>
      <c r="BJ398" s="527">
        <f t="shared" si="576"/>
        <v>-553.25971836373481</v>
      </c>
      <c r="BK398" s="527">
        <f t="shared" si="576"/>
        <v>-553.25971836373481</v>
      </c>
      <c r="BL398" s="527">
        <f t="shared" si="576"/>
        <v>-553.25971836373481</v>
      </c>
      <c r="BM398" s="527">
        <f t="shared" si="576"/>
        <v>-553.25971836373481</v>
      </c>
      <c r="BN398" s="527">
        <f t="shared" si="576"/>
        <v>-564.32491273100948</v>
      </c>
      <c r="BO398" s="527">
        <f t="shared" si="576"/>
        <v>-564.32491273100948</v>
      </c>
      <c r="BP398" s="527">
        <f t="shared" si="576"/>
        <v>-564.32491273100948</v>
      </c>
      <c r="BQ398" s="527">
        <f t="shared" si="576"/>
        <v>-564.32491273100948</v>
      </c>
      <c r="BR398" s="527">
        <f t="shared" si="576"/>
        <v>-564.32491273100948</v>
      </c>
      <c r="BS398" s="527">
        <f t="shared" si="576"/>
        <v>-564.32491273100948</v>
      </c>
      <c r="BT398" s="527">
        <f t="shared" si="576"/>
        <v>-564.32491273100948</v>
      </c>
      <c r="BU398" s="527">
        <f t="shared" si="576"/>
        <v>-564.32491273100948</v>
      </c>
      <c r="BV398" s="527">
        <f t="shared" si="576"/>
        <v>-564.32491273100948</v>
      </c>
      <c r="BW398" s="527">
        <f t="shared" si="576"/>
        <v>-564.32491273100948</v>
      </c>
      <c r="BX398" s="527">
        <f t="shared" si="576"/>
        <v>-564.32491273100948</v>
      </c>
      <c r="BY398" s="527">
        <f t="shared" si="576"/>
        <v>-564.32491273100948</v>
      </c>
    </row>
    <row r="399" spans="1:77" x14ac:dyDescent="0.3">
      <c r="A399" s="551"/>
      <c r="B399" s="548"/>
      <c r="C399" s="525"/>
      <c r="D399" s="525"/>
      <c r="E399" s="639" t="str">
        <f>"R&amp;M: "&amp;E$160</f>
        <v>R&amp;M: Uninvested Tranche</v>
      </c>
      <c r="F399" s="525"/>
      <c r="G399" s="525"/>
      <c r="H399" s="525"/>
      <c r="I399" s="525"/>
      <c r="J399" s="525"/>
      <c r="K399" s="525"/>
      <c r="L399" s="525"/>
      <c r="M399" s="525"/>
      <c r="N399" s="525"/>
      <c r="O399" s="525"/>
      <c r="P399" s="565"/>
      <c r="Q399" s="525"/>
      <c r="R399" s="527">
        <f t="shared" ref="R399:AW399" si="577">R$611*$R160</f>
        <v>-1433.7097209032258</v>
      </c>
      <c r="S399" s="527">
        <f t="shared" si="577"/>
        <v>-1433.7097209032258</v>
      </c>
      <c r="T399" s="527">
        <f t="shared" si="577"/>
        <v>-1433.7097209032258</v>
      </c>
      <c r="U399" s="527">
        <f t="shared" si="577"/>
        <v>-1433.7097209032258</v>
      </c>
      <c r="V399" s="527">
        <f t="shared" si="577"/>
        <v>-1433.7097209032258</v>
      </c>
      <c r="W399" s="527">
        <f t="shared" si="577"/>
        <v>-1433.7097209032258</v>
      </c>
      <c r="X399" s="527">
        <f t="shared" si="577"/>
        <v>-1433.7097209032258</v>
      </c>
      <c r="Y399" s="527">
        <f t="shared" si="577"/>
        <v>-1433.7097209032258</v>
      </c>
      <c r="Z399" s="527">
        <f t="shared" si="577"/>
        <v>-1433.7097209032258</v>
      </c>
      <c r="AA399" s="527">
        <f t="shared" si="577"/>
        <v>-1433.7097209032258</v>
      </c>
      <c r="AB399" s="527">
        <f t="shared" si="577"/>
        <v>-1433.7097209032258</v>
      </c>
      <c r="AC399" s="527">
        <f t="shared" si="577"/>
        <v>-1433.7097209032258</v>
      </c>
      <c r="AD399" s="527">
        <f t="shared" si="577"/>
        <v>-1462.3839153212907</v>
      </c>
      <c r="AE399" s="527">
        <f t="shared" si="577"/>
        <v>-1462.3839153212907</v>
      </c>
      <c r="AF399" s="527">
        <f t="shared" si="577"/>
        <v>-1462.3839153212907</v>
      </c>
      <c r="AG399" s="527">
        <f t="shared" si="577"/>
        <v>-1462.3839153212907</v>
      </c>
      <c r="AH399" s="527">
        <f t="shared" si="577"/>
        <v>-1462.3839153212907</v>
      </c>
      <c r="AI399" s="527">
        <f t="shared" si="577"/>
        <v>-1462.3839153212907</v>
      </c>
      <c r="AJ399" s="527">
        <f t="shared" si="577"/>
        <v>-1462.3839153212907</v>
      </c>
      <c r="AK399" s="527">
        <f t="shared" si="577"/>
        <v>-1462.3839153212907</v>
      </c>
      <c r="AL399" s="527">
        <f t="shared" si="577"/>
        <v>-1462.3839153212907</v>
      </c>
      <c r="AM399" s="527">
        <f t="shared" si="577"/>
        <v>-1462.3839153212907</v>
      </c>
      <c r="AN399" s="527">
        <f t="shared" si="577"/>
        <v>-1462.3839153212907</v>
      </c>
      <c r="AO399" s="527">
        <f t="shared" si="577"/>
        <v>-1462.3839153212907</v>
      </c>
      <c r="AP399" s="527">
        <f t="shared" si="577"/>
        <v>-1491.6315936277163</v>
      </c>
      <c r="AQ399" s="527">
        <f t="shared" si="577"/>
        <v>-1491.6315936277163</v>
      </c>
      <c r="AR399" s="527">
        <f t="shared" si="577"/>
        <v>-1491.6315936277163</v>
      </c>
      <c r="AS399" s="527">
        <f t="shared" si="577"/>
        <v>-1491.6315936277163</v>
      </c>
      <c r="AT399" s="527">
        <f t="shared" si="577"/>
        <v>-1491.6315936277163</v>
      </c>
      <c r="AU399" s="527">
        <f t="shared" si="577"/>
        <v>-1491.6315936277163</v>
      </c>
      <c r="AV399" s="527">
        <f t="shared" si="577"/>
        <v>-1491.6315936277163</v>
      </c>
      <c r="AW399" s="527">
        <f t="shared" si="577"/>
        <v>-1491.6315936277163</v>
      </c>
      <c r="AX399" s="527">
        <f t="shared" ref="AX399:BY399" si="578">AX$611*$R160</f>
        <v>-1491.6315936277163</v>
      </c>
      <c r="AY399" s="527">
        <f t="shared" si="578"/>
        <v>-1491.6315936277163</v>
      </c>
      <c r="AZ399" s="527">
        <f t="shared" si="578"/>
        <v>-1491.6315936277163</v>
      </c>
      <c r="BA399" s="527">
        <f t="shared" si="578"/>
        <v>-1491.6315936277163</v>
      </c>
      <c r="BB399" s="527">
        <f t="shared" si="578"/>
        <v>-1521.4642255002707</v>
      </c>
      <c r="BC399" s="527">
        <f t="shared" si="578"/>
        <v>-1521.4642255002707</v>
      </c>
      <c r="BD399" s="527">
        <f t="shared" si="578"/>
        <v>-1521.4642255002707</v>
      </c>
      <c r="BE399" s="527">
        <f t="shared" si="578"/>
        <v>-1521.4642255002707</v>
      </c>
      <c r="BF399" s="527">
        <f t="shared" si="578"/>
        <v>-1521.4642255002707</v>
      </c>
      <c r="BG399" s="527">
        <f t="shared" si="578"/>
        <v>-1521.4642255002707</v>
      </c>
      <c r="BH399" s="527">
        <f t="shared" si="578"/>
        <v>-1521.4642255002707</v>
      </c>
      <c r="BI399" s="527">
        <f t="shared" si="578"/>
        <v>-1521.4642255002707</v>
      </c>
      <c r="BJ399" s="527">
        <f t="shared" si="578"/>
        <v>-1521.4642255002707</v>
      </c>
      <c r="BK399" s="527">
        <f t="shared" si="578"/>
        <v>-1521.4642255002707</v>
      </c>
      <c r="BL399" s="527">
        <f t="shared" si="578"/>
        <v>-1521.4642255002707</v>
      </c>
      <c r="BM399" s="527">
        <f t="shared" si="578"/>
        <v>-1521.4642255002707</v>
      </c>
      <c r="BN399" s="527">
        <f t="shared" si="578"/>
        <v>-1551.893510010276</v>
      </c>
      <c r="BO399" s="527">
        <f t="shared" si="578"/>
        <v>-1551.893510010276</v>
      </c>
      <c r="BP399" s="527">
        <f t="shared" si="578"/>
        <v>-1551.893510010276</v>
      </c>
      <c r="BQ399" s="527">
        <f t="shared" si="578"/>
        <v>-1551.893510010276</v>
      </c>
      <c r="BR399" s="527">
        <f t="shared" si="578"/>
        <v>-1551.893510010276</v>
      </c>
      <c r="BS399" s="527">
        <f t="shared" si="578"/>
        <v>-1551.893510010276</v>
      </c>
      <c r="BT399" s="527">
        <f t="shared" si="578"/>
        <v>-1551.893510010276</v>
      </c>
      <c r="BU399" s="527">
        <f t="shared" si="578"/>
        <v>-1551.893510010276</v>
      </c>
      <c r="BV399" s="527">
        <f t="shared" si="578"/>
        <v>-1551.893510010276</v>
      </c>
      <c r="BW399" s="527">
        <f t="shared" si="578"/>
        <v>-1551.893510010276</v>
      </c>
      <c r="BX399" s="527">
        <f t="shared" si="578"/>
        <v>-1551.893510010276</v>
      </c>
      <c r="BY399" s="527">
        <f t="shared" si="578"/>
        <v>-1551.893510010276</v>
      </c>
    </row>
    <row r="400" spans="1:77" x14ac:dyDescent="0.3">
      <c r="A400" s="551"/>
      <c r="B400" s="548"/>
      <c r="C400" s="525"/>
      <c r="D400" s="525"/>
      <c r="E400" s="572" t="s">
        <v>36</v>
      </c>
      <c r="F400" s="572"/>
      <c r="G400" s="572"/>
      <c r="H400" s="572"/>
      <c r="I400" s="572"/>
      <c r="J400" s="572"/>
      <c r="K400" s="572"/>
      <c r="L400" s="572"/>
      <c r="M400" s="572"/>
      <c r="N400" s="572"/>
      <c r="O400" s="572"/>
      <c r="P400" s="612"/>
      <c r="Q400" s="572"/>
      <c r="R400" s="530">
        <f t="shared" ref="R400:AW400" si="579">SUM(R394:R399)</f>
        <v>-4040.4546680000003</v>
      </c>
      <c r="S400" s="530">
        <f t="shared" si="579"/>
        <v>-4040.4546680000003</v>
      </c>
      <c r="T400" s="530">
        <f t="shared" si="579"/>
        <v>-4040.4546680000003</v>
      </c>
      <c r="U400" s="530">
        <f t="shared" si="579"/>
        <v>-4040.4546680000003</v>
      </c>
      <c r="V400" s="530">
        <f t="shared" si="579"/>
        <v>-4040.4546680000003</v>
      </c>
      <c r="W400" s="530">
        <f t="shared" si="579"/>
        <v>-4040.4546680000003</v>
      </c>
      <c r="X400" s="530">
        <f t="shared" si="579"/>
        <v>-4040.4546680000003</v>
      </c>
      <c r="Y400" s="530">
        <f t="shared" si="579"/>
        <v>-4040.4546680000003</v>
      </c>
      <c r="Z400" s="530">
        <f t="shared" si="579"/>
        <v>-4040.4546680000003</v>
      </c>
      <c r="AA400" s="530">
        <f t="shared" si="579"/>
        <v>-4040.4546680000003</v>
      </c>
      <c r="AB400" s="530">
        <f t="shared" si="579"/>
        <v>-4040.4546680000003</v>
      </c>
      <c r="AC400" s="530">
        <f t="shared" si="579"/>
        <v>-4040.4546680000003</v>
      </c>
      <c r="AD400" s="530">
        <f t="shared" si="579"/>
        <v>-4121.2637613600009</v>
      </c>
      <c r="AE400" s="530">
        <f t="shared" si="579"/>
        <v>-4121.2637613600009</v>
      </c>
      <c r="AF400" s="530">
        <f t="shared" si="579"/>
        <v>-4121.2637613600009</v>
      </c>
      <c r="AG400" s="530">
        <f t="shared" si="579"/>
        <v>-4121.2637613600009</v>
      </c>
      <c r="AH400" s="530">
        <f t="shared" si="579"/>
        <v>-4121.2637613600009</v>
      </c>
      <c r="AI400" s="530">
        <f t="shared" si="579"/>
        <v>-4121.2637613600009</v>
      </c>
      <c r="AJ400" s="530">
        <f t="shared" si="579"/>
        <v>-4121.2637613600009</v>
      </c>
      <c r="AK400" s="530">
        <f t="shared" si="579"/>
        <v>-4121.2637613600009</v>
      </c>
      <c r="AL400" s="530">
        <f t="shared" si="579"/>
        <v>-4121.2637613600009</v>
      </c>
      <c r="AM400" s="530">
        <f t="shared" si="579"/>
        <v>-4121.2637613600009</v>
      </c>
      <c r="AN400" s="530">
        <f t="shared" si="579"/>
        <v>-4121.2637613600009</v>
      </c>
      <c r="AO400" s="530">
        <f t="shared" si="579"/>
        <v>-4121.2637613600009</v>
      </c>
      <c r="AP400" s="530">
        <f t="shared" si="579"/>
        <v>-4203.6890365872005</v>
      </c>
      <c r="AQ400" s="530">
        <f t="shared" si="579"/>
        <v>-4203.6890365872005</v>
      </c>
      <c r="AR400" s="530">
        <f t="shared" si="579"/>
        <v>-4203.6890365872005</v>
      </c>
      <c r="AS400" s="530">
        <f t="shared" si="579"/>
        <v>-4203.6890365872005</v>
      </c>
      <c r="AT400" s="530">
        <f t="shared" si="579"/>
        <v>-4203.6890365872005</v>
      </c>
      <c r="AU400" s="530">
        <f t="shared" si="579"/>
        <v>-4203.6890365872005</v>
      </c>
      <c r="AV400" s="530">
        <f t="shared" si="579"/>
        <v>-4203.6890365872005</v>
      </c>
      <c r="AW400" s="530">
        <f t="shared" si="579"/>
        <v>-4203.6890365872005</v>
      </c>
      <c r="AX400" s="530">
        <f t="shared" ref="AX400:BY400" si="580">SUM(AX394:AX399)</f>
        <v>-4203.6890365872005</v>
      </c>
      <c r="AY400" s="530">
        <f t="shared" si="580"/>
        <v>-4203.6890365872005</v>
      </c>
      <c r="AZ400" s="530">
        <f t="shared" si="580"/>
        <v>-4203.6890365872005</v>
      </c>
      <c r="BA400" s="530">
        <f t="shared" si="580"/>
        <v>-4203.6890365872005</v>
      </c>
      <c r="BB400" s="530">
        <f t="shared" si="580"/>
        <v>-4287.7628173189451</v>
      </c>
      <c r="BC400" s="530">
        <f t="shared" si="580"/>
        <v>-4287.7628173189451</v>
      </c>
      <c r="BD400" s="530">
        <f t="shared" si="580"/>
        <v>-4287.7628173189451</v>
      </c>
      <c r="BE400" s="530">
        <f t="shared" si="580"/>
        <v>-4287.7628173189451</v>
      </c>
      <c r="BF400" s="530">
        <f t="shared" si="580"/>
        <v>-4287.7628173189451</v>
      </c>
      <c r="BG400" s="530">
        <f t="shared" si="580"/>
        <v>-4287.7628173189451</v>
      </c>
      <c r="BH400" s="530">
        <f t="shared" si="580"/>
        <v>-4287.7628173189451</v>
      </c>
      <c r="BI400" s="530">
        <f t="shared" si="580"/>
        <v>-4287.7628173189451</v>
      </c>
      <c r="BJ400" s="530">
        <f t="shared" si="580"/>
        <v>-4287.7628173189451</v>
      </c>
      <c r="BK400" s="530">
        <f t="shared" si="580"/>
        <v>-4287.7628173189451</v>
      </c>
      <c r="BL400" s="530">
        <f t="shared" si="580"/>
        <v>-4287.7628173189451</v>
      </c>
      <c r="BM400" s="530">
        <f t="shared" si="580"/>
        <v>-4287.7628173189451</v>
      </c>
      <c r="BN400" s="530">
        <f t="shared" si="580"/>
        <v>-4373.5180736653238</v>
      </c>
      <c r="BO400" s="530">
        <f t="shared" si="580"/>
        <v>-4373.5180736653238</v>
      </c>
      <c r="BP400" s="530">
        <f t="shared" si="580"/>
        <v>-4373.5180736653238</v>
      </c>
      <c r="BQ400" s="530">
        <f t="shared" si="580"/>
        <v>-4373.5180736653238</v>
      </c>
      <c r="BR400" s="530">
        <f t="shared" si="580"/>
        <v>-4373.5180736653238</v>
      </c>
      <c r="BS400" s="530">
        <f t="shared" si="580"/>
        <v>-4373.5180736653238</v>
      </c>
      <c r="BT400" s="530">
        <f t="shared" si="580"/>
        <v>-4373.5180736653238</v>
      </c>
      <c r="BU400" s="530">
        <f t="shared" si="580"/>
        <v>-4373.5180736653238</v>
      </c>
      <c r="BV400" s="530">
        <f t="shared" si="580"/>
        <v>-4373.5180736653238</v>
      </c>
      <c r="BW400" s="530">
        <f t="shared" si="580"/>
        <v>-4373.5180736653238</v>
      </c>
      <c r="BX400" s="530">
        <f t="shared" si="580"/>
        <v>-4373.5180736653238</v>
      </c>
      <c r="BY400" s="530">
        <f t="shared" si="580"/>
        <v>-4373.5180736653238</v>
      </c>
    </row>
    <row r="401" spans="1:77" x14ac:dyDescent="0.3">
      <c r="A401" s="551"/>
      <c r="B401" s="548"/>
      <c r="C401" s="525"/>
      <c r="D401" s="525"/>
      <c r="E401" s="525"/>
      <c r="F401" s="525"/>
      <c r="G401" s="525"/>
      <c r="H401" s="525"/>
      <c r="I401" s="525"/>
      <c r="J401" s="525"/>
      <c r="K401" s="525"/>
      <c r="L401" s="525"/>
      <c r="M401" s="525"/>
      <c r="N401" s="525"/>
      <c r="O401" s="525"/>
      <c r="P401" s="565"/>
      <c r="Q401" s="525"/>
      <c r="R401" s="525"/>
      <c r="S401" s="525"/>
      <c r="T401" s="525"/>
      <c r="U401" s="525"/>
      <c r="V401" s="525"/>
      <c r="W401" s="525"/>
      <c r="X401" s="525"/>
      <c r="Y401" s="525"/>
      <c r="Z401" s="525"/>
      <c r="AA401" s="525"/>
      <c r="AB401" s="525"/>
      <c r="AC401" s="525"/>
      <c r="AD401" s="525"/>
      <c r="AE401" s="525"/>
      <c r="AF401" s="525"/>
      <c r="AG401" s="525"/>
      <c r="AH401" s="525"/>
      <c r="AI401" s="525"/>
      <c r="AJ401" s="525"/>
      <c r="AK401" s="525"/>
      <c r="AL401" s="525"/>
      <c r="AM401" s="525"/>
      <c r="AN401" s="525"/>
      <c r="AO401" s="525"/>
      <c r="AP401" s="525"/>
      <c r="AQ401" s="525"/>
      <c r="AR401" s="525"/>
      <c r="AS401" s="525"/>
      <c r="AT401" s="525"/>
      <c r="AU401" s="525"/>
      <c r="AV401" s="525"/>
      <c r="AW401" s="525"/>
      <c r="AX401" s="525"/>
      <c r="AY401" s="525"/>
      <c r="AZ401" s="525"/>
      <c r="BA401" s="525"/>
      <c r="BB401" s="525"/>
      <c r="BC401" s="525"/>
      <c r="BD401" s="525"/>
      <c r="BE401" s="525"/>
      <c r="BF401" s="525"/>
      <c r="BG401" s="525"/>
      <c r="BH401" s="525"/>
      <c r="BI401" s="525"/>
      <c r="BJ401" s="525"/>
      <c r="BK401" s="525"/>
      <c r="BL401" s="525"/>
      <c r="BM401" s="525"/>
      <c r="BN401" s="525"/>
      <c r="BO401" s="525"/>
      <c r="BP401" s="525"/>
      <c r="BQ401" s="525"/>
      <c r="BR401" s="525"/>
      <c r="BS401" s="525"/>
      <c r="BT401" s="525"/>
      <c r="BU401" s="525"/>
      <c r="BV401" s="525"/>
      <c r="BW401" s="525"/>
      <c r="BX401" s="525"/>
      <c r="BY401" s="525"/>
    </row>
    <row r="402" spans="1:77" x14ac:dyDescent="0.3">
      <c r="A402" s="551"/>
      <c r="B402" s="548"/>
      <c r="C402" s="525"/>
      <c r="D402" s="525"/>
      <c r="E402" s="640" t="str">
        <f>"Marketing support: "&amp;E$155</f>
        <v>Marketing support: FY27 Tranche</v>
      </c>
      <c r="F402" s="525"/>
      <c r="G402" s="525"/>
      <c r="H402" s="525"/>
      <c r="I402" s="525"/>
      <c r="J402" s="525"/>
      <c r="K402" s="525"/>
      <c r="L402" s="525"/>
      <c r="M402" s="525"/>
      <c r="N402" s="525"/>
      <c r="O402" s="525"/>
      <c r="P402" s="565"/>
      <c r="Q402" s="525"/>
      <c r="R402" s="527">
        <f t="shared" ref="R402:AW402" si="581">R$612*$R155</f>
        <v>-70.936832258064527</v>
      </c>
      <c r="S402" s="527">
        <f t="shared" si="581"/>
        <v>-70.936832258064527</v>
      </c>
      <c r="T402" s="527">
        <f t="shared" si="581"/>
        <v>-70.936832258064527</v>
      </c>
      <c r="U402" s="527">
        <f t="shared" si="581"/>
        <v>-70.936832258064527</v>
      </c>
      <c r="V402" s="527">
        <f t="shared" si="581"/>
        <v>-70.936832258064527</v>
      </c>
      <c r="W402" s="527">
        <f t="shared" si="581"/>
        <v>-70.936832258064527</v>
      </c>
      <c r="X402" s="527">
        <f t="shared" si="581"/>
        <v>-70.936832258064527</v>
      </c>
      <c r="Y402" s="527">
        <f t="shared" si="581"/>
        <v>-70.936832258064527</v>
      </c>
      <c r="Z402" s="527">
        <f t="shared" si="581"/>
        <v>-70.936832258064527</v>
      </c>
      <c r="AA402" s="527">
        <f t="shared" si="581"/>
        <v>-70.936832258064527</v>
      </c>
      <c r="AB402" s="527">
        <f t="shared" si="581"/>
        <v>-70.936832258064527</v>
      </c>
      <c r="AC402" s="527">
        <f t="shared" si="581"/>
        <v>-70.936832258064527</v>
      </c>
      <c r="AD402" s="527">
        <f t="shared" si="581"/>
        <v>-72.35556890322583</v>
      </c>
      <c r="AE402" s="527">
        <f t="shared" si="581"/>
        <v>-72.35556890322583</v>
      </c>
      <c r="AF402" s="527">
        <f t="shared" si="581"/>
        <v>-72.35556890322583</v>
      </c>
      <c r="AG402" s="527">
        <f t="shared" si="581"/>
        <v>-72.35556890322583</v>
      </c>
      <c r="AH402" s="527">
        <f t="shared" si="581"/>
        <v>-72.35556890322583</v>
      </c>
      <c r="AI402" s="527">
        <f t="shared" si="581"/>
        <v>-72.35556890322583</v>
      </c>
      <c r="AJ402" s="527">
        <f t="shared" si="581"/>
        <v>-72.35556890322583</v>
      </c>
      <c r="AK402" s="527">
        <f t="shared" si="581"/>
        <v>-72.35556890322583</v>
      </c>
      <c r="AL402" s="527">
        <f t="shared" si="581"/>
        <v>-72.35556890322583</v>
      </c>
      <c r="AM402" s="527">
        <f t="shared" si="581"/>
        <v>-72.35556890322583</v>
      </c>
      <c r="AN402" s="527">
        <f t="shared" si="581"/>
        <v>-72.35556890322583</v>
      </c>
      <c r="AO402" s="527">
        <f t="shared" si="581"/>
        <v>-72.35556890322583</v>
      </c>
      <c r="AP402" s="527">
        <f t="shared" si="581"/>
        <v>-73.802680281290336</v>
      </c>
      <c r="AQ402" s="527">
        <f t="shared" si="581"/>
        <v>-73.802680281290336</v>
      </c>
      <c r="AR402" s="527">
        <f t="shared" si="581"/>
        <v>-73.802680281290336</v>
      </c>
      <c r="AS402" s="527">
        <f t="shared" si="581"/>
        <v>-73.802680281290336</v>
      </c>
      <c r="AT402" s="527">
        <f t="shared" si="581"/>
        <v>-73.802680281290336</v>
      </c>
      <c r="AU402" s="527">
        <f t="shared" si="581"/>
        <v>-73.802680281290336</v>
      </c>
      <c r="AV402" s="527">
        <f t="shared" si="581"/>
        <v>-73.802680281290336</v>
      </c>
      <c r="AW402" s="527">
        <f t="shared" si="581"/>
        <v>-73.802680281290336</v>
      </c>
      <c r="AX402" s="527">
        <f t="shared" ref="AX402:BY402" si="582">AX$612*$R155</f>
        <v>-73.802680281290336</v>
      </c>
      <c r="AY402" s="527">
        <f t="shared" si="582"/>
        <v>-73.802680281290336</v>
      </c>
      <c r="AZ402" s="527">
        <f t="shared" si="582"/>
        <v>-73.802680281290336</v>
      </c>
      <c r="BA402" s="527">
        <f t="shared" si="582"/>
        <v>-73.802680281290336</v>
      </c>
      <c r="BB402" s="527">
        <f t="shared" si="582"/>
        <v>-75.278733886916157</v>
      </c>
      <c r="BC402" s="527">
        <f t="shared" si="582"/>
        <v>-75.278733886916157</v>
      </c>
      <c r="BD402" s="527">
        <f t="shared" si="582"/>
        <v>-75.278733886916157</v>
      </c>
      <c r="BE402" s="527">
        <f t="shared" si="582"/>
        <v>-75.278733886916157</v>
      </c>
      <c r="BF402" s="527">
        <f t="shared" si="582"/>
        <v>-75.278733886916157</v>
      </c>
      <c r="BG402" s="527">
        <f t="shared" si="582"/>
        <v>-75.278733886916157</v>
      </c>
      <c r="BH402" s="527">
        <f t="shared" si="582"/>
        <v>-75.278733886916157</v>
      </c>
      <c r="BI402" s="527">
        <f t="shared" si="582"/>
        <v>-75.278733886916157</v>
      </c>
      <c r="BJ402" s="527">
        <f t="shared" si="582"/>
        <v>-75.278733886916157</v>
      </c>
      <c r="BK402" s="527">
        <f t="shared" si="582"/>
        <v>-75.278733886916157</v>
      </c>
      <c r="BL402" s="527">
        <f t="shared" si="582"/>
        <v>-75.278733886916157</v>
      </c>
      <c r="BM402" s="527">
        <f t="shared" si="582"/>
        <v>-75.278733886916157</v>
      </c>
      <c r="BN402" s="527">
        <f t="shared" si="582"/>
        <v>-76.784308564654481</v>
      </c>
      <c r="BO402" s="527">
        <f t="shared" si="582"/>
        <v>-76.784308564654481</v>
      </c>
      <c r="BP402" s="527">
        <f t="shared" si="582"/>
        <v>-76.784308564654481</v>
      </c>
      <c r="BQ402" s="527">
        <f t="shared" si="582"/>
        <v>-76.784308564654481</v>
      </c>
      <c r="BR402" s="527">
        <f t="shared" si="582"/>
        <v>-76.784308564654481</v>
      </c>
      <c r="BS402" s="527">
        <f t="shared" si="582"/>
        <v>-76.784308564654481</v>
      </c>
      <c r="BT402" s="527">
        <f t="shared" si="582"/>
        <v>-76.784308564654481</v>
      </c>
      <c r="BU402" s="527">
        <f t="shared" si="582"/>
        <v>-76.784308564654481</v>
      </c>
      <c r="BV402" s="527">
        <f t="shared" si="582"/>
        <v>-76.784308564654481</v>
      </c>
      <c r="BW402" s="527">
        <f t="shared" si="582"/>
        <v>-76.784308564654481</v>
      </c>
      <c r="BX402" s="527">
        <f t="shared" si="582"/>
        <v>-76.784308564654481</v>
      </c>
      <c r="BY402" s="527">
        <f t="shared" si="582"/>
        <v>-76.784308564654481</v>
      </c>
    </row>
    <row r="403" spans="1:77" x14ac:dyDescent="0.3">
      <c r="A403" s="551"/>
      <c r="B403" s="548"/>
      <c r="C403" s="525"/>
      <c r="D403" s="525"/>
      <c r="E403" s="640" t="str">
        <f>"Marketing support: "&amp;E$156</f>
        <v>Marketing support: FY28 Tranche</v>
      </c>
      <c r="F403" s="525"/>
      <c r="G403" s="525"/>
      <c r="H403" s="525"/>
      <c r="I403" s="525"/>
      <c r="J403" s="525"/>
      <c r="K403" s="525"/>
      <c r="L403" s="525"/>
      <c r="M403" s="525"/>
      <c r="N403" s="525"/>
      <c r="O403" s="525"/>
      <c r="P403" s="565"/>
      <c r="Q403" s="525"/>
      <c r="R403" s="527">
        <f t="shared" ref="R403:AW403" si="583">R$612*$R156</f>
        <v>-70.936832258064527</v>
      </c>
      <c r="S403" s="527">
        <f t="shared" si="583"/>
        <v>-70.936832258064527</v>
      </c>
      <c r="T403" s="527">
        <f t="shared" si="583"/>
        <v>-70.936832258064527</v>
      </c>
      <c r="U403" s="527">
        <f t="shared" si="583"/>
        <v>-70.936832258064527</v>
      </c>
      <c r="V403" s="527">
        <f t="shared" si="583"/>
        <v>-70.936832258064527</v>
      </c>
      <c r="W403" s="527">
        <f t="shared" si="583"/>
        <v>-70.936832258064527</v>
      </c>
      <c r="X403" s="527">
        <f t="shared" si="583"/>
        <v>-70.936832258064527</v>
      </c>
      <c r="Y403" s="527">
        <f t="shared" si="583"/>
        <v>-70.936832258064527</v>
      </c>
      <c r="Z403" s="527">
        <f t="shared" si="583"/>
        <v>-70.936832258064527</v>
      </c>
      <c r="AA403" s="527">
        <f t="shared" si="583"/>
        <v>-70.936832258064527</v>
      </c>
      <c r="AB403" s="527">
        <f t="shared" si="583"/>
        <v>-70.936832258064527</v>
      </c>
      <c r="AC403" s="527">
        <f t="shared" si="583"/>
        <v>-70.936832258064527</v>
      </c>
      <c r="AD403" s="527">
        <f t="shared" si="583"/>
        <v>-72.35556890322583</v>
      </c>
      <c r="AE403" s="527">
        <f t="shared" si="583"/>
        <v>-72.35556890322583</v>
      </c>
      <c r="AF403" s="527">
        <f t="shared" si="583"/>
        <v>-72.35556890322583</v>
      </c>
      <c r="AG403" s="527">
        <f t="shared" si="583"/>
        <v>-72.35556890322583</v>
      </c>
      <c r="AH403" s="527">
        <f t="shared" si="583"/>
        <v>-72.35556890322583</v>
      </c>
      <c r="AI403" s="527">
        <f t="shared" si="583"/>
        <v>-72.35556890322583</v>
      </c>
      <c r="AJ403" s="527">
        <f t="shared" si="583"/>
        <v>-72.35556890322583</v>
      </c>
      <c r="AK403" s="527">
        <f t="shared" si="583"/>
        <v>-72.35556890322583</v>
      </c>
      <c r="AL403" s="527">
        <f t="shared" si="583"/>
        <v>-72.35556890322583</v>
      </c>
      <c r="AM403" s="527">
        <f t="shared" si="583"/>
        <v>-72.35556890322583</v>
      </c>
      <c r="AN403" s="527">
        <f t="shared" si="583"/>
        <v>-72.35556890322583</v>
      </c>
      <c r="AO403" s="527">
        <f t="shared" si="583"/>
        <v>-72.35556890322583</v>
      </c>
      <c r="AP403" s="527">
        <f t="shared" si="583"/>
        <v>-73.802680281290336</v>
      </c>
      <c r="AQ403" s="527">
        <f t="shared" si="583"/>
        <v>-73.802680281290336</v>
      </c>
      <c r="AR403" s="527">
        <f t="shared" si="583"/>
        <v>-73.802680281290336</v>
      </c>
      <c r="AS403" s="527">
        <f t="shared" si="583"/>
        <v>-73.802680281290336</v>
      </c>
      <c r="AT403" s="527">
        <f t="shared" si="583"/>
        <v>-73.802680281290336</v>
      </c>
      <c r="AU403" s="527">
        <f t="shared" si="583"/>
        <v>-73.802680281290336</v>
      </c>
      <c r="AV403" s="527">
        <f t="shared" si="583"/>
        <v>-73.802680281290336</v>
      </c>
      <c r="AW403" s="527">
        <f t="shared" si="583"/>
        <v>-73.802680281290336</v>
      </c>
      <c r="AX403" s="527">
        <f t="shared" ref="AX403:BY403" si="584">AX$612*$R156</f>
        <v>-73.802680281290336</v>
      </c>
      <c r="AY403" s="527">
        <f t="shared" si="584"/>
        <v>-73.802680281290336</v>
      </c>
      <c r="AZ403" s="527">
        <f t="shared" si="584"/>
        <v>-73.802680281290336</v>
      </c>
      <c r="BA403" s="527">
        <f t="shared" si="584"/>
        <v>-73.802680281290336</v>
      </c>
      <c r="BB403" s="527">
        <f t="shared" si="584"/>
        <v>-75.278733886916157</v>
      </c>
      <c r="BC403" s="527">
        <f t="shared" si="584"/>
        <v>-75.278733886916157</v>
      </c>
      <c r="BD403" s="527">
        <f t="shared" si="584"/>
        <v>-75.278733886916157</v>
      </c>
      <c r="BE403" s="527">
        <f t="shared" si="584"/>
        <v>-75.278733886916157</v>
      </c>
      <c r="BF403" s="527">
        <f t="shared" si="584"/>
        <v>-75.278733886916157</v>
      </c>
      <c r="BG403" s="527">
        <f t="shared" si="584"/>
        <v>-75.278733886916157</v>
      </c>
      <c r="BH403" s="527">
        <f t="shared" si="584"/>
        <v>-75.278733886916157</v>
      </c>
      <c r="BI403" s="527">
        <f t="shared" si="584"/>
        <v>-75.278733886916157</v>
      </c>
      <c r="BJ403" s="527">
        <f t="shared" si="584"/>
        <v>-75.278733886916157</v>
      </c>
      <c r="BK403" s="527">
        <f t="shared" si="584"/>
        <v>-75.278733886916157</v>
      </c>
      <c r="BL403" s="527">
        <f t="shared" si="584"/>
        <v>-75.278733886916157</v>
      </c>
      <c r="BM403" s="527">
        <f t="shared" si="584"/>
        <v>-75.278733886916157</v>
      </c>
      <c r="BN403" s="527">
        <f t="shared" si="584"/>
        <v>-76.784308564654481</v>
      </c>
      <c r="BO403" s="527">
        <f t="shared" si="584"/>
        <v>-76.784308564654481</v>
      </c>
      <c r="BP403" s="527">
        <f t="shared" si="584"/>
        <v>-76.784308564654481</v>
      </c>
      <c r="BQ403" s="527">
        <f t="shared" si="584"/>
        <v>-76.784308564654481</v>
      </c>
      <c r="BR403" s="527">
        <f t="shared" si="584"/>
        <v>-76.784308564654481</v>
      </c>
      <c r="BS403" s="527">
        <f t="shared" si="584"/>
        <v>-76.784308564654481</v>
      </c>
      <c r="BT403" s="527">
        <f t="shared" si="584"/>
        <v>-76.784308564654481</v>
      </c>
      <c r="BU403" s="527">
        <f t="shared" si="584"/>
        <v>-76.784308564654481</v>
      </c>
      <c r="BV403" s="527">
        <f t="shared" si="584"/>
        <v>-76.784308564654481</v>
      </c>
      <c r="BW403" s="527">
        <f t="shared" si="584"/>
        <v>-76.784308564654481</v>
      </c>
      <c r="BX403" s="527">
        <f t="shared" si="584"/>
        <v>-76.784308564654481</v>
      </c>
      <c r="BY403" s="527">
        <f t="shared" si="584"/>
        <v>-76.784308564654481</v>
      </c>
    </row>
    <row r="404" spans="1:77" x14ac:dyDescent="0.3">
      <c r="A404" s="551"/>
      <c r="B404" s="548"/>
      <c r="C404" s="525"/>
      <c r="D404" s="525"/>
      <c r="E404" s="640" t="str">
        <f>"Marketing support: "&amp;E$157</f>
        <v>Marketing support: FY29 Tranche</v>
      </c>
      <c r="F404" s="525"/>
      <c r="G404" s="525"/>
      <c r="H404" s="525"/>
      <c r="I404" s="525"/>
      <c r="J404" s="525"/>
      <c r="K404" s="525"/>
      <c r="L404" s="525"/>
      <c r="M404" s="525"/>
      <c r="N404" s="525"/>
      <c r="O404" s="525"/>
      <c r="P404" s="565"/>
      <c r="Q404" s="525"/>
      <c r="R404" s="527">
        <f t="shared" ref="R404:AW404" si="585">R$612*$R157</f>
        <v>-70.936832258064527</v>
      </c>
      <c r="S404" s="527">
        <f t="shared" si="585"/>
        <v>-70.936832258064527</v>
      </c>
      <c r="T404" s="527">
        <f t="shared" si="585"/>
        <v>-70.936832258064527</v>
      </c>
      <c r="U404" s="527">
        <f t="shared" si="585"/>
        <v>-70.936832258064527</v>
      </c>
      <c r="V404" s="527">
        <f t="shared" si="585"/>
        <v>-70.936832258064527</v>
      </c>
      <c r="W404" s="527">
        <f t="shared" si="585"/>
        <v>-70.936832258064527</v>
      </c>
      <c r="X404" s="527">
        <f t="shared" si="585"/>
        <v>-70.936832258064527</v>
      </c>
      <c r="Y404" s="527">
        <f t="shared" si="585"/>
        <v>-70.936832258064527</v>
      </c>
      <c r="Z404" s="527">
        <f t="shared" si="585"/>
        <v>-70.936832258064527</v>
      </c>
      <c r="AA404" s="527">
        <f t="shared" si="585"/>
        <v>-70.936832258064527</v>
      </c>
      <c r="AB404" s="527">
        <f t="shared" si="585"/>
        <v>-70.936832258064527</v>
      </c>
      <c r="AC404" s="527">
        <f t="shared" si="585"/>
        <v>-70.936832258064527</v>
      </c>
      <c r="AD404" s="527">
        <f t="shared" si="585"/>
        <v>-72.35556890322583</v>
      </c>
      <c r="AE404" s="527">
        <f t="shared" si="585"/>
        <v>-72.35556890322583</v>
      </c>
      <c r="AF404" s="527">
        <f t="shared" si="585"/>
        <v>-72.35556890322583</v>
      </c>
      <c r="AG404" s="527">
        <f t="shared" si="585"/>
        <v>-72.35556890322583</v>
      </c>
      <c r="AH404" s="527">
        <f t="shared" si="585"/>
        <v>-72.35556890322583</v>
      </c>
      <c r="AI404" s="527">
        <f t="shared" si="585"/>
        <v>-72.35556890322583</v>
      </c>
      <c r="AJ404" s="527">
        <f t="shared" si="585"/>
        <v>-72.35556890322583</v>
      </c>
      <c r="AK404" s="527">
        <f t="shared" si="585"/>
        <v>-72.35556890322583</v>
      </c>
      <c r="AL404" s="527">
        <f t="shared" si="585"/>
        <v>-72.35556890322583</v>
      </c>
      <c r="AM404" s="527">
        <f t="shared" si="585"/>
        <v>-72.35556890322583</v>
      </c>
      <c r="AN404" s="527">
        <f t="shared" si="585"/>
        <v>-72.35556890322583</v>
      </c>
      <c r="AO404" s="527">
        <f t="shared" si="585"/>
        <v>-72.35556890322583</v>
      </c>
      <c r="AP404" s="527">
        <f t="shared" si="585"/>
        <v>-73.802680281290336</v>
      </c>
      <c r="AQ404" s="527">
        <f t="shared" si="585"/>
        <v>-73.802680281290336</v>
      </c>
      <c r="AR404" s="527">
        <f t="shared" si="585"/>
        <v>-73.802680281290336</v>
      </c>
      <c r="AS404" s="527">
        <f t="shared" si="585"/>
        <v>-73.802680281290336</v>
      </c>
      <c r="AT404" s="527">
        <f t="shared" si="585"/>
        <v>-73.802680281290336</v>
      </c>
      <c r="AU404" s="527">
        <f t="shared" si="585"/>
        <v>-73.802680281290336</v>
      </c>
      <c r="AV404" s="527">
        <f t="shared" si="585"/>
        <v>-73.802680281290336</v>
      </c>
      <c r="AW404" s="527">
        <f t="shared" si="585"/>
        <v>-73.802680281290336</v>
      </c>
      <c r="AX404" s="527">
        <f t="shared" ref="AX404:BY404" si="586">AX$612*$R157</f>
        <v>-73.802680281290336</v>
      </c>
      <c r="AY404" s="527">
        <f t="shared" si="586"/>
        <v>-73.802680281290336</v>
      </c>
      <c r="AZ404" s="527">
        <f t="shared" si="586"/>
        <v>-73.802680281290336</v>
      </c>
      <c r="BA404" s="527">
        <f t="shared" si="586"/>
        <v>-73.802680281290336</v>
      </c>
      <c r="BB404" s="527">
        <f t="shared" si="586"/>
        <v>-75.278733886916157</v>
      </c>
      <c r="BC404" s="527">
        <f t="shared" si="586"/>
        <v>-75.278733886916157</v>
      </c>
      <c r="BD404" s="527">
        <f t="shared" si="586"/>
        <v>-75.278733886916157</v>
      </c>
      <c r="BE404" s="527">
        <f t="shared" si="586"/>
        <v>-75.278733886916157</v>
      </c>
      <c r="BF404" s="527">
        <f t="shared" si="586"/>
        <v>-75.278733886916157</v>
      </c>
      <c r="BG404" s="527">
        <f t="shared" si="586"/>
        <v>-75.278733886916157</v>
      </c>
      <c r="BH404" s="527">
        <f t="shared" si="586"/>
        <v>-75.278733886916157</v>
      </c>
      <c r="BI404" s="527">
        <f t="shared" si="586"/>
        <v>-75.278733886916157</v>
      </c>
      <c r="BJ404" s="527">
        <f t="shared" si="586"/>
        <v>-75.278733886916157</v>
      </c>
      <c r="BK404" s="527">
        <f t="shared" si="586"/>
        <v>-75.278733886916157</v>
      </c>
      <c r="BL404" s="527">
        <f t="shared" si="586"/>
        <v>-75.278733886916157</v>
      </c>
      <c r="BM404" s="527">
        <f t="shared" si="586"/>
        <v>-75.278733886916157</v>
      </c>
      <c r="BN404" s="527">
        <f t="shared" si="586"/>
        <v>-76.784308564654481</v>
      </c>
      <c r="BO404" s="527">
        <f t="shared" si="586"/>
        <v>-76.784308564654481</v>
      </c>
      <c r="BP404" s="527">
        <f t="shared" si="586"/>
        <v>-76.784308564654481</v>
      </c>
      <c r="BQ404" s="527">
        <f t="shared" si="586"/>
        <v>-76.784308564654481</v>
      </c>
      <c r="BR404" s="527">
        <f t="shared" si="586"/>
        <v>-76.784308564654481</v>
      </c>
      <c r="BS404" s="527">
        <f t="shared" si="586"/>
        <v>-76.784308564654481</v>
      </c>
      <c r="BT404" s="527">
        <f t="shared" si="586"/>
        <v>-76.784308564654481</v>
      </c>
      <c r="BU404" s="527">
        <f t="shared" si="586"/>
        <v>-76.784308564654481</v>
      </c>
      <c r="BV404" s="527">
        <f t="shared" si="586"/>
        <v>-76.784308564654481</v>
      </c>
      <c r="BW404" s="527">
        <f t="shared" si="586"/>
        <v>-76.784308564654481</v>
      </c>
      <c r="BX404" s="527">
        <f t="shared" si="586"/>
        <v>-76.784308564654481</v>
      </c>
      <c r="BY404" s="527">
        <f t="shared" si="586"/>
        <v>-76.784308564654481</v>
      </c>
    </row>
    <row r="405" spans="1:77" x14ac:dyDescent="0.3">
      <c r="A405" s="551"/>
      <c r="B405" s="548"/>
      <c r="C405" s="525"/>
      <c r="D405" s="525"/>
      <c r="E405" s="640" t="str">
        <f>"Marketing support: "&amp;E$158</f>
        <v>Marketing support: FY30 Tranche</v>
      </c>
      <c r="F405" s="525"/>
      <c r="G405" s="525"/>
      <c r="H405" s="525"/>
      <c r="I405" s="525"/>
      <c r="J405" s="525"/>
      <c r="K405" s="525"/>
      <c r="L405" s="525"/>
      <c r="M405" s="525"/>
      <c r="N405" s="525"/>
      <c r="O405" s="525"/>
      <c r="P405" s="565"/>
      <c r="Q405" s="525"/>
      <c r="R405" s="527">
        <f t="shared" ref="R405:AW405" si="587">R$612*$R158</f>
        <v>-70.936832258064527</v>
      </c>
      <c r="S405" s="527">
        <f t="shared" si="587"/>
        <v>-70.936832258064527</v>
      </c>
      <c r="T405" s="527">
        <f t="shared" si="587"/>
        <v>-70.936832258064527</v>
      </c>
      <c r="U405" s="527">
        <f t="shared" si="587"/>
        <v>-70.936832258064527</v>
      </c>
      <c r="V405" s="527">
        <f t="shared" si="587"/>
        <v>-70.936832258064527</v>
      </c>
      <c r="W405" s="527">
        <f t="shared" si="587"/>
        <v>-70.936832258064527</v>
      </c>
      <c r="X405" s="527">
        <f t="shared" si="587"/>
        <v>-70.936832258064527</v>
      </c>
      <c r="Y405" s="527">
        <f t="shared" si="587"/>
        <v>-70.936832258064527</v>
      </c>
      <c r="Z405" s="527">
        <f t="shared" si="587"/>
        <v>-70.936832258064527</v>
      </c>
      <c r="AA405" s="527">
        <f t="shared" si="587"/>
        <v>-70.936832258064527</v>
      </c>
      <c r="AB405" s="527">
        <f t="shared" si="587"/>
        <v>-70.936832258064527</v>
      </c>
      <c r="AC405" s="527">
        <f t="shared" si="587"/>
        <v>-70.936832258064527</v>
      </c>
      <c r="AD405" s="527">
        <f t="shared" si="587"/>
        <v>-72.35556890322583</v>
      </c>
      <c r="AE405" s="527">
        <f t="shared" si="587"/>
        <v>-72.35556890322583</v>
      </c>
      <c r="AF405" s="527">
        <f t="shared" si="587"/>
        <v>-72.35556890322583</v>
      </c>
      <c r="AG405" s="527">
        <f t="shared" si="587"/>
        <v>-72.35556890322583</v>
      </c>
      <c r="AH405" s="527">
        <f t="shared" si="587"/>
        <v>-72.35556890322583</v>
      </c>
      <c r="AI405" s="527">
        <f t="shared" si="587"/>
        <v>-72.35556890322583</v>
      </c>
      <c r="AJ405" s="527">
        <f t="shared" si="587"/>
        <v>-72.35556890322583</v>
      </c>
      <c r="AK405" s="527">
        <f t="shared" si="587"/>
        <v>-72.35556890322583</v>
      </c>
      <c r="AL405" s="527">
        <f t="shared" si="587"/>
        <v>-72.35556890322583</v>
      </c>
      <c r="AM405" s="527">
        <f t="shared" si="587"/>
        <v>-72.35556890322583</v>
      </c>
      <c r="AN405" s="527">
        <f t="shared" si="587"/>
        <v>-72.35556890322583</v>
      </c>
      <c r="AO405" s="527">
        <f t="shared" si="587"/>
        <v>-72.35556890322583</v>
      </c>
      <c r="AP405" s="527">
        <f t="shared" si="587"/>
        <v>-73.802680281290336</v>
      </c>
      <c r="AQ405" s="527">
        <f t="shared" si="587"/>
        <v>-73.802680281290336</v>
      </c>
      <c r="AR405" s="527">
        <f t="shared" si="587"/>
        <v>-73.802680281290336</v>
      </c>
      <c r="AS405" s="527">
        <f t="shared" si="587"/>
        <v>-73.802680281290336</v>
      </c>
      <c r="AT405" s="527">
        <f t="shared" si="587"/>
        <v>-73.802680281290336</v>
      </c>
      <c r="AU405" s="527">
        <f t="shared" si="587"/>
        <v>-73.802680281290336</v>
      </c>
      <c r="AV405" s="527">
        <f t="shared" si="587"/>
        <v>-73.802680281290336</v>
      </c>
      <c r="AW405" s="527">
        <f t="shared" si="587"/>
        <v>-73.802680281290336</v>
      </c>
      <c r="AX405" s="527">
        <f t="shared" ref="AX405:BY405" si="588">AX$612*$R158</f>
        <v>-73.802680281290336</v>
      </c>
      <c r="AY405" s="527">
        <f t="shared" si="588"/>
        <v>-73.802680281290336</v>
      </c>
      <c r="AZ405" s="527">
        <f t="shared" si="588"/>
        <v>-73.802680281290336</v>
      </c>
      <c r="BA405" s="527">
        <f t="shared" si="588"/>
        <v>-73.802680281290336</v>
      </c>
      <c r="BB405" s="527">
        <f t="shared" si="588"/>
        <v>-75.278733886916157</v>
      </c>
      <c r="BC405" s="527">
        <f t="shared" si="588"/>
        <v>-75.278733886916157</v>
      </c>
      <c r="BD405" s="527">
        <f t="shared" si="588"/>
        <v>-75.278733886916157</v>
      </c>
      <c r="BE405" s="527">
        <f t="shared" si="588"/>
        <v>-75.278733886916157</v>
      </c>
      <c r="BF405" s="527">
        <f t="shared" si="588"/>
        <v>-75.278733886916157</v>
      </c>
      <c r="BG405" s="527">
        <f t="shared" si="588"/>
        <v>-75.278733886916157</v>
      </c>
      <c r="BH405" s="527">
        <f t="shared" si="588"/>
        <v>-75.278733886916157</v>
      </c>
      <c r="BI405" s="527">
        <f t="shared" si="588"/>
        <v>-75.278733886916157</v>
      </c>
      <c r="BJ405" s="527">
        <f t="shared" si="588"/>
        <v>-75.278733886916157</v>
      </c>
      <c r="BK405" s="527">
        <f t="shared" si="588"/>
        <v>-75.278733886916157</v>
      </c>
      <c r="BL405" s="527">
        <f t="shared" si="588"/>
        <v>-75.278733886916157</v>
      </c>
      <c r="BM405" s="527">
        <f t="shared" si="588"/>
        <v>-75.278733886916157</v>
      </c>
      <c r="BN405" s="527">
        <f t="shared" si="588"/>
        <v>-76.784308564654481</v>
      </c>
      <c r="BO405" s="527">
        <f t="shared" si="588"/>
        <v>-76.784308564654481</v>
      </c>
      <c r="BP405" s="527">
        <f t="shared" si="588"/>
        <v>-76.784308564654481</v>
      </c>
      <c r="BQ405" s="527">
        <f t="shared" si="588"/>
        <v>-76.784308564654481</v>
      </c>
      <c r="BR405" s="527">
        <f t="shared" si="588"/>
        <v>-76.784308564654481</v>
      </c>
      <c r="BS405" s="527">
        <f t="shared" si="588"/>
        <v>-76.784308564654481</v>
      </c>
      <c r="BT405" s="527">
        <f t="shared" si="588"/>
        <v>-76.784308564654481</v>
      </c>
      <c r="BU405" s="527">
        <f t="shared" si="588"/>
        <v>-76.784308564654481</v>
      </c>
      <c r="BV405" s="527">
        <f t="shared" si="588"/>
        <v>-76.784308564654481</v>
      </c>
      <c r="BW405" s="527">
        <f t="shared" si="588"/>
        <v>-76.784308564654481</v>
      </c>
      <c r="BX405" s="527">
        <f t="shared" si="588"/>
        <v>-76.784308564654481</v>
      </c>
      <c r="BY405" s="527">
        <f t="shared" si="588"/>
        <v>-76.784308564654481</v>
      </c>
    </row>
    <row r="406" spans="1:77" x14ac:dyDescent="0.3">
      <c r="A406" s="551"/>
      <c r="B406" s="548"/>
      <c r="C406" s="525"/>
      <c r="D406" s="525"/>
      <c r="E406" s="640" t="str">
        <f>"Marketing support: "&amp;E$159</f>
        <v>Marketing support: FY31 Tranche</v>
      </c>
      <c r="F406" s="525"/>
      <c r="G406" s="525"/>
      <c r="H406" s="525"/>
      <c r="I406" s="525"/>
      <c r="J406" s="525"/>
      <c r="K406" s="525"/>
      <c r="L406" s="525"/>
      <c r="M406" s="525"/>
      <c r="N406" s="525"/>
      <c r="O406" s="525"/>
      <c r="P406" s="565"/>
      <c r="Q406" s="525"/>
      <c r="R406" s="527">
        <f t="shared" ref="R406:AW406" si="589">R$612*$R159</f>
        <v>-70.936832258064527</v>
      </c>
      <c r="S406" s="527">
        <f t="shared" si="589"/>
        <v>-70.936832258064527</v>
      </c>
      <c r="T406" s="527">
        <f t="shared" si="589"/>
        <v>-70.936832258064527</v>
      </c>
      <c r="U406" s="527">
        <f t="shared" si="589"/>
        <v>-70.936832258064527</v>
      </c>
      <c r="V406" s="527">
        <f t="shared" si="589"/>
        <v>-70.936832258064527</v>
      </c>
      <c r="W406" s="527">
        <f t="shared" si="589"/>
        <v>-70.936832258064527</v>
      </c>
      <c r="X406" s="527">
        <f t="shared" si="589"/>
        <v>-70.936832258064527</v>
      </c>
      <c r="Y406" s="527">
        <f t="shared" si="589"/>
        <v>-70.936832258064527</v>
      </c>
      <c r="Z406" s="527">
        <f t="shared" si="589"/>
        <v>-70.936832258064527</v>
      </c>
      <c r="AA406" s="527">
        <f t="shared" si="589"/>
        <v>-70.936832258064527</v>
      </c>
      <c r="AB406" s="527">
        <f t="shared" si="589"/>
        <v>-70.936832258064527</v>
      </c>
      <c r="AC406" s="527">
        <f t="shared" si="589"/>
        <v>-70.936832258064527</v>
      </c>
      <c r="AD406" s="527">
        <f t="shared" si="589"/>
        <v>-72.35556890322583</v>
      </c>
      <c r="AE406" s="527">
        <f t="shared" si="589"/>
        <v>-72.35556890322583</v>
      </c>
      <c r="AF406" s="527">
        <f t="shared" si="589"/>
        <v>-72.35556890322583</v>
      </c>
      <c r="AG406" s="527">
        <f t="shared" si="589"/>
        <v>-72.35556890322583</v>
      </c>
      <c r="AH406" s="527">
        <f t="shared" si="589"/>
        <v>-72.35556890322583</v>
      </c>
      <c r="AI406" s="527">
        <f t="shared" si="589"/>
        <v>-72.35556890322583</v>
      </c>
      <c r="AJ406" s="527">
        <f t="shared" si="589"/>
        <v>-72.35556890322583</v>
      </c>
      <c r="AK406" s="527">
        <f t="shared" si="589"/>
        <v>-72.35556890322583</v>
      </c>
      <c r="AL406" s="527">
        <f t="shared" si="589"/>
        <v>-72.35556890322583</v>
      </c>
      <c r="AM406" s="527">
        <f t="shared" si="589"/>
        <v>-72.35556890322583</v>
      </c>
      <c r="AN406" s="527">
        <f t="shared" si="589"/>
        <v>-72.35556890322583</v>
      </c>
      <c r="AO406" s="527">
        <f t="shared" si="589"/>
        <v>-72.35556890322583</v>
      </c>
      <c r="AP406" s="527">
        <f t="shared" si="589"/>
        <v>-73.802680281290336</v>
      </c>
      <c r="AQ406" s="527">
        <f t="shared" si="589"/>
        <v>-73.802680281290336</v>
      </c>
      <c r="AR406" s="527">
        <f t="shared" si="589"/>
        <v>-73.802680281290336</v>
      </c>
      <c r="AS406" s="527">
        <f t="shared" si="589"/>
        <v>-73.802680281290336</v>
      </c>
      <c r="AT406" s="527">
        <f t="shared" si="589"/>
        <v>-73.802680281290336</v>
      </c>
      <c r="AU406" s="527">
        <f t="shared" si="589"/>
        <v>-73.802680281290336</v>
      </c>
      <c r="AV406" s="527">
        <f t="shared" si="589"/>
        <v>-73.802680281290336</v>
      </c>
      <c r="AW406" s="527">
        <f t="shared" si="589"/>
        <v>-73.802680281290336</v>
      </c>
      <c r="AX406" s="527">
        <f t="shared" ref="AX406:BY406" si="590">AX$612*$R159</f>
        <v>-73.802680281290336</v>
      </c>
      <c r="AY406" s="527">
        <f t="shared" si="590"/>
        <v>-73.802680281290336</v>
      </c>
      <c r="AZ406" s="527">
        <f t="shared" si="590"/>
        <v>-73.802680281290336</v>
      </c>
      <c r="BA406" s="527">
        <f t="shared" si="590"/>
        <v>-73.802680281290336</v>
      </c>
      <c r="BB406" s="527">
        <f t="shared" si="590"/>
        <v>-75.278733886916157</v>
      </c>
      <c r="BC406" s="527">
        <f t="shared" si="590"/>
        <v>-75.278733886916157</v>
      </c>
      <c r="BD406" s="527">
        <f t="shared" si="590"/>
        <v>-75.278733886916157</v>
      </c>
      <c r="BE406" s="527">
        <f t="shared" si="590"/>
        <v>-75.278733886916157</v>
      </c>
      <c r="BF406" s="527">
        <f t="shared" si="590"/>
        <v>-75.278733886916157</v>
      </c>
      <c r="BG406" s="527">
        <f t="shared" si="590"/>
        <v>-75.278733886916157</v>
      </c>
      <c r="BH406" s="527">
        <f t="shared" si="590"/>
        <v>-75.278733886916157</v>
      </c>
      <c r="BI406" s="527">
        <f t="shared" si="590"/>
        <v>-75.278733886916157</v>
      </c>
      <c r="BJ406" s="527">
        <f t="shared" si="590"/>
        <v>-75.278733886916157</v>
      </c>
      <c r="BK406" s="527">
        <f t="shared" si="590"/>
        <v>-75.278733886916157</v>
      </c>
      <c r="BL406" s="527">
        <f t="shared" si="590"/>
        <v>-75.278733886916157</v>
      </c>
      <c r="BM406" s="527">
        <f t="shared" si="590"/>
        <v>-75.278733886916157</v>
      </c>
      <c r="BN406" s="527">
        <f t="shared" si="590"/>
        <v>-76.784308564654481</v>
      </c>
      <c r="BO406" s="527">
        <f t="shared" si="590"/>
        <v>-76.784308564654481</v>
      </c>
      <c r="BP406" s="527">
        <f t="shared" si="590"/>
        <v>-76.784308564654481</v>
      </c>
      <c r="BQ406" s="527">
        <f t="shared" si="590"/>
        <v>-76.784308564654481</v>
      </c>
      <c r="BR406" s="527">
        <f t="shared" si="590"/>
        <v>-76.784308564654481</v>
      </c>
      <c r="BS406" s="527">
        <f t="shared" si="590"/>
        <v>-76.784308564654481</v>
      </c>
      <c r="BT406" s="527">
        <f t="shared" si="590"/>
        <v>-76.784308564654481</v>
      </c>
      <c r="BU406" s="527">
        <f t="shared" si="590"/>
        <v>-76.784308564654481</v>
      </c>
      <c r="BV406" s="527">
        <f t="shared" si="590"/>
        <v>-76.784308564654481</v>
      </c>
      <c r="BW406" s="527">
        <f t="shared" si="590"/>
        <v>-76.784308564654481</v>
      </c>
      <c r="BX406" s="527">
        <f t="shared" si="590"/>
        <v>-76.784308564654481</v>
      </c>
      <c r="BY406" s="527">
        <f t="shared" si="590"/>
        <v>-76.784308564654481</v>
      </c>
    </row>
    <row r="407" spans="1:77" x14ac:dyDescent="0.3">
      <c r="A407" s="551"/>
      <c r="B407" s="548"/>
      <c r="C407" s="525"/>
      <c r="D407" s="525"/>
      <c r="E407" s="640" t="str">
        <f>"Marketing support: "&amp;E$160</f>
        <v>Marketing support: Uninvested Tranche</v>
      </c>
      <c r="F407" s="525"/>
      <c r="G407" s="525"/>
      <c r="H407" s="525"/>
      <c r="I407" s="525"/>
      <c r="J407" s="525"/>
      <c r="K407" s="525"/>
      <c r="L407" s="525"/>
      <c r="M407" s="525"/>
      <c r="N407" s="525"/>
      <c r="O407" s="525"/>
      <c r="P407" s="565"/>
      <c r="Q407" s="525"/>
      <c r="R407" s="527">
        <f t="shared" ref="R407:AW407" si="591">R$612*$R160</f>
        <v>-195.07628870967744</v>
      </c>
      <c r="S407" s="527">
        <f t="shared" si="591"/>
        <v>-195.07628870967744</v>
      </c>
      <c r="T407" s="527">
        <f t="shared" si="591"/>
        <v>-195.07628870967744</v>
      </c>
      <c r="U407" s="527">
        <f t="shared" si="591"/>
        <v>-195.07628870967744</v>
      </c>
      <c r="V407" s="527">
        <f t="shared" si="591"/>
        <v>-195.07628870967744</v>
      </c>
      <c r="W407" s="527">
        <f t="shared" si="591"/>
        <v>-195.07628870967744</v>
      </c>
      <c r="X407" s="527">
        <f t="shared" si="591"/>
        <v>-195.07628870967744</v>
      </c>
      <c r="Y407" s="527">
        <f t="shared" si="591"/>
        <v>-195.07628870967744</v>
      </c>
      <c r="Z407" s="527">
        <f t="shared" si="591"/>
        <v>-195.07628870967744</v>
      </c>
      <c r="AA407" s="527">
        <f t="shared" si="591"/>
        <v>-195.07628870967744</v>
      </c>
      <c r="AB407" s="527">
        <f t="shared" si="591"/>
        <v>-195.07628870967744</v>
      </c>
      <c r="AC407" s="527">
        <f t="shared" si="591"/>
        <v>-195.07628870967744</v>
      </c>
      <c r="AD407" s="527">
        <f t="shared" si="591"/>
        <v>-198.97781448387104</v>
      </c>
      <c r="AE407" s="527">
        <f t="shared" si="591"/>
        <v>-198.97781448387104</v>
      </c>
      <c r="AF407" s="527">
        <f t="shared" si="591"/>
        <v>-198.97781448387104</v>
      </c>
      <c r="AG407" s="527">
        <f t="shared" si="591"/>
        <v>-198.97781448387104</v>
      </c>
      <c r="AH407" s="527">
        <f t="shared" si="591"/>
        <v>-198.97781448387104</v>
      </c>
      <c r="AI407" s="527">
        <f t="shared" si="591"/>
        <v>-198.97781448387104</v>
      </c>
      <c r="AJ407" s="527">
        <f t="shared" si="591"/>
        <v>-198.97781448387104</v>
      </c>
      <c r="AK407" s="527">
        <f t="shared" si="591"/>
        <v>-198.97781448387104</v>
      </c>
      <c r="AL407" s="527">
        <f t="shared" si="591"/>
        <v>-198.97781448387104</v>
      </c>
      <c r="AM407" s="527">
        <f t="shared" si="591"/>
        <v>-198.97781448387104</v>
      </c>
      <c r="AN407" s="527">
        <f t="shared" si="591"/>
        <v>-198.97781448387104</v>
      </c>
      <c r="AO407" s="527">
        <f t="shared" si="591"/>
        <v>-198.97781448387104</v>
      </c>
      <c r="AP407" s="527">
        <f t="shared" si="591"/>
        <v>-202.95737077354843</v>
      </c>
      <c r="AQ407" s="527">
        <f t="shared" si="591"/>
        <v>-202.95737077354843</v>
      </c>
      <c r="AR407" s="527">
        <f t="shared" si="591"/>
        <v>-202.95737077354843</v>
      </c>
      <c r="AS407" s="527">
        <f t="shared" si="591"/>
        <v>-202.95737077354843</v>
      </c>
      <c r="AT407" s="527">
        <f t="shared" si="591"/>
        <v>-202.95737077354843</v>
      </c>
      <c r="AU407" s="527">
        <f t="shared" si="591"/>
        <v>-202.95737077354843</v>
      </c>
      <c r="AV407" s="527">
        <f t="shared" si="591"/>
        <v>-202.95737077354843</v>
      </c>
      <c r="AW407" s="527">
        <f t="shared" si="591"/>
        <v>-202.95737077354843</v>
      </c>
      <c r="AX407" s="527">
        <f t="shared" ref="AX407:BY407" si="592">AX$612*$R160</f>
        <v>-202.95737077354843</v>
      </c>
      <c r="AY407" s="527">
        <f t="shared" si="592"/>
        <v>-202.95737077354843</v>
      </c>
      <c r="AZ407" s="527">
        <f t="shared" si="592"/>
        <v>-202.95737077354843</v>
      </c>
      <c r="BA407" s="527">
        <f t="shared" si="592"/>
        <v>-202.95737077354843</v>
      </c>
      <c r="BB407" s="527">
        <f t="shared" si="592"/>
        <v>-207.01651818901942</v>
      </c>
      <c r="BC407" s="527">
        <f t="shared" si="592"/>
        <v>-207.01651818901942</v>
      </c>
      <c r="BD407" s="527">
        <f t="shared" si="592"/>
        <v>-207.01651818901942</v>
      </c>
      <c r="BE407" s="527">
        <f t="shared" si="592"/>
        <v>-207.01651818901942</v>
      </c>
      <c r="BF407" s="527">
        <f t="shared" si="592"/>
        <v>-207.01651818901942</v>
      </c>
      <c r="BG407" s="527">
        <f t="shared" si="592"/>
        <v>-207.01651818901942</v>
      </c>
      <c r="BH407" s="527">
        <f t="shared" si="592"/>
        <v>-207.01651818901942</v>
      </c>
      <c r="BI407" s="527">
        <f t="shared" si="592"/>
        <v>-207.01651818901942</v>
      </c>
      <c r="BJ407" s="527">
        <f t="shared" si="592"/>
        <v>-207.01651818901942</v>
      </c>
      <c r="BK407" s="527">
        <f t="shared" si="592"/>
        <v>-207.01651818901942</v>
      </c>
      <c r="BL407" s="527">
        <f t="shared" si="592"/>
        <v>-207.01651818901942</v>
      </c>
      <c r="BM407" s="527">
        <f t="shared" si="592"/>
        <v>-207.01651818901942</v>
      </c>
      <c r="BN407" s="527">
        <f t="shared" si="592"/>
        <v>-211.15684855279983</v>
      </c>
      <c r="BO407" s="527">
        <f t="shared" si="592"/>
        <v>-211.15684855279983</v>
      </c>
      <c r="BP407" s="527">
        <f t="shared" si="592"/>
        <v>-211.15684855279983</v>
      </c>
      <c r="BQ407" s="527">
        <f t="shared" si="592"/>
        <v>-211.15684855279983</v>
      </c>
      <c r="BR407" s="527">
        <f t="shared" si="592"/>
        <v>-211.15684855279983</v>
      </c>
      <c r="BS407" s="527">
        <f t="shared" si="592"/>
        <v>-211.15684855279983</v>
      </c>
      <c r="BT407" s="527">
        <f t="shared" si="592"/>
        <v>-211.15684855279983</v>
      </c>
      <c r="BU407" s="527">
        <f t="shared" si="592"/>
        <v>-211.15684855279983</v>
      </c>
      <c r="BV407" s="527">
        <f t="shared" si="592"/>
        <v>-211.15684855279983</v>
      </c>
      <c r="BW407" s="527">
        <f t="shared" si="592"/>
        <v>-211.15684855279983</v>
      </c>
      <c r="BX407" s="527">
        <f t="shared" si="592"/>
        <v>-211.15684855279983</v>
      </c>
      <c r="BY407" s="527">
        <f t="shared" si="592"/>
        <v>-211.15684855279983</v>
      </c>
    </row>
    <row r="408" spans="1:77" x14ac:dyDescent="0.3">
      <c r="A408" s="551"/>
      <c r="B408" s="548"/>
      <c r="C408" s="525"/>
      <c r="D408" s="525"/>
      <c r="E408" s="572" t="s">
        <v>36</v>
      </c>
      <c r="F408" s="572"/>
      <c r="G408" s="572"/>
      <c r="H408" s="572"/>
      <c r="I408" s="572"/>
      <c r="J408" s="572"/>
      <c r="K408" s="572"/>
      <c r="L408" s="572"/>
      <c r="M408" s="572"/>
      <c r="N408" s="572"/>
      <c r="O408" s="572"/>
      <c r="P408" s="612"/>
      <c r="Q408" s="572"/>
      <c r="R408" s="530">
        <f t="shared" ref="R408:AW408" si="593">SUM(R402:R407)</f>
        <v>-549.76045000000011</v>
      </c>
      <c r="S408" s="530">
        <f t="shared" si="593"/>
        <v>-549.76045000000011</v>
      </c>
      <c r="T408" s="530">
        <f t="shared" si="593"/>
        <v>-549.76045000000011</v>
      </c>
      <c r="U408" s="530">
        <f t="shared" si="593"/>
        <v>-549.76045000000011</v>
      </c>
      <c r="V408" s="530">
        <f t="shared" si="593"/>
        <v>-549.76045000000011</v>
      </c>
      <c r="W408" s="530">
        <f t="shared" si="593"/>
        <v>-549.76045000000011</v>
      </c>
      <c r="X408" s="530">
        <f t="shared" si="593"/>
        <v>-549.76045000000011</v>
      </c>
      <c r="Y408" s="530">
        <f t="shared" si="593"/>
        <v>-549.76045000000011</v>
      </c>
      <c r="Z408" s="530">
        <f t="shared" si="593"/>
        <v>-549.76045000000011</v>
      </c>
      <c r="AA408" s="530">
        <f t="shared" si="593"/>
        <v>-549.76045000000011</v>
      </c>
      <c r="AB408" s="530">
        <f t="shared" si="593"/>
        <v>-549.76045000000011</v>
      </c>
      <c r="AC408" s="530">
        <f t="shared" si="593"/>
        <v>-549.76045000000011</v>
      </c>
      <c r="AD408" s="530">
        <f t="shared" si="593"/>
        <v>-560.75565900000015</v>
      </c>
      <c r="AE408" s="530">
        <f t="shared" si="593"/>
        <v>-560.75565900000015</v>
      </c>
      <c r="AF408" s="530">
        <f t="shared" si="593"/>
        <v>-560.75565900000015</v>
      </c>
      <c r="AG408" s="530">
        <f t="shared" si="593"/>
        <v>-560.75565900000015</v>
      </c>
      <c r="AH408" s="530">
        <f t="shared" si="593"/>
        <v>-560.75565900000015</v>
      </c>
      <c r="AI408" s="530">
        <f t="shared" si="593"/>
        <v>-560.75565900000015</v>
      </c>
      <c r="AJ408" s="530">
        <f t="shared" si="593"/>
        <v>-560.75565900000015</v>
      </c>
      <c r="AK408" s="530">
        <f t="shared" si="593"/>
        <v>-560.75565900000015</v>
      </c>
      <c r="AL408" s="530">
        <f t="shared" si="593"/>
        <v>-560.75565900000015</v>
      </c>
      <c r="AM408" s="530">
        <f t="shared" si="593"/>
        <v>-560.75565900000015</v>
      </c>
      <c r="AN408" s="530">
        <f t="shared" si="593"/>
        <v>-560.75565900000015</v>
      </c>
      <c r="AO408" s="530">
        <f t="shared" si="593"/>
        <v>-560.75565900000015</v>
      </c>
      <c r="AP408" s="530">
        <f t="shared" si="593"/>
        <v>-571.97077218000015</v>
      </c>
      <c r="AQ408" s="530">
        <f t="shared" si="593"/>
        <v>-571.97077218000015</v>
      </c>
      <c r="AR408" s="530">
        <f t="shared" si="593"/>
        <v>-571.97077218000015</v>
      </c>
      <c r="AS408" s="530">
        <f t="shared" si="593"/>
        <v>-571.97077218000015</v>
      </c>
      <c r="AT408" s="530">
        <f t="shared" si="593"/>
        <v>-571.97077218000015</v>
      </c>
      <c r="AU408" s="530">
        <f t="shared" si="593"/>
        <v>-571.97077218000015</v>
      </c>
      <c r="AV408" s="530">
        <f t="shared" si="593"/>
        <v>-571.97077218000015</v>
      </c>
      <c r="AW408" s="530">
        <f t="shared" si="593"/>
        <v>-571.97077218000015</v>
      </c>
      <c r="AX408" s="530">
        <f t="shared" ref="AX408:BY408" si="594">SUM(AX402:AX407)</f>
        <v>-571.97077218000015</v>
      </c>
      <c r="AY408" s="530">
        <f t="shared" si="594"/>
        <v>-571.97077218000015</v>
      </c>
      <c r="AZ408" s="530">
        <f t="shared" si="594"/>
        <v>-571.97077218000015</v>
      </c>
      <c r="BA408" s="530">
        <f t="shared" si="594"/>
        <v>-571.97077218000015</v>
      </c>
      <c r="BB408" s="530">
        <f t="shared" si="594"/>
        <v>-583.41018762360022</v>
      </c>
      <c r="BC408" s="530">
        <f t="shared" si="594"/>
        <v>-583.41018762360022</v>
      </c>
      <c r="BD408" s="530">
        <f t="shared" si="594"/>
        <v>-583.41018762360022</v>
      </c>
      <c r="BE408" s="530">
        <f t="shared" si="594"/>
        <v>-583.41018762360022</v>
      </c>
      <c r="BF408" s="530">
        <f t="shared" si="594"/>
        <v>-583.41018762360022</v>
      </c>
      <c r="BG408" s="530">
        <f t="shared" si="594"/>
        <v>-583.41018762360022</v>
      </c>
      <c r="BH408" s="530">
        <f t="shared" si="594"/>
        <v>-583.41018762360022</v>
      </c>
      <c r="BI408" s="530">
        <f t="shared" si="594"/>
        <v>-583.41018762360022</v>
      </c>
      <c r="BJ408" s="530">
        <f t="shared" si="594"/>
        <v>-583.41018762360022</v>
      </c>
      <c r="BK408" s="530">
        <f t="shared" si="594"/>
        <v>-583.41018762360022</v>
      </c>
      <c r="BL408" s="530">
        <f t="shared" si="594"/>
        <v>-583.41018762360022</v>
      </c>
      <c r="BM408" s="530">
        <f t="shared" si="594"/>
        <v>-583.41018762360022</v>
      </c>
      <c r="BN408" s="530">
        <f t="shared" si="594"/>
        <v>-595.0783913760722</v>
      </c>
      <c r="BO408" s="530">
        <f t="shared" si="594"/>
        <v>-595.0783913760722</v>
      </c>
      <c r="BP408" s="530">
        <f t="shared" si="594"/>
        <v>-595.0783913760722</v>
      </c>
      <c r="BQ408" s="530">
        <f t="shared" si="594"/>
        <v>-595.0783913760722</v>
      </c>
      <c r="BR408" s="530">
        <f t="shared" si="594"/>
        <v>-595.0783913760722</v>
      </c>
      <c r="BS408" s="530">
        <f t="shared" si="594"/>
        <v>-595.0783913760722</v>
      </c>
      <c r="BT408" s="530">
        <f t="shared" si="594"/>
        <v>-595.0783913760722</v>
      </c>
      <c r="BU408" s="530">
        <f t="shared" si="594"/>
        <v>-595.0783913760722</v>
      </c>
      <c r="BV408" s="530">
        <f t="shared" si="594"/>
        <v>-595.0783913760722</v>
      </c>
      <c r="BW408" s="530">
        <f t="shared" si="594"/>
        <v>-595.0783913760722</v>
      </c>
      <c r="BX408" s="530">
        <f t="shared" si="594"/>
        <v>-595.0783913760722</v>
      </c>
      <c r="BY408" s="530">
        <f t="shared" si="594"/>
        <v>-595.0783913760722</v>
      </c>
    </row>
    <row r="409" spans="1:77" x14ac:dyDescent="0.3">
      <c r="A409" s="551"/>
      <c r="B409" s="548"/>
      <c r="C409" s="525"/>
      <c r="D409" s="525"/>
      <c r="E409" s="525"/>
      <c r="F409" s="525"/>
      <c r="G409" s="525"/>
      <c r="H409" s="525"/>
      <c r="I409" s="525"/>
      <c r="J409" s="525"/>
      <c r="K409" s="525"/>
      <c r="L409" s="525"/>
      <c r="M409" s="525"/>
      <c r="N409" s="525"/>
      <c r="O409" s="525"/>
      <c r="P409" s="565"/>
      <c r="Q409" s="525"/>
      <c r="R409" s="525"/>
      <c r="S409" s="525"/>
      <c r="T409" s="525"/>
      <c r="U409" s="525"/>
      <c r="V409" s="525"/>
      <c r="W409" s="525"/>
      <c r="X409" s="525"/>
      <c r="Y409" s="525"/>
      <c r="Z409" s="525"/>
      <c r="AA409" s="525"/>
      <c r="AB409" s="525"/>
      <c r="AC409" s="525"/>
      <c r="AD409" s="525"/>
      <c r="AE409" s="525"/>
      <c r="AF409" s="525"/>
      <c r="AG409" s="525"/>
      <c r="AH409" s="525"/>
      <c r="AI409" s="525"/>
      <c r="AJ409" s="525"/>
      <c r="AK409" s="525"/>
      <c r="AL409" s="525"/>
      <c r="AM409" s="525"/>
      <c r="AN409" s="525"/>
      <c r="AO409" s="525"/>
      <c r="AP409" s="525"/>
      <c r="AQ409" s="525"/>
      <c r="AR409" s="525"/>
      <c r="AS409" s="525"/>
      <c r="AT409" s="525"/>
      <c r="AU409" s="525"/>
      <c r="AV409" s="525"/>
      <c r="AW409" s="525"/>
      <c r="AX409" s="525"/>
      <c r="AY409" s="525"/>
      <c r="AZ409" s="525"/>
      <c r="BA409" s="525"/>
      <c r="BB409" s="525"/>
      <c r="BC409" s="525"/>
      <c r="BD409" s="525"/>
      <c r="BE409" s="525"/>
      <c r="BF409" s="525"/>
      <c r="BG409" s="525"/>
      <c r="BH409" s="525"/>
      <c r="BI409" s="525"/>
      <c r="BJ409" s="525"/>
      <c r="BK409" s="525"/>
      <c r="BL409" s="525"/>
      <c r="BM409" s="525"/>
      <c r="BN409" s="525"/>
      <c r="BO409" s="525"/>
      <c r="BP409" s="525"/>
      <c r="BQ409" s="525"/>
      <c r="BR409" s="525"/>
      <c r="BS409" s="525"/>
      <c r="BT409" s="525"/>
      <c r="BU409" s="525"/>
      <c r="BV409" s="525"/>
      <c r="BW409" s="525"/>
      <c r="BX409" s="525"/>
      <c r="BY409" s="525"/>
    </row>
    <row r="410" spans="1:77" x14ac:dyDescent="0.3">
      <c r="A410" s="551"/>
      <c r="B410" s="548"/>
      <c r="C410" s="584" t="s">
        <v>37</v>
      </c>
      <c r="D410" s="525"/>
      <c r="E410" s="538" t="s">
        <v>91</v>
      </c>
      <c r="F410" s="538"/>
      <c r="G410" s="538"/>
      <c r="H410" s="538"/>
      <c r="I410" s="538"/>
      <c r="J410" s="538"/>
      <c r="K410" s="538"/>
      <c r="L410" s="538"/>
      <c r="M410" s="538"/>
      <c r="N410" s="538"/>
      <c r="O410" s="538"/>
      <c r="P410" s="584"/>
      <c r="Q410" s="538"/>
      <c r="R410" s="538"/>
      <c r="S410" s="538"/>
      <c r="T410" s="538"/>
      <c r="U410" s="538"/>
      <c r="V410" s="538"/>
      <c r="W410" s="538"/>
      <c r="X410" s="538"/>
      <c r="Y410" s="538"/>
      <c r="Z410" s="538"/>
      <c r="AA410" s="538"/>
      <c r="AB410" s="538"/>
      <c r="AC410" s="538"/>
      <c r="AD410" s="538"/>
      <c r="AE410" s="538"/>
      <c r="AF410" s="538"/>
      <c r="AG410" s="538"/>
      <c r="AH410" s="538"/>
      <c r="AI410" s="538"/>
      <c r="AJ410" s="538"/>
      <c r="AK410" s="538"/>
      <c r="AL410" s="538"/>
      <c r="AM410" s="538"/>
      <c r="AN410" s="538"/>
      <c r="AO410" s="538"/>
      <c r="AP410" s="538"/>
      <c r="AQ410" s="538"/>
      <c r="AR410" s="538"/>
      <c r="AS410" s="538"/>
      <c r="AT410" s="538"/>
      <c r="AU410" s="538"/>
      <c r="AV410" s="538"/>
      <c r="AW410" s="538"/>
      <c r="AX410" s="538"/>
      <c r="AY410" s="538"/>
      <c r="AZ410" s="538"/>
      <c r="BA410" s="538"/>
      <c r="BB410" s="538"/>
      <c r="BC410" s="538"/>
      <c r="BD410" s="538"/>
      <c r="BE410" s="538"/>
      <c r="BF410" s="538"/>
      <c r="BG410" s="538"/>
      <c r="BH410" s="538"/>
      <c r="BI410" s="538"/>
      <c r="BJ410" s="538"/>
      <c r="BK410" s="538"/>
      <c r="BL410" s="538"/>
      <c r="BM410" s="538"/>
      <c r="BN410" s="538"/>
      <c r="BO410" s="538"/>
      <c r="BP410" s="538"/>
      <c r="BQ410" s="538"/>
      <c r="BR410" s="538"/>
      <c r="BS410" s="538"/>
      <c r="BT410" s="538"/>
      <c r="BU410" s="538"/>
      <c r="BV410" s="538"/>
      <c r="BW410" s="538"/>
      <c r="BX410" s="538"/>
      <c r="BY410" s="538"/>
    </row>
    <row r="411" spans="1:77" x14ac:dyDescent="0.3">
      <c r="A411" s="551"/>
      <c r="B411" s="548"/>
      <c r="C411" s="525"/>
      <c r="D411" s="525"/>
      <c r="E411" s="525"/>
      <c r="F411" s="525"/>
      <c r="G411" s="525"/>
      <c r="H411" s="525"/>
      <c r="I411" s="525"/>
      <c r="J411" s="525"/>
      <c r="K411" s="525"/>
      <c r="L411" s="525"/>
      <c r="M411" s="525"/>
      <c r="N411" s="525"/>
      <c r="O411" s="525"/>
      <c r="P411" s="565"/>
      <c r="Q411" s="525"/>
      <c r="R411" s="525"/>
      <c r="S411" s="525"/>
      <c r="T411" s="525"/>
      <c r="U411" s="525"/>
      <c r="V411" s="525"/>
      <c r="W411" s="525"/>
      <c r="X411" s="525"/>
      <c r="Y411" s="525"/>
      <c r="Z411" s="525"/>
      <c r="AA411" s="525"/>
      <c r="AB411" s="525"/>
      <c r="AC411" s="525"/>
      <c r="AD411" s="525"/>
      <c r="AE411" s="525"/>
      <c r="AF411" s="525"/>
      <c r="AG411" s="525"/>
      <c r="AH411" s="525"/>
      <c r="AI411" s="525"/>
      <c r="AJ411" s="525"/>
      <c r="AK411" s="525"/>
      <c r="AL411" s="525"/>
      <c r="AM411" s="525"/>
      <c r="AN411" s="525"/>
      <c r="AO411" s="525"/>
      <c r="AP411" s="525"/>
      <c r="AQ411" s="525"/>
      <c r="AR411" s="525"/>
      <c r="AS411" s="525"/>
      <c r="AT411" s="525"/>
      <c r="AU411" s="525"/>
      <c r="AV411" s="525"/>
      <c r="AW411" s="525"/>
      <c r="AX411" s="525"/>
      <c r="AY411" s="525"/>
      <c r="AZ411" s="525"/>
      <c r="BA411" s="525"/>
      <c r="BB411" s="525"/>
      <c r="BC411" s="525"/>
      <c r="BD411" s="525"/>
      <c r="BE411" s="525"/>
      <c r="BF411" s="525"/>
      <c r="BG411" s="525"/>
      <c r="BH411" s="525"/>
      <c r="BI411" s="525"/>
      <c r="BJ411" s="525"/>
      <c r="BK411" s="525"/>
      <c r="BL411" s="525"/>
      <c r="BM411" s="525"/>
      <c r="BN411" s="525"/>
      <c r="BO411" s="525"/>
      <c r="BP411" s="525"/>
      <c r="BQ411" s="525"/>
      <c r="BR411" s="525"/>
      <c r="BS411" s="525"/>
      <c r="BT411" s="525"/>
      <c r="BU411" s="525"/>
      <c r="BV411" s="525"/>
      <c r="BW411" s="525"/>
      <c r="BX411" s="525"/>
      <c r="BY411" s="525"/>
    </row>
    <row r="412" spans="1:77" x14ac:dyDescent="0.3">
      <c r="A412" s="551"/>
      <c r="B412" s="548"/>
      <c r="C412" s="525"/>
      <c r="D412" s="525"/>
      <c r="E412" s="641" t="str">
        <f>"Implied EBITDA: "&amp;E$155</f>
        <v>Implied EBITDA: FY27 Tranche</v>
      </c>
      <c r="F412" s="525"/>
      <c r="G412" s="525"/>
      <c r="H412" s="525"/>
      <c r="I412" s="525"/>
      <c r="J412" s="525"/>
      <c r="K412" s="525"/>
      <c r="L412" s="525"/>
      <c r="M412" s="525"/>
      <c r="N412" s="525"/>
      <c r="O412" s="525"/>
      <c r="P412" s="565"/>
      <c r="Q412" s="525"/>
      <c r="R412" s="527">
        <f t="shared" ref="R412:AW412" si="595">R246+R254+R262+R270+R290+R298+R306+R314+R338+R346+R358+R366+R374+R382+R394+R402</f>
        <v>33654.89683028117</v>
      </c>
      <c r="S412" s="527">
        <f t="shared" si="595"/>
        <v>33654.89683028117</v>
      </c>
      <c r="T412" s="527">
        <f t="shared" si="595"/>
        <v>33654.89683028117</v>
      </c>
      <c r="U412" s="527">
        <f t="shared" si="595"/>
        <v>33654.89683028117</v>
      </c>
      <c r="V412" s="527">
        <f t="shared" si="595"/>
        <v>33654.89683028117</v>
      </c>
      <c r="W412" s="527">
        <f t="shared" si="595"/>
        <v>33654.89683028117</v>
      </c>
      <c r="X412" s="527">
        <f t="shared" si="595"/>
        <v>39716.149609256907</v>
      </c>
      <c r="Y412" s="527">
        <f t="shared" si="595"/>
        <v>39716.149609256907</v>
      </c>
      <c r="Z412" s="527">
        <f t="shared" si="595"/>
        <v>39716.149609256907</v>
      </c>
      <c r="AA412" s="527">
        <f t="shared" si="595"/>
        <v>39716.149609256907</v>
      </c>
      <c r="AB412" s="527">
        <f t="shared" si="595"/>
        <v>39716.149609256907</v>
      </c>
      <c r="AC412" s="527">
        <f t="shared" si="595"/>
        <v>39716.149609256907</v>
      </c>
      <c r="AD412" s="527">
        <f t="shared" si="595"/>
        <v>39716.149609256885</v>
      </c>
      <c r="AE412" s="527">
        <f t="shared" si="595"/>
        <v>39716.149609256885</v>
      </c>
      <c r="AF412" s="527">
        <f t="shared" si="595"/>
        <v>39716.149609256885</v>
      </c>
      <c r="AG412" s="527">
        <f t="shared" si="595"/>
        <v>39716.149609256885</v>
      </c>
      <c r="AH412" s="527">
        <f t="shared" si="595"/>
        <v>39716.149609256885</v>
      </c>
      <c r="AI412" s="527">
        <f t="shared" si="595"/>
        <v>39716.149609256885</v>
      </c>
      <c r="AJ412" s="527">
        <f t="shared" si="595"/>
        <v>41304.795593627168</v>
      </c>
      <c r="AK412" s="527">
        <f t="shared" si="595"/>
        <v>41304.795593627168</v>
      </c>
      <c r="AL412" s="527">
        <f t="shared" si="595"/>
        <v>41304.795593627168</v>
      </c>
      <c r="AM412" s="527">
        <f t="shared" si="595"/>
        <v>41304.795593627168</v>
      </c>
      <c r="AN412" s="527">
        <f t="shared" si="595"/>
        <v>41304.795593627168</v>
      </c>
      <c r="AO412" s="527">
        <f t="shared" si="595"/>
        <v>41304.795593627168</v>
      </c>
      <c r="AP412" s="527">
        <f t="shared" si="595"/>
        <v>41304.79559362719</v>
      </c>
      <c r="AQ412" s="527">
        <f t="shared" si="595"/>
        <v>41304.79559362719</v>
      </c>
      <c r="AR412" s="527">
        <f t="shared" si="595"/>
        <v>41304.79559362719</v>
      </c>
      <c r="AS412" s="527">
        <f t="shared" si="595"/>
        <v>41304.79559362719</v>
      </c>
      <c r="AT412" s="527">
        <f t="shared" si="595"/>
        <v>41304.79559362719</v>
      </c>
      <c r="AU412" s="527">
        <f t="shared" si="595"/>
        <v>41304.79559362719</v>
      </c>
      <c r="AV412" s="527">
        <f t="shared" si="595"/>
        <v>42956.987417372271</v>
      </c>
      <c r="AW412" s="527">
        <f t="shared" si="595"/>
        <v>42956.987417372271</v>
      </c>
      <c r="AX412" s="527">
        <f t="shared" ref="AX412:BY412" si="596">AX246+AX254+AX262+AX270+AX290+AX298+AX306+AX314+AX338+AX346+AX358+AX366+AX374+AX382+AX394+AX402</f>
        <v>42956.987417372271</v>
      </c>
      <c r="AY412" s="527">
        <f t="shared" si="596"/>
        <v>42956.987417372271</v>
      </c>
      <c r="AZ412" s="527">
        <f t="shared" si="596"/>
        <v>42956.987417372271</v>
      </c>
      <c r="BA412" s="527">
        <f t="shared" si="596"/>
        <v>42956.987417372271</v>
      </c>
      <c r="BB412" s="527">
        <f t="shared" si="596"/>
        <v>42956.987417372271</v>
      </c>
      <c r="BC412" s="527">
        <f t="shared" si="596"/>
        <v>42956.987417372271</v>
      </c>
      <c r="BD412" s="527">
        <f t="shared" si="596"/>
        <v>42956.987417372271</v>
      </c>
      <c r="BE412" s="527">
        <f t="shared" si="596"/>
        <v>42956.987417372271</v>
      </c>
      <c r="BF412" s="527">
        <f t="shared" si="596"/>
        <v>42956.987417372271</v>
      </c>
      <c r="BG412" s="527">
        <f t="shared" si="596"/>
        <v>42956.987417372271</v>
      </c>
      <c r="BH412" s="527">
        <f t="shared" si="596"/>
        <v>44675.266914067164</v>
      </c>
      <c r="BI412" s="527">
        <f t="shared" si="596"/>
        <v>44675.266914067164</v>
      </c>
      <c r="BJ412" s="527">
        <f t="shared" si="596"/>
        <v>44675.266914067164</v>
      </c>
      <c r="BK412" s="527">
        <f t="shared" si="596"/>
        <v>44675.266914067164</v>
      </c>
      <c r="BL412" s="527">
        <f t="shared" si="596"/>
        <v>44675.266914067164</v>
      </c>
      <c r="BM412" s="527">
        <f t="shared" si="596"/>
        <v>44675.266914067164</v>
      </c>
      <c r="BN412" s="527">
        <f t="shared" si="596"/>
        <v>44675.266914067171</v>
      </c>
      <c r="BO412" s="527">
        <f t="shared" si="596"/>
        <v>44675.266914067171</v>
      </c>
      <c r="BP412" s="527">
        <f t="shared" si="596"/>
        <v>44675.266914067171</v>
      </c>
      <c r="BQ412" s="527">
        <f t="shared" si="596"/>
        <v>44675.266914067171</v>
      </c>
      <c r="BR412" s="527">
        <f t="shared" si="596"/>
        <v>44675.266914067171</v>
      </c>
      <c r="BS412" s="527">
        <f t="shared" si="596"/>
        <v>44675.266914067171</v>
      </c>
      <c r="BT412" s="527">
        <f t="shared" si="596"/>
        <v>46462.277590629856</v>
      </c>
      <c r="BU412" s="527">
        <f t="shared" si="596"/>
        <v>46462.277590629856</v>
      </c>
      <c r="BV412" s="527">
        <f t="shared" si="596"/>
        <v>46462.277590629856</v>
      </c>
      <c r="BW412" s="527">
        <f t="shared" si="596"/>
        <v>46462.277590629856</v>
      </c>
      <c r="BX412" s="527">
        <f t="shared" si="596"/>
        <v>46462.277590629856</v>
      </c>
      <c r="BY412" s="527">
        <f t="shared" si="596"/>
        <v>46462.277590629856</v>
      </c>
    </row>
    <row r="413" spans="1:77" x14ac:dyDescent="0.3">
      <c r="A413" s="551"/>
      <c r="B413" s="548"/>
      <c r="C413" s="525"/>
      <c r="D413" s="525"/>
      <c r="E413" s="641" t="str">
        <f>"Implied EBITDA: "&amp;E$156</f>
        <v>Implied EBITDA: FY28 Tranche</v>
      </c>
      <c r="F413" s="525"/>
      <c r="G413" s="525"/>
      <c r="H413" s="525"/>
      <c r="I413" s="525"/>
      <c r="J413" s="525"/>
      <c r="K413" s="525"/>
      <c r="L413" s="525"/>
      <c r="M413" s="525"/>
      <c r="N413" s="525"/>
      <c r="O413" s="525"/>
      <c r="P413" s="565"/>
      <c r="Q413" s="525"/>
      <c r="R413" s="527">
        <f t="shared" ref="R413:AW413" si="597">R247+R255+R263+R271+R291+R299+R307+R315+R339+R347+R359+R367+R375+R383+R395+R403</f>
        <v>33654.89683028117</v>
      </c>
      <c r="S413" s="527">
        <f t="shared" si="597"/>
        <v>33654.89683028117</v>
      </c>
      <c r="T413" s="527">
        <f t="shared" si="597"/>
        <v>33654.89683028117</v>
      </c>
      <c r="U413" s="527">
        <f t="shared" si="597"/>
        <v>33654.89683028117</v>
      </c>
      <c r="V413" s="527">
        <f t="shared" si="597"/>
        <v>33654.89683028117</v>
      </c>
      <c r="W413" s="527">
        <f t="shared" si="597"/>
        <v>33654.89683028117</v>
      </c>
      <c r="X413" s="527">
        <f t="shared" si="597"/>
        <v>33654.89683028117</v>
      </c>
      <c r="Y413" s="527">
        <f t="shared" si="597"/>
        <v>33654.89683028117</v>
      </c>
      <c r="Z413" s="527">
        <f t="shared" si="597"/>
        <v>33654.89683028117</v>
      </c>
      <c r="AA413" s="527">
        <f t="shared" si="597"/>
        <v>33654.89683028117</v>
      </c>
      <c r="AB413" s="527">
        <f t="shared" si="597"/>
        <v>33654.89683028117</v>
      </c>
      <c r="AC413" s="527">
        <f t="shared" si="597"/>
        <v>33654.89683028117</v>
      </c>
      <c r="AD413" s="527">
        <f t="shared" si="597"/>
        <v>34984.069714311212</v>
      </c>
      <c r="AE413" s="527">
        <f t="shared" si="597"/>
        <v>34984.069714311212</v>
      </c>
      <c r="AF413" s="527">
        <f t="shared" si="597"/>
        <v>34984.069714311212</v>
      </c>
      <c r="AG413" s="527">
        <f t="shared" si="597"/>
        <v>34984.069714311212</v>
      </c>
      <c r="AH413" s="527">
        <f t="shared" si="597"/>
        <v>34984.069714311212</v>
      </c>
      <c r="AI413" s="527">
        <f t="shared" si="597"/>
        <v>34984.069714311212</v>
      </c>
      <c r="AJ413" s="527">
        <f t="shared" si="597"/>
        <v>41191.094411957893</v>
      </c>
      <c r="AK413" s="527">
        <f t="shared" si="597"/>
        <v>41191.094411957893</v>
      </c>
      <c r="AL413" s="527">
        <f t="shared" si="597"/>
        <v>41191.094411957893</v>
      </c>
      <c r="AM413" s="527">
        <f t="shared" si="597"/>
        <v>41191.094411957893</v>
      </c>
      <c r="AN413" s="527">
        <f t="shared" si="597"/>
        <v>41191.094411957893</v>
      </c>
      <c r="AO413" s="527">
        <f t="shared" si="597"/>
        <v>41191.094411957893</v>
      </c>
      <c r="AP413" s="527">
        <f t="shared" si="597"/>
        <v>41191.094411957907</v>
      </c>
      <c r="AQ413" s="527">
        <f t="shared" si="597"/>
        <v>41191.094411957907</v>
      </c>
      <c r="AR413" s="527">
        <f t="shared" si="597"/>
        <v>41191.094411957907</v>
      </c>
      <c r="AS413" s="527">
        <f t="shared" si="597"/>
        <v>41191.094411957907</v>
      </c>
      <c r="AT413" s="527">
        <f t="shared" si="597"/>
        <v>41191.094411957907</v>
      </c>
      <c r="AU413" s="527">
        <f t="shared" si="597"/>
        <v>41191.094411957907</v>
      </c>
      <c r="AV413" s="527">
        <f t="shared" si="597"/>
        <v>42838.738188436226</v>
      </c>
      <c r="AW413" s="527">
        <f t="shared" si="597"/>
        <v>42838.738188436226</v>
      </c>
      <c r="AX413" s="527">
        <f t="shared" ref="AX413:BY413" si="598">AX247+AX255+AX263+AX271+AX291+AX299+AX307+AX315+AX339+AX347+AX359+AX367+AX375+AX383+AX395+AX403</f>
        <v>42838.738188436226</v>
      </c>
      <c r="AY413" s="527">
        <f t="shared" si="598"/>
        <v>42838.738188436226</v>
      </c>
      <c r="AZ413" s="527">
        <f t="shared" si="598"/>
        <v>42838.738188436226</v>
      </c>
      <c r="BA413" s="527">
        <f t="shared" si="598"/>
        <v>42838.738188436226</v>
      </c>
      <c r="BB413" s="527">
        <f t="shared" si="598"/>
        <v>42838.738188436218</v>
      </c>
      <c r="BC413" s="527">
        <f t="shared" si="598"/>
        <v>42838.738188436218</v>
      </c>
      <c r="BD413" s="527">
        <f t="shared" si="598"/>
        <v>42838.738188436218</v>
      </c>
      <c r="BE413" s="527">
        <f t="shared" si="598"/>
        <v>42838.738188436218</v>
      </c>
      <c r="BF413" s="527">
        <f t="shared" si="598"/>
        <v>42838.738188436218</v>
      </c>
      <c r="BG413" s="527">
        <f t="shared" si="598"/>
        <v>42838.738188436218</v>
      </c>
      <c r="BH413" s="527">
        <f t="shared" si="598"/>
        <v>44552.287715973674</v>
      </c>
      <c r="BI413" s="527">
        <f t="shared" si="598"/>
        <v>44552.287715973674</v>
      </c>
      <c r="BJ413" s="527">
        <f t="shared" si="598"/>
        <v>44552.287715973674</v>
      </c>
      <c r="BK413" s="527">
        <f t="shared" si="598"/>
        <v>44552.287715973674</v>
      </c>
      <c r="BL413" s="527">
        <f t="shared" si="598"/>
        <v>44552.287715973674</v>
      </c>
      <c r="BM413" s="527">
        <f t="shared" si="598"/>
        <v>44552.287715973674</v>
      </c>
      <c r="BN413" s="527">
        <f t="shared" si="598"/>
        <v>44552.287715973682</v>
      </c>
      <c r="BO413" s="527">
        <f t="shared" si="598"/>
        <v>44552.287715973682</v>
      </c>
      <c r="BP413" s="527">
        <f t="shared" si="598"/>
        <v>44552.287715973682</v>
      </c>
      <c r="BQ413" s="527">
        <f t="shared" si="598"/>
        <v>44552.287715973682</v>
      </c>
      <c r="BR413" s="527">
        <f t="shared" si="598"/>
        <v>44552.287715973682</v>
      </c>
      <c r="BS413" s="527">
        <f t="shared" si="598"/>
        <v>44552.287715973682</v>
      </c>
      <c r="BT413" s="527">
        <f t="shared" si="598"/>
        <v>46334.379224612632</v>
      </c>
      <c r="BU413" s="527">
        <f t="shared" si="598"/>
        <v>46334.379224612632</v>
      </c>
      <c r="BV413" s="527">
        <f t="shared" si="598"/>
        <v>46334.379224612632</v>
      </c>
      <c r="BW413" s="527">
        <f t="shared" si="598"/>
        <v>46334.379224612632</v>
      </c>
      <c r="BX413" s="527">
        <f t="shared" si="598"/>
        <v>46334.379224612632</v>
      </c>
      <c r="BY413" s="527">
        <f t="shared" si="598"/>
        <v>46334.379224612632</v>
      </c>
    </row>
    <row r="414" spans="1:77" x14ac:dyDescent="0.3">
      <c r="A414" s="551"/>
      <c r="B414" s="548"/>
      <c r="C414" s="525"/>
      <c r="D414" s="525"/>
      <c r="E414" s="641" t="str">
        <f>"Implied EBITDA: "&amp;E$157</f>
        <v>Implied EBITDA: FY29 Tranche</v>
      </c>
      <c r="F414" s="525"/>
      <c r="G414" s="525"/>
      <c r="H414" s="525"/>
      <c r="I414" s="525"/>
      <c r="J414" s="525"/>
      <c r="K414" s="525"/>
      <c r="L414" s="525"/>
      <c r="M414" s="525"/>
      <c r="N414" s="525"/>
      <c r="O414" s="525"/>
      <c r="P414" s="565"/>
      <c r="Q414" s="525"/>
      <c r="R414" s="527">
        <f t="shared" ref="R414:AW414" si="599">R248+R256+R264+R272+R292+R300+R308+R316+R340+R348+R360+R368+R376+R384+R396+R404</f>
        <v>33654.89683028117</v>
      </c>
      <c r="S414" s="527">
        <f t="shared" si="599"/>
        <v>33654.89683028117</v>
      </c>
      <c r="T414" s="527">
        <f t="shared" si="599"/>
        <v>33654.89683028117</v>
      </c>
      <c r="U414" s="527">
        <f t="shared" si="599"/>
        <v>33654.89683028117</v>
      </c>
      <c r="V414" s="527">
        <f t="shared" si="599"/>
        <v>33654.89683028117</v>
      </c>
      <c r="W414" s="527">
        <f t="shared" si="599"/>
        <v>33654.89683028117</v>
      </c>
      <c r="X414" s="527">
        <f t="shared" si="599"/>
        <v>33654.89683028117</v>
      </c>
      <c r="Y414" s="527">
        <f t="shared" si="599"/>
        <v>33654.89683028117</v>
      </c>
      <c r="Z414" s="527">
        <f t="shared" si="599"/>
        <v>33654.89683028117</v>
      </c>
      <c r="AA414" s="527">
        <f t="shared" si="599"/>
        <v>33654.89683028117</v>
      </c>
      <c r="AB414" s="527">
        <f t="shared" si="599"/>
        <v>33654.89683028117</v>
      </c>
      <c r="AC414" s="527">
        <f t="shared" si="599"/>
        <v>33654.89683028117</v>
      </c>
      <c r="AD414" s="527">
        <f t="shared" si="599"/>
        <v>34984.069714311212</v>
      </c>
      <c r="AE414" s="527">
        <f t="shared" si="599"/>
        <v>34984.069714311212</v>
      </c>
      <c r="AF414" s="527">
        <f t="shared" si="599"/>
        <v>34984.069714311212</v>
      </c>
      <c r="AG414" s="527">
        <f t="shared" si="599"/>
        <v>34984.069714311212</v>
      </c>
      <c r="AH414" s="527">
        <f t="shared" si="599"/>
        <v>34984.069714311212</v>
      </c>
      <c r="AI414" s="527">
        <f t="shared" si="599"/>
        <v>34984.069714311212</v>
      </c>
      <c r="AJ414" s="527">
        <f t="shared" si="599"/>
        <v>34984.069714311212</v>
      </c>
      <c r="AK414" s="527">
        <f t="shared" si="599"/>
        <v>34984.069714311212</v>
      </c>
      <c r="AL414" s="527">
        <f t="shared" si="599"/>
        <v>34984.069714311212</v>
      </c>
      <c r="AM414" s="527">
        <f t="shared" si="599"/>
        <v>34984.069714311212</v>
      </c>
      <c r="AN414" s="527">
        <f t="shared" si="599"/>
        <v>34984.069714311212</v>
      </c>
      <c r="AO414" s="527">
        <f t="shared" si="599"/>
        <v>34984.069714311212</v>
      </c>
      <c r="AP414" s="527">
        <f t="shared" si="599"/>
        <v>36299.748288781557</v>
      </c>
      <c r="AQ414" s="527">
        <f t="shared" si="599"/>
        <v>36299.748288781557</v>
      </c>
      <c r="AR414" s="527">
        <f t="shared" si="599"/>
        <v>36299.748288781557</v>
      </c>
      <c r="AS414" s="527">
        <f t="shared" si="599"/>
        <v>36299.748288781557</v>
      </c>
      <c r="AT414" s="527">
        <f t="shared" si="599"/>
        <v>36299.748288781557</v>
      </c>
      <c r="AU414" s="527">
        <f t="shared" si="599"/>
        <v>36299.748288781557</v>
      </c>
      <c r="AV414" s="527">
        <f t="shared" si="599"/>
        <v>42646.148115443175</v>
      </c>
      <c r="AW414" s="527">
        <f t="shared" si="599"/>
        <v>42646.148115443175</v>
      </c>
      <c r="AX414" s="527">
        <f t="shared" ref="AX414:BY414" si="600">AX248+AX256+AX264+AX272+AX292+AX300+AX308+AX316+AX340+AX348+AX360+AX368+AX376+AX384+AX396+AX404</f>
        <v>42646.148115443175</v>
      </c>
      <c r="AY414" s="527">
        <f t="shared" si="600"/>
        <v>42646.148115443175</v>
      </c>
      <c r="AZ414" s="527">
        <f t="shared" si="600"/>
        <v>42646.148115443175</v>
      </c>
      <c r="BA414" s="527">
        <f t="shared" si="600"/>
        <v>42646.148115443175</v>
      </c>
      <c r="BB414" s="527">
        <f t="shared" si="600"/>
        <v>42646.148115443168</v>
      </c>
      <c r="BC414" s="527">
        <f t="shared" si="600"/>
        <v>42646.148115443168</v>
      </c>
      <c r="BD414" s="527">
        <f t="shared" si="600"/>
        <v>42646.148115443168</v>
      </c>
      <c r="BE414" s="527">
        <f t="shared" si="600"/>
        <v>42646.148115443168</v>
      </c>
      <c r="BF414" s="527">
        <f t="shared" si="600"/>
        <v>42646.148115443168</v>
      </c>
      <c r="BG414" s="527">
        <f t="shared" si="600"/>
        <v>42646.148115443168</v>
      </c>
      <c r="BH414" s="527">
        <f t="shared" si="600"/>
        <v>44351.994040060912</v>
      </c>
      <c r="BI414" s="527">
        <f t="shared" si="600"/>
        <v>44351.994040060912</v>
      </c>
      <c r="BJ414" s="527">
        <f t="shared" si="600"/>
        <v>44351.994040060912</v>
      </c>
      <c r="BK414" s="527">
        <f t="shared" si="600"/>
        <v>44351.994040060912</v>
      </c>
      <c r="BL414" s="527">
        <f t="shared" si="600"/>
        <v>44351.994040060912</v>
      </c>
      <c r="BM414" s="527">
        <f t="shared" si="600"/>
        <v>44351.994040060912</v>
      </c>
      <c r="BN414" s="527">
        <f t="shared" si="600"/>
        <v>44351.994040060912</v>
      </c>
      <c r="BO414" s="527">
        <f t="shared" si="600"/>
        <v>44351.994040060912</v>
      </c>
      <c r="BP414" s="527">
        <f t="shared" si="600"/>
        <v>44351.994040060912</v>
      </c>
      <c r="BQ414" s="527">
        <f t="shared" si="600"/>
        <v>44351.994040060912</v>
      </c>
      <c r="BR414" s="527">
        <f t="shared" si="600"/>
        <v>44351.994040060912</v>
      </c>
      <c r="BS414" s="527">
        <f t="shared" si="600"/>
        <v>44351.994040060912</v>
      </c>
      <c r="BT414" s="527">
        <f t="shared" si="600"/>
        <v>46126.073801663348</v>
      </c>
      <c r="BU414" s="527">
        <f t="shared" si="600"/>
        <v>46126.073801663348</v>
      </c>
      <c r="BV414" s="527">
        <f t="shared" si="600"/>
        <v>46126.073801663348</v>
      </c>
      <c r="BW414" s="527">
        <f t="shared" si="600"/>
        <v>46126.073801663348</v>
      </c>
      <c r="BX414" s="527">
        <f t="shared" si="600"/>
        <v>46126.073801663348</v>
      </c>
      <c r="BY414" s="527">
        <f t="shared" si="600"/>
        <v>46126.073801663348</v>
      </c>
    </row>
    <row r="415" spans="1:77" x14ac:dyDescent="0.3">
      <c r="A415" s="551"/>
      <c r="B415" s="548"/>
      <c r="C415" s="525"/>
      <c r="D415" s="525"/>
      <c r="E415" s="641" t="str">
        <f>"Implied EBITDA: "&amp;E$158</f>
        <v>Implied EBITDA: FY30 Tranche</v>
      </c>
      <c r="F415" s="525"/>
      <c r="G415" s="525"/>
      <c r="H415" s="525"/>
      <c r="I415" s="525"/>
      <c r="J415" s="525"/>
      <c r="K415" s="525"/>
      <c r="L415" s="525"/>
      <c r="M415" s="525"/>
      <c r="N415" s="525"/>
      <c r="O415" s="525"/>
      <c r="P415" s="565"/>
      <c r="Q415" s="525"/>
      <c r="R415" s="527">
        <f t="shared" ref="R415:AW415" si="601">R249+R257+R265+R273+R293+R301+R309+R317+R341+R349+R361+R369+R377+R385+R397+R405</f>
        <v>33654.89683028117</v>
      </c>
      <c r="S415" s="527">
        <f t="shared" si="601"/>
        <v>33654.89683028117</v>
      </c>
      <c r="T415" s="527">
        <f t="shared" si="601"/>
        <v>33654.89683028117</v>
      </c>
      <c r="U415" s="527">
        <f t="shared" si="601"/>
        <v>33654.89683028117</v>
      </c>
      <c r="V415" s="527">
        <f t="shared" si="601"/>
        <v>33654.89683028117</v>
      </c>
      <c r="W415" s="527">
        <f t="shared" si="601"/>
        <v>33654.89683028117</v>
      </c>
      <c r="X415" s="527">
        <f t="shared" si="601"/>
        <v>33654.89683028117</v>
      </c>
      <c r="Y415" s="527">
        <f t="shared" si="601"/>
        <v>33654.89683028117</v>
      </c>
      <c r="Z415" s="527">
        <f t="shared" si="601"/>
        <v>33654.89683028117</v>
      </c>
      <c r="AA415" s="527">
        <f t="shared" si="601"/>
        <v>33654.89683028117</v>
      </c>
      <c r="AB415" s="527">
        <f t="shared" si="601"/>
        <v>33654.89683028117</v>
      </c>
      <c r="AC415" s="527">
        <f t="shared" si="601"/>
        <v>33654.89683028117</v>
      </c>
      <c r="AD415" s="527">
        <f t="shared" si="601"/>
        <v>34984.069714311212</v>
      </c>
      <c r="AE415" s="527">
        <f t="shared" si="601"/>
        <v>34984.069714311212</v>
      </c>
      <c r="AF415" s="527">
        <f t="shared" si="601"/>
        <v>34984.069714311212</v>
      </c>
      <c r="AG415" s="527">
        <f t="shared" si="601"/>
        <v>34984.069714311212</v>
      </c>
      <c r="AH415" s="527">
        <f t="shared" si="601"/>
        <v>34984.069714311212</v>
      </c>
      <c r="AI415" s="527">
        <f t="shared" si="601"/>
        <v>34984.069714311212</v>
      </c>
      <c r="AJ415" s="527">
        <f t="shared" si="601"/>
        <v>34984.069714311212</v>
      </c>
      <c r="AK415" s="527">
        <f t="shared" si="601"/>
        <v>34984.069714311212</v>
      </c>
      <c r="AL415" s="527">
        <f t="shared" si="601"/>
        <v>34984.069714311212</v>
      </c>
      <c r="AM415" s="527">
        <f t="shared" si="601"/>
        <v>34984.069714311212</v>
      </c>
      <c r="AN415" s="527">
        <f t="shared" si="601"/>
        <v>34984.069714311212</v>
      </c>
      <c r="AO415" s="527">
        <f t="shared" si="601"/>
        <v>34984.069714311212</v>
      </c>
      <c r="AP415" s="527">
        <f t="shared" si="601"/>
        <v>36299.748288781557</v>
      </c>
      <c r="AQ415" s="527">
        <f t="shared" si="601"/>
        <v>36299.748288781557</v>
      </c>
      <c r="AR415" s="527">
        <f t="shared" si="601"/>
        <v>36299.748288781557</v>
      </c>
      <c r="AS415" s="527">
        <f t="shared" si="601"/>
        <v>36299.748288781557</v>
      </c>
      <c r="AT415" s="527">
        <f t="shared" si="601"/>
        <v>36299.748288781557</v>
      </c>
      <c r="AU415" s="527">
        <f t="shared" si="601"/>
        <v>36299.748288781557</v>
      </c>
      <c r="AV415" s="527">
        <f t="shared" si="601"/>
        <v>36299.748288781557</v>
      </c>
      <c r="AW415" s="527">
        <f t="shared" si="601"/>
        <v>36299.748288781557</v>
      </c>
      <c r="AX415" s="527">
        <f t="shared" ref="AX415:BY415" si="602">AX249+AX257+AX265+AX273+AX293+AX301+AX309+AX317+AX341+AX349+AX361+AX369+AX377+AX385+AX397+AX405</f>
        <v>36299.748288781557</v>
      </c>
      <c r="AY415" s="527">
        <f t="shared" si="602"/>
        <v>36299.748288781557</v>
      </c>
      <c r="AZ415" s="527">
        <f t="shared" si="602"/>
        <v>36299.748288781557</v>
      </c>
      <c r="BA415" s="527">
        <f t="shared" si="602"/>
        <v>36299.748288781557</v>
      </c>
      <c r="BB415" s="527">
        <f t="shared" si="602"/>
        <v>37540.458564518769</v>
      </c>
      <c r="BC415" s="527">
        <f t="shared" si="602"/>
        <v>37540.458564518769</v>
      </c>
      <c r="BD415" s="527">
        <f t="shared" si="602"/>
        <v>37540.458564518769</v>
      </c>
      <c r="BE415" s="527">
        <f t="shared" si="602"/>
        <v>37540.458564518769</v>
      </c>
      <c r="BF415" s="527">
        <f t="shared" si="602"/>
        <v>37540.458564518769</v>
      </c>
      <c r="BG415" s="527">
        <f t="shared" si="602"/>
        <v>37540.458564518769</v>
      </c>
      <c r="BH415" s="527">
        <f t="shared" si="602"/>
        <v>44018.086890783517</v>
      </c>
      <c r="BI415" s="527">
        <f t="shared" si="602"/>
        <v>44018.086890783517</v>
      </c>
      <c r="BJ415" s="527">
        <f t="shared" si="602"/>
        <v>44018.086890783517</v>
      </c>
      <c r="BK415" s="527">
        <f t="shared" si="602"/>
        <v>44018.086890783517</v>
      </c>
      <c r="BL415" s="527">
        <f t="shared" si="602"/>
        <v>44018.086890783517</v>
      </c>
      <c r="BM415" s="527">
        <f t="shared" si="602"/>
        <v>44018.086890783517</v>
      </c>
      <c r="BN415" s="527">
        <f t="shared" si="602"/>
        <v>44018.086890783532</v>
      </c>
      <c r="BO415" s="527">
        <f t="shared" si="602"/>
        <v>44018.086890783532</v>
      </c>
      <c r="BP415" s="527">
        <f t="shared" si="602"/>
        <v>44018.086890783532</v>
      </c>
      <c r="BQ415" s="527">
        <f t="shared" si="602"/>
        <v>44018.086890783532</v>
      </c>
      <c r="BR415" s="527">
        <f t="shared" si="602"/>
        <v>44018.086890783532</v>
      </c>
      <c r="BS415" s="527">
        <f t="shared" si="602"/>
        <v>44018.086890783532</v>
      </c>
      <c r="BT415" s="527">
        <f t="shared" si="602"/>
        <v>45778.810366414873</v>
      </c>
      <c r="BU415" s="527">
        <f t="shared" si="602"/>
        <v>45778.810366414873</v>
      </c>
      <c r="BV415" s="527">
        <f t="shared" si="602"/>
        <v>45778.810366414873</v>
      </c>
      <c r="BW415" s="527">
        <f t="shared" si="602"/>
        <v>45778.810366414873</v>
      </c>
      <c r="BX415" s="527">
        <f t="shared" si="602"/>
        <v>45778.810366414873</v>
      </c>
      <c r="BY415" s="527">
        <f t="shared" si="602"/>
        <v>45778.810366414873</v>
      </c>
    </row>
    <row r="416" spans="1:77" x14ac:dyDescent="0.3">
      <c r="A416" s="551"/>
      <c r="B416" s="548"/>
      <c r="C416" s="525"/>
      <c r="D416" s="525"/>
      <c r="E416" s="641" t="str">
        <f>"Implied EBITDA: "&amp;E$159</f>
        <v>Implied EBITDA: FY31 Tranche</v>
      </c>
      <c r="F416" s="525"/>
      <c r="G416" s="525"/>
      <c r="H416" s="525"/>
      <c r="I416" s="525"/>
      <c r="J416" s="525"/>
      <c r="K416" s="525"/>
      <c r="L416" s="525"/>
      <c r="M416" s="525"/>
      <c r="N416" s="525"/>
      <c r="O416" s="525"/>
      <c r="P416" s="565"/>
      <c r="Q416" s="525"/>
      <c r="R416" s="527">
        <f t="shared" ref="R416:AW416" si="603">R250+R258+R266+R274+R294+R302+R310+R318+R342+R350+R362+R370+R378+R386+R398+R406</f>
        <v>33654.89683028117</v>
      </c>
      <c r="S416" s="527">
        <f t="shared" si="603"/>
        <v>33654.89683028117</v>
      </c>
      <c r="T416" s="527">
        <f t="shared" si="603"/>
        <v>33654.89683028117</v>
      </c>
      <c r="U416" s="527">
        <f t="shared" si="603"/>
        <v>33654.89683028117</v>
      </c>
      <c r="V416" s="527">
        <f t="shared" si="603"/>
        <v>33654.89683028117</v>
      </c>
      <c r="W416" s="527">
        <f t="shared" si="603"/>
        <v>33654.89683028117</v>
      </c>
      <c r="X416" s="527">
        <f t="shared" si="603"/>
        <v>33654.89683028117</v>
      </c>
      <c r="Y416" s="527">
        <f t="shared" si="603"/>
        <v>33654.89683028117</v>
      </c>
      <c r="Z416" s="527">
        <f t="shared" si="603"/>
        <v>33654.89683028117</v>
      </c>
      <c r="AA416" s="527">
        <f t="shared" si="603"/>
        <v>33654.89683028117</v>
      </c>
      <c r="AB416" s="527">
        <f t="shared" si="603"/>
        <v>33654.89683028117</v>
      </c>
      <c r="AC416" s="527">
        <f t="shared" si="603"/>
        <v>33654.89683028117</v>
      </c>
      <c r="AD416" s="527">
        <f t="shared" si="603"/>
        <v>34984.069714311212</v>
      </c>
      <c r="AE416" s="527">
        <f t="shared" si="603"/>
        <v>34984.069714311212</v>
      </c>
      <c r="AF416" s="527">
        <f t="shared" si="603"/>
        <v>34984.069714311212</v>
      </c>
      <c r="AG416" s="527">
        <f t="shared" si="603"/>
        <v>34984.069714311212</v>
      </c>
      <c r="AH416" s="527">
        <f t="shared" si="603"/>
        <v>34984.069714311212</v>
      </c>
      <c r="AI416" s="527">
        <f t="shared" si="603"/>
        <v>34984.069714311212</v>
      </c>
      <c r="AJ416" s="527">
        <f t="shared" si="603"/>
        <v>34984.069714311212</v>
      </c>
      <c r="AK416" s="527">
        <f t="shared" si="603"/>
        <v>34984.069714311212</v>
      </c>
      <c r="AL416" s="527">
        <f t="shared" si="603"/>
        <v>34984.069714311212</v>
      </c>
      <c r="AM416" s="527">
        <f t="shared" si="603"/>
        <v>34984.069714311212</v>
      </c>
      <c r="AN416" s="527">
        <f t="shared" si="603"/>
        <v>34984.069714311212</v>
      </c>
      <c r="AO416" s="527">
        <f t="shared" si="603"/>
        <v>34984.069714311212</v>
      </c>
      <c r="AP416" s="527">
        <f t="shared" si="603"/>
        <v>36299.748288781557</v>
      </c>
      <c r="AQ416" s="527">
        <f t="shared" si="603"/>
        <v>36299.748288781557</v>
      </c>
      <c r="AR416" s="527">
        <f t="shared" si="603"/>
        <v>36299.748288781557</v>
      </c>
      <c r="AS416" s="527">
        <f t="shared" si="603"/>
        <v>36299.748288781557</v>
      </c>
      <c r="AT416" s="527">
        <f t="shared" si="603"/>
        <v>36299.748288781557</v>
      </c>
      <c r="AU416" s="527">
        <f t="shared" si="603"/>
        <v>36299.748288781557</v>
      </c>
      <c r="AV416" s="527">
        <f t="shared" si="603"/>
        <v>36299.748288781557</v>
      </c>
      <c r="AW416" s="527">
        <f t="shared" si="603"/>
        <v>36299.748288781557</v>
      </c>
      <c r="AX416" s="527">
        <f t="shared" ref="AX416:BY416" si="604">AX250+AX258+AX266+AX274+AX294+AX302+AX310+AX318+AX342+AX350+AX362+AX370+AX378+AX386+AX398+AX406</f>
        <v>36299.748288781557</v>
      </c>
      <c r="AY416" s="527">
        <f t="shared" si="604"/>
        <v>36299.748288781557</v>
      </c>
      <c r="AZ416" s="527">
        <f t="shared" si="604"/>
        <v>36299.748288781557</v>
      </c>
      <c r="BA416" s="527">
        <f t="shared" si="604"/>
        <v>36299.748288781557</v>
      </c>
      <c r="BB416" s="527">
        <f t="shared" si="604"/>
        <v>37540.458564518769</v>
      </c>
      <c r="BC416" s="527">
        <f t="shared" si="604"/>
        <v>37540.458564518769</v>
      </c>
      <c r="BD416" s="527">
        <f t="shared" si="604"/>
        <v>37540.458564518769</v>
      </c>
      <c r="BE416" s="527">
        <f t="shared" si="604"/>
        <v>37540.458564518769</v>
      </c>
      <c r="BF416" s="527">
        <f t="shared" si="604"/>
        <v>37540.458564518769</v>
      </c>
      <c r="BG416" s="527">
        <f t="shared" si="604"/>
        <v>37540.458564518769</v>
      </c>
      <c r="BH416" s="527">
        <f t="shared" si="604"/>
        <v>37540.458564518769</v>
      </c>
      <c r="BI416" s="527">
        <f t="shared" si="604"/>
        <v>37540.458564518769</v>
      </c>
      <c r="BJ416" s="527">
        <f t="shared" si="604"/>
        <v>37540.458564518769</v>
      </c>
      <c r="BK416" s="527">
        <f t="shared" si="604"/>
        <v>37540.458564518769</v>
      </c>
      <c r="BL416" s="527">
        <f t="shared" si="604"/>
        <v>37540.458564518769</v>
      </c>
      <c r="BM416" s="527">
        <f t="shared" si="604"/>
        <v>37540.458564518769</v>
      </c>
      <c r="BN416" s="527">
        <f t="shared" si="604"/>
        <v>38773.524004893094</v>
      </c>
      <c r="BO416" s="527">
        <f t="shared" si="604"/>
        <v>38773.524004893094</v>
      </c>
      <c r="BP416" s="527">
        <f t="shared" si="604"/>
        <v>38773.524004893094</v>
      </c>
      <c r="BQ416" s="527">
        <f t="shared" si="604"/>
        <v>38773.524004893094</v>
      </c>
      <c r="BR416" s="527">
        <f t="shared" si="604"/>
        <v>38773.524004893094</v>
      </c>
      <c r="BS416" s="527">
        <f t="shared" si="604"/>
        <v>38773.524004893094</v>
      </c>
      <c r="BT416" s="527">
        <f t="shared" si="604"/>
        <v>45377.569576879665</v>
      </c>
      <c r="BU416" s="527">
        <f t="shared" si="604"/>
        <v>45377.569576879665</v>
      </c>
      <c r="BV416" s="527">
        <f t="shared" si="604"/>
        <v>45377.569576879665</v>
      </c>
      <c r="BW416" s="527">
        <f t="shared" si="604"/>
        <v>45377.569576879665</v>
      </c>
      <c r="BX416" s="527">
        <f t="shared" si="604"/>
        <v>45377.569576879665</v>
      </c>
      <c r="BY416" s="527">
        <f t="shared" si="604"/>
        <v>45377.569576879665</v>
      </c>
    </row>
    <row r="417" spans="1:77" x14ac:dyDescent="0.3">
      <c r="A417" s="551"/>
      <c r="B417" s="548"/>
      <c r="C417" s="525"/>
      <c r="D417" s="525"/>
      <c r="E417" s="641" t="str">
        <f>"Implied EBITDA: "&amp;E$160</f>
        <v>Implied EBITDA: Uninvested Tranche</v>
      </c>
      <c r="F417" s="525"/>
      <c r="G417" s="525"/>
      <c r="H417" s="525"/>
      <c r="I417" s="525"/>
      <c r="J417" s="525"/>
      <c r="K417" s="525"/>
      <c r="L417" s="525"/>
      <c r="M417" s="525"/>
      <c r="N417" s="525"/>
      <c r="O417" s="525"/>
      <c r="P417" s="565"/>
      <c r="Q417" s="525"/>
      <c r="R417" s="527">
        <f t="shared" ref="R417:AW417" si="605">R251+R259+R267+R275+R295+R303+R311+R319+R343+R351+R363+R371+R379+R387+R399+R407</f>
        <v>92550.966283273228</v>
      </c>
      <c r="S417" s="527">
        <f t="shared" si="605"/>
        <v>92550.966283273228</v>
      </c>
      <c r="T417" s="527">
        <f t="shared" si="605"/>
        <v>92550.966283273228</v>
      </c>
      <c r="U417" s="527">
        <f t="shared" si="605"/>
        <v>92550.966283273228</v>
      </c>
      <c r="V417" s="527">
        <f t="shared" si="605"/>
        <v>92550.966283273228</v>
      </c>
      <c r="W417" s="527">
        <f t="shared" si="605"/>
        <v>92550.966283273228</v>
      </c>
      <c r="X417" s="527">
        <f t="shared" si="605"/>
        <v>92550.966283273228</v>
      </c>
      <c r="Y417" s="527">
        <f t="shared" si="605"/>
        <v>92550.966283273228</v>
      </c>
      <c r="Z417" s="527">
        <f t="shared" si="605"/>
        <v>92550.966283273228</v>
      </c>
      <c r="AA417" s="527">
        <f t="shared" si="605"/>
        <v>92550.966283273228</v>
      </c>
      <c r="AB417" s="527">
        <f t="shared" si="605"/>
        <v>92550.966283273228</v>
      </c>
      <c r="AC417" s="527">
        <f t="shared" si="605"/>
        <v>92550.966283273228</v>
      </c>
      <c r="AD417" s="527">
        <f t="shared" si="605"/>
        <v>96206.191714355868</v>
      </c>
      <c r="AE417" s="527">
        <f t="shared" si="605"/>
        <v>96206.191714355868</v>
      </c>
      <c r="AF417" s="527">
        <f t="shared" si="605"/>
        <v>96206.191714355868</v>
      </c>
      <c r="AG417" s="527">
        <f t="shared" si="605"/>
        <v>96206.191714355868</v>
      </c>
      <c r="AH417" s="527">
        <f t="shared" si="605"/>
        <v>96206.191714355868</v>
      </c>
      <c r="AI417" s="527">
        <f t="shared" si="605"/>
        <v>96206.191714355868</v>
      </c>
      <c r="AJ417" s="527">
        <f t="shared" si="605"/>
        <v>96206.191714355868</v>
      </c>
      <c r="AK417" s="527">
        <f t="shared" si="605"/>
        <v>96206.191714355868</v>
      </c>
      <c r="AL417" s="527">
        <f t="shared" si="605"/>
        <v>96206.191714355868</v>
      </c>
      <c r="AM417" s="527">
        <f t="shared" si="605"/>
        <v>96206.191714355868</v>
      </c>
      <c r="AN417" s="527">
        <f t="shared" si="605"/>
        <v>96206.191714355868</v>
      </c>
      <c r="AO417" s="527">
        <f t="shared" si="605"/>
        <v>96206.191714355868</v>
      </c>
      <c r="AP417" s="527">
        <f t="shared" si="605"/>
        <v>99824.307794149281</v>
      </c>
      <c r="AQ417" s="527">
        <f t="shared" si="605"/>
        <v>99824.307794149281</v>
      </c>
      <c r="AR417" s="527">
        <f t="shared" si="605"/>
        <v>99824.307794149281</v>
      </c>
      <c r="AS417" s="527">
        <f t="shared" si="605"/>
        <v>99824.307794149281</v>
      </c>
      <c r="AT417" s="527">
        <f t="shared" si="605"/>
        <v>99824.307794149281</v>
      </c>
      <c r="AU417" s="527">
        <f t="shared" si="605"/>
        <v>99824.307794149281</v>
      </c>
      <c r="AV417" s="527">
        <f t="shared" si="605"/>
        <v>99824.307794149281</v>
      </c>
      <c r="AW417" s="527">
        <f t="shared" si="605"/>
        <v>99824.307794149281</v>
      </c>
      <c r="AX417" s="527">
        <f t="shared" ref="AX417:BY417" si="606">AX251+AX259+AX267+AX275+AX295+AX303+AX311+AX319+AX343+AX351+AX363+AX371+AX379+AX387+AX399+AX407</f>
        <v>99824.307794149281</v>
      </c>
      <c r="AY417" s="527">
        <f t="shared" si="606"/>
        <v>99824.307794149281</v>
      </c>
      <c r="AZ417" s="527">
        <f t="shared" si="606"/>
        <v>99824.307794149281</v>
      </c>
      <c r="BA417" s="527">
        <f t="shared" si="606"/>
        <v>99824.307794149281</v>
      </c>
      <c r="BB417" s="527">
        <f t="shared" si="606"/>
        <v>103236.26105242662</v>
      </c>
      <c r="BC417" s="527">
        <f t="shared" si="606"/>
        <v>103236.26105242662</v>
      </c>
      <c r="BD417" s="527">
        <f t="shared" si="606"/>
        <v>103236.26105242662</v>
      </c>
      <c r="BE417" s="527">
        <f t="shared" si="606"/>
        <v>103236.26105242662</v>
      </c>
      <c r="BF417" s="527">
        <f t="shared" si="606"/>
        <v>103236.26105242662</v>
      </c>
      <c r="BG417" s="527">
        <f t="shared" si="606"/>
        <v>103236.26105242662</v>
      </c>
      <c r="BH417" s="527">
        <f t="shared" si="606"/>
        <v>103236.26105242662</v>
      </c>
      <c r="BI417" s="527">
        <f t="shared" si="606"/>
        <v>103236.26105242662</v>
      </c>
      <c r="BJ417" s="527">
        <f t="shared" si="606"/>
        <v>103236.26105242662</v>
      </c>
      <c r="BK417" s="527">
        <f t="shared" si="606"/>
        <v>103236.26105242662</v>
      </c>
      <c r="BL417" s="527">
        <f t="shared" si="606"/>
        <v>103236.26105242662</v>
      </c>
      <c r="BM417" s="527">
        <f t="shared" si="606"/>
        <v>103236.26105242662</v>
      </c>
      <c r="BN417" s="527">
        <f t="shared" si="606"/>
        <v>106627.19101345599</v>
      </c>
      <c r="BO417" s="527">
        <f t="shared" si="606"/>
        <v>106627.19101345599</v>
      </c>
      <c r="BP417" s="527">
        <f t="shared" si="606"/>
        <v>106627.19101345599</v>
      </c>
      <c r="BQ417" s="527">
        <f t="shared" si="606"/>
        <v>106627.19101345599</v>
      </c>
      <c r="BR417" s="527">
        <f t="shared" si="606"/>
        <v>106627.19101345599</v>
      </c>
      <c r="BS417" s="527">
        <f t="shared" si="606"/>
        <v>106627.19101345599</v>
      </c>
      <c r="BT417" s="527">
        <f t="shared" si="606"/>
        <v>106627.19101345599</v>
      </c>
      <c r="BU417" s="527">
        <f t="shared" si="606"/>
        <v>106627.19101345599</v>
      </c>
      <c r="BV417" s="527">
        <f t="shared" si="606"/>
        <v>106627.19101345599</v>
      </c>
      <c r="BW417" s="527">
        <f t="shared" si="606"/>
        <v>106627.19101345599</v>
      </c>
      <c r="BX417" s="527">
        <f t="shared" si="606"/>
        <v>106627.19101345599</v>
      </c>
      <c r="BY417" s="527">
        <f t="shared" si="606"/>
        <v>106627.19101345599</v>
      </c>
    </row>
    <row r="418" spans="1:77" x14ac:dyDescent="0.3">
      <c r="A418" s="551"/>
      <c r="B418" s="548"/>
      <c r="C418" s="525"/>
      <c r="D418" s="525"/>
      <c r="E418" s="572" t="s">
        <v>36</v>
      </c>
      <c r="F418" s="572"/>
      <c r="G418" s="572"/>
      <c r="H418" s="572"/>
      <c r="I418" s="572"/>
      <c r="J418" s="572"/>
      <c r="K418" s="572"/>
      <c r="L418" s="572"/>
      <c r="M418" s="572"/>
      <c r="N418" s="572"/>
      <c r="O418" s="572"/>
      <c r="P418" s="612"/>
      <c r="Q418" s="572"/>
      <c r="R418" s="530">
        <f t="shared" ref="R418:AW418" si="607">SUM(R412:R417)</f>
        <v>260825.45043467911</v>
      </c>
      <c r="S418" s="530">
        <f t="shared" si="607"/>
        <v>260825.45043467911</v>
      </c>
      <c r="T418" s="530">
        <f t="shared" si="607"/>
        <v>260825.45043467911</v>
      </c>
      <c r="U418" s="530">
        <f t="shared" si="607"/>
        <v>260825.45043467911</v>
      </c>
      <c r="V418" s="530">
        <f t="shared" si="607"/>
        <v>260825.45043467911</v>
      </c>
      <c r="W418" s="530">
        <f t="shared" si="607"/>
        <v>260825.45043467911</v>
      </c>
      <c r="X418" s="530">
        <f t="shared" si="607"/>
        <v>266886.70321365481</v>
      </c>
      <c r="Y418" s="530">
        <f t="shared" si="607"/>
        <v>266886.70321365481</v>
      </c>
      <c r="Z418" s="530">
        <f t="shared" si="607"/>
        <v>266886.70321365481</v>
      </c>
      <c r="AA418" s="530">
        <f t="shared" si="607"/>
        <v>266886.70321365481</v>
      </c>
      <c r="AB418" s="530">
        <f t="shared" si="607"/>
        <v>266886.70321365481</v>
      </c>
      <c r="AC418" s="530">
        <f t="shared" si="607"/>
        <v>266886.70321365481</v>
      </c>
      <c r="AD418" s="530">
        <f t="shared" si="607"/>
        <v>275858.6201808576</v>
      </c>
      <c r="AE418" s="530">
        <f t="shared" si="607"/>
        <v>275858.6201808576</v>
      </c>
      <c r="AF418" s="530">
        <f t="shared" si="607"/>
        <v>275858.6201808576</v>
      </c>
      <c r="AG418" s="530">
        <f t="shared" si="607"/>
        <v>275858.6201808576</v>
      </c>
      <c r="AH418" s="530">
        <f t="shared" si="607"/>
        <v>275858.6201808576</v>
      </c>
      <c r="AI418" s="530">
        <f t="shared" si="607"/>
        <v>275858.6201808576</v>
      </c>
      <c r="AJ418" s="530">
        <f t="shared" si="607"/>
        <v>283654.29086287459</v>
      </c>
      <c r="AK418" s="530">
        <f t="shared" si="607"/>
        <v>283654.29086287459</v>
      </c>
      <c r="AL418" s="530">
        <f t="shared" si="607"/>
        <v>283654.29086287459</v>
      </c>
      <c r="AM418" s="530">
        <f t="shared" si="607"/>
        <v>283654.29086287459</v>
      </c>
      <c r="AN418" s="530">
        <f t="shared" si="607"/>
        <v>283654.29086287459</v>
      </c>
      <c r="AO418" s="530">
        <f t="shared" si="607"/>
        <v>283654.29086287459</v>
      </c>
      <c r="AP418" s="530">
        <f t="shared" si="607"/>
        <v>291219.44266607903</v>
      </c>
      <c r="AQ418" s="530">
        <f t="shared" si="607"/>
        <v>291219.44266607903</v>
      </c>
      <c r="AR418" s="530">
        <f t="shared" si="607"/>
        <v>291219.44266607903</v>
      </c>
      <c r="AS418" s="530">
        <f t="shared" si="607"/>
        <v>291219.44266607903</v>
      </c>
      <c r="AT418" s="530">
        <f t="shared" si="607"/>
        <v>291219.44266607903</v>
      </c>
      <c r="AU418" s="530">
        <f t="shared" si="607"/>
        <v>291219.44266607903</v>
      </c>
      <c r="AV418" s="530">
        <f t="shared" si="607"/>
        <v>300865.67809296405</v>
      </c>
      <c r="AW418" s="530">
        <f t="shared" si="607"/>
        <v>300865.67809296405</v>
      </c>
      <c r="AX418" s="530">
        <f t="shared" ref="AX418:BY418" si="608">SUM(AX412:AX417)</f>
        <v>300865.67809296405</v>
      </c>
      <c r="AY418" s="530">
        <f t="shared" si="608"/>
        <v>300865.67809296405</v>
      </c>
      <c r="AZ418" s="530">
        <f t="shared" si="608"/>
        <v>300865.67809296405</v>
      </c>
      <c r="BA418" s="530">
        <f t="shared" si="608"/>
        <v>300865.67809296405</v>
      </c>
      <c r="BB418" s="530">
        <f t="shared" si="608"/>
        <v>306759.05190271582</v>
      </c>
      <c r="BC418" s="530">
        <f t="shared" si="608"/>
        <v>306759.05190271582</v>
      </c>
      <c r="BD418" s="530">
        <f t="shared" si="608"/>
        <v>306759.05190271582</v>
      </c>
      <c r="BE418" s="530">
        <f t="shared" si="608"/>
        <v>306759.05190271582</v>
      </c>
      <c r="BF418" s="530">
        <f t="shared" si="608"/>
        <v>306759.05190271582</v>
      </c>
      <c r="BG418" s="530">
        <f t="shared" si="608"/>
        <v>306759.05190271582</v>
      </c>
      <c r="BH418" s="530">
        <f t="shared" si="608"/>
        <v>318374.35517783067</v>
      </c>
      <c r="BI418" s="530">
        <f t="shared" si="608"/>
        <v>318374.35517783067</v>
      </c>
      <c r="BJ418" s="530">
        <f t="shared" si="608"/>
        <v>318374.35517783067</v>
      </c>
      <c r="BK418" s="530">
        <f t="shared" si="608"/>
        <v>318374.35517783067</v>
      </c>
      <c r="BL418" s="530">
        <f t="shared" si="608"/>
        <v>318374.35517783067</v>
      </c>
      <c r="BM418" s="530">
        <f t="shared" si="608"/>
        <v>318374.35517783067</v>
      </c>
      <c r="BN418" s="530">
        <f t="shared" si="608"/>
        <v>322998.35057923436</v>
      </c>
      <c r="BO418" s="530">
        <f t="shared" si="608"/>
        <v>322998.35057923436</v>
      </c>
      <c r="BP418" s="530">
        <f t="shared" si="608"/>
        <v>322998.35057923436</v>
      </c>
      <c r="BQ418" s="530">
        <f t="shared" si="608"/>
        <v>322998.35057923436</v>
      </c>
      <c r="BR418" s="530">
        <f t="shared" si="608"/>
        <v>322998.35057923436</v>
      </c>
      <c r="BS418" s="530">
        <f t="shared" si="608"/>
        <v>322998.35057923436</v>
      </c>
      <c r="BT418" s="530">
        <f t="shared" si="608"/>
        <v>336706.30157365638</v>
      </c>
      <c r="BU418" s="530">
        <f t="shared" si="608"/>
        <v>336706.30157365638</v>
      </c>
      <c r="BV418" s="530">
        <f t="shared" si="608"/>
        <v>336706.30157365638</v>
      </c>
      <c r="BW418" s="530">
        <f t="shared" si="608"/>
        <v>336706.30157365638</v>
      </c>
      <c r="BX418" s="530">
        <f t="shared" si="608"/>
        <v>336706.30157365638</v>
      </c>
      <c r="BY418" s="530">
        <f t="shared" si="608"/>
        <v>336706.30157365638</v>
      </c>
    </row>
    <row r="419" spans="1:77" x14ac:dyDescent="0.3">
      <c r="A419" s="551"/>
      <c r="B419" s="548"/>
      <c r="C419" s="525"/>
      <c r="D419" s="525"/>
      <c r="E419" s="525"/>
      <c r="F419" s="525"/>
      <c r="G419" s="525"/>
      <c r="H419" s="525"/>
      <c r="I419" s="525"/>
      <c r="J419" s="525"/>
      <c r="K419" s="525"/>
      <c r="L419" s="525"/>
      <c r="M419" s="525"/>
      <c r="N419" s="525"/>
      <c r="O419" s="525"/>
      <c r="P419" s="565"/>
      <c r="Q419" s="525"/>
      <c r="R419" s="525"/>
      <c r="S419" s="525"/>
      <c r="T419" s="525"/>
      <c r="U419" s="525"/>
      <c r="V419" s="525"/>
      <c r="W419" s="525"/>
      <c r="X419" s="525"/>
      <c r="Y419" s="525"/>
      <c r="Z419" s="525"/>
      <c r="AA419" s="525"/>
      <c r="AB419" s="525"/>
      <c r="AC419" s="525"/>
      <c r="AD419" s="525"/>
      <c r="AE419" s="525"/>
      <c r="AF419" s="525"/>
      <c r="AG419" s="525"/>
      <c r="AH419" s="525"/>
      <c r="AI419" s="525"/>
      <c r="AJ419" s="525"/>
      <c r="AK419" s="525"/>
      <c r="AL419" s="525"/>
      <c r="AM419" s="525"/>
      <c r="AN419" s="525"/>
      <c r="AO419" s="525"/>
      <c r="AP419" s="525"/>
      <c r="AQ419" s="525"/>
      <c r="AR419" s="525"/>
      <c r="AS419" s="525"/>
      <c r="AT419" s="525"/>
      <c r="AU419" s="525"/>
      <c r="AV419" s="525"/>
      <c r="AW419" s="525"/>
      <c r="AX419" s="525"/>
      <c r="AY419" s="525"/>
      <c r="AZ419" s="525"/>
      <c r="BA419" s="525"/>
      <c r="BB419" s="525"/>
      <c r="BC419" s="525"/>
      <c r="BD419" s="525"/>
      <c r="BE419" s="525"/>
      <c r="BF419" s="525"/>
      <c r="BG419" s="525"/>
      <c r="BH419" s="525"/>
      <c r="BI419" s="525"/>
      <c r="BJ419" s="525"/>
      <c r="BK419" s="525"/>
      <c r="BL419" s="525"/>
      <c r="BM419" s="525"/>
      <c r="BN419" s="525"/>
      <c r="BO419" s="525"/>
      <c r="BP419" s="525"/>
      <c r="BQ419" s="525"/>
      <c r="BR419" s="525"/>
      <c r="BS419" s="525"/>
      <c r="BT419" s="525"/>
      <c r="BU419" s="525"/>
      <c r="BV419" s="525"/>
      <c r="BW419" s="525"/>
      <c r="BX419" s="525"/>
      <c r="BY419" s="525"/>
    </row>
    <row r="420" spans="1:77" x14ac:dyDescent="0.3">
      <c r="A420" s="551"/>
      <c r="B420" s="548"/>
      <c r="C420" s="525"/>
      <c r="D420" s="525"/>
      <c r="E420" s="642" t="str">
        <f>"EBITDA uplift: "&amp;E$155</f>
        <v>EBITDA uplift: FY27 Tranche</v>
      </c>
      <c r="F420" s="525"/>
      <c r="G420" s="525"/>
      <c r="H420" s="525"/>
      <c r="I420" s="525"/>
      <c r="J420" s="525"/>
      <c r="K420" s="525"/>
      <c r="L420" s="525"/>
      <c r="M420" s="525"/>
      <c r="N420" s="525"/>
      <c r="O420" s="525"/>
      <c r="P420" s="565"/>
      <c r="Q420" s="525"/>
      <c r="R420" s="643">
        <f t="shared" ref="R420:R425" si="609">IFERROR((INDEX(R412:BY412,MATCH(EOMONTH(V155,1),$R$4:$BY$4,0))/(INDEX(R412:BY412,MATCH(T155,$R$4:$BY$4,0))))-1,"n/a")</f>
        <v>0.18010017411558654</v>
      </c>
      <c r="S420" s="525"/>
      <c r="T420" s="525"/>
      <c r="U420" s="525"/>
      <c r="V420" s="525"/>
      <c r="W420" s="525"/>
      <c r="X420" s="525"/>
      <c r="Y420" s="525"/>
      <c r="Z420" s="525"/>
      <c r="AA420" s="525"/>
      <c r="AB420" s="525"/>
      <c r="AC420" s="525"/>
      <c r="AD420" s="525"/>
      <c r="AE420" s="525"/>
      <c r="AF420" s="525"/>
      <c r="AG420" s="525"/>
      <c r="AH420" s="525"/>
      <c r="AI420" s="525"/>
      <c r="AJ420" s="525"/>
      <c r="AK420" s="525"/>
      <c r="AL420" s="525"/>
      <c r="AM420" s="525"/>
      <c r="AN420" s="525"/>
      <c r="AO420" s="525"/>
      <c r="AP420" s="525"/>
      <c r="AQ420" s="525"/>
      <c r="AR420" s="525"/>
      <c r="AS420" s="525"/>
      <c r="AT420" s="525"/>
      <c r="AU420" s="525"/>
      <c r="AV420" s="525"/>
      <c r="AW420" s="525"/>
      <c r="AX420" s="525"/>
      <c r="AY420" s="525"/>
      <c r="AZ420" s="525"/>
      <c r="BA420" s="525"/>
      <c r="BB420" s="525"/>
      <c r="BC420" s="525"/>
      <c r="BD420" s="525"/>
      <c r="BE420" s="525"/>
      <c r="BF420" s="525"/>
      <c r="BG420" s="525"/>
      <c r="BH420" s="525"/>
      <c r="BI420" s="525"/>
      <c r="BJ420" s="525"/>
      <c r="BK420" s="525"/>
      <c r="BL420" s="525"/>
      <c r="BM420" s="525"/>
      <c r="BN420" s="525"/>
      <c r="BO420" s="525"/>
      <c r="BP420" s="525"/>
      <c r="BQ420" s="525"/>
      <c r="BR420" s="525"/>
      <c r="BS420" s="525"/>
      <c r="BT420" s="525"/>
      <c r="BU420" s="525"/>
      <c r="BV420" s="525"/>
      <c r="BW420" s="525"/>
      <c r="BX420" s="525"/>
      <c r="BY420" s="525"/>
    </row>
    <row r="421" spans="1:77" x14ac:dyDescent="0.3">
      <c r="A421" s="551"/>
      <c r="B421" s="548"/>
      <c r="C421" s="525"/>
      <c r="D421" s="525"/>
      <c r="E421" s="642" t="str">
        <f>"EBITDA uplift: "&amp;E$156</f>
        <v>EBITDA uplift: FY28 Tranche</v>
      </c>
      <c r="F421" s="525"/>
      <c r="G421" s="525"/>
      <c r="H421" s="525"/>
      <c r="I421" s="525"/>
      <c r="J421" s="525"/>
      <c r="K421" s="525"/>
      <c r="L421" s="525"/>
      <c r="M421" s="525"/>
      <c r="N421" s="525"/>
      <c r="O421" s="525"/>
      <c r="P421" s="565"/>
      <c r="Q421" s="525"/>
      <c r="R421" s="643">
        <f t="shared" si="609"/>
        <v>0.17742431764899913</v>
      </c>
      <c r="S421" s="525"/>
      <c r="T421" s="525"/>
      <c r="U421" s="525"/>
      <c r="V421" s="525"/>
      <c r="W421" s="525"/>
      <c r="X421" s="525"/>
      <c r="Y421" s="525"/>
      <c r="Z421" s="525"/>
      <c r="AA421" s="525"/>
      <c r="AB421" s="525"/>
      <c r="AC421" s="525"/>
      <c r="AD421" s="525"/>
      <c r="AE421" s="525"/>
      <c r="AF421" s="525"/>
      <c r="AG421" s="525"/>
      <c r="AH421" s="525"/>
      <c r="AI421" s="525"/>
      <c r="AJ421" s="525"/>
      <c r="AK421" s="525"/>
      <c r="AL421" s="525"/>
      <c r="AM421" s="525"/>
      <c r="AN421" s="525"/>
      <c r="AO421" s="525"/>
      <c r="AP421" s="525"/>
      <c r="AQ421" s="525"/>
      <c r="AR421" s="525"/>
      <c r="AS421" s="525"/>
      <c r="AT421" s="525"/>
      <c r="AU421" s="525"/>
      <c r="AV421" s="525"/>
      <c r="AW421" s="525"/>
      <c r="AX421" s="525"/>
      <c r="AY421" s="525"/>
      <c r="AZ421" s="525"/>
      <c r="BA421" s="525"/>
      <c r="BB421" s="525"/>
      <c r="BC421" s="525"/>
      <c r="BD421" s="525"/>
      <c r="BE421" s="525"/>
      <c r="BF421" s="525"/>
      <c r="BG421" s="525"/>
      <c r="BH421" s="525"/>
      <c r="BI421" s="525"/>
      <c r="BJ421" s="525"/>
      <c r="BK421" s="525"/>
      <c r="BL421" s="525"/>
      <c r="BM421" s="525"/>
      <c r="BN421" s="525"/>
      <c r="BO421" s="525"/>
      <c r="BP421" s="525"/>
      <c r="BQ421" s="525"/>
      <c r="BR421" s="525"/>
      <c r="BS421" s="525"/>
      <c r="BT421" s="525"/>
      <c r="BU421" s="525"/>
      <c r="BV421" s="525"/>
      <c r="BW421" s="525"/>
      <c r="BX421" s="525"/>
      <c r="BY421" s="525"/>
    </row>
    <row r="422" spans="1:77" x14ac:dyDescent="0.3">
      <c r="A422" s="551"/>
      <c r="B422" s="548"/>
      <c r="C422" s="525"/>
      <c r="D422" s="525"/>
      <c r="E422" s="642" t="str">
        <f>"EBITDA uplift: "&amp;E$157</f>
        <v>EBITDA uplift: FY29 Tranche</v>
      </c>
      <c r="F422" s="525"/>
      <c r="G422" s="525"/>
      <c r="H422" s="525"/>
      <c r="I422" s="525"/>
      <c r="J422" s="525"/>
      <c r="K422" s="525"/>
      <c r="L422" s="525"/>
      <c r="M422" s="525"/>
      <c r="N422" s="525"/>
      <c r="O422" s="525"/>
      <c r="P422" s="565"/>
      <c r="Q422" s="525"/>
      <c r="R422" s="643">
        <f t="shared" si="609"/>
        <v>0.17483316347466182</v>
      </c>
      <c r="S422" s="525"/>
      <c r="T422" s="525"/>
      <c r="U422" s="525"/>
      <c r="V422" s="525"/>
      <c r="W422" s="525"/>
      <c r="X422" s="525"/>
      <c r="Y422" s="525"/>
      <c r="Z422" s="525"/>
      <c r="AA422" s="525"/>
      <c r="AB422" s="525"/>
      <c r="AC422" s="525"/>
      <c r="AD422" s="525"/>
      <c r="AE422" s="525"/>
      <c r="AF422" s="525"/>
      <c r="AG422" s="525"/>
      <c r="AH422" s="525"/>
      <c r="AI422" s="525"/>
      <c r="AJ422" s="525"/>
      <c r="AK422" s="525"/>
      <c r="AL422" s="525"/>
      <c r="AM422" s="525"/>
      <c r="AN422" s="525"/>
      <c r="AO422" s="525"/>
      <c r="AP422" s="525"/>
      <c r="AQ422" s="525"/>
      <c r="AR422" s="525"/>
      <c r="AS422" s="525"/>
      <c r="AT422" s="525"/>
      <c r="AU422" s="525"/>
      <c r="AV422" s="525"/>
      <c r="AW422" s="525"/>
      <c r="AX422" s="525"/>
      <c r="AY422" s="525"/>
      <c r="AZ422" s="525"/>
      <c r="BA422" s="525"/>
      <c r="BB422" s="525"/>
      <c r="BC422" s="525"/>
      <c r="BD422" s="525"/>
      <c r="BE422" s="525"/>
      <c r="BF422" s="525"/>
      <c r="BG422" s="525"/>
      <c r="BH422" s="525"/>
      <c r="BI422" s="525"/>
      <c r="BJ422" s="525"/>
      <c r="BK422" s="525"/>
      <c r="BL422" s="525"/>
      <c r="BM422" s="525"/>
      <c r="BN422" s="525"/>
      <c r="BO422" s="525"/>
      <c r="BP422" s="525"/>
      <c r="BQ422" s="525"/>
      <c r="BR422" s="525"/>
      <c r="BS422" s="525"/>
      <c r="BT422" s="525"/>
      <c r="BU422" s="525"/>
      <c r="BV422" s="525"/>
      <c r="BW422" s="525"/>
      <c r="BX422" s="525"/>
      <c r="BY422" s="525"/>
    </row>
    <row r="423" spans="1:77" x14ac:dyDescent="0.3">
      <c r="A423" s="551"/>
      <c r="B423" s="548"/>
      <c r="C423" s="525"/>
      <c r="D423" s="525"/>
      <c r="E423" s="642" t="str">
        <f>"EBITDA uplift: "&amp;E$158</f>
        <v>EBITDA uplift: FY30 Tranche</v>
      </c>
      <c r="F423" s="525"/>
      <c r="G423" s="525"/>
      <c r="H423" s="525"/>
      <c r="I423" s="525"/>
      <c r="J423" s="525"/>
      <c r="K423" s="525"/>
      <c r="L423" s="525"/>
      <c r="M423" s="525"/>
      <c r="N423" s="525"/>
      <c r="O423" s="525"/>
      <c r="P423" s="565"/>
      <c r="Q423" s="525"/>
      <c r="R423" s="643">
        <f t="shared" si="609"/>
        <v>0.17255059138747586</v>
      </c>
      <c r="S423" s="525"/>
      <c r="T423" s="525"/>
      <c r="U423" s="525"/>
      <c r="V423" s="525"/>
      <c r="W423" s="525"/>
      <c r="X423" s="525"/>
      <c r="Y423" s="525"/>
      <c r="Z423" s="525"/>
      <c r="AA423" s="525"/>
      <c r="AB423" s="525"/>
      <c r="AC423" s="525"/>
      <c r="AD423" s="525"/>
      <c r="AE423" s="525"/>
      <c r="AF423" s="525"/>
      <c r="AG423" s="525"/>
      <c r="AH423" s="525"/>
      <c r="AI423" s="525"/>
      <c r="AJ423" s="525"/>
      <c r="AK423" s="525"/>
      <c r="AL423" s="525"/>
      <c r="AM423" s="525"/>
      <c r="AN423" s="525"/>
      <c r="AO423" s="525"/>
      <c r="AP423" s="525"/>
      <c r="AQ423" s="525"/>
      <c r="AR423" s="525"/>
      <c r="AS423" s="525"/>
      <c r="AT423" s="525"/>
      <c r="AU423" s="525"/>
      <c r="AV423" s="525"/>
      <c r="AW423" s="525"/>
      <c r="AX423" s="525"/>
      <c r="AY423" s="525"/>
      <c r="AZ423" s="525"/>
      <c r="BA423" s="525"/>
      <c r="BB423" s="525"/>
      <c r="BC423" s="525"/>
      <c r="BD423" s="525"/>
      <c r="BE423" s="525"/>
      <c r="BF423" s="525"/>
      <c r="BG423" s="525"/>
      <c r="BH423" s="525"/>
      <c r="BI423" s="525"/>
      <c r="BJ423" s="525"/>
      <c r="BK423" s="525"/>
      <c r="BL423" s="525"/>
      <c r="BM423" s="525"/>
      <c r="BN423" s="525"/>
      <c r="BO423" s="525"/>
      <c r="BP423" s="525"/>
      <c r="BQ423" s="525"/>
      <c r="BR423" s="525"/>
      <c r="BS423" s="525"/>
      <c r="BT423" s="525"/>
      <c r="BU423" s="525"/>
      <c r="BV423" s="525"/>
      <c r="BW423" s="525"/>
      <c r="BX423" s="525"/>
      <c r="BY423" s="525"/>
    </row>
    <row r="424" spans="1:77" x14ac:dyDescent="0.3">
      <c r="A424" s="551"/>
      <c r="B424" s="548"/>
      <c r="C424" s="525"/>
      <c r="D424" s="525"/>
      <c r="E424" s="642" t="str">
        <f>"EBITDA uplift: "&amp;E$159</f>
        <v>EBITDA uplift: FY31 Tranche</v>
      </c>
      <c r="F424" s="525"/>
      <c r="G424" s="525"/>
      <c r="H424" s="525"/>
      <c r="I424" s="525"/>
      <c r="J424" s="525"/>
      <c r="K424" s="525"/>
      <c r="L424" s="525"/>
      <c r="M424" s="525"/>
      <c r="N424" s="525"/>
      <c r="O424" s="525"/>
      <c r="P424" s="565"/>
      <c r="Q424" s="525"/>
      <c r="R424" s="643">
        <f t="shared" si="609"/>
        <v>0.17032358397841696</v>
      </c>
      <c r="S424" s="525"/>
      <c r="T424" s="525"/>
      <c r="U424" s="525"/>
      <c r="V424" s="525"/>
      <c r="W424" s="525"/>
      <c r="X424" s="525"/>
      <c r="Y424" s="525"/>
      <c r="Z424" s="525"/>
      <c r="AA424" s="525"/>
      <c r="AB424" s="525"/>
      <c r="AC424" s="525"/>
      <c r="AD424" s="525"/>
      <c r="AE424" s="525"/>
      <c r="AF424" s="525"/>
      <c r="AG424" s="525"/>
      <c r="AH424" s="525"/>
      <c r="AI424" s="525"/>
      <c r="AJ424" s="525"/>
      <c r="AK424" s="525"/>
      <c r="AL424" s="525"/>
      <c r="AM424" s="525"/>
      <c r="AN424" s="525"/>
      <c r="AO424" s="525"/>
      <c r="AP424" s="525"/>
      <c r="AQ424" s="525"/>
      <c r="AR424" s="525"/>
      <c r="AS424" s="525"/>
      <c r="AT424" s="525"/>
      <c r="AU424" s="525"/>
      <c r="AV424" s="525"/>
      <c r="AW424" s="525"/>
      <c r="AX424" s="525"/>
      <c r="AY424" s="525"/>
      <c r="AZ424" s="525"/>
      <c r="BA424" s="525"/>
      <c r="BB424" s="525"/>
      <c r="BC424" s="525"/>
      <c r="BD424" s="525"/>
      <c r="BE424" s="525"/>
      <c r="BF424" s="525"/>
      <c r="BG424" s="525"/>
      <c r="BH424" s="525"/>
      <c r="BI424" s="525"/>
      <c r="BJ424" s="525"/>
      <c r="BK424" s="525"/>
      <c r="BL424" s="525"/>
      <c r="BM424" s="525"/>
      <c r="BN424" s="525"/>
      <c r="BO424" s="525"/>
      <c r="BP424" s="525"/>
      <c r="BQ424" s="525"/>
      <c r="BR424" s="525"/>
      <c r="BS424" s="525"/>
      <c r="BT424" s="525"/>
      <c r="BU424" s="525"/>
      <c r="BV424" s="525"/>
      <c r="BW424" s="525"/>
      <c r="BX424" s="525"/>
      <c r="BY424" s="525"/>
    </row>
    <row r="425" spans="1:77" x14ac:dyDescent="0.3">
      <c r="A425" s="551"/>
      <c r="B425" s="548"/>
      <c r="C425" s="525"/>
      <c r="D425" s="525"/>
      <c r="E425" s="642" t="str">
        <f>"EBITDA uplift: "&amp;E$160</f>
        <v>EBITDA uplift: Uninvested Tranche</v>
      </c>
      <c r="F425" s="525"/>
      <c r="G425" s="525"/>
      <c r="H425" s="525"/>
      <c r="I425" s="525"/>
      <c r="J425" s="525"/>
      <c r="K425" s="525"/>
      <c r="L425" s="525"/>
      <c r="M425" s="525"/>
      <c r="N425" s="525"/>
      <c r="O425" s="525"/>
      <c r="P425" s="565"/>
      <c r="Q425" s="525"/>
      <c r="R425" s="644" t="str">
        <f t="shared" si="609"/>
        <v>n/a</v>
      </c>
      <c r="S425" s="525"/>
      <c r="T425" s="525"/>
      <c r="U425" s="525"/>
      <c r="V425" s="525"/>
      <c r="W425" s="525"/>
      <c r="X425" s="525"/>
      <c r="Y425" s="525"/>
      <c r="Z425" s="525"/>
      <c r="AA425" s="525"/>
      <c r="AB425" s="525"/>
      <c r="AC425" s="525"/>
      <c r="AD425" s="525"/>
      <c r="AE425" s="525"/>
      <c r="AF425" s="525"/>
      <c r="AG425" s="525"/>
      <c r="AH425" s="525"/>
      <c r="AI425" s="525"/>
      <c r="AJ425" s="525"/>
      <c r="AK425" s="525"/>
      <c r="AL425" s="525"/>
      <c r="AM425" s="525"/>
      <c r="AN425" s="525"/>
      <c r="AO425" s="525"/>
      <c r="AP425" s="525"/>
      <c r="AQ425" s="525"/>
      <c r="AR425" s="525"/>
      <c r="AS425" s="525"/>
      <c r="AT425" s="525"/>
      <c r="AU425" s="525"/>
      <c r="AV425" s="525"/>
      <c r="AW425" s="525"/>
      <c r="AX425" s="525"/>
      <c r="AY425" s="525"/>
      <c r="AZ425" s="525"/>
      <c r="BA425" s="525"/>
      <c r="BB425" s="525"/>
      <c r="BC425" s="525"/>
      <c r="BD425" s="525"/>
      <c r="BE425" s="525"/>
      <c r="BF425" s="525"/>
      <c r="BG425" s="525"/>
      <c r="BH425" s="525"/>
      <c r="BI425" s="525"/>
      <c r="BJ425" s="525"/>
      <c r="BK425" s="525"/>
      <c r="BL425" s="525"/>
      <c r="BM425" s="525"/>
      <c r="BN425" s="525"/>
      <c r="BO425" s="525"/>
      <c r="BP425" s="525"/>
      <c r="BQ425" s="525"/>
      <c r="BR425" s="525"/>
      <c r="BS425" s="525"/>
      <c r="BT425" s="525"/>
      <c r="BU425" s="525"/>
      <c r="BV425" s="525"/>
      <c r="BW425" s="525"/>
      <c r="BX425" s="525"/>
      <c r="BY425" s="525"/>
    </row>
    <row r="426" spans="1:77" x14ac:dyDescent="0.3">
      <c r="A426" s="551"/>
      <c r="B426" s="548"/>
      <c r="C426" s="525"/>
      <c r="D426" s="525"/>
      <c r="E426" s="525"/>
      <c r="F426" s="525"/>
      <c r="G426" s="525"/>
      <c r="H426" s="525"/>
      <c r="I426" s="525"/>
      <c r="J426" s="525"/>
      <c r="K426" s="525"/>
      <c r="L426" s="525"/>
      <c r="M426" s="525"/>
      <c r="N426" s="525"/>
      <c r="O426" s="525"/>
      <c r="P426" s="565"/>
      <c r="Q426" s="525"/>
      <c r="R426" s="525"/>
      <c r="S426" s="525"/>
      <c r="T426" s="525"/>
      <c r="U426" s="525"/>
      <c r="V426" s="525"/>
      <c r="W426" s="525"/>
      <c r="X426" s="525"/>
      <c r="Y426" s="525"/>
      <c r="Z426" s="525"/>
      <c r="AA426" s="525"/>
      <c r="AB426" s="525"/>
      <c r="AC426" s="525"/>
      <c r="AD426" s="525"/>
      <c r="AE426" s="525"/>
      <c r="AF426" s="525"/>
      <c r="AG426" s="525"/>
      <c r="AH426" s="525"/>
      <c r="AI426" s="525"/>
      <c r="AJ426" s="525"/>
      <c r="AK426" s="525"/>
      <c r="AL426" s="525"/>
      <c r="AM426" s="525"/>
      <c r="AN426" s="525"/>
      <c r="AO426" s="525"/>
      <c r="AP426" s="525"/>
      <c r="AQ426" s="525"/>
      <c r="AR426" s="525"/>
      <c r="AS426" s="525"/>
      <c r="AT426" s="525"/>
      <c r="AU426" s="525"/>
      <c r="AV426" s="525"/>
      <c r="AW426" s="525"/>
      <c r="AX426" s="525"/>
      <c r="AY426" s="525"/>
      <c r="AZ426" s="525"/>
      <c r="BA426" s="525"/>
      <c r="BB426" s="525"/>
      <c r="BC426" s="525"/>
      <c r="BD426" s="525"/>
      <c r="BE426" s="525"/>
      <c r="BF426" s="525"/>
      <c r="BG426" s="525"/>
      <c r="BH426" s="525"/>
      <c r="BI426" s="525"/>
      <c r="BJ426" s="525"/>
      <c r="BK426" s="525"/>
      <c r="BL426" s="525"/>
      <c r="BM426" s="525"/>
      <c r="BN426" s="525"/>
      <c r="BO426" s="525"/>
      <c r="BP426" s="525"/>
      <c r="BQ426" s="525"/>
      <c r="BR426" s="525"/>
      <c r="BS426" s="525"/>
      <c r="BT426" s="525"/>
      <c r="BU426" s="525"/>
      <c r="BV426" s="525"/>
      <c r="BW426" s="525"/>
      <c r="BX426" s="525"/>
      <c r="BY426" s="525"/>
    </row>
    <row r="427" spans="1:77" x14ac:dyDescent="0.3">
      <c r="A427" s="551"/>
      <c r="B427" s="548"/>
      <c r="C427" s="584" t="s">
        <v>37</v>
      </c>
      <c r="D427" s="525"/>
      <c r="E427" s="538" t="s">
        <v>111</v>
      </c>
      <c r="F427" s="538"/>
      <c r="G427" s="538"/>
      <c r="H427" s="538"/>
      <c r="I427" s="538"/>
      <c r="J427" s="538"/>
      <c r="K427" s="538"/>
      <c r="L427" s="538"/>
      <c r="M427" s="538"/>
      <c r="N427" s="538"/>
      <c r="O427" s="538"/>
      <c r="P427" s="584"/>
      <c r="Q427" s="538"/>
      <c r="R427" s="538"/>
      <c r="S427" s="538"/>
      <c r="T427" s="538"/>
      <c r="U427" s="538"/>
      <c r="V427" s="538"/>
      <c r="W427" s="538"/>
      <c r="X427" s="538"/>
      <c r="Y427" s="538"/>
      <c r="Z427" s="538"/>
      <c r="AA427" s="538"/>
      <c r="AB427" s="538"/>
      <c r="AC427" s="538"/>
      <c r="AD427" s="538"/>
      <c r="AE427" s="538"/>
      <c r="AF427" s="538"/>
      <c r="AG427" s="538"/>
      <c r="AH427" s="538"/>
      <c r="AI427" s="538"/>
      <c r="AJ427" s="538"/>
      <c r="AK427" s="538"/>
      <c r="AL427" s="538"/>
      <c r="AM427" s="538"/>
      <c r="AN427" s="538"/>
      <c r="AO427" s="538"/>
      <c r="AP427" s="538"/>
      <c r="AQ427" s="538"/>
      <c r="AR427" s="538"/>
      <c r="AS427" s="538"/>
      <c r="AT427" s="538"/>
      <c r="AU427" s="538"/>
      <c r="AV427" s="538"/>
      <c r="AW427" s="538"/>
      <c r="AX427" s="538"/>
      <c r="AY427" s="538"/>
      <c r="AZ427" s="538"/>
      <c r="BA427" s="538"/>
      <c r="BB427" s="538"/>
      <c r="BC427" s="538"/>
      <c r="BD427" s="538"/>
      <c r="BE427" s="538"/>
      <c r="BF427" s="538"/>
      <c r="BG427" s="538"/>
      <c r="BH427" s="538"/>
      <c r="BI427" s="538"/>
      <c r="BJ427" s="538"/>
      <c r="BK427" s="538"/>
      <c r="BL427" s="538"/>
      <c r="BM427" s="538"/>
      <c r="BN427" s="538"/>
      <c r="BO427" s="538"/>
      <c r="BP427" s="538"/>
      <c r="BQ427" s="538"/>
      <c r="BR427" s="538"/>
      <c r="BS427" s="538"/>
      <c r="BT427" s="538"/>
      <c r="BU427" s="538"/>
      <c r="BV427" s="538"/>
      <c r="BW427" s="538"/>
      <c r="BX427" s="538"/>
      <c r="BY427" s="538"/>
    </row>
    <row r="428" spans="1:77" x14ac:dyDescent="0.3">
      <c r="A428" s="551"/>
      <c r="B428" s="548"/>
      <c r="C428" s="525"/>
      <c r="D428" s="525"/>
      <c r="E428" s="525"/>
      <c r="F428" s="525"/>
      <c r="G428" s="525"/>
      <c r="H428" s="525"/>
      <c r="I428" s="525"/>
      <c r="J428" s="525"/>
      <c r="K428" s="525"/>
      <c r="L428" s="525"/>
      <c r="M428" s="525"/>
      <c r="N428" s="525"/>
      <c r="O428" s="525"/>
      <c r="P428" s="565"/>
      <c r="Q428" s="525"/>
      <c r="R428" s="525"/>
      <c r="S428" s="525"/>
      <c r="T428" s="525"/>
      <c r="U428" s="525"/>
      <c r="V428" s="525"/>
      <c r="W428" s="525"/>
      <c r="X428" s="525"/>
      <c r="Y428" s="525"/>
      <c r="Z428" s="525"/>
      <c r="AA428" s="525"/>
      <c r="AB428" s="525"/>
      <c r="AC428" s="525"/>
      <c r="AD428" s="525"/>
      <c r="AE428" s="525"/>
      <c r="AF428" s="525"/>
      <c r="AG428" s="525"/>
      <c r="AH428" s="525"/>
      <c r="AI428" s="525"/>
      <c r="AJ428" s="525"/>
      <c r="AK428" s="525"/>
      <c r="AL428" s="525"/>
      <c r="AM428" s="525"/>
      <c r="AN428" s="525"/>
      <c r="AO428" s="525"/>
      <c r="AP428" s="525"/>
      <c r="AQ428" s="525"/>
      <c r="AR428" s="525"/>
      <c r="AS428" s="525"/>
      <c r="AT428" s="525"/>
      <c r="AU428" s="525"/>
      <c r="AV428" s="525"/>
      <c r="AW428" s="525"/>
      <c r="AX428" s="525"/>
      <c r="AY428" s="525"/>
      <c r="AZ428" s="525"/>
      <c r="BA428" s="525"/>
      <c r="BB428" s="525"/>
      <c r="BC428" s="525"/>
      <c r="BD428" s="525"/>
      <c r="BE428" s="525"/>
      <c r="BF428" s="525"/>
      <c r="BG428" s="525"/>
      <c r="BH428" s="525"/>
      <c r="BI428" s="525"/>
      <c r="BJ428" s="525"/>
      <c r="BK428" s="525"/>
      <c r="BL428" s="525"/>
      <c r="BM428" s="525"/>
      <c r="BN428" s="525"/>
      <c r="BO428" s="525"/>
      <c r="BP428" s="525"/>
      <c r="BQ428" s="525"/>
      <c r="BR428" s="525"/>
      <c r="BS428" s="525"/>
      <c r="BT428" s="525"/>
      <c r="BU428" s="525"/>
      <c r="BV428" s="525"/>
      <c r="BW428" s="525"/>
      <c r="BX428" s="525"/>
      <c r="BY428" s="525"/>
    </row>
    <row r="429" spans="1:77" x14ac:dyDescent="0.3">
      <c r="A429" s="551"/>
      <c r="B429" s="548"/>
      <c r="C429" s="525"/>
      <c r="D429" s="525"/>
      <c r="E429" s="614" t="s">
        <v>110</v>
      </c>
      <c r="F429" s="539"/>
      <c r="G429" s="539"/>
      <c r="H429" s="539"/>
      <c r="I429" s="539"/>
      <c r="J429" s="539"/>
      <c r="K429" s="539"/>
      <c r="L429" s="539"/>
      <c r="M429" s="539"/>
      <c r="N429" s="539"/>
      <c r="O429" s="539"/>
      <c r="P429" s="615"/>
      <c r="Q429" s="539"/>
      <c r="R429" s="539"/>
      <c r="S429" s="539"/>
      <c r="T429" s="539"/>
      <c r="U429" s="539"/>
      <c r="V429" s="539"/>
      <c r="W429" s="539"/>
      <c r="X429" s="539"/>
      <c r="Y429" s="539"/>
      <c r="Z429" s="539"/>
      <c r="AA429" s="539"/>
      <c r="AB429" s="539"/>
      <c r="AC429" s="539"/>
      <c r="AD429" s="539"/>
      <c r="AE429" s="539"/>
      <c r="AF429" s="539"/>
      <c r="AG429" s="539"/>
      <c r="AH429" s="539"/>
      <c r="AI429" s="539"/>
      <c r="AJ429" s="539"/>
      <c r="AK429" s="539"/>
      <c r="AL429" s="539"/>
      <c r="AM429" s="539"/>
      <c r="AN429" s="539"/>
      <c r="AO429" s="539"/>
      <c r="AP429" s="539"/>
      <c r="AQ429" s="539"/>
      <c r="AR429" s="539"/>
      <c r="AS429" s="539"/>
      <c r="AT429" s="539"/>
      <c r="AU429" s="539"/>
      <c r="AV429" s="539"/>
      <c r="AW429" s="539"/>
      <c r="AX429" s="539"/>
      <c r="AY429" s="539"/>
      <c r="AZ429" s="539"/>
      <c r="BA429" s="539"/>
      <c r="BB429" s="539"/>
      <c r="BC429" s="539"/>
      <c r="BD429" s="539"/>
      <c r="BE429" s="539"/>
      <c r="BF429" s="539"/>
      <c r="BG429" s="539"/>
      <c r="BH429" s="539"/>
      <c r="BI429" s="539"/>
      <c r="BJ429" s="539"/>
      <c r="BK429" s="539"/>
      <c r="BL429" s="539"/>
      <c r="BM429" s="539"/>
      <c r="BN429" s="539"/>
      <c r="BO429" s="539"/>
      <c r="BP429" s="539"/>
      <c r="BQ429" s="539"/>
      <c r="BR429" s="539"/>
      <c r="BS429" s="539"/>
      <c r="BT429" s="539"/>
      <c r="BU429" s="539"/>
      <c r="BV429" s="539"/>
      <c r="BW429" s="539"/>
      <c r="BX429" s="539"/>
      <c r="BY429" s="539"/>
    </row>
    <row r="430" spans="1:77" x14ac:dyDescent="0.3">
      <c r="A430" s="551"/>
      <c r="B430" s="548"/>
      <c r="C430" s="525"/>
      <c r="D430" s="525"/>
      <c r="E430" s="525"/>
      <c r="F430" s="525"/>
      <c r="G430" s="525"/>
      <c r="H430" s="525"/>
      <c r="I430" s="525"/>
      <c r="J430" s="525"/>
      <c r="K430" s="525"/>
      <c r="L430" s="525"/>
      <c r="M430" s="525"/>
      <c r="N430" s="525"/>
      <c r="O430" s="525"/>
      <c r="P430" s="565"/>
      <c r="Q430" s="525"/>
      <c r="R430" s="525"/>
      <c r="S430" s="525"/>
      <c r="T430" s="525"/>
      <c r="U430" s="525"/>
      <c r="V430" s="525"/>
      <c r="W430" s="525"/>
      <c r="X430" s="525"/>
      <c r="Y430" s="525"/>
      <c r="Z430" s="525"/>
      <c r="AA430" s="525"/>
      <c r="AB430" s="525"/>
      <c r="AC430" s="525"/>
      <c r="AD430" s="525"/>
      <c r="AE430" s="525"/>
      <c r="AF430" s="525"/>
      <c r="AG430" s="525"/>
      <c r="AH430" s="525"/>
      <c r="AI430" s="525"/>
      <c r="AJ430" s="525"/>
      <c r="AK430" s="525"/>
      <c r="AL430" s="525"/>
      <c r="AM430" s="525"/>
      <c r="AN430" s="525"/>
      <c r="AO430" s="525"/>
      <c r="AP430" s="525"/>
      <c r="AQ430" s="525"/>
      <c r="AR430" s="525"/>
      <c r="AS430" s="525"/>
      <c r="AT430" s="525"/>
      <c r="AU430" s="525"/>
      <c r="AV430" s="525"/>
      <c r="AW430" s="525"/>
      <c r="AX430" s="525"/>
      <c r="AY430" s="525"/>
      <c r="AZ430" s="525"/>
      <c r="BA430" s="525"/>
      <c r="BB430" s="525"/>
      <c r="BC430" s="525"/>
      <c r="BD430" s="525"/>
      <c r="BE430" s="525"/>
      <c r="BF430" s="525"/>
      <c r="BG430" s="525"/>
      <c r="BH430" s="525"/>
      <c r="BI430" s="525"/>
      <c r="BJ430" s="525"/>
      <c r="BK430" s="525"/>
      <c r="BL430" s="525"/>
      <c r="BM430" s="525"/>
      <c r="BN430" s="525"/>
      <c r="BO430" s="525"/>
      <c r="BP430" s="525"/>
      <c r="BQ430" s="525"/>
      <c r="BR430" s="525"/>
      <c r="BS430" s="525"/>
      <c r="BT430" s="525"/>
      <c r="BU430" s="525"/>
      <c r="BV430" s="525"/>
      <c r="BW430" s="525"/>
      <c r="BX430" s="525"/>
      <c r="BY430" s="525"/>
    </row>
    <row r="431" spans="1:77" x14ac:dyDescent="0.3">
      <c r="A431" s="551"/>
      <c r="B431" s="548"/>
      <c r="C431" s="525"/>
      <c r="D431" s="525"/>
      <c r="E431" s="645" t="str">
        <f>"Growth Capex: "&amp;E$155</f>
        <v>Growth Capex: FY27 Tranche</v>
      </c>
      <c r="F431" s="525"/>
      <c r="G431" s="525"/>
      <c r="H431" s="525"/>
      <c r="I431" s="525"/>
      <c r="J431" s="525"/>
      <c r="K431" s="525"/>
      <c r="L431" s="525"/>
      <c r="M431" s="525"/>
      <c r="N431" s="525"/>
      <c r="O431" s="525"/>
      <c r="P431" s="565"/>
      <c r="Q431" s="525"/>
      <c r="R431" s="527">
        <f t="shared" ref="R431:AW431" si="610">R474*-$W155*$R155</f>
        <v>0</v>
      </c>
      <c r="S431" s="527">
        <f t="shared" si="610"/>
        <v>0</v>
      </c>
      <c r="T431" s="527">
        <f t="shared" si="610"/>
        <v>0</v>
      </c>
      <c r="U431" s="527">
        <f t="shared" si="610"/>
        <v>0</v>
      </c>
      <c r="V431" s="527">
        <f t="shared" si="610"/>
        <v>0</v>
      </c>
      <c r="W431" s="527">
        <f t="shared" si="610"/>
        <v>-161633.40743935315</v>
      </c>
      <c r="X431" s="527">
        <f t="shared" si="610"/>
        <v>0</v>
      </c>
      <c r="Y431" s="527">
        <f t="shared" si="610"/>
        <v>0</v>
      </c>
      <c r="Z431" s="527">
        <f t="shared" si="610"/>
        <v>0</v>
      </c>
      <c r="AA431" s="527">
        <f t="shared" si="610"/>
        <v>0</v>
      </c>
      <c r="AB431" s="527">
        <f t="shared" si="610"/>
        <v>0</v>
      </c>
      <c r="AC431" s="527">
        <f t="shared" si="610"/>
        <v>0</v>
      </c>
      <c r="AD431" s="527">
        <f t="shared" si="610"/>
        <v>0</v>
      </c>
      <c r="AE431" s="527">
        <f t="shared" si="610"/>
        <v>0</v>
      </c>
      <c r="AF431" s="527">
        <f t="shared" si="610"/>
        <v>0</v>
      </c>
      <c r="AG431" s="527">
        <f t="shared" si="610"/>
        <v>0</v>
      </c>
      <c r="AH431" s="527">
        <f t="shared" si="610"/>
        <v>0</v>
      </c>
      <c r="AI431" s="527">
        <f t="shared" si="610"/>
        <v>0</v>
      </c>
      <c r="AJ431" s="527">
        <f t="shared" si="610"/>
        <v>0</v>
      </c>
      <c r="AK431" s="527">
        <f t="shared" si="610"/>
        <v>0</v>
      </c>
      <c r="AL431" s="527">
        <f t="shared" si="610"/>
        <v>0</v>
      </c>
      <c r="AM431" s="527">
        <f t="shared" si="610"/>
        <v>0</v>
      </c>
      <c r="AN431" s="527">
        <f t="shared" si="610"/>
        <v>0</v>
      </c>
      <c r="AO431" s="527">
        <f t="shared" si="610"/>
        <v>0</v>
      </c>
      <c r="AP431" s="527">
        <f t="shared" si="610"/>
        <v>0</v>
      </c>
      <c r="AQ431" s="527">
        <f t="shared" si="610"/>
        <v>0</v>
      </c>
      <c r="AR431" s="527">
        <f t="shared" si="610"/>
        <v>0</v>
      </c>
      <c r="AS431" s="527">
        <f t="shared" si="610"/>
        <v>0</v>
      </c>
      <c r="AT431" s="527">
        <f t="shared" si="610"/>
        <v>0</v>
      </c>
      <c r="AU431" s="527">
        <f t="shared" si="610"/>
        <v>0</v>
      </c>
      <c r="AV431" s="527">
        <f t="shared" si="610"/>
        <v>0</v>
      </c>
      <c r="AW431" s="527">
        <f t="shared" si="610"/>
        <v>0</v>
      </c>
      <c r="AX431" s="527">
        <f t="shared" ref="AX431:BY431" si="611">AX474*-$W155*$R155</f>
        <v>0</v>
      </c>
      <c r="AY431" s="527">
        <f t="shared" si="611"/>
        <v>0</v>
      </c>
      <c r="AZ431" s="527">
        <f t="shared" si="611"/>
        <v>0</v>
      </c>
      <c r="BA431" s="527">
        <f t="shared" si="611"/>
        <v>0</v>
      </c>
      <c r="BB431" s="527">
        <f t="shared" si="611"/>
        <v>0</v>
      </c>
      <c r="BC431" s="527">
        <f t="shared" si="611"/>
        <v>0</v>
      </c>
      <c r="BD431" s="527">
        <f t="shared" si="611"/>
        <v>0</v>
      </c>
      <c r="BE431" s="527">
        <f t="shared" si="611"/>
        <v>0</v>
      </c>
      <c r="BF431" s="527">
        <f t="shared" si="611"/>
        <v>0</v>
      </c>
      <c r="BG431" s="527">
        <f t="shared" si="611"/>
        <v>0</v>
      </c>
      <c r="BH431" s="527">
        <f t="shared" si="611"/>
        <v>0</v>
      </c>
      <c r="BI431" s="527">
        <f t="shared" si="611"/>
        <v>0</v>
      </c>
      <c r="BJ431" s="527">
        <f t="shared" si="611"/>
        <v>0</v>
      </c>
      <c r="BK431" s="527">
        <f t="shared" si="611"/>
        <v>0</v>
      </c>
      <c r="BL431" s="527">
        <f t="shared" si="611"/>
        <v>0</v>
      </c>
      <c r="BM431" s="527">
        <f t="shared" si="611"/>
        <v>0</v>
      </c>
      <c r="BN431" s="527">
        <f t="shared" si="611"/>
        <v>0</v>
      </c>
      <c r="BO431" s="527">
        <f t="shared" si="611"/>
        <v>0</v>
      </c>
      <c r="BP431" s="527">
        <f t="shared" si="611"/>
        <v>0</v>
      </c>
      <c r="BQ431" s="527">
        <f t="shared" si="611"/>
        <v>0</v>
      </c>
      <c r="BR431" s="527">
        <f t="shared" si="611"/>
        <v>0</v>
      </c>
      <c r="BS431" s="527">
        <f t="shared" si="611"/>
        <v>0</v>
      </c>
      <c r="BT431" s="527">
        <f t="shared" si="611"/>
        <v>0</v>
      </c>
      <c r="BU431" s="527">
        <f t="shared" si="611"/>
        <v>0</v>
      </c>
      <c r="BV431" s="527">
        <f t="shared" si="611"/>
        <v>0</v>
      </c>
      <c r="BW431" s="527">
        <f t="shared" si="611"/>
        <v>0</v>
      </c>
      <c r="BX431" s="527">
        <f t="shared" si="611"/>
        <v>0</v>
      </c>
      <c r="BY431" s="527">
        <f t="shared" si="611"/>
        <v>0</v>
      </c>
    </row>
    <row r="432" spans="1:77" x14ac:dyDescent="0.3">
      <c r="A432" s="551"/>
      <c r="B432" s="548"/>
      <c r="C432" s="525"/>
      <c r="D432" s="525"/>
      <c r="E432" s="645" t="str">
        <f>"Growth Capex: "&amp;E$156</f>
        <v>Growth Capex: FY28 Tranche</v>
      </c>
      <c r="F432" s="525"/>
      <c r="G432" s="525"/>
      <c r="H432" s="525"/>
      <c r="I432" s="525"/>
      <c r="J432" s="525"/>
      <c r="K432" s="525"/>
      <c r="L432" s="525"/>
      <c r="M432" s="525"/>
      <c r="N432" s="525"/>
      <c r="O432" s="525"/>
      <c r="P432" s="565"/>
      <c r="Q432" s="525"/>
      <c r="R432" s="527">
        <f t="shared" ref="R432:AW432" si="612">R475*-$W156*$R156</f>
        <v>0</v>
      </c>
      <c r="S432" s="527">
        <f t="shared" si="612"/>
        <v>0</v>
      </c>
      <c r="T432" s="527">
        <f t="shared" si="612"/>
        <v>0</v>
      </c>
      <c r="U432" s="527">
        <f t="shared" si="612"/>
        <v>0</v>
      </c>
      <c r="V432" s="527">
        <f t="shared" si="612"/>
        <v>0</v>
      </c>
      <c r="W432" s="527">
        <f t="shared" si="612"/>
        <v>0</v>
      </c>
      <c r="X432" s="527">
        <f t="shared" si="612"/>
        <v>0</v>
      </c>
      <c r="Y432" s="527">
        <f t="shared" si="612"/>
        <v>0</v>
      </c>
      <c r="Z432" s="527">
        <f t="shared" si="612"/>
        <v>0</v>
      </c>
      <c r="AA432" s="527">
        <f t="shared" si="612"/>
        <v>0</v>
      </c>
      <c r="AB432" s="527">
        <f t="shared" si="612"/>
        <v>0</v>
      </c>
      <c r="AC432" s="527">
        <f t="shared" si="612"/>
        <v>0</v>
      </c>
      <c r="AD432" s="527">
        <f t="shared" si="612"/>
        <v>0</v>
      </c>
      <c r="AE432" s="527">
        <f t="shared" si="612"/>
        <v>0</v>
      </c>
      <c r="AF432" s="527">
        <f t="shared" si="612"/>
        <v>0</v>
      </c>
      <c r="AG432" s="527">
        <f t="shared" si="612"/>
        <v>0</v>
      </c>
      <c r="AH432" s="527">
        <f t="shared" si="612"/>
        <v>0</v>
      </c>
      <c r="AI432" s="527">
        <f t="shared" si="612"/>
        <v>-165520.65860391143</v>
      </c>
      <c r="AJ432" s="527">
        <f t="shared" si="612"/>
        <v>0</v>
      </c>
      <c r="AK432" s="527">
        <f t="shared" si="612"/>
        <v>0</v>
      </c>
      <c r="AL432" s="527">
        <f t="shared" si="612"/>
        <v>0</v>
      </c>
      <c r="AM432" s="527">
        <f t="shared" si="612"/>
        <v>0</v>
      </c>
      <c r="AN432" s="527">
        <f t="shared" si="612"/>
        <v>0</v>
      </c>
      <c r="AO432" s="527">
        <f t="shared" si="612"/>
        <v>0</v>
      </c>
      <c r="AP432" s="527">
        <f t="shared" si="612"/>
        <v>0</v>
      </c>
      <c r="AQ432" s="527">
        <f t="shared" si="612"/>
        <v>0</v>
      </c>
      <c r="AR432" s="527">
        <f t="shared" si="612"/>
        <v>0</v>
      </c>
      <c r="AS432" s="527">
        <f t="shared" si="612"/>
        <v>0</v>
      </c>
      <c r="AT432" s="527">
        <f t="shared" si="612"/>
        <v>0</v>
      </c>
      <c r="AU432" s="527">
        <f t="shared" si="612"/>
        <v>0</v>
      </c>
      <c r="AV432" s="527">
        <f t="shared" si="612"/>
        <v>0</v>
      </c>
      <c r="AW432" s="527">
        <f t="shared" si="612"/>
        <v>0</v>
      </c>
      <c r="AX432" s="527">
        <f t="shared" ref="AX432:BY432" si="613">AX475*-$W156*$R156</f>
        <v>0</v>
      </c>
      <c r="AY432" s="527">
        <f t="shared" si="613"/>
        <v>0</v>
      </c>
      <c r="AZ432" s="527">
        <f t="shared" si="613"/>
        <v>0</v>
      </c>
      <c r="BA432" s="527">
        <f t="shared" si="613"/>
        <v>0</v>
      </c>
      <c r="BB432" s="527">
        <f t="shared" si="613"/>
        <v>0</v>
      </c>
      <c r="BC432" s="527">
        <f t="shared" si="613"/>
        <v>0</v>
      </c>
      <c r="BD432" s="527">
        <f t="shared" si="613"/>
        <v>0</v>
      </c>
      <c r="BE432" s="527">
        <f t="shared" si="613"/>
        <v>0</v>
      </c>
      <c r="BF432" s="527">
        <f t="shared" si="613"/>
        <v>0</v>
      </c>
      <c r="BG432" s="527">
        <f t="shared" si="613"/>
        <v>0</v>
      </c>
      <c r="BH432" s="527">
        <f t="shared" si="613"/>
        <v>0</v>
      </c>
      <c r="BI432" s="527">
        <f t="shared" si="613"/>
        <v>0</v>
      </c>
      <c r="BJ432" s="527">
        <f t="shared" si="613"/>
        <v>0</v>
      </c>
      <c r="BK432" s="527">
        <f t="shared" si="613"/>
        <v>0</v>
      </c>
      <c r="BL432" s="527">
        <f t="shared" si="613"/>
        <v>0</v>
      </c>
      <c r="BM432" s="527">
        <f t="shared" si="613"/>
        <v>0</v>
      </c>
      <c r="BN432" s="527">
        <f t="shared" si="613"/>
        <v>0</v>
      </c>
      <c r="BO432" s="527">
        <f t="shared" si="613"/>
        <v>0</v>
      </c>
      <c r="BP432" s="527">
        <f t="shared" si="613"/>
        <v>0</v>
      </c>
      <c r="BQ432" s="527">
        <f t="shared" si="613"/>
        <v>0</v>
      </c>
      <c r="BR432" s="527">
        <f t="shared" si="613"/>
        <v>0</v>
      </c>
      <c r="BS432" s="527">
        <f t="shared" si="613"/>
        <v>0</v>
      </c>
      <c r="BT432" s="527">
        <f t="shared" si="613"/>
        <v>0</v>
      </c>
      <c r="BU432" s="527">
        <f t="shared" si="613"/>
        <v>0</v>
      </c>
      <c r="BV432" s="527">
        <f t="shared" si="613"/>
        <v>0</v>
      </c>
      <c r="BW432" s="527">
        <f t="shared" si="613"/>
        <v>0</v>
      </c>
      <c r="BX432" s="527">
        <f t="shared" si="613"/>
        <v>0</v>
      </c>
      <c r="BY432" s="527">
        <f t="shared" si="613"/>
        <v>0</v>
      </c>
    </row>
    <row r="433" spans="1:77" x14ac:dyDescent="0.3">
      <c r="A433" s="551"/>
      <c r="B433" s="548"/>
      <c r="C433" s="525"/>
      <c r="D433" s="525"/>
      <c r="E433" s="645" t="str">
        <f>"Growth Capex: "&amp;E$157</f>
        <v>Growth Capex: FY29 Tranche</v>
      </c>
      <c r="F433" s="525"/>
      <c r="G433" s="525"/>
      <c r="H433" s="525"/>
      <c r="I433" s="525"/>
      <c r="J433" s="525"/>
      <c r="K433" s="525"/>
      <c r="L433" s="525"/>
      <c r="M433" s="525"/>
      <c r="N433" s="525"/>
      <c r="O433" s="525"/>
      <c r="P433" s="565"/>
      <c r="Q433" s="525"/>
      <c r="R433" s="527">
        <f t="shared" ref="R433:AW433" si="614">R476*-$W157*$R157</f>
        <v>0</v>
      </c>
      <c r="S433" s="527">
        <f t="shared" si="614"/>
        <v>0</v>
      </c>
      <c r="T433" s="527">
        <f t="shared" si="614"/>
        <v>0</v>
      </c>
      <c r="U433" s="527">
        <f t="shared" si="614"/>
        <v>0</v>
      </c>
      <c r="V433" s="527">
        <f t="shared" si="614"/>
        <v>0</v>
      </c>
      <c r="W433" s="527">
        <f t="shared" si="614"/>
        <v>0</v>
      </c>
      <c r="X433" s="527">
        <f t="shared" si="614"/>
        <v>0</v>
      </c>
      <c r="Y433" s="527">
        <f t="shared" si="614"/>
        <v>0</v>
      </c>
      <c r="Z433" s="527">
        <f t="shared" si="614"/>
        <v>0</v>
      </c>
      <c r="AA433" s="527">
        <f t="shared" si="614"/>
        <v>0</v>
      </c>
      <c r="AB433" s="527">
        <f t="shared" si="614"/>
        <v>0</v>
      </c>
      <c r="AC433" s="527">
        <f t="shared" si="614"/>
        <v>0</v>
      </c>
      <c r="AD433" s="527">
        <f t="shared" si="614"/>
        <v>0</v>
      </c>
      <c r="AE433" s="527">
        <f t="shared" si="614"/>
        <v>0</v>
      </c>
      <c r="AF433" s="527">
        <f t="shared" si="614"/>
        <v>0</v>
      </c>
      <c r="AG433" s="527">
        <f t="shared" si="614"/>
        <v>0</v>
      </c>
      <c r="AH433" s="527">
        <f t="shared" si="614"/>
        <v>0</v>
      </c>
      <c r="AI433" s="527">
        <f t="shared" si="614"/>
        <v>0</v>
      </c>
      <c r="AJ433" s="527">
        <f t="shared" si="614"/>
        <v>0</v>
      </c>
      <c r="AK433" s="527">
        <f t="shared" si="614"/>
        <v>0</v>
      </c>
      <c r="AL433" s="527">
        <f t="shared" si="614"/>
        <v>0</v>
      </c>
      <c r="AM433" s="527">
        <f t="shared" si="614"/>
        <v>0</v>
      </c>
      <c r="AN433" s="527">
        <f t="shared" si="614"/>
        <v>0</v>
      </c>
      <c r="AO433" s="527">
        <f t="shared" si="614"/>
        <v>0</v>
      </c>
      <c r="AP433" s="527">
        <f t="shared" si="614"/>
        <v>0</v>
      </c>
      <c r="AQ433" s="527">
        <f t="shared" si="614"/>
        <v>0</v>
      </c>
      <c r="AR433" s="527">
        <f t="shared" si="614"/>
        <v>0</v>
      </c>
      <c r="AS433" s="527">
        <f t="shared" si="614"/>
        <v>0</v>
      </c>
      <c r="AT433" s="527">
        <f t="shared" si="614"/>
        <v>0</v>
      </c>
      <c r="AU433" s="527">
        <f t="shared" si="614"/>
        <v>-169237.32871097644</v>
      </c>
      <c r="AV433" s="527">
        <f t="shared" si="614"/>
        <v>0</v>
      </c>
      <c r="AW433" s="527">
        <f t="shared" si="614"/>
        <v>0</v>
      </c>
      <c r="AX433" s="527">
        <f t="shared" ref="AX433:BY433" si="615">AX476*-$W157*$R157</f>
        <v>0</v>
      </c>
      <c r="AY433" s="527">
        <f t="shared" si="615"/>
        <v>0</v>
      </c>
      <c r="AZ433" s="527">
        <f t="shared" si="615"/>
        <v>0</v>
      </c>
      <c r="BA433" s="527">
        <f t="shared" si="615"/>
        <v>0</v>
      </c>
      <c r="BB433" s="527">
        <f t="shared" si="615"/>
        <v>0</v>
      </c>
      <c r="BC433" s="527">
        <f t="shared" si="615"/>
        <v>0</v>
      </c>
      <c r="BD433" s="527">
        <f t="shared" si="615"/>
        <v>0</v>
      </c>
      <c r="BE433" s="527">
        <f t="shared" si="615"/>
        <v>0</v>
      </c>
      <c r="BF433" s="527">
        <f t="shared" si="615"/>
        <v>0</v>
      </c>
      <c r="BG433" s="527">
        <f t="shared" si="615"/>
        <v>0</v>
      </c>
      <c r="BH433" s="527">
        <f t="shared" si="615"/>
        <v>0</v>
      </c>
      <c r="BI433" s="527">
        <f t="shared" si="615"/>
        <v>0</v>
      </c>
      <c r="BJ433" s="527">
        <f t="shared" si="615"/>
        <v>0</v>
      </c>
      <c r="BK433" s="527">
        <f t="shared" si="615"/>
        <v>0</v>
      </c>
      <c r="BL433" s="527">
        <f t="shared" si="615"/>
        <v>0</v>
      </c>
      <c r="BM433" s="527">
        <f t="shared" si="615"/>
        <v>0</v>
      </c>
      <c r="BN433" s="527">
        <f t="shared" si="615"/>
        <v>0</v>
      </c>
      <c r="BO433" s="527">
        <f t="shared" si="615"/>
        <v>0</v>
      </c>
      <c r="BP433" s="527">
        <f t="shared" si="615"/>
        <v>0</v>
      </c>
      <c r="BQ433" s="527">
        <f t="shared" si="615"/>
        <v>0</v>
      </c>
      <c r="BR433" s="527">
        <f t="shared" si="615"/>
        <v>0</v>
      </c>
      <c r="BS433" s="527">
        <f t="shared" si="615"/>
        <v>0</v>
      </c>
      <c r="BT433" s="527">
        <f t="shared" si="615"/>
        <v>0</v>
      </c>
      <c r="BU433" s="527">
        <f t="shared" si="615"/>
        <v>0</v>
      </c>
      <c r="BV433" s="527">
        <f t="shared" si="615"/>
        <v>0</v>
      </c>
      <c r="BW433" s="527">
        <f t="shared" si="615"/>
        <v>0</v>
      </c>
      <c r="BX433" s="527">
        <f t="shared" si="615"/>
        <v>0</v>
      </c>
      <c r="BY433" s="527">
        <f t="shared" si="615"/>
        <v>0</v>
      </c>
    </row>
    <row r="434" spans="1:77" x14ac:dyDescent="0.3">
      <c r="A434" s="551"/>
      <c r="B434" s="548"/>
      <c r="C434" s="525"/>
      <c r="D434" s="525"/>
      <c r="E434" s="645" t="str">
        <f>"Growth Capex: "&amp;E$158</f>
        <v>Growth Capex: FY30 Tranche</v>
      </c>
      <c r="F434" s="525"/>
      <c r="G434" s="525"/>
      <c r="H434" s="525"/>
      <c r="I434" s="525"/>
      <c r="J434" s="525"/>
      <c r="K434" s="525"/>
      <c r="L434" s="525"/>
      <c r="M434" s="525"/>
      <c r="N434" s="525"/>
      <c r="O434" s="525"/>
      <c r="P434" s="565"/>
      <c r="Q434" s="525"/>
      <c r="R434" s="527">
        <f t="shared" ref="R434:AW434" si="616">R477*-$W158*$R158</f>
        <v>0</v>
      </c>
      <c r="S434" s="527">
        <f t="shared" si="616"/>
        <v>0</v>
      </c>
      <c r="T434" s="527">
        <f t="shared" si="616"/>
        <v>0</v>
      </c>
      <c r="U434" s="527">
        <f t="shared" si="616"/>
        <v>0</v>
      </c>
      <c r="V434" s="527">
        <f t="shared" si="616"/>
        <v>0</v>
      </c>
      <c r="W434" s="527">
        <f t="shared" si="616"/>
        <v>0</v>
      </c>
      <c r="X434" s="527">
        <f t="shared" si="616"/>
        <v>0</v>
      </c>
      <c r="Y434" s="527">
        <f t="shared" si="616"/>
        <v>0</v>
      </c>
      <c r="Z434" s="527">
        <f t="shared" si="616"/>
        <v>0</v>
      </c>
      <c r="AA434" s="527">
        <f t="shared" si="616"/>
        <v>0</v>
      </c>
      <c r="AB434" s="527">
        <f t="shared" si="616"/>
        <v>0</v>
      </c>
      <c r="AC434" s="527">
        <f t="shared" si="616"/>
        <v>0</v>
      </c>
      <c r="AD434" s="527">
        <f t="shared" si="616"/>
        <v>0</v>
      </c>
      <c r="AE434" s="527">
        <f t="shared" si="616"/>
        <v>0</v>
      </c>
      <c r="AF434" s="527">
        <f t="shared" si="616"/>
        <v>0</v>
      </c>
      <c r="AG434" s="527">
        <f t="shared" si="616"/>
        <v>0</v>
      </c>
      <c r="AH434" s="527">
        <f t="shared" si="616"/>
        <v>0</v>
      </c>
      <c r="AI434" s="527">
        <f t="shared" si="616"/>
        <v>0</v>
      </c>
      <c r="AJ434" s="527">
        <f t="shared" si="616"/>
        <v>0</v>
      </c>
      <c r="AK434" s="527">
        <f t="shared" si="616"/>
        <v>0</v>
      </c>
      <c r="AL434" s="527">
        <f t="shared" si="616"/>
        <v>0</v>
      </c>
      <c r="AM434" s="527">
        <f t="shared" si="616"/>
        <v>0</v>
      </c>
      <c r="AN434" s="527">
        <f t="shared" si="616"/>
        <v>0</v>
      </c>
      <c r="AO434" s="527">
        <f t="shared" si="616"/>
        <v>0</v>
      </c>
      <c r="AP434" s="527">
        <f t="shared" si="616"/>
        <v>0</v>
      </c>
      <c r="AQ434" s="527">
        <f t="shared" si="616"/>
        <v>0</v>
      </c>
      <c r="AR434" s="527">
        <f t="shared" si="616"/>
        <v>0</v>
      </c>
      <c r="AS434" s="527">
        <f t="shared" si="616"/>
        <v>0</v>
      </c>
      <c r="AT434" s="527">
        <f t="shared" si="616"/>
        <v>0</v>
      </c>
      <c r="AU434" s="527">
        <f t="shared" si="616"/>
        <v>0</v>
      </c>
      <c r="AV434" s="527">
        <f t="shared" si="616"/>
        <v>0</v>
      </c>
      <c r="AW434" s="527">
        <f t="shared" si="616"/>
        <v>0</v>
      </c>
      <c r="AX434" s="527">
        <f t="shared" ref="AX434:BY434" si="617">AX477*-$W158*$R158</f>
        <v>0</v>
      </c>
      <c r="AY434" s="527">
        <f t="shared" si="617"/>
        <v>0</v>
      </c>
      <c r="AZ434" s="527">
        <f t="shared" si="617"/>
        <v>0</v>
      </c>
      <c r="BA434" s="527">
        <f t="shared" si="617"/>
        <v>0</v>
      </c>
      <c r="BB434" s="527">
        <f t="shared" si="617"/>
        <v>0</v>
      </c>
      <c r="BC434" s="527">
        <f t="shared" si="617"/>
        <v>0</v>
      </c>
      <c r="BD434" s="527">
        <f t="shared" si="617"/>
        <v>0</v>
      </c>
      <c r="BE434" s="527">
        <f t="shared" si="617"/>
        <v>0</v>
      </c>
      <c r="BF434" s="527">
        <f t="shared" si="617"/>
        <v>0</v>
      </c>
      <c r="BG434" s="527">
        <f t="shared" si="617"/>
        <v>-172736.75536706025</v>
      </c>
      <c r="BH434" s="527">
        <f t="shared" si="617"/>
        <v>0</v>
      </c>
      <c r="BI434" s="527">
        <f t="shared" si="617"/>
        <v>0</v>
      </c>
      <c r="BJ434" s="527">
        <f t="shared" si="617"/>
        <v>0</v>
      </c>
      <c r="BK434" s="527">
        <f t="shared" si="617"/>
        <v>0</v>
      </c>
      <c r="BL434" s="527">
        <f t="shared" si="617"/>
        <v>0</v>
      </c>
      <c r="BM434" s="527">
        <f t="shared" si="617"/>
        <v>0</v>
      </c>
      <c r="BN434" s="527">
        <f t="shared" si="617"/>
        <v>0</v>
      </c>
      <c r="BO434" s="527">
        <f t="shared" si="617"/>
        <v>0</v>
      </c>
      <c r="BP434" s="527">
        <f t="shared" si="617"/>
        <v>0</v>
      </c>
      <c r="BQ434" s="527">
        <f t="shared" si="617"/>
        <v>0</v>
      </c>
      <c r="BR434" s="527">
        <f t="shared" si="617"/>
        <v>0</v>
      </c>
      <c r="BS434" s="527">
        <f t="shared" si="617"/>
        <v>0</v>
      </c>
      <c r="BT434" s="527">
        <f t="shared" si="617"/>
        <v>0</v>
      </c>
      <c r="BU434" s="527">
        <f t="shared" si="617"/>
        <v>0</v>
      </c>
      <c r="BV434" s="527">
        <f t="shared" si="617"/>
        <v>0</v>
      </c>
      <c r="BW434" s="527">
        <f t="shared" si="617"/>
        <v>0</v>
      </c>
      <c r="BX434" s="527">
        <f t="shared" si="617"/>
        <v>0</v>
      </c>
      <c r="BY434" s="527">
        <f t="shared" si="617"/>
        <v>0</v>
      </c>
    </row>
    <row r="435" spans="1:77" x14ac:dyDescent="0.3">
      <c r="A435" s="551"/>
      <c r="B435" s="548"/>
      <c r="C435" s="525"/>
      <c r="D435" s="525"/>
      <c r="E435" s="645" t="str">
        <f>"Growth Capex: "&amp;E$159</f>
        <v>Growth Capex: FY31 Tranche</v>
      </c>
      <c r="F435" s="525"/>
      <c r="G435" s="525"/>
      <c r="H435" s="525"/>
      <c r="I435" s="525"/>
      <c r="J435" s="525"/>
      <c r="K435" s="525"/>
      <c r="L435" s="525"/>
      <c r="M435" s="525"/>
      <c r="N435" s="525"/>
      <c r="O435" s="525"/>
      <c r="P435" s="565"/>
      <c r="Q435" s="525"/>
      <c r="R435" s="527">
        <f t="shared" ref="R435:AW435" si="618">R478*-$W159*$R159</f>
        <v>0</v>
      </c>
      <c r="S435" s="527">
        <f t="shared" si="618"/>
        <v>0</v>
      </c>
      <c r="T435" s="527">
        <f t="shared" si="618"/>
        <v>0</v>
      </c>
      <c r="U435" s="527">
        <f t="shared" si="618"/>
        <v>0</v>
      </c>
      <c r="V435" s="527">
        <f t="shared" si="618"/>
        <v>0</v>
      </c>
      <c r="W435" s="527">
        <f t="shared" si="618"/>
        <v>0</v>
      </c>
      <c r="X435" s="527">
        <f t="shared" si="618"/>
        <v>0</v>
      </c>
      <c r="Y435" s="527">
        <f t="shared" si="618"/>
        <v>0</v>
      </c>
      <c r="Z435" s="527">
        <f t="shared" si="618"/>
        <v>0</v>
      </c>
      <c r="AA435" s="527">
        <f t="shared" si="618"/>
        <v>0</v>
      </c>
      <c r="AB435" s="527">
        <f t="shared" si="618"/>
        <v>0</v>
      </c>
      <c r="AC435" s="527">
        <f t="shared" si="618"/>
        <v>0</v>
      </c>
      <c r="AD435" s="527">
        <f t="shared" si="618"/>
        <v>0</v>
      </c>
      <c r="AE435" s="527">
        <f t="shared" si="618"/>
        <v>0</v>
      </c>
      <c r="AF435" s="527">
        <f t="shared" si="618"/>
        <v>0</v>
      </c>
      <c r="AG435" s="527">
        <f t="shared" si="618"/>
        <v>0</v>
      </c>
      <c r="AH435" s="527">
        <f t="shared" si="618"/>
        <v>0</v>
      </c>
      <c r="AI435" s="527">
        <f t="shared" si="618"/>
        <v>0</v>
      </c>
      <c r="AJ435" s="527">
        <f t="shared" si="618"/>
        <v>0</v>
      </c>
      <c r="AK435" s="527">
        <f t="shared" si="618"/>
        <v>0</v>
      </c>
      <c r="AL435" s="527">
        <f t="shared" si="618"/>
        <v>0</v>
      </c>
      <c r="AM435" s="527">
        <f t="shared" si="618"/>
        <v>0</v>
      </c>
      <c r="AN435" s="527">
        <f t="shared" si="618"/>
        <v>0</v>
      </c>
      <c r="AO435" s="527">
        <f t="shared" si="618"/>
        <v>0</v>
      </c>
      <c r="AP435" s="527">
        <f t="shared" si="618"/>
        <v>0</v>
      </c>
      <c r="AQ435" s="527">
        <f t="shared" si="618"/>
        <v>0</v>
      </c>
      <c r="AR435" s="527">
        <f t="shared" si="618"/>
        <v>0</v>
      </c>
      <c r="AS435" s="527">
        <f t="shared" si="618"/>
        <v>0</v>
      </c>
      <c r="AT435" s="527">
        <f t="shared" si="618"/>
        <v>0</v>
      </c>
      <c r="AU435" s="527">
        <f t="shared" si="618"/>
        <v>0</v>
      </c>
      <c r="AV435" s="527">
        <f t="shared" si="618"/>
        <v>0</v>
      </c>
      <c r="AW435" s="527">
        <f t="shared" si="618"/>
        <v>0</v>
      </c>
      <c r="AX435" s="527">
        <f t="shared" ref="AX435:BY435" si="619">AX478*-$W159*$R159</f>
        <v>0</v>
      </c>
      <c r="AY435" s="527">
        <f t="shared" si="619"/>
        <v>0</v>
      </c>
      <c r="AZ435" s="527">
        <f t="shared" si="619"/>
        <v>0</v>
      </c>
      <c r="BA435" s="527">
        <f t="shared" si="619"/>
        <v>0</v>
      </c>
      <c r="BB435" s="527">
        <f t="shared" si="619"/>
        <v>0</v>
      </c>
      <c r="BC435" s="527">
        <f t="shared" si="619"/>
        <v>0</v>
      </c>
      <c r="BD435" s="527">
        <f t="shared" si="619"/>
        <v>0</v>
      </c>
      <c r="BE435" s="527">
        <f t="shared" si="619"/>
        <v>0</v>
      </c>
      <c r="BF435" s="527">
        <f t="shared" si="619"/>
        <v>0</v>
      </c>
      <c r="BG435" s="527">
        <f t="shared" si="619"/>
        <v>0</v>
      </c>
      <c r="BH435" s="527">
        <f t="shared" si="619"/>
        <v>0</v>
      </c>
      <c r="BI435" s="527">
        <f t="shared" si="619"/>
        <v>0</v>
      </c>
      <c r="BJ435" s="527">
        <f t="shared" si="619"/>
        <v>0</v>
      </c>
      <c r="BK435" s="527">
        <f t="shared" si="619"/>
        <v>0</v>
      </c>
      <c r="BL435" s="527">
        <f t="shared" si="619"/>
        <v>0</v>
      </c>
      <c r="BM435" s="527">
        <f t="shared" si="619"/>
        <v>0</v>
      </c>
      <c r="BN435" s="527">
        <f t="shared" si="619"/>
        <v>0</v>
      </c>
      <c r="BO435" s="527">
        <f t="shared" si="619"/>
        <v>0</v>
      </c>
      <c r="BP435" s="527">
        <f t="shared" si="619"/>
        <v>0</v>
      </c>
      <c r="BQ435" s="527">
        <f t="shared" si="619"/>
        <v>0</v>
      </c>
      <c r="BR435" s="527">
        <f t="shared" si="619"/>
        <v>0</v>
      </c>
      <c r="BS435" s="527">
        <f t="shared" si="619"/>
        <v>-176107.88191964172</v>
      </c>
      <c r="BT435" s="527">
        <f t="shared" si="619"/>
        <v>0</v>
      </c>
      <c r="BU435" s="527">
        <f t="shared" si="619"/>
        <v>0</v>
      </c>
      <c r="BV435" s="527">
        <f t="shared" si="619"/>
        <v>0</v>
      </c>
      <c r="BW435" s="527">
        <f t="shared" si="619"/>
        <v>0</v>
      </c>
      <c r="BX435" s="527">
        <f t="shared" si="619"/>
        <v>0</v>
      </c>
      <c r="BY435" s="527">
        <f t="shared" si="619"/>
        <v>0</v>
      </c>
    </row>
    <row r="436" spans="1:77" x14ac:dyDescent="0.3">
      <c r="A436" s="551"/>
      <c r="B436" s="548"/>
      <c r="C436" s="525"/>
      <c r="D436" s="525"/>
      <c r="E436" s="645" t="str">
        <f>"Growth Capex: "&amp;E$160</f>
        <v>Growth Capex: Uninvested Tranche</v>
      </c>
      <c r="F436" s="525"/>
      <c r="G436" s="525"/>
      <c r="H436" s="525"/>
      <c r="I436" s="525"/>
      <c r="J436" s="525"/>
      <c r="K436" s="525"/>
      <c r="L436" s="525"/>
      <c r="M436" s="525"/>
      <c r="N436" s="525"/>
      <c r="O436" s="525"/>
      <c r="P436" s="565"/>
      <c r="Q436" s="525"/>
      <c r="R436" s="527">
        <f t="shared" ref="R436:AW436" si="620">R479*-$W160*$R160</f>
        <v>0</v>
      </c>
      <c r="S436" s="527">
        <f t="shared" si="620"/>
        <v>0</v>
      </c>
      <c r="T436" s="527">
        <f t="shared" si="620"/>
        <v>0</v>
      </c>
      <c r="U436" s="527">
        <f t="shared" si="620"/>
        <v>0</v>
      </c>
      <c r="V436" s="527">
        <f t="shared" si="620"/>
        <v>0</v>
      </c>
      <c r="W436" s="527">
        <f t="shared" si="620"/>
        <v>0</v>
      </c>
      <c r="X436" s="527">
        <f t="shared" si="620"/>
        <v>0</v>
      </c>
      <c r="Y436" s="527">
        <f t="shared" si="620"/>
        <v>0</v>
      </c>
      <c r="Z436" s="527">
        <f t="shared" si="620"/>
        <v>0</v>
      </c>
      <c r="AA436" s="527">
        <f t="shared" si="620"/>
        <v>0</v>
      </c>
      <c r="AB436" s="527">
        <f t="shared" si="620"/>
        <v>0</v>
      </c>
      <c r="AC436" s="527">
        <f t="shared" si="620"/>
        <v>0</v>
      </c>
      <c r="AD436" s="527">
        <f t="shared" si="620"/>
        <v>0</v>
      </c>
      <c r="AE436" s="527">
        <f t="shared" si="620"/>
        <v>0</v>
      </c>
      <c r="AF436" s="527">
        <f t="shared" si="620"/>
        <v>0</v>
      </c>
      <c r="AG436" s="527">
        <f t="shared" si="620"/>
        <v>0</v>
      </c>
      <c r="AH436" s="527">
        <f t="shared" si="620"/>
        <v>0</v>
      </c>
      <c r="AI436" s="527">
        <f t="shared" si="620"/>
        <v>0</v>
      </c>
      <c r="AJ436" s="527">
        <f t="shared" si="620"/>
        <v>0</v>
      </c>
      <c r="AK436" s="527">
        <f t="shared" si="620"/>
        <v>0</v>
      </c>
      <c r="AL436" s="527">
        <f t="shared" si="620"/>
        <v>0</v>
      </c>
      <c r="AM436" s="527">
        <f t="shared" si="620"/>
        <v>0</v>
      </c>
      <c r="AN436" s="527">
        <f t="shared" si="620"/>
        <v>0</v>
      </c>
      <c r="AO436" s="527">
        <f t="shared" si="620"/>
        <v>0</v>
      </c>
      <c r="AP436" s="527">
        <f t="shared" si="620"/>
        <v>0</v>
      </c>
      <c r="AQ436" s="527">
        <f t="shared" si="620"/>
        <v>0</v>
      </c>
      <c r="AR436" s="527">
        <f t="shared" si="620"/>
        <v>0</v>
      </c>
      <c r="AS436" s="527">
        <f t="shared" si="620"/>
        <v>0</v>
      </c>
      <c r="AT436" s="527">
        <f t="shared" si="620"/>
        <v>0</v>
      </c>
      <c r="AU436" s="527">
        <f t="shared" si="620"/>
        <v>0</v>
      </c>
      <c r="AV436" s="527">
        <f t="shared" si="620"/>
        <v>0</v>
      </c>
      <c r="AW436" s="527">
        <f t="shared" si="620"/>
        <v>0</v>
      </c>
      <c r="AX436" s="527">
        <f t="shared" ref="AX436:BY436" si="621">AX479*-$W160*$R160</f>
        <v>0</v>
      </c>
      <c r="AY436" s="527">
        <f t="shared" si="621"/>
        <v>0</v>
      </c>
      <c r="AZ436" s="527">
        <f t="shared" si="621"/>
        <v>0</v>
      </c>
      <c r="BA436" s="527">
        <f t="shared" si="621"/>
        <v>0</v>
      </c>
      <c r="BB436" s="527">
        <f t="shared" si="621"/>
        <v>0</v>
      </c>
      <c r="BC436" s="527">
        <f t="shared" si="621"/>
        <v>0</v>
      </c>
      <c r="BD436" s="527">
        <f t="shared" si="621"/>
        <v>0</v>
      </c>
      <c r="BE436" s="527">
        <f t="shared" si="621"/>
        <v>0</v>
      </c>
      <c r="BF436" s="527">
        <f t="shared" si="621"/>
        <v>0</v>
      </c>
      <c r="BG436" s="527">
        <f t="shared" si="621"/>
        <v>0</v>
      </c>
      <c r="BH436" s="527">
        <f t="shared" si="621"/>
        <v>0</v>
      </c>
      <c r="BI436" s="527">
        <f t="shared" si="621"/>
        <v>0</v>
      </c>
      <c r="BJ436" s="527">
        <f t="shared" si="621"/>
        <v>0</v>
      </c>
      <c r="BK436" s="527">
        <f t="shared" si="621"/>
        <v>0</v>
      </c>
      <c r="BL436" s="527">
        <f t="shared" si="621"/>
        <v>0</v>
      </c>
      <c r="BM436" s="527">
        <f t="shared" si="621"/>
        <v>0</v>
      </c>
      <c r="BN436" s="527">
        <f t="shared" si="621"/>
        <v>0</v>
      </c>
      <c r="BO436" s="527">
        <f t="shared" si="621"/>
        <v>0</v>
      </c>
      <c r="BP436" s="527">
        <f t="shared" si="621"/>
        <v>0</v>
      </c>
      <c r="BQ436" s="527">
        <f t="shared" si="621"/>
        <v>0</v>
      </c>
      <c r="BR436" s="527">
        <f t="shared" si="621"/>
        <v>0</v>
      </c>
      <c r="BS436" s="527">
        <f t="shared" si="621"/>
        <v>0</v>
      </c>
      <c r="BT436" s="527">
        <f t="shared" si="621"/>
        <v>0</v>
      </c>
      <c r="BU436" s="527">
        <f t="shared" si="621"/>
        <v>0</v>
      </c>
      <c r="BV436" s="527">
        <f t="shared" si="621"/>
        <v>0</v>
      </c>
      <c r="BW436" s="527">
        <f t="shared" si="621"/>
        <v>0</v>
      </c>
      <c r="BX436" s="527">
        <f t="shared" si="621"/>
        <v>0</v>
      </c>
      <c r="BY436" s="527">
        <f t="shared" si="621"/>
        <v>0</v>
      </c>
    </row>
    <row r="437" spans="1:77" x14ac:dyDescent="0.3">
      <c r="A437" s="551"/>
      <c r="B437" s="548"/>
      <c r="C437" s="525"/>
      <c r="D437" s="525"/>
      <c r="E437" s="572" t="s">
        <v>36</v>
      </c>
      <c r="F437" s="572"/>
      <c r="G437" s="572"/>
      <c r="H437" s="572"/>
      <c r="I437" s="572"/>
      <c r="J437" s="572"/>
      <c r="K437" s="572"/>
      <c r="L437" s="572"/>
      <c r="M437" s="572"/>
      <c r="N437" s="572"/>
      <c r="O437" s="572"/>
      <c r="P437" s="612"/>
      <c r="Q437" s="572"/>
      <c r="R437" s="530">
        <f t="shared" ref="R437:AW437" si="622">SUM(R431:R436)</f>
        <v>0</v>
      </c>
      <c r="S437" s="530">
        <f t="shared" si="622"/>
        <v>0</v>
      </c>
      <c r="T437" s="530">
        <f t="shared" si="622"/>
        <v>0</v>
      </c>
      <c r="U437" s="530">
        <f t="shared" si="622"/>
        <v>0</v>
      </c>
      <c r="V437" s="530">
        <f t="shared" si="622"/>
        <v>0</v>
      </c>
      <c r="W437" s="530">
        <f t="shared" si="622"/>
        <v>-161633.40743935315</v>
      </c>
      <c r="X437" s="530">
        <f t="shared" si="622"/>
        <v>0</v>
      </c>
      <c r="Y437" s="530">
        <f t="shared" si="622"/>
        <v>0</v>
      </c>
      <c r="Z437" s="530">
        <f t="shared" si="622"/>
        <v>0</v>
      </c>
      <c r="AA437" s="530">
        <f t="shared" si="622"/>
        <v>0</v>
      </c>
      <c r="AB437" s="530">
        <f t="shared" si="622"/>
        <v>0</v>
      </c>
      <c r="AC437" s="530">
        <f t="shared" si="622"/>
        <v>0</v>
      </c>
      <c r="AD437" s="530">
        <f t="shared" si="622"/>
        <v>0</v>
      </c>
      <c r="AE437" s="530">
        <f t="shared" si="622"/>
        <v>0</v>
      </c>
      <c r="AF437" s="530">
        <f t="shared" si="622"/>
        <v>0</v>
      </c>
      <c r="AG437" s="530">
        <f t="shared" si="622"/>
        <v>0</v>
      </c>
      <c r="AH437" s="530">
        <f t="shared" si="622"/>
        <v>0</v>
      </c>
      <c r="AI437" s="530">
        <f t="shared" si="622"/>
        <v>-165520.65860391143</v>
      </c>
      <c r="AJ437" s="530">
        <f t="shared" si="622"/>
        <v>0</v>
      </c>
      <c r="AK437" s="530">
        <f t="shared" si="622"/>
        <v>0</v>
      </c>
      <c r="AL437" s="530">
        <f t="shared" si="622"/>
        <v>0</v>
      </c>
      <c r="AM437" s="530">
        <f t="shared" si="622"/>
        <v>0</v>
      </c>
      <c r="AN437" s="530">
        <f t="shared" si="622"/>
        <v>0</v>
      </c>
      <c r="AO437" s="530">
        <f t="shared" si="622"/>
        <v>0</v>
      </c>
      <c r="AP437" s="530">
        <f t="shared" si="622"/>
        <v>0</v>
      </c>
      <c r="AQ437" s="530">
        <f t="shared" si="622"/>
        <v>0</v>
      </c>
      <c r="AR437" s="530">
        <f t="shared" si="622"/>
        <v>0</v>
      </c>
      <c r="AS437" s="530">
        <f t="shared" si="622"/>
        <v>0</v>
      </c>
      <c r="AT437" s="530">
        <f t="shared" si="622"/>
        <v>0</v>
      </c>
      <c r="AU437" s="530">
        <f t="shared" si="622"/>
        <v>-169237.32871097644</v>
      </c>
      <c r="AV437" s="530">
        <f t="shared" si="622"/>
        <v>0</v>
      </c>
      <c r="AW437" s="530">
        <f t="shared" si="622"/>
        <v>0</v>
      </c>
      <c r="AX437" s="530">
        <f t="shared" ref="AX437:BY437" si="623">SUM(AX431:AX436)</f>
        <v>0</v>
      </c>
      <c r="AY437" s="530">
        <f t="shared" si="623"/>
        <v>0</v>
      </c>
      <c r="AZ437" s="530">
        <f t="shared" si="623"/>
        <v>0</v>
      </c>
      <c r="BA437" s="530">
        <f t="shared" si="623"/>
        <v>0</v>
      </c>
      <c r="BB437" s="530">
        <f t="shared" si="623"/>
        <v>0</v>
      </c>
      <c r="BC437" s="530">
        <f t="shared" si="623"/>
        <v>0</v>
      </c>
      <c r="BD437" s="530">
        <f t="shared" si="623"/>
        <v>0</v>
      </c>
      <c r="BE437" s="530">
        <f t="shared" si="623"/>
        <v>0</v>
      </c>
      <c r="BF437" s="530">
        <f t="shared" si="623"/>
        <v>0</v>
      </c>
      <c r="BG437" s="530">
        <f t="shared" si="623"/>
        <v>-172736.75536706025</v>
      </c>
      <c r="BH437" s="530">
        <f t="shared" si="623"/>
        <v>0</v>
      </c>
      <c r="BI437" s="530">
        <f t="shared" si="623"/>
        <v>0</v>
      </c>
      <c r="BJ437" s="530">
        <f t="shared" si="623"/>
        <v>0</v>
      </c>
      <c r="BK437" s="530">
        <f t="shared" si="623"/>
        <v>0</v>
      </c>
      <c r="BL437" s="530">
        <f t="shared" si="623"/>
        <v>0</v>
      </c>
      <c r="BM437" s="530">
        <f t="shared" si="623"/>
        <v>0</v>
      </c>
      <c r="BN437" s="530">
        <f t="shared" si="623"/>
        <v>0</v>
      </c>
      <c r="BO437" s="530">
        <f t="shared" si="623"/>
        <v>0</v>
      </c>
      <c r="BP437" s="530">
        <f t="shared" si="623"/>
        <v>0</v>
      </c>
      <c r="BQ437" s="530">
        <f t="shared" si="623"/>
        <v>0</v>
      </c>
      <c r="BR437" s="530">
        <f t="shared" si="623"/>
        <v>0</v>
      </c>
      <c r="BS437" s="530">
        <f t="shared" si="623"/>
        <v>-176107.88191964172</v>
      </c>
      <c r="BT437" s="530">
        <f t="shared" si="623"/>
        <v>0</v>
      </c>
      <c r="BU437" s="530">
        <f t="shared" si="623"/>
        <v>0</v>
      </c>
      <c r="BV437" s="530">
        <f t="shared" si="623"/>
        <v>0</v>
      </c>
      <c r="BW437" s="530">
        <f t="shared" si="623"/>
        <v>0</v>
      </c>
      <c r="BX437" s="530">
        <f t="shared" si="623"/>
        <v>0</v>
      </c>
      <c r="BY437" s="530">
        <f t="shared" si="623"/>
        <v>0</v>
      </c>
    </row>
    <row r="438" spans="1:77" x14ac:dyDescent="0.3">
      <c r="A438" s="551"/>
      <c r="B438" s="548"/>
      <c r="C438" s="525"/>
      <c r="D438" s="525"/>
      <c r="E438" s="525"/>
      <c r="F438" s="525"/>
      <c r="G438" s="525"/>
      <c r="H438" s="525"/>
      <c r="I438" s="525"/>
      <c r="J438" s="525"/>
      <c r="K438" s="525"/>
      <c r="L438" s="525"/>
      <c r="M438" s="525"/>
      <c r="N438" s="525"/>
      <c r="O438" s="525"/>
      <c r="P438" s="565"/>
      <c r="Q438" s="525"/>
      <c r="R438" s="525"/>
      <c r="S438" s="525"/>
      <c r="T438" s="525"/>
      <c r="U438" s="525"/>
      <c r="V438" s="525"/>
      <c r="W438" s="525"/>
      <c r="X438" s="525"/>
      <c r="Y438" s="525"/>
      <c r="Z438" s="525"/>
      <c r="AA438" s="525"/>
      <c r="AB438" s="525"/>
      <c r="AC438" s="525"/>
      <c r="AD438" s="525"/>
      <c r="AE438" s="525"/>
      <c r="AF438" s="525"/>
      <c r="AG438" s="525"/>
      <c r="AH438" s="525"/>
      <c r="AI438" s="525"/>
      <c r="AJ438" s="525"/>
      <c r="AK438" s="525"/>
      <c r="AL438" s="525"/>
      <c r="AM438" s="525"/>
      <c r="AN438" s="525"/>
      <c r="AO438" s="525"/>
      <c r="AP438" s="525"/>
      <c r="AQ438" s="525"/>
      <c r="AR438" s="525"/>
      <c r="AS438" s="525"/>
      <c r="AT438" s="525"/>
      <c r="AU438" s="525"/>
      <c r="AV438" s="525"/>
      <c r="AW438" s="525"/>
      <c r="AX438" s="525"/>
      <c r="AY438" s="525"/>
      <c r="AZ438" s="525"/>
      <c r="BA438" s="525"/>
      <c r="BB438" s="525"/>
      <c r="BC438" s="525"/>
      <c r="BD438" s="525"/>
      <c r="BE438" s="525"/>
      <c r="BF438" s="525"/>
      <c r="BG438" s="525"/>
      <c r="BH438" s="525"/>
      <c r="BI438" s="525"/>
      <c r="BJ438" s="525"/>
      <c r="BK438" s="525"/>
      <c r="BL438" s="525"/>
      <c r="BM438" s="525"/>
      <c r="BN438" s="525"/>
      <c r="BO438" s="525"/>
      <c r="BP438" s="525"/>
      <c r="BQ438" s="525"/>
      <c r="BR438" s="525"/>
      <c r="BS438" s="525"/>
      <c r="BT438" s="525"/>
      <c r="BU438" s="525"/>
      <c r="BV438" s="525"/>
      <c r="BW438" s="525"/>
      <c r="BX438" s="525"/>
      <c r="BY438" s="525"/>
    </row>
    <row r="439" spans="1:77" x14ac:dyDescent="0.3">
      <c r="A439" s="551"/>
      <c r="B439" s="548"/>
      <c r="C439" s="525"/>
      <c r="D439" s="525"/>
      <c r="E439" s="646" t="str">
        <f>"Maintenance capex: "&amp;E$155</f>
        <v>Maintenance capex: FY27 Tranche</v>
      </c>
      <c r="F439" s="525"/>
      <c r="G439" s="525"/>
      <c r="H439" s="525"/>
      <c r="I439" s="525"/>
      <c r="J439" s="525"/>
      <c r="K439" s="525"/>
      <c r="L439" s="525"/>
      <c r="M439" s="525"/>
      <c r="N439" s="525"/>
      <c r="O439" s="525"/>
      <c r="P439" s="565"/>
      <c r="Q439" s="525"/>
      <c r="R439" s="527">
        <f t="shared" ref="R439:AW439" si="624">(R$622*$R155)</f>
        <v>-2720</v>
      </c>
      <c r="S439" s="527">
        <f t="shared" si="624"/>
        <v>-2720</v>
      </c>
      <c r="T439" s="527">
        <f t="shared" si="624"/>
        <v>-2720</v>
      </c>
      <c r="U439" s="527">
        <f t="shared" si="624"/>
        <v>-2720</v>
      </c>
      <c r="V439" s="527">
        <f t="shared" si="624"/>
        <v>-2720</v>
      </c>
      <c r="W439" s="527">
        <f t="shared" si="624"/>
        <v>-2720</v>
      </c>
      <c r="X439" s="527">
        <f t="shared" si="624"/>
        <v>-2720</v>
      </c>
      <c r="Y439" s="527">
        <f t="shared" si="624"/>
        <v>-2720</v>
      </c>
      <c r="Z439" s="527">
        <f t="shared" si="624"/>
        <v>-2720</v>
      </c>
      <c r="AA439" s="527">
        <f t="shared" si="624"/>
        <v>-2720</v>
      </c>
      <c r="AB439" s="527">
        <f t="shared" si="624"/>
        <v>-2720</v>
      </c>
      <c r="AC439" s="527">
        <f t="shared" si="624"/>
        <v>-2720</v>
      </c>
      <c r="AD439" s="527">
        <f t="shared" si="624"/>
        <v>-2774.4</v>
      </c>
      <c r="AE439" s="527">
        <f t="shared" si="624"/>
        <v>-2774.4</v>
      </c>
      <c r="AF439" s="527">
        <f t="shared" si="624"/>
        <v>-2774.4</v>
      </c>
      <c r="AG439" s="527">
        <f t="shared" si="624"/>
        <v>-2774.4</v>
      </c>
      <c r="AH439" s="527">
        <f t="shared" si="624"/>
        <v>-2774.4</v>
      </c>
      <c r="AI439" s="527">
        <f t="shared" si="624"/>
        <v>-2774.4</v>
      </c>
      <c r="AJ439" s="527">
        <f t="shared" si="624"/>
        <v>-2774.4</v>
      </c>
      <c r="AK439" s="527">
        <f t="shared" si="624"/>
        <v>-2774.4</v>
      </c>
      <c r="AL439" s="527">
        <f t="shared" si="624"/>
        <v>-2774.4</v>
      </c>
      <c r="AM439" s="527">
        <f t="shared" si="624"/>
        <v>-2774.4</v>
      </c>
      <c r="AN439" s="527">
        <f t="shared" si="624"/>
        <v>-2774.4</v>
      </c>
      <c r="AO439" s="527">
        <f t="shared" si="624"/>
        <v>-2774.4</v>
      </c>
      <c r="AP439" s="527">
        <f t="shared" si="624"/>
        <v>-2829.8880000000004</v>
      </c>
      <c r="AQ439" s="527">
        <f t="shared" si="624"/>
        <v>-2829.8880000000004</v>
      </c>
      <c r="AR439" s="527">
        <f t="shared" si="624"/>
        <v>-2829.8880000000004</v>
      </c>
      <c r="AS439" s="527">
        <f t="shared" si="624"/>
        <v>-2829.8880000000004</v>
      </c>
      <c r="AT439" s="527">
        <f t="shared" si="624"/>
        <v>-2829.8880000000004</v>
      </c>
      <c r="AU439" s="527">
        <f t="shared" si="624"/>
        <v>-2829.8880000000004</v>
      </c>
      <c r="AV439" s="527">
        <f t="shared" si="624"/>
        <v>-2829.8880000000004</v>
      </c>
      <c r="AW439" s="527">
        <f t="shared" si="624"/>
        <v>-2829.8880000000004</v>
      </c>
      <c r="AX439" s="527">
        <f t="shared" ref="AX439:BY439" si="625">(AX$622*$R155)</f>
        <v>-2829.8880000000004</v>
      </c>
      <c r="AY439" s="527">
        <f t="shared" si="625"/>
        <v>-2829.8880000000004</v>
      </c>
      <c r="AZ439" s="527">
        <f t="shared" si="625"/>
        <v>-2829.8880000000004</v>
      </c>
      <c r="BA439" s="527">
        <f t="shared" si="625"/>
        <v>-2829.8880000000004</v>
      </c>
      <c r="BB439" s="527">
        <f t="shared" si="625"/>
        <v>-2886.4857600000005</v>
      </c>
      <c r="BC439" s="527">
        <f t="shared" si="625"/>
        <v>-2886.4857600000005</v>
      </c>
      <c r="BD439" s="527">
        <f t="shared" si="625"/>
        <v>-2886.4857600000005</v>
      </c>
      <c r="BE439" s="527">
        <f t="shared" si="625"/>
        <v>-2886.4857600000005</v>
      </c>
      <c r="BF439" s="527">
        <f t="shared" si="625"/>
        <v>-2886.4857600000005</v>
      </c>
      <c r="BG439" s="527">
        <f t="shared" si="625"/>
        <v>-2886.4857600000005</v>
      </c>
      <c r="BH439" s="527">
        <f t="shared" si="625"/>
        <v>-2886.4857600000005</v>
      </c>
      <c r="BI439" s="527">
        <f t="shared" si="625"/>
        <v>-2886.4857600000005</v>
      </c>
      <c r="BJ439" s="527">
        <f t="shared" si="625"/>
        <v>-2886.4857600000005</v>
      </c>
      <c r="BK439" s="527">
        <f t="shared" si="625"/>
        <v>-2886.4857600000005</v>
      </c>
      <c r="BL439" s="527">
        <f t="shared" si="625"/>
        <v>-2886.4857600000005</v>
      </c>
      <c r="BM439" s="527">
        <f t="shared" si="625"/>
        <v>-2886.4857600000005</v>
      </c>
      <c r="BN439" s="527">
        <f t="shared" si="625"/>
        <v>-2944.215475200001</v>
      </c>
      <c r="BO439" s="527">
        <f t="shared" si="625"/>
        <v>-2944.215475200001</v>
      </c>
      <c r="BP439" s="527">
        <f t="shared" si="625"/>
        <v>-2944.215475200001</v>
      </c>
      <c r="BQ439" s="527">
        <f t="shared" si="625"/>
        <v>-2944.215475200001</v>
      </c>
      <c r="BR439" s="527">
        <f t="shared" si="625"/>
        <v>-2944.215475200001</v>
      </c>
      <c r="BS439" s="527">
        <f t="shared" si="625"/>
        <v>-2944.215475200001</v>
      </c>
      <c r="BT439" s="527">
        <f t="shared" si="625"/>
        <v>-2944.215475200001</v>
      </c>
      <c r="BU439" s="527">
        <f t="shared" si="625"/>
        <v>-2944.215475200001</v>
      </c>
      <c r="BV439" s="527">
        <f t="shared" si="625"/>
        <v>-2944.215475200001</v>
      </c>
      <c r="BW439" s="527">
        <f t="shared" si="625"/>
        <v>-2944.215475200001</v>
      </c>
      <c r="BX439" s="527">
        <f t="shared" si="625"/>
        <v>-2944.215475200001</v>
      </c>
      <c r="BY439" s="527">
        <f t="shared" si="625"/>
        <v>-2944.215475200001</v>
      </c>
    </row>
    <row r="440" spans="1:77" x14ac:dyDescent="0.3">
      <c r="A440" s="551"/>
      <c r="B440" s="548"/>
      <c r="C440" s="525"/>
      <c r="D440" s="525"/>
      <c r="E440" s="646" t="str">
        <f>"Maintenance capex: "&amp;E$156</f>
        <v>Maintenance capex: FY28 Tranche</v>
      </c>
      <c r="F440" s="525"/>
      <c r="G440" s="525"/>
      <c r="H440" s="525"/>
      <c r="I440" s="525"/>
      <c r="J440" s="525"/>
      <c r="K440" s="525"/>
      <c r="L440" s="525"/>
      <c r="M440" s="525"/>
      <c r="N440" s="525"/>
      <c r="O440" s="525"/>
      <c r="P440" s="565"/>
      <c r="Q440" s="525"/>
      <c r="R440" s="527">
        <f t="shared" ref="R440:AW440" si="626">(R$622*$R156)</f>
        <v>-2720</v>
      </c>
      <c r="S440" s="527">
        <f t="shared" si="626"/>
        <v>-2720</v>
      </c>
      <c r="T440" s="527">
        <f t="shared" si="626"/>
        <v>-2720</v>
      </c>
      <c r="U440" s="527">
        <f t="shared" si="626"/>
        <v>-2720</v>
      </c>
      <c r="V440" s="527">
        <f t="shared" si="626"/>
        <v>-2720</v>
      </c>
      <c r="W440" s="527">
        <f t="shared" si="626"/>
        <v>-2720</v>
      </c>
      <c r="X440" s="527">
        <f t="shared" si="626"/>
        <v>-2720</v>
      </c>
      <c r="Y440" s="527">
        <f t="shared" si="626"/>
        <v>-2720</v>
      </c>
      <c r="Z440" s="527">
        <f t="shared" si="626"/>
        <v>-2720</v>
      </c>
      <c r="AA440" s="527">
        <f t="shared" si="626"/>
        <v>-2720</v>
      </c>
      <c r="AB440" s="527">
        <f t="shared" si="626"/>
        <v>-2720</v>
      </c>
      <c r="AC440" s="527">
        <f t="shared" si="626"/>
        <v>-2720</v>
      </c>
      <c r="AD440" s="527">
        <f t="shared" si="626"/>
        <v>-2774.4</v>
      </c>
      <c r="AE440" s="527">
        <f t="shared" si="626"/>
        <v>-2774.4</v>
      </c>
      <c r="AF440" s="527">
        <f t="shared" si="626"/>
        <v>-2774.4</v>
      </c>
      <c r="AG440" s="527">
        <f t="shared" si="626"/>
        <v>-2774.4</v>
      </c>
      <c r="AH440" s="527">
        <f t="shared" si="626"/>
        <v>-2774.4</v>
      </c>
      <c r="AI440" s="527">
        <f t="shared" si="626"/>
        <v>-2774.4</v>
      </c>
      <c r="AJ440" s="527">
        <f t="shared" si="626"/>
        <v>-2774.4</v>
      </c>
      <c r="AK440" s="527">
        <f t="shared" si="626"/>
        <v>-2774.4</v>
      </c>
      <c r="AL440" s="527">
        <f t="shared" si="626"/>
        <v>-2774.4</v>
      </c>
      <c r="AM440" s="527">
        <f t="shared" si="626"/>
        <v>-2774.4</v>
      </c>
      <c r="AN440" s="527">
        <f t="shared" si="626"/>
        <v>-2774.4</v>
      </c>
      <c r="AO440" s="527">
        <f t="shared" si="626"/>
        <v>-2774.4</v>
      </c>
      <c r="AP440" s="527">
        <f t="shared" si="626"/>
        <v>-2829.8880000000004</v>
      </c>
      <c r="AQ440" s="527">
        <f t="shared" si="626"/>
        <v>-2829.8880000000004</v>
      </c>
      <c r="AR440" s="527">
        <f t="shared" si="626"/>
        <v>-2829.8880000000004</v>
      </c>
      <c r="AS440" s="527">
        <f t="shared" si="626"/>
        <v>-2829.8880000000004</v>
      </c>
      <c r="AT440" s="527">
        <f t="shared" si="626"/>
        <v>-2829.8880000000004</v>
      </c>
      <c r="AU440" s="527">
        <f t="shared" si="626"/>
        <v>-2829.8880000000004</v>
      </c>
      <c r="AV440" s="527">
        <f t="shared" si="626"/>
        <v>-2829.8880000000004</v>
      </c>
      <c r="AW440" s="527">
        <f t="shared" si="626"/>
        <v>-2829.8880000000004</v>
      </c>
      <c r="AX440" s="527">
        <f t="shared" ref="AX440:BY440" si="627">(AX$622*$R156)</f>
        <v>-2829.8880000000004</v>
      </c>
      <c r="AY440" s="527">
        <f t="shared" si="627"/>
        <v>-2829.8880000000004</v>
      </c>
      <c r="AZ440" s="527">
        <f t="shared" si="627"/>
        <v>-2829.8880000000004</v>
      </c>
      <c r="BA440" s="527">
        <f t="shared" si="627"/>
        <v>-2829.8880000000004</v>
      </c>
      <c r="BB440" s="527">
        <f t="shared" si="627"/>
        <v>-2886.4857600000005</v>
      </c>
      <c r="BC440" s="527">
        <f t="shared" si="627"/>
        <v>-2886.4857600000005</v>
      </c>
      <c r="BD440" s="527">
        <f t="shared" si="627"/>
        <v>-2886.4857600000005</v>
      </c>
      <c r="BE440" s="527">
        <f t="shared" si="627"/>
        <v>-2886.4857600000005</v>
      </c>
      <c r="BF440" s="527">
        <f t="shared" si="627"/>
        <v>-2886.4857600000005</v>
      </c>
      <c r="BG440" s="527">
        <f t="shared" si="627"/>
        <v>-2886.4857600000005</v>
      </c>
      <c r="BH440" s="527">
        <f t="shared" si="627"/>
        <v>-2886.4857600000005</v>
      </c>
      <c r="BI440" s="527">
        <f t="shared" si="627"/>
        <v>-2886.4857600000005</v>
      </c>
      <c r="BJ440" s="527">
        <f t="shared" si="627"/>
        <v>-2886.4857600000005</v>
      </c>
      <c r="BK440" s="527">
        <f t="shared" si="627"/>
        <v>-2886.4857600000005</v>
      </c>
      <c r="BL440" s="527">
        <f t="shared" si="627"/>
        <v>-2886.4857600000005</v>
      </c>
      <c r="BM440" s="527">
        <f t="shared" si="627"/>
        <v>-2886.4857600000005</v>
      </c>
      <c r="BN440" s="527">
        <f t="shared" si="627"/>
        <v>-2944.215475200001</v>
      </c>
      <c r="BO440" s="527">
        <f t="shared" si="627"/>
        <v>-2944.215475200001</v>
      </c>
      <c r="BP440" s="527">
        <f t="shared" si="627"/>
        <v>-2944.215475200001</v>
      </c>
      <c r="BQ440" s="527">
        <f t="shared" si="627"/>
        <v>-2944.215475200001</v>
      </c>
      <c r="BR440" s="527">
        <f t="shared" si="627"/>
        <v>-2944.215475200001</v>
      </c>
      <c r="BS440" s="527">
        <f t="shared" si="627"/>
        <v>-2944.215475200001</v>
      </c>
      <c r="BT440" s="527">
        <f t="shared" si="627"/>
        <v>-2944.215475200001</v>
      </c>
      <c r="BU440" s="527">
        <f t="shared" si="627"/>
        <v>-2944.215475200001</v>
      </c>
      <c r="BV440" s="527">
        <f t="shared" si="627"/>
        <v>-2944.215475200001</v>
      </c>
      <c r="BW440" s="527">
        <f t="shared" si="627"/>
        <v>-2944.215475200001</v>
      </c>
      <c r="BX440" s="527">
        <f t="shared" si="627"/>
        <v>-2944.215475200001</v>
      </c>
      <c r="BY440" s="527">
        <f t="shared" si="627"/>
        <v>-2944.215475200001</v>
      </c>
    </row>
    <row r="441" spans="1:77" x14ac:dyDescent="0.3">
      <c r="A441" s="551"/>
      <c r="B441" s="548"/>
      <c r="C441" s="525"/>
      <c r="D441" s="525"/>
      <c r="E441" s="646" t="str">
        <f>"Maintenance capex: "&amp;E$157</f>
        <v>Maintenance capex: FY29 Tranche</v>
      </c>
      <c r="F441" s="525"/>
      <c r="G441" s="525"/>
      <c r="H441" s="525"/>
      <c r="I441" s="525"/>
      <c r="J441" s="525"/>
      <c r="K441" s="525"/>
      <c r="L441" s="525"/>
      <c r="M441" s="525"/>
      <c r="N441" s="525"/>
      <c r="O441" s="525"/>
      <c r="P441" s="565"/>
      <c r="Q441" s="525"/>
      <c r="R441" s="527">
        <f t="shared" ref="R441:AW441" si="628">(R$622*$R157)</f>
        <v>-2720</v>
      </c>
      <c r="S441" s="527">
        <f t="shared" si="628"/>
        <v>-2720</v>
      </c>
      <c r="T441" s="527">
        <f t="shared" si="628"/>
        <v>-2720</v>
      </c>
      <c r="U441" s="527">
        <f t="shared" si="628"/>
        <v>-2720</v>
      </c>
      <c r="V441" s="527">
        <f t="shared" si="628"/>
        <v>-2720</v>
      </c>
      <c r="W441" s="527">
        <f t="shared" si="628"/>
        <v>-2720</v>
      </c>
      <c r="X441" s="527">
        <f t="shared" si="628"/>
        <v>-2720</v>
      </c>
      <c r="Y441" s="527">
        <f t="shared" si="628"/>
        <v>-2720</v>
      </c>
      <c r="Z441" s="527">
        <f t="shared" si="628"/>
        <v>-2720</v>
      </c>
      <c r="AA441" s="527">
        <f t="shared" si="628"/>
        <v>-2720</v>
      </c>
      <c r="AB441" s="527">
        <f t="shared" si="628"/>
        <v>-2720</v>
      </c>
      <c r="AC441" s="527">
        <f t="shared" si="628"/>
        <v>-2720</v>
      </c>
      <c r="AD441" s="527">
        <f t="shared" si="628"/>
        <v>-2774.4</v>
      </c>
      <c r="AE441" s="527">
        <f t="shared" si="628"/>
        <v>-2774.4</v>
      </c>
      <c r="AF441" s="527">
        <f t="shared" si="628"/>
        <v>-2774.4</v>
      </c>
      <c r="AG441" s="527">
        <f t="shared" si="628"/>
        <v>-2774.4</v>
      </c>
      <c r="AH441" s="527">
        <f t="shared" si="628"/>
        <v>-2774.4</v>
      </c>
      <c r="AI441" s="527">
        <f t="shared" si="628"/>
        <v>-2774.4</v>
      </c>
      <c r="AJ441" s="527">
        <f t="shared" si="628"/>
        <v>-2774.4</v>
      </c>
      <c r="AK441" s="527">
        <f t="shared" si="628"/>
        <v>-2774.4</v>
      </c>
      <c r="AL441" s="527">
        <f t="shared" si="628"/>
        <v>-2774.4</v>
      </c>
      <c r="AM441" s="527">
        <f t="shared" si="628"/>
        <v>-2774.4</v>
      </c>
      <c r="AN441" s="527">
        <f t="shared" si="628"/>
        <v>-2774.4</v>
      </c>
      <c r="AO441" s="527">
        <f t="shared" si="628"/>
        <v>-2774.4</v>
      </c>
      <c r="AP441" s="527">
        <f t="shared" si="628"/>
        <v>-2829.8880000000004</v>
      </c>
      <c r="AQ441" s="527">
        <f t="shared" si="628"/>
        <v>-2829.8880000000004</v>
      </c>
      <c r="AR441" s="527">
        <f t="shared" si="628"/>
        <v>-2829.8880000000004</v>
      </c>
      <c r="AS441" s="527">
        <f t="shared" si="628"/>
        <v>-2829.8880000000004</v>
      </c>
      <c r="AT441" s="527">
        <f t="shared" si="628"/>
        <v>-2829.8880000000004</v>
      </c>
      <c r="AU441" s="527">
        <f t="shared" si="628"/>
        <v>-2829.8880000000004</v>
      </c>
      <c r="AV441" s="527">
        <f t="shared" si="628"/>
        <v>-2829.8880000000004</v>
      </c>
      <c r="AW441" s="527">
        <f t="shared" si="628"/>
        <v>-2829.8880000000004</v>
      </c>
      <c r="AX441" s="527">
        <f t="shared" ref="AX441:BY441" si="629">(AX$622*$R157)</f>
        <v>-2829.8880000000004</v>
      </c>
      <c r="AY441" s="527">
        <f t="shared" si="629"/>
        <v>-2829.8880000000004</v>
      </c>
      <c r="AZ441" s="527">
        <f t="shared" si="629"/>
        <v>-2829.8880000000004</v>
      </c>
      <c r="BA441" s="527">
        <f t="shared" si="629"/>
        <v>-2829.8880000000004</v>
      </c>
      <c r="BB441" s="527">
        <f t="shared" si="629"/>
        <v>-2886.4857600000005</v>
      </c>
      <c r="BC441" s="527">
        <f t="shared" si="629"/>
        <v>-2886.4857600000005</v>
      </c>
      <c r="BD441" s="527">
        <f t="shared" si="629"/>
        <v>-2886.4857600000005</v>
      </c>
      <c r="BE441" s="527">
        <f t="shared" si="629"/>
        <v>-2886.4857600000005</v>
      </c>
      <c r="BF441" s="527">
        <f t="shared" si="629"/>
        <v>-2886.4857600000005</v>
      </c>
      <c r="BG441" s="527">
        <f t="shared" si="629"/>
        <v>-2886.4857600000005</v>
      </c>
      <c r="BH441" s="527">
        <f t="shared" si="629"/>
        <v>-2886.4857600000005</v>
      </c>
      <c r="BI441" s="527">
        <f t="shared" si="629"/>
        <v>-2886.4857600000005</v>
      </c>
      <c r="BJ441" s="527">
        <f t="shared" si="629"/>
        <v>-2886.4857600000005</v>
      </c>
      <c r="BK441" s="527">
        <f t="shared" si="629"/>
        <v>-2886.4857600000005</v>
      </c>
      <c r="BL441" s="527">
        <f t="shared" si="629"/>
        <v>-2886.4857600000005</v>
      </c>
      <c r="BM441" s="527">
        <f t="shared" si="629"/>
        <v>-2886.4857600000005</v>
      </c>
      <c r="BN441" s="527">
        <f t="shared" si="629"/>
        <v>-2944.215475200001</v>
      </c>
      <c r="BO441" s="527">
        <f t="shared" si="629"/>
        <v>-2944.215475200001</v>
      </c>
      <c r="BP441" s="527">
        <f t="shared" si="629"/>
        <v>-2944.215475200001</v>
      </c>
      <c r="BQ441" s="527">
        <f t="shared" si="629"/>
        <v>-2944.215475200001</v>
      </c>
      <c r="BR441" s="527">
        <f t="shared" si="629"/>
        <v>-2944.215475200001</v>
      </c>
      <c r="BS441" s="527">
        <f t="shared" si="629"/>
        <v>-2944.215475200001</v>
      </c>
      <c r="BT441" s="527">
        <f t="shared" si="629"/>
        <v>-2944.215475200001</v>
      </c>
      <c r="BU441" s="527">
        <f t="shared" si="629"/>
        <v>-2944.215475200001</v>
      </c>
      <c r="BV441" s="527">
        <f t="shared" si="629"/>
        <v>-2944.215475200001</v>
      </c>
      <c r="BW441" s="527">
        <f t="shared" si="629"/>
        <v>-2944.215475200001</v>
      </c>
      <c r="BX441" s="527">
        <f t="shared" si="629"/>
        <v>-2944.215475200001</v>
      </c>
      <c r="BY441" s="527">
        <f t="shared" si="629"/>
        <v>-2944.215475200001</v>
      </c>
    </row>
    <row r="442" spans="1:77" x14ac:dyDescent="0.3">
      <c r="A442" s="551"/>
      <c r="B442" s="548"/>
      <c r="C442" s="525"/>
      <c r="D442" s="525"/>
      <c r="E442" s="646" t="str">
        <f>"Maintenance capex: "&amp;E$158</f>
        <v>Maintenance capex: FY30 Tranche</v>
      </c>
      <c r="F442" s="525"/>
      <c r="G442" s="525"/>
      <c r="H442" s="525"/>
      <c r="I442" s="525"/>
      <c r="J442" s="525"/>
      <c r="K442" s="525"/>
      <c r="L442" s="525"/>
      <c r="M442" s="525"/>
      <c r="N442" s="525"/>
      <c r="O442" s="525"/>
      <c r="P442" s="565"/>
      <c r="Q442" s="525"/>
      <c r="R442" s="527">
        <f t="shared" ref="R442:AW442" si="630">(R$622*$R158)</f>
        <v>-2720</v>
      </c>
      <c r="S442" s="527">
        <f t="shared" si="630"/>
        <v>-2720</v>
      </c>
      <c r="T442" s="527">
        <f t="shared" si="630"/>
        <v>-2720</v>
      </c>
      <c r="U442" s="527">
        <f t="shared" si="630"/>
        <v>-2720</v>
      </c>
      <c r="V442" s="527">
        <f t="shared" si="630"/>
        <v>-2720</v>
      </c>
      <c r="W442" s="527">
        <f t="shared" si="630"/>
        <v>-2720</v>
      </c>
      <c r="X442" s="527">
        <f t="shared" si="630"/>
        <v>-2720</v>
      </c>
      <c r="Y442" s="527">
        <f t="shared" si="630"/>
        <v>-2720</v>
      </c>
      <c r="Z442" s="527">
        <f t="shared" si="630"/>
        <v>-2720</v>
      </c>
      <c r="AA442" s="527">
        <f t="shared" si="630"/>
        <v>-2720</v>
      </c>
      <c r="AB442" s="527">
        <f t="shared" si="630"/>
        <v>-2720</v>
      </c>
      <c r="AC442" s="527">
        <f t="shared" si="630"/>
        <v>-2720</v>
      </c>
      <c r="AD442" s="527">
        <f t="shared" si="630"/>
        <v>-2774.4</v>
      </c>
      <c r="AE442" s="527">
        <f t="shared" si="630"/>
        <v>-2774.4</v>
      </c>
      <c r="AF442" s="527">
        <f t="shared" si="630"/>
        <v>-2774.4</v>
      </c>
      <c r="AG442" s="527">
        <f t="shared" si="630"/>
        <v>-2774.4</v>
      </c>
      <c r="AH442" s="527">
        <f t="shared" si="630"/>
        <v>-2774.4</v>
      </c>
      <c r="AI442" s="527">
        <f t="shared" si="630"/>
        <v>-2774.4</v>
      </c>
      <c r="AJ442" s="527">
        <f t="shared" si="630"/>
        <v>-2774.4</v>
      </c>
      <c r="AK442" s="527">
        <f t="shared" si="630"/>
        <v>-2774.4</v>
      </c>
      <c r="AL442" s="527">
        <f t="shared" si="630"/>
        <v>-2774.4</v>
      </c>
      <c r="AM442" s="527">
        <f t="shared" si="630"/>
        <v>-2774.4</v>
      </c>
      <c r="AN442" s="527">
        <f t="shared" si="630"/>
        <v>-2774.4</v>
      </c>
      <c r="AO442" s="527">
        <f t="shared" si="630"/>
        <v>-2774.4</v>
      </c>
      <c r="AP442" s="527">
        <f t="shared" si="630"/>
        <v>-2829.8880000000004</v>
      </c>
      <c r="AQ442" s="527">
        <f t="shared" si="630"/>
        <v>-2829.8880000000004</v>
      </c>
      <c r="AR442" s="527">
        <f t="shared" si="630"/>
        <v>-2829.8880000000004</v>
      </c>
      <c r="AS442" s="527">
        <f t="shared" si="630"/>
        <v>-2829.8880000000004</v>
      </c>
      <c r="AT442" s="527">
        <f t="shared" si="630"/>
        <v>-2829.8880000000004</v>
      </c>
      <c r="AU442" s="527">
        <f t="shared" si="630"/>
        <v>-2829.8880000000004</v>
      </c>
      <c r="AV442" s="527">
        <f t="shared" si="630"/>
        <v>-2829.8880000000004</v>
      </c>
      <c r="AW442" s="527">
        <f t="shared" si="630"/>
        <v>-2829.8880000000004</v>
      </c>
      <c r="AX442" s="527">
        <f t="shared" ref="AX442:BY442" si="631">(AX$622*$R158)</f>
        <v>-2829.8880000000004</v>
      </c>
      <c r="AY442" s="527">
        <f t="shared" si="631"/>
        <v>-2829.8880000000004</v>
      </c>
      <c r="AZ442" s="527">
        <f t="shared" si="631"/>
        <v>-2829.8880000000004</v>
      </c>
      <c r="BA442" s="527">
        <f t="shared" si="631"/>
        <v>-2829.8880000000004</v>
      </c>
      <c r="BB442" s="527">
        <f t="shared" si="631"/>
        <v>-2886.4857600000005</v>
      </c>
      <c r="BC442" s="527">
        <f t="shared" si="631"/>
        <v>-2886.4857600000005</v>
      </c>
      <c r="BD442" s="527">
        <f t="shared" si="631"/>
        <v>-2886.4857600000005</v>
      </c>
      <c r="BE442" s="527">
        <f t="shared" si="631"/>
        <v>-2886.4857600000005</v>
      </c>
      <c r="BF442" s="527">
        <f t="shared" si="631"/>
        <v>-2886.4857600000005</v>
      </c>
      <c r="BG442" s="527">
        <f t="shared" si="631"/>
        <v>-2886.4857600000005</v>
      </c>
      <c r="BH442" s="527">
        <f t="shared" si="631"/>
        <v>-2886.4857600000005</v>
      </c>
      <c r="BI442" s="527">
        <f t="shared" si="631"/>
        <v>-2886.4857600000005</v>
      </c>
      <c r="BJ442" s="527">
        <f t="shared" si="631"/>
        <v>-2886.4857600000005</v>
      </c>
      <c r="BK442" s="527">
        <f t="shared" si="631"/>
        <v>-2886.4857600000005</v>
      </c>
      <c r="BL442" s="527">
        <f t="shared" si="631"/>
        <v>-2886.4857600000005</v>
      </c>
      <c r="BM442" s="527">
        <f t="shared" si="631"/>
        <v>-2886.4857600000005</v>
      </c>
      <c r="BN442" s="527">
        <f t="shared" si="631"/>
        <v>-2944.215475200001</v>
      </c>
      <c r="BO442" s="527">
        <f t="shared" si="631"/>
        <v>-2944.215475200001</v>
      </c>
      <c r="BP442" s="527">
        <f t="shared" si="631"/>
        <v>-2944.215475200001</v>
      </c>
      <c r="BQ442" s="527">
        <f t="shared" si="631"/>
        <v>-2944.215475200001</v>
      </c>
      <c r="BR442" s="527">
        <f t="shared" si="631"/>
        <v>-2944.215475200001</v>
      </c>
      <c r="BS442" s="527">
        <f t="shared" si="631"/>
        <v>-2944.215475200001</v>
      </c>
      <c r="BT442" s="527">
        <f t="shared" si="631"/>
        <v>-2944.215475200001</v>
      </c>
      <c r="BU442" s="527">
        <f t="shared" si="631"/>
        <v>-2944.215475200001</v>
      </c>
      <c r="BV442" s="527">
        <f t="shared" si="631"/>
        <v>-2944.215475200001</v>
      </c>
      <c r="BW442" s="527">
        <f t="shared" si="631"/>
        <v>-2944.215475200001</v>
      </c>
      <c r="BX442" s="527">
        <f t="shared" si="631"/>
        <v>-2944.215475200001</v>
      </c>
      <c r="BY442" s="527">
        <f t="shared" si="631"/>
        <v>-2944.215475200001</v>
      </c>
    </row>
    <row r="443" spans="1:77" x14ac:dyDescent="0.3">
      <c r="A443" s="551"/>
      <c r="B443" s="548"/>
      <c r="C443" s="525"/>
      <c r="D443" s="525"/>
      <c r="E443" s="646" t="str">
        <f>"Maintenance capex: "&amp;E$159</f>
        <v>Maintenance capex: FY31 Tranche</v>
      </c>
      <c r="F443" s="525"/>
      <c r="G443" s="525"/>
      <c r="H443" s="525"/>
      <c r="I443" s="525"/>
      <c r="J443" s="525"/>
      <c r="K443" s="525"/>
      <c r="L443" s="525"/>
      <c r="M443" s="525"/>
      <c r="N443" s="525"/>
      <c r="O443" s="525"/>
      <c r="P443" s="565"/>
      <c r="Q443" s="525"/>
      <c r="R443" s="527">
        <f t="shared" ref="R443:AW443" si="632">(R$622*$R159)</f>
        <v>-2720</v>
      </c>
      <c r="S443" s="527">
        <f t="shared" si="632"/>
        <v>-2720</v>
      </c>
      <c r="T443" s="527">
        <f t="shared" si="632"/>
        <v>-2720</v>
      </c>
      <c r="U443" s="527">
        <f t="shared" si="632"/>
        <v>-2720</v>
      </c>
      <c r="V443" s="527">
        <f t="shared" si="632"/>
        <v>-2720</v>
      </c>
      <c r="W443" s="527">
        <f t="shared" si="632"/>
        <v>-2720</v>
      </c>
      <c r="X443" s="527">
        <f t="shared" si="632"/>
        <v>-2720</v>
      </c>
      <c r="Y443" s="527">
        <f t="shared" si="632"/>
        <v>-2720</v>
      </c>
      <c r="Z443" s="527">
        <f t="shared" si="632"/>
        <v>-2720</v>
      </c>
      <c r="AA443" s="527">
        <f t="shared" si="632"/>
        <v>-2720</v>
      </c>
      <c r="AB443" s="527">
        <f t="shared" si="632"/>
        <v>-2720</v>
      </c>
      <c r="AC443" s="527">
        <f t="shared" si="632"/>
        <v>-2720</v>
      </c>
      <c r="AD443" s="527">
        <f t="shared" si="632"/>
        <v>-2774.4</v>
      </c>
      <c r="AE443" s="527">
        <f t="shared" si="632"/>
        <v>-2774.4</v>
      </c>
      <c r="AF443" s="527">
        <f t="shared" si="632"/>
        <v>-2774.4</v>
      </c>
      <c r="AG443" s="527">
        <f t="shared" si="632"/>
        <v>-2774.4</v>
      </c>
      <c r="AH443" s="527">
        <f t="shared" si="632"/>
        <v>-2774.4</v>
      </c>
      <c r="AI443" s="527">
        <f t="shared" si="632"/>
        <v>-2774.4</v>
      </c>
      <c r="AJ443" s="527">
        <f t="shared" si="632"/>
        <v>-2774.4</v>
      </c>
      <c r="AK443" s="527">
        <f t="shared" si="632"/>
        <v>-2774.4</v>
      </c>
      <c r="AL443" s="527">
        <f t="shared" si="632"/>
        <v>-2774.4</v>
      </c>
      <c r="AM443" s="527">
        <f t="shared" si="632"/>
        <v>-2774.4</v>
      </c>
      <c r="AN443" s="527">
        <f t="shared" si="632"/>
        <v>-2774.4</v>
      </c>
      <c r="AO443" s="527">
        <f t="shared" si="632"/>
        <v>-2774.4</v>
      </c>
      <c r="AP443" s="527">
        <f t="shared" si="632"/>
        <v>-2829.8880000000004</v>
      </c>
      <c r="AQ443" s="527">
        <f t="shared" si="632"/>
        <v>-2829.8880000000004</v>
      </c>
      <c r="AR443" s="527">
        <f t="shared" si="632"/>
        <v>-2829.8880000000004</v>
      </c>
      <c r="AS443" s="527">
        <f t="shared" si="632"/>
        <v>-2829.8880000000004</v>
      </c>
      <c r="AT443" s="527">
        <f t="shared" si="632"/>
        <v>-2829.8880000000004</v>
      </c>
      <c r="AU443" s="527">
        <f t="shared" si="632"/>
        <v>-2829.8880000000004</v>
      </c>
      <c r="AV443" s="527">
        <f t="shared" si="632"/>
        <v>-2829.8880000000004</v>
      </c>
      <c r="AW443" s="527">
        <f t="shared" si="632"/>
        <v>-2829.8880000000004</v>
      </c>
      <c r="AX443" s="527">
        <f t="shared" ref="AX443:BY443" si="633">(AX$622*$R159)</f>
        <v>-2829.8880000000004</v>
      </c>
      <c r="AY443" s="527">
        <f t="shared" si="633"/>
        <v>-2829.8880000000004</v>
      </c>
      <c r="AZ443" s="527">
        <f t="shared" si="633"/>
        <v>-2829.8880000000004</v>
      </c>
      <c r="BA443" s="527">
        <f t="shared" si="633"/>
        <v>-2829.8880000000004</v>
      </c>
      <c r="BB443" s="527">
        <f t="shared" si="633"/>
        <v>-2886.4857600000005</v>
      </c>
      <c r="BC443" s="527">
        <f t="shared" si="633"/>
        <v>-2886.4857600000005</v>
      </c>
      <c r="BD443" s="527">
        <f t="shared" si="633"/>
        <v>-2886.4857600000005</v>
      </c>
      <c r="BE443" s="527">
        <f t="shared" si="633"/>
        <v>-2886.4857600000005</v>
      </c>
      <c r="BF443" s="527">
        <f t="shared" si="633"/>
        <v>-2886.4857600000005</v>
      </c>
      <c r="BG443" s="527">
        <f t="shared" si="633"/>
        <v>-2886.4857600000005</v>
      </c>
      <c r="BH443" s="527">
        <f t="shared" si="633"/>
        <v>-2886.4857600000005</v>
      </c>
      <c r="BI443" s="527">
        <f t="shared" si="633"/>
        <v>-2886.4857600000005</v>
      </c>
      <c r="BJ443" s="527">
        <f t="shared" si="633"/>
        <v>-2886.4857600000005</v>
      </c>
      <c r="BK443" s="527">
        <f t="shared" si="633"/>
        <v>-2886.4857600000005</v>
      </c>
      <c r="BL443" s="527">
        <f t="shared" si="633"/>
        <v>-2886.4857600000005</v>
      </c>
      <c r="BM443" s="527">
        <f t="shared" si="633"/>
        <v>-2886.4857600000005</v>
      </c>
      <c r="BN443" s="527">
        <f t="shared" si="633"/>
        <v>-2944.215475200001</v>
      </c>
      <c r="BO443" s="527">
        <f t="shared" si="633"/>
        <v>-2944.215475200001</v>
      </c>
      <c r="BP443" s="527">
        <f t="shared" si="633"/>
        <v>-2944.215475200001</v>
      </c>
      <c r="BQ443" s="527">
        <f t="shared" si="633"/>
        <v>-2944.215475200001</v>
      </c>
      <c r="BR443" s="527">
        <f t="shared" si="633"/>
        <v>-2944.215475200001</v>
      </c>
      <c r="BS443" s="527">
        <f t="shared" si="633"/>
        <v>-2944.215475200001</v>
      </c>
      <c r="BT443" s="527">
        <f t="shared" si="633"/>
        <v>-2944.215475200001</v>
      </c>
      <c r="BU443" s="527">
        <f t="shared" si="633"/>
        <v>-2944.215475200001</v>
      </c>
      <c r="BV443" s="527">
        <f t="shared" si="633"/>
        <v>-2944.215475200001</v>
      </c>
      <c r="BW443" s="527">
        <f t="shared" si="633"/>
        <v>-2944.215475200001</v>
      </c>
      <c r="BX443" s="527">
        <f t="shared" si="633"/>
        <v>-2944.215475200001</v>
      </c>
      <c r="BY443" s="527">
        <f t="shared" si="633"/>
        <v>-2944.215475200001</v>
      </c>
    </row>
    <row r="444" spans="1:77" x14ac:dyDescent="0.3">
      <c r="A444" s="551"/>
      <c r="B444" s="548"/>
      <c r="C444" s="525"/>
      <c r="D444" s="525"/>
      <c r="E444" s="646" t="str">
        <f>"Maintenance capex: "&amp;E$160</f>
        <v>Maintenance capex: Uninvested Tranche</v>
      </c>
      <c r="F444" s="525"/>
      <c r="G444" s="525"/>
      <c r="H444" s="525"/>
      <c r="I444" s="525"/>
      <c r="J444" s="525"/>
      <c r="K444" s="525"/>
      <c r="L444" s="525"/>
      <c r="M444" s="525"/>
      <c r="N444" s="525"/>
      <c r="O444" s="525"/>
      <c r="P444" s="565"/>
      <c r="Q444" s="525"/>
      <c r="R444" s="527">
        <f t="shared" ref="R444:AW444" si="634">(R$622*$R160)</f>
        <v>-7480</v>
      </c>
      <c r="S444" s="527">
        <f t="shared" si="634"/>
        <v>-7480</v>
      </c>
      <c r="T444" s="527">
        <f t="shared" si="634"/>
        <v>-7480</v>
      </c>
      <c r="U444" s="527">
        <f t="shared" si="634"/>
        <v>-7480</v>
      </c>
      <c r="V444" s="527">
        <f t="shared" si="634"/>
        <v>-7480</v>
      </c>
      <c r="W444" s="527">
        <f t="shared" si="634"/>
        <v>-7480</v>
      </c>
      <c r="X444" s="527">
        <f t="shared" si="634"/>
        <v>-7480</v>
      </c>
      <c r="Y444" s="527">
        <f t="shared" si="634"/>
        <v>-7480</v>
      </c>
      <c r="Z444" s="527">
        <f t="shared" si="634"/>
        <v>-7480</v>
      </c>
      <c r="AA444" s="527">
        <f t="shared" si="634"/>
        <v>-7480</v>
      </c>
      <c r="AB444" s="527">
        <f t="shared" si="634"/>
        <v>-7480</v>
      </c>
      <c r="AC444" s="527">
        <f t="shared" si="634"/>
        <v>-7480</v>
      </c>
      <c r="AD444" s="527">
        <f t="shared" si="634"/>
        <v>-7629.6</v>
      </c>
      <c r="AE444" s="527">
        <f t="shared" si="634"/>
        <v>-7629.6</v>
      </c>
      <c r="AF444" s="527">
        <f t="shared" si="634"/>
        <v>-7629.6</v>
      </c>
      <c r="AG444" s="527">
        <f t="shared" si="634"/>
        <v>-7629.6</v>
      </c>
      <c r="AH444" s="527">
        <f t="shared" si="634"/>
        <v>-7629.6</v>
      </c>
      <c r="AI444" s="527">
        <f t="shared" si="634"/>
        <v>-7629.6</v>
      </c>
      <c r="AJ444" s="527">
        <f t="shared" si="634"/>
        <v>-7629.6</v>
      </c>
      <c r="AK444" s="527">
        <f t="shared" si="634"/>
        <v>-7629.6</v>
      </c>
      <c r="AL444" s="527">
        <f t="shared" si="634"/>
        <v>-7629.6</v>
      </c>
      <c r="AM444" s="527">
        <f t="shared" si="634"/>
        <v>-7629.6</v>
      </c>
      <c r="AN444" s="527">
        <f t="shared" si="634"/>
        <v>-7629.6</v>
      </c>
      <c r="AO444" s="527">
        <f t="shared" si="634"/>
        <v>-7629.6</v>
      </c>
      <c r="AP444" s="527">
        <f t="shared" si="634"/>
        <v>-7782.1920000000009</v>
      </c>
      <c r="AQ444" s="527">
        <f t="shared" si="634"/>
        <v>-7782.1920000000009</v>
      </c>
      <c r="AR444" s="527">
        <f t="shared" si="634"/>
        <v>-7782.1920000000009</v>
      </c>
      <c r="AS444" s="527">
        <f t="shared" si="634"/>
        <v>-7782.1920000000009</v>
      </c>
      <c r="AT444" s="527">
        <f t="shared" si="634"/>
        <v>-7782.1920000000009</v>
      </c>
      <c r="AU444" s="527">
        <f t="shared" si="634"/>
        <v>-7782.1920000000009</v>
      </c>
      <c r="AV444" s="527">
        <f t="shared" si="634"/>
        <v>-7782.1920000000009</v>
      </c>
      <c r="AW444" s="527">
        <f t="shared" si="634"/>
        <v>-7782.1920000000009</v>
      </c>
      <c r="AX444" s="527">
        <f t="shared" ref="AX444:BY444" si="635">(AX$622*$R160)</f>
        <v>-7782.1920000000009</v>
      </c>
      <c r="AY444" s="527">
        <f t="shared" si="635"/>
        <v>-7782.1920000000009</v>
      </c>
      <c r="AZ444" s="527">
        <f t="shared" si="635"/>
        <v>-7782.1920000000009</v>
      </c>
      <c r="BA444" s="527">
        <f t="shared" si="635"/>
        <v>-7782.1920000000009</v>
      </c>
      <c r="BB444" s="527">
        <f t="shared" si="635"/>
        <v>-7937.8358400000016</v>
      </c>
      <c r="BC444" s="527">
        <f t="shared" si="635"/>
        <v>-7937.8358400000016</v>
      </c>
      <c r="BD444" s="527">
        <f t="shared" si="635"/>
        <v>-7937.8358400000016</v>
      </c>
      <c r="BE444" s="527">
        <f t="shared" si="635"/>
        <v>-7937.8358400000016</v>
      </c>
      <c r="BF444" s="527">
        <f t="shared" si="635"/>
        <v>-7937.8358400000016</v>
      </c>
      <c r="BG444" s="527">
        <f t="shared" si="635"/>
        <v>-7937.8358400000016</v>
      </c>
      <c r="BH444" s="527">
        <f t="shared" si="635"/>
        <v>-7937.8358400000016</v>
      </c>
      <c r="BI444" s="527">
        <f t="shared" si="635"/>
        <v>-7937.8358400000016</v>
      </c>
      <c r="BJ444" s="527">
        <f t="shared" si="635"/>
        <v>-7937.8358400000016</v>
      </c>
      <c r="BK444" s="527">
        <f t="shared" si="635"/>
        <v>-7937.8358400000016</v>
      </c>
      <c r="BL444" s="527">
        <f t="shared" si="635"/>
        <v>-7937.8358400000016</v>
      </c>
      <c r="BM444" s="527">
        <f t="shared" si="635"/>
        <v>-7937.8358400000016</v>
      </c>
      <c r="BN444" s="527">
        <f t="shared" si="635"/>
        <v>-8096.592556800003</v>
      </c>
      <c r="BO444" s="527">
        <f t="shared" si="635"/>
        <v>-8096.592556800003</v>
      </c>
      <c r="BP444" s="527">
        <f t="shared" si="635"/>
        <v>-8096.592556800003</v>
      </c>
      <c r="BQ444" s="527">
        <f t="shared" si="635"/>
        <v>-8096.592556800003</v>
      </c>
      <c r="BR444" s="527">
        <f t="shared" si="635"/>
        <v>-8096.592556800003</v>
      </c>
      <c r="BS444" s="527">
        <f t="shared" si="635"/>
        <v>-8096.592556800003</v>
      </c>
      <c r="BT444" s="527">
        <f t="shared" si="635"/>
        <v>-8096.592556800003</v>
      </c>
      <c r="BU444" s="527">
        <f t="shared" si="635"/>
        <v>-8096.592556800003</v>
      </c>
      <c r="BV444" s="527">
        <f t="shared" si="635"/>
        <v>-8096.592556800003</v>
      </c>
      <c r="BW444" s="527">
        <f t="shared" si="635"/>
        <v>-8096.592556800003</v>
      </c>
      <c r="BX444" s="527">
        <f t="shared" si="635"/>
        <v>-8096.592556800003</v>
      </c>
      <c r="BY444" s="527">
        <f t="shared" si="635"/>
        <v>-8096.592556800003</v>
      </c>
    </row>
    <row r="445" spans="1:77" x14ac:dyDescent="0.3">
      <c r="A445" s="551"/>
      <c r="B445" s="548"/>
      <c r="C445" s="525"/>
      <c r="D445" s="525"/>
      <c r="E445" s="572" t="s">
        <v>36</v>
      </c>
      <c r="F445" s="572"/>
      <c r="G445" s="572"/>
      <c r="H445" s="572"/>
      <c r="I445" s="572"/>
      <c r="J445" s="572"/>
      <c r="K445" s="572"/>
      <c r="L445" s="572"/>
      <c r="M445" s="572"/>
      <c r="N445" s="572"/>
      <c r="O445" s="572"/>
      <c r="P445" s="612"/>
      <c r="Q445" s="572"/>
      <c r="R445" s="530">
        <f t="shared" ref="R445:AW445" si="636">SUM(R439:R444)</f>
        <v>-21080</v>
      </c>
      <c r="S445" s="530">
        <f t="shared" si="636"/>
        <v>-21080</v>
      </c>
      <c r="T445" s="530">
        <f t="shared" si="636"/>
        <v>-21080</v>
      </c>
      <c r="U445" s="530">
        <f t="shared" si="636"/>
        <v>-21080</v>
      </c>
      <c r="V445" s="530">
        <f t="shared" si="636"/>
        <v>-21080</v>
      </c>
      <c r="W445" s="530">
        <f t="shared" si="636"/>
        <v>-21080</v>
      </c>
      <c r="X445" s="530">
        <f t="shared" si="636"/>
        <v>-21080</v>
      </c>
      <c r="Y445" s="530">
        <f t="shared" si="636"/>
        <v>-21080</v>
      </c>
      <c r="Z445" s="530">
        <f t="shared" si="636"/>
        <v>-21080</v>
      </c>
      <c r="AA445" s="530">
        <f t="shared" si="636"/>
        <v>-21080</v>
      </c>
      <c r="AB445" s="530">
        <f t="shared" si="636"/>
        <v>-21080</v>
      </c>
      <c r="AC445" s="530">
        <f t="shared" si="636"/>
        <v>-21080</v>
      </c>
      <c r="AD445" s="530">
        <f t="shared" si="636"/>
        <v>-21501.599999999999</v>
      </c>
      <c r="AE445" s="530">
        <f t="shared" si="636"/>
        <v>-21501.599999999999</v>
      </c>
      <c r="AF445" s="530">
        <f t="shared" si="636"/>
        <v>-21501.599999999999</v>
      </c>
      <c r="AG445" s="530">
        <f t="shared" si="636"/>
        <v>-21501.599999999999</v>
      </c>
      <c r="AH445" s="530">
        <f t="shared" si="636"/>
        <v>-21501.599999999999</v>
      </c>
      <c r="AI445" s="530">
        <f t="shared" si="636"/>
        <v>-21501.599999999999</v>
      </c>
      <c r="AJ445" s="530">
        <f t="shared" si="636"/>
        <v>-21501.599999999999</v>
      </c>
      <c r="AK445" s="530">
        <f t="shared" si="636"/>
        <v>-21501.599999999999</v>
      </c>
      <c r="AL445" s="530">
        <f t="shared" si="636"/>
        <v>-21501.599999999999</v>
      </c>
      <c r="AM445" s="530">
        <f t="shared" si="636"/>
        <v>-21501.599999999999</v>
      </c>
      <c r="AN445" s="530">
        <f t="shared" si="636"/>
        <v>-21501.599999999999</v>
      </c>
      <c r="AO445" s="530">
        <f t="shared" si="636"/>
        <v>-21501.599999999999</v>
      </c>
      <c r="AP445" s="530">
        <f t="shared" si="636"/>
        <v>-21931.632000000005</v>
      </c>
      <c r="AQ445" s="530">
        <f t="shared" si="636"/>
        <v>-21931.632000000005</v>
      </c>
      <c r="AR445" s="530">
        <f t="shared" si="636"/>
        <v>-21931.632000000005</v>
      </c>
      <c r="AS445" s="530">
        <f t="shared" si="636"/>
        <v>-21931.632000000005</v>
      </c>
      <c r="AT445" s="530">
        <f t="shared" si="636"/>
        <v>-21931.632000000005</v>
      </c>
      <c r="AU445" s="530">
        <f t="shared" si="636"/>
        <v>-21931.632000000005</v>
      </c>
      <c r="AV445" s="530">
        <f t="shared" si="636"/>
        <v>-21931.632000000005</v>
      </c>
      <c r="AW445" s="530">
        <f t="shared" si="636"/>
        <v>-21931.632000000005</v>
      </c>
      <c r="AX445" s="530">
        <f t="shared" ref="AX445:BY445" si="637">SUM(AX439:AX444)</f>
        <v>-21931.632000000005</v>
      </c>
      <c r="AY445" s="530">
        <f t="shared" si="637"/>
        <v>-21931.632000000005</v>
      </c>
      <c r="AZ445" s="530">
        <f t="shared" si="637"/>
        <v>-21931.632000000005</v>
      </c>
      <c r="BA445" s="530">
        <f t="shared" si="637"/>
        <v>-21931.632000000005</v>
      </c>
      <c r="BB445" s="530">
        <f t="shared" si="637"/>
        <v>-22370.264640000001</v>
      </c>
      <c r="BC445" s="530">
        <f t="shared" si="637"/>
        <v>-22370.264640000001</v>
      </c>
      <c r="BD445" s="530">
        <f t="shared" si="637"/>
        <v>-22370.264640000001</v>
      </c>
      <c r="BE445" s="530">
        <f t="shared" si="637"/>
        <v>-22370.264640000001</v>
      </c>
      <c r="BF445" s="530">
        <f t="shared" si="637"/>
        <v>-22370.264640000001</v>
      </c>
      <c r="BG445" s="530">
        <f t="shared" si="637"/>
        <v>-22370.264640000001</v>
      </c>
      <c r="BH445" s="530">
        <f t="shared" si="637"/>
        <v>-22370.264640000001</v>
      </c>
      <c r="BI445" s="530">
        <f t="shared" si="637"/>
        <v>-22370.264640000001</v>
      </c>
      <c r="BJ445" s="530">
        <f t="shared" si="637"/>
        <v>-22370.264640000001</v>
      </c>
      <c r="BK445" s="530">
        <f t="shared" si="637"/>
        <v>-22370.264640000001</v>
      </c>
      <c r="BL445" s="530">
        <f t="shared" si="637"/>
        <v>-22370.264640000001</v>
      </c>
      <c r="BM445" s="530">
        <f t="shared" si="637"/>
        <v>-22370.264640000001</v>
      </c>
      <c r="BN445" s="530">
        <f t="shared" si="637"/>
        <v>-22817.669932800007</v>
      </c>
      <c r="BO445" s="530">
        <f t="shared" si="637"/>
        <v>-22817.669932800007</v>
      </c>
      <c r="BP445" s="530">
        <f t="shared" si="637"/>
        <v>-22817.669932800007</v>
      </c>
      <c r="BQ445" s="530">
        <f t="shared" si="637"/>
        <v>-22817.669932800007</v>
      </c>
      <c r="BR445" s="530">
        <f t="shared" si="637"/>
        <v>-22817.669932800007</v>
      </c>
      <c r="BS445" s="530">
        <f t="shared" si="637"/>
        <v>-22817.669932800007</v>
      </c>
      <c r="BT445" s="530">
        <f t="shared" si="637"/>
        <v>-22817.669932800007</v>
      </c>
      <c r="BU445" s="530">
        <f t="shared" si="637"/>
        <v>-22817.669932800007</v>
      </c>
      <c r="BV445" s="530">
        <f t="shared" si="637"/>
        <v>-22817.669932800007</v>
      </c>
      <c r="BW445" s="530">
        <f t="shared" si="637"/>
        <v>-22817.669932800007</v>
      </c>
      <c r="BX445" s="530">
        <f t="shared" si="637"/>
        <v>-22817.669932800007</v>
      </c>
      <c r="BY445" s="530">
        <f t="shared" si="637"/>
        <v>-22817.669932800007</v>
      </c>
    </row>
    <row r="446" spans="1:77" x14ac:dyDescent="0.3">
      <c r="A446" s="551"/>
      <c r="B446" s="548"/>
      <c r="C446" s="525"/>
      <c r="D446" s="525"/>
      <c r="E446" s="525"/>
      <c r="F446" s="525"/>
      <c r="G446" s="525"/>
      <c r="H446" s="525"/>
      <c r="I446" s="525"/>
      <c r="J446" s="525"/>
      <c r="K446" s="525"/>
      <c r="L446" s="525"/>
      <c r="M446" s="525"/>
      <c r="N446" s="525"/>
      <c r="O446" s="525"/>
      <c r="P446" s="565"/>
      <c r="Q446" s="525"/>
      <c r="R446" s="525"/>
      <c r="S446" s="525"/>
      <c r="T446" s="525"/>
      <c r="U446" s="525"/>
      <c r="V446" s="525"/>
      <c r="W446" s="525"/>
      <c r="X446" s="525"/>
      <c r="Y446" s="525"/>
      <c r="Z446" s="525"/>
      <c r="AA446" s="525"/>
      <c r="AB446" s="525"/>
      <c r="AC446" s="525"/>
      <c r="AD446" s="525"/>
      <c r="AE446" s="525"/>
      <c r="AF446" s="525"/>
      <c r="AG446" s="525"/>
      <c r="AH446" s="525"/>
      <c r="AI446" s="525"/>
      <c r="AJ446" s="525"/>
      <c r="AK446" s="525"/>
      <c r="AL446" s="525"/>
      <c r="AM446" s="525"/>
      <c r="AN446" s="525"/>
      <c r="AO446" s="525"/>
      <c r="AP446" s="525"/>
      <c r="AQ446" s="525"/>
      <c r="AR446" s="525"/>
      <c r="AS446" s="525"/>
      <c r="AT446" s="525"/>
      <c r="AU446" s="525"/>
      <c r="AV446" s="525"/>
      <c r="AW446" s="525"/>
      <c r="AX446" s="525"/>
      <c r="AY446" s="525"/>
      <c r="AZ446" s="525"/>
      <c r="BA446" s="525"/>
      <c r="BB446" s="525"/>
      <c r="BC446" s="525"/>
      <c r="BD446" s="525"/>
      <c r="BE446" s="525"/>
      <c r="BF446" s="525"/>
      <c r="BG446" s="525"/>
      <c r="BH446" s="525"/>
      <c r="BI446" s="525"/>
      <c r="BJ446" s="525"/>
      <c r="BK446" s="525"/>
      <c r="BL446" s="525"/>
      <c r="BM446" s="525"/>
      <c r="BN446" s="525"/>
      <c r="BO446" s="525"/>
      <c r="BP446" s="525"/>
      <c r="BQ446" s="525"/>
      <c r="BR446" s="525"/>
      <c r="BS446" s="525"/>
      <c r="BT446" s="525"/>
      <c r="BU446" s="525"/>
      <c r="BV446" s="525"/>
      <c r="BW446" s="525"/>
      <c r="BX446" s="525"/>
      <c r="BY446" s="525"/>
    </row>
    <row r="447" spans="1:77" x14ac:dyDescent="0.3">
      <c r="A447" s="551"/>
      <c r="B447" s="548"/>
      <c r="C447" s="584" t="s">
        <v>37</v>
      </c>
      <c r="D447" s="525"/>
      <c r="E447" s="538" t="s">
        <v>69</v>
      </c>
      <c r="F447" s="538"/>
      <c r="G447" s="538"/>
      <c r="H447" s="538"/>
      <c r="I447" s="538"/>
      <c r="J447" s="538"/>
      <c r="K447" s="538"/>
      <c r="L447" s="538"/>
      <c r="M447" s="538"/>
      <c r="N447" s="538"/>
      <c r="O447" s="538"/>
      <c r="P447" s="584"/>
      <c r="Q447" s="538"/>
      <c r="R447" s="538"/>
      <c r="S447" s="538"/>
      <c r="T447" s="538"/>
      <c r="U447" s="538"/>
      <c r="V447" s="538"/>
      <c r="W447" s="538"/>
      <c r="X447" s="538"/>
      <c r="Y447" s="538"/>
      <c r="Z447" s="538"/>
      <c r="AA447" s="538"/>
      <c r="AB447" s="538"/>
      <c r="AC447" s="538"/>
      <c r="AD447" s="538"/>
      <c r="AE447" s="538"/>
      <c r="AF447" s="538"/>
      <c r="AG447" s="538"/>
      <c r="AH447" s="538"/>
      <c r="AI447" s="538"/>
      <c r="AJ447" s="538"/>
      <c r="AK447" s="538"/>
      <c r="AL447" s="538"/>
      <c r="AM447" s="538"/>
      <c r="AN447" s="538"/>
      <c r="AO447" s="538"/>
      <c r="AP447" s="538"/>
      <c r="AQ447" s="538"/>
      <c r="AR447" s="538"/>
      <c r="AS447" s="538"/>
      <c r="AT447" s="538"/>
      <c r="AU447" s="538"/>
      <c r="AV447" s="538"/>
      <c r="AW447" s="538"/>
      <c r="AX447" s="538"/>
      <c r="AY447" s="538"/>
      <c r="AZ447" s="538"/>
      <c r="BA447" s="538"/>
      <c r="BB447" s="538"/>
      <c r="BC447" s="538"/>
      <c r="BD447" s="538"/>
      <c r="BE447" s="538"/>
      <c r="BF447" s="538"/>
      <c r="BG447" s="538"/>
      <c r="BH447" s="538"/>
      <c r="BI447" s="538"/>
      <c r="BJ447" s="538"/>
      <c r="BK447" s="538"/>
      <c r="BL447" s="538"/>
      <c r="BM447" s="538"/>
      <c r="BN447" s="538"/>
      <c r="BO447" s="538"/>
      <c r="BP447" s="538"/>
      <c r="BQ447" s="538"/>
      <c r="BR447" s="538"/>
      <c r="BS447" s="538"/>
      <c r="BT447" s="538"/>
      <c r="BU447" s="538"/>
      <c r="BV447" s="538"/>
      <c r="BW447" s="538"/>
      <c r="BX447" s="538"/>
      <c r="BY447" s="538"/>
    </row>
    <row r="448" spans="1:77" x14ac:dyDescent="0.3">
      <c r="A448" s="551"/>
      <c r="B448" s="548"/>
      <c r="C448" s="525"/>
      <c r="D448" s="525"/>
      <c r="E448" s="525"/>
      <c r="F448" s="525"/>
      <c r="G448" s="525"/>
      <c r="H448" s="525"/>
      <c r="I448" s="525"/>
      <c r="J448" s="525"/>
      <c r="K448" s="525"/>
      <c r="L448" s="525"/>
      <c r="M448" s="525"/>
      <c r="N448" s="525"/>
      <c r="O448" s="525"/>
      <c r="P448" s="565"/>
      <c r="Q448" s="525"/>
      <c r="R448" s="525"/>
      <c r="S448" s="525"/>
      <c r="T448" s="525"/>
      <c r="U448" s="525"/>
      <c r="V448" s="525"/>
      <c r="W448" s="525"/>
      <c r="X448" s="525"/>
      <c r="Y448" s="525"/>
      <c r="Z448" s="525"/>
      <c r="AA448" s="525"/>
      <c r="AB448" s="525"/>
      <c r="AC448" s="525"/>
      <c r="AD448" s="525"/>
      <c r="AE448" s="525"/>
      <c r="AF448" s="525"/>
      <c r="AG448" s="525"/>
      <c r="AH448" s="525"/>
      <c r="AI448" s="525"/>
      <c r="AJ448" s="525"/>
      <c r="AK448" s="525"/>
      <c r="AL448" s="525"/>
      <c r="AM448" s="525"/>
      <c r="AN448" s="525"/>
      <c r="AO448" s="525"/>
      <c r="AP448" s="525"/>
      <c r="AQ448" s="525"/>
      <c r="AR448" s="525"/>
      <c r="AS448" s="525"/>
      <c r="AT448" s="525"/>
      <c r="AU448" s="525"/>
      <c r="AV448" s="525"/>
      <c r="AW448" s="525"/>
      <c r="AX448" s="525"/>
      <c r="AY448" s="525"/>
      <c r="AZ448" s="525"/>
      <c r="BA448" s="525"/>
      <c r="BB448" s="525"/>
      <c r="BC448" s="525"/>
      <c r="BD448" s="525"/>
      <c r="BE448" s="525"/>
      <c r="BF448" s="525"/>
      <c r="BG448" s="525"/>
      <c r="BH448" s="525"/>
      <c r="BI448" s="525"/>
      <c r="BJ448" s="525"/>
      <c r="BK448" s="525"/>
      <c r="BL448" s="525"/>
      <c r="BM448" s="525"/>
      <c r="BN448" s="525"/>
      <c r="BO448" s="525"/>
      <c r="BP448" s="525"/>
      <c r="BQ448" s="525"/>
      <c r="BR448" s="525"/>
      <c r="BS448" s="525"/>
      <c r="BT448" s="525"/>
      <c r="BU448" s="525"/>
      <c r="BV448" s="525"/>
      <c r="BW448" s="525"/>
      <c r="BX448" s="525"/>
      <c r="BY448" s="525"/>
    </row>
    <row r="449" spans="1:77" x14ac:dyDescent="0.3">
      <c r="A449" s="551"/>
      <c r="B449" s="548"/>
      <c r="C449" s="525"/>
      <c r="D449" s="525"/>
      <c r="E449" s="614" t="s">
        <v>110</v>
      </c>
      <c r="F449" s="539"/>
      <c r="G449" s="539"/>
      <c r="H449" s="539"/>
      <c r="I449" s="539"/>
      <c r="J449" s="539"/>
      <c r="K449" s="539"/>
      <c r="L449" s="539"/>
      <c r="M449" s="539"/>
      <c r="N449" s="539"/>
      <c r="O449" s="539"/>
      <c r="P449" s="615"/>
      <c r="Q449" s="539"/>
      <c r="R449" s="539"/>
      <c r="S449" s="539"/>
      <c r="T449" s="539"/>
      <c r="U449" s="539"/>
      <c r="V449" s="539"/>
      <c r="W449" s="539"/>
      <c r="X449" s="539"/>
      <c r="Y449" s="539"/>
      <c r="Z449" s="539"/>
      <c r="AA449" s="539"/>
      <c r="AB449" s="539"/>
      <c r="AC449" s="539"/>
      <c r="AD449" s="539"/>
      <c r="AE449" s="539"/>
      <c r="AF449" s="539"/>
      <c r="AG449" s="539"/>
      <c r="AH449" s="539"/>
      <c r="AI449" s="539"/>
      <c r="AJ449" s="539"/>
      <c r="AK449" s="539"/>
      <c r="AL449" s="539"/>
      <c r="AM449" s="539"/>
      <c r="AN449" s="539"/>
      <c r="AO449" s="539"/>
      <c r="AP449" s="539"/>
      <c r="AQ449" s="539"/>
      <c r="AR449" s="539"/>
      <c r="AS449" s="539"/>
      <c r="AT449" s="539"/>
      <c r="AU449" s="539"/>
      <c r="AV449" s="539"/>
      <c r="AW449" s="539"/>
      <c r="AX449" s="539"/>
      <c r="AY449" s="539"/>
      <c r="AZ449" s="539"/>
      <c r="BA449" s="539"/>
      <c r="BB449" s="539"/>
      <c r="BC449" s="539"/>
      <c r="BD449" s="539"/>
      <c r="BE449" s="539"/>
      <c r="BF449" s="539"/>
      <c r="BG449" s="539"/>
      <c r="BH449" s="539"/>
      <c r="BI449" s="539"/>
      <c r="BJ449" s="539"/>
      <c r="BK449" s="539"/>
      <c r="BL449" s="539"/>
      <c r="BM449" s="539"/>
      <c r="BN449" s="539"/>
      <c r="BO449" s="539"/>
      <c r="BP449" s="539"/>
      <c r="BQ449" s="539"/>
      <c r="BR449" s="539"/>
      <c r="BS449" s="539"/>
      <c r="BT449" s="539"/>
      <c r="BU449" s="539"/>
      <c r="BV449" s="539"/>
      <c r="BW449" s="539"/>
      <c r="BX449" s="539"/>
      <c r="BY449" s="539"/>
    </row>
    <row r="450" spans="1:77" x14ac:dyDescent="0.3">
      <c r="A450" s="551"/>
      <c r="B450" s="647"/>
      <c r="C450" s="647"/>
      <c r="D450" s="647"/>
      <c r="E450" s="525"/>
      <c r="F450" s="525"/>
      <c r="G450" s="525"/>
      <c r="H450" s="525"/>
      <c r="I450" s="525"/>
      <c r="J450" s="525"/>
      <c r="K450" s="525"/>
      <c r="L450" s="525"/>
      <c r="M450" s="525"/>
      <c r="N450" s="525"/>
      <c r="O450" s="525"/>
      <c r="P450" s="565"/>
      <c r="Q450" s="525"/>
      <c r="R450" s="525"/>
      <c r="S450" s="525"/>
      <c r="T450" s="525"/>
      <c r="U450" s="525"/>
      <c r="V450" s="525"/>
      <c r="W450" s="525"/>
      <c r="X450" s="525"/>
      <c r="Y450" s="525"/>
      <c r="Z450" s="525"/>
      <c r="AA450" s="525"/>
      <c r="AB450" s="525"/>
      <c r="AC450" s="525"/>
      <c r="AD450" s="525"/>
      <c r="AE450" s="525"/>
      <c r="AF450" s="525"/>
      <c r="AG450" s="525"/>
      <c r="AH450" s="525"/>
      <c r="AI450" s="525"/>
      <c r="AJ450" s="525"/>
      <c r="AK450" s="525"/>
      <c r="AL450" s="525"/>
      <c r="AM450" s="525"/>
      <c r="AN450" s="525"/>
      <c r="AO450" s="525"/>
      <c r="AP450" s="525"/>
      <c r="AQ450" s="525"/>
      <c r="AR450" s="525"/>
      <c r="AS450" s="525"/>
      <c r="AT450" s="525"/>
      <c r="AU450" s="525"/>
      <c r="AV450" s="525"/>
      <c r="AW450" s="525"/>
      <c r="AX450" s="525"/>
      <c r="AY450" s="525"/>
      <c r="AZ450" s="525"/>
      <c r="BA450" s="525"/>
      <c r="BB450" s="525"/>
      <c r="BC450" s="525"/>
      <c r="BD450" s="525"/>
      <c r="BE450" s="525"/>
      <c r="BF450" s="525"/>
      <c r="BG450" s="525"/>
      <c r="BH450" s="525"/>
      <c r="BI450" s="525"/>
      <c r="BJ450" s="525"/>
      <c r="BK450" s="525"/>
      <c r="BL450" s="525"/>
      <c r="BM450" s="525"/>
      <c r="BN450" s="525"/>
      <c r="BO450" s="525"/>
      <c r="BP450" s="525"/>
      <c r="BQ450" s="525"/>
      <c r="BR450" s="525"/>
      <c r="BS450" s="525"/>
      <c r="BT450" s="525"/>
      <c r="BU450" s="525"/>
      <c r="BV450" s="525"/>
      <c r="BW450" s="525"/>
      <c r="BX450" s="525"/>
      <c r="BY450" s="525"/>
    </row>
    <row r="451" spans="1:77" x14ac:dyDescent="0.3">
      <c r="A451" s="648"/>
      <c r="B451" s="648" t="s">
        <v>53</v>
      </c>
      <c r="C451" s="648">
        <f t="shared" ref="C451:C456" si="638">$C$559</f>
        <v>20</v>
      </c>
      <c r="D451" s="647"/>
      <c r="E451" s="649" t="str">
        <f>"Bad debts: "&amp;E$155</f>
        <v>Bad debts: FY27 Tranche</v>
      </c>
      <c r="F451" s="525"/>
      <c r="G451" s="525"/>
      <c r="H451" s="525"/>
      <c r="I451" s="525"/>
      <c r="J451" s="525"/>
      <c r="K451" s="525"/>
      <c r="L451" s="525"/>
      <c r="M451" s="525"/>
      <c r="N451" s="525"/>
      <c r="O451" s="525"/>
      <c r="P451" s="565"/>
      <c r="Q451" s="525"/>
      <c r="R451" s="527" cm="1">
        <f t="array" ref="R451">R412*(INDEX(('Detailed Assumptions'!$D$59:$J$79,'Detailed Assumptions'!$L$59:$R$79,'Detailed Assumptions'!$T$59:$Z$79,'Detailed Assumptions'!$AB$59:$AH$79),$C451,2,$C$506))</f>
        <v>-504.82345245421754</v>
      </c>
      <c r="S451" s="527" cm="1">
        <f t="array" ref="S451">S412*(INDEX(('Detailed Assumptions'!$D$59:$J$79,'Detailed Assumptions'!$L$59:$R$79,'Detailed Assumptions'!$T$59:$Z$79,'Detailed Assumptions'!$AB$59:$AH$79),$C451,2,$C$506))</f>
        <v>-504.82345245421754</v>
      </c>
      <c r="T451" s="527" cm="1">
        <f t="array" ref="T451">T412*(INDEX(('Detailed Assumptions'!$D$59:$J$79,'Detailed Assumptions'!$L$59:$R$79,'Detailed Assumptions'!$T$59:$Z$79,'Detailed Assumptions'!$AB$59:$AH$79),$C451,2,$C$506))</f>
        <v>-504.82345245421754</v>
      </c>
      <c r="U451" s="527" cm="1">
        <f t="array" ref="U451">U412*(INDEX(('Detailed Assumptions'!$D$59:$J$79,'Detailed Assumptions'!$L$59:$R$79,'Detailed Assumptions'!$T$59:$Z$79,'Detailed Assumptions'!$AB$59:$AH$79),$C451,2,$C$506))</f>
        <v>-504.82345245421754</v>
      </c>
      <c r="V451" s="527" cm="1">
        <f t="array" ref="V451">V412*(INDEX(('Detailed Assumptions'!$D$59:$J$79,'Detailed Assumptions'!$L$59:$R$79,'Detailed Assumptions'!$T$59:$Z$79,'Detailed Assumptions'!$AB$59:$AH$79),$C451,2,$C$506))</f>
        <v>-504.82345245421754</v>
      </c>
      <c r="W451" s="527" cm="1">
        <f t="array" ref="W451">W412*(INDEX(('Detailed Assumptions'!$D$59:$J$79,'Detailed Assumptions'!$L$59:$R$79,'Detailed Assumptions'!$T$59:$Z$79,'Detailed Assumptions'!$AB$59:$AH$79),$C451,2,$C$506))</f>
        <v>-504.82345245421754</v>
      </c>
      <c r="X451" s="527" cm="1">
        <f t="array" ref="X451">X412*(INDEX(('Detailed Assumptions'!$D$59:$J$79,'Detailed Assumptions'!$L$59:$R$79,'Detailed Assumptions'!$T$59:$Z$79,'Detailed Assumptions'!$AB$59:$AH$79),$C451,2,$C$506))</f>
        <v>-595.74224413885361</v>
      </c>
      <c r="Y451" s="527" cm="1">
        <f t="array" ref="Y451">Y412*(INDEX(('Detailed Assumptions'!$D$59:$J$79,'Detailed Assumptions'!$L$59:$R$79,'Detailed Assumptions'!$T$59:$Z$79,'Detailed Assumptions'!$AB$59:$AH$79),$C451,2,$C$506))</f>
        <v>-595.74224413885361</v>
      </c>
      <c r="Z451" s="527" cm="1">
        <f t="array" ref="Z451">Z412*(INDEX(('Detailed Assumptions'!$D$59:$J$79,'Detailed Assumptions'!$L$59:$R$79,'Detailed Assumptions'!$T$59:$Z$79,'Detailed Assumptions'!$AB$59:$AH$79),$C451,2,$C$506))</f>
        <v>-595.74224413885361</v>
      </c>
      <c r="AA451" s="527" cm="1">
        <f t="array" ref="AA451">AA412*(INDEX(('Detailed Assumptions'!$D$59:$J$79,'Detailed Assumptions'!$L$59:$R$79,'Detailed Assumptions'!$T$59:$Z$79,'Detailed Assumptions'!$AB$59:$AH$79),$C451,2,$C$506))</f>
        <v>-595.74224413885361</v>
      </c>
      <c r="AB451" s="527" cm="1">
        <f t="array" ref="AB451">AB412*(INDEX(('Detailed Assumptions'!$D$59:$J$79,'Detailed Assumptions'!$L$59:$R$79,'Detailed Assumptions'!$T$59:$Z$79,'Detailed Assumptions'!$AB$59:$AH$79),$C451,2,$C$506))</f>
        <v>-595.74224413885361</v>
      </c>
      <c r="AC451" s="527" cm="1">
        <f t="array" ref="AC451">AC412*(INDEX(('Detailed Assumptions'!$D$59:$J$79,'Detailed Assumptions'!$L$59:$R$79,'Detailed Assumptions'!$T$59:$Z$79,'Detailed Assumptions'!$AB$59:$AH$79),$C451,2,$C$506))</f>
        <v>-595.74224413885361</v>
      </c>
      <c r="AD451" s="527" cm="1">
        <f t="array" ref="AD451">AD412*(INDEX(('Detailed Assumptions'!$D$59:$J$79,'Detailed Assumptions'!$L$59:$R$79,'Detailed Assumptions'!$T$59:$Z$79,'Detailed Assumptions'!$AB$59:$AH$79),$C451,2,$C$506))</f>
        <v>-595.74224413885327</v>
      </c>
      <c r="AE451" s="527" cm="1">
        <f t="array" ref="AE451">AE412*(INDEX(('Detailed Assumptions'!$D$59:$J$79,'Detailed Assumptions'!$L$59:$R$79,'Detailed Assumptions'!$T$59:$Z$79,'Detailed Assumptions'!$AB$59:$AH$79),$C451,2,$C$506))</f>
        <v>-595.74224413885327</v>
      </c>
      <c r="AF451" s="527" cm="1">
        <f t="array" ref="AF451">AF412*(INDEX(('Detailed Assumptions'!$D$59:$J$79,'Detailed Assumptions'!$L$59:$R$79,'Detailed Assumptions'!$T$59:$Z$79,'Detailed Assumptions'!$AB$59:$AH$79),$C451,2,$C$506))</f>
        <v>-595.74224413885327</v>
      </c>
      <c r="AG451" s="527" cm="1">
        <f t="array" ref="AG451">AG412*(INDEX(('Detailed Assumptions'!$D$59:$J$79,'Detailed Assumptions'!$L$59:$R$79,'Detailed Assumptions'!$T$59:$Z$79,'Detailed Assumptions'!$AB$59:$AH$79),$C451,2,$C$506))</f>
        <v>-595.74224413885327</v>
      </c>
      <c r="AH451" s="527" cm="1">
        <f t="array" ref="AH451">AH412*(INDEX(('Detailed Assumptions'!$D$59:$J$79,'Detailed Assumptions'!$L$59:$R$79,'Detailed Assumptions'!$T$59:$Z$79,'Detailed Assumptions'!$AB$59:$AH$79),$C451,2,$C$506))</f>
        <v>-595.74224413885327</v>
      </c>
      <c r="AI451" s="527" cm="1">
        <f t="array" ref="AI451">AI412*(INDEX(('Detailed Assumptions'!$D$59:$J$79,'Detailed Assumptions'!$L$59:$R$79,'Detailed Assumptions'!$T$59:$Z$79,'Detailed Assumptions'!$AB$59:$AH$79),$C451,2,$C$506))</f>
        <v>-595.74224413885327</v>
      </c>
      <c r="AJ451" s="527" cm="1">
        <f t="array" ref="AJ451">AJ412*(INDEX(('Detailed Assumptions'!$D$59:$J$79,'Detailed Assumptions'!$L$59:$R$79,'Detailed Assumptions'!$T$59:$Z$79,'Detailed Assumptions'!$AB$59:$AH$79),$C451,2,$C$506))</f>
        <v>-619.5719339044075</v>
      </c>
      <c r="AK451" s="527" cm="1">
        <f t="array" ref="AK451">AK412*(INDEX(('Detailed Assumptions'!$D$59:$J$79,'Detailed Assumptions'!$L$59:$R$79,'Detailed Assumptions'!$T$59:$Z$79,'Detailed Assumptions'!$AB$59:$AH$79),$C451,2,$C$506))</f>
        <v>-619.5719339044075</v>
      </c>
      <c r="AL451" s="527" cm="1">
        <f t="array" ref="AL451">AL412*(INDEX(('Detailed Assumptions'!$D$59:$J$79,'Detailed Assumptions'!$L$59:$R$79,'Detailed Assumptions'!$T$59:$Z$79,'Detailed Assumptions'!$AB$59:$AH$79),$C451,2,$C$506))</f>
        <v>-619.5719339044075</v>
      </c>
      <c r="AM451" s="527" cm="1">
        <f t="array" ref="AM451">AM412*(INDEX(('Detailed Assumptions'!$D$59:$J$79,'Detailed Assumptions'!$L$59:$R$79,'Detailed Assumptions'!$T$59:$Z$79,'Detailed Assumptions'!$AB$59:$AH$79),$C451,2,$C$506))</f>
        <v>-619.5719339044075</v>
      </c>
      <c r="AN451" s="527" cm="1">
        <f t="array" ref="AN451">AN412*(INDEX(('Detailed Assumptions'!$D$59:$J$79,'Detailed Assumptions'!$L$59:$R$79,'Detailed Assumptions'!$T$59:$Z$79,'Detailed Assumptions'!$AB$59:$AH$79),$C451,2,$C$506))</f>
        <v>-619.5719339044075</v>
      </c>
      <c r="AO451" s="527" cm="1">
        <f t="array" ref="AO451">AO412*(INDEX(('Detailed Assumptions'!$D$59:$J$79,'Detailed Assumptions'!$L$59:$R$79,'Detailed Assumptions'!$T$59:$Z$79,'Detailed Assumptions'!$AB$59:$AH$79),$C451,2,$C$506))</f>
        <v>-619.5719339044075</v>
      </c>
      <c r="AP451" s="527" cm="1">
        <f t="array" ref="AP451">AP412*(INDEX(('Detailed Assumptions'!$D$59:$J$79,'Detailed Assumptions'!$L$59:$R$79,'Detailed Assumptions'!$T$59:$Z$79,'Detailed Assumptions'!$AB$59:$AH$79),$C451,2,$C$506))</f>
        <v>-619.57193390440784</v>
      </c>
      <c r="AQ451" s="527" cm="1">
        <f t="array" ref="AQ451">AQ412*(INDEX(('Detailed Assumptions'!$D$59:$J$79,'Detailed Assumptions'!$L$59:$R$79,'Detailed Assumptions'!$T$59:$Z$79,'Detailed Assumptions'!$AB$59:$AH$79),$C451,2,$C$506))</f>
        <v>-619.57193390440784</v>
      </c>
      <c r="AR451" s="527" cm="1">
        <f t="array" ref="AR451">AR412*(INDEX(('Detailed Assumptions'!$D$59:$J$79,'Detailed Assumptions'!$L$59:$R$79,'Detailed Assumptions'!$T$59:$Z$79,'Detailed Assumptions'!$AB$59:$AH$79),$C451,2,$C$506))</f>
        <v>-619.57193390440784</v>
      </c>
      <c r="AS451" s="527" cm="1">
        <f t="array" ref="AS451">AS412*(INDEX(('Detailed Assumptions'!$D$59:$J$79,'Detailed Assumptions'!$L$59:$R$79,'Detailed Assumptions'!$T$59:$Z$79,'Detailed Assumptions'!$AB$59:$AH$79),$C451,2,$C$506))</f>
        <v>-619.57193390440784</v>
      </c>
      <c r="AT451" s="527" cm="1">
        <f t="array" ref="AT451">AT412*(INDEX(('Detailed Assumptions'!$D$59:$J$79,'Detailed Assumptions'!$L$59:$R$79,'Detailed Assumptions'!$T$59:$Z$79,'Detailed Assumptions'!$AB$59:$AH$79),$C451,2,$C$506))</f>
        <v>-619.57193390440784</v>
      </c>
      <c r="AU451" s="527" cm="1">
        <f t="array" ref="AU451">AU412*(INDEX(('Detailed Assumptions'!$D$59:$J$79,'Detailed Assumptions'!$L$59:$R$79,'Detailed Assumptions'!$T$59:$Z$79,'Detailed Assumptions'!$AB$59:$AH$79),$C451,2,$C$506))</f>
        <v>-619.57193390440784</v>
      </c>
      <c r="AV451" s="527" cm="1">
        <f t="array" ref="AV451">AV412*(INDEX(('Detailed Assumptions'!$D$59:$J$79,'Detailed Assumptions'!$L$59:$R$79,'Detailed Assumptions'!$T$59:$Z$79,'Detailed Assumptions'!$AB$59:$AH$79),$C451,2,$C$506))</f>
        <v>-644.35481126058403</v>
      </c>
      <c r="AW451" s="527" cm="1">
        <f t="array" ref="AW451">AW412*(INDEX(('Detailed Assumptions'!$D$59:$J$79,'Detailed Assumptions'!$L$59:$R$79,'Detailed Assumptions'!$T$59:$Z$79,'Detailed Assumptions'!$AB$59:$AH$79),$C451,2,$C$506))</f>
        <v>-644.35481126058403</v>
      </c>
      <c r="AX451" s="527" cm="1">
        <f t="array" ref="AX451">AX412*(INDEX(('Detailed Assumptions'!$D$59:$J$79,'Detailed Assumptions'!$L$59:$R$79,'Detailed Assumptions'!$T$59:$Z$79,'Detailed Assumptions'!$AB$59:$AH$79),$C451,2,$C$506))</f>
        <v>-644.35481126058403</v>
      </c>
      <c r="AY451" s="527" cm="1">
        <f t="array" ref="AY451">AY412*(INDEX(('Detailed Assumptions'!$D$59:$J$79,'Detailed Assumptions'!$L$59:$R$79,'Detailed Assumptions'!$T$59:$Z$79,'Detailed Assumptions'!$AB$59:$AH$79),$C451,2,$C$506))</f>
        <v>-644.35481126058403</v>
      </c>
      <c r="AZ451" s="527" cm="1">
        <f t="array" ref="AZ451">AZ412*(INDEX(('Detailed Assumptions'!$D$59:$J$79,'Detailed Assumptions'!$L$59:$R$79,'Detailed Assumptions'!$T$59:$Z$79,'Detailed Assumptions'!$AB$59:$AH$79),$C451,2,$C$506))</f>
        <v>-644.35481126058403</v>
      </c>
      <c r="BA451" s="527" cm="1">
        <f t="array" ref="BA451">BA412*(INDEX(('Detailed Assumptions'!$D$59:$J$79,'Detailed Assumptions'!$L$59:$R$79,'Detailed Assumptions'!$T$59:$Z$79,'Detailed Assumptions'!$AB$59:$AH$79),$C451,2,$C$506))</f>
        <v>-644.35481126058403</v>
      </c>
      <c r="BB451" s="527" cm="1">
        <f t="array" ref="BB451">BB412*(INDEX(('Detailed Assumptions'!$D$59:$J$79,'Detailed Assumptions'!$L$59:$R$79,'Detailed Assumptions'!$T$59:$Z$79,'Detailed Assumptions'!$AB$59:$AH$79),$C451,2,$C$506))</f>
        <v>-644.35481126058403</v>
      </c>
      <c r="BC451" s="527" cm="1">
        <f t="array" ref="BC451">BC412*(INDEX(('Detailed Assumptions'!$D$59:$J$79,'Detailed Assumptions'!$L$59:$R$79,'Detailed Assumptions'!$T$59:$Z$79,'Detailed Assumptions'!$AB$59:$AH$79),$C451,2,$C$506))</f>
        <v>-644.35481126058403</v>
      </c>
      <c r="BD451" s="527" cm="1">
        <f t="array" ref="BD451">BD412*(INDEX(('Detailed Assumptions'!$D$59:$J$79,'Detailed Assumptions'!$L$59:$R$79,'Detailed Assumptions'!$T$59:$Z$79,'Detailed Assumptions'!$AB$59:$AH$79),$C451,2,$C$506))</f>
        <v>-644.35481126058403</v>
      </c>
      <c r="BE451" s="527" cm="1">
        <f t="array" ref="BE451">BE412*(INDEX(('Detailed Assumptions'!$D$59:$J$79,'Detailed Assumptions'!$L$59:$R$79,'Detailed Assumptions'!$T$59:$Z$79,'Detailed Assumptions'!$AB$59:$AH$79),$C451,2,$C$506))</f>
        <v>-644.35481126058403</v>
      </c>
      <c r="BF451" s="527" cm="1">
        <f t="array" ref="BF451">BF412*(INDEX(('Detailed Assumptions'!$D$59:$J$79,'Detailed Assumptions'!$L$59:$R$79,'Detailed Assumptions'!$T$59:$Z$79,'Detailed Assumptions'!$AB$59:$AH$79),$C451,2,$C$506))</f>
        <v>-644.35481126058403</v>
      </c>
      <c r="BG451" s="527" cm="1">
        <f t="array" ref="BG451">BG412*(INDEX(('Detailed Assumptions'!$D$59:$J$79,'Detailed Assumptions'!$L$59:$R$79,'Detailed Assumptions'!$T$59:$Z$79,'Detailed Assumptions'!$AB$59:$AH$79),$C451,2,$C$506))</f>
        <v>-644.35481126058403</v>
      </c>
      <c r="BH451" s="527" cm="1">
        <f t="array" ref="BH451">BH412*(INDEX(('Detailed Assumptions'!$D$59:$J$79,'Detailed Assumptions'!$L$59:$R$79,'Detailed Assumptions'!$T$59:$Z$79,'Detailed Assumptions'!$AB$59:$AH$79),$C451,2,$C$506))</f>
        <v>-670.12900371100739</v>
      </c>
      <c r="BI451" s="527" cm="1">
        <f t="array" ref="BI451">BI412*(INDEX(('Detailed Assumptions'!$D$59:$J$79,'Detailed Assumptions'!$L$59:$R$79,'Detailed Assumptions'!$T$59:$Z$79,'Detailed Assumptions'!$AB$59:$AH$79),$C451,2,$C$506))</f>
        <v>-670.12900371100739</v>
      </c>
      <c r="BJ451" s="527" cm="1">
        <f t="array" ref="BJ451">BJ412*(INDEX(('Detailed Assumptions'!$D$59:$J$79,'Detailed Assumptions'!$L$59:$R$79,'Detailed Assumptions'!$T$59:$Z$79,'Detailed Assumptions'!$AB$59:$AH$79),$C451,2,$C$506))</f>
        <v>-670.12900371100739</v>
      </c>
      <c r="BK451" s="527" cm="1">
        <f t="array" ref="BK451">BK412*(INDEX(('Detailed Assumptions'!$D$59:$J$79,'Detailed Assumptions'!$L$59:$R$79,'Detailed Assumptions'!$T$59:$Z$79,'Detailed Assumptions'!$AB$59:$AH$79),$C451,2,$C$506))</f>
        <v>-670.12900371100739</v>
      </c>
      <c r="BL451" s="527" cm="1">
        <f t="array" ref="BL451">BL412*(INDEX(('Detailed Assumptions'!$D$59:$J$79,'Detailed Assumptions'!$L$59:$R$79,'Detailed Assumptions'!$T$59:$Z$79,'Detailed Assumptions'!$AB$59:$AH$79),$C451,2,$C$506))</f>
        <v>-670.12900371100739</v>
      </c>
      <c r="BM451" s="527" cm="1">
        <f t="array" ref="BM451">BM412*(INDEX(('Detailed Assumptions'!$D$59:$J$79,'Detailed Assumptions'!$L$59:$R$79,'Detailed Assumptions'!$T$59:$Z$79,'Detailed Assumptions'!$AB$59:$AH$79),$C451,2,$C$506))</f>
        <v>-670.12900371100739</v>
      </c>
      <c r="BN451" s="527" cm="1">
        <f t="array" ref="BN451">BN412*(INDEX(('Detailed Assumptions'!$D$59:$J$79,'Detailed Assumptions'!$L$59:$R$79,'Detailed Assumptions'!$T$59:$Z$79,'Detailed Assumptions'!$AB$59:$AH$79),$C451,2,$C$506))</f>
        <v>-670.1290037110075</v>
      </c>
      <c r="BO451" s="527" cm="1">
        <f t="array" ref="BO451">BO412*(INDEX(('Detailed Assumptions'!$D$59:$J$79,'Detailed Assumptions'!$L$59:$R$79,'Detailed Assumptions'!$T$59:$Z$79,'Detailed Assumptions'!$AB$59:$AH$79),$C451,2,$C$506))</f>
        <v>-670.1290037110075</v>
      </c>
      <c r="BP451" s="527" cm="1">
        <f t="array" ref="BP451">BP412*(INDEX(('Detailed Assumptions'!$D$59:$J$79,'Detailed Assumptions'!$L$59:$R$79,'Detailed Assumptions'!$T$59:$Z$79,'Detailed Assumptions'!$AB$59:$AH$79),$C451,2,$C$506))</f>
        <v>-670.1290037110075</v>
      </c>
      <c r="BQ451" s="527" cm="1">
        <f t="array" ref="BQ451">BQ412*(INDEX(('Detailed Assumptions'!$D$59:$J$79,'Detailed Assumptions'!$L$59:$R$79,'Detailed Assumptions'!$T$59:$Z$79,'Detailed Assumptions'!$AB$59:$AH$79),$C451,2,$C$506))</f>
        <v>-670.1290037110075</v>
      </c>
      <c r="BR451" s="527" cm="1">
        <f t="array" ref="BR451">BR412*(INDEX(('Detailed Assumptions'!$D$59:$J$79,'Detailed Assumptions'!$L$59:$R$79,'Detailed Assumptions'!$T$59:$Z$79,'Detailed Assumptions'!$AB$59:$AH$79),$C451,2,$C$506))</f>
        <v>-670.1290037110075</v>
      </c>
      <c r="BS451" s="527" cm="1">
        <f t="array" ref="BS451">BS412*(INDEX(('Detailed Assumptions'!$D$59:$J$79,'Detailed Assumptions'!$L$59:$R$79,'Detailed Assumptions'!$T$59:$Z$79,'Detailed Assumptions'!$AB$59:$AH$79),$C451,2,$C$506))</f>
        <v>-670.1290037110075</v>
      </c>
      <c r="BT451" s="527" cm="1">
        <f t="array" ref="BT451">BT412*(INDEX(('Detailed Assumptions'!$D$59:$J$79,'Detailed Assumptions'!$L$59:$R$79,'Detailed Assumptions'!$T$59:$Z$79,'Detailed Assumptions'!$AB$59:$AH$79),$C451,2,$C$506))</f>
        <v>-696.93416385944784</v>
      </c>
      <c r="BU451" s="527" cm="1">
        <f t="array" ref="BU451">BU412*(INDEX(('Detailed Assumptions'!$D$59:$J$79,'Detailed Assumptions'!$L$59:$R$79,'Detailed Assumptions'!$T$59:$Z$79,'Detailed Assumptions'!$AB$59:$AH$79),$C451,2,$C$506))</f>
        <v>-696.93416385944784</v>
      </c>
      <c r="BV451" s="527" cm="1">
        <f t="array" ref="BV451">BV412*(INDEX(('Detailed Assumptions'!$D$59:$J$79,'Detailed Assumptions'!$L$59:$R$79,'Detailed Assumptions'!$T$59:$Z$79,'Detailed Assumptions'!$AB$59:$AH$79),$C451,2,$C$506))</f>
        <v>-696.93416385944784</v>
      </c>
      <c r="BW451" s="527" cm="1">
        <f t="array" ref="BW451">BW412*(INDEX(('Detailed Assumptions'!$D$59:$J$79,'Detailed Assumptions'!$L$59:$R$79,'Detailed Assumptions'!$T$59:$Z$79,'Detailed Assumptions'!$AB$59:$AH$79),$C451,2,$C$506))</f>
        <v>-696.93416385944784</v>
      </c>
      <c r="BX451" s="527" cm="1">
        <f t="array" ref="BX451">BX412*(INDEX(('Detailed Assumptions'!$D$59:$J$79,'Detailed Assumptions'!$L$59:$R$79,'Detailed Assumptions'!$T$59:$Z$79,'Detailed Assumptions'!$AB$59:$AH$79),$C451,2,$C$506))</f>
        <v>-696.93416385944784</v>
      </c>
      <c r="BY451" s="527" cm="1">
        <f t="array" ref="BY451">BY412*(INDEX(('Detailed Assumptions'!$D$59:$J$79,'Detailed Assumptions'!$L$59:$R$79,'Detailed Assumptions'!$T$59:$Z$79,'Detailed Assumptions'!$AB$59:$AH$79),$C451,2,$C$506))</f>
        <v>-696.93416385944784</v>
      </c>
    </row>
    <row r="452" spans="1:77" x14ac:dyDescent="0.3">
      <c r="A452" s="648"/>
      <c r="B452" s="648" t="s">
        <v>53</v>
      </c>
      <c r="C452" s="648">
        <f t="shared" si="638"/>
        <v>20</v>
      </c>
      <c r="D452" s="647"/>
      <c r="E452" s="649" t="str">
        <f>"Bad debts: "&amp;E$156</f>
        <v>Bad debts: FY28 Tranche</v>
      </c>
      <c r="F452" s="525"/>
      <c r="G452" s="525"/>
      <c r="H452" s="525"/>
      <c r="I452" s="525"/>
      <c r="J452" s="525"/>
      <c r="K452" s="525"/>
      <c r="L452" s="525"/>
      <c r="M452" s="525"/>
      <c r="N452" s="525"/>
      <c r="O452" s="525"/>
      <c r="P452" s="565"/>
      <c r="Q452" s="525"/>
      <c r="R452" s="527" cm="1">
        <f t="array" ref="R452">R413*(INDEX(('Detailed Assumptions'!$D$59:$J$79,'Detailed Assumptions'!$L$59:$R$79,'Detailed Assumptions'!$T$59:$Z$79,'Detailed Assumptions'!$AB$59:$AH$79),$C452,2,$C$506))</f>
        <v>-504.82345245421754</v>
      </c>
      <c r="S452" s="527" cm="1">
        <f t="array" ref="S452">S413*(INDEX(('Detailed Assumptions'!$D$59:$J$79,'Detailed Assumptions'!$L$59:$R$79,'Detailed Assumptions'!$T$59:$Z$79,'Detailed Assumptions'!$AB$59:$AH$79),$C452,2,$C$506))</f>
        <v>-504.82345245421754</v>
      </c>
      <c r="T452" s="527" cm="1">
        <f t="array" ref="T452">T413*(INDEX(('Detailed Assumptions'!$D$59:$J$79,'Detailed Assumptions'!$L$59:$R$79,'Detailed Assumptions'!$T$59:$Z$79,'Detailed Assumptions'!$AB$59:$AH$79),$C452,2,$C$506))</f>
        <v>-504.82345245421754</v>
      </c>
      <c r="U452" s="527" cm="1">
        <f t="array" ref="U452">U413*(INDEX(('Detailed Assumptions'!$D$59:$J$79,'Detailed Assumptions'!$L$59:$R$79,'Detailed Assumptions'!$T$59:$Z$79,'Detailed Assumptions'!$AB$59:$AH$79),$C452,2,$C$506))</f>
        <v>-504.82345245421754</v>
      </c>
      <c r="V452" s="527" cm="1">
        <f t="array" ref="V452">V413*(INDEX(('Detailed Assumptions'!$D$59:$J$79,'Detailed Assumptions'!$L$59:$R$79,'Detailed Assumptions'!$T$59:$Z$79,'Detailed Assumptions'!$AB$59:$AH$79),$C452,2,$C$506))</f>
        <v>-504.82345245421754</v>
      </c>
      <c r="W452" s="527" cm="1">
        <f t="array" ref="W452">W413*(INDEX(('Detailed Assumptions'!$D$59:$J$79,'Detailed Assumptions'!$L$59:$R$79,'Detailed Assumptions'!$T$59:$Z$79,'Detailed Assumptions'!$AB$59:$AH$79),$C452,2,$C$506))</f>
        <v>-504.82345245421754</v>
      </c>
      <c r="X452" s="527" cm="1">
        <f t="array" ref="X452">X413*(INDEX(('Detailed Assumptions'!$D$59:$J$79,'Detailed Assumptions'!$L$59:$R$79,'Detailed Assumptions'!$T$59:$Z$79,'Detailed Assumptions'!$AB$59:$AH$79),$C452,2,$C$506))</f>
        <v>-504.82345245421754</v>
      </c>
      <c r="Y452" s="527" cm="1">
        <f t="array" ref="Y452">Y413*(INDEX(('Detailed Assumptions'!$D$59:$J$79,'Detailed Assumptions'!$L$59:$R$79,'Detailed Assumptions'!$T$59:$Z$79,'Detailed Assumptions'!$AB$59:$AH$79),$C452,2,$C$506))</f>
        <v>-504.82345245421754</v>
      </c>
      <c r="Z452" s="527" cm="1">
        <f t="array" ref="Z452">Z413*(INDEX(('Detailed Assumptions'!$D$59:$J$79,'Detailed Assumptions'!$L$59:$R$79,'Detailed Assumptions'!$T$59:$Z$79,'Detailed Assumptions'!$AB$59:$AH$79),$C452,2,$C$506))</f>
        <v>-504.82345245421754</v>
      </c>
      <c r="AA452" s="527" cm="1">
        <f t="array" ref="AA452">AA413*(INDEX(('Detailed Assumptions'!$D$59:$J$79,'Detailed Assumptions'!$L$59:$R$79,'Detailed Assumptions'!$T$59:$Z$79,'Detailed Assumptions'!$AB$59:$AH$79),$C452,2,$C$506))</f>
        <v>-504.82345245421754</v>
      </c>
      <c r="AB452" s="527" cm="1">
        <f t="array" ref="AB452">AB413*(INDEX(('Detailed Assumptions'!$D$59:$J$79,'Detailed Assumptions'!$L$59:$R$79,'Detailed Assumptions'!$T$59:$Z$79,'Detailed Assumptions'!$AB$59:$AH$79),$C452,2,$C$506))</f>
        <v>-504.82345245421754</v>
      </c>
      <c r="AC452" s="527" cm="1">
        <f t="array" ref="AC452">AC413*(INDEX(('Detailed Assumptions'!$D$59:$J$79,'Detailed Assumptions'!$L$59:$R$79,'Detailed Assumptions'!$T$59:$Z$79,'Detailed Assumptions'!$AB$59:$AH$79),$C452,2,$C$506))</f>
        <v>-504.82345245421754</v>
      </c>
      <c r="AD452" s="527" cm="1">
        <f t="array" ref="AD452">AD413*(INDEX(('Detailed Assumptions'!$D$59:$J$79,'Detailed Assumptions'!$L$59:$R$79,'Detailed Assumptions'!$T$59:$Z$79,'Detailed Assumptions'!$AB$59:$AH$79),$C452,2,$C$506))</f>
        <v>-524.76104571466817</v>
      </c>
      <c r="AE452" s="527" cm="1">
        <f t="array" ref="AE452">AE413*(INDEX(('Detailed Assumptions'!$D$59:$J$79,'Detailed Assumptions'!$L$59:$R$79,'Detailed Assumptions'!$T$59:$Z$79,'Detailed Assumptions'!$AB$59:$AH$79),$C452,2,$C$506))</f>
        <v>-524.76104571466817</v>
      </c>
      <c r="AF452" s="527" cm="1">
        <f t="array" ref="AF452">AF413*(INDEX(('Detailed Assumptions'!$D$59:$J$79,'Detailed Assumptions'!$L$59:$R$79,'Detailed Assumptions'!$T$59:$Z$79,'Detailed Assumptions'!$AB$59:$AH$79),$C452,2,$C$506))</f>
        <v>-524.76104571466817</v>
      </c>
      <c r="AG452" s="527" cm="1">
        <f t="array" ref="AG452">AG413*(INDEX(('Detailed Assumptions'!$D$59:$J$79,'Detailed Assumptions'!$L$59:$R$79,'Detailed Assumptions'!$T$59:$Z$79,'Detailed Assumptions'!$AB$59:$AH$79),$C452,2,$C$506))</f>
        <v>-524.76104571466817</v>
      </c>
      <c r="AH452" s="527" cm="1">
        <f t="array" ref="AH452">AH413*(INDEX(('Detailed Assumptions'!$D$59:$J$79,'Detailed Assumptions'!$L$59:$R$79,'Detailed Assumptions'!$T$59:$Z$79,'Detailed Assumptions'!$AB$59:$AH$79),$C452,2,$C$506))</f>
        <v>-524.76104571466817</v>
      </c>
      <c r="AI452" s="527" cm="1">
        <f t="array" ref="AI452">AI413*(INDEX(('Detailed Assumptions'!$D$59:$J$79,'Detailed Assumptions'!$L$59:$R$79,'Detailed Assumptions'!$T$59:$Z$79,'Detailed Assumptions'!$AB$59:$AH$79),$C452,2,$C$506))</f>
        <v>-524.76104571466817</v>
      </c>
      <c r="AJ452" s="527" cm="1">
        <f t="array" ref="AJ452">AJ413*(INDEX(('Detailed Assumptions'!$D$59:$J$79,'Detailed Assumptions'!$L$59:$R$79,'Detailed Assumptions'!$T$59:$Z$79,'Detailed Assumptions'!$AB$59:$AH$79),$C452,2,$C$506))</f>
        <v>-617.86641617936834</v>
      </c>
      <c r="AK452" s="527" cm="1">
        <f t="array" ref="AK452">AK413*(INDEX(('Detailed Assumptions'!$D$59:$J$79,'Detailed Assumptions'!$L$59:$R$79,'Detailed Assumptions'!$T$59:$Z$79,'Detailed Assumptions'!$AB$59:$AH$79),$C452,2,$C$506))</f>
        <v>-617.86641617936834</v>
      </c>
      <c r="AL452" s="527" cm="1">
        <f t="array" ref="AL452">AL413*(INDEX(('Detailed Assumptions'!$D$59:$J$79,'Detailed Assumptions'!$L$59:$R$79,'Detailed Assumptions'!$T$59:$Z$79,'Detailed Assumptions'!$AB$59:$AH$79),$C452,2,$C$506))</f>
        <v>-617.86641617936834</v>
      </c>
      <c r="AM452" s="527" cm="1">
        <f t="array" ref="AM452">AM413*(INDEX(('Detailed Assumptions'!$D$59:$J$79,'Detailed Assumptions'!$L$59:$R$79,'Detailed Assumptions'!$T$59:$Z$79,'Detailed Assumptions'!$AB$59:$AH$79),$C452,2,$C$506))</f>
        <v>-617.86641617936834</v>
      </c>
      <c r="AN452" s="527" cm="1">
        <f t="array" ref="AN452">AN413*(INDEX(('Detailed Assumptions'!$D$59:$J$79,'Detailed Assumptions'!$L$59:$R$79,'Detailed Assumptions'!$T$59:$Z$79,'Detailed Assumptions'!$AB$59:$AH$79),$C452,2,$C$506))</f>
        <v>-617.86641617936834</v>
      </c>
      <c r="AO452" s="527" cm="1">
        <f t="array" ref="AO452">AO413*(INDEX(('Detailed Assumptions'!$D$59:$J$79,'Detailed Assumptions'!$L$59:$R$79,'Detailed Assumptions'!$T$59:$Z$79,'Detailed Assumptions'!$AB$59:$AH$79),$C452,2,$C$506))</f>
        <v>-617.86641617936834</v>
      </c>
      <c r="AP452" s="527" cm="1">
        <f t="array" ref="AP452">AP413*(INDEX(('Detailed Assumptions'!$D$59:$J$79,'Detailed Assumptions'!$L$59:$R$79,'Detailed Assumptions'!$T$59:$Z$79,'Detailed Assumptions'!$AB$59:$AH$79),$C452,2,$C$506))</f>
        <v>-617.86641617936857</v>
      </c>
      <c r="AQ452" s="527" cm="1">
        <f t="array" ref="AQ452">AQ413*(INDEX(('Detailed Assumptions'!$D$59:$J$79,'Detailed Assumptions'!$L$59:$R$79,'Detailed Assumptions'!$T$59:$Z$79,'Detailed Assumptions'!$AB$59:$AH$79),$C452,2,$C$506))</f>
        <v>-617.86641617936857</v>
      </c>
      <c r="AR452" s="527" cm="1">
        <f t="array" ref="AR452">AR413*(INDEX(('Detailed Assumptions'!$D$59:$J$79,'Detailed Assumptions'!$L$59:$R$79,'Detailed Assumptions'!$T$59:$Z$79,'Detailed Assumptions'!$AB$59:$AH$79),$C452,2,$C$506))</f>
        <v>-617.86641617936857</v>
      </c>
      <c r="AS452" s="527" cm="1">
        <f t="array" ref="AS452">AS413*(INDEX(('Detailed Assumptions'!$D$59:$J$79,'Detailed Assumptions'!$L$59:$R$79,'Detailed Assumptions'!$T$59:$Z$79,'Detailed Assumptions'!$AB$59:$AH$79),$C452,2,$C$506))</f>
        <v>-617.86641617936857</v>
      </c>
      <c r="AT452" s="527" cm="1">
        <f t="array" ref="AT452">AT413*(INDEX(('Detailed Assumptions'!$D$59:$J$79,'Detailed Assumptions'!$L$59:$R$79,'Detailed Assumptions'!$T$59:$Z$79,'Detailed Assumptions'!$AB$59:$AH$79),$C452,2,$C$506))</f>
        <v>-617.86641617936857</v>
      </c>
      <c r="AU452" s="527" cm="1">
        <f t="array" ref="AU452">AU413*(INDEX(('Detailed Assumptions'!$D$59:$J$79,'Detailed Assumptions'!$L$59:$R$79,'Detailed Assumptions'!$T$59:$Z$79,'Detailed Assumptions'!$AB$59:$AH$79),$C452,2,$C$506))</f>
        <v>-617.86641617936857</v>
      </c>
      <c r="AV452" s="527" cm="1">
        <f t="array" ref="AV452">AV413*(INDEX(('Detailed Assumptions'!$D$59:$J$79,'Detailed Assumptions'!$L$59:$R$79,'Detailed Assumptions'!$T$59:$Z$79,'Detailed Assumptions'!$AB$59:$AH$79),$C452,2,$C$506))</f>
        <v>-642.58107282654339</v>
      </c>
      <c r="AW452" s="527" cm="1">
        <f t="array" ref="AW452">AW413*(INDEX(('Detailed Assumptions'!$D$59:$J$79,'Detailed Assumptions'!$L$59:$R$79,'Detailed Assumptions'!$T$59:$Z$79,'Detailed Assumptions'!$AB$59:$AH$79),$C452,2,$C$506))</f>
        <v>-642.58107282654339</v>
      </c>
      <c r="AX452" s="527" cm="1">
        <f t="array" ref="AX452">AX413*(INDEX(('Detailed Assumptions'!$D$59:$J$79,'Detailed Assumptions'!$L$59:$R$79,'Detailed Assumptions'!$T$59:$Z$79,'Detailed Assumptions'!$AB$59:$AH$79),$C452,2,$C$506))</f>
        <v>-642.58107282654339</v>
      </c>
      <c r="AY452" s="527" cm="1">
        <f t="array" ref="AY452">AY413*(INDEX(('Detailed Assumptions'!$D$59:$J$79,'Detailed Assumptions'!$L$59:$R$79,'Detailed Assumptions'!$T$59:$Z$79,'Detailed Assumptions'!$AB$59:$AH$79),$C452,2,$C$506))</f>
        <v>-642.58107282654339</v>
      </c>
      <c r="AZ452" s="527" cm="1">
        <f t="array" ref="AZ452">AZ413*(INDEX(('Detailed Assumptions'!$D$59:$J$79,'Detailed Assumptions'!$L$59:$R$79,'Detailed Assumptions'!$T$59:$Z$79,'Detailed Assumptions'!$AB$59:$AH$79),$C452,2,$C$506))</f>
        <v>-642.58107282654339</v>
      </c>
      <c r="BA452" s="527" cm="1">
        <f t="array" ref="BA452">BA413*(INDEX(('Detailed Assumptions'!$D$59:$J$79,'Detailed Assumptions'!$L$59:$R$79,'Detailed Assumptions'!$T$59:$Z$79,'Detailed Assumptions'!$AB$59:$AH$79),$C452,2,$C$506))</f>
        <v>-642.58107282654339</v>
      </c>
      <c r="BB452" s="527" cm="1">
        <f t="array" ref="BB452">BB413*(INDEX(('Detailed Assumptions'!$D$59:$J$79,'Detailed Assumptions'!$L$59:$R$79,'Detailed Assumptions'!$T$59:$Z$79,'Detailed Assumptions'!$AB$59:$AH$79),$C452,2,$C$506))</f>
        <v>-642.58107282654328</v>
      </c>
      <c r="BC452" s="527" cm="1">
        <f t="array" ref="BC452">BC413*(INDEX(('Detailed Assumptions'!$D$59:$J$79,'Detailed Assumptions'!$L$59:$R$79,'Detailed Assumptions'!$T$59:$Z$79,'Detailed Assumptions'!$AB$59:$AH$79),$C452,2,$C$506))</f>
        <v>-642.58107282654328</v>
      </c>
      <c r="BD452" s="527" cm="1">
        <f t="array" ref="BD452">BD413*(INDEX(('Detailed Assumptions'!$D$59:$J$79,'Detailed Assumptions'!$L$59:$R$79,'Detailed Assumptions'!$T$59:$Z$79,'Detailed Assumptions'!$AB$59:$AH$79),$C452,2,$C$506))</f>
        <v>-642.58107282654328</v>
      </c>
      <c r="BE452" s="527" cm="1">
        <f t="array" ref="BE452">BE413*(INDEX(('Detailed Assumptions'!$D$59:$J$79,'Detailed Assumptions'!$L$59:$R$79,'Detailed Assumptions'!$T$59:$Z$79,'Detailed Assumptions'!$AB$59:$AH$79),$C452,2,$C$506))</f>
        <v>-642.58107282654328</v>
      </c>
      <c r="BF452" s="527" cm="1">
        <f t="array" ref="BF452">BF413*(INDEX(('Detailed Assumptions'!$D$59:$J$79,'Detailed Assumptions'!$L$59:$R$79,'Detailed Assumptions'!$T$59:$Z$79,'Detailed Assumptions'!$AB$59:$AH$79),$C452,2,$C$506))</f>
        <v>-642.58107282654328</v>
      </c>
      <c r="BG452" s="527" cm="1">
        <f t="array" ref="BG452">BG413*(INDEX(('Detailed Assumptions'!$D$59:$J$79,'Detailed Assumptions'!$L$59:$R$79,'Detailed Assumptions'!$T$59:$Z$79,'Detailed Assumptions'!$AB$59:$AH$79),$C452,2,$C$506))</f>
        <v>-642.58107282654328</v>
      </c>
      <c r="BH452" s="527" cm="1">
        <f t="array" ref="BH452">BH413*(INDEX(('Detailed Assumptions'!$D$59:$J$79,'Detailed Assumptions'!$L$59:$R$79,'Detailed Assumptions'!$T$59:$Z$79,'Detailed Assumptions'!$AB$59:$AH$79),$C452,2,$C$506))</f>
        <v>-668.28431573960506</v>
      </c>
      <c r="BI452" s="527" cm="1">
        <f t="array" ref="BI452">BI413*(INDEX(('Detailed Assumptions'!$D$59:$J$79,'Detailed Assumptions'!$L$59:$R$79,'Detailed Assumptions'!$T$59:$Z$79,'Detailed Assumptions'!$AB$59:$AH$79),$C452,2,$C$506))</f>
        <v>-668.28431573960506</v>
      </c>
      <c r="BJ452" s="527" cm="1">
        <f t="array" ref="BJ452">BJ413*(INDEX(('Detailed Assumptions'!$D$59:$J$79,'Detailed Assumptions'!$L$59:$R$79,'Detailed Assumptions'!$T$59:$Z$79,'Detailed Assumptions'!$AB$59:$AH$79),$C452,2,$C$506))</f>
        <v>-668.28431573960506</v>
      </c>
      <c r="BK452" s="527" cm="1">
        <f t="array" ref="BK452">BK413*(INDEX(('Detailed Assumptions'!$D$59:$J$79,'Detailed Assumptions'!$L$59:$R$79,'Detailed Assumptions'!$T$59:$Z$79,'Detailed Assumptions'!$AB$59:$AH$79),$C452,2,$C$506))</f>
        <v>-668.28431573960506</v>
      </c>
      <c r="BL452" s="527" cm="1">
        <f t="array" ref="BL452">BL413*(INDEX(('Detailed Assumptions'!$D$59:$J$79,'Detailed Assumptions'!$L$59:$R$79,'Detailed Assumptions'!$T$59:$Z$79,'Detailed Assumptions'!$AB$59:$AH$79),$C452,2,$C$506))</f>
        <v>-668.28431573960506</v>
      </c>
      <c r="BM452" s="527" cm="1">
        <f t="array" ref="BM452">BM413*(INDEX(('Detailed Assumptions'!$D$59:$J$79,'Detailed Assumptions'!$L$59:$R$79,'Detailed Assumptions'!$T$59:$Z$79,'Detailed Assumptions'!$AB$59:$AH$79),$C452,2,$C$506))</f>
        <v>-668.28431573960506</v>
      </c>
      <c r="BN452" s="527" cm="1">
        <f t="array" ref="BN452">BN413*(INDEX(('Detailed Assumptions'!$D$59:$J$79,'Detailed Assumptions'!$L$59:$R$79,'Detailed Assumptions'!$T$59:$Z$79,'Detailed Assumptions'!$AB$59:$AH$79),$C452,2,$C$506))</f>
        <v>-668.28431573960518</v>
      </c>
      <c r="BO452" s="527" cm="1">
        <f t="array" ref="BO452">BO413*(INDEX(('Detailed Assumptions'!$D$59:$J$79,'Detailed Assumptions'!$L$59:$R$79,'Detailed Assumptions'!$T$59:$Z$79,'Detailed Assumptions'!$AB$59:$AH$79),$C452,2,$C$506))</f>
        <v>-668.28431573960518</v>
      </c>
      <c r="BP452" s="527" cm="1">
        <f t="array" ref="BP452">BP413*(INDEX(('Detailed Assumptions'!$D$59:$J$79,'Detailed Assumptions'!$L$59:$R$79,'Detailed Assumptions'!$T$59:$Z$79,'Detailed Assumptions'!$AB$59:$AH$79),$C452,2,$C$506))</f>
        <v>-668.28431573960518</v>
      </c>
      <c r="BQ452" s="527" cm="1">
        <f t="array" ref="BQ452">BQ413*(INDEX(('Detailed Assumptions'!$D$59:$J$79,'Detailed Assumptions'!$L$59:$R$79,'Detailed Assumptions'!$T$59:$Z$79,'Detailed Assumptions'!$AB$59:$AH$79),$C452,2,$C$506))</f>
        <v>-668.28431573960518</v>
      </c>
      <c r="BR452" s="527" cm="1">
        <f t="array" ref="BR452">BR413*(INDEX(('Detailed Assumptions'!$D$59:$J$79,'Detailed Assumptions'!$L$59:$R$79,'Detailed Assumptions'!$T$59:$Z$79,'Detailed Assumptions'!$AB$59:$AH$79),$C452,2,$C$506))</f>
        <v>-668.28431573960518</v>
      </c>
      <c r="BS452" s="527" cm="1">
        <f t="array" ref="BS452">BS413*(INDEX(('Detailed Assumptions'!$D$59:$J$79,'Detailed Assumptions'!$L$59:$R$79,'Detailed Assumptions'!$T$59:$Z$79,'Detailed Assumptions'!$AB$59:$AH$79),$C452,2,$C$506))</f>
        <v>-668.28431573960518</v>
      </c>
      <c r="BT452" s="527" cm="1">
        <f t="array" ref="BT452">BT413*(INDEX(('Detailed Assumptions'!$D$59:$J$79,'Detailed Assumptions'!$L$59:$R$79,'Detailed Assumptions'!$T$59:$Z$79,'Detailed Assumptions'!$AB$59:$AH$79),$C452,2,$C$506))</f>
        <v>-695.01568836918943</v>
      </c>
      <c r="BU452" s="527" cm="1">
        <f t="array" ref="BU452">BU413*(INDEX(('Detailed Assumptions'!$D$59:$J$79,'Detailed Assumptions'!$L$59:$R$79,'Detailed Assumptions'!$T$59:$Z$79,'Detailed Assumptions'!$AB$59:$AH$79),$C452,2,$C$506))</f>
        <v>-695.01568836918943</v>
      </c>
      <c r="BV452" s="527" cm="1">
        <f t="array" ref="BV452">BV413*(INDEX(('Detailed Assumptions'!$D$59:$J$79,'Detailed Assumptions'!$L$59:$R$79,'Detailed Assumptions'!$T$59:$Z$79,'Detailed Assumptions'!$AB$59:$AH$79),$C452,2,$C$506))</f>
        <v>-695.01568836918943</v>
      </c>
      <c r="BW452" s="527" cm="1">
        <f t="array" ref="BW452">BW413*(INDEX(('Detailed Assumptions'!$D$59:$J$79,'Detailed Assumptions'!$L$59:$R$79,'Detailed Assumptions'!$T$59:$Z$79,'Detailed Assumptions'!$AB$59:$AH$79),$C452,2,$C$506))</f>
        <v>-695.01568836918943</v>
      </c>
      <c r="BX452" s="527" cm="1">
        <f t="array" ref="BX452">BX413*(INDEX(('Detailed Assumptions'!$D$59:$J$79,'Detailed Assumptions'!$L$59:$R$79,'Detailed Assumptions'!$T$59:$Z$79,'Detailed Assumptions'!$AB$59:$AH$79),$C452,2,$C$506))</f>
        <v>-695.01568836918943</v>
      </c>
      <c r="BY452" s="527" cm="1">
        <f t="array" ref="BY452">BY413*(INDEX(('Detailed Assumptions'!$D$59:$J$79,'Detailed Assumptions'!$L$59:$R$79,'Detailed Assumptions'!$T$59:$Z$79,'Detailed Assumptions'!$AB$59:$AH$79),$C452,2,$C$506))</f>
        <v>-695.01568836918943</v>
      </c>
    </row>
    <row r="453" spans="1:77" x14ac:dyDescent="0.3">
      <c r="A453" s="648"/>
      <c r="B453" s="648" t="s">
        <v>53</v>
      </c>
      <c r="C453" s="648">
        <f t="shared" si="638"/>
        <v>20</v>
      </c>
      <c r="D453" s="647"/>
      <c r="E453" s="649" t="str">
        <f>"Bad debts: "&amp;E$157</f>
        <v>Bad debts: FY29 Tranche</v>
      </c>
      <c r="F453" s="525"/>
      <c r="G453" s="525"/>
      <c r="H453" s="525"/>
      <c r="I453" s="525"/>
      <c r="J453" s="525"/>
      <c r="K453" s="525"/>
      <c r="L453" s="525"/>
      <c r="M453" s="525"/>
      <c r="N453" s="525"/>
      <c r="O453" s="525"/>
      <c r="P453" s="565"/>
      <c r="Q453" s="525"/>
      <c r="R453" s="527" cm="1">
        <f t="array" ref="R453">R414*(INDEX(('Detailed Assumptions'!$D$59:$J$79,'Detailed Assumptions'!$L$59:$R$79,'Detailed Assumptions'!$T$59:$Z$79,'Detailed Assumptions'!$AB$59:$AH$79),$C453,2,$C$506))</f>
        <v>-504.82345245421754</v>
      </c>
      <c r="S453" s="527" cm="1">
        <f t="array" ref="S453">S414*(INDEX(('Detailed Assumptions'!$D$59:$J$79,'Detailed Assumptions'!$L$59:$R$79,'Detailed Assumptions'!$T$59:$Z$79,'Detailed Assumptions'!$AB$59:$AH$79),$C453,2,$C$506))</f>
        <v>-504.82345245421754</v>
      </c>
      <c r="T453" s="527" cm="1">
        <f t="array" ref="T453">T414*(INDEX(('Detailed Assumptions'!$D$59:$J$79,'Detailed Assumptions'!$L$59:$R$79,'Detailed Assumptions'!$T$59:$Z$79,'Detailed Assumptions'!$AB$59:$AH$79),$C453,2,$C$506))</f>
        <v>-504.82345245421754</v>
      </c>
      <c r="U453" s="527" cm="1">
        <f t="array" ref="U453">U414*(INDEX(('Detailed Assumptions'!$D$59:$J$79,'Detailed Assumptions'!$L$59:$R$79,'Detailed Assumptions'!$T$59:$Z$79,'Detailed Assumptions'!$AB$59:$AH$79),$C453,2,$C$506))</f>
        <v>-504.82345245421754</v>
      </c>
      <c r="V453" s="527" cm="1">
        <f t="array" ref="V453">V414*(INDEX(('Detailed Assumptions'!$D$59:$J$79,'Detailed Assumptions'!$L$59:$R$79,'Detailed Assumptions'!$T$59:$Z$79,'Detailed Assumptions'!$AB$59:$AH$79),$C453,2,$C$506))</f>
        <v>-504.82345245421754</v>
      </c>
      <c r="W453" s="527" cm="1">
        <f t="array" ref="W453">W414*(INDEX(('Detailed Assumptions'!$D$59:$J$79,'Detailed Assumptions'!$L$59:$R$79,'Detailed Assumptions'!$T$59:$Z$79,'Detailed Assumptions'!$AB$59:$AH$79),$C453,2,$C$506))</f>
        <v>-504.82345245421754</v>
      </c>
      <c r="X453" s="527" cm="1">
        <f t="array" ref="X453">X414*(INDEX(('Detailed Assumptions'!$D$59:$J$79,'Detailed Assumptions'!$L$59:$R$79,'Detailed Assumptions'!$T$59:$Z$79,'Detailed Assumptions'!$AB$59:$AH$79),$C453,2,$C$506))</f>
        <v>-504.82345245421754</v>
      </c>
      <c r="Y453" s="527" cm="1">
        <f t="array" ref="Y453">Y414*(INDEX(('Detailed Assumptions'!$D$59:$J$79,'Detailed Assumptions'!$L$59:$R$79,'Detailed Assumptions'!$T$59:$Z$79,'Detailed Assumptions'!$AB$59:$AH$79),$C453,2,$C$506))</f>
        <v>-504.82345245421754</v>
      </c>
      <c r="Z453" s="527" cm="1">
        <f t="array" ref="Z453">Z414*(INDEX(('Detailed Assumptions'!$D$59:$J$79,'Detailed Assumptions'!$L$59:$R$79,'Detailed Assumptions'!$T$59:$Z$79,'Detailed Assumptions'!$AB$59:$AH$79),$C453,2,$C$506))</f>
        <v>-504.82345245421754</v>
      </c>
      <c r="AA453" s="527" cm="1">
        <f t="array" ref="AA453">AA414*(INDEX(('Detailed Assumptions'!$D$59:$J$79,'Detailed Assumptions'!$L$59:$R$79,'Detailed Assumptions'!$T$59:$Z$79,'Detailed Assumptions'!$AB$59:$AH$79),$C453,2,$C$506))</f>
        <v>-504.82345245421754</v>
      </c>
      <c r="AB453" s="527" cm="1">
        <f t="array" ref="AB453">AB414*(INDEX(('Detailed Assumptions'!$D$59:$J$79,'Detailed Assumptions'!$L$59:$R$79,'Detailed Assumptions'!$T$59:$Z$79,'Detailed Assumptions'!$AB$59:$AH$79),$C453,2,$C$506))</f>
        <v>-504.82345245421754</v>
      </c>
      <c r="AC453" s="527" cm="1">
        <f t="array" ref="AC453">AC414*(INDEX(('Detailed Assumptions'!$D$59:$J$79,'Detailed Assumptions'!$L$59:$R$79,'Detailed Assumptions'!$T$59:$Z$79,'Detailed Assumptions'!$AB$59:$AH$79),$C453,2,$C$506))</f>
        <v>-504.82345245421754</v>
      </c>
      <c r="AD453" s="527" cm="1">
        <f t="array" ref="AD453">AD414*(INDEX(('Detailed Assumptions'!$D$59:$J$79,'Detailed Assumptions'!$L$59:$R$79,'Detailed Assumptions'!$T$59:$Z$79,'Detailed Assumptions'!$AB$59:$AH$79),$C453,2,$C$506))</f>
        <v>-524.76104571466817</v>
      </c>
      <c r="AE453" s="527" cm="1">
        <f t="array" ref="AE453">AE414*(INDEX(('Detailed Assumptions'!$D$59:$J$79,'Detailed Assumptions'!$L$59:$R$79,'Detailed Assumptions'!$T$59:$Z$79,'Detailed Assumptions'!$AB$59:$AH$79),$C453,2,$C$506))</f>
        <v>-524.76104571466817</v>
      </c>
      <c r="AF453" s="527" cm="1">
        <f t="array" ref="AF453">AF414*(INDEX(('Detailed Assumptions'!$D$59:$J$79,'Detailed Assumptions'!$L$59:$R$79,'Detailed Assumptions'!$T$59:$Z$79,'Detailed Assumptions'!$AB$59:$AH$79),$C453,2,$C$506))</f>
        <v>-524.76104571466817</v>
      </c>
      <c r="AG453" s="527" cm="1">
        <f t="array" ref="AG453">AG414*(INDEX(('Detailed Assumptions'!$D$59:$J$79,'Detailed Assumptions'!$L$59:$R$79,'Detailed Assumptions'!$T$59:$Z$79,'Detailed Assumptions'!$AB$59:$AH$79),$C453,2,$C$506))</f>
        <v>-524.76104571466817</v>
      </c>
      <c r="AH453" s="527" cm="1">
        <f t="array" ref="AH453">AH414*(INDEX(('Detailed Assumptions'!$D$59:$J$79,'Detailed Assumptions'!$L$59:$R$79,'Detailed Assumptions'!$T$59:$Z$79,'Detailed Assumptions'!$AB$59:$AH$79),$C453,2,$C$506))</f>
        <v>-524.76104571466817</v>
      </c>
      <c r="AI453" s="527" cm="1">
        <f t="array" ref="AI453">AI414*(INDEX(('Detailed Assumptions'!$D$59:$J$79,'Detailed Assumptions'!$L$59:$R$79,'Detailed Assumptions'!$T$59:$Z$79,'Detailed Assumptions'!$AB$59:$AH$79),$C453,2,$C$506))</f>
        <v>-524.76104571466817</v>
      </c>
      <c r="AJ453" s="527" cm="1">
        <f t="array" ref="AJ453">AJ414*(INDEX(('Detailed Assumptions'!$D$59:$J$79,'Detailed Assumptions'!$L$59:$R$79,'Detailed Assumptions'!$T$59:$Z$79,'Detailed Assumptions'!$AB$59:$AH$79),$C453,2,$C$506))</f>
        <v>-524.76104571466817</v>
      </c>
      <c r="AK453" s="527" cm="1">
        <f t="array" ref="AK453">AK414*(INDEX(('Detailed Assumptions'!$D$59:$J$79,'Detailed Assumptions'!$L$59:$R$79,'Detailed Assumptions'!$T$59:$Z$79,'Detailed Assumptions'!$AB$59:$AH$79),$C453,2,$C$506))</f>
        <v>-524.76104571466817</v>
      </c>
      <c r="AL453" s="527" cm="1">
        <f t="array" ref="AL453">AL414*(INDEX(('Detailed Assumptions'!$D$59:$J$79,'Detailed Assumptions'!$L$59:$R$79,'Detailed Assumptions'!$T$59:$Z$79,'Detailed Assumptions'!$AB$59:$AH$79),$C453,2,$C$506))</f>
        <v>-524.76104571466817</v>
      </c>
      <c r="AM453" s="527" cm="1">
        <f t="array" ref="AM453">AM414*(INDEX(('Detailed Assumptions'!$D$59:$J$79,'Detailed Assumptions'!$L$59:$R$79,'Detailed Assumptions'!$T$59:$Z$79,'Detailed Assumptions'!$AB$59:$AH$79),$C453,2,$C$506))</f>
        <v>-524.76104571466817</v>
      </c>
      <c r="AN453" s="527" cm="1">
        <f t="array" ref="AN453">AN414*(INDEX(('Detailed Assumptions'!$D$59:$J$79,'Detailed Assumptions'!$L$59:$R$79,'Detailed Assumptions'!$T$59:$Z$79,'Detailed Assumptions'!$AB$59:$AH$79),$C453,2,$C$506))</f>
        <v>-524.76104571466817</v>
      </c>
      <c r="AO453" s="527" cm="1">
        <f t="array" ref="AO453">AO414*(INDEX(('Detailed Assumptions'!$D$59:$J$79,'Detailed Assumptions'!$L$59:$R$79,'Detailed Assumptions'!$T$59:$Z$79,'Detailed Assumptions'!$AB$59:$AH$79),$C453,2,$C$506))</f>
        <v>-524.76104571466817</v>
      </c>
      <c r="AP453" s="527" cm="1">
        <f t="array" ref="AP453">AP414*(INDEX(('Detailed Assumptions'!$D$59:$J$79,'Detailed Assumptions'!$L$59:$R$79,'Detailed Assumptions'!$T$59:$Z$79,'Detailed Assumptions'!$AB$59:$AH$79),$C453,2,$C$506))</f>
        <v>-544.49622433172328</v>
      </c>
      <c r="AQ453" s="527" cm="1">
        <f t="array" ref="AQ453">AQ414*(INDEX(('Detailed Assumptions'!$D$59:$J$79,'Detailed Assumptions'!$L$59:$R$79,'Detailed Assumptions'!$T$59:$Z$79,'Detailed Assumptions'!$AB$59:$AH$79),$C453,2,$C$506))</f>
        <v>-544.49622433172328</v>
      </c>
      <c r="AR453" s="527" cm="1">
        <f t="array" ref="AR453">AR414*(INDEX(('Detailed Assumptions'!$D$59:$J$79,'Detailed Assumptions'!$L$59:$R$79,'Detailed Assumptions'!$T$59:$Z$79,'Detailed Assumptions'!$AB$59:$AH$79),$C453,2,$C$506))</f>
        <v>-544.49622433172328</v>
      </c>
      <c r="AS453" s="527" cm="1">
        <f t="array" ref="AS453">AS414*(INDEX(('Detailed Assumptions'!$D$59:$J$79,'Detailed Assumptions'!$L$59:$R$79,'Detailed Assumptions'!$T$59:$Z$79,'Detailed Assumptions'!$AB$59:$AH$79),$C453,2,$C$506))</f>
        <v>-544.49622433172328</v>
      </c>
      <c r="AT453" s="527" cm="1">
        <f t="array" ref="AT453">AT414*(INDEX(('Detailed Assumptions'!$D$59:$J$79,'Detailed Assumptions'!$L$59:$R$79,'Detailed Assumptions'!$T$59:$Z$79,'Detailed Assumptions'!$AB$59:$AH$79),$C453,2,$C$506))</f>
        <v>-544.49622433172328</v>
      </c>
      <c r="AU453" s="527" cm="1">
        <f t="array" ref="AU453">AU414*(INDEX(('Detailed Assumptions'!$D$59:$J$79,'Detailed Assumptions'!$L$59:$R$79,'Detailed Assumptions'!$T$59:$Z$79,'Detailed Assumptions'!$AB$59:$AH$79),$C453,2,$C$506))</f>
        <v>-544.49622433172328</v>
      </c>
      <c r="AV453" s="527" cm="1">
        <f t="array" ref="AV453">AV414*(INDEX(('Detailed Assumptions'!$D$59:$J$79,'Detailed Assumptions'!$L$59:$R$79,'Detailed Assumptions'!$T$59:$Z$79,'Detailed Assumptions'!$AB$59:$AH$79),$C453,2,$C$506))</f>
        <v>-639.69222173164758</v>
      </c>
      <c r="AW453" s="527" cm="1">
        <f t="array" ref="AW453">AW414*(INDEX(('Detailed Assumptions'!$D$59:$J$79,'Detailed Assumptions'!$L$59:$R$79,'Detailed Assumptions'!$T$59:$Z$79,'Detailed Assumptions'!$AB$59:$AH$79),$C453,2,$C$506))</f>
        <v>-639.69222173164758</v>
      </c>
      <c r="AX453" s="527" cm="1">
        <f t="array" ref="AX453">AX414*(INDEX(('Detailed Assumptions'!$D$59:$J$79,'Detailed Assumptions'!$L$59:$R$79,'Detailed Assumptions'!$T$59:$Z$79,'Detailed Assumptions'!$AB$59:$AH$79),$C453,2,$C$506))</f>
        <v>-639.69222173164758</v>
      </c>
      <c r="AY453" s="527" cm="1">
        <f t="array" ref="AY453">AY414*(INDEX(('Detailed Assumptions'!$D$59:$J$79,'Detailed Assumptions'!$L$59:$R$79,'Detailed Assumptions'!$T$59:$Z$79,'Detailed Assumptions'!$AB$59:$AH$79),$C453,2,$C$506))</f>
        <v>-639.69222173164758</v>
      </c>
      <c r="AZ453" s="527" cm="1">
        <f t="array" ref="AZ453">AZ414*(INDEX(('Detailed Assumptions'!$D$59:$J$79,'Detailed Assumptions'!$L$59:$R$79,'Detailed Assumptions'!$T$59:$Z$79,'Detailed Assumptions'!$AB$59:$AH$79),$C453,2,$C$506))</f>
        <v>-639.69222173164758</v>
      </c>
      <c r="BA453" s="527" cm="1">
        <f t="array" ref="BA453">BA414*(INDEX(('Detailed Assumptions'!$D$59:$J$79,'Detailed Assumptions'!$L$59:$R$79,'Detailed Assumptions'!$T$59:$Z$79,'Detailed Assumptions'!$AB$59:$AH$79),$C453,2,$C$506))</f>
        <v>-639.69222173164758</v>
      </c>
      <c r="BB453" s="527" cm="1">
        <f t="array" ref="BB453">BB414*(INDEX(('Detailed Assumptions'!$D$59:$J$79,'Detailed Assumptions'!$L$59:$R$79,'Detailed Assumptions'!$T$59:$Z$79,'Detailed Assumptions'!$AB$59:$AH$79),$C453,2,$C$506))</f>
        <v>-639.69222173164746</v>
      </c>
      <c r="BC453" s="527" cm="1">
        <f t="array" ref="BC453">BC414*(INDEX(('Detailed Assumptions'!$D$59:$J$79,'Detailed Assumptions'!$L$59:$R$79,'Detailed Assumptions'!$T$59:$Z$79,'Detailed Assumptions'!$AB$59:$AH$79),$C453,2,$C$506))</f>
        <v>-639.69222173164746</v>
      </c>
      <c r="BD453" s="527" cm="1">
        <f t="array" ref="BD453">BD414*(INDEX(('Detailed Assumptions'!$D$59:$J$79,'Detailed Assumptions'!$L$59:$R$79,'Detailed Assumptions'!$T$59:$Z$79,'Detailed Assumptions'!$AB$59:$AH$79),$C453,2,$C$506))</f>
        <v>-639.69222173164746</v>
      </c>
      <c r="BE453" s="527" cm="1">
        <f t="array" ref="BE453">BE414*(INDEX(('Detailed Assumptions'!$D$59:$J$79,'Detailed Assumptions'!$L$59:$R$79,'Detailed Assumptions'!$T$59:$Z$79,'Detailed Assumptions'!$AB$59:$AH$79),$C453,2,$C$506))</f>
        <v>-639.69222173164746</v>
      </c>
      <c r="BF453" s="527" cm="1">
        <f t="array" ref="BF453">BF414*(INDEX(('Detailed Assumptions'!$D$59:$J$79,'Detailed Assumptions'!$L$59:$R$79,'Detailed Assumptions'!$T$59:$Z$79,'Detailed Assumptions'!$AB$59:$AH$79),$C453,2,$C$506))</f>
        <v>-639.69222173164746</v>
      </c>
      <c r="BG453" s="527" cm="1">
        <f t="array" ref="BG453">BG414*(INDEX(('Detailed Assumptions'!$D$59:$J$79,'Detailed Assumptions'!$L$59:$R$79,'Detailed Assumptions'!$T$59:$Z$79,'Detailed Assumptions'!$AB$59:$AH$79),$C453,2,$C$506))</f>
        <v>-639.69222173164746</v>
      </c>
      <c r="BH453" s="527" cm="1">
        <f t="array" ref="BH453">BH414*(INDEX(('Detailed Assumptions'!$D$59:$J$79,'Detailed Assumptions'!$L$59:$R$79,'Detailed Assumptions'!$T$59:$Z$79,'Detailed Assumptions'!$AB$59:$AH$79),$C453,2,$C$506))</f>
        <v>-665.27991060091369</v>
      </c>
      <c r="BI453" s="527" cm="1">
        <f t="array" ref="BI453">BI414*(INDEX(('Detailed Assumptions'!$D$59:$J$79,'Detailed Assumptions'!$L$59:$R$79,'Detailed Assumptions'!$T$59:$Z$79,'Detailed Assumptions'!$AB$59:$AH$79),$C453,2,$C$506))</f>
        <v>-665.27991060091369</v>
      </c>
      <c r="BJ453" s="527" cm="1">
        <f t="array" ref="BJ453">BJ414*(INDEX(('Detailed Assumptions'!$D$59:$J$79,'Detailed Assumptions'!$L$59:$R$79,'Detailed Assumptions'!$T$59:$Z$79,'Detailed Assumptions'!$AB$59:$AH$79),$C453,2,$C$506))</f>
        <v>-665.27991060091369</v>
      </c>
      <c r="BK453" s="527" cm="1">
        <f t="array" ref="BK453">BK414*(INDEX(('Detailed Assumptions'!$D$59:$J$79,'Detailed Assumptions'!$L$59:$R$79,'Detailed Assumptions'!$T$59:$Z$79,'Detailed Assumptions'!$AB$59:$AH$79),$C453,2,$C$506))</f>
        <v>-665.27991060091369</v>
      </c>
      <c r="BL453" s="527" cm="1">
        <f t="array" ref="BL453">BL414*(INDEX(('Detailed Assumptions'!$D$59:$J$79,'Detailed Assumptions'!$L$59:$R$79,'Detailed Assumptions'!$T$59:$Z$79,'Detailed Assumptions'!$AB$59:$AH$79),$C453,2,$C$506))</f>
        <v>-665.27991060091369</v>
      </c>
      <c r="BM453" s="527" cm="1">
        <f t="array" ref="BM453">BM414*(INDEX(('Detailed Assumptions'!$D$59:$J$79,'Detailed Assumptions'!$L$59:$R$79,'Detailed Assumptions'!$T$59:$Z$79,'Detailed Assumptions'!$AB$59:$AH$79),$C453,2,$C$506))</f>
        <v>-665.27991060091369</v>
      </c>
      <c r="BN453" s="527" cm="1">
        <f t="array" ref="BN453">BN414*(INDEX(('Detailed Assumptions'!$D$59:$J$79,'Detailed Assumptions'!$L$59:$R$79,'Detailed Assumptions'!$T$59:$Z$79,'Detailed Assumptions'!$AB$59:$AH$79),$C453,2,$C$506))</f>
        <v>-665.27991060091369</v>
      </c>
      <c r="BO453" s="527" cm="1">
        <f t="array" ref="BO453">BO414*(INDEX(('Detailed Assumptions'!$D$59:$J$79,'Detailed Assumptions'!$L$59:$R$79,'Detailed Assumptions'!$T$59:$Z$79,'Detailed Assumptions'!$AB$59:$AH$79),$C453,2,$C$506))</f>
        <v>-665.27991060091369</v>
      </c>
      <c r="BP453" s="527" cm="1">
        <f t="array" ref="BP453">BP414*(INDEX(('Detailed Assumptions'!$D$59:$J$79,'Detailed Assumptions'!$L$59:$R$79,'Detailed Assumptions'!$T$59:$Z$79,'Detailed Assumptions'!$AB$59:$AH$79),$C453,2,$C$506))</f>
        <v>-665.27991060091369</v>
      </c>
      <c r="BQ453" s="527" cm="1">
        <f t="array" ref="BQ453">BQ414*(INDEX(('Detailed Assumptions'!$D$59:$J$79,'Detailed Assumptions'!$L$59:$R$79,'Detailed Assumptions'!$T$59:$Z$79,'Detailed Assumptions'!$AB$59:$AH$79),$C453,2,$C$506))</f>
        <v>-665.27991060091369</v>
      </c>
      <c r="BR453" s="527" cm="1">
        <f t="array" ref="BR453">BR414*(INDEX(('Detailed Assumptions'!$D$59:$J$79,'Detailed Assumptions'!$L$59:$R$79,'Detailed Assumptions'!$T$59:$Z$79,'Detailed Assumptions'!$AB$59:$AH$79),$C453,2,$C$506))</f>
        <v>-665.27991060091369</v>
      </c>
      <c r="BS453" s="527" cm="1">
        <f t="array" ref="BS453">BS414*(INDEX(('Detailed Assumptions'!$D$59:$J$79,'Detailed Assumptions'!$L$59:$R$79,'Detailed Assumptions'!$T$59:$Z$79,'Detailed Assumptions'!$AB$59:$AH$79),$C453,2,$C$506))</f>
        <v>-665.27991060091369</v>
      </c>
      <c r="BT453" s="527" cm="1">
        <f t="array" ref="BT453">BT414*(INDEX(('Detailed Assumptions'!$D$59:$J$79,'Detailed Assumptions'!$L$59:$R$79,'Detailed Assumptions'!$T$59:$Z$79,'Detailed Assumptions'!$AB$59:$AH$79),$C453,2,$C$506))</f>
        <v>-691.8911070249502</v>
      </c>
      <c r="BU453" s="527" cm="1">
        <f t="array" ref="BU453">BU414*(INDEX(('Detailed Assumptions'!$D$59:$J$79,'Detailed Assumptions'!$L$59:$R$79,'Detailed Assumptions'!$T$59:$Z$79,'Detailed Assumptions'!$AB$59:$AH$79),$C453,2,$C$506))</f>
        <v>-691.8911070249502</v>
      </c>
      <c r="BV453" s="527" cm="1">
        <f t="array" ref="BV453">BV414*(INDEX(('Detailed Assumptions'!$D$59:$J$79,'Detailed Assumptions'!$L$59:$R$79,'Detailed Assumptions'!$T$59:$Z$79,'Detailed Assumptions'!$AB$59:$AH$79),$C453,2,$C$506))</f>
        <v>-691.8911070249502</v>
      </c>
      <c r="BW453" s="527" cm="1">
        <f t="array" ref="BW453">BW414*(INDEX(('Detailed Assumptions'!$D$59:$J$79,'Detailed Assumptions'!$L$59:$R$79,'Detailed Assumptions'!$T$59:$Z$79,'Detailed Assumptions'!$AB$59:$AH$79),$C453,2,$C$506))</f>
        <v>-691.8911070249502</v>
      </c>
      <c r="BX453" s="527" cm="1">
        <f t="array" ref="BX453">BX414*(INDEX(('Detailed Assumptions'!$D$59:$J$79,'Detailed Assumptions'!$L$59:$R$79,'Detailed Assumptions'!$T$59:$Z$79,'Detailed Assumptions'!$AB$59:$AH$79),$C453,2,$C$506))</f>
        <v>-691.8911070249502</v>
      </c>
      <c r="BY453" s="527" cm="1">
        <f t="array" ref="BY453">BY414*(INDEX(('Detailed Assumptions'!$D$59:$J$79,'Detailed Assumptions'!$L$59:$R$79,'Detailed Assumptions'!$T$59:$Z$79,'Detailed Assumptions'!$AB$59:$AH$79),$C453,2,$C$506))</f>
        <v>-691.8911070249502</v>
      </c>
    </row>
    <row r="454" spans="1:77" x14ac:dyDescent="0.3">
      <c r="A454" s="648"/>
      <c r="B454" s="648" t="s">
        <v>53</v>
      </c>
      <c r="C454" s="648">
        <f t="shared" si="638"/>
        <v>20</v>
      </c>
      <c r="D454" s="647"/>
      <c r="E454" s="649" t="str">
        <f>"Bad debts: "&amp;E$158</f>
        <v>Bad debts: FY30 Tranche</v>
      </c>
      <c r="F454" s="525"/>
      <c r="G454" s="525"/>
      <c r="H454" s="525"/>
      <c r="I454" s="525"/>
      <c r="J454" s="525"/>
      <c r="K454" s="525"/>
      <c r="L454" s="525"/>
      <c r="M454" s="525"/>
      <c r="N454" s="525"/>
      <c r="O454" s="525"/>
      <c r="P454" s="565"/>
      <c r="Q454" s="525"/>
      <c r="R454" s="527" cm="1">
        <f t="array" ref="R454">R415*(INDEX(('Detailed Assumptions'!$D$59:$J$79,'Detailed Assumptions'!$L$59:$R$79,'Detailed Assumptions'!$T$59:$Z$79,'Detailed Assumptions'!$AB$59:$AH$79),$C454,2,$C$506))</f>
        <v>-504.82345245421754</v>
      </c>
      <c r="S454" s="527" cm="1">
        <f t="array" ref="S454">S415*(INDEX(('Detailed Assumptions'!$D$59:$J$79,'Detailed Assumptions'!$L$59:$R$79,'Detailed Assumptions'!$T$59:$Z$79,'Detailed Assumptions'!$AB$59:$AH$79),$C454,2,$C$506))</f>
        <v>-504.82345245421754</v>
      </c>
      <c r="T454" s="527" cm="1">
        <f t="array" ref="T454">T415*(INDEX(('Detailed Assumptions'!$D$59:$J$79,'Detailed Assumptions'!$L$59:$R$79,'Detailed Assumptions'!$T$59:$Z$79,'Detailed Assumptions'!$AB$59:$AH$79),$C454,2,$C$506))</f>
        <v>-504.82345245421754</v>
      </c>
      <c r="U454" s="527" cm="1">
        <f t="array" ref="U454">U415*(INDEX(('Detailed Assumptions'!$D$59:$J$79,'Detailed Assumptions'!$L$59:$R$79,'Detailed Assumptions'!$T$59:$Z$79,'Detailed Assumptions'!$AB$59:$AH$79),$C454,2,$C$506))</f>
        <v>-504.82345245421754</v>
      </c>
      <c r="V454" s="527" cm="1">
        <f t="array" ref="V454">V415*(INDEX(('Detailed Assumptions'!$D$59:$J$79,'Detailed Assumptions'!$L$59:$R$79,'Detailed Assumptions'!$T$59:$Z$79,'Detailed Assumptions'!$AB$59:$AH$79),$C454,2,$C$506))</f>
        <v>-504.82345245421754</v>
      </c>
      <c r="W454" s="527" cm="1">
        <f t="array" ref="W454">W415*(INDEX(('Detailed Assumptions'!$D$59:$J$79,'Detailed Assumptions'!$L$59:$R$79,'Detailed Assumptions'!$T$59:$Z$79,'Detailed Assumptions'!$AB$59:$AH$79),$C454,2,$C$506))</f>
        <v>-504.82345245421754</v>
      </c>
      <c r="X454" s="527" cm="1">
        <f t="array" ref="X454">X415*(INDEX(('Detailed Assumptions'!$D$59:$J$79,'Detailed Assumptions'!$L$59:$R$79,'Detailed Assumptions'!$T$59:$Z$79,'Detailed Assumptions'!$AB$59:$AH$79),$C454,2,$C$506))</f>
        <v>-504.82345245421754</v>
      </c>
      <c r="Y454" s="527" cm="1">
        <f t="array" ref="Y454">Y415*(INDEX(('Detailed Assumptions'!$D$59:$J$79,'Detailed Assumptions'!$L$59:$R$79,'Detailed Assumptions'!$T$59:$Z$79,'Detailed Assumptions'!$AB$59:$AH$79),$C454,2,$C$506))</f>
        <v>-504.82345245421754</v>
      </c>
      <c r="Z454" s="527" cm="1">
        <f t="array" ref="Z454">Z415*(INDEX(('Detailed Assumptions'!$D$59:$J$79,'Detailed Assumptions'!$L$59:$R$79,'Detailed Assumptions'!$T$59:$Z$79,'Detailed Assumptions'!$AB$59:$AH$79),$C454,2,$C$506))</f>
        <v>-504.82345245421754</v>
      </c>
      <c r="AA454" s="527" cm="1">
        <f t="array" ref="AA454">AA415*(INDEX(('Detailed Assumptions'!$D$59:$J$79,'Detailed Assumptions'!$L$59:$R$79,'Detailed Assumptions'!$T$59:$Z$79,'Detailed Assumptions'!$AB$59:$AH$79),$C454,2,$C$506))</f>
        <v>-504.82345245421754</v>
      </c>
      <c r="AB454" s="527" cm="1">
        <f t="array" ref="AB454">AB415*(INDEX(('Detailed Assumptions'!$D$59:$J$79,'Detailed Assumptions'!$L$59:$R$79,'Detailed Assumptions'!$T$59:$Z$79,'Detailed Assumptions'!$AB$59:$AH$79),$C454,2,$C$506))</f>
        <v>-504.82345245421754</v>
      </c>
      <c r="AC454" s="527" cm="1">
        <f t="array" ref="AC454">AC415*(INDEX(('Detailed Assumptions'!$D$59:$J$79,'Detailed Assumptions'!$L$59:$R$79,'Detailed Assumptions'!$T$59:$Z$79,'Detailed Assumptions'!$AB$59:$AH$79),$C454,2,$C$506))</f>
        <v>-504.82345245421754</v>
      </c>
      <c r="AD454" s="527" cm="1">
        <f t="array" ref="AD454">AD415*(INDEX(('Detailed Assumptions'!$D$59:$J$79,'Detailed Assumptions'!$L$59:$R$79,'Detailed Assumptions'!$T$59:$Z$79,'Detailed Assumptions'!$AB$59:$AH$79),$C454,2,$C$506))</f>
        <v>-524.76104571466817</v>
      </c>
      <c r="AE454" s="527" cm="1">
        <f t="array" ref="AE454">AE415*(INDEX(('Detailed Assumptions'!$D$59:$J$79,'Detailed Assumptions'!$L$59:$R$79,'Detailed Assumptions'!$T$59:$Z$79,'Detailed Assumptions'!$AB$59:$AH$79),$C454,2,$C$506))</f>
        <v>-524.76104571466817</v>
      </c>
      <c r="AF454" s="527" cm="1">
        <f t="array" ref="AF454">AF415*(INDEX(('Detailed Assumptions'!$D$59:$J$79,'Detailed Assumptions'!$L$59:$R$79,'Detailed Assumptions'!$T$59:$Z$79,'Detailed Assumptions'!$AB$59:$AH$79),$C454,2,$C$506))</f>
        <v>-524.76104571466817</v>
      </c>
      <c r="AG454" s="527" cm="1">
        <f t="array" ref="AG454">AG415*(INDEX(('Detailed Assumptions'!$D$59:$J$79,'Detailed Assumptions'!$L$59:$R$79,'Detailed Assumptions'!$T$59:$Z$79,'Detailed Assumptions'!$AB$59:$AH$79),$C454,2,$C$506))</f>
        <v>-524.76104571466817</v>
      </c>
      <c r="AH454" s="527" cm="1">
        <f t="array" ref="AH454">AH415*(INDEX(('Detailed Assumptions'!$D$59:$J$79,'Detailed Assumptions'!$L$59:$R$79,'Detailed Assumptions'!$T$59:$Z$79,'Detailed Assumptions'!$AB$59:$AH$79),$C454,2,$C$506))</f>
        <v>-524.76104571466817</v>
      </c>
      <c r="AI454" s="527" cm="1">
        <f t="array" ref="AI454">AI415*(INDEX(('Detailed Assumptions'!$D$59:$J$79,'Detailed Assumptions'!$L$59:$R$79,'Detailed Assumptions'!$T$59:$Z$79,'Detailed Assumptions'!$AB$59:$AH$79),$C454,2,$C$506))</f>
        <v>-524.76104571466817</v>
      </c>
      <c r="AJ454" s="527" cm="1">
        <f t="array" ref="AJ454">AJ415*(INDEX(('Detailed Assumptions'!$D$59:$J$79,'Detailed Assumptions'!$L$59:$R$79,'Detailed Assumptions'!$T$59:$Z$79,'Detailed Assumptions'!$AB$59:$AH$79),$C454,2,$C$506))</f>
        <v>-524.76104571466817</v>
      </c>
      <c r="AK454" s="527" cm="1">
        <f t="array" ref="AK454">AK415*(INDEX(('Detailed Assumptions'!$D$59:$J$79,'Detailed Assumptions'!$L$59:$R$79,'Detailed Assumptions'!$T$59:$Z$79,'Detailed Assumptions'!$AB$59:$AH$79),$C454,2,$C$506))</f>
        <v>-524.76104571466817</v>
      </c>
      <c r="AL454" s="527" cm="1">
        <f t="array" ref="AL454">AL415*(INDEX(('Detailed Assumptions'!$D$59:$J$79,'Detailed Assumptions'!$L$59:$R$79,'Detailed Assumptions'!$T$59:$Z$79,'Detailed Assumptions'!$AB$59:$AH$79),$C454,2,$C$506))</f>
        <v>-524.76104571466817</v>
      </c>
      <c r="AM454" s="527" cm="1">
        <f t="array" ref="AM454">AM415*(INDEX(('Detailed Assumptions'!$D$59:$J$79,'Detailed Assumptions'!$L$59:$R$79,'Detailed Assumptions'!$T$59:$Z$79,'Detailed Assumptions'!$AB$59:$AH$79),$C454,2,$C$506))</f>
        <v>-524.76104571466817</v>
      </c>
      <c r="AN454" s="527" cm="1">
        <f t="array" ref="AN454">AN415*(INDEX(('Detailed Assumptions'!$D$59:$J$79,'Detailed Assumptions'!$L$59:$R$79,'Detailed Assumptions'!$T$59:$Z$79,'Detailed Assumptions'!$AB$59:$AH$79),$C454,2,$C$506))</f>
        <v>-524.76104571466817</v>
      </c>
      <c r="AO454" s="527" cm="1">
        <f t="array" ref="AO454">AO415*(INDEX(('Detailed Assumptions'!$D$59:$J$79,'Detailed Assumptions'!$L$59:$R$79,'Detailed Assumptions'!$T$59:$Z$79,'Detailed Assumptions'!$AB$59:$AH$79),$C454,2,$C$506))</f>
        <v>-524.76104571466817</v>
      </c>
      <c r="AP454" s="527" cm="1">
        <f t="array" ref="AP454">AP415*(INDEX(('Detailed Assumptions'!$D$59:$J$79,'Detailed Assumptions'!$L$59:$R$79,'Detailed Assumptions'!$T$59:$Z$79,'Detailed Assumptions'!$AB$59:$AH$79),$C454,2,$C$506))</f>
        <v>-544.49622433172328</v>
      </c>
      <c r="AQ454" s="527" cm="1">
        <f t="array" ref="AQ454">AQ415*(INDEX(('Detailed Assumptions'!$D$59:$J$79,'Detailed Assumptions'!$L$59:$R$79,'Detailed Assumptions'!$T$59:$Z$79,'Detailed Assumptions'!$AB$59:$AH$79),$C454,2,$C$506))</f>
        <v>-544.49622433172328</v>
      </c>
      <c r="AR454" s="527" cm="1">
        <f t="array" ref="AR454">AR415*(INDEX(('Detailed Assumptions'!$D$59:$J$79,'Detailed Assumptions'!$L$59:$R$79,'Detailed Assumptions'!$T$59:$Z$79,'Detailed Assumptions'!$AB$59:$AH$79),$C454,2,$C$506))</f>
        <v>-544.49622433172328</v>
      </c>
      <c r="AS454" s="527" cm="1">
        <f t="array" ref="AS454">AS415*(INDEX(('Detailed Assumptions'!$D$59:$J$79,'Detailed Assumptions'!$L$59:$R$79,'Detailed Assumptions'!$T$59:$Z$79,'Detailed Assumptions'!$AB$59:$AH$79),$C454,2,$C$506))</f>
        <v>-544.49622433172328</v>
      </c>
      <c r="AT454" s="527" cm="1">
        <f t="array" ref="AT454">AT415*(INDEX(('Detailed Assumptions'!$D$59:$J$79,'Detailed Assumptions'!$L$59:$R$79,'Detailed Assumptions'!$T$59:$Z$79,'Detailed Assumptions'!$AB$59:$AH$79),$C454,2,$C$506))</f>
        <v>-544.49622433172328</v>
      </c>
      <c r="AU454" s="527" cm="1">
        <f t="array" ref="AU454">AU415*(INDEX(('Detailed Assumptions'!$D$59:$J$79,'Detailed Assumptions'!$L$59:$R$79,'Detailed Assumptions'!$T$59:$Z$79,'Detailed Assumptions'!$AB$59:$AH$79),$C454,2,$C$506))</f>
        <v>-544.49622433172328</v>
      </c>
      <c r="AV454" s="527" cm="1">
        <f t="array" ref="AV454">AV415*(INDEX(('Detailed Assumptions'!$D$59:$J$79,'Detailed Assumptions'!$L$59:$R$79,'Detailed Assumptions'!$T$59:$Z$79,'Detailed Assumptions'!$AB$59:$AH$79),$C454,2,$C$506))</f>
        <v>-544.49622433172328</v>
      </c>
      <c r="AW454" s="527" cm="1">
        <f t="array" ref="AW454">AW415*(INDEX(('Detailed Assumptions'!$D$59:$J$79,'Detailed Assumptions'!$L$59:$R$79,'Detailed Assumptions'!$T$59:$Z$79,'Detailed Assumptions'!$AB$59:$AH$79),$C454,2,$C$506))</f>
        <v>-544.49622433172328</v>
      </c>
      <c r="AX454" s="527" cm="1">
        <f t="array" ref="AX454">AX415*(INDEX(('Detailed Assumptions'!$D$59:$J$79,'Detailed Assumptions'!$L$59:$R$79,'Detailed Assumptions'!$T$59:$Z$79,'Detailed Assumptions'!$AB$59:$AH$79),$C454,2,$C$506))</f>
        <v>-544.49622433172328</v>
      </c>
      <c r="AY454" s="527" cm="1">
        <f t="array" ref="AY454">AY415*(INDEX(('Detailed Assumptions'!$D$59:$J$79,'Detailed Assumptions'!$L$59:$R$79,'Detailed Assumptions'!$T$59:$Z$79,'Detailed Assumptions'!$AB$59:$AH$79),$C454,2,$C$506))</f>
        <v>-544.49622433172328</v>
      </c>
      <c r="AZ454" s="527" cm="1">
        <f t="array" ref="AZ454">AZ415*(INDEX(('Detailed Assumptions'!$D$59:$J$79,'Detailed Assumptions'!$L$59:$R$79,'Detailed Assumptions'!$T$59:$Z$79,'Detailed Assumptions'!$AB$59:$AH$79),$C454,2,$C$506))</f>
        <v>-544.49622433172328</v>
      </c>
      <c r="BA454" s="527" cm="1">
        <f t="array" ref="BA454">BA415*(INDEX(('Detailed Assumptions'!$D$59:$J$79,'Detailed Assumptions'!$L$59:$R$79,'Detailed Assumptions'!$T$59:$Z$79,'Detailed Assumptions'!$AB$59:$AH$79),$C454,2,$C$506))</f>
        <v>-544.49622433172328</v>
      </c>
      <c r="BB454" s="527" cm="1">
        <f t="array" ref="BB454">BB415*(INDEX(('Detailed Assumptions'!$D$59:$J$79,'Detailed Assumptions'!$L$59:$R$79,'Detailed Assumptions'!$T$59:$Z$79,'Detailed Assumptions'!$AB$59:$AH$79),$C454,2,$C$506))</f>
        <v>-563.10687846778148</v>
      </c>
      <c r="BC454" s="527" cm="1">
        <f t="array" ref="BC454">BC415*(INDEX(('Detailed Assumptions'!$D$59:$J$79,'Detailed Assumptions'!$L$59:$R$79,'Detailed Assumptions'!$T$59:$Z$79,'Detailed Assumptions'!$AB$59:$AH$79),$C454,2,$C$506))</f>
        <v>-563.10687846778148</v>
      </c>
      <c r="BD454" s="527" cm="1">
        <f t="array" ref="BD454">BD415*(INDEX(('Detailed Assumptions'!$D$59:$J$79,'Detailed Assumptions'!$L$59:$R$79,'Detailed Assumptions'!$T$59:$Z$79,'Detailed Assumptions'!$AB$59:$AH$79),$C454,2,$C$506))</f>
        <v>-563.10687846778148</v>
      </c>
      <c r="BE454" s="527" cm="1">
        <f t="array" ref="BE454">BE415*(INDEX(('Detailed Assumptions'!$D$59:$J$79,'Detailed Assumptions'!$L$59:$R$79,'Detailed Assumptions'!$T$59:$Z$79,'Detailed Assumptions'!$AB$59:$AH$79),$C454,2,$C$506))</f>
        <v>-563.10687846778148</v>
      </c>
      <c r="BF454" s="527" cm="1">
        <f t="array" ref="BF454">BF415*(INDEX(('Detailed Assumptions'!$D$59:$J$79,'Detailed Assumptions'!$L$59:$R$79,'Detailed Assumptions'!$T$59:$Z$79,'Detailed Assumptions'!$AB$59:$AH$79),$C454,2,$C$506))</f>
        <v>-563.10687846778148</v>
      </c>
      <c r="BG454" s="527" cm="1">
        <f t="array" ref="BG454">BG415*(INDEX(('Detailed Assumptions'!$D$59:$J$79,'Detailed Assumptions'!$L$59:$R$79,'Detailed Assumptions'!$T$59:$Z$79,'Detailed Assumptions'!$AB$59:$AH$79),$C454,2,$C$506))</f>
        <v>-563.10687846778148</v>
      </c>
      <c r="BH454" s="527" cm="1">
        <f t="array" ref="BH454">BH415*(INDEX(('Detailed Assumptions'!$D$59:$J$79,'Detailed Assumptions'!$L$59:$R$79,'Detailed Assumptions'!$T$59:$Z$79,'Detailed Assumptions'!$AB$59:$AH$79),$C454,2,$C$506))</f>
        <v>-660.27130336175276</v>
      </c>
      <c r="BI454" s="527" cm="1">
        <f t="array" ref="BI454">BI415*(INDEX(('Detailed Assumptions'!$D$59:$J$79,'Detailed Assumptions'!$L$59:$R$79,'Detailed Assumptions'!$T$59:$Z$79,'Detailed Assumptions'!$AB$59:$AH$79),$C454,2,$C$506))</f>
        <v>-660.27130336175276</v>
      </c>
      <c r="BJ454" s="527" cm="1">
        <f t="array" ref="BJ454">BJ415*(INDEX(('Detailed Assumptions'!$D$59:$J$79,'Detailed Assumptions'!$L$59:$R$79,'Detailed Assumptions'!$T$59:$Z$79,'Detailed Assumptions'!$AB$59:$AH$79),$C454,2,$C$506))</f>
        <v>-660.27130336175276</v>
      </c>
      <c r="BK454" s="527" cm="1">
        <f t="array" ref="BK454">BK415*(INDEX(('Detailed Assumptions'!$D$59:$J$79,'Detailed Assumptions'!$L$59:$R$79,'Detailed Assumptions'!$T$59:$Z$79,'Detailed Assumptions'!$AB$59:$AH$79),$C454,2,$C$506))</f>
        <v>-660.27130336175276</v>
      </c>
      <c r="BL454" s="527" cm="1">
        <f t="array" ref="BL454">BL415*(INDEX(('Detailed Assumptions'!$D$59:$J$79,'Detailed Assumptions'!$L$59:$R$79,'Detailed Assumptions'!$T$59:$Z$79,'Detailed Assumptions'!$AB$59:$AH$79),$C454,2,$C$506))</f>
        <v>-660.27130336175276</v>
      </c>
      <c r="BM454" s="527" cm="1">
        <f t="array" ref="BM454">BM415*(INDEX(('Detailed Assumptions'!$D$59:$J$79,'Detailed Assumptions'!$L$59:$R$79,'Detailed Assumptions'!$T$59:$Z$79,'Detailed Assumptions'!$AB$59:$AH$79),$C454,2,$C$506))</f>
        <v>-660.27130336175276</v>
      </c>
      <c r="BN454" s="527" cm="1">
        <f t="array" ref="BN454">BN415*(INDEX(('Detailed Assumptions'!$D$59:$J$79,'Detailed Assumptions'!$L$59:$R$79,'Detailed Assumptions'!$T$59:$Z$79,'Detailed Assumptions'!$AB$59:$AH$79),$C454,2,$C$506))</f>
        <v>-660.27130336175298</v>
      </c>
      <c r="BO454" s="527" cm="1">
        <f t="array" ref="BO454">BO415*(INDEX(('Detailed Assumptions'!$D$59:$J$79,'Detailed Assumptions'!$L$59:$R$79,'Detailed Assumptions'!$T$59:$Z$79,'Detailed Assumptions'!$AB$59:$AH$79),$C454,2,$C$506))</f>
        <v>-660.27130336175298</v>
      </c>
      <c r="BP454" s="527" cm="1">
        <f t="array" ref="BP454">BP415*(INDEX(('Detailed Assumptions'!$D$59:$J$79,'Detailed Assumptions'!$L$59:$R$79,'Detailed Assumptions'!$T$59:$Z$79,'Detailed Assumptions'!$AB$59:$AH$79),$C454,2,$C$506))</f>
        <v>-660.27130336175298</v>
      </c>
      <c r="BQ454" s="527" cm="1">
        <f t="array" ref="BQ454">BQ415*(INDEX(('Detailed Assumptions'!$D$59:$J$79,'Detailed Assumptions'!$L$59:$R$79,'Detailed Assumptions'!$T$59:$Z$79,'Detailed Assumptions'!$AB$59:$AH$79),$C454,2,$C$506))</f>
        <v>-660.27130336175298</v>
      </c>
      <c r="BR454" s="527" cm="1">
        <f t="array" ref="BR454">BR415*(INDEX(('Detailed Assumptions'!$D$59:$J$79,'Detailed Assumptions'!$L$59:$R$79,'Detailed Assumptions'!$T$59:$Z$79,'Detailed Assumptions'!$AB$59:$AH$79),$C454,2,$C$506))</f>
        <v>-660.27130336175298</v>
      </c>
      <c r="BS454" s="527" cm="1">
        <f t="array" ref="BS454">BS415*(INDEX(('Detailed Assumptions'!$D$59:$J$79,'Detailed Assumptions'!$L$59:$R$79,'Detailed Assumptions'!$T$59:$Z$79,'Detailed Assumptions'!$AB$59:$AH$79),$C454,2,$C$506))</f>
        <v>-660.27130336175298</v>
      </c>
      <c r="BT454" s="527" cm="1">
        <f t="array" ref="BT454">BT415*(INDEX(('Detailed Assumptions'!$D$59:$J$79,'Detailed Assumptions'!$L$59:$R$79,'Detailed Assumptions'!$T$59:$Z$79,'Detailed Assumptions'!$AB$59:$AH$79),$C454,2,$C$506))</f>
        <v>-686.68215549622312</v>
      </c>
      <c r="BU454" s="527" cm="1">
        <f t="array" ref="BU454">BU415*(INDEX(('Detailed Assumptions'!$D$59:$J$79,'Detailed Assumptions'!$L$59:$R$79,'Detailed Assumptions'!$T$59:$Z$79,'Detailed Assumptions'!$AB$59:$AH$79),$C454,2,$C$506))</f>
        <v>-686.68215549622312</v>
      </c>
      <c r="BV454" s="527" cm="1">
        <f t="array" ref="BV454">BV415*(INDEX(('Detailed Assumptions'!$D$59:$J$79,'Detailed Assumptions'!$L$59:$R$79,'Detailed Assumptions'!$T$59:$Z$79,'Detailed Assumptions'!$AB$59:$AH$79),$C454,2,$C$506))</f>
        <v>-686.68215549622312</v>
      </c>
      <c r="BW454" s="527" cm="1">
        <f t="array" ref="BW454">BW415*(INDEX(('Detailed Assumptions'!$D$59:$J$79,'Detailed Assumptions'!$L$59:$R$79,'Detailed Assumptions'!$T$59:$Z$79,'Detailed Assumptions'!$AB$59:$AH$79),$C454,2,$C$506))</f>
        <v>-686.68215549622312</v>
      </c>
      <c r="BX454" s="527" cm="1">
        <f t="array" ref="BX454">BX415*(INDEX(('Detailed Assumptions'!$D$59:$J$79,'Detailed Assumptions'!$L$59:$R$79,'Detailed Assumptions'!$T$59:$Z$79,'Detailed Assumptions'!$AB$59:$AH$79),$C454,2,$C$506))</f>
        <v>-686.68215549622312</v>
      </c>
      <c r="BY454" s="527" cm="1">
        <f t="array" ref="BY454">BY415*(INDEX(('Detailed Assumptions'!$D$59:$J$79,'Detailed Assumptions'!$L$59:$R$79,'Detailed Assumptions'!$T$59:$Z$79,'Detailed Assumptions'!$AB$59:$AH$79),$C454,2,$C$506))</f>
        <v>-686.68215549622312</v>
      </c>
    </row>
    <row r="455" spans="1:77" x14ac:dyDescent="0.3">
      <c r="A455" s="648"/>
      <c r="B455" s="648" t="s">
        <v>53</v>
      </c>
      <c r="C455" s="648">
        <f t="shared" si="638"/>
        <v>20</v>
      </c>
      <c r="D455" s="647"/>
      <c r="E455" s="649" t="str">
        <f>"Bad debts: "&amp;E$159</f>
        <v>Bad debts: FY31 Tranche</v>
      </c>
      <c r="F455" s="525"/>
      <c r="G455" s="525"/>
      <c r="H455" s="525"/>
      <c r="I455" s="525"/>
      <c r="J455" s="525"/>
      <c r="K455" s="525"/>
      <c r="L455" s="525"/>
      <c r="M455" s="525"/>
      <c r="N455" s="525"/>
      <c r="O455" s="525"/>
      <c r="P455" s="565"/>
      <c r="Q455" s="525"/>
      <c r="R455" s="527" cm="1">
        <f t="array" ref="R455">R416*(INDEX(('Detailed Assumptions'!$D$59:$J$79,'Detailed Assumptions'!$L$59:$R$79,'Detailed Assumptions'!$T$59:$Z$79,'Detailed Assumptions'!$AB$59:$AH$79),$C455,2,$C$506))</f>
        <v>-504.82345245421754</v>
      </c>
      <c r="S455" s="527" cm="1">
        <f t="array" ref="S455">S416*(INDEX(('Detailed Assumptions'!$D$59:$J$79,'Detailed Assumptions'!$L$59:$R$79,'Detailed Assumptions'!$T$59:$Z$79,'Detailed Assumptions'!$AB$59:$AH$79),$C455,2,$C$506))</f>
        <v>-504.82345245421754</v>
      </c>
      <c r="T455" s="527" cm="1">
        <f t="array" ref="T455">T416*(INDEX(('Detailed Assumptions'!$D$59:$J$79,'Detailed Assumptions'!$L$59:$R$79,'Detailed Assumptions'!$T$59:$Z$79,'Detailed Assumptions'!$AB$59:$AH$79),$C455,2,$C$506))</f>
        <v>-504.82345245421754</v>
      </c>
      <c r="U455" s="527" cm="1">
        <f t="array" ref="U455">U416*(INDEX(('Detailed Assumptions'!$D$59:$J$79,'Detailed Assumptions'!$L$59:$R$79,'Detailed Assumptions'!$T$59:$Z$79,'Detailed Assumptions'!$AB$59:$AH$79),$C455,2,$C$506))</f>
        <v>-504.82345245421754</v>
      </c>
      <c r="V455" s="527" cm="1">
        <f t="array" ref="V455">V416*(INDEX(('Detailed Assumptions'!$D$59:$J$79,'Detailed Assumptions'!$L$59:$R$79,'Detailed Assumptions'!$T$59:$Z$79,'Detailed Assumptions'!$AB$59:$AH$79),$C455,2,$C$506))</f>
        <v>-504.82345245421754</v>
      </c>
      <c r="W455" s="527" cm="1">
        <f t="array" ref="W455">W416*(INDEX(('Detailed Assumptions'!$D$59:$J$79,'Detailed Assumptions'!$L$59:$R$79,'Detailed Assumptions'!$T$59:$Z$79,'Detailed Assumptions'!$AB$59:$AH$79),$C455,2,$C$506))</f>
        <v>-504.82345245421754</v>
      </c>
      <c r="X455" s="527" cm="1">
        <f t="array" ref="X455">X416*(INDEX(('Detailed Assumptions'!$D$59:$J$79,'Detailed Assumptions'!$L$59:$R$79,'Detailed Assumptions'!$T$59:$Z$79,'Detailed Assumptions'!$AB$59:$AH$79),$C455,2,$C$506))</f>
        <v>-504.82345245421754</v>
      </c>
      <c r="Y455" s="527" cm="1">
        <f t="array" ref="Y455">Y416*(INDEX(('Detailed Assumptions'!$D$59:$J$79,'Detailed Assumptions'!$L$59:$R$79,'Detailed Assumptions'!$T$59:$Z$79,'Detailed Assumptions'!$AB$59:$AH$79),$C455,2,$C$506))</f>
        <v>-504.82345245421754</v>
      </c>
      <c r="Z455" s="527" cm="1">
        <f t="array" ref="Z455">Z416*(INDEX(('Detailed Assumptions'!$D$59:$J$79,'Detailed Assumptions'!$L$59:$R$79,'Detailed Assumptions'!$T$59:$Z$79,'Detailed Assumptions'!$AB$59:$AH$79),$C455,2,$C$506))</f>
        <v>-504.82345245421754</v>
      </c>
      <c r="AA455" s="527" cm="1">
        <f t="array" ref="AA455">AA416*(INDEX(('Detailed Assumptions'!$D$59:$J$79,'Detailed Assumptions'!$L$59:$R$79,'Detailed Assumptions'!$T$59:$Z$79,'Detailed Assumptions'!$AB$59:$AH$79),$C455,2,$C$506))</f>
        <v>-504.82345245421754</v>
      </c>
      <c r="AB455" s="527" cm="1">
        <f t="array" ref="AB455">AB416*(INDEX(('Detailed Assumptions'!$D$59:$J$79,'Detailed Assumptions'!$L$59:$R$79,'Detailed Assumptions'!$T$59:$Z$79,'Detailed Assumptions'!$AB$59:$AH$79),$C455,2,$C$506))</f>
        <v>-504.82345245421754</v>
      </c>
      <c r="AC455" s="527" cm="1">
        <f t="array" ref="AC455">AC416*(INDEX(('Detailed Assumptions'!$D$59:$J$79,'Detailed Assumptions'!$L$59:$R$79,'Detailed Assumptions'!$T$59:$Z$79,'Detailed Assumptions'!$AB$59:$AH$79),$C455,2,$C$506))</f>
        <v>-504.82345245421754</v>
      </c>
      <c r="AD455" s="527" cm="1">
        <f t="array" ref="AD455">AD416*(INDEX(('Detailed Assumptions'!$D$59:$J$79,'Detailed Assumptions'!$L$59:$R$79,'Detailed Assumptions'!$T$59:$Z$79,'Detailed Assumptions'!$AB$59:$AH$79),$C455,2,$C$506))</f>
        <v>-524.76104571466817</v>
      </c>
      <c r="AE455" s="527" cm="1">
        <f t="array" ref="AE455">AE416*(INDEX(('Detailed Assumptions'!$D$59:$J$79,'Detailed Assumptions'!$L$59:$R$79,'Detailed Assumptions'!$T$59:$Z$79,'Detailed Assumptions'!$AB$59:$AH$79),$C455,2,$C$506))</f>
        <v>-524.76104571466817</v>
      </c>
      <c r="AF455" s="527" cm="1">
        <f t="array" ref="AF455">AF416*(INDEX(('Detailed Assumptions'!$D$59:$J$79,'Detailed Assumptions'!$L$59:$R$79,'Detailed Assumptions'!$T$59:$Z$79,'Detailed Assumptions'!$AB$59:$AH$79),$C455,2,$C$506))</f>
        <v>-524.76104571466817</v>
      </c>
      <c r="AG455" s="527" cm="1">
        <f t="array" ref="AG455">AG416*(INDEX(('Detailed Assumptions'!$D$59:$J$79,'Detailed Assumptions'!$L$59:$R$79,'Detailed Assumptions'!$T$59:$Z$79,'Detailed Assumptions'!$AB$59:$AH$79),$C455,2,$C$506))</f>
        <v>-524.76104571466817</v>
      </c>
      <c r="AH455" s="527" cm="1">
        <f t="array" ref="AH455">AH416*(INDEX(('Detailed Assumptions'!$D$59:$J$79,'Detailed Assumptions'!$L$59:$R$79,'Detailed Assumptions'!$T$59:$Z$79,'Detailed Assumptions'!$AB$59:$AH$79),$C455,2,$C$506))</f>
        <v>-524.76104571466817</v>
      </c>
      <c r="AI455" s="527" cm="1">
        <f t="array" ref="AI455">AI416*(INDEX(('Detailed Assumptions'!$D$59:$J$79,'Detailed Assumptions'!$L$59:$R$79,'Detailed Assumptions'!$T$59:$Z$79,'Detailed Assumptions'!$AB$59:$AH$79),$C455,2,$C$506))</f>
        <v>-524.76104571466817</v>
      </c>
      <c r="AJ455" s="527" cm="1">
        <f t="array" ref="AJ455">AJ416*(INDEX(('Detailed Assumptions'!$D$59:$J$79,'Detailed Assumptions'!$L$59:$R$79,'Detailed Assumptions'!$T$59:$Z$79,'Detailed Assumptions'!$AB$59:$AH$79),$C455,2,$C$506))</f>
        <v>-524.76104571466817</v>
      </c>
      <c r="AK455" s="527" cm="1">
        <f t="array" ref="AK455">AK416*(INDEX(('Detailed Assumptions'!$D$59:$J$79,'Detailed Assumptions'!$L$59:$R$79,'Detailed Assumptions'!$T$59:$Z$79,'Detailed Assumptions'!$AB$59:$AH$79),$C455,2,$C$506))</f>
        <v>-524.76104571466817</v>
      </c>
      <c r="AL455" s="527" cm="1">
        <f t="array" ref="AL455">AL416*(INDEX(('Detailed Assumptions'!$D$59:$J$79,'Detailed Assumptions'!$L$59:$R$79,'Detailed Assumptions'!$T$59:$Z$79,'Detailed Assumptions'!$AB$59:$AH$79),$C455,2,$C$506))</f>
        <v>-524.76104571466817</v>
      </c>
      <c r="AM455" s="527" cm="1">
        <f t="array" ref="AM455">AM416*(INDEX(('Detailed Assumptions'!$D$59:$J$79,'Detailed Assumptions'!$L$59:$R$79,'Detailed Assumptions'!$T$59:$Z$79,'Detailed Assumptions'!$AB$59:$AH$79),$C455,2,$C$506))</f>
        <v>-524.76104571466817</v>
      </c>
      <c r="AN455" s="527" cm="1">
        <f t="array" ref="AN455">AN416*(INDEX(('Detailed Assumptions'!$D$59:$J$79,'Detailed Assumptions'!$L$59:$R$79,'Detailed Assumptions'!$T$59:$Z$79,'Detailed Assumptions'!$AB$59:$AH$79),$C455,2,$C$506))</f>
        <v>-524.76104571466817</v>
      </c>
      <c r="AO455" s="527" cm="1">
        <f t="array" ref="AO455">AO416*(INDEX(('Detailed Assumptions'!$D$59:$J$79,'Detailed Assumptions'!$L$59:$R$79,'Detailed Assumptions'!$T$59:$Z$79,'Detailed Assumptions'!$AB$59:$AH$79),$C455,2,$C$506))</f>
        <v>-524.76104571466817</v>
      </c>
      <c r="AP455" s="527" cm="1">
        <f t="array" ref="AP455">AP416*(INDEX(('Detailed Assumptions'!$D$59:$J$79,'Detailed Assumptions'!$L$59:$R$79,'Detailed Assumptions'!$T$59:$Z$79,'Detailed Assumptions'!$AB$59:$AH$79),$C455,2,$C$506))</f>
        <v>-544.49622433172328</v>
      </c>
      <c r="AQ455" s="527" cm="1">
        <f t="array" ref="AQ455">AQ416*(INDEX(('Detailed Assumptions'!$D$59:$J$79,'Detailed Assumptions'!$L$59:$R$79,'Detailed Assumptions'!$T$59:$Z$79,'Detailed Assumptions'!$AB$59:$AH$79),$C455,2,$C$506))</f>
        <v>-544.49622433172328</v>
      </c>
      <c r="AR455" s="527" cm="1">
        <f t="array" ref="AR455">AR416*(INDEX(('Detailed Assumptions'!$D$59:$J$79,'Detailed Assumptions'!$L$59:$R$79,'Detailed Assumptions'!$T$59:$Z$79,'Detailed Assumptions'!$AB$59:$AH$79),$C455,2,$C$506))</f>
        <v>-544.49622433172328</v>
      </c>
      <c r="AS455" s="527" cm="1">
        <f t="array" ref="AS455">AS416*(INDEX(('Detailed Assumptions'!$D$59:$J$79,'Detailed Assumptions'!$L$59:$R$79,'Detailed Assumptions'!$T$59:$Z$79,'Detailed Assumptions'!$AB$59:$AH$79),$C455,2,$C$506))</f>
        <v>-544.49622433172328</v>
      </c>
      <c r="AT455" s="527" cm="1">
        <f t="array" ref="AT455">AT416*(INDEX(('Detailed Assumptions'!$D$59:$J$79,'Detailed Assumptions'!$L$59:$R$79,'Detailed Assumptions'!$T$59:$Z$79,'Detailed Assumptions'!$AB$59:$AH$79),$C455,2,$C$506))</f>
        <v>-544.49622433172328</v>
      </c>
      <c r="AU455" s="527" cm="1">
        <f t="array" ref="AU455">AU416*(INDEX(('Detailed Assumptions'!$D$59:$J$79,'Detailed Assumptions'!$L$59:$R$79,'Detailed Assumptions'!$T$59:$Z$79,'Detailed Assumptions'!$AB$59:$AH$79),$C455,2,$C$506))</f>
        <v>-544.49622433172328</v>
      </c>
      <c r="AV455" s="527" cm="1">
        <f t="array" ref="AV455">AV416*(INDEX(('Detailed Assumptions'!$D$59:$J$79,'Detailed Assumptions'!$L$59:$R$79,'Detailed Assumptions'!$T$59:$Z$79,'Detailed Assumptions'!$AB$59:$AH$79),$C455,2,$C$506))</f>
        <v>-544.49622433172328</v>
      </c>
      <c r="AW455" s="527" cm="1">
        <f t="array" ref="AW455">AW416*(INDEX(('Detailed Assumptions'!$D$59:$J$79,'Detailed Assumptions'!$L$59:$R$79,'Detailed Assumptions'!$T$59:$Z$79,'Detailed Assumptions'!$AB$59:$AH$79),$C455,2,$C$506))</f>
        <v>-544.49622433172328</v>
      </c>
      <c r="AX455" s="527" cm="1">
        <f t="array" ref="AX455">AX416*(INDEX(('Detailed Assumptions'!$D$59:$J$79,'Detailed Assumptions'!$L$59:$R$79,'Detailed Assumptions'!$T$59:$Z$79,'Detailed Assumptions'!$AB$59:$AH$79),$C455,2,$C$506))</f>
        <v>-544.49622433172328</v>
      </c>
      <c r="AY455" s="527" cm="1">
        <f t="array" ref="AY455">AY416*(INDEX(('Detailed Assumptions'!$D$59:$J$79,'Detailed Assumptions'!$L$59:$R$79,'Detailed Assumptions'!$T$59:$Z$79,'Detailed Assumptions'!$AB$59:$AH$79),$C455,2,$C$506))</f>
        <v>-544.49622433172328</v>
      </c>
      <c r="AZ455" s="527" cm="1">
        <f t="array" ref="AZ455">AZ416*(INDEX(('Detailed Assumptions'!$D$59:$J$79,'Detailed Assumptions'!$L$59:$R$79,'Detailed Assumptions'!$T$59:$Z$79,'Detailed Assumptions'!$AB$59:$AH$79),$C455,2,$C$506))</f>
        <v>-544.49622433172328</v>
      </c>
      <c r="BA455" s="527" cm="1">
        <f t="array" ref="BA455">BA416*(INDEX(('Detailed Assumptions'!$D$59:$J$79,'Detailed Assumptions'!$L$59:$R$79,'Detailed Assumptions'!$T$59:$Z$79,'Detailed Assumptions'!$AB$59:$AH$79),$C455,2,$C$506))</f>
        <v>-544.49622433172328</v>
      </c>
      <c r="BB455" s="527" cm="1">
        <f t="array" ref="BB455">BB416*(INDEX(('Detailed Assumptions'!$D$59:$J$79,'Detailed Assumptions'!$L$59:$R$79,'Detailed Assumptions'!$T$59:$Z$79,'Detailed Assumptions'!$AB$59:$AH$79),$C455,2,$C$506))</f>
        <v>-563.10687846778148</v>
      </c>
      <c r="BC455" s="527" cm="1">
        <f t="array" ref="BC455">BC416*(INDEX(('Detailed Assumptions'!$D$59:$J$79,'Detailed Assumptions'!$L$59:$R$79,'Detailed Assumptions'!$T$59:$Z$79,'Detailed Assumptions'!$AB$59:$AH$79),$C455,2,$C$506))</f>
        <v>-563.10687846778148</v>
      </c>
      <c r="BD455" s="527" cm="1">
        <f t="array" ref="BD455">BD416*(INDEX(('Detailed Assumptions'!$D$59:$J$79,'Detailed Assumptions'!$L$59:$R$79,'Detailed Assumptions'!$T$59:$Z$79,'Detailed Assumptions'!$AB$59:$AH$79),$C455,2,$C$506))</f>
        <v>-563.10687846778148</v>
      </c>
      <c r="BE455" s="527" cm="1">
        <f t="array" ref="BE455">BE416*(INDEX(('Detailed Assumptions'!$D$59:$J$79,'Detailed Assumptions'!$L$59:$R$79,'Detailed Assumptions'!$T$59:$Z$79,'Detailed Assumptions'!$AB$59:$AH$79),$C455,2,$C$506))</f>
        <v>-563.10687846778148</v>
      </c>
      <c r="BF455" s="527" cm="1">
        <f t="array" ref="BF455">BF416*(INDEX(('Detailed Assumptions'!$D$59:$J$79,'Detailed Assumptions'!$L$59:$R$79,'Detailed Assumptions'!$T$59:$Z$79,'Detailed Assumptions'!$AB$59:$AH$79),$C455,2,$C$506))</f>
        <v>-563.10687846778148</v>
      </c>
      <c r="BG455" s="527" cm="1">
        <f t="array" ref="BG455">BG416*(INDEX(('Detailed Assumptions'!$D$59:$J$79,'Detailed Assumptions'!$L$59:$R$79,'Detailed Assumptions'!$T$59:$Z$79,'Detailed Assumptions'!$AB$59:$AH$79),$C455,2,$C$506))</f>
        <v>-563.10687846778148</v>
      </c>
      <c r="BH455" s="527" cm="1">
        <f t="array" ref="BH455">BH416*(INDEX(('Detailed Assumptions'!$D$59:$J$79,'Detailed Assumptions'!$L$59:$R$79,'Detailed Assumptions'!$T$59:$Z$79,'Detailed Assumptions'!$AB$59:$AH$79),$C455,2,$C$506))</f>
        <v>-563.10687846778148</v>
      </c>
      <c r="BI455" s="527" cm="1">
        <f t="array" ref="BI455">BI416*(INDEX(('Detailed Assumptions'!$D$59:$J$79,'Detailed Assumptions'!$L$59:$R$79,'Detailed Assumptions'!$T$59:$Z$79,'Detailed Assumptions'!$AB$59:$AH$79),$C455,2,$C$506))</f>
        <v>-563.10687846778148</v>
      </c>
      <c r="BJ455" s="527" cm="1">
        <f t="array" ref="BJ455">BJ416*(INDEX(('Detailed Assumptions'!$D$59:$J$79,'Detailed Assumptions'!$L$59:$R$79,'Detailed Assumptions'!$T$59:$Z$79,'Detailed Assumptions'!$AB$59:$AH$79),$C455,2,$C$506))</f>
        <v>-563.10687846778148</v>
      </c>
      <c r="BK455" s="527" cm="1">
        <f t="array" ref="BK455">BK416*(INDEX(('Detailed Assumptions'!$D$59:$J$79,'Detailed Assumptions'!$L$59:$R$79,'Detailed Assumptions'!$T$59:$Z$79,'Detailed Assumptions'!$AB$59:$AH$79),$C455,2,$C$506))</f>
        <v>-563.10687846778148</v>
      </c>
      <c r="BL455" s="527" cm="1">
        <f t="array" ref="BL455">BL416*(INDEX(('Detailed Assumptions'!$D$59:$J$79,'Detailed Assumptions'!$L$59:$R$79,'Detailed Assumptions'!$T$59:$Z$79,'Detailed Assumptions'!$AB$59:$AH$79),$C455,2,$C$506))</f>
        <v>-563.10687846778148</v>
      </c>
      <c r="BM455" s="527" cm="1">
        <f t="array" ref="BM455">BM416*(INDEX(('Detailed Assumptions'!$D$59:$J$79,'Detailed Assumptions'!$L$59:$R$79,'Detailed Assumptions'!$T$59:$Z$79,'Detailed Assumptions'!$AB$59:$AH$79),$C455,2,$C$506))</f>
        <v>-563.10687846778148</v>
      </c>
      <c r="BN455" s="527" cm="1">
        <f t="array" ref="BN455">BN416*(INDEX(('Detailed Assumptions'!$D$59:$J$79,'Detailed Assumptions'!$L$59:$R$79,'Detailed Assumptions'!$T$59:$Z$79,'Detailed Assumptions'!$AB$59:$AH$79),$C455,2,$C$506))</f>
        <v>-581.60286007339641</v>
      </c>
      <c r="BO455" s="527" cm="1">
        <f t="array" ref="BO455">BO416*(INDEX(('Detailed Assumptions'!$D$59:$J$79,'Detailed Assumptions'!$L$59:$R$79,'Detailed Assumptions'!$T$59:$Z$79,'Detailed Assumptions'!$AB$59:$AH$79),$C455,2,$C$506))</f>
        <v>-581.60286007339641</v>
      </c>
      <c r="BP455" s="527" cm="1">
        <f t="array" ref="BP455">BP416*(INDEX(('Detailed Assumptions'!$D$59:$J$79,'Detailed Assumptions'!$L$59:$R$79,'Detailed Assumptions'!$T$59:$Z$79,'Detailed Assumptions'!$AB$59:$AH$79),$C455,2,$C$506))</f>
        <v>-581.60286007339641</v>
      </c>
      <c r="BQ455" s="527" cm="1">
        <f t="array" ref="BQ455">BQ416*(INDEX(('Detailed Assumptions'!$D$59:$J$79,'Detailed Assumptions'!$L$59:$R$79,'Detailed Assumptions'!$T$59:$Z$79,'Detailed Assumptions'!$AB$59:$AH$79),$C455,2,$C$506))</f>
        <v>-581.60286007339641</v>
      </c>
      <c r="BR455" s="527" cm="1">
        <f t="array" ref="BR455">BR416*(INDEX(('Detailed Assumptions'!$D$59:$J$79,'Detailed Assumptions'!$L$59:$R$79,'Detailed Assumptions'!$T$59:$Z$79,'Detailed Assumptions'!$AB$59:$AH$79),$C455,2,$C$506))</f>
        <v>-581.60286007339641</v>
      </c>
      <c r="BS455" s="527" cm="1">
        <f t="array" ref="BS455">BS416*(INDEX(('Detailed Assumptions'!$D$59:$J$79,'Detailed Assumptions'!$L$59:$R$79,'Detailed Assumptions'!$T$59:$Z$79,'Detailed Assumptions'!$AB$59:$AH$79),$C455,2,$C$506))</f>
        <v>-581.60286007339641</v>
      </c>
      <c r="BT455" s="527" cm="1">
        <f t="array" ref="BT455">BT416*(INDEX(('Detailed Assumptions'!$D$59:$J$79,'Detailed Assumptions'!$L$59:$R$79,'Detailed Assumptions'!$T$59:$Z$79,'Detailed Assumptions'!$AB$59:$AH$79),$C455,2,$C$506))</f>
        <v>-680.66354365319489</v>
      </c>
      <c r="BU455" s="527" cm="1">
        <f t="array" ref="BU455">BU416*(INDEX(('Detailed Assumptions'!$D$59:$J$79,'Detailed Assumptions'!$L$59:$R$79,'Detailed Assumptions'!$T$59:$Z$79,'Detailed Assumptions'!$AB$59:$AH$79),$C455,2,$C$506))</f>
        <v>-680.66354365319489</v>
      </c>
      <c r="BV455" s="527" cm="1">
        <f t="array" ref="BV455">BV416*(INDEX(('Detailed Assumptions'!$D$59:$J$79,'Detailed Assumptions'!$L$59:$R$79,'Detailed Assumptions'!$T$59:$Z$79,'Detailed Assumptions'!$AB$59:$AH$79),$C455,2,$C$506))</f>
        <v>-680.66354365319489</v>
      </c>
      <c r="BW455" s="527" cm="1">
        <f t="array" ref="BW455">BW416*(INDEX(('Detailed Assumptions'!$D$59:$J$79,'Detailed Assumptions'!$L$59:$R$79,'Detailed Assumptions'!$T$59:$Z$79,'Detailed Assumptions'!$AB$59:$AH$79),$C455,2,$C$506))</f>
        <v>-680.66354365319489</v>
      </c>
      <c r="BX455" s="527" cm="1">
        <f t="array" ref="BX455">BX416*(INDEX(('Detailed Assumptions'!$D$59:$J$79,'Detailed Assumptions'!$L$59:$R$79,'Detailed Assumptions'!$T$59:$Z$79,'Detailed Assumptions'!$AB$59:$AH$79),$C455,2,$C$506))</f>
        <v>-680.66354365319489</v>
      </c>
      <c r="BY455" s="527" cm="1">
        <f t="array" ref="BY455">BY416*(INDEX(('Detailed Assumptions'!$D$59:$J$79,'Detailed Assumptions'!$L$59:$R$79,'Detailed Assumptions'!$T$59:$Z$79,'Detailed Assumptions'!$AB$59:$AH$79),$C455,2,$C$506))</f>
        <v>-680.66354365319489</v>
      </c>
    </row>
    <row r="456" spans="1:77" x14ac:dyDescent="0.3">
      <c r="A456" s="648"/>
      <c r="B456" s="648" t="s">
        <v>53</v>
      </c>
      <c r="C456" s="648">
        <f t="shared" si="638"/>
        <v>20</v>
      </c>
      <c r="D456" s="647"/>
      <c r="E456" s="649" t="str">
        <f>"Bad debts: "&amp;E$160</f>
        <v>Bad debts: Uninvested Tranche</v>
      </c>
      <c r="F456" s="525"/>
      <c r="G456" s="525"/>
      <c r="H456" s="525"/>
      <c r="I456" s="525"/>
      <c r="J456" s="525"/>
      <c r="K456" s="525"/>
      <c r="L456" s="525"/>
      <c r="M456" s="525"/>
      <c r="N456" s="525"/>
      <c r="O456" s="525"/>
      <c r="P456" s="565"/>
      <c r="Q456" s="525"/>
      <c r="R456" s="527" cm="1">
        <f t="array" ref="R456">R417*(INDEX(('Detailed Assumptions'!$D$59:$J$79,'Detailed Assumptions'!$L$59:$R$79,'Detailed Assumptions'!$T$59:$Z$79,'Detailed Assumptions'!$AB$59:$AH$79),$C456,2,$C$506))</f>
        <v>-1388.2644942490983</v>
      </c>
      <c r="S456" s="527" cm="1">
        <f t="array" ref="S456">S417*(INDEX(('Detailed Assumptions'!$D$59:$J$79,'Detailed Assumptions'!$L$59:$R$79,'Detailed Assumptions'!$T$59:$Z$79,'Detailed Assumptions'!$AB$59:$AH$79),$C456,2,$C$506))</f>
        <v>-1388.2644942490983</v>
      </c>
      <c r="T456" s="527" cm="1">
        <f t="array" ref="T456">T417*(INDEX(('Detailed Assumptions'!$D$59:$J$79,'Detailed Assumptions'!$L$59:$R$79,'Detailed Assumptions'!$T$59:$Z$79,'Detailed Assumptions'!$AB$59:$AH$79),$C456,2,$C$506))</f>
        <v>-1388.2644942490983</v>
      </c>
      <c r="U456" s="527" cm="1">
        <f t="array" ref="U456">U417*(INDEX(('Detailed Assumptions'!$D$59:$J$79,'Detailed Assumptions'!$L$59:$R$79,'Detailed Assumptions'!$T$59:$Z$79,'Detailed Assumptions'!$AB$59:$AH$79),$C456,2,$C$506))</f>
        <v>-1388.2644942490983</v>
      </c>
      <c r="V456" s="527" cm="1">
        <f t="array" ref="V456">V417*(INDEX(('Detailed Assumptions'!$D$59:$J$79,'Detailed Assumptions'!$L$59:$R$79,'Detailed Assumptions'!$T$59:$Z$79,'Detailed Assumptions'!$AB$59:$AH$79),$C456,2,$C$506))</f>
        <v>-1388.2644942490983</v>
      </c>
      <c r="W456" s="527" cm="1">
        <f t="array" ref="W456">W417*(INDEX(('Detailed Assumptions'!$D$59:$J$79,'Detailed Assumptions'!$L$59:$R$79,'Detailed Assumptions'!$T$59:$Z$79,'Detailed Assumptions'!$AB$59:$AH$79),$C456,2,$C$506))</f>
        <v>-1388.2644942490983</v>
      </c>
      <c r="X456" s="527" cm="1">
        <f t="array" ref="X456">X417*(INDEX(('Detailed Assumptions'!$D$59:$J$79,'Detailed Assumptions'!$L$59:$R$79,'Detailed Assumptions'!$T$59:$Z$79,'Detailed Assumptions'!$AB$59:$AH$79),$C456,2,$C$506))</f>
        <v>-1388.2644942490983</v>
      </c>
      <c r="Y456" s="527" cm="1">
        <f t="array" ref="Y456">Y417*(INDEX(('Detailed Assumptions'!$D$59:$J$79,'Detailed Assumptions'!$L$59:$R$79,'Detailed Assumptions'!$T$59:$Z$79,'Detailed Assumptions'!$AB$59:$AH$79),$C456,2,$C$506))</f>
        <v>-1388.2644942490983</v>
      </c>
      <c r="Z456" s="527" cm="1">
        <f t="array" ref="Z456">Z417*(INDEX(('Detailed Assumptions'!$D$59:$J$79,'Detailed Assumptions'!$L$59:$R$79,'Detailed Assumptions'!$T$59:$Z$79,'Detailed Assumptions'!$AB$59:$AH$79),$C456,2,$C$506))</f>
        <v>-1388.2644942490983</v>
      </c>
      <c r="AA456" s="527" cm="1">
        <f t="array" ref="AA456">AA417*(INDEX(('Detailed Assumptions'!$D$59:$J$79,'Detailed Assumptions'!$L$59:$R$79,'Detailed Assumptions'!$T$59:$Z$79,'Detailed Assumptions'!$AB$59:$AH$79),$C456,2,$C$506))</f>
        <v>-1388.2644942490983</v>
      </c>
      <c r="AB456" s="527" cm="1">
        <f t="array" ref="AB456">AB417*(INDEX(('Detailed Assumptions'!$D$59:$J$79,'Detailed Assumptions'!$L$59:$R$79,'Detailed Assumptions'!$T$59:$Z$79,'Detailed Assumptions'!$AB$59:$AH$79),$C456,2,$C$506))</f>
        <v>-1388.2644942490983</v>
      </c>
      <c r="AC456" s="527" cm="1">
        <f t="array" ref="AC456">AC417*(INDEX(('Detailed Assumptions'!$D$59:$J$79,'Detailed Assumptions'!$L$59:$R$79,'Detailed Assumptions'!$T$59:$Z$79,'Detailed Assumptions'!$AB$59:$AH$79),$C456,2,$C$506))</f>
        <v>-1388.2644942490983</v>
      </c>
      <c r="AD456" s="527" cm="1">
        <f t="array" ref="AD456">AD417*(INDEX(('Detailed Assumptions'!$D$59:$J$79,'Detailed Assumptions'!$L$59:$R$79,'Detailed Assumptions'!$T$59:$Z$79,'Detailed Assumptions'!$AB$59:$AH$79),$C456,2,$C$506))</f>
        <v>-1443.0928757153379</v>
      </c>
      <c r="AE456" s="527" cm="1">
        <f t="array" ref="AE456">AE417*(INDEX(('Detailed Assumptions'!$D$59:$J$79,'Detailed Assumptions'!$L$59:$R$79,'Detailed Assumptions'!$T$59:$Z$79,'Detailed Assumptions'!$AB$59:$AH$79),$C456,2,$C$506))</f>
        <v>-1443.0928757153379</v>
      </c>
      <c r="AF456" s="527" cm="1">
        <f t="array" ref="AF456">AF417*(INDEX(('Detailed Assumptions'!$D$59:$J$79,'Detailed Assumptions'!$L$59:$R$79,'Detailed Assumptions'!$T$59:$Z$79,'Detailed Assumptions'!$AB$59:$AH$79),$C456,2,$C$506))</f>
        <v>-1443.0928757153379</v>
      </c>
      <c r="AG456" s="527" cm="1">
        <f t="array" ref="AG456">AG417*(INDEX(('Detailed Assumptions'!$D$59:$J$79,'Detailed Assumptions'!$L$59:$R$79,'Detailed Assumptions'!$T$59:$Z$79,'Detailed Assumptions'!$AB$59:$AH$79),$C456,2,$C$506))</f>
        <v>-1443.0928757153379</v>
      </c>
      <c r="AH456" s="527" cm="1">
        <f t="array" ref="AH456">AH417*(INDEX(('Detailed Assumptions'!$D$59:$J$79,'Detailed Assumptions'!$L$59:$R$79,'Detailed Assumptions'!$T$59:$Z$79,'Detailed Assumptions'!$AB$59:$AH$79),$C456,2,$C$506))</f>
        <v>-1443.0928757153379</v>
      </c>
      <c r="AI456" s="527" cm="1">
        <f t="array" ref="AI456">AI417*(INDEX(('Detailed Assumptions'!$D$59:$J$79,'Detailed Assumptions'!$L$59:$R$79,'Detailed Assumptions'!$T$59:$Z$79,'Detailed Assumptions'!$AB$59:$AH$79),$C456,2,$C$506))</f>
        <v>-1443.0928757153379</v>
      </c>
      <c r="AJ456" s="527" cm="1">
        <f t="array" ref="AJ456">AJ417*(INDEX(('Detailed Assumptions'!$D$59:$J$79,'Detailed Assumptions'!$L$59:$R$79,'Detailed Assumptions'!$T$59:$Z$79,'Detailed Assumptions'!$AB$59:$AH$79),$C456,2,$C$506))</f>
        <v>-1443.0928757153379</v>
      </c>
      <c r="AK456" s="527" cm="1">
        <f t="array" ref="AK456">AK417*(INDEX(('Detailed Assumptions'!$D$59:$J$79,'Detailed Assumptions'!$L$59:$R$79,'Detailed Assumptions'!$T$59:$Z$79,'Detailed Assumptions'!$AB$59:$AH$79),$C456,2,$C$506))</f>
        <v>-1443.0928757153379</v>
      </c>
      <c r="AL456" s="527" cm="1">
        <f t="array" ref="AL456">AL417*(INDEX(('Detailed Assumptions'!$D$59:$J$79,'Detailed Assumptions'!$L$59:$R$79,'Detailed Assumptions'!$T$59:$Z$79,'Detailed Assumptions'!$AB$59:$AH$79),$C456,2,$C$506))</f>
        <v>-1443.0928757153379</v>
      </c>
      <c r="AM456" s="527" cm="1">
        <f t="array" ref="AM456">AM417*(INDEX(('Detailed Assumptions'!$D$59:$J$79,'Detailed Assumptions'!$L$59:$R$79,'Detailed Assumptions'!$T$59:$Z$79,'Detailed Assumptions'!$AB$59:$AH$79),$C456,2,$C$506))</f>
        <v>-1443.0928757153379</v>
      </c>
      <c r="AN456" s="527" cm="1">
        <f t="array" ref="AN456">AN417*(INDEX(('Detailed Assumptions'!$D$59:$J$79,'Detailed Assumptions'!$L$59:$R$79,'Detailed Assumptions'!$T$59:$Z$79,'Detailed Assumptions'!$AB$59:$AH$79),$C456,2,$C$506))</f>
        <v>-1443.0928757153379</v>
      </c>
      <c r="AO456" s="527" cm="1">
        <f t="array" ref="AO456">AO417*(INDEX(('Detailed Assumptions'!$D$59:$J$79,'Detailed Assumptions'!$L$59:$R$79,'Detailed Assumptions'!$T$59:$Z$79,'Detailed Assumptions'!$AB$59:$AH$79),$C456,2,$C$506))</f>
        <v>-1443.0928757153379</v>
      </c>
      <c r="AP456" s="527" cm="1">
        <f t="array" ref="AP456">AP417*(INDEX(('Detailed Assumptions'!$D$59:$J$79,'Detailed Assumptions'!$L$59:$R$79,'Detailed Assumptions'!$T$59:$Z$79,'Detailed Assumptions'!$AB$59:$AH$79),$C456,2,$C$506))</f>
        <v>-1497.3646169122392</v>
      </c>
      <c r="AQ456" s="527" cm="1">
        <f t="array" ref="AQ456">AQ417*(INDEX(('Detailed Assumptions'!$D$59:$J$79,'Detailed Assumptions'!$L$59:$R$79,'Detailed Assumptions'!$T$59:$Z$79,'Detailed Assumptions'!$AB$59:$AH$79),$C456,2,$C$506))</f>
        <v>-1497.3646169122392</v>
      </c>
      <c r="AR456" s="527" cm="1">
        <f t="array" ref="AR456">AR417*(INDEX(('Detailed Assumptions'!$D$59:$J$79,'Detailed Assumptions'!$L$59:$R$79,'Detailed Assumptions'!$T$59:$Z$79,'Detailed Assumptions'!$AB$59:$AH$79),$C456,2,$C$506))</f>
        <v>-1497.3646169122392</v>
      </c>
      <c r="AS456" s="527" cm="1">
        <f t="array" ref="AS456">AS417*(INDEX(('Detailed Assumptions'!$D$59:$J$79,'Detailed Assumptions'!$L$59:$R$79,'Detailed Assumptions'!$T$59:$Z$79,'Detailed Assumptions'!$AB$59:$AH$79),$C456,2,$C$506))</f>
        <v>-1497.3646169122392</v>
      </c>
      <c r="AT456" s="527" cm="1">
        <f t="array" ref="AT456">AT417*(INDEX(('Detailed Assumptions'!$D$59:$J$79,'Detailed Assumptions'!$L$59:$R$79,'Detailed Assumptions'!$T$59:$Z$79,'Detailed Assumptions'!$AB$59:$AH$79),$C456,2,$C$506))</f>
        <v>-1497.3646169122392</v>
      </c>
      <c r="AU456" s="527" cm="1">
        <f t="array" ref="AU456">AU417*(INDEX(('Detailed Assumptions'!$D$59:$J$79,'Detailed Assumptions'!$L$59:$R$79,'Detailed Assumptions'!$T$59:$Z$79,'Detailed Assumptions'!$AB$59:$AH$79),$C456,2,$C$506))</f>
        <v>-1497.3646169122392</v>
      </c>
      <c r="AV456" s="527" cm="1">
        <f t="array" ref="AV456">AV417*(INDEX(('Detailed Assumptions'!$D$59:$J$79,'Detailed Assumptions'!$L$59:$R$79,'Detailed Assumptions'!$T$59:$Z$79,'Detailed Assumptions'!$AB$59:$AH$79),$C456,2,$C$506))</f>
        <v>-1497.3646169122392</v>
      </c>
      <c r="AW456" s="527" cm="1">
        <f t="array" ref="AW456">AW417*(INDEX(('Detailed Assumptions'!$D$59:$J$79,'Detailed Assumptions'!$L$59:$R$79,'Detailed Assumptions'!$T$59:$Z$79,'Detailed Assumptions'!$AB$59:$AH$79),$C456,2,$C$506))</f>
        <v>-1497.3646169122392</v>
      </c>
      <c r="AX456" s="527" cm="1">
        <f t="array" ref="AX456">AX417*(INDEX(('Detailed Assumptions'!$D$59:$J$79,'Detailed Assumptions'!$L$59:$R$79,'Detailed Assumptions'!$T$59:$Z$79,'Detailed Assumptions'!$AB$59:$AH$79),$C456,2,$C$506))</f>
        <v>-1497.3646169122392</v>
      </c>
      <c r="AY456" s="527" cm="1">
        <f t="array" ref="AY456">AY417*(INDEX(('Detailed Assumptions'!$D$59:$J$79,'Detailed Assumptions'!$L$59:$R$79,'Detailed Assumptions'!$T$59:$Z$79,'Detailed Assumptions'!$AB$59:$AH$79),$C456,2,$C$506))</f>
        <v>-1497.3646169122392</v>
      </c>
      <c r="AZ456" s="527" cm="1">
        <f t="array" ref="AZ456">AZ417*(INDEX(('Detailed Assumptions'!$D$59:$J$79,'Detailed Assumptions'!$L$59:$R$79,'Detailed Assumptions'!$T$59:$Z$79,'Detailed Assumptions'!$AB$59:$AH$79),$C456,2,$C$506))</f>
        <v>-1497.3646169122392</v>
      </c>
      <c r="BA456" s="527" cm="1">
        <f t="array" ref="BA456">BA417*(INDEX(('Detailed Assumptions'!$D$59:$J$79,'Detailed Assumptions'!$L$59:$R$79,'Detailed Assumptions'!$T$59:$Z$79,'Detailed Assumptions'!$AB$59:$AH$79),$C456,2,$C$506))</f>
        <v>-1497.3646169122392</v>
      </c>
      <c r="BB456" s="527" cm="1">
        <f t="array" ref="BB456">BB417*(INDEX(('Detailed Assumptions'!$D$59:$J$79,'Detailed Assumptions'!$L$59:$R$79,'Detailed Assumptions'!$T$59:$Z$79,'Detailed Assumptions'!$AB$59:$AH$79),$C456,2,$C$506))</f>
        <v>-1548.5439157863993</v>
      </c>
      <c r="BC456" s="527" cm="1">
        <f t="array" ref="BC456">BC417*(INDEX(('Detailed Assumptions'!$D$59:$J$79,'Detailed Assumptions'!$L$59:$R$79,'Detailed Assumptions'!$T$59:$Z$79,'Detailed Assumptions'!$AB$59:$AH$79),$C456,2,$C$506))</f>
        <v>-1548.5439157863993</v>
      </c>
      <c r="BD456" s="527" cm="1">
        <f t="array" ref="BD456">BD417*(INDEX(('Detailed Assumptions'!$D$59:$J$79,'Detailed Assumptions'!$L$59:$R$79,'Detailed Assumptions'!$T$59:$Z$79,'Detailed Assumptions'!$AB$59:$AH$79),$C456,2,$C$506))</f>
        <v>-1548.5439157863993</v>
      </c>
      <c r="BE456" s="527" cm="1">
        <f t="array" ref="BE456">BE417*(INDEX(('Detailed Assumptions'!$D$59:$J$79,'Detailed Assumptions'!$L$59:$R$79,'Detailed Assumptions'!$T$59:$Z$79,'Detailed Assumptions'!$AB$59:$AH$79),$C456,2,$C$506))</f>
        <v>-1548.5439157863993</v>
      </c>
      <c r="BF456" s="527" cm="1">
        <f t="array" ref="BF456">BF417*(INDEX(('Detailed Assumptions'!$D$59:$J$79,'Detailed Assumptions'!$L$59:$R$79,'Detailed Assumptions'!$T$59:$Z$79,'Detailed Assumptions'!$AB$59:$AH$79),$C456,2,$C$506))</f>
        <v>-1548.5439157863993</v>
      </c>
      <c r="BG456" s="527" cm="1">
        <f t="array" ref="BG456">BG417*(INDEX(('Detailed Assumptions'!$D$59:$J$79,'Detailed Assumptions'!$L$59:$R$79,'Detailed Assumptions'!$T$59:$Z$79,'Detailed Assumptions'!$AB$59:$AH$79),$C456,2,$C$506))</f>
        <v>-1548.5439157863993</v>
      </c>
      <c r="BH456" s="527" cm="1">
        <f t="array" ref="BH456">BH417*(INDEX(('Detailed Assumptions'!$D$59:$J$79,'Detailed Assumptions'!$L$59:$R$79,'Detailed Assumptions'!$T$59:$Z$79,'Detailed Assumptions'!$AB$59:$AH$79),$C456,2,$C$506))</f>
        <v>-1548.5439157863993</v>
      </c>
      <c r="BI456" s="527" cm="1">
        <f t="array" ref="BI456">BI417*(INDEX(('Detailed Assumptions'!$D$59:$J$79,'Detailed Assumptions'!$L$59:$R$79,'Detailed Assumptions'!$T$59:$Z$79,'Detailed Assumptions'!$AB$59:$AH$79),$C456,2,$C$506))</f>
        <v>-1548.5439157863993</v>
      </c>
      <c r="BJ456" s="527" cm="1">
        <f t="array" ref="BJ456">BJ417*(INDEX(('Detailed Assumptions'!$D$59:$J$79,'Detailed Assumptions'!$L$59:$R$79,'Detailed Assumptions'!$T$59:$Z$79,'Detailed Assumptions'!$AB$59:$AH$79),$C456,2,$C$506))</f>
        <v>-1548.5439157863993</v>
      </c>
      <c r="BK456" s="527" cm="1">
        <f t="array" ref="BK456">BK417*(INDEX(('Detailed Assumptions'!$D$59:$J$79,'Detailed Assumptions'!$L$59:$R$79,'Detailed Assumptions'!$T$59:$Z$79,'Detailed Assumptions'!$AB$59:$AH$79),$C456,2,$C$506))</f>
        <v>-1548.5439157863993</v>
      </c>
      <c r="BL456" s="527" cm="1">
        <f t="array" ref="BL456">BL417*(INDEX(('Detailed Assumptions'!$D$59:$J$79,'Detailed Assumptions'!$L$59:$R$79,'Detailed Assumptions'!$T$59:$Z$79,'Detailed Assumptions'!$AB$59:$AH$79),$C456,2,$C$506))</f>
        <v>-1548.5439157863993</v>
      </c>
      <c r="BM456" s="527" cm="1">
        <f t="array" ref="BM456">BM417*(INDEX(('Detailed Assumptions'!$D$59:$J$79,'Detailed Assumptions'!$L$59:$R$79,'Detailed Assumptions'!$T$59:$Z$79,'Detailed Assumptions'!$AB$59:$AH$79),$C456,2,$C$506))</f>
        <v>-1548.5439157863993</v>
      </c>
      <c r="BN456" s="527" cm="1">
        <f t="array" ref="BN456">BN417*(INDEX(('Detailed Assumptions'!$D$59:$J$79,'Detailed Assumptions'!$L$59:$R$79,'Detailed Assumptions'!$T$59:$Z$79,'Detailed Assumptions'!$AB$59:$AH$79),$C456,2,$C$506))</f>
        <v>-1599.4078652018397</v>
      </c>
      <c r="BO456" s="527" cm="1">
        <f t="array" ref="BO456">BO417*(INDEX(('Detailed Assumptions'!$D$59:$J$79,'Detailed Assumptions'!$L$59:$R$79,'Detailed Assumptions'!$T$59:$Z$79,'Detailed Assumptions'!$AB$59:$AH$79),$C456,2,$C$506))</f>
        <v>-1599.4078652018397</v>
      </c>
      <c r="BP456" s="527" cm="1">
        <f t="array" ref="BP456">BP417*(INDEX(('Detailed Assumptions'!$D$59:$J$79,'Detailed Assumptions'!$L$59:$R$79,'Detailed Assumptions'!$T$59:$Z$79,'Detailed Assumptions'!$AB$59:$AH$79),$C456,2,$C$506))</f>
        <v>-1599.4078652018397</v>
      </c>
      <c r="BQ456" s="527" cm="1">
        <f t="array" ref="BQ456">BQ417*(INDEX(('Detailed Assumptions'!$D$59:$J$79,'Detailed Assumptions'!$L$59:$R$79,'Detailed Assumptions'!$T$59:$Z$79,'Detailed Assumptions'!$AB$59:$AH$79),$C456,2,$C$506))</f>
        <v>-1599.4078652018397</v>
      </c>
      <c r="BR456" s="527" cm="1">
        <f t="array" ref="BR456">BR417*(INDEX(('Detailed Assumptions'!$D$59:$J$79,'Detailed Assumptions'!$L$59:$R$79,'Detailed Assumptions'!$T$59:$Z$79,'Detailed Assumptions'!$AB$59:$AH$79),$C456,2,$C$506))</f>
        <v>-1599.4078652018397</v>
      </c>
      <c r="BS456" s="527" cm="1">
        <f t="array" ref="BS456">BS417*(INDEX(('Detailed Assumptions'!$D$59:$J$79,'Detailed Assumptions'!$L$59:$R$79,'Detailed Assumptions'!$T$59:$Z$79,'Detailed Assumptions'!$AB$59:$AH$79),$C456,2,$C$506))</f>
        <v>-1599.4078652018397</v>
      </c>
      <c r="BT456" s="527" cm="1">
        <f t="array" ref="BT456">BT417*(INDEX(('Detailed Assumptions'!$D$59:$J$79,'Detailed Assumptions'!$L$59:$R$79,'Detailed Assumptions'!$T$59:$Z$79,'Detailed Assumptions'!$AB$59:$AH$79),$C456,2,$C$506))</f>
        <v>-1599.4078652018397</v>
      </c>
      <c r="BU456" s="527" cm="1">
        <f t="array" ref="BU456">BU417*(INDEX(('Detailed Assumptions'!$D$59:$J$79,'Detailed Assumptions'!$L$59:$R$79,'Detailed Assumptions'!$T$59:$Z$79,'Detailed Assumptions'!$AB$59:$AH$79),$C456,2,$C$506))</f>
        <v>-1599.4078652018397</v>
      </c>
      <c r="BV456" s="527" cm="1">
        <f t="array" ref="BV456">BV417*(INDEX(('Detailed Assumptions'!$D$59:$J$79,'Detailed Assumptions'!$L$59:$R$79,'Detailed Assumptions'!$T$59:$Z$79,'Detailed Assumptions'!$AB$59:$AH$79),$C456,2,$C$506))</f>
        <v>-1599.4078652018397</v>
      </c>
      <c r="BW456" s="527" cm="1">
        <f t="array" ref="BW456">BW417*(INDEX(('Detailed Assumptions'!$D$59:$J$79,'Detailed Assumptions'!$L$59:$R$79,'Detailed Assumptions'!$T$59:$Z$79,'Detailed Assumptions'!$AB$59:$AH$79),$C456,2,$C$506))</f>
        <v>-1599.4078652018397</v>
      </c>
      <c r="BX456" s="527" cm="1">
        <f t="array" ref="BX456">BX417*(INDEX(('Detailed Assumptions'!$D$59:$J$79,'Detailed Assumptions'!$L$59:$R$79,'Detailed Assumptions'!$T$59:$Z$79,'Detailed Assumptions'!$AB$59:$AH$79),$C456,2,$C$506))</f>
        <v>-1599.4078652018397</v>
      </c>
      <c r="BY456" s="527" cm="1">
        <f t="array" ref="BY456">BY417*(INDEX(('Detailed Assumptions'!$D$59:$J$79,'Detailed Assumptions'!$L$59:$R$79,'Detailed Assumptions'!$T$59:$Z$79,'Detailed Assumptions'!$AB$59:$AH$79),$C456,2,$C$506))</f>
        <v>-1599.4078652018397</v>
      </c>
    </row>
    <row r="457" spans="1:77" x14ac:dyDescent="0.3">
      <c r="A457" s="551"/>
      <c r="B457" s="647"/>
      <c r="C457" s="647"/>
      <c r="D457" s="647"/>
      <c r="E457" s="572" t="s">
        <v>36</v>
      </c>
      <c r="F457" s="572"/>
      <c r="G457" s="572"/>
      <c r="H457" s="572"/>
      <c r="I457" s="572"/>
      <c r="J457" s="572"/>
      <c r="K457" s="572"/>
      <c r="L457" s="572"/>
      <c r="M457" s="572"/>
      <c r="N457" s="572"/>
      <c r="O457" s="572"/>
      <c r="P457" s="612"/>
      <c r="Q457" s="572"/>
      <c r="R457" s="530">
        <f t="shared" ref="R457:AW457" si="639">SUM(R451:R456)</f>
        <v>-3912.3817565201862</v>
      </c>
      <c r="S457" s="530">
        <f t="shared" si="639"/>
        <v>-3912.3817565201862</v>
      </c>
      <c r="T457" s="530">
        <f t="shared" si="639"/>
        <v>-3912.3817565201862</v>
      </c>
      <c r="U457" s="530">
        <f t="shared" si="639"/>
        <v>-3912.3817565201862</v>
      </c>
      <c r="V457" s="530">
        <f t="shared" si="639"/>
        <v>-3912.3817565201862</v>
      </c>
      <c r="W457" s="530">
        <f t="shared" si="639"/>
        <v>-3912.3817565201862</v>
      </c>
      <c r="X457" s="530">
        <f t="shared" si="639"/>
        <v>-4003.3005482048225</v>
      </c>
      <c r="Y457" s="530">
        <f t="shared" si="639"/>
        <v>-4003.3005482048225</v>
      </c>
      <c r="Z457" s="530">
        <f t="shared" si="639"/>
        <v>-4003.3005482048225</v>
      </c>
      <c r="AA457" s="530">
        <f t="shared" si="639"/>
        <v>-4003.3005482048225</v>
      </c>
      <c r="AB457" s="530">
        <f t="shared" si="639"/>
        <v>-4003.3005482048225</v>
      </c>
      <c r="AC457" s="530">
        <f t="shared" si="639"/>
        <v>-4003.3005482048225</v>
      </c>
      <c r="AD457" s="530">
        <f t="shared" si="639"/>
        <v>-4137.879302712864</v>
      </c>
      <c r="AE457" s="530">
        <f t="shared" si="639"/>
        <v>-4137.879302712864</v>
      </c>
      <c r="AF457" s="530">
        <f t="shared" si="639"/>
        <v>-4137.879302712864</v>
      </c>
      <c r="AG457" s="530">
        <f t="shared" si="639"/>
        <v>-4137.879302712864</v>
      </c>
      <c r="AH457" s="530">
        <f t="shared" si="639"/>
        <v>-4137.879302712864</v>
      </c>
      <c r="AI457" s="530">
        <f t="shared" si="639"/>
        <v>-4137.879302712864</v>
      </c>
      <c r="AJ457" s="530">
        <f t="shared" si="639"/>
        <v>-4254.8143629431179</v>
      </c>
      <c r="AK457" s="530">
        <f t="shared" si="639"/>
        <v>-4254.8143629431179</v>
      </c>
      <c r="AL457" s="530">
        <f t="shared" si="639"/>
        <v>-4254.8143629431179</v>
      </c>
      <c r="AM457" s="530">
        <f t="shared" si="639"/>
        <v>-4254.8143629431179</v>
      </c>
      <c r="AN457" s="530">
        <f t="shared" si="639"/>
        <v>-4254.8143629431179</v>
      </c>
      <c r="AO457" s="530">
        <f t="shared" si="639"/>
        <v>-4254.8143629431179</v>
      </c>
      <c r="AP457" s="530">
        <f t="shared" si="639"/>
        <v>-4368.2916399911855</v>
      </c>
      <c r="AQ457" s="530">
        <f t="shared" si="639"/>
        <v>-4368.2916399911855</v>
      </c>
      <c r="AR457" s="530">
        <f t="shared" si="639"/>
        <v>-4368.2916399911855</v>
      </c>
      <c r="AS457" s="530">
        <f t="shared" si="639"/>
        <v>-4368.2916399911855</v>
      </c>
      <c r="AT457" s="530">
        <f t="shared" si="639"/>
        <v>-4368.2916399911855</v>
      </c>
      <c r="AU457" s="530">
        <f t="shared" si="639"/>
        <v>-4368.2916399911855</v>
      </c>
      <c r="AV457" s="530">
        <f t="shared" si="639"/>
        <v>-4512.9851713944608</v>
      </c>
      <c r="AW457" s="530">
        <f t="shared" si="639"/>
        <v>-4512.9851713944608</v>
      </c>
      <c r="AX457" s="530">
        <f t="shared" ref="AX457:BY457" si="640">SUM(AX451:AX456)</f>
        <v>-4512.9851713944608</v>
      </c>
      <c r="AY457" s="530">
        <f t="shared" si="640"/>
        <v>-4512.9851713944608</v>
      </c>
      <c r="AZ457" s="530">
        <f t="shared" si="640"/>
        <v>-4512.9851713944608</v>
      </c>
      <c r="BA457" s="530">
        <f t="shared" si="640"/>
        <v>-4512.9851713944608</v>
      </c>
      <c r="BB457" s="530">
        <f t="shared" si="640"/>
        <v>-4601.3857785407363</v>
      </c>
      <c r="BC457" s="530">
        <f t="shared" si="640"/>
        <v>-4601.3857785407363</v>
      </c>
      <c r="BD457" s="530">
        <f t="shared" si="640"/>
        <v>-4601.3857785407363</v>
      </c>
      <c r="BE457" s="530">
        <f t="shared" si="640"/>
        <v>-4601.3857785407363</v>
      </c>
      <c r="BF457" s="530">
        <f t="shared" si="640"/>
        <v>-4601.3857785407363</v>
      </c>
      <c r="BG457" s="530">
        <f t="shared" si="640"/>
        <v>-4601.3857785407363</v>
      </c>
      <c r="BH457" s="530">
        <f t="shared" si="640"/>
        <v>-4775.6153276674595</v>
      </c>
      <c r="BI457" s="530">
        <f t="shared" si="640"/>
        <v>-4775.6153276674595</v>
      </c>
      <c r="BJ457" s="530">
        <f t="shared" si="640"/>
        <v>-4775.6153276674595</v>
      </c>
      <c r="BK457" s="530">
        <f t="shared" si="640"/>
        <v>-4775.6153276674595</v>
      </c>
      <c r="BL457" s="530">
        <f t="shared" si="640"/>
        <v>-4775.6153276674595</v>
      </c>
      <c r="BM457" s="530">
        <f t="shared" si="640"/>
        <v>-4775.6153276674595</v>
      </c>
      <c r="BN457" s="530">
        <f t="shared" si="640"/>
        <v>-4844.9752586885152</v>
      </c>
      <c r="BO457" s="530">
        <f t="shared" si="640"/>
        <v>-4844.9752586885152</v>
      </c>
      <c r="BP457" s="530">
        <f t="shared" si="640"/>
        <v>-4844.9752586885152</v>
      </c>
      <c r="BQ457" s="530">
        <f t="shared" si="640"/>
        <v>-4844.9752586885152</v>
      </c>
      <c r="BR457" s="530">
        <f t="shared" si="640"/>
        <v>-4844.9752586885152</v>
      </c>
      <c r="BS457" s="530">
        <f t="shared" si="640"/>
        <v>-4844.9752586885152</v>
      </c>
      <c r="BT457" s="530">
        <f t="shared" si="640"/>
        <v>-5050.5945236048447</v>
      </c>
      <c r="BU457" s="530">
        <f t="shared" si="640"/>
        <v>-5050.5945236048447</v>
      </c>
      <c r="BV457" s="530">
        <f t="shared" si="640"/>
        <v>-5050.5945236048447</v>
      </c>
      <c r="BW457" s="530">
        <f t="shared" si="640"/>
        <v>-5050.5945236048447</v>
      </c>
      <c r="BX457" s="530">
        <f t="shared" si="640"/>
        <v>-5050.5945236048447</v>
      </c>
      <c r="BY457" s="530">
        <f t="shared" si="640"/>
        <v>-5050.5945236048447</v>
      </c>
    </row>
    <row r="458" spans="1:77" x14ac:dyDescent="0.3">
      <c r="A458" s="551"/>
      <c r="B458" s="647"/>
      <c r="C458" s="647"/>
      <c r="D458" s="647"/>
      <c r="E458" s="525"/>
      <c r="F458" s="525"/>
      <c r="G458" s="525"/>
      <c r="H458" s="525"/>
      <c r="I458" s="525"/>
      <c r="J458" s="525"/>
      <c r="K458" s="525"/>
      <c r="L458" s="525"/>
      <c r="M458" s="525"/>
      <c r="N458" s="525"/>
      <c r="O458" s="525"/>
      <c r="P458" s="565"/>
      <c r="Q458" s="525"/>
      <c r="R458" s="525"/>
      <c r="S458" s="525"/>
      <c r="T458" s="525"/>
      <c r="U458" s="525"/>
      <c r="V458" s="525"/>
      <c r="W458" s="525"/>
      <c r="X458" s="525"/>
      <c r="Y458" s="525"/>
      <c r="Z458" s="525"/>
      <c r="AA458" s="525"/>
      <c r="AB458" s="525"/>
      <c r="AC458" s="525"/>
      <c r="AD458" s="525"/>
      <c r="AE458" s="525"/>
      <c r="AF458" s="525"/>
      <c r="AG458" s="525"/>
      <c r="AH458" s="525"/>
      <c r="AI458" s="525"/>
      <c r="AJ458" s="525"/>
      <c r="AK458" s="525"/>
      <c r="AL458" s="525"/>
      <c r="AM458" s="525"/>
      <c r="AN458" s="525"/>
      <c r="AO458" s="525"/>
      <c r="AP458" s="525"/>
      <c r="AQ458" s="525"/>
      <c r="AR458" s="525"/>
      <c r="AS458" s="525"/>
      <c r="AT458" s="525"/>
      <c r="AU458" s="525"/>
      <c r="AV458" s="525"/>
      <c r="AW458" s="525"/>
      <c r="AX458" s="525"/>
      <c r="AY458" s="525"/>
      <c r="AZ458" s="525"/>
      <c r="BA458" s="525"/>
      <c r="BB458" s="525"/>
      <c r="BC458" s="525"/>
      <c r="BD458" s="525"/>
      <c r="BE458" s="525"/>
      <c r="BF458" s="525"/>
      <c r="BG458" s="525"/>
      <c r="BH458" s="525"/>
      <c r="BI458" s="525"/>
      <c r="BJ458" s="525"/>
      <c r="BK458" s="525"/>
      <c r="BL458" s="525"/>
      <c r="BM458" s="525"/>
      <c r="BN458" s="525"/>
      <c r="BO458" s="525"/>
      <c r="BP458" s="525"/>
      <c r="BQ458" s="525"/>
      <c r="BR458" s="525"/>
      <c r="BS458" s="525"/>
      <c r="BT458" s="525"/>
      <c r="BU458" s="525"/>
      <c r="BV458" s="525"/>
      <c r="BW458" s="525"/>
      <c r="BX458" s="525"/>
      <c r="BY458" s="525"/>
    </row>
    <row r="459" spans="1:77" x14ac:dyDescent="0.3">
      <c r="A459" s="551"/>
      <c r="B459" s="548"/>
      <c r="C459" s="584" t="s">
        <v>37</v>
      </c>
      <c r="D459" s="525"/>
      <c r="E459" s="538" t="s">
        <v>373</v>
      </c>
      <c r="F459" s="538"/>
      <c r="G459" s="538"/>
      <c r="H459" s="538"/>
      <c r="I459" s="538"/>
      <c r="J459" s="538"/>
      <c r="K459" s="538"/>
      <c r="L459" s="538"/>
      <c r="M459" s="538"/>
      <c r="N459" s="538"/>
      <c r="O459" s="538"/>
      <c r="P459" s="584"/>
      <c r="Q459" s="538"/>
      <c r="R459" s="538"/>
      <c r="S459" s="538"/>
      <c r="T459" s="538"/>
      <c r="U459" s="538"/>
      <c r="V459" s="538"/>
      <c r="W459" s="538"/>
      <c r="X459" s="538"/>
      <c r="Y459" s="538"/>
      <c r="Z459" s="538"/>
      <c r="AA459" s="538"/>
      <c r="AB459" s="538"/>
      <c r="AC459" s="538"/>
      <c r="AD459" s="538"/>
      <c r="AE459" s="538"/>
      <c r="AF459" s="538"/>
      <c r="AG459" s="538"/>
      <c r="AH459" s="538"/>
      <c r="AI459" s="538"/>
      <c r="AJ459" s="538"/>
      <c r="AK459" s="538"/>
      <c r="AL459" s="538"/>
      <c r="AM459" s="538"/>
      <c r="AN459" s="538"/>
      <c r="AO459" s="538"/>
      <c r="AP459" s="538"/>
      <c r="AQ459" s="538"/>
      <c r="AR459" s="538"/>
      <c r="AS459" s="538"/>
      <c r="AT459" s="538"/>
      <c r="AU459" s="538"/>
      <c r="AV459" s="538"/>
      <c r="AW459" s="538"/>
      <c r="AX459" s="538"/>
      <c r="AY459" s="538"/>
      <c r="AZ459" s="538"/>
      <c r="BA459" s="538"/>
      <c r="BB459" s="538"/>
      <c r="BC459" s="538"/>
      <c r="BD459" s="538"/>
      <c r="BE459" s="538"/>
      <c r="BF459" s="538"/>
      <c r="BG459" s="538"/>
      <c r="BH459" s="538"/>
      <c r="BI459" s="538"/>
      <c r="BJ459" s="538"/>
      <c r="BK459" s="538"/>
      <c r="BL459" s="538"/>
      <c r="BM459" s="538"/>
      <c r="BN459" s="538"/>
      <c r="BO459" s="538"/>
      <c r="BP459" s="538"/>
      <c r="BQ459" s="538"/>
      <c r="BR459" s="538"/>
      <c r="BS459" s="538"/>
      <c r="BT459" s="538"/>
      <c r="BU459" s="538"/>
      <c r="BV459" s="538"/>
      <c r="BW459" s="538"/>
      <c r="BX459" s="538"/>
      <c r="BY459" s="538"/>
    </row>
    <row r="460" spans="1:77" x14ac:dyDescent="0.3">
      <c r="A460" s="551"/>
      <c r="B460" s="548"/>
      <c r="C460" s="525"/>
      <c r="D460" s="525"/>
      <c r="E460" s="525"/>
      <c r="F460" s="525"/>
      <c r="G460" s="525"/>
      <c r="H460" s="525"/>
      <c r="I460" s="525"/>
      <c r="J460" s="525"/>
      <c r="K460" s="525"/>
      <c r="L460" s="525"/>
      <c r="M460" s="525"/>
      <c r="N460" s="525"/>
      <c r="O460" s="525"/>
      <c r="P460" s="565"/>
      <c r="Q460" s="525"/>
      <c r="R460" s="525"/>
      <c r="S460" s="525"/>
      <c r="T460" s="525"/>
      <c r="U460" s="525"/>
      <c r="V460" s="525"/>
      <c r="W460" s="525"/>
      <c r="X460" s="525"/>
      <c r="Y460" s="525"/>
      <c r="Z460" s="525"/>
      <c r="AA460" s="525"/>
      <c r="AB460" s="525"/>
      <c r="AC460" s="525"/>
      <c r="AD460" s="525"/>
      <c r="AE460" s="525"/>
      <c r="AF460" s="525"/>
      <c r="AG460" s="525"/>
      <c r="AH460" s="525"/>
      <c r="AI460" s="525"/>
      <c r="AJ460" s="525"/>
      <c r="AK460" s="525"/>
      <c r="AL460" s="525"/>
      <c r="AM460" s="525"/>
      <c r="AN460" s="525"/>
      <c r="AO460" s="525"/>
      <c r="AP460" s="525"/>
      <c r="AQ460" s="525"/>
      <c r="AR460" s="525"/>
      <c r="AS460" s="525"/>
      <c r="AT460" s="525"/>
      <c r="AU460" s="525"/>
      <c r="AV460" s="525"/>
      <c r="AW460" s="525"/>
      <c r="AX460" s="525"/>
      <c r="AY460" s="525"/>
      <c r="AZ460" s="525"/>
      <c r="BA460" s="525"/>
      <c r="BB460" s="525"/>
      <c r="BC460" s="525"/>
      <c r="BD460" s="525"/>
      <c r="BE460" s="525"/>
      <c r="BF460" s="525"/>
      <c r="BG460" s="525"/>
      <c r="BH460" s="525"/>
      <c r="BI460" s="525"/>
      <c r="BJ460" s="525"/>
      <c r="BK460" s="525"/>
      <c r="BL460" s="525"/>
      <c r="BM460" s="525"/>
      <c r="BN460" s="525"/>
      <c r="BO460" s="525"/>
      <c r="BP460" s="525"/>
      <c r="BQ460" s="525"/>
      <c r="BR460" s="525"/>
      <c r="BS460" s="525"/>
      <c r="BT460" s="525"/>
      <c r="BU460" s="525"/>
      <c r="BV460" s="525"/>
      <c r="BW460" s="525"/>
      <c r="BX460" s="525"/>
      <c r="BY460" s="525"/>
    </row>
    <row r="461" spans="1:77" x14ac:dyDescent="0.3">
      <c r="A461" s="551"/>
      <c r="B461" s="548"/>
      <c r="C461" s="525"/>
      <c r="D461" s="525"/>
      <c r="E461" s="614" t="s">
        <v>110</v>
      </c>
      <c r="F461" s="539"/>
      <c r="G461" s="539"/>
      <c r="H461" s="539"/>
      <c r="I461" s="539"/>
      <c r="J461" s="539"/>
      <c r="K461" s="539"/>
      <c r="L461" s="539"/>
      <c r="M461" s="539"/>
      <c r="N461" s="539"/>
      <c r="O461" s="539"/>
      <c r="P461" s="615"/>
      <c r="Q461" s="539"/>
      <c r="R461" s="539"/>
      <c r="S461" s="539"/>
      <c r="T461" s="539"/>
      <c r="U461" s="539"/>
      <c r="V461" s="539"/>
      <c r="W461" s="539"/>
      <c r="X461" s="539"/>
      <c r="Y461" s="539"/>
      <c r="Z461" s="539"/>
      <c r="AA461" s="539"/>
      <c r="AB461" s="539"/>
      <c r="AC461" s="539"/>
      <c r="AD461" s="539"/>
      <c r="AE461" s="539"/>
      <c r="AF461" s="539"/>
      <c r="AG461" s="539"/>
      <c r="AH461" s="539"/>
      <c r="AI461" s="539"/>
      <c r="AJ461" s="539"/>
      <c r="AK461" s="539"/>
      <c r="AL461" s="539"/>
      <c r="AM461" s="539"/>
      <c r="AN461" s="539"/>
      <c r="AO461" s="539"/>
      <c r="AP461" s="539"/>
      <c r="AQ461" s="539"/>
      <c r="AR461" s="539"/>
      <c r="AS461" s="539"/>
      <c r="AT461" s="539"/>
      <c r="AU461" s="539"/>
      <c r="AV461" s="539"/>
      <c r="AW461" s="539"/>
      <c r="AX461" s="539"/>
      <c r="AY461" s="539"/>
      <c r="AZ461" s="539"/>
      <c r="BA461" s="539"/>
      <c r="BB461" s="539"/>
      <c r="BC461" s="539"/>
      <c r="BD461" s="539"/>
      <c r="BE461" s="539"/>
      <c r="BF461" s="539"/>
      <c r="BG461" s="539"/>
      <c r="BH461" s="539"/>
      <c r="BI461" s="539"/>
      <c r="BJ461" s="539"/>
      <c r="BK461" s="539"/>
      <c r="BL461" s="539"/>
      <c r="BM461" s="539"/>
      <c r="BN461" s="539"/>
      <c r="BO461" s="539"/>
      <c r="BP461" s="539"/>
      <c r="BQ461" s="539"/>
      <c r="BR461" s="539"/>
      <c r="BS461" s="539"/>
      <c r="BT461" s="539"/>
      <c r="BU461" s="539"/>
      <c r="BV461" s="539"/>
      <c r="BW461" s="539"/>
      <c r="BX461" s="539"/>
      <c r="BY461" s="539"/>
    </row>
    <row r="462" spans="1:77" x14ac:dyDescent="0.3">
      <c r="A462" s="551"/>
      <c r="B462" s="548"/>
      <c r="C462" s="525"/>
      <c r="D462" s="525"/>
      <c r="E462" s="525"/>
      <c r="F462" s="525"/>
      <c r="G462" s="525"/>
      <c r="H462" s="525"/>
      <c r="I462" s="525"/>
      <c r="J462" s="525"/>
      <c r="K462" s="525"/>
      <c r="L462" s="525"/>
      <c r="M462" s="525"/>
      <c r="N462" s="525"/>
      <c r="O462" s="525"/>
      <c r="P462" s="565"/>
      <c r="Q462" s="525"/>
      <c r="R462" s="525"/>
      <c r="S462" s="525"/>
      <c r="T462" s="525"/>
      <c r="U462" s="525"/>
      <c r="V462" s="525"/>
      <c r="W462" s="525"/>
      <c r="X462" s="525"/>
      <c r="Y462" s="525"/>
      <c r="Z462" s="525"/>
      <c r="AA462" s="525"/>
      <c r="AB462" s="525"/>
      <c r="AC462" s="525"/>
      <c r="AD462" s="525"/>
      <c r="AE462" s="525"/>
      <c r="AF462" s="525"/>
      <c r="AG462" s="525"/>
      <c r="AH462" s="525"/>
      <c r="AI462" s="525"/>
      <c r="AJ462" s="525"/>
      <c r="AK462" s="525"/>
      <c r="AL462" s="525"/>
      <c r="AM462" s="525"/>
      <c r="AN462" s="525"/>
      <c r="AO462" s="525"/>
      <c r="AP462" s="525"/>
      <c r="AQ462" s="525"/>
      <c r="AR462" s="525"/>
      <c r="AS462" s="525"/>
      <c r="AT462" s="525"/>
      <c r="AU462" s="525"/>
      <c r="AV462" s="525"/>
      <c r="AW462" s="525"/>
      <c r="AX462" s="525"/>
      <c r="AY462" s="525"/>
      <c r="AZ462" s="525"/>
      <c r="BA462" s="525"/>
      <c r="BB462" s="525"/>
      <c r="BC462" s="525"/>
      <c r="BD462" s="525"/>
      <c r="BE462" s="525"/>
      <c r="BF462" s="525"/>
      <c r="BG462" s="525"/>
      <c r="BH462" s="525"/>
      <c r="BI462" s="525"/>
      <c r="BJ462" s="525"/>
      <c r="BK462" s="525"/>
      <c r="BL462" s="525"/>
      <c r="BM462" s="525"/>
      <c r="BN462" s="525"/>
      <c r="BO462" s="525"/>
      <c r="BP462" s="525"/>
      <c r="BQ462" s="525"/>
      <c r="BR462" s="525"/>
      <c r="BS462" s="525"/>
      <c r="BT462" s="525"/>
      <c r="BU462" s="525"/>
      <c r="BV462" s="525"/>
      <c r="BW462" s="525"/>
      <c r="BX462" s="525"/>
      <c r="BY462" s="525"/>
    </row>
    <row r="463" spans="1:77" x14ac:dyDescent="0.3">
      <c r="A463" s="551"/>
      <c r="B463" s="548"/>
      <c r="C463" s="525"/>
      <c r="D463" s="525"/>
      <c r="E463" s="650" t="str">
        <f>"Volumes: "&amp;E$155</f>
        <v>Volumes: FY27 Tranche</v>
      </c>
      <c r="F463" s="525"/>
      <c r="G463" s="525"/>
      <c r="H463" s="525"/>
      <c r="I463" s="525"/>
      <c r="J463" s="525"/>
      <c r="K463" s="525"/>
      <c r="L463" s="525"/>
      <c r="M463" s="525"/>
      <c r="N463" s="525"/>
      <c r="O463" s="525"/>
      <c r="P463" s="565"/>
      <c r="Q463" s="525"/>
      <c r="R463" s="527">
        <f t="shared" ref="R463:AW463" si="641">R246/R$509</f>
        <v>40.181855859392719</v>
      </c>
      <c r="S463" s="527">
        <f t="shared" si="641"/>
        <v>40.181855859392719</v>
      </c>
      <c r="T463" s="527">
        <f t="shared" si="641"/>
        <v>40.181855859392719</v>
      </c>
      <c r="U463" s="527">
        <f t="shared" si="641"/>
        <v>40.181855859392719</v>
      </c>
      <c r="V463" s="527">
        <f t="shared" si="641"/>
        <v>40.181855859392719</v>
      </c>
      <c r="W463" s="527">
        <f t="shared" si="641"/>
        <v>40.181855859392719</v>
      </c>
      <c r="X463" s="527">
        <f t="shared" si="641"/>
        <v>48.71227443484252</v>
      </c>
      <c r="Y463" s="527">
        <f t="shared" si="641"/>
        <v>48.71227443484252</v>
      </c>
      <c r="Z463" s="527">
        <f t="shared" si="641"/>
        <v>48.71227443484252</v>
      </c>
      <c r="AA463" s="527">
        <f t="shared" si="641"/>
        <v>48.71227443484252</v>
      </c>
      <c r="AB463" s="527">
        <f t="shared" si="641"/>
        <v>48.71227443484252</v>
      </c>
      <c r="AC463" s="527">
        <f t="shared" si="641"/>
        <v>48.71227443484252</v>
      </c>
      <c r="AD463" s="527">
        <f t="shared" si="641"/>
        <v>46.503175589388803</v>
      </c>
      <c r="AE463" s="527">
        <f t="shared" si="641"/>
        <v>46.503175589388803</v>
      </c>
      <c r="AF463" s="527">
        <f t="shared" si="641"/>
        <v>46.503175589388803</v>
      </c>
      <c r="AG463" s="527">
        <f t="shared" si="641"/>
        <v>46.503175589388803</v>
      </c>
      <c r="AH463" s="527">
        <f t="shared" si="641"/>
        <v>46.503175589388803</v>
      </c>
      <c r="AI463" s="527">
        <f t="shared" si="641"/>
        <v>46.503175589388803</v>
      </c>
      <c r="AJ463" s="527">
        <f t="shared" si="641"/>
        <v>48.625358525417653</v>
      </c>
      <c r="AK463" s="527">
        <f t="shared" si="641"/>
        <v>48.625358525417653</v>
      </c>
      <c r="AL463" s="527">
        <f t="shared" si="641"/>
        <v>48.625358525417653</v>
      </c>
      <c r="AM463" s="527">
        <f t="shared" si="641"/>
        <v>48.625358525417653</v>
      </c>
      <c r="AN463" s="527">
        <f t="shared" si="641"/>
        <v>48.625358525417653</v>
      </c>
      <c r="AO463" s="527">
        <f t="shared" si="641"/>
        <v>48.625358525417653</v>
      </c>
      <c r="AP463" s="527">
        <f t="shared" si="641"/>
        <v>46.545061634447187</v>
      </c>
      <c r="AQ463" s="527">
        <f t="shared" si="641"/>
        <v>46.545061634447187</v>
      </c>
      <c r="AR463" s="527">
        <f t="shared" si="641"/>
        <v>46.545061634447187</v>
      </c>
      <c r="AS463" s="527">
        <f t="shared" si="641"/>
        <v>46.545061634447187</v>
      </c>
      <c r="AT463" s="527">
        <f t="shared" si="641"/>
        <v>46.545061634447187</v>
      </c>
      <c r="AU463" s="527">
        <f t="shared" si="641"/>
        <v>46.545061634447187</v>
      </c>
      <c r="AV463" s="527">
        <f t="shared" si="641"/>
        <v>48.645588545386495</v>
      </c>
      <c r="AW463" s="527">
        <f t="shared" si="641"/>
        <v>48.645588545386495</v>
      </c>
      <c r="AX463" s="527">
        <f t="shared" ref="AX463:BY463" si="642">AX246/AX$509</f>
        <v>48.645588545386495</v>
      </c>
      <c r="AY463" s="527">
        <f t="shared" si="642"/>
        <v>48.645588545386495</v>
      </c>
      <c r="AZ463" s="527">
        <f t="shared" si="642"/>
        <v>48.645588545386495</v>
      </c>
      <c r="BA463" s="527">
        <f t="shared" si="642"/>
        <v>48.645588545386495</v>
      </c>
      <c r="BB463" s="527">
        <f t="shared" si="642"/>
        <v>46.754064158831873</v>
      </c>
      <c r="BC463" s="527">
        <f t="shared" si="642"/>
        <v>46.754064158831873</v>
      </c>
      <c r="BD463" s="527">
        <f t="shared" si="642"/>
        <v>46.754064158831873</v>
      </c>
      <c r="BE463" s="527">
        <f t="shared" si="642"/>
        <v>46.754064158831873</v>
      </c>
      <c r="BF463" s="527">
        <f t="shared" si="642"/>
        <v>46.754064158831873</v>
      </c>
      <c r="BG463" s="527">
        <f t="shared" si="642"/>
        <v>46.754064158831873</v>
      </c>
      <c r="BH463" s="527">
        <f t="shared" si="642"/>
        <v>48.838958576588929</v>
      </c>
      <c r="BI463" s="527">
        <f t="shared" si="642"/>
        <v>48.838958576588929</v>
      </c>
      <c r="BJ463" s="527">
        <f t="shared" si="642"/>
        <v>48.838958576588929</v>
      </c>
      <c r="BK463" s="527">
        <f t="shared" si="642"/>
        <v>48.838958576588929</v>
      </c>
      <c r="BL463" s="527">
        <f t="shared" si="642"/>
        <v>48.838958576588929</v>
      </c>
      <c r="BM463" s="527">
        <f t="shared" si="642"/>
        <v>48.838958576588929</v>
      </c>
      <c r="BN463" s="527">
        <f t="shared" si="642"/>
        <v>47.019283033189588</v>
      </c>
      <c r="BO463" s="527">
        <f t="shared" si="642"/>
        <v>47.019283033189588</v>
      </c>
      <c r="BP463" s="527">
        <f t="shared" si="642"/>
        <v>47.019283033189588</v>
      </c>
      <c r="BQ463" s="527">
        <f t="shared" si="642"/>
        <v>47.019283033189588</v>
      </c>
      <c r="BR463" s="527">
        <f t="shared" si="642"/>
        <v>47.019283033189588</v>
      </c>
      <c r="BS463" s="527">
        <f t="shared" si="642"/>
        <v>47.019283033189588</v>
      </c>
      <c r="BT463" s="527">
        <f t="shared" si="642"/>
        <v>49.089613026860015</v>
      </c>
      <c r="BU463" s="527">
        <f t="shared" si="642"/>
        <v>49.089613026860015</v>
      </c>
      <c r="BV463" s="527">
        <f t="shared" si="642"/>
        <v>49.089613026860015</v>
      </c>
      <c r="BW463" s="527">
        <f t="shared" si="642"/>
        <v>49.089613026860015</v>
      </c>
      <c r="BX463" s="527">
        <f t="shared" si="642"/>
        <v>49.089613026860015</v>
      </c>
      <c r="BY463" s="527">
        <f t="shared" si="642"/>
        <v>49.089613026860015</v>
      </c>
    </row>
    <row r="464" spans="1:77" x14ac:dyDescent="0.3">
      <c r="A464" s="551"/>
      <c r="B464" s="548"/>
      <c r="C464" s="525"/>
      <c r="D464" s="525"/>
      <c r="E464" s="650" t="str">
        <f>"Volumes: "&amp;E$156</f>
        <v>Volumes: FY28 Tranche</v>
      </c>
      <c r="F464" s="525"/>
      <c r="G464" s="525"/>
      <c r="H464" s="525"/>
      <c r="I464" s="525"/>
      <c r="J464" s="525"/>
      <c r="K464" s="525"/>
      <c r="L464" s="525"/>
      <c r="M464" s="525"/>
      <c r="N464" s="525"/>
      <c r="O464" s="525"/>
      <c r="P464" s="565"/>
      <c r="Q464" s="525"/>
      <c r="R464" s="527">
        <f t="shared" ref="R464:AW464" si="643">R247/R$509</f>
        <v>40.181855859392719</v>
      </c>
      <c r="S464" s="527">
        <f t="shared" si="643"/>
        <v>40.181855859392719</v>
      </c>
      <c r="T464" s="527">
        <f t="shared" si="643"/>
        <v>40.181855859392719</v>
      </c>
      <c r="U464" s="527">
        <f t="shared" si="643"/>
        <v>40.181855859392719</v>
      </c>
      <c r="V464" s="527">
        <f t="shared" si="643"/>
        <v>40.181855859392719</v>
      </c>
      <c r="W464" s="527">
        <f t="shared" si="643"/>
        <v>40.181855859392719</v>
      </c>
      <c r="X464" s="527">
        <f t="shared" si="643"/>
        <v>40.181855859392719</v>
      </c>
      <c r="Y464" s="527">
        <f t="shared" si="643"/>
        <v>40.181855859392719</v>
      </c>
      <c r="Z464" s="527">
        <f t="shared" si="643"/>
        <v>40.181855859392719</v>
      </c>
      <c r="AA464" s="527">
        <f t="shared" si="643"/>
        <v>40.181855859392719</v>
      </c>
      <c r="AB464" s="527">
        <f t="shared" si="643"/>
        <v>40.181855859392719</v>
      </c>
      <c r="AC464" s="527">
        <f t="shared" si="643"/>
        <v>40.181855859392719</v>
      </c>
      <c r="AD464" s="527">
        <f t="shared" si="643"/>
        <v>40.181855859392719</v>
      </c>
      <c r="AE464" s="527">
        <f t="shared" si="643"/>
        <v>40.181855859392719</v>
      </c>
      <c r="AF464" s="527">
        <f t="shared" si="643"/>
        <v>40.181855859392719</v>
      </c>
      <c r="AG464" s="527">
        <f t="shared" si="643"/>
        <v>40.181855859392719</v>
      </c>
      <c r="AH464" s="527">
        <f t="shared" si="643"/>
        <v>40.181855859392719</v>
      </c>
      <c r="AI464" s="527">
        <f t="shared" si="643"/>
        <v>40.181855859392719</v>
      </c>
      <c r="AJ464" s="527">
        <f t="shared" si="643"/>
        <v>48.473471503438688</v>
      </c>
      <c r="AK464" s="527">
        <f t="shared" si="643"/>
        <v>48.473471503438688</v>
      </c>
      <c r="AL464" s="527">
        <f t="shared" si="643"/>
        <v>48.473471503438688</v>
      </c>
      <c r="AM464" s="527">
        <f t="shared" si="643"/>
        <v>48.473471503438688</v>
      </c>
      <c r="AN464" s="527">
        <f t="shared" si="643"/>
        <v>48.473471503438688</v>
      </c>
      <c r="AO464" s="527">
        <f t="shared" si="643"/>
        <v>48.473471503438688</v>
      </c>
      <c r="AP464" s="527">
        <f t="shared" si="643"/>
        <v>46.400506753791412</v>
      </c>
      <c r="AQ464" s="527">
        <f t="shared" si="643"/>
        <v>46.400506753791412</v>
      </c>
      <c r="AR464" s="527">
        <f t="shared" si="643"/>
        <v>46.400506753791412</v>
      </c>
      <c r="AS464" s="527">
        <f t="shared" si="643"/>
        <v>46.400506753791412</v>
      </c>
      <c r="AT464" s="527">
        <f t="shared" si="643"/>
        <v>46.400506753791412</v>
      </c>
      <c r="AU464" s="527">
        <f t="shared" si="643"/>
        <v>46.400506753791412</v>
      </c>
      <c r="AV464" s="527">
        <f t="shared" si="643"/>
        <v>48.495251469504495</v>
      </c>
      <c r="AW464" s="527">
        <f t="shared" si="643"/>
        <v>48.495251469504495</v>
      </c>
      <c r="AX464" s="527">
        <f t="shared" ref="AX464:BY464" si="644">AX247/AX$509</f>
        <v>48.495251469504495</v>
      </c>
      <c r="AY464" s="527">
        <f t="shared" si="644"/>
        <v>48.495251469504495</v>
      </c>
      <c r="AZ464" s="527">
        <f t="shared" si="644"/>
        <v>48.495251469504495</v>
      </c>
      <c r="BA464" s="527">
        <f t="shared" si="644"/>
        <v>48.495251469504495</v>
      </c>
      <c r="BB464" s="527">
        <f t="shared" si="644"/>
        <v>46.610585081192255</v>
      </c>
      <c r="BC464" s="527">
        <f t="shared" si="644"/>
        <v>46.610585081192255</v>
      </c>
      <c r="BD464" s="527">
        <f t="shared" si="644"/>
        <v>46.610585081192255</v>
      </c>
      <c r="BE464" s="527">
        <f t="shared" si="644"/>
        <v>46.610585081192255</v>
      </c>
      <c r="BF464" s="527">
        <f t="shared" si="644"/>
        <v>46.610585081192255</v>
      </c>
      <c r="BG464" s="527">
        <f t="shared" si="644"/>
        <v>46.610585081192255</v>
      </c>
      <c r="BH464" s="527">
        <f t="shared" si="644"/>
        <v>48.68974033584373</v>
      </c>
      <c r="BI464" s="527">
        <f t="shared" si="644"/>
        <v>48.68974033584373</v>
      </c>
      <c r="BJ464" s="527">
        <f t="shared" si="644"/>
        <v>48.68974033584373</v>
      </c>
      <c r="BK464" s="527">
        <f t="shared" si="644"/>
        <v>48.68974033584373</v>
      </c>
      <c r="BL464" s="527">
        <f t="shared" si="644"/>
        <v>48.68974033584373</v>
      </c>
      <c r="BM464" s="527">
        <f t="shared" si="644"/>
        <v>48.68974033584373</v>
      </c>
      <c r="BN464" s="527">
        <f t="shared" si="644"/>
        <v>46.876806255770326</v>
      </c>
      <c r="BO464" s="527">
        <f t="shared" si="644"/>
        <v>46.876806255770326</v>
      </c>
      <c r="BP464" s="527">
        <f t="shared" si="644"/>
        <v>46.876806255770326</v>
      </c>
      <c r="BQ464" s="527">
        <f t="shared" si="644"/>
        <v>46.876806255770326</v>
      </c>
      <c r="BR464" s="527">
        <f t="shared" si="644"/>
        <v>46.876806255770326</v>
      </c>
      <c r="BS464" s="527">
        <f t="shared" si="644"/>
        <v>46.876806255770326</v>
      </c>
      <c r="BT464" s="527">
        <f t="shared" si="644"/>
        <v>48.941437178343975</v>
      </c>
      <c r="BU464" s="527">
        <f t="shared" si="644"/>
        <v>48.941437178343975</v>
      </c>
      <c r="BV464" s="527">
        <f t="shared" si="644"/>
        <v>48.941437178343975</v>
      </c>
      <c r="BW464" s="527">
        <f t="shared" si="644"/>
        <v>48.941437178343975</v>
      </c>
      <c r="BX464" s="527">
        <f t="shared" si="644"/>
        <v>48.941437178343975</v>
      </c>
      <c r="BY464" s="527">
        <f t="shared" si="644"/>
        <v>48.941437178343975</v>
      </c>
    </row>
    <row r="465" spans="1:77" x14ac:dyDescent="0.3">
      <c r="A465" s="551"/>
      <c r="B465" s="548"/>
      <c r="C465" s="525"/>
      <c r="D465" s="525"/>
      <c r="E465" s="650" t="str">
        <f>"Volumes: "&amp;E$157</f>
        <v>Volumes: FY29 Tranche</v>
      </c>
      <c r="F465" s="525"/>
      <c r="G465" s="525"/>
      <c r="H465" s="525"/>
      <c r="I465" s="525"/>
      <c r="J465" s="525"/>
      <c r="K465" s="525"/>
      <c r="L465" s="525"/>
      <c r="M465" s="525"/>
      <c r="N465" s="525"/>
      <c r="O465" s="525"/>
      <c r="P465" s="565"/>
      <c r="Q465" s="525"/>
      <c r="R465" s="527">
        <f t="shared" ref="R465:AW465" si="645">R248/R$509</f>
        <v>40.181855859392719</v>
      </c>
      <c r="S465" s="527">
        <f t="shared" si="645"/>
        <v>40.181855859392719</v>
      </c>
      <c r="T465" s="527">
        <f t="shared" si="645"/>
        <v>40.181855859392719</v>
      </c>
      <c r="U465" s="527">
        <f t="shared" si="645"/>
        <v>40.181855859392719</v>
      </c>
      <c r="V465" s="527">
        <f t="shared" si="645"/>
        <v>40.181855859392719</v>
      </c>
      <c r="W465" s="527">
        <f t="shared" si="645"/>
        <v>40.181855859392719</v>
      </c>
      <c r="X465" s="527">
        <f t="shared" si="645"/>
        <v>40.181855859392719</v>
      </c>
      <c r="Y465" s="527">
        <f t="shared" si="645"/>
        <v>40.181855859392719</v>
      </c>
      <c r="Z465" s="527">
        <f t="shared" si="645"/>
        <v>40.181855859392719</v>
      </c>
      <c r="AA465" s="527">
        <f t="shared" si="645"/>
        <v>40.181855859392719</v>
      </c>
      <c r="AB465" s="527">
        <f t="shared" si="645"/>
        <v>40.181855859392719</v>
      </c>
      <c r="AC465" s="527">
        <f t="shared" si="645"/>
        <v>40.181855859392719</v>
      </c>
      <c r="AD465" s="527">
        <f t="shared" si="645"/>
        <v>40.181855859392719</v>
      </c>
      <c r="AE465" s="527">
        <f t="shared" si="645"/>
        <v>40.181855859392719</v>
      </c>
      <c r="AF465" s="527">
        <f t="shared" si="645"/>
        <v>40.181855859392719</v>
      </c>
      <c r="AG465" s="527">
        <f t="shared" si="645"/>
        <v>40.181855859392719</v>
      </c>
      <c r="AH465" s="527">
        <f t="shared" si="645"/>
        <v>40.181855859392719</v>
      </c>
      <c r="AI465" s="527">
        <f t="shared" si="645"/>
        <v>40.181855859392719</v>
      </c>
      <c r="AJ465" s="527">
        <f t="shared" si="645"/>
        <v>40.181855859392719</v>
      </c>
      <c r="AK465" s="527">
        <f t="shared" si="645"/>
        <v>40.181855859392719</v>
      </c>
      <c r="AL465" s="527">
        <f t="shared" si="645"/>
        <v>40.181855859392719</v>
      </c>
      <c r="AM465" s="527">
        <f t="shared" si="645"/>
        <v>40.181855859392719</v>
      </c>
      <c r="AN465" s="527">
        <f t="shared" si="645"/>
        <v>40.181855859392719</v>
      </c>
      <c r="AO465" s="527">
        <f t="shared" si="645"/>
        <v>40.181855859392719</v>
      </c>
      <c r="AP465" s="527">
        <f t="shared" si="645"/>
        <v>40.181855859392726</v>
      </c>
      <c r="AQ465" s="527">
        <f t="shared" si="645"/>
        <v>40.181855859392726</v>
      </c>
      <c r="AR465" s="527">
        <f t="shared" si="645"/>
        <v>40.181855859392726</v>
      </c>
      <c r="AS465" s="527">
        <f t="shared" si="645"/>
        <v>40.181855859392726</v>
      </c>
      <c r="AT465" s="527">
        <f t="shared" si="645"/>
        <v>40.181855859392726</v>
      </c>
      <c r="AU465" s="527">
        <f t="shared" si="645"/>
        <v>40.181855859392726</v>
      </c>
      <c r="AV465" s="527">
        <f t="shared" si="645"/>
        <v>48.250400583979179</v>
      </c>
      <c r="AW465" s="527">
        <f t="shared" si="645"/>
        <v>48.250400583979179</v>
      </c>
      <c r="AX465" s="527">
        <f t="shared" ref="AX465:BY465" si="646">AX248/AX$509</f>
        <v>48.250400583979179</v>
      </c>
      <c r="AY465" s="527">
        <f t="shared" si="646"/>
        <v>48.250400583979179</v>
      </c>
      <c r="AZ465" s="527">
        <f t="shared" si="646"/>
        <v>48.250400583979179</v>
      </c>
      <c r="BA465" s="527">
        <f t="shared" si="646"/>
        <v>48.250400583979179</v>
      </c>
      <c r="BB465" s="527">
        <f t="shared" si="646"/>
        <v>46.37690367553563</v>
      </c>
      <c r="BC465" s="527">
        <f t="shared" si="646"/>
        <v>46.37690367553563</v>
      </c>
      <c r="BD465" s="527">
        <f t="shared" si="646"/>
        <v>46.37690367553563</v>
      </c>
      <c r="BE465" s="527">
        <f t="shared" si="646"/>
        <v>46.37690367553563</v>
      </c>
      <c r="BF465" s="527">
        <f t="shared" si="646"/>
        <v>46.37690367553563</v>
      </c>
      <c r="BG465" s="527">
        <f t="shared" si="646"/>
        <v>46.37690367553563</v>
      </c>
      <c r="BH465" s="527">
        <f t="shared" si="646"/>
        <v>48.446711673960834</v>
      </c>
      <c r="BI465" s="527">
        <f t="shared" si="646"/>
        <v>48.446711673960834</v>
      </c>
      <c r="BJ465" s="527">
        <f t="shared" si="646"/>
        <v>48.446711673960834</v>
      </c>
      <c r="BK465" s="527">
        <f t="shared" si="646"/>
        <v>48.446711673960834</v>
      </c>
      <c r="BL465" s="527">
        <f t="shared" si="646"/>
        <v>48.446711673960834</v>
      </c>
      <c r="BM465" s="527">
        <f t="shared" si="646"/>
        <v>48.446711673960834</v>
      </c>
      <c r="BN465" s="527">
        <f t="shared" si="646"/>
        <v>46.644757275748361</v>
      </c>
      <c r="BO465" s="527">
        <f t="shared" si="646"/>
        <v>46.644757275748361</v>
      </c>
      <c r="BP465" s="527">
        <f t="shared" si="646"/>
        <v>46.644757275748361</v>
      </c>
      <c r="BQ465" s="527">
        <f t="shared" si="646"/>
        <v>46.644757275748361</v>
      </c>
      <c r="BR465" s="527">
        <f t="shared" si="646"/>
        <v>46.644757275748361</v>
      </c>
      <c r="BS465" s="527">
        <f t="shared" si="646"/>
        <v>46.644757275748361</v>
      </c>
      <c r="BT465" s="527">
        <f t="shared" si="646"/>
        <v>48.700106239121148</v>
      </c>
      <c r="BU465" s="527">
        <f t="shared" si="646"/>
        <v>48.700106239121148</v>
      </c>
      <c r="BV465" s="527">
        <f t="shared" si="646"/>
        <v>48.700106239121148</v>
      </c>
      <c r="BW465" s="527">
        <f t="shared" si="646"/>
        <v>48.700106239121148</v>
      </c>
      <c r="BX465" s="527">
        <f t="shared" si="646"/>
        <v>48.700106239121148</v>
      </c>
      <c r="BY465" s="527">
        <f t="shared" si="646"/>
        <v>48.700106239121148</v>
      </c>
    </row>
    <row r="466" spans="1:77" x14ac:dyDescent="0.3">
      <c r="A466" s="551"/>
      <c r="B466" s="548"/>
      <c r="C466" s="525"/>
      <c r="D466" s="525"/>
      <c r="E466" s="650" t="str">
        <f>"Volumes: "&amp;E$158</f>
        <v>Volumes: FY30 Tranche</v>
      </c>
      <c r="F466" s="525"/>
      <c r="G466" s="525"/>
      <c r="H466" s="525"/>
      <c r="I466" s="525"/>
      <c r="J466" s="525"/>
      <c r="K466" s="525"/>
      <c r="L466" s="525"/>
      <c r="M466" s="525"/>
      <c r="N466" s="525"/>
      <c r="O466" s="525"/>
      <c r="P466" s="565"/>
      <c r="Q466" s="525"/>
      <c r="R466" s="527">
        <f t="shared" ref="R466:AW466" si="647">R249/R$509</f>
        <v>40.181855859392719</v>
      </c>
      <c r="S466" s="527">
        <f t="shared" si="647"/>
        <v>40.181855859392719</v>
      </c>
      <c r="T466" s="527">
        <f t="shared" si="647"/>
        <v>40.181855859392719</v>
      </c>
      <c r="U466" s="527">
        <f t="shared" si="647"/>
        <v>40.181855859392719</v>
      </c>
      <c r="V466" s="527">
        <f t="shared" si="647"/>
        <v>40.181855859392719</v>
      </c>
      <c r="W466" s="527">
        <f t="shared" si="647"/>
        <v>40.181855859392719</v>
      </c>
      <c r="X466" s="527">
        <f t="shared" si="647"/>
        <v>40.181855859392719</v>
      </c>
      <c r="Y466" s="527">
        <f t="shared" si="647"/>
        <v>40.181855859392719</v>
      </c>
      <c r="Z466" s="527">
        <f t="shared" si="647"/>
        <v>40.181855859392719</v>
      </c>
      <c r="AA466" s="527">
        <f t="shared" si="647"/>
        <v>40.181855859392719</v>
      </c>
      <c r="AB466" s="527">
        <f t="shared" si="647"/>
        <v>40.181855859392719</v>
      </c>
      <c r="AC466" s="527">
        <f t="shared" si="647"/>
        <v>40.181855859392719</v>
      </c>
      <c r="AD466" s="527">
        <f t="shared" si="647"/>
        <v>40.181855859392719</v>
      </c>
      <c r="AE466" s="527">
        <f t="shared" si="647"/>
        <v>40.181855859392719</v>
      </c>
      <c r="AF466" s="527">
        <f t="shared" si="647"/>
        <v>40.181855859392719</v>
      </c>
      <c r="AG466" s="527">
        <f t="shared" si="647"/>
        <v>40.181855859392719</v>
      </c>
      <c r="AH466" s="527">
        <f t="shared" si="647"/>
        <v>40.181855859392719</v>
      </c>
      <c r="AI466" s="527">
        <f t="shared" si="647"/>
        <v>40.181855859392719</v>
      </c>
      <c r="AJ466" s="527">
        <f t="shared" si="647"/>
        <v>40.181855859392719</v>
      </c>
      <c r="AK466" s="527">
        <f t="shared" si="647"/>
        <v>40.181855859392719</v>
      </c>
      <c r="AL466" s="527">
        <f t="shared" si="647"/>
        <v>40.181855859392719</v>
      </c>
      <c r="AM466" s="527">
        <f t="shared" si="647"/>
        <v>40.181855859392719</v>
      </c>
      <c r="AN466" s="527">
        <f t="shared" si="647"/>
        <v>40.181855859392719</v>
      </c>
      <c r="AO466" s="527">
        <f t="shared" si="647"/>
        <v>40.181855859392719</v>
      </c>
      <c r="AP466" s="527">
        <f t="shared" si="647"/>
        <v>40.181855859392726</v>
      </c>
      <c r="AQ466" s="527">
        <f t="shared" si="647"/>
        <v>40.181855859392726</v>
      </c>
      <c r="AR466" s="527">
        <f t="shared" si="647"/>
        <v>40.181855859392726</v>
      </c>
      <c r="AS466" s="527">
        <f t="shared" si="647"/>
        <v>40.181855859392726</v>
      </c>
      <c r="AT466" s="527">
        <f t="shared" si="647"/>
        <v>40.181855859392726</v>
      </c>
      <c r="AU466" s="527">
        <f t="shared" si="647"/>
        <v>40.181855859392726</v>
      </c>
      <c r="AV466" s="527">
        <f t="shared" si="647"/>
        <v>40.181855859392726</v>
      </c>
      <c r="AW466" s="527">
        <f t="shared" si="647"/>
        <v>40.181855859392726</v>
      </c>
      <c r="AX466" s="527">
        <f t="shared" ref="AX466:BY466" si="648">AX249/AX$509</f>
        <v>40.181855859392726</v>
      </c>
      <c r="AY466" s="527">
        <f t="shared" si="648"/>
        <v>40.181855859392726</v>
      </c>
      <c r="AZ466" s="527">
        <f t="shared" si="648"/>
        <v>40.181855859392726</v>
      </c>
      <c r="BA466" s="527">
        <f t="shared" si="648"/>
        <v>40.181855859392726</v>
      </c>
      <c r="BB466" s="527">
        <f t="shared" si="648"/>
        <v>40.181855859392719</v>
      </c>
      <c r="BC466" s="527">
        <f t="shared" si="648"/>
        <v>40.181855859392719</v>
      </c>
      <c r="BD466" s="527">
        <f t="shared" si="648"/>
        <v>40.181855859392719</v>
      </c>
      <c r="BE466" s="527">
        <f t="shared" si="648"/>
        <v>40.181855859392719</v>
      </c>
      <c r="BF466" s="527">
        <f t="shared" si="648"/>
        <v>40.181855859392719</v>
      </c>
      <c r="BG466" s="527">
        <f t="shared" si="648"/>
        <v>40.181855859392719</v>
      </c>
      <c r="BH466" s="527">
        <f t="shared" si="648"/>
        <v>48.041561549713499</v>
      </c>
      <c r="BI466" s="527">
        <f t="shared" si="648"/>
        <v>48.041561549713499</v>
      </c>
      <c r="BJ466" s="527">
        <f t="shared" si="648"/>
        <v>48.041561549713499</v>
      </c>
      <c r="BK466" s="527">
        <f t="shared" si="648"/>
        <v>48.041561549713499</v>
      </c>
      <c r="BL466" s="527">
        <f t="shared" si="648"/>
        <v>48.041561549713499</v>
      </c>
      <c r="BM466" s="527">
        <f t="shared" si="648"/>
        <v>48.041561549713499</v>
      </c>
      <c r="BN466" s="527">
        <f t="shared" si="648"/>
        <v>46.257911245494277</v>
      </c>
      <c r="BO466" s="527">
        <f t="shared" si="648"/>
        <v>46.257911245494277</v>
      </c>
      <c r="BP466" s="527">
        <f t="shared" si="648"/>
        <v>46.257911245494277</v>
      </c>
      <c r="BQ466" s="527">
        <f t="shared" si="648"/>
        <v>46.257911245494277</v>
      </c>
      <c r="BR466" s="527">
        <f t="shared" si="648"/>
        <v>46.257911245494277</v>
      </c>
      <c r="BS466" s="527">
        <f t="shared" si="648"/>
        <v>46.257911245494277</v>
      </c>
      <c r="BT466" s="527">
        <f t="shared" si="648"/>
        <v>48.297786367656883</v>
      </c>
      <c r="BU466" s="527">
        <f t="shared" si="648"/>
        <v>48.297786367656883</v>
      </c>
      <c r="BV466" s="527">
        <f t="shared" si="648"/>
        <v>48.297786367656883</v>
      </c>
      <c r="BW466" s="527">
        <f t="shared" si="648"/>
        <v>48.297786367656883</v>
      </c>
      <c r="BX466" s="527">
        <f t="shared" si="648"/>
        <v>48.297786367656883</v>
      </c>
      <c r="BY466" s="527">
        <f t="shared" si="648"/>
        <v>48.297786367656883</v>
      </c>
    </row>
    <row r="467" spans="1:77" x14ac:dyDescent="0.3">
      <c r="A467" s="551"/>
      <c r="B467" s="548"/>
      <c r="C467" s="525"/>
      <c r="D467" s="525"/>
      <c r="E467" s="650" t="str">
        <f>"Volumes: "&amp;E$159</f>
        <v>Volumes: FY31 Tranche</v>
      </c>
      <c r="F467" s="525"/>
      <c r="G467" s="525"/>
      <c r="H467" s="525"/>
      <c r="I467" s="525"/>
      <c r="J467" s="525"/>
      <c r="K467" s="525"/>
      <c r="L467" s="525"/>
      <c r="M467" s="525"/>
      <c r="N467" s="525"/>
      <c r="O467" s="525"/>
      <c r="P467" s="565"/>
      <c r="Q467" s="525"/>
      <c r="R467" s="527">
        <f t="shared" ref="R467:AW467" si="649">R250/R$509</f>
        <v>40.181855859392719</v>
      </c>
      <c r="S467" s="527">
        <f t="shared" si="649"/>
        <v>40.181855859392719</v>
      </c>
      <c r="T467" s="527">
        <f t="shared" si="649"/>
        <v>40.181855859392719</v>
      </c>
      <c r="U467" s="527">
        <f t="shared" si="649"/>
        <v>40.181855859392719</v>
      </c>
      <c r="V467" s="527">
        <f t="shared" si="649"/>
        <v>40.181855859392719</v>
      </c>
      <c r="W467" s="527">
        <f t="shared" si="649"/>
        <v>40.181855859392719</v>
      </c>
      <c r="X467" s="527">
        <f t="shared" si="649"/>
        <v>40.181855859392719</v>
      </c>
      <c r="Y467" s="527">
        <f t="shared" si="649"/>
        <v>40.181855859392719</v>
      </c>
      <c r="Z467" s="527">
        <f t="shared" si="649"/>
        <v>40.181855859392719</v>
      </c>
      <c r="AA467" s="527">
        <f t="shared" si="649"/>
        <v>40.181855859392719</v>
      </c>
      <c r="AB467" s="527">
        <f t="shared" si="649"/>
        <v>40.181855859392719</v>
      </c>
      <c r="AC467" s="527">
        <f t="shared" si="649"/>
        <v>40.181855859392719</v>
      </c>
      <c r="AD467" s="527">
        <f t="shared" si="649"/>
        <v>40.181855859392719</v>
      </c>
      <c r="AE467" s="527">
        <f t="shared" si="649"/>
        <v>40.181855859392719</v>
      </c>
      <c r="AF467" s="527">
        <f t="shared" si="649"/>
        <v>40.181855859392719</v>
      </c>
      <c r="AG467" s="527">
        <f t="shared" si="649"/>
        <v>40.181855859392719</v>
      </c>
      <c r="AH467" s="527">
        <f t="shared" si="649"/>
        <v>40.181855859392719</v>
      </c>
      <c r="AI467" s="527">
        <f t="shared" si="649"/>
        <v>40.181855859392719</v>
      </c>
      <c r="AJ467" s="527">
        <f t="shared" si="649"/>
        <v>40.181855859392719</v>
      </c>
      <c r="AK467" s="527">
        <f t="shared" si="649"/>
        <v>40.181855859392719</v>
      </c>
      <c r="AL467" s="527">
        <f t="shared" si="649"/>
        <v>40.181855859392719</v>
      </c>
      <c r="AM467" s="527">
        <f t="shared" si="649"/>
        <v>40.181855859392719</v>
      </c>
      <c r="AN467" s="527">
        <f t="shared" si="649"/>
        <v>40.181855859392719</v>
      </c>
      <c r="AO467" s="527">
        <f t="shared" si="649"/>
        <v>40.181855859392719</v>
      </c>
      <c r="AP467" s="527">
        <f t="shared" si="649"/>
        <v>40.181855859392726</v>
      </c>
      <c r="AQ467" s="527">
        <f t="shared" si="649"/>
        <v>40.181855859392726</v>
      </c>
      <c r="AR467" s="527">
        <f t="shared" si="649"/>
        <v>40.181855859392726</v>
      </c>
      <c r="AS467" s="527">
        <f t="shared" si="649"/>
        <v>40.181855859392726</v>
      </c>
      <c r="AT467" s="527">
        <f t="shared" si="649"/>
        <v>40.181855859392726</v>
      </c>
      <c r="AU467" s="527">
        <f t="shared" si="649"/>
        <v>40.181855859392726</v>
      </c>
      <c r="AV467" s="527">
        <f t="shared" si="649"/>
        <v>40.181855859392726</v>
      </c>
      <c r="AW467" s="527">
        <f t="shared" si="649"/>
        <v>40.181855859392726</v>
      </c>
      <c r="AX467" s="527">
        <f t="shared" ref="AX467:BY467" si="650">AX250/AX$509</f>
        <v>40.181855859392726</v>
      </c>
      <c r="AY467" s="527">
        <f t="shared" si="650"/>
        <v>40.181855859392726</v>
      </c>
      <c r="AZ467" s="527">
        <f t="shared" si="650"/>
        <v>40.181855859392726</v>
      </c>
      <c r="BA467" s="527">
        <f t="shared" si="650"/>
        <v>40.181855859392726</v>
      </c>
      <c r="BB467" s="527">
        <f t="shared" si="650"/>
        <v>40.181855859392719</v>
      </c>
      <c r="BC467" s="527">
        <f t="shared" si="650"/>
        <v>40.181855859392719</v>
      </c>
      <c r="BD467" s="527">
        <f t="shared" si="650"/>
        <v>40.181855859392719</v>
      </c>
      <c r="BE467" s="527">
        <f t="shared" si="650"/>
        <v>40.181855859392719</v>
      </c>
      <c r="BF467" s="527">
        <f t="shared" si="650"/>
        <v>40.181855859392719</v>
      </c>
      <c r="BG467" s="527">
        <f t="shared" si="650"/>
        <v>40.181855859392719</v>
      </c>
      <c r="BH467" s="527">
        <f t="shared" si="650"/>
        <v>40.181855859392719</v>
      </c>
      <c r="BI467" s="527">
        <f t="shared" si="650"/>
        <v>40.181855859392719</v>
      </c>
      <c r="BJ467" s="527">
        <f t="shared" si="650"/>
        <v>40.181855859392719</v>
      </c>
      <c r="BK467" s="527">
        <f t="shared" si="650"/>
        <v>40.181855859392719</v>
      </c>
      <c r="BL467" s="527">
        <f t="shared" si="650"/>
        <v>40.181855859392719</v>
      </c>
      <c r="BM467" s="527">
        <f t="shared" si="650"/>
        <v>40.181855859392719</v>
      </c>
      <c r="BN467" s="527">
        <f t="shared" si="650"/>
        <v>40.181855859392719</v>
      </c>
      <c r="BO467" s="527">
        <f t="shared" si="650"/>
        <v>40.181855859392719</v>
      </c>
      <c r="BP467" s="527">
        <f t="shared" si="650"/>
        <v>40.181855859392719</v>
      </c>
      <c r="BQ467" s="527">
        <f t="shared" si="650"/>
        <v>40.181855859392719</v>
      </c>
      <c r="BR467" s="527">
        <f t="shared" si="650"/>
        <v>40.181855859392719</v>
      </c>
      <c r="BS467" s="527">
        <f t="shared" si="650"/>
        <v>40.181855859392719</v>
      </c>
      <c r="BT467" s="527">
        <f t="shared" si="650"/>
        <v>47.832931371459217</v>
      </c>
      <c r="BU467" s="527">
        <f t="shared" si="650"/>
        <v>47.832931371459217</v>
      </c>
      <c r="BV467" s="527">
        <f t="shared" si="650"/>
        <v>47.832931371459217</v>
      </c>
      <c r="BW467" s="527">
        <f t="shared" si="650"/>
        <v>47.832931371459217</v>
      </c>
      <c r="BX467" s="527">
        <f t="shared" si="650"/>
        <v>47.832931371459217</v>
      </c>
      <c r="BY467" s="527">
        <f t="shared" si="650"/>
        <v>47.832931371459217</v>
      </c>
    </row>
    <row r="468" spans="1:77" x14ac:dyDescent="0.3">
      <c r="A468" s="551"/>
      <c r="B468" s="548"/>
      <c r="C468" s="525"/>
      <c r="D468" s="525"/>
      <c r="E468" s="650" t="str">
        <f>"Volumes: "&amp;E$160</f>
        <v>Volumes: Uninvested Tranche</v>
      </c>
      <c r="F468" s="525"/>
      <c r="G468" s="525"/>
      <c r="H468" s="525"/>
      <c r="I468" s="525"/>
      <c r="J468" s="525"/>
      <c r="K468" s="525"/>
      <c r="L468" s="525"/>
      <c r="M468" s="525"/>
      <c r="N468" s="525"/>
      <c r="O468" s="525"/>
      <c r="P468" s="565"/>
      <c r="Q468" s="525"/>
      <c r="R468" s="527">
        <f t="shared" ref="R468:AW468" si="651">R251/R$509</f>
        <v>110.50010361333</v>
      </c>
      <c r="S468" s="527">
        <f t="shared" si="651"/>
        <v>110.50010361333</v>
      </c>
      <c r="T468" s="527">
        <f t="shared" si="651"/>
        <v>110.50010361333</v>
      </c>
      <c r="U468" s="527">
        <f t="shared" si="651"/>
        <v>110.50010361333</v>
      </c>
      <c r="V468" s="527">
        <f t="shared" si="651"/>
        <v>110.50010361333</v>
      </c>
      <c r="W468" s="527">
        <f t="shared" si="651"/>
        <v>110.50010361333</v>
      </c>
      <c r="X468" s="527">
        <f t="shared" si="651"/>
        <v>110.50010361333</v>
      </c>
      <c r="Y468" s="527">
        <f t="shared" si="651"/>
        <v>110.50010361333</v>
      </c>
      <c r="Z468" s="527">
        <f t="shared" si="651"/>
        <v>110.50010361333</v>
      </c>
      <c r="AA468" s="527">
        <f t="shared" si="651"/>
        <v>110.50010361333</v>
      </c>
      <c r="AB468" s="527">
        <f t="shared" si="651"/>
        <v>110.50010361333</v>
      </c>
      <c r="AC468" s="527">
        <f t="shared" si="651"/>
        <v>110.50010361333</v>
      </c>
      <c r="AD468" s="527">
        <f t="shared" si="651"/>
        <v>110.50010361332998</v>
      </c>
      <c r="AE468" s="527">
        <f t="shared" si="651"/>
        <v>110.50010361332998</v>
      </c>
      <c r="AF468" s="527">
        <f t="shared" si="651"/>
        <v>110.50010361332998</v>
      </c>
      <c r="AG468" s="527">
        <f t="shared" si="651"/>
        <v>110.50010361332998</v>
      </c>
      <c r="AH468" s="527">
        <f t="shared" si="651"/>
        <v>110.50010361332998</v>
      </c>
      <c r="AI468" s="527">
        <f t="shared" si="651"/>
        <v>110.50010361332998</v>
      </c>
      <c r="AJ468" s="527">
        <f t="shared" si="651"/>
        <v>110.50010361332998</v>
      </c>
      <c r="AK468" s="527">
        <f t="shared" si="651"/>
        <v>110.50010361332998</v>
      </c>
      <c r="AL468" s="527">
        <f t="shared" si="651"/>
        <v>110.50010361332998</v>
      </c>
      <c r="AM468" s="527">
        <f t="shared" si="651"/>
        <v>110.50010361332998</v>
      </c>
      <c r="AN468" s="527">
        <f t="shared" si="651"/>
        <v>110.50010361332998</v>
      </c>
      <c r="AO468" s="527">
        <f t="shared" si="651"/>
        <v>110.50010361332998</v>
      </c>
      <c r="AP468" s="527">
        <f t="shared" si="651"/>
        <v>110.50010361333</v>
      </c>
      <c r="AQ468" s="527">
        <f t="shared" si="651"/>
        <v>110.50010361333</v>
      </c>
      <c r="AR468" s="527">
        <f t="shared" si="651"/>
        <v>110.50010361333</v>
      </c>
      <c r="AS468" s="527">
        <f t="shared" si="651"/>
        <v>110.50010361333</v>
      </c>
      <c r="AT468" s="527">
        <f t="shared" si="651"/>
        <v>110.50010361333</v>
      </c>
      <c r="AU468" s="527">
        <f t="shared" si="651"/>
        <v>110.50010361333</v>
      </c>
      <c r="AV468" s="527">
        <f t="shared" si="651"/>
        <v>110.50010361333</v>
      </c>
      <c r="AW468" s="527">
        <f t="shared" si="651"/>
        <v>110.50010361333</v>
      </c>
      <c r="AX468" s="527">
        <f t="shared" ref="AX468:BY468" si="652">AX251/AX$509</f>
        <v>110.50010361333</v>
      </c>
      <c r="AY468" s="527">
        <f t="shared" si="652"/>
        <v>110.50010361333</v>
      </c>
      <c r="AZ468" s="527">
        <f t="shared" si="652"/>
        <v>110.50010361333</v>
      </c>
      <c r="BA468" s="527">
        <f t="shared" si="652"/>
        <v>110.50010361333</v>
      </c>
      <c r="BB468" s="527">
        <f t="shared" si="652"/>
        <v>110.50010361332998</v>
      </c>
      <c r="BC468" s="527">
        <f t="shared" si="652"/>
        <v>110.50010361332998</v>
      </c>
      <c r="BD468" s="527">
        <f t="shared" si="652"/>
        <v>110.50010361332998</v>
      </c>
      <c r="BE468" s="527">
        <f t="shared" si="652"/>
        <v>110.50010361332998</v>
      </c>
      <c r="BF468" s="527">
        <f t="shared" si="652"/>
        <v>110.50010361332998</v>
      </c>
      <c r="BG468" s="527">
        <f t="shared" si="652"/>
        <v>110.50010361332998</v>
      </c>
      <c r="BH468" s="527">
        <f t="shared" si="652"/>
        <v>110.50010361332998</v>
      </c>
      <c r="BI468" s="527">
        <f t="shared" si="652"/>
        <v>110.50010361332998</v>
      </c>
      <c r="BJ468" s="527">
        <f t="shared" si="652"/>
        <v>110.50010361332998</v>
      </c>
      <c r="BK468" s="527">
        <f t="shared" si="652"/>
        <v>110.50010361332998</v>
      </c>
      <c r="BL468" s="527">
        <f t="shared" si="652"/>
        <v>110.50010361332998</v>
      </c>
      <c r="BM468" s="527">
        <f t="shared" si="652"/>
        <v>110.50010361332998</v>
      </c>
      <c r="BN468" s="527">
        <f t="shared" si="652"/>
        <v>110.50010361332997</v>
      </c>
      <c r="BO468" s="527">
        <f t="shared" si="652"/>
        <v>110.50010361332997</v>
      </c>
      <c r="BP468" s="527">
        <f t="shared" si="652"/>
        <v>110.50010361332997</v>
      </c>
      <c r="BQ468" s="527">
        <f t="shared" si="652"/>
        <v>110.50010361332997</v>
      </c>
      <c r="BR468" s="527">
        <f t="shared" si="652"/>
        <v>110.50010361332997</v>
      </c>
      <c r="BS468" s="527">
        <f t="shared" si="652"/>
        <v>110.50010361332997</v>
      </c>
      <c r="BT468" s="527">
        <f t="shared" si="652"/>
        <v>110.50010361332997</v>
      </c>
      <c r="BU468" s="527">
        <f t="shared" si="652"/>
        <v>110.50010361332997</v>
      </c>
      <c r="BV468" s="527">
        <f t="shared" si="652"/>
        <v>110.50010361332997</v>
      </c>
      <c r="BW468" s="527">
        <f t="shared" si="652"/>
        <v>110.50010361332997</v>
      </c>
      <c r="BX468" s="527">
        <f t="shared" si="652"/>
        <v>110.50010361332997</v>
      </c>
      <c r="BY468" s="527">
        <f t="shared" si="652"/>
        <v>110.50010361332997</v>
      </c>
    </row>
    <row r="469" spans="1:77" x14ac:dyDescent="0.3">
      <c r="A469" s="551"/>
      <c r="B469" s="548"/>
      <c r="C469" s="525"/>
      <c r="D469" s="525"/>
      <c r="E469" s="572" t="s">
        <v>36</v>
      </c>
      <c r="F469" s="572"/>
      <c r="G469" s="572"/>
      <c r="H469" s="572"/>
      <c r="I469" s="572"/>
      <c r="J469" s="572"/>
      <c r="K469" s="572"/>
      <c r="L469" s="572"/>
      <c r="M469" s="572"/>
      <c r="N469" s="572"/>
      <c r="O469" s="572"/>
      <c r="P469" s="612"/>
      <c r="Q469" s="572"/>
      <c r="R469" s="530">
        <f t="shared" ref="R469:AW469" si="653">R252/R$509</f>
        <v>311.40938291029363</v>
      </c>
      <c r="S469" s="530">
        <f t="shared" si="653"/>
        <v>311.40938291029363</v>
      </c>
      <c r="T469" s="530">
        <f t="shared" si="653"/>
        <v>311.40938291029363</v>
      </c>
      <c r="U469" s="530">
        <f t="shared" si="653"/>
        <v>311.40938291029363</v>
      </c>
      <c r="V469" s="530">
        <f t="shared" si="653"/>
        <v>311.40938291029363</v>
      </c>
      <c r="W469" s="530">
        <f t="shared" si="653"/>
        <v>311.40938291029363</v>
      </c>
      <c r="X469" s="530">
        <f t="shared" si="653"/>
        <v>319.93980148574337</v>
      </c>
      <c r="Y469" s="530">
        <f t="shared" si="653"/>
        <v>319.93980148574337</v>
      </c>
      <c r="Z469" s="530">
        <f t="shared" si="653"/>
        <v>319.93980148574337</v>
      </c>
      <c r="AA469" s="530">
        <f t="shared" si="653"/>
        <v>319.93980148574337</v>
      </c>
      <c r="AB469" s="530">
        <f t="shared" si="653"/>
        <v>319.93980148574337</v>
      </c>
      <c r="AC469" s="530">
        <f t="shared" si="653"/>
        <v>319.93980148574337</v>
      </c>
      <c r="AD469" s="530">
        <f t="shared" si="653"/>
        <v>317.73070264028968</v>
      </c>
      <c r="AE469" s="530">
        <f t="shared" si="653"/>
        <v>317.73070264028968</v>
      </c>
      <c r="AF469" s="530">
        <f t="shared" si="653"/>
        <v>317.73070264028968</v>
      </c>
      <c r="AG469" s="530">
        <f t="shared" si="653"/>
        <v>317.73070264028968</v>
      </c>
      <c r="AH469" s="530">
        <f t="shared" si="653"/>
        <v>317.73070264028968</v>
      </c>
      <c r="AI469" s="530">
        <f t="shared" si="653"/>
        <v>317.73070264028968</v>
      </c>
      <c r="AJ469" s="530">
        <f t="shared" si="653"/>
        <v>328.14450122036448</v>
      </c>
      <c r="AK469" s="530">
        <f t="shared" si="653"/>
        <v>328.14450122036448</v>
      </c>
      <c r="AL469" s="530">
        <f t="shared" si="653"/>
        <v>328.14450122036448</v>
      </c>
      <c r="AM469" s="530">
        <f t="shared" si="653"/>
        <v>328.14450122036448</v>
      </c>
      <c r="AN469" s="530">
        <f t="shared" si="653"/>
        <v>328.14450122036448</v>
      </c>
      <c r="AO469" s="530">
        <f t="shared" si="653"/>
        <v>328.14450122036448</v>
      </c>
      <c r="AP469" s="530">
        <f t="shared" si="653"/>
        <v>323.99123957974678</v>
      </c>
      <c r="AQ469" s="530">
        <f t="shared" si="653"/>
        <v>323.99123957974678</v>
      </c>
      <c r="AR469" s="530">
        <f t="shared" si="653"/>
        <v>323.99123957974678</v>
      </c>
      <c r="AS469" s="530">
        <f t="shared" si="653"/>
        <v>323.99123957974678</v>
      </c>
      <c r="AT469" s="530">
        <f t="shared" si="653"/>
        <v>323.99123957974678</v>
      </c>
      <c r="AU469" s="530">
        <f t="shared" si="653"/>
        <v>323.99123957974678</v>
      </c>
      <c r="AV469" s="530">
        <f t="shared" si="653"/>
        <v>336.25505593098558</v>
      </c>
      <c r="AW469" s="530">
        <f t="shared" si="653"/>
        <v>336.25505593098558</v>
      </c>
      <c r="AX469" s="530">
        <f t="shared" ref="AX469:BY469" si="654">AX252/AX$509</f>
        <v>336.25505593098558</v>
      </c>
      <c r="AY469" s="530">
        <f t="shared" si="654"/>
        <v>336.25505593098558</v>
      </c>
      <c r="AZ469" s="530">
        <f t="shared" si="654"/>
        <v>336.25505593098558</v>
      </c>
      <c r="BA469" s="530">
        <f t="shared" si="654"/>
        <v>336.25505593098558</v>
      </c>
      <c r="BB469" s="530">
        <f t="shared" si="654"/>
        <v>330.60536824767519</v>
      </c>
      <c r="BC469" s="530">
        <f t="shared" si="654"/>
        <v>330.60536824767519</v>
      </c>
      <c r="BD469" s="530">
        <f t="shared" si="654"/>
        <v>330.60536824767519</v>
      </c>
      <c r="BE469" s="530">
        <f t="shared" si="654"/>
        <v>330.60536824767519</v>
      </c>
      <c r="BF469" s="530">
        <f t="shared" si="654"/>
        <v>330.60536824767519</v>
      </c>
      <c r="BG469" s="530">
        <f t="shared" si="654"/>
        <v>330.60536824767519</v>
      </c>
      <c r="BH469" s="530">
        <f t="shared" si="654"/>
        <v>344.69893160882964</v>
      </c>
      <c r="BI469" s="530">
        <f t="shared" si="654"/>
        <v>344.69893160882964</v>
      </c>
      <c r="BJ469" s="530">
        <f t="shared" si="654"/>
        <v>344.69893160882964</v>
      </c>
      <c r="BK469" s="530">
        <f t="shared" si="654"/>
        <v>344.69893160882964</v>
      </c>
      <c r="BL469" s="530">
        <f t="shared" si="654"/>
        <v>344.69893160882964</v>
      </c>
      <c r="BM469" s="530">
        <f t="shared" si="654"/>
        <v>344.69893160882964</v>
      </c>
      <c r="BN469" s="530">
        <f t="shared" si="654"/>
        <v>337.48071728292518</v>
      </c>
      <c r="BO469" s="530">
        <f t="shared" si="654"/>
        <v>337.48071728292518</v>
      </c>
      <c r="BP469" s="530">
        <f t="shared" si="654"/>
        <v>337.48071728292518</v>
      </c>
      <c r="BQ469" s="530">
        <f t="shared" si="654"/>
        <v>337.48071728292518</v>
      </c>
      <c r="BR469" s="530">
        <f t="shared" si="654"/>
        <v>337.48071728292518</v>
      </c>
      <c r="BS469" s="530">
        <f t="shared" si="654"/>
        <v>337.48071728292518</v>
      </c>
      <c r="BT469" s="530">
        <f t="shared" si="654"/>
        <v>353.36197779677121</v>
      </c>
      <c r="BU469" s="530">
        <f t="shared" si="654"/>
        <v>353.36197779677121</v>
      </c>
      <c r="BV469" s="530">
        <f t="shared" si="654"/>
        <v>353.36197779677121</v>
      </c>
      <c r="BW469" s="530">
        <f t="shared" si="654"/>
        <v>353.36197779677121</v>
      </c>
      <c r="BX469" s="530">
        <f t="shared" si="654"/>
        <v>353.36197779677121</v>
      </c>
      <c r="BY469" s="530">
        <f t="shared" si="654"/>
        <v>353.36197779677121</v>
      </c>
    </row>
    <row r="470" spans="1:77" x14ac:dyDescent="0.3">
      <c r="A470" s="551"/>
      <c r="B470" s="548"/>
      <c r="C470" s="525"/>
      <c r="D470" s="525"/>
      <c r="E470" s="525"/>
      <c r="F470" s="525"/>
      <c r="G470" s="525"/>
      <c r="H470" s="525"/>
      <c r="I470" s="525"/>
      <c r="J470" s="525"/>
      <c r="K470" s="525"/>
      <c r="L470" s="525"/>
      <c r="M470" s="525"/>
      <c r="N470" s="525"/>
      <c r="O470" s="525"/>
      <c r="P470" s="565"/>
      <c r="Q470" s="525"/>
      <c r="R470" s="525"/>
      <c r="S470" s="525"/>
      <c r="T470" s="525"/>
      <c r="U470" s="525"/>
      <c r="V470" s="525"/>
      <c r="W470" s="525"/>
      <c r="X470" s="525"/>
      <c r="Y470" s="525"/>
      <c r="Z470" s="525"/>
      <c r="AA470" s="525"/>
      <c r="AB470" s="525"/>
      <c r="AC470" s="525"/>
      <c r="AD470" s="525"/>
      <c r="AE470" s="525"/>
      <c r="AF470" s="525"/>
      <c r="AG470" s="525"/>
      <c r="AH470" s="525"/>
      <c r="AI470" s="525"/>
      <c r="AJ470" s="525"/>
      <c r="AK470" s="525"/>
      <c r="AL470" s="525"/>
      <c r="AM470" s="525"/>
      <c r="AN470" s="525"/>
      <c r="AO470" s="525"/>
      <c r="AP470" s="525"/>
      <c r="AQ470" s="525"/>
      <c r="AR470" s="525"/>
      <c r="AS470" s="525"/>
      <c r="AT470" s="525"/>
      <c r="AU470" s="525"/>
      <c r="AV470" s="525"/>
      <c r="AW470" s="525"/>
      <c r="AX470" s="525"/>
      <c r="AY470" s="525"/>
      <c r="AZ470" s="525"/>
      <c r="BA470" s="525"/>
      <c r="BB470" s="525"/>
      <c r="BC470" s="525"/>
      <c r="BD470" s="525"/>
      <c r="BE470" s="525"/>
      <c r="BF470" s="525"/>
      <c r="BG470" s="525"/>
      <c r="BH470" s="525"/>
      <c r="BI470" s="525"/>
      <c r="BJ470" s="525"/>
      <c r="BK470" s="525"/>
      <c r="BL470" s="525"/>
      <c r="BM470" s="525"/>
      <c r="BN470" s="525"/>
      <c r="BO470" s="525"/>
      <c r="BP470" s="525"/>
      <c r="BQ470" s="525"/>
      <c r="BR470" s="525"/>
      <c r="BS470" s="525"/>
      <c r="BT470" s="525"/>
      <c r="BU470" s="525"/>
      <c r="BV470" s="525"/>
      <c r="BW470" s="525"/>
      <c r="BX470" s="525"/>
      <c r="BY470" s="525"/>
    </row>
    <row r="471" spans="1:77" x14ac:dyDescent="0.3">
      <c r="A471" s="551"/>
      <c r="B471" s="548"/>
      <c r="C471" s="560" t="s">
        <v>37</v>
      </c>
      <c r="D471" s="561"/>
      <c r="E471" s="526" t="s">
        <v>112</v>
      </c>
      <c r="F471" s="526"/>
      <c r="G471" s="526"/>
      <c r="H471" s="526"/>
      <c r="I471" s="526"/>
      <c r="J471" s="526"/>
      <c r="K471" s="526"/>
      <c r="L471" s="526"/>
      <c r="M471" s="526"/>
      <c r="N471" s="526"/>
      <c r="O471" s="526"/>
      <c r="P471" s="560"/>
      <c r="Q471" s="526"/>
      <c r="R471" s="526"/>
      <c r="S471" s="526"/>
      <c r="T471" s="526"/>
      <c r="U471" s="526"/>
      <c r="V471" s="526"/>
      <c r="W471" s="526"/>
      <c r="X471" s="526"/>
      <c r="Y471" s="526"/>
      <c r="Z471" s="526"/>
      <c r="AA471" s="526"/>
      <c r="AB471" s="526"/>
      <c r="AC471" s="526"/>
      <c r="AD471" s="526"/>
      <c r="AE471" s="526"/>
      <c r="AF471" s="526"/>
      <c r="AG471" s="526"/>
      <c r="AH471" s="526"/>
      <c r="AI471" s="526"/>
      <c r="AJ471" s="526"/>
      <c r="AK471" s="526"/>
      <c r="AL471" s="526"/>
      <c r="AM471" s="526"/>
      <c r="AN471" s="526"/>
      <c r="AO471" s="526"/>
      <c r="AP471" s="526"/>
      <c r="AQ471" s="526"/>
      <c r="AR471" s="526"/>
      <c r="AS471" s="526"/>
      <c r="AT471" s="526"/>
      <c r="AU471" s="526"/>
      <c r="AV471" s="526"/>
      <c r="AW471" s="526"/>
      <c r="AX471" s="526"/>
      <c r="AY471" s="526"/>
      <c r="AZ471" s="526"/>
      <c r="BA471" s="526"/>
      <c r="BB471" s="526"/>
      <c r="BC471" s="526"/>
      <c r="BD471" s="526"/>
      <c r="BE471" s="526"/>
      <c r="BF471" s="526"/>
      <c r="BG471" s="526"/>
      <c r="BH471" s="526"/>
      <c r="BI471" s="526"/>
      <c r="BJ471" s="526"/>
      <c r="BK471" s="526"/>
      <c r="BL471" s="526"/>
      <c r="BM471" s="526"/>
      <c r="BN471" s="526"/>
      <c r="BO471" s="526"/>
      <c r="BP471" s="526"/>
      <c r="BQ471" s="526"/>
      <c r="BR471" s="526"/>
      <c r="BS471" s="526"/>
      <c r="BT471" s="526"/>
      <c r="BU471" s="526"/>
      <c r="BV471" s="526"/>
      <c r="BW471" s="526"/>
      <c r="BX471" s="526"/>
      <c r="BY471" s="526"/>
    </row>
    <row r="472" spans="1:77" x14ac:dyDescent="0.3">
      <c r="A472" s="551"/>
      <c r="B472" s="548"/>
      <c r="C472" s="525"/>
      <c r="D472" s="525"/>
      <c r="E472" s="525"/>
      <c r="F472" s="525"/>
      <c r="G472" s="525"/>
      <c r="H472" s="525"/>
      <c r="I472" s="525"/>
      <c r="J472" s="525"/>
      <c r="K472" s="525"/>
      <c r="L472" s="525"/>
      <c r="M472" s="525"/>
      <c r="N472" s="525"/>
      <c r="O472" s="525"/>
      <c r="P472" s="565"/>
      <c r="Q472" s="525"/>
      <c r="R472" s="525"/>
      <c r="S472" s="525"/>
      <c r="T472" s="525"/>
      <c r="U472" s="525"/>
      <c r="V472" s="525"/>
      <c r="W472" s="525"/>
      <c r="X472" s="525"/>
      <c r="Y472" s="525"/>
      <c r="Z472" s="525"/>
      <c r="AA472" s="525"/>
      <c r="AB472" s="525"/>
      <c r="AC472" s="525"/>
      <c r="AD472" s="525"/>
      <c r="AE472" s="525"/>
      <c r="AF472" s="525"/>
      <c r="AG472" s="525"/>
      <c r="AH472" s="525"/>
      <c r="AI472" s="525"/>
      <c r="AJ472" s="525"/>
      <c r="AK472" s="525"/>
      <c r="AL472" s="525"/>
      <c r="AM472" s="525"/>
      <c r="AN472" s="525"/>
      <c r="AO472" s="525"/>
      <c r="AP472" s="525"/>
      <c r="AQ472" s="525"/>
      <c r="AR472" s="525"/>
      <c r="AS472" s="525"/>
      <c r="AT472" s="525"/>
      <c r="AU472" s="525"/>
      <c r="AV472" s="525"/>
      <c r="AW472" s="525"/>
      <c r="AX472" s="525"/>
      <c r="AY472" s="525"/>
      <c r="AZ472" s="525"/>
      <c r="BA472" s="525"/>
      <c r="BB472" s="525"/>
      <c r="BC472" s="525"/>
      <c r="BD472" s="525"/>
      <c r="BE472" s="525"/>
      <c r="BF472" s="525"/>
      <c r="BG472" s="525"/>
      <c r="BH472" s="525"/>
      <c r="BI472" s="525"/>
      <c r="BJ472" s="525"/>
      <c r="BK472" s="525"/>
      <c r="BL472" s="525"/>
      <c r="BM472" s="525"/>
      <c r="BN472" s="525"/>
      <c r="BO472" s="525"/>
      <c r="BP472" s="525"/>
      <c r="BQ472" s="525"/>
      <c r="BR472" s="525"/>
      <c r="BS472" s="525"/>
      <c r="BT472" s="525"/>
      <c r="BU472" s="525"/>
      <c r="BV472" s="525"/>
      <c r="BW472" s="525"/>
      <c r="BX472" s="525"/>
      <c r="BY472" s="525"/>
    </row>
    <row r="473" spans="1:77" x14ac:dyDescent="0.3">
      <c r="A473" s="551"/>
      <c r="B473" s="548"/>
      <c r="C473" s="525"/>
      <c r="D473" s="525"/>
      <c r="E473" s="570" t="s">
        <v>113</v>
      </c>
      <c r="F473" s="525"/>
      <c r="G473" s="525"/>
      <c r="H473" s="525"/>
      <c r="I473" s="525"/>
      <c r="J473" s="525"/>
      <c r="K473" s="525"/>
      <c r="L473" s="525"/>
      <c r="M473" s="525"/>
      <c r="N473" s="525"/>
      <c r="O473" s="525"/>
      <c r="P473" s="565"/>
      <c r="Q473" s="525"/>
      <c r="R473" s="525"/>
      <c r="S473" s="525"/>
      <c r="T473" s="525"/>
      <c r="U473" s="525"/>
      <c r="V473" s="525"/>
      <c r="W473" s="525"/>
      <c r="X473" s="525"/>
      <c r="Y473" s="525"/>
      <c r="Z473" s="525"/>
      <c r="AA473" s="525"/>
      <c r="AB473" s="525"/>
      <c r="AC473" s="525"/>
      <c r="AD473" s="525"/>
      <c r="AE473" s="525"/>
      <c r="AF473" s="525"/>
      <c r="AG473" s="525"/>
      <c r="AH473" s="525"/>
      <c r="AI473" s="525"/>
      <c r="AJ473" s="525"/>
      <c r="AK473" s="525"/>
      <c r="AL473" s="525"/>
      <c r="AM473" s="525"/>
      <c r="AN473" s="525"/>
      <c r="AO473" s="525"/>
      <c r="AP473" s="525"/>
      <c r="AQ473" s="525"/>
      <c r="AR473" s="525"/>
      <c r="AS473" s="525"/>
      <c r="AT473" s="525"/>
      <c r="AU473" s="525"/>
      <c r="AV473" s="525"/>
      <c r="AW473" s="525"/>
      <c r="AX473" s="525"/>
      <c r="AY473" s="525"/>
      <c r="AZ473" s="525"/>
      <c r="BA473" s="525"/>
      <c r="BB473" s="525"/>
      <c r="BC473" s="525"/>
      <c r="BD473" s="525"/>
      <c r="BE473" s="525"/>
      <c r="BF473" s="525"/>
      <c r="BG473" s="525"/>
      <c r="BH473" s="525"/>
      <c r="BI473" s="525"/>
      <c r="BJ473" s="525"/>
      <c r="BK473" s="525"/>
      <c r="BL473" s="525"/>
      <c r="BM473" s="525"/>
      <c r="BN473" s="525"/>
      <c r="BO473" s="525"/>
      <c r="BP473" s="525"/>
      <c r="BQ473" s="525"/>
      <c r="BR473" s="525"/>
      <c r="BS473" s="525"/>
      <c r="BT473" s="525"/>
      <c r="BU473" s="525"/>
      <c r="BV473" s="525"/>
      <c r="BW473" s="525"/>
      <c r="BX473" s="525"/>
      <c r="BY473" s="525"/>
    </row>
    <row r="474" spans="1:77" x14ac:dyDescent="0.3">
      <c r="A474" s="551"/>
      <c r="B474" s="548"/>
      <c r="C474" s="525"/>
      <c r="D474" s="525"/>
      <c r="E474" s="651" t="str">
        <f>"Flag - capex period: "&amp;E$155</f>
        <v>Flag - capex period: FY27 Tranche</v>
      </c>
      <c r="F474" s="525"/>
      <c r="G474" s="525"/>
      <c r="H474" s="525"/>
      <c r="I474" s="525"/>
      <c r="J474" s="525"/>
      <c r="K474" s="525"/>
      <c r="L474" s="525"/>
      <c r="M474" s="525"/>
      <c r="N474" s="525"/>
      <c r="O474" s="525"/>
      <c r="P474" s="565"/>
      <c r="Q474" s="525"/>
      <c r="R474" s="542">
        <f>IF(AND(R$4&gt;$T155,R$4&lt;=$V155),1,0)*'Detailed Assumptions'!$E$6</f>
        <v>0</v>
      </c>
      <c r="S474" s="542">
        <f>IF(AND(S$4&gt;$T155,S$4&lt;=$V155),1,0)*'Detailed Assumptions'!$E$6</f>
        <v>0</v>
      </c>
      <c r="T474" s="542">
        <f>IF(AND(T$4&gt;$T155,T$4&lt;=$V155),1,0)*'Detailed Assumptions'!$E$6</f>
        <v>0</v>
      </c>
      <c r="U474" s="542">
        <f>IF(AND(U$4&gt;$T155,U$4&lt;=$V155),1,0)*'Detailed Assumptions'!$E$6</f>
        <v>0</v>
      </c>
      <c r="V474" s="542">
        <f>IF(AND(V$4&gt;$T155,V$4&lt;=$V155),1,0)*'Detailed Assumptions'!$E$6</f>
        <v>0</v>
      </c>
      <c r="W474" s="542">
        <f>IF(AND(W$4&gt;$T155,W$4&lt;=$V155),1,0)*'Detailed Assumptions'!$E$6</f>
        <v>1</v>
      </c>
      <c r="X474" s="542">
        <f>IF(AND(X$4&gt;$T155,X$4&lt;=$V155),1,0)*'Detailed Assumptions'!$E$6</f>
        <v>0</v>
      </c>
      <c r="Y474" s="542">
        <f>IF(AND(Y$4&gt;$T155,Y$4&lt;=$V155),1,0)*'Detailed Assumptions'!$E$6</f>
        <v>0</v>
      </c>
      <c r="Z474" s="542">
        <f>IF(AND(Z$4&gt;$T155,Z$4&lt;=$V155),1,0)*'Detailed Assumptions'!$E$6</f>
        <v>0</v>
      </c>
      <c r="AA474" s="542">
        <f>IF(AND(AA$4&gt;$T155,AA$4&lt;=$V155),1,0)*'Detailed Assumptions'!$E$6</f>
        <v>0</v>
      </c>
      <c r="AB474" s="542">
        <f>IF(AND(AB$4&gt;$T155,AB$4&lt;=$V155),1,0)*'Detailed Assumptions'!$E$6</f>
        <v>0</v>
      </c>
      <c r="AC474" s="542">
        <f>IF(AND(AC$4&gt;$T155,AC$4&lt;=$V155),1,0)*'Detailed Assumptions'!$E$6</f>
        <v>0</v>
      </c>
      <c r="AD474" s="542">
        <f>IF(AND(AD$4&gt;$T155,AD$4&lt;=$V155),1,0)*'Detailed Assumptions'!$E$6</f>
        <v>0</v>
      </c>
      <c r="AE474" s="542">
        <f>IF(AND(AE$4&gt;$T155,AE$4&lt;=$V155),1,0)*'Detailed Assumptions'!$E$6</f>
        <v>0</v>
      </c>
      <c r="AF474" s="542">
        <f>IF(AND(AF$4&gt;$T155,AF$4&lt;=$V155),1,0)*'Detailed Assumptions'!$E$6</f>
        <v>0</v>
      </c>
      <c r="AG474" s="542">
        <f>IF(AND(AG$4&gt;$T155,AG$4&lt;=$V155),1,0)*'Detailed Assumptions'!$E$6</f>
        <v>0</v>
      </c>
      <c r="AH474" s="542">
        <f>IF(AND(AH$4&gt;$T155,AH$4&lt;=$V155),1,0)*'Detailed Assumptions'!$E$6</f>
        <v>0</v>
      </c>
      <c r="AI474" s="542">
        <f>IF(AND(AI$4&gt;$T155,AI$4&lt;=$V155),1,0)*'Detailed Assumptions'!$E$6</f>
        <v>0</v>
      </c>
      <c r="AJ474" s="542">
        <f>IF(AND(AJ$4&gt;$T155,AJ$4&lt;=$V155),1,0)*'Detailed Assumptions'!$E$6</f>
        <v>0</v>
      </c>
      <c r="AK474" s="542">
        <f>IF(AND(AK$4&gt;$T155,AK$4&lt;=$V155),1,0)*'Detailed Assumptions'!$E$6</f>
        <v>0</v>
      </c>
      <c r="AL474" s="542">
        <f>IF(AND(AL$4&gt;$T155,AL$4&lt;=$V155),1,0)*'Detailed Assumptions'!$E$6</f>
        <v>0</v>
      </c>
      <c r="AM474" s="542">
        <f>IF(AND(AM$4&gt;$T155,AM$4&lt;=$V155),1,0)*'Detailed Assumptions'!$E$6</f>
        <v>0</v>
      </c>
      <c r="AN474" s="542">
        <f>IF(AND(AN$4&gt;$T155,AN$4&lt;=$V155),1,0)*'Detailed Assumptions'!$E$6</f>
        <v>0</v>
      </c>
      <c r="AO474" s="542">
        <f>IF(AND(AO$4&gt;$T155,AO$4&lt;=$V155),1,0)*'Detailed Assumptions'!$E$6</f>
        <v>0</v>
      </c>
      <c r="AP474" s="542">
        <f>IF(AND(AP$4&gt;$T155,AP$4&lt;=$V155),1,0)*'Detailed Assumptions'!$E$6</f>
        <v>0</v>
      </c>
      <c r="AQ474" s="542">
        <f>IF(AND(AQ$4&gt;$T155,AQ$4&lt;=$V155),1,0)*'Detailed Assumptions'!$E$6</f>
        <v>0</v>
      </c>
      <c r="AR474" s="542">
        <f>IF(AND(AR$4&gt;$T155,AR$4&lt;=$V155),1,0)*'Detailed Assumptions'!$E$6</f>
        <v>0</v>
      </c>
      <c r="AS474" s="542">
        <f>IF(AND(AS$4&gt;$T155,AS$4&lt;=$V155),1,0)*'Detailed Assumptions'!$E$6</f>
        <v>0</v>
      </c>
      <c r="AT474" s="542">
        <f>IF(AND(AT$4&gt;$T155,AT$4&lt;=$V155),1,0)*'Detailed Assumptions'!$E$6</f>
        <v>0</v>
      </c>
      <c r="AU474" s="542">
        <f>IF(AND(AU$4&gt;$T155,AU$4&lt;=$V155),1,0)*'Detailed Assumptions'!$E$6</f>
        <v>0</v>
      </c>
      <c r="AV474" s="542">
        <f>IF(AND(AV$4&gt;$T155,AV$4&lt;=$V155),1,0)*'Detailed Assumptions'!$E$6</f>
        <v>0</v>
      </c>
      <c r="AW474" s="542">
        <f>IF(AND(AW$4&gt;$T155,AW$4&lt;=$V155),1,0)*'Detailed Assumptions'!$E$6</f>
        <v>0</v>
      </c>
      <c r="AX474" s="542">
        <f>IF(AND(AX$4&gt;$T155,AX$4&lt;=$V155),1,0)*'Detailed Assumptions'!$E$6</f>
        <v>0</v>
      </c>
      <c r="AY474" s="542">
        <f>IF(AND(AY$4&gt;$T155,AY$4&lt;=$V155),1,0)*'Detailed Assumptions'!$E$6</f>
        <v>0</v>
      </c>
      <c r="AZ474" s="542">
        <f>IF(AND(AZ$4&gt;$T155,AZ$4&lt;=$V155),1,0)*'Detailed Assumptions'!$E$6</f>
        <v>0</v>
      </c>
      <c r="BA474" s="542">
        <f>IF(AND(BA$4&gt;$T155,BA$4&lt;=$V155),1,0)*'Detailed Assumptions'!$E$6</f>
        <v>0</v>
      </c>
      <c r="BB474" s="542">
        <f>IF(AND(BB$4&gt;$T155,BB$4&lt;=$V155),1,0)*'Detailed Assumptions'!$E$6</f>
        <v>0</v>
      </c>
      <c r="BC474" s="542">
        <f>IF(AND(BC$4&gt;$T155,BC$4&lt;=$V155),1,0)*'Detailed Assumptions'!$E$6</f>
        <v>0</v>
      </c>
      <c r="BD474" s="542">
        <f>IF(AND(BD$4&gt;$T155,BD$4&lt;=$V155),1,0)*'Detailed Assumptions'!$E$6</f>
        <v>0</v>
      </c>
      <c r="BE474" s="542">
        <f>IF(AND(BE$4&gt;$T155,BE$4&lt;=$V155),1,0)*'Detailed Assumptions'!$E$6</f>
        <v>0</v>
      </c>
      <c r="BF474" s="542">
        <f>IF(AND(BF$4&gt;$T155,BF$4&lt;=$V155),1,0)*'Detailed Assumptions'!$E$6</f>
        <v>0</v>
      </c>
      <c r="BG474" s="542">
        <f>IF(AND(BG$4&gt;$T155,BG$4&lt;=$V155),1,0)*'Detailed Assumptions'!$E$6</f>
        <v>0</v>
      </c>
      <c r="BH474" s="542">
        <f>IF(AND(BH$4&gt;$T155,BH$4&lt;=$V155),1,0)*'Detailed Assumptions'!$E$6</f>
        <v>0</v>
      </c>
      <c r="BI474" s="542">
        <f>IF(AND(BI$4&gt;$T155,BI$4&lt;=$V155),1,0)*'Detailed Assumptions'!$E$6</f>
        <v>0</v>
      </c>
      <c r="BJ474" s="542">
        <f>IF(AND(BJ$4&gt;$T155,BJ$4&lt;=$V155),1,0)*'Detailed Assumptions'!$E$6</f>
        <v>0</v>
      </c>
      <c r="BK474" s="542">
        <f>IF(AND(BK$4&gt;$T155,BK$4&lt;=$V155),1,0)*'Detailed Assumptions'!$E$6</f>
        <v>0</v>
      </c>
      <c r="BL474" s="542">
        <f>IF(AND(BL$4&gt;$T155,BL$4&lt;=$V155),1,0)*'Detailed Assumptions'!$E$6</f>
        <v>0</v>
      </c>
      <c r="BM474" s="542">
        <f>IF(AND(BM$4&gt;$T155,BM$4&lt;=$V155),1,0)*'Detailed Assumptions'!$E$6</f>
        <v>0</v>
      </c>
      <c r="BN474" s="542">
        <f>IF(AND(BN$4&gt;$T155,BN$4&lt;=$V155),1,0)*'Detailed Assumptions'!$E$6</f>
        <v>0</v>
      </c>
      <c r="BO474" s="542">
        <f>IF(AND(BO$4&gt;$T155,BO$4&lt;=$V155),1,0)*'Detailed Assumptions'!$E$6</f>
        <v>0</v>
      </c>
      <c r="BP474" s="542">
        <f>IF(AND(BP$4&gt;$T155,BP$4&lt;=$V155),1,0)*'Detailed Assumptions'!$E$6</f>
        <v>0</v>
      </c>
      <c r="BQ474" s="542">
        <f>IF(AND(BQ$4&gt;$T155,BQ$4&lt;=$V155),1,0)*'Detailed Assumptions'!$E$6</f>
        <v>0</v>
      </c>
      <c r="BR474" s="542">
        <f>IF(AND(BR$4&gt;$T155,BR$4&lt;=$V155),1,0)*'Detailed Assumptions'!$E$6</f>
        <v>0</v>
      </c>
      <c r="BS474" s="542">
        <f>IF(AND(BS$4&gt;$T155,BS$4&lt;=$V155),1,0)*'Detailed Assumptions'!$E$6</f>
        <v>0</v>
      </c>
      <c r="BT474" s="542">
        <f>IF(AND(BT$4&gt;$T155,BT$4&lt;=$V155),1,0)*'Detailed Assumptions'!$E$6</f>
        <v>0</v>
      </c>
      <c r="BU474" s="542">
        <f>IF(AND(BU$4&gt;$T155,BU$4&lt;=$V155),1,0)*'Detailed Assumptions'!$E$6</f>
        <v>0</v>
      </c>
      <c r="BV474" s="542">
        <f>IF(AND(BV$4&gt;$T155,BV$4&lt;=$V155),1,0)*'Detailed Assumptions'!$E$6</f>
        <v>0</v>
      </c>
      <c r="BW474" s="542">
        <f>IF(AND(BW$4&gt;$T155,BW$4&lt;=$V155),1,0)*'Detailed Assumptions'!$E$6</f>
        <v>0</v>
      </c>
      <c r="BX474" s="542">
        <f>IF(AND(BX$4&gt;$T155,BX$4&lt;=$V155),1,0)*'Detailed Assumptions'!$E$6</f>
        <v>0</v>
      </c>
      <c r="BY474" s="542">
        <f>IF(AND(BY$4&gt;$T155,BY$4&lt;=$V155),1,0)*'Detailed Assumptions'!$E$6</f>
        <v>0</v>
      </c>
    </row>
    <row r="475" spans="1:77" x14ac:dyDescent="0.3">
      <c r="A475" s="551"/>
      <c r="B475" s="548"/>
      <c r="C475" s="525"/>
      <c r="D475" s="525"/>
      <c r="E475" s="651" t="str">
        <f>"Flag - capex period: "&amp;E$156</f>
        <v>Flag - capex period: FY28 Tranche</v>
      </c>
      <c r="F475" s="525"/>
      <c r="G475" s="525"/>
      <c r="H475" s="525"/>
      <c r="I475" s="525"/>
      <c r="J475" s="525"/>
      <c r="K475" s="525"/>
      <c r="L475" s="525"/>
      <c r="M475" s="525"/>
      <c r="N475" s="525"/>
      <c r="O475" s="525"/>
      <c r="P475" s="565"/>
      <c r="Q475" s="525"/>
      <c r="R475" s="542">
        <f>IF(AND(R$4&gt;$T156,R$4&lt;=$V156),1,0)*'Detailed Assumptions'!$E$6</f>
        <v>0</v>
      </c>
      <c r="S475" s="542">
        <f>IF(AND(S$4&gt;$T156,S$4&lt;=$V156),1,0)*'Detailed Assumptions'!$E$6</f>
        <v>0</v>
      </c>
      <c r="T475" s="542">
        <f>IF(AND(T$4&gt;$T156,T$4&lt;=$V156),1,0)*'Detailed Assumptions'!$E$6</f>
        <v>0</v>
      </c>
      <c r="U475" s="542">
        <f>IF(AND(U$4&gt;$T156,U$4&lt;=$V156),1,0)*'Detailed Assumptions'!$E$6</f>
        <v>0</v>
      </c>
      <c r="V475" s="542">
        <f>IF(AND(V$4&gt;$T156,V$4&lt;=$V156),1,0)*'Detailed Assumptions'!$E$6</f>
        <v>0</v>
      </c>
      <c r="W475" s="542">
        <f>IF(AND(W$4&gt;$T156,W$4&lt;=$V156),1,0)*'Detailed Assumptions'!$E$6</f>
        <v>0</v>
      </c>
      <c r="X475" s="542">
        <f>IF(AND(X$4&gt;$T156,X$4&lt;=$V156),1,0)*'Detailed Assumptions'!$E$6</f>
        <v>0</v>
      </c>
      <c r="Y475" s="542">
        <f>IF(AND(Y$4&gt;$T156,Y$4&lt;=$V156),1,0)*'Detailed Assumptions'!$E$6</f>
        <v>0</v>
      </c>
      <c r="Z475" s="542">
        <f>IF(AND(Z$4&gt;$T156,Z$4&lt;=$V156),1,0)*'Detailed Assumptions'!$E$6</f>
        <v>0</v>
      </c>
      <c r="AA475" s="542">
        <f>IF(AND(AA$4&gt;$T156,AA$4&lt;=$V156),1,0)*'Detailed Assumptions'!$E$6</f>
        <v>0</v>
      </c>
      <c r="AB475" s="542">
        <f>IF(AND(AB$4&gt;$T156,AB$4&lt;=$V156),1,0)*'Detailed Assumptions'!$E$6</f>
        <v>0</v>
      </c>
      <c r="AC475" s="542">
        <f>IF(AND(AC$4&gt;$T156,AC$4&lt;=$V156),1,0)*'Detailed Assumptions'!$E$6</f>
        <v>0</v>
      </c>
      <c r="AD475" s="542">
        <f>IF(AND(AD$4&gt;$T156,AD$4&lt;=$V156),1,0)*'Detailed Assumptions'!$E$6</f>
        <v>0</v>
      </c>
      <c r="AE475" s="542">
        <f>IF(AND(AE$4&gt;$T156,AE$4&lt;=$V156),1,0)*'Detailed Assumptions'!$E$6</f>
        <v>0</v>
      </c>
      <c r="AF475" s="542">
        <f>IF(AND(AF$4&gt;$T156,AF$4&lt;=$V156),1,0)*'Detailed Assumptions'!$E$6</f>
        <v>0</v>
      </c>
      <c r="AG475" s="542">
        <f>IF(AND(AG$4&gt;$T156,AG$4&lt;=$V156),1,0)*'Detailed Assumptions'!$E$6</f>
        <v>0</v>
      </c>
      <c r="AH475" s="542">
        <f>IF(AND(AH$4&gt;$T156,AH$4&lt;=$V156),1,0)*'Detailed Assumptions'!$E$6</f>
        <v>0</v>
      </c>
      <c r="AI475" s="542">
        <f>IF(AND(AI$4&gt;$T156,AI$4&lt;=$V156),1,0)*'Detailed Assumptions'!$E$6</f>
        <v>1</v>
      </c>
      <c r="AJ475" s="542">
        <f>IF(AND(AJ$4&gt;$T156,AJ$4&lt;=$V156),1,0)*'Detailed Assumptions'!$E$6</f>
        <v>0</v>
      </c>
      <c r="AK475" s="542">
        <f>IF(AND(AK$4&gt;$T156,AK$4&lt;=$V156),1,0)*'Detailed Assumptions'!$E$6</f>
        <v>0</v>
      </c>
      <c r="AL475" s="542">
        <f>IF(AND(AL$4&gt;$T156,AL$4&lt;=$V156),1,0)*'Detailed Assumptions'!$E$6</f>
        <v>0</v>
      </c>
      <c r="AM475" s="542">
        <f>IF(AND(AM$4&gt;$T156,AM$4&lt;=$V156),1,0)*'Detailed Assumptions'!$E$6</f>
        <v>0</v>
      </c>
      <c r="AN475" s="542">
        <f>IF(AND(AN$4&gt;$T156,AN$4&lt;=$V156),1,0)*'Detailed Assumptions'!$E$6</f>
        <v>0</v>
      </c>
      <c r="AO475" s="542">
        <f>IF(AND(AO$4&gt;$T156,AO$4&lt;=$V156),1,0)*'Detailed Assumptions'!$E$6</f>
        <v>0</v>
      </c>
      <c r="AP475" s="542">
        <f>IF(AND(AP$4&gt;$T156,AP$4&lt;=$V156),1,0)*'Detailed Assumptions'!$E$6</f>
        <v>0</v>
      </c>
      <c r="AQ475" s="542">
        <f>IF(AND(AQ$4&gt;$T156,AQ$4&lt;=$V156),1,0)*'Detailed Assumptions'!$E$6</f>
        <v>0</v>
      </c>
      <c r="AR475" s="542">
        <f>IF(AND(AR$4&gt;$T156,AR$4&lt;=$V156),1,0)*'Detailed Assumptions'!$E$6</f>
        <v>0</v>
      </c>
      <c r="AS475" s="542">
        <f>IF(AND(AS$4&gt;$T156,AS$4&lt;=$V156),1,0)*'Detailed Assumptions'!$E$6</f>
        <v>0</v>
      </c>
      <c r="AT475" s="542">
        <f>IF(AND(AT$4&gt;$T156,AT$4&lt;=$V156),1,0)*'Detailed Assumptions'!$E$6</f>
        <v>0</v>
      </c>
      <c r="AU475" s="542">
        <f>IF(AND(AU$4&gt;$T156,AU$4&lt;=$V156),1,0)*'Detailed Assumptions'!$E$6</f>
        <v>0</v>
      </c>
      <c r="AV475" s="542">
        <f>IF(AND(AV$4&gt;$T156,AV$4&lt;=$V156),1,0)*'Detailed Assumptions'!$E$6</f>
        <v>0</v>
      </c>
      <c r="AW475" s="542">
        <f>IF(AND(AW$4&gt;$T156,AW$4&lt;=$V156),1,0)*'Detailed Assumptions'!$E$6</f>
        <v>0</v>
      </c>
      <c r="AX475" s="542">
        <f>IF(AND(AX$4&gt;$T156,AX$4&lt;=$V156),1,0)*'Detailed Assumptions'!$E$6</f>
        <v>0</v>
      </c>
      <c r="AY475" s="542">
        <f>IF(AND(AY$4&gt;$T156,AY$4&lt;=$V156),1,0)*'Detailed Assumptions'!$E$6</f>
        <v>0</v>
      </c>
      <c r="AZ475" s="542">
        <f>IF(AND(AZ$4&gt;$T156,AZ$4&lt;=$V156),1,0)*'Detailed Assumptions'!$E$6</f>
        <v>0</v>
      </c>
      <c r="BA475" s="542">
        <f>IF(AND(BA$4&gt;$T156,BA$4&lt;=$V156),1,0)*'Detailed Assumptions'!$E$6</f>
        <v>0</v>
      </c>
      <c r="BB475" s="542">
        <f>IF(AND(BB$4&gt;$T156,BB$4&lt;=$V156),1,0)*'Detailed Assumptions'!$E$6</f>
        <v>0</v>
      </c>
      <c r="BC475" s="542">
        <f>IF(AND(BC$4&gt;$T156,BC$4&lt;=$V156),1,0)*'Detailed Assumptions'!$E$6</f>
        <v>0</v>
      </c>
      <c r="BD475" s="542">
        <f>IF(AND(BD$4&gt;$T156,BD$4&lt;=$V156),1,0)*'Detailed Assumptions'!$E$6</f>
        <v>0</v>
      </c>
      <c r="BE475" s="542">
        <f>IF(AND(BE$4&gt;$T156,BE$4&lt;=$V156),1,0)*'Detailed Assumptions'!$E$6</f>
        <v>0</v>
      </c>
      <c r="BF475" s="542">
        <f>IF(AND(BF$4&gt;$T156,BF$4&lt;=$V156),1,0)*'Detailed Assumptions'!$E$6</f>
        <v>0</v>
      </c>
      <c r="BG475" s="542">
        <f>IF(AND(BG$4&gt;$T156,BG$4&lt;=$V156),1,0)*'Detailed Assumptions'!$E$6</f>
        <v>0</v>
      </c>
      <c r="BH475" s="542">
        <f>IF(AND(BH$4&gt;$T156,BH$4&lt;=$V156),1,0)*'Detailed Assumptions'!$E$6</f>
        <v>0</v>
      </c>
      <c r="BI475" s="542">
        <f>IF(AND(BI$4&gt;$T156,BI$4&lt;=$V156),1,0)*'Detailed Assumptions'!$E$6</f>
        <v>0</v>
      </c>
      <c r="BJ475" s="542">
        <f>IF(AND(BJ$4&gt;$T156,BJ$4&lt;=$V156),1,0)*'Detailed Assumptions'!$E$6</f>
        <v>0</v>
      </c>
      <c r="BK475" s="542">
        <f>IF(AND(BK$4&gt;$T156,BK$4&lt;=$V156),1,0)*'Detailed Assumptions'!$E$6</f>
        <v>0</v>
      </c>
      <c r="BL475" s="542">
        <f>IF(AND(BL$4&gt;$T156,BL$4&lt;=$V156),1,0)*'Detailed Assumptions'!$E$6</f>
        <v>0</v>
      </c>
      <c r="BM475" s="542">
        <f>IF(AND(BM$4&gt;$T156,BM$4&lt;=$V156),1,0)*'Detailed Assumptions'!$E$6</f>
        <v>0</v>
      </c>
      <c r="BN475" s="542">
        <f>IF(AND(BN$4&gt;$T156,BN$4&lt;=$V156),1,0)*'Detailed Assumptions'!$E$6</f>
        <v>0</v>
      </c>
      <c r="BO475" s="542">
        <f>IF(AND(BO$4&gt;$T156,BO$4&lt;=$V156),1,0)*'Detailed Assumptions'!$E$6</f>
        <v>0</v>
      </c>
      <c r="BP475" s="542">
        <f>IF(AND(BP$4&gt;$T156,BP$4&lt;=$V156),1,0)*'Detailed Assumptions'!$E$6</f>
        <v>0</v>
      </c>
      <c r="BQ475" s="542">
        <f>IF(AND(BQ$4&gt;$T156,BQ$4&lt;=$V156),1,0)*'Detailed Assumptions'!$E$6</f>
        <v>0</v>
      </c>
      <c r="BR475" s="542">
        <f>IF(AND(BR$4&gt;$T156,BR$4&lt;=$V156),1,0)*'Detailed Assumptions'!$E$6</f>
        <v>0</v>
      </c>
      <c r="BS475" s="542">
        <f>IF(AND(BS$4&gt;$T156,BS$4&lt;=$V156),1,0)*'Detailed Assumptions'!$E$6</f>
        <v>0</v>
      </c>
      <c r="BT475" s="542">
        <f>IF(AND(BT$4&gt;$T156,BT$4&lt;=$V156),1,0)*'Detailed Assumptions'!$E$6</f>
        <v>0</v>
      </c>
      <c r="BU475" s="542">
        <f>IF(AND(BU$4&gt;$T156,BU$4&lt;=$V156),1,0)*'Detailed Assumptions'!$E$6</f>
        <v>0</v>
      </c>
      <c r="BV475" s="542">
        <f>IF(AND(BV$4&gt;$T156,BV$4&lt;=$V156),1,0)*'Detailed Assumptions'!$E$6</f>
        <v>0</v>
      </c>
      <c r="BW475" s="542">
        <f>IF(AND(BW$4&gt;$T156,BW$4&lt;=$V156),1,0)*'Detailed Assumptions'!$E$6</f>
        <v>0</v>
      </c>
      <c r="BX475" s="542">
        <f>IF(AND(BX$4&gt;$T156,BX$4&lt;=$V156),1,0)*'Detailed Assumptions'!$E$6</f>
        <v>0</v>
      </c>
      <c r="BY475" s="542">
        <f>IF(AND(BY$4&gt;$T156,BY$4&lt;=$V156),1,0)*'Detailed Assumptions'!$E$6</f>
        <v>0</v>
      </c>
    </row>
    <row r="476" spans="1:77" x14ac:dyDescent="0.3">
      <c r="A476" s="551"/>
      <c r="B476" s="548"/>
      <c r="C476" s="525"/>
      <c r="D476" s="525"/>
      <c r="E476" s="651" t="str">
        <f>"Flag - capex period: "&amp;E$157</f>
        <v>Flag - capex period: FY29 Tranche</v>
      </c>
      <c r="F476" s="525"/>
      <c r="G476" s="525"/>
      <c r="H476" s="525"/>
      <c r="I476" s="525"/>
      <c r="J476" s="525"/>
      <c r="K476" s="525"/>
      <c r="L476" s="525"/>
      <c r="M476" s="525"/>
      <c r="N476" s="525"/>
      <c r="O476" s="525"/>
      <c r="P476" s="565"/>
      <c r="Q476" s="525"/>
      <c r="R476" s="542">
        <f>IF(AND(R$4&gt;$T157,R$4&lt;=$V157),1,0)*'Detailed Assumptions'!$E$6</f>
        <v>0</v>
      </c>
      <c r="S476" s="542">
        <f>IF(AND(S$4&gt;$T157,S$4&lt;=$V157),1,0)*'Detailed Assumptions'!$E$6</f>
        <v>0</v>
      </c>
      <c r="T476" s="542">
        <f>IF(AND(T$4&gt;$T157,T$4&lt;=$V157),1,0)*'Detailed Assumptions'!$E$6</f>
        <v>0</v>
      </c>
      <c r="U476" s="542">
        <f>IF(AND(U$4&gt;$T157,U$4&lt;=$V157),1,0)*'Detailed Assumptions'!$E$6</f>
        <v>0</v>
      </c>
      <c r="V476" s="542">
        <f>IF(AND(V$4&gt;$T157,V$4&lt;=$V157),1,0)*'Detailed Assumptions'!$E$6</f>
        <v>0</v>
      </c>
      <c r="W476" s="542">
        <f>IF(AND(W$4&gt;$T157,W$4&lt;=$V157),1,0)*'Detailed Assumptions'!$E$6</f>
        <v>0</v>
      </c>
      <c r="X476" s="542">
        <f>IF(AND(X$4&gt;$T157,X$4&lt;=$V157),1,0)*'Detailed Assumptions'!$E$6</f>
        <v>0</v>
      </c>
      <c r="Y476" s="542">
        <f>IF(AND(Y$4&gt;$T157,Y$4&lt;=$V157),1,0)*'Detailed Assumptions'!$E$6</f>
        <v>0</v>
      </c>
      <c r="Z476" s="542">
        <f>IF(AND(Z$4&gt;$T157,Z$4&lt;=$V157),1,0)*'Detailed Assumptions'!$E$6</f>
        <v>0</v>
      </c>
      <c r="AA476" s="542">
        <f>IF(AND(AA$4&gt;$T157,AA$4&lt;=$V157),1,0)*'Detailed Assumptions'!$E$6</f>
        <v>0</v>
      </c>
      <c r="AB476" s="542">
        <f>IF(AND(AB$4&gt;$T157,AB$4&lt;=$V157),1,0)*'Detailed Assumptions'!$E$6</f>
        <v>0</v>
      </c>
      <c r="AC476" s="542">
        <f>IF(AND(AC$4&gt;$T157,AC$4&lt;=$V157),1,0)*'Detailed Assumptions'!$E$6</f>
        <v>0</v>
      </c>
      <c r="AD476" s="542">
        <f>IF(AND(AD$4&gt;$T157,AD$4&lt;=$V157),1,0)*'Detailed Assumptions'!$E$6</f>
        <v>0</v>
      </c>
      <c r="AE476" s="542">
        <f>IF(AND(AE$4&gt;$T157,AE$4&lt;=$V157),1,0)*'Detailed Assumptions'!$E$6</f>
        <v>0</v>
      </c>
      <c r="AF476" s="542">
        <f>IF(AND(AF$4&gt;$T157,AF$4&lt;=$V157),1,0)*'Detailed Assumptions'!$E$6</f>
        <v>0</v>
      </c>
      <c r="AG476" s="542">
        <f>IF(AND(AG$4&gt;$T157,AG$4&lt;=$V157),1,0)*'Detailed Assumptions'!$E$6</f>
        <v>0</v>
      </c>
      <c r="AH476" s="542">
        <f>IF(AND(AH$4&gt;$T157,AH$4&lt;=$V157),1,0)*'Detailed Assumptions'!$E$6</f>
        <v>0</v>
      </c>
      <c r="AI476" s="542">
        <f>IF(AND(AI$4&gt;$T157,AI$4&lt;=$V157),1,0)*'Detailed Assumptions'!$E$6</f>
        <v>0</v>
      </c>
      <c r="AJ476" s="542">
        <f>IF(AND(AJ$4&gt;$T157,AJ$4&lt;=$V157),1,0)*'Detailed Assumptions'!$E$6</f>
        <v>0</v>
      </c>
      <c r="AK476" s="542">
        <f>IF(AND(AK$4&gt;$T157,AK$4&lt;=$V157),1,0)*'Detailed Assumptions'!$E$6</f>
        <v>0</v>
      </c>
      <c r="AL476" s="542">
        <f>IF(AND(AL$4&gt;$T157,AL$4&lt;=$V157),1,0)*'Detailed Assumptions'!$E$6</f>
        <v>0</v>
      </c>
      <c r="AM476" s="542">
        <f>IF(AND(AM$4&gt;$T157,AM$4&lt;=$V157),1,0)*'Detailed Assumptions'!$E$6</f>
        <v>0</v>
      </c>
      <c r="AN476" s="542">
        <f>IF(AND(AN$4&gt;$T157,AN$4&lt;=$V157),1,0)*'Detailed Assumptions'!$E$6</f>
        <v>0</v>
      </c>
      <c r="AO476" s="542">
        <f>IF(AND(AO$4&gt;$T157,AO$4&lt;=$V157),1,0)*'Detailed Assumptions'!$E$6</f>
        <v>0</v>
      </c>
      <c r="AP476" s="542">
        <f>IF(AND(AP$4&gt;$T157,AP$4&lt;=$V157),1,0)*'Detailed Assumptions'!$E$6</f>
        <v>0</v>
      </c>
      <c r="AQ476" s="542">
        <f>IF(AND(AQ$4&gt;$T157,AQ$4&lt;=$V157),1,0)*'Detailed Assumptions'!$E$6</f>
        <v>0</v>
      </c>
      <c r="AR476" s="542">
        <f>IF(AND(AR$4&gt;$T157,AR$4&lt;=$V157),1,0)*'Detailed Assumptions'!$E$6</f>
        <v>0</v>
      </c>
      <c r="AS476" s="542">
        <f>IF(AND(AS$4&gt;$T157,AS$4&lt;=$V157),1,0)*'Detailed Assumptions'!$E$6</f>
        <v>0</v>
      </c>
      <c r="AT476" s="542">
        <f>IF(AND(AT$4&gt;$T157,AT$4&lt;=$V157),1,0)*'Detailed Assumptions'!$E$6</f>
        <v>0</v>
      </c>
      <c r="AU476" s="542">
        <f>IF(AND(AU$4&gt;$T157,AU$4&lt;=$V157),1,0)*'Detailed Assumptions'!$E$6</f>
        <v>1</v>
      </c>
      <c r="AV476" s="542">
        <f>IF(AND(AV$4&gt;$T157,AV$4&lt;=$V157),1,0)*'Detailed Assumptions'!$E$6</f>
        <v>0</v>
      </c>
      <c r="AW476" s="542">
        <f>IF(AND(AW$4&gt;$T157,AW$4&lt;=$V157),1,0)*'Detailed Assumptions'!$E$6</f>
        <v>0</v>
      </c>
      <c r="AX476" s="542">
        <f>IF(AND(AX$4&gt;$T157,AX$4&lt;=$V157),1,0)*'Detailed Assumptions'!$E$6</f>
        <v>0</v>
      </c>
      <c r="AY476" s="542">
        <f>IF(AND(AY$4&gt;$T157,AY$4&lt;=$V157),1,0)*'Detailed Assumptions'!$E$6</f>
        <v>0</v>
      </c>
      <c r="AZ476" s="542">
        <f>IF(AND(AZ$4&gt;$T157,AZ$4&lt;=$V157),1,0)*'Detailed Assumptions'!$E$6</f>
        <v>0</v>
      </c>
      <c r="BA476" s="542">
        <f>IF(AND(BA$4&gt;$T157,BA$4&lt;=$V157),1,0)*'Detailed Assumptions'!$E$6</f>
        <v>0</v>
      </c>
      <c r="BB476" s="542">
        <f>IF(AND(BB$4&gt;$T157,BB$4&lt;=$V157),1,0)*'Detailed Assumptions'!$E$6</f>
        <v>0</v>
      </c>
      <c r="BC476" s="542">
        <f>IF(AND(BC$4&gt;$T157,BC$4&lt;=$V157),1,0)*'Detailed Assumptions'!$E$6</f>
        <v>0</v>
      </c>
      <c r="BD476" s="542">
        <f>IF(AND(BD$4&gt;$T157,BD$4&lt;=$V157),1,0)*'Detailed Assumptions'!$E$6</f>
        <v>0</v>
      </c>
      <c r="BE476" s="542">
        <f>IF(AND(BE$4&gt;$T157,BE$4&lt;=$V157),1,0)*'Detailed Assumptions'!$E$6</f>
        <v>0</v>
      </c>
      <c r="BF476" s="542">
        <f>IF(AND(BF$4&gt;$T157,BF$4&lt;=$V157),1,0)*'Detailed Assumptions'!$E$6</f>
        <v>0</v>
      </c>
      <c r="BG476" s="542">
        <f>IF(AND(BG$4&gt;$T157,BG$4&lt;=$V157),1,0)*'Detailed Assumptions'!$E$6</f>
        <v>0</v>
      </c>
      <c r="BH476" s="542">
        <f>IF(AND(BH$4&gt;$T157,BH$4&lt;=$V157),1,0)*'Detailed Assumptions'!$E$6</f>
        <v>0</v>
      </c>
      <c r="BI476" s="542">
        <f>IF(AND(BI$4&gt;$T157,BI$4&lt;=$V157),1,0)*'Detailed Assumptions'!$E$6</f>
        <v>0</v>
      </c>
      <c r="BJ476" s="542">
        <f>IF(AND(BJ$4&gt;$T157,BJ$4&lt;=$V157),1,0)*'Detailed Assumptions'!$E$6</f>
        <v>0</v>
      </c>
      <c r="BK476" s="542">
        <f>IF(AND(BK$4&gt;$T157,BK$4&lt;=$V157),1,0)*'Detailed Assumptions'!$E$6</f>
        <v>0</v>
      </c>
      <c r="BL476" s="542">
        <f>IF(AND(BL$4&gt;$T157,BL$4&lt;=$V157),1,0)*'Detailed Assumptions'!$E$6</f>
        <v>0</v>
      </c>
      <c r="BM476" s="542">
        <f>IF(AND(BM$4&gt;$T157,BM$4&lt;=$V157),1,0)*'Detailed Assumptions'!$E$6</f>
        <v>0</v>
      </c>
      <c r="BN476" s="542">
        <f>IF(AND(BN$4&gt;$T157,BN$4&lt;=$V157),1,0)*'Detailed Assumptions'!$E$6</f>
        <v>0</v>
      </c>
      <c r="BO476" s="542">
        <f>IF(AND(BO$4&gt;$T157,BO$4&lt;=$V157),1,0)*'Detailed Assumptions'!$E$6</f>
        <v>0</v>
      </c>
      <c r="BP476" s="542">
        <f>IF(AND(BP$4&gt;$T157,BP$4&lt;=$V157),1,0)*'Detailed Assumptions'!$E$6</f>
        <v>0</v>
      </c>
      <c r="BQ476" s="542">
        <f>IF(AND(BQ$4&gt;$T157,BQ$4&lt;=$V157),1,0)*'Detailed Assumptions'!$E$6</f>
        <v>0</v>
      </c>
      <c r="BR476" s="542">
        <f>IF(AND(BR$4&gt;$T157,BR$4&lt;=$V157),1,0)*'Detailed Assumptions'!$E$6</f>
        <v>0</v>
      </c>
      <c r="BS476" s="542">
        <f>IF(AND(BS$4&gt;$T157,BS$4&lt;=$V157),1,0)*'Detailed Assumptions'!$E$6</f>
        <v>0</v>
      </c>
      <c r="BT476" s="542">
        <f>IF(AND(BT$4&gt;$T157,BT$4&lt;=$V157),1,0)*'Detailed Assumptions'!$E$6</f>
        <v>0</v>
      </c>
      <c r="BU476" s="542">
        <f>IF(AND(BU$4&gt;$T157,BU$4&lt;=$V157),1,0)*'Detailed Assumptions'!$E$6</f>
        <v>0</v>
      </c>
      <c r="BV476" s="542">
        <f>IF(AND(BV$4&gt;$T157,BV$4&lt;=$V157),1,0)*'Detailed Assumptions'!$E$6</f>
        <v>0</v>
      </c>
      <c r="BW476" s="542">
        <f>IF(AND(BW$4&gt;$T157,BW$4&lt;=$V157),1,0)*'Detailed Assumptions'!$E$6</f>
        <v>0</v>
      </c>
      <c r="BX476" s="542">
        <f>IF(AND(BX$4&gt;$T157,BX$4&lt;=$V157),1,0)*'Detailed Assumptions'!$E$6</f>
        <v>0</v>
      </c>
      <c r="BY476" s="542">
        <f>IF(AND(BY$4&gt;$T157,BY$4&lt;=$V157),1,0)*'Detailed Assumptions'!$E$6</f>
        <v>0</v>
      </c>
    </row>
    <row r="477" spans="1:77" x14ac:dyDescent="0.3">
      <c r="A477" s="551"/>
      <c r="B477" s="548"/>
      <c r="C477" s="525"/>
      <c r="D477" s="525"/>
      <c r="E477" s="651" t="str">
        <f>"Flag - capex period: "&amp;E$158</f>
        <v>Flag - capex period: FY30 Tranche</v>
      </c>
      <c r="F477" s="525"/>
      <c r="G477" s="525"/>
      <c r="H477" s="525"/>
      <c r="I477" s="525"/>
      <c r="J477" s="525"/>
      <c r="K477" s="525"/>
      <c r="L477" s="525"/>
      <c r="M477" s="525"/>
      <c r="N477" s="525"/>
      <c r="O477" s="525"/>
      <c r="P477" s="565"/>
      <c r="Q477" s="525"/>
      <c r="R477" s="542">
        <f>IF(AND(R$4&gt;$T158,R$4&lt;=$V158),1,0)*'Detailed Assumptions'!$E$6</f>
        <v>0</v>
      </c>
      <c r="S477" s="542">
        <f>IF(AND(S$4&gt;$T158,S$4&lt;=$V158),1,0)*'Detailed Assumptions'!$E$6</f>
        <v>0</v>
      </c>
      <c r="T477" s="542">
        <f>IF(AND(T$4&gt;$T158,T$4&lt;=$V158),1,0)*'Detailed Assumptions'!$E$6</f>
        <v>0</v>
      </c>
      <c r="U477" s="542">
        <f>IF(AND(U$4&gt;$T158,U$4&lt;=$V158),1,0)*'Detailed Assumptions'!$E$6</f>
        <v>0</v>
      </c>
      <c r="V477" s="542">
        <f>IF(AND(V$4&gt;$T158,V$4&lt;=$V158),1,0)*'Detailed Assumptions'!$E$6</f>
        <v>0</v>
      </c>
      <c r="W477" s="542">
        <f>IF(AND(W$4&gt;$T158,W$4&lt;=$V158),1,0)*'Detailed Assumptions'!$E$6</f>
        <v>0</v>
      </c>
      <c r="X477" s="542">
        <f>IF(AND(X$4&gt;$T158,X$4&lt;=$V158),1,0)*'Detailed Assumptions'!$E$6</f>
        <v>0</v>
      </c>
      <c r="Y477" s="542">
        <f>IF(AND(Y$4&gt;$T158,Y$4&lt;=$V158),1,0)*'Detailed Assumptions'!$E$6</f>
        <v>0</v>
      </c>
      <c r="Z477" s="542">
        <f>IF(AND(Z$4&gt;$T158,Z$4&lt;=$V158),1,0)*'Detailed Assumptions'!$E$6</f>
        <v>0</v>
      </c>
      <c r="AA477" s="542">
        <f>IF(AND(AA$4&gt;$T158,AA$4&lt;=$V158),1,0)*'Detailed Assumptions'!$E$6</f>
        <v>0</v>
      </c>
      <c r="AB477" s="542">
        <f>IF(AND(AB$4&gt;$T158,AB$4&lt;=$V158),1,0)*'Detailed Assumptions'!$E$6</f>
        <v>0</v>
      </c>
      <c r="AC477" s="542">
        <f>IF(AND(AC$4&gt;$T158,AC$4&lt;=$V158),1,0)*'Detailed Assumptions'!$E$6</f>
        <v>0</v>
      </c>
      <c r="AD477" s="542">
        <f>IF(AND(AD$4&gt;$T158,AD$4&lt;=$V158),1,0)*'Detailed Assumptions'!$E$6</f>
        <v>0</v>
      </c>
      <c r="AE477" s="542">
        <f>IF(AND(AE$4&gt;$T158,AE$4&lt;=$V158),1,0)*'Detailed Assumptions'!$E$6</f>
        <v>0</v>
      </c>
      <c r="AF477" s="542">
        <f>IF(AND(AF$4&gt;$T158,AF$4&lt;=$V158),1,0)*'Detailed Assumptions'!$E$6</f>
        <v>0</v>
      </c>
      <c r="AG477" s="542">
        <f>IF(AND(AG$4&gt;$T158,AG$4&lt;=$V158),1,0)*'Detailed Assumptions'!$E$6</f>
        <v>0</v>
      </c>
      <c r="AH477" s="542">
        <f>IF(AND(AH$4&gt;$T158,AH$4&lt;=$V158),1,0)*'Detailed Assumptions'!$E$6</f>
        <v>0</v>
      </c>
      <c r="AI477" s="542">
        <f>IF(AND(AI$4&gt;$T158,AI$4&lt;=$V158),1,0)*'Detailed Assumptions'!$E$6</f>
        <v>0</v>
      </c>
      <c r="AJ477" s="542">
        <f>IF(AND(AJ$4&gt;$T158,AJ$4&lt;=$V158),1,0)*'Detailed Assumptions'!$E$6</f>
        <v>0</v>
      </c>
      <c r="AK477" s="542">
        <f>IF(AND(AK$4&gt;$T158,AK$4&lt;=$V158),1,0)*'Detailed Assumptions'!$E$6</f>
        <v>0</v>
      </c>
      <c r="AL477" s="542">
        <f>IF(AND(AL$4&gt;$T158,AL$4&lt;=$V158),1,0)*'Detailed Assumptions'!$E$6</f>
        <v>0</v>
      </c>
      <c r="AM477" s="542">
        <f>IF(AND(AM$4&gt;$T158,AM$4&lt;=$V158),1,0)*'Detailed Assumptions'!$E$6</f>
        <v>0</v>
      </c>
      <c r="AN477" s="542">
        <f>IF(AND(AN$4&gt;$T158,AN$4&lt;=$V158),1,0)*'Detailed Assumptions'!$E$6</f>
        <v>0</v>
      </c>
      <c r="AO477" s="542">
        <f>IF(AND(AO$4&gt;$T158,AO$4&lt;=$V158),1,0)*'Detailed Assumptions'!$E$6</f>
        <v>0</v>
      </c>
      <c r="AP477" s="542">
        <f>IF(AND(AP$4&gt;$T158,AP$4&lt;=$V158),1,0)*'Detailed Assumptions'!$E$6</f>
        <v>0</v>
      </c>
      <c r="AQ477" s="542">
        <f>IF(AND(AQ$4&gt;$T158,AQ$4&lt;=$V158),1,0)*'Detailed Assumptions'!$E$6</f>
        <v>0</v>
      </c>
      <c r="AR477" s="542">
        <f>IF(AND(AR$4&gt;$T158,AR$4&lt;=$V158),1,0)*'Detailed Assumptions'!$E$6</f>
        <v>0</v>
      </c>
      <c r="AS477" s="542">
        <f>IF(AND(AS$4&gt;$T158,AS$4&lt;=$V158),1,0)*'Detailed Assumptions'!$E$6</f>
        <v>0</v>
      </c>
      <c r="AT477" s="542">
        <f>IF(AND(AT$4&gt;$T158,AT$4&lt;=$V158),1,0)*'Detailed Assumptions'!$E$6</f>
        <v>0</v>
      </c>
      <c r="AU477" s="542">
        <f>IF(AND(AU$4&gt;$T158,AU$4&lt;=$V158),1,0)*'Detailed Assumptions'!$E$6</f>
        <v>0</v>
      </c>
      <c r="AV477" s="542">
        <f>IF(AND(AV$4&gt;$T158,AV$4&lt;=$V158),1,0)*'Detailed Assumptions'!$E$6</f>
        <v>0</v>
      </c>
      <c r="AW477" s="542">
        <f>IF(AND(AW$4&gt;$T158,AW$4&lt;=$V158),1,0)*'Detailed Assumptions'!$E$6</f>
        <v>0</v>
      </c>
      <c r="AX477" s="542">
        <f>IF(AND(AX$4&gt;$T158,AX$4&lt;=$V158),1,0)*'Detailed Assumptions'!$E$6</f>
        <v>0</v>
      </c>
      <c r="AY477" s="542">
        <f>IF(AND(AY$4&gt;$T158,AY$4&lt;=$V158),1,0)*'Detailed Assumptions'!$E$6</f>
        <v>0</v>
      </c>
      <c r="AZ477" s="542">
        <f>IF(AND(AZ$4&gt;$T158,AZ$4&lt;=$V158),1,0)*'Detailed Assumptions'!$E$6</f>
        <v>0</v>
      </c>
      <c r="BA477" s="542">
        <f>IF(AND(BA$4&gt;$T158,BA$4&lt;=$V158),1,0)*'Detailed Assumptions'!$E$6</f>
        <v>0</v>
      </c>
      <c r="BB477" s="542">
        <f>IF(AND(BB$4&gt;$T158,BB$4&lt;=$V158),1,0)*'Detailed Assumptions'!$E$6</f>
        <v>0</v>
      </c>
      <c r="BC477" s="542">
        <f>IF(AND(BC$4&gt;$T158,BC$4&lt;=$V158),1,0)*'Detailed Assumptions'!$E$6</f>
        <v>0</v>
      </c>
      <c r="BD477" s="542">
        <f>IF(AND(BD$4&gt;$T158,BD$4&lt;=$V158),1,0)*'Detailed Assumptions'!$E$6</f>
        <v>0</v>
      </c>
      <c r="BE477" s="542">
        <f>IF(AND(BE$4&gt;$T158,BE$4&lt;=$V158),1,0)*'Detailed Assumptions'!$E$6</f>
        <v>0</v>
      </c>
      <c r="BF477" s="542">
        <f>IF(AND(BF$4&gt;$T158,BF$4&lt;=$V158),1,0)*'Detailed Assumptions'!$E$6</f>
        <v>0</v>
      </c>
      <c r="BG477" s="542">
        <f>IF(AND(BG$4&gt;$T158,BG$4&lt;=$V158),1,0)*'Detailed Assumptions'!$E$6</f>
        <v>1</v>
      </c>
      <c r="BH477" s="542">
        <f>IF(AND(BH$4&gt;$T158,BH$4&lt;=$V158),1,0)*'Detailed Assumptions'!$E$6</f>
        <v>0</v>
      </c>
      <c r="BI477" s="542">
        <f>IF(AND(BI$4&gt;$T158,BI$4&lt;=$V158),1,0)*'Detailed Assumptions'!$E$6</f>
        <v>0</v>
      </c>
      <c r="BJ477" s="542">
        <f>IF(AND(BJ$4&gt;$T158,BJ$4&lt;=$V158),1,0)*'Detailed Assumptions'!$E$6</f>
        <v>0</v>
      </c>
      <c r="BK477" s="542">
        <f>IF(AND(BK$4&gt;$T158,BK$4&lt;=$V158),1,0)*'Detailed Assumptions'!$E$6</f>
        <v>0</v>
      </c>
      <c r="BL477" s="542">
        <f>IF(AND(BL$4&gt;$T158,BL$4&lt;=$V158),1,0)*'Detailed Assumptions'!$E$6</f>
        <v>0</v>
      </c>
      <c r="BM477" s="542">
        <f>IF(AND(BM$4&gt;$T158,BM$4&lt;=$V158),1,0)*'Detailed Assumptions'!$E$6</f>
        <v>0</v>
      </c>
      <c r="BN477" s="542">
        <f>IF(AND(BN$4&gt;$T158,BN$4&lt;=$V158),1,0)*'Detailed Assumptions'!$E$6</f>
        <v>0</v>
      </c>
      <c r="BO477" s="542">
        <f>IF(AND(BO$4&gt;$T158,BO$4&lt;=$V158),1,0)*'Detailed Assumptions'!$E$6</f>
        <v>0</v>
      </c>
      <c r="BP477" s="542">
        <f>IF(AND(BP$4&gt;$T158,BP$4&lt;=$V158),1,0)*'Detailed Assumptions'!$E$6</f>
        <v>0</v>
      </c>
      <c r="BQ477" s="542">
        <f>IF(AND(BQ$4&gt;$T158,BQ$4&lt;=$V158),1,0)*'Detailed Assumptions'!$E$6</f>
        <v>0</v>
      </c>
      <c r="BR477" s="542">
        <f>IF(AND(BR$4&gt;$T158,BR$4&lt;=$V158),1,0)*'Detailed Assumptions'!$E$6</f>
        <v>0</v>
      </c>
      <c r="BS477" s="542">
        <f>IF(AND(BS$4&gt;$T158,BS$4&lt;=$V158),1,0)*'Detailed Assumptions'!$E$6</f>
        <v>0</v>
      </c>
      <c r="BT477" s="542">
        <f>IF(AND(BT$4&gt;$T158,BT$4&lt;=$V158),1,0)*'Detailed Assumptions'!$E$6</f>
        <v>0</v>
      </c>
      <c r="BU477" s="542">
        <f>IF(AND(BU$4&gt;$T158,BU$4&lt;=$V158),1,0)*'Detailed Assumptions'!$E$6</f>
        <v>0</v>
      </c>
      <c r="BV477" s="542">
        <f>IF(AND(BV$4&gt;$T158,BV$4&lt;=$V158),1,0)*'Detailed Assumptions'!$E$6</f>
        <v>0</v>
      </c>
      <c r="BW477" s="542">
        <f>IF(AND(BW$4&gt;$T158,BW$4&lt;=$V158),1,0)*'Detailed Assumptions'!$E$6</f>
        <v>0</v>
      </c>
      <c r="BX477" s="542">
        <f>IF(AND(BX$4&gt;$T158,BX$4&lt;=$V158),1,0)*'Detailed Assumptions'!$E$6</f>
        <v>0</v>
      </c>
      <c r="BY477" s="542">
        <f>IF(AND(BY$4&gt;$T158,BY$4&lt;=$V158),1,0)*'Detailed Assumptions'!$E$6</f>
        <v>0</v>
      </c>
    </row>
    <row r="478" spans="1:77" x14ac:dyDescent="0.3">
      <c r="A478" s="551"/>
      <c r="B478" s="548"/>
      <c r="C478" s="525"/>
      <c r="D478" s="525"/>
      <c r="E478" s="651" t="str">
        <f>"Flag - capex period: "&amp;E$159</f>
        <v>Flag - capex period: FY31 Tranche</v>
      </c>
      <c r="F478" s="525"/>
      <c r="G478" s="525"/>
      <c r="H478" s="525"/>
      <c r="I478" s="525"/>
      <c r="J478" s="525"/>
      <c r="K478" s="525"/>
      <c r="L478" s="525"/>
      <c r="M478" s="525"/>
      <c r="N478" s="525"/>
      <c r="O478" s="525"/>
      <c r="P478" s="565"/>
      <c r="Q478" s="525"/>
      <c r="R478" s="542">
        <f>IF(AND(R$4&gt;$T159,R$4&lt;=$V159),1,0)*'Detailed Assumptions'!$E$6</f>
        <v>0</v>
      </c>
      <c r="S478" s="542">
        <f>IF(AND(S$4&gt;$T159,S$4&lt;=$V159),1,0)*'Detailed Assumptions'!$E$6</f>
        <v>0</v>
      </c>
      <c r="T478" s="542">
        <f>IF(AND(T$4&gt;$T159,T$4&lt;=$V159),1,0)*'Detailed Assumptions'!$E$6</f>
        <v>0</v>
      </c>
      <c r="U478" s="542">
        <f>IF(AND(U$4&gt;$T159,U$4&lt;=$V159),1,0)*'Detailed Assumptions'!$E$6</f>
        <v>0</v>
      </c>
      <c r="V478" s="542">
        <f>IF(AND(V$4&gt;$T159,V$4&lt;=$V159),1,0)*'Detailed Assumptions'!$E$6</f>
        <v>0</v>
      </c>
      <c r="W478" s="542">
        <f>IF(AND(W$4&gt;$T159,W$4&lt;=$V159),1,0)*'Detailed Assumptions'!$E$6</f>
        <v>0</v>
      </c>
      <c r="X478" s="542">
        <f>IF(AND(X$4&gt;$T159,X$4&lt;=$V159),1,0)*'Detailed Assumptions'!$E$6</f>
        <v>0</v>
      </c>
      <c r="Y478" s="542">
        <f>IF(AND(Y$4&gt;$T159,Y$4&lt;=$V159),1,0)*'Detailed Assumptions'!$E$6</f>
        <v>0</v>
      </c>
      <c r="Z478" s="542">
        <f>IF(AND(Z$4&gt;$T159,Z$4&lt;=$V159),1,0)*'Detailed Assumptions'!$E$6</f>
        <v>0</v>
      </c>
      <c r="AA478" s="542">
        <f>IF(AND(AA$4&gt;$T159,AA$4&lt;=$V159),1,0)*'Detailed Assumptions'!$E$6</f>
        <v>0</v>
      </c>
      <c r="AB478" s="542">
        <f>IF(AND(AB$4&gt;$T159,AB$4&lt;=$V159),1,0)*'Detailed Assumptions'!$E$6</f>
        <v>0</v>
      </c>
      <c r="AC478" s="542">
        <f>IF(AND(AC$4&gt;$T159,AC$4&lt;=$V159),1,0)*'Detailed Assumptions'!$E$6</f>
        <v>0</v>
      </c>
      <c r="AD478" s="542">
        <f>IF(AND(AD$4&gt;$T159,AD$4&lt;=$V159),1,0)*'Detailed Assumptions'!$E$6</f>
        <v>0</v>
      </c>
      <c r="AE478" s="542">
        <f>IF(AND(AE$4&gt;$T159,AE$4&lt;=$V159),1,0)*'Detailed Assumptions'!$E$6</f>
        <v>0</v>
      </c>
      <c r="AF478" s="542">
        <f>IF(AND(AF$4&gt;$T159,AF$4&lt;=$V159),1,0)*'Detailed Assumptions'!$E$6</f>
        <v>0</v>
      </c>
      <c r="AG478" s="542">
        <f>IF(AND(AG$4&gt;$T159,AG$4&lt;=$V159),1,0)*'Detailed Assumptions'!$E$6</f>
        <v>0</v>
      </c>
      <c r="AH478" s="542">
        <f>IF(AND(AH$4&gt;$T159,AH$4&lt;=$V159),1,0)*'Detailed Assumptions'!$E$6</f>
        <v>0</v>
      </c>
      <c r="AI478" s="542">
        <f>IF(AND(AI$4&gt;$T159,AI$4&lt;=$V159),1,0)*'Detailed Assumptions'!$E$6</f>
        <v>0</v>
      </c>
      <c r="AJ478" s="542">
        <f>IF(AND(AJ$4&gt;$T159,AJ$4&lt;=$V159),1,0)*'Detailed Assumptions'!$E$6</f>
        <v>0</v>
      </c>
      <c r="AK478" s="542">
        <f>IF(AND(AK$4&gt;$T159,AK$4&lt;=$V159),1,0)*'Detailed Assumptions'!$E$6</f>
        <v>0</v>
      </c>
      <c r="AL478" s="542">
        <f>IF(AND(AL$4&gt;$T159,AL$4&lt;=$V159),1,0)*'Detailed Assumptions'!$E$6</f>
        <v>0</v>
      </c>
      <c r="AM478" s="542">
        <f>IF(AND(AM$4&gt;$T159,AM$4&lt;=$V159),1,0)*'Detailed Assumptions'!$E$6</f>
        <v>0</v>
      </c>
      <c r="AN478" s="542">
        <f>IF(AND(AN$4&gt;$T159,AN$4&lt;=$V159),1,0)*'Detailed Assumptions'!$E$6</f>
        <v>0</v>
      </c>
      <c r="AO478" s="542">
        <f>IF(AND(AO$4&gt;$T159,AO$4&lt;=$V159),1,0)*'Detailed Assumptions'!$E$6</f>
        <v>0</v>
      </c>
      <c r="AP478" s="542">
        <f>IF(AND(AP$4&gt;$T159,AP$4&lt;=$V159),1,0)*'Detailed Assumptions'!$E$6</f>
        <v>0</v>
      </c>
      <c r="AQ478" s="542">
        <f>IF(AND(AQ$4&gt;$T159,AQ$4&lt;=$V159),1,0)*'Detailed Assumptions'!$E$6</f>
        <v>0</v>
      </c>
      <c r="AR478" s="542">
        <f>IF(AND(AR$4&gt;$T159,AR$4&lt;=$V159),1,0)*'Detailed Assumptions'!$E$6</f>
        <v>0</v>
      </c>
      <c r="AS478" s="542">
        <f>IF(AND(AS$4&gt;$T159,AS$4&lt;=$V159),1,0)*'Detailed Assumptions'!$E$6</f>
        <v>0</v>
      </c>
      <c r="AT478" s="542">
        <f>IF(AND(AT$4&gt;$T159,AT$4&lt;=$V159),1,0)*'Detailed Assumptions'!$E$6</f>
        <v>0</v>
      </c>
      <c r="AU478" s="542">
        <f>IF(AND(AU$4&gt;$T159,AU$4&lt;=$V159),1,0)*'Detailed Assumptions'!$E$6</f>
        <v>0</v>
      </c>
      <c r="AV478" s="542">
        <f>IF(AND(AV$4&gt;$T159,AV$4&lt;=$V159),1,0)*'Detailed Assumptions'!$E$6</f>
        <v>0</v>
      </c>
      <c r="AW478" s="542">
        <f>IF(AND(AW$4&gt;$T159,AW$4&lt;=$V159),1,0)*'Detailed Assumptions'!$E$6</f>
        <v>0</v>
      </c>
      <c r="AX478" s="542">
        <f>IF(AND(AX$4&gt;$T159,AX$4&lt;=$V159),1,0)*'Detailed Assumptions'!$E$6</f>
        <v>0</v>
      </c>
      <c r="AY478" s="542">
        <f>IF(AND(AY$4&gt;$T159,AY$4&lt;=$V159),1,0)*'Detailed Assumptions'!$E$6</f>
        <v>0</v>
      </c>
      <c r="AZ478" s="542">
        <f>IF(AND(AZ$4&gt;$T159,AZ$4&lt;=$V159),1,0)*'Detailed Assumptions'!$E$6</f>
        <v>0</v>
      </c>
      <c r="BA478" s="542">
        <f>IF(AND(BA$4&gt;$T159,BA$4&lt;=$V159),1,0)*'Detailed Assumptions'!$E$6</f>
        <v>0</v>
      </c>
      <c r="BB478" s="542">
        <f>IF(AND(BB$4&gt;$T159,BB$4&lt;=$V159),1,0)*'Detailed Assumptions'!$E$6</f>
        <v>0</v>
      </c>
      <c r="BC478" s="542">
        <f>IF(AND(BC$4&gt;$T159,BC$4&lt;=$V159),1,0)*'Detailed Assumptions'!$E$6</f>
        <v>0</v>
      </c>
      <c r="BD478" s="542">
        <f>IF(AND(BD$4&gt;$T159,BD$4&lt;=$V159),1,0)*'Detailed Assumptions'!$E$6</f>
        <v>0</v>
      </c>
      <c r="BE478" s="542">
        <f>IF(AND(BE$4&gt;$T159,BE$4&lt;=$V159),1,0)*'Detailed Assumptions'!$E$6</f>
        <v>0</v>
      </c>
      <c r="BF478" s="542">
        <f>IF(AND(BF$4&gt;$T159,BF$4&lt;=$V159),1,0)*'Detailed Assumptions'!$E$6</f>
        <v>0</v>
      </c>
      <c r="BG478" s="542">
        <f>IF(AND(BG$4&gt;$T159,BG$4&lt;=$V159),1,0)*'Detailed Assumptions'!$E$6</f>
        <v>0</v>
      </c>
      <c r="BH478" s="542">
        <f>IF(AND(BH$4&gt;$T159,BH$4&lt;=$V159),1,0)*'Detailed Assumptions'!$E$6</f>
        <v>0</v>
      </c>
      <c r="BI478" s="542">
        <f>IF(AND(BI$4&gt;$T159,BI$4&lt;=$V159),1,0)*'Detailed Assumptions'!$E$6</f>
        <v>0</v>
      </c>
      <c r="BJ478" s="542">
        <f>IF(AND(BJ$4&gt;$T159,BJ$4&lt;=$V159),1,0)*'Detailed Assumptions'!$E$6</f>
        <v>0</v>
      </c>
      <c r="BK478" s="542">
        <f>IF(AND(BK$4&gt;$T159,BK$4&lt;=$V159),1,0)*'Detailed Assumptions'!$E$6</f>
        <v>0</v>
      </c>
      <c r="BL478" s="542">
        <f>IF(AND(BL$4&gt;$T159,BL$4&lt;=$V159),1,0)*'Detailed Assumptions'!$E$6</f>
        <v>0</v>
      </c>
      <c r="BM478" s="542">
        <f>IF(AND(BM$4&gt;$T159,BM$4&lt;=$V159),1,0)*'Detailed Assumptions'!$E$6</f>
        <v>0</v>
      </c>
      <c r="BN478" s="542">
        <f>IF(AND(BN$4&gt;$T159,BN$4&lt;=$V159),1,0)*'Detailed Assumptions'!$E$6</f>
        <v>0</v>
      </c>
      <c r="BO478" s="542">
        <f>IF(AND(BO$4&gt;$T159,BO$4&lt;=$V159),1,0)*'Detailed Assumptions'!$E$6</f>
        <v>0</v>
      </c>
      <c r="BP478" s="542">
        <f>IF(AND(BP$4&gt;$T159,BP$4&lt;=$V159),1,0)*'Detailed Assumptions'!$E$6</f>
        <v>0</v>
      </c>
      <c r="BQ478" s="542">
        <f>IF(AND(BQ$4&gt;$T159,BQ$4&lt;=$V159),1,0)*'Detailed Assumptions'!$E$6</f>
        <v>0</v>
      </c>
      <c r="BR478" s="542">
        <f>IF(AND(BR$4&gt;$T159,BR$4&lt;=$V159),1,0)*'Detailed Assumptions'!$E$6</f>
        <v>0</v>
      </c>
      <c r="BS478" s="542">
        <f>IF(AND(BS$4&gt;$T159,BS$4&lt;=$V159),1,0)*'Detailed Assumptions'!$E$6</f>
        <v>1</v>
      </c>
      <c r="BT478" s="542">
        <f>IF(AND(BT$4&gt;$T159,BT$4&lt;=$V159),1,0)*'Detailed Assumptions'!$E$6</f>
        <v>0</v>
      </c>
      <c r="BU478" s="542">
        <f>IF(AND(BU$4&gt;$T159,BU$4&lt;=$V159),1,0)*'Detailed Assumptions'!$E$6</f>
        <v>0</v>
      </c>
      <c r="BV478" s="542">
        <f>IF(AND(BV$4&gt;$T159,BV$4&lt;=$V159),1,0)*'Detailed Assumptions'!$E$6</f>
        <v>0</v>
      </c>
      <c r="BW478" s="542">
        <f>IF(AND(BW$4&gt;$T159,BW$4&lt;=$V159),1,0)*'Detailed Assumptions'!$E$6</f>
        <v>0</v>
      </c>
      <c r="BX478" s="542">
        <f>IF(AND(BX$4&gt;$T159,BX$4&lt;=$V159),1,0)*'Detailed Assumptions'!$E$6</f>
        <v>0</v>
      </c>
      <c r="BY478" s="542">
        <f>IF(AND(BY$4&gt;$T159,BY$4&lt;=$V159),1,0)*'Detailed Assumptions'!$E$6</f>
        <v>0</v>
      </c>
    </row>
    <row r="479" spans="1:77" x14ac:dyDescent="0.3">
      <c r="A479" s="551"/>
      <c r="B479" s="548"/>
      <c r="C479" s="525"/>
      <c r="D479" s="525"/>
      <c r="E479" s="651" t="str">
        <f>"Flag - capex period: "&amp;E$160</f>
        <v>Flag - capex period: Uninvested Tranche</v>
      </c>
      <c r="F479" s="525"/>
      <c r="G479" s="525"/>
      <c r="H479" s="525"/>
      <c r="I479" s="525"/>
      <c r="J479" s="525"/>
      <c r="K479" s="525"/>
      <c r="L479" s="525"/>
      <c r="M479" s="525"/>
      <c r="N479" s="525"/>
      <c r="O479" s="525"/>
      <c r="P479" s="565"/>
      <c r="Q479" s="525"/>
      <c r="R479" s="542">
        <f>IF(AND(R$4&gt;$T160,R$4&lt;=$V160),1,0)*'Detailed Assumptions'!$E$6</f>
        <v>0</v>
      </c>
      <c r="S479" s="542">
        <f>IF(AND(S$4&gt;$T160,S$4&lt;=$V160),1,0)*'Detailed Assumptions'!$E$6</f>
        <v>0</v>
      </c>
      <c r="T479" s="542">
        <f>IF(AND(T$4&gt;$T160,T$4&lt;=$V160),1,0)*'Detailed Assumptions'!$E$6</f>
        <v>0</v>
      </c>
      <c r="U479" s="542">
        <f>IF(AND(U$4&gt;$T160,U$4&lt;=$V160),1,0)*'Detailed Assumptions'!$E$6</f>
        <v>0</v>
      </c>
      <c r="V479" s="542">
        <f>IF(AND(V$4&gt;$T160,V$4&lt;=$V160),1,0)*'Detailed Assumptions'!$E$6</f>
        <v>0</v>
      </c>
      <c r="W479" s="542">
        <f>IF(AND(W$4&gt;$T160,W$4&lt;=$V160),1,0)*'Detailed Assumptions'!$E$6</f>
        <v>0</v>
      </c>
      <c r="X479" s="542">
        <f>IF(AND(X$4&gt;$T160,X$4&lt;=$V160),1,0)*'Detailed Assumptions'!$E$6</f>
        <v>0</v>
      </c>
      <c r="Y479" s="542">
        <f>IF(AND(Y$4&gt;$T160,Y$4&lt;=$V160),1,0)*'Detailed Assumptions'!$E$6</f>
        <v>0</v>
      </c>
      <c r="Z479" s="542">
        <f>IF(AND(Z$4&gt;$T160,Z$4&lt;=$V160),1,0)*'Detailed Assumptions'!$E$6</f>
        <v>0</v>
      </c>
      <c r="AA479" s="542">
        <f>IF(AND(AA$4&gt;$T160,AA$4&lt;=$V160),1,0)*'Detailed Assumptions'!$E$6</f>
        <v>0</v>
      </c>
      <c r="AB479" s="542">
        <f>IF(AND(AB$4&gt;$T160,AB$4&lt;=$V160),1,0)*'Detailed Assumptions'!$E$6</f>
        <v>0</v>
      </c>
      <c r="AC479" s="542">
        <f>IF(AND(AC$4&gt;$T160,AC$4&lt;=$V160),1,0)*'Detailed Assumptions'!$E$6</f>
        <v>0</v>
      </c>
      <c r="AD479" s="542">
        <f>IF(AND(AD$4&gt;$T160,AD$4&lt;=$V160),1,0)*'Detailed Assumptions'!$E$6</f>
        <v>0</v>
      </c>
      <c r="AE479" s="542">
        <f>IF(AND(AE$4&gt;$T160,AE$4&lt;=$V160),1,0)*'Detailed Assumptions'!$E$6</f>
        <v>0</v>
      </c>
      <c r="AF479" s="542">
        <f>IF(AND(AF$4&gt;$T160,AF$4&lt;=$V160),1,0)*'Detailed Assumptions'!$E$6</f>
        <v>0</v>
      </c>
      <c r="AG479" s="542">
        <f>IF(AND(AG$4&gt;$T160,AG$4&lt;=$V160),1,0)*'Detailed Assumptions'!$E$6</f>
        <v>0</v>
      </c>
      <c r="AH479" s="542">
        <f>IF(AND(AH$4&gt;$T160,AH$4&lt;=$V160),1,0)*'Detailed Assumptions'!$E$6</f>
        <v>0</v>
      </c>
      <c r="AI479" s="542">
        <f>IF(AND(AI$4&gt;$T160,AI$4&lt;=$V160),1,0)*'Detailed Assumptions'!$E$6</f>
        <v>0</v>
      </c>
      <c r="AJ479" s="542">
        <f>IF(AND(AJ$4&gt;$T160,AJ$4&lt;=$V160),1,0)*'Detailed Assumptions'!$E$6</f>
        <v>0</v>
      </c>
      <c r="AK479" s="542">
        <f>IF(AND(AK$4&gt;$T160,AK$4&lt;=$V160),1,0)*'Detailed Assumptions'!$E$6</f>
        <v>0</v>
      </c>
      <c r="AL479" s="542">
        <f>IF(AND(AL$4&gt;$T160,AL$4&lt;=$V160),1,0)*'Detailed Assumptions'!$E$6</f>
        <v>0</v>
      </c>
      <c r="AM479" s="542">
        <f>IF(AND(AM$4&gt;$T160,AM$4&lt;=$V160),1,0)*'Detailed Assumptions'!$E$6</f>
        <v>0</v>
      </c>
      <c r="AN479" s="542">
        <f>IF(AND(AN$4&gt;$T160,AN$4&lt;=$V160),1,0)*'Detailed Assumptions'!$E$6</f>
        <v>0</v>
      </c>
      <c r="AO479" s="542">
        <f>IF(AND(AO$4&gt;$T160,AO$4&lt;=$V160),1,0)*'Detailed Assumptions'!$E$6</f>
        <v>0</v>
      </c>
      <c r="AP479" s="542">
        <f>IF(AND(AP$4&gt;$T160,AP$4&lt;=$V160),1,0)*'Detailed Assumptions'!$E$6</f>
        <v>0</v>
      </c>
      <c r="AQ479" s="542">
        <f>IF(AND(AQ$4&gt;$T160,AQ$4&lt;=$V160),1,0)*'Detailed Assumptions'!$E$6</f>
        <v>0</v>
      </c>
      <c r="AR479" s="542">
        <f>IF(AND(AR$4&gt;$T160,AR$4&lt;=$V160),1,0)*'Detailed Assumptions'!$E$6</f>
        <v>0</v>
      </c>
      <c r="AS479" s="542">
        <f>IF(AND(AS$4&gt;$T160,AS$4&lt;=$V160),1,0)*'Detailed Assumptions'!$E$6</f>
        <v>0</v>
      </c>
      <c r="AT479" s="542">
        <f>IF(AND(AT$4&gt;$T160,AT$4&lt;=$V160),1,0)*'Detailed Assumptions'!$E$6</f>
        <v>0</v>
      </c>
      <c r="AU479" s="542">
        <f>IF(AND(AU$4&gt;$T160,AU$4&lt;=$V160),1,0)*'Detailed Assumptions'!$E$6</f>
        <v>0</v>
      </c>
      <c r="AV479" s="542">
        <f>IF(AND(AV$4&gt;$T160,AV$4&lt;=$V160),1,0)*'Detailed Assumptions'!$E$6</f>
        <v>0</v>
      </c>
      <c r="AW479" s="542">
        <f>IF(AND(AW$4&gt;$T160,AW$4&lt;=$V160),1,0)*'Detailed Assumptions'!$E$6</f>
        <v>0</v>
      </c>
      <c r="AX479" s="542">
        <f>IF(AND(AX$4&gt;$T160,AX$4&lt;=$V160),1,0)*'Detailed Assumptions'!$E$6</f>
        <v>0</v>
      </c>
      <c r="AY479" s="542">
        <f>IF(AND(AY$4&gt;$T160,AY$4&lt;=$V160),1,0)*'Detailed Assumptions'!$E$6</f>
        <v>0</v>
      </c>
      <c r="AZ479" s="542">
        <f>IF(AND(AZ$4&gt;$T160,AZ$4&lt;=$V160),1,0)*'Detailed Assumptions'!$E$6</f>
        <v>0</v>
      </c>
      <c r="BA479" s="542">
        <f>IF(AND(BA$4&gt;$T160,BA$4&lt;=$V160),1,0)*'Detailed Assumptions'!$E$6</f>
        <v>0</v>
      </c>
      <c r="BB479" s="542">
        <f>IF(AND(BB$4&gt;$T160,BB$4&lt;=$V160),1,0)*'Detailed Assumptions'!$E$6</f>
        <v>0</v>
      </c>
      <c r="BC479" s="542">
        <f>IF(AND(BC$4&gt;$T160,BC$4&lt;=$V160),1,0)*'Detailed Assumptions'!$E$6</f>
        <v>0</v>
      </c>
      <c r="BD479" s="542">
        <f>IF(AND(BD$4&gt;$T160,BD$4&lt;=$V160),1,0)*'Detailed Assumptions'!$E$6</f>
        <v>0</v>
      </c>
      <c r="BE479" s="542">
        <f>IF(AND(BE$4&gt;$T160,BE$4&lt;=$V160),1,0)*'Detailed Assumptions'!$E$6</f>
        <v>0</v>
      </c>
      <c r="BF479" s="542">
        <f>IF(AND(BF$4&gt;$T160,BF$4&lt;=$V160),1,0)*'Detailed Assumptions'!$E$6</f>
        <v>0</v>
      </c>
      <c r="BG479" s="542">
        <f>IF(AND(BG$4&gt;$T160,BG$4&lt;=$V160),1,0)*'Detailed Assumptions'!$E$6</f>
        <v>0</v>
      </c>
      <c r="BH479" s="542">
        <f>IF(AND(BH$4&gt;$T160,BH$4&lt;=$V160),1,0)*'Detailed Assumptions'!$E$6</f>
        <v>0</v>
      </c>
      <c r="BI479" s="542">
        <f>IF(AND(BI$4&gt;$T160,BI$4&lt;=$V160),1,0)*'Detailed Assumptions'!$E$6</f>
        <v>0</v>
      </c>
      <c r="BJ479" s="542">
        <f>IF(AND(BJ$4&gt;$T160,BJ$4&lt;=$V160),1,0)*'Detailed Assumptions'!$E$6</f>
        <v>0</v>
      </c>
      <c r="BK479" s="542">
        <f>IF(AND(BK$4&gt;$T160,BK$4&lt;=$V160),1,0)*'Detailed Assumptions'!$E$6</f>
        <v>0</v>
      </c>
      <c r="BL479" s="542">
        <f>IF(AND(BL$4&gt;$T160,BL$4&lt;=$V160),1,0)*'Detailed Assumptions'!$E$6</f>
        <v>0</v>
      </c>
      <c r="BM479" s="542">
        <f>IF(AND(BM$4&gt;$T160,BM$4&lt;=$V160),1,0)*'Detailed Assumptions'!$E$6</f>
        <v>0</v>
      </c>
      <c r="BN479" s="542">
        <f>IF(AND(BN$4&gt;$T160,BN$4&lt;=$V160),1,0)*'Detailed Assumptions'!$E$6</f>
        <v>0</v>
      </c>
      <c r="BO479" s="542">
        <f>IF(AND(BO$4&gt;$T160,BO$4&lt;=$V160),1,0)*'Detailed Assumptions'!$E$6</f>
        <v>0</v>
      </c>
      <c r="BP479" s="542">
        <f>IF(AND(BP$4&gt;$T160,BP$4&lt;=$V160),1,0)*'Detailed Assumptions'!$E$6</f>
        <v>0</v>
      </c>
      <c r="BQ479" s="542">
        <f>IF(AND(BQ$4&gt;$T160,BQ$4&lt;=$V160),1,0)*'Detailed Assumptions'!$E$6</f>
        <v>0</v>
      </c>
      <c r="BR479" s="542">
        <f>IF(AND(BR$4&gt;$T160,BR$4&lt;=$V160),1,0)*'Detailed Assumptions'!$E$6</f>
        <v>0</v>
      </c>
      <c r="BS479" s="542">
        <f>IF(AND(BS$4&gt;$T160,BS$4&lt;=$V160),1,0)*'Detailed Assumptions'!$E$6</f>
        <v>0</v>
      </c>
      <c r="BT479" s="542">
        <f>IF(AND(BT$4&gt;$T160,BT$4&lt;=$V160),1,0)*'Detailed Assumptions'!$E$6</f>
        <v>0</v>
      </c>
      <c r="BU479" s="542">
        <f>IF(AND(BU$4&gt;$T160,BU$4&lt;=$V160),1,0)*'Detailed Assumptions'!$E$6</f>
        <v>0</v>
      </c>
      <c r="BV479" s="542">
        <f>IF(AND(BV$4&gt;$T160,BV$4&lt;=$V160),1,0)*'Detailed Assumptions'!$E$6</f>
        <v>0</v>
      </c>
      <c r="BW479" s="542">
        <f>IF(AND(BW$4&gt;$T160,BW$4&lt;=$V160),1,0)*'Detailed Assumptions'!$E$6</f>
        <v>0</v>
      </c>
      <c r="BX479" s="542">
        <f>IF(AND(BX$4&gt;$T160,BX$4&lt;=$V160),1,0)*'Detailed Assumptions'!$E$6</f>
        <v>0</v>
      </c>
      <c r="BY479" s="542">
        <f>IF(AND(BY$4&gt;$T160,BY$4&lt;=$V160),1,0)*'Detailed Assumptions'!$E$6</f>
        <v>0</v>
      </c>
    </row>
    <row r="480" spans="1:77" x14ac:dyDescent="0.3">
      <c r="A480" s="551"/>
      <c r="B480" s="548"/>
      <c r="C480" s="525"/>
      <c r="D480" s="525"/>
      <c r="E480" s="525"/>
      <c r="F480" s="525"/>
      <c r="G480" s="525"/>
      <c r="H480" s="525"/>
      <c r="I480" s="525"/>
      <c r="J480" s="525"/>
      <c r="K480" s="525"/>
      <c r="L480" s="525"/>
      <c r="M480" s="525"/>
      <c r="N480" s="525"/>
      <c r="O480" s="525"/>
      <c r="P480" s="565"/>
      <c r="Q480" s="525"/>
      <c r="R480" s="525"/>
      <c r="S480" s="525"/>
      <c r="T480" s="525"/>
      <c r="U480" s="525"/>
      <c r="V480" s="525"/>
      <c r="W480" s="525"/>
      <c r="X480" s="525"/>
      <c r="Y480" s="525"/>
      <c r="Z480" s="525"/>
      <c r="AA480" s="525"/>
      <c r="AB480" s="525"/>
      <c r="AC480" s="525"/>
      <c r="AD480" s="525"/>
      <c r="AE480" s="525"/>
      <c r="AF480" s="525"/>
      <c r="AG480" s="525"/>
      <c r="AH480" s="525"/>
      <c r="AI480" s="525"/>
      <c r="AJ480" s="525"/>
      <c r="AK480" s="525"/>
      <c r="AL480" s="525"/>
      <c r="AM480" s="525"/>
      <c r="AN480" s="525"/>
      <c r="AO480" s="525"/>
      <c r="AP480" s="525"/>
      <c r="AQ480" s="525"/>
      <c r="AR480" s="525"/>
      <c r="AS480" s="525"/>
      <c r="AT480" s="525"/>
      <c r="AU480" s="525"/>
      <c r="AV480" s="525"/>
      <c r="AW480" s="525"/>
      <c r="AX480" s="525"/>
      <c r="AY480" s="525"/>
      <c r="AZ480" s="525"/>
      <c r="BA480" s="525"/>
      <c r="BB480" s="525"/>
      <c r="BC480" s="525"/>
      <c r="BD480" s="525"/>
      <c r="BE480" s="525"/>
      <c r="BF480" s="525"/>
      <c r="BG480" s="525"/>
      <c r="BH480" s="525"/>
      <c r="BI480" s="525"/>
      <c r="BJ480" s="525"/>
      <c r="BK480" s="525"/>
      <c r="BL480" s="525"/>
      <c r="BM480" s="525"/>
      <c r="BN480" s="525"/>
      <c r="BO480" s="525"/>
      <c r="BP480" s="525"/>
      <c r="BQ480" s="525"/>
      <c r="BR480" s="525"/>
      <c r="BS480" s="525"/>
      <c r="BT480" s="525"/>
      <c r="BU480" s="525"/>
      <c r="BV480" s="525"/>
      <c r="BW480" s="525"/>
      <c r="BX480" s="525"/>
      <c r="BY480" s="525"/>
    </row>
    <row r="481" spans="1:77" x14ac:dyDescent="0.3">
      <c r="A481" s="551"/>
      <c r="B481" s="548"/>
      <c r="C481" s="525"/>
      <c r="D481" s="525"/>
      <c r="E481" s="570" t="s">
        <v>114</v>
      </c>
      <c r="F481" s="525"/>
      <c r="G481" s="525"/>
      <c r="H481" s="525"/>
      <c r="I481" s="525"/>
      <c r="J481" s="525"/>
      <c r="K481" s="525"/>
      <c r="L481" s="525"/>
      <c r="M481" s="525"/>
      <c r="N481" s="525"/>
      <c r="O481" s="525"/>
      <c r="P481" s="565"/>
      <c r="Q481" s="525"/>
      <c r="R481" s="525"/>
      <c r="S481" s="525"/>
      <c r="T481" s="525"/>
      <c r="U481" s="525"/>
      <c r="V481" s="525"/>
      <c r="W481" s="525"/>
      <c r="X481" s="525"/>
      <c r="Y481" s="525"/>
      <c r="Z481" s="525"/>
      <c r="AA481" s="525"/>
      <c r="AB481" s="525"/>
      <c r="AC481" s="525"/>
      <c r="AD481" s="525"/>
      <c r="AE481" s="525"/>
      <c r="AF481" s="525"/>
      <c r="AG481" s="525"/>
      <c r="AH481" s="525"/>
      <c r="AI481" s="525"/>
      <c r="AJ481" s="525"/>
      <c r="AK481" s="525"/>
      <c r="AL481" s="525"/>
      <c r="AM481" s="525"/>
      <c r="AN481" s="525"/>
      <c r="AO481" s="525"/>
      <c r="AP481" s="525"/>
      <c r="AQ481" s="525"/>
      <c r="AR481" s="525"/>
      <c r="AS481" s="525"/>
      <c r="AT481" s="525"/>
      <c r="AU481" s="525"/>
      <c r="AV481" s="525"/>
      <c r="AW481" s="525"/>
      <c r="AX481" s="525"/>
      <c r="AY481" s="525"/>
      <c r="AZ481" s="525"/>
      <c r="BA481" s="525"/>
      <c r="BB481" s="525"/>
      <c r="BC481" s="525"/>
      <c r="BD481" s="525"/>
      <c r="BE481" s="525"/>
      <c r="BF481" s="525"/>
      <c r="BG481" s="525"/>
      <c r="BH481" s="525"/>
      <c r="BI481" s="525"/>
      <c r="BJ481" s="525"/>
      <c r="BK481" s="525"/>
      <c r="BL481" s="525"/>
      <c r="BM481" s="525"/>
      <c r="BN481" s="525"/>
      <c r="BO481" s="525"/>
      <c r="BP481" s="525"/>
      <c r="BQ481" s="525"/>
      <c r="BR481" s="525"/>
      <c r="BS481" s="525"/>
      <c r="BT481" s="525"/>
      <c r="BU481" s="525"/>
      <c r="BV481" s="525"/>
      <c r="BW481" s="525"/>
      <c r="BX481" s="525"/>
      <c r="BY481" s="525"/>
    </row>
    <row r="482" spans="1:77" x14ac:dyDescent="0.3">
      <c r="A482" s="551"/>
      <c r="B482" s="548"/>
      <c r="C482" s="548"/>
      <c r="D482" s="525"/>
      <c r="E482" s="652" t="str">
        <f>"Pre vs post capex: "&amp;E$155</f>
        <v>Pre vs post capex: FY27 Tranche</v>
      </c>
      <c r="F482" s="574"/>
      <c r="G482" s="574"/>
      <c r="H482" s="574"/>
      <c r="I482" s="574"/>
      <c r="J482" s="574"/>
      <c r="K482" s="574"/>
      <c r="L482" s="574"/>
      <c r="M482" s="574"/>
      <c r="N482" s="574"/>
      <c r="O482" s="574"/>
      <c r="P482" s="653"/>
      <c r="Q482" s="574"/>
      <c r="R482" s="543">
        <f t="shared" ref="R482:BY486" si="655">IF(R498=0,0,1)</f>
        <v>0</v>
      </c>
      <c r="S482" s="543">
        <f t="shared" si="655"/>
        <v>0</v>
      </c>
      <c r="T482" s="543">
        <f t="shared" si="655"/>
        <v>0</v>
      </c>
      <c r="U482" s="543">
        <f t="shared" si="655"/>
        <v>0</v>
      </c>
      <c r="V482" s="543">
        <f t="shared" si="655"/>
        <v>0</v>
      </c>
      <c r="W482" s="543">
        <f t="shared" si="655"/>
        <v>0</v>
      </c>
      <c r="X482" s="543">
        <f t="shared" si="655"/>
        <v>1</v>
      </c>
      <c r="Y482" s="543">
        <f t="shared" si="655"/>
        <v>1</v>
      </c>
      <c r="Z482" s="543">
        <f t="shared" si="655"/>
        <v>1</v>
      </c>
      <c r="AA482" s="543">
        <f t="shared" si="655"/>
        <v>1</v>
      </c>
      <c r="AB482" s="543">
        <f t="shared" si="655"/>
        <v>1</v>
      </c>
      <c r="AC482" s="543">
        <f t="shared" si="655"/>
        <v>1</v>
      </c>
      <c r="AD482" s="543">
        <f t="shared" si="655"/>
        <v>1</v>
      </c>
      <c r="AE482" s="543">
        <f t="shared" si="655"/>
        <v>1</v>
      </c>
      <c r="AF482" s="543">
        <f t="shared" si="655"/>
        <v>1</v>
      </c>
      <c r="AG482" s="543">
        <f t="shared" si="655"/>
        <v>1</v>
      </c>
      <c r="AH482" s="543">
        <f t="shared" si="655"/>
        <v>1</v>
      </c>
      <c r="AI482" s="543">
        <f t="shared" si="655"/>
        <v>1</v>
      </c>
      <c r="AJ482" s="543">
        <f t="shared" si="655"/>
        <v>1</v>
      </c>
      <c r="AK482" s="543">
        <f t="shared" si="655"/>
        <v>1</v>
      </c>
      <c r="AL482" s="543">
        <f t="shared" si="655"/>
        <v>1</v>
      </c>
      <c r="AM482" s="543">
        <f t="shared" si="655"/>
        <v>1</v>
      </c>
      <c r="AN482" s="543">
        <f t="shared" si="655"/>
        <v>1</v>
      </c>
      <c r="AO482" s="543">
        <f t="shared" si="655"/>
        <v>1</v>
      </c>
      <c r="AP482" s="543">
        <f t="shared" si="655"/>
        <v>1</v>
      </c>
      <c r="AQ482" s="543">
        <f t="shared" si="655"/>
        <v>1</v>
      </c>
      <c r="AR482" s="543">
        <f t="shared" si="655"/>
        <v>1</v>
      </c>
      <c r="AS482" s="543">
        <f t="shared" si="655"/>
        <v>1</v>
      </c>
      <c r="AT482" s="543">
        <f t="shared" si="655"/>
        <v>1</v>
      </c>
      <c r="AU482" s="543">
        <f t="shared" si="655"/>
        <v>1</v>
      </c>
      <c r="AV482" s="543">
        <f t="shared" si="655"/>
        <v>1</v>
      </c>
      <c r="AW482" s="543">
        <f t="shared" si="655"/>
        <v>1</v>
      </c>
      <c r="AX482" s="543">
        <f t="shared" si="655"/>
        <v>1</v>
      </c>
      <c r="AY482" s="543">
        <f t="shared" si="655"/>
        <v>1</v>
      </c>
      <c r="AZ482" s="543">
        <f t="shared" si="655"/>
        <v>1</v>
      </c>
      <c r="BA482" s="543">
        <f t="shared" si="655"/>
        <v>1</v>
      </c>
      <c r="BB482" s="543">
        <f t="shared" si="655"/>
        <v>1</v>
      </c>
      <c r="BC482" s="543">
        <f t="shared" si="655"/>
        <v>1</v>
      </c>
      <c r="BD482" s="543">
        <f t="shared" si="655"/>
        <v>1</v>
      </c>
      <c r="BE482" s="543">
        <f t="shared" si="655"/>
        <v>1</v>
      </c>
      <c r="BF482" s="543">
        <f t="shared" si="655"/>
        <v>1</v>
      </c>
      <c r="BG482" s="543">
        <f t="shared" si="655"/>
        <v>1</v>
      </c>
      <c r="BH482" s="543">
        <f t="shared" si="655"/>
        <v>1</v>
      </c>
      <c r="BI482" s="543">
        <f t="shared" si="655"/>
        <v>1</v>
      </c>
      <c r="BJ482" s="543">
        <f t="shared" si="655"/>
        <v>1</v>
      </c>
      <c r="BK482" s="543">
        <f t="shared" si="655"/>
        <v>1</v>
      </c>
      <c r="BL482" s="543">
        <f t="shared" si="655"/>
        <v>1</v>
      </c>
      <c r="BM482" s="543">
        <f t="shared" si="655"/>
        <v>1</v>
      </c>
      <c r="BN482" s="543">
        <f t="shared" si="655"/>
        <v>1</v>
      </c>
      <c r="BO482" s="543">
        <f t="shared" si="655"/>
        <v>1</v>
      </c>
      <c r="BP482" s="543">
        <f t="shared" si="655"/>
        <v>1</v>
      </c>
      <c r="BQ482" s="543">
        <f t="shared" si="655"/>
        <v>1</v>
      </c>
      <c r="BR482" s="543">
        <f t="shared" si="655"/>
        <v>1</v>
      </c>
      <c r="BS482" s="543">
        <f t="shared" si="655"/>
        <v>1</v>
      </c>
      <c r="BT482" s="543">
        <f t="shared" si="655"/>
        <v>1</v>
      </c>
      <c r="BU482" s="543">
        <f t="shared" si="655"/>
        <v>1</v>
      </c>
      <c r="BV482" s="543">
        <f t="shared" si="655"/>
        <v>1</v>
      </c>
      <c r="BW482" s="543">
        <f t="shared" si="655"/>
        <v>1</v>
      </c>
      <c r="BX482" s="543">
        <f t="shared" si="655"/>
        <v>1</v>
      </c>
      <c r="BY482" s="543">
        <f t="shared" si="655"/>
        <v>1</v>
      </c>
    </row>
    <row r="483" spans="1:77" x14ac:dyDescent="0.3">
      <c r="A483" s="551"/>
      <c r="B483" s="548"/>
      <c r="C483" s="548"/>
      <c r="D483" s="525"/>
      <c r="E483" s="652" t="str">
        <f>"Pre vs post capex: "&amp;E$156</f>
        <v>Pre vs post capex: FY28 Tranche</v>
      </c>
      <c r="F483" s="574"/>
      <c r="G483" s="574"/>
      <c r="H483" s="574"/>
      <c r="I483" s="574"/>
      <c r="J483" s="574"/>
      <c r="K483" s="574"/>
      <c r="L483" s="574"/>
      <c r="M483" s="574"/>
      <c r="N483" s="574"/>
      <c r="O483" s="574"/>
      <c r="P483" s="653"/>
      <c r="Q483" s="574"/>
      <c r="R483" s="543">
        <f t="shared" si="655"/>
        <v>0</v>
      </c>
      <c r="S483" s="543">
        <f t="shared" si="655"/>
        <v>0</v>
      </c>
      <c r="T483" s="543">
        <f t="shared" si="655"/>
        <v>0</v>
      </c>
      <c r="U483" s="543">
        <f t="shared" si="655"/>
        <v>0</v>
      </c>
      <c r="V483" s="543">
        <f t="shared" si="655"/>
        <v>0</v>
      </c>
      <c r="W483" s="543">
        <f t="shared" si="655"/>
        <v>0</v>
      </c>
      <c r="X483" s="543">
        <f t="shared" si="655"/>
        <v>0</v>
      </c>
      <c r="Y483" s="543">
        <f t="shared" si="655"/>
        <v>0</v>
      </c>
      <c r="Z483" s="543">
        <f t="shared" si="655"/>
        <v>0</v>
      </c>
      <c r="AA483" s="543">
        <f t="shared" si="655"/>
        <v>0</v>
      </c>
      <c r="AB483" s="543">
        <f t="shared" si="655"/>
        <v>0</v>
      </c>
      <c r="AC483" s="543">
        <f t="shared" si="655"/>
        <v>0</v>
      </c>
      <c r="AD483" s="543">
        <f t="shared" si="655"/>
        <v>0</v>
      </c>
      <c r="AE483" s="543">
        <f t="shared" si="655"/>
        <v>0</v>
      </c>
      <c r="AF483" s="543">
        <f t="shared" si="655"/>
        <v>0</v>
      </c>
      <c r="AG483" s="543">
        <f t="shared" si="655"/>
        <v>0</v>
      </c>
      <c r="AH483" s="543">
        <f t="shared" si="655"/>
        <v>0</v>
      </c>
      <c r="AI483" s="543">
        <f t="shared" si="655"/>
        <v>0</v>
      </c>
      <c r="AJ483" s="543">
        <f t="shared" si="655"/>
        <v>1</v>
      </c>
      <c r="AK483" s="543">
        <f t="shared" si="655"/>
        <v>1</v>
      </c>
      <c r="AL483" s="543">
        <f t="shared" si="655"/>
        <v>1</v>
      </c>
      <c r="AM483" s="543">
        <f t="shared" si="655"/>
        <v>1</v>
      </c>
      <c r="AN483" s="543">
        <f t="shared" si="655"/>
        <v>1</v>
      </c>
      <c r="AO483" s="543">
        <f t="shared" si="655"/>
        <v>1</v>
      </c>
      <c r="AP483" s="543">
        <f t="shared" si="655"/>
        <v>1</v>
      </c>
      <c r="AQ483" s="543">
        <f t="shared" si="655"/>
        <v>1</v>
      </c>
      <c r="AR483" s="543">
        <f t="shared" si="655"/>
        <v>1</v>
      </c>
      <c r="AS483" s="543">
        <f t="shared" si="655"/>
        <v>1</v>
      </c>
      <c r="AT483" s="543">
        <f t="shared" si="655"/>
        <v>1</v>
      </c>
      <c r="AU483" s="543">
        <f t="shared" si="655"/>
        <v>1</v>
      </c>
      <c r="AV483" s="543">
        <f t="shared" si="655"/>
        <v>1</v>
      </c>
      <c r="AW483" s="543">
        <f t="shared" si="655"/>
        <v>1</v>
      </c>
      <c r="AX483" s="543">
        <f t="shared" si="655"/>
        <v>1</v>
      </c>
      <c r="AY483" s="543">
        <f t="shared" si="655"/>
        <v>1</v>
      </c>
      <c r="AZ483" s="543">
        <f t="shared" si="655"/>
        <v>1</v>
      </c>
      <c r="BA483" s="543">
        <f t="shared" si="655"/>
        <v>1</v>
      </c>
      <c r="BB483" s="543">
        <f t="shared" si="655"/>
        <v>1</v>
      </c>
      <c r="BC483" s="543">
        <f t="shared" si="655"/>
        <v>1</v>
      </c>
      <c r="BD483" s="543">
        <f t="shared" si="655"/>
        <v>1</v>
      </c>
      <c r="BE483" s="543">
        <f t="shared" si="655"/>
        <v>1</v>
      </c>
      <c r="BF483" s="543">
        <f t="shared" si="655"/>
        <v>1</v>
      </c>
      <c r="BG483" s="543">
        <f t="shared" si="655"/>
        <v>1</v>
      </c>
      <c r="BH483" s="543">
        <f t="shared" si="655"/>
        <v>1</v>
      </c>
      <c r="BI483" s="543">
        <f t="shared" si="655"/>
        <v>1</v>
      </c>
      <c r="BJ483" s="543">
        <f t="shared" si="655"/>
        <v>1</v>
      </c>
      <c r="BK483" s="543">
        <f t="shared" si="655"/>
        <v>1</v>
      </c>
      <c r="BL483" s="543">
        <f t="shared" si="655"/>
        <v>1</v>
      </c>
      <c r="BM483" s="543">
        <f t="shared" si="655"/>
        <v>1</v>
      </c>
      <c r="BN483" s="543">
        <f t="shared" si="655"/>
        <v>1</v>
      </c>
      <c r="BO483" s="543">
        <f t="shared" si="655"/>
        <v>1</v>
      </c>
      <c r="BP483" s="543">
        <f t="shared" si="655"/>
        <v>1</v>
      </c>
      <c r="BQ483" s="543">
        <f t="shared" si="655"/>
        <v>1</v>
      </c>
      <c r="BR483" s="543">
        <f t="shared" si="655"/>
        <v>1</v>
      </c>
      <c r="BS483" s="543">
        <f t="shared" si="655"/>
        <v>1</v>
      </c>
      <c r="BT483" s="543">
        <f t="shared" si="655"/>
        <v>1</v>
      </c>
      <c r="BU483" s="543">
        <f t="shared" si="655"/>
        <v>1</v>
      </c>
      <c r="BV483" s="543">
        <f t="shared" si="655"/>
        <v>1</v>
      </c>
      <c r="BW483" s="543">
        <f t="shared" si="655"/>
        <v>1</v>
      </c>
      <c r="BX483" s="543">
        <f t="shared" si="655"/>
        <v>1</v>
      </c>
      <c r="BY483" s="543">
        <f t="shared" si="655"/>
        <v>1</v>
      </c>
    </row>
    <row r="484" spans="1:77" x14ac:dyDescent="0.3">
      <c r="A484" s="551"/>
      <c r="B484" s="548"/>
      <c r="C484" s="548"/>
      <c r="D484" s="525"/>
      <c r="E484" s="652" t="str">
        <f>"Pre vs post capex: "&amp;E$157</f>
        <v>Pre vs post capex: FY29 Tranche</v>
      </c>
      <c r="F484" s="574"/>
      <c r="G484" s="574"/>
      <c r="H484" s="574"/>
      <c r="I484" s="574"/>
      <c r="J484" s="574"/>
      <c r="K484" s="574"/>
      <c r="L484" s="574"/>
      <c r="M484" s="574"/>
      <c r="N484" s="574"/>
      <c r="O484" s="574"/>
      <c r="P484" s="653"/>
      <c r="Q484" s="574"/>
      <c r="R484" s="543">
        <f t="shared" si="655"/>
        <v>0</v>
      </c>
      <c r="S484" s="543">
        <f t="shared" si="655"/>
        <v>0</v>
      </c>
      <c r="T484" s="543">
        <f t="shared" si="655"/>
        <v>0</v>
      </c>
      <c r="U484" s="543">
        <f t="shared" si="655"/>
        <v>0</v>
      </c>
      <c r="V484" s="543">
        <f t="shared" si="655"/>
        <v>0</v>
      </c>
      <c r="W484" s="543">
        <f t="shared" si="655"/>
        <v>0</v>
      </c>
      <c r="X484" s="543">
        <f t="shared" si="655"/>
        <v>0</v>
      </c>
      <c r="Y484" s="543">
        <f t="shared" si="655"/>
        <v>0</v>
      </c>
      <c r="Z484" s="543">
        <f t="shared" si="655"/>
        <v>0</v>
      </c>
      <c r="AA484" s="543">
        <f t="shared" si="655"/>
        <v>0</v>
      </c>
      <c r="AB484" s="543">
        <f t="shared" si="655"/>
        <v>0</v>
      </c>
      <c r="AC484" s="543">
        <f t="shared" si="655"/>
        <v>0</v>
      </c>
      <c r="AD484" s="543">
        <f t="shared" si="655"/>
        <v>0</v>
      </c>
      <c r="AE484" s="543">
        <f t="shared" si="655"/>
        <v>0</v>
      </c>
      <c r="AF484" s="543">
        <f t="shared" si="655"/>
        <v>0</v>
      </c>
      <c r="AG484" s="543">
        <f t="shared" si="655"/>
        <v>0</v>
      </c>
      <c r="AH484" s="543">
        <f t="shared" si="655"/>
        <v>0</v>
      </c>
      <c r="AI484" s="543">
        <f t="shared" si="655"/>
        <v>0</v>
      </c>
      <c r="AJ484" s="543">
        <f t="shared" si="655"/>
        <v>0</v>
      </c>
      <c r="AK484" s="543">
        <f t="shared" si="655"/>
        <v>0</v>
      </c>
      <c r="AL484" s="543">
        <f t="shared" si="655"/>
        <v>0</v>
      </c>
      <c r="AM484" s="543">
        <f t="shared" si="655"/>
        <v>0</v>
      </c>
      <c r="AN484" s="543">
        <f t="shared" si="655"/>
        <v>0</v>
      </c>
      <c r="AO484" s="543">
        <f t="shared" si="655"/>
        <v>0</v>
      </c>
      <c r="AP484" s="543">
        <f t="shared" si="655"/>
        <v>0</v>
      </c>
      <c r="AQ484" s="543">
        <f t="shared" si="655"/>
        <v>0</v>
      </c>
      <c r="AR484" s="543">
        <f t="shared" si="655"/>
        <v>0</v>
      </c>
      <c r="AS484" s="543">
        <f t="shared" si="655"/>
        <v>0</v>
      </c>
      <c r="AT484" s="543">
        <f t="shared" si="655"/>
        <v>0</v>
      </c>
      <c r="AU484" s="543">
        <f t="shared" si="655"/>
        <v>0</v>
      </c>
      <c r="AV484" s="543">
        <f t="shared" si="655"/>
        <v>1</v>
      </c>
      <c r="AW484" s="543">
        <f t="shared" si="655"/>
        <v>1</v>
      </c>
      <c r="AX484" s="543">
        <f t="shared" si="655"/>
        <v>1</v>
      </c>
      <c r="AY484" s="543">
        <f t="shared" si="655"/>
        <v>1</v>
      </c>
      <c r="AZ484" s="543">
        <f t="shared" si="655"/>
        <v>1</v>
      </c>
      <c r="BA484" s="543">
        <f t="shared" si="655"/>
        <v>1</v>
      </c>
      <c r="BB484" s="543">
        <f t="shared" si="655"/>
        <v>1</v>
      </c>
      <c r="BC484" s="543">
        <f t="shared" si="655"/>
        <v>1</v>
      </c>
      <c r="BD484" s="543">
        <f t="shared" si="655"/>
        <v>1</v>
      </c>
      <c r="BE484" s="543">
        <f t="shared" si="655"/>
        <v>1</v>
      </c>
      <c r="BF484" s="543">
        <f t="shared" si="655"/>
        <v>1</v>
      </c>
      <c r="BG484" s="543">
        <f t="shared" si="655"/>
        <v>1</v>
      </c>
      <c r="BH484" s="543">
        <f t="shared" si="655"/>
        <v>1</v>
      </c>
      <c r="BI484" s="543">
        <f t="shared" si="655"/>
        <v>1</v>
      </c>
      <c r="BJ484" s="543">
        <f t="shared" si="655"/>
        <v>1</v>
      </c>
      <c r="BK484" s="543">
        <f t="shared" si="655"/>
        <v>1</v>
      </c>
      <c r="BL484" s="543">
        <f t="shared" si="655"/>
        <v>1</v>
      </c>
      <c r="BM484" s="543">
        <f t="shared" si="655"/>
        <v>1</v>
      </c>
      <c r="BN484" s="543">
        <f t="shared" si="655"/>
        <v>1</v>
      </c>
      <c r="BO484" s="543">
        <f t="shared" si="655"/>
        <v>1</v>
      </c>
      <c r="BP484" s="543">
        <f t="shared" si="655"/>
        <v>1</v>
      </c>
      <c r="BQ484" s="543">
        <f t="shared" si="655"/>
        <v>1</v>
      </c>
      <c r="BR484" s="543">
        <f t="shared" si="655"/>
        <v>1</v>
      </c>
      <c r="BS484" s="543">
        <f t="shared" si="655"/>
        <v>1</v>
      </c>
      <c r="BT484" s="543">
        <f t="shared" si="655"/>
        <v>1</v>
      </c>
      <c r="BU484" s="543">
        <f t="shared" si="655"/>
        <v>1</v>
      </c>
      <c r="BV484" s="543">
        <f t="shared" si="655"/>
        <v>1</v>
      </c>
      <c r="BW484" s="543">
        <f t="shared" si="655"/>
        <v>1</v>
      </c>
      <c r="BX484" s="543">
        <f t="shared" si="655"/>
        <v>1</v>
      </c>
      <c r="BY484" s="543">
        <f t="shared" si="655"/>
        <v>1</v>
      </c>
    </row>
    <row r="485" spans="1:77" x14ac:dyDescent="0.3">
      <c r="A485" s="551"/>
      <c r="B485" s="548"/>
      <c r="C485" s="548"/>
      <c r="D485" s="525"/>
      <c r="E485" s="652" t="str">
        <f>"Pre vs post capex: "&amp;E$158</f>
        <v>Pre vs post capex: FY30 Tranche</v>
      </c>
      <c r="F485" s="574"/>
      <c r="G485" s="574"/>
      <c r="H485" s="574"/>
      <c r="I485" s="574"/>
      <c r="J485" s="574"/>
      <c r="K485" s="574"/>
      <c r="L485" s="574"/>
      <c r="M485" s="574"/>
      <c r="N485" s="574"/>
      <c r="O485" s="574"/>
      <c r="P485" s="653"/>
      <c r="Q485" s="574"/>
      <c r="R485" s="543">
        <f t="shared" si="655"/>
        <v>0</v>
      </c>
      <c r="S485" s="543">
        <f t="shared" si="655"/>
        <v>0</v>
      </c>
      <c r="T485" s="543">
        <f t="shared" si="655"/>
        <v>0</v>
      </c>
      <c r="U485" s="543">
        <f t="shared" si="655"/>
        <v>0</v>
      </c>
      <c r="V485" s="543">
        <f t="shared" si="655"/>
        <v>0</v>
      </c>
      <c r="W485" s="543">
        <f t="shared" si="655"/>
        <v>0</v>
      </c>
      <c r="X485" s="543">
        <f t="shared" si="655"/>
        <v>0</v>
      </c>
      <c r="Y485" s="543">
        <f t="shared" si="655"/>
        <v>0</v>
      </c>
      <c r="Z485" s="543">
        <f t="shared" si="655"/>
        <v>0</v>
      </c>
      <c r="AA485" s="543">
        <f t="shared" si="655"/>
        <v>0</v>
      </c>
      <c r="AB485" s="543">
        <f t="shared" si="655"/>
        <v>0</v>
      </c>
      <c r="AC485" s="543">
        <f t="shared" si="655"/>
        <v>0</v>
      </c>
      <c r="AD485" s="543">
        <f t="shared" si="655"/>
        <v>0</v>
      </c>
      <c r="AE485" s="543">
        <f t="shared" si="655"/>
        <v>0</v>
      </c>
      <c r="AF485" s="543">
        <f t="shared" si="655"/>
        <v>0</v>
      </c>
      <c r="AG485" s="543">
        <f t="shared" si="655"/>
        <v>0</v>
      </c>
      <c r="AH485" s="543">
        <f t="shared" si="655"/>
        <v>0</v>
      </c>
      <c r="AI485" s="543">
        <f t="shared" si="655"/>
        <v>0</v>
      </c>
      <c r="AJ485" s="543">
        <f t="shared" si="655"/>
        <v>0</v>
      </c>
      <c r="AK485" s="543">
        <f t="shared" si="655"/>
        <v>0</v>
      </c>
      <c r="AL485" s="543">
        <f t="shared" si="655"/>
        <v>0</v>
      </c>
      <c r="AM485" s="543">
        <f t="shared" si="655"/>
        <v>0</v>
      </c>
      <c r="AN485" s="543">
        <f t="shared" si="655"/>
        <v>0</v>
      </c>
      <c r="AO485" s="543">
        <f t="shared" si="655"/>
        <v>0</v>
      </c>
      <c r="AP485" s="543">
        <f t="shared" si="655"/>
        <v>0</v>
      </c>
      <c r="AQ485" s="543">
        <f t="shared" si="655"/>
        <v>0</v>
      </c>
      <c r="AR485" s="543">
        <f t="shared" si="655"/>
        <v>0</v>
      </c>
      <c r="AS485" s="543">
        <f t="shared" si="655"/>
        <v>0</v>
      </c>
      <c r="AT485" s="543">
        <f t="shared" si="655"/>
        <v>0</v>
      </c>
      <c r="AU485" s="543">
        <f t="shared" si="655"/>
        <v>0</v>
      </c>
      <c r="AV485" s="543">
        <f t="shared" si="655"/>
        <v>0</v>
      </c>
      <c r="AW485" s="543">
        <f t="shared" si="655"/>
        <v>0</v>
      </c>
      <c r="AX485" s="543">
        <f t="shared" si="655"/>
        <v>0</v>
      </c>
      <c r="AY485" s="543">
        <f t="shared" si="655"/>
        <v>0</v>
      </c>
      <c r="AZ485" s="543">
        <f t="shared" si="655"/>
        <v>0</v>
      </c>
      <c r="BA485" s="543">
        <f t="shared" si="655"/>
        <v>0</v>
      </c>
      <c r="BB485" s="543">
        <f t="shared" si="655"/>
        <v>0</v>
      </c>
      <c r="BC485" s="543">
        <f t="shared" si="655"/>
        <v>0</v>
      </c>
      <c r="BD485" s="543">
        <f t="shared" si="655"/>
        <v>0</v>
      </c>
      <c r="BE485" s="543">
        <f t="shared" si="655"/>
        <v>0</v>
      </c>
      <c r="BF485" s="543">
        <f t="shared" si="655"/>
        <v>0</v>
      </c>
      <c r="BG485" s="543">
        <f t="shared" si="655"/>
        <v>0</v>
      </c>
      <c r="BH485" s="543">
        <f t="shared" si="655"/>
        <v>1</v>
      </c>
      <c r="BI485" s="543">
        <f t="shared" si="655"/>
        <v>1</v>
      </c>
      <c r="BJ485" s="543">
        <f t="shared" si="655"/>
        <v>1</v>
      </c>
      <c r="BK485" s="543">
        <f t="shared" si="655"/>
        <v>1</v>
      </c>
      <c r="BL485" s="543">
        <f t="shared" si="655"/>
        <v>1</v>
      </c>
      <c r="BM485" s="543">
        <f t="shared" si="655"/>
        <v>1</v>
      </c>
      <c r="BN485" s="543">
        <f t="shared" si="655"/>
        <v>1</v>
      </c>
      <c r="BO485" s="543">
        <f t="shared" si="655"/>
        <v>1</v>
      </c>
      <c r="BP485" s="543">
        <f t="shared" si="655"/>
        <v>1</v>
      </c>
      <c r="BQ485" s="543">
        <f t="shared" si="655"/>
        <v>1</v>
      </c>
      <c r="BR485" s="543">
        <f t="shared" si="655"/>
        <v>1</v>
      </c>
      <c r="BS485" s="543">
        <f t="shared" si="655"/>
        <v>1</v>
      </c>
      <c r="BT485" s="543">
        <f t="shared" si="655"/>
        <v>1</v>
      </c>
      <c r="BU485" s="543">
        <f t="shared" si="655"/>
        <v>1</v>
      </c>
      <c r="BV485" s="543">
        <f t="shared" si="655"/>
        <v>1</v>
      </c>
      <c r="BW485" s="543">
        <f t="shared" si="655"/>
        <v>1</v>
      </c>
      <c r="BX485" s="543">
        <f t="shared" si="655"/>
        <v>1</v>
      </c>
      <c r="BY485" s="543">
        <f t="shared" si="655"/>
        <v>1</v>
      </c>
    </row>
    <row r="486" spans="1:77" x14ac:dyDescent="0.3">
      <c r="A486" s="551"/>
      <c r="B486" s="548"/>
      <c r="C486" s="548"/>
      <c r="D486" s="525"/>
      <c r="E486" s="652" t="str">
        <f>"Pre vs post capex: "&amp;E$159</f>
        <v>Pre vs post capex: FY31 Tranche</v>
      </c>
      <c r="F486" s="574"/>
      <c r="G486" s="574"/>
      <c r="H486" s="574"/>
      <c r="I486" s="574"/>
      <c r="J486" s="574"/>
      <c r="K486" s="574"/>
      <c r="L486" s="574"/>
      <c r="M486" s="574"/>
      <c r="N486" s="574"/>
      <c r="O486" s="574"/>
      <c r="P486" s="653"/>
      <c r="Q486" s="574"/>
      <c r="R486" s="543">
        <f t="shared" si="655"/>
        <v>0</v>
      </c>
      <c r="S486" s="543">
        <f t="shared" si="655"/>
        <v>0</v>
      </c>
      <c r="T486" s="543">
        <f t="shared" si="655"/>
        <v>0</v>
      </c>
      <c r="U486" s="543">
        <f t="shared" si="655"/>
        <v>0</v>
      </c>
      <c r="V486" s="543">
        <f t="shared" si="655"/>
        <v>0</v>
      </c>
      <c r="W486" s="543">
        <f t="shared" si="655"/>
        <v>0</v>
      </c>
      <c r="X486" s="543">
        <f t="shared" si="655"/>
        <v>0</v>
      </c>
      <c r="Y486" s="543">
        <f t="shared" si="655"/>
        <v>0</v>
      </c>
      <c r="Z486" s="543">
        <f t="shared" si="655"/>
        <v>0</v>
      </c>
      <c r="AA486" s="543">
        <f t="shared" si="655"/>
        <v>0</v>
      </c>
      <c r="AB486" s="543">
        <f t="shared" si="655"/>
        <v>0</v>
      </c>
      <c r="AC486" s="543">
        <f t="shared" si="655"/>
        <v>0</v>
      </c>
      <c r="AD486" s="543">
        <f t="shared" si="655"/>
        <v>0</v>
      </c>
      <c r="AE486" s="543">
        <f t="shared" si="655"/>
        <v>0</v>
      </c>
      <c r="AF486" s="543">
        <f t="shared" si="655"/>
        <v>0</v>
      </c>
      <c r="AG486" s="543">
        <f t="shared" ref="AG486:BY486" si="656">IF(AG502=0,0,1)</f>
        <v>0</v>
      </c>
      <c r="AH486" s="543">
        <f t="shared" si="656"/>
        <v>0</v>
      </c>
      <c r="AI486" s="543">
        <f t="shared" si="656"/>
        <v>0</v>
      </c>
      <c r="AJ486" s="543">
        <f t="shared" si="656"/>
        <v>0</v>
      </c>
      <c r="AK486" s="543">
        <f t="shared" si="656"/>
        <v>0</v>
      </c>
      <c r="AL486" s="543">
        <f t="shared" si="656"/>
        <v>0</v>
      </c>
      <c r="AM486" s="543">
        <f t="shared" si="656"/>
        <v>0</v>
      </c>
      <c r="AN486" s="543">
        <f t="shared" si="656"/>
        <v>0</v>
      </c>
      <c r="AO486" s="543">
        <f t="shared" si="656"/>
        <v>0</v>
      </c>
      <c r="AP486" s="543">
        <f t="shared" si="656"/>
        <v>0</v>
      </c>
      <c r="AQ486" s="543">
        <f t="shared" si="656"/>
        <v>0</v>
      </c>
      <c r="AR486" s="543">
        <f t="shared" si="656"/>
        <v>0</v>
      </c>
      <c r="AS486" s="543">
        <f t="shared" si="656"/>
        <v>0</v>
      </c>
      <c r="AT486" s="543">
        <f t="shared" si="656"/>
        <v>0</v>
      </c>
      <c r="AU486" s="543">
        <f t="shared" si="656"/>
        <v>0</v>
      </c>
      <c r="AV486" s="543">
        <f t="shared" si="656"/>
        <v>0</v>
      </c>
      <c r="AW486" s="543">
        <f t="shared" si="656"/>
        <v>0</v>
      </c>
      <c r="AX486" s="543">
        <f t="shared" si="656"/>
        <v>0</v>
      </c>
      <c r="AY486" s="543">
        <f t="shared" si="656"/>
        <v>0</v>
      </c>
      <c r="AZ486" s="543">
        <f t="shared" si="656"/>
        <v>0</v>
      </c>
      <c r="BA486" s="543">
        <f t="shared" si="656"/>
        <v>0</v>
      </c>
      <c r="BB486" s="543">
        <f t="shared" si="656"/>
        <v>0</v>
      </c>
      <c r="BC486" s="543">
        <f t="shared" si="656"/>
        <v>0</v>
      </c>
      <c r="BD486" s="543">
        <f t="shared" si="656"/>
        <v>0</v>
      </c>
      <c r="BE486" s="543">
        <f t="shared" si="656"/>
        <v>0</v>
      </c>
      <c r="BF486" s="543">
        <f t="shared" si="656"/>
        <v>0</v>
      </c>
      <c r="BG486" s="543">
        <f t="shared" si="656"/>
        <v>0</v>
      </c>
      <c r="BH486" s="543">
        <f t="shared" si="656"/>
        <v>0</v>
      </c>
      <c r="BI486" s="543">
        <f t="shared" si="656"/>
        <v>0</v>
      </c>
      <c r="BJ486" s="543">
        <f t="shared" si="656"/>
        <v>0</v>
      </c>
      <c r="BK486" s="543">
        <f t="shared" si="656"/>
        <v>0</v>
      </c>
      <c r="BL486" s="543">
        <f t="shared" si="656"/>
        <v>0</v>
      </c>
      <c r="BM486" s="543">
        <f t="shared" si="656"/>
        <v>0</v>
      </c>
      <c r="BN486" s="543">
        <f t="shared" si="656"/>
        <v>0</v>
      </c>
      <c r="BO486" s="543">
        <f t="shared" si="656"/>
        <v>0</v>
      </c>
      <c r="BP486" s="543">
        <f t="shared" si="656"/>
        <v>0</v>
      </c>
      <c r="BQ486" s="543">
        <f t="shared" si="656"/>
        <v>0</v>
      </c>
      <c r="BR486" s="543">
        <f t="shared" si="656"/>
        <v>0</v>
      </c>
      <c r="BS486" s="543">
        <f t="shared" si="656"/>
        <v>0</v>
      </c>
      <c r="BT486" s="543">
        <f t="shared" si="656"/>
        <v>1</v>
      </c>
      <c r="BU486" s="543">
        <f t="shared" si="656"/>
        <v>1</v>
      </c>
      <c r="BV486" s="543">
        <f t="shared" si="656"/>
        <v>1</v>
      </c>
      <c r="BW486" s="543">
        <f t="shared" si="656"/>
        <v>1</v>
      </c>
      <c r="BX486" s="543">
        <f t="shared" si="656"/>
        <v>1</v>
      </c>
      <c r="BY486" s="543">
        <f t="shared" si="656"/>
        <v>1</v>
      </c>
    </row>
    <row r="487" spans="1:77" x14ac:dyDescent="0.3">
      <c r="A487" s="551"/>
      <c r="B487" s="548"/>
      <c r="C487" s="548"/>
      <c r="D487" s="525"/>
      <c r="E487" s="652" t="str">
        <f>"Pre vs post capex: "&amp;E$160</f>
        <v>Pre vs post capex: Uninvested Tranche</v>
      </c>
      <c r="F487" s="574"/>
      <c r="G487" s="574"/>
      <c r="H487" s="574"/>
      <c r="I487" s="574"/>
      <c r="J487" s="574"/>
      <c r="K487" s="574"/>
      <c r="L487" s="574"/>
      <c r="M487" s="574"/>
      <c r="N487" s="574"/>
      <c r="O487" s="574"/>
      <c r="P487" s="653"/>
      <c r="Q487" s="574"/>
      <c r="R487" s="543">
        <f t="shared" ref="R487:AF487" si="657">IF(R503=0,0,1)</f>
        <v>0</v>
      </c>
      <c r="S487" s="543">
        <f t="shared" si="657"/>
        <v>0</v>
      </c>
      <c r="T487" s="543">
        <f t="shared" si="657"/>
        <v>0</v>
      </c>
      <c r="U487" s="543">
        <f t="shared" si="657"/>
        <v>0</v>
      </c>
      <c r="V487" s="543">
        <f t="shared" si="657"/>
        <v>0</v>
      </c>
      <c r="W487" s="543">
        <f t="shared" si="657"/>
        <v>0</v>
      </c>
      <c r="X487" s="543">
        <f t="shared" si="657"/>
        <v>0</v>
      </c>
      <c r="Y487" s="543">
        <f t="shared" si="657"/>
        <v>0</v>
      </c>
      <c r="Z487" s="543">
        <f t="shared" si="657"/>
        <v>0</v>
      </c>
      <c r="AA487" s="543">
        <f t="shared" si="657"/>
        <v>0</v>
      </c>
      <c r="AB487" s="543">
        <f t="shared" si="657"/>
        <v>0</v>
      </c>
      <c r="AC487" s="543">
        <f t="shared" si="657"/>
        <v>0</v>
      </c>
      <c r="AD487" s="543">
        <f t="shared" si="657"/>
        <v>0</v>
      </c>
      <c r="AE487" s="543">
        <f t="shared" si="657"/>
        <v>0</v>
      </c>
      <c r="AF487" s="543">
        <f t="shared" si="657"/>
        <v>0</v>
      </c>
      <c r="AG487" s="543">
        <f t="shared" ref="AG487:BY487" si="658">IF(AG503=0,0,1)</f>
        <v>0</v>
      </c>
      <c r="AH487" s="543">
        <f t="shared" si="658"/>
        <v>0</v>
      </c>
      <c r="AI487" s="543">
        <f t="shared" si="658"/>
        <v>0</v>
      </c>
      <c r="AJ487" s="543">
        <f t="shared" si="658"/>
        <v>0</v>
      </c>
      <c r="AK487" s="543">
        <f t="shared" si="658"/>
        <v>0</v>
      </c>
      <c r="AL487" s="543">
        <f t="shared" si="658"/>
        <v>0</v>
      </c>
      <c r="AM487" s="543">
        <f t="shared" si="658"/>
        <v>0</v>
      </c>
      <c r="AN487" s="543">
        <f t="shared" si="658"/>
        <v>0</v>
      </c>
      <c r="AO487" s="543">
        <f t="shared" si="658"/>
        <v>0</v>
      </c>
      <c r="AP487" s="543">
        <f t="shared" si="658"/>
        <v>0</v>
      </c>
      <c r="AQ487" s="543">
        <f t="shared" si="658"/>
        <v>0</v>
      </c>
      <c r="AR487" s="543">
        <f t="shared" si="658"/>
        <v>0</v>
      </c>
      <c r="AS487" s="543">
        <f t="shared" si="658"/>
        <v>0</v>
      </c>
      <c r="AT487" s="543">
        <f t="shared" si="658"/>
        <v>0</v>
      </c>
      <c r="AU487" s="543">
        <f t="shared" si="658"/>
        <v>0</v>
      </c>
      <c r="AV487" s="543">
        <f t="shared" si="658"/>
        <v>0</v>
      </c>
      <c r="AW487" s="543">
        <f t="shared" si="658"/>
        <v>0</v>
      </c>
      <c r="AX487" s="543">
        <f t="shared" si="658"/>
        <v>0</v>
      </c>
      <c r="AY487" s="543">
        <f t="shared" si="658"/>
        <v>0</v>
      </c>
      <c r="AZ487" s="543">
        <f t="shared" si="658"/>
        <v>0</v>
      </c>
      <c r="BA487" s="543">
        <f t="shared" si="658"/>
        <v>0</v>
      </c>
      <c r="BB487" s="543">
        <f t="shared" si="658"/>
        <v>0</v>
      </c>
      <c r="BC487" s="543">
        <f t="shared" si="658"/>
        <v>0</v>
      </c>
      <c r="BD487" s="543">
        <f t="shared" si="658"/>
        <v>0</v>
      </c>
      <c r="BE487" s="543">
        <f t="shared" si="658"/>
        <v>0</v>
      </c>
      <c r="BF487" s="543">
        <f t="shared" si="658"/>
        <v>0</v>
      </c>
      <c r="BG487" s="543">
        <f t="shared" si="658"/>
        <v>0</v>
      </c>
      <c r="BH487" s="543">
        <f t="shared" si="658"/>
        <v>0</v>
      </c>
      <c r="BI487" s="543">
        <f t="shared" si="658"/>
        <v>0</v>
      </c>
      <c r="BJ487" s="543">
        <f t="shared" si="658"/>
        <v>0</v>
      </c>
      <c r="BK487" s="543">
        <f t="shared" si="658"/>
        <v>0</v>
      </c>
      <c r="BL487" s="543">
        <f t="shared" si="658"/>
        <v>0</v>
      </c>
      <c r="BM487" s="543">
        <f t="shared" si="658"/>
        <v>0</v>
      </c>
      <c r="BN487" s="543">
        <f t="shared" si="658"/>
        <v>0</v>
      </c>
      <c r="BO487" s="543">
        <f t="shared" si="658"/>
        <v>0</v>
      </c>
      <c r="BP487" s="543">
        <f t="shared" si="658"/>
        <v>0</v>
      </c>
      <c r="BQ487" s="543">
        <f t="shared" si="658"/>
        <v>0</v>
      </c>
      <c r="BR487" s="543">
        <f t="shared" si="658"/>
        <v>0</v>
      </c>
      <c r="BS487" s="543">
        <f t="shared" si="658"/>
        <v>0</v>
      </c>
      <c r="BT487" s="543">
        <f t="shared" si="658"/>
        <v>0</v>
      </c>
      <c r="BU487" s="543">
        <f t="shared" si="658"/>
        <v>0</v>
      </c>
      <c r="BV487" s="543">
        <f t="shared" si="658"/>
        <v>0</v>
      </c>
      <c r="BW487" s="543">
        <f t="shared" si="658"/>
        <v>0</v>
      </c>
      <c r="BX487" s="543">
        <f t="shared" si="658"/>
        <v>0</v>
      </c>
      <c r="BY487" s="543">
        <f t="shared" si="658"/>
        <v>0</v>
      </c>
    </row>
    <row r="488" spans="1:77" x14ac:dyDescent="0.3">
      <c r="A488" s="551"/>
      <c r="B488" s="548"/>
      <c r="C488" s="525"/>
      <c r="D488" s="525"/>
      <c r="E488" s="525"/>
      <c r="F488" s="525"/>
      <c r="G488" s="525"/>
      <c r="H488" s="525"/>
      <c r="I488" s="525"/>
      <c r="J488" s="525"/>
      <c r="K488" s="525"/>
      <c r="L488" s="525"/>
      <c r="M488" s="525"/>
      <c r="N488" s="525"/>
      <c r="O488" s="525"/>
      <c r="P488" s="565"/>
      <c r="Q488" s="525"/>
      <c r="R488" s="525"/>
      <c r="S488" s="525"/>
      <c r="T488" s="525"/>
      <c r="U488" s="525"/>
      <c r="V488" s="525"/>
      <c r="W488" s="525"/>
      <c r="X488" s="525"/>
      <c r="Y488" s="525"/>
      <c r="Z488" s="525"/>
      <c r="AA488" s="525"/>
      <c r="AB488" s="525"/>
      <c r="AC488" s="525"/>
      <c r="AD488" s="525"/>
      <c r="AE488" s="525"/>
      <c r="AF488" s="525"/>
      <c r="AG488" s="525"/>
      <c r="AH488" s="525"/>
      <c r="AI488" s="525"/>
      <c r="AJ488" s="525"/>
      <c r="AK488" s="525"/>
      <c r="AL488" s="525"/>
      <c r="AM488" s="525"/>
      <c r="AN488" s="525"/>
      <c r="AO488" s="525"/>
      <c r="AP488" s="525"/>
      <c r="AQ488" s="525"/>
      <c r="AR488" s="525"/>
      <c r="AS488" s="525"/>
      <c r="AT488" s="525"/>
      <c r="AU488" s="525"/>
      <c r="AV488" s="525"/>
      <c r="AW488" s="525"/>
      <c r="AX488" s="525"/>
      <c r="AY488" s="525"/>
      <c r="AZ488" s="525"/>
      <c r="BA488" s="525"/>
      <c r="BB488" s="525"/>
      <c r="BC488" s="525"/>
      <c r="BD488" s="525"/>
      <c r="BE488" s="525"/>
      <c r="BF488" s="525"/>
      <c r="BG488" s="525"/>
      <c r="BH488" s="525"/>
      <c r="BI488" s="525"/>
      <c r="BJ488" s="525"/>
      <c r="BK488" s="525"/>
      <c r="BL488" s="525"/>
      <c r="BM488" s="525"/>
      <c r="BN488" s="525"/>
      <c r="BO488" s="525"/>
      <c r="BP488" s="525"/>
      <c r="BQ488" s="525"/>
      <c r="BR488" s="525"/>
      <c r="BS488" s="525"/>
      <c r="BT488" s="525"/>
      <c r="BU488" s="525"/>
      <c r="BV488" s="525"/>
      <c r="BW488" s="525"/>
      <c r="BX488" s="525"/>
      <c r="BY488" s="525"/>
    </row>
    <row r="489" spans="1:77" x14ac:dyDescent="0.3">
      <c r="A489" s="551"/>
      <c r="B489" s="548"/>
      <c r="C489" s="525"/>
      <c r="D489" s="525"/>
      <c r="E489" s="570" t="s">
        <v>115</v>
      </c>
      <c r="F489" s="525"/>
      <c r="G489" s="525"/>
      <c r="H489" s="525"/>
      <c r="I489" s="525"/>
      <c r="J489" s="525"/>
      <c r="K489" s="525"/>
      <c r="L489" s="525"/>
      <c r="M489" s="525"/>
      <c r="N489" s="525"/>
      <c r="O489" s="525"/>
      <c r="P489" s="565"/>
      <c r="Q489" s="525"/>
      <c r="R489" s="525"/>
      <c r="S489" s="525"/>
      <c r="T489" s="525"/>
      <c r="U489" s="525"/>
      <c r="V489" s="525"/>
      <c r="W489" s="525"/>
      <c r="X489" s="525"/>
      <c r="Y489" s="525"/>
      <c r="Z489" s="525"/>
      <c r="AA489" s="525"/>
      <c r="AB489" s="525"/>
      <c r="AC489" s="525"/>
      <c r="AD489" s="525"/>
      <c r="AE489" s="525"/>
      <c r="AF489" s="525"/>
      <c r="AG489" s="525"/>
      <c r="AH489" s="525"/>
      <c r="AI489" s="525"/>
      <c r="AJ489" s="525"/>
      <c r="AK489" s="525"/>
      <c r="AL489" s="525"/>
      <c r="AM489" s="525"/>
      <c r="AN489" s="525"/>
      <c r="AO489" s="525"/>
      <c r="AP489" s="525"/>
      <c r="AQ489" s="525"/>
      <c r="AR489" s="525"/>
      <c r="AS489" s="525"/>
      <c r="AT489" s="525"/>
      <c r="AU489" s="525"/>
      <c r="AV489" s="525"/>
      <c r="AW489" s="525"/>
      <c r="AX489" s="525"/>
      <c r="AY489" s="525"/>
      <c r="AZ489" s="525"/>
      <c r="BA489" s="525"/>
      <c r="BB489" s="525"/>
      <c r="BC489" s="525"/>
      <c r="BD489" s="525"/>
      <c r="BE489" s="525"/>
      <c r="BF489" s="525"/>
      <c r="BG489" s="525"/>
      <c r="BH489" s="525"/>
      <c r="BI489" s="525"/>
      <c r="BJ489" s="525"/>
      <c r="BK489" s="525"/>
      <c r="BL489" s="525"/>
      <c r="BM489" s="525"/>
      <c r="BN489" s="525"/>
      <c r="BO489" s="525"/>
      <c r="BP489" s="525"/>
      <c r="BQ489" s="525"/>
      <c r="BR489" s="525"/>
      <c r="BS489" s="525"/>
      <c r="BT489" s="525"/>
      <c r="BU489" s="525"/>
      <c r="BV489" s="525"/>
      <c r="BW489" s="525"/>
      <c r="BX489" s="525"/>
      <c r="BY489" s="525"/>
    </row>
    <row r="490" spans="1:77" x14ac:dyDescent="0.3">
      <c r="A490" s="551"/>
      <c r="B490" s="548"/>
      <c r="C490" s="548"/>
      <c r="D490" s="525"/>
      <c r="E490" s="652" t="str">
        <f>"Pre vs post capex: "&amp;E$155</f>
        <v>Pre vs post capex: FY27 Tranche</v>
      </c>
      <c r="F490" s="574"/>
      <c r="G490" s="574"/>
      <c r="H490" s="574"/>
      <c r="I490" s="574"/>
      <c r="J490" s="574"/>
      <c r="K490" s="574"/>
      <c r="L490" s="574"/>
      <c r="M490" s="574"/>
      <c r="N490" s="574"/>
      <c r="O490" s="574"/>
      <c r="P490" s="653"/>
      <c r="Q490" s="574"/>
      <c r="R490" s="543">
        <f t="shared" ref="R490:AW490" si="659">IF(R482=1,0,1)</f>
        <v>1</v>
      </c>
      <c r="S490" s="543">
        <f t="shared" si="659"/>
        <v>1</v>
      </c>
      <c r="T490" s="543">
        <f t="shared" si="659"/>
        <v>1</v>
      </c>
      <c r="U490" s="543">
        <f t="shared" si="659"/>
        <v>1</v>
      </c>
      <c r="V490" s="543">
        <f t="shared" si="659"/>
        <v>1</v>
      </c>
      <c r="W490" s="543">
        <f t="shared" si="659"/>
        <v>1</v>
      </c>
      <c r="X490" s="543">
        <f t="shared" si="659"/>
        <v>0</v>
      </c>
      <c r="Y490" s="543">
        <f t="shared" si="659"/>
        <v>0</v>
      </c>
      <c r="Z490" s="543">
        <f t="shared" si="659"/>
        <v>0</v>
      </c>
      <c r="AA490" s="543">
        <f t="shared" si="659"/>
        <v>0</v>
      </c>
      <c r="AB490" s="543">
        <f t="shared" si="659"/>
        <v>0</v>
      </c>
      <c r="AC490" s="543">
        <f t="shared" si="659"/>
        <v>0</v>
      </c>
      <c r="AD490" s="543">
        <f t="shared" si="659"/>
        <v>0</v>
      </c>
      <c r="AE490" s="543">
        <f t="shared" si="659"/>
        <v>0</v>
      </c>
      <c r="AF490" s="543">
        <f t="shared" si="659"/>
        <v>0</v>
      </c>
      <c r="AG490" s="543">
        <f t="shared" si="659"/>
        <v>0</v>
      </c>
      <c r="AH490" s="543">
        <f t="shared" si="659"/>
        <v>0</v>
      </c>
      <c r="AI490" s="543">
        <f t="shared" si="659"/>
        <v>0</v>
      </c>
      <c r="AJ490" s="543">
        <f t="shared" si="659"/>
        <v>0</v>
      </c>
      <c r="AK490" s="543">
        <f t="shared" si="659"/>
        <v>0</v>
      </c>
      <c r="AL490" s="543">
        <f t="shared" si="659"/>
        <v>0</v>
      </c>
      <c r="AM490" s="543">
        <f t="shared" si="659"/>
        <v>0</v>
      </c>
      <c r="AN490" s="543">
        <f t="shared" si="659"/>
        <v>0</v>
      </c>
      <c r="AO490" s="543">
        <f t="shared" si="659"/>
        <v>0</v>
      </c>
      <c r="AP490" s="543">
        <f t="shared" si="659"/>
        <v>0</v>
      </c>
      <c r="AQ490" s="543">
        <f t="shared" si="659"/>
        <v>0</v>
      </c>
      <c r="AR490" s="543">
        <f t="shared" si="659"/>
        <v>0</v>
      </c>
      <c r="AS490" s="543">
        <f t="shared" si="659"/>
        <v>0</v>
      </c>
      <c r="AT490" s="543">
        <f t="shared" si="659"/>
        <v>0</v>
      </c>
      <c r="AU490" s="543">
        <f t="shared" si="659"/>
        <v>0</v>
      </c>
      <c r="AV490" s="543">
        <f t="shared" si="659"/>
        <v>0</v>
      </c>
      <c r="AW490" s="543">
        <f t="shared" si="659"/>
        <v>0</v>
      </c>
      <c r="AX490" s="543">
        <f t="shared" ref="AX490:BY490" si="660">IF(AX482=1,0,1)</f>
        <v>0</v>
      </c>
      <c r="AY490" s="543">
        <f t="shared" si="660"/>
        <v>0</v>
      </c>
      <c r="AZ490" s="543">
        <f t="shared" si="660"/>
        <v>0</v>
      </c>
      <c r="BA490" s="543">
        <f t="shared" si="660"/>
        <v>0</v>
      </c>
      <c r="BB490" s="543">
        <f t="shared" si="660"/>
        <v>0</v>
      </c>
      <c r="BC490" s="543">
        <f t="shared" si="660"/>
        <v>0</v>
      </c>
      <c r="BD490" s="543">
        <f t="shared" si="660"/>
        <v>0</v>
      </c>
      <c r="BE490" s="543">
        <f t="shared" si="660"/>
        <v>0</v>
      </c>
      <c r="BF490" s="543">
        <f t="shared" si="660"/>
        <v>0</v>
      </c>
      <c r="BG490" s="543">
        <f t="shared" si="660"/>
        <v>0</v>
      </c>
      <c r="BH490" s="543">
        <f t="shared" si="660"/>
        <v>0</v>
      </c>
      <c r="BI490" s="543">
        <f t="shared" si="660"/>
        <v>0</v>
      </c>
      <c r="BJ490" s="543">
        <f t="shared" si="660"/>
        <v>0</v>
      </c>
      <c r="BK490" s="543">
        <f t="shared" si="660"/>
        <v>0</v>
      </c>
      <c r="BL490" s="543">
        <f t="shared" si="660"/>
        <v>0</v>
      </c>
      <c r="BM490" s="543">
        <f t="shared" si="660"/>
        <v>0</v>
      </c>
      <c r="BN490" s="543">
        <f t="shared" si="660"/>
        <v>0</v>
      </c>
      <c r="BO490" s="543">
        <f t="shared" si="660"/>
        <v>0</v>
      </c>
      <c r="BP490" s="543">
        <f t="shared" si="660"/>
        <v>0</v>
      </c>
      <c r="BQ490" s="543">
        <f t="shared" si="660"/>
        <v>0</v>
      </c>
      <c r="BR490" s="543">
        <f t="shared" si="660"/>
        <v>0</v>
      </c>
      <c r="BS490" s="543">
        <f t="shared" si="660"/>
        <v>0</v>
      </c>
      <c r="BT490" s="543">
        <f t="shared" si="660"/>
        <v>0</v>
      </c>
      <c r="BU490" s="543">
        <f t="shared" si="660"/>
        <v>0</v>
      </c>
      <c r="BV490" s="543">
        <f t="shared" si="660"/>
        <v>0</v>
      </c>
      <c r="BW490" s="543">
        <f t="shared" si="660"/>
        <v>0</v>
      </c>
      <c r="BX490" s="543">
        <f t="shared" si="660"/>
        <v>0</v>
      </c>
      <c r="BY490" s="543">
        <f t="shared" si="660"/>
        <v>0</v>
      </c>
    </row>
    <row r="491" spans="1:77" x14ac:dyDescent="0.3">
      <c r="A491" s="551"/>
      <c r="B491" s="548"/>
      <c r="C491" s="548"/>
      <c r="D491" s="525"/>
      <c r="E491" s="652" t="str">
        <f>"Pre vs post capex: "&amp;E$156</f>
        <v>Pre vs post capex: FY28 Tranche</v>
      </c>
      <c r="F491" s="574"/>
      <c r="G491" s="574"/>
      <c r="H491" s="574"/>
      <c r="I491" s="574"/>
      <c r="J491" s="574"/>
      <c r="K491" s="574"/>
      <c r="L491" s="574"/>
      <c r="M491" s="574"/>
      <c r="N491" s="574"/>
      <c r="O491" s="574"/>
      <c r="P491" s="653"/>
      <c r="Q491" s="574"/>
      <c r="R491" s="543">
        <f t="shared" ref="R491:AW491" si="661">IF(R483=1,0,1)</f>
        <v>1</v>
      </c>
      <c r="S491" s="543">
        <f t="shared" si="661"/>
        <v>1</v>
      </c>
      <c r="T491" s="543">
        <f t="shared" si="661"/>
        <v>1</v>
      </c>
      <c r="U491" s="543">
        <f t="shared" si="661"/>
        <v>1</v>
      </c>
      <c r="V491" s="543">
        <f t="shared" si="661"/>
        <v>1</v>
      </c>
      <c r="W491" s="543">
        <f t="shared" si="661"/>
        <v>1</v>
      </c>
      <c r="X491" s="543">
        <f t="shared" si="661"/>
        <v>1</v>
      </c>
      <c r="Y491" s="543">
        <f t="shared" si="661"/>
        <v>1</v>
      </c>
      <c r="Z491" s="543">
        <f t="shared" si="661"/>
        <v>1</v>
      </c>
      <c r="AA491" s="543">
        <f t="shared" si="661"/>
        <v>1</v>
      </c>
      <c r="AB491" s="543">
        <f t="shared" si="661"/>
        <v>1</v>
      </c>
      <c r="AC491" s="543">
        <f t="shared" si="661"/>
        <v>1</v>
      </c>
      <c r="AD491" s="543">
        <f t="shared" si="661"/>
        <v>1</v>
      </c>
      <c r="AE491" s="543">
        <f t="shared" si="661"/>
        <v>1</v>
      </c>
      <c r="AF491" s="543">
        <f t="shared" si="661"/>
        <v>1</v>
      </c>
      <c r="AG491" s="543">
        <f t="shared" si="661"/>
        <v>1</v>
      </c>
      <c r="AH491" s="543">
        <f t="shared" si="661"/>
        <v>1</v>
      </c>
      <c r="AI491" s="543">
        <f t="shared" si="661"/>
        <v>1</v>
      </c>
      <c r="AJ491" s="543">
        <f t="shared" si="661"/>
        <v>0</v>
      </c>
      <c r="AK491" s="543">
        <f t="shared" si="661"/>
        <v>0</v>
      </c>
      <c r="AL491" s="543">
        <f t="shared" si="661"/>
        <v>0</v>
      </c>
      <c r="AM491" s="543">
        <f t="shared" si="661"/>
        <v>0</v>
      </c>
      <c r="AN491" s="543">
        <f t="shared" si="661"/>
        <v>0</v>
      </c>
      <c r="AO491" s="543">
        <f t="shared" si="661"/>
        <v>0</v>
      </c>
      <c r="AP491" s="543">
        <f t="shared" si="661"/>
        <v>0</v>
      </c>
      <c r="AQ491" s="543">
        <f t="shared" si="661"/>
        <v>0</v>
      </c>
      <c r="AR491" s="543">
        <f t="shared" si="661"/>
        <v>0</v>
      </c>
      <c r="AS491" s="543">
        <f t="shared" si="661"/>
        <v>0</v>
      </c>
      <c r="AT491" s="543">
        <f t="shared" si="661"/>
        <v>0</v>
      </c>
      <c r="AU491" s="543">
        <f t="shared" si="661"/>
        <v>0</v>
      </c>
      <c r="AV491" s="543">
        <f t="shared" si="661"/>
        <v>0</v>
      </c>
      <c r="AW491" s="543">
        <f t="shared" si="661"/>
        <v>0</v>
      </c>
      <c r="AX491" s="543">
        <f t="shared" ref="AX491:BY491" si="662">IF(AX483=1,0,1)</f>
        <v>0</v>
      </c>
      <c r="AY491" s="543">
        <f t="shared" si="662"/>
        <v>0</v>
      </c>
      <c r="AZ491" s="543">
        <f t="shared" si="662"/>
        <v>0</v>
      </c>
      <c r="BA491" s="543">
        <f t="shared" si="662"/>
        <v>0</v>
      </c>
      <c r="BB491" s="543">
        <f t="shared" si="662"/>
        <v>0</v>
      </c>
      <c r="BC491" s="543">
        <f t="shared" si="662"/>
        <v>0</v>
      </c>
      <c r="BD491" s="543">
        <f t="shared" si="662"/>
        <v>0</v>
      </c>
      <c r="BE491" s="543">
        <f t="shared" si="662"/>
        <v>0</v>
      </c>
      <c r="BF491" s="543">
        <f t="shared" si="662"/>
        <v>0</v>
      </c>
      <c r="BG491" s="543">
        <f t="shared" si="662"/>
        <v>0</v>
      </c>
      <c r="BH491" s="543">
        <f t="shared" si="662"/>
        <v>0</v>
      </c>
      <c r="BI491" s="543">
        <f t="shared" si="662"/>
        <v>0</v>
      </c>
      <c r="BJ491" s="543">
        <f t="shared" si="662"/>
        <v>0</v>
      </c>
      <c r="BK491" s="543">
        <f t="shared" si="662"/>
        <v>0</v>
      </c>
      <c r="BL491" s="543">
        <f t="shared" si="662"/>
        <v>0</v>
      </c>
      <c r="BM491" s="543">
        <f t="shared" si="662"/>
        <v>0</v>
      </c>
      <c r="BN491" s="543">
        <f t="shared" si="662"/>
        <v>0</v>
      </c>
      <c r="BO491" s="543">
        <f t="shared" si="662"/>
        <v>0</v>
      </c>
      <c r="BP491" s="543">
        <f t="shared" si="662"/>
        <v>0</v>
      </c>
      <c r="BQ491" s="543">
        <f t="shared" si="662"/>
        <v>0</v>
      </c>
      <c r="BR491" s="543">
        <f t="shared" si="662"/>
        <v>0</v>
      </c>
      <c r="BS491" s="543">
        <f t="shared" si="662"/>
        <v>0</v>
      </c>
      <c r="BT491" s="543">
        <f t="shared" si="662"/>
        <v>0</v>
      </c>
      <c r="BU491" s="543">
        <f t="shared" si="662"/>
        <v>0</v>
      </c>
      <c r="BV491" s="543">
        <f t="shared" si="662"/>
        <v>0</v>
      </c>
      <c r="BW491" s="543">
        <f t="shared" si="662"/>
        <v>0</v>
      </c>
      <c r="BX491" s="543">
        <f t="shared" si="662"/>
        <v>0</v>
      </c>
      <c r="BY491" s="543">
        <f t="shared" si="662"/>
        <v>0</v>
      </c>
    </row>
    <row r="492" spans="1:77" x14ac:dyDescent="0.3">
      <c r="A492" s="551"/>
      <c r="B492" s="548"/>
      <c r="C492" s="548"/>
      <c r="D492" s="525"/>
      <c r="E492" s="652" t="str">
        <f>"Pre vs post capex: "&amp;E$157</f>
        <v>Pre vs post capex: FY29 Tranche</v>
      </c>
      <c r="F492" s="574"/>
      <c r="G492" s="574"/>
      <c r="H492" s="574"/>
      <c r="I492" s="574"/>
      <c r="J492" s="574"/>
      <c r="K492" s="574"/>
      <c r="L492" s="574"/>
      <c r="M492" s="574"/>
      <c r="N492" s="574"/>
      <c r="O492" s="574"/>
      <c r="P492" s="653"/>
      <c r="Q492" s="574"/>
      <c r="R492" s="543">
        <f t="shared" ref="R492:AW492" si="663">IF(R484=1,0,1)</f>
        <v>1</v>
      </c>
      <c r="S492" s="543">
        <f t="shared" si="663"/>
        <v>1</v>
      </c>
      <c r="T492" s="543">
        <f t="shared" si="663"/>
        <v>1</v>
      </c>
      <c r="U492" s="543">
        <f t="shared" si="663"/>
        <v>1</v>
      </c>
      <c r="V492" s="543">
        <f t="shared" si="663"/>
        <v>1</v>
      </c>
      <c r="W492" s="543">
        <f t="shared" si="663"/>
        <v>1</v>
      </c>
      <c r="X492" s="543">
        <f t="shared" si="663"/>
        <v>1</v>
      </c>
      <c r="Y492" s="543">
        <f t="shared" si="663"/>
        <v>1</v>
      </c>
      <c r="Z492" s="543">
        <f t="shared" si="663"/>
        <v>1</v>
      </c>
      <c r="AA492" s="543">
        <f t="shared" si="663"/>
        <v>1</v>
      </c>
      <c r="AB492" s="543">
        <f t="shared" si="663"/>
        <v>1</v>
      </c>
      <c r="AC492" s="543">
        <f t="shared" si="663"/>
        <v>1</v>
      </c>
      <c r="AD492" s="543">
        <f t="shared" si="663"/>
        <v>1</v>
      </c>
      <c r="AE492" s="543">
        <f t="shared" si="663"/>
        <v>1</v>
      </c>
      <c r="AF492" s="543">
        <f t="shared" si="663"/>
        <v>1</v>
      </c>
      <c r="AG492" s="543">
        <f t="shared" si="663"/>
        <v>1</v>
      </c>
      <c r="AH492" s="543">
        <f t="shared" si="663"/>
        <v>1</v>
      </c>
      <c r="AI492" s="543">
        <f t="shared" si="663"/>
        <v>1</v>
      </c>
      <c r="AJ492" s="543">
        <f t="shared" si="663"/>
        <v>1</v>
      </c>
      <c r="AK492" s="543">
        <f t="shared" si="663"/>
        <v>1</v>
      </c>
      <c r="AL492" s="543">
        <f t="shared" si="663"/>
        <v>1</v>
      </c>
      <c r="AM492" s="543">
        <f t="shared" si="663"/>
        <v>1</v>
      </c>
      <c r="AN492" s="543">
        <f t="shared" si="663"/>
        <v>1</v>
      </c>
      <c r="AO492" s="543">
        <f t="shared" si="663"/>
        <v>1</v>
      </c>
      <c r="AP492" s="543">
        <f t="shared" si="663"/>
        <v>1</v>
      </c>
      <c r="AQ492" s="543">
        <f t="shared" si="663"/>
        <v>1</v>
      </c>
      <c r="AR492" s="543">
        <f t="shared" si="663"/>
        <v>1</v>
      </c>
      <c r="AS492" s="543">
        <f t="shared" si="663"/>
        <v>1</v>
      </c>
      <c r="AT492" s="543">
        <f t="shared" si="663"/>
        <v>1</v>
      </c>
      <c r="AU492" s="543">
        <f t="shared" si="663"/>
        <v>1</v>
      </c>
      <c r="AV492" s="543">
        <f t="shared" si="663"/>
        <v>0</v>
      </c>
      <c r="AW492" s="543">
        <f t="shared" si="663"/>
        <v>0</v>
      </c>
      <c r="AX492" s="543">
        <f t="shared" ref="AX492:BY492" si="664">IF(AX484=1,0,1)</f>
        <v>0</v>
      </c>
      <c r="AY492" s="543">
        <f t="shared" si="664"/>
        <v>0</v>
      </c>
      <c r="AZ492" s="543">
        <f t="shared" si="664"/>
        <v>0</v>
      </c>
      <c r="BA492" s="543">
        <f t="shared" si="664"/>
        <v>0</v>
      </c>
      <c r="BB492" s="543">
        <f t="shared" si="664"/>
        <v>0</v>
      </c>
      <c r="BC492" s="543">
        <f t="shared" si="664"/>
        <v>0</v>
      </c>
      <c r="BD492" s="543">
        <f t="shared" si="664"/>
        <v>0</v>
      </c>
      <c r="BE492" s="543">
        <f t="shared" si="664"/>
        <v>0</v>
      </c>
      <c r="BF492" s="543">
        <f t="shared" si="664"/>
        <v>0</v>
      </c>
      <c r="BG492" s="543">
        <f t="shared" si="664"/>
        <v>0</v>
      </c>
      <c r="BH492" s="543">
        <f t="shared" si="664"/>
        <v>0</v>
      </c>
      <c r="BI492" s="543">
        <f t="shared" si="664"/>
        <v>0</v>
      </c>
      <c r="BJ492" s="543">
        <f t="shared" si="664"/>
        <v>0</v>
      </c>
      <c r="BK492" s="543">
        <f t="shared" si="664"/>
        <v>0</v>
      </c>
      <c r="BL492" s="543">
        <f t="shared" si="664"/>
        <v>0</v>
      </c>
      <c r="BM492" s="543">
        <f t="shared" si="664"/>
        <v>0</v>
      </c>
      <c r="BN492" s="543">
        <f t="shared" si="664"/>
        <v>0</v>
      </c>
      <c r="BO492" s="543">
        <f t="shared" si="664"/>
        <v>0</v>
      </c>
      <c r="BP492" s="543">
        <f t="shared" si="664"/>
        <v>0</v>
      </c>
      <c r="BQ492" s="543">
        <f t="shared" si="664"/>
        <v>0</v>
      </c>
      <c r="BR492" s="543">
        <f t="shared" si="664"/>
        <v>0</v>
      </c>
      <c r="BS492" s="543">
        <f t="shared" si="664"/>
        <v>0</v>
      </c>
      <c r="BT492" s="543">
        <f t="shared" si="664"/>
        <v>0</v>
      </c>
      <c r="BU492" s="543">
        <f t="shared" si="664"/>
        <v>0</v>
      </c>
      <c r="BV492" s="543">
        <f t="shared" si="664"/>
        <v>0</v>
      </c>
      <c r="BW492" s="543">
        <f t="shared" si="664"/>
        <v>0</v>
      </c>
      <c r="BX492" s="543">
        <f t="shared" si="664"/>
        <v>0</v>
      </c>
      <c r="BY492" s="543">
        <f t="shared" si="664"/>
        <v>0</v>
      </c>
    </row>
    <row r="493" spans="1:77" x14ac:dyDescent="0.3">
      <c r="A493" s="551"/>
      <c r="B493" s="548"/>
      <c r="C493" s="548"/>
      <c r="D493" s="525"/>
      <c r="E493" s="652" t="str">
        <f>"Pre vs post capex: "&amp;E$158</f>
        <v>Pre vs post capex: FY30 Tranche</v>
      </c>
      <c r="F493" s="574"/>
      <c r="G493" s="574"/>
      <c r="H493" s="574"/>
      <c r="I493" s="574"/>
      <c r="J493" s="574"/>
      <c r="K493" s="574"/>
      <c r="L493" s="574"/>
      <c r="M493" s="574"/>
      <c r="N493" s="574"/>
      <c r="O493" s="574"/>
      <c r="P493" s="653"/>
      <c r="Q493" s="574"/>
      <c r="R493" s="543">
        <f t="shared" ref="R493:AW493" si="665">IF(R485=1,0,1)</f>
        <v>1</v>
      </c>
      <c r="S493" s="543">
        <f t="shared" si="665"/>
        <v>1</v>
      </c>
      <c r="T493" s="543">
        <f t="shared" si="665"/>
        <v>1</v>
      </c>
      <c r="U493" s="543">
        <f t="shared" si="665"/>
        <v>1</v>
      </c>
      <c r="V493" s="543">
        <f t="shared" si="665"/>
        <v>1</v>
      </c>
      <c r="W493" s="543">
        <f t="shared" si="665"/>
        <v>1</v>
      </c>
      <c r="X493" s="543">
        <f t="shared" si="665"/>
        <v>1</v>
      </c>
      <c r="Y493" s="543">
        <f t="shared" si="665"/>
        <v>1</v>
      </c>
      <c r="Z493" s="543">
        <f t="shared" si="665"/>
        <v>1</v>
      </c>
      <c r="AA493" s="543">
        <f t="shared" si="665"/>
        <v>1</v>
      </c>
      <c r="AB493" s="543">
        <f t="shared" si="665"/>
        <v>1</v>
      </c>
      <c r="AC493" s="543">
        <f t="shared" si="665"/>
        <v>1</v>
      </c>
      <c r="AD493" s="543">
        <f t="shared" si="665"/>
        <v>1</v>
      </c>
      <c r="AE493" s="543">
        <f t="shared" si="665"/>
        <v>1</v>
      </c>
      <c r="AF493" s="543">
        <f t="shared" si="665"/>
        <v>1</v>
      </c>
      <c r="AG493" s="543">
        <f t="shared" si="665"/>
        <v>1</v>
      </c>
      <c r="AH493" s="543">
        <f t="shared" si="665"/>
        <v>1</v>
      </c>
      <c r="AI493" s="543">
        <f t="shared" si="665"/>
        <v>1</v>
      </c>
      <c r="AJ493" s="543">
        <f t="shared" si="665"/>
        <v>1</v>
      </c>
      <c r="AK493" s="543">
        <f t="shared" si="665"/>
        <v>1</v>
      </c>
      <c r="AL493" s="543">
        <f t="shared" si="665"/>
        <v>1</v>
      </c>
      <c r="AM493" s="543">
        <f t="shared" si="665"/>
        <v>1</v>
      </c>
      <c r="AN493" s="543">
        <f t="shared" si="665"/>
        <v>1</v>
      </c>
      <c r="AO493" s="543">
        <f t="shared" si="665"/>
        <v>1</v>
      </c>
      <c r="AP493" s="543">
        <f t="shared" si="665"/>
        <v>1</v>
      </c>
      <c r="AQ493" s="543">
        <f t="shared" si="665"/>
        <v>1</v>
      </c>
      <c r="AR493" s="543">
        <f t="shared" si="665"/>
        <v>1</v>
      </c>
      <c r="AS493" s="543">
        <f t="shared" si="665"/>
        <v>1</v>
      </c>
      <c r="AT493" s="543">
        <f t="shared" si="665"/>
        <v>1</v>
      </c>
      <c r="AU493" s="543">
        <f t="shared" si="665"/>
        <v>1</v>
      </c>
      <c r="AV493" s="543">
        <f t="shared" si="665"/>
        <v>1</v>
      </c>
      <c r="AW493" s="543">
        <f t="shared" si="665"/>
        <v>1</v>
      </c>
      <c r="AX493" s="543">
        <f t="shared" ref="AX493:BY493" si="666">IF(AX485=1,0,1)</f>
        <v>1</v>
      </c>
      <c r="AY493" s="543">
        <f t="shared" si="666"/>
        <v>1</v>
      </c>
      <c r="AZ493" s="543">
        <f t="shared" si="666"/>
        <v>1</v>
      </c>
      <c r="BA493" s="543">
        <f t="shared" si="666"/>
        <v>1</v>
      </c>
      <c r="BB493" s="543">
        <f t="shared" si="666"/>
        <v>1</v>
      </c>
      <c r="BC493" s="543">
        <f t="shared" si="666"/>
        <v>1</v>
      </c>
      <c r="BD493" s="543">
        <f t="shared" si="666"/>
        <v>1</v>
      </c>
      <c r="BE493" s="543">
        <f t="shared" si="666"/>
        <v>1</v>
      </c>
      <c r="BF493" s="543">
        <f t="shared" si="666"/>
        <v>1</v>
      </c>
      <c r="BG493" s="543">
        <f t="shared" si="666"/>
        <v>1</v>
      </c>
      <c r="BH493" s="543">
        <f t="shared" si="666"/>
        <v>0</v>
      </c>
      <c r="BI493" s="543">
        <f t="shared" si="666"/>
        <v>0</v>
      </c>
      <c r="BJ493" s="543">
        <f t="shared" si="666"/>
        <v>0</v>
      </c>
      <c r="BK493" s="543">
        <f t="shared" si="666"/>
        <v>0</v>
      </c>
      <c r="BL493" s="543">
        <f t="shared" si="666"/>
        <v>0</v>
      </c>
      <c r="BM493" s="543">
        <f t="shared" si="666"/>
        <v>0</v>
      </c>
      <c r="BN493" s="543">
        <f t="shared" si="666"/>
        <v>0</v>
      </c>
      <c r="BO493" s="543">
        <f t="shared" si="666"/>
        <v>0</v>
      </c>
      <c r="BP493" s="543">
        <f t="shared" si="666"/>
        <v>0</v>
      </c>
      <c r="BQ493" s="543">
        <f t="shared" si="666"/>
        <v>0</v>
      </c>
      <c r="BR493" s="543">
        <f t="shared" si="666"/>
        <v>0</v>
      </c>
      <c r="BS493" s="543">
        <f t="shared" si="666"/>
        <v>0</v>
      </c>
      <c r="BT493" s="543">
        <f t="shared" si="666"/>
        <v>0</v>
      </c>
      <c r="BU493" s="543">
        <f t="shared" si="666"/>
        <v>0</v>
      </c>
      <c r="BV493" s="543">
        <f t="shared" si="666"/>
        <v>0</v>
      </c>
      <c r="BW493" s="543">
        <f t="shared" si="666"/>
        <v>0</v>
      </c>
      <c r="BX493" s="543">
        <f t="shared" si="666"/>
        <v>0</v>
      </c>
      <c r="BY493" s="543">
        <f t="shared" si="666"/>
        <v>0</v>
      </c>
    </row>
    <row r="494" spans="1:77" x14ac:dyDescent="0.3">
      <c r="A494" s="551"/>
      <c r="B494" s="548"/>
      <c r="C494" s="548"/>
      <c r="D494" s="525"/>
      <c r="E494" s="652" t="str">
        <f>"Pre vs post capex: "&amp;E$159</f>
        <v>Pre vs post capex: FY31 Tranche</v>
      </c>
      <c r="F494" s="574"/>
      <c r="G494" s="574"/>
      <c r="H494" s="574"/>
      <c r="I494" s="574"/>
      <c r="J494" s="574"/>
      <c r="K494" s="574"/>
      <c r="L494" s="574"/>
      <c r="M494" s="574"/>
      <c r="N494" s="574"/>
      <c r="O494" s="574"/>
      <c r="P494" s="653"/>
      <c r="Q494" s="574"/>
      <c r="R494" s="543">
        <f t="shared" ref="R494:AW494" si="667">IF(R486=1,0,1)</f>
        <v>1</v>
      </c>
      <c r="S494" s="543">
        <f t="shared" si="667"/>
        <v>1</v>
      </c>
      <c r="T494" s="543">
        <f t="shared" si="667"/>
        <v>1</v>
      </c>
      <c r="U494" s="543">
        <f t="shared" si="667"/>
        <v>1</v>
      </c>
      <c r="V494" s="543">
        <f t="shared" si="667"/>
        <v>1</v>
      </c>
      <c r="W494" s="543">
        <f t="shared" si="667"/>
        <v>1</v>
      </c>
      <c r="X494" s="543">
        <f t="shared" si="667"/>
        <v>1</v>
      </c>
      <c r="Y494" s="543">
        <f t="shared" si="667"/>
        <v>1</v>
      </c>
      <c r="Z494" s="543">
        <f t="shared" si="667"/>
        <v>1</v>
      </c>
      <c r="AA494" s="543">
        <f t="shared" si="667"/>
        <v>1</v>
      </c>
      <c r="AB494" s="543">
        <f t="shared" si="667"/>
        <v>1</v>
      </c>
      <c r="AC494" s="543">
        <f t="shared" si="667"/>
        <v>1</v>
      </c>
      <c r="AD494" s="543">
        <f t="shared" si="667"/>
        <v>1</v>
      </c>
      <c r="AE494" s="543">
        <f t="shared" si="667"/>
        <v>1</v>
      </c>
      <c r="AF494" s="543">
        <f t="shared" si="667"/>
        <v>1</v>
      </c>
      <c r="AG494" s="543">
        <f t="shared" si="667"/>
        <v>1</v>
      </c>
      <c r="AH494" s="543">
        <f t="shared" si="667"/>
        <v>1</v>
      </c>
      <c r="AI494" s="543">
        <f t="shared" si="667"/>
        <v>1</v>
      </c>
      <c r="AJ494" s="543">
        <f t="shared" si="667"/>
        <v>1</v>
      </c>
      <c r="AK494" s="543">
        <f t="shared" si="667"/>
        <v>1</v>
      </c>
      <c r="AL494" s="543">
        <f t="shared" si="667"/>
        <v>1</v>
      </c>
      <c r="AM494" s="543">
        <f t="shared" si="667"/>
        <v>1</v>
      </c>
      <c r="AN494" s="543">
        <f t="shared" si="667"/>
        <v>1</v>
      </c>
      <c r="AO494" s="543">
        <f t="shared" si="667"/>
        <v>1</v>
      </c>
      <c r="AP494" s="543">
        <f t="shared" si="667"/>
        <v>1</v>
      </c>
      <c r="AQ494" s="543">
        <f t="shared" si="667"/>
        <v>1</v>
      </c>
      <c r="AR494" s="543">
        <f t="shared" si="667"/>
        <v>1</v>
      </c>
      <c r="AS494" s="543">
        <f t="shared" si="667"/>
        <v>1</v>
      </c>
      <c r="AT494" s="543">
        <f t="shared" si="667"/>
        <v>1</v>
      </c>
      <c r="AU494" s="543">
        <f t="shared" si="667"/>
        <v>1</v>
      </c>
      <c r="AV494" s="543">
        <f t="shared" si="667"/>
        <v>1</v>
      </c>
      <c r="AW494" s="543">
        <f t="shared" si="667"/>
        <v>1</v>
      </c>
      <c r="AX494" s="543">
        <f t="shared" ref="AX494:BY494" si="668">IF(AX486=1,0,1)</f>
        <v>1</v>
      </c>
      <c r="AY494" s="543">
        <f t="shared" si="668"/>
        <v>1</v>
      </c>
      <c r="AZ494" s="543">
        <f t="shared" si="668"/>
        <v>1</v>
      </c>
      <c r="BA494" s="543">
        <f t="shared" si="668"/>
        <v>1</v>
      </c>
      <c r="BB494" s="543">
        <f t="shared" si="668"/>
        <v>1</v>
      </c>
      <c r="BC494" s="543">
        <f t="shared" si="668"/>
        <v>1</v>
      </c>
      <c r="BD494" s="543">
        <f t="shared" si="668"/>
        <v>1</v>
      </c>
      <c r="BE494" s="543">
        <f t="shared" si="668"/>
        <v>1</v>
      </c>
      <c r="BF494" s="543">
        <f t="shared" si="668"/>
        <v>1</v>
      </c>
      <c r="BG494" s="543">
        <f t="shared" si="668"/>
        <v>1</v>
      </c>
      <c r="BH494" s="543">
        <f t="shared" si="668"/>
        <v>1</v>
      </c>
      <c r="BI494" s="543">
        <f t="shared" si="668"/>
        <v>1</v>
      </c>
      <c r="BJ494" s="543">
        <f t="shared" si="668"/>
        <v>1</v>
      </c>
      <c r="BK494" s="543">
        <f t="shared" si="668"/>
        <v>1</v>
      </c>
      <c r="BL494" s="543">
        <f t="shared" si="668"/>
        <v>1</v>
      </c>
      <c r="BM494" s="543">
        <f t="shared" si="668"/>
        <v>1</v>
      </c>
      <c r="BN494" s="543">
        <f t="shared" si="668"/>
        <v>1</v>
      </c>
      <c r="BO494" s="543">
        <f t="shared" si="668"/>
        <v>1</v>
      </c>
      <c r="BP494" s="543">
        <f t="shared" si="668"/>
        <v>1</v>
      </c>
      <c r="BQ494" s="543">
        <f t="shared" si="668"/>
        <v>1</v>
      </c>
      <c r="BR494" s="543">
        <f t="shared" si="668"/>
        <v>1</v>
      </c>
      <c r="BS494" s="543">
        <f t="shared" si="668"/>
        <v>1</v>
      </c>
      <c r="BT494" s="543">
        <f t="shared" si="668"/>
        <v>0</v>
      </c>
      <c r="BU494" s="543">
        <f t="shared" si="668"/>
        <v>0</v>
      </c>
      <c r="BV494" s="543">
        <f t="shared" si="668"/>
        <v>0</v>
      </c>
      <c r="BW494" s="543">
        <f t="shared" si="668"/>
        <v>0</v>
      </c>
      <c r="BX494" s="543">
        <f t="shared" si="668"/>
        <v>0</v>
      </c>
      <c r="BY494" s="543">
        <f t="shared" si="668"/>
        <v>0</v>
      </c>
    </row>
    <row r="495" spans="1:77" x14ac:dyDescent="0.3">
      <c r="A495" s="551"/>
      <c r="B495" s="548"/>
      <c r="C495" s="548"/>
      <c r="D495" s="525"/>
      <c r="E495" s="652" t="str">
        <f>"Pre vs post capex: "&amp;E$160</f>
        <v>Pre vs post capex: Uninvested Tranche</v>
      </c>
      <c r="F495" s="574"/>
      <c r="G495" s="574"/>
      <c r="H495" s="574"/>
      <c r="I495" s="574"/>
      <c r="J495" s="574"/>
      <c r="K495" s="574"/>
      <c r="L495" s="574"/>
      <c r="M495" s="574"/>
      <c r="N495" s="574"/>
      <c r="O495" s="574"/>
      <c r="P495" s="653"/>
      <c r="Q495" s="574"/>
      <c r="R495" s="543">
        <f t="shared" ref="R495:AW495" si="669">IF(R487=1,0,1)</f>
        <v>1</v>
      </c>
      <c r="S495" s="543">
        <f t="shared" si="669"/>
        <v>1</v>
      </c>
      <c r="T495" s="543">
        <f t="shared" si="669"/>
        <v>1</v>
      </c>
      <c r="U495" s="543">
        <f t="shared" si="669"/>
        <v>1</v>
      </c>
      <c r="V495" s="543">
        <f t="shared" si="669"/>
        <v>1</v>
      </c>
      <c r="W495" s="543">
        <f t="shared" si="669"/>
        <v>1</v>
      </c>
      <c r="X495" s="543">
        <f t="shared" si="669"/>
        <v>1</v>
      </c>
      <c r="Y495" s="543">
        <f t="shared" si="669"/>
        <v>1</v>
      </c>
      <c r="Z495" s="543">
        <f t="shared" si="669"/>
        <v>1</v>
      </c>
      <c r="AA495" s="543">
        <f t="shared" si="669"/>
        <v>1</v>
      </c>
      <c r="AB495" s="543">
        <f t="shared" si="669"/>
        <v>1</v>
      </c>
      <c r="AC495" s="543">
        <f t="shared" si="669"/>
        <v>1</v>
      </c>
      <c r="AD495" s="543">
        <f t="shared" si="669"/>
        <v>1</v>
      </c>
      <c r="AE495" s="543">
        <f t="shared" si="669"/>
        <v>1</v>
      </c>
      <c r="AF495" s="543">
        <f t="shared" si="669"/>
        <v>1</v>
      </c>
      <c r="AG495" s="543">
        <f t="shared" si="669"/>
        <v>1</v>
      </c>
      <c r="AH495" s="543">
        <f t="shared" si="669"/>
        <v>1</v>
      </c>
      <c r="AI495" s="543">
        <f t="shared" si="669"/>
        <v>1</v>
      </c>
      <c r="AJ495" s="543">
        <f t="shared" si="669"/>
        <v>1</v>
      </c>
      <c r="AK495" s="543">
        <f t="shared" si="669"/>
        <v>1</v>
      </c>
      <c r="AL495" s="543">
        <f t="shared" si="669"/>
        <v>1</v>
      </c>
      <c r="AM495" s="543">
        <f t="shared" si="669"/>
        <v>1</v>
      </c>
      <c r="AN495" s="543">
        <f t="shared" si="669"/>
        <v>1</v>
      </c>
      <c r="AO495" s="543">
        <f t="shared" si="669"/>
        <v>1</v>
      </c>
      <c r="AP495" s="543">
        <f t="shared" si="669"/>
        <v>1</v>
      </c>
      <c r="AQ495" s="543">
        <f t="shared" si="669"/>
        <v>1</v>
      </c>
      <c r="AR495" s="543">
        <f t="shared" si="669"/>
        <v>1</v>
      </c>
      <c r="AS495" s="543">
        <f t="shared" si="669"/>
        <v>1</v>
      </c>
      <c r="AT495" s="543">
        <f t="shared" si="669"/>
        <v>1</v>
      </c>
      <c r="AU495" s="543">
        <f t="shared" si="669"/>
        <v>1</v>
      </c>
      <c r="AV495" s="543">
        <f t="shared" si="669"/>
        <v>1</v>
      </c>
      <c r="AW495" s="543">
        <f t="shared" si="669"/>
        <v>1</v>
      </c>
      <c r="AX495" s="543">
        <f t="shared" ref="AX495:BY495" si="670">IF(AX487=1,0,1)</f>
        <v>1</v>
      </c>
      <c r="AY495" s="543">
        <f t="shared" si="670"/>
        <v>1</v>
      </c>
      <c r="AZ495" s="543">
        <f t="shared" si="670"/>
        <v>1</v>
      </c>
      <c r="BA495" s="543">
        <f t="shared" si="670"/>
        <v>1</v>
      </c>
      <c r="BB495" s="543">
        <f t="shared" si="670"/>
        <v>1</v>
      </c>
      <c r="BC495" s="543">
        <f t="shared" si="670"/>
        <v>1</v>
      </c>
      <c r="BD495" s="543">
        <f t="shared" si="670"/>
        <v>1</v>
      </c>
      <c r="BE495" s="543">
        <f t="shared" si="670"/>
        <v>1</v>
      </c>
      <c r="BF495" s="543">
        <f t="shared" si="670"/>
        <v>1</v>
      </c>
      <c r="BG495" s="543">
        <f t="shared" si="670"/>
        <v>1</v>
      </c>
      <c r="BH495" s="543">
        <f t="shared" si="670"/>
        <v>1</v>
      </c>
      <c r="BI495" s="543">
        <f t="shared" si="670"/>
        <v>1</v>
      </c>
      <c r="BJ495" s="543">
        <f t="shared" si="670"/>
        <v>1</v>
      </c>
      <c r="BK495" s="543">
        <f t="shared" si="670"/>
        <v>1</v>
      </c>
      <c r="BL495" s="543">
        <f t="shared" si="670"/>
        <v>1</v>
      </c>
      <c r="BM495" s="543">
        <f t="shared" si="670"/>
        <v>1</v>
      </c>
      <c r="BN495" s="543">
        <f t="shared" si="670"/>
        <v>1</v>
      </c>
      <c r="BO495" s="543">
        <f t="shared" si="670"/>
        <v>1</v>
      </c>
      <c r="BP495" s="543">
        <f t="shared" si="670"/>
        <v>1</v>
      </c>
      <c r="BQ495" s="543">
        <f t="shared" si="670"/>
        <v>1</v>
      </c>
      <c r="BR495" s="543">
        <f t="shared" si="670"/>
        <v>1</v>
      </c>
      <c r="BS495" s="543">
        <f t="shared" si="670"/>
        <v>1</v>
      </c>
      <c r="BT495" s="543">
        <f t="shared" si="670"/>
        <v>1</v>
      </c>
      <c r="BU495" s="543">
        <f t="shared" si="670"/>
        <v>1</v>
      </c>
      <c r="BV495" s="543">
        <f t="shared" si="670"/>
        <v>1</v>
      </c>
      <c r="BW495" s="543">
        <f t="shared" si="670"/>
        <v>1</v>
      </c>
      <c r="BX495" s="543">
        <f t="shared" si="670"/>
        <v>1</v>
      </c>
      <c r="BY495" s="543">
        <f t="shared" si="670"/>
        <v>1</v>
      </c>
    </row>
    <row r="496" spans="1:77" x14ac:dyDescent="0.3">
      <c r="A496" s="551"/>
      <c r="B496" s="548"/>
      <c r="C496" s="525"/>
      <c r="D496" s="525"/>
      <c r="E496" s="525"/>
      <c r="F496" s="525"/>
      <c r="G496" s="525"/>
      <c r="H496" s="525"/>
      <c r="I496" s="525"/>
      <c r="J496" s="525"/>
      <c r="K496" s="525"/>
      <c r="L496" s="654"/>
      <c r="M496" s="525"/>
      <c r="N496" s="525"/>
      <c r="O496" s="525"/>
      <c r="P496" s="565"/>
      <c r="Q496" s="525"/>
      <c r="R496" s="525"/>
      <c r="S496" s="525"/>
      <c r="T496" s="525"/>
      <c r="U496" s="525"/>
      <c r="V496" s="525"/>
      <c r="W496" s="525"/>
      <c r="X496" s="525"/>
      <c r="Y496" s="525"/>
      <c r="Z496" s="525"/>
      <c r="AA496" s="525"/>
      <c r="AB496" s="525"/>
      <c r="AC496" s="525"/>
      <c r="AD496" s="525"/>
      <c r="AE496" s="525"/>
      <c r="AF496" s="525"/>
      <c r="AG496" s="525"/>
      <c r="AH496" s="525"/>
      <c r="AI496" s="525"/>
      <c r="AJ496" s="525"/>
      <c r="AK496" s="525"/>
      <c r="AL496" s="525"/>
      <c r="AM496" s="525"/>
      <c r="AN496" s="525"/>
      <c r="AO496" s="525"/>
      <c r="AP496" s="525"/>
      <c r="AQ496" s="525"/>
      <c r="AR496" s="525"/>
      <c r="AS496" s="525"/>
      <c r="AT496" s="525"/>
      <c r="AU496" s="525"/>
      <c r="AV496" s="525"/>
      <c r="AW496" s="525"/>
      <c r="AX496" s="525"/>
      <c r="AY496" s="525"/>
      <c r="AZ496" s="525"/>
      <c r="BA496" s="525"/>
      <c r="BB496" s="525"/>
      <c r="BC496" s="525"/>
      <c r="BD496" s="525"/>
      <c r="BE496" s="525"/>
      <c r="BF496" s="525"/>
      <c r="BG496" s="525"/>
      <c r="BH496" s="525"/>
      <c r="BI496" s="525"/>
      <c r="BJ496" s="525"/>
      <c r="BK496" s="525"/>
      <c r="BL496" s="525"/>
      <c r="BM496" s="525"/>
      <c r="BN496" s="525"/>
      <c r="BO496" s="525"/>
      <c r="BP496" s="525"/>
      <c r="BQ496" s="525"/>
      <c r="BR496" s="525"/>
      <c r="BS496" s="525"/>
      <c r="BT496" s="525"/>
      <c r="BU496" s="525"/>
      <c r="BV496" s="525"/>
      <c r="BW496" s="525"/>
      <c r="BX496" s="525"/>
      <c r="BY496" s="525"/>
    </row>
    <row r="497" spans="1:80" x14ac:dyDescent="0.3">
      <c r="A497" s="551"/>
      <c r="B497" s="548"/>
      <c r="C497" s="525"/>
      <c r="D497" s="525"/>
      <c r="E497" s="570" t="s">
        <v>116</v>
      </c>
      <c r="F497" s="525"/>
      <c r="G497" s="525"/>
      <c r="H497" s="525"/>
      <c r="I497" s="525"/>
      <c r="J497" s="525"/>
      <c r="K497" s="525"/>
      <c r="L497" s="525"/>
      <c r="M497" s="525"/>
      <c r="N497" s="525"/>
      <c r="O497" s="525"/>
      <c r="P497" s="565"/>
      <c r="Q497" s="525"/>
      <c r="R497" s="525"/>
      <c r="S497" s="525"/>
      <c r="T497" s="525"/>
      <c r="U497" s="525"/>
      <c r="V497" s="525"/>
      <c r="W497" s="525"/>
      <c r="X497" s="525"/>
      <c r="Y497" s="525"/>
      <c r="Z497" s="525"/>
      <c r="AA497" s="525"/>
      <c r="AB497" s="525"/>
      <c r="AC497" s="525"/>
      <c r="AD497" s="525"/>
      <c r="AE497" s="525"/>
      <c r="AF497" s="525"/>
      <c r="AG497" s="525"/>
      <c r="AH497" s="525"/>
      <c r="AI497" s="525"/>
      <c r="AJ497" s="525"/>
      <c r="AK497" s="525"/>
      <c r="AL497" s="525"/>
      <c r="AM497" s="525"/>
      <c r="AN497" s="525"/>
      <c r="AO497" s="525"/>
      <c r="AP497" s="525"/>
      <c r="AQ497" s="525"/>
      <c r="AR497" s="525"/>
      <c r="AS497" s="525"/>
      <c r="AT497" s="525"/>
      <c r="AU497" s="525"/>
      <c r="AV497" s="525"/>
      <c r="AW497" s="525"/>
      <c r="AX497" s="525"/>
      <c r="AY497" s="525"/>
      <c r="AZ497" s="525"/>
      <c r="BA497" s="525"/>
      <c r="BB497" s="525"/>
      <c r="BC497" s="525"/>
      <c r="BD497" s="525"/>
      <c r="BE497" s="525"/>
      <c r="BF497" s="525"/>
      <c r="BG497" s="525"/>
      <c r="BH497" s="525"/>
      <c r="BI497" s="525"/>
      <c r="BJ497" s="525"/>
      <c r="BK497" s="525"/>
      <c r="BL497" s="525"/>
      <c r="BM497" s="525"/>
      <c r="BN497" s="525"/>
      <c r="BO497" s="525"/>
      <c r="BP497" s="525"/>
      <c r="BQ497" s="525"/>
      <c r="BR497" s="525"/>
      <c r="BS497" s="525"/>
      <c r="BT497" s="525"/>
      <c r="BU497" s="525"/>
      <c r="BV497" s="525"/>
      <c r="BW497" s="525"/>
      <c r="BX497" s="525"/>
      <c r="BY497" s="525"/>
      <c r="BZ497" s="537"/>
      <c r="CA497" s="537"/>
      <c r="CB497" s="537"/>
    </row>
    <row r="498" spans="1:80" x14ac:dyDescent="0.3">
      <c r="A498" s="551"/>
      <c r="B498" s="548"/>
      <c r="C498" s="548"/>
      <c r="D498" s="525"/>
      <c r="E498" s="655" t="str">
        <f>"EBITDA growth post capex: "&amp;E$155</f>
        <v>EBITDA growth post capex: FY27 Tranche</v>
      </c>
      <c r="F498" s="574"/>
      <c r="G498" s="574"/>
      <c r="H498" s="574"/>
      <c r="I498" s="574"/>
      <c r="J498" s="574"/>
      <c r="K498" s="574"/>
      <c r="L498" s="574"/>
      <c r="M498" s="574"/>
      <c r="N498" s="574"/>
      <c r="O498" s="574"/>
      <c r="P498" s="653"/>
      <c r="Q498" s="574"/>
      <c r="R498" s="543">
        <f>IF(AND(R$4&lt;=$AH155,R$4&gt;$V155),1,IF(AND(R$4&lt;=$AI155,R$4&gt;$AH155),2,IF(AND(R$4&lt;=$AJ155,R$4&gt;$AI155),3,IF(AND(R$4&lt;=$AK155,R$4&gt;$AJ155),4,IF(AND(R$4&lt;=$AL155,R$4&gt;$AK155),5,0)))))*'Detailed Assumptions'!$E$6</f>
        <v>0</v>
      </c>
      <c r="S498" s="543">
        <f>IF(AND(S$4&lt;=$AH155,S$4&gt;$V155),1,IF(AND(S$4&lt;=$AI155,S$4&gt;$AH155),2,IF(AND(S$4&lt;=$AJ155,S$4&gt;$AI155),3,IF(AND(S$4&lt;=$AK155,S$4&gt;$AJ155),4,IF(AND(S$4&lt;=$AL155,S$4&gt;$AK155),5,0)))))*'Detailed Assumptions'!$E$6</f>
        <v>0</v>
      </c>
      <c r="T498" s="543">
        <f>IF(AND(T$4&lt;=$AH155,T$4&gt;$V155),1,IF(AND(T$4&lt;=$AI155,T$4&gt;$AH155),2,IF(AND(T$4&lt;=$AJ155,T$4&gt;$AI155),3,IF(AND(T$4&lt;=$AK155,T$4&gt;$AJ155),4,IF(AND(T$4&lt;=$AL155,T$4&gt;$AK155),5,0)))))*'Detailed Assumptions'!$E$6</f>
        <v>0</v>
      </c>
      <c r="U498" s="543">
        <f>IF(AND(U$4&lt;=$AH155,U$4&gt;$V155),1,IF(AND(U$4&lt;=$AI155,U$4&gt;$AH155),2,IF(AND(U$4&lt;=$AJ155,U$4&gt;$AI155),3,IF(AND(U$4&lt;=$AK155,U$4&gt;$AJ155),4,IF(AND(U$4&lt;=$AL155,U$4&gt;$AK155),5,0)))))*'Detailed Assumptions'!$E$6</f>
        <v>0</v>
      </c>
      <c r="V498" s="543">
        <f>IF(AND(V$4&lt;=$AH155,V$4&gt;$V155),1,IF(AND(V$4&lt;=$AI155,V$4&gt;$AH155),2,IF(AND(V$4&lt;=$AJ155,V$4&gt;$AI155),3,IF(AND(V$4&lt;=$AK155,V$4&gt;$AJ155),4,IF(AND(V$4&lt;=$AL155,V$4&gt;$AK155),5,0)))))*'Detailed Assumptions'!$E$6</f>
        <v>0</v>
      </c>
      <c r="W498" s="543">
        <f>IF(AND(W$4&lt;=$AH155,W$4&gt;$V155),1,IF(AND(W$4&lt;=$AI155,W$4&gt;$AH155),2,IF(AND(W$4&lt;=$AJ155,W$4&gt;$AI155),3,IF(AND(W$4&lt;=$AK155,W$4&gt;$AJ155),4,IF(AND(W$4&lt;=$AL155,W$4&gt;$AK155),5,0)))))*'Detailed Assumptions'!$E$6</f>
        <v>0</v>
      </c>
      <c r="X498" s="543">
        <f>IF(AND(X$4&lt;=$AH155,X$4&gt;$V155),1,IF(AND(X$4&lt;=$AI155,X$4&gt;$AH155),2,IF(AND(X$4&lt;=$AJ155,X$4&gt;$AI155),3,IF(AND(X$4&lt;=$AK155,X$4&gt;$AJ155),4,IF(AND(X$4&lt;=$AL155,X$4&gt;$AK155),5,0)))))*'Detailed Assumptions'!$E$6</f>
        <v>1</v>
      </c>
      <c r="Y498" s="543">
        <f>IF(AND(Y$4&lt;=$AH155,Y$4&gt;$V155),1,IF(AND(Y$4&lt;=$AI155,Y$4&gt;$AH155),2,IF(AND(Y$4&lt;=$AJ155,Y$4&gt;$AI155),3,IF(AND(Y$4&lt;=$AK155,Y$4&gt;$AJ155),4,IF(AND(Y$4&lt;=$AL155,Y$4&gt;$AK155),5,0)))))*'Detailed Assumptions'!$E$6</f>
        <v>1</v>
      </c>
      <c r="Z498" s="543">
        <f>IF(AND(Z$4&lt;=$AH155,Z$4&gt;$V155),1,IF(AND(Z$4&lt;=$AI155,Z$4&gt;$AH155),2,IF(AND(Z$4&lt;=$AJ155,Z$4&gt;$AI155),3,IF(AND(Z$4&lt;=$AK155,Z$4&gt;$AJ155),4,IF(AND(Z$4&lt;=$AL155,Z$4&gt;$AK155),5,0)))))*'Detailed Assumptions'!$E$6</f>
        <v>1</v>
      </c>
      <c r="AA498" s="543">
        <f>IF(AND(AA$4&lt;=$AH155,AA$4&gt;$V155),1,IF(AND(AA$4&lt;=$AI155,AA$4&gt;$AH155),2,IF(AND(AA$4&lt;=$AJ155,AA$4&gt;$AI155),3,IF(AND(AA$4&lt;=$AK155,AA$4&gt;$AJ155),4,IF(AND(AA$4&lt;=$AL155,AA$4&gt;$AK155),5,0)))))*'Detailed Assumptions'!$E$6</f>
        <v>1</v>
      </c>
      <c r="AB498" s="543">
        <f>IF(AND(AB$4&lt;=$AH155,AB$4&gt;$V155),1,IF(AND(AB$4&lt;=$AI155,AB$4&gt;$AH155),2,IF(AND(AB$4&lt;=$AJ155,AB$4&gt;$AI155),3,IF(AND(AB$4&lt;=$AK155,AB$4&gt;$AJ155),4,IF(AND(AB$4&lt;=$AL155,AB$4&gt;$AK155),5,0)))))*'Detailed Assumptions'!$E$6</f>
        <v>1</v>
      </c>
      <c r="AC498" s="543">
        <f>IF(AND(AC$4&lt;=$AH155,AC$4&gt;$V155),1,IF(AND(AC$4&lt;=$AI155,AC$4&gt;$AH155),2,IF(AND(AC$4&lt;=$AJ155,AC$4&gt;$AI155),3,IF(AND(AC$4&lt;=$AK155,AC$4&gt;$AJ155),4,IF(AND(AC$4&lt;=$AL155,AC$4&gt;$AK155),5,0)))))*'Detailed Assumptions'!$E$6</f>
        <v>1</v>
      </c>
      <c r="AD498" s="543">
        <f>IF(AND(AD$4&lt;=$AH155,AD$4&gt;$V155),1,IF(AND(AD$4&lt;=$AI155,AD$4&gt;$AH155),2,IF(AND(AD$4&lt;=$AJ155,AD$4&gt;$AI155),3,IF(AND(AD$4&lt;=$AK155,AD$4&gt;$AJ155),4,IF(AND(AD$4&lt;=$AL155,AD$4&gt;$AK155),5,0)))))*'Detailed Assumptions'!$E$6</f>
        <v>1</v>
      </c>
      <c r="AE498" s="543">
        <f>IF(AND(AE$4&lt;=$AH155,AE$4&gt;$V155),1,IF(AND(AE$4&lt;=$AI155,AE$4&gt;$AH155),2,IF(AND(AE$4&lt;=$AJ155,AE$4&gt;$AI155),3,IF(AND(AE$4&lt;=$AK155,AE$4&gt;$AJ155),4,IF(AND(AE$4&lt;=$AL155,AE$4&gt;$AK155),5,0)))))*'Detailed Assumptions'!$E$6</f>
        <v>1</v>
      </c>
      <c r="AF498" s="543">
        <f>IF(AND(AF$4&lt;=$AH155,AF$4&gt;$V155),1,IF(AND(AF$4&lt;=$AI155,AF$4&gt;$AH155),2,IF(AND(AF$4&lt;=$AJ155,AF$4&gt;$AI155),3,IF(AND(AF$4&lt;=$AK155,AF$4&gt;$AJ155),4,IF(AND(AF$4&lt;=$AL155,AF$4&gt;$AK155),5,0)))))*'Detailed Assumptions'!$E$6</f>
        <v>1</v>
      </c>
      <c r="AG498" s="543">
        <f>IF(AND(AG$4&lt;=$AH155,AG$4&gt;$V155),1,IF(AND(AG$4&lt;=$AI155,AG$4&gt;$AH155),2,IF(AND(AG$4&lt;=$AJ155,AG$4&gt;$AI155),3,IF(AND(AG$4&lt;=$AK155,AG$4&gt;$AJ155),4,IF(AND(AG$4&lt;=$AL155,AG$4&gt;$AK155),5,0)))))*'Detailed Assumptions'!$E$6</f>
        <v>1</v>
      </c>
      <c r="AH498" s="543">
        <f>IF(AND(AH$4&lt;=$AH155,AH$4&gt;$V155),1,IF(AND(AH$4&lt;=$AI155,AH$4&gt;$AH155),2,IF(AND(AH$4&lt;=$AJ155,AH$4&gt;$AI155),3,IF(AND(AH$4&lt;=$AK155,AH$4&gt;$AJ155),4,IF(AND(AH$4&lt;=$AL155,AH$4&gt;$AK155),5,0)))))*'Detailed Assumptions'!$E$6</f>
        <v>1</v>
      </c>
      <c r="AI498" s="543">
        <f>IF(AND(AI$4&lt;=$AH155,AI$4&gt;$V155),1,IF(AND(AI$4&lt;=$AI155,AI$4&gt;$AH155),2,IF(AND(AI$4&lt;=$AJ155,AI$4&gt;$AI155),3,IF(AND(AI$4&lt;=$AK155,AI$4&gt;$AJ155),4,IF(AND(AI$4&lt;=$AL155,AI$4&gt;$AK155),5,0)))))*'Detailed Assumptions'!$E$6</f>
        <v>1</v>
      </c>
      <c r="AJ498" s="543">
        <f>IF(AND(AJ$4&lt;=$AH155,AJ$4&gt;$V155),1,IF(AND(AJ$4&lt;=$AI155,AJ$4&gt;$AH155),2,IF(AND(AJ$4&lt;=$AJ155,AJ$4&gt;$AI155),3,IF(AND(AJ$4&lt;=$AK155,AJ$4&gt;$AJ155),4,IF(AND(AJ$4&lt;=$AL155,AJ$4&gt;$AK155),5,0)))))*'Detailed Assumptions'!$E$6</f>
        <v>2</v>
      </c>
      <c r="AK498" s="543">
        <f>IF(AND(AK$4&lt;=$AH155,AK$4&gt;$V155),1,IF(AND(AK$4&lt;=$AI155,AK$4&gt;$AH155),2,IF(AND(AK$4&lt;=$AJ155,AK$4&gt;$AI155),3,IF(AND(AK$4&lt;=$AK155,AK$4&gt;$AJ155),4,IF(AND(AK$4&lt;=$AL155,AK$4&gt;$AK155),5,0)))))*'Detailed Assumptions'!$E$6</f>
        <v>2</v>
      </c>
      <c r="AL498" s="543">
        <f>IF(AND(AL$4&lt;=$AH155,AL$4&gt;$V155),1,IF(AND(AL$4&lt;=$AI155,AL$4&gt;$AH155),2,IF(AND(AL$4&lt;=$AJ155,AL$4&gt;$AI155),3,IF(AND(AL$4&lt;=$AK155,AL$4&gt;$AJ155),4,IF(AND(AL$4&lt;=$AL155,AL$4&gt;$AK155),5,0)))))*'Detailed Assumptions'!$E$6</f>
        <v>2</v>
      </c>
      <c r="AM498" s="543">
        <f>IF(AND(AM$4&lt;=$AH155,AM$4&gt;$V155),1,IF(AND(AM$4&lt;=$AI155,AM$4&gt;$AH155),2,IF(AND(AM$4&lt;=$AJ155,AM$4&gt;$AI155),3,IF(AND(AM$4&lt;=$AK155,AM$4&gt;$AJ155),4,IF(AND(AM$4&lt;=$AL155,AM$4&gt;$AK155),5,0)))))*'Detailed Assumptions'!$E$6</f>
        <v>2</v>
      </c>
      <c r="AN498" s="543">
        <f>IF(AND(AN$4&lt;=$AH155,AN$4&gt;$V155),1,IF(AND(AN$4&lt;=$AI155,AN$4&gt;$AH155),2,IF(AND(AN$4&lt;=$AJ155,AN$4&gt;$AI155),3,IF(AND(AN$4&lt;=$AK155,AN$4&gt;$AJ155),4,IF(AND(AN$4&lt;=$AL155,AN$4&gt;$AK155),5,0)))))*'Detailed Assumptions'!$E$6</f>
        <v>2</v>
      </c>
      <c r="AO498" s="543">
        <f>IF(AND(AO$4&lt;=$AH155,AO$4&gt;$V155),1,IF(AND(AO$4&lt;=$AI155,AO$4&gt;$AH155),2,IF(AND(AO$4&lt;=$AJ155,AO$4&gt;$AI155),3,IF(AND(AO$4&lt;=$AK155,AO$4&gt;$AJ155),4,IF(AND(AO$4&lt;=$AL155,AO$4&gt;$AK155),5,0)))))*'Detailed Assumptions'!$E$6</f>
        <v>2</v>
      </c>
      <c r="AP498" s="543">
        <f>IF(AND(AP$4&lt;=$AH155,AP$4&gt;$V155),1,IF(AND(AP$4&lt;=$AI155,AP$4&gt;$AH155),2,IF(AND(AP$4&lt;=$AJ155,AP$4&gt;$AI155),3,IF(AND(AP$4&lt;=$AK155,AP$4&gt;$AJ155),4,IF(AND(AP$4&lt;=$AL155,AP$4&gt;$AK155),5,0)))))*'Detailed Assumptions'!$E$6</f>
        <v>2</v>
      </c>
      <c r="AQ498" s="543">
        <f>IF(AND(AQ$4&lt;=$AH155,AQ$4&gt;$V155),1,IF(AND(AQ$4&lt;=$AI155,AQ$4&gt;$AH155),2,IF(AND(AQ$4&lt;=$AJ155,AQ$4&gt;$AI155),3,IF(AND(AQ$4&lt;=$AK155,AQ$4&gt;$AJ155),4,IF(AND(AQ$4&lt;=$AL155,AQ$4&gt;$AK155),5,0)))))*'Detailed Assumptions'!$E$6</f>
        <v>2</v>
      </c>
      <c r="AR498" s="543">
        <f>IF(AND(AR$4&lt;=$AH155,AR$4&gt;$V155),1,IF(AND(AR$4&lt;=$AI155,AR$4&gt;$AH155),2,IF(AND(AR$4&lt;=$AJ155,AR$4&gt;$AI155),3,IF(AND(AR$4&lt;=$AK155,AR$4&gt;$AJ155),4,IF(AND(AR$4&lt;=$AL155,AR$4&gt;$AK155),5,0)))))*'Detailed Assumptions'!$E$6</f>
        <v>2</v>
      </c>
      <c r="AS498" s="543">
        <f>IF(AND(AS$4&lt;=$AH155,AS$4&gt;$V155),1,IF(AND(AS$4&lt;=$AI155,AS$4&gt;$AH155),2,IF(AND(AS$4&lt;=$AJ155,AS$4&gt;$AI155),3,IF(AND(AS$4&lt;=$AK155,AS$4&gt;$AJ155),4,IF(AND(AS$4&lt;=$AL155,AS$4&gt;$AK155),5,0)))))*'Detailed Assumptions'!$E$6</f>
        <v>2</v>
      </c>
      <c r="AT498" s="543">
        <f>IF(AND(AT$4&lt;=$AH155,AT$4&gt;$V155),1,IF(AND(AT$4&lt;=$AI155,AT$4&gt;$AH155),2,IF(AND(AT$4&lt;=$AJ155,AT$4&gt;$AI155),3,IF(AND(AT$4&lt;=$AK155,AT$4&gt;$AJ155),4,IF(AND(AT$4&lt;=$AL155,AT$4&gt;$AK155),5,0)))))*'Detailed Assumptions'!$E$6</f>
        <v>2</v>
      </c>
      <c r="AU498" s="543">
        <f>IF(AND(AU$4&lt;=$AH155,AU$4&gt;$V155),1,IF(AND(AU$4&lt;=$AI155,AU$4&gt;$AH155),2,IF(AND(AU$4&lt;=$AJ155,AU$4&gt;$AI155),3,IF(AND(AU$4&lt;=$AK155,AU$4&gt;$AJ155),4,IF(AND(AU$4&lt;=$AL155,AU$4&gt;$AK155),5,0)))))*'Detailed Assumptions'!$E$6</f>
        <v>2</v>
      </c>
      <c r="AV498" s="543">
        <f>IF(AND(AV$4&lt;=$AH155,AV$4&gt;$V155),1,IF(AND(AV$4&lt;=$AI155,AV$4&gt;$AH155),2,IF(AND(AV$4&lt;=$AJ155,AV$4&gt;$AI155),3,IF(AND(AV$4&lt;=$AK155,AV$4&gt;$AJ155),4,IF(AND(AV$4&lt;=$AL155,AV$4&gt;$AK155),5,0)))))*'Detailed Assumptions'!$E$6</f>
        <v>3</v>
      </c>
      <c r="AW498" s="543">
        <f>IF(AND(AW$4&lt;=$AH155,AW$4&gt;$V155),1,IF(AND(AW$4&lt;=$AI155,AW$4&gt;$AH155),2,IF(AND(AW$4&lt;=$AJ155,AW$4&gt;$AI155),3,IF(AND(AW$4&lt;=$AK155,AW$4&gt;$AJ155),4,IF(AND(AW$4&lt;=$AL155,AW$4&gt;$AK155),5,0)))))*'Detailed Assumptions'!$E$6</f>
        <v>3</v>
      </c>
      <c r="AX498" s="543">
        <f>IF(AND(AX$4&lt;=$AH155,AX$4&gt;$V155),1,IF(AND(AX$4&lt;=$AI155,AX$4&gt;$AH155),2,IF(AND(AX$4&lt;=$AJ155,AX$4&gt;$AI155),3,IF(AND(AX$4&lt;=$AK155,AX$4&gt;$AJ155),4,IF(AND(AX$4&lt;=$AL155,AX$4&gt;$AK155),5,0)))))*'Detailed Assumptions'!$E$6</f>
        <v>3</v>
      </c>
      <c r="AY498" s="543">
        <f>IF(AND(AY$4&lt;=$AH155,AY$4&gt;$V155),1,IF(AND(AY$4&lt;=$AI155,AY$4&gt;$AH155),2,IF(AND(AY$4&lt;=$AJ155,AY$4&gt;$AI155),3,IF(AND(AY$4&lt;=$AK155,AY$4&gt;$AJ155),4,IF(AND(AY$4&lt;=$AL155,AY$4&gt;$AK155),5,0)))))*'Detailed Assumptions'!$E$6</f>
        <v>3</v>
      </c>
      <c r="AZ498" s="543">
        <f>IF(AND(AZ$4&lt;=$AH155,AZ$4&gt;$V155),1,IF(AND(AZ$4&lt;=$AI155,AZ$4&gt;$AH155),2,IF(AND(AZ$4&lt;=$AJ155,AZ$4&gt;$AI155),3,IF(AND(AZ$4&lt;=$AK155,AZ$4&gt;$AJ155),4,IF(AND(AZ$4&lt;=$AL155,AZ$4&gt;$AK155),5,0)))))*'Detailed Assumptions'!$E$6</f>
        <v>3</v>
      </c>
      <c r="BA498" s="543">
        <f>IF(AND(BA$4&lt;=$AH155,BA$4&gt;$V155),1,IF(AND(BA$4&lt;=$AI155,BA$4&gt;$AH155),2,IF(AND(BA$4&lt;=$AJ155,BA$4&gt;$AI155),3,IF(AND(BA$4&lt;=$AK155,BA$4&gt;$AJ155),4,IF(AND(BA$4&lt;=$AL155,BA$4&gt;$AK155),5,0)))))*'Detailed Assumptions'!$E$6</f>
        <v>3</v>
      </c>
      <c r="BB498" s="543">
        <f>IF(AND(BB$4&lt;=$AH155,BB$4&gt;$V155),1,IF(AND(BB$4&lt;=$AI155,BB$4&gt;$AH155),2,IF(AND(BB$4&lt;=$AJ155,BB$4&gt;$AI155),3,IF(AND(BB$4&lt;=$AK155,BB$4&gt;$AJ155),4,IF(AND(BB$4&lt;=$AL155,BB$4&gt;$AK155),5,0)))))*'Detailed Assumptions'!$E$6</f>
        <v>3</v>
      </c>
      <c r="BC498" s="543">
        <f>IF(AND(BC$4&lt;=$AH155,BC$4&gt;$V155),1,IF(AND(BC$4&lt;=$AI155,BC$4&gt;$AH155),2,IF(AND(BC$4&lt;=$AJ155,BC$4&gt;$AI155),3,IF(AND(BC$4&lt;=$AK155,BC$4&gt;$AJ155),4,IF(AND(BC$4&lt;=$AL155,BC$4&gt;$AK155),5,0)))))*'Detailed Assumptions'!$E$6</f>
        <v>3</v>
      </c>
      <c r="BD498" s="543">
        <f>IF(AND(BD$4&lt;=$AH155,BD$4&gt;$V155),1,IF(AND(BD$4&lt;=$AI155,BD$4&gt;$AH155),2,IF(AND(BD$4&lt;=$AJ155,BD$4&gt;$AI155),3,IF(AND(BD$4&lt;=$AK155,BD$4&gt;$AJ155),4,IF(AND(BD$4&lt;=$AL155,BD$4&gt;$AK155),5,0)))))*'Detailed Assumptions'!$E$6</f>
        <v>3</v>
      </c>
      <c r="BE498" s="543">
        <f>IF(AND(BE$4&lt;=$AH155,BE$4&gt;$V155),1,IF(AND(BE$4&lt;=$AI155,BE$4&gt;$AH155),2,IF(AND(BE$4&lt;=$AJ155,BE$4&gt;$AI155),3,IF(AND(BE$4&lt;=$AK155,BE$4&gt;$AJ155),4,IF(AND(BE$4&lt;=$AL155,BE$4&gt;$AK155),5,0)))))*'Detailed Assumptions'!$E$6</f>
        <v>3</v>
      </c>
      <c r="BF498" s="543">
        <f>IF(AND(BF$4&lt;=$AH155,BF$4&gt;$V155),1,IF(AND(BF$4&lt;=$AI155,BF$4&gt;$AH155),2,IF(AND(BF$4&lt;=$AJ155,BF$4&gt;$AI155),3,IF(AND(BF$4&lt;=$AK155,BF$4&gt;$AJ155),4,IF(AND(BF$4&lt;=$AL155,BF$4&gt;$AK155),5,0)))))*'Detailed Assumptions'!$E$6</f>
        <v>3</v>
      </c>
      <c r="BG498" s="543">
        <f>IF(AND(BG$4&lt;=$AH155,BG$4&gt;$V155),1,IF(AND(BG$4&lt;=$AI155,BG$4&gt;$AH155),2,IF(AND(BG$4&lt;=$AJ155,BG$4&gt;$AI155),3,IF(AND(BG$4&lt;=$AK155,BG$4&gt;$AJ155),4,IF(AND(BG$4&lt;=$AL155,BG$4&gt;$AK155),5,0)))))*'Detailed Assumptions'!$E$6</f>
        <v>3</v>
      </c>
      <c r="BH498" s="543">
        <f>IF(AND(BH$4&lt;=$AH155,BH$4&gt;$V155),1,IF(AND(BH$4&lt;=$AI155,BH$4&gt;$AH155),2,IF(AND(BH$4&lt;=$AJ155,BH$4&gt;$AI155),3,IF(AND(BH$4&lt;=$AK155,BH$4&gt;$AJ155),4,IF(AND(BH$4&lt;=$AL155,BH$4&gt;$AK155),5,0)))))*'Detailed Assumptions'!$E$6</f>
        <v>4</v>
      </c>
      <c r="BI498" s="543">
        <f>IF(AND(BI$4&lt;=$AH155,BI$4&gt;$V155),1,IF(AND(BI$4&lt;=$AI155,BI$4&gt;$AH155),2,IF(AND(BI$4&lt;=$AJ155,BI$4&gt;$AI155),3,IF(AND(BI$4&lt;=$AK155,BI$4&gt;$AJ155),4,IF(AND(BI$4&lt;=$AL155,BI$4&gt;$AK155),5,0)))))*'Detailed Assumptions'!$E$6</f>
        <v>4</v>
      </c>
      <c r="BJ498" s="543">
        <f>IF(AND(BJ$4&lt;=$AH155,BJ$4&gt;$V155),1,IF(AND(BJ$4&lt;=$AI155,BJ$4&gt;$AH155),2,IF(AND(BJ$4&lt;=$AJ155,BJ$4&gt;$AI155),3,IF(AND(BJ$4&lt;=$AK155,BJ$4&gt;$AJ155),4,IF(AND(BJ$4&lt;=$AL155,BJ$4&gt;$AK155),5,0)))))*'Detailed Assumptions'!$E$6</f>
        <v>4</v>
      </c>
      <c r="BK498" s="543">
        <f>IF(AND(BK$4&lt;=$AH155,BK$4&gt;$V155),1,IF(AND(BK$4&lt;=$AI155,BK$4&gt;$AH155),2,IF(AND(BK$4&lt;=$AJ155,BK$4&gt;$AI155),3,IF(AND(BK$4&lt;=$AK155,BK$4&gt;$AJ155),4,IF(AND(BK$4&lt;=$AL155,BK$4&gt;$AK155),5,0)))))*'Detailed Assumptions'!$E$6</f>
        <v>4</v>
      </c>
      <c r="BL498" s="543">
        <f>IF(AND(BL$4&lt;=$AH155,BL$4&gt;$V155),1,IF(AND(BL$4&lt;=$AI155,BL$4&gt;$AH155),2,IF(AND(BL$4&lt;=$AJ155,BL$4&gt;$AI155),3,IF(AND(BL$4&lt;=$AK155,BL$4&gt;$AJ155),4,IF(AND(BL$4&lt;=$AL155,BL$4&gt;$AK155),5,0)))))*'Detailed Assumptions'!$E$6</f>
        <v>4</v>
      </c>
      <c r="BM498" s="543">
        <f>IF(AND(BM$4&lt;=$AH155,BM$4&gt;$V155),1,IF(AND(BM$4&lt;=$AI155,BM$4&gt;$AH155),2,IF(AND(BM$4&lt;=$AJ155,BM$4&gt;$AI155),3,IF(AND(BM$4&lt;=$AK155,BM$4&gt;$AJ155),4,IF(AND(BM$4&lt;=$AL155,BM$4&gt;$AK155),5,0)))))*'Detailed Assumptions'!$E$6</f>
        <v>4</v>
      </c>
      <c r="BN498" s="543">
        <f>IF(AND(BN$4&lt;=$AH155,BN$4&gt;$V155),1,IF(AND(BN$4&lt;=$AI155,BN$4&gt;$AH155),2,IF(AND(BN$4&lt;=$AJ155,BN$4&gt;$AI155),3,IF(AND(BN$4&lt;=$AK155,BN$4&gt;$AJ155),4,IF(AND(BN$4&lt;=$AL155,BN$4&gt;$AK155),5,0)))))*'Detailed Assumptions'!$E$6</f>
        <v>4</v>
      </c>
      <c r="BO498" s="543">
        <f>IF(AND(BO$4&lt;=$AH155,BO$4&gt;$V155),1,IF(AND(BO$4&lt;=$AI155,BO$4&gt;$AH155),2,IF(AND(BO$4&lt;=$AJ155,BO$4&gt;$AI155),3,IF(AND(BO$4&lt;=$AK155,BO$4&gt;$AJ155),4,IF(AND(BO$4&lt;=$AL155,BO$4&gt;$AK155),5,0)))))*'Detailed Assumptions'!$E$6</f>
        <v>4</v>
      </c>
      <c r="BP498" s="543">
        <f>IF(AND(BP$4&lt;=$AH155,BP$4&gt;$V155),1,IF(AND(BP$4&lt;=$AI155,BP$4&gt;$AH155),2,IF(AND(BP$4&lt;=$AJ155,BP$4&gt;$AI155),3,IF(AND(BP$4&lt;=$AK155,BP$4&gt;$AJ155),4,IF(AND(BP$4&lt;=$AL155,BP$4&gt;$AK155),5,0)))))*'Detailed Assumptions'!$E$6</f>
        <v>4</v>
      </c>
      <c r="BQ498" s="543">
        <f>IF(AND(BQ$4&lt;=$AH155,BQ$4&gt;$V155),1,IF(AND(BQ$4&lt;=$AI155,BQ$4&gt;$AH155),2,IF(AND(BQ$4&lt;=$AJ155,BQ$4&gt;$AI155),3,IF(AND(BQ$4&lt;=$AK155,BQ$4&gt;$AJ155),4,IF(AND(BQ$4&lt;=$AL155,BQ$4&gt;$AK155),5,0)))))*'Detailed Assumptions'!$E$6</f>
        <v>4</v>
      </c>
      <c r="BR498" s="543">
        <f>IF(AND(BR$4&lt;=$AH155,BR$4&gt;$V155),1,IF(AND(BR$4&lt;=$AI155,BR$4&gt;$AH155),2,IF(AND(BR$4&lt;=$AJ155,BR$4&gt;$AI155),3,IF(AND(BR$4&lt;=$AK155,BR$4&gt;$AJ155),4,IF(AND(BR$4&lt;=$AL155,BR$4&gt;$AK155),5,0)))))*'Detailed Assumptions'!$E$6</f>
        <v>4</v>
      </c>
      <c r="BS498" s="543">
        <f>IF(AND(BS$4&lt;=$AH155,BS$4&gt;$V155),1,IF(AND(BS$4&lt;=$AI155,BS$4&gt;$AH155),2,IF(AND(BS$4&lt;=$AJ155,BS$4&gt;$AI155),3,IF(AND(BS$4&lt;=$AK155,BS$4&gt;$AJ155),4,IF(AND(BS$4&lt;=$AL155,BS$4&gt;$AK155),5,0)))))*'Detailed Assumptions'!$E$6</f>
        <v>4</v>
      </c>
      <c r="BT498" s="543">
        <f>IF(AND(BT$4&lt;=$AH155,BT$4&gt;$V155),1,IF(AND(BT$4&lt;=$AI155,BT$4&gt;$AH155),2,IF(AND(BT$4&lt;=$AJ155,BT$4&gt;$AI155),3,IF(AND(BT$4&lt;=$AK155,BT$4&gt;$AJ155),4,IF(AND(BT$4&lt;=$AL155,BT$4&gt;$AK155),5,0)))))*'Detailed Assumptions'!$E$6</f>
        <v>5</v>
      </c>
      <c r="BU498" s="543">
        <f>IF(AND(BU$4&lt;=$AH155,BU$4&gt;$V155),1,IF(AND(BU$4&lt;=$AI155,BU$4&gt;$AH155),2,IF(AND(BU$4&lt;=$AJ155,BU$4&gt;$AI155),3,IF(AND(BU$4&lt;=$AK155,BU$4&gt;$AJ155),4,IF(AND(BU$4&lt;=$AL155,BU$4&gt;$AK155),5,0)))))*'Detailed Assumptions'!$E$6</f>
        <v>5</v>
      </c>
      <c r="BV498" s="543">
        <f>IF(AND(BV$4&lt;=$AH155,BV$4&gt;$V155),1,IF(AND(BV$4&lt;=$AI155,BV$4&gt;$AH155),2,IF(AND(BV$4&lt;=$AJ155,BV$4&gt;$AI155),3,IF(AND(BV$4&lt;=$AK155,BV$4&gt;$AJ155),4,IF(AND(BV$4&lt;=$AL155,BV$4&gt;$AK155),5,0)))))*'Detailed Assumptions'!$E$6</f>
        <v>5</v>
      </c>
      <c r="BW498" s="543">
        <f>IF(AND(BW$4&lt;=$AH155,BW$4&gt;$V155),1,IF(AND(BW$4&lt;=$AI155,BW$4&gt;$AH155),2,IF(AND(BW$4&lt;=$AJ155,BW$4&gt;$AI155),3,IF(AND(BW$4&lt;=$AK155,BW$4&gt;$AJ155),4,IF(AND(BW$4&lt;=$AL155,BW$4&gt;$AK155),5,0)))))*'Detailed Assumptions'!$E$6</f>
        <v>5</v>
      </c>
      <c r="BX498" s="543">
        <f>IF(AND(BX$4&lt;=$AH155,BX$4&gt;$V155),1,IF(AND(BX$4&lt;=$AI155,BX$4&gt;$AH155),2,IF(AND(BX$4&lt;=$AJ155,BX$4&gt;$AI155),3,IF(AND(BX$4&lt;=$AK155,BX$4&gt;$AJ155),4,IF(AND(BX$4&lt;=$AL155,BX$4&gt;$AK155),5,0)))))*'Detailed Assumptions'!$E$6</f>
        <v>5</v>
      </c>
      <c r="BY498" s="543">
        <f>IF(AND(BY$4&lt;=$AH155,BY$4&gt;$V155),1,IF(AND(BY$4&lt;=$AI155,BY$4&gt;$AH155),2,IF(AND(BY$4&lt;=$AJ155,BY$4&gt;$AI155),3,IF(AND(BY$4&lt;=$AK155,BY$4&gt;$AJ155),4,IF(AND(BY$4&lt;=$AL155,BY$4&gt;$AK155),5,0)))))*'Detailed Assumptions'!$E$6</f>
        <v>5</v>
      </c>
      <c r="BZ498" s="537"/>
      <c r="CA498" s="537"/>
      <c r="CB498" s="537"/>
    </row>
    <row r="499" spans="1:80" x14ac:dyDescent="0.3">
      <c r="A499" s="551"/>
      <c r="B499" s="548"/>
      <c r="C499" s="548"/>
      <c r="D499" s="525"/>
      <c r="E499" s="655" t="str">
        <f>"EBITDA growth post capex: "&amp;E$156</f>
        <v>EBITDA growth post capex: FY28 Tranche</v>
      </c>
      <c r="F499" s="574"/>
      <c r="G499" s="574"/>
      <c r="H499" s="574"/>
      <c r="I499" s="574"/>
      <c r="J499" s="574"/>
      <c r="K499" s="574"/>
      <c r="L499" s="574"/>
      <c r="M499" s="574"/>
      <c r="N499" s="574"/>
      <c r="O499" s="574"/>
      <c r="P499" s="653"/>
      <c r="Q499" s="574"/>
      <c r="R499" s="543">
        <f>IF(AND(R$4&lt;=$AH156,R$4&gt;$V156),1,IF(AND(R$4&lt;=$AI156,R$4&gt;$AH156),2,IF(AND(R$4&lt;=$AJ156,R$4&gt;$AI156),3,IF(AND(R$4&lt;=$AK156,R$4&gt;$AJ156),4,IF(AND(R$4&lt;=$AL156,R$4&gt;$AK156),5,0)))))*'Detailed Assumptions'!$E$6</f>
        <v>0</v>
      </c>
      <c r="S499" s="543">
        <f>IF(AND(S$4&lt;=$AH156,S$4&gt;$V156),1,IF(AND(S$4&lt;=$AI156,S$4&gt;$AH156),2,IF(AND(S$4&lt;=$AJ156,S$4&gt;$AI156),3,IF(AND(S$4&lt;=$AK156,S$4&gt;$AJ156),4,IF(AND(S$4&lt;=$AL156,S$4&gt;$AK156),5,0)))))*'Detailed Assumptions'!$E$6</f>
        <v>0</v>
      </c>
      <c r="T499" s="543">
        <f>IF(AND(T$4&lt;=$AH156,T$4&gt;$V156),1,IF(AND(T$4&lt;=$AI156,T$4&gt;$AH156),2,IF(AND(T$4&lt;=$AJ156,T$4&gt;$AI156),3,IF(AND(T$4&lt;=$AK156,T$4&gt;$AJ156),4,IF(AND(T$4&lt;=$AL156,T$4&gt;$AK156),5,0)))))*'Detailed Assumptions'!$E$6</f>
        <v>0</v>
      </c>
      <c r="U499" s="543">
        <f>IF(AND(U$4&lt;=$AH156,U$4&gt;$V156),1,IF(AND(U$4&lt;=$AI156,U$4&gt;$AH156),2,IF(AND(U$4&lt;=$AJ156,U$4&gt;$AI156),3,IF(AND(U$4&lt;=$AK156,U$4&gt;$AJ156),4,IF(AND(U$4&lt;=$AL156,U$4&gt;$AK156),5,0)))))*'Detailed Assumptions'!$E$6</f>
        <v>0</v>
      </c>
      <c r="V499" s="543">
        <f>IF(AND(V$4&lt;=$AH156,V$4&gt;$V156),1,IF(AND(V$4&lt;=$AI156,V$4&gt;$AH156),2,IF(AND(V$4&lt;=$AJ156,V$4&gt;$AI156),3,IF(AND(V$4&lt;=$AK156,V$4&gt;$AJ156),4,IF(AND(V$4&lt;=$AL156,V$4&gt;$AK156),5,0)))))*'Detailed Assumptions'!$E$6</f>
        <v>0</v>
      </c>
      <c r="W499" s="543">
        <f>IF(AND(W$4&lt;=$AH156,W$4&gt;$V156),1,IF(AND(W$4&lt;=$AI156,W$4&gt;$AH156),2,IF(AND(W$4&lt;=$AJ156,W$4&gt;$AI156),3,IF(AND(W$4&lt;=$AK156,W$4&gt;$AJ156),4,IF(AND(W$4&lt;=$AL156,W$4&gt;$AK156),5,0)))))*'Detailed Assumptions'!$E$6</f>
        <v>0</v>
      </c>
      <c r="X499" s="543">
        <f>IF(AND(X$4&lt;=$AH156,X$4&gt;$V156),1,IF(AND(X$4&lt;=$AI156,X$4&gt;$AH156),2,IF(AND(X$4&lt;=$AJ156,X$4&gt;$AI156),3,IF(AND(X$4&lt;=$AK156,X$4&gt;$AJ156),4,IF(AND(X$4&lt;=$AL156,X$4&gt;$AK156),5,0)))))*'Detailed Assumptions'!$E$6</f>
        <v>0</v>
      </c>
      <c r="Y499" s="543">
        <f>IF(AND(Y$4&lt;=$AH156,Y$4&gt;$V156),1,IF(AND(Y$4&lt;=$AI156,Y$4&gt;$AH156),2,IF(AND(Y$4&lt;=$AJ156,Y$4&gt;$AI156),3,IF(AND(Y$4&lt;=$AK156,Y$4&gt;$AJ156),4,IF(AND(Y$4&lt;=$AL156,Y$4&gt;$AK156),5,0)))))*'Detailed Assumptions'!$E$6</f>
        <v>0</v>
      </c>
      <c r="Z499" s="543">
        <f>IF(AND(Z$4&lt;=$AH156,Z$4&gt;$V156),1,IF(AND(Z$4&lt;=$AI156,Z$4&gt;$AH156),2,IF(AND(Z$4&lt;=$AJ156,Z$4&gt;$AI156),3,IF(AND(Z$4&lt;=$AK156,Z$4&gt;$AJ156),4,IF(AND(Z$4&lt;=$AL156,Z$4&gt;$AK156),5,0)))))*'Detailed Assumptions'!$E$6</f>
        <v>0</v>
      </c>
      <c r="AA499" s="543">
        <f>IF(AND(AA$4&lt;=$AH156,AA$4&gt;$V156),1,IF(AND(AA$4&lt;=$AI156,AA$4&gt;$AH156),2,IF(AND(AA$4&lt;=$AJ156,AA$4&gt;$AI156),3,IF(AND(AA$4&lt;=$AK156,AA$4&gt;$AJ156),4,IF(AND(AA$4&lt;=$AL156,AA$4&gt;$AK156),5,0)))))*'Detailed Assumptions'!$E$6</f>
        <v>0</v>
      </c>
      <c r="AB499" s="543">
        <f>IF(AND(AB$4&lt;=$AH156,AB$4&gt;$V156),1,IF(AND(AB$4&lt;=$AI156,AB$4&gt;$AH156),2,IF(AND(AB$4&lt;=$AJ156,AB$4&gt;$AI156),3,IF(AND(AB$4&lt;=$AK156,AB$4&gt;$AJ156),4,IF(AND(AB$4&lt;=$AL156,AB$4&gt;$AK156),5,0)))))*'Detailed Assumptions'!$E$6</f>
        <v>0</v>
      </c>
      <c r="AC499" s="543">
        <f>IF(AND(AC$4&lt;=$AH156,AC$4&gt;$V156),1,IF(AND(AC$4&lt;=$AI156,AC$4&gt;$AH156),2,IF(AND(AC$4&lt;=$AJ156,AC$4&gt;$AI156),3,IF(AND(AC$4&lt;=$AK156,AC$4&gt;$AJ156),4,IF(AND(AC$4&lt;=$AL156,AC$4&gt;$AK156),5,0)))))*'Detailed Assumptions'!$E$6</f>
        <v>0</v>
      </c>
      <c r="AD499" s="543">
        <f>IF(AND(AD$4&lt;=$AH156,AD$4&gt;$V156),1,IF(AND(AD$4&lt;=$AI156,AD$4&gt;$AH156),2,IF(AND(AD$4&lt;=$AJ156,AD$4&gt;$AI156),3,IF(AND(AD$4&lt;=$AK156,AD$4&gt;$AJ156),4,IF(AND(AD$4&lt;=$AL156,AD$4&gt;$AK156),5,0)))))*'Detailed Assumptions'!$E$6</f>
        <v>0</v>
      </c>
      <c r="AE499" s="543">
        <f>IF(AND(AE$4&lt;=$AH156,AE$4&gt;$V156),1,IF(AND(AE$4&lt;=$AI156,AE$4&gt;$AH156),2,IF(AND(AE$4&lt;=$AJ156,AE$4&gt;$AI156),3,IF(AND(AE$4&lt;=$AK156,AE$4&gt;$AJ156),4,IF(AND(AE$4&lt;=$AL156,AE$4&gt;$AK156),5,0)))))*'Detailed Assumptions'!$E$6</f>
        <v>0</v>
      </c>
      <c r="AF499" s="543">
        <f>IF(AND(AF$4&lt;=$AH156,AF$4&gt;$V156),1,IF(AND(AF$4&lt;=$AI156,AF$4&gt;$AH156),2,IF(AND(AF$4&lt;=$AJ156,AF$4&gt;$AI156),3,IF(AND(AF$4&lt;=$AK156,AF$4&gt;$AJ156),4,IF(AND(AF$4&lt;=$AL156,AF$4&gt;$AK156),5,0)))))*'Detailed Assumptions'!$E$6</f>
        <v>0</v>
      </c>
      <c r="AG499" s="543">
        <f>IF(AND(AG$4&lt;=$AH156,AG$4&gt;$V156),1,IF(AND(AG$4&lt;=$AI156,AG$4&gt;$AH156),2,IF(AND(AG$4&lt;=$AJ156,AG$4&gt;$AI156),3,IF(AND(AG$4&lt;=$AK156,AG$4&gt;$AJ156),4,IF(AND(AG$4&lt;=$AL156,AG$4&gt;$AK156),5,0)))))*'Detailed Assumptions'!$E$6</f>
        <v>0</v>
      </c>
      <c r="AH499" s="543">
        <f>IF(AND(AH$4&lt;=$AH156,AH$4&gt;$V156),1,IF(AND(AH$4&lt;=$AI156,AH$4&gt;$AH156),2,IF(AND(AH$4&lt;=$AJ156,AH$4&gt;$AI156),3,IF(AND(AH$4&lt;=$AK156,AH$4&gt;$AJ156),4,IF(AND(AH$4&lt;=$AL156,AH$4&gt;$AK156),5,0)))))*'Detailed Assumptions'!$E$6</f>
        <v>0</v>
      </c>
      <c r="AI499" s="543">
        <f>IF(AND(AI$4&lt;=$AH156,AI$4&gt;$V156),1,IF(AND(AI$4&lt;=$AI156,AI$4&gt;$AH156),2,IF(AND(AI$4&lt;=$AJ156,AI$4&gt;$AI156),3,IF(AND(AI$4&lt;=$AK156,AI$4&gt;$AJ156),4,IF(AND(AI$4&lt;=$AL156,AI$4&gt;$AK156),5,0)))))*'Detailed Assumptions'!$E$6</f>
        <v>0</v>
      </c>
      <c r="AJ499" s="543">
        <f>IF(AND(AJ$4&lt;=$AH156,AJ$4&gt;$V156),1,IF(AND(AJ$4&lt;=$AI156,AJ$4&gt;$AH156),2,IF(AND(AJ$4&lt;=$AJ156,AJ$4&gt;$AI156),3,IF(AND(AJ$4&lt;=$AK156,AJ$4&gt;$AJ156),4,IF(AND(AJ$4&lt;=$AL156,AJ$4&gt;$AK156),5,0)))))*'Detailed Assumptions'!$E$6</f>
        <v>1</v>
      </c>
      <c r="AK499" s="543">
        <f>IF(AND(AK$4&lt;=$AH156,AK$4&gt;$V156),1,IF(AND(AK$4&lt;=$AI156,AK$4&gt;$AH156),2,IF(AND(AK$4&lt;=$AJ156,AK$4&gt;$AI156),3,IF(AND(AK$4&lt;=$AK156,AK$4&gt;$AJ156),4,IF(AND(AK$4&lt;=$AL156,AK$4&gt;$AK156),5,0)))))*'Detailed Assumptions'!$E$6</f>
        <v>1</v>
      </c>
      <c r="AL499" s="543">
        <f>IF(AND(AL$4&lt;=$AH156,AL$4&gt;$V156),1,IF(AND(AL$4&lt;=$AI156,AL$4&gt;$AH156),2,IF(AND(AL$4&lt;=$AJ156,AL$4&gt;$AI156),3,IF(AND(AL$4&lt;=$AK156,AL$4&gt;$AJ156),4,IF(AND(AL$4&lt;=$AL156,AL$4&gt;$AK156),5,0)))))*'Detailed Assumptions'!$E$6</f>
        <v>1</v>
      </c>
      <c r="AM499" s="543">
        <f>IF(AND(AM$4&lt;=$AH156,AM$4&gt;$V156),1,IF(AND(AM$4&lt;=$AI156,AM$4&gt;$AH156),2,IF(AND(AM$4&lt;=$AJ156,AM$4&gt;$AI156),3,IF(AND(AM$4&lt;=$AK156,AM$4&gt;$AJ156),4,IF(AND(AM$4&lt;=$AL156,AM$4&gt;$AK156),5,0)))))*'Detailed Assumptions'!$E$6</f>
        <v>1</v>
      </c>
      <c r="AN499" s="543">
        <f>IF(AND(AN$4&lt;=$AH156,AN$4&gt;$V156),1,IF(AND(AN$4&lt;=$AI156,AN$4&gt;$AH156),2,IF(AND(AN$4&lt;=$AJ156,AN$4&gt;$AI156),3,IF(AND(AN$4&lt;=$AK156,AN$4&gt;$AJ156),4,IF(AND(AN$4&lt;=$AL156,AN$4&gt;$AK156),5,0)))))*'Detailed Assumptions'!$E$6</f>
        <v>1</v>
      </c>
      <c r="AO499" s="543">
        <f>IF(AND(AO$4&lt;=$AH156,AO$4&gt;$V156),1,IF(AND(AO$4&lt;=$AI156,AO$4&gt;$AH156),2,IF(AND(AO$4&lt;=$AJ156,AO$4&gt;$AI156),3,IF(AND(AO$4&lt;=$AK156,AO$4&gt;$AJ156),4,IF(AND(AO$4&lt;=$AL156,AO$4&gt;$AK156),5,0)))))*'Detailed Assumptions'!$E$6</f>
        <v>1</v>
      </c>
      <c r="AP499" s="543">
        <f>IF(AND(AP$4&lt;=$AH156,AP$4&gt;$V156),1,IF(AND(AP$4&lt;=$AI156,AP$4&gt;$AH156),2,IF(AND(AP$4&lt;=$AJ156,AP$4&gt;$AI156),3,IF(AND(AP$4&lt;=$AK156,AP$4&gt;$AJ156),4,IF(AND(AP$4&lt;=$AL156,AP$4&gt;$AK156),5,0)))))*'Detailed Assumptions'!$E$6</f>
        <v>1</v>
      </c>
      <c r="AQ499" s="543">
        <f>IF(AND(AQ$4&lt;=$AH156,AQ$4&gt;$V156),1,IF(AND(AQ$4&lt;=$AI156,AQ$4&gt;$AH156),2,IF(AND(AQ$4&lt;=$AJ156,AQ$4&gt;$AI156),3,IF(AND(AQ$4&lt;=$AK156,AQ$4&gt;$AJ156),4,IF(AND(AQ$4&lt;=$AL156,AQ$4&gt;$AK156),5,0)))))*'Detailed Assumptions'!$E$6</f>
        <v>1</v>
      </c>
      <c r="AR499" s="543">
        <f>IF(AND(AR$4&lt;=$AH156,AR$4&gt;$V156),1,IF(AND(AR$4&lt;=$AI156,AR$4&gt;$AH156),2,IF(AND(AR$4&lt;=$AJ156,AR$4&gt;$AI156),3,IF(AND(AR$4&lt;=$AK156,AR$4&gt;$AJ156),4,IF(AND(AR$4&lt;=$AL156,AR$4&gt;$AK156),5,0)))))*'Detailed Assumptions'!$E$6</f>
        <v>1</v>
      </c>
      <c r="AS499" s="543">
        <f>IF(AND(AS$4&lt;=$AH156,AS$4&gt;$V156),1,IF(AND(AS$4&lt;=$AI156,AS$4&gt;$AH156),2,IF(AND(AS$4&lt;=$AJ156,AS$4&gt;$AI156),3,IF(AND(AS$4&lt;=$AK156,AS$4&gt;$AJ156),4,IF(AND(AS$4&lt;=$AL156,AS$4&gt;$AK156),5,0)))))*'Detailed Assumptions'!$E$6</f>
        <v>1</v>
      </c>
      <c r="AT499" s="543">
        <f>IF(AND(AT$4&lt;=$AH156,AT$4&gt;$V156),1,IF(AND(AT$4&lt;=$AI156,AT$4&gt;$AH156),2,IF(AND(AT$4&lt;=$AJ156,AT$4&gt;$AI156),3,IF(AND(AT$4&lt;=$AK156,AT$4&gt;$AJ156),4,IF(AND(AT$4&lt;=$AL156,AT$4&gt;$AK156),5,0)))))*'Detailed Assumptions'!$E$6</f>
        <v>1</v>
      </c>
      <c r="AU499" s="543">
        <f>IF(AND(AU$4&lt;=$AH156,AU$4&gt;$V156),1,IF(AND(AU$4&lt;=$AI156,AU$4&gt;$AH156),2,IF(AND(AU$4&lt;=$AJ156,AU$4&gt;$AI156),3,IF(AND(AU$4&lt;=$AK156,AU$4&gt;$AJ156),4,IF(AND(AU$4&lt;=$AL156,AU$4&gt;$AK156),5,0)))))*'Detailed Assumptions'!$E$6</f>
        <v>1</v>
      </c>
      <c r="AV499" s="543">
        <f>IF(AND(AV$4&lt;=$AH156,AV$4&gt;$V156),1,IF(AND(AV$4&lt;=$AI156,AV$4&gt;$AH156),2,IF(AND(AV$4&lt;=$AJ156,AV$4&gt;$AI156),3,IF(AND(AV$4&lt;=$AK156,AV$4&gt;$AJ156),4,IF(AND(AV$4&lt;=$AL156,AV$4&gt;$AK156),5,0)))))*'Detailed Assumptions'!$E$6</f>
        <v>2</v>
      </c>
      <c r="AW499" s="543">
        <f>IF(AND(AW$4&lt;=$AH156,AW$4&gt;$V156),1,IF(AND(AW$4&lt;=$AI156,AW$4&gt;$AH156),2,IF(AND(AW$4&lt;=$AJ156,AW$4&gt;$AI156),3,IF(AND(AW$4&lt;=$AK156,AW$4&gt;$AJ156),4,IF(AND(AW$4&lt;=$AL156,AW$4&gt;$AK156),5,0)))))*'Detailed Assumptions'!$E$6</f>
        <v>2</v>
      </c>
      <c r="AX499" s="543">
        <f>IF(AND(AX$4&lt;=$AH156,AX$4&gt;$V156),1,IF(AND(AX$4&lt;=$AI156,AX$4&gt;$AH156),2,IF(AND(AX$4&lt;=$AJ156,AX$4&gt;$AI156),3,IF(AND(AX$4&lt;=$AK156,AX$4&gt;$AJ156),4,IF(AND(AX$4&lt;=$AL156,AX$4&gt;$AK156),5,0)))))*'Detailed Assumptions'!$E$6</f>
        <v>2</v>
      </c>
      <c r="AY499" s="543">
        <f>IF(AND(AY$4&lt;=$AH156,AY$4&gt;$V156),1,IF(AND(AY$4&lt;=$AI156,AY$4&gt;$AH156),2,IF(AND(AY$4&lt;=$AJ156,AY$4&gt;$AI156),3,IF(AND(AY$4&lt;=$AK156,AY$4&gt;$AJ156),4,IF(AND(AY$4&lt;=$AL156,AY$4&gt;$AK156),5,0)))))*'Detailed Assumptions'!$E$6</f>
        <v>2</v>
      </c>
      <c r="AZ499" s="543">
        <f>IF(AND(AZ$4&lt;=$AH156,AZ$4&gt;$V156),1,IF(AND(AZ$4&lt;=$AI156,AZ$4&gt;$AH156),2,IF(AND(AZ$4&lt;=$AJ156,AZ$4&gt;$AI156),3,IF(AND(AZ$4&lt;=$AK156,AZ$4&gt;$AJ156),4,IF(AND(AZ$4&lt;=$AL156,AZ$4&gt;$AK156),5,0)))))*'Detailed Assumptions'!$E$6</f>
        <v>2</v>
      </c>
      <c r="BA499" s="543">
        <f>IF(AND(BA$4&lt;=$AH156,BA$4&gt;$V156),1,IF(AND(BA$4&lt;=$AI156,BA$4&gt;$AH156),2,IF(AND(BA$4&lt;=$AJ156,BA$4&gt;$AI156),3,IF(AND(BA$4&lt;=$AK156,BA$4&gt;$AJ156),4,IF(AND(BA$4&lt;=$AL156,BA$4&gt;$AK156),5,0)))))*'Detailed Assumptions'!$E$6</f>
        <v>2</v>
      </c>
      <c r="BB499" s="543">
        <f>IF(AND(BB$4&lt;=$AH156,BB$4&gt;$V156),1,IF(AND(BB$4&lt;=$AI156,BB$4&gt;$AH156),2,IF(AND(BB$4&lt;=$AJ156,BB$4&gt;$AI156),3,IF(AND(BB$4&lt;=$AK156,BB$4&gt;$AJ156),4,IF(AND(BB$4&lt;=$AL156,BB$4&gt;$AK156),5,0)))))*'Detailed Assumptions'!$E$6</f>
        <v>2</v>
      </c>
      <c r="BC499" s="543">
        <f>IF(AND(BC$4&lt;=$AH156,BC$4&gt;$V156),1,IF(AND(BC$4&lt;=$AI156,BC$4&gt;$AH156),2,IF(AND(BC$4&lt;=$AJ156,BC$4&gt;$AI156),3,IF(AND(BC$4&lt;=$AK156,BC$4&gt;$AJ156),4,IF(AND(BC$4&lt;=$AL156,BC$4&gt;$AK156),5,0)))))*'Detailed Assumptions'!$E$6</f>
        <v>2</v>
      </c>
      <c r="BD499" s="543">
        <f>IF(AND(BD$4&lt;=$AH156,BD$4&gt;$V156),1,IF(AND(BD$4&lt;=$AI156,BD$4&gt;$AH156),2,IF(AND(BD$4&lt;=$AJ156,BD$4&gt;$AI156),3,IF(AND(BD$4&lt;=$AK156,BD$4&gt;$AJ156),4,IF(AND(BD$4&lt;=$AL156,BD$4&gt;$AK156),5,0)))))*'Detailed Assumptions'!$E$6</f>
        <v>2</v>
      </c>
      <c r="BE499" s="543">
        <f>IF(AND(BE$4&lt;=$AH156,BE$4&gt;$V156),1,IF(AND(BE$4&lt;=$AI156,BE$4&gt;$AH156),2,IF(AND(BE$4&lt;=$AJ156,BE$4&gt;$AI156),3,IF(AND(BE$4&lt;=$AK156,BE$4&gt;$AJ156),4,IF(AND(BE$4&lt;=$AL156,BE$4&gt;$AK156),5,0)))))*'Detailed Assumptions'!$E$6</f>
        <v>2</v>
      </c>
      <c r="BF499" s="543">
        <f>IF(AND(BF$4&lt;=$AH156,BF$4&gt;$V156),1,IF(AND(BF$4&lt;=$AI156,BF$4&gt;$AH156),2,IF(AND(BF$4&lt;=$AJ156,BF$4&gt;$AI156),3,IF(AND(BF$4&lt;=$AK156,BF$4&gt;$AJ156),4,IF(AND(BF$4&lt;=$AL156,BF$4&gt;$AK156),5,0)))))*'Detailed Assumptions'!$E$6</f>
        <v>2</v>
      </c>
      <c r="BG499" s="543">
        <f>IF(AND(BG$4&lt;=$AH156,BG$4&gt;$V156),1,IF(AND(BG$4&lt;=$AI156,BG$4&gt;$AH156),2,IF(AND(BG$4&lt;=$AJ156,BG$4&gt;$AI156),3,IF(AND(BG$4&lt;=$AK156,BG$4&gt;$AJ156),4,IF(AND(BG$4&lt;=$AL156,BG$4&gt;$AK156),5,0)))))*'Detailed Assumptions'!$E$6</f>
        <v>2</v>
      </c>
      <c r="BH499" s="543">
        <f>IF(AND(BH$4&lt;=$AH156,BH$4&gt;$V156),1,IF(AND(BH$4&lt;=$AI156,BH$4&gt;$AH156),2,IF(AND(BH$4&lt;=$AJ156,BH$4&gt;$AI156),3,IF(AND(BH$4&lt;=$AK156,BH$4&gt;$AJ156),4,IF(AND(BH$4&lt;=$AL156,BH$4&gt;$AK156),5,0)))))*'Detailed Assumptions'!$E$6</f>
        <v>3</v>
      </c>
      <c r="BI499" s="543">
        <f>IF(AND(BI$4&lt;=$AH156,BI$4&gt;$V156),1,IF(AND(BI$4&lt;=$AI156,BI$4&gt;$AH156),2,IF(AND(BI$4&lt;=$AJ156,BI$4&gt;$AI156),3,IF(AND(BI$4&lt;=$AK156,BI$4&gt;$AJ156),4,IF(AND(BI$4&lt;=$AL156,BI$4&gt;$AK156),5,0)))))*'Detailed Assumptions'!$E$6</f>
        <v>3</v>
      </c>
      <c r="BJ499" s="543">
        <f>IF(AND(BJ$4&lt;=$AH156,BJ$4&gt;$V156),1,IF(AND(BJ$4&lt;=$AI156,BJ$4&gt;$AH156),2,IF(AND(BJ$4&lt;=$AJ156,BJ$4&gt;$AI156),3,IF(AND(BJ$4&lt;=$AK156,BJ$4&gt;$AJ156),4,IF(AND(BJ$4&lt;=$AL156,BJ$4&gt;$AK156),5,0)))))*'Detailed Assumptions'!$E$6</f>
        <v>3</v>
      </c>
      <c r="BK499" s="543">
        <f>IF(AND(BK$4&lt;=$AH156,BK$4&gt;$V156),1,IF(AND(BK$4&lt;=$AI156,BK$4&gt;$AH156),2,IF(AND(BK$4&lt;=$AJ156,BK$4&gt;$AI156),3,IF(AND(BK$4&lt;=$AK156,BK$4&gt;$AJ156),4,IF(AND(BK$4&lt;=$AL156,BK$4&gt;$AK156),5,0)))))*'Detailed Assumptions'!$E$6</f>
        <v>3</v>
      </c>
      <c r="BL499" s="543">
        <f>IF(AND(BL$4&lt;=$AH156,BL$4&gt;$V156),1,IF(AND(BL$4&lt;=$AI156,BL$4&gt;$AH156),2,IF(AND(BL$4&lt;=$AJ156,BL$4&gt;$AI156),3,IF(AND(BL$4&lt;=$AK156,BL$4&gt;$AJ156),4,IF(AND(BL$4&lt;=$AL156,BL$4&gt;$AK156),5,0)))))*'Detailed Assumptions'!$E$6</f>
        <v>3</v>
      </c>
      <c r="BM499" s="543">
        <f>IF(AND(BM$4&lt;=$AH156,BM$4&gt;$V156),1,IF(AND(BM$4&lt;=$AI156,BM$4&gt;$AH156),2,IF(AND(BM$4&lt;=$AJ156,BM$4&gt;$AI156),3,IF(AND(BM$4&lt;=$AK156,BM$4&gt;$AJ156),4,IF(AND(BM$4&lt;=$AL156,BM$4&gt;$AK156),5,0)))))*'Detailed Assumptions'!$E$6</f>
        <v>3</v>
      </c>
      <c r="BN499" s="543">
        <f>IF(AND(BN$4&lt;=$AH156,BN$4&gt;$V156),1,IF(AND(BN$4&lt;=$AI156,BN$4&gt;$AH156),2,IF(AND(BN$4&lt;=$AJ156,BN$4&gt;$AI156),3,IF(AND(BN$4&lt;=$AK156,BN$4&gt;$AJ156),4,IF(AND(BN$4&lt;=$AL156,BN$4&gt;$AK156),5,0)))))*'Detailed Assumptions'!$E$6</f>
        <v>3</v>
      </c>
      <c r="BO499" s="543">
        <f>IF(AND(BO$4&lt;=$AH156,BO$4&gt;$V156),1,IF(AND(BO$4&lt;=$AI156,BO$4&gt;$AH156),2,IF(AND(BO$4&lt;=$AJ156,BO$4&gt;$AI156),3,IF(AND(BO$4&lt;=$AK156,BO$4&gt;$AJ156),4,IF(AND(BO$4&lt;=$AL156,BO$4&gt;$AK156),5,0)))))*'Detailed Assumptions'!$E$6</f>
        <v>3</v>
      </c>
      <c r="BP499" s="543">
        <f>IF(AND(BP$4&lt;=$AH156,BP$4&gt;$V156),1,IF(AND(BP$4&lt;=$AI156,BP$4&gt;$AH156),2,IF(AND(BP$4&lt;=$AJ156,BP$4&gt;$AI156),3,IF(AND(BP$4&lt;=$AK156,BP$4&gt;$AJ156),4,IF(AND(BP$4&lt;=$AL156,BP$4&gt;$AK156),5,0)))))*'Detailed Assumptions'!$E$6</f>
        <v>3</v>
      </c>
      <c r="BQ499" s="543">
        <f>IF(AND(BQ$4&lt;=$AH156,BQ$4&gt;$V156),1,IF(AND(BQ$4&lt;=$AI156,BQ$4&gt;$AH156),2,IF(AND(BQ$4&lt;=$AJ156,BQ$4&gt;$AI156),3,IF(AND(BQ$4&lt;=$AK156,BQ$4&gt;$AJ156),4,IF(AND(BQ$4&lt;=$AL156,BQ$4&gt;$AK156),5,0)))))*'Detailed Assumptions'!$E$6</f>
        <v>3</v>
      </c>
      <c r="BR499" s="543">
        <f>IF(AND(BR$4&lt;=$AH156,BR$4&gt;$V156),1,IF(AND(BR$4&lt;=$AI156,BR$4&gt;$AH156),2,IF(AND(BR$4&lt;=$AJ156,BR$4&gt;$AI156),3,IF(AND(BR$4&lt;=$AK156,BR$4&gt;$AJ156),4,IF(AND(BR$4&lt;=$AL156,BR$4&gt;$AK156),5,0)))))*'Detailed Assumptions'!$E$6</f>
        <v>3</v>
      </c>
      <c r="BS499" s="543">
        <f>IF(AND(BS$4&lt;=$AH156,BS$4&gt;$V156),1,IF(AND(BS$4&lt;=$AI156,BS$4&gt;$AH156),2,IF(AND(BS$4&lt;=$AJ156,BS$4&gt;$AI156),3,IF(AND(BS$4&lt;=$AK156,BS$4&gt;$AJ156),4,IF(AND(BS$4&lt;=$AL156,BS$4&gt;$AK156),5,0)))))*'Detailed Assumptions'!$E$6</f>
        <v>3</v>
      </c>
      <c r="BT499" s="543">
        <f>IF(AND(BT$4&lt;=$AH156,BT$4&gt;$V156),1,IF(AND(BT$4&lt;=$AI156,BT$4&gt;$AH156),2,IF(AND(BT$4&lt;=$AJ156,BT$4&gt;$AI156),3,IF(AND(BT$4&lt;=$AK156,BT$4&gt;$AJ156),4,IF(AND(BT$4&lt;=$AL156,BT$4&gt;$AK156),5,0)))))*'Detailed Assumptions'!$E$6</f>
        <v>4</v>
      </c>
      <c r="BU499" s="543">
        <f>IF(AND(BU$4&lt;=$AH156,BU$4&gt;$V156),1,IF(AND(BU$4&lt;=$AI156,BU$4&gt;$AH156),2,IF(AND(BU$4&lt;=$AJ156,BU$4&gt;$AI156),3,IF(AND(BU$4&lt;=$AK156,BU$4&gt;$AJ156),4,IF(AND(BU$4&lt;=$AL156,BU$4&gt;$AK156),5,0)))))*'Detailed Assumptions'!$E$6</f>
        <v>4</v>
      </c>
      <c r="BV499" s="543">
        <f>IF(AND(BV$4&lt;=$AH156,BV$4&gt;$V156),1,IF(AND(BV$4&lt;=$AI156,BV$4&gt;$AH156),2,IF(AND(BV$4&lt;=$AJ156,BV$4&gt;$AI156),3,IF(AND(BV$4&lt;=$AK156,BV$4&gt;$AJ156),4,IF(AND(BV$4&lt;=$AL156,BV$4&gt;$AK156),5,0)))))*'Detailed Assumptions'!$E$6</f>
        <v>4</v>
      </c>
      <c r="BW499" s="543">
        <f>IF(AND(BW$4&lt;=$AH156,BW$4&gt;$V156),1,IF(AND(BW$4&lt;=$AI156,BW$4&gt;$AH156),2,IF(AND(BW$4&lt;=$AJ156,BW$4&gt;$AI156),3,IF(AND(BW$4&lt;=$AK156,BW$4&gt;$AJ156),4,IF(AND(BW$4&lt;=$AL156,BW$4&gt;$AK156),5,0)))))*'Detailed Assumptions'!$E$6</f>
        <v>4</v>
      </c>
      <c r="BX499" s="543">
        <f>IF(AND(BX$4&lt;=$AH156,BX$4&gt;$V156),1,IF(AND(BX$4&lt;=$AI156,BX$4&gt;$AH156),2,IF(AND(BX$4&lt;=$AJ156,BX$4&gt;$AI156),3,IF(AND(BX$4&lt;=$AK156,BX$4&gt;$AJ156),4,IF(AND(BX$4&lt;=$AL156,BX$4&gt;$AK156),5,0)))))*'Detailed Assumptions'!$E$6</f>
        <v>4</v>
      </c>
      <c r="BY499" s="543">
        <f>IF(AND(BY$4&lt;=$AH156,BY$4&gt;$V156),1,IF(AND(BY$4&lt;=$AI156,BY$4&gt;$AH156),2,IF(AND(BY$4&lt;=$AJ156,BY$4&gt;$AI156),3,IF(AND(BY$4&lt;=$AK156,BY$4&gt;$AJ156),4,IF(AND(BY$4&lt;=$AL156,BY$4&gt;$AK156),5,0)))))*'Detailed Assumptions'!$E$6</f>
        <v>4</v>
      </c>
      <c r="BZ499" s="537"/>
      <c r="CA499" s="537"/>
      <c r="CB499" s="537"/>
    </row>
    <row r="500" spans="1:80" x14ac:dyDescent="0.3">
      <c r="A500" s="551"/>
      <c r="B500" s="548"/>
      <c r="C500" s="548"/>
      <c r="D500" s="525"/>
      <c r="E500" s="655" t="str">
        <f>"EBITDA growth post capex: "&amp;E$157</f>
        <v>EBITDA growth post capex: FY29 Tranche</v>
      </c>
      <c r="F500" s="574"/>
      <c r="G500" s="574"/>
      <c r="H500" s="574"/>
      <c r="I500" s="574"/>
      <c r="J500" s="574"/>
      <c r="K500" s="574"/>
      <c r="L500" s="574"/>
      <c r="M500" s="574"/>
      <c r="N500" s="574"/>
      <c r="O500" s="574"/>
      <c r="P500" s="653"/>
      <c r="Q500" s="574"/>
      <c r="R500" s="543">
        <f>IF(AND(R$4&lt;=$AH157,R$4&gt;$V157),1,IF(AND(R$4&lt;=$AI157,R$4&gt;$AH157),2,IF(AND(R$4&lt;=$AJ157,R$4&gt;$AI157),3,IF(AND(R$4&lt;=$AK157,R$4&gt;$AJ157),4,IF(AND(R$4&lt;=$AL157,R$4&gt;$AK157),5,0)))))*'Detailed Assumptions'!$E$6</f>
        <v>0</v>
      </c>
      <c r="S500" s="543">
        <f>IF(AND(S$4&lt;=$AH157,S$4&gt;$V157),1,IF(AND(S$4&lt;=$AI157,S$4&gt;$AH157),2,IF(AND(S$4&lt;=$AJ157,S$4&gt;$AI157),3,IF(AND(S$4&lt;=$AK157,S$4&gt;$AJ157),4,IF(AND(S$4&lt;=$AL157,S$4&gt;$AK157),5,0)))))*'Detailed Assumptions'!$E$6</f>
        <v>0</v>
      </c>
      <c r="T500" s="543">
        <f>IF(AND(T$4&lt;=$AH157,T$4&gt;$V157),1,IF(AND(T$4&lt;=$AI157,T$4&gt;$AH157),2,IF(AND(T$4&lt;=$AJ157,T$4&gt;$AI157),3,IF(AND(T$4&lt;=$AK157,T$4&gt;$AJ157),4,IF(AND(T$4&lt;=$AL157,T$4&gt;$AK157),5,0)))))*'Detailed Assumptions'!$E$6</f>
        <v>0</v>
      </c>
      <c r="U500" s="543">
        <f>IF(AND(U$4&lt;=$AH157,U$4&gt;$V157),1,IF(AND(U$4&lt;=$AI157,U$4&gt;$AH157),2,IF(AND(U$4&lt;=$AJ157,U$4&gt;$AI157),3,IF(AND(U$4&lt;=$AK157,U$4&gt;$AJ157),4,IF(AND(U$4&lt;=$AL157,U$4&gt;$AK157),5,0)))))*'Detailed Assumptions'!$E$6</f>
        <v>0</v>
      </c>
      <c r="V500" s="543">
        <f>IF(AND(V$4&lt;=$AH157,V$4&gt;$V157),1,IF(AND(V$4&lt;=$AI157,V$4&gt;$AH157),2,IF(AND(V$4&lt;=$AJ157,V$4&gt;$AI157),3,IF(AND(V$4&lt;=$AK157,V$4&gt;$AJ157),4,IF(AND(V$4&lt;=$AL157,V$4&gt;$AK157),5,0)))))*'Detailed Assumptions'!$E$6</f>
        <v>0</v>
      </c>
      <c r="W500" s="543">
        <f>IF(AND(W$4&lt;=$AH157,W$4&gt;$V157),1,IF(AND(W$4&lt;=$AI157,W$4&gt;$AH157),2,IF(AND(W$4&lt;=$AJ157,W$4&gt;$AI157),3,IF(AND(W$4&lt;=$AK157,W$4&gt;$AJ157),4,IF(AND(W$4&lt;=$AL157,W$4&gt;$AK157),5,0)))))*'Detailed Assumptions'!$E$6</f>
        <v>0</v>
      </c>
      <c r="X500" s="543">
        <f>IF(AND(X$4&lt;=$AH157,X$4&gt;$V157),1,IF(AND(X$4&lt;=$AI157,X$4&gt;$AH157),2,IF(AND(X$4&lt;=$AJ157,X$4&gt;$AI157),3,IF(AND(X$4&lt;=$AK157,X$4&gt;$AJ157),4,IF(AND(X$4&lt;=$AL157,X$4&gt;$AK157),5,0)))))*'Detailed Assumptions'!$E$6</f>
        <v>0</v>
      </c>
      <c r="Y500" s="543">
        <f>IF(AND(Y$4&lt;=$AH157,Y$4&gt;$V157),1,IF(AND(Y$4&lt;=$AI157,Y$4&gt;$AH157),2,IF(AND(Y$4&lt;=$AJ157,Y$4&gt;$AI157),3,IF(AND(Y$4&lt;=$AK157,Y$4&gt;$AJ157),4,IF(AND(Y$4&lt;=$AL157,Y$4&gt;$AK157),5,0)))))*'Detailed Assumptions'!$E$6</f>
        <v>0</v>
      </c>
      <c r="Z500" s="543">
        <f>IF(AND(Z$4&lt;=$AH157,Z$4&gt;$V157),1,IF(AND(Z$4&lt;=$AI157,Z$4&gt;$AH157),2,IF(AND(Z$4&lt;=$AJ157,Z$4&gt;$AI157),3,IF(AND(Z$4&lt;=$AK157,Z$4&gt;$AJ157),4,IF(AND(Z$4&lt;=$AL157,Z$4&gt;$AK157),5,0)))))*'Detailed Assumptions'!$E$6</f>
        <v>0</v>
      </c>
      <c r="AA500" s="543">
        <f>IF(AND(AA$4&lt;=$AH157,AA$4&gt;$V157),1,IF(AND(AA$4&lt;=$AI157,AA$4&gt;$AH157),2,IF(AND(AA$4&lt;=$AJ157,AA$4&gt;$AI157),3,IF(AND(AA$4&lt;=$AK157,AA$4&gt;$AJ157),4,IF(AND(AA$4&lt;=$AL157,AA$4&gt;$AK157),5,0)))))*'Detailed Assumptions'!$E$6</f>
        <v>0</v>
      </c>
      <c r="AB500" s="543">
        <f>IF(AND(AB$4&lt;=$AH157,AB$4&gt;$V157),1,IF(AND(AB$4&lt;=$AI157,AB$4&gt;$AH157),2,IF(AND(AB$4&lt;=$AJ157,AB$4&gt;$AI157),3,IF(AND(AB$4&lt;=$AK157,AB$4&gt;$AJ157),4,IF(AND(AB$4&lt;=$AL157,AB$4&gt;$AK157),5,0)))))*'Detailed Assumptions'!$E$6</f>
        <v>0</v>
      </c>
      <c r="AC500" s="543">
        <f>IF(AND(AC$4&lt;=$AH157,AC$4&gt;$V157),1,IF(AND(AC$4&lt;=$AI157,AC$4&gt;$AH157),2,IF(AND(AC$4&lt;=$AJ157,AC$4&gt;$AI157),3,IF(AND(AC$4&lt;=$AK157,AC$4&gt;$AJ157),4,IF(AND(AC$4&lt;=$AL157,AC$4&gt;$AK157),5,0)))))*'Detailed Assumptions'!$E$6</f>
        <v>0</v>
      </c>
      <c r="AD500" s="543">
        <f>IF(AND(AD$4&lt;=$AH157,AD$4&gt;$V157),1,IF(AND(AD$4&lt;=$AI157,AD$4&gt;$AH157),2,IF(AND(AD$4&lt;=$AJ157,AD$4&gt;$AI157),3,IF(AND(AD$4&lt;=$AK157,AD$4&gt;$AJ157),4,IF(AND(AD$4&lt;=$AL157,AD$4&gt;$AK157),5,0)))))*'Detailed Assumptions'!$E$6</f>
        <v>0</v>
      </c>
      <c r="AE500" s="543">
        <f>IF(AND(AE$4&lt;=$AH157,AE$4&gt;$V157),1,IF(AND(AE$4&lt;=$AI157,AE$4&gt;$AH157),2,IF(AND(AE$4&lt;=$AJ157,AE$4&gt;$AI157),3,IF(AND(AE$4&lt;=$AK157,AE$4&gt;$AJ157),4,IF(AND(AE$4&lt;=$AL157,AE$4&gt;$AK157),5,0)))))*'Detailed Assumptions'!$E$6</f>
        <v>0</v>
      </c>
      <c r="AF500" s="543">
        <f>IF(AND(AF$4&lt;=$AH157,AF$4&gt;$V157),1,IF(AND(AF$4&lt;=$AI157,AF$4&gt;$AH157),2,IF(AND(AF$4&lt;=$AJ157,AF$4&gt;$AI157),3,IF(AND(AF$4&lt;=$AK157,AF$4&gt;$AJ157),4,IF(AND(AF$4&lt;=$AL157,AF$4&gt;$AK157),5,0)))))*'Detailed Assumptions'!$E$6</f>
        <v>0</v>
      </c>
      <c r="AG500" s="543">
        <f>IF(AND(AG$4&lt;=$AH157,AG$4&gt;$V157),1,IF(AND(AG$4&lt;=$AI157,AG$4&gt;$AH157),2,IF(AND(AG$4&lt;=$AJ157,AG$4&gt;$AI157),3,IF(AND(AG$4&lt;=$AK157,AG$4&gt;$AJ157),4,IF(AND(AG$4&lt;=$AL157,AG$4&gt;$AK157),5,0)))))*'Detailed Assumptions'!$E$6</f>
        <v>0</v>
      </c>
      <c r="AH500" s="543">
        <f>IF(AND(AH$4&lt;=$AH157,AH$4&gt;$V157),1,IF(AND(AH$4&lt;=$AI157,AH$4&gt;$AH157),2,IF(AND(AH$4&lt;=$AJ157,AH$4&gt;$AI157),3,IF(AND(AH$4&lt;=$AK157,AH$4&gt;$AJ157),4,IF(AND(AH$4&lt;=$AL157,AH$4&gt;$AK157),5,0)))))*'Detailed Assumptions'!$E$6</f>
        <v>0</v>
      </c>
      <c r="AI500" s="543">
        <f>IF(AND(AI$4&lt;=$AH157,AI$4&gt;$V157),1,IF(AND(AI$4&lt;=$AI157,AI$4&gt;$AH157),2,IF(AND(AI$4&lt;=$AJ157,AI$4&gt;$AI157),3,IF(AND(AI$4&lt;=$AK157,AI$4&gt;$AJ157),4,IF(AND(AI$4&lt;=$AL157,AI$4&gt;$AK157),5,0)))))*'Detailed Assumptions'!$E$6</f>
        <v>0</v>
      </c>
      <c r="AJ500" s="543">
        <f>IF(AND(AJ$4&lt;=$AH157,AJ$4&gt;$V157),1,IF(AND(AJ$4&lt;=$AI157,AJ$4&gt;$AH157),2,IF(AND(AJ$4&lt;=$AJ157,AJ$4&gt;$AI157),3,IF(AND(AJ$4&lt;=$AK157,AJ$4&gt;$AJ157),4,IF(AND(AJ$4&lt;=$AL157,AJ$4&gt;$AK157),5,0)))))*'Detailed Assumptions'!$E$6</f>
        <v>0</v>
      </c>
      <c r="AK500" s="543">
        <f>IF(AND(AK$4&lt;=$AH157,AK$4&gt;$V157),1,IF(AND(AK$4&lt;=$AI157,AK$4&gt;$AH157),2,IF(AND(AK$4&lt;=$AJ157,AK$4&gt;$AI157),3,IF(AND(AK$4&lt;=$AK157,AK$4&gt;$AJ157),4,IF(AND(AK$4&lt;=$AL157,AK$4&gt;$AK157),5,0)))))*'Detailed Assumptions'!$E$6</f>
        <v>0</v>
      </c>
      <c r="AL500" s="543">
        <f>IF(AND(AL$4&lt;=$AH157,AL$4&gt;$V157),1,IF(AND(AL$4&lt;=$AI157,AL$4&gt;$AH157),2,IF(AND(AL$4&lt;=$AJ157,AL$4&gt;$AI157),3,IF(AND(AL$4&lt;=$AK157,AL$4&gt;$AJ157),4,IF(AND(AL$4&lt;=$AL157,AL$4&gt;$AK157),5,0)))))*'Detailed Assumptions'!$E$6</f>
        <v>0</v>
      </c>
      <c r="AM500" s="543">
        <f>IF(AND(AM$4&lt;=$AH157,AM$4&gt;$V157),1,IF(AND(AM$4&lt;=$AI157,AM$4&gt;$AH157),2,IF(AND(AM$4&lt;=$AJ157,AM$4&gt;$AI157),3,IF(AND(AM$4&lt;=$AK157,AM$4&gt;$AJ157),4,IF(AND(AM$4&lt;=$AL157,AM$4&gt;$AK157),5,0)))))*'Detailed Assumptions'!$E$6</f>
        <v>0</v>
      </c>
      <c r="AN500" s="543">
        <f>IF(AND(AN$4&lt;=$AH157,AN$4&gt;$V157),1,IF(AND(AN$4&lt;=$AI157,AN$4&gt;$AH157),2,IF(AND(AN$4&lt;=$AJ157,AN$4&gt;$AI157),3,IF(AND(AN$4&lt;=$AK157,AN$4&gt;$AJ157),4,IF(AND(AN$4&lt;=$AL157,AN$4&gt;$AK157),5,0)))))*'Detailed Assumptions'!$E$6</f>
        <v>0</v>
      </c>
      <c r="AO500" s="543">
        <f>IF(AND(AO$4&lt;=$AH157,AO$4&gt;$V157),1,IF(AND(AO$4&lt;=$AI157,AO$4&gt;$AH157),2,IF(AND(AO$4&lt;=$AJ157,AO$4&gt;$AI157),3,IF(AND(AO$4&lt;=$AK157,AO$4&gt;$AJ157),4,IF(AND(AO$4&lt;=$AL157,AO$4&gt;$AK157),5,0)))))*'Detailed Assumptions'!$E$6</f>
        <v>0</v>
      </c>
      <c r="AP500" s="543">
        <f>IF(AND(AP$4&lt;=$AH157,AP$4&gt;$V157),1,IF(AND(AP$4&lt;=$AI157,AP$4&gt;$AH157),2,IF(AND(AP$4&lt;=$AJ157,AP$4&gt;$AI157),3,IF(AND(AP$4&lt;=$AK157,AP$4&gt;$AJ157),4,IF(AND(AP$4&lt;=$AL157,AP$4&gt;$AK157),5,0)))))*'Detailed Assumptions'!$E$6</f>
        <v>0</v>
      </c>
      <c r="AQ500" s="543">
        <f>IF(AND(AQ$4&lt;=$AH157,AQ$4&gt;$V157),1,IF(AND(AQ$4&lt;=$AI157,AQ$4&gt;$AH157),2,IF(AND(AQ$4&lt;=$AJ157,AQ$4&gt;$AI157),3,IF(AND(AQ$4&lt;=$AK157,AQ$4&gt;$AJ157),4,IF(AND(AQ$4&lt;=$AL157,AQ$4&gt;$AK157),5,0)))))*'Detailed Assumptions'!$E$6</f>
        <v>0</v>
      </c>
      <c r="AR500" s="543">
        <f>IF(AND(AR$4&lt;=$AH157,AR$4&gt;$V157),1,IF(AND(AR$4&lt;=$AI157,AR$4&gt;$AH157),2,IF(AND(AR$4&lt;=$AJ157,AR$4&gt;$AI157),3,IF(AND(AR$4&lt;=$AK157,AR$4&gt;$AJ157),4,IF(AND(AR$4&lt;=$AL157,AR$4&gt;$AK157),5,0)))))*'Detailed Assumptions'!$E$6</f>
        <v>0</v>
      </c>
      <c r="AS500" s="543">
        <f>IF(AND(AS$4&lt;=$AH157,AS$4&gt;$V157),1,IF(AND(AS$4&lt;=$AI157,AS$4&gt;$AH157),2,IF(AND(AS$4&lt;=$AJ157,AS$4&gt;$AI157),3,IF(AND(AS$4&lt;=$AK157,AS$4&gt;$AJ157),4,IF(AND(AS$4&lt;=$AL157,AS$4&gt;$AK157),5,0)))))*'Detailed Assumptions'!$E$6</f>
        <v>0</v>
      </c>
      <c r="AT500" s="543">
        <f>IF(AND(AT$4&lt;=$AH157,AT$4&gt;$V157),1,IF(AND(AT$4&lt;=$AI157,AT$4&gt;$AH157),2,IF(AND(AT$4&lt;=$AJ157,AT$4&gt;$AI157),3,IF(AND(AT$4&lt;=$AK157,AT$4&gt;$AJ157),4,IF(AND(AT$4&lt;=$AL157,AT$4&gt;$AK157),5,0)))))*'Detailed Assumptions'!$E$6</f>
        <v>0</v>
      </c>
      <c r="AU500" s="543">
        <f>IF(AND(AU$4&lt;=$AH157,AU$4&gt;$V157),1,IF(AND(AU$4&lt;=$AI157,AU$4&gt;$AH157),2,IF(AND(AU$4&lt;=$AJ157,AU$4&gt;$AI157),3,IF(AND(AU$4&lt;=$AK157,AU$4&gt;$AJ157),4,IF(AND(AU$4&lt;=$AL157,AU$4&gt;$AK157),5,0)))))*'Detailed Assumptions'!$E$6</f>
        <v>0</v>
      </c>
      <c r="AV500" s="543">
        <f>IF(AND(AV$4&lt;=$AH157,AV$4&gt;$V157),1,IF(AND(AV$4&lt;=$AI157,AV$4&gt;$AH157),2,IF(AND(AV$4&lt;=$AJ157,AV$4&gt;$AI157),3,IF(AND(AV$4&lt;=$AK157,AV$4&gt;$AJ157),4,IF(AND(AV$4&lt;=$AL157,AV$4&gt;$AK157),5,0)))))*'Detailed Assumptions'!$E$6</f>
        <v>1</v>
      </c>
      <c r="AW500" s="543">
        <f>IF(AND(AW$4&lt;=$AH157,AW$4&gt;$V157),1,IF(AND(AW$4&lt;=$AI157,AW$4&gt;$AH157),2,IF(AND(AW$4&lt;=$AJ157,AW$4&gt;$AI157),3,IF(AND(AW$4&lt;=$AK157,AW$4&gt;$AJ157),4,IF(AND(AW$4&lt;=$AL157,AW$4&gt;$AK157),5,0)))))*'Detailed Assumptions'!$E$6</f>
        <v>1</v>
      </c>
      <c r="AX500" s="543">
        <f>IF(AND(AX$4&lt;=$AH157,AX$4&gt;$V157),1,IF(AND(AX$4&lt;=$AI157,AX$4&gt;$AH157),2,IF(AND(AX$4&lt;=$AJ157,AX$4&gt;$AI157),3,IF(AND(AX$4&lt;=$AK157,AX$4&gt;$AJ157),4,IF(AND(AX$4&lt;=$AL157,AX$4&gt;$AK157),5,0)))))*'Detailed Assumptions'!$E$6</f>
        <v>1</v>
      </c>
      <c r="AY500" s="543">
        <f>IF(AND(AY$4&lt;=$AH157,AY$4&gt;$V157),1,IF(AND(AY$4&lt;=$AI157,AY$4&gt;$AH157),2,IF(AND(AY$4&lt;=$AJ157,AY$4&gt;$AI157),3,IF(AND(AY$4&lt;=$AK157,AY$4&gt;$AJ157),4,IF(AND(AY$4&lt;=$AL157,AY$4&gt;$AK157),5,0)))))*'Detailed Assumptions'!$E$6</f>
        <v>1</v>
      </c>
      <c r="AZ500" s="543">
        <f>IF(AND(AZ$4&lt;=$AH157,AZ$4&gt;$V157),1,IF(AND(AZ$4&lt;=$AI157,AZ$4&gt;$AH157),2,IF(AND(AZ$4&lt;=$AJ157,AZ$4&gt;$AI157),3,IF(AND(AZ$4&lt;=$AK157,AZ$4&gt;$AJ157),4,IF(AND(AZ$4&lt;=$AL157,AZ$4&gt;$AK157),5,0)))))*'Detailed Assumptions'!$E$6</f>
        <v>1</v>
      </c>
      <c r="BA500" s="543">
        <f>IF(AND(BA$4&lt;=$AH157,BA$4&gt;$V157),1,IF(AND(BA$4&lt;=$AI157,BA$4&gt;$AH157),2,IF(AND(BA$4&lt;=$AJ157,BA$4&gt;$AI157),3,IF(AND(BA$4&lt;=$AK157,BA$4&gt;$AJ157),4,IF(AND(BA$4&lt;=$AL157,BA$4&gt;$AK157),5,0)))))*'Detailed Assumptions'!$E$6</f>
        <v>1</v>
      </c>
      <c r="BB500" s="543">
        <f>IF(AND(BB$4&lt;=$AH157,BB$4&gt;$V157),1,IF(AND(BB$4&lt;=$AI157,BB$4&gt;$AH157),2,IF(AND(BB$4&lt;=$AJ157,BB$4&gt;$AI157),3,IF(AND(BB$4&lt;=$AK157,BB$4&gt;$AJ157),4,IF(AND(BB$4&lt;=$AL157,BB$4&gt;$AK157),5,0)))))*'Detailed Assumptions'!$E$6</f>
        <v>1</v>
      </c>
      <c r="BC500" s="543">
        <f>IF(AND(BC$4&lt;=$AH157,BC$4&gt;$V157),1,IF(AND(BC$4&lt;=$AI157,BC$4&gt;$AH157),2,IF(AND(BC$4&lt;=$AJ157,BC$4&gt;$AI157),3,IF(AND(BC$4&lt;=$AK157,BC$4&gt;$AJ157),4,IF(AND(BC$4&lt;=$AL157,BC$4&gt;$AK157),5,0)))))*'Detailed Assumptions'!$E$6</f>
        <v>1</v>
      </c>
      <c r="BD500" s="543">
        <f>IF(AND(BD$4&lt;=$AH157,BD$4&gt;$V157),1,IF(AND(BD$4&lt;=$AI157,BD$4&gt;$AH157),2,IF(AND(BD$4&lt;=$AJ157,BD$4&gt;$AI157),3,IF(AND(BD$4&lt;=$AK157,BD$4&gt;$AJ157),4,IF(AND(BD$4&lt;=$AL157,BD$4&gt;$AK157),5,0)))))*'Detailed Assumptions'!$E$6</f>
        <v>1</v>
      </c>
      <c r="BE500" s="543">
        <f>IF(AND(BE$4&lt;=$AH157,BE$4&gt;$V157),1,IF(AND(BE$4&lt;=$AI157,BE$4&gt;$AH157),2,IF(AND(BE$4&lt;=$AJ157,BE$4&gt;$AI157),3,IF(AND(BE$4&lt;=$AK157,BE$4&gt;$AJ157),4,IF(AND(BE$4&lt;=$AL157,BE$4&gt;$AK157),5,0)))))*'Detailed Assumptions'!$E$6</f>
        <v>1</v>
      </c>
      <c r="BF500" s="543">
        <f>IF(AND(BF$4&lt;=$AH157,BF$4&gt;$V157),1,IF(AND(BF$4&lt;=$AI157,BF$4&gt;$AH157),2,IF(AND(BF$4&lt;=$AJ157,BF$4&gt;$AI157),3,IF(AND(BF$4&lt;=$AK157,BF$4&gt;$AJ157),4,IF(AND(BF$4&lt;=$AL157,BF$4&gt;$AK157),5,0)))))*'Detailed Assumptions'!$E$6</f>
        <v>1</v>
      </c>
      <c r="BG500" s="543">
        <f>IF(AND(BG$4&lt;=$AH157,BG$4&gt;$V157),1,IF(AND(BG$4&lt;=$AI157,BG$4&gt;$AH157),2,IF(AND(BG$4&lt;=$AJ157,BG$4&gt;$AI157),3,IF(AND(BG$4&lt;=$AK157,BG$4&gt;$AJ157),4,IF(AND(BG$4&lt;=$AL157,BG$4&gt;$AK157),5,0)))))*'Detailed Assumptions'!$E$6</f>
        <v>1</v>
      </c>
      <c r="BH500" s="543">
        <f>IF(AND(BH$4&lt;=$AH157,BH$4&gt;$V157),1,IF(AND(BH$4&lt;=$AI157,BH$4&gt;$AH157),2,IF(AND(BH$4&lt;=$AJ157,BH$4&gt;$AI157),3,IF(AND(BH$4&lt;=$AK157,BH$4&gt;$AJ157),4,IF(AND(BH$4&lt;=$AL157,BH$4&gt;$AK157),5,0)))))*'Detailed Assumptions'!$E$6</f>
        <v>2</v>
      </c>
      <c r="BI500" s="543">
        <f>IF(AND(BI$4&lt;=$AH157,BI$4&gt;$V157),1,IF(AND(BI$4&lt;=$AI157,BI$4&gt;$AH157),2,IF(AND(BI$4&lt;=$AJ157,BI$4&gt;$AI157),3,IF(AND(BI$4&lt;=$AK157,BI$4&gt;$AJ157),4,IF(AND(BI$4&lt;=$AL157,BI$4&gt;$AK157),5,0)))))*'Detailed Assumptions'!$E$6</f>
        <v>2</v>
      </c>
      <c r="BJ500" s="543">
        <f>IF(AND(BJ$4&lt;=$AH157,BJ$4&gt;$V157),1,IF(AND(BJ$4&lt;=$AI157,BJ$4&gt;$AH157),2,IF(AND(BJ$4&lt;=$AJ157,BJ$4&gt;$AI157),3,IF(AND(BJ$4&lt;=$AK157,BJ$4&gt;$AJ157),4,IF(AND(BJ$4&lt;=$AL157,BJ$4&gt;$AK157),5,0)))))*'Detailed Assumptions'!$E$6</f>
        <v>2</v>
      </c>
      <c r="BK500" s="543">
        <f>IF(AND(BK$4&lt;=$AH157,BK$4&gt;$V157),1,IF(AND(BK$4&lt;=$AI157,BK$4&gt;$AH157),2,IF(AND(BK$4&lt;=$AJ157,BK$4&gt;$AI157),3,IF(AND(BK$4&lt;=$AK157,BK$4&gt;$AJ157),4,IF(AND(BK$4&lt;=$AL157,BK$4&gt;$AK157),5,0)))))*'Detailed Assumptions'!$E$6</f>
        <v>2</v>
      </c>
      <c r="BL500" s="543">
        <f>IF(AND(BL$4&lt;=$AH157,BL$4&gt;$V157),1,IF(AND(BL$4&lt;=$AI157,BL$4&gt;$AH157),2,IF(AND(BL$4&lt;=$AJ157,BL$4&gt;$AI157),3,IF(AND(BL$4&lt;=$AK157,BL$4&gt;$AJ157),4,IF(AND(BL$4&lt;=$AL157,BL$4&gt;$AK157),5,0)))))*'Detailed Assumptions'!$E$6</f>
        <v>2</v>
      </c>
      <c r="BM500" s="543">
        <f>IF(AND(BM$4&lt;=$AH157,BM$4&gt;$V157),1,IF(AND(BM$4&lt;=$AI157,BM$4&gt;$AH157),2,IF(AND(BM$4&lt;=$AJ157,BM$4&gt;$AI157),3,IF(AND(BM$4&lt;=$AK157,BM$4&gt;$AJ157),4,IF(AND(BM$4&lt;=$AL157,BM$4&gt;$AK157),5,0)))))*'Detailed Assumptions'!$E$6</f>
        <v>2</v>
      </c>
      <c r="BN500" s="543">
        <f>IF(AND(BN$4&lt;=$AH157,BN$4&gt;$V157),1,IF(AND(BN$4&lt;=$AI157,BN$4&gt;$AH157),2,IF(AND(BN$4&lt;=$AJ157,BN$4&gt;$AI157),3,IF(AND(BN$4&lt;=$AK157,BN$4&gt;$AJ157),4,IF(AND(BN$4&lt;=$AL157,BN$4&gt;$AK157),5,0)))))*'Detailed Assumptions'!$E$6</f>
        <v>2</v>
      </c>
      <c r="BO500" s="543">
        <f>IF(AND(BO$4&lt;=$AH157,BO$4&gt;$V157),1,IF(AND(BO$4&lt;=$AI157,BO$4&gt;$AH157),2,IF(AND(BO$4&lt;=$AJ157,BO$4&gt;$AI157),3,IF(AND(BO$4&lt;=$AK157,BO$4&gt;$AJ157),4,IF(AND(BO$4&lt;=$AL157,BO$4&gt;$AK157),5,0)))))*'Detailed Assumptions'!$E$6</f>
        <v>2</v>
      </c>
      <c r="BP500" s="543">
        <f>IF(AND(BP$4&lt;=$AH157,BP$4&gt;$V157),1,IF(AND(BP$4&lt;=$AI157,BP$4&gt;$AH157),2,IF(AND(BP$4&lt;=$AJ157,BP$4&gt;$AI157),3,IF(AND(BP$4&lt;=$AK157,BP$4&gt;$AJ157),4,IF(AND(BP$4&lt;=$AL157,BP$4&gt;$AK157),5,0)))))*'Detailed Assumptions'!$E$6</f>
        <v>2</v>
      </c>
      <c r="BQ500" s="543">
        <f>IF(AND(BQ$4&lt;=$AH157,BQ$4&gt;$V157),1,IF(AND(BQ$4&lt;=$AI157,BQ$4&gt;$AH157),2,IF(AND(BQ$4&lt;=$AJ157,BQ$4&gt;$AI157),3,IF(AND(BQ$4&lt;=$AK157,BQ$4&gt;$AJ157),4,IF(AND(BQ$4&lt;=$AL157,BQ$4&gt;$AK157),5,0)))))*'Detailed Assumptions'!$E$6</f>
        <v>2</v>
      </c>
      <c r="BR500" s="543">
        <f>IF(AND(BR$4&lt;=$AH157,BR$4&gt;$V157),1,IF(AND(BR$4&lt;=$AI157,BR$4&gt;$AH157),2,IF(AND(BR$4&lt;=$AJ157,BR$4&gt;$AI157),3,IF(AND(BR$4&lt;=$AK157,BR$4&gt;$AJ157),4,IF(AND(BR$4&lt;=$AL157,BR$4&gt;$AK157),5,0)))))*'Detailed Assumptions'!$E$6</f>
        <v>2</v>
      </c>
      <c r="BS500" s="543">
        <f>IF(AND(BS$4&lt;=$AH157,BS$4&gt;$V157),1,IF(AND(BS$4&lt;=$AI157,BS$4&gt;$AH157),2,IF(AND(BS$4&lt;=$AJ157,BS$4&gt;$AI157),3,IF(AND(BS$4&lt;=$AK157,BS$4&gt;$AJ157),4,IF(AND(BS$4&lt;=$AL157,BS$4&gt;$AK157),5,0)))))*'Detailed Assumptions'!$E$6</f>
        <v>2</v>
      </c>
      <c r="BT500" s="543">
        <f>IF(AND(BT$4&lt;=$AH157,BT$4&gt;$V157),1,IF(AND(BT$4&lt;=$AI157,BT$4&gt;$AH157),2,IF(AND(BT$4&lt;=$AJ157,BT$4&gt;$AI157),3,IF(AND(BT$4&lt;=$AK157,BT$4&gt;$AJ157),4,IF(AND(BT$4&lt;=$AL157,BT$4&gt;$AK157),5,0)))))*'Detailed Assumptions'!$E$6</f>
        <v>3</v>
      </c>
      <c r="BU500" s="543">
        <f>IF(AND(BU$4&lt;=$AH157,BU$4&gt;$V157),1,IF(AND(BU$4&lt;=$AI157,BU$4&gt;$AH157),2,IF(AND(BU$4&lt;=$AJ157,BU$4&gt;$AI157),3,IF(AND(BU$4&lt;=$AK157,BU$4&gt;$AJ157),4,IF(AND(BU$4&lt;=$AL157,BU$4&gt;$AK157),5,0)))))*'Detailed Assumptions'!$E$6</f>
        <v>3</v>
      </c>
      <c r="BV500" s="543">
        <f>IF(AND(BV$4&lt;=$AH157,BV$4&gt;$V157),1,IF(AND(BV$4&lt;=$AI157,BV$4&gt;$AH157),2,IF(AND(BV$4&lt;=$AJ157,BV$4&gt;$AI157),3,IF(AND(BV$4&lt;=$AK157,BV$4&gt;$AJ157),4,IF(AND(BV$4&lt;=$AL157,BV$4&gt;$AK157),5,0)))))*'Detailed Assumptions'!$E$6</f>
        <v>3</v>
      </c>
      <c r="BW500" s="543">
        <f>IF(AND(BW$4&lt;=$AH157,BW$4&gt;$V157),1,IF(AND(BW$4&lt;=$AI157,BW$4&gt;$AH157),2,IF(AND(BW$4&lt;=$AJ157,BW$4&gt;$AI157),3,IF(AND(BW$4&lt;=$AK157,BW$4&gt;$AJ157),4,IF(AND(BW$4&lt;=$AL157,BW$4&gt;$AK157),5,0)))))*'Detailed Assumptions'!$E$6</f>
        <v>3</v>
      </c>
      <c r="BX500" s="543">
        <f>IF(AND(BX$4&lt;=$AH157,BX$4&gt;$V157),1,IF(AND(BX$4&lt;=$AI157,BX$4&gt;$AH157),2,IF(AND(BX$4&lt;=$AJ157,BX$4&gt;$AI157),3,IF(AND(BX$4&lt;=$AK157,BX$4&gt;$AJ157),4,IF(AND(BX$4&lt;=$AL157,BX$4&gt;$AK157),5,0)))))*'Detailed Assumptions'!$E$6</f>
        <v>3</v>
      </c>
      <c r="BY500" s="543">
        <f>IF(AND(BY$4&lt;=$AH157,BY$4&gt;$V157),1,IF(AND(BY$4&lt;=$AI157,BY$4&gt;$AH157),2,IF(AND(BY$4&lt;=$AJ157,BY$4&gt;$AI157),3,IF(AND(BY$4&lt;=$AK157,BY$4&gt;$AJ157),4,IF(AND(BY$4&lt;=$AL157,BY$4&gt;$AK157),5,0)))))*'Detailed Assumptions'!$E$6</f>
        <v>3</v>
      </c>
      <c r="BZ500" s="537"/>
      <c r="CA500" s="537"/>
      <c r="CB500" s="537"/>
    </row>
    <row r="501" spans="1:80" x14ac:dyDescent="0.3">
      <c r="A501" s="551"/>
      <c r="B501" s="548"/>
      <c r="C501" s="548"/>
      <c r="D501" s="525"/>
      <c r="E501" s="655" t="str">
        <f>"EBITDA growth post capex: "&amp;E$158</f>
        <v>EBITDA growth post capex: FY30 Tranche</v>
      </c>
      <c r="F501" s="574"/>
      <c r="G501" s="574"/>
      <c r="H501" s="574"/>
      <c r="I501" s="574"/>
      <c r="J501" s="574"/>
      <c r="K501" s="574"/>
      <c r="L501" s="574"/>
      <c r="M501" s="574"/>
      <c r="N501" s="574"/>
      <c r="O501" s="574"/>
      <c r="P501" s="653"/>
      <c r="Q501" s="574"/>
      <c r="R501" s="543">
        <f>IF(AND(R$4&lt;=$AH158,R$4&gt;$V158),1,IF(AND(R$4&lt;=$AI158,R$4&gt;$AH158),2,IF(AND(R$4&lt;=$AJ158,R$4&gt;$AI158),3,IF(AND(R$4&lt;=$AK158,R$4&gt;$AJ158),4,IF(AND(R$4&lt;=$AL158,R$4&gt;$AK158),5,0)))))*'Detailed Assumptions'!$E$6</f>
        <v>0</v>
      </c>
      <c r="S501" s="543">
        <f>IF(AND(S$4&lt;=$AH158,S$4&gt;$V158),1,IF(AND(S$4&lt;=$AI158,S$4&gt;$AH158),2,IF(AND(S$4&lt;=$AJ158,S$4&gt;$AI158),3,IF(AND(S$4&lt;=$AK158,S$4&gt;$AJ158),4,IF(AND(S$4&lt;=$AL158,S$4&gt;$AK158),5,0)))))*'Detailed Assumptions'!$E$6</f>
        <v>0</v>
      </c>
      <c r="T501" s="543">
        <f>IF(AND(T$4&lt;=$AH158,T$4&gt;$V158),1,IF(AND(T$4&lt;=$AI158,T$4&gt;$AH158),2,IF(AND(T$4&lt;=$AJ158,T$4&gt;$AI158),3,IF(AND(T$4&lt;=$AK158,T$4&gt;$AJ158),4,IF(AND(T$4&lt;=$AL158,T$4&gt;$AK158),5,0)))))*'Detailed Assumptions'!$E$6</f>
        <v>0</v>
      </c>
      <c r="U501" s="543">
        <f>IF(AND(U$4&lt;=$AH158,U$4&gt;$V158),1,IF(AND(U$4&lt;=$AI158,U$4&gt;$AH158),2,IF(AND(U$4&lt;=$AJ158,U$4&gt;$AI158),3,IF(AND(U$4&lt;=$AK158,U$4&gt;$AJ158),4,IF(AND(U$4&lt;=$AL158,U$4&gt;$AK158),5,0)))))*'Detailed Assumptions'!$E$6</f>
        <v>0</v>
      </c>
      <c r="V501" s="543">
        <f>IF(AND(V$4&lt;=$AH158,V$4&gt;$V158),1,IF(AND(V$4&lt;=$AI158,V$4&gt;$AH158),2,IF(AND(V$4&lt;=$AJ158,V$4&gt;$AI158),3,IF(AND(V$4&lt;=$AK158,V$4&gt;$AJ158),4,IF(AND(V$4&lt;=$AL158,V$4&gt;$AK158),5,0)))))*'Detailed Assumptions'!$E$6</f>
        <v>0</v>
      </c>
      <c r="W501" s="543">
        <f>IF(AND(W$4&lt;=$AH158,W$4&gt;$V158),1,IF(AND(W$4&lt;=$AI158,W$4&gt;$AH158),2,IF(AND(W$4&lt;=$AJ158,W$4&gt;$AI158),3,IF(AND(W$4&lt;=$AK158,W$4&gt;$AJ158),4,IF(AND(W$4&lt;=$AL158,W$4&gt;$AK158),5,0)))))*'Detailed Assumptions'!$E$6</f>
        <v>0</v>
      </c>
      <c r="X501" s="543">
        <f>IF(AND(X$4&lt;=$AH158,X$4&gt;$V158),1,IF(AND(X$4&lt;=$AI158,X$4&gt;$AH158),2,IF(AND(X$4&lt;=$AJ158,X$4&gt;$AI158),3,IF(AND(X$4&lt;=$AK158,X$4&gt;$AJ158),4,IF(AND(X$4&lt;=$AL158,X$4&gt;$AK158),5,0)))))*'Detailed Assumptions'!$E$6</f>
        <v>0</v>
      </c>
      <c r="Y501" s="543">
        <f>IF(AND(Y$4&lt;=$AH158,Y$4&gt;$V158),1,IF(AND(Y$4&lt;=$AI158,Y$4&gt;$AH158),2,IF(AND(Y$4&lt;=$AJ158,Y$4&gt;$AI158),3,IF(AND(Y$4&lt;=$AK158,Y$4&gt;$AJ158),4,IF(AND(Y$4&lt;=$AL158,Y$4&gt;$AK158),5,0)))))*'Detailed Assumptions'!$E$6</f>
        <v>0</v>
      </c>
      <c r="Z501" s="543">
        <f>IF(AND(Z$4&lt;=$AH158,Z$4&gt;$V158),1,IF(AND(Z$4&lt;=$AI158,Z$4&gt;$AH158),2,IF(AND(Z$4&lt;=$AJ158,Z$4&gt;$AI158),3,IF(AND(Z$4&lt;=$AK158,Z$4&gt;$AJ158),4,IF(AND(Z$4&lt;=$AL158,Z$4&gt;$AK158),5,0)))))*'Detailed Assumptions'!$E$6</f>
        <v>0</v>
      </c>
      <c r="AA501" s="543">
        <f>IF(AND(AA$4&lt;=$AH158,AA$4&gt;$V158),1,IF(AND(AA$4&lt;=$AI158,AA$4&gt;$AH158),2,IF(AND(AA$4&lt;=$AJ158,AA$4&gt;$AI158),3,IF(AND(AA$4&lt;=$AK158,AA$4&gt;$AJ158),4,IF(AND(AA$4&lt;=$AL158,AA$4&gt;$AK158),5,0)))))*'Detailed Assumptions'!$E$6</f>
        <v>0</v>
      </c>
      <c r="AB501" s="543">
        <f>IF(AND(AB$4&lt;=$AH158,AB$4&gt;$V158),1,IF(AND(AB$4&lt;=$AI158,AB$4&gt;$AH158),2,IF(AND(AB$4&lt;=$AJ158,AB$4&gt;$AI158),3,IF(AND(AB$4&lt;=$AK158,AB$4&gt;$AJ158),4,IF(AND(AB$4&lt;=$AL158,AB$4&gt;$AK158),5,0)))))*'Detailed Assumptions'!$E$6</f>
        <v>0</v>
      </c>
      <c r="AC501" s="543">
        <f>IF(AND(AC$4&lt;=$AH158,AC$4&gt;$V158),1,IF(AND(AC$4&lt;=$AI158,AC$4&gt;$AH158),2,IF(AND(AC$4&lt;=$AJ158,AC$4&gt;$AI158),3,IF(AND(AC$4&lt;=$AK158,AC$4&gt;$AJ158),4,IF(AND(AC$4&lt;=$AL158,AC$4&gt;$AK158),5,0)))))*'Detailed Assumptions'!$E$6</f>
        <v>0</v>
      </c>
      <c r="AD501" s="543">
        <f>IF(AND(AD$4&lt;=$AH158,AD$4&gt;$V158),1,IF(AND(AD$4&lt;=$AI158,AD$4&gt;$AH158),2,IF(AND(AD$4&lt;=$AJ158,AD$4&gt;$AI158),3,IF(AND(AD$4&lt;=$AK158,AD$4&gt;$AJ158),4,IF(AND(AD$4&lt;=$AL158,AD$4&gt;$AK158),5,0)))))*'Detailed Assumptions'!$E$6</f>
        <v>0</v>
      </c>
      <c r="AE501" s="543">
        <f>IF(AND(AE$4&lt;=$AH158,AE$4&gt;$V158),1,IF(AND(AE$4&lt;=$AI158,AE$4&gt;$AH158),2,IF(AND(AE$4&lt;=$AJ158,AE$4&gt;$AI158),3,IF(AND(AE$4&lt;=$AK158,AE$4&gt;$AJ158),4,IF(AND(AE$4&lt;=$AL158,AE$4&gt;$AK158),5,0)))))*'Detailed Assumptions'!$E$6</f>
        <v>0</v>
      </c>
      <c r="AF501" s="543">
        <f>IF(AND(AF$4&lt;=$AH158,AF$4&gt;$V158),1,IF(AND(AF$4&lt;=$AI158,AF$4&gt;$AH158),2,IF(AND(AF$4&lt;=$AJ158,AF$4&gt;$AI158),3,IF(AND(AF$4&lt;=$AK158,AF$4&gt;$AJ158),4,IF(AND(AF$4&lt;=$AL158,AF$4&gt;$AK158),5,0)))))*'Detailed Assumptions'!$E$6</f>
        <v>0</v>
      </c>
      <c r="AG501" s="543">
        <f>IF(AND(AG$4&lt;=$AH158,AG$4&gt;$V158),1,IF(AND(AG$4&lt;=$AI158,AG$4&gt;$AH158),2,IF(AND(AG$4&lt;=$AJ158,AG$4&gt;$AI158),3,IF(AND(AG$4&lt;=$AK158,AG$4&gt;$AJ158),4,IF(AND(AG$4&lt;=$AL158,AG$4&gt;$AK158),5,0)))))*'Detailed Assumptions'!$E$6</f>
        <v>0</v>
      </c>
      <c r="AH501" s="543">
        <f>IF(AND(AH$4&lt;=$AH158,AH$4&gt;$V158),1,IF(AND(AH$4&lt;=$AI158,AH$4&gt;$AH158),2,IF(AND(AH$4&lt;=$AJ158,AH$4&gt;$AI158),3,IF(AND(AH$4&lt;=$AK158,AH$4&gt;$AJ158),4,IF(AND(AH$4&lt;=$AL158,AH$4&gt;$AK158),5,0)))))*'Detailed Assumptions'!$E$6</f>
        <v>0</v>
      </c>
      <c r="AI501" s="543">
        <f>IF(AND(AI$4&lt;=$AH158,AI$4&gt;$V158),1,IF(AND(AI$4&lt;=$AI158,AI$4&gt;$AH158),2,IF(AND(AI$4&lt;=$AJ158,AI$4&gt;$AI158),3,IF(AND(AI$4&lt;=$AK158,AI$4&gt;$AJ158),4,IF(AND(AI$4&lt;=$AL158,AI$4&gt;$AK158),5,0)))))*'Detailed Assumptions'!$E$6</f>
        <v>0</v>
      </c>
      <c r="AJ501" s="543">
        <f>IF(AND(AJ$4&lt;=$AH158,AJ$4&gt;$V158),1,IF(AND(AJ$4&lt;=$AI158,AJ$4&gt;$AH158),2,IF(AND(AJ$4&lt;=$AJ158,AJ$4&gt;$AI158),3,IF(AND(AJ$4&lt;=$AK158,AJ$4&gt;$AJ158),4,IF(AND(AJ$4&lt;=$AL158,AJ$4&gt;$AK158),5,0)))))*'Detailed Assumptions'!$E$6</f>
        <v>0</v>
      </c>
      <c r="AK501" s="543">
        <f>IF(AND(AK$4&lt;=$AH158,AK$4&gt;$V158),1,IF(AND(AK$4&lt;=$AI158,AK$4&gt;$AH158),2,IF(AND(AK$4&lt;=$AJ158,AK$4&gt;$AI158),3,IF(AND(AK$4&lt;=$AK158,AK$4&gt;$AJ158),4,IF(AND(AK$4&lt;=$AL158,AK$4&gt;$AK158),5,0)))))*'Detailed Assumptions'!$E$6</f>
        <v>0</v>
      </c>
      <c r="AL501" s="543">
        <f>IF(AND(AL$4&lt;=$AH158,AL$4&gt;$V158),1,IF(AND(AL$4&lt;=$AI158,AL$4&gt;$AH158),2,IF(AND(AL$4&lt;=$AJ158,AL$4&gt;$AI158),3,IF(AND(AL$4&lt;=$AK158,AL$4&gt;$AJ158),4,IF(AND(AL$4&lt;=$AL158,AL$4&gt;$AK158),5,0)))))*'Detailed Assumptions'!$E$6</f>
        <v>0</v>
      </c>
      <c r="AM501" s="543">
        <f>IF(AND(AM$4&lt;=$AH158,AM$4&gt;$V158),1,IF(AND(AM$4&lt;=$AI158,AM$4&gt;$AH158),2,IF(AND(AM$4&lt;=$AJ158,AM$4&gt;$AI158),3,IF(AND(AM$4&lt;=$AK158,AM$4&gt;$AJ158),4,IF(AND(AM$4&lt;=$AL158,AM$4&gt;$AK158),5,0)))))*'Detailed Assumptions'!$E$6</f>
        <v>0</v>
      </c>
      <c r="AN501" s="543">
        <f>IF(AND(AN$4&lt;=$AH158,AN$4&gt;$V158),1,IF(AND(AN$4&lt;=$AI158,AN$4&gt;$AH158),2,IF(AND(AN$4&lt;=$AJ158,AN$4&gt;$AI158),3,IF(AND(AN$4&lt;=$AK158,AN$4&gt;$AJ158),4,IF(AND(AN$4&lt;=$AL158,AN$4&gt;$AK158),5,0)))))*'Detailed Assumptions'!$E$6</f>
        <v>0</v>
      </c>
      <c r="AO501" s="543">
        <f>IF(AND(AO$4&lt;=$AH158,AO$4&gt;$V158),1,IF(AND(AO$4&lt;=$AI158,AO$4&gt;$AH158),2,IF(AND(AO$4&lt;=$AJ158,AO$4&gt;$AI158),3,IF(AND(AO$4&lt;=$AK158,AO$4&gt;$AJ158),4,IF(AND(AO$4&lt;=$AL158,AO$4&gt;$AK158),5,0)))))*'Detailed Assumptions'!$E$6</f>
        <v>0</v>
      </c>
      <c r="AP501" s="543">
        <f>IF(AND(AP$4&lt;=$AH158,AP$4&gt;$V158),1,IF(AND(AP$4&lt;=$AI158,AP$4&gt;$AH158),2,IF(AND(AP$4&lt;=$AJ158,AP$4&gt;$AI158),3,IF(AND(AP$4&lt;=$AK158,AP$4&gt;$AJ158),4,IF(AND(AP$4&lt;=$AL158,AP$4&gt;$AK158),5,0)))))*'Detailed Assumptions'!$E$6</f>
        <v>0</v>
      </c>
      <c r="AQ501" s="543">
        <f>IF(AND(AQ$4&lt;=$AH158,AQ$4&gt;$V158),1,IF(AND(AQ$4&lt;=$AI158,AQ$4&gt;$AH158),2,IF(AND(AQ$4&lt;=$AJ158,AQ$4&gt;$AI158),3,IF(AND(AQ$4&lt;=$AK158,AQ$4&gt;$AJ158),4,IF(AND(AQ$4&lt;=$AL158,AQ$4&gt;$AK158),5,0)))))*'Detailed Assumptions'!$E$6</f>
        <v>0</v>
      </c>
      <c r="AR501" s="543">
        <f>IF(AND(AR$4&lt;=$AH158,AR$4&gt;$V158),1,IF(AND(AR$4&lt;=$AI158,AR$4&gt;$AH158),2,IF(AND(AR$4&lt;=$AJ158,AR$4&gt;$AI158),3,IF(AND(AR$4&lt;=$AK158,AR$4&gt;$AJ158),4,IF(AND(AR$4&lt;=$AL158,AR$4&gt;$AK158),5,0)))))*'Detailed Assumptions'!$E$6</f>
        <v>0</v>
      </c>
      <c r="AS501" s="543">
        <f>IF(AND(AS$4&lt;=$AH158,AS$4&gt;$V158),1,IF(AND(AS$4&lt;=$AI158,AS$4&gt;$AH158),2,IF(AND(AS$4&lt;=$AJ158,AS$4&gt;$AI158),3,IF(AND(AS$4&lt;=$AK158,AS$4&gt;$AJ158),4,IF(AND(AS$4&lt;=$AL158,AS$4&gt;$AK158),5,0)))))*'Detailed Assumptions'!$E$6</f>
        <v>0</v>
      </c>
      <c r="AT501" s="543">
        <f>IF(AND(AT$4&lt;=$AH158,AT$4&gt;$V158),1,IF(AND(AT$4&lt;=$AI158,AT$4&gt;$AH158),2,IF(AND(AT$4&lt;=$AJ158,AT$4&gt;$AI158),3,IF(AND(AT$4&lt;=$AK158,AT$4&gt;$AJ158),4,IF(AND(AT$4&lt;=$AL158,AT$4&gt;$AK158),5,0)))))*'Detailed Assumptions'!$E$6</f>
        <v>0</v>
      </c>
      <c r="AU501" s="543">
        <f>IF(AND(AU$4&lt;=$AH158,AU$4&gt;$V158),1,IF(AND(AU$4&lt;=$AI158,AU$4&gt;$AH158),2,IF(AND(AU$4&lt;=$AJ158,AU$4&gt;$AI158),3,IF(AND(AU$4&lt;=$AK158,AU$4&gt;$AJ158),4,IF(AND(AU$4&lt;=$AL158,AU$4&gt;$AK158),5,0)))))*'Detailed Assumptions'!$E$6</f>
        <v>0</v>
      </c>
      <c r="AV501" s="543">
        <f>IF(AND(AV$4&lt;=$AH158,AV$4&gt;$V158),1,IF(AND(AV$4&lt;=$AI158,AV$4&gt;$AH158),2,IF(AND(AV$4&lt;=$AJ158,AV$4&gt;$AI158),3,IF(AND(AV$4&lt;=$AK158,AV$4&gt;$AJ158),4,IF(AND(AV$4&lt;=$AL158,AV$4&gt;$AK158),5,0)))))*'Detailed Assumptions'!$E$6</f>
        <v>0</v>
      </c>
      <c r="AW501" s="543">
        <f>IF(AND(AW$4&lt;=$AH158,AW$4&gt;$V158),1,IF(AND(AW$4&lt;=$AI158,AW$4&gt;$AH158),2,IF(AND(AW$4&lt;=$AJ158,AW$4&gt;$AI158),3,IF(AND(AW$4&lt;=$AK158,AW$4&gt;$AJ158),4,IF(AND(AW$4&lt;=$AL158,AW$4&gt;$AK158),5,0)))))*'Detailed Assumptions'!$E$6</f>
        <v>0</v>
      </c>
      <c r="AX501" s="543">
        <f>IF(AND(AX$4&lt;=$AH158,AX$4&gt;$V158),1,IF(AND(AX$4&lt;=$AI158,AX$4&gt;$AH158),2,IF(AND(AX$4&lt;=$AJ158,AX$4&gt;$AI158),3,IF(AND(AX$4&lt;=$AK158,AX$4&gt;$AJ158),4,IF(AND(AX$4&lt;=$AL158,AX$4&gt;$AK158),5,0)))))*'Detailed Assumptions'!$E$6</f>
        <v>0</v>
      </c>
      <c r="AY501" s="543">
        <f>IF(AND(AY$4&lt;=$AH158,AY$4&gt;$V158),1,IF(AND(AY$4&lt;=$AI158,AY$4&gt;$AH158),2,IF(AND(AY$4&lt;=$AJ158,AY$4&gt;$AI158),3,IF(AND(AY$4&lt;=$AK158,AY$4&gt;$AJ158),4,IF(AND(AY$4&lt;=$AL158,AY$4&gt;$AK158),5,0)))))*'Detailed Assumptions'!$E$6</f>
        <v>0</v>
      </c>
      <c r="AZ501" s="543">
        <f>IF(AND(AZ$4&lt;=$AH158,AZ$4&gt;$V158),1,IF(AND(AZ$4&lt;=$AI158,AZ$4&gt;$AH158),2,IF(AND(AZ$4&lt;=$AJ158,AZ$4&gt;$AI158),3,IF(AND(AZ$4&lt;=$AK158,AZ$4&gt;$AJ158),4,IF(AND(AZ$4&lt;=$AL158,AZ$4&gt;$AK158),5,0)))))*'Detailed Assumptions'!$E$6</f>
        <v>0</v>
      </c>
      <c r="BA501" s="543">
        <f>IF(AND(BA$4&lt;=$AH158,BA$4&gt;$V158),1,IF(AND(BA$4&lt;=$AI158,BA$4&gt;$AH158),2,IF(AND(BA$4&lt;=$AJ158,BA$4&gt;$AI158),3,IF(AND(BA$4&lt;=$AK158,BA$4&gt;$AJ158),4,IF(AND(BA$4&lt;=$AL158,BA$4&gt;$AK158),5,0)))))*'Detailed Assumptions'!$E$6</f>
        <v>0</v>
      </c>
      <c r="BB501" s="543">
        <f>IF(AND(BB$4&lt;=$AH158,BB$4&gt;$V158),1,IF(AND(BB$4&lt;=$AI158,BB$4&gt;$AH158),2,IF(AND(BB$4&lt;=$AJ158,BB$4&gt;$AI158),3,IF(AND(BB$4&lt;=$AK158,BB$4&gt;$AJ158),4,IF(AND(BB$4&lt;=$AL158,BB$4&gt;$AK158),5,0)))))*'Detailed Assumptions'!$E$6</f>
        <v>0</v>
      </c>
      <c r="BC501" s="543">
        <f>IF(AND(BC$4&lt;=$AH158,BC$4&gt;$V158),1,IF(AND(BC$4&lt;=$AI158,BC$4&gt;$AH158),2,IF(AND(BC$4&lt;=$AJ158,BC$4&gt;$AI158),3,IF(AND(BC$4&lt;=$AK158,BC$4&gt;$AJ158),4,IF(AND(BC$4&lt;=$AL158,BC$4&gt;$AK158),5,0)))))*'Detailed Assumptions'!$E$6</f>
        <v>0</v>
      </c>
      <c r="BD501" s="543">
        <f>IF(AND(BD$4&lt;=$AH158,BD$4&gt;$V158),1,IF(AND(BD$4&lt;=$AI158,BD$4&gt;$AH158),2,IF(AND(BD$4&lt;=$AJ158,BD$4&gt;$AI158),3,IF(AND(BD$4&lt;=$AK158,BD$4&gt;$AJ158),4,IF(AND(BD$4&lt;=$AL158,BD$4&gt;$AK158),5,0)))))*'Detailed Assumptions'!$E$6</f>
        <v>0</v>
      </c>
      <c r="BE501" s="543">
        <f>IF(AND(BE$4&lt;=$AH158,BE$4&gt;$V158),1,IF(AND(BE$4&lt;=$AI158,BE$4&gt;$AH158),2,IF(AND(BE$4&lt;=$AJ158,BE$4&gt;$AI158),3,IF(AND(BE$4&lt;=$AK158,BE$4&gt;$AJ158),4,IF(AND(BE$4&lt;=$AL158,BE$4&gt;$AK158),5,0)))))*'Detailed Assumptions'!$E$6</f>
        <v>0</v>
      </c>
      <c r="BF501" s="543">
        <f>IF(AND(BF$4&lt;=$AH158,BF$4&gt;$V158),1,IF(AND(BF$4&lt;=$AI158,BF$4&gt;$AH158),2,IF(AND(BF$4&lt;=$AJ158,BF$4&gt;$AI158),3,IF(AND(BF$4&lt;=$AK158,BF$4&gt;$AJ158),4,IF(AND(BF$4&lt;=$AL158,BF$4&gt;$AK158),5,0)))))*'Detailed Assumptions'!$E$6</f>
        <v>0</v>
      </c>
      <c r="BG501" s="543">
        <f>IF(AND(BG$4&lt;=$AH158,BG$4&gt;$V158),1,IF(AND(BG$4&lt;=$AI158,BG$4&gt;$AH158),2,IF(AND(BG$4&lt;=$AJ158,BG$4&gt;$AI158),3,IF(AND(BG$4&lt;=$AK158,BG$4&gt;$AJ158),4,IF(AND(BG$4&lt;=$AL158,BG$4&gt;$AK158),5,0)))))*'Detailed Assumptions'!$E$6</f>
        <v>0</v>
      </c>
      <c r="BH501" s="543">
        <f>IF(AND(BH$4&lt;=$AH158,BH$4&gt;$V158),1,IF(AND(BH$4&lt;=$AI158,BH$4&gt;$AH158),2,IF(AND(BH$4&lt;=$AJ158,BH$4&gt;$AI158),3,IF(AND(BH$4&lt;=$AK158,BH$4&gt;$AJ158),4,IF(AND(BH$4&lt;=$AL158,BH$4&gt;$AK158),5,0)))))*'Detailed Assumptions'!$E$6</f>
        <v>1</v>
      </c>
      <c r="BI501" s="543">
        <f>IF(AND(BI$4&lt;=$AH158,BI$4&gt;$V158),1,IF(AND(BI$4&lt;=$AI158,BI$4&gt;$AH158),2,IF(AND(BI$4&lt;=$AJ158,BI$4&gt;$AI158),3,IF(AND(BI$4&lt;=$AK158,BI$4&gt;$AJ158),4,IF(AND(BI$4&lt;=$AL158,BI$4&gt;$AK158),5,0)))))*'Detailed Assumptions'!$E$6</f>
        <v>1</v>
      </c>
      <c r="BJ501" s="543">
        <f>IF(AND(BJ$4&lt;=$AH158,BJ$4&gt;$V158),1,IF(AND(BJ$4&lt;=$AI158,BJ$4&gt;$AH158),2,IF(AND(BJ$4&lt;=$AJ158,BJ$4&gt;$AI158),3,IF(AND(BJ$4&lt;=$AK158,BJ$4&gt;$AJ158),4,IF(AND(BJ$4&lt;=$AL158,BJ$4&gt;$AK158),5,0)))))*'Detailed Assumptions'!$E$6</f>
        <v>1</v>
      </c>
      <c r="BK501" s="543">
        <f>IF(AND(BK$4&lt;=$AH158,BK$4&gt;$V158),1,IF(AND(BK$4&lt;=$AI158,BK$4&gt;$AH158),2,IF(AND(BK$4&lt;=$AJ158,BK$4&gt;$AI158),3,IF(AND(BK$4&lt;=$AK158,BK$4&gt;$AJ158),4,IF(AND(BK$4&lt;=$AL158,BK$4&gt;$AK158),5,0)))))*'Detailed Assumptions'!$E$6</f>
        <v>1</v>
      </c>
      <c r="BL501" s="543">
        <f>IF(AND(BL$4&lt;=$AH158,BL$4&gt;$V158),1,IF(AND(BL$4&lt;=$AI158,BL$4&gt;$AH158),2,IF(AND(BL$4&lt;=$AJ158,BL$4&gt;$AI158),3,IF(AND(BL$4&lt;=$AK158,BL$4&gt;$AJ158),4,IF(AND(BL$4&lt;=$AL158,BL$4&gt;$AK158),5,0)))))*'Detailed Assumptions'!$E$6</f>
        <v>1</v>
      </c>
      <c r="BM501" s="543">
        <f>IF(AND(BM$4&lt;=$AH158,BM$4&gt;$V158),1,IF(AND(BM$4&lt;=$AI158,BM$4&gt;$AH158),2,IF(AND(BM$4&lt;=$AJ158,BM$4&gt;$AI158),3,IF(AND(BM$4&lt;=$AK158,BM$4&gt;$AJ158),4,IF(AND(BM$4&lt;=$AL158,BM$4&gt;$AK158),5,0)))))*'Detailed Assumptions'!$E$6</f>
        <v>1</v>
      </c>
      <c r="BN501" s="543">
        <f>IF(AND(BN$4&lt;=$AH158,BN$4&gt;$V158),1,IF(AND(BN$4&lt;=$AI158,BN$4&gt;$AH158),2,IF(AND(BN$4&lt;=$AJ158,BN$4&gt;$AI158),3,IF(AND(BN$4&lt;=$AK158,BN$4&gt;$AJ158),4,IF(AND(BN$4&lt;=$AL158,BN$4&gt;$AK158),5,0)))))*'Detailed Assumptions'!$E$6</f>
        <v>1</v>
      </c>
      <c r="BO501" s="543">
        <f>IF(AND(BO$4&lt;=$AH158,BO$4&gt;$V158),1,IF(AND(BO$4&lt;=$AI158,BO$4&gt;$AH158),2,IF(AND(BO$4&lt;=$AJ158,BO$4&gt;$AI158),3,IF(AND(BO$4&lt;=$AK158,BO$4&gt;$AJ158),4,IF(AND(BO$4&lt;=$AL158,BO$4&gt;$AK158),5,0)))))*'Detailed Assumptions'!$E$6</f>
        <v>1</v>
      </c>
      <c r="BP501" s="543">
        <f>IF(AND(BP$4&lt;=$AH158,BP$4&gt;$V158),1,IF(AND(BP$4&lt;=$AI158,BP$4&gt;$AH158),2,IF(AND(BP$4&lt;=$AJ158,BP$4&gt;$AI158),3,IF(AND(BP$4&lt;=$AK158,BP$4&gt;$AJ158),4,IF(AND(BP$4&lt;=$AL158,BP$4&gt;$AK158),5,0)))))*'Detailed Assumptions'!$E$6</f>
        <v>1</v>
      </c>
      <c r="BQ501" s="543">
        <f>IF(AND(BQ$4&lt;=$AH158,BQ$4&gt;$V158),1,IF(AND(BQ$4&lt;=$AI158,BQ$4&gt;$AH158),2,IF(AND(BQ$4&lt;=$AJ158,BQ$4&gt;$AI158),3,IF(AND(BQ$4&lt;=$AK158,BQ$4&gt;$AJ158),4,IF(AND(BQ$4&lt;=$AL158,BQ$4&gt;$AK158),5,0)))))*'Detailed Assumptions'!$E$6</f>
        <v>1</v>
      </c>
      <c r="BR501" s="543">
        <f>IF(AND(BR$4&lt;=$AH158,BR$4&gt;$V158),1,IF(AND(BR$4&lt;=$AI158,BR$4&gt;$AH158),2,IF(AND(BR$4&lt;=$AJ158,BR$4&gt;$AI158),3,IF(AND(BR$4&lt;=$AK158,BR$4&gt;$AJ158),4,IF(AND(BR$4&lt;=$AL158,BR$4&gt;$AK158),5,0)))))*'Detailed Assumptions'!$E$6</f>
        <v>1</v>
      </c>
      <c r="BS501" s="543">
        <f>IF(AND(BS$4&lt;=$AH158,BS$4&gt;$V158),1,IF(AND(BS$4&lt;=$AI158,BS$4&gt;$AH158),2,IF(AND(BS$4&lt;=$AJ158,BS$4&gt;$AI158),3,IF(AND(BS$4&lt;=$AK158,BS$4&gt;$AJ158),4,IF(AND(BS$4&lt;=$AL158,BS$4&gt;$AK158),5,0)))))*'Detailed Assumptions'!$E$6</f>
        <v>1</v>
      </c>
      <c r="BT501" s="543">
        <f>IF(AND(BT$4&lt;=$AH158,BT$4&gt;$V158),1,IF(AND(BT$4&lt;=$AI158,BT$4&gt;$AH158),2,IF(AND(BT$4&lt;=$AJ158,BT$4&gt;$AI158),3,IF(AND(BT$4&lt;=$AK158,BT$4&gt;$AJ158),4,IF(AND(BT$4&lt;=$AL158,BT$4&gt;$AK158),5,0)))))*'Detailed Assumptions'!$E$6</f>
        <v>2</v>
      </c>
      <c r="BU501" s="543">
        <f>IF(AND(BU$4&lt;=$AH158,BU$4&gt;$V158),1,IF(AND(BU$4&lt;=$AI158,BU$4&gt;$AH158),2,IF(AND(BU$4&lt;=$AJ158,BU$4&gt;$AI158),3,IF(AND(BU$4&lt;=$AK158,BU$4&gt;$AJ158),4,IF(AND(BU$4&lt;=$AL158,BU$4&gt;$AK158),5,0)))))*'Detailed Assumptions'!$E$6</f>
        <v>2</v>
      </c>
      <c r="BV501" s="543">
        <f>IF(AND(BV$4&lt;=$AH158,BV$4&gt;$V158),1,IF(AND(BV$4&lt;=$AI158,BV$4&gt;$AH158),2,IF(AND(BV$4&lt;=$AJ158,BV$4&gt;$AI158),3,IF(AND(BV$4&lt;=$AK158,BV$4&gt;$AJ158),4,IF(AND(BV$4&lt;=$AL158,BV$4&gt;$AK158),5,0)))))*'Detailed Assumptions'!$E$6</f>
        <v>2</v>
      </c>
      <c r="BW501" s="543">
        <f>IF(AND(BW$4&lt;=$AH158,BW$4&gt;$V158),1,IF(AND(BW$4&lt;=$AI158,BW$4&gt;$AH158),2,IF(AND(BW$4&lt;=$AJ158,BW$4&gt;$AI158),3,IF(AND(BW$4&lt;=$AK158,BW$4&gt;$AJ158),4,IF(AND(BW$4&lt;=$AL158,BW$4&gt;$AK158),5,0)))))*'Detailed Assumptions'!$E$6</f>
        <v>2</v>
      </c>
      <c r="BX501" s="543">
        <f>IF(AND(BX$4&lt;=$AH158,BX$4&gt;$V158),1,IF(AND(BX$4&lt;=$AI158,BX$4&gt;$AH158),2,IF(AND(BX$4&lt;=$AJ158,BX$4&gt;$AI158),3,IF(AND(BX$4&lt;=$AK158,BX$4&gt;$AJ158),4,IF(AND(BX$4&lt;=$AL158,BX$4&gt;$AK158),5,0)))))*'Detailed Assumptions'!$E$6</f>
        <v>2</v>
      </c>
      <c r="BY501" s="543">
        <f>IF(AND(BY$4&lt;=$AH158,BY$4&gt;$V158),1,IF(AND(BY$4&lt;=$AI158,BY$4&gt;$AH158),2,IF(AND(BY$4&lt;=$AJ158,BY$4&gt;$AI158),3,IF(AND(BY$4&lt;=$AK158,BY$4&gt;$AJ158),4,IF(AND(BY$4&lt;=$AL158,BY$4&gt;$AK158),5,0)))))*'Detailed Assumptions'!$E$6</f>
        <v>2</v>
      </c>
      <c r="BZ501" s="537"/>
      <c r="CA501" s="537"/>
      <c r="CB501" s="537"/>
    </row>
    <row r="502" spans="1:80" x14ac:dyDescent="0.3">
      <c r="A502" s="551"/>
      <c r="B502" s="548"/>
      <c r="C502" s="548"/>
      <c r="D502" s="525"/>
      <c r="E502" s="655" t="str">
        <f>"EBITDA growth post capex: "&amp;E$159</f>
        <v>EBITDA growth post capex: FY31 Tranche</v>
      </c>
      <c r="F502" s="574"/>
      <c r="G502" s="574"/>
      <c r="H502" s="574"/>
      <c r="I502" s="574"/>
      <c r="J502" s="574"/>
      <c r="K502" s="574"/>
      <c r="L502" s="574"/>
      <c r="M502" s="574"/>
      <c r="N502" s="574"/>
      <c r="O502" s="574"/>
      <c r="P502" s="653"/>
      <c r="Q502" s="574"/>
      <c r="R502" s="543">
        <f>IF(AND(R$4&lt;=$AH159,R$4&gt;$V159),1,IF(AND(R$4&lt;=$AI159,R$4&gt;$AH159),2,IF(AND(R$4&lt;=$AJ159,R$4&gt;$AI159),3,IF(AND(R$4&lt;=$AK159,R$4&gt;$AJ159),4,IF(AND(R$4&lt;=$AL159,R$4&gt;$AK159),5,0)))))*'Detailed Assumptions'!$E$6</f>
        <v>0</v>
      </c>
      <c r="S502" s="543">
        <f>IF(AND(S$4&lt;=$AH159,S$4&gt;$V159),1,IF(AND(S$4&lt;=$AI159,S$4&gt;$AH159),2,IF(AND(S$4&lt;=$AJ159,S$4&gt;$AI159),3,IF(AND(S$4&lt;=$AK159,S$4&gt;$AJ159),4,IF(AND(S$4&lt;=$AL159,S$4&gt;$AK159),5,0)))))*'Detailed Assumptions'!$E$6</f>
        <v>0</v>
      </c>
      <c r="T502" s="543">
        <f>IF(AND(T$4&lt;=$AH159,T$4&gt;$V159),1,IF(AND(T$4&lt;=$AI159,T$4&gt;$AH159),2,IF(AND(T$4&lt;=$AJ159,T$4&gt;$AI159),3,IF(AND(T$4&lt;=$AK159,T$4&gt;$AJ159),4,IF(AND(T$4&lt;=$AL159,T$4&gt;$AK159),5,0)))))*'Detailed Assumptions'!$E$6</f>
        <v>0</v>
      </c>
      <c r="U502" s="543">
        <f>IF(AND(U$4&lt;=$AH159,U$4&gt;$V159),1,IF(AND(U$4&lt;=$AI159,U$4&gt;$AH159),2,IF(AND(U$4&lt;=$AJ159,U$4&gt;$AI159),3,IF(AND(U$4&lt;=$AK159,U$4&gt;$AJ159),4,IF(AND(U$4&lt;=$AL159,U$4&gt;$AK159),5,0)))))*'Detailed Assumptions'!$E$6</f>
        <v>0</v>
      </c>
      <c r="V502" s="543">
        <f>IF(AND(V$4&lt;=$AH159,V$4&gt;$V159),1,IF(AND(V$4&lt;=$AI159,V$4&gt;$AH159),2,IF(AND(V$4&lt;=$AJ159,V$4&gt;$AI159),3,IF(AND(V$4&lt;=$AK159,V$4&gt;$AJ159),4,IF(AND(V$4&lt;=$AL159,V$4&gt;$AK159),5,0)))))*'Detailed Assumptions'!$E$6</f>
        <v>0</v>
      </c>
      <c r="W502" s="543">
        <f>IF(AND(W$4&lt;=$AH159,W$4&gt;$V159),1,IF(AND(W$4&lt;=$AI159,W$4&gt;$AH159),2,IF(AND(W$4&lt;=$AJ159,W$4&gt;$AI159),3,IF(AND(W$4&lt;=$AK159,W$4&gt;$AJ159),4,IF(AND(W$4&lt;=$AL159,W$4&gt;$AK159),5,0)))))*'Detailed Assumptions'!$E$6</f>
        <v>0</v>
      </c>
      <c r="X502" s="543">
        <f>IF(AND(X$4&lt;=$AH159,X$4&gt;$V159),1,IF(AND(X$4&lt;=$AI159,X$4&gt;$AH159),2,IF(AND(X$4&lt;=$AJ159,X$4&gt;$AI159),3,IF(AND(X$4&lt;=$AK159,X$4&gt;$AJ159),4,IF(AND(X$4&lt;=$AL159,X$4&gt;$AK159),5,0)))))*'Detailed Assumptions'!$E$6</f>
        <v>0</v>
      </c>
      <c r="Y502" s="543">
        <f>IF(AND(Y$4&lt;=$AH159,Y$4&gt;$V159),1,IF(AND(Y$4&lt;=$AI159,Y$4&gt;$AH159),2,IF(AND(Y$4&lt;=$AJ159,Y$4&gt;$AI159),3,IF(AND(Y$4&lt;=$AK159,Y$4&gt;$AJ159),4,IF(AND(Y$4&lt;=$AL159,Y$4&gt;$AK159),5,0)))))*'Detailed Assumptions'!$E$6</f>
        <v>0</v>
      </c>
      <c r="Z502" s="543">
        <f>IF(AND(Z$4&lt;=$AH159,Z$4&gt;$V159),1,IF(AND(Z$4&lt;=$AI159,Z$4&gt;$AH159),2,IF(AND(Z$4&lt;=$AJ159,Z$4&gt;$AI159),3,IF(AND(Z$4&lt;=$AK159,Z$4&gt;$AJ159),4,IF(AND(Z$4&lt;=$AL159,Z$4&gt;$AK159),5,0)))))*'Detailed Assumptions'!$E$6</f>
        <v>0</v>
      </c>
      <c r="AA502" s="543">
        <f>IF(AND(AA$4&lt;=$AH159,AA$4&gt;$V159),1,IF(AND(AA$4&lt;=$AI159,AA$4&gt;$AH159),2,IF(AND(AA$4&lt;=$AJ159,AA$4&gt;$AI159),3,IF(AND(AA$4&lt;=$AK159,AA$4&gt;$AJ159),4,IF(AND(AA$4&lt;=$AL159,AA$4&gt;$AK159),5,0)))))*'Detailed Assumptions'!$E$6</f>
        <v>0</v>
      </c>
      <c r="AB502" s="543">
        <f>IF(AND(AB$4&lt;=$AH159,AB$4&gt;$V159),1,IF(AND(AB$4&lt;=$AI159,AB$4&gt;$AH159),2,IF(AND(AB$4&lt;=$AJ159,AB$4&gt;$AI159),3,IF(AND(AB$4&lt;=$AK159,AB$4&gt;$AJ159),4,IF(AND(AB$4&lt;=$AL159,AB$4&gt;$AK159),5,0)))))*'Detailed Assumptions'!$E$6</f>
        <v>0</v>
      </c>
      <c r="AC502" s="543">
        <f>IF(AND(AC$4&lt;=$AH159,AC$4&gt;$V159),1,IF(AND(AC$4&lt;=$AI159,AC$4&gt;$AH159),2,IF(AND(AC$4&lt;=$AJ159,AC$4&gt;$AI159),3,IF(AND(AC$4&lt;=$AK159,AC$4&gt;$AJ159),4,IF(AND(AC$4&lt;=$AL159,AC$4&gt;$AK159),5,0)))))*'Detailed Assumptions'!$E$6</f>
        <v>0</v>
      </c>
      <c r="AD502" s="543">
        <f>IF(AND(AD$4&lt;=$AH159,AD$4&gt;$V159),1,IF(AND(AD$4&lt;=$AI159,AD$4&gt;$AH159),2,IF(AND(AD$4&lt;=$AJ159,AD$4&gt;$AI159),3,IF(AND(AD$4&lt;=$AK159,AD$4&gt;$AJ159),4,IF(AND(AD$4&lt;=$AL159,AD$4&gt;$AK159),5,0)))))*'Detailed Assumptions'!$E$6</f>
        <v>0</v>
      </c>
      <c r="AE502" s="543">
        <f>IF(AND(AE$4&lt;=$AH159,AE$4&gt;$V159),1,IF(AND(AE$4&lt;=$AI159,AE$4&gt;$AH159),2,IF(AND(AE$4&lt;=$AJ159,AE$4&gt;$AI159),3,IF(AND(AE$4&lt;=$AK159,AE$4&gt;$AJ159),4,IF(AND(AE$4&lt;=$AL159,AE$4&gt;$AK159),5,0)))))*'Detailed Assumptions'!$E$6</f>
        <v>0</v>
      </c>
      <c r="AF502" s="543">
        <f>IF(AND(AF$4&lt;=$AH159,AF$4&gt;$V159),1,IF(AND(AF$4&lt;=$AI159,AF$4&gt;$AH159),2,IF(AND(AF$4&lt;=$AJ159,AF$4&gt;$AI159),3,IF(AND(AF$4&lt;=$AK159,AF$4&gt;$AJ159),4,IF(AND(AF$4&lt;=$AL159,AF$4&gt;$AK159),5,0)))))*'Detailed Assumptions'!$E$6</f>
        <v>0</v>
      </c>
      <c r="AG502" s="543">
        <f>IF(AND(AG$4&lt;=$AH159,AG$4&gt;$V159),1,IF(AND(AG$4&lt;=$AI159,AG$4&gt;$AH159),2,IF(AND(AG$4&lt;=$AJ159,AG$4&gt;$AI159),3,IF(AND(AG$4&lt;=$AK159,AG$4&gt;$AJ159),4,IF(AND(AG$4&lt;=$AL159,AG$4&gt;$AK159),5,0)))))*'Detailed Assumptions'!$E$6</f>
        <v>0</v>
      </c>
      <c r="AH502" s="543">
        <f>IF(AND(AH$4&lt;=$AH159,AH$4&gt;$V159),1,IF(AND(AH$4&lt;=$AI159,AH$4&gt;$AH159),2,IF(AND(AH$4&lt;=$AJ159,AH$4&gt;$AI159),3,IF(AND(AH$4&lt;=$AK159,AH$4&gt;$AJ159),4,IF(AND(AH$4&lt;=$AL159,AH$4&gt;$AK159),5,0)))))*'Detailed Assumptions'!$E$6</f>
        <v>0</v>
      </c>
      <c r="AI502" s="543">
        <f>IF(AND(AI$4&lt;=$AH159,AI$4&gt;$V159),1,IF(AND(AI$4&lt;=$AI159,AI$4&gt;$AH159),2,IF(AND(AI$4&lt;=$AJ159,AI$4&gt;$AI159),3,IF(AND(AI$4&lt;=$AK159,AI$4&gt;$AJ159),4,IF(AND(AI$4&lt;=$AL159,AI$4&gt;$AK159),5,0)))))*'Detailed Assumptions'!$E$6</f>
        <v>0</v>
      </c>
      <c r="AJ502" s="543">
        <f>IF(AND(AJ$4&lt;=$AH159,AJ$4&gt;$V159),1,IF(AND(AJ$4&lt;=$AI159,AJ$4&gt;$AH159),2,IF(AND(AJ$4&lt;=$AJ159,AJ$4&gt;$AI159),3,IF(AND(AJ$4&lt;=$AK159,AJ$4&gt;$AJ159),4,IF(AND(AJ$4&lt;=$AL159,AJ$4&gt;$AK159),5,0)))))*'Detailed Assumptions'!$E$6</f>
        <v>0</v>
      </c>
      <c r="AK502" s="543">
        <f>IF(AND(AK$4&lt;=$AH159,AK$4&gt;$V159),1,IF(AND(AK$4&lt;=$AI159,AK$4&gt;$AH159),2,IF(AND(AK$4&lt;=$AJ159,AK$4&gt;$AI159),3,IF(AND(AK$4&lt;=$AK159,AK$4&gt;$AJ159),4,IF(AND(AK$4&lt;=$AL159,AK$4&gt;$AK159),5,0)))))*'Detailed Assumptions'!$E$6</f>
        <v>0</v>
      </c>
      <c r="AL502" s="543">
        <f>IF(AND(AL$4&lt;=$AH159,AL$4&gt;$V159),1,IF(AND(AL$4&lt;=$AI159,AL$4&gt;$AH159),2,IF(AND(AL$4&lt;=$AJ159,AL$4&gt;$AI159),3,IF(AND(AL$4&lt;=$AK159,AL$4&gt;$AJ159),4,IF(AND(AL$4&lt;=$AL159,AL$4&gt;$AK159),5,0)))))*'Detailed Assumptions'!$E$6</f>
        <v>0</v>
      </c>
      <c r="AM502" s="543">
        <f>IF(AND(AM$4&lt;=$AH159,AM$4&gt;$V159),1,IF(AND(AM$4&lt;=$AI159,AM$4&gt;$AH159),2,IF(AND(AM$4&lt;=$AJ159,AM$4&gt;$AI159),3,IF(AND(AM$4&lt;=$AK159,AM$4&gt;$AJ159),4,IF(AND(AM$4&lt;=$AL159,AM$4&gt;$AK159),5,0)))))*'Detailed Assumptions'!$E$6</f>
        <v>0</v>
      </c>
      <c r="AN502" s="543">
        <f>IF(AND(AN$4&lt;=$AH159,AN$4&gt;$V159),1,IF(AND(AN$4&lt;=$AI159,AN$4&gt;$AH159),2,IF(AND(AN$4&lt;=$AJ159,AN$4&gt;$AI159),3,IF(AND(AN$4&lt;=$AK159,AN$4&gt;$AJ159),4,IF(AND(AN$4&lt;=$AL159,AN$4&gt;$AK159),5,0)))))*'Detailed Assumptions'!$E$6</f>
        <v>0</v>
      </c>
      <c r="AO502" s="543">
        <f>IF(AND(AO$4&lt;=$AH159,AO$4&gt;$V159),1,IF(AND(AO$4&lt;=$AI159,AO$4&gt;$AH159),2,IF(AND(AO$4&lt;=$AJ159,AO$4&gt;$AI159),3,IF(AND(AO$4&lt;=$AK159,AO$4&gt;$AJ159),4,IF(AND(AO$4&lt;=$AL159,AO$4&gt;$AK159),5,0)))))*'Detailed Assumptions'!$E$6</f>
        <v>0</v>
      </c>
      <c r="AP502" s="543">
        <f>IF(AND(AP$4&lt;=$AH159,AP$4&gt;$V159),1,IF(AND(AP$4&lt;=$AI159,AP$4&gt;$AH159),2,IF(AND(AP$4&lt;=$AJ159,AP$4&gt;$AI159),3,IF(AND(AP$4&lt;=$AK159,AP$4&gt;$AJ159),4,IF(AND(AP$4&lt;=$AL159,AP$4&gt;$AK159),5,0)))))*'Detailed Assumptions'!$E$6</f>
        <v>0</v>
      </c>
      <c r="AQ502" s="543">
        <f>IF(AND(AQ$4&lt;=$AH159,AQ$4&gt;$V159),1,IF(AND(AQ$4&lt;=$AI159,AQ$4&gt;$AH159),2,IF(AND(AQ$4&lt;=$AJ159,AQ$4&gt;$AI159),3,IF(AND(AQ$4&lt;=$AK159,AQ$4&gt;$AJ159),4,IF(AND(AQ$4&lt;=$AL159,AQ$4&gt;$AK159),5,0)))))*'Detailed Assumptions'!$E$6</f>
        <v>0</v>
      </c>
      <c r="AR502" s="543">
        <f>IF(AND(AR$4&lt;=$AH159,AR$4&gt;$V159),1,IF(AND(AR$4&lt;=$AI159,AR$4&gt;$AH159),2,IF(AND(AR$4&lt;=$AJ159,AR$4&gt;$AI159),3,IF(AND(AR$4&lt;=$AK159,AR$4&gt;$AJ159),4,IF(AND(AR$4&lt;=$AL159,AR$4&gt;$AK159),5,0)))))*'Detailed Assumptions'!$E$6</f>
        <v>0</v>
      </c>
      <c r="AS502" s="543">
        <f>IF(AND(AS$4&lt;=$AH159,AS$4&gt;$V159),1,IF(AND(AS$4&lt;=$AI159,AS$4&gt;$AH159),2,IF(AND(AS$4&lt;=$AJ159,AS$4&gt;$AI159),3,IF(AND(AS$4&lt;=$AK159,AS$4&gt;$AJ159),4,IF(AND(AS$4&lt;=$AL159,AS$4&gt;$AK159),5,0)))))*'Detailed Assumptions'!$E$6</f>
        <v>0</v>
      </c>
      <c r="AT502" s="543">
        <f>IF(AND(AT$4&lt;=$AH159,AT$4&gt;$V159),1,IF(AND(AT$4&lt;=$AI159,AT$4&gt;$AH159),2,IF(AND(AT$4&lt;=$AJ159,AT$4&gt;$AI159),3,IF(AND(AT$4&lt;=$AK159,AT$4&gt;$AJ159),4,IF(AND(AT$4&lt;=$AL159,AT$4&gt;$AK159),5,0)))))*'Detailed Assumptions'!$E$6</f>
        <v>0</v>
      </c>
      <c r="AU502" s="543">
        <f>IF(AND(AU$4&lt;=$AH159,AU$4&gt;$V159),1,IF(AND(AU$4&lt;=$AI159,AU$4&gt;$AH159),2,IF(AND(AU$4&lt;=$AJ159,AU$4&gt;$AI159),3,IF(AND(AU$4&lt;=$AK159,AU$4&gt;$AJ159),4,IF(AND(AU$4&lt;=$AL159,AU$4&gt;$AK159),5,0)))))*'Detailed Assumptions'!$E$6</f>
        <v>0</v>
      </c>
      <c r="AV502" s="543">
        <f>IF(AND(AV$4&lt;=$AH159,AV$4&gt;$V159),1,IF(AND(AV$4&lt;=$AI159,AV$4&gt;$AH159),2,IF(AND(AV$4&lt;=$AJ159,AV$4&gt;$AI159),3,IF(AND(AV$4&lt;=$AK159,AV$4&gt;$AJ159),4,IF(AND(AV$4&lt;=$AL159,AV$4&gt;$AK159),5,0)))))*'Detailed Assumptions'!$E$6</f>
        <v>0</v>
      </c>
      <c r="AW502" s="543">
        <f>IF(AND(AW$4&lt;=$AH159,AW$4&gt;$V159),1,IF(AND(AW$4&lt;=$AI159,AW$4&gt;$AH159),2,IF(AND(AW$4&lt;=$AJ159,AW$4&gt;$AI159),3,IF(AND(AW$4&lt;=$AK159,AW$4&gt;$AJ159),4,IF(AND(AW$4&lt;=$AL159,AW$4&gt;$AK159),5,0)))))*'Detailed Assumptions'!$E$6</f>
        <v>0</v>
      </c>
      <c r="AX502" s="543">
        <f>IF(AND(AX$4&lt;=$AH159,AX$4&gt;$V159),1,IF(AND(AX$4&lt;=$AI159,AX$4&gt;$AH159),2,IF(AND(AX$4&lt;=$AJ159,AX$4&gt;$AI159),3,IF(AND(AX$4&lt;=$AK159,AX$4&gt;$AJ159),4,IF(AND(AX$4&lt;=$AL159,AX$4&gt;$AK159),5,0)))))*'Detailed Assumptions'!$E$6</f>
        <v>0</v>
      </c>
      <c r="AY502" s="543">
        <f>IF(AND(AY$4&lt;=$AH159,AY$4&gt;$V159),1,IF(AND(AY$4&lt;=$AI159,AY$4&gt;$AH159),2,IF(AND(AY$4&lt;=$AJ159,AY$4&gt;$AI159),3,IF(AND(AY$4&lt;=$AK159,AY$4&gt;$AJ159),4,IF(AND(AY$4&lt;=$AL159,AY$4&gt;$AK159),5,0)))))*'Detailed Assumptions'!$E$6</f>
        <v>0</v>
      </c>
      <c r="AZ502" s="543">
        <f>IF(AND(AZ$4&lt;=$AH159,AZ$4&gt;$V159),1,IF(AND(AZ$4&lt;=$AI159,AZ$4&gt;$AH159),2,IF(AND(AZ$4&lt;=$AJ159,AZ$4&gt;$AI159),3,IF(AND(AZ$4&lt;=$AK159,AZ$4&gt;$AJ159),4,IF(AND(AZ$4&lt;=$AL159,AZ$4&gt;$AK159),5,0)))))*'Detailed Assumptions'!$E$6</f>
        <v>0</v>
      </c>
      <c r="BA502" s="543">
        <f>IF(AND(BA$4&lt;=$AH159,BA$4&gt;$V159),1,IF(AND(BA$4&lt;=$AI159,BA$4&gt;$AH159),2,IF(AND(BA$4&lt;=$AJ159,BA$4&gt;$AI159),3,IF(AND(BA$4&lt;=$AK159,BA$4&gt;$AJ159),4,IF(AND(BA$4&lt;=$AL159,BA$4&gt;$AK159),5,0)))))*'Detailed Assumptions'!$E$6</f>
        <v>0</v>
      </c>
      <c r="BB502" s="543">
        <f>IF(AND(BB$4&lt;=$AH159,BB$4&gt;$V159),1,IF(AND(BB$4&lt;=$AI159,BB$4&gt;$AH159),2,IF(AND(BB$4&lt;=$AJ159,BB$4&gt;$AI159),3,IF(AND(BB$4&lt;=$AK159,BB$4&gt;$AJ159),4,IF(AND(BB$4&lt;=$AL159,BB$4&gt;$AK159),5,0)))))*'Detailed Assumptions'!$E$6</f>
        <v>0</v>
      </c>
      <c r="BC502" s="543">
        <f>IF(AND(BC$4&lt;=$AH159,BC$4&gt;$V159),1,IF(AND(BC$4&lt;=$AI159,BC$4&gt;$AH159),2,IF(AND(BC$4&lt;=$AJ159,BC$4&gt;$AI159),3,IF(AND(BC$4&lt;=$AK159,BC$4&gt;$AJ159),4,IF(AND(BC$4&lt;=$AL159,BC$4&gt;$AK159),5,0)))))*'Detailed Assumptions'!$E$6</f>
        <v>0</v>
      </c>
      <c r="BD502" s="543">
        <f>IF(AND(BD$4&lt;=$AH159,BD$4&gt;$V159),1,IF(AND(BD$4&lt;=$AI159,BD$4&gt;$AH159),2,IF(AND(BD$4&lt;=$AJ159,BD$4&gt;$AI159),3,IF(AND(BD$4&lt;=$AK159,BD$4&gt;$AJ159),4,IF(AND(BD$4&lt;=$AL159,BD$4&gt;$AK159),5,0)))))*'Detailed Assumptions'!$E$6</f>
        <v>0</v>
      </c>
      <c r="BE502" s="543">
        <f>IF(AND(BE$4&lt;=$AH159,BE$4&gt;$V159),1,IF(AND(BE$4&lt;=$AI159,BE$4&gt;$AH159),2,IF(AND(BE$4&lt;=$AJ159,BE$4&gt;$AI159),3,IF(AND(BE$4&lt;=$AK159,BE$4&gt;$AJ159),4,IF(AND(BE$4&lt;=$AL159,BE$4&gt;$AK159),5,0)))))*'Detailed Assumptions'!$E$6</f>
        <v>0</v>
      </c>
      <c r="BF502" s="543">
        <f>IF(AND(BF$4&lt;=$AH159,BF$4&gt;$V159),1,IF(AND(BF$4&lt;=$AI159,BF$4&gt;$AH159),2,IF(AND(BF$4&lt;=$AJ159,BF$4&gt;$AI159),3,IF(AND(BF$4&lt;=$AK159,BF$4&gt;$AJ159),4,IF(AND(BF$4&lt;=$AL159,BF$4&gt;$AK159),5,0)))))*'Detailed Assumptions'!$E$6</f>
        <v>0</v>
      </c>
      <c r="BG502" s="543">
        <f>IF(AND(BG$4&lt;=$AH159,BG$4&gt;$V159),1,IF(AND(BG$4&lt;=$AI159,BG$4&gt;$AH159),2,IF(AND(BG$4&lt;=$AJ159,BG$4&gt;$AI159),3,IF(AND(BG$4&lt;=$AK159,BG$4&gt;$AJ159),4,IF(AND(BG$4&lt;=$AL159,BG$4&gt;$AK159),5,0)))))*'Detailed Assumptions'!$E$6</f>
        <v>0</v>
      </c>
      <c r="BH502" s="543">
        <f>IF(AND(BH$4&lt;=$AH159,BH$4&gt;$V159),1,IF(AND(BH$4&lt;=$AI159,BH$4&gt;$AH159),2,IF(AND(BH$4&lt;=$AJ159,BH$4&gt;$AI159),3,IF(AND(BH$4&lt;=$AK159,BH$4&gt;$AJ159),4,IF(AND(BH$4&lt;=$AL159,BH$4&gt;$AK159),5,0)))))*'Detailed Assumptions'!$E$6</f>
        <v>0</v>
      </c>
      <c r="BI502" s="543">
        <f>IF(AND(BI$4&lt;=$AH159,BI$4&gt;$V159),1,IF(AND(BI$4&lt;=$AI159,BI$4&gt;$AH159),2,IF(AND(BI$4&lt;=$AJ159,BI$4&gt;$AI159),3,IF(AND(BI$4&lt;=$AK159,BI$4&gt;$AJ159),4,IF(AND(BI$4&lt;=$AL159,BI$4&gt;$AK159),5,0)))))*'Detailed Assumptions'!$E$6</f>
        <v>0</v>
      </c>
      <c r="BJ502" s="543">
        <f>IF(AND(BJ$4&lt;=$AH159,BJ$4&gt;$V159),1,IF(AND(BJ$4&lt;=$AI159,BJ$4&gt;$AH159),2,IF(AND(BJ$4&lt;=$AJ159,BJ$4&gt;$AI159),3,IF(AND(BJ$4&lt;=$AK159,BJ$4&gt;$AJ159),4,IF(AND(BJ$4&lt;=$AL159,BJ$4&gt;$AK159),5,0)))))*'Detailed Assumptions'!$E$6</f>
        <v>0</v>
      </c>
      <c r="BK502" s="543">
        <f>IF(AND(BK$4&lt;=$AH159,BK$4&gt;$V159),1,IF(AND(BK$4&lt;=$AI159,BK$4&gt;$AH159),2,IF(AND(BK$4&lt;=$AJ159,BK$4&gt;$AI159),3,IF(AND(BK$4&lt;=$AK159,BK$4&gt;$AJ159),4,IF(AND(BK$4&lt;=$AL159,BK$4&gt;$AK159),5,0)))))*'Detailed Assumptions'!$E$6</f>
        <v>0</v>
      </c>
      <c r="BL502" s="543">
        <f>IF(AND(BL$4&lt;=$AH159,BL$4&gt;$V159),1,IF(AND(BL$4&lt;=$AI159,BL$4&gt;$AH159),2,IF(AND(BL$4&lt;=$AJ159,BL$4&gt;$AI159),3,IF(AND(BL$4&lt;=$AK159,BL$4&gt;$AJ159),4,IF(AND(BL$4&lt;=$AL159,BL$4&gt;$AK159),5,0)))))*'Detailed Assumptions'!$E$6</f>
        <v>0</v>
      </c>
      <c r="BM502" s="543">
        <f>IF(AND(BM$4&lt;=$AH159,BM$4&gt;$V159),1,IF(AND(BM$4&lt;=$AI159,BM$4&gt;$AH159),2,IF(AND(BM$4&lt;=$AJ159,BM$4&gt;$AI159),3,IF(AND(BM$4&lt;=$AK159,BM$4&gt;$AJ159),4,IF(AND(BM$4&lt;=$AL159,BM$4&gt;$AK159),5,0)))))*'Detailed Assumptions'!$E$6</f>
        <v>0</v>
      </c>
      <c r="BN502" s="543">
        <f>IF(AND(BN$4&lt;=$AH159,BN$4&gt;$V159),1,IF(AND(BN$4&lt;=$AI159,BN$4&gt;$AH159),2,IF(AND(BN$4&lt;=$AJ159,BN$4&gt;$AI159),3,IF(AND(BN$4&lt;=$AK159,BN$4&gt;$AJ159),4,IF(AND(BN$4&lt;=$AL159,BN$4&gt;$AK159),5,0)))))*'Detailed Assumptions'!$E$6</f>
        <v>0</v>
      </c>
      <c r="BO502" s="543">
        <f>IF(AND(BO$4&lt;=$AH159,BO$4&gt;$V159),1,IF(AND(BO$4&lt;=$AI159,BO$4&gt;$AH159),2,IF(AND(BO$4&lt;=$AJ159,BO$4&gt;$AI159),3,IF(AND(BO$4&lt;=$AK159,BO$4&gt;$AJ159),4,IF(AND(BO$4&lt;=$AL159,BO$4&gt;$AK159),5,0)))))*'Detailed Assumptions'!$E$6</f>
        <v>0</v>
      </c>
      <c r="BP502" s="543">
        <f>IF(AND(BP$4&lt;=$AH159,BP$4&gt;$V159),1,IF(AND(BP$4&lt;=$AI159,BP$4&gt;$AH159),2,IF(AND(BP$4&lt;=$AJ159,BP$4&gt;$AI159),3,IF(AND(BP$4&lt;=$AK159,BP$4&gt;$AJ159),4,IF(AND(BP$4&lt;=$AL159,BP$4&gt;$AK159),5,0)))))*'Detailed Assumptions'!$E$6</f>
        <v>0</v>
      </c>
      <c r="BQ502" s="543">
        <f>IF(AND(BQ$4&lt;=$AH159,BQ$4&gt;$V159),1,IF(AND(BQ$4&lt;=$AI159,BQ$4&gt;$AH159),2,IF(AND(BQ$4&lt;=$AJ159,BQ$4&gt;$AI159),3,IF(AND(BQ$4&lt;=$AK159,BQ$4&gt;$AJ159),4,IF(AND(BQ$4&lt;=$AL159,BQ$4&gt;$AK159),5,0)))))*'Detailed Assumptions'!$E$6</f>
        <v>0</v>
      </c>
      <c r="BR502" s="543">
        <f>IF(AND(BR$4&lt;=$AH159,BR$4&gt;$V159),1,IF(AND(BR$4&lt;=$AI159,BR$4&gt;$AH159),2,IF(AND(BR$4&lt;=$AJ159,BR$4&gt;$AI159),3,IF(AND(BR$4&lt;=$AK159,BR$4&gt;$AJ159),4,IF(AND(BR$4&lt;=$AL159,BR$4&gt;$AK159),5,0)))))*'Detailed Assumptions'!$E$6</f>
        <v>0</v>
      </c>
      <c r="BS502" s="543">
        <f>IF(AND(BS$4&lt;=$AH159,BS$4&gt;$V159),1,IF(AND(BS$4&lt;=$AI159,BS$4&gt;$AH159),2,IF(AND(BS$4&lt;=$AJ159,BS$4&gt;$AI159),3,IF(AND(BS$4&lt;=$AK159,BS$4&gt;$AJ159),4,IF(AND(BS$4&lt;=$AL159,BS$4&gt;$AK159),5,0)))))*'Detailed Assumptions'!$E$6</f>
        <v>0</v>
      </c>
      <c r="BT502" s="543">
        <f>IF(AND(BT$4&lt;=$AH159,BT$4&gt;$V159),1,IF(AND(BT$4&lt;=$AI159,BT$4&gt;$AH159),2,IF(AND(BT$4&lt;=$AJ159,BT$4&gt;$AI159),3,IF(AND(BT$4&lt;=$AK159,BT$4&gt;$AJ159),4,IF(AND(BT$4&lt;=$AL159,BT$4&gt;$AK159),5,0)))))*'Detailed Assumptions'!$E$6</f>
        <v>1</v>
      </c>
      <c r="BU502" s="543">
        <f>IF(AND(BU$4&lt;=$AH159,BU$4&gt;$V159),1,IF(AND(BU$4&lt;=$AI159,BU$4&gt;$AH159),2,IF(AND(BU$4&lt;=$AJ159,BU$4&gt;$AI159),3,IF(AND(BU$4&lt;=$AK159,BU$4&gt;$AJ159),4,IF(AND(BU$4&lt;=$AL159,BU$4&gt;$AK159),5,0)))))*'Detailed Assumptions'!$E$6</f>
        <v>1</v>
      </c>
      <c r="BV502" s="543">
        <f>IF(AND(BV$4&lt;=$AH159,BV$4&gt;$V159),1,IF(AND(BV$4&lt;=$AI159,BV$4&gt;$AH159),2,IF(AND(BV$4&lt;=$AJ159,BV$4&gt;$AI159),3,IF(AND(BV$4&lt;=$AK159,BV$4&gt;$AJ159),4,IF(AND(BV$4&lt;=$AL159,BV$4&gt;$AK159),5,0)))))*'Detailed Assumptions'!$E$6</f>
        <v>1</v>
      </c>
      <c r="BW502" s="543">
        <f>IF(AND(BW$4&lt;=$AH159,BW$4&gt;$V159),1,IF(AND(BW$4&lt;=$AI159,BW$4&gt;$AH159),2,IF(AND(BW$4&lt;=$AJ159,BW$4&gt;$AI159),3,IF(AND(BW$4&lt;=$AK159,BW$4&gt;$AJ159),4,IF(AND(BW$4&lt;=$AL159,BW$4&gt;$AK159),5,0)))))*'Detailed Assumptions'!$E$6</f>
        <v>1</v>
      </c>
      <c r="BX502" s="543">
        <f>IF(AND(BX$4&lt;=$AH159,BX$4&gt;$V159),1,IF(AND(BX$4&lt;=$AI159,BX$4&gt;$AH159),2,IF(AND(BX$4&lt;=$AJ159,BX$4&gt;$AI159),3,IF(AND(BX$4&lt;=$AK159,BX$4&gt;$AJ159),4,IF(AND(BX$4&lt;=$AL159,BX$4&gt;$AK159),5,0)))))*'Detailed Assumptions'!$E$6</f>
        <v>1</v>
      </c>
      <c r="BY502" s="543">
        <f>IF(AND(BY$4&lt;=$AH159,BY$4&gt;$V159),1,IF(AND(BY$4&lt;=$AI159,BY$4&gt;$AH159),2,IF(AND(BY$4&lt;=$AJ159,BY$4&gt;$AI159),3,IF(AND(BY$4&lt;=$AK159,BY$4&gt;$AJ159),4,IF(AND(BY$4&lt;=$AL159,BY$4&gt;$AK159),5,0)))))*'Detailed Assumptions'!$E$6</f>
        <v>1</v>
      </c>
      <c r="BZ502" s="537"/>
      <c r="CA502" s="537"/>
      <c r="CB502" s="537"/>
    </row>
    <row r="503" spans="1:80" x14ac:dyDescent="0.3">
      <c r="A503" s="551"/>
      <c r="B503" s="548"/>
      <c r="C503" s="548"/>
      <c r="D503" s="525"/>
      <c r="E503" s="655" t="str">
        <f>"EBITDA growth post capex: "&amp;E$160</f>
        <v>EBITDA growth post capex: Uninvested Tranche</v>
      </c>
      <c r="F503" s="574"/>
      <c r="G503" s="574"/>
      <c r="H503" s="574"/>
      <c r="I503" s="574"/>
      <c r="J503" s="574"/>
      <c r="K503" s="574"/>
      <c r="L503" s="574"/>
      <c r="M503" s="574"/>
      <c r="N503" s="574"/>
      <c r="O503" s="574"/>
      <c r="P503" s="653"/>
      <c r="Q503" s="574"/>
      <c r="R503" s="543">
        <f>IF(AND(R$4&lt;=$AH160,R$4&gt;$V160),1,IF(AND(R$4&lt;=$AI160,R$4&gt;$AH160),2,IF(AND(R$4&lt;=$AJ160,R$4&gt;$AI160),3,IF(AND(R$4&lt;=$AK160,R$4&gt;$AJ160),4,IF(AND(R$4&lt;=$AL160,R$4&gt;$AK160),5,0)))))*'Detailed Assumptions'!$E$6</f>
        <v>0</v>
      </c>
      <c r="S503" s="543">
        <f>IF(AND(S$4&lt;=$AH160,S$4&gt;$V160),1,IF(AND(S$4&lt;=$AI160,S$4&gt;$AH160),2,IF(AND(S$4&lt;=$AJ160,S$4&gt;$AI160),3,IF(AND(S$4&lt;=$AK160,S$4&gt;$AJ160),4,IF(AND(S$4&lt;=$AL160,S$4&gt;$AK160),5,0)))))*'Detailed Assumptions'!$E$6</f>
        <v>0</v>
      </c>
      <c r="T503" s="543">
        <f>IF(AND(T$4&lt;=$AH160,T$4&gt;$V160),1,IF(AND(T$4&lt;=$AI160,T$4&gt;$AH160),2,IF(AND(T$4&lt;=$AJ160,T$4&gt;$AI160),3,IF(AND(T$4&lt;=$AK160,T$4&gt;$AJ160),4,IF(AND(T$4&lt;=$AL160,T$4&gt;$AK160),5,0)))))*'Detailed Assumptions'!$E$6</f>
        <v>0</v>
      </c>
      <c r="U503" s="543">
        <f>IF(AND(U$4&lt;=$AH160,U$4&gt;$V160),1,IF(AND(U$4&lt;=$AI160,U$4&gt;$AH160),2,IF(AND(U$4&lt;=$AJ160,U$4&gt;$AI160),3,IF(AND(U$4&lt;=$AK160,U$4&gt;$AJ160),4,IF(AND(U$4&lt;=$AL160,U$4&gt;$AK160),5,0)))))*'Detailed Assumptions'!$E$6</f>
        <v>0</v>
      </c>
      <c r="V503" s="543">
        <f>IF(AND(V$4&lt;=$AH160,V$4&gt;$V160),1,IF(AND(V$4&lt;=$AI160,V$4&gt;$AH160),2,IF(AND(V$4&lt;=$AJ160,V$4&gt;$AI160),3,IF(AND(V$4&lt;=$AK160,V$4&gt;$AJ160),4,IF(AND(V$4&lt;=$AL160,V$4&gt;$AK160),5,0)))))*'Detailed Assumptions'!$E$6</f>
        <v>0</v>
      </c>
      <c r="W503" s="543">
        <f>IF(AND(W$4&lt;=$AH160,W$4&gt;$V160),1,IF(AND(W$4&lt;=$AI160,W$4&gt;$AH160),2,IF(AND(W$4&lt;=$AJ160,W$4&gt;$AI160),3,IF(AND(W$4&lt;=$AK160,W$4&gt;$AJ160),4,IF(AND(W$4&lt;=$AL160,W$4&gt;$AK160),5,0)))))*'Detailed Assumptions'!$E$6</f>
        <v>0</v>
      </c>
      <c r="X503" s="543">
        <f>IF(AND(X$4&lt;=$AH160,X$4&gt;$V160),1,IF(AND(X$4&lt;=$AI160,X$4&gt;$AH160),2,IF(AND(X$4&lt;=$AJ160,X$4&gt;$AI160),3,IF(AND(X$4&lt;=$AK160,X$4&gt;$AJ160),4,IF(AND(X$4&lt;=$AL160,X$4&gt;$AK160),5,0)))))*'Detailed Assumptions'!$E$6</f>
        <v>0</v>
      </c>
      <c r="Y503" s="543">
        <f>IF(AND(Y$4&lt;=$AH160,Y$4&gt;$V160),1,IF(AND(Y$4&lt;=$AI160,Y$4&gt;$AH160),2,IF(AND(Y$4&lt;=$AJ160,Y$4&gt;$AI160),3,IF(AND(Y$4&lt;=$AK160,Y$4&gt;$AJ160),4,IF(AND(Y$4&lt;=$AL160,Y$4&gt;$AK160),5,0)))))*'Detailed Assumptions'!$E$6</f>
        <v>0</v>
      </c>
      <c r="Z503" s="543">
        <f>IF(AND(Z$4&lt;=$AH160,Z$4&gt;$V160),1,IF(AND(Z$4&lt;=$AI160,Z$4&gt;$AH160),2,IF(AND(Z$4&lt;=$AJ160,Z$4&gt;$AI160),3,IF(AND(Z$4&lt;=$AK160,Z$4&gt;$AJ160),4,IF(AND(Z$4&lt;=$AL160,Z$4&gt;$AK160),5,0)))))*'Detailed Assumptions'!$E$6</f>
        <v>0</v>
      </c>
      <c r="AA503" s="543">
        <f>IF(AND(AA$4&lt;=$AH160,AA$4&gt;$V160),1,IF(AND(AA$4&lt;=$AI160,AA$4&gt;$AH160),2,IF(AND(AA$4&lt;=$AJ160,AA$4&gt;$AI160),3,IF(AND(AA$4&lt;=$AK160,AA$4&gt;$AJ160),4,IF(AND(AA$4&lt;=$AL160,AA$4&gt;$AK160),5,0)))))*'Detailed Assumptions'!$E$6</f>
        <v>0</v>
      </c>
      <c r="AB503" s="543">
        <f>IF(AND(AB$4&lt;=$AH160,AB$4&gt;$V160),1,IF(AND(AB$4&lt;=$AI160,AB$4&gt;$AH160),2,IF(AND(AB$4&lt;=$AJ160,AB$4&gt;$AI160),3,IF(AND(AB$4&lt;=$AK160,AB$4&gt;$AJ160),4,IF(AND(AB$4&lt;=$AL160,AB$4&gt;$AK160),5,0)))))*'Detailed Assumptions'!$E$6</f>
        <v>0</v>
      </c>
      <c r="AC503" s="543">
        <f>IF(AND(AC$4&lt;=$AH160,AC$4&gt;$V160),1,IF(AND(AC$4&lt;=$AI160,AC$4&gt;$AH160),2,IF(AND(AC$4&lt;=$AJ160,AC$4&gt;$AI160),3,IF(AND(AC$4&lt;=$AK160,AC$4&gt;$AJ160),4,IF(AND(AC$4&lt;=$AL160,AC$4&gt;$AK160),5,0)))))*'Detailed Assumptions'!$E$6</f>
        <v>0</v>
      </c>
      <c r="AD503" s="543">
        <f>IF(AND(AD$4&lt;=$AH160,AD$4&gt;$V160),1,IF(AND(AD$4&lt;=$AI160,AD$4&gt;$AH160),2,IF(AND(AD$4&lt;=$AJ160,AD$4&gt;$AI160),3,IF(AND(AD$4&lt;=$AK160,AD$4&gt;$AJ160),4,IF(AND(AD$4&lt;=$AL160,AD$4&gt;$AK160),5,0)))))*'Detailed Assumptions'!$E$6</f>
        <v>0</v>
      </c>
      <c r="AE503" s="543">
        <f>IF(AND(AE$4&lt;=$AH160,AE$4&gt;$V160),1,IF(AND(AE$4&lt;=$AI160,AE$4&gt;$AH160),2,IF(AND(AE$4&lt;=$AJ160,AE$4&gt;$AI160),3,IF(AND(AE$4&lt;=$AK160,AE$4&gt;$AJ160),4,IF(AND(AE$4&lt;=$AL160,AE$4&gt;$AK160),5,0)))))*'Detailed Assumptions'!$E$6</f>
        <v>0</v>
      </c>
      <c r="AF503" s="543">
        <f>IF(AND(AF$4&lt;=$AH160,AF$4&gt;$V160),1,IF(AND(AF$4&lt;=$AI160,AF$4&gt;$AH160),2,IF(AND(AF$4&lt;=$AJ160,AF$4&gt;$AI160),3,IF(AND(AF$4&lt;=$AK160,AF$4&gt;$AJ160),4,IF(AND(AF$4&lt;=$AL160,AF$4&gt;$AK160),5,0)))))*'Detailed Assumptions'!$E$6</f>
        <v>0</v>
      </c>
      <c r="AG503" s="543">
        <f>IF(AND(AG$4&lt;=$AH160,AG$4&gt;$V160),1,IF(AND(AG$4&lt;=$AI160,AG$4&gt;$AH160),2,IF(AND(AG$4&lt;=$AJ160,AG$4&gt;$AI160),3,IF(AND(AG$4&lt;=$AK160,AG$4&gt;$AJ160),4,IF(AND(AG$4&lt;=$AL160,AG$4&gt;$AK160),5,0)))))*'Detailed Assumptions'!$E$6</f>
        <v>0</v>
      </c>
      <c r="AH503" s="543">
        <f>IF(AND(AH$4&lt;=$AH160,AH$4&gt;$V160),1,IF(AND(AH$4&lt;=$AI160,AH$4&gt;$AH160),2,IF(AND(AH$4&lt;=$AJ160,AH$4&gt;$AI160),3,IF(AND(AH$4&lt;=$AK160,AH$4&gt;$AJ160),4,IF(AND(AH$4&lt;=$AL160,AH$4&gt;$AK160),5,0)))))*'Detailed Assumptions'!$E$6</f>
        <v>0</v>
      </c>
      <c r="AI503" s="543">
        <f>IF(AND(AI$4&lt;=$AH160,AI$4&gt;$V160),1,IF(AND(AI$4&lt;=$AI160,AI$4&gt;$AH160),2,IF(AND(AI$4&lt;=$AJ160,AI$4&gt;$AI160),3,IF(AND(AI$4&lt;=$AK160,AI$4&gt;$AJ160),4,IF(AND(AI$4&lt;=$AL160,AI$4&gt;$AK160),5,0)))))*'Detailed Assumptions'!$E$6</f>
        <v>0</v>
      </c>
      <c r="AJ503" s="543">
        <f>IF(AND(AJ$4&lt;=$AH160,AJ$4&gt;$V160),1,IF(AND(AJ$4&lt;=$AI160,AJ$4&gt;$AH160),2,IF(AND(AJ$4&lt;=$AJ160,AJ$4&gt;$AI160),3,IF(AND(AJ$4&lt;=$AK160,AJ$4&gt;$AJ160),4,IF(AND(AJ$4&lt;=$AL160,AJ$4&gt;$AK160),5,0)))))*'Detailed Assumptions'!$E$6</f>
        <v>0</v>
      </c>
      <c r="AK503" s="543">
        <f>IF(AND(AK$4&lt;=$AH160,AK$4&gt;$V160),1,IF(AND(AK$4&lt;=$AI160,AK$4&gt;$AH160),2,IF(AND(AK$4&lt;=$AJ160,AK$4&gt;$AI160),3,IF(AND(AK$4&lt;=$AK160,AK$4&gt;$AJ160),4,IF(AND(AK$4&lt;=$AL160,AK$4&gt;$AK160),5,0)))))*'Detailed Assumptions'!$E$6</f>
        <v>0</v>
      </c>
      <c r="AL503" s="543">
        <f>IF(AND(AL$4&lt;=$AH160,AL$4&gt;$V160),1,IF(AND(AL$4&lt;=$AI160,AL$4&gt;$AH160),2,IF(AND(AL$4&lt;=$AJ160,AL$4&gt;$AI160),3,IF(AND(AL$4&lt;=$AK160,AL$4&gt;$AJ160),4,IF(AND(AL$4&lt;=$AL160,AL$4&gt;$AK160),5,0)))))*'Detailed Assumptions'!$E$6</f>
        <v>0</v>
      </c>
      <c r="AM503" s="543">
        <f>IF(AND(AM$4&lt;=$AH160,AM$4&gt;$V160),1,IF(AND(AM$4&lt;=$AI160,AM$4&gt;$AH160),2,IF(AND(AM$4&lt;=$AJ160,AM$4&gt;$AI160),3,IF(AND(AM$4&lt;=$AK160,AM$4&gt;$AJ160),4,IF(AND(AM$4&lt;=$AL160,AM$4&gt;$AK160),5,0)))))*'Detailed Assumptions'!$E$6</f>
        <v>0</v>
      </c>
      <c r="AN503" s="543">
        <f>IF(AND(AN$4&lt;=$AH160,AN$4&gt;$V160),1,IF(AND(AN$4&lt;=$AI160,AN$4&gt;$AH160),2,IF(AND(AN$4&lt;=$AJ160,AN$4&gt;$AI160),3,IF(AND(AN$4&lt;=$AK160,AN$4&gt;$AJ160),4,IF(AND(AN$4&lt;=$AL160,AN$4&gt;$AK160),5,0)))))*'Detailed Assumptions'!$E$6</f>
        <v>0</v>
      </c>
      <c r="AO503" s="543">
        <f>IF(AND(AO$4&lt;=$AH160,AO$4&gt;$V160),1,IF(AND(AO$4&lt;=$AI160,AO$4&gt;$AH160),2,IF(AND(AO$4&lt;=$AJ160,AO$4&gt;$AI160),3,IF(AND(AO$4&lt;=$AK160,AO$4&gt;$AJ160),4,IF(AND(AO$4&lt;=$AL160,AO$4&gt;$AK160),5,0)))))*'Detailed Assumptions'!$E$6</f>
        <v>0</v>
      </c>
      <c r="AP503" s="543">
        <f>IF(AND(AP$4&lt;=$AH160,AP$4&gt;$V160),1,IF(AND(AP$4&lt;=$AI160,AP$4&gt;$AH160),2,IF(AND(AP$4&lt;=$AJ160,AP$4&gt;$AI160),3,IF(AND(AP$4&lt;=$AK160,AP$4&gt;$AJ160),4,IF(AND(AP$4&lt;=$AL160,AP$4&gt;$AK160),5,0)))))*'Detailed Assumptions'!$E$6</f>
        <v>0</v>
      </c>
      <c r="AQ503" s="543">
        <f>IF(AND(AQ$4&lt;=$AH160,AQ$4&gt;$V160),1,IF(AND(AQ$4&lt;=$AI160,AQ$4&gt;$AH160),2,IF(AND(AQ$4&lt;=$AJ160,AQ$4&gt;$AI160),3,IF(AND(AQ$4&lt;=$AK160,AQ$4&gt;$AJ160),4,IF(AND(AQ$4&lt;=$AL160,AQ$4&gt;$AK160),5,0)))))*'Detailed Assumptions'!$E$6</f>
        <v>0</v>
      </c>
      <c r="AR503" s="543">
        <f>IF(AND(AR$4&lt;=$AH160,AR$4&gt;$V160),1,IF(AND(AR$4&lt;=$AI160,AR$4&gt;$AH160),2,IF(AND(AR$4&lt;=$AJ160,AR$4&gt;$AI160),3,IF(AND(AR$4&lt;=$AK160,AR$4&gt;$AJ160),4,IF(AND(AR$4&lt;=$AL160,AR$4&gt;$AK160),5,0)))))*'Detailed Assumptions'!$E$6</f>
        <v>0</v>
      </c>
      <c r="AS503" s="543">
        <f>IF(AND(AS$4&lt;=$AH160,AS$4&gt;$V160),1,IF(AND(AS$4&lt;=$AI160,AS$4&gt;$AH160),2,IF(AND(AS$4&lt;=$AJ160,AS$4&gt;$AI160),3,IF(AND(AS$4&lt;=$AK160,AS$4&gt;$AJ160),4,IF(AND(AS$4&lt;=$AL160,AS$4&gt;$AK160),5,0)))))*'Detailed Assumptions'!$E$6</f>
        <v>0</v>
      </c>
      <c r="AT503" s="543">
        <f>IF(AND(AT$4&lt;=$AH160,AT$4&gt;$V160),1,IF(AND(AT$4&lt;=$AI160,AT$4&gt;$AH160),2,IF(AND(AT$4&lt;=$AJ160,AT$4&gt;$AI160),3,IF(AND(AT$4&lt;=$AK160,AT$4&gt;$AJ160),4,IF(AND(AT$4&lt;=$AL160,AT$4&gt;$AK160),5,0)))))*'Detailed Assumptions'!$E$6</f>
        <v>0</v>
      </c>
      <c r="AU503" s="543">
        <f>IF(AND(AU$4&lt;=$AH160,AU$4&gt;$V160),1,IF(AND(AU$4&lt;=$AI160,AU$4&gt;$AH160),2,IF(AND(AU$4&lt;=$AJ160,AU$4&gt;$AI160),3,IF(AND(AU$4&lt;=$AK160,AU$4&gt;$AJ160),4,IF(AND(AU$4&lt;=$AL160,AU$4&gt;$AK160),5,0)))))*'Detailed Assumptions'!$E$6</f>
        <v>0</v>
      </c>
      <c r="AV503" s="543">
        <f>IF(AND(AV$4&lt;=$AH160,AV$4&gt;$V160),1,IF(AND(AV$4&lt;=$AI160,AV$4&gt;$AH160),2,IF(AND(AV$4&lt;=$AJ160,AV$4&gt;$AI160),3,IF(AND(AV$4&lt;=$AK160,AV$4&gt;$AJ160),4,IF(AND(AV$4&lt;=$AL160,AV$4&gt;$AK160),5,0)))))*'Detailed Assumptions'!$E$6</f>
        <v>0</v>
      </c>
      <c r="AW503" s="543">
        <f>IF(AND(AW$4&lt;=$AH160,AW$4&gt;$V160),1,IF(AND(AW$4&lt;=$AI160,AW$4&gt;$AH160),2,IF(AND(AW$4&lt;=$AJ160,AW$4&gt;$AI160),3,IF(AND(AW$4&lt;=$AK160,AW$4&gt;$AJ160),4,IF(AND(AW$4&lt;=$AL160,AW$4&gt;$AK160),5,0)))))*'Detailed Assumptions'!$E$6</f>
        <v>0</v>
      </c>
      <c r="AX503" s="543">
        <f>IF(AND(AX$4&lt;=$AH160,AX$4&gt;$V160),1,IF(AND(AX$4&lt;=$AI160,AX$4&gt;$AH160),2,IF(AND(AX$4&lt;=$AJ160,AX$4&gt;$AI160),3,IF(AND(AX$4&lt;=$AK160,AX$4&gt;$AJ160),4,IF(AND(AX$4&lt;=$AL160,AX$4&gt;$AK160),5,0)))))*'Detailed Assumptions'!$E$6</f>
        <v>0</v>
      </c>
      <c r="AY503" s="543">
        <f>IF(AND(AY$4&lt;=$AH160,AY$4&gt;$V160),1,IF(AND(AY$4&lt;=$AI160,AY$4&gt;$AH160),2,IF(AND(AY$4&lt;=$AJ160,AY$4&gt;$AI160),3,IF(AND(AY$4&lt;=$AK160,AY$4&gt;$AJ160),4,IF(AND(AY$4&lt;=$AL160,AY$4&gt;$AK160),5,0)))))*'Detailed Assumptions'!$E$6</f>
        <v>0</v>
      </c>
      <c r="AZ503" s="543">
        <f>IF(AND(AZ$4&lt;=$AH160,AZ$4&gt;$V160),1,IF(AND(AZ$4&lt;=$AI160,AZ$4&gt;$AH160),2,IF(AND(AZ$4&lt;=$AJ160,AZ$4&gt;$AI160),3,IF(AND(AZ$4&lt;=$AK160,AZ$4&gt;$AJ160),4,IF(AND(AZ$4&lt;=$AL160,AZ$4&gt;$AK160),5,0)))))*'Detailed Assumptions'!$E$6</f>
        <v>0</v>
      </c>
      <c r="BA503" s="543">
        <f>IF(AND(BA$4&lt;=$AH160,BA$4&gt;$V160),1,IF(AND(BA$4&lt;=$AI160,BA$4&gt;$AH160),2,IF(AND(BA$4&lt;=$AJ160,BA$4&gt;$AI160),3,IF(AND(BA$4&lt;=$AK160,BA$4&gt;$AJ160),4,IF(AND(BA$4&lt;=$AL160,BA$4&gt;$AK160),5,0)))))*'Detailed Assumptions'!$E$6</f>
        <v>0</v>
      </c>
      <c r="BB503" s="543">
        <f>IF(AND(BB$4&lt;=$AH160,BB$4&gt;$V160),1,IF(AND(BB$4&lt;=$AI160,BB$4&gt;$AH160),2,IF(AND(BB$4&lt;=$AJ160,BB$4&gt;$AI160),3,IF(AND(BB$4&lt;=$AK160,BB$4&gt;$AJ160),4,IF(AND(BB$4&lt;=$AL160,BB$4&gt;$AK160),5,0)))))*'Detailed Assumptions'!$E$6</f>
        <v>0</v>
      </c>
      <c r="BC503" s="543">
        <f>IF(AND(BC$4&lt;=$AH160,BC$4&gt;$V160),1,IF(AND(BC$4&lt;=$AI160,BC$4&gt;$AH160),2,IF(AND(BC$4&lt;=$AJ160,BC$4&gt;$AI160),3,IF(AND(BC$4&lt;=$AK160,BC$4&gt;$AJ160),4,IF(AND(BC$4&lt;=$AL160,BC$4&gt;$AK160),5,0)))))*'Detailed Assumptions'!$E$6</f>
        <v>0</v>
      </c>
      <c r="BD503" s="543">
        <f>IF(AND(BD$4&lt;=$AH160,BD$4&gt;$V160),1,IF(AND(BD$4&lt;=$AI160,BD$4&gt;$AH160),2,IF(AND(BD$4&lt;=$AJ160,BD$4&gt;$AI160),3,IF(AND(BD$4&lt;=$AK160,BD$4&gt;$AJ160),4,IF(AND(BD$4&lt;=$AL160,BD$4&gt;$AK160),5,0)))))*'Detailed Assumptions'!$E$6</f>
        <v>0</v>
      </c>
      <c r="BE503" s="543">
        <f>IF(AND(BE$4&lt;=$AH160,BE$4&gt;$V160),1,IF(AND(BE$4&lt;=$AI160,BE$4&gt;$AH160),2,IF(AND(BE$4&lt;=$AJ160,BE$4&gt;$AI160),3,IF(AND(BE$4&lt;=$AK160,BE$4&gt;$AJ160),4,IF(AND(BE$4&lt;=$AL160,BE$4&gt;$AK160),5,0)))))*'Detailed Assumptions'!$E$6</f>
        <v>0</v>
      </c>
      <c r="BF503" s="543">
        <f>IF(AND(BF$4&lt;=$AH160,BF$4&gt;$V160),1,IF(AND(BF$4&lt;=$AI160,BF$4&gt;$AH160),2,IF(AND(BF$4&lt;=$AJ160,BF$4&gt;$AI160),3,IF(AND(BF$4&lt;=$AK160,BF$4&gt;$AJ160),4,IF(AND(BF$4&lt;=$AL160,BF$4&gt;$AK160),5,0)))))*'Detailed Assumptions'!$E$6</f>
        <v>0</v>
      </c>
      <c r="BG503" s="543">
        <f>IF(AND(BG$4&lt;=$AH160,BG$4&gt;$V160),1,IF(AND(BG$4&lt;=$AI160,BG$4&gt;$AH160),2,IF(AND(BG$4&lt;=$AJ160,BG$4&gt;$AI160),3,IF(AND(BG$4&lt;=$AK160,BG$4&gt;$AJ160),4,IF(AND(BG$4&lt;=$AL160,BG$4&gt;$AK160),5,0)))))*'Detailed Assumptions'!$E$6</f>
        <v>0</v>
      </c>
      <c r="BH503" s="543">
        <f>IF(AND(BH$4&lt;=$AH160,BH$4&gt;$V160),1,IF(AND(BH$4&lt;=$AI160,BH$4&gt;$AH160),2,IF(AND(BH$4&lt;=$AJ160,BH$4&gt;$AI160),3,IF(AND(BH$4&lt;=$AK160,BH$4&gt;$AJ160),4,IF(AND(BH$4&lt;=$AL160,BH$4&gt;$AK160),5,0)))))*'Detailed Assumptions'!$E$6</f>
        <v>0</v>
      </c>
      <c r="BI503" s="543">
        <f>IF(AND(BI$4&lt;=$AH160,BI$4&gt;$V160),1,IF(AND(BI$4&lt;=$AI160,BI$4&gt;$AH160),2,IF(AND(BI$4&lt;=$AJ160,BI$4&gt;$AI160),3,IF(AND(BI$4&lt;=$AK160,BI$4&gt;$AJ160),4,IF(AND(BI$4&lt;=$AL160,BI$4&gt;$AK160),5,0)))))*'Detailed Assumptions'!$E$6</f>
        <v>0</v>
      </c>
      <c r="BJ503" s="543">
        <f>IF(AND(BJ$4&lt;=$AH160,BJ$4&gt;$V160),1,IF(AND(BJ$4&lt;=$AI160,BJ$4&gt;$AH160),2,IF(AND(BJ$4&lt;=$AJ160,BJ$4&gt;$AI160),3,IF(AND(BJ$4&lt;=$AK160,BJ$4&gt;$AJ160),4,IF(AND(BJ$4&lt;=$AL160,BJ$4&gt;$AK160),5,0)))))*'Detailed Assumptions'!$E$6</f>
        <v>0</v>
      </c>
      <c r="BK503" s="543">
        <f>IF(AND(BK$4&lt;=$AH160,BK$4&gt;$V160),1,IF(AND(BK$4&lt;=$AI160,BK$4&gt;$AH160),2,IF(AND(BK$4&lt;=$AJ160,BK$4&gt;$AI160),3,IF(AND(BK$4&lt;=$AK160,BK$4&gt;$AJ160),4,IF(AND(BK$4&lt;=$AL160,BK$4&gt;$AK160),5,0)))))*'Detailed Assumptions'!$E$6</f>
        <v>0</v>
      </c>
      <c r="BL503" s="543">
        <f>IF(AND(BL$4&lt;=$AH160,BL$4&gt;$V160),1,IF(AND(BL$4&lt;=$AI160,BL$4&gt;$AH160),2,IF(AND(BL$4&lt;=$AJ160,BL$4&gt;$AI160),3,IF(AND(BL$4&lt;=$AK160,BL$4&gt;$AJ160),4,IF(AND(BL$4&lt;=$AL160,BL$4&gt;$AK160),5,0)))))*'Detailed Assumptions'!$E$6</f>
        <v>0</v>
      </c>
      <c r="BM503" s="543">
        <f>IF(AND(BM$4&lt;=$AH160,BM$4&gt;$V160),1,IF(AND(BM$4&lt;=$AI160,BM$4&gt;$AH160),2,IF(AND(BM$4&lt;=$AJ160,BM$4&gt;$AI160),3,IF(AND(BM$4&lt;=$AK160,BM$4&gt;$AJ160),4,IF(AND(BM$4&lt;=$AL160,BM$4&gt;$AK160),5,0)))))*'Detailed Assumptions'!$E$6</f>
        <v>0</v>
      </c>
      <c r="BN503" s="543">
        <f>IF(AND(BN$4&lt;=$AH160,BN$4&gt;$V160),1,IF(AND(BN$4&lt;=$AI160,BN$4&gt;$AH160),2,IF(AND(BN$4&lt;=$AJ160,BN$4&gt;$AI160),3,IF(AND(BN$4&lt;=$AK160,BN$4&gt;$AJ160),4,IF(AND(BN$4&lt;=$AL160,BN$4&gt;$AK160),5,0)))))*'Detailed Assumptions'!$E$6</f>
        <v>0</v>
      </c>
      <c r="BO503" s="543">
        <f>IF(AND(BO$4&lt;=$AH160,BO$4&gt;$V160),1,IF(AND(BO$4&lt;=$AI160,BO$4&gt;$AH160),2,IF(AND(BO$4&lt;=$AJ160,BO$4&gt;$AI160),3,IF(AND(BO$4&lt;=$AK160,BO$4&gt;$AJ160),4,IF(AND(BO$4&lt;=$AL160,BO$4&gt;$AK160),5,0)))))*'Detailed Assumptions'!$E$6</f>
        <v>0</v>
      </c>
      <c r="BP503" s="543">
        <f>IF(AND(BP$4&lt;=$AH160,BP$4&gt;$V160),1,IF(AND(BP$4&lt;=$AI160,BP$4&gt;$AH160),2,IF(AND(BP$4&lt;=$AJ160,BP$4&gt;$AI160),3,IF(AND(BP$4&lt;=$AK160,BP$4&gt;$AJ160),4,IF(AND(BP$4&lt;=$AL160,BP$4&gt;$AK160),5,0)))))*'Detailed Assumptions'!$E$6</f>
        <v>0</v>
      </c>
      <c r="BQ503" s="543">
        <f>IF(AND(BQ$4&lt;=$AH160,BQ$4&gt;$V160),1,IF(AND(BQ$4&lt;=$AI160,BQ$4&gt;$AH160),2,IF(AND(BQ$4&lt;=$AJ160,BQ$4&gt;$AI160),3,IF(AND(BQ$4&lt;=$AK160,BQ$4&gt;$AJ160),4,IF(AND(BQ$4&lt;=$AL160,BQ$4&gt;$AK160),5,0)))))*'Detailed Assumptions'!$E$6</f>
        <v>0</v>
      </c>
      <c r="BR503" s="543">
        <f>IF(AND(BR$4&lt;=$AH160,BR$4&gt;$V160),1,IF(AND(BR$4&lt;=$AI160,BR$4&gt;$AH160),2,IF(AND(BR$4&lt;=$AJ160,BR$4&gt;$AI160),3,IF(AND(BR$4&lt;=$AK160,BR$4&gt;$AJ160),4,IF(AND(BR$4&lt;=$AL160,BR$4&gt;$AK160),5,0)))))*'Detailed Assumptions'!$E$6</f>
        <v>0</v>
      </c>
      <c r="BS503" s="543">
        <f>IF(AND(BS$4&lt;=$AH160,BS$4&gt;$V160),1,IF(AND(BS$4&lt;=$AI160,BS$4&gt;$AH160),2,IF(AND(BS$4&lt;=$AJ160,BS$4&gt;$AI160),3,IF(AND(BS$4&lt;=$AK160,BS$4&gt;$AJ160),4,IF(AND(BS$4&lt;=$AL160,BS$4&gt;$AK160),5,0)))))*'Detailed Assumptions'!$E$6</f>
        <v>0</v>
      </c>
      <c r="BT503" s="543">
        <f>IF(AND(BT$4&lt;=$AH160,BT$4&gt;$V160),1,IF(AND(BT$4&lt;=$AI160,BT$4&gt;$AH160),2,IF(AND(BT$4&lt;=$AJ160,BT$4&gt;$AI160),3,IF(AND(BT$4&lt;=$AK160,BT$4&gt;$AJ160),4,IF(AND(BT$4&lt;=$AL160,BT$4&gt;$AK160),5,0)))))*'Detailed Assumptions'!$E$6</f>
        <v>0</v>
      </c>
      <c r="BU503" s="543">
        <f>IF(AND(BU$4&lt;=$AH160,BU$4&gt;$V160),1,IF(AND(BU$4&lt;=$AI160,BU$4&gt;$AH160),2,IF(AND(BU$4&lt;=$AJ160,BU$4&gt;$AI160),3,IF(AND(BU$4&lt;=$AK160,BU$4&gt;$AJ160),4,IF(AND(BU$4&lt;=$AL160,BU$4&gt;$AK160),5,0)))))*'Detailed Assumptions'!$E$6</f>
        <v>0</v>
      </c>
      <c r="BV503" s="543">
        <f>IF(AND(BV$4&lt;=$AH160,BV$4&gt;$V160),1,IF(AND(BV$4&lt;=$AI160,BV$4&gt;$AH160),2,IF(AND(BV$4&lt;=$AJ160,BV$4&gt;$AI160),3,IF(AND(BV$4&lt;=$AK160,BV$4&gt;$AJ160),4,IF(AND(BV$4&lt;=$AL160,BV$4&gt;$AK160),5,0)))))*'Detailed Assumptions'!$E$6</f>
        <v>0</v>
      </c>
      <c r="BW503" s="543">
        <f>IF(AND(BW$4&lt;=$AH160,BW$4&gt;$V160),1,IF(AND(BW$4&lt;=$AI160,BW$4&gt;$AH160),2,IF(AND(BW$4&lt;=$AJ160,BW$4&gt;$AI160),3,IF(AND(BW$4&lt;=$AK160,BW$4&gt;$AJ160),4,IF(AND(BW$4&lt;=$AL160,BW$4&gt;$AK160),5,0)))))*'Detailed Assumptions'!$E$6</f>
        <v>0</v>
      </c>
      <c r="BX503" s="543">
        <f>IF(AND(BX$4&lt;=$AH160,BX$4&gt;$V160),1,IF(AND(BX$4&lt;=$AI160,BX$4&gt;$AH160),2,IF(AND(BX$4&lt;=$AJ160,BX$4&gt;$AI160),3,IF(AND(BX$4&lt;=$AK160,BX$4&gt;$AJ160),4,IF(AND(BX$4&lt;=$AL160,BX$4&gt;$AK160),5,0)))))*'Detailed Assumptions'!$E$6</f>
        <v>0</v>
      </c>
      <c r="BY503" s="543">
        <f>IF(AND(BY$4&lt;=$AH160,BY$4&gt;$V160),1,IF(AND(BY$4&lt;=$AI160,BY$4&gt;$AH160),2,IF(AND(BY$4&lt;=$AJ160,BY$4&gt;$AI160),3,IF(AND(BY$4&lt;=$AK160,BY$4&gt;$AJ160),4,IF(AND(BY$4&lt;=$AL160,BY$4&gt;$AK160),5,0)))))*'Detailed Assumptions'!$E$6</f>
        <v>0</v>
      </c>
      <c r="BZ503" s="537"/>
      <c r="CA503" s="537"/>
      <c r="CB503" s="537"/>
    </row>
    <row r="504" spans="1:80" x14ac:dyDescent="0.3">
      <c r="A504" s="551"/>
      <c r="B504" s="548"/>
      <c r="C504" s="525"/>
      <c r="D504" s="525"/>
      <c r="E504" s="525"/>
      <c r="F504" s="525"/>
      <c r="G504" s="525"/>
      <c r="H504" s="525"/>
      <c r="I504" s="537"/>
      <c r="J504" s="537"/>
      <c r="K504" s="537"/>
      <c r="L504" s="537"/>
      <c r="M504" s="537"/>
      <c r="N504" s="537"/>
      <c r="O504" s="537"/>
      <c r="P504" s="547"/>
      <c r="Q504" s="537"/>
      <c r="R504" s="525"/>
      <c r="S504" s="525"/>
      <c r="T504" s="525"/>
      <c r="U504" s="525"/>
      <c r="V504" s="525"/>
      <c r="W504" s="525"/>
      <c r="X504" s="525"/>
      <c r="Y504" s="525"/>
      <c r="Z504" s="525"/>
      <c r="AA504" s="525"/>
      <c r="AB504" s="525"/>
      <c r="AC504" s="525"/>
      <c r="AD504" s="525"/>
      <c r="AE504" s="525"/>
      <c r="AF504" s="525"/>
      <c r="AG504" s="525"/>
      <c r="AH504" s="525"/>
      <c r="AI504" s="525"/>
      <c r="AJ504" s="525"/>
      <c r="AK504" s="525"/>
      <c r="AL504" s="525"/>
      <c r="AM504" s="525"/>
      <c r="AN504" s="525"/>
      <c r="AO504" s="525"/>
      <c r="AP504" s="525"/>
      <c r="AQ504" s="525"/>
      <c r="AR504" s="525"/>
      <c r="AS504" s="525"/>
      <c r="AT504" s="525"/>
      <c r="AU504" s="525"/>
      <c r="AV504" s="525"/>
      <c r="AW504" s="525"/>
      <c r="AX504" s="525"/>
      <c r="AY504" s="525"/>
      <c r="AZ504" s="525"/>
      <c r="BA504" s="525"/>
      <c r="BB504" s="525"/>
      <c r="BC504" s="525"/>
      <c r="BD504" s="525"/>
      <c r="BE504" s="525"/>
      <c r="BF504" s="525"/>
      <c r="BG504" s="525"/>
      <c r="BH504" s="525"/>
      <c r="BI504" s="525"/>
      <c r="BJ504" s="525"/>
      <c r="BK504" s="525"/>
      <c r="BL504" s="525"/>
      <c r="BM504" s="525"/>
      <c r="BN504" s="525"/>
      <c r="BO504" s="525"/>
      <c r="BP504" s="525"/>
      <c r="BQ504" s="525"/>
      <c r="BR504" s="525"/>
      <c r="BS504" s="525"/>
      <c r="BT504" s="525"/>
      <c r="BU504" s="525"/>
      <c r="BV504" s="525"/>
      <c r="BW504" s="525"/>
      <c r="BX504" s="525"/>
      <c r="BY504" s="525"/>
      <c r="BZ504" s="537"/>
      <c r="CA504" s="537"/>
      <c r="CB504" s="537"/>
    </row>
    <row r="505" spans="1:80" x14ac:dyDescent="0.3">
      <c r="A505" s="537"/>
      <c r="B505" s="548"/>
      <c r="C505" s="560" t="s">
        <v>37</v>
      </c>
      <c r="D505" s="537"/>
      <c r="E505" s="526" t="s">
        <v>118</v>
      </c>
      <c r="F505" s="526"/>
      <c r="G505" s="526"/>
      <c r="H505" s="554"/>
      <c r="I505" s="526"/>
      <c r="J505" s="526"/>
      <c r="K505" s="526"/>
      <c r="L505" s="526"/>
      <c r="M505" s="526"/>
      <c r="N505" s="526"/>
      <c r="O505" s="526"/>
      <c r="P505" s="560"/>
      <c r="Q505" s="560"/>
      <c r="R505" s="526"/>
      <c r="S505" s="526"/>
      <c r="T505" s="526"/>
      <c r="U505" s="526"/>
      <c r="V505" s="526"/>
      <c r="W505" s="526"/>
      <c r="X505" s="526"/>
      <c r="Y505" s="526"/>
      <c r="Z505" s="526"/>
      <c r="AA505" s="526"/>
      <c r="AB505" s="526"/>
      <c r="AC505" s="526"/>
      <c r="AD505" s="526"/>
      <c r="AE505" s="526"/>
      <c r="AF505" s="526"/>
      <c r="AG505" s="526"/>
      <c r="AH505" s="526"/>
      <c r="AI505" s="526"/>
      <c r="AJ505" s="526"/>
      <c r="AK505" s="526"/>
      <c r="AL505" s="526"/>
      <c r="AM505" s="526"/>
      <c r="AN505" s="526"/>
      <c r="AO505" s="526"/>
      <c r="AP505" s="526"/>
      <c r="AQ505" s="526"/>
      <c r="AR505" s="526"/>
      <c r="AS505" s="526"/>
      <c r="AT505" s="526"/>
      <c r="AU505" s="526"/>
      <c r="AV505" s="526"/>
      <c r="AW505" s="526"/>
      <c r="AX505" s="526"/>
      <c r="AY505" s="526"/>
      <c r="AZ505" s="526"/>
      <c r="BA505" s="526"/>
      <c r="BB505" s="526"/>
      <c r="BC505" s="526"/>
      <c r="BD505" s="526"/>
      <c r="BE505" s="526"/>
      <c r="BF505" s="526"/>
      <c r="BG505" s="526"/>
      <c r="BH505" s="526"/>
      <c r="BI505" s="526"/>
      <c r="BJ505" s="526"/>
      <c r="BK505" s="526"/>
      <c r="BL505" s="526"/>
      <c r="BM505" s="526"/>
      <c r="BN505" s="526"/>
      <c r="BO505" s="526"/>
      <c r="BP505" s="526"/>
      <c r="BQ505" s="526"/>
      <c r="BR505" s="526"/>
      <c r="BS505" s="526"/>
      <c r="BT505" s="526"/>
      <c r="BU505" s="526"/>
      <c r="BV505" s="526"/>
      <c r="BW505" s="526"/>
      <c r="BX505" s="526"/>
      <c r="BY505" s="526"/>
      <c r="BZ505" s="537"/>
      <c r="CA505" s="537"/>
      <c r="CB505" s="554"/>
    </row>
    <row r="506" spans="1:80" x14ac:dyDescent="0.3">
      <c r="A506" s="648"/>
      <c r="B506" s="648"/>
      <c r="C506" s="648">
        <f>INDEX(Index_Tab!$E$27:$E$30,MATCH($B$4,Index_Tab!$D$27:$D$30,0))</f>
        <v>4</v>
      </c>
      <c r="D506" s="648"/>
      <c r="E506" s="525"/>
      <c r="F506" s="525"/>
      <c r="G506" s="525"/>
      <c r="H506" s="554"/>
      <c r="I506" s="525"/>
      <c r="J506" s="525"/>
      <c r="K506" s="525"/>
      <c r="L506" s="525"/>
      <c r="M506" s="525"/>
      <c r="N506" s="525"/>
      <c r="O506" s="525"/>
      <c r="P506" s="565"/>
      <c r="Q506" s="554"/>
      <c r="R506" s="525"/>
      <c r="S506" s="525"/>
      <c r="T506" s="525"/>
      <c r="U506" s="525"/>
      <c r="V506" s="525"/>
      <c r="W506" s="525"/>
      <c r="X506" s="525"/>
      <c r="Y506" s="525"/>
      <c r="Z506" s="525"/>
      <c r="AA506" s="525"/>
      <c r="AB506" s="525"/>
      <c r="AC506" s="525"/>
      <c r="AD506" s="525"/>
      <c r="AE506" s="525"/>
      <c r="AF506" s="525"/>
      <c r="AG506" s="525"/>
      <c r="AH506" s="525"/>
      <c r="AI506" s="525"/>
      <c r="AJ506" s="525"/>
      <c r="AK506" s="525"/>
      <c r="AL506" s="525"/>
      <c r="AM506" s="525"/>
      <c r="AN506" s="525"/>
      <c r="AO506" s="525"/>
      <c r="AP506" s="525"/>
      <c r="AQ506" s="525"/>
      <c r="AR506" s="525"/>
      <c r="AS506" s="525"/>
      <c r="AT506" s="525"/>
      <c r="AU506" s="525"/>
      <c r="AV506" s="525"/>
      <c r="AW506" s="525"/>
      <c r="AX506" s="525"/>
      <c r="AY506" s="525"/>
      <c r="AZ506" s="525"/>
      <c r="BA506" s="525"/>
      <c r="BB506" s="525"/>
      <c r="BC506" s="525"/>
      <c r="BD506" s="525"/>
      <c r="BE506" s="525"/>
      <c r="BF506" s="525"/>
      <c r="BG506" s="525"/>
      <c r="BH506" s="525"/>
      <c r="BI506" s="525"/>
      <c r="BJ506" s="525"/>
      <c r="BK506" s="525"/>
      <c r="BL506" s="525"/>
      <c r="BM506" s="525"/>
      <c r="BN506" s="525"/>
      <c r="BO506" s="525"/>
      <c r="BP506" s="525"/>
      <c r="BQ506" s="525"/>
      <c r="BR506" s="525"/>
      <c r="BS506" s="525"/>
      <c r="BT506" s="525"/>
      <c r="BU506" s="525"/>
      <c r="BV506" s="525"/>
      <c r="BW506" s="525"/>
      <c r="BX506" s="525"/>
      <c r="BY506" s="525"/>
      <c r="BZ506" s="537"/>
      <c r="CA506" s="537"/>
      <c r="CB506" s="554"/>
    </row>
    <row r="507" spans="1:80" x14ac:dyDescent="0.3">
      <c r="A507" s="648"/>
      <c r="B507" s="648" t="s">
        <v>48</v>
      </c>
      <c r="C507" s="648" cm="1">
        <f t="array" ref="C507">SUMPRODUCT((Index_Tab!$D$36:$D$45=$B507)*(Index_Tab!$E$35:$F$35=$B$3)*Index_Tab!$E$36:$F$45)</f>
        <v>3</v>
      </c>
      <c r="D507" s="648"/>
      <c r="E507" s="525" t="s">
        <v>373</v>
      </c>
      <c r="F507" s="567"/>
      <c r="G507" s="567"/>
      <c r="H507" s="529"/>
      <c r="I507" s="656">
        <v>3736.9125949235226</v>
      </c>
      <c r="J507" s="657" cm="1">
        <f t="array" ref="J507">I507*(1+INDEX(('Detailed Assumptions'!$D$59:$J$79,'Detailed Assumptions'!$L$59:$R$79,'Detailed Assumptions'!$T$59:$Z$79,'Detailed Assumptions'!$AB$59:$AH$79),$C507,J$2,$C$506))</f>
        <v>3736.9125949235226</v>
      </c>
      <c r="K507" s="657" cm="1">
        <f t="array" ref="K507">J507*(1+INDEX(('Detailed Assumptions'!$D$59:$J$79,'Detailed Assumptions'!$L$59:$R$79,'Detailed Assumptions'!$T$59:$Z$79,'Detailed Assumptions'!$AB$59:$AH$79),$C507,K$2,$C$506))</f>
        <v>3736.9125949235226</v>
      </c>
      <c r="L507" s="657" cm="1">
        <f t="array" ref="L507">K507*(1+INDEX(('Detailed Assumptions'!$D$59:$J$79,'Detailed Assumptions'!$L$59:$R$79,'Detailed Assumptions'!$T$59:$Z$79,'Detailed Assumptions'!$AB$59:$AH$79),$C507,L$2,$C$506))</f>
        <v>3736.9125949235226</v>
      </c>
      <c r="M507" s="657" cm="1">
        <f t="array" ref="M507">L507*(1+INDEX(('Detailed Assumptions'!$D$59:$J$79,'Detailed Assumptions'!$L$59:$R$79,'Detailed Assumptions'!$T$59:$Z$79,'Detailed Assumptions'!$AB$59:$AH$79),$C507,M$2,$C$506))</f>
        <v>3736.9125949235226</v>
      </c>
      <c r="N507" s="657" cm="1">
        <f t="array" ref="N507">M507*(1+INDEX(('Detailed Assumptions'!$D$59:$J$79,'Detailed Assumptions'!$L$59:$R$79,'Detailed Assumptions'!$T$59:$Z$79,'Detailed Assumptions'!$AB$59:$AH$79),$C507,N$2,$C$506))</f>
        <v>3736.9125949235226</v>
      </c>
      <c r="O507" s="574"/>
      <c r="P507" s="568">
        <f>IFERROR(((N507/I507)^(1/5))-1,0)</f>
        <v>0</v>
      </c>
      <c r="Q507" s="537"/>
      <c r="R507" s="543">
        <f t="shared" ref="R507:BY507" si="671">(INDEX($I507:$N507,MATCH(R$2,$I$3:$N$3,0)))/12</f>
        <v>311.40938291029357</v>
      </c>
      <c r="S507" s="543">
        <f t="shared" si="671"/>
        <v>311.40938291029357</v>
      </c>
      <c r="T507" s="543">
        <f t="shared" si="671"/>
        <v>311.40938291029357</v>
      </c>
      <c r="U507" s="543">
        <f t="shared" si="671"/>
        <v>311.40938291029357</v>
      </c>
      <c r="V507" s="543">
        <f t="shared" si="671"/>
        <v>311.40938291029357</v>
      </c>
      <c r="W507" s="543">
        <f t="shared" si="671"/>
        <v>311.40938291029357</v>
      </c>
      <c r="X507" s="543">
        <f t="shared" si="671"/>
        <v>311.40938291029357</v>
      </c>
      <c r="Y507" s="543">
        <f t="shared" si="671"/>
        <v>311.40938291029357</v>
      </c>
      <c r="Z507" s="543">
        <f t="shared" si="671"/>
        <v>311.40938291029357</v>
      </c>
      <c r="AA507" s="543">
        <f t="shared" si="671"/>
        <v>311.40938291029357</v>
      </c>
      <c r="AB507" s="543">
        <f t="shared" si="671"/>
        <v>311.40938291029357</v>
      </c>
      <c r="AC507" s="543">
        <f t="shared" si="671"/>
        <v>311.40938291029357</v>
      </c>
      <c r="AD507" s="543">
        <f t="shared" si="671"/>
        <v>311.40938291029357</v>
      </c>
      <c r="AE507" s="543">
        <f t="shared" si="671"/>
        <v>311.40938291029357</v>
      </c>
      <c r="AF507" s="543">
        <f t="shared" si="671"/>
        <v>311.40938291029357</v>
      </c>
      <c r="AG507" s="543">
        <f t="shared" si="671"/>
        <v>311.40938291029357</v>
      </c>
      <c r="AH507" s="543">
        <f t="shared" si="671"/>
        <v>311.40938291029357</v>
      </c>
      <c r="AI507" s="543">
        <f t="shared" si="671"/>
        <v>311.40938291029357</v>
      </c>
      <c r="AJ507" s="543">
        <f t="shared" si="671"/>
        <v>311.40938291029357</v>
      </c>
      <c r="AK507" s="543">
        <f t="shared" si="671"/>
        <v>311.40938291029357</v>
      </c>
      <c r="AL507" s="543">
        <f t="shared" si="671"/>
        <v>311.40938291029357</v>
      </c>
      <c r="AM507" s="543">
        <f t="shared" si="671"/>
        <v>311.40938291029357</v>
      </c>
      <c r="AN507" s="543">
        <f t="shared" si="671"/>
        <v>311.40938291029357</v>
      </c>
      <c r="AO507" s="543">
        <f t="shared" si="671"/>
        <v>311.40938291029357</v>
      </c>
      <c r="AP507" s="543">
        <f t="shared" si="671"/>
        <v>311.40938291029357</v>
      </c>
      <c r="AQ507" s="543">
        <f t="shared" si="671"/>
        <v>311.40938291029357</v>
      </c>
      <c r="AR507" s="543">
        <f t="shared" si="671"/>
        <v>311.40938291029357</v>
      </c>
      <c r="AS507" s="543">
        <f t="shared" si="671"/>
        <v>311.40938291029357</v>
      </c>
      <c r="AT507" s="543">
        <f t="shared" si="671"/>
        <v>311.40938291029357</v>
      </c>
      <c r="AU507" s="543">
        <f t="shared" si="671"/>
        <v>311.40938291029357</v>
      </c>
      <c r="AV507" s="543">
        <f t="shared" si="671"/>
        <v>311.40938291029357</v>
      </c>
      <c r="AW507" s="543">
        <f t="shared" si="671"/>
        <v>311.40938291029357</v>
      </c>
      <c r="AX507" s="543">
        <f t="shared" si="671"/>
        <v>311.40938291029357</v>
      </c>
      <c r="AY507" s="543">
        <f t="shared" si="671"/>
        <v>311.40938291029357</v>
      </c>
      <c r="AZ507" s="543">
        <f t="shared" si="671"/>
        <v>311.40938291029357</v>
      </c>
      <c r="BA507" s="543">
        <f t="shared" si="671"/>
        <v>311.40938291029357</v>
      </c>
      <c r="BB507" s="543">
        <f t="shared" si="671"/>
        <v>311.40938291029357</v>
      </c>
      <c r="BC507" s="543">
        <f t="shared" si="671"/>
        <v>311.40938291029357</v>
      </c>
      <c r="BD507" s="543">
        <f t="shared" si="671"/>
        <v>311.40938291029357</v>
      </c>
      <c r="BE507" s="543">
        <f t="shared" si="671"/>
        <v>311.40938291029357</v>
      </c>
      <c r="BF507" s="543">
        <f t="shared" si="671"/>
        <v>311.40938291029357</v>
      </c>
      <c r="BG507" s="543">
        <f t="shared" si="671"/>
        <v>311.40938291029357</v>
      </c>
      <c r="BH507" s="543">
        <f t="shared" si="671"/>
        <v>311.40938291029357</v>
      </c>
      <c r="BI507" s="543">
        <f t="shared" si="671"/>
        <v>311.40938291029357</v>
      </c>
      <c r="BJ507" s="543">
        <f t="shared" si="671"/>
        <v>311.40938291029357</v>
      </c>
      <c r="BK507" s="543">
        <f t="shared" si="671"/>
        <v>311.40938291029357</v>
      </c>
      <c r="BL507" s="543">
        <f t="shared" si="671"/>
        <v>311.40938291029357</v>
      </c>
      <c r="BM507" s="543">
        <f t="shared" si="671"/>
        <v>311.40938291029357</v>
      </c>
      <c r="BN507" s="543">
        <f t="shared" si="671"/>
        <v>311.40938291029357</v>
      </c>
      <c r="BO507" s="543">
        <f t="shared" si="671"/>
        <v>311.40938291029357</v>
      </c>
      <c r="BP507" s="543">
        <f t="shared" si="671"/>
        <v>311.40938291029357</v>
      </c>
      <c r="BQ507" s="543">
        <f t="shared" si="671"/>
        <v>311.40938291029357</v>
      </c>
      <c r="BR507" s="543">
        <f t="shared" si="671"/>
        <v>311.40938291029357</v>
      </c>
      <c r="BS507" s="543">
        <f t="shared" si="671"/>
        <v>311.40938291029357</v>
      </c>
      <c r="BT507" s="543">
        <f t="shared" si="671"/>
        <v>311.40938291029357</v>
      </c>
      <c r="BU507" s="543">
        <f t="shared" si="671"/>
        <v>311.40938291029357</v>
      </c>
      <c r="BV507" s="543">
        <f t="shared" si="671"/>
        <v>311.40938291029357</v>
      </c>
      <c r="BW507" s="543">
        <f t="shared" si="671"/>
        <v>311.40938291029357</v>
      </c>
      <c r="BX507" s="543">
        <f t="shared" si="671"/>
        <v>311.40938291029357</v>
      </c>
      <c r="BY507" s="543">
        <f t="shared" si="671"/>
        <v>311.40938291029357</v>
      </c>
      <c r="BZ507" s="537"/>
      <c r="CA507" s="537"/>
      <c r="CB507" s="529"/>
    </row>
    <row r="508" spans="1:80" x14ac:dyDescent="0.3">
      <c r="A508" s="648"/>
      <c r="B508" s="648"/>
      <c r="C508" s="648" cm="1">
        <f t="array" ref="C508">SUMPRODUCT((Index_Tab!$D$36:$D$45=$B508)*(Index_Tab!$E$35:$F$35=$B$3)*Index_Tab!$E$36:$F$45)</f>
        <v>0</v>
      </c>
      <c r="D508" s="648"/>
      <c r="E508" s="525"/>
      <c r="F508" s="567"/>
      <c r="G508" s="567"/>
      <c r="H508" s="529"/>
      <c r="I508" s="529"/>
      <c r="J508" s="529"/>
      <c r="K508" s="529"/>
      <c r="L508" s="529"/>
      <c r="M508" s="529"/>
      <c r="N508" s="529"/>
      <c r="O508" s="529"/>
      <c r="P508" s="562"/>
      <c r="Q508" s="529"/>
      <c r="R508" s="529"/>
      <c r="S508" s="529"/>
      <c r="T508" s="529"/>
      <c r="U508" s="529"/>
      <c r="V508" s="529"/>
      <c r="W508" s="529"/>
      <c r="X508" s="529"/>
      <c r="Y508" s="529"/>
      <c r="Z508" s="529"/>
      <c r="AA508" s="529"/>
      <c r="AB508" s="529"/>
      <c r="AC508" s="529"/>
      <c r="AD508" s="529"/>
      <c r="AE508" s="529"/>
      <c r="AF508" s="529"/>
      <c r="AG508" s="529"/>
      <c r="AH508" s="529"/>
      <c r="AI508" s="529"/>
      <c r="AJ508" s="529"/>
      <c r="AK508" s="529"/>
      <c r="AL508" s="529"/>
      <c r="AM508" s="529"/>
      <c r="AN508" s="529"/>
      <c r="AO508" s="529"/>
      <c r="AP508" s="529"/>
      <c r="AQ508" s="529"/>
      <c r="AR508" s="529"/>
      <c r="AS508" s="529"/>
      <c r="AT508" s="529"/>
      <c r="AU508" s="529"/>
      <c r="AV508" s="529"/>
      <c r="AW508" s="529"/>
      <c r="AX508" s="529"/>
      <c r="AY508" s="529"/>
      <c r="AZ508" s="529"/>
      <c r="BA508" s="529"/>
      <c r="BB508" s="529"/>
      <c r="BC508" s="529"/>
      <c r="BD508" s="529"/>
      <c r="BE508" s="529"/>
      <c r="BF508" s="529"/>
      <c r="BG508" s="529"/>
      <c r="BH508" s="529"/>
      <c r="BI508" s="529"/>
      <c r="BJ508" s="529"/>
      <c r="BK508" s="529"/>
      <c r="BL508" s="529"/>
      <c r="BM508" s="529"/>
      <c r="BN508" s="529"/>
      <c r="BO508" s="529"/>
      <c r="BP508" s="529"/>
      <c r="BQ508" s="529"/>
      <c r="BR508" s="529"/>
      <c r="BS508" s="529"/>
      <c r="BT508" s="529"/>
      <c r="BU508" s="529"/>
      <c r="BV508" s="529"/>
      <c r="BW508" s="529"/>
      <c r="BX508" s="529"/>
      <c r="BY508" s="529"/>
      <c r="BZ508" s="537"/>
      <c r="CA508" s="537"/>
      <c r="CB508" s="529"/>
    </row>
    <row r="509" spans="1:80" x14ac:dyDescent="0.3">
      <c r="A509" s="648"/>
      <c r="B509" s="648" t="s">
        <v>238</v>
      </c>
      <c r="C509" s="648" cm="1">
        <f t="array" ref="C509">SUMPRODUCT((Index_Tab!$D$36:$D$45=$B509)*(Index_Tab!$E$35:$F$35=$B$3)*Index_Tab!$E$36:$F$45)</f>
        <v>5</v>
      </c>
      <c r="D509" s="648"/>
      <c r="E509" s="525" t="s">
        <v>117</v>
      </c>
      <c r="F509" s="529"/>
      <c r="G509" s="529"/>
      <c r="H509" s="529"/>
      <c r="I509" s="527">
        <f>IFERROR(I512/I507,0)</f>
        <v>783.00736065880335</v>
      </c>
      <c r="J509" s="657" cm="1">
        <f t="array" ref="J509">(I509-'Detailed Assumptions'!$E$29)*(1+INDEX(('Detailed Assumptions'!$D$59:$J$79,'Detailed Assumptions'!$L$59:$R$79,'Detailed Assumptions'!$T$59:$Z$79,'Detailed Assumptions'!$AB$59:$AH$79),$C509,J$2,$C$506))+'Detailed Assumptions'!$E$29</f>
        <v>812.40478594517879</v>
      </c>
      <c r="K509" s="657" cm="1">
        <f t="array" ref="K509">(J509-'Detailed Assumptions'!$E$29)*(1+INDEX(('Detailed Assumptions'!$D$59:$J$79,'Detailed Assumptions'!$L$59:$R$79,'Detailed Assumptions'!$T$59:$Z$79,'Detailed Assumptions'!$AB$59:$AH$79),$C509,K$2,$C$506))+'Detailed Assumptions'!$E$29</f>
        <v>842.08221635033306</v>
      </c>
      <c r="L509" s="657" cm="1">
        <f t="array" ref="L509">(K509-'Detailed Assumptions'!$E$29)*(1+INDEX(('Detailed Assumptions'!$D$59:$J$79,'Detailed Assumptions'!$L$59:$R$79,'Detailed Assumptions'!$T$59:$Z$79,'Detailed Assumptions'!$AB$59:$AH$79),$C509,L$2,$C$506))+'Detailed Assumptions'!$E$29</f>
        <v>871.80458660497015</v>
      </c>
      <c r="M509" s="657" cm="1">
        <f t="array" ref="M509">(L509-'Detailed Assumptions'!$E$29)*(1+INDEX(('Detailed Assumptions'!$D$59:$J$79,'Detailed Assumptions'!$L$59:$R$79,'Detailed Assumptions'!$T$59:$Z$79,'Detailed Assumptions'!$AB$59:$AH$79),$C509,M$2,$C$506))+'Detailed Assumptions'!$E$29</f>
        <v>901.37702521454537</v>
      </c>
      <c r="N509" s="657" cm="1">
        <f t="array" ref="N509">(M509-'Detailed Assumptions'!$E$29)*(1+INDEX(('Detailed Assumptions'!$D$59:$J$79,'Detailed Assumptions'!$L$59:$R$79,'Detailed Assumptions'!$T$59:$Z$79,'Detailed Assumptions'!$AB$59:$AH$79),$C509,N$2,$C$506))+'Detailed Assumptions'!$E$29</f>
        <v>931.96649271403271</v>
      </c>
      <c r="O509" s="529"/>
      <c r="P509" s="568">
        <f>IFERROR(((N509/I509)^(1/5))-1,0)</f>
        <v>3.544465529132701E-2</v>
      </c>
      <c r="Q509" s="529"/>
      <c r="R509" s="527">
        <f>(INDEX($I509:$N509,MATCH(R$2,$I$3:$N$3,0)))</f>
        <v>812.40478594517879</v>
      </c>
      <c r="S509" s="527">
        <f t="shared" ref="S509:BY509" si="672">(INDEX($I509:$N509,MATCH(S$2,$I$3:$N$3,0)))</f>
        <v>812.40478594517879</v>
      </c>
      <c r="T509" s="527">
        <f t="shared" si="672"/>
        <v>812.40478594517879</v>
      </c>
      <c r="U509" s="527">
        <f t="shared" si="672"/>
        <v>812.40478594517879</v>
      </c>
      <c r="V509" s="527">
        <f t="shared" si="672"/>
        <v>812.40478594517879</v>
      </c>
      <c r="W509" s="527">
        <f t="shared" si="672"/>
        <v>812.40478594517879</v>
      </c>
      <c r="X509" s="527">
        <f t="shared" si="672"/>
        <v>812.40478594517879</v>
      </c>
      <c r="Y509" s="527">
        <f t="shared" si="672"/>
        <v>812.40478594517879</v>
      </c>
      <c r="Z509" s="527">
        <f t="shared" si="672"/>
        <v>812.40478594517879</v>
      </c>
      <c r="AA509" s="527">
        <f t="shared" si="672"/>
        <v>812.40478594517879</v>
      </c>
      <c r="AB509" s="527">
        <f t="shared" si="672"/>
        <v>812.40478594517879</v>
      </c>
      <c r="AC509" s="527">
        <f t="shared" si="672"/>
        <v>812.40478594517879</v>
      </c>
      <c r="AD509" s="527">
        <f t="shared" si="672"/>
        <v>842.08221635033306</v>
      </c>
      <c r="AE509" s="527">
        <f t="shared" si="672"/>
        <v>842.08221635033306</v>
      </c>
      <c r="AF509" s="527">
        <f t="shared" si="672"/>
        <v>842.08221635033306</v>
      </c>
      <c r="AG509" s="527">
        <f t="shared" si="672"/>
        <v>842.08221635033306</v>
      </c>
      <c r="AH509" s="527">
        <f t="shared" si="672"/>
        <v>842.08221635033306</v>
      </c>
      <c r="AI509" s="527">
        <f t="shared" si="672"/>
        <v>842.08221635033306</v>
      </c>
      <c r="AJ509" s="527">
        <f t="shared" si="672"/>
        <v>842.08221635033306</v>
      </c>
      <c r="AK509" s="527">
        <f t="shared" si="672"/>
        <v>842.08221635033306</v>
      </c>
      <c r="AL509" s="527">
        <f t="shared" si="672"/>
        <v>842.08221635033306</v>
      </c>
      <c r="AM509" s="527">
        <f t="shared" si="672"/>
        <v>842.08221635033306</v>
      </c>
      <c r="AN509" s="527">
        <f t="shared" si="672"/>
        <v>842.08221635033306</v>
      </c>
      <c r="AO509" s="527">
        <f t="shared" si="672"/>
        <v>842.08221635033306</v>
      </c>
      <c r="AP509" s="527">
        <f t="shared" si="672"/>
        <v>871.80458660497015</v>
      </c>
      <c r="AQ509" s="527">
        <f t="shared" si="672"/>
        <v>871.80458660497015</v>
      </c>
      <c r="AR509" s="527">
        <f t="shared" si="672"/>
        <v>871.80458660497015</v>
      </c>
      <c r="AS509" s="527">
        <f t="shared" si="672"/>
        <v>871.80458660497015</v>
      </c>
      <c r="AT509" s="527">
        <f t="shared" si="672"/>
        <v>871.80458660497015</v>
      </c>
      <c r="AU509" s="527">
        <f t="shared" si="672"/>
        <v>871.80458660497015</v>
      </c>
      <c r="AV509" s="527">
        <f t="shared" si="672"/>
        <v>871.80458660497015</v>
      </c>
      <c r="AW509" s="527">
        <f t="shared" si="672"/>
        <v>871.80458660497015</v>
      </c>
      <c r="AX509" s="527">
        <f t="shared" si="672"/>
        <v>871.80458660497015</v>
      </c>
      <c r="AY509" s="527">
        <f t="shared" si="672"/>
        <v>871.80458660497015</v>
      </c>
      <c r="AZ509" s="527">
        <f t="shared" si="672"/>
        <v>871.80458660497015</v>
      </c>
      <c r="BA509" s="527">
        <f t="shared" si="672"/>
        <v>871.80458660497015</v>
      </c>
      <c r="BB509" s="527">
        <f t="shared" si="672"/>
        <v>901.37702521454537</v>
      </c>
      <c r="BC509" s="527">
        <f t="shared" si="672"/>
        <v>901.37702521454537</v>
      </c>
      <c r="BD509" s="527">
        <f t="shared" si="672"/>
        <v>901.37702521454537</v>
      </c>
      <c r="BE509" s="527">
        <f t="shared" si="672"/>
        <v>901.37702521454537</v>
      </c>
      <c r="BF509" s="527">
        <f t="shared" si="672"/>
        <v>901.37702521454537</v>
      </c>
      <c r="BG509" s="527">
        <f t="shared" si="672"/>
        <v>901.37702521454537</v>
      </c>
      <c r="BH509" s="527">
        <f t="shared" si="672"/>
        <v>901.37702521454537</v>
      </c>
      <c r="BI509" s="527">
        <f t="shared" si="672"/>
        <v>901.37702521454537</v>
      </c>
      <c r="BJ509" s="527">
        <f t="shared" si="672"/>
        <v>901.37702521454537</v>
      </c>
      <c r="BK509" s="527">
        <f t="shared" si="672"/>
        <v>901.37702521454537</v>
      </c>
      <c r="BL509" s="527">
        <f t="shared" si="672"/>
        <v>901.37702521454537</v>
      </c>
      <c r="BM509" s="527">
        <f t="shared" si="672"/>
        <v>901.37702521454537</v>
      </c>
      <c r="BN509" s="527">
        <f t="shared" si="672"/>
        <v>931.96649271403271</v>
      </c>
      <c r="BO509" s="527">
        <f t="shared" si="672"/>
        <v>931.96649271403271</v>
      </c>
      <c r="BP509" s="527">
        <f t="shared" si="672"/>
        <v>931.96649271403271</v>
      </c>
      <c r="BQ509" s="527">
        <f t="shared" si="672"/>
        <v>931.96649271403271</v>
      </c>
      <c r="BR509" s="527">
        <f t="shared" si="672"/>
        <v>931.96649271403271</v>
      </c>
      <c r="BS509" s="527">
        <f t="shared" si="672"/>
        <v>931.96649271403271</v>
      </c>
      <c r="BT509" s="527">
        <f t="shared" si="672"/>
        <v>931.96649271403271</v>
      </c>
      <c r="BU509" s="527">
        <f t="shared" si="672"/>
        <v>931.96649271403271</v>
      </c>
      <c r="BV509" s="527">
        <f t="shared" si="672"/>
        <v>931.96649271403271</v>
      </c>
      <c r="BW509" s="527">
        <f t="shared" si="672"/>
        <v>931.96649271403271</v>
      </c>
      <c r="BX509" s="527">
        <f t="shared" si="672"/>
        <v>931.96649271403271</v>
      </c>
      <c r="BY509" s="527">
        <f t="shared" si="672"/>
        <v>931.96649271403271</v>
      </c>
      <c r="BZ509" s="537"/>
      <c r="CA509" s="537"/>
      <c r="CB509" s="529"/>
    </row>
    <row r="510" spans="1:80" x14ac:dyDescent="0.3">
      <c r="A510" s="648"/>
      <c r="B510" s="648"/>
      <c r="C510" s="648" cm="1">
        <f t="array" ref="C510">SUMPRODUCT((Index_Tab!$D$36:$D$45=$B510)*(Index_Tab!$E$35:$F$35=$B$3)*Index_Tab!$E$36:$F$45)</f>
        <v>0</v>
      </c>
      <c r="D510" s="648"/>
      <c r="E510" s="525"/>
      <c r="F510" s="529"/>
      <c r="G510" s="529"/>
      <c r="H510" s="529"/>
      <c r="I510" s="529"/>
      <c r="J510" s="529"/>
      <c r="K510" s="529"/>
      <c r="L510" s="529"/>
      <c r="M510" s="529"/>
      <c r="N510" s="529"/>
      <c r="O510" s="529"/>
      <c r="P510" s="562"/>
      <c r="Q510" s="529"/>
      <c r="R510" s="529"/>
      <c r="S510" s="529"/>
      <c r="T510" s="529"/>
      <c r="U510" s="529"/>
      <c r="V510" s="529"/>
      <c r="W510" s="529"/>
      <c r="X510" s="529"/>
      <c r="Y510" s="529"/>
      <c r="Z510" s="529"/>
      <c r="AA510" s="529"/>
      <c r="AB510" s="529"/>
      <c r="AC510" s="529"/>
      <c r="AD510" s="529"/>
      <c r="AE510" s="529"/>
      <c r="AF510" s="529"/>
      <c r="AG510" s="529"/>
      <c r="AH510" s="529"/>
      <c r="AI510" s="529"/>
      <c r="AJ510" s="529"/>
      <c r="AK510" s="529"/>
      <c r="AL510" s="529"/>
      <c r="AM510" s="529"/>
      <c r="AN510" s="529"/>
      <c r="AO510" s="529"/>
      <c r="AP510" s="529"/>
      <c r="AQ510" s="529"/>
      <c r="AR510" s="529"/>
      <c r="AS510" s="529"/>
      <c r="AT510" s="529"/>
      <c r="AU510" s="529"/>
      <c r="AV510" s="529"/>
      <c r="AW510" s="529"/>
      <c r="AX510" s="529"/>
      <c r="AY510" s="529"/>
      <c r="AZ510" s="529"/>
      <c r="BA510" s="529"/>
      <c r="BB510" s="529"/>
      <c r="BC510" s="529"/>
      <c r="BD510" s="529"/>
      <c r="BE510" s="529"/>
      <c r="BF510" s="529"/>
      <c r="BG510" s="529"/>
      <c r="BH510" s="529"/>
      <c r="BI510" s="529"/>
      <c r="BJ510" s="529"/>
      <c r="BK510" s="529"/>
      <c r="BL510" s="529"/>
      <c r="BM510" s="529"/>
      <c r="BN510" s="529"/>
      <c r="BO510" s="529"/>
      <c r="BP510" s="529"/>
      <c r="BQ510" s="529"/>
      <c r="BR510" s="529"/>
      <c r="BS510" s="529"/>
      <c r="BT510" s="529"/>
      <c r="BU510" s="529"/>
      <c r="BV510" s="529"/>
      <c r="BW510" s="529"/>
      <c r="BX510" s="529"/>
      <c r="BY510" s="529"/>
      <c r="BZ510" s="537"/>
      <c r="CA510" s="537"/>
      <c r="CB510" s="529"/>
    </row>
    <row r="511" spans="1:80" x14ac:dyDescent="0.3">
      <c r="A511" s="648"/>
      <c r="B511" s="648"/>
      <c r="C511" s="648" cm="1">
        <f t="array" ref="C511">SUMPRODUCT((Index_Tab!$D$36:$D$45=$B511)*(Index_Tab!$E$35:$F$35=$B$3)*Index_Tab!$E$36:$F$45)</f>
        <v>0</v>
      </c>
      <c r="D511" s="648"/>
      <c r="E511" s="570" t="s">
        <v>22</v>
      </c>
      <c r="F511" s="529"/>
      <c r="G511" s="529"/>
      <c r="H511" s="529"/>
      <c r="I511" s="529"/>
      <c r="J511" s="576"/>
      <c r="K511" s="529"/>
      <c r="L511" s="529"/>
      <c r="M511" s="529"/>
      <c r="N511" s="529"/>
      <c r="O511" s="529"/>
      <c r="P511" s="562"/>
      <c r="Q511" s="529"/>
      <c r="R511" s="529"/>
      <c r="S511" s="529"/>
      <c r="T511" s="529"/>
      <c r="U511" s="529"/>
      <c r="V511" s="529"/>
      <c r="W511" s="529"/>
      <c r="X511" s="529"/>
      <c r="Y511" s="529"/>
      <c r="Z511" s="529"/>
      <c r="AA511" s="529"/>
      <c r="AB511" s="529"/>
      <c r="AC511" s="529"/>
      <c r="AD511" s="529"/>
      <c r="AE511" s="529"/>
      <c r="AF511" s="529"/>
      <c r="AG511" s="529"/>
      <c r="AH511" s="529"/>
      <c r="AI511" s="529"/>
      <c r="AJ511" s="529"/>
      <c r="AK511" s="529"/>
      <c r="AL511" s="529"/>
      <c r="AM511" s="529"/>
      <c r="AN511" s="529"/>
      <c r="AO511" s="529"/>
      <c r="AP511" s="529"/>
      <c r="AQ511" s="529"/>
      <c r="AR511" s="529"/>
      <c r="AS511" s="529"/>
      <c r="AT511" s="529"/>
      <c r="AU511" s="529"/>
      <c r="AV511" s="529"/>
      <c r="AW511" s="529"/>
      <c r="AX511" s="529"/>
      <c r="AY511" s="529"/>
      <c r="AZ511" s="529"/>
      <c r="BA511" s="529"/>
      <c r="BB511" s="529"/>
      <c r="BC511" s="529"/>
      <c r="BD511" s="529"/>
      <c r="BE511" s="529"/>
      <c r="BF511" s="529"/>
      <c r="BG511" s="529"/>
      <c r="BH511" s="529"/>
      <c r="BI511" s="529"/>
      <c r="BJ511" s="529"/>
      <c r="BK511" s="529"/>
      <c r="BL511" s="529"/>
      <c r="BM511" s="529"/>
      <c r="BN511" s="529"/>
      <c r="BO511" s="529"/>
      <c r="BP511" s="529"/>
      <c r="BQ511" s="529"/>
      <c r="BR511" s="529"/>
      <c r="BS511" s="529"/>
      <c r="BT511" s="529"/>
      <c r="BU511" s="529"/>
      <c r="BV511" s="529"/>
      <c r="BW511" s="529"/>
      <c r="BX511" s="529"/>
      <c r="BY511" s="529"/>
      <c r="BZ511" s="537"/>
      <c r="CA511" s="537"/>
      <c r="CB511" s="529"/>
    </row>
    <row r="512" spans="1:80" x14ac:dyDescent="0.3">
      <c r="A512" s="648"/>
      <c r="B512" s="648" t="s">
        <v>0</v>
      </c>
      <c r="C512" s="648" cm="1">
        <f t="array" ref="C512">SUMPRODUCT((Index_Tab!$D$36:$D$45=$B512)*(Index_Tab!$E$35:$F$35=$B$3)*Index_Tab!$E$36:$F$45)</f>
        <v>0</v>
      </c>
      <c r="D512" s="648"/>
      <c r="E512" s="572" t="s">
        <v>388</v>
      </c>
      <c r="F512" s="573"/>
      <c r="G512" s="573"/>
      <c r="H512" s="529"/>
      <c r="I512" s="658">
        <v>2926030.0679637073</v>
      </c>
      <c r="J512" s="530">
        <f>J507*J509</f>
        <v>3035885.6767746871</v>
      </c>
      <c r="K512" s="530">
        <f>K507*K509</f>
        <v>3146787.6402406744</v>
      </c>
      <c r="L512" s="530">
        <f>L507*L509</f>
        <v>3257857.5399962082</v>
      </c>
      <c r="M512" s="530">
        <f>M507*M509</f>
        <v>3368367.158298932</v>
      </c>
      <c r="N512" s="530">
        <f>N507*N509</f>
        <v>3482677.3246697704</v>
      </c>
      <c r="O512" s="536"/>
      <c r="P512" s="568">
        <f>IFERROR(((N512/I512)^(1/5))-1,0)</f>
        <v>3.544465529132701E-2</v>
      </c>
      <c r="Q512" s="529"/>
      <c r="R512" s="530">
        <f>R507*R509</f>
        <v>252990.47306455727</v>
      </c>
      <c r="S512" s="530">
        <f t="shared" ref="S512:BY512" si="673">S507*S509</f>
        <v>252990.47306455727</v>
      </c>
      <c r="T512" s="530">
        <f t="shared" si="673"/>
        <v>252990.47306455727</v>
      </c>
      <c r="U512" s="530">
        <f t="shared" si="673"/>
        <v>252990.47306455727</v>
      </c>
      <c r="V512" s="530">
        <f t="shared" si="673"/>
        <v>252990.47306455727</v>
      </c>
      <c r="W512" s="530">
        <f t="shared" si="673"/>
        <v>252990.47306455727</v>
      </c>
      <c r="X512" s="530">
        <f t="shared" si="673"/>
        <v>252990.47306455727</v>
      </c>
      <c r="Y512" s="530">
        <f t="shared" si="673"/>
        <v>252990.47306455727</v>
      </c>
      <c r="Z512" s="530">
        <f t="shared" si="673"/>
        <v>252990.47306455727</v>
      </c>
      <c r="AA512" s="530">
        <f t="shared" si="673"/>
        <v>252990.47306455727</v>
      </c>
      <c r="AB512" s="530">
        <f t="shared" si="673"/>
        <v>252990.47306455727</v>
      </c>
      <c r="AC512" s="530">
        <f t="shared" si="673"/>
        <v>252990.47306455727</v>
      </c>
      <c r="AD512" s="530">
        <f t="shared" si="673"/>
        <v>262232.30335338955</v>
      </c>
      <c r="AE512" s="530">
        <f t="shared" si="673"/>
        <v>262232.30335338955</v>
      </c>
      <c r="AF512" s="530">
        <f t="shared" si="673"/>
        <v>262232.30335338955</v>
      </c>
      <c r="AG512" s="530">
        <f t="shared" si="673"/>
        <v>262232.30335338955</v>
      </c>
      <c r="AH512" s="530">
        <f t="shared" si="673"/>
        <v>262232.30335338955</v>
      </c>
      <c r="AI512" s="530">
        <f t="shared" si="673"/>
        <v>262232.30335338955</v>
      </c>
      <c r="AJ512" s="530">
        <f t="shared" si="673"/>
        <v>262232.30335338955</v>
      </c>
      <c r="AK512" s="530">
        <f t="shared" si="673"/>
        <v>262232.30335338955</v>
      </c>
      <c r="AL512" s="530">
        <f t="shared" si="673"/>
        <v>262232.30335338955</v>
      </c>
      <c r="AM512" s="530">
        <f t="shared" si="673"/>
        <v>262232.30335338955</v>
      </c>
      <c r="AN512" s="530">
        <f t="shared" si="673"/>
        <v>262232.30335338955</v>
      </c>
      <c r="AO512" s="530">
        <f t="shared" si="673"/>
        <v>262232.30335338955</v>
      </c>
      <c r="AP512" s="530">
        <f t="shared" si="673"/>
        <v>271488.12833301735</v>
      </c>
      <c r="AQ512" s="530">
        <f t="shared" si="673"/>
        <v>271488.12833301735</v>
      </c>
      <c r="AR512" s="530">
        <f t="shared" si="673"/>
        <v>271488.12833301735</v>
      </c>
      <c r="AS512" s="530">
        <f t="shared" si="673"/>
        <v>271488.12833301735</v>
      </c>
      <c r="AT512" s="530">
        <f t="shared" si="673"/>
        <v>271488.12833301735</v>
      </c>
      <c r="AU512" s="530">
        <f t="shared" si="673"/>
        <v>271488.12833301735</v>
      </c>
      <c r="AV512" s="530">
        <f t="shared" si="673"/>
        <v>271488.12833301735</v>
      </c>
      <c r="AW512" s="530">
        <f t="shared" si="673"/>
        <v>271488.12833301735</v>
      </c>
      <c r="AX512" s="530">
        <f t="shared" si="673"/>
        <v>271488.12833301735</v>
      </c>
      <c r="AY512" s="530">
        <f t="shared" si="673"/>
        <v>271488.12833301735</v>
      </c>
      <c r="AZ512" s="530">
        <f t="shared" si="673"/>
        <v>271488.12833301735</v>
      </c>
      <c r="BA512" s="530">
        <f t="shared" si="673"/>
        <v>271488.12833301735</v>
      </c>
      <c r="BB512" s="530">
        <f t="shared" si="673"/>
        <v>280697.26319157769</v>
      </c>
      <c r="BC512" s="530">
        <f t="shared" si="673"/>
        <v>280697.26319157769</v>
      </c>
      <c r="BD512" s="530">
        <f t="shared" si="673"/>
        <v>280697.26319157769</v>
      </c>
      <c r="BE512" s="530">
        <f t="shared" si="673"/>
        <v>280697.26319157769</v>
      </c>
      <c r="BF512" s="530">
        <f t="shared" si="673"/>
        <v>280697.26319157769</v>
      </c>
      <c r="BG512" s="530">
        <f t="shared" si="673"/>
        <v>280697.26319157769</v>
      </c>
      <c r="BH512" s="530">
        <f t="shared" si="673"/>
        <v>280697.26319157769</v>
      </c>
      <c r="BI512" s="530">
        <f t="shared" si="673"/>
        <v>280697.26319157769</v>
      </c>
      <c r="BJ512" s="530">
        <f t="shared" si="673"/>
        <v>280697.26319157769</v>
      </c>
      <c r="BK512" s="530">
        <f t="shared" si="673"/>
        <v>280697.26319157769</v>
      </c>
      <c r="BL512" s="530">
        <f t="shared" si="673"/>
        <v>280697.26319157769</v>
      </c>
      <c r="BM512" s="530">
        <f t="shared" si="673"/>
        <v>280697.26319157769</v>
      </c>
      <c r="BN512" s="530">
        <f t="shared" si="673"/>
        <v>290223.11038914754</v>
      </c>
      <c r="BO512" s="530">
        <f t="shared" si="673"/>
        <v>290223.11038914754</v>
      </c>
      <c r="BP512" s="530">
        <f t="shared" si="673"/>
        <v>290223.11038914754</v>
      </c>
      <c r="BQ512" s="530">
        <f t="shared" si="673"/>
        <v>290223.11038914754</v>
      </c>
      <c r="BR512" s="530">
        <f t="shared" si="673"/>
        <v>290223.11038914754</v>
      </c>
      <c r="BS512" s="530">
        <f t="shared" si="673"/>
        <v>290223.11038914754</v>
      </c>
      <c r="BT512" s="530">
        <f t="shared" si="673"/>
        <v>290223.11038914754</v>
      </c>
      <c r="BU512" s="530">
        <f t="shared" si="673"/>
        <v>290223.11038914754</v>
      </c>
      <c r="BV512" s="530">
        <f t="shared" si="673"/>
        <v>290223.11038914754</v>
      </c>
      <c r="BW512" s="530">
        <f t="shared" si="673"/>
        <v>290223.11038914754</v>
      </c>
      <c r="BX512" s="530">
        <f t="shared" si="673"/>
        <v>290223.11038914754</v>
      </c>
      <c r="BY512" s="530">
        <f t="shared" si="673"/>
        <v>290223.11038914754</v>
      </c>
      <c r="BZ512" s="537"/>
      <c r="CA512" s="537"/>
      <c r="CB512" s="529"/>
    </row>
    <row r="513" spans="1:80" x14ac:dyDescent="0.3">
      <c r="A513" s="648"/>
      <c r="B513" s="648" t="s">
        <v>1</v>
      </c>
      <c r="C513" s="648" cm="1">
        <f t="array" ref="C513">SUMPRODUCT((Index_Tab!$D$36:$D$45=$B513)*(Index_Tab!$E$35:$F$35=$B$3)*Index_Tab!$E$36:$F$45)</f>
        <v>7</v>
      </c>
      <c r="D513" s="648"/>
      <c r="E513" s="525" t="s">
        <v>387</v>
      </c>
      <c r="F513" s="567"/>
      <c r="G513" s="567"/>
      <c r="H513" s="529"/>
      <c r="I513" s="544">
        <v>-986312.26475853589</v>
      </c>
      <c r="J513" s="657" cm="1">
        <f t="array" ref="J513">((((I513/I$507+'Detailed Assumptions'!$E$29)*(1+INDEX(('Detailed Assumptions'!$D$59:$J$79,'Detailed Assumptions'!$L$59:$R$79,'Detailed Assumptions'!$T$59:$Z$79,'Detailed Assumptions'!$AB$59:$AH$79),$C513,J$2,$C$506))))-'Detailed Assumptions'!$E$29)*J$507</f>
        <v>-996696.22856639803</v>
      </c>
      <c r="K513" s="657" cm="1">
        <f t="array" ref="K513">((((J513/J$507+'Detailed Assumptions'!$E$29)*(1+INDEX(('Detailed Assumptions'!$D$59:$J$79,'Detailed Assumptions'!$L$59:$R$79,'Detailed Assumptions'!$T$59:$Z$79,'Detailed Assumptions'!$AB$59:$AH$79),$C513,K$2,$C$506))))-'Detailed Assumptions'!$E$29)*K$507</f>
        <v>-1007287.8716504172</v>
      </c>
      <c r="L513" s="657" cm="1">
        <f t="array" ref="L513">((((K513/K$507+'Detailed Assumptions'!$E$29)*(1+INDEX(('Detailed Assumptions'!$D$59:$J$79,'Detailed Assumptions'!$L$59:$R$79,'Detailed Assumptions'!$T$59:$Z$79,'Detailed Assumptions'!$AB$59:$AH$79),$C513,L$2,$C$506))))-'Detailed Assumptions'!$E$29)*L$507</f>
        <v>-1018091.3475961167</v>
      </c>
      <c r="M513" s="657" cm="1">
        <f t="array" ref="M513">((((L513/L$507+'Detailed Assumptions'!$E$29)*(1+INDEX(('Detailed Assumptions'!$D$59:$J$79,'Detailed Assumptions'!$L$59:$R$79,'Detailed Assumptions'!$T$59:$Z$79,'Detailed Assumptions'!$AB$59:$AH$79),$C513,M$2,$C$506))))-'Detailed Assumptions'!$E$29)*M$507</f>
        <v>-1029110.8930607302</v>
      </c>
      <c r="N513" s="657" cm="1">
        <f t="array" ref="N513">((((M513/M$507+'Detailed Assumptions'!$E$29)*(1+INDEX(('Detailed Assumptions'!$D$59:$J$79,'Detailed Assumptions'!$L$59:$R$79,'Detailed Assumptions'!$T$59:$Z$79,'Detailed Assumptions'!$AB$59:$AH$79),$C513,N$2,$C$506))))-'Detailed Assumptions'!$E$29)*N$507</f>
        <v>-1040350.829434636</v>
      </c>
      <c r="O513" s="529"/>
      <c r="P513" s="564">
        <f t="shared" ref="P513:P518" si="674">IFERROR(((N513/I513)^(1/5))-1,0)</f>
        <v>1.0725160224260399E-2</v>
      </c>
      <c r="Q513" s="529"/>
      <c r="R513" s="527">
        <f t="shared" ref="R513:AG514" si="675">(INDEX($I513:$N513,MATCH(R$2,$I$3:$N$3,0)))/12</f>
        <v>-83058.019047199836</v>
      </c>
      <c r="S513" s="527">
        <f t="shared" si="675"/>
        <v>-83058.019047199836</v>
      </c>
      <c r="T513" s="527">
        <f t="shared" si="675"/>
        <v>-83058.019047199836</v>
      </c>
      <c r="U513" s="527">
        <f t="shared" si="675"/>
        <v>-83058.019047199836</v>
      </c>
      <c r="V513" s="527">
        <f t="shared" si="675"/>
        <v>-83058.019047199836</v>
      </c>
      <c r="W513" s="527">
        <f t="shared" si="675"/>
        <v>-83058.019047199836</v>
      </c>
      <c r="X513" s="527">
        <f t="shared" si="675"/>
        <v>-83058.019047199836</v>
      </c>
      <c r="Y513" s="527">
        <f t="shared" si="675"/>
        <v>-83058.019047199836</v>
      </c>
      <c r="Z513" s="527">
        <f t="shared" si="675"/>
        <v>-83058.019047199836</v>
      </c>
      <c r="AA513" s="527">
        <f t="shared" si="675"/>
        <v>-83058.019047199836</v>
      </c>
      <c r="AB513" s="527">
        <f t="shared" si="675"/>
        <v>-83058.019047199836</v>
      </c>
      <c r="AC513" s="527">
        <f t="shared" si="675"/>
        <v>-83058.019047199836</v>
      </c>
      <c r="AD513" s="527">
        <f t="shared" si="675"/>
        <v>-83940.655970868102</v>
      </c>
      <c r="AE513" s="527">
        <f t="shared" si="675"/>
        <v>-83940.655970868102</v>
      </c>
      <c r="AF513" s="527">
        <f t="shared" si="675"/>
        <v>-83940.655970868102</v>
      </c>
      <c r="AG513" s="527">
        <f t="shared" si="675"/>
        <v>-83940.655970868102</v>
      </c>
      <c r="AH513" s="527">
        <f t="shared" ref="AH513:AW514" si="676">(INDEX($I513:$N513,MATCH(AH$2,$I$3:$N$3,0)))/12</f>
        <v>-83940.655970868102</v>
      </c>
      <c r="AI513" s="527">
        <f t="shared" si="676"/>
        <v>-83940.655970868102</v>
      </c>
      <c r="AJ513" s="527">
        <f t="shared" si="676"/>
        <v>-83940.655970868102</v>
      </c>
      <c r="AK513" s="527">
        <f t="shared" si="676"/>
        <v>-83940.655970868102</v>
      </c>
      <c r="AL513" s="527">
        <f t="shared" si="676"/>
        <v>-83940.655970868102</v>
      </c>
      <c r="AM513" s="527">
        <f t="shared" si="676"/>
        <v>-83940.655970868102</v>
      </c>
      <c r="AN513" s="527">
        <f t="shared" si="676"/>
        <v>-83940.655970868102</v>
      </c>
      <c r="AO513" s="527">
        <f t="shared" si="676"/>
        <v>-83940.655970868102</v>
      </c>
      <c r="AP513" s="527">
        <f t="shared" si="676"/>
        <v>-84840.945633009731</v>
      </c>
      <c r="AQ513" s="527">
        <f t="shared" si="676"/>
        <v>-84840.945633009731</v>
      </c>
      <c r="AR513" s="527">
        <f t="shared" si="676"/>
        <v>-84840.945633009731</v>
      </c>
      <c r="AS513" s="527">
        <f t="shared" si="676"/>
        <v>-84840.945633009731</v>
      </c>
      <c r="AT513" s="527">
        <f t="shared" si="676"/>
        <v>-84840.945633009731</v>
      </c>
      <c r="AU513" s="527">
        <f t="shared" si="676"/>
        <v>-84840.945633009731</v>
      </c>
      <c r="AV513" s="527">
        <f t="shared" si="676"/>
        <v>-84840.945633009731</v>
      </c>
      <c r="AW513" s="527">
        <f t="shared" si="676"/>
        <v>-84840.945633009731</v>
      </c>
      <c r="AX513" s="527">
        <f t="shared" ref="AX513:BM514" si="677">(INDEX($I513:$N513,MATCH(AX$2,$I$3:$N$3,0)))/12</f>
        <v>-84840.945633009731</v>
      </c>
      <c r="AY513" s="527">
        <f t="shared" si="677"/>
        <v>-84840.945633009731</v>
      </c>
      <c r="AZ513" s="527">
        <f t="shared" si="677"/>
        <v>-84840.945633009731</v>
      </c>
      <c r="BA513" s="527">
        <f t="shared" si="677"/>
        <v>-84840.945633009731</v>
      </c>
      <c r="BB513" s="527">
        <f t="shared" si="677"/>
        <v>-85759.241088394177</v>
      </c>
      <c r="BC513" s="527">
        <f t="shared" si="677"/>
        <v>-85759.241088394177</v>
      </c>
      <c r="BD513" s="527">
        <f t="shared" si="677"/>
        <v>-85759.241088394177</v>
      </c>
      <c r="BE513" s="527">
        <f t="shared" si="677"/>
        <v>-85759.241088394177</v>
      </c>
      <c r="BF513" s="527">
        <f t="shared" si="677"/>
        <v>-85759.241088394177</v>
      </c>
      <c r="BG513" s="527">
        <f t="shared" si="677"/>
        <v>-85759.241088394177</v>
      </c>
      <c r="BH513" s="527">
        <f t="shared" si="677"/>
        <v>-85759.241088394177</v>
      </c>
      <c r="BI513" s="527">
        <f t="shared" si="677"/>
        <v>-85759.241088394177</v>
      </c>
      <c r="BJ513" s="527">
        <f t="shared" si="677"/>
        <v>-85759.241088394177</v>
      </c>
      <c r="BK513" s="527">
        <f t="shared" si="677"/>
        <v>-85759.241088394177</v>
      </c>
      <c r="BL513" s="527">
        <f t="shared" si="677"/>
        <v>-85759.241088394177</v>
      </c>
      <c r="BM513" s="527">
        <f t="shared" si="677"/>
        <v>-85759.241088394177</v>
      </c>
      <c r="BN513" s="527">
        <f t="shared" ref="BN513:BY514" si="678">(INDEX($I513:$N513,MATCH(BN$2,$I$3:$N$3,0)))/12</f>
        <v>-86695.902452886337</v>
      </c>
      <c r="BO513" s="527">
        <f t="shared" si="678"/>
        <v>-86695.902452886337</v>
      </c>
      <c r="BP513" s="527">
        <f t="shared" si="678"/>
        <v>-86695.902452886337</v>
      </c>
      <c r="BQ513" s="527">
        <f t="shared" si="678"/>
        <v>-86695.902452886337</v>
      </c>
      <c r="BR513" s="527">
        <f t="shared" si="678"/>
        <v>-86695.902452886337</v>
      </c>
      <c r="BS513" s="527">
        <f t="shared" si="678"/>
        <v>-86695.902452886337</v>
      </c>
      <c r="BT513" s="527">
        <f t="shared" si="678"/>
        <v>-86695.902452886337</v>
      </c>
      <c r="BU513" s="527">
        <f t="shared" si="678"/>
        <v>-86695.902452886337</v>
      </c>
      <c r="BV513" s="527">
        <f t="shared" si="678"/>
        <v>-86695.902452886337</v>
      </c>
      <c r="BW513" s="527">
        <f t="shared" si="678"/>
        <v>-86695.902452886337</v>
      </c>
      <c r="BX513" s="527">
        <f t="shared" si="678"/>
        <v>-86695.902452886337</v>
      </c>
      <c r="BY513" s="527">
        <f t="shared" si="678"/>
        <v>-86695.902452886337</v>
      </c>
      <c r="BZ513" s="537"/>
      <c r="CA513" s="537"/>
      <c r="CB513" s="529"/>
    </row>
    <row r="514" spans="1:80" x14ac:dyDescent="0.3">
      <c r="A514" s="648"/>
      <c r="B514" s="648" t="s">
        <v>2</v>
      </c>
      <c r="C514" s="648" cm="1">
        <f t="array" ref="C514">SUMPRODUCT((Index_Tab!$D$36:$D$45=$B514)*(Index_Tab!$E$35:$F$35=$B$3)*Index_Tab!$E$36:$F$45)</f>
        <v>0</v>
      </c>
      <c r="D514" s="648"/>
      <c r="E514" s="525" t="s">
        <v>386</v>
      </c>
      <c r="F514" s="567"/>
      <c r="G514" s="567"/>
      <c r="H514" s="529"/>
      <c r="I514" s="544">
        <v>-201261.87129490168</v>
      </c>
      <c r="J514" s="657">
        <f>((I514/I$507)*(1+'Detailed Assumptions'!F$44))*J$507</f>
        <v>-205287.1087207997</v>
      </c>
      <c r="K514" s="657">
        <f>((J514/J$507)*(1+'Detailed Assumptions'!G$44))*K$507</f>
        <v>-209392.8508952157</v>
      </c>
      <c r="L514" s="657">
        <f>((K514/K$507)*(1+'Detailed Assumptions'!H$44))*L$507</f>
        <v>-213580.70791312002</v>
      </c>
      <c r="M514" s="657">
        <f>((L514/L$507)*(1+'Detailed Assumptions'!I$44))*M$507</f>
        <v>-217852.3220713824</v>
      </c>
      <c r="N514" s="657">
        <f>((M514/M$507)*(1+'Detailed Assumptions'!J$44))*N$507</f>
        <v>-222209.36851281006</v>
      </c>
      <c r="O514" s="529"/>
      <c r="P514" s="564">
        <f t="shared" si="674"/>
        <v>2.0000000000000018E-2</v>
      </c>
      <c r="Q514" s="529"/>
      <c r="R514" s="527">
        <f t="shared" si="675"/>
        <v>-17107.259060066641</v>
      </c>
      <c r="S514" s="527">
        <f t="shared" si="675"/>
        <v>-17107.259060066641</v>
      </c>
      <c r="T514" s="527">
        <f t="shared" si="675"/>
        <v>-17107.259060066641</v>
      </c>
      <c r="U514" s="527">
        <f t="shared" si="675"/>
        <v>-17107.259060066641</v>
      </c>
      <c r="V514" s="527">
        <f t="shared" si="675"/>
        <v>-17107.259060066641</v>
      </c>
      <c r="W514" s="527">
        <f t="shared" si="675"/>
        <v>-17107.259060066641</v>
      </c>
      <c r="X514" s="527">
        <f t="shared" si="675"/>
        <v>-17107.259060066641</v>
      </c>
      <c r="Y514" s="527">
        <f t="shared" si="675"/>
        <v>-17107.259060066641</v>
      </c>
      <c r="Z514" s="527">
        <f t="shared" si="675"/>
        <v>-17107.259060066641</v>
      </c>
      <c r="AA514" s="527">
        <f t="shared" si="675"/>
        <v>-17107.259060066641</v>
      </c>
      <c r="AB514" s="527">
        <f t="shared" si="675"/>
        <v>-17107.259060066641</v>
      </c>
      <c r="AC514" s="527">
        <f t="shared" si="675"/>
        <v>-17107.259060066641</v>
      </c>
      <c r="AD514" s="527">
        <f t="shared" si="675"/>
        <v>-17449.404241267974</v>
      </c>
      <c r="AE514" s="527">
        <f t="shared" si="675"/>
        <v>-17449.404241267974</v>
      </c>
      <c r="AF514" s="527">
        <f t="shared" si="675"/>
        <v>-17449.404241267974</v>
      </c>
      <c r="AG514" s="527">
        <f t="shared" si="675"/>
        <v>-17449.404241267974</v>
      </c>
      <c r="AH514" s="527">
        <f t="shared" si="676"/>
        <v>-17449.404241267974</v>
      </c>
      <c r="AI514" s="527">
        <f t="shared" si="676"/>
        <v>-17449.404241267974</v>
      </c>
      <c r="AJ514" s="527">
        <f t="shared" si="676"/>
        <v>-17449.404241267974</v>
      </c>
      <c r="AK514" s="527">
        <f t="shared" si="676"/>
        <v>-17449.404241267974</v>
      </c>
      <c r="AL514" s="527">
        <f t="shared" si="676"/>
        <v>-17449.404241267974</v>
      </c>
      <c r="AM514" s="527">
        <f t="shared" si="676"/>
        <v>-17449.404241267974</v>
      </c>
      <c r="AN514" s="527">
        <f t="shared" si="676"/>
        <v>-17449.404241267974</v>
      </c>
      <c r="AO514" s="527">
        <f t="shared" si="676"/>
        <v>-17449.404241267974</v>
      </c>
      <c r="AP514" s="527">
        <f t="shared" si="676"/>
        <v>-17798.392326093333</v>
      </c>
      <c r="AQ514" s="527">
        <f t="shared" si="676"/>
        <v>-17798.392326093333</v>
      </c>
      <c r="AR514" s="527">
        <f t="shared" si="676"/>
        <v>-17798.392326093333</v>
      </c>
      <c r="AS514" s="527">
        <f t="shared" si="676"/>
        <v>-17798.392326093333</v>
      </c>
      <c r="AT514" s="527">
        <f t="shared" si="676"/>
        <v>-17798.392326093333</v>
      </c>
      <c r="AU514" s="527">
        <f t="shared" si="676"/>
        <v>-17798.392326093333</v>
      </c>
      <c r="AV514" s="527">
        <f t="shared" si="676"/>
        <v>-17798.392326093333</v>
      </c>
      <c r="AW514" s="527">
        <f t="shared" si="676"/>
        <v>-17798.392326093333</v>
      </c>
      <c r="AX514" s="527">
        <f t="shared" si="677"/>
        <v>-17798.392326093333</v>
      </c>
      <c r="AY514" s="527">
        <f t="shared" si="677"/>
        <v>-17798.392326093333</v>
      </c>
      <c r="AZ514" s="527">
        <f t="shared" si="677"/>
        <v>-17798.392326093333</v>
      </c>
      <c r="BA514" s="527">
        <f t="shared" si="677"/>
        <v>-17798.392326093333</v>
      </c>
      <c r="BB514" s="527">
        <f t="shared" si="677"/>
        <v>-18154.360172615201</v>
      </c>
      <c r="BC514" s="527">
        <f t="shared" si="677"/>
        <v>-18154.360172615201</v>
      </c>
      <c r="BD514" s="527">
        <f t="shared" si="677"/>
        <v>-18154.360172615201</v>
      </c>
      <c r="BE514" s="527">
        <f t="shared" si="677"/>
        <v>-18154.360172615201</v>
      </c>
      <c r="BF514" s="527">
        <f t="shared" si="677"/>
        <v>-18154.360172615201</v>
      </c>
      <c r="BG514" s="527">
        <f t="shared" si="677"/>
        <v>-18154.360172615201</v>
      </c>
      <c r="BH514" s="527">
        <f t="shared" si="677"/>
        <v>-18154.360172615201</v>
      </c>
      <c r="BI514" s="527">
        <f t="shared" si="677"/>
        <v>-18154.360172615201</v>
      </c>
      <c r="BJ514" s="527">
        <f t="shared" si="677"/>
        <v>-18154.360172615201</v>
      </c>
      <c r="BK514" s="527">
        <f t="shared" si="677"/>
        <v>-18154.360172615201</v>
      </c>
      <c r="BL514" s="527">
        <f t="shared" si="677"/>
        <v>-18154.360172615201</v>
      </c>
      <c r="BM514" s="527">
        <f t="shared" si="677"/>
        <v>-18154.360172615201</v>
      </c>
      <c r="BN514" s="527">
        <f t="shared" si="678"/>
        <v>-18517.447376067506</v>
      </c>
      <c r="BO514" s="527">
        <f t="shared" si="678"/>
        <v>-18517.447376067506</v>
      </c>
      <c r="BP514" s="527">
        <f t="shared" si="678"/>
        <v>-18517.447376067506</v>
      </c>
      <c r="BQ514" s="527">
        <f t="shared" si="678"/>
        <v>-18517.447376067506</v>
      </c>
      <c r="BR514" s="527">
        <f t="shared" si="678"/>
        <v>-18517.447376067506</v>
      </c>
      <c r="BS514" s="527">
        <f t="shared" si="678"/>
        <v>-18517.447376067506</v>
      </c>
      <c r="BT514" s="527">
        <f t="shared" si="678"/>
        <v>-18517.447376067506</v>
      </c>
      <c r="BU514" s="527">
        <f t="shared" si="678"/>
        <v>-18517.447376067506</v>
      </c>
      <c r="BV514" s="527">
        <f t="shared" si="678"/>
        <v>-18517.447376067506</v>
      </c>
      <c r="BW514" s="527">
        <f t="shared" si="678"/>
        <v>-18517.447376067506</v>
      </c>
      <c r="BX514" s="527">
        <f t="shared" si="678"/>
        <v>-18517.447376067506</v>
      </c>
      <c r="BY514" s="527">
        <f t="shared" si="678"/>
        <v>-18517.447376067506</v>
      </c>
      <c r="BZ514" s="537"/>
      <c r="CA514" s="537"/>
      <c r="CB514" s="529"/>
    </row>
    <row r="515" spans="1:80" x14ac:dyDescent="0.3">
      <c r="A515" s="648"/>
      <c r="B515" s="648" t="s">
        <v>3</v>
      </c>
      <c r="C515" s="648" cm="1">
        <f t="array" ref="C515">SUMPRODUCT((Index_Tab!$D$36:$D$45=$B515)*(Index_Tab!$E$35:$F$35=$B$3)*Index_Tab!$E$36:$F$45)</f>
        <v>0</v>
      </c>
      <c r="D515" s="648"/>
      <c r="E515" s="572" t="s">
        <v>385</v>
      </c>
      <c r="F515" s="573"/>
      <c r="G515" s="573"/>
      <c r="H515" s="529"/>
      <c r="I515" s="659">
        <v>1622133.2100000002</v>
      </c>
      <c r="J515" s="532">
        <f>SUM(J512:J514)</f>
        <v>1833902.3394874895</v>
      </c>
      <c r="K515" s="532">
        <f>SUM(K512:K514)</f>
        <v>1930106.9176950413</v>
      </c>
      <c r="L515" s="532">
        <f>SUM(L512:L514)</f>
        <v>2026185.4844869713</v>
      </c>
      <c r="M515" s="532">
        <f>SUM(M512:M514)</f>
        <v>2121403.9431668194</v>
      </c>
      <c r="N515" s="530">
        <f>SUM(N512:N514)</f>
        <v>2220117.1267223242</v>
      </c>
      <c r="O515" s="536"/>
      <c r="P515" s="568">
        <f t="shared" si="674"/>
        <v>6.4775070014183589E-2</v>
      </c>
      <c r="Q515" s="529"/>
      <c r="R515" s="532">
        <f>SUM(R512:R514)</f>
        <v>152825.19495729081</v>
      </c>
      <c r="S515" s="532">
        <f t="shared" ref="S515:BY515" si="679">SUM(S512:S514)</f>
        <v>152825.19495729081</v>
      </c>
      <c r="T515" s="532">
        <f t="shared" si="679"/>
        <v>152825.19495729081</v>
      </c>
      <c r="U515" s="532">
        <f t="shared" si="679"/>
        <v>152825.19495729081</v>
      </c>
      <c r="V515" s="532">
        <f t="shared" si="679"/>
        <v>152825.19495729081</v>
      </c>
      <c r="W515" s="532">
        <f t="shared" si="679"/>
        <v>152825.19495729081</v>
      </c>
      <c r="X515" s="532">
        <f t="shared" si="679"/>
        <v>152825.19495729081</v>
      </c>
      <c r="Y515" s="532">
        <f t="shared" si="679"/>
        <v>152825.19495729081</v>
      </c>
      <c r="Z515" s="532">
        <f t="shared" si="679"/>
        <v>152825.19495729081</v>
      </c>
      <c r="AA515" s="532">
        <f t="shared" si="679"/>
        <v>152825.19495729081</v>
      </c>
      <c r="AB515" s="532">
        <f t="shared" si="679"/>
        <v>152825.19495729081</v>
      </c>
      <c r="AC515" s="532">
        <f t="shared" si="679"/>
        <v>152825.19495729081</v>
      </c>
      <c r="AD515" s="532">
        <f t="shared" si="679"/>
        <v>160842.24314125348</v>
      </c>
      <c r="AE515" s="532">
        <f t="shared" si="679"/>
        <v>160842.24314125348</v>
      </c>
      <c r="AF515" s="532">
        <f t="shared" si="679"/>
        <v>160842.24314125348</v>
      </c>
      <c r="AG515" s="532">
        <f t="shared" si="679"/>
        <v>160842.24314125348</v>
      </c>
      <c r="AH515" s="532">
        <f t="shared" si="679"/>
        <v>160842.24314125348</v>
      </c>
      <c r="AI515" s="532">
        <f t="shared" si="679"/>
        <v>160842.24314125348</v>
      </c>
      <c r="AJ515" s="532">
        <f t="shared" si="679"/>
        <v>160842.24314125348</v>
      </c>
      <c r="AK515" s="532">
        <f t="shared" si="679"/>
        <v>160842.24314125348</v>
      </c>
      <c r="AL515" s="532">
        <f t="shared" si="679"/>
        <v>160842.24314125348</v>
      </c>
      <c r="AM515" s="532">
        <f t="shared" si="679"/>
        <v>160842.24314125348</v>
      </c>
      <c r="AN515" s="532">
        <f t="shared" si="679"/>
        <v>160842.24314125348</v>
      </c>
      <c r="AO515" s="532">
        <f t="shared" si="679"/>
        <v>160842.24314125348</v>
      </c>
      <c r="AP515" s="532">
        <f t="shared" si="679"/>
        <v>168848.79037391429</v>
      </c>
      <c r="AQ515" s="532">
        <f t="shared" si="679"/>
        <v>168848.79037391429</v>
      </c>
      <c r="AR515" s="532">
        <f t="shared" si="679"/>
        <v>168848.79037391429</v>
      </c>
      <c r="AS515" s="532">
        <f t="shared" si="679"/>
        <v>168848.79037391429</v>
      </c>
      <c r="AT515" s="532">
        <f t="shared" si="679"/>
        <v>168848.79037391429</v>
      </c>
      <c r="AU515" s="532">
        <f t="shared" si="679"/>
        <v>168848.79037391429</v>
      </c>
      <c r="AV515" s="532">
        <f t="shared" si="679"/>
        <v>168848.79037391429</v>
      </c>
      <c r="AW515" s="532">
        <f t="shared" si="679"/>
        <v>168848.79037391429</v>
      </c>
      <c r="AX515" s="532">
        <f t="shared" si="679"/>
        <v>168848.79037391429</v>
      </c>
      <c r="AY515" s="532">
        <f t="shared" si="679"/>
        <v>168848.79037391429</v>
      </c>
      <c r="AZ515" s="532">
        <f t="shared" si="679"/>
        <v>168848.79037391429</v>
      </c>
      <c r="BA515" s="532">
        <f t="shared" si="679"/>
        <v>168848.79037391429</v>
      </c>
      <c r="BB515" s="532">
        <f t="shared" si="679"/>
        <v>176783.66193056828</v>
      </c>
      <c r="BC515" s="532">
        <f t="shared" si="679"/>
        <v>176783.66193056828</v>
      </c>
      <c r="BD515" s="532">
        <f t="shared" si="679"/>
        <v>176783.66193056828</v>
      </c>
      <c r="BE515" s="532">
        <f t="shared" si="679"/>
        <v>176783.66193056828</v>
      </c>
      <c r="BF515" s="532">
        <f t="shared" si="679"/>
        <v>176783.66193056828</v>
      </c>
      <c r="BG515" s="532">
        <f t="shared" si="679"/>
        <v>176783.66193056828</v>
      </c>
      <c r="BH515" s="532">
        <f t="shared" si="679"/>
        <v>176783.66193056828</v>
      </c>
      <c r="BI515" s="532">
        <f t="shared" si="679"/>
        <v>176783.66193056828</v>
      </c>
      <c r="BJ515" s="532">
        <f t="shared" si="679"/>
        <v>176783.66193056828</v>
      </c>
      <c r="BK515" s="532">
        <f t="shared" si="679"/>
        <v>176783.66193056828</v>
      </c>
      <c r="BL515" s="532">
        <f t="shared" si="679"/>
        <v>176783.66193056828</v>
      </c>
      <c r="BM515" s="532">
        <f t="shared" si="679"/>
        <v>176783.66193056828</v>
      </c>
      <c r="BN515" s="532">
        <f t="shared" si="679"/>
        <v>185009.76056019368</v>
      </c>
      <c r="BO515" s="532">
        <f t="shared" si="679"/>
        <v>185009.76056019368</v>
      </c>
      <c r="BP515" s="532">
        <f t="shared" si="679"/>
        <v>185009.76056019368</v>
      </c>
      <c r="BQ515" s="532">
        <f t="shared" si="679"/>
        <v>185009.76056019368</v>
      </c>
      <c r="BR515" s="532">
        <f t="shared" si="679"/>
        <v>185009.76056019368</v>
      </c>
      <c r="BS515" s="532">
        <f t="shared" si="679"/>
        <v>185009.76056019368</v>
      </c>
      <c r="BT515" s="532">
        <f t="shared" si="679"/>
        <v>185009.76056019368</v>
      </c>
      <c r="BU515" s="532">
        <f t="shared" si="679"/>
        <v>185009.76056019368</v>
      </c>
      <c r="BV515" s="532">
        <f t="shared" si="679"/>
        <v>185009.76056019368</v>
      </c>
      <c r="BW515" s="532">
        <f t="shared" si="679"/>
        <v>185009.76056019368</v>
      </c>
      <c r="BX515" s="532">
        <f t="shared" si="679"/>
        <v>185009.76056019368</v>
      </c>
      <c r="BY515" s="532">
        <f t="shared" si="679"/>
        <v>185009.76056019368</v>
      </c>
      <c r="BZ515" s="537"/>
      <c r="CA515" s="537"/>
      <c r="CB515" s="529"/>
    </row>
    <row r="516" spans="1:80" x14ac:dyDescent="0.3">
      <c r="A516" s="648"/>
      <c r="B516" s="648" t="s">
        <v>4</v>
      </c>
      <c r="C516" s="648" cm="1">
        <f t="array" ref="C516">SUMPRODUCT((Index_Tab!$D$36:$D$45=$B516)*(Index_Tab!$E$35:$F$35=$B$3)*Index_Tab!$E$36:$F$45)</f>
        <v>8</v>
      </c>
      <c r="D516" s="648"/>
      <c r="E516" s="525" t="s">
        <v>389</v>
      </c>
      <c r="F516" s="567"/>
      <c r="G516" s="567"/>
      <c r="H516" s="529"/>
      <c r="I516" s="544">
        <v>-399343.02772398229</v>
      </c>
      <c r="J516" s="657" cm="1">
        <f t="array" ref="J516">((I516/I$507)*(1+INDEX(('Detailed Assumptions'!$D$59:$J$79,'Detailed Assumptions'!$L$59:$R$79,'Detailed Assumptions'!$T$59:$Z$79,'Detailed Assumptions'!$AB$59:$AH$79),$C516,J$2,$C$506)))*J$507</f>
        <v>-417184.25188505684</v>
      </c>
      <c r="K516" s="657" cm="1">
        <f t="array" ref="K516">((J516/J$507)*(1+INDEX(('Detailed Assumptions'!$D$59:$J$79,'Detailed Assumptions'!$L$59:$R$79,'Detailed Assumptions'!$T$59:$Z$79,'Detailed Assumptions'!$AB$59:$AH$79),$C516,K$2,$C$506)))*K$507</f>
        <v>-435195.41045507084</v>
      </c>
      <c r="L516" s="657" cm="1">
        <f t="array" ref="L516">((K516/K$507)*(1+INDEX(('Detailed Assumptions'!$D$59:$J$79,'Detailed Assumptions'!$L$59:$R$79,'Detailed Assumptions'!$T$59:$Z$79,'Detailed Assumptions'!$AB$59:$AH$79),$C516,L$2,$C$506)))*L$507</f>
        <v>-453233.84290776594</v>
      </c>
      <c r="M516" s="657" cm="1">
        <f t="array" ref="M516">((L516/L$507)*(1+INDEX(('Detailed Assumptions'!$D$59:$J$79,'Detailed Assumptions'!$L$59:$R$79,'Detailed Assumptions'!$T$59:$Z$79,'Detailed Assumptions'!$AB$59:$AH$79),$C516,M$2,$C$506)))*M$507</f>
        <v>-471181.28221863555</v>
      </c>
      <c r="N516" s="657" cm="1">
        <f t="array" ref="N516">((M516/M$507)*(1+INDEX(('Detailed Assumptions'!$D$59:$J$79,'Detailed Assumptions'!$L$59:$R$79,'Detailed Assumptions'!$T$59:$Z$79,'Detailed Assumptions'!$AB$59:$AH$79),$C516,N$2,$C$506)))*N$507</f>
        <v>-489745.95382881199</v>
      </c>
      <c r="O516" s="529"/>
      <c r="P516" s="564">
        <f t="shared" si="674"/>
        <v>4.165751177604271E-2</v>
      </c>
      <c r="Q516" s="529"/>
      <c r="R516" s="527">
        <f t="shared" ref="R516:BY516" si="680">(INDEX($I516:$N516,MATCH(R$2,$I$3:$N$3,0)))/12</f>
        <v>-34765.354323754735</v>
      </c>
      <c r="S516" s="527">
        <f t="shared" si="680"/>
        <v>-34765.354323754735</v>
      </c>
      <c r="T516" s="527">
        <f t="shared" si="680"/>
        <v>-34765.354323754735</v>
      </c>
      <c r="U516" s="527">
        <f t="shared" si="680"/>
        <v>-34765.354323754735</v>
      </c>
      <c r="V516" s="527">
        <f t="shared" si="680"/>
        <v>-34765.354323754735</v>
      </c>
      <c r="W516" s="527">
        <f t="shared" si="680"/>
        <v>-34765.354323754735</v>
      </c>
      <c r="X516" s="527">
        <f t="shared" si="680"/>
        <v>-34765.354323754735</v>
      </c>
      <c r="Y516" s="527">
        <f t="shared" si="680"/>
        <v>-34765.354323754735</v>
      </c>
      <c r="Z516" s="527">
        <f t="shared" si="680"/>
        <v>-34765.354323754735</v>
      </c>
      <c r="AA516" s="527">
        <f t="shared" si="680"/>
        <v>-34765.354323754735</v>
      </c>
      <c r="AB516" s="527">
        <f t="shared" si="680"/>
        <v>-34765.354323754735</v>
      </c>
      <c r="AC516" s="527">
        <f t="shared" si="680"/>
        <v>-34765.354323754735</v>
      </c>
      <c r="AD516" s="527">
        <f t="shared" si="680"/>
        <v>-36266.284204589239</v>
      </c>
      <c r="AE516" s="527">
        <f t="shared" si="680"/>
        <v>-36266.284204589239</v>
      </c>
      <c r="AF516" s="527">
        <f t="shared" si="680"/>
        <v>-36266.284204589239</v>
      </c>
      <c r="AG516" s="527">
        <f t="shared" si="680"/>
        <v>-36266.284204589239</v>
      </c>
      <c r="AH516" s="527">
        <f t="shared" si="680"/>
        <v>-36266.284204589239</v>
      </c>
      <c r="AI516" s="527">
        <f t="shared" si="680"/>
        <v>-36266.284204589239</v>
      </c>
      <c r="AJ516" s="527">
        <f t="shared" si="680"/>
        <v>-36266.284204589239</v>
      </c>
      <c r="AK516" s="527">
        <f t="shared" si="680"/>
        <v>-36266.284204589239</v>
      </c>
      <c r="AL516" s="527">
        <f t="shared" si="680"/>
        <v>-36266.284204589239</v>
      </c>
      <c r="AM516" s="527">
        <f t="shared" si="680"/>
        <v>-36266.284204589239</v>
      </c>
      <c r="AN516" s="527">
        <f t="shared" si="680"/>
        <v>-36266.284204589239</v>
      </c>
      <c r="AO516" s="527">
        <f t="shared" si="680"/>
        <v>-36266.284204589239</v>
      </c>
      <c r="AP516" s="527">
        <f t="shared" si="680"/>
        <v>-37769.486908980492</v>
      </c>
      <c r="AQ516" s="527">
        <f t="shared" si="680"/>
        <v>-37769.486908980492</v>
      </c>
      <c r="AR516" s="527">
        <f t="shared" si="680"/>
        <v>-37769.486908980492</v>
      </c>
      <c r="AS516" s="527">
        <f t="shared" si="680"/>
        <v>-37769.486908980492</v>
      </c>
      <c r="AT516" s="527">
        <f t="shared" si="680"/>
        <v>-37769.486908980492</v>
      </c>
      <c r="AU516" s="527">
        <f t="shared" si="680"/>
        <v>-37769.486908980492</v>
      </c>
      <c r="AV516" s="527">
        <f t="shared" si="680"/>
        <v>-37769.486908980492</v>
      </c>
      <c r="AW516" s="527">
        <f t="shared" si="680"/>
        <v>-37769.486908980492</v>
      </c>
      <c r="AX516" s="527">
        <f t="shared" si="680"/>
        <v>-37769.486908980492</v>
      </c>
      <c r="AY516" s="527">
        <f t="shared" si="680"/>
        <v>-37769.486908980492</v>
      </c>
      <c r="AZ516" s="527">
        <f t="shared" si="680"/>
        <v>-37769.486908980492</v>
      </c>
      <c r="BA516" s="527">
        <f t="shared" si="680"/>
        <v>-37769.486908980492</v>
      </c>
      <c r="BB516" s="527">
        <f t="shared" si="680"/>
        <v>-39265.106851552962</v>
      </c>
      <c r="BC516" s="527">
        <f t="shared" si="680"/>
        <v>-39265.106851552962</v>
      </c>
      <c r="BD516" s="527">
        <f t="shared" si="680"/>
        <v>-39265.106851552962</v>
      </c>
      <c r="BE516" s="527">
        <f t="shared" si="680"/>
        <v>-39265.106851552962</v>
      </c>
      <c r="BF516" s="527">
        <f t="shared" si="680"/>
        <v>-39265.106851552962</v>
      </c>
      <c r="BG516" s="527">
        <f t="shared" si="680"/>
        <v>-39265.106851552962</v>
      </c>
      <c r="BH516" s="527">
        <f t="shared" si="680"/>
        <v>-39265.106851552962</v>
      </c>
      <c r="BI516" s="527">
        <f t="shared" si="680"/>
        <v>-39265.106851552962</v>
      </c>
      <c r="BJ516" s="527">
        <f t="shared" si="680"/>
        <v>-39265.106851552962</v>
      </c>
      <c r="BK516" s="527">
        <f t="shared" si="680"/>
        <v>-39265.106851552962</v>
      </c>
      <c r="BL516" s="527">
        <f t="shared" si="680"/>
        <v>-39265.106851552962</v>
      </c>
      <c r="BM516" s="527">
        <f t="shared" si="680"/>
        <v>-39265.106851552962</v>
      </c>
      <c r="BN516" s="527">
        <f t="shared" si="680"/>
        <v>-40812.162819067664</v>
      </c>
      <c r="BO516" s="527">
        <f t="shared" si="680"/>
        <v>-40812.162819067664</v>
      </c>
      <c r="BP516" s="527">
        <f t="shared" si="680"/>
        <v>-40812.162819067664</v>
      </c>
      <c r="BQ516" s="527">
        <f t="shared" si="680"/>
        <v>-40812.162819067664</v>
      </c>
      <c r="BR516" s="527">
        <f t="shared" si="680"/>
        <v>-40812.162819067664</v>
      </c>
      <c r="BS516" s="527">
        <f t="shared" si="680"/>
        <v>-40812.162819067664</v>
      </c>
      <c r="BT516" s="527">
        <f t="shared" si="680"/>
        <v>-40812.162819067664</v>
      </c>
      <c r="BU516" s="527">
        <f t="shared" si="680"/>
        <v>-40812.162819067664</v>
      </c>
      <c r="BV516" s="527">
        <f t="shared" si="680"/>
        <v>-40812.162819067664</v>
      </c>
      <c r="BW516" s="527">
        <f t="shared" si="680"/>
        <v>-40812.162819067664</v>
      </c>
      <c r="BX516" s="527">
        <f t="shared" si="680"/>
        <v>-40812.162819067664</v>
      </c>
      <c r="BY516" s="527">
        <f t="shared" si="680"/>
        <v>-40812.162819067664</v>
      </c>
      <c r="BZ516" s="537"/>
      <c r="CA516" s="537"/>
      <c r="CB516" s="529"/>
    </row>
    <row r="517" spans="1:80" x14ac:dyDescent="0.3">
      <c r="A517" s="648"/>
      <c r="B517" s="648" t="s">
        <v>5</v>
      </c>
      <c r="C517" s="648" cm="1">
        <f t="array" ref="C517">SUMPRODUCT((Index_Tab!$D$36:$D$45=$B517)*(Index_Tab!$E$35:$F$35=$B$3)*Index_Tab!$E$36:$F$45)</f>
        <v>0</v>
      </c>
      <c r="D517" s="648"/>
      <c r="E517" s="572" t="s">
        <v>390</v>
      </c>
      <c r="F517" s="573"/>
      <c r="G517" s="573"/>
      <c r="H517" s="529"/>
      <c r="I517" s="659">
        <v>1339112.9041862874</v>
      </c>
      <c r="J517" s="532">
        <f>SUM(J515:J516)</f>
        <v>1416718.0876024328</v>
      </c>
      <c r="K517" s="532">
        <f>SUM(K515:K516)</f>
        <v>1494911.5072399704</v>
      </c>
      <c r="L517" s="532">
        <f>SUM(L515:L516)</f>
        <v>1572951.6415792054</v>
      </c>
      <c r="M517" s="532">
        <f>SUM(M515:M516)</f>
        <v>1650222.6609481839</v>
      </c>
      <c r="N517" s="530">
        <f>SUM(N515:N516)</f>
        <v>1730371.1728935121</v>
      </c>
      <c r="O517" s="536"/>
      <c r="P517" s="568">
        <f t="shared" si="674"/>
        <v>5.2602543859340267E-2</v>
      </c>
      <c r="Q517" s="529"/>
      <c r="R517" s="532">
        <f t="shared" ref="R517:BX517" si="681">SUM(R515:R516)</f>
        <v>118059.84063353608</v>
      </c>
      <c r="S517" s="532">
        <f t="shared" si="681"/>
        <v>118059.84063353608</v>
      </c>
      <c r="T517" s="532">
        <f t="shared" si="681"/>
        <v>118059.84063353608</v>
      </c>
      <c r="U517" s="532">
        <f t="shared" si="681"/>
        <v>118059.84063353608</v>
      </c>
      <c r="V517" s="532">
        <f t="shared" si="681"/>
        <v>118059.84063353608</v>
      </c>
      <c r="W517" s="532">
        <f t="shared" si="681"/>
        <v>118059.84063353608</v>
      </c>
      <c r="X517" s="532">
        <f t="shared" si="681"/>
        <v>118059.84063353608</v>
      </c>
      <c r="Y517" s="532">
        <f t="shared" si="681"/>
        <v>118059.84063353608</v>
      </c>
      <c r="Z517" s="532">
        <f t="shared" si="681"/>
        <v>118059.84063353608</v>
      </c>
      <c r="AA517" s="532">
        <f t="shared" si="681"/>
        <v>118059.84063353608</v>
      </c>
      <c r="AB517" s="532">
        <f t="shared" si="681"/>
        <v>118059.84063353608</v>
      </c>
      <c r="AC517" s="532">
        <f t="shared" si="681"/>
        <v>118059.84063353608</v>
      </c>
      <c r="AD517" s="532">
        <f t="shared" si="681"/>
        <v>124575.95893666425</v>
      </c>
      <c r="AE517" s="532">
        <f t="shared" si="681"/>
        <v>124575.95893666425</v>
      </c>
      <c r="AF517" s="532">
        <f t="shared" si="681"/>
        <v>124575.95893666425</v>
      </c>
      <c r="AG517" s="532">
        <f t="shared" si="681"/>
        <v>124575.95893666425</v>
      </c>
      <c r="AH517" s="532">
        <f t="shared" si="681"/>
        <v>124575.95893666425</v>
      </c>
      <c r="AI517" s="532">
        <f t="shared" si="681"/>
        <v>124575.95893666425</v>
      </c>
      <c r="AJ517" s="532">
        <f t="shared" si="681"/>
        <v>124575.95893666425</v>
      </c>
      <c r="AK517" s="532">
        <f t="shared" si="681"/>
        <v>124575.95893666425</v>
      </c>
      <c r="AL517" s="532">
        <f t="shared" si="681"/>
        <v>124575.95893666425</v>
      </c>
      <c r="AM517" s="532">
        <f t="shared" si="681"/>
        <v>124575.95893666425</v>
      </c>
      <c r="AN517" s="532">
        <f t="shared" si="681"/>
        <v>124575.95893666425</v>
      </c>
      <c r="AO517" s="532">
        <f t="shared" si="681"/>
        <v>124575.95893666425</v>
      </c>
      <c r="AP517" s="532">
        <f t="shared" si="681"/>
        <v>131079.30346493379</v>
      </c>
      <c r="AQ517" s="532">
        <f t="shared" si="681"/>
        <v>131079.30346493379</v>
      </c>
      <c r="AR517" s="532">
        <f t="shared" si="681"/>
        <v>131079.30346493379</v>
      </c>
      <c r="AS517" s="532">
        <f t="shared" si="681"/>
        <v>131079.30346493379</v>
      </c>
      <c r="AT517" s="532">
        <f t="shared" si="681"/>
        <v>131079.30346493379</v>
      </c>
      <c r="AU517" s="532">
        <f t="shared" si="681"/>
        <v>131079.30346493379</v>
      </c>
      <c r="AV517" s="532">
        <f t="shared" si="681"/>
        <v>131079.30346493379</v>
      </c>
      <c r="AW517" s="532">
        <f t="shared" si="681"/>
        <v>131079.30346493379</v>
      </c>
      <c r="AX517" s="532">
        <f t="shared" si="681"/>
        <v>131079.30346493379</v>
      </c>
      <c r="AY517" s="532">
        <f t="shared" si="681"/>
        <v>131079.30346493379</v>
      </c>
      <c r="AZ517" s="532">
        <f t="shared" si="681"/>
        <v>131079.30346493379</v>
      </c>
      <c r="BA517" s="532">
        <f t="shared" si="681"/>
        <v>131079.30346493379</v>
      </c>
      <c r="BB517" s="532">
        <f t="shared" si="681"/>
        <v>137518.55507901532</v>
      </c>
      <c r="BC517" s="532">
        <f t="shared" si="681"/>
        <v>137518.55507901532</v>
      </c>
      <c r="BD517" s="532">
        <f t="shared" si="681"/>
        <v>137518.55507901532</v>
      </c>
      <c r="BE517" s="532">
        <f t="shared" si="681"/>
        <v>137518.55507901532</v>
      </c>
      <c r="BF517" s="532">
        <f t="shared" si="681"/>
        <v>137518.55507901532</v>
      </c>
      <c r="BG517" s="532">
        <f t="shared" si="681"/>
        <v>137518.55507901532</v>
      </c>
      <c r="BH517" s="532">
        <f t="shared" si="681"/>
        <v>137518.55507901532</v>
      </c>
      <c r="BI517" s="532">
        <f t="shared" si="681"/>
        <v>137518.55507901532</v>
      </c>
      <c r="BJ517" s="532">
        <f t="shared" si="681"/>
        <v>137518.55507901532</v>
      </c>
      <c r="BK517" s="532">
        <f t="shared" si="681"/>
        <v>137518.55507901532</v>
      </c>
      <c r="BL517" s="532">
        <f t="shared" si="681"/>
        <v>137518.55507901532</v>
      </c>
      <c r="BM517" s="532">
        <f t="shared" si="681"/>
        <v>137518.55507901532</v>
      </c>
      <c r="BN517" s="532">
        <f t="shared" si="681"/>
        <v>144197.59774112602</v>
      </c>
      <c r="BO517" s="532">
        <f t="shared" si="681"/>
        <v>144197.59774112602</v>
      </c>
      <c r="BP517" s="532">
        <f t="shared" si="681"/>
        <v>144197.59774112602</v>
      </c>
      <c r="BQ517" s="532">
        <f t="shared" si="681"/>
        <v>144197.59774112602</v>
      </c>
      <c r="BR517" s="532">
        <f t="shared" si="681"/>
        <v>144197.59774112602</v>
      </c>
      <c r="BS517" s="532">
        <f t="shared" si="681"/>
        <v>144197.59774112602</v>
      </c>
      <c r="BT517" s="532">
        <f t="shared" si="681"/>
        <v>144197.59774112602</v>
      </c>
      <c r="BU517" s="532">
        <f t="shared" si="681"/>
        <v>144197.59774112602</v>
      </c>
      <c r="BV517" s="532">
        <f t="shared" si="681"/>
        <v>144197.59774112602</v>
      </c>
      <c r="BW517" s="532">
        <f t="shared" si="681"/>
        <v>144197.59774112602</v>
      </c>
      <c r="BX517" s="532">
        <f t="shared" si="681"/>
        <v>144197.59774112602</v>
      </c>
      <c r="BY517" s="532">
        <f>SUM(BY515:BY516)</f>
        <v>144197.59774112602</v>
      </c>
      <c r="BZ517" s="537"/>
      <c r="CA517" s="537"/>
      <c r="CB517" s="529"/>
    </row>
    <row r="518" spans="1:80" x14ac:dyDescent="0.3">
      <c r="A518" s="648"/>
      <c r="B518" s="648"/>
      <c r="C518" s="648" cm="1">
        <f t="array" ref="C518">SUMPRODUCT((Index_Tab!$D$36:$D$45=$B518)*(Index_Tab!$E$35:$F$35=$B$3)*Index_Tab!$E$36:$F$45)</f>
        <v>0</v>
      </c>
      <c r="D518" s="648"/>
      <c r="E518" s="525" t="s">
        <v>175</v>
      </c>
      <c r="F518" s="575"/>
      <c r="G518" s="575"/>
      <c r="H518" s="529"/>
      <c r="I518" s="531">
        <f t="shared" ref="I518:N518" si="682">IFERROR(I517/I512,0)</f>
        <v>0.45765520964663475</v>
      </c>
      <c r="J518" s="531">
        <f t="shared" si="682"/>
        <v>0.46665725868424285</v>
      </c>
      <c r="K518" s="531">
        <f t="shared" si="682"/>
        <v>0.47505954584391202</v>
      </c>
      <c r="L518" s="531">
        <f t="shared" si="682"/>
        <v>0.48281780963971682</v>
      </c>
      <c r="M518" s="531">
        <f t="shared" si="682"/>
        <v>0.48991769109326166</v>
      </c>
      <c r="N518" s="531">
        <f t="shared" si="682"/>
        <v>0.49685084536437407</v>
      </c>
      <c r="O518" s="546"/>
      <c r="P518" s="564">
        <f t="shared" si="674"/>
        <v>1.6570551096413588E-2</v>
      </c>
      <c r="Q518" s="529"/>
      <c r="R518" s="531">
        <f t="shared" ref="R518:BY518" si="683">IFERROR(R517/R512,0)</f>
        <v>0.46665725868424285</v>
      </c>
      <c r="S518" s="531">
        <f t="shared" si="683"/>
        <v>0.46665725868424285</v>
      </c>
      <c r="T518" s="531">
        <f t="shared" si="683"/>
        <v>0.46665725868424285</v>
      </c>
      <c r="U518" s="531">
        <f t="shared" si="683"/>
        <v>0.46665725868424285</v>
      </c>
      <c r="V518" s="531">
        <f t="shared" si="683"/>
        <v>0.46665725868424285</v>
      </c>
      <c r="W518" s="531">
        <f t="shared" si="683"/>
        <v>0.46665725868424285</v>
      </c>
      <c r="X518" s="531">
        <f t="shared" si="683"/>
        <v>0.46665725868424285</v>
      </c>
      <c r="Y518" s="531">
        <f t="shared" si="683"/>
        <v>0.46665725868424285</v>
      </c>
      <c r="Z518" s="531">
        <f t="shared" si="683"/>
        <v>0.46665725868424285</v>
      </c>
      <c r="AA518" s="531">
        <f t="shared" si="683"/>
        <v>0.46665725868424285</v>
      </c>
      <c r="AB518" s="531">
        <f t="shared" si="683"/>
        <v>0.46665725868424285</v>
      </c>
      <c r="AC518" s="531">
        <f t="shared" si="683"/>
        <v>0.46665725868424285</v>
      </c>
      <c r="AD518" s="531">
        <f t="shared" si="683"/>
        <v>0.47505954584391219</v>
      </c>
      <c r="AE518" s="531">
        <f t="shared" si="683"/>
        <v>0.47505954584391219</v>
      </c>
      <c r="AF518" s="531">
        <f t="shared" si="683"/>
        <v>0.47505954584391219</v>
      </c>
      <c r="AG518" s="531">
        <f t="shared" si="683"/>
        <v>0.47505954584391219</v>
      </c>
      <c r="AH518" s="531">
        <f t="shared" si="683"/>
        <v>0.47505954584391219</v>
      </c>
      <c r="AI518" s="531">
        <f t="shared" si="683"/>
        <v>0.47505954584391219</v>
      </c>
      <c r="AJ518" s="531">
        <f t="shared" si="683"/>
        <v>0.47505954584391219</v>
      </c>
      <c r="AK518" s="531">
        <f t="shared" si="683"/>
        <v>0.47505954584391219</v>
      </c>
      <c r="AL518" s="531">
        <f t="shared" si="683"/>
        <v>0.47505954584391219</v>
      </c>
      <c r="AM518" s="531">
        <f t="shared" si="683"/>
        <v>0.47505954584391219</v>
      </c>
      <c r="AN518" s="531">
        <f t="shared" si="683"/>
        <v>0.47505954584391219</v>
      </c>
      <c r="AO518" s="531">
        <f t="shared" si="683"/>
        <v>0.47505954584391219</v>
      </c>
      <c r="AP518" s="531">
        <f t="shared" si="683"/>
        <v>0.48281780963971688</v>
      </c>
      <c r="AQ518" s="531">
        <f t="shared" si="683"/>
        <v>0.48281780963971688</v>
      </c>
      <c r="AR518" s="531">
        <f t="shared" si="683"/>
        <v>0.48281780963971688</v>
      </c>
      <c r="AS518" s="531">
        <f t="shared" si="683"/>
        <v>0.48281780963971688</v>
      </c>
      <c r="AT518" s="531">
        <f t="shared" si="683"/>
        <v>0.48281780963971688</v>
      </c>
      <c r="AU518" s="531">
        <f t="shared" si="683"/>
        <v>0.48281780963971688</v>
      </c>
      <c r="AV518" s="531">
        <f t="shared" si="683"/>
        <v>0.48281780963971688</v>
      </c>
      <c r="AW518" s="531">
        <f t="shared" si="683"/>
        <v>0.48281780963971688</v>
      </c>
      <c r="AX518" s="531">
        <f t="shared" si="683"/>
        <v>0.48281780963971688</v>
      </c>
      <c r="AY518" s="531">
        <f t="shared" si="683"/>
        <v>0.48281780963971688</v>
      </c>
      <c r="AZ518" s="531">
        <f t="shared" si="683"/>
        <v>0.48281780963971688</v>
      </c>
      <c r="BA518" s="531">
        <f t="shared" si="683"/>
        <v>0.48281780963971688</v>
      </c>
      <c r="BB518" s="531">
        <f t="shared" si="683"/>
        <v>0.48991769109326166</v>
      </c>
      <c r="BC518" s="531">
        <f t="shared" si="683"/>
        <v>0.48991769109326166</v>
      </c>
      <c r="BD518" s="531">
        <f t="shared" si="683"/>
        <v>0.48991769109326166</v>
      </c>
      <c r="BE518" s="531">
        <f t="shared" si="683"/>
        <v>0.48991769109326166</v>
      </c>
      <c r="BF518" s="531">
        <f t="shared" si="683"/>
        <v>0.48991769109326166</v>
      </c>
      <c r="BG518" s="531">
        <f t="shared" si="683"/>
        <v>0.48991769109326166</v>
      </c>
      <c r="BH518" s="531">
        <f t="shared" si="683"/>
        <v>0.48991769109326166</v>
      </c>
      <c r="BI518" s="531">
        <f t="shared" si="683"/>
        <v>0.48991769109326166</v>
      </c>
      <c r="BJ518" s="531">
        <f t="shared" si="683"/>
        <v>0.48991769109326166</v>
      </c>
      <c r="BK518" s="531">
        <f t="shared" si="683"/>
        <v>0.48991769109326166</v>
      </c>
      <c r="BL518" s="531">
        <f t="shared" si="683"/>
        <v>0.48991769109326166</v>
      </c>
      <c r="BM518" s="531">
        <f t="shared" si="683"/>
        <v>0.48991769109326166</v>
      </c>
      <c r="BN518" s="531">
        <f t="shared" si="683"/>
        <v>0.49685084536437413</v>
      </c>
      <c r="BO518" s="531">
        <f t="shared" si="683"/>
        <v>0.49685084536437413</v>
      </c>
      <c r="BP518" s="531">
        <f t="shared" si="683"/>
        <v>0.49685084536437413</v>
      </c>
      <c r="BQ518" s="531">
        <f t="shared" si="683"/>
        <v>0.49685084536437413</v>
      </c>
      <c r="BR518" s="531">
        <f t="shared" si="683"/>
        <v>0.49685084536437413</v>
      </c>
      <c r="BS518" s="531">
        <f t="shared" si="683"/>
        <v>0.49685084536437413</v>
      </c>
      <c r="BT518" s="531">
        <f t="shared" si="683"/>
        <v>0.49685084536437413</v>
      </c>
      <c r="BU518" s="531">
        <f t="shared" si="683"/>
        <v>0.49685084536437413</v>
      </c>
      <c r="BV518" s="531">
        <f t="shared" si="683"/>
        <v>0.49685084536437413</v>
      </c>
      <c r="BW518" s="531">
        <f t="shared" si="683"/>
        <v>0.49685084536437413</v>
      </c>
      <c r="BX518" s="531">
        <f t="shared" si="683"/>
        <v>0.49685084536437413</v>
      </c>
      <c r="BY518" s="531">
        <f t="shared" si="683"/>
        <v>0.49685084536437413</v>
      </c>
      <c r="BZ518" s="537"/>
      <c r="CA518" s="537"/>
      <c r="CB518" s="529"/>
    </row>
    <row r="519" spans="1:80" x14ac:dyDescent="0.3">
      <c r="A519" s="648"/>
      <c r="B519" s="648"/>
      <c r="C519" s="648" cm="1">
        <f t="array" ref="C519">SUMPRODUCT((Index_Tab!$D$36:$D$45=$B519)*(Index_Tab!$E$35:$F$35=$B$3)*Index_Tab!$E$36:$F$45)</f>
        <v>0</v>
      </c>
      <c r="D519" s="648"/>
      <c r="E519" s="525"/>
      <c r="F519" s="575"/>
      <c r="G519" s="575"/>
      <c r="H519" s="529"/>
      <c r="I519" s="529"/>
      <c r="J519" s="529"/>
      <c r="K519" s="529"/>
      <c r="L519" s="529"/>
      <c r="M519" s="529"/>
      <c r="N519" s="529"/>
      <c r="O519" s="529"/>
      <c r="P519" s="660"/>
      <c r="Q519" s="529"/>
      <c r="R519" s="529"/>
      <c r="S519" s="529"/>
      <c r="T519" s="529"/>
      <c r="U519" s="529"/>
      <c r="V519" s="529"/>
      <c r="W519" s="529"/>
      <c r="X519" s="529"/>
      <c r="Y519" s="529"/>
      <c r="Z519" s="529"/>
      <c r="AA519" s="529"/>
      <c r="AB519" s="529"/>
      <c r="AC519" s="529"/>
      <c r="AD519" s="529"/>
      <c r="AE519" s="529"/>
      <c r="AF519" s="529"/>
      <c r="AG519" s="529"/>
      <c r="AH519" s="529"/>
      <c r="AI519" s="529"/>
      <c r="AJ519" s="529"/>
      <c r="AK519" s="529"/>
      <c r="AL519" s="529"/>
      <c r="AM519" s="529"/>
      <c r="AN519" s="529"/>
      <c r="AO519" s="529"/>
      <c r="AP519" s="529"/>
      <c r="AQ519" s="529"/>
      <c r="AR519" s="529"/>
      <c r="AS519" s="529"/>
      <c r="AT519" s="529"/>
      <c r="AU519" s="529"/>
      <c r="AV519" s="529"/>
      <c r="AW519" s="529"/>
      <c r="AX519" s="529"/>
      <c r="AY519" s="529"/>
      <c r="AZ519" s="529"/>
      <c r="BA519" s="529"/>
      <c r="BB519" s="529"/>
      <c r="BC519" s="529"/>
      <c r="BD519" s="529"/>
      <c r="BE519" s="529"/>
      <c r="BF519" s="529"/>
      <c r="BG519" s="529"/>
      <c r="BH519" s="529"/>
      <c r="BI519" s="529"/>
      <c r="BJ519" s="529"/>
      <c r="BK519" s="529"/>
      <c r="BL519" s="529"/>
      <c r="BM519" s="529"/>
      <c r="BN519" s="529"/>
      <c r="BO519" s="529"/>
      <c r="BP519" s="529"/>
      <c r="BQ519" s="529"/>
      <c r="BR519" s="529"/>
      <c r="BS519" s="529"/>
      <c r="BT519" s="529"/>
      <c r="BU519" s="529"/>
      <c r="BV519" s="529"/>
      <c r="BW519" s="529"/>
      <c r="BX519" s="529"/>
      <c r="BY519" s="529"/>
      <c r="BZ519" s="537"/>
      <c r="CA519" s="537"/>
      <c r="CB519" s="529"/>
    </row>
    <row r="520" spans="1:80" x14ac:dyDescent="0.3">
      <c r="A520" s="648"/>
      <c r="B520" s="648"/>
      <c r="C520" s="648" cm="1">
        <f t="array" ref="C520">SUMPRODUCT((Index_Tab!$D$36:$D$45=$B520)*(Index_Tab!$E$35:$F$35=$B$3)*Index_Tab!$E$36:$F$45)</f>
        <v>0</v>
      </c>
      <c r="D520" s="648"/>
      <c r="E520" s="570" t="s">
        <v>23</v>
      </c>
      <c r="F520" s="529"/>
      <c r="G520" s="529"/>
      <c r="H520" s="529"/>
      <c r="I520" s="576"/>
      <c r="J520" s="576"/>
      <c r="K520" s="576"/>
      <c r="L520" s="576"/>
      <c r="M520" s="576"/>
      <c r="N520" s="576"/>
      <c r="O520" s="529"/>
      <c r="P520" s="660"/>
      <c r="Q520" s="529"/>
      <c r="R520" s="529"/>
      <c r="S520" s="529"/>
      <c r="T520" s="529"/>
      <c r="U520" s="529"/>
      <c r="V520" s="529"/>
      <c r="W520" s="529"/>
      <c r="X520" s="529"/>
      <c r="Y520" s="529"/>
      <c r="Z520" s="529"/>
      <c r="AA520" s="529"/>
      <c r="AB520" s="529"/>
      <c r="AC520" s="529"/>
      <c r="AD520" s="529"/>
      <c r="AE520" s="529"/>
      <c r="AF520" s="529"/>
      <c r="AG520" s="529"/>
      <c r="AH520" s="529"/>
      <c r="AI520" s="529"/>
      <c r="AJ520" s="529"/>
      <c r="AK520" s="529"/>
      <c r="AL520" s="529"/>
      <c r="AM520" s="529"/>
      <c r="AN520" s="529"/>
      <c r="AO520" s="529"/>
      <c r="AP520" s="529"/>
      <c r="AQ520" s="529"/>
      <c r="AR520" s="529"/>
      <c r="AS520" s="529"/>
      <c r="AT520" s="529"/>
      <c r="AU520" s="529"/>
      <c r="AV520" s="529"/>
      <c r="AW520" s="529"/>
      <c r="AX520" s="529"/>
      <c r="AY520" s="529"/>
      <c r="AZ520" s="529"/>
      <c r="BA520" s="529"/>
      <c r="BB520" s="529"/>
      <c r="BC520" s="529"/>
      <c r="BD520" s="529"/>
      <c r="BE520" s="529"/>
      <c r="BF520" s="529"/>
      <c r="BG520" s="529"/>
      <c r="BH520" s="529"/>
      <c r="BI520" s="529"/>
      <c r="BJ520" s="529"/>
      <c r="BK520" s="529"/>
      <c r="BL520" s="529"/>
      <c r="BM520" s="529"/>
      <c r="BN520" s="529"/>
      <c r="BO520" s="529"/>
      <c r="BP520" s="529"/>
      <c r="BQ520" s="529"/>
      <c r="BR520" s="529"/>
      <c r="BS520" s="529"/>
      <c r="BT520" s="529"/>
      <c r="BU520" s="529"/>
      <c r="BV520" s="529"/>
      <c r="BW520" s="529"/>
      <c r="BX520" s="529"/>
      <c r="BY520" s="529"/>
      <c r="BZ520" s="537"/>
      <c r="CA520" s="537"/>
      <c r="CB520" s="529"/>
    </row>
    <row r="521" spans="1:80" x14ac:dyDescent="0.3">
      <c r="A521" s="648"/>
      <c r="B521" s="648" t="s">
        <v>6</v>
      </c>
      <c r="C521" s="648" cm="1">
        <f t="array" ref="C521">SUMPRODUCT((Index_Tab!$D$36:$D$45=$B521)*(Index_Tab!$E$35:$F$35=$B$3)*Index_Tab!$E$36:$F$45)</f>
        <v>11</v>
      </c>
      <c r="D521" s="648"/>
      <c r="E521" s="572" t="s">
        <v>391</v>
      </c>
      <c r="F521" s="573"/>
      <c r="G521" s="573"/>
      <c r="H521" s="529"/>
      <c r="I521" s="658">
        <v>136098.85986919052</v>
      </c>
      <c r="J521" s="661" cm="1">
        <f t="array" ref="J521">I521*(1+INDEX(('Detailed Assumptions'!$D$59:$J$79,'Detailed Assumptions'!$L$59:$R$79,'Detailed Assumptions'!$T$59:$Z$79,'Detailed Assumptions'!$AB$59:$AH$79),$C521,J$2,$C$506))</f>
        <v>136098.85986919052</v>
      </c>
      <c r="K521" s="661" cm="1">
        <f t="array" ref="K521">J521*(1+INDEX(('Detailed Assumptions'!$D$59:$J$79,'Detailed Assumptions'!$L$59:$R$79,'Detailed Assumptions'!$T$59:$Z$79,'Detailed Assumptions'!$AB$59:$AH$79),$C521,K$2,$C$506))</f>
        <v>136098.85986919052</v>
      </c>
      <c r="L521" s="661" cm="1">
        <f t="array" ref="L521">K521*(1+INDEX(('Detailed Assumptions'!$D$59:$J$79,'Detailed Assumptions'!$L$59:$R$79,'Detailed Assumptions'!$T$59:$Z$79,'Detailed Assumptions'!$AB$59:$AH$79),$C521,L$2,$C$506))</f>
        <v>136098.85986919052</v>
      </c>
      <c r="M521" s="661" cm="1">
        <f t="array" ref="M521">L521*(1+INDEX(('Detailed Assumptions'!$D$59:$J$79,'Detailed Assumptions'!$L$59:$R$79,'Detailed Assumptions'!$T$59:$Z$79,'Detailed Assumptions'!$AB$59:$AH$79),$C521,M$2,$C$506))</f>
        <v>136098.85986919052</v>
      </c>
      <c r="N521" s="661" cm="1">
        <f t="array" ref="N521">M521*(1+INDEX(('Detailed Assumptions'!$D$59:$J$79,'Detailed Assumptions'!$L$59:$R$79,'Detailed Assumptions'!$T$59:$Z$79,'Detailed Assumptions'!$AB$59:$AH$79),$C521,N$2,$C$506))</f>
        <v>136098.85986919052</v>
      </c>
      <c r="O521" s="536"/>
      <c r="P521" s="568">
        <f t="shared" ref="P521:P527" si="684">IFERROR(((N521/I521)^(1/5))-1,0)</f>
        <v>0</v>
      </c>
      <c r="Q521" s="529"/>
      <c r="R521" s="532">
        <f t="shared" ref="R521:AG523" si="685">(INDEX($I521:$N521,MATCH(R$2,$I$3:$N$3,0)))/12</f>
        <v>11341.571655765876</v>
      </c>
      <c r="S521" s="532">
        <f t="shared" si="685"/>
        <v>11341.571655765876</v>
      </c>
      <c r="T521" s="532">
        <f t="shared" si="685"/>
        <v>11341.571655765876</v>
      </c>
      <c r="U521" s="532">
        <f t="shared" si="685"/>
        <v>11341.571655765876</v>
      </c>
      <c r="V521" s="532">
        <f t="shared" si="685"/>
        <v>11341.571655765876</v>
      </c>
      <c r="W521" s="532">
        <f t="shared" si="685"/>
        <v>11341.571655765876</v>
      </c>
      <c r="X521" s="532">
        <f t="shared" si="685"/>
        <v>11341.571655765876</v>
      </c>
      <c r="Y521" s="532">
        <f t="shared" si="685"/>
        <v>11341.571655765876</v>
      </c>
      <c r="Z521" s="532">
        <f t="shared" si="685"/>
        <v>11341.571655765876</v>
      </c>
      <c r="AA521" s="532">
        <f t="shared" si="685"/>
        <v>11341.571655765876</v>
      </c>
      <c r="AB521" s="532">
        <f t="shared" si="685"/>
        <v>11341.571655765876</v>
      </c>
      <c r="AC521" s="532">
        <f t="shared" si="685"/>
        <v>11341.571655765876</v>
      </c>
      <c r="AD521" s="532">
        <f t="shared" si="685"/>
        <v>11341.571655765876</v>
      </c>
      <c r="AE521" s="532">
        <f t="shared" si="685"/>
        <v>11341.571655765876</v>
      </c>
      <c r="AF521" s="532">
        <f t="shared" si="685"/>
        <v>11341.571655765876</v>
      </c>
      <c r="AG521" s="532">
        <f t="shared" si="685"/>
        <v>11341.571655765876</v>
      </c>
      <c r="AH521" s="532">
        <f t="shared" ref="AH521:AW523" si="686">(INDEX($I521:$N521,MATCH(AH$2,$I$3:$N$3,0)))/12</f>
        <v>11341.571655765876</v>
      </c>
      <c r="AI521" s="532">
        <f t="shared" si="686"/>
        <v>11341.571655765876</v>
      </c>
      <c r="AJ521" s="532">
        <f t="shared" si="686"/>
        <v>11341.571655765876</v>
      </c>
      <c r="AK521" s="532">
        <f t="shared" si="686"/>
        <v>11341.571655765876</v>
      </c>
      <c r="AL521" s="532">
        <f t="shared" si="686"/>
        <v>11341.571655765876</v>
      </c>
      <c r="AM521" s="532">
        <f t="shared" si="686"/>
        <v>11341.571655765876</v>
      </c>
      <c r="AN521" s="532">
        <f t="shared" si="686"/>
        <v>11341.571655765876</v>
      </c>
      <c r="AO521" s="532">
        <f t="shared" si="686"/>
        <v>11341.571655765876</v>
      </c>
      <c r="AP521" s="532">
        <f t="shared" si="686"/>
        <v>11341.571655765876</v>
      </c>
      <c r="AQ521" s="532">
        <f t="shared" si="686"/>
        <v>11341.571655765876</v>
      </c>
      <c r="AR521" s="532">
        <f t="shared" si="686"/>
        <v>11341.571655765876</v>
      </c>
      <c r="AS521" s="532">
        <f t="shared" si="686"/>
        <v>11341.571655765876</v>
      </c>
      <c r="AT521" s="532">
        <f t="shared" si="686"/>
        <v>11341.571655765876</v>
      </c>
      <c r="AU521" s="532">
        <f t="shared" si="686"/>
        <v>11341.571655765876</v>
      </c>
      <c r="AV521" s="532">
        <f t="shared" si="686"/>
        <v>11341.571655765876</v>
      </c>
      <c r="AW521" s="532">
        <f t="shared" si="686"/>
        <v>11341.571655765876</v>
      </c>
      <c r="AX521" s="532">
        <f t="shared" ref="AX521:BM523" si="687">(INDEX($I521:$N521,MATCH(AX$2,$I$3:$N$3,0)))/12</f>
        <v>11341.571655765876</v>
      </c>
      <c r="AY521" s="532">
        <f t="shared" si="687"/>
        <v>11341.571655765876</v>
      </c>
      <c r="AZ521" s="532">
        <f t="shared" si="687"/>
        <v>11341.571655765876</v>
      </c>
      <c r="BA521" s="532">
        <f t="shared" si="687"/>
        <v>11341.571655765876</v>
      </c>
      <c r="BB521" s="532">
        <f t="shared" si="687"/>
        <v>11341.571655765876</v>
      </c>
      <c r="BC521" s="532">
        <f t="shared" si="687"/>
        <v>11341.571655765876</v>
      </c>
      <c r="BD521" s="532">
        <f t="shared" si="687"/>
        <v>11341.571655765876</v>
      </c>
      <c r="BE521" s="532">
        <f t="shared" si="687"/>
        <v>11341.571655765876</v>
      </c>
      <c r="BF521" s="532">
        <f t="shared" si="687"/>
        <v>11341.571655765876</v>
      </c>
      <c r="BG521" s="532">
        <f t="shared" si="687"/>
        <v>11341.571655765876</v>
      </c>
      <c r="BH521" s="532">
        <f t="shared" si="687"/>
        <v>11341.571655765876</v>
      </c>
      <c r="BI521" s="532">
        <f t="shared" si="687"/>
        <v>11341.571655765876</v>
      </c>
      <c r="BJ521" s="532">
        <f t="shared" si="687"/>
        <v>11341.571655765876</v>
      </c>
      <c r="BK521" s="532">
        <f t="shared" si="687"/>
        <v>11341.571655765876</v>
      </c>
      <c r="BL521" s="532">
        <f t="shared" si="687"/>
        <v>11341.571655765876</v>
      </c>
      <c r="BM521" s="532">
        <f t="shared" si="687"/>
        <v>11341.571655765876</v>
      </c>
      <c r="BN521" s="532">
        <f t="shared" ref="BN521:BY523" si="688">(INDEX($I521:$N521,MATCH(BN$2,$I$3:$N$3,0)))/12</f>
        <v>11341.571655765876</v>
      </c>
      <c r="BO521" s="532">
        <f t="shared" si="688"/>
        <v>11341.571655765876</v>
      </c>
      <c r="BP521" s="532">
        <f t="shared" si="688"/>
        <v>11341.571655765876</v>
      </c>
      <c r="BQ521" s="532">
        <f t="shared" si="688"/>
        <v>11341.571655765876</v>
      </c>
      <c r="BR521" s="532">
        <f t="shared" si="688"/>
        <v>11341.571655765876</v>
      </c>
      <c r="BS521" s="532">
        <f t="shared" si="688"/>
        <v>11341.571655765876</v>
      </c>
      <c r="BT521" s="532">
        <f t="shared" si="688"/>
        <v>11341.571655765876</v>
      </c>
      <c r="BU521" s="532">
        <f t="shared" si="688"/>
        <v>11341.571655765876</v>
      </c>
      <c r="BV521" s="532">
        <f t="shared" si="688"/>
        <v>11341.571655765876</v>
      </c>
      <c r="BW521" s="532">
        <f t="shared" si="688"/>
        <v>11341.571655765876</v>
      </c>
      <c r="BX521" s="532">
        <f t="shared" si="688"/>
        <v>11341.571655765876</v>
      </c>
      <c r="BY521" s="532">
        <f t="shared" si="688"/>
        <v>11341.571655765876</v>
      </c>
      <c r="BZ521" s="537"/>
      <c r="CA521" s="537"/>
      <c r="CB521" s="529"/>
    </row>
    <row r="522" spans="1:80" x14ac:dyDescent="0.3">
      <c r="A522" s="648"/>
      <c r="B522" s="648" t="s">
        <v>7</v>
      </c>
      <c r="C522" s="648" cm="1">
        <f t="array" ref="C522">SUMPRODUCT((Index_Tab!$D$36:$D$45=$B522)*(Index_Tab!$E$35:$F$35=$B$3)*Index_Tab!$E$36:$F$45)</f>
        <v>12</v>
      </c>
      <c r="D522" s="648"/>
      <c r="E522" s="525" t="s">
        <v>392</v>
      </c>
      <c r="F522" s="567"/>
      <c r="G522" s="567"/>
      <c r="H522" s="529"/>
      <c r="I522" s="544">
        <v>-70354.42451220582</v>
      </c>
      <c r="J522" s="542" cm="1">
        <f t="array" ref="J522">I522*(1+INDEX(('Detailed Assumptions'!$D$59:$J$79,'Detailed Assumptions'!$L$59:$R$79,'Detailed Assumptions'!$T$59:$Z$79,'Detailed Assumptions'!$AB$59:$AH$79),$C522,J$2,$C$506))</f>
        <v>-70354.42451220582</v>
      </c>
      <c r="K522" s="542" cm="1">
        <f t="array" ref="K522">J522*(1+INDEX(('Detailed Assumptions'!$D$59:$J$79,'Detailed Assumptions'!$L$59:$R$79,'Detailed Assumptions'!$T$59:$Z$79,'Detailed Assumptions'!$AB$59:$AH$79),$C522,K$2,$C$506))</f>
        <v>-70354.42451220582</v>
      </c>
      <c r="L522" s="542" cm="1">
        <f t="array" ref="L522">K522*(1+INDEX(('Detailed Assumptions'!$D$59:$J$79,'Detailed Assumptions'!$L$59:$R$79,'Detailed Assumptions'!$T$59:$Z$79,'Detailed Assumptions'!$AB$59:$AH$79),$C522,L$2,$C$506))</f>
        <v>-70354.42451220582</v>
      </c>
      <c r="M522" s="542" cm="1">
        <f t="array" ref="M522">L522*(1+INDEX(('Detailed Assumptions'!$D$59:$J$79,'Detailed Assumptions'!$L$59:$R$79,'Detailed Assumptions'!$T$59:$Z$79,'Detailed Assumptions'!$AB$59:$AH$79),$C522,M$2,$C$506))</f>
        <v>-70354.42451220582</v>
      </c>
      <c r="N522" s="542" cm="1">
        <f t="array" ref="N522">M522*(1+INDEX(('Detailed Assumptions'!$D$59:$J$79,'Detailed Assumptions'!$L$59:$R$79,'Detailed Assumptions'!$T$59:$Z$79,'Detailed Assumptions'!$AB$59:$AH$79),$C522,N$2,$C$506))</f>
        <v>-70354.42451220582</v>
      </c>
      <c r="O522" s="529"/>
      <c r="P522" s="564">
        <f t="shared" si="684"/>
        <v>0</v>
      </c>
      <c r="Q522" s="529"/>
      <c r="R522" s="527">
        <f t="shared" si="685"/>
        <v>-5862.868709350485</v>
      </c>
      <c r="S522" s="527">
        <f t="shared" si="685"/>
        <v>-5862.868709350485</v>
      </c>
      <c r="T522" s="527">
        <f t="shared" si="685"/>
        <v>-5862.868709350485</v>
      </c>
      <c r="U522" s="527">
        <f t="shared" si="685"/>
        <v>-5862.868709350485</v>
      </c>
      <c r="V522" s="527">
        <f t="shared" si="685"/>
        <v>-5862.868709350485</v>
      </c>
      <c r="W522" s="527">
        <f t="shared" si="685"/>
        <v>-5862.868709350485</v>
      </c>
      <c r="X522" s="527">
        <f t="shared" si="685"/>
        <v>-5862.868709350485</v>
      </c>
      <c r="Y522" s="527">
        <f t="shared" si="685"/>
        <v>-5862.868709350485</v>
      </c>
      <c r="Z522" s="527">
        <f t="shared" si="685"/>
        <v>-5862.868709350485</v>
      </c>
      <c r="AA522" s="527">
        <f t="shared" si="685"/>
        <v>-5862.868709350485</v>
      </c>
      <c r="AB522" s="527">
        <f t="shared" si="685"/>
        <v>-5862.868709350485</v>
      </c>
      <c r="AC522" s="527">
        <f t="shared" si="685"/>
        <v>-5862.868709350485</v>
      </c>
      <c r="AD522" s="527">
        <f t="shared" si="685"/>
        <v>-5862.868709350485</v>
      </c>
      <c r="AE522" s="527">
        <f t="shared" si="685"/>
        <v>-5862.868709350485</v>
      </c>
      <c r="AF522" s="527">
        <f t="shared" si="685"/>
        <v>-5862.868709350485</v>
      </c>
      <c r="AG522" s="527">
        <f t="shared" si="685"/>
        <v>-5862.868709350485</v>
      </c>
      <c r="AH522" s="527">
        <f t="shared" si="686"/>
        <v>-5862.868709350485</v>
      </c>
      <c r="AI522" s="527">
        <f t="shared" si="686"/>
        <v>-5862.868709350485</v>
      </c>
      <c r="AJ522" s="527">
        <f t="shared" si="686"/>
        <v>-5862.868709350485</v>
      </c>
      <c r="AK522" s="527">
        <f t="shared" si="686"/>
        <v>-5862.868709350485</v>
      </c>
      <c r="AL522" s="527">
        <f t="shared" si="686"/>
        <v>-5862.868709350485</v>
      </c>
      <c r="AM522" s="527">
        <f t="shared" si="686"/>
        <v>-5862.868709350485</v>
      </c>
      <c r="AN522" s="527">
        <f t="shared" si="686"/>
        <v>-5862.868709350485</v>
      </c>
      <c r="AO522" s="527">
        <f t="shared" si="686"/>
        <v>-5862.868709350485</v>
      </c>
      <c r="AP522" s="527">
        <f t="shared" si="686"/>
        <v>-5862.868709350485</v>
      </c>
      <c r="AQ522" s="527">
        <f t="shared" si="686"/>
        <v>-5862.868709350485</v>
      </c>
      <c r="AR522" s="527">
        <f t="shared" si="686"/>
        <v>-5862.868709350485</v>
      </c>
      <c r="AS522" s="527">
        <f t="shared" si="686"/>
        <v>-5862.868709350485</v>
      </c>
      <c r="AT522" s="527">
        <f t="shared" si="686"/>
        <v>-5862.868709350485</v>
      </c>
      <c r="AU522" s="527">
        <f t="shared" si="686"/>
        <v>-5862.868709350485</v>
      </c>
      <c r="AV522" s="527">
        <f t="shared" si="686"/>
        <v>-5862.868709350485</v>
      </c>
      <c r="AW522" s="527">
        <f t="shared" si="686"/>
        <v>-5862.868709350485</v>
      </c>
      <c r="AX522" s="527">
        <f t="shared" si="687"/>
        <v>-5862.868709350485</v>
      </c>
      <c r="AY522" s="527">
        <f t="shared" si="687"/>
        <v>-5862.868709350485</v>
      </c>
      <c r="AZ522" s="527">
        <f t="shared" si="687"/>
        <v>-5862.868709350485</v>
      </c>
      <c r="BA522" s="527">
        <f t="shared" si="687"/>
        <v>-5862.868709350485</v>
      </c>
      <c r="BB522" s="527">
        <f t="shared" si="687"/>
        <v>-5862.868709350485</v>
      </c>
      <c r="BC522" s="527">
        <f t="shared" si="687"/>
        <v>-5862.868709350485</v>
      </c>
      <c r="BD522" s="527">
        <f t="shared" si="687"/>
        <v>-5862.868709350485</v>
      </c>
      <c r="BE522" s="527">
        <f t="shared" si="687"/>
        <v>-5862.868709350485</v>
      </c>
      <c r="BF522" s="527">
        <f t="shared" si="687"/>
        <v>-5862.868709350485</v>
      </c>
      <c r="BG522" s="527">
        <f t="shared" si="687"/>
        <v>-5862.868709350485</v>
      </c>
      <c r="BH522" s="527">
        <f t="shared" si="687"/>
        <v>-5862.868709350485</v>
      </c>
      <c r="BI522" s="527">
        <f t="shared" si="687"/>
        <v>-5862.868709350485</v>
      </c>
      <c r="BJ522" s="527">
        <f t="shared" si="687"/>
        <v>-5862.868709350485</v>
      </c>
      <c r="BK522" s="527">
        <f t="shared" si="687"/>
        <v>-5862.868709350485</v>
      </c>
      <c r="BL522" s="527">
        <f t="shared" si="687"/>
        <v>-5862.868709350485</v>
      </c>
      <c r="BM522" s="527">
        <f t="shared" si="687"/>
        <v>-5862.868709350485</v>
      </c>
      <c r="BN522" s="527">
        <f t="shared" si="688"/>
        <v>-5862.868709350485</v>
      </c>
      <c r="BO522" s="527">
        <f t="shared" si="688"/>
        <v>-5862.868709350485</v>
      </c>
      <c r="BP522" s="527">
        <f t="shared" si="688"/>
        <v>-5862.868709350485</v>
      </c>
      <c r="BQ522" s="527">
        <f t="shared" si="688"/>
        <v>-5862.868709350485</v>
      </c>
      <c r="BR522" s="527">
        <f t="shared" si="688"/>
        <v>-5862.868709350485</v>
      </c>
      <c r="BS522" s="527">
        <f t="shared" si="688"/>
        <v>-5862.868709350485</v>
      </c>
      <c r="BT522" s="527">
        <f t="shared" si="688"/>
        <v>-5862.868709350485</v>
      </c>
      <c r="BU522" s="527">
        <f t="shared" si="688"/>
        <v>-5862.868709350485</v>
      </c>
      <c r="BV522" s="527">
        <f t="shared" si="688"/>
        <v>-5862.868709350485</v>
      </c>
      <c r="BW522" s="527">
        <f t="shared" si="688"/>
        <v>-5862.868709350485</v>
      </c>
      <c r="BX522" s="527">
        <f t="shared" si="688"/>
        <v>-5862.868709350485</v>
      </c>
      <c r="BY522" s="527">
        <f t="shared" si="688"/>
        <v>-5862.868709350485</v>
      </c>
      <c r="BZ522" s="537"/>
      <c r="CA522" s="537"/>
      <c r="CB522" s="529"/>
    </row>
    <row r="523" spans="1:80" x14ac:dyDescent="0.3">
      <c r="A523" s="648"/>
      <c r="B523" s="648" t="s">
        <v>8</v>
      </c>
      <c r="C523" s="648" cm="1">
        <f t="array" ref="C523">SUMPRODUCT((Index_Tab!$D$36:$D$45=$B523)*(Index_Tab!$E$35:$F$35=$B$3)*Index_Tab!$E$36:$F$45)</f>
        <v>0</v>
      </c>
      <c r="D523" s="648"/>
      <c r="E523" s="525" t="s">
        <v>393</v>
      </c>
      <c r="F523" s="567"/>
      <c r="G523" s="567"/>
      <c r="H523" s="529"/>
      <c r="I523" s="544">
        <v>-11920.109282911453</v>
      </c>
      <c r="J523" s="542">
        <f>I523*(1+'Detailed Assumptions'!$E$35)</f>
        <v>-11920.109282911453</v>
      </c>
      <c r="K523" s="542">
        <f>J523*(1+'Detailed Assumptions'!$E$35)</f>
        <v>-11920.109282911453</v>
      </c>
      <c r="L523" s="542">
        <f>K523*(1+'Detailed Assumptions'!$E$35)</f>
        <v>-11920.109282911453</v>
      </c>
      <c r="M523" s="542">
        <f>L523*(1+'Detailed Assumptions'!$E$35)</f>
        <v>-11920.109282911453</v>
      </c>
      <c r="N523" s="542">
        <f>M523*(1+'Detailed Assumptions'!$E$35)</f>
        <v>-11920.109282911453</v>
      </c>
      <c r="O523" s="529"/>
      <c r="P523" s="564">
        <f t="shared" si="684"/>
        <v>0</v>
      </c>
      <c r="Q523" s="529"/>
      <c r="R523" s="527">
        <f t="shared" si="685"/>
        <v>-993.34244024262114</v>
      </c>
      <c r="S523" s="527">
        <f t="shared" si="685"/>
        <v>-993.34244024262114</v>
      </c>
      <c r="T523" s="527">
        <f t="shared" si="685"/>
        <v>-993.34244024262114</v>
      </c>
      <c r="U523" s="527">
        <f t="shared" si="685"/>
        <v>-993.34244024262114</v>
      </c>
      <c r="V523" s="527">
        <f t="shared" si="685"/>
        <v>-993.34244024262114</v>
      </c>
      <c r="W523" s="527">
        <f t="shared" si="685"/>
        <v>-993.34244024262114</v>
      </c>
      <c r="X523" s="527">
        <f t="shared" si="685"/>
        <v>-993.34244024262114</v>
      </c>
      <c r="Y523" s="527">
        <f t="shared" si="685"/>
        <v>-993.34244024262114</v>
      </c>
      <c r="Z523" s="527">
        <f t="shared" si="685"/>
        <v>-993.34244024262114</v>
      </c>
      <c r="AA523" s="527">
        <f t="shared" si="685"/>
        <v>-993.34244024262114</v>
      </c>
      <c r="AB523" s="527">
        <f t="shared" si="685"/>
        <v>-993.34244024262114</v>
      </c>
      <c r="AC523" s="527">
        <f t="shared" si="685"/>
        <v>-993.34244024262114</v>
      </c>
      <c r="AD523" s="527">
        <f t="shared" si="685"/>
        <v>-993.34244024262114</v>
      </c>
      <c r="AE523" s="527">
        <f t="shared" si="685"/>
        <v>-993.34244024262114</v>
      </c>
      <c r="AF523" s="527">
        <f t="shared" si="685"/>
        <v>-993.34244024262114</v>
      </c>
      <c r="AG523" s="527">
        <f t="shared" si="685"/>
        <v>-993.34244024262114</v>
      </c>
      <c r="AH523" s="527">
        <f t="shared" si="686"/>
        <v>-993.34244024262114</v>
      </c>
      <c r="AI523" s="527">
        <f t="shared" si="686"/>
        <v>-993.34244024262114</v>
      </c>
      <c r="AJ523" s="527">
        <f t="shared" si="686"/>
        <v>-993.34244024262114</v>
      </c>
      <c r="AK523" s="527">
        <f t="shared" si="686"/>
        <v>-993.34244024262114</v>
      </c>
      <c r="AL523" s="527">
        <f t="shared" si="686"/>
        <v>-993.34244024262114</v>
      </c>
      <c r="AM523" s="527">
        <f t="shared" si="686"/>
        <v>-993.34244024262114</v>
      </c>
      <c r="AN523" s="527">
        <f t="shared" si="686"/>
        <v>-993.34244024262114</v>
      </c>
      <c r="AO523" s="527">
        <f t="shared" si="686"/>
        <v>-993.34244024262114</v>
      </c>
      <c r="AP523" s="527">
        <f t="shared" si="686"/>
        <v>-993.34244024262114</v>
      </c>
      <c r="AQ523" s="527">
        <f t="shared" si="686"/>
        <v>-993.34244024262114</v>
      </c>
      <c r="AR523" s="527">
        <f t="shared" si="686"/>
        <v>-993.34244024262114</v>
      </c>
      <c r="AS523" s="527">
        <f t="shared" si="686"/>
        <v>-993.34244024262114</v>
      </c>
      <c r="AT523" s="527">
        <f t="shared" si="686"/>
        <v>-993.34244024262114</v>
      </c>
      <c r="AU523" s="527">
        <f t="shared" si="686"/>
        <v>-993.34244024262114</v>
      </c>
      <c r="AV523" s="527">
        <f t="shared" si="686"/>
        <v>-993.34244024262114</v>
      </c>
      <c r="AW523" s="527">
        <f t="shared" si="686"/>
        <v>-993.34244024262114</v>
      </c>
      <c r="AX523" s="527">
        <f t="shared" si="687"/>
        <v>-993.34244024262114</v>
      </c>
      <c r="AY523" s="527">
        <f t="shared" si="687"/>
        <v>-993.34244024262114</v>
      </c>
      <c r="AZ523" s="527">
        <f t="shared" si="687"/>
        <v>-993.34244024262114</v>
      </c>
      <c r="BA523" s="527">
        <f t="shared" si="687"/>
        <v>-993.34244024262114</v>
      </c>
      <c r="BB523" s="527">
        <f t="shared" si="687"/>
        <v>-993.34244024262114</v>
      </c>
      <c r="BC523" s="527">
        <f t="shared" si="687"/>
        <v>-993.34244024262114</v>
      </c>
      <c r="BD523" s="527">
        <f t="shared" si="687"/>
        <v>-993.34244024262114</v>
      </c>
      <c r="BE523" s="527">
        <f t="shared" si="687"/>
        <v>-993.34244024262114</v>
      </c>
      <c r="BF523" s="527">
        <f t="shared" si="687"/>
        <v>-993.34244024262114</v>
      </c>
      <c r="BG523" s="527">
        <f t="shared" si="687"/>
        <v>-993.34244024262114</v>
      </c>
      <c r="BH523" s="527">
        <f t="shared" si="687"/>
        <v>-993.34244024262114</v>
      </c>
      <c r="BI523" s="527">
        <f t="shared" si="687"/>
        <v>-993.34244024262114</v>
      </c>
      <c r="BJ523" s="527">
        <f t="shared" si="687"/>
        <v>-993.34244024262114</v>
      </c>
      <c r="BK523" s="527">
        <f t="shared" si="687"/>
        <v>-993.34244024262114</v>
      </c>
      <c r="BL523" s="527">
        <f t="shared" si="687"/>
        <v>-993.34244024262114</v>
      </c>
      <c r="BM523" s="527">
        <f t="shared" si="687"/>
        <v>-993.34244024262114</v>
      </c>
      <c r="BN523" s="527">
        <f t="shared" si="688"/>
        <v>-993.34244024262114</v>
      </c>
      <c r="BO523" s="527">
        <f t="shared" si="688"/>
        <v>-993.34244024262114</v>
      </c>
      <c r="BP523" s="527">
        <f t="shared" si="688"/>
        <v>-993.34244024262114</v>
      </c>
      <c r="BQ523" s="527">
        <f t="shared" si="688"/>
        <v>-993.34244024262114</v>
      </c>
      <c r="BR523" s="527">
        <f t="shared" si="688"/>
        <v>-993.34244024262114</v>
      </c>
      <c r="BS523" s="527">
        <f t="shared" si="688"/>
        <v>-993.34244024262114</v>
      </c>
      <c r="BT523" s="527">
        <f t="shared" si="688"/>
        <v>-993.34244024262114</v>
      </c>
      <c r="BU523" s="527">
        <f t="shared" si="688"/>
        <v>-993.34244024262114</v>
      </c>
      <c r="BV523" s="527">
        <f t="shared" si="688"/>
        <v>-993.34244024262114</v>
      </c>
      <c r="BW523" s="527">
        <f t="shared" si="688"/>
        <v>-993.34244024262114</v>
      </c>
      <c r="BX523" s="527">
        <f t="shared" si="688"/>
        <v>-993.34244024262114</v>
      </c>
      <c r="BY523" s="527">
        <f t="shared" si="688"/>
        <v>-993.34244024262114</v>
      </c>
      <c r="BZ523" s="537"/>
      <c r="CA523" s="537"/>
      <c r="CB523" s="529"/>
    </row>
    <row r="524" spans="1:80" x14ac:dyDescent="0.3">
      <c r="A524" s="648"/>
      <c r="B524" s="648" t="s">
        <v>9</v>
      </c>
      <c r="C524" s="648" cm="1">
        <f t="array" ref="C524">SUMPRODUCT((Index_Tab!$D$36:$D$45=$B524)*(Index_Tab!$E$35:$F$35=$B$3)*Index_Tab!$E$36:$F$45)</f>
        <v>0</v>
      </c>
      <c r="D524" s="648"/>
      <c r="E524" s="572" t="s">
        <v>394</v>
      </c>
      <c r="F524" s="573"/>
      <c r="G524" s="573"/>
      <c r="H524" s="529"/>
      <c r="I524" s="659">
        <v>45571.899999999994</v>
      </c>
      <c r="J524" s="532">
        <f>SUM(J521:J523)</f>
        <v>53824.326074073251</v>
      </c>
      <c r="K524" s="532">
        <f>SUM(K521:K523)</f>
        <v>53824.326074073251</v>
      </c>
      <c r="L524" s="532">
        <f>SUM(L521:L523)</f>
        <v>53824.326074073251</v>
      </c>
      <c r="M524" s="532">
        <f>SUM(M521:M523)</f>
        <v>53824.326074073251</v>
      </c>
      <c r="N524" s="532">
        <f>SUM(N521:N523)</f>
        <v>53824.326074073251</v>
      </c>
      <c r="O524" s="536"/>
      <c r="P524" s="568">
        <f t="shared" si="684"/>
        <v>3.3847050359684383E-2</v>
      </c>
      <c r="Q524" s="529"/>
      <c r="R524" s="532">
        <f t="shared" ref="R524:BX524" si="689">SUM(R521:R523)</f>
        <v>4485.3605061727703</v>
      </c>
      <c r="S524" s="532">
        <f t="shared" si="689"/>
        <v>4485.3605061727703</v>
      </c>
      <c r="T524" s="532">
        <f t="shared" si="689"/>
        <v>4485.3605061727703</v>
      </c>
      <c r="U524" s="532">
        <f t="shared" si="689"/>
        <v>4485.3605061727703</v>
      </c>
      <c r="V524" s="532">
        <f t="shared" si="689"/>
        <v>4485.3605061727703</v>
      </c>
      <c r="W524" s="532">
        <f t="shared" si="689"/>
        <v>4485.3605061727703</v>
      </c>
      <c r="X524" s="532">
        <f t="shared" si="689"/>
        <v>4485.3605061727703</v>
      </c>
      <c r="Y524" s="532">
        <f t="shared" si="689"/>
        <v>4485.3605061727703</v>
      </c>
      <c r="Z524" s="532">
        <f t="shared" si="689"/>
        <v>4485.3605061727703</v>
      </c>
      <c r="AA524" s="532">
        <f t="shared" si="689"/>
        <v>4485.3605061727703</v>
      </c>
      <c r="AB524" s="532">
        <f t="shared" si="689"/>
        <v>4485.3605061727703</v>
      </c>
      <c r="AC524" s="532">
        <f t="shared" si="689"/>
        <v>4485.3605061727703</v>
      </c>
      <c r="AD524" s="532">
        <f t="shared" si="689"/>
        <v>4485.3605061727703</v>
      </c>
      <c r="AE524" s="532">
        <f t="shared" si="689"/>
        <v>4485.3605061727703</v>
      </c>
      <c r="AF524" s="532">
        <f t="shared" si="689"/>
        <v>4485.3605061727703</v>
      </c>
      <c r="AG524" s="532">
        <f t="shared" si="689"/>
        <v>4485.3605061727703</v>
      </c>
      <c r="AH524" s="532">
        <f t="shared" si="689"/>
        <v>4485.3605061727703</v>
      </c>
      <c r="AI524" s="532">
        <f t="shared" si="689"/>
        <v>4485.3605061727703</v>
      </c>
      <c r="AJ524" s="532">
        <f t="shared" si="689"/>
        <v>4485.3605061727703</v>
      </c>
      <c r="AK524" s="532">
        <f t="shared" si="689"/>
        <v>4485.3605061727703</v>
      </c>
      <c r="AL524" s="532">
        <f t="shared" si="689"/>
        <v>4485.3605061727703</v>
      </c>
      <c r="AM524" s="532">
        <f t="shared" si="689"/>
        <v>4485.3605061727703</v>
      </c>
      <c r="AN524" s="532">
        <f t="shared" si="689"/>
        <v>4485.3605061727703</v>
      </c>
      <c r="AO524" s="532">
        <f t="shared" si="689"/>
        <v>4485.3605061727703</v>
      </c>
      <c r="AP524" s="532">
        <f t="shared" si="689"/>
        <v>4485.3605061727703</v>
      </c>
      <c r="AQ524" s="532">
        <f t="shared" si="689"/>
        <v>4485.3605061727703</v>
      </c>
      <c r="AR524" s="532">
        <f t="shared" si="689"/>
        <v>4485.3605061727703</v>
      </c>
      <c r="AS524" s="532">
        <f t="shared" si="689"/>
        <v>4485.3605061727703</v>
      </c>
      <c r="AT524" s="532">
        <f t="shared" si="689"/>
        <v>4485.3605061727703</v>
      </c>
      <c r="AU524" s="532">
        <f t="shared" si="689"/>
        <v>4485.3605061727703</v>
      </c>
      <c r="AV524" s="532">
        <f t="shared" si="689"/>
        <v>4485.3605061727703</v>
      </c>
      <c r="AW524" s="532">
        <f t="shared" si="689"/>
        <v>4485.3605061727703</v>
      </c>
      <c r="AX524" s="532">
        <f t="shared" si="689"/>
        <v>4485.3605061727703</v>
      </c>
      <c r="AY524" s="532">
        <f t="shared" si="689"/>
        <v>4485.3605061727703</v>
      </c>
      <c r="AZ524" s="532">
        <f t="shared" si="689"/>
        <v>4485.3605061727703</v>
      </c>
      <c r="BA524" s="532">
        <f t="shared" si="689"/>
        <v>4485.3605061727703</v>
      </c>
      <c r="BB524" s="532">
        <f t="shared" si="689"/>
        <v>4485.3605061727703</v>
      </c>
      <c r="BC524" s="532">
        <f t="shared" si="689"/>
        <v>4485.3605061727703</v>
      </c>
      <c r="BD524" s="532">
        <f t="shared" si="689"/>
        <v>4485.3605061727703</v>
      </c>
      <c r="BE524" s="532">
        <f t="shared" si="689"/>
        <v>4485.3605061727703</v>
      </c>
      <c r="BF524" s="532">
        <f t="shared" si="689"/>
        <v>4485.3605061727703</v>
      </c>
      <c r="BG524" s="532">
        <f t="shared" si="689"/>
        <v>4485.3605061727703</v>
      </c>
      <c r="BH524" s="532">
        <f t="shared" si="689"/>
        <v>4485.3605061727703</v>
      </c>
      <c r="BI524" s="532">
        <f t="shared" si="689"/>
        <v>4485.3605061727703</v>
      </c>
      <c r="BJ524" s="532">
        <f t="shared" si="689"/>
        <v>4485.3605061727703</v>
      </c>
      <c r="BK524" s="532">
        <f t="shared" si="689"/>
        <v>4485.3605061727703</v>
      </c>
      <c r="BL524" s="532">
        <f t="shared" si="689"/>
        <v>4485.3605061727703</v>
      </c>
      <c r="BM524" s="532">
        <f t="shared" si="689"/>
        <v>4485.3605061727703</v>
      </c>
      <c r="BN524" s="532">
        <f t="shared" si="689"/>
        <v>4485.3605061727703</v>
      </c>
      <c r="BO524" s="532">
        <f t="shared" si="689"/>
        <v>4485.3605061727703</v>
      </c>
      <c r="BP524" s="532">
        <f t="shared" si="689"/>
        <v>4485.3605061727703</v>
      </c>
      <c r="BQ524" s="532">
        <f t="shared" si="689"/>
        <v>4485.3605061727703</v>
      </c>
      <c r="BR524" s="532">
        <f t="shared" si="689"/>
        <v>4485.3605061727703</v>
      </c>
      <c r="BS524" s="532">
        <f t="shared" si="689"/>
        <v>4485.3605061727703</v>
      </c>
      <c r="BT524" s="532">
        <f t="shared" si="689"/>
        <v>4485.3605061727703</v>
      </c>
      <c r="BU524" s="532">
        <f t="shared" si="689"/>
        <v>4485.3605061727703</v>
      </c>
      <c r="BV524" s="532">
        <f t="shared" si="689"/>
        <v>4485.3605061727703</v>
      </c>
      <c r="BW524" s="532">
        <f t="shared" si="689"/>
        <v>4485.3605061727703</v>
      </c>
      <c r="BX524" s="532">
        <f t="shared" si="689"/>
        <v>4485.3605061727703</v>
      </c>
      <c r="BY524" s="532">
        <f>SUM(BY521:BY523)</f>
        <v>4485.3605061727703</v>
      </c>
      <c r="BZ524" s="537"/>
      <c r="CA524" s="537"/>
      <c r="CB524" s="529"/>
    </row>
    <row r="525" spans="1:80" x14ac:dyDescent="0.3">
      <c r="A525" s="648"/>
      <c r="B525" s="648" t="s">
        <v>10</v>
      </c>
      <c r="C525" s="648" cm="1">
        <f t="array" ref="C525">SUMPRODUCT((Index_Tab!$D$36:$D$45=$B525)*(Index_Tab!$E$35:$F$35=$B$3)*Index_Tab!$E$36:$F$45)</f>
        <v>13</v>
      </c>
      <c r="D525" s="648"/>
      <c r="E525" s="525" t="s">
        <v>395</v>
      </c>
      <c r="F525" s="567"/>
      <c r="G525" s="567"/>
      <c r="H525" s="529"/>
      <c r="I525" s="544">
        <v>-10156.33675220787</v>
      </c>
      <c r="J525" s="542" cm="1">
        <f t="array" ref="J525">I525*(1+INDEX(('Detailed Assumptions'!$D$59:$J$79,'Detailed Assumptions'!$L$59:$R$79,'Detailed Assumptions'!$T$59:$Z$79,'Detailed Assumptions'!$AB$59:$AH$79),$C525,J$2,$C$506))</f>
        <v>-10156.33675220787</v>
      </c>
      <c r="K525" s="542" cm="1">
        <f t="array" ref="K525">J525*(1+INDEX(('Detailed Assumptions'!$D$59:$J$79,'Detailed Assumptions'!$L$59:$R$79,'Detailed Assumptions'!$T$59:$Z$79,'Detailed Assumptions'!$AB$59:$AH$79),$C525,K$2,$C$506))</f>
        <v>-10156.33675220787</v>
      </c>
      <c r="L525" s="542" cm="1">
        <f t="array" ref="L525">K525*(1+INDEX(('Detailed Assumptions'!$D$59:$J$79,'Detailed Assumptions'!$L$59:$R$79,'Detailed Assumptions'!$T$59:$Z$79,'Detailed Assumptions'!$AB$59:$AH$79),$C525,L$2,$C$506))</f>
        <v>-10156.33675220787</v>
      </c>
      <c r="M525" s="542" cm="1">
        <f t="array" ref="M525">L525*(1+INDEX(('Detailed Assumptions'!$D$59:$J$79,'Detailed Assumptions'!$L$59:$R$79,'Detailed Assumptions'!$T$59:$Z$79,'Detailed Assumptions'!$AB$59:$AH$79),$C525,M$2,$C$506))</f>
        <v>-10156.33675220787</v>
      </c>
      <c r="N525" s="542" cm="1">
        <f t="array" ref="N525">M525*(1+INDEX(('Detailed Assumptions'!$D$59:$J$79,'Detailed Assumptions'!$L$59:$R$79,'Detailed Assumptions'!$T$59:$Z$79,'Detailed Assumptions'!$AB$59:$AH$79),$C525,N$2,$C$506))</f>
        <v>-10156.33675220787</v>
      </c>
      <c r="O525" s="529"/>
      <c r="P525" s="564">
        <f t="shared" si="684"/>
        <v>0</v>
      </c>
      <c r="Q525" s="529"/>
      <c r="R525" s="527">
        <f t="shared" ref="R525:BY525" si="690">(INDEX($I525:$N525,MATCH(R$2,$I$3:$N$3,0)))/12</f>
        <v>-846.36139601732248</v>
      </c>
      <c r="S525" s="527">
        <f t="shared" si="690"/>
        <v>-846.36139601732248</v>
      </c>
      <c r="T525" s="527">
        <f t="shared" si="690"/>
        <v>-846.36139601732248</v>
      </c>
      <c r="U525" s="527">
        <f t="shared" si="690"/>
        <v>-846.36139601732248</v>
      </c>
      <c r="V525" s="527">
        <f t="shared" si="690"/>
        <v>-846.36139601732248</v>
      </c>
      <c r="W525" s="527">
        <f t="shared" si="690"/>
        <v>-846.36139601732248</v>
      </c>
      <c r="X525" s="527">
        <f t="shared" si="690"/>
        <v>-846.36139601732248</v>
      </c>
      <c r="Y525" s="527">
        <f t="shared" si="690"/>
        <v>-846.36139601732248</v>
      </c>
      <c r="Z525" s="527">
        <f t="shared" si="690"/>
        <v>-846.36139601732248</v>
      </c>
      <c r="AA525" s="527">
        <f t="shared" si="690"/>
        <v>-846.36139601732248</v>
      </c>
      <c r="AB525" s="527">
        <f t="shared" si="690"/>
        <v>-846.36139601732248</v>
      </c>
      <c r="AC525" s="527">
        <f t="shared" si="690"/>
        <v>-846.36139601732248</v>
      </c>
      <c r="AD525" s="527">
        <f t="shared" si="690"/>
        <v>-846.36139601732248</v>
      </c>
      <c r="AE525" s="527">
        <f t="shared" si="690"/>
        <v>-846.36139601732248</v>
      </c>
      <c r="AF525" s="527">
        <f t="shared" si="690"/>
        <v>-846.36139601732248</v>
      </c>
      <c r="AG525" s="527">
        <f t="shared" si="690"/>
        <v>-846.36139601732248</v>
      </c>
      <c r="AH525" s="527">
        <f t="shared" si="690"/>
        <v>-846.36139601732248</v>
      </c>
      <c r="AI525" s="527">
        <f t="shared" si="690"/>
        <v>-846.36139601732248</v>
      </c>
      <c r="AJ525" s="527">
        <f t="shared" si="690"/>
        <v>-846.36139601732248</v>
      </c>
      <c r="AK525" s="527">
        <f t="shared" si="690"/>
        <v>-846.36139601732248</v>
      </c>
      <c r="AL525" s="527">
        <f t="shared" si="690"/>
        <v>-846.36139601732248</v>
      </c>
      <c r="AM525" s="527">
        <f t="shared" si="690"/>
        <v>-846.36139601732248</v>
      </c>
      <c r="AN525" s="527">
        <f t="shared" si="690"/>
        <v>-846.36139601732248</v>
      </c>
      <c r="AO525" s="527">
        <f t="shared" si="690"/>
        <v>-846.36139601732248</v>
      </c>
      <c r="AP525" s="527">
        <f t="shared" si="690"/>
        <v>-846.36139601732248</v>
      </c>
      <c r="AQ525" s="527">
        <f t="shared" si="690"/>
        <v>-846.36139601732248</v>
      </c>
      <c r="AR525" s="527">
        <f t="shared" si="690"/>
        <v>-846.36139601732248</v>
      </c>
      <c r="AS525" s="527">
        <f t="shared" si="690"/>
        <v>-846.36139601732248</v>
      </c>
      <c r="AT525" s="527">
        <f t="shared" si="690"/>
        <v>-846.36139601732248</v>
      </c>
      <c r="AU525" s="527">
        <f t="shared" si="690"/>
        <v>-846.36139601732248</v>
      </c>
      <c r="AV525" s="527">
        <f t="shared" si="690"/>
        <v>-846.36139601732248</v>
      </c>
      <c r="AW525" s="527">
        <f t="shared" si="690"/>
        <v>-846.36139601732248</v>
      </c>
      <c r="AX525" s="527">
        <f t="shared" si="690"/>
        <v>-846.36139601732248</v>
      </c>
      <c r="AY525" s="527">
        <f t="shared" si="690"/>
        <v>-846.36139601732248</v>
      </c>
      <c r="AZ525" s="527">
        <f t="shared" si="690"/>
        <v>-846.36139601732248</v>
      </c>
      <c r="BA525" s="527">
        <f t="shared" si="690"/>
        <v>-846.36139601732248</v>
      </c>
      <c r="BB525" s="527">
        <f t="shared" si="690"/>
        <v>-846.36139601732248</v>
      </c>
      <c r="BC525" s="527">
        <f t="shared" si="690"/>
        <v>-846.36139601732248</v>
      </c>
      <c r="BD525" s="527">
        <f t="shared" si="690"/>
        <v>-846.36139601732248</v>
      </c>
      <c r="BE525" s="527">
        <f t="shared" si="690"/>
        <v>-846.36139601732248</v>
      </c>
      <c r="BF525" s="527">
        <f t="shared" si="690"/>
        <v>-846.36139601732248</v>
      </c>
      <c r="BG525" s="527">
        <f t="shared" si="690"/>
        <v>-846.36139601732248</v>
      </c>
      <c r="BH525" s="527">
        <f t="shared" si="690"/>
        <v>-846.36139601732248</v>
      </c>
      <c r="BI525" s="527">
        <f t="shared" si="690"/>
        <v>-846.36139601732248</v>
      </c>
      <c r="BJ525" s="527">
        <f t="shared" si="690"/>
        <v>-846.36139601732248</v>
      </c>
      <c r="BK525" s="527">
        <f t="shared" si="690"/>
        <v>-846.36139601732248</v>
      </c>
      <c r="BL525" s="527">
        <f t="shared" si="690"/>
        <v>-846.36139601732248</v>
      </c>
      <c r="BM525" s="527">
        <f t="shared" si="690"/>
        <v>-846.36139601732248</v>
      </c>
      <c r="BN525" s="527">
        <f t="shared" si="690"/>
        <v>-846.36139601732248</v>
      </c>
      <c r="BO525" s="527">
        <f t="shared" si="690"/>
        <v>-846.36139601732248</v>
      </c>
      <c r="BP525" s="527">
        <f t="shared" si="690"/>
        <v>-846.36139601732248</v>
      </c>
      <c r="BQ525" s="527">
        <f t="shared" si="690"/>
        <v>-846.36139601732248</v>
      </c>
      <c r="BR525" s="527">
        <f t="shared" si="690"/>
        <v>-846.36139601732248</v>
      </c>
      <c r="BS525" s="527">
        <f t="shared" si="690"/>
        <v>-846.36139601732248</v>
      </c>
      <c r="BT525" s="527">
        <f t="shared" si="690"/>
        <v>-846.36139601732248</v>
      </c>
      <c r="BU525" s="527">
        <f t="shared" si="690"/>
        <v>-846.36139601732248</v>
      </c>
      <c r="BV525" s="527">
        <f t="shared" si="690"/>
        <v>-846.36139601732248</v>
      </c>
      <c r="BW525" s="527">
        <f t="shared" si="690"/>
        <v>-846.36139601732248</v>
      </c>
      <c r="BX525" s="527">
        <f t="shared" si="690"/>
        <v>-846.36139601732248</v>
      </c>
      <c r="BY525" s="527">
        <f t="shared" si="690"/>
        <v>-846.36139601732248</v>
      </c>
      <c r="BZ525" s="537"/>
      <c r="CA525" s="537"/>
      <c r="CB525" s="529"/>
    </row>
    <row r="526" spans="1:80" x14ac:dyDescent="0.3">
      <c r="A526" s="648"/>
      <c r="B526" s="648" t="s">
        <v>11</v>
      </c>
      <c r="C526" s="648" cm="1">
        <f t="array" ref="C526">SUMPRODUCT((Index_Tab!$D$36:$D$45=$B526)*(Index_Tab!$E$35:$F$35=$B$3)*Index_Tab!$E$36:$F$45)</f>
        <v>0</v>
      </c>
      <c r="D526" s="648"/>
      <c r="E526" s="572" t="s">
        <v>396</v>
      </c>
      <c r="F526" s="573"/>
      <c r="G526" s="573"/>
      <c r="H526" s="529"/>
      <c r="I526" s="659">
        <v>43667.989321865345</v>
      </c>
      <c r="J526" s="532">
        <f>SUM(J524:J525)</f>
        <v>43667.989321865381</v>
      </c>
      <c r="K526" s="532">
        <f>SUM(K524:K525)</f>
        <v>43667.989321865381</v>
      </c>
      <c r="L526" s="532">
        <f>SUM(L524:L525)</f>
        <v>43667.989321865381</v>
      </c>
      <c r="M526" s="532">
        <f>SUM(M524:M525)</f>
        <v>43667.989321865381</v>
      </c>
      <c r="N526" s="532">
        <f>SUM(N524:N525)</f>
        <v>43667.989321865381</v>
      </c>
      <c r="O526" s="536"/>
      <c r="P526" s="568">
        <f t="shared" si="684"/>
        <v>2.2204460492503131E-16</v>
      </c>
      <c r="Q526" s="529"/>
      <c r="R526" s="532">
        <f t="shared" ref="R526:BX526" si="691">SUM(R524:R525)</f>
        <v>3638.9991101554479</v>
      </c>
      <c r="S526" s="532">
        <f t="shared" si="691"/>
        <v>3638.9991101554479</v>
      </c>
      <c r="T526" s="532">
        <f t="shared" si="691"/>
        <v>3638.9991101554479</v>
      </c>
      <c r="U526" s="532">
        <f t="shared" si="691"/>
        <v>3638.9991101554479</v>
      </c>
      <c r="V526" s="532">
        <f t="shared" si="691"/>
        <v>3638.9991101554479</v>
      </c>
      <c r="W526" s="532">
        <f t="shared" si="691"/>
        <v>3638.9991101554479</v>
      </c>
      <c r="X526" s="532">
        <f t="shared" si="691"/>
        <v>3638.9991101554479</v>
      </c>
      <c r="Y526" s="532">
        <f t="shared" si="691"/>
        <v>3638.9991101554479</v>
      </c>
      <c r="Z526" s="532">
        <f t="shared" si="691"/>
        <v>3638.9991101554479</v>
      </c>
      <c r="AA526" s="532">
        <f t="shared" si="691"/>
        <v>3638.9991101554479</v>
      </c>
      <c r="AB526" s="532">
        <f t="shared" si="691"/>
        <v>3638.9991101554479</v>
      </c>
      <c r="AC526" s="532">
        <f t="shared" si="691"/>
        <v>3638.9991101554479</v>
      </c>
      <c r="AD526" s="532">
        <f t="shared" si="691"/>
        <v>3638.9991101554479</v>
      </c>
      <c r="AE526" s="532">
        <f t="shared" si="691"/>
        <v>3638.9991101554479</v>
      </c>
      <c r="AF526" s="532">
        <f t="shared" si="691"/>
        <v>3638.9991101554479</v>
      </c>
      <c r="AG526" s="532">
        <f t="shared" si="691"/>
        <v>3638.9991101554479</v>
      </c>
      <c r="AH526" s="532">
        <f t="shared" si="691"/>
        <v>3638.9991101554479</v>
      </c>
      <c r="AI526" s="532">
        <f t="shared" si="691"/>
        <v>3638.9991101554479</v>
      </c>
      <c r="AJ526" s="532">
        <f t="shared" si="691"/>
        <v>3638.9991101554479</v>
      </c>
      <c r="AK526" s="532">
        <f t="shared" si="691"/>
        <v>3638.9991101554479</v>
      </c>
      <c r="AL526" s="532">
        <f t="shared" si="691"/>
        <v>3638.9991101554479</v>
      </c>
      <c r="AM526" s="532">
        <f t="shared" si="691"/>
        <v>3638.9991101554479</v>
      </c>
      <c r="AN526" s="532">
        <f t="shared" si="691"/>
        <v>3638.9991101554479</v>
      </c>
      <c r="AO526" s="532">
        <f t="shared" si="691"/>
        <v>3638.9991101554479</v>
      </c>
      <c r="AP526" s="532">
        <f t="shared" si="691"/>
        <v>3638.9991101554479</v>
      </c>
      <c r="AQ526" s="532">
        <f t="shared" si="691"/>
        <v>3638.9991101554479</v>
      </c>
      <c r="AR526" s="532">
        <f t="shared" si="691"/>
        <v>3638.9991101554479</v>
      </c>
      <c r="AS526" s="532">
        <f t="shared" si="691"/>
        <v>3638.9991101554479</v>
      </c>
      <c r="AT526" s="532">
        <f t="shared" si="691"/>
        <v>3638.9991101554479</v>
      </c>
      <c r="AU526" s="532">
        <f t="shared" si="691"/>
        <v>3638.9991101554479</v>
      </c>
      <c r="AV526" s="532">
        <f t="shared" si="691"/>
        <v>3638.9991101554479</v>
      </c>
      <c r="AW526" s="532">
        <f t="shared" si="691"/>
        <v>3638.9991101554479</v>
      </c>
      <c r="AX526" s="532">
        <f t="shared" si="691"/>
        <v>3638.9991101554479</v>
      </c>
      <c r="AY526" s="532">
        <f t="shared" si="691"/>
        <v>3638.9991101554479</v>
      </c>
      <c r="AZ526" s="532">
        <f t="shared" si="691"/>
        <v>3638.9991101554479</v>
      </c>
      <c r="BA526" s="532">
        <f t="shared" si="691"/>
        <v>3638.9991101554479</v>
      </c>
      <c r="BB526" s="532">
        <f t="shared" si="691"/>
        <v>3638.9991101554479</v>
      </c>
      <c r="BC526" s="532">
        <f t="shared" si="691"/>
        <v>3638.9991101554479</v>
      </c>
      <c r="BD526" s="532">
        <f t="shared" si="691"/>
        <v>3638.9991101554479</v>
      </c>
      <c r="BE526" s="532">
        <f t="shared" si="691"/>
        <v>3638.9991101554479</v>
      </c>
      <c r="BF526" s="532">
        <f t="shared" si="691"/>
        <v>3638.9991101554479</v>
      </c>
      <c r="BG526" s="532">
        <f t="shared" si="691"/>
        <v>3638.9991101554479</v>
      </c>
      <c r="BH526" s="532">
        <f t="shared" si="691"/>
        <v>3638.9991101554479</v>
      </c>
      <c r="BI526" s="532">
        <f t="shared" si="691"/>
        <v>3638.9991101554479</v>
      </c>
      <c r="BJ526" s="532">
        <f t="shared" si="691"/>
        <v>3638.9991101554479</v>
      </c>
      <c r="BK526" s="532">
        <f t="shared" si="691"/>
        <v>3638.9991101554479</v>
      </c>
      <c r="BL526" s="532">
        <f t="shared" si="691"/>
        <v>3638.9991101554479</v>
      </c>
      <c r="BM526" s="532">
        <f t="shared" si="691"/>
        <v>3638.9991101554479</v>
      </c>
      <c r="BN526" s="532">
        <f t="shared" si="691"/>
        <v>3638.9991101554479</v>
      </c>
      <c r="BO526" s="532">
        <f t="shared" si="691"/>
        <v>3638.9991101554479</v>
      </c>
      <c r="BP526" s="532">
        <f t="shared" si="691"/>
        <v>3638.9991101554479</v>
      </c>
      <c r="BQ526" s="532">
        <f t="shared" si="691"/>
        <v>3638.9991101554479</v>
      </c>
      <c r="BR526" s="532">
        <f t="shared" si="691"/>
        <v>3638.9991101554479</v>
      </c>
      <c r="BS526" s="532">
        <f t="shared" si="691"/>
        <v>3638.9991101554479</v>
      </c>
      <c r="BT526" s="532">
        <f t="shared" si="691"/>
        <v>3638.9991101554479</v>
      </c>
      <c r="BU526" s="532">
        <f t="shared" si="691"/>
        <v>3638.9991101554479</v>
      </c>
      <c r="BV526" s="532">
        <f t="shared" si="691"/>
        <v>3638.9991101554479</v>
      </c>
      <c r="BW526" s="532">
        <f t="shared" si="691"/>
        <v>3638.9991101554479</v>
      </c>
      <c r="BX526" s="532">
        <f t="shared" si="691"/>
        <v>3638.9991101554479</v>
      </c>
      <c r="BY526" s="532">
        <f>SUM(BY524:BY525)</f>
        <v>3638.9991101554479</v>
      </c>
      <c r="BZ526" s="537"/>
      <c r="CA526" s="537"/>
      <c r="CB526" s="529"/>
    </row>
    <row r="527" spans="1:80" x14ac:dyDescent="0.3">
      <c r="A527" s="648"/>
      <c r="B527" s="648"/>
      <c r="C527" s="648" cm="1">
        <f t="array" ref="C527">SUMPRODUCT((Index_Tab!$D$36:$D$45=$B527)*(Index_Tab!$E$35:$F$35=$B$3)*Index_Tab!$E$36:$F$45)</f>
        <v>0</v>
      </c>
      <c r="D527" s="648"/>
      <c r="E527" s="525" t="s">
        <v>176</v>
      </c>
      <c r="F527" s="576"/>
      <c r="G527" s="576"/>
      <c r="H527" s="529"/>
      <c r="I527" s="531">
        <f t="shared" ref="I527:N527" si="692">IFERROR(I526/I521,0)</f>
        <v>0.32085492386810743</v>
      </c>
      <c r="J527" s="531">
        <f t="shared" si="692"/>
        <v>0.32085492386810771</v>
      </c>
      <c r="K527" s="531">
        <f t="shared" si="692"/>
        <v>0.32085492386810771</v>
      </c>
      <c r="L527" s="531">
        <f t="shared" si="692"/>
        <v>0.32085492386810771</v>
      </c>
      <c r="M527" s="531">
        <f t="shared" si="692"/>
        <v>0.32085492386810771</v>
      </c>
      <c r="N527" s="531">
        <f t="shared" si="692"/>
        <v>0.32085492386810771</v>
      </c>
      <c r="O527" s="546"/>
      <c r="P527" s="564">
        <f t="shared" si="684"/>
        <v>2.2204460492503131E-16</v>
      </c>
      <c r="Q527" s="529"/>
      <c r="R527" s="531">
        <f>IFERROR(J526/J521,0)</f>
        <v>0.32085492386810771</v>
      </c>
      <c r="S527" s="531">
        <f t="shared" ref="S527:BY527" si="693">IFERROR(K526/K521,0)</f>
        <v>0.32085492386810771</v>
      </c>
      <c r="T527" s="531">
        <f t="shared" si="693"/>
        <v>0.32085492386810771</v>
      </c>
      <c r="U527" s="531">
        <f t="shared" si="693"/>
        <v>0.32085492386810771</v>
      </c>
      <c r="V527" s="531">
        <f t="shared" si="693"/>
        <v>0.32085492386810771</v>
      </c>
      <c r="W527" s="531">
        <f t="shared" si="693"/>
        <v>0</v>
      </c>
      <c r="X527" s="531">
        <f t="shared" si="693"/>
        <v>0</v>
      </c>
      <c r="Y527" s="531">
        <f t="shared" si="693"/>
        <v>0</v>
      </c>
      <c r="Z527" s="531">
        <f t="shared" si="693"/>
        <v>0.32085492386810766</v>
      </c>
      <c r="AA527" s="531">
        <f t="shared" si="693"/>
        <v>0.32085492386810766</v>
      </c>
      <c r="AB527" s="531">
        <f t="shared" si="693"/>
        <v>0.32085492386810766</v>
      </c>
      <c r="AC527" s="531">
        <f t="shared" si="693"/>
        <v>0.32085492386810766</v>
      </c>
      <c r="AD527" s="531">
        <f t="shared" si="693"/>
        <v>0.32085492386810766</v>
      </c>
      <c r="AE527" s="531">
        <f t="shared" si="693"/>
        <v>0.32085492386810766</v>
      </c>
      <c r="AF527" s="531">
        <f t="shared" si="693"/>
        <v>0.32085492386810766</v>
      </c>
      <c r="AG527" s="531">
        <f t="shared" si="693"/>
        <v>0.32085492386810766</v>
      </c>
      <c r="AH527" s="531">
        <f t="shared" si="693"/>
        <v>0.32085492386810766</v>
      </c>
      <c r="AI527" s="531">
        <f t="shared" si="693"/>
        <v>0.32085492386810766</v>
      </c>
      <c r="AJ527" s="531">
        <f t="shared" si="693"/>
        <v>0.32085492386810766</v>
      </c>
      <c r="AK527" s="531">
        <f t="shared" si="693"/>
        <v>0.32085492386810766</v>
      </c>
      <c r="AL527" s="531">
        <f t="shared" si="693"/>
        <v>0.32085492386810766</v>
      </c>
      <c r="AM527" s="531">
        <f t="shared" si="693"/>
        <v>0.32085492386810766</v>
      </c>
      <c r="AN527" s="531">
        <f t="shared" si="693"/>
        <v>0.32085492386810766</v>
      </c>
      <c r="AO527" s="531">
        <f t="shared" si="693"/>
        <v>0.32085492386810766</v>
      </c>
      <c r="AP527" s="531">
        <f t="shared" si="693"/>
        <v>0.32085492386810766</v>
      </c>
      <c r="AQ527" s="531">
        <f t="shared" si="693"/>
        <v>0.32085492386810766</v>
      </c>
      <c r="AR527" s="531">
        <f t="shared" si="693"/>
        <v>0.32085492386810766</v>
      </c>
      <c r="AS527" s="531">
        <f t="shared" si="693"/>
        <v>0.32085492386810766</v>
      </c>
      <c r="AT527" s="531">
        <f t="shared" si="693"/>
        <v>0.32085492386810766</v>
      </c>
      <c r="AU527" s="531">
        <f t="shared" si="693"/>
        <v>0.32085492386810766</v>
      </c>
      <c r="AV527" s="531">
        <f t="shared" si="693"/>
        <v>0.32085492386810766</v>
      </c>
      <c r="AW527" s="531">
        <f t="shared" si="693"/>
        <v>0.32085492386810766</v>
      </c>
      <c r="AX527" s="531">
        <f t="shared" si="693"/>
        <v>0.32085492386810766</v>
      </c>
      <c r="AY527" s="531">
        <f t="shared" si="693"/>
        <v>0.32085492386810766</v>
      </c>
      <c r="AZ527" s="531">
        <f t="shared" si="693"/>
        <v>0.32085492386810766</v>
      </c>
      <c r="BA527" s="531">
        <f t="shared" si="693"/>
        <v>0.32085492386810766</v>
      </c>
      <c r="BB527" s="531">
        <f t="shared" si="693"/>
        <v>0.32085492386810766</v>
      </c>
      <c r="BC527" s="531">
        <f t="shared" si="693"/>
        <v>0.32085492386810766</v>
      </c>
      <c r="BD527" s="531">
        <f t="shared" si="693"/>
        <v>0.32085492386810766</v>
      </c>
      <c r="BE527" s="531">
        <f t="shared" si="693"/>
        <v>0.32085492386810766</v>
      </c>
      <c r="BF527" s="531">
        <f t="shared" si="693"/>
        <v>0.32085492386810766</v>
      </c>
      <c r="BG527" s="531">
        <f t="shared" si="693"/>
        <v>0.32085492386810766</v>
      </c>
      <c r="BH527" s="531">
        <f t="shared" si="693"/>
        <v>0.32085492386810766</v>
      </c>
      <c r="BI527" s="531">
        <f t="shared" si="693"/>
        <v>0.32085492386810766</v>
      </c>
      <c r="BJ527" s="531">
        <f t="shared" si="693"/>
        <v>0.32085492386810766</v>
      </c>
      <c r="BK527" s="531">
        <f t="shared" si="693"/>
        <v>0.32085492386810766</v>
      </c>
      <c r="BL527" s="531">
        <f t="shared" si="693"/>
        <v>0.32085492386810766</v>
      </c>
      <c r="BM527" s="531">
        <f t="shared" si="693"/>
        <v>0.32085492386810766</v>
      </c>
      <c r="BN527" s="531">
        <f t="shared" si="693"/>
        <v>0.32085492386810766</v>
      </c>
      <c r="BO527" s="531">
        <f t="shared" si="693"/>
        <v>0.32085492386810766</v>
      </c>
      <c r="BP527" s="531">
        <f t="shared" si="693"/>
        <v>0.32085492386810766</v>
      </c>
      <c r="BQ527" s="531">
        <f t="shared" si="693"/>
        <v>0.32085492386810766</v>
      </c>
      <c r="BR527" s="531">
        <f t="shared" si="693"/>
        <v>0.32085492386810766</v>
      </c>
      <c r="BS527" s="531">
        <f t="shared" si="693"/>
        <v>0.32085492386810766</v>
      </c>
      <c r="BT527" s="531">
        <f t="shared" si="693"/>
        <v>0.32085492386810766</v>
      </c>
      <c r="BU527" s="531">
        <f t="shared" si="693"/>
        <v>0.32085492386810766</v>
      </c>
      <c r="BV527" s="531">
        <f t="shared" si="693"/>
        <v>0.32085492386810766</v>
      </c>
      <c r="BW527" s="531">
        <f t="shared" si="693"/>
        <v>0.32085492386810766</v>
      </c>
      <c r="BX527" s="531">
        <f t="shared" si="693"/>
        <v>0.32085492386810766</v>
      </c>
      <c r="BY527" s="531">
        <f t="shared" si="693"/>
        <v>0.32085492386810766</v>
      </c>
      <c r="BZ527" s="537"/>
      <c r="CA527" s="537"/>
      <c r="CB527" s="529"/>
    </row>
    <row r="528" spans="1:80" x14ac:dyDescent="0.3">
      <c r="A528" s="648"/>
      <c r="B528" s="648"/>
      <c r="C528" s="648" cm="1">
        <f t="array" ref="C528">SUMPRODUCT((Index_Tab!$D$36:$D$45=$B528)*(Index_Tab!$E$35:$F$35=$B$3)*Index_Tab!$E$36:$F$45)</f>
        <v>0</v>
      </c>
      <c r="D528" s="648"/>
      <c r="E528" s="525"/>
      <c r="F528" s="576"/>
      <c r="G528" s="576"/>
      <c r="H528" s="529"/>
      <c r="I528" s="533"/>
      <c r="J528" s="533"/>
      <c r="K528" s="533"/>
      <c r="L528" s="533"/>
      <c r="M528" s="533"/>
      <c r="N528" s="533"/>
      <c r="O528" s="533"/>
      <c r="P528" s="662"/>
      <c r="Q528" s="529"/>
      <c r="R528" s="533"/>
      <c r="S528" s="533"/>
      <c r="T528" s="533"/>
      <c r="U528" s="533"/>
      <c r="V528" s="533"/>
      <c r="W528" s="533"/>
      <c r="X528" s="533"/>
      <c r="Y528" s="533"/>
      <c r="Z528" s="533"/>
      <c r="AA528" s="533"/>
      <c r="AB528" s="533"/>
      <c r="AC528" s="533"/>
      <c r="AD528" s="533"/>
      <c r="AE528" s="533"/>
      <c r="AF528" s="533"/>
      <c r="AG528" s="533"/>
      <c r="AH528" s="533"/>
      <c r="AI528" s="533"/>
      <c r="AJ528" s="533"/>
      <c r="AK528" s="533"/>
      <c r="AL528" s="533"/>
      <c r="AM528" s="533"/>
      <c r="AN528" s="533"/>
      <c r="AO528" s="533"/>
      <c r="AP528" s="533"/>
      <c r="AQ528" s="533"/>
      <c r="AR528" s="533"/>
      <c r="AS528" s="533"/>
      <c r="AT528" s="533"/>
      <c r="AU528" s="533"/>
      <c r="AV528" s="533"/>
      <c r="AW528" s="533"/>
      <c r="AX528" s="533"/>
      <c r="AY528" s="533"/>
      <c r="AZ528" s="533"/>
      <c r="BA528" s="533"/>
      <c r="BB528" s="533"/>
      <c r="BC528" s="533"/>
      <c r="BD528" s="533"/>
      <c r="BE528" s="533"/>
      <c r="BF528" s="533"/>
      <c r="BG528" s="533"/>
      <c r="BH528" s="533"/>
      <c r="BI528" s="533"/>
      <c r="BJ528" s="533"/>
      <c r="BK528" s="533"/>
      <c r="BL528" s="533"/>
      <c r="BM528" s="533"/>
      <c r="BN528" s="533"/>
      <c r="BO528" s="533"/>
      <c r="BP528" s="533"/>
      <c r="BQ528" s="533"/>
      <c r="BR528" s="533"/>
      <c r="BS528" s="533"/>
      <c r="BT528" s="533"/>
      <c r="BU528" s="533"/>
      <c r="BV528" s="533"/>
      <c r="BW528" s="533"/>
      <c r="BX528" s="533"/>
      <c r="BY528" s="533"/>
      <c r="BZ528" s="537"/>
      <c r="CA528" s="537"/>
      <c r="CB528" s="529"/>
    </row>
    <row r="529" spans="1:80" x14ac:dyDescent="0.3">
      <c r="A529" s="648"/>
      <c r="B529" s="648" t="s">
        <v>12</v>
      </c>
      <c r="C529" s="648" cm="1">
        <f t="array" ref="C529">SUMPRODUCT((Index_Tab!$D$36:$D$45=$B529)*(Index_Tab!$E$35:$F$35=$B$3)*Index_Tab!$E$36:$F$45)</f>
        <v>0</v>
      </c>
      <c r="D529" s="648"/>
      <c r="E529" s="578" t="s">
        <v>24</v>
      </c>
      <c r="F529" s="579"/>
      <c r="G529" s="579"/>
      <c r="H529" s="529"/>
      <c r="I529" s="534">
        <f t="shared" ref="I529:N529" si="694">SUM(I526,I517)</f>
        <v>1382780.8935081528</v>
      </c>
      <c r="J529" s="534">
        <f t="shared" si="694"/>
        <v>1460386.0769242982</v>
      </c>
      <c r="K529" s="534">
        <f t="shared" si="694"/>
        <v>1538579.4965618358</v>
      </c>
      <c r="L529" s="534">
        <f t="shared" si="694"/>
        <v>1616619.6309010708</v>
      </c>
      <c r="M529" s="534">
        <f t="shared" si="694"/>
        <v>1693890.6502700492</v>
      </c>
      <c r="N529" s="534">
        <f t="shared" si="694"/>
        <v>1774039.1622153774</v>
      </c>
      <c r="O529" s="536"/>
      <c r="P529" s="568">
        <f>IFERROR(((N529/I529)^(1/5))-1,0)</f>
        <v>5.1094991172281112E-2</v>
      </c>
      <c r="Q529" s="529"/>
      <c r="R529" s="534">
        <f t="shared" ref="R529:BY529" si="695">SUM(R526,R517)</f>
        <v>121698.83974369153</v>
      </c>
      <c r="S529" s="534">
        <f t="shared" si="695"/>
        <v>121698.83974369153</v>
      </c>
      <c r="T529" s="534">
        <f t="shared" si="695"/>
        <v>121698.83974369153</v>
      </c>
      <c r="U529" s="534">
        <f t="shared" si="695"/>
        <v>121698.83974369153</v>
      </c>
      <c r="V529" s="534">
        <f t="shared" si="695"/>
        <v>121698.83974369153</v>
      </c>
      <c r="W529" s="534">
        <f t="shared" si="695"/>
        <v>121698.83974369153</v>
      </c>
      <c r="X529" s="534">
        <f t="shared" si="695"/>
        <v>121698.83974369153</v>
      </c>
      <c r="Y529" s="534">
        <f t="shared" si="695"/>
        <v>121698.83974369153</v>
      </c>
      <c r="Z529" s="534">
        <f t="shared" si="695"/>
        <v>121698.83974369153</v>
      </c>
      <c r="AA529" s="534">
        <f t="shared" si="695"/>
        <v>121698.83974369153</v>
      </c>
      <c r="AB529" s="534">
        <f t="shared" si="695"/>
        <v>121698.83974369153</v>
      </c>
      <c r="AC529" s="534">
        <f t="shared" si="695"/>
        <v>121698.83974369153</v>
      </c>
      <c r="AD529" s="534">
        <f t="shared" si="695"/>
        <v>128214.95804681969</v>
      </c>
      <c r="AE529" s="534">
        <f t="shared" si="695"/>
        <v>128214.95804681969</v>
      </c>
      <c r="AF529" s="534">
        <f t="shared" si="695"/>
        <v>128214.95804681969</v>
      </c>
      <c r="AG529" s="534">
        <f t="shared" si="695"/>
        <v>128214.95804681969</v>
      </c>
      <c r="AH529" s="534">
        <f t="shared" si="695"/>
        <v>128214.95804681969</v>
      </c>
      <c r="AI529" s="534">
        <f t="shared" si="695"/>
        <v>128214.95804681969</v>
      </c>
      <c r="AJ529" s="534">
        <f t="shared" si="695"/>
        <v>128214.95804681969</v>
      </c>
      <c r="AK529" s="534">
        <f t="shared" si="695"/>
        <v>128214.95804681969</v>
      </c>
      <c r="AL529" s="534">
        <f t="shared" si="695"/>
        <v>128214.95804681969</v>
      </c>
      <c r="AM529" s="534">
        <f t="shared" si="695"/>
        <v>128214.95804681969</v>
      </c>
      <c r="AN529" s="534">
        <f t="shared" si="695"/>
        <v>128214.95804681969</v>
      </c>
      <c r="AO529" s="534">
        <f t="shared" si="695"/>
        <v>128214.95804681969</v>
      </c>
      <c r="AP529" s="534">
        <f t="shared" si="695"/>
        <v>134718.30257508924</v>
      </c>
      <c r="AQ529" s="534">
        <f t="shared" si="695"/>
        <v>134718.30257508924</v>
      </c>
      <c r="AR529" s="534">
        <f t="shared" si="695"/>
        <v>134718.30257508924</v>
      </c>
      <c r="AS529" s="534">
        <f t="shared" si="695"/>
        <v>134718.30257508924</v>
      </c>
      <c r="AT529" s="534">
        <f t="shared" si="695"/>
        <v>134718.30257508924</v>
      </c>
      <c r="AU529" s="534">
        <f t="shared" si="695"/>
        <v>134718.30257508924</v>
      </c>
      <c r="AV529" s="534">
        <f t="shared" si="695"/>
        <v>134718.30257508924</v>
      </c>
      <c r="AW529" s="534">
        <f t="shared" si="695"/>
        <v>134718.30257508924</v>
      </c>
      <c r="AX529" s="534">
        <f t="shared" si="695"/>
        <v>134718.30257508924</v>
      </c>
      <c r="AY529" s="534">
        <f t="shared" si="695"/>
        <v>134718.30257508924</v>
      </c>
      <c r="AZ529" s="534">
        <f t="shared" si="695"/>
        <v>134718.30257508924</v>
      </c>
      <c r="BA529" s="534">
        <f t="shared" si="695"/>
        <v>134718.30257508924</v>
      </c>
      <c r="BB529" s="534">
        <f t="shared" si="695"/>
        <v>141157.55418917077</v>
      </c>
      <c r="BC529" s="534">
        <f t="shared" si="695"/>
        <v>141157.55418917077</v>
      </c>
      <c r="BD529" s="534">
        <f t="shared" si="695"/>
        <v>141157.55418917077</v>
      </c>
      <c r="BE529" s="534">
        <f t="shared" si="695"/>
        <v>141157.55418917077</v>
      </c>
      <c r="BF529" s="534">
        <f t="shared" si="695"/>
        <v>141157.55418917077</v>
      </c>
      <c r="BG529" s="534">
        <f t="shared" si="695"/>
        <v>141157.55418917077</v>
      </c>
      <c r="BH529" s="534">
        <f t="shared" si="695"/>
        <v>141157.55418917077</v>
      </c>
      <c r="BI529" s="534">
        <f t="shared" si="695"/>
        <v>141157.55418917077</v>
      </c>
      <c r="BJ529" s="534">
        <f t="shared" si="695"/>
        <v>141157.55418917077</v>
      </c>
      <c r="BK529" s="534">
        <f t="shared" si="695"/>
        <v>141157.55418917077</v>
      </c>
      <c r="BL529" s="534">
        <f t="shared" si="695"/>
        <v>141157.55418917077</v>
      </c>
      <c r="BM529" s="534">
        <f t="shared" si="695"/>
        <v>141157.55418917077</v>
      </c>
      <c r="BN529" s="534">
        <f t="shared" si="695"/>
        <v>147836.59685128147</v>
      </c>
      <c r="BO529" s="534">
        <f t="shared" si="695"/>
        <v>147836.59685128147</v>
      </c>
      <c r="BP529" s="534">
        <f t="shared" si="695"/>
        <v>147836.59685128147</v>
      </c>
      <c r="BQ529" s="534">
        <f t="shared" si="695"/>
        <v>147836.59685128147</v>
      </c>
      <c r="BR529" s="534">
        <f t="shared" si="695"/>
        <v>147836.59685128147</v>
      </c>
      <c r="BS529" s="534">
        <f t="shared" si="695"/>
        <v>147836.59685128147</v>
      </c>
      <c r="BT529" s="534">
        <f t="shared" si="695"/>
        <v>147836.59685128147</v>
      </c>
      <c r="BU529" s="534">
        <f t="shared" si="695"/>
        <v>147836.59685128147</v>
      </c>
      <c r="BV529" s="534">
        <f t="shared" si="695"/>
        <v>147836.59685128147</v>
      </c>
      <c r="BW529" s="534">
        <f t="shared" si="695"/>
        <v>147836.59685128147</v>
      </c>
      <c r="BX529" s="534">
        <f t="shared" si="695"/>
        <v>147836.59685128147</v>
      </c>
      <c r="BY529" s="534">
        <f t="shared" si="695"/>
        <v>147836.59685128147</v>
      </c>
      <c r="BZ529" s="537"/>
      <c r="CA529" s="537"/>
      <c r="CB529" s="529"/>
    </row>
    <row r="530" spans="1:80" x14ac:dyDescent="0.3">
      <c r="A530" s="648"/>
      <c r="B530" s="648"/>
      <c r="C530" s="648" cm="1">
        <f t="array" ref="C530">SUMPRODUCT((Index_Tab!$D$36:$D$45=$B530)*(Index_Tab!$E$35:$F$35=$B$3)*Index_Tab!$E$36:$F$45)</f>
        <v>0</v>
      </c>
      <c r="D530" s="648"/>
      <c r="E530" s="525" t="s">
        <v>177</v>
      </c>
      <c r="F530" s="529"/>
      <c r="G530" s="529"/>
      <c r="H530" s="529"/>
      <c r="I530" s="531">
        <f t="shared" ref="I530:N530" si="696">IFERROR(I529/(I512+I521),0)</f>
        <v>0.45157500748564561</v>
      </c>
      <c r="J530" s="531">
        <f t="shared" si="696"/>
        <v>0.46040138596307961</v>
      </c>
      <c r="K530" s="531">
        <f t="shared" si="696"/>
        <v>0.46866667382815269</v>
      </c>
      <c r="L530" s="531">
        <f t="shared" si="696"/>
        <v>0.47632304026215083</v>
      </c>
      <c r="M530" s="531">
        <f t="shared" si="696"/>
        <v>0.48335199756209674</v>
      </c>
      <c r="N530" s="531">
        <f t="shared" si="696"/>
        <v>0.49023179985401433</v>
      </c>
      <c r="O530" s="546"/>
      <c r="P530" s="564">
        <f>IFERROR(((N530/I530)^(1/5))-1,0)</f>
        <v>1.656304145185894E-2</v>
      </c>
      <c r="Q530" s="537"/>
      <c r="R530" s="531">
        <f t="shared" ref="R530:BY530" si="697">IFERROR(R529/(R512+R521),0)</f>
        <v>0.46040138596307961</v>
      </c>
      <c r="S530" s="531">
        <f t="shared" si="697"/>
        <v>0.46040138596307961</v>
      </c>
      <c r="T530" s="531">
        <f t="shared" si="697"/>
        <v>0.46040138596307961</v>
      </c>
      <c r="U530" s="531">
        <f t="shared" si="697"/>
        <v>0.46040138596307961</v>
      </c>
      <c r="V530" s="531">
        <f t="shared" si="697"/>
        <v>0.46040138596307961</v>
      </c>
      <c r="W530" s="531">
        <f t="shared" si="697"/>
        <v>0.46040138596307961</v>
      </c>
      <c r="X530" s="531">
        <f t="shared" si="697"/>
        <v>0.46040138596307961</v>
      </c>
      <c r="Y530" s="531">
        <f t="shared" si="697"/>
        <v>0.46040138596307961</v>
      </c>
      <c r="Z530" s="531">
        <f t="shared" si="697"/>
        <v>0.46040138596307961</v>
      </c>
      <c r="AA530" s="531">
        <f t="shared" si="697"/>
        <v>0.46040138596307961</v>
      </c>
      <c r="AB530" s="531">
        <f t="shared" si="697"/>
        <v>0.46040138596307961</v>
      </c>
      <c r="AC530" s="531">
        <f t="shared" si="697"/>
        <v>0.46040138596307961</v>
      </c>
      <c r="AD530" s="531">
        <f t="shared" si="697"/>
        <v>0.4686666738281528</v>
      </c>
      <c r="AE530" s="531">
        <f t="shared" si="697"/>
        <v>0.4686666738281528</v>
      </c>
      <c r="AF530" s="531">
        <f t="shared" si="697"/>
        <v>0.4686666738281528</v>
      </c>
      <c r="AG530" s="531">
        <f t="shared" si="697"/>
        <v>0.4686666738281528</v>
      </c>
      <c r="AH530" s="531">
        <f t="shared" si="697"/>
        <v>0.4686666738281528</v>
      </c>
      <c r="AI530" s="531">
        <f t="shared" si="697"/>
        <v>0.4686666738281528</v>
      </c>
      <c r="AJ530" s="531">
        <f t="shared" si="697"/>
        <v>0.4686666738281528</v>
      </c>
      <c r="AK530" s="531">
        <f t="shared" si="697"/>
        <v>0.4686666738281528</v>
      </c>
      <c r="AL530" s="531">
        <f t="shared" si="697"/>
        <v>0.4686666738281528</v>
      </c>
      <c r="AM530" s="531">
        <f t="shared" si="697"/>
        <v>0.4686666738281528</v>
      </c>
      <c r="AN530" s="531">
        <f t="shared" si="697"/>
        <v>0.4686666738281528</v>
      </c>
      <c r="AO530" s="531">
        <f t="shared" si="697"/>
        <v>0.4686666738281528</v>
      </c>
      <c r="AP530" s="531">
        <f t="shared" si="697"/>
        <v>0.47632304026215089</v>
      </c>
      <c r="AQ530" s="531">
        <f t="shared" si="697"/>
        <v>0.47632304026215089</v>
      </c>
      <c r="AR530" s="531">
        <f t="shared" si="697"/>
        <v>0.47632304026215089</v>
      </c>
      <c r="AS530" s="531">
        <f t="shared" si="697"/>
        <v>0.47632304026215089</v>
      </c>
      <c r="AT530" s="531">
        <f t="shared" si="697"/>
        <v>0.47632304026215089</v>
      </c>
      <c r="AU530" s="531">
        <f t="shared" si="697"/>
        <v>0.47632304026215089</v>
      </c>
      <c r="AV530" s="531">
        <f t="shared" si="697"/>
        <v>0.47632304026215089</v>
      </c>
      <c r="AW530" s="531">
        <f t="shared" si="697"/>
        <v>0.47632304026215089</v>
      </c>
      <c r="AX530" s="531">
        <f t="shared" si="697"/>
        <v>0.47632304026215089</v>
      </c>
      <c r="AY530" s="531">
        <f t="shared" si="697"/>
        <v>0.47632304026215089</v>
      </c>
      <c r="AZ530" s="531">
        <f t="shared" si="697"/>
        <v>0.47632304026215089</v>
      </c>
      <c r="BA530" s="531">
        <f t="shared" si="697"/>
        <v>0.47632304026215089</v>
      </c>
      <c r="BB530" s="531">
        <f t="shared" si="697"/>
        <v>0.48335199756209674</v>
      </c>
      <c r="BC530" s="531">
        <f t="shared" si="697"/>
        <v>0.48335199756209674</v>
      </c>
      <c r="BD530" s="531">
        <f t="shared" si="697"/>
        <v>0.48335199756209674</v>
      </c>
      <c r="BE530" s="531">
        <f t="shared" si="697"/>
        <v>0.48335199756209674</v>
      </c>
      <c r="BF530" s="531">
        <f t="shared" si="697"/>
        <v>0.48335199756209674</v>
      </c>
      <c r="BG530" s="531">
        <f t="shared" si="697"/>
        <v>0.48335199756209674</v>
      </c>
      <c r="BH530" s="531">
        <f t="shared" si="697"/>
        <v>0.48335199756209674</v>
      </c>
      <c r="BI530" s="531">
        <f t="shared" si="697"/>
        <v>0.48335199756209674</v>
      </c>
      <c r="BJ530" s="531">
        <f t="shared" si="697"/>
        <v>0.48335199756209674</v>
      </c>
      <c r="BK530" s="531">
        <f t="shared" si="697"/>
        <v>0.48335199756209674</v>
      </c>
      <c r="BL530" s="531">
        <f t="shared" si="697"/>
        <v>0.48335199756209674</v>
      </c>
      <c r="BM530" s="531">
        <f t="shared" si="697"/>
        <v>0.48335199756209674</v>
      </c>
      <c r="BN530" s="531">
        <f t="shared" si="697"/>
        <v>0.49023179985401438</v>
      </c>
      <c r="BO530" s="531">
        <f t="shared" si="697"/>
        <v>0.49023179985401438</v>
      </c>
      <c r="BP530" s="531">
        <f t="shared" si="697"/>
        <v>0.49023179985401438</v>
      </c>
      <c r="BQ530" s="531">
        <f t="shared" si="697"/>
        <v>0.49023179985401438</v>
      </c>
      <c r="BR530" s="531">
        <f t="shared" si="697"/>
        <v>0.49023179985401438</v>
      </c>
      <c r="BS530" s="531">
        <f t="shared" si="697"/>
        <v>0.49023179985401438</v>
      </c>
      <c r="BT530" s="531">
        <f t="shared" si="697"/>
        <v>0.49023179985401438</v>
      </c>
      <c r="BU530" s="531">
        <f t="shared" si="697"/>
        <v>0.49023179985401438</v>
      </c>
      <c r="BV530" s="531">
        <f t="shared" si="697"/>
        <v>0.49023179985401438</v>
      </c>
      <c r="BW530" s="531">
        <f t="shared" si="697"/>
        <v>0.49023179985401438</v>
      </c>
      <c r="BX530" s="531">
        <f t="shared" si="697"/>
        <v>0.49023179985401438</v>
      </c>
      <c r="BY530" s="531">
        <f t="shared" si="697"/>
        <v>0.49023179985401438</v>
      </c>
      <c r="BZ530" s="537"/>
      <c r="CA530" s="537"/>
      <c r="CB530" s="537"/>
    </row>
    <row r="531" spans="1:80" x14ac:dyDescent="0.3">
      <c r="A531" s="648"/>
      <c r="B531" s="648"/>
      <c r="C531" s="648" cm="1">
        <f t="array" ref="C531">SUMPRODUCT((Index_Tab!$D$36:$D$45=$B531)*(Index_Tab!$E$35:$F$35=$B$3)*Index_Tab!$E$36:$F$45)</f>
        <v>0</v>
      </c>
      <c r="D531" s="648"/>
      <c r="E531" s="525"/>
      <c r="F531" s="529"/>
      <c r="G531" s="529"/>
      <c r="H531" s="529"/>
      <c r="I531" s="529"/>
      <c r="J531" s="529"/>
      <c r="K531" s="529"/>
      <c r="L531" s="529"/>
      <c r="M531" s="529"/>
      <c r="N531" s="529"/>
      <c r="O531" s="529"/>
      <c r="P531" s="660"/>
      <c r="Q531" s="529"/>
      <c r="R531" s="529"/>
      <c r="S531" s="529"/>
      <c r="T531" s="529"/>
      <c r="U531" s="529"/>
      <c r="V531" s="529"/>
      <c r="W531" s="529"/>
      <c r="X531" s="529"/>
      <c r="Y531" s="529"/>
      <c r="Z531" s="529"/>
      <c r="AA531" s="529"/>
      <c r="AB531" s="529"/>
      <c r="AC531" s="529"/>
      <c r="AD531" s="529"/>
      <c r="AE531" s="529"/>
      <c r="AF531" s="529"/>
      <c r="AG531" s="529"/>
      <c r="AH531" s="529"/>
      <c r="AI531" s="529"/>
      <c r="AJ531" s="529"/>
      <c r="AK531" s="529"/>
      <c r="AL531" s="529"/>
      <c r="AM531" s="529"/>
      <c r="AN531" s="529"/>
      <c r="AO531" s="529"/>
      <c r="AP531" s="529"/>
      <c r="AQ531" s="529"/>
      <c r="AR531" s="529"/>
      <c r="AS531" s="529"/>
      <c r="AT531" s="529"/>
      <c r="AU531" s="529"/>
      <c r="AV531" s="529"/>
      <c r="AW531" s="529"/>
      <c r="AX531" s="529"/>
      <c r="AY531" s="529"/>
      <c r="AZ531" s="529"/>
      <c r="BA531" s="529"/>
      <c r="BB531" s="529"/>
      <c r="BC531" s="529"/>
      <c r="BD531" s="529"/>
      <c r="BE531" s="529"/>
      <c r="BF531" s="529"/>
      <c r="BG531" s="529"/>
      <c r="BH531" s="529"/>
      <c r="BI531" s="529"/>
      <c r="BJ531" s="529"/>
      <c r="BK531" s="529"/>
      <c r="BL531" s="529"/>
      <c r="BM531" s="529"/>
      <c r="BN531" s="529"/>
      <c r="BO531" s="529"/>
      <c r="BP531" s="529"/>
      <c r="BQ531" s="529"/>
      <c r="BR531" s="529"/>
      <c r="BS531" s="529"/>
      <c r="BT531" s="529"/>
      <c r="BU531" s="529"/>
      <c r="BV531" s="529"/>
      <c r="BW531" s="529"/>
      <c r="BX531" s="529"/>
      <c r="BY531" s="529"/>
      <c r="BZ531" s="537"/>
      <c r="CA531" s="537"/>
      <c r="CB531" s="529"/>
    </row>
    <row r="532" spans="1:80" x14ac:dyDescent="0.3">
      <c r="A532" s="648"/>
      <c r="B532" s="648"/>
      <c r="C532" s="648" cm="1">
        <f t="array" ref="C532">SUMPRODUCT((Index_Tab!$D$36:$D$45=$B532)*(Index_Tab!$E$35:$F$35=$B$3)*Index_Tab!$E$36:$F$45)</f>
        <v>0</v>
      </c>
      <c r="D532" s="648"/>
      <c r="E532" s="570" t="s">
        <v>25</v>
      </c>
      <c r="F532" s="529"/>
      <c r="G532" s="529"/>
      <c r="H532" s="529"/>
      <c r="I532" s="529"/>
      <c r="J532" s="663"/>
      <c r="K532" s="663"/>
      <c r="L532" s="663"/>
      <c r="M532" s="663"/>
      <c r="N532" s="663"/>
      <c r="O532" s="529"/>
      <c r="P532" s="660"/>
      <c r="Q532" s="529"/>
      <c r="R532" s="529"/>
      <c r="S532" s="529"/>
      <c r="T532" s="529"/>
      <c r="U532" s="529"/>
      <c r="V532" s="529"/>
      <c r="W532" s="529"/>
      <c r="X532" s="529"/>
      <c r="Y532" s="529"/>
      <c r="Z532" s="529"/>
      <c r="AA532" s="529"/>
      <c r="AB532" s="529"/>
      <c r="AC532" s="529"/>
      <c r="AD532" s="529"/>
      <c r="AE532" s="529"/>
      <c r="AF532" s="529"/>
      <c r="AG532" s="529"/>
      <c r="AH532" s="529"/>
      <c r="AI532" s="529"/>
      <c r="AJ532" s="529"/>
      <c r="AK532" s="529"/>
      <c r="AL532" s="529"/>
      <c r="AM532" s="529"/>
      <c r="AN532" s="529"/>
      <c r="AO532" s="529"/>
      <c r="AP532" s="529"/>
      <c r="AQ532" s="529"/>
      <c r="AR532" s="529"/>
      <c r="AS532" s="529"/>
      <c r="AT532" s="529"/>
      <c r="AU532" s="529"/>
      <c r="AV532" s="529"/>
      <c r="AW532" s="529"/>
      <c r="AX532" s="529"/>
      <c r="AY532" s="529"/>
      <c r="AZ532" s="529"/>
      <c r="BA532" s="529"/>
      <c r="BB532" s="529"/>
      <c r="BC532" s="529"/>
      <c r="BD532" s="529"/>
      <c r="BE532" s="529"/>
      <c r="BF532" s="529"/>
      <c r="BG532" s="529"/>
      <c r="BH532" s="529"/>
      <c r="BI532" s="529"/>
      <c r="BJ532" s="529"/>
      <c r="BK532" s="529"/>
      <c r="BL532" s="529"/>
      <c r="BM532" s="529"/>
      <c r="BN532" s="529"/>
      <c r="BO532" s="529"/>
      <c r="BP532" s="529"/>
      <c r="BQ532" s="529"/>
      <c r="BR532" s="529"/>
      <c r="BS532" s="529"/>
      <c r="BT532" s="529"/>
      <c r="BU532" s="529"/>
      <c r="BV532" s="529"/>
      <c r="BW532" s="529"/>
      <c r="BX532" s="529"/>
      <c r="BY532" s="529"/>
      <c r="BZ532" s="537"/>
      <c r="CA532" s="537"/>
      <c r="CB532" s="529"/>
    </row>
    <row r="533" spans="1:80" x14ac:dyDescent="0.3">
      <c r="A533" s="648"/>
      <c r="B533" s="648" t="s">
        <v>13</v>
      </c>
      <c r="C533" s="648" cm="1">
        <f t="array" ref="C533">SUMPRODUCT((Index_Tab!$D$36:$D$45=$B533)*(Index_Tab!$E$35:$F$35=$B$3)*Index_Tab!$E$36:$F$45)</f>
        <v>0</v>
      </c>
      <c r="D533" s="648"/>
      <c r="E533" s="525" t="s">
        <v>25</v>
      </c>
      <c r="F533" s="567"/>
      <c r="G533" s="567"/>
      <c r="H533" s="529"/>
      <c r="I533" s="544">
        <v>1434054.4512204616</v>
      </c>
      <c r="J533" s="542" cm="1">
        <f t="array" ref="J533">(I533*INDEX(Portfolio_Categorisation!$H$24:$H$27,MATCH($B$2,Portfolio_Categorisation!$C$24:$C$27,0),0)*(1+'Detailed Assumptions'!F$40))+(I533*INDEX(Portfolio_Categorisation!$I$24:$I$27,MATCH($B$2,Portfolio_Categorisation!$C$24:$C$27,0),0)*(1+'Detailed Assumptions'!F$39))</f>
        <v>1478143.8501433847</v>
      </c>
      <c r="K533" s="542" cm="1">
        <f t="array" ref="K533">(J533*INDEX(Portfolio_Categorisation!$H$24:$H$27,MATCH($B$2,Portfolio_Categorisation!$C$24:$C$27,0),0)*(1+'Detailed Assumptions'!G$40))+(J533*INDEX(Portfolio_Categorisation!$I$24:$I$27,MATCH($B$2,Portfolio_Categorisation!$C$24:$C$27,0),0)*(1+'Detailed Assumptions'!G$39))</f>
        <v>1521000.7989114784</v>
      </c>
      <c r="L533" s="542" cm="1">
        <f t="array" ref="L533">(K533*INDEX(Portfolio_Categorisation!$H$24:$H$27,MATCH($B$2,Portfolio_Categorisation!$C$24:$C$27,0),0)*(1+'Detailed Assumptions'!H$40))+(K533*INDEX(Portfolio_Categorisation!$I$24:$I$27,MATCH($B$2,Portfolio_Categorisation!$C$24:$C$27,0),0)*(1+'Detailed Assumptions'!H$39))</f>
        <v>1562810.173722211</v>
      </c>
      <c r="M533" s="542" cm="1">
        <f t="array" ref="M533">(L533*INDEX(Portfolio_Categorisation!$H$24:$H$27,MATCH($B$2,Portfolio_Categorisation!$C$24:$C$27,0),0)*(1+'Detailed Assumptions'!I$40))+(L533*INDEX(Portfolio_Categorisation!$I$24:$I$27,MATCH($B$2,Portfolio_Categorisation!$C$24:$C$27,0),0)*(1+'Detailed Assumptions'!I$39))</f>
        <v>1599038.8759179362</v>
      </c>
      <c r="N533" s="542" cm="1">
        <f t="array" ref="N533">(M533*INDEX(Portfolio_Categorisation!$H$24:$H$27,MATCH($B$2,Portfolio_Categorisation!$C$24:$C$27,0),0)*(1+'Detailed Assumptions'!J$40))+(M533*INDEX(Portfolio_Categorisation!$I$24:$I$27,MATCH($B$2,Portfolio_Categorisation!$C$24:$C$27,0),0)*(1+'Detailed Assumptions'!J$39))</f>
        <v>1632124.4246614375</v>
      </c>
      <c r="O533" s="529"/>
      <c r="P533" s="564">
        <f>IFERROR(((N533/I533)^(1/5))-1,0)</f>
        <v>2.621302945463877E-2</v>
      </c>
      <c r="Q533" s="529"/>
      <c r="R533" s="527">
        <f t="shared" ref="R533:BY534" si="698">(INDEX($I533:$N533,MATCH(R$2,$I$3:$N$3,0)))/12</f>
        <v>123178.65417861538</v>
      </c>
      <c r="S533" s="527">
        <f t="shared" si="698"/>
        <v>123178.65417861538</v>
      </c>
      <c r="T533" s="527">
        <f t="shared" si="698"/>
        <v>123178.65417861538</v>
      </c>
      <c r="U533" s="527">
        <f t="shared" si="698"/>
        <v>123178.65417861538</v>
      </c>
      <c r="V533" s="527">
        <f t="shared" si="698"/>
        <v>123178.65417861538</v>
      </c>
      <c r="W533" s="527">
        <f t="shared" si="698"/>
        <v>123178.65417861538</v>
      </c>
      <c r="X533" s="527">
        <f t="shared" si="698"/>
        <v>123178.65417861538</v>
      </c>
      <c r="Y533" s="527">
        <f t="shared" si="698"/>
        <v>123178.65417861538</v>
      </c>
      <c r="Z533" s="527">
        <f t="shared" si="698"/>
        <v>123178.65417861538</v>
      </c>
      <c r="AA533" s="527">
        <f t="shared" si="698"/>
        <v>123178.65417861538</v>
      </c>
      <c r="AB533" s="527">
        <f t="shared" si="698"/>
        <v>123178.65417861538</v>
      </c>
      <c r="AC533" s="527">
        <f t="shared" si="698"/>
        <v>123178.65417861538</v>
      </c>
      <c r="AD533" s="527">
        <f t="shared" si="698"/>
        <v>126750.06657595653</v>
      </c>
      <c r="AE533" s="527">
        <f t="shared" si="698"/>
        <v>126750.06657595653</v>
      </c>
      <c r="AF533" s="527">
        <f t="shared" si="698"/>
        <v>126750.06657595653</v>
      </c>
      <c r="AG533" s="527">
        <f t="shared" si="698"/>
        <v>126750.06657595653</v>
      </c>
      <c r="AH533" s="527">
        <f t="shared" si="698"/>
        <v>126750.06657595653</v>
      </c>
      <c r="AI533" s="527">
        <f t="shared" si="698"/>
        <v>126750.06657595653</v>
      </c>
      <c r="AJ533" s="527">
        <f t="shared" si="698"/>
        <v>126750.06657595653</v>
      </c>
      <c r="AK533" s="527">
        <f t="shared" si="698"/>
        <v>126750.06657595653</v>
      </c>
      <c r="AL533" s="527">
        <f t="shared" si="698"/>
        <v>126750.06657595653</v>
      </c>
      <c r="AM533" s="527">
        <f t="shared" si="698"/>
        <v>126750.06657595653</v>
      </c>
      <c r="AN533" s="527">
        <f t="shared" si="698"/>
        <v>126750.06657595653</v>
      </c>
      <c r="AO533" s="527">
        <f t="shared" si="698"/>
        <v>126750.06657595653</v>
      </c>
      <c r="AP533" s="527">
        <f t="shared" si="698"/>
        <v>130234.18114351759</v>
      </c>
      <c r="AQ533" s="527">
        <f t="shared" si="698"/>
        <v>130234.18114351759</v>
      </c>
      <c r="AR533" s="527">
        <f t="shared" si="698"/>
        <v>130234.18114351759</v>
      </c>
      <c r="AS533" s="527">
        <f t="shared" si="698"/>
        <v>130234.18114351759</v>
      </c>
      <c r="AT533" s="527">
        <f t="shared" si="698"/>
        <v>130234.18114351759</v>
      </c>
      <c r="AU533" s="527">
        <f t="shared" si="698"/>
        <v>130234.18114351759</v>
      </c>
      <c r="AV533" s="527">
        <f t="shared" si="698"/>
        <v>130234.18114351759</v>
      </c>
      <c r="AW533" s="527">
        <f t="shared" si="698"/>
        <v>130234.18114351759</v>
      </c>
      <c r="AX533" s="527">
        <f t="shared" si="698"/>
        <v>130234.18114351759</v>
      </c>
      <c r="AY533" s="527">
        <f t="shared" si="698"/>
        <v>130234.18114351759</v>
      </c>
      <c r="AZ533" s="527">
        <f t="shared" si="698"/>
        <v>130234.18114351759</v>
      </c>
      <c r="BA533" s="527">
        <f t="shared" si="698"/>
        <v>130234.18114351759</v>
      </c>
      <c r="BB533" s="527">
        <f t="shared" si="698"/>
        <v>133253.23965982802</v>
      </c>
      <c r="BC533" s="527">
        <f t="shared" si="698"/>
        <v>133253.23965982802</v>
      </c>
      <c r="BD533" s="527">
        <f t="shared" si="698"/>
        <v>133253.23965982802</v>
      </c>
      <c r="BE533" s="527">
        <f t="shared" si="698"/>
        <v>133253.23965982802</v>
      </c>
      <c r="BF533" s="527">
        <f t="shared" si="698"/>
        <v>133253.23965982802</v>
      </c>
      <c r="BG533" s="527">
        <f t="shared" si="698"/>
        <v>133253.23965982802</v>
      </c>
      <c r="BH533" s="527">
        <f t="shared" si="698"/>
        <v>133253.23965982802</v>
      </c>
      <c r="BI533" s="527">
        <f t="shared" si="698"/>
        <v>133253.23965982802</v>
      </c>
      <c r="BJ533" s="527">
        <f t="shared" si="698"/>
        <v>133253.23965982802</v>
      </c>
      <c r="BK533" s="527">
        <f t="shared" si="698"/>
        <v>133253.23965982802</v>
      </c>
      <c r="BL533" s="527">
        <f t="shared" si="698"/>
        <v>133253.23965982802</v>
      </c>
      <c r="BM533" s="527">
        <f t="shared" si="698"/>
        <v>133253.23965982802</v>
      </c>
      <c r="BN533" s="527">
        <f t="shared" si="698"/>
        <v>136010.36872178645</v>
      </c>
      <c r="BO533" s="527">
        <f t="shared" si="698"/>
        <v>136010.36872178645</v>
      </c>
      <c r="BP533" s="527">
        <f t="shared" si="698"/>
        <v>136010.36872178645</v>
      </c>
      <c r="BQ533" s="527">
        <f t="shared" si="698"/>
        <v>136010.36872178645</v>
      </c>
      <c r="BR533" s="527">
        <f t="shared" si="698"/>
        <v>136010.36872178645</v>
      </c>
      <c r="BS533" s="527">
        <f t="shared" si="698"/>
        <v>136010.36872178645</v>
      </c>
      <c r="BT533" s="527">
        <f t="shared" si="698"/>
        <v>136010.36872178645</v>
      </c>
      <c r="BU533" s="527">
        <f t="shared" si="698"/>
        <v>136010.36872178645</v>
      </c>
      <c r="BV533" s="527">
        <f t="shared" si="698"/>
        <v>136010.36872178645</v>
      </c>
      <c r="BW533" s="527">
        <f t="shared" si="698"/>
        <v>136010.36872178645</v>
      </c>
      <c r="BX533" s="527">
        <f t="shared" si="698"/>
        <v>136010.36872178645</v>
      </c>
      <c r="BY533" s="527">
        <f t="shared" si="698"/>
        <v>136010.36872178645</v>
      </c>
      <c r="BZ533" s="537"/>
      <c r="CA533" s="537"/>
      <c r="CB533" s="529"/>
    </row>
    <row r="534" spans="1:80" x14ac:dyDescent="0.3">
      <c r="A534" s="648"/>
      <c r="B534" s="648" t="s">
        <v>14</v>
      </c>
      <c r="C534" s="648" cm="1">
        <f t="array" ref="C534">SUMPRODUCT((Index_Tab!$D$36:$D$45=$B534)*(Index_Tab!$E$35:$F$35=$B$3)*Index_Tab!$E$36:$F$45)</f>
        <v>0</v>
      </c>
      <c r="D534" s="648"/>
      <c r="E534" s="525" t="s">
        <v>14</v>
      </c>
      <c r="F534" s="567"/>
      <c r="G534" s="567"/>
      <c r="H534" s="529"/>
      <c r="I534" s="544">
        <v>106634.75808707695</v>
      </c>
      <c r="J534" s="542">
        <f>I534*(1+'Detailed Assumptions'!F$45)</f>
        <v>110380.5303811527</v>
      </c>
      <c r="K534" s="542">
        <f>J534*(1+'Detailed Assumptions'!G$45)</f>
        <v>114044.89181863617</v>
      </c>
      <c r="L534" s="542">
        <f>K534*(1+'Detailed Assumptions'!H$45)</f>
        <v>117677.17475529597</v>
      </c>
      <c r="M534" s="542">
        <f>L534*(1+'Detailed Assumptions'!I$45)</f>
        <v>120709.66718825717</v>
      </c>
      <c r="N534" s="542">
        <f>M534*(1+'Detailed Assumptions'!J$45)</f>
        <v>123319.77397542594</v>
      </c>
      <c r="O534" s="529"/>
      <c r="P534" s="564">
        <f>IFERROR(((N534/I534)^(1/5))-1,0)</f>
        <v>2.9501032242708725E-2</v>
      </c>
      <c r="Q534" s="529"/>
      <c r="R534" s="527">
        <f>(INDEX($I534:$N534,MATCH(R$2,$I$3:$N$3,0)))/12</f>
        <v>9198.3775317627242</v>
      </c>
      <c r="S534" s="527">
        <f t="shared" si="698"/>
        <v>9198.3775317627242</v>
      </c>
      <c r="T534" s="527">
        <f t="shared" si="698"/>
        <v>9198.3775317627242</v>
      </c>
      <c r="U534" s="527">
        <f t="shared" si="698"/>
        <v>9198.3775317627242</v>
      </c>
      <c r="V534" s="527">
        <f t="shared" si="698"/>
        <v>9198.3775317627242</v>
      </c>
      <c r="W534" s="527">
        <f t="shared" si="698"/>
        <v>9198.3775317627242</v>
      </c>
      <c r="X534" s="527">
        <f t="shared" si="698"/>
        <v>9198.3775317627242</v>
      </c>
      <c r="Y534" s="527">
        <f t="shared" si="698"/>
        <v>9198.3775317627242</v>
      </c>
      <c r="Z534" s="527">
        <f t="shared" si="698"/>
        <v>9198.3775317627242</v>
      </c>
      <c r="AA534" s="527">
        <f t="shared" si="698"/>
        <v>9198.3775317627242</v>
      </c>
      <c r="AB534" s="527">
        <f t="shared" si="698"/>
        <v>9198.3775317627242</v>
      </c>
      <c r="AC534" s="527">
        <f t="shared" si="698"/>
        <v>9198.3775317627242</v>
      </c>
      <c r="AD534" s="527">
        <f t="shared" si="698"/>
        <v>9503.7409848863481</v>
      </c>
      <c r="AE534" s="527">
        <f t="shared" si="698"/>
        <v>9503.7409848863481</v>
      </c>
      <c r="AF534" s="527">
        <f t="shared" si="698"/>
        <v>9503.7409848863481</v>
      </c>
      <c r="AG534" s="527">
        <f t="shared" si="698"/>
        <v>9503.7409848863481</v>
      </c>
      <c r="AH534" s="527">
        <f t="shared" si="698"/>
        <v>9503.7409848863481</v>
      </c>
      <c r="AI534" s="527">
        <f t="shared" si="698"/>
        <v>9503.7409848863481</v>
      </c>
      <c r="AJ534" s="527">
        <f t="shared" si="698"/>
        <v>9503.7409848863481</v>
      </c>
      <c r="AK534" s="527">
        <f t="shared" si="698"/>
        <v>9503.7409848863481</v>
      </c>
      <c r="AL534" s="527">
        <f t="shared" si="698"/>
        <v>9503.7409848863481</v>
      </c>
      <c r="AM534" s="527">
        <f t="shared" si="698"/>
        <v>9503.7409848863481</v>
      </c>
      <c r="AN534" s="527">
        <f t="shared" si="698"/>
        <v>9503.7409848863481</v>
      </c>
      <c r="AO534" s="527">
        <f t="shared" si="698"/>
        <v>9503.7409848863481</v>
      </c>
      <c r="AP534" s="527">
        <f t="shared" si="698"/>
        <v>9806.431229607997</v>
      </c>
      <c r="AQ534" s="527">
        <f t="shared" si="698"/>
        <v>9806.431229607997</v>
      </c>
      <c r="AR534" s="527">
        <f t="shared" si="698"/>
        <v>9806.431229607997</v>
      </c>
      <c r="AS534" s="527">
        <f t="shared" si="698"/>
        <v>9806.431229607997</v>
      </c>
      <c r="AT534" s="527">
        <f t="shared" si="698"/>
        <v>9806.431229607997</v>
      </c>
      <c r="AU534" s="527">
        <f t="shared" si="698"/>
        <v>9806.431229607997</v>
      </c>
      <c r="AV534" s="527">
        <f t="shared" si="698"/>
        <v>9806.431229607997</v>
      </c>
      <c r="AW534" s="527">
        <f t="shared" si="698"/>
        <v>9806.431229607997</v>
      </c>
      <c r="AX534" s="527">
        <f t="shared" si="698"/>
        <v>9806.431229607997</v>
      </c>
      <c r="AY534" s="527">
        <f t="shared" si="698"/>
        <v>9806.431229607997</v>
      </c>
      <c r="AZ534" s="527">
        <f t="shared" si="698"/>
        <v>9806.431229607997</v>
      </c>
      <c r="BA534" s="527">
        <f t="shared" si="698"/>
        <v>9806.431229607997</v>
      </c>
      <c r="BB534" s="527">
        <f t="shared" si="698"/>
        <v>10059.138932354765</v>
      </c>
      <c r="BC534" s="527">
        <f t="shared" si="698"/>
        <v>10059.138932354765</v>
      </c>
      <c r="BD534" s="527">
        <f t="shared" si="698"/>
        <v>10059.138932354765</v>
      </c>
      <c r="BE534" s="527">
        <f t="shared" si="698"/>
        <v>10059.138932354765</v>
      </c>
      <c r="BF534" s="527">
        <f t="shared" si="698"/>
        <v>10059.138932354765</v>
      </c>
      <c r="BG534" s="527">
        <f t="shared" si="698"/>
        <v>10059.138932354765</v>
      </c>
      <c r="BH534" s="527">
        <f t="shared" si="698"/>
        <v>10059.138932354765</v>
      </c>
      <c r="BI534" s="527">
        <f t="shared" si="698"/>
        <v>10059.138932354765</v>
      </c>
      <c r="BJ534" s="527">
        <f t="shared" si="698"/>
        <v>10059.138932354765</v>
      </c>
      <c r="BK534" s="527">
        <f t="shared" si="698"/>
        <v>10059.138932354765</v>
      </c>
      <c r="BL534" s="527">
        <f t="shared" si="698"/>
        <v>10059.138932354765</v>
      </c>
      <c r="BM534" s="527">
        <f t="shared" si="698"/>
        <v>10059.138932354765</v>
      </c>
      <c r="BN534" s="527">
        <f t="shared" si="698"/>
        <v>10276.647831285494</v>
      </c>
      <c r="BO534" s="527">
        <f t="shared" si="698"/>
        <v>10276.647831285494</v>
      </c>
      <c r="BP534" s="527">
        <f t="shared" si="698"/>
        <v>10276.647831285494</v>
      </c>
      <c r="BQ534" s="527">
        <f t="shared" si="698"/>
        <v>10276.647831285494</v>
      </c>
      <c r="BR534" s="527">
        <f t="shared" si="698"/>
        <v>10276.647831285494</v>
      </c>
      <c r="BS534" s="527">
        <f t="shared" si="698"/>
        <v>10276.647831285494</v>
      </c>
      <c r="BT534" s="527">
        <f t="shared" si="698"/>
        <v>10276.647831285494</v>
      </c>
      <c r="BU534" s="527">
        <f t="shared" si="698"/>
        <v>10276.647831285494</v>
      </c>
      <c r="BV534" s="527">
        <f t="shared" si="698"/>
        <v>10276.647831285494</v>
      </c>
      <c r="BW534" s="527">
        <f t="shared" si="698"/>
        <v>10276.647831285494</v>
      </c>
      <c r="BX534" s="527">
        <f t="shared" si="698"/>
        <v>10276.647831285494</v>
      </c>
      <c r="BY534" s="527">
        <f t="shared" si="698"/>
        <v>10276.647831285494</v>
      </c>
      <c r="BZ534" s="537"/>
      <c r="CA534" s="537"/>
      <c r="CB534" s="529"/>
    </row>
    <row r="535" spans="1:80" x14ac:dyDescent="0.3">
      <c r="A535" s="648"/>
      <c r="B535" s="648"/>
      <c r="C535" s="648" cm="1">
        <f t="array" ref="C535">SUMPRODUCT((Index_Tab!$D$36:$D$45=$B535)*(Index_Tab!$E$35:$F$35=$B$3)*Index_Tab!$E$36:$F$45)</f>
        <v>0</v>
      </c>
      <c r="D535" s="648"/>
      <c r="E535" s="572" t="s">
        <v>26</v>
      </c>
      <c r="F535" s="573"/>
      <c r="G535" s="573"/>
      <c r="H535" s="529"/>
      <c r="I535" s="532">
        <f>SUM(I533:I534)</f>
        <v>1540689.2093075386</v>
      </c>
      <c r="J535" s="532">
        <f>SUM(J533:J534)</f>
        <v>1588524.3805245373</v>
      </c>
      <c r="K535" s="532">
        <f t="shared" ref="K535:BX535" si="699">SUM(K533:K534)</f>
        <v>1635045.6907301145</v>
      </c>
      <c r="L535" s="532">
        <f t="shared" si="699"/>
        <v>1680487.348477507</v>
      </c>
      <c r="M535" s="532">
        <f t="shared" si="699"/>
        <v>1719748.5431061934</v>
      </c>
      <c r="N535" s="532">
        <f t="shared" si="699"/>
        <v>1755444.1986368634</v>
      </c>
      <c r="O535" s="536"/>
      <c r="P535" s="568">
        <f>IFERROR(((N535/I535)^(1/5))-1,0)</f>
        <v>2.6441960728261327E-2</v>
      </c>
      <c r="Q535" s="529"/>
      <c r="R535" s="532">
        <f t="shared" si="699"/>
        <v>132377.0317103781</v>
      </c>
      <c r="S535" s="532">
        <f t="shared" si="699"/>
        <v>132377.0317103781</v>
      </c>
      <c r="T535" s="532">
        <f t="shared" si="699"/>
        <v>132377.0317103781</v>
      </c>
      <c r="U535" s="532">
        <f t="shared" si="699"/>
        <v>132377.0317103781</v>
      </c>
      <c r="V535" s="532">
        <f t="shared" si="699"/>
        <v>132377.0317103781</v>
      </c>
      <c r="W535" s="532">
        <f t="shared" si="699"/>
        <v>132377.0317103781</v>
      </c>
      <c r="X535" s="532">
        <f t="shared" si="699"/>
        <v>132377.0317103781</v>
      </c>
      <c r="Y535" s="532">
        <f t="shared" si="699"/>
        <v>132377.0317103781</v>
      </c>
      <c r="Z535" s="532">
        <f t="shared" si="699"/>
        <v>132377.0317103781</v>
      </c>
      <c r="AA535" s="532">
        <f t="shared" si="699"/>
        <v>132377.0317103781</v>
      </c>
      <c r="AB535" s="532">
        <f t="shared" si="699"/>
        <v>132377.0317103781</v>
      </c>
      <c r="AC535" s="532">
        <f t="shared" si="699"/>
        <v>132377.0317103781</v>
      </c>
      <c r="AD535" s="532">
        <f t="shared" si="699"/>
        <v>136253.80756084289</v>
      </c>
      <c r="AE535" s="532">
        <f t="shared" si="699"/>
        <v>136253.80756084289</v>
      </c>
      <c r="AF535" s="532">
        <f t="shared" si="699"/>
        <v>136253.80756084289</v>
      </c>
      <c r="AG535" s="532">
        <f t="shared" si="699"/>
        <v>136253.80756084289</v>
      </c>
      <c r="AH535" s="532">
        <f t="shared" si="699"/>
        <v>136253.80756084289</v>
      </c>
      <c r="AI535" s="532">
        <f t="shared" si="699"/>
        <v>136253.80756084289</v>
      </c>
      <c r="AJ535" s="532">
        <f t="shared" si="699"/>
        <v>136253.80756084289</v>
      </c>
      <c r="AK535" s="532">
        <f t="shared" si="699"/>
        <v>136253.80756084289</v>
      </c>
      <c r="AL535" s="532">
        <f t="shared" si="699"/>
        <v>136253.80756084289</v>
      </c>
      <c r="AM535" s="532">
        <f t="shared" si="699"/>
        <v>136253.80756084289</v>
      </c>
      <c r="AN535" s="532">
        <f t="shared" si="699"/>
        <v>136253.80756084289</v>
      </c>
      <c r="AO535" s="532">
        <f t="shared" si="699"/>
        <v>136253.80756084289</v>
      </c>
      <c r="AP535" s="532">
        <f t="shared" si="699"/>
        <v>140040.61237312559</v>
      </c>
      <c r="AQ535" s="532">
        <f t="shared" si="699"/>
        <v>140040.61237312559</v>
      </c>
      <c r="AR535" s="532">
        <f t="shared" si="699"/>
        <v>140040.61237312559</v>
      </c>
      <c r="AS535" s="532">
        <f t="shared" si="699"/>
        <v>140040.61237312559</v>
      </c>
      <c r="AT535" s="532">
        <f t="shared" si="699"/>
        <v>140040.61237312559</v>
      </c>
      <c r="AU535" s="532">
        <f t="shared" si="699"/>
        <v>140040.61237312559</v>
      </c>
      <c r="AV535" s="532">
        <f t="shared" si="699"/>
        <v>140040.61237312559</v>
      </c>
      <c r="AW535" s="532">
        <f t="shared" si="699"/>
        <v>140040.61237312559</v>
      </c>
      <c r="AX535" s="532">
        <f t="shared" si="699"/>
        <v>140040.61237312559</v>
      </c>
      <c r="AY535" s="532">
        <f t="shared" si="699"/>
        <v>140040.61237312559</v>
      </c>
      <c r="AZ535" s="532">
        <f t="shared" si="699"/>
        <v>140040.61237312559</v>
      </c>
      <c r="BA535" s="532">
        <f t="shared" si="699"/>
        <v>140040.61237312559</v>
      </c>
      <c r="BB535" s="532">
        <f t="shared" si="699"/>
        <v>143312.37859218279</v>
      </c>
      <c r="BC535" s="532">
        <f t="shared" si="699"/>
        <v>143312.37859218279</v>
      </c>
      <c r="BD535" s="532">
        <f t="shared" si="699"/>
        <v>143312.37859218279</v>
      </c>
      <c r="BE535" s="532">
        <f t="shared" si="699"/>
        <v>143312.37859218279</v>
      </c>
      <c r="BF535" s="532">
        <f t="shared" si="699"/>
        <v>143312.37859218279</v>
      </c>
      <c r="BG535" s="532">
        <f t="shared" si="699"/>
        <v>143312.37859218279</v>
      </c>
      <c r="BH535" s="532">
        <f t="shared" si="699"/>
        <v>143312.37859218279</v>
      </c>
      <c r="BI535" s="532">
        <f t="shared" si="699"/>
        <v>143312.37859218279</v>
      </c>
      <c r="BJ535" s="532">
        <f t="shared" si="699"/>
        <v>143312.37859218279</v>
      </c>
      <c r="BK535" s="532">
        <f t="shared" si="699"/>
        <v>143312.37859218279</v>
      </c>
      <c r="BL535" s="532">
        <f t="shared" si="699"/>
        <v>143312.37859218279</v>
      </c>
      <c r="BM535" s="532">
        <f t="shared" si="699"/>
        <v>143312.37859218279</v>
      </c>
      <c r="BN535" s="532">
        <f t="shared" si="699"/>
        <v>146287.01655307194</v>
      </c>
      <c r="BO535" s="532">
        <f t="shared" si="699"/>
        <v>146287.01655307194</v>
      </c>
      <c r="BP535" s="532">
        <f t="shared" si="699"/>
        <v>146287.01655307194</v>
      </c>
      <c r="BQ535" s="532">
        <f t="shared" si="699"/>
        <v>146287.01655307194</v>
      </c>
      <c r="BR535" s="532">
        <f t="shared" si="699"/>
        <v>146287.01655307194</v>
      </c>
      <c r="BS535" s="532">
        <f t="shared" si="699"/>
        <v>146287.01655307194</v>
      </c>
      <c r="BT535" s="532">
        <f t="shared" si="699"/>
        <v>146287.01655307194</v>
      </c>
      <c r="BU535" s="532">
        <f t="shared" si="699"/>
        <v>146287.01655307194</v>
      </c>
      <c r="BV535" s="532">
        <f t="shared" si="699"/>
        <v>146287.01655307194</v>
      </c>
      <c r="BW535" s="532">
        <f t="shared" si="699"/>
        <v>146287.01655307194</v>
      </c>
      <c r="BX535" s="532">
        <f t="shared" si="699"/>
        <v>146287.01655307194</v>
      </c>
      <c r="BY535" s="532">
        <f>SUM(BY533:BY534)</f>
        <v>146287.01655307194</v>
      </c>
      <c r="BZ535" s="537"/>
      <c r="CA535" s="537"/>
      <c r="CB535" s="529"/>
    </row>
    <row r="536" spans="1:80" x14ac:dyDescent="0.3">
      <c r="A536" s="648"/>
      <c r="B536" s="648"/>
      <c r="C536" s="648" cm="1">
        <f t="array" ref="C536">SUMPRODUCT((Index_Tab!$D$36:$D$45=$B536)*(Index_Tab!$E$35:$F$35=$B$3)*Index_Tab!$E$36:$F$45)</f>
        <v>0</v>
      </c>
      <c r="D536" s="648"/>
      <c r="E536" s="525"/>
      <c r="F536" s="529"/>
      <c r="G536" s="529"/>
      <c r="H536" s="529"/>
      <c r="I536" s="529"/>
      <c r="J536" s="529"/>
      <c r="K536" s="529"/>
      <c r="L536" s="529"/>
      <c r="M536" s="529"/>
      <c r="N536" s="529"/>
      <c r="O536" s="529"/>
      <c r="P536" s="660"/>
      <c r="Q536" s="529"/>
      <c r="R536" s="529"/>
      <c r="S536" s="529"/>
      <c r="T536" s="529"/>
      <c r="U536" s="529"/>
      <c r="V536" s="529"/>
      <c r="W536" s="529"/>
      <c r="X536" s="529"/>
      <c r="Y536" s="529"/>
      <c r="Z536" s="529"/>
      <c r="AA536" s="529"/>
      <c r="AB536" s="529"/>
      <c r="AC536" s="529"/>
      <c r="AD536" s="529"/>
      <c r="AE536" s="529"/>
      <c r="AF536" s="529"/>
      <c r="AG536" s="529"/>
      <c r="AH536" s="529"/>
      <c r="AI536" s="529"/>
      <c r="AJ536" s="529"/>
      <c r="AK536" s="529"/>
      <c r="AL536" s="529"/>
      <c r="AM536" s="529"/>
      <c r="AN536" s="529"/>
      <c r="AO536" s="529"/>
      <c r="AP536" s="529"/>
      <c r="AQ536" s="529"/>
      <c r="AR536" s="529"/>
      <c r="AS536" s="529"/>
      <c r="AT536" s="529"/>
      <c r="AU536" s="529"/>
      <c r="AV536" s="529"/>
      <c r="AW536" s="529"/>
      <c r="AX536" s="529"/>
      <c r="AY536" s="529"/>
      <c r="AZ536" s="529"/>
      <c r="BA536" s="529"/>
      <c r="BB536" s="529"/>
      <c r="BC536" s="529"/>
      <c r="BD536" s="529"/>
      <c r="BE536" s="529"/>
      <c r="BF536" s="529"/>
      <c r="BG536" s="529"/>
      <c r="BH536" s="529"/>
      <c r="BI536" s="529"/>
      <c r="BJ536" s="529"/>
      <c r="BK536" s="529"/>
      <c r="BL536" s="529"/>
      <c r="BM536" s="529"/>
      <c r="BN536" s="529"/>
      <c r="BO536" s="529"/>
      <c r="BP536" s="529"/>
      <c r="BQ536" s="529"/>
      <c r="BR536" s="529"/>
      <c r="BS536" s="529"/>
      <c r="BT536" s="529"/>
      <c r="BU536" s="529"/>
      <c r="BV536" s="529"/>
      <c r="BW536" s="529"/>
      <c r="BX536" s="529"/>
      <c r="BY536" s="529"/>
      <c r="BZ536" s="537"/>
      <c r="CA536" s="537"/>
      <c r="CB536" s="529"/>
    </row>
    <row r="537" spans="1:80" x14ac:dyDescent="0.3">
      <c r="A537" s="648"/>
      <c r="B537" s="648"/>
      <c r="C537" s="648" cm="1">
        <f t="array" ref="C537">SUMPRODUCT((Index_Tab!$D$36:$D$45=$B537)*(Index_Tab!$E$35:$F$35=$B$3)*Index_Tab!$E$36:$F$45)</f>
        <v>0</v>
      </c>
      <c r="D537" s="648"/>
      <c r="E537" s="570" t="s">
        <v>27</v>
      </c>
      <c r="F537" s="529"/>
      <c r="G537" s="529"/>
      <c r="H537" s="529"/>
      <c r="I537" s="529"/>
      <c r="J537" s="529"/>
      <c r="K537" s="529"/>
      <c r="L537" s="529"/>
      <c r="M537" s="529"/>
      <c r="N537" s="529"/>
      <c r="O537" s="529"/>
      <c r="P537" s="660"/>
      <c r="Q537" s="529"/>
      <c r="R537" s="529"/>
      <c r="S537" s="529"/>
      <c r="T537" s="529"/>
      <c r="U537" s="529"/>
      <c r="V537" s="529"/>
      <c r="W537" s="529"/>
      <c r="X537" s="529"/>
      <c r="Y537" s="529"/>
      <c r="Z537" s="529"/>
      <c r="AA537" s="529"/>
      <c r="AB537" s="529"/>
      <c r="AC537" s="529"/>
      <c r="AD537" s="529"/>
      <c r="AE537" s="529"/>
      <c r="AF537" s="529"/>
      <c r="AG537" s="529"/>
      <c r="AH537" s="529"/>
      <c r="AI537" s="529"/>
      <c r="AJ537" s="529"/>
      <c r="AK537" s="529"/>
      <c r="AL537" s="529"/>
      <c r="AM537" s="529"/>
      <c r="AN537" s="529"/>
      <c r="AO537" s="529"/>
      <c r="AP537" s="529"/>
      <c r="AQ537" s="529"/>
      <c r="AR537" s="529"/>
      <c r="AS537" s="529"/>
      <c r="AT537" s="529"/>
      <c r="AU537" s="529"/>
      <c r="AV537" s="529"/>
      <c r="AW537" s="529"/>
      <c r="AX537" s="529"/>
      <c r="AY537" s="529"/>
      <c r="AZ537" s="529"/>
      <c r="BA537" s="529"/>
      <c r="BB537" s="529"/>
      <c r="BC537" s="529"/>
      <c r="BD537" s="529"/>
      <c r="BE537" s="529"/>
      <c r="BF537" s="529"/>
      <c r="BG537" s="529"/>
      <c r="BH537" s="529"/>
      <c r="BI537" s="529"/>
      <c r="BJ537" s="529"/>
      <c r="BK537" s="529"/>
      <c r="BL537" s="529"/>
      <c r="BM537" s="529"/>
      <c r="BN537" s="529"/>
      <c r="BO537" s="529"/>
      <c r="BP537" s="529"/>
      <c r="BQ537" s="529"/>
      <c r="BR537" s="529"/>
      <c r="BS537" s="529"/>
      <c r="BT537" s="529"/>
      <c r="BU537" s="529"/>
      <c r="BV537" s="529"/>
      <c r="BW537" s="529"/>
      <c r="BX537" s="529"/>
      <c r="BY537" s="529"/>
      <c r="BZ537" s="537"/>
      <c r="CA537" s="537"/>
      <c r="CB537" s="529"/>
    </row>
    <row r="538" spans="1:80" x14ac:dyDescent="0.3">
      <c r="A538" s="648"/>
      <c r="B538" s="648" t="s">
        <v>15</v>
      </c>
      <c r="C538" s="648" cm="1">
        <f t="array" ref="C538">SUMPRODUCT((Index_Tab!$D$36:$D$45=$B538)*(Index_Tab!$E$35:$F$35=$B$3)*Index_Tab!$E$36:$F$45)</f>
        <v>0</v>
      </c>
      <c r="D538" s="648"/>
      <c r="E538" s="525" t="s">
        <v>28</v>
      </c>
      <c r="F538" s="567"/>
      <c r="G538" s="567"/>
      <c r="H538" s="529"/>
      <c r="I538" s="544">
        <v>10040.279999999999</v>
      </c>
      <c r="J538" s="542">
        <f>I538*(1+'Detailed Assumptions'!F$46)</f>
        <v>10040.279999999999</v>
      </c>
      <c r="K538" s="542">
        <f>J538*(1+'Detailed Assumptions'!G$46)</f>
        <v>10040.279999999999</v>
      </c>
      <c r="L538" s="542">
        <f>K538*(1+'Detailed Assumptions'!H$46)</f>
        <v>10040.279999999999</v>
      </c>
      <c r="M538" s="542">
        <f>L538*(1+'Detailed Assumptions'!I$46)</f>
        <v>10040.279999999999</v>
      </c>
      <c r="N538" s="542">
        <f>M538*(1+'Detailed Assumptions'!J$46)</f>
        <v>10040.279999999999</v>
      </c>
      <c r="O538" s="529"/>
      <c r="P538" s="564">
        <f>IFERROR(((N538/I538)^(1/5))-1,0)</f>
        <v>0</v>
      </c>
      <c r="Q538" s="529"/>
      <c r="R538" s="527">
        <f t="shared" ref="R538:AG541" si="700">(INDEX($I538:$N538,MATCH(R$2,$I$3:$N$3,0)))/12</f>
        <v>836.68999999999994</v>
      </c>
      <c r="S538" s="527">
        <f t="shared" si="700"/>
        <v>836.68999999999994</v>
      </c>
      <c r="T538" s="527">
        <f t="shared" si="700"/>
        <v>836.68999999999994</v>
      </c>
      <c r="U538" s="527">
        <f t="shared" si="700"/>
        <v>836.68999999999994</v>
      </c>
      <c r="V538" s="527">
        <f t="shared" si="700"/>
        <v>836.68999999999994</v>
      </c>
      <c r="W538" s="527">
        <f t="shared" si="700"/>
        <v>836.68999999999994</v>
      </c>
      <c r="X538" s="527">
        <f t="shared" si="700"/>
        <v>836.68999999999994</v>
      </c>
      <c r="Y538" s="527">
        <f t="shared" si="700"/>
        <v>836.68999999999994</v>
      </c>
      <c r="Z538" s="527">
        <f t="shared" si="700"/>
        <v>836.68999999999994</v>
      </c>
      <c r="AA538" s="527">
        <f t="shared" si="700"/>
        <v>836.68999999999994</v>
      </c>
      <c r="AB538" s="527">
        <f t="shared" si="700"/>
        <v>836.68999999999994</v>
      </c>
      <c r="AC538" s="527">
        <f t="shared" si="700"/>
        <v>836.68999999999994</v>
      </c>
      <c r="AD538" s="527">
        <f t="shared" si="700"/>
        <v>836.68999999999994</v>
      </c>
      <c r="AE538" s="527">
        <f t="shared" si="700"/>
        <v>836.68999999999994</v>
      </c>
      <c r="AF538" s="527">
        <f t="shared" si="700"/>
        <v>836.68999999999994</v>
      </c>
      <c r="AG538" s="527">
        <f t="shared" si="700"/>
        <v>836.68999999999994</v>
      </c>
      <c r="AH538" s="527">
        <f t="shared" ref="AH538:AW541" si="701">(INDEX($I538:$N538,MATCH(AH$2,$I$3:$N$3,0)))/12</f>
        <v>836.68999999999994</v>
      </c>
      <c r="AI538" s="527">
        <f t="shared" si="701"/>
        <v>836.68999999999994</v>
      </c>
      <c r="AJ538" s="527">
        <f t="shared" si="701"/>
        <v>836.68999999999994</v>
      </c>
      <c r="AK538" s="527">
        <f t="shared" si="701"/>
        <v>836.68999999999994</v>
      </c>
      <c r="AL538" s="527">
        <f t="shared" si="701"/>
        <v>836.68999999999994</v>
      </c>
      <c r="AM538" s="527">
        <f t="shared" si="701"/>
        <v>836.68999999999994</v>
      </c>
      <c r="AN538" s="527">
        <f t="shared" si="701"/>
        <v>836.68999999999994</v>
      </c>
      <c r="AO538" s="527">
        <f t="shared" si="701"/>
        <v>836.68999999999994</v>
      </c>
      <c r="AP538" s="527">
        <f t="shared" si="701"/>
        <v>836.68999999999994</v>
      </c>
      <c r="AQ538" s="527">
        <f t="shared" si="701"/>
        <v>836.68999999999994</v>
      </c>
      <c r="AR538" s="527">
        <f t="shared" si="701"/>
        <v>836.68999999999994</v>
      </c>
      <c r="AS538" s="527">
        <f t="shared" si="701"/>
        <v>836.68999999999994</v>
      </c>
      <c r="AT538" s="527">
        <f t="shared" si="701"/>
        <v>836.68999999999994</v>
      </c>
      <c r="AU538" s="527">
        <f t="shared" si="701"/>
        <v>836.68999999999994</v>
      </c>
      <c r="AV538" s="527">
        <f t="shared" si="701"/>
        <v>836.68999999999994</v>
      </c>
      <c r="AW538" s="527">
        <f t="shared" si="701"/>
        <v>836.68999999999994</v>
      </c>
      <c r="AX538" s="527">
        <f t="shared" ref="AX538:BM541" si="702">(INDEX($I538:$N538,MATCH(AX$2,$I$3:$N$3,0)))/12</f>
        <v>836.68999999999994</v>
      </c>
      <c r="AY538" s="527">
        <f t="shared" si="702"/>
        <v>836.68999999999994</v>
      </c>
      <c r="AZ538" s="527">
        <f t="shared" si="702"/>
        <v>836.68999999999994</v>
      </c>
      <c r="BA538" s="527">
        <f t="shared" si="702"/>
        <v>836.68999999999994</v>
      </c>
      <c r="BB538" s="527">
        <f t="shared" si="702"/>
        <v>836.68999999999994</v>
      </c>
      <c r="BC538" s="527">
        <f t="shared" si="702"/>
        <v>836.68999999999994</v>
      </c>
      <c r="BD538" s="527">
        <f t="shared" si="702"/>
        <v>836.68999999999994</v>
      </c>
      <c r="BE538" s="527">
        <f t="shared" si="702"/>
        <v>836.68999999999994</v>
      </c>
      <c r="BF538" s="527">
        <f t="shared" si="702"/>
        <v>836.68999999999994</v>
      </c>
      <c r="BG538" s="527">
        <f t="shared" si="702"/>
        <v>836.68999999999994</v>
      </c>
      <c r="BH538" s="527">
        <f t="shared" si="702"/>
        <v>836.68999999999994</v>
      </c>
      <c r="BI538" s="527">
        <f t="shared" si="702"/>
        <v>836.68999999999994</v>
      </c>
      <c r="BJ538" s="527">
        <f t="shared" si="702"/>
        <v>836.68999999999994</v>
      </c>
      <c r="BK538" s="527">
        <f t="shared" si="702"/>
        <v>836.68999999999994</v>
      </c>
      <c r="BL538" s="527">
        <f t="shared" si="702"/>
        <v>836.68999999999994</v>
      </c>
      <c r="BM538" s="527">
        <f t="shared" si="702"/>
        <v>836.68999999999994</v>
      </c>
      <c r="BN538" s="527">
        <f t="shared" ref="BN538:BY541" si="703">(INDEX($I538:$N538,MATCH(BN$2,$I$3:$N$3,0)))/12</f>
        <v>836.68999999999994</v>
      </c>
      <c r="BO538" s="527">
        <f t="shared" si="703"/>
        <v>836.68999999999994</v>
      </c>
      <c r="BP538" s="527">
        <f t="shared" si="703"/>
        <v>836.68999999999994</v>
      </c>
      <c r="BQ538" s="527">
        <f t="shared" si="703"/>
        <v>836.68999999999994</v>
      </c>
      <c r="BR538" s="527">
        <f t="shared" si="703"/>
        <v>836.68999999999994</v>
      </c>
      <c r="BS538" s="527">
        <f t="shared" si="703"/>
        <v>836.68999999999994</v>
      </c>
      <c r="BT538" s="527">
        <f t="shared" si="703"/>
        <v>836.68999999999994</v>
      </c>
      <c r="BU538" s="527">
        <f t="shared" si="703"/>
        <v>836.68999999999994</v>
      </c>
      <c r="BV538" s="527">
        <f t="shared" si="703"/>
        <v>836.68999999999994</v>
      </c>
      <c r="BW538" s="527">
        <f t="shared" si="703"/>
        <v>836.68999999999994</v>
      </c>
      <c r="BX538" s="527">
        <f t="shared" si="703"/>
        <v>836.68999999999994</v>
      </c>
      <c r="BY538" s="527">
        <f t="shared" si="703"/>
        <v>836.68999999999994</v>
      </c>
      <c r="BZ538" s="537"/>
      <c r="CA538" s="537"/>
      <c r="CB538" s="529"/>
    </row>
    <row r="539" spans="1:80" x14ac:dyDescent="0.3">
      <c r="A539" s="648"/>
      <c r="B539" s="648" t="s">
        <v>16</v>
      </c>
      <c r="C539" s="648" cm="1">
        <f t="array" ref="C539">SUMPRODUCT((Index_Tab!$D$36:$D$45=$B539)*(Index_Tab!$E$35:$F$35=$B$3)*Index_Tab!$E$36:$F$45)</f>
        <v>0</v>
      </c>
      <c r="D539" s="648"/>
      <c r="E539" s="525" t="s">
        <v>29</v>
      </c>
      <c r="F539" s="567"/>
      <c r="G539" s="567"/>
      <c r="H539" s="529"/>
      <c r="I539" s="544">
        <v>5839.1505606981982</v>
      </c>
      <c r="J539" s="542">
        <f>I539*(1+'Detailed Assumptions'!F$46)</f>
        <v>5839.1505606981982</v>
      </c>
      <c r="K539" s="542">
        <f>J539*(1+'Detailed Assumptions'!G$46)</f>
        <v>5839.1505606981982</v>
      </c>
      <c r="L539" s="542">
        <f>K539*(1+'Detailed Assumptions'!H$46)</f>
        <v>5839.1505606981982</v>
      </c>
      <c r="M539" s="542">
        <f>L539*(1+'Detailed Assumptions'!I$46)</f>
        <v>5839.1505606981982</v>
      </c>
      <c r="N539" s="542">
        <f>M539*(1+'Detailed Assumptions'!J$46)</f>
        <v>5839.1505606981982</v>
      </c>
      <c r="O539" s="529"/>
      <c r="P539" s="564">
        <f>IFERROR(((N539/I539)^(1/5))-1,0)</f>
        <v>0</v>
      </c>
      <c r="Q539" s="529"/>
      <c r="R539" s="527">
        <f t="shared" si="700"/>
        <v>486.59588005818318</v>
      </c>
      <c r="S539" s="527">
        <f t="shared" si="700"/>
        <v>486.59588005818318</v>
      </c>
      <c r="T539" s="527">
        <f t="shared" si="700"/>
        <v>486.59588005818318</v>
      </c>
      <c r="U539" s="527">
        <f t="shared" si="700"/>
        <v>486.59588005818318</v>
      </c>
      <c r="V539" s="527">
        <f t="shared" si="700"/>
        <v>486.59588005818318</v>
      </c>
      <c r="W539" s="527">
        <f t="shared" si="700"/>
        <v>486.59588005818318</v>
      </c>
      <c r="X539" s="527">
        <f t="shared" si="700"/>
        <v>486.59588005818318</v>
      </c>
      <c r="Y539" s="527">
        <f t="shared" si="700"/>
        <v>486.59588005818318</v>
      </c>
      <c r="Z539" s="527">
        <f t="shared" si="700"/>
        <v>486.59588005818318</v>
      </c>
      <c r="AA539" s="527">
        <f t="shared" si="700"/>
        <v>486.59588005818318</v>
      </c>
      <c r="AB539" s="527">
        <f t="shared" si="700"/>
        <v>486.59588005818318</v>
      </c>
      <c r="AC539" s="527">
        <f t="shared" si="700"/>
        <v>486.59588005818318</v>
      </c>
      <c r="AD539" s="527">
        <f t="shared" si="700"/>
        <v>486.59588005818318</v>
      </c>
      <c r="AE539" s="527">
        <f t="shared" si="700"/>
        <v>486.59588005818318</v>
      </c>
      <c r="AF539" s="527">
        <f t="shared" si="700"/>
        <v>486.59588005818318</v>
      </c>
      <c r="AG539" s="527">
        <f t="shared" si="700"/>
        <v>486.59588005818318</v>
      </c>
      <c r="AH539" s="527">
        <f t="shared" si="701"/>
        <v>486.59588005818318</v>
      </c>
      <c r="AI539" s="527">
        <f t="shared" si="701"/>
        <v>486.59588005818318</v>
      </c>
      <c r="AJ539" s="527">
        <f t="shared" si="701"/>
        <v>486.59588005818318</v>
      </c>
      <c r="AK539" s="527">
        <f t="shared" si="701"/>
        <v>486.59588005818318</v>
      </c>
      <c r="AL539" s="527">
        <f t="shared" si="701"/>
        <v>486.59588005818318</v>
      </c>
      <c r="AM539" s="527">
        <f t="shared" si="701"/>
        <v>486.59588005818318</v>
      </c>
      <c r="AN539" s="527">
        <f t="shared" si="701"/>
        <v>486.59588005818318</v>
      </c>
      <c r="AO539" s="527">
        <f t="shared" si="701"/>
        <v>486.59588005818318</v>
      </c>
      <c r="AP539" s="527">
        <f t="shared" si="701"/>
        <v>486.59588005818318</v>
      </c>
      <c r="AQ539" s="527">
        <f t="shared" si="701"/>
        <v>486.59588005818318</v>
      </c>
      <c r="AR539" s="527">
        <f t="shared" si="701"/>
        <v>486.59588005818318</v>
      </c>
      <c r="AS539" s="527">
        <f t="shared" si="701"/>
        <v>486.59588005818318</v>
      </c>
      <c r="AT539" s="527">
        <f t="shared" si="701"/>
        <v>486.59588005818318</v>
      </c>
      <c r="AU539" s="527">
        <f t="shared" si="701"/>
        <v>486.59588005818318</v>
      </c>
      <c r="AV539" s="527">
        <f t="shared" si="701"/>
        <v>486.59588005818318</v>
      </c>
      <c r="AW539" s="527">
        <f t="shared" si="701"/>
        <v>486.59588005818318</v>
      </c>
      <c r="AX539" s="527">
        <f t="shared" si="702"/>
        <v>486.59588005818318</v>
      </c>
      <c r="AY539" s="527">
        <f t="shared" si="702"/>
        <v>486.59588005818318</v>
      </c>
      <c r="AZ539" s="527">
        <f t="shared" si="702"/>
        <v>486.59588005818318</v>
      </c>
      <c r="BA539" s="527">
        <f t="shared" si="702"/>
        <v>486.59588005818318</v>
      </c>
      <c r="BB539" s="527">
        <f t="shared" si="702"/>
        <v>486.59588005818318</v>
      </c>
      <c r="BC539" s="527">
        <f t="shared" si="702"/>
        <v>486.59588005818318</v>
      </c>
      <c r="BD539" s="527">
        <f t="shared" si="702"/>
        <v>486.59588005818318</v>
      </c>
      <c r="BE539" s="527">
        <f t="shared" si="702"/>
        <v>486.59588005818318</v>
      </c>
      <c r="BF539" s="527">
        <f t="shared" si="702"/>
        <v>486.59588005818318</v>
      </c>
      <c r="BG539" s="527">
        <f t="shared" si="702"/>
        <v>486.59588005818318</v>
      </c>
      <c r="BH539" s="527">
        <f t="shared" si="702"/>
        <v>486.59588005818318</v>
      </c>
      <c r="BI539" s="527">
        <f t="shared" si="702"/>
        <v>486.59588005818318</v>
      </c>
      <c r="BJ539" s="527">
        <f t="shared" si="702"/>
        <v>486.59588005818318</v>
      </c>
      <c r="BK539" s="527">
        <f t="shared" si="702"/>
        <v>486.59588005818318</v>
      </c>
      <c r="BL539" s="527">
        <f t="shared" si="702"/>
        <v>486.59588005818318</v>
      </c>
      <c r="BM539" s="527">
        <f t="shared" si="702"/>
        <v>486.59588005818318</v>
      </c>
      <c r="BN539" s="527">
        <f t="shared" si="703"/>
        <v>486.59588005818318</v>
      </c>
      <c r="BO539" s="527">
        <f t="shared" si="703"/>
        <v>486.59588005818318</v>
      </c>
      <c r="BP539" s="527">
        <f t="shared" si="703"/>
        <v>486.59588005818318</v>
      </c>
      <c r="BQ539" s="527">
        <f t="shared" si="703"/>
        <v>486.59588005818318</v>
      </c>
      <c r="BR539" s="527">
        <f t="shared" si="703"/>
        <v>486.59588005818318</v>
      </c>
      <c r="BS539" s="527">
        <f t="shared" si="703"/>
        <v>486.59588005818318</v>
      </c>
      <c r="BT539" s="527">
        <f t="shared" si="703"/>
        <v>486.59588005818318</v>
      </c>
      <c r="BU539" s="527">
        <f t="shared" si="703"/>
        <v>486.59588005818318</v>
      </c>
      <c r="BV539" s="527">
        <f t="shared" si="703"/>
        <v>486.59588005818318</v>
      </c>
      <c r="BW539" s="527">
        <f t="shared" si="703"/>
        <v>486.59588005818318</v>
      </c>
      <c r="BX539" s="527">
        <f t="shared" si="703"/>
        <v>486.59588005818318</v>
      </c>
      <c r="BY539" s="527">
        <f t="shared" si="703"/>
        <v>486.59588005818318</v>
      </c>
      <c r="BZ539" s="537"/>
      <c r="CA539" s="537"/>
      <c r="CB539" s="529"/>
    </row>
    <row r="540" spans="1:80" x14ac:dyDescent="0.3">
      <c r="A540" s="648"/>
      <c r="B540" s="648" t="s">
        <v>17</v>
      </c>
      <c r="C540" s="648" cm="1">
        <f t="array" ref="C540">SUMPRODUCT((Index_Tab!$D$36:$D$45=$B540)*(Index_Tab!$E$35:$F$35=$B$3)*Index_Tab!$E$36:$F$45)</f>
        <v>0</v>
      </c>
      <c r="D540" s="648"/>
      <c r="E540" s="525" t="s">
        <v>30</v>
      </c>
      <c r="F540" s="567"/>
      <c r="G540" s="567"/>
      <c r="H540" s="529"/>
      <c r="I540" s="544">
        <v>24935.929999999997</v>
      </c>
      <c r="J540" s="542">
        <f>I540*(1+'Detailed Assumptions'!F$46)</f>
        <v>24935.929999999997</v>
      </c>
      <c r="K540" s="542">
        <f>J540*(1+'Detailed Assumptions'!G$46)</f>
        <v>24935.929999999997</v>
      </c>
      <c r="L540" s="542">
        <f>K540*(1+'Detailed Assumptions'!H$46)</f>
        <v>24935.929999999997</v>
      </c>
      <c r="M540" s="542">
        <f>L540*(1+'Detailed Assumptions'!I$46)</f>
        <v>24935.929999999997</v>
      </c>
      <c r="N540" s="542">
        <f>M540*(1+'Detailed Assumptions'!J$46)</f>
        <v>24935.929999999997</v>
      </c>
      <c r="O540" s="529"/>
      <c r="P540" s="564">
        <f>IFERROR(((N540/I540)^(1/5))-1,0)</f>
        <v>0</v>
      </c>
      <c r="Q540" s="529"/>
      <c r="R540" s="527">
        <f t="shared" si="700"/>
        <v>2077.9941666666664</v>
      </c>
      <c r="S540" s="527">
        <f t="shared" si="700"/>
        <v>2077.9941666666664</v>
      </c>
      <c r="T540" s="527">
        <f t="shared" si="700"/>
        <v>2077.9941666666664</v>
      </c>
      <c r="U540" s="527">
        <f t="shared" si="700"/>
        <v>2077.9941666666664</v>
      </c>
      <c r="V540" s="527">
        <f t="shared" si="700"/>
        <v>2077.9941666666664</v>
      </c>
      <c r="W540" s="527">
        <f t="shared" si="700"/>
        <v>2077.9941666666664</v>
      </c>
      <c r="X540" s="527">
        <f t="shared" si="700"/>
        <v>2077.9941666666664</v>
      </c>
      <c r="Y540" s="527">
        <f t="shared" si="700"/>
        <v>2077.9941666666664</v>
      </c>
      <c r="Z540" s="527">
        <f t="shared" si="700"/>
        <v>2077.9941666666664</v>
      </c>
      <c r="AA540" s="527">
        <f t="shared" si="700"/>
        <v>2077.9941666666664</v>
      </c>
      <c r="AB540" s="527">
        <f t="shared" si="700"/>
        <v>2077.9941666666664</v>
      </c>
      <c r="AC540" s="527">
        <f t="shared" si="700"/>
        <v>2077.9941666666664</v>
      </c>
      <c r="AD540" s="527">
        <f t="shared" si="700"/>
        <v>2077.9941666666664</v>
      </c>
      <c r="AE540" s="527">
        <f t="shared" si="700"/>
        <v>2077.9941666666664</v>
      </c>
      <c r="AF540" s="527">
        <f t="shared" si="700"/>
        <v>2077.9941666666664</v>
      </c>
      <c r="AG540" s="527">
        <f t="shared" si="700"/>
        <v>2077.9941666666664</v>
      </c>
      <c r="AH540" s="527">
        <f t="shared" si="701"/>
        <v>2077.9941666666664</v>
      </c>
      <c r="AI540" s="527">
        <f t="shared" si="701"/>
        <v>2077.9941666666664</v>
      </c>
      <c r="AJ540" s="527">
        <f t="shared" si="701"/>
        <v>2077.9941666666664</v>
      </c>
      <c r="AK540" s="527">
        <f t="shared" si="701"/>
        <v>2077.9941666666664</v>
      </c>
      <c r="AL540" s="527">
        <f t="shared" si="701"/>
        <v>2077.9941666666664</v>
      </c>
      <c r="AM540" s="527">
        <f t="shared" si="701"/>
        <v>2077.9941666666664</v>
      </c>
      <c r="AN540" s="527">
        <f t="shared" si="701"/>
        <v>2077.9941666666664</v>
      </c>
      <c r="AO540" s="527">
        <f t="shared" si="701"/>
        <v>2077.9941666666664</v>
      </c>
      <c r="AP540" s="527">
        <f t="shared" si="701"/>
        <v>2077.9941666666664</v>
      </c>
      <c r="AQ540" s="527">
        <f t="shared" si="701"/>
        <v>2077.9941666666664</v>
      </c>
      <c r="AR540" s="527">
        <f t="shared" si="701"/>
        <v>2077.9941666666664</v>
      </c>
      <c r="AS540" s="527">
        <f t="shared" si="701"/>
        <v>2077.9941666666664</v>
      </c>
      <c r="AT540" s="527">
        <f t="shared" si="701"/>
        <v>2077.9941666666664</v>
      </c>
      <c r="AU540" s="527">
        <f t="shared" si="701"/>
        <v>2077.9941666666664</v>
      </c>
      <c r="AV540" s="527">
        <f t="shared" si="701"/>
        <v>2077.9941666666664</v>
      </c>
      <c r="AW540" s="527">
        <f t="shared" si="701"/>
        <v>2077.9941666666664</v>
      </c>
      <c r="AX540" s="527">
        <f t="shared" si="702"/>
        <v>2077.9941666666664</v>
      </c>
      <c r="AY540" s="527">
        <f t="shared" si="702"/>
        <v>2077.9941666666664</v>
      </c>
      <c r="AZ540" s="527">
        <f t="shared" si="702"/>
        <v>2077.9941666666664</v>
      </c>
      <c r="BA540" s="527">
        <f t="shared" si="702"/>
        <v>2077.9941666666664</v>
      </c>
      <c r="BB540" s="527">
        <f t="shared" si="702"/>
        <v>2077.9941666666664</v>
      </c>
      <c r="BC540" s="527">
        <f t="shared" si="702"/>
        <v>2077.9941666666664</v>
      </c>
      <c r="BD540" s="527">
        <f t="shared" si="702"/>
        <v>2077.9941666666664</v>
      </c>
      <c r="BE540" s="527">
        <f t="shared" si="702"/>
        <v>2077.9941666666664</v>
      </c>
      <c r="BF540" s="527">
        <f t="shared" si="702"/>
        <v>2077.9941666666664</v>
      </c>
      <c r="BG540" s="527">
        <f t="shared" si="702"/>
        <v>2077.9941666666664</v>
      </c>
      <c r="BH540" s="527">
        <f t="shared" si="702"/>
        <v>2077.9941666666664</v>
      </c>
      <c r="BI540" s="527">
        <f t="shared" si="702"/>
        <v>2077.9941666666664</v>
      </c>
      <c r="BJ540" s="527">
        <f t="shared" si="702"/>
        <v>2077.9941666666664</v>
      </c>
      <c r="BK540" s="527">
        <f t="shared" si="702"/>
        <v>2077.9941666666664</v>
      </c>
      <c r="BL540" s="527">
        <f t="shared" si="702"/>
        <v>2077.9941666666664</v>
      </c>
      <c r="BM540" s="527">
        <f t="shared" si="702"/>
        <v>2077.9941666666664</v>
      </c>
      <c r="BN540" s="527">
        <f t="shared" si="703"/>
        <v>2077.9941666666664</v>
      </c>
      <c r="BO540" s="527">
        <f t="shared" si="703"/>
        <v>2077.9941666666664</v>
      </c>
      <c r="BP540" s="527">
        <f t="shared" si="703"/>
        <v>2077.9941666666664</v>
      </c>
      <c r="BQ540" s="527">
        <f t="shared" si="703"/>
        <v>2077.9941666666664</v>
      </c>
      <c r="BR540" s="527">
        <f t="shared" si="703"/>
        <v>2077.9941666666664</v>
      </c>
      <c r="BS540" s="527">
        <f t="shared" si="703"/>
        <v>2077.9941666666664</v>
      </c>
      <c r="BT540" s="527">
        <f t="shared" si="703"/>
        <v>2077.9941666666664</v>
      </c>
      <c r="BU540" s="527">
        <f t="shared" si="703"/>
        <v>2077.9941666666664</v>
      </c>
      <c r="BV540" s="527">
        <f t="shared" si="703"/>
        <v>2077.9941666666664</v>
      </c>
      <c r="BW540" s="527">
        <f t="shared" si="703"/>
        <v>2077.9941666666664</v>
      </c>
      <c r="BX540" s="527">
        <f t="shared" si="703"/>
        <v>2077.9941666666664</v>
      </c>
      <c r="BY540" s="527">
        <f t="shared" si="703"/>
        <v>2077.9941666666664</v>
      </c>
      <c r="BZ540" s="537"/>
      <c r="CA540" s="537"/>
      <c r="CB540" s="529"/>
    </row>
    <row r="541" spans="1:80" x14ac:dyDescent="0.3">
      <c r="A541" s="648"/>
      <c r="B541" s="648" t="s">
        <v>18</v>
      </c>
      <c r="C541" s="648" cm="1">
        <f t="array" ref="C541">SUMPRODUCT((Index_Tab!$D$36:$D$45=$B541)*(Index_Tab!$E$35:$F$35=$B$3)*Index_Tab!$E$36:$F$45)</f>
        <v>0</v>
      </c>
      <c r="D541" s="648"/>
      <c r="E541" s="525" t="s">
        <v>31</v>
      </c>
      <c r="F541" s="567"/>
      <c r="G541" s="567"/>
      <c r="H541" s="529"/>
      <c r="I541" s="544">
        <v>95262.168622615369</v>
      </c>
      <c r="J541" s="542">
        <f>I541*(1+'Detailed Assumptions'!F$46)</f>
        <v>95262.168622615369</v>
      </c>
      <c r="K541" s="542">
        <f>J541*(1+'Detailed Assumptions'!G$46)</f>
        <v>95262.168622615369</v>
      </c>
      <c r="L541" s="542">
        <f>K541*(1+'Detailed Assumptions'!H$46)</f>
        <v>95262.168622615369</v>
      </c>
      <c r="M541" s="542">
        <f>L541*(1+'Detailed Assumptions'!I$46)</f>
        <v>95262.168622615369</v>
      </c>
      <c r="N541" s="542">
        <f>M541*(1+'Detailed Assumptions'!J$46)</f>
        <v>95262.168622615369</v>
      </c>
      <c r="O541" s="529"/>
      <c r="P541" s="564">
        <f>IFERROR(((N541/I541)^(1/5))-1,0)</f>
        <v>0</v>
      </c>
      <c r="Q541" s="529"/>
      <c r="R541" s="527">
        <f t="shared" si="700"/>
        <v>7938.5140518846138</v>
      </c>
      <c r="S541" s="527">
        <f t="shared" si="700"/>
        <v>7938.5140518846138</v>
      </c>
      <c r="T541" s="527">
        <f t="shared" si="700"/>
        <v>7938.5140518846138</v>
      </c>
      <c r="U541" s="527">
        <f t="shared" si="700"/>
        <v>7938.5140518846138</v>
      </c>
      <c r="V541" s="527">
        <f t="shared" si="700"/>
        <v>7938.5140518846138</v>
      </c>
      <c r="W541" s="527">
        <f t="shared" si="700"/>
        <v>7938.5140518846138</v>
      </c>
      <c r="X541" s="527">
        <f t="shared" si="700"/>
        <v>7938.5140518846138</v>
      </c>
      <c r="Y541" s="527">
        <f t="shared" si="700"/>
        <v>7938.5140518846138</v>
      </c>
      <c r="Z541" s="527">
        <f t="shared" si="700"/>
        <v>7938.5140518846138</v>
      </c>
      <c r="AA541" s="527">
        <f t="shared" si="700"/>
        <v>7938.5140518846138</v>
      </c>
      <c r="AB541" s="527">
        <f t="shared" si="700"/>
        <v>7938.5140518846138</v>
      </c>
      <c r="AC541" s="527">
        <f t="shared" si="700"/>
        <v>7938.5140518846138</v>
      </c>
      <c r="AD541" s="527">
        <f t="shared" si="700"/>
        <v>7938.5140518846138</v>
      </c>
      <c r="AE541" s="527">
        <f t="shared" si="700"/>
        <v>7938.5140518846138</v>
      </c>
      <c r="AF541" s="527">
        <f t="shared" si="700"/>
        <v>7938.5140518846138</v>
      </c>
      <c r="AG541" s="527">
        <f t="shared" si="700"/>
        <v>7938.5140518846138</v>
      </c>
      <c r="AH541" s="527">
        <f t="shared" si="701"/>
        <v>7938.5140518846138</v>
      </c>
      <c r="AI541" s="527">
        <f t="shared" si="701"/>
        <v>7938.5140518846138</v>
      </c>
      <c r="AJ541" s="527">
        <f t="shared" si="701"/>
        <v>7938.5140518846138</v>
      </c>
      <c r="AK541" s="527">
        <f t="shared" si="701"/>
        <v>7938.5140518846138</v>
      </c>
      <c r="AL541" s="527">
        <f t="shared" si="701"/>
        <v>7938.5140518846138</v>
      </c>
      <c r="AM541" s="527">
        <f t="shared" si="701"/>
        <v>7938.5140518846138</v>
      </c>
      <c r="AN541" s="527">
        <f t="shared" si="701"/>
        <v>7938.5140518846138</v>
      </c>
      <c r="AO541" s="527">
        <f t="shared" si="701"/>
        <v>7938.5140518846138</v>
      </c>
      <c r="AP541" s="527">
        <f t="shared" si="701"/>
        <v>7938.5140518846138</v>
      </c>
      <c r="AQ541" s="527">
        <f t="shared" si="701"/>
        <v>7938.5140518846138</v>
      </c>
      <c r="AR541" s="527">
        <f t="shared" si="701"/>
        <v>7938.5140518846138</v>
      </c>
      <c r="AS541" s="527">
        <f t="shared" si="701"/>
        <v>7938.5140518846138</v>
      </c>
      <c r="AT541" s="527">
        <f t="shared" si="701"/>
        <v>7938.5140518846138</v>
      </c>
      <c r="AU541" s="527">
        <f t="shared" si="701"/>
        <v>7938.5140518846138</v>
      </c>
      <c r="AV541" s="527">
        <f t="shared" si="701"/>
        <v>7938.5140518846138</v>
      </c>
      <c r="AW541" s="527">
        <f t="shared" si="701"/>
        <v>7938.5140518846138</v>
      </c>
      <c r="AX541" s="527">
        <f t="shared" si="702"/>
        <v>7938.5140518846138</v>
      </c>
      <c r="AY541" s="527">
        <f t="shared" si="702"/>
        <v>7938.5140518846138</v>
      </c>
      <c r="AZ541" s="527">
        <f t="shared" si="702"/>
        <v>7938.5140518846138</v>
      </c>
      <c r="BA541" s="527">
        <f t="shared" si="702"/>
        <v>7938.5140518846138</v>
      </c>
      <c r="BB541" s="527">
        <f t="shared" si="702"/>
        <v>7938.5140518846138</v>
      </c>
      <c r="BC541" s="527">
        <f t="shared" si="702"/>
        <v>7938.5140518846138</v>
      </c>
      <c r="BD541" s="527">
        <f t="shared" si="702"/>
        <v>7938.5140518846138</v>
      </c>
      <c r="BE541" s="527">
        <f t="shared" si="702"/>
        <v>7938.5140518846138</v>
      </c>
      <c r="BF541" s="527">
        <f t="shared" si="702"/>
        <v>7938.5140518846138</v>
      </c>
      <c r="BG541" s="527">
        <f t="shared" si="702"/>
        <v>7938.5140518846138</v>
      </c>
      <c r="BH541" s="527">
        <f t="shared" si="702"/>
        <v>7938.5140518846138</v>
      </c>
      <c r="BI541" s="527">
        <f t="shared" si="702"/>
        <v>7938.5140518846138</v>
      </c>
      <c r="BJ541" s="527">
        <f t="shared" si="702"/>
        <v>7938.5140518846138</v>
      </c>
      <c r="BK541" s="527">
        <f t="shared" si="702"/>
        <v>7938.5140518846138</v>
      </c>
      <c r="BL541" s="527">
        <f t="shared" si="702"/>
        <v>7938.5140518846138</v>
      </c>
      <c r="BM541" s="527">
        <f t="shared" si="702"/>
        <v>7938.5140518846138</v>
      </c>
      <c r="BN541" s="527">
        <f t="shared" si="703"/>
        <v>7938.5140518846138</v>
      </c>
      <c r="BO541" s="527">
        <f t="shared" si="703"/>
        <v>7938.5140518846138</v>
      </c>
      <c r="BP541" s="527">
        <f t="shared" si="703"/>
        <v>7938.5140518846138</v>
      </c>
      <c r="BQ541" s="527">
        <f t="shared" si="703"/>
        <v>7938.5140518846138</v>
      </c>
      <c r="BR541" s="527">
        <f t="shared" si="703"/>
        <v>7938.5140518846138</v>
      </c>
      <c r="BS541" s="527">
        <f t="shared" si="703"/>
        <v>7938.5140518846138</v>
      </c>
      <c r="BT541" s="527">
        <f t="shared" si="703"/>
        <v>7938.5140518846138</v>
      </c>
      <c r="BU541" s="527">
        <f t="shared" si="703"/>
        <v>7938.5140518846138</v>
      </c>
      <c r="BV541" s="527">
        <f t="shared" si="703"/>
        <v>7938.5140518846138</v>
      </c>
      <c r="BW541" s="527">
        <f t="shared" si="703"/>
        <v>7938.5140518846138</v>
      </c>
      <c r="BX541" s="527">
        <f t="shared" si="703"/>
        <v>7938.5140518846138</v>
      </c>
      <c r="BY541" s="527">
        <f t="shared" si="703"/>
        <v>7938.5140518846138</v>
      </c>
      <c r="BZ541" s="537"/>
      <c r="CA541" s="537"/>
      <c r="CB541" s="529"/>
    </row>
    <row r="542" spans="1:80" x14ac:dyDescent="0.3">
      <c r="A542" s="648"/>
      <c r="B542" s="648"/>
      <c r="C542" s="648" cm="1">
        <f t="array" ref="C542">SUMPRODUCT((Index_Tab!$D$36:$D$45=$B542)*(Index_Tab!$E$35:$F$35=$B$3)*Index_Tab!$E$36:$F$45)</f>
        <v>0</v>
      </c>
      <c r="D542" s="648"/>
      <c r="E542" s="572" t="s">
        <v>32</v>
      </c>
      <c r="F542" s="573"/>
      <c r="G542" s="573"/>
      <c r="H542" s="529"/>
      <c r="I542" s="532">
        <f>SUM(I538:I541)</f>
        <v>136077.52918331357</v>
      </c>
      <c r="J542" s="532">
        <f>SUM(J538:J541)</f>
        <v>136077.52918331357</v>
      </c>
      <c r="K542" s="532">
        <f t="shared" ref="K542:BX542" si="704">SUM(K538:K541)</f>
        <v>136077.52918331357</v>
      </c>
      <c r="L542" s="532">
        <f t="shared" si="704"/>
        <v>136077.52918331357</v>
      </c>
      <c r="M542" s="532">
        <f t="shared" si="704"/>
        <v>136077.52918331357</v>
      </c>
      <c r="N542" s="532">
        <f t="shared" si="704"/>
        <v>136077.52918331357</v>
      </c>
      <c r="O542" s="536"/>
      <c r="P542" s="568">
        <f>IFERROR(((N542/I542)^(1/5))-1,0)</f>
        <v>0</v>
      </c>
      <c r="Q542" s="529"/>
      <c r="R542" s="532">
        <f t="shared" si="704"/>
        <v>11339.794098609464</v>
      </c>
      <c r="S542" s="532">
        <f t="shared" si="704"/>
        <v>11339.794098609464</v>
      </c>
      <c r="T542" s="532">
        <f t="shared" si="704"/>
        <v>11339.794098609464</v>
      </c>
      <c r="U542" s="532">
        <f t="shared" si="704"/>
        <v>11339.794098609464</v>
      </c>
      <c r="V542" s="532">
        <f t="shared" si="704"/>
        <v>11339.794098609464</v>
      </c>
      <c r="W542" s="532">
        <f t="shared" si="704"/>
        <v>11339.794098609464</v>
      </c>
      <c r="X542" s="532">
        <f t="shared" si="704"/>
        <v>11339.794098609464</v>
      </c>
      <c r="Y542" s="532">
        <f t="shared" si="704"/>
        <v>11339.794098609464</v>
      </c>
      <c r="Z542" s="532">
        <f t="shared" si="704"/>
        <v>11339.794098609464</v>
      </c>
      <c r="AA542" s="532">
        <f t="shared" si="704"/>
        <v>11339.794098609464</v>
      </c>
      <c r="AB542" s="532">
        <f t="shared" si="704"/>
        <v>11339.794098609464</v>
      </c>
      <c r="AC542" s="532">
        <f t="shared" si="704"/>
        <v>11339.794098609464</v>
      </c>
      <c r="AD542" s="532">
        <f t="shared" si="704"/>
        <v>11339.794098609464</v>
      </c>
      <c r="AE542" s="532">
        <f t="shared" si="704"/>
        <v>11339.794098609464</v>
      </c>
      <c r="AF542" s="532">
        <f t="shared" si="704"/>
        <v>11339.794098609464</v>
      </c>
      <c r="AG542" s="532">
        <f t="shared" si="704"/>
        <v>11339.794098609464</v>
      </c>
      <c r="AH542" s="532">
        <f t="shared" si="704"/>
        <v>11339.794098609464</v>
      </c>
      <c r="AI542" s="532">
        <f t="shared" si="704"/>
        <v>11339.794098609464</v>
      </c>
      <c r="AJ542" s="532">
        <f t="shared" si="704"/>
        <v>11339.794098609464</v>
      </c>
      <c r="AK542" s="532">
        <f t="shared" si="704"/>
        <v>11339.794098609464</v>
      </c>
      <c r="AL542" s="532">
        <f t="shared" si="704"/>
        <v>11339.794098609464</v>
      </c>
      <c r="AM542" s="532">
        <f t="shared" si="704"/>
        <v>11339.794098609464</v>
      </c>
      <c r="AN542" s="532">
        <f t="shared" si="704"/>
        <v>11339.794098609464</v>
      </c>
      <c r="AO542" s="532">
        <f t="shared" si="704"/>
        <v>11339.794098609464</v>
      </c>
      <c r="AP542" s="532">
        <f t="shared" si="704"/>
        <v>11339.794098609464</v>
      </c>
      <c r="AQ542" s="532">
        <f t="shared" si="704"/>
        <v>11339.794098609464</v>
      </c>
      <c r="AR542" s="532">
        <f t="shared" si="704"/>
        <v>11339.794098609464</v>
      </c>
      <c r="AS542" s="532">
        <f t="shared" si="704"/>
        <v>11339.794098609464</v>
      </c>
      <c r="AT542" s="532">
        <f t="shared" si="704"/>
        <v>11339.794098609464</v>
      </c>
      <c r="AU542" s="532">
        <f t="shared" si="704"/>
        <v>11339.794098609464</v>
      </c>
      <c r="AV542" s="532">
        <f t="shared" si="704"/>
        <v>11339.794098609464</v>
      </c>
      <c r="AW542" s="532">
        <f t="shared" si="704"/>
        <v>11339.794098609464</v>
      </c>
      <c r="AX542" s="532">
        <f t="shared" si="704"/>
        <v>11339.794098609464</v>
      </c>
      <c r="AY542" s="532">
        <f t="shared" si="704"/>
        <v>11339.794098609464</v>
      </c>
      <c r="AZ542" s="532">
        <f t="shared" si="704"/>
        <v>11339.794098609464</v>
      </c>
      <c r="BA542" s="532">
        <f t="shared" si="704"/>
        <v>11339.794098609464</v>
      </c>
      <c r="BB542" s="532">
        <f t="shared" si="704"/>
        <v>11339.794098609464</v>
      </c>
      <c r="BC542" s="532">
        <f t="shared" si="704"/>
        <v>11339.794098609464</v>
      </c>
      <c r="BD542" s="532">
        <f t="shared" si="704"/>
        <v>11339.794098609464</v>
      </c>
      <c r="BE542" s="532">
        <f t="shared" si="704"/>
        <v>11339.794098609464</v>
      </c>
      <c r="BF542" s="532">
        <f t="shared" si="704"/>
        <v>11339.794098609464</v>
      </c>
      <c r="BG542" s="532">
        <f t="shared" si="704"/>
        <v>11339.794098609464</v>
      </c>
      <c r="BH542" s="532">
        <f t="shared" si="704"/>
        <v>11339.794098609464</v>
      </c>
      <c r="BI542" s="532">
        <f t="shared" si="704"/>
        <v>11339.794098609464</v>
      </c>
      <c r="BJ542" s="532">
        <f t="shared" si="704"/>
        <v>11339.794098609464</v>
      </c>
      <c r="BK542" s="532">
        <f t="shared" si="704"/>
        <v>11339.794098609464</v>
      </c>
      <c r="BL542" s="532">
        <f t="shared" si="704"/>
        <v>11339.794098609464</v>
      </c>
      <c r="BM542" s="532">
        <f t="shared" si="704"/>
        <v>11339.794098609464</v>
      </c>
      <c r="BN542" s="532">
        <f t="shared" si="704"/>
        <v>11339.794098609464</v>
      </c>
      <c r="BO542" s="532">
        <f t="shared" si="704"/>
        <v>11339.794098609464</v>
      </c>
      <c r="BP542" s="532">
        <f t="shared" si="704"/>
        <v>11339.794098609464</v>
      </c>
      <c r="BQ542" s="532">
        <f t="shared" si="704"/>
        <v>11339.794098609464</v>
      </c>
      <c r="BR542" s="532">
        <f t="shared" si="704"/>
        <v>11339.794098609464</v>
      </c>
      <c r="BS542" s="532">
        <f t="shared" si="704"/>
        <v>11339.794098609464</v>
      </c>
      <c r="BT542" s="532">
        <f t="shared" si="704"/>
        <v>11339.794098609464</v>
      </c>
      <c r="BU542" s="532">
        <f t="shared" si="704"/>
        <v>11339.794098609464</v>
      </c>
      <c r="BV542" s="532">
        <f t="shared" si="704"/>
        <v>11339.794098609464</v>
      </c>
      <c r="BW542" s="532">
        <f t="shared" si="704"/>
        <v>11339.794098609464</v>
      </c>
      <c r="BX542" s="532">
        <f t="shared" si="704"/>
        <v>11339.794098609464</v>
      </c>
      <c r="BY542" s="532">
        <f>SUM(BY538:BY541)</f>
        <v>11339.794098609464</v>
      </c>
      <c r="BZ542" s="537"/>
      <c r="CA542" s="537"/>
      <c r="CB542" s="529"/>
    </row>
    <row r="543" spans="1:80" x14ac:dyDescent="0.3">
      <c r="A543" s="648"/>
      <c r="B543" s="648"/>
      <c r="C543" s="648" cm="1">
        <f t="array" ref="C543">SUMPRODUCT((Index_Tab!$D$36:$D$45=$B543)*(Index_Tab!$E$35:$F$35=$B$3)*Index_Tab!$E$36:$F$45)</f>
        <v>0</v>
      </c>
      <c r="D543" s="648"/>
      <c r="E543" s="525"/>
      <c r="F543" s="529"/>
      <c r="G543" s="529"/>
      <c r="H543" s="529"/>
      <c r="I543" s="529"/>
      <c r="J543" s="529"/>
      <c r="K543" s="529"/>
      <c r="L543" s="529"/>
      <c r="M543" s="529"/>
      <c r="N543" s="529"/>
      <c r="O543" s="529"/>
      <c r="P543" s="660"/>
      <c r="Q543" s="529"/>
      <c r="R543" s="529"/>
      <c r="S543" s="529"/>
      <c r="T543" s="529"/>
      <c r="U543" s="529"/>
      <c r="V543" s="529"/>
      <c r="W543" s="529"/>
      <c r="X543" s="529"/>
      <c r="Y543" s="529"/>
      <c r="Z543" s="529"/>
      <c r="AA543" s="529"/>
      <c r="AB543" s="529"/>
      <c r="AC543" s="529"/>
      <c r="AD543" s="529"/>
      <c r="AE543" s="529"/>
      <c r="AF543" s="529"/>
      <c r="AG543" s="529"/>
      <c r="AH543" s="529"/>
      <c r="AI543" s="529"/>
      <c r="AJ543" s="529"/>
      <c r="AK543" s="529"/>
      <c r="AL543" s="529"/>
      <c r="AM543" s="529"/>
      <c r="AN543" s="529"/>
      <c r="AO543" s="529"/>
      <c r="AP543" s="529"/>
      <c r="AQ543" s="529"/>
      <c r="AR543" s="529"/>
      <c r="AS543" s="529"/>
      <c r="AT543" s="529"/>
      <c r="AU543" s="529"/>
      <c r="AV543" s="529"/>
      <c r="AW543" s="529"/>
      <c r="AX543" s="529"/>
      <c r="AY543" s="529"/>
      <c r="AZ543" s="529"/>
      <c r="BA543" s="529"/>
      <c r="BB543" s="529"/>
      <c r="BC543" s="529"/>
      <c r="BD543" s="529"/>
      <c r="BE543" s="529"/>
      <c r="BF543" s="529"/>
      <c r="BG543" s="529"/>
      <c r="BH543" s="529"/>
      <c r="BI543" s="529"/>
      <c r="BJ543" s="529"/>
      <c r="BK543" s="529"/>
      <c r="BL543" s="529"/>
      <c r="BM543" s="529"/>
      <c r="BN543" s="529"/>
      <c r="BO543" s="529"/>
      <c r="BP543" s="529"/>
      <c r="BQ543" s="529"/>
      <c r="BR543" s="529"/>
      <c r="BS543" s="529"/>
      <c r="BT543" s="529"/>
      <c r="BU543" s="529"/>
      <c r="BV543" s="529"/>
      <c r="BW543" s="529"/>
      <c r="BX543" s="529"/>
      <c r="BY543" s="529"/>
      <c r="BZ543" s="537"/>
      <c r="CA543" s="537"/>
      <c r="CB543" s="529"/>
    </row>
    <row r="544" spans="1:80" x14ac:dyDescent="0.3">
      <c r="A544" s="648"/>
      <c r="B544" s="648"/>
      <c r="C544" s="648" cm="1">
        <f t="array" ref="C544">SUMPRODUCT((Index_Tab!$D$36:$D$45=$B544)*(Index_Tab!$E$35:$F$35=$B$3)*Index_Tab!$E$36:$F$45)</f>
        <v>0</v>
      </c>
      <c r="D544" s="648"/>
      <c r="E544" s="578" t="s">
        <v>33</v>
      </c>
      <c r="F544" s="579"/>
      <c r="G544" s="579"/>
      <c r="H544" s="529"/>
      <c r="I544" s="534">
        <f t="shared" ref="I544:N544" si="705">SUM(I542,I535,I529)</f>
        <v>3059547.6319990046</v>
      </c>
      <c r="J544" s="534">
        <f t="shared" si="705"/>
        <v>3184987.9866321487</v>
      </c>
      <c r="K544" s="534">
        <f t="shared" si="705"/>
        <v>3309702.7164752637</v>
      </c>
      <c r="L544" s="534">
        <f t="shared" si="705"/>
        <v>3433184.5085618915</v>
      </c>
      <c r="M544" s="534">
        <f t="shared" si="705"/>
        <v>3549716.7225595564</v>
      </c>
      <c r="N544" s="534">
        <f t="shared" si="705"/>
        <v>3665560.8900355543</v>
      </c>
      <c r="O544" s="536"/>
      <c r="P544" s="568">
        <f>IFERROR(((N544/I544)^(1/5))-1,0)</f>
        <v>3.6803951826123171E-2</v>
      </c>
      <c r="Q544" s="529"/>
      <c r="R544" s="534">
        <f t="shared" ref="R544:BY544" si="706">SUM(R542,R535,R529)</f>
        <v>265415.6655526791</v>
      </c>
      <c r="S544" s="534">
        <f t="shared" si="706"/>
        <v>265415.6655526791</v>
      </c>
      <c r="T544" s="534">
        <f t="shared" si="706"/>
        <v>265415.6655526791</v>
      </c>
      <c r="U544" s="534">
        <f t="shared" si="706"/>
        <v>265415.6655526791</v>
      </c>
      <c r="V544" s="534">
        <f t="shared" si="706"/>
        <v>265415.6655526791</v>
      </c>
      <c r="W544" s="534">
        <f t="shared" si="706"/>
        <v>265415.6655526791</v>
      </c>
      <c r="X544" s="534">
        <f t="shared" si="706"/>
        <v>265415.6655526791</v>
      </c>
      <c r="Y544" s="534">
        <f t="shared" si="706"/>
        <v>265415.6655526791</v>
      </c>
      <c r="Z544" s="534">
        <f t="shared" si="706"/>
        <v>265415.6655526791</v>
      </c>
      <c r="AA544" s="534">
        <f t="shared" si="706"/>
        <v>265415.6655526791</v>
      </c>
      <c r="AB544" s="534">
        <f t="shared" si="706"/>
        <v>265415.6655526791</v>
      </c>
      <c r="AC544" s="534">
        <f t="shared" si="706"/>
        <v>265415.6655526791</v>
      </c>
      <c r="AD544" s="534">
        <f t="shared" si="706"/>
        <v>275808.55970627209</v>
      </c>
      <c r="AE544" s="534">
        <f t="shared" si="706"/>
        <v>275808.55970627209</v>
      </c>
      <c r="AF544" s="534">
        <f t="shared" si="706"/>
        <v>275808.55970627209</v>
      </c>
      <c r="AG544" s="534">
        <f t="shared" si="706"/>
        <v>275808.55970627209</v>
      </c>
      <c r="AH544" s="534">
        <f t="shared" si="706"/>
        <v>275808.55970627209</v>
      </c>
      <c r="AI544" s="534">
        <f t="shared" si="706"/>
        <v>275808.55970627209</v>
      </c>
      <c r="AJ544" s="534">
        <f t="shared" si="706"/>
        <v>275808.55970627209</v>
      </c>
      <c r="AK544" s="534">
        <f t="shared" si="706"/>
        <v>275808.55970627209</v>
      </c>
      <c r="AL544" s="534">
        <f t="shared" si="706"/>
        <v>275808.55970627209</v>
      </c>
      <c r="AM544" s="534">
        <f t="shared" si="706"/>
        <v>275808.55970627209</v>
      </c>
      <c r="AN544" s="534">
        <f t="shared" si="706"/>
        <v>275808.55970627209</v>
      </c>
      <c r="AO544" s="534">
        <f t="shared" si="706"/>
        <v>275808.55970627209</v>
      </c>
      <c r="AP544" s="534">
        <f t="shared" si="706"/>
        <v>286098.70904682431</v>
      </c>
      <c r="AQ544" s="534">
        <f t="shared" si="706"/>
        <v>286098.70904682431</v>
      </c>
      <c r="AR544" s="534">
        <f t="shared" si="706"/>
        <v>286098.70904682431</v>
      </c>
      <c r="AS544" s="534">
        <f t="shared" si="706"/>
        <v>286098.70904682431</v>
      </c>
      <c r="AT544" s="534">
        <f t="shared" si="706"/>
        <v>286098.70904682431</v>
      </c>
      <c r="AU544" s="534">
        <f t="shared" si="706"/>
        <v>286098.70904682431</v>
      </c>
      <c r="AV544" s="534">
        <f t="shared" si="706"/>
        <v>286098.70904682431</v>
      </c>
      <c r="AW544" s="534">
        <f t="shared" si="706"/>
        <v>286098.70904682431</v>
      </c>
      <c r="AX544" s="534">
        <f t="shared" si="706"/>
        <v>286098.70904682431</v>
      </c>
      <c r="AY544" s="534">
        <f t="shared" si="706"/>
        <v>286098.70904682431</v>
      </c>
      <c r="AZ544" s="534">
        <f t="shared" si="706"/>
        <v>286098.70904682431</v>
      </c>
      <c r="BA544" s="534">
        <f t="shared" si="706"/>
        <v>286098.70904682431</v>
      </c>
      <c r="BB544" s="534">
        <f t="shared" si="706"/>
        <v>295809.72687996307</v>
      </c>
      <c r="BC544" s="534">
        <f t="shared" si="706"/>
        <v>295809.72687996307</v>
      </c>
      <c r="BD544" s="534">
        <f t="shared" si="706"/>
        <v>295809.72687996307</v>
      </c>
      <c r="BE544" s="534">
        <f t="shared" si="706"/>
        <v>295809.72687996307</v>
      </c>
      <c r="BF544" s="534">
        <f t="shared" si="706"/>
        <v>295809.72687996307</v>
      </c>
      <c r="BG544" s="534">
        <f t="shared" si="706"/>
        <v>295809.72687996307</v>
      </c>
      <c r="BH544" s="534">
        <f t="shared" si="706"/>
        <v>295809.72687996307</v>
      </c>
      <c r="BI544" s="534">
        <f t="shared" si="706"/>
        <v>295809.72687996307</v>
      </c>
      <c r="BJ544" s="534">
        <f t="shared" si="706"/>
        <v>295809.72687996307</v>
      </c>
      <c r="BK544" s="534">
        <f t="shared" si="706"/>
        <v>295809.72687996307</v>
      </c>
      <c r="BL544" s="534">
        <f t="shared" si="706"/>
        <v>295809.72687996307</v>
      </c>
      <c r="BM544" s="534">
        <f t="shared" si="706"/>
        <v>295809.72687996307</v>
      </c>
      <c r="BN544" s="534">
        <f t="shared" si="706"/>
        <v>305463.40750296286</v>
      </c>
      <c r="BO544" s="534">
        <f t="shared" si="706"/>
        <v>305463.40750296286</v>
      </c>
      <c r="BP544" s="534">
        <f t="shared" si="706"/>
        <v>305463.40750296286</v>
      </c>
      <c r="BQ544" s="534">
        <f t="shared" si="706"/>
        <v>305463.40750296286</v>
      </c>
      <c r="BR544" s="534">
        <f t="shared" si="706"/>
        <v>305463.40750296286</v>
      </c>
      <c r="BS544" s="534">
        <f t="shared" si="706"/>
        <v>305463.40750296286</v>
      </c>
      <c r="BT544" s="534">
        <f t="shared" si="706"/>
        <v>305463.40750296286</v>
      </c>
      <c r="BU544" s="534">
        <f t="shared" si="706"/>
        <v>305463.40750296286</v>
      </c>
      <c r="BV544" s="534">
        <f t="shared" si="706"/>
        <v>305463.40750296286</v>
      </c>
      <c r="BW544" s="534">
        <f t="shared" si="706"/>
        <v>305463.40750296286</v>
      </c>
      <c r="BX544" s="534">
        <f t="shared" si="706"/>
        <v>305463.40750296286</v>
      </c>
      <c r="BY544" s="534">
        <f t="shared" si="706"/>
        <v>305463.40750296286</v>
      </c>
      <c r="BZ544" s="537"/>
      <c r="CA544" s="537"/>
      <c r="CB544" s="529"/>
    </row>
    <row r="545" spans="1:80" x14ac:dyDescent="0.3">
      <c r="A545" s="648"/>
      <c r="B545" s="648"/>
      <c r="C545" s="648" cm="1">
        <f t="array" ref="C545">SUMPRODUCT((Index_Tab!$D$36:$D$45=$B545)*(Index_Tab!$E$35:$F$35=$B$3)*Index_Tab!$E$36:$F$45)</f>
        <v>0</v>
      </c>
      <c r="D545" s="648"/>
      <c r="E545" s="525"/>
      <c r="F545" s="529"/>
      <c r="G545" s="529"/>
      <c r="H545" s="529"/>
      <c r="I545" s="529"/>
      <c r="J545" s="529"/>
      <c r="K545" s="529"/>
      <c r="L545" s="529"/>
      <c r="M545" s="529"/>
      <c r="N545" s="529"/>
      <c r="O545" s="529"/>
      <c r="P545" s="660"/>
      <c r="Q545" s="529"/>
      <c r="R545" s="529"/>
      <c r="S545" s="529"/>
      <c r="T545" s="529"/>
      <c r="U545" s="529"/>
      <c r="V545" s="529"/>
      <c r="W545" s="529"/>
      <c r="X545" s="529"/>
      <c r="Y545" s="529"/>
      <c r="Z545" s="529"/>
      <c r="AA545" s="529"/>
      <c r="AB545" s="529"/>
      <c r="AC545" s="529"/>
      <c r="AD545" s="529"/>
      <c r="AE545" s="529"/>
      <c r="AF545" s="529"/>
      <c r="AG545" s="529"/>
      <c r="AH545" s="529"/>
      <c r="AI545" s="529"/>
      <c r="AJ545" s="529"/>
      <c r="AK545" s="529"/>
      <c r="AL545" s="529"/>
      <c r="AM545" s="529"/>
      <c r="AN545" s="529"/>
      <c r="AO545" s="529"/>
      <c r="AP545" s="529"/>
      <c r="AQ545" s="529"/>
      <c r="AR545" s="529"/>
      <c r="AS545" s="529"/>
      <c r="AT545" s="529"/>
      <c r="AU545" s="529"/>
      <c r="AV545" s="529"/>
      <c r="AW545" s="529"/>
      <c r="AX545" s="529"/>
      <c r="AY545" s="529"/>
      <c r="AZ545" s="529"/>
      <c r="BA545" s="529"/>
      <c r="BB545" s="529"/>
      <c r="BC545" s="529"/>
      <c r="BD545" s="529"/>
      <c r="BE545" s="529"/>
      <c r="BF545" s="529"/>
      <c r="BG545" s="529"/>
      <c r="BH545" s="529"/>
      <c r="BI545" s="529"/>
      <c r="BJ545" s="529"/>
      <c r="BK545" s="529"/>
      <c r="BL545" s="529"/>
      <c r="BM545" s="529"/>
      <c r="BN545" s="529"/>
      <c r="BO545" s="529"/>
      <c r="BP545" s="529"/>
      <c r="BQ545" s="529"/>
      <c r="BR545" s="529"/>
      <c r="BS545" s="529"/>
      <c r="BT545" s="529"/>
      <c r="BU545" s="529"/>
      <c r="BV545" s="529"/>
      <c r="BW545" s="529"/>
      <c r="BX545" s="529"/>
      <c r="BY545" s="529"/>
      <c r="BZ545" s="537"/>
      <c r="CA545" s="537"/>
      <c r="CB545" s="529"/>
    </row>
    <row r="546" spans="1:80" x14ac:dyDescent="0.3">
      <c r="A546" s="648"/>
      <c r="B546" s="648"/>
      <c r="C546" s="648" cm="1">
        <f t="array" ref="C546">SUMPRODUCT((Index_Tab!$D$36:$D$45=$B546)*(Index_Tab!$E$35:$F$35=$B$3)*Index_Tab!$E$36:$F$45)</f>
        <v>0</v>
      </c>
      <c r="D546" s="648"/>
      <c r="E546" s="570" t="s">
        <v>34</v>
      </c>
      <c r="F546" s="529"/>
      <c r="G546" s="529"/>
      <c r="H546" s="529"/>
      <c r="I546" s="529"/>
      <c r="J546" s="529"/>
      <c r="K546" s="529"/>
      <c r="L546" s="529"/>
      <c r="M546" s="529"/>
      <c r="N546" s="529"/>
      <c r="O546" s="529"/>
      <c r="P546" s="660"/>
      <c r="Q546" s="529"/>
      <c r="R546" s="529"/>
      <c r="S546" s="529"/>
      <c r="T546" s="529"/>
      <c r="U546" s="529"/>
      <c r="V546" s="529"/>
      <c r="W546" s="529"/>
      <c r="X546" s="529"/>
      <c r="Y546" s="529"/>
      <c r="Z546" s="529"/>
      <c r="AA546" s="529"/>
      <c r="AB546" s="529"/>
      <c r="AC546" s="529"/>
      <c r="AD546" s="529"/>
      <c r="AE546" s="529"/>
      <c r="AF546" s="529"/>
      <c r="AG546" s="529"/>
      <c r="AH546" s="529"/>
      <c r="AI546" s="529"/>
      <c r="AJ546" s="529"/>
      <c r="AK546" s="529"/>
      <c r="AL546" s="529"/>
      <c r="AM546" s="529"/>
      <c r="AN546" s="529"/>
      <c r="AO546" s="529"/>
      <c r="AP546" s="529"/>
      <c r="AQ546" s="529"/>
      <c r="AR546" s="529"/>
      <c r="AS546" s="529"/>
      <c r="AT546" s="529"/>
      <c r="AU546" s="529"/>
      <c r="AV546" s="529"/>
      <c r="AW546" s="529"/>
      <c r="AX546" s="529"/>
      <c r="AY546" s="529"/>
      <c r="AZ546" s="529"/>
      <c r="BA546" s="529"/>
      <c r="BB546" s="529"/>
      <c r="BC546" s="529"/>
      <c r="BD546" s="529"/>
      <c r="BE546" s="529"/>
      <c r="BF546" s="529"/>
      <c r="BG546" s="529"/>
      <c r="BH546" s="529"/>
      <c r="BI546" s="529"/>
      <c r="BJ546" s="529"/>
      <c r="BK546" s="529"/>
      <c r="BL546" s="529"/>
      <c r="BM546" s="529"/>
      <c r="BN546" s="529"/>
      <c r="BO546" s="529"/>
      <c r="BP546" s="529"/>
      <c r="BQ546" s="529"/>
      <c r="BR546" s="529"/>
      <c r="BS546" s="529"/>
      <c r="BT546" s="529"/>
      <c r="BU546" s="529"/>
      <c r="BV546" s="529"/>
      <c r="BW546" s="529"/>
      <c r="BX546" s="529"/>
      <c r="BY546" s="529"/>
      <c r="BZ546" s="537"/>
      <c r="CA546" s="537"/>
      <c r="CB546" s="529"/>
    </row>
    <row r="547" spans="1:80" x14ac:dyDescent="0.3">
      <c r="A547" s="648"/>
      <c r="B547" s="648" t="s">
        <v>19</v>
      </c>
      <c r="C547" s="648" cm="1">
        <f t="array" ref="C547">SUMPRODUCT((Index_Tab!$D$36:$D$45=$B547)*(Index_Tab!$E$35:$F$35=$B$3)*Index_Tab!$E$36:$F$45)</f>
        <v>0</v>
      </c>
      <c r="D547" s="648"/>
      <c r="E547" s="525" t="s">
        <v>19</v>
      </c>
      <c r="F547" s="567"/>
      <c r="G547" s="567"/>
      <c r="H547" s="529"/>
      <c r="I547" s="544">
        <v>-47534.760800000004</v>
      </c>
      <c r="J547" s="542">
        <f>I547*(1+'Detailed Assumptions'!F$47)</f>
        <v>-48485.456016000004</v>
      </c>
      <c r="K547" s="542">
        <f>J547*(1+'Detailed Assumptions'!G$47)</f>
        <v>-49455.165136320007</v>
      </c>
      <c r="L547" s="542">
        <f>K547*(1+'Detailed Assumptions'!H$47)</f>
        <v>-50444.268439046406</v>
      </c>
      <c r="M547" s="542">
        <f>L547*(1+'Detailed Assumptions'!I$47)</f>
        <v>-51453.153807827337</v>
      </c>
      <c r="N547" s="542">
        <f>M547*(1+'Detailed Assumptions'!J$47)</f>
        <v>-52482.216883983885</v>
      </c>
      <c r="O547" s="529"/>
      <c r="P547" s="564">
        <f>IFERROR(((N547/I547)^(1/5))-1,0)</f>
        <v>2.0000000000000018E-2</v>
      </c>
      <c r="Q547" s="529"/>
      <c r="R547" s="527">
        <f t="shared" ref="R547:AG548" si="707">(INDEX($I547:$N547,MATCH(R$2,$I$3:$N$3,0)))/12</f>
        <v>-4040.4546680000003</v>
      </c>
      <c r="S547" s="527">
        <f t="shared" si="707"/>
        <v>-4040.4546680000003</v>
      </c>
      <c r="T547" s="527">
        <f t="shared" si="707"/>
        <v>-4040.4546680000003</v>
      </c>
      <c r="U547" s="527">
        <f t="shared" si="707"/>
        <v>-4040.4546680000003</v>
      </c>
      <c r="V547" s="527">
        <f t="shared" si="707"/>
        <v>-4040.4546680000003</v>
      </c>
      <c r="W547" s="527">
        <f t="shared" si="707"/>
        <v>-4040.4546680000003</v>
      </c>
      <c r="X547" s="527">
        <f t="shared" si="707"/>
        <v>-4040.4546680000003</v>
      </c>
      <c r="Y547" s="527">
        <f t="shared" si="707"/>
        <v>-4040.4546680000003</v>
      </c>
      <c r="Z547" s="527">
        <f t="shared" si="707"/>
        <v>-4040.4546680000003</v>
      </c>
      <c r="AA547" s="527">
        <f t="shared" si="707"/>
        <v>-4040.4546680000003</v>
      </c>
      <c r="AB547" s="527">
        <f t="shared" si="707"/>
        <v>-4040.4546680000003</v>
      </c>
      <c r="AC547" s="527">
        <f t="shared" si="707"/>
        <v>-4040.4546680000003</v>
      </c>
      <c r="AD547" s="527">
        <f t="shared" si="707"/>
        <v>-4121.2637613600009</v>
      </c>
      <c r="AE547" s="527">
        <f t="shared" si="707"/>
        <v>-4121.2637613600009</v>
      </c>
      <c r="AF547" s="527">
        <f t="shared" si="707"/>
        <v>-4121.2637613600009</v>
      </c>
      <c r="AG547" s="527">
        <f t="shared" si="707"/>
        <v>-4121.2637613600009</v>
      </c>
      <c r="AH547" s="527">
        <f t="shared" ref="AH547:AW548" si="708">(INDEX($I547:$N547,MATCH(AH$2,$I$3:$N$3,0)))/12</f>
        <v>-4121.2637613600009</v>
      </c>
      <c r="AI547" s="527">
        <f t="shared" si="708"/>
        <v>-4121.2637613600009</v>
      </c>
      <c r="AJ547" s="527">
        <f t="shared" si="708"/>
        <v>-4121.2637613600009</v>
      </c>
      <c r="AK547" s="527">
        <f t="shared" si="708"/>
        <v>-4121.2637613600009</v>
      </c>
      <c r="AL547" s="527">
        <f t="shared" si="708"/>
        <v>-4121.2637613600009</v>
      </c>
      <c r="AM547" s="527">
        <f t="shared" si="708"/>
        <v>-4121.2637613600009</v>
      </c>
      <c r="AN547" s="527">
        <f t="shared" si="708"/>
        <v>-4121.2637613600009</v>
      </c>
      <c r="AO547" s="527">
        <f t="shared" si="708"/>
        <v>-4121.2637613600009</v>
      </c>
      <c r="AP547" s="527">
        <f t="shared" si="708"/>
        <v>-4203.6890365872005</v>
      </c>
      <c r="AQ547" s="527">
        <f t="shared" si="708"/>
        <v>-4203.6890365872005</v>
      </c>
      <c r="AR547" s="527">
        <f t="shared" si="708"/>
        <v>-4203.6890365872005</v>
      </c>
      <c r="AS547" s="527">
        <f t="shared" si="708"/>
        <v>-4203.6890365872005</v>
      </c>
      <c r="AT547" s="527">
        <f t="shared" si="708"/>
        <v>-4203.6890365872005</v>
      </c>
      <c r="AU547" s="527">
        <f t="shared" si="708"/>
        <v>-4203.6890365872005</v>
      </c>
      <c r="AV547" s="527">
        <f t="shared" si="708"/>
        <v>-4203.6890365872005</v>
      </c>
      <c r="AW547" s="527">
        <f t="shared" si="708"/>
        <v>-4203.6890365872005</v>
      </c>
      <c r="AX547" s="527">
        <f t="shared" ref="AX547:BM548" si="709">(INDEX($I547:$N547,MATCH(AX$2,$I$3:$N$3,0)))/12</f>
        <v>-4203.6890365872005</v>
      </c>
      <c r="AY547" s="527">
        <f t="shared" si="709"/>
        <v>-4203.6890365872005</v>
      </c>
      <c r="AZ547" s="527">
        <f t="shared" si="709"/>
        <v>-4203.6890365872005</v>
      </c>
      <c r="BA547" s="527">
        <f t="shared" si="709"/>
        <v>-4203.6890365872005</v>
      </c>
      <c r="BB547" s="527">
        <f t="shared" si="709"/>
        <v>-4287.7628173189451</v>
      </c>
      <c r="BC547" s="527">
        <f t="shared" si="709"/>
        <v>-4287.7628173189451</v>
      </c>
      <c r="BD547" s="527">
        <f t="shared" si="709"/>
        <v>-4287.7628173189451</v>
      </c>
      <c r="BE547" s="527">
        <f t="shared" si="709"/>
        <v>-4287.7628173189451</v>
      </c>
      <c r="BF547" s="527">
        <f t="shared" si="709"/>
        <v>-4287.7628173189451</v>
      </c>
      <c r="BG547" s="527">
        <f t="shared" si="709"/>
        <v>-4287.7628173189451</v>
      </c>
      <c r="BH547" s="527">
        <f t="shared" si="709"/>
        <v>-4287.7628173189451</v>
      </c>
      <c r="BI547" s="527">
        <f t="shared" si="709"/>
        <v>-4287.7628173189451</v>
      </c>
      <c r="BJ547" s="527">
        <f t="shared" si="709"/>
        <v>-4287.7628173189451</v>
      </c>
      <c r="BK547" s="527">
        <f t="shared" si="709"/>
        <v>-4287.7628173189451</v>
      </c>
      <c r="BL547" s="527">
        <f t="shared" si="709"/>
        <v>-4287.7628173189451</v>
      </c>
      <c r="BM547" s="527">
        <f t="shared" si="709"/>
        <v>-4287.7628173189451</v>
      </c>
      <c r="BN547" s="527">
        <f t="shared" ref="BN547:BY548" si="710">(INDEX($I547:$N547,MATCH(BN$2,$I$3:$N$3,0)))/12</f>
        <v>-4373.5180736653238</v>
      </c>
      <c r="BO547" s="527">
        <f t="shared" si="710"/>
        <v>-4373.5180736653238</v>
      </c>
      <c r="BP547" s="527">
        <f t="shared" si="710"/>
        <v>-4373.5180736653238</v>
      </c>
      <c r="BQ547" s="527">
        <f t="shared" si="710"/>
        <v>-4373.5180736653238</v>
      </c>
      <c r="BR547" s="527">
        <f t="shared" si="710"/>
        <v>-4373.5180736653238</v>
      </c>
      <c r="BS547" s="527">
        <f t="shared" si="710"/>
        <v>-4373.5180736653238</v>
      </c>
      <c r="BT547" s="527">
        <f t="shared" si="710"/>
        <v>-4373.5180736653238</v>
      </c>
      <c r="BU547" s="527">
        <f t="shared" si="710"/>
        <v>-4373.5180736653238</v>
      </c>
      <c r="BV547" s="527">
        <f t="shared" si="710"/>
        <v>-4373.5180736653238</v>
      </c>
      <c r="BW547" s="527">
        <f t="shared" si="710"/>
        <v>-4373.5180736653238</v>
      </c>
      <c r="BX547" s="527">
        <f t="shared" si="710"/>
        <v>-4373.5180736653238</v>
      </c>
      <c r="BY547" s="527">
        <f t="shared" si="710"/>
        <v>-4373.5180736653238</v>
      </c>
      <c r="BZ547" s="537"/>
      <c r="CA547" s="537"/>
      <c r="CB547" s="529"/>
    </row>
    <row r="548" spans="1:80" x14ac:dyDescent="0.3">
      <c r="A548" s="648"/>
      <c r="B548" s="648" t="s">
        <v>20</v>
      </c>
      <c r="C548" s="648" cm="1">
        <f t="array" ref="C548">SUMPRODUCT((Index_Tab!$D$36:$D$45=$B548)*(Index_Tab!$E$35:$F$35=$B$3)*Index_Tab!$E$36:$F$45)</f>
        <v>0</v>
      </c>
      <c r="D548" s="648"/>
      <c r="E548" s="525" t="s">
        <v>20</v>
      </c>
      <c r="F548" s="567"/>
      <c r="G548" s="567"/>
      <c r="H548" s="529"/>
      <c r="I548" s="544">
        <v>-6467.7700000000013</v>
      </c>
      <c r="J548" s="542">
        <f>I548*(1+'Detailed Assumptions'!F$47)</f>
        <v>-6597.1254000000017</v>
      </c>
      <c r="K548" s="542">
        <f>J548*(1+'Detailed Assumptions'!G$47)</f>
        <v>-6729.0679080000018</v>
      </c>
      <c r="L548" s="542">
        <f>K548*(1+'Detailed Assumptions'!H$47)</f>
        <v>-6863.6492661600023</v>
      </c>
      <c r="M548" s="542">
        <f>L548*(1+'Detailed Assumptions'!I$47)</f>
        <v>-7000.9222514832027</v>
      </c>
      <c r="N548" s="542">
        <f>M548*(1+'Detailed Assumptions'!J$47)</f>
        <v>-7140.9406965128665</v>
      </c>
      <c r="O548" s="529"/>
      <c r="P548" s="564">
        <f>IFERROR(((N548/I548)^(1/5))-1,0)</f>
        <v>2.0000000000000018E-2</v>
      </c>
      <c r="Q548" s="529"/>
      <c r="R548" s="527">
        <f t="shared" si="707"/>
        <v>-549.76045000000011</v>
      </c>
      <c r="S548" s="527">
        <f t="shared" si="707"/>
        <v>-549.76045000000011</v>
      </c>
      <c r="T548" s="527">
        <f t="shared" si="707"/>
        <v>-549.76045000000011</v>
      </c>
      <c r="U548" s="527">
        <f t="shared" si="707"/>
        <v>-549.76045000000011</v>
      </c>
      <c r="V548" s="527">
        <f t="shared" si="707"/>
        <v>-549.76045000000011</v>
      </c>
      <c r="W548" s="527">
        <f t="shared" si="707"/>
        <v>-549.76045000000011</v>
      </c>
      <c r="X548" s="527">
        <f t="shared" si="707"/>
        <v>-549.76045000000011</v>
      </c>
      <c r="Y548" s="527">
        <f t="shared" si="707"/>
        <v>-549.76045000000011</v>
      </c>
      <c r="Z548" s="527">
        <f t="shared" si="707"/>
        <v>-549.76045000000011</v>
      </c>
      <c r="AA548" s="527">
        <f t="shared" si="707"/>
        <v>-549.76045000000011</v>
      </c>
      <c r="AB548" s="527">
        <f t="shared" si="707"/>
        <v>-549.76045000000011</v>
      </c>
      <c r="AC548" s="527">
        <f t="shared" si="707"/>
        <v>-549.76045000000011</v>
      </c>
      <c r="AD548" s="527">
        <f t="shared" si="707"/>
        <v>-560.75565900000015</v>
      </c>
      <c r="AE548" s="527">
        <f t="shared" si="707"/>
        <v>-560.75565900000015</v>
      </c>
      <c r="AF548" s="527">
        <f t="shared" si="707"/>
        <v>-560.75565900000015</v>
      </c>
      <c r="AG548" s="527">
        <f t="shared" si="707"/>
        <v>-560.75565900000015</v>
      </c>
      <c r="AH548" s="527">
        <f t="shared" si="708"/>
        <v>-560.75565900000015</v>
      </c>
      <c r="AI548" s="527">
        <f t="shared" si="708"/>
        <v>-560.75565900000015</v>
      </c>
      <c r="AJ548" s="527">
        <f t="shared" si="708"/>
        <v>-560.75565900000015</v>
      </c>
      <c r="AK548" s="527">
        <f t="shared" si="708"/>
        <v>-560.75565900000015</v>
      </c>
      <c r="AL548" s="527">
        <f t="shared" si="708"/>
        <v>-560.75565900000015</v>
      </c>
      <c r="AM548" s="527">
        <f t="shared" si="708"/>
        <v>-560.75565900000015</v>
      </c>
      <c r="AN548" s="527">
        <f t="shared" si="708"/>
        <v>-560.75565900000015</v>
      </c>
      <c r="AO548" s="527">
        <f t="shared" si="708"/>
        <v>-560.75565900000015</v>
      </c>
      <c r="AP548" s="527">
        <f t="shared" si="708"/>
        <v>-571.97077218000015</v>
      </c>
      <c r="AQ548" s="527">
        <f t="shared" si="708"/>
        <v>-571.97077218000015</v>
      </c>
      <c r="AR548" s="527">
        <f t="shared" si="708"/>
        <v>-571.97077218000015</v>
      </c>
      <c r="AS548" s="527">
        <f t="shared" si="708"/>
        <v>-571.97077218000015</v>
      </c>
      <c r="AT548" s="527">
        <f t="shared" si="708"/>
        <v>-571.97077218000015</v>
      </c>
      <c r="AU548" s="527">
        <f t="shared" si="708"/>
        <v>-571.97077218000015</v>
      </c>
      <c r="AV548" s="527">
        <f t="shared" si="708"/>
        <v>-571.97077218000015</v>
      </c>
      <c r="AW548" s="527">
        <f t="shared" si="708"/>
        <v>-571.97077218000015</v>
      </c>
      <c r="AX548" s="527">
        <f t="shared" si="709"/>
        <v>-571.97077218000015</v>
      </c>
      <c r="AY548" s="527">
        <f t="shared" si="709"/>
        <v>-571.97077218000015</v>
      </c>
      <c r="AZ548" s="527">
        <f t="shared" si="709"/>
        <v>-571.97077218000015</v>
      </c>
      <c r="BA548" s="527">
        <f t="shared" si="709"/>
        <v>-571.97077218000015</v>
      </c>
      <c r="BB548" s="527">
        <f t="shared" si="709"/>
        <v>-583.41018762360022</v>
      </c>
      <c r="BC548" s="527">
        <f t="shared" si="709"/>
        <v>-583.41018762360022</v>
      </c>
      <c r="BD548" s="527">
        <f t="shared" si="709"/>
        <v>-583.41018762360022</v>
      </c>
      <c r="BE548" s="527">
        <f t="shared" si="709"/>
        <v>-583.41018762360022</v>
      </c>
      <c r="BF548" s="527">
        <f t="shared" si="709"/>
        <v>-583.41018762360022</v>
      </c>
      <c r="BG548" s="527">
        <f t="shared" si="709"/>
        <v>-583.41018762360022</v>
      </c>
      <c r="BH548" s="527">
        <f t="shared" si="709"/>
        <v>-583.41018762360022</v>
      </c>
      <c r="BI548" s="527">
        <f t="shared" si="709"/>
        <v>-583.41018762360022</v>
      </c>
      <c r="BJ548" s="527">
        <f t="shared" si="709"/>
        <v>-583.41018762360022</v>
      </c>
      <c r="BK548" s="527">
        <f t="shared" si="709"/>
        <v>-583.41018762360022</v>
      </c>
      <c r="BL548" s="527">
        <f t="shared" si="709"/>
        <v>-583.41018762360022</v>
      </c>
      <c r="BM548" s="527">
        <f t="shared" si="709"/>
        <v>-583.41018762360022</v>
      </c>
      <c r="BN548" s="527">
        <f t="shared" si="710"/>
        <v>-595.0783913760722</v>
      </c>
      <c r="BO548" s="527">
        <f t="shared" si="710"/>
        <v>-595.0783913760722</v>
      </c>
      <c r="BP548" s="527">
        <f t="shared" si="710"/>
        <v>-595.0783913760722</v>
      </c>
      <c r="BQ548" s="527">
        <f t="shared" si="710"/>
        <v>-595.0783913760722</v>
      </c>
      <c r="BR548" s="527">
        <f t="shared" si="710"/>
        <v>-595.0783913760722</v>
      </c>
      <c r="BS548" s="527">
        <f t="shared" si="710"/>
        <v>-595.0783913760722</v>
      </c>
      <c r="BT548" s="527">
        <f t="shared" si="710"/>
        <v>-595.0783913760722</v>
      </c>
      <c r="BU548" s="527">
        <f t="shared" si="710"/>
        <v>-595.0783913760722</v>
      </c>
      <c r="BV548" s="527">
        <f t="shared" si="710"/>
        <v>-595.0783913760722</v>
      </c>
      <c r="BW548" s="527">
        <f t="shared" si="710"/>
        <v>-595.0783913760722</v>
      </c>
      <c r="BX548" s="527">
        <f t="shared" si="710"/>
        <v>-595.0783913760722</v>
      </c>
      <c r="BY548" s="527">
        <f t="shared" si="710"/>
        <v>-595.0783913760722</v>
      </c>
      <c r="BZ548" s="537"/>
      <c r="CA548" s="537"/>
      <c r="CB548" s="529"/>
    </row>
    <row r="549" spans="1:80" x14ac:dyDescent="0.3">
      <c r="A549" s="648"/>
      <c r="B549" s="648"/>
      <c r="C549" s="648" cm="1">
        <f t="array" ref="C549">SUMPRODUCT((Index_Tab!$D$36:$D$45=$B549)*(Index_Tab!$E$35:$F$35=$B$3)*Index_Tab!$E$36:$F$45)</f>
        <v>0</v>
      </c>
      <c r="D549" s="648"/>
      <c r="E549" s="572" t="s">
        <v>35</v>
      </c>
      <c r="F549" s="573"/>
      <c r="G549" s="573"/>
      <c r="H549" s="529"/>
      <c r="I549" s="532">
        <f t="shared" ref="I549:N549" si="711">SUM(I547:I548)</f>
        <v>-54002.530800000008</v>
      </c>
      <c r="J549" s="532">
        <f t="shared" si="711"/>
        <v>-55082.581416000008</v>
      </c>
      <c r="K549" s="532">
        <f t="shared" si="711"/>
        <v>-56184.233044320012</v>
      </c>
      <c r="L549" s="532">
        <f t="shared" si="711"/>
        <v>-57307.917705206404</v>
      </c>
      <c r="M549" s="532">
        <f t="shared" si="711"/>
        <v>-58454.076059310537</v>
      </c>
      <c r="N549" s="532">
        <f t="shared" si="711"/>
        <v>-59623.157580496751</v>
      </c>
      <c r="O549" s="536"/>
      <c r="P549" s="568">
        <f>IFERROR(((N549/I549)^(1/5))-1,0)</f>
        <v>2.0000000000000018E-2</v>
      </c>
      <c r="Q549" s="529"/>
      <c r="R549" s="532">
        <f t="shared" ref="R549:AW549" si="712">SUM(R547:R548)</f>
        <v>-4590.2151180000001</v>
      </c>
      <c r="S549" s="532">
        <f t="shared" si="712"/>
        <v>-4590.2151180000001</v>
      </c>
      <c r="T549" s="532">
        <f t="shared" si="712"/>
        <v>-4590.2151180000001</v>
      </c>
      <c r="U549" s="532">
        <f t="shared" si="712"/>
        <v>-4590.2151180000001</v>
      </c>
      <c r="V549" s="532">
        <f t="shared" si="712"/>
        <v>-4590.2151180000001</v>
      </c>
      <c r="W549" s="532">
        <f t="shared" si="712"/>
        <v>-4590.2151180000001</v>
      </c>
      <c r="X549" s="532">
        <f t="shared" si="712"/>
        <v>-4590.2151180000001</v>
      </c>
      <c r="Y549" s="532">
        <f t="shared" si="712"/>
        <v>-4590.2151180000001</v>
      </c>
      <c r="Z549" s="532">
        <f t="shared" si="712"/>
        <v>-4590.2151180000001</v>
      </c>
      <c r="AA549" s="532">
        <f t="shared" si="712"/>
        <v>-4590.2151180000001</v>
      </c>
      <c r="AB549" s="532">
        <f t="shared" si="712"/>
        <v>-4590.2151180000001</v>
      </c>
      <c r="AC549" s="532">
        <f t="shared" si="712"/>
        <v>-4590.2151180000001</v>
      </c>
      <c r="AD549" s="532">
        <f t="shared" si="712"/>
        <v>-4682.0194203600013</v>
      </c>
      <c r="AE549" s="532">
        <f t="shared" si="712"/>
        <v>-4682.0194203600013</v>
      </c>
      <c r="AF549" s="532">
        <f t="shared" si="712"/>
        <v>-4682.0194203600013</v>
      </c>
      <c r="AG549" s="532">
        <f t="shared" si="712"/>
        <v>-4682.0194203600013</v>
      </c>
      <c r="AH549" s="532">
        <f t="shared" si="712"/>
        <v>-4682.0194203600013</v>
      </c>
      <c r="AI549" s="532">
        <f t="shared" si="712"/>
        <v>-4682.0194203600013</v>
      </c>
      <c r="AJ549" s="532">
        <f t="shared" si="712"/>
        <v>-4682.0194203600013</v>
      </c>
      <c r="AK549" s="532">
        <f t="shared" si="712"/>
        <v>-4682.0194203600013</v>
      </c>
      <c r="AL549" s="532">
        <f t="shared" si="712"/>
        <v>-4682.0194203600013</v>
      </c>
      <c r="AM549" s="532">
        <f t="shared" si="712"/>
        <v>-4682.0194203600013</v>
      </c>
      <c r="AN549" s="532">
        <f t="shared" si="712"/>
        <v>-4682.0194203600013</v>
      </c>
      <c r="AO549" s="532">
        <f t="shared" si="712"/>
        <v>-4682.0194203600013</v>
      </c>
      <c r="AP549" s="532">
        <f t="shared" si="712"/>
        <v>-4775.659808767201</v>
      </c>
      <c r="AQ549" s="532">
        <f t="shared" si="712"/>
        <v>-4775.659808767201</v>
      </c>
      <c r="AR549" s="532">
        <f t="shared" si="712"/>
        <v>-4775.659808767201</v>
      </c>
      <c r="AS549" s="532">
        <f t="shared" si="712"/>
        <v>-4775.659808767201</v>
      </c>
      <c r="AT549" s="532">
        <f t="shared" si="712"/>
        <v>-4775.659808767201</v>
      </c>
      <c r="AU549" s="532">
        <f t="shared" si="712"/>
        <v>-4775.659808767201</v>
      </c>
      <c r="AV549" s="532">
        <f t="shared" si="712"/>
        <v>-4775.659808767201</v>
      </c>
      <c r="AW549" s="532">
        <f t="shared" si="712"/>
        <v>-4775.659808767201</v>
      </c>
      <c r="AX549" s="532">
        <f t="shared" ref="AX549:BY549" si="713">SUM(AX547:AX548)</f>
        <v>-4775.659808767201</v>
      </c>
      <c r="AY549" s="532">
        <f t="shared" si="713"/>
        <v>-4775.659808767201</v>
      </c>
      <c r="AZ549" s="532">
        <f t="shared" si="713"/>
        <v>-4775.659808767201</v>
      </c>
      <c r="BA549" s="532">
        <f t="shared" si="713"/>
        <v>-4775.659808767201</v>
      </c>
      <c r="BB549" s="532">
        <f t="shared" si="713"/>
        <v>-4871.173004942545</v>
      </c>
      <c r="BC549" s="532">
        <f t="shared" si="713"/>
        <v>-4871.173004942545</v>
      </c>
      <c r="BD549" s="532">
        <f t="shared" si="713"/>
        <v>-4871.173004942545</v>
      </c>
      <c r="BE549" s="532">
        <f t="shared" si="713"/>
        <v>-4871.173004942545</v>
      </c>
      <c r="BF549" s="532">
        <f t="shared" si="713"/>
        <v>-4871.173004942545</v>
      </c>
      <c r="BG549" s="532">
        <f t="shared" si="713"/>
        <v>-4871.173004942545</v>
      </c>
      <c r="BH549" s="532">
        <f t="shared" si="713"/>
        <v>-4871.173004942545</v>
      </c>
      <c r="BI549" s="532">
        <f t="shared" si="713"/>
        <v>-4871.173004942545</v>
      </c>
      <c r="BJ549" s="532">
        <f t="shared" si="713"/>
        <v>-4871.173004942545</v>
      </c>
      <c r="BK549" s="532">
        <f t="shared" si="713"/>
        <v>-4871.173004942545</v>
      </c>
      <c r="BL549" s="532">
        <f t="shared" si="713"/>
        <v>-4871.173004942545</v>
      </c>
      <c r="BM549" s="532">
        <f t="shared" si="713"/>
        <v>-4871.173004942545</v>
      </c>
      <c r="BN549" s="532">
        <f t="shared" si="713"/>
        <v>-4968.5964650413962</v>
      </c>
      <c r="BO549" s="532">
        <f t="shared" si="713"/>
        <v>-4968.5964650413962</v>
      </c>
      <c r="BP549" s="532">
        <f t="shared" si="713"/>
        <v>-4968.5964650413962</v>
      </c>
      <c r="BQ549" s="532">
        <f t="shared" si="713"/>
        <v>-4968.5964650413962</v>
      </c>
      <c r="BR549" s="532">
        <f t="shared" si="713"/>
        <v>-4968.5964650413962</v>
      </c>
      <c r="BS549" s="532">
        <f t="shared" si="713"/>
        <v>-4968.5964650413962</v>
      </c>
      <c r="BT549" s="532">
        <f t="shared" si="713"/>
        <v>-4968.5964650413962</v>
      </c>
      <c r="BU549" s="532">
        <f t="shared" si="713"/>
        <v>-4968.5964650413962</v>
      </c>
      <c r="BV549" s="532">
        <f t="shared" si="713"/>
        <v>-4968.5964650413962</v>
      </c>
      <c r="BW549" s="532">
        <f t="shared" si="713"/>
        <v>-4968.5964650413962</v>
      </c>
      <c r="BX549" s="532">
        <f t="shared" si="713"/>
        <v>-4968.5964650413962</v>
      </c>
      <c r="BY549" s="532">
        <f t="shared" si="713"/>
        <v>-4968.5964650413962</v>
      </c>
      <c r="BZ549" s="537"/>
      <c r="CA549" s="537"/>
      <c r="CB549" s="529"/>
    </row>
    <row r="550" spans="1:80" x14ac:dyDescent="0.3">
      <c r="A550" s="648"/>
      <c r="B550" s="648"/>
      <c r="C550" s="648" cm="1">
        <f t="array" ref="C550">SUMPRODUCT((Index_Tab!$D$36:$D$45=$B550)*(Index_Tab!$E$35:$F$35=$B$3)*Index_Tab!$E$36:$F$45)</f>
        <v>0</v>
      </c>
      <c r="D550" s="648"/>
      <c r="E550" s="525"/>
      <c r="F550" s="529"/>
      <c r="G550" s="529"/>
      <c r="H550" s="529"/>
      <c r="I550" s="529"/>
      <c r="J550" s="529"/>
      <c r="K550" s="529"/>
      <c r="L550" s="529"/>
      <c r="M550" s="529"/>
      <c r="N550" s="529"/>
      <c r="O550" s="529"/>
      <c r="P550" s="660"/>
      <c r="Q550" s="529"/>
      <c r="R550" s="529"/>
      <c r="S550" s="529"/>
      <c r="T550" s="529"/>
      <c r="U550" s="529"/>
      <c r="V550" s="529"/>
      <c r="W550" s="529"/>
      <c r="X550" s="529"/>
      <c r="Y550" s="529"/>
      <c r="Z550" s="529"/>
      <c r="AA550" s="529"/>
      <c r="AB550" s="529"/>
      <c r="AC550" s="529"/>
      <c r="AD550" s="529"/>
      <c r="AE550" s="529"/>
      <c r="AF550" s="529"/>
      <c r="AG550" s="529"/>
      <c r="AH550" s="529"/>
      <c r="AI550" s="529"/>
      <c r="AJ550" s="529"/>
      <c r="AK550" s="529"/>
      <c r="AL550" s="529"/>
      <c r="AM550" s="529"/>
      <c r="AN550" s="529"/>
      <c r="AO550" s="529"/>
      <c r="AP550" s="529"/>
      <c r="AQ550" s="529"/>
      <c r="AR550" s="529"/>
      <c r="AS550" s="529"/>
      <c r="AT550" s="529"/>
      <c r="AU550" s="529"/>
      <c r="AV550" s="529"/>
      <c r="AW550" s="529"/>
      <c r="AX550" s="529"/>
      <c r="AY550" s="529"/>
      <c r="AZ550" s="529"/>
      <c r="BA550" s="529"/>
      <c r="BB550" s="529"/>
      <c r="BC550" s="529"/>
      <c r="BD550" s="529"/>
      <c r="BE550" s="529"/>
      <c r="BF550" s="529"/>
      <c r="BG550" s="529"/>
      <c r="BH550" s="529"/>
      <c r="BI550" s="529"/>
      <c r="BJ550" s="529"/>
      <c r="BK550" s="529"/>
      <c r="BL550" s="529"/>
      <c r="BM550" s="529"/>
      <c r="BN550" s="529"/>
      <c r="BO550" s="529"/>
      <c r="BP550" s="529"/>
      <c r="BQ550" s="529"/>
      <c r="BR550" s="529"/>
      <c r="BS550" s="529"/>
      <c r="BT550" s="529"/>
      <c r="BU550" s="529"/>
      <c r="BV550" s="529"/>
      <c r="BW550" s="529"/>
      <c r="BX550" s="529"/>
      <c r="BY550" s="529"/>
      <c r="BZ550" s="537"/>
      <c r="CA550" s="537"/>
      <c r="CB550" s="529"/>
    </row>
    <row r="551" spans="1:80" x14ac:dyDescent="0.3">
      <c r="A551" s="648"/>
      <c r="B551" s="648"/>
      <c r="C551" s="648" cm="1">
        <f t="array" ref="C551">SUMPRODUCT((Index_Tab!$D$36:$D$45=$B551)*(Index_Tab!$E$35:$F$35=$B$3)*Index_Tab!$E$36:$F$45)</f>
        <v>0</v>
      </c>
      <c r="D551" s="648"/>
      <c r="E551" s="62" t="s">
        <v>21</v>
      </c>
      <c r="F551" s="579"/>
      <c r="G551" s="579"/>
      <c r="H551" s="529"/>
      <c r="I551" s="535">
        <f t="shared" ref="I551:N551" si="714">SUM(I544,I549)</f>
        <v>3005545.1011990048</v>
      </c>
      <c r="J551" s="535">
        <f t="shared" si="714"/>
        <v>3129905.4052161486</v>
      </c>
      <c r="K551" s="535">
        <f t="shared" si="714"/>
        <v>3253518.4834309439</v>
      </c>
      <c r="L551" s="535">
        <f t="shared" si="714"/>
        <v>3375876.5908566853</v>
      </c>
      <c r="M551" s="535">
        <f t="shared" si="714"/>
        <v>3491262.6465002457</v>
      </c>
      <c r="N551" s="535">
        <f t="shared" si="714"/>
        <v>3605937.7324550576</v>
      </c>
      <c r="O551" s="536"/>
      <c r="P551" s="568">
        <f>IFERROR(((N551/I551)^(1/5))-1,0)</f>
        <v>3.7096084788442951E-2</v>
      </c>
      <c r="Q551" s="529"/>
      <c r="R551" s="535">
        <f t="shared" ref="R551:AW551" si="715">SUM(R544,R549)</f>
        <v>260825.45043467911</v>
      </c>
      <c r="S551" s="535">
        <f t="shared" si="715"/>
        <v>260825.45043467911</v>
      </c>
      <c r="T551" s="535">
        <f t="shared" si="715"/>
        <v>260825.45043467911</v>
      </c>
      <c r="U551" s="535">
        <f t="shared" si="715"/>
        <v>260825.45043467911</v>
      </c>
      <c r="V551" s="535">
        <f t="shared" si="715"/>
        <v>260825.45043467911</v>
      </c>
      <c r="W551" s="535">
        <f t="shared" si="715"/>
        <v>260825.45043467911</v>
      </c>
      <c r="X551" s="535">
        <f t="shared" si="715"/>
        <v>260825.45043467911</v>
      </c>
      <c r="Y551" s="535">
        <f t="shared" si="715"/>
        <v>260825.45043467911</v>
      </c>
      <c r="Z551" s="535">
        <f t="shared" si="715"/>
        <v>260825.45043467911</v>
      </c>
      <c r="AA551" s="535">
        <f t="shared" si="715"/>
        <v>260825.45043467911</v>
      </c>
      <c r="AB551" s="535">
        <f t="shared" si="715"/>
        <v>260825.45043467911</v>
      </c>
      <c r="AC551" s="535">
        <f t="shared" si="715"/>
        <v>260825.45043467911</v>
      </c>
      <c r="AD551" s="535">
        <f t="shared" si="715"/>
        <v>271126.54028591211</v>
      </c>
      <c r="AE551" s="535">
        <f t="shared" si="715"/>
        <v>271126.54028591211</v>
      </c>
      <c r="AF551" s="535">
        <f t="shared" si="715"/>
        <v>271126.54028591211</v>
      </c>
      <c r="AG551" s="535">
        <f t="shared" si="715"/>
        <v>271126.54028591211</v>
      </c>
      <c r="AH551" s="535">
        <f t="shared" si="715"/>
        <v>271126.54028591211</v>
      </c>
      <c r="AI551" s="535">
        <f t="shared" si="715"/>
        <v>271126.54028591211</v>
      </c>
      <c r="AJ551" s="535">
        <f t="shared" si="715"/>
        <v>271126.54028591211</v>
      </c>
      <c r="AK551" s="535">
        <f t="shared" si="715"/>
        <v>271126.54028591211</v>
      </c>
      <c r="AL551" s="535">
        <f t="shared" si="715"/>
        <v>271126.54028591211</v>
      </c>
      <c r="AM551" s="535">
        <f t="shared" si="715"/>
        <v>271126.54028591211</v>
      </c>
      <c r="AN551" s="535">
        <f t="shared" si="715"/>
        <v>271126.54028591211</v>
      </c>
      <c r="AO551" s="535">
        <f t="shared" si="715"/>
        <v>271126.54028591211</v>
      </c>
      <c r="AP551" s="535">
        <f t="shared" si="715"/>
        <v>281323.04923805711</v>
      </c>
      <c r="AQ551" s="535">
        <f t="shared" si="715"/>
        <v>281323.04923805711</v>
      </c>
      <c r="AR551" s="535">
        <f t="shared" si="715"/>
        <v>281323.04923805711</v>
      </c>
      <c r="AS551" s="535">
        <f t="shared" si="715"/>
        <v>281323.04923805711</v>
      </c>
      <c r="AT551" s="535">
        <f t="shared" si="715"/>
        <v>281323.04923805711</v>
      </c>
      <c r="AU551" s="535">
        <f t="shared" si="715"/>
        <v>281323.04923805711</v>
      </c>
      <c r="AV551" s="535">
        <f t="shared" si="715"/>
        <v>281323.04923805711</v>
      </c>
      <c r="AW551" s="535">
        <f t="shared" si="715"/>
        <v>281323.04923805711</v>
      </c>
      <c r="AX551" s="535">
        <f t="shared" ref="AX551:BY551" si="716">SUM(AX544,AX549)</f>
        <v>281323.04923805711</v>
      </c>
      <c r="AY551" s="535">
        <f t="shared" si="716"/>
        <v>281323.04923805711</v>
      </c>
      <c r="AZ551" s="535">
        <f t="shared" si="716"/>
        <v>281323.04923805711</v>
      </c>
      <c r="BA551" s="535">
        <f t="shared" si="716"/>
        <v>281323.04923805711</v>
      </c>
      <c r="BB551" s="535">
        <f t="shared" si="716"/>
        <v>290938.55387502053</v>
      </c>
      <c r="BC551" s="535">
        <f t="shared" si="716"/>
        <v>290938.55387502053</v>
      </c>
      <c r="BD551" s="535">
        <f t="shared" si="716"/>
        <v>290938.55387502053</v>
      </c>
      <c r="BE551" s="535">
        <f t="shared" si="716"/>
        <v>290938.55387502053</v>
      </c>
      <c r="BF551" s="535">
        <f t="shared" si="716"/>
        <v>290938.55387502053</v>
      </c>
      <c r="BG551" s="535">
        <f t="shared" si="716"/>
        <v>290938.55387502053</v>
      </c>
      <c r="BH551" s="535">
        <f t="shared" si="716"/>
        <v>290938.55387502053</v>
      </c>
      <c r="BI551" s="535">
        <f t="shared" si="716"/>
        <v>290938.55387502053</v>
      </c>
      <c r="BJ551" s="535">
        <f t="shared" si="716"/>
        <v>290938.55387502053</v>
      </c>
      <c r="BK551" s="535">
        <f t="shared" si="716"/>
        <v>290938.55387502053</v>
      </c>
      <c r="BL551" s="535">
        <f t="shared" si="716"/>
        <v>290938.55387502053</v>
      </c>
      <c r="BM551" s="535">
        <f t="shared" si="716"/>
        <v>290938.55387502053</v>
      </c>
      <c r="BN551" s="535">
        <f t="shared" si="716"/>
        <v>300494.81103792146</v>
      </c>
      <c r="BO551" s="535">
        <f t="shared" si="716"/>
        <v>300494.81103792146</v>
      </c>
      <c r="BP551" s="535">
        <f t="shared" si="716"/>
        <v>300494.81103792146</v>
      </c>
      <c r="BQ551" s="535">
        <f t="shared" si="716"/>
        <v>300494.81103792146</v>
      </c>
      <c r="BR551" s="535">
        <f t="shared" si="716"/>
        <v>300494.81103792146</v>
      </c>
      <c r="BS551" s="535">
        <f t="shared" si="716"/>
        <v>300494.81103792146</v>
      </c>
      <c r="BT551" s="535">
        <f t="shared" si="716"/>
        <v>300494.81103792146</v>
      </c>
      <c r="BU551" s="535">
        <f t="shared" si="716"/>
        <v>300494.81103792146</v>
      </c>
      <c r="BV551" s="535">
        <f t="shared" si="716"/>
        <v>300494.81103792146</v>
      </c>
      <c r="BW551" s="535">
        <f t="shared" si="716"/>
        <v>300494.81103792146</v>
      </c>
      <c r="BX551" s="535">
        <f t="shared" si="716"/>
        <v>300494.81103792146</v>
      </c>
      <c r="BY551" s="535">
        <f t="shared" si="716"/>
        <v>300494.81103792146</v>
      </c>
      <c r="BZ551" s="537"/>
      <c r="CA551" s="537"/>
      <c r="CB551" s="529"/>
    </row>
    <row r="552" spans="1:80" x14ac:dyDescent="0.3">
      <c r="A552" s="648"/>
      <c r="B552" s="648"/>
      <c r="C552" s="648" cm="1">
        <f t="array" ref="C552">SUMPRODUCT((Index_Tab!$D$36:$D$45=$B552)*(Index_Tab!$E$35:$F$35=$B$3)*Index_Tab!$E$36:$F$45)</f>
        <v>0</v>
      </c>
      <c r="D552" s="648"/>
      <c r="E552" s="2" t="s">
        <v>405</v>
      </c>
      <c r="F552" s="537"/>
      <c r="G552" s="537"/>
      <c r="H552" s="529"/>
      <c r="I552" s="531">
        <f t="shared" ref="I552:N552" si="717">I551/SUM(I512,I521,I535,I542)</f>
        <v>0.63422900878731303</v>
      </c>
      <c r="J552" s="531">
        <f t="shared" si="717"/>
        <v>0.63920150078186189</v>
      </c>
      <c r="K552" s="531">
        <f t="shared" si="717"/>
        <v>0.64374994581845579</v>
      </c>
      <c r="L552" s="531">
        <f t="shared" si="717"/>
        <v>0.6478961338124386</v>
      </c>
      <c r="M552" s="531">
        <f t="shared" si="717"/>
        <v>0.65131947804026902</v>
      </c>
      <c r="N552" s="531">
        <f t="shared" si="717"/>
        <v>0.65439977834360663</v>
      </c>
      <c r="O552" s="546"/>
      <c r="P552" s="564">
        <f>IFERROR(((N552/I552)^(1/5))-1,0)</f>
        <v>6.2813141831132846E-3</v>
      </c>
      <c r="Q552" s="537"/>
      <c r="R552" s="531">
        <f t="shared" ref="R552:AW552" si="718">R551/SUM(R512,R521,R535,R542)</f>
        <v>0.63920150078186189</v>
      </c>
      <c r="S552" s="531">
        <f t="shared" si="718"/>
        <v>0.63920150078186189</v>
      </c>
      <c r="T552" s="531">
        <f t="shared" si="718"/>
        <v>0.63920150078186189</v>
      </c>
      <c r="U552" s="531">
        <f t="shared" si="718"/>
        <v>0.63920150078186189</v>
      </c>
      <c r="V552" s="531">
        <f t="shared" si="718"/>
        <v>0.63920150078186189</v>
      </c>
      <c r="W552" s="531">
        <f t="shared" si="718"/>
        <v>0.63920150078186189</v>
      </c>
      <c r="X552" s="531">
        <f t="shared" si="718"/>
        <v>0.63920150078186189</v>
      </c>
      <c r="Y552" s="531">
        <f t="shared" si="718"/>
        <v>0.63920150078186189</v>
      </c>
      <c r="Z552" s="531">
        <f t="shared" si="718"/>
        <v>0.63920150078186189</v>
      </c>
      <c r="AA552" s="531">
        <f t="shared" si="718"/>
        <v>0.63920150078186189</v>
      </c>
      <c r="AB552" s="531">
        <f t="shared" si="718"/>
        <v>0.63920150078186189</v>
      </c>
      <c r="AC552" s="531">
        <f t="shared" si="718"/>
        <v>0.63920150078186189</v>
      </c>
      <c r="AD552" s="531">
        <f t="shared" si="718"/>
        <v>0.64374994581845602</v>
      </c>
      <c r="AE552" s="531">
        <f t="shared" si="718"/>
        <v>0.64374994581845602</v>
      </c>
      <c r="AF552" s="531">
        <f t="shared" si="718"/>
        <v>0.64374994581845602</v>
      </c>
      <c r="AG552" s="531">
        <f t="shared" si="718"/>
        <v>0.64374994581845602</v>
      </c>
      <c r="AH552" s="531">
        <f t="shared" si="718"/>
        <v>0.64374994581845602</v>
      </c>
      <c r="AI552" s="531">
        <f t="shared" si="718"/>
        <v>0.64374994581845602</v>
      </c>
      <c r="AJ552" s="531">
        <f t="shared" si="718"/>
        <v>0.64374994581845602</v>
      </c>
      <c r="AK552" s="531">
        <f t="shared" si="718"/>
        <v>0.64374994581845602</v>
      </c>
      <c r="AL552" s="531">
        <f t="shared" si="718"/>
        <v>0.64374994581845602</v>
      </c>
      <c r="AM552" s="531">
        <f t="shared" si="718"/>
        <v>0.64374994581845602</v>
      </c>
      <c r="AN552" s="531">
        <f t="shared" si="718"/>
        <v>0.64374994581845602</v>
      </c>
      <c r="AO552" s="531">
        <f t="shared" si="718"/>
        <v>0.64374994581845602</v>
      </c>
      <c r="AP552" s="531">
        <f t="shared" si="718"/>
        <v>0.64789613381243838</v>
      </c>
      <c r="AQ552" s="531">
        <f t="shared" si="718"/>
        <v>0.64789613381243838</v>
      </c>
      <c r="AR552" s="531">
        <f t="shared" si="718"/>
        <v>0.64789613381243838</v>
      </c>
      <c r="AS552" s="531">
        <f t="shared" si="718"/>
        <v>0.64789613381243838</v>
      </c>
      <c r="AT552" s="531">
        <f t="shared" si="718"/>
        <v>0.64789613381243838</v>
      </c>
      <c r="AU552" s="531">
        <f t="shared" si="718"/>
        <v>0.64789613381243838</v>
      </c>
      <c r="AV552" s="531">
        <f t="shared" si="718"/>
        <v>0.64789613381243838</v>
      </c>
      <c r="AW552" s="531">
        <f t="shared" si="718"/>
        <v>0.64789613381243838</v>
      </c>
      <c r="AX552" s="531">
        <f t="shared" ref="AX552:BY552" si="719">AX551/SUM(AX512,AX521,AX535,AX542)</f>
        <v>0.64789613381243838</v>
      </c>
      <c r="AY552" s="531">
        <f t="shared" si="719"/>
        <v>0.64789613381243838</v>
      </c>
      <c r="AZ552" s="531">
        <f t="shared" si="719"/>
        <v>0.64789613381243838</v>
      </c>
      <c r="BA552" s="531">
        <f t="shared" si="719"/>
        <v>0.64789613381243838</v>
      </c>
      <c r="BB552" s="531">
        <f t="shared" si="719"/>
        <v>0.65131947804026902</v>
      </c>
      <c r="BC552" s="531">
        <f t="shared" si="719"/>
        <v>0.65131947804026902</v>
      </c>
      <c r="BD552" s="531">
        <f t="shared" si="719"/>
        <v>0.65131947804026902</v>
      </c>
      <c r="BE552" s="531">
        <f t="shared" si="719"/>
        <v>0.65131947804026902</v>
      </c>
      <c r="BF552" s="531">
        <f t="shared" si="719"/>
        <v>0.65131947804026902</v>
      </c>
      <c r="BG552" s="531">
        <f t="shared" si="719"/>
        <v>0.65131947804026902</v>
      </c>
      <c r="BH552" s="531">
        <f t="shared" si="719"/>
        <v>0.65131947804026902</v>
      </c>
      <c r="BI552" s="531">
        <f t="shared" si="719"/>
        <v>0.65131947804026902</v>
      </c>
      <c r="BJ552" s="531">
        <f t="shared" si="719"/>
        <v>0.65131947804026902</v>
      </c>
      <c r="BK552" s="531">
        <f t="shared" si="719"/>
        <v>0.65131947804026902</v>
      </c>
      <c r="BL552" s="531">
        <f t="shared" si="719"/>
        <v>0.65131947804026902</v>
      </c>
      <c r="BM552" s="531">
        <f t="shared" si="719"/>
        <v>0.65131947804026902</v>
      </c>
      <c r="BN552" s="531">
        <f t="shared" si="719"/>
        <v>0.65439977834360652</v>
      </c>
      <c r="BO552" s="531">
        <f t="shared" si="719"/>
        <v>0.65439977834360652</v>
      </c>
      <c r="BP552" s="531">
        <f t="shared" si="719"/>
        <v>0.65439977834360652</v>
      </c>
      <c r="BQ552" s="531">
        <f t="shared" si="719"/>
        <v>0.65439977834360652</v>
      </c>
      <c r="BR552" s="531">
        <f t="shared" si="719"/>
        <v>0.65439977834360652</v>
      </c>
      <c r="BS552" s="531">
        <f t="shared" si="719"/>
        <v>0.65439977834360652</v>
      </c>
      <c r="BT552" s="531">
        <f t="shared" si="719"/>
        <v>0.65439977834360652</v>
      </c>
      <c r="BU552" s="531">
        <f t="shared" si="719"/>
        <v>0.65439977834360652</v>
      </c>
      <c r="BV552" s="531">
        <f t="shared" si="719"/>
        <v>0.65439977834360652</v>
      </c>
      <c r="BW552" s="531">
        <f t="shared" si="719"/>
        <v>0.65439977834360652</v>
      </c>
      <c r="BX552" s="531">
        <f t="shared" si="719"/>
        <v>0.65439977834360652</v>
      </c>
      <c r="BY552" s="531">
        <f t="shared" si="719"/>
        <v>0.65439977834360652</v>
      </c>
      <c r="BZ552" s="537"/>
      <c r="CA552" s="537"/>
      <c r="CB552" s="537"/>
    </row>
    <row r="553" spans="1:80" x14ac:dyDescent="0.3">
      <c r="A553" s="648"/>
      <c r="B553" s="648"/>
      <c r="C553" s="648" cm="1">
        <f t="array" ref="C553">SUMPRODUCT((Index_Tab!$D$36:$D$45=$B553)*(Index_Tab!$E$35:$F$35=$B$3)*Index_Tab!$E$36:$F$45)</f>
        <v>0</v>
      </c>
      <c r="D553" s="648"/>
      <c r="E553" s="2"/>
      <c r="F553" s="537"/>
      <c r="G553" s="537"/>
      <c r="H553" s="529"/>
      <c r="I553" s="537"/>
      <c r="J553" s="537"/>
      <c r="K553" s="537"/>
      <c r="L553" s="537"/>
      <c r="M553" s="537"/>
      <c r="N553" s="537"/>
      <c r="O553" s="525"/>
      <c r="P553" s="664"/>
      <c r="Q553" s="537"/>
      <c r="R553" s="537"/>
      <c r="S553" s="537"/>
      <c r="T553" s="537"/>
      <c r="U553" s="537"/>
      <c r="V553" s="537"/>
      <c r="W553" s="537"/>
      <c r="X553" s="537"/>
      <c r="Y553" s="537"/>
      <c r="Z553" s="537"/>
      <c r="AA553" s="537"/>
      <c r="AB553" s="537"/>
      <c r="AC553" s="537"/>
      <c r="AD553" s="537"/>
      <c r="AE553" s="537"/>
      <c r="AF553" s="537"/>
      <c r="AG553" s="537"/>
      <c r="AH553" s="537"/>
      <c r="AI553" s="537"/>
      <c r="AJ553" s="537"/>
      <c r="AK553" s="537"/>
      <c r="AL553" s="537"/>
      <c r="AM553" s="537"/>
      <c r="AN553" s="537"/>
      <c r="AO553" s="537"/>
      <c r="AP553" s="537"/>
      <c r="AQ553" s="537"/>
      <c r="AR553" s="537"/>
      <c r="AS553" s="537"/>
      <c r="AT553" s="537"/>
      <c r="AU553" s="537"/>
      <c r="AV553" s="537"/>
      <c r="AW553" s="537"/>
      <c r="AX553" s="537"/>
      <c r="AY553" s="537"/>
      <c r="AZ553" s="537"/>
      <c r="BA553" s="537"/>
      <c r="BB553" s="537"/>
      <c r="BC553" s="537"/>
      <c r="BD553" s="537"/>
      <c r="BE553" s="537"/>
      <c r="BF553" s="537"/>
      <c r="BG553" s="537"/>
      <c r="BH553" s="537"/>
      <c r="BI553" s="537"/>
      <c r="BJ553" s="537"/>
      <c r="BK553" s="537"/>
      <c r="BL553" s="537"/>
      <c r="BM553" s="537"/>
      <c r="BN553" s="537"/>
      <c r="BO553" s="537"/>
      <c r="BP553" s="537"/>
      <c r="BQ553" s="537"/>
      <c r="BR553" s="537"/>
      <c r="BS553" s="537"/>
      <c r="BT553" s="537"/>
      <c r="BU553" s="537"/>
      <c r="BV553" s="537"/>
      <c r="BW553" s="537"/>
      <c r="BX553" s="537"/>
      <c r="BY553" s="537"/>
      <c r="BZ553" s="537"/>
      <c r="CA553" s="537"/>
      <c r="CB553" s="537"/>
    </row>
    <row r="554" spans="1:80" x14ac:dyDescent="0.3">
      <c r="A554" s="648"/>
      <c r="B554" s="648"/>
      <c r="C554" s="648" cm="1">
        <f t="array" ref="C554">SUMPRODUCT((Index_Tab!$D$36:$D$45=$B554)*(Index_Tab!$E$35:$F$35=$B$3)*Index_Tab!$E$36:$F$45)</f>
        <v>0</v>
      </c>
      <c r="D554" s="648"/>
      <c r="E554" s="2" t="s">
        <v>129</v>
      </c>
      <c r="F554" s="537"/>
      <c r="G554" s="537"/>
      <c r="H554" s="529"/>
      <c r="I554" s="542">
        <f>'Detailed Assumptions'!$E$81*I571*-1</f>
        <v>-269700</v>
      </c>
      <c r="J554" s="542">
        <f>I554*(1+'Detailed Assumptions'!F$49)</f>
        <v>-276355.23542465753</v>
      </c>
      <c r="K554" s="542">
        <f>J554*(1+'Detailed Assumptions'!G$49)</f>
        <v>-282759.25693772285</v>
      </c>
      <c r="L554" s="542">
        <f>K554*(1+'Detailed Assumptions'!H$49)</f>
        <v>-288824.17186002346</v>
      </c>
      <c r="M554" s="542">
        <f>L554*(1+'Detailed Assumptions'!I$49)</f>
        <v>-294484.72997892945</v>
      </c>
      <c r="N554" s="542">
        <f>M554*(1+'Detailed Assumptions'!J$49)</f>
        <v>-300197.81442126859</v>
      </c>
      <c r="O554" s="537"/>
      <c r="P554" s="564">
        <f>IFERROR(((N554/I554)^(1/5))-1,0)</f>
        <v>2.1657472733383143E-2</v>
      </c>
      <c r="Q554" s="537"/>
      <c r="R554" s="527">
        <f t="shared" ref="R554:AW554" si="720">(INDEX($I554:$N554,MATCH(R$2,$I$3:$N$3,0)))/12</f>
        <v>-23029.602952054793</v>
      </c>
      <c r="S554" s="527">
        <f t="shared" si="720"/>
        <v>-23029.602952054793</v>
      </c>
      <c r="T554" s="527">
        <f t="shared" si="720"/>
        <v>-23029.602952054793</v>
      </c>
      <c r="U554" s="527">
        <f t="shared" si="720"/>
        <v>-23029.602952054793</v>
      </c>
      <c r="V554" s="527">
        <f t="shared" si="720"/>
        <v>-23029.602952054793</v>
      </c>
      <c r="W554" s="527">
        <f t="shared" si="720"/>
        <v>-23029.602952054793</v>
      </c>
      <c r="X554" s="527">
        <f t="shared" si="720"/>
        <v>-23029.602952054793</v>
      </c>
      <c r="Y554" s="527">
        <f t="shared" si="720"/>
        <v>-23029.602952054793</v>
      </c>
      <c r="Z554" s="527">
        <f t="shared" si="720"/>
        <v>-23029.602952054793</v>
      </c>
      <c r="AA554" s="527">
        <f t="shared" si="720"/>
        <v>-23029.602952054793</v>
      </c>
      <c r="AB554" s="527">
        <f t="shared" si="720"/>
        <v>-23029.602952054793</v>
      </c>
      <c r="AC554" s="527">
        <f t="shared" si="720"/>
        <v>-23029.602952054793</v>
      </c>
      <c r="AD554" s="527">
        <f t="shared" si="720"/>
        <v>-23563.271411476904</v>
      </c>
      <c r="AE554" s="527">
        <f t="shared" si="720"/>
        <v>-23563.271411476904</v>
      </c>
      <c r="AF554" s="527">
        <f t="shared" si="720"/>
        <v>-23563.271411476904</v>
      </c>
      <c r="AG554" s="527">
        <f t="shared" si="720"/>
        <v>-23563.271411476904</v>
      </c>
      <c r="AH554" s="527">
        <f t="shared" si="720"/>
        <v>-23563.271411476904</v>
      </c>
      <c r="AI554" s="527">
        <f t="shared" si="720"/>
        <v>-23563.271411476904</v>
      </c>
      <c r="AJ554" s="527">
        <f t="shared" si="720"/>
        <v>-23563.271411476904</v>
      </c>
      <c r="AK554" s="527">
        <f t="shared" si="720"/>
        <v>-23563.271411476904</v>
      </c>
      <c r="AL554" s="527">
        <f t="shared" si="720"/>
        <v>-23563.271411476904</v>
      </c>
      <c r="AM554" s="527">
        <f t="shared" si="720"/>
        <v>-23563.271411476904</v>
      </c>
      <c r="AN554" s="527">
        <f t="shared" si="720"/>
        <v>-23563.271411476904</v>
      </c>
      <c r="AO554" s="527">
        <f t="shared" si="720"/>
        <v>-23563.271411476904</v>
      </c>
      <c r="AP554" s="527">
        <f t="shared" si="720"/>
        <v>-24068.680988335287</v>
      </c>
      <c r="AQ554" s="527">
        <f t="shared" si="720"/>
        <v>-24068.680988335287</v>
      </c>
      <c r="AR554" s="527">
        <f t="shared" si="720"/>
        <v>-24068.680988335287</v>
      </c>
      <c r="AS554" s="527">
        <f t="shared" si="720"/>
        <v>-24068.680988335287</v>
      </c>
      <c r="AT554" s="527">
        <f t="shared" si="720"/>
        <v>-24068.680988335287</v>
      </c>
      <c r="AU554" s="527">
        <f t="shared" si="720"/>
        <v>-24068.680988335287</v>
      </c>
      <c r="AV554" s="527">
        <f t="shared" si="720"/>
        <v>-24068.680988335287</v>
      </c>
      <c r="AW554" s="527">
        <f t="shared" si="720"/>
        <v>-24068.680988335287</v>
      </c>
      <c r="AX554" s="527">
        <f t="shared" ref="AX554:BY554" si="721">(INDEX($I554:$N554,MATCH(AX$2,$I$3:$N$3,0)))/12</f>
        <v>-24068.680988335287</v>
      </c>
      <c r="AY554" s="527">
        <f t="shared" si="721"/>
        <v>-24068.680988335287</v>
      </c>
      <c r="AZ554" s="527">
        <f t="shared" si="721"/>
        <v>-24068.680988335287</v>
      </c>
      <c r="BA554" s="527">
        <f t="shared" si="721"/>
        <v>-24068.680988335287</v>
      </c>
      <c r="BB554" s="527">
        <f t="shared" si="721"/>
        <v>-24540.394164910787</v>
      </c>
      <c r="BC554" s="527">
        <f t="shared" si="721"/>
        <v>-24540.394164910787</v>
      </c>
      <c r="BD554" s="527">
        <f t="shared" si="721"/>
        <v>-24540.394164910787</v>
      </c>
      <c r="BE554" s="527">
        <f t="shared" si="721"/>
        <v>-24540.394164910787</v>
      </c>
      <c r="BF554" s="527">
        <f t="shared" si="721"/>
        <v>-24540.394164910787</v>
      </c>
      <c r="BG554" s="527">
        <f t="shared" si="721"/>
        <v>-24540.394164910787</v>
      </c>
      <c r="BH554" s="527">
        <f t="shared" si="721"/>
        <v>-24540.394164910787</v>
      </c>
      <c r="BI554" s="527">
        <f t="shared" si="721"/>
        <v>-24540.394164910787</v>
      </c>
      <c r="BJ554" s="527">
        <f t="shared" si="721"/>
        <v>-24540.394164910787</v>
      </c>
      <c r="BK554" s="527">
        <f t="shared" si="721"/>
        <v>-24540.394164910787</v>
      </c>
      <c r="BL554" s="527">
        <f t="shared" si="721"/>
        <v>-24540.394164910787</v>
      </c>
      <c r="BM554" s="527">
        <f t="shared" si="721"/>
        <v>-24540.394164910787</v>
      </c>
      <c r="BN554" s="527">
        <f t="shared" si="721"/>
        <v>-25016.484535105716</v>
      </c>
      <c r="BO554" s="527">
        <f t="shared" si="721"/>
        <v>-25016.484535105716</v>
      </c>
      <c r="BP554" s="527">
        <f t="shared" si="721"/>
        <v>-25016.484535105716</v>
      </c>
      <c r="BQ554" s="527">
        <f t="shared" si="721"/>
        <v>-25016.484535105716</v>
      </c>
      <c r="BR554" s="527">
        <f t="shared" si="721"/>
        <v>-25016.484535105716</v>
      </c>
      <c r="BS554" s="527">
        <f t="shared" si="721"/>
        <v>-25016.484535105716</v>
      </c>
      <c r="BT554" s="527">
        <f t="shared" si="721"/>
        <v>-25016.484535105716</v>
      </c>
      <c r="BU554" s="527">
        <f t="shared" si="721"/>
        <v>-25016.484535105716</v>
      </c>
      <c r="BV554" s="527">
        <f t="shared" si="721"/>
        <v>-25016.484535105716</v>
      </c>
      <c r="BW554" s="527">
        <f t="shared" si="721"/>
        <v>-25016.484535105716</v>
      </c>
      <c r="BX554" s="527">
        <f t="shared" si="721"/>
        <v>-25016.484535105716</v>
      </c>
      <c r="BY554" s="527">
        <f t="shared" si="721"/>
        <v>-25016.484535105716</v>
      </c>
      <c r="BZ554" s="537"/>
      <c r="CA554" s="537"/>
      <c r="CB554" s="537"/>
    </row>
    <row r="555" spans="1:80" x14ac:dyDescent="0.3">
      <c r="A555" s="648"/>
      <c r="B555" s="648"/>
      <c r="C555" s="648" cm="1">
        <f t="array" ref="C555">SUMPRODUCT((Index_Tab!$D$36:$D$45=$B555)*(Index_Tab!$E$35:$F$35=$B$3)*Index_Tab!$E$36:$F$45)</f>
        <v>0</v>
      </c>
      <c r="D555" s="648"/>
      <c r="E555" s="62" t="s">
        <v>292</v>
      </c>
      <c r="F555" s="579"/>
      <c r="G555" s="579"/>
      <c r="H555" s="537"/>
      <c r="I555" s="535">
        <f t="shared" ref="I555:N555" si="722">SUM(I551,I554)</f>
        <v>2735845.1011990048</v>
      </c>
      <c r="J555" s="535">
        <f t="shared" si="722"/>
        <v>2853550.1697914912</v>
      </c>
      <c r="K555" s="535">
        <f t="shared" si="722"/>
        <v>2970759.2264932212</v>
      </c>
      <c r="L555" s="535">
        <f t="shared" si="722"/>
        <v>3087052.4189966619</v>
      </c>
      <c r="M555" s="535">
        <f t="shared" si="722"/>
        <v>3196777.9165213164</v>
      </c>
      <c r="N555" s="535">
        <f t="shared" si="722"/>
        <v>3305739.9180337889</v>
      </c>
      <c r="O555" s="536"/>
      <c r="P555" s="568">
        <f>IFERROR(((N555/I555)^(1/5))-1,0)</f>
        <v>3.8569191713986539E-2</v>
      </c>
      <c r="Q555" s="537"/>
      <c r="R555" s="535">
        <f t="shared" ref="R555:AW555" si="723">SUM(R551,R554)</f>
        <v>237795.84748262432</v>
      </c>
      <c r="S555" s="535">
        <f t="shared" si="723"/>
        <v>237795.84748262432</v>
      </c>
      <c r="T555" s="535">
        <f t="shared" si="723"/>
        <v>237795.84748262432</v>
      </c>
      <c r="U555" s="535">
        <f t="shared" si="723"/>
        <v>237795.84748262432</v>
      </c>
      <c r="V555" s="535">
        <f t="shared" si="723"/>
        <v>237795.84748262432</v>
      </c>
      <c r="W555" s="535">
        <f t="shared" si="723"/>
        <v>237795.84748262432</v>
      </c>
      <c r="X555" s="535">
        <f t="shared" si="723"/>
        <v>237795.84748262432</v>
      </c>
      <c r="Y555" s="535">
        <f t="shared" si="723"/>
        <v>237795.84748262432</v>
      </c>
      <c r="Z555" s="535">
        <f t="shared" si="723"/>
        <v>237795.84748262432</v>
      </c>
      <c r="AA555" s="535">
        <f t="shared" si="723"/>
        <v>237795.84748262432</v>
      </c>
      <c r="AB555" s="535">
        <f t="shared" si="723"/>
        <v>237795.84748262432</v>
      </c>
      <c r="AC555" s="535">
        <f t="shared" si="723"/>
        <v>237795.84748262432</v>
      </c>
      <c r="AD555" s="535">
        <f t="shared" si="723"/>
        <v>247563.26887443522</v>
      </c>
      <c r="AE555" s="535">
        <f t="shared" si="723"/>
        <v>247563.26887443522</v>
      </c>
      <c r="AF555" s="535">
        <f t="shared" si="723"/>
        <v>247563.26887443522</v>
      </c>
      <c r="AG555" s="535">
        <f t="shared" si="723"/>
        <v>247563.26887443522</v>
      </c>
      <c r="AH555" s="535">
        <f t="shared" si="723"/>
        <v>247563.26887443522</v>
      </c>
      <c r="AI555" s="535">
        <f t="shared" si="723"/>
        <v>247563.26887443522</v>
      </c>
      <c r="AJ555" s="535">
        <f t="shared" si="723"/>
        <v>247563.26887443522</v>
      </c>
      <c r="AK555" s="535">
        <f t="shared" si="723"/>
        <v>247563.26887443522</v>
      </c>
      <c r="AL555" s="535">
        <f t="shared" si="723"/>
        <v>247563.26887443522</v>
      </c>
      <c r="AM555" s="535">
        <f t="shared" si="723"/>
        <v>247563.26887443522</v>
      </c>
      <c r="AN555" s="535">
        <f t="shared" si="723"/>
        <v>247563.26887443522</v>
      </c>
      <c r="AO555" s="535">
        <f t="shared" si="723"/>
        <v>247563.26887443522</v>
      </c>
      <c r="AP555" s="535">
        <f t="shared" si="723"/>
        <v>257254.36824972183</v>
      </c>
      <c r="AQ555" s="535">
        <f t="shared" si="723"/>
        <v>257254.36824972183</v>
      </c>
      <c r="AR555" s="535">
        <f t="shared" si="723"/>
        <v>257254.36824972183</v>
      </c>
      <c r="AS555" s="535">
        <f t="shared" si="723"/>
        <v>257254.36824972183</v>
      </c>
      <c r="AT555" s="535">
        <f t="shared" si="723"/>
        <v>257254.36824972183</v>
      </c>
      <c r="AU555" s="535">
        <f t="shared" si="723"/>
        <v>257254.36824972183</v>
      </c>
      <c r="AV555" s="535">
        <f t="shared" si="723"/>
        <v>257254.36824972183</v>
      </c>
      <c r="AW555" s="535">
        <f t="shared" si="723"/>
        <v>257254.36824972183</v>
      </c>
      <c r="AX555" s="535">
        <f t="shared" ref="AX555:BY555" si="724">SUM(AX551,AX554)</f>
        <v>257254.36824972183</v>
      </c>
      <c r="AY555" s="535">
        <f t="shared" si="724"/>
        <v>257254.36824972183</v>
      </c>
      <c r="AZ555" s="535">
        <f t="shared" si="724"/>
        <v>257254.36824972183</v>
      </c>
      <c r="BA555" s="535">
        <f t="shared" si="724"/>
        <v>257254.36824972183</v>
      </c>
      <c r="BB555" s="535">
        <f t="shared" si="724"/>
        <v>266398.15971010976</v>
      </c>
      <c r="BC555" s="535">
        <f t="shared" si="724"/>
        <v>266398.15971010976</v>
      </c>
      <c r="BD555" s="535">
        <f t="shared" si="724"/>
        <v>266398.15971010976</v>
      </c>
      <c r="BE555" s="535">
        <f t="shared" si="724"/>
        <v>266398.15971010976</v>
      </c>
      <c r="BF555" s="535">
        <f t="shared" si="724"/>
        <v>266398.15971010976</v>
      </c>
      <c r="BG555" s="535">
        <f t="shared" si="724"/>
        <v>266398.15971010976</v>
      </c>
      <c r="BH555" s="535">
        <f t="shared" si="724"/>
        <v>266398.15971010976</v>
      </c>
      <c r="BI555" s="535">
        <f t="shared" si="724"/>
        <v>266398.15971010976</v>
      </c>
      <c r="BJ555" s="535">
        <f t="shared" si="724"/>
        <v>266398.15971010976</v>
      </c>
      <c r="BK555" s="535">
        <f t="shared" si="724"/>
        <v>266398.15971010976</v>
      </c>
      <c r="BL555" s="535">
        <f t="shared" si="724"/>
        <v>266398.15971010976</v>
      </c>
      <c r="BM555" s="535">
        <f t="shared" si="724"/>
        <v>266398.15971010976</v>
      </c>
      <c r="BN555" s="535">
        <f t="shared" si="724"/>
        <v>275478.32650281576</v>
      </c>
      <c r="BO555" s="535">
        <f t="shared" si="724"/>
        <v>275478.32650281576</v>
      </c>
      <c r="BP555" s="535">
        <f t="shared" si="724"/>
        <v>275478.32650281576</v>
      </c>
      <c r="BQ555" s="535">
        <f t="shared" si="724"/>
        <v>275478.32650281576</v>
      </c>
      <c r="BR555" s="535">
        <f t="shared" si="724"/>
        <v>275478.32650281576</v>
      </c>
      <c r="BS555" s="535">
        <f t="shared" si="724"/>
        <v>275478.32650281576</v>
      </c>
      <c r="BT555" s="535">
        <f t="shared" si="724"/>
        <v>275478.32650281576</v>
      </c>
      <c r="BU555" s="535">
        <f t="shared" si="724"/>
        <v>275478.32650281576</v>
      </c>
      <c r="BV555" s="535">
        <f t="shared" si="724"/>
        <v>275478.32650281576</v>
      </c>
      <c r="BW555" s="535">
        <f t="shared" si="724"/>
        <v>275478.32650281576</v>
      </c>
      <c r="BX555" s="535">
        <f t="shared" si="724"/>
        <v>275478.32650281576</v>
      </c>
      <c r="BY555" s="535">
        <f t="shared" si="724"/>
        <v>275478.32650281576</v>
      </c>
      <c r="BZ555" s="537"/>
      <c r="CA555" s="537"/>
      <c r="CB555" s="537"/>
    </row>
    <row r="556" spans="1:80" x14ac:dyDescent="0.3">
      <c r="A556" s="648"/>
      <c r="B556" s="648"/>
      <c r="C556" s="648" cm="1">
        <f t="array" ref="C556">SUMPRODUCT((Index_Tab!$D$36:$D$45=$B556)*(Index_Tab!$E$35:$F$35=$B$3)*Index_Tab!$E$36:$F$45)</f>
        <v>0</v>
      </c>
      <c r="D556" s="648"/>
      <c r="E556" s="692" t="s">
        <v>406</v>
      </c>
      <c r="F556" s="537"/>
      <c r="G556" s="537"/>
      <c r="H556" s="529"/>
      <c r="I556" s="531">
        <f t="shared" ref="I556:N556" si="725">I555/I551</f>
        <v>0.91026586162609624</v>
      </c>
      <c r="J556" s="531">
        <f t="shared" si="725"/>
        <v>0.91170492406444703</v>
      </c>
      <c r="K556" s="531">
        <f t="shared" si="725"/>
        <v>0.91309124002899666</v>
      </c>
      <c r="L556" s="531">
        <f t="shared" si="725"/>
        <v>0.91444468893137787</v>
      </c>
      <c r="M556" s="531">
        <f t="shared" si="725"/>
        <v>0.91565093784217855</v>
      </c>
      <c r="N556" s="531">
        <f t="shared" si="725"/>
        <v>0.91674902987942541</v>
      </c>
      <c r="O556" s="546"/>
      <c r="P556" s="564">
        <f>IFERROR(((N556/I556)^(1/5))-1,0)</f>
        <v>1.420415087039828E-3</v>
      </c>
      <c r="Q556" s="537"/>
      <c r="R556" s="531">
        <f t="shared" ref="R556:AW556" si="726">R555/R551</f>
        <v>0.91170492406444703</v>
      </c>
      <c r="S556" s="531">
        <f t="shared" si="726"/>
        <v>0.91170492406444703</v>
      </c>
      <c r="T556" s="531">
        <f t="shared" si="726"/>
        <v>0.91170492406444703</v>
      </c>
      <c r="U556" s="531">
        <f t="shared" si="726"/>
        <v>0.91170492406444703</v>
      </c>
      <c r="V556" s="531">
        <f t="shared" si="726"/>
        <v>0.91170492406444703</v>
      </c>
      <c r="W556" s="531">
        <f t="shared" si="726"/>
        <v>0.91170492406444703</v>
      </c>
      <c r="X556" s="531">
        <f t="shared" si="726"/>
        <v>0.91170492406444703</v>
      </c>
      <c r="Y556" s="531">
        <f t="shared" si="726"/>
        <v>0.91170492406444703</v>
      </c>
      <c r="Z556" s="531">
        <f t="shared" si="726"/>
        <v>0.91170492406444703</v>
      </c>
      <c r="AA556" s="531">
        <f t="shared" si="726"/>
        <v>0.91170492406444703</v>
      </c>
      <c r="AB556" s="531">
        <f t="shared" si="726"/>
        <v>0.91170492406444703</v>
      </c>
      <c r="AC556" s="531">
        <f t="shared" si="726"/>
        <v>0.91170492406444703</v>
      </c>
      <c r="AD556" s="531">
        <f t="shared" si="726"/>
        <v>0.91309124002899666</v>
      </c>
      <c r="AE556" s="531">
        <f t="shared" si="726"/>
        <v>0.91309124002899666</v>
      </c>
      <c r="AF556" s="531">
        <f t="shared" si="726"/>
        <v>0.91309124002899666</v>
      </c>
      <c r="AG556" s="531">
        <f t="shared" si="726"/>
        <v>0.91309124002899666</v>
      </c>
      <c r="AH556" s="531">
        <f t="shared" si="726"/>
        <v>0.91309124002899666</v>
      </c>
      <c r="AI556" s="531">
        <f t="shared" si="726"/>
        <v>0.91309124002899666</v>
      </c>
      <c r="AJ556" s="531">
        <f t="shared" si="726"/>
        <v>0.91309124002899666</v>
      </c>
      <c r="AK556" s="531">
        <f t="shared" si="726"/>
        <v>0.91309124002899666</v>
      </c>
      <c r="AL556" s="531">
        <f t="shared" si="726"/>
        <v>0.91309124002899666</v>
      </c>
      <c r="AM556" s="531">
        <f t="shared" si="726"/>
        <v>0.91309124002899666</v>
      </c>
      <c r="AN556" s="531">
        <f t="shared" si="726"/>
        <v>0.91309124002899666</v>
      </c>
      <c r="AO556" s="531">
        <f t="shared" si="726"/>
        <v>0.91309124002899666</v>
      </c>
      <c r="AP556" s="531">
        <f t="shared" si="726"/>
        <v>0.91444468893137787</v>
      </c>
      <c r="AQ556" s="531">
        <f t="shared" si="726"/>
        <v>0.91444468893137787</v>
      </c>
      <c r="AR556" s="531">
        <f t="shared" si="726"/>
        <v>0.91444468893137787</v>
      </c>
      <c r="AS556" s="531">
        <f t="shared" si="726"/>
        <v>0.91444468893137787</v>
      </c>
      <c r="AT556" s="531">
        <f t="shared" si="726"/>
        <v>0.91444468893137787</v>
      </c>
      <c r="AU556" s="531">
        <f t="shared" si="726"/>
        <v>0.91444468893137787</v>
      </c>
      <c r="AV556" s="531">
        <f t="shared" si="726"/>
        <v>0.91444468893137787</v>
      </c>
      <c r="AW556" s="531">
        <f t="shared" si="726"/>
        <v>0.91444468893137787</v>
      </c>
      <c r="AX556" s="531">
        <f t="shared" ref="AX556:BY556" si="727">AX555/AX551</f>
        <v>0.91444468893137787</v>
      </c>
      <c r="AY556" s="531">
        <f t="shared" si="727"/>
        <v>0.91444468893137787</v>
      </c>
      <c r="AZ556" s="531">
        <f t="shared" si="727"/>
        <v>0.91444468893137787</v>
      </c>
      <c r="BA556" s="531">
        <f t="shared" si="727"/>
        <v>0.91444468893137787</v>
      </c>
      <c r="BB556" s="531">
        <f t="shared" si="727"/>
        <v>0.91565093784217866</v>
      </c>
      <c r="BC556" s="531">
        <f t="shared" si="727"/>
        <v>0.91565093784217866</v>
      </c>
      <c r="BD556" s="531">
        <f t="shared" si="727"/>
        <v>0.91565093784217866</v>
      </c>
      <c r="BE556" s="531">
        <f t="shared" si="727"/>
        <v>0.91565093784217866</v>
      </c>
      <c r="BF556" s="531">
        <f t="shared" si="727"/>
        <v>0.91565093784217866</v>
      </c>
      <c r="BG556" s="531">
        <f t="shared" si="727"/>
        <v>0.91565093784217866</v>
      </c>
      <c r="BH556" s="531">
        <f t="shared" si="727"/>
        <v>0.91565093784217866</v>
      </c>
      <c r="BI556" s="531">
        <f t="shared" si="727"/>
        <v>0.91565093784217866</v>
      </c>
      <c r="BJ556" s="531">
        <f t="shared" si="727"/>
        <v>0.91565093784217866</v>
      </c>
      <c r="BK556" s="531">
        <f t="shared" si="727"/>
        <v>0.91565093784217866</v>
      </c>
      <c r="BL556" s="531">
        <f t="shared" si="727"/>
        <v>0.91565093784217866</v>
      </c>
      <c r="BM556" s="531">
        <f t="shared" si="727"/>
        <v>0.91565093784217866</v>
      </c>
      <c r="BN556" s="531">
        <f t="shared" si="727"/>
        <v>0.91674902987942541</v>
      </c>
      <c r="BO556" s="531">
        <f t="shared" si="727"/>
        <v>0.91674902987942541</v>
      </c>
      <c r="BP556" s="531">
        <f t="shared" si="727"/>
        <v>0.91674902987942541</v>
      </c>
      <c r="BQ556" s="531">
        <f t="shared" si="727"/>
        <v>0.91674902987942541</v>
      </c>
      <c r="BR556" s="531">
        <f t="shared" si="727"/>
        <v>0.91674902987942541</v>
      </c>
      <c r="BS556" s="531">
        <f t="shared" si="727"/>
        <v>0.91674902987942541</v>
      </c>
      <c r="BT556" s="531">
        <f t="shared" si="727"/>
        <v>0.91674902987942541</v>
      </c>
      <c r="BU556" s="531">
        <f t="shared" si="727"/>
        <v>0.91674902987942541</v>
      </c>
      <c r="BV556" s="531">
        <f t="shared" si="727"/>
        <v>0.91674902987942541</v>
      </c>
      <c r="BW556" s="531">
        <f t="shared" si="727"/>
        <v>0.91674902987942541</v>
      </c>
      <c r="BX556" s="531">
        <f t="shared" si="727"/>
        <v>0.91674902987942541</v>
      </c>
      <c r="BY556" s="531">
        <f t="shared" si="727"/>
        <v>0.91674902987942541</v>
      </c>
      <c r="BZ556" s="537"/>
      <c r="CA556" s="537"/>
      <c r="CB556" s="537"/>
    </row>
    <row r="557" spans="1:80" x14ac:dyDescent="0.3">
      <c r="A557" s="648"/>
      <c r="B557" s="648"/>
      <c r="C557" s="648" cm="1">
        <f t="array" ref="C557">SUMPRODUCT((Index_Tab!$D$36:$D$45=$B557)*(Index_Tab!$E$35:$F$35=$B$3)*Index_Tab!$E$36:$F$45)</f>
        <v>0</v>
      </c>
      <c r="D557" s="648"/>
      <c r="E557" s="2"/>
      <c r="F557" s="537"/>
      <c r="G557" s="537"/>
      <c r="H557" s="529"/>
      <c r="I557" s="537"/>
      <c r="J557" s="537"/>
      <c r="K557" s="537"/>
      <c r="L557" s="537"/>
      <c r="M557" s="537"/>
      <c r="N557" s="537"/>
      <c r="O557" s="529"/>
      <c r="P557" s="660"/>
      <c r="Q557" s="537"/>
      <c r="R557" s="537"/>
      <c r="S557" s="537"/>
      <c r="T557" s="537"/>
      <c r="U557" s="537"/>
      <c r="V557" s="537"/>
      <c r="W557" s="537"/>
      <c r="X557" s="537"/>
      <c r="Y557" s="537"/>
      <c r="Z557" s="537"/>
      <c r="AA557" s="537"/>
      <c r="AB557" s="537"/>
      <c r="AC557" s="537"/>
      <c r="AD557" s="537"/>
      <c r="AE557" s="537"/>
      <c r="AF557" s="537"/>
      <c r="AG557" s="537"/>
      <c r="AH557" s="537"/>
      <c r="AI557" s="537"/>
      <c r="AJ557" s="537"/>
      <c r="AK557" s="537"/>
      <c r="AL557" s="537"/>
      <c r="AM557" s="537"/>
      <c r="AN557" s="537"/>
      <c r="AO557" s="537"/>
      <c r="AP557" s="537"/>
      <c r="AQ557" s="537"/>
      <c r="AR557" s="537"/>
      <c r="AS557" s="537"/>
      <c r="AT557" s="537"/>
      <c r="AU557" s="537"/>
      <c r="AV557" s="537"/>
      <c r="AW557" s="537"/>
      <c r="AX557" s="537"/>
      <c r="AY557" s="537"/>
      <c r="AZ557" s="537"/>
      <c r="BA557" s="537"/>
      <c r="BB557" s="537"/>
      <c r="BC557" s="537"/>
      <c r="BD557" s="537"/>
      <c r="BE557" s="537"/>
      <c r="BF557" s="537"/>
      <c r="BG557" s="537"/>
      <c r="BH557" s="537"/>
      <c r="BI557" s="537"/>
      <c r="BJ557" s="537"/>
      <c r="BK557" s="537"/>
      <c r="BL557" s="537"/>
      <c r="BM557" s="537"/>
      <c r="BN557" s="537"/>
      <c r="BO557" s="537"/>
      <c r="BP557" s="537"/>
      <c r="BQ557" s="537"/>
      <c r="BR557" s="537"/>
      <c r="BS557" s="537"/>
      <c r="BT557" s="537"/>
      <c r="BU557" s="537"/>
      <c r="BV557" s="537"/>
      <c r="BW557" s="537"/>
      <c r="BX557" s="537"/>
      <c r="BY557" s="537"/>
      <c r="BZ557" s="537"/>
      <c r="CA557" s="537"/>
      <c r="CB557" s="537"/>
    </row>
    <row r="558" spans="1:80" x14ac:dyDescent="0.3">
      <c r="A558" s="648"/>
      <c r="B558" s="648" t="s">
        <v>52</v>
      </c>
      <c r="C558" s="648" cm="1">
        <f t="array" ref="C558">SUMPRODUCT((Index_Tab!$D$36:$D$45=$B558)*(Index_Tab!$E$35:$F$35=$B$3)*Index_Tab!$E$36:$F$45)</f>
        <v>19</v>
      </c>
      <c r="D558" s="648"/>
      <c r="E558" s="2" t="s">
        <v>52</v>
      </c>
      <c r="F558" s="567"/>
      <c r="G558" s="567"/>
      <c r="H558" s="537"/>
      <c r="I558" s="544">
        <v>-218189.16275200003</v>
      </c>
      <c r="J558" s="542">
        <f>(-'Detailed Assumptions'!$E$52*J571)*(1+'Detailed Assumptions'!F$48)</f>
        <v>-252960</v>
      </c>
      <c r="K558" s="542">
        <f>J558*(1+'Detailed Assumptions'!G$48)</f>
        <v>-258019.20000000001</v>
      </c>
      <c r="L558" s="542">
        <f>K558*(1+'Detailed Assumptions'!H$48)</f>
        <v>-263179.58400000003</v>
      </c>
      <c r="M558" s="542">
        <f>L558*(1+'Detailed Assumptions'!I$48)</f>
        <v>-268443.17568000004</v>
      </c>
      <c r="N558" s="542">
        <f>M558*(1+'Detailed Assumptions'!J$48)</f>
        <v>-273812.03919360007</v>
      </c>
      <c r="O558" s="529"/>
      <c r="P558" s="564">
        <f>IFERROR(((N558/I558)^(1/5))-1,0)</f>
        <v>4.6462988574517361E-2</v>
      </c>
      <c r="Q558" s="537"/>
      <c r="R558" s="527">
        <f t="shared" ref="R558:AW558" si="728">(INDEX($I558:$N558,MATCH(R$2,$I$3:$N$3,0)))/12</f>
        <v>-21080</v>
      </c>
      <c r="S558" s="527">
        <f t="shared" si="728"/>
        <v>-21080</v>
      </c>
      <c r="T558" s="527">
        <f t="shared" si="728"/>
        <v>-21080</v>
      </c>
      <c r="U558" s="527">
        <f t="shared" si="728"/>
        <v>-21080</v>
      </c>
      <c r="V558" s="527">
        <f t="shared" si="728"/>
        <v>-21080</v>
      </c>
      <c r="W558" s="527">
        <f t="shared" si="728"/>
        <v>-21080</v>
      </c>
      <c r="X558" s="527">
        <f t="shared" si="728"/>
        <v>-21080</v>
      </c>
      <c r="Y558" s="527">
        <f t="shared" si="728"/>
        <v>-21080</v>
      </c>
      <c r="Z558" s="527">
        <f t="shared" si="728"/>
        <v>-21080</v>
      </c>
      <c r="AA558" s="527">
        <f t="shared" si="728"/>
        <v>-21080</v>
      </c>
      <c r="AB558" s="527">
        <f t="shared" si="728"/>
        <v>-21080</v>
      </c>
      <c r="AC558" s="527">
        <f t="shared" si="728"/>
        <v>-21080</v>
      </c>
      <c r="AD558" s="527">
        <f t="shared" si="728"/>
        <v>-21501.600000000002</v>
      </c>
      <c r="AE558" s="527">
        <f t="shared" si="728"/>
        <v>-21501.600000000002</v>
      </c>
      <c r="AF558" s="527">
        <f t="shared" si="728"/>
        <v>-21501.600000000002</v>
      </c>
      <c r="AG558" s="527">
        <f t="shared" si="728"/>
        <v>-21501.600000000002</v>
      </c>
      <c r="AH558" s="527">
        <f t="shared" si="728"/>
        <v>-21501.600000000002</v>
      </c>
      <c r="AI558" s="527">
        <f t="shared" si="728"/>
        <v>-21501.600000000002</v>
      </c>
      <c r="AJ558" s="527">
        <f t="shared" si="728"/>
        <v>-21501.600000000002</v>
      </c>
      <c r="AK558" s="527">
        <f t="shared" si="728"/>
        <v>-21501.600000000002</v>
      </c>
      <c r="AL558" s="527">
        <f t="shared" si="728"/>
        <v>-21501.600000000002</v>
      </c>
      <c r="AM558" s="527">
        <f t="shared" si="728"/>
        <v>-21501.600000000002</v>
      </c>
      <c r="AN558" s="527">
        <f t="shared" si="728"/>
        <v>-21501.600000000002</v>
      </c>
      <c r="AO558" s="527">
        <f t="shared" si="728"/>
        <v>-21501.600000000002</v>
      </c>
      <c r="AP558" s="527">
        <f t="shared" si="728"/>
        <v>-21931.632000000001</v>
      </c>
      <c r="AQ558" s="527">
        <f t="shared" si="728"/>
        <v>-21931.632000000001</v>
      </c>
      <c r="AR558" s="527">
        <f t="shared" si="728"/>
        <v>-21931.632000000001</v>
      </c>
      <c r="AS558" s="527">
        <f t="shared" si="728"/>
        <v>-21931.632000000001</v>
      </c>
      <c r="AT558" s="527">
        <f t="shared" si="728"/>
        <v>-21931.632000000001</v>
      </c>
      <c r="AU558" s="527">
        <f t="shared" si="728"/>
        <v>-21931.632000000001</v>
      </c>
      <c r="AV558" s="527">
        <f t="shared" si="728"/>
        <v>-21931.632000000001</v>
      </c>
      <c r="AW558" s="527">
        <f t="shared" si="728"/>
        <v>-21931.632000000001</v>
      </c>
      <c r="AX558" s="527">
        <f t="shared" ref="AX558:BY558" si="729">(INDEX($I558:$N558,MATCH(AX$2,$I$3:$N$3,0)))/12</f>
        <v>-21931.632000000001</v>
      </c>
      <c r="AY558" s="527">
        <f t="shared" si="729"/>
        <v>-21931.632000000001</v>
      </c>
      <c r="AZ558" s="527">
        <f t="shared" si="729"/>
        <v>-21931.632000000001</v>
      </c>
      <c r="BA558" s="527">
        <f t="shared" si="729"/>
        <v>-21931.632000000001</v>
      </c>
      <c r="BB558" s="527">
        <f t="shared" si="729"/>
        <v>-22370.264640000005</v>
      </c>
      <c r="BC558" s="527">
        <f t="shared" si="729"/>
        <v>-22370.264640000005</v>
      </c>
      <c r="BD558" s="527">
        <f t="shared" si="729"/>
        <v>-22370.264640000005</v>
      </c>
      <c r="BE558" s="527">
        <f t="shared" si="729"/>
        <v>-22370.264640000005</v>
      </c>
      <c r="BF558" s="527">
        <f t="shared" si="729"/>
        <v>-22370.264640000005</v>
      </c>
      <c r="BG558" s="527">
        <f t="shared" si="729"/>
        <v>-22370.264640000005</v>
      </c>
      <c r="BH558" s="527">
        <f t="shared" si="729"/>
        <v>-22370.264640000005</v>
      </c>
      <c r="BI558" s="527">
        <f t="shared" si="729"/>
        <v>-22370.264640000005</v>
      </c>
      <c r="BJ558" s="527">
        <f t="shared" si="729"/>
        <v>-22370.264640000005</v>
      </c>
      <c r="BK558" s="527">
        <f t="shared" si="729"/>
        <v>-22370.264640000005</v>
      </c>
      <c r="BL558" s="527">
        <f t="shared" si="729"/>
        <v>-22370.264640000005</v>
      </c>
      <c r="BM558" s="527">
        <f t="shared" si="729"/>
        <v>-22370.264640000005</v>
      </c>
      <c r="BN558" s="527">
        <f t="shared" si="729"/>
        <v>-22817.669932800007</v>
      </c>
      <c r="BO558" s="527">
        <f t="shared" si="729"/>
        <v>-22817.669932800007</v>
      </c>
      <c r="BP558" s="527">
        <f t="shared" si="729"/>
        <v>-22817.669932800007</v>
      </c>
      <c r="BQ558" s="527">
        <f t="shared" si="729"/>
        <v>-22817.669932800007</v>
      </c>
      <c r="BR558" s="527">
        <f t="shared" si="729"/>
        <v>-22817.669932800007</v>
      </c>
      <c r="BS558" s="527">
        <f t="shared" si="729"/>
        <v>-22817.669932800007</v>
      </c>
      <c r="BT558" s="527">
        <f t="shared" si="729"/>
        <v>-22817.669932800007</v>
      </c>
      <c r="BU558" s="527">
        <f t="shared" si="729"/>
        <v>-22817.669932800007</v>
      </c>
      <c r="BV558" s="527">
        <f t="shared" si="729"/>
        <v>-22817.669932800007</v>
      </c>
      <c r="BW558" s="527">
        <f t="shared" si="729"/>
        <v>-22817.669932800007</v>
      </c>
      <c r="BX558" s="527">
        <f t="shared" si="729"/>
        <v>-22817.669932800007</v>
      </c>
      <c r="BY558" s="527">
        <f t="shared" si="729"/>
        <v>-22817.669932800007</v>
      </c>
      <c r="BZ558" s="537"/>
      <c r="CA558" s="537"/>
      <c r="CB558" s="537"/>
    </row>
    <row r="559" spans="1:80" x14ac:dyDescent="0.3">
      <c r="A559" s="648"/>
      <c r="B559" s="648" t="s">
        <v>53</v>
      </c>
      <c r="C559" s="648" cm="1">
        <f t="array" ref="C559">SUMPRODUCT((Index_Tab!$D$36:$D$45=$B559)*(Index_Tab!$E$35:$F$35=$B$3)*Index_Tab!$E$36:$F$45)</f>
        <v>20</v>
      </c>
      <c r="D559" s="648"/>
      <c r="E559" s="2" t="s">
        <v>69</v>
      </c>
      <c r="F559" s="567"/>
      <c r="G559" s="567"/>
      <c r="H559" s="537"/>
      <c r="I559" s="542" cm="1">
        <f t="array" ref="I559">I551*INDEX(('Detailed Assumptions'!$D$59:$J$79,'Detailed Assumptions'!$L$59:$R$79,'Detailed Assumptions'!$T$59:$Z$79,'Detailed Assumptions'!$AB$59:$AH$79),$C559,$I$2,$C$506)</f>
        <v>-45083.17651798507</v>
      </c>
      <c r="J559" s="527">
        <f>SUMIF($R$2:$BY$2,J$3,$R559:$BY559)</f>
        <v>-46948.581078242249</v>
      </c>
      <c r="K559" s="527">
        <f>SUMIF($R$2:$BY$2,K$3,$R559:$BY559)</f>
        <v>-48802.777251464177</v>
      </c>
      <c r="L559" s="527">
        <f>SUMIF($R$2:$BY$2,L$3,$R559:$BY559)</f>
        <v>-50638.148862850263</v>
      </c>
      <c r="M559" s="527">
        <f>SUMIF($R$2:$BY$2,M$3,$R559:$BY559)</f>
        <v>-52368.939697503702</v>
      </c>
      <c r="N559" s="527">
        <f>SUMIF($R$2:$BY$2,N$3,$R559:$BY559)</f>
        <v>-54089.065986825874</v>
      </c>
      <c r="O559" s="529"/>
      <c r="P559" s="564">
        <f>IFERROR(((N559/I559)^(1/5))-1,0)</f>
        <v>3.7096084788443173E-2</v>
      </c>
      <c r="Q559" s="537"/>
      <c r="R559" s="542" cm="1">
        <f t="array" ref="R559">R551*INDEX(('Detailed Assumptions'!$D$59:$J$79,'Detailed Assumptions'!$L$59:$R$79,'Detailed Assumptions'!$T$59:$Z$79,'Detailed Assumptions'!$AB$59:$AH$79),$C559,$I$2,$C$506)</f>
        <v>-3912.3817565201866</v>
      </c>
      <c r="S559" s="542" cm="1">
        <f t="array" ref="S559">S551*INDEX(('Detailed Assumptions'!$D$59:$J$79,'Detailed Assumptions'!$L$59:$R$79,'Detailed Assumptions'!$T$59:$Z$79,'Detailed Assumptions'!$AB$59:$AH$79),$C559,$I$2,$C$506)</f>
        <v>-3912.3817565201866</v>
      </c>
      <c r="T559" s="542" cm="1">
        <f t="array" ref="T559">T551*INDEX(('Detailed Assumptions'!$D$59:$J$79,'Detailed Assumptions'!$L$59:$R$79,'Detailed Assumptions'!$T$59:$Z$79,'Detailed Assumptions'!$AB$59:$AH$79),$C559,$I$2,$C$506)</f>
        <v>-3912.3817565201866</v>
      </c>
      <c r="U559" s="542" cm="1">
        <f t="array" ref="U559">U551*INDEX(('Detailed Assumptions'!$D$59:$J$79,'Detailed Assumptions'!$L$59:$R$79,'Detailed Assumptions'!$T$59:$Z$79,'Detailed Assumptions'!$AB$59:$AH$79),$C559,$I$2,$C$506)</f>
        <v>-3912.3817565201866</v>
      </c>
      <c r="V559" s="542" cm="1">
        <f t="array" ref="V559">V551*INDEX(('Detailed Assumptions'!$D$59:$J$79,'Detailed Assumptions'!$L$59:$R$79,'Detailed Assumptions'!$T$59:$Z$79,'Detailed Assumptions'!$AB$59:$AH$79),$C559,$I$2,$C$506)</f>
        <v>-3912.3817565201866</v>
      </c>
      <c r="W559" s="542" cm="1">
        <f t="array" ref="W559">W551*INDEX(('Detailed Assumptions'!$D$59:$J$79,'Detailed Assumptions'!$L$59:$R$79,'Detailed Assumptions'!$T$59:$Z$79,'Detailed Assumptions'!$AB$59:$AH$79),$C559,$I$2,$C$506)</f>
        <v>-3912.3817565201866</v>
      </c>
      <c r="X559" s="542" cm="1">
        <f t="array" ref="X559">X551*INDEX(('Detailed Assumptions'!$D$59:$J$79,'Detailed Assumptions'!$L$59:$R$79,'Detailed Assumptions'!$T$59:$Z$79,'Detailed Assumptions'!$AB$59:$AH$79),$C559,$I$2,$C$506)</f>
        <v>-3912.3817565201866</v>
      </c>
      <c r="Y559" s="542" cm="1">
        <f t="array" ref="Y559">Y551*INDEX(('Detailed Assumptions'!$D$59:$J$79,'Detailed Assumptions'!$L$59:$R$79,'Detailed Assumptions'!$T$59:$Z$79,'Detailed Assumptions'!$AB$59:$AH$79),$C559,$I$2,$C$506)</f>
        <v>-3912.3817565201866</v>
      </c>
      <c r="Z559" s="542" cm="1">
        <f t="array" ref="Z559">Z551*INDEX(('Detailed Assumptions'!$D$59:$J$79,'Detailed Assumptions'!$L$59:$R$79,'Detailed Assumptions'!$T$59:$Z$79,'Detailed Assumptions'!$AB$59:$AH$79),$C559,$I$2,$C$506)</f>
        <v>-3912.3817565201866</v>
      </c>
      <c r="AA559" s="542" cm="1">
        <f t="array" ref="AA559">AA551*INDEX(('Detailed Assumptions'!$D$59:$J$79,'Detailed Assumptions'!$L$59:$R$79,'Detailed Assumptions'!$T$59:$Z$79,'Detailed Assumptions'!$AB$59:$AH$79),$C559,$I$2,$C$506)</f>
        <v>-3912.3817565201866</v>
      </c>
      <c r="AB559" s="542" cm="1">
        <f t="array" ref="AB559">AB551*INDEX(('Detailed Assumptions'!$D$59:$J$79,'Detailed Assumptions'!$L$59:$R$79,'Detailed Assumptions'!$T$59:$Z$79,'Detailed Assumptions'!$AB$59:$AH$79),$C559,$I$2,$C$506)</f>
        <v>-3912.3817565201866</v>
      </c>
      <c r="AC559" s="542" cm="1">
        <f t="array" ref="AC559">AC551*INDEX(('Detailed Assumptions'!$D$59:$J$79,'Detailed Assumptions'!$L$59:$R$79,'Detailed Assumptions'!$T$59:$Z$79,'Detailed Assumptions'!$AB$59:$AH$79),$C559,$I$2,$C$506)</f>
        <v>-3912.3817565201866</v>
      </c>
      <c r="AD559" s="542" cm="1">
        <f t="array" ref="AD559">AD551*INDEX(('Detailed Assumptions'!$D$59:$J$79,'Detailed Assumptions'!$L$59:$R$79,'Detailed Assumptions'!$T$59:$Z$79,'Detailed Assumptions'!$AB$59:$AH$79),$C559,$I$2,$C$506)</f>
        <v>-4066.8981042886817</v>
      </c>
      <c r="AE559" s="542" cm="1">
        <f t="array" ref="AE559">AE551*INDEX(('Detailed Assumptions'!$D$59:$J$79,'Detailed Assumptions'!$L$59:$R$79,'Detailed Assumptions'!$T$59:$Z$79,'Detailed Assumptions'!$AB$59:$AH$79),$C559,$I$2,$C$506)</f>
        <v>-4066.8981042886817</v>
      </c>
      <c r="AF559" s="542" cm="1">
        <f t="array" ref="AF559">AF551*INDEX(('Detailed Assumptions'!$D$59:$J$79,'Detailed Assumptions'!$L$59:$R$79,'Detailed Assumptions'!$T$59:$Z$79,'Detailed Assumptions'!$AB$59:$AH$79),$C559,$I$2,$C$506)</f>
        <v>-4066.8981042886817</v>
      </c>
      <c r="AG559" s="542" cm="1">
        <f t="array" ref="AG559">AG551*INDEX(('Detailed Assumptions'!$D$59:$J$79,'Detailed Assumptions'!$L$59:$R$79,'Detailed Assumptions'!$T$59:$Z$79,'Detailed Assumptions'!$AB$59:$AH$79),$C559,$I$2,$C$506)</f>
        <v>-4066.8981042886817</v>
      </c>
      <c r="AH559" s="542" cm="1">
        <f t="array" ref="AH559">AH551*INDEX(('Detailed Assumptions'!$D$59:$J$79,'Detailed Assumptions'!$L$59:$R$79,'Detailed Assumptions'!$T$59:$Z$79,'Detailed Assumptions'!$AB$59:$AH$79),$C559,$I$2,$C$506)</f>
        <v>-4066.8981042886817</v>
      </c>
      <c r="AI559" s="542" cm="1">
        <f t="array" ref="AI559">AI551*INDEX(('Detailed Assumptions'!$D$59:$J$79,'Detailed Assumptions'!$L$59:$R$79,'Detailed Assumptions'!$T$59:$Z$79,'Detailed Assumptions'!$AB$59:$AH$79),$C559,$I$2,$C$506)</f>
        <v>-4066.8981042886817</v>
      </c>
      <c r="AJ559" s="542" cm="1">
        <f t="array" ref="AJ559">AJ551*INDEX(('Detailed Assumptions'!$D$59:$J$79,'Detailed Assumptions'!$L$59:$R$79,'Detailed Assumptions'!$T$59:$Z$79,'Detailed Assumptions'!$AB$59:$AH$79),$C559,$I$2,$C$506)</f>
        <v>-4066.8981042886817</v>
      </c>
      <c r="AK559" s="542" cm="1">
        <f t="array" ref="AK559">AK551*INDEX(('Detailed Assumptions'!$D$59:$J$79,'Detailed Assumptions'!$L$59:$R$79,'Detailed Assumptions'!$T$59:$Z$79,'Detailed Assumptions'!$AB$59:$AH$79),$C559,$I$2,$C$506)</f>
        <v>-4066.8981042886817</v>
      </c>
      <c r="AL559" s="542" cm="1">
        <f t="array" ref="AL559">AL551*INDEX(('Detailed Assumptions'!$D$59:$J$79,'Detailed Assumptions'!$L$59:$R$79,'Detailed Assumptions'!$T$59:$Z$79,'Detailed Assumptions'!$AB$59:$AH$79),$C559,$I$2,$C$506)</f>
        <v>-4066.8981042886817</v>
      </c>
      <c r="AM559" s="542" cm="1">
        <f t="array" ref="AM559">AM551*INDEX(('Detailed Assumptions'!$D$59:$J$79,'Detailed Assumptions'!$L$59:$R$79,'Detailed Assumptions'!$T$59:$Z$79,'Detailed Assumptions'!$AB$59:$AH$79),$C559,$I$2,$C$506)</f>
        <v>-4066.8981042886817</v>
      </c>
      <c r="AN559" s="542" cm="1">
        <f t="array" ref="AN559">AN551*INDEX(('Detailed Assumptions'!$D$59:$J$79,'Detailed Assumptions'!$L$59:$R$79,'Detailed Assumptions'!$T$59:$Z$79,'Detailed Assumptions'!$AB$59:$AH$79),$C559,$I$2,$C$506)</f>
        <v>-4066.8981042886817</v>
      </c>
      <c r="AO559" s="542" cm="1">
        <f t="array" ref="AO559">AO551*INDEX(('Detailed Assumptions'!$D$59:$J$79,'Detailed Assumptions'!$L$59:$R$79,'Detailed Assumptions'!$T$59:$Z$79,'Detailed Assumptions'!$AB$59:$AH$79),$C559,$I$2,$C$506)</f>
        <v>-4066.8981042886817</v>
      </c>
      <c r="AP559" s="542" cm="1">
        <f t="array" ref="AP559">AP551*INDEX(('Detailed Assumptions'!$D$59:$J$79,'Detailed Assumptions'!$L$59:$R$79,'Detailed Assumptions'!$T$59:$Z$79,'Detailed Assumptions'!$AB$59:$AH$79),$C559,$I$2,$C$506)</f>
        <v>-4219.8457385708562</v>
      </c>
      <c r="AQ559" s="542" cm="1">
        <f t="array" ref="AQ559">AQ551*INDEX(('Detailed Assumptions'!$D$59:$J$79,'Detailed Assumptions'!$L$59:$R$79,'Detailed Assumptions'!$T$59:$Z$79,'Detailed Assumptions'!$AB$59:$AH$79),$C559,$I$2,$C$506)</f>
        <v>-4219.8457385708562</v>
      </c>
      <c r="AR559" s="542" cm="1">
        <f t="array" ref="AR559">AR551*INDEX(('Detailed Assumptions'!$D$59:$J$79,'Detailed Assumptions'!$L$59:$R$79,'Detailed Assumptions'!$T$59:$Z$79,'Detailed Assumptions'!$AB$59:$AH$79),$C559,$I$2,$C$506)</f>
        <v>-4219.8457385708562</v>
      </c>
      <c r="AS559" s="542" cm="1">
        <f t="array" ref="AS559">AS551*INDEX(('Detailed Assumptions'!$D$59:$J$79,'Detailed Assumptions'!$L$59:$R$79,'Detailed Assumptions'!$T$59:$Z$79,'Detailed Assumptions'!$AB$59:$AH$79),$C559,$I$2,$C$506)</f>
        <v>-4219.8457385708562</v>
      </c>
      <c r="AT559" s="542" cm="1">
        <f t="array" ref="AT559">AT551*INDEX(('Detailed Assumptions'!$D$59:$J$79,'Detailed Assumptions'!$L$59:$R$79,'Detailed Assumptions'!$T$59:$Z$79,'Detailed Assumptions'!$AB$59:$AH$79),$C559,$I$2,$C$506)</f>
        <v>-4219.8457385708562</v>
      </c>
      <c r="AU559" s="542" cm="1">
        <f t="array" ref="AU559">AU551*INDEX(('Detailed Assumptions'!$D$59:$J$79,'Detailed Assumptions'!$L$59:$R$79,'Detailed Assumptions'!$T$59:$Z$79,'Detailed Assumptions'!$AB$59:$AH$79),$C559,$I$2,$C$506)</f>
        <v>-4219.8457385708562</v>
      </c>
      <c r="AV559" s="542" cm="1">
        <f t="array" ref="AV559">AV551*INDEX(('Detailed Assumptions'!$D$59:$J$79,'Detailed Assumptions'!$L$59:$R$79,'Detailed Assumptions'!$T$59:$Z$79,'Detailed Assumptions'!$AB$59:$AH$79),$C559,$I$2,$C$506)</f>
        <v>-4219.8457385708562</v>
      </c>
      <c r="AW559" s="542" cm="1">
        <f t="array" ref="AW559">AW551*INDEX(('Detailed Assumptions'!$D$59:$J$79,'Detailed Assumptions'!$L$59:$R$79,'Detailed Assumptions'!$T$59:$Z$79,'Detailed Assumptions'!$AB$59:$AH$79),$C559,$I$2,$C$506)</f>
        <v>-4219.8457385708562</v>
      </c>
      <c r="AX559" s="542" cm="1">
        <f t="array" ref="AX559">AX551*INDEX(('Detailed Assumptions'!$D$59:$J$79,'Detailed Assumptions'!$L$59:$R$79,'Detailed Assumptions'!$T$59:$Z$79,'Detailed Assumptions'!$AB$59:$AH$79),$C559,$I$2,$C$506)</f>
        <v>-4219.8457385708562</v>
      </c>
      <c r="AY559" s="542" cm="1">
        <f t="array" ref="AY559">AY551*INDEX(('Detailed Assumptions'!$D$59:$J$79,'Detailed Assumptions'!$L$59:$R$79,'Detailed Assumptions'!$T$59:$Z$79,'Detailed Assumptions'!$AB$59:$AH$79),$C559,$I$2,$C$506)</f>
        <v>-4219.8457385708562</v>
      </c>
      <c r="AZ559" s="542" cm="1">
        <f t="array" ref="AZ559">AZ551*INDEX(('Detailed Assumptions'!$D$59:$J$79,'Detailed Assumptions'!$L$59:$R$79,'Detailed Assumptions'!$T$59:$Z$79,'Detailed Assumptions'!$AB$59:$AH$79),$C559,$I$2,$C$506)</f>
        <v>-4219.8457385708562</v>
      </c>
      <c r="BA559" s="542" cm="1">
        <f t="array" ref="BA559">BA551*INDEX(('Detailed Assumptions'!$D$59:$J$79,'Detailed Assumptions'!$L$59:$R$79,'Detailed Assumptions'!$T$59:$Z$79,'Detailed Assumptions'!$AB$59:$AH$79),$C559,$I$2,$C$506)</f>
        <v>-4219.8457385708562</v>
      </c>
      <c r="BB559" s="542" cm="1">
        <f t="array" ref="BB559">BB551*INDEX(('Detailed Assumptions'!$D$59:$J$79,'Detailed Assumptions'!$L$59:$R$79,'Detailed Assumptions'!$T$59:$Z$79,'Detailed Assumptions'!$AB$59:$AH$79),$C559,$I$2,$C$506)</f>
        <v>-4364.0783081253076</v>
      </c>
      <c r="BC559" s="542" cm="1">
        <f t="array" ref="BC559">BC551*INDEX(('Detailed Assumptions'!$D$59:$J$79,'Detailed Assumptions'!$L$59:$R$79,'Detailed Assumptions'!$T$59:$Z$79,'Detailed Assumptions'!$AB$59:$AH$79),$C559,$I$2,$C$506)</f>
        <v>-4364.0783081253076</v>
      </c>
      <c r="BD559" s="542" cm="1">
        <f t="array" ref="BD559">BD551*INDEX(('Detailed Assumptions'!$D$59:$J$79,'Detailed Assumptions'!$L$59:$R$79,'Detailed Assumptions'!$T$59:$Z$79,'Detailed Assumptions'!$AB$59:$AH$79),$C559,$I$2,$C$506)</f>
        <v>-4364.0783081253076</v>
      </c>
      <c r="BE559" s="542" cm="1">
        <f t="array" ref="BE559">BE551*INDEX(('Detailed Assumptions'!$D$59:$J$79,'Detailed Assumptions'!$L$59:$R$79,'Detailed Assumptions'!$T$59:$Z$79,'Detailed Assumptions'!$AB$59:$AH$79),$C559,$I$2,$C$506)</f>
        <v>-4364.0783081253076</v>
      </c>
      <c r="BF559" s="542" cm="1">
        <f t="array" ref="BF559">BF551*INDEX(('Detailed Assumptions'!$D$59:$J$79,'Detailed Assumptions'!$L$59:$R$79,'Detailed Assumptions'!$T$59:$Z$79,'Detailed Assumptions'!$AB$59:$AH$79),$C559,$I$2,$C$506)</f>
        <v>-4364.0783081253076</v>
      </c>
      <c r="BG559" s="542" cm="1">
        <f t="array" ref="BG559">BG551*INDEX(('Detailed Assumptions'!$D$59:$J$79,'Detailed Assumptions'!$L$59:$R$79,'Detailed Assumptions'!$T$59:$Z$79,'Detailed Assumptions'!$AB$59:$AH$79),$C559,$I$2,$C$506)</f>
        <v>-4364.0783081253076</v>
      </c>
      <c r="BH559" s="542" cm="1">
        <f t="array" ref="BH559">BH551*INDEX(('Detailed Assumptions'!$D$59:$J$79,'Detailed Assumptions'!$L$59:$R$79,'Detailed Assumptions'!$T$59:$Z$79,'Detailed Assumptions'!$AB$59:$AH$79),$C559,$I$2,$C$506)</f>
        <v>-4364.0783081253076</v>
      </c>
      <c r="BI559" s="542" cm="1">
        <f t="array" ref="BI559">BI551*INDEX(('Detailed Assumptions'!$D$59:$J$79,'Detailed Assumptions'!$L$59:$R$79,'Detailed Assumptions'!$T$59:$Z$79,'Detailed Assumptions'!$AB$59:$AH$79),$C559,$I$2,$C$506)</f>
        <v>-4364.0783081253076</v>
      </c>
      <c r="BJ559" s="542" cm="1">
        <f t="array" ref="BJ559">BJ551*INDEX(('Detailed Assumptions'!$D$59:$J$79,'Detailed Assumptions'!$L$59:$R$79,'Detailed Assumptions'!$T$59:$Z$79,'Detailed Assumptions'!$AB$59:$AH$79),$C559,$I$2,$C$506)</f>
        <v>-4364.0783081253076</v>
      </c>
      <c r="BK559" s="542" cm="1">
        <f t="array" ref="BK559">BK551*INDEX(('Detailed Assumptions'!$D$59:$J$79,'Detailed Assumptions'!$L$59:$R$79,'Detailed Assumptions'!$T$59:$Z$79,'Detailed Assumptions'!$AB$59:$AH$79),$C559,$I$2,$C$506)</f>
        <v>-4364.0783081253076</v>
      </c>
      <c r="BL559" s="542" cm="1">
        <f t="array" ref="BL559">BL551*INDEX(('Detailed Assumptions'!$D$59:$J$79,'Detailed Assumptions'!$L$59:$R$79,'Detailed Assumptions'!$T$59:$Z$79,'Detailed Assumptions'!$AB$59:$AH$79),$C559,$I$2,$C$506)</f>
        <v>-4364.0783081253076</v>
      </c>
      <c r="BM559" s="542" cm="1">
        <f t="array" ref="BM559">BM551*INDEX(('Detailed Assumptions'!$D$59:$J$79,'Detailed Assumptions'!$L$59:$R$79,'Detailed Assumptions'!$T$59:$Z$79,'Detailed Assumptions'!$AB$59:$AH$79),$C559,$I$2,$C$506)</f>
        <v>-4364.0783081253076</v>
      </c>
      <c r="BN559" s="542" cm="1">
        <f t="array" ref="BN559">BN551*INDEX(('Detailed Assumptions'!$D$59:$J$79,'Detailed Assumptions'!$L$59:$R$79,'Detailed Assumptions'!$T$59:$Z$79,'Detailed Assumptions'!$AB$59:$AH$79),$C559,$I$2,$C$506)</f>
        <v>-4507.4221655688216</v>
      </c>
      <c r="BO559" s="542" cm="1">
        <f t="array" ref="BO559">BO551*INDEX(('Detailed Assumptions'!$D$59:$J$79,'Detailed Assumptions'!$L$59:$R$79,'Detailed Assumptions'!$T$59:$Z$79,'Detailed Assumptions'!$AB$59:$AH$79),$C559,$I$2,$C$506)</f>
        <v>-4507.4221655688216</v>
      </c>
      <c r="BP559" s="542" cm="1">
        <f t="array" ref="BP559">BP551*INDEX(('Detailed Assumptions'!$D$59:$J$79,'Detailed Assumptions'!$L$59:$R$79,'Detailed Assumptions'!$T$59:$Z$79,'Detailed Assumptions'!$AB$59:$AH$79),$C559,$I$2,$C$506)</f>
        <v>-4507.4221655688216</v>
      </c>
      <c r="BQ559" s="542" cm="1">
        <f t="array" ref="BQ559">BQ551*INDEX(('Detailed Assumptions'!$D$59:$J$79,'Detailed Assumptions'!$L$59:$R$79,'Detailed Assumptions'!$T$59:$Z$79,'Detailed Assumptions'!$AB$59:$AH$79),$C559,$I$2,$C$506)</f>
        <v>-4507.4221655688216</v>
      </c>
      <c r="BR559" s="542" cm="1">
        <f t="array" ref="BR559">BR551*INDEX(('Detailed Assumptions'!$D$59:$J$79,'Detailed Assumptions'!$L$59:$R$79,'Detailed Assumptions'!$T$59:$Z$79,'Detailed Assumptions'!$AB$59:$AH$79),$C559,$I$2,$C$506)</f>
        <v>-4507.4221655688216</v>
      </c>
      <c r="BS559" s="542" cm="1">
        <f t="array" ref="BS559">BS551*INDEX(('Detailed Assumptions'!$D$59:$J$79,'Detailed Assumptions'!$L$59:$R$79,'Detailed Assumptions'!$T$59:$Z$79,'Detailed Assumptions'!$AB$59:$AH$79),$C559,$I$2,$C$506)</f>
        <v>-4507.4221655688216</v>
      </c>
      <c r="BT559" s="542" cm="1">
        <f t="array" ref="BT559">BT551*INDEX(('Detailed Assumptions'!$D$59:$J$79,'Detailed Assumptions'!$L$59:$R$79,'Detailed Assumptions'!$T$59:$Z$79,'Detailed Assumptions'!$AB$59:$AH$79),$C559,$I$2,$C$506)</f>
        <v>-4507.4221655688216</v>
      </c>
      <c r="BU559" s="542" cm="1">
        <f t="array" ref="BU559">BU551*INDEX(('Detailed Assumptions'!$D$59:$J$79,'Detailed Assumptions'!$L$59:$R$79,'Detailed Assumptions'!$T$59:$Z$79,'Detailed Assumptions'!$AB$59:$AH$79),$C559,$I$2,$C$506)</f>
        <v>-4507.4221655688216</v>
      </c>
      <c r="BV559" s="542" cm="1">
        <f t="array" ref="BV559">BV551*INDEX(('Detailed Assumptions'!$D$59:$J$79,'Detailed Assumptions'!$L$59:$R$79,'Detailed Assumptions'!$T$59:$Z$79,'Detailed Assumptions'!$AB$59:$AH$79),$C559,$I$2,$C$506)</f>
        <v>-4507.4221655688216</v>
      </c>
      <c r="BW559" s="542" cm="1">
        <f t="array" ref="BW559">BW551*INDEX(('Detailed Assumptions'!$D$59:$J$79,'Detailed Assumptions'!$L$59:$R$79,'Detailed Assumptions'!$T$59:$Z$79,'Detailed Assumptions'!$AB$59:$AH$79),$C559,$I$2,$C$506)</f>
        <v>-4507.4221655688216</v>
      </c>
      <c r="BX559" s="542" cm="1">
        <f t="array" ref="BX559">BX551*INDEX(('Detailed Assumptions'!$D$59:$J$79,'Detailed Assumptions'!$L$59:$R$79,'Detailed Assumptions'!$T$59:$Z$79,'Detailed Assumptions'!$AB$59:$AH$79),$C559,$I$2,$C$506)</f>
        <v>-4507.4221655688216</v>
      </c>
      <c r="BY559" s="542" cm="1">
        <f t="array" ref="BY559">BY551*INDEX(('Detailed Assumptions'!$D$59:$J$79,'Detailed Assumptions'!$L$59:$R$79,'Detailed Assumptions'!$T$59:$Z$79,'Detailed Assumptions'!$AB$59:$AH$79),$C559,$I$2,$C$506)</f>
        <v>-4507.4221655688216</v>
      </c>
      <c r="BZ559" s="537"/>
      <c r="CA559" s="537"/>
      <c r="CB559" s="537"/>
    </row>
    <row r="560" spans="1:80" x14ac:dyDescent="0.3">
      <c r="A560" s="648"/>
      <c r="B560" s="648"/>
      <c r="C560" s="648" cm="1">
        <f t="array" ref="C560">SUMPRODUCT((Index_Tab!$D$36:$D$45=$B560)*(Index_Tab!$E$35:$F$35=$B$3)*Index_Tab!$E$36:$F$45)</f>
        <v>0</v>
      </c>
      <c r="D560" s="648"/>
      <c r="E560" s="2" t="s">
        <v>184</v>
      </c>
      <c r="F560" s="567"/>
      <c r="G560" s="567"/>
      <c r="H560" s="537"/>
      <c r="I560" s="528">
        <v>0</v>
      </c>
      <c r="J560" s="528">
        <v>0</v>
      </c>
      <c r="K560" s="528">
        <v>0</v>
      </c>
      <c r="L560" s="528">
        <v>0</v>
      </c>
      <c r="M560" s="528">
        <v>0</v>
      </c>
      <c r="N560" s="528">
        <v>0</v>
      </c>
      <c r="O560" s="544"/>
      <c r="P560" s="564">
        <f>IFERROR(((N560/I560)^(1/5))-1,0)</f>
        <v>0</v>
      </c>
      <c r="Q560" s="537"/>
      <c r="R560" s="528">
        <v>0</v>
      </c>
      <c r="S560" s="528">
        <v>0</v>
      </c>
      <c r="T560" s="528">
        <v>0</v>
      </c>
      <c r="U560" s="528">
        <v>0</v>
      </c>
      <c r="V560" s="528">
        <v>0</v>
      </c>
      <c r="W560" s="528">
        <v>0</v>
      </c>
      <c r="X560" s="528">
        <v>0</v>
      </c>
      <c r="Y560" s="528">
        <v>0</v>
      </c>
      <c r="Z560" s="528">
        <v>0</v>
      </c>
      <c r="AA560" s="528">
        <v>0</v>
      </c>
      <c r="AB560" s="528">
        <v>0</v>
      </c>
      <c r="AC560" s="528">
        <v>0</v>
      </c>
      <c r="AD560" s="528">
        <v>0</v>
      </c>
      <c r="AE560" s="528">
        <v>0</v>
      </c>
      <c r="AF560" s="528">
        <v>0</v>
      </c>
      <c r="AG560" s="528">
        <v>0</v>
      </c>
      <c r="AH560" s="528">
        <v>0</v>
      </c>
      <c r="AI560" s="528">
        <v>0</v>
      </c>
      <c r="AJ560" s="528">
        <v>0</v>
      </c>
      <c r="AK560" s="528">
        <v>0</v>
      </c>
      <c r="AL560" s="528">
        <v>0</v>
      </c>
      <c r="AM560" s="528">
        <v>0</v>
      </c>
      <c r="AN560" s="528">
        <v>0</v>
      </c>
      <c r="AO560" s="528">
        <v>0</v>
      </c>
      <c r="AP560" s="528">
        <v>0</v>
      </c>
      <c r="AQ560" s="528">
        <v>0</v>
      </c>
      <c r="AR560" s="528">
        <v>0</v>
      </c>
      <c r="AS560" s="528">
        <v>0</v>
      </c>
      <c r="AT560" s="528">
        <v>0</v>
      </c>
      <c r="AU560" s="528">
        <v>0</v>
      </c>
      <c r="AV560" s="528">
        <v>0</v>
      </c>
      <c r="AW560" s="528">
        <v>0</v>
      </c>
      <c r="AX560" s="528">
        <v>0</v>
      </c>
      <c r="AY560" s="528">
        <v>0</v>
      </c>
      <c r="AZ560" s="528">
        <v>0</v>
      </c>
      <c r="BA560" s="528">
        <v>0</v>
      </c>
      <c r="BB560" s="528">
        <v>0</v>
      </c>
      <c r="BC560" s="528">
        <v>0</v>
      </c>
      <c r="BD560" s="528">
        <v>0</v>
      </c>
      <c r="BE560" s="528">
        <v>0</v>
      </c>
      <c r="BF560" s="528">
        <v>0</v>
      </c>
      <c r="BG560" s="528">
        <v>0</v>
      </c>
      <c r="BH560" s="528">
        <v>0</v>
      </c>
      <c r="BI560" s="528">
        <v>0</v>
      </c>
      <c r="BJ560" s="528">
        <v>0</v>
      </c>
      <c r="BK560" s="528">
        <v>0</v>
      </c>
      <c r="BL560" s="528">
        <v>0</v>
      </c>
      <c r="BM560" s="528">
        <v>0</v>
      </c>
      <c r="BN560" s="528">
        <v>0</v>
      </c>
      <c r="BO560" s="528">
        <v>0</v>
      </c>
      <c r="BP560" s="528">
        <v>0</v>
      </c>
      <c r="BQ560" s="528">
        <v>0</v>
      </c>
      <c r="BR560" s="528">
        <v>0</v>
      </c>
      <c r="BS560" s="528">
        <v>0</v>
      </c>
      <c r="BT560" s="528">
        <v>0</v>
      </c>
      <c r="BU560" s="528">
        <v>0</v>
      </c>
      <c r="BV560" s="528">
        <v>0</v>
      </c>
      <c r="BW560" s="528">
        <v>0</v>
      </c>
      <c r="BX560" s="528">
        <v>0</v>
      </c>
      <c r="BY560" s="528">
        <v>0</v>
      </c>
      <c r="BZ560" s="537"/>
      <c r="CA560" s="537"/>
      <c r="CB560" s="537"/>
    </row>
    <row r="561" spans="1:77" x14ac:dyDescent="0.3">
      <c r="A561" s="648"/>
      <c r="B561" s="648"/>
      <c r="C561" s="648" cm="1">
        <f t="array" ref="C561">SUMPRODUCT((Index_Tab!$D$36:$D$45=$B561)*(Index_Tab!$E$35:$F$35=$B$3)*Index_Tab!$E$36:$F$45)</f>
        <v>0</v>
      </c>
      <c r="D561" s="648"/>
      <c r="E561" s="62" t="s">
        <v>293</v>
      </c>
      <c r="F561" s="579"/>
      <c r="G561" s="579"/>
      <c r="H561" s="537"/>
      <c r="I561" s="535">
        <f t="shared" ref="I561:N561" si="730">I555+SUM(I558:I560)</f>
        <v>2472572.7619290198</v>
      </c>
      <c r="J561" s="535">
        <f t="shared" si="730"/>
        <v>2553641.5887132492</v>
      </c>
      <c r="K561" s="535">
        <f t="shared" si="730"/>
        <v>2663937.2492417572</v>
      </c>
      <c r="L561" s="535">
        <f t="shared" si="730"/>
        <v>2773234.6861338117</v>
      </c>
      <c r="M561" s="535">
        <f t="shared" si="730"/>
        <v>2875965.8011438125</v>
      </c>
      <c r="N561" s="535">
        <f t="shared" si="730"/>
        <v>2977838.8128533629</v>
      </c>
      <c r="O561" s="544"/>
      <c r="P561" s="568">
        <f>IFERROR(((N561/I561)^(1/5))-1,0)</f>
        <v>3.7887833664709714E-2</v>
      </c>
      <c r="Q561" s="537"/>
      <c r="R561" s="535">
        <f t="shared" ref="R561:AW561" si="731">R555+SUM(R558:R560)</f>
        <v>212803.46572610413</v>
      </c>
      <c r="S561" s="535">
        <f t="shared" si="731"/>
        <v>212803.46572610413</v>
      </c>
      <c r="T561" s="535">
        <f t="shared" si="731"/>
        <v>212803.46572610413</v>
      </c>
      <c r="U561" s="535">
        <f t="shared" si="731"/>
        <v>212803.46572610413</v>
      </c>
      <c r="V561" s="535">
        <f t="shared" si="731"/>
        <v>212803.46572610413</v>
      </c>
      <c r="W561" s="535">
        <f t="shared" si="731"/>
        <v>212803.46572610413</v>
      </c>
      <c r="X561" s="535">
        <f t="shared" si="731"/>
        <v>212803.46572610413</v>
      </c>
      <c r="Y561" s="535">
        <f t="shared" si="731"/>
        <v>212803.46572610413</v>
      </c>
      <c r="Z561" s="535">
        <f t="shared" si="731"/>
        <v>212803.46572610413</v>
      </c>
      <c r="AA561" s="535">
        <f t="shared" si="731"/>
        <v>212803.46572610413</v>
      </c>
      <c r="AB561" s="535">
        <f t="shared" si="731"/>
        <v>212803.46572610413</v>
      </c>
      <c r="AC561" s="535">
        <f t="shared" si="731"/>
        <v>212803.46572610413</v>
      </c>
      <c r="AD561" s="535">
        <f t="shared" si="731"/>
        <v>221994.77077014654</v>
      </c>
      <c r="AE561" s="535">
        <f t="shared" si="731"/>
        <v>221994.77077014654</v>
      </c>
      <c r="AF561" s="535">
        <f t="shared" si="731"/>
        <v>221994.77077014654</v>
      </c>
      <c r="AG561" s="535">
        <f t="shared" si="731"/>
        <v>221994.77077014654</v>
      </c>
      <c r="AH561" s="535">
        <f t="shared" si="731"/>
        <v>221994.77077014654</v>
      </c>
      <c r="AI561" s="535">
        <f t="shared" si="731"/>
        <v>221994.77077014654</v>
      </c>
      <c r="AJ561" s="535">
        <f t="shared" si="731"/>
        <v>221994.77077014654</v>
      </c>
      <c r="AK561" s="535">
        <f t="shared" si="731"/>
        <v>221994.77077014654</v>
      </c>
      <c r="AL561" s="535">
        <f t="shared" si="731"/>
        <v>221994.77077014654</v>
      </c>
      <c r="AM561" s="535">
        <f t="shared" si="731"/>
        <v>221994.77077014654</v>
      </c>
      <c r="AN561" s="535">
        <f t="shared" si="731"/>
        <v>221994.77077014654</v>
      </c>
      <c r="AO561" s="535">
        <f t="shared" si="731"/>
        <v>221994.77077014654</v>
      </c>
      <c r="AP561" s="535">
        <f t="shared" si="731"/>
        <v>231102.89051115097</v>
      </c>
      <c r="AQ561" s="535">
        <f t="shared" si="731"/>
        <v>231102.89051115097</v>
      </c>
      <c r="AR561" s="535">
        <f t="shared" si="731"/>
        <v>231102.89051115097</v>
      </c>
      <c r="AS561" s="535">
        <f t="shared" si="731"/>
        <v>231102.89051115097</v>
      </c>
      <c r="AT561" s="535">
        <f t="shared" si="731"/>
        <v>231102.89051115097</v>
      </c>
      <c r="AU561" s="535">
        <f t="shared" si="731"/>
        <v>231102.89051115097</v>
      </c>
      <c r="AV561" s="535">
        <f t="shared" si="731"/>
        <v>231102.89051115097</v>
      </c>
      <c r="AW561" s="535">
        <f t="shared" si="731"/>
        <v>231102.89051115097</v>
      </c>
      <c r="AX561" s="535">
        <f t="shared" ref="AX561:BY561" si="732">AX555+SUM(AX558:AX560)</f>
        <v>231102.89051115097</v>
      </c>
      <c r="AY561" s="535">
        <f t="shared" si="732"/>
        <v>231102.89051115097</v>
      </c>
      <c r="AZ561" s="535">
        <f t="shared" si="732"/>
        <v>231102.89051115097</v>
      </c>
      <c r="BA561" s="535">
        <f t="shared" si="732"/>
        <v>231102.89051115097</v>
      </c>
      <c r="BB561" s="535">
        <f t="shared" si="732"/>
        <v>239663.81676198443</v>
      </c>
      <c r="BC561" s="535">
        <f t="shared" si="732"/>
        <v>239663.81676198443</v>
      </c>
      <c r="BD561" s="535">
        <f t="shared" si="732"/>
        <v>239663.81676198443</v>
      </c>
      <c r="BE561" s="535">
        <f t="shared" si="732"/>
        <v>239663.81676198443</v>
      </c>
      <c r="BF561" s="535">
        <f t="shared" si="732"/>
        <v>239663.81676198443</v>
      </c>
      <c r="BG561" s="535">
        <f t="shared" si="732"/>
        <v>239663.81676198443</v>
      </c>
      <c r="BH561" s="535">
        <f t="shared" si="732"/>
        <v>239663.81676198443</v>
      </c>
      <c r="BI561" s="535">
        <f t="shared" si="732"/>
        <v>239663.81676198443</v>
      </c>
      <c r="BJ561" s="535">
        <f t="shared" si="732"/>
        <v>239663.81676198443</v>
      </c>
      <c r="BK561" s="535">
        <f t="shared" si="732"/>
        <v>239663.81676198443</v>
      </c>
      <c r="BL561" s="535">
        <f t="shared" si="732"/>
        <v>239663.81676198443</v>
      </c>
      <c r="BM561" s="535">
        <f t="shared" si="732"/>
        <v>239663.81676198443</v>
      </c>
      <c r="BN561" s="535">
        <f t="shared" si="732"/>
        <v>248153.23440444694</v>
      </c>
      <c r="BO561" s="535">
        <f t="shared" si="732"/>
        <v>248153.23440444694</v>
      </c>
      <c r="BP561" s="535">
        <f t="shared" si="732"/>
        <v>248153.23440444694</v>
      </c>
      <c r="BQ561" s="535">
        <f t="shared" si="732"/>
        <v>248153.23440444694</v>
      </c>
      <c r="BR561" s="535">
        <f t="shared" si="732"/>
        <v>248153.23440444694</v>
      </c>
      <c r="BS561" s="535">
        <f t="shared" si="732"/>
        <v>248153.23440444694</v>
      </c>
      <c r="BT561" s="535">
        <f t="shared" si="732"/>
        <v>248153.23440444694</v>
      </c>
      <c r="BU561" s="535">
        <f t="shared" si="732"/>
        <v>248153.23440444694</v>
      </c>
      <c r="BV561" s="535">
        <f t="shared" si="732"/>
        <v>248153.23440444694</v>
      </c>
      <c r="BW561" s="535">
        <f t="shared" si="732"/>
        <v>248153.23440444694</v>
      </c>
      <c r="BX561" s="535">
        <f t="shared" si="732"/>
        <v>248153.23440444694</v>
      </c>
      <c r="BY561" s="535">
        <f t="shared" si="732"/>
        <v>248153.23440444694</v>
      </c>
    </row>
    <row r="562" spans="1:77" x14ac:dyDescent="0.3">
      <c r="A562" s="648"/>
      <c r="B562" s="648"/>
      <c r="C562" s="648" cm="1">
        <f t="array" ref="C562">SUMPRODUCT((Index_Tab!$D$36:$D$45=$B562)*(Index_Tab!$E$35:$F$35=$B$3)*Index_Tab!$E$36:$F$45)</f>
        <v>0</v>
      </c>
      <c r="D562" s="648"/>
      <c r="E562" s="2" t="s">
        <v>407</v>
      </c>
      <c r="F562" s="567"/>
      <c r="G562" s="567"/>
      <c r="H562" s="537"/>
      <c r="I562" s="531">
        <f t="shared" ref="I562:N562" si="733">I561/I551</f>
        <v>0.82267032390984052</v>
      </c>
      <c r="J562" s="531">
        <f t="shared" si="733"/>
        <v>0.81588459014047965</v>
      </c>
      <c r="K562" s="531">
        <f t="shared" si="733"/>
        <v>0.81878657300036184</v>
      </c>
      <c r="L562" s="531">
        <f t="shared" si="733"/>
        <v>0.82148580124193959</v>
      </c>
      <c r="M562" s="531">
        <f t="shared" si="733"/>
        <v>0.82376094048002191</v>
      </c>
      <c r="N562" s="531">
        <f t="shared" si="733"/>
        <v>0.82581537280898598</v>
      </c>
      <c r="O562" s="536"/>
      <c r="P562" s="564">
        <f>IFERROR(((N562/I562)^(1/5))-1,0)</f>
        <v>7.6342866189493819E-4</v>
      </c>
      <c r="Q562" s="537"/>
      <c r="R562" s="531">
        <f t="shared" ref="R562:AW562" si="734">R561/R551</f>
        <v>0.81588459014047954</v>
      </c>
      <c r="S562" s="531">
        <f t="shared" si="734"/>
        <v>0.81588459014047954</v>
      </c>
      <c r="T562" s="531">
        <f t="shared" si="734"/>
        <v>0.81588459014047954</v>
      </c>
      <c r="U562" s="531">
        <f t="shared" si="734"/>
        <v>0.81588459014047954</v>
      </c>
      <c r="V562" s="531">
        <f t="shared" si="734"/>
        <v>0.81588459014047954</v>
      </c>
      <c r="W562" s="531">
        <f t="shared" si="734"/>
        <v>0.81588459014047954</v>
      </c>
      <c r="X562" s="531">
        <f t="shared" si="734"/>
        <v>0.81588459014047954</v>
      </c>
      <c r="Y562" s="531">
        <f t="shared" si="734"/>
        <v>0.81588459014047954</v>
      </c>
      <c r="Z562" s="531">
        <f t="shared" si="734"/>
        <v>0.81588459014047954</v>
      </c>
      <c r="AA562" s="531">
        <f t="shared" si="734"/>
        <v>0.81588459014047954</v>
      </c>
      <c r="AB562" s="531">
        <f t="shared" si="734"/>
        <v>0.81588459014047954</v>
      </c>
      <c r="AC562" s="531">
        <f t="shared" si="734"/>
        <v>0.81588459014047954</v>
      </c>
      <c r="AD562" s="531">
        <f t="shared" si="734"/>
        <v>0.81878657300036195</v>
      </c>
      <c r="AE562" s="531">
        <f t="shared" si="734"/>
        <v>0.81878657300036195</v>
      </c>
      <c r="AF562" s="531">
        <f t="shared" si="734"/>
        <v>0.81878657300036195</v>
      </c>
      <c r="AG562" s="531">
        <f t="shared" si="734"/>
        <v>0.81878657300036195</v>
      </c>
      <c r="AH562" s="531">
        <f t="shared" si="734"/>
        <v>0.81878657300036195</v>
      </c>
      <c r="AI562" s="531">
        <f t="shared" si="734"/>
        <v>0.81878657300036195</v>
      </c>
      <c r="AJ562" s="531">
        <f t="shared" si="734"/>
        <v>0.81878657300036195</v>
      </c>
      <c r="AK562" s="531">
        <f t="shared" si="734"/>
        <v>0.81878657300036195</v>
      </c>
      <c r="AL562" s="531">
        <f t="shared" si="734"/>
        <v>0.81878657300036195</v>
      </c>
      <c r="AM562" s="531">
        <f t="shared" si="734"/>
        <v>0.81878657300036195</v>
      </c>
      <c r="AN562" s="531">
        <f t="shared" si="734"/>
        <v>0.81878657300036195</v>
      </c>
      <c r="AO562" s="531">
        <f t="shared" si="734"/>
        <v>0.81878657300036195</v>
      </c>
      <c r="AP562" s="531">
        <f t="shared" si="734"/>
        <v>0.82148580124193959</v>
      </c>
      <c r="AQ562" s="531">
        <f t="shared" si="734"/>
        <v>0.82148580124193959</v>
      </c>
      <c r="AR562" s="531">
        <f t="shared" si="734"/>
        <v>0.82148580124193959</v>
      </c>
      <c r="AS562" s="531">
        <f t="shared" si="734"/>
        <v>0.82148580124193959</v>
      </c>
      <c r="AT562" s="531">
        <f t="shared" si="734"/>
        <v>0.82148580124193959</v>
      </c>
      <c r="AU562" s="531">
        <f t="shared" si="734"/>
        <v>0.82148580124193959</v>
      </c>
      <c r="AV562" s="531">
        <f t="shared" si="734"/>
        <v>0.82148580124193959</v>
      </c>
      <c r="AW562" s="531">
        <f t="shared" si="734"/>
        <v>0.82148580124193959</v>
      </c>
      <c r="AX562" s="531">
        <f t="shared" ref="AX562:BY562" si="735">AX561/AX551</f>
        <v>0.82148580124193959</v>
      </c>
      <c r="AY562" s="531">
        <f t="shared" si="735"/>
        <v>0.82148580124193959</v>
      </c>
      <c r="AZ562" s="531">
        <f t="shared" si="735"/>
        <v>0.82148580124193959</v>
      </c>
      <c r="BA562" s="531">
        <f t="shared" si="735"/>
        <v>0.82148580124193959</v>
      </c>
      <c r="BB562" s="531">
        <f t="shared" si="735"/>
        <v>0.82376094048002191</v>
      </c>
      <c r="BC562" s="531">
        <f t="shared" si="735"/>
        <v>0.82376094048002191</v>
      </c>
      <c r="BD562" s="531">
        <f t="shared" si="735"/>
        <v>0.82376094048002191</v>
      </c>
      <c r="BE562" s="531">
        <f t="shared" si="735"/>
        <v>0.82376094048002191</v>
      </c>
      <c r="BF562" s="531">
        <f t="shared" si="735"/>
        <v>0.82376094048002191</v>
      </c>
      <c r="BG562" s="531">
        <f t="shared" si="735"/>
        <v>0.82376094048002191</v>
      </c>
      <c r="BH562" s="531">
        <f t="shared" si="735"/>
        <v>0.82376094048002191</v>
      </c>
      <c r="BI562" s="531">
        <f t="shared" si="735"/>
        <v>0.82376094048002191</v>
      </c>
      <c r="BJ562" s="531">
        <f t="shared" si="735"/>
        <v>0.82376094048002191</v>
      </c>
      <c r="BK562" s="531">
        <f t="shared" si="735"/>
        <v>0.82376094048002191</v>
      </c>
      <c r="BL562" s="531">
        <f t="shared" si="735"/>
        <v>0.82376094048002191</v>
      </c>
      <c r="BM562" s="531">
        <f t="shared" si="735"/>
        <v>0.82376094048002191</v>
      </c>
      <c r="BN562" s="531">
        <f t="shared" si="735"/>
        <v>0.82581537280898609</v>
      </c>
      <c r="BO562" s="531">
        <f t="shared" si="735"/>
        <v>0.82581537280898609</v>
      </c>
      <c r="BP562" s="531">
        <f t="shared" si="735"/>
        <v>0.82581537280898609</v>
      </c>
      <c r="BQ562" s="531">
        <f t="shared" si="735"/>
        <v>0.82581537280898609</v>
      </c>
      <c r="BR562" s="531">
        <f t="shared" si="735"/>
        <v>0.82581537280898609</v>
      </c>
      <c r="BS562" s="531">
        <f t="shared" si="735"/>
        <v>0.82581537280898609</v>
      </c>
      <c r="BT562" s="531">
        <f t="shared" si="735"/>
        <v>0.82581537280898609</v>
      </c>
      <c r="BU562" s="531">
        <f t="shared" si="735"/>
        <v>0.82581537280898609</v>
      </c>
      <c r="BV562" s="531">
        <f t="shared" si="735"/>
        <v>0.82581537280898609</v>
      </c>
      <c r="BW562" s="531">
        <f t="shared" si="735"/>
        <v>0.82581537280898609</v>
      </c>
      <c r="BX562" s="531">
        <f t="shared" si="735"/>
        <v>0.82581537280898609</v>
      </c>
      <c r="BY562" s="531">
        <f t="shared" si="735"/>
        <v>0.82581537280898609</v>
      </c>
    </row>
    <row r="563" spans="1:77" x14ac:dyDescent="0.3">
      <c r="A563" s="648"/>
      <c r="B563" s="648"/>
      <c r="C563" s="648" cm="1">
        <f t="array" ref="C563">SUMPRODUCT((Index_Tab!$D$36:$D$45=$B563)*(Index_Tab!$E$35:$F$35=$B$3)*Index_Tab!$E$36:$F$45)</f>
        <v>0</v>
      </c>
      <c r="D563" s="648"/>
      <c r="E563" s="525"/>
      <c r="F563" s="567"/>
      <c r="G563" s="567"/>
      <c r="H563" s="537"/>
      <c r="I563" s="544"/>
      <c r="J563" s="544"/>
      <c r="K563" s="544"/>
      <c r="L563" s="544"/>
      <c r="M563" s="544"/>
      <c r="N563" s="544"/>
      <c r="O563" s="529"/>
      <c r="P563" s="564"/>
      <c r="Q563" s="537"/>
      <c r="R563" s="544"/>
      <c r="S563" s="544"/>
      <c r="T563" s="544"/>
      <c r="U563" s="544"/>
      <c r="V563" s="544"/>
      <c r="W563" s="544"/>
      <c r="X563" s="544"/>
      <c r="Y563" s="544"/>
      <c r="Z563" s="544"/>
      <c r="AA563" s="544"/>
      <c r="AB563" s="544"/>
      <c r="AC563" s="544"/>
      <c r="AD563" s="544"/>
      <c r="AE563" s="544"/>
      <c r="AF563" s="544"/>
      <c r="AG563" s="544"/>
      <c r="AH563" s="544"/>
      <c r="AI563" s="544"/>
      <c r="AJ563" s="544"/>
      <c r="AK563" s="544"/>
      <c r="AL563" s="544"/>
      <c r="AM563" s="544"/>
      <c r="AN563" s="544"/>
      <c r="AO563" s="544"/>
      <c r="AP563" s="544"/>
      <c r="AQ563" s="544"/>
      <c r="AR563" s="544"/>
      <c r="AS563" s="544"/>
      <c r="AT563" s="544"/>
      <c r="AU563" s="544"/>
      <c r="AV563" s="544"/>
      <c r="AW563" s="544"/>
      <c r="AX563" s="544"/>
      <c r="AY563" s="544"/>
      <c r="AZ563" s="544"/>
      <c r="BA563" s="544"/>
      <c r="BB563" s="544"/>
      <c r="BC563" s="544"/>
      <c r="BD563" s="544"/>
      <c r="BE563" s="544"/>
      <c r="BF563" s="544"/>
      <c r="BG563" s="544"/>
      <c r="BH563" s="544"/>
      <c r="BI563" s="544"/>
      <c r="BJ563" s="544"/>
      <c r="BK563" s="544"/>
      <c r="BL563" s="544"/>
      <c r="BM563" s="544"/>
      <c r="BN563" s="544"/>
      <c r="BO563" s="544"/>
      <c r="BP563" s="544"/>
      <c r="BQ563" s="544"/>
      <c r="BR563" s="544"/>
      <c r="BS563" s="544"/>
      <c r="BT563" s="544"/>
      <c r="BU563" s="544"/>
      <c r="BV563" s="544"/>
      <c r="BW563" s="544"/>
      <c r="BX563" s="544"/>
      <c r="BY563" s="544"/>
    </row>
    <row r="564" spans="1:77" x14ac:dyDescent="0.3">
      <c r="A564" s="648"/>
      <c r="B564" s="648"/>
      <c r="C564" s="648" cm="1">
        <f t="array" ref="C564">SUMPRODUCT((Index_Tab!$D$36:$D$45=$B564)*(Index_Tab!$E$35:$F$35=$B$3)*Index_Tab!$E$36:$F$45)</f>
        <v>0</v>
      </c>
      <c r="D564" s="648"/>
      <c r="E564" s="525" t="s">
        <v>70</v>
      </c>
      <c r="F564" s="567"/>
      <c r="G564" s="567"/>
      <c r="H564" s="537"/>
      <c r="I564" s="544">
        <v>-20000</v>
      </c>
      <c r="J564" s="528">
        <v>0</v>
      </c>
      <c r="K564" s="528">
        <v>0</v>
      </c>
      <c r="L564" s="528">
        <v>0</v>
      </c>
      <c r="M564" s="528">
        <v>0</v>
      </c>
      <c r="N564" s="528">
        <v>0</v>
      </c>
      <c r="O564" s="529"/>
      <c r="P564" s="564">
        <f>IFERROR(((N564/I564)^(1/5))-1,0)</f>
        <v>-1</v>
      </c>
      <c r="Q564" s="537"/>
      <c r="R564" s="528">
        <v>0</v>
      </c>
      <c r="S564" s="528">
        <v>0</v>
      </c>
      <c r="T564" s="528">
        <v>0</v>
      </c>
      <c r="U564" s="528">
        <v>0</v>
      </c>
      <c r="V564" s="528">
        <v>0</v>
      </c>
      <c r="W564" s="528">
        <v>0</v>
      </c>
      <c r="X564" s="528">
        <v>0</v>
      </c>
      <c r="Y564" s="528">
        <v>0</v>
      </c>
      <c r="Z564" s="528">
        <v>0</v>
      </c>
      <c r="AA564" s="528">
        <v>0</v>
      </c>
      <c r="AB564" s="528">
        <v>0</v>
      </c>
      <c r="AC564" s="528">
        <v>0</v>
      </c>
      <c r="AD564" s="528">
        <v>0</v>
      </c>
      <c r="AE564" s="528">
        <v>0</v>
      </c>
      <c r="AF564" s="528">
        <v>0</v>
      </c>
      <c r="AG564" s="528">
        <v>0</v>
      </c>
      <c r="AH564" s="528">
        <v>0</v>
      </c>
      <c r="AI564" s="528">
        <v>0</v>
      </c>
      <c r="AJ564" s="528">
        <v>0</v>
      </c>
      <c r="AK564" s="528">
        <v>0</v>
      </c>
      <c r="AL564" s="528">
        <v>0</v>
      </c>
      <c r="AM564" s="528">
        <v>0</v>
      </c>
      <c r="AN564" s="528">
        <v>0</v>
      </c>
      <c r="AO564" s="528">
        <v>0</v>
      </c>
      <c r="AP564" s="528">
        <v>0</v>
      </c>
      <c r="AQ564" s="528">
        <v>0</v>
      </c>
      <c r="AR564" s="528">
        <v>0</v>
      </c>
      <c r="AS564" s="528">
        <v>0</v>
      </c>
      <c r="AT564" s="528">
        <v>0</v>
      </c>
      <c r="AU564" s="528">
        <v>0</v>
      </c>
      <c r="AV564" s="528">
        <v>0</v>
      </c>
      <c r="AW564" s="528">
        <v>0</v>
      </c>
      <c r="AX564" s="528">
        <v>0</v>
      </c>
      <c r="AY564" s="528">
        <v>0</v>
      </c>
      <c r="AZ564" s="528">
        <v>0</v>
      </c>
      <c r="BA564" s="528">
        <v>0</v>
      </c>
      <c r="BB564" s="528">
        <v>0</v>
      </c>
      <c r="BC564" s="528">
        <v>0</v>
      </c>
      <c r="BD564" s="528">
        <v>0</v>
      </c>
      <c r="BE564" s="528">
        <v>0</v>
      </c>
      <c r="BF564" s="528">
        <v>0</v>
      </c>
      <c r="BG564" s="528">
        <v>0</v>
      </c>
      <c r="BH564" s="528">
        <v>0</v>
      </c>
      <c r="BI564" s="528">
        <v>0</v>
      </c>
      <c r="BJ564" s="528">
        <v>0</v>
      </c>
      <c r="BK564" s="528">
        <v>0</v>
      </c>
      <c r="BL564" s="528">
        <v>0</v>
      </c>
      <c r="BM564" s="528">
        <v>0</v>
      </c>
      <c r="BN564" s="528">
        <v>0</v>
      </c>
      <c r="BO564" s="528">
        <v>0</v>
      </c>
      <c r="BP564" s="528">
        <v>0</v>
      </c>
      <c r="BQ564" s="528">
        <v>0</v>
      </c>
      <c r="BR564" s="528">
        <v>0</v>
      </c>
      <c r="BS564" s="528">
        <v>0</v>
      </c>
      <c r="BT564" s="528">
        <v>0</v>
      </c>
      <c r="BU564" s="528">
        <v>0</v>
      </c>
      <c r="BV564" s="528">
        <v>0</v>
      </c>
      <c r="BW564" s="528">
        <v>0</v>
      </c>
      <c r="BX564" s="528">
        <v>0</v>
      </c>
      <c r="BY564" s="528">
        <v>0</v>
      </c>
    </row>
    <row r="565" spans="1:77" x14ac:dyDescent="0.3">
      <c r="A565" s="648"/>
      <c r="B565" s="648"/>
      <c r="C565" s="648" cm="1">
        <f t="array" ref="C565">SUMPRODUCT((Index_Tab!$D$36:$D$45=$B565)*(Index_Tab!$E$35:$F$35=$B$3)*Index_Tab!$E$36:$F$45)</f>
        <v>0</v>
      </c>
      <c r="D565" s="648"/>
      <c r="E565" s="525" t="s">
        <v>185</v>
      </c>
      <c r="F565" s="567"/>
      <c r="G565" s="567"/>
      <c r="H565" s="537"/>
      <c r="I565" s="528">
        <v>0</v>
      </c>
      <c r="J565" s="528">
        <v>0</v>
      </c>
      <c r="K565" s="528">
        <v>0</v>
      </c>
      <c r="L565" s="528">
        <v>0</v>
      </c>
      <c r="M565" s="528">
        <v>0</v>
      </c>
      <c r="N565" s="528">
        <v>0</v>
      </c>
      <c r="O565" s="544"/>
      <c r="P565" s="564">
        <f>IFERROR(((N565/I565)^(1/5))-1,0)</f>
        <v>0</v>
      </c>
      <c r="Q565" s="537"/>
      <c r="R565" s="528">
        <v>0</v>
      </c>
      <c r="S565" s="528">
        <v>0</v>
      </c>
      <c r="T565" s="528">
        <v>0</v>
      </c>
      <c r="U565" s="528">
        <v>0</v>
      </c>
      <c r="V565" s="528">
        <v>0</v>
      </c>
      <c r="W565" s="528">
        <v>0</v>
      </c>
      <c r="X565" s="528">
        <v>0</v>
      </c>
      <c r="Y565" s="528">
        <v>0</v>
      </c>
      <c r="Z565" s="528">
        <v>0</v>
      </c>
      <c r="AA565" s="528">
        <v>0</v>
      </c>
      <c r="AB565" s="528">
        <v>0</v>
      </c>
      <c r="AC565" s="528">
        <v>0</v>
      </c>
      <c r="AD565" s="528">
        <v>0</v>
      </c>
      <c r="AE565" s="528">
        <v>0</v>
      </c>
      <c r="AF565" s="528">
        <v>0</v>
      </c>
      <c r="AG565" s="528">
        <v>0</v>
      </c>
      <c r="AH565" s="528">
        <v>0</v>
      </c>
      <c r="AI565" s="528">
        <v>0</v>
      </c>
      <c r="AJ565" s="528">
        <v>0</v>
      </c>
      <c r="AK565" s="528">
        <v>0</v>
      </c>
      <c r="AL565" s="528">
        <v>0</v>
      </c>
      <c r="AM565" s="528">
        <v>0</v>
      </c>
      <c r="AN565" s="528">
        <v>0</v>
      </c>
      <c r="AO565" s="528">
        <v>0</v>
      </c>
      <c r="AP565" s="528">
        <v>0</v>
      </c>
      <c r="AQ565" s="528">
        <v>0</v>
      </c>
      <c r="AR565" s="528">
        <v>0</v>
      </c>
      <c r="AS565" s="528">
        <v>0</v>
      </c>
      <c r="AT565" s="528">
        <v>0</v>
      </c>
      <c r="AU565" s="528">
        <v>0</v>
      </c>
      <c r="AV565" s="528">
        <v>0</v>
      </c>
      <c r="AW565" s="528">
        <v>0</v>
      </c>
      <c r="AX565" s="528">
        <v>0</v>
      </c>
      <c r="AY565" s="528">
        <v>0</v>
      </c>
      <c r="AZ565" s="528">
        <v>0</v>
      </c>
      <c r="BA565" s="528">
        <v>0</v>
      </c>
      <c r="BB565" s="528">
        <v>0</v>
      </c>
      <c r="BC565" s="528">
        <v>0</v>
      </c>
      <c r="BD565" s="528">
        <v>0</v>
      </c>
      <c r="BE565" s="528">
        <v>0</v>
      </c>
      <c r="BF565" s="528">
        <v>0</v>
      </c>
      <c r="BG565" s="528">
        <v>0</v>
      </c>
      <c r="BH565" s="528">
        <v>0</v>
      </c>
      <c r="BI565" s="528">
        <v>0</v>
      </c>
      <c r="BJ565" s="528">
        <v>0</v>
      </c>
      <c r="BK565" s="528">
        <v>0</v>
      </c>
      <c r="BL565" s="528">
        <v>0</v>
      </c>
      <c r="BM565" s="528">
        <v>0</v>
      </c>
      <c r="BN565" s="528">
        <v>0</v>
      </c>
      <c r="BO565" s="528">
        <v>0</v>
      </c>
      <c r="BP565" s="528">
        <v>0</v>
      </c>
      <c r="BQ565" s="528">
        <v>0</v>
      </c>
      <c r="BR565" s="528">
        <v>0</v>
      </c>
      <c r="BS565" s="528">
        <v>0</v>
      </c>
      <c r="BT565" s="528">
        <v>0</v>
      </c>
      <c r="BU565" s="528">
        <v>0</v>
      </c>
      <c r="BV565" s="528">
        <v>0</v>
      </c>
      <c r="BW565" s="528">
        <v>0</v>
      </c>
      <c r="BX565" s="528">
        <v>0</v>
      </c>
      <c r="BY565" s="528">
        <v>0</v>
      </c>
    </row>
    <row r="566" spans="1:77" x14ac:dyDescent="0.3">
      <c r="A566" s="648"/>
      <c r="B566" s="648"/>
      <c r="C566" s="648" cm="1">
        <f t="array" ref="C566">SUMPRODUCT((Index_Tab!$D$36:$D$45=$B566)*(Index_Tab!$E$35:$F$35=$B$3)*Index_Tab!$E$36:$F$45)</f>
        <v>0</v>
      </c>
      <c r="D566" s="648"/>
      <c r="E566" s="525" t="s">
        <v>370</v>
      </c>
      <c r="F566" s="567"/>
      <c r="G566" s="567"/>
      <c r="H566" s="537"/>
      <c r="I566" s="580">
        <v>0</v>
      </c>
      <c r="J566" s="528">
        <v>0</v>
      </c>
      <c r="K566" s="528">
        <v>0</v>
      </c>
      <c r="L566" s="528">
        <v>0</v>
      </c>
      <c r="M566" s="528">
        <v>0</v>
      </c>
      <c r="N566" s="528">
        <v>0</v>
      </c>
      <c r="O566" s="544"/>
      <c r="P566" s="564">
        <f>IFERROR(((N566/I566)^(1/5))-1,0)</f>
        <v>0</v>
      </c>
      <c r="Q566" s="537"/>
      <c r="R566" s="528">
        <v>0</v>
      </c>
      <c r="S566" s="528">
        <v>0</v>
      </c>
      <c r="T566" s="528">
        <v>0</v>
      </c>
      <c r="U566" s="528">
        <v>0</v>
      </c>
      <c r="V566" s="528">
        <v>0</v>
      </c>
      <c r="W566" s="528">
        <v>0</v>
      </c>
      <c r="X566" s="528">
        <v>0</v>
      </c>
      <c r="Y566" s="528">
        <v>0</v>
      </c>
      <c r="Z566" s="528">
        <v>0</v>
      </c>
      <c r="AA566" s="528">
        <v>0</v>
      </c>
      <c r="AB566" s="528">
        <v>0</v>
      </c>
      <c r="AC566" s="528">
        <v>0</v>
      </c>
      <c r="AD566" s="528">
        <v>0</v>
      </c>
      <c r="AE566" s="528">
        <v>0</v>
      </c>
      <c r="AF566" s="528">
        <v>0</v>
      </c>
      <c r="AG566" s="528">
        <v>0</v>
      </c>
      <c r="AH566" s="528">
        <v>0</v>
      </c>
      <c r="AI566" s="528">
        <v>0</v>
      </c>
      <c r="AJ566" s="528">
        <v>0</v>
      </c>
      <c r="AK566" s="528">
        <v>0</v>
      </c>
      <c r="AL566" s="528">
        <v>0</v>
      </c>
      <c r="AM566" s="528">
        <v>0</v>
      </c>
      <c r="AN566" s="528">
        <v>0</v>
      </c>
      <c r="AO566" s="528">
        <v>0</v>
      </c>
      <c r="AP566" s="528">
        <v>0</v>
      </c>
      <c r="AQ566" s="528">
        <v>0</v>
      </c>
      <c r="AR566" s="528">
        <v>0</v>
      </c>
      <c r="AS566" s="528">
        <v>0</v>
      </c>
      <c r="AT566" s="528">
        <v>0</v>
      </c>
      <c r="AU566" s="528">
        <v>0</v>
      </c>
      <c r="AV566" s="528">
        <v>0</v>
      </c>
      <c r="AW566" s="528">
        <v>0</v>
      </c>
      <c r="AX566" s="528">
        <v>0</v>
      </c>
      <c r="AY566" s="528">
        <v>0</v>
      </c>
      <c r="AZ566" s="528">
        <v>0</v>
      </c>
      <c r="BA566" s="528">
        <v>0</v>
      </c>
      <c r="BB566" s="528">
        <v>0</v>
      </c>
      <c r="BC566" s="528">
        <v>0</v>
      </c>
      <c r="BD566" s="528">
        <v>0</v>
      </c>
      <c r="BE566" s="528">
        <v>0</v>
      </c>
      <c r="BF566" s="528">
        <v>0</v>
      </c>
      <c r="BG566" s="528">
        <v>0</v>
      </c>
      <c r="BH566" s="528">
        <v>0</v>
      </c>
      <c r="BI566" s="528">
        <v>0</v>
      </c>
      <c r="BJ566" s="528">
        <v>0</v>
      </c>
      <c r="BK566" s="528">
        <v>0</v>
      </c>
      <c r="BL566" s="528">
        <v>0</v>
      </c>
      <c r="BM566" s="528">
        <v>0</v>
      </c>
      <c r="BN566" s="528">
        <v>0</v>
      </c>
      <c r="BO566" s="528">
        <v>0</v>
      </c>
      <c r="BP566" s="528">
        <v>0</v>
      </c>
      <c r="BQ566" s="528">
        <v>0</v>
      </c>
      <c r="BR566" s="528">
        <v>0</v>
      </c>
      <c r="BS566" s="528">
        <v>0</v>
      </c>
      <c r="BT566" s="528">
        <v>0</v>
      </c>
      <c r="BU566" s="528">
        <v>0</v>
      </c>
      <c r="BV566" s="528">
        <v>0</v>
      </c>
      <c r="BW566" s="528">
        <v>0</v>
      </c>
      <c r="BX566" s="528">
        <v>0</v>
      </c>
      <c r="BY566" s="528">
        <v>0</v>
      </c>
    </row>
    <row r="567" spans="1:77" x14ac:dyDescent="0.3">
      <c r="A567" s="648"/>
      <c r="B567" s="648"/>
      <c r="C567" s="648" cm="1">
        <f t="array" ref="C567">SUMPRODUCT((Index_Tab!$D$36:$D$45=$B567)*(Index_Tab!$E$35:$F$35=$B$3)*Index_Tab!$E$36:$F$45)</f>
        <v>0</v>
      </c>
      <c r="D567" s="648"/>
      <c r="E567" s="578" t="s">
        <v>71</v>
      </c>
      <c r="F567" s="579"/>
      <c r="G567" s="579"/>
      <c r="H567" s="537"/>
      <c r="I567" s="535">
        <f t="shared" ref="I567:N567" si="736">I561+SUM(I564:I566)</f>
        <v>2452572.7619290198</v>
      </c>
      <c r="J567" s="535">
        <f t="shared" si="736"/>
        <v>2553641.5887132492</v>
      </c>
      <c r="K567" s="535">
        <f t="shared" si="736"/>
        <v>2663937.2492417572</v>
      </c>
      <c r="L567" s="535">
        <f t="shared" si="736"/>
        <v>2773234.6861338117</v>
      </c>
      <c r="M567" s="535">
        <f t="shared" si="736"/>
        <v>2875965.8011438125</v>
      </c>
      <c r="N567" s="535">
        <f t="shared" si="736"/>
        <v>2977838.8128533629</v>
      </c>
      <c r="O567" s="544"/>
      <c r="P567" s="568">
        <f>IFERROR(((N567/I567)^(1/5))-1,0)</f>
        <v>3.9575072231224695E-2</v>
      </c>
      <c r="Q567" s="537"/>
      <c r="R567" s="535">
        <f>R561+SUM(R564:R566)</f>
        <v>212803.46572610413</v>
      </c>
      <c r="S567" s="535">
        <f t="shared" ref="S567:BY567" si="737">S561+SUM(S564:S566)</f>
        <v>212803.46572610413</v>
      </c>
      <c r="T567" s="535">
        <f t="shared" si="737"/>
        <v>212803.46572610413</v>
      </c>
      <c r="U567" s="535">
        <f t="shared" si="737"/>
        <v>212803.46572610413</v>
      </c>
      <c r="V567" s="535">
        <f t="shared" si="737"/>
        <v>212803.46572610413</v>
      </c>
      <c r="W567" s="535">
        <f t="shared" si="737"/>
        <v>212803.46572610413</v>
      </c>
      <c r="X567" s="535">
        <f t="shared" si="737"/>
        <v>212803.46572610413</v>
      </c>
      <c r="Y567" s="535">
        <f t="shared" si="737"/>
        <v>212803.46572610413</v>
      </c>
      <c r="Z567" s="535">
        <f t="shared" si="737"/>
        <v>212803.46572610413</v>
      </c>
      <c r="AA567" s="535">
        <f t="shared" si="737"/>
        <v>212803.46572610413</v>
      </c>
      <c r="AB567" s="535">
        <f t="shared" si="737"/>
        <v>212803.46572610413</v>
      </c>
      <c r="AC567" s="535">
        <f t="shared" si="737"/>
        <v>212803.46572610413</v>
      </c>
      <c r="AD567" s="535">
        <f t="shared" si="737"/>
        <v>221994.77077014654</v>
      </c>
      <c r="AE567" s="535">
        <f t="shared" si="737"/>
        <v>221994.77077014654</v>
      </c>
      <c r="AF567" s="535">
        <f t="shared" si="737"/>
        <v>221994.77077014654</v>
      </c>
      <c r="AG567" s="535">
        <f t="shared" si="737"/>
        <v>221994.77077014654</v>
      </c>
      <c r="AH567" s="535">
        <f t="shared" si="737"/>
        <v>221994.77077014654</v>
      </c>
      <c r="AI567" s="535">
        <f t="shared" si="737"/>
        <v>221994.77077014654</v>
      </c>
      <c r="AJ567" s="535">
        <f t="shared" si="737"/>
        <v>221994.77077014654</v>
      </c>
      <c r="AK567" s="535">
        <f t="shared" si="737"/>
        <v>221994.77077014654</v>
      </c>
      <c r="AL567" s="535">
        <f t="shared" si="737"/>
        <v>221994.77077014654</v>
      </c>
      <c r="AM567" s="535">
        <f t="shared" si="737"/>
        <v>221994.77077014654</v>
      </c>
      <c r="AN567" s="535">
        <f t="shared" si="737"/>
        <v>221994.77077014654</v>
      </c>
      <c r="AO567" s="535">
        <f t="shared" si="737"/>
        <v>221994.77077014654</v>
      </c>
      <c r="AP567" s="535">
        <f t="shared" si="737"/>
        <v>231102.89051115097</v>
      </c>
      <c r="AQ567" s="535">
        <f t="shared" si="737"/>
        <v>231102.89051115097</v>
      </c>
      <c r="AR567" s="535">
        <f t="shared" si="737"/>
        <v>231102.89051115097</v>
      </c>
      <c r="AS567" s="535">
        <f t="shared" si="737"/>
        <v>231102.89051115097</v>
      </c>
      <c r="AT567" s="535">
        <f t="shared" si="737"/>
        <v>231102.89051115097</v>
      </c>
      <c r="AU567" s="535">
        <f t="shared" si="737"/>
        <v>231102.89051115097</v>
      </c>
      <c r="AV567" s="535">
        <f t="shared" si="737"/>
        <v>231102.89051115097</v>
      </c>
      <c r="AW567" s="535">
        <f t="shared" si="737"/>
        <v>231102.89051115097</v>
      </c>
      <c r="AX567" s="535">
        <f t="shared" si="737"/>
        <v>231102.89051115097</v>
      </c>
      <c r="AY567" s="535">
        <f t="shared" si="737"/>
        <v>231102.89051115097</v>
      </c>
      <c r="AZ567" s="535">
        <f t="shared" si="737"/>
        <v>231102.89051115097</v>
      </c>
      <c r="BA567" s="535">
        <f t="shared" si="737"/>
        <v>231102.89051115097</v>
      </c>
      <c r="BB567" s="535">
        <f t="shared" si="737"/>
        <v>239663.81676198443</v>
      </c>
      <c r="BC567" s="535">
        <f t="shared" si="737"/>
        <v>239663.81676198443</v>
      </c>
      <c r="BD567" s="535">
        <f t="shared" si="737"/>
        <v>239663.81676198443</v>
      </c>
      <c r="BE567" s="535">
        <f t="shared" si="737"/>
        <v>239663.81676198443</v>
      </c>
      <c r="BF567" s="535">
        <f t="shared" si="737"/>
        <v>239663.81676198443</v>
      </c>
      <c r="BG567" s="535">
        <f t="shared" si="737"/>
        <v>239663.81676198443</v>
      </c>
      <c r="BH567" s="535">
        <f t="shared" si="737"/>
        <v>239663.81676198443</v>
      </c>
      <c r="BI567" s="535">
        <f t="shared" si="737"/>
        <v>239663.81676198443</v>
      </c>
      <c r="BJ567" s="535">
        <f t="shared" si="737"/>
        <v>239663.81676198443</v>
      </c>
      <c r="BK567" s="535">
        <f t="shared" si="737"/>
        <v>239663.81676198443</v>
      </c>
      <c r="BL567" s="535">
        <f t="shared" si="737"/>
        <v>239663.81676198443</v>
      </c>
      <c r="BM567" s="535">
        <f t="shared" si="737"/>
        <v>239663.81676198443</v>
      </c>
      <c r="BN567" s="535">
        <f t="shared" si="737"/>
        <v>248153.23440444694</v>
      </c>
      <c r="BO567" s="535">
        <f t="shared" si="737"/>
        <v>248153.23440444694</v>
      </c>
      <c r="BP567" s="535">
        <f t="shared" si="737"/>
        <v>248153.23440444694</v>
      </c>
      <c r="BQ567" s="535">
        <f t="shared" si="737"/>
        <v>248153.23440444694</v>
      </c>
      <c r="BR567" s="535">
        <f t="shared" si="737"/>
        <v>248153.23440444694</v>
      </c>
      <c r="BS567" s="535">
        <f t="shared" si="737"/>
        <v>248153.23440444694</v>
      </c>
      <c r="BT567" s="535">
        <f t="shared" si="737"/>
        <v>248153.23440444694</v>
      </c>
      <c r="BU567" s="535">
        <f t="shared" si="737"/>
        <v>248153.23440444694</v>
      </c>
      <c r="BV567" s="535">
        <f t="shared" si="737"/>
        <v>248153.23440444694</v>
      </c>
      <c r="BW567" s="535">
        <f t="shared" si="737"/>
        <v>248153.23440444694</v>
      </c>
      <c r="BX567" s="535">
        <f t="shared" si="737"/>
        <v>248153.23440444694</v>
      </c>
      <c r="BY567" s="535">
        <f t="shared" si="737"/>
        <v>248153.23440444694</v>
      </c>
    </row>
    <row r="568" spans="1:77" x14ac:dyDescent="0.3">
      <c r="A568" s="648"/>
      <c r="B568" s="648"/>
      <c r="C568" s="648"/>
      <c r="D568" s="648"/>
      <c r="E568" s="537"/>
      <c r="F568" s="537"/>
      <c r="G568" s="537"/>
      <c r="H568" s="537"/>
      <c r="I568" s="537"/>
      <c r="J568" s="537"/>
      <c r="K568" s="537"/>
      <c r="L568" s="537"/>
      <c r="M568" s="537"/>
      <c r="N568" s="537"/>
      <c r="O568" s="537"/>
      <c r="P568" s="665"/>
      <c r="Q568" s="537"/>
      <c r="R568" s="537"/>
      <c r="S568" s="537"/>
      <c r="T568" s="537"/>
      <c r="U568" s="537"/>
      <c r="V568" s="537"/>
      <c r="W568" s="537"/>
      <c r="X568" s="537"/>
      <c r="Y568" s="537"/>
      <c r="Z568" s="537"/>
      <c r="AA568" s="537"/>
      <c r="AB568" s="537"/>
      <c r="AC568" s="537"/>
      <c r="AD568" s="537"/>
      <c r="AE568" s="537"/>
      <c r="AF568" s="537"/>
      <c r="AG568" s="537"/>
      <c r="AH568" s="537"/>
      <c r="AI568" s="537"/>
      <c r="AJ568" s="537"/>
      <c r="AK568" s="537"/>
      <c r="AL568" s="537"/>
      <c r="AM568" s="537"/>
      <c r="AN568" s="537"/>
      <c r="AO568" s="537"/>
      <c r="AP568" s="537"/>
      <c r="AQ568" s="537"/>
      <c r="AR568" s="537"/>
      <c r="AS568" s="537"/>
      <c r="AT568" s="537"/>
      <c r="AU568" s="537"/>
      <c r="AV568" s="537"/>
      <c r="AW568" s="537"/>
      <c r="AX568" s="537"/>
      <c r="AY568" s="537"/>
      <c r="AZ568" s="537"/>
      <c r="BA568" s="537"/>
      <c r="BB568" s="537"/>
      <c r="BC568" s="537"/>
      <c r="BD568" s="537"/>
      <c r="BE568" s="537"/>
      <c r="BF568" s="537"/>
      <c r="BG568" s="537"/>
      <c r="BH568" s="537"/>
      <c r="BI568" s="537"/>
      <c r="BJ568" s="537"/>
      <c r="BK568" s="537"/>
      <c r="BL568" s="537"/>
      <c r="BM568" s="537"/>
      <c r="BN568" s="537"/>
      <c r="BO568" s="537"/>
      <c r="BP568" s="537"/>
      <c r="BQ568" s="537"/>
      <c r="BR568" s="537"/>
      <c r="BS568" s="537"/>
      <c r="BT568" s="537"/>
      <c r="BU568" s="537"/>
      <c r="BV568" s="537"/>
      <c r="BW568" s="537"/>
      <c r="BX568" s="537"/>
      <c r="BY568" s="537"/>
    </row>
    <row r="569" spans="1:77" x14ac:dyDescent="0.3">
      <c r="A569" s="551"/>
      <c r="B569" s="522"/>
      <c r="C569" s="522"/>
      <c r="D569" s="522"/>
      <c r="E569" s="537"/>
      <c r="F569" s="537"/>
      <c r="G569" s="537"/>
      <c r="H569" s="529"/>
      <c r="I569" s="603"/>
      <c r="J569" s="603"/>
      <c r="K569" s="603"/>
      <c r="L569" s="603"/>
      <c r="M569" s="603"/>
      <c r="N569" s="603"/>
      <c r="O569" s="546"/>
      <c r="P569" s="564"/>
      <c r="Q569" s="537"/>
      <c r="R569" s="537"/>
      <c r="S569" s="537"/>
      <c r="T569" s="537"/>
      <c r="U569" s="537"/>
      <c r="V569" s="537"/>
      <c r="W569" s="537"/>
      <c r="X569" s="537"/>
      <c r="Y569" s="537"/>
      <c r="Z569" s="537"/>
      <c r="AA569" s="537"/>
      <c r="AB569" s="537"/>
      <c r="AC569" s="537"/>
      <c r="AD569" s="537"/>
      <c r="AE569" s="537"/>
      <c r="AF569" s="537"/>
      <c r="AG569" s="537"/>
      <c r="AH569" s="537"/>
      <c r="AI569" s="537"/>
      <c r="AJ569" s="537"/>
      <c r="AK569" s="537"/>
      <c r="AL569" s="537"/>
      <c r="AM569" s="537"/>
      <c r="AN569" s="537"/>
      <c r="AO569" s="537"/>
      <c r="AP569" s="537"/>
      <c r="AQ569" s="537"/>
      <c r="AR569" s="537"/>
      <c r="AS569" s="537"/>
      <c r="AT569" s="537"/>
      <c r="AU569" s="537"/>
      <c r="AV569" s="537"/>
      <c r="AW569" s="537"/>
      <c r="AX569" s="537"/>
      <c r="AY569" s="537"/>
      <c r="AZ569" s="537"/>
      <c r="BA569" s="537"/>
      <c r="BB569" s="537"/>
      <c r="BC569" s="537"/>
      <c r="BD569" s="537"/>
      <c r="BE569" s="537"/>
      <c r="BF569" s="537"/>
      <c r="BG569" s="537"/>
      <c r="BH569" s="537"/>
      <c r="BI569" s="537"/>
      <c r="BJ569" s="537"/>
      <c r="BK569" s="537"/>
      <c r="BL569" s="537"/>
      <c r="BM569" s="537"/>
      <c r="BN569" s="537"/>
      <c r="BO569" s="537"/>
      <c r="BP569" s="537"/>
      <c r="BQ569" s="537"/>
      <c r="BR569" s="537"/>
      <c r="BS569" s="537"/>
      <c r="BT569" s="537"/>
      <c r="BU569" s="537"/>
      <c r="BV569" s="537"/>
      <c r="BW569" s="537"/>
      <c r="BX569" s="537"/>
      <c r="BY569" s="537"/>
    </row>
    <row r="570" spans="1:77" x14ac:dyDescent="0.3">
      <c r="A570" s="551"/>
      <c r="B570" s="522"/>
      <c r="C570" s="522"/>
      <c r="D570" s="522"/>
      <c r="E570" s="538" t="s">
        <v>119</v>
      </c>
      <c r="F570" s="538"/>
      <c r="G570" s="538"/>
      <c r="H570" s="529"/>
      <c r="I570" s="538"/>
      <c r="J570" s="538"/>
      <c r="K570" s="538"/>
      <c r="L570" s="538"/>
      <c r="M570" s="538"/>
      <c r="N570" s="538"/>
      <c r="O570" s="538"/>
      <c r="P570" s="666"/>
      <c r="Q570" s="584"/>
      <c r="R570" s="538"/>
      <c r="S570" s="538"/>
      <c r="T570" s="538"/>
      <c r="U570" s="538"/>
      <c r="V570" s="538"/>
      <c r="W570" s="538"/>
      <c r="X570" s="538"/>
      <c r="Y570" s="538"/>
      <c r="Z570" s="538"/>
      <c r="AA570" s="538"/>
      <c r="AB570" s="538"/>
      <c r="AC570" s="538"/>
      <c r="AD570" s="538"/>
      <c r="AE570" s="538"/>
      <c r="AF570" s="538"/>
      <c r="AG570" s="538"/>
      <c r="AH570" s="538"/>
      <c r="AI570" s="538"/>
      <c r="AJ570" s="538"/>
      <c r="AK570" s="538"/>
      <c r="AL570" s="538"/>
      <c r="AM570" s="538"/>
      <c r="AN570" s="538"/>
      <c r="AO570" s="538"/>
      <c r="AP570" s="538"/>
      <c r="AQ570" s="538"/>
      <c r="AR570" s="538"/>
      <c r="AS570" s="538"/>
      <c r="AT570" s="538"/>
      <c r="AU570" s="538"/>
      <c r="AV570" s="538"/>
      <c r="AW570" s="538"/>
      <c r="AX570" s="538"/>
      <c r="AY570" s="538"/>
      <c r="AZ570" s="538"/>
      <c r="BA570" s="538"/>
      <c r="BB570" s="538"/>
      <c r="BC570" s="538"/>
      <c r="BD570" s="538"/>
      <c r="BE570" s="538"/>
      <c r="BF570" s="538"/>
      <c r="BG570" s="538"/>
      <c r="BH570" s="538"/>
      <c r="BI570" s="538"/>
      <c r="BJ570" s="538"/>
      <c r="BK570" s="538"/>
      <c r="BL570" s="538"/>
      <c r="BM570" s="538"/>
      <c r="BN570" s="538"/>
      <c r="BO570" s="538"/>
      <c r="BP570" s="538"/>
      <c r="BQ570" s="538"/>
      <c r="BR570" s="538"/>
      <c r="BS570" s="538"/>
      <c r="BT570" s="538"/>
      <c r="BU570" s="538"/>
      <c r="BV570" s="538"/>
      <c r="BW570" s="538"/>
      <c r="BX570" s="538"/>
      <c r="BY570" s="538"/>
    </row>
    <row r="571" spans="1:77" x14ac:dyDescent="0.3">
      <c r="A571" s="537"/>
      <c r="B571" s="522"/>
      <c r="C571" s="522"/>
      <c r="D571" s="522"/>
      <c r="E571" s="537" t="s">
        <v>57</v>
      </c>
      <c r="F571" s="537"/>
      <c r="G571" s="537"/>
      <c r="H571" s="529"/>
      <c r="I571" s="545">
        <f>INDEX(Portfolio_Categorisation!$E$12:$E$15,MATCH($B$2,Portfolio_Categorisation!$C$12:$C$15,0))</f>
        <v>31</v>
      </c>
      <c r="J571" s="545">
        <f>INDEX(Portfolio_Categorisation!$E$12:$E$15,MATCH($B$2,Portfolio_Categorisation!$C$12:$C$15,0))</f>
        <v>31</v>
      </c>
      <c r="K571" s="545">
        <f>INDEX(Portfolio_Categorisation!$E$12:$E$15,MATCH($B$2,Portfolio_Categorisation!$C$12:$C$15,0))</f>
        <v>31</v>
      </c>
      <c r="L571" s="545">
        <f>INDEX(Portfolio_Categorisation!$E$12:$E$15,MATCH($B$2,Portfolio_Categorisation!$C$12:$C$15,0))</f>
        <v>31</v>
      </c>
      <c r="M571" s="545">
        <f>INDEX(Portfolio_Categorisation!$E$12:$E$15,MATCH($B$2,Portfolio_Categorisation!$C$12:$C$15,0))</f>
        <v>31</v>
      </c>
      <c r="N571" s="545">
        <f>INDEX(Portfolio_Categorisation!$E$12:$E$15,MATCH($B$2,Portfolio_Categorisation!$C$12:$C$15,0))</f>
        <v>31</v>
      </c>
      <c r="O571" s="574"/>
      <c r="P571" s="568">
        <f>IFERROR(((N571/I571)^(1/5))-1,0)</f>
        <v>0</v>
      </c>
      <c r="Q571" s="537"/>
      <c r="R571" s="545">
        <f>INDEX(Portfolio_Categorisation!$E$12:$E$15,MATCH($B$2,Portfolio_Categorisation!$C$12:$C$15,0))</f>
        <v>31</v>
      </c>
      <c r="S571" s="545">
        <f>INDEX(Portfolio_Categorisation!$E$12:$E$15,MATCH($B$2,Portfolio_Categorisation!$C$12:$C$15,0))</f>
        <v>31</v>
      </c>
      <c r="T571" s="545">
        <f>INDEX(Portfolio_Categorisation!$E$12:$E$15,MATCH($B$2,Portfolio_Categorisation!$C$12:$C$15,0))</f>
        <v>31</v>
      </c>
      <c r="U571" s="545">
        <f>INDEX(Portfolio_Categorisation!$E$12:$E$15,MATCH($B$2,Portfolio_Categorisation!$C$12:$C$15,0))</f>
        <v>31</v>
      </c>
      <c r="V571" s="545">
        <f>INDEX(Portfolio_Categorisation!$E$12:$E$15,MATCH($B$2,Portfolio_Categorisation!$C$12:$C$15,0))</f>
        <v>31</v>
      </c>
      <c r="W571" s="545">
        <f>INDEX(Portfolio_Categorisation!$E$12:$E$15,MATCH($B$2,Portfolio_Categorisation!$C$12:$C$15,0))</f>
        <v>31</v>
      </c>
      <c r="X571" s="545">
        <f>INDEX(Portfolio_Categorisation!$E$12:$E$15,MATCH($B$2,Portfolio_Categorisation!$C$12:$C$15,0))</f>
        <v>31</v>
      </c>
      <c r="Y571" s="545">
        <f>INDEX(Portfolio_Categorisation!$E$12:$E$15,MATCH($B$2,Portfolio_Categorisation!$C$12:$C$15,0))</f>
        <v>31</v>
      </c>
      <c r="Z571" s="545">
        <f>INDEX(Portfolio_Categorisation!$E$12:$E$15,MATCH($B$2,Portfolio_Categorisation!$C$12:$C$15,0))</f>
        <v>31</v>
      </c>
      <c r="AA571" s="545">
        <f>INDEX(Portfolio_Categorisation!$E$12:$E$15,MATCH($B$2,Portfolio_Categorisation!$C$12:$C$15,0))</f>
        <v>31</v>
      </c>
      <c r="AB571" s="545">
        <f>INDEX(Portfolio_Categorisation!$E$12:$E$15,MATCH($B$2,Portfolio_Categorisation!$C$12:$C$15,0))</f>
        <v>31</v>
      </c>
      <c r="AC571" s="545">
        <f>INDEX(Portfolio_Categorisation!$E$12:$E$15,MATCH($B$2,Portfolio_Categorisation!$C$12:$C$15,0))</f>
        <v>31</v>
      </c>
      <c r="AD571" s="545">
        <f>INDEX(Portfolio_Categorisation!$E$12:$E$15,MATCH($B$2,Portfolio_Categorisation!$C$12:$C$15,0))</f>
        <v>31</v>
      </c>
      <c r="AE571" s="545">
        <f>INDEX(Portfolio_Categorisation!$E$12:$E$15,MATCH($B$2,Portfolio_Categorisation!$C$12:$C$15,0))</f>
        <v>31</v>
      </c>
      <c r="AF571" s="545">
        <f>INDEX(Portfolio_Categorisation!$E$12:$E$15,MATCH($B$2,Portfolio_Categorisation!$C$12:$C$15,0))</f>
        <v>31</v>
      </c>
      <c r="AG571" s="545">
        <f>INDEX(Portfolio_Categorisation!$E$12:$E$15,MATCH($B$2,Portfolio_Categorisation!$C$12:$C$15,0))</f>
        <v>31</v>
      </c>
      <c r="AH571" s="545">
        <f>INDEX(Portfolio_Categorisation!$E$12:$E$15,MATCH($B$2,Portfolio_Categorisation!$C$12:$C$15,0))</f>
        <v>31</v>
      </c>
      <c r="AI571" s="545">
        <f>INDEX(Portfolio_Categorisation!$E$12:$E$15,MATCH($B$2,Portfolio_Categorisation!$C$12:$C$15,0))</f>
        <v>31</v>
      </c>
      <c r="AJ571" s="545">
        <f>INDEX(Portfolio_Categorisation!$E$12:$E$15,MATCH($B$2,Portfolio_Categorisation!$C$12:$C$15,0))</f>
        <v>31</v>
      </c>
      <c r="AK571" s="545">
        <f>INDEX(Portfolio_Categorisation!$E$12:$E$15,MATCH($B$2,Portfolio_Categorisation!$C$12:$C$15,0))</f>
        <v>31</v>
      </c>
      <c r="AL571" s="545">
        <f>INDEX(Portfolio_Categorisation!$E$12:$E$15,MATCH($B$2,Portfolio_Categorisation!$C$12:$C$15,0))</f>
        <v>31</v>
      </c>
      <c r="AM571" s="545">
        <f>INDEX(Portfolio_Categorisation!$E$12:$E$15,MATCH($B$2,Portfolio_Categorisation!$C$12:$C$15,0))</f>
        <v>31</v>
      </c>
      <c r="AN571" s="545">
        <f>INDEX(Portfolio_Categorisation!$E$12:$E$15,MATCH($B$2,Portfolio_Categorisation!$C$12:$C$15,0))</f>
        <v>31</v>
      </c>
      <c r="AO571" s="545">
        <f>INDEX(Portfolio_Categorisation!$E$12:$E$15,MATCH($B$2,Portfolio_Categorisation!$C$12:$C$15,0))</f>
        <v>31</v>
      </c>
      <c r="AP571" s="545">
        <f>INDEX(Portfolio_Categorisation!$E$12:$E$15,MATCH($B$2,Portfolio_Categorisation!$C$12:$C$15,0))</f>
        <v>31</v>
      </c>
      <c r="AQ571" s="545">
        <f>INDEX(Portfolio_Categorisation!$E$12:$E$15,MATCH($B$2,Portfolio_Categorisation!$C$12:$C$15,0))</f>
        <v>31</v>
      </c>
      <c r="AR571" s="545">
        <f>INDEX(Portfolio_Categorisation!$E$12:$E$15,MATCH($B$2,Portfolio_Categorisation!$C$12:$C$15,0))</f>
        <v>31</v>
      </c>
      <c r="AS571" s="545">
        <f>INDEX(Portfolio_Categorisation!$E$12:$E$15,MATCH($B$2,Portfolio_Categorisation!$C$12:$C$15,0))</f>
        <v>31</v>
      </c>
      <c r="AT571" s="545">
        <f>INDEX(Portfolio_Categorisation!$E$12:$E$15,MATCH($B$2,Portfolio_Categorisation!$C$12:$C$15,0))</f>
        <v>31</v>
      </c>
      <c r="AU571" s="545">
        <f>INDEX(Portfolio_Categorisation!$E$12:$E$15,MATCH($B$2,Portfolio_Categorisation!$C$12:$C$15,0))</f>
        <v>31</v>
      </c>
      <c r="AV571" s="545">
        <f>INDEX(Portfolio_Categorisation!$E$12:$E$15,MATCH($B$2,Portfolio_Categorisation!$C$12:$C$15,0))</f>
        <v>31</v>
      </c>
      <c r="AW571" s="545">
        <f>INDEX(Portfolio_Categorisation!$E$12:$E$15,MATCH($B$2,Portfolio_Categorisation!$C$12:$C$15,0))</f>
        <v>31</v>
      </c>
      <c r="AX571" s="545">
        <f>INDEX(Portfolio_Categorisation!$E$12:$E$15,MATCH($B$2,Portfolio_Categorisation!$C$12:$C$15,0))</f>
        <v>31</v>
      </c>
      <c r="AY571" s="545">
        <f>INDEX(Portfolio_Categorisation!$E$12:$E$15,MATCH($B$2,Portfolio_Categorisation!$C$12:$C$15,0))</f>
        <v>31</v>
      </c>
      <c r="AZ571" s="545">
        <f>INDEX(Portfolio_Categorisation!$E$12:$E$15,MATCH($B$2,Portfolio_Categorisation!$C$12:$C$15,0))</f>
        <v>31</v>
      </c>
      <c r="BA571" s="545">
        <f>INDEX(Portfolio_Categorisation!$E$12:$E$15,MATCH($B$2,Portfolio_Categorisation!$C$12:$C$15,0))</f>
        <v>31</v>
      </c>
      <c r="BB571" s="545">
        <f>INDEX(Portfolio_Categorisation!$E$12:$E$15,MATCH($B$2,Portfolio_Categorisation!$C$12:$C$15,0))</f>
        <v>31</v>
      </c>
      <c r="BC571" s="545">
        <f>INDEX(Portfolio_Categorisation!$E$12:$E$15,MATCH($B$2,Portfolio_Categorisation!$C$12:$C$15,0))</f>
        <v>31</v>
      </c>
      <c r="BD571" s="545">
        <f>INDEX(Portfolio_Categorisation!$E$12:$E$15,MATCH($B$2,Portfolio_Categorisation!$C$12:$C$15,0))</f>
        <v>31</v>
      </c>
      <c r="BE571" s="545">
        <f>INDEX(Portfolio_Categorisation!$E$12:$E$15,MATCH($B$2,Portfolio_Categorisation!$C$12:$C$15,0))</f>
        <v>31</v>
      </c>
      <c r="BF571" s="545">
        <f>INDEX(Portfolio_Categorisation!$E$12:$E$15,MATCH($B$2,Portfolio_Categorisation!$C$12:$C$15,0))</f>
        <v>31</v>
      </c>
      <c r="BG571" s="545">
        <f>INDEX(Portfolio_Categorisation!$E$12:$E$15,MATCH($B$2,Portfolio_Categorisation!$C$12:$C$15,0))</f>
        <v>31</v>
      </c>
      <c r="BH571" s="545">
        <f>INDEX(Portfolio_Categorisation!$E$12:$E$15,MATCH($B$2,Portfolio_Categorisation!$C$12:$C$15,0))</f>
        <v>31</v>
      </c>
      <c r="BI571" s="545">
        <f>INDEX(Portfolio_Categorisation!$E$12:$E$15,MATCH($B$2,Portfolio_Categorisation!$C$12:$C$15,0))</f>
        <v>31</v>
      </c>
      <c r="BJ571" s="545">
        <f>INDEX(Portfolio_Categorisation!$E$12:$E$15,MATCH($B$2,Portfolio_Categorisation!$C$12:$C$15,0))</f>
        <v>31</v>
      </c>
      <c r="BK571" s="545">
        <f>INDEX(Portfolio_Categorisation!$E$12:$E$15,MATCH($B$2,Portfolio_Categorisation!$C$12:$C$15,0))</f>
        <v>31</v>
      </c>
      <c r="BL571" s="545">
        <f>INDEX(Portfolio_Categorisation!$E$12:$E$15,MATCH($B$2,Portfolio_Categorisation!$C$12:$C$15,0))</f>
        <v>31</v>
      </c>
      <c r="BM571" s="545">
        <f>INDEX(Portfolio_Categorisation!$E$12:$E$15,MATCH($B$2,Portfolio_Categorisation!$C$12:$C$15,0))</f>
        <v>31</v>
      </c>
      <c r="BN571" s="545">
        <f>INDEX(Portfolio_Categorisation!$E$12:$E$15,MATCH($B$2,Portfolio_Categorisation!$C$12:$C$15,0))</f>
        <v>31</v>
      </c>
      <c r="BO571" s="545">
        <f>INDEX(Portfolio_Categorisation!$E$12:$E$15,MATCH($B$2,Portfolio_Categorisation!$C$12:$C$15,0))</f>
        <v>31</v>
      </c>
      <c r="BP571" s="545">
        <f>INDEX(Portfolio_Categorisation!$E$12:$E$15,MATCH($B$2,Portfolio_Categorisation!$C$12:$C$15,0))</f>
        <v>31</v>
      </c>
      <c r="BQ571" s="545">
        <f>INDEX(Portfolio_Categorisation!$E$12:$E$15,MATCH($B$2,Portfolio_Categorisation!$C$12:$C$15,0))</f>
        <v>31</v>
      </c>
      <c r="BR571" s="545">
        <f>INDEX(Portfolio_Categorisation!$E$12:$E$15,MATCH($B$2,Portfolio_Categorisation!$C$12:$C$15,0))</f>
        <v>31</v>
      </c>
      <c r="BS571" s="545">
        <f>INDEX(Portfolio_Categorisation!$E$12:$E$15,MATCH($B$2,Portfolio_Categorisation!$C$12:$C$15,0))</f>
        <v>31</v>
      </c>
      <c r="BT571" s="545">
        <f>INDEX(Portfolio_Categorisation!$E$12:$E$15,MATCH($B$2,Portfolio_Categorisation!$C$12:$C$15,0))</f>
        <v>31</v>
      </c>
      <c r="BU571" s="545">
        <f>INDEX(Portfolio_Categorisation!$E$12:$E$15,MATCH($B$2,Portfolio_Categorisation!$C$12:$C$15,0))</f>
        <v>31</v>
      </c>
      <c r="BV571" s="545">
        <f>INDEX(Portfolio_Categorisation!$E$12:$E$15,MATCH($B$2,Portfolio_Categorisation!$C$12:$C$15,0))</f>
        <v>31</v>
      </c>
      <c r="BW571" s="545">
        <f>INDEX(Portfolio_Categorisation!$E$12:$E$15,MATCH($B$2,Portfolio_Categorisation!$C$12:$C$15,0))</f>
        <v>31</v>
      </c>
      <c r="BX571" s="545">
        <f>INDEX(Portfolio_Categorisation!$E$12:$E$15,MATCH($B$2,Portfolio_Categorisation!$C$12:$C$15,0))</f>
        <v>31</v>
      </c>
      <c r="BY571" s="545">
        <f>INDEX(Portfolio_Categorisation!$E$12:$E$15,MATCH($B$2,Portfolio_Categorisation!$C$12:$C$15,0))</f>
        <v>31</v>
      </c>
    </row>
    <row r="572" spans="1:77" x14ac:dyDescent="0.3">
      <c r="A572" s="537"/>
      <c r="B572" s="522"/>
      <c r="C572" s="522"/>
      <c r="D572" s="522"/>
      <c r="E572" s="537"/>
      <c r="F572" s="537"/>
      <c r="G572" s="537"/>
      <c r="H572" s="529"/>
      <c r="I572" s="537"/>
      <c r="J572" s="537"/>
      <c r="K572" s="537"/>
      <c r="L572" s="537"/>
      <c r="M572" s="537"/>
      <c r="N572" s="537"/>
      <c r="O572" s="529"/>
      <c r="P572" s="660"/>
      <c r="Q572" s="537"/>
      <c r="R572" s="537"/>
      <c r="S572" s="537"/>
      <c r="T572" s="537"/>
      <c r="U572" s="537"/>
      <c r="V572" s="537"/>
      <c r="W572" s="537"/>
      <c r="X572" s="537"/>
      <c r="Y572" s="537"/>
      <c r="Z572" s="537"/>
      <c r="AA572" s="537"/>
      <c r="AB572" s="537"/>
      <c r="AC572" s="537"/>
      <c r="AD572" s="537"/>
      <c r="AE572" s="537"/>
      <c r="AF572" s="537"/>
      <c r="AG572" s="537"/>
      <c r="AH572" s="537"/>
      <c r="AI572" s="537"/>
      <c r="AJ572" s="537"/>
      <c r="AK572" s="537"/>
      <c r="AL572" s="537"/>
      <c r="AM572" s="537"/>
      <c r="AN572" s="537"/>
      <c r="AO572" s="537"/>
      <c r="AP572" s="537"/>
      <c r="AQ572" s="537"/>
      <c r="AR572" s="537"/>
      <c r="AS572" s="537"/>
      <c r="AT572" s="537"/>
      <c r="AU572" s="537"/>
      <c r="AV572" s="537"/>
      <c r="AW572" s="537"/>
      <c r="AX572" s="537"/>
      <c r="AY572" s="537"/>
      <c r="AZ572" s="537"/>
      <c r="BA572" s="537"/>
      <c r="BB572" s="537"/>
      <c r="BC572" s="537"/>
      <c r="BD572" s="537"/>
      <c r="BE572" s="537"/>
      <c r="BF572" s="537"/>
      <c r="BG572" s="537"/>
      <c r="BH572" s="537"/>
      <c r="BI572" s="537"/>
      <c r="BJ572" s="537"/>
      <c r="BK572" s="537"/>
      <c r="BL572" s="537"/>
      <c r="BM572" s="537"/>
      <c r="BN572" s="537"/>
      <c r="BO572" s="537"/>
      <c r="BP572" s="537"/>
      <c r="BQ572" s="537"/>
      <c r="BR572" s="537"/>
      <c r="BS572" s="537"/>
      <c r="BT572" s="537"/>
      <c r="BU572" s="537"/>
      <c r="BV572" s="537"/>
      <c r="BW572" s="537"/>
      <c r="BX572" s="537"/>
      <c r="BY572" s="537"/>
    </row>
    <row r="573" spans="1:77" x14ac:dyDescent="0.3">
      <c r="A573" s="551"/>
      <c r="B573" s="522"/>
      <c r="C573" s="522"/>
      <c r="D573" s="522"/>
      <c r="E573" s="525" t="s">
        <v>373</v>
      </c>
      <c r="F573" s="567"/>
      <c r="G573" s="567"/>
      <c r="H573" s="529"/>
      <c r="I573" s="527">
        <f t="shared" ref="I573:N573" si="738">I507/I$571</f>
        <v>120.54556757817815</v>
      </c>
      <c r="J573" s="527">
        <f t="shared" si="738"/>
        <v>120.54556757817815</v>
      </c>
      <c r="K573" s="527">
        <f t="shared" si="738"/>
        <v>120.54556757817815</v>
      </c>
      <c r="L573" s="527">
        <f t="shared" si="738"/>
        <v>120.54556757817815</v>
      </c>
      <c r="M573" s="527">
        <f t="shared" si="738"/>
        <v>120.54556757817815</v>
      </c>
      <c r="N573" s="527">
        <f t="shared" si="738"/>
        <v>120.54556757817815</v>
      </c>
      <c r="O573" s="529"/>
      <c r="P573" s="568">
        <f>IFERROR(((N573/I573)^(1/5))-1,0)</f>
        <v>0</v>
      </c>
      <c r="Q573" s="537"/>
      <c r="R573" s="527">
        <f t="shared" ref="R573:AW573" si="739">R509/R$571</f>
        <v>26.206605998231574</v>
      </c>
      <c r="S573" s="527">
        <f t="shared" si="739"/>
        <v>26.206605998231574</v>
      </c>
      <c r="T573" s="527">
        <f t="shared" si="739"/>
        <v>26.206605998231574</v>
      </c>
      <c r="U573" s="527">
        <f t="shared" si="739"/>
        <v>26.206605998231574</v>
      </c>
      <c r="V573" s="527">
        <f t="shared" si="739"/>
        <v>26.206605998231574</v>
      </c>
      <c r="W573" s="527">
        <f t="shared" si="739"/>
        <v>26.206605998231574</v>
      </c>
      <c r="X573" s="527">
        <f t="shared" si="739"/>
        <v>26.206605998231574</v>
      </c>
      <c r="Y573" s="527">
        <f t="shared" si="739"/>
        <v>26.206605998231574</v>
      </c>
      <c r="Z573" s="527">
        <f t="shared" si="739"/>
        <v>26.206605998231574</v>
      </c>
      <c r="AA573" s="527">
        <f t="shared" si="739"/>
        <v>26.206605998231574</v>
      </c>
      <c r="AB573" s="527">
        <f t="shared" si="739"/>
        <v>26.206605998231574</v>
      </c>
      <c r="AC573" s="527">
        <f t="shared" si="739"/>
        <v>26.206605998231574</v>
      </c>
      <c r="AD573" s="527">
        <f t="shared" si="739"/>
        <v>27.163942462913969</v>
      </c>
      <c r="AE573" s="527">
        <f t="shared" si="739"/>
        <v>27.163942462913969</v>
      </c>
      <c r="AF573" s="527">
        <f t="shared" si="739"/>
        <v>27.163942462913969</v>
      </c>
      <c r="AG573" s="527">
        <f t="shared" si="739"/>
        <v>27.163942462913969</v>
      </c>
      <c r="AH573" s="527">
        <f t="shared" si="739"/>
        <v>27.163942462913969</v>
      </c>
      <c r="AI573" s="527">
        <f t="shared" si="739"/>
        <v>27.163942462913969</v>
      </c>
      <c r="AJ573" s="527">
        <f t="shared" si="739"/>
        <v>27.163942462913969</v>
      </c>
      <c r="AK573" s="527">
        <f t="shared" si="739"/>
        <v>27.163942462913969</v>
      </c>
      <c r="AL573" s="527">
        <f t="shared" si="739"/>
        <v>27.163942462913969</v>
      </c>
      <c r="AM573" s="527">
        <f t="shared" si="739"/>
        <v>27.163942462913969</v>
      </c>
      <c r="AN573" s="527">
        <f t="shared" si="739"/>
        <v>27.163942462913969</v>
      </c>
      <c r="AO573" s="527">
        <f t="shared" si="739"/>
        <v>27.163942462913969</v>
      </c>
      <c r="AP573" s="527">
        <f t="shared" si="739"/>
        <v>28.122728600160329</v>
      </c>
      <c r="AQ573" s="527">
        <f t="shared" si="739"/>
        <v>28.122728600160329</v>
      </c>
      <c r="AR573" s="527">
        <f t="shared" si="739"/>
        <v>28.122728600160329</v>
      </c>
      <c r="AS573" s="527">
        <f t="shared" si="739"/>
        <v>28.122728600160329</v>
      </c>
      <c r="AT573" s="527">
        <f t="shared" si="739"/>
        <v>28.122728600160329</v>
      </c>
      <c r="AU573" s="527">
        <f t="shared" si="739"/>
        <v>28.122728600160329</v>
      </c>
      <c r="AV573" s="527">
        <f t="shared" si="739"/>
        <v>28.122728600160329</v>
      </c>
      <c r="AW573" s="527">
        <f t="shared" si="739"/>
        <v>28.122728600160329</v>
      </c>
      <c r="AX573" s="527">
        <f t="shared" ref="AX573:BY573" si="740">AX509/AX$571</f>
        <v>28.122728600160329</v>
      </c>
      <c r="AY573" s="527">
        <f t="shared" si="740"/>
        <v>28.122728600160329</v>
      </c>
      <c r="AZ573" s="527">
        <f t="shared" si="740"/>
        <v>28.122728600160329</v>
      </c>
      <c r="BA573" s="527">
        <f t="shared" si="740"/>
        <v>28.122728600160329</v>
      </c>
      <c r="BB573" s="527">
        <f t="shared" si="740"/>
        <v>29.076678232727271</v>
      </c>
      <c r="BC573" s="527">
        <f t="shared" si="740"/>
        <v>29.076678232727271</v>
      </c>
      <c r="BD573" s="527">
        <f t="shared" si="740"/>
        <v>29.076678232727271</v>
      </c>
      <c r="BE573" s="527">
        <f t="shared" si="740"/>
        <v>29.076678232727271</v>
      </c>
      <c r="BF573" s="527">
        <f t="shared" si="740"/>
        <v>29.076678232727271</v>
      </c>
      <c r="BG573" s="527">
        <f t="shared" si="740"/>
        <v>29.076678232727271</v>
      </c>
      <c r="BH573" s="527">
        <f t="shared" si="740"/>
        <v>29.076678232727271</v>
      </c>
      <c r="BI573" s="527">
        <f t="shared" si="740"/>
        <v>29.076678232727271</v>
      </c>
      <c r="BJ573" s="527">
        <f t="shared" si="740"/>
        <v>29.076678232727271</v>
      </c>
      <c r="BK573" s="527">
        <f t="shared" si="740"/>
        <v>29.076678232727271</v>
      </c>
      <c r="BL573" s="527">
        <f t="shared" si="740"/>
        <v>29.076678232727271</v>
      </c>
      <c r="BM573" s="527">
        <f t="shared" si="740"/>
        <v>29.076678232727271</v>
      </c>
      <c r="BN573" s="527">
        <f t="shared" si="740"/>
        <v>30.063435248839763</v>
      </c>
      <c r="BO573" s="527">
        <f t="shared" si="740"/>
        <v>30.063435248839763</v>
      </c>
      <c r="BP573" s="527">
        <f t="shared" si="740"/>
        <v>30.063435248839763</v>
      </c>
      <c r="BQ573" s="527">
        <f t="shared" si="740"/>
        <v>30.063435248839763</v>
      </c>
      <c r="BR573" s="527">
        <f t="shared" si="740"/>
        <v>30.063435248839763</v>
      </c>
      <c r="BS573" s="527">
        <f t="shared" si="740"/>
        <v>30.063435248839763</v>
      </c>
      <c r="BT573" s="527">
        <f t="shared" si="740"/>
        <v>30.063435248839763</v>
      </c>
      <c r="BU573" s="527">
        <f t="shared" si="740"/>
        <v>30.063435248839763</v>
      </c>
      <c r="BV573" s="527">
        <f t="shared" si="740"/>
        <v>30.063435248839763</v>
      </c>
      <c r="BW573" s="527">
        <f t="shared" si="740"/>
        <v>30.063435248839763</v>
      </c>
      <c r="BX573" s="527">
        <f t="shared" si="740"/>
        <v>30.063435248839763</v>
      </c>
      <c r="BY573" s="527">
        <f t="shared" si="740"/>
        <v>30.063435248839763</v>
      </c>
    </row>
    <row r="574" spans="1:77" x14ac:dyDescent="0.3">
      <c r="A574" s="551"/>
      <c r="B574" s="522"/>
      <c r="C574" s="522"/>
      <c r="D574" s="522"/>
      <c r="E574" s="525"/>
      <c r="F574" s="529"/>
      <c r="G574" s="529"/>
      <c r="H574" s="537"/>
      <c r="I574" s="529"/>
      <c r="J574" s="667"/>
      <c r="K574" s="529"/>
      <c r="L574" s="529"/>
      <c r="M574" s="529"/>
      <c r="N574" s="529"/>
      <c r="O574" s="529"/>
      <c r="P574" s="660"/>
      <c r="Q574" s="537"/>
      <c r="R574" s="529"/>
      <c r="S574" s="529"/>
      <c r="T574" s="529"/>
      <c r="U574" s="529"/>
      <c r="V574" s="529"/>
      <c r="W574" s="529"/>
      <c r="X574" s="529"/>
      <c r="Y574" s="529"/>
      <c r="Z574" s="529"/>
      <c r="AA574" s="529"/>
      <c r="AB574" s="529"/>
      <c r="AC574" s="529"/>
      <c r="AD574" s="529"/>
      <c r="AE574" s="529"/>
      <c r="AF574" s="529"/>
      <c r="AG574" s="529"/>
      <c r="AH574" s="529"/>
      <c r="AI574" s="529"/>
      <c r="AJ574" s="529"/>
      <c r="AK574" s="529"/>
      <c r="AL574" s="529"/>
      <c r="AM574" s="529"/>
      <c r="AN574" s="529"/>
      <c r="AO574" s="529"/>
      <c r="AP574" s="529"/>
      <c r="AQ574" s="529"/>
      <c r="AR574" s="529"/>
      <c r="AS574" s="529"/>
      <c r="AT574" s="529"/>
      <c r="AU574" s="529"/>
      <c r="AV574" s="529"/>
      <c r="AW574" s="529"/>
      <c r="AX574" s="529"/>
      <c r="AY574" s="529"/>
      <c r="AZ574" s="529"/>
      <c r="BA574" s="529"/>
      <c r="BB574" s="529"/>
      <c r="BC574" s="529"/>
      <c r="BD574" s="529"/>
      <c r="BE574" s="529"/>
      <c r="BF574" s="529"/>
      <c r="BG574" s="529"/>
      <c r="BH574" s="529"/>
      <c r="BI574" s="529"/>
      <c r="BJ574" s="529"/>
      <c r="BK574" s="529"/>
      <c r="BL574" s="529"/>
      <c r="BM574" s="529"/>
      <c r="BN574" s="529"/>
      <c r="BO574" s="529"/>
      <c r="BP574" s="529"/>
      <c r="BQ574" s="529"/>
      <c r="BR574" s="529"/>
      <c r="BS574" s="529"/>
      <c r="BT574" s="529"/>
      <c r="BU574" s="529"/>
      <c r="BV574" s="529"/>
      <c r="BW574" s="529"/>
      <c r="BX574" s="529"/>
      <c r="BY574" s="529"/>
    </row>
    <row r="575" spans="1:77" x14ac:dyDescent="0.3">
      <c r="A575" s="551"/>
      <c r="B575" s="522"/>
      <c r="C575" s="522"/>
      <c r="D575" s="522"/>
      <c r="E575" s="570" t="s">
        <v>22</v>
      </c>
      <c r="F575" s="529"/>
      <c r="G575" s="529"/>
      <c r="H575" s="537"/>
      <c r="I575" s="529"/>
      <c r="J575" s="529"/>
      <c r="K575" s="529"/>
      <c r="L575" s="529"/>
      <c r="M575" s="529"/>
      <c r="N575" s="529"/>
      <c r="O575" s="529"/>
      <c r="P575" s="660"/>
      <c r="Q575" s="537"/>
      <c r="R575" s="529"/>
      <c r="S575" s="529"/>
      <c r="T575" s="529"/>
      <c r="U575" s="529"/>
      <c r="V575" s="529"/>
      <c r="W575" s="529"/>
      <c r="X575" s="529"/>
      <c r="Y575" s="529"/>
      <c r="Z575" s="529"/>
      <c r="AA575" s="529"/>
      <c r="AB575" s="529"/>
      <c r="AC575" s="529"/>
      <c r="AD575" s="529"/>
      <c r="AE575" s="529"/>
      <c r="AF575" s="529"/>
      <c r="AG575" s="529"/>
      <c r="AH575" s="529"/>
      <c r="AI575" s="529"/>
      <c r="AJ575" s="529"/>
      <c r="AK575" s="529"/>
      <c r="AL575" s="529"/>
      <c r="AM575" s="529"/>
      <c r="AN575" s="529"/>
      <c r="AO575" s="529"/>
      <c r="AP575" s="529"/>
      <c r="AQ575" s="529"/>
      <c r="AR575" s="529"/>
      <c r="AS575" s="529"/>
      <c r="AT575" s="529"/>
      <c r="AU575" s="529"/>
      <c r="AV575" s="529"/>
      <c r="AW575" s="529"/>
      <c r="AX575" s="529"/>
      <c r="AY575" s="529"/>
      <c r="AZ575" s="529"/>
      <c r="BA575" s="529"/>
      <c r="BB575" s="529"/>
      <c r="BC575" s="529"/>
      <c r="BD575" s="529"/>
      <c r="BE575" s="529"/>
      <c r="BF575" s="529"/>
      <c r="BG575" s="529"/>
      <c r="BH575" s="529"/>
      <c r="BI575" s="529"/>
      <c r="BJ575" s="529"/>
      <c r="BK575" s="529"/>
      <c r="BL575" s="529"/>
      <c r="BM575" s="529"/>
      <c r="BN575" s="529"/>
      <c r="BO575" s="529"/>
      <c r="BP575" s="529"/>
      <c r="BQ575" s="529"/>
      <c r="BR575" s="529"/>
      <c r="BS575" s="529"/>
      <c r="BT575" s="529"/>
      <c r="BU575" s="529"/>
      <c r="BV575" s="529"/>
      <c r="BW575" s="529"/>
      <c r="BX575" s="529"/>
      <c r="BY575" s="529"/>
    </row>
    <row r="576" spans="1:77" x14ac:dyDescent="0.3">
      <c r="A576" s="551"/>
      <c r="B576" s="522"/>
      <c r="C576" s="522"/>
      <c r="D576" s="522"/>
      <c r="E576" s="572" t="s">
        <v>388</v>
      </c>
      <c r="F576" s="573"/>
      <c r="G576" s="573"/>
      <c r="H576" s="537"/>
      <c r="I576" s="530">
        <f t="shared" ref="I576:N581" si="741">I512/I$571</f>
        <v>94388.066708506682</v>
      </c>
      <c r="J576" s="530">
        <f t="shared" si="741"/>
        <v>97931.796024989904</v>
      </c>
      <c r="K576" s="530">
        <f t="shared" si="741"/>
        <v>101509.27871744111</v>
      </c>
      <c r="L576" s="530">
        <f t="shared" si="741"/>
        <v>105092.1787095551</v>
      </c>
      <c r="M576" s="530">
        <f t="shared" si="741"/>
        <v>108657.00510641716</v>
      </c>
      <c r="N576" s="530">
        <f t="shared" si="741"/>
        <v>112344.42982805711</v>
      </c>
      <c r="O576" s="536"/>
      <c r="P576" s="568">
        <f>IFERROR(((N576/I576)^(1/5))-1,0)</f>
        <v>3.544465529132701E-2</v>
      </c>
      <c r="Q576" s="537"/>
      <c r="R576" s="530">
        <f t="shared" ref="R576:AW576" si="742">R512/R$571</f>
        <v>8160.9830020824929</v>
      </c>
      <c r="S576" s="530">
        <f t="shared" si="742"/>
        <v>8160.9830020824929</v>
      </c>
      <c r="T576" s="530">
        <f t="shared" si="742"/>
        <v>8160.9830020824929</v>
      </c>
      <c r="U576" s="530">
        <f t="shared" si="742"/>
        <v>8160.9830020824929</v>
      </c>
      <c r="V576" s="530">
        <f t="shared" si="742"/>
        <v>8160.9830020824929</v>
      </c>
      <c r="W576" s="530">
        <f t="shared" si="742"/>
        <v>8160.9830020824929</v>
      </c>
      <c r="X576" s="530">
        <f t="shared" si="742"/>
        <v>8160.9830020824929</v>
      </c>
      <c r="Y576" s="530">
        <f t="shared" si="742"/>
        <v>8160.9830020824929</v>
      </c>
      <c r="Z576" s="530">
        <f t="shared" si="742"/>
        <v>8160.9830020824929</v>
      </c>
      <c r="AA576" s="530">
        <f t="shared" si="742"/>
        <v>8160.9830020824929</v>
      </c>
      <c r="AB576" s="530">
        <f t="shared" si="742"/>
        <v>8160.9830020824929</v>
      </c>
      <c r="AC576" s="530">
        <f t="shared" si="742"/>
        <v>8160.9830020824929</v>
      </c>
      <c r="AD576" s="530">
        <f t="shared" si="742"/>
        <v>8459.10655978676</v>
      </c>
      <c r="AE576" s="530">
        <f t="shared" si="742"/>
        <v>8459.10655978676</v>
      </c>
      <c r="AF576" s="530">
        <f t="shared" si="742"/>
        <v>8459.10655978676</v>
      </c>
      <c r="AG576" s="530">
        <f t="shared" si="742"/>
        <v>8459.10655978676</v>
      </c>
      <c r="AH576" s="530">
        <f t="shared" si="742"/>
        <v>8459.10655978676</v>
      </c>
      <c r="AI576" s="530">
        <f t="shared" si="742"/>
        <v>8459.10655978676</v>
      </c>
      <c r="AJ576" s="530">
        <f t="shared" si="742"/>
        <v>8459.10655978676</v>
      </c>
      <c r="AK576" s="530">
        <f t="shared" si="742"/>
        <v>8459.10655978676</v>
      </c>
      <c r="AL576" s="530">
        <f t="shared" si="742"/>
        <v>8459.10655978676</v>
      </c>
      <c r="AM576" s="530">
        <f t="shared" si="742"/>
        <v>8459.10655978676</v>
      </c>
      <c r="AN576" s="530">
        <f t="shared" si="742"/>
        <v>8459.10655978676</v>
      </c>
      <c r="AO576" s="530">
        <f t="shared" si="742"/>
        <v>8459.10655978676</v>
      </c>
      <c r="AP576" s="530">
        <f t="shared" si="742"/>
        <v>8757.6815591295926</v>
      </c>
      <c r="AQ576" s="530">
        <f t="shared" si="742"/>
        <v>8757.6815591295926</v>
      </c>
      <c r="AR576" s="530">
        <f t="shared" si="742"/>
        <v>8757.6815591295926</v>
      </c>
      <c r="AS576" s="530">
        <f t="shared" si="742"/>
        <v>8757.6815591295926</v>
      </c>
      <c r="AT576" s="530">
        <f t="shared" si="742"/>
        <v>8757.6815591295926</v>
      </c>
      <c r="AU576" s="530">
        <f t="shared" si="742"/>
        <v>8757.6815591295926</v>
      </c>
      <c r="AV576" s="530">
        <f t="shared" si="742"/>
        <v>8757.6815591295926</v>
      </c>
      <c r="AW576" s="530">
        <f t="shared" si="742"/>
        <v>8757.6815591295926</v>
      </c>
      <c r="AX576" s="530">
        <f t="shared" ref="AX576:BY576" si="743">AX512/AX$571</f>
        <v>8757.6815591295926</v>
      </c>
      <c r="AY576" s="530">
        <f t="shared" si="743"/>
        <v>8757.6815591295926</v>
      </c>
      <c r="AZ576" s="530">
        <f t="shared" si="743"/>
        <v>8757.6815591295926</v>
      </c>
      <c r="BA576" s="530">
        <f t="shared" si="743"/>
        <v>8757.6815591295926</v>
      </c>
      <c r="BB576" s="530">
        <f t="shared" si="743"/>
        <v>9054.7504255347649</v>
      </c>
      <c r="BC576" s="530">
        <f t="shared" si="743"/>
        <v>9054.7504255347649</v>
      </c>
      <c r="BD576" s="530">
        <f t="shared" si="743"/>
        <v>9054.7504255347649</v>
      </c>
      <c r="BE576" s="530">
        <f t="shared" si="743"/>
        <v>9054.7504255347649</v>
      </c>
      <c r="BF576" s="530">
        <f t="shared" si="743"/>
        <v>9054.7504255347649</v>
      </c>
      <c r="BG576" s="530">
        <f t="shared" si="743"/>
        <v>9054.7504255347649</v>
      </c>
      <c r="BH576" s="530">
        <f t="shared" si="743"/>
        <v>9054.7504255347649</v>
      </c>
      <c r="BI576" s="530">
        <f t="shared" si="743"/>
        <v>9054.7504255347649</v>
      </c>
      <c r="BJ576" s="530">
        <f t="shared" si="743"/>
        <v>9054.7504255347649</v>
      </c>
      <c r="BK576" s="530">
        <f t="shared" si="743"/>
        <v>9054.7504255347649</v>
      </c>
      <c r="BL576" s="530">
        <f t="shared" si="743"/>
        <v>9054.7504255347649</v>
      </c>
      <c r="BM576" s="530">
        <f t="shared" si="743"/>
        <v>9054.7504255347649</v>
      </c>
      <c r="BN576" s="530">
        <f t="shared" si="743"/>
        <v>9362.0358190047591</v>
      </c>
      <c r="BO576" s="530">
        <f t="shared" si="743"/>
        <v>9362.0358190047591</v>
      </c>
      <c r="BP576" s="530">
        <f t="shared" si="743"/>
        <v>9362.0358190047591</v>
      </c>
      <c r="BQ576" s="530">
        <f t="shared" si="743"/>
        <v>9362.0358190047591</v>
      </c>
      <c r="BR576" s="530">
        <f t="shared" si="743"/>
        <v>9362.0358190047591</v>
      </c>
      <c r="BS576" s="530">
        <f t="shared" si="743"/>
        <v>9362.0358190047591</v>
      </c>
      <c r="BT576" s="530">
        <f t="shared" si="743"/>
        <v>9362.0358190047591</v>
      </c>
      <c r="BU576" s="530">
        <f t="shared" si="743"/>
        <v>9362.0358190047591</v>
      </c>
      <c r="BV576" s="530">
        <f t="shared" si="743"/>
        <v>9362.0358190047591</v>
      </c>
      <c r="BW576" s="530">
        <f t="shared" si="743"/>
        <v>9362.0358190047591</v>
      </c>
      <c r="BX576" s="530">
        <f t="shared" si="743"/>
        <v>9362.0358190047591</v>
      </c>
      <c r="BY576" s="530">
        <f t="shared" si="743"/>
        <v>9362.0358190047591</v>
      </c>
    </row>
    <row r="577" spans="1:80" x14ac:dyDescent="0.3">
      <c r="A577" s="551"/>
      <c r="B577" s="522"/>
      <c r="C577" s="522"/>
      <c r="D577" s="522"/>
      <c r="E577" s="525" t="s">
        <v>387</v>
      </c>
      <c r="F577" s="567"/>
      <c r="G577" s="567"/>
      <c r="H577" s="537"/>
      <c r="I577" s="527">
        <f t="shared" si="741"/>
        <v>-31816.524669630191</v>
      </c>
      <c r="J577" s="527">
        <f t="shared" si="741"/>
        <v>-32151.491244077355</v>
      </c>
      <c r="K577" s="527">
        <f t="shared" si="741"/>
        <v>-32493.15715001346</v>
      </c>
      <c r="L577" s="527">
        <f t="shared" si="741"/>
        <v>-32841.656374068283</v>
      </c>
      <c r="M577" s="527">
        <f t="shared" si="741"/>
        <v>-33197.125582604196</v>
      </c>
      <c r="N577" s="527">
        <f t="shared" si="741"/>
        <v>-33559.704175310842</v>
      </c>
      <c r="O577" s="529"/>
      <c r="P577" s="564">
        <f t="shared" ref="P577:P582" si="744">IFERROR(((N577/I577)^(1/5))-1,0)</f>
        <v>1.0725160224260399E-2</v>
      </c>
      <c r="Q577" s="537"/>
      <c r="R577" s="527">
        <f t="shared" ref="R577:AW577" si="745">R513/R$571</f>
        <v>-2679.2909370064463</v>
      </c>
      <c r="S577" s="527">
        <f t="shared" si="745"/>
        <v>-2679.2909370064463</v>
      </c>
      <c r="T577" s="527">
        <f t="shared" si="745"/>
        <v>-2679.2909370064463</v>
      </c>
      <c r="U577" s="527">
        <f t="shared" si="745"/>
        <v>-2679.2909370064463</v>
      </c>
      <c r="V577" s="527">
        <f t="shared" si="745"/>
        <v>-2679.2909370064463</v>
      </c>
      <c r="W577" s="527">
        <f t="shared" si="745"/>
        <v>-2679.2909370064463</v>
      </c>
      <c r="X577" s="527">
        <f t="shared" si="745"/>
        <v>-2679.2909370064463</v>
      </c>
      <c r="Y577" s="527">
        <f t="shared" si="745"/>
        <v>-2679.2909370064463</v>
      </c>
      <c r="Z577" s="527">
        <f t="shared" si="745"/>
        <v>-2679.2909370064463</v>
      </c>
      <c r="AA577" s="527">
        <f t="shared" si="745"/>
        <v>-2679.2909370064463</v>
      </c>
      <c r="AB577" s="527">
        <f t="shared" si="745"/>
        <v>-2679.2909370064463</v>
      </c>
      <c r="AC577" s="527">
        <f t="shared" si="745"/>
        <v>-2679.2909370064463</v>
      </c>
      <c r="AD577" s="527">
        <f t="shared" si="745"/>
        <v>-2707.7630958344548</v>
      </c>
      <c r="AE577" s="527">
        <f t="shared" si="745"/>
        <v>-2707.7630958344548</v>
      </c>
      <c r="AF577" s="527">
        <f t="shared" si="745"/>
        <v>-2707.7630958344548</v>
      </c>
      <c r="AG577" s="527">
        <f t="shared" si="745"/>
        <v>-2707.7630958344548</v>
      </c>
      <c r="AH577" s="527">
        <f t="shared" si="745"/>
        <v>-2707.7630958344548</v>
      </c>
      <c r="AI577" s="527">
        <f t="shared" si="745"/>
        <v>-2707.7630958344548</v>
      </c>
      <c r="AJ577" s="527">
        <f t="shared" si="745"/>
        <v>-2707.7630958344548</v>
      </c>
      <c r="AK577" s="527">
        <f t="shared" si="745"/>
        <v>-2707.7630958344548</v>
      </c>
      <c r="AL577" s="527">
        <f t="shared" si="745"/>
        <v>-2707.7630958344548</v>
      </c>
      <c r="AM577" s="527">
        <f t="shared" si="745"/>
        <v>-2707.7630958344548</v>
      </c>
      <c r="AN577" s="527">
        <f t="shared" si="745"/>
        <v>-2707.7630958344548</v>
      </c>
      <c r="AO577" s="527">
        <f t="shared" si="745"/>
        <v>-2707.7630958344548</v>
      </c>
      <c r="AP577" s="527">
        <f t="shared" si="745"/>
        <v>-2736.8046978390234</v>
      </c>
      <c r="AQ577" s="527">
        <f t="shared" si="745"/>
        <v>-2736.8046978390234</v>
      </c>
      <c r="AR577" s="527">
        <f t="shared" si="745"/>
        <v>-2736.8046978390234</v>
      </c>
      <c r="AS577" s="527">
        <f t="shared" si="745"/>
        <v>-2736.8046978390234</v>
      </c>
      <c r="AT577" s="527">
        <f t="shared" si="745"/>
        <v>-2736.8046978390234</v>
      </c>
      <c r="AU577" s="527">
        <f t="shared" si="745"/>
        <v>-2736.8046978390234</v>
      </c>
      <c r="AV577" s="527">
        <f t="shared" si="745"/>
        <v>-2736.8046978390234</v>
      </c>
      <c r="AW577" s="527">
        <f t="shared" si="745"/>
        <v>-2736.8046978390234</v>
      </c>
      <c r="AX577" s="527">
        <f t="shared" ref="AX577:BY577" si="746">AX513/AX$571</f>
        <v>-2736.8046978390234</v>
      </c>
      <c r="AY577" s="527">
        <f t="shared" si="746"/>
        <v>-2736.8046978390234</v>
      </c>
      <c r="AZ577" s="527">
        <f t="shared" si="746"/>
        <v>-2736.8046978390234</v>
      </c>
      <c r="BA577" s="527">
        <f t="shared" si="746"/>
        <v>-2736.8046978390234</v>
      </c>
      <c r="BB577" s="527">
        <f t="shared" si="746"/>
        <v>-2766.4271318836832</v>
      </c>
      <c r="BC577" s="527">
        <f t="shared" si="746"/>
        <v>-2766.4271318836832</v>
      </c>
      <c r="BD577" s="527">
        <f t="shared" si="746"/>
        <v>-2766.4271318836832</v>
      </c>
      <c r="BE577" s="527">
        <f t="shared" si="746"/>
        <v>-2766.4271318836832</v>
      </c>
      <c r="BF577" s="527">
        <f t="shared" si="746"/>
        <v>-2766.4271318836832</v>
      </c>
      <c r="BG577" s="527">
        <f t="shared" si="746"/>
        <v>-2766.4271318836832</v>
      </c>
      <c r="BH577" s="527">
        <f t="shared" si="746"/>
        <v>-2766.4271318836832</v>
      </c>
      <c r="BI577" s="527">
        <f t="shared" si="746"/>
        <v>-2766.4271318836832</v>
      </c>
      <c r="BJ577" s="527">
        <f t="shared" si="746"/>
        <v>-2766.4271318836832</v>
      </c>
      <c r="BK577" s="527">
        <f t="shared" si="746"/>
        <v>-2766.4271318836832</v>
      </c>
      <c r="BL577" s="527">
        <f t="shared" si="746"/>
        <v>-2766.4271318836832</v>
      </c>
      <c r="BM577" s="527">
        <f t="shared" si="746"/>
        <v>-2766.4271318836832</v>
      </c>
      <c r="BN577" s="527">
        <f t="shared" si="746"/>
        <v>-2796.6420146092369</v>
      </c>
      <c r="BO577" s="527">
        <f t="shared" si="746"/>
        <v>-2796.6420146092369</v>
      </c>
      <c r="BP577" s="527">
        <f t="shared" si="746"/>
        <v>-2796.6420146092369</v>
      </c>
      <c r="BQ577" s="527">
        <f t="shared" si="746"/>
        <v>-2796.6420146092369</v>
      </c>
      <c r="BR577" s="527">
        <f t="shared" si="746"/>
        <v>-2796.6420146092369</v>
      </c>
      <c r="BS577" s="527">
        <f t="shared" si="746"/>
        <v>-2796.6420146092369</v>
      </c>
      <c r="BT577" s="527">
        <f t="shared" si="746"/>
        <v>-2796.6420146092369</v>
      </c>
      <c r="BU577" s="527">
        <f t="shared" si="746"/>
        <v>-2796.6420146092369</v>
      </c>
      <c r="BV577" s="527">
        <f t="shared" si="746"/>
        <v>-2796.6420146092369</v>
      </c>
      <c r="BW577" s="527">
        <f t="shared" si="746"/>
        <v>-2796.6420146092369</v>
      </c>
      <c r="BX577" s="527">
        <f t="shared" si="746"/>
        <v>-2796.6420146092369</v>
      </c>
      <c r="BY577" s="527">
        <f t="shared" si="746"/>
        <v>-2796.6420146092369</v>
      </c>
      <c r="BZ577" s="537"/>
      <c r="CA577" s="537"/>
      <c r="CB577" s="537"/>
    </row>
    <row r="578" spans="1:80" x14ac:dyDescent="0.3">
      <c r="A578" s="551"/>
      <c r="B578" s="522"/>
      <c r="C578" s="522"/>
      <c r="D578" s="522"/>
      <c r="E578" s="525" t="s">
        <v>386</v>
      </c>
      <c r="F578" s="567"/>
      <c r="G578" s="567"/>
      <c r="H578" s="537"/>
      <c r="I578" s="527">
        <f t="shared" si="741"/>
        <v>-6492.3184288677958</v>
      </c>
      <c r="J578" s="527">
        <f t="shared" si="741"/>
        <v>-6622.1647974451516</v>
      </c>
      <c r="K578" s="527">
        <f t="shared" si="741"/>
        <v>-6754.6080933940548</v>
      </c>
      <c r="L578" s="527">
        <f t="shared" si="741"/>
        <v>-6889.700255261936</v>
      </c>
      <c r="M578" s="527">
        <f t="shared" si="741"/>
        <v>-7027.4942603671743</v>
      </c>
      <c r="N578" s="527">
        <f t="shared" si="741"/>
        <v>-7168.0441455745186</v>
      </c>
      <c r="O578" s="529"/>
      <c r="P578" s="564">
        <f t="shared" si="744"/>
        <v>2.0000000000000018E-2</v>
      </c>
      <c r="Q578" s="537"/>
      <c r="R578" s="527">
        <f t="shared" ref="R578:AW578" si="747">R514/R$571</f>
        <v>-551.84706645376264</v>
      </c>
      <c r="S578" s="527">
        <f t="shared" si="747"/>
        <v>-551.84706645376264</v>
      </c>
      <c r="T578" s="527">
        <f t="shared" si="747"/>
        <v>-551.84706645376264</v>
      </c>
      <c r="U578" s="527">
        <f t="shared" si="747"/>
        <v>-551.84706645376264</v>
      </c>
      <c r="V578" s="527">
        <f t="shared" si="747"/>
        <v>-551.84706645376264</v>
      </c>
      <c r="W578" s="527">
        <f t="shared" si="747"/>
        <v>-551.84706645376264</v>
      </c>
      <c r="X578" s="527">
        <f t="shared" si="747"/>
        <v>-551.84706645376264</v>
      </c>
      <c r="Y578" s="527">
        <f t="shared" si="747"/>
        <v>-551.84706645376264</v>
      </c>
      <c r="Z578" s="527">
        <f t="shared" si="747"/>
        <v>-551.84706645376264</v>
      </c>
      <c r="AA578" s="527">
        <f t="shared" si="747"/>
        <v>-551.84706645376264</v>
      </c>
      <c r="AB578" s="527">
        <f t="shared" si="747"/>
        <v>-551.84706645376264</v>
      </c>
      <c r="AC578" s="527">
        <f t="shared" si="747"/>
        <v>-551.84706645376264</v>
      </c>
      <c r="AD578" s="527">
        <f t="shared" si="747"/>
        <v>-562.8840077828379</v>
      </c>
      <c r="AE578" s="527">
        <f t="shared" si="747"/>
        <v>-562.8840077828379</v>
      </c>
      <c r="AF578" s="527">
        <f t="shared" si="747"/>
        <v>-562.8840077828379</v>
      </c>
      <c r="AG578" s="527">
        <f t="shared" si="747"/>
        <v>-562.8840077828379</v>
      </c>
      <c r="AH578" s="527">
        <f t="shared" si="747"/>
        <v>-562.8840077828379</v>
      </c>
      <c r="AI578" s="527">
        <f t="shared" si="747"/>
        <v>-562.8840077828379</v>
      </c>
      <c r="AJ578" s="527">
        <f t="shared" si="747"/>
        <v>-562.8840077828379</v>
      </c>
      <c r="AK578" s="527">
        <f t="shared" si="747"/>
        <v>-562.8840077828379</v>
      </c>
      <c r="AL578" s="527">
        <f t="shared" si="747"/>
        <v>-562.8840077828379</v>
      </c>
      <c r="AM578" s="527">
        <f t="shared" si="747"/>
        <v>-562.8840077828379</v>
      </c>
      <c r="AN578" s="527">
        <f t="shared" si="747"/>
        <v>-562.8840077828379</v>
      </c>
      <c r="AO578" s="527">
        <f t="shared" si="747"/>
        <v>-562.8840077828379</v>
      </c>
      <c r="AP578" s="527">
        <f t="shared" si="747"/>
        <v>-574.14168793849467</v>
      </c>
      <c r="AQ578" s="527">
        <f t="shared" si="747"/>
        <v>-574.14168793849467</v>
      </c>
      <c r="AR578" s="527">
        <f t="shared" si="747"/>
        <v>-574.14168793849467</v>
      </c>
      <c r="AS578" s="527">
        <f t="shared" si="747"/>
        <v>-574.14168793849467</v>
      </c>
      <c r="AT578" s="527">
        <f t="shared" si="747"/>
        <v>-574.14168793849467</v>
      </c>
      <c r="AU578" s="527">
        <f t="shared" si="747"/>
        <v>-574.14168793849467</v>
      </c>
      <c r="AV578" s="527">
        <f t="shared" si="747"/>
        <v>-574.14168793849467</v>
      </c>
      <c r="AW578" s="527">
        <f t="shared" si="747"/>
        <v>-574.14168793849467</v>
      </c>
      <c r="AX578" s="527">
        <f t="shared" ref="AX578:BY578" si="748">AX514/AX$571</f>
        <v>-574.14168793849467</v>
      </c>
      <c r="AY578" s="527">
        <f t="shared" si="748"/>
        <v>-574.14168793849467</v>
      </c>
      <c r="AZ578" s="527">
        <f t="shared" si="748"/>
        <v>-574.14168793849467</v>
      </c>
      <c r="BA578" s="527">
        <f t="shared" si="748"/>
        <v>-574.14168793849467</v>
      </c>
      <c r="BB578" s="527">
        <f t="shared" si="748"/>
        <v>-585.62452169726453</v>
      </c>
      <c r="BC578" s="527">
        <f t="shared" si="748"/>
        <v>-585.62452169726453</v>
      </c>
      <c r="BD578" s="527">
        <f t="shared" si="748"/>
        <v>-585.62452169726453</v>
      </c>
      <c r="BE578" s="527">
        <f t="shared" si="748"/>
        <v>-585.62452169726453</v>
      </c>
      <c r="BF578" s="527">
        <f t="shared" si="748"/>
        <v>-585.62452169726453</v>
      </c>
      <c r="BG578" s="527">
        <f t="shared" si="748"/>
        <v>-585.62452169726453</v>
      </c>
      <c r="BH578" s="527">
        <f t="shared" si="748"/>
        <v>-585.62452169726453</v>
      </c>
      <c r="BI578" s="527">
        <f t="shared" si="748"/>
        <v>-585.62452169726453</v>
      </c>
      <c r="BJ578" s="527">
        <f t="shared" si="748"/>
        <v>-585.62452169726453</v>
      </c>
      <c r="BK578" s="527">
        <f t="shared" si="748"/>
        <v>-585.62452169726453</v>
      </c>
      <c r="BL578" s="527">
        <f t="shared" si="748"/>
        <v>-585.62452169726453</v>
      </c>
      <c r="BM578" s="527">
        <f t="shared" si="748"/>
        <v>-585.62452169726453</v>
      </c>
      <c r="BN578" s="527">
        <f t="shared" si="748"/>
        <v>-597.33701213120992</v>
      </c>
      <c r="BO578" s="527">
        <f t="shared" si="748"/>
        <v>-597.33701213120992</v>
      </c>
      <c r="BP578" s="527">
        <f t="shared" si="748"/>
        <v>-597.33701213120992</v>
      </c>
      <c r="BQ578" s="527">
        <f t="shared" si="748"/>
        <v>-597.33701213120992</v>
      </c>
      <c r="BR578" s="527">
        <f t="shared" si="748"/>
        <v>-597.33701213120992</v>
      </c>
      <c r="BS578" s="527">
        <f t="shared" si="748"/>
        <v>-597.33701213120992</v>
      </c>
      <c r="BT578" s="527">
        <f t="shared" si="748"/>
        <v>-597.33701213120992</v>
      </c>
      <c r="BU578" s="527">
        <f t="shared" si="748"/>
        <v>-597.33701213120992</v>
      </c>
      <c r="BV578" s="527">
        <f t="shared" si="748"/>
        <v>-597.33701213120992</v>
      </c>
      <c r="BW578" s="527">
        <f t="shared" si="748"/>
        <v>-597.33701213120992</v>
      </c>
      <c r="BX578" s="527">
        <f t="shared" si="748"/>
        <v>-597.33701213120992</v>
      </c>
      <c r="BY578" s="527">
        <f t="shared" si="748"/>
        <v>-597.33701213120992</v>
      </c>
      <c r="BZ578" s="537"/>
      <c r="CA578" s="537"/>
      <c r="CB578" s="537"/>
    </row>
    <row r="579" spans="1:80" x14ac:dyDescent="0.3">
      <c r="A579" s="551"/>
      <c r="B579" s="522"/>
      <c r="C579" s="522"/>
      <c r="D579" s="522"/>
      <c r="E579" s="572" t="s">
        <v>385</v>
      </c>
      <c r="F579" s="573"/>
      <c r="G579" s="573"/>
      <c r="H579" s="537"/>
      <c r="I579" s="532">
        <f t="shared" si="741"/>
        <v>52326.877741935488</v>
      </c>
      <c r="J579" s="532">
        <f t="shared" si="741"/>
        <v>59158.139983467401</v>
      </c>
      <c r="K579" s="532">
        <f t="shared" si="741"/>
        <v>62261.513474033593</v>
      </c>
      <c r="L579" s="532">
        <f t="shared" si="741"/>
        <v>65360.822080224883</v>
      </c>
      <c r="M579" s="532">
        <f t="shared" si="741"/>
        <v>68432.385263445787</v>
      </c>
      <c r="N579" s="532">
        <f t="shared" si="741"/>
        <v>71616.681507171743</v>
      </c>
      <c r="O579" s="536"/>
      <c r="P579" s="568">
        <f t="shared" si="744"/>
        <v>6.4775070014183589E-2</v>
      </c>
      <c r="Q579" s="537"/>
      <c r="R579" s="532">
        <f t="shared" ref="R579:AW579" si="749">R515/R$571</f>
        <v>4929.844998622284</v>
      </c>
      <c r="S579" s="532">
        <f t="shared" si="749"/>
        <v>4929.844998622284</v>
      </c>
      <c r="T579" s="532">
        <f t="shared" si="749"/>
        <v>4929.844998622284</v>
      </c>
      <c r="U579" s="532">
        <f t="shared" si="749"/>
        <v>4929.844998622284</v>
      </c>
      <c r="V579" s="532">
        <f t="shared" si="749"/>
        <v>4929.844998622284</v>
      </c>
      <c r="W579" s="532">
        <f t="shared" si="749"/>
        <v>4929.844998622284</v>
      </c>
      <c r="X579" s="532">
        <f t="shared" si="749"/>
        <v>4929.844998622284</v>
      </c>
      <c r="Y579" s="532">
        <f t="shared" si="749"/>
        <v>4929.844998622284</v>
      </c>
      <c r="Z579" s="532">
        <f t="shared" si="749"/>
        <v>4929.844998622284</v>
      </c>
      <c r="AA579" s="532">
        <f t="shared" si="749"/>
        <v>4929.844998622284</v>
      </c>
      <c r="AB579" s="532">
        <f t="shared" si="749"/>
        <v>4929.844998622284</v>
      </c>
      <c r="AC579" s="532">
        <f t="shared" si="749"/>
        <v>4929.844998622284</v>
      </c>
      <c r="AD579" s="532">
        <f t="shared" si="749"/>
        <v>5188.4594561694666</v>
      </c>
      <c r="AE579" s="532">
        <f t="shared" si="749"/>
        <v>5188.4594561694666</v>
      </c>
      <c r="AF579" s="532">
        <f t="shared" si="749"/>
        <v>5188.4594561694666</v>
      </c>
      <c r="AG579" s="532">
        <f t="shared" si="749"/>
        <v>5188.4594561694666</v>
      </c>
      <c r="AH579" s="532">
        <f t="shared" si="749"/>
        <v>5188.4594561694666</v>
      </c>
      <c r="AI579" s="532">
        <f t="shared" si="749"/>
        <v>5188.4594561694666</v>
      </c>
      <c r="AJ579" s="532">
        <f t="shared" si="749"/>
        <v>5188.4594561694666</v>
      </c>
      <c r="AK579" s="532">
        <f t="shared" si="749"/>
        <v>5188.4594561694666</v>
      </c>
      <c r="AL579" s="532">
        <f t="shared" si="749"/>
        <v>5188.4594561694666</v>
      </c>
      <c r="AM579" s="532">
        <f t="shared" si="749"/>
        <v>5188.4594561694666</v>
      </c>
      <c r="AN579" s="532">
        <f t="shared" si="749"/>
        <v>5188.4594561694666</v>
      </c>
      <c r="AO579" s="532">
        <f t="shared" si="749"/>
        <v>5188.4594561694666</v>
      </c>
      <c r="AP579" s="532">
        <f t="shared" si="749"/>
        <v>5446.7351733520736</v>
      </c>
      <c r="AQ579" s="532">
        <f t="shared" si="749"/>
        <v>5446.7351733520736</v>
      </c>
      <c r="AR579" s="532">
        <f t="shared" si="749"/>
        <v>5446.7351733520736</v>
      </c>
      <c r="AS579" s="532">
        <f t="shared" si="749"/>
        <v>5446.7351733520736</v>
      </c>
      <c r="AT579" s="532">
        <f t="shared" si="749"/>
        <v>5446.7351733520736</v>
      </c>
      <c r="AU579" s="532">
        <f t="shared" si="749"/>
        <v>5446.7351733520736</v>
      </c>
      <c r="AV579" s="532">
        <f t="shared" si="749"/>
        <v>5446.7351733520736</v>
      </c>
      <c r="AW579" s="532">
        <f t="shared" si="749"/>
        <v>5446.7351733520736</v>
      </c>
      <c r="AX579" s="532">
        <f t="shared" ref="AX579:BY579" si="750">AX515/AX$571</f>
        <v>5446.7351733520736</v>
      </c>
      <c r="AY579" s="532">
        <f t="shared" si="750"/>
        <v>5446.7351733520736</v>
      </c>
      <c r="AZ579" s="532">
        <f t="shared" si="750"/>
        <v>5446.7351733520736</v>
      </c>
      <c r="BA579" s="532">
        <f t="shared" si="750"/>
        <v>5446.7351733520736</v>
      </c>
      <c r="BB579" s="532">
        <f t="shared" si="750"/>
        <v>5702.6987719538156</v>
      </c>
      <c r="BC579" s="532">
        <f t="shared" si="750"/>
        <v>5702.6987719538156</v>
      </c>
      <c r="BD579" s="532">
        <f t="shared" si="750"/>
        <v>5702.6987719538156</v>
      </c>
      <c r="BE579" s="532">
        <f t="shared" si="750"/>
        <v>5702.6987719538156</v>
      </c>
      <c r="BF579" s="532">
        <f t="shared" si="750"/>
        <v>5702.6987719538156</v>
      </c>
      <c r="BG579" s="532">
        <f t="shared" si="750"/>
        <v>5702.6987719538156</v>
      </c>
      <c r="BH579" s="532">
        <f t="shared" si="750"/>
        <v>5702.6987719538156</v>
      </c>
      <c r="BI579" s="532">
        <f t="shared" si="750"/>
        <v>5702.6987719538156</v>
      </c>
      <c r="BJ579" s="532">
        <f t="shared" si="750"/>
        <v>5702.6987719538156</v>
      </c>
      <c r="BK579" s="532">
        <f t="shared" si="750"/>
        <v>5702.6987719538156</v>
      </c>
      <c r="BL579" s="532">
        <f t="shared" si="750"/>
        <v>5702.6987719538156</v>
      </c>
      <c r="BM579" s="532">
        <f t="shared" si="750"/>
        <v>5702.6987719538156</v>
      </c>
      <c r="BN579" s="532">
        <f t="shared" si="750"/>
        <v>5968.0567922643122</v>
      </c>
      <c r="BO579" s="532">
        <f t="shared" si="750"/>
        <v>5968.0567922643122</v>
      </c>
      <c r="BP579" s="532">
        <f t="shared" si="750"/>
        <v>5968.0567922643122</v>
      </c>
      <c r="BQ579" s="532">
        <f t="shared" si="750"/>
        <v>5968.0567922643122</v>
      </c>
      <c r="BR579" s="532">
        <f t="shared" si="750"/>
        <v>5968.0567922643122</v>
      </c>
      <c r="BS579" s="532">
        <f t="shared" si="750"/>
        <v>5968.0567922643122</v>
      </c>
      <c r="BT579" s="532">
        <f t="shared" si="750"/>
        <v>5968.0567922643122</v>
      </c>
      <c r="BU579" s="532">
        <f t="shared" si="750"/>
        <v>5968.0567922643122</v>
      </c>
      <c r="BV579" s="532">
        <f t="shared" si="750"/>
        <v>5968.0567922643122</v>
      </c>
      <c r="BW579" s="532">
        <f t="shared" si="750"/>
        <v>5968.0567922643122</v>
      </c>
      <c r="BX579" s="532">
        <f t="shared" si="750"/>
        <v>5968.0567922643122</v>
      </c>
      <c r="BY579" s="532">
        <f t="shared" si="750"/>
        <v>5968.0567922643122</v>
      </c>
      <c r="BZ579" s="537"/>
      <c r="CA579" s="537"/>
      <c r="CB579" s="537"/>
    </row>
    <row r="580" spans="1:80" x14ac:dyDescent="0.3">
      <c r="A580" s="551"/>
      <c r="B580" s="522"/>
      <c r="C580" s="522"/>
      <c r="D580" s="522"/>
      <c r="E580" s="525" t="s">
        <v>389</v>
      </c>
      <c r="F580" s="567"/>
      <c r="G580" s="567"/>
      <c r="H580" s="537"/>
      <c r="I580" s="527">
        <f t="shared" si="741"/>
        <v>-12882.033152386526</v>
      </c>
      <c r="J580" s="527">
        <f t="shared" si="741"/>
        <v>-13457.556512421188</v>
      </c>
      <c r="K580" s="527">
        <f t="shared" si="741"/>
        <v>-14038.561627582931</v>
      </c>
      <c r="L580" s="527">
        <f t="shared" si="741"/>
        <v>-14620.446545411805</v>
      </c>
      <c r="M580" s="527">
        <f t="shared" si="741"/>
        <v>-15199.396200601146</v>
      </c>
      <c r="N580" s="527">
        <f t="shared" si="741"/>
        <v>-15798.256575122967</v>
      </c>
      <c r="O580" s="529"/>
      <c r="P580" s="564">
        <f t="shared" si="744"/>
        <v>4.165751177604271E-2</v>
      </c>
      <c r="Q580" s="537"/>
      <c r="R580" s="527">
        <f t="shared" ref="R580:AW580" si="751">R516/R$571</f>
        <v>-1121.4630427017657</v>
      </c>
      <c r="S580" s="527">
        <f t="shared" si="751"/>
        <v>-1121.4630427017657</v>
      </c>
      <c r="T580" s="527">
        <f t="shared" si="751"/>
        <v>-1121.4630427017657</v>
      </c>
      <c r="U580" s="527">
        <f t="shared" si="751"/>
        <v>-1121.4630427017657</v>
      </c>
      <c r="V580" s="527">
        <f t="shared" si="751"/>
        <v>-1121.4630427017657</v>
      </c>
      <c r="W580" s="527">
        <f t="shared" si="751"/>
        <v>-1121.4630427017657</v>
      </c>
      <c r="X580" s="527">
        <f t="shared" si="751"/>
        <v>-1121.4630427017657</v>
      </c>
      <c r="Y580" s="527">
        <f t="shared" si="751"/>
        <v>-1121.4630427017657</v>
      </c>
      <c r="Z580" s="527">
        <f t="shared" si="751"/>
        <v>-1121.4630427017657</v>
      </c>
      <c r="AA580" s="527">
        <f t="shared" si="751"/>
        <v>-1121.4630427017657</v>
      </c>
      <c r="AB580" s="527">
        <f t="shared" si="751"/>
        <v>-1121.4630427017657</v>
      </c>
      <c r="AC580" s="527">
        <f t="shared" si="751"/>
        <v>-1121.4630427017657</v>
      </c>
      <c r="AD580" s="527">
        <f t="shared" si="751"/>
        <v>-1169.8801356319109</v>
      </c>
      <c r="AE580" s="527">
        <f t="shared" si="751"/>
        <v>-1169.8801356319109</v>
      </c>
      <c r="AF580" s="527">
        <f t="shared" si="751"/>
        <v>-1169.8801356319109</v>
      </c>
      <c r="AG580" s="527">
        <f t="shared" si="751"/>
        <v>-1169.8801356319109</v>
      </c>
      <c r="AH580" s="527">
        <f t="shared" si="751"/>
        <v>-1169.8801356319109</v>
      </c>
      <c r="AI580" s="527">
        <f t="shared" si="751"/>
        <v>-1169.8801356319109</v>
      </c>
      <c r="AJ580" s="527">
        <f t="shared" si="751"/>
        <v>-1169.8801356319109</v>
      </c>
      <c r="AK580" s="527">
        <f t="shared" si="751"/>
        <v>-1169.8801356319109</v>
      </c>
      <c r="AL580" s="527">
        <f t="shared" si="751"/>
        <v>-1169.8801356319109</v>
      </c>
      <c r="AM580" s="527">
        <f t="shared" si="751"/>
        <v>-1169.8801356319109</v>
      </c>
      <c r="AN580" s="527">
        <f t="shared" si="751"/>
        <v>-1169.8801356319109</v>
      </c>
      <c r="AO580" s="527">
        <f t="shared" si="751"/>
        <v>-1169.8801356319109</v>
      </c>
      <c r="AP580" s="527">
        <f t="shared" si="751"/>
        <v>-1218.3705454509836</v>
      </c>
      <c r="AQ580" s="527">
        <f t="shared" si="751"/>
        <v>-1218.3705454509836</v>
      </c>
      <c r="AR580" s="527">
        <f t="shared" si="751"/>
        <v>-1218.3705454509836</v>
      </c>
      <c r="AS580" s="527">
        <f t="shared" si="751"/>
        <v>-1218.3705454509836</v>
      </c>
      <c r="AT580" s="527">
        <f t="shared" si="751"/>
        <v>-1218.3705454509836</v>
      </c>
      <c r="AU580" s="527">
        <f t="shared" si="751"/>
        <v>-1218.3705454509836</v>
      </c>
      <c r="AV580" s="527">
        <f t="shared" si="751"/>
        <v>-1218.3705454509836</v>
      </c>
      <c r="AW580" s="527">
        <f t="shared" si="751"/>
        <v>-1218.3705454509836</v>
      </c>
      <c r="AX580" s="527">
        <f t="shared" ref="AX580:BY580" si="752">AX516/AX$571</f>
        <v>-1218.3705454509836</v>
      </c>
      <c r="AY580" s="527">
        <f t="shared" si="752"/>
        <v>-1218.3705454509836</v>
      </c>
      <c r="AZ580" s="527">
        <f t="shared" si="752"/>
        <v>-1218.3705454509836</v>
      </c>
      <c r="BA580" s="527">
        <f t="shared" si="752"/>
        <v>-1218.3705454509836</v>
      </c>
      <c r="BB580" s="527">
        <f t="shared" si="752"/>
        <v>-1266.6163500500957</v>
      </c>
      <c r="BC580" s="527">
        <f t="shared" si="752"/>
        <v>-1266.6163500500957</v>
      </c>
      <c r="BD580" s="527">
        <f t="shared" si="752"/>
        <v>-1266.6163500500957</v>
      </c>
      <c r="BE580" s="527">
        <f t="shared" si="752"/>
        <v>-1266.6163500500957</v>
      </c>
      <c r="BF580" s="527">
        <f t="shared" si="752"/>
        <v>-1266.6163500500957</v>
      </c>
      <c r="BG580" s="527">
        <f t="shared" si="752"/>
        <v>-1266.6163500500957</v>
      </c>
      <c r="BH580" s="527">
        <f t="shared" si="752"/>
        <v>-1266.6163500500957</v>
      </c>
      <c r="BI580" s="527">
        <f t="shared" si="752"/>
        <v>-1266.6163500500957</v>
      </c>
      <c r="BJ580" s="527">
        <f t="shared" si="752"/>
        <v>-1266.6163500500957</v>
      </c>
      <c r="BK580" s="527">
        <f t="shared" si="752"/>
        <v>-1266.6163500500957</v>
      </c>
      <c r="BL580" s="527">
        <f t="shared" si="752"/>
        <v>-1266.6163500500957</v>
      </c>
      <c r="BM580" s="527">
        <f t="shared" si="752"/>
        <v>-1266.6163500500957</v>
      </c>
      <c r="BN580" s="527">
        <f t="shared" si="752"/>
        <v>-1316.5213812602472</v>
      </c>
      <c r="BO580" s="527">
        <f t="shared" si="752"/>
        <v>-1316.5213812602472</v>
      </c>
      <c r="BP580" s="527">
        <f t="shared" si="752"/>
        <v>-1316.5213812602472</v>
      </c>
      <c r="BQ580" s="527">
        <f t="shared" si="752"/>
        <v>-1316.5213812602472</v>
      </c>
      <c r="BR580" s="527">
        <f t="shared" si="752"/>
        <v>-1316.5213812602472</v>
      </c>
      <c r="BS580" s="527">
        <f t="shared" si="752"/>
        <v>-1316.5213812602472</v>
      </c>
      <c r="BT580" s="527">
        <f t="shared" si="752"/>
        <v>-1316.5213812602472</v>
      </c>
      <c r="BU580" s="527">
        <f t="shared" si="752"/>
        <v>-1316.5213812602472</v>
      </c>
      <c r="BV580" s="527">
        <f t="shared" si="752"/>
        <v>-1316.5213812602472</v>
      </c>
      <c r="BW580" s="527">
        <f t="shared" si="752"/>
        <v>-1316.5213812602472</v>
      </c>
      <c r="BX580" s="527">
        <f t="shared" si="752"/>
        <v>-1316.5213812602472</v>
      </c>
      <c r="BY580" s="527">
        <f t="shared" si="752"/>
        <v>-1316.5213812602472</v>
      </c>
      <c r="BZ580" s="537"/>
      <c r="CA580" s="537"/>
      <c r="CB580" s="537"/>
    </row>
    <row r="581" spans="1:80" x14ac:dyDescent="0.3">
      <c r="A581" s="551"/>
      <c r="B581" s="522"/>
      <c r="C581" s="522"/>
      <c r="D581" s="522"/>
      <c r="E581" s="572" t="s">
        <v>390</v>
      </c>
      <c r="F581" s="573"/>
      <c r="G581" s="573"/>
      <c r="H581" s="537"/>
      <c r="I581" s="532">
        <f t="shared" si="741"/>
        <v>43197.190457622179</v>
      </c>
      <c r="J581" s="532">
        <f t="shared" si="741"/>
        <v>45700.583471046222</v>
      </c>
      <c r="K581" s="532">
        <f t="shared" si="741"/>
        <v>48222.951846450655</v>
      </c>
      <c r="L581" s="532">
        <f t="shared" si="741"/>
        <v>50740.37553481308</v>
      </c>
      <c r="M581" s="532">
        <f t="shared" si="741"/>
        <v>53232.989062844637</v>
      </c>
      <c r="N581" s="532">
        <f t="shared" si="741"/>
        <v>55818.42493204878</v>
      </c>
      <c r="O581" s="536"/>
      <c r="P581" s="568">
        <f t="shared" si="744"/>
        <v>5.2602543859340267E-2</v>
      </c>
      <c r="Q581" s="537"/>
      <c r="R581" s="530">
        <f t="shared" ref="R581:AW581" si="753">R517/R$571</f>
        <v>3808.3819559205185</v>
      </c>
      <c r="S581" s="532">
        <f t="shared" si="753"/>
        <v>3808.3819559205185</v>
      </c>
      <c r="T581" s="530">
        <f t="shared" si="753"/>
        <v>3808.3819559205185</v>
      </c>
      <c r="U581" s="532">
        <f t="shared" si="753"/>
        <v>3808.3819559205185</v>
      </c>
      <c r="V581" s="530">
        <f t="shared" si="753"/>
        <v>3808.3819559205185</v>
      </c>
      <c r="W581" s="530">
        <f t="shared" si="753"/>
        <v>3808.3819559205185</v>
      </c>
      <c r="X581" s="532">
        <f t="shared" si="753"/>
        <v>3808.3819559205185</v>
      </c>
      <c r="Y581" s="532">
        <f t="shared" si="753"/>
        <v>3808.3819559205185</v>
      </c>
      <c r="Z581" s="532">
        <f t="shared" si="753"/>
        <v>3808.3819559205185</v>
      </c>
      <c r="AA581" s="532">
        <f t="shared" si="753"/>
        <v>3808.3819559205185</v>
      </c>
      <c r="AB581" s="532">
        <f t="shared" si="753"/>
        <v>3808.3819559205185</v>
      </c>
      <c r="AC581" s="532">
        <f t="shared" si="753"/>
        <v>3808.3819559205185</v>
      </c>
      <c r="AD581" s="532">
        <f t="shared" si="753"/>
        <v>4018.5793205375562</v>
      </c>
      <c r="AE581" s="532">
        <f t="shared" si="753"/>
        <v>4018.5793205375562</v>
      </c>
      <c r="AF581" s="532">
        <f t="shared" si="753"/>
        <v>4018.5793205375562</v>
      </c>
      <c r="AG581" s="532">
        <f t="shared" si="753"/>
        <v>4018.5793205375562</v>
      </c>
      <c r="AH581" s="532">
        <f t="shared" si="753"/>
        <v>4018.5793205375562</v>
      </c>
      <c r="AI581" s="532">
        <f t="shared" si="753"/>
        <v>4018.5793205375562</v>
      </c>
      <c r="AJ581" s="532">
        <f t="shared" si="753"/>
        <v>4018.5793205375562</v>
      </c>
      <c r="AK581" s="532">
        <f t="shared" si="753"/>
        <v>4018.5793205375562</v>
      </c>
      <c r="AL581" s="532">
        <f t="shared" si="753"/>
        <v>4018.5793205375562</v>
      </c>
      <c r="AM581" s="532">
        <f t="shared" si="753"/>
        <v>4018.5793205375562</v>
      </c>
      <c r="AN581" s="532">
        <f t="shared" si="753"/>
        <v>4018.5793205375562</v>
      </c>
      <c r="AO581" s="532">
        <f t="shared" si="753"/>
        <v>4018.5793205375562</v>
      </c>
      <c r="AP581" s="532">
        <f t="shared" si="753"/>
        <v>4228.36462790109</v>
      </c>
      <c r="AQ581" s="532">
        <f t="shared" si="753"/>
        <v>4228.36462790109</v>
      </c>
      <c r="AR581" s="532">
        <f t="shared" si="753"/>
        <v>4228.36462790109</v>
      </c>
      <c r="AS581" s="532">
        <f t="shared" si="753"/>
        <v>4228.36462790109</v>
      </c>
      <c r="AT581" s="532">
        <f t="shared" si="753"/>
        <v>4228.36462790109</v>
      </c>
      <c r="AU581" s="532">
        <f t="shared" si="753"/>
        <v>4228.36462790109</v>
      </c>
      <c r="AV581" s="532">
        <f t="shared" si="753"/>
        <v>4228.36462790109</v>
      </c>
      <c r="AW581" s="532">
        <f t="shared" si="753"/>
        <v>4228.36462790109</v>
      </c>
      <c r="AX581" s="532">
        <f t="shared" ref="AX581:BY581" si="754">AX517/AX$571</f>
        <v>4228.36462790109</v>
      </c>
      <c r="AY581" s="532">
        <f t="shared" si="754"/>
        <v>4228.36462790109</v>
      </c>
      <c r="AZ581" s="532">
        <f t="shared" si="754"/>
        <v>4228.36462790109</v>
      </c>
      <c r="BA581" s="532">
        <f t="shared" si="754"/>
        <v>4228.36462790109</v>
      </c>
      <c r="BB581" s="532">
        <f t="shared" si="754"/>
        <v>4436.0824219037204</v>
      </c>
      <c r="BC581" s="532">
        <f t="shared" si="754"/>
        <v>4436.0824219037204</v>
      </c>
      <c r="BD581" s="532">
        <f t="shared" si="754"/>
        <v>4436.0824219037204</v>
      </c>
      <c r="BE581" s="532">
        <f t="shared" si="754"/>
        <v>4436.0824219037204</v>
      </c>
      <c r="BF581" s="532">
        <f t="shared" si="754"/>
        <v>4436.0824219037204</v>
      </c>
      <c r="BG581" s="532">
        <f t="shared" si="754"/>
        <v>4436.0824219037204</v>
      </c>
      <c r="BH581" s="532">
        <f t="shared" si="754"/>
        <v>4436.0824219037204</v>
      </c>
      <c r="BI581" s="532">
        <f t="shared" si="754"/>
        <v>4436.0824219037204</v>
      </c>
      <c r="BJ581" s="532">
        <f t="shared" si="754"/>
        <v>4436.0824219037204</v>
      </c>
      <c r="BK581" s="532">
        <f t="shared" si="754"/>
        <v>4436.0824219037204</v>
      </c>
      <c r="BL581" s="532">
        <f t="shared" si="754"/>
        <v>4436.0824219037204</v>
      </c>
      <c r="BM581" s="532">
        <f t="shared" si="754"/>
        <v>4436.0824219037204</v>
      </c>
      <c r="BN581" s="532">
        <f t="shared" si="754"/>
        <v>4651.5354110040653</v>
      </c>
      <c r="BO581" s="532">
        <f t="shared" si="754"/>
        <v>4651.5354110040653</v>
      </c>
      <c r="BP581" s="532">
        <f t="shared" si="754"/>
        <v>4651.5354110040653</v>
      </c>
      <c r="BQ581" s="532">
        <f t="shared" si="754"/>
        <v>4651.5354110040653</v>
      </c>
      <c r="BR581" s="532">
        <f t="shared" si="754"/>
        <v>4651.5354110040653</v>
      </c>
      <c r="BS581" s="532">
        <f t="shared" si="754"/>
        <v>4651.5354110040653</v>
      </c>
      <c r="BT581" s="532">
        <f t="shared" si="754"/>
        <v>4651.5354110040653</v>
      </c>
      <c r="BU581" s="532">
        <f t="shared" si="754"/>
        <v>4651.5354110040653</v>
      </c>
      <c r="BV581" s="532">
        <f t="shared" si="754"/>
        <v>4651.5354110040653</v>
      </c>
      <c r="BW581" s="532">
        <f t="shared" si="754"/>
        <v>4651.5354110040653</v>
      </c>
      <c r="BX581" s="532">
        <f t="shared" si="754"/>
        <v>4651.5354110040653</v>
      </c>
      <c r="BY581" s="532">
        <f t="shared" si="754"/>
        <v>4651.5354110040653</v>
      </c>
      <c r="BZ581" s="537"/>
      <c r="CA581" s="537"/>
      <c r="CB581" s="537"/>
    </row>
    <row r="582" spans="1:80" x14ac:dyDescent="0.3">
      <c r="A582" s="551"/>
      <c r="B582" s="522"/>
      <c r="C582" s="522"/>
      <c r="D582" s="522"/>
      <c r="E582" s="525" t="s">
        <v>175</v>
      </c>
      <c r="F582" s="575"/>
      <c r="G582" s="575"/>
      <c r="H582" s="529"/>
      <c r="I582" s="531">
        <f t="shared" ref="I582:N582" si="755">IFERROR(I581/I576,0)</f>
        <v>0.45765520964663481</v>
      </c>
      <c r="J582" s="531">
        <f t="shared" si="755"/>
        <v>0.4666572586842429</v>
      </c>
      <c r="K582" s="531">
        <f t="shared" si="755"/>
        <v>0.47505954584391202</v>
      </c>
      <c r="L582" s="531">
        <f t="shared" si="755"/>
        <v>0.48281780963971688</v>
      </c>
      <c r="M582" s="531">
        <f t="shared" si="755"/>
        <v>0.48991769109326166</v>
      </c>
      <c r="N582" s="531">
        <f t="shared" si="755"/>
        <v>0.49685084536437407</v>
      </c>
      <c r="O582" s="546"/>
      <c r="P582" s="564">
        <f t="shared" si="744"/>
        <v>1.6570551096413366E-2</v>
      </c>
      <c r="Q582" s="529"/>
      <c r="R582" s="531">
        <f t="shared" ref="R582:BY582" si="756">IFERROR(R581/R576,0)</f>
        <v>0.46665725868424285</v>
      </c>
      <c r="S582" s="531">
        <f t="shared" si="756"/>
        <v>0.46665725868424285</v>
      </c>
      <c r="T582" s="531">
        <f t="shared" si="756"/>
        <v>0.46665725868424285</v>
      </c>
      <c r="U582" s="531">
        <f t="shared" si="756"/>
        <v>0.46665725868424285</v>
      </c>
      <c r="V582" s="531">
        <f t="shared" si="756"/>
        <v>0.46665725868424285</v>
      </c>
      <c r="W582" s="531">
        <f t="shared" si="756"/>
        <v>0.46665725868424285</v>
      </c>
      <c r="X582" s="531">
        <f t="shared" si="756"/>
        <v>0.46665725868424285</v>
      </c>
      <c r="Y582" s="531">
        <f t="shared" si="756"/>
        <v>0.46665725868424285</v>
      </c>
      <c r="Z582" s="531">
        <f t="shared" si="756"/>
        <v>0.46665725868424285</v>
      </c>
      <c r="AA582" s="531">
        <f t="shared" si="756"/>
        <v>0.46665725868424285</v>
      </c>
      <c r="AB582" s="531">
        <f t="shared" si="756"/>
        <v>0.46665725868424285</v>
      </c>
      <c r="AC582" s="531">
        <f t="shared" si="756"/>
        <v>0.46665725868424285</v>
      </c>
      <c r="AD582" s="531">
        <f t="shared" si="756"/>
        <v>0.47505954584391213</v>
      </c>
      <c r="AE582" s="531">
        <f t="shared" si="756"/>
        <v>0.47505954584391213</v>
      </c>
      <c r="AF582" s="531">
        <f t="shared" si="756"/>
        <v>0.47505954584391213</v>
      </c>
      <c r="AG582" s="531">
        <f t="shared" si="756"/>
        <v>0.47505954584391213</v>
      </c>
      <c r="AH582" s="531">
        <f t="shared" si="756"/>
        <v>0.47505954584391213</v>
      </c>
      <c r="AI582" s="531">
        <f t="shared" si="756"/>
        <v>0.47505954584391213</v>
      </c>
      <c r="AJ582" s="531">
        <f t="shared" si="756"/>
        <v>0.47505954584391213</v>
      </c>
      <c r="AK582" s="531">
        <f t="shared" si="756"/>
        <v>0.47505954584391213</v>
      </c>
      <c r="AL582" s="531">
        <f t="shared" si="756"/>
        <v>0.47505954584391213</v>
      </c>
      <c r="AM582" s="531">
        <f t="shared" si="756"/>
        <v>0.47505954584391213</v>
      </c>
      <c r="AN582" s="531">
        <f t="shared" si="756"/>
        <v>0.47505954584391213</v>
      </c>
      <c r="AO582" s="531">
        <f t="shared" si="756"/>
        <v>0.47505954584391213</v>
      </c>
      <c r="AP582" s="531">
        <f t="shared" si="756"/>
        <v>0.48281780963971682</v>
      </c>
      <c r="AQ582" s="531">
        <f t="shared" si="756"/>
        <v>0.48281780963971682</v>
      </c>
      <c r="AR582" s="531">
        <f t="shared" si="756"/>
        <v>0.48281780963971682</v>
      </c>
      <c r="AS582" s="531">
        <f t="shared" si="756"/>
        <v>0.48281780963971682</v>
      </c>
      <c r="AT582" s="531">
        <f t="shared" si="756"/>
        <v>0.48281780963971682</v>
      </c>
      <c r="AU582" s="531">
        <f t="shared" si="756"/>
        <v>0.48281780963971682</v>
      </c>
      <c r="AV582" s="531">
        <f t="shared" si="756"/>
        <v>0.48281780963971682</v>
      </c>
      <c r="AW582" s="531">
        <f t="shared" si="756"/>
        <v>0.48281780963971682</v>
      </c>
      <c r="AX582" s="531">
        <f t="shared" si="756"/>
        <v>0.48281780963971682</v>
      </c>
      <c r="AY582" s="531">
        <f t="shared" si="756"/>
        <v>0.48281780963971682</v>
      </c>
      <c r="AZ582" s="531">
        <f t="shared" si="756"/>
        <v>0.48281780963971682</v>
      </c>
      <c r="BA582" s="531">
        <f t="shared" si="756"/>
        <v>0.48281780963971682</v>
      </c>
      <c r="BB582" s="531">
        <f t="shared" si="756"/>
        <v>0.48991769109326166</v>
      </c>
      <c r="BC582" s="531">
        <f t="shared" si="756"/>
        <v>0.48991769109326166</v>
      </c>
      <c r="BD582" s="531">
        <f t="shared" si="756"/>
        <v>0.48991769109326166</v>
      </c>
      <c r="BE582" s="531">
        <f t="shared" si="756"/>
        <v>0.48991769109326166</v>
      </c>
      <c r="BF582" s="531">
        <f t="shared" si="756"/>
        <v>0.48991769109326166</v>
      </c>
      <c r="BG582" s="531">
        <f t="shared" si="756"/>
        <v>0.48991769109326166</v>
      </c>
      <c r="BH582" s="531">
        <f t="shared" si="756"/>
        <v>0.48991769109326166</v>
      </c>
      <c r="BI582" s="531">
        <f t="shared" si="756"/>
        <v>0.48991769109326166</v>
      </c>
      <c r="BJ582" s="531">
        <f t="shared" si="756"/>
        <v>0.48991769109326166</v>
      </c>
      <c r="BK582" s="531">
        <f t="shared" si="756"/>
        <v>0.48991769109326166</v>
      </c>
      <c r="BL582" s="531">
        <f t="shared" si="756"/>
        <v>0.48991769109326166</v>
      </c>
      <c r="BM582" s="531">
        <f t="shared" si="756"/>
        <v>0.48991769109326166</v>
      </c>
      <c r="BN582" s="531">
        <f t="shared" si="756"/>
        <v>0.49685084536437413</v>
      </c>
      <c r="BO582" s="531">
        <f t="shared" si="756"/>
        <v>0.49685084536437413</v>
      </c>
      <c r="BP582" s="531">
        <f t="shared" si="756"/>
        <v>0.49685084536437413</v>
      </c>
      <c r="BQ582" s="531">
        <f t="shared" si="756"/>
        <v>0.49685084536437413</v>
      </c>
      <c r="BR582" s="531">
        <f t="shared" si="756"/>
        <v>0.49685084536437413</v>
      </c>
      <c r="BS582" s="531">
        <f t="shared" si="756"/>
        <v>0.49685084536437413</v>
      </c>
      <c r="BT582" s="531">
        <f t="shared" si="756"/>
        <v>0.49685084536437413</v>
      </c>
      <c r="BU582" s="531">
        <f t="shared" si="756"/>
        <v>0.49685084536437413</v>
      </c>
      <c r="BV582" s="531">
        <f t="shared" si="756"/>
        <v>0.49685084536437413</v>
      </c>
      <c r="BW582" s="531">
        <f t="shared" si="756"/>
        <v>0.49685084536437413</v>
      </c>
      <c r="BX582" s="531">
        <f t="shared" si="756"/>
        <v>0.49685084536437413</v>
      </c>
      <c r="BY582" s="531">
        <f t="shared" si="756"/>
        <v>0.49685084536437413</v>
      </c>
      <c r="BZ582" s="537"/>
      <c r="CA582" s="537"/>
      <c r="CB582" s="529"/>
    </row>
    <row r="583" spans="1:80" x14ac:dyDescent="0.3">
      <c r="A583" s="551"/>
      <c r="B583" s="522"/>
      <c r="C583" s="522"/>
      <c r="D583" s="522"/>
      <c r="E583" s="525"/>
      <c r="F583" s="575"/>
      <c r="G583" s="575"/>
      <c r="H583" s="537"/>
      <c r="I583" s="529"/>
      <c r="J583" s="529"/>
      <c r="K583" s="529"/>
      <c r="L583" s="529"/>
      <c r="M583" s="529"/>
      <c r="N583" s="529"/>
      <c r="O583" s="529"/>
      <c r="P583" s="660"/>
      <c r="Q583" s="537"/>
      <c r="R583" s="529"/>
      <c r="S583" s="529"/>
      <c r="T583" s="529"/>
      <c r="U583" s="529"/>
      <c r="V583" s="529"/>
      <c r="W583" s="529"/>
      <c r="X583" s="529"/>
      <c r="Y583" s="529"/>
      <c r="Z583" s="529"/>
      <c r="AA583" s="529"/>
      <c r="AB583" s="529"/>
      <c r="AC583" s="529"/>
      <c r="AD583" s="529"/>
      <c r="AE583" s="529"/>
      <c r="AF583" s="529"/>
      <c r="AG583" s="529"/>
      <c r="AH583" s="529"/>
      <c r="AI583" s="529"/>
      <c r="AJ583" s="529"/>
      <c r="AK583" s="529"/>
      <c r="AL583" s="529"/>
      <c r="AM583" s="529"/>
      <c r="AN583" s="529"/>
      <c r="AO583" s="529"/>
      <c r="AP583" s="529"/>
      <c r="AQ583" s="529"/>
      <c r="AR583" s="529"/>
      <c r="AS583" s="529"/>
      <c r="AT583" s="529"/>
      <c r="AU583" s="529"/>
      <c r="AV583" s="529"/>
      <c r="AW583" s="529"/>
      <c r="AX583" s="529"/>
      <c r="AY583" s="529"/>
      <c r="AZ583" s="529"/>
      <c r="BA583" s="529"/>
      <c r="BB583" s="529"/>
      <c r="BC583" s="529"/>
      <c r="BD583" s="529"/>
      <c r="BE583" s="529"/>
      <c r="BF583" s="529"/>
      <c r="BG583" s="529"/>
      <c r="BH583" s="529"/>
      <c r="BI583" s="529"/>
      <c r="BJ583" s="529"/>
      <c r="BK583" s="529"/>
      <c r="BL583" s="529"/>
      <c r="BM583" s="529"/>
      <c r="BN583" s="529"/>
      <c r="BO583" s="529"/>
      <c r="BP583" s="529"/>
      <c r="BQ583" s="529"/>
      <c r="BR583" s="529"/>
      <c r="BS583" s="529"/>
      <c r="BT583" s="529"/>
      <c r="BU583" s="529"/>
      <c r="BV583" s="529"/>
      <c r="BW583" s="529"/>
      <c r="BX583" s="529"/>
      <c r="BY583" s="529"/>
      <c r="BZ583" s="537"/>
      <c r="CA583" s="537"/>
      <c r="CB583" s="537"/>
    </row>
    <row r="584" spans="1:80" x14ac:dyDescent="0.3">
      <c r="A584" s="551"/>
      <c r="B584" s="522"/>
      <c r="C584" s="522"/>
      <c r="D584" s="522"/>
      <c r="E584" s="570" t="s">
        <v>23</v>
      </c>
      <c r="F584" s="529"/>
      <c r="G584" s="529"/>
      <c r="H584" s="537"/>
      <c r="I584" s="529"/>
      <c r="J584" s="529"/>
      <c r="K584" s="529"/>
      <c r="L584" s="529"/>
      <c r="M584" s="529"/>
      <c r="N584" s="529"/>
      <c r="O584" s="529"/>
      <c r="P584" s="660"/>
      <c r="Q584" s="537"/>
      <c r="R584" s="529"/>
      <c r="S584" s="529"/>
      <c r="T584" s="529"/>
      <c r="U584" s="529"/>
      <c r="V584" s="529"/>
      <c r="W584" s="529"/>
      <c r="X584" s="529"/>
      <c r="Y584" s="529"/>
      <c r="Z584" s="529"/>
      <c r="AA584" s="529"/>
      <c r="AB584" s="529"/>
      <c r="AC584" s="529"/>
      <c r="AD584" s="529"/>
      <c r="AE584" s="529"/>
      <c r="AF584" s="529"/>
      <c r="AG584" s="529"/>
      <c r="AH584" s="529"/>
      <c r="AI584" s="529"/>
      <c r="AJ584" s="529"/>
      <c r="AK584" s="529"/>
      <c r="AL584" s="529"/>
      <c r="AM584" s="529"/>
      <c r="AN584" s="529"/>
      <c r="AO584" s="529"/>
      <c r="AP584" s="529"/>
      <c r="AQ584" s="529"/>
      <c r="AR584" s="529"/>
      <c r="AS584" s="529"/>
      <c r="AT584" s="529"/>
      <c r="AU584" s="529"/>
      <c r="AV584" s="529"/>
      <c r="AW584" s="529"/>
      <c r="AX584" s="529"/>
      <c r="AY584" s="529"/>
      <c r="AZ584" s="529"/>
      <c r="BA584" s="529"/>
      <c r="BB584" s="529"/>
      <c r="BC584" s="529"/>
      <c r="BD584" s="529"/>
      <c r="BE584" s="529"/>
      <c r="BF584" s="529"/>
      <c r="BG584" s="529"/>
      <c r="BH584" s="529"/>
      <c r="BI584" s="529"/>
      <c r="BJ584" s="529"/>
      <c r="BK584" s="529"/>
      <c r="BL584" s="529"/>
      <c r="BM584" s="529"/>
      <c r="BN584" s="529"/>
      <c r="BO584" s="529"/>
      <c r="BP584" s="529"/>
      <c r="BQ584" s="529"/>
      <c r="BR584" s="529"/>
      <c r="BS584" s="529"/>
      <c r="BT584" s="529"/>
      <c r="BU584" s="529"/>
      <c r="BV584" s="529"/>
      <c r="BW584" s="529"/>
      <c r="BX584" s="529"/>
      <c r="BY584" s="529"/>
      <c r="BZ584" s="537"/>
      <c r="CA584" s="537"/>
      <c r="CB584" s="537"/>
    </row>
    <row r="585" spans="1:80" x14ac:dyDescent="0.3">
      <c r="A585" s="551"/>
      <c r="B585" s="522"/>
      <c r="C585" s="522"/>
      <c r="D585" s="522"/>
      <c r="E585" s="572" t="s">
        <v>391</v>
      </c>
      <c r="F585" s="573"/>
      <c r="G585" s="573"/>
      <c r="H585" s="537"/>
      <c r="I585" s="532">
        <f t="shared" ref="I585:N590" si="757">I521/I$571</f>
        <v>4390.2858022319524</v>
      </c>
      <c r="J585" s="532">
        <f t="shared" si="757"/>
        <v>4390.2858022319524</v>
      </c>
      <c r="K585" s="532">
        <f t="shared" si="757"/>
        <v>4390.2858022319524</v>
      </c>
      <c r="L585" s="532">
        <f t="shared" si="757"/>
        <v>4390.2858022319524</v>
      </c>
      <c r="M585" s="532">
        <f t="shared" si="757"/>
        <v>4390.2858022319524</v>
      </c>
      <c r="N585" s="532">
        <f t="shared" si="757"/>
        <v>4390.2858022319524</v>
      </c>
      <c r="O585" s="536"/>
      <c r="P585" s="568">
        <f t="shared" ref="P585:P591" si="758">IFERROR(((N585/I585)^(1/5))-1,0)</f>
        <v>0</v>
      </c>
      <c r="Q585" s="537"/>
      <c r="R585" s="530">
        <f t="shared" ref="R585:AW585" si="759">R521/R$571</f>
        <v>365.85715018599598</v>
      </c>
      <c r="S585" s="532">
        <f t="shared" si="759"/>
        <v>365.85715018599598</v>
      </c>
      <c r="T585" s="532">
        <f t="shared" si="759"/>
        <v>365.85715018599598</v>
      </c>
      <c r="U585" s="532">
        <f t="shared" si="759"/>
        <v>365.85715018599598</v>
      </c>
      <c r="V585" s="530">
        <f t="shared" si="759"/>
        <v>365.85715018599598</v>
      </c>
      <c r="W585" s="532">
        <f t="shared" si="759"/>
        <v>365.85715018599598</v>
      </c>
      <c r="X585" s="532">
        <f t="shared" si="759"/>
        <v>365.85715018599598</v>
      </c>
      <c r="Y585" s="532">
        <f t="shared" si="759"/>
        <v>365.85715018599598</v>
      </c>
      <c r="Z585" s="532">
        <f t="shared" si="759"/>
        <v>365.85715018599598</v>
      </c>
      <c r="AA585" s="532">
        <f t="shared" si="759"/>
        <v>365.85715018599598</v>
      </c>
      <c r="AB585" s="532">
        <f t="shared" si="759"/>
        <v>365.85715018599598</v>
      </c>
      <c r="AC585" s="532">
        <f t="shared" si="759"/>
        <v>365.85715018599598</v>
      </c>
      <c r="AD585" s="532">
        <f t="shared" si="759"/>
        <v>365.85715018599598</v>
      </c>
      <c r="AE585" s="532">
        <f t="shared" si="759"/>
        <v>365.85715018599598</v>
      </c>
      <c r="AF585" s="532">
        <f t="shared" si="759"/>
        <v>365.85715018599598</v>
      </c>
      <c r="AG585" s="532">
        <f t="shared" si="759"/>
        <v>365.85715018599598</v>
      </c>
      <c r="AH585" s="532">
        <f t="shared" si="759"/>
        <v>365.85715018599598</v>
      </c>
      <c r="AI585" s="532">
        <f t="shared" si="759"/>
        <v>365.85715018599598</v>
      </c>
      <c r="AJ585" s="532">
        <f t="shared" si="759"/>
        <v>365.85715018599598</v>
      </c>
      <c r="AK585" s="532">
        <f t="shared" si="759"/>
        <v>365.85715018599598</v>
      </c>
      <c r="AL585" s="532">
        <f t="shared" si="759"/>
        <v>365.85715018599598</v>
      </c>
      <c r="AM585" s="532">
        <f t="shared" si="759"/>
        <v>365.85715018599598</v>
      </c>
      <c r="AN585" s="532">
        <f t="shared" si="759"/>
        <v>365.85715018599598</v>
      </c>
      <c r="AO585" s="532">
        <f t="shared" si="759"/>
        <v>365.85715018599598</v>
      </c>
      <c r="AP585" s="532">
        <f t="shared" si="759"/>
        <v>365.85715018599598</v>
      </c>
      <c r="AQ585" s="532">
        <f t="shared" si="759"/>
        <v>365.85715018599598</v>
      </c>
      <c r="AR585" s="532">
        <f t="shared" si="759"/>
        <v>365.85715018599598</v>
      </c>
      <c r="AS585" s="532">
        <f t="shared" si="759"/>
        <v>365.85715018599598</v>
      </c>
      <c r="AT585" s="532">
        <f t="shared" si="759"/>
        <v>365.85715018599598</v>
      </c>
      <c r="AU585" s="532">
        <f t="shared" si="759"/>
        <v>365.85715018599598</v>
      </c>
      <c r="AV585" s="532">
        <f t="shared" si="759"/>
        <v>365.85715018599598</v>
      </c>
      <c r="AW585" s="532">
        <f t="shared" si="759"/>
        <v>365.85715018599598</v>
      </c>
      <c r="AX585" s="532">
        <f t="shared" ref="AX585:BY585" si="760">AX521/AX$571</f>
        <v>365.85715018599598</v>
      </c>
      <c r="AY585" s="532">
        <f t="shared" si="760"/>
        <v>365.85715018599598</v>
      </c>
      <c r="AZ585" s="532">
        <f t="shared" si="760"/>
        <v>365.85715018599598</v>
      </c>
      <c r="BA585" s="532">
        <f t="shared" si="760"/>
        <v>365.85715018599598</v>
      </c>
      <c r="BB585" s="532">
        <f t="shared" si="760"/>
        <v>365.85715018599598</v>
      </c>
      <c r="BC585" s="532">
        <f t="shared" si="760"/>
        <v>365.85715018599598</v>
      </c>
      <c r="BD585" s="532">
        <f t="shared" si="760"/>
        <v>365.85715018599598</v>
      </c>
      <c r="BE585" s="532">
        <f t="shared" si="760"/>
        <v>365.85715018599598</v>
      </c>
      <c r="BF585" s="532">
        <f t="shared" si="760"/>
        <v>365.85715018599598</v>
      </c>
      <c r="BG585" s="532">
        <f t="shared" si="760"/>
        <v>365.85715018599598</v>
      </c>
      <c r="BH585" s="532">
        <f t="shared" si="760"/>
        <v>365.85715018599598</v>
      </c>
      <c r="BI585" s="532">
        <f t="shared" si="760"/>
        <v>365.85715018599598</v>
      </c>
      <c r="BJ585" s="532">
        <f t="shared" si="760"/>
        <v>365.85715018599598</v>
      </c>
      <c r="BK585" s="532">
        <f t="shared" si="760"/>
        <v>365.85715018599598</v>
      </c>
      <c r="BL585" s="532">
        <f t="shared" si="760"/>
        <v>365.85715018599598</v>
      </c>
      <c r="BM585" s="532">
        <f t="shared" si="760"/>
        <v>365.85715018599598</v>
      </c>
      <c r="BN585" s="532">
        <f t="shared" si="760"/>
        <v>365.85715018599598</v>
      </c>
      <c r="BO585" s="532">
        <f t="shared" si="760"/>
        <v>365.85715018599598</v>
      </c>
      <c r="BP585" s="532">
        <f t="shared" si="760"/>
        <v>365.85715018599598</v>
      </c>
      <c r="BQ585" s="532">
        <f t="shared" si="760"/>
        <v>365.85715018599598</v>
      </c>
      <c r="BR585" s="532">
        <f t="shared" si="760"/>
        <v>365.85715018599598</v>
      </c>
      <c r="BS585" s="532">
        <f t="shared" si="760"/>
        <v>365.85715018599598</v>
      </c>
      <c r="BT585" s="532">
        <f t="shared" si="760"/>
        <v>365.85715018599598</v>
      </c>
      <c r="BU585" s="532">
        <f t="shared" si="760"/>
        <v>365.85715018599598</v>
      </c>
      <c r="BV585" s="532">
        <f t="shared" si="760"/>
        <v>365.85715018599598</v>
      </c>
      <c r="BW585" s="532">
        <f t="shared" si="760"/>
        <v>365.85715018599598</v>
      </c>
      <c r="BX585" s="532">
        <f t="shared" si="760"/>
        <v>365.85715018599598</v>
      </c>
      <c r="BY585" s="532">
        <f t="shared" si="760"/>
        <v>365.85715018599598</v>
      </c>
      <c r="BZ585" s="537"/>
      <c r="CA585" s="537"/>
      <c r="CB585" s="537"/>
    </row>
    <row r="586" spans="1:80" x14ac:dyDescent="0.3">
      <c r="A586" s="551"/>
      <c r="B586" s="522"/>
      <c r="C586" s="522"/>
      <c r="D586" s="522"/>
      <c r="E586" s="525" t="s">
        <v>392</v>
      </c>
      <c r="F586" s="567"/>
      <c r="G586" s="567"/>
      <c r="H586" s="537"/>
      <c r="I586" s="527">
        <f t="shared" si="757"/>
        <v>-2269.4975649098651</v>
      </c>
      <c r="J586" s="527">
        <f t="shared" si="757"/>
        <v>-2269.4975649098651</v>
      </c>
      <c r="K586" s="527">
        <f t="shared" si="757"/>
        <v>-2269.4975649098651</v>
      </c>
      <c r="L586" s="527">
        <f t="shared" si="757"/>
        <v>-2269.4975649098651</v>
      </c>
      <c r="M586" s="527">
        <f t="shared" si="757"/>
        <v>-2269.4975649098651</v>
      </c>
      <c r="N586" s="527">
        <f t="shared" si="757"/>
        <v>-2269.4975649098651</v>
      </c>
      <c r="O586" s="529"/>
      <c r="P586" s="564">
        <f t="shared" si="758"/>
        <v>0</v>
      </c>
      <c r="Q586" s="537"/>
      <c r="R586" s="527">
        <f t="shared" ref="R586:AW586" si="761">R522/R$571</f>
        <v>-189.1247970758221</v>
      </c>
      <c r="S586" s="527">
        <f t="shared" si="761"/>
        <v>-189.1247970758221</v>
      </c>
      <c r="T586" s="527">
        <f t="shared" si="761"/>
        <v>-189.1247970758221</v>
      </c>
      <c r="U586" s="527">
        <f t="shared" si="761"/>
        <v>-189.1247970758221</v>
      </c>
      <c r="V586" s="527">
        <f t="shared" si="761"/>
        <v>-189.1247970758221</v>
      </c>
      <c r="W586" s="527">
        <f t="shared" si="761"/>
        <v>-189.1247970758221</v>
      </c>
      <c r="X586" s="527">
        <f t="shared" si="761"/>
        <v>-189.1247970758221</v>
      </c>
      <c r="Y586" s="527">
        <f t="shared" si="761"/>
        <v>-189.1247970758221</v>
      </c>
      <c r="Z586" s="527">
        <f t="shared" si="761"/>
        <v>-189.1247970758221</v>
      </c>
      <c r="AA586" s="527">
        <f t="shared" si="761"/>
        <v>-189.1247970758221</v>
      </c>
      <c r="AB586" s="527">
        <f t="shared" si="761"/>
        <v>-189.1247970758221</v>
      </c>
      <c r="AC586" s="527">
        <f t="shared" si="761"/>
        <v>-189.1247970758221</v>
      </c>
      <c r="AD586" s="527">
        <f t="shared" si="761"/>
        <v>-189.1247970758221</v>
      </c>
      <c r="AE586" s="527">
        <f t="shared" si="761"/>
        <v>-189.1247970758221</v>
      </c>
      <c r="AF586" s="527">
        <f t="shared" si="761"/>
        <v>-189.1247970758221</v>
      </c>
      <c r="AG586" s="527">
        <f t="shared" si="761"/>
        <v>-189.1247970758221</v>
      </c>
      <c r="AH586" s="527">
        <f t="shared" si="761"/>
        <v>-189.1247970758221</v>
      </c>
      <c r="AI586" s="527">
        <f t="shared" si="761"/>
        <v>-189.1247970758221</v>
      </c>
      <c r="AJ586" s="527">
        <f t="shared" si="761"/>
        <v>-189.1247970758221</v>
      </c>
      <c r="AK586" s="527">
        <f t="shared" si="761"/>
        <v>-189.1247970758221</v>
      </c>
      <c r="AL586" s="527">
        <f t="shared" si="761"/>
        <v>-189.1247970758221</v>
      </c>
      <c r="AM586" s="527">
        <f t="shared" si="761"/>
        <v>-189.1247970758221</v>
      </c>
      <c r="AN586" s="527">
        <f t="shared" si="761"/>
        <v>-189.1247970758221</v>
      </c>
      <c r="AO586" s="527">
        <f t="shared" si="761"/>
        <v>-189.1247970758221</v>
      </c>
      <c r="AP586" s="527">
        <f t="shared" si="761"/>
        <v>-189.1247970758221</v>
      </c>
      <c r="AQ586" s="527">
        <f t="shared" si="761"/>
        <v>-189.1247970758221</v>
      </c>
      <c r="AR586" s="527">
        <f t="shared" si="761"/>
        <v>-189.1247970758221</v>
      </c>
      <c r="AS586" s="527">
        <f t="shared" si="761"/>
        <v>-189.1247970758221</v>
      </c>
      <c r="AT586" s="527">
        <f t="shared" si="761"/>
        <v>-189.1247970758221</v>
      </c>
      <c r="AU586" s="527">
        <f t="shared" si="761"/>
        <v>-189.1247970758221</v>
      </c>
      <c r="AV586" s="527">
        <f t="shared" si="761"/>
        <v>-189.1247970758221</v>
      </c>
      <c r="AW586" s="527">
        <f t="shared" si="761"/>
        <v>-189.1247970758221</v>
      </c>
      <c r="AX586" s="527">
        <f t="shared" ref="AX586:BY586" si="762">AX522/AX$571</f>
        <v>-189.1247970758221</v>
      </c>
      <c r="AY586" s="527">
        <f t="shared" si="762"/>
        <v>-189.1247970758221</v>
      </c>
      <c r="AZ586" s="527">
        <f t="shared" si="762"/>
        <v>-189.1247970758221</v>
      </c>
      <c r="BA586" s="527">
        <f t="shared" si="762"/>
        <v>-189.1247970758221</v>
      </c>
      <c r="BB586" s="527">
        <f t="shared" si="762"/>
        <v>-189.1247970758221</v>
      </c>
      <c r="BC586" s="527">
        <f t="shared" si="762"/>
        <v>-189.1247970758221</v>
      </c>
      <c r="BD586" s="527">
        <f t="shared" si="762"/>
        <v>-189.1247970758221</v>
      </c>
      <c r="BE586" s="527">
        <f t="shared" si="762"/>
        <v>-189.1247970758221</v>
      </c>
      <c r="BF586" s="527">
        <f t="shared" si="762"/>
        <v>-189.1247970758221</v>
      </c>
      <c r="BG586" s="527">
        <f t="shared" si="762"/>
        <v>-189.1247970758221</v>
      </c>
      <c r="BH586" s="527">
        <f t="shared" si="762"/>
        <v>-189.1247970758221</v>
      </c>
      <c r="BI586" s="527">
        <f t="shared" si="762"/>
        <v>-189.1247970758221</v>
      </c>
      <c r="BJ586" s="527">
        <f t="shared" si="762"/>
        <v>-189.1247970758221</v>
      </c>
      <c r="BK586" s="527">
        <f t="shared" si="762"/>
        <v>-189.1247970758221</v>
      </c>
      <c r="BL586" s="527">
        <f t="shared" si="762"/>
        <v>-189.1247970758221</v>
      </c>
      <c r="BM586" s="527">
        <f t="shared" si="762"/>
        <v>-189.1247970758221</v>
      </c>
      <c r="BN586" s="527">
        <f t="shared" si="762"/>
        <v>-189.1247970758221</v>
      </c>
      <c r="BO586" s="527">
        <f t="shared" si="762"/>
        <v>-189.1247970758221</v>
      </c>
      <c r="BP586" s="527">
        <f t="shared" si="762"/>
        <v>-189.1247970758221</v>
      </c>
      <c r="BQ586" s="527">
        <f t="shared" si="762"/>
        <v>-189.1247970758221</v>
      </c>
      <c r="BR586" s="527">
        <f t="shared" si="762"/>
        <v>-189.1247970758221</v>
      </c>
      <c r="BS586" s="527">
        <f t="shared" si="762"/>
        <v>-189.1247970758221</v>
      </c>
      <c r="BT586" s="527">
        <f t="shared" si="762"/>
        <v>-189.1247970758221</v>
      </c>
      <c r="BU586" s="527">
        <f t="shared" si="762"/>
        <v>-189.1247970758221</v>
      </c>
      <c r="BV586" s="527">
        <f t="shared" si="762"/>
        <v>-189.1247970758221</v>
      </c>
      <c r="BW586" s="527">
        <f t="shared" si="762"/>
        <v>-189.1247970758221</v>
      </c>
      <c r="BX586" s="527">
        <f t="shared" si="762"/>
        <v>-189.1247970758221</v>
      </c>
      <c r="BY586" s="527">
        <f t="shared" si="762"/>
        <v>-189.1247970758221</v>
      </c>
      <c r="BZ586" s="537"/>
      <c r="CA586" s="537"/>
      <c r="CB586" s="537"/>
    </row>
    <row r="587" spans="1:80" x14ac:dyDescent="0.3">
      <c r="A587" s="551"/>
      <c r="B587" s="522"/>
      <c r="C587" s="522"/>
      <c r="D587" s="537"/>
      <c r="E587" s="525" t="s">
        <v>393</v>
      </c>
      <c r="F587" s="567"/>
      <c r="G587" s="567"/>
      <c r="H587" s="537"/>
      <c r="I587" s="527">
        <f t="shared" si="757"/>
        <v>-384.51965428746621</v>
      </c>
      <c r="J587" s="527">
        <f t="shared" si="757"/>
        <v>-384.51965428746621</v>
      </c>
      <c r="K587" s="527">
        <f t="shared" si="757"/>
        <v>-384.51965428746621</v>
      </c>
      <c r="L587" s="527">
        <f t="shared" si="757"/>
        <v>-384.51965428746621</v>
      </c>
      <c r="M587" s="527">
        <f t="shared" si="757"/>
        <v>-384.51965428746621</v>
      </c>
      <c r="N587" s="527">
        <f t="shared" si="757"/>
        <v>-384.51965428746621</v>
      </c>
      <c r="O587" s="529"/>
      <c r="P587" s="564">
        <f t="shared" si="758"/>
        <v>0</v>
      </c>
      <c r="Q587" s="537"/>
      <c r="R587" s="527">
        <f t="shared" ref="R587:AW587" si="763">R523/R$571</f>
        <v>-32.04330452395552</v>
      </c>
      <c r="S587" s="527">
        <f t="shared" si="763"/>
        <v>-32.04330452395552</v>
      </c>
      <c r="T587" s="527">
        <f t="shared" si="763"/>
        <v>-32.04330452395552</v>
      </c>
      <c r="U587" s="527">
        <f t="shared" si="763"/>
        <v>-32.04330452395552</v>
      </c>
      <c r="V587" s="527">
        <f t="shared" si="763"/>
        <v>-32.04330452395552</v>
      </c>
      <c r="W587" s="527">
        <f t="shared" si="763"/>
        <v>-32.04330452395552</v>
      </c>
      <c r="X587" s="527">
        <f t="shared" si="763"/>
        <v>-32.04330452395552</v>
      </c>
      <c r="Y587" s="527">
        <f t="shared" si="763"/>
        <v>-32.04330452395552</v>
      </c>
      <c r="Z587" s="527">
        <f t="shared" si="763"/>
        <v>-32.04330452395552</v>
      </c>
      <c r="AA587" s="527">
        <f t="shared" si="763"/>
        <v>-32.04330452395552</v>
      </c>
      <c r="AB587" s="527">
        <f t="shared" si="763"/>
        <v>-32.04330452395552</v>
      </c>
      <c r="AC587" s="527">
        <f t="shared" si="763"/>
        <v>-32.04330452395552</v>
      </c>
      <c r="AD587" s="527">
        <f t="shared" si="763"/>
        <v>-32.04330452395552</v>
      </c>
      <c r="AE587" s="527">
        <f t="shared" si="763"/>
        <v>-32.04330452395552</v>
      </c>
      <c r="AF587" s="527">
        <f t="shared" si="763"/>
        <v>-32.04330452395552</v>
      </c>
      <c r="AG587" s="527">
        <f t="shared" si="763"/>
        <v>-32.04330452395552</v>
      </c>
      <c r="AH587" s="527">
        <f t="shared" si="763"/>
        <v>-32.04330452395552</v>
      </c>
      <c r="AI587" s="527">
        <f t="shared" si="763"/>
        <v>-32.04330452395552</v>
      </c>
      <c r="AJ587" s="527">
        <f t="shared" si="763"/>
        <v>-32.04330452395552</v>
      </c>
      <c r="AK587" s="527">
        <f t="shared" si="763"/>
        <v>-32.04330452395552</v>
      </c>
      <c r="AL587" s="527">
        <f t="shared" si="763"/>
        <v>-32.04330452395552</v>
      </c>
      <c r="AM587" s="527">
        <f t="shared" si="763"/>
        <v>-32.04330452395552</v>
      </c>
      <c r="AN587" s="527">
        <f t="shared" si="763"/>
        <v>-32.04330452395552</v>
      </c>
      <c r="AO587" s="527">
        <f t="shared" si="763"/>
        <v>-32.04330452395552</v>
      </c>
      <c r="AP587" s="527">
        <f t="shared" si="763"/>
        <v>-32.04330452395552</v>
      </c>
      <c r="AQ587" s="527">
        <f t="shared" si="763"/>
        <v>-32.04330452395552</v>
      </c>
      <c r="AR587" s="527">
        <f t="shared" si="763"/>
        <v>-32.04330452395552</v>
      </c>
      <c r="AS587" s="527">
        <f t="shared" si="763"/>
        <v>-32.04330452395552</v>
      </c>
      <c r="AT587" s="527">
        <f t="shared" si="763"/>
        <v>-32.04330452395552</v>
      </c>
      <c r="AU587" s="527">
        <f t="shared" si="763"/>
        <v>-32.04330452395552</v>
      </c>
      <c r="AV587" s="527">
        <f t="shared" si="763"/>
        <v>-32.04330452395552</v>
      </c>
      <c r="AW587" s="527">
        <f t="shared" si="763"/>
        <v>-32.04330452395552</v>
      </c>
      <c r="AX587" s="527">
        <f t="shared" ref="AX587:BY587" si="764">AX523/AX$571</f>
        <v>-32.04330452395552</v>
      </c>
      <c r="AY587" s="527">
        <f t="shared" si="764"/>
        <v>-32.04330452395552</v>
      </c>
      <c r="AZ587" s="527">
        <f t="shared" si="764"/>
        <v>-32.04330452395552</v>
      </c>
      <c r="BA587" s="527">
        <f t="shared" si="764"/>
        <v>-32.04330452395552</v>
      </c>
      <c r="BB587" s="527">
        <f t="shared" si="764"/>
        <v>-32.04330452395552</v>
      </c>
      <c r="BC587" s="527">
        <f t="shared" si="764"/>
        <v>-32.04330452395552</v>
      </c>
      <c r="BD587" s="527">
        <f t="shared" si="764"/>
        <v>-32.04330452395552</v>
      </c>
      <c r="BE587" s="527">
        <f t="shared" si="764"/>
        <v>-32.04330452395552</v>
      </c>
      <c r="BF587" s="527">
        <f t="shared" si="764"/>
        <v>-32.04330452395552</v>
      </c>
      <c r="BG587" s="527">
        <f t="shared" si="764"/>
        <v>-32.04330452395552</v>
      </c>
      <c r="BH587" s="527">
        <f t="shared" si="764"/>
        <v>-32.04330452395552</v>
      </c>
      <c r="BI587" s="527">
        <f t="shared" si="764"/>
        <v>-32.04330452395552</v>
      </c>
      <c r="BJ587" s="527">
        <f t="shared" si="764"/>
        <v>-32.04330452395552</v>
      </c>
      <c r="BK587" s="527">
        <f t="shared" si="764"/>
        <v>-32.04330452395552</v>
      </c>
      <c r="BL587" s="527">
        <f t="shared" si="764"/>
        <v>-32.04330452395552</v>
      </c>
      <c r="BM587" s="527">
        <f t="shared" si="764"/>
        <v>-32.04330452395552</v>
      </c>
      <c r="BN587" s="527">
        <f t="shared" si="764"/>
        <v>-32.04330452395552</v>
      </c>
      <c r="BO587" s="527">
        <f t="shared" si="764"/>
        <v>-32.04330452395552</v>
      </c>
      <c r="BP587" s="527">
        <f t="shared" si="764"/>
        <v>-32.04330452395552</v>
      </c>
      <c r="BQ587" s="527">
        <f t="shared" si="764"/>
        <v>-32.04330452395552</v>
      </c>
      <c r="BR587" s="527">
        <f t="shared" si="764"/>
        <v>-32.04330452395552</v>
      </c>
      <c r="BS587" s="527">
        <f t="shared" si="764"/>
        <v>-32.04330452395552</v>
      </c>
      <c r="BT587" s="527">
        <f t="shared" si="764"/>
        <v>-32.04330452395552</v>
      </c>
      <c r="BU587" s="527">
        <f t="shared" si="764"/>
        <v>-32.04330452395552</v>
      </c>
      <c r="BV587" s="527">
        <f t="shared" si="764"/>
        <v>-32.04330452395552</v>
      </c>
      <c r="BW587" s="527">
        <f t="shared" si="764"/>
        <v>-32.04330452395552</v>
      </c>
      <c r="BX587" s="527">
        <f t="shared" si="764"/>
        <v>-32.04330452395552</v>
      </c>
      <c r="BY587" s="527">
        <f t="shared" si="764"/>
        <v>-32.04330452395552</v>
      </c>
      <c r="BZ587" s="537"/>
      <c r="CA587" s="537"/>
      <c r="CB587" s="537"/>
    </row>
    <row r="588" spans="1:80" x14ac:dyDescent="0.3">
      <c r="A588" s="551"/>
      <c r="B588" s="522"/>
      <c r="C588" s="522"/>
      <c r="D588" s="537"/>
      <c r="E588" s="572" t="s">
        <v>394</v>
      </c>
      <c r="F588" s="573"/>
      <c r="G588" s="573"/>
      <c r="H588" s="537"/>
      <c r="I588" s="532">
        <f t="shared" si="757"/>
        <v>1470.0612903225804</v>
      </c>
      <c r="J588" s="532">
        <f t="shared" si="757"/>
        <v>1736.2685830346211</v>
      </c>
      <c r="K588" s="532">
        <f t="shared" si="757"/>
        <v>1736.2685830346211</v>
      </c>
      <c r="L588" s="532">
        <f t="shared" si="757"/>
        <v>1736.2685830346211</v>
      </c>
      <c r="M588" s="532">
        <f t="shared" si="757"/>
        <v>1736.2685830346211</v>
      </c>
      <c r="N588" s="532">
        <f t="shared" si="757"/>
        <v>1736.2685830346211</v>
      </c>
      <c r="O588" s="536"/>
      <c r="P588" s="568">
        <f t="shared" si="758"/>
        <v>3.3847050359684605E-2</v>
      </c>
      <c r="Q588" s="537"/>
      <c r="R588" s="532">
        <f t="shared" ref="R588:AW588" si="765">R524/R$571</f>
        <v>144.68904858621841</v>
      </c>
      <c r="S588" s="532">
        <f t="shared" si="765"/>
        <v>144.68904858621841</v>
      </c>
      <c r="T588" s="532">
        <f t="shared" si="765"/>
        <v>144.68904858621841</v>
      </c>
      <c r="U588" s="532">
        <f t="shared" si="765"/>
        <v>144.68904858621841</v>
      </c>
      <c r="V588" s="532">
        <f t="shared" si="765"/>
        <v>144.68904858621841</v>
      </c>
      <c r="W588" s="532">
        <f t="shared" si="765"/>
        <v>144.68904858621841</v>
      </c>
      <c r="X588" s="532">
        <f t="shared" si="765"/>
        <v>144.68904858621841</v>
      </c>
      <c r="Y588" s="532">
        <f t="shared" si="765"/>
        <v>144.68904858621841</v>
      </c>
      <c r="Z588" s="532">
        <f t="shared" si="765"/>
        <v>144.68904858621841</v>
      </c>
      <c r="AA588" s="532">
        <f t="shared" si="765"/>
        <v>144.68904858621841</v>
      </c>
      <c r="AB588" s="532">
        <f t="shared" si="765"/>
        <v>144.68904858621841</v>
      </c>
      <c r="AC588" s="532">
        <f t="shared" si="765"/>
        <v>144.68904858621841</v>
      </c>
      <c r="AD588" s="532">
        <f t="shared" si="765"/>
        <v>144.68904858621841</v>
      </c>
      <c r="AE588" s="532">
        <f t="shared" si="765"/>
        <v>144.68904858621841</v>
      </c>
      <c r="AF588" s="532">
        <f t="shared" si="765"/>
        <v>144.68904858621841</v>
      </c>
      <c r="AG588" s="532">
        <f t="shared" si="765"/>
        <v>144.68904858621841</v>
      </c>
      <c r="AH588" s="532">
        <f t="shared" si="765"/>
        <v>144.68904858621841</v>
      </c>
      <c r="AI588" s="532">
        <f t="shared" si="765"/>
        <v>144.68904858621841</v>
      </c>
      <c r="AJ588" s="532">
        <f t="shared" si="765"/>
        <v>144.68904858621841</v>
      </c>
      <c r="AK588" s="532">
        <f t="shared" si="765"/>
        <v>144.68904858621841</v>
      </c>
      <c r="AL588" s="532">
        <f t="shared" si="765"/>
        <v>144.68904858621841</v>
      </c>
      <c r="AM588" s="532">
        <f t="shared" si="765"/>
        <v>144.68904858621841</v>
      </c>
      <c r="AN588" s="532">
        <f t="shared" si="765"/>
        <v>144.68904858621841</v>
      </c>
      <c r="AO588" s="532">
        <f t="shared" si="765"/>
        <v>144.68904858621841</v>
      </c>
      <c r="AP588" s="532">
        <f t="shared" si="765"/>
        <v>144.68904858621841</v>
      </c>
      <c r="AQ588" s="532">
        <f t="shared" si="765"/>
        <v>144.68904858621841</v>
      </c>
      <c r="AR588" s="532">
        <f t="shared" si="765"/>
        <v>144.68904858621841</v>
      </c>
      <c r="AS588" s="532">
        <f t="shared" si="765"/>
        <v>144.68904858621841</v>
      </c>
      <c r="AT588" s="532">
        <f t="shared" si="765"/>
        <v>144.68904858621841</v>
      </c>
      <c r="AU588" s="532">
        <f t="shared" si="765"/>
        <v>144.68904858621841</v>
      </c>
      <c r="AV588" s="532">
        <f t="shared" si="765"/>
        <v>144.68904858621841</v>
      </c>
      <c r="AW588" s="532">
        <f t="shared" si="765"/>
        <v>144.68904858621841</v>
      </c>
      <c r="AX588" s="532">
        <f t="shared" ref="AX588:BY588" si="766">AX524/AX$571</f>
        <v>144.68904858621841</v>
      </c>
      <c r="AY588" s="532">
        <f t="shared" si="766"/>
        <v>144.68904858621841</v>
      </c>
      <c r="AZ588" s="532">
        <f t="shared" si="766"/>
        <v>144.68904858621841</v>
      </c>
      <c r="BA588" s="532">
        <f t="shared" si="766"/>
        <v>144.68904858621841</v>
      </c>
      <c r="BB588" s="532">
        <f t="shared" si="766"/>
        <v>144.68904858621841</v>
      </c>
      <c r="BC588" s="532">
        <f t="shared" si="766"/>
        <v>144.68904858621841</v>
      </c>
      <c r="BD588" s="532">
        <f t="shared" si="766"/>
        <v>144.68904858621841</v>
      </c>
      <c r="BE588" s="532">
        <f t="shared" si="766"/>
        <v>144.68904858621841</v>
      </c>
      <c r="BF588" s="532">
        <f t="shared" si="766"/>
        <v>144.68904858621841</v>
      </c>
      <c r="BG588" s="532">
        <f t="shared" si="766"/>
        <v>144.68904858621841</v>
      </c>
      <c r="BH588" s="532">
        <f t="shared" si="766"/>
        <v>144.68904858621841</v>
      </c>
      <c r="BI588" s="532">
        <f t="shared" si="766"/>
        <v>144.68904858621841</v>
      </c>
      <c r="BJ588" s="532">
        <f t="shared" si="766"/>
        <v>144.68904858621841</v>
      </c>
      <c r="BK588" s="532">
        <f t="shared" si="766"/>
        <v>144.68904858621841</v>
      </c>
      <c r="BL588" s="532">
        <f t="shared" si="766"/>
        <v>144.68904858621841</v>
      </c>
      <c r="BM588" s="532">
        <f t="shared" si="766"/>
        <v>144.68904858621841</v>
      </c>
      <c r="BN588" s="532">
        <f t="shared" si="766"/>
        <v>144.68904858621841</v>
      </c>
      <c r="BO588" s="532">
        <f t="shared" si="766"/>
        <v>144.68904858621841</v>
      </c>
      <c r="BP588" s="532">
        <f t="shared" si="766"/>
        <v>144.68904858621841</v>
      </c>
      <c r="BQ588" s="532">
        <f t="shared" si="766"/>
        <v>144.68904858621841</v>
      </c>
      <c r="BR588" s="532">
        <f t="shared" si="766"/>
        <v>144.68904858621841</v>
      </c>
      <c r="BS588" s="532">
        <f t="shared" si="766"/>
        <v>144.68904858621841</v>
      </c>
      <c r="BT588" s="532">
        <f t="shared" si="766"/>
        <v>144.68904858621841</v>
      </c>
      <c r="BU588" s="532">
        <f t="shared" si="766"/>
        <v>144.68904858621841</v>
      </c>
      <c r="BV588" s="532">
        <f t="shared" si="766"/>
        <v>144.68904858621841</v>
      </c>
      <c r="BW588" s="532">
        <f t="shared" si="766"/>
        <v>144.68904858621841</v>
      </c>
      <c r="BX588" s="532">
        <f t="shared" si="766"/>
        <v>144.68904858621841</v>
      </c>
      <c r="BY588" s="532">
        <f t="shared" si="766"/>
        <v>144.68904858621841</v>
      </c>
      <c r="BZ588" s="537"/>
      <c r="CA588" s="537"/>
      <c r="CB588" s="537"/>
    </row>
    <row r="589" spans="1:80" x14ac:dyDescent="0.3">
      <c r="A589" s="551"/>
      <c r="B589" s="522"/>
      <c r="C589" s="522"/>
      <c r="D589" s="537"/>
      <c r="E589" s="525" t="s">
        <v>395</v>
      </c>
      <c r="F589" s="567"/>
      <c r="G589" s="567"/>
      <c r="H589" s="537"/>
      <c r="I589" s="527">
        <f t="shared" si="757"/>
        <v>-327.62376620025384</v>
      </c>
      <c r="J589" s="527">
        <f t="shared" si="757"/>
        <v>-327.62376620025384</v>
      </c>
      <c r="K589" s="527">
        <f t="shared" si="757"/>
        <v>-327.62376620025384</v>
      </c>
      <c r="L589" s="527">
        <f t="shared" si="757"/>
        <v>-327.62376620025384</v>
      </c>
      <c r="M589" s="527">
        <f t="shared" si="757"/>
        <v>-327.62376620025384</v>
      </c>
      <c r="N589" s="527">
        <f t="shared" si="757"/>
        <v>-327.62376620025384</v>
      </c>
      <c r="O589" s="529"/>
      <c r="P589" s="564">
        <f t="shared" si="758"/>
        <v>0</v>
      </c>
      <c r="Q589" s="537"/>
      <c r="R589" s="527">
        <f t="shared" ref="R589:AW589" si="767">R525/R$571</f>
        <v>-27.301980516687824</v>
      </c>
      <c r="S589" s="527">
        <f t="shared" si="767"/>
        <v>-27.301980516687824</v>
      </c>
      <c r="T589" s="527">
        <f t="shared" si="767"/>
        <v>-27.301980516687824</v>
      </c>
      <c r="U589" s="527">
        <f t="shared" si="767"/>
        <v>-27.301980516687824</v>
      </c>
      <c r="V589" s="527">
        <f t="shared" si="767"/>
        <v>-27.301980516687824</v>
      </c>
      <c r="W589" s="527">
        <f t="shared" si="767"/>
        <v>-27.301980516687824</v>
      </c>
      <c r="X589" s="527">
        <f t="shared" si="767"/>
        <v>-27.301980516687824</v>
      </c>
      <c r="Y589" s="527">
        <f t="shared" si="767"/>
        <v>-27.301980516687824</v>
      </c>
      <c r="Z589" s="527">
        <f t="shared" si="767"/>
        <v>-27.301980516687824</v>
      </c>
      <c r="AA589" s="527">
        <f t="shared" si="767"/>
        <v>-27.301980516687824</v>
      </c>
      <c r="AB589" s="527">
        <f t="shared" si="767"/>
        <v>-27.301980516687824</v>
      </c>
      <c r="AC589" s="527">
        <f t="shared" si="767"/>
        <v>-27.301980516687824</v>
      </c>
      <c r="AD589" s="527">
        <f t="shared" si="767"/>
        <v>-27.301980516687824</v>
      </c>
      <c r="AE589" s="527">
        <f t="shared" si="767"/>
        <v>-27.301980516687824</v>
      </c>
      <c r="AF589" s="527">
        <f t="shared" si="767"/>
        <v>-27.301980516687824</v>
      </c>
      <c r="AG589" s="527">
        <f t="shared" si="767"/>
        <v>-27.301980516687824</v>
      </c>
      <c r="AH589" s="527">
        <f t="shared" si="767"/>
        <v>-27.301980516687824</v>
      </c>
      <c r="AI589" s="527">
        <f t="shared" si="767"/>
        <v>-27.301980516687824</v>
      </c>
      <c r="AJ589" s="527">
        <f t="shared" si="767"/>
        <v>-27.301980516687824</v>
      </c>
      <c r="AK589" s="527">
        <f t="shared" si="767"/>
        <v>-27.301980516687824</v>
      </c>
      <c r="AL589" s="527">
        <f t="shared" si="767"/>
        <v>-27.301980516687824</v>
      </c>
      <c r="AM589" s="527">
        <f t="shared" si="767"/>
        <v>-27.301980516687824</v>
      </c>
      <c r="AN589" s="527">
        <f t="shared" si="767"/>
        <v>-27.301980516687824</v>
      </c>
      <c r="AO589" s="527">
        <f t="shared" si="767"/>
        <v>-27.301980516687824</v>
      </c>
      <c r="AP589" s="527">
        <f t="shared" si="767"/>
        <v>-27.301980516687824</v>
      </c>
      <c r="AQ589" s="527">
        <f t="shared" si="767"/>
        <v>-27.301980516687824</v>
      </c>
      <c r="AR589" s="527">
        <f t="shared" si="767"/>
        <v>-27.301980516687824</v>
      </c>
      <c r="AS589" s="527">
        <f t="shared" si="767"/>
        <v>-27.301980516687824</v>
      </c>
      <c r="AT589" s="527">
        <f t="shared" si="767"/>
        <v>-27.301980516687824</v>
      </c>
      <c r="AU589" s="527">
        <f t="shared" si="767"/>
        <v>-27.301980516687824</v>
      </c>
      <c r="AV589" s="527">
        <f t="shared" si="767"/>
        <v>-27.301980516687824</v>
      </c>
      <c r="AW589" s="527">
        <f t="shared" si="767"/>
        <v>-27.301980516687824</v>
      </c>
      <c r="AX589" s="527">
        <f t="shared" ref="AX589:BY589" si="768">AX525/AX$571</f>
        <v>-27.301980516687824</v>
      </c>
      <c r="AY589" s="527">
        <f t="shared" si="768"/>
        <v>-27.301980516687824</v>
      </c>
      <c r="AZ589" s="527">
        <f t="shared" si="768"/>
        <v>-27.301980516687824</v>
      </c>
      <c r="BA589" s="527">
        <f t="shared" si="768"/>
        <v>-27.301980516687824</v>
      </c>
      <c r="BB589" s="527">
        <f t="shared" si="768"/>
        <v>-27.301980516687824</v>
      </c>
      <c r="BC589" s="527">
        <f t="shared" si="768"/>
        <v>-27.301980516687824</v>
      </c>
      <c r="BD589" s="527">
        <f t="shared" si="768"/>
        <v>-27.301980516687824</v>
      </c>
      <c r="BE589" s="527">
        <f t="shared" si="768"/>
        <v>-27.301980516687824</v>
      </c>
      <c r="BF589" s="527">
        <f t="shared" si="768"/>
        <v>-27.301980516687824</v>
      </c>
      <c r="BG589" s="527">
        <f t="shared" si="768"/>
        <v>-27.301980516687824</v>
      </c>
      <c r="BH589" s="527">
        <f t="shared" si="768"/>
        <v>-27.301980516687824</v>
      </c>
      <c r="BI589" s="527">
        <f t="shared" si="768"/>
        <v>-27.301980516687824</v>
      </c>
      <c r="BJ589" s="527">
        <f t="shared" si="768"/>
        <v>-27.301980516687824</v>
      </c>
      <c r="BK589" s="527">
        <f t="shared" si="768"/>
        <v>-27.301980516687824</v>
      </c>
      <c r="BL589" s="527">
        <f t="shared" si="768"/>
        <v>-27.301980516687824</v>
      </c>
      <c r="BM589" s="527">
        <f t="shared" si="768"/>
        <v>-27.301980516687824</v>
      </c>
      <c r="BN589" s="527">
        <f t="shared" si="768"/>
        <v>-27.301980516687824</v>
      </c>
      <c r="BO589" s="527">
        <f t="shared" si="768"/>
        <v>-27.301980516687824</v>
      </c>
      <c r="BP589" s="527">
        <f t="shared" si="768"/>
        <v>-27.301980516687824</v>
      </c>
      <c r="BQ589" s="527">
        <f t="shared" si="768"/>
        <v>-27.301980516687824</v>
      </c>
      <c r="BR589" s="527">
        <f t="shared" si="768"/>
        <v>-27.301980516687824</v>
      </c>
      <c r="BS589" s="527">
        <f t="shared" si="768"/>
        <v>-27.301980516687824</v>
      </c>
      <c r="BT589" s="527">
        <f t="shared" si="768"/>
        <v>-27.301980516687824</v>
      </c>
      <c r="BU589" s="527">
        <f t="shared" si="768"/>
        <v>-27.301980516687824</v>
      </c>
      <c r="BV589" s="527">
        <f t="shared" si="768"/>
        <v>-27.301980516687824</v>
      </c>
      <c r="BW589" s="527">
        <f t="shared" si="768"/>
        <v>-27.301980516687824</v>
      </c>
      <c r="BX589" s="527">
        <f t="shared" si="768"/>
        <v>-27.301980516687824</v>
      </c>
      <c r="BY589" s="527">
        <f t="shared" si="768"/>
        <v>-27.301980516687824</v>
      </c>
      <c r="BZ589" s="537"/>
      <c r="CA589" s="537"/>
      <c r="CB589" s="537"/>
    </row>
    <row r="590" spans="1:80" x14ac:dyDescent="0.3">
      <c r="A590" s="551"/>
      <c r="B590" s="522"/>
      <c r="C590" s="522"/>
      <c r="D590" s="537"/>
      <c r="E590" s="572" t="s">
        <v>396</v>
      </c>
      <c r="F590" s="573"/>
      <c r="G590" s="573"/>
      <c r="H590" s="537"/>
      <c r="I590" s="532">
        <f t="shared" si="757"/>
        <v>1408.6448168343659</v>
      </c>
      <c r="J590" s="532">
        <f t="shared" si="757"/>
        <v>1408.6448168343672</v>
      </c>
      <c r="K590" s="532">
        <f t="shared" si="757"/>
        <v>1408.6448168343672</v>
      </c>
      <c r="L590" s="532">
        <f t="shared" si="757"/>
        <v>1408.6448168343672</v>
      </c>
      <c r="M590" s="532">
        <f t="shared" si="757"/>
        <v>1408.6448168343672</v>
      </c>
      <c r="N590" s="532">
        <f t="shared" si="757"/>
        <v>1408.6448168343672</v>
      </c>
      <c r="O590" s="536"/>
      <c r="P590" s="568">
        <f t="shared" si="758"/>
        <v>2.2204460492503131E-16</v>
      </c>
      <c r="Q590" s="537"/>
      <c r="R590" s="530">
        <f t="shared" ref="R590:AW590" si="769">R526/R$571</f>
        <v>117.38706806953057</v>
      </c>
      <c r="S590" s="532">
        <f t="shared" si="769"/>
        <v>117.38706806953057</v>
      </c>
      <c r="T590" s="532">
        <f t="shared" si="769"/>
        <v>117.38706806953057</v>
      </c>
      <c r="U590" s="532">
        <f t="shared" si="769"/>
        <v>117.38706806953057</v>
      </c>
      <c r="V590" s="530">
        <f t="shared" si="769"/>
        <v>117.38706806953057</v>
      </c>
      <c r="W590" s="530">
        <f t="shared" si="769"/>
        <v>117.38706806953057</v>
      </c>
      <c r="X590" s="532">
        <f t="shared" si="769"/>
        <v>117.38706806953057</v>
      </c>
      <c r="Y590" s="532">
        <f t="shared" si="769"/>
        <v>117.38706806953057</v>
      </c>
      <c r="Z590" s="532">
        <f t="shared" si="769"/>
        <v>117.38706806953057</v>
      </c>
      <c r="AA590" s="532">
        <f t="shared" si="769"/>
        <v>117.38706806953057</v>
      </c>
      <c r="AB590" s="532">
        <f t="shared" si="769"/>
        <v>117.38706806953057</v>
      </c>
      <c r="AC590" s="532">
        <f t="shared" si="769"/>
        <v>117.38706806953057</v>
      </c>
      <c r="AD590" s="532">
        <f t="shared" si="769"/>
        <v>117.38706806953057</v>
      </c>
      <c r="AE590" s="532">
        <f t="shared" si="769"/>
        <v>117.38706806953057</v>
      </c>
      <c r="AF590" s="532">
        <f t="shared" si="769"/>
        <v>117.38706806953057</v>
      </c>
      <c r="AG590" s="532">
        <f t="shared" si="769"/>
        <v>117.38706806953057</v>
      </c>
      <c r="AH590" s="532">
        <f t="shared" si="769"/>
        <v>117.38706806953057</v>
      </c>
      <c r="AI590" s="532">
        <f t="shared" si="769"/>
        <v>117.38706806953057</v>
      </c>
      <c r="AJ590" s="532">
        <f t="shared" si="769"/>
        <v>117.38706806953057</v>
      </c>
      <c r="AK590" s="532">
        <f t="shared" si="769"/>
        <v>117.38706806953057</v>
      </c>
      <c r="AL590" s="532">
        <f t="shared" si="769"/>
        <v>117.38706806953057</v>
      </c>
      <c r="AM590" s="532">
        <f t="shared" si="769"/>
        <v>117.38706806953057</v>
      </c>
      <c r="AN590" s="532">
        <f t="shared" si="769"/>
        <v>117.38706806953057</v>
      </c>
      <c r="AO590" s="532">
        <f t="shared" si="769"/>
        <v>117.38706806953057</v>
      </c>
      <c r="AP590" s="532">
        <f t="shared" si="769"/>
        <v>117.38706806953057</v>
      </c>
      <c r="AQ590" s="532">
        <f t="shared" si="769"/>
        <v>117.38706806953057</v>
      </c>
      <c r="AR590" s="532">
        <f t="shared" si="769"/>
        <v>117.38706806953057</v>
      </c>
      <c r="AS590" s="532">
        <f t="shared" si="769"/>
        <v>117.38706806953057</v>
      </c>
      <c r="AT590" s="532">
        <f t="shared" si="769"/>
        <v>117.38706806953057</v>
      </c>
      <c r="AU590" s="532">
        <f t="shared" si="769"/>
        <v>117.38706806953057</v>
      </c>
      <c r="AV590" s="532">
        <f t="shared" si="769"/>
        <v>117.38706806953057</v>
      </c>
      <c r="AW590" s="532">
        <f t="shared" si="769"/>
        <v>117.38706806953057</v>
      </c>
      <c r="AX590" s="532">
        <f t="shared" ref="AX590:BY590" si="770">AX526/AX$571</f>
        <v>117.38706806953057</v>
      </c>
      <c r="AY590" s="532">
        <f t="shared" si="770"/>
        <v>117.38706806953057</v>
      </c>
      <c r="AZ590" s="532">
        <f t="shared" si="770"/>
        <v>117.38706806953057</v>
      </c>
      <c r="BA590" s="532">
        <f t="shared" si="770"/>
        <v>117.38706806953057</v>
      </c>
      <c r="BB590" s="532">
        <f t="shared" si="770"/>
        <v>117.38706806953057</v>
      </c>
      <c r="BC590" s="532">
        <f t="shared" si="770"/>
        <v>117.38706806953057</v>
      </c>
      <c r="BD590" s="532">
        <f t="shared" si="770"/>
        <v>117.38706806953057</v>
      </c>
      <c r="BE590" s="532">
        <f t="shared" si="770"/>
        <v>117.38706806953057</v>
      </c>
      <c r="BF590" s="532">
        <f t="shared" si="770"/>
        <v>117.38706806953057</v>
      </c>
      <c r="BG590" s="532">
        <f t="shared" si="770"/>
        <v>117.38706806953057</v>
      </c>
      <c r="BH590" s="532">
        <f t="shared" si="770"/>
        <v>117.38706806953057</v>
      </c>
      <c r="BI590" s="532">
        <f t="shared" si="770"/>
        <v>117.38706806953057</v>
      </c>
      <c r="BJ590" s="532">
        <f t="shared" si="770"/>
        <v>117.38706806953057</v>
      </c>
      <c r="BK590" s="532">
        <f t="shared" si="770"/>
        <v>117.38706806953057</v>
      </c>
      <c r="BL590" s="532">
        <f t="shared" si="770"/>
        <v>117.38706806953057</v>
      </c>
      <c r="BM590" s="532">
        <f t="shared" si="770"/>
        <v>117.38706806953057</v>
      </c>
      <c r="BN590" s="532">
        <f t="shared" si="770"/>
        <v>117.38706806953057</v>
      </c>
      <c r="BO590" s="532">
        <f t="shared" si="770"/>
        <v>117.38706806953057</v>
      </c>
      <c r="BP590" s="532">
        <f t="shared" si="770"/>
        <v>117.38706806953057</v>
      </c>
      <c r="BQ590" s="532">
        <f t="shared" si="770"/>
        <v>117.38706806953057</v>
      </c>
      <c r="BR590" s="532">
        <f t="shared" si="770"/>
        <v>117.38706806953057</v>
      </c>
      <c r="BS590" s="532">
        <f t="shared" si="770"/>
        <v>117.38706806953057</v>
      </c>
      <c r="BT590" s="532">
        <f t="shared" si="770"/>
        <v>117.38706806953057</v>
      </c>
      <c r="BU590" s="532">
        <f t="shared" si="770"/>
        <v>117.38706806953057</v>
      </c>
      <c r="BV590" s="532">
        <f t="shared" si="770"/>
        <v>117.38706806953057</v>
      </c>
      <c r="BW590" s="532">
        <f t="shared" si="770"/>
        <v>117.38706806953057</v>
      </c>
      <c r="BX590" s="532">
        <f t="shared" si="770"/>
        <v>117.38706806953057</v>
      </c>
      <c r="BY590" s="532">
        <f t="shared" si="770"/>
        <v>117.38706806953057</v>
      </c>
      <c r="BZ590" s="537"/>
      <c r="CA590" s="537"/>
      <c r="CB590" s="537"/>
    </row>
    <row r="591" spans="1:80" x14ac:dyDescent="0.3">
      <c r="A591" s="551"/>
      <c r="B591" s="522"/>
      <c r="C591" s="522"/>
      <c r="D591" s="537"/>
      <c r="E591" s="525" t="s">
        <v>176</v>
      </c>
      <c r="F591" s="576"/>
      <c r="G591" s="576"/>
      <c r="H591" s="529"/>
      <c r="I591" s="531">
        <f t="shared" ref="I591:N591" si="771">IFERROR(I590/I585,0)</f>
        <v>0.32085492386810738</v>
      </c>
      <c r="J591" s="531">
        <f t="shared" si="771"/>
        <v>0.32085492386810771</v>
      </c>
      <c r="K591" s="531">
        <f t="shared" si="771"/>
        <v>0.32085492386810771</v>
      </c>
      <c r="L591" s="531">
        <f t="shared" si="771"/>
        <v>0.32085492386810771</v>
      </c>
      <c r="M591" s="531">
        <f t="shared" si="771"/>
        <v>0.32085492386810771</v>
      </c>
      <c r="N591" s="531">
        <f t="shared" si="771"/>
        <v>0.32085492386810771</v>
      </c>
      <c r="O591" s="546"/>
      <c r="P591" s="564">
        <f t="shared" si="758"/>
        <v>2.2204460492503131E-16</v>
      </c>
      <c r="Q591" s="529"/>
      <c r="R591" s="531">
        <f t="shared" ref="R591:BY591" si="772">IFERROR(R590/R585,0)</f>
        <v>0.32085492386810766</v>
      </c>
      <c r="S591" s="531">
        <f t="shared" si="772"/>
        <v>0.32085492386810766</v>
      </c>
      <c r="T591" s="531">
        <f t="shared" si="772"/>
        <v>0.32085492386810766</v>
      </c>
      <c r="U591" s="531">
        <f t="shared" si="772"/>
        <v>0.32085492386810766</v>
      </c>
      <c r="V591" s="531">
        <f t="shared" si="772"/>
        <v>0.32085492386810766</v>
      </c>
      <c r="W591" s="531">
        <f t="shared" si="772"/>
        <v>0.32085492386810766</v>
      </c>
      <c r="X591" s="531">
        <f t="shared" si="772"/>
        <v>0.32085492386810766</v>
      </c>
      <c r="Y591" s="531">
        <f t="shared" si="772"/>
        <v>0.32085492386810766</v>
      </c>
      <c r="Z591" s="531">
        <f t="shared" si="772"/>
        <v>0.32085492386810766</v>
      </c>
      <c r="AA591" s="531">
        <f t="shared" si="772"/>
        <v>0.32085492386810766</v>
      </c>
      <c r="AB591" s="531">
        <f t="shared" si="772"/>
        <v>0.32085492386810766</v>
      </c>
      <c r="AC591" s="531">
        <f t="shared" si="772"/>
        <v>0.32085492386810766</v>
      </c>
      <c r="AD591" s="531">
        <f t="shared" si="772"/>
        <v>0.32085492386810766</v>
      </c>
      <c r="AE591" s="531">
        <f t="shared" si="772"/>
        <v>0.32085492386810766</v>
      </c>
      <c r="AF591" s="531">
        <f t="shared" si="772"/>
        <v>0.32085492386810766</v>
      </c>
      <c r="AG591" s="531">
        <f t="shared" si="772"/>
        <v>0.32085492386810766</v>
      </c>
      <c r="AH591" s="531">
        <f t="shared" si="772"/>
        <v>0.32085492386810766</v>
      </c>
      <c r="AI591" s="531">
        <f t="shared" si="772"/>
        <v>0.32085492386810766</v>
      </c>
      <c r="AJ591" s="531">
        <f t="shared" si="772"/>
        <v>0.32085492386810766</v>
      </c>
      <c r="AK591" s="531">
        <f t="shared" si="772"/>
        <v>0.32085492386810766</v>
      </c>
      <c r="AL591" s="531">
        <f t="shared" si="772"/>
        <v>0.32085492386810766</v>
      </c>
      <c r="AM591" s="531">
        <f t="shared" si="772"/>
        <v>0.32085492386810766</v>
      </c>
      <c r="AN591" s="531">
        <f t="shared" si="772"/>
        <v>0.32085492386810766</v>
      </c>
      <c r="AO591" s="531">
        <f t="shared" si="772"/>
        <v>0.32085492386810766</v>
      </c>
      <c r="AP591" s="531">
        <f t="shared" si="772"/>
        <v>0.32085492386810766</v>
      </c>
      <c r="AQ591" s="531">
        <f t="shared" si="772"/>
        <v>0.32085492386810766</v>
      </c>
      <c r="AR591" s="531">
        <f t="shared" si="772"/>
        <v>0.32085492386810766</v>
      </c>
      <c r="AS591" s="531">
        <f t="shared" si="772"/>
        <v>0.32085492386810766</v>
      </c>
      <c r="AT591" s="531">
        <f t="shared" si="772"/>
        <v>0.32085492386810766</v>
      </c>
      <c r="AU591" s="531">
        <f t="shared" si="772"/>
        <v>0.32085492386810766</v>
      </c>
      <c r="AV591" s="531">
        <f t="shared" si="772"/>
        <v>0.32085492386810766</v>
      </c>
      <c r="AW591" s="531">
        <f t="shared" si="772"/>
        <v>0.32085492386810766</v>
      </c>
      <c r="AX591" s="531">
        <f t="shared" si="772"/>
        <v>0.32085492386810766</v>
      </c>
      <c r="AY591" s="531">
        <f t="shared" si="772"/>
        <v>0.32085492386810766</v>
      </c>
      <c r="AZ591" s="531">
        <f t="shared" si="772"/>
        <v>0.32085492386810766</v>
      </c>
      <c r="BA591" s="531">
        <f t="shared" si="772"/>
        <v>0.32085492386810766</v>
      </c>
      <c r="BB591" s="531">
        <f t="shared" si="772"/>
        <v>0.32085492386810766</v>
      </c>
      <c r="BC591" s="531">
        <f t="shared" si="772"/>
        <v>0.32085492386810766</v>
      </c>
      <c r="BD591" s="531">
        <f t="shared" si="772"/>
        <v>0.32085492386810766</v>
      </c>
      <c r="BE591" s="531">
        <f t="shared" si="772"/>
        <v>0.32085492386810766</v>
      </c>
      <c r="BF591" s="531">
        <f t="shared" si="772"/>
        <v>0.32085492386810766</v>
      </c>
      <c r="BG591" s="531">
        <f t="shared" si="772"/>
        <v>0.32085492386810766</v>
      </c>
      <c r="BH591" s="531">
        <f t="shared" si="772"/>
        <v>0.32085492386810766</v>
      </c>
      <c r="BI591" s="531">
        <f t="shared" si="772"/>
        <v>0.32085492386810766</v>
      </c>
      <c r="BJ591" s="531">
        <f t="shared" si="772"/>
        <v>0.32085492386810766</v>
      </c>
      <c r="BK591" s="531">
        <f t="shared" si="772"/>
        <v>0.32085492386810766</v>
      </c>
      <c r="BL591" s="531">
        <f t="shared" si="772"/>
        <v>0.32085492386810766</v>
      </c>
      <c r="BM591" s="531">
        <f t="shared" si="772"/>
        <v>0.32085492386810766</v>
      </c>
      <c r="BN591" s="531">
        <f t="shared" si="772"/>
        <v>0.32085492386810766</v>
      </c>
      <c r="BO591" s="531">
        <f t="shared" si="772"/>
        <v>0.32085492386810766</v>
      </c>
      <c r="BP591" s="531">
        <f t="shared" si="772"/>
        <v>0.32085492386810766</v>
      </c>
      <c r="BQ591" s="531">
        <f t="shared" si="772"/>
        <v>0.32085492386810766</v>
      </c>
      <c r="BR591" s="531">
        <f t="shared" si="772"/>
        <v>0.32085492386810766</v>
      </c>
      <c r="BS591" s="531">
        <f t="shared" si="772"/>
        <v>0.32085492386810766</v>
      </c>
      <c r="BT591" s="531">
        <f t="shared" si="772"/>
        <v>0.32085492386810766</v>
      </c>
      <c r="BU591" s="531">
        <f t="shared" si="772"/>
        <v>0.32085492386810766</v>
      </c>
      <c r="BV591" s="531">
        <f t="shared" si="772"/>
        <v>0.32085492386810766</v>
      </c>
      <c r="BW591" s="531">
        <f t="shared" si="772"/>
        <v>0.32085492386810766</v>
      </c>
      <c r="BX591" s="531">
        <f t="shared" si="772"/>
        <v>0.32085492386810766</v>
      </c>
      <c r="BY591" s="531">
        <f t="shared" si="772"/>
        <v>0.32085492386810766</v>
      </c>
      <c r="BZ591" s="537"/>
      <c r="CA591" s="537"/>
      <c r="CB591" s="529"/>
    </row>
    <row r="592" spans="1:80" x14ac:dyDescent="0.3">
      <c r="A592" s="551"/>
      <c r="B592" s="522"/>
      <c r="C592" s="522"/>
      <c r="D592" s="537"/>
      <c r="E592" s="525"/>
      <c r="F592" s="576"/>
      <c r="G592" s="576"/>
      <c r="H592" s="537"/>
      <c r="I592" s="533"/>
      <c r="J592" s="533"/>
      <c r="K592" s="533"/>
      <c r="L592" s="533"/>
      <c r="M592" s="533"/>
      <c r="N592" s="533"/>
      <c r="O592" s="533"/>
      <c r="P592" s="662"/>
      <c r="Q592" s="537"/>
      <c r="R592" s="533"/>
      <c r="S592" s="533"/>
      <c r="T592" s="533"/>
      <c r="U592" s="533"/>
      <c r="V592" s="533"/>
      <c r="W592" s="533"/>
      <c r="X592" s="533"/>
      <c r="Y592" s="533"/>
      <c r="Z592" s="533"/>
      <c r="AA592" s="533"/>
      <c r="AB592" s="533"/>
      <c r="AC592" s="533"/>
      <c r="AD592" s="533"/>
      <c r="AE592" s="533"/>
      <c r="AF592" s="533"/>
      <c r="AG592" s="533"/>
      <c r="AH592" s="533"/>
      <c r="AI592" s="533"/>
      <c r="AJ592" s="533"/>
      <c r="AK592" s="533"/>
      <c r="AL592" s="533"/>
      <c r="AM592" s="533"/>
      <c r="AN592" s="533"/>
      <c r="AO592" s="533"/>
      <c r="AP592" s="533"/>
      <c r="AQ592" s="533"/>
      <c r="AR592" s="533"/>
      <c r="AS592" s="533"/>
      <c r="AT592" s="533"/>
      <c r="AU592" s="533"/>
      <c r="AV592" s="533"/>
      <c r="AW592" s="533"/>
      <c r="AX592" s="533"/>
      <c r="AY592" s="533"/>
      <c r="AZ592" s="533"/>
      <c r="BA592" s="533"/>
      <c r="BB592" s="533"/>
      <c r="BC592" s="533"/>
      <c r="BD592" s="533"/>
      <c r="BE592" s="533"/>
      <c r="BF592" s="533"/>
      <c r="BG592" s="533"/>
      <c r="BH592" s="533"/>
      <c r="BI592" s="533"/>
      <c r="BJ592" s="533"/>
      <c r="BK592" s="533"/>
      <c r="BL592" s="533"/>
      <c r="BM592" s="533"/>
      <c r="BN592" s="533"/>
      <c r="BO592" s="533"/>
      <c r="BP592" s="533"/>
      <c r="BQ592" s="533"/>
      <c r="BR592" s="533"/>
      <c r="BS592" s="533"/>
      <c r="BT592" s="533"/>
      <c r="BU592" s="533"/>
      <c r="BV592" s="533"/>
      <c r="BW592" s="533"/>
      <c r="BX592" s="533"/>
      <c r="BY592" s="533"/>
      <c r="BZ592" s="537"/>
      <c r="CA592" s="537"/>
      <c r="CB592" s="537"/>
    </row>
    <row r="593" spans="1:77" x14ac:dyDescent="0.3">
      <c r="A593" s="551"/>
      <c r="B593" s="522"/>
      <c r="C593" s="522"/>
      <c r="D593" s="537"/>
      <c r="E593" s="578" t="s">
        <v>24</v>
      </c>
      <c r="F593" s="579"/>
      <c r="G593" s="579"/>
      <c r="H593" s="537"/>
      <c r="I593" s="534">
        <f t="shared" ref="I593:N593" si="773">I529/I$571</f>
        <v>44605.835274456542</v>
      </c>
      <c r="J593" s="534">
        <f t="shared" si="773"/>
        <v>47109.228287880585</v>
      </c>
      <c r="K593" s="534">
        <f t="shared" si="773"/>
        <v>49631.596663285025</v>
      </c>
      <c r="L593" s="534">
        <f t="shared" si="773"/>
        <v>52149.020351647443</v>
      </c>
      <c r="M593" s="534">
        <f t="shared" si="773"/>
        <v>54641.633879679008</v>
      </c>
      <c r="N593" s="534">
        <f t="shared" si="773"/>
        <v>57227.069748883143</v>
      </c>
      <c r="O593" s="536"/>
      <c r="P593" s="568">
        <f>IFERROR(((N593/I593)^(1/5))-1,0)</f>
        <v>5.1094991172281112E-2</v>
      </c>
      <c r="Q593" s="537"/>
      <c r="R593" s="534">
        <f t="shared" ref="R593:AW593" si="774">R529/R$571</f>
        <v>3925.7690239900494</v>
      </c>
      <c r="S593" s="534">
        <f t="shared" si="774"/>
        <v>3925.7690239900494</v>
      </c>
      <c r="T593" s="534">
        <f t="shared" si="774"/>
        <v>3925.7690239900494</v>
      </c>
      <c r="U593" s="534">
        <f t="shared" si="774"/>
        <v>3925.7690239900494</v>
      </c>
      <c r="V593" s="534">
        <f t="shared" si="774"/>
        <v>3925.7690239900494</v>
      </c>
      <c r="W593" s="534">
        <f t="shared" si="774"/>
        <v>3925.7690239900494</v>
      </c>
      <c r="X593" s="534">
        <f t="shared" si="774"/>
        <v>3925.7690239900494</v>
      </c>
      <c r="Y593" s="534">
        <f t="shared" si="774"/>
        <v>3925.7690239900494</v>
      </c>
      <c r="Z593" s="534">
        <f t="shared" si="774"/>
        <v>3925.7690239900494</v>
      </c>
      <c r="AA593" s="534">
        <f t="shared" si="774"/>
        <v>3925.7690239900494</v>
      </c>
      <c r="AB593" s="534">
        <f t="shared" si="774"/>
        <v>3925.7690239900494</v>
      </c>
      <c r="AC593" s="534">
        <f t="shared" si="774"/>
        <v>3925.7690239900494</v>
      </c>
      <c r="AD593" s="534">
        <f t="shared" si="774"/>
        <v>4135.9663886070866</v>
      </c>
      <c r="AE593" s="534">
        <f t="shared" si="774"/>
        <v>4135.9663886070866</v>
      </c>
      <c r="AF593" s="534">
        <f t="shared" si="774"/>
        <v>4135.9663886070866</v>
      </c>
      <c r="AG593" s="534">
        <f t="shared" si="774"/>
        <v>4135.9663886070866</v>
      </c>
      <c r="AH593" s="534">
        <f t="shared" si="774"/>
        <v>4135.9663886070866</v>
      </c>
      <c r="AI593" s="534">
        <f t="shared" si="774"/>
        <v>4135.9663886070866</v>
      </c>
      <c r="AJ593" s="534">
        <f t="shared" si="774"/>
        <v>4135.9663886070866</v>
      </c>
      <c r="AK593" s="534">
        <f t="shared" si="774"/>
        <v>4135.9663886070866</v>
      </c>
      <c r="AL593" s="534">
        <f t="shared" si="774"/>
        <v>4135.9663886070866</v>
      </c>
      <c r="AM593" s="534">
        <f t="shared" si="774"/>
        <v>4135.9663886070866</v>
      </c>
      <c r="AN593" s="534">
        <f t="shared" si="774"/>
        <v>4135.9663886070866</v>
      </c>
      <c r="AO593" s="534">
        <f t="shared" si="774"/>
        <v>4135.9663886070866</v>
      </c>
      <c r="AP593" s="534">
        <f t="shared" si="774"/>
        <v>4345.7516959706209</v>
      </c>
      <c r="AQ593" s="534">
        <f t="shared" si="774"/>
        <v>4345.7516959706209</v>
      </c>
      <c r="AR593" s="534">
        <f t="shared" si="774"/>
        <v>4345.7516959706209</v>
      </c>
      <c r="AS593" s="534">
        <f t="shared" si="774"/>
        <v>4345.7516959706209</v>
      </c>
      <c r="AT593" s="534">
        <f t="shared" si="774"/>
        <v>4345.7516959706209</v>
      </c>
      <c r="AU593" s="534">
        <f t="shared" si="774"/>
        <v>4345.7516959706209</v>
      </c>
      <c r="AV593" s="534">
        <f t="shared" si="774"/>
        <v>4345.7516959706209</v>
      </c>
      <c r="AW593" s="534">
        <f t="shared" si="774"/>
        <v>4345.7516959706209</v>
      </c>
      <c r="AX593" s="534">
        <f t="shared" ref="AX593:BY593" si="775">AX529/AX$571</f>
        <v>4345.7516959706209</v>
      </c>
      <c r="AY593" s="534">
        <f t="shared" si="775"/>
        <v>4345.7516959706209</v>
      </c>
      <c r="AZ593" s="534">
        <f t="shared" si="775"/>
        <v>4345.7516959706209</v>
      </c>
      <c r="BA593" s="534">
        <f t="shared" si="775"/>
        <v>4345.7516959706209</v>
      </c>
      <c r="BB593" s="534">
        <f t="shared" si="775"/>
        <v>4553.4694899732503</v>
      </c>
      <c r="BC593" s="534">
        <f t="shared" si="775"/>
        <v>4553.4694899732503</v>
      </c>
      <c r="BD593" s="534">
        <f t="shared" si="775"/>
        <v>4553.4694899732503</v>
      </c>
      <c r="BE593" s="534">
        <f t="shared" si="775"/>
        <v>4553.4694899732503</v>
      </c>
      <c r="BF593" s="534">
        <f t="shared" si="775"/>
        <v>4553.4694899732503</v>
      </c>
      <c r="BG593" s="534">
        <f t="shared" si="775"/>
        <v>4553.4694899732503</v>
      </c>
      <c r="BH593" s="534">
        <f t="shared" si="775"/>
        <v>4553.4694899732503</v>
      </c>
      <c r="BI593" s="534">
        <f t="shared" si="775"/>
        <v>4553.4694899732503</v>
      </c>
      <c r="BJ593" s="534">
        <f t="shared" si="775"/>
        <v>4553.4694899732503</v>
      </c>
      <c r="BK593" s="534">
        <f t="shared" si="775"/>
        <v>4553.4694899732503</v>
      </c>
      <c r="BL593" s="534">
        <f t="shared" si="775"/>
        <v>4553.4694899732503</v>
      </c>
      <c r="BM593" s="534">
        <f t="shared" si="775"/>
        <v>4553.4694899732503</v>
      </c>
      <c r="BN593" s="534">
        <f t="shared" si="775"/>
        <v>4768.9224790735962</v>
      </c>
      <c r="BO593" s="534">
        <f t="shared" si="775"/>
        <v>4768.9224790735962</v>
      </c>
      <c r="BP593" s="534">
        <f t="shared" si="775"/>
        <v>4768.9224790735962</v>
      </c>
      <c r="BQ593" s="534">
        <f t="shared" si="775"/>
        <v>4768.9224790735962</v>
      </c>
      <c r="BR593" s="534">
        <f t="shared" si="775"/>
        <v>4768.9224790735962</v>
      </c>
      <c r="BS593" s="534">
        <f t="shared" si="775"/>
        <v>4768.9224790735962</v>
      </c>
      <c r="BT593" s="534">
        <f t="shared" si="775"/>
        <v>4768.9224790735962</v>
      </c>
      <c r="BU593" s="534">
        <f t="shared" si="775"/>
        <v>4768.9224790735962</v>
      </c>
      <c r="BV593" s="534">
        <f t="shared" si="775"/>
        <v>4768.9224790735962</v>
      </c>
      <c r="BW593" s="534">
        <f t="shared" si="775"/>
        <v>4768.9224790735962</v>
      </c>
      <c r="BX593" s="534">
        <f t="shared" si="775"/>
        <v>4768.9224790735962</v>
      </c>
      <c r="BY593" s="534">
        <f t="shared" si="775"/>
        <v>4768.9224790735962</v>
      </c>
    </row>
    <row r="594" spans="1:77" x14ac:dyDescent="0.3">
      <c r="A594" s="551"/>
      <c r="B594" s="522"/>
      <c r="C594" s="522"/>
      <c r="D594" s="525"/>
      <c r="E594" s="525" t="s">
        <v>177</v>
      </c>
      <c r="F594" s="529"/>
      <c r="G594" s="529"/>
      <c r="H594" s="529"/>
      <c r="I594" s="531">
        <f t="shared" ref="I594:N594" si="776">IFERROR(I593/(I576+I585),0)</f>
        <v>0.45157500748564561</v>
      </c>
      <c r="J594" s="531">
        <f t="shared" si="776"/>
        <v>0.46040138596307961</v>
      </c>
      <c r="K594" s="531">
        <f t="shared" si="776"/>
        <v>0.46866667382815269</v>
      </c>
      <c r="L594" s="531">
        <f t="shared" si="776"/>
        <v>0.47632304026215083</v>
      </c>
      <c r="M594" s="531">
        <f t="shared" si="776"/>
        <v>0.48335199756209674</v>
      </c>
      <c r="N594" s="531">
        <f t="shared" si="776"/>
        <v>0.49023179985401427</v>
      </c>
      <c r="O594" s="546"/>
      <c r="P594" s="564">
        <f>IFERROR(((N594/I594)^(1/5))-1,0)</f>
        <v>1.656304145185894E-2</v>
      </c>
      <c r="Q594" s="537"/>
      <c r="R594" s="531">
        <f t="shared" ref="R594:BY594" si="777">IFERROR(R593/(R576+R585),0)</f>
        <v>0.46040138596307967</v>
      </c>
      <c r="S594" s="531">
        <f t="shared" si="777"/>
        <v>0.46040138596307967</v>
      </c>
      <c r="T594" s="531">
        <f t="shared" si="777"/>
        <v>0.46040138596307967</v>
      </c>
      <c r="U594" s="531">
        <f t="shared" si="777"/>
        <v>0.46040138596307967</v>
      </c>
      <c r="V594" s="531">
        <f t="shared" si="777"/>
        <v>0.46040138596307967</v>
      </c>
      <c r="W594" s="531">
        <f t="shared" si="777"/>
        <v>0.46040138596307967</v>
      </c>
      <c r="X594" s="531">
        <f t="shared" si="777"/>
        <v>0.46040138596307967</v>
      </c>
      <c r="Y594" s="531">
        <f t="shared" si="777"/>
        <v>0.46040138596307967</v>
      </c>
      <c r="Z594" s="531">
        <f t="shared" si="777"/>
        <v>0.46040138596307967</v>
      </c>
      <c r="AA594" s="531">
        <f t="shared" si="777"/>
        <v>0.46040138596307967</v>
      </c>
      <c r="AB594" s="531">
        <f t="shared" si="777"/>
        <v>0.46040138596307967</v>
      </c>
      <c r="AC594" s="531">
        <f t="shared" si="777"/>
        <v>0.46040138596307967</v>
      </c>
      <c r="AD594" s="531">
        <f t="shared" si="777"/>
        <v>0.4686666738281528</v>
      </c>
      <c r="AE594" s="531">
        <f t="shared" si="777"/>
        <v>0.4686666738281528</v>
      </c>
      <c r="AF594" s="531">
        <f t="shared" si="777"/>
        <v>0.4686666738281528</v>
      </c>
      <c r="AG594" s="531">
        <f t="shared" si="777"/>
        <v>0.4686666738281528</v>
      </c>
      <c r="AH594" s="531">
        <f t="shared" si="777"/>
        <v>0.4686666738281528</v>
      </c>
      <c r="AI594" s="531">
        <f t="shared" si="777"/>
        <v>0.4686666738281528</v>
      </c>
      <c r="AJ594" s="531">
        <f t="shared" si="777"/>
        <v>0.4686666738281528</v>
      </c>
      <c r="AK594" s="531">
        <f t="shared" si="777"/>
        <v>0.4686666738281528</v>
      </c>
      <c r="AL594" s="531">
        <f t="shared" si="777"/>
        <v>0.4686666738281528</v>
      </c>
      <c r="AM594" s="531">
        <f t="shared" si="777"/>
        <v>0.4686666738281528</v>
      </c>
      <c r="AN594" s="531">
        <f t="shared" si="777"/>
        <v>0.4686666738281528</v>
      </c>
      <c r="AO594" s="531">
        <f t="shared" si="777"/>
        <v>0.4686666738281528</v>
      </c>
      <c r="AP594" s="531">
        <f t="shared" si="777"/>
        <v>0.47632304026215089</v>
      </c>
      <c r="AQ594" s="531">
        <f t="shared" si="777"/>
        <v>0.47632304026215089</v>
      </c>
      <c r="AR594" s="531">
        <f t="shared" si="777"/>
        <v>0.47632304026215089</v>
      </c>
      <c r="AS594" s="531">
        <f t="shared" si="777"/>
        <v>0.47632304026215089</v>
      </c>
      <c r="AT594" s="531">
        <f t="shared" si="777"/>
        <v>0.47632304026215089</v>
      </c>
      <c r="AU594" s="531">
        <f t="shared" si="777"/>
        <v>0.47632304026215089</v>
      </c>
      <c r="AV594" s="531">
        <f t="shared" si="777"/>
        <v>0.47632304026215089</v>
      </c>
      <c r="AW594" s="531">
        <f t="shared" si="777"/>
        <v>0.47632304026215089</v>
      </c>
      <c r="AX594" s="531">
        <f t="shared" si="777"/>
        <v>0.47632304026215089</v>
      </c>
      <c r="AY594" s="531">
        <f t="shared" si="777"/>
        <v>0.47632304026215089</v>
      </c>
      <c r="AZ594" s="531">
        <f t="shared" si="777"/>
        <v>0.47632304026215089</v>
      </c>
      <c r="BA594" s="531">
        <f t="shared" si="777"/>
        <v>0.47632304026215089</v>
      </c>
      <c r="BB594" s="531">
        <f t="shared" si="777"/>
        <v>0.48335199756209668</v>
      </c>
      <c r="BC594" s="531">
        <f t="shared" si="777"/>
        <v>0.48335199756209668</v>
      </c>
      <c r="BD594" s="531">
        <f t="shared" si="777"/>
        <v>0.48335199756209668</v>
      </c>
      <c r="BE594" s="531">
        <f t="shared" si="777"/>
        <v>0.48335199756209668</v>
      </c>
      <c r="BF594" s="531">
        <f t="shared" si="777"/>
        <v>0.48335199756209668</v>
      </c>
      <c r="BG594" s="531">
        <f t="shared" si="777"/>
        <v>0.48335199756209668</v>
      </c>
      <c r="BH594" s="531">
        <f t="shared" si="777"/>
        <v>0.48335199756209668</v>
      </c>
      <c r="BI594" s="531">
        <f t="shared" si="777"/>
        <v>0.48335199756209668</v>
      </c>
      <c r="BJ594" s="531">
        <f t="shared" si="777"/>
        <v>0.48335199756209668</v>
      </c>
      <c r="BK594" s="531">
        <f t="shared" si="777"/>
        <v>0.48335199756209668</v>
      </c>
      <c r="BL594" s="531">
        <f t="shared" si="777"/>
        <v>0.48335199756209668</v>
      </c>
      <c r="BM594" s="531">
        <f t="shared" si="777"/>
        <v>0.48335199756209668</v>
      </c>
      <c r="BN594" s="531">
        <f t="shared" si="777"/>
        <v>0.49023179985401444</v>
      </c>
      <c r="BO594" s="531">
        <f t="shared" si="777"/>
        <v>0.49023179985401444</v>
      </c>
      <c r="BP594" s="531">
        <f t="shared" si="777"/>
        <v>0.49023179985401444</v>
      </c>
      <c r="BQ594" s="531">
        <f t="shared" si="777"/>
        <v>0.49023179985401444</v>
      </c>
      <c r="BR594" s="531">
        <f t="shared" si="777"/>
        <v>0.49023179985401444</v>
      </c>
      <c r="BS594" s="531">
        <f t="shared" si="777"/>
        <v>0.49023179985401444</v>
      </c>
      <c r="BT594" s="531">
        <f t="shared" si="777"/>
        <v>0.49023179985401444</v>
      </c>
      <c r="BU594" s="531">
        <f t="shared" si="777"/>
        <v>0.49023179985401444</v>
      </c>
      <c r="BV594" s="531">
        <f t="shared" si="777"/>
        <v>0.49023179985401444</v>
      </c>
      <c r="BW594" s="531">
        <f t="shared" si="777"/>
        <v>0.49023179985401444</v>
      </c>
      <c r="BX594" s="531">
        <f t="shared" si="777"/>
        <v>0.49023179985401444</v>
      </c>
      <c r="BY594" s="531">
        <f t="shared" si="777"/>
        <v>0.49023179985401444</v>
      </c>
    </row>
    <row r="595" spans="1:77" x14ac:dyDescent="0.3">
      <c r="A595" s="551"/>
      <c r="B595" s="522"/>
      <c r="C595" s="522"/>
      <c r="D595" s="537"/>
      <c r="E595" s="525"/>
      <c r="F595" s="529"/>
      <c r="G595" s="529"/>
      <c r="H595" s="537"/>
      <c r="I595" s="529"/>
      <c r="J595" s="529"/>
      <c r="K595" s="529"/>
      <c r="L595" s="529"/>
      <c r="M595" s="529"/>
      <c r="N595" s="529"/>
      <c r="O595" s="529"/>
      <c r="P595" s="660"/>
      <c r="Q595" s="537"/>
      <c r="R595" s="529"/>
      <c r="S595" s="529"/>
      <c r="T595" s="529"/>
      <c r="U595" s="529"/>
      <c r="V595" s="529"/>
      <c r="W595" s="529"/>
      <c r="X595" s="529"/>
      <c r="Y595" s="529"/>
      <c r="Z595" s="529"/>
      <c r="AA595" s="529"/>
      <c r="AB595" s="529"/>
      <c r="AC595" s="529"/>
      <c r="AD595" s="529"/>
      <c r="AE595" s="529"/>
      <c r="AF595" s="529"/>
      <c r="AG595" s="529"/>
      <c r="AH595" s="529"/>
      <c r="AI595" s="529"/>
      <c r="AJ595" s="529"/>
      <c r="AK595" s="529"/>
      <c r="AL595" s="529"/>
      <c r="AM595" s="529"/>
      <c r="AN595" s="529"/>
      <c r="AO595" s="529"/>
      <c r="AP595" s="529"/>
      <c r="AQ595" s="529"/>
      <c r="AR595" s="529"/>
      <c r="AS595" s="529"/>
      <c r="AT595" s="529"/>
      <c r="AU595" s="529"/>
      <c r="AV595" s="529"/>
      <c r="AW595" s="529"/>
      <c r="AX595" s="529"/>
      <c r="AY595" s="529"/>
      <c r="AZ595" s="529"/>
      <c r="BA595" s="529"/>
      <c r="BB595" s="529"/>
      <c r="BC595" s="529"/>
      <c r="BD595" s="529"/>
      <c r="BE595" s="529"/>
      <c r="BF595" s="529"/>
      <c r="BG595" s="529"/>
      <c r="BH595" s="529"/>
      <c r="BI595" s="529"/>
      <c r="BJ595" s="529"/>
      <c r="BK595" s="529"/>
      <c r="BL595" s="529"/>
      <c r="BM595" s="529"/>
      <c r="BN595" s="529"/>
      <c r="BO595" s="529"/>
      <c r="BP595" s="529"/>
      <c r="BQ595" s="529"/>
      <c r="BR595" s="529"/>
      <c r="BS595" s="529"/>
      <c r="BT595" s="529"/>
      <c r="BU595" s="529"/>
      <c r="BV595" s="529"/>
      <c r="BW595" s="529"/>
      <c r="BX595" s="529"/>
      <c r="BY595" s="529"/>
    </row>
    <row r="596" spans="1:77" x14ac:dyDescent="0.3">
      <c r="A596" s="551"/>
      <c r="B596" s="522"/>
      <c r="C596" s="522"/>
      <c r="D596" s="537"/>
      <c r="E596" s="570" t="s">
        <v>25</v>
      </c>
      <c r="F596" s="529"/>
      <c r="G596" s="529"/>
      <c r="H596" s="537"/>
      <c r="I596" s="529"/>
      <c r="J596" s="529"/>
      <c r="K596" s="529"/>
      <c r="L596" s="529"/>
      <c r="M596" s="529"/>
      <c r="N596" s="529"/>
      <c r="O596" s="529"/>
      <c r="P596" s="660"/>
      <c r="Q596" s="537"/>
      <c r="R596" s="529"/>
      <c r="S596" s="529"/>
      <c r="T596" s="529"/>
      <c r="U596" s="529"/>
      <c r="V596" s="529"/>
      <c r="W596" s="529"/>
      <c r="X596" s="529"/>
      <c r="Y596" s="529"/>
      <c r="Z596" s="529"/>
      <c r="AA596" s="529"/>
      <c r="AB596" s="529"/>
      <c r="AC596" s="529"/>
      <c r="AD596" s="529"/>
      <c r="AE596" s="529"/>
      <c r="AF596" s="529"/>
      <c r="AG596" s="529"/>
      <c r="AH596" s="529"/>
      <c r="AI596" s="529"/>
      <c r="AJ596" s="529"/>
      <c r="AK596" s="529"/>
      <c r="AL596" s="529"/>
      <c r="AM596" s="529"/>
      <c r="AN596" s="529"/>
      <c r="AO596" s="529"/>
      <c r="AP596" s="529"/>
      <c r="AQ596" s="529"/>
      <c r="AR596" s="529"/>
      <c r="AS596" s="529"/>
      <c r="AT596" s="529"/>
      <c r="AU596" s="529"/>
      <c r="AV596" s="529"/>
      <c r="AW596" s="529"/>
      <c r="AX596" s="529"/>
      <c r="AY596" s="529"/>
      <c r="AZ596" s="529"/>
      <c r="BA596" s="529"/>
      <c r="BB596" s="529"/>
      <c r="BC596" s="529"/>
      <c r="BD596" s="529"/>
      <c r="BE596" s="529"/>
      <c r="BF596" s="529"/>
      <c r="BG596" s="529"/>
      <c r="BH596" s="529"/>
      <c r="BI596" s="529"/>
      <c r="BJ596" s="529"/>
      <c r="BK596" s="529"/>
      <c r="BL596" s="529"/>
      <c r="BM596" s="529"/>
      <c r="BN596" s="529"/>
      <c r="BO596" s="529"/>
      <c r="BP596" s="529"/>
      <c r="BQ596" s="529"/>
      <c r="BR596" s="529"/>
      <c r="BS596" s="529"/>
      <c r="BT596" s="529"/>
      <c r="BU596" s="529"/>
      <c r="BV596" s="529"/>
      <c r="BW596" s="529"/>
      <c r="BX596" s="529"/>
      <c r="BY596" s="529"/>
    </row>
    <row r="597" spans="1:77" x14ac:dyDescent="0.3">
      <c r="A597" s="551"/>
      <c r="B597" s="647"/>
      <c r="C597" s="668"/>
      <c r="D597" s="537"/>
      <c r="E597" s="525" t="s">
        <v>25</v>
      </c>
      <c r="F597" s="567"/>
      <c r="G597" s="567"/>
      <c r="H597" s="537"/>
      <c r="I597" s="527">
        <f t="shared" ref="I597:N599" si="778">I533/I$571</f>
        <v>46259.821007111663</v>
      </c>
      <c r="J597" s="527">
        <f t="shared" si="778"/>
        <v>47682.059682044666</v>
      </c>
      <c r="K597" s="527">
        <f t="shared" si="778"/>
        <v>49064.54190037027</v>
      </c>
      <c r="L597" s="527">
        <f t="shared" si="778"/>
        <v>50413.231410393906</v>
      </c>
      <c r="M597" s="527">
        <f t="shared" si="778"/>
        <v>51581.899223159235</v>
      </c>
      <c r="N597" s="527">
        <f t="shared" si="778"/>
        <v>52649.17498907863</v>
      </c>
      <c r="O597" s="529"/>
      <c r="P597" s="564">
        <f>IFERROR(((N597/I597)^(1/5))-1,0)</f>
        <v>2.621302945463877E-2</v>
      </c>
      <c r="Q597" s="537"/>
      <c r="R597" s="527">
        <f t="shared" ref="R597:AW597" si="779">R533/R$571</f>
        <v>3973.5049735037219</v>
      </c>
      <c r="S597" s="527">
        <f t="shared" si="779"/>
        <v>3973.5049735037219</v>
      </c>
      <c r="T597" s="527">
        <f t="shared" si="779"/>
        <v>3973.5049735037219</v>
      </c>
      <c r="U597" s="527">
        <f t="shared" si="779"/>
        <v>3973.5049735037219</v>
      </c>
      <c r="V597" s="527">
        <f t="shared" si="779"/>
        <v>3973.5049735037219</v>
      </c>
      <c r="W597" s="527">
        <f t="shared" si="779"/>
        <v>3973.5049735037219</v>
      </c>
      <c r="X597" s="527">
        <f t="shared" si="779"/>
        <v>3973.5049735037219</v>
      </c>
      <c r="Y597" s="527">
        <f t="shared" si="779"/>
        <v>3973.5049735037219</v>
      </c>
      <c r="Z597" s="527">
        <f t="shared" si="779"/>
        <v>3973.5049735037219</v>
      </c>
      <c r="AA597" s="527">
        <f t="shared" si="779"/>
        <v>3973.5049735037219</v>
      </c>
      <c r="AB597" s="527">
        <f t="shared" si="779"/>
        <v>3973.5049735037219</v>
      </c>
      <c r="AC597" s="527">
        <f t="shared" si="779"/>
        <v>3973.5049735037219</v>
      </c>
      <c r="AD597" s="527">
        <f t="shared" si="779"/>
        <v>4088.7118250308558</v>
      </c>
      <c r="AE597" s="527">
        <f t="shared" si="779"/>
        <v>4088.7118250308558</v>
      </c>
      <c r="AF597" s="527">
        <f t="shared" si="779"/>
        <v>4088.7118250308558</v>
      </c>
      <c r="AG597" s="527">
        <f t="shared" si="779"/>
        <v>4088.7118250308558</v>
      </c>
      <c r="AH597" s="527">
        <f t="shared" si="779"/>
        <v>4088.7118250308558</v>
      </c>
      <c r="AI597" s="527">
        <f t="shared" si="779"/>
        <v>4088.7118250308558</v>
      </c>
      <c r="AJ597" s="527">
        <f t="shared" si="779"/>
        <v>4088.7118250308558</v>
      </c>
      <c r="AK597" s="527">
        <f t="shared" si="779"/>
        <v>4088.7118250308558</v>
      </c>
      <c r="AL597" s="527">
        <f t="shared" si="779"/>
        <v>4088.7118250308558</v>
      </c>
      <c r="AM597" s="527">
        <f t="shared" si="779"/>
        <v>4088.7118250308558</v>
      </c>
      <c r="AN597" s="527">
        <f t="shared" si="779"/>
        <v>4088.7118250308558</v>
      </c>
      <c r="AO597" s="527">
        <f t="shared" si="779"/>
        <v>4088.7118250308558</v>
      </c>
      <c r="AP597" s="527">
        <f t="shared" si="779"/>
        <v>4201.1026175328252</v>
      </c>
      <c r="AQ597" s="527">
        <f t="shared" si="779"/>
        <v>4201.1026175328252</v>
      </c>
      <c r="AR597" s="527">
        <f t="shared" si="779"/>
        <v>4201.1026175328252</v>
      </c>
      <c r="AS597" s="527">
        <f t="shared" si="779"/>
        <v>4201.1026175328252</v>
      </c>
      <c r="AT597" s="527">
        <f t="shared" si="779"/>
        <v>4201.1026175328252</v>
      </c>
      <c r="AU597" s="527">
        <f t="shared" si="779"/>
        <v>4201.1026175328252</v>
      </c>
      <c r="AV597" s="527">
        <f t="shared" si="779"/>
        <v>4201.1026175328252</v>
      </c>
      <c r="AW597" s="527">
        <f t="shared" si="779"/>
        <v>4201.1026175328252</v>
      </c>
      <c r="AX597" s="527">
        <f t="shared" ref="AX597:BY597" si="780">AX533/AX$571</f>
        <v>4201.1026175328252</v>
      </c>
      <c r="AY597" s="527">
        <f t="shared" si="780"/>
        <v>4201.1026175328252</v>
      </c>
      <c r="AZ597" s="527">
        <f t="shared" si="780"/>
        <v>4201.1026175328252</v>
      </c>
      <c r="BA597" s="527">
        <f t="shared" si="780"/>
        <v>4201.1026175328252</v>
      </c>
      <c r="BB597" s="527">
        <f t="shared" si="780"/>
        <v>4298.4916019299362</v>
      </c>
      <c r="BC597" s="527">
        <f t="shared" si="780"/>
        <v>4298.4916019299362</v>
      </c>
      <c r="BD597" s="527">
        <f t="shared" si="780"/>
        <v>4298.4916019299362</v>
      </c>
      <c r="BE597" s="527">
        <f t="shared" si="780"/>
        <v>4298.4916019299362</v>
      </c>
      <c r="BF597" s="527">
        <f t="shared" si="780"/>
        <v>4298.4916019299362</v>
      </c>
      <c r="BG597" s="527">
        <f t="shared" si="780"/>
        <v>4298.4916019299362</v>
      </c>
      <c r="BH597" s="527">
        <f t="shared" si="780"/>
        <v>4298.4916019299362</v>
      </c>
      <c r="BI597" s="527">
        <f t="shared" si="780"/>
        <v>4298.4916019299362</v>
      </c>
      <c r="BJ597" s="527">
        <f t="shared" si="780"/>
        <v>4298.4916019299362</v>
      </c>
      <c r="BK597" s="527">
        <f t="shared" si="780"/>
        <v>4298.4916019299362</v>
      </c>
      <c r="BL597" s="527">
        <f t="shared" si="780"/>
        <v>4298.4916019299362</v>
      </c>
      <c r="BM597" s="527">
        <f t="shared" si="780"/>
        <v>4298.4916019299362</v>
      </c>
      <c r="BN597" s="527">
        <f t="shared" si="780"/>
        <v>4387.4312490898856</v>
      </c>
      <c r="BO597" s="527">
        <f t="shared" si="780"/>
        <v>4387.4312490898856</v>
      </c>
      <c r="BP597" s="527">
        <f t="shared" si="780"/>
        <v>4387.4312490898856</v>
      </c>
      <c r="BQ597" s="527">
        <f t="shared" si="780"/>
        <v>4387.4312490898856</v>
      </c>
      <c r="BR597" s="527">
        <f t="shared" si="780"/>
        <v>4387.4312490898856</v>
      </c>
      <c r="BS597" s="527">
        <f t="shared" si="780"/>
        <v>4387.4312490898856</v>
      </c>
      <c r="BT597" s="527">
        <f t="shared" si="780"/>
        <v>4387.4312490898856</v>
      </c>
      <c r="BU597" s="527">
        <f t="shared" si="780"/>
        <v>4387.4312490898856</v>
      </c>
      <c r="BV597" s="527">
        <f t="shared" si="780"/>
        <v>4387.4312490898856</v>
      </c>
      <c r="BW597" s="527">
        <f t="shared" si="780"/>
        <v>4387.4312490898856</v>
      </c>
      <c r="BX597" s="527">
        <f t="shared" si="780"/>
        <v>4387.4312490898856</v>
      </c>
      <c r="BY597" s="527">
        <f t="shared" si="780"/>
        <v>4387.4312490898856</v>
      </c>
    </row>
    <row r="598" spans="1:77" x14ac:dyDescent="0.3">
      <c r="A598" s="551"/>
      <c r="B598" s="647"/>
      <c r="C598" s="668"/>
      <c r="D598" s="537"/>
      <c r="E598" s="525" t="s">
        <v>14</v>
      </c>
      <c r="F598" s="567"/>
      <c r="G598" s="567"/>
      <c r="H598" s="537"/>
      <c r="I598" s="527">
        <f t="shared" si="778"/>
        <v>3439.8309060347401</v>
      </c>
      <c r="J598" s="527">
        <f t="shared" si="778"/>
        <v>3560.6622703597645</v>
      </c>
      <c r="K598" s="527">
        <f t="shared" si="778"/>
        <v>3678.8674780205215</v>
      </c>
      <c r="L598" s="527">
        <f t="shared" si="778"/>
        <v>3796.0378953321283</v>
      </c>
      <c r="M598" s="527">
        <f t="shared" si="778"/>
        <v>3893.8602318792637</v>
      </c>
      <c r="N598" s="527">
        <f t="shared" si="778"/>
        <v>3978.0572250137398</v>
      </c>
      <c r="O598" s="529"/>
      <c r="P598" s="564">
        <f>IFERROR(((N598/I598)^(1/5))-1,0)</f>
        <v>2.9501032242708725E-2</v>
      </c>
      <c r="Q598" s="537"/>
      <c r="R598" s="527">
        <f t="shared" ref="R598:AW598" si="781">R534/R$571</f>
        <v>296.72185586331369</v>
      </c>
      <c r="S598" s="527">
        <f t="shared" si="781"/>
        <v>296.72185586331369</v>
      </c>
      <c r="T598" s="527">
        <f t="shared" si="781"/>
        <v>296.72185586331369</v>
      </c>
      <c r="U598" s="527">
        <f t="shared" si="781"/>
        <v>296.72185586331369</v>
      </c>
      <c r="V598" s="527">
        <f t="shared" si="781"/>
        <v>296.72185586331369</v>
      </c>
      <c r="W598" s="527">
        <f t="shared" si="781"/>
        <v>296.72185586331369</v>
      </c>
      <c r="X598" s="527">
        <f t="shared" si="781"/>
        <v>296.72185586331369</v>
      </c>
      <c r="Y598" s="527">
        <f t="shared" si="781"/>
        <v>296.72185586331369</v>
      </c>
      <c r="Z598" s="527">
        <f t="shared" si="781"/>
        <v>296.72185586331369</v>
      </c>
      <c r="AA598" s="527">
        <f t="shared" si="781"/>
        <v>296.72185586331369</v>
      </c>
      <c r="AB598" s="527">
        <f t="shared" si="781"/>
        <v>296.72185586331369</v>
      </c>
      <c r="AC598" s="527">
        <f t="shared" si="781"/>
        <v>296.72185586331369</v>
      </c>
      <c r="AD598" s="527">
        <f t="shared" si="781"/>
        <v>306.57228983504348</v>
      </c>
      <c r="AE598" s="527">
        <f t="shared" si="781"/>
        <v>306.57228983504348</v>
      </c>
      <c r="AF598" s="527">
        <f t="shared" si="781"/>
        <v>306.57228983504348</v>
      </c>
      <c r="AG598" s="527">
        <f t="shared" si="781"/>
        <v>306.57228983504348</v>
      </c>
      <c r="AH598" s="527">
        <f t="shared" si="781"/>
        <v>306.57228983504348</v>
      </c>
      <c r="AI598" s="527">
        <f t="shared" si="781"/>
        <v>306.57228983504348</v>
      </c>
      <c r="AJ598" s="527">
        <f t="shared" si="781"/>
        <v>306.57228983504348</v>
      </c>
      <c r="AK598" s="527">
        <f t="shared" si="781"/>
        <v>306.57228983504348</v>
      </c>
      <c r="AL598" s="527">
        <f t="shared" si="781"/>
        <v>306.57228983504348</v>
      </c>
      <c r="AM598" s="527">
        <f t="shared" si="781"/>
        <v>306.57228983504348</v>
      </c>
      <c r="AN598" s="527">
        <f t="shared" si="781"/>
        <v>306.57228983504348</v>
      </c>
      <c r="AO598" s="527">
        <f t="shared" si="781"/>
        <v>306.57228983504348</v>
      </c>
      <c r="AP598" s="527">
        <f t="shared" si="781"/>
        <v>316.33649127767734</v>
      </c>
      <c r="AQ598" s="527">
        <f t="shared" si="781"/>
        <v>316.33649127767734</v>
      </c>
      <c r="AR598" s="527">
        <f t="shared" si="781"/>
        <v>316.33649127767734</v>
      </c>
      <c r="AS598" s="527">
        <f t="shared" si="781"/>
        <v>316.33649127767734</v>
      </c>
      <c r="AT598" s="527">
        <f t="shared" si="781"/>
        <v>316.33649127767734</v>
      </c>
      <c r="AU598" s="527">
        <f t="shared" si="781"/>
        <v>316.33649127767734</v>
      </c>
      <c r="AV598" s="527">
        <f t="shared" si="781"/>
        <v>316.33649127767734</v>
      </c>
      <c r="AW598" s="527">
        <f t="shared" si="781"/>
        <v>316.33649127767734</v>
      </c>
      <c r="AX598" s="527">
        <f t="shared" ref="AX598:BY598" si="782">AX534/AX$571</f>
        <v>316.33649127767734</v>
      </c>
      <c r="AY598" s="527">
        <f t="shared" si="782"/>
        <v>316.33649127767734</v>
      </c>
      <c r="AZ598" s="527">
        <f t="shared" si="782"/>
        <v>316.33649127767734</v>
      </c>
      <c r="BA598" s="527">
        <f t="shared" si="782"/>
        <v>316.33649127767734</v>
      </c>
      <c r="BB598" s="527">
        <f t="shared" si="782"/>
        <v>324.48835265660529</v>
      </c>
      <c r="BC598" s="527">
        <f t="shared" si="782"/>
        <v>324.48835265660529</v>
      </c>
      <c r="BD598" s="527">
        <f t="shared" si="782"/>
        <v>324.48835265660529</v>
      </c>
      <c r="BE598" s="527">
        <f t="shared" si="782"/>
        <v>324.48835265660529</v>
      </c>
      <c r="BF598" s="527">
        <f t="shared" si="782"/>
        <v>324.48835265660529</v>
      </c>
      <c r="BG598" s="527">
        <f t="shared" si="782"/>
        <v>324.48835265660529</v>
      </c>
      <c r="BH598" s="527">
        <f t="shared" si="782"/>
        <v>324.48835265660529</v>
      </c>
      <c r="BI598" s="527">
        <f t="shared" si="782"/>
        <v>324.48835265660529</v>
      </c>
      <c r="BJ598" s="527">
        <f t="shared" si="782"/>
        <v>324.48835265660529</v>
      </c>
      <c r="BK598" s="527">
        <f t="shared" si="782"/>
        <v>324.48835265660529</v>
      </c>
      <c r="BL598" s="527">
        <f t="shared" si="782"/>
        <v>324.48835265660529</v>
      </c>
      <c r="BM598" s="527">
        <f t="shared" si="782"/>
        <v>324.48835265660529</v>
      </c>
      <c r="BN598" s="527">
        <f t="shared" si="782"/>
        <v>331.50476875114498</v>
      </c>
      <c r="BO598" s="527">
        <f t="shared" si="782"/>
        <v>331.50476875114498</v>
      </c>
      <c r="BP598" s="527">
        <f t="shared" si="782"/>
        <v>331.50476875114498</v>
      </c>
      <c r="BQ598" s="527">
        <f t="shared" si="782"/>
        <v>331.50476875114498</v>
      </c>
      <c r="BR598" s="527">
        <f t="shared" si="782"/>
        <v>331.50476875114498</v>
      </c>
      <c r="BS598" s="527">
        <f t="shared" si="782"/>
        <v>331.50476875114498</v>
      </c>
      <c r="BT598" s="527">
        <f t="shared" si="782"/>
        <v>331.50476875114498</v>
      </c>
      <c r="BU598" s="527">
        <f t="shared" si="782"/>
        <v>331.50476875114498</v>
      </c>
      <c r="BV598" s="527">
        <f t="shared" si="782"/>
        <v>331.50476875114498</v>
      </c>
      <c r="BW598" s="527">
        <f t="shared" si="782"/>
        <v>331.50476875114498</v>
      </c>
      <c r="BX598" s="527">
        <f t="shared" si="782"/>
        <v>331.50476875114498</v>
      </c>
      <c r="BY598" s="527">
        <f t="shared" si="782"/>
        <v>331.50476875114498</v>
      </c>
    </row>
    <row r="599" spans="1:77" x14ac:dyDescent="0.3">
      <c r="A599" s="551"/>
      <c r="B599" s="647"/>
      <c r="C599" s="668"/>
      <c r="D599" s="537"/>
      <c r="E599" s="572" t="s">
        <v>26</v>
      </c>
      <c r="F599" s="573"/>
      <c r="G599" s="573"/>
      <c r="H599" s="537"/>
      <c r="I599" s="532">
        <f t="shared" si="778"/>
        <v>49699.651913146408</v>
      </c>
      <c r="J599" s="532">
        <f t="shared" si="778"/>
        <v>51242.721952404427</v>
      </c>
      <c r="K599" s="532">
        <f t="shared" si="778"/>
        <v>52743.409378390788</v>
      </c>
      <c r="L599" s="532">
        <f t="shared" si="778"/>
        <v>54209.269305726033</v>
      </c>
      <c r="M599" s="532">
        <f t="shared" si="778"/>
        <v>55475.759455038497</v>
      </c>
      <c r="N599" s="532">
        <f t="shared" si="778"/>
        <v>56627.232214092364</v>
      </c>
      <c r="O599" s="536"/>
      <c r="P599" s="568">
        <f>IFERROR(((N599/I599)^(1/5))-1,0)</f>
        <v>2.6441960728261105E-2</v>
      </c>
      <c r="Q599" s="537"/>
      <c r="R599" s="532">
        <f t="shared" ref="R599:AW599" si="783">R535/R$571</f>
        <v>4270.2268293670359</v>
      </c>
      <c r="S599" s="532">
        <f t="shared" si="783"/>
        <v>4270.2268293670359</v>
      </c>
      <c r="T599" s="532">
        <f t="shared" si="783"/>
        <v>4270.2268293670359</v>
      </c>
      <c r="U599" s="532">
        <f t="shared" si="783"/>
        <v>4270.2268293670359</v>
      </c>
      <c r="V599" s="532">
        <f t="shared" si="783"/>
        <v>4270.2268293670359</v>
      </c>
      <c r="W599" s="532">
        <f t="shared" si="783"/>
        <v>4270.2268293670359</v>
      </c>
      <c r="X599" s="532">
        <f t="shared" si="783"/>
        <v>4270.2268293670359</v>
      </c>
      <c r="Y599" s="532">
        <f t="shared" si="783"/>
        <v>4270.2268293670359</v>
      </c>
      <c r="Z599" s="532">
        <f t="shared" si="783"/>
        <v>4270.2268293670359</v>
      </c>
      <c r="AA599" s="532">
        <f t="shared" si="783"/>
        <v>4270.2268293670359</v>
      </c>
      <c r="AB599" s="532">
        <f t="shared" si="783"/>
        <v>4270.2268293670359</v>
      </c>
      <c r="AC599" s="532">
        <f t="shared" si="783"/>
        <v>4270.2268293670359</v>
      </c>
      <c r="AD599" s="532">
        <f t="shared" si="783"/>
        <v>4395.2841148658999</v>
      </c>
      <c r="AE599" s="532">
        <f t="shared" si="783"/>
        <v>4395.2841148658999</v>
      </c>
      <c r="AF599" s="532">
        <f t="shared" si="783"/>
        <v>4395.2841148658999</v>
      </c>
      <c r="AG599" s="532">
        <f t="shared" si="783"/>
        <v>4395.2841148658999</v>
      </c>
      <c r="AH599" s="532">
        <f t="shared" si="783"/>
        <v>4395.2841148658999</v>
      </c>
      <c r="AI599" s="532">
        <f t="shared" si="783"/>
        <v>4395.2841148658999</v>
      </c>
      <c r="AJ599" s="532">
        <f t="shared" si="783"/>
        <v>4395.2841148658999</v>
      </c>
      <c r="AK599" s="532">
        <f t="shared" si="783"/>
        <v>4395.2841148658999</v>
      </c>
      <c r="AL599" s="532">
        <f t="shared" si="783"/>
        <v>4395.2841148658999</v>
      </c>
      <c r="AM599" s="532">
        <f t="shared" si="783"/>
        <v>4395.2841148658999</v>
      </c>
      <c r="AN599" s="532">
        <f t="shared" si="783"/>
        <v>4395.2841148658999</v>
      </c>
      <c r="AO599" s="532">
        <f t="shared" si="783"/>
        <v>4395.2841148658999</v>
      </c>
      <c r="AP599" s="532">
        <f t="shared" si="783"/>
        <v>4517.4391088105031</v>
      </c>
      <c r="AQ599" s="532">
        <f t="shared" si="783"/>
        <v>4517.4391088105031</v>
      </c>
      <c r="AR599" s="532">
        <f t="shared" si="783"/>
        <v>4517.4391088105031</v>
      </c>
      <c r="AS599" s="532">
        <f t="shared" si="783"/>
        <v>4517.4391088105031</v>
      </c>
      <c r="AT599" s="532">
        <f t="shared" si="783"/>
        <v>4517.4391088105031</v>
      </c>
      <c r="AU599" s="532">
        <f t="shared" si="783"/>
        <v>4517.4391088105031</v>
      </c>
      <c r="AV599" s="532">
        <f t="shared" si="783"/>
        <v>4517.4391088105031</v>
      </c>
      <c r="AW599" s="532">
        <f t="shared" si="783"/>
        <v>4517.4391088105031</v>
      </c>
      <c r="AX599" s="532">
        <f t="shared" ref="AX599:BY599" si="784">AX535/AX$571</f>
        <v>4517.4391088105031</v>
      </c>
      <c r="AY599" s="532">
        <f t="shared" si="784"/>
        <v>4517.4391088105031</v>
      </c>
      <c r="AZ599" s="532">
        <f t="shared" si="784"/>
        <v>4517.4391088105031</v>
      </c>
      <c r="BA599" s="532">
        <f t="shared" si="784"/>
        <v>4517.4391088105031</v>
      </c>
      <c r="BB599" s="532">
        <f t="shared" si="784"/>
        <v>4622.9799545865417</v>
      </c>
      <c r="BC599" s="532">
        <f t="shared" si="784"/>
        <v>4622.9799545865417</v>
      </c>
      <c r="BD599" s="532">
        <f t="shared" si="784"/>
        <v>4622.9799545865417</v>
      </c>
      <c r="BE599" s="532">
        <f t="shared" si="784"/>
        <v>4622.9799545865417</v>
      </c>
      <c r="BF599" s="532">
        <f t="shared" si="784"/>
        <v>4622.9799545865417</v>
      </c>
      <c r="BG599" s="532">
        <f t="shared" si="784"/>
        <v>4622.9799545865417</v>
      </c>
      <c r="BH599" s="532">
        <f t="shared" si="784"/>
        <v>4622.9799545865417</v>
      </c>
      <c r="BI599" s="532">
        <f t="shared" si="784"/>
        <v>4622.9799545865417</v>
      </c>
      <c r="BJ599" s="532">
        <f t="shared" si="784"/>
        <v>4622.9799545865417</v>
      </c>
      <c r="BK599" s="532">
        <f t="shared" si="784"/>
        <v>4622.9799545865417</v>
      </c>
      <c r="BL599" s="532">
        <f t="shared" si="784"/>
        <v>4622.9799545865417</v>
      </c>
      <c r="BM599" s="532">
        <f t="shared" si="784"/>
        <v>4622.9799545865417</v>
      </c>
      <c r="BN599" s="532">
        <f t="shared" si="784"/>
        <v>4718.9360178410307</v>
      </c>
      <c r="BO599" s="532">
        <f t="shared" si="784"/>
        <v>4718.9360178410307</v>
      </c>
      <c r="BP599" s="532">
        <f t="shared" si="784"/>
        <v>4718.9360178410307</v>
      </c>
      <c r="BQ599" s="532">
        <f t="shared" si="784"/>
        <v>4718.9360178410307</v>
      </c>
      <c r="BR599" s="532">
        <f t="shared" si="784"/>
        <v>4718.9360178410307</v>
      </c>
      <c r="BS599" s="532">
        <f t="shared" si="784"/>
        <v>4718.9360178410307</v>
      </c>
      <c r="BT599" s="532">
        <f t="shared" si="784"/>
        <v>4718.9360178410307</v>
      </c>
      <c r="BU599" s="532">
        <f t="shared" si="784"/>
        <v>4718.9360178410307</v>
      </c>
      <c r="BV599" s="532">
        <f t="shared" si="784"/>
        <v>4718.9360178410307</v>
      </c>
      <c r="BW599" s="532">
        <f t="shared" si="784"/>
        <v>4718.9360178410307</v>
      </c>
      <c r="BX599" s="532">
        <f t="shared" si="784"/>
        <v>4718.9360178410307</v>
      </c>
      <c r="BY599" s="532">
        <f t="shared" si="784"/>
        <v>4718.9360178410307</v>
      </c>
    </row>
    <row r="600" spans="1:77" x14ac:dyDescent="0.3">
      <c r="A600" s="551"/>
      <c r="B600" s="647"/>
      <c r="C600" s="668"/>
      <c r="D600" s="537"/>
      <c r="E600" s="525"/>
      <c r="F600" s="529"/>
      <c r="G600" s="529"/>
      <c r="H600" s="537"/>
      <c r="I600" s="529"/>
      <c r="J600" s="529"/>
      <c r="K600" s="529"/>
      <c r="L600" s="529"/>
      <c r="M600" s="529"/>
      <c r="N600" s="529"/>
      <c r="O600" s="529"/>
      <c r="P600" s="660"/>
      <c r="Q600" s="537"/>
      <c r="R600" s="529"/>
      <c r="S600" s="529"/>
      <c r="T600" s="529"/>
      <c r="U600" s="529"/>
      <c r="V600" s="529"/>
      <c r="W600" s="529"/>
      <c r="X600" s="529"/>
      <c r="Y600" s="529"/>
      <c r="Z600" s="529"/>
      <c r="AA600" s="529"/>
      <c r="AB600" s="529"/>
      <c r="AC600" s="529"/>
      <c r="AD600" s="529"/>
      <c r="AE600" s="529"/>
      <c r="AF600" s="529"/>
      <c r="AG600" s="529"/>
      <c r="AH600" s="529"/>
      <c r="AI600" s="529"/>
      <c r="AJ600" s="529"/>
      <c r="AK600" s="529"/>
      <c r="AL600" s="529"/>
      <c r="AM600" s="529"/>
      <c r="AN600" s="529"/>
      <c r="AO600" s="529"/>
      <c r="AP600" s="529"/>
      <c r="AQ600" s="529"/>
      <c r="AR600" s="529"/>
      <c r="AS600" s="529"/>
      <c r="AT600" s="529"/>
      <c r="AU600" s="529"/>
      <c r="AV600" s="529"/>
      <c r="AW600" s="529"/>
      <c r="AX600" s="529"/>
      <c r="AY600" s="529"/>
      <c r="AZ600" s="529"/>
      <c r="BA600" s="529"/>
      <c r="BB600" s="529"/>
      <c r="BC600" s="529"/>
      <c r="BD600" s="529"/>
      <c r="BE600" s="529"/>
      <c r="BF600" s="529"/>
      <c r="BG600" s="529"/>
      <c r="BH600" s="529"/>
      <c r="BI600" s="529"/>
      <c r="BJ600" s="529"/>
      <c r="BK600" s="529"/>
      <c r="BL600" s="529"/>
      <c r="BM600" s="529"/>
      <c r="BN600" s="529"/>
      <c r="BO600" s="529"/>
      <c r="BP600" s="529"/>
      <c r="BQ600" s="529"/>
      <c r="BR600" s="529"/>
      <c r="BS600" s="529"/>
      <c r="BT600" s="529"/>
      <c r="BU600" s="529"/>
      <c r="BV600" s="529"/>
      <c r="BW600" s="529"/>
      <c r="BX600" s="529"/>
      <c r="BY600" s="529"/>
    </row>
    <row r="601" spans="1:77" x14ac:dyDescent="0.3">
      <c r="A601" s="551"/>
      <c r="B601" s="647"/>
      <c r="C601" s="668"/>
      <c r="D601" s="537"/>
      <c r="E601" s="570" t="s">
        <v>27</v>
      </c>
      <c r="F601" s="529"/>
      <c r="G601" s="529"/>
      <c r="H601" s="537"/>
      <c r="I601" s="529"/>
      <c r="J601" s="529"/>
      <c r="K601" s="529"/>
      <c r="L601" s="529"/>
      <c r="M601" s="529"/>
      <c r="N601" s="529"/>
      <c r="O601" s="529"/>
      <c r="P601" s="660"/>
      <c r="Q601" s="537"/>
      <c r="R601" s="529"/>
      <c r="S601" s="529"/>
      <c r="T601" s="529"/>
      <c r="U601" s="529"/>
      <c r="V601" s="529"/>
      <c r="W601" s="529"/>
      <c r="X601" s="529"/>
      <c r="Y601" s="529"/>
      <c r="Z601" s="529"/>
      <c r="AA601" s="529"/>
      <c r="AB601" s="529"/>
      <c r="AC601" s="529"/>
      <c r="AD601" s="529"/>
      <c r="AE601" s="529"/>
      <c r="AF601" s="529"/>
      <c r="AG601" s="529"/>
      <c r="AH601" s="529"/>
      <c r="AI601" s="529"/>
      <c r="AJ601" s="529"/>
      <c r="AK601" s="529"/>
      <c r="AL601" s="529"/>
      <c r="AM601" s="529"/>
      <c r="AN601" s="529"/>
      <c r="AO601" s="529"/>
      <c r="AP601" s="529"/>
      <c r="AQ601" s="529"/>
      <c r="AR601" s="529"/>
      <c r="AS601" s="529"/>
      <c r="AT601" s="529"/>
      <c r="AU601" s="529"/>
      <c r="AV601" s="529"/>
      <c r="AW601" s="529"/>
      <c r="AX601" s="529"/>
      <c r="AY601" s="529"/>
      <c r="AZ601" s="529"/>
      <c r="BA601" s="529"/>
      <c r="BB601" s="529"/>
      <c r="BC601" s="529"/>
      <c r="BD601" s="529"/>
      <c r="BE601" s="529"/>
      <c r="BF601" s="529"/>
      <c r="BG601" s="529"/>
      <c r="BH601" s="529"/>
      <c r="BI601" s="529"/>
      <c r="BJ601" s="529"/>
      <c r="BK601" s="529"/>
      <c r="BL601" s="529"/>
      <c r="BM601" s="529"/>
      <c r="BN601" s="529"/>
      <c r="BO601" s="529"/>
      <c r="BP601" s="529"/>
      <c r="BQ601" s="529"/>
      <c r="BR601" s="529"/>
      <c r="BS601" s="529"/>
      <c r="BT601" s="529"/>
      <c r="BU601" s="529"/>
      <c r="BV601" s="529"/>
      <c r="BW601" s="529"/>
      <c r="BX601" s="529"/>
      <c r="BY601" s="529"/>
    </row>
    <row r="602" spans="1:77" x14ac:dyDescent="0.3">
      <c r="A602" s="551"/>
      <c r="B602" s="647"/>
      <c r="C602" s="668"/>
      <c r="D602" s="537"/>
      <c r="E602" s="525" t="s">
        <v>28</v>
      </c>
      <c r="F602" s="567"/>
      <c r="G602" s="567"/>
      <c r="H602" s="537"/>
      <c r="I602" s="527">
        <f t="shared" ref="I602:N606" si="785">I538/I$571</f>
        <v>323.87999999999994</v>
      </c>
      <c r="J602" s="527">
        <f t="shared" si="785"/>
        <v>323.87999999999994</v>
      </c>
      <c r="K602" s="527">
        <f t="shared" si="785"/>
        <v>323.87999999999994</v>
      </c>
      <c r="L602" s="527">
        <f t="shared" si="785"/>
        <v>323.87999999999994</v>
      </c>
      <c r="M602" s="527">
        <f t="shared" si="785"/>
        <v>323.87999999999994</v>
      </c>
      <c r="N602" s="527">
        <f t="shared" si="785"/>
        <v>323.87999999999994</v>
      </c>
      <c r="O602" s="529"/>
      <c r="P602" s="564">
        <f>IFERROR(((N602/I602)^(1/5))-1,0)</f>
        <v>0</v>
      </c>
      <c r="Q602" s="537"/>
      <c r="R602" s="527">
        <f t="shared" ref="R602:AW602" si="786">R538/R$571</f>
        <v>26.99</v>
      </c>
      <c r="S602" s="527">
        <f t="shared" si="786"/>
        <v>26.99</v>
      </c>
      <c r="T602" s="527">
        <f t="shared" si="786"/>
        <v>26.99</v>
      </c>
      <c r="U602" s="527">
        <f t="shared" si="786"/>
        <v>26.99</v>
      </c>
      <c r="V602" s="527">
        <f t="shared" si="786"/>
        <v>26.99</v>
      </c>
      <c r="W602" s="527">
        <f t="shared" si="786"/>
        <v>26.99</v>
      </c>
      <c r="X602" s="527">
        <f t="shared" si="786"/>
        <v>26.99</v>
      </c>
      <c r="Y602" s="527">
        <f t="shared" si="786"/>
        <v>26.99</v>
      </c>
      <c r="Z602" s="527">
        <f t="shared" si="786"/>
        <v>26.99</v>
      </c>
      <c r="AA602" s="527">
        <f t="shared" si="786"/>
        <v>26.99</v>
      </c>
      <c r="AB602" s="527">
        <f t="shared" si="786"/>
        <v>26.99</v>
      </c>
      <c r="AC602" s="527">
        <f t="shared" si="786"/>
        <v>26.99</v>
      </c>
      <c r="AD602" s="527">
        <f t="shared" si="786"/>
        <v>26.99</v>
      </c>
      <c r="AE602" s="527">
        <f t="shared" si="786"/>
        <v>26.99</v>
      </c>
      <c r="AF602" s="527">
        <f t="shared" si="786"/>
        <v>26.99</v>
      </c>
      <c r="AG602" s="527">
        <f t="shared" si="786"/>
        <v>26.99</v>
      </c>
      <c r="AH602" s="527">
        <f t="shared" si="786"/>
        <v>26.99</v>
      </c>
      <c r="AI602" s="527">
        <f t="shared" si="786"/>
        <v>26.99</v>
      </c>
      <c r="AJ602" s="527">
        <f t="shared" si="786"/>
        <v>26.99</v>
      </c>
      <c r="AK602" s="527">
        <f t="shared" si="786"/>
        <v>26.99</v>
      </c>
      <c r="AL602" s="527">
        <f t="shared" si="786"/>
        <v>26.99</v>
      </c>
      <c r="AM602" s="527">
        <f t="shared" si="786"/>
        <v>26.99</v>
      </c>
      <c r="AN602" s="527">
        <f t="shared" si="786"/>
        <v>26.99</v>
      </c>
      <c r="AO602" s="527">
        <f t="shared" si="786"/>
        <v>26.99</v>
      </c>
      <c r="AP602" s="527">
        <f t="shared" si="786"/>
        <v>26.99</v>
      </c>
      <c r="AQ602" s="527">
        <f t="shared" si="786"/>
        <v>26.99</v>
      </c>
      <c r="AR602" s="527">
        <f t="shared" si="786"/>
        <v>26.99</v>
      </c>
      <c r="AS602" s="527">
        <f t="shared" si="786"/>
        <v>26.99</v>
      </c>
      <c r="AT602" s="527">
        <f t="shared" si="786"/>
        <v>26.99</v>
      </c>
      <c r="AU602" s="527">
        <f t="shared" si="786"/>
        <v>26.99</v>
      </c>
      <c r="AV602" s="527">
        <f t="shared" si="786"/>
        <v>26.99</v>
      </c>
      <c r="AW602" s="527">
        <f t="shared" si="786"/>
        <v>26.99</v>
      </c>
      <c r="AX602" s="527">
        <f t="shared" ref="AX602:BY602" si="787">AX538/AX$571</f>
        <v>26.99</v>
      </c>
      <c r="AY602" s="527">
        <f t="shared" si="787"/>
        <v>26.99</v>
      </c>
      <c r="AZ602" s="527">
        <f t="shared" si="787"/>
        <v>26.99</v>
      </c>
      <c r="BA602" s="527">
        <f t="shared" si="787"/>
        <v>26.99</v>
      </c>
      <c r="BB602" s="527">
        <f t="shared" si="787"/>
        <v>26.99</v>
      </c>
      <c r="BC602" s="527">
        <f t="shared" si="787"/>
        <v>26.99</v>
      </c>
      <c r="BD602" s="527">
        <f t="shared" si="787"/>
        <v>26.99</v>
      </c>
      <c r="BE602" s="527">
        <f t="shared" si="787"/>
        <v>26.99</v>
      </c>
      <c r="BF602" s="527">
        <f t="shared" si="787"/>
        <v>26.99</v>
      </c>
      <c r="BG602" s="527">
        <f t="shared" si="787"/>
        <v>26.99</v>
      </c>
      <c r="BH602" s="527">
        <f t="shared" si="787"/>
        <v>26.99</v>
      </c>
      <c r="BI602" s="527">
        <f t="shared" si="787"/>
        <v>26.99</v>
      </c>
      <c r="BJ602" s="527">
        <f t="shared" si="787"/>
        <v>26.99</v>
      </c>
      <c r="BK602" s="527">
        <f t="shared" si="787"/>
        <v>26.99</v>
      </c>
      <c r="BL602" s="527">
        <f t="shared" si="787"/>
        <v>26.99</v>
      </c>
      <c r="BM602" s="527">
        <f t="shared" si="787"/>
        <v>26.99</v>
      </c>
      <c r="BN602" s="527">
        <f t="shared" si="787"/>
        <v>26.99</v>
      </c>
      <c r="BO602" s="527">
        <f t="shared" si="787"/>
        <v>26.99</v>
      </c>
      <c r="BP602" s="527">
        <f t="shared" si="787"/>
        <v>26.99</v>
      </c>
      <c r="BQ602" s="527">
        <f t="shared" si="787"/>
        <v>26.99</v>
      </c>
      <c r="BR602" s="527">
        <f t="shared" si="787"/>
        <v>26.99</v>
      </c>
      <c r="BS602" s="527">
        <f t="shared" si="787"/>
        <v>26.99</v>
      </c>
      <c r="BT602" s="527">
        <f t="shared" si="787"/>
        <v>26.99</v>
      </c>
      <c r="BU602" s="527">
        <f t="shared" si="787"/>
        <v>26.99</v>
      </c>
      <c r="BV602" s="527">
        <f t="shared" si="787"/>
        <v>26.99</v>
      </c>
      <c r="BW602" s="527">
        <f t="shared" si="787"/>
        <v>26.99</v>
      </c>
      <c r="BX602" s="527">
        <f t="shared" si="787"/>
        <v>26.99</v>
      </c>
      <c r="BY602" s="527">
        <f t="shared" si="787"/>
        <v>26.99</v>
      </c>
    </row>
    <row r="603" spans="1:77" x14ac:dyDescent="0.3">
      <c r="A603" s="551"/>
      <c r="B603" s="647"/>
      <c r="C603" s="668"/>
      <c r="D603" s="537"/>
      <c r="E603" s="525" t="s">
        <v>29</v>
      </c>
      <c r="F603" s="567"/>
      <c r="G603" s="567"/>
      <c r="H603" s="537"/>
      <c r="I603" s="527">
        <f t="shared" si="785"/>
        <v>188.35969550639348</v>
      </c>
      <c r="J603" s="527">
        <f t="shared" si="785"/>
        <v>188.35969550639348</v>
      </c>
      <c r="K603" s="527">
        <f t="shared" si="785"/>
        <v>188.35969550639348</v>
      </c>
      <c r="L603" s="527">
        <f t="shared" si="785"/>
        <v>188.35969550639348</v>
      </c>
      <c r="M603" s="527">
        <f t="shared" si="785"/>
        <v>188.35969550639348</v>
      </c>
      <c r="N603" s="527">
        <f t="shared" si="785"/>
        <v>188.35969550639348</v>
      </c>
      <c r="O603" s="529"/>
      <c r="P603" s="564">
        <f>IFERROR(((N603/I603)^(1/5))-1,0)</f>
        <v>0</v>
      </c>
      <c r="Q603" s="537"/>
      <c r="R603" s="527">
        <f t="shared" ref="R603:AW603" si="788">R539/R$571</f>
        <v>15.696641292199457</v>
      </c>
      <c r="S603" s="527">
        <f t="shared" si="788"/>
        <v>15.696641292199457</v>
      </c>
      <c r="T603" s="527">
        <f t="shared" si="788"/>
        <v>15.696641292199457</v>
      </c>
      <c r="U603" s="527">
        <f t="shared" si="788"/>
        <v>15.696641292199457</v>
      </c>
      <c r="V603" s="527">
        <f t="shared" si="788"/>
        <v>15.696641292199457</v>
      </c>
      <c r="W603" s="527">
        <f t="shared" si="788"/>
        <v>15.696641292199457</v>
      </c>
      <c r="X603" s="527">
        <f t="shared" si="788"/>
        <v>15.696641292199457</v>
      </c>
      <c r="Y603" s="527">
        <f t="shared" si="788"/>
        <v>15.696641292199457</v>
      </c>
      <c r="Z603" s="527">
        <f t="shared" si="788"/>
        <v>15.696641292199457</v>
      </c>
      <c r="AA603" s="527">
        <f t="shared" si="788"/>
        <v>15.696641292199457</v>
      </c>
      <c r="AB603" s="527">
        <f t="shared" si="788"/>
        <v>15.696641292199457</v>
      </c>
      <c r="AC603" s="527">
        <f t="shared" si="788"/>
        <v>15.696641292199457</v>
      </c>
      <c r="AD603" s="527">
        <f t="shared" si="788"/>
        <v>15.696641292199457</v>
      </c>
      <c r="AE603" s="527">
        <f t="shared" si="788"/>
        <v>15.696641292199457</v>
      </c>
      <c r="AF603" s="527">
        <f t="shared" si="788"/>
        <v>15.696641292199457</v>
      </c>
      <c r="AG603" s="527">
        <f t="shared" si="788"/>
        <v>15.696641292199457</v>
      </c>
      <c r="AH603" s="527">
        <f t="shared" si="788"/>
        <v>15.696641292199457</v>
      </c>
      <c r="AI603" s="527">
        <f t="shared" si="788"/>
        <v>15.696641292199457</v>
      </c>
      <c r="AJ603" s="527">
        <f t="shared" si="788"/>
        <v>15.696641292199457</v>
      </c>
      <c r="AK603" s="527">
        <f t="shared" si="788"/>
        <v>15.696641292199457</v>
      </c>
      <c r="AL603" s="527">
        <f t="shared" si="788"/>
        <v>15.696641292199457</v>
      </c>
      <c r="AM603" s="527">
        <f t="shared" si="788"/>
        <v>15.696641292199457</v>
      </c>
      <c r="AN603" s="527">
        <f t="shared" si="788"/>
        <v>15.696641292199457</v>
      </c>
      <c r="AO603" s="527">
        <f t="shared" si="788"/>
        <v>15.696641292199457</v>
      </c>
      <c r="AP603" s="527">
        <f t="shared" si="788"/>
        <v>15.696641292199457</v>
      </c>
      <c r="AQ603" s="527">
        <f t="shared" si="788"/>
        <v>15.696641292199457</v>
      </c>
      <c r="AR603" s="527">
        <f t="shared" si="788"/>
        <v>15.696641292199457</v>
      </c>
      <c r="AS603" s="527">
        <f t="shared" si="788"/>
        <v>15.696641292199457</v>
      </c>
      <c r="AT603" s="527">
        <f t="shared" si="788"/>
        <v>15.696641292199457</v>
      </c>
      <c r="AU603" s="527">
        <f t="shared" si="788"/>
        <v>15.696641292199457</v>
      </c>
      <c r="AV603" s="527">
        <f t="shared" si="788"/>
        <v>15.696641292199457</v>
      </c>
      <c r="AW603" s="527">
        <f t="shared" si="788"/>
        <v>15.696641292199457</v>
      </c>
      <c r="AX603" s="527">
        <f t="shared" ref="AX603:BY603" si="789">AX539/AX$571</f>
        <v>15.696641292199457</v>
      </c>
      <c r="AY603" s="527">
        <f t="shared" si="789"/>
        <v>15.696641292199457</v>
      </c>
      <c r="AZ603" s="527">
        <f t="shared" si="789"/>
        <v>15.696641292199457</v>
      </c>
      <c r="BA603" s="527">
        <f t="shared" si="789"/>
        <v>15.696641292199457</v>
      </c>
      <c r="BB603" s="527">
        <f t="shared" si="789"/>
        <v>15.696641292199457</v>
      </c>
      <c r="BC603" s="527">
        <f t="shared" si="789"/>
        <v>15.696641292199457</v>
      </c>
      <c r="BD603" s="527">
        <f t="shared" si="789"/>
        <v>15.696641292199457</v>
      </c>
      <c r="BE603" s="527">
        <f t="shared" si="789"/>
        <v>15.696641292199457</v>
      </c>
      <c r="BF603" s="527">
        <f t="shared" si="789"/>
        <v>15.696641292199457</v>
      </c>
      <c r="BG603" s="527">
        <f t="shared" si="789"/>
        <v>15.696641292199457</v>
      </c>
      <c r="BH603" s="527">
        <f t="shared" si="789"/>
        <v>15.696641292199457</v>
      </c>
      <c r="BI603" s="527">
        <f t="shared" si="789"/>
        <v>15.696641292199457</v>
      </c>
      <c r="BJ603" s="527">
        <f t="shared" si="789"/>
        <v>15.696641292199457</v>
      </c>
      <c r="BK603" s="527">
        <f t="shared" si="789"/>
        <v>15.696641292199457</v>
      </c>
      <c r="BL603" s="527">
        <f t="shared" si="789"/>
        <v>15.696641292199457</v>
      </c>
      <c r="BM603" s="527">
        <f t="shared" si="789"/>
        <v>15.696641292199457</v>
      </c>
      <c r="BN603" s="527">
        <f t="shared" si="789"/>
        <v>15.696641292199457</v>
      </c>
      <c r="BO603" s="527">
        <f t="shared" si="789"/>
        <v>15.696641292199457</v>
      </c>
      <c r="BP603" s="527">
        <f t="shared" si="789"/>
        <v>15.696641292199457</v>
      </c>
      <c r="BQ603" s="527">
        <f t="shared" si="789"/>
        <v>15.696641292199457</v>
      </c>
      <c r="BR603" s="527">
        <f t="shared" si="789"/>
        <v>15.696641292199457</v>
      </c>
      <c r="BS603" s="527">
        <f t="shared" si="789"/>
        <v>15.696641292199457</v>
      </c>
      <c r="BT603" s="527">
        <f t="shared" si="789"/>
        <v>15.696641292199457</v>
      </c>
      <c r="BU603" s="527">
        <f t="shared" si="789"/>
        <v>15.696641292199457</v>
      </c>
      <c r="BV603" s="527">
        <f t="shared" si="789"/>
        <v>15.696641292199457</v>
      </c>
      <c r="BW603" s="527">
        <f t="shared" si="789"/>
        <v>15.696641292199457</v>
      </c>
      <c r="BX603" s="527">
        <f t="shared" si="789"/>
        <v>15.696641292199457</v>
      </c>
      <c r="BY603" s="527">
        <f t="shared" si="789"/>
        <v>15.696641292199457</v>
      </c>
    </row>
    <row r="604" spans="1:77" x14ac:dyDescent="0.3">
      <c r="A604" s="551"/>
      <c r="B604" s="647"/>
      <c r="C604" s="668"/>
      <c r="D604" s="537"/>
      <c r="E604" s="525" t="s">
        <v>30</v>
      </c>
      <c r="F604" s="567"/>
      <c r="G604" s="567"/>
      <c r="H604" s="537"/>
      <c r="I604" s="527">
        <f t="shared" si="785"/>
        <v>804.3848387096773</v>
      </c>
      <c r="J604" s="527">
        <f t="shared" si="785"/>
        <v>804.3848387096773</v>
      </c>
      <c r="K604" s="527">
        <f t="shared" si="785"/>
        <v>804.3848387096773</v>
      </c>
      <c r="L604" s="527">
        <f t="shared" si="785"/>
        <v>804.3848387096773</v>
      </c>
      <c r="M604" s="527">
        <f t="shared" si="785"/>
        <v>804.3848387096773</v>
      </c>
      <c r="N604" s="527">
        <f t="shared" si="785"/>
        <v>804.3848387096773</v>
      </c>
      <c r="O604" s="529"/>
      <c r="P604" s="564">
        <f>IFERROR(((N604/I604)^(1/5))-1,0)</f>
        <v>0</v>
      </c>
      <c r="Q604" s="537"/>
      <c r="R604" s="527">
        <f t="shared" ref="R604:AW604" si="790">R540/R$571</f>
        <v>67.032069892473103</v>
      </c>
      <c r="S604" s="527">
        <f t="shared" si="790"/>
        <v>67.032069892473103</v>
      </c>
      <c r="T604" s="527">
        <f t="shared" si="790"/>
        <v>67.032069892473103</v>
      </c>
      <c r="U604" s="527">
        <f t="shared" si="790"/>
        <v>67.032069892473103</v>
      </c>
      <c r="V604" s="527">
        <f t="shared" si="790"/>
        <v>67.032069892473103</v>
      </c>
      <c r="W604" s="527">
        <f t="shared" si="790"/>
        <v>67.032069892473103</v>
      </c>
      <c r="X604" s="527">
        <f t="shared" si="790"/>
        <v>67.032069892473103</v>
      </c>
      <c r="Y604" s="527">
        <f t="shared" si="790"/>
        <v>67.032069892473103</v>
      </c>
      <c r="Z604" s="527">
        <f t="shared" si="790"/>
        <v>67.032069892473103</v>
      </c>
      <c r="AA604" s="527">
        <f t="shared" si="790"/>
        <v>67.032069892473103</v>
      </c>
      <c r="AB604" s="527">
        <f t="shared" si="790"/>
        <v>67.032069892473103</v>
      </c>
      <c r="AC604" s="527">
        <f t="shared" si="790"/>
        <v>67.032069892473103</v>
      </c>
      <c r="AD604" s="527">
        <f t="shared" si="790"/>
        <v>67.032069892473103</v>
      </c>
      <c r="AE604" s="527">
        <f t="shared" si="790"/>
        <v>67.032069892473103</v>
      </c>
      <c r="AF604" s="527">
        <f t="shared" si="790"/>
        <v>67.032069892473103</v>
      </c>
      <c r="AG604" s="527">
        <f t="shared" si="790"/>
        <v>67.032069892473103</v>
      </c>
      <c r="AH604" s="527">
        <f t="shared" si="790"/>
        <v>67.032069892473103</v>
      </c>
      <c r="AI604" s="527">
        <f t="shared" si="790"/>
        <v>67.032069892473103</v>
      </c>
      <c r="AJ604" s="527">
        <f t="shared" si="790"/>
        <v>67.032069892473103</v>
      </c>
      <c r="AK604" s="527">
        <f t="shared" si="790"/>
        <v>67.032069892473103</v>
      </c>
      <c r="AL604" s="527">
        <f t="shared" si="790"/>
        <v>67.032069892473103</v>
      </c>
      <c r="AM604" s="527">
        <f t="shared" si="790"/>
        <v>67.032069892473103</v>
      </c>
      <c r="AN604" s="527">
        <f t="shared" si="790"/>
        <v>67.032069892473103</v>
      </c>
      <c r="AO604" s="527">
        <f t="shared" si="790"/>
        <v>67.032069892473103</v>
      </c>
      <c r="AP604" s="527">
        <f t="shared" si="790"/>
        <v>67.032069892473103</v>
      </c>
      <c r="AQ604" s="527">
        <f t="shared" si="790"/>
        <v>67.032069892473103</v>
      </c>
      <c r="AR604" s="527">
        <f t="shared" si="790"/>
        <v>67.032069892473103</v>
      </c>
      <c r="AS604" s="527">
        <f t="shared" si="790"/>
        <v>67.032069892473103</v>
      </c>
      <c r="AT604" s="527">
        <f t="shared" si="790"/>
        <v>67.032069892473103</v>
      </c>
      <c r="AU604" s="527">
        <f t="shared" si="790"/>
        <v>67.032069892473103</v>
      </c>
      <c r="AV604" s="527">
        <f t="shared" si="790"/>
        <v>67.032069892473103</v>
      </c>
      <c r="AW604" s="527">
        <f t="shared" si="790"/>
        <v>67.032069892473103</v>
      </c>
      <c r="AX604" s="527">
        <f t="shared" ref="AX604:BY604" si="791">AX540/AX$571</f>
        <v>67.032069892473103</v>
      </c>
      <c r="AY604" s="527">
        <f t="shared" si="791"/>
        <v>67.032069892473103</v>
      </c>
      <c r="AZ604" s="527">
        <f t="shared" si="791"/>
        <v>67.032069892473103</v>
      </c>
      <c r="BA604" s="527">
        <f t="shared" si="791"/>
        <v>67.032069892473103</v>
      </c>
      <c r="BB604" s="527">
        <f t="shared" si="791"/>
        <v>67.032069892473103</v>
      </c>
      <c r="BC604" s="527">
        <f t="shared" si="791"/>
        <v>67.032069892473103</v>
      </c>
      <c r="BD604" s="527">
        <f t="shared" si="791"/>
        <v>67.032069892473103</v>
      </c>
      <c r="BE604" s="527">
        <f t="shared" si="791"/>
        <v>67.032069892473103</v>
      </c>
      <c r="BF604" s="527">
        <f t="shared" si="791"/>
        <v>67.032069892473103</v>
      </c>
      <c r="BG604" s="527">
        <f t="shared" si="791"/>
        <v>67.032069892473103</v>
      </c>
      <c r="BH604" s="527">
        <f t="shared" si="791"/>
        <v>67.032069892473103</v>
      </c>
      <c r="BI604" s="527">
        <f t="shared" si="791"/>
        <v>67.032069892473103</v>
      </c>
      <c r="BJ604" s="527">
        <f t="shared" si="791"/>
        <v>67.032069892473103</v>
      </c>
      <c r="BK604" s="527">
        <f t="shared" si="791"/>
        <v>67.032069892473103</v>
      </c>
      <c r="BL604" s="527">
        <f t="shared" si="791"/>
        <v>67.032069892473103</v>
      </c>
      <c r="BM604" s="527">
        <f t="shared" si="791"/>
        <v>67.032069892473103</v>
      </c>
      <c r="BN604" s="527">
        <f t="shared" si="791"/>
        <v>67.032069892473103</v>
      </c>
      <c r="BO604" s="527">
        <f t="shared" si="791"/>
        <v>67.032069892473103</v>
      </c>
      <c r="BP604" s="527">
        <f t="shared" si="791"/>
        <v>67.032069892473103</v>
      </c>
      <c r="BQ604" s="527">
        <f t="shared" si="791"/>
        <v>67.032069892473103</v>
      </c>
      <c r="BR604" s="527">
        <f t="shared" si="791"/>
        <v>67.032069892473103</v>
      </c>
      <c r="BS604" s="527">
        <f t="shared" si="791"/>
        <v>67.032069892473103</v>
      </c>
      <c r="BT604" s="527">
        <f t="shared" si="791"/>
        <v>67.032069892473103</v>
      </c>
      <c r="BU604" s="527">
        <f t="shared" si="791"/>
        <v>67.032069892473103</v>
      </c>
      <c r="BV604" s="527">
        <f t="shared" si="791"/>
        <v>67.032069892473103</v>
      </c>
      <c r="BW604" s="527">
        <f t="shared" si="791"/>
        <v>67.032069892473103</v>
      </c>
      <c r="BX604" s="527">
        <f t="shared" si="791"/>
        <v>67.032069892473103</v>
      </c>
      <c r="BY604" s="527">
        <f t="shared" si="791"/>
        <v>67.032069892473103</v>
      </c>
    </row>
    <row r="605" spans="1:77" x14ac:dyDescent="0.3">
      <c r="A605" s="551"/>
      <c r="B605" s="647"/>
      <c r="C605" s="668"/>
      <c r="D605" s="537"/>
      <c r="E605" s="525" t="s">
        <v>31</v>
      </c>
      <c r="F605" s="567"/>
      <c r="G605" s="567"/>
      <c r="H605" s="537"/>
      <c r="I605" s="527">
        <f t="shared" si="785"/>
        <v>3072.9731813746894</v>
      </c>
      <c r="J605" s="527">
        <f t="shared" si="785"/>
        <v>3072.9731813746894</v>
      </c>
      <c r="K605" s="527">
        <f t="shared" si="785"/>
        <v>3072.9731813746894</v>
      </c>
      <c r="L605" s="527">
        <f t="shared" si="785"/>
        <v>3072.9731813746894</v>
      </c>
      <c r="M605" s="527">
        <f t="shared" si="785"/>
        <v>3072.9731813746894</v>
      </c>
      <c r="N605" s="527">
        <f t="shared" si="785"/>
        <v>3072.9731813746894</v>
      </c>
      <c r="O605" s="529"/>
      <c r="P605" s="564">
        <f>IFERROR(((N605/I605)^(1/5))-1,0)</f>
        <v>0</v>
      </c>
      <c r="Q605" s="537"/>
      <c r="R605" s="527">
        <f t="shared" ref="R605:AW605" si="792">R541/R$571</f>
        <v>256.08109844789078</v>
      </c>
      <c r="S605" s="527">
        <f t="shared" si="792"/>
        <v>256.08109844789078</v>
      </c>
      <c r="T605" s="527">
        <f t="shared" si="792"/>
        <v>256.08109844789078</v>
      </c>
      <c r="U605" s="527">
        <f t="shared" si="792"/>
        <v>256.08109844789078</v>
      </c>
      <c r="V605" s="527">
        <f t="shared" si="792"/>
        <v>256.08109844789078</v>
      </c>
      <c r="W605" s="527">
        <f t="shared" si="792"/>
        <v>256.08109844789078</v>
      </c>
      <c r="X605" s="527">
        <f t="shared" si="792"/>
        <v>256.08109844789078</v>
      </c>
      <c r="Y605" s="527">
        <f t="shared" si="792"/>
        <v>256.08109844789078</v>
      </c>
      <c r="Z605" s="527">
        <f t="shared" si="792"/>
        <v>256.08109844789078</v>
      </c>
      <c r="AA605" s="527">
        <f t="shared" si="792"/>
        <v>256.08109844789078</v>
      </c>
      <c r="AB605" s="527">
        <f t="shared" si="792"/>
        <v>256.08109844789078</v>
      </c>
      <c r="AC605" s="527">
        <f t="shared" si="792"/>
        <v>256.08109844789078</v>
      </c>
      <c r="AD605" s="527">
        <f t="shared" si="792"/>
        <v>256.08109844789078</v>
      </c>
      <c r="AE605" s="527">
        <f t="shared" si="792"/>
        <v>256.08109844789078</v>
      </c>
      <c r="AF605" s="527">
        <f t="shared" si="792"/>
        <v>256.08109844789078</v>
      </c>
      <c r="AG605" s="527">
        <f t="shared" si="792"/>
        <v>256.08109844789078</v>
      </c>
      <c r="AH605" s="527">
        <f t="shared" si="792"/>
        <v>256.08109844789078</v>
      </c>
      <c r="AI605" s="527">
        <f t="shared" si="792"/>
        <v>256.08109844789078</v>
      </c>
      <c r="AJ605" s="527">
        <f t="shared" si="792"/>
        <v>256.08109844789078</v>
      </c>
      <c r="AK605" s="527">
        <f t="shared" si="792"/>
        <v>256.08109844789078</v>
      </c>
      <c r="AL605" s="527">
        <f t="shared" si="792"/>
        <v>256.08109844789078</v>
      </c>
      <c r="AM605" s="527">
        <f t="shared" si="792"/>
        <v>256.08109844789078</v>
      </c>
      <c r="AN605" s="527">
        <f t="shared" si="792"/>
        <v>256.08109844789078</v>
      </c>
      <c r="AO605" s="527">
        <f t="shared" si="792"/>
        <v>256.08109844789078</v>
      </c>
      <c r="AP605" s="527">
        <f t="shared" si="792"/>
        <v>256.08109844789078</v>
      </c>
      <c r="AQ605" s="527">
        <f t="shared" si="792"/>
        <v>256.08109844789078</v>
      </c>
      <c r="AR605" s="527">
        <f t="shared" si="792"/>
        <v>256.08109844789078</v>
      </c>
      <c r="AS605" s="527">
        <f t="shared" si="792"/>
        <v>256.08109844789078</v>
      </c>
      <c r="AT605" s="527">
        <f t="shared" si="792"/>
        <v>256.08109844789078</v>
      </c>
      <c r="AU605" s="527">
        <f t="shared" si="792"/>
        <v>256.08109844789078</v>
      </c>
      <c r="AV605" s="527">
        <f t="shared" si="792"/>
        <v>256.08109844789078</v>
      </c>
      <c r="AW605" s="527">
        <f t="shared" si="792"/>
        <v>256.08109844789078</v>
      </c>
      <c r="AX605" s="527">
        <f t="shared" ref="AX605:BY605" si="793">AX541/AX$571</f>
        <v>256.08109844789078</v>
      </c>
      <c r="AY605" s="527">
        <f t="shared" si="793"/>
        <v>256.08109844789078</v>
      </c>
      <c r="AZ605" s="527">
        <f t="shared" si="793"/>
        <v>256.08109844789078</v>
      </c>
      <c r="BA605" s="527">
        <f t="shared" si="793"/>
        <v>256.08109844789078</v>
      </c>
      <c r="BB605" s="527">
        <f t="shared" si="793"/>
        <v>256.08109844789078</v>
      </c>
      <c r="BC605" s="527">
        <f t="shared" si="793"/>
        <v>256.08109844789078</v>
      </c>
      <c r="BD605" s="527">
        <f t="shared" si="793"/>
        <v>256.08109844789078</v>
      </c>
      <c r="BE605" s="527">
        <f t="shared" si="793"/>
        <v>256.08109844789078</v>
      </c>
      <c r="BF605" s="527">
        <f t="shared" si="793"/>
        <v>256.08109844789078</v>
      </c>
      <c r="BG605" s="527">
        <f t="shared" si="793"/>
        <v>256.08109844789078</v>
      </c>
      <c r="BH605" s="527">
        <f t="shared" si="793"/>
        <v>256.08109844789078</v>
      </c>
      <c r="BI605" s="527">
        <f t="shared" si="793"/>
        <v>256.08109844789078</v>
      </c>
      <c r="BJ605" s="527">
        <f t="shared" si="793"/>
        <v>256.08109844789078</v>
      </c>
      <c r="BK605" s="527">
        <f t="shared" si="793"/>
        <v>256.08109844789078</v>
      </c>
      <c r="BL605" s="527">
        <f t="shared" si="793"/>
        <v>256.08109844789078</v>
      </c>
      <c r="BM605" s="527">
        <f t="shared" si="793"/>
        <v>256.08109844789078</v>
      </c>
      <c r="BN605" s="527">
        <f t="shared" si="793"/>
        <v>256.08109844789078</v>
      </c>
      <c r="BO605" s="527">
        <f t="shared" si="793"/>
        <v>256.08109844789078</v>
      </c>
      <c r="BP605" s="527">
        <f t="shared" si="793"/>
        <v>256.08109844789078</v>
      </c>
      <c r="BQ605" s="527">
        <f t="shared" si="793"/>
        <v>256.08109844789078</v>
      </c>
      <c r="BR605" s="527">
        <f t="shared" si="793"/>
        <v>256.08109844789078</v>
      </c>
      <c r="BS605" s="527">
        <f t="shared" si="793"/>
        <v>256.08109844789078</v>
      </c>
      <c r="BT605" s="527">
        <f t="shared" si="793"/>
        <v>256.08109844789078</v>
      </c>
      <c r="BU605" s="527">
        <f t="shared" si="793"/>
        <v>256.08109844789078</v>
      </c>
      <c r="BV605" s="527">
        <f t="shared" si="793"/>
        <v>256.08109844789078</v>
      </c>
      <c r="BW605" s="527">
        <f t="shared" si="793"/>
        <v>256.08109844789078</v>
      </c>
      <c r="BX605" s="527">
        <f t="shared" si="793"/>
        <v>256.08109844789078</v>
      </c>
      <c r="BY605" s="527">
        <f t="shared" si="793"/>
        <v>256.08109844789078</v>
      </c>
    </row>
    <row r="606" spans="1:77" x14ac:dyDescent="0.3">
      <c r="A606" s="551"/>
      <c r="B606" s="647"/>
      <c r="C606" s="668"/>
      <c r="D606" s="537"/>
      <c r="E606" s="572" t="s">
        <v>32</v>
      </c>
      <c r="F606" s="573"/>
      <c r="G606" s="573"/>
      <c r="H606" s="537"/>
      <c r="I606" s="532">
        <f t="shared" si="785"/>
        <v>4389.5977155907603</v>
      </c>
      <c r="J606" s="532">
        <f t="shared" si="785"/>
        <v>4389.5977155907603</v>
      </c>
      <c r="K606" s="532">
        <f t="shared" si="785"/>
        <v>4389.5977155907603</v>
      </c>
      <c r="L606" s="532">
        <f t="shared" si="785"/>
        <v>4389.5977155907603</v>
      </c>
      <c r="M606" s="532">
        <f t="shared" si="785"/>
        <v>4389.5977155907603</v>
      </c>
      <c r="N606" s="532">
        <f t="shared" si="785"/>
        <v>4389.5977155907603</v>
      </c>
      <c r="O606" s="536"/>
      <c r="P606" s="568">
        <f>IFERROR(((N606/I606)^(1/5))-1,0)</f>
        <v>0</v>
      </c>
      <c r="Q606" s="537"/>
      <c r="R606" s="532">
        <f t="shared" ref="R606:AW606" si="794">R542/R$571</f>
        <v>365.79980963256332</v>
      </c>
      <c r="S606" s="532">
        <f t="shared" si="794"/>
        <v>365.79980963256332</v>
      </c>
      <c r="T606" s="532">
        <f t="shared" si="794"/>
        <v>365.79980963256332</v>
      </c>
      <c r="U606" s="532">
        <f t="shared" si="794"/>
        <v>365.79980963256332</v>
      </c>
      <c r="V606" s="532">
        <f t="shared" si="794"/>
        <v>365.79980963256332</v>
      </c>
      <c r="W606" s="532">
        <f t="shared" si="794"/>
        <v>365.79980963256332</v>
      </c>
      <c r="X606" s="532">
        <f t="shared" si="794"/>
        <v>365.79980963256332</v>
      </c>
      <c r="Y606" s="532">
        <f t="shared" si="794"/>
        <v>365.79980963256332</v>
      </c>
      <c r="Z606" s="532">
        <f t="shared" si="794"/>
        <v>365.79980963256332</v>
      </c>
      <c r="AA606" s="532">
        <f t="shared" si="794"/>
        <v>365.79980963256332</v>
      </c>
      <c r="AB606" s="532">
        <f t="shared" si="794"/>
        <v>365.79980963256332</v>
      </c>
      <c r="AC606" s="532">
        <f t="shared" si="794"/>
        <v>365.79980963256332</v>
      </c>
      <c r="AD606" s="532">
        <f t="shared" si="794"/>
        <v>365.79980963256332</v>
      </c>
      <c r="AE606" s="532">
        <f t="shared" si="794"/>
        <v>365.79980963256332</v>
      </c>
      <c r="AF606" s="532">
        <f t="shared" si="794"/>
        <v>365.79980963256332</v>
      </c>
      <c r="AG606" s="532">
        <f t="shared" si="794"/>
        <v>365.79980963256332</v>
      </c>
      <c r="AH606" s="532">
        <f t="shared" si="794"/>
        <v>365.79980963256332</v>
      </c>
      <c r="AI606" s="532">
        <f t="shared" si="794"/>
        <v>365.79980963256332</v>
      </c>
      <c r="AJ606" s="532">
        <f t="shared" si="794"/>
        <v>365.79980963256332</v>
      </c>
      <c r="AK606" s="532">
        <f t="shared" si="794"/>
        <v>365.79980963256332</v>
      </c>
      <c r="AL606" s="532">
        <f t="shared" si="794"/>
        <v>365.79980963256332</v>
      </c>
      <c r="AM606" s="532">
        <f t="shared" si="794"/>
        <v>365.79980963256332</v>
      </c>
      <c r="AN606" s="532">
        <f t="shared" si="794"/>
        <v>365.79980963256332</v>
      </c>
      <c r="AO606" s="532">
        <f t="shared" si="794"/>
        <v>365.79980963256332</v>
      </c>
      <c r="AP606" s="532">
        <f t="shared" si="794"/>
        <v>365.79980963256332</v>
      </c>
      <c r="AQ606" s="532">
        <f t="shared" si="794"/>
        <v>365.79980963256332</v>
      </c>
      <c r="AR606" s="532">
        <f t="shared" si="794"/>
        <v>365.79980963256332</v>
      </c>
      <c r="AS606" s="532">
        <f t="shared" si="794"/>
        <v>365.79980963256332</v>
      </c>
      <c r="AT606" s="532">
        <f t="shared" si="794"/>
        <v>365.79980963256332</v>
      </c>
      <c r="AU606" s="532">
        <f t="shared" si="794"/>
        <v>365.79980963256332</v>
      </c>
      <c r="AV606" s="532">
        <f t="shared" si="794"/>
        <v>365.79980963256332</v>
      </c>
      <c r="AW606" s="532">
        <f t="shared" si="794"/>
        <v>365.79980963256332</v>
      </c>
      <c r="AX606" s="532">
        <f t="shared" ref="AX606:BY606" si="795">AX542/AX$571</f>
        <v>365.79980963256332</v>
      </c>
      <c r="AY606" s="532">
        <f t="shared" si="795"/>
        <v>365.79980963256332</v>
      </c>
      <c r="AZ606" s="532">
        <f t="shared" si="795"/>
        <v>365.79980963256332</v>
      </c>
      <c r="BA606" s="532">
        <f t="shared" si="795"/>
        <v>365.79980963256332</v>
      </c>
      <c r="BB606" s="532">
        <f t="shared" si="795"/>
        <v>365.79980963256332</v>
      </c>
      <c r="BC606" s="532">
        <f t="shared" si="795"/>
        <v>365.79980963256332</v>
      </c>
      <c r="BD606" s="532">
        <f t="shared" si="795"/>
        <v>365.79980963256332</v>
      </c>
      <c r="BE606" s="532">
        <f t="shared" si="795"/>
        <v>365.79980963256332</v>
      </c>
      <c r="BF606" s="532">
        <f t="shared" si="795"/>
        <v>365.79980963256332</v>
      </c>
      <c r="BG606" s="532">
        <f t="shared" si="795"/>
        <v>365.79980963256332</v>
      </c>
      <c r="BH606" s="532">
        <f t="shared" si="795"/>
        <v>365.79980963256332</v>
      </c>
      <c r="BI606" s="532">
        <f t="shared" si="795"/>
        <v>365.79980963256332</v>
      </c>
      <c r="BJ606" s="532">
        <f t="shared" si="795"/>
        <v>365.79980963256332</v>
      </c>
      <c r="BK606" s="532">
        <f t="shared" si="795"/>
        <v>365.79980963256332</v>
      </c>
      <c r="BL606" s="532">
        <f t="shared" si="795"/>
        <v>365.79980963256332</v>
      </c>
      <c r="BM606" s="532">
        <f t="shared" si="795"/>
        <v>365.79980963256332</v>
      </c>
      <c r="BN606" s="532">
        <f t="shared" si="795"/>
        <v>365.79980963256332</v>
      </c>
      <c r="BO606" s="532">
        <f t="shared" si="795"/>
        <v>365.79980963256332</v>
      </c>
      <c r="BP606" s="532">
        <f t="shared" si="795"/>
        <v>365.79980963256332</v>
      </c>
      <c r="BQ606" s="532">
        <f t="shared" si="795"/>
        <v>365.79980963256332</v>
      </c>
      <c r="BR606" s="532">
        <f t="shared" si="795"/>
        <v>365.79980963256332</v>
      </c>
      <c r="BS606" s="532">
        <f t="shared" si="795"/>
        <v>365.79980963256332</v>
      </c>
      <c r="BT606" s="532">
        <f t="shared" si="795"/>
        <v>365.79980963256332</v>
      </c>
      <c r="BU606" s="532">
        <f t="shared" si="795"/>
        <v>365.79980963256332</v>
      </c>
      <c r="BV606" s="532">
        <f t="shared" si="795"/>
        <v>365.79980963256332</v>
      </c>
      <c r="BW606" s="532">
        <f t="shared" si="795"/>
        <v>365.79980963256332</v>
      </c>
      <c r="BX606" s="532">
        <f t="shared" si="795"/>
        <v>365.79980963256332</v>
      </c>
      <c r="BY606" s="532">
        <f t="shared" si="795"/>
        <v>365.79980963256332</v>
      </c>
    </row>
    <row r="607" spans="1:77" x14ac:dyDescent="0.3">
      <c r="A607" s="551"/>
      <c r="B607" s="647"/>
      <c r="C607" s="668"/>
      <c r="D607" s="537"/>
      <c r="E607" s="525"/>
      <c r="F607" s="529"/>
      <c r="G607" s="529"/>
      <c r="H607" s="537"/>
      <c r="I607" s="529"/>
      <c r="J607" s="529"/>
      <c r="K607" s="529"/>
      <c r="L607" s="529"/>
      <c r="M607" s="529"/>
      <c r="N607" s="529"/>
      <c r="O607" s="529"/>
      <c r="P607" s="660"/>
      <c r="Q607" s="537"/>
      <c r="R607" s="529"/>
      <c r="S607" s="529"/>
      <c r="T607" s="529"/>
      <c r="U607" s="529"/>
      <c r="V607" s="529"/>
      <c r="W607" s="529"/>
      <c r="X607" s="529"/>
      <c r="Y607" s="529"/>
      <c r="Z607" s="529"/>
      <c r="AA607" s="529"/>
      <c r="AB607" s="529"/>
      <c r="AC607" s="529"/>
      <c r="AD607" s="529"/>
      <c r="AE607" s="529"/>
      <c r="AF607" s="529"/>
      <c r="AG607" s="529"/>
      <c r="AH607" s="529"/>
      <c r="AI607" s="529"/>
      <c r="AJ607" s="529"/>
      <c r="AK607" s="529"/>
      <c r="AL607" s="529"/>
      <c r="AM607" s="529"/>
      <c r="AN607" s="529"/>
      <c r="AO607" s="529"/>
      <c r="AP607" s="529"/>
      <c r="AQ607" s="529"/>
      <c r="AR607" s="529"/>
      <c r="AS607" s="529"/>
      <c r="AT607" s="529"/>
      <c r="AU607" s="529"/>
      <c r="AV607" s="529"/>
      <c r="AW607" s="529"/>
      <c r="AX607" s="529"/>
      <c r="AY607" s="529"/>
      <c r="AZ607" s="529"/>
      <c r="BA607" s="529"/>
      <c r="BB607" s="529"/>
      <c r="BC607" s="529"/>
      <c r="BD607" s="529"/>
      <c r="BE607" s="529"/>
      <c r="BF607" s="529"/>
      <c r="BG607" s="529"/>
      <c r="BH607" s="529"/>
      <c r="BI607" s="529"/>
      <c r="BJ607" s="529"/>
      <c r="BK607" s="529"/>
      <c r="BL607" s="529"/>
      <c r="BM607" s="529"/>
      <c r="BN607" s="529"/>
      <c r="BO607" s="529"/>
      <c r="BP607" s="529"/>
      <c r="BQ607" s="529"/>
      <c r="BR607" s="529"/>
      <c r="BS607" s="529"/>
      <c r="BT607" s="529"/>
      <c r="BU607" s="529"/>
      <c r="BV607" s="529"/>
      <c r="BW607" s="529"/>
      <c r="BX607" s="529"/>
      <c r="BY607" s="529"/>
    </row>
    <row r="608" spans="1:77" x14ac:dyDescent="0.3">
      <c r="A608" s="551"/>
      <c r="B608" s="647"/>
      <c r="C608" s="668"/>
      <c r="D608" s="537"/>
      <c r="E608" s="578" t="s">
        <v>33</v>
      </c>
      <c r="F608" s="579"/>
      <c r="G608" s="579"/>
      <c r="H608" s="537"/>
      <c r="I608" s="534">
        <f t="shared" ref="I608:N608" si="796">I544/I$571</f>
        <v>98695.084903193696</v>
      </c>
      <c r="J608" s="534">
        <f t="shared" si="796"/>
        <v>102741.54795587577</v>
      </c>
      <c r="K608" s="534">
        <f t="shared" si="796"/>
        <v>106764.60375726657</v>
      </c>
      <c r="L608" s="534">
        <f t="shared" si="796"/>
        <v>110747.88737296424</v>
      </c>
      <c r="M608" s="534">
        <f t="shared" si="796"/>
        <v>114506.99105030826</v>
      </c>
      <c r="N608" s="534">
        <f t="shared" si="796"/>
        <v>118243.89967856627</v>
      </c>
      <c r="O608" s="536"/>
      <c r="P608" s="568">
        <f>IFERROR(((N608/I608)^(1/5))-1,0)</f>
        <v>3.6803951826123171E-2</v>
      </c>
      <c r="Q608" s="537"/>
      <c r="R608" s="534">
        <f t="shared" ref="R608:AW608" si="797">R544/R$571</f>
        <v>8561.7956629896489</v>
      </c>
      <c r="S608" s="534">
        <f t="shared" si="797"/>
        <v>8561.7956629896489</v>
      </c>
      <c r="T608" s="534">
        <f t="shared" si="797"/>
        <v>8561.7956629896489</v>
      </c>
      <c r="U608" s="534">
        <f t="shared" si="797"/>
        <v>8561.7956629896489</v>
      </c>
      <c r="V608" s="534">
        <f t="shared" si="797"/>
        <v>8561.7956629896489</v>
      </c>
      <c r="W608" s="534">
        <f t="shared" si="797"/>
        <v>8561.7956629896489</v>
      </c>
      <c r="X608" s="534">
        <f t="shared" si="797"/>
        <v>8561.7956629896489</v>
      </c>
      <c r="Y608" s="534">
        <f t="shared" si="797"/>
        <v>8561.7956629896489</v>
      </c>
      <c r="Z608" s="534">
        <f t="shared" si="797"/>
        <v>8561.7956629896489</v>
      </c>
      <c r="AA608" s="534">
        <f t="shared" si="797"/>
        <v>8561.7956629896489</v>
      </c>
      <c r="AB608" s="534">
        <f t="shared" si="797"/>
        <v>8561.7956629896489</v>
      </c>
      <c r="AC608" s="534">
        <f t="shared" si="797"/>
        <v>8561.7956629896489</v>
      </c>
      <c r="AD608" s="534">
        <f t="shared" si="797"/>
        <v>8897.050313105552</v>
      </c>
      <c r="AE608" s="534">
        <f t="shared" si="797"/>
        <v>8897.050313105552</v>
      </c>
      <c r="AF608" s="534">
        <f t="shared" si="797"/>
        <v>8897.050313105552</v>
      </c>
      <c r="AG608" s="534">
        <f t="shared" si="797"/>
        <v>8897.050313105552</v>
      </c>
      <c r="AH608" s="534">
        <f t="shared" si="797"/>
        <v>8897.050313105552</v>
      </c>
      <c r="AI608" s="534">
        <f t="shared" si="797"/>
        <v>8897.050313105552</v>
      </c>
      <c r="AJ608" s="534">
        <f t="shared" si="797"/>
        <v>8897.050313105552</v>
      </c>
      <c r="AK608" s="534">
        <f t="shared" si="797"/>
        <v>8897.050313105552</v>
      </c>
      <c r="AL608" s="534">
        <f t="shared" si="797"/>
        <v>8897.050313105552</v>
      </c>
      <c r="AM608" s="534">
        <f t="shared" si="797"/>
        <v>8897.050313105552</v>
      </c>
      <c r="AN608" s="534">
        <f t="shared" si="797"/>
        <v>8897.050313105552</v>
      </c>
      <c r="AO608" s="534">
        <f t="shared" si="797"/>
        <v>8897.050313105552</v>
      </c>
      <c r="AP608" s="534">
        <f t="shared" si="797"/>
        <v>9228.9906144136876</v>
      </c>
      <c r="AQ608" s="534">
        <f t="shared" si="797"/>
        <v>9228.9906144136876</v>
      </c>
      <c r="AR608" s="534">
        <f t="shared" si="797"/>
        <v>9228.9906144136876</v>
      </c>
      <c r="AS608" s="534">
        <f t="shared" si="797"/>
        <v>9228.9906144136876</v>
      </c>
      <c r="AT608" s="534">
        <f t="shared" si="797"/>
        <v>9228.9906144136876</v>
      </c>
      <c r="AU608" s="534">
        <f t="shared" si="797"/>
        <v>9228.9906144136876</v>
      </c>
      <c r="AV608" s="534">
        <f t="shared" si="797"/>
        <v>9228.9906144136876</v>
      </c>
      <c r="AW608" s="534">
        <f t="shared" si="797"/>
        <v>9228.9906144136876</v>
      </c>
      <c r="AX608" s="534">
        <f t="shared" ref="AX608:BY608" si="798">AX544/AX$571</f>
        <v>9228.9906144136876</v>
      </c>
      <c r="AY608" s="534">
        <f t="shared" si="798"/>
        <v>9228.9906144136876</v>
      </c>
      <c r="AZ608" s="534">
        <f t="shared" si="798"/>
        <v>9228.9906144136876</v>
      </c>
      <c r="BA608" s="534">
        <f t="shared" si="798"/>
        <v>9228.9906144136876</v>
      </c>
      <c r="BB608" s="534">
        <f t="shared" si="798"/>
        <v>9542.2492541923566</v>
      </c>
      <c r="BC608" s="534">
        <f t="shared" si="798"/>
        <v>9542.2492541923566</v>
      </c>
      <c r="BD608" s="534">
        <f t="shared" si="798"/>
        <v>9542.2492541923566</v>
      </c>
      <c r="BE608" s="534">
        <f t="shared" si="798"/>
        <v>9542.2492541923566</v>
      </c>
      <c r="BF608" s="534">
        <f t="shared" si="798"/>
        <v>9542.2492541923566</v>
      </c>
      <c r="BG608" s="534">
        <f t="shared" si="798"/>
        <v>9542.2492541923566</v>
      </c>
      <c r="BH608" s="534">
        <f t="shared" si="798"/>
        <v>9542.2492541923566</v>
      </c>
      <c r="BI608" s="534">
        <f t="shared" si="798"/>
        <v>9542.2492541923566</v>
      </c>
      <c r="BJ608" s="534">
        <f t="shared" si="798"/>
        <v>9542.2492541923566</v>
      </c>
      <c r="BK608" s="534">
        <f t="shared" si="798"/>
        <v>9542.2492541923566</v>
      </c>
      <c r="BL608" s="534">
        <f t="shared" si="798"/>
        <v>9542.2492541923566</v>
      </c>
      <c r="BM608" s="534">
        <f t="shared" si="798"/>
        <v>9542.2492541923566</v>
      </c>
      <c r="BN608" s="534">
        <f t="shared" si="798"/>
        <v>9853.6583065471896</v>
      </c>
      <c r="BO608" s="534">
        <f t="shared" si="798"/>
        <v>9853.6583065471896</v>
      </c>
      <c r="BP608" s="534">
        <f t="shared" si="798"/>
        <v>9853.6583065471896</v>
      </c>
      <c r="BQ608" s="534">
        <f t="shared" si="798"/>
        <v>9853.6583065471896</v>
      </c>
      <c r="BR608" s="534">
        <f t="shared" si="798"/>
        <v>9853.6583065471896</v>
      </c>
      <c r="BS608" s="534">
        <f t="shared" si="798"/>
        <v>9853.6583065471896</v>
      </c>
      <c r="BT608" s="534">
        <f t="shared" si="798"/>
        <v>9853.6583065471896</v>
      </c>
      <c r="BU608" s="534">
        <f t="shared" si="798"/>
        <v>9853.6583065471896</v>
      </c>
      <c r="BV608" s="534">
        <f t="shared" si="798"/>
        <v>9853.6583065471896</v>
      </c>
      <c r="BW608" s="534">
        <f t="shared" si="798"/>
        <v>9853.6583065471896</v>
      </c>
      <c r="BX608" s="534">
        <f t="shared" si="798"/>
        <v>9853.6583065471896</v>
      </c>
      <c r="BY608" s="534">
        <f t="shared" si="798"/>
        <v>9853.6583065471896</v>
      </c>
    </row>
    <row r="609" spans="1:77" x14ac:dyDescent="0.3">
      <c r="A609" s="551"/>
      <c r="B609" s="647"/>
      <c r="C609" s="668"/>
      <c r="D609" s="537"/>
      <c r="E609" s="525"/>
      <c r="F609" s="529"/>
      <c r="G609" s="529"/>
      <c r="H609" s="537"/>
      <c r="I609" s="529"/>
      <c r="J609" s="529"/>
      <c r="K609" s="529"/>
      <c r="L609" s="529"/>
      <c r="M609" s="529"/>
      <c r="N609" s="529"/>
      <c r="O609" s="529"/>
      <c r="P609" s="660"/>
      <c r="Q609" s="537"/>
      <c r="R609" s="529"/>
      <c r="S609" s="529"/>
      <c r="T609" s="529"/>
      <c r="U609" s="529"/>
      <c r="V609" s="529"/>
      <c r="W609" s="529"/>
      <c r="X609" s="529"/>
      <c r="Y609" s="529"/>
      <c r="Z609" s="529"/>
      <c r="AA609" s="529"/>
      <c r="AB609" s="529"/>
      <c r="AC609" s="529"/>
      <c r="AD609" s="529"/>
      <c r="AE609" s="529"/>
      <c r="AF609" s="529"/>
      <c r="AG609" s="529"/>
      <c r="AH609" s="529"/>
      <c r="AI609" s="529"/>
      <c r="AJ609" s="529"/>
      <c r="AK609" s="529"/>
      <c r="AL609" s="529"/>
      <c r="AM609" s="529"/>
      <c r="AN609" s="529"/>
      <c r="AO609" s="529"/>
      <c r="AP609" s="529"/>
      <c r="AQ609" s="529"/>
      <c r="AR609" s="529"/>
      <c r="AS609" s="529"/>
      <c r="AT609" s="529"/>
      <c r="AU609" s="529"/>
      <c r="AV609" s="529"/>
      <c r="AW609" s="529"/>
      <c r="AX609" s="529"/>
      <c r="AY609" s="529"/>
      <c r="AZ609" s="529"/>
      <c r="BA609" s="529"/>
      <c r="BB609" s="529"/>
      <c r="BC609" s="529"/>
      <c r="BD609" s="529"/>
      <c r="BE609" s="529"/>
      <c r="BF609" s="529"/>
      <c r="BG609" s="529"/>
      <c r="BH609" s="529"/>
      <c r="BI609" s="529"/>
      <c r="BJ609" s="529"/>
      <c r="BK609" s="529"/>
      <c r="BL609" s="529"/>
      <c r="BM609" s="529"/>
      <c r="BN609" s="529"/>
      <c r="BO609" s="529"/>
      <c r="BP609" s="529"/>
      <c r="BQ609" s="529"/>
      <c r="BR609" s="529"/>
      <c r="BS609" s="529"/>
      <c r="BT609" s="529"/>
      <c r="BU609" s="529"/>
      <c r="BV609" s="529"/>
      <c r="BW609" s="529"/>
      <c r="BX609" s="529"/>
      <c r="BY609" s="529"/>
    </row>
    <row r="610" spans="1:77" x14ac:dyDescent="0.3">
      <c r="A610" s="551"/>
      <c r="B610" s="647"/>
      <c r="C610" s="668"/>
      <c r="D610" s="537"/>
      <c r="E610" s="570" t="s">
        <v>34</v>
      </c>
      <c r="F610" s="529"/>
      <c r="G610" s="529"/>
      <c r="H610" s="537"/>
      <c r="I610" s="529"/>
      <c r="J610" s="529"/>
      <c r="K610" s="529"/>
      <c r="L610" s="529"/>
      <c r="M610" s="529"/>
      <c r="N610" s="529"/>
      <c r="O610" s="529"/>
      <c r="P610" s="660"/>
      <c r="Q610" s="537"/>
      <c r="R610" s="529"/>
      <c r="S610" s="529"/>
      <c r="T610" s="529"/>
      <c r="U610" s="529"/>
      <c r="V610" s="529"/>
      <c r="W610" s="529"/>
      <c r="X610" s="529"/>
      <c r="Y610" s="529"/>
      <c r="Z610" s="529"/>
      <c r="AA610" s="529"/>
      <c r="AB610" s="529"/>
      <c r="AC610" s="529"/>
      <c r="AD610" s="529"/>
      <c r="AE610" s="529"/>
      <c r="AF610" s="529"/>
      <c r="AG610" s="529"/>
      <c r="AH610" s="529"/>
      <c r="AI610" s="529"/>
      <c r="AJ610" s="529"/>
      <c r="AK610" s="529"/>
      <c r="AL610" s="529"/>
      <c r="AM610" s="529"/>
      <c r="AN610" s="529"/>
      <c r="AO610" s="529"/>
      <c r="AP610" s="529"/>
      <c r="AQ610" s="529"/>
      <c r="AR610" s="529"/>
      <c r="AS610" s="529"/>
      <c r="AT610" s="529"/>
      <c r="AU610" s="529"/>
      <c r="AV610" s="529"/>
      <c r="AW610" s="529"/>
      <c r="AX610" s="529"/>
      <c r="AY610" s="529"/>
      <c r="AZ610" s="529"/>
      <c r="BA610" s="529"/>
      <c r="BB610" s="529"/>
      <c r="BC610" s="529"/>
      <c r="BD610" s="529"/>
      <c r="BE610" s="529"/>
      <c r="BF610" s="529"/>
      <c r="BG610" s="529"/>
      <c r="BH610" s="529"/>
      <c r="BI610" s="529"/>
      <c r="BJ610" s="529"/>
      <c r="BK610" s="529"/>
      <c r="BL610" s="529"/>
      <c r="BM610" s="529"/>
      <c r="BN610" s="529"/>
      <c r="BO610" s="529"/>
      <c r="BP610" s="529"/>
      <c r="BQ610" s="529"/>
      <c r="BR610" s="529"/>
      <c r="BS610" s="529"/>
      <c r="BT610" s="529"/>
      <c r="BU610" s="529"/>
      <c r="BV610" s="529"/>
      <c r="BW610" s="529"/>
      <c r="BX610" s="529"/>
      <c r="BY610" s="529"/>
    </row>
    <row r="611" spans="1:77" x14ac:dyDescent="0.3">
      <c r="A611" s="551"/>
      <c r="B611" s="647"/>
      <c r="C611" s="668"/>
      <c r="D611" s="537"/>
      <c r="E611" s="525" t="s">
        <v>19</v>
      </c>
      <c r="F611" s="567"/>
      <c r="G611" s="567"/>
      <c r="H611" s="537"/>
      <c r="I611" s="527">
        <f t="shared" ref="I611:N613" si="799">I547/I$571</f>
        <v>-1533.3793806451615</v>
      </c>
      <c r="J611" s="527">
        <f t="shared" si="799"/>
        <v>-1564.0469682580647</v>
      </c>
      <c r="K611" s="527">
        <f t="shared" si="799"/>
        <v>-1595.3279076232261</v>
      </c>
      <c r="L611" s="527">
        <f t="shared" si="799"/>
        <v>-1627.2344657756905</v>
      </c>
      <c r="M611" s="527">
        <f t="shared" si="799"/>
        <v>-1659.7791550912045</v>
      </c>
      <c r="N611" s="527">
        <f t="shared" si="799"/>
        <v>-1692.9747381930285</v>
      </c>
      <c r="O611" s="529"/>
      <c r="P611" s="564">
        <f>IFERROR(((N611/I611)^(1/5))-1,0)</f>
        <v>2.0000000000000018E-2</v>
      </c>
      <c r="Q611" s="537"/>
      <c r="R611" s="527">
        <f t="shared" ref="R611:AW611" si="800">R547/R$571</f>
        <v>-130.33724735483872</v>
      </c>
      <c r="S611" s="527">
        <f t="shared" si="800"/>
        <v>-130.33724735483872</v>
      </c>
      <c r="T611" s="527">
        <f t="shared" si="800"/>
        <v>-130.33724735483872</v>
      </c>
      <c r="U611" s="527">
        <f t="shared" si="800"/>
        <v>-130.33724735483872</v>
      </c>
      <c r="V611" s="527">
        <f t="shared" si="800"/>
        <v>-130.33724735483872</v>
      </c>
      <c r="W611" s="527">
        <f t="shared" si="800"/>
        <v>-130.33724735483872</v>
      </c>
      <c r="X611" s="527">
        <f t="shared" si="800"/>
        <v>-130.33724735483872</v>
      </c>
      <c r="Y611" s="527">
        <f t="shared" si="800"/>
        <v>-130.33724735483872</v>
      </c>
      <c r="Z611" s="527">
        <f t="shared" si="800"/>
        <v>-130.33724735483872</v>
      </c>
      <c r="AA611" s="527">
        <f t="shared" si="800"/>
        <v>-130.33724735483872</v>
      </c>
      <c r="AB611" s="527">
        <f t="shared" si="800"/>
        <v>-130.33724735483872</v>
      </c>
      <c r="AC611" s="527">
        <f t="shared" si="800"/>
        <v>-130.33724735483872</v>
      </c>
      <c r="AD611" s="527">
        <f t="shared" si="800"/>
        <v>-132.94399230193551</v>
      </c>
      <c r="AE611" s="527">
        <f t="shared" si="800"/>
        <v>-132.94399230193551</v>
      </c>
      <c r="AF611" s="527">
        <f t="shared" si="800"/>
        <v>-132.94399230193551</v>
      </c>
      <c r="AG611" s="527">
        <f t="shared" si="800"/>
        <v>-132.94399230193551</v>
      </c>
      <c r="AH611" s="527">
        <f t="shared" si="800"/>
        <v>-132.94399230193551</v>
      </c>
      <c r="AI611" s="527">
        <f t="shared" si="800"/>
        <v>-132.94399230193551</v>
      </c>
      <c r="AJ611" s="527">
        <f t="shared" si="800"/>
        <v>-132.94399230193551</v>
      </c>
      <c r="AK611" s="527">
        <f t="shared" si="800"/>
        <v>-132.94399230193551</v>
      </c>
      <c r="AL611" s="527">
        <f t="shared" si="800"/>
        <v>-132.94399230193551</v>
      </c>
      <c r="AM611" s="527">
        <f t="shared" si="800"/>
        <v>-132.94399230193551</v>
      </c>
      <c r="AN611" s="527">
        <f t="shared" si="800"/>
        <v>-132.94399230193551</v>
      </c>
      <c r="AO611" s="527">
        <f t="shared" si="800"/>
        <v>-132.94399230193551</v>
      </c>
      <c r="AP611" s="527">
        <f t="shared" si="800"/>
        <v>-135.60287214797421</v>
      </c>
      <c r="AQ611" s="527">
        <f t="shared" si="800"/>
        <v>-135.60287214797421</v>
      </c>
      <c r="AR611" s="527">
        <f t="shared" si="800"/>
        <v>-135.60287214797421</v>
      </c>
      <c r="AS611" s="527">
        <f t="shared" si="800"/>
        <v>-135.60287214797421</v>
      </c>
      <c r="AT611" s="527">
        <f t="shared" si="800"/>
        <v>-135.60287214797421</v>
      </c>
      <c r="AU611" s="527">
        <f t="shared" si="800"/>
        <v>-135.60287214797421</v>
      </c>
      <c r="AV611" s="527">
        <f t="shared" si="800"/>
        <v>-135.60287214797421</v>
      </c>
      <c r="AW611" s="527">
        <f t="shared" si="800"/>
        <v>-135.60287214797421</v>
      </c>
      <c r="AX611" s="527">
        <f t="shared" ref="AX611:BY611" si="801">AX547/AX$571</f>
        <v>-135.60287214797421</v>
      </c>
      <c r="AY611" s="527">
        <f t="shared" si="801"/>
        <v>-135.60287214797421</v>
      </c>
      <c r="AZ611" s="527">
        <f t="shared" si="801"/>
        <v>-135.60287214797421</v>
      </c>
      <c r="BA611" s="527">
        <f t="shared" si="801"/>
        <v>-135.60287214797421</v>
      </c>
      <c r="BB611" s="527">
        <f t="shared" si="801"/>
        <v>-138.3149295909337</v>
      </c>
      <c r="BC611" s="527">
        <f t="shared" si="801"/>
        <v>-138.3149295909337</v>
      </c>
      <c r="BD611" s="527">
        <f t="shared" si="801"/>
        <v>-138.3149295909337</v>
      </c>
      <c r="BE611" s="527">
        <f t="shared" si="801"/>
        <v>-138.3149295909337</v>
      </c>
      <c r="BF611" s="527">
        <f t="shared" si="801"/>
        <v>-138.3149295909337</v>
      </c>
      <c r="BG611" s="527">
        <f t="shared" si="801"/>
        <v>-138.3149295909337</v>
      </c>
      <c r="BH611" s="527">
        <f t="shared" si="801"/>
        <v>-138.3149295909337</v>
      </c>
      <c r="BI611" s="527">
        <f t="shared" si="801"/>
        <v>-138.3149295909337</v>
      </c>
      <c r="BJ611" s="527">
        <f t="shared" si="801"/>
        <v>-138.3149295909337</v>
      </c>
      <c r="BK611" s="527">
        <f t="shared" si="801"/>
        <v>-138.3149295909337</v>
      </c>
      <c r="BL611" s="527">
        <f t="shared" si="801"/>
        <v>-138.3149295909337</v>
      </c>
      <c r="BM611" s="527">
        <f t="shared" si="801"/>
        <v>-138.3149295909337</v>
      </c>
      <c r="BN611" s="527">
        <f t="shared" si="801"/>
        <v>-141.08122818275237</v>
      </c>
      <c r="BO611" s="527">
        <f t="shared" si="801"/>
        <v>-141.08122818275237</v>
      </c>
      <c r="BP611" s="527">
        <f t="shared" si="801"/>
        <v>-141.08122818275237</v>
      </c>
      <c r="BQ611" s="527">
        <f t="shared" si="801"/>
        <v>-141.08122818275237</v>
      </c>
      <c r="BR611" s="527">
        <f t="shared" si="801"/>
        <v>-141.08122818275237</v>
      </c>
      <c r="BS611" s="527">
        <f t="shared" si="801"/>
        <v>-141.08122818275237</v>
      </c>
      <c r="BT611" s="527">
        <f t="shared" si="801"/>
        <v>-141.08122818275237</v>
      </c>
      <c r="BU611" s="527">
        <f t="shared" si="801"/>
        <v>-141.08122818275237</v>
      </c>
      <c r="BV611" s="527">
        <f t="shared" si="801"/>
        <v>-141.08122818275237</v>
      </c>
      <c r="BW611" s="527">
        <f t="shared" si="801"/>
        <v>-141.08122818275237</v>
      </c>
      <c r="BX611" s="527">
        <f t="shared" si="801"/>
        <v>-141.08122818275237</v>
      </c>
      <c r="BY611" s="527">
        <f t="shared" si="801"/>
        <v>-141.08122818275237</v>
      </c>
    </row>
    <row r="612" spans="1:77" x14ac:dyDescent="0.3">
      <c r="A612" s="551"/>
      <c r="B612" s="647"/>
      <c r="C612" s="668"/>
      <c r="D612" s="537"/>
      <c r="E612" s="525" t="s">
        <v>20</v>
      </c>
      <c r="F612" s="567"/>
      <c r="G612" s="567"/>
      <c r="H612" s="537"/>
      <c r="I612" s="527">
        <f t="shared" si="799"/>
        <v>-208.63774193548392</v>
      </c>
      <c r="J612" s="527">
        <f t="shared" si="799"/>
        <v>-212.81049677419361</v>
      </c>
      <c r="K612" s="527">
        <f t="shared" si="799"/>
        <v>-217.06670670967748</v>
      </c>
      <c r="L612" s="527">
        <f t="shared" si="799"/>
        <v>-221.40804084387105</v>
      </c>
      <c r="M612" s="527">
        <f t="shared" si="799"/>
        <v>-225.83620166074849</v>
      </c>
      <c r="N612" s="527">
        <f t="shared" si="799"/>
        <v>-230.35292569396344</v>
      </c>
      <c r="O612" s="529"/>
      <c r="P612" s="564">
        <f>IFERROR(((N612/I612)^(1/5))-1,0)</f>
        <v>2.0000000000000018E-2</v>
      </c>
      <c r="Q612" s="537"/>
      <c r="R612" s="527">
        <f t="shared" ref="R612:AW612" si="802">R548/R$571</f>
        <v>-17.734208064516132</v>
      </c>
      <c r="S612" s="527">
        <f t="shared" si="802"/>
        <v>-17.734208064516132</v>
      </c>
      <c r="T612" s="527">
        <f t="shared" si="802"/>
        <v>-17.734208064516132</v>
      </c>
      <c r="U612" s="527">
        <f t="shared" si="802"/>
        <v>-17.734208064516132</v>
      </c>
      <c r="V612" s="527">
        <f t="shared" si="802"/>
        <v>-17.734208064516132</v>
      </c>
      <c r="W612" s="527">
        <f t="shared" si="802"/>
        <v>-17.734208064516132</v>
      </c>
      <c r="X612" s="527">
        <f t="shared" si="802"/>
        <v>-17.734208064516132</v>
      </c>
      <c r="Y612" s="527">
        <f t="shared" si="802"/>
        <v>-17.734208064516132</v>
      </c>
      <c r="Z612" s="527">
        <f t="shared" si="802"/>
        <v>-17.734208064516132</v>
      </c>
      <c r="AA612" s="527">
        <f t="shared" si="802"/>
        <v>-17.734208064516132</v>
      </c>
      <c r="AB612" s="527">
        <f t="shared" si="802"/>
        <v>-17.734208064516132</v>
      </c>
      <c r="AC612" s="527">
        <f t="shared" si="802"/>
        <v>-17.734208064516132</v>
      </c>
      <c r="AD612" s="527">
        <f t="shared" si="802"/>
        <v>-18.088892225806458</v>
      </c>
      <c r="AE612" s="527">
        <f t="shared" si="802"/>
        <v>-18.088892225806458</v>
      </c>
      <c r="AF612" s="527">
        <f t="shared" si="802"/>
        <v>-18.088892225806458</v>
      </c>
      <c r="AG612" s="527">
        <f t="shared" si="802"/>
        <v>-18.088892225806458</v>
      </c>
      <c r="AH612" s="527">
        <f t="shared" si="802"/>
        <v>-18.088892225806458</v>
      </c>
      <c r="AI612" s="527">
        <f t="shared" si="802"/>
        <v>-18.088892225806458</v>
      </c>
      <c r="AJ612" s="527">
        <f t="shared" si="802"/>
        <v>-18.088892225806458</v>
      </c>
      <c r="AK612" s="527">
        <f t="shared" si="802"/>
        <v>-18.088892225806458</v>
      </c>
      <c r="AL612" s="527">
        <f t="shared" si="802"/>
        <v>-18.088892225806458</v>
      </c>
      <c r="AM612" s="527">
        <f t="shared" si="802"/>
        <v>-18.088892225806458</v>
      </c>
      <c r="AN612" s="527">
        <f t="shared" si="802"/>
        <v>-18.088892225806458</v>
      </c>
      <c r="AO612" s="527">
        <f t="shared" si="802"/>
        <v>-18.088892225806458</v>
      </c>
      <c r="AP612" s="527">
        <f t="shared" si="802"/>
        <v>-18.450670070322584</v>
      </c>
      <c r="AQ612" s="527">
        <f t="shared" si="802"/>
        <v>-18.450670070322584</v>
      </c>
      <c r="AR612" s="527">
        <f t="shared" si="802"/>
        <v>-18.450670070322584</v>
      </c>
      <c r="AS612" s="527">
        <f t="shared" si="802"/>
        <v>-18.450670070322584</v>
      </c>
      <c r="AT612" s="527">
        <f t="shared" si="802"/>
        <v>-18.450670070322584</v>
      </c>
      <c r="AU612" s="527">
        <f t="shared" si="802"/>
        <v>-18.450670070322584</v>
      </c>
      <c r="AV612" s="527">
        <f t="shared" si="802"/>
        <v>-18.450670070322584</v>
      </c>
      <c r="AW612" s="527">
        <f t="shared" si="802"/>
        <v>-18.450670070322584</v>
      </c>
      <c r="AX612" s="527">
        <f t="shared" ref="AX612:BY612" si="803">AX548/AX$571</f>
        <v>-18.450670070322584</v>
      </c>
      <c r="AY612" s="527">
        <f t="shared" si="803"/>
        <v>-18.450670070322584</v>
      </c>
      <c r="AZ612" s="527">
        <f t="shared" si="803"/>
        <v>-18.450670070322584</v>
      </c>
      <c r="BA612" s="527">
        <f t="shared" si="803"/>
        <v>-18.450670070322584</v>
      </c>
      <c r="BB612" s="527">
        <f t="shared" si="803"/>
        <v>-18.819683471729039</v>
      </c>
      <c r="BC612" s="527">
        <f t="shared" si="803"/>
        <v>-18.819683471729039</v>
      </c>
      <c r="BD612" s="527">
        <f t="shared" si="803"/>
        <v>-18.819683471729039</v>
      </c>
      <c r="BE612" s="527">
        <f t="shared" si="803"/>
        <v>-18.819683471729039</v>
      </c>
      <c r="BF612" s="527">
        <f t="shared" si="803"/>
        <v>-18.819683471729039</v>
      </c>
      <c r="BG612" s="527">
        <f t="shared" si="803"/>
        <v>-18.819683471729039</v>
      </c>
      <c r="BH612" s="527">
        <f t="shared" si="803"/>
        <v>-18.819683471729039</v>
      </c>
      <c r="BI612" s="527">
        <f t="shared" si="803"/>
        <v>-18.819683471729039</v>
      </c>
      <c r="BJ612" s="527">
        <f t="shared" si="803"/>
        <v>-18.819683471729039</v>
      </c>
      <c r="BK612" s="527">
        <f t="shared" si="803"/>
        <v>-18.819683471729039</v>
      </c>
      <c r="BL612" s="527">
        <f t="shared" si="803"/>
        <v>-18.819683471729039</v>
      </c>
      <c r="BM612" s="527">
        <f t="shared" si="803"/>
        <v>-18.819683471729039</v>
      </c>
      <c r="BN612" s="527">
        <f t="shared" si="803"/>
        <v>-19.19607714116362</v>
      </c>
      <c r="BO612" s="527">
        <f t="shared" si="803"/>
        <v>-19.19607714116362</v>
      </c>
      <c r="BP612" s="527">
        <f t="shared" si="803"/>
        <v>-19.19607714116362</v>
      </c>
      <c r="BQ612" s="527">
        <f t="shared" si="803"/>
        <v>-19.19607714116362</v>
      </c>
      <c r="BR612" s="527">
        <f t="shared" si="803"/>
        <v>-19.19607714116362</v>
      </c>
      <c r="BS612" s="527">
        <f t="shared" si="803"/>
        <v>-19.19607714116362</v>
      </c>
      <c r="BT612" s="527">
        <f t="shared" si="803"/>
        <v>-19.19607714116362</v>
      </c>
      <c r="BU612" s="527">
        <f t="shared" si="803"/>
        <v>-19.19607714116362</v>
      </c>
      <c r="BV612" s="527">
        <f t="shared" si="803"/>
        <v>-19.19607714116362</v>
      </c>
      <c r="BW612" s="527">
        <f t="shared" si="803"/>
        <v>-19.19607714116362</v>
      </c>
      <c r="BX612" s="527">
        <f t="shared" si="803"/>
        <v>-19.19607714116362</v>
      </c>
      <c r="BY612" s="527">
        <f t="shared" si="803"/>
        <v>-19.19607714116362</v>
      </c>
    </row>
    <row r="613" spans="1:77" x14ac:dyDescent="0.3">
      <c r="A613" s="551"/>
      <c r="B613" s="647"/>
      <c r="C613" s="668"/>
      <c r="D613" s="537"/>
      <c r="E613" s="572" t="s">
        <v>35</v>
      </c>
      <c r="F613" s="573"/>
      <c r="G613" s="573"/>
      <c r="H613" s="537"/>
      <c r="I613" s="532">
        <f t="shared" si="799"/>
        <v>-1742.0171225806455</v>
      </c>
      <c r="J613" s="532">
        <f t="shared" si="799"/>
        <v>-1776.8574650322582</v>
      </c>
      <c r="K613" s="532">
        <f t="shared" si="799"/>
        <v>-1812.3946143329035</v>
      </c>
      <c r="L613" s="532">
        <f t="shared" si="799"/>
        <v>-1848.6425066195613</v>
      </c>
      <c r="M613" s="532">
        <f t="shared" si="799"/>
        <v>-1885.6153567519527</v>
      </c>
      <c r="N613" s="532">
        <f t="shared" si="799"/>
        <v>-1923.327663886992</v>
      </c>
      <c r="O613" s="536"/>
      <c r="P613" s="568">
        <f>IFERROR(((N613/I613)^(1/5))-1,0)</f>
        <v>2.0000000000000018E-2</v>
      </c>
      <c r="Q613" s="537"/>
      <c r="R613" s="532">
        <f t="shared" ref="R613:AW613" si="804">R549/R$571</f>
        <v>-148.07145541935483</v>
      </c>
      <c r="S613" s="532">
        <f t="shared" si="804"/>
        <v>-148.07145541935483</v>
      </c>
      <c r="T613" s="532">
        <f t="shared" si="804"/>
        <v>-148.07145541935483</v>
      </c>
      <c r="U613" s="532">
        <f t="shared" si="804"/>
        <v>-148.07145541935483</v>
      </c>
      <c r="V613" s="532">
        <f t="shared" si="804"/>
        <v>-148.07145541935483</v>
      </c>
      <c r="W613" s="532">
        <f t="shared" si="804"/>
        <v>-148.07145541935483</v>
      </c>
      <c r="X613" s="532">
        <f t="shared" si="804"/>
        <v>-148.07145541935483</v>
      </c>
      <c r="Y613" s="532">
        <f t="shared" si="804"/>
        <v>-148.07145541935483</v>
      </c>
      <c r="Z613" s="532">
        <f t="shared" si="804"/>
        <v>-148.07145541935483</v>
      </c>
      <c r="AA613" s="532">
        <f t="shared" si="804"/>
        <v>-148.07145541935483</v>
      </c>
      <c r="AB613" s="532">
        <f t="shared" si="804"/>
        <v>-148.07145541935483</v>
      </c>
      <c r="AC613" s="532">
        <f t="shared" si="804"/>
        <v>-148.07145541935483</v>
      </c>
      <c r="AD613" s="532">
        <f t="shared" si="804"/>
        <v>-151.03288452774197</v>
      </c>
      <c r="AE613" s="532">
        <f t="shared" si="804"/>
        <v>-151.03288452774197</v>
      </c>
      <c r="AF613" s="532">
        <f t="shared" si="804"/>
        <v>-151.03288452774197</v>
      </c>
      <c r="AG613" s="532">
        <f t="shared" si="804"/>
        <v>-151.03288452774197</v>
      </c>
      <c r="AH613" s="532">
        <f t="shared" si="804"/>
        <v>-151.03288452774197</v>
      </c>
      <c r="AI613" s="532">
        <f t="shared" si="804"/>
        <v>-151.03288452774197</v>
      </c>
      <c r="AJ613" s="532">
        <f t="shared" si="804"/>
        <v>-151.03288452774197</v>
      </c>
      <c r="AK613" s="532">
        <f t="shared" si="804"/>
        <v>-151.03288452774197</v>
      </c>
      <c r="AL613" s="532">
        <f t="shared" si="804"/>
        <v>-151.03288452774197</v>
      </c>
      <c r="AM613" s="532">
        <f t="shared" si="804"/>
        <v>-151.03288452774197</v>
      </c>
      <c r="AN613" s="532">
        <f t="shared" si="804"/>
        <v>-151.03288452774197</v>
      </c>
      <c r="AO613" s="532">
        <f t="shared" si="804"/>
        <v>-151.03288452774197</v>
      </c>
      <c r="AP613" s="532">
        <f t="shared" si="804"/>
        <v>-154.0535422182968</v>
      </c>
      <c r="AQ613" s="532">
        <f t="shared" si="804"/>
        <v>-154.0535422182968</v>
      </c>
      <c r="AR613" s="532">
        <f t="shared" si="804"/>
        <v>-154.0535422182968</v>
      </c>
      <c r="AS613" s="532">
        <f t="shared" si="804"/>
        <v>-154.0535422182968</v>
      </c>
      <c r="AT613" s="532">
        <f t="shared" si="804"/>
        <v>-154.0535422182968</v>
      </c>
      <c r="AU613" s="532">
        <f t="shared" si="804"/>
        <v>-154.0535422182968</v>
      </c>
      <c r="AV613" s="532">
        <f t="shared" si="804"/>
        <v>-154.0535422182968</v>
      </c>
      <c r="AW613" s="532">
        <f t="shared" si="804"/>
        <v>-154.0535422182968</v>
      </c>
      <c r="AX613" s="532">
        <f t="shared" ref="AX613:BY613" si="805">AX549/AX$571</f>
        <v>-154.0535422182968</v>
      </c>
      <c r="AY613" s="532">
        <f t="shared" si="805"/>
        <v>-154.0535422182968</v>
      </c>
      <c r="AZ613" s="532">
        <f t="shared" si="805"/>
        <v>-154.0535422182968</v>
      </c>
      <c r="BA613" s="532">
        <f t="shared" si="805"/>
        <v>-154.0535422182968</v>
      </c>
      <c r="BB613" s="532">
        <f t="shared" si="805"/>
        <v>-157.13461306266274</v>
      </c>
      <c r="BC613" s="532">
        <f t="shared" si="805"/>
        <v>-157.13461306266274</v>
      </c>
      <c r="BD613" s="532">
        <f t="shared" si="805"/>
        <v>-157.13461306266274</v>
      </c>
      <c r="BE613" s="532">
        <f t="shared" si="805"/>
        <v>-157.13461306266274</v>
      </c>
      <c r="BF613" s="532">
        <f t="shared" si="805"/>
        <v>-157.13461306266274</v>
      </c>
      <c r="BG613" s="532">
        <f t="shared" si="805"/>
        <v>-157.13461306266274</v>
      </c>
      <c r="BH613" s="532">
        <f t="shared" si="805"/>
        <v>-157.13461306266274</v>
      </c>
      <c r="BI613" s="532">
        <f t="shared" si="805"/>
        <v>-157.13461306266274</v>
      </c>
      <c r="BJ613" s="532">
        <f t="shared" si="805"/>
        <v>-157.13461306266274</v>
      </c>
      <c r="BK613" s="532">
        <f t="shared" si="805"/>
        <v>-157.13461306266274</v>
      </c>
      <c r="BL613" s="532">
        <f t="shared" si="805"/>
        <v>-157.13461306266274</v>
      </c>
      <c r="BM613" s="532">
        <f t="shared" si="805"/>
        <v>-157.13461306266274</v>
      </c>
      <c r="BN613" s="532">
        <f t="shared" si="805"/>
        <v>-160.27730532391601</v>
      </c>
      <c r="BO613" s="532">
        <f t="shared" si="805"/>
        <v>-160.27730532391601</v>
      </c>
      <c r="BP613" s="532">
        <f t="shared" si="805"/>
        <v>-160.27730532391601</v>
      </c>
      <c r="BQ613" s="532">
        <f t="shared" si="805"/>
        <v>-160.27730532391601</v>
      </c>
      <c r="BR613" s="532">
        <f t="shared" si="805"/>
        <v>-160.27730532391601</v>
      </c>
      <c r="BS613" s="532">
        <f t="shared" si="805"/>
        <v>-160.27730532391601</v>
      </c>
      <c r="BT613" s="532">
        <f t="shared" si="805"/>
        <v>-160.27730532391601</v>
      </c>
      <c r="BU613" s="532">
        <f t="shared" si="805"/>
        <v>-160.27730532391601</v>
      </c>
      <c r="BV613" s="532">
        <f t="shared" si="805"/>
        <v>-160.27730532391601</v>
      </c>
      <c r="BW613" s="532">
        <f t="shared" si="805"/>
        <v>-160.27730532391601</v>
      </c>
      <c r="BX613" s="532">
        <f t="shared" si="805"/>
        <v>-160.27730532391601</v>
      </c>
      <c r="BY613" s="532">
        <f t="shared" si="805"/>
        <v>-160.27730532391601</v>
      </c>
    </row>
    <row r="614" spans="1:77" x14ac:dyDescent="0.3">
      <c r="A614" s="551"/>
      <c r="B614" s="647"/>
      <c r="C614" s="668"/>
      <c r="D614" s="537"/>
      <c r="E614" s="525"/>
      <c r="F614" s="529"/>
      <c r="G614" s="529"/>
      <c r="H614" s="537"/>
      <c r="I614" s="529"/>
      <c r="J614" s="529"/>
      <c r="K614" s="529"/>
      <c r="L614" s="529"/>
      <c r="M614" s="529"/>
      <c r="N614" s="529"/>
      <c r="O614" s="529"/>
      <c r="P614" s="660"/>
      <c r="Q614" s="537"/>
      <c r="R614" s="529"/>
      <c r="S614" s="529"/>
      <c r="T614" s="529"/>
      <c r="U614" s="529"/>
      <c r="V614" s="529"/>
      <c r="W614" s="529"/>
      <c r="X614" s="529"/>
      <c r="Y614" s="529"/>
      <c r="Z614" s="529"/>
      <c r="AA614" s="529"/>
      <c r="AB614" s="529"/>
      <c r="AC614" s="529"/>
      <c r="AD614" s="529"/>
      <c r="AE614" s="529"/>
      <c r="AF614" s="529"/>
      <c r="AG614" s="529"/>
      <c r="AH614" s="529"/>
      <c r="AI614" s="529"/>
      <c r="AJ614" s="529"/>
      <c r="AK614" s="529"/>
      <c r="AL614" s="529"/>
      <c r="AM614" s="529"/>
      <c r="AN614" s="529"/>
      <c r="AO614" s="529"/>
      <c r="AP614" s="529"/>
      <c r="AQ614" s="529"/>
      <c r="AR614" s="529"/>
      <c r="AS614" s="529"/>
      <c r="AT614" s="529"/>
      <c r="AU614" s="529"/>
      <c r="AV614" s="529"/>
      <c r="AW614" s="529"/>
      <c r="AX614" s="529"/>
      <c r="AY614" s="529"/>
      <c r="AZ614" s="529"/>
      <c r="BA614" s="529"/>
      <c r="BB614" s="529"/>
      <c r="BC614" s="529"/>
      <c r="BD614" s="529"/>
      <c r="BE614" s="529"/>
      <c r="BF614" s="529"/>
      <c r="BG614" s="529"/>
      <c r="BH614" s="529"/>
      <c r="BI614" s="529"/>
      <c r="BJ614" s="529"/>
      <c r="BK614" s="529"/>
      <c r="BL614" s="529"/>
      <c r="BM614" s="529"/>
      <c r="BN614" s="529"/>
      <c r="BO614" s="529"/>
      <c r="BP614" s="529"/>
      <c r="BQ614" s="529"/>
      <c r="BR614" s="529"/>
      <c r="BS614" s="529"/>
      <c r="BT614" s="529"/>
      <c r="BU614" s="529"/>
      <c r="BV614" s="529"/>
      <c r="BW614" s="529"/>
      <c r="BX614" s="529"/>
      <c r="BY614" s="529"/>
    </row>
    <row r="615" spans="1:77" x14ac:dyDescent="0.3">
      <c r="A615" s="551"/>
      <c r="B615" s="647"/>
      <c r="C615" s="668"/>
      <c r="D615" s="537"/>
      <c r="E615" s="62" t="s">
        <v>21</v>
      </c>
      <c r="F615" s="579"/>
      <c r="G615" s="579"/>
      <c r="H615" s="537"/>
      <c r="I615" s="535">
        <f t="shared" ref="I615:N615" si="806">I551/I$571</f>
        <v>96953.067780613055</v>
      </c>
      <c r="J615" s="535">
        <f t="shared" si="806"/>
        <v>100964.69049084351</v>
      </c>
      <c r="K615" s="535">
        <f t="shared" si="806"/>
        <v>104952.20914293367</v>
      </c>
      <c r="L615" s="535">
        <f t="shared" si="806"/>
        <v>108899.24486634468</v>
      </c>
      <c r="M615" s="535">
        <f t="shared" si="806"/>
        <v>112621.37569355631</v>
      </c>
      <c r="N615" s="535">
        <f t="shared" si="806"/>
        <v>116320.57201467927</v>
      </c>
      <c r="O615" s="536"/>
      <c r="P615" s="568">
        <f>IFERROR(((N615/I615)^(1/5))-1,0)</f>
        <v>3.7096084788442951E-2</v>
      </c>
      <c r="Q615" s="537"/>
      <c r="R615" s="535">
        <f t="shared" ref="R615:AW615" si="807">R551/R$571</f>
        <v>8413.7242075702943</v>
      </c>
      <c r="S615" s="535">
        <f t="shared" si="807"/>
        <v>8413.7242075702943</v>
      </c>
      <c r="T615" s="535">
        <f t="shared" si="807"/>
        <v>8413.7242075702943</v>
      </c>
      <c r="U615" s="535">
        <f t="shared" si="807"/>
        <v>8413.7242075702943</v>
      </c>
      <c r="V615" s="535">
        <f t="shared" si="807"/>
        <v>8413.7242075702943</v>
      </c>
      <c r="W615" s="535">
        <f t="shared" si="807"/>
        <v>8413.7242075702943</v>
      </c>
      <c r="X615" s="535">
        <f t="shared" si="807"/>
        <v>8413.7242075702943</v>
      </c>
      <c r="Y615" s="535">
        <f t="shared" si="807"/>
        <v>8413.7242075702943</v>
      </c>
      <c r="Z615" s="535">
        <f t="shared" si="807"/>
        <v>8413.7242075702943</v>
      </c>
      <c r="AA615" s="535">
        <f t="shared" si="807"/>
        <v>8413.7242075702943</v>
      </c>
      <c r="AB615" s="535">
        <f t="shared" si="807"/>
        <v>8413.7242075702943</v>
      </c>
      <c r="AC615" s="535">
        <f t="shared" si="807"/>
        <v>8413.7242075702943</v>
      </c>
      <c r="AD615" s="535">
        <f t="shared" si="807"/>
        <v>8746.0174285778103</v>
      </c>
      <c r="AE615" s="535">
        <f t="shared" si="807"/>
        <v>8746.0174285778103</v>
      </c>
      <c r="AF615" s="535">
        <f t="shared" si="807"/>
        <v>8746.0174285778103</v>
      </c>
      <c r="AG615" s="535">
        <f t="shared" si="807"/>
        <v>8746.0174285778103</v>
      </c>
      <c r="AH615" s="535">
        <f t="shared" si="807"/>
        <v>8746.0174285778103</v>
      </c>
      <c r="AI615" s="535">
        <f t="shared" si="807"/>
        <v>8746.0174285778103</v>
      </c>
      <c r="AJ615" s="535">
        <f t="shared" si="807"/>
        <v>8746.0174285778103</v>
      </c>
      <c r="AK615" s="535">
        <f t="shared" si="807"/>
        <v>8746.0174285778103</v>
      </c>
      <c r="AL615" s="535">
        <f t="shared" si="807"/>
        <v>8746.0174285778103</v>
      </c>
      <c r="AM615" s="535">
        <f t="shared" si="807"/>
        <v>8746.0174285778103</v>
      </c>
      <c r="AN615" s="535">
        <f t="shared" si="807"/>
        <v>8746.0174285778103</v>
      </c>
      <c r="AO615" s="535">
        <f t="shared" si="807"/>
        <v>8746.0174285778103</v>
      </c>
      <c r="AP615" s="535">
        <f t="shared" si="807"/>
        <v>9074.937072195391</v>
      </c>
      <c r="AQ615" s="535">
        <f t="shared" si="807"/>
        <v>9074.937072195391</v>
      </c>
      <c r="AR615" s="535">
        <f t="shared" si="807"/>
        <v>9074.937072195391</v>
      </c>
      <c r="AS615" s="535">
        <f t="shared" si="807"/>
        <v>9074.937072195391</v>
      </c>
      <c r="AT615" s="535">
        <f t="shared" si="807"/>
        <v>9074.937072195391</v>
      </c>
      <c r="AU615" s="535">
        <f t="shared" si="807"/>
        <v>9074.937072195391</v>
      </c>
      <c r="AV615" s="535">
        <f t="shared" si="807"/>
        <v>9074.937072195391</v>
      </c>
      <c r="AW615" s="535">
        <f t="shared" si="807"/>
        <v>9074.937072195391</v>
      </c>
      <c r="AX615" s="535">
        <f t="shared" ref="AX615:BY615" si="808">AX551/AX$571</f>
        <v>9074.937072195391</v>
      </c>
      <c r="AY615" s="535">
        <f t="shared" si="808"/>
        <v>9074.937072195391</v>
      </c>
      <c r="AZ615" s="535">
        <f t="shared" si="808"/>
        <v>9074.937072195391</v>
      </c>
      <c r="BA615" s="535">
        <f t="shared" si="808"/>
        <v>9074.937072195391</v>
      </c>
      <c r="BB615" s="535">
        <f t="shared" si="808"/>
        <v>9385.1146411296941</v>
      </c>
      <c r="BC615" s="535">
        <f t="shared" si="808"/>
        <v>9385.1146411296941</v>
      </c>
      <c r="BD615" s="535">
        <f t="shared" si="808"/>
        <v>9385.1146411296941</v>
      </c>
      <c r="BE615" s="535">
        <f t="shared" si="808"/>
        <v>9385.1146411296941</v>
      </c>
      <c r="BF615" s="535">
        <f t="shared" si="808"/>
        <v>9385.1146411296941</v>
      </c>
      <c r="BG615" s="535">
        <f t="shared" si="808"/>
        <v>9385.1146411296941</v>
      </c>
      <c r="BH615" s="535">
        <f t="shared" si="808"/>
        <v>9385.1146411296941</v>
      </c>
      <c r="BI615" s="535">
        <f t="shared" si="808"/>
        <v>9385.1146411296941</v>
      </c>
      <c r="BJ615" s="535">
        <f t="shared" si="808"/>
        <v>9385.1146411296941</v>
      </c>
      <c r="BK615" s="535">
        <f t="shared" si="808"/>
        <v>9385.1146411296941</v>
      </c>
      <c r="BL615" s="535">
        <f t="shared" si="808"/>
        <v>9385.1146411296941</v>
      </c>
      <c r="BM615" s="535">
        <f t="shared" si="808"/>
        <v>9385.1146411296941</v>
      </c>
      <c r="BN615" s="535">
        <f t="shared" si="808"/>
        <v>9693.3810012232734</v>
      </c>
      <c r="BO615" s="535">
        <f t="shared" si="808"/>
        <v>9693.3810012232734</v>
      </c>
      <c r="BP615" s="535">
        <f t="shared" si="808"/>
        <v>9693.3810012232734</v>
      </c>
      <c r="BQ615" s="535">
        <f t="shared" si="808"/>
        <v>9693.3810012232734</v>
      </c>
      <c r="BR615" s="535">
        <f t="shared" si="808"/>
        <v>9693.3810012232734</v>
      </c>
      <c r="BS615" s="535">
        <f t="shared" si="808"/>
        <v>9693.3810012232734</v>
      </c>
      <c r="BT615" s="535">
        <f t="shared" si="808"/>
        <v>9693.3810012232734</v>
      </c>
      <c r="BU615" s="535">
        <f t="shared" si="808"/>
        <v>9693.3810012232734</v>
      </c>
      <c r="BV615" s="535">
        <f t="shared" si="808"/>
        <v>9693.3810012232734</v>
      </c>
      <c r="BW615" s="535">
        <f t="shared" si="808"/>
        <v>9693.3810012232734</v>
      </c>
      <c r="BX615" s="535">
        <f t="shared" si="808"/>
        <v>9693.3810012232734</v>
      </c>
      <c r="BY615" s="535">
        <f t="shared" si="808"/>
        <v>9693.3810012232734</v>
      </c>
    </row>
    <row r="616" spans="1:77" x14ac:dyDescent="0.3">
      <c r="A616" s="551"/>
      <c r="B616" s="647"/>
      <c r="C616" s="668"/>
      <c r="D616" s="537"/>
      <c r="E616" s="2" t="s">
        <v>405</v>
      </c>
      <c r="F616" s="537"/>
      <c r="G616" s="537"/>
      <c r="H616" s="529"/>
      <c r="I616" s="531">
        <f t="shared" ref="I616:N616" si="809">I615/SUM(I576,I585,I599,I606)</f>
        <v>0.63422900878731292</v>
      </c>
      <c r="J616" s="531">
        <f t="shared" si="809"/>
        <v>0.63920150078186189</v>
      </c>
      <c r="K616" s="531">
        <f t="shared" si="809"/>
        <v>0.64374994581845579</v>
      </c>
      <c r="L616" s="531">
        <f t="shared" si="809"/>
        <v>0.64789613381243838</v>
      </c>
      <c r="M616" s="531">
        <f t="shared" si="809"/>
        <v>0.65131947804026902</v>
      </c>
      <c r="N616" s="531">
        <f t="shared" si="809"/>
        <v>0.65439977834360641</v>
      </c>
      <c r="O616" s="546"/>
      <c r="P616" s="564">
        <f>IFERROR(((N616/I616)^(1/5))-1,0)</f>
        <v>6.2813141831132846E-3</v>
      </c>
      <c r="Q616" s="537"/>
      <c r="R616" s="531">
        <f t="shared" ref="R616:AW616" si="810">R615/SUM(R576,R585,R599,R606)</f>
        <v>0.639201500781862</v>
      </c>
      <c r="S616" s="531">
        <f t="shared" si="810"/>
        <v>0.639201500781862</v>
      </c>
      <c r="T616" s="531">
        <f t="shared" si="810"/>
        <v>0.639201500781862</v>
      </c>
      <c r="U616" s="531">
        <f t="shared" si="810"/>
        <v>0.639201500781862</v>
      </c>
      <c r="V616" s="531">
        <f t="shared" si="810"/>
        <v>0.639201500781862</v>
      </c>
      <c r="W616" s="531">
        <f t="shared" si="810"/>
        <v>0.639201500781862</v>
      </c>
      <c r="X616" s="531">
        <f t="shared" si="810"/>
        <v>0.639201500781862</v>
      </c>
      <c r="Y616" s="531">
        <f t="shared" si="810"/>
        <v>0.639201500781862</v>
      </c>
      <c r="Z616" s="531">
        <f t="shared" si="810"/>
        <v>0.639201500781862</v>
      </c>
      <c r="AA616" s="531">
        <f t="shared" si="810"/>
        <v>0.639201500781862</v>
      </c>
      <c r="AB616" s="531">
        <f t="shared" si="810"/>
        <v>0.639201500781862</v>
      </c>
      <c r="AC616" s="531">
        <f t="shared" si="810"/>
        <v>0.639201500781862</v>
      </c>
      <c r="AD616" s="531">
        <f t="shared" si="810"/>
        <v>0.64374994581845613</v>
      </c>
      <c r="AE616" s="531">
        <f t="shared" si="810"/>
        <v>0.64374994581845613</v>
      </c>
      <c r="AF616" s="531">
        <f t="shared" si="810"/>
        <v>0.64374994581845613</v>
      </c>
      <c r="AG616" s="531">
        <f t="shared" si="810"/>
        <v>0.64374994581845613</v>
      </c>
      <c r="AH616" s="531">
        <f t="shared" si="810"/>
        <v>0.64374994581845613</v>
      </c>
      <c r="AI616" s="531">
        <f t="shared" si="810"/>
        <v>0.64374994581845613</v>
      </c>
      <c r="AJ616" s="531">
        <f t="shared" si="810"/>
        <v>0.64374994581845613</v>
      </c>
      <c r="AK616" s="531">
        <f t="shared" si="810"/>
        <v>0.64374994581845613</v>
      </c>
      <c r="AL616" s="531">
        <f t="shared" si="810"/>
        <v>0.64374994581845613</v>
      </c>
      <c r="AM616" s="531">
        <f t="shared" si="810"/>
        <v>0.64374994581845613</v>
      </c>
      <c r="AN616" s="531">
        <f t="shared" si="810"/>
        <v>0.64374994581845613</v>
      </c>
      <c r="AO616" s="531">
        <f t="shared" si="810"/>
        <v>0.64374994581845613</v>
      </c>
      <c r="AP616" s="531">
        <f t="shared" si="810"/>
        <v>0.64789613381243849</v>
      </c>
      <c r="AQ616" s="531">
        <f t="shared" si="810"/>
        <v>0.64789613381243849</v>
      </c>
      <c r="AR616" s="531">
        <f t="shared" si="810"/>
        <v>0.64789613381243849</v>
      </c>
      <c r="AS616" s="531">
        <f t="shared" si="810"/>
        <v>0.64789613381243849</v>
      </c>
      <c r="AT616" s="531">
        <f t="shared" si="810"/>
        <v>0.64789613381243849</v>
      </c>
      <c r="AU616" s="531">
        <f t="shared" si="810"/>
        <v>0.64789613381243849</v>
      </c>
      <c r="AV616" s="531">
        <f t="shared" si="810"/>
        <v>0.64789613381243849</v>
      </c>
      <c r="AW616" s="531">
        <f t="shared" si="810"/>
        <v>0.64789613381243849</v>
      </c>
      <c r="AX616" s="531">
        <f t="shared" ref="AX616:BY616" si="811">AX615/SUM(AX576,AX585,AX599,AX606)</f>
        <v>0.64789613381243849</v>
      </c>
      <c r="AY616" s="531">
        <f t="shared" si="811"/>
        <v>0.64789613381243849</v>
      </c>
      <c r="AZ616" s="531">
        <f t="shared" si="811"/>
        <v>0.64789613381243849</v>
      </c>
      <c r="BA616" s="531">
        <f t="shared" si="811"/>
        <v>0.64789613381243849</v>
      </c>
      <c r="BB616" s="531">
        <f t="shared" si="811"/>
        <v>0.65131947804026913</v>
      </c>
      <c r="BC616" s="531">
        <f t="shared" si="811"/>
        <v>0.65131947804026913</v>
      </c>
      <c r="BD616" s="531">
        <f t="shared" si="811"/>
        <v>0.65131947804026913</v>
      </c>
      <c r="BE616" s="531">
        <f t="shared" si="811"/>
        <v>0.65131947804026913</v>
      </c>
      <c r="BF616" s="531">
        <f t="shared" si="811"/>
        <v>0.65131947804026913</v>
      </c>
      <c r="BG616" s="531">
        <f t="shared" si="811"/>
        <v>0.65131947804026913</v>
      </c>
      <c r="BH616" s="531">
        <f t="shared" si="811"/>
        <v>0.65131947804026913</v>
      </c>
      <c r="BI616" s="531">
        <f t="shared" si="811"/>
        <v>0.65131947804026913</v>
      </c>
      <c r="BJ616" s="531">
        <f t="shared" si="811"/>
        <v>0.65131947804026913</v>
      </c>
      <c r="BK616" s="531">
        <f t="shared" si="811"/>
        <v>0.65131947804026913</v>
      </c>
      <c r="BL616" s="531">
        <f t="shared" si="811"/>
        <v>0.65131947804026913</v>
      </c>
      <c r="BM616" s="531">
        <f t="shared" si="811"/>
        <v>0.65131947804026913</v>
      </c>
      <c r="BN616" s="531">
        <f t="shared" si="811"/>
        <v>0.65439977834360652</v>
      </c>
      <c r="BO616" s="531">
        <f t="shared" si="811"/>
        <v>0.65439977834360652</v>
      </c>
      <c r="BP616" s="531">
        <f t="shared" si="811"/>
        <v>0.65439977834360652</v>
      </c>
      <c r="BQ616" s="531">
        <f t="shared" si="811"/>
        <v>0.65439977834360652</v>
      </c>
      <c r="BR616" s="531">
        <f t="shared" si="811"/>
        <v>0.65439977834360652</v>
      </c>
      <c r="BS616" s="531">
        <f t="shared" si="811"/>
        <v>0.65439977834360652</v>
      </c>
      <c r="BT616" s="531">
        <f t="shared" si="811"/>
        <v>0.65439977834360652</v>
      </c>
      <c r="BU616" s="531">
        <f t="shared" si="811"/>
        <v>0.65439977834360652</v>
      </c>
      <c r="BV616" s="531">
        <f t="shared" si="811"/>
        <v>0.65439977834360652</v>
      </c>
      <c r="BW616" s="531">
        <f t="shared" si="811"/>
        <v>0.65439977834360652</v>
      </c>
      <c r="BX616" s="531">
        <f t="shared" si="811"/>
        <v>0.65439977834360652</v>
      </c>
      <c r="BY616" s="531">
        <f t="shared" si="811"/>
        <v>0.65439977834360652</v>
      </c>
    </row>
    <row r="617" spans="1:77" x14ac:dyDescent="0.3">
      <c r="A617" s="551"/>
      <c r="B617" s="647"/>
      <c r="C617" s="668"/>
      <c r="D617" s="537"/>
      <c r="E617" s="2"/>
      <c r="F617" s="537"/>
      <c r="G617" s="537"/>
      <c r="H617" s="537"/>
      <c r="I617" s="537"/>
      <c r="J617" s="537"/>
      <c r="K617" s="537"/>
      <c r="L617" s="537"/>
      <c r="M617" s="537"/>
      <c r="N617" s="537"/>
      <c r="O617" s="525"/>
      <c r="P617" s="664"/>
      <c r="Q617" s="537"/>
      <c r="R617" s="537"/>
      <c r="S617" s="537"/>
      <c r="T617" s="537"/>
      <c r="U617" s="537"/>
      <c r="V617" s="537"/>
      <c r="W617" s="537"/>
      <c r="X617" s="537"/>
      <c r="Y617" s="537"/>
      <c r="Z617" s="537"/>
      <c r="AA617" s="537"/>
      <c r="AB617" s="537"/>
      <c r="AC617" s="537"/>
      <c r="AD617" s="537"/>
      <c r="AE617" s="537"/>
      <c r="AF617" s="537"/>
      <c r="AG617" s="537"/>
      <c r="AH617" s="537"/>
      <c r="AI617" s="537"/>
      <c r="AJ617" s="537"/>
      <c r="AK617" s="537"/>
      <c r="AL617" s="537"/>
      <c r="AM617" s="537"/>
      <c r="AN617" s="537"/>
      <c r="AO617" s="537"/>
      <c r="AP617" s="537"/>
      <c r="AQ617" s="537"/>
      <c r="AR617" s="537"/>
      <c r="AS617" s="537"/>
      <c r="AT617" s="537"/>
      <c r="AU617" s="537"/>
      <c r="AV617" s="537"/>
      <c r="AW617" s="537"/>
      <c r="AX617" s="537"/>
      <c r="AY617" s="537"/>
      <c r="AZ617" s="537"/>
      <c r="BA617" s="537"/>
      <c r="BB617" s="537"/>
      <c r="BC617" s="537"/>
      <c r="BD617" s="537"/>
      <c r="BE617" s="537"/>
      <c r="BF617" s="537"/>
      <c r="BG617" s="537"/>
      <c r="BH617" s="537"/>
      <c r="BI617" s="537"/>
      <c r="BJ617" s="537"/>
      <c r="BK617" s="537"/>
      <c r="BL617" s="537"/>
      <c r="BM617" s="537"/>
      <c r="BN617" s="537"/>
      <c r="BO617" s="537"/>
      <c r="BP617" s="537"/>
      <c r="BQ617" s="537"/>
      <c r="BR617" s="537"/>
      <c r="BS617" s="537"/>
      <c r="BT617" s="537"/>
      <c r="BU617" s="537"/>
      <c r="BV617" s="537"/>
      <c r="BW617" s="537"/>
      <c r="BX617" s="537"/>
      <c r="BY617" s="537"/>
    </row>
    <row r="618" spans="1:77" x14ac:dyDescent="0.3">
      <c r="A618" s="551"/>
      <c r="B618" s="647"/>
      <c r="C618" s="668"/>
      <c r="D618" s="537"/>
      <c r="E618" s="2" t="s">
        <v>129</v>
      </c>
      <c r="F618" s="537"/>
      <c r="G618" s="537"/>
      <c r="H618" s="537"/>
      <c r="I618" s="527">
        <f t="shared" ref="I618:N619" si="812">I554/I$571</f>
        <v>-8700</v>
      </c>
      <c r="J618" s="527">
        <f t="shared" si="812"/>
        <v>-8914.6850136986304</v>
      </c>
      <c r="K618" s="527">
        <f t="shared" si="812"/>
        <v>-9121.2663528297689</v>
      </c>
      <c r="L618" s="527">
        <f t="shared" si="812"/>
        <v>-9316.9087696781753</v>
      </c>
      <c r="M618" s="527">
        <f t="shared" si="812"/>
        <v>-9499.5074186751426</v>
      </c>
      <c r="N618" s="527">
        <f t="shared" si="812"/>
        <v>-9683.8004652022119</v>
      </c>
      <c r="O618" s="537"/>
      <c r="P618" s="564">
        <f>IFERROR(((N618/I618)^(1/5))-1,0)</f>
        <v>2.1657472733383143E-2</v>
      </c>
      <c r="Q618" s="537"/>
      <c r="R618" s="527">
        <f t="shared" ref="R618:AW618" si="813">R554/R$571</f>
        <v>-742.89041780821913</v>
      </c>
      <c r="S618" s="527">
        <f t="shared" si="813"/>
        <v>-742.89041780821913</v>
      </c>
      <c r="T618" s="527">
        <f t="shared" si="813"/>
        <v>-742.89041780821913</v>
      </c>
      <c r="U618" s="527">
        <f t="shared" si="813"/>
        <v>-742.89041780821913</v>
      </c>
      <c r="V618" s="527">
        <f t="shared" si="813"/>
        <v>-742.89041780821913</v>
      </c>
      <c r="W618" s="527">
        <f t="shared" si="813"/>
        <v>-742.89041780821913</v>
      </c>
      <c r="X618" s="527">
        <f t="shared" si="813"/>
        <v>-742.89041780821913</v>
      </c>
      <c r="Y618" s="527">
        <f t="shared" si="813"/>
        <v>-742.89041780821913</v>
      </c>
      <c r="Z618" s="527">
        <f t="shared" si="813"/>
        <v>-742.89041780821913</v>
      </c>
      <c r="AA618" s="527">
        <f t="shared" si="813"/>
        <v>-742.89041780821913</v>
      </c>
      <c r="AB618" s="527">
        <f t="shared" si="813"/>
        <v>-742.89041780821913</v>
      </c>
      <c r="AC618" s="527">
        <f t="shared" si="813"/>
        <v>-742.89041780821913</v>
      </c>
      <c r="AD618" s="527">
        <f t="shared" si="813"/>
        <v>-760.10552940248078</v>
      </c>
      <c r="AE618" s="527">
        <f t="shared" si="813"/>
        <v>-760.10552940248078</v>
      </c>
      <c r="AF618" s="527">
        <f t="shared" si="813"/>
        <v>-760.10552940248078</v>
      </c>
      <c r="AG618" s="527">
        <f t="shared" si="813"/>
        <v>-760.10552940248078</v>
      </c>
      <c r="AH618" s="527">
        <f t="shared" si="813"/>
        <v>-760.10552940248078</v>
      </c>
      <c r="AI618" s="527">
        <f t="shared" si="813"/>
        <v>-760.10552940248078</v>
      </c>
      <c r="AJ618" s="527">
        <f t="shared" si="813"/>
        <v>-760.10552940248078</v>
      </c>
      <c r="AK618" s="527">
        <f t="shared" si="813"/>
        <v>-760.10552940248078</v>
      </c>
      <c r="AL618" s="527">
        <f t="shared" si="813"/>
        <v>-760.10552940248078</v>
      </c>
      <c r="AM618" s="527">
        <f t="shared" si="813"/>
        <v>-760.10552940248078</v>
      </c>
      <c r="AN618" s="527">
        <f t="shared" si="813"/>
        <v>-760.10552940248078</v>
      </c>
      <c r="AO618" s="527">
        <f t="shared" si="813"/>
        <v>-760.10552940248078</v>
      </c>
      <c r="AP618" s="527">
        <f t="shared" si="813"/>
        <v>-776.40906413984794</v>
      </c>
      <c r="AQ618" s="527">
        <f t="shared" si="813"/>
        <v>-776.40906413984794</v>
      </c>
      <c r="AR618" s="527">
        <f t="shared" si="813"/>
        <v>-776.40906413984794</v>
      </c>
      <c r="AS618" s="527">
        <f t="shared" si="813"/>
        <v>-776.40906413984794</v>
      </c>
      <c r="AT618" s="527">
        <f t="shared" si="813"/>
        <v>-776.40906413984794</v>
      </c>
      <c r="AU618" s="527">
        <f t="shared" si="813"/>
        <v>-776.40906413984794</v>
      </c>
      <c r="AV618" s="527">
        <f t="shared" si="813"/>
        <v>-776.40906413984794</v>
      </c>
      <c r="AW618" s="527">
        <f t="shared" si="813"/>
        <v>-776.40906413984794</v>
      </c>
      <c r="AX618" s="527">
        <f t="shared" ref="AX618:BY618" si="814">AX554/AX$571</f>
        <v>-776.40906413984794</v>
      </c>
      <c r="AY618" s="527">
        <f t="shared" si="814"/>
        <v>-776.40906413984794</v>
      </c>
      <c r="AZ618" s="527">
        <f t="shared" si="814"/>
        <v>-776.40906413984794</v>
      </c>
      <c r="BA618" s="527">
        <f t="shared" si="814"/>
        <v>-776.40906413984794</v>
      </c>
      <c r="BB618" s="527">
        <f t="shared" si="814"/>
        <v>-791.62561822292867</v>
      </c>
      <c r="BC618" s="527">
        <f t="shared" si="814"/>
        <v>-791.62561822292867</v>
      </c>
      <c r="BD618" s="527">
        <f t="shared" si="814"/>
        <v>-791.62561822292867</v>
      </c>
      <c r="BE618" s="527">
        <f t="shared" si="814"/>
        <v>-791.62561822292867</v>
      </c>
      <c r="BF618" s="527">
        <f t="shared" si="814"/>
        <v>-791.62561822292867</v>
      </c>
      <c r="BG618" s="527">
        <f t="shared" si="814"/>
        <v>-791.62561822292867</v>
      </c>
      <c r="BH618" s="527">
        <f t="shared" si="814"/>
        <v>-791.62561822292867</v>
      </c>
      <c r="BI618" s="527">
        <f t="shared" si="814"/>
        <v>-791.62561822292867</v>
      </c>
      <c r="BJ618" s="527">
        <f t="shared" si="814"/>
        <v>-791.62561822292867</v>
      </c>
      <c r="BK618" s="527">
        <f t="shared" si="814"/>
        <v>-791.62561822292867</v>
      </c>
      <c r="BL618" s="527">
        <f t="shared" si="814"/>
        <v>-791.62561822292867</v>
      </c>
      <c r="BM618" s="527">
        <f t="shared" si="814"/>
        <v>-791.62561822292867</v>
      </c>
      <c r="BN618" s="527">
        <f t="shared" si="814"/>
        <v>-806.9833721001844</v>
      </c>
      <c r="BO618" s="527">
        <f t="shared" si="814"/>
        <v>-806.9833721001844</v>
      </c>
      <c r="BP618" s="527">
        <f t="shared" si="814"/>
        <v>-806.9833721001844</v>
      </c>
      <c r="BQ618" s="527">
        <f t="shared" si="814"/>
        <v>-806.9833721001844</v>
      </c>
      <c r="BR618" s="527">
        <f t="shared" si="814"/>
        <v>-806.9833721001844</v>
      </c>
      <c r="BS618" s="527">
        <f t="shared" si="814"/>
        <v>-806.9833721001844</v>
      </c>
      <c r="BT618" s="527">
        <f t="shared" si="814"/>
        <v>-806.9833721001844</v>
      </c>
      <c r="BU618" s="527">
        <f t="shared" si="814"/>
        <v>-806.9833721001844</v>
      </c>
      <c r="BV618" s="527">
        <f t="shared" si="814"/>
        <v>-806.9833721001844</v>
      </c>
      <c r="BW618" s="527">
        <f t="shared" si="814"/>
        <v>-806.9833721001844</v>
      </c>
      <c r="BX618" s="527">
        <f t="shared" si="814"/>
        <v>-806.9833721001844</v>
      </c>
      <c r="BY618" s="527">
        <f t="shared" si="814"/>
        <v>-806.9833721001844</v>
      </c>
    </row>
    <row r="619" spans="1:77" x14ac:dyDescent="0.3">
      <c r="A619" s="551"/>
      <c r="B619" s="647"/>
      <c r="C619" s="668"/>
      <c r="D619" s="537"/>
      <c r="E619" s="62" t="s">
        <v>292</v>
      </c>
      <c r="F619" s="579"/>
      <c r="G619" s="579"/>
      <c r="H619" s="537"/>
      <c r="I619" s="535">
        <f t="shared" si="812"/>
        <v>88253.067780613055</v>
      </c>
      <c r="J619" s="535">
        <f t="shared" si="812"/>
        <v>92050.005477144878</v>
      </c>
      <c r="K619" s="535">
        <f t="shared" si="812"/>
        <v>95830.942790103916</v>
      </c>
      <c r="L619" s="535">
        <f t="shared" si="812"/>
        <v>99582.336096666506</v>
      </c>
      <c r="M619" s="535">
        <f t="shared" si="812"/>
        <v>103121.86827488117</v>
      </c>
      <c r="N619" s="535">
        <f t="shared" si="812"/>
        <v>106636.77154947707</v>
      </c>
      <c r="O619" s="536"/>
      <c r="P619" s="568">
        <f>IFERROR(((N619/I619)^(1/5))-1,0)</f>
        <v>3.8569191713986539E-2</v>
      </c>
      <c r="Q619" s="537"/>
      <c r="R619" s="535">
        <f t="shared" ref="R619:AW619" si="815">R555/R$571</f>
        <v>7670.833789762075</v>
      </c>
      <c r="S619" s="535">
        <f t="shared" si="815"/>
        <v>7670.833789762075</v>
      </c>
      <c r="T619" s="535">
        <f t="shared" si="815"/>
        <v>7670.833789762075</v>
      </c>
      <c r="U619" s="535">
        <f t="shared" si="815"/>
        <v>7670.833789762075</v>
      </c>
      <c r="V619" s="535">
        <f t="shared" si="815"/>
        <v>7670.833789762075</v>
      </c>
      <c r="W619" s="535">
        <f t="shared" si="815"/>
        <v>7670.833789762075</v>
      </c>
      <c r="X619" s="535">
        <f t="shared" si="815"/>
        <v>7670.833789762075</v>
      </c>
      <c r="Y619" s="535">
        <f t="shared" si="815"/>
        <v>7670.833789762075</v>
      </c>
      <c r="Z619" s="535">
        <f t="shared" si="815"/>
        <v>7670.833789762075</v>
      </c>
      <c r="AA619" s="535">
        <f t="shared" si="815"/>
        <v>7670.833789762075</v>
      </c>
      <c r="AB619" s="535">
        <f t="shared" si="815"/>
        <v>7670.833789762075</v>
      </c>
      <c r="AC619" s="535">
        <f t="shared" si="815"/>
        <v>7670.833789762075</v>
      </c>
      <c r="AD619" s="535">
        <f t="shared" si="815"/>
        <v>7985.9118991753294</v>
      </c>
      <c r="AE619" s="535">
        <f t="shared" si="815"/>
        <v>7985.9118991753294</v>
      </c>
      <c r="AF619" s="535">
        <f t="shared" si="815"/>
        <v>7985.9118991753294</v>
      </c>
      <c r="AG619" s="535">
        <f t="shared" si="815"/>
        <v>7985.9118991753294</v>
      </c>
      <c r="AH619" s="535">
        <f t="shared" si="815"/>
        <v>7985.9118991753294</v>
      </c>
      <c r="AI619" s="535">
        <f t="shared" si="815"/>
        <v>7985.9118991753294</v>
      </c>
      <c r="AJ619" s="535">
        <f t="shared" si="815"/>
        <v>7985.9118991753294</v>
      </c>
      <c r="AK619" s="535">
        <f t="shared" si="815"/>
        <v>7985.9118991753294</v>
      </c>
      <c r="AL619" s="535">
        <f t="shared" si="815"/>
        <v>7985.9118991753294</v>
      </c>
      <c r="AM619" s="535">
        <f t="shared" si="815"/>
        <v>7985.9118991753294</v>
      </c>
      <c r="AN619" s="535">
        <f t="shared" si="815"/>
        <v>7985.9118991753294</v>
      </c>
      <c r="AO619" s="535">
        <f t="shared" si="815"/>
        <v>7985.9118991753294</v>
      </c>
      <c r="AP619" s="535">
        <f t="shared" si="815"/>
        <v>8298.5280080555422</v>
      </c>
      <c r="AQ619" s="535">
        <f t="shared" si="815"/>
        <v>8298.5280080555422</v>
      </c>
      <c r="AR619" s="535">
        <f t="shared" si="815"/>
        <v>8298.5280080555422</v>
      </c>
      <c r="AS619" s="535">
        <f t="shared" si="815"/>
        <v>8298.5280080555422</v>
      </c>
      <c r="AT619" s="535">
        <f t="shared" si="815"/>
        <v>8298.5280080555422</v>
      </c>
      <c r="AU619" s="535">
        <f t="shared" si="815"/>
        <v>8298.5280080555422</v>
      </c>
      <c r="AV619" s="535">
        <f t="shared" si="815"/>
        <v>8298.5280080555422</v>
      </c>
      <c r="AW619" s="535">
        <f t="shared" si="815"/>
        <v>8298.5280080555422</v>
      </c>
      <c r="AX619" s="535">
        <f t="shared" ref="AX619:BY619" si="816">AX555/AX$571</f>
        <v>8298.5280080555422</v>
      </c>
      <c r="AY619" s="535">
        <f t="shared" si="816"/>
        <v>8298.5280080555422</v>
      </c>
      <c r="AZ619" s="535">
        <f t="shared" si="816"/>
        <v>8298.5280080555422</v>
      </c>
      <c r="BA619" s="535">
        <f t="shared" si="816"/>
        <v>8298.5280080555422</v>
      </c>
      <c r="BB619" s="535">
        <f t="shared" si="816"/>
        <v>8593.489022906766</v>
      </c>
      <c r="BC619" s="535">
        <f t="shared" si="816"/>
        <v>8593.489022906766</v>
      </c>
      <c r="BD619" s="535">
        <f t="shared" si="816"/>
        <v>8593.489022906766</v>
      </c>
      <c r="BE619" s="535">
        <f t="shared" si="816"/>
        <v>8593.489022906766</v>
      </c>
      <c r="BF619" s="535">
        <f t="shared" si="816"/>
        <v>8593.489022906766</v>
      </c>
      <c r="BG619" s="535">
        <f t="shared" si="816"/>
        <v>8593.489022906766</v>
      </c>
      <c r="BH619" s="535">
        <f t="shared" si="816"/>
        <v>8593.489022906766</v>
      </c>
      <c r="BI619" s="535">
        <f t="shared" si="816"/>
        <v>8593.489022906766</v>
      </c>
      <c r="BJ619" s="535">
        <f t="shared" si="816"/>
        <v>8593.489022906766</v>
      </c>
      <c r="BK619" s="535">
        <f t="shared" si="816"/>
        <v>8593.489022906766</v>
      </c>
      <c r="BL619" s="535">
        <f t="shared" si="816"/>
        <v>8593.489022906766</v>
      </c>
      <c r="BM619" s="535">
        <f t="shared" si="816"/>
        <v>8593.489022906766</v>
      </c>
      <c r="BN619" s="535">
        <f t="shared" si="816"/>
        <v>8886.3976291230883</v>
      </c>
      <c r="BO619" s="535">
        <f t="shared" si="816"/>
        <v>8886.3976291230883</v>
      </c>
      <c r="BP619" s="535">
        <f t="shared" si="816"/>
        <v>8886.3976291230883</v>
      </c>
      <c r="BQ619" s="535">
        <f t="shared" si="816"/>
        <v>8886.3976291230883</v>
      </c>
      <c r="BR619" s="535">
        <f t="shared" si="816"/>
        <v>8886.3976291230883</v>
      </c>
      <c r="BS619" s="535">
        <f t="shared" si="816"/>
        <v>8886.3976291230883</v>
      </c>
      <c r="BT619" s="535">
        <f t="shared" si="816"/>
        <v>8886.3976291230883</v>
      </c>
      <c r="BU619" s="535">
        <f t="shared" si="816"/>
        <v>8886.3976291230883</v>
      </c>
      <c r="BV619" s="535">
        <f t="shared" si="816"/>
        <v>8886.3976291230883</v>
      </c>
      <c r="BW619" s="535">
        <f t="shared" si="816"/>
        <v>8886.3976291230883</v>
      </c>
      <c r="BX619" s="535">
        <f t="shared" si="816"/>
        <v>8886.3976291230883</v>
      </c>
      <c r="BY619" s="535">
        <f t="shared" si="816"/>
        <v>8886.3976291230883</v>
      </c>
    </row>
    <row r="620" spans="1:77" x14ac:dyDescent="0.3">
      <c r="A620" s="551"/>
      <c r="B620" s="647"/>
      <c r="C620" s="668"/>
      <c r="D620" s="537"/>
      <c r="E620" s="692" t="s">
        <v>406</v>
      </c>
      <c r="F620" s="537"/>
      <c r="G620" s="537"/>
      <c r="H620" s="529"/>
      <c r="I620" s="531">
        <f t="shared" ref="I620:N620" si="817">I619/I615</f>
        <v>0.91026586162609624</v>
      </c>
      <c r="J620" s="531">
        <f t="shared" si="817"/>
        <v>0.91170492406444703</v>
      </c>
      <c r="K620" s="531">
        <f t="shared" si="817"/>
        <v>0.91309124002899678</v>
      </c>
      <c r="L620" s="531">
        <f t="shared" si="817"/>
        <v>0.91444468893137776</v>
      </c>
      <c r="M620" s="531">
        <f t="shared" si="817"/>
        <v>0.91565093784217855</v>
      </c>
      <c r="N620" s="531">
        <f t="shared" si="817"/>
        <v>0.91674902987942541</v>
      </c>
      <c r="O620" s="546"/>
      <c r="P620" s="564">
        <f>IFERROR(((N620/I620)^(1/5))-1,0)</f>
        <v>1.420415087039828E-3</v>
      </c>
      <c r="Q620" s="537"/>
      <c r="R620" s="531">
        <f t="shared" ref="R620:AW620" si="818">R619/R615</f>
        <v>0.91170492406444703</v>
      </c>
      <c r="S620" s="531">
        <f t="shared" si="818"/>
        <v>0.91170492406444703</v>
      </c>
      <c r="T620" s="531">
        <f t="shared" si="818"/>
        <v>0.91170492406444703</v>
      </c>
      <c r="U620" s="531">
        <f t="shared" si="818"/>
        <v>0.91170492406444703</v>
      </c>
      <c r="V620" s="531">
        <f t="shared" si="818"/>
        <v>0.91170492406444703</v>
      </c>
      <c r="W620" s="531">
        <f t="shared" si="818"/>
        <v>0.91170492406444703</v>
      </c>
      <c r="X620" s="531">
        <f t="shared" si="818"/>
        <v>0.91170492406444703</v>
      </c>
      <c r="Y620" s="531">
        <f t="shared" si="818"/>
        <v>0.91170492406444703</v>
      </c>
      <c r="Z620" s="531">
        <f t="shared" si="818"/>
        <v>0.91170492406444703</v>
      </c>
      <c r="AA620" s="531">
        <f t="shared" si="818"/>
        <v>0.91170492406444703</v>
      </c>
      <c r="AB620" s="531">
        <f t="shared" si="818"/>
        <v>0.91170492406444703</v>
      </c>
      <c r="AC620" s="531">
        <f t="shared" si="818"/>
        <v>0.91170492406444703</v>
      </c>
      <c r="AD620" s="531">
        <f t="shared" si="818"/>
        <v>0.91309124002899666</v>
      </c>
      <c r="AE620" s="531">
        <f t="shared" si="818"/>
        <v>0.91309124002899666</v>
      </c>
      <c r="AF620" s="531">
        <f t="shared" si="818"/>
        <v>0.91309124002899666</v>
      </c>
      <c r="AG620" s="531">
        <f t="shared" si="818"/>
        <v>0.91309124002899666</v>
      </c>
      <c r="AH620" s="531">
        <f t="shared" si="818"/>
        <v>0.91309124002899666</v>
      </c>
      <c r="AI620" s="531">
        <f t="shared" si="818"/>
        <v>0.91309124002899666</v>
      </c>
      <c r="AJ620" s="531">
        <f t="shared" si="818"/>
        <v>0.91309124002899666</v>
      </c>
      <c r="AK620" s="531">
        <f t="shared" si="818"/>
        <v>0.91309124002899666</v>
      </c>
      <c r="AL620" s="531">
        <f t="shared" si="818"/>
        <v>0.91309124002899666</v>
      </c>
      <c r="AM620" s="531">
        <f t="shared" si="818"/>
        <v>0.91309124002899666</v>
      </c>
      <c r="AN620" s="531">
        <f t="shared" si="818"/>
        <v>0.91309124002899666</v>
      </c>
      <c r="AO620" s="531">
        <f t="shared" si="818"/>
        <v>0.91309124002899666</v>
      </c>
      <c r="AP620" s="531">
        <f t="shared" si="818"/>
        <v>0.91444468893137776</v>
      </c>
      <c r="AQ620" s="531">
        <f t="shared" si="818"/>
        <v>0.91444468893137776</v>
      </c>
      <c r="AR620" s="531">
        <f t="shared" si="818"/>
        <v>0.91444468893137776</v>
      </c>
      <c r="AS620" s="531">
        <f t="shared" si="818"/>
        <v>0.91444468893137776</v>
      </c>
      <c r="AT620" s="531">
        <f t="shared" si="818"/>
        <v>0.91444468893137776</v>
      </c>
      <c r="AU620" s="531">
        <f t="shared" si="818"/>
        <v>0.91444468893137776</v>
      </c>
      <c r="AV620" s="531">
        <f t="shared" si="818"/>
        <v>0.91444468893137776</v>
      </c>
      <c r="AW620" s="531">
        <f t="shared" si="818"/>
        <v>0.91444468893137776</v>
      </c>
      <c r="AX620" s="531">
        <f t="shared" ref="AX620:BY620" si="819">AX619/AX615</f>
        <v>0.91444468893137776</v>
      </c>
      <c r="AY620" s="531">
        <f t="shared" si="819"/>
        <v>0.91444468893137776</v>
      </c>
      <c r="AZ620" s="531">
        <f t="shared" si="819"/>
        <v>0.91444468893137776</v>
      </c>
      <c r="BA620" s="531">
        <f t="shared" si="819"/>
        <v>0.91444468893137776</v>
      </c>
      <c r="BB620" s="531">
        <f t="shared" si="819"/>
        <v>0.91565093784217866</v>
      </c>
      <c r="BC620" s="531">
        <f t="shared" si="819"/>
        <v>0.91565093784217866</v>
      </c>
      <c r="BD620" s="531">
        <f t="shared" si="819"/>
        <v>0.91565093784217866</v>
      </c>
      <c r="BE620" s="531">
        <f t="shared" si="819"/>
        <v>0.91565093784217866</v>
      </c>
      <c r="BF620" s="531">
        <f t="shared" si="819"/>
        <v>0.91565093784217866</v>
      </c>
      <c r="BG620" s="531">
        <f t="shared" si="819"/>
        <v>0.91565093784217866</v>
      </c>
      <c r="BH620" s="531">
        <f t="shared" si="819"/>
        <v>0.91565093784217866</v>
      </c>
      <c r="BI620" s="531">
        <f t="shared" si="819"/>
        <v>0.91565093784217866</v>
      </c>
      <c r="BJ620" s="531">
        <f t="shared" si="819"/>
        <v>0.91565093784217866</v>
      </c>
      <c r="BK620" s="531">
        <f t="shared" si="819"/>
        <v>0.91565093784217866</v>
      </c>
      <c r="BL620" s="531">
        <f t="shared" si="819"/>
        <v>0.91565093784217866</v>
      </c>
      <c r="BM620" s="531">
        <f t="shared" si="819"/>
        <v>0.91565093784217866</v>
      </c>
      <c r="BN620" s="531">
        <f t="shared" si="819"/>
        <v>0.9167490298794253</v>
      </c>
      <c r="BO620" s="531">
        <f t="shared" si="819"/>
        <v>0.9167490298794253</v>
      </c>
      <c r="BP620" s="531">
        <f t="shared" si="819"/>
        <v>0.9167490298794253</v>
      </c>
      <c r="BQ620" s="531">
        <f t="shared" si="819"/>
        <v>0.9167490298794253</v>
      </c>
      <c r="BR620" s="531">
        <f t="shared" si="819"/>
        <v>0.9167490298794253</v>
      </c>
      <c r="BS620" s="531">
        <f t="shared" si="819"/>
        <v>0.9167490298794253</v>
      </c>
      <c r="BT620" s="531">
        <f t="shared" si="819"/>
        <v>0.9167490298794253</v>
      </c>
      <c r="BU620" s="531">
        <f t="shared" si="819"/>
        <v>0.9167490298794253</v>
      </c>
      <c r="BV620" s="531">
        <f t="shared" si="819"/>
        <v>0.9167490298794253</v>
      </c>
      <c r="BW620" s="531">
        <f t="shared" si="819"/>
        <v>0.9167490298794253</v>
      </c>
      <c r="BX620" s="531">
        <f t="shared" si="819"/>
        <v>0.9167490298794253</v>
      </c>
      <c r="BY620" s="531">
        <f t="shared" si="819"/>
        <v>0.9167490298794253</v>
      </c>
    </row>
    <row r="621" spans="1:77" x14ac:dyDescent="0.3">
      <c r="A621" s="551"/>
      <c r="B621" s="647"/>
      <c r="C621" s="668"/>
      <c r="D621" s="537"/>
      <c r="E621" s="2"/>
      <c r="F621" s="537"/>
      <c r="G621" s="537"/>
      <c r="H621" s="537"/>
      <c r="I621" s="537"/>
      <c r="J621" s="537"/>
      <c r="K621" s="537"/>
      <c r="L621" s="537"/>
      <c r="M621" s="537"/>
      <c r="N621" s="537"/>
      <c r="O621" s="529"/>
      <c r="P621" s="660"/>
      <c r="Q621" s="537"/>
      <c r="R621" s="537"/>
      <c r="S621" s="537"/>
      <c r="T621" s="537"/>
      <c r="U621" s="537"/>
      <c r="V621" s="537"/>
      <c r="W621" s="537"/>
      <c r="X621" s="537"/>
      <c r="Y621" s="537"/>
      <c r="Z621" s="537"/>
      <c r="AA621" s="537"/>
      <c r="AB621" s="537"/>
      <c r="AC621" s="537"/>
      <c r="AD621" s="537"/>
      <c r="AE621" s="537"/>
      <c r="AF621" s="537"/>
      <c r="AG621" s="537"/>
      <c r="AH621" s="537"/>
      <c r="AI621" s="537"/>
      <c r="AJ621" s="537"/>
      <c r="AK621" s="537"/>
      <c r="AL621" s="537"/>
      <c r="AM621" s="537"/>
      <c r="AN621" s="537"/>
      <c r="AO621" s="537"/>
      <c r="AP621" s="537"/>
      <c r="AQ621" s="537"/>
      <c r="AR621" s="537"/>
      <c r="AS621" s="537"/>
      <c r="AT621" s="537"/>
      <c r="AU621" s="537"/>
      <c r="AV621" s="537"/>
      <c r="AW621" s="537"/>
      <c r="AX621" s="537"/>
      <c r="AY621" s="537"/>
      <c r="AZ621" s="537"/>
      <c r="BA621" s="537"/>
      <c r="BB621" s="537"/>
      <c r="BC621" s="537"/>
      <c r="BD621" s="537"/>
      <c r="BE621" s="537"/>
      <c r="BF621" s="537"/>
      <c r="BG621" s="537"/>
      <c r="BH621" s="537"/>
      <c r="BI621" s="537"/>
      <c r="BJ621" s="537"/>
      <c r="BK621" s="537"/>
      <c r="BL621" s="537"/>
      <c r="BM621" s="537"/>
      <c r="BN621" s="537"/>
      <c r="BO621" s="537"/>
      <c r="BP621" s="537"/>
      <c r="BQ621" s="537"/>
      <c r="BR621" s="537"/>
      <c r="BS621" s="537"/>
      <c r="BT621" s="537"/>
      <c r="BU621" s="537"/>
      <c r="BV621" s="537"/>
      <c r="BW621" s="537"/>
      <c r="BX621" s="537"/>
      <c r="BY621" s="537"/>
    </row>
    <row r="622" spans="1:77" x14ac:dyDescent="0.3">
      <c r="A622" s="551"/>
      <c r="B622" s="647"/>
      <c r="C622" s="668"/>
      <c r="D622" s="537"/>
      <c r="E622" s="2" t="s">
        <v>52</v>
      </c>
      <c r="F622" s="567"/>
      <c r="G622" s="567"/>
      <c r="H622" s="537"/>
      <c r="I622" s="527">
        <f t="shared" ref="I622:N623" si="820">I558/I$571</f>
        <v>-7038.360088774195</v>
      </c>
      <c r="J622" s="527">
        <f t="shared" si="820"/>
        <v>-8160</v>
      </c>
      <c r="K622" s="527">
        <f t="shared" si="820"/>
        <v>-8323.2000000000007</v>
      </c>
      <c r="L622" s="527">
        <f t="shared" si="820"/>
        <v>-8489.6640000000007</v>
      </c>
      <c r="M622" s="527">
        <f t="shared" si="820"/>
        <v>-8659.4572800000005</v>
      </c>
      <c r="N622" s="527">
        <f t="shared" si="820"/>
        <v>-8832.6464256000017</v>
      </c>
      <c r="O622" s="529"/>
      <c r="P622" s="564">
        <f>IFERROR(((N622/I622)^(1/5))-1,0)</f>
        <v>4.6462988574517361E-2</v>
      </c>
      <c r="Q622" s="537"/>
      <c r="R622" s="527">
        <f t="shared" ref="R622:AW622" si="821">R558/R$571</f>
        <v>-680</v>
      </c>
      <c r="S622" s="527">
        <f t="shared" si="821"/>
        <v>-680</v>
      </c>
      <c r="T622" s="527">
        <f t="shared" si="821"/>
        <v>-680</v>
      </c>
      <c r="U622" s="527">
        <f t="shared" si="821"/>
        <v>-680</v>
      </c>
      <c r="V622" s="527">
        <f t="shared" si="821"/>
        <v>-680</v>
      </c>
      <c r="W622" s="527">
        <f t="shared" si="821"/>
        <v>-680</v>
      </c>
      <c r="X622" s="527">
        <f t="shared" si="821"/>
        <v>-680</v>
      </c>
      <c r="Y622" s="527">
        <f t="shared" si="821"/>
        <v>-680</v>
      </c>
      <c r="Z622" s="527">
        <f t="shared" si="821"/>
        <v>-680</v>
      </c>
      <c r="AA622" s="527">
        <f t="shared" si="821"/>
        <v>-680</v>
      </c>
      <c r="AB622" s="527">
        <f t="shared" si="821"/>
        <v>-680</v>
      </c>
      <c r="AC622" s="527">
        <f t="shared" si="821"/>
        <v>-680</v>
      </c>
      <c r="AD622" s="527">
        <f t="shared" si="821"/>
        <v>-693.6</v>
      </c>
      <c r="AE622" s="527">
        <f t="shared" si="821"/>
        <v>-693.6</v>
      </c>
      <c r="AF622" s="527">
        <f t="shared" si="821"/>
        <v>-693.6</v>
      </c>
      <c r="AG622" s="527">
        <f t="shared" si="821"/>
        <v>-693.6</v>
      </c>
      <c r="AH622" s="527">
        <f t="shared" si="821"/>
        <v>-693.6</v>
      </c>
      <c r="AI622" s="527">
        <f t="shared" si="821"/>
        <v>-693.6</v>
      </c>
      <c r="AJ622" s="527">
        <f t="shared" si="821"/>
        <v>-693.6</v>
      </c>
      <c r="AK622" s="527">
        <f t="shared" si="821"/>
        <v>-693.6</v>
      </c>
      <c r="AL622" s="527">
        <f t="shared" si="821"/>
        <v>-693.6</v>
      </c>
      <c r="AM622" s="527">
        <f t="shared" si="821"/>
        <v>-693.6</v>
      </c>
      <c r="AN622" s="527">
        <f t="shared" si="821"/>
        <v>-693.6</v>
      </c>
      <c r="AO622" s="527">
        <f t="shared" si="821"/>
        <v>-693.6</v>
      </c>
      <c r="AP622" s="527">
        <f t="shared" si="821"/>
        <v>-707.47200000000009</v>
      </c>
      <c r="AQ622" s="527">
        <f t="shared" si="821"/>
        <v>-707.47200000000009</v>
      </c>
      <c r="AR622" s="527">
        <f t="shared" si="821"/>
        <v>-707.47200000000009</v>
      </c>
      <c r="AS622" s="527">
        <f t="shared" si="821"/>
        <v>-707.47200000000009</v>
      </c>
      <c r="AT622" s="527">
        <f t="shared" si="821"/>
        <v>-707.47200000000009</v>
      </c>
      <c r="AU622" s="527">
        <f t="shared" si="821"/>
        <v>-707.47200000000009</v>
      </c>
      <c r="AV622" s="527">
        <f t="shared" si="821"/>
        <v>-707.47200000000009</v>
      </c>
      <c r="AW622" s="527">
        <f t="shared" si="821"/>
        <v>-707.47200000000009</v>
      </c>
      <c r="AX622" s="527">
        <f t="shared" ref="AX622:BY622" si="822">AX558/AX$571</f>
        <v>-707.47200000000009</v>
      </c>
      <c r="AY622" s="527">
        <f t="shared" si="822"/>
        <v>-707.47200000000009</v>
      </c>
      <c r="AZ622" s="527">
        <f t="shared" si="822"/>
        <v>-707.47200000000009</v>
      </c>
      <c r="BA622" s="527">
        <f t="shared" si="822"/>
        <v>-707.47200000000009</v>
      </c>
      <c r="BB622" s="527">
        <f t="shared" si="822"/>
        <v>-721.62144000000012</v>
      </c>
      <c r="BC622" s="527">
        <f t="shared" si="822"/>
        <v>-721.62144000000012</v>
      </c>
      <c r="BD622" s="527">
        <f t="shared" si="822"/>
        <v>-721.62144000000012</v>
      </c>
      <c r="BE622" s="527">
        <f t="shared" si="822"/>
        <v>-721.62144000000012</v>
      </c>
      <c r="BF622" s="527">
        <f t="shared" si="822"/>
        <v>-721.62144000000012</v>
      </c>
      <c r="BG622" s="527">
        <f t="shared" si="822"/>
        <v>-721.62144000000012</v>
      </c>
      <c r="BH622" s="527">
        <f t="shared" si="822"/>
        <v>-721.62144000000012</v>
      </c>
      <c r="BI622" s="527">
        <f t="shared" si="822"/>
        <v>-721.62144000000012</v>
      </c>
      <c r="BJ622" s="527">
        <f t="shared" si="822"/>
        <v>-721.62144000000012</v>
      </c>
      <c r="BK622" s="527">
        <f t="shared" si="822"/>
        <v>-721.62144000000012</v>
      </c>
      <c r="BL622" s="527">
        <f t="shared" si="822"/>
        <v>-721.62144000000012</v>
      </c>
      <c r="BM622" s="527">
        <f t="shared" si="822"/>
        <v>-721.62144000000012</v>
      </c>
      <c r="BN622" s="527">
        <f t="shared" si="822"/>
        <v>-736.05386880000026</v>
      </c>
      <c r="BO622" s="527">
        <f t="shared" si="822"/>
        <v>-736.05386880000026</v>
      </c>
      <c r="BP622" s="527">
        <f t="shared" si="822"/>
        <v>-736.05386880000026</v>
      </c>
      <c r="BQ622" s="527">
        <f t="shared" si="822"/>
        <v>-736.05386880000026</v>
      </c>
      <c r="BR622" s="527">
        <f t="shared" si="822"/>
        <v>-736.05386880000026</v>
      </c>
      <c r="BS622" s="527">
        <f t="shared" si="822"/>
        <v>-736.05386880000026</v>
      </c>
      <c r="BT622" s="527">
        <f t="shared" si="822"/>
        <v>-736.05386880000026</v>
      </c>
      <c r="BU622" s="527">
        <f t="shared" si="822"/>
        <v>-736.05386880000026</v>
      </c>
      <c r="BV622" s="527">
        <f t="shared" si="822"/>
        <v>-736.05386880000026</v>
      </c>
      <c r="BW622" s="527">
        <f t="shared" si="822"/>
        <v>-736.05386880000026</v>
      </c>
      <c r="BX622" s="527">
        <f t="shared" si="822"/>
        <v>-736.05386880000026</v>
      </c>
      <c r="BY622" s="527">
        <f t="shared" si="822"/>
        <v>-736.05386880000026</v>
      </c>
    </row>
    <row r="623" spans="1:77" x14ac:dyDescent="0.3">
      <c r="A623" s="551"/>
      <c r="B623" s="647"/>
      <c r="C623" s="668"/>
      <c r="D623" s="537"/>
      <c r="E623" s="2" t="s">
        <v>69</v>
      </c>
      <c r="F623" s="567"/>
      <c r="G623" s="567"/>
      <c r="H623" s="537"/>
      <c r="I623" s="527">
        <f t="shared" si="820"/>
        <v>-1454.2960167091958</v>
      </c>
      <c r="J623" s="527">
        <f t="shared" si="820"/>
        <v>-1514.4703573626532</v>
      </c>
      <c r="K623" s="527">
        <f t="shared" si="820"/>
        <v>-1574.2831371440057</v>
      </c>
      <c r="L623" s="527">
        <f t="shared" si="820"/>
        <v>-1633.4886729951697</v>
      </c>
      <c r="M623" s="527">
        <f t="shared" si="820"/>
        <v>-1689.3206354033452</v>
      </c>
      <c r="N623" s="527">
        <f t="shared" si="820"/>
        <v>-1744.8085802201895</v>
      </c>
      <c r="O623" s="529"/>
      <c r="P623" s="564">
        <f t="shared" ref="P623:P631" si="823">IFERROR(((N623/I623)^(1/5))-1,0)</f>
        <v>3.7096084788443173E-2</v>
      </c>
      <c r="Q623" s="537"/>
      <c r="R623" s="527">
        <f t="shared" ref="R623:AW623" si="824">R559/R$571</f>
        <v>-126.2058631135544</v>
      </c>
      <c r="S623" s="527">
        <f t="shared" si="824"/>
        <v>-126.2058631135544</v>
      </c>
      <c r="T623" s="527">
        <f t="shared" si="824"/>
        <v>-126.2058631135544</v>
      </c>
      <c r="U623" s="527">
        <f t="shared" si="824"/>
        <v>-126.2058631135544</v>
      </c>
      <c r="V623" s="527">
        <f t="shared" si="824"/>
        <v>-126.2058631135544</v>
      </c>
      <c r="W623" s="527">
        <f t="shared" si="824"/>
        <v>-126.2058631135544</v>
      </c>
      <c r="X623" s="527">
        <f t="shared" si="824"/>
        <v>-126.2058631135544</v>
      </c>
      <c r="Y623" s="527">
        <f t="shared" si="824"/>
        <v>-126.2058631135544</v>
      </c>
      <c r="Z623" s="527">
        <f t="shared" si="824"/>
        <v>-126.2058631135544</v>
      </c>
      <c r="AA623" s="527">
        <f t="shared" si="824"/>
        <v>-126.2058631135544</v>
      </c>
      <c r="AB623" s="527">
        <f t="shared" si="824"/>
        <v>-126.2058631135544</v>
      </c>
      <c r="AC623" s="527">
        <f t="shared" si="824"/>
        <v>-126.2058631135544</v>
      </c>
      <c r="AD623" s="527">
        <f t="shared" si="824"/>
        <v>-131.19026142866716</v>
      </c>
      <c r="AE623" s="527">
        <f t="shared" si="824"/>
        <v>-131.19026142866716</v>
      </c>
      <c r="AF623" s="527">
        <f t="shared" si="824"/>
        <v>-131.19026142866716</v>
      </c>
      <c r="AG623" s="527">
        <f t="shared" si="824"/>
        <v>-131.19026142866716</v>
      </c>
      <c r="AH623" s="527">
        <f t="shared" si="824"/>
        <v>-131.19026142866716</v>
      </c>
      <c r="AI623" s="527">
        <f t="shared" si="824"/>
        <v>-131.19026142866716</v>
      </c>
      <c r="AJ623" s="527">
        <f t="shared" si="824"/>
        <v>-131.19026142866716</v>
      </c>
      <c r="AK623" s="527">
        <f t="shared" si="824"/>
        <v>-131.19026142866716</v>
      </c>
      <c r="AL623" s="527">
        <f t="shared" si="824"/>
        <v>-131.19026142866716</v>
      </c>
      <c r="AM623" s="527">
        <f t="shared" si="824"/>
        <v>-131.19026142866716</v>
      </c>
      <c r="AN623" s="527">
        <f t="shared" si="824"/>
        <v>-131.19026142866716</v>
      </c>
      <c r="AO623" s="527">
        <f t="shared" si="824"/>
        <v>-131.19026142866716</v>
      </c>
      <c r="AP623" s="527">
        <f t="shared" si="824"/>
        <v>-136.12405608293085</v>
      </c>
      <c r="AQ623" s="527">
        <f t="shared" si="824"/>
        <v>-136.12405608293085</v>
      </c>
      <c r="AR623" s="527">
        <f t="shared" si="824"/>
        <v>-136.12405608293085</v>
      </c>
      <c r="AS623" s="527">
        <f t="shared" si="824"/>
        <v>-136.12405608293085</v>
      </c>
      <c r="AT623" s="527">
        <f t="shared" si="824"/>
        <v>-136.12405608293085</v>
      </c>
      <c r="AU623" s="527">
        <f t="shared" si="824"/>
        <v>-136.12405608293085</v>
      </c>
      <c r="AV623" s="527">
        <f t="shared" si="824"/>
        <v>-136.12405608293085</v>
      </c>
      <c r="AW623" s="527">
        <f t="shared" si="824"/>
        <v>-136.12405608293085</v>
      </c>
      <c r="AX623" s="527">
        <f t="shared" ref="AX623:BY623" si="825">AX559/AX$571</f>
        <v>-136.12405608293085</v>
      </c>
      <c r="AY623" s="527">
        <f t="shared" si="825"/>
        <v>-136.12405608293085</v>
      </c>
      <c r="AZ623" s="527">
        <f t="shared" si="825"/>
        <v>-136.12405608293085</v>
      </c>
      <c r="BA623" s="527">
        <f t="shared" si="825"/>
        <v>-136.12405608293085</v>
      </c>
      <c r="BB623" s="527">
        <f t="shared" si="825"/>
        <v>-140.7767196169454</v>
      </c>
      <c r="BC623" s="527">
        <f t="shared" si="825"/>
        <v>-140.7767196169454</v>
      </c>
      <c r="BD623" s="527">
        <f t="shared" si="825"/>
        <v>-140.7767196169454</v>
      </c>
      <c r="BE623" s="527">
        <f t="shared" si="825"/>
        <v>-140.7767196169454</v>
      </c>
      <c r="BF623" s="527">
        <f t="shared" si="825"/>
        <v>-140.7767196169454</v>
      </c>
      <c r="BG623" s="527">
        <f t="shared" si="825"/>
        <v>-140.7767196169454</v>
      </c>
      <c r="BH623" s="527">
        <f t="shared" si="825"/>
        <v>-140.7767196169454</v>
      </c>
      <c r="BI623" s="527">
        <f t="shared" si="825"/>
        <v>-140.7767196169454</v>
      </c>
      <c r="BJ623" s="527">
        <f t="shared" si="825"/>
        <v>-140.7767196169454</v>
      </c>
      <c r="BK623" s="527">
        <f t="shared" si="825"/>
        <v>-140.7767196169454</v>
      </c>
      <c r="BL623" s="527">
        <f t="shared" si="825"/>
        <v>-140.7767196169454</v>
      </c>
      <c r="BM623" s="527">
        <f t="shared" si="825"/>
        <v>-140.7767196169454</v>
      </c>
      <c r="BN623" s="527">
        <f t="shared" si="825"/>
        <v>-145.40071501834908</v>
      </c>
      <c r="BO623" s="527">
        <f t="shared" si="825"/>
        <v>-145.40071501834908</v>
      </c>
      <c r="BP623" s="527">
        <f t="shared" si="825"/>
        <v>-145.40071501834908</v>
      </c>
      <c r="BQ623" s="527">
        <f t="shared" si="825"/>
        <v>-145.40071501834908</v>
      </c>
      <c r="BR623" s="527">
        <f t="shared" si="825"/>
        <v>-145.40071501834908</v>
      </c>
      <c r="BS623" s="527">
        <f t="shared" si="825"/>
        <v>-145.40071501834908</v>
      </c>
      <c r="BT623" s="527">
        <f t="shared" si="825"/>
        <v>-145.40071501834908</v>
      </c>
      <c r="BU623" s="527">
        <f t="shared" si="825"/>
        <v>-145.40071501834908</v>
      </c>
      <c r="BV623" s="527">
        <f t="shared" si="825"/>
        <v>-145.40071501834908</v>
      </c>
      <c r="BW623" s="527">
        <f t="shared" si="825"/>
        <v>-145.40071501834908</v>
      </c>
      <c r="BX623" s="527">
        <f t="shared" si="825"/>
        <v>-145.40071501834908</v>
      </c>
      <c r="BY623" s="527">
        <f t="shared" si="825"/>
        <v>-145.40071501834908</v>
      </c>
    </row>
    <row r="624" spans="1:77" x14ac:dyDescent="0.3">
      <c r="A624" s="551"/>
      <c r="B624" s="647"/>
      <c r="C624" s="668"/>
      <c r="D624" s="537"/>
      <c r="E624" s="2" t="s">
        <v>184</v>
      </c>
      <c r="F624" s="567"/>
      <c r="G624" s="567"/>
      <c r="H624" s="537"/>
      <c r="I624" s="580">
        <v>0</v>
      </c>
      <c r="J624" s="528">
        <v>0</v>
      </c>
      <c r="K624" s="528">
        <v>0</v>
      </c>
      <c r="L624" s="528">
        <v>0</v>
      </c>
      <c r="M624" s="528">
        <v>0</v>
      </c>
      <c r="N624" s="528">
        <v>0</v>
      </c>
      <c r="O624" s="544"/>
      <c r="P624" s="564">
        <f>IFERROR(((N624/I624)^(1/5))-1,0)</f>
        <v>0</v>
      </c>
      <c r="Q624" s="537"/>
      <c r="R624" s="528">
        <v>0</v>
      </c>
      <c r="S624" s="528">
        <v>0</v>
      </c>
      <c r="T624" s="528">
        <v>0</v>
      </c>
      <c r="U624" s="528">
        <v>0</v>
      </c>
      <c r="V624" s="528">
        <v>0</v>
      </c>
      <c r="W624" s="528">
        <v>0</v>
      </c>
      <c r="X624" s="528">
        <v>0</v>
      </c>
      <c r="Y624" s="528">
        <v>0</v>
      </c>
      <c r="Z624" s="528">
        <v>0</v>
      </c>
      <c r="AA624" s="528">
        <v>0</v>
      </c>
      <c r="AB624" s="528">
        <v>0</v>
      </c>
      <c r="AC624" s="528">
        <v>0</v>
      </c>
      <c r="AD624" s="528">
        <v>0</v>
      </c>
      <c r="AE624" s="528">
        <v>0</v>
      </c>
      <c r="AF624" s="528">
        <v>0</v>
      </c>
      <c r="AG624" s="528">
        <v>0</v>
      </c>
      <c r="AH624" s="528">
        <v>0</v>
      </c>
      <c r="AI624" s="528">
        <v>0</v>
      </c>
      <c r="AJ624" s="528">
        <v>0</v>
      </c>
      <c r="AK624" s="528">
        <v>0</v>
      </c>
      <c r="AL624" s="528">
        <v>0</v>
      </c>
      <c r="AM624" s="528">
        <v>0</v>
      </c>
      <c r="AN624" s="528">
        <v>0</v>
      </c>
      <c r="AO624" s="528">
        <v>0</v>
      </c>
      <c r="AP624" s="528">
        <v>0</v>
      </c>
      <c r="AQ624" s="528">
        <v>0</v>
      </c>
      <c r="AR624" s="528">
        <v>0</v>
      </c>
      <c r="AS624" s="528">
        <v>0</v>
      </c>
      <c r="AT624" s="528">
        <v>0</v>
      </c>
      <c r="AU624" s="528">
        <v>0</v>
      </c>
      <c r="AV624" s="528">
        <v>0</v>
      </c>
      <c r="AW624" s="528">
        <v>0</v>
      </c>
      <c r="AX624" s="528">
        <v>0</v>
      </c>
      <c r="AY624" s="528">
        <v>0</v>
      </c>
      <c r="AZ624" s="528">
        <v>0</v>
      </c>
      <c r="BA624" s="528">
        <v>0</v>
      </c>
      <c r="BB624" s="528">
        <v>0</v>
      </c>
      <c r="BC624" s="528">
        <v>0</v>
      </c>
      <c r="BD624" s="528">
        <v>0</v>
      </c>
      <c r="BE624" s="528">
        <v>0</v>
      </c>
      <c r="BF624" s="528">
        <v>0</v>
      </c>
      <c r="BG624" s="528">
        <v>0</v>
      </c>
      <c r="BH624" s="528">
        <v>0</v>
      </c>
      <c r="BI624" s="528">
        <v>0</v>
      </c>
      <c r="BJ624" s="528">
        <v>0</v>
      </c>
      <c r="BK624" s="528">
        <v>0</v>
      </c>
      <c r="BL624" s="528">
        <v>0</v>
      </c>
      <c r="BM624" s="528">
        <v>0</v>
      </c>
      <c r="BN624" s="528">
        <v>0</v>
      </c>
      <c r="BO624" s="528">
        <v>0</v>
      </c>
      <c r="BP624" s="528">
        <v>0</v>
      </c>
      <c r="BQ624" s="528">
        <v>0</v>
      </c>
      <c r="BR624" s="528">
        <v>0</v>
      </c>
      <c r="BS624" s="528">
        <v>0</v>
      </c>
      <c r="BT624" s="528">
        <v>0</v>
      </c>
      <c r="BU624" s="528">
        <v>0</v>
      </c>
      <c r="BV624" s="528">
        <v>0</v>
      </c>
      <c r="BW624" s="528">
        <v>0</v>
      </c>
      <c r="BX624" s="528">
        <v>0</v>
      </c>
      <c r="BY624" s="528">
        <v>0</v>
      </c>
    </row>
    <row r="625" spans="1:77" x14ac:dyDescent="0.3">
      <c r="A625" s="551"/>
      <c r="B625" s="647"/>
      <c r="C625" s="668"/>
      <c r="D625" s="537"/>
      <c r="E625" s="62" t="s">
        <v>293</v>
      </c>
      <c r="F625" s="579"/>
      <c r="G625" s="579"/>
      <c r="H625" s="537"/>
      <c r="I625" s="535">
        <f t="shared" ref="I625:N625" si="826">I561/I$571</f>
        <v>79760.411675129668</v>
      </c>
      <c r="J625" s="535">
        <f t="shared" si="826"/>
        <v>82375.535119782231</v>
      </c>
      <c r="K625" s="535">
        <f t="shared" si="826"/>
        <v>85933.459652959908</v>
      </c>
      <c r="L625" s="535">
        <f t="shared" si="826"/>
        <v>89459.183423671348</v>
      </c>
      <c r="M625" s="535">
        <f t="shared" si="826"/>
        <v>92773.090359477821</v>
      </c>
      <c r="N625" s="535">
        <f t="shared" si="826"/>
        <v>96059.316543656867</v>
      </c>
      <c r="O625" s="544"/>
      <c r="P625" s="568">
        <f t="shared" si="823"/>
        <v>3.7887833664709714E-2</v>
      </c>
      <c r="Q625" s="537"/>
      <c r="R625" s="535">
        <f t="shared" ref="R625:AW625" si="827">R561/R$571</f>
        <v>6864.6279266485199</v>
      </c>
      <c r="S625" s="535">
        <f t="shared" si="827"/>
        <v>6864.6279266485199</v>
      </c>
      <c r="T625" s="535">
        <f t="shared" si="827"/>
        <v>6864.6279266485199</v>
      </c>
      <c r="U625" s="535">
        <f t="shared" si="827"/>
        <v>6864.6279266485199</v>
      </c>
      <c r="V625" s="535">
        <f t="shared" si="827"/>
        <v>6864.6279266485199</v>
      </c>
      <c r="W625" s="535">
        <f t="shared" si="827"/>
        <v>6864.6279266485199</v>
      </c>
      <c r="X625" s="535">
        <f t="shared" si="827"/>
        <v>6864.6279266485199</v>
      </c>
      <c r="Y625" s="535">
        <f t="shared" si="827"/>
        <v>6864.6279266485199</v>
      </c>
      <c r="Z625" s="535">
        <f t="shared" si="827"/>
        <v>6864.6279266485199</v>
      </c>
      <c r="AA625" s="535">
        <f t="shared" si="827"/>
        <v>6864.6279266485199</v>
      </c>
      <c r="AB625" s="535">
        <f t="shared" si="827"/>
        <v>6864.6279266485199</v>
      </c>
      <c r="AC625" s="535">
        <f t="shared" si="827"/>
        <v>6864.6279266485199</v>
      </c>
      <c r="AD625" s="535">
        <f t="shared" si="827"/>
        <v>7161.1216377466626</v>
      </c>
      <c r="AE625" s="535">
        <f t="shared" si="827"/>
        <v>7161.1216377466626</v>
      </c>
      <c r="AF625" s="535">
        <f t="shared" si="827"/>
        <v>7161.1216377466626</v>
      </c>
      <c r="AG625" s="535">
        <f t="shared" si="827"/>
        <v>7161.1216377466626</v>
      </c>
      <c r="AH625" s="535">
        <f t="shared" si="827"/>
        <v>7161.1216377466626</v>
      </c>
      <c r="AI625" s="535">
        <f t="shared" si="827"/>
        <v>7161.1216377466626</v>
      </c>
      <c r="AJ625" s="535">
        <f t="shared" si="827"/>
        <v>7161.1216377466626</v>
      </c>
      <c r="AK625" s="535">
        <f t="shared" si="827"/>
        <v>7161.1216377466626</v>
      </c>
      <c r="AL625" s="535">
        <f t="shared" si="827"/>
        <v>7161.1216377466626</v>
      </c>
      <c r="AM625" s="535">
        <f t="shared" si="827"/>
        <v>7161.1216377466626</v>
      </c>
      <c r="AN625" s="535">
        <f t="shared" si="827"/>
        <v>7161.1216377466626</v>
      </c>
      <c r="AO625" s="535">
        <f t="shared" si="827"/>
        <v>7161.1216377466626</v>
      </c>
      <c r="AP625" s="535">
        <f t="shared" si="827"/>
        <v>7454.9319519726114</v>
      </c>
      <c r="AQ625" s="535">
        <f t="shared" si="827"/>
        <v>7454.9319519726114</v>
      </c>
      <c r="AR625" s="535">
        <f t="shared" si="827"/>
        <v>7454.9319519726114</v>
      </c>
      <c r="AS625" s="535">
        <f t="shared" si="827"/>
        <v>7454.9319519726114</v>
      </c>
      <c r="AT625" s="535">
        <f t="shared" si="827"/>
        <v>7454.9319519726114</v>
      </c>
      <c r="AU625" s="535">
        <f t="shared" si="827"/>
        <v>7454.9319519726114</v>
      </c>
      <c r="AV625" s="535">
        <f t="shared" si="827"/>
        <v>7454.9319519726114</v>
      </c>
      <c r="AW625" s="535">
        <f t="shared" si="827"/>
        <v>7454.9319519726114</v>
      </c>
      <c r="AX625" s="535">
        <f t="shared" ref="AX625:BY625" si="828">AX561/AX$571</f>
        <v>7454.9319519726114</v>
      </c>
      <c r="AY625" s="535">
        <f t="shared" si="828"/>
        <v>7454.9319519726114</v>
      </c>
      <c r="AZ625" s="535">
        <f t="shared" si="828"/>
        <v>7454.9319519726114</v>
      </c>
      <c r="BA625" s="535">
        <f t="shared" si="828"/>
        <v>7454.9319519726114</v>
      </c>
      <c r="BB625" s="535">
        <f t="shared" si="828"/>
        <v>7731.0908632898199</v>
      </c>
      <c r="BC625" s="535">
        <f t="shared" si="828"/>
        <v>7731.0908632898199</v>
      </c>
      <c r="BD625" s="535">
        <f t="shared" si="828"/>
        <v>7731.0908632898199</v>
      </c>
      <c r="BE625" s="535">
        <f t="shared" si="828"/>
        <v>7731.0908632898199</v>
      </c>
      <c r="BF625" s="535">
        <f t="shared" si="828"/>
        <v>7731.0908632898199</v>
      </c>
      <c r="BG625" s="535">
        <f t="shared" si="828"/>
        <v>7731.0908632898199</v>
      </c>
      <c r="BH625" s="535">
        <f t="shared" si="828"/>
        <v>7731.0908632898199</v>
      </c>
      <c r="BI625" s="535">
        <f t="shared" si="828"/>
        <v>7731.0908632898199</v>
      </c>
      <c r="BJ625" s="535">
        <f t="shared" si="828"/>
        <v>7731.0908632898199</v>
      </c>
      <c r="BK625" s="535">
        <f t="shared" si="828"/>
        <v>7731.0908632898199</v>
      </c>
      <c r="BL625" s="535">
        <f t="shared" si="828"/>
        <v>7731.0908632898199</v>
      </c>
      <c r="BM625" s="535">
        <f t="shared" si="828"/>
        <v>7731.0908632898199</v>
      </c>
      <c r="BN625" s="535">
        <f t="shared" si="828"/>
        <v>8004.9430453047398</v>
      </c>
      <c r="BO625" s="535">
        <f t="shared" si="828"/>
        <v>8004.9430453047398</v>
      </c>
      <c r="BP625" s="535">
        <f t="shared" si="828"/>
        <v>8004.9430453047398</v>
      </c>
      <c r="BQ625" s="535">
        <f t="shared" si="828"/>
        <v>8004.9430453047398</v>
      </c>
      <c r="BR625" s="535">
        <f t="shared" si="828"/>
        <v>8004.9430453047398</v>
      </c>
      <c r="BS625" s="535">
        <f t="shared" si="828"/>
        <v>8004.9430453047398</v>
      </c>
      <c r="BT625" s="535">
        <f t="shared" si="828"/>
        <v>8004.9430453047398</v>
      </c>
      <c r="BU625" s="535">
        <f t="shared" si="828"/>
        <v>8004.9430453047398</v>
      </c>
      <c r="BV625" s="535">
        <f t="shared" si="828"/>
        <v>8004.9430453047398</v>
      </c>
      <c r="BW625" s="535">
        <f t="shared" si="828"/>
        <v>8004.9430453047398</v>
      </c>
      <c r="BX625" s="535">
        <f t="shared" si="828"/>
        <v>8004.9430453047398</v>
      </c>
      <c r="BY625" s="535">
        <f t="shared" si="828"/>
        <v>8004.9430453047398</v>
      </c>
    </row>
    <row r="626" spans="1:77" x14ac:dyDescent="0.3">
      <c r="A626" s="551"/>
      <c r="B626" s="647"/>
      <c r="C626" s="668"/>
      <c r="D626" s="537"/>
      <c r="E626" s="2" t="s">
        <v>407</v>
      </c>
      <c r="F626" s="567"/>
      <c r="G626" s="567"/>
      <c r="H626" s="537"/>
      <c r="I626" s="531">
        <f t="shared" ref="I626:N626" si="829">I625/I615</f>
        <v>0.82267032390984052</v>
      </c>
      <c r="J626" s="531">
        <f t="shared" si="829"/>
        <v>0.81588459014047954</v>
      </c>
      <c r="K626" s="531">
        <f t="shared" si="829"/>
        <v>0.81878657300036184</v>
      </c>
      <c r="L626" s="531">
        <f t="shared" si="829"/>
        <v>0.82148580124193971</v>
      </c>
      <c r="M626" s="531">
        <f t="shared" si="829"/>
        <v>0.8237609404800218</v>
      </c>
      <c r="N626" s="531">
        <f t="shared" si="829"/>
        <v>0.82581537280898598</v>
      </c>
      <c r="O626" s="536"/>
      <c r="P626" s="564">
        <f>IFERROR(((N626/I626)^(1/5))-1,0)</f>
        <v>7.6342866189493819E-4</v>
      </c>
      <c r="Q626" s="537"/>
      <c r="R626" s="531">
        <f t="shared" ref="R626:AW626" si="830">R625/R615</f>
        <v>0.81588459014047943</v>
      </c>
      <c r="S626" s="531">
        <f t="shared" si="830"/>
        <v>0.81588459014047943</v>
      </c>
      <c r="T626" s="531">
        <f t="shared" si="830"/>
        <v>0.81588459014047943</v>
      </c>
      <c r="U626" s="531">
        <f t="shared" si="830"/>
        <v>0.81588459014047943</v>
      </c>
      <c r="V626" s="531">
        <f t="shared" si="830"/>
        <v>0.81588459014047943</v>
      </c>
      <c r="W626" s="531">
        <f t="shared" si="830"/>
        <v>0.81588459014047943</v>
      </c>
      <c r="X626" s="531">
        <f t="shared" si="830"/>
        <v>0.81588459014047943</v>
      </c>
      <c r="Y626" s="531">
        <f t="shared" si="830"/>
        <v>0.81588459014047943</v>
      </c>
      <c r="Z626" s="531">
        <f t="shared" si="830"/>
        <v>0.81588459014047943</v>
      </c>
      <c r="AA626" s="531">
        <f t="shared" si="830"/>
        <v>0.81588459014047943</v>
      </c>
      <c r="AB626" s="531">
        <f t="shared" si="830"/>
        <v>0.81588459014047943</v>
      </c>
      <c r="AC626" s="531">
        <f t="shared" si="830"/>
        <v>0.81588459014047943</v>
      </c>
      <c r="AD626" s="531">
        <f t="shared" si="830"/>
        <v>0.81878657300036184</v>
      </c>
      <c r="AE626" s="531">
        <f t="shared" si="830"/>
        <v>0.81878657300036184</v>
      </c>
      <c r="AF626" s="531">
        <f t="shared" si="830"/>
        <v>0.81878657300036184</v>
      </c>
      <c r="AG626" s="531">
        <f t="shared" si="830"/>
        <v>0.81878657300036184</v>
      </c>
      <c r="AH626" s="531">
        <f t="shared" si="830"/>
        <v>0.81878657300036184</v>
      </c>
      <c r="AI626" s="531">
        <f t="shared" si="830"/>
        <v>0.81878657300036184</v>
      </c>
      <c r="AJ626" s="531">
        <f t="shared" si="830"/>
        <v>0.81878657300036184</v>
      </c>
      <c r="AK626" s="531">
        <f t="shared" si="830"/>
        <v>0.81878657300036184</v>
      </c>
      <c r="AL626" s="531">
        <f t="shared" si="830"/>
        <v>0.81878657300036184</v>
      </c>
      <c r="AM626" s="531">
        <f t="shared" si="830"/>
        <v>0.81878657300036184</v>
      </c>
      <c r="AN626" s="531">
        <f t="shared" si="830"/>
        <v>0.81878657300036184</v>
      </c>
      <c r="AO626" s="531">
        <f t="shared" si="830"/>
        <v>0.81878657300036184</v>
      </c>
      <c r="AP626" s="531">
        <f t="shared" si="830"/>
        <v>0.82148580124193948</v>
      </c>
      <c r="AQ626" s="531">
        <f t="shared" si="830"/>
        <v>0.82148580124193948</v>
      </c>
      <c r="AR626" s="531">
        <f t="shared" si="830"/>
        <v>0.82148580124193948</v>
      </c>
      <c r="AS626" s="531">
        <f t="shared" si="830"/>
        <v>0.82148580124193948</v>
      </c>
      <c r="AT626" s="531">
        <f t="shared" si="830"/>
        <v>0.82148580124193948</v>
      </c>
      <c r="AU626" s="531">
        <f t="shared" si="830"/>
        <v>0.82148580124193948</v>
      </c>
      <c r="AV626" s="531">
        <f t="shared" si="830"/>
        <v>0.82148580124193948</v>
      </c>
      <c r="AW626" s="531">
        <f t="shared" si="830"/>
        <v>0.82148580124193948</v>
      </c>
      <c r="AX626" s="531">
        <f t="shared" ref="AX626:BY626" si="831">AX625/AX615</f>
        <v>0.82148580124193948</v>
      </c>
      <c r="AY626" s="531">
        <f t="shared" si="831"/>
        <v>0.82148580124193948</v>
      </c>
      <c r="AZ626" s="531">
        <f t="shared" si="831"/>
        <v>0.82148580124193948</v>
      </c>
      <c r="BA626" s="531">
        <f t="shared" si="831"/>
        <v>0.82148580124193948</v>
      </c>
      <c r="BB626" s="531">
        <f t="shared" si="831"/>
        <v>0.82376094048002191</v>
      </c>
      <c r="BC626" s="531">
        <f t="shared" si="831"/>
        <v>0.82376094048002191</v>
      </c>
      <c r="BD626" s="531">
        <f t="shared" si="831"/>
        <v>0.82376094048002191</v>
      </c>
      <c r="BE626" s="531">
        <f t="shared" si="831"/>
        <v>0.82376094048002191</v>
      </c>
      <c r="BF626" s="531">
        <f t="shared" si="831"/>
        <v>0.82376094048002191</v>
      </c>
      <c r="BG626" s="531">
        <f t="shared" si="831"/>
        <v>0.82376094048002191</v>
      </c>
      <c r="BH626" s="531">
        <f t="shared" si="831"/>
        <v>0.82376094048002191</v>
      </c>
      <c r="BI626" s="531">
        <f t="shared" si="831"/>
        <v>0.82376094048002191</v>
      </c>
      <c r="BJ626" s="531">
        <f t="shared" si="831"/>
        <v>0.82376094048002191</v>
      </c>
      <c r="BK626" s="531">
        <f t="shared" si="831"/>
        <v>0.82376094048002191</v>
      </c>
      <c r="BL626" s="531">
        <f t="shared" si="831"/>
        <v>0.82376094048002191</v>
      </c>
      <c r="BM626" s="531">
        <f t="shared" si="831"/>
        <v>0.82376094048002191</v>
      </c>
      <c r="BN626" s="531">
        <f t="shared" si="831"/>
        <v>0.82581537280898598</v>
      </c>
      <c r="BO626" s="531">
        <f t="shared" si="831"/>
        <v>0.82581537280898598</v>
      </c>
      <c r="BP626" s="531">
        <f t="shared" si="831"/>
        <v>0.82581537280898598</v>
      </c>
      <c r="BQ626" s="531">
        <f t="shared" si="831"/>
        <v>0.82581537280898598</v>
      </c>
      <c r="BR626" s="531">
        <f t="shared" si="831"/>
        <v>0.82581537280898598</v>
      </c>
      <c r="BS626" s="531">
        <f t="shared" si="831"/>
        <v>0.82581537280898598</v>
      </c>
      <c r="BT626" s="531">
        <f t="shared" si="831"/>
        <v>0.82581537280898598</v>
      </c>
      <c r="BU626" s="531">
        <f t="shared" si="831"/>
        <v>0.82581537280898598</v>
      </c>
      <c r="BV626" s="531">
        <f t="shared" si="831"/>
        <v>0.82581537280898598</v>
      </c>
      <c r="BW626" s="531">
        <f t="shared" si="831"/>
        <v>0.82581537280898598</v>
      </c>
      <c r="BX626" s="531">
        <f t="shared" si="831"/>
        <v>0.82581537280898598</v>
      </c>
      <c r="BY626" s="531">
        <f t="shared" si="831"/>
        <v>0.82581537280898598</v>
      </c>
    </row>
    <row r="627" spans="1:77" x14ac:dyDescent="0.3">
      <c r="A627" s="551"/>
      <c r="B627" s="647"/>
      <c r="C627" s="668"/>
      <c r="D627" s="537"/>
      <c r="E627" s="525"/>
      <c r="F627" s="567"/>
      <c r="G627" s="567"/>
      <c r="H627" s="537"/>
      <c r="I627" s="544"/>
      <c r="J627" s="544"/>
      <c r="K627" s="544"/>
      <c r="L627" s="544"/>
      <c r="M627" s="544"/>
      <c r="N627" s="544"/>
      <c r="O627" s="529"/>
      <c r="P627" s="564"/>
      <c r="Q627" s="537"/>
      <c r="R627" s="544"/>
      <c r="S627" s="544"/>
      <c r="T627" s="544"/>
      <c r="U627" s="544"/>
      <c r="V627" s="544"/>
      <c r="W627" s="544"/>
      <c r="X627" s="544"/>
      <c r="Y627" s="544"/>
      <c r="Z627" s="544"/>
      <c r="AA627" s="544"/>
      <c r="AB627" s="544"/>
      <c r="AC627" s="544"/>
      <c r="AD627" s="544"/>
      <c r="AE627" s="544"/>
      <c r="AF627" s="544"/>
      <c r="AG627" s="544"/>
      <c r="AH627" s="544"/>
      <c r="AI627" s="544"/>
      <c r="AJ627" s="544"/>
      <c r="AK627" s="544"/>
      <c r="AL627" s="544"/>
      <c r="AM627" s="544"/>
      <c r="AN627" s="544"/>
      <c r="AO627" s="544"/>
      <c r="AP627" s="544"/>
      <c r="AQ627" s="544"/>
      <c r="AR627" s="544"/>
      <c r="AS627" s="544"/>
      <c r="AT627" s="544"/>
      <c r="AU627" s="544"/>
      <c r="AV627" s="544"/>
      <c r="AW627" s="544"/>
      <c r="AX627" s="544"/>
      <c r="AY627" s="544"/>
      <c r="AZ627" s="544"/>
      <c r="BA627" s="544"/>
      <c r="BB627" s="544"/>
      <c r="BC627" s="544"/>
      <c r="BD627" s="544"/>
      <c r="BE627" s="544"/>
      <c r="BF627" s="544"/>
      <c r="BG627" s="544"/>
      <c r="BH627" s="544"/>
      <c r="BI627" s="544"/>
      <c r="BJ627" s="544"/>
      <c r="BK627" s="544"/>
      <c r="BL627" s="544"/>
      <c r="BM627" s="544"/>
      <c r="BN627" s="544"/>
      <c r="BO627" s="544"/>
      <c r="BP627" s="544"/>
      <c r="BQ627" s="544"/>
      <c r="BR627" s="544"/>
      <c r="BS627" s="544"/>
      <c r="BT627" s="544"/>
      <c r="BU627" s="544"/>
      <c r="BV627" s="544"/>
      <c r="BW627" s="544"/>
      <c r="BX627" s="544"/>
      <c r="BY627" s="544"/>
    </row>
    <row r="628" spans="1:77" x14ac:dyDescent="0.3">
      <c r="A628" s="551"/>
      <c r="B628" s="647"/>
      <c r="C628" s="668"/>
      <c r="D628" s="537"/>
      <c r="E628" s="525" t="s">
        <v>70</v>
      </c>
      <c r="F628" s="567"/>
      <c r="G628" s="567"/>
      <c r="H628" s="537"/>
      <c r="I628" s="580">
        <v>0</v>
      </c>
      <c r="J628" s="528">
        <v>0</v>
      </c>
      <c r="K628" s="528">
        <v>0</v>
      </c>
      <c r="L628" s="528">
        <v>0</v>
      </c>
      <c r="M628" s="528">
        <v>0</v>
      </c>
      <c r="N628" s="528">
        <v>0</v>
      </c>
      <c r="O628" s="529"/>
      <c r="P628" s="564">
        <f>IFERROR(((N628/I628)^(1/5))-1,0)</f>
        <v>0</v>
      </c>
      <c r="Q628" s="537"/>
      <c r="R628" s="528">
        <v>0</v>
      </c>
      <c r="S628" s="528">
        <v>0</v>
      </c>
      <c r="T628" s="528">
        <v>0</v>
      </c>
      <c r="U628" s="528">
        <v>0</v>
      </c>
      <c r="V628" s="528">
        <v>0</v>
      </c>
      <c r="W628" s="528">
        <v>0</v>
      </c>
      <c r="X628" s="528">
        <v>0</v>
      </c>
      <c r="Y628" s="528">
        <v>0</v>
      </c>
      <c r="Z628" s="528">
        <v>0</v>
      </c>
      <c r="AA628" s="528">
        <v>0</v>
      </c>
      <c r="AB628" s="528">
        <v>0</v>
      </c>
      <c r="AC628" s="528">
        <v>0</v>
      </c>
      <c r="AD628" s="528">
        <v>0</v>
      </c>
      <c r="AE628" s="528">
        <v>0</v>
      </c>
      <c r="AF628" s="528">
        <v>0</v>
      </c>
      <c r="AG628" s="528">
        <v>0</v>
      </c>
      <c r="AH628" s="528">
        <v>0</v>
      </c>
      <c r="AI628" s="528">
        <v>0</v>
      </c>
      <c r="AJ628" s="528">
        <v>0</v>
      </c>
      <c r="AK628" s="528">
        <v>0</v>
      </c>
      <c r="AL628" s="528">
        <v>0</v>
      </c>
      <c r="AM628" s="528">
        <v>0</v>
      </c>
      <c r="AN628" s="528">
        <v>0</v>
      </c>
      <c r="AO628" s="528">
        <v>0</v>
      </c>
      <c r="AP628" s="528">
        <v>0</v>
      </c>
      <c r="AQ628" s="528">
        <v>0</v>
      </c>
      <c r="AR628" s="528">
        <v>0</v>
      </c>
      <c r="AS628" s="528">
        <v>0</v>
      </c>
      <c r="AT628" s="528">
        <v>0</v>
      </c>
      <c r="AU628" s="528">
        <v>0</v>
      </c>
      <c r="AV628" s="528">
        <v>0</v>
      </c>
      <c r="AW628" s="528">
        <v>0</v>
      </c>
      <c r="AX628" s="528">
        <v>0</v>
      </c>
      <c r="AY628" s="528">
        <v>0</v>
      </c>
      <c r="AZ628" s="528">
        <v>0</v>
      </c>
      <c r="BA628" s="528">
        <v>0</v>
      </c>
      <c r="BB628" s="528">
        <v>0</v>
      </c>
      <c r="BC628" s="528">
        <v>0</v>
      </c>
      <c r="BD628" s="528">
        <v>0</v>
      </c>
      <c r="BE628" s="528">
        <v>0</v>
      </c>
      <c r="BF628" s="528">
        <v>0</v>
      </c>
      <c r="BG628" s="528">
        <v>0</v>
      </c>
      <c r="BH628" s="528">
        <v>0</v>
      </c>
      <c r="BI628" s="528">
        <v>0</v>
      </c>
      <c r="BJ628" s="528">
        <v>0</v>
      </c>
      <c r="BK628" s="528">
        <v>0</v>
      </c>
      <c r="BL628" s="528">
        <v>0</v>
      </c>
      <c r="BM628" s="528">
        <v>0</v>
      </c>
      <c r="BN628" s="528">
        <v>0</v>
      </c>
      <c r="BO628" s="528">
        <v>0</v>
      </c>
      <c r="BP628" s="528">
        <v>0</v>
      </c>
      <c r="BQ628" s="528">
        <v>0</v>
      </c>
      <c r="BR628" s="528">
        <v>0</v>
      </c>
      <c r="BS628" s="528">
        <v>0</v>
      </c>
      <c r="BT628" s="528">
        <v>0</v>
      </c>
      <c r="BU628" s="528">
        <v>0</v>
      </c>
      <c r="BV628" s="528">
        <v>0</v>
      </c>
      <c r="BW628" s="528">
        <v>0</v>
      </c>
      <c r="BX628" s="528">
        <v>0</v>
      </c>
      <c r="BY628" s="528">
        <v>0</v>
      </c>
    </row>
    <row r="629" spans="1:77" x14ac:dyDescent="0.3">
      <c r="A629" s="551"/>
      <c r="B629" s="647"/>
      <c r="C629" s="668"/>
      <c r="D629" s="537"/>
      <c r="E629" s="525" t="s">
        <v>185</v>
      </c>
      <c r="F629" s="567"/>
      <c r="G629" s="567"/>
      <c r="H629" s="537"/>
      <c r="I629" s="580">
        <v>0</v>
      </c>
      <c r="J629" s="528">
        <v>0</v>
      </c>
      <c r="K629" s="528">
        <v>0</v>
      </c>
      <c r="L629" s="528">
        <v>0</v>
      </c>
      <c r="M629" s="528">
        <v>0</v>
      </c>
      <c r="N629" s="528">
        <v>0</v>
      </c>
      <c r="O629" s="544"/>
      <c r="P629" s="564">
        <f t="shared" si="823"/>
        <v>0</v>
      </c>
      <c r="Q629" s="537"/>
      <c r="R629" s="528">
        <v>0</v>
      </c>
      <c r="S629" s="528">
        <v>0</v>
      </c>
      <c r="T629" s="528">
        <v>0</v>
      </c>
      <c r="U629" s="528">
        <v>0</v>
      </c>
      <c r="V629" s="528">
        <v>0</v>
      </c>
      <c r="W629" s="528">
        <v>0</v>
      </c>
      <c r="X629" s="528">
        <v>0</v>
      </c>
      <c r="Y629" s="528">
        <v>0</v>
      </c>
      <c r="Z629" s="528">
        <v>0</v>
      </c>
      <c r="AA629" s="528">
        <v>0</v>
      </c>
      <c r="AB629" s="528">
        <v>0</v>
      </c>
      <c r="AC629" s="528">
        <v>0</v>
      </c>
      <c r="AD629" s="528">
        <v>0</v>
      </c>
      <c r="AE629" s="528">
        <v>0</v>
      </c>
      <c r="AF629" s="528">
        <v>0</v>
      </c>
      <c r="AG629" s="528">
        <v>0</v>
      </c>
      <c r="AH629" s="528">
        <v>0</v>
      </c>
      <c r="AI629" s="528">
        <v>0</v>
      </c>
      <c r="AJ629" s="528">
        <v>0</v>
      </c>
      <c r="AK629" s="528">
        <v>0</v>
      </c>
      <c r="AL629" s="528">
        <v>0</v>
      </c>
      <c r="AM629" s="528">
        <v>0</v>
      </c>
      <c r="AN629" s="528">
        <v>0</v>
      </c>
      <c r="AO629" s="528">
        <v>0</v>
      </c>
      <c r="AP629" s="528">
        <v>0</v>
      </c>
      <c r="AQ629" s="528">
        <v>0</v>
      </c>
      <c r="AR629" s="528">
        <v>0</v>
      </c>
      <c r="AS629" s="528">
        <v>0</v>
      </c>
      <c r="AT629" s="528">
        <v>0</v>
      </c>
      <c r="AU629" s="528">
        <v>0</v>
      </c>
      <c r="AV629" s="528">
        <v>0</v>
      </c>
      <c r="AW629" s="528">
        <v>0</v>
      </c>
      <c r="AX629" s="528">
        <v>0</v>
      </c>
      <c r="AY629" s="528">
        <v>0</v>
      </c>
      <c r="AZ629" s="528">
        <v>0</v>
      </c>
      <c r="BA629" s="528">
        <v>0</v>
      </c>
      <c r="BB629" s="528">
        <v>0</v>
      </c>
      <c r="BC629" s="528">
        <v>0</v>
      </c>
      <c r="BD629" s="528">
        <v>0</v>
      </c>
      <c r="BE629" s="528">
        <v>0</v>
      </c>
      <c r="BF629" s="528">
        <v>0</v>
      </c>
      <c r="BG629" s="528">
        <v>0</v>
      </c>
      <c r="BH629" s="528">
        <v>0</v>
      </c>
      <c r="BI629" s="528">
        <v>0</v>
      </c>
      <c r="BJ629" s="528">
        <v>0</v>
      </c>
      <c r="BK629" s="528">
        <v>0</v>
      </c>
      <c r="BL629" s="528">
        <v>0</v>
      </c>
      <c r="BM629" s="528">
        <v>0</v>
      </c>
      <c r="BN629" s="528">
        <v>0</v>
      </c>
      <c r="BO629" s="528">
        <v>0</v>
      </c>
      <c r="BP629" s="528">
        <v>0</v>
      </c>
      <c r="BQ629" s="528">
        <v>0</v>
      </c>
      <c r="BR629" s="528">
        <v>0</v>
      </c>
      <c r="BS629" s="528">
        <v>0</v>
      </c>
      <c r="BT629" s="528">
        <v>0</v>
      </c>
      <c r="BU629" s="528">
        <v>0</v>
      </c>
      <c r="BV629" s="528">
        <v>0</v>
      </c>
      <c r="BW629" s="528">
        <v>0</v>
      </c>
      <c r="BX629" s="528">
        <v>0</v>
      </c>
      <c r="BY629" s="528">
        <v>0</v>
      </c>
    </row>
    <row r="630" spans="1:77" x14ac:dyDescent="0.3">
      <c r="A630" s="551"/>
      <c r="B630" s="647"/>
      <c r="C630" s="668"/>
      <c r="D630" s="537"/>
      <c r="E630" s="525" t="s">
        <v>370</v>
      </c>
      <c r="F630" s="567"/>
      <c r="G630" s="567"/>
      <c r="H630" s="537"/>
      <c r="I630" s="580">
        <v>0</v>
      </c>
      <c r="J630" s="528">
        <v>0</v>
      </c>
      <c r="K630" s="528">
        <v>0</v>
      </c>
      <c r="L630" s="528">
        <v>0</v>
      </c>
      <c r="M630" s="528">
        <v>0</v>
      </c>
      <c r="N630" s="528">
        <v>0</v>
      </c>
      <c r="O630" s="544"/>
      <c r="P630" s="564">
        <f>IFERROR(((N630/I630)^(1/5))-1,0)</f>
        <v>0</v>
      </c>
      <c r="Q630" s="537"/>
      <c r="R630" s="528">
        <v>0</v>
      </c>
      <c r="S630" s="528">
        <v>0</v>
      </c>
      <c r="T630" s="528">
        <v>0</v>
      </c>
      <c r="U630" s="528">
        <v>0</v>
      </c>
      <c r="V630" s="528">
        <v>0</v>
      </c>
      <c r="W630" s="528">
        <v>0</v>
      </c>
      <c r="X630" s="528">
        <v>0</v>
      </c>
      <c r="Y630" s="528">
        <v>0</v>
      </c>
      <c r="Z630" s="528">
        <v>0</v>
      </c>
      <c r="AA630" s="528">
        <v>0</v>
      </c>
      <c r="AB630" s="528">
        <v>0</v>
      </c>
      <c r="AC630" s="528">
        <v>0</v>
      </c>
      <c r="AD630" s="528">
        <v>0</v>
      </c>
      <c r="AE630" s="528">
        <v>0</v>
      </c>
      <c r="AF630" s="528">
        <v>0</v>
      </c>
      <c r="AG630" s="528">
        <v>0</v>
      </c>
      <c r="AH630" s="528">
        <v>0</v>
      </c>
      <c r="AI630" s="528">
        <v>0</v>
      </c>
      <c r="AJ630" s="528">
        <v>0</v>
      </c>
      <c r="AK630" s="528">
        <v>0</v>
      </c>
      <c r="AL630" s="528">
        <v>0</v>
      </c>
      <c r="AM630" s="528">
        <v>0</v>
      </c>
      <c r="AN630" s="528">
        <v>0</v>
      </c>
      <c r="AO630" s="528">
        <v>0</v>
      </c>
      <c r="AP630" s="528">
        <v>0</v>
      </c>
      <c r="AQ630" s="528">
        <v>0</v>
      </c>
      <c r="AR630" s="528">
        <v>0</v>
      </c>
      <c r="AS630" s="528">
        <v>0</v>
      </c>
      <c r="AT630" s="528">
        <v>0</v>
      </c>
      <c r="AU630" s="528">
        <v>0</v>
      </c>
      <c r="AV630" s="528">
        <v>0</v>
      </c>
      <c r="AW630" s="528">
        <v>0</v>
      </c>
      <c r="AX630" s="528">
        <v>0</v>
      </c>
      <c r="AY630" s="528">
        <v>0</v>
      </c>
      <c r="AZ630" s="528">
        <v>0</v>
      </c>
      <c r="BA630" s="528">
        <v>0</v>
      </c>
      <c r="BB630" s="528">
        <v>0</v>
      </c>
      <c r="BC630" s="528">
        <v>0</v>
      </c>
      <c r="BD630" s="528">
        <v>0</v>
      </c>
      <c r="BE630" s="528">
        <v>0</v>
      </c>
      <c r="BF630" s="528">
        <v>0</v>
      </c>
      <c r="BG630" s="528">
        <v>0</v>
      </c>
      <c r="BH630" s="528">
        <v>0</v>
      </c>
      <c r="BI630" s="528">
        <v>0</v>
      </c>
      <c r="BJ630" s="528">
        <v>0</v>
      </c>
      <c r="BK630" s="528">
        <v>0</v>
      </c>
      <c r="BL630" s="528">
        <v>0</v>
      </c>
      <c r="BM630" s="528">
        <v>0</v>
      </c>
      <c r="BN630" s="528">
        <v>0</v>
      </c>
      <c r="BO630" s="528">
        <v>0</v>
      </c>
      <c r="BP630" s="528">
        <v>0</v>
      </c>
      <c r="BQ630" s="528">
        <v>0</v>
      </c>
      <c r="BR630" s="528">
        <v>0</v>
      </c>
      <c r="BS630" s="528">
        <v>0</v>
      </c>
      <c r="BT630" s="528">
        <v>0</v>
      </c>
      <c r="BU630" s="528">
        <v>0</v>
      </c>
      <c r="BV630" s="528">
        <v>0</v>
      </c>
      <c r="BW630" s="528">
        <v>0</v>
      </c>
      <c r="BX630" s="528">
        <v>0</v>
      </c>
      <c r="BY630" s="528">
        <v>0</v>
      </c>
    </row>
    <row r="631" spans="1:77" x14ac:dyDescent="0.3">
      <c r="A631" s="551"/>
      <c r="B631" s="647"/>
      <c r="C631" s="668"/>
      <c r="D631" s="537"/>
      <c r="E631" s="578" t="s">
        <v>71</v>
      </c>
      <c r="F631" s="579"/>
      <c r="G631" s="579"/>
      <c r="H631" s="537"/>
      <c r="I631" s="535">
        <f t="shared" ref="I631:N631" si="832">I567/I$571</f>
        <v>79115.250384807092</v>
      </c>
      <c r="J631" s="535">
        <f t="shared" si="832"/>
        <v>82375.535119782231</v>
      </c>
      <c r="K631" s="535">
        <f t="shared" si="832"/>
        <v>85933.459652959908</v>
      </c>
      <c r="L631" s="535">
        <f t="shared" si="832"/>
        <v>89459.183423671348</v>
      </c>
      <c r="M631" s="535">
        <f t="shared" si="832"/>
        <v>92773.090359477821</v>
      </c>
      <c r="N631" s="535">
        <f t="shared" si="832"/>
        <v>96059.316543656867</v>
      </c>
      <c r="O631" s="544"/>
      <c r="P631" s="568">
        <f t="shared" si="823"/>
        <v>3.9575072231224695E-2</v>
      </c>
      <c r="Q631" s="537"/>
      <c r="R631" s="535">
        <f t="shared" ref="R631:BY631" si="833">R567/R$571</f>
        <v>6864.6279266485199</v>
      </c>
      <c r="S631" s="535">
        <f t="shared" si="833"/>
        <v>6864.6279266485199</v>
      </c>
      <c r="T631" s="535">
        <f t="shared" si="833"/>
        <v>6864.6279266485199</v>
      </c>
      <c r="U631" s="535">
        <f t="shared" si="833"/>
        <v>6864.6279266485199</v>
      </c>
      <c r="V631" s="535">
        <f t="shared" si="833"/>
        <v>6864.6279266485199</v>
      </c>
      <c r="W631" s="535">
        <f t="shared" si="833"/>
        <v>6864.6279266485199</v>
      </c>
      <c r="X631" s="535">
        <f t="shared" si="833"/>
        <v>6864.6279266485199</v>
      </c>
      <c r="Y631" s="535">
        <f t="shared" si="833"/>
        <v>6864.6279266485199</v>
      </c>
      <c r="Z631" s="535">
        <f t="shared" si="833"/>
        <v>6864.6279266485199</v>
      </c>
      <c r="AA631" s="535">
        <f t="shared" si="833"/>
        <v>6864.6279266485199</v>
      </c>
      <c r="AB631" s="535">
        <f t="shared" si="833"/>
        <v>6864.6279266485199</v>
      </c>
      <c r="AC631" s="535">
        <f t="shared" si="833"/>
        <v>6864.6279266485199</v>
      </c>
      <c r="AD631" s="535">
        <f t="shared" si="833"/>
        <v>7161.1216377466626</v>
      </c>
      <c r="AE631" s="535">
        <f t="shared" si="833"/>
        <v>7161.1216377466626</v>
      </c>
      <c r="AF631" s="535">
        <f t="shared" si="833"/>
        <v>7161.1216377466626</v>
      </c>
      <c r="AG631" s="535">
        <f t="shared" si="833"/>
        <v>7161.1216377466626</v>
      </c>
      <c r="AH631" s="535">
        <f t="shared" si="833"/>
        <v>7161.1216377466626</v>
      </c>
      <c r="AI631" s="535">
        <f t="shared" si="833"/>
        <v>7161.1216377466626</v>
      </c>
      <c r="AJ631" s="535">
        <f t="shared" si="833"/>
        <v>7161.1216377466626</v>
      </c>
      <c r="AK631" s="535">
        <f t="shared" si="833"/>
        <v>7161.1216377466626</v>
      </c>
      <c r="AL631" s="535">
        <f t="shared" si="833"/>
        <v>7161.1216377466626</v>
      </c>
      <c r="AM631" s="535">
        <f t="shared" si="833"/>
        <v>7161.1216377466626</v>
      </c>
      <c r="AN631" s="535">
        <f t="shared" si="833"/>
        <v>7161.1216377466626</v>
      </c>
      <c r="AO631" s="535">
        <f t="shared" si="833"/>
        <v>7161.1216377466626</v>
      </c>
      <c r="AP631" s="535">
        <f t="shared" si="833"/>
        <v>7454.9319519726114</v>
      </c>
      <c r="AQ631" s="535">
        <f t="shared" si="833"/>
        <v>7454.9319519726114</v>
      </c>
      <c r="AR631" s="535">
        <f t="shared" si="833"/>
        <v>7454.9319519726114</v>
      </c>
      <c r="AS631" s="535">
        <f t="shared" si="833"/>
        <v>7454.9319519726114</v>
      </c>
      <c r="AT631" s="535">
        <f t="shared" si="833"/>
        <v>7454.9319519726114</v>
      </c>
      <c r="AU631" s="535">
        <f t="shared" si="833"/>
        <v>7454.9319519726114</v>
      </c>
      <c r="AV631" s="535">
        <f t="shared" si="833"/>
        <v>7454.9319519726114</v>
      </c>
      <c r="AW631" s="535">
        <f t="shared" si="833"/>
        <v>7454.9319519726114</v>
      </c>
      <c r="AX631" s="535">
        <f t="shared" si="833"/>
        <v>7454.9319519726114</v>
      </c>
      <c r="AY631" s="535">
        <f t="shared" si="833"/>
        <v>7454.9319519726114</v>
      </c>
      <c r="AZ631" s="535">
        <f t="shared" si="833"/>
        <v>7454.9319519726114</v>
      </c>
      <c r="BA631" s="535">
        <f t="shared" si="833"/>
        <v>7454.9319519726114</v>
      </c>
      <c r="BB631" s="535">
        <f t="shared" si="833"/>
        <v>7731.0908632898199</v>
      </c>
      <c r="BC631" s="535">
        <f t="shared" si="833"/>
        <v>7731.0908632898199</v>
      </c>
      <c r="BD631" s="535">
        <f t="shared" si="833"/>
        <v>7731.0908632898199</v>
      </c>
      <c r="BE631" s="535">
        <f t="shared" si="833"/>
        <v>7731.0908632898199</v>
      </c>
      <c r="BF631" s="535">
        <f t="shared" si="833"/>
        <v>7731.0908632898199</v>
      </c>
      <c r="BG631" s="535">
        <f t="shared" si="833"/>
        <v>7731.0908632898199</v>
      </c>
      <c r="BH631" s="535">
        <f t="shared" si="833"/>
        <v>7731.0908632898199</v>
      </c>
      <c r="BI631" s="535">
        <f t="shared" si="833"/>
        <v>7731.0908632898199</v>
      </c>
      <c r="BJ631" s="535">
        <f t="shared" si="833"/>
        <v>7731.0908632898199</v>
      </c>
      <c r="BK631" s="535">
        <f t="shared" si="833"/>
        <v>7731.0908632898199</v>
      </c>
      <c r="BL631" s="535">
        <f t="shared" si="833"/>
        <v>7731.0908632898199</v>
      </c>
      <c r="BM631" s="535">
        <f t="shared" si="833"/>
        <v>7731.0908632898199</v>
      </c>
      <c r="BN631" s="535">
        <f t="shared" si="833"/>
        <v>8004.9430453047398</v>
      </c>
      <c r="BO631" s="535">
        <f t="shared" si="833"/>
        <v>8004.9430453047398</v>
      </c>
      <c r="BP631" s="535">
        <f t="shared" si="833"/>
        <v>8004.9430453047398</v>
      </c>
      <c r="BQ631" s="535">
        <f t="shared" si="833"/>
        <v>8004.9430453047398</v>
      </c>
      <c r="BR631" s="535">
        <f t="shared" si="833"/>
        <v>8004.9430453047398</v>
      </c>
      <c r="BS631" s="535">
        <f t="shared" si="833"/>
        <v>8004.9430453047398</v>
      </c>
      <c r="BT631" s="535">
        <f t="shared" si="833"/>
        <v>8004.9430453047398</v>
      </c>
      <c r="BU631" s="535">
        <f t="shared" si="833"/>
        <v>8004.9430453047398</v>
      </c>
      <c r="BV631" s="535">
        <f t="shared" si="833"/>
        <v>8004.9430453047398</v>
      </c>
      <c r="BW631" s="535">
        <f t="shared" si="833"/>
        <v>8004.9430453047398</v>
      </c>
      <c r="BX631" s="535">
        <f t="shared" si="833"/>
        <v>8004.9430453047398</v>
      </c>
      <c r="BY631" s="535">
        <f t="shared" si="833"/>
        <v>8004.9430453047398</v>
      </c>
    </row>
    <row r="632" spans="1:77" x14ac:dyDescent="0.3">
      <c r="A632" s="551"/>
      <c r="B632" s="647"/>
      <c r="C632" s="668"/>
      <c r="D632" s="537"/>
      <c r="E632" s="537"/>
      <c r="F632" s="537"/>
      <c r="G632" s="537"/>
      <c r="H632" s="537"/>
      <c r="I632" s="537"/>
      <c r="J632" s="537"/>
      <c r="K632" s="537"/>
      <c r="L632" s="537"/>
      <c r="M632" s="537"/>
      <c r="N632" s="537"/>
      <c r="O632" s="537"/>
      <c r="P632" s="547"/>
      <c r="Q632" s="537"/>
      <c r="R632" s="537"/>
      <c r="S632" s="537"/>
      <c r="T632" s="537"/>
      <c r="U632" s="537"/>
      <c r="V632" s="537"/>
      <c r="W632" s="537"/>
      <c r="X632" s="537"/>
      <c r="Y632" s="537"/>
      <c r="Z632" s="537"/>
      <c r="AA632" s="537"/>
      <c r="AB632" s="537"/>
      <c r="AC632" s="537"/>
      <c r="AD632" s="537"/>
      <c r="AE632" s="537"/>
      <c r="AF632" s="537"/>
      <c r="AG632" s="537"/>
      <c r="AH632" s="537"/>
      <c r="AI632" s="537"/>
      <c r="AJ632" s="537"/>
      <c r="AK632" s="537"/>
      <c r="AL632" s="537"/>
      <c r="AM632" s="537"/>
      <c r="AN632" s="537"/>
      <c r="AO632" s="537"/>
      <c r="AP632" s="537"/>
      <c r="AQ632" s="537"/>
      <c r="AR632" s="537"/>
      <c r="AS632" s="537"/>
      <c r="AT632" s="537"/>
      <c r="AU632" s="537"/>
      <c r="AV632" s="537"/>
      <c r="AW632" s="537"/>
      <c r="AX632" s="537"/>
      <c r="AY632" s="537"/>
      <c r="AZ632" s="537"/>
      <c r="BA632" s="537"/>
      <c r="BB632" s="537"/>
      <c r="BC632" s="537"/>
      <c r="BD632" s="537"/>
      <c r="BE632" s="537"/>
      <c r="BF632" s="537"/>
      <c r="BG632" s="537"/>
      <c r="BH632" s="537"/>
      <c r="BI632" s="537"/>
      <c r="BJ632" s="537"/>
      <c r="BK632" s="537"/>
      <c r="BL632" s="537"/>
      <c r="BM632" s="537"/>
      <c r="BN632" s="537"/>
      <c r="BO632" s="537"/>
      <c r="BP632" s="537"/>
      <c r="BQ632" s="537"/>
      <c r="BR632" s="537"/>
      <c r="BS632" s="537"/>
      <c r="BT632" s="537"/>
      <c r="BU632" s="537"/>
      <c r="BV632" s="537"/>
      <c r="BW632" s="537"/>
      <c r="BX632" s="537"/>
      <c r="BY632" s="537"/>
    </row>
    <row r="633" spans="1:77" x14ac:dyDescent="0.3">
      <c r="A633" s="551"/>
      <c r="B633" s="647"/>
      <c r="C633" s="668"/>
      <c r="D633" s="537"/>
      <c r="E633" s="537"/>
      <c r="F633" s="537"/>
      <c r="G633" s="537"/>
      <c r="H633" s="537"/>
      <c r="I633" s="546"/>
      <c r="J633" s="546"/>
      <c r="K633" s="546"/>
      <c r="L633" s="546"/>
      <c r="M633" s="546"/>
      <c r="N633" s="546"/>
      <c r="O633" s="546"/>
      <c r="P633" s="669"/>
      <c r="Q633" s="537"/>
      <c r="R633" s="546"/>
      <c r="S633" s="546"/>
      <c r="T633" s="546"/>
      <c r="U633" s="546"/>
      <c r="V633" s="546"/>
      <c r="W633" s="546"/>
      <c r="X633" s="546"/>
      <c r="Y633" s="546"/>
      <c r="Z633" s="546"/>
      <c r="AA633" s="546"/>
      <c r="AB633" s="546"/>
      <c r="AC633" s="546"/>
      <c r="AD633" s="546"/>
      <c r="AE633" s="546"/>
      <c r="AF633" s="546"/>
      <c r="AG633" s="546"/>
      <c r="AH633" s="546"/>
      <c r="AI633" s="546"/>
      <c r="AJ633" s="546"/>
      <c r="AK633" s="546"/>
      <c r="AL633" s="546"/>
      <c r="AM633" s="546"/>
      <c r="AN633" s="546"/>
      <c r="AO633" s="546"/>
      <c r="AP633" s="546"/>
      <c r="AQ633" s="546"/>
      <c r="AR633" s="546"/>
      <c r="AS633" s="546"/>
      <c r="AT633" s="546"/>
      <c r="AU633" s="546"/>
      <c r="AV633" s="546"/>
      <c r="AW633" s="546"/>
      <c r="AX633" s="546"/>
      <c r="AY633" s="546"/>
      <c r="AZ633" s="546"/>
      <c r="BA633" s="546"/>
      <c r="BB633" s="546"/>
      <c r="BC633" s="546"/>
      <c r="BD633" s="546"/>
      <c r="BE633" s="546"/>
      <c r="BF633" s="546"/>
      <c r="BG633" s="546"/>
      <c r="BH633" s="546"/>
      <c r="BI633" s="546"/>
      <c r="BJ633" s="546"/>
      <c r="BK633" s="546"/>
      <c r="BL633" s="546"/>
      <c r="BM633" s="546"/>
      <c r="BN633" s="546"/>
      <c r="BO633" s="546"/>
      <c r="BP633" s="546"/>
      <c r="BQ633" s="546"/>
      <c r="BR633" s="546"/>
      <c r="BS633" s="546"/>
      <c r="BT633" s="546"/>
      <c r="BU633" s="546"/>
      <c r="BV633" s="546"/>
      <c r="BW633" s="546"/>
      <c r="BX633" s="546"/>
      <c r="BY633" s="546"/>
    </row>
    <row r="634" spans="1:77" x14ac:dyDescent="0.3">
      <c r="A634" s="551"/>
      <c r="B634" s="647"/>
      <c r="C634" s="668"/>
      <c r="D634" s="537"/>
      <c r="E634" s="537"/>
      <c r="F634" s="537"/>
      <c r="G634" s="537"/>
      <c r="H634" s="537"/>
      <c r="I634" s="537"/>
      <c r="J634" s="537"/>
      <c r="K634" s="537"/>
      <c r="L634" s="537"/>
      <c r="M634" s="537"/>
      <c r="N634" s="537"/>
      <c r="O634" s="537"/>
      <c r="P634" s="547"/>
      <c r="Q634" s="537"/>
      <c r="R634" s="537"/>
      <c r="S634" s="537"/>
      <c r="T634" s="537"/>
      <c r="U634" s="537"/>
      <c r="V634" s="537"/>
      <c r="W634" s="537"/>
      <c r="X634" s="537"/>
      <c r="Y634" s="537"/>
      <c r="Z634" s="537"/>
      <c r="AA634" s="537"/>
      <c r="AB634" s="537"/>
      <c r="AC634" s="537"/>
      <c r="AD634" s="537"/>
      <c r="AE634" s="537"/>
      <c r="AF634" s="537"/>
      <c r="AG634" s="537"/>
      <c r="AH634" s="537"/>
      <c r="AI634" s="537"/>
      <c r="AJ634" s="537"/>
      <c r="AK634" s="537"/>
      <c r="AL634" s="537"/>
      <c r="AM634" s="537"/>
      <c r="AN634" s="537"/>
      <c r="AO634" s="537"/>
      <c r="AP634" s="537"/>
      <c r="AQ634" s="537"/>
      <c r="AR634" s="537"/>
      <c r="AS634" s="537"/>
      <c r="AT634" s="537"/>
      <c r="AU634" s="537"/>
      <c r="AV634" s="537"/>
      <c r="AW634" s="537"/>
      <c r="AX634" s="537"/>
      <c r="AY634" s="537"/>
      <c r="AZ634" s="537"/>
      <c r="BA634" s="537"/>
      <c r="BB634" s="537"/>
      <c r="BC634" s="537"/>
      <c r="BD634" s="537"/>
      <c r="BE634" s="537"/>
      <c r="BF634" s="537"/>
      <c r="BG634" s="537"/>
      <c r="BH634" s="537"/>
      <c r="BI634" s="537"/>
      <c r="BJ634" s="537"/>
      <c r="BK634" s="537"/>
      <c r="BL634" s="537"/>
      <c r="BM634" s="537"/>
      <c r="BN634" s="537"/>
      <c r="BO634" s="537"/>
      <c r="BP634" s="537"/>
      <c r="BQ634" s="537"/>
      <c r="BR634" s="537"/>
      <c r="BS634" s="537"/>
      <c r="BT634" s="537"/>
      <c r="BU634" s="537"/>
      <c r="BV634" s="537"/>
      <c r="BW634" s="537"/>
      <c r="BX634" s="537"/>
      <c r="BY634" s="537"/>
    </row>
    <row r="635" spans="1:77" x14ac:dyDescent="0.3">
      <c r="A635" s="551"/>
      <c r="B635" s="647"/>
      <c r="C635" s="668"/>
      <c r="D635" s="537"/>
      <c r="E635" s="537"/>
      <c r="F635" s="537"/>
      <c r="G635" s="537"/>
      <c r="H635" s="537"/>
      <c r="I635" s="537"/>
      <c r="J635" s="537"/>
      <c r="K635" s="537"/>
      <c r="L635" s="537"/>
      <c r="M635" s="537"/>
      <c r="N635" s="537"/>
      <c r="O635" s="537"/>
      <c r="P635" s="547"/>
      <c r="Q635" s="537"/>
      <c r="R635" s="537"/>
      <c r="S635" s="537"/>
      <c r="T635" s="537"/>
      <c r="U635" s="537"/>
      <c r="V635" s="537"/>
      <c r="W635" s="537"/>
      <c r="X635" s="537"/>
      <c r="Y635" s="537"/>
      <c r="Z635" s="537"/>
      <c r="AA635" s="537"/>
      <c r="AB635" s="537"/>
      <c r="AC635" s="537"/>
      <c r="AD635" s="537"/>
      <c r="AE635" s="537"/>
      <c r="AF635" s="537"/>
      <c r="AG635" s="537"/>
      <c r="AH635" s="537"/>
      <c r="AI635" s="537"/>
      <c r="AJ635" s="537"/>
      <c r="AK635" s="537"/>
      <c r="AL635" s="537"/>
      <c r="AM635" s="537"/>
      <c r="AN635" s="537"/>
      <c r="AO635" s="537"/>
      <c r="AP635" s="537"/>
      <c r="AQ635" s="537"/>
      <c r="AR635" s="537"/>
      <c r="AS635" s="537"/>
      <c r="AT635" s="537"/>
      <c r="AU635" s="537"/>
      <c r="AV635" s="537"/>
      <c r="AW635" s="537"/>
      <c r="AX635" s="537"/>
      <c r="AY635" s="537"/>
      <c r="AZ635" s="537"/>
      <c r="BA635" s="537"/>
      <c r="BB635" s="537"/>
      <c r="BC635" s="537"/>
      <c r="BD635" s="537"/>
      <c r="BE635" s="537"/>
      <c r="BF635" s="537"/>
      <c r="BG635" s="537"/>
      <c r="BH635" s="537"/>
      <c r="BI635" s="537"/>
      <c r="BJ635" s="537"/>
      <c r="BK635" s="537"/>
      <c r="BL635" s="537"/>
      <c r="BM635" s="537"/>
      <c r="BN635" s="537"/>
      <c r="BO635" s="537"/>
      <c r="BP635" s="537"/>
      <c r="BQ635" s="537"/>
      <c r="BR635" s="537"/>
      <c r="BS635" s="537"/>
      <c r="BT635" s="537"/>
      <c r="BU635" s="537"/>
      <c r="BV635" s="537"/>
      <c r="BW635" s="537"/>
      <c r="BX635" s="537"/>
      <c r="BY635" s="537"/>
    </row>
  </sheetData>
  <pageMargins left="0.7" right="0.7" top="0.75" bottom="0.75" header="0.3" footer="0.3"/>
  <pageSetup paperSize="9" orientation="portrait" horizontalDpi="1200" verticalDpi="1200" r:id="rId1"/>
  <extLst>
    <ext xmlns:x14="http://schemas.microsoft.com/office/spreadsheetml/2009/9/main" uri="{CCE6A557-97BC-4b89-ADB6-D9C93CAAB3DF}">
      <x14:dataValidations xmlns:xm="http://schemas.microsoft.com/office/excel/2006/main" count="1">
        <x14:dataValidation type="list" allowBlank="1" showInputMessage="1" showErrorMessage="1" xr:uid="{20A96BB0-421C-4477-B910-FD070BCEFC96}">
          <x14:formula1>
            <xm:f>Portfolio_Categorisation!$C$12:$C$15</xm:f>
          </x14:formula1>
          <xm:sqref>B2</xm:sqref>
        </x14:dataValidation>
      </x14:dataValidation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E534E2-D4AA-4588-96E6-DEBDCE60503A}">
  <sheetPr codeName="Sheet32"/>
  <dimension ref="A1:DJ632"/>
  <sheetViews>
    <sheetView showGridLines="0" workbookViewId="0">
      <pane xSplit="5" ySplit="4" topLeftCell="F5" activePane="bottomRight" state="frozen"/>
      <selection activeCell="E575" sqref="E575"/>
      <selection pane="topRight" activeCell="E575" sqref="E575"/>
      <selection pane="bottomLeft" activeCell="E575" sqref="E575"/>
      <selection pane="bottomRight" activeCell="F5" sqref="F5"/>
    </sheetView>
  </sheetViews>
  <sheetFormatPr defaultColWidth="0" defaultRowHeight="13.5" x14ac:dyDescent="0.3"/>
  <cols>
    <col min="1" max="1" width="1.6640625" style="7" customWidth="1"/>
    <col min="2" max="2" width="1.6640625" style="1" customWidth="1"/>
    <col min="3" max="3" width="3.33203125" style="7" customWidth="1"/>
    <col min="4" max="4" width="1.6640625" style="3" customWidth="1"/>
    <col min="5" max="5" width="67.6640625" style="3" bestFit="1" customWidth="1"/>
    <col min="6" max="8" width="1.6640625" style="3" customWidth="1"/>
    <col min="9" max="14" width="13.33203125" style="3" customWidth="1"/>
    <col min="15" max="15" width="1.6640625" style="3" customWidth="1"/>
    <col min="16" max="16" width="13.33203125" style="27" customWidth="1"/>
    <col min="17" max="77" width="13.33203125" style="3" customWidth="1"/>
    <col min="78" max="80" width="1.6640625" style="3" customWidth="1"/>
    <col min="81" max="86" width="0" style="3" hidden="1" customWidth="1"/>
    <col min="87" max="90" width="13.33203125" style="3" hidden="1" customWidth="1"/>
    <col min="91" max="91" width="1.6640625" style="3" hidden="1" customWidth="1"/>
    <col min="92" max="114" width="0" style="3" hidden="1" customWidth="1"/>
    <col min="115" max="16384" width="9.33203125" style="3" hidden="1"/>
  </cols>
  <sheetData>
    <row r="1" spans="1:80" s="38" customFormat="1" x14ac:dyDescent="0.3">
      <c r="A1" s="27"/>
      <c r="B1" s="1"/>
      <c r="Q1" s="39"/>
      <c r="BZ1" s="39"/>
      <c r="CA1" s="39"/>
      <c r="CB1" s="39"/>
    </row>
    <row r="2" spans="1:80" x14ac:dyDescent="0.3">
      <c r="A2" s="85"/>
      <c r="B2" s="82"/>
      <c r="C2" s="85"/>
      <c r="E2" s="26"/>
      <c r="R2" s="40" t="str" cm="1">
        <f t="array" ref="R2">INDEX(Index_Tab!$G$4:$K$4,MATCH(1,(R$4&gt;=Index_Tab!$G$5:$K$5)*(R$4&lt;=Index_Tab!$G$17:$K$17),0))</f>
        <v>FY27E</v>
      </c>
      <c r="S2" s="40" t="str" cm="1">
        <f t="array" ref="S2">INDEX(Index_Tab!$G$4:$K$4,MATCH(1,(S$4&gt;=Index_Tab!$G$5:$K$5)*(S$4&lt;=Index_Tab!$G$17:$K$17),0))</f>
        <v>FY27E</v>
      </c>
      <c r="T2" s="40" t="str" cm="1">
        <f t="array" ref="T2">INDEX(Index_Tab!$G$4:$K$4,MATCH(1,(T$4&gt;=Index_Tab!$G$5:$K$5)*(T$4&lt;=Index_Tab!$G$17:$K$17),0))</f>
        <v>FY27E</v>
      </c>
      <c r="U2" s="40" t="str" cm="1">
        <f t="array" ref="U2">INDEX(Index_Tab!$G$4:$K$4,MATCH(1,(U$4&gt;=Index_Tab!$G$5:$K$5)*(U$4&lt;=Index_Tab!$G$17:$K$17),0))</f>
        <v>FY27E</v>
      </c>
      <c r="V2" s="40" t="str" cm="1">
        <f t="array" ref="V2">INDEX(Index_Tab!$G$4:$K$4,MATCH(1,(V$4&gt;=Index_Tab!$G$5:$K$5)*(V$4&lt;=Index_Tab!$G$17:$K$17),0))</f>
        <v>FY27E</v>
      </c>
      <c r="W2" s="40" t="str" cm="1">
        <f t="array" ref="W2">INDEX(Index_Tab!$G$4:$K$4,MATCH(1,(W$4&gt;=Index_Tab!$G$5:$K$5)*(W$4&lt;=Index_Tab!$G$17:$K$17),0))</f>
        <v>FY27E</v>
      </c>
      <c r="X2" s="40" t="str" cm="1">
        <f t="array" ref="X2">INDEX(Index_Tab!$G$4:$K$4,MATCH(1,(X$4&gt;=Index_Tab!$G$5:$K$5)*(X$4&lt;=Index_Tab!$G$17:$K$17),0))</f>
        <v>FY27E</v>
      </c>
      <c r="Y2" s="40" t="str" cm="1">
        <f t="array" ref="Y2">INDEX(Index_Tab!$G$4:$K$4,MATCH(1,(Y$4&gt;=Index_Tab!$G$5:$K$5)*(Y$4&lt;=Index_Tab!$G$17:$K$17),0))</f>
        <v>FY27E</v>
      </c>
      <c r="Z2" s="40" t="str" cm="1">
        <f t="array" ref="Z2">INDEX(Index_Tab!$G$4:$K$4,MATCH(1,(Z$4&gt;=Index_Tab!$G$5:$K$5)*(Z$4&lt;=Index_Tab!$G$17:$K$17),0))</f>
        <v>FY27E</v>
      </c>
      <c r="AA2" s="40" t="str" cm="1">
        <f t="array" ref="AA2">INDEX(Index_Tab!$G$4:$K$4,MATCH(1,(AA$4&gt;=Index_Tab!$G$5:$K$5)*(AA$4&lt;=Index_Tab!$G$17:$K$17),0))</f>
        <v>FY27E</v>
      </c>
      <c r="AB2" s="40" t="str" cm="1">
        <f t="array" ref="AB2">INDEX(Index_Tab!$G$4:$K$4,MATCH(1,(AB$4&gt;=Index_Tab!$G$5:$K$5)*(AB$4&lt;=Index_Tab!$G$17:$K$17),0))</f>
        <v>FY27E</v>
      </c>
      <c r="AC2" s="40" t="str" cm="1">
        <f t="array" ref="AC2">INDEX(Index_Tab!$G$4:$K$4,MATCH(1,(AC$4&gt;=Index_Tab!$G$5:$K$5)*(AC$4&lt;=Index_Tab!$G$17:$K$17),0))</f>
        <v>FY27E</v>
      </c>
      <c r="AD2" s="40" t="str" cm="1">
        <f t="array" ref="AD2">INDEX(Index_Tab!$G$4:$K$4,MATCH(1,(AD$4&gt;=Index_Tab!$G$5:$K$5)*(AD$4&lt;=Index_Tab!$G$17:$K$17),0))</f>
        <v>FY28E</v>
      </c>
      <c r="AE2" s="40" t="str" cm="1">
        <f t="array" ref="AE2">INDEX(Index_Tab!$G$4:$K$4,MATCH(1,(AE$4&gt;=Index_Tab!$G$5:$K$5)*(AE$4&lt;=Index_Tab!$G$17:$K$17),0))</f>
        <v>FY28E</v>
      </c>
      <c r="AF2" s="40" t="str" cm="1">
        <f t="array" ref="AF2">INDEX(Index_Tab!$G$4:$K$4,MATCH(1,(AF$4&gt;=Index_Tab!$G$5:$K$5)*(AF$4&lt;=Index_Tab!$G$17:$K$17),0))</f>
        <v>FY28E</v>
      </c>
      <c r="AG2" s="40" t="str" cm="1">
        <f t="array" ref="AG2">INDEX(Index_Tab!$G$4:$K$4,MATCH(1,(AG$4&gt;=Index_Tab!$G$5:$K$5)*(AG$4&lt;=Index_Tab!$G$17:$K$17),0))</f>
        <v>FY28E</v>
      </c>
      <c r="AH2" s="40" t="str" cm="1">
        <f t="array" ref="AH2">INDEX(Index_Tab!$G$4:$K$4,MATCH(1,(AH$4&gt;=Index_Tab!$G$5:$K$5)*(AH$4&lt;=Index_Tab!$G$17:$K$17),0))</f>
        <v>FY28E</v>
      </c>
      <c r="AI2" s="40" t="str" cm="1">
        <f t="array" ref="AI2">INDEX(Index_Tab!$G$4:$K$4,MATCH(1,(AI$4&gt;=Index_Tab!$G$5:$K$5)*(AI$4&lt;=Index_Tab!$G$17:$K$17),0))</f>
        <v>FY28E</v>
      </c>
      <c r="AJ2" s="40" t="str" cm="1">
        <f t="array" ref="AJ2">INDEX(Index_Tab!$G$4:$K$4,MATCH(1,(AJ$4&gt;=Index_Tab!$G$5:$K$5)*(AJ$4&lt;=Index_Tab!$G$17:$K$17),0))</f>
        <v>FY28E</v>
      </c>
      <c r="AK2" s="40" t="str" cm="1">
        <f t="array" ref="AK2">INDEX(Index_Tab!$G$4:$K$4,MATCH(1,(AK$4&gt;=Index_Tab!$G$5:$K$5)*(AK$4&lt;=Index_Tab!$G$17:$K$17),0))</f>
        <v>FY28E</v>
      </c>
      <c r="AL2" s="40" t="str" cm="1">
        <f t="array" ref="AL2">INDEX(Index_Tab!$G$4:$K$4,MATCH(1,(AL$4&gt;=Index_Tab!$G$5:$K$5)*(AL$4&lt;=Index_Tab!$G$17:$K$17),0))</f>
        <v>FY28E</v>
      </c>
      <c r="AM2" s="40" t="str" cm="1">
        <f t="array" ref="AM2">INDEX(Index_Tab!$G$4:$K$4,MATCH(1,(AM$4&gt;=Index_Tab!$G$5:$K$5)*(AM$4&lt;=Index_Tab!$G$17:$K$17),0))</f>
        <v>FY28E</v>
      </c>
      <c r="AN2" s="40" t="str" cm="1">
        <f t="array" ref="AN2">INDEX(Index_Tab!$G$4:$K$4,MATCH(1,(AN$4&gt;=Index_Tab!$G$5:$K$5)*(AN$4&lt;=Index_Tab!$G$17:$K$17),0))</f>
        <v>FY28E</v>
      </c>
      <c r="AO2" s="40" t="str" cm="1">
        <f t="array" ref="AO2">INDEX(Index_Tab!$G$4:$K$4,MATCH(1,(AO$4&gt;=Index_Tab!$G$5:$K$5)*(AO$4&lt;=Index_Tab!$G$17:$K$17),0))</f>
        <v>FY28E</v>
      </c>
      <c r="AP2" s="40" t="str" cm="1">
        <f t="array" ref="AP2">INDEX(Index_Tab!$G$4:$K$4,MATCH(1,(AP$4&gt;=Index_Tab!$G$5:$K$5)*(AP$4&lt;=Index_Tab!$G$17:$K$17),0))</f>
        <v>FY29E</v>
      </c>
      <c r="AQ2" s="40" t="str" cm="1">
        <f t="array" ref="AQ2">INDEX(Index_Tab!$G$4:$K$4,MATCH(1,(AQ$4&gt;=Index_Tab!$G$5:$K$5)*(AQ$4&lt;=Index_Tab!$G$17:$K$17),0))</f>
        <v>FY29E</v>
      </c>
      <c r="AR2" s="40" t="str" cm="1">
        <f t="array" ref="AR2">INDEX(Index_Tab!$G$4:$K$4,MATCH(1,(AR$4&gt;=Index_Tab!$G$5:$K$5)*(AR$4&lt;=Index_Tab!$G$17:$K$17),0))</f>
        <v>FY29E</v>
      </c>
      <c r="AS2" s="40" t="str" cm="1">
        <f t="array" ref="AS2">INDEX(Index_Tab!$G$4:$K$4,MATCH(1,(AS$4&gt;=Index_Tab!$G$5:$K$5)*(AS$4&lt;=Index_Tab!$G$17:$K$17),0))</f>
        <v>FY29E</v>
      </c>
      <c r="AT2" s="40" t="str" cm="1">
        <f t="array" ref="AT2">INDEX(Index_Tab!$G$4:$K$4,MATCH(1,(AT$4&gt;=Index_Tab!$G$5:$K$5)*(AT$4&lt;=Index_Tab!$G$17:$K$17),0))</f>
        <v>FY29E</v>
      </c>
      <c r="AU2" s="40" t="str" cm="1">
        <f t="array" ref="AU2">INDEX(Index_Tab!$G$4:$K$4,MATCH(1,(AU$4&gt;=Index_Tab!$G$5:$K$5)*(AU$4&lt;=Index_Tab!$G$17:$K$17),0))</f>
        <v>FY29E</v>
      </c>
      <c r="AV2" s="40" t="str" cm="1">
        <f t="array" ref="AV2">INDEX(Index_Tab!$G$4:$K$4,MATCH(1,(AV$4&gt;=Index_Tab!$G$5:$K$5)*(AV$4&lt;=Index_Tab!$G$17:$K$17),0))</f>
        <v>FY29E</v>
      </c>
      <c r="AW2" s="40" t="str" cm="1">
        <f t="array" ref="AW2">INDEX(Index_Tab!$G$4:$K$4,MATCH(1,(AW$4&gt;=Index_Tab!$G$5:$K$5)*(AW$4&lt;=Index_Tab!$G$17:$K$17),0))</f>
        <v>FY29E</v>
      </c>
      <c r="AX2" s="40" t="str" cm="1">
        <f t="array" ref="AX2">INDEX(Index_Tab!$G$4:$K$4,MATCH(1,(AX$4&gt;=Index_Tab!$G$5:$K$5)*(AX$4&lt;=Index_Tab!$G$17:$K$17),0))</f>
        <v>FY29E</v>
      </c>
      <c r="AY2" s="40" t="str" cm="1">
        <f t="array" ref="AY2">INDEX(Index_Tab!$G$4:$K$4,MATCH(1,(AY$4&gt;=Index_Tab!$G$5:$K$5)*(AY$4&lt;=Index_Tab!$G$17:$K$17),0))</f>
        <v>FY29E</v>
      </c>
      <c r="AZ2" s="40" t="str" cm="1">
        <f t="array" ref="AZ2">INDEX(Index_Tab!$G$4:$K$4,MATCH(1,(AZ$4&gt;=Index_Tab!$G$5:$K$5)*(AZ$4&lt;=Index_Tab!$G$17:$K$17),0))</f>
        <v>FY29E</v>
      </c>
      <c r="BA2" s="40" t="str" cm="1">
        <f t="array" ref="BA2">INDEX(Index_Tab!$G$4:$K$4,MATCH(1,(BA$4&gt;=Index_Tab!$G$5:$K$5)*(BA$4&lt;=Index_Tab!$G$17:$K$17),0))</f>
        <v>FY29E</v>
      </c>
      <c r="BB2" s="40" t="str" cm="1">
        <f t="array" ref="BB2">INDEX(Index_Tab!$G$4:$K$4,MATCH(1,(BB$4&gt;=Index_Tab!$G$5:$K$5)*(BB$4&lt;=Index_Tab!$G$17:$K$17),0))</f>
        <v>FY30E</v>
      </c>
      <c r="BC2" s="40" t="str" cm="1">
        <f t="array" ref="BC2">INDEX(Index_Tab!$G$4:$K$4,MATCH(1,(BC$4&gt;=Index_Tab!$G$5:$K$5)*(BC$4&lt;=Index_Tab!$G$17:$K$17),0))</f>
        <v>FY30E</v>
      </c>
      <c r="BD2" s="40" t="str" cm="1">
        <f t="array" ref="BD2">INDEX(Index_Tab!$G$4:$K$4,MATCH(1,(BD$4&gt;=Index_Tab!$G$5:$K$5)*(BD$4&lt;=Index_Tab!$G$17:$K$17),0))</f>
        <v>FY30E</v>
      </c>
      <c r="BE2" s="40" t="str" cm="1">
        <f t="array" ref="BE2">INDEX(Index_Tab!$G$4:$K$4,MATCH(1,(BE$4&gt;=Index_Tab!$G$5:$K$5)*(BE$4&lt;=Index_Tab!$G$17:$K$17),0))</f>
        <v>FY30E</v>
      </c>
      <c r="BF2" s="40" t="str" cm="1">
        <f t="array" ref="BF2">INDEX(Index_Tab!$G$4:$K$4,MATCH(1,(BF$4&gt;=Index_Tab!$G$5:$K$5)*(BF$4&lt;=Index_Tab!$G$17:$K$17),0))</f>
        <v>FY30E</v>
      </c>
      <c r="BG2" s="40" t="str" cm="1">
        <f t="array" ref="BG2">INDEX(Index_Tab!$G$4:$K$4,MATCH(1,(BG$4&gt;=Index_Tab!$G$5:$K$5)*(BG$4&lt;=Index_Tab!$G$17:$K$17),0))</f>
        <v>FY30E</v>
      </c>
      <c r="BH2" s="40" t="str" cm="1">
        <f t="array" ref="BH2">INDEX(Index_Tab!$G$4:$K$4,MATCH(1,(BH$4&gt;=Index_Tab!$G$5:$K$5)*(BH$4&lt;=Index_Tab!$G$17:$K$17),0))</f>
        <v>FY30E</v>
      </c>
      <c r="BI2" s="40" t="str" cm="1">
        <f t="array" ref="BI2">INDEX(Index_Tab!$G$4:$K$4,MATCH(1,(BI$4&gt;=Index_Tab!$G$5:$K$5)*(BI$4&lt;=Index_Tab!$G$17:$K$17),0))</f>
        <v>FY30E</v>
      </c>
      <c r="BJ2" s="40" t="str" cm="1">
        <f t="array" ref="BJ2">INDEX(Index_Tab!$G$4:$K$4,MATCH(1,(BJ$4&gt;=Index_Tab!$G$5:$K$5)*(BJ$4&lt;=Index_Tab!$G$17:$K$17),0))</f>
        <v>FY30E</v>
      </c>
      <c r="BK2" s="40" t="str" cm="1">
        <f t="array" ref="BK2">INDEX(Index_Tab!$G$4:$K$4,MATCH(1,(BK$4&gt;=Index_Tab!$G$5:$K$5)*(BK$4&lt;=Index_Tab!$G$17:$K$17),0))</f>
        <v>FY30E</v>
      </c>
      <c r="BL2" s="40" t="str" cm="1">
        <f t="array" ref="BL2">INDEX(Index_Tab!$G$4:$K$4,MATCH(1,(BL$4&gt;=Index_Tab!$G$5:$K$5)*(BL$4&lt;=Index_Tab!$G$17:$K$17),0))</f>
        <v>FY30E</v>
      </c>
      <c r="BM2" s="40" t="str" cm="1">
        <f t="array" ref="BM2">INDEX(Index_Tab!$G$4:$K$4,MATCH(1,(BM$4&gt;=Index_Tab!$G$5:$K$5)*(BM$4&lt;=Index_Tab!$G$17:$K$17),0))</f>
        <v>FY30E</v>
      </c>
      <c r="BN2" s="40" t="str" cm="1">
        <f t="array" ref="BN2">INDEX(Index_Tab!$G$4:$K$4,MATCH(1,(BN$4&gt;=Index_Tab!$G$5:$K$5)*(BN$4&lt;=Index_Tab!$G$17:$K$17),0))</f>
        <v>FY31E</v>
      </c>
      <c r="BO2" s="40" t="str" cm="1">
        <f t="array" ref="BO2">INDEX(Index_Tab!$G$4:$K$4,MATCH(1,(BO$4&gt;=Index_Tab!$G$5:$K$5)*(BO$4&lt;=Index_Tab!$G$17:$K$17),0))</f>
        <v>FY31E</v>
      </c>
      <c r="BP2" s="40" t="str" cm="1">
        <f t="array" ref="BP2">INDEX(Index_Tab!$G$4:$K$4,MATCH(1,(BP$4&gt;=Index_Tab!$G$5:$K$5)*(BP$4&lt;=Index_Tab!$G$17:$K$17),0))</f>
        <v>FY31E</v>
      </c>
      <c r="BQ2" s="40" t="str" cm="1">
        <f t="array" ref="BQ2">INDEX(Index_Tab!$G$4:$K$4,MATCH(1,(BQ$4&gt;=Index_Tab!$G$5:$K$5)*(BQ$4&lt;=Index_Tab!$G$17:$K$17),0))</f>
        <v>FY31E</v>
      </c>
      <c r="BR2" s="40" t="str" cm="1">
        <f t="array" ref="BR2">INDEX(Index_Tab!$G$4:$K$4,MATCH(1,(BR$4&gt;=Index_Tab!$G$5:$K$5)*(BR$4&lt;=Index_Tab!$G$17:$K$17),0))</f>
        <v>FY31E</v>
      </c>
      <c r="BS2" s="40" t="str" cm="1">
        <f t="array" ref="BS2">INDEX(Index_Tab!$G$4:$K$4,MATCH(1,(BS$4&gt;=Index_Tab!$G$5:$K$5)*(BS$4&lt;=Index_Tab!$G$17:$K$17),0))</f>
        <v>FY31E</v>
      </c>
      <c r="BT2" s="40" t="str" cm="1">
        <f t="array" ref="BT2">INDEX(Index_Tab!$G$4:$K$4,MATCH(1,(BT$4&gt;=Index_Tab!$G$5:$K$5)*(BT$4&lt;=Index_Tab!$G$17:$K$17),0))</f>
        <v>FY31E</v>
      </c>
      <c r="BU2" s="40" t="str" cm="1">
        <f t="array" ref="BU2">INDEX(Index_Tab!$G$4:$K$4,MATCH(1,(BU$4&gt;=Index_Tab!$G$5:$K$5)*(BU$4&lt;=Index_Tab!$G$17:$K$17),0))</f>
        <v>FY31E</v>
      </c>
      <c r="BV2" s="40" t="str" cm="1">
        <f t="array" ref="BV2">INDEX(Index_Tab!$G$4:$K$4,MATCH(1,(BV$4&gt;=Index_Tab!$G$5:$K$5)*(BV$4&lt;=Index_Tab!$G$17:$K$17),0))</f>
        <v>FY31E</v>
      </c>
      <c r="BW2" s="40" t="str" cm="1">
        <f t="array" ref="BW2">INDEX(Index_Tab!$G$4:$K$4,MATCH(1,(BW$4&gt;=Index_Tab!$G$5:$K$5)*(BW$4&lt;=Index_Tab!$G$17:$K$17),0))</f>
        <v>FY31E</v>
      </c>
      <c r="BX2" s="40" t="str" cm="1">
        <f t="array" ref="BX2">INDEX(Index_Tab!$G$4:$K$4,MATCH(1,(BX$4&gt;=Index_Tab!$G$5:$K$5)*(BX$4&lt;=Index_Tab!$G$17:$K$17),0))</f>
        <v>FY31E</v>
      </c>
      <c r="BY2" s="40" t="str" cm="1">
        <f t="array" ref="BY2">INDEX(Index_Tab!$G$4:$K$4,MATCH(1,(BY$4&gt;=Index_Tab!$G$5:$K$5)*(BY$4&lt;=Index_Tab!$G$17:$K$17),0))</f>
        <v>FY31E</v>
      </c>
    </row>
    <row r="3" spans="1:80" x14ac:dyDescent="0.3">
      <c r="A3" s="85"/>
      <c r="B3" s="82"/>
      <c r="C3" s="406"/>
      <c r="E3" s="20"/>
      <c r="F3" s="20"/>
      <c r="G3" s="20"/>
      <c r="H3" s="41"/>
      <c r="I3" s="21" t="str">
        <f>'Detailed Assumptions'!$E$17</f>
        <v>FY26E</v>
      </c>
      <c r="J3" s="21" t="str">
        <f>'Detailed Assumptions'!$F$17</f>
        <v>FY27E</v>
      </c>
      <c r="K3" s="21" t="str">
        <f>'Detailed Assumptions'!$G$17</f>
        <v>FY28E</v>
      </c>
      <c r="L3" s="21" t="str">
        <f>'Detailed Assumptions'!$H$17</f>
        <v>FY29E</v>
      </c>
      <c r="M3" s="21" t="str">
        <f>'Detailed Assumptions'!$I$17</f>
        <v>FY30E</v>
      </c>
      <c r="N3" s="21" t="str">
        <f>'Detailed Assumptions'!$J$17</f>
        <v>FY31E</v>
      </c>
      <c r="O3" s="42"/>
      <c r="P3" s="36" t="str">
        <f>I3&amp;"-"&amp;N3</f>
        <v>FY26E-FY31E</v>
      </c>
      <c r="Q3" s="41"/>
      <c r="R3" s="43">
        <f>'Detailed Assumptions'!$E$12</f>
        <v>46296</v>
      </c>
      <c r="S3" s="43">
        <f>R4+1</f>
        <v>46327</v>
      </c>
      <c r="T3" s="43">
        <f t="shared" ref="T3:AN3" si="0">S4+1</f>
        <v>46357</v>
      </c>
      <c r="U3" s="43">
        <f t="shared" si="0"/>
        <v>46388</v>
      </c>
      <c r="V3" s="43">
        <f t="shared" si="0"/>
        <v>46419</v>
      </c>
      <c r="W3" s="43">
        <f>V4+1</f>
        <v>46447</v>
      </c>
      <c r="X3" s="43">
        <f t="shared" si="0"/>
        <v>46478</v>
      </c>
      <c r="Y3" s="43">
        <f t="shared" si="0"/>
        <v>46508</v>
      </c>
      <c r="Z3" s="43">
        <f t="shared" si="0"/>
        <v>46539</v>
      </c>
      <c r="AA3" s="43">
        <f t="shared" si="0"/>
        <v>46569</v>
      </c>
      <c r="AB3" s="43">
        <f t="shared" si="0"/>
        <v>46600</v>
      </c>
      <c r="AC3" s="43">
        <f>AB4+1</f>
        <v>46631</v>
      </c>
      <c r="AD3" s="43">
        <f>AC4+1</f>
        <v>46661</v>
      </c>
      <c r="AE3" s="43">
        <f>AD4+1</f>
        <v>46692</v>
      </c>
      <c r="AF3" s="43">
        <f t="shared" si="0"/>
        <v>46722</v>
      </c>
      <c r="AG3" s="43">
        <f t="shared" si="0"/>
        <v>46753</v>
      </c>
      <c r="AH3" s="43">
        <f t="shared" si="0"/>
        <v>46784</v>
      </c>
      <c r="AI3" s="43">
        <f>AH4+1</f>
        <v>46813</v>
      </c>
      <c r="AJ3" s="43">
        <f t="shared" si="0"/>
        <v>46844</v>
      </c>
      <c r="AK3" s="43">
        <f t="shared" si="0"/>
        <v>46874</v>
      </c>
      <c r="AL3" s="43">
        <f t="shared" si="0"/>
        <v>46905</v>
      </c>
      <c r="AM3" s="43">
        <f t="shared" si="0"/>
        <v>46935</v>
      </c>
      <c r="AN3" s="43">
        <f t="shared" si="0"/>
        <v>46966</v>
      </c>
      <c r="AO3" s="43">
        <f>AN4+1</f>
        <v>46997</v>
      </c>
      <c r="AP3" s="43">
        <f>AO4+1</f>
        <v>47027</v>
      </c>
      <c r="AQ3" s="43">
        <f>AP4+1</f>
        <v>47058</v>
      </c>
      <c r="AR3" s="43">
        <f t="shared" ref="AR3:AZ3" si="1">AQ4+1</f>
        <v>47088</v>
      </c>
      <c r="AS3" s="43">
        <f t="shared" si="1"/>
        <v>47119</v>
      </c>
      <c r="AT3" s="43">
        <f t="shared" si="1"/>
        <v>47150</v>
      </c>
      <c r="AU3" s="43">
        <f>AT4+1</f>
        <v>47178</v>
      </c>
      <c r="AV3" s="43">
        <f t="shared" si="1"/>
        <v>47209</v>
      </c>
      <c r="AW3" s="43">
        <f t="shared" si="1"/>
        <v>47239</v>
      </c>
      <c r="AX3" s="43">
        <f t="shared" si="1"/>
        <v>47270</v>
      </c>
      <c r="AY3" s="43">
        <f t="shared" si="1"/>
        <v>47300</v>
      </c>
      <c r="AZ3" s="43">
        <f t="shared" si="1"/>
        <v>47331</v>
      </c>
      <c r="BA3" s="43">
        <f>AZ4+1</f>
        <v>47362</v>
      </c>
      <c r="BB3" s="43">
        <f>BA4+1</f>
        <v>47392</v>
      </c>
      <c r="BC3" s="43">
        <f>BB4+1</f>
        <v>47423</v>
      </c>
      <c r="BD3" s="43">
        <f t="shared" ref="BD3:BL3" si="2">BC4+1</f>
        <v>47453</v>
      </c>
      <c r="BE3" s="43">
        <f t="shared" si="2"/>
        <v>47484</v>
      </c>
      <c r="BF3" s="43">
        <f t="shared" si="2"/>
        <v>47515</v>
      </c>
      <c r="BG3" s="43">
        <f>BF4+1</f>
        <v>47543</v>
      </c>
      <c r="BH3" s="43">
        <f t="shared" si="2"/>
        <v>47574</v>
      </c>
      <c r="BI3" s="43">
        <f t="shared" si="2"/>
        <v>47604</v>
      </c>
      <c r="BJ3" s="43">
        <f t="shared" si="2"/>
        <v>47635</v>
      </c>
      <c r="BK3" s="43">
        <f t="shared" si="2"/>
        <v>47665</v>
      </c>
      <c r="BL3" s="43">
        <f t="shared" si="2"/>
        <v>47696</v>
      </c>
      <c r="BM3" s="43">
        <f>BL4+1</f>
        <v>47727</v>
      </c>
      <c r="BN3" s="43">
        <f>BM4+1</f>
        <v>47757</v>
      </c>
      <c r="BO3" s="43">
        <f>BN4+1</f>
        <v>47788</v>
      </c>
      <c r="BP3" s="43">
        <f t="shared" ref="BP3:BX3" si="3">BO4+1</f>
        <v>47818</v>
      </c>
      <c r="BQ3" s="43">
        <f t="shared" si="3"/>
        <v>47849</v>
      </c>
      <c r="BR3" s="43">
        <f t="shared" si="3"/>
        <v>47880</v>
      </c>
      <c r="BS3" s="43">
        <f>BR4+1</f>
        <v>47908</v>
      </c>
      <c r="BT3" s="43">
        <f t="shared" si="3"/>
        <v>47939</v>
      </c>
      <c r="BU3" s="43">
        <f t="shared" si="3"/>
        <v>47969</v>
      </c>
      <c r="BV3" s="43">
        <f t="shared" si="3"/>
        <v>48000</v>
      </c>
      <c r="BW3" s="43">
        <f t="shared" si="3"/>
        <v>48030</v>
      </c>
      <c r="BX3" s="43">
        <f t="shared" si="3"/>
        <v>48061</v>
      </c>
      <c r="BY3" s="43">
        <f>BX4+1</f>
        <v>48092</v>
      </c>
      <c r="CB3" s="41"/>
    </row>
    <row r="4" spans="1:80" x14ac:dyDescent="0.3">
      <c r="A4" s="85"/>
      <c r="B4" s="82" t="e">
        <f>INDEX(Portfolio_Categorisation!$D$6:$D$10,MATCH($C$4,Portfolio_Categorisation!$C$6:$C$10,0))</f>
        <v>#N/A</v>
      </c>
      <c r="C4" s="406" t="s">
        <v>39</v>
      </c>
      <c r="E4" s="20"/>
      <c r="F4" s="20"/>
      <c r="G4" s="20"/>
      <c r="H4" s="41"/>
      <c r="I4" s="44">
        <f>'Detailed Assumptions'!$E$12-1</f>
        <v>46295</v>
      </c>
      <c r="J4" s="44">
        <f>EOMONTH(I4,12)</f>
        <v>46660</v>
      </c>
      <c r="K4" s="44">
        <f>EOMONTH(J4,12)</f>
        <v>47026</v>
      </c>
      <c r="L4" s="44">
        <f>EOMONTH(K4,12)</f>
        <v>47391</v>
      </c>
      <c r="M4" s="44">
        <f>EOMONTH(L4,12)</f>
        <v>47756</v>
      </c>
      <c r="N4" s="44">
        <f>EOMONTH(M4,12)</f>
        <v>48121</v>
      </c>
      <c r="O4" s="45"/>
      <c r="P4" s="46" t="s">
        <v>180</v>
      </c>
      <c r="Q4" s="41"/>
      <c r="R4" s="44">
        <f>EOMONTH(R3,0)</f>
        <v>46326</v>
      </c>
      <c r="S4" s="44">
        <f>EOMONTH(S3,0)</f>
        <v>46356</v>
      </c>
      <c r="T4" s="44">
        <f t="shared" ref="T4:BY4" si="4">EOMONTH(T3,0)</f>
        <v>46387</v>
      </c>
      <c r="U4" s="44">
        <f t="shared" si="4"/>
        <v>46418</v>
      </c>
      <c r="V4" s="44">
        <f t="shared" si="4"/>
        <v>46446</v>
      </c>
      <c r="W4" s="44">
        <f>EOMONTH(W3,0)</f>
        <v>46477</v>
      </c>
      <c r="X4" s="44">
        <f t="shared" si="4"/>
        <v>46507</v>
      </c>
      <c r="Y4" s="44">
        <f t="shared" si="4"/>
        <v>46538</v>
      </c>
      <c r="Z4" s="44">
        <f t="shared" si="4"/>
        <v>46568</v>
      </c>
      <c r="AA4" s="44">
        <f t="shared" si="4"/>
        <v>46599</v>
      </c>
      <c r="AB4" s="44">
        <f t="shared" si="4"/>
        <v>46630</v>
      </c>
      <c r="AC4" s="44">
        <f t="shared" si="4"/>
        <v>46660</v>
      </c>
      <c r="AD4" s="44">
        <f t="shared" si="4"/>
        <v>46691</v>
      </c>
      <c r="AE4" s="44">
        <f t="shared" si="4"/>
        <v>46721</v>
      </c>
      <c r="AF4" s="44">
        <f t="shared" si="4"/>
        <v>46752</v>
      </c>
      <c r="AG4" s="44">
        <f t="shared" si="4"/>
        <v>46783</v>
      </c>
      <c r="AH4" s="44">
        <f t="shared" si="4"/>
        <v>46812</v>
      </c>
      <c r="AI4" s="44">
        <f t="shared" si="4"/>
        <v>46843</v>
      </c>
      <c r="AJ4" s="44">
        <f t="shared" si="4"/>
        <v>46873</v>
      </c>
      <c r="AK4" s="44">
        <f t="shared" si="4"/>
        <v>46904</v>
      </c>
      <c r="AL4" s="44">
        <f t="shared" si="4"/>
        <v>46934</v>
      </c>
      <c r="AM4" s="44">
        <f t="shared" si="4"/>
        <v>46965</v>
      </c>
      <c r="AN4" s="44">
        <f t="shared" si="4"/>
        <v>46996</v>
      </c>
      <c r="AO4" s="44">
        <f t="shared" si="4"/>
        <v>47026</v>
      </c>
      <c r="AP4" s="44">
        <f t="shared" si="4"/>
        <v>47057</v>
      </c>
      <c r="AQ4" s="44">
        <f t="shared" si="4"/>
        <v>47087</v>
      </c>
      <c r="AR4" s="44">
        <f t="shared" si="4"/>
        <v>47118</v>
      </c>
      <c r="AS4" s="44">
        <f t="shared" si="4"/>
        <v>47149</v>
      </c>
      <c r="AT4" s="44">
        <f t="shared" si="4"/>
        <v>47177</v>
      </c>
      <c r="AU4" s="44">
        <f t="shared" si="4"/>
        <v>47208</v>
      </c>
      <c r="AV4" s="44">
        <f t="shared" si="4"/>
        <v>47238</v>
      </c>
      <c r="AW4" s="44">
        <f t="shared" si="4"/>
        <v>47269</v>
      </c>
      <c r="AX4" s="44">
        <f t="shared" si="4"/>
        <v>47299</v>
      </c>
      <c r="AY4" s="44">
        <f t="shared" si="4"/>
        <v>47330</v>
      </c>
      <c r="AZ4" s="44">
        <f t="shared" si="4"/>
        <v>47361</v>
      </c>
      <c r="BA4" s="44">
        <f t="shared" si="4"/>
        <v>47391</v>
      </c>
      <c r="BB4" s="44">
        <f t="shared" si="4"/>
        <v>47422</v>
      </c>
      <c r="BC4" s="44">
        <f t="shared" si="4"/>
        <v>47452</v>
      </c>
      <c r="BD4" s="44">
        <f t="shared" si="4"/>
        <v>47483</v>
      </c>
      <c r="BE4" s="44">
        <f t="shared" si="4"/>
        <v>47514</v>
      </c>
      <c r="BF4" s="44">
        <f t="shared" si="4"/>
        <v>47542</v>
      </c>
      <c r="BG4" s="44">
        <f t="shared" si="4"/>
        <v>47573</v>
      </c>
      <c r="BH4" s="44">
        <f t="shared" si="4"/>
        <v>47603</v>
      </c>
      <c r="BI4" s="44">
        <f t="shared" si="4"/>
        <v>47634</v>
      </c>
      <c r="BJ4" s="44">
        <f t="shared" si="4"/>
        <v>47664</v>
      </c>
      <c r="BK4" s="44">
        <f t="shared" si="4"/>
        <v>47695</v>
      </c>
      <c r="BL4" s="44">
        <f t="shared" si="4"/>
        <v>47726</v>
      </c>
      <c r="BM4" s="44">
        <f t="shared" si="4"/>
        <v>47756</v>
      </c>
      <c r="BN4" s="44">
        <f t="shared" si="4"/>
        <v>47787</v>
      </c>
      <c r="BO4" s="44">
        <f t="shared" si="4"/>
        <v>47817</v>
      </c>
      <c r="BP4" s="44">
        <f t="shared" si="4"/>
        <v>47848</v>
      </c>
      <c r="BQ4" s="44">
        <f t="shared" si="4"/>
        <v>47879</v>
      </c>
      <c r="BR4" s="44">
        <f t="shared" si="4"/>
        <v>47907</v>
      </c>
      <c r="BS4" s="44">
        <f t="shared" si="4"/>
        <v>47938</v>
      </c>
      <c r="BT4" s="44">
        <f t="shared" si="4"/>
        <v>47968</v>
      </c>
      <c r="BU4" s="44">
        <f t="shared" si="4"/>
        <v>47999</v>
      </c>
      <c r="BV4" s="44">
        <f t="shared" si="4"/>
        <v>48029</v>
      </c>
      <c r="BW4" s="44">
        <f t="shared" si="4"/>
        <v>48060</v>
      </c>
      <c r="BX4" s="44">
        <f t="shared" si="4"/>
        <v>48091</v>
      </c>
      <c r="BY4" s="44">
        <f t="shared" si="4"/>
        <v>48121</v>
      </c>
      <c r="CB4" s="41"/>
    </row>
    <row r="5" spans="1:80" ht="5.0999999999999996" customHeight="1" x14ac:dyDescent="0.3">
      <c r="A5" s="85"/>
      <c r="B5" s="82"/>
      <c r="C5" s="85"/>
      <c r="E5" s="2"/>
      <c r="F5" s="2"/>
      <c r="G5" s="2"/>
      <c r="H5" s="41"/>
      <c r="Q5" s="41"/>
      <c r="R5" s="2"/>
      <c r="S5" s="2"/>
      <c r="T5" s="2"/>
      <c r="U5" s="2"/>
      <c r="V5" s="2"/>
      <c r="W5" s="2"/>
      <c r="X5" s="2"/>
      <c r="Y5" s="2"/>
      <c r="Z5" s="2"/>
      <c r="AA5" s="2"/>
      <c r="AB5" s="2"/>
      <c r="AC5" s="2"/>
      <c r="AD5" s="2"/>
      <c r="AE5" s="2"/>
      <c r="AF5" s="2"/>
      <c r="AG5" s="2"/>
      <c r="AH5" s="2"/>
      <c r="AI5" s="2"/>
      <c r="AJ5" s="2"/>
      <c r="AK5" s="2"/>
      <c r="AL5" s="2"/>
      <c r="AM5" s="2"/>
      <c r="AN5" s="2"/>
      <c r="AO5" s="2"/>
      <c r="AP5" s="2"/>
      <c r="AQ5" s="2"/>
      <c r="AR5" s="2"/>
      <c r="AS5" s="2"/>
      <c r="AT5" s="2"/>
      <c r="AU5" s="2"/>
      <c r="AV5" s="2"/>
      <c r="AW5" s="2"/>
      <c r="AX5" s="2"/>
      <c r="AY5" s="2"/>
      <c r="AZ5" s="2"/>
      <c r="BA5" s="2"/>
      <c r="BB5" s="2"/>
      <c r="BC5" s="2"/>
      <c r="BD5" s="2"/>
      <c r="BE5" s="2"/>
      <c r="BF5" s="2"/>
      <c r="BG5" s="2"/>
      <c r="BH5" s="2"/>
      <c r="BI5" s="2"/>
      <c r="BJ5" s="2"/>
      <c r="BK5" s="2"/>
      <c r="BL5" s="2"/>
      <c r="BM5" s="2"/>
      <c r="BN5" s="2"/>
      <c r="BO5" s="2"/>
      <c r="BP5" s="2"/>
      <c r="BQ5" s="2"/>
      <c r="BR5" s="2"/>
      <c r="BS5" s="2"/>
      <c r="BT5" s="2"/>
      <c r="BU5" s="2"/>
      <c r="BV5" s="2"/>
      <c r="BW5" s="2"/>
      <c r="BX5" s="2"/>
      <c r="BY5" s="2"/>
      <c r="CB5" s="41"/>
    </row>
    <row r="6" spans="1:80" ht="12.75" customHeight="1" x14ac:dyDescent="0.3">
      <c r="A6" s="85"/>
      <c r="B6" s="82"/>
      <c r="C6" s="85"/>
      <c r="E6" s="2"/>
      <c r="F6" s="2"/>
      <c r="G6" s="2"/>
      <c r="H6" s="41"/>
      <c r="Q6" s="41"/>
      <c r="R6" s="2"/>
      <c r="S6" s="2"/>
      <c r="T6" s="2"/>
      <c r="U6" s="2"/>
      <c r="V6" s="2"/>
      <c r="W6" s="2"/>
      <c r="X6" s="2"/>
      <c r="Y6" s="2"/>
      <c r="Z6" s="2"/>
      <c r="AA6" s="2"/>
      <c r="AB6" s="2"/>
      <c r="AC6" s="2"/>
      <c r="AD6" s="2"/>
      <c r="AE6" s="2"/>
      <c r="AF6" s="2"/>
      <c r="AG6" s="2"/>
      <c r="AH6" s="2"/>
      <c r="AI6" s="2"/>
      <c r="AJ6" s="2"/>
      <c r="AK6" s="2"/>
      <c r="AL6" s="2"/>
      <c r="AM6" s="2"/>
      <c r="AN6" s="2"/>
      <c r="AO6" s="2"/>
      <c r="AP6" s="2"/>
      <c r="AQ6" s="2"/>
      <c r="AR6" s="2"/>
      <c r="AS6" s="2"/>
      <c r="AT6" s="2"/>
      <c r="AU6" s="2"/>
      <c r="AV6" s="2"/>
      <c r="AW6" s="2"/>
      <c r="AX6" s="2"/>
      <c r="AY6" s="2"/>
      <c r="AZ6" s="2"/>
      <c r="BA6" s="2"/>
      <c r="BB6" s="2"/>
      <c r="BC6" s="2"/>
      <c r="BD6" s="2"/>
      <c r="BE6" s="2"/>
      <c r="BF6" s="2"/>
      <c r="BG6" s="2"/>
      <c r="BH6" s="2"/>
      <c r="BI6" s="2"/>
      <c r="BJ6" s="2"/>
      <c r="BK6" s="2"/>
      <c r="BL6" s="2"/>
      <c r="BM6" s="2"/>
      <c r="BN6" s="2"/>
      <c r="BO6" s="2"/>
      <c r="BP6" s="2"/>
      <c r="BQ6" s="2"/>
      <c r="BR6" s="2"/>
      <c r="BS6" s="2"/>
      <c r="BT6" s="2"/>
      <c r="BU6" s="2"/>
      <c r="BV6" s="2"/>
      <c r="BW6" s="2"/>
      <c r="BX6" s="2"/>
      <c r="BY6" s="2"/>
      <c r="CB6" s="41"/>
    </row>
    <row r="7" spans="1:80" ht="12.75" customHeight="1" x14ac:dyDescent="0.3">
      <c r="C7" s="48" t="s">
        <v>37</v>
      </c>
      <c r="D7" s="88"/>
      <c r="E7" s="49" t="s">
        <v>120</v>
      </c>
      <c r="F7" s="49"/>
      <c r="G7" s="49"/>
      <c r="H7" s="49"/>
      <c r="I7" s="49"/>
      <c r="J7" s="49"/>
      <c r="K7" s="49"/>
      <c r="L7" s="49"/>
      <c r="M7" s="49"/>
      <c r="N7" s="49"/>
      <c r="O7" s="49"/>
      <c r="P7" s="48"/>
      <c r="Q7" s="49"/>
      <c r="R7" s="49"/>
      <c r="S7" s="49"/>
      <c r="T7" s="49"/>
      <c r="U7" s="49"/>
      <c r="V7" s="49"/>
      <c r="W7" s="49"/>
      <c r="X7" s="49"/>
      <c r="Y7" s="49"/>
      <c r="Z7" s="49"/>
      <c r="AA7" s="49"/>
      <c r="AB7" s="49"/>
      <c r="AC7" s="49"/>
      <c r="AD7" s="49"/>
      <c r="AE7" s="49"/>
      <c r="AF7" s="49"/>
      <c r="AG7" s="49"/>
      <c r="AH7" s="49"/>
      <c r="AI7" s="49"/>
      <c r="AJ7" s="49"/>
      <c r="AK7" s="49"/>
      <c r="AL7" s="49"/>
      <c r="AM7" s="49"/>
      <c r="AN7" s="49"/>
      <c r="AO7" s="49"/>
      <c r="AP7" s="49"/>
      <c r="AQ7" s="49"/>
      <c r="AR7" s="49"/>
      <c r="AS7" s="49"/>
      <c r="AT7" s="49"/>
      <c r="AU7" s="49"/>
      <c r="AV7" s="49"/>
      <c r="AW7" s="49"/>
      <c r="AX7" s="49"/>
      <c r="AY7" s="49"/>
      <c r="AZ7" s="49"/>
      <c r="BA7" s="49"/>
      <c r="BB7" s="49"/>
      <c r="BC7" s="49"/>
      <c r="BD7" s="49"/>
      <c r="BE7" s="49"/>
      <c r="BF7" s="49"/>
      <c r="BG7" s="49"/>
      <c r="BH7" s="49"/>
      <c r="BI7" s="49"/>
      <c r="BJ7" s="49"/>
      <c r="BK7" s="49"/>
      <c r="BL7" s="49"/>
      <c r="BM7" s="49"/>
      <c r="BN7" s="49"/>
      <c r="BO7" s="49"/>
      <c r="BP7" s="49"/>
      <c r="BQ7" s="49"/>
      <c r="BR7" s="49"/>
      <c r="BS7" s="49"/>
      <c r="BT7" s="49"/>
      <c r="BU7" s="49"/>
      <c r="BV7" s="49"/>
      <c r="BW7" s="49"/>
      <c r="BX7" s="49"/>
      <c r="BY7" s="49"/>
    </row>
    <row r="8" spans="1:80" x14ac:dyDescent="0.3">
      <c r="C8" s="2"/>
      <c r="D8" s="2"/>
      <c r="E8" s="2"/>
      <c r="F8" s="2"/>
      <c r="G8" s="2"/>
      <c r="H8" s="2"/>
      <c r="I8" s="2"/>
      <c r="J8" s="37"/>
      <c r="K8" s="37"/>
      <c r="L8" s="37"/>
      <c r="M8" s="37"/>
      <c r="N8" s="37"/>
      <c r="O8" s="37"/>
      <c r="P8" s="35"/>
      <c r="R8" s="37"/>
      <c r="S8" s="529"/>
      <c r="T8" s="529"/>
      <c r="U8" s="529"/>
      <c r="V8" s="529"/>
      <c r="W8" s="529"/>
      <c r="X8" s="529"/>
      <c r="Y8" s="529"/>
      <c r="Z8" s="529"/>
      <c r="AA8" s="529"/>
      <c r="AB8" s="529"/>
      <c r="AC8" s="529"/>
      <c r="AD8" s="529"/>
      <c r="AE8" s="529"/>
      <c r="AF8" s="529"/>
      <c r="AG8" s="529"/>
      <c r="AH8" s="529"/>
      <c r="AI8" s="529"/>
      <c r="AJ8" s="529"/>
      <c r="AK8" s="529"/>
      <c r="AL8" s="529"/>
      <c r="AM8" s="529"/>
      <c r="AN8" s="529"/>
      <c r="AO8" s="529"/>
      <c r="AP8" s="529"/>
      <c r="AQ8" s="529"/>
      <c r="AR8" s="529"/>
      <c r="AS8" s="529"/>
      <c r="AT8" s="529"/>
      <c r="AU8" s="529"/>
      <c r="AV8" s="529"/>
      <c r="AW8" s="529"/>
      <c r="AX8" s="529"/>
      <c r="AY8" s="529"/>
      <c r="AZ8" s="529"/>
      <c r="BA8" s="529"/>
      <c r="BB8" s="529"/>
      <c r="BC8" s="529"/>
      <c r="BD8" s="529"/>
      <c r="BE8" s="529"/>
      <c r="BF8" s="529"/>
      <c r="BG8" s="529"/>
      <c r="BH8" s="529"/>
      <c r="BI8" s="529"/>
      <c r="BJ8" s="529"/>
      <c r="BK8" s="529"/>
      <c r="BL8" s="529"/>
      <c r="BM8" s="529"/>
      <c r="BN8" s="529"/>
      <c r="BO8" s="529"/>
      <c r="BP8" s="529"/>
      <c r="BQ8" s="529"/>
      <c r="BR8" s="529"/>
      <c r="BS8" s="529"/>
      <c r="BT8" s="529"/>
      <c r="BU8" s="529"/>
      <c r="BV8" s="529"/>
      <c r="BW8" s="529"/>
      <c r="BX8" s="529"/>
      <c r="BY8" s="529"/>
    </row>
    <row r="9" spans="1:80" x14ac:dyDescent="0.3">
      <c r="C9" s="2"/>
      <c r="D9" s="2"/>
      <c r="E9" s="2" t="s">
        <v>174</v>
      </c>
      <c r="F9" s="2"/>
      <c r="G9" s="2"/>
      <c r="H9" s="2"/>
      <c r="I9" s="71">
        <v>0</v>
      </c>
      <c r="J9" s="52">
        <v>0</v>
      </c>
      <c r="K9" s="52">
        <v>0</v>
      </c>
      <c r="L9" s="52">
        <v>0</v>
      </c>
      <c r="M9" s="52">
        <v>0</v>
      </c>
      <c r="N9" s="52">
        <v>0</v>
      </c>
      <c r="O9" s="37"/>
      <c r="P9" s="90"/>
      <c r="R9" s="71">
        <v>0</v>
      </c>
      <c r="S9" s="580">
        <v>0</v>
      </c>
      <c r="T9" s="71">
        <v>0</v>
      </c>
      <c r="U9" s="580">
        <v>0</v>
      </c>
      <c r="V9" s="580">
        <v>0</v>
      </c>
      <c r="W9" s="580">
        <v>0</v>
      </c>
      <c r="X9" s="580">
        <v>0</v>
      </c>
      <c r="Y9" s="580">
        <v>0</v>
      </c>
      <c r="Z9" s="580">
        <v>0</v>
      </c>
      <c r="AA9" s="580">
        <v>0</v>
      </c>
      <c r="AB9" s="580">
        <v>0</v>
      </c>
      <c r="AC9" s="580">
        <v>0</v>
      </c>
      <c r="AD9" s="580">
        <v>0</v>
      </c>
      <c r="AE9" s="580">
        <v>0</v>
      </c>
      <c r="AF9" s="580">
        <v>0</v>
      </c>
      <c r="AG9" s="580">
        <v>0</v>
      </c>
      <c r="AH9" s="580">
        <v>0</v>
      </c>
      <c r="AI9" s="580">
        <v>0</v>
      </c>
      <c r="AJ9" s="580">
        <v>0</v>
      </c>
      <c r="AK9" s="580">
        <v>0</v>
      </c>
      <c r="AL9" s="580">
        <v>0</v>
      </c>
      <c r="AM9" s="580">
        <v>0</v>
      </c>
      <c r="AN9" s="580">
        <v>0</v>
      </c>
      <c r="AO9" s="580">
        <v>0</v>
      </c>
      <c r="AP9" s="580">
        <v>0</v>
      </c>
      <c r="AQ9" s="580">
        <v>0</v>
      </c>
      <c r="AR9" s="580">
        <v>0</v>
      </c>
      <c r="AS9" s="580">
        <v>0</v>
      </c>
      <c r="AT9" s="580">
        <v>0</v>
      </c>
      <c r="AU9" s="580">
        <v>0</v>
      </c>
      <c r="AV9" s="580">
        <v>0</v>
      </c>
      <c r="AW9" s="580">
        <v>0</v>
      </c>
      <c r="AX9" s="580">
        <v>0</v>
      </c>
      <c r="AY9" s="580">
        <v>0</v>
      </c>
      <c r="AZ9" s="580">
        <v>0</v>
      </c>
      <c r="BA9" s="580">
        <v>0</v>
      </c>
      <c r="BB9" s="580">
        <v>0</v>
      </c>
      <c r="BC9" s="580">
        <v>0</v>
      </c>
      <c r="BD9" s="580">
        <v>0</v>
      </c>
      <c r="BE9" s="580">
        <v>0</v>
      </c>
      <c r="BF9" s="580">
        <v>0</v>
      </c>
      <c r="BG9" s="580">
        <v>0</v>
      </c>
      <c r="BH9" s="580">
        <v>0</v>
      </c>
      <c r="BI9" s="580">
        <v>0</v>
      </c>
      <c r="BJ9" s="580">
        <v>0</v>
      </c>
      <c r="BK9" s="580">
        <v>0</v>
      </c>
      <c r="BL9" s="580">
        <v>0</v>
      </c>
      <c r="BM9" s="580">
        <v>0</v>
      </c>
      <c r="BN9" s="580">
        <v>0</v>
      </c>
      <c r="BO9" s="580">
        <v>0</v>
      </c>
      <c r="BP9" s="580">
        <v>0</v>
      </c>
      <c r="BQ9" s="580">
        <v>0</v>
      </c>
      <c r="BR9" s="580">
        <v>0</v>
      </c>
      <c r="BS9" s="580">
        <v>0</v>
      </c>
      <c r="BT9" s="580">
        <v>0</v>
      </c>
      <c r="BU9" s="580">
        <v>0</v>
      </c>
      <c r="BV9" s="580">
        <v>0</v>
      </c>
      <c r="BW9" s="580">
        <v>0</v>
      </c>
      <c r="BX9" s="580">
        <v>0</v>
      </c>
      <c r="BY9" s="580">
        <v>0</v>
      </c>
    </row>
    <row r="10" spans="1:80" x14ac:dyDescent="0.3">
      <c r="C10" s="2"/>
      <c r="D10" s="2"/>
      <c r="E10" s="2"/>
      <c r="F10" s="2"/>
      <c r="G10" s="2"/>
      <c r="H10" s="2"/>
      <c r="I10" s="2"/>
      <c r="J10" s="2"/>
      <c r="K10" s="2"/>
      <c r="L10" s="2"/>
      <c r="M10" s="2"/>
      <c r="N10" s="2"/>
      <c r="O10" s="2"/>
      <c r="P10" s="10"/>
      <c r="R10" s="2"/>
      <c r="S10" s="2"/>
      <c r="T10" s="2"/>
      <c r="U10" s="2"/>
      <c r="V10" s="2"/>
      <c r="W10" s="2"/>
      <c r="X10" s="2"/>
      <c r="Y10" s="2"/>
      <c r="Z10" s="2"/>
      <c r="AA10" s="2"/>
      <c r="AB10" s="2"/>
      <c r="AC10" s="2"/>
      <c r="AD10" s="2"/>
      <c r="AE10" s="2"/>
      <c r="AF10" s="2"/>
      <c r="AG10" s="2"/>
      <c r="AH10" s="2"/>
      <c r="AI10" s="2"/>
      <c r="AJ10" s="2"/>
      <c r="AK10" s="2"/>
      <c r="AL10" s="2"/>
      <c r="AM10" s="2"/>
      <c r="AN10" s="2"/>
      <c r="AO10" s="2"/>
      <c r="AP10" s="2"/>
      <c r="AQ10" s="2"/>
      <c r="AR10" s="2"/>
      <c r="AS10" s="2"/>
      <c r="AT10" s="2"/>
      <c r="AU10" s="2"/>
      <c r="AV10" s="2"/>
      <c r="AW10" s="2"/>
      <c r="AX10" s="2"/>
      <c r="AY10" s="2"/>
      <c r="AZ10" s="2"/>
      <c r="BA10" s="2"/>
      <c r="BB10" s="2"/>
      <c r="BC10" s="2"/>
      <c r="BD10" s="2"/>
      <c r="BE10" s="2"/>
      <c r="BF10" s="2"/>
      <c r="BG10" s="2"/>
      <c r="BH10" s="2"/>
      <c r="BI10" s="2"/>
      <c r="BJ10" s="2"/>
      <c r="BK10" s="2"/>
      <c r="BL10" s="2"/>
      <c r="BM10" s="2"/>
      <c r="BN10" s="2"/>
      <c r="BO10" s="2"/>
      <c r="BP10" s="2"/>
      <c r="BQ10" s="2"/>
      <c r="BR10" s="2"/>
      <c r="BS10" s="2"/>
      <c r="BT10" s="2"/>
      <c r="BU10" s="2"/>
      <c r="BV10" s="2"/>
      <c r="BW10" s="2"/>
      <c r="BX10" s="2"/>
      <c r="BY10" s="2"/>
    </row>
    <row r="11" spans="1:80" x14ac:dyDescent="0.3">
      <c r="C11" s="2"/>
      <c r="D11" s="2"/>
      <c r="E11" s="2" t="s">
        <v>174</v>
      </c>
      <c r="F11" s="2"/>
      <c r="G11" s="2"/>
      <c r="H11" s="2"/>
      <c r="I11" s="52">
        <v>0</v>
      </c>
      <c r="J11" s="71">
        <v>0</v>
      </c>
      <c r="K11" s="52">
        <v>0</v>
      </c>
      <c r="L11" s="52">
        <v>0</v>
      </c>
      <c r="M11" s="52">
        <v>0</v>
      </c>
      <c r="N11" s="52">
        <v>0</v>
      </c>
      <c r="O11" s="2"/>
      <c r="P11" s="10"/>
      <c r="R11" s="52">
        <v>0</v>
      </c>
      <c r="S11" s="52">
        <v>0</v>
      </c>
      <c r="T11" s="52">
        <v>0</v>
      </c>
      <c r="U11" s="52">
        <v>0</v>
      </c>
      <c r="V11" s="52">
        <v>0</v>
      </c>
      <c r="W11" s="52">
        <v>0</v>
      </c>
      <c r="X11" s="52">
        <v>0</v>
      </c>
      <c r="Y11" s="52">
        <v>0</v>
      </c>
      <c r="Z11" s="52">
        <v>0</v>
      </c>
      <c r="AA11" s="52">
        <v>0</v>
      </c>
      <c r="AB11" s="52">
        <v>0</v>
      </c>
      <c r="AC11" s="52">
        <v>0</v>
      </c>
      <c r="AD11" s="52">
        <v>0</v>
      </c>
      <c r="AE11" s="52">
        <v>0</v>
      </c>
      <c r="AF11" s="52">
        <v>0</v>
      </c>
      <c r="AG11" s="52">
        <v>0</v>
      </c>
      <c r="AH11" s="52">
        <v>0</v>
      </c>
      <c r="AI11" s="52">
        <v>0</v>
      </c>
      <c r="AJ11" s="52">
        <v>0</v>
      </c>
      <c r="AK11" s="52">
        <v>0</v>
      </c>
      <c r="AL11" s="52">
        <v>0</v>
      </c>
      <c r="AM11" s="52">
        <v>0</v>
      </c>
      <c r="AN11" s="52">
        <v>0</v>
      </c>
      <c r="AO11" s="52">
        <v>0</v>
      </c>
      <c r="AP11" s="52">
        <v>0</v>
      </c>
      <c r="AQ11" s="52">
        <v>0</v>
      </c>
      <c r="AR11" s="52">
        <v>0</v>
      </c>
      <c r="AS11" s="52">
        <v>0</v>
      </c>
      <c r="AT11" s="52">
        <v>0</v>
      </c>
      <c r="AU11" s="52">
        <v>0</v>
      </c>
      <c r="AV11" s="52">
        <v>0</v>
      </c>
      <c r="AW11" s="52">
        <v>0</v>
      </c>
      <c r="AX11" s="52">
        <v>0</v>
      </c>
      <c r="AY11" s="52">
        <v>0</v>
      </c>
      <c r="AZ11" s="52">
        <v>0</v>
      </c>
      <c r="BA11" s="52">
        <v>0</v>
      </c>
      <c r="BB11" s="52">
        <v>0</v>
      </c>
      <c r="BC11" s="52">
        <v>0</v>
      </c>
      <c r="BD11" s="52">
        <v>0</v>
      </c>
      <c r="BE11" s="52">
        <v>0</v>
      </c>
      <c r="BF11" s="52">
        <v>0</v>
      </c>
      <c r="BG11" s="52">
        <v>0</v>
      </c>
      <c r="BH11" s="52">
        <v>0</v>
      </c>
      <c r="BI11" s="52">
        <v>0</v>
      </c>
      <c r="BJ11" s="52">
        <v>0</v>
      </c>
      <c r="BK11" s="52">
        <v>0</v>
      </c>
      <c r="BL11" s="52">
        <v>0</v>
      </c>
      <c r="BM11" s="52">
        <v>0</v>
      </c>
      <c r="BN11" s="52">
        <v>0</v>
      </c>
      <c r="BO11" s="52">
        <v>0</v>
      </c>
      <c r="BP11" s="52">
        <v>0</v>
      </c>
      <c r="BQ11" s="52">
        <v>0</v>
      </c>
      <c r="BR11" s="52">
        <v>0</v>
      </c>
      <c r="BS11" s="52">
        <v>0</v>
      </c>
      <c r="BT11" s="52">
        <v>0</v>
      </c>
      <c r="BU11" s="52">
        <v>0</v>
      </c>
      <c r="BV11" s="52">
        <v>0</v>
      </c>
      <c r="BW11" s="52">
        <v>0</v>
      </c>
      <c r="BX11" s="52">
        <v>0</v>
      </c>
      <c r="BY11" s="52">
        <v>0</v>
      </c>
    </row>
    <row r="12" spans="1:80" x14ac:dyDescent="0.3">
      <c r="C12" s="2"/>
      <c r="D12" s="2"/>
      <c r="E12" s="2" t="s">
        <v>131</v>
      </c>
      <c r="F12" s="2"/>
      <c r="G12" s="2"/>
      <c r="H12" s="2"/>
      <c r="I12" s="52">
        <v>0</v>
      </c>
      <c r="J12" s="52">
        <v>0</v>
      </c>
      <c r="K12" s="52">
        <v>0</v>
      </c>
      <c r="L12" s="52">
        <v>0</v>
      </c>
      <c r="M12" s="52">
        <v>0</v>
      </c>
      <c r="N12" s="52">
        <v>0</v>
      </c>
      <c r="O12" s="2"/>
      <c r="P12" s="10"/>
      <c r="R12" s="52">
        <v>0</v>
      </c>
      <c r="S12" s="52">
        <v>0</v>
      </c>
      <c r="T12" s="52">
        <v>0</v>
      </c>
      <c r="U12" s="52">
        <v>0</v>
      </c>
      <c r="V12" s="52">
        <v>0</v>
      </c>
      <c r="W12" s="52">
        <v>0</v>
      </c>
      <c r="X12" s="52">
        <v>0</v>
      </c>
      <c r="Y12" s="52">
        <v>0</v>
      </c>
      <c r="Z12" s="52">
        <v>0</v>
      </c>
      <c r="AA12" s="52">
        <v>0</v>
      </c>
      <c r="AB12" s="52">
        <v>0</v>
      </c>
      <c r="AC12" s="52">
        <v>0</v>
      </c>
      <c r="AD12" s="52">
        <v>0</v>
      </c>
      <c r="AE12" s="52">
        <v>0</v>
      </c>
      <c r="AF12" s="52">
        <v>0</v>
      </c>
      <c r="AG12" s="52">
        <v>0</v>
      </c>
      <c r="AH12" s="52">
        <v>0</v>
      </c>
      <c r="AI12" s="52">
        <v>0</v>
      </c>
      <c r="AJ12" s="52">
        <v>0</v>
      </c>
      <c r="AK12" s="52">
        <v>0</v>
      </c>
      <c r="AL12" s="52">
        <v>0</v>
      </c>
      <c r="AM12" s="52">
        <v>0</v>
      </c>
      <c r="AN12" s="52">
        <v>0</v>
      </c>
      <c r="AO12" s="52">
        <v>0</v>
      </c>
      <c r="AP12" s="52">
        <v>0</v>
      </c>
      <c r="AQ12" s="52">
        <v>0</v>
      </c>
      <c r="AR12" s="52">
        <v>0</v>
      </c>
      <c r="AS12" s="52">
        <v>0</v>
      </c>
      <c r="AT12" s="52">
        <v>0</v>
      </c>
      <c r="AU12" s="52">
        <v>0</v>
      </c>
      <c r="AV12" s="52">
        <v>0</v>
      </c>
      <c r="AW12" s="52">
        <v>0</v>
      </c>
      <c r="AX12" s="52">
        <v>0</v>
      </c>
      <c r="AY12" s="52">
        <v>0</v>
      </c>
      <c r="AZ12" s="52">
        <v>0</v>
      </c>
      <c r="BA12" s="52">
        <v>0</v>
      </c>
      <c r="BB12" s="52">
        <v>0</v>
      </c>
      <c r="BC12" s="52">
        <v>0</v>
      </c>
      <c r="BD12" s="52">
        <v>0</v>
      </c>
      <c r="BE12" s="52">
        <v>0</v>
      </c>
      <c r="BF12" s="52">
        <v>0</v>
      </c>
      <c r="BG12" s="52">
        <v>0</v>
      </c>
      <c r="BH12" s="52">
        <v>0</v>
      </c>
      <c r="BI12" s="52">
        <v>0</v>
      </c>
      <c r="BJ12" s="52">
        <v>0</v>
      </c>
      <c r="BK12" s="52">
        <v>0</v>
      </c>
      <c r="BL12" s="52">
        <v>0</v>
      </c>
      <c r="BM12" s="52">
        <v>0</v>
      </c>
      <c r="BN12" s="52">
        <v>0</v>
      </c>
      <c r="BO12" s="52">
        <v>0</v>
      </c>
      <c r="BP12" s="52">
        <v>0</v>
      </c>
      <c r="BQ12" s="52">
        <v>0</v>
      </c>
      <c r="BR12" s="52">
        <v>0</v>
      </c>
      <c r="BS12" s="52">
        <v>0</v>
      </c>
      <c r="BT12" s="52">
        <v>0</v>
      </c>
      <c r="BU12" s="52">
        <v>0</v>
      </c>
      <c r="BV12" s="52">
        <v>0</v>
      </c>
      <c r="BW12" s="52">
        <v>0</v>
      </c>
      <c r="BX12" s="52">
        <v>0</v>
      </c>
      <c r="BY12" s="52">
        <v>0</v>
      </c>
    </row>
    <row r="13" spans="1:80" x14ac:dyDescent="0.3">
      <c r="C13" s="2"/>
      <c r="D13" s="2"/>
      <c r="E13" s="2" t="s">
        <v>132</v>
      </c>
      <c r="F13" s="2"/>
      <c r="G13" s="2"/>
      <c r="H13" s="2"/>
      <c r="I13" s="19">
        <f>INDEX('Detailed Assumptions'!$E$106:$J$106,MATCH($C$4,'Detailed Assumptions'!$D$106:$D$106,0),MATCH(I$3,'Detailed Assumptions'!$E$105:$J$105,0))</f>
        <v>10</v>
      </c>
      <c r="J13" s="19">
        <f>INDEX('Detailed Assumptions'!$E$106:$J$106,MATCH($C$4,'Detailed Assumptions'!$D$106:$D$106,0),MATCH(J$3,'Detailed Assumptions'!$E$105:$J$105,0))</f>
        <v>10</v>
      </c>
      <c r="K13" s="19">
        <f>INDEX('Detailed Assumptions'!$E$106:$J$106,MATCH($C$4,'Detailed Assumptions'!$D$106:$D$106,0),MATCH(K$3,'Detailed Assumptions'!$E$105:$J$105,0))</f>
        <v>10</v>
      </c>
      <c r="L13" s="19">
        <f>INDEX('Detailed Assumptions'!$E$106:$J$106,MATCH($C$4,'Detailed Assumptions'!$D$106:$D$106,0),MATCH(L$3,'Detailed Assumptions'!$E$105:$J$105,0))</f>
        <v>10</v>
      </c>
      <c r="M13" s="19">
        <f>INDEX('Detailed Assumptions'!$E$106:$J$106,MATCH($C$4,'Detailed Assumptions'!$D$106:$D$106,0),MATCH(M$3,'Detailed Assumptions'!$E$105:$J$105,0))</f>
        <v>10</v>
      </c>
      <c r="N13" s="19">
        <f>INDEX('Detailed Assumptions'!$E$106:$J$106,MATCH($C$4,'Detailed Assumptions'!$D$106:$D$106,0),MATCH(N$3,'Detailed Assumptions'!$E$105:$J$105,0))</f>
        <v>10</v>
      </c>
      <c r="O13" s="2"/>
      <c r="P13" s="10"/>
      <c r="R13" s="19">
        <f>INDEX('Detailed Assumptions'!$E$106:$J$106,MATCH($C$4,'Detailed Assumptions'!$D$106:$D$106,0),MATCH(R$2,'Detailed Assumptions'!$E$105:$J$105,0))</f>
        <v>10</v>
      </c>
      <c r="S13" s="542">
        <f>INDEX('Detailed Assumptions'!$E$106:$J$106,MATCH($C$4,'Detailed Assumptions'!$D$106:$D$106,0),MATCH(S$2,'Detailed Assumptions'!$E$105:$J$105,0))</f>
        <v>10</v>
      </c>
      <c r="T13" s="542">
        <f>INDEX('Detailed Assumptions'!$E$106:$J$106,MATCH($C$4,'Detailed Assumptions'!$D$106:$D$106,0),MATCH(T$2,'Detailed Assumptions'!$E$105:$J$105,0))</f>
        <v>10</v>
      </c>
      <c r="U13" s="542">
        <f>INDEX('Detailed Assumptions'!$E$106:$J$106,MATCH($C$4,'Detailed Assumptions'!$D$106:$D$106,0),MATCH(U$2,'Detailed Assumptions'!$E$105:$J$105,0))</f>
        <v>10</v>
      </c>
      <c r="V13" s="542">
        <f>INDEX('Detailed Assumptions'!$E$106:$J$106,MATCH($C$4,'Detailed Assumptions'!$D$106:$D$106,0),MATCH(V$2,'Detailed Assumptions'!$E$105:$J$105,0))</f>
        <v>10</v>
      </c>
      <c r="W13" s="542">
        <f>INDEX('Detailed Assumptions'!$E$106:$J$106,MATCH($C$4,'Detailed Assumptions'!$D$106:$D$106,0),MATCH(W$2,'Detailed Assumptions'!$E$105:$J$105,0))</f>
        <v>10</v>
      </c>
      <c r="X13" s="542">
        <f>INDEX('Detailed Assumptions'!$E$106:$J$106,MATCH($C$4,'Detailed Assumptions'!$D$106:$D$106,0),MATCH(X$2,'Detailed Assumptions'!$E$105:$J$105,0))</f>
        <v>10</v>
      </c>
      <c r="Y13" s="542">
        <f>INDEX('Detailed Assumptions'!$E$106:$J$106,MATCH($C$4,'Detailed Assumptions'!$D$106:$D$106,0),MATCH(Y$2,'Detailed Assumptions'!$E$105:$J$105,0))</f>
        <v>10</v>
      </c>
      <c r="Z13" s="542">
        <f>INDEX('Detailed Assumptions'!$E$106:$J$106,MATCH($C$4,'Detailed Assumptions'!$D$106:$D$106,0),MATCH(Z$2,'Detailed Assumptions'!$E$105:$J$105,0))</f>
        <v>10</v>
      </c>
      <c r="AA13" s="542">
        <f>INDEX('Detailed Assumptions'!$E$106:$J$106,MATCH($C$4,'Detailed Assumptions'!$D$106:$D$106,0),MATCH(AA$2,'Detailed Assumptions'!$E$105:$J$105,0))</f>
        <v>10</v>
      </c>
      <c r="AB13" s="542">
        <f>INDEX('Detailed Assumptions'!$E$106:$J$106,MATCH($C$4,'Detailed Assumptions'!$D$106:$D$106,0),MATCH(AB$2,'Detailed Assumptions'!$E$105:$J$105,0))</f>
        <v>10</v>
      </c>
      <c r="AC13" s="542">
        <f>INDEX('Detailed Assumptions'!$E$106:$J$106,MATCH($C$4,'Detailed Assumptions'!$D$106:$D$106,0),MATCH(AC$2,'Detailed Assumptions'!$E$105:$J$105,0))</f>
        <v>10</v>
      </c>
      <c r="AD13" s="542">
        <f>INDEX('Detailed Assumptions'!$E$106:$J$106,MATCH($C$4,'Detailed Assumptions'!$D$106:$D$106,0),MATCH(AD$2,'Detailed Assumptions'!$E$105:$J$105,0))</f>
        <v>10</v>
      </c>
      <c r="AE13" s="542">
        <f>INDEX('Detailed Assumptions'!$E$106:$J$106,MATCH($C$4,'Detailed Assumptions'!$D$106:$D$106,0),MATCH(AE$2,'Detailed Assumptions'!$E$105:$J$105,0))</f>
        <v>10</v>
      </c>
      <c r="AF13" s="542">
        <f>INDEX('Detailed Assumptions'!$E$106:$J$106,MATCH($C$4,'Detailed Assumptions'!$D$106:$D$106,0),MATCH(AF$2,'Detailed Assumptions'!$E$105:$J$105,0))</f>
        <v>10</v>
      </c>
      <c r="AG13" s="542">
        <f>INDEX('Detailed Assumptions'!$E$106:$J$106,MATCH($C$4,'Detailed Assumptions'!$D$106:$D$106,0),MATCH(AG$2,'Detailed Assumptions'!$E$105:$J$105,0))</f>
        <v>10</v>
      </c>
      <c r="AH13" s="542">
        <f>INDEX('Detailed Assumptions'!$E$106:$J$106,MATCH($C$4,'Detailed Assumptions'!$D$106:$D$106,0),MATCH(AH$2,'Detailed Assumptions'!$E$105:$J$105,0))</f>
        <v>10</v>
      </c>
      <c r="AI13" s="542">
        <f>INDEX('Detailed Assumptions'!$E$106:$J$106,MATCH($C$4,'Detailed Assumptions'!$D$106:$D$106,0),MATCH(AI$2,'Detailed Assumptions'!$E$105:$J$105,0))</f>
        <v>10</v>
      </c>
      <c r="AJ13" s="542">
        <f>INDEX('Detailed Assumptions'!$E$106:$J$106,MATCH($C$4,'Detailed Assumptions'!$D$106:$D$106,0),MATCH(AJ$2,'Detailed Assumptions'!$E$105:$J$105,0))</f>
        <v>10</v>
      </c>
      <c r="AK13" s="542">
        <f>INDEX('Detailed Assumptions'!$E$106:$J$106,MATCH($C$4,'Detailed Assumptions'!$D$106:$D$106,0),MATCH(AK$2,'Detailed Assumptions'!$E$105:$J$105,0))</f>
        <v>10</v>
      </c>
      <c r="AL13" s="542">
        <f>INDEX('Detailed Assumptions'!$E$106:$J$106,MATCH($C$4,'Detailed Assumptions'!$D$106:$D$106,0),MATCH(AL$2,'Detailed Assumptions'!$E$105:$J$105,0))</f>
        <v>10</v>
      </c>
      <c r="AM13" s="542">
        <f>INDEX('Detailed Assumptions'!$E$106:$J$106,MATCH($C$4,'Detailed Assumptions'!$D$106:$D$106,0),MATCH(AM$2,'Detailed Assumptions'!$E$105:$J$105,0))</f>
        <v>10</v>
      </c>
      <c r="AN13" s="542">
        <f>INDEX('Detailed Assumptions'!$E$106:$J$106,MATCH($C$4,'Detailed Assumptions'!$D$106:$D$106,0),MATCH(AN$2,'Detailed Assumptions'!$E$105:$J$105,0))</f>
        <v>10</v>
      </c>
      <c r="AO13" s="542">
        <f>INDEX('Detailed Assumptions'!$E$106:$J$106,MATCH($C$4,'Detailed Assumptions'!$D$106:$D$106,0),MATCH(AO$2,'Detailed Assumptions'!$E$105:$J$105,0))</f>
        <v>10</v>
      </c>
      <c r="AP13" s="542">
        <f>INDEX('Detailed Assumptions'!$E$106:$J$106,MATCH($C$4,'Detailed Assumptions'!$D$106:$D$106,0),MATCH(AP$2,'Detailed Assumptions'!$E$105:$J$105,0))</f>
        <v>10</v>
      </c>
      <c r="AQ13" s="542">
        <f>INDEX('Detailed Assumptions'!$E$106:$J$106,MATCH($C$4,'Detailed Assumptions'!$D$106:$D$106,0),MATCH(AQ$2,'Detailed Assumptions'!$E$105:$J$105,0))</f>
        <v>10</v>
      </c>
      <c r="AR13" s="542">
        <f>INDEX('Detailed Assumptions'!$E$106:$J$106,MATCH($C$4,'Detailed Assumptions'!$D$106:$D$106,0),MATCH(AR$2,'Detailed Assumptions'!$E$105:$J$105,0))</f>
        <v>10</v>
      </c>
      <c r="AS13" s="542">
        <f>INDEX('Detailed Assumptions'!$E$106:$J$106,MATCH($C$4,'Detailed Assumptions'!$D$106:$D$106,0),MATCH(AS$2,'Detailed Assumptions'!$E$105:$J$105,0))</f>
        <v>10</v>
      </c>
      <c r="AT13" s="542">
        <f>INDEX('Detailed Assumptions'!$E$106:$J$106,MATCH($C$4,'Detailed Assumptions'!$D$106:$D$106,0),MATCH(AT$2,'Detailed Assumptions'!$E$105:$J$105,0))</f>
        <v>10</v>
      </c>
      <c r="AU13" s="542">
        <f>INDEX('Detailed Assumptions'!$E$106:$J$106,MATCH($C$4,'Detailed Assumptions'!$D$106:$D$106,0),MATCH(AU$2,'Detailed Assumptions'!$E$105:$J$105,0))</f>
        <v>10</v>
      </c>
      <c r="AV13" s="542">
        <f>INDEX('Detailed Assumptions'!$E$106:$J$106,MATCH($C$4,'Detailed Assumptions'!$D$106:$D$106,0),MATCH(AV$2,'Detailed Assumptions'!$E$105:$J$105,0))</f>
        <v>10</v>
      </c>
      <c r="AW13" s="542">
        <f>INDEX('Detailed Assumptions'!$E$106:$J$106,MATCH($C$4,'Detailed Assumptions'!$D$106:$D$106,0),MATCH(AW$2,'Detailed Assumptions'!$E$105:$J$105,0))</f>
        <v>10</v>
      </c>
      <c r="AX13" s="542">
        <f>INDEX('Detailed Assumptions'!$E$106:$J$106,MATCH($C$4,'Detailed Assumptions'!$D$106:$D$106,0),MATCH(AX$2,'Detailed Assumptions'!$E$105:$J$105,0))</f>
        <v>10</v>
      </c>
      <c r="AY13" s="542">
        <f>INDEX('Detailed Assumptions'!$E$106:$J$106,MATCH($C$4,'Detailed Assumptions'!$D$106:$D$106,0),MATCH(AY$2,'Detailed Assumptions'!$E$105:$J$105,0))</f>
        <v>10</v>
      </c>
      <c r="AZ13" s="542">
        <f>INDEX('Detailed Assumptions'!$E$106:$J$106,MATCH($C$4,'Detailed Assumptions'!$D$106:$D$106,0),MATCH(AZ$2,'Detailed Assumptions'!$E$105:$J$105,0))</f>
        <v>10</v>
      </c>
      <c r="BA13" s="542">
        <f>INDEX('Detailed Assumptions'!$E$106:$J$106,MATCH($C$4,'Detailed Assumptions'!$D$106:$D$106,0),MATCH(BA$2,'Detailed Assumptions'!$E$105:$J$105,0))</f>
        <v>10</v>
      </c>
      <c r="BB13" s="542">
        <f>INDEX('Detailed Assumptions'!$E$106:$J$106,MATCH($C$4,'Detailed Assumptions'!$D$106:$D$106,0),MATCH(BB$2,'Detailed Assumptions'!$E$105:$J$105,0))</f>
        <v>10</v>
      </c>
      <c r="BC13" s="542">
        <f>INDEX('Detailed Assumptions'!$E$106:$J$106,MATCH($C$4,'Detailed Assumptions'!$D$106:$D$106,0),MATCH(BC$2,'Detailed Assumptions'!$E$105:$J$105,0))</f>
        <v>10</v>
      </c>
      <c r="BD13" s="542">
        <f>INDEX('Detailed Assumptions'!$E$106:$J$106,MATCH($C$4,'Detailed Assumptions'!$D$106:$D$106,0),MATCH(BD$2,'Detailed Assumptions'!$E$105:$J$105,0))</f>
        <v>10</v>
      </c>
      <c r="BE13" s="542">
        <f>INDEX('Detailed Assumptions'!$E$106:$J$106,MATCH($C$4,'Detailed Assumptions'!$D$106:$D$106,0),MATCH(BE$2,'Detailed Assumptions'!$E$105:$J$105,0))</f>
        <v>10</v>
      </c>
      <c r="BF13" s="542">
        <f>INDEX('Detailed Assumptions'!$E$106:$J$106,MATCH($C$4,'Detailed Assumptions'!$D$106:$D$106,0),MATCH(BF$2,'Detailed Assumptions'!$E$105:$J$105,0))</f>
        <v>10</v>
      </c>
      <c r="BG13" s="542">
        <f>INDEX('Detailed Assumptions'!$E$106:$J$106,MATCH($C$4,'Detailed Assumptions'!$D$106:$D$106,0),MATCH(BG$2,'Detailed Assumptions'!$E$105:$J$105,0))</f>
        <v>10</v>
      </c>
      <c r="BH13" s="542">
        <f>INDEX('Detailed Assumptions'!$E$106:$J$106,MATCH($C$4,'Detailed Assumptions'!$D$106:$D$106,0),MATCH(BH$2,'Detailed Assumptions'!$E$105:$J$105,0))</f>
        <v>10</v>
      </c>
      <c r="BI13" s="542">
        <f>INDEX('Detailed Assumptions'!$E$106:$J$106,MATCH($C$4,'Detailed Assumptions'!$D$106:$D$106,0),MATCH(BI$2,'Detailed Assumptions'!$E$105:$J$105,0))</f>
        <v>10</v>
      </c>
      <c r="BJ13" s="542">
        <f>INDEX('Detailed Assumptions'!$E$106:$J$106,MATCH($C$4,'Detailed Assumptions'!$D$106:$D$106,0),MATCH(BJ$2,'Detailed Assumptions'!$E$105:$J$105,0))</f>
        <v>10</v>
      </c>
      <c r="BK13" s="542">
        <f>INDEX('Detailed Assumptions'!$E$106:$J$106,MATCH($C$4,'Detailed Assumptions'!$D$106:$D$106,0),MATCH(BK$2,'Detailed Assumptions'!$E$105:$J$105,0))</f>
        <v>10</v>
      </c>
      <c r="BL13" s="542">
        <f>INDEX('Detailed Assumptions'!$E$106:$J$106,MATCH($C$4,'Detailed Assumptions'!$D$106:$D$106,0),MATCH(BL$2,'Detailed Assumptions'!$E$105:$J$105,0))</f>
        <v>10</v>
      </c>
      <c r="BM13" s="542">
        <f>INDEX('Detailed Assumptions'!$E$106:$J$106,MATCH($C$4,'Detailed Assumptions'!$D$106:$D$106,0),MATCH(BM$2,'Detailed Assumptions'!$E$105:$J$105,0))</f>
        <v>10</v>
      </c>
      <c r="BN13" s="542">
        <f>INDEX('Detailed Assumptions'!$E$106:$J$106,MATCH($C$4,'Detailed Assumptions'!$D$106:$D$106,0),MATCH(BN$2,'Detailed Assumptions'!$E$105:$J$105,0))</f>
        <v>10</v>
      </c>
      <c r="BO13" s="542">
        <f>INDEX('Detailed Assumptions'!$E$106:$J$106,MATCH($C$4,'Detailed Assumptions'!$D$106:$D$106,0),MATCH(BO$2,'Detailed Assumptions'!$E$105:$J$105,0))</f>
        <v>10</v>
      </c>
      <c r="BP13" s="542">
        <f>INDEX('Detailed Assumptions'!$E$106:$J$106,MATCH($C$4,'Detailed Assumptions'!$D$106:$D$106,0),MATCH(BP$2,'Detailed Assumptions'!$E$105:$J$105,0))</f>
        <v>10</v>
      </c>
      <c r="BQ13" s="542">
        <f>INDEX('Detailed Assumptions'!$E$106:$J$106,MATCH($C$4,'Detailed Assumptions'!$D$106:$D$106,0),MATCH(BQ$2,'Detailed Assumptions'!$E$105:$J$105,0))</f>
        <v>10</v>
      </c>
      <c r="BR13" s="542">
        <f>INDEX('Detailed Assumptions'!$E$106:$J$106,MATCH($C$4,'Detailed Assumptions'!$D$106:$D$106,0),MATCH(BR$2,'Detailed Assumptions'!$E$105:$J$105,0))</f>
        <v>10</v>
      </c>
      <c r="BS13" s="542">
        <f>INDEX('Detailed Assumptions'!$E$106:$J$106,MATCH($C$4,'Detailed Assumptions'!$D$106:$D$106,0),MATCH(BS$2,'Detailed Assumptions'!$E$105:$J$105,0))</f>
        <v>10</v>
      </c>
      <c r="BT13" s="542">
        <f>INDEX('Detailed Assumptions'!$E$106:$J$106,MATCH($C$4,'Detailed Assumptions'!$D$106:$D$106,0),MATCH(BT$2,'Detailed Assumptions'!$E$105:$J$105,0))</f>
        <v>10</v>
      </c>
      <c r="BU13" s="542">
        <f>INDEX('Detailed Assumptions'!$E$106:$J$106,MATCH($C$4,'Detailed Assumptions'!$D$106:$D$106,0),MATCH(BU$2,'Detailed Assumptions'!$E$105:$J$105,0))</f>
        <v>10</v>
      </c>
      <c r="BV13" s="542">
        <f>INDEX('Detailed Assumptions'!$E$106:$J$106,MATCH($C$4,'Detailed Assumptions'!$D$106:$D$106,0),MATCH(BV$2,'Detailed Assumptions'!$E$105:$J$105,0))</f>
        <v>10</v>
      </c>
      <c r="BW13" s="542">
        <f>INDEX('Detailed Assumptions'!$E$106:$J$106,MATCH($C$4,'Detailed Assumptions'!$D$106:$D$106,0),MATCH(BW$2,'Detailed Assumptions'!$E$105:$J$105,0))</f>
        <v>10</v>
      </c>
      <c r="BX13" s="542">
        <f>INDEX('Detailed Assumptions'!$E$106:$J$106,MATCH($C$4,'Detailed Assumptions'!$D$106:$D$106,0),MATCH(BX$2,'Detailed Assumptions'!$E$105:$J$105,0))</f>
        <v>10</v>
      </c>
      <c r="BY13" s="542">
        <f>INDEX('Detailed Assumptions'!$E$106:$J$106,MATCH($C$4,'Detailed Assumptions'!$D$106:$D$106,0),MATCH(BY$2,'Detailed Assumptions'!$E$105:$J$105,0))</f>
        <v>10</v>
      </c>
    </row>
    <row r="14" spans="1:80" x14ac:dyDescent="0.3">
      <c r="C14" s="2"/>
      <c r="D14" s="2"/>
      <c r="E14" s="2"/>
      <c r="F14" s="2"/>
      <c r="G14" s="2"/>
      <c r="H14" s="2"/>
      <c r="I14" s="2"/>
      <c r="J14" s="2"/>
      <c r="K14" s="2"/>
      <c r="L14" s="2"/>
      <c r="M14" s="2"/>
      <c r="N14" s="2"/>
      <c r="O14" s="2"/>
      <c r="P14" s="10"/>
      <c r="R14" s="2"/>
      <c r="S14" s="2"/>
      <c r="T14" s="2"/>
      <c r="U14" s="2"/>
      <c r="V14" s="2"/>
      <c r="W14" s="2"/>
      <c r="X14" s="2"/>
      <c r="Y14" s="2"/>
      <c r="Z14" s="2"/>
      <c r="AA14" s="2"/>
      <c r="AB14" s="2"/>
      <c r="AC14" s="2"/>
      <c r="AD14" s="2"/>
      <c r="AE14" s="2"/>
      <c r="AF14" s="2"/>
      <c r="AG14" s="2"/>
      <c r="AH14" s="2"/>
      <c r="AI14" s="2"/>
      <c r="AJ14" s="2"/>
      <c r="AK14" s="2"/>
      <c r="AL14" s="2"/>
      <c r="AM14" s="2"/>
      <c r="AN14" s="2"/>
      <c r="AO14" s="2"/>
      <c r="AP14" s="2"/>
      <c r="AQ14" s="2"/>
      <c r="AR14" s="2"/>
      <c r="AS14" s="2"/>
      <c r="AT14" s="2"/>
      <c r="AU14" s="2"/>
      <c r="AV14" s="2"/>
      <c r="AW14" s="2"/>
      <c r="AX14" s="2"/>
      <c r="AY14" s="2"/>
      <c r="AZ14" s="2"/>
      <c r="BA14" s="2"/>
      <c r="BB14" s="2"/>
      <c r="BC14" s="2"/>
      <c r="BD14" s="2"/>
      <c r="BE14" s="2"/>
      <c r="BF14" s="2"/>
      <c r="BG14" s="2"/>
      <c r="BH14" s="2"/>
      <c r="BI14" s="2"/>
      <c r="BJ14" s="2"/>
      <c r="BK14" s="2"/>
      <c r="BL14" s="2"/>
      <c r="BM14" s="2"/>
      <c r="BN14" s="2"/>
      <c r="BO14" s="2"/>
      <c r="BP14" s="2"/>
      <c r="BQ14" s="2"/>
      <c r="BR14" s="2"/>
      <c r="BS14" s="2"/>
      <c r="BT14" s="2"/>
      <c r="BU14" s="2"/>
      <c r="BV14" s="2"/>
      <c r="BW14" s="2"/>
      <c r="BX14" s="2"/>
      <c r="BY14" s="2"/>
    </row>
    <row r="15" spans="1:80" x14ac:dyDescent="0.3">
      <c r="C15" s="2"/>
      <c r="D15" s="2"/>
      <c r="E15" s="2" t="s">
        <v>174</v>
      </c>
      <c r="F15" s="2"/>
      <c r="G15" s="2"/>
      <c r="H15" s="2"/>
      <c r="I15" s="52">
        <v>0</v>
      </c>
      <c r="J15" s="52">
        <v>0</v>
      </c>
      <c r="K15" s="52">
        <v>0</v>
      </c>
      <c r="L15" s="52">
        <v>0</v>
      </c>
      <c r="M15" s="52">
        <v>0</v>
      </c>
      <c r="N15" s="52">
        <v>0</v>
      </c>
      <c r="O15" s="2"/>
      <c r="P15" s="10"/>
      <c r="R15" s="52">
        <v>0</v>
      </c>
      <c r="S15" s="52">
        <v>0</v>
      </c>
      <c r="T15" s="52">
        <v>0</v>
      </c>
      <c r="U15" s="52">
        <v>0</v>
      </c>
      <c r="V15" s="52">
        <v>0</v>
      </c>
      <c r="W15" s="52">
        <v>0</v>
      </c>
      <c r="X15" s="52">
        <v>0</v>
      </c>
      <c r="Y15" s="52">
        <v>0</v>
      </c>
      <c r="Z15" s="52">
        <v>0</v>
      </c>
      <c r="AA15" s="52">
        <v>0</v>
      </c>
      <c r="AB15" s="52">
        <v>0</v>
      </c>
      <c r="AC15" s="52">
        <v>0</v>
      </c>
      <c r="AD15" s="52">
        <v>0</v>
      </c>
      <c r="AE15" s="52">
        <v>0</v>
      </c>
      <c r="AF15" s="52">
        <v>0</v>
      </c>
      <c r="AG15" s="52">
        <v>0</v>
      </c>
      <c r="AH15" s="52">
        <v>0</v>
      </c>
      <c r="AI15" s="52">
        <v>0</v>
      </c>
      <c r="AJ15" s="52">
        <v>0</v>
      </c>
      <c r="AK15" s="52">
        <v>0</v>
      </c>
      <c r="AL15" s="52">
        <v>0</v>
      </c>
      <c r="AM15" s="52">
        <v>0</v>
      </c>
      <c r="AN15" s="52">
        <v>0</v>
      </c>
      <c r="AO15" s="52">
        <v>0</v>
      </c>
      <c r="AP15" s="52">
        <v>0</v>
      </c>
      <c r="AQ15" s="52">
        <v>0</v>
      </c>
      <c r="AR15" s="52">
        <v>0</v>
      </c>
      <c r="AS15" s="52">
        <v>0</v>
      </c>
      <c r="AT15" s="52">
        <v>0</v>
      </c>
      <c r="AU15" s="52">
        <v>0</v>
      </c>
      <c r="AV15" s="52">
        <v>0</v>
      </c>
      <c r="AW15" s="52">
        <v>0</v>
      </c>
      <c r="AX15" s="52">
        <v>0</v>
      </c>
      <c r="AY15" s="52">
        <v>0</v>
      </c>
      <c r="AZ15" s="52">
        <v>0</v>
      </c>
      <c r="BA15" s="52">
        <v>0</v>
      </c>
      <c r="BB15" s="52">
        <v>0</v>
      </c>
      <c r="BC15" s="52">
        <v>0</v>
      </c>
      <c r="BD15" s="52">
        <v>0</v>
      </c>
      <c r="BE15" s="52">
        <v>0</v>
      </c>
      <c r="BF15" s="52">
        <v>0</v>
      </c>
      <c r="BG15" s="52">
        <v>0</v>
      </c>
      <c r="BH15" s="52">
        <v>0</v>
      </c>
      <c r="BI15" s="52">
        <v>0</v>
      </c>
      <c r="BJ15" s="52">
        <v>0</v>
      </c>
      <c r="BK15" s="52">
        <v>0</v>
      </c>
      <c r="BL15" s="52">
        <v>0</v>
      </c>
      <c r="BM15" s="52">
        <v>0</v>
      </c>
      <c r="BN15" s="52">
        <v>0</v>
      </c>
      <c r="BO15" s="52">
        <v>0</v>
      </c>
      <c r="BP15" s="52">
        <v>0</v>
      </c>
      <c r="BQ15" s="52">
        <v>0</v>
      </c>
      <c r="BR15" s="52">
        <v>0</v>
      </c>
      <c r="BS15" s="52">
        <v>0</v>
      </c>
      <c r="BT15" s="52">
        <v>0</v>
      </c>
      <c r="BU15" s="52">
        <v>0</v>
      </c>
      <c r="BV15" s="52">
        <v>0</v>
      </c>
      <c r="BW15" s="52">
        <v>0</v>
      </c>
      <c r="BX15" s="52">
        <v>0</v>
      </c>
      <c r="BY15" s="52">
        <v>0</v>
      </c>
    </row>
    <row r="16" spans="1:80" x14ac:dyDescent="0.3">
      <c r="C16" s="2"/>
      <c r="D16" s="2"/>
      <c r="E16" s="2" t="s">
        <v>190</v>
      </c>
      <c r="F16" s="2"/>
      <c r="G16" s="2"/>
      <c r="H16" s="2"/>
      <c r="I16" s="52">
        <v>0</v>
      </c>
      <c r="J16" s="52">
        <v>0</v>
      </c>
      <c r="K16" s="52">
        <v>0</v>
      </c>
      <c r="L16" s="52">
        <v>0</v>
      </c>
      <c r="M16" s="52">
        <v>0</v>
      </c>
      <c r="N16" s="52">
        <v>0</v>
      </c>
      <c r="O16" s="2"/>
      <c r="P16" s="10"/>
      <c r="R16" s="52">
        <v>0</v>
      </c>
      <c r="S16" s="52">
        <v>0</v>
      </c>
      <c r="T16" s="52">
        <v>0</v>
      </c>
      <c r="U16" s="52">
        <v>0</v>
      </c>
      <c r="V16" s="52">
        <v>0</v>
      </c>
      <c r="W16" s="52">
        <v>0</v>
      </c>
      <c r="X16" s="52">
        <v>0</v>
      </c>
      <c r="Y16" s="52">
        <v>0</v>
      </c>
      <c r="Z16" s="52">
        <v>0</v>
      </c>
      <c r="AA16" s="52">
        <v>0</v>
      </c>
      <c r="AB16" s="52">
        <v>0</v>
      </c>
      <c r="AC16" s="52">
        <v>0</v>
      </c>
      <c r="AD16" s="52">
        <v>0</v>
      </c>
      <c r="AE16" s="52">
        <v>0</v>
      </c>
      <c r="AF16" s="52">
        <v>0</v>
      </c>
      <c r="AG16" s="52">
        <v>0</v>
      </c>
      <c r="AH16" s="52">
        <v>0</v>
      </c>
      <c r="AI16" s="52">
        <v>0</v>
      </c>
      <c r="AJ16" s="52">
        <v>0</v>
      </c>
      <c r="AK16" s="52">
        <v>0</v>
      </c>
      <c r="AL16" s="52">
        <v>0</v>
      </c>
      <c r="AM16" s="52">
        <v>0</v>
      </c>
      <c r="AN16" s="52">
        <v>0</v>
      </c>
      <c r="AO16" s="52">
        <v>0</v>
      </c>
      <c r="AP16" s="52">
        <v>0</v>
      </c>
      <c r="AQ16" s="52">
        <v>0</v>
      </c>
      <c r="AR16" s="52">
        <v>0</v>
      </c>
      <c r="AS16" s="52">
        <v>0</v>
      </c>
      <c r="AT16" s="52">
        <v>0</v>
      </c>
      <c r="AU16" s="52">
        <v>0</v>
      </c>
      <c r="AV16" s="52">
        <v>0</v>
      </c>
      <c r="AW16" s="52">
        <v>0</v>
      </c>
      <c r="AX16" s="52">
        <v>0</v>
      </c>
      <c r="AY16" s="52">
        <v>0</v>
      </c>
      <c r="AZ16" s="52">
        <v>0</v>
      </c>
      <c r="BA16" s="52">
        <v>0</v>
      </c>
      <c r="BB16" s="52">
        <v>0</v>
      </c>
      <c r="BC16" s="52">
        <v>0</v>
      </c>
      <c r="BD16" s="52">
        <v>0</v>
      </c>
      <c r="BE16" s="52">
        <v>0</v>
      </c>
      <c r="BF16" s="52">
        <v>0</v>
      </c>
      <c r="BG16" s="52">
        <v>0</v>
      </c>
      <c r="BH16" s="52">
        <v>0</v>
      </c>
      <c r="BI16" s="52">
        <v>0</v>
      </c>
      <c r="BJ16" s="52">
        <v>0</v>
      </c>
      <c r="BK16" s="52">
        <v>0</v>
      </c>
      <c r="BL16" s="52">
        <v>0</v>
      </c>
      <c r="BM16" s="52">
        <v>0</v>
      </c>
      <c r="BN16" s="52">
        <v>0</v>
      </c>
      <c r="BO16" s="52">
        <v>0</v>
      </c>
      <c r="BP16" s="52">
        <v>0</v>
      </c>
      <c r="BQ16" s="52">
        <v>0</v>
      </c>
      <c r="BR16" s="52">
        <v>0</v>
      </c>
      <c r="BS16" s="52">
        <v>0</v>
      </c>
      <c r="BT16" s="52">
        <v>0</v>
      </c>
      <c r="BU16" s="52">
        <v>0</v>
      </c>
      <c r="BV16" s="52">
        <v>0</v>
      </c>
      <c r="BW16" s="52">
        <v>0</v>
      </c>
      <c r="BX16" s="52">
        <v>0</v>
      </c>
      <c r="BY16" s="52">
        <v>0</v>
      </c>
    </row>
    <row r="17" spans="3:80" x14ac:dyDescent="0.3">
      <c r="C17" s="2"/>
      <c r="D17" s="2"/>
      <c r="E17" s="2" t="s">
        <v>266</v>
      </c>
      <c r="F17" s="2"/>
      <c r="G17" s="2"/>
      <c r="H17" s="2"/>
      <c r="I17" s="52">
        <v>0</v>
      </c>
      <c r="J17" s="52">
        <v>0</v>
      </c>
      <c r="K17" s="52">
        <v>0</v>
      </c>
      <c r="L17" s="52">
        <v>0</v>
      </c>
      <c r="M17" s="52">
        <v>0</v>
      </c>
      <c r="N17" s="52">
        <v>0</v>
      </c>
      <c r="O17" s="2"/>
      <c r="P17" s="10"/>
      <c r="R17" s="52">
        <v>0</v>
      </c>
      <c r="S17" s="52">
        <v>0</v>
      </c>
      <c r="T17" s="52">
        <v>0</v>
      </c>
      <c r="U17" s="52">
        <v>0</v>
      </c>
      <c r="V17" s="52">
        <v>0</v>
      </c>
      <c r="W17" s="52">
        <v>0</v>
      </c>
      <c r="X17" s="52">
        <v>0</v>
      </c>
      <c r="Y17" s="52">
        <v>0</v>
      </c>
      <c r="Z17" s="52">
        <v>0</v>
      </c>
      <c r="AA17" s="52">
        <v>0</v>
      </c>
      <c r="AB17" s="52">
        <v>0</v>
      </c>
      <c r="AC17" s="52">
        <v>0</v>
      </c>
      <c r="AD17" s="52">
        <v>0</v>
      </c>
      <c r="AE17" s="52">
        <v>0</v>
      </c>
      <c r="AF17" s="52">
        <v>0</v>
      </c>
      <c r="AG17" s="52">
        <v>0</v>
      </c>
      <c r="AH17" s="52">
        <v>0</v>
      </c>
      <c r="AI17" s="52">
        <v>0</v>
      </c>
      <c r="AJ17" s="52">
        <v>0</v>
      </c>
      <c r="AK17" s="52">
        <v>0</v>
      </c>
      <c r="AL17" s="52">
        <v>0</v>
      </c>
      <c r="AM17" s="52">
        <v>0</v>
      </c>
      <c r="AN17" s="52">
        <v>0</v>
      </c>
      <c r="AO17" s="52">
        <v>0</v>
      </c>
      <c r="AP17" s="52">
        <v>0</v>
      </c>
      <c r="AQ17" s="52">
        <v>0</v>
      </c>
      <c r="AR17" s="52">
        <v>0</v>
      </c>
      <c r="AS17" s="52">
        <v>0</v>
      </c>
      <c r="AT17" s="52">
        <v>0</v>
      </c>
      <c r="AU17" s="52">
        <v>0</v>
      </c>
      <c r="AV17" s="52">
        <v>0</v>
      </c>
      <c r="AW17" s="52">
        <v>0</v>
      </c>
      <c r="AX17" s="52">
        <v>0</v>
      </c>
      <c r="AY17" s="52">
        <v>0</v>
      </c>
      <c r="AZ17" s="52">
        <v>0</v>
      </c>
      <c r="BA17" s="52">
        <v>0</v>
      </c>
      <c r="BB17" s="52">
        <v>0</v>
      </c>
      <c r="BC17" s="52">
        <v>0</v>
      </c>
      <c r="BD17" s="52">
        <v>0</v>
      </c>
      <c r="BE17" s="52">
        <v>0</v>
      </c>
      <c r="BF17" s="52">
        <v>0</v>
      </c>
      <c r="BG17" s="52">
        <v>0</v>
      </c>
      <c r="BH17" s="52">
        <v>0</v>
      </c>
      <c r="BI17" s="52">
        <v>0</v>
      </c>
      <c r="BJ17" s="52">
        <v>0</v>
      </c>
      <c r="BK17" s="52">
        <v>0</v>
      </c>
      <c r="BL17" s="52">
        <v>0</v>
      </c>
      <c r="BM17" s="52">
        <v>0</v>
      </c>
      <c r="BN17" s="52">
        <v>0</v>
      </c>
      <c r="BO17" s="52">
        <v>0</v>
      </c>
      <c r="BP17" s="52">
        <v>0</v>
      </c>
      <c r="BQ17" s="52">
        <v>0</v>
      </c>
      <c r="BR17" s="52">
        <v>0</v>
      </c>
      <c r="BS17" s="52">
        <v>0</v>
      </c>
      <c r="BT17" s="52">
        <v>0</v>
      </c>
      <c r="BU17" s="52">
        <v>0</v>
      </c>
      <c r="BV17" s="52">
        <v>0</v>
      </c>
      <c r="BW17" s="52">
        <v>0</v>
      </c>
      <c r="BX17" s="52">
        <v>0</v>
      </c>
      <c r="BY17" s="52">
        <v>0</v>
      </c>
    </row>
    <row r="18" spans="3:80" x14ac:dyDescent="0.3">
      <c r="C18" s="2"/>
      <c r="D18" s="2"/>
      <c r="E18" s="2"/>
      <c r="F18" s="2"/>
      <c r="G18" s="2"/>
      <c r="H18" s="2"/>
      <c r="I18" s="2"/>
      <c r="J18" s="2"/>
      <c r="K18" s="2"/>
      <c r="L18" s="2"/>
      <c r="M18" s="2"/>
      <c r="N18" s="2"/>
      <c r="O18" s="2"/>
      <c r="P18" s="10"/>
      <c r="R18" s="2"/>
      <c r="S18" s="2"/>
      <c r="T18" s="2"/>
      <c r="U18" s="2"/>
      <c r="V18" s="2"/>
      <c r="W18" s="2"/>
      <c r="X18" s="2"/>
      <c r="Y18" s="2"/>
      <c r="Z18" s="2"/>
      <c r="AA18" s="2"/>
      <c r="AB18" s="2"/>
      <c r="AC18" s="2"/>
      <c r="AD18" s="2"/>
      <c r="AE18" s="2"/>
      <c r="AF18" s="2"/>
      <c r="AG18" s="2"/>
      <c r="AH18" s="2"/>
      <c r="AI18" s="2"/>
      <c r="AJ18" s="2"/>
      <c r="AK18" s="2"/>
      <c r="AL18" s="2"/>
      <c r="AM18" s="2"/>
      <c r="AN18" s="2"/>
      <c r="AO18" s="2"/>
      <c r="AP18" s="2"/>
      <c r="AQ18" s="2"/>
      <c r="AR18" s="2"/>
      <c r="AS18" s="2"/>
      <c r="AT18" s="2"/>
      <c r="AU18" s="2"/>
      <c r="AV18" s="2"/>
      <c r="AW18" s="2"/>
      <c r="AX18" s="2"/>
      <c r="AY18" s="2"/>
      <c r="AZ18" s="2"/>
      <c r="BA18" s="2"/>
      <c r="BB18" s="2"/>
      <c r="BC18" s="2"/>
      <c r="BD18" s="2"/>
      <c r="BE18" s="2"/>
      <c r="BF18" s="2"/>
      <c r="BG18" s="2"/>
      <c r="BH18" s="2"/>
      <c r="BI18" s="2"/>
      <c r="BJ18" s="2"/>
      <c r="BK18" s="2"/>
      <c r="BL18" s="2"/>
      <c r="BM18" s="2"/>
      <c r="BN18" s="2"/>
      <c r="BO18" s="2"/>
      <c r="BP18" s="2"/>
      <c r="BQ18" s="2"/>
      <c r="BR18" s="2"/>
      <c r="BS18" s="2"/>
      <c r="BT18" s="2"/>
      <c r="BU18" s="2"/>
      <c r="BV18" s="2"/>
      <c r="BW18" s="2"/>
      <c r="BX18" s="2"/>
      <c r="BY18" s="2"/>
    </row>
    <row r="19" spans="3:80" x14ac:dyDescent="0.3">
      <c r="C19" s="2"/>
      <c r="D19" s="2"/>
      <c r="E19" s="22" t="s">
        <v>373</v>
      </c>
      <c r="F19" s="54"/>
      <c r="G19" s="54"/>
      <c r="H19" s="54"/>
      <c r="I19" s="497">
        <f>I$13*I84*-1</f>
        <v>-1549.3832179906528</v>
      </c>
      <c r="J19" s="497">
        <f>SUMIF($R$2:$BY$2,J$3,$R19:$BY19)</f>
        <v>-1567.7431923171791</v>
      </c>
      <c r="K19" s="497">
        <f>SUMIF($R$2:$BY$2,K$3,$R19:$BY19)</f>
        <v>-1599.090035366057</v>
      </c>
      <c r="L19" s="497">
        <f>SUMIF($R$2:$BY$2,L$3,$R19:$BY19)</f>
        <v>-1630.1696369085673</v>
      </c>
      <c r="M19" s="497">
        <f>SUMIF($R$2:$BY$2,M$3,$R19:$BY19)</f>
        <v>-1662.5126797604016</v>
      </c>
      <c r="N19" s="497">
        <f>SUMIF($R$2:$BY$2,N$3,$R19:$BY19)</f>
        <v>-1695.5509189795421</v>
      </c>
      <c r="O19" s="37"/>
      <c r="P19" s="55">
        <f>IFERROR(((N19/I19)^(1/5))-1,0)</f>
        <v>1.8193681819313801E-2</v>
      </c>
      <c r="R19" s="497">
        <f t="shared" ref="R19:AW19" si="5">R$13*R84*-1</f>
        <v>-129.11526816588773</v>
      </c>
      <c r="S19" s="527">
        <f t="shared" si="5"/>
        <v>-129.11526816588773</v>
      </c>
      <c r="T19" s="527">
        <f t="shared" si="5"/>
        <v>-129.11526816588773</v>
      </c>
      <c r="U19" s="527">
        <f t="shared" si="5"/>
        <v>-129.11526816588773</v>
      </c>
      <c r="V19" s="527">
        <f t="shared" si="5"/>
        <v>-129.11526816588773</v>
      </c>
      <c r="W19" s="527">
        <f t="shared" si="5"/>
        <v>-129.11526816588773</v>
      </c>
      <c r="X19" s="527">
        <f t="shared" si="5"/>
        <v>-132.17526388697542</v>
      </c>
      <c r="Y19" s="527">
        <f t="shared" si="5"/>
        <v>-132.17526388697542</v>
      </c>
      <c r="Z19" s="527">
        <f t="shared" si="5"/>
        <v>-132.17526388697542</v>
      </c>
      <c r="AA19" s="527">
        <f t="shared" si="5"/>
        <v>-132.17526388697542</v>
      </c>
      <c r="AB19" s="527">
        <f t="shared" si="5"/>
        <v>-132.17526388697542</v>
      </c>
      <c r="AC19" s="527">
        <f t="shared" si="5"/>
        <v>-132.17526388697542</v>
      </c>
      <c r="AD19" s="527">
        <f t="shared" si="5"/>
        <v>-131.38631770966833</v>
      </c>
      <c r="AE19" s="527">
        <f t="shared" si="5"/>
        <v>-131.38631770966833</v>
      </c>
      <c r="AF19" s="527">
        <f t="shared" si="5"/>
        <v>-131.38631770966833</v>
      </c>
      <c r="AG19" s="527">
        <f t="shared" si="5"/>
        <v>-131.38631770966833</v>
      </c>
      <c r="AH19" s="527">
        <f t="shared" si="5"/>
        <v>-131.38631770966833</v>
      </c>
      <c r="AI19" s="527">
        <f t="shared" si="5"/>
        <v>-131.38631770966833</v>
      </c>
      <c r="AJ19" s="527">
        <f t="shared" si="5"/>
        <v>-135.12868818467444</v>
      </c>
      <c r="AK19" s="527">
        <f t="shared" si="5"/>
        <v>-135.12868818467444</v>
      </c>
      <c r="AL19" s="527">
        <f t="shared" si="5"/>
        <v>-135.12868818467444</v>
      </c>
      <c r="AM19" s="527">
        <f t="shared" si="5"/>
        <v>-135.12868818467444</v>
      </c>
      <c r="AN19" s="527">
        <f t="shared" si="5"/>
        <v>-135.12868818467444</v>
      </c>
      <c r="AO19" s="527">
        <f t="shared" si="5"/>
        <v>-135.12868818467444</v>
      </c>
      <c r="AP19" s="527">
        <f t="shared" si="5"/>
        <v>-133.63993777647997</v>
      </c>
      <c r="AQ19" s="527">
        <f t="shared" si="5"/>
        <v>-133.63993777647997</v>
      </c>
      <c r="AR19" s="527">
        <f t="shared" si="5"/>
        <v>-133.63993777647997</v>
      </c>
      <c r="AS19" s="527">
        <f t="shared" si="5"/>
        <v>-133.63993777647997</v>
      </c>
      <c r="AT19" s="527">
        <f t="shared" si="5"/>
        <v>-133.63993777647997</v>
      </c>
      <c r="AU19" s="527">
        <f t="shared" si="5"/>
        <v>-133.63993777647997</v>
      </c>
      <c r="AV19" s="527">
        <f t="shared" si="5"/>
        <v>-138.05500170828125</v>
      </c>
      <c r="AW19" s="527">
        <f t="shared" si="5"/>
        <v>-138.05500170828125</v>
      </c>
      <c r="AX19" s="527">
        <f t="shared" ref="AX19:BY19" si="6">AX$13*AX84*-1</f>
        <v>-138.05500170828125</v>
      </c>
      <c r="AY19" s="527">
        <f t="shared" si="6"/>
        <v>-138.05500170828125</v>
      </c>
      <c r="AZ19" s="527">
        <f t="shared" si="6"/>
        <v>-138.05500170828125</v>
      </c>
      <c r="BA19" s="527">
        <f t="shared" si="6"/>
        <v>-138.05500170828125</v>
      </c>
      <c r="BB19" s="527">
        <f t="shared" si="6"/>
        <v>-136.00154584232118</v>
      </c>
      <c r="BC19" s="527">
        <f t="shared" si="6"/>
        <v>-136.00154584232118</v>
      </c>
      <c r="BD19" s="527">
        <f t="shared" si="6"/>
        <v>-136.00154584232118</v>
      </c>
      <c r="BE19" s="527">
        <f t="shared" si="6"/>
        <v>-136.00154584232118</v>
      </c>
      <c r="BF19" s="527">
        <f t="shared" si="6"/>
        <v>-136.00154584232118</v>
      </c>
      <c r="BG19" s="527">
        <f t="shared" si="6"/>
        <v>-136.00154584232118</v>
      </c>
      <c r="BH19" s="527">
        <f t="shared" si="6"/>
        <v>-141.08390078441241</v>
      </c>
      <c r="BI19" s="527">
        <f t="shared" si="6"/>
        <v>-141.08390078441241</v>
      </c>
      <c r="BJ19" s="527">
        <f t="shared" si="6"/>
        <v>-141.08390078441241</v>
      </c>
      <c r="BK19" s="527">
        <f t="shared" si="6"/>
        <v>-141.08390078441241</v>
      </c>
      <c r="BL19" s="527">
        <f t="shared" si="6"/>
        <v>-141.08390078441241</v>
      </c>
      <c r="BM19" s="527">
        <f t="shared" si="6"/>
        <v>-141.08390078441241</v>
      </c>
      <c r="BN19" s="527">
        <f t="shared" si="6"/>
        <v>-138.427468801272</v>
      </c>
      <c r="BO19" s="527">
        <f t="shared" si="6"/>
        <v>-138.427468801272</v>
      </c>
      <c r="BP19" s="527">
        <f t="shared" si="6"/>
        <v>-138.427468801272</v>
      </c>
      <c r="BQ19" s="527">
        <f t="shared" si="6"/>
        <v>-138.427468801272</v>
      </c>
      <c r="BR19" s="527">
        <f t="shared" si="6"/>
        <v>-138.427468801272</v>
      </c>
      <c r="BS19" s="527">
        <f t="shared" si="6"/>
        <v>-138.427468801272</v>
      </c>
      <c r="BT19" s="527">
        <f t="shared" si="6"/>
        <v>-144.16435102865162</v>
      </c>
      <c r="BU19" s="527">
        <f t="shared" si="6"/>
        <v>-144.16435102865162</v>
      </c>
      <c r="BV19" s="527">
        <f t="shared" si="6"/>
        <v>-144.16435102865162</v>
      </c>
      <c r="BW19" s="527">
        <f t="shared" si="6"/>
        <v>-144.16435102865162</v>
      </c>
      <c r="BX19" s="527">
        <f t="shared" si="6"/>
        <v>-144.16435102865162</v>
      </c>
      <c r="BY19" s="527">
        <f t="shared" si="6"/>
        <v>-144.16435102865162</v>
      </c>
    </row>
    <row r="20" spans="3:80" x14ac:dyDescent="0.3">
      <c r="C20" s="2"/>
      <c r="D20" s="2"/>
      <c r="E20" s="2"/>
      <c r="F20" s="37"/>
      <c r="G20" s="37"/>
      <c r="H20" s="37"/>
      <c r="I20" s="37"/>
      <c r="J20" s="37"/>
      <c r="K20" s="37"/>
      <c r="L20" s="37"/>
      <c r="M20" s="37"/>
      <c r="N20" s="37"/>
      <c r="O20" s="37"/>
      <c r="P20" s="35"/>
      <c r="R20" s="37"/>
      <c r="S20" s="37"/>
      <c r="T20" s="37"/>
      <c r="U20" s="37"/>
      <c r="V20" s="37"/>
      <c r="W20" s="37"/>
      <c r="X20" s="37"/>
      <c r="Y20" s="37"/>
      <c r="Z20" s="37"/>
      <c r="AA20" s="37"/>
      <c r="AB20" s="37"/>
      <c r="AC20" s="37"/>
      <c r="AD20" s="37"/>
      <c r="AE20" s="37"/>
      <c r="AF20" s="37"/>
      <c r="AG20" s="37"/>
      <c r="AH20" s="37"/>
      <c r="AI20" s="37"/>
      <c r="AJ20" s="37"/>
      <c r="AK20" s="37"/>
      <c r="AL20" s="37"/>
      <c r="AM20" s="37"/>
      <c r="AN20" s="37"/>
      <c r="AO20" s="37"/>
      <c r="AP20" s="37"/>
      <c r="AQ20" s="37"/>
      <c r="AR20" s="37"/>
      <c r="AS20" s="37"/>
      <c r="AT20" s="37"/>
      <c r="AU20" s="37"/>
      <c r="AV20" s="37"/>
      <c r="AW20" s="37"/>
      <c r="AX20" s="37"/>
      <c r="AY20" s="37"/>
      <c r="AZ20" s="37"/>
      <c r="BA20" s="37"/>
      <c r="BB20" s="37"/>
      <c r="BC20" s="37"/>
      <c r="BD20" s="37"/>
      <c r="BE20" s="37"/>
      <c r="BF20" s="37"/>
      <c r="BG20" s="37"/>
      <c r="BH20" s="37"/>
      <c r="BI20" s="37"/>
      <c r="BJ20" s="37"/>
      <c r="BK20" s="37"/>
      <c r="BL20" s="37"/>
      <c r="BM20" s="37"/>
      <c r="BN20" s="37"/>
      <c r="BO20" s="37"/>
      <c r="BP20" s="37"/>
      <c r="BQ20" s="37"/>
      <c r="BR20" s="37"/>
      <c r="BS20" s="37"/>
      <c r="BT20" s="37"/>
      <c r="BU20" s="37"/>
      <c r="BV20" s="37"/>
      <c r="BW20" s="37"/>
      <c r="BX20" s="37"/>
      <c r="BY20" s="37"/>
    </row>
    <row r="21" spans="3:80" x14ac:dyDescent="0.3">
      <c r="C21" s="2"/>
      <c r="D21" s="2"/>
      <c r="E21" s="17" t="s">
        <v>22</v>
      </c>
      <c r="F21" s="37"/>
      <c r="G21" s="37"/>
      <c r="H21" s="37"/>
      <c r="I21" s="37"/>
      <c r="J21" s="56"/>
      <c r="K21" s="56"/>
      <c r="L21" s="56"/>
      <c r="M21" s="56"/>
      <c r="N21" s="56"/>
      <c r="O21" s="37"/>
      <c r="P21" s="35"/>
      <c r="R21" s="37"/>
      <c r="S21" s="37"/>
      <c r="T21" s="37"/>
      <c r="U21" s="37"/>
      <c r="V21" s="37"/>
      <c r="W21" s="37"/>
      <c r="X21" s="37"/>
      <c r="Y21" s="37"/>
      <c r="Z21" s="37"/>
      <c r="AA21" s="37"/>
      <c r="AB21" s="37"/>
      <c r="AC21" s="37"/>
      <c r="AD21" s="37"/>
      <c r="AE21" s="37"/>
      <c r="AF21" s="37"/>
      <c r="AG21" s="37"/>
      <c r="AH21" s="37"/>
      <c r="AI21" s="37"/>
      <c r="AJ21" s="37"/>
      <c r="AK21" s="37"/>
      <c r="AL21" s="37"/>
      <c r="AM21" s="37"/>
      <c r="AN21" s="37"/>
      <c r="AO21" s="37"/>
      <c r="AP21" s="37"/>
      <c r="AQ21" s="37"/>
      <c r="AR21" s="37"/>
      <c r="AS21" s="37"/>
      <c r="AT21" s="37"/>
      <c r="AU21" s="37"/>
      <c r="AV21" s="37"/>
      <c r="AW21" s="37"/>
      <c r="AX21" s="37"/>
      <c r="AY21" s="37"/>
      <c r="AZ21" s="37"/>
      <c r="BA21" s="37"/>
      <c r="BB21" s="37"/>
      <c r="BC21" s="37"/>
      <c r="BD21" s="37"/>
      <c r="BE21" s="37"/>
      <c r="BF21" s="37"/>
      <c r="BG21" s="37"/>
      <c r="BH21" s="37"/>
      <c r="BI21" s="37"/>
      <c r="BJ21" s="37"/>
      <c r="BK21" s="37"/>
      <c r="BL21" s="37"/>
      <c r="BM21" s="37"/>
      <c r="BN21" s="37"/>
      <c r="BO21" s="37"/>
      <c r="BP21" s="37"/>
      <c r="BQ21" s="37"/>
      <c r="BR21" s="37"/>
      <c r="BS21" s="37"/>
      <c r="BT21" s="37"/>
      <c r="BU21" s="37"/>
      <c r="BV21" s="37"/>
      <c r="BW21" s="37"/>
      <c r="BX21" s="37"/>
      <c r="BY21" s="37"/>
    </row>
    <row r="22" spans="3:80" x14ac:dyDescent="0.3">
      <c r="C22" s="2"/>
      <c r="D22" s="2"/>
      <c r="E22" s="4" t="s">
        <v>388</v>
      </c>
      <c r="F22" s="5"/>
      <c r="G22" s="5"/>
      <c r="H22" s="5"/>
      <c r="I22" s="498">
        <f>I$13*I87*-1</f>
        <v>-1204660.4658092256</v>
      </c>
      <c r="J22" s="498">
        <f t="shared" ref="J22:N27" si="7">SUMIF($R$2:$BY$2,J$3,$R22:$BY22)</f>
        <v>-1264642.2614641706</v>
      </c>
      <c r="K22" s="498">
        <f t="shared" si="7"/>
        <v>-1336994.0842647105</v>
      </c>
      <c r="L22" s="498">
        <f t="shared" si="7"/>
        <v>-1411032.5566929996</v>
      </c>
      <c r="M22" s="498">
        <f t="shared" si="7"/>
        <v>-1487789.2750173646</v>
      </c>
      <c r="N22" s="498">
        <f t="shared" si="7"/>
        <v>-1568798.363454158</v>
      </c>
      <c r="O22" s="57"/>
      <c r="P22" s="55">
        <f>IFERROR(((N22/I22)^(1/5))-1,0)</f>
        <v>5.4242436493643797E-2</v>
      </c>
      <c r="R22" s="498">
        <f t="shared" ref="R22:AW22" si="8">R$13*R87*-1</f>
        <v>-104152.31578095669</v>
      </c>
      <c r="S22" s="530">
        <f t="shared" si="8"/>
        <v>-104152.31578095669</v>
      </c>
      <c r="T22" s="530">
        <f t="shared" si="8"/>
        <v>-104152.31578095669</v>
      </c>
      <c r="U22" s="530">
        <f t="shared" si="8"/>
        <v>-104152.31578095669</v>
      </c>
      <c r="V22" s="530">
        <f t="shared" si="8"/>
        <v>-104152.31578095669</v>
      </c>
      <c r="W22" s="530">
        <f t="shared" si="8"/>
        <v>-104152.31578095669</v>
      </c>
      <c r="X22" s="530">
        <f t="shared" si="8"/>
        <v>-106621.39446307176</v>
      </c>
      <c r="Y22" s="530">
        <f t="shared" si="8"/>
        <v>-106621.39446307176</v>
      </c>
      <c r="Z22" s="530">
        <f t="shared" si="8"/>
        <v>-106621.39446307176</v>
      </c>
      <c r="AA22" s="530">
        <f t="shared" si="8"/>
        <v>-106621.39446307176</v>
      </c>
      <c r="AB22" s="530">
        <f t="shared" si="8"/>
        <v>-106621.39446307176</v>
      </c>
      <c r="AC22" s="530">
        <f t="shared" si="8"/>
        <v>-106621.39446307176</v>
      </c>
      <c r="AD22" s="530">
        <f t="shared" si="8"/>
        <v>-109851.09591019542</v>
      </c>
      <c r="AE22" s="530">
        <f t="shared" si="8"/>
        <v>-109851.09591019542</v>
      </c>
      <c r="AF22" s="530">
        <f t="shared" si="8"/>
        <v>-109851.09591019542</v>
      </c>
      <c r="AG22" s="530">
        <f t="shared" si="8"/>
        <v>-109851.09591019542</v>
      </c>
      <c r="AH22" s="530">
        <f t="shared" si="8"/>
        <v>-109851.09591019542</v>
      </c>
      <c r="AI22" s="530">
        <f t="shared" si="8"/>
        <v>-109851.09591019542</v>
      </c>
      <c r="AJ22" s="530">
        <f t="shared" si="8"/>
        <v>-112981.25146725636</v>
      </c>
      <c r="AK22" s="530">
        <f t="shared" si="8"/>
        <v>-112981.25146725636</v>
      </c>
      <c r="AL22" s="530">
        <f t="shared" si="8"/>
        <v>-112981.25146725636</v>
      </c>
      <c r="AM22" s="530">
        <f t="shared" si="8"/>
        <v>-112981.25146725636</v>
      </c>
      <c r="AN22" s="530">
        <f t="shared" si="8"/>
        <v>-112981.25146725636</v>
      </c>
      <c r="AO22" s="530">
        <f t="shared" si="8"/>
        <v>-112981.25146725636</v>
      </c>
      <c r="AP22" s="530">
        <f t="shared" si="8"/>
        <v>-115674.42548587287</v>
      </c>
      <c r="AQ22" s="530">
        <f t="shared" si="8"/>
        <v>-115674.42548587287</v>
      </c>
      <c r="AR22" s="530">
        <f t="shared" si="8"/>
        <v>-115674.42548587287</v>
      </c>
      <c r="AS22" s="530">
        <f t="shared" si="8"/>
        <v>-115674.42548587287</v>
      </c>
      <c r="AT22" s="530">
        <f t="shared" si="8"/>
        <v>-115674.42548587287</v>
      </c>
      <c r="AU22" s="530">
        <f t="shared" si="8"/>
        <v>-115674.42548587287</v>
      </c>
      <c r="AV22" s="530">
        <f t="shared" si="8"/>
        <v>-119497.66729629374</v>
      </c>
      <c r="AW22" s="530">
        <f t="shared" si="8"/>
        <v>-119497.66729629374</v>
      </c>
      <c r="AX22" s="530">
        <f t="shared" ref="AX22:BY22" si="9">AX$13*AX87*-1</f>
        <v>-119497.66729629374</v>
      </c>
      <c r="AY22" s="530">
        <f t="shared" si="9"/>
        <v>-119497.66729629374</v>
      </c>
      <c r="AZ22" s="530">
        <f t="shared" si="9"/>
        <v>-119497.66729629374</v>
      </c>
      <c r="BA22" s="530">
        <f t="shared" si="9"/>
        <v>-119497.66729629374</v>
      </c>
      <c r="BB22" s="530">
        <f t="shared" si="9"/>
        <v>-121707.22899275743</v>
      </c>
      <c r="BC22" s="530">
        <f t="shared" si="9"/>
        <v>-121707.22899275743</v>
      </c>
      <c r="BD22" s="530">
        <f t="shared" si="9"/>
        <v>-121707.22899275743</v>
      </c>
      <c r="BE22" s="530">
        <f t="shared" si="9"/>
        <v>-121707.22899275743</v>
      </c>
      <c r="BF22" s="530">
        <f t="shared" si="9"/>
        <v>-121707.22899275743</v>
      </c>
      <c r="BG22" s="530">
        <f t="shared" si="9"/>
        <v>-121707.22899275743</v>
      </c>
      <c r="BH22" s="530">
        <f t="shared" si="9"/>
        <v>-126257.65017680335</v>
      </c>
      <c r="BI22" s="530">
        <f t="shared" si="9"/>
        <v>-126257.65017680335</v>
      </c>
      <c r="BJ22" s="530">
        <f t="shared" si="9"/>
        <v>-126257.65017680335</v>
      </c>
      <c r="BK22" s="530">
        <f t="shared" si="9"/>
        <v>-126257.65017680335</v>
      </c>
      <c r="BL22" s="530">
        <f t="shared" si="9"/>
        <v>-126257.65017680335</v>
      </c>
      <c r="BM22" s="530">
        <f t="shared" si="9"/>
        <v>-126257.65017680335</v>
      </c>
      <c r="BN22" s="530">
        <f t="shared" si="9"/>
        <v>-128077.81942433414</v>
      </c>
      <c r="BO22" s="530">
        <f t="shared" si="9"/>
        <v>-128077.81942433414</v>
      </c>
      <c r="BP22" s="530">
        <f t="shared" si="9"/>
        <v>-128077.81942433414</v>
      </c>
      <c r="BQ22" s="530">
        <f t="shared" si="9"/>
        <v>-128077.81942433414</v>
      </c>
      <c r="BR22" s="530">
        <f t="shared" si="9"/>
        <v>-128077.81942433414</v>
      </c>
      <c r="BS22" s="530">
        <f t="shared" si="9"/>
        <v>-128077.81942433414</v>
      </c>
      <c r="BT22" s="530">
        <f t="shared" si="9"/>
        <v>-133388.57448469213</v>
      </c>
      <c r="BU22" s="530">
        <f t="shared" si="9"/>
        <v>-133388.57448469213</v>
      </c>
      <c r="BV22" s="530">
        <f t="shared" si="9"/>
        <v>-133388.57448469213</v>
      </c>
      <c r="BW22" s="530">
        <f t="shared" si="9"/>
        <v>-133388.57448469213</v>
      </c>
      <c r="BX22" s="530">
        <f t="shared" si="9"/>
        <v>-133388.57448469213</v>
      </c>
      <c r="BY22" s="530">
        <f t="shared" si="9"/>
        <v>-133388.57448469213</v>
      </c>
      <c r="CB22" s="8"/>
    </row>
    <row r="23" spans="3:80" x14ac:dyDescent="0.3">
      <c r="C23" s="2"/>
      <c r="D23" s="2"/>
      <c r="E23" s="2" t="s">
        <v>387</v>
      </c>
      <c r="F23" s="54"/>
      <c r="G23" s="54"/>
      <c r="H23" s="54"/>
      <c r="I23" s="497">
        <f>I$13*I88*-1</f>
        <v>383726.35298631032</v>
      </c>
      <c r="J23" s="497">
        <f t="shared" si="7"/>
        <v>392130.98428943811</v>
      </c>
      <c r="K23" s="497">
        <f t="shared" si="7"/>
        <v>403990.20764854102</v>
      </c>
      <c r="L23" s="497">
        <f t="shared" si="7"/>
        <v>416020.161079999</v>
      </c>
      <c r="M23" s="497">
        <f t="shared" si="7"/>
        <v>428623.32030172175</v>
      </c>
      <c r="N23" s="497">
        <f t="shared" si="7"/>
        <v>441668.63235233043</v>
      </c>
      <c r="O23" s="37"/>
      <c r="P23" s="50">
        <f t="shared" ref="P23:P28" si="10">IFERROR(((N23/I23)^(1/5))-1,0)</f>
        <v>2.8525316566897052E-2</v>
      </c>
      <c r="R23" s="497">
        <f t="shared" ref="R23:AW23" si="11">R$13*R88*-1</f>
        <v>32293.951833421652</v>
      </c>
      <c r="S23" s="527">
        <f t="shared" si="11"/>
        <v>32293.951833421652</v>
      </c>
      <c r="T23" s="527">
        <f t="shared" si="11"/>
        <v>32293.951833421652</v>
      </c>
      <c r="U23" s="527">
        <f t="shared" si="11"/>
        <v>32293.951833421652</v>
      </c>
      <c r="V23" s="527">
        <f t="shared" si="11"/>
        <v>32293.951833421652</v>
      </c>
      <c r="W23" s="527">
        <f t="shared" si="11"/>
        <v>32293.951833421652</v>
      </c>
      <c r="X23" s="527">
        <f t="shared" si="11"/>
        <v>33061.212214818028</v>
      </c>
      <c r="Y23" s="527">
        <f t="shared" si="11"/>
        <v>33061.212214818028</v>
      </c>
      <c r="Z23" s="527">
        <f t="shared" si="11"/>
        <v>33061.212214818028</v>
      </c>
      <c r="AA23" s="527">
        <f t="shared" si="11"/>
        <v>33061.212214818028</v>
      </c>
      <c r="AB23" s="527">
        <f t="shared" si="11"/>
        <v>33061.212214818028</v>
      </c>
      <c r="AC23" s="527">
        <f t="shared" si="11"/>
        <v>33061.212214818028</v>
      </c>
      <c r="AD23" s="527">
        <f t="shared" si="11"/>
        <v>33191.803612301796</v>
      </c>
      <c r="AE23" s="527">
        <f t="shared" si="11"/>
        <v>33191.803612301796</v>
      </c>
      <c r="AF23" s="527">
        <f t="shared" si="11"/>
        <v>33191.803612301796</v>
      </c>
      <c r="AG23" s="527">
        <f t="shared" si="11"/>
        <v>33191.803612301796</v>
      </c>
      <c r="AH23" s="527">
        <f t="shared" si="11"/>
        <v>33191.803612301796</v>
      </c>
      <c r="AI23" s="527">
        <f t="shared" si="11"/>
        <v>33191.803612301796</v>
      </c>
      <c r="AJ23" s="527">
        <f t="shared" si="11"/>
        <v>34139.897662455056</v>
      </c>
      <c r="AK23" s="527">
        <f t="shared" si="11"/>
        <v>34139.897662455056</v>
      </c>
      <c r="AL23" s="527">
        <f t="shared" si="11"/>
        <v>34139.897662455056</v>
      </c>
      <c r="AM23" s="527">
        <f t="shared" si="11"/>
        <v>34139.897662455056</v>
      </c>
      <c r="AN23" s="527">
        <f t="shared" si="11"/>
        <v>34139.897662455056</v>
      </c>
      <c r="AO23" s="527">
        <f t="shared" si="11"/>
        <v>34139.897662455056</v>
      </c>
      <c r="AP23" s="527">
        <f t="shared" si="11"/>
        <v>34103.293329363063</v>
      </c>
      <c r="AQ23" s="527">
        <f t="shared" si="11"/>
        <v>34103.293329363063</v>
      </c>
      <c r="AR23" s="527">
        <f t="shared" si="11"/>
        <v>34103.293329363063</v>
      </c>
      <c r="AS23" s="527">
        <f t="shared" si="11"/>
        <v>34103.293329363063</v>
      </c>
      <c r="AT23" s="527">
        <f t="shared" si="11"/>
        <v>34103.293329363063</v>
      </c>
      <c r="AU23" s="527">
        <f t="shared" si="11"/>
        <v>34103.293329363063</v>
      </c>
      <c r="AV23" s="527">
        <f t="shared" si="11"/>
        <v>35233.400183970101</v>
      </c>
      <c r="AW23" s="527">
        <f t="shared" si="11"/>
        <v>35233.400183970101</v>
      </c>
      <c r="AX23" s="527">
        <f t="shared" ref="AX23:BY23" si="12">AX$13*AX88*-1</f>
        <v>35233.400183970101</v>
      </c>
      <c r="AY23" s="527">
        <f t="shared" si="12"/>
        <v>35233.400183970101</v>
      </c>
      <c r="AZ23" s="527">
        <f t="shared" si="12"/>
        <v>35233.400183970101</v>
      </c>
      <c r="BA23" s="527">
        <f t="shared" si="12"/>
        <v>35233.400183970101</v>
      </c>
      <c r="BB23" s="527">
        <f t="shared" si="12"/>
        <v>35061.390148997758</v>
      </c>
      <c r="BC23" s="527">
        <f t="shared" si="12"/>
        <v>35061.390148997758</v>
      </c>
      <c r="BD23" s="527">
        <f t="shared" si="12"/>
        <v>35061.390148997758</v>
      </c>
      <c r="BE23" s="527">
        <f t="shared" si="12"/>
        <v>35061.390148997758</v>
      </c>
      <c r="BF23" s="527">
        <f t="shared" si="12"/>
        <v>35061.390148997758</v>
      </c>
      <c r="BG23" s="527">
        <f t="shared" si="12"/>
        <v>35061.390148997758</v>
      </c>
      <c r="BH23" s="527">
        <f t="shared" si="12"/>
        <v>36375.829901289188</v>
      </c>
      <c r="BI23" s="527">
        <f t="shared" si="12"/>
        <v>36375.829901289188</v>
      </c>
      <c r="BJ23" s="527">
        <f t="shared" si="12"/>
        <v>36375.829901289188</v>
      </c>
      <c r="BK23" s="527">
        <f t="shared" si="12"/>
        <v>36375.829901289188</v>
      </c>
      <c r="BL23" s="527">
        <f t="shared" si="12"/>
        <v>36375.829901289188</v>
      </c>
      <c r="BM23" s="527">
        <f t="shared" si="12"/>
        <v>36375.829901289188</v>
      </c>
      <c r="BN23" s="527">
        <f t="shared" si="12"/>
        <v>36056.103132885852</v>
      </c>
      <c r="BO23" s="527">
        <f t="shared" si="12"/>
        <v>36056.103132885852</v>
      </c>
      <c r="BP23" s="527">
        <f t="shared" si="12"/>
        <v>36056.103132885852</v>
      </c>
      <c r="BQ23" s="527">
        <f t="shared" si="12"/>
        <v>36056.103132885852</v>
      </c>
      <c r="BR23" s="527">
        <f t="shared" si="12"/>
        <v>36056.103132885852</v>
      </c>
      <c r="BS23" s="527">
        <f t="shared" si="12"/>
        <v>36056.103132885852</v>
      </c>
      <c r="BT23" s="527">
        <f t="shared" si="12"/>
        <v>37555.335592502561</v>
      </c>
      <c r="BU23" s="527">
        <f t="shared" si="12"/>
        <v>37555.335592502561</v>
      </c>
      <c r="BV23" s="527">
        <f t="shared" si="12"/>
        <v>37555.335592502561</v>
      </c>
      <c r="BW23" s="527">
        <f t="shared" si="12"/>
        <v>37555.335592502561</v>
      </c>
      <c r="BX23" s="527">
        <f t="shared" si="12"/>
        <v>37555.335592502561</v>
      </c>
      <c r="BY23" s="527">
        <f t="shared" si="12"/>
        <v>37555.335592502561</v>
      </c>
      <c r="CB23" s="8"/>
    </row>
    <row r="24" spans="3:80" x14ac:dyDescent="0.3">
      <c r="C24" s="2"/>
      <c r="D24" s="2"/>
      <c r="E24" s="2" t="s">
        <v>386</v>
      </c>
      <c r="F24" s="54"/>
      <c r="G24" s="54"/>
      <c r="H24" s="54"/>
      <c r="I24" s="497">
        <f>I$13*I89*-1</f>
        <v>71101.424561531356</v>
      </c>
      <c r="J24" s="497">
        <f t="shared" si="7"/>
        <v>73388.866952052907</v>
      </c>
      <c r="K24" s="497">
        <f t="shared" si="7"/>
        <v>76363.884678837727</v>
      </c>
      <c r="L24" s="497">
        <f t="shared" si="7"/>
        <v>79415.472337268613</v>
      </c>
      <c r="M24" s="497">
        <f t="shared" si="7"/>
        <v>82622.281465057036</v>
      </c>
      <c r="N24" s="497">
        <f t="shared" si="7"/>
        <v>85961.827910515291</v>
      </c>
      <c r="O24" s="37"/>
      <c r="P24" s="50">
        <f t="shared" si="10"/>
        <v>3.8688845942215888E-2</v>
      </c>
      <c r="R24" s="497">
        <f t="shared" ref="R24:AW24" si="13">R$13*R89*-1</f>
        <v>6043.6210877301664</v>
      </c>
      <c r="S24" s="527">
        <f t="shared" si="13"/>
        <v>6043.6210877301664</v>
      </c>
      <c r="T24" s="527">
        <f t="shared" si="13"/>
        <v>6043.6210877301664</v>
      </c>
      <c r="U24" s="527">
        <f t="shared" si="13"/>
        <v>6043.6210877301664</v>
      </c>
      <c r="V24" s="527">
        <f t="shared" si="13"/>
        <v>6043.6210877301664</v>
      </c>
      <c r="W24" s="527">
        <f t="shared" si="13"/>
        <v>6043.6210877301664</v>
      </c>
      <c r="X24" s="527">
        <f t="shared" si="13"/>
        <v>6187.8567376119845</v>
      </c>
      <c r="Y24" s="527">
        <f t="shared" si="13"/>
        <v>6187.8567376119845</v>
      </c>
      <c r="Z24" s="527">
        <f t="shared" si="13"/>
        <v>6187.8567376119845</v>
      </c>
      <c r="AA24" s="527">
        <f t="shared" si="13"/>
        <v>6187.8567376119845</v>
      </c>
      <c r="AB24" s="527">
        <f t="shared" si="13"/>
        <v>6187.8567376119845</v>
      </c>
      <c r="AC24" s="527">
        <f t="shared" si="13"/>
        <v>6187.8567376119845</v>
      </c>
      <c r="AD24" s="527">
        <f t="shared" si="13"/>
        <v>6273.7044132876281</v>
      </c>
      <c r="AE24" s="527">
        <f t="shared" si="13"/>
        <v>6273.7044132876281</v>
      </c>
      <c r="AF24" s="527">
        <f t="shared" si="13"/>
        <v>6273.7044132876281</v>
      </c>
      <c r="AG24" s="527">
        <f t="shared" si="13"/>
        <v>6273.7044132876281</v>
      </c>
      <c r="AH24" s="527">
        <f t="shared" si="13"/>
        <v>6273.7044132876281</v>
      </c>
      <c r="AI24" s="527">
        <f t="shared" si="13"/>
        <v>6273.7044132876281</v>
      </c>
      <c r="AJ24" s="527">
        <f t="shared" si="13"/>
        <v>6453.6096998519915</v>
      </c>
      <c r="AK24" s="527">
        <f t="shared" si="13"/>
        <v>6453.6096998519915</v>
      </c>
      <c r="AL24" s="527">
        <f t="shared" si="13"/>
        <v>6453.6096998519915</v>
      </c>
      <c r="AM24" s="527">
        <f t="shared" si="13"/>
        <v>6453.6096998519915</v>
      </c>
      <c r="AN24" s="527">
        <f t="shared" si="13"/>
        <v>6453.6096998519915</v>
      </c>
      <c r="AO24" s="527">
        <f t="shared" si="13"/>
        <v>6453.6096998519915</v>
      </c>
      <c r="AP24" s="527">
        <f t="shared" si="13"/>
        <v>6509.7225306249693</v>
      </c>
      <c r="AQ24" s="527">
        <f t="shared" si="13"/>
        <v>6509.7225306249693</v>
      </c>
      <c r="AR24" s="527">
        <f t="shared" si="13"/>
        <v>6509.7225306249693</v>
      </c>
      <c r="AS24" s="527">
        <f t="shared" si="13"/>
        <v>6509.7225306249693</v>
      </c>
      <c r="AT24" s="527">
        <f t="shared" si="13"/>
        <v>6509.7225306249693</v>
      </c>
      <c r="AU24" s="527">
        <f t="shared" si="13"/>
        <v>6509.7225306249693</v>
      </c>
      <c r="AV24" s="527">
        <f t="shared" si="13"/>
        <v>6726.1895255864692</v>
      </c>
      <c r="AW24" s="527">
        <f t="shared" si="13"/>
        <v>6726.1895255864692</v>
      </c>
      <c r="AX24" s="527">
        <f t="shared" ref="AX24:BY24" si="14">AX$13*AX89*-1</f>
        <v>6726.1895255864692</v>
      </c>
      <c r="AY24" s="527">
        <f t="shared" si="14"/>
        <v>6726.1895255864692</v>
      </c>
      <c r="AZ24" s="527">
        <f t="shared" si="14"/>
        <v>6726.1895255864692</v>
      </c>
      <c r="BA24" s="527">
        <f t="shared" si="14"/>
        <v>6726.1895255864692</v>
      </c>
      <c r="BB24" s="527">
        <f t="shared" si="14"/>
        <v>6758.1166221165122</v>
      </c>
      <c r="BC24" s="527">
        <f t="shared" si="14"/>
        <v>6758.1166221165122</v>
      </c>
      <c r="BD24" s="527">
        <f t="shared" si="14"/>
        <v>6758.1166221165122</v>
      </c>
      <c r="BE24" s="527">
        <f t="shared" si="14"/>
        <v>6758.1166221165122</v>
      </c>
      <c r="BF24" s="527">
        <f t="shared" si="14"/>
        <v>6758.1166221165122</v>
      </c>
      <c r="BG24" s="527">
        <f t="shared" si="14"/>
        <v>6758.1166221165122</v>
      </c>
      <c r="BH24" s="527">
        <f t="shared" si="14"/>
        <v>7012.2636220596578</v>
      </c>
      <c r="BI24" s="527">
        <f t="shared" si="14"/>
        <v>7012.2636220596578</v>
      </c>
      <c r="BJ24" s="527">
        <f t="shared" si="14"/>
        <v>7012.2636220596578</v>
      </c>
      <c r="BK24" s="527">
        <f t="shared" si="14"/>
        <v>7012.2636220596578</v>
      </c>
      <c r="BL24" s="527">
        <f t="shared" si="14"/>
        <v>7012.2636220596578</v>
      </c>
      <c r="BM24" s="527">
        <f t="shared" si="14"/>
        <v>7012.2636220596578</v>
      </c>
      <c r="BN24" s="527">
        <f t="shared" si="14"/>
        <v>7017.1888147195241</v>
      </c>
      <c r="BO24" s="527">
        <f t="shared" si="14"/>
        <v>7017.1888147195241</v>
      </c>
      <c r="BP24" s="527">
        <f t="shared" si="14"/>
        <v>7017.1888147195241</v>
      </c>
      <c r="BQ24" s="527">
        <f t="shared" si="14"/>
        <v>7017.1888147195241</v>
      </c>
      <c r="BR24" s="527">
        <f t="shared" si="14"/>
        <v>7017.1888147195241</v>
      </c>
      <c r="BS24" s="527">
        <f t="shared" si="14"/>
        <v>7017.1888147195241</v>
      </c>
      <c r="BT24" s="527">
        <f t="shared" si="14"/>
        <v>7309.7825036996901</v>
      </c>
      <c r="BU24" s="527">
        <f t="shared" si="14"/>
        <v>7309.7825036996901</v>
      </c>
      <c r="BV24" s="527">
        <f t="shared" si="14"/>
        <v>7309.7825036996901</v>
      </c>
      <c r="BW24" s="527">
        <f t="shared" si="14"/>
        <v>7309.7825036996901</v>
      </c>
      <c r="BX24" s="527">
        <f t="shared" si="14"/>
        <v>7309.7825036996901</v>
      </c>
      <c r="BY24" s="527">
        <f t="shared" si="14"/>
        <v>7309.7825036996901</v>
      </c>
      <c r="CB24" s="8"/>
    </row>
    <row r="25" spans="3:80" x14ac:dyDescent="0.3">
      <c r="C25" s="2"/>
      <c r="D25" s="2"/>
      <c r="E25" s="4" t="s">
        <v>385</v>
      </c>
      <c r="F25" s="5"/>
      <c r="G25" s="5"/>
      <c r="H25" s="5"/>
      <c r="I25" s="498">
        <f>SUM(I22:I24)</f>
        <v>-749832.6882613838</v>
      </c>
      <c r="J25" s="498">
        <f t="shared" si="7"/>
        <v>-799122.41022267984</v>
      </c>
      <c r="K25" s="498">
        <f t="shared" si="7"/>
        <v>-856639.99193733174</v>
      </c>
      <c r="L25" s="498">
        <f t="shared" si="7"/>
        <v>-915596.9232757322</v>
      </c>
      <c r="M25" s="498">
        <f t="shared" si="7"/>
        <v>-976543.67325058556</v>
      </c>
      <c r="N25" s="498">
        <f t="shared" si="7"/>
        <v>-1041167.9031913121</v>
      </c>
      <c r="O25" s="57"/>
      <c r="P25" s="55">
        <f t="shared" si="10"/>
        <v>6.7852528755859343E-2</v>
      </c>
      <c r="R25" s="498">
        <f>SUM(R22:R24)</f>
        <v>-65814.742859804872</v>
      </c>
      <c r="S25" s="530">
        <f t="shared" ref="S25:BY25" si="15">SUM(S22:S24)</f>
        <v>-65814.742859804872</v>
      </c>
      <c r="T25" s="530">
        <f t="shared" si="15"/>
        <v>-65814.742859804872</v>
      </c>
      <c r="U25" s="530">
        <f t="shared" si="15"/>
        <v>-65814.742859804872</v>
      </c>
      <c r="V25" s="530">
        <f t="shared" si="15"/>
        <v>-65814.742859804872</v>
      </c>
      <c r="W25" s="530">
        <f t="shared" si="15"/>
        <v>-65814.742859804872</v>
      </c>
      <c r="X25" s="530">
        <f t="shared" si="15"/>
        <v>-67372.325510641735</v>
      </c>
      <c r="Y25" s="530">
        <f t="shared" si="15"/>
        <v>-67372.325510641735</v>
      </c>
      <c r="Z25" s="530">
        <f t="shared" si="15"/>
        <v>-67372.325510641735</v>
      </c>
      <c r="AA25" s="530">
        <f t="shared" si="15"/>
        <v>-67372.325510641735</v>
      </c>
      <c r="AB25" s="530">
        <f t="shared" si="15"/>
        <v>-67372.325510641735</v>
      </c>
      <c r="AC25" s="530">
        <f t="shared" si="15"/>
        <v>-67372.325510641735</v>
      </c>
      <c r="AD25" s="530">
        <f t="shared" si="15"/>
        <v>-70385.587884605993</v>
      </c>
      <c r="AE25" s="530">
        <f t="shared" si="15"/>
        <v>-70385.587884605993</v>
      </c>
      <c r="AF25" s="530">
        <f t="shared" si="15"/>
        <v>-70385.587884605993</v>
      </c>
      <c r="AG25" s="530">
        <f t="shared" si="15"/>
        <v>-70385.587884605993</v>
      </c>
      <c r="AH25" s="530">
        <f t="shared" si="15"/>
        <v>-70385.587884605993</v>
      </c>
      <c r="AI25" s="530">
        <f t="shared" si="15"/>
        <v>-70385.587884605993</v>
      </c>
      <c r="AJ25" s="530">
        <f t="shared" si="15"/>
        <v>-72387.744104949306</v>
      </c>
      <c r="AK25" s="530">
        <f t="shared" si="15"/>
        <v>-72387.744104949306</v>
      </c>
      <c r="AL25" s="530">
        <f t="shared" si="15"/>
        <v>-72387.744104949306</v>
      </c>
      <c r="AM25" s="530">
        <f t="shared" si="15"/>
        <v>-72387.744104949306</v>
      </c>
      <c r="AN25" s="530">
        <f t="shared" si="15"/>
        <v>-72387.744104949306</v>
      </c>
      <c r="AO25" s="530">
        <f t="shared" si="15"/>
        <v>-72387.744104949306</v>
      </c>
      <c r="AP25" s="530">
        <f t="shared" si="15"/>
        <v>-75061.409625884829</v>
      </c>
      <c r="AQ25" s="530">
        <f t="shared" si="15"/>
        <v>-75061.409625884829</v>
      </c>
      <c r="AR25" s="530">
        <f t="shared" si="15"/>
        <v>-75061.409625884829</v>
      </c>
      <c r="AS25" s="530">
        <f t="shared" si="15"/>
        <v>-75061.409625884829</v>
      </c>
      <c r="AT25" s="530">
        <f t="shared" si="15"/>
        <v>-75061.409625884829</v>
      </c>
      <c r="AU25" s="530">
        <f t="shared" si="15"/>
        <v>-75061.409625884829</v>
      </c>
      <c r="AV25" s="530">
        <f t="shared" si="15"/>
        <v>-77538.07758673717</v>
      </c>
      <c r="AW25" s="530">
        <f t="shared" si="15"/>
        <v>-77538.07758673717</v>
      </c>
      <c r="AX25" s="530">
        <f t="shared" si="15"/>
        <v>-77538.07758673717</v>
      </c>
      <c r="AY25" s="530">
        <f t="shared" si="15"/>
        <v>-77538.07758673717</v>
      </c>
      <c r="AZ25" s="530">
        <f t="shared" si="15"/>
        <v>-77538.07758673717</v>
      </c>
      <c r="BA25" s="530">
        <f t="shared" si="15"/>
        <v>-77538.07758673717</v>
      </c>
      <c r="BB25" s="530">
        <f t="shared" si="15"/>
        <v>-79887.722221643155</v>
      </c>
      <c r="BC25" s="530">
        <f t="shared" si="15"/>
        <v>-79887.722221643155</v>
      </c>
      <c r="BD25" s="530">
        <f t="shared" si="15"/>
        <v>-79887.722221643155</v>
      </c>
      <c r="BE25" s="530">
        <f t="shared" si="15"/>
        <v>-79887.722221643155</v>
      </c>
      <c r="BF25" s="530">
        <f t="shared" si="15"/>
        <v>-79887.722221643155</v>
      </c>
      <c r="BG25" s="530">
        <f t="shared" si="15"/>
        <v>-79887.722221643155</v>
      </c>
      <c r="BH25" s="530">
        <f t="shared" si="15"/>
        <v>-82869.556653454492</v>
      </c>
      <c r="BI25" s="530">
        <f t="shared" si="15"/>
        <v>-82869.556653454492</v>
      </c>
      <c r="BJ25" s="530">
        <f t="shared" si="15"/>
        <v>-82869.556653454492</v>
      </c>
      <c r="BK25" s="530">
        <f t="shared" si="15"/>
        <v>-82869.556653454492</v>
      </c>
      <c r="BL25" s="530">
        <f t="shared" si="15"/>
        <v>-82869.556653454492</v>
      </c>
      <c r="BM25" s="530">
        <f t="shared" si="15"/>
        <v>-82869.556653454492</v>
      </c>
      <c r="BN25" s="530">
        <f t="shared" si="15"/>
        <v>-85004.527476728763</v>
      </c>
      <c r="BO25" s="530">
        <f t="shared" si="15"/>
        <v>-85004.527476728763</v>
      </c>
      <c r="BP25" s="530">
        <f t="shared" si="15"/>
        <v>-85004.527476728763</v>
      </c>
      <c r="BQ25" s="530">
        <f t="shared" si="15"/>
        <v>-85004.527476728763</v>
      </c>
      <c r="BR25" s="530">
        <f t="shared" si="15"/>
        <v>-85004.527476728763</v>
      </c>
      <c r="BS25" s="530">
        <f t="shared" si="15"/>
        <v>-85004.527476728763</v>
      </c>
      <c r="BT25" s="530">
        <f t="shared" si="15"/>
        <v>-88523.456388489882</v>
      </c>
      <c r="BU25" s="530">
        <f t="shared" si="15"/>
        <v>-88523.456388489882</v>
      </c>
      <c r="BV25" s="530">
        <f t="shared" si="15"/>
        <v>-88523.456388489882</v>
      </c>
      <c r="BW25" s="530">
        <f t="shared" si="15"/>
        <v>-88523.456388489882</v>
      </c>
      <c r="BX25" s="530">
        <f t="shared" si="15"/>
        <v>-88523.456388489882</v>
      </c>
      <c r="BY25" s="530">
        <f t="shared" si="15"/>
        <v>-88523.456388489882</v>
      </c>
      <c r="CB25" s="8"/>
    </row>
    <row r="26" spans="3:80" x14ac:dyDescent="0.3">
      <c r="C26" s="2"/>
      <c r="D26" s="2"/>
      <c r="E26" s="2" t="s">
        <v>389</v>
      </c>
      <c r="F26" s="54"/>
      <c r="G26" s="54"/>
      <c r="H26" s="54"/>
      <c r="I26" s="497">
        <f>I$13*I91*-1</f>
        <v>243644.83971573834</v>
      </c>
      <c r="J26" s="497">
        <f t="shared" si="7"/>
        <v>257507.44901819341</v>
      </c>
      <c r="K26" s="497">
        <f t="shared" si="7"/>
        <v>273932.87518769095</v>
      </c>
      <c r="L26" s="497">
        <f t="shared" si="7"/>
        <v>290768.1160869149</v>
      </c>
      <c r="M26" s="497">
        <f t="shared" si="7"/>
        <v>308204.87643518229</v>
      </c>
      <c r="N26" s="497">
        <f t="shared" si="7"/>
        <v>326627.85479404189</v>
      </c>
      <c r="O26" s="37"/>
      <c r="P26" s="50">
        <f t="shared" si="10"/>
        <v>6.037431677401961E-2</v>
      </c>
      <c r="R26" s="497">
        <f t="shared" ref="R26:AW26" si="16">R$13*R91*-1</f>
        <v>21210.835281508011</v>
      </c>
      <c r="S26" s="527">
        <f t="shared" si="16"/>
        <v>21210.835281508011</v>
      </c>
      <c r="T26" s="527">
        <f t="shared" si="16"/>
        <v>21210.835281508011</v>
      </c>
      <c r="U26" s="527">
        <f t="shared" si="16"/>
        <v>21210.835281508011</v>
      </c>
      <c r="V26" s="527">
        <f t="shared" si="16"/>
        <v>21210.835281508011</v>
      </c>
      <c r="W26" s="527">
        <f t="shared" si="16"/>
        <v>21210.835281508011</v>
      </c>
      <c r="X26" s="527">
        <f t="shared" si="16"/>
        <v>21707.072888190891</v>
      </c>
      <c r="Y26" s="527">
        <f t="shared" si="16"/>
        <v>21707.072888190891</v>
      </c>
      <c r="Z26" s="527">
        <f t="shared" si="16"/>
        <v>21707.072888190891</v>
      </c>
      <c r="AA26" s="527">
        <f t="shared" si="16"/>
        <v>21707.072888190891</v>
      </c>
      <c r="AB26" s="527">
        <f t="shared" si="16"/>
        <v>21707.072888190891</v>
      </c>
      <c r="AC26" s="527">
        <f t="shared" si="16"/>
        <v>21707.072888190891</v>
      </c>
      <c r="AD26" s="527">
        <f t="shared" si="16"/>
        <v>22511.479320771778</v>
      </c>
      <c r="AE26" s="527">
        <f t="shared" si="16"/>
        <v>22511.479320771778</v>
      </c>
      <c r="AF26" s="527">
        <f t="shared" si="16"/>
        <v>22511.479320771778</v>
      </c>
      <c r="AG26" s="527">
        <f t="shared" si="16"/>
        <v>22511.479320771778</v>
      </c>
      <c r="AH26" s="527">
        <f t="shared" si="16"/>
        <v>22511.479320771778</v>
      </c>
      <c r="AI26" s="527">
        <f t="shared" si="16"/>
        <v>22511.479320771778</v>
      </c>
      <c r="AJ26" s="527">
        <f t="shared" si="16"/>
        <v>23143.999877176728</v>
      </c>
      <c r="AK26" s="527">
        <f t="shared" si="16"/>
        <v>23143.999877176728</v>
      </c>
      <c r="AL26" s="527">
        <f t="shared" si="16"/>
        <v>23143.999877176728</v>
      </c>
      <c r="AM26" s="527">
        <f t="shared" si="16"/>
        <v>23143.999877176728</v>
      </c>
      <c r="AN26" s="527">
        <f t="shared" si="16"/>
        <v>23143.999877176728</v>
      </c>
      <c r="AO26" s="527">
        <f t="shared" si="16"/>
        <v>23143.999877176728</v>
      </c>
      <c r="AP26" s="527">
        <f t="shared" si="16"/>
        <v>23842.335477680492</v>
      </c>
      <c r="AQ26" s="527">
        <f t="shared" si="16"/>
        <v>23842.335477680492</v>
      </c>
      <c r="AR26" s="527">
        <f t="shared" si="16"/>
        <v>23842.335477680492</v>
      </c>
      <c r="AS26" s="527">
        <f t="shared" si="16"/>
        <v>23842.335477680492</v>
      </c>
      <c r="AT26" s="527">
        <f t="shared" si="16"/>
        <v>23842.335477680492</v>
      </c>
      <c r="AU26" s="527">
        <f t="shared" si="16"/>
        <v>23842.335477680492</v>
      </c>
      <c r="AV26" s="527">
        <f t="shared" si="16"/>
        <v>24619.017203472002</v>
      </c>
      <c r="AW26" s="527">
        <f t="shared" si="16"/>
        <v>24619.017203472002</v>
      </c>
      <c r="AX26" s="527">
        <f t="shared" ref="AX26:BY26" si="17">AX$13*AX91*-1</f>
        <v>24619.017203472002</v>
      </c>
      <c r="AY26" s="527">
        <f t="shared" si="17"/>
        <v>24619.017203472002</v>
      </c>
      <c r="AZ26" s="527">
        <f t="shared" si="17"/>
        <v>24619.017203472002</v>
      </c>
      <c r="BA26" s="527">
        <f t="shared" si="17"/>
        <v>24619.017203472002</v>
      </c>
      <c r="BB26" s="527">
        <f t="shared" si="17"/>
        <v>25219.197077754437</v>
      </c>
      <c r="BC26" s="527">
        <f t="shared" si="17"/>
        <v>25219.197077754437</v>
      </c>
      <c r="BD26" s="527">
        <f t="shared" si="17"/>
        <v>25219.197077754437</v>
      </c>
      <c r="BE26" s="527">
        <f t="shared" si="17"/>
        <v>25219.197077754437</v>
      </c>
      <c r="BF26" s="527">
        <f t="shared" si="17"/>
        <v>25219.197077754437</v>
      </c>
      <c r="BG26" s="527">
        <f t="shared" si="17"/>
        <v>25219.197077754437</v>
      </c>
      <c r="BH26" s="527">
        <f t="shared" si="17"/>
        <v>26148.282328109275</v>
      </c>
      <c r="BI26" s="527">
        <f t="shared" si="17"/>
        <v>26148.282328109275</v>
      </c>
      <c r="BJ26" s="527">
        <f t="shared" si="17"/>
        <v>26148.282328109275</v>
      </c>
      <c r="BK26" s="527">
        <f t="shared" si="17"/>
        <v>26148.282328109275</v>
      </c>
      <c r="BL26" s="527">
        <f t="shared" si="17"/>
        <v>26148.282328109275</v>
      </c>
      <c r="BM26" s="527">
        <f t="shared" si="17"/>
        <v>26148.282328109275</v>
      </c>
      <c r="BN26" s="527">
        <f t="shared" si="17"/>
        <v>26674.119034206371</v>
      </c>
      <c r="BO26" s="527">
        <f t="shared" si="17"/>
        <v>26674.119034206371</v>
      </c>
      <c r="BP26" s="527">
        <f t="shared" si="17"/>
        <v>26674.119034206371</v>
      </c>
      <c r="BQ26" s="527">
        <f t="shared" si="17"/>
        <v>26674.119034206371</v>
      </c>
      <c r="BR26" s="527">
        <f t="shared" si="17"/>
        <v>26674.119034206371</v>
      </c>
      <c r="BS26" s="527">
        <f t="shared" si="17"/>
        <v>26674.119034206371</v>
      </c>
      <c r="BT26" s="527">
        <f t="shared" si="17"/>
        <v>27763.856764800603</v>
      </c>
      <c r="BU26" s="527">
        <f t="shared" si="17"/>
        <v>27763.856764800603</v>
      </c>
      <c r="BV26" s="527">
        <f t="shared" si="17"/>
        <v>27763.856764800603</v>
      </c>
      <c r="BW26" s="527">
        <f t="shared" si="17"/>
        <v>27763.856764800603</v>
      </c>
      <c r="BX26" s="527">
        <f t="shared" si="17"/>
        <v>27763.856764800603</v>
      </c>
      <c r="BY26" s="527">
        <f t="shared" si="17"/>
        <v>27763.856764800603</v>
      </c>
      <c r="CB26" s="8"/>
    </row>
    <row r="27" spans="3:80" x14ac:dyDescent="0.3">
      <c r="C27" s="2"/>
      <c r="D27" s="2"/>
      <c r="E27" s="4" t="s">
        <v>390</v>
      </c>
      <c r="F27" s="5"/>
      <c r="G27" s="5"/>
      <c r="H27" s="5"/>
      <c r="I27" s="498">
        <f>SUM(I25:I26)</f>
        <v>-506187.84854564548</v>
      </c>
      <c r="J27" s="498">
        <f t="shared" si="7"/>
        <v>-541614.96120448608</v>
      </c>
      <c r="K27" s="498">
        <f t="shared" si="7"/>
        <v>-582707.11674964079</v>
      </c>
      <c r="L27" s="498">
        <f t="shared" si="7"/>
        <v>-624828.80718881695</v>
      </c>
      <c r="M27" s="498">
        <f t="shared" si="7"/>
        <v>-668338.79681540362</v>
      </c>
      <c r="N27" s="498">
        <f t="shared" si="7"/>
        <v>-714540.04839727015</v>
      </c>
      <c r="O27" s="57"/>
      <c r="P27" s="55">
        <f t="shared" si="10"/>
        <v>7.1378611177575824E-2</v>
      </c>
      <c r="R27" s="498">
        <f>SUM(R25:R26)</f>
        <v>-44603.907578296858</v>
      </c>
      <c r="S27" s="530">
        <f t="shared" ref="S27:BY27" si="18">SUM(S25:S26)</f>
        <v>-44603.907578296858</v>
      </c>
      <c r="T27" s="530">
        <f t="shared" si="18"/>
        <v>-44603.907578296858</v>
      </c>
      <c r="U27" s="530">
        <f t="shared" si="18"/>
        <v>-44603.907578296858</v>
      </c>
      <c r="V27" s="530">
        <f t="shared" si="18"/>
        <v>-44603.907578296858</v>
      </c>
      <c r="W27" s="530">
        <f t="shared" si="18"/>
        <v>-44603.907578296858</v>
      </c>
      <c r="X27" s="530">
        <f t="shared" si="18"/>
        <v>-45665.252622450847</v>
      </c>
      <c r="Y27" s="530">
        <f t="shared" si="18"/>
        <v>-45665.252622450847</v>
      </c>
      <c r="Z27" s="530">
        <f t="shared" si="18"/>
        <v>-45665.252622450847</v>
      </c>
      <c r="AA27" s="530">
        <f t="shared" si="18"/>
        <v>-45665.252622450847</v>
      </c>
      <c r="AB27" s="530">
        <f t="shared" si="18"/>
        <v>-45665.252622450847</v>
      </c>
      <c r="AC27" s="530">
        <f t="shared" si="18"/>
        <v>-45665.252622450847</v>
      </c>
      <c r="AD27" s="530">
        <f t="shared" si="18"/>
        <v>-47874.108563834219</v>
      </c>
      <c r="AE27" s="530">
        <f t="shared" si="18"/>
        <v>-47874.108563834219</v>
      </c>
      <c r="AF27" s="530">
        <f t="shared" si="18"/>
        <v>-47874.108563834219</v>
      </c>
      <c r="AG27" s="530">
        <f t="shared" si="18"/>
        <v>-47874.108563834219</v>
      </c>
      <c r="AH27" s="530">
        <f t="shared" si="18"/>
        <v>-47874.108563834219</v>
      </c>
      <c r="AI27" s="530">
        <f t="shared" si="18"/>
        <v>-47874.108563834219</v>
      </c>
      <c r="AJ27" s="530">
        <f t="shared" si="18"/>
        <v>-49243.744227772579</v>
      </c>
      <c r="AK27" s="530">
        <f t="shared" si="18"/>
        <v>-49243.744227772579</v>
      </c>
      <c r="AL27" s="530">
        <f t="shared" si="18"/>
        <v>-49243.744227772579</v>
      </c>
      <c r="AM27" s="530">
        <f t="shared" si="18"/>
        <v>-49243.744227772579</v>
      </c>
      <c r="AN27" s="530">
        <f t="shared" si="18"/>
        <v>-49243.744227772579</v>
      </c>
      <c r="AO27" s="530">
        <f t="shared" si="18"/>
        <v>-49243.744227772579</v>
      </c>
      <c r="AP27" s="530">
        <f t="shared" si="18"/>
        <v>-51219.074148204338</v>
      </c>
      <c r="AQ27" s="530">
        <f t="shared" si="18"/>
        <v>-51219.074148204338</v>
      </c>
      <c r="AR27" s="530">
        <f t="shared" si="18"/>
        <v>-51219.074148204338</v>
      </c>
      <c r="AS27" s="530">
        <f t="shared" si="18"/>
        <v>-51219.074148204338</v>
      </c>
      <c r="AT27" s="530">
        <f t="shared" si="18"/>
        <v>-51219.074148204338</v>
      </c>
      <c r="AU27" s="530">
        <f t="shared" si="18"/>
        <v>-51219.074148204338</v>
      </c>
      <c r="AV27" s="530">
        <f t="shared" si="18"/>
        <v>-52919.060383265169</v>
      </c>
      <c r="AW27" s="530">
        <f t="shared" si="18"/>
        <v>-52919.060383265169</v>
      </c>
      <c r="AX27" s="530">
        <f t="shared" si="18"/>
        <v>-52919.060383265169</v>
      </c>
      <c r="AY27" s="530">
        <f t="shared" si="18"/>
        <v>-52919.060383265169</v>
      </c>
      <c r="AZ27" s="530">
        <f t="shared" si="18"/>
        <v>-52919.060383265169</v>
      </c>
      <c r="BA27" s="530">
        <f t="shared" si="18"/>
        <v>-52919.060383265169</v>
      </c>
      <c r="BB27" s="530">
        <f t="shared" si="18"/>
        <v>-54668.525143888721</v>
      </c>
      <c r="BC27" s="530">
        <f t="shared" si="18"/>
        <v>-54668.525143888721</v>
      </c>
      <c r="BD27" s="530">
        <f t="shared" si="18"/>
        <v>-54668.525143888721</v>
      </c>
      <c r="BE27" s="530">
        <f t="shared" si="18"/>
        <v>-54668.525143888721</v>
      </c>
      <c r="BF27" s="530">
        <f t="shared" si="18"/>
        <v>-54668.525143888721</v>
      </c>
      <c r="BG27" s="530">
        <f t="shared" si="18"/>
        <v>-54668.525143888721</v>
      </c>
      <c r="BH27" s="530">
        <f t="shared" si="18"/>
        <v>-56721.274325345221</v>
      </c>
      <c r="BI27" s="530">
        <f t="shared" si="18"/>
        <v>-56721.274325345221</v>
      </c>
      <c r="BJ27" s="530">
        <f t="shared" si="18"/>
        <v>-56721.274325345221</v>
      </c>
      <c r="BK27" s="530">
        <f t="shared" si="18"/>
        <v>-56721.274325345221</v>
      </c>
      <c r="BL27" s="530">
        <f t="shared" si="18"/>
        <v>-56721.274325345221</v>
      </c>
      <c r="BM27" s="530">
        <f t="shared" si="18"/>
        <v>-56721.274325345221</v>
      </c>
      <c r="BN27" s="530">
        <f t="shared" si="18"/>
        <v>-58330.408442522392</v>
      </c>
      <c r="BO27" s="530">
        <f t="shared" si="18"/>
        <v>-58330.408442522392</v>
      </c>
      <c r="BP27" s="530">
        <f t="shared" si="18"/>
        <v>-58330.408442522392</v>
      </c>
      <c r="BQ27" s="530">
        <f t="shared" si="18"/>
        <v>-58330.408442522392</v>
      </c>
      <c r="BR27" s="530">
        <f t="shared" si="18"/>
        <v>-58330.408442522392</v>
      </c>
      <c r="BS27" s="530">
        <f t="shared" si="18"/>
        <v>-58330.408442522392</v>
      </c>
      <c r="BT27" s="530">
        <f t="shared" si="18"/>
        <v>-60759.599623689282</v>
      </c>
      <c r="BU27" s="530">
        <f t="shared" si="18"/>
        <v>-60759.599623689282</v>
      </c>
      <c r="BV27" s="530">
        <f t="shared" si="18"/>
        <v>-60759.599623689282</v>
      </c>
      <c r="BW27" s="530">
        <f t="shared" si="18"/>
        <v>-60759.599623689282</v>
      </c>
      <c r="BX27" s="530">
        <f t="shared" si="18"/>
        <v>-60759.599623689282</v>
      </c>
      <c r="BY27" s="530">
        <f t="shared" si="18"/>
        <v>-60759.599623689282</v>
      </c>
      <c r="CB27" s="8"/>
    </row>
    <row r="28" spans="3:80" x14ac:dyDescent="0.3">
      <c r="C28" s="2"/>
      <c r="D28" s="2"/>
      <c r="E28" s="2" t="s">
        <v>175</v>
      </c>
      <c r="F28" s="58"/>
      <c r="G28" s="58"/>
      <c r="H28" s="58"/>
      <c r="I28" s="499">
        <f t="shared" ref="I28:N28" si="19">IFERROR(I27/I22,0)</f>
        <v>0.42019130112783765</v>
      </c>
      <c r="J28" s="499">
        <f t="shared" si="19"/>
        <v>0.4282752345927599</v>
      </c>
      <c r="K28" s="499">
        <f t="shared" si="19"/>
        <v>0.43583372851653618</v>
      </c>
      <c r="L28" s="499">
        <f t="shared" si="19"/>
        <v>0.44281671902256603</v>
      </c>
      <c r="M28" s="499">
        <f t="shared" si="19"/>
        <v>0.4492160335055535</v>
      </c>
      <c r="N28" s="499">
        <f t="shared" si="19"/>
        <v>0.4554696543818455</v>
      </c>
      <c r="O28" s="23"/>
      <c r="P28" s="50">
        <f t="shared" si="10"/>
        <v>1.6254491463012943E-2</v>
      </c>
      <c r="R28" s="499">
        <f>IFERROR(R27/R22,0)</f>
        <v>0.42825651301026835</v>
      </c>
      <c r="S28" s="531">
        <f t="shared" ref="S28:BY28" si="20">IFERROR(S27/S22,0)</f>
        <v>0.42825651301026835</v>
      </c>
      <c r="T28" s="531">
        <f t="shared" si="20"/>
        <v>0.42825651301026835</v>
      </c>
      <c r="U28" s="531">
        <f t="shared" si="20"/>
        <v>0.42825651301026835</v>
      </c>
      <c r="V28" s="531">
        <f t="shared" si="20"/>
        <v>0.42825651301026835</v>
      </c>
      <c r="W28" s="531">
        <f t="shared" si="20"/>
        <v>0.42825651301026835</v>
      </c>
      <c r="X28" s="531">
        <f t="shared" si="20"/>
        <v>0.42829352263130432</v>
      </c>
      <c r="Y28" s="531">
        <f t="shared" si="20"/>
        <v>0.42829352263130432</v>
      </c>
      <c r="Z28" s="531">
        <f t="shared" si="20"/>
        <v>0.42829352263130432</v>
      </c>
      <c r="AA28" s="531">
        <f t="shared" si="20"/>
        <v>0.42829352263130432</v>
      </c>
      <c r="AB28" s="531">
        <f t="shared" si="20"/>
        <v>0.42829352263130432</v>
      </c>
      <c r="AC28" s="531">
        <f t="shared" si="20"/>
        <v>0.42829352263130432</v>
      </c>
      <c r="AD28" s="531">
        <f t="shared" si="20"/>
        <v>0.43580911202717426</v>
      </c>
      <c r="AE28" s="531">
        <f t="shared" si="20"/>
        <v>0.43580911202717426</v>
      </c>
      <c r="AF28" s="531">
        <f t="shared" si="20"/>
        <v>0.43580911202717426</v>
      </c>
      <c r="AG28" s="531">
        <f t="shared" si="20"/>
        <v>0.43580911202717426</v>
      </c>
      <c r="AH28" s="531">
        <f t="shared" si="20"/>
        <v>0.43580911202717426</v>
      </c>
      <c r="AI28" s="531">
        <f t="shared" si="20"/>
        <v>0.43580911202717426</v>
      </c>
      <c r="AJ28" s="531">
        <f t="shared" si="20"/>
        <v>0.43585766300388473</v>
      </c>
      <c r="AK28" s="531">
        <f t="shared" si="20"/>
        <v>0.43585766300388473</v>
      </c>
      <c r="AL28" s="531">
        <f t="shared" si="20"/>
        <v>0.43585766300388473</v>
      </c>
      <c r="AM28" s="531">
        <f t="shared" si="20"/>
        <v>0.43585766300388473</v>
      </c>
      <c r="AN28" s="531">
        <f t="shared" si="20"/>
        <v>0.43585766300388473</v>
      </c>
      <c r="AO28" s="531">
        <f t="shared" si="20"/>
        <v>0.43585766300388473</v>
      </c>
      <c r="AP28" s="531">
        <f t="shared" si="20"/>
        <v>0.4427865012777577</v>
      </c>
      <c r="AQ28" s="531">
        <f t="shared" si="20"/>
        <v>0.4427865012777577</v>
      </c>
      <c r="AR28" s="531">
        <f t="shared" si="20"/>
        <v>0.4427865012777577</v>
      </c>
      <c r="AS28" s="531">
        <f t="shared" si="20"/>
        <v>0.4427865012777577</v>
      </c>
      <c r="AT28" s="531">
        <f t="shared" si="20"/>
        <v>0.4427865012777577</v>
      </c>
      <c r="AU28" s="531">
        <f t="shared" si="20"/>
        <v>0.4427865012777577</v>
      </c>
      <c r="AV28" s="531">
        <f t="shared" si="20"/>
        <v>0.44284596997239017</v>
      </c>
      <c r="AW28" s="531">
        <f t="shared" si="20"/>
        <v>0.44284596997239017</v>
      </c>
      <c r="AX28" s="531">
        <f t="shared" si="20"/>
        <v>0.44284596997239017</v>
      </c>
      <c r="AY28" s="531">
        <f t="shared" si="20"/>
        <v>0.44284596997239017</v>
      </c>
      <c r="AZ28" s="531">
        <f t="shared" si="20"/>
        <v>0.44284596997239017</v>
      </c>
      <c r="BA28" s="531">
        <f t="shared" si="20"/>
        <v>0.44284596997239017</v>
      </c>
      <c r="BB28" s="531">
        <f t="shared" si="20"/>
        <v>0.44918059178836406</v>
      </c>
      <c r="BC28" s="531">
        <f t="shared" si="20"/>
        <v>0.44918059178836406</v>
      </c>
      <c r="BD28" s="531">
        <f t="shared" si="20"/>
        <v>0.44918059178836406</v>
      </c>
      <c r="BE28" s="531">
        <f t="shared" si="20"/>
        <v>0.44918059178836406</v>
      </c>
      <c r="BF28" s="531">
        <f t="shared" si="20"/>
        <v>0.44918059178836406</v>
      </c>
      <c r="BG28" s="531">
        <f t="shared" si="20"/>
        <v>0.44918059178836406</v>
      </c>
      <c r="BH28" s="531">
        <f t="shared" si="20"/>
        <v>0.44925019787645565</v>
      </c>
      <c r="BI28" s="531">
        <f t="shared" si="20"/>
        <v>0.44925019787645565</v>
      </c>
      <c r="BJ28" s="531">
        <f t="shared" si="20"/>
        <v>0.44925019787645565</v>
      </c>
      <c r="BK28" s="531">
        <f t="shared" si="20"/>
        <v>0.44925019787645565</v>
      </c>
      <c r="BL28" s="531">
        <f t="shared" si="20"/>
        <v>0.44925019787645565</v>
      </c>
      <c r="BM28" s="531">
        <f t="shared" si="20"/>
        <v>0.44925019787645565</v>
      </c>
      <c r="BN28" s="531">
        <f t="shared" si="20"/>
        <v>0.45542943114348422</v>
      </c>
      <c r="BO28" s="531">
        <f t="shared" si="20"/>
        <v>0.45542943114348422</v>
      </c>
      <c r="BP28" s="531">
        <f t="shared" si="20"/>
        <v>0.45542943114348422</v>
      </c>
      <c r="BQ28" s="531">
        <f t="shared" si="20"/>
        <v>0.45542943114348422</v>
      </c>
      <c r="BR28" s="531">
        <f t="shared" si="20"/>
        <v>0.45542943114348422</v>
      </c>
      <c r="BS28" s="531">
        <f t="shared" si="20"/>
        <v>0.45542943114348422</v>
      </c>
      <c r="BT28" s="531">
        <f t="shared" si="20"/>
        <v>0.45550827616545331</v>
      </c>
      <c r="BU28" s="531">
        <f t="shared" si="20"/>
        <v>0.45550827616545331</v>
      </c>
      <c r="BV28" s="531">
        <f t="shared" si="20"/>
        <v>0.45550827616545331</v>
      </c>
      <c r="BW28" s="531">
        <f t="shared" si="20"/>
        <v>0.45550827616545331</v>
      </c>
      <c r="BX28" s="531">
        <f t="shared" si="20"/>
        <v>0.45550827616545331</v>
      </c>
      <c r="BY28" s="531">
        <f t="shared" si="20"/>
        <v>0.45550827616545331</v>
      </c>
    </row>
    <row r="29" spans="3:80" x14ac:dyDescent="0.3">
      <c r="C29" s="2"/>
      <c r="D29" s="2"/>
      <c r="E29" s="2"/>
      <c r="F29" s="58"/>
      <c r="G29" s="58"/>
      <c r="H29" s="58"/>
      <c r="I29" s="37"/>
      <c r="J29" s="37"/>
      <c r="K29" s="37"/>
      <c r="L29" s="37"/>
      <c r="M29" s="37"/>
      <c r="N29" s="37"/>
      <c r="O29" s="37"/>
      <c r="P29" s="35"/>
      <c r="R29" s="37"/>
      <c r="S29" s="37"/>
      <c r="T29" s="37"/>
      <c r="U29" s="37"/>
      <c r="V29" s="37"/>
      <c r="W29" s="37"/>
      <c r="X29" s="37"/>
      <c r="Y29" s="37"/>
      <c r="Z29" s="37"/>
      <c r="AA29" s="37"/>
      <c r="AB29" s="37"/>
      <c r="AC29" s="37"/>
      <c r="AD29" s="37"/>
      <c r="AE29" s="37"/>
      <c r="AF29" s="37"/>
      <c r="AG29" s="37"/>
      <c r="AH29" s="37"/>
      <c r="AI29" s="37"/>
      <c r="AJ29" s="37"/>
      <c r="AK29" s="37"/>
      <c r="AL29" s="37"/>
      <c r="AM29" s="37"/>
      <c r="AN29" s="37"/>
      <c r="AO29" s="37"/>
      <c r="AP29" s="37"/>
      <c r="AQ29" s="37"/>
      <c r="AR29" s="37"/>
      <c r="AS29" s="37"/>
      <c r="AT29" s="37"/>
      <c r="AU29" s="37"/>
      <c r="AV29" s="37"/>
      <c r="AW29" s="37"/>
      <c r="AX29" s="37"/>
      <c r="AY29" s="37"/>
      <c r="AZ29" s="37"/>
      <c r="BA29" s="37"/>
      <c r="BB29" s="37"/>
      <c r="BC29" s="37"/>
      <c r="BD29" s="37"/>
      <c r="BE29" s="37"/>
      <c r="BF29" s="37"/>
      <c r="BG29" s="37"/>
      <c r="BH29" s="37"/>
      <c r="BI29" s="37"/>
      <c r="BJ29" s="37"/>
      <c r="BK29" s="37"/>
      <c r="BL29" s="37"/>
      <c r="BM29" s="37"/>
      <c r="BN29" s="37"/>
      <c r="BO29" s="37"/>
      <c r="BP29" s="37"/>
      <c r="BQ29" s="37"/>
      <c r="BR29" s="37"/>
      <c r="BS29" s="37"/>
      <c r="BT29" s="37"/>
      <c r="BU29" s="37"/>
      <c r="BV29" s="37"/>
      <c r="BW29" s="37"/>
      <c r="BX29" s="37"/>
      <c r="BY29" s="37"/>
    </row>
    <row r="30" spans="3:80" x14ac:dyDescent="0.3">
      <c r="C30" s="2"/>
      <c r="D30" s="2"/>
      <c r="E30" s="17" t="s">
        <v>23</v>
      </c>
      <c r="F30" s="37"/>
      <c r="G30" s="37"/>
      <c r="H30" s="37"/>
      <c r="I30" s="37"/>
      <c r="J30" s="37"/>
      <c r="K30" s="37"/>
      <c r="L30" s="37"/>
      <c r="M30" s="37"/>
      <c r="N30" s="37"/>
      <c r="O30" s="37"/>
      <c r="P30" s="35"/>
      <c r="R30" s="37"/>
      <c r="S30" s="37"/>
      <c r="T30" s="37"/>
      <c r="U30" s="37"/>
      <c r="V30" s="37"/>
      <c r="W30" s="37"/>
      <c r="X30" s="37"/>
      <c r="Y30" s="37"/>
      <c r="Z30" s="37"/>
      <c r="AA30" s="37"/>
      <c r="AB30" s="37"/>
      <c r="AC30" s="37"/>
      <c r="AD30" s="37"/>
      <c r="AE30" s="37"/>
      <c r="AF30" s="37"/>
      <c r="AG30" s="37"/>
      <c r="AH30" s="37"/>
      <c r="AI30" s="37"/>
      <c r="AJ30" s="37"/>
      <c r="AK30" s="37"/>
      <c r="AL30" s="37"/>
      <c r="AM30" s="37"/>
      <c r="AN30" s="37"/>
      <c r="AO30" s="37"/>
      <c r="AP30" s="37"/>
      <c r="AQ30" s="37"/>
      <c r="AR30" s="37"/>
      <c r="AS30" s="37"/>
      <c r="AT30" s="37"/>
      <c r="AU30" s="37"/>
      <c r="AV30" s="37"/>
      <c r="AW30" s="37"/>
      <c r="AX30" s="37"/>
      <c r="AY30" s="37"/>
      <c r="AZ30" s="37"/>
      <c r="BA30" s="37"/>
      <c r="BB30" s="37"/>
      <c r="BC30" s="37"/>
      <c r="BD30" s="37"/>
      <c r="BE30" s="37"/>
      <c r="BF30" s="37"/>
      <c r="BG30" s="37"/>
      <c r="BH30" s="37"/>
      <c r="BI30" s="37"/>
      <c r="BJ30" s="37"/>
      <c r="BK30" s="37"/>
      <c r="BL30" s="37"/>
      <c r="BM30" s="37"/>
      <c r="BN30" s="37"/>
      <c r="BO30" s="37"/>
      <c r="BP30" s="37"/>
      <c r="BQ30" s="37"/>
      <c r="BR30" s="37"/>
      <c r="BS30" s="37"/>
      <c r="BT30" s="37"/>
      <c r="BU30" s="37"/>
      <c r="BV30" s="37"/>
      <c r="BW30" s="37"/>
      <c r="BX30" s="37"/>
      <c r="BY30" s="37"/>
    </row>
    <row r="31" spans="3:80" x14ac:dyDescent="0.3">
      <c r="C31" s="2"/>
      <c r="D31" s="2"/>
      <c r="E31" s="4" t="s">
        <v>391</v>
      </c>
      <c r="F31" s="5"/>
      <c r="G31" s="5"/>
      <c r="H31" s="5"/>
      <c r="I31" s="498">
        <f>I$13*I96*-1</f>
        <v>-99997.879492190492</v>
      </c>
      <c r="J31" s="498">
        <f t="shared" ref="J31:N36" si="21">SUMIF($R$2:$BY$2,J$3,$R31:$BY31)</f>
        <v>-101180.80443235733</v>
      </c>
      <c r="K31" s="498">
        <f t="shared" si="21"/>
        <v>-103201.81696199939</v>
      </c>
      <c r="L31" s="498">
        <f t="shared" si="21"/>
        <v>-105205.92610225594</v>
      </c>
      <c r="M31" s="498">
        <f t="shared" si="21"/>
        <v>-107290.75024021648</v>
      </c>
      <c r="N31" s="498">
        <f t="shared" si="21"/>
        <v>-109419.46861382105</v>
      </c>
      <c r="O31" s="57"/>
      <c r="P31" s="55">
        <f t="shared" ref="P31:P37" si="22">IFERROR(((N31/I31)^(1/5))-1,0)</f>
        <v>1.8171091496453462E-2</v>
      </c>
      <c r="R31" s="498">
        <f t="shared" ref="R31:AW31" si="23">R$13*R96*-1</f>
        <v>-8333.1566243492089</v>
      </c>
      <c r="S31" s="530">
        <f t="shared" si="23"/>
        <v>-8333.1566243492089</v>
      </c>
      <c r="T31" s="530">
        <f t="shared" si="23"/>
        <v>-8333.1566243492089</v>
      </c>
      <c r="U31" s="530">
        <f t="shared" si="23"/>
        <v>-8333.1566243492089</v>
      </c>
      <c r="V31" s="530">
        <f t="shared" si="23"/>
        <v>-8333.1566243492089</v>
      </c>
      <c r="W31" s="530">
        <f t="shared" si="23"/>
        <v>-8333.1566243492089</v>
      </c>
      <c r="X31" s="530">
        <f t="shared" si="23"/>
        <v>-8530.3107810436777</v>
      </c>
      <c r="Y31" s="530">
        <f t="shared" si="23"/>
        <v>-8530.3107810436777</v>
      </c>
      <c r="Z31" s="530">
        <f t="shared" si="23"/>
        <v>-8530.3107810436777</v>
      </c>
      <c r="AA31" s="530">
        <f t="shared" si="23"/>
        <v>-8530.3107810436777</v>
      </c>
      <c r="AB31" s="530">
        <f t="shared" si="23"/>
        <v>-8530.3107810436777</v>
      </c>
      <c r="AC31" s="530">
        <f t="shared" si="23"/>
        <v>-8530.3107810436777</v>
      </c>
      <c r="AD31" s="530">
        <f t="shared" si="23"/>
        <v>-8479.6478437911355</v>
      </c>
      <c r="AE31" s="530">
        <f t="shared" si="23"/>
        <v>-8479.6478437911355</v>
      </c>
      <c r="AF31" s="530">
        <f t="shared" si="23"/>
        <v>-8479.6478437911355</v>
      </c>
      <c r="AG31" s="530">
        <f t="shared" si="23"/>
        <v>-8479.6478437911355</v>
      </c>
      <c r="AH31" s="530">
        <f t="shared" si="23"/>
        <v>-8479.6478437911355</v>
      </c>
      <c r="AI31" s="530">
        <f t="shared" si="23"/>
        <v>-8479.6478437911355</v>
      </c>
      <c r="AJ31" s="530">
        <f t="shared" si="23"/>
        <v>-8720.654983208764</v>
      </c>
      <c r="AK31" s="530">
        <f t="shared" si="23"/>
        <v>-8720.654983208764</v>
      </c>
      <c r="AL31" s="530">
        <f t="shared" si="23"/>
        <v>-8720.654983208764</v>
      </c>
      <c r="AM31" s="530">
        <f t="shared" si="23"/>
        <v>-8720.654983208764</v>
      </c>
      <c r="AN31" s="530">
        <f t="shared" si="23"/>
        <v>-8720.654983208764</v>
      </c>
      <c r="AO31" s="530">
        <f t="shared" si="23"/>
        <v>-8720.654983208764</v>
      </c>
      <c r="AP31" s="530">
        <f t="shared" si="23"/>
        <v>-8625.0382956605263</v>
      </c>
      <c r="AQ31" s="530">
        <f t="shared" si="23"/>
        <v>-8625.0382956605263</v>
      </c>
      <c r="AR31" s="530">
        <f t="shared" si="23"/>
        <v>-8625.0382956605263</v>
      </c>
      <c r="AS31" s="530">
        <f t="shared" si="23"/>
        <v>-8625.0382956605263</v>
      </c>
      <c r="AT31" s="530">
        <f t="shared" si="23"/>
        <v>-8625.0382956605263</v>
      </c>
      <c r="AU31" s="530">
        <f t="shared" si="23"/>
        <v>-8625.0382956605263</v>
      </c>
      <c r="AV31" s="530">
        <f t="shared" si="23"/>
        <v>-8909.2827213821347</v>
      </c>
      <c r="AW31" s="530">
        <f t="shared" si="23"/>
        <v>-8909.2827213821347</v>
      </c>
      <c r="AX31" s="530">
        <f t="shared" ref="AX31:BY31" si="24">AX$13*AX96*-1</f>
        <v>-8909.2827213821347</v>
      </c>
      <c r="AY31" s="530">
        <f t="shared" si="24"/>
        <v>-8909.2827213821347</v>
      </c>
      <c r="AZ31" s="530">
        <f t="shared" si="24"/>
        <v>-8909.2827213821347</v>
      </c>
      <c r="BA31" s="530">
        <f t="shared" si="24"/>
        <v>-8909.2827213821347</v>
      </c>
      <c r="BB31" s="530">
        <f t="shared" si="24"/>
        <v>-8777.3259914897535</v>
      </c>
      <c r="BC31" s="530">
        <f t="shared" si="24"/>
        <v>-8777.3259914897535</v>
      </c>
      <c r="BD31" s="530">
        <f t="shared" si="24"/>
        <v>-8777.3259914897535</v>
      </c>
      <c r="BE31" s="530">
        <f t="shared" si="24"/>
        <v>-8777.3259914897535</v>
      </c>
      <c r="BF31" s="530">
        <f t="shared" si="24"/>
        <v>-8777.3259914897535</v>
      </c>
      <c r="BG31" s="530">
        <f t="shared" si="24"/>
        <v>-8777.3259914897535</v>
      </c>
      <c r="BH31" s="530">
        <f t="shared" si="24"/>
        <v>-9104.4657152129948</v>
      </c>
      <c r="BI31" s="530">
        <f t="shared" si="24"/>
        <v>-9104.4657152129948</v>
      </c>
      <c r="BJ31" s="530">
        <f t="shared" si="24"/>
        <v>-9104.4657152129948</v>
      </c>
      <c r="BK31" s="530">
        <f t="shared" si="24"/>
        <v>-9104.4657152129948</v>
      </c>
      <c r="BL31" s="530">
        <f t="shared" si="24"/>
        <v>-9104.4657152129948</v>
      </c>
      <c r="BM31" s="530">
        <f t="shared" si="24"/>
        <v>-9104.4657152129948</v>
      </c>
      <c r="BN31" s="530">
        <f t="shared" si="24"/>
        <v>-8933.6788024444977</v>
      </c>
      <c r="BO31" s="530">
        <f t="shared" si="24"/>
        <v>-8933.6788024444977</v>
      </c>
      <c r="BP31" s="530">
        <f t="shared" si="24"/>
        <v>-8933.6788024444977</v>
      </c>
      <c r="BQ31" s="530">
        <f t="shared" si="24"/>
        <v>-8933.6788024444977</v>
      </c>
      <c r="BR31" s="530">
        <f t="shared" si="24"/>
        <v>-8933.6788024444977</v>
      </c>
      <c r="BS31" s="530">
        <f t="shared" si="24"/>
        <v>-8933.6788024444977</v>
      </c>
      <c r="BT31" s="530">
        <f t="shared" si="24"/>
        <v>-9302.8992998590147</v>
      </c>
      <c r="BU31" s="530">
        <f t="shared" si="24"/>
        <v>-9302.8992998590147</v>
      </c>
      <c r="BV31" s="530">
        <f t="shared" si="24"/>
        <v>-9302.8992998590147</v>
      </c>
      <c r="BW31" s="530">
        <f t="shared" si="24"/>
        <v>-9302.8992998590147</v>
      </c>
      <c r="BX31" s="530">
        <f t="shared" si="24"/>
        <v>-9302.8992998590147</v>
      </c>
      <c r="BY31" s="530">
        <f t="shared" si="24"/>
        <v>-9302.8992998590147</v>
      </c>
      <c r="CB31" s="8"/>
    </row>
    <row r="32" spans="3:80" x14ac:dyDescent="0.3">
      <c r="C32" s="2"/>
      <c r="D32" s="2"/>
      <c r="E32" s="2" t="s">
        <v>392</v>
      </c>
      <c r="F32" s="54"/>
      <c r="G32" s="54"/>
      <c r="H32" s="54"/>
      <c r="I32" s="497">
        <f>I$13*I97*-1</f>
        <v>50559.708243375426</v>
      </c>
      <c r="J32" s="497">
        <f t="shared" si="21"/>
        <v>51158.183767126189</v>
      </c>
      <c r="K32" s="497">
        <f t="shared" si="21"/>
        <v>52180.593346071801</v>
      </c>
      <c r="L32" s="497">
        <f t="shared" si="21"/>
        <v>53194.450483919944</v>
      </c>
      <c r="M32" s="497">
        <f t="shared" si="21"/>
        <v>54249.218222798147</v>
      </c>
      <c r="N32" s="497">
        <f t="shared" si="21"/>
        <v>55326.283806787571</v>
      </c>
      <c r="O32" s="37"/>
      <c r="P32" s="50">
        <f t="shared" si="22"/>
        <v>1.8181937035734119E-2</v>
      </c>
      <c r="R32" s="497">
        <f t="shared" ref="R32:AW32" si="25">R$13*R97*-1</f>
        <v>4213.3090202812855</v>
      </c>
      <c r="S32" s="527">
        <f t="shared" si="25"/>
        <v>4213.3090202812855</v>
      </c>
      <c r="T32" s="527">
        <f t="shared" si="25"/>
        <v>4213.3090202812855</v>
      </c>
      <c r="U32" s="527">
        <f t="shared" si="25"/>
        <v>4213.3090202812855</v>
      </c>
      <c r="V32" s="527">
        <f t="shared" si="25"/>
        <v>4213.3090202812855</v>
      </c>
      <c r="W32" s="527">
        <f t="shared" si="25"/>
        <v>4213.3090202812855</v>
      </c>
      <c r="X32" s="527">
        <f t="shared" si="25"/>
        <v>4313.0549409064151</v>
      </c>
      <c r="Y32" s="527">
        <f t="shared" si="25"/>
        <v>4313.0549409064151</v>
      </c>
      <c r="Z32" s="527">
        <f t="shared" si="25"/>
        <v>4313.0549409064151</v>
      </c>
      <c r="AA32" s="527">
        <f t="shared" si="25"/>
        <v>4313.0549409064151</v>
      </c>
      <c r="AB32" s="527">
        <f t="shared" si="25"/>
        <v>4313.0549409064151</v>
      </c>
      <c r="AC32" s="527">
        <f t="shared" si="25"/>
        <v>4313.0549409064151</v>
      </c>
      <c r="AD32" s="527">
        <f t="shared" si="25"/>
        <v>4287.4118445178592</v>
      </c>
      <c r="AE32" s="527">
        <f t="shared" si="25"/>
        <v>4287.4118445178592</v>
      </c>
      <c r="AF32" s="527">
        <f t="shared" si="25"/>
        <v>4287.4118445178592</v>
      </c>
      <c r="AG32" s="527">
        <f t="shared" si="25"/>
        <v>4287.4118445178592</v>
      </c>
      <c r="AH32" s="527">
        <f t="shared" si="25"/>
        <v>4287.4118445178592</v>
      </c>
      <c r="AI32" s="527">
        <f t="shared" si="25"/>
        <v>4287.4118445178592</v>
      </c>
      <c r="AJ32" s="527">
        <f t="shared" si="25"/>
        <v>4409.3537131607754</v>
      </c>
      <c r="AK32" s="527">
        <f t="shared" si="25"/>
        <v>4409.3537131607754</v>
      </c>
      <c r="AL32" s="527">
        <f t="shared" si="25"/>
        <v>4409.3537131607754</v>
      </c>
      <c r="AM32" s="527">
        <f t="shared" si="25"/>
        <v>4409.3537131607754</v>
      </c>
      <c r="AN32" s="527">
        <f t="shared" si="25"/>
        <v>4409.3537131607754</v>
      </c>
      <c r="AO32" s="527">
        <f t="shared" si="25"/>
        <v>4409.3537131607754</v>
      </c>
      <c r="AP32" s="527">
        <f t="shared" si="25"/>
        <v>4360.9578791269978</v>
      </c>
      <c r="AQ32" s="527">
        <f t="shared" si="25"/>
        <v>4360.9578791269978</v>
      </c>
      <c r="AR32" s="527">
        <f t="shared" si="25"/>
        <v>4360.9578791269978</v>
      </c>
      <c r="AS32" s="527">
        <f t="shared" si="25"/>
        <v>4360.9578791269978</v>
      </c>
      <c r="AT32" s="527">
        <f t="shared" si="25"/>
        <v>4360.9578791269978</v>
      </c>
      <c r="AU32" s="527">
        <f t="shared" si="25"/>
        <v>4360.9578791269978</v>
      </c>
      <c r="AV32" s="527">
        <f t="shared" si="25"/>
        <v>4504.7838681929952</v>
      </c>
      <c r="AW32" s="527">
        <f t="shared" si="25"/>
        <v>4504.7838681929952</v>
      </c>
      <c r="AX32" s="527">
        <f t="shared" ref="AX32:BY32" si="26">AX$13*AX97*-1</f>
        <v>4504.7838681929952</v>
      </c>
      <c r="AY32" s="527">
        <f t="shared" si="26"/>
        <v>4504.7838681929952</v>
      </c>
      <c r="AZ32" s="527">
        <f t="shared" si="26"/>
        <v>4504.7838681929952</v>
      </c>
      <c r="BA32" s="527">
        <f t="shared" si="26"/>
        <v>4504.7838681929952</v>
      </c>
      <c r="BB32" s="527">
        <f t="shared" si="26"/>
        <v>4437.9997598176224</v>
      </c>
      <c r="BC32" s="527">
        <f t="shared" si="26"/>
        <v>4437.9997598176224</v>
      </c>
      <c r="BD32" s="527">
        <f t="shared" si="26"/>
        <v>4437.9997598176224</v>
      </c>
      <c r="BE32" s="527">
        <f t="shared" si="26"/>
        <v>4437.9997598176224</v>
      </c>
      <c r="BF32" s="527">
        <f t="shared" si="26"/>
        <v>4437.9997598176224</v>
      </c>
      <c r="BG32" s="527">
        <f t="shared" si="26"/>
        <v>4437.9997598176224</v>
      </c>
      <c r="BH32" s="527">
        <f t="shared" si="26"/>
        <v>4603.5366106487372</v>
      </c>
      <c r="BI32" s="527">
        <f t="shared" si="26"/>
        <v>4603.5366106487372</v>
      </c>
      <c r="BJ32" s="527">
        <f t="shared" si="26"/>
        <v>4603.5366106487372</v>
      </c>
      <c r="BK32" s="527">
        <f t="shared" si="26"/>
        <v>4603.5366106487372</v>
      </c>
      <c r="BL32" s="527">
        <f t="shared" si="26"/>
        <v>4603.5366106487372</v>
      </c>
      <c r="BM32" s="527">
        <f t="shared" si="26"/>
        <v>4603.5366106487372</v>
      </c>
      <c r="BN32" s="527">
        <f t="shared" si="26"/>
        <v>4517.1060183052086</v>
      </c>
      <c r="BO32" s="527">
        <f t="shared" si="26"/>
        <v>4517.1060183052086</v>
      </c>
      <c r="BP32" s="527">
        <f t="shared" si="26"/>
        <v>4517.1060183052086</v>
      </c>
      <c r="BQ32" s="527">
        <f t="shared" si="26"/>
        <v>4517.1060183052086</v>
      </c>
      <c r="BR32" s="527">
        <f t="shared" si="26"/>
        <v>4517.1060183052086</v>
      </c>
      <c r="BS32" s="527">
        <f t="shared" si="26"/>
        <v>4517.1060183052086</v>
      </c>
      <c r="BT32" s="527">
        <f t="shared" si="26"/>
        <v>4703.9412828260502</v>
      </c>
      <c r="BU32" s="527">
        <f t="shared" si="26"/>
        <v>4703.9412828260502</v>
      </c>
      <c r="BV32" s="527">
        <f t="shared" si="26"/>
        <v>4703.9412828260502</v>
      </c>
      <c r="BW32" s="527">
        <f t="shared" si="26"/>
        <v>4703.9412828260502</v>
      </c>
      <c r="BX32" s="527">
        <f t="shared" si="26"/>
        <v>4703.9412828260502</v>
      </c>
      <c r="BY32" s="527">
        <f t="shared" si="26"/>
        <v>4703.9412828260502</v>
      </c>
      <c r="CB32" s="8"/>
    </row>
    <row r="33" spans="3:80" x14ac:dyDescent="0.3">
      <c r="C33" s="2"/>
      <c r="D33" s="2"/>
      <c r="E33" s="2" t="s">
        <v>393</v>
      </c>
      <c r="F33" s="54"/>
      <c r="G33" s="54"/>
      <c r="H33" s="54"/>
      <c r="I33" s="497">
        <f>I$13*I98*-1</f>
        <v>6501.5978674147791</v>
      </c>
      <c r="J33" s="497">
        <f t="shared" si="21"/>
        <v>6579.078239276856</v>
      </c>
      <c r="K33" s="497">
        <f t="shared" si="21"/>
        <v>6711.444029379938</v>
      </c>
      <c r="L33" s="497">
        <f t="shared" si="21"/>
        <v>6842.7039457892588</v>
      </c>
      <c r="M33" s="497">
        <f t="shared" si="21"/>
        <v>6979.3055759480249</v>
      </c>
      <c r="N33" s="497">
        <f t="shared" si="21"/>
        <v>7118.8594696568898</v>
      </c>
      <c r="O33" s="37"/>
      <c r="P33" s="50">
        <f t="shared" si="22"/>
        <v>1.8305438209365699E-2</v>
      </c>
      <c r="R33" s="497">
        <f t="shared" ref="R33:AW33" si="27">R$13*R98*-1</f>
        <v>541.79982228456493</v>
      </c>
      <c r="S33" s="527">
        <f t="shared" si="27"/>
        <v>541.79982228456493</v>
      </c>
      <c r="T33" s="527">
        <f t="shared" si="27"/>
        <v>541.79982228456493</v>
      </c>
      <c r="U33" s="527">
        <f t="shared" si="27"/>
        <v>541.79982228456493</v>
      </c>
      <c r="V33" s="527">
        <f t="shared" si="27"/>
        <v>541.79982228456493</v>
      </c>
      <c r="W33" s="527">
        <f t="shared" si="27"/>
        <v>541.79982228456493</v>
      </c>
      <c r="X33" s="527">
        <f t="shared" si="27"/>
        <v>554.71321759491127</v>
      </c>
      <c r="Y33" s="527">
        <f t="shared" si="27"/>
        <v>554.71321759491127</v>
      </c>
      <c r="Z33" s="527">
        <f t="shared" si="27"/>
        <v>554.71321759491127</v>
      </c>
      <c r="AA33" s="527">
        <f t="shared" si="27"/>
        <v>554.71321759491127</v>
      </c>
      <c r="AB33" s="527">
        <f t="shared" si="27"/>
        <v>554.71321759491127</v>
      </c>
      <c r="AC33" s="527">
        <f t="shared" si="27"/>
        <v>554.71321759491127</v>
      </c>
      <c r="AD33" s="527">
        <f t="shared" si="27"/>
        <v>551.39400728062913</v>
      </c>
      <c r="AE33" s="527">
        <f t="shared" si="27"/>
        <v>551.39400728062913</v>
      </c>
      <c r="AF33" s="527">
        <f t="shared" si="27"/>
        <v>551.39400728062913</v>
      </c>
      <c r="AG33" s="527">
        <f t="shared" si="27"/>
        <v>551.39400728062913</v>
      </c>
      <c r="AH33" s="527">
        <f t="shared" si="27"/>
        <v>551.39400728062913</v>
      </c>
      <c r="AI33" s="527">
        <f t="shared" si="27"/>
        <v>551.39400728062913</v>
      </c>
      <c r="AJ33" s="527">
        <f t="shared" si="27"/>
        <v>567.17999761602709</v>
      </c>
      <c r="AK33" s="527">
        <f t="shared" si="27"/>
        <v>567.17999761602709</v>
      </c>
      <c r="AL33" s="527">
        <f t="shared" si="27"/>
        <v>567.17999761602709</v>
      </c>
      <c r="AM33" s="527">
        <f t="shared" si="27"/>
        <v>567.17999761602709</v>
      </c>
      <c r="AN33" s="527">
        <f t="shared" si="27"/>
        <v>567.17999761602709</v>
      </c>
      <c r="AO33" s="527">
        <f t="shared" si="27"/>
        <v>567.17999761602709</v>
      </c>
      <c r="AP33" s="527">
        <f t="shared" si="27"/>
        <v>560.91633173763387</v>
      </c>
      <c r="AQ33" s="527">
        <f t="shared" si="27"/>
        <v>560.91633173763387</v>
      </c>
      <c r="AR33" s="527">
        <f t="shared" si="27"/>
        <v>560.91633173763387</v>
      </c>
      <c r="AS33" s="527">
        <f t="shared" si="27"/>
        <v>560.91633173763387</v>
      </c>
      <c r="AT33" s="527">
        <f t="shared" si="27"/>
        <v>560.91633173763387</v>
      </c>
      <c r="AU33" s="527">
        <f t="shared" si="27"/>
        <v>560.91633173763387</v>
      </c>
      <c r="AV33" s="527">
        <f t="shared" si="27"/>
        <v>579.53432589390957</v>
      </c>
      <c r="AW33" s="527">
        <f t="shared" si="27"/>
        <v>579.53432589390957</v>
      </c>
      <c r="AX33" s="527">
        <f t="shared" ref="AX33:BY33" si="28">AX$13*AX98*-1</f>
        <v>579.53432589390957</v>
      </c>
      <c r="AY33" s="527">
        <f t="shared" si="28"/>
        <v>579.53432589390957</v>
      </c>
      <c r="AZ33" s="527">
        <f t="shared" si="28"/>
        <v>579.53432589390957</v>
      </c>
      <c r="BA33" s="527">
        <f t="shared" si="28"/>
        <v>579.53432589390957</v>
      </c>
      <c r="BB33" s="527">
        <f t="shared" si="28"/>
        <v>570.89510687083646</v>
      </c>
      <c r="BC33" s="527">
        <f t="shared" si="28"/>
        <v>570.89510687083646</v>
      </c>
      <c r="BD33" s="527">
        <f t="shared" si="28"/>
        <v>570.89510687083646</v>
      </c>
      <c r="BE33" s="527">
        <f t="shared" si="28"/>
        <v>570.89510687083646</v>
      </c>
      <c r="BF33" s="527">
        <f t="shared" si="28"/>
        <v>570.89510687083646</v>
      </c>
      <c r="BG33" s="527">
        <f t="shared" si="28"/>
        <v>570.89510687083646</v>
      </c>
      <c r="BH33" s="527">
        <f t="shared" si="28"/>
        <v>592.32248912050136</v>
      </c>
      <c r="BI33" s="527">
        <f t="shared" si="28"/>
        <v>592.32248912050136</v>
      </c>
      <c r="BJ33" s="527">
        <f t="shared" si="28"/>
        <v>592.32248912050136</v>
      </c>
      <c r="BK33" s="527">
        <f t="shared" si="28"/>
        <v>592.32248912050136</v>
      </c>
      <c r="BL33" s="527">
        <f t="shared" si="28"/>
        <v>592.32248912050136</v>
      </c>
      <c r="BM33" s="527">
        <f t="shared" si="28"/>
        <v>592.32248912050136</v>
      </c>
      <c r="BN33" s="527">
        <f t="shared" si="28"/>
        <v>581.14672723278954</v>
      </c>
      <c r="BO33" s="527">
        <f t="shared" si="28"/>
        <v>581.14672723278954</v>
      </c>
      <c r="BP33" s="527">
        <f t="shared" si="28"/>
        <v>581.14672723278954</v>
      </c>
      <c r="BQ33" s="527">
        <f t="shared" si="28"/>
        <v>581.14672723278954</v>
      </c>
      <c r="BR33" s="527">
        <f t="shared" si="28"/>
        <v>581.14672723278954</v>
      </c>
      <c r="BS33" s="527">
        <f t="shared" si="28"/>
        <v>581.14672723278954</v>
      </c>
      <c r="BT33" s="527">
        <f t="shared" si="28"/>
        <v>605.32985104335876</v>
      </c>
      <c r="BU33" s="527">
        <f t="shared" si="28"/>
        <v>605.32985104335876</v>
      </c>
      <c r="BV33" s="527">
        <f t="shared" si="28"/>
        <v>605.32985104335876</v>
      </c>
      <c r="BW33" s="527">
        <f t="shared" si="28"/>
        <v>605.32985104335876</v>
      </c>
      <c r="BX33" s="527">
        <f t="shared" si="28"/>
        <v>605.32985104335876</v>
      </c>
      <c r="BY33" s="527">
        <f t="shared" si="28"/>
        <v>605.32985104335876</v>
      </c>
      <c r="CB33" s="8"/>
    </row>
    <row r="34" spans="3:80" x14ac:dyDescent="0.3">
      <c r="C34" s="2"/>
      <c r="D34" s="2"/>
      <c r="E34" s="4" t="s">
        <v>394</v>
      </c>
      <c r="F34" s="5"/>
      <c r="G34" s="5"/>
      <c r="H34" s="5"/>
      <c r="I34" s="498">
        <f>SUM(I31:I33)</f>
        <v>-42936.573381400289</v>
      </c>
      <c r="J34" s="500">
        <f t="shared" si="21"/>
        <v>-43443.542425954256</v>
      </c>
      <c r="K34" s="498">
        <f t="shared" si="21"/>
        <v>-44309.779586547658</v>
      </c>
      <c r="L34" s="500">
        <f t="shared" si="21"/>
        <v>-45168.771672546754</v>
      </c>
      <c r="M34" s="500">
        <f t="shared" si="21"/>
        <v>-46062.226441470317</v>
      </c>
      <c r="N34" s="500">
        <f t="shared" si="21"/>
        <v>-46974.325337376627</v>
      </c>
      <c r="O34" s="57"/>
      <c r="P34" s="55">
        <f t="shared" si="22"/>
        <v>1.813796937617207E-2</v>
      </c>
      <c r="R34" s="498">
        <f>SUM(R31:R33)</f>
        <v>-3578.0477817833585</v>
      </c>
      <c r="S34" s="530">
        <f t="shared" ref="S34:BY34" si="29">SUM(S31:S33)</f>
        <v>-3578.0477817833585</v>
      </c>
      <c r="T34" s="530">
        <f t="shared" si="29"/>
        <v>-3578.0477817833585</v>
      </c>
      <c r="U34" s="530">
        <f t="shared" si="29"/>
        <v>-3578.0477817833585</v>
      </c>
      <c r="V34" s="530">
        <f t="shared" si="29"/>
        <v>-3578.0477817833585</v>
      </c>
      <c r="W34" s="530">
        <f t="shared" si="29"/>
        <v>-3578.0477817833585</v>
      </c>
      <c r="X34" s="530">
        <f t="shared" si="29"/>
        <v>-3662.5426225423512</v>
      </c>
      <c r="Y34" s="530">
        <f t="shared" si="29"/>
        <v>-3662.5426225423512</v>
      </c>
      <c r="Z34" s="530">
        <f t="shared" si="29"/>
        <v>-3662.5426225423512</v>
      </c>
      <c r="AA34" s="530">
        <f t="shared" si="29"/>
        <v>-3662.5426225423512</v>
      </c>
      <c r="AB34" s="530">
        <f t="shared" si="29"/>
        <v>-3662.5426225423512</v>
      </c>
      <c r="AC34" s="530">
        <f t="shared" si="29"/>
        <v>-3662.5426225423512</v>
      </c>
      <c r="AD34" s="530">
        <f t="shared" si="29"/>
        <v>-3640.8419919926473</v>
      </c>
      <c r="AE34" s="530">
        <f t="shared" si="29"/>
        <v>-3640.8419919926473</v>
      </c>
      <c r="AF34" s="530">
        <f t="shared" si="29"/>
        <v>-3640.8419919926473</v>
      </c>
      <c r="AG34" s="530">
        <f t="shared" si="29"/>
        <v>-3640.8419919926473</v>
      </c>
      <c r="AH34" s="530">
        <f t="shared" si="29"/>
        <v>-3640.8419919926473</v>
      </c>
      <c r="AI34" s="530">
        <f t="shared" si="29"/>
        <v>-3640.8419919926473</v>
      </c>
      <c r="AJ34" s="530">
        <f t="shared" si="29"/>
        <v>-3744.1212724319612</v>
      </c>
      <c r="AK34" s="530">
        <f t="shared" si="29"/>
        <v>-3744.1212724319612</v>
      </c>
      <c r="AL34" s="530">
        <f t="shared" si="29"/>
        <v>-3744.1212724319612</v>
      </c>
      <c r="AM34" s="530">
        <f t="shared" si="29"/>
        <v>-3744.1212724319612</v>
      </c>
      <c r="AN34" s="530">
        <f t="shared" si="29"/>
        <v>-3744.1212724319612</v>
      </c>
      <c r="AO34" s="530">
        <f t="shared" si="29"/>
        <v>-3744.1212724319612</v>
      </c>
      <c r="AP34" s="530">
        <f t="shared" si="29"/>
        <v>-3703.1640847958947</v>
      </c>
      <c r="AQ34" s="530">
        <f t="shared" si="29"/>
        <v>-3703.1640847958947</v>
      </c>
      <c r="AR34" s="530">
        <f t="shared" si="29"/>
        <v>-3703.1640847958947</v>
      </c>
      <c r="AS34" s="530">
        <f t="shared" si="29"/>
        <v>-3703.1640847958947</v>
      </c>
      <c r="AT34" s="530">
        <f t="shared" si="29"/>
        <v>-3703.1640847958947</v>
      </c>
      <c r="AU34" s="530">
        <f t="shared" si="29"/>
        <v>-3703.1640847958947</v>
      </c>
      <c r="AV34" s="530">
        <f t="shared" si="29"/>
        <v>-3824.9645272952298</v>
      </c>
      <c r="AW34" s="530">
        <f t="shared" si="29"/>
        <v>-3824.9645272952298</v>
      </c>
      <c r="AX34" s="530">
        <f t="shared" si="29"/>
        <v>-3824.9645272952298</v>
      </c>
      <c r="AY34" s="530">
        <f t="shared" si="29"/>
        <v>-3824.9645272952298</v>
      </c>
      <c r="AZ34" s="530">
        <f t="shared" si="29"/>
        <v>-3824.9645272952298</v>
      </c>
      <c r="BA34" s="530">
        <f t="shared" si="29"/>
        <v>-3824.9645272952298</v>
      </c>
      <c r="BB34" s="530">
        <f t="shared" si="29"/>
        <v>-3768.4311248012946</v>
      </c>
      <c r="BC34" s="530">
        <f t="shared" si="29"/>
        <v>-3768.4311248012946</v>
      </c>
      <c r="BD34" s="530">
        <f t="shared" si="29"/>
        <v>-3768.4311248012946</v>
      </c>
      <c r="BE34" s="530">
        <f t="shared" si="29"/>
        <v>-3768.4311248012946</v>
      </c>
      <c r="BF34" s="530">
        <f t="shared" si="29"/>
        <v>-3768.4311248012946</v>
      </c>
      <c r="BG34" s="530">
        <f t="shared" si="29"/>
        <v>-3768.4311248012946</v>
      </c>
      <c r="BH34" s="530">
        <f t="shared" si="29"/>
        <v>-3908.6066154437563</v>
      </c>
      <c r="BI34" s="530">
        <f t="shared" si="29"/>
        <v>-3908.6066154437563</v>
      </c>
      <c r="BJ34" s="530">
        <f t="shared" si="29"/>
        <v>-3908.6066154437563</v>
      </c>
      <c r="BK34" s="530">
        <f t="shared" si="29"/>
        <v>-3908.6066154437563</v>
      </c>
      <c r="BL34" s="530">
        <f t="shared" si="29"/>
        <v>-3908.6066154437563</v>
      </c>
      <c r="BM34" s="530">
        <f t="shared" si="29"/>
        <v>-3908.6066154437563</v>
      </c>
      <c r="BN34" s="530">
        <f t="shared" si="29"/>
        <v>-3835.4260569064995</v>
      </c>
      <c r="BO34" s="530">
        <f t="shared" si="29"/>
        <v>-3835.4260569064995</v>
      </c>
      <c r="BP34" s="530">
        <f t="shared" si="29"/>
        <v>-3835.4260569064995</v>
      </c>
      <c r="BQ34" s="530">
        <f t="shared" si="29"/>
        <v>-3835.4260569064995</v>
      </c>
      <c r="BR34" s="530">
        <f t="shared" si="29"/>
        <v>-3835.4260569064995</v>
      </c>
      <c r="BS34" s="530">
        <f t="shared" si="29"/>
        <v>-3835.4260569064995</v>
      </c>
      <c r="BT34" s="530">
        <f t="shared" si="29"/>
        <v>-3993.6281659896058</v>
      </c>
      <c r="BU34" s="530">
        <f t="shared" si="29"/>
        <v>-3993.6281659896058</v>
      </c>
      <c r="BV34" s="530">
        <f t="shared" si="29"/>
        <v>-3993.6281659896058</v>
      </c>
      <c r="BW34" s="530">
        <f t="shared" si="29"/>
        <v>-3993.6281659896058</v>
      </c>
      <c r="BX34" s="530">
        <f t="shared" si="29"/>
        <v>-3993.6281659896058</v>
      </c>
      <c r="BY34" s="530">
        <f t="shared" si="29"/>
        <v>-3993.6281659896058</v>
      </c>
      <c r="CB34" s="8"/>
    </row>
    <row r="35" spans="3:80" x14ac:dyDescent="0.3">
      <c r="C35" s="2"/>
      <c r="D35" s="2"/>
      <c r="E35" s="2" t="s">
        <v>395</v>
      </c>
      <c r="F35" s="54"/>
      <c r="G35" s="54"/>
      <c r="H35" s="54"/>
      <c r="I35" s="497">
        <f>I$13*I100*-1</f>
        <v>4818.1659014621637</v>
      </c>
      <c r="J35" s="497">
        <f t="shared" si="21"/>
        <v>4874.2958345922343</v>
      </c>
      <c r="K35" s="497">
        <f t="shared" si="21"/>
        <v>4970.4936318832679</v>
      </c>
      <c r="L35" s="497">
        <f t="shared" si="21"/>
        <v>5065.874967739609</v>
      </c>
      <c r="M35" s="497">
        <f t="shared" si="21"/>
        <v>5164.8405721368172</v>
      </c>
      <c r="N35" s="497">
        <f t="shared" si="21"/>
        <v>5265.611817284801</v>
      </c>
      <c r="O35" s="37"/>
      <c r="P35" s="50">
        <f t="shared" si="22"/>
        <v>1.7919462187365509E-2</v>
      </c>
      <c r="R35" s="497">
        <f t="shared" ref="R35:AW35" si="30">R$13*R100*-1</f>
        <v>401.51382512184711</v>
      </c>
      <c r="S35" s="527">
        <f t="shared" si="30"/>
        <v>401.51382512184711</v>
      </c>
      <c r="T35" s="527">
        <f t="shared" si="30"/>
        <v>401.51382512184711</v>
      </c>
      <c r="U35" s="527">
        <f t="shared" si="30"/>
        <v>401.51382512184711</v>
      </c>
      <c r="V35" s="527">
        <f t="shared" si="30"/>
        <v>401.51382512184711</v>
      </c>
      <c r="W35" s="527">
        <f t="shared" si="30"/>
        <v>401.51382512184711</v>
      </c>
      <c r="X35" s="527">
        <f t="shared" si="30"/>
        <v>410.86881397685875</v>
      </c>
      <c r="Y35" s="527">
        <f t="shared" si="30"/>
        <v>410.86881397685875</v>
      </c>
      <c r="Z35" s="527">
        <f t="shared" si="30"/>
        <v>410.86881397685875</v>
      </c>
      <c r="AA35" s="527">
        <f t="shared" si="30"/>
        <v>410.86881397685875</v>
      </c>
      <c r="AB35" s="527">
        <f t="shared" si="30"/>
        <v>410.86881397685875</v>
      </c>
      <c r="AC35" s="527">
        <f t="shared" si="30"/>
        <v>410.86881397685875</v>
      </c>
      <c r="AD35" s="527">
        <f t="shared" si="30"/>
        <v>408.51020826014059</v>
      </c>
      <c r="AE35" s="527">
        <f t="shared" si="30"/>
        <v>408.51020826014059</v>
      </c>
      <c r="AF35" s="527">
        <f t="shared" si="30"/>
        <v>408.51020826014059</v>
      </c>
      <c r="AG35" s="527">
        <f t="shared" si="30"/>
        <v>408.51020826014059</v>
      </c>
      <c r="AH35" s="527">
        <f t="shared" si="30"/>
        <v>408.51020826014059</v>
      </c>
      <c r="AI35" s="527">
        <f t="shared" si="30"/>
        <v>408.51020826014059</v>
      </c>
      <c r="AJ35" s="527">
        <f t="shared" si="30"/>
        <v>419.90539705373749</v>
      </c>
      <c r="AK35" s="527">
        <f t="shared" si="30"/>
        <v>419.90539705373749</v>
      </c>
      <c r="AL35" s="527">
        <f t="shared" si="30"/>
        <v>419.90539705373749</v>
      </c>
      <c r="AM35" s="527">
        <f t="shared" si="30"/>
        <v>419.90539705373749</v>
      </c>
      <c r="AN35" s="527">
        <f t="shared" si="30"/>
        <v>419.90539705373749</v>
      </c>
      <c r="AO35" s="527">
        <f t="shared" si="30"/>
        <v>419.90539705373749</v>
      </c>
      <c r="AP35" s="527">
        <f t="shared" si="30"/>
        <v>415.4527885477944</v>
      </c>
      <c r="AQ35" s="527">
        <f t="shared" si="30"/>
        <v>415.4527885477944</v>
      </c>
      <c r="AR35" s="527">
        <f t="shared" si="30"/>
        <v>415.4527885477944</v>
      </c>
      <c r="AS35" s="527">
        <f t="shared" si="30"/>
        <v>415.4527885477944</v>
      </c>
      <c r="AT35" s="527">
        <f t="shared" si="30"/>
        <v>415.4527885477944</v>
      </c>
      <c r="AU35" s="527">
        <f t="shared" si="30"/>
        <v>415.4527885477944</v>
      </c>
      <c r="AV35" s="527">
        <f t="shared" si="30"/>
        <v>428.85970607547364</v>
      </c>
      <c r="AW35" s="527">
        <f t="shared" si="30"/>
        <v>428.85970607547364</v>
      </c>
      <c r="AX35" s="527">
        <f t="shared" ref="AX35:BY35" si="31">AX$13*AX100*-1</f>
        <v>428.85970607547364</v>
      </c>
      <c r="AY35" s="527">
        <f t="shared" si="31"/>
        <v>428.85970607547364</v>
      </c>
      <c r="AZ35" s="527">
        <f t="shared" si="31"/>
        <v>428.85970607547364</v>
      </c>
      <c r="BA35" s="527">
        <f t="shared" si="31"/>
        <v>428.85970607547364</v>
      </c>
      <c r="BB35" s="527">
        <f t="shared" si="31"/>
        <v>422.70193362399743</v>
      </c>
      <c r="BC35" s="527">
        <f t="shared" si="31"/>
        <v>422.70193362399743</v>
      </c>
      <c r="BD35" s="527">
        <f t="shared" si="31"/>
        <v>422.70193362399743</v>
      </c>
      <c r="BE35" s="527">
        <f t="shared" si="31"/>
        <v>422.70193362399743</v>
      </c>
      <c r="BF35" s="527">
        <f t="shared" si="31"/>
        <v>422.70193362399743</v>
      </c>
      <c r="BG35" s="527">
        <f t="shared" si="31"/>
        <v>422.70193362399743</v>
      </c>
      <c r="BH35" s="527">
        <f t="shared" si="31"/>
        <v>438.1048283988053</v>
      </c>
      <c r="BI35" s="527">
        <f t="shared" si="31"/>
        <v>438.1048283988053</v>
      </c>
      <c r="BJ35" s="527">
        <f t="shared" si="31"/>
        <v>438.1048283988053</v>
      </c>
      <c r="BK35" s="527">
        <f t="shared" si="31"/>
        <v>438.1048283988053</v>
      </c>
      <c r="BL35" s="527">
        <f t="shared" si="31"/>
        <v>438.1048283988053</v>
      </c>
      <c r="BM35" s="527">
        <f t="shared" si="31"/>
        <v>438.1048283988053</v>
      </c>
      <c r="BN35" s="527">
        <f t="shared" si="31"/>
        <v>430.12045071808109</v>
      </c>
      <c r="BO35" s="527">
        <f t="shared" si="31"/>
        <v>430.12045071808109</v>
      </c>
      <c r="BP35" s="527">
        <f t="shared" si="31"/>
        <v>430.12045071808109</v>
      </c>
      <c r="BQ35" s="527">
        <f t="shared" si="31"/>
        <v>430.12045071808109</v>
      </c>
      <c r="BR35" s="527">
        <f t="shared" si="31"/>
        <v>430.12045071808109</v>
      </c>
      <c r="BS35" s="527">
        <f t="shared" si="31"/>
        <v>430.12045071808109</v>
      </c>
      <c r="BT35" s="527">
        <f t="shared" si="31"/>
        <v>447.48151882938572</v>
      </c>
      <c r="BU35" s="527">
        <f t="shared" si="31"/>
        <v>447.48151882938572</v>
      </c>
      <c r="BV35" s="527">
        <f t="shared" si="31"/>
        <v>447.48151882938572</v>
      </c>
      <c r="BW35" s="527">
        <f t="shared" si="31"/>
        <v>447.48151882938572</v>
      </c>
      <c r="BX35" s="527">
        <f t="shared" si="31"/>
        <v>447.48151882938572</v>
      </c>
      <c r="BY35" s="527">
        <f t="shared" si="31"/>
        <v>447.48151882938572</v>
      </c>
      <c r="CB35" s="8"/>
    </row>
    <row r="36" spans="3:80" x14ac:dyDescent="0.3">
      <c r="C36" s="2"/>
      <c r="D36" s="2"/>
      <c r="E36" s="4" t="s">
        <v>396</v>
      </c>
      <c r="F36" s="5"/>
      <c r="G36" s="5"/>
      <c r="H36" s="5"/>
      <c r="I36" s="498">
        <f>SUM(I34:I35)</f>
        <v>-38118.407479938127</v>
      </c>
      <c r="J36" s="498">
        <f t="shared" si="21"/>
        <v>-38569.246591362033</v>
      </c>
      <c r="K36" s="498">
        <f t="shared" si="21"/>
        <v>-39339.285954664381</v>
      </c>
      <c r="L36" s="498">
        <f t="shared" si="21"/>
        <v>-40102.896704807143</v>
      </c>
      <c r="M36" s="498">
        <f t="shared" si="21"/>
        <v>-40897.385869333499</v>
      </c>
      <c r="N36" s="498">
        <f t="shared" si="21"/>
        <v>-41708.713520091835</v>
      </c>
      <c r="O36" s="57"/>
      <c r="P36" s="55">
        <f t="shared" si="22"/>
        <v>1.8165575330700179E-2</v>
      </c>
      <c r="R36" s="498">
        <f>SUM(R34:R35)</f>
        <v>-3176.5339566615112</v>
      </c>
      <c r="S36" s="530">
        <f t="shared" ref="S36:BY36" si="32">SUM(S34:S35)</f>
        <v>-3176.5339566615112</v>
      </c>
      <c r="T36" s="530">
        <f t="shared" si="32"/>
        <v>-3176.5339566615112</v>
      </c>
      <c r="U36" s="530">
        <f t="shared" si="32"/>
        <v>-3176.5339566615112</v>
      </c>
      <c r="V36" s="530">
        <f t="shared" si="32"/>
        <v>-3176.5339566615112</v>
      </c>
      <c r="W36" s="530">
        <f t="shared" si="32"/>
        <v>-3176.5339566615112</v>
      </c>
      <c r="X36" s="530">
        <f t="shared" si="32"/>
        <v>-3251.6738085654924</v>
      </c>
      <c r="Y36" s="530">
        <f t="shared" si="32"/>
        <v>-3251.6738085654924</v>
      </c>
      <c r="Z36" s="530">
        <f t="shared" si="32"/>
        <v>-3251.6738085654924</v>
      </c>
      <c r="AA36" s="530">
        <f t="shared" si="32"/>
        <v>-3251.6738085654924</v>
      </c>
      <c r="AB36" s="530">
        <f t="shared" si="32"/>
        <v>-3251.6738085654924</v>
      </c>
      <c r="AC36" s="530">
        <f t="shared" si="32"/>
        <v>-3251.6738085654924</v>
      </c>
      <c r="AD36" s="530">
        <f t="shared" si="32"/>
        <v>-3232.3317837325067</v>
      </c>
      <c r="AE36" s="530">
        <f t="shared" si="32"/>
        <v>-3232.3317837325067</v>
      </c>
      <c r="AF36" s="530">
        <f t="shared" si="32"/>
        <v>-3232.3317837325067</v>
      </c>
      <c r="AG36" s="530">
        <f t="shared" si="32"/>
        <v>-3232.3317837325067</v>
      </c>
      <c r="AH36" s="530">
        <f t="shared" si="32"/>
        <v>-3232.3317837325067</v>
      </c>
      <c r="AI36" s="530">
        <f t="shared" si="32"/>
        <v>-3232.3317837325067</v>
      </c>
      <c r="AJ36" s="530">
        <f t="shared" si="32"/>
        <v>-3324.2158753782237</v>
      </c>
      <c r="AK36" s="530">
        <f t="shared" si="32"/>
        <v>-3324.2158753782237</v>
      </c>
      <c r="AL36" s="530">
        <f t="shared" si="32"/>
        <v>-3324.2158753782237</v>
      </c>
      <c r="AM36" s="530">
        <f t="shared" si="32"/>
        <v>-3324.2158753782237</v>
      </c>
      <c r="AN36" s="530">
        <f t="shared" si="32"/>
        <v>-3324.2158753782237</v>
      </c>
      <c r="AO36" s="530">
        <f t="shared" si="32"/>
        <v>-3324.2158753782237</v>
      </c>
      <c r="AP36" s="530">
        <f t="shared" si="32"/>
        <v>-3287.7112962481006</v>
      </c>
      <c r="AQ36" s="530">
        <f t="shared" si="32"/>
        <v>-3287.7112962481006</v>
      </c>
      <c r="AR36" s="530">
        <f t="shared" si="32"/>
        <v>-3287.7112962481006</v>
      </c>
      <c r="AS36" s="530">
        <f t="shared" si="32"/>
        <v>-3287.7112962481006</v>
      </c>
      <c r="AT36" s="530">
        <f t="shared" si="32"/>
        <v>-3287.7112962481006</v>
      </c>
      <c r="AU36" s="530">
        <f t="shared" si="32"/>
        <v>-3287.7112962481006</v>
      </c>
      <c r="AV36" s="530">
        <f t="shared" si="32"/>
        <v>-3396.1048212197561</v>
      </c>
      <c r="AW36" s="530">
        <f t="shared" si="32"/>
        <v>-3396.1048212197561</v>
      </c>
      <c r="AX36" s="530">
        <f t="shared" si="32"/>
        <v>-3396.1048212197561</v>
      </c>
      <c r="AY36" s="530">
        <f t="shared" si="32"/>
        <v>-3396.1048212197561</v>
      </c>
      <c r="AZ36" s="530">
        <f t="shared" si="32"/>
        <v>-3396.1048212197561</v>
      </c>
      <c r="BA36" s="530">
        <f t="shared" si="32"/>
        <v>-3396.1048212197561</v>
      </c>
      <c r="BB36" s="530">
        <f t="shared" si="32"/>
        <v>-3345.7291911772973</v>
      </c>
      <c r="BC36" s="530">
        <f t="shared" si="32"/>
        <v>-3345.7291911772973</v>
      </c>
      <c r="BD36" s="530">
        <f t="shared" si="32"/>
        <v>-3345.7291911772973</v>
      </c>
      <c r="BE36" s="530">
        <f t="shared" si="32"/>
        <v>-3345.7291911772973</v>
      </c>
      <c r="BF36" s="530">
        <f t="shared" si="32"/>
        <v>-3345.7291911772973</v>
      </c>
      <c r="BG36" s="530">
        <f t="shared" si="32"/>
        <v>-3345.7291911772973</v>
      </c>
      <c r="BH36" s="530">
        <f t="shared" si="32"/>
        <v>-3470.501787044951</v>
      </c>
      <c r="BI36" s="530">
        <f t="shared" si="32"/>
        <v>-3470.501787044951</v>
      </c>
      <c r="BJ36" s="530">
        <f t="shared" si="32"/>
        <v>-3470.501787044951</v>
      </c>
      <c r="BK36" s="530">
        <f t="shared" si="32"/>
        <v>-3470.501787044951</v>
      </c>
      <c r="BL36" s="530">
        <f t="shared" si="32"/>
        <v>-3470.501787044951</v>
      </c>
      <c r="BM36" s="530">
        <f t="shared" si="32"/>
        <v>-3470.501787044951</v>
      </c>
      <c r="BN36" s="530">
        <f t="shared" si="32"/>
        <v>-3405.3056061884186</v>
      </c>
      <c r="BO36" s="530">
        <f t="shared" si="32"/>
        <v>-3405.3056061884186</v>
      </c>
      <c r="BP36" s="530">
        <f t="shared" si="32"/>
        <v>-3405.3056061884186</v>
      </c>
      <c r="BQ36" s="530">
        <f t="shared" si="32"/>
        <v>-3405.3056061884186</v>
      </c>
      <c r="BR36" s="530">
        <f t="shared" si="32"/>
        <v>-3405.3056061884186</v>
      </c>
      <c r="BS36" s="530">
        <f t="shared" si="32"/>
        <v>-3405.3056061884186</v>
      </c>
      <c r="BT36" s="530">
        <f t="shared" si="32"/>
        <v>-3546.1466471602203</v>
      </c>
      <c r="BU36" s="530">
        <f t="shared" si="32"/>
        <v>-3546.1466471602203</v>
      </c>
      <c r="BV36" s="530">
        <f t="shared" si="32"/>
        <v>-3546.1466471602203</v>
      </c>
      <c r="BW36" s="530">
        <f t="shared" si="32"/>
        <v>-3546.1466471602203</v>
      </c>
      <c r="BX36" s="530">
        <f t="shared" si="32"/>
        <v>-3546.1466471602203</v>
      </c>
      <c r="BY36" s="530">
        <f t="shared" si="32"/>
        <v>-3546.1466471602203</v>
      </c>
      <c r="CB36" s="8"/>
    </row>
    <row r="37" spans="3:80" x14ac:dyDescent="0.3">
      <c r="C37" s="2"/>
      <c r="D37" s="2"/>
      <c r="E37" s="2" t="s">
        <v>176</v>
      </c>
      <c r="F37" s="58"/>
      <c r="G37" s="58"/>
      <c r="H37" s="58"/>
      <c r="I37" s="499">
        <f t="shared" ref="I37:N37" si="33">IFERROR(I36/I31,0)</f>
        <v>0.38119215800886108</v>
      </c>
      <c r="J37" s="499">
        <f t="shared" si="33"/>
        <v>0.38119134165558877</v>
      </c>
      <c r="K37" s="499">
        <f t="shared" si="33"/>
        <v>0.38118792006491276</v>
      </c>
      <c r="L37" s="499">
        <f t="shared" si="33"/>
        <v>0.38118476962817416</v>
      </c>
      <c r="M37" s="499">
        <f t="shared" si="33"/>
        <v>0.38118277463590394</v>
      </c>
      <c r="N37" s="499">
        <f t="shared" si="33"/>
        <v>0.38118183215910356</v>
      </c>
      <c r="O37" s="23"/>
      <c r="P37" s="50">
        <f t="shared" si="22"/>
        <v>-5.4177198698379669E-6</v>
      </c>
      <c r="R37" s="499">
        <f>IFERROR(R36/R31,0)</f>
        <v>0.38119215800886108</v>
      </c>
      <c r="S37" s="531">
        <f t="shared" ref="S37:BY37" si="34">IFERROR(S36/S31,0)</f>
        <v>0.38119215800886108</v>
      </c>
      <c r="T37" s="531">
        <f t="shared" si="34"/>
        <v>0.38119215800886108</v>
      </c>
      <c r="U37" s="531">
        <f t="shared" si="34"/>
        <v>0.38119215800886108</v>
      </c>
      <c r="V37" s="531">
        <f t="shared" si="34"/>
        <v>0.38119215800886108</v>
      </c>
      <c r="W37" s="531">
        <f t="shared" si="34"/>
        <v>0.38119215800886108</v>
      </c>
      <c r="X37" s="531">
        <f t="shared" si="34"/>
        <v>0.38119054417002757</v>
      </c>
      <c r="Y37" s="531">
        <f t="shared" si="34"/>
        <v>0.38119054417002757</v>
      </c>
      <c r="Z37" s="531">
        <f t="shared" si="34"/>
        <v>0.38119054417002757</v>
      </c>
      <c r="AA37" s="531">
        <f t="shared" si="34"/>
        <v>0.38119054417002757</v>
      </c>
      <c r="AB37" s="531">
        <f t="shared" si="34"/>
        <v>0.38119054417002757</v>
      </c>
      <c r="AC37" s="531">
        <f t="shared" si="34"/>
        <v>0.38119054417002757</v>
      </c>
      <c r="AD37" s="531">
        <f t="shared" si="34"/>
        <v>0.38118703079152577</v>
      </c>
      <c r="AE37" s="531">
        <f t="shared" si="34"/>
        <v>0.38118703079152577</v>
      </c>
      <c r="AF37" s="531">
        <f t="shared" si="34"/>
        <v>0.38118703079152577</v>
      </c>
      <c r="AG37" s="531">
        <f t="shared" si="34"/>
        <v>0.38118703079152577</v>
      </c>
      <c r="AH37" s="531">
        <f t="shared" si="34"/>
        <v>0.38118703079152577</v>
      </c>
      <c r="AI37" s="531">
        <f t="shared" si="34"/>
        <v>0.38118703079152577</v>
      </c>
      <c r="AJ37" s="531">
        <f t="shared" si="34"/>
        <v>0.38118878476202239</v>
      </c>
      <c r="AK37" s="531">
        <f t="shared" si="34"/>
        <v>0.38118878476202239</v>
      </c>
      <c r="AL37" s="531">
        <f t="shared" si="34"/>
        <v>0.38118878476202239</v>
      </c>
      <c r="AM37" s="531">
        <f t="shared" si="34"/>
        <v>0.38118878476202239</v>
      </c>
      <c r="AN37" s="531">
        <f t="shared" si="34"/>
        <v>0.38118878476202239</v>
      </c>
      <c r="AO37" s="531">
        <f t="shared" si="34"/>
        <v>0.38118878476202239</v>
      </c>
      <c r="AP37" s="531">
        <f t="shared" si="34"/>
        <v>0.38118222592730178</v>
      </c>
      <c r="AQ37" s="531">
        <f t="shared" si="34"/>
        <v>0.38118222592730178</v>
      </c>
      <c r="AR37" s="531">
        <f t="shared" si="34"/>
        <v>0.38118222592730178</v>
      </c>
      <c r="AS37" s="531">
        <f t="shared" si="34"/>
        <v>0.38118222592730178</v>
      </c>
      <c r="AT37" s="531">
        <f t="shared" si="34"/>
        <v>0.38118222592730178</v>
      </c>
      <c r="AU37" s="531">
        <f t="shared" si="34"/>
        <v>0.38118222592730178</v>
      </c>
      <c r="AV37" s="531">
        <f t="shared" si="34"/>
        <v>0.38118723217405137</v>
      </c>
      <c r="AW37" s="531">
        <f t="shared" si="34"/>
        <v>0.38118723217405137</v>
      </c>
      <c r="AX37" s="531">
        <f t="shared" si="34"/>
        <v>0.38118723217405137</v>
      </c>
      <c r="AY37" s="531">
        <f t="shared" si="34"/>
        <v>0.38118723217405137</v>
      </c>
      <c r="AZ37" s="531">
        <f t="shared" si="34"/>
        <v>0.38118723217405137</v>
      </c>
      <c r="BA37" s="531">
        <f t="shared" si="34"/>
        <v>0.38118723217405137</v>
      </c>
      <c r="BB37" s="531">
        <f t="shared" si="34"/>
        <v>0.38117864078663838</v>
      </c>
      <c r="BC37" s="531">
        <f t="shared" si="34"/>
        <v>0.38117864078663838</v>
      </c>
      <c r="BD37" s="531">
        <f t="shared" si="34"/>
        <v>0.38117864078663838</v>
      </c>
      <c r="BE37" s="531">
        <f t="shared" si="34"/>
        <v>0.38117864078663838</v>
      </c>
      <c r="BF37" s="531">
        <f t="shared" si="34"/>
        <v>0.38117864078663838</v>
      </c>
      <c r="BG37" s="531">
        <f t="shared" si="34"/>
        <v>0.38117864078663838</v>
      </c>
      <c r="BH37" s="531">
        <f t="shared" si="34"/>
        <v>0.38118675994857765</v>
      </c>
      <c r="BI37" s="531">
        <f t="shared" si="34"/>
        <v>0.38118675994857765</v>
      </c>
      <c r="BJ37" s="531">
        <f t="shared" si="34"/>
        <v>0.38118675994857765</v>
      </c>
      <c r="BK37" s="531">
        <f t="shared" si="34"/>
        <v>0.38118675994857765</v>
      </c>
      <c r="BL37" s="531">
        <f t="shared" si="34"/>
        <v>0.38118675994857765</v>
      </c>
      <c r="BM37" s="531">
        <f t="shared" si="34"/>
        <v>0.38118675994857765</v>
      </c>
      <c r="BN37" s="531">
        <f t="shared" si="34"/>
        <v>0.38117618525266816</v>
      </c>
      <c r="BO37" s="531">
        <f t="shared" si="34"/>
        <v>0.38117618525266816</v>
      </c>
      <c r="BP37" s="531">
        <f t="shared" si="34"/>
        <v>0.38117618525266816</v>
      </c>
      <c r="BQ37" s="531">
        <f t="shared" si="34"/>
        <v>0.38117618525266816</v>
      </c>
      <c r="BR37" s="531">
        <f t="shared" si="34"/>
        <v>0.38117618525266816</v>
      </c>
      <c r="BS37" s="531">
        <f t="shared" si="34"/>
        <v>0.38117618525266816</v>
      </c>
      <c r="BT37" s="531">
        <f t="shared" si="34"/>
        <v>0.38118725494684891</v>
      </c>
      <c r="BU37" s="531">
        <f t="shared" si="34"/>
        <v>0.38118725494684891</v>
      </c>
      <c r="BV37" s="531">
        <f t="shared" si="34"/>
        <v>0.38118725494684891</v>
      </c>
      <c r="BW37" s="531">
        <f t="shared" si="34"/>
        <v>0.38118725494684891</v>
      </c>
      <c r="BX37" s="531">
        <f t="shared" si="34"/>
        <v>0.38118725494684891</v>
      </c>
      <c r="BY37" s="531">
        <f t="shared" si="34"/>
        <v>0.38118725494684891</v>
      </c>
    </row>
    <row r="38" spans="3:80" x14ac:dyDescent="0.3">
      <c r="C38" s="2"/>
      <c r="D38" s="2"/>
      <c r="E38" s="2"/>
      <c r="F38" s="59"/>
      <c r="G38" s="59"/>
      <c r="H38" s="59"/>
      <c r="I38" s="60"/>
      <c r="J38" s="60"/>
      <c r="K38" s="60"/>
      <c r="L38" s="60"/>
      <c r="M38" s="60"/>
      <c r="N38" s="60"/>
      <c r="O38" s="60"/>
      <c r="P38" s="61"/>
      <c r="R38" s="60"/>
      <c r="S38" s="60"/>
      <c r="T38" s="60"/>
      <c r="U38" s="60"/>
      <c r="V38" s="60"/>
      <c r="W38" s="60"/>
      <c r="X38" s="60"/>
      <c r="Y38" s="60"/>
      <c r="Z38" s="60"/>
      <c r="AA38" s="60"/>
      <c r="AB38" s="60"/>
      <c r="AC38" s="60"/>
      <c r="AD38" s="60"/>
      <c r="AE38" s="60"/>
      <c r="AF38" s="60"/>
      <c r="AG38" s="60"/>
      <c r="AH38" s="60"/>
      <c r="AI38" s="60"/>
      <c r="AJ38" s="60"/>
      <c r="AK38" s="60"/>
      <c r="AL38" s="60"/>
      <c r="AM38" s="60"/>
      <c r="AN38" s="60"/>
      <c r="AO38" s="60"/>
      <c r="AP38" s="60"/>
      <c r="AQ38" s="60"/>
      <c r="AR38" s="60"/>
      <c r="AS38" s="60"/>
      <c r="AT38" s="60"/>
      <c r="AU38" s="60"/>
      <c r="AV38" s="60"/>
      <c r="AW38" s="60"/>
      <c r="AX38" s="60"/>
      <c r="AY38" s="60"/>
      <c r="AZ38" s="60"/>
      <c r="BA38" s="60"/>
      <c r="BB38" s="60"/>
      <c r="BC38" s="60"/>
      <c r="BD38" s="60"/>
      <c r="BE38" s="60"/>
      <c r="BF38" s="60"/>
      <c r="BG38" s="60"/>
      <c r="BH38" s="60"/>
      <c r="BI38" s="60"/>
      <c r="BJ38" s="60"/>
      <c r="BK38" s="60"/>
      <c r="BL38" s="60"/>
      <c r="BM38" s="60"/>
      <c r="BN38" s="60"/>
      <c r="BO38" s="60"/>
      <c r="BP38" s="60"/>
      <c r="BQ38" s="60"/>
      <c r="BR38" s="60"/>
      <c r="BS38" s="60"/>
      <c r="BT38" s="60"/>
      <c r="BU38" s="60"/>
      <c r="BV38" s="60"/>
      <c r="BW38" s="60"/>
      <c r="BX38" s="60"/>
      <c r="BY38" s="60"/>
    </row>
    <row r="39" spans="3:80" x14ac:dyDescent="0.3">
      <c r="C39" s="2"/>
      <c r="D39" s="2"/>
      <c r="E39" s="62" t="s">
        <v>24</v>
      </c>
      <c r="F39" s="63"/>
      <c r="G39" s="63"/>
      <c r="H39" s="63"/>
      <c r="I39" s="502">
        <f>SUM(I27,I36)</f>
        <v>-544306.2560255836</v>
      </c>
      <c r="J39" s="501">
        <f>SUMIF($R$2:$BY$2,J$3,$R39:$BY39)</f>
        <v>-580184.20779584826</v>
      </c>
      <c r="K39" s="502">
        <f>SUMIF($R$2:$BY$2,K$3,$R39:$BY39)</f>
        <v>-622046.40270430513</v>
      </c>
      <c r="L39" s="502">
        <f>SUMIF($R$2:$BY$2,L$3,$R39:$BY39)</f>
        <v>-664931.70389362425</v>
      </c>
      <c r="M39" s="502">
        <f>SUMIF($R$2:$BY$2,M$3,$R39:$BY39)</f>
        <v>-709236.18268473726</v>
      </c>
      <c r="N39" s="501">
        <f>SUMIF($R$2:$BY$2,N$3,$R39:$BY39)</f>
        <v>-756248.76191736187</v>
      </c>
      <c r="O39" s="57"/>
      <c r="P39" s="55">
        <f>IFERROR(((N39/I39)^(1/5))-1,0)</f>
        <v>6.7982828927368288E-2</v>
      </c>
      <c r="R39" s="502">
        <f>SUM(R27,R36)</f>
        <v>-47780.441534958372</v>
      </c>
      <c r="S39" s="534">
        <f t="shared" ref="S39:BY39" si="35">SUM(S27,S36)</f>
        <v>-47780.441534958372</v>
      </c>
      <c r="T39" s="534">
        <f t="shared" si="35"/>
        <v>-47780.441534958372</v>
      </c>
      <c r="U39" s="534">
        <f t="shared" si="35"/>
        <v>-47780.441534958372</v>
      </c>
      <c r="V39" s="534">
        <f t="shared" si="35"/>
        <v>-47780.441534958372</v>
      </c>
      <c r="W39" s="534">
        <f t="shared" si="35"/>
        <v>-47780.441534958372</v>
      </c>
      <c r="X39" s="534">
        <f t="shared" si="35"/>
        <v>-48916.926431016342</v>
      </c>
      <c r="Y39" s="534">
        <f t="shared" si="35"/>
        <v>-48916.926431016342</v>
      </c>
      <c r="Z39" s="534">
        <f t="shared" si="35"/>
        <v>-48916.926431016342</v>
      </c>
      <c r="AA39" s="534">
        <f t="shared" si="35"/>
        <v>-48916.926431016342</v>
      </c>
      <c r="AB39" s="534">
        <f t="shared" si="35"/>
        <v>-48916.926431016342</v>
      </c>
      <c r="AC39" s="534">
        <f t="shared" si="35"/>
        <v>-48916.926431016342</v>
      </c>
      <c r="AD39" s="534">
        <f t="shared" si="35"/>
        <v>-51106.440347566728</v>
      </c>
      <c r="AE39" s="534">
        <f t="shared" si="35"/>
        <v>-51106.440347566728</v>
      </c>
      <c r="AF39" s="534">
        <f t="shared" si="35"/>
        <v>-51106.440347566728</v>
      </c>
      <c r="AG39" s="534">
        <f t="shared" si="35"/>
        <v>-51106.440347566728</v>
      </c>
      <c r="AH39" s="534">
        <f t="shared" si="35"/>
        <v>-51106.440347566728</v>
      </c>
      <c r="AI39" s="534">
        <f t="shared" si="35"/>
        <v>-51106.440347566728</v>
      </c>
      <c r="AJ39" s="534">
        <f t="shared" si="35"/>
        <v>-52567.960103150799</v>
      </c>
      <c r="AK39" s="534">
        <f t="shared" si="35"/>
        <v>-52567.960103150799</v>
      </c>
      <c r="AL39" s="534">
        <f t="shared" si="35"/>
        <v>-52567.960103150799</v>
      </c>
      <c r="AM39" s="534">
        <f t="shared" si="35"/>
        <v>-52567.960103150799</v>
      </c>
      <c r="AN39" s="534">
        <f t="shared" si="35"/>
        <v>-52567.960103150799</v>
      </c>
      <c r="AO39" s="534">
        <f t="shared" si="35"/>
        <v>-52567.960103150799</v>
      </c>
      <c r="AP39" s="534">
        <f t="shared" si="35"/>
        <v>-54506.785444452442</v>
      </c>
      <c r="AQ39" s="534">
        <f t="shared" si="35"/>
        <v>-54506.785444452442</v>
      </c>
      <c r="AR39" s="534">
        <f t="shared" si="35"/>
        <v>-54506.785444452442</v>
      </c>
      <c r="AS39" s="534">
        <f t="shared" si="35"/>
        <v>-54506.785444452442</v>
      </c>
      <c r="AT39" s="534">
        <f t="shared" si="35"/>
        <v>-54506.785444452442</v>
      </c>
      <c r="AU39" s="534">
        <f t="shared" si="35"/>
        <v>-54506.785444452442</v>
      </c>
      <c r="AV39" s="534">
        <f t="shared" si="35"/>
        <v>-56315.165204484925</v>
      </c>
      <c r="AW39" s="534">
        <f t="shared" si="35"/>
        <v>-56315.165204484925</v>
      </c>
      <c r="AX39" s="534">
        <f t="shared" si="35"/>
        <v>-56315.165204484925</v>
      </c>
      <c r="AY39" s="534">
        <f t="shared" si="35"/>
        <v>-56315.165204484925</v>
      </c>
      <c r="AZ39" s="534">
        <f t="shared" si="35"/>
        <v>-56315.165204484925</v>
      </c>
      <c r="BA39" s="534">
        <f t="shared" si="35"/>
        <v>-56315.165204484925</v>
      </c>
      <c r="BB39" s="534">
        <f t="shared" si="35"/>
        <v>-58014.25433506602</v>
      </c>
      <c r="BC39" s="534">
        <f t="shared" si="35"/>
        <v>-58014.25433506602</v>
      </c>
      <c r="BD39" s="534">
        <f t="shared" si="35"/>
        <v>-58014.25433506602</v>
      </c>
      <c r="BE39" s="534">
        <f t="shared" si="35"/>
        <v>-58014.25433506602</v>
      </c>
      <c r="BF39" s="534">
        <f t="shared" si="35"/>
        <v>-58014.25433506602</v>
      </c>
      <c r="BG39" s="534">
        <f t="shared" si="35"/>
        <v>-58014.25433506602</v>
      </c>
      <c r="BH39" s="534">
        <f t="shared" si="35"/>
        <v>-60191.776112390173</v>
      </c>
      <c r="BI39" s="534">
        <f t="shared" si="35"/>
        <v>-60191.776112390173</v>
      </c>
      <c r="BJ39" s="534">
        <f t="shared" si="35"/>
        <v>-60191.776112390173</v>
      </c>
      <c r="BK39" s="534">
        <f t="shared" si="35"/>
        <v>-60191.776112390173</v>
      </c>
      <c r="BL39" s="534">
        <f t="shared" si="35"/>
        <v>-60191.776112390173</v>
      </c>
      <c r="BM39" s="534">
        <f t="shared" si="35"/>
        <v>-60191.776112390173</v>
      </c>
      <c r="BN39" s="534">
        <f t="shared" si="35"/>
        <v>-61735.714048710812</v>
      </c>
      <c r="BO39" s="534">
        <f t="shared" si="35"/>
        <v>-61735.714048710812</v>
      </c>
      <c r="BP39" s="534">
        <f t="shared" si="35"/>
        <v>-61735.714048710812</v>
      </c>
      <c r="BQ39" s="534">
        <f t="shared" si="35"/>
        <v>-61735.714048710812</v>
      </c>
      <c r="BR39" s="534">
        <f t="shared" si="35"/>
        <v>-61735.714048710812</v>
      </c>
      <c r="BS39" s="534">
        <f t="shared" si="35"/>
        <v>-61735.714048710812</v>
      </c>
      <c r="BT39" s="534">
        <f t="shared" si="35"/>
        <v>-64305.7462708495</v>
      </c>
      <c r="BU39" s="534">
        <f t="shared" si="35"/>
        <v>-64305.7462708495</v>
      </c>
      <c r="BV39" s="534">
        <f t="shared" si="35"/>
        <v>-64305.7462708495</v>
      </c>
      <c r="BW39" s="534">
        <f t="shared" si="35"/>
        <v>-64305.7462708495</v>
      </c>
      <c r="BX39" s="534">
        <f t="shared" si="35"/>
        <v>-64305.7462708495</v>
      </c>
      <c r="BY39" s="534">
        <f t="shared" si="35"/>
        <v>-64305.7462708495</v>
      </c>
      <c r="CB39" s="8"/>
    </row>
    <row r="40" spans="3:80" x14ac:dyDescent="0.3">
      <c r="C40" s="2"/>
      <c r="D40" s="2"/>
      <c r="E40" s="2" t="s">
        <v>177</v>
      </c>
      <c r="F40" s="37"/>
      <c r="G40" s="37"/>
      <c r="H40" s="37"/>
      <c r="I40" s="499">
        <f t="shared" ref="I40:N40" si="36">IFERROR(I39/(I22+I31),0)</f>
        <v>0.41720214183724258</v>
      </c>
      <c r="J40" s="499">
        <f t="shared" si="36"/>
        <v>0.42478723802706803</v>
      </c>
      <c r="K40" s="499">
        <f t="shared" si="36"/>
        <v>0.43191790934446295</v>
      </c>
      <c r="L40" s="499">
        <f t="shared" si="36"/>
        <v>0.43854031634112861</v>
      </c>
      <c r="M40" s="499">
        <f t="shared" si="36"/>
        <v>0.44463987477381045</v>
      </c>
      <c r="N40" s="499">
        <f t="shared" si="36"/>
        <v>0.45062610315937146</v>
      </c>
      <c r="O40" s="23"/>
      <c r="P40" s="50">
        <f>IFERROR(((N40/I40)^(1/5))-1,0)</f>
        <v>1.5532819247766172E-2</v>
      </c>
      <c r="R40" s="499">
        <f>IFERROR(R39/(R22+R31),0)</f>
        <v>0.4247698881753959</v>
      </c>
      <c r="S40" s="531">
        <f t="shared" ref="S40:BY40" si="37">IFERROR(S39/(S22+S31),0)</f>
        <v>0.4247698881753959</v>
      </c>
      <c r="T40" s="531">
        <f t="shared" si="37"/>
        <v>0.4247698881753959</v>
      </c>
      <c r="U40" s="531">
        <f t="shared" si="37"/>
        <v>0.4247698881753959</v>
      </c>
      <c r="V40" s="531">
        <f t="shared" si="37"/>
        <v>0.4247698881753959</v>
      </c>
      <c r="W40" s="531">
        <f t="shared" si="37"/>
        <v>0.4247698881753959</v>
      </c>
      <c r="X40" s="531">
        <f t="shared" si="37"/>
        <v>0.42480418615872934</v>
      </c>
      <c r="Y40" s="531">
        <f t="shared" si="37"/>
        <v>0.42480418615872934</v>
      </c>
      <c r="Z40" s="531">
        <f t="shared" si="37"/>
        <v>0.42480418615872934</v>
      </c>
      <c r="AA40" s="531">
        <f t="shared" si="37"/>
        <v>0.42480418615872934</v>
      </c>
      <c r="AB40" s="531">
        <f t="shared" si="37"/>
        <v>0.42480418615872934</v>
      </c>
      <c r="AC40" s="531">
        <f t="shared" si="37"/>
        <v>0.42480418615872934</v>
      </c>
      <c r="AD40" s="531">
        <f t="shared" si="37"/>
        <v>0.43189486287535445</v>
      </c>
      <c r="AE40" s="531">
        <f t="shared" si="37"/>
        <v>0.43189486287535445</v>
      </c>
      <c r="AF40" s="531">
        <f t="shared" si="37"/>
        <v>0.43189486287535445</v>
      </c>
      <c r="AG40" s="531">
        <f t="shared" si="37"/>
        <v>0.43189486287535445</v>
      </c>
      <c r="AH40" s="531">
        <f t="shared" si="37"/>
        <v>0.43189486287535445</v>
      </c>
      <c r="AI40" s="531">
        <f t="shared" si="37"/>
        <v>0.43189486287535445</v>
      </c>
      <c r="AJ40" s="531">
        <f t="shared" si="37"/>
        <v>0.43194031742261091</v>
      </c>
      <c r="AK40" s="531">
        <f t="shared" si="37"/>
        <v>0.43194031742261091</v>
      </c>
      <c r="AL40" s="531">
        <f t="shared" si="37"/>
        <v>0.43194031742261091</v>
      </c>
      <c r="AM40" s="531">
        <f t="shared" si="37"/>
        <v>0.43194031742261091</v>
      </c>
      <c r="AN40" s="531">
        <f t="shared" si="37"/>
        <v>0.43194031742261091</v>
      </c>
      <c r="AO40" s="531">
        <f t="shared" si="37"/>
        <v>0.43194031742261091</v>
      </c>
      <c r="AP40" s="531">
        <f t="shared" si="37"/>
        <v>0.43851183091386969</v>
      </c>
      <c r="AQ40" s="531">
        <f t="shared" si="37"/>
        <v>0.43851183091386969</v>
      </c>
      <c r="AR40" s="531">
        <f t="shared" si="37"/>
        <v>0.43851183091386969</v>
      </c>
      <c r="AS40" s="531">
        <f t="shared" si="37"/>
        <v>0.43851183091386969</v>
      </c>
      <c r="AT40" s="531">
        <f t="shared" si="37"/>
        <v>0.43851183091386969</v>
      </c>
      <c r="AU40" s="531">
        <f t="shared" si="37"/>
        <v>0.43851183091386969</v>
      </c>
      <c r="AV40" s="531">
        <f t="shared" si="37"/>
        <v>0.43856789057549339</v>
      </c>
      <c r="AW40" s="531">
        <f t="shared" si="37"/>
        <v>0.43856789057549339</v>
      </c>
      <c r="AX40" s="531">
        <f t="shared" si="37"/>
        <v>0.43856789057549339</v>
      </c>
      <c r="AY40" s="531">
        <f t="shared" si="37"/>
        <v>0.43856789057549339</v>
      </c>
      <c r="AZ40" s="531">
        <f t="shared" si="37"/>
        <v>0.43856789057549339</v>
      </c>
      <c r="BA40" s="531">
        <f t="shared" si="37"/>
        <v>0.43856789057549339</v>
      </c>
      <c r="BB40" s="531">
        <f t="shared" si="37"/>
        <v>0.44460629338138774</v>
      </c>
      <c r="BC40" s="531">
        <f t="shared" si="37"/>
        <v>0.44460629338138774</v>
      </c>
      <c r="BD40" s="531">
        <f t="shared" si="37"/>
        <v>0.44460629338138774</v>
      </c>
      <c r="BE40" s="531">
        <f t="shared" si="37"/>
        <v>0.44460629338138774</v>
      </c>
      <c r="BF40" s="531">
        <f t="shared" si="37"/>
        <v>0.44460629338138774</v>
      </c>
      <c r="BG40" s="531">
        <f t="shared" si="37"/>
        <v>0.44460629338138774</v>
      </c>
      <c r="BH40" s="531">
        <f t="shared" si="37"/>
        <v>0.44467224611358408</v>
      </c>
      <c r="BI40" s="531">
        <f t="shared" si="37"/>
        <v>0.44467224611358408</v>
      </c>
      <c r="BJ40" s="531">
        <f t="shared" si="37"/>
        <v>0.44467224611358408</v>
      </c>
      <c r="BK40" s="531">
        <f t="shared" si="37"/>
        <v>0.44467224611358408</v>
      </c>
      <c r="BL40" s="531">
        <f t="shared" si="37"/>
        <v>0.44467224611358408</v>
      </c>
      <c r="BM40" s="531">
        <f t="shared" si="37"/>
        <v>0.44467224611358408</v>
      </c>
      <c r="BN40" s="531">
        <f t="shared" si="37"/>
        <v>0.45058783275639475</v>
      </c>
      <c r="BO40" s="531">
        <f t="shared" si="37"/>
        <v>0.45058783275639475</v>
      </c>
      <c r="BP40" s="531">
        <f t="shared" si="37"/>
        <v>0.45058783275639475</v>
      </c>
      <c r="BQ40" s="531">
        <f t="shared" si="37"/>
        <v>0.45058783275639475</v>
      </c>
      <c r="BR40" s="531">
        <f t="shared" si="37"/>
        <v>0.45058783275639475</v>
      </c>
      <c r="BS40" s="531">
        <f t="shared" si="37"/>
        <v>0.45058783275639475</v>
      </c>
      <c r="BT40" s="531">
        <f t="shared" si="37"/>
        <v>0.45066285017102209</v>
      </c>
      <c r="BU40" s="531">
        <f t="shared" si="37"/>
        <v>0.45066285017102209</v>
      </c>
      <c r="BV40" s="531">
        <f t="shared" si="37"/>
        <v>0.45066285017102209</v>
      </c>
      <c r="BW40" s="531">
        <f t="shared" si="37"/>
        <v>0.45066285017102209</v>
      </c>
      <c r="BX40" s="531">
        <f t="shared" si="37"/>
        <v>0.45066285017102209</v>
      </c>
      <c r="BY40" s="531">
        <f t="shared" si="37"/>
        <v>0.45066285017102209</v>
      </c>
    </row>
    <row r="41" spans="3:80" x14ac:dyDescent="0.3">
      <c r="C41" s="2"/>
      <c r="D41" s="2"/>
      <c r="E41" s="2"/>
      <c r="F41" s="37"/>
      <c r="G41" s="37"/>
      <c r="H41" s="37"/>
      <c r="I41" s="37"/>
      <c r="J41" s="37"/>
      <c r="K41" s="37"/>
      <c r="L41" s="37"/>
      <c r="M41" s="37"/>
      <c r="N41" s="37"/>
      <c r="O41" s="37"/>
      <c r="P41" s="35"/>
      <c r="R41" s="37"/>
      <c r="S41" s="37"/>
      <c r="T41" s="37"/>
      <c r="U41" s="37"/>
      <c r="V41" s="37"/>
      <c r="W41" s="37"/>
      <c r="X41" s="37"/>
      <c r="Y41" s="37"/>
      <c r="Z41" s="37"/>
      <c r="AA41" s="37"/>
      <c r="AB41" s="37"/>
      <c r="AC41" s="37"/>
      <c r="AD41" s="37"/>
      <c r="AE41" s="37"/>
      <c r="AF41" s="37"/>
      <c r="AG41" s="37"/>
      <c r="AH41" s="37"/>
      <c r="AI41" s="37"/>
      <c r="AJ41" s="37"/>
      <c r="AK41" s="37"/>
      <c r="AL41" s="37"/>
      <c r="AM41" s="37"/>
      <c r="AN41" s="37"/>
      <c r="AO41" s="37"/>
      <c r="AP41" s="37"/>
      <c r="AQ41" s="37"/>
      <c r="AR41" s="37"/>
      <c r="AS41" s="37"/>
      <c r="AT41" s="37"/>
      <c r="AU41" s="37"/>
      <c r="AV41" s="37"/>
      <c r="AW41" s="37"/>
      <c r="AX41" s="37"/>
      <c r="AY41" s="37"/>
      <c r="AZ41" s="37"/>
      <c r="BA41" s="37"/>
      <c r="BB41" s="37"/>
      <c r="BC41" s="37"/>
      <c r="BD41" s="37"/>
      <c r="BE41" s="37"/>
      <c r="BF41" s="37"/>
      <c r="BG41" s="37"/>
      <c r="BH41" s="37"/>
      <c r="BI41" s="37"/>
      <c r="BJ41" s="37"/>
      <c r="BK41" s="37"/>
      <c r="BL41" s="37"/>
      <c r="BM41" s="37"/>
      <c r="BN41" s="37"/>
      <c r="BO41" s="37"/>
      <c r="BP41" s="37"/>
      <c r="BQ41" s="37"/>
      <c r="BR41" s="37"/>
      <c r="BS41" s="37"/>
      <c r="BT41" s="37"/>
      <c r="BU41" s="37"/>
      <c r="BV41" s="37"/>
      <c r="BW41" s="37"/>
      <c r="BX41" s="37"/>
      <c r="BY41" s="37"/>
    </row>
    <row r="42" spans="3:80" x14ac:dyDescent="0.3">
      <c r="C42" s="2"/>
      <c r="D42" s="2"/>
      <c r="E42" s="17" t="s">
        <v>25</v>
      </c>
      <c r="F42" s="37"/>
      <c r="G42" s="37"/>
      <c r="H42" s="37"/>
      <c r="I42" s="37"/>
      <c r="J42" s="37"/>
      <c r="K42" s="37"/>
      <c r="L42" s="37"/>
      <c r="M42" s="37"/>
      <c r="N42" s="37"/>
      <c r="O42" s="37"/>
      <c r="P42" s="35"/>
      <c r="R42" s="37"/>
      <c r="S42" s="37"/>
      <c r="T42" s="37"/>
      <c r="U42" s="37"/>
      <c r="V42" s="37"/>
      <c r="W42" s="37"/>
      <c r="X42" s="37"/>
      <c r="Y42" s="37"/>
      <c r="Z42" s="37"/>
      <c r="AA42" s="37"/>
      <c r="AB42" s="37"/>
      <c r="AC42" s="37"/>
      <c r="AD42" s="37"/>
      <c r="AE42" s="37"/>
      <c r="AF42" s="37"/>
      <c r="AG42" s="37"/>
      <c r="AH42" s="37"/>
      <c r="AI42" s="37"/>
      <c r="AJ42" s="37"/>
      <c r="AK42" s="37"/>
      <c r="AL42" s="37"/>
      <c r="AM42" s="37"/>
      <c r="AN42" s="37"/>
      <c r="AO42" s="37"/>
      <c r="AP42" s="37"/>
      <c r="AQ42" s="37"/>
      <c r="AR42" s="37"/>
      <c r="AS42" s="37"/>
      <c r="AT42" s="37"/>
      <c r="AU42" s="37"/>
      <c r="AV42" s="37"/>
      <c r="AW42" s="37"/>
      <c r="AX42" s="37"/>
      <c r="AY42" s="37"/>
      <c r="AZ42" s="37"/>
      <c r="BA42" s="37"/>
      <c r="BB42" s="37"/>
      <c r="BC42" s="37"/>
      <c r="BD42" s="37"/>
      <c r="BE42" s="37"/>
      <c r="BF42" s="37"/>
      <c r="BG42" s="37"/>
      <c r="BH42" s="37"/>
      <c r="BI42" s="37"/>
      <c r="BJ42" s="37"/>
      <c r="BK42" s="37"/>
      <c r="BL42" s="37"/>
      <c r="BM42" s="37"/>
      <c r="BN42" s="37"/>
      <c r="BO42" s="37"/>
      <c r="BP42" s="37"/>
      <c r="BQ42" s="37"/>
      <c r="BR42" s="37"/>
      <c r="BS42" s="37"/>
      <c r="BT42" s="37"/>
      <c r="BU42" s="37"/>
      <c r="BV42" s="37"/>
      <c r="BW42" s="37"/>
      <c r="BX42" s="37"/>
      <c r="BY42" s="37"/>
    </row>
    <row r="43" spans="3:80" x14ac:dyDescent="0.3">
      <c r="C43" s="2"/>
      <c r="D43" s="2"/>
      <c r="E43" s="2" t="s">
        <v>25</v>
      </c>
      <c r="F43" s="54"/>
      <c r="G43" s="54"/>
      <c r="H43" s="54"/>
      <c r="I43" s="497">
        <f>I$13*I108*-1</f>
        <v>-335706.81795411091</v>
      </c>
      <c r="J43" s="497">
        <f t="shared" ref="J43:N45" si="38">SUMIF($R$2:$BY$2,J$3,$R43:$BY43)</f>
        <v>-351281.15366670658</v>
      </c>
      <c r="K43" s="497">
        <f t="shared" si="38"/>
        <v>-371276.12052369554</v>
      </c>
      <c r="L43" s="497">
        <f t="shared" si="38"/>
        <v>-391877.27932240028</v>
      </c>
      <c r="M43" s="497">
        <f t="shared" si="38"/>
        <v>-412693.83189640567</v>
      </c>
      <c r="N43" s="497">
        <f t="shared" si="38"/>
        <v>-434240.35638925986</v>
      </c>
      <c r="O43" s="37"/>
      <c r="P43" s="50">
        <f>IFERROR(((N43/I43)^(1/5))-1,0)</f>
        <v>5.2819703542236196E-2</v>
      </c>
      <c r="R43" s="497">
        <f t="shared" ref="R43:AW43" si="39">R$13*R108*-1</f>
        <v>-28808.50383292912</v>
      </c>
      <c r="S43" s="527">
        <f t="shared" si="39"/>
        <v>-28808.50383292912</v>
      </c>
      <c r="T43" s="527">
        <f t="shared" si="39"/>
        <v>-28808.50383292912</v>
      </c>
      <c r="U43" s="527">
        <f t="shared" si="39"/>
        <v>-28808.50383292912</v>
      </c>
      <c r="V43" s="527">
        <f t="shared" si="39"/>
        <v>-28808.50383292912</v>
      </c>
      <c r="W43" s="527">
        <f t="shared" si="39"/>
        <v>-28808.50383292912</v>
      </c>
      <c r="X43" s="527">
        <f t="shared" si="39"/>
        <v>-29738.355111521978</v>
      </c>
      <c r="Y43" s="527">
        <f t="shared" si="39"/>
        <v>-29738.355111521978</v>
      </c>
      <c r="Z43" s="527">
        <f t="shared" si="39"/>
        <v>-29738.355111521978</v>
      </c>
      <c r="AA43" s="527">
        <f t="shared" si="39"/>
        <v>-29738.355111521978</v>
      </c>
      <c r="AB43" s="527">
        <f t="shared" si="39"/>
        <v>-29738.355111521978</v>
      </c>
      <c r="AC43" s="527">
        <f t="shared" si="39"/>
        <v>-29738.355111521978</v>
      </c>
      <c r="AD43" s="527">
        <f t="shared" si="39"/>
        <v>-30341.78226484175</v>
      </c>
      <c r="AE43" s="527">
        <f t="shared" si="39"/>
        <v>-30341.78226484175</v>
      </c>
      <c r="AF43" s="527">
        <f t="shared" si="39"/>
        <v>-30341.78226484175</v>
      </c>
      <c r="AG43" s="527">
        <f t="shared" si="39"/>
        <v>-30341.78226484175</v>
      </c>
      <c r="AH43" s="527">
        <f t="shared" si="39"/>
        <v>-30341.78226484175</v>
      </c>
      <c r="AI43" s="527">
        <f t="shared" si="39"/>
        <v>-30341.78226484175</v>
      </c>
      <c r="AJ43" s="527">
        <f t="shared" si="39"/>
        <v>-31537.571155774163</v>
      </c>
      <c r="AK43" s="527">
        <f t="shared" si="39"/>
        <v>-31537.571155774163</v>
      </c>
      <c r="AL43" s="527">
        <f t="shared" si="39"/>
        <v>-31537.571155774163</v>
      </c>
      <c r="AM43" s="527">
        <f t="shared" si="39"/>
        <v>-31537.571155774163</v>
      </c>
      <c r="AN43" s="527">
        <f t="shared" si="39"/>
        <v>-31537.571155774163</v>
      </c>
      <c r="AO43" s="527">
        <f t="shared" si="39"/>
        <v>-31537.571155774163</v>
      </c>
      <c r="AP43" s="527">
        <f t="shared" si="39"/>
        <v>-31916.648223520067</v>
      </c>
      <c r="AQ43" s="527">
        <f t="shared" si="39"/>
        <v>-31916.648223520067</v>
      </c>
      <c r="AR43" s="527">
        <f t="shared" si="39"/>
        <v>-31916.648223520067</v>
      </c>
      <c r="AS43" s="527">
        <f t="shared" si="39"/>
        <v>-31916.648223520067</v>
      </c>
      <c r="AT43" s="527">
        <f t="shared" si="39"/>
        <v>-31916.648223520067</v>
      </c>
      <c r="AU43" s="527">
        <f t="shared" si="39"/>
        <v>-31916.648223520067</v>
      </c>
      <c r="AV43" s="527">
        <f t="shared" si="39"/>
        <v>-33396.231663546656</v>
      </c>
      <c r="AW43" s="527">
        <f t="shared" si="39"/>
        <v>-33396.231663546656</v>
      </c>
      <c r="AX43" s="527">
        <f t="shared" ref="AX43:BY43" si="40">AX$13*AX108*-1</f>
        <v>-33396.231663546656</v>
      </c>
      <c r="AY43" s="527">
        <f t="shared" si="40"/>
        <v>-33396.231663546656</v>
      </c>
      <c r="AZ43" s="527">
        <f t="shared" si="40"/>
        <v>-33396.231663546656</v>
      </c>
      <c r="BA43" s="527">
        <f t="shared" si="40"/>
        <v>-33396.231663546656</v>
      </c>
      <c r="BB43" s="527">
        <f t="shared" si="40"/>
        <v>-33500.348294583011</v>
      </c>
      <c r="BC43" s="527">
        <f t="shared" si="40"/>
        <v>-33500.348294583011</v>
      </c>
      <c r="BD43" s="527">
        <f t="shared" si="40"/>
        <v>-33500.348294583011</v>
      </c>
      <c r="BE43" s="527">
        <f t="shared" si="40"/>
        <v>-33500.348294583011</v>
      </c>
      <c r="BF43" s="527">
        <f t="shared" si="40"/>
        <v>-33500.348294583011</v>
      </c>
      <c r="BG43" s="527">
        <f t="shared" si="40"/>
        <v>-33500.348294583011</v>
      </c>
      <c r="BH43" s="527">
        <f t="shared" si="40"/>
        <v>-35281.957021484588</v>
      </c>
      <c r="BI43" s="527">
        <f t="shared" si="40"/>
        <v>-35281.957021484588</v>
      </c>
      <c r="BJ43" s="527">
        <f t="shared" si="40"/>
        <v>-35281.957021484588</v>
      </c>
      <c r="BK43" s="527">
        <f t="shared" si="40"/>
        <v>-35281.957021484588</v>
      </c>
      <c r="BL43" s="527">
        <f t="shared" si="40"/>
        <v>-35281.957021484588</v>
      </c>
      <c r="BM43" s="527">
        <f t="shared" si="40"/>
        <v>-35281.957021484588</v>
      </c>
      <c r="BN43" s="527">
        <f t="shared" si="40"/>
        <v>-35135.319547624014</v>
      </c>
      <c r="BO43" s="527">
        <f t="shared" si="40"/>
        <v>-35135.319547624014</v>
      </c>
      <c r="BP43" s="527">
        <f t="shared" si="40"/>
        <v>-35135.319547624014</v>
      </c>
      <c r="BQ43" s="527">
        <f t="shared" si="40"/>
        <v>-35135.319547624014</v>
      </c>
      <c r="BR43" s="527">
        <f t="shared" si="40"/>
        <v>-35135.319547624014</v>
      </c>
      <c r="BS43" s="527">
        <f t="shared" si="40"/>
        <v>-35135.319547624014</v>
      </c>
      <c r="BT43" s="527">
        <f t="shared" si="40"/>
        <v>-37238.073183919289</v>
      </c>
      <c r="BU43" s="527">
        <f t="shared" si="40"/>
        <v>-37238.073183919289</v>
      </c>
      <c r="BV43" s="527">
        <f t="shared" si="40"/>
        <v>-37238.073183919289</v>
      </c>
      <c r="BW43" s="527">
        <f t="shared" si="40"/>
        <v>-37238.073183919289</v>
      </c>
      <c r="BX43" s="527">
        <f t="shared" si="40"/>
        <v>-37238.073183919289</v>
      </c>
      <c r="BY43" s="527">
        <f t="shared" si="40"/>
        <v>-37238.073183919289</v>
      </c>
      <c r="CB43" s="8"/>
    </row>
    <row r="44" spans="3:80" x14ac:dyDescent="0.3">
      <c r="C44" s="2"/>
      <c r="D44" s="2"/>
      <c r="E44" s="2" t="s">
        <v>14</v>
      </c>
      <c r="F44" s="54"/>
      <c r="G44" s="54"/>
      <c r="H44" s="54"/>
      <c r="I44" s="497">
        <f>I$13*I109*-1</f>
        <v>-43964.41485541458</v>
      </c>
      <c r="J44" s="497">
        <f t="shared" si="38"/>
        <v>-45508.758276311048</v>
      </c>
      <c r="K44" s="497">
        <f t="shared" si="38"/>
        <v>-47019.536837708023</v>
      </c>
      <c r="L44" s="497">
        <f t="shared" si="38"/>
        <v>-48517.089762891694</v>
      </c>
      <c r="M44" s="497">
        <f t="shared" si="38"/>
        <v>-49767.355227551343</v>
      </c>
      <c r="N44" s="497">
        <f t="shared" si="38"/>
        <v>-50843.475431381288</v>
      </c>
      <c r="O44" s="37"/>
      <c r="P44" s="50">
        <f>IFERROR(((N44/I44)^(1/5))-1,0)</f>
        <v>2.9501032242708725E-2</v>
      </c>
      <c r="R44" s="497">
        <f t="shared" ref="R44:AW44" si="41">R$13*R109*-1</f>
        <v>-3792.3965230259209</v>
      </c>
      <c r="S44" s="527">
        <f t="shared" si="41"/>
        <v>-3792.3965230259209</v>
      </c>
      <c r="T44" s="527">
        <f t="shared" si="41"/>
        <v>-3792.3965230259209</v>
      </c>
      <c r="U44" s="527">
        <f t="shared" si="41"/>
        <v>-3792.3965230259209</v>
      </c>
      <c r="V44" s="527">
        <f t="shared" si="41"/>
        <v>-3792.3965230259209</v>
      </c>
      <c r="W44" s="527">
        <f t="shared" si="41"/>
        <v>-3792.3965230259209</v>
      </c>
      <c r="X44" s="527">
        <f t="shared" si="41"/>
        <v>-3792.3965230259209</v>
      </c>
      <c r="Y44" s="527">
        <f t="shared" si="41"/>
        <v>-3792.3965230259209</v>
      </c>
      <c r="Z44" s="527">
        <f t="shared" si="41"/>
        <v>-3792.3965230259209</v>
      </c>
      <c r="AA44" s="527">
        <f t="shared" si="41"/>
        <v>-3792.3965230259209</v>
      </c>
      <c r="AB44" s="527">
        <f t="shared" si="41"/>
        <v>-3792.3965230259209</v>
      </c>
      <c r="AC44" s="527">
        <f t="shared" si="41"/>
        <v>-3792.3965230259209</v>
      </c>
      <c r="AD44" s="527">
        <f t="shared" si="41"/>
        <v>-3918.2947364756674</v>
      </c>
      <c r="AE44" s="527">
        <f t="shared" si="41"/>
        <v>-3918.2947364756674</v>
      </c>
      <c r="AF44" s="527">
        <f t="shared" si="41"/>
        <v>-3918.2947364756674</v>
      </c>
      <c r="AG44" s="527">
        <f t="shared" si="41"/>
        <v>-3918.2947364756674</v>
      </c>
      <c r="AH44" s="527">
        <f t="shared" si="41"/>
        <v>-3918.2947364756674</v>
      </c>
      <c r="AI44" s="527">
        <f t="shared" si="41"/>
        <v>-3918.2947364756674</v>
      </c>
      <c r="AJ44" s="527">
        <f t="shared" si="41"/>
        <v>-3918.2947364756674</v>
      </c>
      <c r="AK44" s="527">
        <f t="shared" si="41"/>
        <v>-3918.2947364756674</v>
      </c>
      <c r="AL44" s="527">
        <f t="shared" si="41"/>
        <v>-3918.2947364756674</v>
      </c>
      <c r="AM44" s="527">
        <f t="shared" si="41"/>
        <v>-3918.2947364756674</v>
      </c>
      <c r="AN44" s="527">
        <f t="shared" si="41"/>
        <v>-3918.2947364756674</v>
      </c>
      <c r="AO44" s="527">
        <f t="shared" si="41"/>
        <v>-3918.2947364756674</v>
      </c>
      <c r="AP44" s="527">
        <f t="shared" si="41"/>
        <v>-4043.0908135743075</v>
      </c>
      <c r="AQ44" s="527">
        <f t="shared" si="41"/>
        <v>-4043.0908135743075</v>
      </c>
      <c r="AR44" s="527">
        <f t="shared" si="41"/>
        <v>-4043.0908135743075</v>
      </c>
      <c r="AS44" s="527">
        <f t="shared" si="41"/>
        <v>-4043.0908135743075</v>
      </c>
      <c r="AT44" s="527">
        <f t="shared" si="41"/>
        <v>-4043.0908135743075</v>
      </c>
      <c r="AU44" s="527">
        <f t="shared" si="41"/>
        <v>-4043.0908135743075</v>
      </c>
      <c r="AV44" s="527">
        <f t="shared" si="41"/>
        <v>-4043.0908135743075</v>
      </c>
      <c r="AW44" s="527">
        <f t="shared" si="41"/>
        <v>-4043.0908135743075</v>
      </c>
      <c r="AX44" s="527">
        <f t="shared" ref="AX44:BY44" si="42">AX$13*AX109*-1</f>
        <v>-4043.0908135743075</v>
      </c>
      <c r="AY44" s="527">
        <f t="shared" si="42"/>
        <v>-4043.0908135743075</v>
      </c>
      <c r="AZ44" s="527">
        <f t="shared" si="42"/>
        <v>-4043.0908135743075</v>
      </c>
      <c r="BA44" s="527">
        <f t="shared" si="42"/>
        <v>-4043.0908135743075</v>
      </c>
      <c r="BB44" s="527">
        <f t="shared" si="42"/>
        <v>-4147.2796022959465</v>
      </c>
      <c r="BC44" s="527">
        <f t="shared" si="42"/>
        <v>-4147.2796022959465</v>
      </c>
      <c r="BD44" s="527">
        <f t="shared" si="42"/>
        <v>-4147.2796022959465</v>
      </c>
      <c r="BE44" s="527">
        <f t="shared" si="42"/>
        <v>-4147.2796022959465</v>
      </c>
      <c r="BF44" s="527">
        <f t="shared" si="42"/>
        <v>-4147.2796022959465</v>
      </c>
      <c r="BG44" s="527">
        <f t="shared" si="42"/>
        <v>-4147.2796022959465</v>
      </c>
      <c r="BH44" s="527">
        <f t="shared" si="42"/>
        <v>-4147.2796022959465</v>
      </c>
      <c r="BI44" s="527">
        <f t="shared" si="42"/>
        <v>-4147.2796022959465</v>
      </c>
      <c r="BJ44" s="527">
        <f t="shared" si="42"/>
        <v>-4147.2796022959465</v>
      </c>
      <c r="BK44" s="527">
        <f t="shared" si="42"/>
        <v>-4147.2796022959465</v>
      </c>
      <c r="BL44" s="527">
        <f t="shared" si="42"/>
        <v>-4147.2796022959465</v>
      </c>
      <c r="BM44" s="527">
        <f t="shared" si="42"/>
        <v>-4147.2796022959465</v>
      </c>
      <c r="BN44" s="527">
        <f t="shared" si="42"/>
        <v>-4236.9562859484395</v>
      </c>
      <c r="BO44" s="527">
        <f t="shared" si="42"/>
        <v>-4236.9562859484395</v>
      </c>
      <c r="BP44" s="527">
        <f t="shared" si="42"/>
        <v>-4236.9562859484395</v>
      </c>
      <c r="BQ44" s="527">
        <f t="shared" si="42"/>
        <v>-4236.9562859484395</v>
      </c>
      <c r="BR44" s="527">
        <f t="shared" si="42"/>
        <v>-4236.9562859484395</v>
      </c>
      <c r="BS44" s="527">
        <f t="shared" si="42"/>
        <v>-4236.9562859484395</v>
      </c>
      <c r="BT44" s="527">
        <f t="shared" si="42"/>
        <v>-4236.9562859484395</v>
      </c>
      <c r="BU44" s="527">
        <f t="shared" si="42"/>
        <v>-4236.9562859484395</v>
      </c>
      <c r="BV44" s="527">
        <f t="shared" si="42"/>
        <v>-4236.9562859484395</v>
      </c>
      <c r="BW44" s="527">
        <f t="shared" si="42"/>
        <v>-4236.9562859484395</v>
      </c>
      <c r="BX44" s="527">
        <f t="shared" si="42"/>
        <v>-4236.9562859484395</v>
      </c>
      <c r="BY44" s="527">
        <f t="shared" si="42"/>
        <v>-4236.9562859484395</v>
      </c>
      <c r="CB44" s="8"/>
    </row>
    <row r="45" spans="3:80" x14ac:dyDescent="0.3">
      <c r="C45" s="2"/>
      <c r="D45" s="2"/>
      <c r="E45" s="4" t="s">
        <v>26</v>
      </c>
      <c r="F45" s="5"/>
      <c r="G45" s="5"/>
      <c r="H45" s="5"/>
      <c r="I45" s="500">
        <f>SUM(I43:I44)</f>
        <v>-379671.23280952551</v>
      </c>
      <c r="J45" s="500">
        <f t="shared" si="38"/>
        <v>-396789.91194301762</v>
      </c>
      <c r="K45" s="500">
        <f t="shared" si="38"/>
        <v>-418295.65736140357</v>
      </c>
      <c r="L45" s="500">
        <f t="shared" si="38"/>
        <v>-440394.36908529204</v>
      </c>
      <c r="M45" s="500">
        <f t="shared" si="38"/>
        <v>-462461.1871239568</v>
      </c>
      <c r="N45" s="500">
        <f t="shared" si="38"/>
        <v>-485083.83182064095</v>
      </c>
      <c r="O45" s="57"/>
      <c r="P45" s="55">
        <f>IFERROR(((N45/I45)^(1/5))-1,0)</f>
        <v>5.0223716427243659E-2</v>
      </c>
      <c r="R45" s="500">
        <f>SUM(R43:R44)</f>
        <v>-32600.90035595504</v>
      </c>
      <c r="S45" s="532">
        <f t="shared" ref="S45:BY45" si="43">SUM(S43:S44)</f>
        <v>-32600.90035595504</v>
      </c>
      <c r="T45" s="532">
        <f t="shared" si="43"/>
        <v>-32600.90035595504</v>
      </c>
      <c r="U45" s="532">
        <f t="shared" si="43"/>
        <v>-32600.90035595504</v>
      </c>
      <c r="V45" s="532">
        <f t="shared" si="43"/>
        <v>-32600.90035595504</v>
      </c>
      <c r="W45" s="532">
        <f t="shared" si="43"/>
        <v>-32600.90035595504</v>
      </c>
      <c r="X45" s="532">
        <f t="shared" si="43"/>
        <v>-33530.751634547902</v>
      </c>
      <c r="Y45" s="532">
        <f t="shared" si="43"/>
        <v>-33530.751634547902</v>
      </c>
      <c r="Z45" s="532">
        <f t="shared" si="43"/>
        <v>-33530.751634547902</v>
      </c>
      <c r="AA45" s="532">
        <f t="shared" si="43"/>
        <v>-33530.751634547902</v>
      </c>
      <c r="AB45" s="532">
        <f t="shared" si="43"/>
        <v>-33530.751634547902</v>
      </c>
      <c r="AC45" s="532">
        <f t="shared" si="43"/>
        <v>-33530.751634547902</v>
      </c>
      <c r="AD45" s="532">
        <f t="shared" si="43"/>
        <v>-34260.077001317419</v>
      </c>
      <c r="AE45" s="532">
        <f t="shared" si="43"/>
        <v>-34260.077001317419</v>
      </c>
      <c r="AF45" s="532">
        <f t="shared" si="43"/>
        <v>-34260.077001317419</v>
      </c>
      <c r="AG45" s="532">
        <f t="shared" si="43"/>
        <v>-34260.077001317419</v>
      </c>
      <c r="AH45" s="532">
        <f t="shared" si="43"/>
        <v>-34260.077001317419</v>
      </c>
      <c r="AI45" s="532">
        <f t="shared" si="43"/>
        <v>-34260.077001317419</v>
      </c>
      <c r="AJ45" s="532">
        <f t="shared" si="43"/>
        <v>-35455.865892249829</v>
      </c>
      <c r="AK45" s="532">
        <f t="shared" si="43"/>
        <v>-35455.865892249829</v>
      </c>
      <c r="AL45" s="532">
        <f t="shared" si="43"/>
        <v>-35455.865892249829</v>
      </c>
      <c r="AM45" s="532">
        <f t="shared" si="43"/>
        <v>-35455.865892249829</v>
      </c>
      <c r="AN45" s="532">
        <f t="shared" si="43"/>
        <v>-35455.865892249829</v>
      </c>
      <c r="AO45" s="532">
        <f t="shared" si="43"/>
        <v>-35455.865892249829</v>
      </c>
      <c r="AP45" s="532">
        <f t="shared" si="43"/>
        <v>-35959.739037094376</v>
      </c>
      <c r="AQ45" s="532">
        <f t="shared" si="43"/>
        <v>-35959.739037094376</v>
      </c>
      <c r="AR45" s="532">
        <f t="shared" si="43"/>
        <v>-35959.739037094376</v>
      </c>
      <c r="AS45" s="532">
        <f t="shared" si="43"/>
        <v>-35959.739037094376</v>
      </c>
      <c r="AT45" s="532">
        <f t="shared" si="43"/>
        <v>-35959.739037094376</v>
      </c>
      <c r="AU45" s="532">
        <f t="shared" si="43"/>
        <v>-35959.739037094376</v>
      </c>
      <c r="AV45" s="532">
        <f t="shared" si="43"/>
        <v>-37439.322477120964</v>
      </c>
      <c r="AW45" s="532">
        <f t="shared" si="43"/>
        <v>-37439.322477120964</v>
      </c>
      <c r="AX45" s="532">
        <f t="shared" si="43"/>
        <v>-37439.322477120964</v>
      </c>
      <c r="AY45" s="532">
        <f t="shared" si="43"/>
        <v>-37439.322477120964</v>
      </c>
      <c r="AZ45" s="532">
        <f t="shared" si="43"/>
        <v>-37439.322477120964</v>
      </c>
      <c r="BA45" s="532">
        <f t="shared" si="43"/>
        <v>-37439.322477120964</v>
      </c>
      <c r="BB45" s="532">
        <f t="shared" si="43"/>
        <v>-37647.627896878956</v>
      </c>
      <c r="BC45" s="532">
        <f t="shared" si="43"/>
        <v>-37647.627896878956</v>
      </c>
      <c r="BD45" s="532">
        <f t="shared" si="43"/>
        <v>-37647.627896878956</v>
      </c>
      <c r="BE45" s="532">
        <f t="shared" si="43"/>
        <v>-37647.627896878956</v>
      </c>
      <c r="BF45" s="532">
        <f t="shared" si="43"/>
        <v>-37647.627896878956</v>
      </c>
      <c r="BG45" s="532">
        <f t="shared" si="43"/>
        <v>-37647.627896878956</v>
      </c>
      <c r="BH45" s="532">
        <f t="shared" si="43"/>
        <v>-39429.236623780533</v>
      </c>
      <c r="BI45" s="532">
        <f t="shared" si="43"/>
        <v>-39429.236623780533</v>
      </c>
      <c r="BJ45" s="532">
        <f t="shared" si="43"/>
        <v>-39429.236623780533</v>
      </c>
      <c r="BK45" s="532">
        <f t="shared" si="43"/>
        <v>-39429.236623780533</v>
      </c>
      <c r="BL45" s="532">
        <f t="shared" si="43"/>
        <v>-39429.236623780533</v>
      </c>
      <c r="BM45" s="532">
        <f t="shared" si="43"/>
        <v>-39429.236623780533</v>
      </c>
      <c r="BN45" s="532">
        <f t="shared" si="43"/>
        <v>-39372.27583357245</v>
      </c>
      <c r="BO45" s="532">
        <f t="shared" si="43"/>
        <v>-39372.27583357245</v>
      </c>
      <c r="BP45" s="532">
        <f t="shared" si="43"/>
        <v>-39372.27583357245</v>
      </c>
      <c r="BQ45" s="532">
        <f t="shared" si="43"/>
        <v>-39372.27583357245</v>
      </c>
      <c r="BR45" s="532">
        <f t="shared" si="43"/>
        <v>-39372.27583357245</v>
      </c>
      <c r="BS45" s="532">
        <f t="shared" si="43"/>
        <v>-39372.27583357245</v>
      </c>
      <c r="BT45" s="532">
        <f t="shared" si="43"/>
        <v>-41475.029469867732</v>
      </c>
      <c r="BU45" s="532">
        <f t="shared" si="43"/>
        <v>-41475.029469867732</v>
      </c>
      <c r="BV45" s="532">
        <f t="shared" si="43"/>
        <v>-41475.029469867732</v>
      </c>
      <c r="BW45" s="532">
        <f t="shared" si="43"/>
        <v>-41475.029469867732</v>
      </c>
      <c r="BX45" s="532">
        <f t="shared" si="43"/>
        <v>-41475.029469867732</v>
      </c>
      <c r="BY45" s="532">
        <f t="shared" si="43"/>
        <v>-41475.029469867732</v>
      </c>
      <c r="CB45" s="8"/>
    </row>
    <row r="46" spans="3:80" x14ac:dyDescent="0.3">
      <c r="C46" s="2"/>
      <c r="D46" s="2"/>
      <c r="E46" s="2"/>
      <c r="F46" s="37"/>
      <c r="G46" s="37"/>
      <c r="H46" s="37"/>
      <c r="I46" s="37"/>
      <c r="J46" s="37"/>
      <c r="K46" s="37"/>
      <c r="L46" s="37"/>
      <c r="M46" s="37"/>
      <c r="N46" s="37"/>
      <c r="O46" s="37"/>
      <c r="P46" s="35"/>
      <c r="R46" s="37"/>
      <c r="S46" s="37"/>
      <c r="T46" s="37"/>
      <c r="U46" s="37"/>
      <c r="V46" s="37"/>
      <c r="W46" s="37"/>
      <c r="X46" s="37"/>
      <c r="Y46" s="37"/>
      <c r="Z46" s="37"/>
      <c r="AA46" s="37"/>
      <c r="AB46" s="37"/>
      <c r="AC46" s="37"/>
      <c r="AD46" s="37"/>
      <c r="AE46" s="37"/>
      <c r="AF46" s="37"/>
      <c r="AG46" s="37"/>
      <c r="AH46" s="37"/>
      <c r="AI46" s="37"/>
      <c r="AJ46" s="37"/>
      <c r="AK46" s="37"/>
      <c r="AL46" s="37"/>
      <c r="AM46" s="37"/>
      <c r="AN46" s="37"/>
      <c r="AO46" s="37"/>
      <c r="AP46" s="37"/>
      <c r="AQ46" s="37"/>
      <c r="AR46" s="37"/>
      <c r="AS46" s="37"/>
      <c r="AT46" s="37"/>
      <c r="AU46" s="37"/>
      <c r="AV46" s="37"/>
      <c r="AW46" s="37"/>
      <c r="AX46" s="37"/>
      <c r="AY46" s="37"/>
      <c r="AZ46" s="37"/>
      <c r="BA46" s="37"/>
      <c r="BB46" s="37"/>
      <c r="BC46" s="37"/>
      <c r="BD46" s="37"/>
      <c r="BE46" s="37"/>
      <c r="BF46" s="37"/>
      <c r="BG46" s="37"/>
      <c r="BH46" s="37"/>
      <c r="BI46" s="37"/>
      <c r="BJ46" s="37"/>
      <c r="BK46" s="37"/>
      <c r="BL46" s="37"/>
      <c r="BM46" s="37"/>
      <c r="BN46" s="37"/>
      <c r="BO46" s="37"/>
      <c r="BP46" s="37"/>
      <c r="BQ46" s="37"/>
      <c r="BR46" s="37"/>
      <c r="BS46" s="37"/>
      <c r="BT46" s="37"/>
      <c r="BU46" s="37"/>
      <c r="BV46" s="37"/>
      <c r="BW46" s="37"/>
      <c r="BX46" s="37"/>
      <c r="BY46" s="37"/>
    </row>
    <row r="47" spans="3:80" x14ac:dyDescent="0.3">
      <c r="C47" s="2"/>
      <c r="D47" s="2"/>
      <c r="E47" s="17" t="s">
        <v>27</v>
      </c>
      <c r="F47" s="37"/>
      <c r="G47" s="37"/>
      <c r="H47" s="37"/>
      <c r="I47" s="37"/>
      <c r="J47" s="37"/>
      <c r="K47" s="37"/>
      <c r="L47" s="37"/>
      <c r="M47" s="37"/>
      <c r="N47" s="37"/>
      <c r="O47" s="37"/>
      <c r="P47" s="35"/>
      <c r="R47" s="37"/>
      <c r="S47" s="37"/>
      <c r="T47" s="37"/>
      <c r="U47" s="37"/>
      <c r="V47" s="37"/>
      <c r="W47" s="37"/>
      <c r="X47" s="37"/>
      <c r="Y47" s="37"/>
      <c r="Z47" s="37"/>
      <c r="AA47" s="37"/>
      <c r="AB47" s="37"/>
      <c r="AC47" s="37"/>
      <c r="AD47" s="37"/>
      <c r="AE47" s="37"/>
      <c r="AF47" s="37"/>
      <c r="AG47" s="37"/>
      <c r="AH47" s="37"/>
      <c r="AI47" s="37"/>
      <c r="AJ47" s="37"/>
      <c r="AK47" s="37"/>
      <c r="AL47" s="37"/>
      <c r="AM47" s="37"/>
      <c r="AN47" s="37"/>
      <c r="AO47" s="37"/>
      <c r="AP47" s="37"/>
      <c r="AQ47" s="37"/>
      <c r="AR47" s="37"/>
      <c r="AS47" s="37"/>
      <c r="AT47" s="37"/>
      <c r="AU47" s="37"/>
      <c r="AV47" s="37"/>
      <c r="AW47" s="37"/>
      <c r="AX47" s="37"/>
      <c r="AY47" s="37"/>
      <c r="AZ47" s="37"/>
      <c r="BA47" s="37"/>
      <c r="BB47" s="37"/>
      <c r="BC47" s="37"/>
      <c r="BD47" s="37"/>
      <c r="BE47" s="37"/>
      <c r="BF47" s="37"/>
      <c r="BG47" s="37"/>
      <c r="BH47" s="37"/>
      <c r="BI47" s="37"/>
      <c r="BJ47" s="37"/>
      <c r="BK47" s="37"/>
      <c r="BL47" s="37"/>
      <c r="BM47" s="37"/>
      <c r="BN47" s="37"/>
      <c r="BO47" s="37"/>
      <c r="BP47" s="37"/>
      <c r="BQ47" s="37"/>
      <c r="BR47" s="37"/>
      <c r="BS47" s="37"/>
      <c r="BT47" s="37"/>
      <c r="BU47" s="37"/>
      <c r="BV47" s="37"/>
      <c r="BW47" s="37"/>
      <c r="BX47" s="37"/>
      <c r="BY47" s="37"/>
    </row>
    <row r="48" spans="3:80" x14ac:dyDescent="0.3">
      <c r="C48" s="2"/>
      <c r="D48" s="2"/>
      <c r="E48" s="2" t="s">
        <v>28</v>
      </c>
      <c r="F48" s="54"/>
      <c r="G48" s="54"/>
      <c r="H48" s="54"/>
      <c r="I48" s="497">
        <f>I$13*I113*-1</f>
        <v>-723.0509740259738</v>
      </c>
      <c r="J48" s="497">
        <f t="shared" ref="J48:N52" si="44">SUMIF($R$2:$BY$2,J$3,$R48:$BY48)</f>
        <v>-723.05097402597391</v>
      </c>
      <c r="K48" s="497">
        <f t="shared" si="44"/>
        <v>-723.05097402597391</v>
      </c>
      <c r="L48" s="497">
        <f t="shared" si="44"/>
        <v>-723.05097402597391</v>
      </c>
      <c r="M48" s="497">
        <f t="shared" si="44"/>
        <v>-723.05097402597391</v>
      </c>
      <c r="N48" s="497">
        <f t="shared" si="44"/>
        <v>-723.05097402597391</v>
      </c>
      <c r="O48" s="37"/>
      <c r="P48" s="50">
        <f>IFERROR(((N48/I48)^(1/5))-1,0)</f>
        <v>0</v>
      </c>
      <c r="R48" s="497">
        <f t="shared" ref="R48:AW48" si="45">R$13*R113*-1</f>
        <v>-60.254247835497821</v>
      </c>
      <c r="S48" s="527">
        <f t="shared" si="45"/>
        <v>-60.254247835497821</v>
      </c>
      <c r="T48" s="527">
        <f t="shared" si="45"/>
        <v>-60.254247835497821</v>
      </c>
      <c r="U48" s="527">
        <f t="shared" si="45"/>
        <v>-60.254247835497821</v>
      </c>
      <c r="V48" s="527">
        <f t="shared" si="45"/>
        <v>-60.254247835497821</v>
      </c>
      <c r="W48" s="527">
        <f t="shared" si="45"/>
        <v>-60.254247835497821</v>
      </c>
      <c r="X48" s="527">
        <f t="shared" si="45"/>
        <v>-60.254247835497821</v>
      </c>
      <c r="Y48" s="527">
        <f t="shared" si="45"/>
        <v>-60.254247835497821</v>
      </c>
      <c r="Z48" s="527">
        <f t="shared" si="45"/>
        <v>-60.254247835497821</v>
      </c>
      <c r="AA48" s="527">
        <f t="shared" si="45"/>
        <v>-60.254247835497821</v>
      </c>
      <c r="AB48" s="527">
        <f t="shared" si="45"/>
        <v>-60.254247835497821</v>
      </c>
      <c r="AC48" s="527">
        <f t="shared" si="45"/>
        <v>-60.254247835497821</v>
      </c>
      <c r="AD48" s="527">
        <f t="shared" si="45"/>
        <v>-60.254247835497821</v>
      </c>
      <c r="AE48" s="527">
        <f t="shared" si="45"/>
        <v>-60.254247835497821</v>
      </c>
      <c r="AF48" s="527">
        <f t="shared" si="45"/>
        <v>-60.254247835497821</v>
      </c>
      <c r="AG48" s="527">
        <f t="shared" si="45"/>
        <v>-60.254247835497821</v>
      </c>
      <c r="AH48" s="527">
        <f t="shared" si="45"/>
        <v>-60.254247835497821</v>
      </c>
      <c r="AI48" s="527">
        <f t="shared" si="45"/>
        <v>-60.254247835497821</v>
      </c>
      <c r="AJ48" s="527">
        <f t="shared" si="45"/>
        <v>-60.254247835497821</v>
      </c>
      <c r="AK48" s="527">
        <f t="shared" si="45"/>
        <v>-60.254247835497821</v>
      </c>
      <c r="AL48" s="527">
        <f t="shared" si="45"/>
        <v>-60.254247835497821</v>
      </c>
      <c r="AM48" s="527">
        <f t="shared" si="45"/>
        <v>-60.254247835497821</v>
      </c>
      <c r="AN48" s="527">
        <f t="shared" si="45"/>
        <v>-60.254247835497821</v>
      </c>
      <c r="AO48" s="527">
        <f t="shared" si="45"/>
        <v>-60.254247835497821</v>
      </c>
      <c r="AP48" s="527">
        <f t="shared" si="45"/>
        <v>-60.254247835497821</v>
      </c>
      <c r="AQ48" s="527">
        <f t="shared" si="45"/>
        <v>-60.254247835497821</v>
      </c>
      <c r="AR48" s="527">
        <f t="shared" si="45"/>
        <v>-60.254247835497821</v>
      </c>
      <c r="AS48" s="527">
        <f t="shared" si="45"/>
        <v>-60.254247835497821</v>
      </c>
      <c r="AT48" s="527">
        <f t="shared" si="45"/>
        <v>-60.254247835497821</v>
      </c>
      <c r="AU48" s="527">
        <f t="shared" si="45"/>
        <v>-60.254247835497821</v>
      </c>
      <c r="AV48" s="527">
        <f t="shared" si="45"/>
        <v>-60.254247835497821</v>
      </c>
      <c r="AW48" s="527">
        <f t="shared" si="45"/>
        <v>-60.254247835497821</v>
      </c>
      <c r="AX48" s="527">
        <f t="shared" ref="AX48:BY48" si="46">AX$13*AX113*-1</f>
        <v>-60.254247835497821</v>
      </c>
      <c r="AY48" s="527">
        <f t="shared" si="46"/>
        <v>-60.254247835497821</v>
      </c>
      <c r="AZ48" s="527">
        <f t="shared" si="46"/>
        <v>-60.254247835497821</v>
      </c>
      <c r="BA48" s="527">
        <f t="shared" si="46"/>
        <v>-60.254247835497821</v>
      </c>
      <c r="BB48" s="527">
        <f t="shared" si="46"/>
        <v>-60.254247835497821</v>
      </c>
      <c r="BC48" s="527">
        <f t="shared" si="46"/>
        <v>-60.254247835497821</v>
      </c>
      <c r="BD48" s="527">
        <f t="shared" si="46"/>
        <v>-60.254247835497821</v>
      </c>
      <c r="BE48" s="527">
        <f t="shared" si="46"/>
        <v>-60.254247835497821</v>
      </c>
      <c r="BF48" s="527">
        <f t="shared" si="46"/>
        <v>-60.254247835497821</v>
      </c>
      <c r="BG48" s="527">
        <f t="shared" si="46"/>
        <v>-60.254247835497821</v>
      </c>
      <c r="BH48" s="527">
        <f t="shared" si="46"/>
        <v>-60.254247835497821</v>
      </c>
      <c r="BI48" s="527">
        <f t="shared" si="46"/>
        <v>-60.254247835497821</v>
      </c>
      <c r="BJ48" s="527">
        <f t="shared" si="46"/>
        <v>-60.254247835497821</v>
      </c>
      <c r="BK48" s="527">
        <f t="shared" si="46"/>
        <v>-60.254247835497821</v>
      </c>
      <c r="BL48" s="527">
        <f t="shared" si="46"/>
        <v>-60.254247835497821</v>
      </c>
      <c r="BM48" s="527">
        <f t="shared" si="46"/>
        <v>-60.254247835497821</v>
      </c>
      <c r="BN48" s="527">
        <f t="shared" si="46"/>
        <v>-60.254247835497821</v>
      </c>
      <c r="BO48" s="527">
        <f t="shared" si="46"/>
        <v>-60.254247835497821</v>
      </c>
      <c r="BP48" s="527">
        <f t="shared" si="46"/>
        <v>-60.254247835497821</v>
      </c>
      <c r="BQ48" s="527">
        <f t="shared" si="46"/>
        <v>-60.254247835497821</v>
      </c>
      <c r="BR48" s="527">
        <f t="shared" si="46"/>
        <v>-60.254247835497821</v>
      </c>
      <c r="BS48" s="527">
        <f t="shared" si="46"/>
        <v>-60.254247835497821</v>
      </c>
      <c r="BT48" s="527">
        <f t="shared" si="46"/>
        <v>-60.254247835497821</v>
      </c>
      <c r="BU48" s="527">
        <f t="shared" si="46"/>
        <v>-60.254247835497821</v>
      </c>
      <c r="BV48" s="527">
        <f t="shared" si="46"/>
        <v>-60.254247835497821</v>
      </c>
      <c r="BW48" s="527">
        <f t="shared" si="46"/>
        <v>-60.254247835497821</v>
      </c>
      <c r="BX48" s="527">
        <f t="shared" si="46"/>
        <v>-60.254247835497821</v>
      </c>
      <c r="BY48" s="527">
        <f t="shared" si="46"/>
        <v>-60.254247835497821</v>
      </c>
      <c r="CB48" s="8"/>
    </row>
    <row r="49" spans="3:80" x14ac:dyDescent="0.3">
      <c r="C49" s="2"/>
      <c r="D49" s="2"/>
      <c r="E49" s="2" t="s">
        <v>29</v>
      </c>
      <c r="F49" s="54"/>
      <c r="G49" s="54"/>
      <c r="H49" s="54"/>
      <c r="I49" s="497">
        <f>I$13*I114*-1</f>
        <v>-20856.228984163754</v>
      </c>
      <c r="J49" s="497">
        <f t="shared" si="44"/>
        <v>-20856.228984163743</v>
      </c>
      <c r="K49" s="497">
        <f t="shared" si="44"/>
        <v>-20856.228984163743</v>
      </c>
      <c r="L49" s="497">
        <f t="shared" si="44"/>
        <v>-20856.228984163743</v>
      </c>
      <c r="M49" s="497">
        <f t="shared" si="44"/>
        <v>-20856.228984163743</v>
      </c>
      <c r="N49" s="497">
        <f t="shared" si="44"/>
        <v>-20856.228984163743</v>
      </c>
      <c r="O49" s="37"/>
      <c r="P49" s="50">
        <f>IFERROR(((N49/I49)^(1/5))-1,0)</f>
        <v>-1.1102230246251565E-16</v>
      </c>
      <c r="R49" s="497">
        <f t="shared" ref="R49:AW49" si="47">R$13*R114*-1</f>
        <v>-1738.0190820136459</v>
      </c>
      <c r="S49" s="527">
        <f t="shared" si="47"/>
        <v>-1738.0190820136459</v>
      </c>
      <c r="T49" s="527">
        <f t="shared" si="47"/>
        <v>-1738.0190820136459</v>
      </c>
      <c r="U49" s="527">
        <f t="shared" si="47"/>
        <v>-1738.0190820136459</v>
      </c>
      <c r="V49" s="527">
        <f t="shared" si="47"/>
        <v>-1738.0190820136459</v>
      </c>
      <c r="W49" s="527">
        <f t="shared" si="47"/>
        <v>-1738.0190820136459</v>
      </c>
      <c r="X49" s="527">
        <f t="shared" si="47"/>
        <v>-1738.0190820136459</v>
      </c>
      <c r="Y49" s="527">
        <f t="shared" si="47"/>
        <v>-1738.0190820136459</v>
      </c>
      <c r="Z49" s="527">
        <f t="shared" si="47"/>
        <v>-1738.0190820136459</v>
      </c>
      <c r="AA49" s="527">
        <f t="shared" si="47"/>
        <v>-1738.0190820136459</v>
      </c>
      <c r="AB49" s="527">
        <f t="shared" si="47"/>
        <v>-1738.0190820136459</v>
      </c>
      <c r="AC49" s="527">
        <f t="shared" si="47"/>
        <v>-1738.0190820136459</v>
      </c>
      <c r="AD49" s="527">
        <f t="shared" si="47"/>
        <v>-1738.0190820136459</v>
      </c>
      <c r="AE49" s="527">
        <f t="shared" si="47"/>
        <v>-1738.0190820136459</v>
      </c>
      <c r="AF49" s="527">
        <f t="shared" si="47"/>
        <v>-1738.0190820136459</v>
      </c>
      <c r="AG49" s="527">
        <f t="shared" si="47"/>
        <v>-1738.0190820136459</v>
      </c>
      <c r="AH49" s="527">
        <f t="shared" si="47"/>
        <v>-1738.0190820136459</v>
      </c>
      <c r="AI49" s="527">
        <f t="shared" si="47"/>
        <v>-1738.0190820136459</v>
      </c>
      <c r="AJ49" s="527">
        <f t="shared" si="47"/>
        <v>-1738.0190820136459</v>
      </c>
      <c r="AK49" s="527">
        <f t="shared" si="47"/>
        <v>-1738.0190820136459</v>
      </c>
      <c r="AL49" s="527">
        <f t="shared" si="47"/>
        <v>-1738.0190820136459</v>
      </c>
      <c r="AM49" s="527">
        <f t="shared" si="47"/>
        <v>-1738.0190820136459</v>
      </c>
      <c r="AN49" s="527">
        <f t="shared" si="47"/>
        <v>-1738.0190820136459</v>
      </c>
      <c r="AO49" s="527">
        <f t="shared" si="47"/>
        <v>-1738.0190820136459</v>
      </c>
      <c r="AP49" s="527">
        <f t="shared" si="47"/>
        <v>-1738.0190820136459</v>
      </c>
      <c r="AQ49" s="527">
        <f t="shared" si="47"/>
        <v>-1738.0190820136459</v>
      </c>
      <c r="AR49" s="527">
        <f t="shared" si="47"/>
        <v>-1738.0190820136459</v>
      </c>
      <c r="AS49" s="527">
        <f t="shared" si="47"/>
        <v>-1738.0190820136459</v>
      </c>
      <c r="AT49" s="527">
        <f t="shared" si="47"/>
        <v>-1738.0190820136459</v>
      </c>
      <c r="AU49" s="527">
        <f t="shared" si="47"/>
        <v>-1738.0190820136459</v>
      </c>
      <c r="AV49" s="527">
        <f t="shared" si="47"/>
        <v>-1738.0190820136459</v>
      </c>
      <c r="AW49" s="527">
        <f t="shared" si="47"/>
        <v>-1738.0190820136459</v>
      </c>
      <c r="AX49" s="527">
        <f t="shared" ref="AX49:BY49" si="48">AX$13*AX114*-1</f>
        <v>-1738.0190820136459</v>
      </c>
      <c r="AY49" s="527">
        <f t="shared" si="48"/>
        <v>-1738.0190820136459</v>
      </c>
      <c r="AZ49" s="527">
        <f t="shared" si="48"/>
        <v>-1738.0190820136459</v>
      </c>
      <c r="BA49" s="527">
        <f t="shared" si="48"/>
        <v>-1738.0190820136459</v>
      </c>
      <c r="BB49" s="527">
        <f t="shared" si="48"/>
        <v>-1738.0190820136459</v>
      </c>
      <c r="BC49" s="527">
        <f t="shared" si="48"/>
        <v>-1738.0190820136459</v>
      </c>
      <c r="BD49" s="527">
        <f t="shared" si="48"/>
        <v>-1738.0190820136459</v>
      </c>
      <c r="BE49" s="527">
        <f t="shared" si="48"/>
        <v>-1738.0190820136459</v>
      </c>
      <c r="BF49" s="527">
        <f t="shared" si="48"/>
        <v>-1738.0190820136459</v>
      </c>
      <c r="BG49" s="527">
        <f t="shared" si="48"/>
        <v>-1738.0190820136459</v>
      </c>
      <c r="BH49" s="527">
        <f t="shared" si="48"/>
        <v>-1738.0190820136459</v>
      </c>
      <c r="BI49" s="527">
        <f t="shared" si="48"/>
        <v>-1738.0190820136459</v>
      </c>
      <c r="BJ49" s="527">
        <f t="shared" si="48"/>
        <v>-1738.0190820136459</v>
      </c>
      <c r="BK49" s="527">
        <f t="shared" si="48"/>
        <v>-1738.0190820136459</v>
      </c>
      <c r="BL49" s="527">
        <f t="shared" si="48"/>
        <v>-1738.0190820136459</v>
      </c>
      <c r="BM49" s="527">
        <f t="shared" si="48"/>
        <v>-1738.0190820136459</v>
      </c>
      <c r="BN49" s="527">
        <f t="shared" si="48"/>
        <v>-1738.0190820136459</v>
      </c>
      <c r="BO49" s="527">
        <f t="shared" si="48"/>
        <v>-1738.0190820136459</v>
      </c>
      <c r="BP49" s="527">
        <f t="shared" si="48"/>
        <v>-1738.0190820136459</v>
      </c>
      <c r="BQ49" s="527">
        <f t="shared" si="48"/>
        <v>-1738.0190820136459</v>
      </c>
      <c r="BR49" s="527">
        <f t="shared" si="48"/>
        <v>-1738.0190820136459</v>
      </c>
      <c r="BS49" s="527">
        <f t="shared" si="48"/>
        <v>-1738.0190820136459</v>
      </c>
      <c r="BT49" s="527">
        <f t="shared" si="48"/>
        <v>-1738.0190820136459</v>
      </c>
      <c r="BU49" s="527">
        <f t="shared" si="48"/>
        <v>-1738.0190820136459</v>
      </c>
      <c r="BV49" s="527">
        <f t="shared" si="48"/>
        <v>-1738.0190820136459</v>
      </c>
      <c r="BW49" s="527">
        <f t="shared" si="48"/>
        <v>-1738.0190820136459</v>
      </c>
      <c r="BX49" s="527">
        <f t="shared" si="48"/>
        <v>-1738.0190820136459</v>
      </c>
      <c r="BY49" s="527">
        <f t="shared" si="48"/>
        <v>-1738.0190820136459</v>
      </c>
      <c r="CB49" s="8"/>
    </row>
    <row r="50" spans="3:80" x14ac:dyDescent="0.3">
      <c r="C50" s="2"/>
      <c r="D50" s="2"/>
      <c r="E50" s="2" t="s">
        <v>30</v>
      </c>
      <c r="F50" s="54"/>
      <c r="G50" s="54"/>
      <c r="H50" s="54"/>
      <c r="I50" s="497">
        <f>I$13*I115*-1</f>
        <v>-13399.623376623376</v>
      </c>
      <c r="J50" s="497">
        <f t="shared" si="44"/>
        <v>-13399.623376623376</v>
      </c>
      <c r="K50" s="497">
        <f t="shared" si="44"/>
        <v>-13399.623376623376</v>
      </c>
      <c r="L50" s="497">
        <f t="shared" si="44"/>
        <v>-13399.623376623376</v>
      </c>
      <c r="M50" s="497">
        <f t="shared" si="44"/>
        <v>-13399.623376623376</v>
      </c>
      <c r="N50" s="497">
        <f t="shared" si="44"/>
        <v>-13399.623376623376</v>
      </c>
      <c r="O50" s="37"/>
      <c r="P50" s="50">
        <f>IFERROR(((N50/I50)^(1/5))-1,0)</f>
        <v>0</v>
      </c>
      <c r="R50" s="497">
        <f t="shared" ref="R50:AW50" si="49">R$13*R115*-1</f>
        <v>-1116.6352813852816</v>
      </c>
      <c r="S50" s="527">
        <f t="shared" si="49"/>
        <v>-1116.6352813852816</v>
      </c>
      <c r="T50" s="527">
        <f t="shared" si="49"/>
        <v>-1116.6352813852816</v>
      </c>
      <c r="U50" s="527">
        <f t="shared" si="49"/>
        <v>-1116.6352813852816</v>
      </c>
      <c r="V50" s="527">
        <f t="shared" si="49"/>
        <v>-1116.6352813852816</v>
      </c>
      <c r="W50" s="527">
        <f t="shared" si="49"/>
        <v>-1116.6352813852816</v>
      </c>
      <c r="X50" s="527">
        <f t="shared" si="49"/>
        <v>-1116.6352813852816</v>
      </c>
      <c r="Y50" s="527">
        <f t="shared" si="49"/>
        <v>-1116.6352813852816</v>
      </c>
      <c r="Z50" s="527">
        <f t="shared" si="49"/>
        <v>-1116.6352813852816</v>
      </c>
      <c r="AA50" s="527">
        <f t="shared" si="49"/>
        <v>-1116.6352813852816</v>
      </c>
      <c r="AB50" s="527">
        <f t="shared" si="49"/>
        <v>-1116.6352813852816</v>
      </c>
      <c r="AC50" s="527">
        <f t="shared" si="49"/>
        <v>-1116.6352813852816</v>
      </c>
      <c r="AD50" s="527">
        <f t="shared" si="49"/>
        <v>-1116.6352813852816</v>
      </c>
      <c r="AE50" s="527">
        <f t="shared" si="49"/>
        <v>-1116.6352813852816</v>
      </c>
      <c r="AF50" s="527">
        <f t="shared" si="49"/>
        <v>-1116.6352813852816</v>
      </c>
      <c r="AG50" s="527">
        <f t="shared" si="49"/>
        <v>-1116.6352813852816</v>
      </c>
      <c r="AH50" s="527">
        <f t="shared" si="49"/>
        <v>-1116.6352813852816</v>
      </c>
      <c r="AI50" s="527">
        <f t="shared" si="49"/>
        <v>-1116.6352813852816</v>
      </c>
      <c r="AJ50" s="527">
        <f t="shared" si="49"/>
        <v>-1116.6352813852816</v>
      </c>
      <c r="AK50" s="527">
        <f t="shared" si="49"/>
        <v>-1116.6352813852816</v>
      </c>
      <c r="AL50" s="527">
        <f t="shared" si="49"/>
        <v>-1116.6352813852816</v>
      </c>
      <c r="AM50" s="527">
        <f t="shared" si="49"/>
        <v>-1116.6352813852816</v>
      </c>
      <c r="AN50" s="527">
        <f t="shared" si="49"/>
        <v>-1116.6352813852816</v>
      </c>
      <c r="AO50" s="527">
        <f t="shared" si="49"/>
        <v>-1116.6352813852816</v>
      </c>
      <c r="AP50" s="527">
        <f t="shared" si="49"/>
        <v>-1116.6352813852816</v>
      </c>
      <c r="AQ50" s="527">
        <f t="shared" si="49"/>
        <v>-1116.6352813852816</v>
      </c>
      <c r="AR50" s="527">
        <f t="shared" si="49"/>
        <v>-1116.6352813852816</v>
      </c>
      <c r="AS50" s="527">
        <f t="shared" si="49"/>
        <v>-1116.6352813852816</v>
      </c>
      <c r="AT50" s="527">
        <f t="shared" si="49"/>
        <v>-1116.6352813852816</v>
      </c>
      <c r="AU50" s="527">
        <f t="shared" si="49"/>
        <v>-1116.6352813852816</v>
      </c>
      <c r="AV50" s="527">
        <f t="shared" si="49"/>
        <v>-1116.6352813852816</v>
      </c>
      <c r="AW50" s="527">
        <f t="shared" si="49"/>
        <v>-1116.6352813852816</v>
      </c>
      <c r="AX50" s="527">
        <f t="shared" ref="AX50:BY50" si="50">AX$13*AX115*-1</f>
        <v>-1116.6352813852816</v>
      </c>
      <c r="AY50" s="527">
        <f t="shared" si="50"/>
        <v>-1116.6352813852816</v>
      </c>
      <c r="AZ50" s="527">
        <f t="shared" si="50"/>
        <v>-1116.6352813852816</v>
      </c>
      <c r="BA50" s="527">
        <f t="shared" si="50"/>
        <v>-1116.6352813852816</v>
      </c>
      <c r="BB50" s="527">
        <f t="shared" si="50"/>
        <v>-1116.6352813852816</v>
      </c>
      <c r="BC50" s="527">
        <f t="shared" si="50"/>
        <v>-1116.6352813852816</v>
      </c>
      <c r="BD50" s="527">
        <f t="shared" si="50"/>
        <v>-1116.6352813852816</v>
      </c>
      <c r="BE50" s="527">
        <f t="shared" si="50"/>
        <v>-1116.6352813852816</v>
      </c>
      <c r="BF50" s="527">
        <f t="shared" si="50"/>
        <v>-1116.6352813852816</v>
      </c>
      <c r="BG50" s="527">
        <f t="shared" si="50"/>
        <v>-1116.6352813852816</v>
      </c>
      <c r="BH50" s="527">
        <f t="shared" si="50"/>
        <v>-1116.6352813852816</v>
      </c>
      <c r="BI50" s="527">
        <f t="shared" si="50"/>
        <v>-1116.6352813852816</v>
      </c>
      <c r="BJ50" s="527">
        <f t="shared" si="50"/>
        <v>-1116.6352813852816</v>
      </c>
      <c r="BK50" s="527">
        <f t="shared" si="50"/>
        <v>-1116.6352813852816</v>
      </c>
      <c r="BL50" s="527">
        <f t="shared" si="50"/>
        <v>-1116.6352813852816</v>
      </c>
      <c r="BM50" s="527">
        <f t="shared" si="50"/>
        <v>-1116.6352813852816</v>
      </c>
      <c r="BN50" s="527">
        <f t="shared" si="50"/>
        <v>-1116.6352813852816</v>
      </c>
      <c r="BO50" s="527">
        <f t="shared" si="50"/>
        <v>-1116.6352813852816</v>
      </c>
      <c r="BP50" s="527">
        <f t="shared" si="50"/>
        <v>-1116.6352813852816</v>
      </c>
      <c r="BQ50" s="527">
        <f t="shared" si="50"/>
        <v>-1116.6352813852816</v>
      </c>
      <c r="BR50" s="527">
        <f t="shared" si="50"/>
        <v>-1116.6352813852816</v>
      </c>
      <c r="BS50" s="527">
        <f t="shared" si="50"/>
        <v>-1116.6352813852816</v>
      </c>
      <c r="BT50" s="527">
        <f t="shared" si="50"/>
        <v>-1116.6352813852816</v>
      </c>
      <c r="BU50" s="527">
        <f t="shared" si="50"/>
        <v>-1116.6352813852816</v>
      </c>
      <c r="BV50" s="527">
        <f t="shared" si="50"/>
        <v>-1116.6352813852816</v>
      </c>
      <c r="BW50" s="527">
        <f t="shared" si="50"/>
        <v>-1116.6352813852816</v>
      </c>
      <c r="BX50" s="527">
        <f t="shared" si="50"/>
        <v>-1116.6352813852816</v>
      </c>
      <c r="BY50" s="527">
        <f t="shared" si="50"/>
        <v>-1116.6352813852816</v>
      </c>
      <c r="CB50" s="8"/>
    </row>
    <row r="51" spans="3:80" x14ac:dyDescent="0.3">
      <c r="C51" s="2"/>
      <c r="D51" s="2"/>
      <c r="E51" s="2" t="s">
        <v>31</v>
      </c>
      <c r="F51" s="54"/>
      <c r="G51" s="54"/>
      <c r="H51" s="54"/>
      <c r="I51" s="497">
        <f>I$13*I116*-1</f>
        <v>-30950.694929991929</v>
      </c>
      <c r="J51" s="497">
        <f t="shared" si="44"/>
        <v>-30950.694929991932</v>
      </c>
      <c r="K51" s="497">
        <f t="shared" si="44"/>
        <v>-30950.694929991932</v>
      </c>
      <c r="L51" s="497">
        <f t="shared" si="44"/>
        <v>-30950.694929991932</v>
      </c>
      <c r="M51" s="497">
        <f t="shared" si="44"/>
        <v>-30950.694929991932</v>
      </c>
      <c r="N51" s="497">
        <f t="shared" si="44"/>
        <v>-30950.694929991932</v>
      </c>
      <c r="O51" s="37"/>
      <c r="P51" s="50">
        <f>IFERROR(((N51/I51)^(1/5))-1,0)</f>
        <v>0</v>
      </c>
      <c r="R51" s="497">
        <f t="shared" ref="R51:AW51" si="51">R$13*R116*-1</f>
        <v>-2579.2245774993271</v>
      </c>
      <c r="S51" s="527">
        <f t="shared" si="51"/>
        <v>-2579.2245774993271</v>
      </c>
      <c r="T51" s="527">
        <f t="shared" si="51"/>
        <v>-2579.2245774993271</v>
      </c>
      <c r="U51" s="527">
        <f t="shared" si="51"/>
        <v>-2579.2245774993271</v>
      </c>
      <c r="V51" s="527">
        <f t="shared" si="51"/>
        <v>-2579.2245774993271</v>
      </c>
      <c r="W51" s="527">
        <f t="shared" si="51"/>
        <v>-2579.2245774993271</v>
      </c>
      <c r="X51" s="527">
        <f t="shared" si="51"/>
        <v>-2579.2245774993271</v>
      </c>
      <c r="Y51" s="527">
        <f t="shared" si="51"/>
        <v>-2579.2245774993271</v>
      </c>
      <c r="Z51" s="527">
        <f t="shared" si="51"/>
        <v>-2579.2245774993271</v>
      </c>
      <c r="AA51" s="527">
        <f t="shared" si="51"/>
        <v>-2579.2245774993271</v>
      </c>
      <c r="AB51" s="527">
        <f t="shared" si="51"/>
        <v>-2579.2245774993271</v>
      </c>
      <c r="AC51" s="527">
        <f t="shared" si="51"/>
        <v>-2579.2245774993271</v>
      </c>
      <c r="AD51" s="527">
        <f t="shared" si="51"/>
        <v>-2579.2245774993271</v>
      </c>
      <c r="AE51" s="527">
        <f t="shared" si="51"/>
        <v>-2579.2245774993271</v>
      </c>
      <c r="AF51" s="527">
        <f t="shared" si="51"/>
        <v>-2579.2245774993271</v>
      </c>
      <c r="AG51" s="527">
        <f t="shared" si="51"/>
        <v>-2579.2245774993271</v>
      </c>
      <c r="AH51" s="527">
        <f t="shared" si="51"/>
        <v>-2579.2245774993271</v>
      </c>
      <c r="AI51" s="527">
        <f t="shared" si="51"/>
        <v>-2579.2245774993271</v>
      </c>
      <c r="AJ51" s="527">
        <f t="shared" si="51"/>
        <v>-2579.2245774993271</v>
      </c>
      <c r="AK51" s="527">
        <f t="shared" si="51"/>
        <v>-2579.2245774993271</v>
      </c>
      <c r="AL51" s="527">
        <f t="shared" si="51"/>
        <v>-2579.2245774993271</v>
      </c>
      <c r="AM51" s="527">
        <f t="shared" si="51"/>
        <v>-2579.2245774993271</v>
      </c>
      <c r="AN51" s="527">
        <f t="shared" si="51"/>
        <v>-2579.2245774993271</v>
      </c>
      <c r="AO51" s="527">
        <f t="shared" si="51"/>
        <v>-2579.2245774993271</v>
      </c>
      <c r="AP51" s="527">
        <f t="shared" si="51"/>
        <v>-2579.2245774993271</v>
      </c>
      <c r="AQ51" s="527">
        <f t="shared" si="51"/>
        <v>-2579.2245774993271</v>
      </c>
      <c r="AR51" s="527">
        <f t="shared" si="51"/>
        <v>-2579.2245774993271</v>
      </c>
      <c r="AS51" s="527">
        <f t="shared" si="51"/>
        <v>-2579.2245774993271</v>
      </c>
      <c r="AT51" s="527">
        <f t="shared" si="51"/>
        <v>-2579.2245774993271</v>
      </c>
      <c r="AU51" s="527">
        <f t="shared" si="51"/>
        <v>-2579.2245774993271</v>
      </c>
      <c r="AV51" s="527">
        <f t="shared" si="51"/>
        <v>-2579.2245774993271</v>
      </c>
      <c r="AW51" s="527">
        <f t="shared" si="51"/>
        <v>-2579.2245774993271</v>
      </c>
      <c r="AX51" s="527">
        <f t="shared" ref="AX51:BY51" si="52">AX$13*AX116*-1</f>
        <v>-2579.2245774993271</v>
      </c>
      <c r="AY51" s="527">
        <f t="shared" si="52"/>
        <v>-2579.2245774993271</v>
      </c>
      <c r="AZ51" s="527">
        <f t="shared" si="52"/>
        <v>-2579.2245774993271</v>
      </c>
      <c r="BA51" s="527">
        <f t="shared" si="52"/>
        <v>-2579.2245774993271</v>
      </c>
      <c r="BB51" s="527">
        <f t="shared" si="52"/>
        <v>-2579.2245774993271</v>
      </c>
      <c r="BC51" s="527">
        <f t="shared" si="52"/>
        <v>-2579.2245774993271</v>
      </c>
      <c r="BD51" s="527">
        <f t="shared" si="52"/>
        <v>-2579.2245774993271</v>
      </c>
      <c r="BE51" s="527">
        <f t="shared" si="52"/>
        <v>-2579.2245774993271</v>
      </c>
      <c r="BF51" s="527">
        <f t="shared" si="52"/>
        <v>-2579.2245774993271</v>
      </c>
      <c r="BG51" s="527">
        <f t="shared" si="52"/>
        <v>-2579.2245774993271</v>
      </c>
      <c r="BH51" s="527">
        <f t="shared" si="52"/>
        <v>-2579.2245774993271</v>
      </c>
      <c r="BI51" s="527">
        <f t="shared" si="52"/>
        <v>-2579.2245774993271</v>
      </c>
      <c r="BJ51" s="527">
        <f t="shared" si="52"/>
        <v>-2579.2245774993271</v>
      </c>
      <c r="BK51" s="527">
        <f t="shared" si="52"/>
        <v>-2579.2245774993271</v>
      </c>
      <c r="BL51" s="527">
        <f t="shared" si="52"/>
        <v>-2579.2245774993271</v>
      </c>
      <c r="BM51" s="527">
        <f t="shared" si="52"/>
        <v>-2579.2245774993271</v>
      </c>
      <c r="BN51" s="527">
        <f t="shared" si="52"/>
        <v>-2579.2245774993271</v>
      </c>
      <c r="BO51" s="527">
        <f t="shared" si="52"/>
        <v>-2579.2245774993271</v>
      </c>
      <c r="BP51" s="527">
        <f t="shared" si="52"/>
        <v>-2579.2245774993271</v>
      </c>
      <c r="BQ51" s="527">
        <f t="shared" si="52"/>
        <v>-2579.2245774993271</v>
      </c>
      <c r="BR51" s="527">
        <f t="shared" si="52"/>
        <v>-2579.2245774993271</v>
      </c>
      <c r="BS51" s="527">
        <f t="shared" si="52"/>
        <v>-2579.2245774993271</v>
      </c>
      <c r="BT51" s="527">
        <f t="shared" si="52"/>
        <v>-2579.2245774993271</v>
      </c>
      <c r="BU51" s="527">
        <f t="shared" si="52"/>
        <v>-2579.2245774993271</v>
      </c>
      <c r="BV51" s="527">
        <f t="shared" si="52"/>
        <v>-2579.2245774993271</v>
      </c>
      <c r="BW51" s="527">
        <f t="shared" si="52"/>
        <v>-2579.2245774993271</v>
      </c>
      <c r="BX51" s="527">
        <f t="shared" si="52"/>
        <v>-2579.2245774993271</v>
      </c>
      <c r="BY51" s="527">
        <f t="shared" si="52"/>
        <v>-2579.2245774993271</v>
      </c>
      <c r="CB51" s="8"/>
    </row>
    <row r="52" spans="3:80" x14ac:dyDescent="0.3">
      <c r="C52" s="2"/>
      <c r="D52" s="2"/>
      <c r="E52" s="4" t="s">
        <v>32</v>
      </c>
      <c r="F52" s="5"/>
      <c r="G52" s="5"/>
      <c r="H52" s="5"/>
      <c r="I52" s="500">
        <f>SUM(I48:I51)</f>
        <v>-65929.598264805041</v>
      </c>
      <c r="J52" s="500">
        <f t="shared" si="44"/>
        <v>-65929.598264805027</v>
      </c>
      <c r="K52" s="500">
        <f t="shared" si="44"/>
        <v>-65929.598264805027</v>
      </c>
      <c r="L52" s="500">
        <f t="shared" si="44"/>
        <v>-65929.598264805027</v>
      </c>
      <c r="M52" s="500">
        <f t="shared" si="44"/>
        <v>-65929.598264805027</v>
      </c>
      <c r="N52" s="500">
        <f t="shared" si="44"/>
        <v>-65929.598264805027</v>
      </c>
      <c r="O52" s="57"/>
      <c r="P52" s="55">
        <f>IFERROR(((N52/I52)^(1/5))-1,0)</f>
        <v>0</v>
      </c>
      <c r="R52" s="500">
        <f>SUM(R48:R51)</f>
        <v>-5494.1331887337528</v>
      </c>
      <c r="S52" s="532">
        <f t="shared" ref="S52:BY52" si="53">SUM(S48:S51)</f>
        <v>-5494.1331887337528</v>
      </c>
      <c r="T52" s="532">
        <f t="shared" si="53"/>
        <v>-5494.1331887337528</v>
      </c>
      <c r="U52" s="532">
        <f t="shared" si="53"/>
        <v>-5494.1331887337528</v>
      </c>
      <c r="V52" s="532">
        <f t="shared" si="53"/>
        <v>-5494.1331887337528</v>
      </c>
      <c r="W52" s="532">
        <f t="shared" si="53"/>
        <v>-5494.1331887337528</v>
      </c>
      <c r="X52" s="532">
        <f t="shared" si="53"/>
        <v>-5494.1331887337528</v>
      </c>
      <c r="Y52" s="532">
        <f t="shared" si="53"/>
        <v>-5494.1331887337528</v>
      </c>
      <c r="Z52" s="532">
        <f t="shared" si="53"/>
        <v>-5494.1331887337528</v>
      </c>
      <c r="AA52" s="532">
        <f t="shared" si="53"/>
        <v>-5494.1331887337528</v>
      </c>
      <c r="AB52" s="532">
        <f t="shared" si="53"/>
        <v>-5494.1331887337528</v>
      </c>
      <c r="AC52" s="532">
        <f t="shared" si="53"/>
        <v>-5494.1331887337528</v>
      </c>
      <c r="AD52" s="532">
        <f t="shared" si="53"/>
        <v>-5494.1331887337528</v>
      </c>
      <c r="AE52" s="532">
        <f t="shared" si="53"/>
        <v>-5494.1331887337528</v>
      </c>
      <c r="AF52" s="532">
        <f t="shared" si="53"/>
        <v>-5494.1331887337528</v>
      </c>
      <c r="AG52" s="532">
        <f t="shared" si="53"/>
        <v>-5494.1331887337528</v>
      </c>
      <c r="AH52" s="532">
        <f t="shared" si="53"/>
        <v>-5494.1331887337528</v>
      </c>
      <c r="AI52" s="532">
        <f t="shared" si="53"/>
        <v>-5494.1331887337528</v>
      </c>
      <c r="AJ52" s="532">
        <f t="shared" si="53"/>
        <v>-5494.1331887337528</v>
      </c>
      <c r="AK52" s="532">
        <f t="shared" si="53"/>
        <v>-5494.1331887337528</v>
      </c>
      <c r="AL52" s="532">
        <f t="shared" si="53"/>
        <v>-5494.1331887337528</v>
      </c>
      <c r="AM52" s="532">
        <f t="shared" si="53"/>
        <v>-5494.1331887337528</v>
      </c>
      <c r="AN52" s="532">
        <f t="shared" si="53"/>
        <v>-5494.1331887337528</v>
      </c>
      <c r="AO52" s="532">
        <f t="shared" si="53"/>
        <v>-5494.1331887337528</v>
      </c>
      <c r="AP52" s="532">
        <f t="shared" si="53"/>
        <v>-5494.1331887337528</v>
      </c>
      <c r="AQ52" s="532">
        <f t="shared" si="53"/>
        <v>-5494.1331887337528</v>
      </c>
      <c r="AR52" s="532">
        <f t="shared" si="53"/>
        <v>-5494.1331887337528</v>
      </c>
      <c r="AS52" s="532">
        <f t="shared" si="53"/>
        <v>-5494.1331887337528</v>
      </c>
      <c r="AT52" s="532">
        <f t="shared" si="53"/>
        <v>-5494.1331887337528</v>
      </c>
      <c r="AU52" s="532">
        <f t="shared" si="53"/>
        <v>-5494.1331887337528</v>
      </c>
      <c r="AV52" s="532">
        <f t="shared" si="53"/>
        <v>-5494.1331887337528</v>
      </c>
      <c r="AW52" s="532">
        <f t="shared" si="53"/>
        <v>-5494.1331887337528</v>
      </c>
      <c r="AX52" s="532">
        <f t="shared" si="53"/>
        <v>-5494.1331887337528</v>
      </c>
      <c r="AY52" s="532">
        <f t="shared" si="53"/>
        <v>-5494.1331887337528</v>
      </c>
      <c r="AZ52" s="532">
        <f t="shared" si="53"/>
        <v>-5494.1331887337528</v>
      </c>
      <c r="BA52" s="532">
        <f t="shared" si="53"/>
        <v>-5494.1331887337528</v>
      </c>
      <c r="BB52" s="532">
        <f t="shared" si="53"/>
        <v>-5494.1331887337528</v>
      </c>
      <c r="BC52" s="532">
        <f t="shared" si="53"/>
        <v>-5494.1331887337528</v>
      </c>
      <c r="BD52" s="532">
        <f t="shared" si="53"/>
        <v>-5494.1331887337528</v>
      </c>
      <c r="BE52" s="532">
        <f t="shared" si="53"/>
        <v>-5494.1331887337528</v>
      </c>
      <c r="BF52" s="532">
        <f t="shared" si="53"/>
        <v>-5494.1331887337528</v>
      </c>
      <c r="BG52" s="532">
        <f t="shared" si="53"/>
        <v>-5494.1331887337528</v>
      </c>
      <c r="BH52" s="532">
        <f t="shared" si="53"/>
        <v>-5494.1331887337528</v>
      </c>
      <c r="BI52" s="532">
        <f t="shared" si="53"/>
        <v>-5494.1331887337528</v>
      </c>
      <c r="BJ52" s="532">
        <f t="shared" si="53"/>
        <v>-5494.1331887337528</v>
      </c>
      <c r="BK52" s="532">
        <f t="shared" si="53"/>
        <v>-5494.1331887337528</v>
      </c>
      <c r="BL52" s="532">
        <f t="shared" si="53"/>
        <v>-5494.1331887337528</v>
      </c>
      <c r="BM52" s="532">
        <f t="shared" si="53"/>
        <v>-5494.1331887337528</v>
      </c>
      <c r="BN52" s="532">
        <f t="shared" si="53"/>
        <v>-5494.1331887337528</v>
      </c>
      <c r="BO52" s="532">
        <f t="shared" si="53"/>
        <v>-5494.1331887337528</v>
      </c>
      <c r="BP52" s="532">
        <f t="shared" si="53"/>
        <v>-5494.1331887337528</v>
      </c>
      <c r="BQ52" s="532">
        <f t="shared" si="53"/>
        <v>-5494.1331887337528</v>
      </c>
      <c r="BR52" s="532">
        <f t="shared" si="53"/>
        <v>-5494.1331887337528</v>
      </c>
      <c r="BS52" s="532">
        <f t="shared" si="53"/>
        <v>-5494.1331887337528</v>
      </c>
      <c r="BT52" s="532">
        <f t="shared" si="53"/>
        <v>-5494.1331887337528</v>
      </c>
      <c r="BU52" s="532">
        <f t="shared" si="53"/>
        <v>-5494.1331887337528</v>
      </c>
      <c r="BV52" s="532">
        <f t="shared" si="53"/>
        <v>-5494.1331887337528</v>
      </c>
      <c r="BW52" s="532">
        <f t="shared" si="53"/>
        <v>-5494.1331887337528</v>
      </c>
      <c r="BX52" s="532">
        <f t="shared" si="53"/>
        <v>-5494.1331887337528</v>
      </c>
      <c r="BY52" s="532">
        <f t="shared" si="53"/>
        <v>-5494.1331887337528</v>
      </c>
      <c r="CB52" s="8"/>
    </row>
    <row r="53" spans="3:80" x14ac:dyDescent="0.3">
      <c r="C53" s="2"/>
      <c r="D53" s="2"/>
      <c r="E53" s="2"/>
      <c r="F53" s="37"/>
      <c r="G53" s="37"/>
      <c r="H53" s="37"/>
      <c r="I53" s="37"/>
      <c r="J53" s="37"/>
      <c r="K53" s="37"/>
      <c r="L53" s="37"/>
      <c r="M53" s="37"/>
      <c r="N53" s="37"/>
      <c r="O53" s="37"/>
      <c r="P53" s="35"/>
      <c r="R53" s="37"/>
      <c r="S53" s="37"/>
      <c r="T53" s="37"/>
      <c r="U53" s="37"/>
      <c r="V53" s="37"/>
      <c r="W53" s="37"/>
      <c r="X53" s="37"/>
      <c r="Y53" s="37"/>
      <c r="Z53" s="37"/>
      <c r="AA53" s="37"/>
      <c r="AB53" s="37"/>
      <c r="AC53" s="37"/>
      <c r="AD53" s="37"/>
      <c r="AE53" s="37"/>
      <c r="AF53" s="37"/>
      <c r="AG53" s="37"/>
      <c r="AH53" s="37"/>
      <c r="AI53" s="37"/>
      <c r="AJ53" s="37"/>
      <c r="AK53" s="37"/>
      <c r="AL53" s="37"/>
      <c r="AM53" s="37"/>
      <c r="AN53" s="37"/>
      <c r="AO53" s="37"/>
      <c r="AP53" s="37"/>
      <c r="AQ53" s="37"/>
      <c r="AR53" s="37"/>
      <c r="AS53" s="37"/>
      <c r="AT53" s="37"/>
      <c r="AU53" s="37"/>
      <c r="AV53" s="37"/>
      <c r="AW53" s="37"/>
      <c r="AX53" s="37"/>
      <c r="AY53" s="37"/>
      <c r="AZ53" s="37"/>
      <c r="BA53" s="37"/>
      <c r="BB53" s="37"/>
      <c r="BC53" s="37"/>
      <c r="BD53" s="37"/>
      <c r="BE53" s="37"/>
      <c r="BF53" s="37"/>
      <c r="BG53" s="37"/>
      <c r="BH53" s="37"/>
      <c r="BI53" s="37"/>
      <c r="BJ53" s="37"/>
      <c r="BK53" s="37"/>
      <c r="BL53" s="37"/>
      <c r="BM53" s="37"/>
      <c r="BN53" s="37"/>
      <c r="BO53" s="37"/>
      <c r="BP53" s="37"/>
      <c r="BQ53" s="37"/>
      <c r="BR53" s="37"/>
      <c r="BS53" s="37"/>
      <c r="BT53" s="37"/>
      <c r="BU53" s="37"/>
      <c r="BV53" s="37"/>
      <c r="BW53" s="37"/>
      <c r="BX53" s="37"/>
      <c r="BY53" s="37"/>
    </row>
    <row r="54" spans="3:80" x14ac:dyDescent="0.3">
      <c r="C54" s="2"/>
      <c r="D54" s="2"/>
      <c r="E54" s="62" t="s">
        <v>33</v>
      </c>
      <c r="F54" s="63"/>
      <c r="G54" s="63"/>
      <c r="H54" s="63"/>
      <c r="I54" s="501">
        <f>SUM(I39,I45,I52)</f>
        <v>-989907.08709991421</v>
      </c>
      <c r="J54" s="501">
        <f>SUMIF($R$2:$BY$2,J$3,$R54:$BY54)</f>
        <v>-1042903.7180036708</v>
      </c>
      <c r="K54" s="502">
        <f>SUMIF($R$2:$BY$2,K$3,$R54:$BY54)</f>
        <v>-1106271.6583305136</v>
      </c>
      <c r="L54" s="502">
        <f>SUMIF($R$2:$BY$2,L$3,$R54:$BY54)</f>
        <v>-1171255.6712437214</v>
      </c>
      <c r="M54" s="502">
        <f>SUMIF($R$2:$BY$2,M$3,$R54:$BY54)</f>
        <v>-1237626.9680734992</v>
      </c>
      <c r="N54" s="501">
        <f>SUMIF($R$2:$BY$2,N$3,$R54:$BY54)</f>
        <v>-1307262.192002808</v>
      </c>
      <c r="O54" s="57"/>
      <c r="P54" s="55">
        <f>IFERROR(((N54/I54)^(1/5))-1,0)</f>
        <v>5.719147761223331E-2</v>
      </c>
      <c r="R54" s="501">
        <f>SUM(R39,R45,R52)</f>
        <v>-85875.475079647164</v>
      </c>
      <c r="S54" s="535">
        <f t="shared" ref="S54:BY54" si="54">SUM(S39,S45,S52)</f>
        <v>-85875.475079647164</v>
      </c>
      <c r="T54" s="535">
        <f t="shared" si="54"/>
        <v>-85875.475079647164</v>
      </c>
      <c r="U54" s="535">
        <f t="shared" si="54"/>
        <v>-85875.475079647164</v>
      </c>
      <c r="V54" s="535">
        <f t="shared" si="54"/>
        <v>-85875.475079647164</v>
      </c>
      <c r="W54" s="535">
        <f t="shared" si="54"/>
        <v>-85875.475079647164</v>
      </c>
      <c r="X54" s="535">
        <f t="shared" si="54"/>
        <v>-87941.811254298009</v>
      </c>
      <c r="Y54" s="535">
        <f t="shared" si="54"/>
        <v>-87941.811254298009</v>
      </c>
      <c r="Z54" s="535">
        <f t="shared" si="54"/>
        <v>-87941.811254298009</v>
      </c>
      <c r="AA54" s="535">
        <f t="shared" si="54"/>
        <v>-87941.811254298009</v>
      </c>
      <c r="AB54" s="535">
        <f t="shared" si="54"/>
        <v>-87941.811254298009</v>
      </c>
      <c r="AC54" s="535">
        <f t="shared" si="54"/>
        <v>-87941.811254298009</v>
      </c>
      <c r="AD54" s="535">
        <f t="shared" si="54"/>
        <v>-90860.650537617897</v>
      </c>
      <c r="AE54" s="535">
        <f t="shared" si="54"/>
        <v>-90860.650537617897</v>
      </c>
      <c r="AF54" s="535">
        <f t="shared" si="54"/>
        <v>-90860.650537617897</v>
      </c>
      <c r="AG54" s="535">
        <f t="shared" si="54"/>
        <v>-90860.650537617897</v>
      </c>
      <c r="AH54" s="535">
        <f t="shared" si="54"/>
        <v>-90860.650537617897</v>
      </c>
      <c r="AI54" s="535">
        <f t="shared" si="54"/>
        <v>-90860.650537617897</v>
      </c>
      <c r="AJ54" s="535">
        <f t="shared" si="54"/>
        <v>-93517.959184134394</v>
      </c>
      <c r="AK54" s="535">
        <f t="shared" si="54"/>
        <v>-93517.959184134394</v>
      </c>
      <c r="AL54" s="535">
        <f t="shared" si="54"/>
        <v>-93517.959184134394</v>
      </c>
      <c r="AM54" s="535">
        <f t="shared" si="54"/>
        <v>-93517.959184134394</v>
      </c>
      <c r="AN54" s="535">
        <f t="shared" si="54"/>
        <v>-93517.959184134394</v>
      </c>
      <c r="AO54" s="535">
        <f t="shared" si="54"/>
        <v>-93517.959184134394</v>
      </c>
      <c r="AP54" s="535">
        <f t="shared" si="54"/>
        <v>-95960.657670280576</v>
      </c>
      <c r="AQ54" s="535">
        <f t="shared" si="54"/>
        <v>-95960.657670280576</v>
      </c>
      <c r="AR54" s="535">
        <f t="shared" si="54"/>
        <v>-95960.657670280576</v>
      </c>
      <c r="AS54" s="535">
        <f t="shared" si="54"/>
        <v>-95960.657670280576</v>
      </c>
      <c r="AT54" s="535">
        <f t="shared" si="54"/>
        <v>-95960.657670280576</v>
      </c>
      <c r="AU54" s="535">
        <f t="shared" si="54"/>
        <v>-95960.657670280576</v>
      </c>
      <c r="AV54" s="535">
        <f t="shared" si="54"/>
        <v>-99248.620870339641</v>
      </c>
      <c r="AW54" s="535">
        <f t="shared" si="54"/>
        <v>-99248.620870339641</v>
      </c>
      <c r="AX54" s="535">
        <f t="shared" si="54"/>
        <v>-99248.620870339641</v>
      </c>
      <c r="AY54" s="535">
        <f t="shared" si="54"/>
        <v>-99248.620870339641</v>
      </c>
      <c r="AZ54" s="535">
        <f t="shared" si="54"/>
        <v>-99248.620870339641</v>
      </c>
      <c r="BA54" s="535">
        <f t="shared" si="54"/>
        <v>-99248.620870339641</v>
      </c>
      <c r="BB54" s="535">
        <f t="shared" si="54"/>
        <v>-101156.01542067873</v>
      </c>
      <c r="BC54" s="535">
        <f t="shared" si="54"/>
        <v>-101156.01542067873</v>
      </c>
      <c r="BD54" s="535">
        <f t="shared" si="54"/>
        <v>-101156.01542067873</v>
      </c>
      <c r="BE54" s="535">
        <f t="shared" si="54"/>
        <v>-101156.01542067873</v>
      </c>
      <c r="BF54" s="535">
        <f t="shared" si="54"/>
        <v>-101156.01542067873</v>
      </c>
      <c r="BG54" s="535">
        <f t="shared" si="54"/>
        <v>-101156.01542067873</v>
      </c>
      <c r="BH54" s="535">
        <f t="shared" si="54"/>
        <v>-105115.14592490446</v>
      </c>
      <c r="BI54" s="535">
        <f t="shared" si="54"/>
        <v>-105115.14592490446</v>
      </c>
      <c r="BJ54" s="535">
        <f t="shared" si="54"/>
        <v>-105115.14592490446</v>
      </c>
      <c r="BK54" s="535">
        <f t="shared" si="54"/>
        <v>-105115.14592490446</v>
      </c>
      <c r="BL54" s="535">
        <f t="shared" si="54"/>
        <v>-105115.14592490446</v>
      </c>
      <c r="BM54" s="535">
        <f t="shared" si="54"/>
        <v>-105115.14592490446</v>
      </c>
      <c r="BN54" s="535">
        <f t="shared" si="54"/>
        <v>-106602.12307101702</v>
      </c>
      <c r="BO54" s="535">
        <f t="shared" si="54"/>
        <v>-106602.12307101702</v>
      </c>
      <c r="BP54" s="535">
        <f t="shared" si="54"/>
        <v>-106602.12307101702</v>
      </c>
      <c r="BQ54" s="535">
        <f t="shared" si="54"/>
        <v>-106602.12307101702</v>
      </c>
      <c r="BR54" s="535">
        <f t="shared" si="54"/>
        <v>-106602.12307101702</v>
      </c>
      <c r="BS54" s="535">
        <f t="shared" si="54"/>
        <v>-106602.12307101702</v>
      </c>
      <c r="BT54" s="535">
        <f t="shared" si="54"/>
        <v>-111274.90892945099</v>
      </c>
      <c r="BU54" s="535">
        <f t="shared" si="54"/>
        <v>-111274.90892945099</v>
      </c>
      <c r="BV54" s="535">
        <f t="shared" si="54"/>
        <v>-111274.90892945099</v>
      </c>
      <c r="BW54" s="535">
        <f t="shared" si="54"/>
        <v>-111274.90892945099</v>
      </c>
      <c r="BX54" s="535">
        <f t="shared" si="54"/>
        <v>-111274.90892945099</v>
      </c>
      <c r="BY54" s="535">
        <f t="shared" si="54"/>
        <v>-111274.90892945099</v>
      </c>
      <c r="CB54" s="8"/>
    </row>
    <row r="55" spans="3:80" x14ac:dyDescent="0.3">
      <c r="C55" s="2"/>
      <c r="D55" s="2"/>
      <c r="E55" s="2"/>
      <c r="F55" s="37"/>
      <c r="G55" s="37"/>
      <c r="H55" s="37"/>
      <c r="I55" s="37"/>
      <c r="J55" s="37"/>
      <c r="K55" s="37"/>
      <c r="L55" s="37"/>
      <c r="M55" s="37"/>
      <c r="N55" s="37"/>
      <c r="O55" s="37"/>
      <c r="P55" s="35"/>
      <c r="R55" s="37"/>
      <c r="S55" s="37"/>
      <c r="T55" s="37"/>
      <c r="U55" s="37"/>
      <c r="V55" s="37"/>
      <c r="W55" s="37"/>
      <c r="X55" s="37"/>
      <c r="Y55" s="37"/>
      <c r="Z55" s="37"/>
      <c r="AA55" s="37"/>
      <c r="AB55" s="37"/>
      <c r="AC55" s="37"/>
      <c r="AD55" s="37"/>
      <c r="AE55" s="37"/>
      <c r="AF55" s="37"/>
      <c r="AG55" s="37"/>
      <c r="AH55" s="37"/>
      <c r="AI55" s="37"/>
      <c r="AJ55" s="37"/>
      <c r="AK55" s="37"/>
      <c r="AL55" s="37"/>
      <c r="AM55" s="37"/>
      <c r="AN55" s="37"/>
      <c r="AO55" s="37"/>
      <c r="AP55" s="37"/>
      <c r="AQ55" s="37"/>
      <c r="AR55" s="37"/>
      <c r="AS55" s="37"/>
      <c r="AT55" s="37"/>
      <c r="AU55" s="37"/>
      <c r="AV55" s="37"/>
      <c r="AW55" s="37"/>
      <c r="AX55" s="37"/>
      <c r="AY55" s="37"/>
      <c r="AZ55" s="37"/>
      <c r="BA55" s="37"/>
      <c r="BB55" s="37"/>
      <c r="BC55" s="37"/>
      <c r="BD55" s="37"/>
      <c r="BE55" s="37"/>
      <c r="BF55" s="37"/>
      <c r="BG55" s="37"/>
      <c r="BH55" s="37"/>
      <c r="BI55" s="37"/>
      <c r="BJ55" s="37"/>
      <c r="BK55" s="37"/>
      <c r="BL55" s="37"/>
      <c r="BM55" s="37"/>
      <c r="BN55" s="37"/>
      <c r="BO55" s="37"/>
      <c r="BP55" s="37"/>
      <c r="BQ55" s="37"/>
      <c r="BR55" s="37"/>
      <c r="BS55" s="37"/>
      <c r="BT55" s="37"/>
      <c r="BU55" s="37"/>
      <c r="BV55" s="37"/>
      <c r="BW55" s="37"/>
      <c r="BX55" s="37"/>
      <c r="BY55" s="37"/>
    </row>
    <row r="56" spans="3:80" x14ac:dyDescent="0.3">
      <c r="C56" s="2"/>
      <c r="D56" s="2"/>
      <c r="E56" s="17" t="s">
        <v>51</v>
      </c>
      <c r="F56" s="37"/>
      <c r="G56" s="37"/>
      <c r="H56" s="37"/>
      <c r="I56" s="37"/>
      <c r="J56" s="37"/>
      <c r="K56" s="37"/>
      <c r="L56" s="37"/>
      <c r="M56" s="37"/>
      <c r="N56" s="37"/>
      <c r="O56" s="37"/>
      <c r="P56" s="35"/>
      <c r="R56" s="37"/>
      <c r="S56" s="37"/>
      <c r="T56" s="37"/>
      <c r="U56" s="37"/>
      <c r="V56" s="37"/>
      <c r="W56" s="37"/>
      <c r="X56" s="37"/>
      <c r="Y56" s="37"/>
      <c r="Z56" s="37"/>
      <c r="AA56" s="37"/>
      <c r="AB56" s="37"/>
      <c r="AC56" s="37"/>
      <c r="AD56" s="37"/>
      <c r="AE56" s="37"/>
      <c r="AF56" s="37"/>
      <c r="AG56" s="37"/>
      <c r="AH56" s="37"/>
      <c r="AI56" s="37"/>
      <c r="AJ56" s="37"/>
      <c r="AK56" s="37"/>
      <c r="AL56" s="37"/>
      <c r="AM56" s="37"/>
      <c r="AN56" s="37"/>
      <c r="AO56" s="37"/>
      <c r="AP56" s="37"/>
      <c r="AQ56" s="37"/>
      <c r="AR56" s="37"/>
      <c r="AS56" s="37"/>
      <c r="AT56" s="37"/>
      <c r="AU56" s="37"/>
      <c r="AV56" s="37"/>
      <c r="AW56" s="37"/>
      <c r="AX56" s="37"/>
      <c r="AY56" s="37"/>
      <c r="AZ56" s="37"/>
      <c r="BA56" s="37"/>
      <c r="BB56" s="37"/>
      <c r="BC56" s="37"/>
      <c r="BD56" s="37"/>
      <c r="BE56" s="37"/>
      <c r="BF56" s="37"/>
      <c r="BG56" s="37"/>
      <c r="BH56" s="37"/>
      <c r="BI56" s="37"/>
      <c r="BJ56" s="37"/>
      <c r="BK56" s="37"/>
      <c r="BL56" s="37"/>
      <c r="BM56" s="37"/>
      <c r="BN56" s="37"/>
      <c r="BO56" s="37"/>
      <c r="BP56" s="37"/>
      <c r="BQ56" s="37"/>
      <c r="BR56" s="37"/>
      <c r="BS56" s="37"/>
      <c r="BT56" s="37"/>
      <c r="BU56" s="37"/>
      <c r="BV56" s="37"/>
      <c r="BW56" s="37"/>
      <c r="BX56" s="37"/>
      <c r="BY56" s="37"/>
    </row>
    <row r="57" spans="3:80" x14ac:dyDescent="0.3">
      <c r="C57" s="2"/>
      <c r="D57" s="2"/>
      <c r="E57" s="2" t="s">
        <v>19</v>
      </c>
      <c r="F57" s="54"/>
      <c r="G57" s="54"/>
      <c r="H57" s="54"/>
      <c r="I57" s="497">
        <f>I$13*I122*-1</f>
        <v>19356.010047644784</v>
      </c>
      <c r="J57" s="497">
        <f t="shared" ref="J57:N58" si="55">SUMIF($R$2:$BY$2,J$3,$R57:$BY57)</f>
        <v>19743.130248597678</v>
      </c>
      <c r="K57" s="497">
        <f t="shared" si="55"/>
        <v>20137.992853569634</v>
      </c>
      <c r="L57" s="497">
        <f t="shared" si="55"/>
        <v>20540.752710641016</v>
      </c>
      <c r="M57" s="497">
        <f t="shared" si="55"/>
        <v>20951.567764853848</v>
      </c>
      <c r="N57" s="497">
        <f t="shared" si="55"/>
        <v>21370.599120150924</v>
      </c>
      <c r="O57" s="37"/>
      <c r="P57" s="50">
        <f>IFERROR(((N57/I57)^(1/5))-1,0)</f>
        <v>2.0000000000000018E-2</v>
      </c>
      <c r="R57" s="497">
        <f t="shared" ref="R57:AW57" si="56">R$13*R122*-1</f>
        <v>1645.2608540498065</v>
      </c>
      <c r="S57" s="527">
        <f t="shared" si="56"/>
        <v>1645.2608540498065</v>
      </c>
      <c r="T57" s="527">
        <f t="shared" si="56"/>
        <v>1645.2608540498065</v>
      </c>
      <c r="U57" s="527">
        <f t="shared" si="56"/>
        <v>1645.2608540498065</v>
      </c>
      <c r="V57" s="527">
        <f t="shared" si="56"/>
        <v>1645.2608540498065</v>
      </c>
      <c r="W57" s="527">
        <f t="shared" si="56"/>
        <v>1645.2608540498065</v>
      </c>
      <c r="X57" s="527">
        <f t="shared" si="56"/>
        <v>1645.2608540498065</v>
      </c>
      <c r="Y57" s="527">
        <f t="shared" si="56"/>
        <v>1645.2608540498065</v>
      </c>
      <c r="Z57" s="527">
        <f t="shared" si="56"/>
        <v>1645.2608540498065</v>
      </c>
      <c r="AA57" s="527">
        <f t="shared" si="56"/>
        <v>1645.2608540498065</v>
      </c>
      <c r="AB57" s="527">
        <f t="shared" si="56"/>
        <v>1645.2608540498065</v>
      </c>
      <c r="AC57" s="527">
        <f t="shared" si="56"/>
        <v>1645.2608540498065</v>
      </c>
      <c r="AD57" s="527">
        <f t="shared" si="56"/>
        <v>1678.1660711308029</v>
      </c>
      <c r="AE57" s="527">
        <f t="shared" si="56"/>
        <v>1678.1660711308029</v>
      </c>
      <c r="AF57" s="527">
        <f t="shared" si="56"/>
        <v>1678.1660711308029</v>
      </c>
      <c r="AG57" s="527">
        <f t="shared" si="56"/>
        <v>1678.1660711308029</v>
      </c>
      <c r="AH57" s="527">
        <f t="shared" si="56"/>
        <v>1678.1660711308029</v>
      </c>
      <c r="AI57" s="527">
        <f t="shared" si="56"/>
        <v>1678.1660711308029</v>
      </c>
      <c r="AJ57" s="527">
        <f t="shared" si="56"/>
        <v>1678.1660711308029</v>
      </c>
      <c r="AK57" s="527">
        <f t="shared" si="56"/>
        <v>1678.1660711308029</v>
      </c>
      <c r="AL57" s="527">
        <f t="shared" si="56"/>
        <v>1678.1660711308029</v>
      </c>
      <c r="AM57" s="527">
        <f t="shared" si="56"/>
        <v>1678.1660711308029</v>
      </c>
      <c r="AN57" s="527">
        <f t="shared" si="56"/>
        <v>1678.1660711308029</v>
      </c>
      <c r="AO57" s="527">
        <f t="shared" si="56"/>
        <v>1678.1660711308029</v>
      </c>
      <c r="AP57" s="527">
        <f t="shared" si="56"/>
        <v>1711.7293925534186</v>
      </c>
      <c r="AQ57" s="527">
        <f t="shared" si="56"/>
        <v>1711.7293925534186</v>
      </c>
      <c r="AR57" s="527">
        <f t="shared" si="56"/>
        <v>1711.7293925534186</v>
      </c>
      <c r="AS57" s="527">
        <f t="shared" si="56"/>
        <v>1711.7293925534186</v>
      </c>
      <c r="AT57" s="527">
        <f t="shared" si="56"/>
        <v>1711.7293925534186</v>
      </c>
      <c r="AU57" s="527">
        <f t="shared" si="56"/>
        <v>1711.7293925534186</v>
      </c>
      <c r="AV57" s="527">
        <f t="shared" si="56"/>
        <v>1711.7293925534186</v>
      </c>
      <c r="AW57" s="527">
        <f t="shared" si="56"/>
        <v>1711.7293925534186</v>
      </c>
      <c r="AX57" s="527">
        <f t="shared" ref="AX57:BY57" si="57">AX$13*AX122*-1</f>
        <v>1711.7293925534186</v>
      </c>
      <c r="AY57" s="527">
        <f t="shared" si="57"/>
        <v>1711.7293925534186</v>
      </c>
      <c r="AZ57" s="527">
        <f t="shared" si="57"/>
        <v>1711.7293925534186</v>
      </c>
      <c r="BA57" s="527">
        <f t="shared" si="57"/>
        <v>1711.7293925534186</v>
      </c>
      <c r="BB57" s="527">
        <f t="shared" si="57"/>
        <v>1745.9639804044873</v>
      </c>
      <c r="BC57" s="527">
        <f t="shared" si="57"/>
        <v>1745.9639804044873</v>
      </c>
      <c r="BD57" s="527">
        <f t="shared" si="57"/>
        <v>1745.9639804044873</v>
      </c>
      <c r="BE57" s="527">
        <f t="shared" si="57"/>
        <v>1745.9639804044873</v>
      </c>
      <c r="BF57" s="527">
        <f t="shared" si="57"/>
        <v>1745.9639804044873</v>
      </c>
      <c r="BG57" s="527">
        <f t="shared" si="57"/>
        <v>1745.9639804044873</v>
      </c>
      <c r="BH57" s="527">
        <f t="shared" si="57"/>
        <v>1745.9639804044873</v>
      </c>
      <c r="BI57" s="527">
        <f t="shared" si="57"/>
        <v>1745.9639804044873</v>
      </c>
      <c r="BJ57" s="527">
        <f t="shared" si="57"/>
        <v>1745.9639804044873</v>
      </c>
      <c r="BK57" s="527">
        <f t="shared" si="57"/>
        <v>1745.9639804044873</v>
      </c>
      <c r="BL57" s="527">
        <f t="shared" si="57"/>
        <v>1745.9639804044873</v>
      </c>
      <c r="BM57" s="527">
        <f t="shared" si="57"/>
        <v>1745.9639804044873</v>
      </c>
      <c r="BN57" s="527">
        <f t="shared" si="57"/>
        <v>1780.883260012577</v>
      </c>
      <c r="BO57" s="527">
        <f t="shared" si="57"/>
        <v>1780.883260012577</v>
      </c>
      <c r="BP57" s="527">
        <f t="shared" si="57"/>
        <v>1780.883260012577</v>
      </c>
      <c r="BQ57" s="527">
        <f t="shared" si="57"/>
        <v>1780.883260012577</v>
      </c>
      <c r="BR57" s="527">
        <f t="shared" si="57"/>
        <v>1780.883260012577</v>
      </c>
      <c r="BS57" s="527">
        <f t="shared" si="57"/>
        <v>1780.883260012577</v>
      </c>
      <c r="BT57" s="527">
        <f t="shared" si="57"/>
        <v>1780.883260012577</v>
      </c>
      <c r="BU57" s="527">
        <f t="shared" si="57"/>
        <v>1780.883260012577</v>
      </c>
      <c r="BV57" s="527">
        <f t="shared" si="57"/>
        <v>1780.883260012577</v>
      </c>
      <c r="BW57" s="527">
        <f t="shared" si="57"/>
        <v>1780.883260012577</v>
      </c>
      <c r="BX57" s="527">
        <f t="shared" si="57"/>
        <v>1780.883260012577</v>
      </c>
      <c r="BY57" s="527">
        <f t="shared" si="57"/>
        <v>1780.883260012577</v>
      </c>
      <c r="CB57" s="8"/>
    </row>
    <row r="58" spans="3:80" x14ac:dyDescent="0.3">
      <c r="C58" s="2"/>
      <c r="D58" s="2"/>
      <c r="E58" s="2" t="s">
        <v>20</v>
      </c>
      <c r="F58" s="54"/>
      <c r="G58" s="54"/>
      <c r="H58" s="54"/>
      <c r="I58" s="497">
        <f>I$13*I123*-1</f>
        <v>2935.5724706780279</v>
      </c>
      <c r="J58" s="497">
        <f t="shared" si="55"/>
        <v>2994.2839200915882</v>
      </c>
      <c r="K58" s="497">
        <f t="shared" si="55"/>
        <v>3054.1695984934208</v>
      </c>
      <c r="L58" s="497">
        <f t="shared" si="55"/>
        <v>3115.2529904632884</v>
      </c>
      <c r="M58" s="497">
        <f t="shared" si="55"/>
        <v>3177.5580502725538</v>
      </c>
      <c r="N58" s="497">
        <f t="shared" si="55"/>
        <v>3241.1092112780075</v>
      </c>
      <c r="O58" s="37"/>
      <c r="P58" s="50">
        <f>IFERROR(((N58/I58)^(1/5))-1,0)</f>
        <v>2.0000000000000018E-2</v>
      </c>
      <c r="R58" s="497">
        <f t="shared" ref="R58:AW58" si="58">R$13*R123*-1</f>
        <v>249.52366000763243</v>
      </c>
      <c r="S58" s="527">
        <f t="shared" si="58"/>
        <v>249.52366000763243</v>
      </c>
      <c r="T58" s="527">
        <f t="shared" si="58"/>
        <v>249.52366000763243</v>
      </c>
      <c r="U58" s="527">
        <f t="shared" si="58"/>
        <v>249.52366000763243</v>
      </c>
      <c r="V58" s="527">
        <f t="shared" si="58"/>
        <v>249.52366000763243</v>
      </c>
      <c r="W58" s="527">
        <f t="shared" si="58"/>
        <v>249.52366000763243</v>
      </c>
      <c r="X58" s="527">
        <f t="shared" si="58"/>
        <v>249.52366000763243</v>
      </c>
      <c r="Y58" s="527">
        <f t="shared" si="58"/>
        <v>249.52366000763243</v>
      </c>
      <c r="Z58" s="527">
        <f t="shared" si="58"/>
        <v>249.52366000763243</v>
      </c>
      <c r="AA58" s="527">
        <f t="shared" si="58"/>
        <v>249.52366000763243</v>
      </c>
      <c r="AB58" s="527">
        <f t="shared" si="58"/>
        <v>249.52366000763243</v>
      </c>
      <c r="AC58" s="527">
        <f t="shared" si="58"/>
        <v>249.52366000763243</v>
      </c>
      <c r="AD58" s="527">
        <f t="shared" si="58"/>
        <v>254.51413320778502</v>
      </c>
      <c r="AE58" s="527">
        <f t="shared" si="58"/>
        <v>254.51413320778502</v>
      </c>
      <c r="AF58" s="527">
        <f t="shared" si="58"/>
        <v>254.51413320778502</v>
      </c>
      <c r="AG58" s="527">
        <f t="shared" si="58"/>
        <v>254.51413320778502</v>
      </c>
      <c r="AH58" s="527">
        <f t="shared" si="58"/>
        <v>254.51413320778502</v>
      </c>
      <c r="AI58" s="527">
        <f t="shared" si="58"/>
        <v>254.51413320778502</v>
      </c>
      <c r="AJ58" s="527">
        <f t="shared" si="58"/>
        <v>254.51413320778502</v>
      </c>
      <c r="AK58" s="527">
        <f t="shared" si="58"/>
        <v>254.51413320778502</v>
      </c>
      <c r="AL58" s="527">
        <f t="shared" si="58"/>
        <v>254.51413320778502</v>
      </c>
      <c r="AM58" s="527">
        <f t="shared" si="58"/>
        <v>254.51413320778502</v>
      </c>
      <c r="AN58" s="527">
        <f t="shared" si="58"/>
        <v>254.51413320778502</v>
      </c>
      <c r="AO58" s="527">
        <f t="shared" si="58"/>
        <v>254.51413320778502</v>
      </c>
      <c r="AP58" s="527">
        <f t="shared" si="58"/>
        <v>259.60441587194077</v>
      </c>
      <c r="AQ58" s="527">
        <f t="shared" si="58"/>
        <v>259.60441587194077</v>
      </c>
      <c r="AR58" s="527">
        <f t="shared" si="58"/>
        <v>259.60441587194077</v>
      </c>
      <c r="AS58" s="527">
        <f t="shared" si="58"/>
        <v>259.60441587194077</v>
      </c>
      <c r="AT58" s="527">
        <f t="shared" si="58"/>
        <v>259.60441587194077</v>
      </c>
      <c r="AU58" s="527">
        <f t="shared" si="58"/>
        <v>259.60441587194077</v>
      </c>
      <c r="AV58" s="527">
        <f t="shared" si="58"/>
        <v>259.60441587194077</v>
      </c>
      <c r="AW58" s="527">
        <f t="shared" si="58"/>
        <v>259.60441587194077</v>
      </c>
      <c r="AX58" s="527">
        <f t="shared" ref="AX58:BY58" si="59">AX$13*AX123*-1</f>
        <v>259.60441587194077</v>
      </c>
      <c r="AY58" s="527">
        <f t="shared" si="59"/>
        <v>259.60441587194077</v>
      </c>
      <c r="AZ58" s="527">
        <f t="shared" si="59"/>
        <v>259.60441587194077</v>
      </c>
      <c r="BA58" s="527">
        <f t="shared" si="59"/>
        <v>259.60441587194077</v>
      </c>
      <c r="BB58" s="527">
        <f t="shared" si="59"/>
        <v>264.79650418937956</v>
      </c>
      <c r="BC58" s="527">
        <f t="shared" si="59"/>
        <v>264.79650418937956</v>
      </c>
      <c r="BD58" s="527">
        <f t="shared" si="59"/>
        <v>264.79650418937956</v>
      </c>
      <c r="BE58" s="527">
        <f t="shared" si="59"/>
        <v>264.79650418937956</v>
      </c>
      <c r="BF58" s="527">
        <f t="shared" si="59"/>
        <v>264.79650418937956</v>
      </c>
      <c r="BG58" s="527">
        <f t="shared" si="59"/>
        <v>264.79650418937956</v>
      </c>
      <c r="BH58" s="527">
        <f t="shared" si="59"/>
        <v>264.79650418937956</v>
      </c>
      <c r="BI58" s="527">
        <f t="shared" si="59"/>
        <v>264.79650418937956</v>
      </c>
      <c r="BJ58" s="527">
        <f t="shared" si="59"/>
        <v>264.79650418937956</v>
      </c>
      <c r="BK58" s="527">
        <f t="shared" si="59"/>
        <v>264.79650418937956</v>
      </c>
      <c r="BL58" s="527">
        <f t="shared" si="59"/>
        <v>264.79650418937956</v>
      </c>
      <c r="BM58" s="527">
        <f t="shared" si="59"/>
        <v>264.79650418937956</v>
      </c>
      <c r="BN58" s="527">
        <f t="shared" si="59"/>
        <v>270.09243427316721</v>
      </c>
      <c r="BO58" s="527">
        <f t="shared" si="59"/>
        <v>270.09243427316721</v>
      </c>
      <c r="BP58" s="527">
        <f t="shared" si="59"/>
        <v>270.09243427316721</v>
      </c>
      <c r="BQ58" s="527">
        <f t="shared" si="59"/>
        <v>270.09243427316721</v>
      </c>
      <c r="BR58" s="527">
        <f t="shared" si="59"/>
        <v>270.09243427316721</v>
      </c>
      <c r="BS58" s="527">
        <f t="shared" si="59"/>
        <v>270.09243427316721</v>
      </c>
      <c r="BT58" s="527">
        <f t="shared" si="59"/>
        <v>270.09243427316721</v>
      </c>
      <c r="BU58" s="527">
        <f t="shared" si="59"/>
        <v>270.09243427316721</v>
      </c>
      <c r="BV58" s="527">
        <f t="shared" si="59"/>
        <v>270.09243427316721</v>
      </c>
      <c r="BW58" s="527">
        <f t="shared" si="59"/>
        <v>270.09243427316721</v>
      </c>
      <c r="BX58" s="527">
        <f t="shared" si="59"/>
        <v>270.09243427316721</v>
      </c>
      <c r="BY58" s="527">
        <f t="shared" si="59"/>
        <v>270.09243427316721</v>
      </c>
      <c r="CB58" s="8"/>
    </row>
    <row r="59" spans="3:80" x14ac:dyDescent="0.3">
      <c r="C59" s="2"/>
      <c r="D59" s="2"/>
      <c r="E59" s="4" t="s">
        <v>35</v>
      </c>
      <c r="F59" s="5"/>
      <c r="G59" s="5"/>
      <c r="H59" s="5"/>
      <c r="I59" s="500">
        <f t="shared" ref="I59:N59" si="60">SUM(I57:I58)</f>
        <v>22291.582518322812</v>
      </c>
      <c r="J59" s="500">
        <f t="shared" si="60"/>
        <v>22737.414168689265</v>
      </c>
      <c r="K59" s="500">
        <f t="shared" si="60"/>
        <v>23192.162452063054</v>
      </c>
      <c r="L59" s="500">
        <f t="shared" si="60"/>
        <v>23656.005701104303</v>
      </c>
      <c r="M59" s="500">
        <f t="shared" si="60"/>
        <v>24129.125815126401</v>
      </c>
      <c r="N59" s="500">
        <f t="shared" si="60"/>
        <v>24611.70833142893</v>
      </c>
      <c r="O59" s="57"/>
      <c r="P59" s="55">
        <f>IFERROR(((N59/I59)^(1/5))-1,0)</f>
        <v>2.0000000000000018E-2</v>
      </c>
      <c r="R59" s="500">
        <f>SUM(R57:R58)</f>
        <v>1894.7845140574391</v>
      </c>
      <c r="S59" s="532">
        <f t="shared" ref="S59:BY59" si="61">SUM(S57:S58)</f>
        <v>1894.7845140574391</v>
      </c>
      <c r="T59" s="532">
        <f t="shared" si="61"/>
        <v>1894.7845140574391</v>
      </c>
      <c r="U59" s="532">
        <f t="shared" si="61"/>
        <v>1894.7845140574391</v>
      </c>
      <c r="V59" s="532">
        <f t="shared" si="61"/>
        <v>1894.7845140574391</v>
      </c>
      <c r="W59" s="532">
        <f t="shared" si="61"/>
        <v>1894.7845140574391</v>
      </c>
      <c r="X59" s="532">
        <f t="shared" si="61"/>
        <v>1894.7845140574391</v>
      </c>
      <c r="Y59" s="532">
        <f t="shared" si="61"/>
        <v>1894.7845140574391</v>
      </c>
      <c r="Z59" s="532">
        <f t="shared" si="61"/>
        <v>1894.7845140574391</v>
      </c>
      <c r="AA59" s="532">
        <f t="shared" si="61"/>
        <v>1894.7845140574391</v>
      </c>
      <c r="AB59" s="532">
        <f t="shared" si="61"/>
        <v>1894.7845140574391</v>
      </c>
      <c r="AC59" s="532">
        <f t="shared" si="61"/>
        <v>1894.7845140574391</v>
      </c>
      <c r="AD59" s="532">
        <f t="shared" si="61"/>
        <v>1932.6802043385881</v>
      </c>
      <c r="AE59" s="532">
        <f t="shared" si="61"/>
        <v>1932.6802043385881</v>
      </c>
      <c r="AF59" s="532">
        <f t="shared" si="61"/>
        <v>1932.6802043385881</v>
      </c>
      <c r="AG59" s="532">
        <f t="shared" si="61"/>
        <v>1932.6802043385881</v>
      </c>
      <c r="AH59" s="532">
        <f t="shared" si="61"/>
        <v>1932.6802043385881</v>
      </c>
      <c r="AI59" s="532">
        <f t="shared" si="61"/>
        <v>1932.6802043385881</v>
      </c>
      <c r="AJ59" s="532">
        <f t="shared" si="61"/>
        <v>1932.6802043385881</v>
      </c>
      <c r="AK59" s="532">
        <f t="shared" si="61"/>
        <v>1932.6802043385881</v>
      </c>
      <c r="AL59" s="532">
        <f t="shared" si="61"/>
        <v>1932.6802043385881</v>
      </c>
      <c r="AM59" s="532">
        <f t="shared" si="61"/>
        <v>1932.6802043385881</v>
      </c>
      <c r="AN59" s="532">
        <f t="shared" si="61"/>
        <v>1932.6802043385881</v>
      </c>
      <c r="AO59" s="532">
        <f t="shared" si="61"/>
        <v>1932.6802043385881</v>
      </c>
      <c r="AP59" s="532">
        <f t="shared" si="61"/>
        <v>1971.3338084253594</v>
      </c>
      <c r="AQ59" s="532">
        <f t="shared" si="61"/>
        <v>1971.3338084253594</v>
      </c>
      <c r="AR59" s="532">
        <f t="shared" si="61"/>
        <v>1971.3338084253594</v>
      </c>
      <c r="AS59" s="532">
        <f t="shared" si="61"/>
        <v>1971.3338084253594</v>
      </c>
      <c r="AT59" s="532">
        <f t="shared" si="61"/>
        <v>1971.3338084253594</v>
      </c>
      <c r="AU59" s="532">
        <f t="shared" si="61"/>
        <v>1971.3338084253594</v>
      </c>
      <c r="AV59" s="532">
        <f t="shared" si="61"/>
        <v>1971.3338084253594</v>
      </c>
      <c r="AW59" s="532">
        <f t="shared" si="61"/>
        <v>1971.3338084253594</v>
      </c>
      <c r="AX59" s="532">
        <f t="shared" si="61"/>
        <v>1971.3338084253594</v>
      </c>
      <c r="AY59" s="532">
        <f t="shared" si="61"/>
        <v>1971.3338084253594</v>
      </c>
      <c r="AZ59" s="532">
        <f t="shared" si="61"/>
        <v>1971.3338084253594</v>
      </c>
      <c r="BA59" s="532">
        <f t="shared" si="61"/>
        <v>1971.3338084253594</v>
      </c>
      <c r="BB59" s="532">
        <f t="shared" si="61"/>
        <v>2010.7604845938667</v>
      </c>
      <c r="BC59" s="532">
        <f t="shared" si="61"/>
        <v>2010.7604845938667</v>
      </c>
      <c r="BD59" s="532">
        <f t="shared" si="61"/>
        <v>2010.7604845938667</v>
      </c>
      <c r="BE59" s="532">
        <f t="shared" si="61"/>
        <v>2010.7604845938667</v>
      </c>
      <c r="BF59" s="532">
        <f t="shared" si="61"/>
        <v>2010.7604845938667</v>
      </c>
      <c r="BG59" s="532">
        <f t="shared" si="61"/>
        <v>2010.7604845938667</v>
      </c>
      <c r="BH59" s="532">
        <f t="shared" si="61"/>
        <v>2010.7604845938667</v>
      </c>
      <c r="BI59" s="532">
        <f t="shared" si="61"/>
        <v>2010.7604845938667</v>
      </c>
      <c r="BJ59" s="532">
        <f t="shared" si="61"/>
        <v>2010.7604845938667</v>
      </c>
      <c r="BK59" s="532">
        <f t="shared" si="61"/>
        <v>2010.7604845938667</v>
      </c>
      <c r="BL59" s="532">
        <f t="shared" si="61"/>
        <v>2010.7604845938667</v>
      </c>
      <c r="BM59" s="532">
        <f t="shared" si="61"/>
        <v>2010.7604845938667</v>
      </c>
      <c r="BN59" s="532">
        <f t="shared" si="61"/>
        <v>2050.9756942857443</v>
      </c>
      <c r="BO59" s="532">
        <f t="shared" si="61"/>
        <v>2050.9756942857443</v>
      </c>
      <c r="BP59" s="532">
        <f t="shared" si="61"/>
        <v>2050.9756942857443</v>
      </c>
      <c r="BQ59" s="532">
        <f t="shared" si="61"/>
        <v>2050.9756942857443</v>
      </c>
      <c r="BR59" s="532">
        <f t="shared" si="61"/>
        <v>2050.9756942857443</v>
      </c>
      <c r="BS59" s="532">
        <f t="shared" si="61"/>
        <v>2050.9756942857443</v>
      </c>
      <c r="BT59" s="532">
        <f t="shared" si="61"/>
        <v>2050.9756942857443</v>
      </c>
      <c r="BU59" s="532">
        <f t="shared" si="61"/>
        <v>2050.9756942857443</v>
      </c>
      <c r="BV59" s="532">
        <f t="shared" si="61"/>
        <v>2050.9756942857443</v>
      </c>
      <c r="BW59" s="532">
        <f t="shared" si="61"/>
        <v>2050.9756942857443</v>
      </c>
      <c r="BX59" s="532">
        <f t="shared" si="61"/>
        <v>2050.9756942857443</v>
      </c>
      <c r="BY59" s="532">
        <f t="shared" si="61"/>
        <v>2050.9756942857443</v>
      </c>
      <c r="CB59" s="8"/>
    </row>
    <row r="60" spans="3:80" x14ac:dyDescent="0.3">
      <c r="C60" s="2"/>
      <c r="D60" s="2"/>
      <c r="E60" s="2"/>
      <c r="F60" s="37"/>
      <c r="G60" s="37"/>
      <c r="H60" s="37"/>
      <c r="I60" s="37"/>
      <c r="J60" s="37"/>
      <c r="K60" s="37"/>
      <c r="L60" s="37"/>
      <c r="M60" s="37"/>
      <c r="N60" s="37"/>
      <c r="O60" s="37"/>
      <c r="P60" s="35"/>
      <c r="R60" s="37"/>
      <c r="S60" s="37"/>
      <c r="T60" s="37"/>
      <c r="U60" s="37"/>
      <c r="V60" s="37"/>
      <c r="W60" s="37"/>
      <c r="X60" s="37"/>
      <c r="Y60" s="37"/>
      <c r="Z60" s="37"/>
      <c r="AA60" s="37"/>
      <c r="AB60" s="37"/>
      <c r="AC60" s="37"/>
      <c r="AD60" s="37"/>
      <c r="AE60" s="37"/>
      <c r="AF60" s="37"/>
      <c r="AG60" s="37"/>
      <c r="AH60" s="37"/>
      <c r="AI60" s="37"/>
      <c r="AJ60" s="37"/>
      <c r="AK60" s="37"/>
      <c r="AL60" s="37"/>
      <c r="AM60" s="37"/>
      <c r="AN60" s="37"/>
      <c r="AO60" s="37"/>
      <c r="AP60" s="37"/>
      <c r="AQ60" s="37"/>
      <c r="AR60" s="37"/>
      <c r="AS60" s="37"/>
      <c r="AT60" s="37"/>
      <c r="AU60" s="37"/>
      <c r="AV60" s="37"/>
      <c r="AW60" s="37"/>
      <c r="AX60" s="37"/>
      <c r="AY60" s="37"/>
      <c r="AZ60" s="37"/>
      <c r="BA60" s="37"/>
      <c r="BB60" s="37"/>
      <c r="BC60" s="37"/>
      <c r="BD60" s="37"/>
      <c r="BE60" s="37"/>
      <c r="BF60" s="37"/>
      <c r="BG60" s="37"/>
      <c r="BH60" s="37"/>
      <c r="BI60" s="37"/>
      <c r="BJ60" s="37"/>
      <c r="BK60" s="37"/>
      <c r="BL60" s="37"/>
      <c r="BM60" s="37"/>
      <c r="BN60" s="37"/>
      <c r="BO60" s="37"/>
      <c r="BP60" s="37"/>
      <c r="BQ60" s="37"/>
      <c r="BR60" s="37"/>
      <c r="BS60" s="37"/>
      <c r="BT60" s="37"/>
      <c r="BU60" s="37"/>
      <c r="BV60" s="37"/>
      <c r="BW60" s="37"/>
      <c r="BX60" s="37"/>
      <c r="BY60" s="37"/>
    </row>
    <row r="61" spans="3:80" x14ac:dyDescent="0.3">
      <c r="C61" s="2"/>
      <c r="D61" s="2"/>
      <c r="E61" s="62" t="s">
        <v>21</v>
      </c>
      <c r="F61" s="63"/>
      <c r="G61" s="63"/>
      <c r="H61" s="63"/>
      <c r="I61" s="501">
        <f>SUM(I54,I59)</f>
        <v>-967615.50458159135</v>
      </c>
      <c r="J61" s="502">
        <f>SUMIF($R$2:$BY$2,J$3,$R61:$BY61)</f>
        <v>-1020166.303834982</v>
      </c>
      <c r="K61" s="502">
        <f>SUMIF($R$2:$BY$2,K$3,$R61:$BY61)</f>
        <v>-1083079.4958784506</v>
      </c>
      <c r="L61" s="502">
        <f>SUMIF($R$2:$BY$2,L$3,$R61:$BY61)</f>
        <v>-1147599.6655426172</v>
      </c>
      <c r="M61" s="502">
        <f>SUMIF($R$2:$BY$2,M$3,$R61:$BY61)</f>
        <v>-1213497.8422583728</v>
      </c>
      <c r="N61" s="501">
        <f>SUMIF($R$2:$BY$2,N$3,$R61:$BY61)</f>
        <v>-1282650.4836713788</v>
      </c>
      <c r="O61" s="57"/>
      <c r="P61" s="55">
        <f>IFERROR(((N61/I61)^(1/5))-1,0)</f>
        <v>5.7988877689240104E-2</v>
      </c>
      <c r="R61" s="501">
        <f t="shared" ref="R61:AW61" si="62">SUM(R54,R59)</f>
        <v>-83980.690565589728</v>
      </c>
      <c r="S61" s="535">
        <f t="shared" si="62"/>
        <v>-83980.690565589728</v>
      </c>
      <c r="T61" s="535">
        <f t="shared" si="62"/>
        <v>-83980.690565589728</v>
      </c>
      <c r="U61" s="535">
        <f t="shared" si="62"/>
        <v>-83980.690565589728</v>
      </c>
      <c r="V61" s="535">
        <f t="shared" si="62"/>
        <v>-83980.690565589728</v>
      </c>
      <c r="W61" s="535">
        <f t="shared" si="62"/>
        <v>-83980.690565589728</v>
      </c>
      <c r="X61" s="535">
        <f t="shared" si="62"/>
        <v>-86047.026740240573</v>
      </c>
      <c r="Y61" s="535">
        <f t="shared" si="62"/>
        <v>-86047.026740240573</v>
      </c>
      <c r="Z61" s="535">
        <f t="shared" si="62"/>
        <v>-86047.026740240573</v>
      </c>
      <c r="AA61" s="535">
        <f t="shared" si="62"/>
        <v>-86047.026740240573</v>
      </c>
      <c r="AB61" s="535">
        <f t="shared" si="62"/>
        <v>-86047.026740240573</v>
      </c>
      <c r="AC61" s="535">
        <f t="shared" si="62"/>
        <v>-86047.026740240573</v>
      </c>
      <c r="AD61" s="535">
        <f t="shared" si="62"/>
        <v>-88927.970333279314</v>
      </c>
      <c r="AE61" s="535">
        <f t="shared" si="62"/>
        <v>-88927.970333279314</v>
      </c>
      <c r="AF61" s="535">
        <f t="shared" si="62"/>
        <v>-88927.970333279314</v>
      </c>
      <c r="AG61" s="535">
        <f t="shared" si="62"/>
        <v>-88927.970333279314</v>
      </c>
      <c r="AH61" s="535">
        <f t="shared" si="62"/>
        <v>-88927.970333279314</v>
      </c>
      <c r="AI61" s="535">
        <f t="shared" si="62"/>
        <v>-88927.970333279314</v>
      </c>
      <c r="AJ61" s="535">
        <f t="shared" si="62"/>
        <v>-91585.27897979581</v>
      </c>
      <c r="AK61" s="535">
        <f t="shared" si="62"/>
        <v>-91585.27897979581</v>
      </c>
      <c r="AL61" s="535">
        <f t="shared" si="62"/>
        <v>-91585.27897979581</v>
      </c>
      <c r="AM61" s="535">
        <f t="shared" si="62"/>
        <v>-91585.27897979581</v>
      </c>
      <c r="AN61" s="535">
        <f t="shared" si="62"/>
        <v>-91585.27897979581</v>
      </c>
      <c r="AO61" s="535">
        <f t="shared" si="62"/>
        <v>-91585.27897979581</v>
      </c>
      <c r="AP61" s="535">
        <f t="shared" si="62"/>
        <v>-93989.323861855213</v>
      </c>
      <c r="AQ61" s="535">
        <f t="shared" si="62"/>
        <v>-93989.323861855213</v>
      </c>
      <c r="AR61" s="535">
        <f t="shared" si="62"/>
        <v>-93989.323861855213</v>
      </c>
      <c r="AS61" s="535">
        <f t="shared" si="62"/>
        <v>-93989.323861855213</v>
      </c>
      <c r="AT61" s="535">
        <f t="shared" si="62"/>
        <v>-93989.323861855213</v>
      </c>
      <c r="AU61" s="535">
        <f t="shared" si="62"/>
        <v>-93989.323861855213</v>
      </c>
      <c r="AV61" s="535">
        <f t="shared" si="62"/>
        <v>-97277.287061914278</v>
      </c>
      <c r="AW61" s="535">
        <f t="shared" si="62"/>
        <v>-97277.287061914278</v>
      </c>
      <c r="AX61" s="535">
        <f t="shared" ref="AX61:BY61" si="63">SUM(AX54,AX59)</f>
        <v>-97277.287061914278</v>
      </c>
      <c r="AY61" s="535">
        <f t="shared" si="63"/>
        <v>-97277.287061914278</v>
      </c>
      <c r="AZ61" s="535">
        <f t="shared" si="63"/>
        <v>-97277.287061914278</v>
      </c>
      <c r="BA61" s="535">
        <f t="shared" si="63"/>
        <v>-97277.287061914278</v>
      </c>
      <c r="BB61" s="535">
        <f t="shared" si="63"/>
        <v>-99145.254936084864</v>
      </c>
      <c r="BC61" s="535">
        <f t="shared" si="63"/>
        <v>-99145.254936084864</v>
      </c>
      <c r="BD61" s="535">
        <f t="shared" si="63"/>
        <v>-99145.254936084864</v>
      </c>
      <c r="BE61" s="535">
        <f t="shared" si="63"/>
        <v>-99145.254936084864</v>
      </c>
      <c r="BF61" s="535">
        <f t="shared" si="63"/>
        <v>-99145.254936084864</v>
      </c>
      <c r="BG61" s="535">
        <f t="shared" si="63"/>
        <v>-99145.254936084864</v>
      </c>
      <c r="BH61" s="535">
        <f t="shared" si="63"/>
        <v>-103104.38544031059</v>
      </c>
      <c r="BI61" s="535">
        <f t="shared" si="63"/>
        <v>-103104.38544031059</v>
      </c>
      <c r="BJ61" s="535">
        <f t="shared" si="63"/>
        <v>-103104.38544031059</v>
      </c>
      <c r="BK61" s="535">
        <f t="shared" si="63"/>
        <v>-103104.38544031059</v>
      </c>
      <c r="BL61" s="535">
        <f t="shared" si="63"/>
        <v>-103104.38544031059</v>
      </c>
      <c r="BM61" s="535">
        <f t="shared" si="63"/>
        <v>-103104.38544031059</v>
      </c>
      <c r="BN61" s="535">
        <f t="shared" si="63"/>
        <v>-104551.14737673127</v>
      </c>
      <c r="BO61" s="535">
        <f t="shared" si="63"/>
        <v>-104551.14737673127</v>
      </c>
      <c r="BP61" s="535">
        <f t="shared" si="63"/>
        <v>-104551.14737673127</v>
      </c>
      <c r="BQ61" s="535">
        <f t="shared" si="63"/>
        <v>-104551.14737673127</v>
      </c>
      <c r="BR61" s="535">
        <f t="shared" si="63"/>
        <v>-104551.14737673127</v>
      </c>
      <c r="BS61" s="535">
        <f t="shared" si="63"/>
        <v>-104551.14737673127</v>
      </c>
      <c r="BT61" s="535">
        <f t="shared" si="63"/>
        <v>-109223.93323516524</v>
      </c>
      <c r="BU61" s="535">
        <f t="shared" si="63"/>
        <v>-109223.93323516524</v>
      </c>
      <c r="BV61" s="535">
        <f t="shared" si="63"/>
        <v>-109223.93323516524</v>
      </c>
      <c r="BW61" s="535">
        <f t="shared" si="63"/>
        <v>-109223.93323516524</v>
      </c>
      <c r="BX61" s="535">
        <f t="shared" si="63"/>
        <v>-109223.93323516524</v>
      </c>
      <c r="BY61" s="535">
        <f t="shared" si="63"/>
        <v>-109223.93323516524</v>
      </c>
      <c r="CB61" s="8"/>
    </row>
    <row r="62" spans="3:80" x14ac:dyDescent="0.3">
      <c r="C62" s="2"/>
      <c r="D62" s="2"/>
      <c r="E62" s="2" t="s">
        <v>405</v>
      </c>
      <c r="F62" s="2"/>
      <c r="G62" s="2"/>
      <c r="H62" s="2"/>
      <c r="I62" s="499">
        <f t="shared" ref="I62:N62" si="64">IFERROR(I61/SUM(I22,I31,I45,I52),0)</f>
        <v>0.55284126924860821</v>
      </c>
      <c r="J62" s="499">
        <f t="shared" si="64"/>
        <v>0.55791225053584059</v>
      </c>
      <c r="K62" s="499">
        <f t="shared" si="64"/>
        <v>0.56280793423080688</v>
      </c>
      <c r="L62" s="499">
        <f t="shared" si="64"/>
        <v>0.56739887831900782</v>
      </c>
      <c r="M62" s="499">
        <f t="shared" si="64"/>
        <v>0.57146904783165242</v>
      </c>
      <c r="N62" s="499">
        <f t="shared" si="64"/>
        <v>0.57537793653241043</v>
      </c>
      <c r="O62" s="23"/>
      <c r="P62" s="50">
        <f>IFERROR(((N62/I62)^(1/5))-1,0)</f>
        <v>8.0232513928999438E-3</v>
      </c>
      <c r="R62" s="499">
        <f t="shared" ref="R62:AW62" si="65">IFERROR(R61/SUM(R22,R31,R45,R52),0)</f>
        <v>0.55771289939401802</v>
      </c>
      <c r="S62" s="531">
        <f t="shared" si="65"/>
        <v>0.55771289939401802</v>
      </c>
      <c r="T62" s="531">
        <f t="shared" si="65"/>
        <v>0.55771289939401802</v>
      </c>
      <c r="U62" s="531">
        <f t="shared" si="65"/>
        <v>0.55771289939401802</v>
      </c>
      <c r="V62" s="531">
        <f t="shared" si="65"/>
        <v>0.55771289939401802</v>
      </c>
      <c r="W62" s="531">
        <f t="shared" si="65"/>
        <v>0.55771289939401802</v>
      </c>
      <c r="X62" s="531">
        <f t="shared" si="65"/>
        <v>0.55810695192198634</v>
      </c>
      <c r="Y62" s="531">
        <f t="shared" si="65"/>
        <v>0.55810695192198634</v>
      </c>
      <c r="Z62" s="531">
        <f t="shared" si="65"/>
        <v>0.55810695192198634</v>
      </c>
      <c r="AA62" s="531">
        <f t="shared" si="65"/>
        <v>0.55810695192198634</v>
      </c>
      <c r="AB62" s="531">
        <f t="shared" si="65"/>
        <v>0.55810695192198634</v>
      </c>
      <c r="AC62" s="531">
        <f t="shared" si="65"/>
        <v>0.55810695192198634</v>
      </c>
      <c r="AD62" s="531">
        <f t="shared" si="65"/>
        <v>0.56253279084839369</v>
      </c>
      <c r="AE62" s="531">
        <f t="shared" si="65"/>
        <v>0.56253279084839369</v>
      </c>
      <c r="AF62" s="531">
        <f t="shared" si="65"/>
        <v>0.56253279084839369</v>
      </c>
      <c r="AG62" s="531">
        <f t="shared" si="65"/>
        <v>0.56253279084839369</v>
      </c>
      <c r="AH62" s="531">
        <f t="shared" si="65"/>
        <v>0.56253279084839369</v>
      </c>
      <c r="AI62" s="531">
        <f t="shared" si="65"/>
        <v>0.56253279084839369</v>
      </c>
      <c r="AJ62" s="531">
        <f t="shared" si="65"/>
        <v>0.56307535211807169</v>
      </c>
      <c r="AK62" s="531">
        <f t="shared" si="65"/>
        <v>0.56307535211807169</v>
      </c>
      <c r="AL62" s="531">
        <f t="shared" si="65"/>
        <v>0.56307535211807169</v>
      </c>
      <c r="AM62" s="531">
        <f t="shared" si="65"/>
        <v>0.56307535211807169</v>
      </c>
      <c r="AN62" s="531">
        <f t="shared" si="65"/>
        <v>0.56307535211807169</v>
      </c>
      <c r="AO62" s="531">
        <f t="shared" si="65"/>
        <v>0.56307535211807169</v>
      </c>
      <c r="AP62" s="531">
        <f t="shared" si="65"/>
        <v>0.56704333153017761</v>
      </c>
      <c r="AQ62" s="531">
        <f t="shared" si="65"/>
        <v>0.56704333153017761</v>
      </c>
      <c r="AR62" s="531">
        <f t="shared" si="65"/>
        <v>0.56704333153017761</v>
      </c>
      <c r="AS62" s="531">
        <f t="shared" si="65"/>
        <v>0.56704333153017761</v>
      </c>
      <c r="AT62" s="531">
        <f t="shared" si="65"/>
        <v>0.56704333153017761</v>
      </c>
      <c r="AU62" s="531">
        <f t="shared" si="65"/>
        <v>0.56704333153017761</v>
      </c>
      <c r="AV62" s="531">
        <f t="shared" si="65"/>
        <v>0.56774283143456261</v>
      </c>
      <c r="AW62" s="531">
        <f t="shared" si="65"/>
        <v>0.56774283143456261</v>
      </c>
      <c r="AX62" s="531">
        <f t="shared" ref="AX62:BY62" si="66">IFERROR(AX61/SUM(AX22,AX31,AX45,AX52),0)</f>
        <v>0.56774283143456261</v>
      </c>
      <c r="AY62" s="531">
        <f t="shared" si="66"/>
        <v>0.56774283143456261</v>
      </c>
      <c r="AZ62" s="531">
        <f t="shared" si="66"/>
        <v>0.56774283143456261</v>
      </c>
      <c r="BA62" s="531">
        <f t="shared" si="66"/>
        <v>0.56774283143456261</v>
      </c>
      <c r="BB62" s="531">
        <f t="shared" si="66"/>
        <v>0.57102665759603521</v>
      </c>
      <c r="BC62" s="531">
        <f t="shared" si="66"/>
        <v>0.57102665759603521</v>
      </c>
      <c r="BD62" s="531">
        <f t="shared" si="66"/>
        <v>0.57102665759603521</v>
      </c>
      <c r="BE62" s="531">
        <f t="shared" si="66"/>
        <v>0.57102665759603521</v>
      </c>
      <c r="BF62" s="531">
        <f t="shared" si="66"/>
        <v>0.57102665759603521</v>
      </c>
      <c r="BG62" s="531">
        <f t="shared" si="66"/>
        <v>0.57102665759603521</v>
      </c>
      <c r="BH62" s="531">
        <f t="shared" si="66"/>
        <v>0.57189509758588164</v>
      </c>
      <c r="BI62" s="531">
        <f t="shared" si="66"/>
        <v>0.57189509758588164</v>
      </c>
      <c r="BJ62" s="531">
        <f t="shared" si="66"/>
        <v>0.57189509758588164</v>
      </c>
      <c r="BK62" s="531">
        <f t="shared" si="66"/>
        <v>0.57189509758588164</v>
      </c>
      <c r="BL62" s="531">
        <f t="shared" si="66"/>
        <v>0.57189509758588164</v>
      </c>
      <c r="BM62" s="531">
        <f t="shared" si="66"/>
        <v>0.57189509758588164</v>
      </c>
      <c r="BN62" s="531">
        <f t="shared" si="66"/>
        <v>0.57484248064030519</v>
      </c>
      <c r="BO62" s="531">
        <f t="shared" si="66"/>
        <v>0.57484248064030519</v>
      </c>
      <c r="BP62" s="531">
        <f t="shared" si="66"/>
        <v>0.57484248064030519</v>
      </c>
      <c r="BQ62" s="531">
        <f t="shared" si="66"/>
        <v>0.57484248064030519</v>
      </c>
      <c r="BR62" s="531">
        <f t="shared" si="66"/>
        <v>0.57484248064030519</v>
      </c>
      <c r="BS62" s="531">
        <f t="shared" si="66"/>
        <v>0.57484248064030519</v>
      </c>
      <c r="BT62" s="531">
        <f t="shared" si="66"/>
        <v>0.5758914199779307</v>
      </c>
      <c r="BU62" s="531">
        <f t="shared" si="66"/>
        <v>0.5758914199779307</v>
      </c>
      <c r="BV62" s="531">
        <f t="shared" si="66"/>
        <v>0.5758914199779307</v>
      </c>
      <c r="BW62" s="531">
        <f t="shared" si="66"/>
        <v>0.5758914199779307</v>
      </c>
      <c r="BX62" s="531">
        <f t="shared" si="66"/>
        <v>0.5758914199779307</v>
      </c>
      <c r="BY62" s="531">
        <f t="shared" si="66"/>
        <v>0.5758914199779307</v>
      </c>
    </row>
    <row r="63" spans="3:80" x14ac:dyDescent="0.3">
      <c r="C63" s="2"/>
      <c r="D63" s="2"/>
      <c r="E63" s="2"/>
      <c r="F63" s="2"/>
      <c r="G63" s="2"/>
      <c r="H63" s="2"/>
      <c r="I63" s="2"/>
      <c r="J63" s="2"/>
      <c r="K63" s="2"/>
      <c r="L63" s="2"/>
      <c r="M63" s="2"/>
      <c r="N63" s="2"/>
      <c r="O63" s="2"/>
      <c r="P63" s="10"/>
      <c r="R63" s="2"/>
      <c r="S63" s="2"/>
      <c r="T63" s="2"/>
      <c r="U63" s="2"/>
      <c r="V63" s="2"/>
      <c r="W63" s="2"/>
      <c r="X63" s="2"/>
      <c r="Y63" s="2"/>
      <c r="Z63" s="2"/>
      <c r="AA63" s="2"/>
      <c r="AB63" s="2"/>
      <c r="AC63" s="2"/>
      <c r="AD63" s="2"/>
      <c r="AE63" s="2"/>
      <c r="AF63" s="2"/>
      <c r="AG63" s="2"/>
      <c r="AH63" s="2"/>
      <c r="AI63" s="2"/>
      <c r="AJ63" s="2"/>
      <c r="AK63" s="2"/>
      <c r="AL63" s="2"/>
      <c r="AM63" s="2"/>
      <c r="AN63" s="2"/>
      <c r="AO63" s="2"/>
      <c r="AP63" s="2"/>
      <c r="AQ63" s="2"/>
      <c r="AR63" s="2"/>
      <c r="AS63" s="2"/>
      <c r="AT63" s="2"/>
      <c r="AU63" s="2"/>
      <c r="AV63" s="2"/>
      <c r="AW63" s="2"/>
      <c r="AX63" s="2"/>
      <c r="AY63" s="2"/>
      <c r="AZ63" s="2"/>
      <c r="BA63" s="2"/>
      <c r="BB63" s="2"/>
      <c r="BC63" s="2"/>
      <c r="BD63" s="2"/>
      <c r="BE63" s="2"/>
      <c r="BF63" s="2"/>
      <c r="BG63" s="2"/>
      <c r="BH63" s="2"/>
      <c r="BI63" s="2"/>
      <c r="BJ63" s="2"/>
      <c r="BK63" s="2"/>
      <c r="BL63" s="2"/>
      <c r="BM63" s="2"/>
      <c r="BN63" s="2"/>
      <c r="BO63" s="2"/>
      <c r="BP63" s="2"/>
      <c r="BQ63" s="2"/>
      <c r="BR63" s="2"/>
      <c r="BS63" s="2"/>
      <c r="BT63" s="2"/>
      <c r="BU63" s="2"/>
      <c r="BV63" s="2"/>
      <c r="BW63" s="2"/>
      <c r="BX63" s="2"/>
      <c r="BY63" s="2"/>
    </row>
    <row r="64" spans="3:80" x14ac:dyDescent="0.3">
      <c r="C64" s="2"/>
      <c r="D64" s="2"/>
      <c r="E64" s="2" t="s">
        <v>129</v>
      </c>
      <c r="F64" s="54"/>
      <c r="G64" s="54"/>
      <c r="H64" s="54"/>
      <c r="I64" s="52">
        <v>0</v>
      </c>
      <c r="J64" s="497">
        <f>SUMIF($R$2:$BY$2,J$3,$R64:$BY64)</f>
        <v>0</v>
      </c>
      <c r="K64" s="497">
        <f>SUMIF($R$2:$BY$2,K$3,$R64:$BY64)</f>
        <v>0</v>
      </c>
      <c r="L64" s="497">
        <f>SUMIF($R$2:$BY$2,L$3,$R64:$BY64)</f>
        <v>0</v>
      </c>
      <c r="M64" s="497">
        <f>SUMIF($R$2:$BY$2,M$3,$R64:$BY64)</f>
        <v>0</v>
      </c>
      <c r="N64" s="497">
        <f>SUMIF($R$2:$BY$2,N$3,$R64:$BY64)</f>
        <v>0</v>
      </c>
      <c r="O64" s="37"/>
      <c r="P64" s="50">
        <f>IFERROR(((N64/I64)^(1/5))-1,0)</f>
        <v>0</v>
      </c>
      <c r="R64" s="52">
        <v>0</v>
      </c>
      <c r="S64" s="52">
        <v>0</v>
      </c>
      <c r="T64" s="52">
        <v>0</v>
      </c>
      <c r="U64" s="52">
        <v>0</v>
      </c>
      <c r="V64" s="52">
        <v>0</v>
      </c>
      <c r="W64" s="52">
        <v>0</v>
      </c>
      <c r="X64" s="52">
        <v>0</v>
      </c>
      <c r="Y64" s="52">
        <v>0</v>
      </c>
      <c r="Z64" s="52">
        <v>0</v>
      </c>
      <c r="AA64" s="52">
        <v>0</v>
      </c>
      <c r="AB64" s="52">
        <v>0</v>
      </c>
      <c r="AC64" s="52">
        <v>0</v>
      </c>
      <c r="AD64" s="52">
        <v>0</v>
      </c>
      <c r="AE64" s="52">
        <v>0</v>
      </c>
      <c r="AF64" s="52">
        <v>0</v>
      </c>
      <c r="AG64" s="52">
        <v>0</v>
      </c>
      <c r="AH64" s="52">
        <v>0</v>
      </c>
      <c r="AI64" s="52">
        <v>0</v>
      </c>
      <c r="AJ64" s="52">
        <v>0</v>
      </c>
      <c r="AK64" s="52">
        <v>0</v>
      </c>
      <c r="AL64" s="52">
        <v>0</v>
      </c>
      <c r="AM64" s="52">
        <v>0</v>
      </c>
      <c r="AN64" s="52">
        <v>0</v>
      </c>
      <c r="AO64" s="52">
        <v>0</v>
      </c>
      <c r="AP64" s="52">
        <v>0</v>
      </c>
      <c r="AQ64" s="52">
        <v>0</v>
      </c>
      <c r="AR64" s="52">
        <v>0</v>
      </c>
      <c r="AS64" s="52">
        <v>0</v>
      </c>
      <c r="AT64" s="52">
        <v>0</v>
      </c>
      <c r="AU64" s="52">
        <v>0</v>
      </c>
      <c r="AV64" s="52">
        <v>0</v>
      </c>
      <c r="AW64" s="52">
        <v>0</v>
      </c>
      <c r="AX64" s="52">
        <v>0</v>
      </c>
      <c r="AY64" s="52">
        <v>0</v>
      </c>
      <c r="AZ64" s="52">
        <v>0</v>
      </c>
      <c r="BA64" s="52">
        <v>0</v>
      </c>
      <c r="BB64" s="52">
        <v>0</v>
      </c>
      <c r="BC64" s="52">
        <v>0</v>
      </c>
      <c r="BD64" s="52">
        <v>0</v>
      </c>
      <c r="BE64" s="52">
        <v>0</v>
      </c>
      <c r="BF64" s="52">
        <v>0</v>
      </c>
      <c r="BG64" s="52">
        <v>0</v>
      </c>
      <c r="BH64" s="52">
        <v>0</v>
      </c>
      <c r="BI64" s="52">
        <v>0</v>
      </c>
      <c r="BJ64" s="52">
        <v>0</v>
      </c>
      <c r="BK64" s="52">
        <v>0</v>
      </c>
      <c r="BL64" s="52">
        <v>0</v>
      </c>
      <c r="BM64" s="52">
        <v>0</v>
      </c>
      <c r="BN64" s="52">
        <v>0</v>
      </c>
      <c r="BO64" s="52">
        <v>0</v>
      </c>
      <c r="BP64" s="52">
        <v>0</v>
      </c>
      <c r="BQ64" s="52">
        <v>0</v>
      </c>
      <c r="BR64" s="52">
        <v>0</v>
      </c>
      <c r="BS64" s="52">
        <v>0</v>
      </c>
      <c r="BT64" s="52">
        <v>0</v>
      </c>
      <c r="BU64" s="52">
        <v>0</v>
      </c>
      <c r="BV64" s="52">
        <v>0</v>
      </c>
      <c r="BW64" s="52">
        <v>0</v>
      </c>
      <c r="BX64" s="52">
        <v>0</v>
      </c>
      <c r="BY64" s="52">
        <v>0</v>
      </c>
    </row>
    <row r="65" spans="3:80" x14ac:dyDescent="0.3">
      <c r="C65" s="2"/>
      <c r="D65" s="2"/>
      <c r="E65" s="62" t="s">
        <v>292</v>
      </c>
      <c r="F65" s="63"/>
      <c r="G65" s="63"/>
      <c r="H65" s="63"/>
      <c r="I65" s="501">
        <f t="shared" ref="I65:N65" si="67">I64+I61</f>
        <v>-967615.50458159135</v>
      </c>
      <c r="J65" s="501">
        <f t="shared" si="67"/>
        <v>-1020166.303834982</v>
      </c>
      <c r="K65" s="501">
        <f t="shared" si="67"/>
        <v>-1083079.4958784506</v>
      </c>
      <c r="L65" s="501">
        <f t="shared" si="67"/>
        <v>-1147599.6655426172</v>
      </c>
      <c r="M65" s="501">
        <f t="shared" si="67"/>
        <v>-1213497.8422583728</v>
      </c>
      <c r="N65" s="501">
        <f t="shared" si="67"/>
        <v>-1282650.4836713788</v>
      </c>
      <c r="O65" s="57"/>
      <c r="P65" s="55">
        <f>IFERROR(((N65/I65)^(1/5))-1,0)</f>
        <v>5.7988877689240104E-2</v>
      </c>
      <c r="R65" s="501">
        <f>R64+R61</f>
        <v>-83980.690565589728</v>
      </c>
      <c r="S65" s="535">
        <f t="shared" ref="S65:BY65" si="68">S64+S61</f>
        <v>-83980.690565589728</v>
      </c>
      <c r="T65" s="535">
        <f t="shared" si="68"/>
        <v>-83980.690565589728</v>
      </c>
      <c r="U65" s="535">
        <f t="shared" si="68"/>
        <v>-83980.690565589728</v>
      </c>
      <c r="V65" s="535">
        <f t="shared" si="68"/>
        <v>-83980.690565589728</v>
      </c>
      <c r="W65" s="535">
        <f t="shared" si="68"/>
        <v>-83980.690565589728</v>
      </c>
      <c r="X65" s="535">
        <f t="shared" si="68"/>
        <v>-86047.026740240573</v>
      </c>
      <c r="Y65" s="535">
        <f t="shared" si="68"/>
        <v>-86047.026740240573</v>
      </c>
      <c r="Z65" s="535">
        <f t="shared" si="68"/>
        <v>-86047.026740240573</v>
      </c>
      <c r="AA65" s="535">
        <f t="shared" si="68"/>
        <v>-86047.026740240573</v>
      </c>
      <c r="AB65" s="535">
        <f t="shared" si="68"/>
        <v>-86047.026740240573</v>
      </c>
      <c r="AC65" s="535">
        <f t="shared" si="68"/>
        <v>-86047.026740240573</v>
      </c>
      <c r="AD65" s="535">
        <f t="shared" si="68"/>
        <v>-88927.970333279314</v>
      </c>
      <c r="AE65" s="535">
        <f t="shared" si="68"/>
        <v>-88927.970333279314</v>
      </c>
      <c r="AF65" s="535">
        <f t="shared" si="68"/>
        <v>-88927.970333279314</v>
      </c>
      <c r="AG65" s="535">
        <f t="shared" si="68"/>
        <v>-88927.970333279314</v>
      </c>
      <c r="AH65" s="535">
        <f t="shared" si="68"/>
        <v>-88927.970333279314</v>
      </c>
      <c r="AI65" s="535">
        <f t="shared" si="68"/>
        <v>-88927.970333279314</v>
      </c>
      <c r="AJ65" s="535">
        <f t="shared" si="68"/>
        <v>-91585.27897979581</v>
      </c>
      <c r="AK65" s="535">
        <f t="shared" si="68"/>
        <v>-91585.27897979581</v>
      </c>
      <c r="AL65" s="535">
        <f t="shared" si="68"/>
        <v>-91585.27897979581</v>
      </c>
      <c r="AM65" s="535">
        <f t="shared" si="68"/>
        <v>-91585.27897979581</v>
      </c>
      <c r="AN65" s="535">
        <f t="shared" si="68"/>
        <v>-91585.27897979581</v>
      </c>
      <c r="AO65" s="535">
        <f t="shared" si="68"/>
        <v>-91585.27897979581</v>
      </c>
      <c r="AP65" s="535">
        <f t="shared" si="68"/>
        <v>-93989.323861855213</v>
      </c>
      <c r="AQ65" s="535">
        <f t="shared" si="68"/>
        <v>-93989.323861855213</v>
      </c>
      <c r="AR65" s="535">
        <f t="shared" si="68"/>
        <v>-93989.323861855213</v>
      </c>
      <c r="AS65" s="535">
        <f t="shared" si="68"/>
        <v>-93989.323861855213</v>
      </c>
      <c r="AT65" s="535">
        <f t="shared" si="68"/>
        <v>-93989.323861855213</v>
      </c>
      <c r="AU65" s="535">
        <f t="shared" si="68"/>
        <v>-93989.323861855213</v>
      </c>
      <c r="AV65" s="535">
        <f t="shared" si="68"/>
        <v>-97277.287061914278</v>
      </c>
      <c r="AW65" s="535">
        <f t="shared" si="68"/>
        <v>-97277.287061914278</v>
      </c>
      <c r="AX65" s="535">
        <f t="shared" si="68"/>
        <v>-97277.287061914278</v>
      </c>
      <c r="AY65" s="535">
        <f t="shared" si="68"/>
        <v>-97277.287061914278</v>
      </c>
      <c r="AZ65" s="535">
        <f t="shared" si="68"/>
        <v>-97277.287061914278</v>
      </c>
      <c r="BA65" s="535">
        <f t="shared" si="68"/>
        <v>-97277.287061914278</v>
      </c>
      <c r="BB65" s="535">
        <f t="shared" si="68"/>
        <v>-99145.254936084864</v>
      </c>
      <c r="BC65" s="535">
        <f t="shared" si="68"/>
        <v>-99145.254936084864</v>
      </c>
      <c r="BD65" s="535">
        <f t="shared" si="68"/>
        <v>-99145.254936084864</v>
      </c>
      <c r="BE65" s="535">
        <f t="shared" si="68"/>
        <v>-99145.254936084864</v>
      </c>
      <c r="BF65" s="535">
        <f t="shared" si="68"/>
        <v>-99145.254936084864</v>
      </c>
      <c r="BG65" s="535">
        <f t="shared" si="68"/>
        <v>-99145.254936084864</v>
      </c>
      <c r="BH65" s="535">
        <f t="shared" si="68"/>
        <v>-103104.38544031059</v>
      </c>
      <c r="BI65" s="535">
        <f t="shared" si="68"/>
        <v>-103104.38544031059</v>
      </c>
      <c r="BJ65" s="535">
        <f t="shared" si="68"/>
        <v>-103104.38544031059</v>
      </c>
      <c r="BK65" s="535">
        <f t="shared" si="68"/>
        <v>-103104.38544031059</v>
      </c>
      <c r="BL65" s="535">
        <f t="shared" si="68"/>
        <v>-103104.38544031059</v>
      </c>
      <c r="BM65" s="535">
        <f t="shared" si="68"/>
        <v>-103104.38544031059</v>
      </c>
      <c r="BN65" s="535">
        <f t="shared" si="68"/>
        <v>-104551.14737673127</v>
      </c>
      <c r="BO65" s="535">
        <f t="shared" si="68"/>
        <v>-104551.14737673127</v>
      </c>
      <c r="BP65" s="535">
        <f t="shared" si="68"/>
        <v>-104551.14737673127</v>
      </c>
      <c r="BQ65" s="535">
        <f t="shared" si="68"/>
        <v>-104551.14737673127</v>
      </c>
      <c r="BR65" s="535">
        <f t="shared" si="68"/>
        <v>-104551.14737673127</v>
      </c>
      <c r="BS65" s="535">
        <f t="shared" si="68"/>
        <v>-104551.14737673127</v>
      </c>
      <c r="BT65" s="535">
        <f t="shared" si="68"/>
        <v>-109223.93323516524</v>
      </c>
      <c r="BU65" s="535">
        <f t="shared" si="68"/>
        <v>-109223.93323516524</v>
      </c>
      <c r="BV65" s="535">
        <f t="shared" si="68"/>
        <v>-109223.93323516524</v>
      </c>
      <c r="BW65" s="535">
        <f t="shared" si="68"/>
        <v>-109223.93323516524</v>
      </c>
      <c r="BX65" s="535">
        <f t="shared" si="68"/>
        <v>-109223.93323516524</v>
      </c>
      <c r="BY65" s="535">
        <f t="shared" si="68"/>
        <v>-109223.93323516524</v>
      </c>
      <c r="CB65" s="8"/>
    </row>
    <row r="66" spans="3:80" x14ac:dyDescent="0.3">
      <c r="C66" s="2"/>
      <c r="D66" s="2"/>
      <c r="E66" s="692" t="s">
        <v>406</v>
      </c>
      <c r="F66" s="2"/>
      <c r="G66" s="2"/>
      <c r="H66" s="2"/>
      <c r="I66" s="499">
        <f t="shared" ref="I66:N66" si="69">IFERROR(I65/I61,0)</f>
        <v>1</v>
      </c>
      <c r="J66" s="499">
        <f t="shared" si="69"/>
        <v>1</v>
      </c>
      <c r="K66" s="499">
        <f t="shared" si="69"/>
        <v>1</v>
      </c>
      <c r="L66" s="499">
        <f t="shared" si="69"/>
        <v>1</v>
      </c>
      <c r="M66" s="499">
        <f t="shared" si="69"/>
        <v>1</v>
      </c>
      <c r="N66" s="499">
        <f t="shared" si="69"/>
        <v>1</v>
      </c>
      <c r="O66" s="23"/>
      <c r="P66" s="50">
        <f>IFERROR(((N66/I66)^(1/5))-1,0)</f>
        <v>0</v>
      </c>
      <c r="R66" s="499">
        <f t="shared" ref="R66:AW66" si="70">IFERROR(R65/R61,0)</f>
        <v>1</v>
      </c>
      <c r="S66" s="531">
        <f t="shared" si="70"/>
        <v>1</v>
      </c>
      <c r="T66" s="531">
        <f t="shared" si="70"/>
        <v>1</v>
      </c>
      <c r="U66" s="531">
        <f t="shared" si="70"/>
        <v>1</v>
      </c>
      <c r="V66" s="531">
        <f t="shared" si="70"/>
        <v>1</v>
      </c>
      <c r="W66" s="531">
        <f t="shared" si="70"/>
        <v>1</v>
      </c>
      <c r="X66" s="531">
        <f t="shared" si="70"/>
        <v>1</v>
      </c>
      <c r="Y66" s="531">
        <f t="shared" si="70"/>
        <v>1</v>
      </c>
      <c r="Z66" s="531">
        <f t="shared" si="70"/>
        <v>1</v>
      </c>
      <c r="AA66" s="531">
        <f t="shared" si="70"/>
        <v>1</v>
      </c>
      <c r="AB66" s="531">
        <f t="shared" si="70"/>
        <v>1</v>
      </c>
      <c r="AC66" s="531">
        <f t="shared" si="70"/>
        <v>1</v>
      </c>
      <c r="AD66" s="531">
        <f t="shared" si="70"/>
        <v>1</v>
      </c>
      <c r="AE66" s="531">
        <f t="shared" si="70"/>
        <v>1</v>
      </c>
      <c r="AF66" s="531">
        <f t="shared" si="70"/>
        <v>1</v>
      </c>
      <c r="AG66" s="531">
        <f t="shared" si="70"/>
        <v>1</v>
      </c>
      <c r="AH66" s="531">
        <f t="shared" si="70"/>
        <v>1</v>
      </c>
      <c r="AI66" s="531">
        <f t="shared" si="70"/>
        <v>1</v>
      </c>
      <c r="AJ66" s="531">
        <f t="shared" si="70"/>
        <v>1</v>
      </c>
      <c r="AK66" s="531">
        <f t="shared" si="70"/>
        <v>1</v>
      </c>
      <c r="AL66" s="531">
        <f t="shared" si="70"/>
        <v>1</v>
      </c>
      <c r="AM66" s="531">
        <f t="shared" si="70"/>
        <v>1</v>
      </c>
      <c r="AN66" s="531">
        <f t="shared" si="70"/>
        <v>1</v>
      </c>
      <c r="AO66" s="531">
        <f t="shared" si="70"/>
        <v>1</v>
      </c>
      <c r="AP66" s="531">
        <f t="shared" si="70"/>
        <v>1</v>
      </c>
      <c r="AQ66" s="531">
        <f t="shared" si="70"/>
        <v>1</v>
      </c>
      <c r="AR66" s="531">
        <f t="shared" si="70"/>
        <v>1</v>
      </c>
      <c r="AS66" s="531">
        <f t="shared" si="70"/>
        <v>1</v>
      </c>
      <c r="AT66" s="531">
        <f t="shared" si="70"/>
        <v>1</v>
      </c>
      <c r="AU66" s="531">
        <f t="shared" si="70"/>
        <v>1</v>
      </c>
      <c r="AV66" s="531">
        <f t="shared" si="70"/>
        <v>1</v>
      </c>
      <c r="AW66" s="531">
        <f t="shared" si="70"/>
        <v>1</v>
      </c>
      <c r="AX66" s="531">
        <f t="shared" ref="AX66:BY66" si="71">IFERROR(AX65/AX61,0)</f>
        <v>1</v>
      </c>
      <c r="AY66" s="531">
        <f t="shared" si="71"/>
        <v>1</v>
      </c>
      <c r="AZ66" s="531">
        <f t="shared" si="71"/>
        <v>1</v>
      </c>
      <c r="BA66" s="531">
        <f t="shared" si="71"/>
        <v>1</v>
      </c>
      <c r="BB66" s="531">
        <f t="shared" si="71"/>
        <v>1</v>
      </c>
      <c r="BC66" s="531">
        <f t="shared" si="71"/>
        <v>1</v>
      </c>
      <c r="BD66" s="531">
        <f t="shared" si="71"/>
        <v>1</v>
      </c>
      <c r="BE66" s="531">
        <f t="shared" si="71"/>
        <v>1</v>
      </c>
      <c r="BF66" s="531">
        <f t="shared" si="71"/>
        <v>1</v>
      </c>
      <c r="BG66" s="531">
        <f t="shared" si="71"/>
        <v>1</v>
      </c>
      <c r="BH66" s="531">
        <f t="shared" si="71"/>
        <v>1</v>
      </c>
      <c r="BI66" s="531">
        <f t="shared" si="71"/>
        <v>1</v>
      </c>
      <c r="BJ66" s="531">
        <f t="shared" si="71"/>
        <v>1</v>
      </c>
      <c r="BK66" s="531">
        <f t="shared" si="71"/>
        <v>1</v>
      </c>
      <c r="BL66" s="531">
        <f t="shared" si="71"/>
        <v>1</v>
      </c>
      <c r="BM66" s="531">
        <f t="shared" si="71"/>
        <v>1</v>
      </c>
      <c r="BN66" s="531">
        <f t="shared" si="71"/>
        <v>1</v>
      </c>
      <c r="BO66" s="531">
        <f t="shared" si="71"/>
        <v>1</v>
      </c>
      <c r="BP66" s="531">
        <f t="shared" si="71"/>
        <v>1</v>
      </c>
      <c r="BQ66" s="531">
        <f t="shared" si="71"/>
        <v>1</v>
      </c>
      <c r="BR66" s="531">
        <f t="shared" si="71"/>
        <v>1</v>
      </c>
      <c r="BS66" s="531">
        <f t="shared" si="71"/>
        <v>1</v>
      </c>
      <c r="BT66" s="531">
        <f t="shared" si="71"/>
        <v>1</v>
      </c>
      <c r="BU66" s="531">
        <f t="shared" si="71"/>
        <v>1</v>
      </c>
      <c r="BV66" s="531">
        <f t="shared" si="71"/>
        <v>1</v>
      </c>
      <c r="BW66" s="531">
        <f t="shared" si="71"/>
        <v>1</v>
      </c>
      <c r="BX66" s="531">
        <f t="shared" si="71"/>
        <v>1</v>
      </c>
      <c r="BY66" s="531">
        <f t="shared" si="71"/>
        <v>1</v>
      </c>
    </row>
    <row r="67" spans="3:80" x14ac:dyDescent="0.3">
      <c r="C67" s="2"/>
      <c r="D67" s="2"/>
      <c r="E67" s="2"/>
      <c r="F67" s="54"/>
      <c r="G67" s="54"/>
      <c r="H67" s="54"/>
      <c r="I67" s="37"/>
      <c r="J67" s="37"/>
      <c r="K67" s="37"/>
      <c r="L67" s="37"/>
      <c r="M67" s="37"/>
      <c r="N67" s="37"/>
      <c r="O67" s="37"/>
      <c r="P67" s="35"/>
      <c r="R67" s="37"/>
      <c r="S67" s="37"/>
      <c r="T67" s="37"/>
      <c r="U67" s="37"/>
      <c r="V67" s="37"/>
      <c r="W67" s="37"/>
      <c r="X67" s="37"/>
      <c r="Y67" s="37"/>
      <c r="Z67" s="37"/>
      <c r="AA67" s="37"/>
      <c r="AB67" s="37"/>
      <c r="AC67" s="37"/>
      <c r="AD67" s="37"/>
      <c r="AE67" s="37"/>
      <c r="AF67" s="37"/>
      <c r="AG67" s="37"/>
      <c r="AH67" s="37"/>
      <c r="AI67" s="37"/>
      <c r="AJ67" s="37"/>
      <c r="AK67" s="37"/>
      <c r="AL67" s="37"/>
      <c r="AM67" s="37"/>
      <c r="AN67" s="37"/>
      <c r="AO67" s="37"/>
      <c r="AP67" s="37"/>
      <c r="AQ67" s="37"/>
      <c r="AR67" s="37"/>
      <c r="AS67" s="37"/>
      <c r="AT67" s="37"/>
      <c r="AU67" s="37"/>
      <c r="AV67" s="37"/>
      <c r="AW67" s="37"/>
      <c r="AX67" s="37"/>
      <c r="AY67" s="37"/>
      <c r="AZ67" s="37"/>
      <c r="BA67" s="37"/>
      <c r="BB67" s="37"/>
      <c r="BC67" s="37"/>
      <c r="BD67" s="37"/>
      <c r="BE67" s="37"/>
      <c r="BF67" s="37"/>
      <c r="BG67" s="37"/>
      <c r="BH67" s="37"/>
      <c r="BI67" s="37"/>
      <c r="BJ67" s="37"/>
      <c r="BK67" s="37"/>
      <c r="BL67" s="37"/>
      <c r="BM67" s="37"/>
      <c r="BN67" s="37"/>
      <c r="BO67" s="37"/>
      <c r="BP67" s="37"/>
      <c r="BQ67" s="37"/>
      <c r="BR67" s="37"/>
      <c r="BS67" s="37"/>
      <c r="BT67" s="37"/>
      <c r="BU67" s="37"/>
      <c r="BV67" s="37"/>
      <c r="BW67" s="37"/>
      <c r="BX67" s="37"/>
      <c r="BY67" s="37"/>
    </row>
    <row r="68" spans="3:80" x14ac:dyDescent="0.3">
      <c r="C68" s="2"/>
      <c r="D68" s="2"/>
      <c r="E68" s="2" t="s">
        <v>52</v>
      </c>
      <c r="F68" s="54"/>
      <c r="G68" s="54"/>
      <c r="H68" s="54"/>
      <c r="I68" s="37">
        <f>I$13*I133*-1</f>
        <v>102871.68218467532</v>
      </c>
      <c r="J68" s="497">
        <f t="shared" ref="J68:N70" si="72">SUMIF($R$2:$BY$2,J$3,$R68:$BY68)</f>
        <v>81600</v>
      </c>
      <c r="K68" s="497">
        <f t="shared" si="72"/>
        <v>83232</v>
      </c>
      <c r="L68" s="497">
        <f t="shared" si="72"/>
        <v>84896.640000000014</v>
      </c>
      <c r="M68" s="497">
        <f t="shared" si="72"/>
        <v>86594.57279999998</v>
      </c>
      <c r="N68" s="497">
        <f t="shared" si="72"/>
        <v>88326.464256000007</v>
      </c>
      <c r="O68" s="37"/>
      <c r="P68" s="50">
        <f t="shared" ref="P68:P77" si="73">IFERROR(((N68/I68)^(1/5))-1,0)</f>
        <v>-3.0028439781329408E-2</v>
      </c>
      <c r="R68" s="497">
        <f t="shared" ref="R68:AW68" si="74">R$13*R133*-1</f>
        <v>6800</v>
      </c>
      <c r="S68" s="527">
        <f t="shared" si="74"/>
        <v>6800</v>
      </c>
      <c r="T68" s="527">
        <f t="shared" si="74"/>
        <v>6800</v>
      </c>
      <c r="U68" s="527">
        <f t="shared" si="74"/>
        <v>6800</v>
      </c>
      <c r="V68" s="527">
        <f t="shared" si="74"/>
        <v>6800</v>
      </c>
      <c r="W68" s="527">
        <f t="shared" si="74"/>
        <v>6800</v>
      </c>
      <c r="X68" s="527">
        <f t="shared" si="74"/>
        <v>6800</v>
      </c>
      <c r="Y68" s="527">
        <f t="shared" si="74"/>
        <v>6800</v>
      </c>
      <c r="Z68" s="527">
        <f t="shared" si="74"/>
        <v>6800</v>
      </c>
      <c r="AA68" s="527">
        <f t="shared" si="74"/>
        <v>6800</v>
      </c>
      <c r="AB68" s="527">
        <f t="shared" si="74"/>
        <v>6800</v>
      </c>
      <c r="AC68" s="527">
        <f t="shared" si="74"/>
        <v>6800</v>
      </c>
      <c r="AD68" s="527">
        <f t="shared" si="74"/>
        <v>6936</v>
      </c>
      <c r="AE68" s="527">
        <f t="shared" si="74"/>
        <v>6936</v>
      </c>
      <c r="AF68" s="527">
        <f t="shared" si="74"/>
        <v>6936</v>
      </c>
      <c r="AG68" s="527">
        <f t="shared" si="74"/>
        <v>6936</v>
      </c>
      <c r="AH68" s="527">
        <f t="shared" si="74"/>
        <v>6936</v>
      </c>
      <c r="AI68" s="527">
        <f t="shared" si="74"/>
        <v>6936</v>
      </c>
      <c r="AJ68" s="527">
        <f t="shared" si="74"/>
        <v>6936</v>
      </c>
      <c r="AK68" s="527">
        <f t="shared" si="74"/>
        <v>6936</v>
      </c>
      <c r="AL68" s="527">
        <f t="shared" si="74"/>
        <v>6936</v>
      </c>
      <c r="AM68" s="527">
        <f t="shared" si="74"/>
        <v>6936</v>
      </c>
      <c r="AN68" s="527">
        <f t="shared" si="74"/>
        <v>6936</v>
      </c>
      <c r="AO68" s="527">
        <f t="shared" si="74"/>
        <v>6936</v>
      </c>
      <c r="AP68" s="527">
        <f t="shared" si="74"/>
        <v>7074.7200000000012</v>
      </c>
      <c r="AQ68" s="527">
        <f t="shared" si="74"/>
        <v>7074.7200000000012</v>
      </c>
      <c r="AR68" s="527">
        <f t="shared" si="74"/>
        <v>7074.7200000000012</v>
      </c>
      <c r="AS68" s="527">
        <f t="shared" si="74"/>
        <v>7074.7200000000012</v>
      </c>
      <c r="AT68" s="527">
        <f t="shared" si="74"/>
        <v>7074.7200000000012</v>
      </c>
      <c r="AU68" s="527">
        <f t="shared" si="74"/>
        <v>7074.7200000000012</v>
      </c>
      <c r="AV68" s="527">
        <f t="shared" si="74"/>
        <v>7074.7200000000012</v>
      </c>
      <c r="AW68" s="527">
        <f t="shared" si="74"/>
        <v>7074.7200000000012</v>
      </c>
      <c r="AX68" s="527">
        <f t="shared" ref="AX68:BY68" si="75">AX$13*AX133*-1</f>
        <v>7074.7200000000012</v>
      </c>
      <c r="AY68" s="527">
        <f t="shared" si="75"/>
        <v>7074.7200000000012</v>
      </c>
      <c r="AZ68" s="527">
        <f t="shared" si="75"/>
        <v>7074.7200000000012</v>
      </c>
      <c r="BA68" s="527">
        <f t="shared" si="75"/>
        <v>7074.7200000000012</v>
      </c>
      <c r="BB68" s="527">
        <f t="shared" si="75"/>
        <v>7216.2143999999998</v>
      </c>
      <c r="BC68" s="527">
        <f t="shared" si="75"/>
        <v>7216.2143999999998</v>
      </c>
      <c r="BD68" s="527">
        <f t="shared" si="75"/>
        <v>7216.2143999999998</v>
      </c>
      <c r="BE68" s="527">
        <f t="shared" si="75"/>
        <v>7216.2143999999998</v>
      </c>
      <c r="BF68" s="527">
        <f t="shared" si="75"/>
        <v>7216.2143999999998</v>
      </c>
      <c r="BG68" s="527">
        <f t="shared" si="75"/>
        <v>7216.2143999999998</v>
      </c>
      <c r="BH68" s="527">
        <f t="shared" si="75"/>
        <v>7216.2143999999998</v>
      </c>
      <c r="BI68" s="527">
        <f t="shared" si="75"/>
        <v>7216.2143999999998</v>
      </c>
      <c r="BJ68" s="527">
        <f t="shared" si="75"/>
        <v>7216.2143999999998</v>
      </c>
      <c r="BK68" s="527">
        <f t="shared" si="75"/>
        <v>7216.2143999999998</v>
      </c>
      <c r="BL68" s="527">
        <f t="shared" si="75"/>
        <v>7216.2143999999998</v>
      </c>
      <c r="BM68" s="527">
        <f t="shared" si="75"/>
        <v>7216.2143999999998</v>
      </c>
      <c r="BN68" s="527">
        <f t="shared" si="75"/>
        <v>7360.5386880000005</v>
      </c>
      <c r="BO68" s="527">
        <f t="shared" si="75"/>
        <v>7360.5386880000005</v>
      </c>
      <c r="BP68" s="527">
        <f t="shared" si="75"/>
        <v>7360.5386880000005</v>
      </c>
      <c r="BQ68" s="527">
        <f t="shared" si="75"/>
        <v>7360.5386880000005</v>
      </c>
      <c r="BR68" s="527">
        <f t="shared" si="75"/>
        <v>7360.5386880000005</v>
      </c>
      <c r="BS68" s="527">
        <f t="shared" si="75"/>
        <v>7360.5386880000005</v>
      </c>
      <c r="BT68" s="527">
        <f t="shared" si="75"/>
        <v>7360.5386880000005</v>
      </c>
      <c r="BU68" s="527">
        <f t="shared" si="75"/>
        <v>7360.5386880000005</v>
      </c>
      <c r="BV68" s="527">
        <f t="shared" si="75"/>
        <v>7360.5386880000005</v>
      </c>
      <c r="BW68" s="527">
        <f t="shared" si="75"/>
        <v>7360.5386880000005</v>
      </c>
      <c r="BX68" s="527">
        <f t="shared" si="75"/>
        <v>7360.5386880000005</v>
      </c>
      <c r="BY68" s="527">
        <f t="shared" si="75"/>
        <v>7360.5386880000005</v>
      </c>
    </row>
    <row r="69" spans="3:80" x14ac:dyDescent="0.3">
      <c r="C69" s="2"/>
      <c r="D69" s="2"/>
      <c r="E69" s="2" t="s">
        <v>69</v>
      </c>
      <c r="F69" s="54"/>
      <c r="G69" s="54"/>
      <c r="H69" s="54"/>
      <c r="I69" s="37">
        <f>I$13*I134*-1</f>
        <v>14514.23256872387</v>
      </c>
      <c r="J69" s="497">
        <f t="shared" si="72"/>
        <v>15302.494557524729</v>
      </c>
      <c r="K69" s="497">
        <f t="shared" si="72"/>
        <v>16246.19243817676</v>
      </c>
      <c r="L69" s="497">
        <f t="shared" si="72"/>
        <v>17213.994983139259</v>
      </c>
      <c r="M69" s="497">
        <f t="shared" si="72"/>
        <v>18202.467633875589</v>
      </c>
      <c r="N69" s="497">
        <f t="shared" si="72"/>
        <v>19239.75725507069</v>
      </c>
      <c r="O69" s="37"/>
      <c r="P69" s="50">
        <f t="shared" si="73"/>
        <v>5.7988877689240104E-2</v>
      </c>
      <c r="R69" s="497">
        <f t="shared" ref="R69:AW69" si="76">R$13*R134*-1</f>
        <v>1259.710358483846</v>
      </c>
      <c r="S69" s="527">
        <f t="shared" si="76"/>
        <v>1259.710358483846</v>
      </c>
      <c r="T69" s="527">
        <f t="shared" si="76"/>
        <v>1259.710358483846</v>
      </c>
      <c r="U69" s="527">
        <f t="shared" si="76"/>
        <v>1259.710358483846</v>
      </c>
      <c r="V69" s="527">
        <f t="shared" si="76"/>
        <v>1259.710358483846</v>
      </c>
      <c r="W69" s="527">
        <f t="shared" si="76"/>
        <v>1259.710358483846</v>
      </c>
      <c r="X69" s="527">
        <f t="shared" si="76"/>
        <v>1290.7054011036084</v>
      </c>
      <c r="Y69" s="527">
        <f t="shared" si="76"/>
        <v>1290.7054011036084</v>
      </c>
      <c r="Z69" s="527">
        <f t="shared" si="76"/>
        <v>1290.7054011036084</v>
      </c>
      <c r="AA69" s="527">
        <f t="shared" si="76"/>
        <v>1290.7054011036084</v>
      </c>
      <c r="AB69" s="527">
        <f t="shared" si="76"/>
        <v>1290.7054011036084</v>
      </c>
      <c r="AC69" s="527">
        <f t="shared" si="76"/>
        <v>1290.7054011036084</v>
      </c>
      <c r="AD69" s="527">
        <f t="shared" si="76"/>
        <v>1333.9195549991894</v>
      </c>
      <c r="AE69" s="527">
        <f t="shared" si="76"/>
        <v>1333.9195549991894</v>
      </c>
      <c r="AF69" s="527">
        <f t="shared" si="76"/>
        <v>1333.9195549991894</v>
      </c>
      <c r="AG69" s="527">
        <f t="shared" si="76"/>
        <v>1333.9195549991894</v>
      </c>
      <c r="AH69" s="527">
        <f t="shared" si="76"/>
        <v>1333.9195549991894</v>
      </c>
      <c r="AI69" s="527">
        <f t="shared" si="76"/>
        <v>1333.9195549991894</v>
      </c>
      <c r="AJ69" s="527">
        <f t="shared" si="76"/>
        <v>1373.7791846969369</v>
      </c>
      <c r="AK69" s="527">
        <f t="shared" si="76"/>
        <v>1373.7791846969369</v>
      </c>
      <c r="AL69" s="527">
        <f t="shared" si="76"/>
        <v>1373.7791846969369</v>
      </c>
      <c r="AM69" s="527">
        <f t="shared" si="76"/>
        <v>1373.7791846969369</v>
      </c>
      <c r="AN69" s="527">
        <f t="shared" si="76"/>
        <v>1373.7791846969369</v>
      </c>
      <c r="AO69" s="527">
        <f t="shared" si="76"/>
        <v>1373.7791846969369</v>
      </c>
      <c r="AP69" s="527">
        <f t="shared" si="76"/>
        <v>1409.8398579278282</v>
      </c>
      <c r="AQ69" s="527">
        <f t="shared" si="76"/>
        <v>1409.8398579278282</v>
      </c>
      <c r="AR69" s="527">
        <f t="shared" si="76"/>
        <v>1409.8398579278282</v>
      </c>
      <c r="AS69" s="527">
        <f t="shared" si="76"/>
        <v>1409.8398579278282</v>
      </c>
      <c r="AT69" s="527">
        <f t="shared" si="76"/>
        <v>1409.8398579278282</v>
      </c>
      <c r="AU69" s="527">
        <f t="shared" si="76"/>
        <v>1409.8398579278282</v>
      </c>
      <c r="AV69" s="527">
        <f t="shared" si="76"/>
        <v>1459.1593059287143</v>
      </c>
      <c r="AW69" s="527">
        <f t="shared" si="76"/>
        <v>1459.1593059287143</v>
      </c>
      <c r="AX69" s="527">
        <f t="shared" ref="AX69:BY69" si="77">AX$13*AX134*-1</f>
        <v>1459.1593059287143</v>
      </c>
      <c r="AY69" s="527">
        <f t="shared" si="77"/>
        <v>1459.1593059287143</v>
      </c>
      <c r="AZ69" s="527">
        <f t="shared" si="77"/>
        <v>1459.1593059287143</v>
      </c>
      <c r="BA69" s="527">
        <f t="shared" si="77"/>
        <v>1459.1593059287143</v>
      </c>
      <c r="BB69" s="527">
        <f t="shared" si="77"/>
        <v>1487.1788240412729</v>
      </c>
      <c r="BC69" s="527">
        <f t="shared" si="77"/>
        <v>1487.1788240412729</v>
      </c>
      <c r="BD69" s="527">
        <f t="shared" si="77"/>
        <v>1487.1788240412729</v>
      </c>
      <c r="BE69" s="527">
        <f t="shared" si="77"/>
        <v>1487.1788240412729</v>
      </c>
      <c r="BF69" s="527">
        <f t="shared" si="77"/>
        <v>1487.1788240412729</v>
      </c>
      <c r="BG69" s="527">
        <f t="shared" si="77"/>
        <v>1487.1788240412729</v>
      </c>
      <c r="BH69" s="527">
        <f t="shared" si="77"/>
        <v>1546.5657816046587</v>
      </c>
      <c r="BI69" s="527">
        <f t="shared" si="77"/>
        <v>1546.5657816046587</v>
      </c>
      <c r="BJ69" s="527">
        <f t="shared" si="77"/>
        <v>1546.5657816046587</v>
      </c>
      <c r="BK69" s="527">
        <f t="shared" si="77"/>
        <v>1546.5657816046587</v>
      </c>
      <c r="BL69" s="527">
        <f t="shared" si="77"/>
        <v>1546.5657816046587</v>
      </c>
      <c r="BM69" s="527">
        <f t="shared" si="77"/>
        <v>1546.5657816046587</v>
      </c>
      <c r="BN69" s="527">
        <f t="shared" si="77"/>
        <v>1568.2672106509697</v>
      </c>
      <c r="BO69" s="527">
        <f t="shared" si="77"/>
        <v>1568.2672106509697</v>
      </c>
      <c r="BP69" s="527">
        <f t="shared" si="77"/>
        <v>1568.2672106509697</v>
      </c>
      <c r="BQ69" s="527">
        <f t="shared" si="77"/>
        <v>1568.2672106509697</v>
      </c>
      <c r="BR69" s="527">
        <f t="shared" si="77"/>
        <v>1568.2672106509697</v>
      </c>
      <c r="BS69" s="527">
        <f t="shared" si="77"/>
        <v>1568.2672106509697</v>
      </c>
      <c r="BT69" s="527">
        <f t="shared" si="77"/>
        <v>1638.3589985274787</v>
      </c>
      <c r="BU69" s="527">
        <f t="shared" si="77"/>
        <v>1638.3589985274787</v>
      </c>
      <c r="BV69" s="527">
        <f t="shared" si="77"/>
        <v>1638.3589985274787</v>
      </c>
      <c r="BW69" s="527">
        <f t="shared" si="77"/>
        <v>1638.3589985274787</v>
      </c>
      <c r="BX69" s="527">
        <f t="shared" si="77"/>
        <v>1638.3589985274787</v>
      </c>
      <c r="BY69" s="527">
        <f t="shared" si="77"/>
        <v>1638.3589985274787</v>
      </c>
    </row>
    <row r="70" spans="3:80" x14ac:dyDescent="0.3">
      <c r="C70" s="2"/>
      <c r="D70" s="2"/>
      <c r="E70" s="2" t="s">
        <v>184</v>
      </c>
      <c r="F70" s="54"/>
      <c r="G70" s="54"/>
      <c r="H70" s="54"/>
      <c r="I70" s="497">
        <f>I153*I13*-1</f>
        <v>-300000</v>
      </c>
      <c r="J70" s="497">
        <f t="shared" si="72"/>
        <v>-307402.9315068493</v>
      </c>
      <c r="K70" s="497">
        <f t="shared" si="72"/>
        <v>-314526.42595964728</v>
      </c>
      <c r="L70" s="497">
        <f t="shared" si="72"/>
        <v>-321272.71619579918</v>
      </c>
      <c r="M70" s="497">
        <f t="shared" si="72"/>
        <v>-327569.22133362567</v>
      </c>
      <c r="N70" s="497">
        <f t="shared" si="72"/>
        <v>-333924.15397249005</v>
      </c>
      <c r="O70" s="67"/>
      <c r="P70" s="50">
        <f>IFERROR(((N70/I70)^(1/5))-1,0)</f>
        <v>2.1657472733383143E-2</v>
      </c>
      <c r="R70" s="497">
        <f t="shared" ref="R70:AW70" si="78">R153*R13*-1</f>
        <v>-25616.910958904111</v>
      </c>
      <c r="S70" s="527">
        <f t="shared" si="78"/>
        <v>-25616.910958904111</v>
      </c>
      <c r="T70" s="527">
        <f t="shared" si="78"/>
        <v>-25616.910958904111</v>
      </c>
      <c r="U70" s="527">
        <f t="shared" si="78"/>
        <v>-25616.910958904111</v>
      </c>
      <c r="V70" s="527">
        <f t="shared" si="78"/>
        <v>-25616.910958904111</v>
      </c>
      <c r="W70" s="527">
        <f t="shared" si="78"/>
        <v>-25616.910958904111</v>
      </c>
      <c r="X70" s="527">
        <f t="shared" si="78"/>
        <v>-25616.910958904111</v>
      </c>
      <c r="Y70" s="527">
        <f t="shared" si="78"/>
        <v>-25616.910958904111</v>
      </c>
      <c r="Z70" s="527">
        <f t="shared" si="78"/>
        <v>-25616.910958904111</v>
      </c>
      <c r="AA70" s="527">
        <f t="shared" si="78"/>
        <v>-25616.910958904111</v>
      </c>
      <c r="AB70" s="527">
        <f t="shared" si="78"/>
        <v>-25616.910958904111</v>
      </c>
      <c r="AC70" s="527">
        <f t="shared" si="78"/>
        <v>-25616.910958904111</v>
      </c>
      <c r="AD70" s="527">
        <f t="shared" si="78"/>
        <v>-26210.535496637269</v>
      </c>
      <c r="AE70" s="527">
        <f t="shared" si="78"/>
        <v>-26210.535496637269</v>
      </c>
      <c r="AF70" s="527">
        <f t="shared" si="78"/>
        <v>-26210.535496637269</v>
      </c>
      <c r="AG70" s="527">
        <f t="shared" si="78"/>
        <v>-26210.535496637269</v>
      </c>
      <c r="AH70" s="527">
        <f t="shared" si="78"/>
        <v>-26210.535496637269</v>
      </c>
      <c r="AI70" s="527">
        <f t="shared" si="78"/>
        <v>-26210.535496637269</v>
      </c>
      <c r="AJ70" s="527">
        <f t="shared" si="78"/>
        <v>-26210.535496637269</v>
      </c>
      <c r="AK70" s="527">
        <f t="shared" si="78"/>
        <v>-26210.535496637269</v>
      </c>
      <c r="AL70" s="527">
        <f t="shared" si="78"/>
        <v>-26210.535496637269</v>
      </c>
      <c r="AM70" s="527">
        <f t="shared" si="78"/>
        <v>-26210.535496637269</v>
      </c>
      <c r="AN70" s="527">
        <f t="shared" si="78"/>
        <v>-26210.535496637269</v>
      </c>
      <c r="AO70" s="527">
        <f t="shared" si="78"/>
        <v>-26210.535496637269</v>
      </c>
      <c r="AP70" s="527">
        <f t="shared" si="78"/>
        <v>-26772.726349649933</v>
      </c>
      <c r="AQ70" s="527">
        <f t="shared" si="78"/>
        <v>-26772.726349649933</v>
      </c>
      <c r="AR70" s="527">
        <f t="shared" si="78"/>
        <v>-26772.726349649933</v>
      </c>
      <c r="AS70" s="527">
        <f t="shared" si="78"/>
        <v>-26772.726349649933</v>
      </c>
      <c r="AT70" s="527">
        <f t="shared" si="78"/>
        <v>-26772.726349649933</v>
      </c>
      <c r="AU70" s="527">
        <f t="shared" si="78"/>
        <v>-26772.726349649933</v>
      </c>
      <c r="AV70" s="527">
        <f t="shared" si="78"/>
        <v>-26772.726349649933</v>
      </c>
      <c r="AW70" s="527">
        <f t="shared" si="78"/>
        <v>-26772.726349649933</v>
      </c>
      <c r="AX70" s="527">
        <f t="shared" ref="AX70:BY70" si="79">AX153*AX13*-1</f>
        <v>-26772.726349649933</v>
      </c>
      <c r="AY70" s="527">
        <f t="shared" si="79"/>
        <v>-26772.726349649933</v>
      </c>
      <c r="AZ70" s="527">
        <f t="shared" si="79"/>
        <v>-26772.726349649933</v>
      </c>
      <c r="BA70" s="527">
        <f t="shared" si="79"/>
        <v>-26772.726349649933</v>
      </c>
      <c r="BB70" s="527">
        <f t="shared" si="79"/>
        <v>-27297.43511113547</v>
      </c>
      <c r="BC70" s="527">
        <f t="shared" si="79"/>
        <v>-27297.43511113547</v>
      </c>
      <c r="BD70" s="527">
        <f t="shared" si="79"/>
        <v>-27297.43511113547</v>
      </c>
      <c r="BE70" s="527">
        <f t="shared" si="79"/>
        <v>-27297.43511113547</v>
      </c>
      <c r="BF70" s="527">
        <f t="shared" si="79"/>
        <v>-27297.43511113547</v>
      </c>
      <c r="BG70" s="527">
        <f t="shared" si="79"/>
        <v>-27297.43511113547</v>
      </c>
      <c r="BH70" s="527">
        <f t="shared" si="79"/>
        <v>-27297.43511113547</v>
      </c>
      <c r="BI70" s="527">
        <f t="shared" si="79"/>
        <v>-27297.43511113547</v>
      </c>
      <c r="BJ70" s="527">
        <f t="shared" si="79"/>
        <v>-27297.43511113547</v>
      </c>
      <c r="BK70" s="527">
        <f t="shared" si="79"/>
        <v>-27297.43511113547</v>
      </c>
      <c r="BL70" s="527">
        <f t="shared" si="79"/>
        <v>-27297.43511113547</v>
      </c>
      <c r="BM70" s="527">
        <f t="shared" si="79"/>
        <v>-27297.43511113547</v>
      </c>
      <c r="BN70" s="527">
        <f t="shared" si="79"/>
        <v>-27827.012831040844</v>
      </c>
      <c r="BO70" s="527">
        <f t="shared" si="79"/>
        <v>-27827.012831040844</v>
      </c>
      <c r="BP70" s="527">
        <f t="shared" si="79"/>
        <v>-27827.012831040844</v>
      </c>
      <c r="BQ70" s="527">
        <f t="shared" si="79"/>
        <v>-27827.012831040844</v>
      </c>
      <c r="BR70" s="527">
        <f t="shared" si="79"/>
        <v>-27827.012831040844</v>
      </c>
      <c r="BS70" s="527">
        <f t="shared" si="79"/>
        <v>-27827.012831040844</v>
      </c>
      <c r="BT70" s="527">
        <f t="shared" si="79"/>
        <v>-27827.012831040844</v>
      </c>
      <c r="BU70" s="527">
        <f t="shared" si="79"/>
        <v>-27827.012831040844</v>
      </c>
      <c r="BV70" s="527">
        <f t="shared" si="79"/>
        <v>-27827.012831040844</v>
      </c>
      <c r="BW70" s="527">
        <f t="shared" si="79"/>
        <v>-27827.012831040844</v>
      </c>
      <c r="BX70" s="527">
        <f t="shared" si="79"/>
        <v>-27827.012831040844</v>
      </c>
      <c r="BY70" s="527">
        <f t="shared" si="79"/>
        <v>-27827.012831040844</v>
      </c>
    </row>
    <row r="71" spans="3:80" x14ac:dyDescent="0.3">
      <c r="C71" s="2"/>
      <c r="D71" s="2"/>
      <c r="E71" s="62" t="s">
        <v>293</v>
      </c>
      <c r="F71" s="63"/>
      <c r="G71" s="63"/>
      <c r="H71" s="63"/>
      <c r="I71" s="501">
        <f t="shared" ref="I71:N71" si="80">SUM(I65,I68:I70)</f>
        <v>-1150229.5898281923</v>
      </c>
      <c r="J71" s="501">
        <f t="shared" si="80"/>
        <v>-1230666.7407843065</v>
      </c>
      <c r="K71" s="501">
        <f t="shared" si="80"/>
        <v>-1298127.7293999211</v>
      </c>
      <c r="L71" s="501">
        <f t="shared" si="80"/>
        <v>-1366761.7467552773</v>
      </c>
      <c r="M71" s="501">
        <f t="shared" si="80"/>
        <v>-1436270.023158123</v>
      </c>
      <c r="N71" s="501">
        <f t="shared" si="80"/>
        <v>-1509008.4161327982</v>
      </c>
      <c r="O71" s="57"/>
      <c r="P71" s="55">
        <f t="shared" si="73"/>
        <v>5.579943498809925E-2</v>
      </c>
      <c r="R71" s="501">
        <f>SUM(R65,R68:R70)</f>
        <v>-101537.89116601</v>
      </c>
      <c r="S71" s="535">
        <f t="shared" ref="S71:BY71" si="81">SUM(S65,S68:S70)</f>
        <v>-101537.89116601</v>
      </c>
      <c r="T71" s="535">
        <f t="shared" si="81"/>
        <v>-101537.89116601</v>
      </c>
      <c r="U71" s="535">
        <f t="shared" si="81"/>
        <v>-101537.89116601</v>
      </c>
      <c r="V71" s="535">
        <f t="shared" si="81"/>
        <v>-101537.89116601</v>
      </c>
      <c r="W71" s="535">
        <f t="shared" si="81"/>
        <v>-101537.89116601</v>
      </c>
      <c r="X71" s="535">
        <f t="shared" si="81"/>
        <v>-103573.23229804108</v>
      </c>
      <c r="Y71" s="535">
        <f t="shared" si="81"/>
        <v>-103573.23229804108</v>
      </c>
      <c r="Z71" s="535">
        <f t="shared" si="81"/>
        <v>-103573.23229804108</v>
      </c>
      <c r="AA71" s="535">
        <f t="shared" si="81"/>
        <v>-103573.23229804108</v>
      </c>
      <c r="AB71" s="535">
        <f t="shared" si="81"/>
        <v>-103573.23229804108</v>
      </c>
      <c r="AC71" s="535">
        <f t="shared" si="81"/>
        <v>-103573.23229804108</v>
      </c>
      <c r="AD71" s="535">
        <f t="shared" si="81"/>
        <v>-106868.5862749174</v>
      </c>
      <c r="AE71" s="535">
        <f t="shared" si="81"/>
        <v>-106868.5862749174</v>
      </c>
      <c r="AF71" s="535">
        <f t="shared" si="81"/>
        <v>-106868.5862749174</v>
      </c>
      <c r="AG71" s="535">
        <f t="shared" si="81"/>
        <v>-106868.5862749174</v>
      </c>
      <c r="AH71" s="535">
        <f t="shared" si="81"/>
        <v>-106868.5862749174</v>
      </c>
      <c r="AI71" s="535">
        <f t="shared" si="81"/>
        <v>-106868.5862749174</v>
      </c>
      <c r="AJ71" s="535">
        <f t="shared" si="81"/>
        <v>-109486.03529173615</v>
      </c>
      <c r="AK71" s="535">
        <f t="shared" si="81"/>
        <v>-109486.03529173615</v>
      </c>
      <c r="AL71" s="535">
        <f t="shared" si="81"/>
        <v>-109486.03529173615</v>
      </c>
      <c r="AM71" s="535">
        <f t="shared" si="81"/>
        <v>-109486.03529173615</v>
      </c>
      <c r="AN71" s="535">
        <f t="shared" si="81"/>
        <v>-109486.03529173615</v>
      </c>
      <c r="AO71" s="535">
        <f t="shared" si="81"/>
        <v>-109486.03529173615</v>
      </c>
      <c r="AP71" s="535">
        <f t="shared" si="81"/>
        <v>-112277.49035357732</v>
      </c>
      <c r="AQ71" s="535">
        <f t="shared" si="81"/>
        <v>-112277.49035357732</v>
      </c>
      <c r="AR71" s="535">
        <f t="shared" si="81"/>
        <v>-112277.49035357732</v>
      </c>
      <c r="AS71" s="535">
        <f t="shared" si="81"/>
        <v>-112277.49035357732</v>
      </c>
      <c r="AT71" s="535">
        <f t="shared" si="81"/>
        <v>-112277.49035357732</v>
      </c>
      <c r="AU71" s="535">
        <f t="shared" si="81"/>
        <v>-112277.49035357732</v>
      </c>
      <c r="AV71" s="535">
        <f t="shared" si="81"/>
        <v>-115516.1341056355</v>
      </c>
      <c r="AW71" s="535">
        <f t="shared" si="81"/>
        <v>-115516.1341056355</v>
      </c>
      <c r="AX71" s="535">
        <f t="shared" si="81"/>
        <v>-115516.1341056355</v>
      </c>
      <c r="AY71" s="535">
        <f t="shared" si="81"/>
        <v>-115516.1341056355</v>
      </c>
      <c r="AZ71" s="535">
        <f t="shared" si="81"/>
        <v>-115516.1341056355</v>
      </c>
      <c r="BA71" s="535">
        <f t="shared" si="81"/>
        <v>-115516.1341056355</v>
      </c>
      <c r="BB71" s="535">
        <f t="shared" si="81"/>
        <v>-117739.29682317906</v>
      </c>
      <c r="BC71" s="535">
        <f t="shared" si="81"/>
        <v>-117739.29682317906</v>
      </c>
      <c r="BD71" s="535">
        <f t="shared" si="81"/>
        <v>-117739.29682317906</v>
      </c>
      <c r="BE71" s="535">
        <f t="shared" si="81"/>
        <v>-117739.29682317906</v>
      </c>
      <c r="BF71" s="535">
        <f t="shared" si="81"/>
        <v>-117739.29682317906</v>
      </c>
      <c r="BG71" s="535">
        <f t="shared" si="81"/>
        <v>-117739.29682317906</v>
      </c>
      <c r="BH71" s="535">
        <f t="shared" si="81"/>
        <v>-121639.04036984142</v>
      </c>
      <c r="BI71" s="535">
        <f t="shared" si="81"/>
        <v>-121639.04036984142</v>
      </c>
      <c r="BJ71" s="535">
        <f t="shared" si="81"/>
        <v>-121639.04036984142</v>
      </c>
      <c r="BK71" s="535">
        <f t="shared" si="81"/>
        <v>-121639.04036984142</v>
      </c>
      <c r="BL71" s="535">
        <f t="shared" si="81"/>
        <v>-121639.04036984142</v>
      </c>
      <c r="BM71" s="535">
        <f t="shared" si="81"/>
        <v>-121639.04036984142</v>
      </c>
      <c r="BN71" s="535">
        <f t="shared" si="81"/>
        <v>-123449.35430912115</v>
      </c>
      <c r="BO71" s="535">
        <f t="shared" si="81"/>
        <v>-123449.35430912115</v>
      </c>
      <c r="BP71" s="535">
        <f t="shared" si="81"/>
        <v>-123449.35430912115</v>
      </c>
      <c r="BQ71" s="535">
        <f t="shared" si="81"/>
        <v>-123449.35430912115</v>
      </c>
      <c r="BR71" s="535">
        <f t="shared" si="81"/>
        <v>-123449.35430912115</v>
      </c>
      <c r="BS71" s="535">
        <f t="shared" si="81"/>
        <v>-123449.35430912115</v>
      </c>
      <c r="BT71" s="535">
        <f t="shared" si="81"/>
        <v>-128052.04837967861</v>
      </c>
      <c r="BU71" s="535">
        <f t="shared" si="81"/>
        <v>-128052.04837967861</v>
      </c>
      <c r="BV71" s="535">
        <f t="shared" si="81"/>
        <v>-128052.04837967861</v>
      </c>
      <c r="BW71" s="535">
        <f t="shared" si="81"/>
        <v>-128052.04837967861</v>
      </c>
      <c r="BX71" s="535">
        <f t="shared" si="81"/>
        <v>-128052.04837967861</v>
      </c>
      <c r="BY71" s="535">
        <f t="shared" si="81"/>
        <v>-128052.04837967861</v>
      </c>
    </row>
    <row r="72" spans="3:80" x14ac:dyDescent="0.3">
      <c r="C72" s="2"/>
      <c r="D72" s="2"/>
      <c r="E72" s="2" t="s">
        <v>407</v>
      </c>
      <c r="F72" s="2"/>
      <c r="G72" s="2"/>
      <c r="H72" s="2"/>
      <c r="I72" s="499">
        <f t="shared" ref="I72:N72" si="82">IFERROR(I71/I65,0)</f>
        <v>1.1887258775639042</v>
      </c>
      <c r="J72" s="499">
        <f t="shared" si="82"/>
        <v>1.206339335222127</v>
      </c>
      <c r="K72" s="499">
        <f t="shared" si="82"/>
        <v>1.198552584865483</v>
      </c>
      <c r="L72" s="499">
        <f t="shared" si="82"/>
        <v>1.1909743334658729</v>
      </c>
      <c r="M72" s="499">
        <f t="shared" si="82"/>
        <v>1.1835785554304419</v>
      </c>
      <c r="N72" s="499">
        <f t="shared" si="82"/>
        <v>1.1764767061198984</v>
      </c>
      <c r="O72" s="23"/>
      <c r="P72" s="50">
        <f t="shared" si="73"/>
        <v>-2.0694382968586833E-3</v>
      </c>
      <c r="R72" s="499">
        <f t="shared" ref="R72:AW72" si="83">IFERROR(R71/R65,0)</f>
        <v>1.2090623509068186</v>
      </c>
      <c r="S72" s="531">
        <f t="shared" si="83"/>
        <v>1.2090623509068186</v>
      </c>
      <c r="T72" s="531">
        <f t="shared" si="83"/>
        <v>1.2090623509068186</v>
      </c>
      <c r="U72" s="531">
        <f t="shared" si="83"/>
        <v>1.2090623509068186</v>
      </c>
      <c r="V72" s="531">
        <f t="shared" si="83"/>
        <v>1.2090623509068186</v>
      </c>
      <c r="W72" s="531">
        <f t="shared" si="83"/>
        <v>1.2090623509068186</v>
      </c>
      <c r="X72" s="531">
        <f t="shared" si="83"/>
        <v>1.2036817101270536</v>
      </c>
      <c r="Y72" s="531">
        <f t="shared" si="83"/>
        <v>1.2036817101270536</v>
      </c>
      <c r="Z72" s="531">
        <f t="shared" si="83"/>
        <v>1.2036817101270536</v>
      </c>
      <c r="AA72" s="531">
        <f t="shared" si="83"/>
        <v>1.2036817101270536</v>
      </c>
      <c r="AB72" s="531">
        <f t="shared" si="83"/>
        <v>1.2036817101270536</v>
      </c>
      <c r="AC72" s="531">
        <f t="shared" si="83"/>
        <v>1.2036817101270536</v>
      </c>
      <c r="AD72" s="531">
        <f t="shared" si="83"/>
        <v>1.201743229654306</v>
      </c>
      <c r="AE72" s="531">
        <f t="shared" si="83"/>
        <v>1.201743229654306</v>
      </c>
      <c r="AF72" s="531">
        <f t="shared" si="83"/>
        <v>1.201743229654306</v>
      </c>
      <c r="AG72" s="531">
        <f t="shared" si="83"/>
        <v>1.201743229654306</v>
      </c>
      <c r="AH72" s="531">
        <f t="shared" si="83"/>
        <v>1.201743229654306</v>
      </c>
      <c r="AI72" s="531">
        <f t="shared" si="83"/>
        <v>1.201743229654306</v>
      </c>
      <c r="AJ72" s="531">
        <f t="shared" si="83"/>
        <v>1.1954545153035929</v>
      </c>
      <c r="AK72" s="531">
        <f t="shared" si="83"/>
        <v>1.1954545153035929</v>
      </c>
      <c r="AL72" s="531">
        <f t="shared" si="83"/>
        <v>1.1954545153035929</v>
      </c>
      <c r="AM72" s="531">
        <f t="shared" si="83"/>
        <v>1.1954545153035929</v>
      </c>
      <c r="AN72" s="531">
        <f t="shared" si="83"/>
        <v>1.1954545153035929</v>
      </c>
      <c r="AO72" s="531">
        <f t="shared" si="83"/>
        <v>1.1954545153035929</v>
      </c>
      <c r="AP72" s="531">
        <f t="shared" si="83"/>
        <v>1.1945770619501628</v>
      </c>
      <c r="AQ72" s="531">
        <f t="shared" si="83"/>
        <v>1.1945770619501628</v>
      </c>
      <c r="AR72" s="531">
        <f t="shared" si="83"/>
        <v>1.1945770619501628</v>
      </c>
      <c r="AS72" s="531">
        <f t="shared" si="83"/>
        <v>1.1945770619501628</v>
      </c>
      <c r="AT72" s="531">
        <f t="shared" si="83"/>
        <v>1.1945770619501628</v>
      </c>
      <c r="AU72" s="531">
        <f t="shared" si="83"/>
        <v>1.1945770619501628</v>
      </c>
      <c r="AV72" s="531">
        <f t="shared" si="83"/>
        <v>1.1874933768672302</v>
      </c>
      <c r="AW72" s="531">
        <f t="shared" si="83"/>
        <v>1.1874933768672302</v>
      </c>
      <c r="AX72" s="531">
        <f t="shared" ref="AX72:BY72" si="84">IFERROR(AX71/AX65,0)</f>
        <v>1.1874933768672302</v>
      </c>
      <c r="AY72" s="531">
        <f t="shared" si="84"/>
        <v>1.1874933768672302</v>
      </c>
      <c r="AZ72" s="531">
        <f t="shared" si="84"/>
        <v>1.1874933768672302</v>
      </c>
      <c r="BA72" s="531">
        <f t="shared" si="84"/>
        <v>1.1874933768672302</v>
      </c>
      <c r="BB72" s="531">
        <f t="shared" si="84"/>
        <v>1.1875434371426152</v>
      </c>
      <c r="BC72" s="531">
        <f t="shared" si="84"/>
        <v>1.1875434371426152</v>
      </c>
      <c r="BD72" s="531">
        <f t="shared" si="84"/>
        <v>1.1875434371426152</v>
      </c>
      <c r="BE72" s="531">
        <f t="shared" si="84"/>
        <v>1.1875434371426152</v>
      </c>
      <c r="BF72" s="531">
        <f t="shared" si="84"/>
        <v>1.1875434371426152</v>
      </c>
      <c r="BG72" s="531">
        <f t="shared" si="84"/>
        <v>1.1875434371426152</v>
      </c>
      <c r="BH72" s="531">
        <f t="shared" si="84"/>
        <v>1.1797659221804968</v>
      </c>
      <c r="BI72" s="531">
        <f t="shared" si="84"/>
        <v>1.1797659221804968</v>
      </c>
      <c r="BJ72" s="531">
        <f t="shared" si="84"/>
        <v>1.1797659221804968</v>
      </c>
      <c r="BK72" s="531">
        <f t="shared" si="84"/>
        <v>1.1797659221804968</v>
      </c>
      <c r="BL72" s="531">
        <f t="shared" si="84"/>
        <v>1.1797659221804968</v>
      </c>
      <c r="BM72" s="531">
        <f t="shared" si="84"/>
        <v>1.1797659221804968</v>
      </c>
      <c r="BN72" s="531">
        <f t="shared" si="84"/>
        <v>1.1807556148981664</v>
      </c>
      <c r="BO72" s="531">
        <f t="shared" si="84"/>
        <v>1.1807556148981664</v>
      </c>
      <c r="BP72" s="531">
        <f t="shared" si="84"/>
        <v>1.1807556148981664</v>
      </c>
      <c r="BQ72" s="531">
        <f t="shared" si="84"/>
        <v>1.1807556148981664</v>
      </c>
      <c r="BR72" s="531">
        <f t="shared" si="84"/>
        <v>1.1807556148981664</v>
      </c>
      <c r="BS72" s="531">
        <f t="shared" si="84"/>
        <v>1.1807556148981664</v>
      </c>
      <c r="BT72" s="531">
        <f t="shared" si="84"/>
        <v>1.1723808563456086</v>
      </c>
      <c r="BU72" s="531">
        <f t="shared" si="84"/>
        <v>1.1723808563456086</v>
      </c>
      <c r="BV72" s="531">
        <f t="shared" si="84"/>
        <v>1.1723808563456086</v>
      </c>
      <c r="BW72" s="531">
        <f t="shared" si="84"/>
        <v>1.1723808563456086</v>
      </c>
      <c r="BX72" s="531">
        <f t="shared" si="84"/>
        <v>1.1723808563456086</v>
      </c>
      <c r="BY72" s="531">
        <f t="shared" si="84"/>
        <v>1.1723808563456086</v>
      </c>
    </row>
    <row r="73" spans="3:80" x14ac:dyDescent="0.3">
      <c r="C73" s="2"/>
      <c r="D73" s="2"/>
      <c r="E73" s="2"/>
      <c r="F73" s="54"/>
      <c r="G73" s="54"/>
      <c r="H73" s="54"/>
      <c r="I73" s="37"/>
      <c r="J73" s="37"/>
      <c r="K73" s="37"/>
      <c r="L73" s="37"/>
      <c r="M73" s="37"/>
      <c r="N73" s="37"/>
      <c r="O73" s="37"/>
      <c r="P73" s="50"/>
      <c r="R73" s="37"/>
      <c r="S73" s="37"/>
      <c r="T73" s="37"/>
      <c r="U73" s="37"/>
      <c r="V73" s="37"/>
      <c r="W73" s="37"/>
      <c r="X73" s="37"/>
      <c r="Y73" s="37"/>
      <c r="Z73" s="37"/>
      <c r="AA73" s="37"/>
      <c r="AB73" s="37"/>
      <c r="AC73" s="37"/>
      <c r="AD73" s="37"/>
      <c r="AE73" s="37"/>
      <c r="AF73" s="37"/>
      <c r="AG73" s="37"/>
      <c r="AH73" s="37"/>
      <c r="AI73" s="37"/>
      <c r="AJ73" s="37"/>
      <c r="AK73" s="37"/>
      <c r="AL73" s="37"/>
      <c r="AM73" s="37"/>
      <c r="AN73" s="37"/>
      <c r="AO73" s="37"/>
      <c r="AP73" s="37"/>
      <c r="AQ73" s="37"/>
      <c r="AR73" s="37"/>
      <c r="AS73" s="37"/>
      <c r="AT73" s="37"/>
      <c r="AU73" s="37"/>
      <c r="AV73" s="37"/>
      <c r="AW73" s="37"/>
      <c r="AX73" s="37"/>
      <c r="AY73" s="37"/>
      <c r="AZ73" s="37"/>
      <c r="BA73" s="37"/>
      <c r="BB73" s="37"/>
      <c r="BC73" s="37"/>
      <c r="BD73" s="37"/>
      <c r="BE73" s="37"/>
      <c r="BF73" s="37"/>
      <c r="BG73" s="37"/>
      <c r="BH73" s="37"/>
      <c r="BI73" s="37"/>
      <c r="BJ73" s="37"/>
      <c r="BK73" s="37"/>
      <c r="BL73" s="37"/>
      <c r="BM73" s="37"/>
      <c r="BN73" s="37"/>
      <c r="BO73" s="37"/>
      <c r="BP73" s="37"/>
      <c r="BQ73" s="37"/>
      <c r="BR73" s="37"/>
      <c r="BS73" s="37"/>
      <c r="BT73" s="37"/>
      <c r="BU73" s="37"/>
      <c r="BV73" s="37"/>
      <c r="BW73" s="37"/>
      <c r="BX73" s="37"/>
      <c r="BY73" s="37"/>
    </row>
    <row r="74" spans="3:80" x14ac:dyDescent="0.3">
      <c r="C74" s="2"/>
      <c r="D74" s="2"/>
      <c r="E74" s="2" t="s">
        <v>70</v>
      </c>
      <c r="F74" s="54"/>
      <c r="G74" s="54"/>
      <c r="H74" s="54"/>
      <c r="I74" s="497">
        <f>I$13*I139*-1</f>
        <v>46707.077922077922</v>
      </c>
      <c r="J74" s="497">
        <f>SUMIF($R$2:$BY$2,J$3,$R74:$BY74)</f>
        <v>55102.297990688574</v>
      </c>
      <c r="K74" s="497">
        <f>SUMIF($R$2:$BY$2,K$3,$R74:$BY74)</f>
        <v>56427.497251333443</v>
      </c>
      <c r="L74" s="497">
        <f>SUMIF($R$2:$BY$2,L$3,$R74:$BY74)</f>
        <v>57694.54387874197</v>
      </c>
      <c r="M74" s="497">
        <f>SUMIF($R$2:$BY$2,M$3,$R74:$BY74)</f>
        <v>58887.530238770531</v>
      </c>
      <c r="N74" s="497">
        <f>SUMIF($R$2:$BY$2,N$3,$R74:$BY74)</f>
        <v>60036.777927150586</v>
      </c>
      <c r="O74" s="37"/>
      <c r="P74" s="50">
        <f>IFERROR(((N74/I74)^(1/5))-1,0)</f>
        <v>5.1494331251290104E-2</v>
      </c>
      <c r="R74" s="497">
        <f t="shared" ref="R74:AW74" si="85">R$13*R139*-1</f>
        <v>0</v>
      </c>
      <c r="S74" s="527">
        <f t="shared" si="85"/>
        <v>0</v>
      </c>
      <c r="T74" s="527">
        <f t="shared" si="85"/>
        <v>0</v>
      </c>
      <c r="U74" s="527">
        <f t="shared" si="85"/>
        <v>0</v>
      </c>
      <c r="V74" s="527">
        <f t="shared" si="85"/>
        <v>0</v>
      </c>
      <c r="W74" s="527">
        <f t="shared" si="85"/>
        <v>55102.297990688574</v>
      </c>
      <c r="X74" s="527">
        <f t="shared" si="85"/>
        <v>0</v>
      </c>
      <c r="Y74" s="527">
        <f t="shared" si="85"/>
        <v>0</v>
      </c>
      <c r="Z74" s="527">
        <f t="shared" si="85"/>
        <v>0</v>
      </c>
      <c r="AA74" s="527">
        <f t="shared" si="85"/>
        <v>0</v>
      </c>
      <c r="AB74" s="527">
        <f t="shared" si="85"/>
        <v>0</v>
      </c>
      <c r="AC74" s="527">
        <f t="shared" si="85"/>
        <v>0</v>
      </c>
      <c r="AD74" s="527">
        <f t="shared" si="85"/>
        <v>0</v>
      </c>
      <c r="AE74" s="527">
        <f t="shared" si="85"/>
        <v>0</v>
      </c>
      <c r="AF74" s="527">
        <f t="shared" si="85"/>
        <v>0</v>
      </c>
      <c r="AG74" s="527">
        <f t="shared" si="85"/>
        <v>0</v>
      </c>
      <c r="AH74" s="527">
        <f t="shared" si="85"/>
        <v>0</v>
      </c>
      <c r="AI74" s="527">
        <f t="shared" si="85"/>
        <v>56427.497251333443</v>
      </c>
      <c r="AJ74" s="527">
        <f t="shared" si="85"/>
        <v>0</v>
      </c>
      <c r="AK74" s="527">
        <f t="shared" si="85"/>
        <v>0</v>
      </c>
      <c r="AL74" s="527">
        <f t="shared" si="85"/>
        <v>0</v>
      </c>
      <c r="AM74" s="527">
        <f t="shared" si="85"/>
        <v>0</v>
      </c>
      <c r="AN74" s="527">
        <f t="shared" si="85"/>
        <v>0</v>
      </c>
      <c r="AO74" s="527">
        <f t="shared" si="85"/>
        <v>0</v>
      </c>
      <c r="AP74" s="527">
        <f t="shared" si="85"/>
        <v>0</v>
      </c>
      <c r="AQ74" s="527">
        <f t="shared" si="85"/>
        <v>0</v>
      </c>
      <c r="AR74" s="527">
        <f t="shared" si="85"/>
        <v>0</v>
      </c>
      <c r="AS74" s="527">
        <f t="shared" si="85"/>
        <v>0</v>
      </c>
      <c r="AT74" s="527">
        <f t="shared" si="85"/>
        <v>0</v>
      </c>
      <c r="AU74" s="527">
        <f t="shared" si="85"/>
        <v>57694.54387874197</v>
      </c>
      <c r="AV74" s="527">
        <f t="shared" si="85"/>
        <v>0</v>
      </c>
      <c r="AW74" s="527">
        <f t="shared" si="85"/>
        <v>0</v>
      </c>
      <c r="AX74" s="527">
        <f t="shared" ref="AX74:BY74" si="86">AX$13*AX139*-1</f>
        <v>0</v>
      </c>
      <c r="AY74" s="527">
        <f t="shared" si="86"/>
        <v>0</v>
      </c>
      <c r="AZ74" s="527">
        <f t="shared" si="86"/>
        <v>0</v>
      </c>
      <c r="BA74" s="527">
        <f t="shared" si="86"/>
        <v>0</v>
      </c>
      <c r="BB74" s="527">
        <f t="shared" si="86"/>
        <v>0</v>
      </c>
      <c r="BC74" s="527">
        <f t="shared" si="86"/>
        <v>0</v>
      </c>
      <c r="BD74" s="527">
        <f t="shared" si="86"/>
        <v>0</v>
      </c>
      <c r="BE74" s="527">
        <f t="shared" si="86"/>
        <v>0</v>
      </c>
      <c r="BF74" s="527">
        <f t="shared" si="86"/>
        <v>0</v>
      </c>
      <c r="BG74" s="527">
        <f t="shared" si="86"/>
        <v>58887.530238770531</v>
      </c>
      <c r="BH74" s="527">
        <f t="shared" si="86"/>
        <v>0</v>
      </c>
      <c r="BI74" s="527">
        <f t="shared" si="86"/>
        <v>0</v>
      </c>
      <c r="BJ74" s="527">
        <f t="shared" si="86"/>
        <v>0</v>
      </c>
      <c r="BK74" s="527">
        <f t="shared" si="86"/>
        <v>0</v>
      </c>
      <c r="BL74" s="527">
        <f t="shared" si="86"/>
        <v>0</v>
      </c>
      <c r="BM74" s="527">
        <f t="shared" si="86"/>
        <v>0</v>
      </c>
      <c r="BN74" s="527">
        <f t="shared" si="86"/>
        <v>0</v>
      </c>
      <c r="BO74" s="527">
        <f t="shared" si="86"/>
        <v>0</v>
      </c>
      <c r="BP74" s="527">
        <f t="shared" si="86"/>
        <v>0</v>
      </c>
      <c r="BQ74" s="527">
        <f t="shared" si="86"/>
        <v>0</v>
      </c>
      <c r="BR74" s="527">
        <f t="shared" si="86"/>
        <v>0</v>
      </c>
      <c r="BS74" s="527">
        <f t="shared" si="86"/>
        <v>60036.777927150586</v>
      </c>
      <c r="BT74" s="527">
        <f t="shared" si="86"/>
        <v>0</v>
      </c>
      <c r="BU74" s="527">
        <f t="shared" si="86"/>
        <v>0</v>
      </c>
      <c r="BV74" s="527">
        <f t="shared" si="86"/>
        <v>0</v>
      </c>
      <c r="BW74" s="527">
        <f t="shared" si="86"/>
        <v>0</v>
      </c>
      <c r="BX74" s="527">
        <f t="shared" si="86"/>
        <v>0</v>
      </c>
      <c r="BY74" s="527">
        <f t="shared" si="86"/>
        <v>0</v>
      </c>
    </row>
    <row r="75" spans="3:80" x14ac:dyDescent="0.3">
      <c r="C75" s="2"/>
      <c r="D75" s="2"/>
      <c r="E75" s="2" t="s">
        <v>185</v>
      </c>
      <c r="F75" s="54"/>
      <c r="G75" s="54"/>
      <c r="H75" s="54"/>
      <c r="I75" s="52">
        <v>0</v>
      </c>
      <c r="J75" s="52">
        <v>0</v>
      </c>
      <c r="K75" s="52">
        <v>0</v>
      </c>
      <c r="L75" s="52">
        <v>0</v>
      </c>
      <c r="M75" s="52">
        <v>0</v>
      </c>
      <c r="N75" s="52">
        <v>0</v>
      </c>
      <c r="O75" s="67"/>
      <c r="P75" s="50">
        <v>0</v>
      </c>
      <c r="R75" s="67">
        <v>0</v>
      </c>
      <c r="S75" s="544">
        <v>0</v>
      </c>
      <c r="T75" s="544">
        <v>0</v>
      </c>
      <c r="U75" s="544">
        <v>0</v>
      </c>
      <c r="V75" s="544">
        <v>0</v>
      </c>
      <c r="W75" s="544">
        <v>0</v>
      </c>
      <c r="X75" s="544">
        <v>0</v>
      </c>
      <c r="Y75" s="544">
        <v>0</v>
      </c>
      <c r="Z75" s="544">
        <v>0</v>
      </c>
      <c r="AA75" s="544">
        <v>0</v>
      </c>
      <c r="AB75" s="544">
        <v>0</v>
      </c>
      <c r="AC75" s="544">
        <v>0</v>
      </c>
      <c r="AD75" s="544">
        <v>0</v>
      </c>
      <c r="AE75" s="544">
        <v>0</v>
      </c>
      <c r="AF75" s="544">
        <v>0</v>
      </c>
      <c r="AG75" s="544">
        <v>0</v>
      </c>
      <c r="AH75" s="544">
        <v>0</v>
      </c>
      <c r="AI75" s="544">
        <v>0</v>
      </c>
      <c r="AJ75" s="544">
        <v>0</v>
      </c>
      <c r="AK75" s="544">
        <v>0</v>
      </c>
      <c r="AL75" s="544">
        <v>0</v>
      </c>
      <c r="AM75" s="544">
        <v>0</v>
      </c>
      <c r="AN75" s="544">
        <v>0</v>
      </c>
      <c r="AO75" s="544">
        <v>0</v>
      </c>
      <c r="AP75" s="544">
        <v>0</v>
      </c>
      <c r="AQ75" s="544">
        <v>0</v>
      </c>
      <c r="AR75" s="544">
        <v>0</v>
      </c>
      <c r="AS75" s="544">
        <v>0</v>
      </c>
      <c r="AT75" s="544">
        <v>0</v>
      </c>
      <c r="AU75" s="544">
        <v>0</v>
      </c>
      <c r="AV75" s="544">
        <v>0</v>
      </c>
      <c r="AW75" s="544">
        <v>0</v>
      </c>
      <c r="AX75" s="544">
        <v>0</v>
      </c>
      <c r="AY75" s="544">
        <v>0</v>
      </c>
      <c r="AZ75" s="544">
        <v>0</v>
      </c>
      <c r="BA75" s="544">
        <v>0</v>
      </c>
      <c r="BB75" s="544">
        <v>0</v>
      </c>
      <c r="BC75" s="544">
        <v>0</v>
      </c>
      <c r="BD75" s="544">
        <v>0</v>
      </c>
      <c r="BE75" s="544">
        <v>0</v>
      </c>
      <c r="BF75" s="544">
        <v>0</v>
      </c>
      <c r="BG75" s="544">
        <v>0</v>
      </c>
      <c r="BH75" s="544">
        <v>0</v>
      </c>
      <c r="BI75" s="544">
        <v>0</v>
      </c>
      <c r="BJ75" s="544">
        <v>0</v>
      </c>
      <c r="BK75" s="544">
        <v>0</v>
      </c>
      <c r="BL75" s="544">
        <v>0</v>
      </c>
      <c r="BM75" s="544">
        <v>0</v>
      </c>
      <c r="BN75" s="544">
        <v>0</v>
      </c>
      <c r="BO75" s="544">
        <v>0</v>
      </c>
      <c r="BP75" s="544">
        <v>0</v>
      </c>
      <c r="BQ75" s="544">
        <v>0</v>
      </c>
      <c r="BR75" s="544">
        <v>0</v>
      </c>
      <c r="BS75" s="544">
        <v>0</v>
      </c>
      <c r="BT75" s="544">
        <v>0</v>
      </c>
      <c r="BU75" s="544">
        <v>0</v>
      </c>
      <c r="BV75" s="544">
        <v>0</v>
      </c>
      <c r="BW75" s="544">
        <v>0</v>
      </c>
      <c r="BX75" s="544">
        <v>0</v>
      </c>
      <c r="BY75" s="544">
        <v>0</v>
      </c>
    </row>
    <row r="76" spans="3:80" x14ac:dyDescent="0.3">
      <c r="C76" s="2"/>
      <c r="D76" s="2"/>
      <c r="E76" s="2" t="s">
        <v>370</v>
      </c>
      <c r="F76" s="54"/>
      <c r="G76" s="54"/>
      <c r="H76" s="54"/>
      <c r="I76" s="670">
        <f t="shared" ref="I76:N76" si="87">SUMIF($R$2:$BY$2,I$3,$R76:$BY76)</f>
        <v>0</v>
      </c>
      <c r="J76" s="670">
        <f t="shared" si="87"/>
        <v>0</v>
      </c>
      <c r="K76" s="670">
        <f t="shared" si="87"/>
        <v>0</v>
      </c>
      <c r="L76" s="670">
        <f t="shared" si="87"/>
        <v>0</v>
      </c>
      <c r="M76" s="670">
        <f t="shared" si="87"/>
        <v>0</v>
      </c>
      <c r="N76" s="670">
        <f t="shared" si="87"/>
        <v>0</v>
      </c>
      <c r="O76" s="67"/>
      <c r="P76" s="50">
        <f t="shared" si="73"/>
        <v>0</v>
      </c>
      <c r="R76" s="497">
        <f t="shared" ref="R76:AW76" si="88">R$13*R141*-1</f>
        <v>0</v>
      </c>
      <c r="S76" s="527">
        <f t="shared" si="88"/>
        <v>0</v>
      </c>
      <c r="T76" s="527">
        <f t="shared" si="88"/>
        <v>0</v>
      </c>
      <c r="U76" s="527">
        <f t="shared" si="88"/>
        <v>0</v>
      </c>
      <c r="V76" s="527">
        <f t="shared" si="88"/>
        <v>0</v>
      </c>
      <c r="W76" s="527">
        <f t="shared" si="88"/>
        <v>0</v>
      </c>
      <c r="X76" s="527">
        <f t="shared" si="88"/>
        <v>0</v>
      </c>
      <c r="Y76" s="527">
        <f t="shared" si="88"/>
        <v>0</v>
      </c>
      <c r="Z76" s="527">
        <f t="shared" si="88"/>
        <v>0</v>
      </c>
      <c r="AA76" s="527">
        <f t="shared" si="88"/>
        <v>0</v>
      </c>
      <c r="AB76" s="527">
        <f t="shared" si="88"/>
        <v>0</v>
      </c>
      <c r="AC76" s="527">
        <f t="shared" si="88"/>
        <v>0</v>
      </c>
      <c r="AD76" s="527">
        <f t="shared" si="88"/>
        <v>0</v>
      </c>
      <c r="AE76" s="527">
        <f t="shared" si="88"/>
        <v>0</v>
      </c>
      <c r="AF76" s="527">
        <f t="shared" si="88"/>
        <v>0</v>
      </c>
      <c r="AG76" s="527">
        <f t="shared" si="88"/>
        <v>0</v>
      </c>
      <c r="AH76" s="527">
        <f t="shared" si="88"/>
        <v>0</v>
      </c>
      <c r="AI76" s="527">
        <f t="shared" si="88"/>
        <v>0</v>
      </c>
      <c r="AJ76" s="527">
        <f t="shared" si="88"/>
        <v>0</v>
      </c>
      <c r="AK76" s="527">
        <f t="shared" si="88"/>
        <v>0</v>
      </c>
      <c r="AL76" s="527">
        <f t="shared" si="88"/>
        <v>0</v>
      </c>
      <c r="AM76" s="527">
        <f t="shared" si="88"/>
        <v>0</v>
      </c>
      <c r="AN76" s="527">
        <f t="shared" si="88"/>
        <v>0</v>
      </c>
      <c r="AO76" s="527">
        <f t="shared" si="88"/>
        <v>0</v>
      </c>
      <c r="AP76" s="527">
        <f t="shared" si="88"/>
        <v>0</v>
      </c>
      <c r="AQ76" s="527">
        <f t="shared" si="88"/>
        <v>0</v>
      </c>
      <c r="AR76" s="527">
        <f t="shared" si="88"/>
        <v>0</v>
      </c>
      <c r="AS76" s="527">
        <f t="shared" si="88"/>
        <v>0</v>
      </c>
      <c r="AT76" s="527">
        <f t="shared" si="88"/>
        <v>0</v>
      </c>
      <c r="AU76" s="527">
        <f t="shared" si="88"/>
        <v>0</v>
      </c>
      <c r="AV76" s="527">
        <f t="shared" si="88"/>
        <v>0</v>
      </c>
      <c r="AW76" s="527">
        <f t="shared" si="88"/>
        <v>0</v>
      </c>
      <c r="AX76" s="527">
        <f t="shared" ref="AX76:BY76" si="89">AX$13*AX141*-1</f>
        <v>0</v>
      </c>
      <c r="AY76" s="527">
        <f t="shared" si="89"/>
        <v>0</v>
      </c>
      <c r="AZ76" s="527">
        <f t="shared" si="89"/>
        <v>0</v>
      </c>
      <c r="BA76" s="527">
        <f t="shared" si="89"/>
        <v>0</v>
      </c>
      <c r="BB76" s="527">
        <f t="shared" si="89"/>
        <v>0</v>
      </c>
      <c r="BC76" s="527">
        <f t="shared" si="89"/>
        <v>0</v>
      </c>
      <c r="BD76" s="527">
        <f t="shared" si="89"/>
        <v>0</v>
      </c>
      <c r="BE76" s="527">
        <f t="shared" si="89"/>
        <v>0</v>
      </c>
      <c r="BF76" s="527">
        <f t="shared" si="89"/>
        <v>0</v>
      </c>
      <c r="BG76" s="527">
        <f t="shared" si="89"/>
        <v>0</v>
      </c>
      <c r="BH76" s="527">
        <f t="shared" si="89"/>
        <v>0</v>
      </c>
      <c r="BI76" s="527">
        <f t="shared" si="89"/>
        <v>0</v>
      </c>
      <c r="BJ76" s="527">
        <f t="shared" si="89"/>
        <v>0</v>
      </c>
      <c r="BK76" s="527">
        <f t="shared" si="89"/>
        <v>0</v>
      </c>
      <c r="BL76" s="527">
        <f t="shared" si="89"/>
        <v>0</v>
      </c>
      <c r="BM76" s="527">
        <f t="shared" si="89"/>
        <v>0</v>
      </c>
      <c r="BN76" s="527">
        <f t="shared" si="89"/>
        <v>0</v>
      </c>
      <c r="BO76" s="527">
        <f t="shared" si="89"/>
        <v>0</v>
      </c>
      <c r="BP76" s="527">
        <f t="shared" si="89"/>
        <v>0</v>
      </c>
      <c r="BQ76" s="527">
        <f t="shared" si="89"/>
        <v>0</v>
      </c>
      <c r="BR76" s="527">
        <f t="shared" si="89"/>
        <v>0</v>
      </c>
      <c r="BS76" s="527">
        <f t="shared" si="89"/>
        <v>0</v>
      </c>
      <c r="BT76" s="527">
        <f t="shared" si="89"/>
        <v>0</v>
      </c>
      <c r="BU76" s="527">
        <f t="shared" si="89"/>
        <v>0</v>
      </c>
      <c r="BV76" s="527">
        <f t="shared" si="89"/>
        <v>0</v>
      </c>
      <c r="BW76" s="527">
        <f t="shared" si="89"/>
        <v>0</v>
      </c>
      <c r="BX76" s="527">
        <f t="shared" si="89"/>
        <v>0</v>
      </c>
      <c r="BY76" s="527">
        <f t="shared" si="89"/>
        <v>0</v>
      </c>
    </row>
    <row r="77" spans="3:80" x14ac:dyDescent="0.3">
      <c r="C77" s="2"/>
      <c r="D77" s="2"/>
      <c r="E77" s="62" t="s">
        <v>71</v>
      </c>
      <c r="F77" s="63"/>
      <c r="G77" s="63"/>
      <c r="H77" s="63"/>
      <c r="I77" s="501">
        <f>SUM(I71,I74:I76)</f>
        <v>-1103522.5119061144</v>
      </c>
      <c r="J77" s="502">
        <f>SUMIF($R$2:$BY$2,J$3,$R77:$BY77)</f>
        <v>-1175564.442793618</v>
      </c>
      <c r="K77" s="502">
        <f>SUMIF($R$2:$BY$2,K$3,$R77:$BY77)</f>
        <v>-1241700.2321485879</v>
      </c>
      <c r="L77" s="502">
        <f>SUMIF($R$2:$BY$2,L$3,$R77:$BY77)</f>
        <v>-1309067.202876535</v>
      </c>
      <c r="M77" s="502">
        <f>SUMIF($R$2:$BY$2,M$3,$R77:$BY77)</f>
        <v>-1377382.4929193524</v>
      </c>
      <c r="N77" s="502">
        <f>SUMIF($R$2:$BY$2,N$3,$R77:$BY77)</f>
        <v>-1448971.6382056477</v>
      </c>
      <c r="O77" s="57"/>
      <c r="P77" s="55">
        <f t="shared" si="73"/>
        <v>5.5980108611950463E-2</v>
      </c>
      <c r="R77" s="501">
        <f t="shared" ref="R77:AW77" si="90">SUM(R71,R74:R76)</f>
        <v>-101537.89116601</v>
      </c>
      <c r="S77" s="535">
        <f t="shared" si="90"/>
        <v>-101537.89116601</v>
      </c>
      <c r="T77" s="535">
        <f t="shared" si="90"/>
        <v>-101537.89116601</v>
      </c>
      <c r="U77" s="535">
        <f t="shared" si="90"/>
        <v>-101537.89116601</v>
      </c>
      <c r="V77" s="535">
        <f t="shared" si="90"/>
        <v>-101537.89116601</v>
      </c>
      <c r="W77" s="535">
        <f t="shared" si="90"/>
        <v>-46435.593175321424</v>
      </c>
      <c r="X77" s="535">
        <f t="shared" si="90"/>
        <v>-103573.23229804108</v>
      </c>
      <c r="Y77" s="535">
        <f t="shared" si="90"/>
        <v>-103573.23229804108</v>
      </c>
      <c r="Z77" s="535">
        <f t="shared" si="90"/>
        <v>-103573.23229804108</v>
      </c>
      <c r="AA77" s="535">
        <f t="shared" si="90"/>
        <v>-103573.23229804108</v>
      </c>
      <c r="AB77" s="535">
        <f t="shared" si="90"/>
        <v>-103573.23229804108</v>
      </c>
      <c r="AC77" s="535">
        <f t="shared" si="90"/>
        <v>-103573.23229804108</v>
      </c>
      <c r="AD77" s="535">
        <f t="shared" si="90"/>
        <v>-106868.5862749174</v>
      </c>
      <c r="AE77" s="535">
        <f t="shared" si="90"/>
        <v>-106868.5862749174</v>
      </c>
      <c r="AF77" s="535">
        <f t="shared" si="90"/>
        <v>-106868.5862749174</v>
      </c>
      <c r="AG77" s="535">
        <f t="shared" si="90"/>
        <v>-106868.5862749174</v>
      </c>
      <c r="AH77" s="535">
        <f t="shared" si="90"/>
        <v>-106868.5862749174</v>
      </c>
      <c r="AI77" s="535">
        <f t="shared" si="90"/>
        <v>-50441.089023583954</v>
      </c>
      <c r="AJ77" s="535">
        <f t="shared" si="90"/>
        <v>-109486.03529173615</v>
      </c>
      <c r="AK77" s="535">
        <f t="shared" si="90"/>
        <v>-109486.03529173615</v>
      </c>
      <c r="AL77" s="535">
        <f t="shared" si="90"/>
        <v>-109486.03529173615</v>
      </c>
      <c r="AM77" s="535">
        <f t="shared" si="90"/>
        <v>-109486.03529173615</v>
      </c>
      <c r="AN77" s="535">
        <f t="shared" si="90"/>
        <v>-109486.03529173615</v>
      </c>
      <c r="AO77" s="535">
        <f t="shared" si="90"/>
        <v>-109486.03529173615</v>
      </c>
      <c r="AP77" s="535">
        <f t="shared" si="90"/>
        <v>-112277.49035357732</v>
      </c>
      <c r="AQ77" s="535">
        <f t="shared" si="90"/>
        <v>-112277.49035357732</v>
      </c>
      <c r="AR77" s="535">
        <f t="shared" si="90"/>
        <v>-112277.49035357732</v>
      </c>
      <c r="AS77" s="535">
        <f t="shared" si="90"/>
        <v>-112277.49035357732</v>
      </c>
      <c r="AT77" s="535">
        <f t="shared" si="90"/>
        <v>-112277.49035357732</v>
      </c>
      <c r="AU77" s="535">
        <f t="shared" si="90"/>
        <v>-54582.946474835349</v>
      </c>
      <c r="AV77" s="535">
        <f t="shared" si="90"/>
        <v>-115516.1341056355</v>
      </c>
      <c r="AW77" s="535">
        <f t="shared" si="90"/>
        <v>-115516.1341056355</v>
      </c>
      <c r="AX77" s="535">
        <f t="shared" ref="AX77:BY77" si="91">SUM(AX71,AX74:AX76)</f>
        <v>-115516.1341056355</v>
      </c>
      <c r="AY77" s="535">
        <f t="shared" si="91"/>
        <v>-115516.1341056355</v>
      </c>
      <c r="AZ77" s="535">
        <f t="shared" si="91"/>
        <v>-115516.1341056355</v>
      </c>
      <c r="BA77" s="535">
        <f t="shared" si="91"/>
        <v>-115516.1341056355</v>
      </c>
      <c r="BB77" s="535">
        <f t="shared" si="91"/>
        <v>-117739.29682317906</v>
      </c>
      <c r="BC77" s="535">
        <f t="shared" si="91"/>
        <v>-117739.29682317906</v>
      </c>
      <c r="BD77" s="535">
        <f t="shared" si="91"/>
        <v>-117739.29682317906</v>
      </c>
      <c r="BE77" s="535">
        <f t="shared" si="91"/>
        <v>-117739.29682317906</v>
      </c>
      <c r="BF77" s="535">
        <f t="shared" si="91"/>
        <v>-117739.29682317906</v>
      </c>
      <c r="BG77" s="535">
        <f t="shared" si="91"/>
        <v>-58851.766584408528</v>
      </c>
      <c r="BH77" s="535">
        <f t="shared" si="91"/>
        <v>-121639.04036984142</v>
      </c>
      <c r="BI77" s="535">
        <f t="shared" si="91"/>
        <v>-121639.04036984142</v>
      </c>
      <c r="BJ77" s="535">
        <f t="shared" si="91"/>
        <v>-121639.04036984142</v>
      </c>
      <c r="BK77" s="535">
        <f t="shared" si="91"/>
        <v>-121639.04036984142</v>
      </c>
      <c r="BL77" s="535">
        <f t="shared" si="91"/>
        <v>-121639.04036984142</v>
      </c>
      <c r="BM77" s="535">
        <f t="shared" si="91"/>
        <v>-121639.04036984142</v>
      </c>
      <c r="BN77" s="535">
        <f t="shared" si="91"/>
        <v>-123449.35430912115</v>
      </c>
      <c r="BO77" s="535">
        <f t="shared" si="91"/>
        <v>-123449.35430912115</v>
      </c>
      <c r="BP77" s="535">
        <f t="shared" si="91"/>
        <v>-123449.35430912115</v>
      </c>
      <c r="BQ77" s="535">
        <f t="shared" si="91"/>
        <v>-123449.35430912115</v>
      </c>
      <c r="BR77" s="535">
        <f t="shared" si="91"/>
        <v>-123449.35430912115</v>
      </c>
      <c r="BS77" s="535">
        <f t="shared" si="91"/>
        <v>-63412.576381970561</v>
      </c>
      <c r="BT77" s="535">
        <f t="shared" si="91"/>
        <v>-128052.04837967861</v>
      </c>
      <c r="BU77" s="535">
        <f t="shared" si="91"/>
        <v>-128052.04837967861</v>
      </c>
      <c r="BV77" s="535">
        <f t="shared" si="91"/>
        <v>-128052.04837967861</v>
      </c>
      <c r="BW77" s="535">
        <f t="shared" si="91"/>
        <v>-128052.04837967861</v>
      </c>
      <c r="BX77" s="535">
        <f t="shared" si="91"/>
        <v>-128052.04837967861</v>
      </c>
      <c r="BY77" s="535">
        <f t="shared" si="91"/>
        <v>-128052.04837967861</v>
      </c>
    </row>
    <row r="78" spans="3:80" x14ac:dyDescent="0.3">
      <c r="C78" s="2"/>
      <c r="D78" s="2"/>
      <c r="E78" s="22"/>
      <c r="F78" s="68"/>
      <c r="G78" s="68"/>
      <c r="H78" s="68"/>
      <c r="I78" s="57"/>
      <c r="J78" s="57"/>
      <c r="K78" s="57"/>
      <c r="L78" s="57"/>
      <c r="M78" s="57"/>
      <c r="N78" s="57"/>
      <c r="O78" s="57"/>
      <c r="P78" s="69"/>
      <c r="R78" s="57"/>
      <c r="S78" s="57"/>
      <c r="T78" s="57"/>
      <c r="U78" s="57"/>
      <c r="V78" s="57"/>
      <c r="W78" s="57"/>
      <c r="X78" s="57"/>
      <c r="Y78" s="57"/>
      <c r="Z78" s="57"/>
      <c r="AA78" s="57"/>
      <c r="AB78" s="57"/>
      <c r="AC78" s="57"/>
      <c r="AD78" s="57"/>
      <c r="AE78" s="57"/>
      <c r="AF78" s="57"/>
      <c r="AG78" s="57"/>
      <c r="AH78" s="57"/>
      <c r="AI78" s="57"/>
      <c r="AJ78" s="57"/>
      <c r="AK78" s="57"/>
      <c r="AL78" s="57"/>
      <c r="AM78" s="57"/>
      <c r="AN78" s="57"/>
      <c r="AO78" s="57"/>
      <c r="AP78" s="57"/>
      <c r="AQ78" s="57"/>
      <c r="AR78" s="57"/>
      <c r="AS78" s="57"/>
      <c r="AT78" s="57"/>
      <c r="AU78" s="57"/>
      <c r="AV78" s="57"/>
      <c r="AW78" s="57"/>
      <c r="AX78" s="57"/>
      <c r="AY78" s="57"/>
      <c r="AZ78" s="57"/>
      <c r="BA78" s="57"/>
      <c r="BB78" s="57"/>
      <c r="BC78" s="57"/>
      <c r="BD78" s="57"/>
      <c r="BE78" s="57"/>
      <c r="BF78" s="57"/>
      <c r="BG78" s="57"/>
      <c r="BH78" s="57"/>
      <c r="BI78" s="57"/>
      <c r="BJ78" s="57"/>
      <c r="BK78" s="57"/>
      <c r="BL78" s="57"/>
      <c r="BM78" s="57"/>
      <c r="BN78" s="57"/>
      <c r="BO78" s="57"/>
      <c r="BP78" s="57"/>
      <c r="BQ78" s="57"/>
      <c r="BR78" s="57"/>
      <c r="BS78" s="57"/>
      <c r="BT78" s="57"/>
      <c r="BU78" s="57"/>
      <c r="BV78" s="57"/>
      <c r="BW78" s="57"/>
      <c r="BX78" s="57"/>
      <c r="BY78" s="57"/>
    </row>
    <row r="79" spans="3:80" x14ac:dyDescent="0.3">
      <c r="C79" s="2"/>
      <c r="D79" s="2"/>
      <c r="E79" s="22"/>
      <c r="F79" s="68"/>
      <c r="G79" s="68"/>
      <c r="H79" s="68"/>
      <c r="I79" s="57"/>
      <c r="J79" s="57"/>
      <c r="K79" s="57"/>
      <c r="L79" s="57"/>
      <c r="M79" s="57"/>
      <c r="N79" s="57"/>
      <c r="O79" s="57"/>
      <c r="P79" s="69"/>
      <c r="R79" s="57"/>
      <c r="S79" s="57"/>
      <c r="T79" s="57"/>
      <c r="U79" s="57"/>
      <c r="V79" s="57"/>
      <c r="W79" s="57"/>
      <c r="X79" s="57"/>
      <c r="Y79" s="57"/>
      <c r="Z79" s="57"/>
      <c r="AA79" s="57"/>
      <c r="AB79" s="57"/>
      <c r="AC79" s="57"/>
      <c r="AD79" s="57"/>
      <c r="AE79" s="57"/>
      <c r="AF79" s="57"/>
      <c r="AG79" s="57"/>
      <c r="AH79" s="57"/>
      <c r="AI79" s="57"/>
      <c r="AJ79" s="57"/>
      <c r="AK79" s="57"/>
      <c r="AL79" s="57"/>
      <c r="AM79" s="57"/>
      <c r="AN79" s="57"/>
      <c r="AO79" s="57"/>
      <c r="AP79" s="57"/>
      <c r="AQ79" s="57"/>
      <c r="AR79" s="57"/>
      <c r="AS79" s="57"/>
      <c r="AT79" s="57"/>
      <c r="AU79" s="57"/>
      <c r="AV79" s="57"/>
      <c r="AW79" s="57"/>
      <c r="AX79" s="57"/>
      <c r="AY79" s="57"/>
      <c r="AZ79" s="57"/>
      <c r="BA79" s="57"/>
      <c r="BB79" s="57"/>
      <c r="BC79" s="57"/>
      <c r="BD79" s="57"/>
      <c r="BE79" s="57"/>
      <c r="BF79" s="57"/>
      <c r="BG79" s="57"/>
      <c r="BH79" s="57"/>
      <c r="BI79" s="57"/>
      <c r="BJ79" s="57"/>
      <c r="BK79" s="57"/>
      <c r="BL79" s="57"/>
      <c r="BM79" s="57"/>
      <c r="BN79" s="57"/>
      <c r="BO79" s="57"/>
      <c r="BP79" s="57"/>
      <c r="BQ79" s="57"/>
      <c r="BR79" s="57"/>
      <c r="BS79" s="57"/>
      <c r="BT79" s="57"/>
      <c r="BU79" s="57"/>
      <c r="BV79" s="57"/>
      <c r="BW79" s="57"/>
      <c r="BX79" s="57"/>
      <c r="BY79" s="57"/>
    </row>
    <row r="80" spans="3:80" x14ac:dyDescent="0.3">
      <c r="C80" s="48" t="s">
        <v>37</v>
      </c>
      <c r="D80" s="88"/>
      <c r="E80" s="49" t="s">
        <v>135</v>
      </c>
      <c r="F80" s="49"/>
      <c r="G80" s="49"/>
      <c r="H80" s="49"/>
      <c r="I80" s="49"/>
      <c r="J80" s="49"/>
      <c r="K80" s="49"/>
      <c r="L80" s="49"/>
      <c r="M80" s="49"/>
      <c r="N80" s="49"/>
      <c r="O80" s="49"/>
      <c r="P80" s="48"/>
      <c r="Q80" s="49"/>
      <c r="R80" s="49"/>
      <c r="S80" s="49"/>
      <c r="T80" s="49"/>
      <c r="U80" s="49"/>
      <c r="V80" s="49"/>
      <c r="W80" s="49"/>
      <c r="X80" s="49"/>
      <c r="Y80" s="49"/>
      <c r="Z80" s="49"/>
      <c r="AA80" s="49"/>
      <c r="AB80" s="49"/>
      <c r="AC80" s="49"/>
      <c r="AD80" s="49"/>
      <c r="AE80" s="49"/>
      <c r="AF80" s="49"/>
      <c r="AG80" s="49"/>
      <c r="AH80" s="49"/>
      <c r="AI80" s="49"/>
      <c r="AJ80" s="49"/>
      <c r="AK80" s="49"/>
      <c r="AL80" s="49"/>
      <c r="AM80" s="49"/>
      <c r="AN80" s="49"/>
      <c r="AO80" s="49"/>
      <c r="AP80" s="49"/>
      <c r="AQ80" s="49"/>
      <c r="AR80" s="49"/>
      <c r="AS80" s="49"/>
      <c r="AT80" s="49"/>
      <c r="AU80" s="49"/>
      <c r="AV80" s="49"/>
      <c r="AW80" s="49"/>
      <c r="AX80" s="49"/>
      <c r="AY80" s="49"/>
      <c r="AZ80" s="49"/>
      <c r="BA80" s="49"/>
      <c r="BB80" s="49"/>
      <c r="BC80" s="49"/>
      <c r="BD80" s="49"/>
      <c r="BE80" s="49"/>
      <c r="BF80" s="49"/>
      <c r="BG80" s="49"/>
      <c r="BH80" s="49"/>
      <c r="BI80" s="49"/>
      <c r="BJ80" s="49"/>
      <c r="BK80" s="49"/>
      <c r="BL80" s="49"/>
      <c r="BM80" s="49"/>
      <c r="BN80" s="49"/>
      <c r="BO80" s="49"/>
      <c r="BP80" s="49"/>
      <c r="BQ80" s="49"/>
      <c r="BR80" s="49"/>
      <c r="BS80" s="49"/>
      <c r="BT80" s="49"/>
      <c r="BU80" s="49"/>
      <c r="BV80" s="49"/>
      <c r="BW80" s="49"/>
      <c r="BX80" s="49"/>
      <c r="BY80" s="49"/>
    </row>
    <row r="81" spans="3:80" x14ac:dyDescent="0.3">
      <c r="C81" s="2"/>
      <c r="D81" s="2"/>
      <c r="E81" s="2"/>
      <c r="F81" s="2"/>
      <c r="G81" s="2"/>
      <c r="H81" s="2"/>
      <c r="I81" s="37"/>
      <c r="J81" s="37"/>
      <c r="K81" s="37"/>
      <c r="L81" s="37"/>
      <c r="M81" s="37"/>
      <c r="N81" s="37"/>
      <c r="O81" s="37"/>
      <c r="P81" s="35"/>
      <c r="R81" s="37"/>
      <c r="S81" s="529"/>
      <c r="T81" s="529"/>
      <c r="U81" s="529"/>
      <c r="V81" s="529"/>
      <c r="W81" s="529"/>
      <c r="X81" s="529"/>
      <c r="Y81" s="529"/>
      <c r="Z81" s="529"/>
      <c r="AA81" s="529"/>
      <c r="AB81" s="529"/>
      <c r="AC81" s="529"/>
      <c r="AD81" s="529"/>
      <c r="AE81" s="529"/>
      <c r="AF81" s="529"/>
      <c r="AG81" s="529"/>
      <c r="AH81" s="529"/>
      <c r="AI81" s="529"/>
      <c r="AJ81" s="529"/>
      <c r="AK81" s="529"/>
      <c r="AL81" s="529"/>
      <c r="AM81" s="529"/>
      <c r="AN81" s="529"/>
      <c r="AO81" s="529"/>
      <c r="AP81" s="529"/>
      <c r="AQ81" s="529"/>
      <c r="AR81" s="529"/>
      <c r="AS81" s="529"/>
      <c r="AT81" s="529"/>
      <c r="AU81" s="529"/>
      <c r="AV81" s="529"/>
      <c r="AW81" s="529"/>
      <c r="AX81" s="529"/>
      <c r="AY81" s="529"/>
      <c r="AZ81" s="529"/>
      <c r="BA81" s="529"/>
      <c r="BB81" s="529"/>
      <c r="BC81" s="529"/>
      <c r="BD81" s="529"/>
      <c r="BE81" s="529"/>
      <c r="BF81" s="529"/>
      <c r="BG81" s="529"/>
      <c r="BH81" s="529"/>
      <c r="BI81" s="529"/>
      <c r="BJ81" s="529"/>
      <c r="BK81" s="529"/>
      <c r="BL81" s="529"/>
      <c r="BM81" s="529"/>
      <c r="BN81" s="529"/>
      <c r="BO81" s="529"/>
      <c r="BP81" s="529"/>
      <c r="BQ81" s="529"/>
      <c r="BR81" s="529"/>
      <c r="BS81" s="529"/>
      <c r="BT81" s="529"/>
      <c r="BU81" s="529"/>
      <c r="BV81" s="529"/>
      <c r="BW81" s="529"/>
      <c r="BX81" s="529"/>
      <c r="BY81" s="529"/>
    </row>
    <row r="82" spans="3:80" x14ac:dyDescent="0.3">
      <c r="C82" s="2"/>
      <c r="D82" s="2"/>
      <c r="E82" s="2" t="s">
        <v>68</v>
      </c>
      <c r="F82" s="2"/>
      <c r="G82" s="2"/>
      <c r="H82" s="2"/>
      <c r="I82" s="497">
        <f t="shared" ref="I82:N82" si="92">I9</f>
        <v>0</v>
      </c>
      <c r="J82" s="497">
        <f t="shared" si="92"/>
        <v>0</v>
      </c>
      <c r="K82" s="497">
        <f t="shared" si="92"/>
        <v>0</v>
      </c>
      <c r="L82" s="497">
        <f t="shared" si="92"/>
        <v>0</v>
      </c>
      <c r="M82" s="497">
        <f t="shared" si="92"/>
        <v>0</v>
      </c>
      <c r="N82" s="497">
        <f t="shared" si="92"/>
        <v>0</v>
      </c>
      <c r="O82" s="37"/>
      <c r="P82" s="35"/>
      <c r="R82" s="497">
        <f t="shared" ref="R82:AW82" si="93">R9</f>
        <v>0</v>
      </c>
      <c r="S82" s="527">
        <f t="shared" si="93"/>
        <v>0</v>
      </c>
      <c r="T82" s="527">
        <f t="shared" si="93"/>
        <v>0</v>
      </c>
      <c r="U82" s="527">
        <f t="shared" si="93"/>
        <v>0</v>
      </c>
      <c r="V82" s="527">
        <f t="shared" si="93"/>
        <v>0</v>
      </c>
      <c r="W82" s="527">
        <f t="shared" si="93"/>
        <v>0</v>
      </c>
      <c r="X82" s="527">
        <f t="shared" si="93"/>
        <v>0</v>
      </c>
      <c r="Y82" s="527">
        <f t="shared" si="93"/>
        <v>0</v>
      </c>
      <c r="Z82" s="527">
        <f t="shared" si="93"/>
        <v>0</v>
      </c>
      <c r="AA82" s="527">
        <f t="shared" si="93"/>
        <v>0</v>
      </c>
      <c r="AB82" s="527">
        <f t="shared" si="93"/>
        <v>0</v>
      </c>
      <c r="AC82" s="527">
        <f t="shared" si="93"/>
        <v>0</v>
      </c>
      <c r="AD82" s="527">
        <f t="shared" si="93"/>
        <v>0</v>
      </c>
      <c r="AE82" s="527">
        <f t="shared" si="93"/>
        <v>0</v>
      </c>
      <c r="AF82" s="527">
        <f t="shared" si="93"/>
        <v>0</v>
      </c>
      <c r="AG82" s="527">
        <f t="shared" si="93"/>
        <v>0</v>
      </c>
      <c r="AH82" s="527">
        <f t="shared" si="93"/>
        <v>0</v>
      </c>
      <c r="AI82" s="527">
        <f t="shared" si="93"/>
        <v>0</v>
      </c>
      <c r="AJ82" s="527">
        <f t="shared" si="93"/>
        <v>0</v>
      </c>
      <c r="AK82" s="527">
        <f t="shared" si="93"/>
        <v>0</v>
      </c>
      <c r="AL82" s="527">
        <f t="shared" si="93"/>
        <v>0</v>
      </c>
      <c r="AM82" s="527">
        <f t="shared" si="93"/>
        <v>0</v>
      </c>
      <c r="AN82" s="527">
        <f t="shared" si="93"/>
        <v>0</v>
      </c>
      <c r="AO82" s="527">
        <f t="shared" si="93"/>
        <v>0</v>
      </c>
      <c r="AP82" s="527">
        <f t="shared" si="93"/>
        <v>0</v>
      </c>
      <c r="AQ82" s="527">
        <f t="shared" si="93"/>
        <v>0</v>
      </c>
      <c r="AR82" s="527">
        <f t="shared" si="93"/>
        <v>0</v>
      </c>
      <c r="AS82" s="527">
        <f t="shared" si="93"/>
        <v>0</v>
      </c>
      <c r="AT82" s="527">
        <f t="shared" si="93"/>
        <v>0</v>
      </c>
      <c r="AU82" s="527">
        <f t="shared" si="93"/>
        <v>0</v>
      </c>
      <c r="AV82" s="527">
        <f t="shared" si="93"/>
        <v>0</v>
      </c>
      <c r="AW82" s="527">
        <f t="shared" si="93"/>
        <v>0</v>
      </c>
      <c r="AX82" s="527">
        <f t="shared" ref="AX82:BY82" si="94">AX9</f>
        <v>0</v>
      </c>
      <c r="AY82" s="527">
        <f t="shared" si="94"/>
        <v>0</v>
      </c>
      <c r="AZ82" s="527">
        <f t="shared" si="94"/>
        <v>0</v>
      </c>
      <c r="BA82" s="527">
        <f t="shared" si="94"/>
        <v>0</v>
      </c>
      <c r="BB82" s="527">
        <f t="shared" si="94"/>
        <v>0</v>
      </c>
      <c r="BC82" s="527">
        <f t="shared" si="94"/>
        <v>0</v>
      </c>
      <c r="BD82" s="527">
        <f t="shared" si="94"/>
        <v>0</v>
      </c>
      <c r="BE82" s="527">
        <f t="shared" si="94"/>
        <v>0</v>
      </c>
      <c r="BF82" s="527">
        <f t="shared" si="94"/>
        <v>0</v>
      </c>
      <c r="BG82" s="527">
        <f t="shared" si="94"/>
        <v>0</v>
      </c>
      <c r="BH82" s="527">
        <f t="shared" si="94"/>
        <v>0</v>
      </c>
      <c r="BI82" s="527">
        <f t="shared" si="94"/>
        <v>0</v>
      </c>
      <c r="BJ82" s="527">
        <f t="shared" si="94"/>
        <v>0</v>
      </c>
      <c r="BK82" s="527">
        <f t="shared" si="94"/>
        <v>0</v>
      </c>
      <c r="BL82" s="527">
        <f t="shared" si="94"/>
        <v>0</v>
      </c>
      <c r="BM82" s="527">
        <f t="shared" si="94"/>
        <v>0</v>
      </c>
      <c r="BN82" s="527">
        <f t="shared" si="94"/>
        <v>0</v>
      </c>
      <c r="BO82" s="527">
        <f t="shared" si="94"/>
        <v>0</v>
      </c>
      <c r="BP82" s="527">
        <f t="shared" si="94"/>
        <v>0</v>
      </c>
      <c r="BQ82" s="527">
        <f t="shared" si="94"/>
        <v>0</v>
      </c>
      <c r="BR82" s="527">
        <f t="shared" si="94"/>
        <v>0</v>
      </c>
      <c r="BS82" s="527">
        <f t="shared" si="94"/>
        <v>0</v>
      </c>
      <c r="BT82" s="527">
        <f t="shared" si="94"/>
        <v>0</v>
      </c>
      <c r="BU82" s="527">
        <f t="shared" si="94"/>
        <v>0</v>
      </c>
      <c r="BV82" s="527">
        <f t="shared" si="94"/>
        <v>0</v>
      </c>
      <c r="BW82" s="527">
        <f t="shared" si="94"/>
        <v>0</v>
      </c>
      <c r="BX82" s="527">
        <f t="shared" si="94"/>
        <v>0</v>
      </c>
      <c r="BY82" s="527">
        <f t="shared" si="94"/>
        <v>0</v>
      </c>
    </row>
    <row r="83" spans="3:80" x14ac:dyDescent="0.3">
      <c r="C83" s="2"/>
      <c r="D83" s="2"/>
      <c r="E83" s="2"/>
      <c r="F83" s="2"/>
      <c r="G83" s="2"/>
      <c r="H83" s="2"/>
      <c r="I83" s="37"/>
      <c r="J83" s="2"/>
      <c r="K83" s="2"/>
      <c r="L83" s="2"/>
      <c r="M83" s="2"/>
      <c r="N83" s="2"/>
      <c r="O83" s="2"/>
      <c r="P83" s="10"/>
      <c r="R83" s="2"/>
      <c r="S83" s="2"/>
      <c r="T83" s="2"/>
      <c r="U83" s="2"/>
      <c r="V83" s="2"/>
      <c r="W83" s="2"/>
      <c r="X83" s="2"/>
      <c r="Y83" s="2"/>
      <c r="Z83" s="2"/>
      <c r="AA83" s="2"/>
      <c r="AB83" s="2"/>
      <c r="AC83" s="2"/>
      <c r="AD83" s="2"/>
      <c r="AE83" s="2"/>
      <c r="AF83" s="2"/>
      <c r="AG83" s="2"/>
      <c r="AH83" s="2"/>
      <c r="AI83" s="2"/>
      <c r="AJ83" s="2"/>
      <c r="AK83" s="2"/>
      <c r="AL83" s="2"/>
      <c r="AM83" s="2"/>
      <c r="AN83" s="2"/>
      <c r="AO83" s="2"/>
      <c r="AP83" s="2"/>
      <c r="AQ83" s="2"/>
      <c r="AR83" s="2"/>
      <c r="AS83" s="2"/>
      <c r="AT83" s="2"/>
      <c r="AU83" s="2"/>
      <c r="AV83" s="2"/>
      <c r="AW83" s="2"/>
      <c r="AX83" s="2"/>
      <c r="AY83" s="2"/>
      <c r="AZ83" s="2"/>
      <c r="BA83" s="2"/>
      <c r="BB83" s="2"/>
      <c r="BC83" s="2"/>
      <c r="BD83" s="2"/>
      <c r="BE83" s="2"/>
      <c r="BF83" s="2"/>
      <c r="BG83" s="2"/>
      <c r="BH83" s="2"/>
      <c r="BI83" s="2"/>
      <c r="BJ83" s="2"/>
      <c r="BK83" s="2"/>
      <c r="BL83" s="2"/>
      <c r="BM83" s="2"/>
      <c r="BN83" s="2"/>
      <c r="BO83" s="2"/>
      <c r="BP83" s="2"/>
      <c r="BQ83" s="2"/>
      <c r="BR83" s="2"/>
      <c r="BS83" s="2"/>
      <c r="BT83" s="2"/>
      <c r="BU83" s="2"/>
      <c r="BV83" s="2"/>
      <c r="BW83" s="2"/>
      <c r="BX83" s="2"/>
      <c r="BY83" s="2"/>
    </row>
    <row r="84" spans="3:80" x14ac:dyDescent="0.3">
      <c r="C84" s="2"/>
      <c r="D84" s="2"/>
      <c r="E84" s="2" t="s">
        <v>373</v>
      </c>
      <c r="F84" s="54"/>
      <c r="G84" s="54"/>
      <c r="H84" s="54"/>
      <c r="I84" s="19">
        <f>SUM('Value Segment'!I19,'Mid-Market Segment'!I19,'Upper Mid-Market Segment'!I19,'Premium Segment'!I19)/SUM('Value Segment'!I$82,'Mid-Market Segment'!I$82,'Upper Mid-Market Segment'!I$82,'Premium Segment'!I$82)</f>
        <v>154.93832179906528</v>
      </c>
      <c r="J84" s="19">
        <f>SUM('Value Segment'!J19,'Mid-Market Segment'!J19,'Upper Mid-Market Segment'!J19,'Premium Segment'!J19)/SUM('Value Segment'!J$82,'Mid-Market Segment'!J$82,'Upper Mid-Market Segment'!J$82,'Premium Segment'!J$82)</f>
        <v>156.77431923171787</v>
      </c>
      <c r="K84" s="19">
        <f>SUM('Value Segment'!K19,'Mid-Market Segment'!K19,'Upper Mid-Market Segment'!K19,'Premium Segment'!K19)/SUM('Value Segment'!K$82,'Mid-Market Segment'!K$82,'Upper Mid-Market Segment'!K$82,'Premium Segment'!K$82)</f>
        <v>159.9090035366057</v>
      </c>
      <c r="L84" s="19">
        <f>SUM('Value Segment'!L19,'Mid-Market Segment'!L19,'Upper Mid-Market Segment'!L19,'Premium Segment'!L19)/SUM('Value Segment'!L$82,'Mid-Market Segment'!L$82,'Upper Mid-Market Segment'!L$82,'Premium Segment'!L$82)</f>
        <v>163.01696369085676</v>
      </c>
      <c r="M84" s="19">
        <f>SUM('Value Segment'!M19,'Mid-Market Segment'!M19,'Upper Mid-Market Segment'!M19,'Premium Segment'!M19)/SUM('Value Segment'!M$82,'Mid-Market Segment'!M$82,'Upper Mid-Market Segment'!M$82,'Premium Segment'!M$82)</f>
        <v>166.25126797604017</v>
      </c>
      <c r="N84" s="19">
        <f>SUM('Value Segment'!N19,'Mid-Market Segment'!N19,'Upper Mid-Market Segment'!N19,'Premium Segment'!N19)/SUM('Value Segment'!N$82,'Mid-Market Segment'!N$82,'Upper Mid-Market Segment'!N$82,'Premium Segment'!N$82)</f>
        <v>169.55509189795416</v>
      </c>
      <c r="O84" s="37"/>
      <c r="P84" s="35"/>
      <c r="R84" s="19">
        <f>SUM('Value Segment'!R19,'Mid-Market Segment'!R19,'Upper Mid-Market Segment'!R19,'Premium Segment'!R19)/SUM('Value Segment'!R$82,'Mid-Market Segment'!R$82,'Upper Mid-Market Segment'!R$82,'Premium Segment'!R$82)</f>
        <v>12.911526816588772</v>
      </c>
      <c r="S84" s="542">
        <f>SUM('Value Segment'!S19,'Mid-Market Segment'!S19,'Upper Mid-Market Segment'!S19,'Premium Segment'!S19)/SUM('Value Segment'!S$82,'Mid-Market Segment'!S$82,'Upper Mid-Market Segment'!S$82,'Premium Segment'!S$82)</f>
        <v>12.911526816588772</v>
      </c>
      <c r="T84" s="542">
        <f>SUM('Value Segment'!T19,'Mid-Market Segment'!T19,'Upper Mid-Market Segment'!T19,'Premium Segment'!T19)/SUM('Value Segment'!T$82,'Mid-Market Segment'!T$82,'Upper Mid-Market Segment'!T$82,'Premium Segment'!T$82)</f>
        <v>12.911526816588772</v>
      </c>
      <c r="U84" s="542">
        <f>SUM('Value Segment'!U19,'Mid-Market Segment'!U19,'Upper Mid-Market Segment'!U19,'Premium Segment'!U19)/SUM('Value Segment'!U$82,'Mid-Market Segment'!U$82,'Upper Mid-Market Segment'!U$82,'Premium Segment'!U$82)</f>
        <v>12.911526816588772</v>
      </c>
      <c r="V84" s="542">
        <f>SUM('Value Segment'!V19,'Mid-Market Segment'!V19,'Upper Mid-Market Segment'!V19,'Premium Segment'!V19)/SUM('Value Segment'!V$82,'Mid-Market Segment'!V$82,'Upper Mid-Market Segment'!V$82,'Premium Segment'!V$82)</f>
        <v>12.911526816588772</v>
      </c>
      <c r="W84" s="542">
        <f>SUM('Value Segment'!W19,'Mid-Market Segment'!W19,'Upper Mid-Market Segment'!W19,'Premium Segment'!W19)/SUM('Value Segment'!W$82,'Mid-Market Segment'!W$82,'Upper Mid-Market Segment'!W$82,'Premium Segment'!W$82)</f>
        <v>12.911526816588772</v>
      </c>
      <c r="X84" s="542">
        <f>SUM('Value Segment'!X19,'Mid-Market Segment'!X19,'Upper Mid-Market Segment'!X19,'Premium Segment'!X19)/SUM('Value Segment'!X$82,'Mid-Market Segment'!X$82,'Upper Mid-Market Segment'!X$82,'Premium Segment'!X$82)</f>
        <v>13.217526388697541</v>
      </c>
      <c r="Y84" s="542">
        <f>SUM('Value Segment'!Y19,'Mid-Market Segment'!Y19,'Upper Mid-Market Segment'!Y19,'Premium Segment'!Y19)/SUM('Value Segment'!Y$82,'Mid-Market Segment'!Y$82,'Upper Mid-Market Segment'!Y$82,'Premium Segment'!Y$82)</f>
        <v>13.217526388697541</v>
      </c>
      <c r="Z84" s="542">
        <f>SUM('Value Segment'!Z19,'Mid-Market Segment'!Z19,'Upper Mid-Market Segment'!Z19,'Premium Segment'!Z19)/SUM('Value Segment'!Z$82,'Mid-Market Segment'!Z$82,'Upper Mid-Market Segment'!Z$82,'Premium Segment'!Z$82)</f>
        <v>13.217526388697541</v>
      </c>
      <c r="AA84" s="542">
        <f>SUM('Value Segment'!AA19,'Mid-Market Segment'!AA19,'Upper Mid-Market Segment'!AA19,'Premium Segment'!AA19)/SUM('Value Segment'!AA$82,'Mid-Market Segment'!AA$82,'Upper Mid-Market Segment'!AA$82,'Premium Segment'!AA$82)</f>
        <v>13.217526388697541</v>
      </c>
      <c r="AB84" s="542">
        <f>SUM('Value Segment'!AB19,'Mid-Market Segment'!AB19,'Upper Mid-Market Segment'!AB19,'Premium Segment'!AB19)/SUM('Value Segment'!AB$82,'Mid-Market Segment'!AB$82,'Upper Mid-Market Segment'!AB$82,'Premium Segment'!AB$82)</f>
        <v>13.217526388697541</v>
      </c>
      <c r="AC84" s="542">
        <f>SUM('Value Segment'!AC19,'Mid-Market Segment'!AC19,'Upper Mid-Market Segment'!AC19,'Premium Segment'!AC19)/SUM('Value Segment'!AC$82,'Mid-Market Segment'!AC$82,'Upper Mid-Market Segment'!AC$82,'Premium Segment'!AC$82)</f>
        <v>13.217526388697541</v>
      </c>
      <c r="AD84" s="542">
        <f>SUM('Value Segment'!AD19,'Mid-Market Segment'!AD19,'Upper Mid-Market Segment'!AD19,'Premium Segment'!AD19)/SUM('Value Segment'!AD$82,'Mid-Market Segment'!AD$82,'Upper Mid-Market Segment'!AD$82,'Premium Segment'!AD$82)</f>
        <v>13.138631770966832</v>
      </c>
      <c r="AE84" s="542">
        <f>SUM('Value Segment'!AE19,'Mid-Market Segment'!AE19,'Upper Mid-Market Segment'!AE19,'Premium Segment'!AE19)/SUM('Value Segment'!AE$82,'Mid-Market Segment'!AE$82,'Upper Mid-Market Segment'!AE$82,'Premium Segment'!AE$82)</f>
        <v>13.138631770966832</v>
      </c>
      <c r="AF84" s="542">
        <f>SUM('Value Segment'!AF19,'Mid-Market Segment'!AF19,'Upper Mid-Market Segment'!AF19,'Premium Segment'!AF19)/SUM('Value Segment'!AF$82,'Mid-Market Segment'!AF$82,'Upper Mid-Market Segment'!AF$82,'Premium Segment'!AF$82)</f>
        <v>13.138631770966832</v>
      </c>
      <c r="AG84" s="542">
        <f>SUM('Value Segment'!AG19,'Mid-Market Segment'!AG19,'Upper Mid-Market Segment'!AG19,'Premium Segment'!AG19)/SUM('Value Segment'!AG$82,'Mid-Market Segment'!AG$82,'Upper Mid-Market Segment'!AG$82,'Premium Segment'!AG$82)</f>
        <v>13.138631770966832</v>
      </c>
      <c r="AH84" s="542">
        <f>SUM('Value Segment'!AH19,'Mid-Market Segment'!AH19,'Upper Mid-Market Segment'!AH19,'Premium Segment'!AH19)/SUM('Value Segment'!AH$82,'Mid-Market Segment'!AH$82,'Upper Mid-Market Segment'!AH$82,'Premium Segment'!AH$82)</f>
        <v>13.138631770966832</v>
      </c>
      <c r="AI84" s="542">
        <f>SUM('Value Segment'!AI19,'Mid-Market Segment'!AI19,'Upper Mid-Market Segment'!AI19,'Premium Segment'!AI19)/SUM('Value Segment'!AI$82,'Mid-Market Segment'!AI$82,'Upper Mid-Market Segment'!AI$82,'Premium Segment'!AI$82)</f>
        <v>13.138631770966832</v>
      </c>
      <c r="AJ84" s="542">
        <f>SUM('Value Segment'!AJ19,'Mid-Market Segment'!AJ19,'Upper Mid-Market Segment'!AJ19,'Premium Segment'!AJ19)/SUM('Value Segment'!AJ$82,'Mid-Market Segment'!AJ$82,'Upper Mid-Market Segment'!AJ$82,'Premium Segment'!AJ$82)</f>
        <v>13.512868818467446</v>
      </c>
      <c r="AK84" s="542">
        <f>SUM('Value Segment'!AK19,'Mid-Market Segment'!AK19,'Upper Mid-Market Segment'!AK19,'Premium Segment'!AK19)/SUM('Value Segment'!AK$82,'Mid-Market Segment'!AK$82,'Upper Mid-Market Segment'!AK$82,'Premium Segment'!AK$82)</f>
        <v>13.512868818467446</v>
      </c>
      <c r="AL84" s="542">
        <f>SUM('Value Segment'!AL19,'Mid-Market Segment'!AL19,'Upper Mid-Market Segment'!AL19,'Premium Segment'!AL19)/SUM('Value Segment'!AL$82,'Mid-Market Segment'!AL$82,'Upper Mid-Market Segment'!AL$82,'Premium Segment'!AL$82)</f>
        <v>13.512868818467446</v>
      </c>
      <c r="AM84" s="542">
        <f>SUM('Value Segment'!AM19,'Mid-Market Segment'!AM19,'Upper Mid-Market Segment'!AM19,'Premium Segment'!AM19)/SUM('Value Segment'!AM$82,'Mid-Market Segment'!AM$82,'Upper Mid-Market Segment'!AM$82,'Premium Segment'!AM$82)</f>
        <v>13.512868818467446</v>
      </c>
      <c r="AN84" s="542">
        <f>SUM('Value Segment'!AN19,'Mid-Market Segment'!AN19,'Upper Mid-Market Segment'!AN19,'Premium Segment'!AN19)/SUM('Value Segment'!AN$82,'Mid-Market Segment'!AN$82,'Upper Mid-Market Segment'!AN$82,'Premium Segment'!AN$82)</f>
        <v>13.512868818467446</v>
      </c>
      <c r="AO84" s="542">
        <f>SUM('Value Segment'!AO19,'Mid-Market Segment'!AO19,'Upper Mid-Market Segment'!AO19,'Premium Segment'!AO19)/SUM('Value Segment'!AO$82,'Mid-Market Segment'!AO$82,'Upper Mid-Market Segment'!AO$82,'Premium Segment'!AO$82)</f>
        <v>13.512868818467446</v>
      </c>
      <c r="AP84" s="542">
        <f>SUM('Value Segment'!AP19,'Mid-Market Segment'!AP19,'Upper Mid-Market Segment'!AP19,'Premium Segment'!AP19)/SUM('Value Segment'!AP$82,'Mid-Market Segment'!AP$82,'Upper Mid-Market Segment'!AP$82,'Premium Segment'!AP$82)</f>
        <v>13.363993777647996</v>
      </c>
      <c r="AQ84" s="542">
        <f>SUM('Value Segment'!AQ19,'Mid-Market Segment'!AQ19,'Upper Mid-Market Segment'!AQ19,'Premium Segment'!AQ19)/SUM('Value Segment'!AQ$82,'Mid-Market Segment'!AQ$82,'Upper Mid-Market Segment'!AQ$82,'Premium Segment'!AQ$82)</f>
        <v>13.363993777647996</v>
      </c>
      <c r="AR84" s="542">
        <f>SUM('Value Segment'!AR19,'Mid-Market Segment'!AR19,'Upper Mid-Market Segment'!AR19,'Premium Segment'!AR19)/SUM('Value Segment'!AR$82,'Mid-Market Segment'!AR$82,'Upper Mid-Market Segment'!AR$82,'Premium Segment'!AR$82)</f>
        <v>13.363993777647996</v>
      </c>
      <c r="AS84" s="542">
        <f>SUM('Value Segment'!AS19,'Mid-Market Segment'!AS19,'Upper Mid-Market Segment'!AS19,'Premium Segment'!AS19)/SUM('Value Segment'!AS$82,'Mid-Market Segment'!AS$82,'Upper Mid-Market Segment'!AS$82,'Premium Segment'!AS$82)</f>
        <v>13.363993777647996</v>
      </c>
      <c r="AT84" s="542">
        <f>SUM('Value Segment'!AT19,'Mid-Market Segment'!AT19,'Upper Mid-Market Segment'!AT19,'Premium Segment'!AT19)/SUM('Value Segment'!AT$82,'Mid-Market Segment'!AT$82,'Upper Mid-Market Segment'!AT$82,'Premium Segment'!AT$82)</f>
        <v>13.363993777647996</v>
      </c>
      <c r="AU84" s="542">
        <f>SUM('Value Segment'!AU19,'Mid-Market Segment'!AU19,'Upper Mid-Market Segment'!AU19,'Premium Segment'!AU19)/SUM('Value Segment'!AU$82,'Mid-Market Segment'!AU$82,'Upper Mid-Market Segment'!AU$82,'Premium Segment'!AU$82)</f>
        <v>13.363993777647996</v>
      </c>
      <c r="AV84" s="542">
        <f>SUM('Value Segment'!AV19,'Mid-Market Segment'!AV19,'Upper Mid-Market Segment'!AV19,'Premium Segment'!AV19)/SUM('Value Segment'!AV$82,'Mid-Market Segment'!AV$82,'Upper Mid-Market Segment'!AV$82,'Premium Segment'!AV$82)</f>
        <v>13.805500170828125</v>
      </c>
      <c r="AW84" s="542">
        <f>SUM('Value Segment'!AW19,'Mid-Market Segment'!AW19,'Upper Mid-Market Segment'!AW19,'Premium Segment'!AW19)/SUM('Value Segment'!AW$82,'Mid-Market Segment'!AW$82,'Upper Mid-Market Segment'!AW$82,'Premium Segment'!AW$82)</f>
        <v>13.805500170828125</v>
      </c>
      <c r="AX84" s="542">
        <f>SUM('Value Segment'!AX19,'Mid-Market Segment'!AX19,'Upper Mid-Market Segment'!AX19,'Premium Segment'!AX19)/SUM('Value Segment'!AX$82,'Mid-Market Segment'!AX$82,'Upper Mid-Market Segment'!AX$82,'Premium Segment'!AX$82)</f>
        <v>13.805500170828125</v>
      </c>
      <c r="AY84" s="542">
        <f>SUM('Value Segment'!AY19,'Mid-Market Segment'!AY19,'Upper Mid-Market Segment'!AY19,'Premium Segment'!AY19)/SUM('Value Segment'!AY$82,'Mid-Market Segment'!AY$82,'Upper Mid-Market Segment'!AY$82,'Premium Segment'!AY$82)</f>
        <v>13.805500170828125</v>
      </c>
      <c r="AZ84" s="542">
        <f>SUM('Value Segment'!AZ19,'Mid-Market Segment'!AZ19,'Upper Mid-Market Segment'!AZ19,'Premium Segment'!AZ19)/SUM('Value Segment'!AZ$82,'Mid-Market Segment'!AZ$82,'Upper Mid-Market Segment'!AZ$82,'Premium Segment'!AZ$82)</f>
        <v>13.805500170828125</v>
      </c>
      <c r="BA84" s="542">
        <f>SUM('Value Segment'!BA19,'Mid-Market Segment'!BA19,'Upper Mid-Market Segment'!BA19,'Premium Segment'!BA19)/SUM('Value Segment'!BA$82,'Mid-Market Segment'!BA$82,'Upper Mid-Market Segment'!BA$82,'Premium Segment'!BA$82)</f>
        <v>13.805500170828125</v>
      </c>
      <c r="BB84" s="542">
        <f>SUM('Value Segment'!BB19,'Mid-Market Segment'!BB19,'Upper Mid-Market Segment'!BB19,'Premium Segment'!BB19)/SUM('Value Segment'!BB$82,'Mid-Market Segment'!BB$82,'Upper Mid-Market Segment'!BB$82,'Premium Segment'!BB$82)</f>
        <v>13.600154584232119</v>
      </c>
      <c r="BC84" s="542">
        <f>SUM('Value Segment'!BC19,'Mid-Market Segment'!BC19,'Upper Mid-Market Segment'!BC19,'Premium Segment'!BC19)/SUM('Value Segment'!BC$82,'Mid-Market Segment'!BC$82,'Upper Mid-Market Segment'!BC$82,'Premium Segment'!BC$82)</f>
        <v>13.600154584232119</v>
      </c>
      <c r="BD84" s="542">
        <f>SUM('Value Segment'!BD19,'Mid-Market Segment'!BD19,'Upper Mid-Market Segment'!BD19,'Premium Segment'!BD19)/SUM('Value Segment'!BD$82,'Mid-Market Segment'!BD$82,'Upper Mid-Market Segment'!BD$82,'Premium Segment'!BD$82)</f>
        <v>13.600154584232119</v>
      </c>
      <c r="BE84" s="542">
        <f>SUM('Value Segment'!BE19,'Mid-Market Segment'!BE19,'Upper Mid-Market Segment'!BE19,'Premium Segment'!BE19)/SUM('Value Segment'!BE$82,'Mid-Market Segment'!BE$82,'Upper Mid-Market Segment'!BE$82,'Premium Segment'!BE$82)</f>
        <v>13.600154584232119</v>
      </c>
      <c r="BF84" s="542">
        <f>SUM('Value Segment'!BF19,'Mid-Market Segment'!BF19,'Upper Mid-Market Segment'!BF19,'Premium Segment'!BF19)/SUM('Value Segment'!BF$82,'Mid-Market Segment'!BF$82,'Upper Mid-Market Segment'!BF$82,'Premium Segment'!BF$82)</f>
        <v>13.600154584232119</v>
      </c>
      <c r="BG84" s="542">
        <f>SUM('Value Segment'!BG19,'Mid-Market Segment'!BG19,'Upper Mid-Market Segment'!BG19,'Premium Segment'!BG19)/SUM('Value Segment'!BG$82,'Mid-Market Segment'!BG$82,'Upper Mid-Market Segment'!BG$82,'Premium Segment'!BG$82)</f>
        <v>13.600154584232119</v>
      </c>
      <c r="BH84" s="542">
        <f>SUM('Value Segment'!BH19,'Mid-Market Segment'!BH19,'Upper Mid-Market Segment'!BH19,'Premium Segment'!BH19)/SUM('Value Segment'!BH$82,'Mid-Market Segment'!BH$82,'Upper Mid-Market Segment'!BH$82,'Premium Segment'!BH$82)</f>
        <v>14.108390078441241</v>
      </c>
      <c r="BI84" s="542">
        <f>SUM('Value Segment'!BI19,'Mid-Market Segment'!BI19,'Upper Mid-Market Segment'!BI19,'Premium Segment'!BI19)/SUM('Value Segment'!BI$82,'Mid-Market Segment'!BI$82,'Upper Mid-Market Segment'!BI$82,'Premium Segment'!BI$82)</f>
        <v>14.108390078441241</v>
      </c>
      <c r="BJ84" s="542">
        <f>SUM('Value Segment'!BJ19,'Mid-Market Segment'!BJ19,'Upper Mid-Market Segment'!BJ19,'Premium Segment'!BJ19)/SUM('Value Segment'!BJ$82,'Mid-Market Segment'!BJ$82,'Upper Mid-Market Segment'!BJ$82,'Premium Segment'!BJ$82)</f>
        <v>14.108390078441241</v>
      </c>
      <c r="BK84" s="542">
        <f>SUM('Value Segment'!BK19,'Mid-Market Segment'!BK19,'Upper Mid-Market Segment'!BK19,'Premium Segment'!BK19)/SUM('Value Segment'!BK$82,'Mid-Market Segment'!BK$82,'Upper Mid-Market Segment'!BK$82,'Premium Segment'!BK$82)</f>
        <v>14.108390078441241</v>
      </c>
      <c r="BL84" s="542">
        <f>SUM('Value Segment'!BL19,'Mid-Market Segment'!BL19,'Upper Mid-Market Segment'!BL19,'Premium Segment'!BL19)/SUM('Value Segment'!BL$82,'Mid-Market Segment'!BL$82,'Upper Mid-Market Segment'!BL$82,'Premium Segment'!BL$82)</f>
        <v>14.108390078441241</v>
      </c>
      <c r="BM84" s="542">
        <f>SUM('Value Segment'!BM19,'Mid-Market Segment'!BM19,'Upper Mid-Market Segment'!BM19,'Premium Segment'!BM19)/SUM('Value Segment'!BM$82,'Mid-Market Segment'!BM$82,'Upper Mid-Market Segment'!BM$82,'Premium Segment'!BM$82)</f>
        <v>14.108390078441241</v>
      </c>
      <c r="BN84" s="542">
        <f>SUM('Value Segment'!BN19,'Mid-Market Segment'!BN19,'Upper Mid-Market Segment'!BN19,'Premium Segment'!BN19)/SUM('Value Segment'!BN$82,'Mid-Market Segment'!BN$82,'Upper Mid-Market Segment'!BN$82,'Premium Segment'!BN$82)</f>
        <v>13.8427468801272</v>
      </c>
      <c r="BO84" s="542">
        <f>SUM('Value Segment'!BO19,'Mid-Market Segment'!BO19,'Upper Mid-Market Segment'!BO19,'Premium Segment'!BO19)/SUM('Value Segment'!BO$82,'Mid-Market Segment'!BO$82,'Upper Mid-Market Segment'!BO$82,'Premium Segment'!BO$82)</f>
        <v>13.8427468801272</v>
      </c>
      <c r="BP84" s="542">
        <f>SUM('Value Segment'!BP19,'Mid-Market Segment'!BP19,'Upper Mid-Market Segment'!BP19,'Premium Segment'!BP19)/SUM('Value Segment'!BP$82,'Mid-Market Segment'!BP$82,'Upper Mid-Market Segment'!BP$82,'Premium Segment'!BP$82)</f>
        <v>13.8427468801272</v>
      </c>
      <c r="BQ84" s="542">
        <f>SUM('Value Segment'!BQ19,'Mid-Market Segment'!BQ19,'Upper Mid-Market Segment'!BQ19,'Premium Segment'!BQ19)/SUM('Value Segment'!BQ$82,'Mid-Market Segment'!BQ$82,'Upper Mid-Market Segment'!BQ$82,'Premium Segment'!BQ$82)</f>
        <v>13.8427468801272</v>
      </c>
      <c r="BR84" s="542">
        <f>SUM('Value Segment'!BR19,'Mid-Market Segment'!BR19,'Upper Mid-Market Segment'!BR19,'Premium Segment'!BR19)/SUM('Value Segment'!BR$82,'Mid-Market Segment'!BR$82,'Upper Mid-Market Segment'!BR$82,'Premium Segment'!BR$82)</f>
        <v>13.8427468801272</v>
      </c>
      <c r="BS84" s="542">
        <f>SUM('Value Segment'!BS19,'Mid-Market Segment'!BS19,'Upper Mid-Market Segment'!BS19,'Premium Segment'!BS19)/SUM('Value Segment'!BS$82,'Mid-Market Segment'!BS$82,'Upper Mid-Market Segment'!BS$82,'Premium Segment'!BS$82)</f>
        <v>13.8427468801272</v>
      </c>
      <c r="BT84" s="542">
        <f>SUM('Value Segment'!BT19,'Mid-Market Segment'!BT19,'Upper Mid-Market Segment'!BT19,'Premium Segment'!BT19)/SUM('Value Segment'!BT$82,'Mid-Market Segment'!BT$82,'Upper Mid-Market Segment'!BT$82,'Premium Segment'!BT$82)</f>
        <v>14.416435102865163</v>
      </c>
      <c r="BU84" s="542">
        <f>SUM('Value Segment'!BU19,'Mid-Market Segment'!BU19,'Upper Mid-Market Segment'!BU19,'Premium Segment'!BU19)/SUM('Value Segment'!BU$82,'Mid-Market Segment'!BU$82,'Upper Mid-Market Segment'!BU$82,'Premium Segment'!BU$82)</f>
        <v>14.416435102865163</v>
      </c>
      <c r="BV84" s="542">
        <f>SUM('Value Segment'!BV19,'Mid-Market Segment'!BV19,'Upper Mid-Market Segment'!BV19,'Premium Segment'!BV19)/SUM('Value Segment'!BV$82,'Mid-Market Segment'!BV$82,'Upper Mid-Market Segment'!BV$82,'Premium Segment'!BV$82)</f>
        <v>14.416435102865163</v>
      </c>
      <c r="BW84" s="542">
        <f>SUM('Value Segment'!BW19,'Mid-Market Segment'!BW19,'Upper Mid-Market Segment'!BW19,'Premium Segment'!BW19)/SUM('Value Segment'!BW$82,'Mid-Market Segment'!BW$82,'Upper Mid-Market Segment'!BW$82,'Premium Segment'!BW$82)</f>
        <v>14.416435102865163</v>
      </c>
      <c r="BX84" s="542">
        <f>SUM('Value Segment'!BX19,'Mid-Market Segment'!BX19,'Upper Mid-Market Segment'!BX19,'Premium Segment'!BX19)/SUM('Value Segment'!BX$82,'Mid-Market Segment'!BX$82,'Upper Mid-Market Segment'!BX$82,'Premium Segment'!BX$82)</f>
        <v>14.416435102865163</v>
      </c>
      <c r="BY84" s="542">
        <f>SUM('Value Segment'!BY19,'Mid-Market Segment'!BY19,'Upper Mid-Market Segment'!BY19,'Premium Segment'!BY19)/SUM('Value Segment'!BY$82,'Mid-Market Segment'!BY$82,'Upper Mid-Market Segment'!BY$82,'Premium Segment'!BY$82)</f>
        <v>14.416435102865163</v>
      </c>
    </row>
    <row r="85" spans="3:80" x14ac:dyDescent="0.3">
      <c r="C85" s="2"/>
      <c r="D85" s="2"/>
      <c r="E85" s="2"/>
      <c r="F85" s="37"/>
      <c r="G85" s="37"/>
      <c r="H85" s="37"/>
      <c r="I85" s="37"/>
      <c r="J85" s="37"/>
      <c r="K85" s="37"/>
      <c r="L85" s="37"/>
      <c r="M85" s="37"/>
      <c r="N85" s="37"/>
      <c r="O85" s="37"/>
      <c r="P85" s="35"/>
      <c r="R85" s="37"/>
      <c r="S85" s="37"/>
      <c r="T85" s="37"/>
      <c r="U85" s="37"/>
      <c r="V85" s="37"/>
      <c r="W85" s="37"/>
      <c r="X85" s="37"/>
      <c r="Y85" s="37"/>
      <c r="Z85" s="37"/>
      <c r="AA85" s="37"/>
      <c r="AB85" s="37"/>
      <c r="AC85" s="37"/>
      <c r="AD85" s="37"/>
      <c r="AE85" s="37"/>
      <c r="AF85" s="37"/>
      <c r="AG85" s="37"/>
      <c r="AH85" s="37"/>
      <c r="AI85" s="37"/>
      <c r="AJ85" s="37"/>
      <c r="AK85" s="37"/>
      <c r="AL85" s="37"/>
      <c r="AM85" s="37"/>
      <c r="AN85" s="37"/>
      <c r="AO85" s="37"/>
      <c r="AP85" s="37"/>
      <c r="AQ85" s="37"/>
      <c r="AR85" s="37"/>
      <c r="AS85" s="37"/>
      <c r="AT85" s="37"/>
      <c r="AU85" s="37"/>
      <c r="AV85" s="37"/>
      <c r="AW85" s="37"/>
      <c r="AX85" s="37"/>
      <c r="AY85" s="37"/>
      <c r="AZ85" s="37"/>
      <c r="BA85" s="37"/>
      <c r="BB85" s="37"/>
      <c r="BC85" s="37"/>
      <c r="BD85" s="37"/>
      <c r="BE85" s="37"/>
      <c r="BF85" s="37"/>
      <c r="BG85" s="37"/>
      <c r="BH85" s="37"/>
      <c r="BI85" s="37"/>
      <c r="BJ85" s="37"/>
      <c r="BK85" s="37"/>
      <c r="BL85" s="37"/>
      <c r="BM85" s="37"/>
      <c r="BN85" s="37"/>
      <c r="BO85" s="37"/>
      <c r="BP85" s="37"/>
      <c r="BQ85" s="37"/>
      <c r="BR85" s="37"/>
      <c r="BS85" s="37"/>
      <c r="BT85" s="37"/>
      <c r="BU85" s="37"/>
      <c r="BV85" s="37"/>
      <c r="BW85" s="37"/>
      <c r="BX85" s="37"/>
      <c r="BY85" s="37"/>
    </row>
    <row r="86" spans="3:80" x14ac:dyDescent="0.3">
      <c r="C86" s="2"/>
      <c r="D86" s="2"/>
      <c r="E86" s="17" t="s">
        <v>22</v>
      </c>
      <c r="F86" s="37"/>
      <c r="G86" s="37"/>
      <c r="H86" s="37"/>
      <c r="I86" s="37"/>
      <c r="J86" s="37"/>
      <c r="K86" s="37"/>
      <c r="L86" s="37"/>
      <c r="M86" s="37"/>
      <c r="N86" s="37"/>
      <c r="O86" s="37"/>
      <c r="P86" s="35"/>
      <c r="R86" s="37"/>
      <c r="S86" s="37"/>
      <c r="T86" s="37"/>
      <c r="U86" s="37"/>
      <c r="V86" s="37"/>
      <c r="W86" s="37"/>
      <c r="X86" s="37"/>
      <c r="Y86" s="37"/>
      <c r="Z86" s="37"/>
      <c r="AA86" s="37"/>
      <c r="AB86" s="37"/>
      <c r="AC86" s="37"/>
      <c r="AD86" s="37"/>
      <c r="AE86" s="37"/>
      <c r="AF86" s="37"/>
      <c r="AG86" s="37"/>
      <c r="AH86" s="37"/>
      <c r="AI86" s="37"/>
      <c r="AJ86" s="37"/>
      <c r="AK86" s="37"/>
      <c r="AL86" s="37"/>
      <c r="AM86" s="37"/>
      <c r="AN86" s="37"/>
      <c r="AO86" s="37"/>
      <c r="AP86" s="37"/>
      <c r="AQ86" s="37"/>
      <c r="AR86" s="37"/>
      <c r="AS86" s="37"/>
      <c r="AT86" s="37"/>
      <c r="AU86" s="37"/>
      <c r="AV86" s="37"/>
      <c r="AW86" s="37"/>
      <c r="AX86" s="37"/>
      <c r="AY86" s="37"/>
      <c r="AZ86" s="37"/>
      <c r="BA86" s="37"/>
      <c r="BB86" s="37"/>
      <c r="BC86" s="37"/>
      <c r="BD86" s="37"/>
      <c r="BE86" s="37"/>
      <c r="BF86" s="37"/>
      <c r="BG86" s="37"/>
      <c r="BH86" s="37"/>
      <c r="BI86" s="37"/>
      <c r="BJ86" s="37"/>
      <c r="BK86" s="37"/>
      <c r="BL86" s="37"/>
      <c r="BM86" s="37"/>
      <c r="BN86" s="37"/>
      <c r="BO86" s="37"/>
      <c r="BP86" s="37"/>
      <c r="BQ86" s="37"/>
      <c r="BR86" s="37"/>
      <c r="BS86" s="37"/>
      <c r="BT86" s="37"/>
      <c r="BU86" s="37"/>
      <c r="BV86" s="37"/>
      <c r="BW86" s="37"/>
      <c r="BX86" s="37"/>
      <c r="BY86" s="37"/>
    </row>
    <row r="87" spans="3:80" x14ac:dyDescent="0.3">
      <c r="C87" s="2"/>
      <c r="D87" s="2"/>
      <c r="E87" s="4" t="s">
        <v>388</v>
      </c>
      <c r="F87" s="5"/>
      <c r="G87" s="5"/>
      <c r="H87" s="5"/>
      <c r="I87" s="507">
        <f>SUM('Value Segment'!I22,'Mid-Market Segment'!I22,'Upper Mid-Market Segment'!I22,'Premium Segment'!I22)/SUM('Value Segment'!I$82,'Mid-Market Segment'!I$82,'Upper Mid-Market Segment'!I$82,'Premium Segment'!I$82)</f>
        <v>120466.04658092256</v>
      </c>
      <c r="J87" s="507">
        <f>SUM('Value Segment'!J22,'Mid-Market Segment'!J22,'Upper Mid-Market Segment'!J22,'Premium Segment'!J22)/SUM('Value Segment'!J$82,'Mid-Market Segment'!J$82,'Upper Mid-Market Segment'!J$82,'Premium Segment'!J$82)</f>
        <v>126464.22614641706</v>
      </c>
      <c r="K87" s="507">
        <f>SUM('Value Segment'!K22,'Mid-Market Segment'!K22,'Upper Mid-Market Segment'!K22,'Premium Segment'!K22)/SUM('Value Segment'!K$82,'Mid-Market Segment'!K$82,'Upper Mid-Market Segment'!K$82,'Premium Segment'!K$82)</f>
        <v>133699.40842647108</v>
      </c>
      <c r="L87" s="507">
        <f>SUM('Value Segment'!L22,'Mid-Market Segment'!L22,'Upper Mid-Market Segment'!L22,'Premium Segment'!L22)/SUM('Value Segment'!L$82,'Mid-Market Segment'!L$82,'Upper Mid-Market Segment'!L$82,'Premium Segment'!L$82)</f>
        <v>141103.25566930001</v>
      </c>
      <c r="M87" s="507">
        <f>SUM('Value Segment'!M22,'Mid-Market Segment'!M22,'Upper Mid-Market Segment'!M22,'Premium Segment'!M22)/SUM('Value Segment'!M$82,'Mid-Market Segment'!M$82,'Upper Mid-Market Segment'!M$82,'Premium Segment'!M$82)</f>
        <v>148778.92750173644</v>
      </c>
      <c r="N87" s="507">
        <f>SUM('Value Segment'!N22,'Mid-Market Segment'!N22,'Upper Mid-Market Segment'!N22,'Premium Segment'!N22)/SUM('Value Segment'!N$82,'Mid-Market Segment'!N$82,'Upper Mid-Market Segment'!N$82,'Premium Segment'!N$82)</f>
        <v>156879.83634541577</v>
      </c>
      <c r="O87" s="57"/>
      <c r="P87" s="55">
        <f>IFERROR(((N87/I87)^(1/5))-1,0)</f>
        <v>5.4242436493643797E-2</v>
      </c>
      <c r="R87" s="507">
        <f>SUM('Value Segment'!R22,'Mid-Market Segment'!R22,'Upper Mid-Market Segment'!R22,'Premium Segment'!R22)/SUM('Value Segment'!R$82,'Mid-Market Segment'!R$82,'Upper Mid-Market Segment'!R$82,'Premium Segment'!R$82)</f>
        <v>10415.231578095669</v>
      </c>
      <c r="S87" s="661">
        <f>SUM('Value Segment'!S22,'Mid-Market Segment'!S22,'Upper Mid-Market Segment'!S22,'Premium Segment'!S22)/SUM('Value Segment'!S$82,'Mid-Market Segment'!S$82,'Upper Mid-Market Segment'!S$82,'Premium Segment'!S$82)</f>
        <v>10415.231578095669</v>
      </c>
      <c r="T87" s="661">
        <f>SUM('Value Segment'!T22,'Mid-Market Segment'!T22,'Upper Mid-Market Segment'!T22,'Premium Segment'!T22)/SUM('Value Segment'!T$82,'Mid-Market Segment'!T$82,'Upper Mid-Market Segment'!T$82,'Premium Segment'!T$82)</f>
        <v>10415.231578095669</v>
      </c>
      <c r="U87" s="661">
        <f>SUM('Value Segment'!U22,'Mid-Market Segment'!U22,'Upper Mid-Market Segment'!U22,'Premium Segment'!U22)/SUM('Value Segment'!U$82,'Mid-Market Segment'!U$82,'Upper Mid-Market Segment'!U$82,'Premium Segment'!U$82)</f>
        <v>10415.231578095669</v>
      </c>
      <c r="V87" s="661">
        <f>SUM('Value Segment'!V22,'Mid-Market Segment'!V22,'Upper Mid-Market Segment'!V22,'Premium Segment'!V22)/SUM('Value Segment'!V$82,'Mid-Market Segment'!V$82,'Upper Mid-Market Segment'!V$82,'Premium Segment'!V$82)</f>
        <v>10415.231578095669</v>
      </c>
      <c r="W87" s="661">
        <f>SUM('Value Segment'!W22,'Mid-Market Segment'!W22,'Upper Mid-Market Segment'!W22,'Premium Segment'!W22)/SUM('Value Segment'!W$82,'Mid-Market Segment'!W$82,'Upper Mid-Market Segment'!W$82,'Premium Segment'!W$82)</f>
        <v>10415.231578095669</v>
      </c>
      <c r="X87" s="661">
        <f>SUM('Value Segment'!X22,'Mid-Market Segment'!X22,'Upper Mid-Market Segment'!X22,'Premium Segment'!X22)/SUM('Value Segment'!X$82,'Mid-Market Segment'!X$82,'Upper Mid-Market Segment'!X$82,'Premium Segment'!X$82)</f>
        <v>10662.139446307176</v>
      </c>
      <c r="Y87" s="661">
        <f>SUM('Value Segment'!Y22,'Mid-Market Segment'!Y22,'Upper Mid-Market Segment'!Y22,'Premium Segment'!Y22)/SUM('Value Segment'!Y$82,'Mid-Market Segment'!Y$82,'Upper Mid-Market Segment'!Y$82,'Premium Segment'!Y$82)</f>
        <v>10662.139446307176</v>
      </c>
      <c r="Z87" s="661">
        <f>SUM('Value Segment'!Z22,'Mid-Market Segment'!Z22,'Upper Mid-Market Segment'!Z22,'Premium Segment'!Z22)/SUM('Value Segment'!Z$82,'Mid-Market Segment'!Z$82,'Upper Mid-Market Segment'!Z$82,'Premium Segment'!Z$82)</f>
        <v>10662.139446307176</v>
      </c>
      <c r="AA87" s="661">
        <f>SUM('Value Segment'!AA22,'Mid-Market Segment'!AA22,'Upper Mid-Market Segment'!AA22,'Premium Segment'!AA22)/SUM('Value Segment'!AA$82,'Mid-Market Segment'!AA$82,'Upper Mid-Market Segment'!AA$82,'Premium Segment'!AA$82)</f>
        <v>10662.139446307176</v>
      </c>
      <c r="AB87" s="661">
        <f>SUM('Value Segment'!AB22,'Mid-Market Segment'!AB22,'Upper Mid-Market Segment'!AB22,'Premium Segment'!AB22)/SUM('Value Segment'!AB$82,'Mid-Market Segment'!AB$82,'Upper Mid-Market Segment'!AB$82,'Premium Segment'!AB$82)</f>
        <v>10662.139446307176</v>
      </c>
      <c r="AC87" s="661">
        <f>SUM('Value Segment'!AC22,'Mid-Market Segment'!AC22,'Upper Mid-Market Segment'!AC22,'Premium Segment'!AC22)/SUM('Value Segment'!AC$82,'Mid-Market Segment'!AC$82,'Upper Mid-Market Segment'!AC$82,'Premium Segment'!AC$82)</f>
        <v>10662.139446307176</v>
      </c>
      <c r="AD87" s="661">
        <f>SUM('Value Segment'!AD22,'Mid-Market Segment'!AD22,'Upper Mid-Market Segment'!AD22,'Premium Segment'!AD22)/SUM('Value Segment'!AD$82,'Mid-Market Segment'!AD$82,'Upper Mid-Market Segment'!AD$82,'Premium Segment'!AD$82)</f>
        <v>10985.109591019542</v>
      </c>
      <c r="AE87" s="661">
        <f>SUM('Value Segment'!AE22,'Mid-Market Segment'!AE22,'Upper Mid-Market Segment'!AE22,'Premium Segment'!AE22)/SUM('Value Segment'!AE$82,'Mid-Market Segment'!AE$82,'Upper Mid-Market Segment'!AE$82,'Premium Segment'!AE$82)</f>
        <v>10985.109591019542</v>
      </c>
      <c r="AF87" s="661">
        <f>SUM('Value Segment'!AF22,'Mid-Market Segment'!AF22,'Upper Mid-Market Segment'!AF22,'Premium Segment'!AF22)/SUM('Value Segment'!AF$82,'Mid-Market Segment'!AF$82,'Upper Mid-Market Segment'!AF$82,'Premium Segment'!AF$82)</f>
        <v>10985.109591019542</v>
      </c>
      <c r="AG87" s="661">
        <f>SUM('Value Segment'!AG22,'Mid-Market Segment'!AG22,'Upper Mid-Market Segment'!AG22,'Premium Segment'!AG22)/SUM('Value Segment'!AG$82,'Mid-Market Segment'!AG$82,'Upper Mid-Market Segment'!AG$82,'Premium Segment'!AG$82)</f>
        <v>10985.109591019542</v>
      </c>
      <c r="AH87" s="661">
        <f>SUM('Value Segment'!AH22,'Mid-Market Segment'!AH22,'Upper Mid-Market Segment'!AH22,'Premium Segment'!AH22)/SUM('Value Segment'!AH$82,'Mid-Market Segment'!AH$82,'Upper Mid-Market Segment'!AH$82,'Premium Segment'!AH$82)</f>
        <v>10985.109591019542</v>
      </c>
      <c r="AI87" s="661">
        <f>SUM('Value Segment'!AI22,'Mid-Market Segment'!AI22,'Upper Mid-Market Segment'!AI22,'Premium Segment'!AI22)/SUM('Value Segment'!AI$82,'Mid-Market Segment'!AI$82,'Upper Mid-Market Segment'!AI$82,'Premium Segment'!AI$82)</f>
        <v>10985.109591019542</v>
      </c>
      <c r="AJ87" s="661">
        <f>SUM('Value Segment'!AJ22,'Mid-Market Segment'!AJ22,'Upper Mid-Market Segment'!AJ22,'Premium Segment'!AJ22)/SUM('Value Segment'!AJ$82,'Mid-Market Segment'!AJ$82,'Upper Mid-Market Segment'!AJ$82,'Premium Segment'!AJ$82)</f>
        <v>11298.125146725635</v>
      </c>
      <c r="AK87" s="661">
        <f>SUM('Value Segment'!AK22,'Mid-Market Segment'!AK22,'Upper Mid-Market Segment'!AK22,'Premium Segment'!AK22)/SUM('Value Segment'!AK$82,'Mid-Market Segment'!AK$82,'Upper Mid-Market Segment'!AK$82,'Premium Segment'!AK$82)</f>
        <v>11298.125146725635</v>
      </c>
      <c r="AL87" s="661">
        <f>SUM('Value Segment'!AL22,'Mid-Market Segment'!AL22,'Upper Mid-Market Segment'!AL22,'Premium Segment'!AL22)/SUM('Value Segment'!AL$82,'Mid-Market Segment'!AL$82,'Upper Mid-Market Segment'!AL$82,'Premium Segment'!AL$82)</f>
        <v>11298.125146725635</v>
      </c>
      <c r="AM87" s="661">
        <f>SUM('Value Segment'!AM22,'Mid-Market Segment'!AM22,'Upper Mid-Market Segment'!AM22,'Premium Segment'!AM22)/SUM('Value Segment'!AM$82,'Mid-Market Segment'!AM$82,'Upper Mid-Market Segment'!AM$82,'Premium Segment'!AM$82)</f>
        <v>11298.125146725635</v>
      </c>
      <c r="AN87" s="661">
        <f>SUM('Value Segment'!AN22,'Mid-Market Segment'!AN22,'Upper Mid-Market Segment'!AN22,'Premium Segment'!AN22)/SUM('Value Segment'!AN$82,'Mid-Market Segment'!AN$82,'Upper Mid-Market Segment'!AN$82,'Premium Segment'!AN$82)</f>
        <v>11298.125146725635</v>
      </c>
      <c r="AO87" s="661">
        <f>SUM('Value Segment'!AO22,'Mid-Market Segment'!AO22,'Upper Mid-Market Segment'!AO22,'Premium Segment'!AO22)/SUM('Value Segment'!AO$82,'Mid-Market Segment'!AO$82,'Upper Mid-Market Segment'!AO$82,'Premium Segment'!AO$82)</f>
        <v>11298.125146725635</v>
      </c>
      <c r="AP87" s="661">
        <f>SUM('Value Segment'!AP22,'Mid-Market Segment'!AP22,'Upper Mid-Market Segment'!AP22,'Premium Segment'!AP22)/SUM('Value Segment'!AP$82,'Mid-Market Segment'!AP$82,'Upper Mid-Market Segment'!AP$82,'Premium Segment'!AP$82)</f>
        <v>11567.442548587287</v>
      </c>
      <c r="AQ87" s="661">
        <f>SUM('Value Segment'!AQ22,'Mid-Market Segment'!AQ22,'Upper Mid-Market Segment'!AQ22,'Premium Segment'!AQ22)/SUM('Value Segment'!AQ$82,'Mid-Market Segment'!AQ$82,'Upper Mid-Market Segment'!AQ$82,'Premium Segment'!AQ$82)</f>
        <v>11567.442548587287</v>
      </c>
      <c r="AR87" s="661">
        <f>SUM('Value Segment'!AR22,'Mid-Market Segment'!AR22,'Upper Mid-Market Segment'!AR22,'Premium Segment'!AR22)/SUM('Value Segment'!AR$82,'Mid-Market Segment'!AR$82,'Upper Mid-Market Segment'!AR$82,'Premium Segment'!AR$82)</f>
        <v>11567.442548587287</v>
      </c>
      <c r="AS87" s="661">
        <f>SUM('Value Segment'!AS22,'Mid-Market Segment'!AS22,'Upper Mid-Market Segment'!AS22,'Premium Segment'!AS22)/SUM('Value Segment'!AS$82,'Mid-Market Segment'!AS$82,'Upper Mid-Market Segment'!AS$82,'Premium Segment'!AS$82)</f>
        <v>11567.442548587287</v>
      </c>
      <c r="AT87" s="661">
        <f>SUM('Value Segment'!AT22,'Mid-Market Segment'!AT22,'Upper Mid-Market Segment'!AT22,'Premium Segment'!AT22)/SUM('Value Segment'!AT$82,'Mid-Market Segment'!AT$82,'Upper Mid-Market Segment'!AT$82,'Premium Segment'!AT$82)</f>
        <v>11567.442548587287</v>
      </c>
      <c r="AU87" s="661">
        <f>SUM('Value Segment'!AU22,'Mid-Market Segment'!AU22,'Upper Mid-Market Segment'!AU22,'Premium Segment'!AU22)/SUM('Value Segment'!AU$82,'Mid-Market Segment'!AU$82,'Upper Mid-Market Segment'!AU$82,'Premium Segment'!AU$82)</f>
        <v>11567.442548587287</v>
      </c>
      <c r="AV87" s="661">
        <f>SUM('Value Segment'!AV22,'Mid-Market Segment'!AV22,'Upper Mid-Market Segment'!AV22,'Premium Segment'!AV22)/SUM('Value Segment'!AV$82,'Mid-Market Segment'!AV$82,'Upper Mid-Market Segment'!AV$82,'Premium Segment'!AV$82)</f>
        <v>11949.766729629375</v>
      </c>
      <c r="AW87" s="661">
        <f>SUM('Value Segment'!AW22,'Mid-Market Segment'!AW22,'Upper Mid-Market Segment'!AW22,'Premium Segment'!AW22)/SUM('Value Segment'!AW$82,'Mid-Market Segment'!AW$82,'Upper Mid-Market Segment'!AW$82,'Premium Segment'!AW$82)</f>
        <v>11949.766729629375</v>
      </c>
      <c r="AX87" s="661">
        <f>SUM('Value Segment'!AX22,'Mid-Market Segment'!AX22,'Upper Mid-Market Segment'!AX22,'Premium Segment'!AX22)/SUM('Value Segment'!AX$82,'Mid-Market Segment'!AX$82,'Upper Mid-Market Segment'!AX$82,'Premium Segment'!AX$82)</f>
        <v>11949.766729629375</v>
      </c>
      <c r="AY87" s="661">
        <f>SUM('Value Segment'!AY22,'Mid-Market Segment'!AY22,'Upper Mid-Market Segment'!AY22,'Premium Segment'!AY22)/SUM('Value Segment'!AY$82,'Mid-Market Segment'!AY$82,'Upper Mid-Market Segment'!AY$82,'Premium Segment'!AY$82)</f>
        <v>11949.766729629375</v>
      </c>
      <c r="AZ87" s="661">
        <f>SUM('Value Segment'!AZ22,'Mid-Market Segment'!AZ22,'Upper Mid-Market Segment'!AZ22,'Premium Segment'!AZ22)/SUM('Value Segment'!AZ$82,'Mid-Market Segment'!AZ$82,'Upper Mid-Market Segment'!AZ$82,'Premium Segment'!AZ$82)</f>
        <v>11949.766729629375</v>
      </c>
      <c r="BA87" s="661">
        <f>SUM('Value Segment'!BA22,'Mid-Market Segment'!BA22,'Upper Mid-Market Segment'!BA22,'Premium Segment'!BA22)/SUM('Value Segment'!BA$82,'Mid-Market Segment'!BA$82,'Upper Mid-Market Segment'!BA$82,'Premium Segment'!BA$82)</f>
        <v>11949.766729629375</v>
      </c>
      <c r="BB87" s="661">
        <f>SUM('Value Segment'!BB22,'Mid-Market Segment'!BB22,'Upper Mid-Market Segment'!BB22,'Premium Segment'!BB22)/SUM('Value Segment'!BB$82,'Mid-Market Segment'!BB$82,'Upper Mid-Market Segment'!BB$82,'Premium Segment'!BB$82)</f>
        <v>12170.722899275743</v>
      </c>
      <c r="BC87" s="661">
        <f>SUM('Value Segment'!BC22,'Mid-Market Segment'!BC22,'Upper Mid-Market Segment'!BC22,'Premium Segment'!BC22)/SUM('Value Segment'!BC$82,'Mid-Market Segment'!BC$82,'Upper Mid-Market Segment'!BC$82,'Premium Segment'!BC$82)</f>
        <v>12170.722899275743</v>
      </c>
      <c r="BD87" s="661">
        <f>SUM('Value Segment'!BD22,'Mid-Market Segment'!BD22,'Upper Mid-Market Segment'!BD22,'Premium Segment'!BD22)/SUM('Value Segment'!BD$82,'Mid-Market Segment'!BD$82,'Upper Mid-Market Segment'!BD$82,'Premium Segment'!BD$82)</f>
        <v>12170.722899275743</v>
      </c>
      <c r="BE87" s="661">
        <f>SUM('Value Segment'!BE22,'Mid-Market Segment'!BE22,'Upper Mid-Market Segment'!BE22,'Premium Segment'!BE22)/SUM('Value Segment'!BE$82,'Mid-Market Segment'!BE$82,'Upper Mid-Market Segment'!BE$82,'Premium Segment'!BE$82)</f>
        <v>12170.722899275743</v>
      </c>
      <c r="BF87" s="661">
        <f>SUM('Value Segment'!BF22,'Mid-Market Segment'!BF22,'Upper Mid-Market Segment'!BF22,'Premium Segment'!BF22)/SUM('Value Segment'!BF$82,'Mid-Market Segment'!BF$82,'Upper Mid-Market Segment'!BF$82,'Premium Segment'!BF$82)</f>
        <v>12170.722899275743</v>
      </c>
      <c r="BG87" s="661">
        <f>SUM('Value Segment'!BG22,'Mid-Market Segment'!BG22,'Upper Mid-Market Segment'!BG22,'Premium Segment'!BG22)/SUM('Value Segment'!BG$82,'Mid-Market Segment'!BG$82,'Upper Mid-Market Segment'!BG$82,'Premium Segment'!BG$82)</f>
        <v>12170.722899275743</v>
      </c>
      <c r="BH87" s="661">
        <f>SUM('Value Segment'!BH22,'Mid-Market Segment'!BH22,'Upper Mid-Market Segment'!BH22,'Premium Segment'!BH22)/SUM('Value Segment'!BH$82,'Mid-Market Segment'!BH$82,'Upper Mid-Market Segment'!BH$82,'Premium Segment'!BH$82)</f>
        <v>12625.765017680334</v>
      </c>
      <c r="BI87" s="661">
        <f>SUM('Value Segment'!BI22,'Mid-Market Segment'!BI22,'Upper Mid-Market Segment'!BI22,'Premium Segment'!BI22)/SUM('Value Segment'!BI$82,'Mid-Market Segment'!BI$82,'Upper Mid-Market Segment'!BI$82,'Premium Segment'!BI$82)</f>
        <v>12625.765017680334</v>
      </c>
      <c r="BJ87" s="661">
        <f>SUM('Value Segment'!BJ22,'Mid-Market Segment'!BJ22,'Upper Mid-Market Segment'!BJ22,'Premium Segment'!BJ22)/SUM('Value Segment'!BJ$82,'Mid-Market Segment'!BJ$82,'Upper Mid-Market Segment'!BJ$82,'Premium Segment'!BJ$82)</f>
        <v>12625.765017680334</v>
      </c>
      <c r="BK87" s="661">
        <f>SUM('Value Segment'!BK22,'Mid-Market Segment'!BK22,'Upper Mid-Market Segment'!BK22,'Premium Segment'!BK22)/SUM('Value Segment'!BK$82,'Mid-Market Segment'!BK$82,'Upper Mid-Market Segment'!BK$82,'Premium Segment'!BK$82)</f>
        <v>12625.765017680334</v>
      </c>
      <c r="BL87" s="661">
        <f>SUM('Value Segment'!BL22,'Mid-Market Segment'!BL22,'Upper Mid-Market Segment'!BL22,'Premium Segment'!BL22)/SUM('Value Segment'!BL$82,'Mid-Market Segment'!BL$82,'Upper Mid-Market Segment'!BL$82,'Premium Segment'!BL$82)</f>
        <v>12625.765017680334</v>
      </c>
      <c r="BM87" s="661">
        <f>SUM('Value Segment'!BM22,'Mid-Market Segment'!BM22,'Upper Mid-Market Segment'!BM22,'Premium Segment'!BM22)/SUM('Value Segment'!BM$82,'Mid-Market Segment'!BM$82,'Upper Mid-Market Segment'!BM$82,'Premium Segment'!BM$82)</f>
        <v>12625.765017680334</v>
      </c>
      <c r="BN87" s="661">
        <f>SUM('Value Segment'!BN22,'Mid-Market Segment'!BN22,'Upper Mid-Market Segment'!BN22,'Premium Segment'!BN22)/SUM('Value Segment'!BN$82,'Mid-Market Segment'!BN$82,'Upper Mid-Market Segment'!BN$82,'Premium Segment'!BN$82)</f>
        <v>12807.781942433414</v>
      </c>
      <c r="BO87" s="661">
        <f>SUM('Value Segment'!BO22,'Mid-Market Segment'!BO22,'Upper Mid-Market Segment'!BO22,'Premium Segment'!BO22)/SUM('Value Segment'!BO$82,'Mid-Market Segment'!BO$82,'Upper Mid-Market Segment'!BO$82,'Premium Segment'!BO$82)</f>
        <v>12807.781942433414</v>
      </c>
      <c r="BP87" s="661">
        <f>SUM('Value Segment'!BP22,'Mid-Market Segment'!BP22,'Upper Mid-Market Segment'!BP22,'Premium Segment'!BP22)/SUM('Value Segment'!BP$82,'Mid-Market Segment'!BP$82,'Upper Mid-Market Segment'!BP$82,'Premium Segment'!BP$82)</f>
        <v>12807.781942433414</v>
      </c>
      <c r="BQ87" s="661">
        <f>SUM('Value Segment'!BQ22,'Mid-Market Segment'!BQ22,'Upper Mid-Market Segment'!BQ22,'Premium Segment'!BQ22)/SUM('Value Segment'!BQ$82,'Mid-Market Segment'!BQ$82,'Upper Mid-Market Segment'!BQ$82,'Premium Segment'!BQ$82)</f>
        <v>12807.781942433414</v>
      </c>
      <c r="BR87" s="661">
        <f>SUM('Value Segment'!BR22,'Mid-Market Segment'!BR22,'Upper Mid-Market Segment'!BR22,'Premium Segment'!BR22)/SUM('Value Segment'!BR$82,'Mid-Market Segment'!BR$82,'Upper Mid-Market Segment'!BR$82,'Premium Segment'!BR$82)</f>
        <v>12807.781942433414</v>
      </c>
      <c r="BS87" s="661">
        <f>SUM('Value Segment'!BS22,'Mid-Market Segment'!BS22,'Upper Mid-Market Segment'!BS22,'Premium Segment'!BS22)/SUM('Value Segment'!BS$82,'Mid-Market Segment'!BS$82,'Upper Mid-Market Segment'!BS$82,'Premium Segment'!BS$82)</f>
        <v>12807.781942433414</v>
      </c>
      <c r="BT87" s="661">
        <f>SUM('Value Segment'!BT22,'Mid-Market Segment'!BT22,'Upper Mid-Market Segment'!BT22,'Premium Segment'!BT22)/SUM('Value Segment'!BT$82,'Mid-Market Segment'!BT$82,'Upper Mid-Market Segment'!BT$82,'Premium Segment'!BT$82)</f>
        <v>13338.857448469214</v>
      </c>
      <c r="BU87" s="661">
        <f>SUM('Value Segment'!BU22,'Mid-Market Segment'!BU22,'Upper Mid-Market Segment'!BU22,'Premium Segment'!BU22)/SUM('Value Segment'!BU$82,'Mid-Market Segment'!BU$82,'Upper Mid-Market Segment'!BU$82,'Premium Segment'!BU$82)</f>
        <v>13338.857448469214</v>
      </c>
      <c r="BV87" s="661">
        <f>SUM('Value Segment'!BV22,'Mid-Market Segment'!BV22,'Upper Mid-Market Segment'!BV22,'Premium Segment'!BV22)/SUM('Value Segment'!BV$82,'Mid-Market Segment'!BV$82,'Upper Mid-Market Segment'!BV$82,'Premium Segment'!BV$82)</f>
        <v>13338.857448469214</v>
      </c>
      <c r="BW87" s="661">
        <f>SUM('Value Segment'!BW22,'Mid-Market Segment'!BW22,'Upper Mid-Market Segment'!BW22,'Premium Segment'!BW22)/SUM('Value Segment'!BW$82,'Mid-Market Segment'!BW$82,'Upper Mid-Market Segment'!BW$82,'Premium Segment'!BW$82)</f>
        <v>13338.857448469214</v>
      </c>
      <c r="BX87" s="661">
        <f>SUM('Value Segment'!BX22,'Mid-Market Segment'!BX22,'Upper Mid-Market Segment'!BX22,'Premium Segment'!BX22)/SUM('Value Segment'!BX$82,'Mid-Market Segment'!BX$82,'Upper Mid-Market Segment'!BX$82,'Premium Segment'!BX$82)</f>
        <v>13338.857448469214</v>
      </c>
      <c r="BY87" s="661">
        <f>SUM('Value Segment'!BY22,'Mid-Market Segment'!BY22,'Upper Mid-Market Segment'!BY22,'Premium Segment'!BY22)/SUM('Value Segment'!BY$82,'Mid-Market Segment'!BY$82,'Upper Mid-Market Segment'!BY$82,'Premium Segment'!BY$82)</f>
        <v>13338.857448469214</v>
      </c>
      <c r="CB87" s="8"/>
    </row>
    <row r="88" spans="3:80" x14ac:dyDescent="0.3">
      <c r="C88" s="2"/>
      <c r="D88" s="2"/>
      <c r="E88" s="2" t="s">
        <v>387</v>
      </c>
      <c r="F88" s="54"/>
      <c r="G88" s="54"/>
      <c r="H88" s="54"/>
      <c r="I88" s="19">
        <f>SUM('Value Segment'!I23,'Mid-Market Segment'!I23,'Upper Mid-Market Segment'!I23,'Premium Segment'!I23)/SUM('Value Segment'!I$82,'Mid-Market Segment'!I$82,'Upper Mid-Market Segment'!I$82,'Premium Segment'!I$82)</f>
        <v>-38372.63529863103</v>
      </c>
      <c r="J88" s="19">
        <f>SUM('Value Segment'!J23,'Mid-Market Segment'!J23,'Upper Mid-Market Segment'!J23,'Premium Segment'!J23)/SUM('Value Segment'!J$82,'Mid-Market Segment'!J$82,'Upper Mid-Market Segment'!J$82,'Premium Segment'!J$82)</f>
        <v>-39213.098428943813</v>
      </c>
      <c r="K88" s="19">
        <f>SUM('Value Segment'!K23,'Mid-Market Segment'!K23,'Upper Mid-Market Segment'!K23,'Premium Segment'!K23)/SUM('Value Segment'!K$82,'Mid-Market Segment'!K$82,'Upper Mid-Market Segment'!K$82,'Premium Segment'!K$82)</f>
        <v>-40399.020764854111</v>
      </c>
      <c r="L88" s="19">
        <f>SUM('Value Segment'!L23,'Mid-Market Segment'!L23,'Upper Mid-Market Segment'!L23,'Premium Segment'!L23)/SUM('Value Segment'!L$82,'Mid-Market Segment'!L$82,'Upper Mid-Market Segment'!L$82,'Premium Segment'!L$82)</f>
        <v>-41602.016107999909</v>
      </c>
      <c r="M88" s="19">
        <f>SUM('Value Segment'!M23,'Mid-Market Segment'!M23,'Upper Mid-Market Segment'!M23,'Premium Segment'!M23)/SUM('Value Segment'!M$82,'Mid-Market Segment'!M$82,'Upper Mid-Market Segment'!M$82,'Premium Segment'!M$82)</f>
        <v>-42862.332030172169</v>
      </c>
      <c r="N88" s="19">
        <f>SUM('Value Segment'!N23,'Mid-Market Segment'!N23,'Upper Mid-Market Segment'!N23,'Premium Segment'!N23)/SUM('Value Segment'!N$82,'Mid-Market Segment'!N$82,'Upper Mid-Market Segment'!N$82,'Premium Segment'!N$82)</f>
        <v>-44166.863235233046</v>
      </c>
      <c r="O88" s="37"/>
      <c r="P88" s="50">
        <f t="shared" ref="P88:P93" si="95">IFERROR(((N88/I88)^(1/5))-1,0)</f>
        <v>2.8525316566897052E-2</v>
      </c>
      <c r="R88" s="19">
        <f>SUM('Value Segment'!R23,'Mid-Market Segment'!R23,'Upper Mid-Market Segment'!R23,'Premium Segment'!R23)/SUM('Value Segment'!R$82,'Mid-Market Segment'!R$82,'Upper Mid-Market Segment'!R$82,'Premium Segment'!R$82)</f>
        <v>-3229.3951833421652</v>
      </c>
      <c r="S88" s="542">
        <f>SUM('Value Segment'!S23,'Mid-Market Segment'!S23,'Upper Mid-Market Segment'!S23,'Premium Segment'!S23)/SUM('Value Segment'!S$82,'Mid-Market Segment'!S$82,'Upper Mid-Market Segment'!S$82,'Premium Segment'!S$82)</f>
        <v>-3229.3951833421652</v>
      </c>
      <c r="T88" s="542">
        <f>SUM('Value Segment'!T23,'Mid-Market Segment'!T23,'Upper Mid-Market Segment'!T23,'Premium Segment'!T23)/SUM('Value Segment'!T$82,'Mid-Market Segment'!T$82,'Upper Mid-Market Segment'!T$82,'Premium Segment'!T$82)</f>
        <v>-3229.3951833421652</v>
      </c>
      <c r="U88" s="542">
        <f>SUM('Value Segment'!U23,'Mid-Market Segment'!U23,'Upper Mid-Market Segment'!U23,'Premium Segment'!U23)/SUM('Value Segment'!U$82,'Mid-Market Segment'!U$82,'Upper Mid-Market Segment'!U$82,'Premium Segment'!U$82)</f>
        <v>-3229.3951833421652</v>
      </c>
      <c r="V88" s="542">
        <f>SUM('Value Segment'!V23,'Mid-Market Segment'!V23,'Upper Mid-Market Segment'!V23,'Premium Segment'!V23)/SUM('Value Segment'!V$82,'Mid-Market Segment'!V$82,'Upper Mid-Market Segment'!V$82,'Premium Segment'!V$82)</f>
        <v>-3229.3951833421652</v>
      </c>
      <c r="W88" s="542">
        <f>SUM('Value Segment'!W23,'Mid-Market Segment'!W23,'Upper Mid-Market Segment'!W23,'Premium Segment'!W23)/SUM('Value Segment'!W$82,'Mid-Market Segment'!W$82,'Upper Mid-Market Segment'!W$82,'Premium Segment'!W$82)</f>
        <v>-3229.3951833421652</v>
      </c>
      <c r="X88" s="542">
        <f>SUM('Value Segment'!X23,'Mid-Market Segment'!X23,'Upper Mid-Market Segment'!X23,'Premium Segment'!X23)/SUM('Value Segment'!X$82,'Mid-Market Segment'!X$82,'Upper Mid-Market Segment'!X$82,'Premium Segment'!X$82)</f>
        <v>-3306.1212214818029</v>
      </c>
      <c r="Y88" s="542">
        <f>SUM('Value Segment'!Y23,'Mid-Market Segment'!Y23,'Upper Mid-Market Segment'!Y23,'Premium Segment'!Y23)/SUM('Value Segment'!Y$82,'Mid-Market Segment'!Y$82,'Upper Mid-Market Segment'!Y$82,'Premium Segment'!Y$82)</f>
        <v>-3306.1212214818029</v>
      </c>
      <c r="Z88" s="542">
        <f>SUM('Value Segment'!Z23,'Mid-Market Segment'!Z23,'Upper Mid-Market Segment'!Z23,'Premium Segment'!Z23)/SUM('Value Segment'!Z$82,'Mid-Market Segment'!Z$82,'Upper Mid-Market Segment'!Z$82,'Premium Segment'!Z$82)</f>
        <v>-3306.1212214818029</v>
      </c>
      <c r="AA88" s="542">
        <f>SUM('Value Segment'!AA23,'Mid-Market Segment'!AA23,'Upper Mid-Market Segment'!AA23,'Premium Segment'!AA23)/SUM('Value Segment'!AA$82,'Mid-Market Segment'!AA$82,'Upper Mid-Market Segment'!AA$82,'Premium Segment'!AA$82)</f>
        <v>-3306.1212214818029</v>
      </c>
      <c r="AB88" s="542">
        <f>SUM('Value Segment'!AB23,'Mid-Market Segment'!AB23,'Upper Mid-Market Segment'!AB23,'Premium Segment'!AB23)/SUM('Value Segment'!AB$82,'Mid-Market Segment'!AB$82,'Upper Mid-Market Segment'!AB$82,'Premium Segment'!AB$82)</f>
        <v>-3306.1212214818029</v>
      </c>
      <c r="AC88" s="542">
        <f>SUM('Value Segment'!AC23,'Mid-Market Segment'!AC23,'Upper Mid-Market Segment'!AC23,'Premium Segment'!AC23)/SUM('Value Segment'!AC$82,'Mid-Market Segment'!AC$82,'Upper Mid-Market Segment'!AC$82,'Premium Segment'!AC$82)</f>
        <v>-3306.1212214818029</v>
      </c>
      <c r="AD88" s="542">
        <f>SUM('Value Segment'!AD23,'Mid-Market Segment'!AD23,'Upper Mid-Market Segment'!AD23,'Premium Segment'!AD23)/SUM('Value Segment'!AD$82,'Mid-Market Segment'!AD$82,'Upper Mid-Market Segment'!AD$82,'Premium Segment'!AD$82)</f>
        <v>-3319.1803612301796</v>
      </c>
      <c r="AE88" s="542">
        <f>SUM('Value Segment'!AE23,'Mid-Market Segment'!AE23,'Upper Mid-Market Segment'!AE23,'Premium Segment'!AE23)/SUM('Value Segment'!AE$82,'Mid-Market Segment'!AE$82,'Upper Mid-Market Segment'!AE$82,'Premium Segment'!AE$82)</f>
        <v>-3319.1803612301796</v>
      </c>
      <c r="AF88" s="542">
        <f>SUM('Value Segment'!AF23,'Mid-Market Segment'!AF23,'Upper Mid-Market Segment'!AF23,'Premium Segment'!AF23)/SUM('Value Segment'!AF$82,'Mid-Market Segment'!AF$82,'Upper Mid-Market Segment'!AF$82,'Premium Segment'!AF$82)</f>
        <v>-3319.1803612301796</v>
      </c>
      <c r="AG88" s="542">
        <f>SUM('Value Segment'!AG23,'Mid-Market Segment'!AG23,'Upper Mid-Market Segment'!AG23,'Premium Segment'!AG23)/SUM('Value Segment'!AG$82,'Mid-Market Segment'!AG$82,'Upper Mid-Market Segment'!AG$82,'Premium Segment'!AG$82)</f>
        <v>-3319.1803612301796</v>
      </c>
      <c r="AH88" s="542">
        <f>SUM('Value Segment'!AH23,'Mid-Market Segment'!AH23,'Upper Mid-Market Segment'!AH23,'Premium Segment'!AH23)/SUM('Value Segment'!AH$82,'Mid-Market Segment'!AH$82,'Upper Mid-Market Segment'!AH$82,'Premium Segment'!AH$82)</f>
        <v>-3319.1803612301796</v>
      </c>
      <c r="AI88" s="542">
        <f>SUM('Value Segment'!AI23,'Mid-Market Segment'!AI23,'Upper Mid-Market Segment'!AI23,'Premium Segment'!AI23)/SUM('Value Segment'!AI$82,'Mid-Market Segment'!AI$82,'Upper Mid-Market Segment'!AI$82,'Premium Segment'!AI$82)</f>
        <v>-3319.1803612301796</v>
      </c>
      <c r="AJ88" s="542">
        <f>SUM('Value Segment'!AJ23,'Mid-Market Segment'!AJ23,'Upper Mid-Market Segment'!AJ23,'Premium Segment'!AJ23)/SUM('Value Segment'!AJ$82,'Mid-Market Segment'!AJ$82,'Upper Mid-Market Segment'!AJ$82,'Premium Segment'!AJ$82)</f>
        <v>-3413.989766245506</v>
      </c>
      <c r="AK88" s="542">
        <f>SUM('Value Segment'!AK23,'Mid-Market Segment'!AK23,'Upper Mid-Market Segment'!AK23,'Premium Segment'!AK23)/SUM('Value Segment'!AK$82,'Mid-Market Segment'!AK$82,'Upper Mid-Market Segment'!AK$82,'Premium Segment'!AK$82)</f>
        <v>-3413.989766245506</v>
      </c>
      <c r="AL88" s="542">
        <f>SUM('Value Segment'!AL23,'Mid-Market Segment'!AL23,'Upper Mid-Market Segment'!AL23,'Premium Segment'!AL23)/SUM('Value Segment'!AL$82,'Mid-Market Segment'!AL$82,'Upper Mid-Market Segment'!AL$82,'Premium Segment'!AL$82)</f>
        <v>-3413.989766245506</v>
      </c>
      <c r="AM88" s="542">
        <f>SUM('Value Segment'!AM23,'Mid-Market Segment'!AM23,'Upper Mid-Market Segment'!AM23,'Premium Segment'!AM23)/SUM('Value Segment'!AM$82,'Mid-Market Segment'!AM$82,'Upper Mid-Market Segment'!AM$82,'Premium Segment'!AM$82)</f>
        <v>-3413.989766245506</v>
      </c>
      <c r="AN88" s="542">
        <f>SUM('Value Segment'!AN23,'Mid-Market Segment'!AN23,'Upper Mid-Market Segment'!AN23,'Premium Segment'!AN23)/SUM('Value Segment'!AN$82,'Mid-Market Segment'!AN$82,'Upper Mid-Market Segment'!AN$82,'Premium Segment'!AN$82)</f>
        <v>-3413.989766245506</v>
      </c>
      <c r="AO88" s="542">
        <f>SUM('Value Segment'!AO23,'Mid-Market Segment'!AO23,'Upper Mid-Market Segment'!AO23,'Premium Segment'!AO23)/SUM('Value Segment'!AO$82,'Mid-Market Segment'!AO$82,'Upper Mid-Market Segment'!AO$82,'Premium Segment'!AO$82)</f>
        <v>-3413.989766245506</v>
      </c>
      <c r="AP88" s="542">
        <f>SUM('Value Segment'!AP23,'Mid-Market Segment'!AP23,'Upper Mid-Market Segment'!AP23,'Premium Segment'!AP23)/SUM('Value Segment'!AP$82,'Mid-Market Segment'!AP$82,'Upper Mid-Market Segment'!AP$82,'Premium Segment'!AP$82)</f>
        <v>-3410.3293329363064</v>
      </c>
      <c r="AQ88" s="542">
        <f>SUM('Value Segment'!AQ23,'Mid-Market Segment'!AQ23,'Upper Mid-Market Segment'!AQ23,'Premium Segment'!AQ23)/SUM('Value Segment'!AQ$82,'Mid-Market Segment'!AQ$82,'Upper Mid-Market Segment'!AQ$82,'Premium Segment'!AQ$82)</f>
        <v>-3410.3293329363064</v>
      </c>
      <c r="AR88" s="542">
        <f>SUM('Value Segment'!AR23,'Mid-Market Segment'!AR23,'Upper Mid-Market Segment'!AR23,'Premium Segment'!AR23)/SUM('Value Segment'!AR$82,'Mid-Market Segment'!AR$82,'Upper Mid-Market Segment'!AR$82,'Premium Segment'!AR$82)</f>
        <v>-3410.3293329363064</v>
      </c>
      <c r="AS88" s="542">
        <f>SUM('Value Segment'!AS23,'Mid-Market Segment'!AS23,'Upper Mid-Market Segment'!AS23,'Premium Segment'!AS23)/SUM('Value Segment'!AS$82,'Mid-Market Segment'!AS$82,'Upper Mid-Market Segment'!AS$82,'Premium Segment'!AS$82)</f>
        <v>-3410.3293329363064</v>
      </c>
      <c r="AT88" s="542">
        <f>SUM('Value Segment'!AT23,'Mid-Market Segment'!AT23,'Upper Mid-Market Segment'!AT23,'Premium Segment'!AT23)/SUM('Value Segment'!AT$82,'Mid-Market Segment'!AT$82,'Upper Mid-Market Segment'!AT$82,'Premium Segment'!AT$82)</f>
        <v>-3410.3293329363064</v>
      </c>
      <c r="AU88" s="542">
        <f>SUM('Value Segment'!AU23,'Mid-Market Segment'!AU23,'Upper Mid-Market Segment'!AU23,'Premium Segment'!AU23)/SUM('Value Segment'!AU$82,'Mid-Market Segment'!AU$82,'Upper Mid-Market Segment'!AU$82,'Premium Segment'!AU$82)</f>
        <v>-3410.3293329363064</v>
      </c>
      <c r="AV88" s="542">
        <f>SUM('Value Segment'!AV23,'Mid-Market Segment'!AV23,'Upper Mid-Market Segment'!AV23,'Premium Segment'!AV23)/SUM('Value Segment'!AV$82,'Mid-Market Segment'!AV$82,'Upper Mid-Market Segment'!AV$82,'Premium Segment'!AV$82)</f>
        <v>-3523.3400183970102</v>
      </c>
      <c r="AW88" s="542">
        <f>SUM('Value Segment'!AW23,'Mid-Market Segment'!AW23,'Upper Mid-Market Segment'!AW23,'Premium Segment'!AW23)/SUM('Value Segment'!AW$82,'Mid-Market Segment'!AW$82,'Upper Mid-Market Segment'!AW$82,'Premium Segment'!AW$82)</f>
        <v>-3523.3400183970102</v>
      </c>
      <c r="AX88" s="542">
        <f>SUM('Value Segment'!AX23,'Mid-Market Segment'!AX23,'Upper Mid-Market Segment'!AX23,'Premium Segment'!AX23)/SUM('Value Segment'!AX$82,'Mid-Market Segment'!AX$82,'Upper Mid-Market Segment'!AX$82,'Premium Segment'!AX$82)</f>
        <v>-3523.3400183970102</v>
      </c>
      <c r="AY88" s="542">
        <f>SUM('Value Segment'!AY23,'Mid-Market Segment'!AY23,'Upper Mid-Market Segment'!AY23,'Premium Segment'!AY23)/SUM('Value Segment'!AY$82,'Mid-Market Segment'!AY$82,'Upper Mid-Market Segment'!AY$82,'Premium Segment'!AY$82)</f>
        <v>-3523.3400183970102</v>
      </c>
      <c r="AZ88" s="542">
        <f>SUM('Value Segment'!AZ23,'Mid-Market Segment'!AZ23,'Upper Mid-Market Segment'!AZ23,'Premium Segment'!AZ23)/SUM('Value Segment'!AZ$82,'Mid-Market Segment'!AZ$82,'Upper Mid-Market Segment'!AZ$82,'Premium Segment'!AZ$82)</f>
        <v>-3523.3400183970102</v>
      </c>
      <c r="BA88" s="542">
        <f>SUM('Value Segment'!BA23,'Mid-Market Segment'!BA23,'Upper Mid-Market Segment'!BA23,'Premium Segment'!BA23)/SUM('Value Segment'!BA$82,'Mid-Market Segment'!BA$82,'Upper Mid-Market Segment'!BA$82,'Premium Segment'!BA$82)</f>
        <v>-3523.3400183970102</v>
      </c>
      <c r="BB88" s="542">
        <f>SUM('Value Segment'!BB23,'Mid-Market Segment'!BB23,'Upper Mid-Market Segment'!BB23,'Premium Segment'!BB23)/SUM('Value Segment'!BB$82,'Mid-Market Segment'!BB$82,'Upper Mid-Market Segment'!BB$82,'Premium Segment'!BB$82)</f>
        <v>-3506.1390148997762</v>
      </c>
      <c r="BC88" s="542">
        <f>SUM('Value Segment'!BC23,'Mid-Market Segment'!BC23,'Upper Mid-Market Segment'!BC23,'Premium Segment'!BC23)/SUM('Value Segment'!BC$82,'Mid-Market Segment'!BC$82,'Upper Mid-Market Segment'!BC$82,'Premium Segment'!BC$82)</f>
        <v>-3506.1390148997762</v>
      </c>
      <c r="BD88" s="542">
        <f>SUM('Value Segment'!BD23,'Mid-Market Segment'!BD23,'Upper Mid-Market Segment'!BD23,'Premium Segment'!BD23)/SUM('Value Segment'!BD$82,'Mid-Market Segment'!BD$82,'Upper Mid-Market Segment'!BD$82,'Premium Segment'!BD$82)</f>
        <v>-3506.1390148997762</v>
      </c>
      <c r="BE88" s="542">
        <f>SUM('Value Segment'!BE23,'Mid-Market Segment'!BE23,'Upper Mid-Market Segment'!BE23,'Premium Segment'!BE23)/SUM('Value Segment'!BE$82,'Mid-Market Segment'!BE$82,'Upper Mid-Market Segment'!BE$82,'Premium Segment'!BE$82)</f>
        <v>-3506.1390148997762</v>
      </c>
      <c r="BF88" s="542">
        <f>SUM('Value Segment'!BF23,'Mid-Market Segment'!BF23,'Upper Mid-Market Segment'!BF23,'Premium Segment'!BF23)/SUM('Value Segment'!BF$82,'Mid-Market Segment'!BF$82,'Upper Mid-Market Segment'!BF$82,'Premium Segment'!BF$82)</f>
        <v>-3506.1390148997762</v>
      </c>
      <c r="BG88" s="542">
        <f>SUM('Value Segment'!BG23,'Mid-Market Segment'!BG23,'Upper Mid-Market Segment'!BG23,'Premium Segment'!BG23)/SUM('Value Segment'!BG$82,'Mid-Market Segment'!BG$82,'Upper Mid-Market Segment'!BG$82,'Premium Segment'!BG$82)</f>
        <v>-3506.1390148997762</v>
      </c>
      <c r="BH88" s="542">
        <f>SUM('Value Segment'!BH23,'Mid-Market Segment'!BH23,'Upper Mid-Market Segment'!BH23,'Premium Segment'!BH23)/SUM('Value Segment'!BH$82,'Mid-Market Segment'!BH$82,'Upper Mid-Market Segment'!BH$82,'Premium Segment'!BH$82)</f>
        <v>-3637.5829901289189</v>
      </c>
      <c r="BI88" s="542">
        <f>SUM('Value Segment'!BI23,'Mid-Market Segment'!BI23,'Upper Mid-Market Segment'!BI23,'Premium Segment'!BI23)/SUM('Value Segment'!BI$82,'Mid-Market Segment'!BI$82,'Upper Mid-Market Segment'!BI$82,'Premium Segment'!BI$82)</f>
        <v>-3637.5829901289189</v>
      </c>
      <c r="BJ88" s="542">
        <f>SUM('Value Segment'!BJ23,'Mid-Market Segment'!BJ23,'Upper Mid-Market Segment'!BJ23,'Premium Segment'!BJ23)/SUM('Value Segment'!BJ$82,'Mid-Market Segment'!BJ$82,'Upper Mid-Market Segment'!BJ$82,'Premium Segment'!BJ$82)</f>
        <v>-3637.5829901289189</v>
      </c>
      <c r="BK88" s="542">
        <f>SUM('Value Segment'!BK23,'Mid-Market Segment'!BK23,'Upper Mid-Market Segment'!BK23,'Premium Segment'!BK23)/SUM('Value Segment'!BK$82,'Mid-Market Segment'!BK$82,'Upper Mid-Market Segment'!BK$82,'Premium Segment'!BK$82)</f>
        <v>-3637.5829901289189</v>
      </c>
      <c r="BL88" s="542">
        <f>SUM('Value Segment'!BL23,'Mid-Market Segment'!BL23,'Upper Mid-Market Segment'!BL23,'Premium Segment'!BL23)/SUM('Value Segment'!BL$82,'Mid-Market Segment'!BL$82,'Upper Mid-Market Segment'!BL$82,'Premium Segment'!BL$82)</f>
        <v>-3637.5829901289189</v>
      </c>
      <c r="BM88" s="542">
        <f>SUM('Value Segment'!BM23,'Mid-Market Segment'!BM23,'Upper Mid-Market Segment'!BM23,'Premium Segment'!BM23)/SUM('Value Segment'!BM$82,'Mid-Market Segment'!BM$82,'Upper Mid-Market Segment'!BM$82,'Premium Segment'!BM$82)</f>
        <v>-3637.5829901289189</v>
      </c>
      <c r="BN88" s="542">
        <f>SUM('Value Segment'!BN23,'Mid-Market Segment'!BN23,'Upper Mid-Market Segment'!BN23,'Premium Segment'!BN23)/SUM('Value Segment'!BN$82,'Mid-Market Segment'!BN$82,'Upper Mid-Market Segment'!BN$82,'Premium Segment'!BN$82)</f>
        <v>-3605.6103132885855</v>
      </c>
      <c r="BO88" s="542">
        <f>SUM('Value Segment'!BO23,'Mid-Market Segment'!BO23,'Upper Mid-Market Segment'!BO23,'Premium Segment'!BO23)/SUM('Value Segment'!BO$82,'Mid-Market Segment'!BO$82,'Upper Mid-Market Segment'!BO$82,'Premium Segment'!BO$82)</f>
        <v>-3605.6103132885855</v>
      </c>
      <c r="BP88" s="542">
        <f>SUM('Value Segment'!BP23,'Mid-Market Segment'!BP23,'Upper Mid-Market Segment'!BP23,'Premium Segment'!BP23)/SUM('Value Segment'!BP$82,'Mid-Market Segment'!BP$82,'Upper Mid-Market Segment'!BP$82,'Premium Segment'!BP$82)</f>
        <v>-3605.6103132885855</v>
      </c>
      <c r="BQ88" s="542">
        <f>SUM('Value Segment'!BQ23,'Mid-Market Segment'!BQ23,'Upper Mid-Market Segment'!BQ23,'Premium Segment'!BQ23)/SUM('Value Segment'!BQ$82,'Mid-Market Segment'!BQ$82,'Upper Mid-Market Segment'!BQ$82,'Premium Segment'!BQ$82)</f>
        <v>-3605.6103132885855</v>
      </c>
      <c r="BR88" s="542">
        <f>SUM('Value Segment'!BR23,'Mid-Market Segment'!BR23,'Upper Mid-Market Segment'!BR23,'Premium Segment'!BR23)/SUM('Value Segment'!BR$82,'Mid-Market Segment'!BR$82,'Upper Mid-Market Segment'!BR$82,'Premium Segment'!BR$82)</f>
        <v>-3605.6103132885855</v>
      </c>
      <c r="BS88" s="542">
        <f>SUM('Value Segment'!BS23,'Mid-Market Segment'!BS23,'Upper Mid-Market Segment'!BS23,'Premium Segment'!BS23)/SUM('Value Segment'!BS$82,'Mid-Market Segment'!BS$82,'Upper Mid-Market Segment'!BS$82,'Premium Segment'!BS$82)</f>
        <v>-3605.6103132885855</v>
      </c>
      <c r="BT88" s="542">
        <f>SUM('Value Segment'!BT23,'Mid-Market Segment'!BT23,'Upper Mid-Market Segment'!BT23,'Premium Segment'!BT23)/SUM('Value Segment'!BT$82,'Mid-Market Segment'!BT$82,'Upper Mid-Market Segment'!BT$82,'Premium Segment'!BT$82)</f>
        <v>-3755.5335592502561</v>
      </c>
      <c r="BU88" s="542">
        <f>SUM('Value Segment'!BU23,'Mid-Market Segment'!BU23,'Upper Mid-Market Segment'!BU23,'Premium Segment'!BU23)/SUM('Value Segment'!BU$82,'Mid-Market Segment'!BU$82,'Upper Mid-Market Segment'!BU$82,'Premium Segment'!BU$82)</f>
        <v>-3755.5335592502561</v>
      </c>
      <c r="BV88" s="542">
        <f>SUM('Value Segment'!BV23,'Mid-Market Segment'!BV23,'Upper Mid-Market Segment'!BV23,'Premium Segment'!BV23)/SUM('Value Segment'!BV$82,'Mid-Market Segment'!BV$82,'Upper Mid-Market Segment'!BV$82,'Premium Segment'!BV$82)</f>
        <v>-3755.5335592502561</v>
      </c>
      <c r="BW88" s="542">
        <f>SUM('Value Segment'!BW23,'Mid-Market Segment'!BW23,'Upper Mid-Market Segment'!BW23,'Premium Segment'!BW23)/SUM('Value Segment'!BW$82,'Mid-Market Segment'!BW$82,'Upper Mid-Market Segment'!BW$82,'Premium Segment'!BW$82)</f>
        <v>-3755.5335592502561</v>
      </c>
      <c r="BX88" s="542">
        <f>SUM('Value Segment'!BX23,'Mid-Market Segment'!BX23,'Upper Mid-Market Segment'!BX23,'Premium Segment'!BX23)/SUM('Value Segment'!BX$82,'Mid-Market Segment'!BX$82,'Upper Mid-Market Segment'!BX$82,'Premium Segment'!BX$82)</f>
        <v>-3755.5335592502561</v>
      </c>
      <c r="BY88" s="542">
        <f>SUM('Value Segment'!BY23,'Mid-Market Segment'!BY23,'Upper Mid-Market Segment'!BY23,'Premium Segment'!BY23)/SUM('Value Segment'!BY$82,'Mid-Market Segment'!BY$82,'Upper Mid-Market Segment'!BY$82,'Premium Segment'!BY$82)</f>
        <v>-3755.5335592502561</v>
      </c>
      <c r="CB88" s="8"/>
    </row>
    <row r="89" spans="3:80" x14ac:dyDescent="0.3">
      <c r="C89" s="2"/>
      <c r="D89" s="2"/>
      <c r="E89" s="2" t="s">
        <v>386</v>
      </c>
      <c r="F89" s="54"/>
      <c r="G89" s="54"/>
      <c r="H89" s="54"/>
      <c r="I89" s="19">
        <f>SUM('Value Segment'!I24,'Mid-Market Segment'!I24,'Upper Mid-Market Segment'!I24,'Premium Segment'!I24)/SUM('Value Segment'!I$82,'Mid-Market Segment'!I$82,'Upper Mid-Market Segment'!I$82,'Premium Segment'!I$82)</f>
        <v>-7110.1424561531358</v>
      </c>
      <c r="J89" s="19">
        <f>SUM('Value Segment'!J24,'Mid-Market Segment'!J24,'Upper Mid-Market Segment'!J24,'Premium Segment'!J24)/SUM('Value Segment'!J$82,'Mid-Market Segment'!J$82,'Upper Mid-Market Segment'!J$82,'Premium Segment'!J$82)</f>
        <v>-7338.8866952052913</v>
      </c>
      <c r="K89" s="19">
        <f>SUM('Value Segment'!K24,'Mid-Market Segment'!K24,'Upper Mid-Market Segment'!K24,'Premium Segment'!K24)/SUM('Value Segment'!K$82,'Mid-Market Segment'!K$82,'Upper Mid-Market Segment'!K$82,'Premium Segment'!K$82)</f>
        <v>-7636.3884678837712</v>
      </c>
      <c r="L89" s="19">
        <f>SUM('Value Segment'!L24,'Mid-Market Segment'!L24,'Upper Mid-Market Segment'!L24,'Premium Segment'!L24)/SUM('Value Segment'!L$82,'Mid-Market Segment'!L$82,'Upper Mid-Market Segment'!L$82,'Premium Segment'!L$82)</f>
        <v>-7941.5472337268639</v>
      </c>
      <c r="M89" s="19">
        <f>SUM('Value Segment'!M24,'Mid-Market Segment'!M24,'Upper Mid-Market Segment'!M24,'Premium Segment'!M24)/SUM('Value Segment'!M$82,'Mid-Market Segment'!M$82,'Upper Mid-Market Segment'!M$82,'Premium Segment'!M$82)</f>
        <v>-8262.2281465057004</v>
      </c>
      <c r="N89" s="19">
        <f>SUM('Value Segment'!N24,'Mid-Market Segment'!N24,'Upper Mid-Market Segment'!N24,'Premium Segment'!N24)/SUM('Value Segment'!N$82,'Mid-Market Segment'!N$82,'Upper Mid-Market Segment'!N$82,'Premium Segment'!N$82)</f>
        <v>-8596.1827910515276</v>
      </c>
      <c r="O89" s="37"/>
      <c r="P89" s="50">
        <f t="shared" si="95"/>
        <v>3.8688845942215888E-2</v>
      </c>
      <c r="R89" s="19">
        <f>SUM('Value Segment'!R24,'Mid-Market Segment'!R24,'Upper Mid-Market Segment'!R24,'Premium Segment'!R24)/SUM('Value Segment'!R$82,'Mid-Market Segment'!R$82,'Upper Mid-Market Segment'!R$82,'Premium Segment'!R$82)</f>
        <v>-604.36210877301664</v>
      </c>
      <c r="S89" s="542">
        <f>SUM('Value Segment'!S24,'Mid-Market Segment'!S24,'Upper Mid-Market Segment'!S24,'Premium Segment'!S24)/SUM('Value Segment'!S$82,'Mid-Market Segment'!S$82,'Upper Mid-Market Segment'!S$82,'Premium Segment'!S$82)</f>
        <v>-604.36210877301664</v>
      </c>
      <c r="T89" s="542">
        <f>SUM('Value Segment'!T24,'Mid-Market Segment'!T24,'Upper Mid-Market Segment'!T24,'Premium Segment'!T24)/SUM('Value Segment'!T$82,'Mid-Market Segment'!T$82,'Upper Mid-Market Segment'!T$82,'Premium Segment'!T$82)</f>
        <v>-604.36210877301664</v>
      </c>
      <c r="U89" s="542">
        <f>SUM('Value Segment'!U24,'Mid-Market Segment'!U24,'Upper Mid-Market Segment'!U24,'Premium Segment'!U24)/SUM('Value Segment'!U$82,'Mid-Market Segment'!U$82,'Upper Mid-Market Segment'!U$82,'Premium Segment'!U$82)</f>
        <v>-604.36210877301664</v>
      </c>
      <c r="V89" s="542">
        <f>SUM('Value Segment'!V24,'Mid-Market Segment'!V24,'Upper Mid-Market Segment'!V24,'Premium Segment'!V24)/SUM('Value Segment'!V$82,'Mid-Market Segment'!V$82,'Upper Mid-Market Segment'!V$82,'Premium Segment'!V$82)</f>
        <v>-604.36210877301664</v>
      </c>
      <c r="W89" s="542">
        <f>SUM('Value Segment'!W24,'Mid-Market Segment'!W24,'Upper Mid-Market Segment'!W24,'Premium Segment'!W24)/SUM('Value Segment'!W$82,'Mid-Market Segment'!W$82,'Upper Mid-Market Segment'!W$82,'Premium Segment'!W$82)</f>
        <v>-604.36210877301664</v>
      </c>
      <c r="X89" s="542">
        <f>SUM('Value Segment'!X24,'Mid-Market Segment'!X24,'Upper Mid-Market Segment'!X24,'Premium Segment'!X24)/SUM('Value Segment'!X$82,'Mid-Market Segment'!X$82,'Upper Mid-Market Segment'!X$82,'Premium Segment'!X$82)</f>
        <v>-618.7856737611985</v>
      </c>
      <c r="Y89" s="542">
        <f>SUM('Value Segment'!Y24,'Mid-Market Segment'!Y24,'Upper Mid-Market Segment'!Y24,'Premium Segment'!Y24)/SUM('Value Segment'!Y$82,'Mid-Market Segment'!Y$82,'Upper Mid-Market Segment'!Y$82,'Premium Segment'!Y$82)</f>
        <v>-618.7856737611985</v>
      </c>
      <c r="Z89" s="542">
        <f>SUM('Value Segment'!Z24,'Mid-Market Segment'!Z24,'Upper Mid-Market Segment'!Z24,'Premium Segment'!Z24)/SUM('Value Segment'!Z$82,'Mid-Market Segment'!Z$82,'Upper Mid-Market Segment'!Z$82,'Premium Segment'!Z$82)</f>
        <v>-618.7856737611985</v>
      </c>
      <c r="AA89" s="542">
        <f>SUM('Value Segment'!AA24,'Mid-Market Segment'!AA24,'Upper Mid-Market Segment'!AA24,'Premium Segment'!AA24)/SUM('Value Segment'!AA$82,'Mid-Market Segment'!AA$82,'Upper Mid-Market Segment'!AA$82,'Premium Segment'!AA$82)</f>
        <v>-618.7856737611985</v>
      </c>
      <c r="AB89" s="542">
        <f>SUM('Value Segment'!AB24,'Mid-Market Segment'!AB24,'Upper Mid-Market Segment'!AB24,'Premium Segment'!AB24)/SUM('Value Segment'!AB$82,'Mid-Market Segment'!AB$82,'Upper Mid-Market Segment'!AB$82,'Premium Segment'!AB$82)</f>
        <v>-618.7856737611985</v>
      </c>
      <c r="AC89" s="542">
        <f>SUM('Value Segment'!AC24,'Mid-Market Segment'!AC24,'Upper Mid-Market Segment'!AC24,'Premium Segment'!AC24)/SUM('Value Segment'!AC$82,'Mid-Market Segment'!AC$82,'Upper Mid-Market Segment'!AC$82,'Premium Segment'!AC$82)</f>
        <v>-618.7856737611985</v>
      </c>
      <c r="AD89" s="542">
        <f>SUM('Value Segment'!AD24,'Mid-Market Segment'!AD24,'Upper Mid-Market Segment'!AD24,'Premium Segment'!AD24)/SUM('Value Segment'!AD$82,'Mid-Market Segment'!AD$82,'Upper Mid-Market Segment'!AD$82,'Premium Segment'!AD$82)</f>
        <v>-627.37044132876281</v>
      </c>
      <c r="AE89" s="542">
        <f>SUM('Value Segment'!AE24,'Mid-Market Segment'!AE24,'Upper Mid-Market Segment'!AE24,'Premium Segment'!AE24)/SUM('Value Segment'!AE$82,'Mid-Market Segment'!AE$82,'Upper Mid-Market Segment'!AE$82,'Premium Segment'!AE$82)</f>
        <v>-627.37044132876281</v>
      </c>
      <c r="AF89" s="542">
        <f>SUM('Value Segment'!AF24,'Mid-Market Segment'!AF24,'Upper Mid-Market Segment'!AF24,'Premium Segment'!AF24)/SUM('Value Segment'!AF$82,'Mid-Market Segment'!AF$82,'Upper Mid-Market Segment'!AF$82,'Premium Segment'!AF$82)</f>
        <v>-627.37044132876281</v>
      </c>
      <c r="AG89" s="542">
        <f>SUM('Value Segment'!AG24,'Mid-Market Segment'!AG24,'Upper Mid-Market Segment'!AG24,'Premium Segment'!AG24)/SUM('Value Segment'!AG$82,'Mid-Market Segment'!AG$82,'Upper Mid-Market Segment'!AG$82,'Premium Segment'!AG$82)</f>
        <v>-627.37044132876281</v>
      </c>
      <c r="AH89" s="542">
        <f>SUM('Value Segment'!AH24,'Mid-Market Segment'!AH24,'Upper Mid-Market Segment'!AH24,'Premium Segment'!AH24)/SUM('Value Segment'!AH$82,'Mid-Market Segment'!AH$82,'Upper Mid-Market Segment'!AH$82,'Premium Segment'!AH$82)</f>
        <v>-627.37044132876281</v>
      </c>
      <c r="AI89" s="542">
        <f>SUM('Value Segment'!AI24,'Mid-Market Segment'!AI24,'Upper Mid-Market Segment'!AI24,'Premium Segment'!AI24)/SUM('Value Segment'!AI$82,'Mid-Market Segment'!AI$82,'Upper Mid-Market Segment'!AI$82,'Premium Segment'!AI$82)</f>
        <v>-627.37044132876281</v>
      </c>
      <c r="AJ89" s="542">
        <f>SUM('Value Segment'!AJ24,'Mid-Market Segment'!AJ24,'Upper Mid-Market Segment'!AJ24,'Premium Segment'!AJ24)/SUM('Value Segment'!AJ$82,'Mid-Market Segment'!AJ$82,'Upper Mid-Market Segment'!AJ$82,'Premium Segment'!AJ$82)</f>
        <v>-645.36096998519918</v>
      </c>
      <c r="AK89" s="542">
        <f>SUM('Value Segment'!AK24,'Mid-Market Segment'!AK24,'Upper Mid-Market Segment'!AK24,'Premium Segment'!AK24)/SUM('Value Segment'!AK$82,'Mid-Market Segment'!AK$82,'Upper Mid-Market Segment'!AK$82,'Premium Segment'!AK$82)</f>
        <v>-645.36096998519918</v>
      </c>
      <c r="AL89" s="542">
        <f>SUM('Value Segment'!AL24,'Mid-Market Segment'!AL24,'Upper Mid-Market Segment'!AL24,'Premium Segment'!AL24)/SUM('Value Segment'!AL$82,'Mid-Market Segment'!AL$82,'Upper Mid-Market Segment'!AL$82,'Premium Segment'!AL$82)</f>
        <v>-645.36096998519918</v>
      </c>
      <c r="AM89" s="542">
        <f>SUM('Value Segment'!AM24,'Mid-Market Segment'!AM24,'Upper Mid-Market Segment'!AM24,'Premium Segment'!AM24)/SUM('Value Segment'!AM$82,'Mid-Market Segment'!AM$82,'Upper Mid-Market Segment'!AM$82,'Premium Segment'!AM$82)</f>
        <v>-645.36096998519918</v>
      </c>
      <c r="AN89" s="542">
        <f>SUM('Value Segment'!AN24,'Mid-Market Segment'!AN24,'Upper Mid-Market Segment'!AN24,'Premium Segment'!AN24)/SUM('Value Segment'!AN$82,'Mid-Market Segment'!AN$82,'Upper Mid-Market Segment'!AN$82,'Premium Segment'!AN$82)</f>
        <v>-645.36096998519918</v>
      </c>
      <c r="AO89" s="542">
        <f>SUM('Value Segment'!AO24,'Mid-Market Segment'!AO24,'Upper Mid-Market Segment'!AO24,'Premium Segment'!AO24)/SUM('Value Segment'!AO$82,'Mid-Market Segment'!AO$82,'Upper Mid-Market Segment'!AO$82,'Premium Segment'!AO$82)</f>
        <v>-645.36096998519918</v>
      </c>
      <c r="AP89" s="542">
        <f>SUM('Value Segment'!AP24,'Mid-Market Segment'!AP24,'Upper Mid-Market Segment'!AP24,'Premium Segment'!AP24)/SUM('Value Segment'!AP$82,'Mid-Market Segment'!AP$82,'Upper Mid-Market Segment'!AP$82,'Premium Segment'!AP$82)</f>
        <v>-650.97225306249697</v>
      </c>
      <c r="AQ89" s="542">
        <f>SUM('Value Segment'!AQ24,'Mid-Market Segment'!AQ24,'Upper Mid-Market Segment'!AQ24,'Premium Segment'!AQ24)/SUM('Value Segment'!AQ$82,'Mid-Market Segment'!AQ$82,'Upper Mid-Market Segment'!AQ$82,'Premium Segment'!AQ$82)</f>
        <v>-650.97225306249697</v>
      </c>
      <c r="AR89" s="542">
        <f>SUM('Value Segment'!AR24,'Mid-Market Segment'!AR24,'Upper Mid-Market Segment'!AR24,'Premium Segment'!AR24)/SUM('Value Segment'!AR$82,'Mid-Market Segment'!AR$82,'Upper Mid-Market Segment'!AR$82,'Premium Segment'!AR$82)</f>
        <v>-650.97225306249697</v>
      </c>
      <c r="AS89" s="542">
        <f>SUM('Value Segment'!AS24,'Mid-Market Segment'!AS24,'Upper Mid-Market Segment'!AS24,'Premium Segment'!AS24)/SUM('Value Segment'!AS$82,'Mid-Market Segment'!AS$82,'Upper Mid-Market Segment'!AS$82,'Premium Segment'!AS$82)</f>
        <v>-650.97225306249697</v>
      </c>
      <c r="AT89" s="542">
        <f>SUM('Value Segment'!AT24,'Mid-Market Segment'!AT24,'Upper Mid-Market Segment'!AT24,'Premium Segment'!AT24)/SUM('Value Segment'!AT$82,'Mid-Market Segment'!AT$82,'Upper Mid-Market Segment'!AT$82,'Premium Segment'!AT$82)</f>
        <v>-650.97225306249697</v>
      </c>
      <c r="AU89" s="542">
        <f>SUM('Value Segment'!AU24,'Mid-Market Segment'!AU24,'Upper Mid-Market Segment'!AU24,'Premium Segment'!AU24)/SUM('Value Segment'!AU$82,'Mid-Market Segment'!AU$82,'Upper Mid-Market Segment'!AU$82,'Premium Segment'!AU$82)</f>
        <v>-650.97225306249697</v>
      </c>
      <c r="AV89" s="542">
        <f>SUM('Value Segment'!AV24,'Mid-Market Segment'!AV24,'Upper Mid-Market Segment'!AV24,'Premium Segment'!AV24)/SUM('Value Segment'!AV$82,'Mid-Market Segment'!AV$82,'Upper Mid-Market Segment'!AV$82,'Premium Segment'!AV$82)</f>
        <v>-672.61895255864692</v>
      </c>
      <c r="AW89" s="542">
        <f>SUM('Value Segment'!AW24,'Mid-Market Segment'!AW24,'Upper Mid-Market Segment'!AW24,'Premium Segment'!AW24)/SUM('Value Segment'!AW$82,'Mid-Market Segment'!AW$82,'Upper Mid-Market Segment'!AW$82,'Premium Segment'!AW$82)</f>
        <v>-672.61895255864692</v>
      </c>
      <c r="AX89" s="542">
        <f>SUM('Value Segment'!AX24,'Mid-Market Segment'!AX24,'Upper Mid-Market Segment'!AX24,'Premium Segment'!AX24)/SUM('Value Segment'!AX$82,'Mid-Market Segment'!AX$82,'Upper Mid-Market Segment'!AX$82,'Premium Segment'!AX$82)</f>
        <v>-672.61895255864692</v>
      </c>
      <c r="AY89" s="542">
        <f>SUM('Value Segment'!AY24,'Mid-Market Segment'!AY24,'Upper Mid-Market Segment'!AY24,'Premium Segment'!AY24)/SUM('Value Segment'!AY$82,'Mid-Market Segment'!AY$82,'Upper Mid-Market Segment'!AY$82,'Premium Segment'!AY$82)</f>
        <v>-672.61895255864692</v>
      </c>
      <c r="AZ89" s="542">
        <f>SUM('Value Segment'!AZ24,'Mid-Market Segment'!AZ24,'Upper Mid-Market Segment'!AZ24,'Premium Segment'!AZ24)/SUM('Value Segment'!AZ$82,'Mid-Market Segment'!AZ$82,'Upper Mid-Market Segment'!AZ$82,'Premium Segment'!AZ$82)</f>
        <v>-672.61895255864692</v>
      </c>
      <c r="BA89" s="542">
        <f>SUM('Value Segment'!BA24,'Mid-Market Segment'!BA24,'Upper Mid-Market Segment'!BA24,'Premium Segment'!BA24)/SUM('Value Segment'!BA$82,'Mid-Market Segment'!BA$82,'Upper Mid-Market Segment'!BA$82,'Premium Segment'!BA$82)</f>
        <v>-672.61895255864692</v>
      </c>
      <c r="BB89" s="542">
        <f>SUM('Value Segment'!BB24,'Mid-Market Segment'!BB24,'Upper Mid-Market Segment'!BB24,'Premium Segment'!BB24)/SUM('Value Segment'!BB$82,'Mid-Market Segment'!BB$82,'Upper Mid-Market Segment'!BB$82,'Premium Segment'!BB$82)</f>
        <v>-675.8116622116512</v>
      </c>
      <c r="BC89" s="542">
        <f>SUM('Value Segment'!BC24,'Mid-Market Segment'!BC24,'Upper Mid-Market Segment'!BC24,'Premium Segment'!BC24)/SUM('Value Segment'!BC$82,'Mid-Market Segment'!BC$82,'Upper Mid-Market Segment'!BC$82,'Premium Segment'!BC$82)</f>
        <v>-675.8116622116512</v>
      </c>
      <c r="BD89" s="542">
        <f>SUM('Value Segment'!BD24,'Mid-Market Segment'!BD24,'Upper Mid-Market Segment'!BD24,'Premium Segment'!BD24)/SUM('Value Segment'!BD$82,'Mid-Market Segment'!BD$82,'Upper Mid-Market Segment'!BD$82,'Premium Segment'!BD$82)</f>
        <v>-675.8116622116512</v>
      </c>
      <c r="BE89" s="542">
        <f>SUM('Value Segment'!BE24,'Mid-Market Segment'!BE24,'Upper Mid-Market Segment'!BE24,'Premium Segment'!BE24)/SUM('Value Segment'!BE$82,'Mid-Market Segment'!BE$82,'Upper Mid-Market Segment'!BE$82,'Premium Segment'!BE$82)</f>
        <v>-675.8116622116512</v>
      </c>
      <c r="BF89" s="542">
        <f>SUM('Value Segment'!BF24,'Mid-Market Segment'!BF24,'Upper Mid-Market Segment'!BF24,'Premium Segment'!BF24)/SUM('Value Segment'!BF$82,'Mid-Market Segment'!BF$82,'Upper Mid-Market Segment'!BF$82,'Premium Segment'!BF$82)</f>
        <v>-675.8116622116512</v>
      </c>
      <c r="BG89" s="542">
        <f>SUM('Value Segment'!BG24,'Mid-Market Segment'!BG24,'Upper Mid-Market Segment'!BG24,'Premium Segment'!BG24)/SUM('Value Segment'!BG$82,'Mid-Market Segment'!BG$82,'Upper Mid-Market Segment'!BG$82,'Premium Segment'!BG$82)</f>
        <v>-675.8116622116512</v>
      </c>
      <c r="BH89" s="542">
        <f>SUM('Value Segment'!BH24,'Mid-Market Segment'!BH24,'Upper Mid-Market Segment'!BH24,'Premium Segment'!BH24)/SUM('Value Segment'!BH$82,'Mid-Market Segment'!BH$82,'Upper Mid-Market Segment'!BH$82,'Premium Segment'!BH$82)</f>
        <v>-701.22636220596576</v>
      </c>
      <c r="BI89" s="542">
        <f>SUM('Value Segment'!BI24,'Mid-Market Segment'!BI24,'Upper Mid-Market Segment'!BI24,'Premium Segment'!BI24)/SUM('Value Segment'!BI$82,'Mid-Market Segment'!BI$82,'Upper Mid-Market Segment'!BI$82,'Premium Segment'!BI$82)</f>
        <v>-701.22636220596576</v>
      </c>
      <c r="BJ89" s="542">
        <f>SUM('Value Segment'!BJ24,'Mid-Market Segment'!BJ24,'Upper Mid-Market Segment'!BJ24,'Premium Segment'!BJ24)/SUM('Value Segment'!BJ$82,'Mid-Market Segment'!BJ$82,'Upper Mid-Market Segment'!BJ$82,'Premium Segment'!BJ$82)</f>
        <v>-701.22636220596576</v>
      </c>
      <c r="BK89" s="542">
        <f>SUM('Value Segment'!BK24,'Mid-Market Segment'!BK24,'Upper Mid-Market Segment'!BK24,'Premium Segment'!BK24)/SUM('Value Segment'!BK$82,'Mid-Market Segment'!BK$82,'Upper Mid-Market Segment'!BK$82,'Premium Segment'!BK$82)</f>
        <v>-701.22636220596576</v>
      </c>
      <c r="BL89" s="542">
        <f>SUM('Value Segment'!BL24,'Mid-Market Segment'!BL24,'Upper Mid-Market Segment'!BL24,'Premium Segment'!BL24)/SUM('Value Segment'!BL$82,'Mid-Market Segment'!BL$82,'Upper Mid-Market Segment'!BL$82,'Premium Segment'!BL$82)</f>
        <v>-701.22636220596576</v>
      </c>
      <c r="BM89" s="542">
        <f>SUM('Value Segment'!BM24,'Mid-Market Segment'!BM24,'Upper Mid-Market Segment'!BM24,'Premium Segment'!BM24)/SUM('Value Segment'!BM$82,'Mid-Market Segment'!BM$82,'Upper Mid-Market Segment'!BM$82,'Premium Segment'!BM$82)</f>
        <v>-701.22636220596576</v>
      </c>
      <c r="BN89" s="542">
        <f>SUM('Value Segment'!BN24,'Mid-Market Segment'!BN24,'Upper Mid-Market Segment'!BN24,'Premium Segment'!BN24)/SUM('Value Segment'!BN$82,'Mid-Market Segment'!BN$82,'Upper Mid-Market Segment'!BN$82,'Premium Segment'!BN$82)</f>
        <v>-701.71888147195239</v>
      </c>
      <c r="BO89" s="542">
        <f>SUM('Value Segment'!BO24,'Mid-Market Segment'!BO24,'Upper Mid-Market Segment'!BO24,'Premium Segment'!BO24)/SUM('Value Segment'!BO$82,'Mid-Market Segment'!BO$82,'Upper Mid-Market Segment'!BO$82,'Premium Segment'!BO$82)</f>
        <v>-701.71888147195239</v>
      </c>
      <c r="BP89" s="542">
        <f>SUM('Value Segment'!BP24,'Mid-Market Segment'!BP24,'Upper Mid-Market Segment'!BP24,'Premium Segment'!BP24)/SUM('Value Segment'!BP$82,'Mid-Market Segment'!BP$82,'Upper Mid-Market Segment'!BP$82,'Premium Segment'!BP$82)</f>
        <v>-701.71888147195239</v>
      </c>
      <c r="BQ89" s="542">
        <f>SUM('Value Segment'!BQ24,'Mid-Market Segment'!BQ24,'Upper Mid-Market Segment'!BQ24,'Premium Segment'!BQ24)/SUM('Value Segment'!BQ$82,'Mid-Market Segment'!BQ$82,'Upper Mid-Market Segment'!BQ$82,'Premium Segment'!BQ$82)</f>
        <v>-701.71888147195239</v>
      </c>
      <c r="BR89" s="542">
        <f>SUM('Value Segment'!BR24,'Mid-Market Segment'!BR24,'Upper Mid-Market Segment'!BR24,'Premium Segment'!BR24)/SUM('Value Segment'!BR$82,'Mid-Market Segment'!BR$82,'Upper Mid-Market Segment'!BR$82,'Premium Segment'!BR$82)</f>
        <v>-701.71888147195239</v>
      </c>
      <c r="BS89" s="542">
        <f>SUM('Value Segment'!BS24,'Mid-Market Segment'!BS24,'Upper Mid-Market Segment'!BS24,'Premium Segment'!BS24)/SUM('Value Segment'!BS$82,'Mid-Market Segment'!BS$82,'Upper Mid-Market Segment'!BS$82,'Premium Segment'!BS$82)</f>
        <v>-701.71888147195239</v>
      </c>
      <c r="BT89" s="542">
        <f>SUM('Value Segment'!BT24,'Mid-Market Segment'!BT24,'Upper Mid-Market Segment'!BT24,'Premium Segment'!BT24)/SUM('Value Segment'!BT$82,'Mid-Market Segment'!BT$82,'Upper Mid-Market Segment'!BT$82,'Premium Segment'!BT$82)</f>
        <v>-730.97825036996903</v>
      </c>
      <c r="BU89" s="542">
        <f>SUM('Value Segment'!BU24,'Mid-Market Segment'!BU24,'Upper Mid-Market Segment'!BU24,'Premium Segment'!BU24)/SUM('Value Segment'!BU$82,'Mid-Market Segment'!BU$82,'Upper Mid-Market Segment'!BU$82,'Premium Segment'!BU$82)</f>
        <v>-730.97825036996903</v>
      </c>
      <c r="BV89" s="542">
        <f>SUM('Value Segment'!BV24,'Mid-Market Segment'!BV24,'Upper Mid-Market Segment'!BV24,'Premium Segment'!BV24)/SUM('Value Segment'!BV$82,'Mid-Market Segment'!BV$82,'Upper Mid-Market Segment'!BV$82,'Premium Segment'!BV$82)</f>
        <v>-730.97825036996903</v>
      </c>
      <c r="BW89" s="542">
        <f>SUM('Value Segment'!BW24,'Mid-Market Segment'!BW24,'Upper Mid-Market Segment'!BW24,'Premium Segment'!BW24)/SUM('Value Segment'!BW$82,'Mid-Market Segment'!BW$82,'Upper Mid-Market Segment'!BW$82,'Premium Segment'!BW$82)</f>
        <v>-730.97825036996903</v>
      </c>
      <c r="BX89" s="542">
        <f>SUM('Value Segment'!BX24,'Mid-Market Segment'!BX24,'Upper Mid-Market Segment'!BX24,'Premium Segment'!BX24)/SUM('Value Segment'!BX$82,'Mid-Market Segment'!BX$82,'Upper Mid-Market Segment'!BX$82,'Premium Segment'!BX$82)</f>
        <v>-730.97825036996903</v>
      </c>
      <c r="BY89" s="542">
        <f>SUM('Value Segment'!BY24,'Mid-Market Segment'!BY24,'Upper Mid-Market Segment'!BY24,'Premium Segment'!BY24)/SUM('Value Segment'!BY$82,'Mid-Market Segment'!BY$82,'Upper Mid-Market Segment'!BY$82,'Premium Segment'!BY$82)</f>
        <v>-730.97825036996903</v>
      </c>
      <c r="CB89" s="8"/>
    </row>
    <row r="90" spans="3:80" x14ac:dyDescent="0.3">
      <c r="C90" s="2"/>
      <c r="D90" s="2"/>
      <c r="E90" s="4" t="s">
        <v>385</v>
      </c>
      <c r="F90" s="5"/>
      <c r="G90" s="5"/>
      <c r="H90" s="5"/>
      <c r="I90" s="507">
        <f>SUM('Value Segment'!I25,'Mid-Market Segment'!I25,'Upper Mid-Market Segment'!I25,'Premium Segment'!I25)/SUM('Value Segment'!I$82,'Mid-Market Segment'!I$82,'Upper Mid-Market Segment'!I$82,'Premium Segment'!I$82)</f>
        <v>68884.958149350641</v>
      </c>
      <c r="J90" s="507">
        <f>SUM('Value Segment'!J25,'Mid-Market Segment'!J25,'Upper Mid-Market Segment'!J25,'Premium Segment'!J25)/SUM('Value Segment'!J$82,'Mid-Market Segment'!J$82,'Upper Mid-Market Segment'!J$82,'Premium Segment'!J$82)</f>
        <v>79912.241022267975</v>
      </c>
      <c r="K90" s="507">
        <f>SUM('Value Segment'!K25,'Mid-Market Segment'!K25,'Upper Mid-Market Segment'!K25,'Premium Segment'!K25)/SUM('Value Segment'!K$82,'Mid-Market Segment'!K$82,'Upper Mid-Market Segment'!K$82,'Premium Segment'!K$82)</f>
        <v>85663.999193733194</v>
      </c>
      <c r="L90" s="507">
        <f>SUM('Value Segment'!L25,'Mid-Market Segment'!L25,'Upper Mid-Market Segment'!L25,'Premium Segment'!L25)/SUM('Value Segment'!L$82,'Mid-Market Segment'!L$82,'Upper Mid-Market Segment'!L$82,'Premium Segment'!L$82)</f>
        <v>91559.692327573212</v>
      </c>
      <c r="M90" s="507">
        <f>SUM('Value Segment'!M25,'Mid-Market Segment'!M25,'Upper Mid-Market Segment'!M25,'Premium Segment'!M25)/SUM('Value Segment'!M$82,'Mid-Market Segment'!M$82,'Upper Mid-Market Segment'!M$82,'Premium Segment'!M$82)</f>
        <v>97654.367325058571</v>
      </c>
      <c r="N90" s="507">
        <f>SUM('Value Segment'!N25,'Mid-Market Segment'!N25,'Upper Mid-Market Segment'!N25,'Premium Segment'!N25)/SUM('Value Segment'!N$82,'Mid-Market Segment'!N$82,'Upper Mid-Market Segment'!N$82,'Premium Segment'!N$82)</f>
        <v>104116.79031913121</v>
      </c>
      <c r="O90" s="57"/>
      <c r="P90" s="55">
        <f t="shared" si="95"/>
        <v>8.6123660171291139E-2</v>
      </c>
      <c r="R90" s="507">
        <f>SUM('Value Segment'!R25,'Mid-Market Segment'!R25,'Upper Mid-Market Segment'!R25,'Premium Segment'!R25)/SUM('Value Segment'!R$82,'Mid-Market Segment'!R$82,'Upper Mid-Market Segment'!R$82,'Premium Segment'!R$82)</f>
        <v>6581.4742859804874</v>
      </c>
      <c r="S90" s="661">
        <f>SUM('Value Segment'!S25,'Mid-Market Segment'!S25,'Upper Mid-Market Segment'!S25,'Premium Segment'!S25)/SUM('Value Segment'!S$82,'Mid-Market Segment'!S$82,'Upper Mid-Market Segment'!S$82,'Premium Segment'!S$82)</f>
        <v>6581.4742859804874</v>
      </c>
      <c r="T90" s="661">
        <f>SUM('Value Segment'!T25,'Mid-Market Segment'!T25,'Upper Mid-Market Segment'!T25,'Premium Segment'!T25)/SUM('Value Segment'!T$82,'Mid-Market Segment'!T$82,'Upper Mid-Market Segment'!T$82,'Premium Segment'!T$82)</f>
        <v>6581.4742859804874</v>
      </c>
      <c r="U90" s="661">
        <f>SUM('Value Segment'!U25,'Mid-Market Segment'!U25,'Upper Mid-Market Segment'!U25,'Premium Segment'!U25)/SUM('Value Segment'!U$82,'Mid-Market Segment'!U$82,'Upper Mid-Market Segment'!U$82,'Premium Segment'!U$82)</f>
        <v>6581.4742859804874</v>
      </c>
      <c r="V90" s="661">
        <f>SUM('Value Segment'!V25,'Mid-Market Segment'!V25,'Upper Mid-Market Segment'!V25,'Premium Segment'!V25)/SUM('Value Segment'!V$82,'Mid-Market Segment'!V$82,'Upper Mid-Market Segment'!V$82,'Premium Segment'!V$82)</f>
        <v>6581.4742859804874</v>
      </c>
      <c r="W90" s="661">
        <f>SUM('Value Segment'!W25,'Mid-Market Segment'!W25,'Upper Mid-Market Segment'!W25,'Premium Segment'!W25)/SUM('Value Segment'!W$82,'Mid-Market Segment'!W$82,'Upper Mid-Market Segment'!W$82,'Premium Segment'!W$82)</f>
        <v>6581.4742859804874</v>
      </c>
      <c r="X90" s="661">
        <f>SUM('Value Segment'!X25,'Mid-Market Segment'!X25,'Upper Mid-Market Segment'!X25,'Premium Segment'!X25)/SUM('Value Segment'!X$82,'Mid-Market Segment'!X$82,'Upper Mid-Market Segment'!X$82,'Premium Segment'!X$82)</f>
        <v>6737.232551064174</v>
      </c>
      <c r="Y90" s="661">
        <f>SUM('Value Segment'!Y25,'Mid-Market Segment'!Y25,'Upper Mid-Market Segment'!Y25,'Premium Segment'!Y25)/SUM('Value Segment'!Y$82,'Mid-Market Segment'!Y$82,'Upper Mid-Market Segment'!Y$82,'Premium Segment'!Y$82)</f>
        <v>6737.232551064174</v>
      </c>
      <c r="Z90" s="661">
        <f>SUM('Value Segment'!Z25,'Mid-Market Segment'!Z25,'Upper Mid-Market Segment'!Z25,'Premium Segment'!Z25)/SUM('Value Segment'!Z$82,'Mid-Market Segment'!Z$82,'Upper Mid-Market Segment'!Z$82,'Premium Segment'!Z$82)</f>
        <v>6737.232551064174</v>
      </c>
      <c r="AA90" s="661">
        <f>SUM('Value Segment'!AA25,'Mid-Market Segment'!AA25,'Upper Mid-Market Segment'!AA25,'Premium Segment'!AA25)/SUM('Value Segment'!AA$82,'Mid-Market Segment'!AA$82,'Upper Mid-Market Segment'!AA$82,'Premium Segment'!AA$82)</f>
        <v>6737.232551064174</v>
      </c>
      <c r="AB90" s="661">
        <f>SUM('Value Segment'!AB25,'Mid-Market Segment'!AB25,'Upper Mid-Market Segment'!AB25,'Premium Segment'!AB25)/SUM('Value Segment'!AB$82,'Mid-Market Segment'!AB$82,'Upper Mid-Market Segment'!AB$82,'Premium Segment'!AB$82)</f>
        <v>6737.232551064174</v>
      </c>
      <c r="AC90" s="661">
        <f>SUM('Value Segment'!AC25,'Mid-Market Segment'!AC25,'Upper Mid-Market Segment'!AC25,'Premium Segment'!AC25)/SUM('Value Segment'!AC$82,'Mid-Market Segment'!AC$82,'Upper Mid-Market Segment'!AC$82,'Premium Segment'!AC$82)</f>
        <v>6737.232551064174</v>
      </c>
      <c r="AD90" s="661">
        <f>SUM('Value Segment'!AD25,'Mid-Market Segment'!AD25,'Upper Mid-Market Segment'!AD25,'Premium Segment'!AD25)/SUM('Value Segment'!AD$82,'Mid-Market Segment'!AD$82,'Upper Mid-Market Segment'!AD$82,'Premium Segment'!AD$82)</f>
        <v>7038.5587884606011</v>
      </c>
      <c r="AE90" s="661">
        <f>SUM('Value Segment'!AE25,'Mid-Market Segment'!AE25,'Upper Mid-Market Segment'!AE25,'Premium Segment'!AE25)/SUM('Value Segment'!AE$82,'Mid-Market Segment'!AE$82,'Upper Mid-Market Segment'!AE$82,'Premium Segment'!AE$82)</f>
        <v>7038.5587884606011</v>
      </c>
      <c r="AF90" s="661">
        <f>SUM('Value Segment'!AF25,'Mid-Market Segment'!AF25,'Upper Mid-Market Segment'!AF25,'Premium Segment'!AF25)/SUM('Value Segment'!AF$82,'Mid-Market Segment'!AF$82,'Upper Mid-Market Segment'!AF$82,'Premium Segment'!AF$82)</f>
        <v>7038.5587884606011</v>
      </c>
      <c r="AG90" s="661">
        <f>SUM('Value Segment'!AG25,'Mid-Market Segment'!AG25,'Upper Mid-Market Segment'!AG25,'Premium Segment'!AG25)/SUM('Value Segment'!AG$82,'Mid-Market Segment'!AG$82,'Upper Mid-Market Segment'!AG$82,'Premium Segment'!AG$82)</f>
        <v>7038.5587884606011</v>
      </c>
      <c r="AH90" s="661">
        <f>SUM('Value Segment'!AH25,'Mid-Market Segment'!AH25,'Upper Mid-Market Segment'!AH25,'Premium Segment'!AH25)/SUM('Value Segment'!AH$82,'Mid-Market Segment'!AH$82,'Upper Mid-Market Segment'!AH$82,'Premium Segment'!AH$82)</f>
        <v>7038.5587884606011</v>
      </c>
      <c r="AI90" s="661">
        <f>SUM('Value Segment'!AI25,'Mid-Market Segment'!AI25,'Upper Mid-Market Segment'!AI25,'Premium Segment'!AI25)/SUM('Value Segment'!AI$82,'Mid-Market Segment'!AI$82,'Upper Mid-Market Segment'!AI$82,'Premium Segment'!AI$82)</f>
        <v>7038.5587884606011</v>
      </c>
      <c r="AJ90" s="661">
        <f>SUM('Value Segment'!AJ25,'Mid-Market Segment'!AJ25,'Upper Mid-Market Segment'!AJ25,'Premium Segment'!AJ25)/SUM('Value Segment'!AJ$82,'Mid-Market Segment'!AJ$82,'Upper Mid-Market Segment'!AJ$82,'Premium Segment'!AJ$82)</f>
        <v>7238.7744104949297</v>
      </c>
      <c r="AK90" s="661">
        <f>SUM('Value Segment'!AK25,'Mid-Market Segment'!AK25,'Upper Mid-Market Segment'!AK25,'Premium Segment'!AK25)/SUM('Value Segment'!AK$82,'Mid-Market Segment'!AK$82,'Upper Mid-Market Segment'!AK$82,'Premium Segment'!AK$82)</f>
        <v>7238.7744104949297</v>
      </c>
      <c r="AL90" s="661">
        <f>SUM('Value Segment'!AL25,'Mid-Market Segment'!AL25,'Upper Mid-Market Segment'!AL25,'Premium Segment'!AL25)/SUM('Value Segment'!AL$82,'Mid-Market Segment'!AL$82,'Upper Mid-Market Segment'!AL$82,'Premium Segment'!AL$82)</f>
        <v>7238.7744104949297</v>
      </c>
      <c r="AM90" s="661">
        <f>SUM('Value Segment'!AM25,'Mid-Market Segment'!AM25,'Upper Mid-Market Segment'!AM25,'Premium Segment'!AM25)/SUM('Value Segment'!AM$82,'Mid-Market Segment'!AM$82,'Upper Mid-Market Segment'!AM$82,'Premium Segment'!AM$82)</f>
        <v>7238.7744104949297</v>
      </c>
      <c r="AN90" s="661">
        <f>SUM('Value Segment'!AN25,'Mid-Market Segment'!AN25,'Upper Mid-Market Segment'!AN25,'Premium Segment'!AN25)/SUM('Value Segment'!AN$82,'Mid-Market Segment'!AN$82,'Upper Mid-Market Segment'!AN$82,'Premium Segment'!AN$82)</f>
        <v>7238.7744104949297</v>
      </c>
      <c r="AO90" s="661">
        <f>SUM('Value Segment'!AO25,'Mid-Market Segment'!AO25,'Upper Mid-Market Segment'!AO25,'Premium Segment'!AO25)/SUM('Value Segment'!AO$82,'Mid-Market Segment'!AO$82,'Upper Mid-Market Segment'!AO$82,'Premium Segment'!AO$82)</f>
        <v>7238.7744104949297</v>
      </c>
      <c r="AP90" s="661">
        <f>SUM('Value Segment'!AP25,'Mid-Market Segment'!AP25,'Upper Mid-Market Segment'!AP25,'Premium Segment'!AP25)/SUM('Value Segment'!AP$82,'Mid-Market Segment'!AP$82,'Upper Mid-Market Segment'!AP$82,'Premium Segment'!AP$82)</f>
        <v>7506.1409625884862</v>
      </c>
      <c r="AQ90" s="661">
        <f>SUM('Value Segment'!AQ25,'Mid-Market Segment'!AQ25,'Upper Mid-Market Segment'!AQ25,'Premium Segment'!AQ25)/SUM('Value Segment'!AQ$82,'Mid-Market Segment'!AQ$82,'Upper Mid-Market Segment'!AQ$82,'Premium Segment'!AQ$82)</f>
        <v>7506.1409625884862</v>
      </c>
      <c r="AR90" s="661">
        <f>SUM('Value Segment'!AR25,'Mid-Market Segment'!AR25,'Upper Mid-Market Segment'!AR25,'Premium Segment'!AR25)/SUM('Value Segment'!AR$82,'Mid-Market Segment'!AR$82,'Upper Mid-Market Segment'!AR$82,'Premium Segment'!AR$82)</f>
        <v>7506.1409625884862</v>
      </c>
      <c r="AS90" s="661">
        <f>SUM('Value Segment'!AS25,'Mid-Market Segment'!AS25,'Upper Mid-Market Segment'!AS25,'Premium Segment'!AS25)/SUM('Value Segment'!AS$82,'Mid-Market Segment'!AS$82,'Upper Mid-Market Segment'!AS$82,'Premium Segment'!AS$82)</f>
        <v>7506.1409625884862</v>
      </c>
      <c r="AT90" s="661">
        <f>SUM('Value Segment'!AT25,'Mid-Market Segment'!AT25,'Upper Mid-Market Segment'!AT25,'Premium Segment'!AT25)/SUM('Value Segment'!AT$82,'Mid-Market Segment'!AT$82,'Upper Mid-Market Segment'!AT$82,'Premium Segment'!AT$82)</f>
        <v>7506.1409625884862</v>
      </c>
      <c r="AU90" s="661">
        <f>SUM('Value Segment'!AU25,'Mid-Market Segment'!AU25,'Upper Mid-Market Segment'!AU25,'Premium Segment'!AU25)/SUM('Value Segment'!AU$82,'Mid-Market Segment'!AU$82,'Upper Mid-Market Segment'!AU$82,'Premium Segment'!AU$82)</f>
        <v>7506.1409625884862</v>
      </c>
      <c r="AV90" s="661">
        <f>SUM('Value Segment'!AV25,'Mid-Market Segment'!AV25,'Upper Mid-Market Segment'!AV25,'Premium Segment'!AV25)/SUM('Value Segment'!AV$82,'Mid-Market Segment'!AV$82,'Upper Mid-Market Segment'!AV$82,'Premium Segment'!AV$82)</f>
        <v>7753.807758673719</v>
      </c>
      <c r="AW90" s="661">
        <f>SUM('Value Segment'!AW25,'Mid-Market Segment'!AW25,'Upper Mid-Market Segment'!AW25,'Premium Segment'!AW25)/SUM('Value Segment'!AW$82,'Mid-Market Segment'!AW$82,'Upper Mid-Market Segment'!AW$82,'Premium Segment'!AW$82)</f>
        <v>7753.807758673719</v>
      </c>
      <c r="AX90" s="661">
        <f>SUM('Value Segment'!AX25,'Mid-Market Segment'!AX25,'Upper Mid-Market Segment'!AX25,'Premium Segment'!AX25)/SUM('Value Segment'!AX$82,'Mid-Market Segment'!AX$82,'Upper Mid-Market Segment'!AX$82,'Premium Segment'!AX$82)</f>
        <v>7753.807758673719</v>
      </c>
      <c r="AY90" s="661">
        <f>SUM('Value Segment'!AY25,'Mid-Market Segment'!AY25,'Upper Mid-Market Segment'!AY25,'Premium Segment'!AY25)/SUM('Value Segment'!AY$82,'Mid-Market Segment'!AY$82,'Upper Mid-Market Segment'!AY$82,'Premium Segment'!AY$82)</f>
        <v>7753.807758673719</v>
      </c>
      <c r="AZ90" s="661">
        <f>SUM('Value Segment'!AZ25,'Mid-Market Segment'!AZ25,'Upper Mid-Market Segment'!AZ25,'Premium Segment'!AZ25)/SUM('Value Segment'!AZ$82,'Mid-Market Segment'!AZ$82,'Upper Mid-Market Segment'!AZ$82,'Premium Segment'!AZ$82)</f>
        <v>7753.807758673719</v>
      </c>
      <c r="BA90" s="661">
        <f>SUM('Value Segment'!BA25,'Mid-Market Segment'!BA25,'Upper Mid-Market Segment'!BA25,'Premium Segment'!BA25)/SUM('Value Segment'!BA$82,'Mid-Market Segment'!BA$82,'Upper Mid-Market Segment'!BA$82,'Premium Segment'!BA$82)</f>
        <v>7753.807758673719</v>
      </c>
      <c r="BB90" s="661">
        <f>SUM('Value Segment'!BB25,'Mid-Market Segment'!BB25,'Upper Mid-Market Segment'!BB25,'Premium Segment'!BB25)/SUM('Value Segment'!BB$82,'Mid-Market Segment'!BB$82,'Upper Mid-Market Segment'!BB$82,'Premium Segment'!BB$82)</f>
        <v>7988.7722221643153</v>
      </c>
      <c r="BC90" s="661">
        <f>SUM('Value Segment'!BC25,'Mid-Market Segment'!BC25,'Upper Mid-Market Segment'!BC25,'Premium Segment'!BC25)/SUM('Value Segment'!BC$82,'Mid-Market Segment'!BC$82,'Upper Mid-Market Segment'!BC$82,'Premium Segment'!BC$82)</f>
        <v>7988.7722221643153</v>
      </c>
      <c r="BD90" s="661">
        <f>SUM('Value Segment'!BD25,'Mid-Market Segment'!BD25,'Upper Mid-Market Segment'!BD25,'Premium Segment'!BD25)/SUM('Value Segment'!BD$82,'Mid-Market Segment'!BD$82,'Upper Mid-Market Segment'!BD$82,'Premium Segment'!BD$82)</f>
        <v>7988.7722221643153</v>
      </c>
      <c r="BE90" s="661">
        <f>SUM('Value Segment'!BE25,'Mid-Market Segment'!BE25,'Upper Mid-Market Segment'!BE25,'Premium Segment'!BE25)/SUM('Value Segment'!BE$82,'Mid-Market Segment'!BE$82,'Upper Mid-Market Segment'!BE$82,'Premium Segment'!BE$82)</f>
        <v>7988.7722221643153</v>
      </c>
      <c r="BF90" s="661">
        <f>SUM('Value Segment'!BF25,'Mid-Market Segment'!BF25,'Upper Mid-Market Segment'!BF25,'Premium Segment'!BF25)/SUM('Value Segment'!BF$82,'Mid-Market Segment'!BF$82,'Upper Mid-Market Segment'!BF$82,'Premium Segment'!BF$82)</f>
        <v>7988.7722221643153</v>
      </c>
      <c r="BG90" s="661">
        <f>SUM('Value Segment'!BG25,'Mid-Market Segment'!BG25,'Upper Mid-Market Segment'!BG25,'Premium Segment'!BG25)/SUM('Value Segment'!BG$82,'Mid-Market Segment'!BG$82,'Upper Mid-Market Segment'!BG$82,'Premium Segment'!BG$82)</f>
        <v>7988.7722221643153</v>
      </c>
      <c r="BH90" s="661">
        <f>SUM('Value Segment'!BH25,'Mid-Market Segment'!BH25,'Upper Mid-Market Segment'!BH25,'Premium Segment'!BH25)/SUM('Value Segment'!BH$82,'Mid-Market Segment'!BH$82,'Upper Mid-Market Segment'!BH$82,'Premium Segment'!BH$82)</f>
        <v>8286.9556653454511</v>
      </c>
      <c r="BI90" s="661">
        <f>SUM('Value Segment'!BI25,'Mid-Market Segment'!BI25,'Upper Mid-Market Segment'!BI25,'Premium Segment'!BI25)/SUM('Value Segment'!BI$82,'Mid-Market Segment'!BI$82,'Upper Mid-Market Segment'!BI$82,'Premium Segment'!BI$82)</f>
        <v>8286.9556653454511</v>
      </c>
      <c r="BJ90" s="661">
        <f>SUM('Value Segment'!BJ25,'Mid-Market Segment'!BJ25,'Upper Mid-Market Segment'!BJ25,'Premium Segment'!BJ25)/SUM('Value Segment'!BJ$82,'Mid-Market Segment'!BJ$82,'Upper Mid-Market Segment'!BJ$82,'Premium Segment'!BJ$82)</f>
        <v>8286.9556653454511</v>
      </c>
      <c r="BK90" s="661">
        <f>SUM('Value Segment'!BK25,'Mid-Market Segment'!BK25,'Upper Mid-Market Segment'!BK25,'Premium Segment'!BK25)/SUM('Value Segment'!BK$82,'Mid-Market Segment'!BK$82,'Upper Mid-Market Segment'!BK$82,'Premium Segment'!BK$82)</f>
        <v>8286.9556653454511</v>
      </c>
      <c r="BL90" s="661">
        <f>SUM('Value Segment'!BL25,'Mid-Market Segment'!BL25,'Upper Mid-Market Segment'!BL25,'Premium Segment'!BL25)/SUM('Value Segment'!BL$82,'Mid-Market Segment'!BL$82,'Upper Mid-Market Segment'!BL$82,'Premium Segment'!BL$82)</f>
        <v>8286.9556653454511</v>
      </c>
      <c r="BM90" s="661">
        <f>SUM('Value Segment'!BM25,'Mid-Market Segment'!BM25,'Upper Mid-Market Segment'!BM25,'Premium Segment'!BM25)/SUM('Value Segment'!BM$82,'Mid-Market Segment'!BM$82,'Upper Mid-Market Segment'!BM$82,'Premium Segment'!BM$82)</f>
        <v>8286.9556653454511</v>
      </c>
      <c r="BN90" s="661">
        <f>SUM('Value Segment'!BN25,'Mid-Market Segment'!BN25,'Upper Mid-Market Segment'!BN25,'Premium Segment'!BN25)/SUM('Value Segment'!BN$82,'Mid-Market Segment'!BN$82,'Upper Mid-Market Segment'!BN$82,'Premium Segment'!BN$82)</f>
        <v>8500.4527476728781</v>
      </c>
      <c r="BO90" s="661">
        <f>SUM('Value Segment'!BO25,'Mid-Market Segment'!BO25,'Upper Mid-Market Segment'!BO25,'Premium Segment'!BO25)/SUM('Value Segment'!BO$82,'Mid-Market Segment'!BO$82,'Upper Mid-Market Segment'!BO$82,'Premium Segment'!BO$82)</f>
        <v>8500.4527476728781</v>
      </c>
      <c r="BP90" s="661">
        <f>SUM('Value Segment'!BP25,'Mid-Market Segment'!BP25,'Upper Mid-Market Segment'!BP25,'Premium Segment'!BP25)/SUM('Value Segment'!BP$82,'Mid-Market Segment'!BP$82,'Upper Mid-Market Segment'!BP$82,'Premium Segment'!BP$82)</f>
        <v>8500.4527476728781</v>
      </c>
      <c r="BQ90" s="661">
        <f>SUM('Value Segment'!BQ25,'Mid-Market Segment'!BQ25,'Upper Mid-Market Segment'!BQ25,'Premium Segment'!BQ25)/SUM('Value Segment'!BQ$82,'Mid-Market Segment'!BQ$82,'Upper Mid-Market Segment'!BQ$82,'Premium Segment'!BQ$82)</f>
        <v>8500.4527476728781</v>
      </c>
      <c r="BR90" s="661">
        <f>SUM('Value Segment'!BR25,'Mid-Market Segment'!BR25,'Upper Mid-Market Segment'!BR25,'Premium Segment'!BR25)/SUM('Value Segment'!BR$82,'Mid-Market Segment'!BR$82,'Upper Mid-Market Segment'!BR$82,'Premium Segment'!BR$82)</f>
        <v>8500.4527476728781</v>
      </c>
      <c r="BS90" s="661">
        <f>SUM('Value Segment'!BS25,'Mid-Market Segment'!BS25,'Upper Mid-Market Segment'!BS25,'Premium Segment'!BS25)/SUM('Value Segment'!BS$82,'Mid-Market Segment'!BS$82,'Upper Mid-Market Segment'!BS$82,'Premium Segment'!BS$82)</f>
        <v>8500.4527476728781</v>
      </c>
      <c r="BT90" s="661">
        <f>SUM('Value Segment'!BT25,'Mid-Market Segment'!BT25,'Upper Mid-Market Segment'!BT25,'Premium Segment'!BT25)/SUM('Value Segment'!BT$82,'Mid-Market Segment'!BT$82,'Upper Mid-Market Segment'!BT$82,'Premium Segment'!BT$82)</f>
        <v>8852.3456388489885</v>
      </c>
      <c r="BU90" s="661">
        <f>SUM('Value Segment'!BU25,'Mid-Market Segment'!BU25,'Upper Mid-Market Segment'!BU25,'Premium Segment'!BU25)/SUM('Value Segment'!BU$82,'Mid-Market Segment'!BU$82,'Upper Mid-Market Segment'!BU$82,'Premium Segment'!BU$82)</f>
        <v>8852.3456388489885</v>
      </c>
      <c r="BV90" s="661">
        <f>SUM('Value Segment'!BV25,'Mid-Market Segment'!BV25,'Upper Mid-Market Segment'!BV25,'Premium Segment'!BV25)/SUM('Value Segment'!BV$82,'Mid-Market Segment'!BV$82,'Upper Mid-Market Segment'!BV$82,'Premium Segment'!BV$82)</f>
        <v>8852.3456388489885</v>
      </c>
      <c r="BW90" s="661">
        <f>SUM('Value Segment'!BW25,'Mid-Market Segment'!BW25,'Upper Mid-Market Segment'!BW25,'Premium Segment'!BW25)/SUM('Value Segment'!BW$82,'Mid-Market Segment'!BW$82,'Upper Mid-Market Segment'!BW$82,'Premium Segment'!BW$82)</f>
        <v>8852.3456388489885</v>
      </c>
      <c r="BX90" s="661">
        <f>SUM('Value Segment'!BX25,'Mid-Market Segment'!BX25,'Upper Mid-Market Segment'!BX25,'Premium Segment'!BX25)/SUM('Value Segment'!BX$82,'Mid-Market Segment'!BX$82,'Upper Mid-Market Segment'!BX$82,'Premium Segment'!BX$82)</f>
        <v>8852.3456388489885</v>
      </c>
      <c r="BY90" s="661">
        <f>SUM('Value Segment'!BY25,'Mid-Market Segment'!BY25,'Upper Mid-Market Segment'!BY25,'Premium Segment'!BY25)/SUM('Value Segment'!BY$82,'Mid-Market Segment'!BY$82,'Upper Mid-Market Segment'!BY$82,'Premium Segment'!BY$82)</f>
        <v>8852.3456388489885</v>
      </c>
      <c r="CB90" s="8"/>
    </row>
    <row r="91" spans="3:80" x14ac:dyDescent="0.3">
      <c r="C91" s="2"/>
      <c r="D91" s="2"/>
      <c r="E91" s="2" t="s">
        <v>389</v>
      </c>
      <c r="F91" s="54"/>
      <c r="G91" s="54"/>
      <c r="H91" s="54"/>
      <c r="I91" s="19">
        <f>SUM('Value Segment'!I26,'Mid-Market Segment'!I26,'Upper Mid-Market Segment'!I26,'Premium Segment'!I26)/SUM('Value Segment'!I$82,'Mid-Market Segment'!I$82,'Upper Mid-Market Segment'!I$82,'Premium Segment'!I$82)</f>
        <v>-24364.483971573834</v>
      </c>
      <c r="J91" s="19">
        <f>SUM('Value Segment'!J26,'Mid-Market Segment'!J26,'Upper Mid-Market Segment'!J26,'Premium Segment'!J26)/SUM('Value Segment'!J$82,'Mid-Market Segment'!J$82,'Upper Mid-Market Segment'!J$82,'Premium Segment'!J$82)</f>
        <v>-25750.744901819344</v>
      </c>
      <c r="K91" s="19">
        <f>SUM('Value Segment'!K26,'Mid-Market Segment'!K26,'Upper Mid-Market Segment'!K26,'Premium Segment'!K26)/SUM('Value Segment'!K$82,'Mid-Market Segment'!K$82,'Upper Mid-Market Segment'!K$82,'Premium Segment'!K$82)</f>
        <v>-27393.287518769102</v>
      </c>
      <c r="L91" s="19">
        <f>SUM('Value Segment'!L26,'Mid-Market Segment'!L26,'Upper Mid-Market Segment'!L26,'Premium Segment'!L26)/SUM('Value Segment'!L$82,'Mid-Market Segment'!L$82,'Upper Mid-Market Segment'!L$82,'Premium Segment'!L$82)</f>
        <v>-29076.811608691492</v>
      </c>
      <c r="M91" s="19">
        <f>SUM('Value Segment'!M26,'Mid-Market Segment'!M26,'Upper Mid-Market Segment'!M26,'Premium Segment'!M26)/SUM('Value Segment'!M$82,'Mid-Market Segment'!M$82,'Upper Mid-Market Segment'!M$82,'Premium Segment'!M$82)</f>
        <v>-30820.487643518227</v>
      </c>
      <c r="N91" s="19">
        <f>SUM('Value Segment'!N26,'Mid-Market Segment'!N26,'Upper Mid-Market Segment'!N26,'Premium Segment'!N26)/SUM('Value Segment'!N$82,'Mid-Market Segment'!N$82,'Upper Mid-Market Segment'!N$82,'Premium Segment'!N$82)</f>
        <v>-32662.785479404189</v>
      </c>
      <c r="O91" s="37"/>
      <c r="P91" s="50">
        <f t="shared" si="95"/>
        <v>6.037431677401961E-2</v>
      </c>
      <c r="R91" s="19">
        <f>SUM('Value Segment'!R26,'Mid-Market Segment'!R26,'Upper Mid-Market Segment'!R26,'Premium Segment'!R26)/SUM('Value Segment'!R$82,'Mid-Market Segment'!R$82,'Upper Mid-Market Segment'!R$82,'Premium Segment'!R$82)</f>
        <v>-2121.0835281508012</v>
      </c>
      <c r="S91" s="542">
        <f>SUM('Value Segment'!S26,'Mid-Market Segment'!S26,'Upper Mid-Market Segment'!S26,'Premium Segment'!S26)/SUM('Value Segment'!S$82,'Mid-Market Segment'!S$82,'Upper Mid-Market Segment'!S$82,'Premium Segment'!S$82)</f>
        <v>-2121.0835281508012</v>
      </c>
      <c r="T91" s="542">
        <f>SUM('Value Segment'!T26,'Mid-Market Segment'!T26,'Upper Mid-Market Segment'!T26,'Premium Segment'!T26)/SUM('Value Segment'!T$82,'Mid-Market Segment'!T$82,'Upper Mid-Market Segment'!T$82,'Premium Segment'!T$82)</f>
        <v>-2121.0835281508012</v>
      </c>
      <c r="U91" s="542">
        <f>SUM('Value Segment'!U26,'Mid-Market Segment'!U26,'Upper Mid-Market Segment'!U26,'Premium Segment'!U26)/SUM('Value Segment'!U$82,'Mid-Market Segment'!U$82,'Upper Mid-Market Segment'!U$82,'Premium Segment'!U$82)</f>
        <v>-2121.0835281508012</v>
      </c>
      <c r="V91" s="542">
        <f>SUM('Value Segment'!V26,'Mid-Market Segment'!V26,'Upper Mid-Market Segment'!V26,'Premium Segment'!V26)/SUM('Value Segment'!V$82,'Mid-Market Segment'!V$82,'Upper Mid-Market Segment'!V$82,'Premium Segment'!V$82)</f>
        <v>-2121.0835281508012</v>
      </c>
      <c r="W91" s="542">
        <f>SUM('Value Segment'!W26,'Mid-Market Segment'!W26,'Upper Mid-Market Segment'!W26,'Premium Segment'!W26)/SUM('Value Segment'!W$82,'Mid-Market Segment'!W$82,'Upper Mid-Market Segment'!W$82,'Premium Segment'!W$82)</f>
        <v>-2121.0835281508012</v>
      </c>
      <c r="X91" s="542">
        <f>SUM('Value Segment'!X26,'Mid-Market Segment'!X26,'Upper Mid-Market Segment'!X26,'Premium Segment'!X26)/SUM('Value Segment'!X$82,'Mid-Market Segment'!X$82,'Upper Mid-Market Segment'!X$82,'Premium Segment'!X$82)</f>
        <v>-2170.7072888190892</v>
      </c>
      <c r="Y91" s="542">
        <f>SUM('Value Segment'!Y26,'Mid-Market Segment'!Y26,'Upper Mid-Market Segment'!Y26,'Premium Segment'!Y26)/SUM('Value Segment'!Y$82,'Mid-Market Segment'!Y$82,'Upper Mid-Market Segment'!Y$82,'Premium Segment'!Y$82)</f>
        <v>-2170.7072888190892</v>
      </c>
      <c r="Z91" s="542">
        <f>SUM('Value Segment'!Z26,'Mid-Market Segment'!Z26,'Upper Mid-Market Segment'!Z26,'Premium Segment'!Z26)/SUM('Value Segment'!Z$82,'Mid-Market Segment'!Z$82,'Upper Mid-Market Segment'!Z$82,'Premium Segment'!Z$82)</f>
        <v>-2170.7072888190892</v>
      </c>
      <c r="AA91" s="542">
        <f>SUM('Value Segment'!AA26,'Mid-Market Segment'!AA26,'Upper Mid-Market Segment'!AA26,'Premium Segment'!AA26)/SUM('Value Segment'!AA$82,'Mid-Market Segment'!AA$82,'Upper Mid-Market Segment'!AA$82,'Premium Segment'!AA$82)</f>
        <v>-2170.7072888190892</v>
      </c>
      <c r="AB91" s="542">
        <f>SUM('Value Segment'!AB26,'Mid-Market Segment'!AB26,'Upper Mid-Market Segment'!AB26,'Premium Segment'!AB26)/SUM('Value Segment'!AB$82,'Mid-Market Segment'!AB$82,'Upper Mid-Market Segment'!AB$82,'Premium Segment'!AB$82)</f>
        <v>-2170.7072888190892</v>
      </c>
      <c r="AC91" s="542">
        <f>SUM('Value Segment'!AC26,'Mid-Market Segment'!AC26,'Upper Mid-Market Segment'!AC26,'Premium Segment'!AC26)/SUM('Value Segment'!AC$82,'Mid-Market Segment'!AC$82,'Upper Mid-Market Segment'!AC$82,'Premium Segment'!AC$82)</f>
        <v>-2170.7072888190892</v>
      </c>
      <c r="AD91" s="542">
        <f>SUM('Value Segment'!AD26,'Mid-Market Segment'!AD26,'Upper Mid-Market Segment'!AD26,'Premium Segment'!AD26)/SUM('Value Segment'!AD$82,'Mid-Market Segment'!AD$82,'Upper Mid-Market Segment'!AD$82,'Premium Segment'!AD$82)</f>
        <v>-2251.1479320771778</v>
      </c>
      <c r="AE91" s="542">
        <f>SUM('Value Segment'!AE26,'Mid-Market Segment'!AE26,'Upper Mid-Market Segment'!AE26,'Premium Segment'!AE26)/SUM('Value Segment'!AE$82,'Mid-Market Segment'!AE$82,'Upper Mid-Market Segment'!AE$82,'Premium Segment'!AE$82)</f>
        <v>-2251.1479320771778</v>
      </c>
      <c r="AF91" s="542">
        <f>SUM('Value Segment'!AF26,'Mid-Market Segment'!AF26,'Upper Mid-Market Segment'!AF26,'Premium Segment'!AF26)/SUM('Value Segment'!AF$82,'Mid-Market Segment'!AF$82,'Upper Mid-Market Segment'!AF$82,'Premium Segment'!AF$82)</f>
        <v>-2251.1479320771778</v>
      </c>
      <c r="AG91" s="542">
        <f>SUM('Value Segment'!AG26,'Mid-Market Segment'!AG26,'Upper Mid-Market Segment'!AG26,'Premium Segment'!AG26)/SUM('Value Segment'!AG$82,'Mid-Market Segment'!AG$82,'Upper Mid-Market Segment'!AG$82,'Premium Segment'!AG$82)</f>
        <v>-2251.1479320771778</v>
      </c>
      <c r="AH91" s="542">
        <f>SUM('Value Segment'!AH26,'Mid-Market Segment'!AH26,'Upper Mid-Market Segment'!AH26,'Premium Segment'!AH26)/SUM('Value Segment'!AH$82,'Mid-Market Segment'!AH$82,'Upper Mid-Market Segment'!AH$82,'Premium Segment'!AH$82)</f>
        <v>-2251.1479320771778</v>
      </c>
      <c r="AI91" s="542">
        <f>SUM('Value Segment'!AI26,'Mid-Market Segment'!AI26,'Upper Mid-Market Segment'!AI26,'Premium Segment'!AI26)/SUM('Value Segment'!AI$82,'Mid-Market Segment'!AI$82,'Upper Mid-Market Segment'!AI$82,'Premium Segment'!AI$82)</f>
        <v>-2251.1479320771778</v>
      </c>
      <c r="AJ91" s="542">
        <f>SUM('Value Segment'!AJ26,'Mid-Market Segment'!AJ26,'Upper Mid-Market Segment'!AJ26,'Premium Segment'!AJ26)/SUM('Value Segment'!AJ$82,'Mid-Market Segment'!AJ$82,'Upper Mid-Market Segment'!AJ$82,'Premium Segment'!AJ$82)</f>
        <v>-2314.399987717673</v>
      </c>
      <c r="AK91" s="542">
        <f>SUM('Value Segment'!AK26,'Mid-Market Segment'!AK26,'Upper Mid-Market Segment'!AK26,'Premium Segment'!AK26)/SUM('Value Segment'!AK$82,'Mid-Market Segment'!AK$82,'Upper Mid-Market Segment'!AK$82,'Premium Segment'!AK$82)</f>
        <v>-2314.399987717673</v>
      </c>
      <c r="AL91" s="542">
        <f>SUM('Value Segment'!AL26,'Mid-Market Segment'!AL26,'Upper Mid-Market Segment'!AL26,'Premium Segment'!AL26)/SUM('Value Segment'!AL$82,'Mid-Market Segment'!AL$82,'Upper Mid-Market Segment'!AL$82,'Premium Segment'!AL$82)</f>
        <v>-2314.399987717673</v>
      </c>
      <c r="AM91" s="542">
        <f>SUM('Value Segment'!AM26,'Mid-Market Segment'!AM26,'Upper Mid-Market Segment'!AM26,'Premium Segment'!AM26)/SUM('Value Segment'!AM$82,'Mid-Market Segment'!AM$82,'Upper Mid-Market Segment'!AM$82,'Premium Segment'!AM$82)</f>
        <v>-2314.399987717673</v>
      </c>
      <c r="AN91" s="542">
        <f>SUM('Value Segment'!AN26,'Mid-Market Segment'!AN26,'Upper Mid-Market Segment'!AN26,'Premium Segment'!AN26)/SUM('Value Segment'!AN$82,'Mid-Market Segment'!AN$82,'Upper Mid-Market Segment'!AN$82,'Premium Segment'!AN$82)</f>
        <v>-2314.399987717673</v>
      </c>
      <c r="AO91" s="542">
        <f>SUM('Value Segment'!AO26,'Mid-Market Segment'!AO26,'Upper Mid-Market Segment'!AO26,'Premium Segment'!AO26)/SUM('Value Segment'!AO$82,'Mid-Market Segment'!AO$82,'Upper Mid-Market Segment'!AO$82,'Premium Segment'!AO$82)</f>
        <v>-2314.399987717673</v>
      </c>
      <c r="AP91" s="542">
        <f>SUM('Value Segment'!AP26,'Mid-Market Segment'!AP26,'Upper Mid-Market Segment'!AP26,'Premium Segment'!AP26)/SUM('Value Segment'!AP$82,'Mid-Market Segment'!AP$82,'Upper Mid-Market Segment'!AP$82,'Premium Segment'!AP$82)</f>
        <v>-2384.233547768049</v>
      </c>
      <c r="AQ91" s="542">
        <f>SUM('Value Segment'!AQ26,'Mid-Market Segment'!AQ26,'Upper Mid-Market Segment'!AQ26,'Premium Segment'!AQ26)/SUM('Value Segment'!AQ$82,'Mid-Market Segment'!AQ$82,'Upper Mid-Market Segment'!AQ$82,'Premium Segment'!AQ$82)</f>
        <v>-2384.233547768049</v>
      </c>
      <c r="AR91" s="542">
        <f>SUM('Value Segment'!AR26,'Mid-Market Segment'!AR26,'Upper Mid-Market Segment'!AR26,'Premium Segment'!AR26)/SUM('Value Segment'!AR$82,'Mid-Market Segment'!AR$82,'Upper Mid-Market Segment'!AR$82,'Premium Segment'!AR$82)</f>
        <v>-2384.233547768049</v>
      </c>
      <c r="AS91" s="542">
        <f>SUM('Value Segment'!AS26,'Mid-Market Segment'!AS26,'Upper Mid-Market Segment'!AS26,'Premium Segment'!AS26)/SUM('Value Segment'!AS$82,'Mid-Market Segment'!AS$82,'Upper Mid-Market Segment'!AS$82,'Premium Segment'!AS$82)</f>
        <v>-2384.233547768049</v>
      </c>
      <c r="AT91" s="542">
        <f>SUM('Value Segment'!AT26,'Mid-Market Segment'!AT26,'Upper Mid-Market Segment'!AT26,'Premium Segment'!AT26)/SUM('Value Segment'!AT$82,'Mid-Market Segment'!AT$82,'Upper Mid-Market Segment'!AT$82,'Premium Segment'!AT$82)</f>
        <v>-2384.233547768049</v>
      </c>
      <c r="AU91" s="542">
        <f>SUM('Value Segment'!AU26,'Mid-Market Segment'!AU26,'Upper Mid-Market Segment'!AU26,'Premium Segment'!AU26)/SUM('Value Segment'!AU$82,'Mid-Market Segment'!AU$82,'Upper Mid-Market Segment'!AU$82,'Premium Segment'!AU$82)</f>
        <v>-2384.233547768049</v>
      </c>
      <c r="AV91" s="542">
        <f>SUM('Value Segment'!AV26,'Mid-Market Segment'!AV26,'Upper Mid-Market Segment'!AV26,'Premium Segment'!AV26)/SUM('Value Segment'!AV$82,'Mid-Market Segment'!AV$82,'Upper Mid-Market Segment'!AV$82,'Premium Segment'!AV$82)</f>
        <v>-2461.9017203472004</v>
      </c>
      <c r="AW91" s="542">
        <f>SUM('Value Segment'!AW26,'Mid-Market Segment'!AW26,'Upper Mid-Market Segment'!AW26,'Premium Segment'!AW26)/SUM('Value Segment'!AW$82,'Mid-Market Segment'!AW$82,'Upper Mid-Market Segment'!AW$82,'Premium Segment'!AW$82)</f>
        <v>-2461.9017203472004</v>
      </c>
      <c r="AX91" s="542">
        <f>SUM('Value Segment'!AX26,'Mid-Market Segment'!AX26,'Upper Mid-Market Segment'!AX26,'Premium Segment'!AX26)/SUM('Value Segment'!AX$82,'Mid-Market Segment'!AX$82,'Upper Mid-Market Segment'!AX$82,'Premium Segment'!AX$82)</f>
        <v>-2461.9017203472004</v>
      </c>
      <c r="AY91" s="542">
        <f>SUM('Value Segment'!AY26,'Mid-Market Segment'!AY26,'Upper Mid-Market Segment'!AY26,'Premium Segment'!AY26)/SUM('Value Segment'!AY$82,'Mid-Market Segment'!AY$82,'Upper Mid-Market Segment'!AY$82,'Premium Segment'!AY$82)</f>
        <v>-2461.9017203472004</v>
      </c>
      <c r="AZ91" s="542">
        <f>SUM('Value Segment'!AZ26,'Mid-Market Segment'!AZ26,'Upper Mid-Market Segment'!AZ26,'Premium Segment'!AZ26)/SUM('Value Segment'!AZ$82,'Mid-Market Segment'!AZ$82,'Upper Mid-Market Segment'!AZ$82,'Premium Segment'!AZ$82)</f>
        <v>-2461.9017203472004</v>
      </c>
      <c r="BA91" s="542">
        <f>SUM('Value Segment'!BA26,'Mid-Market Segment'!BA26,'Upper Mid-Market Segment'!BA26,'Premium Segment'!BA26)/SUM('Value Segment'!BA$82,'Mid-Market Segment'!BA$82,'Upper Mid-Market Segment'!BA$82,'Premium Segment'!BA$82)</f>
        <v>-2461.9017203472004</v>
      </c>
      <c r="BB91" s="542">
        <f>SUM('Value Segment'!BB26,'Mid-Market Segment'!BB26,'Upper Mid-Market Segment'!BB26,'Premium Segment'!BB26)/SUM('Value Segment'!BB$82,'Mid-Market Segment'!BB$82,'Upper Mid-Market Segment'!BB$82,'Premium Segment'!BB$82)</f>
        <v>-2521.9197077754438</v>
      </c>
      <c r="BC91" s="542">
        <f>SUM('Value Segment'!BC26,'Mid-Market Segment'!BC26,'Upper Mid-Market Segment'!BC26,'Premium Segment'!BC26)/SUM('Value Segment'!BC$82,'Mid-Market Segment'!BC$82,'Upper Mid-Market Segment'!BC$82,'Premium Segment'!BC$82)</f>
        <v>-2521.9197077754438</v>
      </c>
      <c r="BD91" s="542">
        <f>SUM('Value Segment'!BD26,'Mid-Market Segment'!BD26,'Upper Mid-Market Segment'!BD26,'Premium Segment'!BD26)/SUM('Value Segment'!BD$82,'Mid-Market Segment'!BD$82,'Upper Mid-Market Segment'!BD$82,'Premium Segment'!BD$82)</f>
        <v>-2521.9197077754438</v>
      </c>
      <c r="BE91" s="542">
        <f>SUM('Value Segment'!BE26,'Mid-Market Segment'!BE26,'Upper Mid-Market Segment'!BE26,'Premium Segment'!BE26)/SUM('Value Segment'!BE$82,'Mid-Market Segment'!BE$82,'Upper Mid-Market Segment'!BE$82,'Premium Segment'!BE$82)</f>
        <v>-2521.9197077754438</v>
      </c>
      <c r="BF91" s="542">
        <f>SUM('Value Segment'!BF26,'Mid-Market Segment'!BF26,'Upper Mid-Market Segment'!BF26,'Premium Segment'!BF26)/SUM('Value Segment'!BF$82,'Mid-Market Segment'!BF$82,'Upper Mid-Market Segment'!BF$82,'Premium Segment'!BF$82)</f>
        <v>-2521.9197077754438</v>
      </c>
      <c r="BG91" s="542">
        <f>SUM('Value Segment'!BG26,'Mid-Market Segment'!BG26,'Upper Mid-Market Segment'!BG26,'Premium Segment'!BG26)/SUM('Value Segment'!BG$82,'Mid-Market Segment'!BG$82,'Upper Mid-Market Segment'!BG$82,'Premium Segment'!BG$82)</f>
        <v>-2521.9197077754438</v>
      </c>
      <c r="BH91" s="542">
        <f>SUM('Value Segment'!BH26,'Mid-Market Segment'!BH26,'Upper Mid-Market Segment'!BH26,'Premium Segment'!BH26)/SUM('Value Segment'!BH$82,'Mid-Market Segment'!BH$82,'Upper Mid-Market Segment'!BH$82,'Premium Segment'!BH$82)</f>
        <v>-2614.8282328109276</v>
      </c>
      <c r="BI91" s="542">
        <f>SUM('Value Segment'!BI26,'Mid-Market Segment'!BI26,'Upper Mid-Market Segment'!BI26,'Premium Segment'!BI26)/SUM('Value Segment'!BI$82,'Mid-Market Segment'!BI$82,'Upper Mid-Market Segment'!BI$82,'Premium Segment'!BI$82)</f>
        <v>-2614.8282328109276</v>
      </c>
      <c r="BJ91" s="542">
        <f>SUM('Value Segment'!BJ26,'Mid-Market Segment'!BJ26,'Upper Mid-Market Segment'!BJ26,'Premium Segment'!BJ26)/SUM('Value Segment'!BJ$82,'Mid-Market Segment'!BJ$82,'Upper Mid-Market Segment'!BJ$82,'Premium Segment'!BJ$82)</f>
        <v>-2614.8282328109276</v>
      </c>
      <c r="BK91" s="542">
        <f>SUM('Value Segment'!BK26,'Mid-Market Segment'!BK26,'Upper Mid-Market Segment'!BK26,'Premium Segment'!BK26)/SUM('Value Segment'!BK$82,'Mid-Market Segment'!BK$82,'Upper Mid-Market Segment'!BK$82,'Premium Segment'!BK$82)</f>
        <v>-2614.8282328109276</v>
      </c>
      <c r="BL91" s="542">
        <f>SUM('Value Segment'!BL26,'Mid-Market Segment'!BL26,'Upper Mid-Market Segment'!BL26,'Premium Segment'!BL26)/SUM('Value Segment'!BL$82,'Mid-Market Segment'!BL$82,'Upper Mid-Market Segment'!BL$82,'Premium Segment'!BL$82)</f>
        <v>-2614.8282328109276</v>
      </c>
      <c r="BM91" s="542">
        <f>SUM('Value Segment'!BM26,'Mid-Market Segment'!BM26,'Upper Mid-Market Segment'!BM26,'Premium Segment'!BM26)/SUM('Value Segment'!BM$82,'Mid-Market Segment'!BM$82,'Upper Mid-Market Segment'!BM$82,'Premium Segment'!BM$82)</f>
        <v>-2614.8282328109276</v>
      </c>
      <c r="BN91" s="542">
        <f>SUM('Value Segment'!BN26,'Mid-Market Segment'!BN26,'Upper Mid-Market Segment'!BN26,'Premium Segment'!BN26)/SUM('Value Segment'!BN$82,'Mid-Market Segment'!BN$82,'Upper Mid-Market Segment'!BN$82,'Premium Segment'!BN$82)</f>
        <v>-2667.4119034206369</v>
      </c>
      <c r="BO91" s="542">
        <f>SUM('Value Segment'!BO26,'Mid-Market Segment'!BO26,'Upper Mid-Market Segment'!BO26,'Premium Segment'!BO26)/SUM('Value Segment'!BO$82,'Mid-Market Segment'!BO$82,'Upper Mid-Market Segment'!BO$82,'Premium Segment'!BO$82)</f>
        <v>-2667.4119034206369</v>
      </c>
      <c r="BP91" s="542">
        <f>SUM('Value Segment'!BP26,'Mid-Market Segment'!BP26,'Upper Mid-Market Segment'!BP26,'Premium Segment'!BP26)/SUM('Value Segment'!BP$82,'Mid-Market Segment'!BP$82,'Upper Mid-Market Segment'!BP$82,'Premium Segment'!BP$82)</f>
        <v>-2667.4119034206369</v>
      </c>
      <c r="BQ91" s="542">
        <f>SUM('Value Segment'!BQ26,'Mid-Market Segment'!BQ26,'Upper Mid-Market Segment'!BQ26,'Premium Segment'!BQ26)/SUM('Value Segment'!BQ$82,'Mid-Market Segment'!BQ$82,'Upper Mid-Market Segment'!BQ$82,'Premium Segment'!BQ$82)</f>
        <v>-2667.4119034206369</v>
      </c>
      <c r="BR91" s="542">
        <f>SUM('Value Segment'!BR26,'Mid-Market Segment'!BR26,'Upper Mid-Market Segment'!BR26,'Premium Segment'!BR26)/SUM('Value Segment'!BR$82,'Mid-Market Segment'!BR$82,'Upper Mid-Market Segment'!BR$82,'Premium Segment'!BR$82)</f>
        <v>-2667.4119034206369</v>
      </c>
      <c r="BS91" s="542">
        <f>SUM('Value Segment'!BS26,'Mid-Market Segment'!BS26,'Upper Mid-Market Segment'!BS26,'Premium Segment'!BS26)/SUM('Value Segment'!BS$82,'Mid-Market Segment'!BS$82,'Upper Mid-Market Segment'!BS$82,'Premium Segment'!BS$82)</f>
        <v>-2667.4119034206369</v>
      </c>
      <c r="BT91" s="542">
        <f>SUM('Value Segment'!BT26,'Mid-Market Segment'!BT26,'Upper Mid-Market Segment'!BT26,'Premium Segment'!BT26)/SUM('Value Segment'!BT$82,'Mid-Market Segment'!BT$82,'Upper Mid-Market Segment'!BT$82,'Premium Segment'!BT$82)</f>
        <v>-2776.3856764800603</v>
      </c>
      <c r="BU91" s="542">
        <f>SUM('Value Segment'!BU26,'Mid-Market Segment'!BU26,'Upper Mid-Market Segment'!BU26,'Premium Segment'!BU26)/SUM('Value Segment'!BU$82,'Mid-Market Segment'!BU$82,'Upper Mid-Market Segment'!BU$82,'Premium Segment'!BU$82)</f>
        <v>-2776.3856764800603</v>
      </c>
      <c r="BV91" s="542">
        <f>SUM('Value Segment'!BV26,'Mid-Market Segment'!BV26,'Upper Mid-Market Segment'!BV26,'Premium Segment'!BV26)/SUM('Value Segment'!BV$82,'Mid-Market Segment'!BV$82,'Upper Mid-Market Segment'!BV$82,'Premium Segment'!BV$82)</f>
        <v>-2776.3856764800603</v>
      </c>
      <c r="BW91" s="542">
        <f>SUM('Value Segment'!BW26,'Mid-Market Segment'!BW26,'Upper Mid-Market Segment'!BW26,'Premium Segment'!BW26)/SUM('Value Segment'!BW$82,'Mid-Market Segment'!BW$82,'Upper Mid-Market Segment'!BW$82,'Premium Segment'!BW$82)</f>
        <v>-2776.3856764800603</v>
      </c>
      <c r="BX91" s="542">
        <f>SUM('Value Segment'!BX26,'Mid-Market Segment'!BX26,'Upper Mid-Market Segment'!BX26,'Premium Segment'!BX26)/SUM('Value Segment'!BX$82,'Mid-Market Segment'!BX$82,'Upper Mid-Market Segment'!BX$82,'Premium Segment'!BX$82)</f>
        <v>-2776.3856764800603</v>
      </c>
      <c r="BY91" s="542">
        <f>SUM('Value Segment'!BY26,'Mid-Market Segment'!BY26,'Upper Mid-Market Segment'!BY26,'Premium Segment'!BY26)/SUM('Value Segment'!BY$82,'Mid-Market Segment'!BY$82,'Upper Mid-Market Segment'!BY$82,'Premium Segment'!BY$82)</f>
        <v>-2776.3856764800603</v>
      </c>
      <c r="CB91" s="8"/>
    </row>
    <row r="92" spans="3:80" x14ac:dyDescent="0.3">
      <c r="C92" s="2"/>
      <c r="D92" s="2"/>
      <c r="E92" s="4" t="s">
        <v>390</v>
      </c>
      <c r="F92" s="5"/>
      <c r="G92" s="5"/>
      <c r="H92" s="5"/>
      <c r="I92" s="507">
        <f>SUM('Value Segment'!I27,'Mid-Market Segment'!I27,'Upper Mid-Market Segment'!I27,'Premium Segment'!I27)/SUM('Value Segment'!I$82,'Mid-Market Segment'!I$82,'Upper Mid-Market Segment'!I$82,'Premium Segment'!I$82)</f>
        <v>50618.784854564547</v>
      </c>
      <c r="J92" s="507">
        <f>SUM('Value Segment'!J27,'Mid-Market Segment'!J27,'Upper Mid-Market Segment'!J27,'Premium Segment'!J27)/SUM('Value Segment'!J$82,'Mid-Market Segment'!J$82,'Upper Mid-Market Segment'!J$82,'Premium Segment'!J$82)</f>
        <v>54161.496120448617</v>
      </c>
      <c r="K92" s="507">
        <f>SUM('Value Segment'!K27,'Mid-Market Segment'!K27,'Upper Mid-Market Segment'!K27,'Premium Segment'!K27)/SUM('Value Segment'!K$82,'Mid-Market Segment'!K$82,'Upper Mid-Market Segment'!K$82,'Premium Segment'!K$82)</f>
        <v>58270.711674964077</v>
      </c>
      <c r="L92" s="507">
        <f>SUM('Value Segment'!L27,'Mid-Market Segment'!L27,'Upper Mid-Market Segment'!L27,'Premium Segment'!L27)/SUM('Value Segment'!L$82,'Mid-Market Segment'!L$82,'Upper Mid-Market Segment'!L$82,'Premium Segment'!L$82)</f>
        <v>62482.880718881723</v>
      </c>
      <c r="M92" s="507">
        <f>SUM('Value Segment'!M27,'Mid-Market Segment'!M27,'Upper Mid-Market Segment'!M27,'Premium Segment'!M27)/SUM('Value Segment'!M$82,'Mid-Market Segment'!M$82,'Upper Mid-Market Segment'!M$82,'Premium Segment'!M$82)</f>
        <v>66833.879681540362</v>
      </c>
      <c r="N92" s="507">
        <f>SUM('Value Segment'!N27,'Mid-Market Segment'!N27,'Upper Mid-Market Segment'!N27,'Premium Segment'!N27)/SUM('Value Segment'!N$82,'Mid-Market Segment'!N$82,'Upper Mid-Market Segment'!N$82,'Premium Segment'!N$82)</f>
        <v>71454.004839727</v>
      </c>
      <c r="O92" s="57"/>
      <c r="P92" s="55">
        <f t="shared" si="95"/>
        <v>7.1378611177575602E-2</v>
      </c>
      <c r="R92" s="507">
        <f>SUM('Value Segment'!R27,'Mid-Market Segment'!R27,'Upper Mid-Market Segment'!R27,'Premium Segment'!R27)/SUM('Value Segment'!R$82,'Mid-Market Segment'!R$82,'Upper Mid-Market Segment'!R$82,'Premium Segment'!R$82)</f>
        <v>4460.3907578296867</v>
      </c>
      <c r="S92" s="661">
        <f>SUM('Value Segment'!S27,'Mid-Market Segment'!S27,'Upper Mid-Market Segment'!S27,'Premium Segment'!S27)/SUM('Value Segment'!S$82,'Mid-Market Segment'!S$82,'Upper Mid-Market Segment'!S$82,'Premium Segment'!S$82)</f>
        <v>4460.3907578296867</v>
      </c>
      <c r="T92" s="661">
        <f>SUM('Value Segment'!T27,'Mid-Market Segment'!T27,'Upper Mid-Market Segment'!T27,'Premium Segment'!T27)/SUM('Value Segment'!T$82,'Mid-Market Segment'!T$82,'Upper Mid-Market Segment'!T$82,'Premium Segment'!T$82)</f>
        <v>4460.3907578296867</v>
      </c>
      <c r="U92" s="661">
        <f>SUM('Value Segment'!U27,'Mid-Market Segment'!U27,'Upper Mid-Market Segment'!U27,'Premium Segment'!U27)/SUM('Value Segment'!U$82,'Mid-Market Segment'!U$82,'Upper Mid-Market Segment'!U$82,'Premium Segment'!U$82)</f>
        <v>4460.3907578296867</v>
      </c>
      <c r="V92" s="661">
        <f>SUM('Value Segment'!V27,'Mid-Market Segment'!V27,'Upper Mid-Market Segment'!V27,'Premium Segment'!V27)/SUM('Value Segment'!V$82,'Mid-Market Segment'!V$82,'Upper Mid-Market Segment'!V$82,'Premium Segment'!V$82)</f>
        <v>4460.3907578296867</v>
      </c>
      <c r="W92" s="661">
        <f>SUM('Value Segment'!W27,'Mid-Market Segment'!W27,'Upper Mid-Market Segment'!W27,'Premium Segment'!W27)/SUM('Value Segment'!W$82,'Mid-Market Segment'!W$82,'Upper Mid-Market Segment'!W$82,'Premium Segment'!W$82)</f>
        <v>4460.3907578296867</v>
      </c>
      <c r="X92" s="661">
        <f>SUM('Value Segment'!X27,'Mid-Market Segment'!X27,'Upper Mid-Market Segment'!X27,'Premium Segment'!X27)/SUM('Value Segment'!X$82,'Mid-Market Segment'!X$82,'Upper Mid-Market Segment'!X$82,'Premium Segment'!X$82)</f>
        <v>4566.5252622450844</v>
      </c>
      <c r="Y92" s="661">
        <f>SUM('Value Segment'!Y27,'Mid-Market Segment'!Y27,'Upper Mid-Market Segment'!Y27,'Premium Segment'!Y27)/SUM('Value Segment'!Y$82,'Mid-Market Segment'!Y$82,'Upper Mid-Market Segment'!Y$82,'Premium Segment'!Y$82)</f>
        <v>4566.5252622450844</v>
      </c>
      <c r="Z92" s="661">
        <f>SUM('Value Segment'!Z27,'Mid-Market Segment'!Z27,'Upper Mid-Market Segment'!Z27,'Premium Segment'!Z27)/SUM('Value Segment'!Z$82,'Mid-Market Segment'!Z$82,'Upper Mid-Market Segment'!Z$82,'Premium Segment'!Z$82)</f>
        <v>4566.5252622450844</v>
      </c>
      <c r="AA92" s="661">
        <f>SUM('Value Segment'!AA27,'Mid-Market Segment'!AA27,'Upper Mid-Market Segment'!AA27,'Premium Segment'!AA27)/SUM('Value Segment'!AA$82,'Mid-Market Segment'!AA$82,'Upper Mid-Market Segment'!AA$82,'Premium Segment'!AA$82)</f>
        <v>4566.5252622450844</v>
      </c>
      <c r="AB92" s="661">
        <f>SUM('Value Segment'!AB27,'Mid-Market Segment'!AB27,'Upper Mid-Market Segment'!AB27,'Premium Segment'!AB27)/SUM('Value Segment'!AB$82,'Mid-Market Segment'!AB$82,'Upper Mid-Market Segment'!AB$82,'Premium Segment'!AB$82)</f>
        <v>4566.5252622450844</v>
      </c>
      <c r="AC92" s="661">
        <f>SUM('Value Segment'!AC27,'Mid-Market Segment'!AC27,'Upper Mid-Market Segment'!AC27,'Premium Segment'!AC27)/SUM('Value Segment'!AC$82,'Mid-Market Segment'!AC$82,'Upper Mid-Market Segment'!AC$82,'Premium Segment'!AC$82)</f>
        <v>4566.5252622450844</v>
      </c>
      <c r="AD92" s="661">
        <f>SUM('Value Segment'!AD27,'Mid-Market Segment'!AD27,'Upper Mid-Market Segment'!AD27,'Premium Segment'!AD27)/SUM('Value Segment'!AD$82,'Mid-Market Segment'!AD$82,'Upper Mid-Market Segment'!AD$82,'Premium Segment'!AD$82)</f>
        <v>4787.4108563834225</v>
      </c>
      <c r="AE92" s="661">
        <f>SUM('Value Segment'!AE27,'Mid-Market Segment'!AE27,'Upper Mid-Market Segment'!AE27,'Premium Segment'!AE27)/SUM('Value Segment'!AE$82,'Mid-Market Segment'!AE$82,'Upper Mid-Market Segment'!AE$82,'Premium Segment'!AE$82)</f>
        <v>4787.4108563834225</v>
      </c>
      <c r="AF92" s="661">
        <f>SUM('Value Segment'!AF27,'Mid-Market Segment'!AF27,'Upper Mid-Market Segment'!AF27,'Premium Segment'!AF27)/SUM('Value Segment'!AF$82,'Mid-Market Segment'!AF$82,'Upper Mid-Market Segment'!AF$82,'Premium Segment'!AF$82)</f>
        <v>4787.4108563834225</v>
      </c>
      <c r="AG92" s="661">
        <f>SUM('Value Segment'!AG27,'Mid-Market Segment'!AG27,'Upper Mid-Market Segment'!AG27,'Premium Segment'!AG27)/SUM('Value Segment'!AG$82,'Mid-Market Segment'!AG$82,'Upper Mid-Market Segment'!AG$82,'Premium Segment'!AG$82)</f>
        <v>4787.4108563834225</v>
      </c>
      <c r="AH92" s="661">
        <f>SUM('Value Segment'!AH27,'Mid-Market Segment'!AH27,'Upper Mid-Market Segment'!AH27,'Premium Segment'!AH27)/SUM('Value Segment'!AH$82,'Mid-Market Segment'!AH$82,'Upper Mid-Market Segment'!AH$82,'Premium Segment'!AH$82)</f>
        <v>4787.4108563834225</v>
      </c>
      <c r="AI92" s="661">
        <f>SUM('Value Segment'!AI27,'Mid-Market Segment'!AI27,'Upper Mid-Market Segment'!AI27,'Premium Segment'!AI27)/SUM('Value Segment'!AI$82,'Mid-Market Segment'!AI$82,'Upper Mid-Market Segment'!AI$82,'Premium Segment'!AI$82)</f>
        <v>4787.4108563834225</v>
      </c>
      <c r="AJ92" s="661">
        <f>SUM('Value Segment'!AJ27,'Mid-Market Segment'!AJ27,'Upper Mid-Market Segment'!AJ27,'Premium Segment'!AJ27)/SUM('Value Segment'!AJ$82,'Mid-Market Segment'!AJ$82,'Upper Mid-Market Segment'!AJ$82,'Premium Segment'!AJ$82)</f>
        <v>4924.3744227772577</v>
      </c>
      <c r="AK92" s="661">
        <f>SUM('Value Segment'!AK27,'Mid-Market Segment'!AK27,'Upper Mid-Market Segment'!AK27,'Premium Segment'!AK27)/SUM('Value Segment'!AK$82,'Mid-Market Segment'!AK$82,'Upper Mid-Market Segment'!AK$82,'Premium Segment'!AK$82)</f>
        <v>4924.3744227772577</v>
      </c>
      <c r="AL92" s="661">
        <f>SUM('Value Segment'!AL27,'Mid-Market Segment'!AL27,'Upper Mid-Market Segment'!AL27,'Premium Segment'!AL27)/SUM('Value Segment'!AL$82,'Mid-Market Segment'!AL$82,'Upper Mid-Market Segment'!AL$82,'Premium Segment'!AL$82)</f>
        <v>4924.3744227772577</v>
      </c>
      <c r="AM92" s="661">
        <f>SUM('Value Segment'!AM27,'Mid-Market Segment'!AM27,'Upper Mid-Market Segment'!AM27,'Premium Segment'!AM27)/SUM('Value Segment'!AM$82,'Mid-Market Segment'!AM$82,'Upper Mid-Market Segment'!AM$82,'Premium Segment'!AM$82)</f>
        <v>4924.3744227772577</v>
      </c>
      <c r="AN92" s="661">
        <f>SUM('Value Segment'!AN27,'Mid-Market Segment'!AN27,'Upper Mid-Market Segment'!AN27,'Premium Segment'!AN27)/SUM('Value Segment'!AN$82,'Mid-Market Segment'!AN$82,'Upper Mid-Market Segment'!AN$82,'Premium Segment'!AN$82)</f>
        <v>4924.3744227772577</v>
      </c>
      <c r="AO92" s="661">
        <f>SUM('Value Segment'!AO27,'Mid-Market Segment'!AO27,'Upper Mid-Market Segment'!AO27,'Premium Segment'!AO27)/SUM('Value Segment'!AO$82,'Mid-Market Segment'!AO$82,'Upper Mid-Market Segment'!AO$82,'Premium Segment'!AO$82)</f>
        <v>4924.3744227772577</v>
      </c>
      <c r="AP92" s="661">
        <f>SUM('Value Segment'!AP27,'Mid-Market Segment'!AP27,'Upper Mid-Market Segment'!AP27,'Premium Segment'!AP27)/SUM('Value Segment'!AP$82,'Mid-Market Segment'!AP$82,'Upper Mid-Market Segment'!AP$82,'Premium Segment'!AP$82)</f>
        <v>5121.9074148204363</v>
      </c>
      <c r="AQ92" s="661">
        <f>SUM('Value Segment'!AQ27,'Mid-Market Segment'!AQ27,'Upper Mid-Market Segment'!AQ27,'Premium Segment'!AQ27)/SUM('Value Segment'!AQ$82,'Mid-Market Segment'!AQ$82,'Upper Mid-Market Segment'!AQ$82,'Premium Segment'!AQ$82)</f>
        <v>5121.9074148204363</v>
      </c>
      <c r="AR92" s="661">
        <f>SUM('Value Segment'!AR27,'Mid-Market Segment'!AR27,'Upper Mid-Market Segment'!AR27,'Premium Segment'!AR27)/SUM('Value Segment'!AR$82,'Mid-Market Segment'!AR$82,'Upper Mid-Market Segment'!AR$82,'Premium Segment'!AR$82)</f>
        <v>5121.9074148204363</v>
      </c>
      <c r="AS92" s="661">
        <f>SUM('Value Segment'!AS27,'Mid-Market Segment'!AS27,'Upper Mid-Market Segment'!AS27,'Premium Segment'!AS27)/SUM('Value Segment'!AS$82,'Mid-Market Segment'!AS$82,'Upper Mid-Market Segment'!AS$82,'Premium Segment'!AS$82)</f>
        <v>5121.9074148204363</v>
      </c>
      <c r="AT92" s="661">
        <f>SUM('Value Segment'!AT27,'Mid-Market Segment'!AT27,'Upper Mid-Market Segment'!AT27,'Premium Segment'!AT27)/SUM('Value Segment'!AT$82,'Mid-Market Segment'!AT$82,'Upper Mid-Market Segment'!AT$82,'Premium Segment'!AT$82)</f>
        <v>5121.9074148204363</v>
      </c>
      <c r="AU92" s="661">
        <f>SUM('Value Segment'!AU27,'Mid-Market Segment'!AU27,'Upper Mid-Market Segment'!AU27,'Premium Segment'!AU27)/SUM('Value Segment'!AU$82,'Mid-Market Segment'!AU$82,'Upper Mid-Market Segment'!AU$82,'Premium Segment'!AU$82)</f>
        <v>5121.9074148204363</v>
      </c>
      <c r="AV92" s="661">
        <f>SUM('Value Segment'!AV27,'Mid-Market Segment'!AV27,'Upper Mid-Market Segment'!AV27,'Premium Segment'!AV27)/SUM('Value Segment'!AV$82,'Mid-Market Segment'!AV$82,'Upper Mid-Market Segment'!AV$82,'Premium Segment'!AV$82)</f>
        <v>5291.9060383265187</v>
      </c>
      <c r="AW92" s="661">
        <f>SUM('Value Segment'!AW27,'Mid-Market Segment'!AW27,'Upper Mid-Market Segment'!AW27,'Premium Segment'!AW27)/SUM('Value Segment'!AW$82,'Mid-Market Segment'!AW$82,'Upper Mid-Market Segment'!AW$82,'Premium Segment'!AW$82)</f>
        <v>5291.9060383265187</v>
      </c>
      <c r="AX92" s="661">
        <f>SUM('Value Segment'!AX27,'Mid-Market Segment'!AX27,'Upper Mid-Market Segment'!AX27,'Premium Segment'!AX27)/SUM('Value Segment'!AX$82,'Mid-Market Segment'!AX$82,'Upper Mid-Market Segment'!AX$82,'Premium Segment'!AX$82)</f>
        <v>5291.9060383265187</v>
      </c>
      <c r="AY92" s="661">
        <f>SUM('Value Segment'!AY27,'Mid-Market Segment'!AY27,'Upper Mid-Market Segment'!AY27,'Premium Segment'!AY27)/SUM('Value Segment'!AY$82,'Mid-Market Segment'!AY$82,'Upper Mid-Market Segment'!AY$82,'Premium Segment'!AY$82)</f>
        <v>5291.9060383265187</v>
      </c>
      <c r="AZ92" s="661">
        <f>SUM('Value Segment'!AZ27,'Mid-Market Segment'!AZ27,'Upper Mid-Market Segment'!AZ27,'Premium Segment'!AZ27)/SUM('Value Segment'!AZ$82,'Mid-Market Segment'!AZ$82,'Upper Mid-Market Segment'!AZ$82,'Premium Segment'!AZ$82)</f>
        <v>5291.9060383265187</v>
      </c>
      <c r="BA92" s="661">
        <f>SUM('Value Segment'!BA27,'Mid-Market Segment'!BA27,'Upper Mid-Market Segment'!BA27,'Premium Segment'!BA27)/SUM('Value Segment'!BA$82,'Mid-Market Segment'!BA$82,'Upper Mid-Market Segment'!BA$82,'Premium Segment'!BA$82)</f>
        <v>5291.9060383265187</v>
      </c>
      <c r="BB92" s="661">
        <f>SUM('Value Segment'!BB27,'Mid-Market Segment'!BB27,'Upper Mid-Market Segment'!BB27,'Premium Segment'!BB27)/SUM('Value Segment'!BB$82,'Mid-Market Segment'!BB$82,'Upper Mid-Market Segment'!BB$82,'Premium Segment'!BB$82)</f>
        <v>5466.852514388871</v>
      </c>
      <c r="BC92" s="661">
        <f>SUM('Value Segment'!BC27,'Mid-Market Segment'!BC27,'Upper Mid-Market Segment'!BC27,'Premium Segment'!BC27)/SUM('Value Segment'!BC$82,'Mid-Market Segment'!BC$82,'Upper Mid-Market Segment'!BC$82,'Premium Segment'!BC$82)</f>
        <v>5466.852514388871</v>
      </c>
      <c r="BD92" s="661">
        <f>SUM('Value Segment'!BD27,'Mid-Market Segment'!BD27,'Upper Mid-Market Segment'!BD27,'Premium Segment'!BD27)/SUM('Value Segment'!BD$82,'Mid-Market Segment'!BD$82,'Upper Mid-Market Segment'!BD$82,'Premium Segment'!BD$82)</f>
        <v>5466.852514388871</v>
      </c>
      <c r="BE92" s="661">
        <f>SUM('Value Segment'!BE27,'Mid-Market Segment'!BE27,'Upper Mid-Market Segment'!BE27,'Premium Segment'!BE27)/SUM('Value Segment'!BE$82,'Mid-Market Segment'!BE$82,'Upper Mid-Market Segment'!BE$82,'Premium Segment'!BE$82)</f>
        <v>5466.852514388871</v>
      </c>
      <c r="BF92" s="661">
        <f>SUM('Value Segment'!BF27,'Mid-Market Segment'!BF27,'Upper Mid-Market Segment'!BF27,'Premium Segment'!BF27)/SUM('Value Segment'!BF$82,'Mid-Market Segment'!BF$82,'Upper Mid-Market Segment'!BF$82,'Premium Segment'!BF$82)</f>
        <v>5466.852514388871</v>
      </c>
      <c r="BG92" s="661">
        <f>SUM('Value Segment'!BG27,'Mid-Market Segment'!BG27,'Upper Mid-Market Segment'!BG27,'Premium Segment'!BG27)/SUM('Value Segment'!BG$82,'Mid-Market Segment'!BG$82,'Upper Mid-Market Segment'!BG$82,'Premium Segment'!BG$82)</f>
        <v>5466.852514388871</v>
      </c>
      <c r="BH92" s="661">
        <f>SUM('Value Segment'!BH27,'Mid-Market Segment'!BH27,'Upper Mid-Market Segment'!BH27,'Premium Segment'!BH27)/SUM('Value Segment'!BH$82,'Mid-Market Segment'!BH$82,'Upper Mid-Market Segment'!BH$82,'Premium Segment'!BH$82)</f>
        <v>5672.127432534523</v>
      </c>
      <c r="BI92" s="661">
        <f>SUM('Value Segment'!BI27,'Mid-Market Segment'!BI27,'Upper Mid-Market Segment'!BI27,'Premium Segment'!BI27)/SUM('Value Segment'!BI$82,'Mid-Market Segment'!BI$82,'Upper Mid-Market Segment'!BI$82,'Premium Segment'!BI$82)</f>
        <v>5672.127432534523</v>
      </c>
      <c r="BJ92" s="661">
        <f>SUM('Value Segment'!BJ27,'Mid-Market Segment'!BJ27,'Upper Mid-Market Segment'!BJ27,'Premium Segment'!BJ27)/SUM('Value Segment'!BJ$82,'Mid-Market Segment'!BJ$82,'Upper Mid-Market Segment'!BJ$82,'Premium Segment'!BJ$82)</f>
        <v>5672.127432534523</v>
      </c>
      <c r="BK92" s="661">
        <f>SUM('Value Segment'!BK27,'Mid-Market Segment'!BK27,'Upper Mid-Market Segment'!BK27,'Premium Segment'!BK27)/SUM('Value Segment'!BK$82,'Mid-Market Segment'!BK$82,'Upper Mid-Market Segment'!BK$82,'Premium Segment'!BK$82)</f>
        <v>5672.127432534523</v>
      </c>
      <c r="BL92" s="661">
        <f>SUM('Value Segment'!BL27,'Mid-Market Segment'!BL27,'Upper Mid-Market Segment'!BL27,'Premium Segment'!BL27)/SUM('Value Segment'!BL$82,'Mid-Market Segment'!BL$82,'Upper Mid-Market Segment'!BL$82,'Premium Segment'!BL$82)</f>
        <v>5672.127432534523</v>
      </c>
      <c r="BM92" s="661">
        <f>SUM('Value Segment'!BM27,'Mid-Market Segment'!BM27,'Upper Mid-Market Segment'!BM27,'Premium Segment'!BM27)/SUM('Value Segment'!BM$82,'Mid-Market Segment'!BM$82,'Upper Mid-Market Segment'!BM$82,'Premium Segment'!BM$82)</f>
        <v>5672.127432534523</v>
      </c>
      <c r="BN92" s="661">
        <f>SUM('Value Segment'!BN27,'Mid-Market Segment'!BN27,'Upper Mid-Market Segment'!BN27,'Premium Segment'!BN27)/SUM('Value Segment'!BN$82,'Mid-Market Segment'!BN$82,'Upper Mid-Market Segment'!BN$82,'Premium Segment'!BN$82)</f>
        <v>5833.0408442522421</v>
      </c>
      <c r="BO92" s="661">
        <f>SUM('Value Segment'!BO27,'Mid-Market Segment'!BO27,'Upper Mid-Market Segment'!BO27,'Premium Segment'!BO27)/SUM('Value Segment'!BO$82,'Mid-Market Segment'!BO$82,'Upper Mid-Market Segment'!BO$82,'Premium Segment'!BO$82)</f>
        <v>5833.0408442522421</v>
      </c>
      <c r="BP92" s="661">
        <f>SUM('Value Segment'!BP27,'Mid-Market Segment'!BP27,'Upper Mid-Market Segment'!BP27,'Premium Segment'!BP27)/SUM('Value Segment'!BP$82,'Mid-Market Segment'!BP$82,'Upper Mid-Market Segment'!BP$82,'Premium Segment'!BP$82)</f>
        <v>5833.0408442522421</v>
      </c>
      <c r="BQ92" s="661">
        <f>SUM('Value Segment'!BQ27,'Mid-Market Segment'!BQ27,'Upper Mid-Market Segment'!BQ27,'Premium Segment'!BQ27)/SUM('Value Segment'!BQ$82,'Mid-Market Segment'!BQ$82,'Upper Mid-Market Segment'!BQ$82,'Premium Segment'!BQ$82)</f>
        <v>5833.0408442522421</v>
      </c>
      <c r="BR92" s="661">
        <f>SUM('Value Segment'!BR27,'Mid-Market Segment'!BR27,'Upper Mid-Market Segment'!BR27,'Premium Segment'!BR27)/SUM('Value Segment'!BR$82,'Mid-Market Segment'!BR$82,'Upper Mid-Market Segment'!BR$82,'Premium Segment'!BR$82)</f>
        <v>5833.0408442522421</v>
      </c>
      <c r="BS92" s="661">
        <f>SUM('Value Segment'!BS27,'Mid-Market Segment'!BS27,'Upper Mid-Market Segment'!BS27,'Premium Segment'!BS27)/SUM('Value Segment'!BS$82,'Mid-Market Segment'!BS$82,'Upper Mid-Market Segment'!BS$82,'Premium Segment'!BS$82)</f>
        <v>5833.0408442522421</v>
      </c>
      <c r="BT92" s="661">
        <f>SUM('Value Segment'!BT27,'Mid-Market Segment'!BT27,'Upper Mid-Market Segment'!BT27,'Premium Segment'!BT27)/SUM('Value Segment'!BT$82,'Mid-Market Segment'!BT$82,'Upper Mid-Market Segment'!BT$82,'Premium Segment'!BT$82)</f>
        <v>6075.9599623689273</v>
      </c>
      <c r="BU92" s="661">
        <f>SUM('Value Segment'!BU27,'Mid-Market Segment'!BU27,'Upper Mid-Market Segment'!BU27,'Premium Segment'!BU27)/SUM('Value Segment'!BU$82,'Mid-Market Segment'!BU$82,'Upper Mid-Market Segment'!BU$82,'Premium Segment'!BU$82)</f>
        <v>6075.9599623689273</v>
      </c>
      <c r="BV92" s="661">
        <f>SUM('Value Segment'!BV27,'Mid-Market Segment'!BV27,'Upper Mid-Market Segment'!BV27,'Premium Segment'!BV27)/SUM('Value Segment'!BV$82,'Mid-Market Segment'!BV$82,'Upper Mid-Market Segment'!BV$82,'Premium Segment'!BV$82)</f>
        <v>6075.9599623689273</v>
      </c>
      <c r="BW92" s="661">
        <f>SUM('Value Segment'!BW27,'Mid-Market Segment'!BW27,'Upper Mid-Market Segment'!BW27,'Premium Segment'!BW27)/SUM('Value Segment'!BW$82,'Mid-Market Segment'!BW$82,'Upper Mid-Market Segment'!BW$82,'Premium Segment'!BW$82)</f>
        <v>6075.9599623689273</v>
      </c>
      <c r="BX92" s="661">
        <f>SUM('Value Segment'!BX27,'Mid-Market Segment'!BX27,'Upper Mid-Market Segment'!BX27,'Premium Segment'!BX27)/SUM('Value Segment'!BX$82,'Mid-Market Segment'!BX$82,'Upper Mid-Market Segment'!BX$82,'Premium Segment'!BX$82)</f>
        <v>6075.9599623689273</v>
      </c>
      <c r="BY92" s="661">
        <f>SUM('Value Segment'!BY27,'Mid-Market Segment'!BY27,'Upper Mid-Market Segment'!BY27,'Premium Segment'!BY27)/SUM('Value Segment'!BY$82,'Mid-Market Segment'!BY$82,'Upper Mid-Market Segment'!BY$82,'Premium Segment'!BY$82)</f>
        <v>6075.9599623689273</v>
      </c>
      <c r="CB92" s="8"/>
    </row>
    <row r="93" spans="3:80" x14ac:dyDescent="0.3">
      <c r="C93" s="2"/>
      <c r="D93" s="2"/>
      <c r="E93" s="2" t="s">
        <v>175</v>
      </c>
      <c r="F93" s="58"/>
      <c r="G93" s="58"/>
      <c r="H93" s="58"/>
      <c r="I93" s="499">
        <f t="shared" ref="I93:N93" si="96">IFERROR(I92/I87,0)</f>
        <v>0.42019130112783765</v>
      </c>
      <c r="J93" s="499">
        <f t="shared" si="96"/>
        <v>0.42827523459276001</v>
      </c>
      <c r="K93" s="499">
        <f t="shared" si="96"/>
        <v>0.43583372851653612</v>
      </c>
      <c r="L93" s="499">
        <f t="shared" si="96"/>
        <v>0.44281671902256603</v>
      </c>
      <c r="M93" s="499">
        <f t="shared" si="96"/>
        <v>0.44921603350555356</v>
      </c>
      <c r="N93" s="499">
        <f t="shared" si="96"/>
        <v>0.4554696543818455</v>
      </c>
      <c r="O93" s="23"/>
      <c r="P93" s="50">
        <f t="shared" si="95"/>
        <v>1.6254491463012943E-2</v>
      </c>
      <c r="R93" s="499">
        <f>IFERROR(R92/R87,0)</f>
        <v>0.42825651301026846</v>
      </c>
      <c r="S93" s="531">
        <f t="shared" ref="S93:BY93" si="97">IFERROR(S92/S87,0)</f>
        <v>0.42825651301026846</v>
      </c>
      <c r="T93" s="531">
        <f t="shared" si="97"/>
        <v>0.42825651301026846</v>
      </c>
      <c r="U93" s="531">
        <f t="shared" si="97"/>
        <v>0.42825651301026846</v>
      </c>
      <c r="V93" s="531">
        <f t="shared" si="97"/>
        <v>0.42825651301026846</v>
      </c>
      <c r="W93" s="531">
        <f t="shared" si="97"/>
        <v>0.42825651301026846</v>
      </c>
      <c r="X93" s="531">
        <f t="shared" si="97"/>
        <v>0.42829352263130427</v>
      </c>
      <c r="Y93" s="531">
        <f t="shared" si="97"/>
        <v>0.42829352263130427</v>
      </c>
      <c r="Z93" s="531">
        <f t="shared" si="97"/>
        <v>0.42829352263130427</v>
      </c>
      <c r="AA93" s="531">
        <f t="shared" si="97"/>
        <v>0.42829352263130427</v>
      </c>
      <c r="AB93" s="531">
        <f t="shared" si="97"/>
        <v>0.42829352263130427</v>
      </c>
      <c r="AC93" s="531">
        <f t="shared" si="97"/>
        <v>0.42829352263130427</v>
      </c>
      <c r="AD93" s="531">
        <f t="shared" si="97"/>
        <v>0.43580911202717432</v>
      </c>
      <c r="AE93" s="531">
        <f t="shared" si="97"/>
        <v>0.43580911202717432</v>
      </c>
      <c r="AF93" s="531">
        <f t="shared" si="97"/>
        <v>0.43580911202717432</v>
      </c>
      <c r="AG93" s="531">
        <f t="shared" si="97"/>
        <v>0.43580911202717432</v>
      </c>
      <c r="AH93" s="531">
        <f t="shared" si="97"/>
        <v>0.43580911202717432</v>
      </c>
      <c r="AI93" s="531">
        <f t="shared" si="97"/>
        <v>0.43580911202717432</v>
      </c>
      <c r="AJ93" s="531">
        <f t="shared" si="97"/>
        <v>0.43585766300388473</v>
      </c>
      <c r="AK93" s="531">
        <f t="shared" si="97"/>
        <v>0.43585766300388473</v>
      </c>
      <c r="AL93" s="531">
        <f t="shared" si="97"/>
        <v>0.43585766300388473</v>
      </c>
      <c r="AM93" s="531">
        <f t="shared" si="97"/>
        <v>0.43585766300388473</v>
      </c>
      <c r="AN93" s="531">
        <f t="shared" si="97"/>
        <v>0.43585766300388473</v>
      </c>
      <c r="AO93" s="531">
        <f t="shared" si="97"/>
        <v>0.43585766300388473</v>
      </c>
      <c r="AP93" s="531">
        <f t="shared" si="97"/>
        <v>0.44278650127775793</v>
      </c>
      <c r="AQ93" s="531">
        <f t="shared" si="97"/>
        <v>0.44278650127775793</v>
      </c>
      <c r="AR93" s="531">
        <f t="shared" si="97"/>
        <v>0.44278650127775793</v>
      </c>
      <c r="AS93" s="531">
        <f t="shared" si="97"/>
        <v>0.44278650127775793</v>
      </c>
      <c r="AT93" s="531">
        <f t="shared" si="97"/>
        <v>0.44278650127775793</v>
      </c>
      <c r="AU93" s="531">
        <f t="shared" si="97"/>
        <v>0.44278650127775793</v>
      </c>
      <c r="AV93" s="531">
        <f t="shared" si="97"/>
        <v>0.44284596997239029</v>
      </c>
      <c r="AW93" s="531">
        <f t="shared" si="97"/>
        <v>0.44284596997239029</v>
      </c>
      <c r="AX93" s="531">
        <f t="shared" si="97"/>
        <v>0.44284596997239029</v>
      </c>
      <c r="AY93" s="531">
        <f t="shared" si="97"/>
        <v>0.44284596997239029</v>
      </c>
      <c r="AZ93" s="531">
        <f t="shared" si="97"/>
        <v>0.44284596997239029</v>
      </c>
      <c r="BA93" s="531">
        <f t="shared" si="97"/>
        <v>0.44284596997239029</v>
      </c>
      <c r="BB93" s="531">
        <f t="shared" si="97"/>
        <v>0.44918059178836395</v>
      </c>
      <c r="BC93" s="531">
        <f t="shared" si="97"/>
        <v>0.44918059178836395</v>
      </c>
      <c r="BD93" s="531">
        <f t="shared" si="97"/>
        <v>0.44918059178836395</v>
      </c>
      <c r="BE93" s="531">
        <f t="shared" si="97"/>
        <v>0.44918059178836395</v>
      </c>
      <c r="BF93" s="531">
        <f t="shared" si="97"/>
        <v>0.44918059178836395</v>
      </c>
      <c r="BG93" s="531">
        <f t="shared" si="97"/>
        <v>0.44918059178836395</v>
      </c>
      <c r="BH93" s="531">
        <f t="shared" si="97"/>
        <v>0.44925019787645576</v>
      </c>
      <c r="BI93" s="531">
        <f t="shared" si="97"/>
        <v>0.44925019787645576</v>
      </c>
      <c r="BJ93" s="531">
        <f t="shared" si="97"/>
        <v>0.44925019787645576</v>
      </c>
      <c r="BK93" s="531">
        <f t="shared" si="97"/>
        <v>0.44925019787645576</v>
      </c>
      <c r="BL93" s="531">
        <f t="shared" si="97"/>
        <v>0.44925019787645576</v>
      </c>
      <c r="BM93" s="531">
        <f t="shared" si="97"/>
        <v>0.44925019787645576</v>
      </c>
      <c r="BN93" s="531">
        <f t="shared" si="97"/>
        <v>0.45542943114348444</v>
      </c>
      <c r="BO93" s="531">
        <f t="shared" si="97"/>
        <v>0.45542943114348444</v>
      </c>
      <c r="BP93" s="531">
        <f t="shared" si="97"/>
        <v>0.45542943114348444</v>
      </c>
      <c r="BQ93" s="531">
        <f t="shared" si="97"/>
        <v>0.45542943114348444</v>
      </c>
      <c r="BR93" s="531">
        <f t="shared" si="97"/>
        <v>0.45542943114348444</v>
      </c>
      <c r="BS93" s="531">
        <f t="shared" si="97"/>
        <v>0.45542943114348444</v>
      </c>
      <c r="BT93" s="531">
        <f t="shared" si="97"/>
        <v>0.4555082761654532</v>
      </c>
      <c r="BU93" s="531">
        <f t="shared" si="97"/>
        <v>0.4555082761654532</v>
      </c>
      <c r="BV93" s="531">
        <f t="shared" si="97"/>
        <v>0.4555082761654532</v>
      </c>
      <c r="BW93" s="531">
        <f t="shared" si="97"/>
        <v>0.4555082761654532</v>
      </c>
      <c r="BX93" s="531">
        <f t="shared" si="97"/>
        <v>0.4555082761654532</v>
      </c>
      <c r="BY93" s="531">
        <f t="shared" si="97"/>
        <v>0.4555082761654532</v>
      </c>
    </row>
    <row r="94" spans="3:80" x14ac:dyDescent="0.3">
      <c r="C94" s="2"/>
      <c r="D94" s="2"/>
      <c r="E94" s="2"/>
      <c r="F94" s="58"/>
      <c r="G94" s="58"/>
      <c r="H94" s="58"/>
      <c r="I94" s="37"/>
      <c r="J94" s="37"/>
      <c r="K94" s="37"/>
      <c r="L94" s="37"/>
      <c r="M94" s="37"/>
      <c r="N94" s="37"/>
      <c r="O94" s="37"/>
      <c r="P94" s="35"/>
      <c r="R94" s="37"/>
      <c r="S94" s="37"/>
      <c r="T94" s="37"/>
      <c r="U94" s="37"/>
      <c r="V94" s="37"/>
      <c r="W94" s="37"/>
      <c r="X94" s="37"/>
      <c r="Y94" s="37"/>
      <c r="Z94" s="37"/>
      <c r="AA94" s="37"/>
      <c r="AB94" s="37"/>
      <c r="AC94" s="37"/>
      <c r="AD94" s="37"/>
      <c r="AE94" s="37"/>
      <c r="AF94" s="37"/>
      <c r="AG94" s="37"/>
      <c r="AH94" s="37"/>
      <c r="AI94" s="37"/>
      <c r="AJ94" s="37"/>
      <c r="AK94" s="37"/>
      <c r="AL94" s="37"/>
      <c r="AM94" s="37"/>
      <c r="AN94" s="37"/>
      <c r="AO94" s="37"/>
      <c r="AP94" s="37"/>
      <c r="AQ94" s="37"/>
      <c r="AR94" s="37"/>
      <c r="AS94" s="37"/>
      <c r="AT94" s="37"/>
      <c r="AU94" s="37"/>
      <c r="AV94" s="37"/>
      <c r="AW94" s="37"/>
      <c r="AX94" s="37"/>
      <c r="AY94" s="37"/>
      <c r="AZ94" s="37"/>
      <c r="BA94" s="37"/>
      <c r="BB94" s="37"/>
      <c r="BC94" s="37"/>
      <c r="BD94" s="37"/>
      <c r="BE94" s="37"/>
      <c r="BF94" s="37"/>
      <c r="BG94" s="37"/>
      <c r="BH94" s="37"/>
      <c r="BI94" s="37"/>
      <c r="BJ94" s="37"/>
      <c r="BK94" s="37"/>
      <c r="BL94" s="37"/>
      <c r="BM94" s="37"/>
      <c r="BN94" s="37"/>
      <c r="BO94" s="37"/>
      <c r="BP94" s="37"/>
      <c r="BQ94" s="37"/>
      <c r="BR94" s="37"/>
      <c r="BS94" s="37"/>
      <c r="BT94" s="37"/>
      <c r="BU94" s="37"/>
      <c r="BV94" s="37"/>
      <c r="BW94" s="37"/>
      <c r="BX94" s="37"/>
      <c r="BY94" s="37"/>
    </row>
    <row r="95" spans="3:80" x14ac:dyDescent="0.3">
      <c r="C95" s="2"/>
      <c r="D95" s="2"/>
      <c r="E95" s="17" t="s">
        <v>23</v>
      </c>
      <c r="F95" s="37"/>
      <c r="G95" s="37"/>
      <c r="H95" s="37"/>
      <c r="I95" s="37"/>
      <c r="J95" s="37"/>
      <c r="K95" s="37"/>
      <c r="L95" s="37"/>
      <c r="M95" s="37"/>
      <c r="N95" s="37"/>
      <c r="O95" s="37"/>
      <c r="P95" s="35"/>
      <c r="R95" s="37"/>
      <c r="S95" s="37"/>
      <c r="T95" s="37"/>
      <c r="U95" s="37"/>
      <c r="V95" s="37"/>
      <c r="W95" s="37"/>
      <c r="X95" s="37"/>
      <c r="Y95" s="37"/>
      <c r="Z95" s="37"/>
      <c r="AA95" s="37"/>
      <c r="AB95" s="37"/>
      <c r="AC95" s="37"/>
      <c r="AD95" s="37"/>
      <c r="AE95" s="37"/>
      <c r="AF95" s="37"/>
      <c r="AG95" s="37"/>
      <c r="AH95" s="37"/>
      <c r="AI95" s="37"/>
      <c r="AJ95" s="37"/>
      <c r="AK95" s="37"/>
      <c r="AL95" s="37"/>
      <c r="AM95" s="37"/>
      <c r="AN95" s="37"/>
      <c r="AO95" s="37"/>
      <c r="AP95" s="37"/>
      <c r="AQ95" s="37"/>
      <c r="AR95" s="37"/>
      <c r="AS95" s="37"/>
      <c r="AT95" s="37"/>
      <c r="AU95" s="37"/>
      <c r="AV95" s="37"/>
      <c r="AW95" s="37"/>
      <c r="AX95" s="37"/>
      <c r="AY95" s="37"/>
      <c r="AZ95" s="37"/>
      <c r="BA95" s="37"/>
      <c r="BB95" s="37"/>
      <c r="BC95" s="37"/>
      <c r="BD95" s="37"/>
      <c r="BE95" s="37"/>
      <c r="BF95" s="37"/>
      <c r="BG95" s="37"/>
      <c r="BH95" s="37"/>
      <c r="BI95" s="37"/>
      <c r="BJ95" s="37"/>
      <c r="BK95" s="37"/>
      <c r="BL95" s="37"/>
      <c r="BM95" s="37"/>
      <c r="BN95" s="37"/>
      <c r="BO95" s="37"/>
      <c r="BP95" s="37"/>
      <c r="BQ95" s="37"/>
      <c r="BR95" s="37"/>
      <c r="BS95" s="37"/>
      <c r="BT95" s="37"/>
      <c r="BU95" s="37"/>
      <c r="BV95" s="37"/>
      <c r="BW95" s="37"/>
      <c r="BX95" s="37"/>
      <c r="BY95" s="37"/>
    </row>
    <row r="96" spans="3:80" x14ac:dyDescent="0.3">
      <c r="C96" s="2"/>
      <c r="D96" s="2"/>
      <c r="E96" s="4" t="s">
        <v>391</v>
      </c>
      <c r="F96" s="5"/>
      <c r="G96" s="5"/>
      <c r="H96" s="5"/>
      <c r="I96" s="507">
        <f>SUM('Value Segment'!I31,'Mid-Market Segment'!I31,'Upper Mid-Market Segment'!I31,'Premium Segment'!I31)/SUM('Value Segment'!I$82,'Mid-Market Segment'!I$82,'Upper Mid-Market Segment'!I$82,'Premium Segment'!I$82)</f>
        <v>9999.7879492190496</v>
      </c>
      <c r="J96" s="507">
        <f>SUM('Value Segment'!J31,'Mid-Market Segment'!J31,'Upper Mid-Market Segment'!J31,'Premium Segment'!J31)/SUM('Value Segment'!J$82,'Mid-Market Segment'!J$82,'Upper Mid-Market Segment'!J$82,'Premium Segment'!J$82)</f>
        <v>10118.080443235731</v>
      </c>
      <c r="K96" s="507">
        <f>SUM('Value Segment'!K31,'Mid-Market Segment'!K31,'Upper Mid-Market Segment'!K31,'Premium Segment'!K31)/SUM('Value Segment'!K$82,'Mid-Market Segment'!K$82,'Upper Mid-Market Segment'!K$82,'Premium Segment'!K$82)</f>
        <v>10320.181696199939</v>
      </c>
      <c r="L96" s="507">
        <f>SUM('Value Segment'!L31,'Mid-Market Segment'!L31,'Upper Mid-Market Segment'!L31,'Premium Segment'!L31)/SUM('Value Segment'!L$82,'Mid-Market Segment'!L$82,'Upper Mid-Market Segment'!L$82,'Premium Segment'!L$82)</f>
        <v>10520.592610225596</v>
      </c>
      <c r="M96" s="507">
        <f>SUM('Value Segment'!M31,'Mid-Market Segment'!M31,'Upper Mid-Market Segment'!M31,'Premium Segment'!M31)/SUM('Value Segment'!M$82,'Mid-Market Segment'!M$82,'Upper Mid-Market Segment'!M$82,'Premium Segment'!M$82)</f>
        <v>10729.075024021651</v>
      </c>
      <c r="N96" s="507">
        <f>SUM('Value Segment'!N31,'Mid-Market Segment'!N31,'Upper Mid-Market Segment'!N31,'Premium Segment'!N31)/SUM('Value Segment'!N$82,'Mid-Market Segment'!N$82,'Upper Mid-Market Segment'!N$82,'Premium Segment'!N$82)</f>
        <v>10941.946861382108</v>
      </c>
      <c r="O96" s="57"/>
      <c r="P96" s="55">
        <f t="shared" ref="P96:P102" si="98">IFERROR(((N96/I96)^(1/5))-1,0)</f>
        <v>1.8171091496453462E-2</v>
      </c>
      <c r="R96" s="507">
        <f>SUM('Value Segment'!R31,'Mid-Market Segment'!R31,'Upper Mid-Market Segment'!R31,'Premium Segment'!R31)/SUM('Value Segment'!R$82,'Mid-Market Segment'!R$82,'Upper Mid-Market Segment'!R$82,'Premium Segment'!R$82)</f>
        <v>833.31566243492091</v>
      </c>
      <c r="S96" s="661">
        <f>SUM('Value Segment'!S31,'Mid-Market Segment'!S31,'Upper Mid-Market Segment'!S31,'Premium Segment'!S31)/SUM('Value Segment'!S$82,'Mid-Market Segment'!S$82,'Upper Mid-Market Segment'!S$82,'Premium Segment'!S$82)</f>
        <v>833.31566243492091</v>
      </c>
      <c r="T96" s="661">
        <f>SUM('Value Segment'!T31,'Mid-Market Segment'!T31,'Upper Mid-Market Segment'!T31,'Premium Segment'!T31)/SUM('Value Segment'!T$82,'Mid-Market Segment'!T$82,'Upper Mid-Market Segment'!T$82,'Premium Segment'!T$82)</f>
        <v>833.31566243492091</v>
      </c>
      <c r="U96" s="661">
        <f>SUM('Value Segment'!U31,'Mid-Market Segment'!U31,'Upper Mid-Market Segment'!U31,'Premium Segment'!U31)/SUM('Value Segment'!U$82,'Mid-Market Segment'!U$82,'Upper Mid-Market Segment'!U$82,'Premium Segment'!U$82)</f>
        <v>833.31566243492091</v>
      </c>
      <c r="V96" s="661">
        <f>SUM('Value Segment'!V31,'Mid-Market Segment'!V31,'Upper Mid-Market Segment'!V31,'Premium Segment'!V31)/SUM('Value Segment'!V$82,'Mid-Market Segment'!V$82,'Upper Mid-Market Segment'!V$82,'Premium Segment'!V$82)</f>
        <v>833.31566243492091</v>
      </c>
      <c r="W96" s="661">
        <f>SUM('Value Segment'!W31,'Mid-Market Segment'!W31,'Upper Mid-Market Segment'!W31,'Premium Segment'!W31)/SUM('Value Segment'!W$82,'Mid-Market Segment'!W$82,'Upper Mid-Market Segment'!W$82,'Premium Segment'!W$82)</f>
        <v>833.31566243492091</v>
      </c>
      <c r="X96" s="661">
        <f>SUM('Value Segment'!X31,'Mid-Market Segment'!X31,'Upper Mid-Market Segment'!X31,'Premium Segment'!X31)/SUM('Value Segment'!X$82,'Mid-Market Segment'!X$82,'Upper Mid-Market Segment'!X$82,'Premium Segment'!X$82)</f>
        <v>853.03107810436779</v>
      </c>
      <c r="Y96" s="661">
        <f>SUM('Value Segment'!Y31,'Mid-Market Segment'!Y31,'Upper Mid-Market Segment'!Y31,'Premium Segment'!Y31)/SUM('Value Segment'!Y$82,'Mid-Market Segment'!Y$82,'Upper Mid-Market Segment'!Y$82,'Premium Segment'!Y$82)</f>
        <v>853.03107810436779</v>
      </c>
      <c r="Z96" s="661">
        <f>SUM('Value Segment'!Z31,'Mid-Market Segment'!Z31,'Upper Mid-Market Segment'!Z31,'Premium Segment'!Z31)/SUM('Value Segment'!Z$82,'Mid-Market Segment'!Z$82,'Upper Mid-Market Segment'!Z$82,'Premium Segment'!Z$82)</f>
        <v>853.03107810436779</v>
      </c>
      <c r="AA96" s="661">
        <f>SUM('Value Segment'!AA31,'Mid-Market Segment'!AA31,'Upper Mid-Market Segment'!AA31,'Premium Segment'!AA31)/SUM('Value Segment'!AA$82,'Mid-Market Segment'!AA$82,'Upper Mid-Market Segment'!AA$82,'Premium Segment'!AA$82)</f>
        <v>853.03107810436779</v>
      </c>
      <c r="AB96" s="661">
        <f>SUM('Value Segment'!AB31,'Mid-Market Segment'!AB31,'Upper Mid-Market Segment'!AB31,'Premium Segment'!AB31)/SUM('Value Segment'!AB$82,'Mid-Market Segment'!AB$82,'Upper Mid-Market Segment'!AB$82,'Premium Segment'!AB$82)</f>
        <v>853.03107810436779</v>
      </c>
      <c r="AC96" s="661">
        <f>SUM('Value Segment'!AC31,'Mid-Market Segment'!AC31,'Upper Mid-Market Segment'!AC31,'Premium Segment'!AC31)/SUM('Value Segment'!AC$82,'Mid-Market Segment'!AC$82,'Upper Mid-Market Segment'!AC$82,'Premium Segment'!AC$82)</f>
        <v>853.03107810436779</v>
      </c>
      <c r="AD96" s="661">
        <f>SUM('Value Segment'!AD31,'Mid-Market Segment'!AD31,'Upper Mid-Market Segment'!AD31,'Premium Segment'!AD31)/SUM('Value Segment'!AD$82,'Mid-Market Segment'!AD$82,'Upper Mid-Market Segment'!AD$82,'Premium Segment'!AD$82)</f>
        <v>847.96478437911355</v>
      </c>
      <c r="AE96" s="661">
        <f>SUM('Value Segment'!AE31,'Mid-Market Segment'!AE31,'Upper Mid-Market Segment'!AE31,'Premium Segment'!AE31)/SUM('Value Segment'!AE$82,'Mid-Market Segment'!AE$82,'Upper Mid-Market Segment'!AE$82,'Premium Segment'!AE$82)</f>
        <v>847.96478437911355</v>
      </c>
      <c r="AF96" s="661">
        <f>SUM('Value Segment'!AF31,'Mid-Market Segment'!AF31,'Upper Mid-Market Segment'!AF31,'Premium Segment'!AF31)/SUM('Value Segment'!AF$82,'Mid-Market Segment'!AF$82,'Upper Mid-Market Segment'!AF$82,'Premium Segment'!AF$82)</f>
        <v>847.96478437911355</v>
      </c>
      <c r="AG96" s="661">
        <f>SUM('Value Segment'!AG31,'Mid-Market Segment'!AG31,'Upper Mid-Market Segment'!AG31,'Premium Segment'!AG31)/SUM('Value Segment'!AG$82,'Mid-Market Segment'!AG$82,'Upper Mid-Market Segment'!AG$82,'Premium Segment'!AG$82)</f>
        <v>847.96478437911355</v>
      </c>
      <c r="AH96" s="661">
        <f>SUM('Value Segment'!AH31,'Mid-Market Segment'!AH31,'Upper Mid-Market Segment'!AH31,'Premium Segment'!AH31)/SUM('Value Segment'!AH$82,'Mid-Market Segment'!AH$82,'Upper Mid-Market Segment'!AH$82,'Premium Segment'!AH$82)</f>
        <v>847.96478437911355</v>
      </c>
      <c r="AI96" s="661">
        <f>SUM('Value Segment'!AI31,'Mid-Market Segment'!AI31,'Upper Mid-Market Segment'!AI31,'Premium Segment'!AI31)/SUM('Value Segment'!AI$82,'Mid-Market Segment'!AI$82,'Upper Mid-Market Segment'!AI$82,'Premium Segment'!AI$82)</f>
        <v>847.96478437911355</v>
      </c>
      <c r="AJ96" s="661">
        <f>SUM('Value Segment'!AJ31,'Mid-Market Segment'!AJ31,'Upper Mid-Market Segment'!AJ31,'Premium Segment'!AJ31)/SUM('Value Segment'!AJ$82,'Mid-Market Segment'!AJ$82,'Upper Mid-Market Segment'!AJ$82,'Premium Segment'!AJ$82)</f>
        <v>872.06549832087637</v>
      </c>
      <c r="AK96" s="661">
        <f>SUM('Value Segment'!AK31,'Mid-Market Segment'!AK31,'Upper Mid-Market Segment'!AK31,'Premium Segment'!AK31)/SUM('Value Segment'!AK$82,'Mid-Market Segment'!AK$82,'Upper Mid-Market Segment'!AK$82,'Premium Segment'!AK$82)</f>
        <v>872.06549832087637</v>
      </c>
      <c r="AL96" s="661">
        <f>SUM('Value Segment'!AL31,'Mid-Market Segment'!AL31,'Upper Mid-Market Segment'!AL31,'Premium Segment'!AL31)/SUM('Value Segment'!AL$82,'Mid-Market Segment'!AL$82,'Upper Mid-Market Segment'!AL$82,'Premium Segment'!AL$82)</f>
        <v>872.06549832087637</v>
      </c>
      <c r="AM96" s="661">
        <f>SUM('Value Segment'!AM31,'Mid-Market Segment'!AM31,'Upper Mid-Market Segment'!AM31,'Premium Segment'!AM31)/SUM('Value Segment'!AM$82,'Mid-Market Segment'!AM$82,'Upper Mid-Market Segment'!AM$82,'Premium Segment'!AM$82)</f>
        <v>872.06549832087637</v>
      </c>
      <c r="AN96" s="661">
        <f>SUM('Value Segment'!AN31,'Mid-Market Segment'!AN31,'Upper Mid-Market Segment'!AN31,'Premium Segment'!AN31)/SUM('Value Segment'!AN$82,'Mid-Market Segment'!AN$82,'Upper Mid-Market Segment'!AN$82,'Premium Segment'!AN$82)</f>
        <v>872.06549832087637</v>
      </c>
      <c r="AO96" s="661">
        <f>SUM('Value Segment'!AO31,'Mid-Market Segment'!AO31,'Upper Mid-Market Segment'!AO31,'Premium Segment'!AO31)/SUM('Value Segment'!AO$82,'Mid-Market Segment'!AO$82,'Upper Mid-Market Segment'!AO$82,'Premium Segment'!AO$82)</f>
        <v>872.06549832087637</v>
      </c>
      <c r="AP96" s="661">
        <f>SUM('Value Segment'!AP31,'Mid-Market Segment'!AP31,'Upper Mid-Market Segment'!AP31,'Premium Segment'!AP31)/SUM('Value Segment'!AP$82,'Mid-Market Segment'!AP$82,'Upper Mid-Market Segment'!AP$82,'Premium Segment'!AP$82)</f>
        <v>862.50382956605256</v>
      </c>
      <c r="AQ96" s="661">
        <f>SUM('Value Segment'!AQ31,'Mid-Market Segment'!AQ31,'Upper Mid-Market Segment'!AQ31,'Premium Segment'!AQ31)/SUM('Value Segment'!AQ$82,'Mid-Market Segment'!AQ$82,'Upper Mid-Market Segment'!AQ$82,'Premium Segment'!AQ$82)</f>
        <v>862.50382956605256</v>
      </c>
      <c r="AR96" s="661">
        <f>SUM('Value Segment'!AR31,'Mid-Market Segment'!AR31,'Upper Mid-Market Segment'!AR31,'Premium Segment'!AR31)/SUM('Value Segment'!AR$82,'Mid-Market Segment'!AR$82,'Upper Mid-Market Segment'!AR$82,'Premium Segment'!AR$82)</f>
        <v>862.50382956605256</v>
      </c>
      <c r="AS96" s="661">
        <f>SUM('Value Segment'!AS31,'Mid-Market Segment'!AS31,'Upper Mid-Market Segment'!AS31,'Premium Segment'!AS31)/SUM('Value Segment'!AS$82,'Mid-Market Segment'!AS$82,'Upper Mid-Market Segment'!AS$82,'Premium Segment'!AS$82)</f>
        <v>862.50382956605256</v>
      </c>
      <c r="AT96" s="661">
        <f>SUM('Value Segment'!AT31,'Mid-Market Segment'!AT31,'Upper Mid-Market Segment'!AT31,'Premium Segment'!AT31)/SUM('Value Segment'!AT$82,'Mid-Market Segment'!AT$82,'Upper Mid-Market Segment'!AT$82,'Premium Segment'!AT$82)</f>
        <v>862.50382956605256</v>
      </c>
      <c r="AU96" s="661">
        <f>SUM('Value Segment'!AU31,'Mid-Market Segment'!AU31,'Upper Mid-Market Segment'!AU31,'Premium Segment'!AU31)/SUM('Value Segment'!AU$82,'Mid-Market Segment'!AU$82,'Upper Mid-Market Segment'!AU$82,'Premium Segment'!AU$82)</f>
        <v>862.50382956605256</v>
      </c>
      <c r="AV96" s="661">
        <f>SUM('Value Segment'!AV31,'Mid-Market Segment'!AV31,'Upper Mid-Market Segment'!AV31,'Premium Segment'!AV31)/SUM('Value Segment'!AV$82,'Mid-Market Segment'!AV$82,'Upper Mid-Market Segment'!AV$82,'Premium Segment'!AV$82)</f>
        <v>890.9282721382134</v>
      </c>
      <c r="AW96" s="661">
        <f>SUM('Value Segment'!AW31,'Mid-Market Segment'!AW31,'Upper Mid-Market Segment'!AW31,'Premium Segment'!AW31)/SUM('Value Segment'!AW$82,'Mid-Market Segment'!AW$82,'Upper Mid-Market Segment'!AW$82,'Premium Segment'!AW$82)</f>
        <v>890.9282721382134</v>
      </c>
      <c r="AX96" s="661">
        <f>SUM('Value Segment'!AX31,'Mid-Market Segment'!AX31,'Upper Mid-Market Segment'!AX31,'Premium Segment'!AX31)/SUM('Value Segment'!AX$82,'Mid-Market Segment'!AX$82,'Upper Mid-Market Segment'!AX$82,'Premium Segment'!AX$82)</f>
        <v>890.9282721382134</v>
      </c>
      <c r="AY96" s="661">
        <f>SUM('Value Segment'!AY31,'Mid-Market Segment'!AY31,'Upper Mid-Market Segment'!AY31,'Premium Segment'!AY31)/SUM('Value Segment'!AY$82,'Mid-Market Segment'!AY$82,'Upper Mid-Market Segment'!AY$82,'Premium Segment'!AY$82)</f>
        <v>890.9282721382134</v>
      </c>
      <c r="AZ96" s="661">
        <f>SUM('Value Segment'!AZ31,'Mid-Market Segment'!AZ31,'Upper Mid-Market Segment'!AZ31,'Premium Segment'!AZ31)/SUM('Value Segment'!AZ$82,'Mid-Market Segment'!AZ$82,'Upper Mid-Market Segment'!AZ$82,'Premium Segment'!AZ$82)</f>
        <v>890.9282721382134</v>
      </c>
      <c r="BA96" s="661">
        <f>SUM('Value Segment'!BA31,'Mid-Market Segment'!BA31,'Upper Mid-Market Segment'!BA31,'Premium Segment'!BA31)/SUM('Value Segment'!BA$82,'Mid-Market Segment'!BA$82,'Upper Mid-Market Segment'!BA$82,'Premium Segment'!BA$82)</f>
        <v>890.9282721382134</v>
      </c>
      <c r="BB96" s="661">
        <f>SUM('Value Segment'!BB31,'Mid-Market Segment'!BB31,'Upper Mid-Market Segment'!BB31,'Premium Segment'!BB31)/SUM('Value Segment'!BB$82,'Mid-Market Segment'!BB$82,'Upper Mid-Market Segment'!BB$82,'Premium Segment'!BB$82)</f>
        <v>877.7325991489754</v>
      </c>
      <c r="BC96" s="661">
        <f>SUM('Value Segment'!BC31,'Mid-Market Segment'!BC31,'Upper Mid-Market Segment'!BC31,'Premium Segment'!BC31)/SUM('Value Segment'!BC$82,'Mid-Market Segment'!BC$82,'Upper Mid-Market Segment'!BC$82,'Premium Segment'!BC$82)</f>
        <v>877.7325991489754</v>
      </c>
      <c r="BD96" s="661">
        <f>SUM('Value Segment'!BD31,'Mid-Market Segment'!BD31,'Upper Mid-Market Segment'!BD31,'Premium Segment'!BD31)/SUM('Value Segment'!BD$82,'Mid-Market Segment'!BD$82,'Upper Mid-Market Segment'!BD$82,'Premium Segment'!BD$82)</f>
        <v>877.7325991489754</v>
      </c>
      <c r="BE96" s="661">
        <f>SUM('Value Segment'!BE31,'Mid-Market Segment'!BE31,'Upper Mid-Market Segment'!BE31,'Premium Segment'!BE31)/SUM('Value Segment'!BE$82,'Mid-Market Segment'!BE$82,'Upper Mid-Market Segment'!BE$82,'Premium Segment'!BE$82)</f>
        <v>877.7325991489754</v>
      </c>
      <c r="BF96" s="661">
        <f>SUM('Value Segment'!BF31,'Mid-Market Segment'!BF31,'Upper Mid-Market Segment'!BF31,'Premium Segment'!BF31)/SUM('Value Segment'!BF$82,'Mid-Market Segment'!BF$82,'Upper Mid-Market Segment'!BF$82,'Premium Segment'!BF$82)</f>
        <v>877.7325991489754</v>
      </c>
      <c r="BG96" s="661">
        <f>SUM('Value Segment'!BG31,'Mid-Market Segment'!BG31,'Upper Mid-Market Segment'!BG31,'Premium Segment'!BG31)/SUM('Value Segment'!BG$82,'Mid-Market Segment'!BG$82,'Upper Mid-Market Segment'!BG$82,'Premium Segment'!BG$82)</f>
        <v>877.7325991489754</v>
      </c>
      <c r="BH96" s="661">
        <f>SUM('Value Segment'!BH31,'Mid-Market Segment'!BH31,'Upper Mid-Market Segment'!BH31,'Premium Segment'!BH31)/SUM('Value Segment'!BH$82,'Mid-Market Segment'!BH$82,'Upper Mid-Market Segment'!BH$82,'Premium Segment'!BH$82)</f>
        <v>910.44657152129957</v>
      </c>
      <c r="BI96" s="661">
        <f>SUM('Value Segment'!BI31,'Mid-Market Segment'!BI31,'Upper Mid-Market Segment'!BI31,'Premium Segment'!BI31)/SUM('Value Segment'!BI$82,'Mid-Market Segment'!BI$82,'Upper Mid-Market Segment'!BI$82,'Premium Segment'!BI$82)</f>
        <v>910.44657152129957</v>
      </c>
      <c r="BJ96" s="661">
        <f>SUM('Value Segment'!BJ31,'Mid-Market Segment'!BJ31,'Upper Mid-Market Segment'!BJ31,'Premium Segment'!BJ31)/SUM('Value Segment'!BJ$82,'Mid-Market Segment'!BJ$82,'Upper Mid-Market Segment'!BJ$82,'Premium Segment'!BJ$82)</f>
        <v>910.44657152129957</v>
      </c>
      <c r="BK96" s="661">
        <f>SUM('Value Segment'!BK31,'Mid-Market Segment'!BK31,'Upper Mid-Market Segment'!BK31,'Premium Segment'!BK31)/SUM('Value Segment'!BK$82,'Mid-Market Segment'!BK$82,'Upper Mid-Market Segment'!BK$82,'Premium Segment'!BK$82)</f>
        <v>910.44657152129957</v>
      </c>
      <c r="BL96" s="661">
        <f>SUM('Value Segment'!BL31,'Mid-Market Segment'!BL31,'Upper Mid-Market Segment'!BL31,'Premium Segment'!BL31)/SUM('Value Segment'!BL$82,'Mid-Market Segment'!BL$82,'Upper Mid-Market Segment'!BL$82,'Premium Segment'!BL$82)</f>
        <v>910.44657152129957</v>
      </c>
      <c r="BM96" s="661">
        <f>SUM('Value Segment'!BM31,'Mid-Market Segment'!BM31,'Upper Mid-Market Segment'!BM31,'Premium Segment'!BM31)/SUM('Value Segment'!BM$82,'Mid-Market Segment'!BM$82,'Upper Mid-Market Segment'!BM$82,'Premium Segment'!BM$82)</f>
        <v>910.44657152129957</v>
      </c>
      <c r="BN96" s="661">
        <f>SUM('Value Segment'!BN31,'Mid-Market Segment'!BN31,'Upper Mid-Market Segment'!BN31,'Premium Segment'!BN31)/SUM('Value Segment'!BN$82,'Mid-Market Segment'!BN$82,'Upper Mid-Market Segment'!BN$82,'Premium Segment'!BN$82)</f>
        <v>893.36788024444979</v>
      </c>
      <c r="BO96" s="661">
        <f>SUM('Value Segment'!BO31,'Mid-Market Segment'!BO31,'Upper Mid-Market Segment'!BO31,'Premium Segment'!BO31)/SUM('Value Segment'!BO$82,'Mid-Market Segment'!BO$82,'Upper Mid-Market Segment'!BO$82,'Premium Segment'!BO$82)</f>
        <v>893.36788024444979</v>
      </c>
      <c r="BP96" s="661">
        <f>SUM('Value Segment'!BP31,'Mid-Market Segment'!BP31,'Upper Mid-Market Segment'!BP31,'Premium Segment'!BP31)/SUM('Value Segment'!BP$82,'Mid-Market Segment'!BP$82,'Upper Mid-Market Segment'!BP$82,'Premium Segment'!BP$82)</f>
        <v>893.36788024444979</v>
      </c>
      <c r="BQ96" s="661">
        <f>SUM('Value Segment'!BQ31,'Mid-Market Segment'!BQ31,'Upper Mid-Market Segment'!BQ31,'Premium Segment'!BQ31)/SUM('Value Segment'!BQ$82,'Mid-Market Segment'!BQ$82,'Upper Mid-Market Segment'!BQ$82,'Premium Segment'!BQ$82)</f>
        <v>893.36788024444979</v>
      </c>
      <c r="BR96" s="661">
        <f>SUM('Value Segment'!BR31,'Mid-Market Segment'!BR31,'Upper Mid-Market Segment'!BR31,'Premium Segment'!BR31)/SUM('Value Segment'!BR$82,'Mid-Market Segment'!BR$82,'Upper Mid-Market Segment'!BR$82,'Premium Segment'!BR$82)</f>
        <v>893.36788024444979</v>
      </c>
      <c r="BS96" s="661">
        <f>SUM('Value Segment'!BS31,'Mid-Market Segment'!BS31,'Upper Mid-Market Segment'!BS31,'Premium Segment'!BS31)/SUM('Value Segment'!BS$82,'Mid-Market Segment'!BS$82,'Upper Mid-Market Segment'!BS$82,'Premium Segment'!BS$82)</f>
        <v>893.36788024444979</v>
      </c>
      <c r="BT96" s="661">
        <f>SUM('Value Segment'!BT31,'Mid-Market Segment'!BT31,'Upper Mid-Market Segment'!BT31,'Premium Segment'!BT31)/SUM('Value Segment'!BT$82,'Mid-Market Segment'!BT$82,'Upper Mid-Market Segment'!BT$82,'Premium Segment'!BT$82)</f>
        <v>930.28992998590138</v>
      </c>
      <c r="BU96" s="661">
        <f>SUM('Value Segment'!BU31,'Mid-Market Segment'!BU31,'Upper Mid-Market Segment'!BU31,'Premium Segment'!BU31)/SUM('Value Segment'!BU$82,'Mid-Market Segment'!BU$82,'Upper Mid-Market Segment'!BU$82,'Premium Segment'!BU$82)</f>
        <v>930.28992998590138</v>
      </c>
      <c r="BV96" s="661">
        <f>SUM('Value Segment'!BV31,'Mid-Market Segment'!BV31,'Upper Mid-Market Segment'!BV31,'Premium Segment'!BV31)/SUM('Value Segment'!BV$82,'Mid-Market Segment'!BV$82,'Upper Mid-Market Segment'!BV$82,'Premium Segment'!BV$82)</f>
        <v>930.28992998590138</v>
      </c>
      <c r="BW96" s="661">
        <f>SUM('Value Segment'!BW31,'Mid-Market Segment'!BW31,'Upper Mid-Market Segment'!BW31,'Premium Segment'!BW31)/SUM('Value Segment'!BW$82,'Mid-Market Segment'!BW$82,'Upper Mid-Market Segment'!BW$82,'Premium Segment'!BW$82)</f>
        <v>930.28992998590138</v>
      </c>
      <c r="BX96" s="661">
        <f>SUM('Value Segment'!BX31,'Mid-Market Segment'!BX31,'Upper Mid-Market Segment'!BX31,'Premium Segment'!BX31)/SUM('Value Segment'!BX$82,'Mid-Market Segment'!BX$82,'Upper Mid-Market Segment'!BX$82,'Premium Segment'!BX$82)</f>
        <v>930.28992998590138</v>
      </c>
      <c r="BY96" s="661">
        <f>SUM('Value Segment'!BY31,'Mid-Market Segment'!BY31,'Upper Mid-Market Segment'!BY31,'Premium Segment'!BY31)/SUM('Value Segment'!BY$82,'Mid-Market Segment'!BY$82,'Upper Mid-Market Segment'!BY$82,'Premium Segment'!BY$82)</f>
        <v>930.28992998590138</v>
      </c>
      <c r="CB96" s="8"/>
    </row>
    <row r="97" spans="3:80" x14ac:dyDescent="0.3">
      <c r="C97" s="2"/>
      <c r="D97" s="2"/>
      <c r="E97" s="2" t="s">
        <v>392</v>
      </c>
      <c r="F97" s="54"/>
      <c r="G97" s="54"/>
      <c r="H97" s="54"/>
      <c r="I97" s="19">
        <f>SUM('Value Segment'!I32,'Mid-Market Segment'!I32,'Upper Mid-Market Segment'!I32,'Premium Segment'!I32)/SUM('Value Segment'!I$82,'Mid-Market Segment'!I$82,'Upper Mid-Market Segment'!I$82,'Premium Segment'!I$82)</f>
        <v>-5055.9708243375426</v>
      </c>
      <c r="J97" s="19">
        <f>SUM('Value Segment'!J32,'Mid-Market Segment'!J32,'Upper Mid-Market Segment'!J32,'Premium Segment'!J32)/SUM('Value Segment'!J$82,'Mid-Market Segment'!J$82,'Upper Mid-Market Segment'!J$82,'Premium Segment'!J$82)</f>
        <v>-5115.8183767126202</v>
      </c>
      <c r="K97" s="19">
        <f>SUM('Value Segment'!K32,'Mid-Market Segment'!K32,'Upper Mid-Market Segment'!K32,'Premium Segment'!K32)/SUM('Value Segment'!K$82,'Mid-Market Segment'!K$82,'Upper Mid-Market Segment'!K$82,'Premium Segment'!K$82)</f>
        <v>-5218.059334607181</v>
      </c>
      <c r="L97" s="19">
        <f>SUM('Value Segment'!L32,'Mid-Market Segment'!L32,'Upper Mid-Market Segment'!L32,'Premium Segment'!L32)/SUM('Value Segment'!L$82,'Mid-Market Segment'!L$82,'Upper Mid-Market Segment'!L$82,'Premium Segment'!L$82)</f>
        <v>-5319.4450483919954</v>
      </c>
      <c r="M97" s="19">
        <f>SUM('Value Segment'!M32,'Mid-Market Segment'!M32,'Upper Mid-Market Segment'!M32,'Premium Segment'!M32)/SUM('Value Segment'!M$82,'Mid-Market Segment'!M$82,'Upper Mid-Market Segment'!M$82,'Premium Segment'!M$82)</f>
        <v>-5424.9218222798154</v>
      </c>
      <c r="N97" s="19">
        <f>SUM('Value Segment'!N32,'Mid-Market Segment'!N32,'Upper Mid-Market Segment'!N32,'Premium Segment'!N32)/SUM('Value Segment'!N$82,'Mid-Market Segment'!N$82,'Upper Mid-Market Segment'!N$82,'Premium Segment'!N$82)</f>
        <v>-5532.6283806787551</v>
      </c>
      <c r="O97" s="37"/>
      <c r="P97" s="50">
        <f t="shared" si="98"/>
        <v>1.8181937035734119E-2</v>
      </c>
      <c r="R97" s="19">
        <f>SUM('Value Segment'!R32,'Mid-Market Segment'!R32,'Upper Mid-Market Segment'!R32,'Premium Segment'!R32)/SUM('Value Segment'!R$82,'Mid-Market Segment'!R$82,'Upper Mid-Market Segment'!R$82,'Premium Segment'!R$82)</f>
        <v>-421.33090202812855</v>
      </c>
      <c r="S97" s="542">
        <f>SUM('Value Segment'!S32,'Mid-Market Segment'!S32,'Upper Mid-Market Segment'!S32,'Premium Segment'!S32)/SUM('Value Segment'!S$82,'Mid-Market Segment'!S$82,'Upper Mid-Market Segment'!S$82,'Premium Segment'!S$82)</f>
        <v>-421.33090202812855</v>
      </c>
      <c r="T97" s="542">
        <f>SUM('Value Segment'!T32,'Mid-Market Segment'!T32,'Upper Mid-Market Segment'!T32,'Premium Segment'!T32)/SUM('Value Segment'!T$82,'Mid-Market Segment'!T$82,'Upper Mid-Market Segment'!T$82,'Premium Segment'!T$82)</f>
        <v>-421.33090202812855</v>
      </c>
      <c r="U97" s="542">
        <f>SUM('Value Segment'!U32,'Mid-Market Segment'!U32,'Upper Mid-Market Segment'!U32,'Premium Segment'!U32)/SUM('Value Segment'!U$82,'Mid-Market Segment'!U$82,'Upper Mid-Market Segment'!U$82,'Premium Segment'!U$82)</f>
        <v>-421.33090202812855</v>
      </c>
      <c r="V97" s="542">
        <f>SUM('Value Segment'!V32,'Mid-Market Segment'!V32,'Upper Mid-Market Segment'!V32,'Premium Segment'!V32)/SUM('Value Segment'!V$82,'Mid-Market Segment'!V$82,'Upper Mid-Market Segment'!V$82,'Premium Segment'!V$82)</f>
        <v>-421.33090202812855</v>
      </c>
      <c r="W97" s="542">
        <f>SUM('Value Segment'!W32,'Mid-Market Segment'!W32,'Upper Mid-Market Segment'!W32,'Premium Segment'!W32)/SUM('Value Segment'!W$82,'Mid-Market Segment'!W$82,'Upper Mid-Market Segment'!W$82,'Premium Segment'!W$82)</f>
        <v>-421.33090202812855</v>
      </c>
      <c r="X97" s="542">
        <f>SUM('Value Segment'!X32,'Mid-Market Segment'!X32,'Upper Mid-Market Segment'!X32,'Premium Segment'!X32)/SUM('Value Segment'!X$82,'Mid-Market Segment'!X$82,'Upper Mid-Market Segment'!X$82,'Premium Segment'!X$82)</f>
        <v>-431.3054940906415</v>
      </c>
      <c r="Y97" s="542">
        <f>SUM('Value Segment'!Y32,'Mid-Market Segment'!Y32,'Upper Mid-Market Segment'!Y32,'Premium Segment'!Y32)/SUM('Value Segment'!Y$82,'Mid-Market Segment'!Y$82,'Upper Mid-Market Segment'!Y$82,'Premium Segment'!Y$82)</f>
        <v>-431.3054940906415</v>
      </c>
      <c r="Z97" s="542">
        <f>SUM('Value Segment'!Z32,'Mid-Market Segment'!Z32,'Upper Mid-Market Segment'!Z32,'Premium Segment'!Z32)/SUM('Value Segment'!Z$82,'Mid-Market Segment'!Z$82,'Upper Mid-Market Segment'!Z$82,'Premium Segment'!Z$82)</f>
        <v>-431.3054940906415</v>
      </c>
      <c r="AA97" s="542">
        <f>SUM('Value Segment'!AA32,'Mid-Market Segment'!AA32,'Upper Mid-Market Segment'!AA32,'Premium Segment'!AA32)/SUM('Value Segment'!AA$82,'Mid-Market Segment'!AA$82,'Upper Mid-Market Segment'!AA$82,'Premium Segment'!AA$82)</f>
        <v>-431.3054940906415</v>
      </c>
      <c r="AB97" s="542">
        <f>SUM('Value Segment'!AB32,'Mid-Market Segment'!AB32,'Upper Mid-Market Segment'!AB32,'Premium Segment'!AB32)/SUM('Value Segment'!AB$82,'Mid-Market Segment'!AB$82,'Upper Mid-Market Segment'!AB$82,'Premium Segment'!AB$82)</f>
        <v>-431.3054940906415</v>
      </c>
      <c r="AC97" s="542">
        <f>SUM('Value Segment'!AC32,'Mid-Market Segment'!AC32,'Upper Mid-Market Segment'!AC32,'Premium Segment'!AC32)/SUM('Value Segment'!AC$82,'Mid-Market Segment'!AC$82,'Upper Mid-Market Segment'!AC$82,'Premium Segment'!AC$82)</f>
        <v>-431.3054940906415</v>
      </c>
      <c r="AD97" s="542">
        <f>SUM('Value Segment'!AD32,'Mid-Market Segment'!AD32,'Upper Mid-Market Segment'!AD32,'Premium Segment'!AD32)/SUM('Value Segment'!AD$82,'Mid-Market Segment'!AD$82,'Upper Mid-Market Segment'!AD$82,'Premium Segment'!AD$82)</f>
        <v>-428.7411844517859</v>
      </c>
      <c r="AE97" s="542">
        <f>SUM('Value Segment'!AE32,'Mid-Market Segment'!AE32,'Upper Mid-Market Segment'!AE32,'Premium Segment'!AE32)/SUM('Value Segment'!AE$82,'Mid-Market Segment'!AE$82,'Upper Mid-Market Segment'!AE$82,'Premium Segment'!AE$82)</f>
        <v>-428.7411844517859</v>
      </c>
      <c r="AF97" s="542">
        <f>SUM('Value Segment'!AF32,'Mid-Market Segment'!AF32,'Upper Mid-Market Segment'!AF32,'Premium Segment'!AF32)/SUM('Value Segment'!AF$82,'Mid-Market Segment'!AF$82,'Upper Mid-Market Segment'!AF$82,'Premium Segment'!AF$82)</f>
        <v>-428.7411844517859</v>
      </c>
      <c r="AG97" s="542">
        <f>SUM('Value Segment'!AG32,'Mid-Market Segment'!AG32,'Upper Mid-Market Segment'!AG32,'Premium Segment'!AG32)/SUM('Value Segment'!AG$82,'Mid-Market Segment'!AG$82,'Upper Mid-Market Segment'!AG$82,'Premium Segment'!AG$82)</f>
        <v>-428.7411844517859</v>
      </c>
      <c r="AH97" s="542">
        <f>SUM('Value Segment'!AH32,'Mid-Market Segment'!AH32,'Upper Mid-Market Segment'!AH32,'Premium Segment'!AH32)/SUM('Value Segment'!AH$82,'Mid-Market Segment'!AH$82,'Upper Mid-Market Segment'!AH$82,'Premium Segment'!AH$82)</f>
        <v>-428.7411844517859</v>
      </c>
      <c r="AI97" s="542">
        <f>SUM('Value Segment'!AI32,'Mid-Market Segment'!AI32,'Upper Mid-Market Segment'!AI32,'Premium Segment'!AI32)/SUM('Value Segment'!AI$82,'Mid-Market Segment'!AI$82,'Upper Mid-Market Segment'!AI$82,'Premium Segment'!AI$82)</f>
        <v>-428.7411844517859</v>
      </c>
      <c r="AJ97" s="542">
        <f>SUM('Value Segment'!AJ32,'Mid-Market Segment'!AJ32,'Upper Mid-Market Segment'!AJ32,'Premium Segment'!AJ32)/SUM('Value Segment'!AJ$82,'Mid-Market Segment'!AJ$82,'Upper Mid-Market Segment'!AJ$82,'Premium Segment'!AJ$82)</f>
        <v>-440.93537131607758</v>
      </c>
      <c r="AK97" s="542">
        <f>SUM('Value Segment'!AK32,'Mid-Market Segment'!AK32,'Upper Mid-Market Segment'!AK32,'Premium Segment'!AK32)/SUM('Value Segment'!AK$82,'Mid-Market Segment'!AK$82,'Upper Mid-Market Segment'!AK$82,'Premium Segment'!AK$82)</f>
        <v>-440.93537131607758</v>
      </c>
      <c r="AL97" s="542">
        <f>SUM('Value Segment'!AL32,'Mid-Market Segment'!AL32,'Upper Mid-Market Segment'!AL32,'Premium Segment'!AL32)/SUM('Value Segment'!AL$82,'Mid-Market Segment'!AL$82,'Upper Mid-Market Segment'!AL$82,'Premium Segment'!AL$82)</f>
        <v>-440.93537131607758</v>
      </c>
      <c r="AM97" s="542">
        <f>SUM('Value Segment'!AM32,'Mid-Market Segment'!AM32,'Upper Mid-Market Segment'!AM32,'Premium Segment'!AM32)/SUM('Value Segment'!AM$82,'Mid-Market Segment'!AM$82,'Upper Mid-Market Segment'!AM$82,'Premium Segment'!AM$82)</f>
        <v>-440.93537131607758</v>
      </c>
      <c r="AN97" s="542">
        <f>SUM('Value Segment'!AN32,'Mid-Market Segment'!AN32,'Upper Mid-Market Segment'!AN32,'Premium Segment'!AN32)/SUM('Value Segment'!AN$82,'Mid-Market Segment'!AN$82,'Upper Mid-Market Segment'!AN$82,'Premium Segment'!AN$82)</f>
        <v>-440.93537131607758</v>
      </c>
      <c r="AO97" s="542">
        <f>SUM('Value Segment'!AO32,'Mid-Market Segment'!AO32,'Upper Mid-Market Segment'!AO32,'Premium Segment'!AO32)/SUM('Value Segment'!AO$82,'Mid-Market Segment'!AO$82,'Upper Mid-Market Segment'!AO$82,'Premium Segment'!AO$82)</f>
        <v>-440.93537131607758</v>
      </c>
      <c r="AP97" s="542">
        <f>SUM('Value Segment'!AP32,'Mid-Market Segment'!AP32,'Upper Mid-Market Segment'!AP32,'Premium Segment'!AP32)/SUM('Value Segment'!AP$82,'Mid-Market Segment'!AP$82,'Upper Mid-Market Segment'!AP$82,'Premium Segment'!AP$82)</f>
        <v>-436.09578791269979</v>
      </c>
      <c r="AQ97" s="542">
        <f>SUM('Value Segment'!AQ32,'Mid-Market Segment'!AQ32,'Upper Mid-Market Segment'!AQ32,'Premium Segment'!AQ32)/SUM('Value Segment'!AQ$82,'Mid-Market Segment'!AQ$82,'Upper Mid-Market Segment'!AQ$82,'Premium Segment'!AQ$82)</f>
        <v>-436.09578791269979</v>
      </c>
      <c r="AR97" s="542">
        <f>SUM('Value Segment'!AR32,'Mid-Market Segment'!AR32,'Upper Mid-Market Segment'!AR32,'Premium Segment'!AR32)/SUM('Value Segment'!AR$82,'Mid-Market Segment'!AR$82,'Upper Mid-Market Segment'!AR$82,'Premium Segment'!AR$82)</f>
        <v>-436.09578791269979</v>
      </c>
      <c r="AS97" s="542">
        <f>SUM('Value Segment'!AS32,'Mid-Market Segment'!AS32,'Upper Mid-Market Segment'!AS32,'Premium Segment'!AS32)/SUM('Value Segment'!AS$82,'Mid-Market Segment'!AS$82,'Upper Mid-Market Segment'!AS$82,'Premium Segment'!AS$82)</f>
        <v>-436.09578791269979</v>
      </c>
      <c r="AT97" s="542">
        <f>SUM('Value Segment'!AT32,'Mid-Market Segment'!AT32,'Upper Mid-Market Segment'!AT32,'Premium Segment'!AT32)/SUM('Value Segment'!AT$82,'Mid-Market Segment'!AT$82,'Upper Mid-Market Segment'!AT$82,'Premium Segment'!AT$82)</f>
        <v>-436.09578791269979</v>
      </c>
      <c r="AU97" s="542">
        <f>SUM('Value Segment'!AU32,'Mid-Market Segment'!AU32,'Upper Mid-Market Segment'!AU32,'Premium Segment'!AU32)/SUM('Value Segment'!AU$82,'Mid-Market Segment'!AU$82,'Upper Mid-Market Segment'!AU$82,'Premium Segment'!AU$82)</f>
        <v>-436.09578791269979</v>
      </c>
      <c r="AV97" s="542">
        <f>SUM('Value Segment'!AV32,'Mid-Market Segment'!AV32,'Upper Mid-Market Segment'!AV32,'Premium Segment'!AV32)/SUM('Value Segment'!AV$82,'Mid-Market Segment'!AV$82,'Upper Mid-Market Segment'!AV$82,'Premium Segment'!AV$82)</f>
        <v>-450.47838681929954</v>
      </c>
      <c r="AW97" s="542">
        <f>SUM('Value Segment'!AW32,'Mid-Market Segment'!AW32,'Upper Mid-Market Segment'!AW32,'Premium Segment'!AW32)/SUM('Value Segment'!AW$82,'Mid-Market Segment'!AW$82,'Upper Mid-Market Segment'!AW$82,'Premium Segment'!AW$82)</f>
        <v>-450.47838681929954</v>
      </c>
      <c r="AX97" s="542">
        <f>SUM('Value Segment'!AX32,'Mid-Market Segment'!AX32,'Upper Mid-Market Segment'!AX32,'Premium Segment'!AX32)/SUM('Value Segment'!AX$82,'Mid-Market Segment'!AX$82,'Upper Mid-Market Segment'!AX$82,'Premium Segment'!AX$82)</f>
        <v>-450.47838681929954</v>
      </c>
      <c r="AY97" s="542">
        <f>SUM('Value Segment'!AY32,'Mid-Market Segment'!AY32,'Upper Mid-Market Segment'!AY32,'Premium Segment'!AY32)/SUM('Value Segment'!AY$82,'Mid-Market Segment'!AY$82,'Upper Mid-Market Segment'!AY$82,'Premium Segment'!AY$82)</f>
        <v>-450.47838681929954</v>
      </c>
      <c r="AZ97" s="542">
        <f>SUM('Value Segment'!AZ32,'Mid-Market Segment'!AZ32,'Upper Mid-Market Segment'!AZ32,'Premium Segment'!AZ32)/SUM('Value Segment'!AZ$82,'Mid-Market Segment'!AZ$82,'Upper Mid-Market Segment'!AZ$82,'Premium Segment'!AZ$82)</f>
        <v>-450.47838681929954</v>
      </c>
      <c r="BA97" s="542">
        <f>SUM('Value Segment'!BA32,'Mid-Market Segment'!BA32,'Upper Mid-Market Segment'!BA32,'Premium Segment'!BA32)/SUM('Value Segment'!BA$82,'Mid-Market Segment'!BA$82,'Upper Mid-Market Segment'!BA$82,'Premium Segment'!BA$82)</f>
        <v>-450.47838681929954</v>
      </c>
      <c r="BB97" s="542">
        <f>SUM('Value Segment'!BB32,'Mid-Market Segment'!BB32,'Upper Mid-Market Segment'!BB32,'Premium Segment'!BB32)/SUM('Value Segment'!BB$82,'Mid-Market Segment'!BB$82,'Upper Mid-Market Segment'!BB$82,'Premium Segment'!BB$82)</f>
        <v>-443.79997598176226</v>
      </c>
      <c r="BC97" s="542">
        <f>SUM('Value Segment'!BC32,'Mid-Market Segment'!BC32,'Upper Mid-Market Segment'!BC32,'Premium Segment'!BC32)/SUM('Value Segment'!BC$82,'Mid-Market Segment'!BC$82,'Upper Mid-Market Segment'!BC$82,'Premium Segment'!BC$82)</f>
        <v>-443.79997598176226</v>
      </c>
      <c r="BD97" s="542">
        <f>SUM('Value Segment'!BD32,'Mid-Market Segment'!BD32,'Upper Mid-Market Segment'!BD32,'Premium Segment'!BD32)/SUM('Value Segment'!BD$82,'Mid-Market Segment'!BD$82,'Upper Mid-Market Segment'!BD$82,'Premium Segment'!BD$82)</f>
        <v>-443.79997598176226</v>
      </c>
      <c r="BE97" s="542">
        <f>SUM('Value Segment'!BE32,'Mid-Market Segment'!BE32,'Upper Mid-Market Segment'!BE32,'Premium Segment'!BE32)/SUM('Value Segment'!BE$82,'Mid-Market Segment'!BE$82,'Upper Mid-Market Segment'!BE$82,'Premium Segment'!BE$82)</f>
        <v>-443.79997598176226</v>
      </c>
      <c r="BF97" s="542">
        <f>SUM('Value Segment'!BF32,'Mid-Market Segment'!BF32,'Upper Mid-Market Segment'!BF32,'Premium Segment'!BF32)/SUM('Value Segment'!BF$82,'Mid-Market Segment'!BF$82,'Upper Mid-Market Segment'!BF$82,'Premium Segment'!BF$82)</f>
        <v>-443.79997598176226</v>
      </c>
      <c r="BG97" s="542">
        <f>SUM('Value Segment'!BG32,'Mid-Market Segment'!BG32,'Upper Mid-Market Segment'!BG32,'Premium Segment'!BG32)/SUM('Value Segment'!BG$82,'Mid-Market Segment'!BG$82,'Upper Mid-Market Segment'!BG$82,'Premium Segment'!BG$82)</f>
        <v>-443.79997598176226</v>
      </c>
      <c r="BH97" s="542">
        <f>SUM('Value Segment'!BH32,'Mid-Market Segment'!BH32,'Upper Mid-Market Segment'!BH32,'Premium Segment'!BH32)/SUM('Value Segment'!BH$82,'Mid-Market Segment'!BH$82,'Upper Mid-Market Segment'!BH$82,'Premium Segment'!BH$82)</f>
        <v>-460.35366106487373</v>
      </c>
      <c r="BI97" s="542">
        <f>SUM('Value Segment'!BI32,'Mid-Market Segment'!BI32,'Upper Mid-Market Segment'!BI32,'Premium Segment'!BI32)/SUM('Value Segment'!BI$82,'Mid-Market Segment'!BI$82,'Upper Mid-Market Segment'!BI$82,'Premium Segment'!BI$82)</f>
        <v>-460.35366106487373</v>
      </c>
      <c r="BJ97" s="542">
        <f>SUM('Value Segment'!BJ32,'Mid-Market Segment'!BJ32,'Upper Mid-Market Segment'!BJ32,'Premium Segment'!BJ32)/SUM('Value Segment'!BJ$82,'Mid-Market Segment'!BJ$82,'Upper Mid-Market Segment'!BJ$82,'Premium Segment'!BJ$82)</f>
        <v>-460.35366106487373</v>
      </c>
      <c r="BK97" s="542">
        <f>SUM('Value Segment'!BK32,'Mid-Market Segment'!BK32,'Upper Mid-Market Segment'!BK32,'Premium Segment'!BK32)/SUM('Value Segment'!BK$82,'Mid-Market Segment'!BK$82,'Upper Mid-Market Segment'!BK$82,'Premium Segment'!BK$82)</f>
        <v>-460.35366106487373</v>
      </c>
      <c r="BL97" s="542">
        <f>SUM('Value Segment'!BL32,'Mid-Market Segment'!BL32,'Upper Mid-Market Segment'!BL32,'Premium Segment'!BL32)/SUM('Value Segment'!BL$82,'Mid-Market Segment'!BL$82,'Upper Mid-Market Segment'!BL$82,'Premium Segment'!BL$82)</f>
        <v>-460.35366106487373</v>
      </c>
      <c r="BM97" s="542">
        <f>SUM('Value Segment'!BM32,'Mid-Market Segment'!BM32,'Upper Mid-Market Segment'!BM32,'Premium Segment'!BM32)/SUM('Value Segment'!BM$82,'Mid-Market Segment'!BM$82,'Upper Mid-Market Segment'!BM$82,'Premium Segment'!BM$82)</f>
        <v>-460.35366106487373</v>
      </c>
      <c r="BN97" s="542">
        <f>SUM('Value Segment'!BN32,'Mid-Market Segment'!BN32,'Upper Mid-Market Segment'!BN32,'Premium Segment'!BN32)/SUM('Value Segment'!BN$82,'Mid-Market Segment'!BN$82,'Upper Mid-Market Segment'!BN$82,'Premium Segment'!BN$82)</f>
        <v>-451.71060183052089</v>
      </c>
      <c r="BO97" s="542">
        <f>SUM('Value Segment'!BO32,'Mid-Market Segment'!BO32,'Upper Mid-Market Segment'!BO32,'Premium Segment'!BO32)/SUM('Value Segment'!BO$82,'Mid-Market Segment'!BO$82,'Upper Mid-Market Segment'!BO$82,'Premium Segment'!BO$82)</f>
        <v>-451.71060183052089</v>
      </c>
      <c r="BP97" s="542">
        <f>SUM('Value Segment'!BP32,'Mid-Market Segment'!BP32,'Upper Mid-Market Segment'!BP32,'Premium Segment'!BP32)/SUM('Value Segment'!BP$82,'Mid-Market Segment'!BP$82,'Upper Mid-Market Segment'!BP$82,'Premium Segment'!BP$82)</f>
        <v>-451.71060183052089</v>
      </c>
      <c r="BQ97" s="542">
        <f>SUM('Value Segment'!BQ32,'Mid-Market Segment'!BQ32,'Upper Mid-Market Segment'!BQ32,'Premium Segment'!BQ32)/SUM('Value Segment'!BQ$82,'Mid-Market Segment'!BQ$82,'Upper Mid-Market Segment'!BQ$82,'Premium Segment'!BQ$82)</f>
        <v>-451.71060183052089</v>
      </c>
      <c r="BR97" s="542">
        <f>SUM('Value Segment'!BR32,'Mid-Market Segment'!BR32,'Upper Mid-Market Segment'!BR32,'Premium Segment'!BR32)/SUM('Value Segment'!BR$82,'Mid-Market Segment'!BR$82,'Upper Mid-Market Segment'!BR$82,'Premium Segment'!BR$82)</f>
        <v>-451.71060183052089</v>
      </c>
      <c r="BS97" s="542">
        <f>SUM('Value Segment'!BS32,'Mid-Market Segment'!BS32,'Upper Mid-Market Segment'!BS32,'Premium Segment'!BS32)/SUM('Value Segment'!BS$82,'Mid-Market Segment'!BS$82,'Upper Mid-Market Segment'!BS$82,'Premium Segment'!BS$82)</f>
        <v>-451.71060183052089</v>
      </c>
      <c r="BT97" s="542">
        <f>SUM('Value Segment'!BT32,'Mid-Market Segment'!BT32,'Upper Mid-Market Segment'!BT32,'Premium Segment'!BT32)/SUM('Value Segment'!BT$82,'Mid-Market Segment'!BT$82,'Upper Mid-Market Segment'!BT$82,'Premium Segment'!BT$82)</f>
        <v>-470.39412828260498</v>
      </c>
      <c r="BU97" s="542">
        <f>SUM('Value Segment'!BU32,'Mid-Market Segment'!BU32,'Upper Mid-Market Segment'!BU32,'Premium Segment'!BU32)/SUM('Value Segment'!BU$82,'Mid-Market Segment'!BU$82,'Upper Mid-Market Segment'!BU$82,'Premium Segment'!BU$82)</f>
        <v>-470.39412828260498</v>
      </c>
      <c r="BV97" s="542">
        <f>SUM('Value Segment'!BV32,'Mid-Market Segment'!BV32,'Upper Mid-Market Segment'!BV32,'Premium Segment'!BV32)/SUM('Value Segment'!BV$82,'Mid-Market Segment'!BV$82,'Upper Mid-Market Segment'!BV$82,'Premium Segment'!BV$82)</f>
        <v>-470.39412828260498</v>
      </c>
      <c r="BW97" s="542">
        <f>SUM('Value Segment'!BW32,'Mid-Market Segment'!BW32,'Upper Mid-Market Segment'!BW32,'Premium Segment'!BW32)/SUM('Value Segment'!BW$82,'Mid-Market Segment'!BW$82,'Upper Mid-Market Segment'!BW$82,'Premium Segment'!BW$82)</f>
        <v>-470.39412828260498</v>
      </c>
      <c r="BX97" s="542">
        <f>SUM('Value Segment'!BX32,'Mid-Market Segment'!BX32,'Upper Mid-Market Segment'!BX32,'Premium Segment'!BX32)/SUM('Value Segment'!BX$82,'Mid-Market Segment'!BX$82,'Upper Mid-Market Segment'!BX$82,'Premium Segment'!BX$82)</f>
        <v>-470.39412828260498</v>
      </c>
      <c r="BY97" s="542">
        <f>SUM('Value Segment'!BY32,'Mid-Market Segment'!BY32,'Upper Mid-Market Segment'!BY32,'Premium Segment'!BY32)/SUM('Value Segment'!BY$82,'Mid-Market Segment'!BY$82,'Upper Mid-Market Segment'!BY$82,'Premium Segment'!BY$82)</f>
        <v>-470.39412828260498</v>
      </c>
      <c r="CB97" s="8"/>
    </row>
    <row r="98" spans="3:80" x14ac:dyDescent="0.3">
      <c r="C98" s="2"/>
      <c r="D98" s="2"/>
      <c r="E98" s="2" t="s">
        <v>393</v>
      </c>
      <c r="F98" s="54"/>
      <c r="G98" s="54"/>
      <c r="H98" s="54"/>
      <c r="I98" s="19">
        <f>SUM('Value Segment'!I33,'Mid-Market Segment'!I33,'Upper Mid-Market Segment'!I33,'Premium Segment'!I33)/SUM('Value Segment'!I$82,'Mid-Market Segment'!I$82,'Upper Mid-Market Segment'!I$82,'Premium Segment'!I$82)</f>
        <v>-650.15978674147789</v>
      </c>
      <c r="J98" s="19">
        <f>SUM('Value Segment'!J33,'Mid-Market Segment'!J33,'Upper Mid-Market Segment'!J33,'Premium Segment'!J33)/SUM('Value Segment'!J$82,'Mid-Market Segment'!J$82,'Upper Mid-Market Segment'!J$82,'Premium Segment'!J$82)</f>
        <v>-657.90782392768574</v>
      </c>
      <c r="K98" s="19">
        <f>SUM('Value Segment'!K33,'Mid-Market Segment'!K33,'Upper Mid-Market Segment'!K33,'Premium Segment'!K33)/SUM('Value Segment'!K$82,'Mid-Market Segment'!K$82,'Upper Mid-Market Segment'!K$82,'Premium Segment'!K$82)</f>
        <v>-671.14440293799362</v>
      </c>
      <c r="L98" s="19">
        <f>SUM('Value Segment'!L33,'Mid-Market Segment'!L33,'Upper Mid-Market Segment'!L33,'Premium Segment'!L33)/SUM('Value Segment'!L$82,'Mid-Market Segment'!L$82,'Upper Mid-Market Segment'!L$82,'Premium Segment'!L$82)</f>
        <v>-684.27039457892602</v>
      </c>
      <c r="M98" s="19">
        <f>SUM('Value Segment'!M33,'Mid-Market Segment'!M33,'Upper Mid-Market Segment'!M33,'Premium Segment'!M33)/SUM('Value Segment'!M$82,'Mid-Market Segment'!M$82,'Upper Mid-Market Segment'!M$82,'Premium Segment'!M$82)</f>
        <v>-697.93055759480274</v>
      </c>
      <c r="N98" s="19">
        <f>SUM('Value Segment'!N33,'Mid-Market Segment'!N33,'Upper Mid-Market Segment'!N33,'Premium Segment'!N33)/SUM('Value Segment'!N$82,'Mid-Market Segment'!N$82,'Upper Mid-Market Segment'!N$82,'Premium Segment'!N$82)</f>
        <v>-711.88594696568896</v>
      </c>
      <c r="O98" s="37"/>
      <c r="P98" s="50">
        <f t="shared" si="98"/>
        <v>1.8305438209365699E-2</v>
      </c>
      <c r="R98" s="19">
        <f>SUM('Value Segment'!R33,'Mid-Market Segment'!R33,'Upper Mid-Market Segment'!R33,'Premium Segment'!R33)/SUM('Value Segment'!R$82,'Mid-Market Segment'!R$82,'Upper Mid-Market Segment'!R$82,'Premium Segment'!R$82)</f>
        <v>-54.179982228456488</v>
      </c>
      <c r="S98" s="542">
        <f>SUM('Value Segment'!S33,'Mid-Market Segment'!S33,'Upper Mid-Market Segment'!S33,'Premium Segment'!S33)/SUM('Value Segment'!S$82,'Mid-Market Segment'!S$82,'Upper Mid-Market Segment'!S$82,'Premium Segment'!S$82)</f>
        <v>-54.179982228456488</v>
      </c>
      <c r="T98" s="542">
        <f>SUM('Value Segment'!T33,'Mid-Market Segment'!T33,'Upper Mid-Market Segment'!T33,'Premium Segment'!T33)/SUM('Value Segment'!T$82,'Mid-Market Segment'!T$82,'Upper Mid-Market Segment'!T$82,'Premium Segment'!T$82)</f>
        <v>-54.179982228456488</v>
      </c>
      <c r="U98" s="542">
        <f>SUM('Value Segment'!U33,'Mid-Market Segment'!U33,'Upper Mid-Market Segment'!U33,'Premium Segment'!U33)/SUM('Value Segment'!U$82,'Mid-Market Segment'!U$82,'Upper Mid-Market Segment'!U$82,'Premium Segment'!U$82)</f>
        <v>-54.179982228456488</v>
      </c>
      <c r="V98" s="542">
        <f>SUM('Value Segment'!V33,'Mid-Market Segment'!V33,'Upper Mid-Market Segment'!V33,'Premium Segment'!V33)/SUM('Value Segment'!V$82,'Mid-Market Segment'!V$82,'Upper Mid-Market Segment'!V$82,'Premium Segment'!V$82)</f>
        <v>-54.179982228456488</v>
      </c>
      <c r="W98" s="542">
        <f>SUM('Value Segment'!W33,'Mid-Market Segment'!W33,'Upper Mid-Market Segment'!W33,'Premium Segment'!W33)/SUM('Value Segment'!W$82,'Mid-Market Segment'!W$82,'Upper Mid-Market Segment'!W$82,'Premium Segment'!W$82)</f>
        <v>-54.179982228456488</v>
      </c>
      <c r="X98" s="542">
        <f>SUM('Value Segment'!X33,'Mid-Market Segment'!X33,'Upper Mid-Market Segment'!X33,'Premium Segment'!X33)/SUM('Value Segment'!X$82,'Mid-Market Segment'!X$82,'Upper Mid-Market Segment'!X$82,'Premium Segment'!X$82)</f>
        <v>-55.471321759491126</v>
      </c>
      <c r="Y98" s="542">
        <f>SUM('Value Segment'!Y33,'Mid-Market Segment'!Y33,'Upper Mid-Market Segment'!Y33,'Premium Segment'!Y33)/SUM('Value Segment'!Y$82,'Mid-Market Segment'!Y$82,'Upper Mid-Market Segment'!Y$82,'Premium Segment'!Y$82)</f>
        <v>-55.471321759491126</v>
      </c>
      <c r="Z98" s="542">
        <f>SUM('Value Segment'!Z33,'Mid-Market Segment'!Z33,'Upper Mid-Market Segment'!Z33,'Premium Segment'!Z33)/SUM('Value Segment'!Z$82,'Mid-Market Segment'!Z$82,'Upper Mid-Market Segment'!Z$82,'Premium Segment'!Z$82)</f>
        <v>-55.471321759491126</v>
      </c>
      <c r="AA98" s="542">
        <f>SUM('Value Segment'!AA33,'Mid-Market Segment'!AA33,'Upper Mid-Market Segment'!AA33,'Premium Segment'!AA33)/SUM('Value Segment'!AA$82,'Mid-Market Segment'!AA$82,'Upper Mid-Market Segment'!AA$82,'Premium Segment'!AA$82)</f>
        <v>-55.471321759491126</v>
      </c>
      <c r="AB98" s="542">
        <f>SUM('Value Segment'!AB33,'Mid-Market Segment'!AB33,'Upper Mid-Market Segment'!AB33,'Premium Segment'!AB33)/SUM('Value Segment'!AB$82,'Mid-Market Segment'!AB$82,'Upper Mid-Market Segment'!AB$82,'Premium Segment'!AB$82)</f>
        <v>-55.471321759491126</v>
      </c>
      <c r="AC98" s="542">
        <f>SUM('Value Segment'!AC33,'Mid-Market Segment'!AC33,'Upper Mid-Market Segment'!AC33,'Premium Segment'!AC33)/SUM('Value Segment'!AC$82,'Mid-Market Segment'!AC$82,'Upper Mid-Market Segment'!AC$82,'Premium Segment'!AC$82)</f>
        <v>-55.471321759491126</v>
      </c>
      <c r="AD98" s="542">
        <f>SUM('Value Segment'!AD33,'Mid-Market Segment'!AD33,'Upper Mid-Market Segment'!AD33,'Premium Segment'!AD33)/SUM('Value Segment'!AD$82,'Mid-Market Segment'!AD$82,'Upper Mid-Market Segment'!AD$82,'Premium Segment'!AD$82)</f>
        <v>-55.13940072806291</v>
      </c>
      <c r="AE98" s="542">
        <f>SUM('Value Segment'!AE33,'Mid-Market Segment'!AE33,'Upper Mid-Market Segment'!AE33,'Premium Segment'!AE33)/SUM('Value Segment'!AE$82,'Mid-Market Segment'!AE$82,'Upper Mid-Market Segment'!AE$82,'Premium Segment'!AE$82)</f>
        <v>-55.13940072806291</v>
      </c>
      <c r="AF98" s="542">
        <f>SUM('Value Segment'!AF33,'Mid-Market Segment'!AF33,'Upper Mid-Market Segment'!AF33,'Premium Segment'!AF33)/SUM('Value Segment'!AF$82,'Mid-Market Segment'!AF$82,'Upper Mid-Market Segment'!AF$82,'Premium Segment'!AF$82)</f>
        <v>-55.13940072806291</v>
      </c>
      <c r="AG98" s="542">
        <f>SUM('Value Segment'!AG33,'Mid-Market Segment'!AG33,'Upper Mid-Market Segment'!AG33,'Premium Segment'!AG33)/SUM('Value Segment'!AG$82,'Mid-Market Segment'!AG$82,'Upper Mid-Market Segment'!AG$82,'Premium Segment'!AG$82)</f>
        <v>-55.13940072806291</v>
      </c>
      <c r="AH98" s="542">
        <f>SUM('Value Segment'!AH33,'Mid-Market Segment'!AH33,'Upper Mid-Market Segment'!AH33,'Premium Segment'!AH33)/SUM('Value Segment'!AH$82,'Mid-Market Segment'!AH$82,'Upper Mid-Market Segment'!AH$82,'Premium Segment'!AH$82)</f>
        <v>-55.13940072806291</v>
      </c>
      <c r="AI98" s="542">
        <f>SUM('Value Segment'!AI33,'Mid-Market Segment'!AI33,'Upper Mid-Market Segment'!AI33,'Premium Segment'!AI33)/SUM('Value Segment'!AI$82,'Mid-Market Segment'!AI$82,'Upper Mid-Market Segment'!AI$82,'Premium Segment'!AI$82)</f>
        <v>-55.13940072806291</v>
      </c>
      <c r="AJ98" s="542">
        <f>SUM('Value Segment'!AJ33,'Mid-Market Segment'!AJ33,'Upper Mid-Market Segment'!AJ33,'Premium Segment'!AJ33)/SUM('Value Segment'!AJ$82,'Mid-Market Segment'!AJ$82,'Upper Mid-Market Segment'!AJ$82,'Premium Segment'!AJ$82)</f>
        <v>-56.717999761602705</v>
      </c>
      <c r="AK98" s="542">
        <f>SUM('Value Segment'!AK33,'Mid-Market Segment'!AK33,'Upper Mid-Market Segment'!AK33,'Premium Segment'!AK33)/SUM('Value Segment'!AK$82,'Mid-Market Segment'!AK$82,'Upper Mid-Market Segment'!AK$82,'Premium Segment'!AK$82)</f>
        <v>-56.717999761602705</v>
      </c>
      <c r="AL98" s="542">
        <f>SUM('Value Segment'!AL33,'Mid-Market Segment'!AL33,'Upper Mid-Market Segment'!AL33,'Premium Segment'!AL33)/SUM('Value Segment'!AL$82,'Mid-Market Segment'!AL$82,'Upper Mid-Market Segment'!AL$82,'Premium Segment'!AL$82)</f>
        <v>-56.717999761602705</v>
      </c>
      <c r="AM98" s="542">
        <f>SUM('Value Segment'!AM33,'Mid-Market Segment'!AM33,'Upper Mid-Market Segment'!AM33,'Premium Segment'!AM33)/SUM('Value Segment'!AM$82,'Mid-Market Segment'!AM$82,'Upper Mid-Market Segment'!AM$82,'Premium Segment'!AM$82)</f>
        <v>-56.717999761602705</v>
      </c>
      <c r="AN98" s="542">
        <f>SUM('Value Segment'!AN33,'Mid-Market Segment'!AN33,'Upper Mid-Market Segment'!AN33,'Premium Segment'!AN33)/SUM('Value Segment'!AN$82,'Mid-Market Segment'!AN$82,'Upper Mid-Market Segment'!AN$82,'Premium Segment'!AN$82)</f>
        <v>-56.717999761602705</v>
      </c>
      <c r="AO98" s="542">
        <f>SUM('Value Segment'!AO33,'Mid-Market Segment'!AO33,'Upper Mid-Market Segment'!AO33,'Premium Segment'!AO33)/SUM('Value Segment'!AO$82,'Mid-Market Segment'!AO$82,'Upper Mid-Market Segment'!AO$82,'Premium Segment'!AO$82)</f>
        <v>-56.717999761602705</v>
      </c>
      <c r="AP98" s="542">
        <f>SUM('Value Segment'!AP33,'Mid-Market Segment'!AP33,'Upper Mid-Market Segment'!AP33,'Premium Segment'!AP33)/SUM('Value Segment'!AP$82,'Mid-Market Segment'!AP$82,'Upper Mid-Market Segment'!AP$82,'Premium Segment'!AP$82)</f>
        <v>-56.091633173763384</v>
      </c>
      <c r="AQ98" s="542">
        <f>SUM('Value Segment'!AQ33,'Mid-Market Segment'!AQ33,'Upper Mid-Market Segment'!AQ33,'Premium Segment'!AQ33)/SUM('Value Segment'!AQ$82,'Mid-Market Segment'!AQ$82,'Upper Mid-Market Segment'!AQ$82,'Premium Segment'!AQ$82)</f>
        <v>-56.091633173763384</v>
      </c>
      <c r="AR98" s="542">
        <f>SUM('Value Segment'!AR33,'Mid-Market Segment'!AR33,'Upper Mid-Market Segment'!AR33,'Premium Segment'!AR33)/SUM('Value Segment'!AR$82,'Mid-Market Segment'!AR$82,'Upper Mid-Market Segment'!AR$82,'Premium Segment'!AR$82)</f>
        <v>-56.091633173763384</v>
      </c>
      <c r="AS98" s="542">
        <f>SUM('Value Segment'!AS33,'Mid-Market Segment'!AS33,'Upper Mid-Market Segment'!AS33,'Premium Segment'!AS33)/SUM('Value Segment'!AS$82,'Mid-Market Segment'!AS$82,'Upper Mid-Market Segment'!AS$82,'Premium Segment'!AS$82)</f>
        <v>-56.091633173763384</v>
      </c>
      <c r="AT98" s="542">
        <f>SUM('Value Segment'!AT33,'Mid-Market Segment'!AT33,'Upper Mid-Market Segment'!AT33,'Premium Segment'!AT33)/SUM('Value Segment'!AT$82,'Mid-Market Segment'!AT$82,'Upper Mid-Market Segment'!AT$82,'Premium Segment'!AT$82)</f>
        <v>-56.091633173763384</v>
      </c>
      <c r="AU98" s="542">
        <f>SUM('Value Segment'!AU33,'Mid-Market Segment'!AU33,'Upper Mid-Market Segment'!AU33,'Premium Segment'!AU33)/SUM('Value Segment'!AU$82,'Mid-Market Segment'!AU$82,'Upper Mid-Market Segment'!AU$82,'Premium Segment'!AU$82)</f>
        <v>-56.091633173763384</v>
      </c>
      <c r="AV98" s="542">
        <f>SUM('Value Segment'!AV33,'Mid-Market Segment'!AV33,'Upper Mid-Market Segment'!AV33,'Premium Segment'!AV33)/SUM('Value Segment'!AV$82,'Mid-Market Segment'!AV$82,'Upper Mid-Market Segment'!AV$82,'Premium Segment'!AV$82)</f>
        <v>-57.953432589390957</v>
      </c>
      <c r="AW98" s="542">
        <f>SUM('Value Segment'!AW33,'Mid-Market Segment'!AW33,'Upper Mid-Market Segment'!AW33,'Premium Segment'!AW33)/SUM('Value Segment'!AW$82,'Mid-Market Segment'!AW$82,'Upper Mid-Market Segment'!AW$82,'Premium Segment'!AW$82)</f>
        <v>-57.953432589390957</v>
      </c>
      <c r="AX98" s="542">
        <f>SUM('Value Segment'!AX33,'Mid-Market Segment'!AX33,'Upper Mid-Market Segment'!AX33,'Premium Segment'!AX33)/SUM('Value Segment'!AX$82,'Mid-Market Segment'!AX$82,'Upper Mid-Market Segment'!AX$82,'Premium Segment'!AX$82)</f>
        <v>-57.953432589390957</v>
      </c>
      <c r="AY98" s="542">
        <f>SUM('Value Segment'!AY33,'Mid-Market Segment'!AY33,'Upper Mid-Market Segment'!AY33,'Premium Segment'!AY33)/SUM('Value Segment'!AY$82,'Mid-Market Segment'!AY$82,'Upper Mid-Market Segment'!AY$82,'Premium Segment'!AY$82)</f>
        <v>-57.953432589390957</v>
      </c>
      <c r="AZ98" s="542">
        <f>SUM('Value Segment'!AZ33,'Mid-Market Segment'!AZ33,'Upper Mid-Market Segment'!AZ33,'Premium Segment'!AZ33)/SUM('Value Segment'!AZ$82,'Mid-Market Segment'!AZ$82,'Upper Mid-Market Segment'!AZ$82,'Premium Segment'!AZ$82)</f>
        <v>-57.953432589390957</v>
      </c>
      <c r="BA98" s="542">
        <f>SUM('Value Segment'!BA33,'Mid-Market Segment'!BA33,'Upper Mid-Market Segment'!BA33,'Premium Segment'!BA33)/SUM('Value Segment'!BA$82,'Mid-Market Segment'!BA$82,'Upper Mid-Market Segment'!BA$82,'Premium Segment'!BA$82)</f>
        <v>-57.953432589390957</v>
      </c>
      <c r="BB98" s="542">
        <f>SUM('Value Segment'!BB33,'Mid-Market Segment'!BB33,'Upper Mid-Market Segment'!BB33,'Premium Segment'!BB33)/SUM('Value Segment'!BB$82,'Mid-Market Segment'!BB$82,'Upper Mid-Market Segment'!BB$82,'Premium Segment'!BB$82)</f>
        <v>-57.089510687083646</v>
      </c>
      <c r="BC98" s="542">
        <f>SUM('Value Segment'!BC33,'Mid-Market Segment'!BC33,'Upper Mid-Market Segment'!BC33,'Premium Segment'!BC33)/SUM('Value Segment'!BC$82,'Mid-Market Segment'!BC$82,'Upper Mid-Market Segment'!BC$82,'Premium Segment'!BC$82)</f>
        <v>-57.089510687083646</v>
      </c>
      <c r="BD98" s="542">
        <f>SUM('Value Segment'!BD33,'Mid-Market Segment'!BD33,'Upper Mid-Market Segment'!BD33,'Premium Segment'!BD33)/SUM('Value Segment'!BD$82,'Mid-Market Segment'!BD$82,'Upper Mid-Market Segment'!BD$82,'Premium Segment'!BD$82)</f>
        <v>-57.089510687083646</v>
      </c>
      <c r="BE98" s="542">
        <f>SUM('Value Segment'!BE33,'Mid-Market Segment'!BE33,'Upper Mid-Market Segment'!BE33,'Premium Segment'!BE33)/SUM('Value Segment'!BE$82,'Mid-Market Segment'!BE$82,'Upper Mid-Market Segment'!BE$82,'Premium Segment'!BE$82)</f>
        <v>-57.089510687083646</v>
      </c>
      <c r="BF98" s="542">
        <f>SUM('Value Segment'!BF33,'Mid-Market Segment'!BF33,'Upper Mid-Market Segment'!BF33,'Premium Segment'!BF33)/SUM('Value Segment'!BF$82,'Mid-Market Segment'!BF$82,'Upper Mid-Market Segment'!BF$82,'Premium Segment'!BF$82)</f>
        <v>-57.089510687083646</v>
      </c>
      <c r="BG98" s="542">
        <f>SUM('Value Segment'!BG33,'Mid-Market Segment'!BG33,'Upper Mid-Market Segment'!BG33,'Premium Segment'!BG33)/SUM('Value Segment'!BG$82,'Mid-Market Segment'!BG$82,'Upper Mid-Market Segment'!BG$82,'Premium Segment'!BG$82)</f>
        <v>-57.089510687083646</v>
      </c>
      <c r="BH98" s="542">
        <f>SUM('Value Segment'!BH33,'Mid-Market Segment'!BH33,'Upper Mid-Market Segment'!BH33,'Premium Segment'!BH33)/SUM('Value Segment'!BH$82,'Mid-Market Segment'!BH$82,'Upper Mid-Market Segment'!BH$82,'Premium Segment'!BH$82)</f>
        <v>-59.232248912050132</v>
      </c>
      <c r="BI98" s="542">
        <f>SUM('Value Segment'!BI33,'Mid-Market Segment'!BI33,'Upper Mid-Market Segment'!BI33,'Premium Segment'!BI33)/SUM('Value Segment'!BI$82,'Mid-Market Segment'!BI$82,'Upper Mid-Market Segment'!BI$82,'Premium Segment'!BI$82)</f>
        <v>-59.232248912050132</v>
      </c>
      <c r="BJ98" s="542">
        <f>SUM('Value Segment'!BJ33,'Mid-Market Segment'!BJ33,'Upper Mid-Market Segment'!BJ33,'Premium Segment'!BJ33)/SUM('Value Segment'!BJ$82,'Mid-Market Segment'!BJ$82,'Upper Mid-Market Segment'!BJ$82,'Premium Segment'!BJ$82)</f>
        <v>-59.232248912050132</v>
      </c>
      <c r="BK98" s="542">
        <f>SUM('Value Segment'!BK33,'Mid-Market Segment'!BK33,'Upper Mid-Market Segment'!BK33,'Premium Segment'!BK33)/SUM('Value Segment'!BK$82,'Mid-Market Segment'!BK$82,'Upper Mid-Market Segment'!BK$82,'Premium Segment'!BK$82)</f>
        <v>-59.232248912050132</v>
      </c>
      <c r="BL98" s="542">
        <f>SUM('Value Segment'!BL33,'Mid-Market Segment'!BL33,'Upper Mid-Market Segment'!BL33,'Premium Segment'!BL33)/SUM('Value Segment'!BL$82,'Mid-Market Segment'!BL$82,'Upper Mid-Market Segment'!BL$82,'Premium Segment'!BL$82)</f>
        <v>-59.232248912050132</v>
      </c>
      <c r="BM98" s="542">
        <f>SUM('Value Segment'!BM33,'Mid-Market Segment'!BM33,'Upper Mid-Market Segment'!BM33,'Premium Segment'!BM33)/SUM('Value Segment'!BM$82,'Mid-Market Segment'!BM$82,'Upper Mid-Market Segment'!BM$82,'Premium Segment'!BM$82)</f>
        <v>-59.232248912050132</v>
      </c>
      <c r="BN98" s="542">
        <f>SUM('Value Segment'!BN33,'Mid-Market Segment'!BN33,'Upper Mid-Market Segment'!BN33,'Premium Segment'!BN33)/SUM('Value Segment'!BN$82,'Mid-Market Segment'!BN$82,'Upper Mid-Market Segment'!BN$82,'Premium Segment'!BN$82)</f>
        <v>-58.11467272327895</v>
      </c>
      <c r="BO98" s="542">
        <f>SUM('Value Segment'!BO33,'Mid-Market Segment'!BO33,'Upper Mid-Market Segment'!BO33,'Premium Segment'!BO33)/SUM('Value Segment'!BO$82,'Mid-Market Segment'!BO$82,'Upper Mid-Market Segment'!BO$82,'Premium Segment'!BO$82)</f>
        <v>-58.11467272327895</v>
      </c>
      <c r="BP98" s="542">
        <f>SUM('Value Segment'!BP33,'Mid-Market Segment'!BP33,'Upper Mid-Market Segment'!BP33,'Premium Segment'!BP33)/SUM('Value Segment'!BP$82,'Mid-Market Segment'!BP$82,'Upper Mid-Market Segment'!BP$82,'Premium Segment'!BP$82)</f>
        <v>-58.11467272327895</v>
      </c>
      <c r="BQ98" s="542">
        <f>SUM('Value Segment'!BQ33,'Mid-Market Segment'!BQ33,'Upper Mid-Market Segment'!BQ33,'Premium Segment'!BQ33)/SUM('Value Segment'!BQ$82,'Mid-Market Segment'!BQ$82,'Upper Mid-Market Segment'!BQ$82,'Premium Segment'!BQ$82)</f>
        <v>-58.11467272327895</v>
      </c>
      <c r="BR98" s="542">
        <f>SUM('Value Segment'!BR33,'Mid-Market Segment'!BR33,'Upper Mid-Market Segment'!BR33,'Premium Segment'!BR33)/SUM('Value Segment'!BR$82,'Mid-Market Segment'!BR$82,'Upper Mid-Market Segment'!BR$82,'Premium Segment'!BR$82)</f>
        <v>-58.11467272327895</v>
      </c>
      <c r="BS98" s="542">
        <f>SUM('Value Segment'!BS33,'Mid-Market Segment'!BS33,'Upper Mid-Market Segment'!BS33,'Premium Segment'!BS33)/SUM('Value Segment'!BS$82,'Mid-Market Segment'!BS$82,'Upper Mid-Market Segment'!BS$82,'Premium Segment'!BS$82)</f>
        <v>-58.11467272327895</v>
      </c>
      <c r="BT98" s="542">
        <f>SUM('Value Segment'!BT33,'Mid-Market Segment'!BT33,'Upper Mid-Market Segment'!BT33,'Premium Segment'!BT33)/SUM('Value Segment'!BT$82,'Mid-Market Segment'!BT$82,'Upper Mid-Market Segment'!BT$82,'Premium Segment'!BT$82)</f>
        <v>-60.532985104335879</v>
      </c>
      <c r="BU98" s="542">
        <f>SUM('Value Segment'!BU33,'Mid-Market Segment'!BU33,'Upper Mid-Market Segment'!BU33,'Premium Segment'!BU33)/SUM('Value Segment'!BU$82,'Mid-Market Segment'!BU$82,'Upper Mid-Market Segment'!BU$82,'Premium Segment'!BU$82)</f>
        <v>-60.532985104335879</v>
      </c>
      <c r="BV98" s="542">
        <f>SUM('Value Segment'!BV33,'Mid-Market Segment'!BV33,'Upper Mid-Market Segment'!BV33,'Premium Segment'!BV33)/SUM('Value Segment'!BV$82,'Mid-Market Segment'!BV$82,'Upper Mid-Market Segment'!BV$82,'Premium Segment'!BV$82)</f>
        <v>-60.532985104335879</v>
      </c>
      <c r="BW98" s="542">
        <f>SUM('Value Segment'!BW33,'Mid-Market Segment'!BW33,'Upper Mid-Market Segment'!BW33,'Premium Segment'!BW33)/SUM('Value Segment'!BW$82,'Mid-Market Segment'!BW$82,'Upper Mid-Market Segment'!BW$82,'Premium Segment'!BW$82)</f>
        <v>-60.532985104335879</v>
      </c>
      <c r="BX98" s="542">
        <f>SUM('Value Segment'!BX33,'Mid-Market Segment'!BX33,'Upper Mid-Market Segment'!BX33,'Premium Segment'!BX33)/SUM('Value Segment'!BX$82,'Mid-Market Segment'!BX$82,'Upper Mid-Market Segment'!BX$82,'Premium Segment'!BX$82)</f>
        <v>-60.532985104335879</v>
      </c>
      <c r="BY98" s="542">
        <f>SUM('Value Segment'!BY33,'Mid-Market Segment'!BY33,'Upper Mid-Market Segment'!BY33,'Premium Segment'!BY33)/SUM('Value Segment'!BY$82,'Mid-Market Segment'!BY$82,'Upper Mid-Market Segment'!BY$82,'Premium Segment'!BY$82)</f>
        <v>-60.532985104335879</v>
      </c>
      <c r="CB98" s="8"/>
    </row>
    <row r="99" spans="3:80" x14ac:dyDescent="0.3">
      <c r="C99" s="2"/>
      <c r="D99" s="2"/>
      <c r="E99" s="4" t="s">
        <v>394</v>
      </c>
      <c r="F99" s="5"/>
      <c r="G99" s="5"/>
      <c r="H99" s="5"/>
      <c r="I99" s="507">
        <f>SUM('Value Segment'!I34,'Mid-Market Segment'!I34,'Upper Mid-Market Segment'!I34,'Premium Segment'!I34)/SUM('Value Segment'!I$82,'Mid-Market Segment'!I$82,'Upper Mid-Market Segment'!I$82,'Premium Segment'!I$82)</f>
        <v>3721.9795129870126</v>
      </c>
      <c r="J99" s="507">
        <f>SUM('Value Segment'!J34,'Mid-Market Segment'!J34,'Upper Mid-Market Segment'!J34,'Premium Segment'!J34)/SUM('Value Segment'!J$82,'Mid-Market Segment'!J$82,'Upper Mid-Market Segment'!J$82,'Premium Segment'!J$82)</f>
        <v>4344.3542425954256</v>
      </c>
      <c r="K99" s="507">
        <f>SUM('Value Segment'!K34,'Mid-Market Segment'!K34,'Upper Mid-Market Segment'!K34,'Premium Segment'!K34)/SUM('Value Segment'!K$82,'Mid-Market Segment'!K$82,'Upper Mid-Market Segment'!K$82,'Premium Segment'!K$82)</f>
        <v>4430.9779586547638</v>
      </c>
      <c r="L99" s="507">
        <f>SUM('Value Segment'!L34,'Mid-Market Segment'!L34,'Upper Mid-Market Segment'!L34,'Premium Segment'!L34)/SUM('Value Segment'!L$82,'Mid-Market Segment'!L$82,'Upper Mid-Market Segment'!L$82,'Premium Segment'!L$82)</f>
        <v>4516.8771672546764</v>
      </c>
      <c r="M99" s="507">
        <f>SUM('Value Segment'!M34,'Mid-Market Segment'!M34,'Upper Mid-Market Segment'!M34,'Premium Segment'!M34)/SUM('Value Segment'!M$82,'Mid-Market Segment'!M$82,'Upper Mid-Market Segment'!M$82,'Premium Segment'!M$82)</f>
        <v>4606.222644147032</v>
      </c>
      <c r="N99" s="507">
        <f>SUM('Value Segment'!N34,'Mid-Market Segment'!N34,'Upper Mid-Market Segment'!N34,'Premium Segment'!N34)/SUM('Value Segment'!N$82,'Mid-Market Segment'!N$82,'Upper Mid-Market Segment'!N$82,'Premium Segment'!N$82)</f>
        <v>4697.432533737664</v>
      </c>
      <c r="O99" s="57"/>
      <c r="P99" s="55">
        <f t="shared" si="98"/>
        <v>4.7652646968896706E-2</v>
      </c>
      <c r="R99" s="507">
        <f>SUM('Value Segment'!R34,'Mid-Market Segment'!R34,'Upper Mid-Market Segment'!R34,'Premium Segment'!R34)/SUM('Value Segment'!R$82,'Mid-Market Segment'!R$82,'Upper Mid-Market Segment'!R$82,'Premium Segment'!R$82)</f>
        <v>357.80477817833588</v>
      </c>
      <c r="S99" s="661">
        <f>SUM('Value Segment'!S34,'Mid-Market Segment'!S34,'Upper Mid-Market Segment'!S34,'Premium Segment'!S34)/SUM('Value Segment'!S$82,'Mid-Market Segment'!S$82,'Upper Mid-Market Segment'!S$82,'Premium Segment'!S$82)</f>
        <v>357.80477817833588</v>
      </c>
      <c r="T99" s="661">
        <f>SUM('Value Segment'!T34,'Mid-Market Segment'!T34,'Upper Mid-Market Segment'!T34,'Premium Segment'!T34)/SUM('Value Segment'!T$82,'Mid-Market Segment'!T$82,'Upper Mid-Market Segment'!T$82,'Premium Segment'!T$82)</f>
        <v>357.80477817833588</v>
      </c>
      <c r="U99" s="661">
        <f>SUM('Value Segment'!U34,'Mid-Market Segment'!U34,'Upper Mid-Market Segment'!U34,'Premium Segment'!U34)/SUM('Value Segment'!U$82,'Mid-Market Segment'!U$82,'Upper Mid-Market Segment'!U$82,'Premium Segment'!U$82)</f>
        <v>357.80477817833588</v>
      </c>
      <c r="V99" s="661">
        <f>SUM('Value Segment'!V34,'Mid-Market Segment'!V34,'Upper Mid-Market Segment'!V34,'Premium Segment'!V34)/SUM('Value Segment'!V$82,'Mid-Market Segment'!V$82,'Upper Mid-Market Segment'!V$82,'Premium Segment'!V$82)</f>
        <v>357.80477817833588</v>
      </c>
      <c r="W99" s="661">
        <f>SUM('Value Segment'!W34,'Mid-Market Segment'!W34,'Upper Mid-Market Segment'!W34,'Premium Segment'!W34)/SUM('Value Segment'!W$82,'Mid-Market Segment'!W$82,'Upper Mid-Market Segment'!W$82,'Premium Segment'!W$82)</f>
        <v>357.80477817833588</v>
      </c>
      <c r="X99" s="661">
        <f>SUM('Value Segment'!X34,'Mid-Market Segment'!X34,'Upper Mid-Market Segment'!X34,'Premium Segment'!X34)/SUM('Value Segment'!X$82,'Mid-Market Segment'!X$82,'Upper Mid-Market Segment'!X$82,'Premium Segment'!X$82)</f>
        <v>366.25426225423513</v>
      </c>
      <c r="Y99" s="661">
        <f>SUM('Value Segment'!Y34,'Mid-Market Segment'!Y34,'Upper Mid-Market Segment'!Y34,'Premium Segment'!Y34)/SUM('Value Segment'!Y$82,'Mid-Market Segment'!Y$82,'Upper Mid-Market Segment'!Y$82,'Premium Segment'!Y$82)</f>
        <v>366.25426225423513</v>
      </c>
      <c r="Z99" s="661">
        <f>SUM('Value Segment'!Z34,'Mid-Market Segment'!Z34,'Upper Mid-Market Segment'!Z34,'Premium Segment'!Z34)/SUM('Value Segment'!Z$82,'Mid-Market Segment'!Z$82,'Upper Mid-Market Segment'!Z$82,'Premium Segment'!Z$82)</f>
        <v>366.25426225423513</v>
      </c>
      <c r="AA99" s="661">
        <f>SUM('Value Segment'!AA34,'Mid-Market Segment'!AA34,'Upper Mid-Market Segment'!AA34,'Premium Segment'!AA34)/SUM('Value Segment'!AA$82,'Mid-Market Segment'!AA$82,'Upper Mid-Market Segment'!AA$82,'Premium Segment'!AA$82)</f>
        <v>366.25426225423513</v>
      </c>
      <c r="AB99" s="661">
        <f>SUM('Value Segment'!AB34,'Mid-Market Segment'!AB34,'Upper Mid-Market Segment'!AB34,'Premium Segment'!AB34)/SUM('Value Segment'!AB$82,'Mid-Market Segment'!AB$82,'Upper Mid-Market Segment'!AB$82,'Premium Segment'!AB$82)</f>
        <v>366.25426225423513</v>
      </c>
      <c r="AC99" s="661">
        <f>SUM('Value Segment'!AC34,'Mid-Market Segment'!AC34,'Upper Mid-Market Segment'!AC34,'Premium Segment'!AC34)/SUM('Value Segment'!AC$82,'Mid-Market Segment'!AC$82,'Upper Mid-Market Segment'!AC$82,'Premium Segment'!AC$82)</f>
        <v>366.25426225423513</v>
      </c>
      <c r="AD99" s="661">
        <f>SUM('Value Segment'!AD34,'Mid-Market Segment'!AD34,'Upper Mid-Market Segment'!AD34,'Premium Segment'!AD34)/SUM('Value Segment'!AD$82,'Mid-Market Segment'!AD$82,'Upper Mid-Market Segment'!AD$82,'Premium Segment'!AD$82)</f>
        <v>364.08419919926462</v>
      </c>
      <c r="AE99" s="661">
        <f>SUM('Value Segment'!AE34,'Mid-Market Segment'!AE34,'Upper Mid-Market Segment'!AE34,'Premium Segment'!AE34)/SUM('Value Segment'!AE$82,'Mid-Market Segment'!AE$82,'Upper Mid-Market Segment'!AE$82,'Premium Segment'!AE$82)</f>
        <v>364.08419919926462</v>
      </c>
      <c r="AF99" s="661">
        <f>SUM('Value Segment'!AF34,'Mid-Market Segment'!AF34,'Upper Mid-Market Segment'!AF34,'Premium Segment'!AF34)/SUM('Value Segment'!AF$82,'Mid-Market Segment'!AF$82,'Upper Mid-Market Segment'!AF$82,'Premium Segment'!AF$82)</f>
        <v>364.08419919926462</v>
      </c>
      <c r="AG99" s="661">
        <f>SUM('Value Segment'!AG34,'Mid-Market Segment'!AG34,'Upper Mid-Market Segment'!AG34,'Premium Segment'!AG34)/SUM('Value Segment'!AG$82,'Mid-Market Segment'!AG$82,'Upper Mid-Market Segment'!AG$82,'Premium Segment'!AG$82)</f>
        <v>364.08419919926462</v>
      </c>
      <c r="AH99" s="661">
        <f>SUM('Value Segment'!AH34,'Mid-Market Segment'!AH34,'Upper Mid-Market Segment'!AH34,'Premium Segment'!AH34)/SUM('Value Segment'!AH$82,'Mid-Market Segment'!AH$82,'Upper Mid-Market Segment'!AH$82,'Premium Segment'!AH$82)</f>
        <v>364.08419919926462</v>
      </c>
      <c r="AI99" s="661">
        <f>SUM('Value Segment'!AI34,'Mid-Market Segment'!AI34,'Upper Mid-Market Segment'!AI34,'Premium Segment'!AI34)/SUM('Value Segment'!AI$82,'Mid-Market Segment'!AI$82,'Upper Mid-Market Segment'!AI$82,'Premium Segment'!AI$82)</f>
        <v>364.08419919926462</v>
      </c>
      <c r="AJ99" s="661">
        <f>SUM('Value Segment'!AJ34,'Mid-Market Segment'!AJ34,'Upper Mid-Market Segment'!AJ34,'Premium Segment'!AJ34)/SUM('Value Segment'!AJ$82,'Mid-Market Segment'!AJ$82,'Upper Mid-Market Segment'!AJ$82,'Premium Segment'!AJ$82)</f>
        <v>374.41212724319615</v>
      </c>
      <c r="AK99" s="661">
        <f>SUM('Value Segment'!AK34,'Mid-Market Segment'!AK34,'Upper Mid-Market Segment'!AK34,'Premium Segment'!AK34)/SUM('Value Segment'!AK$82,'Mid-Market Segment'!AK$82,'Upper Mid-Market Segment'!AK$82,'Premium Segment'!AK$82)</f>
        <v>374.41212724319615</v>
      </c>
      <c r="AL99" s="661">
        <f>SUM('Value Segment'!AL34,'Mid-Market Segment'!AL34,'Upper Mid-Market Segment'!AL34,'Premium Segment'!AL34)/SUM('Value Segment'!AL$82,'Mid-Market Segment'!AL$82,'Upper Mid-Market Segment'!AL$82,'Premium Segment'!AL$82)</f>
        <v>374.41212724319615</v>
      </c>
      <c r="AM99" s="661">
        <f>SUM('Value Segment'!AM34,'Mid-Market Segment'!AM34,'Upper Mid-Market Segment'!AM34,'Premium Segment'!AM34)/SUM('Value Segment'!AM$82,'Mid-Market Segment'!AM$82,'Upper Mid-Market Segment'!AM$82,'Premium Segment'!AM$82)</f>
        <v>374.41212724319615</v>
      </c>
      <c r="AN99" s="661">
        <f>SUM('Value Segment'!AN34,'Mid-Market Segment'!AN34,'Upper Mid-Market Segment'!AN34,'Premium Segment'!AN34)/SUM('Value Segment'!AN$82,'Mid-Market Segment'!AN$82,'Upper Mid-Market Segment'!AN$82,'Premium Segment'!AN$82)</f>
        <v>374.41212724319615</v>
      </c>
      <c r="AO99" s="661">
        <f>SUM('Value Segment'!AO34,'Mid-Market Segment'!AO34,'Upper Mid-Market Segment'!AO34,'Premium Segment'!AO34)/SUM('Value Segment'!AO$82,'Mid-Market Segment'!AO$82,'Upper Mid-Market Segment'!AO$82,'Premium Segment'!AO$82)</f>
        <v>374.41212724319615</v>
      </c>
      <c r="AP99" s="661">
        <f>SUM('Value Segment'!AP34,'Mid-Market Segment'!AP34,'Upper Mid-Market Segment'!AP34,'Premium Segment'!AP34)/SUM('Value Segment'!AP$82,'Mid-Market Segment'!AP$82,'Upper Mid-Market Segment'!AP$82,'Premium Segment'!AP$82)</f>
        <v>370.3164084795896</v>
      </c>
      <c r="AQ99" s="661">
        <f>SUM('Value Segment'!AQ34,'Mid-Market Segment'!AQ34,'Upper Mid-Market Segment'!AQ34,'Premium Segment'!AQ34)/SUM('Value Segment'!AQ$82,'Mid-Market Segment'!AQ$82,'Upper Mid-Market Segment'!AQ$82,'Premium Segment'!AQ$82)</f>
        <v>370.3164084795896</v>
      </c>
      <c r="AR99" s="661">
        <f>SUM('Value Segment'!AR34,'Mid-Market Segment'!AR34,'Upper Mid-Market Segment'!AR34,'Premium Segment'!AR34)/SUM('Value Segment'!AR$82,'Mid-Market Segment'!AR$82,'Upper Mid-Market Segment'!AR$82,'Premium Segment'!AR$82)</f>
        <v>370.3164084795896</v>
      </c>
      <c r="AS99" s="661">
        <f>SUM('Value Segment'!AS34,'Mid-Market Segment'!AS34,'Upper Mid-Market Segment'!AS34,'Premium Segment'!AS34)/SUM('Value Segment'!AS$82,'Mid-Market Segment'!AS$82,'Upper Mid-Market Segment'!AS$82,'Premium Segment'!AS$82)</f>
        <v>370.3164084795896</v>
      </c>
      <c r="AT99" s="661">
        <f>SUM('Value Segment'!AT34,'Mid-Market Segment'!AT34,'Upper Mid-Market Segment'!AT34,'Premium Segment'!AT34)/SUM('Value Segment'!AT$82,'Mid-Market Segment'!AT$82,'Upper Mid-Market Segment'!AT$82,'Premium Segment'!AT$82)</f>
        <v>370.3164084795896</v>
      </c>
      <c r="AU99" s="661">
        <f>SUM('Value Segment'!AU34,'Mid-Market Segment'!AU34,'Upper Mid-Market Segment'!AU34,'Premium Segment'!AU34)/SUM('Value Segment'!AU$82,'Mid-Market Segment'!AU$82,'Upper Mid-Market Segment'!AU$82,'Premium Segment'!AU$82)</f>
        <v>370.3164084795896</v>
      </c>
      <c r="AV99" s="661">
        <f>SUM('Value Segment'!AV34,'Mid-Market Segment'!AV34,'Upper Mid-Market Segment'!AV34,'Premium Segment'!AV34)/SUM('Value Segment'!AV$82,'Mid-Market Segment'!AV$82,'Upper Mid-Market Segment'!AV$82,'Premium Segment'!AV$82)</f>
        <v>382.49645272952301</v>
      </c>
      <c r="AW99" s="661">
        <f>SUM('Value Segment'!AW34,'Mid-Market Segment'!AW34,'Upper Mid-Market Segment'!AW34,'Premium Segment'!AW34)/SUM('Value Segment'!AW$82,'Mid-Market Segment'!AW$82,'Upper Mid-Market Segment'!AW$82,'Premium Segment'!AW$82)</f>
        <v>382.49645272952301</v>
      </c>
      <c r="AX99" s="661">
        <f>SUM('Value Segment'!AX34,'Mid-Market Segment'!AX34,'Upper Mid-Market Segment'!AX34,'Premium Segment'!AX34)/SUM('Value Segment'!AX$82,'Mid-Market Segment'!AX$82,'Upper Mid-Market Segment'!AX$82,'Premium Segment'!AX$82)</f>
        <v>382.49645272952301</v>
      </c>
      <c r="AY99" s="661">
        <f>SUM('Value Segment'!AY34,'Mid-Market Segment'!AY34,'Upper Mid-Market Segment'!AY34,'Premium Segment'!AY34)/SUM('Value Segment'!AY$82,'Mid-Market Segment'!AY$82,'Upper Mid-Market Segment'!AY$82,'Premium Segment'!AY$82)</f>
        <v>382.49645272952301</v>
      </c>
      <c r="AZ99" s="661">
        <f>SUM('Value Segment'!AZ34,'Mid-Market Segment'!AZ34,'Upper Mid-Market Segment'!AZ34,'Premium Segment'!AZ34)/SUM('Value Segment'!AZ$82,'Mid-Market Segment'!AZ$82,'Upper Mid-Market Segment'!AZ$82,'Premium Segment'!AZ$82)</f>
        <v>382.49645272952301</v>
      </c>
      <c r="BA99" s="661">
        <f>SUM('Value Segment'!BA34,'Mid-Market Segment'!BA34,'Upper Mid-Market Segment'!BA34,'Premium Segment'!BA34)/SUM('Value Segment'!BA$82,'Mid-Market Segment'!BA$82,'Upper Mid-Market Segment'!BA$82,'Premium Segment'!BA$82)</f>
        <v>382.49645272952301</v>
      </c>
      <c r="BB99" s="661">
        <f>SUM('Value Segment'!BB34,'Mid-Market Segment'!BB34,'Upper Mid-Market Segment'!BB34,'Premium Segment'!BB34)/SUM('Value Segment'!BB$82,'Mid-Market Segment'!BB$82,'Upper Mid-Market Segment'!BB$82,'Premium Segment'!BB$82)</f>
        <v>376.84311248012966</v>
      </c>
      <c r="BC99" s="661">
        <f>SUM('Value Segment'!BC34,'Mid-Market Segment'!BC34,'Upper Mid-Market Segment'!BC34,'Premium Segment'!BC34)/SUM('Value Segment'!BC$82,'Mid-Market Segment'!BC$82,'Upper Mid-Market Segment'!BC$82,'Premium Segment'!BC$82)</f>
        <v>376.84311248012966</v>
      </c>
      <c r="BD99" s="661">
        <f>SUM('Value Segment'!BD34,'Mid-Market Segment'!BD34,'Upper Mid-Market Segment'!BD34,'Premium Segment'!BD34)/SUM('Value Segment'!BD$82,'Mid-Market Segment'!BD$82,'Upper Mid-Market Segment'!BD$82,'Premium Segment'!BD$82)</f>
        <v>376.84311248012966</v>
      </c>
      <c r="BE99" s="661">
        <f>SUM('Value Segment'!BE34,'Mid-Market Segment'!BE34,'Upper Mid-Market Segment'!BE34,'Premium Segment'!BE34)/SUM('Value Segment'!BE$82,'Mid-Market Segment'!BE$82,'Upper Mid-Market Segment'!BE$82,'Premium Segment'!BE$82)</f>
        <v>376.84311248012966</v>
      </c>
      <c r="BF99" s="661">
        <f>SUM('Value Segment'!BF34,'Mid-Market Segment'!BF34,'Upper Mid-Market Segment'!BF34,'Premium Segment'!BF34)/SUM('Value Segment'!BF$82,'Mid-Market Segment'!BF$82,'Upper Mid-Market Segment'!BF$82,'Premium Segment'!BF$82)</f>
        <v>376.84311248012966</v>
      </c>
      <c r="BG99" s="661">
        <f>SUM('Value Segment'!BG34,'Mid-Market Segment'!BG34,'Upper Mid-Market Segment'!BG34,'Premium Segment'!BG34)/SUM('Value Segment'!BG$82,'Mid-Market Segment'!BG$82,'Upper Mid-Market Segment'!BG$82,'Premium Segment'!BG$82)</f>
        <v>376.84311248012966</v>
      </c>
      <c r="BH99" s="661">
        <f>SUM('Value Segment'!BH34,'Mid-Market Segment'!BH34,'Upper Mid-Market Segment'!BH34,'Premium Segment'!BH34)/SUM('Value Segment'!BH$82,'Mid-Market Segment'!BH$82,'Upper Mid-Market Segment'!BH$82,'Premium Segment'!BH$82)</f>
        <v>390.86066154437566</v>
      </c>
      <c r="BI99" s="661">
        <f>SUM('Value Segment'!BI34,'Mid-Market Segment'!BI34,'Upper Mid-Market Segment'!BI34,'Premium Segment'!BI34)/SUM('Value Segment'!BI$82,'Mid-Market Segment'!BI$82,'Upper Mid-Market Segment'!BI$82,'Premium Segment'!BI$82)</f>
        <v>390.86066154437566</v>
      </c>
      <c r="BJ99" s="661">
        <f>SUM('Value Segment'!BJ34,'Mid-Market Segment'!BJ34,'Upper Mid-Market Segment'!BJ34,'Premium Segment'!BJ34)/SUM('Value Segment'!BJ$82,'Mid-Market Segment'!BJ$82,'Upper Mid-Market Segment'!BJ$82,'Premium Segment'!BJ$82)</f>
        <v>390.86066154437566</v>
      </c>
      <c r="BK99" s="661">
        <f>SUM('Value Segment'!BK34,'Mid-Market Segment'!BK34,'Upper Mid-Market Segment'!BK34,'Premium Segment'!BK34)/SUM('Value Segment'!BK$82,'Mid-Market Segment'!BK$82,'Upper Mid-Market Segment'!BK$82,'Premium Segment'!BK$82)</f>
        <v>390.86066154437566</v>
      </c>
      <c r="BL99" s="661">
        <f>SUM('Value Segment'!BL34,'Mid-Market Segment'!BL34,'Upper Mid-Market Segment'!BL34,'Premium Segment'!BL34)/SUM('Value Segment'!BL$82,'Mid-Market Segment'!BL$82,'Upper Mid-Market Segment'!BL$82,'Premium Segment'!BL$82)</f>
        <v>390.86066154437566</v>
      </c>
      <c r="BM99" s="661">
        <f>SUM('Value Segment'!BM34,'Mid-Market Segment'!BM34,'Upper Mid-Market Segment'!BM34,'Premium Segment'!BM34)/SUM('Value Segment'!BM$82,'Mid-Market Segment'!BM$82,'Upper Mid-Market Segment'!BM$82,'Premium Segment'!BM$82)</f>
        <v>390.86066154437566</v>
      </c>
      <c r="BN99" s="661">
        <f>SUM('Value Segment'!BN34,'Mid-Market Segment'!BN34,'Upper Mid-Market Segment'!BN34,'Premium Segment'!BN34)/SUM('Value Segment'!BN$82,'Mid-Market Segment'!BN$82,'Upper Mid-Market Segment'!BN$82,'Premium Segment'!BN$82)</f>
        <v>383.54260569065008</v>
      </c>
      <c r="BO99" s="661">
        <f>SUM('Value Segment'!BO34,'Mid-Market Segment'!BO34,'Upper Mid-Market Segment'!BO34,'Premium Segment'!BO34)/SUM('Value Segment'!BO$82,'Mid-Market Segment'!BO$82,'Upper Mid-Market Segment'!BO$82,'Premium Segment'!BO$82)</f>
        <v>383.54260569065008</v>
      </c>
      <c r="BP99" s="661">
        <f>SUM('Value Segment'!BP34,'Mid-Market Segment'!BP34,'Upper Mid-Market Segment'!BP34,'Premium Segment'!BP34)/SUM('Value Segment'!BP$82,'Mid-Market Segment'!BP$82,'Upper Mid-Market Segment'!BP$82,'Premium Segment'!BP$82)</f>
        <v>383.54260569065008</v>
      </c>
      <c r="BQ99" s="661">
        <f>SUM('Value Segment'!BQ34,'Mid-Market Segment'!BQ34,'Upper Mid-Market Segment'!BQ34,'Premium Segment'!BQ34)/SUM('Value Segment'!BQ$82,'Mid-Market Segment'!BQ$82,'Upper Mid-Market Segment'!BQ$82,'Premium Segment'!BQ$82)</f>
        <v>383.54260569065008</v>
      </c>
      <c r="BR99" s="661">
        <f>SUM('Value Segment'!BR34,'Mid-Market Segment'!BR34,'Upper Mid-Market Segment'!BR34,'Premium Segment'!BR34)/SUM('Value Segment'!BR$82,'Mid-Market Segment'!BR$82,'Upper Mid-Market Segment'!BR$82,'Premium Segment'!BR$82)</f>
        <v>383.54260569065008</v>
      </c>
      <c r="BS99" s="661">
        <f>SUM('Value Segment'!BS34,'Mid-Market Segment'!BS34,'Upper Mid-Market Segment'!BS34,'Premium Segment'!BS34)/SUM('Value Segment'!BS$82,'Mid-Market Segment'!BS$82,'Upper Mid-Market Segment'!BS$82,'Premium Segment'!BS$82)</f>
        <v>383.54260569065008</v>
      </c>
      <c r="BT99" s="661">
        <f>SUM('Value Segment'!BT34,'Mid-Market Segment'!BT34,'Upper Mid-Market Segment'!BT34,'Premium Segment'!BT34)/SUM('Value Segment'!BT$82,'Mid-Market Segment'!BT$82,'Upper Mid-Market Segment'!BT$82,'Premium Segment'!BT$82)</f>
        <v>399.36281659896059</v>
      </c>
      <c r="BU99" s="661">
        <f>SUM('Value Segment'!BU34,'Mid-Market Segment'!BU34,'Upper Mid-Market Segment'!BU34,'Premium Segment'!BU34)/SUM('Value Segment'!BU$82,'Mid-Market Segment'!BU$82,'Upper Mid-Market Segment'!BU$82,'Premium Segment'!BU$82)</f>
        <v>399.36281659896059</v>
      </c>
      <c r="BV99" s="661">
        <f>SUM('Value Segment'!BV34,'Mid-Market Segment'!BV34,'Upper Mid-Market Segment'!BV34,'Premium Segment'!BV34)/SUM('Value Segment'!BV$82,'Mid-Market Segment'!BV$82,'Upper Mid-Market Segment'!BV$82,'Premium Segment'!BV$82)</f>
        <v>399.36281659896059</v>
      </c>
      <c r="BW99" s="661">
        <f>SUM('Value Segment'!BW34,'Mid-Market Segment'!BW34,'Upper Mid-Market Segment'!BW34,'Premium Segment'!BW34)/SUM('Value Segment'!BW$82,'Mid-Market Segment'!BW$82,'Upper Mid-Market Segment'!BW$82,'Premium Segment'!BW$82)</f>
        <v>399.36281659896059</v>
      </c>
      <c r="BX99" s="661">
        <f>SUM('Value Segment'!BX34,'Mid-Market Segment'!BX34,'Upper Mid-Market Segment'!BX34,'Premium Segment'!BX34)/SUM('Value Segment'!BX$82,'Mid-Market Segment'!BX$82,'Upper Mid-Market Segment'!BX$82,'Premium Segment'!BX$82)</f>
        <v>399.36281659896059</v>
      </c>
      <c r="BY99" s="661">
        <f>SUM('Value Segment'!BY34,'Mid-Market Segment'!BY34,'Upper Mid-Market Segment'!BY34,'Premium Segment'!BY34)/SUM('Value Segment'!BY$82,'Mid-Market Segment'!BY$82,'Upper Mid-Market Segment'!BY$82,'Premium Segment'!BY$82)</f>
        <v>399.36281659896059</v>
      </c>
      <c r="CB99" s="8"/>
    </row>
    <row r="100" spans="3:80" x14ac:dyDescent="0.3">
      <c r="C100" s="2"/>
      <c r="D100" s="2"/>
      <c r="E100" s="2" t="s">
        <v>395</v>
      </c>
      <c r="F100" s="54"/>
      <c r="G100" s="54"/>
      <c r="H100" s="54"/>
      <c r="I100" s="19">
        <f>SUM('Value Segment'!I35,'Mid-Market Segment'!I35,'Upper Mid-Market Segment'!I35,'Premium Segment'!I35)/SUM('Value Segment'!I$82,'Mid-Market Segment'!I$82,'Upper Mid-Market Segment'!I$82,'Premium Segment'!I$82)</f>
        <v>-481.81659014621641</v>
      </c>
      <c r="J100" s="19">
        <f>SUM('Value Segment'!J35,'Mid-Market Segment'!J35,'Upper Mid-Market Segment'!J35,'Premium Segment'!J35)/SUM('Value Segment'!J$82,'Mid-Market Segment'!J$82,'Upper Mid-Market Segment'!J$82,'Premium Segment'!J$82)</f>
        <v>-487.42958345922347</v>
      </c>
      <c r="K100" s="19">
        <f>SUM('Value Segment'!K35,'Mid-Market Segment'!K35,'Upper Mid-Market Segment'!K35,'Premium Segment'!K35)/SUM('Value Segment'!K$82,'Mid-Market Segment'!K$82,'Upper Mid-Market Segment'!K$82,'Premium Segment'!K$82)</f>
        <v>-497.04936318832688</v>
      </c>
      <c r="L100" s="19">
        <f>SUM('Value Segment'!L35,'Mid-Market Segment'!L35,'Upper Mid-Market Segment'!L35,'Premium Segment'!L35)/SUM('Value Segment'!L$82,'Mid-Market Segment'!L$82,'Upper Mid-Market Segment'!L$82,'Premium Segment'!L$82)</f>
        <v>-506.58749677396082</v>
      </c>
      <c r="M100" s="19">
        <f>SUM('Value Segment'!M35,'Mid-Market Segment'!M35,'Upper Mid-Market Segment'!M35,'Premium Segment'!M35)/SUM('Value Segment'!M$82,'Mid-Market Segment'!M$82,'Upper Mid-Market Segment'!M$82,'Premium Segment'!M$82)</f>
        <v>-516.48405721368158</v>
      </c>
      <c r="N100" s="19">
        <f>SUM('Value Segment'!N35,'Mid-Market Segment'!N35,'Upper Mid-Market Segment'!N35,'Premium Segment'!N35)/SUM('Value Segment'!N$82,'Mid-Market Segment'!N$82,'Upper Mid-Market Segment'!N$82,'Premium Segment'!N$82)</f>
        <v>-526.56118172847994</v>
      </c>
      <c r="O100" s="37"/>
      <c r="P100" s="50">
        <f t="shared" si="98"/>
        <v>1.7919462187365509E-2</v>
      </c>
      <c r="R100" s="19">
        <f>SUM('Value Segment'!R35,'Mid-Market Segment'!R35,'Upper Mid-Market Segment'!R35,'Premium Segment'!R35)/SUM('Value Segment'!R$82,'Mid-Market Segment'!R$82,'Upper Mid-Market Segment'!R$82,'Premium Segment'!R$82)</f>
        <v>-40.151382512184711</v>
      </c>
      <c r="S100" s="542">
        <f>SUM('Value Segment'!S35,'Mid-Market Segment'!S35,'Upper Mid-Market Segment'!S35,'Premium Segment'!S35)/SUM('Value Segment'!S$82,'Mid-Market Segment'!S$82,'Upper Mid-Market Segment'!S$82,'Premium Segment'!S$82)</f>
        <v>-40.151382512184711</v>
      </c>
      <c r="T100" s="542">
        <f>SUM('Value Segment'!T35,'Mid-Market Segment'!T35,'Upper Mid-Market Segment'!T35,'Premium Segment'!T35)/SUM('Value Segment'!T$82,'Mid-Market Segment'!T$82,'Upper Mid-Market Segment'!T$82,'Premium Segment'!T$82)</f>
        <v>-40.151382512184711</v>
      </c>
      <c r="U100" s="542">
        <f>SUM('Value Segment'!U35,'Mid-Market Segment'!U35,'Upper Mid-Market Segment'!U35,'Premium Segment'!U35)/SUM('Value Segment'!U$82,'Mid-Market Segment'!U$82,'Upper Mid-Market Segment'!U$82,'Premium Segment'!U$82)</f>
        <v>-40.151382512184711</v>
      </c>
      <c r="V100" s="542">
        <f>SUM('Value Segment'!V35,'Mid-Market Segment'!V35,'Upper Mid-Market Segment'!V35,'Premium Segment'!V35)/SUM('Value Segment'!V$82,'Mid-Market Segment'!V$82,'Upper Mid-Market Segment'!V$82,'Premium Segment'!V$82)</f>
        <v>-40.151382512184711</v>
      </c>
      <c r="W100" s="542">
        <f>SUM('Value Segment'!W35,'Mid-Market Segment'!W35,'Upper Mid-Market Segment'!W35,'Premium Segment'!W35)/SUM('Value Segment'!W$82,'Mid-Market Segment'!W$82,'Upper Mid-Market Segment'!W$82,'Premium Segment'!W$82)</f>
        <v>-40.151382512184711</v>
      </c>
      <c r="X100" s="542">
        <f>SUM('Value Segment'!X35,'Mid-Market Segment'!X35,'Upper Mid-Market Segment'!X35,'Premium Segment'!X35)/SUM('Value Segment'!X$82,'Mid-Market Segment'!X$82,'Upper Mid-Market Segment'!X$82,'Premium Segment'!X$82)</f>
        <v>-41.086881397685872</v>
      </c>
      <c r="Y100" s="542">
        <f>SUM('Value Segment'!Y35,'Mid-Market Segment'!Y35,'Upper Mid-Market Segment'!Y35,'Premium Segment'!Y35)/SUM('Value Segment'!Y$82,'Mid-Market Segment'!Y$82,'Upper Mid-Market Segment'!Y$82,'Premium Segment'!Y$82)</f>
        <v>-41.086881397685872</v>
      </c>
      <c r="Z100" s="542">
        <f>SUM('Value Segment'!Z35,'Mid-Market Segment'!Z35,'Upper Mid-Market Segment'!Z35,'Premium Segment'!Z35)/SUM('Value Segment'!Z$82,'Mid-Market Segment'!Z$82,'Upper Mid-Market Segment'!Z$82,'Premium Segment'!Z$82)</f>
        <v>-41.086881397685872</v>
      </c>
      <c r="AA100" s="542">
        <f>SUM('Value Segment'!AA35,'Mid-Market Segment'!AA35,'Upper Mid-Market Segment'!AA35,'Premium Segment'!AA35)/SUM('Value Segment'!AA$82,'Mid-Market Segment'!AA$82,'Upper Mid-Market Segment'!AA$82,'Premium Segment'!AA$82)</f>
        <v>-41.086881397685872</v>
      </c>
      <c r="AB100" s="542">
        <f>SUM('Value Segment'!AB35,'Mid-Market Segment'!AB35,'Upper Mid-Market Segment'!AB35,'Premium Segment'!AB35)/SUM('Value Segment'!AB$82,'Mid-Market Segment'!AB$82,'Upper Mid-Market Segment'!AB$82,'Premium Segment'!AB$82)</f>
        <v>-41.086881397685872</v>
      </c>
      <c r="AC100" s="542">
        <f>SUM('Value Segment'!AC35,'Mid-Market Segment'!AC35,'Upper Mid-Market Segment'!AC35,'Premium Segment'!AC35)/SUM('Value Segment'!AC$82,'Mid-Market Segment'!AC$82,'Upper Mid-Market Segment'!AC$82,'Premium Segment'!AC$82)</f>
        <v>-41.086881397685872</v>
      </c>
      <c r="AD100" s="542">
        <f>SUM('Value Segment'!AD35,'Mid-Market Segment'!AD35,'Upper Mid-Market Segment'!AD35,'Premium Segment'!AD35)/SUM('Value Segment'!AD$82,'Mid-Market Segment'!AD$82,'Upper Mid-Market Segment'!AD$82,'Premium Segment'!AD$82)</f>
        <v>-40.851020826014057</v>
      </c>
      <c r="AE100" s="542">
        <f>SUM('Value Segment'!AE35,'Mid-Market Segment'!AE35,'Upper Mid-Market Segment'!AE35,'Premium Segment'!AE35)/SUM('Value Segment'!AE$82,'Mid-Market Segment'!AE$82,'Upper Mid-Market Segment'!AE$82,'Premium Segment'!AE$82)</f>
        <v>-40.851020826014057</v>
      </c>
      <c r="AF100" s="542">
        <f>SUM('Value Segment'!AF35,'Mid-Market Segment'!AF35,'Upper Mid-Market Segment'!AF35,'Premium Segment'!AF35)/SUM('Value Segment'!AF$82,'Mid-Market Segment'!AF$82,'Upper Mid-Market Segment'!AF$82,'Premium Segment'!AF$82)</f>
        <v>-40.851020826014057</v>
      </c>
      <c r="AG100" s="542">
        <f>SUM('Value Segment'!AG35,'Mid-Market Segment'!AG35,'Upper Mid-Market Segment'!AG35,'Premium Segment'!AG35)/SUM('Value Segment'!AG$82,'Mid-Market Segment'!AG$82,'Upper Mid-Market Segment'!AG$82,'Premium Segment'!AG$82)</f>
        <v>-40.851020826014057</v>
      </c>
      <c r="AH100" s="542">
        <f>SUM('Value Segment'!AH35,'Mid-Market Segment'!AH35,'Upper Mid-Market Segment'!AH35,'Premium Segment'!AH35)/SUM('Value Segment'!AH$82,'Mid-Market Segment'!AH$82,'Upper Mid-Market Segment'!AH$82,'Premium Segment'!AH$82)</f>
        <v>-40.851020826014057</v>
      </c>
      <c r="AI100" s="542">
        <f>SUM('Value Segment'!AI35,'Mid-Market Segment'!AI35,'Upper Mid-Market Segment'!AI35,'Premium Segment'!AI35)/SUM('Value Segment'!AI$82,'Mid-Market Segment'!AI$82,'Upper Mid-Market Segment'!AI$82,'Premium Segment'!AI$82)</f>
        <v>-40.851020826014057</v>
      </c>
      <c r="AJ100" s="542">
        <f>SUM('Value Segment'!AJ35,'Mid-Market Segment'!AJ35,'Upper Mid-Market Segment'!AJ35,'Premium Segment'!AJ35)/SUM('Value Segment'!AJ$82,'Mid-Market Segment'!AJ$82,'Upper Mid-Market Segment'!AJ$82,'Premium Segment'!AJ$82)</f>
        <v>-41.990539705373749</v>
      </c>
      <c r="AK100" s="542">
        <f>SUM('Value Segment'!AK35,'Mid-Market Segment'!AK35,'Upper Mid-Market Segment'!AK35,'Premium Segment'!AK35)/SUM('Value Segment'!AK$82,'Mid-Market Segment'!AK$82,'Upper Mid-Market Segment'!AK$82,'Premium Segment'!AK$82)</f>
        <v>-41.990539705373749</v>
      </c>
      <c r="AL100" s="542">
        <f>SUM('Value Segment'!AL35,'Mid-Market Segment'!AL35,'Upper Mid-Market Segment'!AL35,'Premium Segment'!AL35)/SUM('Value Segment'!AL$82,'Mid-Market Segment'!AL$82,'Upper Mid-Market Segment'!AL$82,'Premium Segment'!AL$82)</f>
        <v>-41.990539705373749</v>
      </c>
      <c r="AM100" s="542">
        <f>SUM('Value Segment'!AM35,'Mid-Market Segment'!AM35,'Upper Mid-Market Segment'!AM35,'Premium Segment'!AM35)/SUM('Value Segment'!AM$82,'Mid-Market Segment'!AM$82,'Upper Mid-Market Segment'!AM$82,'Premium Segment'!AM$82)</f>
        <v>-41.990539705373749</v>
      </c>
      <c r="AN100" s="542">
        <f>SUM('Value Segment'!AN35,'Mid-Market Segment'!AN35,'Upper Mid-Market Segment'!AN35,'Premium Segment'!AN35)/SUM('Value Segment'!AN$82,'Mid-Market Segment'!AN$82,'Upper Mid-Market Segment'!AN$82,'Premium Segment'!AN$82)</f>
        <v>-41.990539705373749</v>
      </c>
      <c r="AO100" s="542">
        <f>SUM('Value Segment'!AO35,'Mid-Market Segment'!AO35,'Upper Mid-Market Segment'!AO35,'Premium Segment'!AO35)/SUM('Value Segment'!AO$82,'Mid-Market Segment'!AO$82,'Upper Mid-Market Segment'!AO$82,'Premium Segment'!AO$82)</f>
        <v>-41.990539705373749</v>
      </c>
      <c r="AP100" s="542">
        <f>SUM('Value Segment'!AP35,'Mid-Market Segment'!AP35,'Upper Mid-Market Segment'!AP35,'Premium Segment'!AP35)/SUM('Value Segment'!AP$82,'Mid-Market Segment'!AP$82,'Upper Mid-Market Segment'!AP$82,'Premium Segment'!AP$82)</f>
        <v>-41.54527885477944</v>
      </c>
      <c r="AQ100" s="542">
        <f>SUM('Value Segment'!AQ35,'Mid-Market Segment'!AQ35,'Upper Mid-Market Segment'!AQ35,'Premium Segment'!AQ35)/SUM('Value Segment'!AQ$82,'Mid-Market Segment'!AQ$82,'Upper Mid-Market Segment'!AQ$82,'Premium Segment'!AQ$82)</f>
        <v>-41.54527885477944</v>
      </c>
      <c r="AR100" s="542">
        <f>SUM('Value Segment'!AR35,'Mid-Market Segment'!AR35,'Upper Mid-Market Segment'!AR35,'Premium Segment'!AR35)/SUM('Value Segment'!AR$82,'Mid-Market Segment'!AR$82,'Upper Mid-Market Segment'!AR$82,'Premium Segment'!AR$82)</f>
        <v>-41.54527885477944</v>
      </c>
      <c r="AS100" s="542">
        <f>SUM('Value Segment'!AS35,'Mid-Market Segment'!AS35,'Upper Mid-Market Segment'!AS35,'Premium Segment'!AS35)/SUM('Value Segment'!AS$82,'Mid-Market Segment'!AS$82,'Upper Mid-Market Segment'!AS$82,'Premium Segment'!AS$82)</f>
        <v>-41.54527885477944</v>
      </c>
      <c r="AT100" s="542">
        <f>SUM('Value Segment'!AT35,'Mid-Market Segment'!AT35,'Upper Mid-Market Segment'!AT35,'Premium Segment'!AT35)/SUM('Value Segment'!AT$82,'Mid-Market Segment'!AT$82,'Upper Mid-Market Segment'!AT$82,'Premium Segment'!AT$82)</f>
        <v>-41.54527885477944</v>
      </c>
      <c r="AU100" s="542">
        <f>SUM('Value Segment'!AU35,'Mid-Market Segment'!AU35,'Upper Mid-Market Segment'!AU35,'Premium Segment'!AU35)/SUM('Value Segment'!AU$82,'Mid-Market Segment'!AU$82,'Upper Mid-Market Segment'!AU$82,'Premium Segment'!AU$82)</f>
        <v>-41.54527885477944</v>
      </c>
      <c r="AV100" s="542">
        <f>SUM('Value Segment'!AV35,'Mid-Market Segment'!AV35,'Upper Mid-Market Segment'!AV35,'Premium Segment'!AV35)/SUM('Value Segment'!AV$82,'Mid-Market Segment'!AV$82,'Upper Mid-Market Segment'!AV$82,'Premium Segment'!AV$82)</f>
        <v>-42.885970607547364</v>
      </c>
      <c r="AW100" s="542">
        <f>SUM('Value Segment'!AW35,'Mid-Market Segment'!AW35,'Upper Mid-Market Segment'!AW35,'Premium Segment'!AW35)/SUM('Value Segment'!AW$82,'Mid-Market Segment'!AW$82,'Upper Mid-Market Segment'!AW$82,'Premium Segment'!AW$82)</f>
        <v>-42.885970607547364</v>
      </c>
      <c r="AX100" s="542">
        <f>SUM('Value Segment'!AX35,'Mid-Market Segment'!AX35,'Upper Mid-Market Segment'!AX35,'Premium Segment'!AX35)/SUM('Value Segment'!AX$82,'Mid-Market Segment'!AX$82,'Upper Mid-Market Segment'!AX$82,'Premium Segment'!AX$82)</f>
        <v>-42.885970607547364</v>
      </c>
      <c r="AY100" s="542">
        <f>SUM('Value Segment'!AY35,'Mid-Market Segment'!AY35,'Upper Mid-Market Segment'!AY35,'Premium Segment'!AY35)/SUM('Value Segment'!AY$82,'Mid-Market Segment'!AY$82,'Upper Mid-Market Segment'!AY$82,'Premium Segment'!AY$82)</f>
        <v>-42.885970607547364</v>
      </c>
      <c r="AZ100" s="542">
        <f>SUM('Value Segment'!AZ35,'Mid-Market Segment'!AZ35,'Upper Mid-Market Segment'!AZ35,'Premium Segment'!AZ35)/SUM('Value Segment'!AZ$82,'Mid-Market Segment'!AZ$82,'Upper Mid-Market Segment'!AZ$82,'Premium Segment'!AZ$82)</f>
        <v>-42.885970607547364</v>
      </c>
      <c r="BA100" s="542">
        <f>SUM('Value Segment'!BA35,'Mid-Market Segment'!BA35,'Upper Mid-Market Segment'!BA35,'Premium Segment'!BA35)/SUM('Value Segment'!BA$82,'Mid-Market Segment'!BA$82,'Upper Mid-Market Segment'!BA$82,'Premium Segment'!BA$82)</f>
        <v>-42.885970607547364</v>
      </c>
      <c r="BB100" s="542">
        <f>SUM('Value Segment'!BB35,'Mid-Market Segment'!BB35,'Upper Mid-Market Segment'!BB35,'Premium Segment'!BB35)/SUM('Value Segment'!BB$82,'Mid-Market Segment'!BB$82,'Upper Mid-Market Segment'!BB$82,'Premium Segment'!BB$82)</f>
        <v>-42.270193362399745</v>
      </c>
      <c r="BC100" s="542">
        <f>SUM('Value Segment'!BC35,'Mid-Market Segment'!BC35,'Upper Mid-Market Segment'!BC35,'Premium Segment'!BC35)/SUM('Value Segment'!BC$82,'Mid-Market Segment'!BC$82,'Upper Mid-Market Segment'!BC$82,'Premium Segment'!BC$82)</f>
        <v>-42.270193362399745</v>
      </c>
      <c r="BD100" s="542">
        <f>SUM('Value Segment'!BD35,'Mid-Market Segment'!BD35,'Upper Mid-Market Segment'!BD35,'Premium Segment'!BD35)/SUM('Value Segment'!BD$82,'Mid-Market Segment'!BD$82,'Upper Mid-Market Segment'!BD$82,'Premium Segment'!BD$82)</f>
        <v>-42.270193362399745</v>
      </c>
      <c r="BE100" s="542">
        <f>SUM('Value Segment'!BE35,'Mid-Market Segment'!BE35,'Upper Mid-Market Segment'!BE35,'Premium Segment'!BE35)/SUM('Value Segment'!BE$82,'Mid-Market Segment'!BE$82,'Upper Mid-Market Segment'!BE$82,'Premium Segment'!BE$82)</f>
        <v>-42.270193362399745</v>
      </c>
      <c r="BF100" s="542">
        <f>SUM('Value Segment'!BF35,'Mid-Market Segment'!BF35,'Upper Mid-Market Segment'!BF35,'Premium Segment'!BF35)/SUM('Value Segment'!BF$82,'Mid-Market Segment'!BF$82,'Upper Mid-Market Segment'!BF$82,'Premium Segment'!BF$82)</f>
        <v>-42.270193362399745</v>
      </c>
      <c r="BG100" s="542">
        <f>SUM('Value Segment'!BG35,'Mid-Market Segment'!BG35,'Upper Mid-Market Segment'!BG35,'Premium Segment'!BG35)/SUM('Value Segment'!BG$82,'Mid-Market Segment'!BG$82,'Upper Mid-Market Segment'!BG$82,'Premium Segment'!BG$82)</f>
        <v>-42.270193362399745</v>
      </c>
      <c r="BH100" s="542">
        <f>SUM('Value Segment'!BH35,'Mid-Market Segment'!BH35,'Upper Mid-Market Segment'!BH35,'Premium Segment'!BH35)/SUM('Value Segment'!BH$82,'Mid-Market Segment'!BH$82,'Upper Mid-Market Segment'!BH$82,'Premium Segment'!BH$82)</f>
        <v>-43.810482839880528</v>
      </c>
      <c r="BI100" s="542">
        <f>SUM('Value Segment'!BI35,'Mid-Market Segment'!BI35,'Upper Mid-Market Segment'!BI35,'Premium Segment'!BI35)/SUM('Value Segment'!BI$82,'Mid-Market Segment'!BI$82,'Upper Mid-Market Segment'!BI$82,'Premium Segment'!BI$82)</f>
        <v>-43.810482839880528</v>
      </c>
      <c r="BJ100" s="542">
        <f>SUM('Value Segment'!BJ35,'Mid-Market Segment'!BJ35,'Upper Mid-Market Segment'!BJ35,'Premium Segment'!BJ35)/SUM('Value Segment'!BJ$82,'Mid-Market Segment'!BJ$82,'Upper Mid-Market Segment'!BJ$82,'Premium Segment'!BJ$82)</f>
        <v>-43.810482839880528</v>
      </c>
      <c r="BK100" s="542">
        <f>SUM('Value Segment'!BK35,'Mid-Market Segment'!BK35,'Upper Mid-Market Segment'!BK35,'Premium Segment'!BK35)/SUM('Value Segment'!BK$82,'Mid-Market Segment'!BK$82,'Upper Mid-Market Segment'!BK$82,'Premium Segment'!BK$82)</f>
        <v>-43.810482839880528</v>
      </c>
      <c r="BL100" s="542">
        <f>SUM('Value Segment'!BL35,'Mid-Market Segment'!BL35,'Upper Mid-Market Segment'!BL35,'Premium Segment'!BL35)/SUM('Value Segment'!BL$82,'Mid-Market Segment'!BL$82,'Upper Mid-Market Segment'!BL$82,'Premium Segment'!BL$82)</f>
        <v>-43.810482839880528</v>
      </c>
      <c r="BM100" s="542">
        <f>SUM('Value Segment'!BM35,'Mid-Market Segment'!BM35,'Upper Mid-Market Segment'!BM35,'Premium Segment'!BM35)/SUM('Value Segment'!BM$82,'Mid-Market Segment'!BM$82,'Upper Mid-Market Segment'!BM$82,'Premium Segment'!BM$82)</f>
        <v>-43.810482839880528</v>
      </c>
      <c r="BN100" s="542">
        <f>SUM('Value Segment'!BN35,'Mid-Market Segment'!BN35,'Upper Mid-Market Segment'!BN35,'Premium Segment'!BN35)/SUM('Value Segment'!BN$82,'Mid-Market Segment'!BN$82,'Upper Mid-Market Segment'!BN$82,'Premium Segment'!BN$82)</f>
        <v>-43.01204507180811</v>
      </c>
      <c r="BO100" s="542">
        <f>SUM('Value Segment'!BO35,'Mid-Market Segment'!BO35,'Upper Mid-Market Segment'!BO35,'Premium Segment'!BO35)/SUM('Value Segment'!BO$82,'Mid-Market Segment'!BO$82,'Upper Mid-Market Segment'!BO$82,'Premium Segment'!BO$82)</f>
        <v>-43.01204507180811</v>
      </c>
      <c r="BP100" s="542">
        <f>SUM('Value Segment'!BP35,'Mid-Market Segment'!BP35,'Upper Mid-Market Segment'!BP35,'Premium Segment'!BP35)/SUM('Value Segment'!BP$82,'Mid-Market Segment'!BP$82,'Upper Mid-Market Segment'!BP$82,'Premium Segment'!BP$82)</f>
        <v>-43.01204507180811</v>
      </c>
      <c r="BQ100" s="542">
        <f>SUM('Value Segment'!BQ35,'Mid-Market Segment'!BQ35,'Upper Mid-Market Segment'!BQ35,'Premium Segment'!BQ35)/SUM('Value Segment'!BQ$82,'Mid-Market Segment'!BQ$82,'Upper Mid-Market Segment'!BQ$82,'Premium Segment'!BQ$82)</f>
        <v>-43.01204507180811</v>
      </c>
      <c r="BR100" s="542">
        <f>SUM('Value Segment'!BR35,'Mid-Market Segment'!BR35,'Upper Mid-Market Segment'!BR35,'Premium Segment'!BR35)/SUM('Value Segment'!BR$82,'Mid-Market Segment'!BR$82,'Upper Mid-Market Segment'!BR$82,'Premium Segment'!BR$82)</f>
        <v>-43.01204507180811</v>
      </c>
      <c r="BS100" s="542">
        <f>SUM('Value Segment'!BS35,'Mid-Market Segment'!BS35,'Upper Mid-Market Segment'!BS35,'Premium Segment'!BS35)/SUM('Value Segment'!BS$82,'Mid-Market Segment'!BS$82,'Upper Mid-Market Segment'!BS$82,'Premium Segment'!BS$82)</f>
        <v>-43.01204507180811</v>
      </c>
      <c r="BT100" s="542">
        <f>SUM('Value Segment'!BT35,'Mid-Market Segment'!BT35,'Upper Mid-Market Segment'!BT35,'Premium Segment'!BT35)/SUM('Value Segment'!BT$82,'Mid-Market Segment'!BT$82,'Upper Mid-Market Segment'!BT$82,'Premium Segment'!BT$82)</f>
        <v>-44.748151882938572</v>
      </c>
      <c r="BU100" s="542">
        <f>SUM('Value Segment'!BU35,'Mid-Market Segment'!BU35,'Upper Mid-Market Segment'!BU35,'Premium Segment'!BU35)/SUM('Value Segment'!BU$82,'Mid-Market Segment'!BU$82,'Upper Mid-Market Segment'!BU$82,'Premium Segment'!BU$82)</f>
        <v>-44.748151882938572</v>
      </c>
      <c r="BV100" s="542">
        <f>SUM('Value Segment'!BV35,'Mid-Market Segment'!BV35,'Upper Mid-Market Segment'!BV35,'Premium Segment'!BV35)/SUM('Value Segment'!BV$82,'Mid-Market Segment'!BV$82,'Upper Mid-Market Segment'!BV$82,'Premium Segment'!BV$82)</f>
        <v>-44.748151882938572</v>
      </c>
      <c r="BW100" s="542">
        <f>SUM('Value Segment'!BW35,'Mid-Market Segment'!BW35,'Upper Mid-Market Segment'!BW35,'Premium Segment'!BW35)/SUM('Value Segment'!BW$82,'Mid-Market Segment'!BW$82,'Upper Mid-Market Segment'!BW$82,'Premium Segment'!BW$82)</f>
        <v>-44.748151882938572</v>
      </c>
      <c r="BX100" s="542">
        <f>SUM('Value Segment'!BX35,'Mid-Market Segment'!BX35,'Upper Mid-Market Segment'!BX35,'Premium Segment'!BX35)/SUM('Value Segment'!BX$82,'Mid-Market Segment'!BX$82,'Upper Mid-Market Segment'!BX$82,'Premium Segment'!BX$82)</f>
        <v>-44.748151882938572</v>
      </c>
      <c r="BY100" s="542">
        <f>SUM('Value Segment'!BY35,'Mid-Market Segment'!BY35,'Upper Mid-Market Segment'!BY35,'Premium Segment'!BY35)/SUM('Value Segment'!BY$82,'Mid-Market Segment'!BY$82,'Upper Mid-Market Segment'!BY$82,'Premium Segment'!BY$82)</f>
        <v>-44.748151882938572</v>
      </c>
      <c r="CB100" s="8"/>
    </row>
    <row r="101" spans="3:80" x14ac:dyDescent="0.3">
      <c r="C101" s="2"/>
      <c r="D101" s="2"/>
      <c r="E101" s="4" t="s">
        <v>396</v>
      </c>
      <c r="F101" s="5"/>
      <c r="G101" s="5"/>
      <c r="H101" s="5"/>
      <c r="I101" s="507">
        <f>SUM('Value Segment'!I36,'Mid-Market Segment'!I36,'Upper Mid-Market Segment'!I36,'Premium Segment'!I36)/SUM('Value Segment'!I$82,'Mid-Market Segment'!I$82,'Upper Mid-Market Segment'!I$82,'Premium Segment'!I$82)</f>
        <v>3811.8407479938105</v>
      </c>
      <c r="J101" s="507">
        <f>SUM('Value Segment'!J36,'Mid-Market Segment'!J36,'Upper Mid-Market Segment'!J36,'Premium Segment'!J36)/SUM('Value Segment'!J$82,'Mid-Market Segment'!J$82,'Upper Mid-Market Segment'!J$82,'Premium Segment'!J$82)</f>
        <v>3856.9246591362021</v>
      </c>
      <c r="K101" s="507">
        <f>SUM('Value Segment'!K36,'Mid-Market Segment'!K36,'Upper Mid-Market Segment'!K36,'Premium Segment'!K36)/SUM('Value Segment'!K$82,'Mid-Market Segment'!K$82,'Upper Mid-Market Segment'!K$82,'Premium Segment'!K$82)</f>
        <v>3933.9285954664379</v>
      </c>
      <c r="L101" s="507">
        <f>SUM('Value Segment'!L36,'Mid-Market Segment'!L36,'Upper Mid-Market Segment'!L36,'Premium Segment'!L36)/SUM('Value Segment'!L$82,'Mid-Market Segment'!L$82,'Upper Mid-Market Segment'!L$82,'Premium Segment'!L$82)</f>
        <v>4010.2896704807144</v>
      </c>
      <c r="M101" s="507">
        <f>SUM('Value Segment'!M36,'Mid-Market Segment'!M36,'Upper Mid-Market Segment'!M36,'Premium Segment'!M36)/SUM('Value Segment'!M$82,'Mid-Market Segment'!M$82,'Upper Mid-Market Segment'!M$82,'Premium Segment'!M$82)</f>
        <v>4089.7385869333507</v>
      </c>
      <c r="N101" s="507">
        <f>SUM('Value Segment'!N36,'Mid-Market Segment'!N36,'Upper Mid-Market Segment'!N36,'Premium Segment'!N36)/SUM('Value Segment'!N$82,'Mid-Market Segment'!N$82,'Upper Mid-Market Segment'!N$82,'Premium Segment'!N$82)</f>
        <v>4170.8713520091833</v>
      </c>
      <c r="O101" s="57"/>
      <c r="P101" s="55">
        <f t="shared" si="98"/>
        <v>1.8165575330700401E-2</v>
      </c>
      <c r="R101" s="507">
        <f>SUM('Value Segment'!R36,'Mid-Market Segment'!R36,'Upper Mid-Market Segment'!R36,'Premium Segment'!R36)/SUM('Value Segment'!R$82,'Mid-Market Segment'!R$82,'Upper Mid-Market Segment'!R$82,'Premium Segment'!R$82)</f>
        <v>317.65339566615114</v>
      </c>
      <c r="S101" s="661">
        <f>SUM('Value Segment'!S36,'Mid-Market Segment'!S36,'Upper Mid-Market Segment'!S36,'Premium Segment'!S36)/SUM('Value Segment'!S$82,'Mid-Market Segment'!S$82,'Upper Mid-Market Segment'!S$82,'Premium Segment'!S$82)</f>
        <v>317.65339566615114</v>
      </c>
      <c r="T101" s="661">
        <f>SUM('Value Segment'!T36,'Mid-Market Segment'!T36,'Upper Mid-Market Segment'!T36,'Premium Segment'!T36)/SUM('Value Segment'!T$82,'Mid-Market Segment'!T$82,'Upper Mid-Market Segment'!T$82,'Premium Segment'!T$82)</f>
        <v>317.65339566615114</v>
      </c>
      <c r="U101" s="661">
        <f>SUM('Value Segment'!U36,'Mid-Market Segment'!U36,'Upper Mid-Market Segment'!U36,'Premium Segment'!U36)/SUM('Value Segment'!U$82,'Mid-Market Segment'!U$82,'Upper Mid-Market Segment'!U$82,'Premium Segment'!U$82)</f>
        <v>317.65339566615114</v>
      </c>
      <c r="V101" s="661">
        <f>SUM('Value Segment'!V36,'Mid-Market Segment'!V36,'Upper Mid-Market Segment'!V36,'Premium Segment'!V36)/SUM('Value Segment'!V$82,'Mid-Market Segment'!V$82,'Upper Mid-Market Segment'!V$82,'Premium Segment'!V$82)</f>
        <v>317.65339566615114</v>
      </c>
      <c r="W101" s="661">
        <f>SUM('Value Segment'!W36,'Mid-Market Segment'!W36,'Upper Mid-Market Segment'!W36,'Premium Segment'!W36)/SUM('Value Segment'!W$82,'Mid-Market Segment'!W$82,'Upper Mid-Market Segment'!W$82,'Premium Segment'!W$82)</f>
        <v>317.65339566615114</v>
      </c>
      <c r="X101" s="661">
        <f>SUM('Value Segment'!X36,'Mid-Market Segment'!X36,'Upper Mid-Market Segment'!X36,'Premium Segment'!X36)/SUM('Value Segment'!X$82,'Mid-Market Segment'!X$82,'Upper Mid-Market Segment'!X$82,'Premium Segment'!X$82)</f>
        <v>325.16738085654919</v>
      </c>
      <c r="Y101" s="661">
        <f>SUM('Value Segment'!Y36,'Mid-Market Segment'!Y36,'Upper Mid-Market Segment'!Y36,'Premium Segment'!Y36)/SUM('Value Segment'!Y$82,'Mid-Market Segment'!Y$82,'Upper Mid-Market Segment'!Y$82,'Premium Segment'!Y$82)</f>
        <v>325.16738085654919</v>
      </c>
      <c r="Z101" s="661">
        <f>SUM('Value Segment'!Z36,'Mid-Market Segment'!Z36,'Upper Mid-Market Segment'!Z36,'Premium Segment'!Z36)/SUM('Value Segment'!Z$82,'Mid-Market Segment'!Z$82,'Upper Mid-Market Segment'!Z$82,'Premium Segment'!Z$82)</f>
        <v>325.16738085654919</v>
      </c>
      <c r="AA101" s="661">
        <f>SUM('Value Segment'!AA36,'Mid-Market Segment'!AA36,'Upper Mid-Market Segment'!AA36,'Premium Segment'!AA36)/SUM('Value Segment'!AA$82,'Mid-Market Segment'!AA$82,'Upper Mid-Market Segment'!AA$82,'Premium Segment'!AA$82)</f>
        <v>325.16738085654919</v>
      </c>
      <c r="AB101" s="661">
        <f>SUM('Value Segment'!AB36,'Mid-Market Segment'!AB36,'Upper Mid-Market Segment'!AB36,'Premium Segment'!AB36)/SUM('Value Segment'!AB$82,'Mid-Market Segment'!AB$82,'Upper Mid-Market Segment'!AB$82,'Premium Segment'!AB$82)</f>
        <v>325.16738085654919</v>
      </c>
      <c r="AC101" s="661">
        <f>SUM('Value Segment'!AC36,'Mid-Market Segment'!AC36,'Upper Mid-Market Segment'!AC36,'Premium Segment'!AC36)/SUM('Value Segment'!AC$82,'Mid-Market Segment'!AC$82,'Upper Mid-Market Segment'!AC$82,'Premium Segment'!AC$82)</f>
        <v>325.16738085654919</v>
      </c>
      <c r="AD101" s="661">
        <f>SUM('Value Segment'!AD36,'Mid-Market Segment'!AD36,'Upper Mid-Market Segment'!AD36,'Premium Segment'!AD36)/SUM('Value Segment'!AD$82,'Mid-Market Segment'!AD$82,'Upper Mid-Market Segment'!AD$82,'Premium Segment'!AD$82)</f>
        <v>323.23317837325061</v>
      </c>
      <c r="AE101" s="661">
        <f>SUM('Value Segment'!AE36,'Mid-Market Segment'!AE36,'Upper Mid-Market Segment'!AE36,'Premium Segment'!AE36)/SUM('Value Segment'!AE$82,'Mid-Market Segment'!AE$82,'Upper Mid-Market Segment'!AE$82,'Premium Segment'!AE$82)</f>
        <v>323.23317837325061</v>
      </c>
      <c r="AF101" s="661">
        <f>SUM('Value Segment'!AF36,'Mid-Market Segment'!AF36,'Upper Mid-Market Segment'!AF36,'Premium Segment'!AF36)/SUM('Value Segment'!AF$82,'Mid-Market Segment'!AF$82,'Upper Mid-Market Segment'!AF$82,'Premium Segment'!AF$82)</f>
        <v>323.23317837325061</v>
      </c>
      <c r="AG101" s="661">
        <f>SUM('Value Segment'!AG36,'Mid-Market Segment'!AG36,'Upper Mid-Market Segment'!AG36,'Premium Segment'!AG36)/SUM('Value Segment'!AG$82,'Mid-Market Segment'!AG$82,'Upper Mid-Market Segment'!AG$82,'Premium Segment'!AG$82)</f>
        <v>323.23317837325061</v>
      </c>
      <c r="AH101" s="661">
        <f>SUM('Value Segment'!AH36,'Mid-Market Segment'!AH36,'Upper Mid-Market Segment'!AH36,'Premium Segment'!AH36)/SUM('Value Segment'!AH$82,'Mid-Market Segment'!AH$82,'Upper Mid-Market Segment'!AH$82,'Premium Segment'!AH$82)</f>
        <v>323.23317837325061</v>
      </c>
      <c r="AI101" s="661">
        <f>SUM('Value Segment'!AI36,'Mid-Market Segment'!AI36,'Upper Mid-Market Segment'!AI36,'Premium Segment'!AI36)/SUM('Value Segment'!AI$82,'Mid-Market Segment'!AI$82,'Upper Mid-Market Segment'!AI$82,'Premium Segment'!AI$82)</f>
        <v>323.23317837325061</v>
      </c>
      <c r="AJ101" s="661">
        <f>SUM('Value Segment'!AJ36,'Mid-Market Segment'!AJ36,'Upper Mid-Market Segment'!AJ36,'Premium Segment'!AJ36)/SUM('Value Segment'!AJ$82,'Mid-Market Segment'!AJ$82,'Upper Mid-Market Segment'!AJ$82,'Premium Segment'!AJ$82)</f>
        <v>332.4215875378224</v>
      </c>
      <c r="AK101" s="661">
        <f>SUM('Value Segment'!AK36,'Mid-Market Segment'!AK36,'Upper Mid-Market Segment'!AK36,'Premium Segment'!AK36)/SUM('Value Segment'!AK$82,'Mid-Market Segment'!AK$82,'Upper Mid-Market Segment'!AK$82,'Premium Segment'!AK$82)</f>
        <v>332.4215875378224</v>
      </c>
      <c r="AL101" s="661">
        <f>SUM('Value Segment'!AL36,'Mid-Market Segment'!AL36,'Upper Mid-Market Segment'!AL36,'Premium Segment'!AL36)/SUM('Value Segment'!AL$82,'Mid-Market Segment'!AL$82,'Upper Mid-Market Segment'!AL$82,'Premium Segment'!AL$82)</f>
        <v>332.4215875378224</v>
      </c>
      <c r="AM101" s="661">
        <f>SUM('Value Segment'!AM36,'Mid-Market Segment'!AM36,'Upper Mid-Market Segment'!AM36,'Premium Segment'!AM36)/SUM('Value Segment'!AM$82,'Mid-Market Segment'!AM$82,'Upper Mid-Market Segment'!AM$82,'Premium Segment'!AM$82)</f>
        <v>332.4215875378224</v>
      </c>
      <c r="AN101" s="661">
        <f>SUM('Value Segment'!AN36,'Mid-Market Segment'!AN36,'Upper Mid-Market Segment'!AN36,'Premium Segment'!AN36)/SUM('Value Segment'!AN$82,'Mid-Market Segment'!AN$82,'Upper Mid-Market Segment'!AN$82,'Premium Segment'!AN$82)</f>
        <v>332.4215875378224</v>
      </c>
      <c r="AO101" s="661">
        <f>SUM('Value Segment'!AO36,'Mid-Market Segment'!AO36,'Upper Mid-Market Segment'!AO36,'Premium Segment'!AO36)/SUM('Value Segment'!AO$82,'Mid-Market Segment'!AO$82,'Upper Mid-Market Segment'!AO$82,'Premium Segment'!AO$82)</f>
        <v>332.4215875378224</v>
      </c>
      <c r="AP101" s="661">
        <f>SUM('Value Segment'!AP36,'Mid-Market Segment'!AP36,'Upper Mid-Market Segment'!AP36,'Premium Segment'!AP36)/SUM('Value Segment'!AP$82,'Mid-Market Segment'!AP$82,'Upper Mid-Market Segment'!AP$82,'Premium Segment'!AP$82)</f>
        <v>328.7711296248101</v>
      </c>
      <c r="AQ101" s="661">
        <f>SUM('Value Segment'!AQ36,'Mid-Market Segment'!AQ36,'Upper Mid-Market Segment'!AQ36,'Premium Segment'!AQ36)/SUM('Value Segment'!AQ$82,'Mid-Market Segment'!AQ$82,'Upper Mid-Market Segment'!AQ$82,'Premium Segment'!AQ$82)</f>
        <v>328.7711296248101</v>
      </c>
      <c r="AR101" s="661">
        <f>SUM('Value Segment'!AR36,'Mid-Market Segment'!AR36,'Upper Mid-Market Segment'!AR36,'Premium Segment'!AR36)/SUM('Value Segment'!AR$82,'Mid-Market Segment'!AR$82,'Upper Mid-Market Segment'!AR$82,'Premium Segment'!AR$82)</f>
        <v>328.7711296248101</v>
      </c>
      <c r="AS101" s="661">
        <f>SUM('Value Segment'!AS36,'Mid-Market Segment'!AS36,'Upper Mid-Market Segment'!AS36,'Premium Segment'!AS36)/SUM('Value Segment'!AS$82,'Mid-Market Segment'!AS$82,'Upper Mid-Market Segment'!AS$82,'Premium Segment'!AS$82)</f>
        <v>328.7711296248101</v>
      </c>
      <c r="AT101" s="661">
        <f>SUM('Value Segment'!AT36,'Mid-Market Segment'!AT36,'Upper Mid-Market Segment'!AT36,'Premium Segment'!AT36)/SUM('Value Segment'!AT$82,'Mid-Market Segment'!AT$82,'Upper Mid-Market Segment'!AT$82,'Premium Segment'!AT$82)</f>
        <v>328.7711296248101</v>
      </c>
      <c r="AU101" s="661">
        <f>SUM('Value Segment'!AU36,'Mid-Market Segment'!AU36,'Upper Mid-Market Segment'!AU36,'Premium Segment'!AU36)/SUM('Value Segment'!AU$82,'Mid-Market Segment'!AU$82,'Upper Mid-Market Segment'!AU$82,'Premium Segment'!AU$82)</f>
        <v>328.7711296248101</v>
      </c>
      <c r="AV101" s="661">
        <f>SUM('Value Segment'!AV36,'Mid-Market Segment'!AV36,'Upper Mid-Market Segment'!AV36,'Premium Segment'!AV36)/SUM('Value Segment'!AV$82,'Mid-Market Segment'!AV$82,'Upper Mid-Market Segment'!AV$82,'Premium Segment'!AV$82)</f>
        <v>339.61048212197574</v>
      </c>
      <c r="AW101" s="661">
        <f>SUM('Value Segment'!AW36,'Mid-Market Segment'!AW36,'Upper Mid-Market Segment'!AW36,'Premium Segment'!AW36)/SUM('Value Segment'!AW$82,'Mid-Market Segment'!AW$82,'Upper Mid-Market Segment'!AW$82,'Premium Segment'!AW$82)</f>
        <v>339.61048212197574</v>
      </c>
      <c r="AX101" s="661">
        <f>SUM('Value Segment'!AX36,'Mid-Market Segment'!AX36,'Upper Mid-Market Segment'!AX36,'Premium Segment'!AX36)/SUM('Value Segment'!AX$82,'Mid-Market Segment'!AX$82,'Upper Mid-Market Segment'!AX$82,'Premium Segment'!AX$82)</f>
        <v>339.61048212197574</v>
      </c>
      <c r="AY101" s="661">
        <f>SUM('Value Segment'!AY36,'Mid-Market Segment'!AY36,'Upper Mid-Market Segment'!AY36,'Premium Segment'!AY36)/SUM('Value Segment'!AY$82,'Mid-Market Segment'!AY$82,'Upper Mid-Market Segment'!AY$82,'Premium Segment'!AY$82)</f>
        <v>339.61048212197574</v>
      </c>
      <c r="AZ101" s="661">
        <f>SUM('Value Segment'!AZ36,'Mid-Market Segment'!AZ36,'Upper Mid-Market Segment'!AZ36,'Premium Segment'!AZ36)/SUM('Value Segment'!AZ$82,'Mid-Market Segment'!AZ$82,'Upper Mid-Market Segment'!AZ$82,'Premium Segment'!AZ$82)</f>
        <v>339.61048212197574</v>
      </c>
      <c r="BA101" s="661">
        <f>SUM('Value Segment'!BA36,'Mid-Market Segment'!BA36,'Upper Mid-Market Segment'!BA36,'Premium Segment'!BA36)/SUM('Value Segment'!BA$82,'Mid-Market Segment'!BA$82,'Upper Mid-Market Segment'!BA$82,'Premium Segment'!BA$82)</f>
        <v>339.61048212197574</v>
      </c>
      <c r="BB101" s="661">
        <f>SUM('Value Segment'!BB36,'Mid-Market Segment'!BB36,'Upper Mid-Market Segment'!BB36,'Premium Segment'!BB36)/SUM('Value Segment'!BB$82,'Mid-Market Segment'!BB$82,'Upper Mid-Market Segment'!BB$82,'Premium Segment'!BB$82)</f>
        <v>334.57291911772995</v>
      </c>
      <c r="BC101" s="661">
        <f>SUM('Value Segment'!BC36,'Mid-Market Segment'!BC36,'Upper Mid-Market Segment'!BC36,'Premium Segment'!BC36)/SUM('Value Segment'!BC$82,'Mid-Market Segment'!BC$82,'Upper Mid-Market Segment'!BC$82,'Premium Segment'!BC$82)</f>
        <v>334.57291911772995</v>
      </c>
      <c r="BD101" s="661">
        <f>SUM('Value Segment'!BD36,'Mid-Market Segment'!BD36,'Upper Mid-Market Segment'!BD36,'Premium Segment'!BD36)/SUM('Value Segment'!BD$82,'Mid-Market Segment'!BD$82,'Upper Mid-Market Segment'!BD$82,'Premium Segment'!BD$82)</f>
        <v>334.57291911772995</v>
      </c>
      <c r="BE101" s="661">
        <f>SUM('Value Segment'!BE36,'Mid-Market Segment'!BE36,'Upper Mid-Market Segment'!BE36,'Premium Segment'!BE36)/SUM('Value Segment'!BE$82,'Mid-Market Segment'!BE$82,'Upper Mid-Market Segment'!BE$82,'Premium Segment'!BE$82)</f>
        <v>334.57291911772995</v>
      </c>
      <c r="BF101" s="661">
        <f>SUM('Value Segment'!BF36,'Mid-Market Segment'!BF36,'Upper Mid-Market Segment'!BF36,'Premium Segment'!BF36)/SUM('Value Segment'!BF$82,'Mid-Market Segment'!BF$82,'Upper Mid-Market Segment'!BF$82,'Premium Segment'!BF$82)</f>
        <v>334.57291911772995</v>
      </c>
      <c r="BG101" s="661">
        <f>SUM('Value Segment'!BG36,'Mid-Market Segment'!BG36,'Upper Mid-Market Segment'!BG36,'Premium Segment'!BG36)/SUM('Value Segment'!BG$82,'Mid-Market Segment'!BG$82,'Upper Mid-Market Segment'!BG$82,'Premium Segment'!BG$82)</f>
        <v>334.57291911772995</v>
      </c>
      <c r="BH101" s="661">
        <f>SUM('Value Segment'!BH36,'Mid-Market Segment'!BH36,'Upper Mid-Market Segment'!BH36,'Premium Segment'!BH36)/SUM('Value Segment'!BH$82,'Mid-Market Segment'!BH$82,'Upper Mid-Market Segment'!BH$82,'Premium Segment'!BH$82)</f>
        <v>347.05017870449518</v>
      </c>
      <c r="BI101" s="661">
        <f>SUM('Value Segment'!BI36,'Mid-Market Segment'!BI36,'Upper Mid-Market Segment'!BI36,'Premium Segment'!BI36)/SUM('Value Segment'!BI$82,'Mid-Market Segment'!BI$82,'Upper Mid-Market Segment'!BI$82,'Premium Segment'!BI$82)</f>
        <v>347.05017870449518</v>
      </c>
      <c r="BJ101" s="661">
        <f>SUM('Value Segment'!BJ36,'Mid-Market Segment'!BJ36,'Upper Mid-Market Segment'!BJ36,'Premium Segment'!BJ36)/SUM('Value Segment'!BJ$82,'Mid-Market Segment'!BJ$82,'Upper Mid-Market Segment'!BJ$82,'Premium Segment'!BJ$82)</f>
        <v>347.05017870449518</v>
      </c>
      <c r="BK101" s="661">
        <f>SUM('Value Segment'!BK36,'Mid-Market Segment'!BK36,'Upper Mid-Market Segment'!BK36,'Premium Segment'!BK36)/SUM('Value Segment'!BK$82,'Mid-Market Segment'!BK$82,'Upper Mid-Market Segment'!BK$82,'Premium Segment'!BK$82)</f>
        <v>347.05017870449518</v>
      </c>
      <c r="BL101" s="661">
        <f>SUM('Value Segment'!BL36,'Mid-Market Segment'!BL36,'Upper Mid-Market Segment'!BL36,'Premium Segment'!BL36)/SUM('Value Segment'!BL$82,'Mid-Market Segment'!BL$82,'Upper Mid-Market Segment'!BL$82,'Premium Segment'!BL$82)</f>
        <v>347.05017870449518</v>
      </c>
      <c r="BM101" s="661">
        <f>SUM('Value Segment'!BM36,'Mid-Market Segment'!BM36,'Upper Mid-Market Segment'!BM36,'Premium Segment'!BM36)/SUM('Value Segment'!BM$82,'Mid-Market Segment'!BM$82,'Upper Mid-Market Segment'!BM$82,'Premium Segment'!BM$82)</f>
        <v>347.05017870449518</v>
      </c>
      <c r="BN101" s="661">
        <f>SUM('Value Segment'!BN36,'Mid-Market Segment'!BN36,'Upper Mid-Market Segment'!BN36,'Premium Segment'!BN36)/SUM('Value Segment'!BN$82,'Mid-Market Segment'!BN$82,'Upper Mid-Market Segment'!BN$82,'Premium Segment'!BN$82)</f>
        <v>340.53056061884195</v>
      </c>
      <c r="BO101" s="661">
        <f>SUM('Value Segment'!BO36,'Mid-Market Segment'!BO36,'Upper Mid-Market Segment'!BO36,'Premium Segment'!BO36)/SUM('Value Segment'!BO$82,'Mid-Market Segment'!BO$82,'Upper Mid-Market Segment'!BO$82,'Premium Segment'!BO$82)</f>
        <v>340.53056061884195</v>
      </c>
      <c r="BP101" s="661">
        <f>SUM('Value Segment'!BP36,'Mid-Market Segment'!BP36,'Upper Mid-Market Segment'!BP36,'Premium Segment'!BP36)/SUM('Value Segment'!BP$82,'Mid-Market Segment'!BP$82,'Upper Mid-Market Segment'!BP$82,'Premium Segment'!BP$82)</f>
        <v>340.53056061884195</v>
      </c>
      <c r="BQ101" s="661">
        <f>SUM('Value Segment'!BQ36,'Mid-Market Segment'!BQ36,'Upper Mid-Market Segment'!BQ36,'Premium Segment'!BQ36)/SUM('Value Segment'!BQ$82,'Mid-Market Segment'!BQ$82,'Upper Mid-Market Segment'!BQ$82,'Premium Segment'!BQ$82)</f>
        <v>340.53056061884195</v>
      </c>
      <c r="BR101" s="661">
        <f>SUM('Value Segment'!BR36,'Mid-Market Segment'!BR36,'Upper Mid-Market Segment'!BR36,'Premium Segment'!BR36)/SUM('Value Segment'!BR$82,'Mid-Market Segment'!BR$82,'Upper Mid-Market Segment'!BR$82,'Premium Segment'!BR$82)</f>
        <v>340.53056061884195</v>
      </c>
      <c r="BS101" s="661">
        <f>SUM('Value Segment'!BS36,'Mid-Market Segment'!BS36,'Upper Mid-Market Segment'!BS36,'Premium Segment'!BS36)/SUM('Value Segment'!BS$82,'Mid-Market Segment'!BS$82,'Upper Mid-Market Segment'!BS$82,'Premium Segment'!BS$82)</f>
        <v>340.53056061884195</v>
      </c>
      <c r="BT101" s="661">
        <f>SUM('Value Segment'!BT36,'Mid-Market Segment'!BT36,'Upper Mid-Market Segment'!BT36,'Premium Segment'!BT36)/SUM('Value Segment'!BT$82,'Mid-Market Segment'!BT$82,'Upper Mid-Market Segment'!BT$82,'Premium Segment'!BT$82)</f>
        <v>354.61466471602205</v>
      </c>
      <c r="BU101" s="661">
        <f>SUM('Value Segment'!BU36,'Mid-Market Segment'!BU36,'Upper Mid-Market Segment'!BU36,'Premium Segment'!BU36)/SUM('Value Segment'!BU$82,'Mid-Market Segment'!BU$82,'Upper Mid-Market Segment'!BU$82,'Premium Segment'!BU$82)</f>
        <v>354.61466471602205</v>
      </c>
      <c r="BV101" s="661">
        <f>SUM('Value Segment'!BV36,'Mid-Market Segment'!BV36,'Upper Mid-Market Segment'!BV36,'Premium Segment'!BV36)/SUM('Value Segment'!BV$82,'Mid-Market Segment'!BV$82,'Upper Mid-Market Segment'!BV$82,'Premium Segment'!BV$82)</f>
        <v>354.61466471602205</v>
      </c>
      <c r="BW101" s="661">
        <f>SUM('Value Segment'!BW36,'Mid-Market Segment'!BW36,'Upper Mid-Market Segment'!BW36,'Premium Segment'!BW36)/SUM('Value Segment'!BW$82,'Mid-Market Segment'!BW$82,'Upper Mid-Market Segment'!BW$82,'Premium Segment'!BW$82)</f>
        <v>354.61466471602205</v>
      </c>
      <c r="BX101" s="661">
        <f>SUM('Value Segment'!BX36,'Mid-Market Segment'!BX36,'Upper Mid-Market Segment'!BX36,'Premium Segment'!BX36)/SUM('Value Segment'!BX$82,'Mid-Market Segment'!BX$82,'Upper Mid-Market Segment'!BX$82,'Premium Segment'!BX$82)</f>
        <v>354.61466471602205</v>
      </c>
      <c r="BY101" s="661">
        <f>SUM('Value Segment'!BY36,'Mid-Market Segment'!BY36,'Upper Mid-Market Segment'!BY36,'Premium Segment'!BY36)/SUM('Value Segment'!BY$82,'Mid-Market Segment'!BY$82,'Upper Mid-Market Segment'!BY$82,'Premium Segment'!BY$82)</f>
        <v>354.61466471602205</v>
      </c>
      <c r="CB101" s="8"/>
    </row>
    <row r="102" spans="3:80" x14ac:dyDescent="0.3">
      <c r="C102" s="2"/>
      <c r="D102" s="2"/>
      <c r="E102" s="2" t="s">
        <v>176</v>
      </c>
      <c r="F102" s="58"/>
      <c r="G102" s="58"/>
      <c r="H102" s="58"/>
      <c r="I102" s="499">
        <f t="shared" ref="I102:N102" si="99">IFERROR(I101/I96,0)</f>
        <v>0.38119215800886086</v>
      </c>
      <c r="J102" s="499">
        <f t="shared" si="99"/>
        <v>0.38119134165558871</v>
      </c>
      <c r="K102" s="499">
        <f t="shared" si="99"/>
        <v>0.3811879200649127</v>
      </c>
      <c r="L102" s="499">
        <f t="shared" si="99"/>
        <v>0.38118476962817405</v>
      </c>
      <c r="M102" s="499">
        <f t="shared" si="99"/>
        <v>0.38118277463590394</v>
      </c>
      <c r="N102" s="499">
        <f t="shared" si="99"/>
        <v>0.38118183215910345</v>
      </c>
      <c r="O102" s="23"/>
      <c r="P102" s="50">
        <f t="shared" si="98"/>
        <v>-5.4177198697269446E-6</v>
      </c>
      <c r="R102" s="499">
        <f t="shared" ref="R102:BY102" si="100">IFERROR(R101/R96,0)</f>
        <v>0.38119215800886114</v>
      </c>
      <c r="S102" s="531">
        <f t="shared" si="100"/>
        <v>0.38119215800886114</v>
      </c>
      <c r="T102" s="531">
        <f t="shared" si="100"/>
        <v>0.38119215800886114</v>
      </c>
      <c r="U102" s="531">
        <f t="shared" si="100"/>
        <v>0.38119215800886114</v>
      </c>
      <c r="V102" s="531">
        <f t="shared" si="100"/>
        <v>0.38119215800886114</v>
      </c>
      <c r="W102" s="531">
        <f t="shared" si="100"/>
        <v>0.38119215800886114</v>
      </c>
      <c r="X102" s="531">
        <f t="shared" si="100"/>
        <v>0.38119054417002751</v>
      </c>
      <c r="Y102" s="531">
        <f t="shared" si="100"/>
        <v>0.38119054417002751</v>
      </c>
      <c r="Z102" s="531">
        <f t="shared" si="100"/>
        <v>0.38119054417002751</v>
      </c>
      <c r="AA102" s="531">
        <f t="shared" si="100"/>
        <v>0.38119054417002751</v>
      </c>
      <c r="AB102" s="531">
        <f t="shared" si="100"/>
        <v>0.38119054417002751</v>
      </c>
      <c r="AC102" s="531">
        <f t="shared" si="100"/>
        <v>0.38119054417002751</v>
      </c>
      <c r="AD102" s="531">
        <f t="shared" si="100"/>
        <v>0.38118703079152572</v>
      </c>
      <c r="AE102" s="531">
        <f t="shared" si="100"/>
        <v>0.38118703079152572</v>
      </c>
      <c r="AF102" s="531">
        <f t="shared" si="100"/>
        <v>0.38118703079152572</v>
      </c>
      <c r="AG102" s="531">
        <f t="shared" si="100"/>
        <v>0.38118703079152572</v>
      </c>
      <c r="AH102" s="531">
        <f t="shared" si="100"/>
        <v>0.38118703079152572</v>
      </c>
      <c r="AI102" s="531">
        <f t="shared" si="100"/>
        <v>0.38118703079152572</v>
      </c>
      <c r="AJ102" s="531">
        <f t="shared" si="100"/>
        <v>0.38118878476202245</v>
      </c>
      <c r="AK102" s="531">
        <f t="shared" si="100"/>
        <v>0.38118878476202245</v>
      </c>
      <c r="AL102" s="531">
        <f t="shared" si="100"/>
        <v>0.38118878476202245</v>
      </c>
      <c r="AM102" s="531">
        <f t="shared" si="100"/>
        <v>0.38118878476202245</v>
      </c>
      <c r="AN102" s="531">
        <f t="shared" si="100"/>
        <v>0.38118878476202245</v>
      </c>
      <c r="AO102" s="531">
        <f t="shared" si="100"/>
        <v>0.38118878476202245</v>
      </c>
      <c r="AP102" s="531">
        <f t="shared" si="100"/>
        <v>0.38118222592730183</v>
      </c>
      <c r="AQ102" s="531">
        <f t="shared" si="100"/>
        <v>0.38118222592730183</v>
      </c>
      <c r="AR102" s="531">
        <f t="shared" si="100"/>
        <v>0.38118222592730183</v>
      </c>
      <c r="AS102" s="531">
        <f t="shared" si="100"/>
        <v>0.38118222592730183</v>
      </c>
      <c r="AT102" s="531">
        <f t="shared" si="100"/>
        <v>0.38118222592730183</v>
      </c>
      <c r="AU102" s="531">
        <f t="shared" si="100"/>
        <v>0.38118222592730183</v>
      </c>
      <c r="AV102" s="531">
        <f t="shared" si="100"/>
        <v>0.38118723217405154</v>
      </c>
      <c r="AW102" s="531">
        <f t="shared" si="100"/>
        <v>0.38118723217405154</v>
      </c>
      <c r="AX102" s="531">
        <f t="shared" si="100"/>
        <v>0.38118723217405154</v>
      </c>
      <c r="AY102" s="531">
        <f t="shared" si="100"/>
        <v>0.38118723217405154</v>
      </c>
      <c r="AZ102" s="531">
        <f t="shared" si="100"/>
        <v>0.38118723217405154</v>
      </c>
      <c r="BA102" s="531">
        <f t="shared" si="100"/>
        <v>0.38118723217405154</v>
      </c>
      <c r="BB102" s="531">
        <f t="shared" si="100"/>
        <v>0.3811786407866386</v>
      </c>
      <c r="BC102" s="531">
        <f t="shared" si="100"/>
        <v>0.3811786407866386</v>
      </c>
      <c r="BD102" s="531">
        <f t="shared" si="100"/>
        <v>0.3811786407866386</v>
      </c>
      <c r="BE102" s="531">
        <f t="shared" si="100"/>
        <v>0.3811786407866386</v>
      </c>
      <c r="BF102" s="531">
        <f t="shared" si="100"/>
        <v>0.3811786407866386</v>
      </c>
      <c r="BG102" s="531">
        <f t="shared" si="100"/>
        <v>0.3811786407866386</v>
      </c>
      <c r="BH102" s="531">
        <f t="shared" si="100"/>
        <v>0.3811867599485777</v>
      </c>
      <c r="BI102" s="531">
        <f t="shared" si="100"/>
        <v>0.3811867599485777</v>
      </c>
      <c r="BJ102" s="531">
        <f t="shared" si="100"/>
        <v>0.3811867599485777</v>
      </c>
      <c r="BK102" s="531">
        <f t="shared" si="100"/>
        <v>0.3811867599485777</v>
      </c>
      <c r="BL102" s="531">
        <f t="shared" si="100"/>
        <v>0.3811867599485777</v>
      </c>
      <c r="BM102" s="531">
        <f t="shared" si="100"/>
        <v>0.3811867599485777</v>
      </c>
      <c r="BN102" s="531">
        <f t="shared" si="100"/>
        <v>0.38117618525266828</v>
      </c>
      <c r="BO102" s="531">
        <f t="shared" si="100"/>
        <v>0.38117618525266828</v>
      </c>
      <c r="BP102" s="531">
        <f t="shared" si="100"/>
        <v>0.38117618525266828</v>
      </c>
      <c r="BQ102" s="531">
        <f t="shared" si="100"/>
        <v>0.38117618525266828</v>
      </c>
      <c r="BR102" s="531">
        <f t="shared" si="100"/>
        <v>0.38117618525266828</v>
      </c>
      <c r="BS102" s="531">
        <f t="shared" si="100"/>
        <v>0.38117618525266828</v>
      </c>
      <c r="BT102" s="531">
        <f t="shared" si="100"/>
        <v>0.38118725494684896</v>
      </c>
      <c r="BU102" s="531">
        <f t="shared" si="100"/>
        <v>0.38118725494684896</v>
      </c>
      <c r="BV102" s="531">
        <f t="shared" si="100"/>
        <v>0.38118725494684896</v>
      </c>
      <c r="BW102" s="531">
        <f t="shared" si="100"/>
        <v>0.38118725494684896</v>
      </c>
      <c r="BX102" s="531">
        <f t="shared" si="100"/>
        <v>0.38118725494684896</v>
      </c>
      <c r="BY102" s="531">
        <f t="shared" si="100"/>
        <v>0.38118725494684896</v>
      </c>
    </row>
    <row r="103" spans="3:80" x14ac:dyDescent="0.3">
      <c r="C103" s="2"/>
      <c r="D103" s="2"/>
      <c r="E103" s="2"/>
      <c r="F103" s="59"/>
      <c r="G103" s="59"/>
      <c r="H103" s="59"/>
      <c r="I103" s="60"/>
      <c r="J103" s="60"/>
      <c r="K103" s="60"/>
      <c r="L103" s="60"/>
      <c r="M103" s="60"/>
      <c r="N103" s="60"/>
      <c r="O103" s="60"/>
      <c r="P103" s="61"/>
      <c r="R103" s="60"/>
      <c r="S103" s="60"/>
      <c r="T103" s="60"/>
      <c r="U103" s="60"/>
      <c r="V103" s="60"/>
      <c r="W103" s="60"/>
      <c r="X103" s="60"/>
      <c r="Y103" s="60"/>
      <c r="Z103" s="60"/>
      <c r="AA103" s="60"/>
      <c r="AB103" s="60"/>
      <c r="AC103" s="60"/>
      <c r="AD103" s="60"/>
      <c r="AE103" s="60"/>
      <c r="AF103" s="60"/>
      <c r="AG103" s="60"/>
      <c r="AH103" s="60"/>
      <c r="AI103" s="60"/>
      <c r="AJ103" s="60"/>
      <c r="AK103" s="60"/>
      <c r="AL103" s="60"/>
      <c r="AM103" s="60"/>
      <c r="AN103" s="60"/>
      <c r="AO103" s="60"/>
      <c r="AP103" s="60"/>
      <c r="AQ103" s="60"/>
      <c r="AR103" s="60"/>
      <c r="AS103" s="60"/>
      <c r="AT103" s="60"/>
      <c r="AU103" s="60"/>
      <c r="AV103" s="60"/>
      <c r="AW103" s="60"/>
      <c r="AX103" s="60"/>
      <c r="AY103" s="60"/>
      <c r="AZ103" s="60"/>
      <c r="BA103" s="60"/>
      <c r="BB103" s="60"/>
      <c r="BC103" s="60"/>
      <c r="BD103" s="60"/>
      <c r="BE103" s="60"/>
      <c r="BF103" s="60"/>
      <c r="BG103" s="60"/>
      <c r="BH103" s="60"/>
      <c r="BI103" s="60"/>
      <c r="BJ103" s="60"/>
      <c r="BK103" s="60"/>
      <c r="BL103" s="60"/>
      <c r="BM103" s="60"/>
      <c r="BN103" s="60"/>
      <c r="BO103" s="60"/>
      <c r="BP103" s="60"/>
      <c r="BQ103" s="60"/>
      <c r="BR103" s="60"/>
      <c r="BS103" s="60"/>
      <c r="BT103" s="60"/>
      <c r="BU103" s="60"/>
      <c r="BV103" s="60"/>
      <c r="BW103" s="60"/>
      <c r="BX103" s="60"/>
      <c r="BY103" s="60"/>
    </row>
    <row r="104" spans="3:80" x14ac:dyDescent="0.3">
      <c r="C104" s="2"/>
      <c r="D104" s="2"/>
      <c r="E104" s="62" t="s">
        <v>24</v>
      </c>
      <c r="F104" s="63"/>
      <c r="G104" s="63"/>
      <c r="H104" s="63"/>
      <c r="I104" s="671">
        <f>SUM('Value Segment'!I39,'Mid-Market Segment'!I39,'Upper Mid-Market Segment'!I39,'Premium Segment'!I39)/SUM('Value Segment'!I$82,'Mid-Market Segment'!I$82,'Upper Mid-Market Segment'!I$82,'Premium Segment'!I$82)</f>
        <v>54430.625602558357</v>
      </c>
      <c r="J104" s="671">
        <f>SUM('Value Segment'!J39,'Mid-Market Segment'!J39,'Upper Mid-Market Segment'!J39,'Premium Segment'!J39)/SUM('Value Segment'!J$82,'Mid-Market Segment'!J$82,'Upper Mid-Market Segment'!J$82,'Premium Segment'!J$82)</f>
        <v>58018.42077958482</v>
      </c>
      <c r="K104" s="671">
        <f>SUM('Value Segment'!K39,'Mid-Market Segment'!K39,'Upper Mid-Market Segment'!K39,'Premium Segment'!K39)/SUM('Value Segment'!K$82,'Mid-Market Segment'!K$82,'Upper Mid-Market Segment'!K$82,'Premium Segment'!K$82)</f>
        <v>62204.640270430522</v>
      </c>
      <c r="L104" s="671">
        <f>SUM('Value Segment'!L39,'Mid-Market Segment'!L39,'Upper Mid-Market Segment'!L39,'Premium Segment'!L39)/SUM('Value Segment'!L$82,'Mid-Market Segment'!L$82,'Upper Mid-Market Segment'!L$82,'Premium Segment'!L$82)</f>
        <v>66493.170389362451</v>
      </c>
      <c r="M104" s="671">
        <f>SUM('Value Segment'!M39,'Mid-Market Segment'!M39,'Upper Mid-Market Segment'!M39,'Premium Segment'!M39)/SUM('Value Segment'!M$82,'Mid-Market Segment'!M$82,'Upper Mid-Market Segment'!M$82,'Premium Segment'!M$82)</f>
        <v>70923.618268473729</v>
      </c>
      <c r="N104" s="671">
        <f>SUM('Value Segment'!N39,'Mid-Market Segment'!N39,'Upper Mid-Market Segment'!N39,'Premium Segment'!N39)/SUM('Value Segment'!N$82,'Mid-Market Segment'!N$82,'Upper Mid-Market Segment'!N$82,'Premium Segment'!N$82)</f>
        <v>75624.876191736199</v>
      </c>
      <c r="O104" s="57"/>
      <c r="P104" s="55">
        <f>IFERROR(((N104/I104)^(1/5))-1,0)</f>
        <v>6.7982828927368288E-2</v>
      </c>
      <c r="R104" s="671">
        <f>SUM('Value Segment'!R39,'Mid-Market Segment'!R39,'Upper Mid-Market Segment'!R39,'Premium Segment'!R39)/SUM('Value Segment'!R$82,'Mid-Market Segment'!R$82,'Upper Mid-Market Segment'!R$82,'Premium Segment'!R$82)</f>
        <v>4778.0441534958381</v>
      </c>
      <c r="S104" s="674">
        <f>SUM('Value Segment'!S39,'Mid-Market Segment'!S39,'Upper Mid-Market Segment'!S39,'Premium Segment'!S39)/SUM('Value Segment'!S$82,'Mid-Market Segment'!S$82,'Upper Mid-Market Segment'!S$82,'Premium Segment'!S$82)</f>
        <v>4778.0441534958381</v>
      </c>
      <c r="T104" s="674">
        <f>SUM('Value Segment'!T39,'Mid-Market Segment'!T39,'Upper Mid-Market Segment'!T39,'Premium Segment'!T39)/SUM('Value Segment'!T$82,'Mid-Market Segment'!T$82,'Upper Mid-Market Segment'!T$82,'Premium Segment'!T$82)</f>
        <v>4778.0441534958381</v>
      </c>
      <c r="U104" s="674">
        <f>SUM('Value Segment'!U39,'Mid-Market Segment'!U39,'Upper Mid-Market Segment'!U39,'Premium Segment'!U39)/SUM('Value Segment'!U$82,'Mid-Market Segment'!U$82,'Upper Mid-Market Segment'!U$82,'Premium Segment'!U$82)</f>
        <v>4778.0441534958381</v>
      </c>
      <c r="V104" s="674">
        <f>SUM('Value Segment'!V39,'Mid-Market Segment'!V39,'Upper Mid-Market Segment'!V39,'Premium Segment'!V39)/SUM('Value Segment'!V$82,'Mid-Market Segment'!V$82,'Upper Mid-Market Segment'!V$82,'Premium Segment'!V$82)</f>
        <v>4778.0441534958381</v>
      </c>
      <c r="W104" s="674">
        <f>SUM('Value Segment'!W39,'Mid-Market Segment'!W39,'Upper Mid-Market Segment'!W39,'Premium Segment'!W39)/SUM('Value Segment'!W$82,'Mid-Market Segment'!W$82,'Upper Mid-Market Segment'!W$82,'Premium Segment'!W$82)</f>
        <v>4778.0441534958381</v>
      </c>
      <c r="X104" s="674">
        <f>SUM('Value Segment'!X39,'Mid-Market Segment'!X39,'Upper Mid-Market Segment'!X39,'Premium Segment'!X39)/SUM('Value Segment'!X$82,'Mid-Market Segment'!X$82,'Upper Mid-Market Segment'!X$82,'Premium Segment'!X$82)</f>
        <v>4891.6926431016336</v>
      </c>
      <c r="Y104" s="674">
        <f>SUM('Value Segment'!Y39,'Mid-Market Segment'!Y39,'Upper Mid-Market Segment'!Y39,'Premium Segment'!Y39)/SUM('Value Segment'!Y$82,'Mid-Market Segment'!Y$82,'Upper Mid-Market Segment'!Y$82,'Premium Segment'!Y$82)</f>
        <v>4891.6926431016336</v>
      </c>
      <c r="Z104" s="674">
        <f>SUM('Value Segment'!Z39,'Mid-Market Segment'!Z39,'Upper Mid-Market Segment'!Z39,'Premium Segment'!Z39)/SUM('Value Segment'!Z$82,'Mid-Market Segment'!Z$82,'Upper Mid-Market Segment'!Z$82,'Premium Segment'!Z$82)</f>
        <v>4891.6926431016336</v>
      </c>
      <c r="AA104" s="674">
        <f>SUM('Value Segment'!AA39,'Mid-Market Segment'!AA39,'Upper Mid-Market Segment'!AA39,'Premium Segment'!AA39)/SUM('Value Segment'!AA$82,'Mid-Market Segment'!AA$82,'Upper Mid-Market Segment'!AA$82,'Premium Segment'!AA$82)</f>
        <v>4891.6926431016336</v>
      </c>
      <c r="AB104" s="674">
        <f>SUM('Value Segment'!AB39,'Mid-Market Segment'!AB39,'Upper Mid-Market Segment'!AB39,'Premium Segment'!AB39)/SUM('Value Segment'!AB$82,'Mid-Market Segment'!AB$82,'Upper Mid-Market Segment'!AB$82,'Premium Segment'!AB$82)</f>
        <v>4891.6926431016336</v>
      </c>
      <c r="AC104" s="674">
        <f>SUM('Value Segment'!AC39,'Mid-Market Segment'!AC39,'Upper Mid-Market Segment'!AC39,'Premium Segment'!AC39)/SUM('Value Segment'!AC$82,'Mid-Market Segment'!AC$82,'Upper Mid-Market Segment'!AC$82,'Premium Segment'!AC$82)</f>
        <v>4891.6926431016336</v>
      </c>
      <c r="AD104" s="674">
        <f>SUM('Value Segment'!AD39,'Mid-Market Segment'!AD39,'Upper Mid-Market Segment'!AD39,'Premium Segment'!AD39)/SUM('Value Segment'!AD$82,'Mid-Market Segment'!AD$82,'Upper Mid-Market Segment'!AD$82,'Premium Segment'!AD$82)</f>
        <v>5110.6440347566731</v>
      </c>
      <c r="AE104" s="674">
        <f>SUM('Value Segment'!AE39,'Mid-Market Segment'!AE39,'Upper Mid-Market Segment'!AE39,'Premium Segment'!AE39)/SUM('Value Segment'!AE$82,'Mid-Market Segment'!AE$82,'Upper Mid-Market Segment'!AE$82,'Premium Segment'!AE$82)</f>
        <v>5110.6440347566731</v>
      </c>
      <c r="AF104" s="674">
        <f>SUM('Value Segment'!AF39,'Mid-Market Segment'!AF39,'Upper Mid-Market Segment'!AF39,'Premium Segment'!AF39)/SUM('Value Segment'!AF$82,'Mid-Market Segment'!AF$82,'Upper Mid-Market Segment'!AF$82,'Premium Segment'!AF$82)</f>
        <v>5110.6440347566731</v>
      </c>
      <c r="AG104" s="674">
        <f>SUM('Value Segment'!AG39,'Mid-Market Segment'!AG39,'Upper Mid-Market Segment'!AG39,'Premium Segment'!AG39)/SUM('Value Segment'!AG$82,'Mid-Market Segment'!AG$82,'Upper Mid-Market Segment'!AG$82,'Premium Segment'!AG$82)</f>
        <v>5110.6440347566731</v>
      </c>
      <c r="AH104" s="674">
        <f>SUM('Value Segment'!AH39,'Mid-Market Segment'!AH39,'Upper Mid-Market Segment'!AH39,'Premium Segment'!AH39)/SUM('Value Segment'!AH$82,'Mid-Market Segment'!AH$82,'Upper Mid-Market Segment'!AH$82,'Premium Segment'!AH$82)</f>
        <v>5110.6440347566731</v>
      </c>
      <c r="AI104" s="674">
        <f>SUM('Value Segment'!AI39,'Mid-Market Segment'!AI39,'Upper Mid-Market Segment'!AI39,'Premium Segment'!AI39)/SUM('Value Segment'!AI$82,'Mid-Market Segment'!AI$82,'Upper Mid-Market Segment'!AI$82,'Premium Segment'!AI$82)</f>
        <v>5110.6440347566731</v>
      </c>
      <c r="AJ104" s="674">
        <f>SUM('Value Segment'!AJ39,'Mid-Market Segment'!AJ39,'Upper Mid-Market Segment'!AJ39,'Premium Segment'!AJ39)/SUM('Value Segment'!AJ$82,'Mid-Market Segment'!AJ$82,'Upper Mid-Market Segment'!AJ$82,'Premium Segment'!AJ$82)</f>
        <v>5256.7960103150799</v>
      </c>
      <c r="AK104" s="674">
        <f>SUM('Value Segment'!AK39,'Mid-Market Segment'!AK39,'Upper Mid-Market Segment'!AK39,'Premium Segment'!AK39)/SUM('Value Segment'!AK$82,'Mid-Market Segment'!AK$82,'Upper Mid-Market Segment'!AK$82,'Premium Segment'!AK$82)</f>
        <v>5256.7960103150799</v>
      </c>
      <c r="AL104" s="674">
        <f>SUM('Value Segment'!AL39,'Mid-Market Segment'!AL39,'Upper Mid-Market Segment'!AL39,'Premium Segment'!AL39)/SUM('Value Segment'!AL$82,'Mid-Market Segment'!AL$82,'Upper Mid-Market Segment'!AL$82,'Premium Segment'!AL$82)</f>
        <v>5256.7960103150799</v>
      </c>
      <c r="AM104" s="674">
        <f>SUM('Value Segment'!AM39,'Mid-Market Segment'!AM39,'Upper Mid-Market Segment'!AM39,'Premium Segment'!AM39)/SUM('Value Segment'!AM$82,'Mid-Market Segment'!AM$82,'Upper Mid-Market Segment'!AM$82,'Premium Segment'!AM$82)</f>
        <v>5256.7960103150799</v>
      </c>
      <c r="AN104" s="674">
        <f>SUM('Value Segment'!AN39,'Mid-Market Segment'!AN39,'Upper Mid-Market Segment'!AN39,'Premium Segment'!AN39)/SUM('Value Segment'!AN$82,'Mid-Market Segment'!AN$82,'Upper Mid-Market Segment'!AN$82,'Premium Segment'!AN$82)</f>
        <v>5256.7960103150799</v>
      </c>
      <c r="AO104" s="674">
        <f>SUM('Value Segment'!AO39,'Mid-Market Segment'!AO39,'Upper Mid-Market Segment'!AO39,'Premium Segment'!AO39)/SUM('Value Segment'!AO$82,'Mid-Market Segment'!AO$82,'Upper Mid-Market Segment'!AO$82,'Premium Segment'!AO$82)</f>
        <v>5256.7960103150799</v>
      </c>
      <c r="AP104" s="674">
        <f>SUM('Value Segment'!AP39,'Mid-Market Segment'!AP39,'Upper Mid-Market Segment'!AP39,'Premium Segment'!AP39)/SUM('Value Segment'!AP$82,'Mid-Market Segment'!AP$82,'Upper Mid-Market Segment'!AP$82,'Premium Segment'!AP$82)</f>
        <v>5450.6785444452462</v>
      </c>
      <c r="AQ104" s="674">
        <f>SUM('Value Segment'!AQ39,'Mid-Market Segment'!AQ39,'Upper Mid-Market Segment'!AQ39,'Premium Segment'!AQ39)/SUM('Value Segment'!AQ$82,'Mid-Market Segment'!AQ$82,'Upper Mid-Market Segment'!AQ$82,'Premium Segment'!AQ$82)</f>
        <v>5450.6785444452462</v>
      </c>
      <c r="AR104" s="674">
        <f>SUM('Value Segment'!AR39,'Mid-Market Segment'!AR39,'Upper Mid-Market Segment'!AR39,'Premium Segment'!AR39)/SUM('Value Segment'!AR$82,'Mid-Market Segment'!AR$82,'Upper Mid-Market Segment'!AR$82,'Premium Segment'!AR$82)</f>
        <v>5450.6785444452462</v>
      </c>
      <c r="AS104" s="674">
        <f>SUM('Value Segment'!AS39,'Mid-Market Segment'!AS39,'Upper Mid-Market Segment'!AS39,'Premium Segment'!AS39)/SUM('Value Segment'!AS$82,'Mid-Market Segment'!AS$82,'Upper Mid-Market Segment'!AS$82,'Premium Segment'!AS$82)</f>
        <v>5450.6785444452462</v>
      </c>
      <c r="AT104" s="674">
        <f>SUM('Value Segment'!AT39,'Mid-Market Segment'!AT39,'Upper Mid-Market Segment'!AT39,'Premium Segment'!AT39)/SUM('Value Segment'!AT$82,'Mid-Market Segment'!AT$82,'Upper Mid-Market Segment'!AT$82,'Premium Segment'!AT$82)</f>
        <v>5450.6785444452462</v>
      </c>
      <c r="AU104" s="674">
        <f>SUM('Value Segment'!AU39,'Mid-Market Segment'!AU39,'Upper Mid-Market Segment'!AU39,'Premium Segment'!AU39)/SUM('Value Segment'!AU$82,'Mid-Market Segment'!AU$82,'Upper Mid-Market Segment'!AU$82,'Premium Segment'!AU$82)</f>
        <v>5450.6785444452462</v>
      </c>
      <c r="AV104" s="674">
        <f>SUM('Value Segment'!AV39,'Mid-Market Segment'!AV39,'Upper Mid-Market Segment'!AV39,'Premium Segment'!AV39)/SUM('Value Segment'!AV$82,'Mid-Market Segment'!AV$82,'Upper Mid-Market Segment'!AV$82,'Premium Segment'!AV$82)</f>
        <v>5631.5165204484938</v>
      </c>
      <c r="AW104" s="674">
        <f>SUM('Value Segment'!AW39,'Mid-Market Segment'!AW39,'Upper Mid-Market Segment'!AW39,'Premium Segment'!AW39)/SUM('Value Segment'!AW$82,'Mid-Market Segment'!AW$82,'Upper Mid-Market Segment'!AW$82,'Premium Segment'!AW$82)</f>
        <v>5631.5165204484938</v>
      </c>
      <c r="AX104" s="674">
        <f>SUM('Value Segment'!AX39,'Mid-Market Segment'!AX39,'Upper Mid-Market Segment'!AX39,'Premium Segment'!AX39)/SUM('Value Segment'!AX$82,'Mid-Market Segment'!AX$82,'Upper Mid-Market Segment'!AX$82,'Premium Segment'!AX$82)</f>
        <v>5631.5165204484938</v>
      </c>
      <c r="AY104" s="674">
        <f>SUM('Value Segment'!AY39,'Mid-Market Segment'!AY39,'Upper Mid-Market Segment'!AY39,'Premium Segment'!AY39)/SUM('Value Segment'!AY$82,'Mid-Market Segment'!AY$82,'Upper Mid-Market Segment'!AY$82,'Premium Segment'!AY$82)</f>
        <v>5631.5165204484938</v>
      </c>
      <c r="AZ104" s="674">
        <f>SUM('Value Segment'!AZ39,'Mid-Market Segment'!AZ39,'Upper Mid-Market Segment'!AZ39,'Premium Segment'!AZ39)/SUM('Value Segment'!AZ$82,'Mid-Market Segment'!AZ$82,'Upper Mid-Market Segment'!AZ$82,'Premium Segment'!AZ$82)</f>
        <v>5631.5165204484938</v>
      </c>
      <c r="BA104" s="674">
        <f>SUM('Value Segment'!BA39,'Mid-Market Segment'!BA39,'Upper Mid-Market Segment'!BA39,'Premium Segment'!BA39)/SUM('Value Segment'!BA$82,'Mid-Market Segment'!BA$82,'Upper Mid-Market Segment'!BA$82,'Premium Segment'!BA$82)</f>
        <v>5631.5165204484938</v>
      </c>
      <c r="BB104" s="674">
        <f>SUM('Value Segment'!BB39,'Mid-Market Segment'!BB39,'Upper Mid-Market Segment'!BB39,'Premium Segment'!BB39)/SUM('Value Segment'!BB$82,'Mid-Market Segment'!BB$82,'Upper Mid-Market Segment'!BB$82,'Premium Segment'!BB$82)</f>
        <v>5801.4254335066025</v>
      </c>
      <c r="BC104" s="674">
        <f>SUM('Value Segment'!BC39,'Mid-Market Segment'!BC39,'Upper Mid-Market Segment'!BC39,'Premium Segment'!BC39)/SUM('Value Segment'!BC$82,'Mid-Market Segment'!BC$82,'Upper Mid-Market Segment'!BC$82,'Premium Segment'!BC$82)</f>
        <v>5801.4254335066025</v>
      </c>
      <c r="BD104" s="674">
        <f>SUM('Value Segment'!BD39,'Mid-Market Segment'!BD39,'Upper Mid-Market Segment'!BD39,'Premium Segment'!BD39)/SUM('Value Segment'!BD$82,'Mid-Market Segment'!BD$82,'Upper Mid-Market Segment'!BD$82,'Premium Segment'!BD$82)</f>
        <v>5801.4254335066025</v>
      </c>
      <c r="BE104" s="674">
        <f>SUM('Value Segment'!BE39,'Mid-Market Segment'!BE39,'Upper Mid-Market Segment'!BE39,'Premium Segment'!BE39)/SUM('Value Segment'!BE$82,'Mid-Market Segment'!BE$82,'Upper Mid-Market Segment'!BE$82,'Premium Segment'!BE$82)</f>
        <v>5801.4254335066025</v>
      </c>
      <c r="BF104" s="674">
        <f>SUM('Value Segment'!BF39,'Mid-Market Segment'!BF39,'Upper Mid-Market Segment'!BF39,'Premium Segment'!BF39)/SUM('Value Segment'!BF$82,'Mid-Market Segment'!BF$82,'Upper Mid-Market Segment'!BF$82,'Premium Segment'!BF$82)</f>
        <v>5801.4254335066025</v>
      </c>
      <c r="BG104" s="674">
        <f>SUM('Value Segment'!BG39,'Mid-Market Segment'!BG39,'Upper Mid-Market Segment'!BG39,'Premium Segment'!BG39)/SUM('Value Segment'!BG$82,'Mid-Market Segment'!BG$82,'Upper Mid-Market Segment'!BG$82,'Premium Segment'!BG$82)</f>
        <v>5801.4254335066025</v>
      </c>
      <c r="BH104" s="674">
        <f>SUM('Value Segment'!BH39,'Mid-Market Segment'!BH39,'Upper Mid-Market Segment'!BH39,'Premium Segment'!BH39)/SUM('Value Segment'!BH$82,'Mid-Market Segment'!BH$82,'Upper Mid-Market Segment'!BH$82,'Premium Segment'!BH$82)</f>
        <v>6019.1776112390171</v>
      </c>
      <c r="BI104" s="674">
        <f>SUM('Value Segment'!BI39,'Mid-Market Segment'!BI39,'Upper Mid-Market Segment'!BI39,'Premium Segment'!BI39)/SUM('Value Segment'!BI$82,'Mid-Market Segment'!BI$82,'Upper Mid-Market Segment'!BI$82,'Premium Segment'!BI$82)</f>
        <v>6019.1776112390171</v>
      </c>
      <c r="BJ104" s="674">
        <f>SUM('Value Segment'!BJ39,'Mid-Market Segment'!BJ39,'Upper Mid-Market Segment'!BJ39,'Premium Segment'!BJ39)/SUM('Value Segment'!BJ$82,'Mid-Market Segment'!BJ$82,'Upper Mid-Market Segment'!BJ$82,'Premium Segment'!BJ$82)</f>
        <v>6019.1776112390171</v>
      </c>
      <c r="BK104" s="674">
        <f>SUM('Value Segment'!BK39,'Mid-Market Segment'!BK39,'Upper Mid-Market Segment'!BK39,'Premium Segment'!BK39)/SUM('Value Segment'!BK$82,'Mid-Market Segment'!BK$82,'Upper Mid-Market Segment'!BK$82,'Premium Segment'!BK$82)</f>
        <v>6019.1776112390171</v>
      </c>
      <c r="BL104" s="674">
        <f>SUM('Value Segment'!BL39,'Mid-Market Segment'!BL39,'Upper Mid-Market Segment'!BL39,'Premium Segment'!BL39)/SUM('Value Segment'!BL$82,'Mid-Market Segment'!BL$82,'Upper Mid-Market Segment'!BL$82,'Premium Segment'!BL$82)</f>
        <v>6019.1776112390171</v>
      </c>
      <c r="BM104" s="674">
        <f>SUM('Value Segment'!BM39,'Mid-Market Segment'!BM39,'Upper Mid-Market Segment'!BM39,'Premium Segment'!BM39)/SUM('Value Segment'!BM$82,'Mid-Market Segment'!BM$82,'Upper Mid-Market Segment'!BM$82,'Premium Segment'!BM$82)</f>
        <v>6019.1776112390171</v>
      </c>
      <c r="BN104" s="674">
        <f>SUM('Value Segment'!BN39,'Mid-Market Segment'!BN39,'Upper Mid-Market Segment'!BN39,'Premium Segment'!BN39)/SUM('Value Segment'!BN$82,'Mid-Market Segment'!BN$82,'Upper Mid-Market Segment'!BN$82,'Premium Segment'!BN$82)</f>
        <v>6173.5714048710834</v>
      </c>
      <c r="BO104" s="674">
        <f>SUM('Value Segment'!BO39,'Mid-Market Segment'!BO39,'Upper Mid-Market Segment'!BO39,'Premium Segment'!BO39)/SUM('Value Segment'!BO$82,'Mid-Market Segment'!BO$82,'Upper Mid-Market Segment'!BO$82,'Premium Segment'!BO$82)</f>
        <v>6173.5714048710834</v>
      </c>
      <c r="BP104" s="674">
        <f>SUM('Value Segment'!BP39,'Mid-Market Segment'!BP39,'Upper Mid-Market Segment'!BP39,'Premium Segment'!BP39)/SUM('Value Segment'!BP$82,'Mid-Market Segment'!BP$82,'Upper Mid-Market Segment'!BP$82,'Premium Segment'!BP$82)</f>
        <v>6173.5714048710834</v>
      </c>
      <c r="BQ104" s="674">
        <f>SUM('Value Segment'!BQ39,'Mid-Market Segment'!BQ39,'Upper Mid-Market Segment'!BQ39,'Premium Segment'!BQ39)/SUM('Value Segment'!BQ$82,'Mid-Market Segment'!BQ$82,'Upper Mid-Market Segment'!BQ$82,'Premium Segment'!BQ$82)</f>
        <v>6173.5714048710834</v>
      </c>
      <c r="BR104" s="674">
        <f>SUM('Value Segment'!BR39,'Mid-Market Segment'!BR39,'Upper Mid-Market Segment'!BR39,'Premium Segment'!BR39)/SUM('Value Segment'!BR$82,'Mid-Market Segment'!BR$82,'Upper Mid-Market Segment'!BR$82,'Premium Segment'!BR$82)</f>
        <v>6173.5714048710834</v>
      </c>
      <c r="BS104" s="674">
        <f>SUM('Value Segment'!BS39,'Mid-Market Segment'!BS39,'Upper Mid-Market Segment'!BS39,'Premium Segment'!BS39)/SUM('Value Segment'!BS$82,'Mid-Market Segment'!BS$82,'Upper Mid-Market Segment'!BS$82,'Premium Segment'!BS$82)</f>
        <v>6173.5714048710834</v>
      </c>
      <c r="BT104" s="674">
        <f>SUM('Value Segment'!BT39,'Mid-Market Segment'!BT39,'Upper Mid-Market Segment'!BT39,'Premium Segment'!BT39)/SUM('Value Segment'!BT$82,'Mid-Market Segment'!BT$82,'Upper Mid-Market Segment'!BT$82,'Premium Segment'!BT$82)</f>
        <v>6430.5746270849495</v>
      </c>
      <c r="BU104" s="674">
        <f>SUM('Value Segment'!BU39,'Mid-Market Segment'!BU39,'Upper Mid-Market Segment'!BU39,'Premium Segment'!BU39)/SUM('Value Segment'!BU$82,'Mid-Market Segment'!BU$82,'Upper Mid-Market Segment'!BU$82,'Premium Segment'!BU$82)</f>
        <v>6430.5746270849495</v>
      </c>
      <c r="BV104" s="674">
        <f>SUM('Value Segment'!BV39,'Mid-Market Segment'!BV39,'Upper Mid-Market Segment'!BV39,'Premium Segment'!BV39)/SUM('Value Segment'!BV$82,'Mid-Market Segment'!BV$82,'Upper Mid-Market Segment'!BV$82,'Premium Segment'!BV$82)</f>
        <v>6430.5746270849495</v>
      </c>
      <c r="BW104" s="674">
        <f>SUM('Value Segment'!BW39,'Mid-Market Segment'!BW39,'Upper Mid-Market Segment'!BW39,'Premium Segment'!BW39)/SUM('Value Segment'!BW$82,'Mid-Market Segment'!BW$82,'Upper Mid-Market Segment'!BW$82,'Premium Segment'!BW$82)</f>
        <v>6430.5746270849495</v>
      </c>
      <c r="BX104" s="674">
        <f>SUM('Value Segment'!BX39,'Mid-Market Segment'!BX39,'Upper Mid-Market Segment'!BX39,'Premium Segment'!BX39)/SUM('Value Segment'!BX$82,'Mid-Market Segment'!BX$82,'Upper Mid-Market Segment'!BX$82,'Premium Segment'!BX$82)</f>
        <v>6430.5746270849495</v>
      </c>
      <c r="BY104" s="674">
        <f>SUM('Value Segment'!BY39,'Mid-Market Segment'!BY39,'Upper Mid-Market Segment'!BY39,'Premium Segment'!BY39)/SUM('Value Segment'!BY$82,'Mid-Market Segment'!BY$82,'Upper Mid-Market Segment'!BY$82,'Premium Segment'!BY$82)</f>
        <v>6430.5746270849495</v>
      </c>
      <c r="CB104" s="8"/>
    </row>
    <row r="105" spans="3:80" x14ac:dyDescent="0.3">
      <c r="C105" s="2"/>
      <c r="D105" s="2"/>
      <c r="E105" s="2" t="s">
        <v>177</v>
      </c>
      <c r="F105" s="37"/>
      <c r="G105" s="37"/>
      <c r="H105" s="37"/>
      <c r="I105" s="499">
        <f t="shared" ref="I105:N105" si="101">IFERROR(I104/(I87+I96),0)</f>
        <v>0.41720214183724252</v>
      </c>
      <c r="J105" s="499">
        <f t="shared" si="101"/>
        <v>0.42478723802706803</v>
      </c>
      <c r="K105" s="499">
        <f t="shared" si="101"/>
        <v>0.43191790934446289</v>
      </c>
      <c r="L105" s="499">
        <f t="shared" si="101"/>
        <v>0.43854031634112861</v>
      </c>
      <c r="M105" s="499">
        <f t="shared" si="101"/>
        <v>0.44463987477381051</v>
      </c>
      <c r="N105" s="499">
        <f t="shared" si="101"/>
        <v>0.45062610315937163</v>
      </c>
      <c r="O105" s="23"/>
      <c r="P105" s="50">
        <f>IFERROR(((N105/I105)^(1/5))-1,0)</f>
        <v>1.5532819247766172E-2</v>
      </c>
      <c r="R105" s="499">
        <f>IFERROR(R104/(R87+R96),0)</f>
        <v>0.42476988817539602</v>
      </c>
      <c r="S105" s="531">
        <f t="shared" ref="S105:BY105" si="102">IFERROR(S104/(S87+S96),0)</f>
        <v>0.42476988817539602</v>
      </c>
      <c r="T105" s="531">
        <f t="shared" si="102"/>
        <v>0.42476988817539602</v>
      </c>
      <c r="U105" s="531">
        <f t="shared" si="102"/>
        <v>0.42476988817539602</v>
      </c>
      <c r="V105" s="531">
        <f t="shared" si="102"/>
        <v>0.42476988817539602</v>
      </c>
      <c r="W105" s="531">
        <f t="shared" si="102"/>
        <v>0.42476988817539602</v>
      </c>
      <c r="X105" s="531">
        <f t="shared" si="102"/>
        <v>0.42480418615872928</v>
      </c>
      <c r="Y105" s="531">
        <f t="shared" si="102"/>
        <v>0.42480418615872928</v>
      </c>
      <c r="Z105" s="531">
        <f t="shared" si="102"/>
        <v>0.42480418615872928</v>
      </c>
      <c r="AA105" s="531">
        <f t="shared" si="102"/>
        <v>0.42480418615872928</v>
      </c>
      <c r="AB105" s="531">
        <f t="shared" si="102"/>
        <v>0.42480418615872928</v>
      </c>
      <c r="AC105" s="531">
        <f t="shared" si="102"/>
        <v>0.42480418615872928</v>
      </c>
      <c r="AD105" s="531">
        <f t="shared" si="102"/>
        <v>0.4318948628753545</v>
      </c>
      <c r="AE105" s="531">
        <f t="shared" si="102"/>
        <v>0.4318948628753545</v>
      </c>
      <c r="AF105" s="531">
        <f t="shared" si="102"/>
        <v>0.4318948628753545</v>
      </c>
      <c r="AG105" s="531">
        <f t="shared" si="102"/>
        <v>0.4318948628753545</v>
      </c>
      <c r="AH105" s="531">
        <f t="shared" si="102"/>
        <v>0.4318948628753545</v>
      </c>
      <c r="AI105" s="531">
        <f t="shared" si="102"/>
        <v>0.4318948628753545</v>
      </c>
      <c r="AJ105" s="531">
        <f t="shared" si="102"/>
        <v>0.43194031742261085</v>
      </c>
      <c r="AK105" s="531">
        <f t="shared" si="102"/>
        <v>0.43194031742261085</v>
      </c>
      <c r="AL105" s="531">
        <f t="shared" si="102"/>
        <v>0.43194031742261085</v>
      </c>
      <c r="AM105" s="531">
        <f t="shared" si="102"/>
        <v>0.43194031742261085</v>
      </c>
      <c r="AN105" s="531">
        <f t="shared" si="102"/>
        <v>0.43194031742261085</v>
      </c>
      <c r="AO105" s="531">
        <f t="shared" si="102"/>
        <v>0.43194031742261085</v>
      </c>
      <c r="AP105" s="531">
        <f t="shared" si="102"/>
        <v>0.43851183091386986</v>
      </c>
      <c r="AQ105" s="531">
        <f t="shared" si="102"/>
        <v>0.43851183091386986</v>
      </c>
      <c r="AR105" s="531">
        <f t="shared" si="102"/>
        <v>0.43851183091386986</v>
      </c>
      <c r="AS105" s="531">
        <f t="shared" si="102"/>
        <v>0.43851183091386986</v>
      </c>
      <c r="AT105" s="531">
        <f t="shared" si="102"/>
        <v>0.43851183091386986</v>
      </c>
      <c r="AU105" s="531">
        <f t="shared" si="102"/>
        <v>0.43851183091386986</v>
      </c>
      <c r="AV105" s="531">
        <f t="shared" si="102"/>
        <v>0.4385678905754935</v>
      </c>
      <c r="AW105" s="531">
        <f t="shared" si="102"/>
        <v>0.4385678905754935</v>
      </c>
      <c r="AX105" s="531">
        <f t="shared" si="102"/>
        <v>0.4385678905754935</v>
      </c>
      <c r="AY105" s="531">
        <f t="shared" si="102"/>
        <v>0.4385678905754935</v>
      </c>
      <c r="AZ105" s="531">
        <f t="shared" si="102"/>
        <v>0.4385678905754935</v>
      </c>
      <c r="BA105" s="531">
        <f t="shared" si="102"/>
        <v>0.4385678905754935</v>
      </c>
      <c r="BB105" s="531">
        <f t="shared" si="102"/>
        <v>0.44460629338138774</v>
      </c>
      <c r="BC105" s="531">
        <f t="shared" si="102"/>
        <v>0.44460629338138774</v>
      </c>
      <c r="BD105" s="531">
        <f t="shared" si="102"/>
        <v>0.44460629338138774</v>
      </c>
      <c r="BE105" s="531">
        <f t="shared" si="102"/>
        <v>0.44460629338138774</v>
      </c>
      <c r="BF105" s="531">
        <f t="shared" si="102"/>
        <v>0.44460629338138774</v>
      </c>
      <c r="BG105" s="531">
        <f t="shared" si="102"/>
        <v>0.44460629338138774</v>
      </c>
      <c r="BH105" s="531">
        <f t="shared" si="102"/>
        <v>0.44467224611358402</v>
      </c>
      <c r="BI105" s="531">
        <f t="shared" si="102"/>
        <v>0.44467224611358402</v>
      </c>
      <c r="BJ105" s="531">
        <f t="shared" si="102"/>
        <v>0.44467224611358402</v>
      </c>
      <c r="BK105" s="531">
        <f t="shared" si="102"/>
        <v>0.44467224611358402</v>
      </c>
      <c r="BL105" s="531">
        <f t="shared" si="102"/>
        <v>0.44467224611358402</v>
      </c>
      <c r="BM105" s="531">
        <f t="shared" si="102"/>
        <v>0.44467224611358402</v>
      </c>
      <c r="BN105" s="531">
        <f t="shared" si="102"/>
        <v>0.45058783275639491</v>
      </c>
      <c r="BO105" s="531">
        <f t="shared" si="102"/>
        <v>0.45058783275639491</v>
      </c>
      <c r="BP105" s="531">
        <f t="shared" si="102"/>
        <v>0.45058783275639491</v>
      </c>
      <c r="BQ105" s="531">
        <f t="shared" si="102"/>
        <v>0.45058783275639491</v>
      </c>
      <c r="BR105" s="531">
        <f t="shared" si="102"/>
        <v>0.45058783275639491</v>
      </c>
      <c r="BS105" s="531">
        <f t="shared" si="102"/>
        <v>0.45058783275639491</v>
      </c>
      <c r="BT105" s="531">
        <f t="shared" si="102"/>
        <v>0.45066285017102198</v>
      </c>
      <c r="BU105" s="531">
        <f t="shared" si="102"/>
        <v>0.45066285017102198</v>
      </c>
      <c r="BV105" s="531">
        <f t="shared" si="102"/>
        <v>0.45066285017102198</v>
      </c>
      <c r="BW105" s="531">
        <f t="shared" si="102"/>
        <v>0.45066285017102198</v>
      </c>
      <c r="BX105" s="531">
        <f t="shared" si="102"/>
        <v>0.45066285017102198</v>
      </c>
      <c r="BY105" s="531">
        <f t="shared" si="102"/>
        <v>0.45066285017102198</v>
      </c>
    </row>
    <row r="106" spans="3:80" x14ac:dyDescent="0.3">
      <c r="C106" s="2"/>
      <c r="D106" s="2"/>
      <c r="E106" s="2"/>
      <c r="F106" s="37"/>
      <c r="G106" s="37"/>
      <c r="H106" s="37"/>
      <c r="I106" s="37"/>
      <c r="J106" s="37"/>
      <c r="K106" s="37"/>
      <c r="L106" s="37"/>
      <c r="M106" s="37"/>
      <c r="N106" s="37"/>
      <c r="O106" s="37"/>
      <c r="P106" s="35"/>
      <c r="R106" s="37"/>
      <c r="S106" s="37"/>
      <c r="T106" s="37"/>
      <c r="U106" s="37"/>
      <c r="V106" s="37"/>
      <c r="W106" s="37"/>
      <c r="X106" s="37"/>
      <c r="Y106" s="37"/>
      <c r="Z106" s="37"/>
      <c r="AA106" s="37"/>
      <c r="AB106" s="37"/>
      <c r="AC106" s="37"/>
      <c r="AD106" s="37"/>
      <c r="AE106" s="37"/>
      <c r="AF106" s="37"/>
      <c r="AG106" s="37"/>
      <c r="AH106" s="37"/>
      <c r="AI106" s="37"/>
      <c r="AJ106" s="37"/>
      <c r="AK106" s="37"/>
      <c r="AL106" s="37"/>
      <c r="AM106" s="37"/>
      <c r="AN106" s="37"/>
      <c r="AO106" s="37"/>
      <c r="AP106" s="37"/>
      <c r="AQ106" s="37"/>
      <c r="AR106" s="37"/>
      <c r="AS106" s="37"/>
      <c r="AT106" s="37"/>
      <c r="AU106" s="37"/>
      <c r="AV106" s="37"/>
      <c r="AW106" s="37"/>
      <c r="AX106" s="37"/>
      <c r="AY106" s="37"/>
      <c r="AZ106" s="37"/>
      <c r="BA106" s="37"/>
      <c r="BB106" s="37"/>
      <c r="BC106" s="37"/>
      <c r="BD106" s="37"/>
      <c r="BE106" s="37"/>
      <c r="BF106" s="37"/>
      <c r="BG106" s="37"/>
      <c r="BH106" s="37"/>
      <c r="BI106" s="37"/>
      <c r="BJ106" s="37"/>
      <c r="BK106" s="37"/>
      <c r="BL106" s="37"/>
      <c r="BM106" s="37"/>
      <c r="BN106" s="37"/>
      <c r="BO106" s="37"/>
      <c r="BP106" s="37"/>
      <c r="BQ106" s="37"/>
      <c r="BR106" s="37"/>
      <c r="BS106" s="37"/>
      <c r="BT106" s="37"/>
      <c r="BU106" s="37"/>
      <c r="BV106" s="37"/>
      <c r="BW106" s="37"/>
      <c r="BX106" s="37"/>
      <c r="BY106" s="37"/>
    </row>
    <row r="107" spans="3:80" x14ac:dyDescent="0.3">
      <c r="C107" s="2"/>
      <c r="D107" s="2"/>
      <c r="E107" s="17" t="s">
        <v>25</v>
      </c>
      <c r="F107" s="37"/>
      <c r="G107" s="37"/>
      <c r="H107" s="37"/>
      <c r="I107" s="37"/>
      <c r="J107" s="37"/>
      <c r="K107" s="37"/>
      <c r="L107" s="37"/>
      <c r="M107" s="37"/>
      <c r="N107" s="37"/>
      <c r="O107" s="37"/>
      <c r="P107" s="35"/>
      <c r="R107" s="37"/>
      <c r="S107" s="37"/>
      <c r="T107" s="37"/>
      <c r="U107" s="37"/>
      <c r="V107" s="37"/>
      <c r="W107" s="37"/>
      <c r="X107" s="37"/>
      <c r="Y107" s="37"/>
      <c r="Z107" s="37"/>
      <c r="AA107" s="37"/>
      <c r="AB107" s="37"/>
      <c r="AC107" s="37"/>
      <c r="AD107" s="37"/>
      <c r="AE107" s="37"/>
      <c r="AF107" s="37"/>
      <c r="AG107" s="37"/>
      <c r="AH107" s="37"/>
      <c r="AI107" s="37"/>
      <c r="AJ107" s="37"/>
      <c r="AK107" s="37"/>
      <c r="AL107" s="37"/>
      <c r="AM107" s="37"/>
      <c r="AN107" s="37"/>
      <c r="AO107" s="37"/>
      <c r="AP107" s="37"/>
      <c r="AQ107" s="37"/>
      <c r="AR107" s="37"/>
      <c r="AS107" s="37"/>
      <c r="AT107" s="37"/>
      <c r="AU107" s="37"/>
      <c r="AV107" s="37"/>
      <c r="AW107" s="37"/>
      <c r="AX107" s="37"/>
      <c r="AY107" s="37"/>
      <c r="AZ107" s="37"/>
      <c r="BA107" s="37"/>
      <c r="BB107" s="37"/>
      <c r="BC107" s="37"/>
      <c r="BD107" s="37"/>
      <c r="BE107" s="37"/>
      <c r="BF107" s="37"/>
      <c r="BG107" s="37"/>
      <c r="BH107" s="37"/>
      <c r="BI107" s="37"/>
      <c r="BJ107" s="37"/>
      <c r="BK107" s="37"/>
      <c r="BL107" s="37"/>
      <c r="BM107" s="37"/>
      <c r="BN107" s="37"/>
      <c r="BO107" s="37"/>
      <c r="BP107" s="37"/>
      <c r="BQ107" s="37"/>
      <c r="BR107" s="37"/>
      <c r="BS107" s="37"/>
      <c r="BT107" s="37"/>
      <c r="BU107" s="37"/>
      <c r="BV107" s="37"/>
      <c r="BW107" s="37"/>
      <c r="BX107" s="37"/>
      <c r="BY107" s="37"/>
    </row>
    <row r="108" spans="3:80" x14ac:dyDescent="0.3">
      <c r="C108" s="2"/>
      <c r="D108" s="2"/>
      <c r="E108" s="2" t="s">
        <v>25</v>
      </c>
      <c r="F108" s="54"/>
      <c r="G108" s="54"/>
      <c r="H108" s="54"/>
      <c r="I108" s="19">
        <f>SUM('Value Segment'!I43,'Mid-Market Segment'!I43,'Upper Mid-Market Segment'!I43,'Premium Segment'!I43)/SUM('Value Segment'!I$82,'Mid-Market Segment'!I$82,'Upper Mid-Market Segment'!I$82,'Premium Segment'!I$82)</f>
        <v>33570.681795411088</v>
      </c>
      <c r="J108" s="19">
        <f>SUM('Value Segment'!J43,'Mid-Market Segment'!J43,'Upper Mid-Market Segment'!J43,'Premium Segment'!J43)/SUM('Value Segment'!J$82,'Mid-Market Segment'!J$82,'Upper Mid-Market Segment'!J$82,'Premium Segment'!J$82)</f>
        <v>35128.11536667066</v>
      </c>
      <c r="K108" s="19">
        <f>SUM('Value Segment'!K43,'Mid-Market Segment'!K43,'Upper Mid-Market Segment'!K43,'Premium Segment'!K43)/SUM('Value Segment'!K$82,'Mid-Market Segment'!K$82,'Upper Mid-Market Segment'!K$82,'Premium Segment'!K$82)</f>
        <v>37127.612052369543</v>
      </c>
      <c r="L108" s="19">
        <f>SUM('Value Segment'!L43,'Mid-Market Segment'!L43,'Upper Mid-Market Segment'!L43,'Premium Segment'!L43)/SUM('Value Segment'!L$82,'Mid-Market Segment'!L$82,'Upper Mid-Market Segment'!L$82,'Premium Segment'!L$82)</f>
        <v>39187.727932240028</v>
      </c>
      <c r="M108" s="19">
        <f>SUM('Value Segment'!M43,'Mid-Market Segment'!M43,'Upper Mid-Market Segment'!M43,'Premium Segment'!M43)/SUM('Value Segment'!M$82,'Mid-Market Segment'!M$82,'Upper Mid-Market Segment'!M$82,'Premium Segment'!M$82)</f>
        <v>41269.383189640561</v>
      </c>
      <c r="N108" s="19">
        <f>SUM('Value Segment'!N43,'Mid-Market Segment'!N43,'Upper Mid-Market Segment'!N43,'Premium Segment'!N43)/SUM('Value Segment'!N$82,'Mid-Market Segment'!N$82,'Upper Mid-Market Segment'!N$82,'Premium Segment'!N$82)</f>
        <v>43424.035638925983</v>
      </c>
      <c r="O108" s="37"/>
      <c r="P108" s="50">
        <f>IFERROR(((N108/I108)^(1/5))-1,0)</f>
        <v>5.2819703542236196E-2</v>
      </c>
      <c r="R108" s="19">
        <f>SUM('Value Segment'!R43,'Mid-Market Segment'!R43,'Upper Mid-Market Segment'!R43,'Premium Segment'!R43)/SUM('Value Segment'!R$82,'Mid-Market Segment'!R$82,'Upper Mid-Market Segment'!R$82,'Premium Segment'!R$82)</f>
        <v>2880.8503832929118</v>
      </c>
      <c r="S108" s="542">
        <f>SUM('Value Segment'!S43,'Mid-Market Segment'!S43,'Upper Mid-Market Segment'!S43,'Premium Segment'!S43)/SUM('Value Segment'!S$82,'Mid-Market Segment'!S$82,'Upper Mid-Market Segment'!S$82,'Premium Segment'!S$82)</f>
        <v>2880.8503832929118</v>
      </c>
      <c r="T108" s="542">
        <f>SUM('Value Segment'!T43,'Mid-Market Segment'!T43,'Upper Mid-Market Segment'!T43,'Premium Segment'!T43)/SUM('Value Segment'!T$82,'Mid-Market Segment'!T$82,'Upper Mid-Market Segment'!T$82,'Premium Segment'!T$82)</f>
        <v>2880.8503832929118</v>
      </c>
      <c r="U108" s="542">
        <f>SUM('Value Segment'!U43,'Mid-Market Segment'!U43,'Upper Mid-Market Segment'!U43,'Premium Segment'!U43)/SUM('Value Segment'!U$82,'Mid-Market Segment'!U$82,'Upper Mid-Market Segment'!U$82,'Premium Segment'!U$82)</f>
        <v>2880.8503832929118</v>
      </c>
      <c r="V108" s="542">
        <f>SUM('Value Segment'!V43,'Mid-Market Segment'!V43,'Upper Mid-Market Segment'!V43,'Premium Segment'!V43)/SUM('Value Segment'!V$82,'Mid-Market Segment'!V$82,'Upper Mid-Market Segment'!V$82,'Premium Segment'!V$82)</f>
        <v>2880.8503832929118</v>
      </c>
      <c r="W108" s="542">
        <f>SUM('Value Segment'!W43,'Mid-Market Segment'!W43,'Upper Mid-Market Segment'!W43,'Premium Segment'!W43)/SUM('Value Segment'!W$82,'Mid-Market Segment'!W$82,'Upper Mid-Market Segment'!W$82,'Premium Segment'!W$82)</f>
        <v>2880.8503832929118</v>
      </c>
      <c r="X108" s="542">
        <f>SUM('Value Segment'!X43,'Mid-Market Segment'!X43,'Upper Mid-Market Segment'!X43,'Premium Segment'!X43)/SUM('Value Segment'!X$82,'Mid-Market Segment'!X$82,'Upper Mid-Market Segment'!X$82,'Premium Segment'!X$82)</f>
        <v>2973.8355111521978</v>
      </c>
      <c r="Y108" s="542">
        <f>SUM('Value Segment'!Y43,'Mid-Market Segment'!Y43,'Upper Mid-Market Segment'!Y43,'Premium Segment'!Y43)/SUM('Value Segment'!Y$82,'Mid-Market Segment'!Y$82,'Upper Mid-Market Segment'!Y$82,'Premium Segment'!Y$82)</f>
        <v>2973.8355111521978</v>
      </c>
      <c r="Z108" s="542">
        <f>SUM('Value Segment'!Z43,'Mid-Market Segment'!Z43,'Upper Mid-Market Segment'!Z43,'Premium Segment'!Z43)/SUM('Value Segment'!Z$82,'Mid-Market Segment'!Z$82,'Upper Mid-Market Segment'!Z$82,'Premium Segment'!Z$82)</f>
        <v>2973.8355111521978</v>
      </c>
      <c r="AA108" s="542">
        <f>SUM('Value Segment'!AA43,'Mid-Market Segment'!AA43,'Upper Mid-Market Segment'!AA43,'Premium Segment'!AA43)/SUM('Value Segment'!AA$82,'Mid-Market Segment'!AA$82,'Upper Mid-Market Segment'!AA$82,'Premium Segment'!AA$82)</f>
        <v>2973.8355111521978</v>
      </c>
      <c r="AB108" s="542">
        <f>SUM('Value Segment'!AB43,'Mid-Market Segment'!AB43,'Upper Mid-Market Segment'!AB43,'Premium Segment'!AB43)/SUM('Value Segment'!AB$82,'Mid-Market Segment'!AB$82,'Upper Mid-Market Segment'!AB$82,'Premium Segment'!AB$82)</f>
        <v>2973.8355111521978</v>
      </c>
      <c r="AC108" s="542">
        <f>SUM('Value Segment'!AC43,'Mid-Market Segment'!AC43,'Upper Mid-Market Segment'!AC43,'Premium Segment'!AC43)/SUM('Value Segment'!AC$82,'Mid-Market Segment'!AC$82,'Upper Mid-Market Segment'!AC$82,'Premium Segment'!AC$82)</f>
        <v>2973.8355111521978</v>
      </c>
      <c r="AD108" s="542">
        <f>SUM('Value Segment'!AD43,'Mid-Market Segment'!AD43,'Upper Mid-Market Segment'!AD43,'Premium Segment'!AD43)/SUM('Value Segment'!AD$82,'Mid-Market Segment'!AD$82,'Upper Mid-Market Segment'!AD$82,'Premium Segment'!AD$82)</f>
        <v>3034.178226484175</v>
      </c>
      <c r="AE108" s="542">
        <f>SUM('Value Segment'!AE43,'Mid-Market Segment'!AE43,'Upper Mid-Market Segment'!AE43,'Premium Segment'!AE43)/SUM('Value Segment'!AE$82,'Mid-Market Segment'!AE$82,'Upper Mid-Market Segment'!AE$82,'Premium Segment'!AE$82)</f>
        <v>3034.178226484175</v>
      </c>
      <c r="AF108" s="542">
        <f>SUM('Value Segment'!AF43,'Mid-Market Segment'!AF43,'Upper Mid-Market Segment'!AF43,'Premium Segment'!AF43)/SUM('Value Segment'!AF$82,'Mid-Market Segment'!AF$82,'Upper Mid-Market Segment'!AF$82,'Premium Segment'!AF$82)</f>
        <v>3034.178226484175</v>
      </c>
      <c r="AG108" s="542">
        <f>SUM('Value Segment'!AG43,'Mid-Market Segment'!AG43,'Upper Mid-Market Segment'!AG43,'Premium Segment'!AG43)/SUM('Value Segment'!AG$82,'Mid-Market Segment'!AG$82,'Upper Mid-Market Segment'!AG$82,'Premium Segment'!AG$82)</f>
        <v>3034.178226484175</v>
      </c>
      <c r="AH108" s="542">
        <f>SUM('Value Segment'!AH43,'Mid-Market Segment'!AH43,'Upper Mid-Market Segment'!AH43,'Premium Segment'!AH43)/SUM('Value Segment'!AH$82,'Mid-Market Segment'!AH$82,'Upper Mid-Market Segment'!AH$82,'Premium Segment'!AH$82)</f>
        <v>3034.178226484175</v>
      </c>
      <c r="AI108" s="542">
        <f>SUM('Value Segment'!AI43,'Mid-Market Segment'!AI43,'Upper Mid-Market Segment'!AI43,'Premium Segment'!AI43)/SUM('Value Segment'!AI$82,'Mid-Market Segment'!AI$82,'Upper Mid-Market Segment'!AI$82,'Premium Segment'!AI$82)</f>
        <v>3034.178226484175</v>
      </c>
      <c r="AJ108" s="542">
        <f>SUM('Value Segment'!AJ43,'Mid-Market Segment'!AJ43,'Upper Mid-Market Segment'!AJ43,'Premium Segment'!AJ43)/SUM('Value Segment'!AJ$82,'Mid-Market Segment'!AJ$82,'Upper Mid-Market Segment'!AJ$82,'Premium Segment'!AJ$82)</f>
        <v>3153.7571155774162</v>
      </c>
      <c r="AK108" s="542">
        <f>SUM('Value Segment'!AK43,'Mid-Market Segment'!AK43,'Upper Mid-Market Segment'!AK43,'Premium Segment'!AK43)/SUM('Value Segment'!AK$82,'Mid-Market Segment'!AK$82,'Upper Mid-Market Segment'!AK$82,'Premium Segment'!AK$82)</f>
        <v>3153.7571155774162</v>
      </c>
      <c r="AL108" s="542">
        <f>SUM('Value Segment'!AL43,'Mid-Market Segment'!AL43,'Upper Mid-Market Segment'!AL43,'Premium Segment'!AL43)/SUM('Value Segment'!AL$82,'Mid-Market Segment'!AL$82,'Upper Mid-Market Segment'!AL$82,'Premium Segment'!AL$82)</f>
        <v>3153.7571155774162</v>
      </c>
      <c r="AM108" s="542">
        <f>SUM('Value Segment'!AM43,'Mid-Market Segment'!AM43,'Upper Mid-Market Segment'!AM43,'Premium Segment'!AM43)/SUM('Value Segment'!AM$82,'Mid-Market Segment'!AM$82,'Upper Mid-Market Segment'!AM$82,'Premium Segment'!AM$82)</f>
        <v>3153.7571155774162</v>
      </c>
      <c r="AN108" s="542">
        <f>SUM('Value Segment'!AN43,'Mid-Market Segment'!AN43,'Upper Mid-Market Segment'!AN43,'Premium Segment'!AN43)/SUM('Value Segment'!AN$82,'Mid-Market Segment'!AN$82,'Upper Mid-Market Segment'!AN$82,'Premium Segment'!AN$82)</f>
        <v>3153.7571155774162</v>
      </c>
      <c r="AO108" s="542">
        <f>SUM('Value Segment'!AO43,'Mid-Market Segment'!AO43,'Upper Mid-Market Segment'!AO43,'Premium Segment'!AO43)/SUM('Value Segment'!AO$82,'Mid-Market Segment'!AO$82,'Upper Mid-Market Segment'!AO$82,'Premium Segment'!AO$82)</f>
        <v>3153.7571155774162</v>
      </c>
      <c r="AP108" s="542">
        <f>SUM('Value Segment'!AP43,'Mid-Market Segment'!AP43,'Upper Mid-Market Segment'!AP43,'Premium Segment'!AP43)/SUM('Value Segment'!AP$82,'Mid-Market Segment'!AP$82,'Upper Mid-Market Segment'!AP$82,'Premium Segment'!AP$82)</f>
        <v>3191.6648223520069</v>
      </c>
      <c r="AQ108" s="542">
        <f>SUM('Value Segment'!AQ43,'Mid-Market Segment'!AQ43,'Upper Mid-Market Segment'!AQ43,'Premium Segment'!AQ43)/SUM('Value Segment'!AQ$82,'Mid-Market Segment'!AQ$82,'Upper Mid-Market Segment'!AQ$82,'Premium Segment'!AQ$82)</f>
        <v>3191.6648223520069</v>
      </c>
      <c r="AR108" s="542">
        <f>SUM('Value Segment'!AR43,'Mid-Market Segment'!AR43,'Upper Mid-Market Segment'!AR43,'Premium Segment'!AR43)/SUM('Value Segment'!AR$82,'Mid-Market Segment'!AR$82,'Upper Mid-Market Segment'!AR$82,'Premium Segment'!AR$82)</f>
        <v>3191.6648223520069</v>
      </c>
      <c r="AS108" s="542">
        <f>SUM('Value Segment'!AS43,'Mid-Market Segment'!AS43,'Upper Mid-Market Segment'!AS43,'Premium Segment'!AS43)/SUM('Value Segment'!AS$82,'Mid-Market Segment'!AS$82,'Upper Mid-Market Segment'!AS$82,'Premium Segment'!AS$82)</f>
        <v>3191.6648223520069</v>
      </c>
      <c r="AT108" s="542">
        <f>SUM('Value Segment'!AT43,'Mid-Market Segment'!AT43,'Upper Mid-Market Segment'!AT43,'Premium Segment'!AT43)/SUM('Value Segment'!AT$82,'Mid-Market Segment'!AT$82,'Upper Mid-Market Segment'!AT$82,'Premium Segment'!AT$82)</f>
        <v>3191.6648223520069</v>
      </c>
      <c r="AU108" s="542">
        <f>SUM('Value Segment'!AU43,'Mid-Market Segment'!AU43,'Upper Mid-Market Segment'!AU43,'Premium Segment'!AU43)/SUM('Value Segment'!AU$82,'Mid-Market Segment'!AU$82,'Upper Mid-Market Segment'!AU$82,'Premium Segment'!AU$82)</f>
        <v>3191.6648223520069</v>
      </c>
      <c r="AV108" s="542">
        <f>SUM('Value Segment'!AV43,'Mid-Market Segment'!AV43,'Upper Mid-Market Segment'!AV43,'Premium Segment'!AV43)/SUM('Value Segment'!AV$82,'Mid-Market Segment'!AV$82,'Upper Mid-Market Segment'!AV$82,'Premium Segment'!AV$82)</f>
        <v>3339.6231663546655</v>
      </c>
      <c r="AW108" s="542">
        <f>SUM('Value Segment'!AW43,'Mid-Market Segment'!AW43,'Upper Mid-Market Segment'!AW43,'Premium Segment'!AW43)/SUM('Value Segment'!AW$82,'Mid-Market Segment'!AW$82,'Upper Mid-Market Segment'!AW$82,'Premium Segment'!AW$82)</f>
        <v>3339.6231663546655</v>
      </c>
      <c r="AX108" s="542">
        <f>SUM('Value Segment'!AX43,'Mid-Market Segment'!AX43,'Upper Mid-Market Segment'!AX43,'Premium Segment'!AX43)/SUM('Value Segment'!AX$82,'Mid-Market Segment'!AX$82,'Upper Mid-Market Segment'!AX$82,'Premium Segment'!AX$82)</f>
        <v>3339.6231663546655</v>
      </c>
      <c r="AY108" s="542">
        <f>SUM('Value Segment'!AY43,'Mid-Market Segment'!AY43,'Upper Mid-Market Segment'!AY43,'Premium Segment'!AY43)/SUM('Value Segment'!AY$82,'Mid-Market Segment'!AY$82,'Upper Mid-Market Segment'!AY$82,'Premium Segment'!AY$82)</f>
        <v>3339.6231663546655</v>
      </c>
      <c r="AZ108" s="542">
        <f>SUM('Value Segment'!AZ43,'Mid-Market Segment'!AZ43,'Upper Mid-Market Segment'!AZ43,'Premium Segment'!AZ43)/SUM('Value Segment'!AZ$82,'Mid-Market Segment'!AZ$82,'Upper Mid-Market Segment'!AZ$82,'Premium Segment'!AZ$82)</f>
        <v>3339.6231663546655</v>
      </c>
      <c r="BA108" s="542">
        <f>SUM('Value Segment'!BA43,'Mid-Market Segment'!BA43,'Upper Mid-Market Segment'!BA43,'Premium Segment'!BA43)/SUM('Value Segment'!BA$82,'Mid-Market Segment'!BA$82,'Upper Mid-Market Segment'!BA$82,'Premium Segment'!BA$82)</f>
        <v>3339.6231663546655</v>
      </c>
      <c r="BB108" s="542">
        <f>SUM('Value Segment'!BB43,'Mid-Market Segment'!BB43,'Upper Mid-Market Segment'!BB43,'Premium Segment'!BB43)/SUM('Value Segment'!BB$82,'Mid-Market Segment'!BB$82,'Upper Mid-Market Segment'!BB$82,'Premium Segment'!BB$82)</f>
        <v>3350.0348294583009</v>
      </c>
      <c r="BC108" s="542">
        <f>SUM('Value Segment'!BC43,'Mid-Market Segment'!BC43,'Upper Mid-Market Segment'!BC43,'Premium Segment'!BC43)/SUM('Value Segment'!BC$82,'Mid-Market Segment'!BC$82,'Upper Mid-Market Segment'!BC$82,'Premium Segment'!BC$82)</f>
        <v>3350.0348294583009</v>
      </c>
      <c r="BD108" s="542">
        <f>SUM('Value Segment'!BD43,'Mid-Market Segment'!BD43,'Upper Mid-Market Segment'!BD43,'Premium Segment'!BD43)/SUM('Value Segment'!BD$82,'Mid-Market Segment'!BD$82,'Upper Mid-Market Segment'!BD$82,'Premium Segment'!BD$82)</f>
        <v>3350.0348294583009</v>
      </c>
      <c r="BE108" s="542">
        <f>SUM('Value Segment'!BE43,'Mid-Market Segment'!BE43,'Upper Mid-Market Segment'!BE43,'Premium Segment'!BE43)/SUM('Value Segment'!BE$82,'Mid-Market Segment'!BE$82,'Upper Mid-Market Segment'!BE$82,'Premium Segment'!BE$82)</f>
        <v>3350.0348294583009</v>
      </c>
      <c r="BF108" s="542">
        <f>SUM('Value Segment'!BF43,'Mid-Market Segment'!BF43,'Upper Mid-Market Segment'!BF43,'Premium Segment'!BF43)/SUM('Value Segment'!BF$82,'Mid-Market Segment'!BF$82,'Upper Mid-Market Segment'!BF$82,'Premium Segment'!BF$82)</f>
        <v>3350.0348294583009</v>
      </c>
      <c r="BG108" s="542">
        <f>SUM('Value Segment'!BG43,'Mid-Market Segment'!BG43,'Upper Mid-Market Segment'!BG43,'Premium Segment'!BG43)/SUM('Value Segment'!BG$82,'Mid-Market Segment'!BG$82,'Upper Mid-Market Segment'!BG$82,'Premium Segment'!BG$82)</f>
        <v>3350.0348294583009</v>
      </c>
      <c r="BH108" s="542">
        <f>SUM('Value Segment'!BH43,'Mid-Market Segment'!BH43,'Upper Mid-Market Segment'!BH43,'Premium Segment'!BH43)/SUM('Value Segment'!BH$82,'Mid-Market Segment'!BH$82,'Upper Mid-Market Segment'!BH$82,'Premium Segment'!BH$82)</f>
        <v>3528.1957021484586</v>
      </c>
      <c r="BI108" s="542">
        <f>SUM('Value Segment'!BI43,'Mid-Market Segment'!BI43,'Upper Mid-Market Segment'!BI43,'Premium Segment'!BI43)/SUM('Value Segment'!BI$82,'Mid-Market Segment'!BI$82,'Upper Mid-Market Segment'!BI$82,'Premium Segment'!BI$82)</f>
        <v>3528.1957021484586</v>
      </c>
      <c r="BJ108" s="542">
        <f>SUM('Value Segment'!BJ43,'Mid-Market Segment'!BJ43,'Upper Mid-Market Segment'!BJ43,'Premium Segment'!BJ43)/SUM('Value Segment'!BJ$82,'Mid-Market Segment'!BJ$82,'Upper Mid-Market Segment'!BJ$82,'Premium Segment'!BJ$82)</f>
        <v>3528.1957021484586</v>
      </c>
      <c r="BK108" s="542">
        <f>SUM('Value Segment'!BK43,'Mid-Market Segment'!BK43,'Upper Mid-Market Segment'!BK43,'Premium Segment'!BK43)/SUM('Value Segment'!BK$82,'Mid-Market Segment'!BK$82,'Upper Mid-Market Segment'!BK$82,'Premium Segment'!BK$82)</f>
        <v>3528.1957021484586</v>
      </c>
      <c r="BL108" s="542">
        <f>SUM('Value Segment'!BL43,'Mid-Market Segment'!BL43,'Upper Mid-Market Segment'!BL43,'Premium Segment'!BL43)/SUM('Value Segment'!BL$82,'Mid-Market Segment'!BL$82,'Upper Mid-Market Segment'!BL$82,'Premium Segment'!BL$82)</f>
        <v>3528.1957021484586</v>
      </c>
      <c r="BM108" s="542">
        <f>SUM('Value Segment'!BM43,'Mid-Market Segment'!BM43,'Upper Mid-Market Segment'!BM43,'Premium Segment'!BM43)/SUM('Value Segment'!BM$82,'Mid-Market Segment'!BM$82,'Upper Mid-Market Segment'!BM$82,'Premium Segment'!BM$82)</f>
        <v>3528.1957021484586</v>
      </c>
      <c r="BN108" s="542">
        <f>SUM('Value Segment'!BN43,'Mid-Market Segment'!BN43,'Upper Mid-Market Segment'!BN43,'Premium Segment'!BN43)/SUM('Value Segment'!BN$82,'Mid-Market Segment'!BN$82,'Upper Mid-Market Segment'!BN$82,'Premium Segment'!BN$82)</f>
        <v>3513.5319547624017</v>
      </c>
      <c r="BO108" s="542">
        <f>SUM('Value Segment'!BO43,'Mid-Market Segment'!BO43,'Upper Mid-Market Segment'!BO43,'Premium Segment'!BO43)/SUM('Value Segment'!BO$82,'Mid-Market Segment'!BO$82,'Upper Mid-Market Segment'!BO$82,'Premium Segment'!BO$82)</f>
        <v>3513.5319547624017</v>
      </c>
      <c r="BP108" s="542">
        <f>SUM('Value Segment'!BP43,'Mid-Market Segment'!BP43,'Upper Mid-Market Segment'!BP43,'Premium Segment'!BP43)/SUM('Value Segment'!BP$82,'Mid-Market Segment'!BP$82,'Upper Mid-Market Segment'!BP$82,'Premium Segment'!BP$82)</f>
        <v>3513.5319547624017</v>
      </c>
      <c r="BQ108" s="542">
        <f>SUM('Value Segment'!BQ43,'Mid-Market Segment'!BQ43,'Upper Mid-Market Segment'!BQ43,'Premium Segment'!BQ43)/SUM('Value Segment'!BQ$82,'Mid-Market Segment'!BQ$82,'Upper Mid-Market Segment'!BQ$82,'Premium Segment'!BQ$82)</f>
        <v>3513.5319547624017</v>
      </c>
      <c r="BR108" s="542">
        <f>SUM('Value Segment'!BR43,'Mid-Market Segment'!BR43,'Upper Mid-Market Segment'!BR43,'Premium Segment'!BR43)/SUM('Value Segment'!BR$82,'Mid-Market Segment'!BR$82,'Upper Mid-Market Segment'!BR$82,'Premium Segment'!BR$82)</f>
        <v>3513.5319547624017</v>
      </c>
      <c r="BS108" s="542">
        <f>SUM('Value Segment'!BS43,'Mid-Market Segment'!BS43,'Upper Mid-Market Segment'!BS43,'Premium Segment'!BS43)/SUM('Value Segment'!BS$82,'Mid-Market Segment'!BS$82,'Upper Mid-Market Segment'!BS$82,'Premium Segment'!BS$82)</f>
        <v>3513.5319547624017</v>
      </c>
      <c r="BT108" s="542">
        <f>SUM('Value Segment'!BT43,'Mid-Market Segment'!BT43,'Upper Mid-Market Segment'!BT43,'Premium Segment'!BT43)/SUM('Value Segment'!BT$82,'Mid-Market Segment'!BT$82,'Upper Mid-Market Segment'!BT$82,'Premium Segment'!BT$82)</f>
        <v>3723.8073183919291</v>
      </c>
      <c r="BU108" s="542">
        <f>SUM('Value Segment'!BU43,'Mid-Market Segment'!BU43,'Upper Mid-Market Segment'!BU43,'Premium Segment'!BU43)/SUM('Value Segment'!BU$82,'Mid-Market Segment'!BU$82,'Upper Mid-Market Segment'!BU$82,'Premium Segment'!BU$82)</f>
        <v>3723.8073183919291</v>
      </c>
      <c r="BV108" s="542">
        <f>SUM('Value Segment'!BV43,'Mid-Market Segment'!BV43,'Upper Mid-Market Segment'!BV43,'Premium Segment'!BV43)/SUM('Value Segment'!BV$82,'Mid-Market Segment'!BV$82,'Upper Mid-Market Segment'!BV$82,'Premium Segment'!BV$82)</f>
        <v>3723.8073183919291</v>
      </c>
      <c r="BW108" s="542">
        <f>SUM('Value Segment'!BW43,'Mid-Market Segment'!BW43,'Upper Mid-Market Segment'!BW43,'Premium Segment'!BW43)/SUM('Value Segment'!BW$82,'Mid-Market Segment'!BW$82,'Upper Mid-Market Segment'!BW$82,'Premium Segment'!BW$82)</f>
        <v>3723.8073183919291</v>
      </c>
      <c r="BX108" s="542">
        <f>SUM('Value Segment'!BX43,'Mid-Market Segment'!BX43,'Upper Mid-Market Segment'!BX43,'Premium Segment'!BX43)/SUM('Value Segment'!BX$82,'Mid-Market Segment'!BX$82,'Upper Mid-Market Segment'!BX$82,'Premium Segment'!BX$82)</f>
        <v>3723.8073183919291</v>
      </c>
      <c r="BY108" s="542">
        <f>SUM('Value Segment'!BY43,'Mid-Market Segment'!BY43,'Upper Mid-Market Segment'!BY43,'Premium Segment'!BY43)/SUM('Value Segment'!BY$82,'Mid-Market Segment'!BY$82,'Upper Mid-Market Segment'!BY$82,'Premium Segment'!BY$82)</f>
        <v>3723.8073183919291</v>
      </c>
      <c r="CB108" s="8"/>
    </row>
    <row r="109" spans="3:80" x14ac:dyDescent="0.3">
      <c r="C109" s="2"/>
      <c r="D109" s="2"/>
      <c r="E109" s="2" t="s">
        <v>14</v>
      </c>
      <c r="F109" s="54"/>
      <c r="G109" s="54"/>
      <c r="H109" s="54"/>
      <c r="I109" s="19">
        <f>SUM('Value Segment'!I44,'Mid-Market Segment'!I44,'Upper Mid-Market Segment'!I44,'Premium Segment'!I44)/SUM('Value Segment'!I$82,'Mid-Market Segment'!I$82,'Upper Mid-Market Segment'!I$82,'Premium Segment'!I$82)</f>
        <v>4396.441485541458</v>
      </c>
      <c r="J109" s="19">
        <f>SUM('Value Segment'!J44,'Mid-Market Segment'!J44,'Upper Mid-Market Segment'!J44,'Premium Segment'!J44)/SUM('Value Segment'!J$82,'Mid-Market Segment'!J$82,'Upper Mid-Market Segment'!J$82,'Premium Segment'!J$82)</f>
        <v>4550.8758276311055</v>
      </c>
      <c r="K109" s="19">
        <f>SUM('Value Segment'!K44,'Mid-Market Segment'!K44,'Upper Mid-Market Segment'!K44,'Premium Segment'!K44)/SUM('Value Segment'!K$82,'Mid-Market Segment'!K$82,'Upper Mid-Market Segment'!K$82,'Premium Segment'!K$82)</f>
        <v>4701.953683770801</v>
      </c>
      <c r="L109" s="19">
        <f>SUM('Value Segment'!L44,'Mid-Market Segment'!L44,'Upper Mid-Market Segment'!L44,'Premium Segment'!L44)/SUM('Value Segment'!L$82,'Mid-Market Segment'!L$82,'Upper Mid-Market Segment'!L$82,'Premium Segment'!L$82)</f>
        <v>4851.7089762891683</v>
      </c>
      <c r="M109" s="19">
        <f>SUM('Value Segment'!M44,'Mid-Market Segment'!M44,'Upper Mid-Market Segment'!M44,'Premium Segment'!M44)/SUM('Value Segment'!M$82,'Mid-Market Segment'!M$82,'Upper Mid-Market Segment'!M$82,'Premium Segment'!M$82)</f>
        <v>4976.7355227551334</v>
      </c>
      <c r="N109" s="19">
        <f>SUM('Value Segment'!N44,'Mid-Market Segment'!N44,'Upper Mid-Market Segment'!N44,'Premium Segment'!N44)/SUM('Value Segment'!N$82,'Mid-Market Segment'!N$82,'Upper Mid-Market Segment'!N$82,'Premium Segment'!N$82)</f>
        <v>5084.3475431381285</v>
      </c>
      <c r="O109" s="37"/>
      <c r="P109" s="50">
        <f>IFERROR(((N109/I109)^(1/5))-1,0)</f>
        <v>2.9501032242708725E-2</v>
      </c>
      <c r="R109" s="19">
        <f>SUM('Value Segment'!R44,'Mid-Market Segment'!R44,'Upper Mid-Market Segment'!R44,'Premium Segment'!R44)/SUM('Value Segment'!R$82,'Mid-Market Segment'!R$82,'Upper Mid-Market Segment'!R$82,'Premium Segment'!R$82)</f>
        <v>379.23965230259211</v>
      </c>
      <c r="S109" s="542">
        <f>SUM('Value Segment'!S44,'Mid-Market Segment'!S44,'Upper Mid-Market Segment'!S44,'Premium Segment'!S44)/SUM('Value Segment'!S$82,'Mid-Market Segment'!S$82,'Upper Mid-Market Segment'!S$82,'Premium Segment'!S$82)</f>
        <v>379.23965230259211</v>
      </c>
      <c r="T109" s="542">
        <f>SUM('Value Segment'!T44,'Mid-Market Segment'!T44,'Upper Mid-Market Segment'!T44,'Premium Segment'!T44)/SUM('Value Segment'!T$82,'Mid-Market Segment'!T$82,'Upper Mid-Market Segment'!T$82,'Premium Segment'!T$82)</f>
        <v>379.23965230259211</v>
      </c>
      <c r="U109" s="542">
        <f>SUM('Value Segment'!U44,'Mid-Market Segment'!U44,'Upper Mid-Market Segment'!U44,'Premium Segment'!U44)/SUM('Value Segment'!U$82,'Mid-Market Segment'!U$82,'Upper Mid-Market Segment'!U$82,'Premium Segment'!U$82)</f>
        <v>379.23965230259211</v>
      </c>
      <c r="V109" s="542">
        <f>SUM('Value Segment'!V44,'Mid-Market Segment'!V44,'Upper Mid-Market Segment'!V44,'Premium Segment'!V44)/SUM('Value Segment'!V$82,'Mid-Market Segment'!V$82,'Upper Mid-Market Segment'!V$82,'Premium Segment'!V$82)</f>
        <v>379.23965230259211</v>
      </c>
      <c r="W109" s="542">
        <f>SUM('Value Segment'!W44,'Mid-Market Segment'!W44,'Upper Mid-Market Segment'!W44,'Premium Segment'!W44)/SUM('Value Segment'!W$82,'Mid-Market Segment'!W$82,'Upper Mid-Market Segment'!W$82,'Premium Segment'!W$82)</f>
        <v>379.23965230259211</v>
      </c>
      <c r="X109" s="542">
        <f>SUM('Value Segment'!X44,'Mid-Market Segment'!X44,'Upper Mid-Market Segment'!X44,'Premium Segment'!X44)/SUM('Value Segment'!X$82,'Mid-Market Segment'!X$82,'Upper Mid-Market Segment'!X$82,'Premium Segment'!X$82)</f>
        <v>379.23965230259211</v>
      </c>
      <c r="Y109" s="542">
        <f>SUM('Value Segment'!Y44,'Mid-Market Segment'!Y44,'Upper Mid-Market Segment'!Y44,'Premium Segment'!Y44)/SUM('Value Segment'!Y$82,'Mid-Market Segment'!Y$82,'Upper Mid-Market Segment'!Y$82,'Premium Segment'!Y$82)</f>
        <v>379.23965230259211</v>
      </c>
      <c r="Z109" s="542">
        <f>SUM('Value Segment'!Z44,'Mid-Market Segment'!Z44,'Upper Mid-Market Segment'!Z44,'Premium Segment'!Z44)/SUM('Value Segment'!Z$82,'Mid-Market Segment'!Z$82,'Upper Mid-Market Segment'!Z$82,'Premium Segment'!Z$82)</f>
        <v>379.23965230259211</v>
      </c>
      <c r="AA109" s="542">
        <f>SUM('Value Segment'!AA44,'Mid-Market Segment'!AA44,'Upper Mid-Market Segment'!AA44,'Premium Segment'!AA44)/SUM('Value Segment'!AA$82,'Mid-Market Segment'!AA$82,'Upper Mid-Market Segment'!AA$82,'Premium Segment'!AA$82)</f>
        <v>379.23965230259211</v>
      </c>
      <c r="AB109" s="542">
        <f>SUM('Value Segment'!AB44,'Mid-Market Segment'!AB44,'Upper Mid-Market Segment'!AB44,'Premium Segment'!AB44)/SUM('Value Segment'!AB$82,'Mid-Market Segment'!AB$82,'Upper Mid-Market Segment'!AB$82,'Premium Segment'!AB$82)</f>
        <v>379.23965230259211</v>
      </c>
      <c r="AC109" s="542">
        <f>SUM('Value Segment'!AC44,'Mid-Market Segment'!AC44,'Upper Mid-Market Segment'!AC44,'Premium Segment'!AC44)/SUM('Value Segment'!AC$82,'Mid-Market Segment'!AC$82,'Upper Mid-Market Segment'!AC$82,'Premium Segment'!AC$82)</f>
        <v>379.23965230259211</v>
      </c>
      <c r="AD109" s="542">
        <f>SUM('Value Segment'!AD44,'Mid-Market Segment'!AD44,'Upper Mid-Market Segment'!AD44,'Premium Segment'!AD44)/SUM('Value Segment'!AD$82,'Mid-Market Segment'!AD$82,'Upper Mid-Market Segment'!AD$82,'Premium Segment'!AD$82)</f>
        <v>391.82947364756672</v>
      </c>
      <c r="AE109" s="542">
        <f>SUM('Value Segment'!AE44,'Mid-Market Segment'!AE44,'Upper Mid-Market Segment'!AE44,'Premium Segment'!AE44)/SUM('Value Segment'!AE$82,'Mid-Market Segment'!AE$82,'Upper Mid-Market Segment'!AE$82,'Premium Segment'!AE$82)</f>
        <v>391.82947364756672</v>
      </c>
      <c r="AF109" s="542">
        <f>SUM('Value Segment'!AF44,'Mid-Market Segment'!AF44,'Upper Mid-Market Segment'!AF44,'Premium Segment'!AF44)/SUM('Value Segment'!AF$82,'Mid-Market Segment'!AF$82,'Upper Mid-Market Segment'!AF$82,'Premium Segment'!AF$82)</f>
        <v>391.82947364756672</v>
      </c>
      <c r="AG109" s="542">
        <f>SUM('Value Segment'!AG44,'Mid-Market Segment'!AG44,'Upper Mid-Market Segment'!AG44,'Premium Segment'!AG44)/SUM('Value Segment'!AG$82,'Mid-Market Segment'!AG$82,'Upper Mid-Market Segment'!AG$82,'Premium Segment'!AG$82)</f>
        <v>391.82947364756672</v>
      </c>
      <c r="AH109" s="542">
        <f>SUM('Value Segment'!AH44,'Mid-Market Segment'!AH44,'Upper Mid-Market Segment'!AH44,'Premium Segment'!AH44)/SUM('Value Segment'!AH$82,'Mid-Market Segment'!AH$82,'Upper Mid-Market Segment'!AH$82,'Premium Segment'!AH$82)</f>
        <v>391.82947364756672</v>
      </c>
      <c r="AI109" s="542">
        <f>SUM('Value Segment'!AI44,'Mid-Market Segment'!AI44,'Upper Mid-Market Segment'!AI44,'Premium Segment'!AI44)/SUM('Value Segment'!AI$82,'Mid-Market Segment'!AI$82,'Upper Mid-Market Segment'!AI$82,'Premium Segment'!AI$82)</f>
        <v>391.82947364756672</v>
      </c>
      <c r="AJ109" s="542">
        <f>SUM('Value Segment'!AJ44,'Mid-Market Segment'!AJ44,'Upper Mid-Market Segment'!AJ44,'Premium Segment'!AJ44)/SUM('Value Segment'!AJ$82,'Mid-Market Segment'!AJ$82,'Upper Mid-Market Segment'!AJ$82,'Premium Segment'!AJ$82)</f>
        <v>391.82947364756672</v>
      </c>
      <c r="AK109" s="542">
        <f>SUM('Value Segment'!AK44,'Mid-Market Segment'!AK44,'Upper Mid-Market Segment'!AK44,'Premium Segment'!AK44)/SUM('Value Segment'!AK$82,'Mid-Market Segment'!AK$82,'Upper Mid-Market Segment'!AK$82,'Premium Segment'!AK$82)</f>
        <v>391.82947364756672</v>
      </c>
      <c r="AL109" s="542">
        <f>SUM('Value Segment'!AL44,'Mid-Market Segment'!AL44,'Upper Mid-Market Segment'!AL44,'Premium Segment'!AL44)/SUM('Value Segment'!AL$82,'Mid-Market Segment'!AL$82,'Upper Mid-Market Segment'!AL$82,'Premium Segment'!AL$82)</f>
        <v>391.82947364756672</v>
      </c>
      <c r="AM109" s="542">
        <f>SUM('Value Segment'!AM44,'Mid-Market Segment'!AM44,'Upper Mid-Market Segment'!AM44,'Premium Segment'!AM44)/SUM('Value Segment'!AM$82,'Mid-Market Segment'!AM$82,'Upper Mid-Market Segment'!AM$82,'Premium Segment'!AM$82)</f>
        <v>391.82947364756672</v>
      </c>
      <c r="AN109" s="542">
        <f>SUM('Value Segment'!AN44,'Mid-Market Segment'!AN44,'Upper Mid-Market Segment'!AN44,'Premium Segment'!AN44)/SUM('Value Segment'!AN$82,'Mid-Market Segment'!AN$82,'Upper Mid-Market Segment'!AN$82,'Premium Segment'!AN$82)</f>
        <v>391.82947364756672</v>
      </c>
      <c r="AO109" s="542">
        <f>SUM('Value Segment'!AO44,'Mid-Market Segment'!AO44,'Upper Mid-Market Segment'!AO44,'Premium Segment'!AO44)/SUM('Value Segment'!AO$82,'Mid-Market Segment'!AO$82,'Upper Mid-Market Segment'!AO$82,'Premium Segment'!AO$82)</f>
        <v>391.82947364756672</v>
      </c>
      <c r="AP109" s="542">
        <f>SUM('Value Segment'!AP44,'Mid-Market Segment'!AP44,'Upper Mid-Market Segment'!AP44,'Premium Segment'!AP44)/SUM('Value Segment'!AP$82,'Mid-Market Segment'!AP$82,'Upper Mid-Market Segment'!AP$82,'Premium Segment'!AP$82)</f>
        <v>404.30908135743073</v>
      </c>
      <c r="AQ109" s="542">
        <f>SUM('Value Segment'!AQ44,'Mid-Market Segment'!AQ44,'Upper Mid-Market Segment'!AQ44,'Premium Segment'!AQ44)/SUM('Value Segment'!AQ$82,'Mid-Market Segment'!AQ$82,'Upper Mid-Market Segment'!AQ$82,'Premium Segment'!AQ$82)</f>
        <v>404.30908135743073</v>
      </c>
      <c r="AR109" s="542">
        <f>SUM('Value Segment'!AR44,'Mid-Market Segment'!AR44,'Upper Mid-Market Segment'!AR44,'Premium Segment'!AR44)/SUM('Value Segment'!AR$82,'Mid-Market Segment'!AR$82,'Upper Mid-Market Segment'!AR$82,'Premium Segment'!AR$82)</f>
        <v>404.30908135743073</v>
      </c>
      <c r="AS109" s="542">
        <f>SUM('Value Segment'!AS44,'Mid-Market Segment'!AS44,'Upper Mid-Market Segment'!AS44,'Premium Segment'!AS44)/SUM('Value Segment'!AS$82,'Mid-Market Segment'!AS$82,'Upper Mid-Market Segment'!AS$82,'Premium Segment'!AS$82)</f>
        <v>404.30908135743073</v>
      </c>
      <c r="AT109" s="542">
        <f>SUM('Value Segment'!AT44,'Mid-Market Segment'!AT44,'Upper Mid-Market Segment'!AT44,'Premium Segment'!AT44)/SUM('Value Segment'!AT$82,'Mid-Market Segment'!AT$82,'Upper Mid-Market Segment'!AT$82,'Premium Segment'!AT$82)</f>
        <v>404.30908135743073</v>
      </c>
      <c r="AU109" s="542">
        <f>SUM('Value Segment'!AU44,'Mid-Market Segment'!AU44,'Upper Mid-Market Segment'!AU44,'Premium Segment'!AU44)/SUM('Value Segment'!AU$82,'Mid-Market Segment'!AU$82,'Upper Mid-Market Segment'!AU$82,'Premium Segment'!AU$82)</f>
        <v>404.30908135743073</v>
      </c>
      <c r="AV109" s="542">
        <f>SUM('Value Segment'!AV44,'Mid-Market Segment'!AV44,'Upper Mid-Market Segment'!AV44,'Premium Segment'!AV44)/SUM('Value Segment'!AV$82,'Mid-Market Segment'!AV$82,'Upper Mid-Market Segment'!AV$82,'Premium Segment'!AV$82)</f>
        <v>404.30908135743073</v>
      </c>
      <c r="AW109" s="542">
        <f>SUM('Value Segment'!AW44,'Mid-Market Segment'!AW44,'Upper Mid-Market Segment'!AW44,'Premium Segment'!AW44)/SUM('Value Segment'!AW$82,'Mid-Market Segment'!AW$82,'Upper Mid-Market Segment'!AW$82,'Premium Segment'!AW$82)</f>
        <v>404.30908135743073</v>
      </c>
      <c r="AX109" s="542">
        <f>SUM('Value Segment'!AX44,'Mid-Market Segment'!AX44,'Upper Mid-Market Segment'!AX44,'Premium Segment'!AX44)/SUM('Value Segment'!AX$82,'Mid-Market Segment'!AX$82,'Upper Mid-Market Segment'!AX$82,'Premium Segment'!AX$82)</f>
        <v>404.30908135743073</v>
      </c>
      <c r="AY109" s="542">
        <f>SUM('Value Segment'!AY44,'Mid-Market Segment'!AY44,'Upper Mid-Market Segment'!AY44,'Premium Segment'!AY44)/SUM('Value Segment'!AY$82,'Mid-Market Segment'!AY$82,'Upper Mid-Market Segment'!AY$82,'Premium Segment'!AY$82)</f>
        <v>404.30908135743073</v>
      </c>
      <c r="AZ109" s="542">
        <f>SUM('Value Segment'!AZ44,'Mid-Market Segment'!AZ44,'Upper Mid-Market Segment'!AZ44,'Premium Segment'!AZ44)/SUM('Value Segment'!AZ$82,'Mid-Market Segment'!AZ$82,'Upper Mid-Market Segment'!AZ$82,'Premium Segment'!AZ$82)</f>
        <v>404.30908135743073</v>
      </c>
      <c r="BA109" s="542">
        <f>SUM('Value Segment'!BA44,'Mid-Market Segment'!BA44,'Upper Mid-Market Segment'!BA44,'Premium Segment'!BA44)/SUM('Value Segment'!BA$82,'Mid-Market Segment'!BA$82,'Upper Mid-Market Segment'!BA$82,'Premium Segment'!BA$82)</f>
        <v>404.30908135743073</v>
      </c>
      <c r="BB109" s="542">
        <f>SUM('Value Segment'!BB44,'Mid-Market Segment'!BB44,'Upper Mid-Market Segment'!BB44,'Premium Segment'!BB44)/SUM('Value Segment'!BB$82,'Mid-Market Segment'!BB$82,'Upper Mid-Market Segment'!BB$82,'Premium Segment'!BB$82)</f>
        <v>414.7279602295946</v>
      </c>
      <c r="BC109" s="542">
        <f>SUM('Value Segment'!BC44,'Mid-Market Segment'!BC44,'Upper Mid-Market Segment'!BC44,'Premium Segment'!BC44)/SUM('Value Segment'!BC$82,'Mid-Market Segment'!BC$82,'Upper Mid-Market Segment'!BC$82,'Premium Segment'!BC$82)</f>
        <v>414.7279602295946</v>
      </c>
      <c r="BD109" s="542">
        <f>SUM('Value Segment'!BD44,'Mid-Market Segment'!BD44,'Upper Mid-Market Segment'!BD44,'Premium Segment'!BD44)/SUM('Value Segment'!BD$82,'Mid-Market Segment'!BD$82,'Upper Mid-Market Segment'!BD$82,'Premium Segment'!BD$82)</f>
        <v>414.7279602295946</v>
      </c>
      <c r="BE109" s="542">
        <f>SUM('Value Segment'!BE44,'Mid-Market Segment'!BE44,'Upper Mid-Market Segment'!BE44,'Premium Segment'!BE44)/SUM('Value Segment'!BE$82,'Mid-Market Segment'!BE$82,'Upper Mid-Market Segment'!BE$82,'Premium Segment'!BE$82)</f>
        <v>414.7279602295946</v>
      </c>
      <c r="BF109" s="542">
        <f>SUM('Value Segment'!BF44,'Mid-Market Segment'!BF44,'Upper Mid-Market Segment'!BF44,'Premium Segment'!BF44)/SUM('Value Segment'!BF$82,'Mid-Market Segment'!BF$82,'Upper Mid-Market Segment'!BF$82,'Premium Segment'!BF$82)</f>
        <v>414.7279602295946</v>
      </c>
      <c r="BG109" s="542">
        <f>SUM('Value Segment'!BG44,'Mid-Market Segment'!BG44,'Upper Mid-Market Segment'!BG44,'Premium Segment'!BG44)/SUM('Value Segment'!BG$82,'Mid-Market Segment'!BG$82,'Upper Mid-Market Segment'!BG$82,'Premium Segment'!BG$82)</f>
        <v>414.7279602295946</v>
      </c>
      <c r="BH109" s="542">
        <f>SUM('Value Segment'!BH44,'Mid-Market Segment'!BH44,'Upper Mid-Market Segment'!BH44,'Premium Segment'!BH44)/SUM('Value Segment'!BH$82,'Mid-Market Segment'!BH$82,'Upper Mid-Market Segment'!BH$82,'Premium Segment'!BH$82)</f>
        <v>414.7279602295946</v>
      </c>
      <c r="BI109" s="542">
        <f>SUM('Value Segment'!BI44,'Mid-Market Segment'!BI44,'Upper Mid-Market Segment'!BI44,'Premium Segment'!BI44)/SUM('Value Segment'!BI$82,'Mid-Market Segment'!BI$82,'Upper Mid-Market Segment'!BI$82,'Premium Segment'!BI$82)</f>
        <v>414.7279602295946</v>
      </c>
      <c r="BJ109" s="542">
        <f>SUM('Value Segment'!BJ44,'Mid-Market Segment'!BJ44,'Upper Mid-Market Segment'!BJ44,'Premium Segment'!BJ44)/SUM('Value Segment'!BJ$82,'Mid-Market Segment'!BJ$82,'Upper Mid-Market Segment'!BJ$82,'Premium Segment'!BJ$82)</f>
        <v>414.7279602295946</v>
      </c>
      <c r="BK109" s="542">
        <f>SUM('Value Segment'!BK44,'Mid-Market Segment'!BK44,'Upper Mid-Market Segment'!BK44,'Premium Segment'!BK44)/SUM('Value Segment'!BK$82,'Mid-Market Segment'!BK$82,'Upper Mid-Market Segment'!BK$82,'Premium Segment'!BK$82)</f>
        <v>414.7279602295946</v>
      </c>
      <c r="BL109" s="542">
        <f>SUM('Value Segment'!BL44,'Mid-Market Segment'!BL44,'Upper Mid-Market Segment'!BL44,'Premium Segment'!BL44)/SUM('Value Segment'!BL$82,'Mid-Market Segment'!BL$82,'Upper Mid-Market Segment'!BL$82,'Premium Segment'!BL$82)</f>
        <v>414.7279602295946</v>
      </c>
      <c r="BM109" s="542">
        <f>SUM('Value Segment'!BM44,'Mid-Market Segment'!BM44,'Upper Mid-Market Segment'!BM44,'Premium Segment'!BM44)/SUM('Value Segment'!BM$82,'Mid-Market Segment'!BM$82,'Upper Mid-Market Segment'!BM$82,'Premium Segment'!BM$82)</f>
        <v>414.7279602295946</v>
      </c>
      <c r="BN109" s="542">
        <f>SUM('Value Segment'!BN44,'Mid-Market Segment'!BN44,'Upper Mid-Market Segment'!BN44,'Premium Segment'!BN44)/SUM('Value Segment'!BN$82,'Mid-Market Segment'!BN$82,'Upper Mid-Market Segment'!BN$82,'Premium Segment'!BN$82)</f>
        <v>423.69562859484398</v>
      </c>
      <c r="BO109" s="542">
        <f>SUM('Value Segment'!BO44,'Mid-Market Segment'!BO44,'Upper Mid-Market Segment'!BO44,'Premium Segment'!BO44)/SUM('Value Segment'!BO$82,'Mid-Market Segment'!BO$82,'Upper Mid-Market Segment'!BO$82,'Premium Segment'!BO$82)</f>
        <v>423.69562859484398</v>
      </c>
      <c r="BP109" s="542">
        <f>SUM('Value Segment'!BP44,'Mid-Market Segment'!BP44,'Upper Mid-Market Segment'!BP44,'Premium Segment'!BP44)/SUM('Value Segment'!BP$82,'Mid-Market Segment'!BP$82,'Upper Mid-Market Segment'!BP$82,'Premium Segment'!BP$82)</f>
        <v>423.69562859484398</v>
      </c>
      <c r="BQ109" s="542">
        <f>SUM('Value Segment'!BQ44,'Mid-Market Segment'!BQ44,'Upper Mid-Market Segment'!BQ44,'Premium Segment'!BQ44)/SUM('Value Segment'!BQ$82,'Mid-Market Segment'!BQ$82,'Upper Mid-Market Segment'!BQ$82,'Premium Segment'!BQ$82)</f>
        <v>423.69562859484398</v>
      </c>
      <c r="BR109" s="542">
        <f>SUM('Value Segment'!BR44,'Mid-Market Segment'!BR44,'Upper Mid-Market Segment'!BR44,'Premium Segment'!BR44)/SUM('Value Segment'!BR$82,'Mid-Market Segment'!BR$82,'Upper Mid-Market Segment'!BR$82,'Premium Segment'!BR$82)</f>
        <v>423.69562859484398</v>
      </c>
      <c r="BS109" s="542">
        <f>SUM('Value Segment'!BS44,'Mid-Market Segment'!BS44,'Upper Mid-Market Segment'!BS44,'Premium Segment'!BS44)/SUM('Value Segment'!BS$82,'Mid-Market Segment'!BS$82,'Upper Mid-Market Segment'!BS$82,'Premium Segment'!BS$82)</f>
        <v>423.69562859484398</v>
      </c>
      <c r="BT109" s="542">
        <f>SUM('Value Segment'!BT44,'Mid-Market Segment'!BT44,'Upper Mid-Market Segment'!BT44,'Premium Segment'!BT44)/SUM('Value Segment'!BT$82,'Mid-Market Segment'!BT$82,'Upper Mid-Market Segment'!BT$82,'Premium Segment'!BT$82)</f>
        <v>423.69562859484398</v>
      </c>
      <c r="BU109" s="542">
        <f>SUM('Value Segment'!BU44,'Mid-Market Segment'!BU44,'Upper Mid-Market Segment'!BU44,'Premium Segment'!BU44)/SUM('Value Segment'!BU$82,'Mid-Market Segment'!BU$82,'Upper Mid-Market Segment'!BU$82,'Premium Segment'!BU$82)</f>
        <v>423.69562859484398</v>
      </c>
      <c r="BV109" s="542">
        <f>SUM('Value Segment'!BV44,'Mid-Market Segment'!BV44,'Upper Mid-Market Segment'!BV44,'Premium Segment'!BV44)/SUM('Value Segment'!BV$82,'Mid-Market Segment'!BV$82,'Upper Mid-Market Segment'!BV$82,'Premium Segment'!BV$82)</f>
        <v>423.69562859484398</v>
      </c>
      <c r="BW109" s="542">
        <f>SUM('Value Segment'!BW44,'Mid-Market Segment'!BW44,'Upper Mid-Market Segment'!BW44,'Premium Segment'!BW44)/SUM('Value Segment'!BW$82,'Mid-Market Segment'!BW$82,'Upper Mid-Market Segment'!BW$82,'Premium Segment'!BW$82)</f>
        <v>423.69562859484398</v>
      </c>
      <c r="BX109" s="542">
        <f>SUM('Value Segment'!BX44,'Mid-Market Segment'!BX44,'Upper Mid-Market Segment'!BX44,'Premium Segment'!BX44)/SUM('Value Segment'!BX$82,'Mid-Market Segment'!BX$82,'Upper Mid-Market Segment'!BX$82,'Premium Segment'!BX$82)</f>
        <v>423.69562859484398</v>
      </c>
      <c r="BY109" s="542">
        <f>SUM('Value Segment'!BY44,'Mid-Market Segment'!BY44,'Upper Mid-Market Segment'!BY44,'Premium Segment'!BY44)/SUM('Value Segment'!BY$82,'Mid-Market Segment'!BY$82,'Upper Mid-Market Segment'!BY$82,'Premium Segment'!BY$82)</f>
        <v>423.69562859484398</v>
      </c>
      <c r="CB109" s="8"/>
    </row>
    <row r="110" spans="3:80" x14ac:dyDescent="0.3">
      <c r="C110" s="2"/>
      <c r="D110" s="2"/>
      <c r="E110" s="4" t="s">
        <v>26</v>
      </c>
      <c r="F110" s="5"/>
      <c r="G110" s="5"/>
      <c r="H110" s="5"/>
      <c r="I110" s="672">
        <f>SUM('Value Segment'!I45,'Mid-Market Segment'!I45,'Upper Mid-Market Segment'!I45,'Premium Segment'!I45)/SUM('Value Segment'!I$82,'Mid-Market Segment'!I$82,'Upper Mid-Market Segment'!I$82,'Premium Segment'!I$82)</f>
        <v>37967.123280952546</v>
      </c>
      <c r="J110" s="672">
        <f>SUM('Value Segment'!J45,'Mid-Market Segment'!J45,'Upper Mid-Market Segment'!J45,'Premium Segment'!J45)/SUM('Value Segment'!J$82,'Mid-Market Segment'!J$82,'Upper Mid-Market Segment'!J$82,'Premium Segment'!J$82)</f>
        <v>39678.991194301758</v>
      </c>
      <c r="K110" s="672">
        <f>SUM('Value Segment'!K45,'Mid-Market Segment'!K45,'Upper Mid-Market Segment'!K45,'Premium Segment'!K45)/SUM('Value Segment'!K$82,'Mid-Market Segment'!K$82,'Upper Mid-Market Segment'!K$82,'Premium Segment'!K$82)</f>
        <v>41829.56573614035</v>
      </c>
      <c r="L110" s="672">
        <f>SUM('Value Segment'!L45,'Mid-Market Segment'!L45,'Upper Mid-Market Segment'!L45,'Premium Segment'!L45)/SUM('Value Segment'!L$82,'Mid-Market Segment'!L$82,'Upper Mid-Market Segment'!L$82,'Premium Segment'!L$82)</f>
        <v>44039.436908529191</v>
      </c>
      <c r="M110" s="672">
        <f>SUM('Value Segment'!M45,'Mid-Market Segment'!M45,'Upper Mid-Market Segment'!M45,'Premium Segment'!M45)/SUM('Value Segment'!M$82,'Mid-Market Segment'!M$82,'Upper Mid-Market Segment'!M$82,'Premium Segment'!M$82)</f>
        <v>46246.118712395699</v>
      </c>
      <c r="N110" s="672">
        <f>SUM('Value Segment'!N45,'Mid-Market Segment'!N45,'Upper Mid-Market Segment'!N45,'Premium Segment'!N45)/SUM('Value Segment'!N$82,'Mid-Market Segment'!N$82,'Upper Mid-Market Segment'!N$82,'Premium Segment'!N$82)</f>
        <v>48508.383182064113</v>
      </c>
      <c r="O110" s="57"/>
      <c r="P110" s="55">
        <f>IFERROR(((N110/I110)^(1/5))-1,0)</f>
        <v>5.0223716427243659E-2</v>
      </c>
      <c r="R110" s="672">
        <f>SUM('Value Segment'!R45,'Mid-Market Segment'!R45,'Upper Mid-Market Segment'!R45,'Premium Segment'!R45)/SUM('Value Segment'!R$82,'Mid-Market Segment'!R$82,'Upper Mid-Market Segment'!R$82,'Premium Segment'!R$82)</f>
        <v>3260.0900355955032</v>
      </c>
      <c r="S110" s="675">
        <f>SUM('Value Segment'!S45,'Mid-Market Segment'!S45,'Upper Mid-Market Segment'!S45,'Premium Segment'!S45)/SUM('Value Segment'!S$82,'Mid-Market Segment'!S$82,'Upper Mid-Market Segment'!S$82,'Premium Segment'!S$82)</f>
        <v>3260.0900355955032</v>
      </c>
      <c r="T110" s="675">
        <f>SUM('Value Segment'!T45,'Mid-Market Segment'!T45,'Upper Mid-Market Segment'!T45,'Premium Segment'!T45)/SUM('Value Segment'!T$82,'Mid-Market Segment'!T$82,'Upper Mid-Market Segment'!T$82,'Premium Segment'!T$82)</f>
        <v>3260.0900355955032</v>
      </c>
      <c r="U110" s="675">
        <f>SUM('Value Segment'!U45,'Mid-Market Segment'!U45,'Upper Mid-Market Segment'!U45,'Premium Segment'!U45)/SUM('Value Segment'!U$82,'Mid-Market Segment'!U$82,'Upper Mid-Market Segment'!U$82,'Premium Segment'!U$82)</f>
        <v>3260.0900355955032</v>
      </c>
      <c r="V110" s="675">
        <f>SUM('Value Segment'!V45,'Mid-Market Segment'!V45,'Upper Mid-Market Segment'!V45,'Premium Segment'!V45)/SUM('Value Segment'!V$82,'Mid-Market Segment'!V$82,'Upper Mid-Market Segment'!V$82,'Premium Segment'!V$82)</f>
        <v>3260.0900355955032</v>
      </c>
      <c r="W110" s="675">
        <f>SUM('Value Segment'!W45,'Mid-Market Segment'!W45,'Upper Mid-Market Segment'!W45,'Premium Segment'!W45)/SUM('Value Segment'!W$82,'Mid-Market Segment'!W$82,'Upper Mid-Market Segment'!W$82,'Premium Segment'!W$82)</f>
        <v>3260.0900355955032</v>
      </c>
      <c r="X110" s="675">
        <f>SUM('Value Segment'!X45,'Mid-Market Segment'!X45,'Upper Mid-Market Segment'!X45,'Premium Segment'!X45)/SUM('Value Segment'!X$82,'Mid-Market Segment'!X$82,'Upper Mid-Market Segment'!X$82,'Premium Segment'!X$82)</f>
        <v>3353.0751634547905</v>
      </c>
      <c r="Y110" s="675">
        <f>SUM('Value Segment'!Y45,'Mid-Market Segment'!Y45,'Upper Mid-Market Segment'!Y45,'Premium Segment'!Y45)/SUM('Value Segment'!Y$82,'Mid-Market Segment'!Y$82,'Upper Mid-Market Segment'!Y$82,'Premium Segment'!Y$82)</f>
        <v>3353.0751634547905</v>
      </c>
      <c r="Z110" s="675">
        <f>SUM('Value Segment'!Z45,'Mid-Market Segment'!Z45,'Upper Mid-Market Segment'!Z45,'Premium Segment'!Z45)/SUM('Value Segment'!Z$82,'Mid-Market Segment'!Z$82,'Upper Mid-Market Segment'!Z$82,'Premium Segment'!Z$82)</f>
        <v>3353.0751634547905</v>
      </c>
      <c r="AA110" s="675">
        <f>SUM('Value Segment'!AA45,'Mid-Market Segment'!AA45,'Upper Mid-Market Segment'!AA45,'Premium Segment'!AA45)/SUM('Value Segment'!AA$82,'Mid-Market Segment'!AA$82,'Upper Mid-Market Segment'!AA$82,'Premium Segment'!AA$82)</f>
        <v>3353.0751634547905</v>
      </c>
      <c r="AB110" s="675">
        <f>SUM('Value Segment'!AB45,'Mid-Market Segment'!AB45,'Upper Mid-Market Segment'!AB45,'Premium Segment'!AB45)/SUM('Value Segment'!AB$82,'Mid-Market Segment'!AB$82,'Upper Mid-Market Segment'!AB$82,'Premium Segment'!AB$82)</f>
        <v>3353.0751634547905</v>
      </c>
      <c r="AC110" s="675">
        <f>SUM('Value Segment'!AC45,'Mid-Market Segment'!AC45,'Upper Mid-Market Segment'!AC45,'Premium Segment'!AC45)/SUM('Value Segment'!AC$82,'Mid-Market Segment'!AC$82,'Upper Mid-Market Segment'!AC$82,'Premium Segment'!AC$82)</f>
        <v>3353.0751634547905</v>
      </c>
      <c r="AD110" s="675">
        <f>SUM('Value Segment'!AD45,'Mid-Market Segment'!AD45,'Upper Mid-Market Segment'!AD45,'Premium Segment'!AD45)/SUM('Value Segment'!AD$82,'Mid-Market Segment'!AD$82,'Upper Mid-Market Segment'!AD$82,'Premium Segment'!AD$82)</f>
        <v>3426.0077001317413</v>
      </c>
      <c r="AE110" s="675">
        <f>SUM('Value Segment'!AE45,'Mid-Market Segment'!AE45,'Upper Mid-Market Segment'!AE45,'Premium Segment'!AE45)/SUM('Value Segment'!AE$82,'Mid-Market Segment'!AE$82,'Upper Mid-Market Segment'!AE$82,'Premium Segment'!AE$82)</f>
        <v>3426.0077001317413</v>
      </c>
      <c r="AF110" s="675">
        <f>SUM('Value Segment'!AF45,'Mid-Market Segment'!AF45,'Upper Mid-Market Segment'!AF45,'Premium Segment'!AF45)/SUM('Value Segment'!AF$82,'Mid-Market Segment'!AF$82,'Upper Mid-Market Segment'!AF$82,'Premium Segment'!AF$82)</f>
        <v>3426.0077001317413</v>
      </c>
      <c r="AG110" s="675">
        <f>SUM('Value Segment'!AG45,'Mid-Market Segment'!AG45,'Upper Mid-Market Segment'!AG45,'Premium Segment'!AG45)/SUM('Value Segment'!AG$82,'Mid-Market Segment'!AG$82,'Upper Mid-Market Segment'!AG$82,'Premium Segment'!AG$82)</f>
        <v>3426.0077001317413</v>
      </c>
      <c r="AH110" s="675">
        <f>SUM('Value Segment'!AH45,'Mid-Market Segment'!AH45,'Upper Mid-Market Segment'!AH45,'Premium Segment'!AH45)/SUM('Value Segment'!AH$82,'Mid-Market Segment'!AH$82,'Upper Mid-Market Segment'!AH$82,'Premium Segment'!AH$82)</f>
        <v>3426.0077001317413</v>
      </c>
      <c r="AI110" s="675">
        <f>SUM('Value Segment'!AI45,'Mid-Market Segment'!AI45,'Upper Mid-Market Segment'!AI45,'Premium Segment'!AI45)/SUM('Value Segment'!AI$82,'Mid-Market Segment'!AI$82,'Upper Mid-Market Segment'!AI$82,'Premium Segment'!AI$82)</f>
        <v>3426.0077001317413</v>
      </c>
      <c r="AJ110" s="675">
        <f>SUM('Value Segment'!AJ45,'Mid-Market Segment'!AJ45,'Upper Mid-Market Segment'!AJ45,'Premium Segment'!AJ45)/SUM('Value Segment'!AJ$82,'Mid-Market Segment'!AJ$82,'Upper Mid-Market Segment'!AJ$82,'Premium Segment'!AJ$82)</f>
        <v>3545.5865892249826</v>
      </c>
      <c r="AK110" s="675">
        <f>SUM('Value Segment'!AK45,'Mid-Market Segment'!AK45,'Upper Mid-Market Segment'!AK45,'Premium Segment'!AK45)/SUM('Value Segment'!AK$82,'Mid-Market Segment'!AK$82,'Upper Mid-Market Segment'!AK$82,'Premium Segment'!AK$82)</f>
        <v>3545.5865892249826</v>
      </c>
      <c r="AL110" s="675">
        <f>SUM('Value Segment'!AL45,'Mid-Market Segment'!AL45,'Upper Mid-Market Segment'!AL45,'Premium Segment'!AL45)/SUM('Value Segment'!AL$82,'Mid-Market Segment'!AL$82,'Upper Mid-Market Segment'!AL$82,'Premium Segment'!AL$82)</f>
        <v>3545.5865892249826</v>
      </c>
      <c r="AM110" s="675">
        <f>SUM('Value Segment'!AM45,'Mid-Market Segment'!AM45,'Upper Mid-Market Segment'!AM45,'Premium Segment'!AM45)/SUM('Value Segment'!AM$82,'Mid-Market Segment'!AM$82,'Upper Mid-Market Segment'!AM$82,'Premium Segment'!AM$82)</f>
        <v>3545.5865892249826</v>
      </c>
      <c r="AN110" s="675">
        <f>SUM('Value Segment'!AN45,'Mid-Market Segment'!AN45,'Upper Mid-Market Segment'!AN45,'Premium Segment'!AN45)/SUM('Value Segment'!AN$82,'Mid-Market Segment'!AN$82,'Upper Mid-Market Segment'!AN$82,'Premium Segment'!AN$82)</f>
        <v>3545.5865892249826</v>
      </c>
      <c r="AO110" s="675">
        <f>SUM('Value Segment'!AO45,'Mid-Market Segment'!AO45,'Upper Mid-Market Segment'!AO45,'Premium Segment'!AO45)/SUM('Value Segment'!AO$82,'Mid-Market Segment'!AO$82,'Upper Mid-Market Segment'!AO$82,'Premium Segment'!AO$82)</f>
        <v>3545.5865892249826</v>
      </c>
      <c r="AP110" s="675">
        <f>SUM('Value Segment'!AP45,'Mid-Market Segment'!AP45,'Upper Mid-Market Segment'!AP45,'Premium Segment'!AP45)/SUM('Value Segment'!AP$82,'Mid-Market Segment'!AP$82,'Upper Mid-Market Segment'!AP$82,'Premium Segment'!AP$82)</f>
        <v>3595.9739037094373</v>
      </c>
      <c r="AQ110" s="675">
        <f>SUM('Value Segment'!AQ45,'Mid-Market Segment'!AQ45,'Upper Mid-Market Segment'!AQ45,'Premium Segment'!AQ45)/SUM('Value Segment'!AQ$82,'Mid-Market Segment'!AQ$82,'Upper Mid-Market Segment'!AQ$82,'Premium Segment'!AQ$82)</f>
        <v>3595.9739037094373</v>
      </c>
      <c r="AR110" s="675">
        <f>SUM('Value Segment'!AR45,'Mid-Market Segment'!AR45,'Upper Mid-Market Segment'!AR45,'Premium Segment'!AR45)/SUM('Value Segment'!AR$82,'Mid-Market Segment'!AR$82,'Upper Mid-Market Segment'!AR$82,'Premium Segment'!AR$82)</f>
        <v>3595.9739037094373</v>
      </c>
      <c r="AS110" s="675">
        <f>SUM('Value Segment'!AS45,'Mid-Market Segment'!AS45,'Upper Mid-Market Segment'!AS45,'Premium Segment'!AS45)/SUM('Value Segment'!AS$82,'Mid-Market Segment'!AS$82,'Upper Mid-Market Segment'!AS$82,'Premium Segment'!AS$82)</f>
        <v>3595.9739037094373</v>
      </c>
      <c r="AT110" s="675">
        <f>SUM('Value Segment'!AT45,'Mid-Market Segment'!AT45,'Upper Mid-Market Segment'!AT45,'Premium Segment'!AT45)/SUM('Value Segment'!AT$82,'Mid-Market Segment'!AT$82,'Upper Mid-Market Segment'!AT$82,'Premium Segment'!AT$82)</f>
        <v>3595.9739037094373</v>
      </c>
      <c r="AU110" s="675">
        <f>SUM('Value Segment'!AU45,'Mid-Market Segment'!AU45,'Upper Mid-Market Segment'!AU45,'Premium Segment'!AU45)/SUM('Value Segment'!AU$82,'Mid-Market Segment'!AU$82,'Upper Mid-Market Segment'!AU$82,'Premium Segment'!AU$82)</f>
        <v>3595.9739037094373</v>
      </c>
      <c r="AV110" s="675">
        <f>SUM('Value Segment'!AV45,'Mid-Market Segment'!AV45,'Upper Mid-Market Segment'!AV45,'Premium Segment'!AV45)/SUM('Value Segment'!AV$82,'Mid-Market Segment'!AV$82,'Upper Mid-Market Segment'!AV$82,'Premium Segment'!AV$82)</f>
        <v>3743.9322477120954</v>
      </c>
      <c r="AW110" s="675">
        <f>SUM('Value Segment'!AW45,'Mid-Market Segment'!AW45,'Upper Mid-Market Segment'!AW45,'Premium Segment'!AW45)/SUM('Value Segment'!AW$82,'Mid-Market Segment'!AW$82,'Upper Mid-Market Segment'!AW$82,'Premium Segment'!AW$82)</f>
        <v>3743.9322477120954</v>
      </c>
      <c r="AX110" s="675">
        <f>SUM('Value Segment'!AX45,'Mid-Market Segment'!AX45,'Upper Mid-Market Segment'!AX45,'Premium Segment'!AX45)/SUM('Value Segment'!AX$82,'Mid-Market Segment'!AX$82,'Upper Mid-Market Segment'!AX$82,'Premium Segment'!AX$82)</f>
        <v>3743.9322477120954</v>
      </c>
      <c r="AY110" s="675">
        <f>SUM('Value Segment'!AY45,'Mid-Market Segment'!AY45,'Upper Mid-Market Segment'!AY45,'Premium Segment'!AY45)/SUM('Value Segment'!AY$82,'Mid-Market Segment'!AY$82,'Upper Mid-Market Segment'!AY$82,'Premium Segment'!AY$82)</f>
        <v>3743.9322477120954</v>
      </c>
      <c r="AZ110" s="675">
        <f>SUM('Value Segment'!AZ45,'Mid-Market Segment'!AZ45,'Upper Mid-Market Segment'!AZ45,'Premium Segment'!AZ45)/SUM('Value Segment'!AZ$82,'Mid-Market Segment'!AZ$82,'Upper Mid-Market Segment'!AZ$82,'Premium Segment'!AZ$82)</f>
        <v>3743.9322477120954</v>
      </c>
      <c r="BA110" s="675">
        <f>SUM('Value Segment'!BA45,'Mid-Market Segment'!BA45,'Upper Mid-Market Segment'!BA45,'Premium Segment'!BA45)/SUM('Value Segment'!BA$82,'Mid-Market Segment'!BA$82,'Upper Mid-Market Segment'!BA$82,'Premium Segment'!BA$82)</f>
        <v>3743.9322477120954</v>
      </c>
      <c r="BB110" s="675">
        <f>SUM('Value Segment'!BB45,'Mid-Market Segment'!BB45,'Upper Mid-Market Segment'!BB45,'Premium Segment'!BB45)/SUM('Value Segment'!BB$82,'Mid-Market Segment'!BB$82,'Upper Mid-Market Segment'!BB$82,'Premium Segment'!BB$82)</f>
        <v>3764.7627896878948</v>
      </c>
      <c r="BC110" s="675">
        <f>SUM('Value Segment'!BC45,'Mid-Market Segment'!BC45,'Upper Mid-Market Segment'!BC45,'Premium Segment'!BC45)/SUM('Value Segment'!BC$82,'Mid-Market Segment'!BC$82,'Upper Mid-Market Segment'!BC$82,'Premium Segment'!BC$82)</f>
        <v>3764.7627896878948</v>
      </c>
      <c r="BD110" s="675">
        <f>SUM('Value Segment'!BD45,'Mid-Market Segment'!BD45,'Upper Mid-Market Segment'!BD45,'Premium Segment'!BD45)/SUM('Value Segment'!BD$82,'Mid-Market Segment'!BD$82,'Upper Mid-Market Segment'!BD$82,'Premium Segment'!BD$82)</f>
        <v>3764.7627896878948</v>
      </c>
      <c r="BE110" s="675">
        <f>SUM('Value Segment'!BE45,'Mid-Market Segment'!BE45,'Upper Mid-Market Segment'!BE45,'Premium Segment'!BE45)/SUM('Value Segment'!BE$82,'Mid-Market Segment'!BE$82,'Upper Mid-Market Segment'!BE$82,'Premium Segment'!BE$82)</f>
        <v>3764.7627896878948</v>
      </c>
      <c r="BF110" s="675">
        <f>SUM('Value Segment'!BF45,'Mid-Market Segment'!BF45,'Upper Mid-Market Segment'!BF45,'Premium Segment'!BF45)/SUM('Value Segment'!BF$82,'Mid-Market Segment'!BF$82,'Upper Mid-Market Segment'!BF$82,'Premium Segment'!BF$82)</f>
        <v>3764.7627896878948</v>
      </c>
      <c r="BG110" s="675">
        <f>SUM('Value Segment'!BG45,'Mid-Market Segment'!BG45,'Upper Mid-Market Segment'!BG45,'Premium Segment'!BG45)/SUM('Value Segment'!BG$82,'Mid-Market Segment'!BG$82,'Upper Mid-Market Segment'!BG$82,'Premium Segment'!BG$82)</f>
        <v>3764.7627896878948</v>
      </c>
      <c r="BH110" s="675">
        <f>SUM('Value Segment'!BH45,'Mid-Market Segment'!BH45,'Upper Mid-Market Segment'!BH45,'Premium Segment'!BH45)/SUM('Value Segment'!BH$82,'Mid-Market Segment'!BH$82,'Upper Mid-Market Segment'!BH$82,'Premium Segment'!BH$82)</f>
        <v>3942.9236623780535</v>
      </c>
      <c r="BI110" s="675">
        <f>SUM('Value Segment'!BI45,'Mid-Market Segment'!BI45,'Upper Mid-Market Segment'!BI45,'Premium Segment'!BI45)/SUM('Value Segment'!BI$82,'Mid-Market Segment'!BI$82,'Upper Mid-Market Segment'!BI$82,'Premium Segment'!BI$82)</f>
        <v>3942.9236623780535</v>
      </c>
      <c r="BJ110" s="675">
        <f>SUM('Value Segment'!BJ45,'Mid-Market Segment'!BJ45,'Upper Mid-Market Segment'!BJ45,'Premium Segment'!BJ45)/SUM('Value Segment'!BJ$82,'Mid-Market Segment'!BJ$82,'Upper Mid-Market Segment'!BJ$82,'Premium Segment'!BJ$82)</f>
        <v>3942.9236623780535</v>
      </c>
      <c r="BK110" s="675">
        <f>SUM('Value Segment'!BK45,'Mid-Market Segment'!BK45,'Upper Mid-Market Segment'!BK45,'Premium Segment'!BK45)/SUM('Value Segment'!BK$82,'Mid-Market Segment'!BK$82,'Upper Mid-Market Segment'!BK$82,'Premium Segment'!BK$82)</f>
        <v>3942.9236623780535</v>
      </c>
      <c r="BL110" s="675">
        <f>SUM('Value Segment'!BL45,'Mid-Market Segment'!BL45,'Upper Mid-Market Segment'!BL45,'Premium Segment'!BL45)/SUM('Value Segment'!BL$82,'Mid-Market Segment'!BL$82,'Upper Mid-Market Segment'!BL$82,'Premium Segment'!BL$82)</f>
        <v>3942.9236623780535</v>
      </c>
      <c r="BM110" s="675">
        <f>SUM('Value Segment'!BM45,'Mid-Market Segment'!BM45,'Upper Mid-Market Segment'!BM45,'Premium Segment'!BM45)/SUM('Value Segment'!BM$82,'Mid-Market Segment'!BM$82,'Upper Mid-Market Segment'!BM$82,'Premium Segment'!BM$82)</f>
        <v>3942.9236623780535</v>
      </c>
      <c r="BN110" s="675">
        <f>SUM('Value Segment'!BN45,'Mid-Market Segment'!BN45,'Upper Mid-Market Segment'!BN45,'Premium Segment'!BN45)/SUM('Value Segment'!BN$82,'Mid-Market Segment'!BN$82,'Upper Mid-Market Segment'!BN$82,'Premium Segment'!BN$82)</f>
        <v>3937.2275833572462</v>
      </c>
      <c r="BO110" s="675">
        <f>SUM('Value Segment'!BO45,'Mid-Market Segment'!BO45,'Upper Mid-Market Segment'!BO45,'Premium Segment'!BO45)/SUM('Value Segment'!BO$82,'Mid-Market Segment'!BO$82,'Upper Mid-Market Segment'!BO$82,'Premium Segment'!BO$82)</f>
        <v>3937.2275833572462</v>
      </c>
      <c r="BP110" s="675">
        <f>SUM('Value Segment'!BP45,'Mid-Market Segment'!BP45,'Upper Mid-Market Segment'!BP45,'Premium Segment'!BP45)/SUM('Value Segment'!BP$82,'Mid-Market Segment'!BP$82,'Upper Mid-Market Segment'!BP$82,'Premium Segment'!BP$82)</f>
        <v>3937.2275833572462</v>
      </c>
      <c r="BQ110" s="675">
        <f>SUM('Value Segment'!BQ45,'Mid-Market Segment'!BQ45,'Upper Mid-Market Segment'!BQ45,'Premium Segment'!BQ45)/SUM('Value Segment'!BQ$82,'Mid-Market Segment'!BQ$82,'Upper Mid-Market Segment'!BQ$82,'Premium Segment'!BQ$82)</f>
        <v>3937.2275833572462</v>
      </c>
      <c r="BR110" s="675">
        <f>SUM('Value Segment'!BR45,'Mid-Market Segment'!BR45,'Upper Mid-Market Segment'!BR45,'Premium Segment'!BR45)/SUM('Value Segment'!BR$82,'Mid-Market Segment'!BR$82,'Upper Mid-Market Segment'!BR$82,'Premium Segment'!BR$82)</f>
        <v>3937.2275833572462</v>
      </c>
      <c r="BS110" s="675">
        <f>SUM('Value Segment'!BS45,'Mid-Market Segment'!BS45,'Upper Mid-Market Segment'!BS45,'Premium Segment'!BS45)/SUM('Value Segment'!BS$82,'Mid-Market Segment'!BS$82,'Upper Mid-Market Segment'!BS$82,'Premium Segment'!BS$82)</f>
        <v>3937.2275833572462</v>
      </c>
      <c r="BT110" s="675">
        <f>SUM('Value Segment'!BT45,'Mid-Market Segment'!BT45,'Upper Mid-Market Segment'!BT45,'Premium Segment'!BT45)/SUM('Value Segment'!BT$82,'Mid-Market Segment'!BT$82,'Upper Mid-Market Segment'!BT$82,'Premium Segment'!BT$82)</f>
        <v>4147.5029469867732</v>
      </c>
      <c r="BU110" s="675">
        <f>SUM('Value Segment'!BU45,'Mid-Market Segment'!BU45,'Upper Mid-Market Segment'!BU45,'Premium Segment'!BU45)/SUM('Value Segment'!BU$82,'Mid-Market Segment'!BU$82,'Upper Mid-Market Segment'!BU$82,'Premium Segment'!BU$82)</f>
        <v>4147.5029469867732</v>
      </c>
      <c r="BV110" s="675">
        <f>SUM('Value Segment'!BV45,'Mid-Market Segment'!BV45,'Upper Mid-Market Segment'!BV45,'Premium Segment'!BV45)/SUM('Value Segment'!BV$82,'Mid-Market Segment'!BV$82,'Upper Mid-Market Segment'!BV$82,'Premium Segment'!BV$82)</f>
        <v>4147.5029469867732</v>
      </c>
      <c r="BW110" s="675">
        <f>SUM('Value Segment'!BW45,'Mid-Market Segment'!BW45,'Upper Mid-Market Segment'!BW45,'Premium Segment'!BW45)/SUM('Value Segment'!BW$82,'Mid-Market Segment'!BW$82,'Upper Mid-Market Segment'!BW$82,'Premium Segment'!BW$82)</f>
        <v>4147.5029469867732</v>
      </c>
      <c r="BX110" s="675">
        <f>SUM('Value Segment'!BX45,'Mid-Market Segment'!BX45,'Upper Mid-Market Segment'!BX45,'Premium Segment'!BX45)/SUM('Value Segment'!BX$82,'Mid-Market Segment'!BX$82,'Upper Mid-Market Segment'!BX$82,'Premium Segment'!BX$82)</f>
        <v>4147.5029469867732</v>
      </c>
      <c r="BY110" s="675">
        <f>SUM('Value Segment'!BY45,'Mid-Market Segment'!BY45,'Upper Mid-Market Segment'!BY45,'Premium Segment'!BY45)/SUM('Value Segment'!BY$82,'Mid-Market Segment'!BY$82,'Upper Mid-Market Segment'!BY$82,'Premium Segment'!BY$82)</f>
        <v>4147.5029469867732</v>
      </c>
      <c r="CB110" s="8"/>
    </row>
    <row r="111" spans="3:80" x14ac:dyDescent="0.3">
      <c r="C111" s="2"/>
      <c r="D111" s="2"/>
      <c r="E111" s="2"/>
      <c r="F111" s="37"/>
      <c r="G111" s="37"/>
      <c r="H111" s="37"/>
      <c r="I111" s="37"/>
      <c r="J111" s="37"/>
      <c r="K111" s="37"/>
      <c r="L111" s="37"/>
      <c r="M111" s="37"/>
      <c r="N111" s="37"/>
      <c r="O111" s="37"/>
      <c r="P111" s="35"/>
      <c r="R111" s="37"/>
      <c r="S111" s="37"/>
      <c r="T111" s="37"/>
      <c r="U111" s="37"/>
      <c r="V111" s="37"/>
      <c r="W111" s="37"/>
      <c r="X111" s="37"/>
      <c r="Y111" s="37"/>
      <c r="Z111" s="37"/>
      <c r="AA111" s="37"/>
      <c r="AB111" s="37"/>
      <c r="AC111" s="37"/>
      <c r="AD111" s="37"/>
      <c r="AE111" s="37"/>
      <c r="AF111" s="37"/>
      <c r="AG111" s="37"/>
      <c r="AH111" s="37"/>
      <c r="AI111" s="37"/>
      <c r="AJ111" s="37"/>
      <c r="AK111" s="37"/>
      <c r="AL111" s="37"/>
      <c r="AM111" s="37"/>
      <c r="AN111" s="37"/>
      <c r="AO111" s="37"/>
      <c r="AP111" s="37"/>
      <c r="AQ111" s="37"/>
      <c r="AR111" s="37"/>
      <c r="AS111" s="37"/>
      <c r="AT111" s="37"/>
      <c r="AU111" s="37"/>
      <c r="AV111" s="37"/>
      <c r="AW111" s="37"/>
      <c r="AX111" s="37"/>
      <c r="AY111" s="37"/>
      <c r="AZ111" s="37"/>
      <c r="BA111" s="37"/>
      <c r="BB111" s="37"/>
      <c r="BC111" s="37"/>
      <c r="BD111" s="37"/>
      <c r="BE111" s="37"/>
      <c r="BF111" s="37"/>
      <c r="BG111" s="37"/>
      <c r="BH111" s="37"/>
      <c r="BI111" s="37"/>
      <c r="BJ111" s="37"/>
      <c r="BK111" s="37"/>
      <c r="BL111" s="37"/>
      <c r="BM111" s="37"/>
      <c r="BN111" s="37"/>
      <c r="BO111" s="37"/>
      <c r="BP111" s="37"/>
      <c r="BQ111" s="37"/>
      <c r="BR111" s="37"/>
      <c r="BS111" s="37"/>
      <c r="BT111" s="37"/>
      <c r="BU111" s="37"/>
      <c r="BV111" s="37"/>
      <c r="BW111" s="37"/>
      <c r="BX111" s="37"/>
      <c r="BY111" s="37"/>
    </row>
    <row r="112" spans="3:80" x14ac:dyDescent="0.3">
      <c r="C112" s="2"/>
      <c r="D112" s="2"/>
      <c r="E112" s="17" t="s">
        <v>27</v>
      </c>
      <c r="F112" s="37"/>
      <c r="G112" s="37"/>
      <c r="H112" s="37"/>
      <c r="I112" s="37"/>
      <c r="J112" s="37"/>
      <c r="K112" s="37"/>
      <c r="L112" s="37"/>
      <c r="M112" s="37"/>
      <c r="N112" s="37"/>
      <c r="O112" s="37"/>
      <c r="P112" s="35"/>
      <c r="R112" s="37"/>
      <c r="S112" s="37"/>
      <c r="T112" s="37"/>
      <c r="U112" s="37"/>
      <c r="V112" s="37"/>
      <c r="W112" s="37"/>
      <c r="X112" s="37"/>
      <c r="Y112" s="37"/>
      <c r="Z112" s="37"/>
      <c r="AA112" s="37"/>
      <c r="AB112" s="37"/>
      <c r="AC112" s="37"/>
      <c r="AD112" s="37"/>
      <c r="AE112" s="37"/>
      <c r="AF112" s="37"/>
      <c r="AG112" s="37"/>
      <c r="AH112" s="37"/>
      <c r="AI112" s="37"/>
      <c r="AJ112" s="37"/>
      <c r="AK112" s="37"/>
      <c r="AL112" s="37"/>
      <c r="AM112" s="37"/>
      <c r="AN112" s="37"/>
      <c r="AO112" s="37"/>
      <c r="AP112" s="37"/>
      <c r="AQ112" s="37"/>
      <c r="AR112" s="37"/>
      <c r="AS112" s="37"/>
      <c r="AT112" s="37"/>
      <c r="AU112" s="37"/>
      <c r="AV112" s="37"/>
      <c r="AW112" s="37"/>
      <c r="AX112" s="37"/>
      <c r="AY112" s="37"/>
      <c r="AZ112" s="37"/>
      <c r="BA112" s="37"/>
      <c r="BB112" s="37"/>
      <c r="BC112" s="37"/>
      <c r="BD112" s="37"/>
      <c r="BE112" s="37"/>
      <c r="BF112" s="37"/>
      <c r="BG112" s="37"/>
      <c r="BH112" s="37"/>
      <c r="BI112" s="37"/>
      <c r="BJ112" s="37"/>
      <c r="BK112" s="37"/>
      <c r="BL112" s="37"/>
      <c r="BM112" s="37"/>
      <c r="BN112" s="37"/>
      <c r="BO112" s="37"/>
      <c r="BP112" s="37"/>
      <c r="BQ112" s="37"/>
      <c r="BR112" s="37"/>
      <c r="BS112" s="37"/>
      <c r="BT112" s="37"/>
      <c r="BU112" s="37"/>
      <c r="BV112" s="37"/>
      <c r="BW112" s="37"/>
      <c r="BX112" s="37"/>
      <c r="BY112" s="37"/>
    </row>
    <row r="113" spans="3:80" x14ac:dyDescent="0.3">
      <c r="C113" s="2"/>
      <c r="D113" s="2"/>
      <c r="E113" s="2" t="s">
        <v>28</v>
      </c>
      <c r="F113" s="54"/>
      <c r="G113" s="54"/>
      <c r="H113" s="54"/>
      <c r="I113" s="19">
        <f>SUM('Value Segment'!I48,'Mid-Market Segment'!I48,'Upper Mid-Market Segment'!I48,'Premium Segment'!I48)/SUM('Value Segment'!I$82,'Mid-Market Segment'!I$82,'Upper Mid-Market Segment'!I$82,'Premium Segment'!I$82)</f>
        <v>72.305097402597383</v>
      </c>
      <c r="J113" s="19">
        <f>SUM('Value Segment'!J48,'Mid-Market Segment'!J48,'Upper Mid-Market Segment'!J48,'Premium Segment'!J48)/SUM('Value Segment'!J$82,'Mid-Market Segment'!J$82,'Upper Mid-Market Segment'!J$82,'Premium Segment'!J$82)</f>
        <v>72.305097402597397</v>
      </c>
      <c r="K113" s="19">
        <f>SUM('Value Segment'!K48,'Mid-Market Segment'!K48,'Upper Mid-Market Segment'!K48,'Premium Segment'!K48)/SUM('Value Segment'!K$82,'Mid-Market Segment'!K$82,'Upper Mid-Market Segment'!K$82,'Premium Segment'!K$82)</f>
        <v>72.305097402597397</v>
      </c>
      <c r="L113" s="19">
        <f>SUM('Value Segment'!L48,'Mid-Market Segment'!L48,'Upper Mid-Market Segment'!L48,'Premium Segment'!L48)/SUM('Value Segment'!L$82,'Mid-Market Segment'!L$82,'Upper Mid-Market Segment'!L$82,'Premium Segment'!L$82)</f>
        <v>72.305097402597397</v>
      </c>
      <c r="M113" s="19">
        <f>SUM('Value Segment'!M48,'Mid-Market Segment'!M48,'Upper Mid-Market Segment'!M48,'Premium Segment'!M48)/SUM('Value Segment'!M$82,'Mid-Market Segment'!M$82,'Upper Mid-Market Segment'!M$82,'Premium Segment'!M$82)</f>
        <v>72.305097402597397</v>
      </c>
      <c r="N113" s="19">
        <f>SUM('Value Segment'!N48,'Mid-Market Segment'!N48,'Upper Mid-Market Segment'!N48,'Premium Segment'!N48)/SUM('Value Segment'!N$82,'Mid-Market Segment'!N$82,'Upper Mid-Market Segment'!N$82,'Premium Segment'!N$82)</f>
        <v>72.305097402597397</v>
      </c>
      <c r="O113" s="37"/>
      <c r="P113" s="50">
        <f>IFERROR(((N113/I113)^(1/5))-1,0)</f>
        <v>0</v>
      </c>
      <c r="R113" s="19">
        <f>SUM('Value Segment'!R48,'Mid-Market Segment'!R48,'Upper Mid-Market Segment'!R48,'Premium Segment'!R48)/SUM('Value Segment'!R$82,'Mid-Market Segment'!R$82,'Upper Mid-Market Segment'!R$82,'Premium Segment'!R$82)</f>
        <v>6.0254247835497825</v>
      </c>
      <c r="S113" s="542">
        <f>SUM('Value Segment'!S48,'Mid-Market Segment'!S48,'Upper Mid-Market Segment'!S48,'Premium Segment'!S48)/SUM('Value Segment'!S$82,'Mid-Market Segment'!S$82,'Upper Mid-Market Segment'!S$82,'Premium Segment'!S$82)</f>
        <v>6.0254247835497825</v>
      </c>
      <c r="T113" s="542">
        <f>SUM('Value Segment'!T48,'Mid-Market Segment'!T48,'Upper Mid-Market Segment'!T48,'Premium Segment'!T48)/SUM('Value Segment'!T$82,'Mid-Market Segment'!T$82,'Upper Mid-Market Segment'!T$82,'Premium Segment'!T$82)</f>
        <v>6.0254247835497825</v>
      </c>
      <c r="U113" s="542">
        <f>SUM('Value Segment'!U48,'Mid-Market Segment'!U48,'Upper Mid-Market Segment'!U48,'Premium Segment'!U48)/SUM('Value Segment'!U$82,'Mid-Market Segment'!U$82,'Upper Mid-Market Segment'!U$82,'Premium Segment'!U$82)</f>
        <v>6.0254247835497825</v>
      </c>
      <c r="V113" s="542">
        <f>SUM('Value Segment'!V48,'Mid-Market Segment'!V48,'Upper Mid-Market Segment'!V48,'Premium Segment'!V48)/SUM('Value Segment'!V$82,'Mid-Market Segment'!V$82,'Upper Mid-Market Segment'!V$82,'Premium Segment'!V$82)</f>
        <v>6.0254247835497825</v>
      </c>
      <c r="W113" s="542">
        <f>SUM('Value Segment'!W48,'Mid-Market Segment'!W48,'Upper Mid-Market Segment'!W48,'Premium Segment'!W48)/SUM('Value Segment'!W$82,'Mid-Market Segment'!W$82,'Upper Mid-Market Segment'!W$82,'Premium Segment'!W$82)</f>
        <v>6.0254247835497825</v>
      </c>
      <c r="X113" s="542">
        <f>SUM('Value Segment'!X48,'Mid-Market Segment'!X48,'Upper Mid-Market Segment'!X48,'Premium Segment'!X48)/SUM('Value Segment'!X$82,'Mid-Market Segment'!X$82,'Upper Mid-Market Segment'!X$82,'Premium Segment'!X$82)</f>
        <v>6.0254247835497825</v>
      </c>
      <c r="Y113" s="542">
        <f>SUM('Value Segment'!Y48,'Mid-Market Segment'!Y48,'Upper Mid-Market Segment'!Y48,'Premium Segment'!Y48)/SUM('Value Segment'!Y$82,'Mid-Market Segment'!Y$82,'Upper Mid-Market Segment'!Y$82,'Premium Segment'!Y$82)</f>
        <v>6.0254247835497825</v>
      </c>
      <c r="Z113" s="542">
        <f>SUM('Value Segment'!Z48,'Mid-Market Segment'!Z48,'Upper Mid-Market Segment'!Z48,'Premium Segment'!Z48)/SUM('Value Segment'!Z$82,'Mid-Market Segment'!Z$82,'Upper Mid-Market Segment'!Z$82,'Premium Segment'!Z$82)</f>
        <v>6.0254247835497825</v>
      </c>
      <c r="AA113" s="542">
        <f>SUM('Value Segment'!AA48,'Mid-Market Segment'!AA48,'Upper Mid-Market Segment'!AA48,'Premium Segment'!AA48)/SUM('Value Segment'!AA$82,'Mid-Market Segment'!AA$82,'Upper Mid-Market Segment'!AA$82,'Premium Segment'!AA$82)</f>
        <v>6.0254247835497825</v>
      </c>
      <c r="AB113" s="542">
        <f>SUM('Value Segment'!AB48,'Mid-Market Segment'!AB48,'Upper Mid-Market Segment'!AB48,'Premium Segment'!AB48)/SUM('Value Segment'!AB$82,'Mid-Market Segment'!AB$82,'Upper Mid-Market Segment'!AB$82,'Premium Segment'!AB$82)</f>
        <v>6.0254247835497825</v>
      </c>
      <c r="AC113" s="542">
        <f>SUM('Value Segment'!AC48,'Mid-Market Segment'!AC48,'Upper Mid-Market Segment'!AC48,'Premium Segment'!AC48)/SUM('Value Segment'!AC$82,'Mid-Market Segment'!AC$82,'Upper Mid-Market Segment'!AC$82,'Premium Segment'!AC$82)</f>
        <v>6.0254247835497825</v>
      </c>
      <c r="AD113" s="542">
        <f>SUM('Value Segment'!AD48,'Mid-Market Segment'!AD48,'Upper Mid-Market Segment'!AD48,'Premium Segment'!AD48)/SUM('Value Segment'!AD$82,'Mid-Market Segment'!AD$82,'Upper Mid-Market Segment'!AD$82,'Premium Segment'!AD$82)</f>
        <v>6.0254247835497825</v>
      </c>
      <c r="AE113" s="542">
        <f>SUM('Value Segment'!AE48,'Mid-Market Segment'!AE48,'Upper Mid-Market Segment'!AE48,'Premium Segment'!AE48)/SUM('Value Segment'!AE$82,'Mid-Market Segment'!AE$82,'Upper Mid-Market Segment'!AE$82,'Premium Segment'!AE$82)</f>
        <v>6.0254247835497825</v>
      </c>
      <c r="AF113" s="542">
        <f>SUM('Value Segment'!AF48,'Mid-Market Segment'!AF48,'Upper Mid-Market Segment'!AF48,'Premium Segment'!AF48)/SUM('Value Segment'!AF$82,'Mid-Market Segment'!AF$82,'Upper Mid-Market Segment'!AF$82,'Premium Segment'!AF$82)</f>
        <v>6.0254247835497825</v>
      </c>
      <c r="AG113" s="542">
        <f>SUM('Value Segment'!AG48,'Mid-Market Segment'!AG48,'Upper Mid-Market Segment'!AG48,'Premium Segment'!AG48)/SUM('Value Segment'!AG$82,'Mid-Market Segment'!AG$82,'Upper Mid-Market Segment'!AG$82,'Premium Segment'!AG$82)</f>
        <v>6.0254247835497825</v>
      </c>
      <c r="AH113" s="542">
        <f>SUM('Value Segment'!AH48,'Mid-Market Segment'!AH48,'Upper Mid-Market Segment'!AH48,'Premium Segment'!AH48)/SUM('Value Segment'!AH$82,'Mid-Market Segment'!AH$82,'Upper Mid-Market Segment'!AH$82,'Premium Segment'!AH$82)</f>
        <v>6.0254247835497825</v>
      </c>
      <c r="AI113" s="542">
        <f>SUM('Value Segment'!AI48,'Mid-Market Segment'!AI48,'Upper Mid-Market Segment'!AI48,'Premium Segment'!AI48)/SUM('Value Segment'!AI$82,'Mid-Market Segment'!AI$82,'Upper Mid-Market Segment'!AI$82,'Premium Segment'!AI$82)</f>
        <v>6.0254247835497825</v>
      </c>
      <c r="AJ113" s="542">
        <f>SUM('Value Segment'!AJ48,'Mid-Market Segment'!AJ48,'Upper Mid-Market Segment'!AJ48,'Premium Segment'!AJ48)/SUM('Value Segment'!AJ$82,'Mid-Market Segment'!AJ$82,'Upper Mid-Market Segment'!AJ$82,'Premium Segment'!AJ$82)</f>
        <v>6.0254247835497825</v>
      </c>
      <c r="AK113" s="542">
        <f>SUM('Value Segment'!AK48,'Mid-Market Segment'!AK48,'Upper Mid-Market Segment'!AK48,'Premium Segment'!AK48)/SUM('Value Segment'!AK$82,'Mid-Market Segment'!AK$82,'Upper Mid-Market Segment'!AK$82,'Premium Segment'!AK$82)</f>
        <v>6.0254247835497825</v>
      </c>
      <c r="AL113" s="542">
        <f>SUM('Value Segment'!AL48,'Mid-Market Segment'!AL48,'Upper Mid-Market Segment'!AL48,'Premium Segment'!AL48)/SUM('Value Segment'!AL$82,'Mid-Market Segment'!AL$82,'Upper Mid-Market Segment'!AL$82,'Premium Segment'!AL$82)</f>
        <v>6.0254247835497825</v>
      </c>
      <c r="AM113" s="542">
        <f>SUM('Value Segment'!AM48,'Mid-Market Segment'!AM48,'Upper Mid-Market Segment'!AM48,'Premium Segment'!AM48)/SUM('Value Segment'!AM$82,'Mid-Market Segment'!AM$82,'Upper Mid-Market Segment'!AM$82,'Premium Segment'!AM$82)</f>
        <v>6.0254247835497825</v>
      </c>
      <c r="AN113" s="542">
        <f>SUM('Value Segment'!AN48,'Mid-Market Segment'!AN48,'Upper Mid-Market Segment'!AN48,'Premium Segment'!AN48)/SUM('Value Segment'!AN$82,'Mid-Market Segment'!AN$82,'Upper Mid-Market Segment'!AN$82,'Premium Segment'!AN$82)</f>
        <v>6.0254247835497825</v>
      </c>
      <c r="AO113" s="542">
        <f>SUM('Value Segment'!AO48,'Mid-Market Segment'!AO48,'Upper Mid-Market Segment'!AO48,'Premium Segment'!AO48)/SUM('Value Segment'!AO$82,'Mid-Market Segment'!AO$82,'Upper Mid-Market Segment'!AO$82,'Premium Segment'!AO$82)</f>
        <v>6.0254247835497825</v>
      </c>
      <c r="AP113" s="542">
        <f>SUM('Value Segment'!AP48,'Mid-Market Segment'!AP48,'Upper Mid-Market Segment'!AP48,'Premium Segment'!AP48)/SUM('Value Segment'!AP$82,'Mid-Market Segment'!AP$82,'Upper Mid-Market Segment'!AP$82,'Premium Segment'!AP$82)</f>
        <v>6.0254247835497825</v>
      </c>
      <c r="AQ113" s="542">
        <f>SUM('Value Segment'!AQ48,'Mid-Market Segment'!AQ48,'Upper Mid-Market Segment'!AQ48,'Premium Segment'!AQ48)/SUM('Value Segment'!AQ$82,'Mid-Market Segment'!AQ$82,'Upper Mid-Market Segment'!AQ$82,'Premium Segment'!AQ$82)</f>
        <v>6.0254247835497825</v>
      </c>
      <c r="AR113" s="542">
        <f>SUM('Value Segment'!AR48,'Mid-Market Segment'!AR48,'Upper Mid-Market Segment'!AR48,'Premium Segment'!AR48)/SUM('Value Segment'!AR$82,'Mid-Market Segment'!AR$82,'Upper Mid-Market Segment'!AR$82,'Premium Segment'!AR$82)</f>
        <v>6.0254247835497825</v>
      </c>
      <c r="AS113" s="542">
        <f>SUM('Value Segment'!AS48,'Mid-Market Segment'!AS48,'Upper Mid-Market Segment'!AS48,'Premium Segment'!AS48)/SUM('Value Segment'!AS$82,'Mid-Market Segment'!AS$82,'Upper Mid-Market Segment'!AS$82,'Premium Segment'!AS$82)</f>
        <v>6.0254247835497825</v>
      </c>
      <c r="AT113" s="542">
        <f>SUM('Value Segment'!AT48,'Mid-Market Segment'!AT48,'Upper Mid-Market Segment'!AT48,'Premium Segment'!AT48)/SUM('Value Segment'!AT$82,'Mid-Market Segment'!AT$82,'Upper Mid-Market Segment'!AT$82,'Premium Segment'!AT$82)</f>
        <v>6.0254247835497825</v>
      </c>
      <c r="AU113" s="542">
        <f>SUM('Value Segment'!AU48,'Mid-Market Segment'!AU48,'Upper Mid-Market Segment'!AU48,'Premium Segment'!AU48)/SUM('Value Segment'!AU$82,'Mid-Market Segment'!AU$82,'Upper Mid-Market Segment'!AU$82,'Premium Segment'!AU$82)</f>
        <v>6.0254247835497825</v>
      </c>
      <c r="AV113" s="542">
        <f>SUM('Value Segment'!AV48,'Mid-Market Segment'!AV48,'Upper Mid-Market Segment'!AV48,'Premium Segment'!AV48)/SUM('Value Segment'!AV$82,'Mid-Market Segment'!AV$82,'Upper Mid-Market Segment'!AV$82,'Premium Segment'!AV$82)</f>
        <v>6.0254247835497825</v>
      </c>
      <c r="AW113" s="542">
        <f>SUM('Value Segment'!AW48,'Mid-Market Segment'!AW48,'Upper Mid-Market Segment'!AW48,'Premium Segment'!AW48)/SUM('Value Segment'!AW$82,'Mid-Market Segment'!AW$82,'Upper Mid-Market Segment'!AW$82,'Premium Segment'!AW$82)</f>
        <v>6.0254247835497825</v>
      </c>
      <c r="AX113" s="542">
        <f>SUM('Value Segment'!AX48,'Mid-Market Segment'!AX48,'Upper Mid-Market Segment'!AX48,'Premium Segment'!AX48)/SUM('Value Segment'!AX$82,'Mid-Market Segment'!AX$82,'Upper Mid-Market Segment'!AX$82,'Premium Segment'!AX$82)</f>
        <v>6.0254247835497825</v>
      </c>
      <c r="AY113" s="542">
        <f>SUM('Value Segment'!AY48,'Mid-Market Segment'!AY48,'Upper Mid-Market Segment'!AY48,'Premium Segment'!AY48)/SUM('Value Segment'!AY$82,'Mid-Market Segment'!AY$82,'Upper Mid-Market Segment'!AY$82,'Premium Segment'!AY$82)</f>
        <v>6.0254247835497825</v>
      </c>
      <c r="AZ113" s="542">
        <f>SUM('Value Segment'!AZ48,'Mid-Market Segment'!AZ48,'Upper Mid-Market Segment'!AZ48,'Premium Segment'!AZ48)/SUM('Value Segment'!AZ$82,'Mid-Market Segment'!AZ$82,'Upper Mid-Market Segment'!AZ$82,'Premium Segment'!AZ$82)</f>
        <v>6.0254247835497825</v>
      </c>
      <c r="BA113" s="542">
        <f>SUM('Value Segment'!BA48,'Mid-Market Segment'!BA48,'Upper Mid-Market Segment'!BA48,'Premium Segment'!BA48)/SUM('Value Segment'!BA$82,'Mid-Market Segment'!BA$82,'Upper Mid-Market Segment'!BA$82,'Premium Segment'!BA$82)</f>
        <v>6.0254247835497825</v>
      </c>
      <c r="BB113" s="542">
        <f>SUM('Value Segment'!BB48,'Mid-Market Segment'!BB48,'Upper Mid-Market Segment'!BB48,'Premium Segment'!BB48)/SUM('Value Segment'!BB$82,'Mid-Market Segment'!BB$82,'Upper Mid-Market Segment'!BB$82,'Premium Segment'!BB$82)</f>
        <v>6.0254247835497825</v>
      </c>
      <c r="BC113" s="542">
        <f>SUM('Value Segment'!BC48,'Mid-Market Segment'!BC48,'Upper Mid-Market Segment'!BC48,'Premium Segment'!BC48)/SUM('Value Segment'!BC$82,'Mid-Market Segment'!BC$82,'Upper Mid-Market Segment'!BC$82,'Premium Segment'!BC$82)</f>
        <v>6.0254247835497825</v>
      </c>
      <c r="BD113" s="542">
        <f>SUM('Value Segment'!BD48,'Mid-Market Segment'!BD48,'Upper Mid-Market Segment'!BD48,'Premium Segment'!BD48)/SUM('Value Segment'!BD$82,'Mid-Market Segment'!BD$82,'Upper Mid-Market Segment'!BD$82,'Premium Segment'!BD$82)</f>
        <v>6.0254247835497825</v>
      </c>
      <c r="BE113" s="542">
        <f>SUM('Value Segment'!BE48,'Mid-Market Segment'!BE48,'Upper Mid-Market Segment'!BE48,'Premium Segment'!BE48)/SUM('Value Segment'!BE$82,'Mid-Market Segment'!BE$82,'Upper Mid-Market Segment'!BE$82,'Premium Segment'!BE$82)</f>
        <v>6.0254247835497825</v>
      </c>
      <c r="BF113" s="542">
        <f>SUM('Value Segment'!BF48,'Mid-Market Segment'!BF48,'Upper Mid-Market Segment'!BF48,'Premium Segment'!BF48)/SUM('Value Segment'!BF$82,'Mid-Market Segment'!BF$82,'Upper Mid-Market Segment'!BF$82,'Premium Segment'!BF$82)</f>
        <v>6.0254247835497825</v>
      </c>
      <c r="BG113" s="542">
        <f>SUM('Value Segment'!BG48,'Mid-Market Segment'!BG48,'Upper Mid-Market Segment'!BG48,'Premium Segment'!BG48)/SUM('Value Segment'!BG$82,'Mid-Market Segment'!BG$82,'Upper Mid-Market Segment'!BG$82,'Premium Segment'!BG$82)</f>
        <v>6.0254247835497825</v>
      </c>
      <c r="BH113" s="542">
        <f>SUM('Value Segment'!BH48,'Mid-Market Segment'!BH48,'Upper Mid-Market Segment'!BH48,'Premium Segment'!BH48)/SUM('Value Segment'!BH$82,'Mid-Market Segment'!BH$82,'Upper Mid-Market Segment'!BH$82,'Premium Segment'!BH$82)</f>
        <v>6.0254247835497825</v>
      </c>
      <c r="BI113" s="542">
        <f>SUM('Value Segment'!BI48,'Mid-Market Segment'!BI48,'Upper Mid-Market Segment'!BI48,'Premium Segment'!BI48)/SUM('Value Segment'!BI$82,'Mid-Market Segment'!BI$82,'Upper Mid-Market Segment'!BI$82,'Premium Segment'!BI$82)</f>
        <v>6.0254247835497825</v>
      </c>
      <c r="BJ113" s="542">
        <f>SUM('Value Segment'!BJ48,'Mid-Market Segment'!BJ48,'Upper Mid-Market Segment'!BJ48,'Premium Segment'!BJ48)/SUM('Value Segment'!BJ$82,'Mid-Market Segment'!BJ$82,'Upper Mid-Market Segment'!BJ$82,'Premium Segment'!BJ$82)</f>
        <v>6.0254247835497825</v>
      </c>
      <c r="BK113" s="542">
        <f>SUM('Value Segment'!BK48,'Mid-Market Segment'!BK48,'Upper Mid-Market Segment'!BK48,'Premium Segment'!BK48)/SUM('Value Segment'!BK$82,'Mid-Market Segment'!BK$82,'Upper Mid-Market Segment'!BK$82,'Premium Segment'!BK$82)</f>
        <v>6.0254247835497825</v>
      </c>
      <c r="BL113" s="542">
        <f>SUM('Value Segment'!BL48,'Mid-Market Segment'!BL48,'Upper Mid-Market Segment'!BL48,'Premium Segment'!BL48)/SUM('Value Segment'!BL$82,'Mid-Market Segment'!BL$82,'Upper Mid-Market Segment'!BL$82,'Premium Segment'!BL$82)</f>
        <v>6.0254247835497825</v>
      </c>
      <c r="BM113" s="542">
        <f>SUM('Value Segment'!BM48,'Mid-Market Segment'!BM48,'Upper Mid-Market Segment'!BM48,'Premium Segment'!BM48)/SUM('Value Segment'!BM$82,'Mid-Market Segment'!BM$82,'Upper Mid-Market Segment'!BM$82,'Premium Segment'!BM$82)</f>
        <v>6.0254247835497825</v>
      </c>
      <c r="BN113" s="542">
        <f>SUM('Value Segment'!BN48,'Mid-Market Segment'!BN48,'Upper Mid-Market Segment'!BN48,'Premium Segment'!BN48)/SUM('Value Segment'!BN$82,'Mid-Market Segment'!BN$82,'Upper Mid-Market Segment'!BN$82,'Premium Segment'!BN$82)</f>
        <v>6.0254247835497825</v>
      </c>
      <c r="BO113" s="542">
        <f>SUM('Value Segment'!BO48,'Mid-Market Segment'!BO48,'Upper Mid-Market Segment'!BO48,'Premium Segment'!BO48)/SUM('Value Segment'!BO$82,'Mid-Market Segment'!BO$82,'Upper Mid-Market Segment'!BO$82,'Premium Segment'!BO$82)</f>
        <v>6.0254247835497825</v>
      </c>
      <c r="BP113" s="542">
        <f>SUM('Value Segment'!BP48,'Mid-Market Segment'!BP48,'Upper Mid-Market Segment'!BP48,'Premium Segment'!BP48)/SUM('Value Segment'!BP$82,'Mid-Market Segment'!BP$82,'Upper Mid-Market Segment'!BP$82,'Premium Segment'!BP$82)</f>
        <v>6.0254247835497825</v>
      </c>
      <c r="BQ113" s="542">
        <f>SUM('Value Segment'!BQ48,'Mid-Market Segment'!BQ48,'Upper Mid-Market Segment'!BQ48,'Premium Segment'!BQ48)/SUM('Value Segment'!BQ$82,'Mid-Market Segment'!BQ$82,'Upper Mid-Market Segment'!BQ$82,'Premium Segment'!BQ$82)</f>
        <v>6.0254247835497825</v>
      </c>
      <c r="BR113" s="542">
        <f>SUM('Value Segment'!BR48,'Mid-Market Segment'!BR48,'Upper Mid-Market Segment'!BR48,'Premium Segment'!BR48)/SUM('Value Segment'!BR$82,'Mid-Market Segment'!BR$82,'Upper Mid-Market Segment'!BR$82,'Premium Segment'!BR$82)</f>
        <v>6.0254247835497825</v>
      </c>
      <c r="BS113" s="542">
        <f>SUM('Value Segment'!BS48,'Mid-Market Segment'!BS48,'Upper Mid-Market Segment'!BS48,'Premium Segment'!BS48)/SUM('Value Segment'!BS$82,'Mid-Market Segment'!BS$82,'Upper Mid-Market Segment'!BS$82,'Premium Segment'!BS$82)</f>
        <v>6.0254247835497825</v>
      </c>
      <c r="BT113" s="542">
        <f>SUM('Value Segment'!BT48,'Mid-Market Segment'!BT48,'Upper Mid-Market Segment'!BT48,'Premium Segment'!BT48)/SUM('Value Segment'!BT$82,'Mid-Market Segment'!BT$82,'Upper Mid-Market Segment'!BT$82,'Premium Segment'!BT$82)</f>
        <v>6.0254247835497825</v>
      </c>
      <c r="BU113" s="542">
        <f>SUM('Value Segment'!BU48,'Mid-Market Segment'!BU48,'Upper Mid-Market Segment'!BU48,'Premium Segment'!BU48)/SUM('Value Segment'!BU$82,'Mid-Market Segment'!BU$82,'Upper Mid-Market Segment'!BU$82,'Premium Segment'!BU$82)</f>
        <v>6.0254247835497825</v>
      </c>
      <c r="BV113" s="542">
        <f>SUM('Value Segment'!BV48,'Mid-Market Segment'!BV48,'Upper Mid-Market Segment'!BV48,'Premium Segment'!BV48)/SUM('Value Segment'!BV$82,'Mid-Market Segment'!BV$82,'Upper Mid-Market Segment'!BV$82,'Premium Segment'!BV$82)</f>
        <v>6.0254247835497825</v>
      </c>
      <c r="BW113" s="542">
        <f>SUM('Value Segment'!BW48,'Mid-Market Segment'!BW48,'Upper Mid-Market Segment'!BW48,'Premium Segment'!BW48)/SUM('Value Segment'!BW$82,'Mid-Market Segment'!BW$82,'Upper Mid-Market Segment'!BW$82,'Premium Segment'!BW$82)</f>
        <v>6.0254247835497825</v>
      </c>
      <c r="BX113" s="542">
        <f>SUM('Value Segment'!BX48,'Mid-Market Segment'!BX48,'Upper Mid-Market Segment'!BX48,'Premium Segment'!BX48)/SUM('Value Segment'!BX$82,'Mid-Market Segment'!BX$82,'Upper Mid-Market Segment'!BX$82,'Premium Segment'!BX$82)</f>
        <v>6.0254247835497825</v>
      </c>
      <c r="BY113" s="542">
        <f>SUM('Value Segment'!BY48,'Mid-Market Segment'!BY48,'Upper Mid-Market Segment'!BY48,'Premium Segment'!BY48)/SUM('Value Segment'!BY$82,'Mid-Market Segment'!BY$82,'Upper Mid-Market Segment'!BY$82,'Premium Segment'!BY$82)</f>
        <v>6.0254247835497825</v>
      </c>
      <c r="CB113" s="8"/>
    </row>
    <row r="114" spans="3:80" x14ac:dyDescent="0.3">
      <c r="C114" s="2"/>
      <c r="D114" s="2"/>
      <c r="E114" s="2" t="s">
        <v>29</v>
      </c>
      <c r="F114" s="54"/>
      <c r="G114" s="54"/>
      <c r="H114" s="54"/>
      <c r="I114" s="19">
        <f>SUM('Value Segment'!I49,'Mid-Market Segment'!I49,'Upper Mid-Market Segment'!I49,'Premium Segment'!I49)/SUM('Value Segment'!I$82,'Mid-Market Segment'!I$82,'Upper Mid-Market Segment'!I$82,'Premium Segment'!I$82)</f>
        <v>2085.6228984163754</v>
      </c>
      <c r="J114" s="19">
        <f>SUM('Value Segment'!J49,'Mid-Market Segment'!J49,'Upper Mid-Market Segment'!J49,'Premium Segment'!J49)/SUM('Value Segment'!J$82,'Mid-Market Segment'!J$82,'Upper Mid-Market Segment'!J$82,'Premium Segment'!J$82)</f>
        <v>2085.6228984163754</v>
      </c>
      <c r="K114" s="19">
        <f>SUM('Value Segment'!K49,'Mid-Market Segment'!K49,'Upper Mid-Market Segment'!K49,'Premium Segment'!K49)/SUM('Value Segment'!K$82,'Mid-Market Segment'!K$82,'Upper Mid-Market Segment'!K$82,'Premium Segment'!K$82)</f>
        <v>2085.6228984163754</v>
      </c>
      <c r="L114" s="19">
        <f>SUM('Value Segment'!L49,'Mid-Market Segment'!L49,'Upper Mid-Market Segment'!L49,'Premium Segment'!L49)/SUM('Value Segment'!L$82,'Mid-Market Segment'!L$82,'Upper Mid-Market Segment'!L$82,'Premium Segment'!L$82)</f>
        <v>2085.6228984163754</v>
      </c>
      <c r="M114" s="19">
        <f>SUM('Value Segment'!M49,'Mid-Market Segment'!M49,'Upper Mid-Market Segment'!M49,'Premium Segment'!M49)/SUM('Value Segment'!M$82,'Mid-Market Segment'!M$82,'Upper Mid-Market Segment'!M$82,'Premium Segment'!M$82)</f>
        <v>2085.6228984163754</v>
      </c>
      <c r="N114" s="19">
        <f>SUM('Value Segment'!N49,'Mid-Market Segment'!N49,'Upper Mid-Market Segment'!N49,'Premium Segment'!N49)/SUM('Value Segment'!N$82,'Mid-Market Segment'!N$82,'Upper Mid-Market Segment'!N$82,'Premium Segment'!N$82)</f>
        <v>2085.6228984163754</v>
      </c>
      <c r="O114" s="37"/>
      <c r="P114" s="50">
        <f>IFERROR(((N114/I114)^(1/5))-1,0)</f>
        <v>0</v>
      </c>
      <c r="R114" s="19">
        <f>SUM('Value Segment'!R49,'Mid-Market Segment'!R49,'Upper Mid-Market Segment'!R49,'Premium Segment'!R49)/SUM('Value Segment'!R$82,'Mid-Market Segment'!R$82,'Upper Mid-Market Segment'!R$82,'Premium Segment'!R$82)</f>
        <v>173.8019082013646</v>
      </c>
      <c r="S114" s="542">
        <f>SUM('Value Segment'!S49,'Mid-Market Segment'!S49,'Upper Mid-Market Segment'!S49,'Premium Segment'!S49)/SUM('Value Segment'!S$82,'Mid-Market Segment'!S$82,'Upper Mid-Market Segment'!S$82,'Premium Segment'!S$82)</f>
        <v>173.8019082013646</v>
      </c>
      <c r="T114" s="542">
        <f>SUM('Value Segment'!T49,'Mid-Market Segment'!T49,'Upper Mid-Market Segment'!T49,'Premium Segment'!T49)/SUM('Value Segment'!T$82,'Mid-Market Segment'!T$82,'Upper Mid-Market Segment'!T$82,'Premium Segment'!T$82)</f>
        <v>173.8019082013646</v>
      </c>
      <c r="U114" s="542">
        <f>SUM('Value Segment'!U49,'Mid-Market Segment'!U49,'Upper Mid-Market Segment'!U49,'Premium Segment'!U49)/SUM('Value Segment'!U$82,'Mid-Market Segment'!U$82,'Upper Mid-Market Segment'!U$82,'Premium Segment'!U$82)</f>
        <v>173.8019082013646</v>
      </c>
      <c r="V114" s="542">
        <f>SUM('Value Segment'!V49,'Mid-Market Segment'!V49,'Upper Mid-Market Segment'!V49,'Premium Segment'!V49)/SUM('Value Segment'!V$82,'Mid-Market Segment'!V$82,'Upper Mid-Market Segment'!V$82,'Premium Segment'!V$82)</f>
        <v>173.8019082013646</v>
      </c>
      <c r="W114" s="542">
        <f>SUM('Value Segment'!W49,'Mid-Market Segment'!W49,'Upper Mid-Market Segment'!W49,'Premium Segment'!W49)/SUM('Value Segment'!W$82,'Mid-Market Segment'!W$82,'Upper Mid-Market Segment'!W$82,'Premium Segment'!W$82)</f>
        <v>173.8019082013646</v>
      </c>
      <c r="X114" s="542">
        <f>SUM('Value Segment'!X49,'Mid-Market Segment'!X49,'Upper Mid-Market Segment'!X49,'Premium Segment'!X49)/SUM('Value Segment'!X$82,'Mid-Market Segment'!X$82,'Upper Mid-Market Segment'!X$82,'Premium Segment'!X$82)</f>
        <v>173.8019082013646</v>
      </c>
      <c r="Y114" s="542">
        <f>SUM('Value Segment'!Y49,'Mid-Market Segment'!Y49,'Upper Mid-Market Segment'!Y49,'Premium Segment'!Y49)/SUM('Value Segment'!Y$82,'Mid-Market Segment'!Y$82,'Upper Mid-Market Segment'!Y$82,'Premium Segment'!Y$82)</f>
        <v>173.8019082013646</v>
      </c>
      <c r="Z114" s="542">
        <f>SUM('Value Segment'!Z49,'Mid-Market Segment'!Z49,'Upper Mid-Market Segment'!Z49,'Premium Segment'!Z49)/SUM('Value Segment'!Z$82,'Mid-Market Segment'!Z$82,'Upper Mid-Market Segment'!Z$82,'Premium Segment'!Z$82)</f>
        <v>173.8019082013646</v>
      </c>
      <c r="AA114" s="542">
        <f>SUM('Value Segment'!AA49,'Mid-Market Segment'!AA49,'Upper Mid-Market Segment'!AA49,'Premium Segment'!AA49)/SUM('Value Segment'!AA$82,'Mid-Market Segment'!AA$82,'Upper Mid-Market Segment'!AA$82,'Premium Segment'!AA$82)</f>
        <v>173.8019082013646</v>
      </c>
      <c r="AB114" s="542">
        <f>SUM('Value Segment'!AB49,'Mid-Market Segment'!AB49,'Upper Mid-Market Segment'!AB49,'Premium Segment'!AB49)/SUM('Value Segment'!AB$82,'Mid-Market Segment'!AB$82,'Upper Mid-Market Segment'!AB$82,'Premium Segment'!AB$82)</f>
        <v>173.8019082013646</v>
      </c>
      <c r="AC114" s="542">
        <f>SUM('Value Segment'!AC49,'Mid-Market Segment'!AC49,'Upper Mid-Market Segment'!AC49,'Premium Segment'!AC49)/SUM('Value Segment'!AC$82,'Mid-Market Segment'!AC$82,'Upper Mid-Market Segment'!AC$82,'Premium Segment'!AC$82)</f>
        <v>173.8019082013646</v>
      </c>
      <c r="AD114" s="542">
        <f>SUM('Value Segment'!AD49,'Mid-Market Segment'!AD49,'Upper Mid-Market Segment'!AD49,'Premium Segment'!AD49)/SUM('Value Segment'!AD$82,'Mid-Market Segment'!AD$82,'Upper Mid-Market Segment'!AD$82,'Premium Segment'!AD$82)</f>
        <v>173.8019082013646</v>
      </c>
      <c r="AE114" s="542">
        <f>SUM('Value Segment'!AE49,'Mid-Market Segment'!AE49,'Upper Mid-Market Segment'!AE49,'Premium Segment'!AE49)/SUM('Value Segment'!AE$82,'Mid-Market Segment'!AE$82,'Upper Mid-Market Segment'!AE$82,'Premium Segment'!AE$82)</f>
        <v>173.8019082013646</v>
      </c>
      <c r="AF114" s="542">
        <f>SUM('Value Segment'!AF49,'Mid-Market Segment'!AF49,'Upper Mid-Market Segment'!AF49,'Premium Segment'!AF49)/SUM('Value Segment'!AF$82,'Mid-Market Segment'!AF$82,'Upper Mid-Market Segment'!AF$82,'Premium Segment'!AF$82)</f>
        <v>173.8019082013646</v>
      </c>
      <c r="AG114" s="542">
        <f>SUM('Value Segment'!AG49,'Mid-Market Segment'!AG49,'Upper Mid-Market Segment'!AG49,'Premium Segment'!AG49)/SUM('Value Segment'!AG$82,'Mid-Market Segment'!AG$82,'Upper Mid-Market Segment'!AG$82,'Premium Segment'!AG$82)</f>
        <v>173.8019082013646</v>
      </c>
      <c r="AH114" s="542">
        <f>SUM('Value Segment'!AH49,'Mid-Market Segment'!AH49,'Upper Mid-Market Segment'!AH49,'Premium Segment'!AH49)/SUM('Value Segment'!AH$82,'Mid-Market Segment'!AH$82,'Upper Mid-Market Segment'!AH$82,'Premium Segment'!AH$82)</f>
        <v>173.8019082013646</v>
      </c>
      <c r="AI114" s="542">
        <f>SUM('Value Segment'!AI49,'Mid-Market Segment'!AI49,'Upper Mid-Market Segment'!AI49,'Premium Segment'!AI49)/SUM('Value Segment'!AI$82,'Mid-Market Segment'!AI$82,'Upper Mid-Market Segment'!AI$82,'Premium Segment'!AI$82)</f>
        <v>173.8019082013646</v>
      </c>
      <c r="AJ114" s="542">
        <f>SUM('Value Segment'!AJ49,'Mid-Market Segment'!AJ49,'Upper Mid-Market Segment'!AJ49,'Premium Segment'!AJ49)/SUM('Value Segment'!AJ$82,'Mid-Market Segment'!AJ$82,'Upper Mid-Market Segment'!AJ$82,'Premium Segment'!AJ$82)</f>
        <v>173.8019082013646</v>
      </c>
      <c r="AK114" s="542">
        <f>SUM('Value Segment'!AK49,'Mid-Market Segment'!AK49,'Upper Mid-Market Segment'!AK49,'Premium Segment'!AK49)/SUM('Value Segment'!AK$82,'Mid-Market Segment'!AK$82,'Upper Mid-Market Segment'!AK$82,'Premium Segment'!AK$82)</f>
        <v>173.8019082013646</v>
      </c>
      <c r="AL114" s="542">
        <f>SUM('Value Segment'!AL49,'Mid-Market Segment'!AL49,'Upper Mid-Market Segment'!AL49,'Premium Segment'!AL49)/SUM('Value Segment'!AL$82,'Mid-Market Segment'!AL$82,'Upper Mid-Market Segment'!AL$82,'Premium Segment'!AL$82)</f>
        <v>173.8019082013646</v>
      </c>
      <c r="AM114" s="542">
        <f>SUM('Value Segment'!AM49,'Mid-Market Segment'!AM49,'Upper Mid-Market Segment'!AM49,'Premium Segment'!AM49)/SUM('Value Segment'!AM$82,'Mid-Market Segment'!AM$82,'Upper Mid-Market Segment'!AM$82,'Premium Segment'!AM$82)</f>
        <v>173.8019082013646</v>
      </c>
      <c r="AN114" s="542">
        <f>SUM('Value Segment'!AN49,'Mid-Market Segment'!AN49,'Upper Mid-Market Segment'!AN49,'Premium Segment'!AN49)/SUM('Value Segment'!AN$82,'Mid-Market Segment'!AN$82,'Upper Mid-Market Segment'!AN$82,'Premium Segment'!AN$82)</f>
        <v>173.8019082013646</v>
      </c>
      <c r="AO114" s="542">
        <f>SUM('Value Segment'!AO49,'Mid-Market Segment'!AO49,'Upper Mid-Market Segment'!AO49,'Premium Segment'!AO49)/SUM('Value Segment'!AO$82,'Mid-Market Segment'!AO$82,'Upper Mid-Market Segment'!AO$82,'Premium Segment'!AO$82)</f>
        <v>173.8019082013646</v>
      </c>
      <c r="AP114" s="542">
        <f>SUM('Value Segment'!AP49,'Mid-Market Segment'!AP49,'Upper Mid-Market Segment'!AP49,'Premium Segment'!AP49)/SUM('Value Segment'!AP$82,'Mid-Market Segment'!AP$82,'Upper Mid-Market Segment'!AP$82,'Premium Segment'!AP$82)</f>
        <v>173.8019082013646</v>
      </c>
      <c r="AQ114" s="542">
        <f>SUM('Value Segment'!AQ49,'Mid-Market Segment'!AQ49,'Upper Mid-Market Segment'!AQ49,'Premium Segment'!AQ49)/SUM('Value Segment'!AQ$82,'Mid-Market Segment'!AQ$82,'Upper Mid-Market Segment'!AQ$82,'Premium Segment'!AQ$82)</f>
        <v>173.8019082013646</v>
      </c>
      <c r="AR114" s="542">
        <f>SUM('Value Segment'!AR49,'Mid-Market Segment'!AR49,'Upper Mid-Market Segment'!AR49,'Premium Segment'!AR49)/SUM('Value Segment'!AR$82,'Mid-Market Segment'!AR$82,'Upper Mid-Market Segment'!AR$82,'Premium Segment'!AR$82)</f>
        <v>173.8019082013646</v>
      </c>
      <c r="AS114" s="542">
        <f>SUM('Value Segment'!AS49,'Mid-Market Segment'!AS49,'Upper Mid-Market Segment'!AS49,'Premium Segment'!AS49)/SUM('Value Segment'!AS$82,'Mid-Market Segment'!AS$82,'Upper Mid-Market Segment'!AS$82,'Premium Segment'!AS$82)</f>
        <v>173.8019082013646</v>
      </c>
      <c r="AT114" s="542">
        <f>SUM('Value Segment'!AT49,'Mid-Market Segment'!AT49,'Upper Mid-Market Segment'!AT49,'Premium Segment'!AT49)/SUM('Value Segment'!AT$82,'Mid-Market Segment'!AT$82,'Upper Mid-Market Segment'!AT$82,'Premium Segment'!AT$82)</f>
        <v>173.8019082013646</v>
      </c>
      <c r="AU114" s="542">
        <f>SUM('Value Segment'!AU49,'Mid-Market Segment'!AU49,'Upper Mid-Market Segment'!AU49,'Premium Segment'!AU49)/SUM('Value Segment'!AU$82,'Mid-Market Segment'!AU$82,'Upper Mid-Market Segment'!AU$82,'Premium Segment'!AU$82)</f>
        <v>173.8019082013646</v>
      </c>
      <c r="AV114" s="542">
        <f>SUM('Value Segment'!AV49,'Mid-Market Segment'!AV49,'Upper Mid-Market Segment'!AV49,'Premium Segment'!AV49)/SUM('Value Segment'!AV$82,'Mid-Market Segment'!AV$82,'Upper Mid-Market Segment'!AV$82,'Premium Segment'!AV$82)</f>
        <v>173.8019082013646</v>
      </c>
      <c r="AW114" s="542">
        <f>SUM('Value Segment'!AW49,'Mid-Market Segment'!AW49,'Upper Mid-Market Segment'!AW49,'Premium Segment'!AW49)/SUM('Value Segment'!AW$82,'Mid-Market Segment'!AW$82,'Upper Mid-Market Segment'!AW$82,'Premium Segment'!AW$82)</f>
        <v>173.8019082013646</v>
      </c>
      <c r="AX114" s="542">
        <f>SUM('Value Segment'!AX49,'Mid-Market Segment'!AX49,'Upper Mid-Market Segment'!AX49,'Premium Segment'!AX49)/SUM('Value Segment'!AX$82,'Mid-Market Segment'!AX$82,'Upper Mid-Market Segment'!AX$82,'Premium Segment'!AX$82)</f>
        <v>173.8019082013646</v>
      </c>
      <c r="AY114" s="542">
        <f>SUM('Value Segment'!AY49,'Mid-Market Segment'!AY49,'Upper Mid-Market Segment'!AY49,'Premium Segment'!AY49)/SUM('Value Segment'!AY$82,'Mid-Market Segment'!AY$82,'Upper Mid-Market Segment'!AY$82,'Premium Segment'!AY$82)</f>
        <v>173.8019082013646</v>
      </c>
      <c r="AZ114" s="542">
        <f>SUM('Value Segment'!AZ49,'Mid-Market Segment'!AZ49,'Upper Mid-Market Segment'!AZ49,'Premium Segment'!AZ49)/SUM('Value Segment'!AZ$82,'Mid-Market Segment'!AZ$82,'Upper Mid-Market Segment'!AZ$82,'Premium Segment'!AZ$82)</f>
        <v>173.8019082013646</v>
      </c>
      <c r="BA114" s="542">
        <f>SUM('Value Segment'!BA49,'Mid-Market Segment'!BA49,'Upper Mid-Market Segment'!BA49,'Premium Segment'!BA49)/SUM('Value Segment'!BA$82,'Mid-Market Segment'!BA$82,'Upper Mid-Market Segment'!BA$82,'Premium Segment'!BA$82)</f>
        <v>173.8019082013646</v>
      </c>
      <c r="BB114" s="542">
        <f>SUM('Value Segment'!BB49,'Mid-Market Segment'!BB49,'Upper Mid-Market Segment'!BB49,'Premium Segment'!BB49)/SUM('Value Segment'!BB$82,'Mid-Market Segment'!BB$82,'Upper Mid-Market Segment'!BB$82,'Premium Segment'!BB$82)</f>
        <v>173.8019082013646</v>
      </c>
      <c r="BC114" s="542">
        <f>SUM('Value Segment'!BC49,'Mid-Market Segment'!BC49,'Upper Mid-Market Segment'!BC49,'Premium Segment'!BC49)/SUM('Value Segment'!BC$82,'Mid-Market Segment'!BC$82,'Upper Mid-Market Segment'!BC$82,'Premium Segment'!BC$82)</f>
        <v>173.8019082013646</v>
      </c>
      <c r="BD114" s="542">
        <f>SUM('Value Segment'!BD49,'Mid-Market Segment'!BD49,'Upper Mid-Market Segment'!BD49,'Premium Segment'!BD49)/SUM('Value Segment'!BD$82,'Mid-Market Segment'!BD$82,'Upper Mid-Market Segment'!BD$82,'Premium Segment'!BD$82)</f>
        <v>173.8019082013646</v>
      </c>
      <c r="BE114" s="542">
        <f>SUM('Value Segment'!BE49,'Mid-Market Segment'!BE49,'Upper Mid-Market Segment'!BE49,'Premium Segment'!BE49)/SUM('Value Segment'!BE$82,'Mid-Market Segment'!BE$82,'Upper Mid-Market Segment'!BE$82,'Premium Segment'!BE$82)</f>
        <v>173.8019082013646</v>
      </c>
      <c r="BF114" s="542">
        <f>SUM('Value Segment'!BF49,'Mid-Market Segment'!BF49,'Upper Mid-Market Segment'!BF49,'Premium Segment'!BF49)/SUM('Value Segment'!BF$82,'Mid-Market Segment'!BF$82,'Upper Mid-Market Segment'!BF$82,'Premium Segment'!BF$82)</f>
        <v>173.8019082013646</v>
      </c>
      <c r="BG114" s="542">
        <f>SUM('Value Segment'!BG49,'Mid-Market Segment'!BG49,'Upper Mid-Market Segment'!BG49,'Premium Segment'!BG49)/SUM('Value Segment'!BG$82,'Mid-Market Segment'!BG$82,'Upper Mid-Market Segment'!BG$82,'Premium Segment'!BG$82)</f>
        <v>173.8019082013646</v>
      </c>
      <c r="BH114" s="542">
        <f>SUM('Value Segment'!BH49,'Mid-Market Segment'!BH49,'Upper Mid-Market Segment'!BH49,'Premium Segment'!BH49)/SUM('Value Segment'!BH$82,'Mid-Market Segment'!BH$82,'Upper Mid-Market Segment'!BH$82,'Premium Segment'!BH$82)</f>
        <v>173.8019082013646</v>
      </c>
      <c r="BI114" s="542">
        <f>SUM('Value Segment'!BI49,'Mid-Market Segment'!BI49,'Upper Mid-Market Segment'!BI49,'Premium Segment'!BI49)/SUM('Value Segment'!BI$82,'Mid-Market Segment'!BI$82,'Upper Mid-Market Segment'!BI$82,'Premium Segment'!BI$82)</f>
        <v>173.8019082013646</v>
      </c>
      <c r="BJ114" s="542">
        <f>SUM('Value Segment'!BJ49,'Mid-Market Segment'!BJ49,'Upper Mid-Market Segment'!BJ49,'Premium Segment'!BJ49)/SUM('Value Segment'!BJ$82,'Mid-Market Segment'!BJ$82,'Upper Mid-Market Segment'!BJ$82,'Premium Segment'!BJ$82)</f>
        <v>173.8019082013646</v>
      </c>
      <c r="BK114" s="542">
        <f>SUM('Value Segment'!BK49,'Mid-Market Segment'!BK49,'Upper Mid-Market Segment'!BK49,'Premium Segment'!BK49)/SUM('Value Segment'!BK$82,'Mid-Market Segment'!BK$82,'Upper Mid-Market Segment'!BK$82,'Premium Segment'!BK$82)</f>
        <v>173.8019082013646</v>
      </c>
      <c r="BL114" s="542">
        <f>SUM('Value Segment'!BL49,'Mid-Market Segment'!BL49,'Upper Mid-Market Segment'!BL49,'Premium Segment'!BL49)/SUM('Value Segment'!BL$82,'Mid-Market Segment'!BL$82,'Upper Mid-Market Segment'!BL$82,'Premium Segment'!BL$82)</f>
        <v>173.8019082013646</v>
      </c>
      <c r="BM114" s="542">
        <f>SUM('Value Segment'!BM49,'Mid-Market Segment'!BM49,'Upper Mid-Market Segment'!BM49,'Premium Segment'!BM49)/SUM('Value Segment'!BM$82,'Mid-Market Segment'!BM$82,'Upper Mid-Market Segment'!BM$82,'Premium Segment'!BM$82)</f>
        <v>173.8019082013646</v>
      </c>
      <c r="BN114" s="542">
        <f>SUM('Value Segment'!BN49,'Mid-Market Segment'!BN49,'Upper Mid-Market Segment'!BN49,'Premium Segment'!BN49)/SUM('Value Segment'!BN$82,'Mid-Market Segment'!BN$82,'Upper Mid-Market Segment'!BN$82,'Premium Segment'!BN$82)</f>
        <v>173.8019082013646</v>
      </c>
      <c r="BO114" s="542">
        <f>SUM('Value Segment'!BO49,'Mid-Market Segment'!BO49,'Upper Mid-Market Segment'!BO49,'Premium Segment'!BO49)/SUM('Value Segment'!BO$82,'Mid-Market Segment'!BO$82,'Upper Mid-Market Segment'!BO$82,'Premium Segment'!BO$82)</f>
        <v>173.8019082013646</v>
      </c>
      <c r="BP114" s="542">
        <f>SUM('Value Segment'!BP49,'Mid-Market Segment'!BP49,'Upper Mid-Market Segment'!BP49,'Premium Segment'!BP49)/SUM('Value Segment'!BP$82,'Mid-Market Segment'!BP$82,'Upper Mid-Market Segment'!BP$82,'Premium Segment'!BP$82)</f>
        <v>173.8019082013646</v>
      </c>
      <c r="BQ114" s="542">
        <f>SUM('Value Segment'!BQ49,'Mid-Market Segment'!BQ49,'Upper Mid-Market Segment'!BQ49,'Premium Segment'!BQ49)/SUM('Value Segment'!BQ$82,'Mid-Market Segment'!BQ$82,'Upper Mid-Market Segment'!BQ$82,'Premium Segment'!BQ$82)</f>
        <v>173.8019082013646</v>
      </c>
      <c r="BR114" s="542">
        <f>SUM('Value Segment'!BR49,'Mid-Market Segment'!BR49,'Upper Mid-Market Segment'!BR49,'Premium Segment'!BR49)/SUM('Value Segment'!BR$82,'Mid-Market Segment'!BR$82,'Upper Mid-Market Segment'!BR$82,'Premium Segment'!BR$82)</f>
        <v>173.8019082013646</v>
      </c>
      <c r="BS114" s="542">
        <f>SUM('Value Segment'!BS49,'Mid-Market Segment'!BS49,'Upper Mid-Market Segment'!BS49,'Premium Segment'!BS49)/SUM('Value Segment'!BS$82,'Mid-Market Segment'!BS$82,'Upper Mid-Market Segment'!BS$82,'Premium Segment'!BS$82)</f>
        <v>173.8019082013646</v>
      </c>
      <c r="BT114" s="542">
        <f>SUM('Value Segment'!BT49,'Mid-Market Segment'!BT49,'Upper Mid-Market Segment'!BT49,'Premium Segment'!BT49)/SUM('Value Segment'!BT$82,'Mid-Market Segment'!BT$82,'Upper Mid-Market Segment'!BT$82,'Premium Segment'!BT$82)</f>
        <v>173.8019082013646</v>
      </c>
      <c r="BU114" s="542">
        <f>SUM('Value Segment'!BU49,'Mid-Market Segment'!BU49,'Upper Mid-Market Segment'!BU49,'Premium Segment'!BU49)/SUM('Value Segment'!BU$82,'Mid-Market Segment'!BU$82,'Upper Mid-Market Segment'!BU$82,'Premium Segment'!BU$82)</f>
        <v>173.8019082013646</v>
      </c>
      <c r="BV114" s="542">
        <f>SUM('Value Segment'!BV49,'Mid-Market Segment'!BV49,'Upper Mid-Market Segment'!BV49,'Premium Segment'!BV49)/SUM('Value Segment'!BV$82,'Mid-Market Segment'!BV$82,'Upper Mid-Market Segment'!BV$82,'Premium Segment'!BV$82)</f>
        <v>173.8019082013646</v>
      </c>
      <c r="BW114" s="542">
        <f>SUM('Value Segment'!BW49,'Mid-Market Segment'!BW49,'Upper Mid-Market Segment'!BW49,'Premium Segment'!BW49)/SUM('Value Segment'!BW$82,'Mid-Market Segment'!BW$82,'Upper Mid-Market Segment'!BW$82,'Premium Segment'!BW$82)</f>
        <v>173.8019082013646</v>
      </c>
      <c r="BX114" s="542">
        <f>SUM('Value Segment'!BX49,'Mid-Market Segment'!BX49,'Upper Mid-Market Segment'!BX49,'Premium Segment'!BX49)/SUM('Value Segment'!BX$82,'Mid-Market Segment'!BX$82,'Upper Mid-Market Segment'!BX$82,'Premium Segment'!BX$82)</f>
        <v>173.8019082013646</v>
      </c>
      <c r="BY114" s="542">
        <f>SUM('Value Segment'!BY49,'Mid-Market Segment'!BY49,'Upper Mid-Market Segment'!BY49,'Premium Segment'!BY49)/SUM('Value Segment'!BY$82,'Mid-Market Segment'!BY$82,'Upper Mid-Market Segment'!BY$82,'Premium Segment'!BY$82)</f>
        <v>173.8019082013646</v>
      </c>
      <c r="CB114" s="8"/>
    </row>
    <row r="115" spans="3:80" x14ac:dyDescent="0.3">
      <c r="C115" s="2"/>
      <c r="D115" s="2"/>
      <c r="E115" s="2" t="s">
        <v>30</v>
      </c>
      <c r="F115" s="54"/>
      <c r="G115" s="54"/>
      <c r="H115" s="54"/>
      <c r="I115" s="19">
        <f>SUM('Value Segment'!I50,'Mid-Market Segment'!I50,'Upper Mid-Market Segment'!I50,'Premium Segment'!I50)/SUM('Value Segment'!I$82,'Mid-Market Segment'!I$82,'Upper Mid-Market Segment'!I$82,'Premium Segment'!I$82)</f>
        <v>1339.9623376623376</v>
      </c>
      <c r="J115" s="19">
        <f>SUM('Value Segment'!J50,'Mid-Market Segment'!J50,'Upper Mid-Market Segment'!J50,'Premium Segment'!J50)/SUM('Value Segment'!J$82,'Mid-Market Segment'!J$82,'Upper Mid-Market Segment'!J$82,'Premium Segment'!J$82)</f>
        <v>1339.9623376623376</v>
      </c>
      <c r="K115" s="19">
        <f>SUM('Value Segment'!K50,'Mid-Market Segment'!K50,'Upper Mid-Market Segment'!K50,'Premium Segment'!K50)/SUM('Value Segment'!K$82,'Mid-Market Segment'!K$82,'Upper Mid-Market Segment'!K$82,'Premium Segment'!K$82)</f>
        <v>1339.9623376623376</v>
      </c>
      <c r="L115" s="19">
        <f>SUM('Value Segment'!L50,'Mid-Market Segment'!L50,'Upper Mid-Market Segment'!L50,'Premium Segment'!L50)/SUM('Value Segment'!L$82,'Mid-Market Segment'!L$82,'Upper Mid-Market Segment'!L$82,'Premium Segment'!L$82)</f>
        <v>1339.9623376623376</v>
      </c>
      <c r="M115" s="19">
        <f>SUM('Value Segment'!M50,'Mid-Market Segment'!M50,'Upper Mid-Market Segment'!M50,'Premium Segment'!M50)/SUM('Value Segment'!M$82,'Mid-Market Segment'!M$82,'Upper Mid-Market Segment'!M$82,'Premium Segment'!M$82)</f>
        <v>1339.9623376623376</v>
      </c>
      <c r="N115" s="19">
        <f>SUM('Value Segment'!N50,'Mid-Market Segment'!N50,'Upper Mid-Market Segment'!N50,'Premium Segment'!N50)/SUM('Value Segment'!N$82,'Mid-Market Segment'!N$82,'Upper Mid-Market Segment'!N$82,'Premium Segment'!N$82)</f>
        <v>1339.9623376623376</v>
      </c>
      <c r="O115" s="37"/>
      <c r="P115" s="50">
        <f>IFERROR(((N115/I115)^(1/5))-1,0)</f>
        <v>0</v>
      </c>
      <c r="R115" s="19">
        <f>SUM('Value Segment'!R50,'Mid-Market Segment'!R50,'Upper Mid-Market Segment'!R50,'Premium Segment'!R50)/SUM('Value Segment'!R$82,'Mid-Market Segment'!R$82,'Upper Mid-Market Segment'!R$82,'Premium Segment'!R$82)</f>
        <v>111.66352813852815</v>
      </c>
      <c r="S115" s="542">
        <f>SUM('Value Segment'!S50,'Mid-Market Segment'!S50,'Upper Mid-Market Segment'!S50,'Premium Segment'!S50)/SUM('Value Segment'!S$82,'Mid-Market Segment'!S$82,'Upper Mid-Market Segment'!S$82,'Premium Segment'!S$82)</f>
        <v>111.66352813852815</v>
      </c>
      <c r="T115" s="542">
        <f>SUM('Value Segment'!T50,'Mid-Market Segment'!T50,'Upper Mid-Market Segment'!T50,'Premium Segment'!T50)/SUM('Value Segment'!T$82,'Mid-Market Segment'!T$82,'Upper Mid-Market Segment'!T$82,'Premium Segment'!T$82)</f>
        <v>111.66352813852815</v>
      </c>
      <c r="U115" s="542">
        <f>SUM('Value Segment'!U50,'Mid-Market Segment'!U50,'Upper Mid-Market Segment'!U50,'Premium Segment'!U50)/SUM('Value Segment'!U$82,'Mid-Market Segment'!U$82,'Upper Mid-Market Segment'!U$82,'Premium Segment'!U$82)</f>
        <v>111.66352813852815</v>
      </c>
      <c r="V115" s="542">
        <f>SUM('Value Segment'!V50,'Mid-Market Segment'!V50,'Upper Mid-Market Segment'!V50,'Premium Segment'!V50)/SUM('Value Segment'!V$82,'Mid-Market Segment'!V$82,'Upper Mid-Market Segment'!V$82,'Premium Segment'!V$82)</f>
        <v>111.66352813852815</v>
      </c>
      <c r="W115" s="542">
        <f>SUM('Value Segment'!W50,'Mid-Market Segment'!W50,'Upper Mid-Market Segment'!W50,'Premium Segment'!W50)/SUM('Value Segment'!W$82,'Mid-Market Segment'!W$82,'Upper Mid-Market Segment'!W$82,'Premium Segment'!W$82)</f>
        <v>111.66352813852815</v>
      </c>
      <c r="X115" s="542">
        <f>SUM('Value Segment'!X50,'Mid-Market Segment'!X50,'Upper Mid-Market Segment'!X50,'Premium Segment'!X50)/SUM('Value Segment'!X$82,'Mid-Market Segment'!X$82,'Upper Mid-Market Segment'!X$82,'Premium Segment'!X$82)</f>
        <v>111.66352813852815</v>
      </c>
      <c r="Y115" s="542">
        <f>SUM('Value Segment'!Y50,'Mid-Market Segment'!Y50,'Upper Mid-Market Segment'!Y50,'Premium Segment'!Y50)/SUM('Value Segment'!Y$82,'Mid-Market Segment'!Y$82,'Upper Mid-Market Segment'!Y$82,'Premium Segment'!Y$82)</f>
        <v>111.66352813852815</v>
      </c>
      <c r="Z115" s="542">
        <f>SUM('Value Segment'!Z50,'Mid-Market Segment'!Z50,'Upper Mid-Market Segment'!Z50,'Premium Segment'!Z50)/SUM('Value Segment'!Z$82,'Mid-Market Segment'!Z$82,'Upper Mid-Market Segment'!Z$82,'Premium Segment'!Z$82)</f>
        <v>111.66352813852815</v>
      </c>
      <c r="AA115" s="542">
        <f>SUM('Value Segment'!AA50,'Mid-Market Segment'!AA50,'Upper Mid-Market Segment'!AA50,'Premium Segment'!AA50)/SUM('Value Segment'!AA$82,'Mid-Market Segment'!AA$82,'Upper Mid-Market Segment'!AA$82,'Premium Segment'!AA$82)</f>
        <v>111.66352813852815</v>
      </c>
      <c r="AB115" s="542">
        <f>SUM('Value Segment'!AB50,'Mid-Market Segment'!AB50,'Upper Mid-Market Segment'!AB50,'Premium Segment'!AB50)/SUM('Value Segment'!AB$82,'Mid-Market Segment'!AB$82,'Upper Mid-Market Segment'!AB$82,'Premium Segment'!AB$82)</f>
        <v>111.66352813852815</v>
      </c>
      <c r="AC115" s="542">
        <f>SUM('Value Segment'!AC50,'Mid-Market Segment'!AC50,'Upper Mid-Market Segment'!AC50,'Premium Segment'!AC50)/SUM('Value Segment'!AC$82,'Mid-Market Segment'!AC$82,'Upper Mid-Market Segment'!AC$82,'Premium Segment'!AC$82)</f>
        <v>111.66352813852815</v>
      </c>
      <c r="AD115" s="542">
        <f>SUM('Value Segment'!AD50,'Mid-Market Segment'!AD50,'Upper Mid-Market Segment'!AD50,'Premium Segment'!AD50)/SUM('Value Segment'!AD$82,'Mid-Market Segment'!AD$82,'Upper Mid-Market Segment'!AD$82,'Premium Segment'!AD$82)</f>
        <v>111.66352813852815</v>
      </c>
      <c r="AE115" s="542">
        <f>SUM('Value Segment'!AE50,'Mid-Market Segment'!AE50,'Upper Mid-Market Segment'!AE50,'Premium Segment'!AE50)/SUM('Value Segment'!AE$82,'Mid-Market Segment'!AE$82,'Upper Mid-Market Segment'!AE$82,'Premium Segment'!AE$82)</f>
        <v>111.66352813852815</v>
      </c>
      <c r="AF115" s="542">
        <f>SUM('Value Segment'!AF50,'Mid-Market Segment'!AF50,'Upper Mid-Market Segment'!AF50,'Premium Segment'!AF50)/SUM('Value Segment'!AF$82,'Mid-Market Segment'!AF$82,'Upper Mid-Market Segment'!AF$82,'Premium Segment'!AF$82)</f>
        <v>111.66352813852815</v>
      </c>
      <c r="AG115" s="542">
        <f>SUM('Value Segment'!AG50,'Mid-Market Segment'!AG50,'Upper Mid-Market Segment'!AG50,'Premium Segment'!AG50)/SUM('Value Segment'!AG$82,'Mid-Market Segment'!AG$82,'Upper Mid-Market Segment'!AG$82,'Premium Segment'!AG$82)</f>
        <v>111.66352813852815</v>
      </c>
      <c r="AH115" s="542">
        <f>SUM('Value Segment'!AH50,'Mid-Market Segment'!AH50,'Upper Mid-Market Segment'!AH50,'Premium Segment'!AH50)/SUM('Value Segment'!AH$82,'Mid-Market Segment'!AH$82,'Upper Mid-Market Segment'!AH$82,'Premium Segment'!AH$82)</f>
        <v>111.66352813852815</v>
      </c>
      <c r="AI115" s="542">
        <f>SUM('Value Segment'!AI50,'Mid-Market Segment'!AI50,'Upper Mid-Market Segment'!AI50,'Premium Segment'!AI50)/SUM('Value Segment'!AI$82,'Mid-Market Segment'!AI$82,'Upper Mid-Market Segment'!AI$82,'Premium Segment'!AI$82)</f>
        <v>111.66352813852815</v>
      </c>
      <c r="AJ115" s="542">
        <f>SUM('Value Segment'!AJ50,'Mid-Market Segment'!AJ50,'Upper Mid-Market Segment'!AJ50,'Premium Segment'!AJ50)/SUM('Value Segment'!AJ$82,'Mid-Market Segment'!AJ$82,'Upper Mid-Market Segment'!AJ$82,'Premium Segment'!AJ$82)</f>
        <v>111.66352813852815</v>
      </c>
      <c r="AK115" s="542">
        <f>SUM('Value Segment'!AK50,'Mid-Market Segment'!AK50,'Upper Mid-Market Segment'!AK50,'Premium Segment'!AK50)/SUM('Value Segment'!AK$82,'Mid-Market Segment'!AK$82,'Upper Mid-Market Segment'!AK$82,'Premium Segment'!AK$82)</f>
        <v>111.66352813852815</v>
      </c>
      <c r="AL115" s="542">
        <f>SUM('Value Segment'!AL50,'Mid-Market Segment'!AL50,'Upper Mid-Market Segment'!AL50,'Premium Segment'!AL50)/SUM('Value Segment'!AL$82,'Mid-Market Segment'!AL$82,'Upper Mid-Market Segment'!AL$82,'Premium Segment'!AL$82)</f>
        <v>111.66352813852815</v>
      </c>
      <c r="AM115" s="542">
        <f>SUM('Value Segment'!AM50,'Mid-Market Segment'!AM50,'Upper Mid-Market Segment'!AM50,'Premium Segment'!AM50)/SUM('Value Segment'!AM$82,'Mid-Market Segment'!AM$82,'Upper Mid-Market Segment'!AM$82,'Premium Segment'!AM$82)</f>
        <v>111.66352813852815</v>
      </c>
      <c r="AN115" s="542">
        <f>SUM('Value Segment'!AN50,'Mid-Market Segment'!AN50,'Upper Mid-Market Segment'!AN50,'Premium Segment'!AN50)/SUM('Value Segment'!AN$82,'Mid-Market Segment'!AN$82,'Upper Mid-Market Segment'!AN$82,'Premium Segment'!AN$82)</f>
        <v>111.66352813852815</v>
      </c>
      <c r="AO115" s="542">
        <f>SUM('Value Segment'!AO50,'Mid-Market Segment'!AO50,'Upper Mid-Market Segment'!AO50,'Premium Segment'!AO50)/SUM('Value Segment'!AO$82,'Mid-Market Segment'!AO$82,'Upper Mid-Market Segment'!AO$82,'Premium Segment'!AO$82)</f>
        <v>111.66352813852815</v>
      </c>
      <c r="AP115" s="542">
        <f>SUM('Value Segment'!AP50,'Mid-Market Segment'!AP50,'Upper Mid-Market Segment'!AP50,'Premium Segment'!AP50)/SUM('Value Segment'!AP$82,'Mid-Market Segment'!AP$82,'Upper Mid-Market Segment'!AP$82,'Premium Segment'!AP$82)</f>
        <v>111.66352813852815</v>
      </c>
      <c r="AQ115" s="542">
        <f>SUM('Value Segment'!AQ50,'Mid-Market Segment'!AQ50,'Upper Mid-Market Segment'!AQ50,'Premium Segment'!AQ50)/SUM('Value Segment'!AQ$82,'Mid-Market Segment'!AQ$82,'Upper Mid-Market Segment'!AQ$82,'Premium Segment'!AQ$82)</f>
        <v>111.66352813852815</v>
      </c>
      <c r="AR115" s="542">
        <f>SUM('Value Segment'!AR50,'Mid-Market Segment'!AR50,'Upper Mid-Market Segment'!AR50,'Premium Segment'!AR50)/SUM('Value Segment'!AR$82,'Mid-Market Segment'!AR$82,'Upper Mid-Market Segment'!AR$82,'Premium Segment'!AR$82)</f>
        <v>111.66352813852815</v>
      </c>
      <c r="AS115" s="542">
        <f>SUM('Value Segment'!AS50,'Mid-Market Segment'!AS50,'Upper Mid-Market Segment'!AS50,'Premium Segment'!AS50)/SUM('Value Segment'!AS$82,'Mid-Market Segment'!AS$82,'Upper Mid-Market Segment'!AS$82,'Premium Segment'!AS$82)</f>
        <v>111.66352813852815</v>
      </c>
      <c r="AT115" s="542">
        <f>SUM('Value Segment'!AT50,'Mid-Market Segment'!AT50,'Upper Mid-Market Segment'!AT50,'Premium Segment'!AT50)/SUM('Value Segment'!AT$82,'Mid-Market Segment'!AT$82,'Upper Mid-Market Segment'!AT$82,'Premium Segment'!AT$82)</f>
        <v>111.66352813852815</v>
      </c>
      <c r="AU115" s="542">
        <f>SUM('Value Segment'!AU50,'Mid-Market Segment'!AU50,'Upper Mid-Market Segment'!AU50,'Premium Segment'!AU50)/SUM('Value Segment'!AU$82,'Mid-Market Segment'!AU$82,'Upper Mid-Market Segment'!AU$82,'Premium Segment'!AU$82)</f>
        <v>111.66352813852815</v>
      </c>
      <c r="AV115" s="542">
        <f>SUM('Value Segment'!AV50,'Mid-Market Segment'!AV50,'Upper Mid-Market Segment'!AV50,'Premium Segment'!AV50)/SUM('Value Segment'!AV$82,'Mid-Market Segment'!AV$82,'Upper Mid-Market Segment'!AV$82,'Premium Segment'!AV$82)</f>
        <v>111.66352813852815</v>
      </c>
      <c r="AW115" s="542">
        <f>SUM('Value Segment'!AW50,'Mid-Market Segment'!AW50,'Upper Mid-Market Segment'!AW50,'Premium Segment'!AW50)/SUM('Value Segment'!AW$82,'Mid-Market Segment'!AW$82,'Upper Mid-Market Segment'!AW$82,'Premium Segment'!AW$82)</f>
        <v>111.66352813852815</v>
      </c>
      <c r="AX115" s="542">
        <f>SUM('Value Segment'!AX50,'Mid-Market Segment'!AX50,'Upper Mid-Market Segment'!AX50,'Premium Segment'!AX50)/SUM('Value Segment'!AX$82,'Mid-Market Segment'!AX$82,'Upper Mid-Market Segment'!AX$82,'Premium Segment'!AX$82)</f>
        <v>111.66352813852815</v>
      </c>
      <c r="AY115" s="542">
        <f>SUM('Value Segment'!AY50,'Mid-Market Segment'!AY50,'Upper Mid-Market Segment'!AY50,'Premium Segment'!AY50)/SUM('Value Segment'!AY$82,'Mid-Market Segment'!AY$82,'Upper Mid-Market Segment'!AY$82,'Premium Segment'!AY$82)</f>
        <v>111.66352813852815</v>
      </c>
      <c r="AZ115" s="542">
        <f>SUM('Value Segment'!AZ50,'Mid-Market Segment'!AZ50,'Upper Mid-Market Segment'!AZ50,'Premium Segment'!AZ50)/SUM('Value Segment'!AZ$82,'Mid-Market Segment'!AZ$82,'Upper Mid-Market Segment'!AZ$82,'Premium Segment'!AZ$82)</f>
        <v>111.66352813852815</v>
      </c>
      <c r="BA115" s="542">
        <f>SUM('Value Segment'!BA50,'Mid-Market Segment'!BA50,'Upper Mid-Market Segment'!BA50,'Premium Segment'!BA50)/SUM('Value Segment'!BA$82,'Mid-Market Segment'!BA$82,'Upper Mid-Market Segment'!BA$82,'Premium Segment'!BA$82)</f>
        <v>111.66352813852815</v>
      </c>
      <c r="BB115" s="542">
        <f>SUM('Value Segment'!BB50,'Mid-Market Segment'!BB50,'Upper Mid-Market Segment'!BB50,'Premium Segment'!BB50)/SUM('Value Segment'!BB$82,'Mid-Market Segment'!BB$82,'Upper Mid-Market Segment'!BB$82,'Premium Segment'!BB$82)</f>
        <v>111.66352813852815</v>
      </c>
      <c r="BC115" s="542">
        <f>SUM('Value Segment'!BC50,'Mid-Market Segment'!BC50,'Upper Mid-Market Segment'!BC50,'Premium Segment'!BC50)/SUM('Value Segment'!BC$82,'Mid-Market Segment'!BC$82,'Upper Mid-Market Segment'!BC$82,'Premium Segment'!BC$82)</f>
        <v>111.66352813852815</v>
      </c>
      <c r="BD115" s="542">
        <f>SUM('Value Segment'!BD50,'Mid-Market Segment'!BD50,'Upper Mid-Market Segment'!BD50,'Premium Segment'!BD50)/SUM('Value Segment'!BD$82,'Mid-Market Segment'!BD$82,'Upper Mid-Market Segment'!BD$82,'Premium Segment'!BD$82)</f>
        <v>111.66352813852815</v>
      </c>
      <c r="BE115" s="542">
        <f>SUM('Value Segment'!BE50,'Mid-Market Segment'!BE50,'Upper Mid-Market Segment'!BE50,'Premium Segment'!BE50)/SUM('Value Segment'!BE$82,'Mid-Market Segment'!BE$82,'Upper Mid-Market Segment'!BE$82,'Premium Segment'!BE$82)</f>
        <v>111.66352813852815</v>
      </c>
      <c r="BF115" s="542">
        <f>SUM('Value Segment'!BF50,'Mid-Market Segment'!BF50,'Upper Mid-Market Segment'!BF50,'Premium Segment'!BF50)/SUM('Value Segment'!BF$82,'Mid-Market Segment'!BF$82,'Upper Mid-Market Segment'!BF$82,'Premium Segment'!BF$82)</f>
        <v>111.66352813852815</v>
      </c>
      <c r="BG115" s="542">
        <f>SUM('Value Segment'!BG50,'Mid-Market Segment'!BG50,'Upper Mid-Market Segment'!BG50,'Premium Segment'!BG50)/SUM('Value Segment'!BG$82,'Mid-Market Segment'!BG$82,'Upper Mid-Market Segment'!BG$82,'Premium Segment'!BG$82)</f>
        <v>111.66352813852815</v>
      </c>
      <c r="BH115" s="542">
        <f>SUM('Value Segment'!BH50,'Mid-Market Segment'!BH50,'Upper Mid-Market Segment'!BH50,'Premium Segment'!BH50)/SUM('Value Segment'!BH$82,'Mid-Market Segment'!BH$82,'Upper Mid-Market Segment'!BH$82,'Premium Segment'!BH$82)</f>
        <v>111.66352813852815</v>
      </c>
      <c r="BI115" s="542">
        <f>SUM('Value Segment'!BI50,'Mid-Market Segment'!BI50,'Upper Mid-Market Segment'!BI50,'Premium Segment'!BI50)/SUM('Value Segment'!BI$82,'Mid-Market Segment'!BI$82,'Upper Mid-Market Segment'!BI$82,'Premium Segment'!BI$82)</f>
        <v>111.66352813852815</v>
      </c>
      <c r="BJ115" s="542">
        <f>SUM('Value Segment'!BJ50,'Mid-Market Segment'!BJ50,'Upper Mid-Market Segment'!BJ50,'Premium Segment'!BJ50)/SUM('Value Segment'!BJ$82,'Mid-Market Segment'!BJ$82,'Upper Mid-Market Segment'!BJ$82,'Premium Segment'!BJ$82)</f>
        <v>111.66352813852815</v>
      </c>
      <c r="BK115" s="542">
        <f>SUM('Value Segment'!BK50,'Mid-Market Segment'!BK50,'Upper Mid-Market Segment'!BK50,'Premium Segment'!BK50)/SUM('Value Segment'!BK$82,'Mid-Market Segment'!BK$82,'Upper Mid-Market Segment'!BK$82,'Premium Segment'!BK$82)</f>
        <v>111.66352813852815</v>
      </c>
      <c r="BL115" s="542">
        <f>SUM('Value Segment'!BL50,'Mid-Market Segment'!BL50,'Upper Mid-Market Segment'!BL50,'Premium Segment'!BL50)/SUM('Value Segment'!BL$82,'Mid-Market Segment'!BL$82,'Upper Mid-Market Segment'!BL$82,'Premium Segment'!BL$82)</f>
        <v>111.66352813852815</v>
      </c>
      <c r="BM115" s="542">
        <f>SUM('Value Segment'!BM50,'Mid-Market Segment'!BM50,'Upper Mid-Market Segment'!BM50,'Premium Segment'!BM50)/SUM('Value Segment'!BM$82,'Mid-Market Segment'!BM$82,'Upper Mid-Market Segment'!BM$82,'Premium Segment'!BM$82)</f>
        <v>111.66352813852815</v>
      </c>
      <c r="BN115" s="542">
        <f>SUM('Value Segment'!BN50,'Mid-Market Segment'!BN50,'Upper Mid-Market Segment'!BN50,'Premium Segment'!BN50)/SUM('Value Segment'!BN$82,'Mid-Market Segment'!BN$82,'Upper Mid-Market Segment'!BN$82,'Premium Segment'!BN$82)</f>
        <v>111.66352813852815</v>
      </c>
      <c r="BO115" s="542">
        <f>SUM('Value Segment'!BO50,'Mid-Market Segment'!BO50,'Upper Mid-Market Segment'!BO50,'Premium Segment'!BO50)/SUM('Value Segment'!BO$82,'Mid-Market Segment'!BO$82,'Upper Mid-Market Segment'!BO$82,'Premium Segment'!BO$82)</f>
        <v>111.66352813852815</v>
      </c>
      <c r="BP115" s="542">
        <f>SUM('Value Segment'!BP50,'Mid-Market Segment'!BP50,'Upper Mid-Market Segment'!BP50,'Premium Segment'!BP50)/SUM('Value Segment'!BP$82,'Mid-Market Segment'!BP$82,'Upper Mid-Market Segment'!BP$82,'Premium Segment'!BP$82)</f>
        <v>111.66352813852815</v>
      </c>
      <c r="BQ115" s="542">
        <f>SUM('Value Segment'!BQ50,'Mid-Market Segment'!BQ50,'Upper Mid-Market Segment'!BQ50,'Premium Segment'!BQ50)/SUM('Value Segment'!BQ$82,'Mid-Market Segment'!BQ$82,'Upper Mid-Market Segment'!BQ$82,'Premium Segment'!BQ$82)</f>
        <v>111.66352813852815</v>
      </c>
      <c r="BR115" s="542">
        <f>SUM('Value Segment'!BR50,'Mid-Market Segment'!BR50,'Upper Mid-Market Segment'!BR50,'Premium Segment'!BR50)/SUM('Value Segment'!BR$82,'Mid-Market Segment'!BR$82,'Upper Mid-Market Segment'!BR$82,'Premium Segment'!BR$82)</f>
        <v>111.66352813852815</v>
      </c>
      <c r="BS115" s="542">
        <f>SUM('Value Segment'!BS50,'Mid-Market Segment'!BS50,'Upper Mid-Market Segment'!BS50,'Premium Segment'!BS50)/SUM('Value Segment'!BS$82,'Mid-Market Segment'!BS$82,'Upper Mid-Market Segment'!BS$82,'Premium Segment'!BS$82)</f>
        <v>111.66352813852815</v>
      </c>
      <c r="BT115" s="542">
        <f>SUM('Value Segment'!BT50,'Mid-Market Segment'!BT50,'Upper Mid-Market Segment'!BT50,'Premium Segment'!BT50)/SUM('Value Segment'!BT$82,'Mid-Market Segment'!BT$82,'Upper Mid-Market Segment'!BT$82,'Premium Segment'!BT$82)</f>
        <v>111.66352813852815</v>
      </c>
      <c r="BU115" s="542">
        <f>SUM('Value Segment'!BU50,'Mid-Market Segment'!BU50,'Upper Mid-Market Segment'!BU50,'Premium Segment'!BU50)/SUM('Value Segment'!BU$82,'Mid-Market Segment'!BU$82,'Upper Mid-Market Segment'!BU$82,'Premium Segment'!BU$82)</f>
        <v>111.66352813852815</v>
      </c>
      <c r="BV115" s="542">
        <f>SUM('Value Segment'!BV50,'Mid-Market Segment'!BV50,'Upper Mid-Market Segment'!BV50,'Premium Segment'!BV50)/SUM('Value Segment'!BV$82,'Mid-Market Segment'!BV$82,'Upper Mid-Market Segment'!BV$82,'Premium Segment'!BV$82)</f>
        <v>111.66352813852815</v>
      </c>
      <c r="BW115" s="542">
        <f>SUM('Value Segment'!BW50,'Mid-Market Segment'!BW50,'Upper Mid-Market Segment'!BW50,'Premium Segment'!BW50)/SUM('Value Segment'!BW$82,'Mid-Market Segment'!BW$82,'Upper Mid-Market Segment'!BW$82,'Premium Segment'!BW$82)</f>
        <v>111.66352813852815</v>
      </c>
      <c r="BX115" s="542">
        <f>SUM('Value Segment'!BX50,'Mid-Market Segment'!BX50,'Upper Mid-Market Segment'!BX50,'Premium Segment'!BX50)/SUM('Value Segment'!BX$82,'Mid-Market Segment'!BX$82,'Upper Mid-Market Segment'!BX$82,'Premium Segment'!BX$82)</f>
        <v>111.66352813852815</v>
      </c>
      <c r="BY115" s="542">
        <f>SUM('Value Segment'!BY50,'Mid-Market Segment'!BY50,'Upper Mid-Market Segment'!BY50,'Premium Segment'!BY50)/SUM('Value Segment'!BY$82,'Mid-Market Segment'!BY$82,'Upper Mid-Market Segment'!BY$82,'Premium Segment'!BY$82)</f>
        <v>111.66352813852815</v>
      </c>
      <c r="CB115" s="8"/>
    </row>
    <row r="116" spans="3:80" x14ac:dyDescent="0.3">
      <c r="C116" s="2"/>
      <c r="D116" s="2"/>
      <c r="E116" s="2" t="s">
        <v>31</v>
      </c>
      <c r="F116" s="54"/>
      <c r="G116" s="54"/>
      <c r="H116" s="54"/>
      <c r="I116" s="19">
        <f>SUM('Value Segment'!I51,'Mid-Market Segment'!I51,'Upper Mid-Market Segment'!I51,'Premium Segment'!I51)/SUM('Value Segment'!I$82,'Mid-Market Segment'!I$82,'Upper Mid-Market Segment'!I$82,'Premium Segment'!I$82)</f>
        <v>3095.0694929991928</v>
      </c>
      <c r="J116" s="19">
        <f>SUM('Value Segment'!J51,'Mid-Market Segment'!J51,'Upper Mid-Market Segment'!J51,'Premium Segment'!J51)/SUM('Value Segment'!J$82,'Mid-Market Segment'!J$82,'Upper Mid-Market Segment'!J$82,'Premium Segment'!J$82)</f>
        <v>3095.0694929991923</v>
      </c>
      <c r="K116" s="19">
        <f>SUM('Value Segment'!K51,'Mid-Market Segment'!K51,'Upper Mid-Market Segment'!K51,'Premium Segment'!K51)/SUM('Value Segment'!K$82,'Mid-Market Segment'!K$82,'Upper Mid-Market Segment'!K$82,'Premium Segment'!K$82)</f>
        <v>3095.0694929991923</v>
      </c>
      <c r="L116" s="19">
        <f>SUM('Value Segment'!L51,'Mid-Market Segment'!L51,'Upper Mid-Market Segment'!L51,'Premium Segment'!L51)/SUM('Value Segment'!L$82,'Mid-Market Segment'!L$82,'Upper Mid-Market Segment'!L$82,'Premium Segment'!L$82)</f>
        <v>3095.0694929991923</v>
      </c>
      <c r="M116" s="19">
        <f>SUM('Value Segment'!M51,'Mid-Market Segment'!M51,'Upper Mid-Market Segment'!M51,'Premium Segment'!M51)/SUM('Value Segment'!M$82,'Mid-Market Segment'!M$82,'Upper Mid-Market Segment'!M$82,'Premium Segment'!M$82)</f>
        <v>3095.0694929991923</v>
      </c>
      <c r="N116" s="19">
        <f>SUM('Value Segment'!N51,'Mid-Market Segment'!N51,'Upper Mid-Market Segment'!N51,'Premium Segment'!N51)/SUM('Value Segment'!N$82,'Mid-Market Segment'!N$82,'Upper Mid-Market Segment'!N$82,'Premium Segment'!N$82)</f>
        <v>3095.0694929991923</v>
      </c>
      <c r="O116" s="37"/>
      <c r="P116" s="50">
        <f>IFERROR(((N116/I116)^(1/5))-1,0)</f>
        <v>0</v>
      </c>
      <c r="R116" s="19">
        <f>SUM('Value Segment'!R51,'Mid-Market Segment'!R51,'Upper Mid-Market Segment'!R51,'Premium Segment'!R51)/SUM('Value Segment'!R$82,'Mid-Market Segment'!R$82,'Upper Mid-Market Segment'!R$82,'Premium Segment'!R$82)</f>
        <v>257.92245774993273</v>
      </c>
      <c r="S116" s="542">
        <f>SUM('Value Segment'!S51,'Mid-Market Segment'!S51,'Upper Mid-Market Segment'!S51,'Premium Segment'!S51)/SUM('Value Segment'!S$82,'Mid-Market Segment'!S$82,'Upper Mid-Market Segment'!S$82,'Premium Segment'!S$82)</f>
        <v>257.92245774993273</v>
      </c>
      <c r="T116" s="542">
        <f>SUM('Value Segment'!T51,'Mid-Market Segment'!T51,'Upper Mid-Market Segment'!T51,'Premium Segment'!T51)/SUM('Value Segment'!T$82,'Mid-Market Segment'!T$82,'Upper Mid-Market Segment'!T$82,'Premium Segment'!T$82)</f>
        <v>257.92245774993273</v>
      </c>
      <c r="U116" s="542">
        <f>SUM('Value Segment'!U51,'Mid-Market Segment'!U51,'Upper Mid-Market Segment'!U51,'Premium Segment'!U51)/SUM('Value Segment'!U$82,'Mid-Market Segment'!U$82,'Upper Mid-Market Segment'!U$82,'Premium Segment'!U$82)</f>
        <v>257.92245774993273</v>
      </c>
      <c r="V116" s="542">
        <f>SUM('Value Segment'!V51,'Mid-Market Segment'!V51,'Upper Mid-Market Segment'!V51,'Premium Segment'!V51)/SUM('Value Segment'!V$82,'Mid-Market Segment'!V$82,'Upper Mid-Market Segment'!V$82,'Premium Segment'!V$82)</f>
        <v>257.92245774993273</v>
      </c>
      <c r="W116" s="542">
        <f>SUM('Value Segment'!W51,'Mid-Market Segment'!W51,'Upper Mid-Market Segment'!W51,'Premium Segment'!W51)/SUM('Value Segment'!W$82,'Mid-Market Segment'!W$82,'Upper Mid-Market Segment'!W$82,'Premium Segment'!W$82)</f>
        <v>257.92245774993273</v>
      </c>
      <c r="X116" s="542">
        <f>SUM('Value Segment'!X51,'Mid-Market Segment'!X51,'Upper Mid-Market Segment'!X51,'Premium Segment'!X51)/SUM('Value Segment'!X$82,'Mid-Market Segment'!X$82,'Upper Mid-Market Segment'!X$82,'Premium Segment'!X$82)</f>
        <v>257.92245774993273</v>
      </c>
      <c r="Y116" s="542">
        <f>SUM('Value Segment'!Y51,'Mid-Market Segment'!Y51,'Upper Mid-Market Segment'!Y51,'Premium Segment'!Y51)/SUM('Value Segment'!Y$82,'Mid-Market Segment'!Y$82,'Upper Mid-Market Segment'!Y$82,'Premium Segment'!Y$82)</f>
        <v>257.92245774993273</v>
      </c>
      <c r="Z116" s="542">
        <f>SUM('Value Segment'!Z51,'Mid-Market Segment'!Z51,'Upper Mid-Market Segment'!Z51,'Premium Segment'!Z51)/SUM('Value Segment'!Z$82,'Mid-Market Segment'!Z$82,'Upper Mid-Market Segment'!Z$82,'Premium Segment'!Z$82)</f>
        <v>257.92245774993273</v>
      </c>
      <c r="AA116" s="542">
        <f>SUM('Value Segment'!AA51,'Mid-Market Segment'!AA51,'Upper Mid-Market Segment'!AA51,'Premium Segment'!AA51)/SUM('Value Segment'!AA$82,'Mid-Market Segment'!AA$82,'Upper Mid-Market Segment'!AA$82,'Premium Segment'!AA$82)</f>
        <v>257.92245774993273</v>
      </c>
      <c r="AB116" s="542">
        <f>SUM('Value Segment'!AB51,'Mid-Market Segment'!AB51,'Upper Mid-Market Segment'!AB51,'Premium Segment'!AB51)/SUM('Value Segment'!AB$82,'Mid-Market Segment'!AB$82,'Upper Mid-Market Segment'!AB$82,'Premium Segment'!AB$82)</f>
        <v>257.92245774993273</v>
      </c>
      <c r="AC116" s="542">
        <f>SUM('Value Segment'!AC51,'Mid-Market Segment'!AC51,'Upper Mid-Market Segment'!AC51,'Premium Segment'!AC51)/SUM('Value Segment'!AC$82,'Mid-Market Segment'!AC$82,'Upper Mid-Market Segment'!AC$82,'Premium Segment'!AC$82)</f>
        <v>257.92245774993273</v>
      </c>
      <c r="AD116" s="542">
        <f>SUM('Value Segment'!AD51,'Mid-Market Segment'!AD51,'Upper Mid-Market Segment'!AD51,'Premium Segment'!AD51)/SUM('Value Segment'!AD$82,'Mid-Market Segment'!AD$82,'Upper Mid-Market Segment'!AD$82,'Premium Segment'!AD$82)</f>
        <v>257.92245774993273</v>
      </c>
      <c r="AE116" s="542">
        <f>SUM('Value Segment'!AE51,'Mid-Market Segment'!AE51,'Upper Mid-Market Segment'!AE51,'Premium Segment'!AE51)/SUM('Value Segment'!AE$82,'Mid-Market Segment'!AE$82,'Upper Mid-Market Segment'!AE$82,'Premium Segment'!AE$82)</f>
        <v>257.92245774993273</v>
      </c>
      <c r="AF116" s="542">
        <f>SUM('Value Segment'!AF51,'Mid-Market Segment'!AF51,'Upper Mid-Market Segment'!AF51,'Premium Segment'!AF51)/SUM('Value Segment'!AF$82,'Mid-Market Segment'!AF$82,'Upper Mid-Market Segment'!AF$82,'Premium Segment'!AF$82)</f>
        <v>257.92245774993273</v>
      </c>
      <c r="AG116" s="542">
        <f>SUM('Value Segment'!AG51,'Mid-Market Segment'!AG51,'Upper Mid-Market Segment'!AG51,'Premium Segment'!AG51)/SUM('Value Segment'!AG$82,'Mid-Market Segment'!AG$82,'Upper Mid-Market Segment'!AG$82,'Premium Segment'!AG$82)</f>
        <v>257.92245774993273</v>
      </c>
      <c r="AH116" s="542">
        <f>SUM('Value Segment'!AH51,'Mid-Market Segment'!AH51,'Upper Mid-Market Segment'!AH51,'Premium Segment'!AH51)/SUM('Value Segment'!AH$82,'Mid-Market Segment'!AH$82,'Upper Mid-Market Segment'!AH$82,'Premium Segment'!AH$82)</f>
        <v>257.92245774993273</v>
      </c>
      <c r="AI116" s="542">
        <f>SUM('Value Segment'!AI51,'Mid-Market Segment'!AI51,'Upper Mid-Market Segment'!AI51,'Premium Segment'!AI51)/SUM('Value Segment'!AI$82,'Mid-Market Segment'!AI$82,'Upper Mid-Market Segment'!AI$82,'Premium Segment'!AI$82)</f>
        <v>257.92245774993273</v>
      </c>
      <c r="AJ116" s="542">
        <f>SUM('Value Segment'!AJ51,'Mid-Market Segment'!AJ51,'Upper Mid-Market Segment'!AJ51,'Premium Segment'!AJ51)/SUM('Value Segment'!AJ$82,'Mid-Market Segment'!AJ$82,'Upper Mid-Market Segment'!AJ$82,'Premium Segment'!AJ$82)</f>
        <v>257.92245774993273</v>
      </c>
      <c r="AK116" s="542">
        <f>SUM('Value Segment'!AK51,'Mid-Market Segment'!AK51,'Upper Mid-Market Segment'!AK51,'Premium Segment'!AK51)/SUM('Value Segment'!AK$82,'Mid-Market Segment'!AK$82,'Upper Mid-Market Segment'!AK$82,'Premium Segment'!AK$82)</f>
        <v>257.92245774993273</v>
      </c>
      <c r="AL116" s="542">
        <f>SUM('Value Segment'!AL51,'Mid-Market Segment'!AL51,'Upper Mid-Market Segment'!AL51,'Premium Segment'!AL51)/SUM('Value Segment'!AL$82,'Mid-Market Segment'!AL$82,'Upper Mid-Market Segment'!AL$82,'Premium Segment'!AL$82)</f>
        <v>257.92245774993273</v>
      </c>
      <c r="AM116" s="542">
        <f>SUM('Value Segment'!AM51,'Mid-Market Segment'!AM51,'Upper Mid-Market Segment'!AM51,'Premium Segment'!AM51)/SUM('Value Segment'!AM$82,'Mid-Market Segment'!AM$82,'Upper Mid-Market Segment'!AM$82,'Premium Segment'!AM$82)</f>
        <v>257.92245774993273</v>
      </c>
      <c r="AN116" s="542">
        <f>SUM('Value Segment'!AN51,'Mid-Market Segment'!AN51,'Upper Mid-Market Segment'!AN51,'Premium Segment'!AN51)/SUM('Value Segment'!AN$82,'Mid-Market Segment'!AN$82,'Upper Mid-Market Segment'!AN$82,'Premium Segment'!AN$82)</f>
        <v>257.92245774993273</v>
      </c>
      <c r="AO116" s="542">
        <f>SUM('Value Segment'!AO51,'Mid-Market Segment'!AO51,'Upper Mid-Market Segment'!AO51,'Premium Segment'!AO51)/SUM('Value Segment'!AO$82,'Mid-Market Segment'!AO$82,'Upper Mid-Market Segment'!AO$82,'Premium Segment'!AO$82)</f>
        <v>257.92245774993273</v>
      </c>
      <c r="AP116" s="542">
        <f>SUM('Value Segment'!AP51,'Mid-Market Segment'!AP51,'Upper Mid-Market Segment'!AP51,'Premium Segment'!AP51)/SUM('Value Segment'!AP$82,'Mid-Market Segment'!AP$82,'Upper Mid-Market Segment'!AP$82,'Premium Segment'!AP$82)</f>
        <v>257.92245774993273</v>
      </c>
      <c r="AQ116" s="542">
        <f>SUM('Value Segment'!AQ51,'Mid-Market Segment'!AQ51,'Upper Mid-Market Segment'!AQ51,'Premium Segment'!AQ51)/SUM('Value Segment'!AQ$82,'Mid-Market Segment'!AQ$82,'Upper Mid-Market Segment'!AQ$82,'Premium Segment'!AQ$82)</f>
        <v>257.92245774993273</v>
      </c>
      <c r="AR116" s="542">
        <f>SUM('Value Segment'!AR51,'Mid-Market Segment'!AR51,'Upper Mid-Market Segment'!AR51,'Premium Segment'!AR51)/SUM('Value Segment'!AR$82,'Mid-Market Segment'!AR$82,'Upper Mid-Market Segment'!AR$82,'Premium Segment'!AR$82)</f>
        <v>257.92245774993273</v>
      </c>
      <c r="AS116" s="542">
        <f>SUM('Value Segment'!AS51,'Mid-Market Segment'!AS51,'Upper Mid-Market Segment'!AS51,'Premium Segment'!AS51)/SUM('Value Segment'!AS$82,'Mid-Market Segment'!AS$82,'Upper Mid-Market Segment'!AS$82,'Premium Segment'!AS$82)</f>
        <v>257.92245774993273</v>
      </c>
      <c r="AT116" s="542">
        <f>SUM('Value Segment'!AT51,'Mid-Market Segment'!AT51,'Upper Mid-Market Segment'!AT51,'Premium Segment'!AT51)/SUM('Value Segment'!AT$82,'Mid-Market Segment'!AT$82,'Upper Mid-Market Segment'!AT$82,'Premium Segment'!AT$82)</f>
        <v>257.92245774993273</v>
      </c>
      <c r="AU116" s="542">
        <f>SUM('Value Segment'!AU51,'Mid-Market Segment'!AU51,'Upper Mid-Market Segment'!AU51,'Premium Segment'!AU51)/SUM('Value Segment'!AU$82,'Mid-Market Segment'!AU$82,'Upper Mid-Market Segment'!AU$82,'Premium Segment'!AU$82)</f>
        <v>257.92245774993273</v>
      </c>
      <c r="AV116" s="542">
        <f>SUM('Value Segment'!AV51,'Mid-Market Segment'!AV51,'Upper Mid-Market Segment'!AV51,'Premium Segment'!AV51)/SUM('Value Segment'!AV$82,'Mid-Market Segment'!AV$82,'Upper Mid-Market Segment'!AV$82,'Premium Segment'!AV$82)</f>
        <v>257.92245774993273</v>
      </c>
      <c r="AW116" s="542">
        <f>SUM('Value Segment'!AW51,'Mid-Market Segment'!AW51,'Upper Mid-Market Segment'!AW51,'Premium Segment'!AW51)/SUM('Value Segment'!AW$82,'Mid-Market Segment'!AW$82,'Upper Mid-Market Segment'!AW$82,'Premium Segment'!AW$82)</f>
        <v>257.92245774993273</v>
      </c>
      <c r="AX116" s="542">
        <f>SUM('Value Segment'!AX51,'Mid-Market Segment'!AX51,'Upper Mid-Market Segment'!AX51,'Premium Segment'!AX51)/SUM('Value Segment'!AX$82,'Mid-Market Segment'!AX$82,'Upper Mid-Market Segment'!AX$82,'Premium Segment'!AX$82)</f>
        <v>257.92245774993273</v>
      </c>
      <c r="AY116" s="542">
        <f>SUM('Value Segment'!AY51,'Mid-Market Segment'!AY51,'Upper Mid-Market Segment'!AY51,'Premium Segment'!AY51)/SUM('Value Segment'!AY$82,'Mid-Market Segment'!AY$82,'Upper Mid-Market Segment'!AY$82,'Premium Segment'!AY$82)</f>
        <v>257.92245774993273</v>
      </c>
      <c r="AZ116" s="542">
        <f>SUM('Value Segment'!AZ51,'Mid-Market Segment'!AZ51,'Upper Mid-Market Segment'!AZ51,'Premium Segment'!AZ51)/SUM('Value Segment'!AZ$82,'Mid-Market Segment'!AZ$82,'Upper Mid-Market Segment'!AZ$82,'Premium Segment'!AZ$82)</f>
        <v>257.92245774993273</v>
      </c>
      <c r="BA116" s="542">
        <f>SUM('Value Segment'!BA51,'Mid-Market Segment'!BA51,'Upper Mid-Market Segment'!BA51,'Premium Segment'!BA51)/SUM('Value Segment'!BA$82,'Mid-Market Segment'!BA$82,'Upper Mid-Market Segment'!BA$82,'Premium Segment'!BA$82)</f>
        <v>257.92245774993273</v>
      </c>
      <c r="BB116" s="542">
        <f>SUM('Value Segment'!BB51,'Mid-Market Segment'!BB51,'Upper Mid-Market Segment'!BB51,'Premium Segment'!BB51)/SUM('Value Segment'!BB$82,'Mid-Market Segment'!BB$82,'Upper Mid-Market Segment'!BB$82,'Premium Segment'!BB$82)</f>
        <v>257.92245774993273</v>
      </c>
      <c r="BC116" s="542">
        <f>SUM('Value Segment'!BC51,'Mid-Market Segment'!BC51,'Upper Mid-Market Segment'!BC51,'Premium Segment'!BC51)/SUM('Value Segment'!BC$82,'Mid-Market Segment'!BC$82,'Upper Mid-Market Segment'!BC$82,'Premium Segment'!BC$82)</f>
        <v>257.92245774993273</v>
      </c>
      <c r="BD116" s="542">
        <f>SUM('Value Segment'!BD51,'Mid-Market Segment'!BD51,'Upper Mid-Market Segment'!BD51,'Premium Segment'!BD51)/SUM('Value Segment'!BD$82,'Mid-Market Segment'!BD$82,'Upper Mid-Market Segment'!BD$82,'Premium Segment'!BD$82)</f>
        <v>257.92245774993273</v>
      </c>
      <c r="BE116" s="542">
        <f>SUM('Value Segment'!BE51,'Mid-Market Segment'!BE51,'Upper Mid-Market Segment'!BE51,'Premium Segment'!BE51)/SUM('Value Segment'!BE$82,'Mid-Market Segment'!BE$82,'Upper Mid-Market Segment'!BE$82,'Premium Segment'!BE$82)</f>
        <v>257.92245774993273</v>
      </c>
      <c r="BF116" s="542">
        <f>SUM('Value Segment'!BF51,'Mid-Market Segment'!BF51,'Upper Mid-Market Segment'!BF51,'Premium Segment'!BF51)/SUM('Value Segment'!BF$82,'Mid-Market Segment'!BF$82,'Upper Mid-Market Segment'!BF$82,'Premium Segment'!BF$82)</f>
        <v>257.92245774993273</v>
      </c>
      <c r="BG116" s="542">
        <f>SUM('Value Segment'!BG51,'Mid-Market Segment'!BG51,'Upper Mid-Market Segment'!BG51,'Premium Segment'!BG51)/SUM('Value Segment'!BG$82,'Mid-Market Segment'!BG$82,'Upper Mid-Market Segment'!BG$82,'Premium Segment'!BG$82)</f>
        <v>257.92245774993273</v>
      </c>
      <c r="BH116" s="542">
        <f>SUM('Value Segment'!BH51,'Mid-Market Segment'!BH51,'Upper Mid-Market Segment'!BH51,'Premium Segment'!BH51)/SUM('Value Segment'!BH$82,'Mid-Market Segment'!BH$82,'Upper Mid-Market Segment'!BH$82,'Premium Segment'!BH$82)</f>
        <v>257.92245774993273</v>
      </c>
      <c r="BI116" s="542">
        <f>SUM('Value Segment'!BI51,'Mid-Market Segment'!BI51,'Upper Mid-Market Segment'!BI51,'Premium Segment'!BI51)/SUM('Value Segment'!BI$82,'Mid-Market Segment'!BI$82,'Upper Mid-Market Segment'!BI$82,'Premium Segment'!BI$82)</f>
        <v>257.92245774993273</v>
      </c>
      <c r="BJ116" s="542">
        <f>SUM('Value Segment'!BJ51,'Mid-Market Segment'!BJ51,'Upper Mid-Market Segment'!BJ51,'Premium Segment'!BJ51)/SUM('Value Segment'!BJ$82,'Mid-Market Segment'!BJ$82,'Upper Mid-Market Segment'!BJ$82,'Premium Segment'!BJ$82)</f>
        <v>257.92245774993273</v>
      </c>
      <c r="BK116" s="542">
        <f>SUM('Value Segment'!BK51,'Mid-Market Segment'!BK51,'Upper Mid-Market Segment'!BK51,'Premium Segment'!BK51)/SUM('Value Segment'!BK$82,'Mid-Market Segment'!BK$82,'Upper Mid-Market Segment'!BK$82,'Premium Segment'!BK$82)</f>
        <v>257.92245774993273</v>
      </c>
      <c r="BL116" s="542">
        <f>SUM('Value Segment'!BL51,'Mid-Market Segment'!BL51,'Upper Mid-Market Segment'!BL51,'Premium Segment'!BL51)/SUM('Value Segment'!BL$82,'Mid-Market Segment'!BL$82,'Upper Mid-Market Segment'!BL$82,'Premium Segment'!BL$82)</f>
        <v>257.92245774993273</v>
      </c>
      <c r="BM116" s="542">
        <f>SUM('Value Segment'!BM51,'Mid-Market Segment'!BM51,'Upper Mid-Market Segment'!BM51,'Premium Segment'!BM51)/SUM('Value Segment'!BM$82,'Mid-Market Segment'!BM$82,'Upper Mid-Market Segment'!BM$82,'Premium Segment'!BM$82)</f>
        <v>257.92245774993273</v>
      </c>
      <c r="BN116" s="542">
        <f>SUM('Value Segment'!BN51,'Mid-Market Segment'!BN51,'Upper Mid-Market Segment'!BN51,'Premium Segment'!BN51)/SUM('Value Segment'!BN$82,'Mid-Market Segment'!BN$82,'Upper Mid-Market Segment'!BN$82,'Premium Segment'!BN$82)</f>
        <v>257.92245774993273</v>
      </c>
      <c r="BO116" s="542">
        <f>SUM('Value Segment'!BO51,'Mid-Market Segment'!BO51,'Upper Mid-Market Segment'!BO51,'Premium Segment'!BO51)/SUM('Value Segment'!BO$82,'Mid-Market Segment'!BO$82,'Upper Mid-Market Segment'!BO$82,'Premium Segment'!BO$82)</f>
        <v>257.92245774993273</v>
      </c>
      <c r="BP116" s="542">
        <f>SUM('Value Segment'!BP51,'Mid-Market Segment'!BP51,'Upper Mid-Market Segment'!BP51,'Premium Segment'!BP51)/SUM('Value Segment'!BP$82,'Mid-Market Segment'!BP$82,'Upper Mid-Market Segment'!BP$82,'Premium Segment'!BP$82)</f>
        <v>257.92245774993273</v>
      </c>
      <c r="BQ116" s="542">
        <f>SUM('Value Segment'!BQ51,'Mid-Market Segment'!BQ51,'Upper Mid-Market Segment'!BQ51,'Premium Segment'!BQ51)/SUM('Value Segment'!BQ$82,'Mid-Market Segment'!BQ$82,'Upper Mid-Market Segment'!BQ$82,'Premium Segment'!BQ$82)</f>
        <v>257.92245774993273</v>
      </c>
      <c r="BR116" s="542">
        <f>SUM('Value Segment'!BR51,'Mid-Market Segment'!BR51,'Upper Mid-Market Segment'!BR51,'Premium Segment'!BR51)/SUM('Value Segment'!BR$82,'Mid-Market Segment'!BR$82,'Upper Mid-Market Segment'!BR$82,'Premium Segment'!BR$82)</f>
        <v>257.92245774993273</v>
      </c>
      <c r="BS116" s="542">
        <f>SUM('Value Segment'!BS51,'Mid-Market Segment'!BS51,'Upper Mid-Market Segment'!BS51,'Premium Segment'!BS51)/SUM('Value Segment'!BS$82,'Mid-Market Segment'!BS$82,'Upper Mid-Market Segment'!BS$82,'Premium Segment'!BS$82)</f>
        <v>257.92245774993273</v>
      </c>
      <c r="BT116" s="542">
        <f>SUM('Value Segment'!BT51,'Mid-Market Segment'!BT51,'Upper Mid-Market Segment'!BT51,'Premium Segment'!BT51)/SUM('Value Segment'!BT$82,'Mid-Market Segment'!BT$82,'Upper Mid-Market Segment'!BT$82,'Premium Segment'!BT$82)</f>
        <v>257.92245774993273</v>
      </c>
      <c r="BU116" s="542">
        <f>SUM('Value Segment'!BU51,'Mid-Market Segment'!BU51,'Upper Mid-Market Segment'!BU51,'Premium Segment'!BU51)/SUM('Value Segment'!BU$82,'Mid-Market Segment'!BU$82,'Upper Mid-Market Segment'!BU$82,'Premium Segment'!BU$82)</f>
        <v>257.92245774993273</v>
      </c>
      <c r="BV116" s="542">
        <f>SUM('Value Segment'!BV51,'Mid-Market Segment'!BV51,'Upper Mid-Market Segment'!BV51,'Premium Segment'!BV51)/SUM('Value Segment'!BV$82,'Mid-Market Segment'!BV$82,'Upper Mid-Market Segment'!BV$82,'Premium Segment'!BV$82)</f>
        <v>257.92245774993273</v>
      </c>
      <c r="BW116" s="542">
        <f>SUM('Value Segment'!BW51,'Mid-Market Segment'!BW51,'Upper Mid-Market Segment'!BW51,'Premium Segment'!BW51)/SUM('Value Segment'!BW$82,'Mid-Market Segment'!BW$82,'Upper Mid-Market Segment'!BW$82,'Premium Segment'!BW$82)</f>
        <v>257.92245774993273</v>
      </c>
      <c r="BX116" s="542">
        <f>SUM('Value Segment'!BX51,'Mid-Market Segment'!BX51,'Upper Mid-Market Segment'!BX51,'Premium Segment'!BX51)/SUM('Value Segment'!BX$82,'Mid-Market Segment'!BX$82,'Upper Mid-Market Segment'!BX$82,'Premium Segment'!BX$82)</f>
        <v>257.92245774993273</v>
      </c>
      <c r="BY116" s="542">
        <f>SUM('Value Segment'!BY51,'Mid-Market Segment'!BY51,'Upper Mid-Market Segment'!BY51,'Premium Segment'!BY51)/SUM('Value Segment'!BY$82,'Mid-Market Segment'!BY$82,'Upper Mid-Market Segment'!BY$82,'Premium Segment'!BY$82)</f>
        <v>257.92245774993273</v>
      </c>
      <c r="CB116" s="8"/>
    </row>
    <row r="117" spans="3:80" x14ac:dyDescent="0.3">
      <c r="C117" s="2"/>
      <c r="D117" s="2"/>
      <c r="E117" s="4" t="s">
        <v>32</v>
      </c>
      <c r="F117" s="5"/>
      <c r="G117" s="5"/>
      <c r="H117" s="5"/>
      <c r="I117" s="672">
        <f>SUM('Value Segment'!I52,'Mid-Market Segment'!I52,'Upper Mid-Market Segment'!I52,'Premium Segment'!I52)/SUM('Value Segment'!I$82,'Mid-Market Segment'!I$82,'Upper Mid-Market Segment'!I$82,'Premium Segment'!I$82)</f>
        <v>6592.9598264805018</v>
      </c>
      <c r="J117" s="672">
        <f>SUM('Value Segment'!J52,'Mid-Market Segment'!J52,'Upper Mid-Market Segment'!J52,'Premium Segment'!J52)/SUM('Value Segment'!J$82,'Mid-Market Segment'!J$82,'Upper Mid-Market Segment'!J$82,'Premium Segment'!J$82)</f>
        <v>6592.9598264805009</v>
      </c>
      <c r="K117" s="672">
        <f>SUM('Value Segment'!K52,'Mid-Market Segment'!K52,'Upper Mid-Market Segment'!K52,'Premium Segment'!K52)/SUM('Value Segment'!K$82,'Mid-Market Segment'!K$82,'Upper Mid-Market Segment'!K$82,'Premium Segment'!K$82)</f>
        <v>6592.9598264805009</v>
      </c>
      <c r="L117" s="672">
        <f>SUM('Value Segment'!L52,'Mid-Market Segment'!L52,'Upper Mid-Market Segment'!L52,'Premium Segment'!L52)/SUM('Value Segment'!L$82,'Mid-Market Segment'!L$82,'Upper Mid-Market Segment'!L$82,'Premium Segment'!L$82)</f>
        <v>6592.9598264805009</v>
      </c>
      <c r="M117" s="672">
        <f>SUM('Value Segment'!M52,'Mid-Market Segment'!M52,'Upper Mid-Market Segment'!M52,'Premium Segment'!M52)/SUM('Value Segment'!M$82,'Mid-Market Segment'!M$82,'Upper Mid-Market Segment'!M$82,'Premium Segment'!M$82)</f>
        <v>6592.9598264805009</v>
      </c>
      <c r="N117" s="672">
        <f>SUM('Value Segment'!N52,'Mid-Market Segment'!N52,'Upper Mid-Market Segment'!N52,'Premium Segment'!N52)/SUM('Value Segment'!N$82,'Mid-Market Segment'!N$82,'Upper Mid-Market Segment'!N$82,'Premium Segment'!N$82)</f>
        <v>6592.9598264805009</v>
      </c>
      <c r="O117" s="57"/>
      <c r="P117" s="55">
        <f>IFERROR(((N117/I117)^(1/5))-1,0)</f>
        <v>0</v>
      </c>
      <c r="R117" s="672">
        <f>SUM('Value Segment'!R52,'Mid-Market Segment'!R52,'Upper Mid-Market Segment'!R52,'Premium Segment'!R52)/SUM('Value Segment'!R$82,'Mid-Market Segment'!R$82,'Upper Mid-Market Segment'!R$82,'Premium Segment'!R$82)</f>
        <v>549.41331887337537</v>
      </c>
      <c r="S117" s="675">
        <f>SUM('Value Segment'!S52,'Mid-Market Segment'!S52,'Upper Mid-Market Segment'!S52,'Premium Segment'!S52)/SUM('Value Segment'!S$82,'Mid-Market Segment'!S$82,'Upper Mid-Market Segment'!S$82,'Premium Segment'!S$82)</f>
        <v>549.41331887337537</v>
      </c>
      <c r="T117" s="675">
        <f>SUM('Value Segment'!T52,'Mid-Market Segment'!T52,'Upper Mid-Market Segment'!T52,'Premium Segment'!T52)/SUM('Value Segment'!T$82,'Mid-Market Segment'!T$82,'Upper Mid-Market Segment'!T$82,'Premium Segment'!T$82)</f>
        <v>549.41331887337537</v>
      </c>
      <c r="U117" s="675">
        <f>SUM('Value Segment'!U52,'Mid-Market Segment'!U52,'Upper Mid-Market Segment'!U52,'Premium Segment'!U52)/SUM('Value Segment'!U$82,'Mid-Market Segment'!U$82,'Upper Mid-Market Segment'!U$82,'Premium Segment'!U$82)</f>
        <v>549.41331887337537</v>
      </c>
      <c r="V117" s="675">
        <f>SUM('Value Segment'!V52,'Mid-Market Segment'!V52,'Upper Mid-Market Segment'!V52,'Premium Segment'!V52)/SUM('Value Segment'!V$82,'Mid-Market Segment'!V$82,'Upper Mid-Market Segment'!V$82,'Premium Segment'!V$82)</f>
        <v>549.41331887337537</v>
      </c>
      <c r="W117" s="675">
        <f>SUM('Value Segment'!W52,'Mid-Market Segment'!W52,'Upper Mid-Market Segment'!W52,'Premium Segment'!W52)/SUM('Value Segment'!W$82,'Mid-Market Segment'!W$82,'Upper Mid-Market Segment'!W$82,'Premium Segment'!W$82)</f>
        <v>549.41331887337537</v>
      </c>
      <c r="X117" s="675">
        <f>SUM('Value Segment'!X52,'Mid-Market Segment'!X52,'Upper Mid-Market Segment'!X52,'Premium Segment'!X52)/SUM('Value Segment'!X$82,'Mid-Market Segment'!X$82,'Upper Mid-Market Segment'!X$82,'Premium Segment'!X$82)</f>
        <v>549.41331887337537</v>
      </c>
      <c r="Y117" s="675">
        <f>SUM('Value Segment'!Y52,'Mid-Market Segment'!Y52,'Upper Mid-Market Segment'!Y52,'Premium Segment'!Y52)/SUM('Value Segment'!Y$82,'Mid-Market Segment'!Y$82,'Upper Mid-Market Segment'!Y$82,'Premium Segment'!Y$82)</f>
        <v>549.41331887337537</v>
      </c>
      <c r="Z117" s="675">
        <f>SUM('Value Segment'!Z52,'Mid-Market Segment'!Z52,'Upper Mid-Market Segment'!Z52,'Premium Segment'!Z52)/SUM('Value Segment'!Z$82,'Mid-Market Segment'!Z$82,'Upper Mid-Market Segment'!Z$82,'Premium Segment'!Z$82)</f>
        <v>549.41331887337537</v>
      </c>
      <c r="AA117" s="675">
        <f>SUM('Value Segment'!AA52,'Mid-Market Segment'!AA52,'Upper Mid-Market Segment'!AA52,'Premium Segment'!AA52)/SUM('Value Segment'!AA$82,'Mid-Market Segment'!AA$82,'Upper Mid-Market Segment'!AA$82,'Premium Segment'!AA$82)</f>
        <v>549.41331887337537</v>
      </c>
      <c r="AB117" s="675">
        <f>SUM('Value Segment'!AB52,'Mid-Market Segment'!AB52,'Upper Mid-Market Segment'!AB52,'Premium Segment'!AB52)/SUM('Value Segment'!AB$82,'Mid-Market Segment'!AB$82,'Upper Mid-Market Segment'!AB$82,'Premium Segment'!AB$82)</f>
        <v>549.41331887337537</v>
      </c>
      <c r="AC117" s="675">
        <f>SUM('Value Segment'!AC52,'Mid-Market Segment'!AC52,'Upper Mid-Market Segment'!AC52,'Premium Segment'!AC52)/SUM('Value Segment'!AC$82,'Mid-Market Segment'!AC$82,'Upper Mid-Market Segment'!AC$82,'Premium Segment'!AC$82)</f>
        <v>549.41331887337537</v>
      </c>
      <c r="AD117" s="675">
        <f>SUM('Value Segment'!AD52,'Mid-Market Segment'!AD52,'Upper Mid-Market Segment'!AD52,'Premium Segment'!AD52)/SUM('Value Segment'!AD$82,'Mid-Market Segment'!AD$82,'Upper Mid-Market Segment'!AD$82,'Premium Segment'!AD$82)</f>
        <v>549.41331887337537</v>
      </c>
      <c r="AE117" s="675">
        <f>SUM('Value Segment'!AE52,'Mid-Market Segment'!AE52,'Upper Mid-Market Segment'!AE52,'Premium Segment'!AE52)/SUM('Value Segment'!AE$82,'Mid-Market Segment'!AE$82,'Upper Mid-Market Segment'!AE$82,'Premium Segment'!AE$82)</f>
        <v>549.41331887337537</v>
      </c>
      <c r="AF117" s="675">
        <f>SUM('Value Segment'!AF52,'Mid-Market Segment'!AF52,'Upper Mid-Market Segment'!AF52,'Premium Segment'!AF52)/SUM('Value Segment'!AF$82,'Mid-Market Segment'!AF$82,'Upper Mid-Market Segment'!AF$82,'Premium Segment'!AF$82)</f>
        <v>549.41331887337537</v>
      </c>
      <c r="AG117" s="675">
        <f>SUM('Value Segment'!AG52,'Mid-Market Segment'!AG52,'Upper Mid-Market Segment'!AG52,'Premium Segment'!AG52)/SUM('Value Segment'!AG$82,'Mid-Market Segment'!AG$82,'Upper Mid-Market Segment'!AG$82,'Premium Segment'!AG$82)</f>
        <v>549.41331887337537</v>
      </c>
      <c r="AH117" s="675">
        <f>SUM('Value Segment'!AH52,'Mid-Market Segment'!AH52,'Upper Mid-Market Segment'!AH52,'Premium Segment'!AH52)/SUM('Value Segment'!AH$82,'Mid-Market Segment'!AH$82,'Upper Mid-Market Segment'!AH$82,'Premium Segment'!AH$82)</f>
        <v>549.41331887337537</v>
      </c>
      <c r="AI117" s="675">
        <f>SUM('Value Segment'!AI52,'Mid-Market Segment'!AI52,'Upper Mid-Market Segment'!AI52,'Premium Segment'!AI52)/SUM('Value Segment'!AI$82,'Mid-Market Segment'!AI$82,'Upper Mid-Market Segment'!AI$82,'Premium Segment'!AI$82)</f>
        <v>549.41331887337537</v>
      </c>
      <c r="AJ117" s="675">
        <f>SUM('Value Segment'!AJ52,'Mid-Market Segment'!AJ52,'Upper Mid-Market Segment'!AJ52,'Premium Segment'!AJ52)/SUM('Value Segment'!AJ$82,'Mid-Market Segment'!AJ$82,'Upper Mid-Market Segment'!AJ$82,'Premium Segment'!AJ$82)</f>
        <v>549.41331887337537</v>
      </c>
      <c r="AK117" s="675">
        <f>SUM('Value Segment'!AK52,'Mid-Market Segment'!AK52,'Upper Mid-Market Segment'!AK52,'Premium Segment'!AK52)/SUM('Value Segment'!AK$82,'Mid-Market Segment'!AK$82,'Upper Mid-Market Segment'!AK$82,'Premium Segment'!AK$82)</f>
        <v>549.41331887337537</v>
      </c>
      <c r="AL117" s="675">
        <f>SUM('Value Segment'!AL52,'Mid-Market Segment'!AL52,'Upper Mid-Market Segment'!AL52,'Premium Segment'!AL52)/SUM('Value Segment'!AL$82,'Mid-Market Segment'!AL$82,'Upper Mid-Market Segment'!AL$82,'Premium Segment'!AL$82)</f>
        <v>549.41331887337537</v>
      </c>
      <c r="AM117" s="675">
        <f>SUM('Value Segment'!AM52,'Mid-Market Segment'!AM52,'Upper Mid-Market Segment'!AM52,'Premium Segment'!AM52)/SUM('Value Segment'!AM$82,'Mid-Market Segment'!AM$82,'Upper Mid-Market Segment'!AM$82,'Premium Segment'!AM$82)</f>
        <v>549.41331887337537</v>
      </c>
      <c r="AN117" s="675">
        <f>SUM('Value Segment'!AN52,'Mid-Market Segment'!AN52,'Upper Mid-Market Segment'!AN52,'Premium Segment'!AN52)/SUM('Value Segment'!AN$82,'Mid-Market Segment'!AN$82,'Upper Mid-Market Segment'!AN$82,'Premium Segment'!AN$82)</f>
        <v>549.41331887337537</v>
      </c>
      <c r="AO117" s="675">
        <f>SUM('Value Segment'!AO52,'Mid-Market Segment'!AO52,'Upper Mid-Market Segment'!AO52,'Premium Segment'!AO52)/SUM('Value Segment'!AO$82,'Mid-Market Segment'!AO$82,'Upper Mid-Market Segment'!AO$82,'Premium Segment'!AO$82)</f>
        <v>549.41331887337537</v>
      </c>
      <c r="AP117" s="675">
        <f>SUM('Value Segment'!AP52,'Mid-Market Segment'!AP52,'Upper Mid-Market Segment'!AP52,'Premium Segment'!AP52)/SUM('Value Segment'!AP$82,'Mid-Market Segment'!AP$82,'Upper Mid-Market Segment'!AP$82,'Premium Segment'!AP$82)</f>
        <v>549.41331887337537</v>
      </c>
      <c r="AQ117" s="675">
        <f>SUM('Value Segment'!AQ52,'Mid-Market Segment'!AQ52,'Upper Mid-Market Segment'!AQ52,'Premium Segment'!AQ52)/SUM('Value Segment'!AQ$82,'Mid-Market Segment'!AQ$82,'Upper Mid-Market Segment'!AQ$82,'Premium Segment'!AQ$82)</f>
        <v>549.41331887337537</v>
      </c>
      <c r="AR117" s="675">
        <f>SUM('Value Segment'!AR52,'Mid-Market Segment'!AR52,'Upper Mid-Market Segment'!AR52,'Premium Segment'!AR52)/SUM('Value Segment'!AR$82,'Mid-Market Segment'!AR$82,'Upper Mid-Market Segment'!AR$82,'Premium Segment'!AR$82)</f>
        <v>549.41331887337537</v>
      </c>
      <c r="AS117" s="675">
        <f>SUM('Value Segment'!AS52,'Mid-Market Segment'!AS52,'Upper Mid-Market Segment'!AS52,'Premium Segment'!AS52)/SUM('Value Segment'!AS$82,'Mid-Market Segment'!AS$82,'Upper Mid-Market Segment'!AS$82,'Premium Segment'!AS$82)</f>
        <v>549.41331887337537</v>
      </c>
      <c r="AT117" s="675">
        <f>SUM('Value Segment'!AT52,'Mid-Market Segment'!AT52,'Upper Mid-Market Segment'!AT52,'Premium Segment'!AT52)/SUM('Value Segment'!AT$82,'Mid-Market Segment'!AT$82,'Upper Mid-Market Segment'!AT$82,'Premium Segment'!AT$82)</f>
        <v>549.41331887337537</v>
      </c>
      <c r="AU117" s="675">
        <f>SUM('Value Segment'!AU52,'Mid-Market Segment'!AU52,'Upper Mid-Market Segment'!AU52,'Premium Segment'!AU52)/SUM('Value Segment'!AU$82,'Mid-Market Segment'!AU$82,'Upper Mid-Market Segment'!AU$82,'Premium Segment'!AU$82)</f>
        <v>549.41331887337537</v>
      </c>
      <c r="AV117" s="675">
        <f>SUM('Value Segment'!AV52,'Mid-Market Segment'!AV52,'Upper Mid-Market Segment'!AV52,'Premium Segment'!AV52)/SUM('Value Segment'!AV$82,'Mid-Market Segment'!AV$82,'Upper Mid-Market Segment'!AV$82,'Premium Segment'!AV$82)</f>
        <v>549.41331887337537</v>
      </c>
      <c r="AW117" s="675">
        <f>SUM('Value Segment'!AW52,'Mid-Market Segment'!AW52,'Upper Mid-Market Segment'!AW52,'Premium Segment'!AW52)/SUM('Value Segment'!AW$82,'Mid-Market Segment'!AW$82,'Upper Mid-Market Segment'!AW$82,'Premium Segment'!AW$82)</f>
        <v>549.41331887337537</v>
      </c>
      <c r="AX117" s="675">
        <f>SUM('Value Segment'!AX52,'Mid-Market Segment'!AX52,'Upper Mid-Market Segment'!AX52,'Premium Segment'!AX52)/SUM('Value Segment'!AX$82,'Mid-Market Segment'!AX$82,'Upper Mid-Market Segment'!AX$82,'Premium Segment'!AX$82)</f>
        <v>549.41331887337537</v>
      </c>
      <c r="AY117" s="675">
        <f>SUM('Value Segment'!AY52,'Mid-Market Segment'!AY52,'Upper Mid-Market Segment'!AY52,'Premium Segment'!AY52)/SUM('Value Segment'!AY$82,'Mid-Market Segment'!AY$82,'Upper Mid-Market Segment'!AY$82,'Premium Segment'!AY$82)</f>
        <v>549.41331887337537</v>
      </c>
      <c r="AZ117" s="675">
        <f>SUM('Value Segment'!AZ52,'Mid-Market Segment'!AZ52,'Upper Mid-Market Segment'!AZ52,'Premium Segment'!AZ52)/SUM('Value Segment'!AZ$82,'Mid-Market Segment'!AZ$82,'Upper Mid-Market Segment'!AZ$82,'Premium Segment'!AZ$82)</f>
        <v>549.41331887337537</v>
      </c>
      <c r="BA117" s="675">
        <f>SUM('Value Segment'!BA52,'Mid-Market Segment'!BA52,'Upper Mid-Market Segment'!BA52,'Premium Segment'!BA52)/SUM('Value Segment'!BA$82,'Mid-Market Segment'!BA$82,'Upper Mid-Market Segment'!BA$82,'Premium Segment'!BA$82)</f>
        <v>549.41331887337537</v>
      </c>
      <c r="BB117" s="675">
        <f>SUM('Value Segment'!BB52,'Mid-Market Segment'!BB52,'Upper Mid-Market Segment'!BB52,'Premium Segment'!BB52)/SUM('Value Segment'!BB$82,'Mid-Market Segment'!BB$82,'Upper Mid-Market Segment'!BB$82,'Premium Segment'!BB$82)</f>
        <v>549.41331887337537</v>
      </c>
      <c r="BC117" s="675">
        <f>SUM('Value Segment'!BC52,'Mid-Market Segment'!BC52,'Upper Mid-Market Segment'!BC52,'Premium Segment'!BC52)/SUM('Value Segment'!BC$82,'Mid-Market Segment'!BC$82,'Upper Mid-Market Segment'!BC$82,'Premium Segment'!BC$82)</f>
        <v>549.41331887337537</v>
      </c>
      <c r="BD117" s="675">
        <f>SUM('Value Segment'!BD52,'Mid-Market Segment'!BD52,'Upper Mid-Market Segment'!BD52,'Premium Segment'!BD52)/SUM('Value Segment'!BD$82,'Mid-Market Segment'!BD$82,'Upper Mid-Market Segment'!BD$82,'Premium Segment'!BD$82)</f>
        <v>549.41331887337537</v>
      </c>
      <c r="BE117" s="675">
        <f>SUM('Value Segment'!BE52,'Mid-Market Segment'!BE52,'Upper Mid-Market Segment'!BE52,'Premium Segment'!BE52)/SUM('Value Segment'!BE$82,'Mid-Market Segment'!BE$82,'Upper Mid-Market Segment'!BE$82,'Premium Segment'!BE$82)</f>
        <v>549.41331887337537</v>
      </c>
      <c r="BF117" s="675">
        <f>SUM('Value Segment'!BF52,'Mid-Market Segment'!BF52,'Upper Mid-Market Segment'!BF52,'Premium Segment'!BF52)/SUM('Value Segment'!BF$82,'Mid-Market Segment'!BF$82,'Upper Mid-Market Segment'!BF$82,'Premium Segment'!BF$82)</f>
        <v>549.41331887337537</v>
      </c>
      <c r="BG117" s="675">
        <f>SUM('Value Segment'!BG52,'Mid-Market Segment'!BG52,'Upper Mid-Market Segment'!BG52,'Premium Segment'!BG52)/SUM('Value Segment'!BG$82,'Mid-Market Segment'!BG$82,'Upper Mid-Market Segment'!BG$82,'Premium Segment'!BG$82)</f>
        <v>549.41331887337537</v>
      </c>
      <c r="BH117" s="675">
        <f>SUM('Value Segment'!BH52,'Mid-Market Segment'!BH52,'Upper Mid-Market Segment'!BH52,'Premium Segment'!BH52)/SUM('Value Segment'!BH$82,'Mid-Market Segment'!BH$82,'Upper Mid-Market Segment'!BH$82,'Premium Segment'!BH$82)</f>
        <v>549.41331887337537</v>
      </c>
      <c r="BI117" s="675">
        <f>SUM('Value Segment'!BI52,'Mid-Market Segment'!BI52,'Upper Mid-Market Segment'!BI52,'Premium Segment'!BI52)/SUM('Value Segment'!BI$82,'Mid-Market Segment'!BI$82,'Upper Mid-Market Segment'!BI$82,'Premium Segment'!BI$82)</f>
        <v>549.41331887337537</v>
      </c>
      <c r="BJ117" s="675">
        <f>SUM('Value Segment'!BJ52,'Mid-Market Segment'!BJ52,'Upper Mid-Market Segment'!BJ52,'Premium Segment'!BJ52)/SUM('Value Segment'!BJ$82,'Mid-Market Segment'!BJ$82,'Upper Mid-Market Segment'!BJ$82,'Premium Segment'!BJ$82)</f>
        <v>549.41331887337537</v>
      </c>
      <c r="BK117" s="675">
        <f>SUM('Value Segment'!BK52,'Mid-Market Segment'!BK52,'Upper Mid-Market Segment'!BK52,'Premium Segment'!BK52)/SUM('Value Segment'!BK$82,'Mid-Market Segment'!BK$82,'Upper Mid-Market Segment'!BK$82,'Premium Segment'!BK$82)</f>
        <v>549.41331887337537</v>
      </c>
      <c r="BL117" s="675">
        <f>SUM('Value Segment'!BL52,'Mid-Market Segment'!BL52,'Upper Mid-Market Segment'!BL52,'Premium Segment'!BL52)/SUM('Value Segment'!BL$82,'Mid-Market Segment'!BL$82,'Upper Mid-Market Segment'!BL$82,'Premium Segment'!BL$82)</f>
        <v>549.41331887337537</v>
      </c>
      <c r="BM117" s="675">
        <f>SUM('Value Segment'!BM52,'Mid-Market Segment'!BM52,'Upper Mid-Market Segment'!BM52,'Premium Segment'!BM52)/SUM('Value Segment'!BM$82,'Mid-Market Segment'!BM$82,'Upper Mid-Market Segment'!BM$82,'Premium Segment'!BM$82)</f>
        <v>549.41331887337537</v>
      </c>
      <c r="BN117" s="675">
        <f>SUM('Value Segment'!BN52,'Mid-Market Segment'!BN52,'Upper Mid-Market Segment'!BN52,'Premium Segment'!BN52)/SUM('Value Segment'!BN$82,'Mid-Market Segment'!BN$82,'Upper Mid-Market Segment'!BN$82,'Premium Segment'!BN$82)</f>
        <v>549.41331887337537</v>
      </c>
      <c r="BO117" s="675">
        <f>SUM('Value Segment'!BO52,'Mid-Market Segment'!BO52,'Upper Mid-Market Segment'!BO52,'Premium Segment'!BO52)/SUM('Value Segment'!BO$82,'Mid-Market Segment'!BO$82,'Upper Mid-Market Segment'!BO$82,'Premium Segment'!BO$82)</f>
        <v>549.41331887337537</v>
      </c>
      <c r="BP117" s="675">
        <f>SUM('Value Segment'!BP52,'Mid-Market Segment'!BP52,'Upper Mid-Market Segment'!BP52,'Premium Segment'!BP52)/SUM('Value Segment'!BP$82,'Mid-Market Segment'!BP$82,'Upper Mid-Market Segment'!BP$82,'Premium Segment'!BP$82)</f>
        <v>549.41331887337537</v>
      </c>
      <c r="BQ117" s="675">
        <f>SUM('Value Segment'!BQ52,'Mid-Market Segment'!BQ52,'Upper Mid-Market Segment'!BQ52,'Premium Segment'!BQ52)/SUM('Value Segment'!BQ$82,'Mid-Market Segment'!BQ$82,'Upper Mid-Market Segment'!BQ$82,'Premium Segment'!BQ$82)</f>
        <v>549.41331887337537</v>
      </c>
      <c r="BR117" s="675">
        <f>SUM('Value Segment'!BR52,'Mid-Market Segment'!BR52,'Upper Mid-Market Segment'!BR52,'Premium Segment'!BR52)/SUM('Value Segment'!BR$82,'Mid-Market Segment'!BR$82,'Upper Mid-Market Segment'!BR$82,'Premium Segment'!BR$82)</f>
        <v>549.41331887337537</v>
      </c>
      <c r="BS117" s="675">
        <f>SUM('Value Segment'!BS52,'Mid-Market Segment'!BS52,'Upper Mid-Market Segment'!BS52,'Premium Segment'!BS52)/SUM('Value Segment'!BS$82,'Mid-Market Segment'!BS$82,'Upper Mid-Market Segment'!BS$82,'Premium Segment'!BS$82)</f>
        <v>549.41331887337537</v>
      </c>
      <c r="BT117" s="675">
        <f>SUM('Value Segment'!BT52,'Mid-Market Segment'!BT52,'Upper Mid-Market Segment'!BT52,'Premium Segment'!BT52)/SUM('Value Segment'!BT$82,'Mid-Market Segment'!BT$82,'Upper Mid-Market Segment'!BT$82,'Premium Segment'!BT$82)</f>
        <v>549.41331887337537</v>
      </c>
      <c r="BU117" s="675">
        <f>SUM('Value Segment'!BU52,'Mid-Market Segment'!BU52,'Upper Mid-Market Segment'!BU52,'Premium Segment'!BU52)/SUM('Value Segment'!BU$82,'Mid-Market Segment'!BU$82,'Upper Mid-Market Segment'!BU$82,'Premium Segment'!BU$82)</f>
        <v>549.41331887337537</v>
      </c>
      <c r="BV117" s="675">
        <f>SUM('Value Segment'!BV52,'Mid-Market Segment'!BV52,'Upper Mid-Market Segment'!BV52,'Premium Segment'!BV52)/SUM('Value Segment'!BV$82,'Mid-Market Segment'!BV$82,'Upper Mid-Market Segment'!BV$82,'Premium Segment'!BV$82)</f>
        <v>549.41331887337537</v>
      </c>
      <c r="BW117" s="675">
        <f>SUM('Value Segment'!BW52,'Mid-Market Segment'!BW52,'Upper Mid-Market Segment'!BW52,'Premium Segment'!BW52)/SUM('Value Segment'!BW$82,'Mid-Market Segment'!BW$82,'Upper Mid-Market Segment'!BW$82,'Premium Segment'!BW$82)</f>
        <v>549.41331887337537</v>
      </c>
      <c r="BX117" s="675">
        <f>SUM('Value Segment'!BX52,'Mid-Market Segment'!BX52,'Upper Mid-Market Segment'!BX52,'Premium Segment'!BX52)/SUM('Value Segment'!BX$82,'Mid-Market Segment'!BX$82,'Upper Mid-Market Segment'!BX$82,'Premium Segment'!BX$82)</f>
        <v>549.41331887337537</v>
      </c>
      <c r="BY117" s="675">
        <f>SUM('Value Segment'!BY52,'Mid-Market Segment'!BY52,'Upper Mid-Market Segment'!BY52,'Premium Segment'!BY52)/SUM('Value Segment'!BY$82,'Mid-Market Segment'!BY$82,'Upper Mid-Market Segment'!BY$82,'Premium Segment'!BY$82)</f>
        <v>549.41331887337537</v>
      </c>
      <c r="CB117" s="8"/>
    </row>
    <row r="118" spans="3:80" x14ac:dyDescent="0.3">
      <c r="C118" s="2"/>
      <c r="D118" s="2"/>
      <c r="E118" s="2"/>
      <c r="F118" s="37"/>
      <c r="G118" s="37"/>
      <c r="H118" s="37"/>
      <c r="I118" s="37"/>
      <c r="J118" s="37"/>
      <c r="K118" s="37"/>
      <c r="L118" s="37"/>
      <c r="M118" s="37"/>
      <c r="N118" s="37"/>
      <c r="O118" s="37"/>
      <c r="P118" s="35"/>
      <c r="R118" s="37"/>
      <c r="S118" s="37"/>
      <c r="T118" s="37"/>
      <c r="U118" s="37"/>
      <c r="V118" s="37"/>
      <c r="W118" s="37"/>
      <c r="X118" s="37"/>
      <c r="Y118" s="37"/>
      <c r="Z118" s="37"/>
      <c r="AA118" s="37"/>
      <c r="AB118" s="37"/>
      <c r="AC118" s="37"/>
      <c r="AD118" s="37"/>
      <c r="AE118" s="37"/>
      <c r="AF118" s="37"/>
      <c r="AG118" s="37"/>
      <c r="AH118" s="37"/>
      <c r="AI118" s="37"/>
      <c r="AJ118" s="37"/>
      <c r="AK118" s="37"/>
      <c r="AL118" s="37"/>
      <c r="AM118" s="37"/>
      <c r="AN118" s="37"/>
      <c r="AO118" s="37"/>
      <c r="AP118" s="37"/>
      <c r="AQ118" s="37"/>
      <c r="AR118" s="37"/>
      <c r="AS118" s="37"/>
      <c r="AT118" s="37"/>
      <c r="AU118" s="37"/>
      <c r="AV118" s="37"/>
      <c r="AW118" s="37"/>
      <c r="AX118" s="37"/>
      <c r="AY118" s="37"/>
      <c r="AZ118" s="37"/>
      <c r="BA118" s="37"/>
      <c r="BB118" s="37"/>
      <c r="BC118" s="37"/>
      <c r="BD118" s="37"/>
      <c r="BE118" s="37"/>
      <c r="BF118" s="37"/>
      <c r="BG118" s="37"/>
      <c r="BH118" s="37"/>
      <c r="BI118" s="37"/>
      <c r="BJ118" s="37"/>
      <c r="BK118" s="37"/>
      <c r="BL118" s="37"/>
      <c r="BM118" s="37"/>
      <c r="BN118" s="37"/>
      <c r="BO118" s="37"/>
      <c r="BP118" s="37"/>
      <c r="BQ118" s="37"/>
      <c r="BR118" s="37"/>
      <c r="BS118" s="37"/>
      <c r="BT118" s="37"/>
      <c r="BU118" s="37"/>
      <c r="BV118" s="37"/>
      <c r="BW118" s="37"/>
      <c r="BX118" s="37"/>
      <c r="BY118" s="37"/>
    </row>
    <row r="119" spans="3:80" x14ac:dyDescent="0.3">
      <c r="C119" s="2"/>
      <c r="D119" s="2"/>
      <c r="E119" s="62" t="s">
        <v>33</v>
      </c>
      <c r="F119" s="63"/>
      <c r="G119" s="63"/>
      <c r="H119" s="63"/>
      <c r="I119" s="673">
        <f>SUM('Value Segment'!I54,'Mid-Market Segment'!I54,'Upper Mid-Market Segment'!I54,'Premium Segment'!I54)/SUM('Value Segment'!I$82,'Mid-Market Segment'!I$82,'Upper Mid-Market Segment'!I$82,'Premium Segment'!I$82)</f>
        <v>98990.708709991406</v>
      </c>
      <c r="J119" s="673">
        <f>SUM('Value Segment'!J54,'Mid-Market Segment'!J54,'Upper Mid-Market Segment'!J54,'Premium Segment'!J54)/SUM('Value Segment'!J$82,'Mid-Market Segment'!J$82,'Upper Mid-Market Segment'!J$82,'Premium Segment'!J$82)</f>
        <v>104290.37180036709</v>
      </c>
      <c r="K119" s="673">
        <f>SUM('Value Segment'!K54,'Mid-Market Segment'!K54,'Upper Mid-Market Segment'!K54,'Premium Segment'!K54)/SUM('Value Segment'!K$82,'Mid-Market Segment'!K$82,'Upper Mid-Market Segment'!K$82,'Premium Segment'!K$82)</f>
        <v>110627.16583305135</v>
      </c>
      <c r="L119" s="673">
        <f>SUM('Value Segment'!L54,'Mid-Market Segment'!L54,'Upper Mid-Market Segment'!L54,'Premium Segment'!L54)/SUM('Value Segment'!L$82,'Mid-Market Segment'!L$82,'Upper Mid-Market Segment'!L$82,'Premium Segment'!L$82)</f>
        <v>117125.56712437216</v>
      </c>
      <c r="M119" s="673">
        <f>SUM('Value Segment'!M54,'Mid-Market Segment'!M54,'Upper Mid-Market Segment'!M54,'Premium Segment'!M54)/SUM('Value Segment'!M$82,'Mid-Market Segment'!M$82,'Upper Mid-Market Segment'!M$82,'Premium Segment'!M$82)</f>
        <v>123762.6968073499</v>
      </c>
      <c r="N119" s="673">
        <f>SUM('Value Segment'!N54,'Mid-Market Segment'!N54,'Upper Mid-Market Segment'!N54,'Premium Segment'!N54)/SUM('Value Segment'!N$82,'Mid-Market Segment'!N$82,'Upper Mid-Market Segment'!N$82,'Premium Segment'!N$82)</f>
        <v>130726.21920028082</v>
      </c>
      <c r="O119" s="57"/>
      <c r="P119" s="55">
        <f>IFERROR(((N119/I119)^(1/5))-1,0)</f>
        <v>5.719147761223331E-2</v>
      </c>
      <c r="R119" s="673">
        <f>SUM('Value Segment'!R54,'Mid-Market Segment'!R54,'Upper Mid-Market Segment'!R54,'Premium Segment'!R54)/SUM('Value Segment'!R$82,'Mid-Market Segment'!R$82,'Upper Mid-Market Segment'!R$82,'Premium Segment'!R$82)</f>
        <v>8587.5475079647167</v>
      </c>
      <c r="S119" s="676">
        <f>SUM('Value Segment'!S54,'Mid-Market Segment'!S54,'Upper Mid-Market Segment'!S54,'Premium Segment'!S54)/SUM('Value Segment'!S$82,'Mid-Market Segment'!S$82,'Upper Mid-Market Segment'!S$82,'Premium Segment'!S$82)</f>
        <v>8587.5475079647167</v>
      </c>
      <c r="T119" s="676">
        <f>SUM('Value Segment'!T54,'Mid-Market Segment'!T54,'Upper Mid-Market Segment'!T54,'Premium Segment'!T54)/SUM('Value Segment'!T$82,'Mid-Market Segment'!T$82,'Upper Mid-Market Segment'!T$82,'Premium Segment'!T$82)</f>
        <v>8587.5475079647167</v>
      </c>
      <c r="U119" s="676">
        <f>SUM('Value Segment'!U54,'Mid-Market Segment'!U54,'Upper Mid-Market Segment'!U54,'Premium Segment'!U54)/SUM('Value Segment'!U$82,'Mid-Market Segment'!U$82,'Upper Mid-Market Segment'!U$82,'Premium Segment'!U$82)</f>
        <v>8587.5475079647167</v>
      </c>
      <c r="V119" s="676">
        <f>SUM('Value Segment'!V54,'Mid-Market Segment'!V54,'Upper Mid-Market Segment'!V54,'Premium Segment'!V54)/SUM('Value Segment'!V$82,'Mid-Market Segment'!V$82,'Upper Mid-Market Segment'!V$82,'Premium Segment'!V$82)</f>
        <v>8587.5475079647167</v>
      </c>
      <c r="W119" s="676">
        <f>SUM('Value Segment'!W54,'Mid-Market Segment'!W54,'Upper Mid-Market Segment'!W54,'Premium Segment'!W54)/SUM('Value Segment'!W$82,'Mid-Market Segment'!W$82,'Upper Mid-Market Segment'!W$82,'Premium Segment'!W$82)</f>
        <v>8587.5475079647167</v>
      </c>
      <c r="X119" s="676">
        <f>SUM('Value Segment'!X54,'Mid-Market Segment'!X54,'Upper Mid-Market Segment'!X54,'Premium Segment'!X54)/SUM('Value Segment'!X$82,'Mid-Market Segment'!X$82,'Upper Mid-Market Segment'!X$82,'Premium Segment'!X$82)</f>
        <v>8794.1811254297991</v>
      </c>
      <c r="Y119" s="676">
        <f>SUM('Value Segment'!Y54,'Mid-Market Segment'!Y54,'Upper Mid-Market Segment'!Y54,'Premium Segment'!Y54)/SUM('Value Segment'!Y$82,'Mid-Market Segment'!Y$82,'Upper Mid-Market Segment'!Y$82,'Premium Segment'!Y$82)</f>
        <v>8794.1811254297991</v>
      </c>
      <c r="Z119" s="676">
        <f>SUM('Value Segment'!Z54,'Mid-Market Segment'!Z54,'Upper Mid-Market Segment'!Z54,'Premium Segment'!Z54)/SUM('Value Segment'!Z$82,'Mid-Market Segment'!Z$82,'Upper Mid-Market Segment'!Z$82,'Premium Segment'!Z$82)</f>
        <v>8794.1811254297991</v>
      </c>
      <c r="AA119" s="676">
        <f>SUM('Value Segment'!AA54,'Mid-Market Segment'!AA54,'Upper Mid-Market Segment'!AA54,'Premium Segment'!AA54)/SUM('Value Segment'!AA$82,'Mid-Market Segment'!AA$82,'Upper Mid-Market Segment'!AA$82,'Premium Segment'!AA$82)</f>
        <v>8794.1811254297991</v>
      </c>
      <c r="AB119" s="676">
        <f>SUM('Value Segment'!AB54,'Mid-Market Segment'!AB54,'Upper Mid-Market Segment'!AB54,'Premium Segment'!AB54)/SUM('Value Segment'!AB$82,'Mid-Market Segment'!AB$82,'Upper Mid-Market Segment'!AB$82,'Premium Segment'!AB$82)</f>
        <v>8794.1811254297991</v>
      </c>
      <c r="AC119" s="676">
        <f>SUM('Value Segment'!AC54,'Mid-Market Segment'!AC54,'Upper Mid-Market Segment'!AC54,'Premium Segment'!AC54)/SUM('Value Segment'!AC$82,'Mid-Market Segment'!AC$82,'Upper Mid-Market Segment'!AC$82,'Premium Segment'!AC$82)</f>
        <v>8794.1811254297991</v>
      </c>
      <c r="AD119" s="676">
        <f>SUM('Value Segment'!AD54,'Mid-Market Segment'!AD54,'Upper Mid-Market Segment'!AD54,'Premium Segment'!AD54)/SUM('Value Segment'!AD$82,'Mid-Market Segment'!AD$82,'Upper Mid-Market Segment'!AD$82,'Premium Segment'!AD$82)</f>
        <v>9086.0650537617894</v>
      </c>
      <c r="AE119" s="676">
        <f>SUM('Value Segment'!AE54,'Mid-Market Segment'!AE54,'Upper Mid-Market Segment'!AE54,'Premium Segment'!AE54)/SUM('Value Segment'!AE$82,'Mid-Market Segment'!AE$82,'Upper Mid-Market Segment'!AE$82,'Premium Segment'!AE$82)</f>
        <v>9086.0650537617894</v>
      </c>
      <c r="AF119" s="676">
        <f>SUM('Value Segment'!AF54,'Mid-Market Segment'!AF54,'Upper Mid-Market Segment'!AF54,'Premium Segment'!AF54)/SUM('Value Segment'!AF$82,'Mid-Market Segment'!AF$82,'Upper Mid-Market Segment'!AF$82,'Premium Segment'!AF$82)</f>
        <v>9086.0650537617894</v>
      </c>
      <c r="AG119" s="676">
        <f>SUM('Value Segment'!AG54,'Mid-Market Segment'!AG54,'Upper Mid-Market Segment'!AG54,'Premium Segment'!AG54)/SUM('Value Segment'!AG$82,'Mid-Market Segment'!AG$82,'Upper Mid-Market Segment'!AG$82,'Premium Segment'!AG$82)</f>
        <v>9086.0650537617894</v>
      </c>
      <c r="AH119" s="676">
        <f>SUM('Value Segment'!AH54,'Mid-Market Segment'!AH54,'Upper Mid-Market Segment'!AH54,'Premium Segment'!AH54)/SUM('Value Segment'!AH$82,'Mid-Market Segment'!AH$82,'Upper Mid-Market Segment'!AH$82,'Premium Segment'!AH$82)</f>
        <v>9086.0650537617894</v>
      </c>
      <c r="AI119" s="676">
        <f>SUM('Value Segment'!AI54,'Mid-Market Segment'!AI54,'Upper Mid-Market Segment'!AI54,'Premium Segment'!AI54)/SUM('Value Segment'!AI$82,'Mid-Market Segment'!AI$82,'Upper Mid-Market Segment'!AI$82,'Premium Segment'!AI$82)</f>
        <v>9086.0650537617894</v>
      </c>
      <c r="AJ119" s="676">
        <f>SUM('Value Segment'!AJ54,'Mid-Market Segment'!AJ54,'Upper Mid-Market Segment'!AJ54,'Premium Segment'!AJ54)/SUM('Value Segment'!AJ$82,'Mid-Market Segment'!AJ$82,'Upper Mid-Market Segment'!AJ$82,'Premium Segment'!AJ$82)</f>
        <v>9351.7959184134397</v>
      </c>
      <c r="AK119" s="676">
        <f>SUM('Value Segment'!AK54,'Mid-Market Segment'!AK54,'Upper Mid-Market Segment'!AK54,'Premium Segment'!AK54)/SUM('Value Segment'!AK$82,'Mid-Market Segment'!AK$82,'Upper Mid-Market Segment'!AK$82,'Premium Segment'!AK$82)</f>
        <v>9351.7959184134397</v>
      </c>
      <c r="AL119" s="676">
        <f>SUM('Value Segment'!AL54,'Mid-Market Segment'!AL54,'Upper Mid-Market Segment'!AL54,'Premium Segment'!AL54)/SUM('Value Segment'!AL$82,'Mid-Market Segment'!AL$82,'Upper Mid-Market Segment'!AL$82,'Premium Segment'!AL$82)</f>
        <v>9351.7959184134397</v>
      </c>
      <c r="AM119" s="676">
        <f>SUM('Value Segment'!AM54,'Mid-Market Segment'!AM54,'Upper Mid-Market Segment'!AM54,'Premium Segment'!AM54)/SUM('Value Segment'!AM$82,'Mid-Market Segment'!AM$82,'Upper Mid-Market Segment'!AM$82,'Premium Segment'!AM$82)</f>
        <v>9351.7959184134397</v>
      </c>
      <c r="AN119" s="676">
        <f>SUM('Value Segment'!AN54,'Mid-Market Segment'!AN54,'Upper Mid-Market Segment'!AN54,'Premium Segment'!AN54)/SUM('Value Segment'!AN$82,'Mid-Market Segment'!AN$82,'Upper Mid-Market Segment'!AN$82,'Premium Segment'!AN$82)</f>
        <v>9351.7959184134397</v>
      </c>
      <c r="AO119" s="676">
        <f>SUM('Value Segment'!AO54,'Mid-Market Segment'!AO54,'Upper Mid-Market Segment'!AO54,'Premium Segment'!AO54)/SUM('Value Segment'!AO$82,'Mid-Market Segment'!AO$82,'Upper Mid-Market Segment'!AO$82,'Premium Segment'!AO$82)</f>
        <v>9351.7959184134397</v>
      </c>
      <c r="AP119" s="676">
        <f>SUM('Value Segment'!AP54,'Mid-Market Segment'!AP54,'Upper Mid-Market Segment'!AP54,'Premium Segment'!AP54)/SUM('Value Segment'!AP$82,'Mid-Market Segment'!AP$82,'Upper Mid-Market Segment'!AP$82,'Premium Segment'!AP$82)</f>
        <v>9596.0657670280598</v>
      </c>
      <c r="AQ119" s="676">
        <f>SUM('Value Segment'!AQ54,'Mid-Market Segment'!AQ54,'Upper Mid-Market Segment'!AQ54,'Premium Segment'!AQ54)/SUM('Value Segment'!AQ$82,'Mid-Market Segment'!AQ$82,'Upper Mid-Market Segment'!AQ$82,'Premium Segment'!AQ$82)</f>
        <v>9596.0657670280598</v>
      </c>
      <c r="AR119" s="676">
        <f>SUM('Value Segment'!AR54,'Mid-Market Segment'!AR54,'Upper Mid-Market Segment'!AR54,'Premium Segment'!AR54)/SUM('Value Segment'!AR$82,'Mid-Market Segment'!AR$82,'Upper Mid-Market Segment'!AR$82,'Premium Segment'!AR$82)</f>
        <v>9596.0657670280598</v>
      </c>
      <c r="AS119" s="676">
        <f>SUM('Value Segment'!AS54,'Mid-Market Segment'!AS54,'Upper Mid-Market Segment'!AS54,'Premium Segment'!AS54)/SUM('Value Segment'!AS$82,'Mid-Market Segment'!AS$82,'Upper Mid-Market Segment'!AS$82,'Premium Segment'!AS$82)</f>
        <v>9596.0657670280598</v>
      </c>
      <c r="AT119" s="676">
        <f>SUM('Value Segment'!AT54,'Mid-Market Segment'!AT54,'Upper Mid-Market Segment'!AT54,'Premium Segment'!AT54)/SUM('Value Segment'!AT$82,'Mid-Market Segment'!AT$82,'Upper Mid-Market Segment'!AT$82,'Premium Segment'!AT$82)</f>
        <v>9596.0657670280598</v>
      </c>
      <c r="AU119" s="676">
        <f>SUM('Value Segment'!AU54,'Mid-Market Segment'!AU54,'Upper Mid-Market Segment'!AU54,'Premium Segment'!AU54)/SUM('Value Segment'!AU$82,'Mid-Market Segment'!AU$82,'Upper Mid-Market Segment'!AU$82,'Premium Segment'!AU$82)</f>
        <v>9596.0657670280598</v>
      </c>
      <c r="AV119" s="676">
        <f>SUM('Value Segment'!AV54,'Mid-Market Segment'!AV54,'Upper Mid-Market Segment'!AV54,'Premium Segment'!AV54)/SUM('Value Segment'!AV$82,'Mid-Market Segment'!AV$82,'Upper Mid-Market Segment'!AV$82,'Premium Segment'!AV$82)</f>
        <v>9924.8620870339655</v>
      </c>
      <c r="AW119" s="676">
        <f>SUM('Value Segment'!AW54,'Mid-Market Segment'!AW54,'Upper Mid-Market Segment'!AW54,'Premium Segment'!AW54)/SUM('Value Segment'!AW$82,'Mid-Market Segment'!AW$82,'Upper Mid-Market Segment'!AW$82,'Premium Segment'!AW$82)</f>
        <v>9924.8620870339655</v>
      </c>
      <c r="AX119" s="676">
        <f>SUM('Value Segment'!AX54,'Mid-Market Segment'!AX54,'Upper Mid-Market Segment'!AX54,'Premium Segment'!AX54)/SUM('Value Segment'!AX$82,'Mid-Market Segment'!AX$82,'Upper Mid-Market Segment'!AX$82,'Premium Segment'!AX$82)</f>
        <v>9924.8620870339655</v>
      </c>
      <c r="AY119" s="676">
        <f>SUM('Value Segment'!AY54,'Mid-Market Segment'!AY54,'Upper Mid-Market Segment'!AY54,'Premium Segment'!AY54)/SUM('Value Segment'!AY$82,'Mid-Market Segment'!AY$82,'Upper Mid-Market Segment'!AY$82,'Premium Segment'!AY$82)</f>
        <v>9924.8620870339655</v>
      </c>
      <c r="AZ119" s="676">
        <f>SUM('Value Segment'!AZ54,'Mid-Market Segment'!AZ54,'Upper Mid-Market Segment'!AZ54,'Premium Segment'!AZ54)/SUM('Value Segment'!AZ$82,'Mid-Market Segment'!AZ$82,'Upper Mid-Market Segment'!AZ$82,'Premium Segment'!AZ$82)</f>
        <v>9924.8620870339655</v>
      </c>
      <c r="BA119" s="676">
        <f>SUM('Value Segment'!BA54,'Mid-Market Segment'!BA54,'Upper Mid-Market Segment'!BA54,'Premium Segment'!BA54)/SUM('Value Segment'!BA$82,'Mid-Market Segment'!BA$82,'Upper Mid-Market Segment'!BA$82,'Premium Segment'!BA$82)</f>
        <v>9924.8620870339655</v>
      </c>
      <c r="BB119" s="676">
        <f>SUM('Value Segment'!BB54,'Mid-Market Segment'!BB54,'Upper Mid-Market Segment'!BB54,'Premium Segment'!BB54)/SUM('Value Segment'!BB$82,'Mid-Market Segment'!BB$82,'Upper Mid-Market Segment'!BB$82,'Premium Segment'!BB$82)</f>
        <v>10115.601542067872</v>
      </c>
      <c r="BC119" s="676">
        <f>SUM('Value Segment'!BC54,'Mid-Market Segment'!BC54,'Upper Mid-Market Segment'!BC54,'Premium Segment'!BC54)/SUM('Value Segment'!BC$82,'Mid-Market Segment'!BC$82,'Upper Mid-Market Segment'!BC$82,'Premium Segment'!BC$82)</f>
        <v>10115.601542067872</v>
      </c>
      <c r="BD119" s="676">
        <f>SUM('Value Segment'!BD54,'Mid-Market Segment'!BD54,'Upper Mid-Market Segment'!BD54,'Premium Segment'!BD54)/SUM('Value Segment'!BD$82,'Mid-Market Segment'!BD$82,'Upper Mid-Market Segment'!BD$82,'Premium Segment'!BD$82)</f>
        <v>10115.601542067872</v>
      </c>
      <c r="BE119" s="676">
        <f>SUM('Value Segment'!BE54,'Mid-Market Segment'!BE54,'Upper Mid-Market Segment'!BE54,'Premium Segment'!BE54)/SUM('Value Segment'!BE$82,'Mid-Market Segment'!BE$82,'Upper Mid-Market Segment'!BE$82,'Premium Segment'!BE$82)</f>
        <v>10115.601542067872</v>
      </c>
      <c r="BF119" s="676">
        <f>SUM('Value Segment'!BF54,'Mid-Market Segment'!BF54,'Upper Mid-Market Segment'!BF54,'Premium Segment'!BF54)/SUM('Value Segment'!BF$82,'Mid-Market Segment'!BF$82,'Upper Mid-Market Segment'!BF$82,'Premium Segment'!BF$82)</f>
        <v>10115.601542067872</v>
      </c>
      <c r="BG119" s="676">
        <f>SUM('Value Segment'!BG54,'Mid-Market Segment'!BG54,'Upper Mid-Market Segment'!BG54,'Premium Segment'!BG54)/SUM('Value Segment'!BG$82,'Mid-Market Segment'!BG$82,'Upper Mid-Market Segment'!BG$82,'Premium Segment'!BG$82)</f>
        <v>10115.601542067872</v>
      </c>
      <c r="BH119" s="676">
        <f>SUM('Value Segment'!BH54,'Mid-Market Segment'!BH54,'Upper Mid-Market Segment'!BH54,'Premium Segment'!BH54)/SUM('Value Segment'!BH$82,'Mid-Market Segment'!BH$82,'Upper Mid-Market Segment'!BH$82,'Premium Segment'!BH$82)</f>
        <v>10511.514592490448</v>
      </c>
      <c r="BI119" s="676">
        <f>SUM('Value Segment'!BI54,'Mid-Market Segment'!BI54,'Upper Mid-Market Segment'!BI54,'Premium Segment'!BI54)/SUM('Value Segment'!BI$82,'Mid-Market Segment'!BI$82,'Upper Mid-Market Segment'!BI$82,'Premium Segment'!BI$82)</f>
        <v>10511.514592490448</v>
      </c>
      <c r="BJ119" s="676">
        <f>SUM('Value Segment'!BJ54,'Mid-Market Segment'!BJ54,'Upper Mid-Market Segment'!BJ54,'Premium Segment'!BJ54)/SUM('Value Segment'!BJ$82,'Mid-Market Segment'!BJ$82,'Upper Mid-Market Segment'!BJ$82,'Premium Segment'!BJ$82)</f>
        <v>10511.514592490448</v>
      </c>
      <c r="BK119" s="676">
        <f>SUM('Value Segment'!BK54,'Mid-Market Segment'!BK54,'Upper Mid-Market Segment'!BK54,'Premium Segment'!BK54)/SUM('Value Segment'!BK$82,'Mid-Market Segment'!BK$82,'Upper Mid-Market Segment'!BK$82,'Premium Segment'!BK$82)</f>
        <v>10511.514592490448</v>
      </c>
      <c r="BL119" s="676">
        <f>SUM('Value Segment'!BL54,'Mid-Market Segment'!BL54,'Upper Mid-Market Segment'!BL54,'Premium Segment'!BL54)/SUM('Value Segment'!BL$82,'Mid-Market Segment'!BL$82,'Upper Mid-Market Segment'!BL$82,'Premium Segment'!BL$82)</f>
        <v>10511.514592490448</v>
      </c>
      <c r="BM119" s="676">
        <f>SUM('Value Segment'!BM54,'Mid-Market Segment'!BM54,'Upper Mid-Market Segment'!BM54,'Premium Segment'!BM54)/SUM('Value Segment'!BM$82,'Mid-Market Segment'!BM$82,'Upper Mid-Market Segment'!BM$82,'Premium Segment'!BM$82)</f>
        <v>10511.514592490448</v>
      </c>
      <c r="BN119" s="676">
        <f>SUM('Value Segment'!BN54,'Mid-Market Segment'!BN54,'Upper Mid-Market Segment'!BN54,'Premium Segment'!BN54)/SUM('Value Segment'!BN$82,'Mid-Market Segment'!BN$82,'Upper Mid-Market Segment'!BN$82,'Premium Segment'!BN$82)</f>
        <v>10660.212307101705</v>
      </c>
      <c r="BO119" s="676">
        <f>SUM('Value Segment'!BO54,'Mid-Market Segment'!BO54,'Upper Mid-Market Segment'!BO54,'Premium Segment'!BO54)/SUM('Value Segment'!BO$82,'Mid-Market Segment'!BO$82,'Upper Mid-Market Segment'!BO$82,'Premium Segment'!BO$82)</f>
        <v>10660.212307101705</v>
      </c>
      <c r="BP119" s="676">
        <f>SUM('Value Segment'!BP54,'Mid-Market Segment'!BP54,'Upper Mid-Market Segment'!BP54,'Premium Segment'!BP54)/SUM('Value Segment'!BP$82,'Mid-Market Segment'!BP$82,'Upper Mid-Market Segment'!BP$82,'Premium Segment'!BP$82)</f>
        <v>10660.212307101705</v>
      </c>
      <c r="BQ119" s="676">
        <f>SUM('Value Segment'!BQ54,'Mid-Market Segment'!BQ54,'Upper Mid-Market Segment'!BQ54,'Premium Segment'!BQ54)/SUM('Value Segment'!BQ$82,'Mid-Market Segment'!BQ$82,'Upper Mid-Market Segment'!BQ$82,'Premium Segment'!BQ$82)</f>
        <v>10660.212307101705</v>
      </c>
      <c r="BR119" s="676">
        <f>SUM('Value Segment'!BR54,'Mid-Market Segment'!BR54,'Upper Mid-Market Segment'!BR54,'Premium Segment'!BR54)/SUM('Value Segment'!BR$82,'Mid-Market Segment'!BR$82,'Upper Mid-Market Segment'!BR$82,'Premium Segment'!BR$82)</f>
        <v>10660.212307101705</v>
      </c>
      <c r="BS119" s="676">
        <f>SUM('Value Segment'!BS54,'Mid-Market Segment'!BS54,'Upper Mid-Market Segment'!BS54,'Premium Segment'!BS54)/SUM('Value Segment'!BS$82,'Mid-Market Segment'!BS$82,'Upper Mid-Market Segment'!BS$82,'Premium Segment'!BS$82)</f>
        <v>10660.212307101705</v>
      </c>
      <c r="BT119" s="676">
        <f>SUM('Value Segment'!BT54,'Mid-Market Segment'!BT54,'Upper Mid-Market Segment'!BT54,'Premium Segment'!BT54)/SUM('Value Segment'!BT$82,'Mid-Market Segment'!BT$82,'Upper Mid-Market Segment'!BT$82,'Premium Segment'!BT$82)</f>
        <v>11127.490892945098</v>
      </c>
      <c r="BU119" s="676">
        <f>SUM('Value Segment'!BU54,'Mid-Market Segment'!BU54,'Upper Mid-Market Segment'!BU54,'Premium Segment'!BU54)/SUM('Value Segment'!BU$82,'Mid-Market Segment'!BU$82,'Upper Mid-Market Segment'!BU$82,'Premium Segment'!BU$82)</f>
        <v>11127.490892945098</v>
      </c>
      <c r="BV119" s="676">
        <f>SUM('Value Segment'!BV54,'Mid-Market Segment'!BV54,'Upper Mid-Market Segment'!BV54,'Premium Segment'!BV54)/SUM('Value Segment'!BV$82,'Mid-Market Segment'!BV$82,'Upper Mid-Market Segment'!BV$82,'Premium Segment'!BV$82)</f>
        <v>11127.490892945098</v>
      </c>
      <c r="BW119" s="676">
        <f>SUM('Value Segment'!BW54,'Mid-Market Segment'!BW54,'Upper Mid-Market Segment'!BW54,'Premium Segment'!BW54)/SUM('Value Segment'!BW$82,'Mid-Market Segment'!BW$82,'Upper Mid-Market Segment'!BW$82,'Premium Segment'!BW$82)</f>
        <v>11127.490892945098</v>
      </c>
      <c r="BX119" s="676">
        <f>SUM('Value Segment'!BX54,'Mid-Market Segment'!BX54,'Upper Mid-Market Segment'!BX54,'Premium Segment'!BX54)/SUM('Value Segment'!BX$82,'Mid-Market Segment'!BX$82,'Upper Mid-Market Segment'!BX$82,'Premium Segment'!BX$82)</f>
        <v>11127.490892945098</v>
      </c>
      <c r="BY119" s="676">
        <f>SUM('Value Segment'!BY54,'Mid-Market Segment'!BY54,'Upper Mid-Market Segment'!BY54,'Premium Segment'!BY54)/SUM('Value Segment'!BY$82,'Mid-Market Segment'!BY$82,'Upper Mid-Market Segment'!BY$82,'Premium Segment'!BY$82)</f>
        <v>11127.490892945098</v>
      </c>
      <c r="CB119" s="8"/>
    </row>
    <row r="120" spans="3:80" x14ac:dyDescent="0.3">
      <c r="C120" s="2"/>
      <c r="D120" s="2"/>
      <c r="E120" s="2"/>
      <c r="F120" s="37"/>
      <c r="G120" s="37"/>
      <c r="H120" s="37"/>
      <c r="I120" s="37"/>
      <c r="J120" s="37"/>
      <c r="K120" s="37"/>
      <c r="L120" s="37"/>
      <c r="M120" s="37"/>
      <c r="N120" s="37"/>
      <c r="O120" s="37"/>
      <c r="P120" s="35"/>
      <c r="R120" s="37"/>
      <c r="S120" s="37"/>
      <c r="T120" s="37"/>
      <c r="U120" s="37"/>
      <c r="V120" s="37"/>
      <c r="W120" s="37"/>
      <c r="X120" s="37"/>
      <c r="Y120" s="37"/>
      <c r="Z120" s="37"/>
      <c r="AA120" s="37"/>
      <c r="AB120" s="37"/>
      <c r="AC120" s="37"/>
      <c r="AD120" s="37"/>
      <c r="AE120" s="37"/>
      <c r="AF120" s="37"/>
      <c r="AG120" s="37"/>
      <c r="AH120" s="37"/>
      <c r="AI120" s="37"/>
      <c r="AJ120" s="37"/>
      <c r="AK120" s="37"/>
      <c r="AL120" s="37"/>
      <c r="AM120" s="37"/>
      <c r="AN120" s="37"/>
      <c r="AO120" s="37"/>
      <c r="AP120" s="37"/>
      <c r="AQ120" s="37"/>
      <c r="AR120" s="37"/>
      <c r="AS120" s="37"/>
      <c r="AT120" s="37"/>
      <c r="AU120" s="37"/>
      <c r="AV120" s="37"/>
      <c r="AW120" s="37"/>
      <c r="AX120" s="37"/>
      <c r="AY120" s="37"/>
      <c r="AZ120" s="37"/>
      <c r="BA120" s="37"/>
      <c r="BB120" s="37"/>
      <c r="BC120" s="37"/>
      <c r="BD120" s="37"/>
      <c r="BE120" s="37"/>
      <c r="BF120" s="37"/>
      <c r="BG120" s="37"/>
      <c r="BH120" s="37"/>
      <c r="BI120" s="37"/>
      <c r="BJ120" s="37"/>
      <c r="BK120" s="37"/>
      <c r="BL120" s="37"/>
      <c r="BM120" s="37"/>
      <c r="BN120" s="37"/>
      <c r="BO120" s="37"/>
      <c r="BP120" s="37"/>
      <c r="BQ120" s="37"/>
      <c r="BR120" s="37"/>
      <c r="BS120" s="37"/>
      <c r="BT120" s="37"/>
      <c r="BU120" s="37"/>
      <c r="BV120" s="37"/>
      <c r="BW120" s="37"/>
      <c r="BX120" s="37"/>
      <c r="BY120" s="37"/>
    </row>
    <row r="121" spans="3:80" x14ac:dyDescent="0.3">
      <c r="C121" s="2"/>
      <c r="D121" s="2"/>
      <c r="E121" s="17" t="s">
        <v>51</v>
      </c>
      <c r="F121" s="37"/>
      <c r="G121" s="37"/>
      <c r="H121" s="37"/>
      <c r="I121" s="37"/>
      <c r="J121" s="37"/>
      <c r="K121" s="37"/>
      <c r="L121" s="37"/>
      <c r="M121" s="37"/>
      <c r="N121" s="37"/>
      <c r="O121" s="37"/>
      <c r="P121" s="35"/>
      <c r="R121" s="37"/>
      <c r="S121" s="37"/>
      <c r="T121" s="37"/>
      <c r="U121" s="37"/>
      <c r="V121" s="37"/>
      <c r="W121" s="37"/>
      <c r="X121" s="37"/>
      <c r="Y121" s="37"/>
      <c r="Z121" s="37"/>
      <c r="AA121" s="37"/>
      <c r="AB121" s="37"/>
      <c r="AC121" s="37"/>
      <c r="AD121" s="37"/>
      <c r="AE121" s="37"/>
      <c r="AF121" s="37"/>
      <c r="AG121" s="37"/>
      <c r="AH121" s="37"/>
      <c r="AI121" s="37"/>
      <c r="AJ121" s="37"/>
      <c r="AK121" s="37"/>
      <c r="AL121" s="37"/>
      <c r="AM121" s="37"/>
      <c r="AN121" s="37"/>
      <c r="AO121" s="37"/>
      <c r="AP121" s="37"/>
      <c r="AQ121" s="37"/>
      <c r="AR121" s="37"/>
      <c r="AS121" s="37"/>
      <c r="AT121" s="37"/>
      <c r="AU121" s="37"/>
      <c r="AV121" s="37"/>
      <c r="AW121" s="37"/>
      <c r="AX121" s="37"/>
      <c r="AY121" s="37"/>
      <c r="AZ121" s="37"/>
      <c r="BA121" s="37"/>
      <c r="BB121" s="37"/>
      <c r="BC121" s="37"/>
      <c r="BD121" s="37"/>
      <c r="BE121" s="37"/>
      <c r="BF121" s="37"/>
      <c r="BG121" s="37"/>
      <c r="BH121" s="37"/>
      <c r="BI121" s="37"/>
      <c r="BJ121" s="37"/>
      <c r="BK121" s="37"/>
      <c r="BL121" s="37"/>
      <c r="BM121" s="37"/>
      <c r="BN121" s="37"/>
      <c r="BO121" s="37"/>
      <c r="BP121" s="37"/>
      <c r="BQ121" s="37"/>
      <c r="BR121" s="37"/>
      <c r="BS121" s="37"/>
      <c r="BT121" s="37"/>
      <c r="BU121" s="37"/>
      <c r="BV121" s="37"/>
      <c r="BW121" s="37"/>
      <c r="BX121" s="37"/>
      <c r="BY121" s="37"/>
    </row>
    <row r="122" spans="3:80" x14ac:dyDescent="0.3">
      <c r="C122" s="2"/>
      <c r="D122" s="2"/>
      <c r="E122" s="2" t="s">
        <v>19</v>
      </c>
      <c r="F122" s="54"/>
      <c r="G122" s="54"/>
      <c r="H122" s="54"/>
      <c r="I122" s="19">
        <f>SUM('Value Segment'!I57,'Mid-Market Segment'!I57,'Upper Mid-Market Segment'!I57,'Premium Segment'!I57)/SUM('Value Segment'!I$82,'Mid-Market Segment'!I$82,'Upper Mid-Market Segment'!I$82,'Premium Segment'!I$82)</f>
        <v>-1935.6010047644786</v>
      </c>
      <c r="J122" s="19">
        <f>SUM('Value Segment'!J57,'Mid-Market Segment'!J57,'Upper Mid-Market Segment'!J57,'Premium Segment'!J57)/SUM('Value Segment'!J$82,'Mid-Market Segment'!J$82,'Upper Mid-Market Segment'!J$82,'Premium Segment'!J$82)</f>
        <v>-1974.3130248597677</v>
      </c>
      <c r="K122" s="19">
        <f>SUM('Value Segment'!K57,'Mid-Market Segment'!K57,'Upper Mid-Market Segment'!K57,'Premium Segment'!K57)/SUM('Value Segment'!K$82,'Mid-Market Segment'!K$82,'Upper Mid-Market Segment'!K$82,'Premium Segment'!K$82)</f>
        <v>-2013.7992853569633</v>
      </c>
      <c r="L122" s="19">
        <f>SUM('Value Segment'!L57,'Mid-Market Segment'!L57,'Upper Mid-Market Segment'!L57,'Premium Segment'!L57)/SUM('Value Segment'!L$82,'Mid-Market Segment'!L$82,'Upper Mid-Market Segment'!L$82,'Premium Segment'!L$82)</f>
        <v>-2054.0752710641023</v>
      </c>
      <c r="M122" s="19">
        <f>SUM('Value Segment'!M57,'Mid-Market Segment'!M57,'Upper Mid-Market Segment'!M57,'Premium Segment'!M57)/SUM('Value Segment'!M$82,'Mid-Market Segment'!M$82,'Upper Mid-Market Segment'!M$82,'Premium Segment'!M$82)</f>
        <v>-2095.1567764853844</v>
      </c>
      <c r="N122" s="19">
        <f>SUM('Value Segment'!N57,'Mid-Market Segment'!N57,'Upper Mid-Market Segment'!N57,'Premium Segment'!N57)/SUM('Value Segment'!N$82,'Mid-Market Segment'!N$82,'Upper Mid-Market Segment'!N$82,'Premium Segment'!N$82)</f>
        <v>-2137.0599120150928</v>
      </c>
      <c r="O122" s="37"/>
      <c r="P122" s="50">
        <f>IFERROR(((N122/I122)^(1/5))-1,0)</f>
        <v>2.0000000000000018E-2</v>
      </c>
      <c r="R122" s="19">
        <f>SUM('Value Segment'!R57,'Mid-Market Segment'!R57,'Upper Mid-Market Segment'!R57,'Premium Segment'!R57)/SUM('Value Segment'!R$82,'Mid-Market Segment'!R$82,'Upper Mid-Market Segment'!R$82,'Premium Segment'!R$82)</f>
        <v>-164.52608540498065</v>
      </c>
      <c r="S122" s="542">
        <f>SUM('Value Segment'!S57,'Mid-Market Segment'!S57,'Upper Mid-Market Segment'!S57,'Premium Segment'!S57)/SUM('Value Segment'!S$82,'Mid-Market Segment'!S$82,'Upper Mid-Market Segment'!S$82,'Premium Segment'!S$82)</f>
        <v>-164.52608540498065</v>
      </c>
      <c r="T122" s="542">
        <f>SUM('Value Segment'!T57,'Mid-Market Segment'!T57,'Upper Mid-Market Segment'!T57,'Premium Segment'!T57)/SUM('Value Segment'!T$82,'Mid-Market Segment'!T$82,'Upper Mid-Market Segment'!T$82,'Premium Segment'!T$82)</f>
        <v>-164.52608540498065</v>
      </c>
      <c r="U122" s="542">
        <f>SUM('Value Segment'!U57,'Mid-Market Segment'!U57,'Upper Mid-Market Segment'!U57,'Premium Segment'!U57)/SUM('Value Segment'!U$82,'Mid-Market Segment'!U$82,'Upper Mid-Market Segment'!U$82,'Premium Segment'!U$82)</f>
        <v>-164.52608540498065</v>
      </c>
      <c r="V122" s="542">
        <f>SUM('Value Segment'!V57,'Mid-Market Segment'!V57,'Upper Mid-Market Segment'!V57,'Premium Segment'!V57)/SUM('Value Segment'!V$82,'Mid-Market Segment'!V$82,'Upper Mid-Market Segment'!V$82,'Premium Segment'!V$82)</f>
        <v>-164.52608540498065</v>
      </c>
      <c r="W122" s="542">
        <f>SUM('Value Segment'!W57,'Mid-Market Segment'!W57,'Upper Mid-Market Segment'!W57,'Premium Segment'!W57)/SUM('Value Segment'!W$82,'Mid-Market Segment'!W$82,'Upper Mid-Market Segment'!W$82,'Premium Segment'!W$82)</f>
        <v>-164.52608540498065</v>
      </c>
      <c r="X122" s="542">
        <f>SUM('Value Segment'!X57,'Mid-Market Segment'!X57,'Upper Mid-Market Segment'!X57,'Premium Segment'!X57)/SUM('Value Segment'!X$82,'Mid-Market Segment'!X$82,'Upper Mid-Market Segment'!X$82,'Premium Segment'!X$82)</f>
        <v>-164.52608540498065</v>
      </c>
      <c r="Y122" s="542">
        <f>SUM('Value Segment'!Y57,'Mid-Market Segment'!Y57,'Upper Mid-Market Segment'!Y57,'Premium Segment'!Y57)/SUM('Value Segment'!Y$82,'Mid-Market Segment'!Y$82,'Upper Mid-Market Segment'!Y$82,'Premium Segment'!Y$82)</f>
        <v>-164.52608540498065</v>
      </c>
      <c r="Z122" s="542">
        <f>SUM('Value Segment'!Z57,'Mid-Market Segment'!Z57,'Upper Mid-Market Segment'!Z57,'Premium Segment'!Z57)/SUM('Value Segment'!Z$82,'Mid-Market Segment'!Z$82,'Upper Mid-Market Segment'!Z$82,'Premium Segment'!Z$82)</f>
        <v>-164.52608540498065</v>
      </c>
      <c r="AA122" s="542">
        <f>SUM('Value Segment'!AA57,'Mid-Market Segment'!AA57,'Upper Mid-Market Segment'!AA57,'Premium Segment'!AA57)/SUM('Value Segment'!AA$82,'Mid-Market Segment'!AA$82,'Upper Mid-Market Segment'!AA$82,'Premium Segment'!AA$82)</f>
        <v>-164.52608540498065</v>
      </c>
      <c r="AB122" s="542">
        <f>SUM('Value Segment'!AB57,'Mid-Market Segment'!AB57,'Upper Mid-Market Segment'!AB57,'Premium Segment'!AB57)/SUM('Value Segment'!AB$82,'Mid-Market Segment'!AB$82,'Upper Mid-Market Segment'!AB$82,'Premium Segment'!AB$82)</f>
        <v>-164.52608540498065</v>
      </c>
      <c r="AC122" s="542">
        <f>SUM('Value Segment'!AC57,'Mid-Market Segment'!AC57,'Upper Mid-Market Segment'!AC57,'Premium Segment'!AC57)/SUM('Value Segment'!AC$82,'Mid-Market Segment'!AC$82,'Upper Mid-Market Segment'!AC$82,'Premium Segment'!AC$82)</f>
        <v>-164.52608540498065</v>
      </c>
      <c r="AD122" s="542">
        <f>SUM('Value Segment'!AD57,'Mid-Market Segment'!AD57,'Upper Mid-Market Segment'!AD57,'Premium Segment'!AD57)/SUM('Value Segment'!AD$82,'Mid-Market Segment'!AD$82,'Upper Mid-Market Segment'!AD$82,'Premium Segment'!AD$82)</f>
        <v>-167.81660711308029</v>
      </c>
      <c r="AE122" s="542">
        <f>SUM('Value Segment'!AE57,'Mid-Market Segment'!AE57,'Upper Mid-Market Segment'!AE57,'Premium Segment'!AE57)/SUM('Value Segment'!AE$82,'Mid-Market Segment'!AE$82,'Upper Mid-Market Segment'!AE$82,'Premium Segment'!AE$82)</f>
        <v>-167.81660711308029</v>
      </c>
      <c r="AF122" s="542">
        <f>SUM('Value Segment'!AF57,'Mid-Market Segment'!AF57,'Upper Mid-Market Segment'!AF57,'Premium Segment'!AF57)/SUM('Value Segment'!AF$82,'Mid-Market Segment'!AF$82,'Upper Mid-Market Segment'!AF$82,'Premium Segment'!AF$82)</f>
        <v>-167.81660711308029</v>
      </c>
      <c r="AG122" s="542">
        <f>SUM('Value Segment'!AG57,'Mid-Market Segment'!AG57,'Upper Mid-Market Segment'!AG57,'Premium Segment'!AG57)/SUM('Value Segment'!AG$82,'Mid-Market Segment'!AG$82,'Upper Mid-Market Segment'!AG$82,'Premium Segment'!AG$82)</f>
        <v>-167.81660711308029</v>
      </c>
      <c r="AH122" s="542">
        <f>SUM('Value Segment'!AH57,'Mid-Market Segment'!AH57,'Upper Mid-Market Segment'!AH57,'Premium Segment'!AH57)/SUM('Value Segment'!AH$82,'Mid-Market Segment'!AH$82,'Upper Mid-Market Segment'!AH$82,'Premium Segment'!AH$82)</f>
        <v>-167.81660711308029</v>
      </c>
      <c r="AI122" s="542">
        <f>SUM('Value Segment'!AI57,'Mid-Market Segment'!AI57,'Upper Mid-Market Segment'!AI57,'Premium Segment'!AI57)/SUM('Value Segment'!AI$82,'Mid-Market Segment'!AI$82,'Upper Mid-Market Segment'!AI$82,'Premium Segment'!AI$82)</f>
        <v>-167.81660711308029</v>
      </c>
      <c r="AJ122" s="542">
        <f>SUM('Value Segment'!AJ57,'Mid-Market Segment'!AJ57,'Upper Mid-Market Segment'!AJ57,'Premium Segment'!AJ57)/SUM('Value Segment'!AJ$82,'Mid-Market Segment'!AJ$82,'Upper Mid-Market Segment'!AJ$82,'Premium Segment'!AJ$82)</f>
        <v>-167.81660711308029</v>
      </c>
      <c r="AK122" s="542">
        <f>SUM('Value Segment'!AK57,'Mid-Market Segment'!AK57,'Upper Mid-Market Segment'!AK57,'Premium Segment'!AK57)/SUM('Value Segment'!AK$82,'Mid-Market Segment'!AK$82,'Upper Mid-Market Segment'!AK$82,'Premium Segment'!AK$82)</f>
        <v>-167.81660711308029</v>
      </c>
      <c r="AL122" s="542">
        <f>SUM('Value Segment'!AL57,'Mid-Market Segment'!AL57,'Upper Mid-Market Segment'!AL57,'Premium Segment'!AL57)/SUM('Value Segment'!AL$82,'Mid-Market Segment'!AL$82,'Upper Mid-Market Segment'!AL$82,'Premium Segment'!AL$82)</f>
        <v>-167.81660711308029</v>
      </c>
      <c r="AM122" s="542">
        <f>SUM('Value Segment'!AM57,'Mid-Market Segment'!AM57,'Upper Mid-Market Segment'!AM57,'Premium Segment'!AM57)/SUM('Value Segment'!AM$82,'Mid-Market Segment'!AM$82,'Upper Mid-Market Segment'!AM$82,'Premium Segment'!AM$82)</f>
        <v>-167.81660711308029</v>
      </c>
      <c r="AN122" s="542">
        <f>SUM('Value Segment'!AN57,'Mid-Market Segment'!AN57,'Upper Mid-Market Segment'!AN57,'Premium Segment'!AN57)/SUM('Value Segment'!AN$82,'Mid-Market Segment'!AN$82,'Upper Mid-Market Segment'!AN$82,'Premium Segment'!AN$82)</f>
        <v>-167.81660711308029</v>
      </c>
      <c r="AO122" s="542">
        <f>SUM('Value Segment'!AO57,'Mid-Market Segment'!AO57,'Upper Mid-Market Segment'!AO57,'Premium Segment'!AO57)/SUM('Value Segment'!AO$82,'Mid-Market Segment'!AO$82,'Upper Mid-Market Segment'!AO$82,'Premium Segment'!AO$82)</f>
        <v>-167.81660711308029</v>
      </c>
      <c r="AP122" s="542">
        <f>SUM('Value Segment'!AP57,'Mid-Market Segment'!AP57,'Upper Mid-Market Segment'!AP57,'Premium Segment'!AP57)/SUM('Value Segment'!AP$82,'Mid-Market Segment'!AP$82,'Upper Mid-Market Segment'!AP$82,'Premium Segment'!AP$82)</f>
        <v>-171.17293925534187</v>
      </c>
      <c r="AQ122" s="542">
        <f>SUM('Value Segment'!AQ57,'Mid-Market Segment'!AQ57,'Upper Mid-Market Segment'!AQ57,'Premium Segment'!AQ57)/SUM('Value Segment'!AQ$82,'Mid-Market Segment'!AQ$82,'Upper Mid-Market Segment'!AQ$82,'Premium Segment'!AQ$82)</f>
        <v>-171.17293925534187</v>
      </c>
      <c r="AR122" s="542">
        <f>SUM('Value Segment'!AR57,'Mid-Market Segment'!AR57,'Upper Mid-Market Segment'!AR57,'Premium Segment'!AR57)/SUM('Value Segment'!AR$82,'Mid-Market Segment'!AR$82,'Upper Mid-Market Segment'!AR$82,'Premium Segment'!AR$82)</f>
        <v>-171.17293925534187</v>
      </c>
      <c r="AS122" s="542">
        <f>SUM('Value Segment'!AS57,'Mid-Market Segment'!AS57,'Upper Mid-Market Segment'!AS57,'Premium Segment'!AS57)/SUM('Value Segment'!AS$82,'Mid-Market Segment'!AS$82,'Upper Mid-Market Segment'!AS$82,'Premium Segment'!AS$82)</f>
        <v>-171.17293925534187</v>
      </c>
      <c r="AT122" s="542">
        <f>SUM('Value Segment'!AT57,'Mid-Market Segment'!AT57,'Upper Mid-Market Segment'!AT57,'Premium Segment'!AT57)/SUM('Value Segment'!AT$82,'Mid-Market Segment'!AT$82,'Upper Mid-Market Segment'!AT$82,'Premium Segment'!AT$82)</f>
        <v>-171.17293925534187</v>
      </c>
      <c r="AU122" s="542">
        <f>SUM('Value Segment'!AU57,'Mid-Market Segment'!AU57,'Upper Mid-Market Segment'!AU57,'Premium Segment'!AU57)/SUM('Value Segment'!AU$82,'Mid-Market Segment'!AU$82,'Upper Mid-Market Segment'!AU$82,'Premium Segment'!AU$82)</f>
        <v>-171.17293925534187</v>
      </c>
      <c r="AV122" s="542">
        <f>SUM('Value Segment'!AV57,'Mid-Market Segment'!AV57,'Upper Mid-Market Segment'!AV57,'Premium Segment'!AV57)/SUM('Value Segment'!AV$82,'Mid-Market Segment'!AV$82,'Upper Mid-Market Segment'!AV$82,'Premium Segment'!AV$82)</f>
        <v>-171.17293925534187</v>
      </c>
      <c r="AW122" s="542">
        <f>SUM('Value Segment'!AW57,'Mid-Market Segment'!AW57,'Upper Mid-Market Segment'!AW57,'Premium Segment'!AW57)/SUM('Value Segment'!AW$82,'Mid-Market Segment'!AW$82,'Upper Mid-Market Segment'!AW$82,'Premium Segment'!AW$82)</f>
        <v>-171.17293925534187</v>
      </c>
      <c r="AX122" s="542">
        <f>SUM('Value Segment'!AX57,'Mid-Market Segment'!AX57,'Upper Mid-Market Segment'!AX57,'Premium Segment'!AX57)/SUM('Value Segment'!AX$82,'Mid-Market Segment'!AX$82,'Upper Mid-Market Segment'!AX$82,'Premium Segment'!AX$82)</f>
        <v>-171.17293925534187</v>
      </c>
      <c r="AY122" s="542">
        <f>SUM('Value Segment'!AY57,'Mid-Market Segment'!AY57,'Upper Mid-Market Segment'!AY57,'Premium Segment'!AY57)/SUM('Value Segment'!AY$82,'Mid-Market Segment'!AY$82,'Upper Mid-Market Segment'!AY$82,'Premium Segment'!AY$82)</f>
        <v>-171.17293925534187</v>
      </c>
      <c r="AZ122" s="542">
        <f>SUM('Value Segment'!AZ57,'Mid-Market Segment'!AZ57,'Upper Mid-Market Segment'!AZ57,'Premium Segment'!AZ57)/SUM('Value Segment'!AZ$82,'Mid-Market Segment'!AZ$82,'Upper Mid-Market Segment'!AZ$82,'Premium Segment'!AZ$82)</f>
        <v>-171.17293925534187</v>
      </c>
      <c r="BA122" s="542">
        <f>SUM('Value Segment'!BA57,'Mid-Market Segment'!BA57,'Upper Mid-Market Segment'!BA57,'Premium Segment'!BA57)/SUM('Value Segment'!BA$82,'Mid-Market Segment'!BA$82,'Upper Mid-Market Segment'!BA$82,'Premium Segment'!BA$82)</f>
        <v>-171.17293925534187</v>
      </c>
      <c r="BB122" s="542">
        <f>SUM('Value Segment'!BB57,'Mid-Market Segment'!BB57,'Upper Mid-Market Segment'!BB57,'Premium Segment'!BB57)/SUM('Value Segment'!BB$82,'Mid-Market Segment'!BB$82,'Upper Mid-Market Segment'!BB$82,'Premium Segment'!BB$82)</f>
        <v>-174.59639804044872</v>
      </c>
      <c r="BC122" s="542">
        <f>SUM('Value Segment'!BC57,'Mid-Market Segment'!BC57,'Upper Mid-Market Segment'!BC57,'Premium Segment'!BC57)/SUM('Value Segment'!BC$82,'Mid-Market Segment'!BC$82,'Upper Mid-Market Segment'!BC$82,'Premium Segment'!BC$82)</f>
        <v>-174.59639804044872</v>
      </c>
      <c r="BD122" s="542">
        <f>SUM('Value Segment'!BD57,'Mid-Market Segment'!BD57,'Upper Mid-Market Segment'!BD57,'Premium Segment'!BD57)/SUM('Value Segment'!BD$82,'Mid-Market Segment'!BD$82,'Upper Mid-Market Segment'!BD$82,'Premium Segment'!BD$82)</f>
        <v>-174.59639804044872</v>
      </c>
      <c r="BE122" s="542">
        <f>SUM('Value Segment'!BE57,'Mid-Market Segment'!BE57,'Upper Mid-Market Segment'!BE57,'Premium Segment'!BE57)/SUM('Value Segment'!BE$82,'Mid-Market Segment'!BE$82,'Upper Mid-Market Segment'!BE$82,'Premium Segment'!BE$82)</f>
        <v>-174.59639804044872</v>
      </c>
      <c r="BF122" s="542">
        <f>SUM('Value Segment'!BF57,'Mid-Market Segment'!BF57,'Upper Mid-Market Segment'!BF57,'Premium Segment'!BF57)/SUM('Value Segment'!BF$82,'Mid-Market Segment'!BF$82,'Upper Mid-Market Segment'!BF$82,'Premium Segment'!BF$82)</f>
        <v>-174.59639804044872</v>
      </c>
      <c r="BG122" s="542">
        <f>SUM('Value Segment'!BG57,'Mid-Market Segment'!BG57,'Upper Mid-Market Segment'!BG57,'Premium Segment'!BG57)/SUM('Value Segment'!BG$82,'Mid-Market Segment'!BG$82,'Upper Mid-Market Segment'!BG$82,'Premium Segment'!BG$82)</f>
        <v>-174.59639804044872</v>
      </c>
      <c r="BH122" s="542">
        <f>SUM('Value Segment'!BH57,'Mid-Market Segment'!BH57,'Upper Mid-Market Segment'!BH57,'Premium Segment'!BH57)/SUM('Value Segment'!BH$82,'Mid-Market Segment'!BH$82,'Upper Mid-Market Segment'!BH$82,'Premium Segment'!BH$82)</f>
        <v>-174.59639804044872</v>
      </c>
      <c r="BI122" s="542">
        <f>SUM('Value Segment'!BI57,'Mid-Market Segment'!BI57,'Upper Mid-Market Segment'!BI57,'Premium Segment'!BI57)/SUM('Value Segment'!BI$82,'Mid-Market Segment'!BI$82,'Upper Mid-Market Segment'!BI$82,'Premium Segment'!BI$82)</f>
        <v>-174.59639804044872</v>
      </c>
      <c r="BJ122" s="542">
        <f>SUM('Value Segment'!BJ57,'Mid-Market Segment'!BJ57,'Upper Mid-Market Segment'!BJ57,'Premium Segment'!BJ57)/SUM('Value Segment'!BJ$82,'Mid-Market Segment'!BJ$82,'Upper Mid-Market Segment'!BJ$82,'Premium Segment'!BJ$82)</f>
        <v>-174.59639804044872</v>
      </c>
      <c r="BK122" s="542">
        <f>SUM('Value Segment'!BK57,'Mid-Market Segment'!BK57,'Upper Mid-Market Segment'!BK57,'Premium Segment'!BK57)/SUM('Value Segment'!BK$82,'Mid-Market Segment'!BK$82,'Upper Mid-Market Segment'!BK$82,'Premium Segment'!BK$82)</f>
        <v>-174.59639804044872</v>
      </c>
      <c r="BL122" s="542">
        <f>SUM('Value Segment'!BL57,'Mid-Market Segment'!BL57,'Upper Mid-Market Segment'!BL57,'Premium Segment'!BL57)/SUM('Value Segment'!BL$82,'Mid-Market Segment'!BL$82,'Upper Mid-Market Segment'!BL$82,'Premium Segment'!BL$82)</f>
        <v>-174.59639804044872</v>
      </c>
      <c r="BM122" s="542">
        <f>SUM('Value Segment'!BM57,'Mid-Market Segment'!BM57,'Upper Mid-Market Segment'!BM57,'Premium Segment'!BM57)/SUM('Value Segment'!BM$82,'Mid-Market Segment'!BM$82,'Upper Mid-Market Segment'!BM$82,'Premium Segment'!BM$82)</f>
        <v>-174.59639804044872</v>
      </c>
      <c r="BN122" s="542">
        <f>SUM('Value Segment'!BN57,'Mid-Market Segment'!BN57,'Upper Mid-Market Segment'!BN57,'Premium Segment'!BN57)/SUM('Value Segment'!BN$82,'Mid-Market Segment'!BN$82,'Upper Mid-Market Segment'!BN$82,'Premium Segment'!BN$82)</f>
        <v>-178.08832600125771</v>
      </c>
      <c r="BO122" s="542">
        <f>SUM('Value Segment'!BO57,'Mid-Market Segment'!BO57,'Upper Mid-Market Segment'!BO57,'Premium Segment'!BO57)/SUM('Value Segment'!BO$82,'Mid-Market Segment'!BO$82,'Upper Mid-Market Segment'!BO$82,'Premium Segment'!BO$82)</f>
        <v>-178.08832600125771</v>
      </c>
      <c r="BP122" s="542">
        <f>SUM('Value Segment'!BP57,'Mid-Market Segment'!BP57,'Upper Mid-Market Segment'!BP57,'Premium Segment'!BP57)/SUM('Value Segment'!BP$82,'Mid-Market Segment'!BP$82,'Upper Mid-Market Segment'!BP$82,'Premium Segment'!BP$82)</f>
        <v>-178.08832600125771</v>
      </c>
      <c r="BQ122" s="542">
        <f>SUM('Value Segment'!BQ57,'Mid-Market Segment'!BQ57,'Upper Mid-Market Segment'!BQ57,'Premium Segment'!BQ57)/SUM('Value Segment'!BQ$82,'Mid-Market Segment'!BQ$82,'Upper Mid-Market Segment'!BQ$82,'Premium Segment'!BQ$82)</f>
        <v>-178.08832600125771</v>
      </c>
      <c r="BR122" s="542">
        <f>SUM('Value Segment'!BR57,'Mid-Market Segment'!BR57,'Upper Mid-Market Segment'!BR57,'Premium Segment'!BR57)/SUM('Value Segment'!BR$82,'Mid-Market Segment'!BR$82,'Upper Mid-Market Segment'!BR$82,'Premium Segment'!BR$82)</f>
        <v>-178.08832600125771</v>
      </c>
      <c r="BS122" s="542">
        <f>SUM('Value Segment'!BS57,'Mid-Market Segment'!BS57,'Upper Mid-Market Segment'!BS57,'Premium Segment'!BS57)/SUM('Value Segment'!BS$82,'Mid-Market Segment'!BS$82,'Upper Mid-Market Segment'!BS$82,'Premium Segment'!BS$82)</f>
        <v>-178.08832600125771</v>
      </c>
      <c r="BT122" s="542">
        <f>SUM('Value Segment'!BT57,'Mid-Market Segment'!BT57,'Upper Mid-Market Segment'!BT57,'Premium Segment'!BT57)/SUM('Value Segment'!BT$82,'Mid-Market Segment'!BT$82,'Upper Mid-Market Segment'!BT$82,'Premium Segment'!BT$82)</f>
        <v>-178.08832600125771</v>
      </c>
      <c r="BU122" s="542">
        <f>SUM('Value Segment'!BU57,'Mid-Market Segment'!BU57,'Upper Mid-Market Segment'!BU57,'Premium Segment'!BU57)/SUM('Value Segment'!BU$82,'Mid-Market Segment'!BU$82,'Upper Mid-Market Segment'!BU$82,'Premium Segment'!BU$82)</f>
        <v>-178.08832600125771</v>
      </c>
      <c r="BV122" s="542">
        <f>SUM('Value Segment'!BV57,'Mid-Market Segment'!BV57,'Upper Mid-Market Segment'!BV57,'Premium Segment'!BV57)/SUM('Value Segment'!BV$82,'Mid-Market Segment'!BV$82,'Upper Mid-Market Segment'!BV$82,'Premium Segment'!BV$82)</f>
        <v>-178.08832600125771</v>
      </c>
      <c r="BW122" s="542">
        <f>SUM('Value Segment'!BW57,'Mid-Market Segment'!BW57,'Upper Mid-Market Segment'!BW57,'Premium Segment'!BW57)/SUM('Value Segment'!BW$82,'Mid-Market Segment'!BW$82,'Upper Mid-Market Segment'!BW$82,'Premium Segment'!BW$82)</f>
        <v>-178.08832600125771</v>
      </c>
      <c r="BX122" s="542">
        <f>SUM('Value Segment'!BX57,'Mid-Market Segment'!BX57,'Upper Mid-Market Segment'!BX57,'Premium Segment'!BX57)/SUM('Value Segment'!BX$82,'Mid-Market Segment'!BX$82,'Upper Mid-Market Segment'!BX$82,'Premium Segment'!BX$82)</f>
        <v>-178.08832600125771</v>
      </c>
      <c r="BY122" s="542">
        <f>SUM('Value Segment'!BY57,'Mid-Market Segment'!BY57,'Upper Mid-Market Segment'!BY57,'Premium Segment'!BY57)/SUM('Value Segment'!BY$82,'Mid-Market Segment'!BY$82,'Upper Mid-Market Segment'!BY$82,'Premium Segment'!BY$82)</f>
        <v>-178.08832600125771</v>
      </c>
      <c r="CB122" s="8"/>
    </row>
    <row r="123" spans="3:80" x14ac:dyDescent="0.3">
      <c r="C123" s="2"/>
      <c r="D123" s="2"/>
      <c r="E123" s="2" t="s">
        <v>20</v>
      </c>
      <c r="F123" s="54"/>
      <c r="G123" s="54"/>
      <c r="H123" s="54"/>
      <c r="I123" s="19">
        <f>SUM('Value Segment'!I58,'Mid-Market Segment'!I58,'Upper Mid-Market Segment'!I58,'Premium Segment'!I58)/SUM('Value Segment'!I$82,'Mid-Market Segment'!I$82,'Upper Mid-Market Segment'!I$82,'Premium Segment'!I$82)</f>
        <v>-293.55724706780279</v>
      </c>
      <c r="J123" s="19">
        <f>SUM('Value Segment'!J58,'Mid-Market Segment'!J58,'Upper Mid-Market Segment'!J58,'Premium Segment'!J58)/SUM('Value Segment'!J$82,'Mid-Market Segment'!J$82,'Upper Mid-Market Segment'!J$82,'Premium Segment'!J$82)</f>
        <v>-299.42839200915893</v>
      </c>
      <c r="K123" s="19">
        <f>SUM('Value Segment'!K58,'Mid-Market Segment'!K58,'Upper Mid-Market Segment'!K58,'Premium Segment'!K58)/SUM('Value Segment'!K$82,'Mid-Market Segment'!K$82,'Upper Mid-Market Segment'!K$82,'Premium Segment'!K$82)</f>
        <v>-305.41695984934199</v>
      </c>
      <c r="L123" s="19">
        <f>SUM('Value Segment'!L58,'Mid-Market Segment'!L58,'Upper Mid-Market Segment'!L58,'Premium Segment'!L58)/SUM('Value Segment'!L$82,'Mid-Market Segment'!L$82,'Upper Mid-Market Segment'!L$82,'Premium Segment'!L$82)</f>
        <v>-311.52529904632888</v>
      </c>
      <c r="M123" s="19">
        <f>SUM('Value Segment'!M58,'Mid-Market Segment'!M58,'Upper Mid-Market Segment'!M58,'Premium Segment'!M58)/SUM('Value Segment'!M$82,'Mid-Market Segment'!M$82,'Upper Mid-Market Segment'!M$82,'Premium Segment'!M$82)</f>
        <v>-317.75580502725541</v>
      </c>
      <c r="N123" s="19">
        <f>SUM('Value Segment'!N58,'Mid-Market Segment'!N58,'Upper Mid-Market Segment'!N58,'Premium Segment'!N58)/SUM('Value Segment'!N$82,'Mid-Market Segment'!N$82,'Upper Mid-Market Segment'!N$82,'Premium Segment'!N$82)</f>
        <v>-324.11092112780074</v>
      </c>
      <c r="O123" s="37"/>
      <c r="P123" s="50">
        <f>IFERROR(((N123/I123)^(1/5))-1,0)</f>
        <v>2.0000000000000018E-2</v>
      </c>
      <c r="R123" s="19">
        <f>SUM('Value Segment'!R58,'Mid-Market Segment'!R58,'Upper Mid-Market Segment'!R58,'Premium Segment'!R58)/SUM('Value Segment'!R$82,'Mid-Market Segment'!R$82,'Upper Mid-Market Segment'!R$82,'Premium Segment'!R$82)</f>
        <v>-24.952366000763242</v>
      </c>
      <c r="S123" s="542">
        <f>SUM('Value Segment'!S58,'Mid-Market Segment'!S58,'Upper Mid-Market Segment'!S58,'Premium Segment'!S58)/SUM('Value Segment'!S$82,'Mid-Market Segment'!S$82,'Upper Mid-Market Segment'!S$82,'Premium Segment'!S$82)</f>
        <v>-24.952366000763242</v>
      </c>
      <c r="T123" s="542">
        <f>SUM('Value Segment'!T58,'Mid-Market Segment'!T58,'Upper Mid-Market Segment'!T58,'Premium Segment'!T58)/SUM('Value Segment'!T$82,'Mid-Market Segment'!T$82,'Upper Mid-Market Segment'!T$82,'Premium Segment'!T$82)</f>
        <v>-24.952366000763242</v>
      </c>
      <c r="U123" s="542">
        <f>SUM('Value Segment'!U58,'Mid-Market Segment'!U58,'Upper Mid-Market Segment'!U58,'Premium Segment'!U58)/SUM('Value Segment'!U$82,'Mid-Market Segment'!U$82,'Upper Mid-Market Segment'!U$82,'Premium Segment'!U$82)</f>
        <v>-24.952366000763242</v>
      </c>
      <c r="V123" s="542">
        <f>SUM('Value Segment'!V58,'Mid-Market Segment'!V58,'Upper Mid-Market Segment'!V58,'Premium Segment'!V58)/SUM('Value Segment'!V$82,'Mid-Market Segment'!V$82,'Upper Mid-Market Segment'!V$82,'Premium Segment'!V$82)</f>
        <v>-24.952366000763242</v>
      </c>
      <c r="W123" s="542">
        <f>SUM('Value Segment'!W58,'Mid-Market Segment'!W58,'Upper Mid-Market Segment'!W58,'Premium Segment'!W58)/SUM('Value Segment'!W$82,'Mid-Market Segment'!W$82,'Upper Mid-Market Segment'!W$82,'Premium Segment'!W$82)</f>
        <v>-24.952366000763242</v>
      </c>
      <c r="X123" s="542">
        <f>SUM('Value Segment'!X58,'Mid-Market Segment'!X58,'Upper Mid-Market Segment'!X58,'Premium Segment'!X58)/SUM('Value Segment'!X$82,'Mid-Market Segment'!X$82,'Upper Mid-Market Segment'!X$82,'Premium Segment'!X$82)</f>
        <v>-24.952366000763242</v>
      </c>
      <c r="Y123" s="542">
        <f>SUM('Value Segment'!Y58,'Mid-Market Segment'!Y58,'Upper Mid-Market Segment'!Y58,'Premium Segment'!Y58)/SUM('Value Segment'!Y$82,'Mid-Market Segment'!Y$82,'Upper Mid-Market Segment'!Y$82,'Premium Segment'!Y$82)</f>
        <v>-24.952366000763242</v>
      </c>
      <c r="Z123" s="542">
        <f>SUM('Value Segment'!Z58,'Mid-Market Segment'!Z58,'Upper Mid-Market Segment'!Z58,'Premium Segment'!Z58)/SUM('Value Segment'!Z$82,'Mid-Market Segment'!Z$82,'Upper Mid-Market Segment'!Z$82,'Premium Segment'!Z$82)</f>
        <v>-24.952366000763242</v>
      </c>
      <c r="AA123" s="542">
        <f>SUM('Value Segment'!AA58,'Mid-Market Segment'!AA58,'Upper Mid-Market Segment'!AA58,'Premium Segment'!AA58)/SUM('Value Segment'!AA$82,'Mid-Market Segment'!AA$82,'Upper Mid-Market Segment'!AA$82,'Premium Segment'!AA$82)</f>
        <v>-24.952366000763242</v>
      </c>
      <c r="AB123" s="542">
        <f>SUM('Value Segment'!AB58,'Mid-Market Segment'!AB58,'Upper Mid-Market Segment'!AB58,'Premium Segment'!AB58)/SUM('Value Segment'!AB$82,'Mid-Market Segment'!AB$82,'Upper Mid-Market Segment'!AB$82,'Premium Segment'!AB$82)</f>
        <v>-24.952366000763242</v>
      </c>
      <c r="AC123" s="542">
        <f>SUM('Value Segment'!AC58,'Mid-Market Segment'!AC58,'Upper Mid-Market Segment'!AC58,'Premium Segment'!AC58)/SUM('Value Segment'!AC$82,'Mid-Market Segment'!AC$82,'Upper Mid-Market Segment'!AC$82,'Premium Segment'!AC$82)</f>
        <v>-24.952366000763242</v>
      </c>
      <c r="AD123" s="542">
        <f>SUM('Value Segment'!AD58,'Mid-Market Segment'!AD58,'Upper Mid-Market Segment'!AD58,'Premium Segment'!AD58)/SUM('Value Segment'!AD$82,'Mid-Market Segment'!AD$82,'Upper Mid-Market Segment'!AD$82,'Premium Segment'!AD$82)</f>
        <v>-25.451413320778503</v>
      </c>
      <c r="AE123" s="542">
        <f>SUM('Value Segment'!AE58,'Mid-Market Segment'!AE58,'Upper Mid-Market Segment'!AE58,'Premium Segment'!AE58)/SUM('Value Segment'!AE$82,'Mid-Market Segment'!AE$82,'Upper Mid-Market Segment'!AE$82,'Premium Segment'!AE$82)</f>
        <v>-25.451413320778503</v>
      </c>
      <c r="AF123" s="542">
        <f>SUM('Value Segment'!AF58,'Mid-Market Segment'!AF58,'Upper Mid-Market Segment'!AF58,'Premium Segment'!AF58)/SUM('Value Segment'!AF$82,'Mid-Market Segment'!AF$82,'Upper Mid-Market Segment'!AF$82,'Premium Segment'!AF$82)</f>
        <v>-25.451413320778503</v>
      </c>
      <c r="AG123" s="542">
        <f>SUM('Value Segment'!AG58,'Mid-Market Segment'!AG58,'Upper Mid-Market Segment'!AG58,'Premium Segment'!AG58)/SUM('Value Segment'!AG$82,'Mid-Market Segment'!AG$82,'Upper Mid-Market Segment'!AG$82,'Premium Segment'!AG$82)</f>
        <v>-25.451413320778503</v>
      </c>
      <c r="AH123" s="542">
        <f>SUM('Value Segment'!AH58,'Mid-Market Segment'!AH58,'Upper Mid-Market Segment'!AH58,'Premium Segment'!AH58)/SUM('Value Segment'!AH$82,'Mid-Market Segment'!AH$82,'Upper Mid-Market Segment'!AH$82,'Premium Segment'!AH$82)</f>
        <v>-25.451413320778503</v>
      </c>
      <c r="AI123" s="542">
        <f>SUM('Value Segment'!AI58,'Mid-Market Segment'!AI58,'Upper Mid-Market Segment'!AI58,'Premium Segment'!AI58)/SUM('Value Segment'!AI$82,'Mid-Market Segment'!AI$82,'Upper Mid-Market Segment'!AI$82,'Premium Segment'!AI$82)</f>
        <v>-25.451413320778503</v>
      </c>
      <c r="AJ123" s="542">
        <f>SUM('Value Segment'!AJ58,'Mid-Market Segment'!AJ58,'Upper Mid-Market Segment'!AJ58,'Premium Segment'!AJ58)/SUM('Value Segment'!AJ$82,'Mid-Market Segment'!AJ$82,'Upper Mid-Market Segment'!AJ$82,'Premium Segment'!AJ$82)</f>
        <v>-25.451413320778503</v>
      </c>
      <c r="AK123" s="542">
        <f>SUM('Value Segment'!AK58,'Mid-Market Segment'!AK58,'Upper Mid-Market Segment'!AK58,'Premium Segment'!AK58)/SUM('Value Segment'!AK$82,'Mid-Market Segment'!AK$82,'Upper Mid-Market Segment'!AK$82,'Premium Segment'!AK$82)</f>
        <v>-25.451413320778503</v>
      </c>
      <c r="AL123" s="542">
        <f>SUM('Value Segment'!AL58,'Mid-Market Segment'!AL58,'Upper Mid-Market Segment'!AL58,'Premium Segment'!AL58)/SUM('Value Segment'!AL$82,'Mid-Market Segment'!AL$82,'Upper Mid-Market Segment'!AL$82,'Premium Segment'!AL$82)</f>
        <v>-25.451413320778503</v>
      </c>
      <c r="AM123" s="542">
        <f>SUM('Value Segment'!AM58,'Mid-Market Segment'!AM58,'Upper Mid-Market Segment'!AM58,'Premium Segment'!AM58)/SUM('Value Segment'!AM$82,'Mid-Market Segment'!AM$82,'Upper Mid-Market Segment'!AM$82,'Premium Segment'!AM$82)</f>
        <v>-25.451413320778503</v>
      </c>
      <c r="AN123" s="542">
        <f>SUM('Value Segment'!AN58,'Mid-Market Segment'!AN58,'Upper Mid-Market Segment'!AN58,'Premium Segment'!AN58)/SUM('Value Segment'!AN$82,'Mid-Market Segment'!AN$82,'Upper Mid-Market Segment'!AN$82,'Premium Segment'!AN$82)</f>
        <v>-25.451413320778503</v>
      </c>
      <c r="AO123" s="542">
        <f>SUM('Value Segment'!AO58,'Mid-Market Segment'!AO58,'Upper Mid-Market Segment'!AO58,'Premium Segment'!AO58)/SUM('Value Segment'!AO$82,'Mid-Market Segment'!AO$82,'Upper Mid-Market Segment'!AO$82,'Premium Segment'!AO$82)</f>
        <v>-25.451413320778503</v>
      </c>
      <c r="AP123" s="542">
        <f>SUM('Value Segment'!AP58,'Mid-Market Segment'!AP58,'Upper Mid-Market Segment'!AP58,'Premium Segment'!AP58)/SUM('Value Segment'!AP$82,'Mid-Market Segment'!AP$82,'Upper Mid-Market Segment'!AP$82,'Premium Segment'!AP$82)</f>
        <v>-25.960441587194076</v>
      </c>
      <c r="AQ123" s="542">
        <f>SUM('Value Segment'!AQ58,'Mid-Market Segment'!AQ58,'Upper Mid-Market Segment'!AQ58,'Premium Segment'!AQ58)/SUM('Value Segment'!AQ$82,'Mid-Market Segment'!AQ$82,'Upper Mid-Market Segment'!AQ$82,'Premium Segment'!AQ$82)</f>
        <v>-25.960441587194076</v>
      </c>
      <c r="AR123" s="542">
        <f>SUM('Value Segment'!AR58,'Mid-Market Segment'!AR58,'Upper Mid-Market Segment'!AR58,'Premium Segment'!AR58)/SUM('Value Segment'!AR$82,'Mid-Market Segment'!AR$82,'Upper Mid-Market Segment'!AR$82,'Premium Segment'!AR$82)</f>
        <v>-25.960441587194076</v>
      </c>
      <c r="AS123" s="542">
        <f>SUM('Value Segment'!AS58,'Mid-Market Segment'!AS58,'Upper Mid-Market Segment'!AS58,'Premium Segment'!AS58)/SUM('Value Segment'!AS$82,'Mid-Market Segment'!AS$82,'Upper Mid-Market Segment'!AS$82,'Premium Segment'!AS$82)</f>
        <v>-25.960441587194076</v>
      </c>
      <c r="AT123" s="542">
        <f>SUM('Value Segment'!AT58,'Mid-Market Segment'!AT58,'Upper Mid-Market Segment'!AT58,'Premium Segment'!AT58)/SUM('Value Segment'!AT$82,'Mid-Market Segment'!AT$82,'Upper Mid-Market Segment'!AT$82,'Premium Segment'!AT$82)</f>
        <v>-25.960441587194076</v>
      </c>
      <c r="AU123" s="542">
        <f>SUM('Value Segment'!AU58,'Mid-Market Segment'!AU58,'Upper Mid-Market Segment'!AU58,'Premium Segment'!AU58)/SUM('Value Segment'!AU$82,'Mid-Market Segment'!AU$82,'Upper Mid-Market Segment'!AU$82,'Premium Segment'!AU$82)</f>
        <v>-25.960441587194076</v>
      </c>
      <c r="AV123" s="542">
        <f>SUM('Value Segment'!AV58,'Mid-Market Segment'!AV58,'Upper Mid-Market Segment'!AV58,'Premium Segment'!AV58)/SUM('Value Segment'!AV$82,'Mid-Market Segment'!AV$82,'Upper Mid-Market Segment'!AV$82,'Premium Segment'!AV$82)</f>
        <v>-25.960441587194076</v>
      </c>
      <c r="AW123" s="542">
        <f>SUM('Value Segment'!AW58,'Mid-Market Segment'!AW58,'Upper Mid-Market Segment'!AW58,'Premium Segment'!AW58)/SUM('Value Segment'!AW$82,'Mid-Market Segment'!AW$82,'Upper Mid-Market Segment'!AW$82,'Premium Segment'!AW$82)</f>
        <v>-25.960441587194076</v>
      </c>
      <c r="AX123" s="542">
        <f>SUM('Value Segment'!AX58,'Mid-Market Segment'!AX58,'Upper Mid-Market Segment'!AX58,'Premium Segment'!AX58)/SUM('Value Segment'!AX$82,'Mid-Market Segment'!AX$82,'Upper Mid-Market Segment'!AX$82,'Premium Segment'!AX$82)</f>
        <v>-25.960441587194076</v>
      </c>
      <c r="AY123" s="542">
        <f>SUM('Value Segment'!AY58,'Mid-Market Segment'!AY58,'Upper Mid-Market Segment'!AY58,'Premium Segment'!AY58)/SUM('Value Segment'!AY$82,'Mid-Market Segment'!AY$82,'Upper Mid-Market Segment'!AY$82,'Premium Segment'!AY$82)</f>
        <v>-25.960441587194076</v>
      </c>
      <c r="AZ123" s="542">
        <f>SUM('Value Segment'!AZ58,'Mid-Market Segment'!AZ58,'Upper Mid-Market Segment'!AZ58,'Premium Segment'!AZ58)/SUM('Value Segment'!AZ$82,'Mid-Market Segment'!AZ$82,'Upper Mid-Market Segment'!AZ$82,'Premium Segment'!AZ$82)</f>
        <v>-25.960441587194076</v>
      </c>
      <c r="BA123" s="542">
        <f>SUM('Value Segment'!BA58,'Mid-Market Segment'!BA58,'Upper Mid-Market Segment'!BA58,'Premium Segment'!BA58)/SUM('Value Segment'!BA$82,'Mid-Market Segment'!BA$82,'Upper Mid-Market Segment'!BA$82,'Premium Segment'!BA$82)</f>
        <v>-25.960441587194076</v>
      </c>
      <c r="BB123" s="542">
        <f>SUM('Value Segment'!BB58,'Mid-Market Segment'!BB58,'Upper Mid-Market Segment'!BB58,'Premium Segment'!BB58)/SUM('Value Segment'!BB$82,'Mid-Market Segment'!BB$82,'Upper Mid-Market Segment'!BB$82,'Premium Segment'!BB$82)</f>
        <v>-26.479650418937954</v>
      </c>
      <c r="BC123" s="542">
        <f>SUM('Value Segment'!BC58,'Mid-Market Segment'!BC58,'Upper Mid-Market Segment'!BC58,'Premium Segment'!BC58)/SUM('Value Segment'!BC$82,'Mid-Market Segment'!BC$82,'Upper Mid-Market Segment'!BC$82,'Premium Segment'!BC$82)</f>
        <v>-26.479650418937954</v>
      </c>
      <c r="BD123" s="542">
        <f>SUM('Value Segment'!BD58,'Mid-Market Segment'!BD58,'Upper Mid-Market Segment'!BD58,'Premium Segment'!BD58)/SUM('Value Segment'!BD$82,'Mid-Market Segment'!BD$82,'Upper Mid-Market Segment'!BD$82,'Premium Segment'!BD$82)</f>
        <v>-26.479650418937954</v>
      </c>
      <c r="BE123" s="542">
        <f>SUM('Value Segment'!BE58,'Mid-Market Segment'!BE58,'Upper Mid-Market Segment'!BE58,'Premium Segment'!BE58)/SUM('Value Segment'!BE$82,'Mid-Market Segment'!BE$82,'Upper Mid-Market Segment'!BE$82,'Premium Segment'!BE$82)</f>
        <v>-26.479650418937954</v>
      </c>
      <c r="BF123" s="542">
        <f>SUM('Value Segment'!BF58,'Mid-Market Segment'!BF58,'Upper Mid-Market Segment'!BF58,'Premium Segment'!BF58)/SUM('Value Segment'!BF$82,'Mid-Market Segment'!BF$82,'Upper Mid-Market Segment'!BF$82,'Premium Segment'!BF$82)</f>
        <v>-26.479650418937954</v>
      </c>
      <c r="BG123" s="542">
        <f>SUM('Value Segment'!BG58,'Mid-Market Segment'!BG58,'Upper Mid-Market Segment'!BG58,'Premium Segment'!BG58)/SUM('Value Segment'!BG$82,'Mid-Market Segment'!BG$82,'Upper Mid-Market Segment'!BG$82,'Premium Segment'!BG$82)</f>
        <v>-26.479650418937954</v>
      </c>
      <c r="BH123" s="542">
        <f>SUM('Value Segment'!BH58,'Mid-Market Segment'!BH58,'Upper Mid-Market Segment'!BH58,'Premium Segment'!BH58)/SUM('Value Segment'!BH$82,'Mid-Market Segment'!BH$82,'Upper Mid-Market Segment'!BH$82,'Premium Segment'!BH$82)</f>
        <v>-26.479650418937954</v>
      </c>
      <c r="BI123" s="542">
        <f>SUM('Value Segment'!BI58,'Mid-Market Segment'!BI58,'Upper Mid-Market Segment'!BI58,'Premium Segment'!BI58)/SUM('Value Segment'!BI$82,'Mid-Market Segment'!BI$82,'Upper Mid-Market Segment'!BI$82,'Premium Segment'!BI$82)</f>
        <v>-26.479650418937954</v>
      </c>
      <c r="BJ123" s="542">
        <f>SUM('Value Segment'!BJ58,'Mid-Market Segment'!BJ58,'Upper Mid-Market Segment'!BJ58,'Premium Segment'!BJ58)/SUM('Value Segment'!BJ$82,'Mid-Market Segment'!BJ$82,'Upper Mid-Market Segment'!BJ$82,'Premium Segment'!BJ$82)</f>
        <v>-26.479650418937954</v>
      </c>
      <c r="BK123" s="542">
        <f>SUM('Value Segment'!BK58,'Mid-Market Segment'!BK58,'Upper Mid-Market Segment'!BK58,'Premium Segment'!BK58)/SUM('Value Segment'!BK$82,'Mid-Market Segment'!BK$82,'Upper Mid-Market Segment'!BK$82,'Premium Segment'!BK$82)</f>
        <v>-26.479650418937954</v>
      </c>
      <c r="BL123" s="542">
        <f>SUM('Value Segment'!BL58,'Mid-Market Segment'!BL58,'Upper Mid-Market Segment'!BL58,'Premium Segment'!BL58)/SUM('Value Segment'!BL$82,'Mid-Market Segment'!BL$82,'Upper Mid-Market Segment'!BL$82,'Premium Segment'!BL$82)</f>
        <v>-26.479650418937954</v>
      </c>
      <c r="BM123" s="542">
        <f>SUM('Value Segment'!BM58,'Mid-Market Segment'!BM58,'Upper Mid-Market Segment'!BM58,'Premium Segment'!BM58)/SUM('Value Segment'!BM$82,'Mid-Market Segment'!BM$82,'Upper Mid-Market Segment'!BM$82,'Premium Segment'!BM$82)</f>
        <v>-26.479650418937954</v>
      </c>
      <c r="BN123" s="542">
        <f>SUM('Value Segment'!BN58,'Mid-Market Segment'!BN58,'Upper Mid-Market Segment'!BN58,'Premium Segment'!BN58)/SUM('Value Segment'!BN$82,'Mid-Market Segment'!BN$82,'Upper Mid-Market Segment'!BN$82,'Premium Segment'!BN$82)</f>
        <v>-27.009243427316719</v>
      </c>
      <c r="BO123" s="542">
        <f>SUM('Value Segment'!BO58,'Mid-Market Segment'!BO58,'Upper Mid-Market Segment'!BO58,'Premium Segment'!BO58)/SUM('Value Segment'!BO$82,'Mid-Market Segment'!BO$82,'Upper Mid-Market Segment'!BO$82,'Premium Segment'!BO$82)</f>
        <v>-27.009243427316719</v>
      </c>
      <c r="BP123" s="542">
        <f>SUM('Value Segment'!BP58,'Mid-Market Segment'!BP58,'Upper Mid-Market Segment'!BP58,'Premium Segment'!BP58)/SUM('Value Segment'!BP$82,'Mid-Market Segment'!BP$82,'Upper Mid-Market Segment'!BP$82,'Premium Segment'!BP$82)</f>
        <v>-27.009243427316719</v>
      </c>
      <c r="BQ123" s="542">
        <f>SUM('Value Segment'!BQ58,'Mid-Market Segment'!BQ58,'Upper Mid-Market Segment'!BQ58,'Premium Segment'!BQ58)/SUM('Value Segment'!BQ$82,'Mid-Market Segment'!BQ$82,'Upper Mid-Market Segment'!BQ$82,'Premium Segment'!BQ$82)</f>
        <v>-27.009243427316719</v>
      </c>
      <c r="BR123" s="542">
        <f>SUM('Value Segment'!BR58,'Mid-Market Segment'!BR58,'Upper Mid-Market Segment'!BR58,'Premium Segment'!BR58)/SUM('Value Segment'!BR$82,'Mid-Market Segment'!BR$82,'Upper Mid-Market Segment'!BR$82,'Premium Segment'!BR$82)</f>
        <v>-27.009243427316719</v>
      </c>
      <c r="BS123" s="542">
        <f>SUM('Value Segment'!BS58,'Mid-Market Segment'!BS58,'Upper Mid-Market Segment'!BS58,'Premium Segment'!BS58)/SUM('Value Segment'!BS$82,'Mid-Market Segment'!BS$82,'Upper Mid-Market Segment'!BS$82,'Premium Segment'!BS$82)</f>
        <v>-27.009243427316719</v>
      </c>
      <c r="BT123" s="542">
        <f>SUM('Value Segment'!BT58,'Mid-Market Segment'!BT58,'Upper Mid-Market Segment'!BT58,'Premium Segment'!BT58)/SUM('Value Segment'!BT$82,'Mid-Market Segment'!BT$82,'Upper Mid-Market Segment'!BT$82,'Premium Segment'!BT$82)</f>
        <v>-27.009243427316719</v>
      </c>
      <c r="BU123" s="542">
        <f>SUM('Value Segment'!BU58,'Mid-Market Segment'!BU58,'Upper Mid-Market Segment'!BU58,'Premium Segment'!BU58)/SUM('Value Segment'!BU$82,'Mid-Market Segment'!BU$82,'Upper Mid-Market Segment'!BU$82,'Premium Segment'!BU$82)</f>
        <v>-27.009243427316719</v>
      </c>
      <c r="BV123" s="542">
        <f>SUM('Value Segment'!BV58,'Mid-Market Segment'!BV58,'Upper Mid-Market Segment'!BV58,'Premium Segment'!BV58)/SUM('Value Segment'!BV$82,'Mid-Market Segment'!BV$82,'Upper Mid-Market Segment'!BV$82,'Premium Segment'!BV$82)</f>
        <v>-27.009243427316719</v>
      </c>
      <c r="BW123" s="542">
        <f>SUM('Value Segment'!BW58,'Mid-Market Segment'!BW58,'Upper Mid-Market Segment'!BW58,'Premium Segment'!BW58)/SUM('Value Segment'!BW$82,'Mid-Market Segment'!BW$82,'Upper Mid-Market Segment'!BW$82,'Premium Segment'!BW$82)</f>
        <v>-27.009243427316719</v>
      </c>
      <c r="BX123" s="542">
        <f>SUM('Value Segment'!BX58,'Mid-Market Segment'!BX58,'Upper Mid-Market Segment'!BX58,'Premium Segment'!BX58)/SUM('Value Segment'!BX$82,'Mid-Market Segment'!BX$82,'Upper Mid-Market Segment'!BX$82,'Premium Segment'!BX$82)</f>
        <v>-27.009243427316719</v>
      </c>
      <c r="BY123" s="542">
        <f>SUM('Value Segment'!BY58,'Mid-Market Segment'!BY58,'Upper Mid-Market Segment'!BY58,'Premium Segment'!BY58)/SUM('Value Segment'!BY$82,'Mid-Market Segment'!BY$82,'Upper Mid-Market Segment'!BY$82,'Premium Segment'!BY$82)</f>
        <v>-27.009243427316719</v>
      </c>
      <c r="CB123" s="8"/>
    </row>
    <row r="124" spans="3:80" x14ac:dyDescent="0.3">
      <c r="C124" s="2"/>
      <c r="D124" s="2"/>
      <c r="E124" s="4" t="s">
        <v>35</v>
      </c>
      <c r="F124" s="5"/>
      <c r="G124" s="5"/>
      <c r="H124" s="5"/>
      <c r="I124" s="672">
        <f>SUM('Value Segment'!I59,'Mid-Market Segment'!I59,'Upper Mid-Market Segment'!I59,'Premium Segment'!I59)/SUM('Value Segment'!I$82,'Mid-Market Segment'!I$82,'Upper Mid-Market Segment'!I$82,'Premium Segment'!I$82)</f>
        <v>-2229.1582518322807</v>
      </c>
      <c r="J124" s="672">
        <f>SUM('Value Segment'!J59,'Mid-Market Segment'!J59,'Upper Mid-Market Segment'!J59,'Premium Segment'!J59)/SUM('Value Segment'!J$82,'Mid-Market Segment'!J$82,'Upper Mid-Market Segment'!J$82,'Premium Segment'!J$82)</f>
        <v>-2273.7414168689274</v>
      </c>
      <c r="K124" s="672">
        <f>SUM('Value Segment'!K59,'Mid-Market Segment'!K59,'Upper Mid-Market Segment'!K59,'Premium Segment'!K59)/SUM('Value Segment'!K$82,'Mid-Market Segment'!K$82,'Upper Mid-Market Segment'!K$82,'Premium Segment'!K$82)</f>
        <v>-2319.2162452063058</v>
      </c>
      <c r="L124" s="672">
        <f>SUM('Value Segment'!L59,'Mid-Market Segment'!L59,'Upper Mid-Market Segment'!L59,'Premium Segment'!L59)/SUM('Value Segment'!L$82,'Mid-Market Segment'!L$82,'Upper Mid-Market Segment'!L$82,'Premium Segment'!L$82)</f>
        <v>-2365.6005701104318</v>
      </c>
      <c r="M124" s="672">
        <f>SUM('Value Segment'!M59,'Mid-Market Segment'!M59,'Upper Mid-Market Segment'!M59,'Premium Segment'!M59)/SUM('Value Segment'!M$82,'Mid-Market Segment'!M$82,'Upper Mid-Market Segment'!M$82,'Premium Segment'!M$82)</f>
        <v>-2412.9125815126404</v>
      </c>
      <c r="N124" s="672">
        <f>SUM('Value Segment'!N59,'Mid-Market Segment'!N59,'Upper Mid-Market Segment'!N59,'Premium Segment'!N59)/SUM('Value Segment'!N$82,'Mid-Market Segment'!N$82,'Upper Mid-Market Segment'!N$82,'Premium Segment'!N$82)</f>
        <v>-2461.1708331428931</v>
      </c>
      <c r="O124" s="57"/>
      <c r="P124" s="55">
        <f>IFERROR(((N124/I124)^(1/5))-1,0)</f>
        <v>2.0000000000000018E-2</v>
      </c>
      <c r="R124" s="672">
        <f>SUM('Value Segment'!R59,'Mid-Market Segment'!R59,'Upper Mid-Market Segment'!R59,'Premium Segment'!R59)/SUM('Value Segment'!R$82,'Mid-Market Segment'!R$82,'Upper Mid-Market Segment'!R$82,'Premium Segment'!R$82)</f>
        <v>-189.4784514057439</v>
      </c>
      <c r="S124" s="675">
        <f>SUM('Value Segment'!S59,'Mid-Market Segment'!S59,'Upper Mid-Market Segment'!S59,'Premium Segment'!S59)/SUM('Value Segment'!S$82,'Mid-Market Segment'!S$82,'Upper Mid-Market Segment'!S$82,'Premium Segment'!S$82)</f>
        <v>-189.4784514057439</v>
      </c>
      <c r="T124" s="675">
        <f>SUM('Value Segment'!T59,'Mid-Market Segment'!T59,'Upper Mid-Market Segment'!T59,'Premium Segment'!T59)/SUM('Value Segment'!T$82,'Mid-Market Segment'!T$82,'Upper Mid-Market Segment'!T$82,'Premium Segment'!T$82)</f>
        <v>-189.4784514057439</v>
      </c>
      <c r="U124" s="675">
        <f>SUM('Value Segment'!U59,'Mid-Market Segment'!U59,'Upper Mid-Market Segment'!U59,'Premium Segment'!U59)/SUM('Value Segment'!U$82,'Mid-Market Segment'!U$82,'Upper Mid-Market Segment'!U$82,'Premium Segment'!U$82)</f>
        <v>-189.4784514057439</v>
      </c>
      <c r="V124" s="675">
        <f>SUM('Value Segment'!V59,'Mid-Market Segment'!V59,'Upper Mid-Market Segment'!V59,'Premium Segment'!V59)/SUM('Value Segment'!V$82,'Mid-Market Segment'!V$82,'Upper Mid-Market Segment'!V$82,'Premium Segment'!V$82)</f>
        <v>-189.4784514057439</v>
      </c>
      <c r="W124" s="675">
        <f>SUM('Value Segment'!W59,'Mid-Market Segment'!W59,'Upper Mid-Market Segment'!W59,'Premium Segment'!W59)/SUM('Value Segment'!W$82,'Mid-Market Segment'!W$82,'Upper Mid-Market Segment'!W$82,'Premium Segment'!W$82)</f>
        <v>-189.4784514057439</v>
      </c>
      <c r="X124" s="675">
        <f>SUM('Value Segment'!X59,'Mid-Market Segment'!X59,'Upper Mid-Market Segment'!X59,'Premium Segment'!X59)/SUM('Value Segment'!X$82,'Mid-Market Segment'!X$82,'Upper Mid-Market Segment'!X$82,'Premium Segment'!X$82)</f>
        <v>-189.4784514057439</v>
      </c>
      <c r="Y124" s="675">
        <f>SUM('Value Segment'!Y59,'Mid-Market Segment'!Y59,'Upper Mid-Market Segment'!Y59,'Premium Segment'!Y59)/SUM('Value Segment'!Y$82,'Mid-Market Segment'!Y$82,'Upper Mid-Market Segment'!Y$82,'Premium Segment'!Y$82)</f>
        <v>-189.4784514057439</v>
      </c>
      <c r="Z124" s="675">
        <f>SUM('Value Segment'!Z59,'Mid-Market Segment'!Z59,'Upper Mid-Market Segment'!Z59,'Premium Segment'!Z59)/SUM('Value Segment'!Z$82,'Mid-Market Segment'!Z$82,'Upper Mid-Market Segment'!Z$82,'Premium Segment'!Z$82)</f>
        <v>-189.4784514057439</v>
      </c>
      <c r="AA124" s="675">
        <f>SUM('Value Segment'!AA59,'Mid-Market Segment'!AA59,'Upper Mid-Market Segment'!AA59,'Premium Segment'!AA59)/SUM('Value Segment'!AA$82,'Mid-Market Segment'!AA$82,'Upper Mid-Market Segment'!AA$82,'Premium Segment'!AA$82)</f>
        <v>-189.4784514057439</v>
      </c>
      <c r="AB124" s="675">
        <f>SUM('Value Segment'!AB59,'Mid-Market Segment'!AB59,'Upper Mid-Market Segment'!AB59,'Premium Segment'!AB59)/SUM('Value Segment'!AB$82,'Mid-Market Segment'!AB$82,'Upper Mid-Market Segment'!AB$82,'Premium Segment'!AB$82)</f>
        <v>-189.4784514057439</v>
      </c>
      <c r="AC124" s="675">
        <f>SUM('Value Segment'!AC59,'Mid-Market Segment'!AC59,'Upper Mid-Market Segment'!AC59,'Premium Segment'!AC59)/SUM('Value Segment'!AC$82,'Mid-Market Segment'!AC$82,'Upper Mid-Market Segment'!AC$82,'Premium Segment'!AC$82)</f>
        <v>-189.4784514057439</v>
      </c>
      <c r="AD124" s="675">
        <f>SUM('Value Segment'!AD59,'Mid-Market Segment'!AD59,'Upper Mid-Market Segment'!AD59,'Premium Segment'!AD59)/SUM('Value Segment'!AD$82,'Mid-Market Segment'!AD$82,'Upper Mid-Market Segment'!AD$82,'Premium Segment'!AD$82)</f>
        <v>-193.26802043385879</v>
      </c>
      <c r="AE124" s="675">
        <f>SUM('Value Segment'!AE59,'Mid-Market Segment'!AE59,'Upper Mid-Market Segment'!AE59,'Premium Segment'!AE59)/SUM('Value Segment'!AE$82,'Mid-Market Segment'!AE$82,'Upper Mid-Market Segment'!AE$82,'Premium Segment'!AE$82)</f>
        <v>-193.26802043385879</v>
      </c>
      <c r="AF124" s="675">
        <f>SUM('Value Segment'!AF59,'Mid-Market Segment'!AF59,'Upper Mid-Market Segment'!AF59,'Premium Segment'!AF59)/SUM('Value Segment'!AF$82,'Mid-Market Segment'!AF$82,'Upper Mid-Market Segment'!AF$82,'Premium Segment'!AF$82)</f>
        <v>-193.26802043385879</v>
      </c>
      <c r="AG124" s="675">
        <f>SUM('Value Segment'!AG59,'Mid-Market Segment'!AG59,'Upper Mid-Market Segment'!AG59,'Premium Segment'!AG59)/SUM('Value Segment'!AG$82,'Mid-Market Segment'!AG$82,'Upper Mid-Market Segment'!AG$82,'Premium Segment'!AG$82)</f>
        <v>-193.26802043385879</v>
      </c>
      <c r="AH124" s="675">
        <f>SUM('Value Segment'!AH59,'Mid-Market Segment'!AH59,'Upper Mid-Market Segment'!AH59,'Premium Segment'!AH59)/SUM('Value Segment'!AH$82,'Mid-Market Segment'!AH$82,'Upper Mid-Market Segment'!AH$82,'Premium Segment'!AH$82)</f>
        <v>-193.26802043385879</v>
      </c>
      <c r="AI124" s="675">
        <f>SUM('Value Segment'!AI59,'Mid-Market Segment'!AI59,'Upper Mid-Market Segment'!AI59,'Premium Segment'!AI59)/SUM('Value Segment'!AI$82,'Mid-Market Segment'!AI$82,'Upper Mid-Market Segment'!AI$82,'Premium Segment'!AI$82)</f>
        <v>-193.26802043385879</v>
      </c>
      <c r="AJ124" s="675">
        <f>SUM('Value Segment'!AJ59,'Mid-Market Segment'!AJ59,'Upper Mid-Market Segment'!AJ59,'Premium Segment'!AJ59)/SUM('Value Segment'!AJ$82,'Mid-Market Segment'!AJ$82,'Upper Mid-Market Segment'!AJ$82,'Premium Segment'!AJ$82)</f>
        <v>-193.26802043385879</v>
      </c>
      <c r="AK124" s="675">
        <f>SUM('Value Segment'!AK59,'Mid-Market Segment'!AK59,'Upper Mid-Market Segment'!AK59,'Premium Segment'!AK59)/SUM('Value Segment'!AK$82,'Mid-Market Segment'!AK$82,'Upper Mid-Market Segment'!AK$82,'Premium Segment'!AK$82)</f>
        <v>-193.26802043385879</v>
      </c>
      <c r="AL124" s="675">
        <f>SUM('Value Segment'!AL59,'Mid-Market Segment'!AL59,'Upper Mid-Market Segment'!AL59,'Premium Segment'!AL59)/SUM('Value Segment'!AL$82,'Mid-Market Segment'!AL$82,'Upper Mid-Market Segment'!AL$82,'Premium Segment'!AL$82)</f>
        <v>-193.26802043385879</v>
      </c>
      <c r="AM124" s="675">
        <f>SUM('Value Segment'!AM59,'Mid-Market Segment'!AM59,'Upper Mid-Market Segment'!AM59,'Premium Segment'!AM59)/SUM('Value Segment'!AM$82,'Mid-Market Segment'!AM$82,'Upper Mid-Market Segment'!AM$82,'Premium Segment'!AM$82)</f>
        <v>-193.26802043385879</v>
      </c>
      <c r="AN124" s="675">
        <f>SUM('Value Segment'!AN59,'Mid-Market Segment'!AN59,'Upper Mid-Market Segment'!AN59,'Premium Segment'!AN59)/SUM('Value Segment'!AN$82,'Mid-Market Segment'!AN$82,'Upper Mid-Market Segment'!AN$82,'Premium Segment'!AN$82)</f>
        <v>-193.26802043385879</v>
      </c>
      <c r="AO124" s="675">
        <f>SUM('Value Segment'!AO59,'Mid-Market Segment'!AO59,'Upper Mid-Market Segment'!AO59,'Premium Segment'!AO59)/SUM('Value Segment'!AO$82,'Mid-Market Segment'!AO$82,'Upper Mid-Market Segment'!AO$82,'Premium Segment'!AO$82)</f>
        <v>-193.26802043385879</v>
      </c>
      <c r="AP124" s="675">
        <f>SUM('Value Segment'!AP59,'Mid-Market Segment'!AP59,'Upper Mid-Market Segment'!AP59,'Premium Segment'!AP59)/SUM('Value Segment'!AP$82,'Mid-Market Segment'!AP$82,'Upper Mid-Market Segment'!AP$82,'Premium Segment'!AP$82)</f>
        <v>-197.13338084253596</v>
      </c>
      <c r="AQ124" s="675">
        <f>SUM('Value Segment'!AQ59,'Mid-Market Segment'!AQ59,'Upper Mid-Market Segment'!AQ59,'Premium Segment'!AQ59)/SUM('Value Segment'!AQ$82,'Mid-Market Segment'!AQ$82,'Upper Mid-Market Segment'!AQ$82,'Premium Segment'!AQ$82)</f>
        <v>-197.13338084253596</v>
      </c>
      <c r="AR124" s="675">
        <f>SUM('Value Segment'!AR59,'Mid-Market Segment'!AR59,'Upper Mid-Market Segment'!AR59,'Premium Segment'!AR59)/SUM('Value Segment'!AR$82,'Mid-Market Segment'!AR$82,'Upper Mid-Market Segment'!AR$82,'Premium Segment'!AR$82)</f>
        <v>-197.13338084253596</v>
      </c>
      <c r="AS124" s="675">
        <f>SUM('Value Segment'!AS59,'Mid-Market Segment'!AS59,'Upper Mid-Market Segment'!AS59,'Premium Segment'!AS59)/SUM('Value Segment'!AS$82,'Mid-Market Segment'!AS$82,'Upper Mid-Market Segment'!AS$82,'Premium Segment'!AS$82)</f>
        <v>-197.13338084253596</v>
      </c>
      <c r="AT124" s="675">
        <f>SUM('Value Segment'!AT59,'Mid-Market Segment'!AT59,'Upper Mid-Market Segment'!AT59,'Premium Segment'!AT59)/SUM('Value Segment'!AT$82,'Mid-Market Segment'!AT$82,'Upper Mid-Market Segment'!AT$82,'Premium Segment'!AT$82)</f>
        <v>-197.13338084253596</v>
      </c>
      <c r="AU124" s="675">
        <f>SUM('Value Segment'!AU59,'Mid-Market Segment'!AU59,'Upper Mid-Market Segment'!AU59,'Premium Segment'!AU59)/SUM('Value Segment'!AU$82,'Mid-Market Segment'!AU$82,'Upper Mid-Market Segment'!AU$82,'Premium Segment'!AU$82)</f>
        <v>-197.13338084253596</v>
      </c>
      <c r="AV124" s="675">
        <f>SUM('Value Segment'!AV59,'Mid-Market Segment'!AV59,'Upper Mid-Market Segment'!AV59,'Premium Segment'!AV59)/SUM('Value Segment'!AV$82,'Mid-Market Segment'!AV$82,'Upper Mid-Market Segment'!AV$82,'Premium Segment'!AV$82)</f>
        <v>-197.13338084253596</v>
      </c>
      <c r="AW124" s="675">
        <f>SUM('Value Segment'!AW59,'Mid-Market Segment'!AW59,'Upper Mid-Market Segment'!AW59,'Premium Segment'!AW59)/SUM('Value Segment'!AW$82,'Mid-Market Segment'!AW$82,'Upper Mid-Market Segment'!AW$82,'Premium Segment'!AW$82)</f>
        <v>-197.13338084253596</v>
      </c>
      <c r="AX124" s="675">
        <f>SUM('Value Segment'!AX59,'Mid-Market Segment'!AX59,'Upper Mid-Market Segment'!AX59,'Premium Segment'!AX59)/SUM('Value Segment'!AX$82,'Mid-Market Segment'!AX$82,'Upper Mid-Market Segment'!AX$82,'Premium Segment'!AX$82)</f>
        <v>-197.13338084253596</v>
      </c>
      <c r="AY124" s="675">
        <f>SUM('Value Segment'!AY59,'Mid-Market Segment'!AY59,'Upper Mid-Market Segment'!AY59,'Premium Segment'!AY59)/SUM('Value Segment'!AY$82,'Mid-Market Segment'!AY$82,'Upper Mid-Market Segment'!AY$82,'Premium Segment'!AY$82)</f>
        <v>-197.13338084253596</v>
      </c>
      <c r="AZ124" s="675">
        <f>SUM('Value Segment'!AZ59,'Mid-Market Segment'!AZ59,'Upper Mid-Market Segment'!AZ59,'Premium Segment'!AZ59)/SUM('Value Segment'!AZ$82,'Mid-Market Segment'!AZ$82,'Upper Mid-Market Segment'!AZ$82,'Premium Segment'!AZ$82)</f>
        <v>-197.13338084253596</v>
      </c>
      <c r="BA124" s="675">
        <f>SUM('Value Segment'!BA59,'Mid-Market Segment'!BA59,'Upper Mid-Market Segment'!BA59,'Premium Segment'!BA59)/SUM('Value Segment'!BA$82,'Mid-Market Segment'!BA$82,'Upper Mid-Market Segment'!BA$82,'Premium Segment'!BA$82)</f>
        <v>-197.13338084253596</v>
      </c>
      <c r="BB124" s="675">
        <f>SUM('Value Segment'!BB59,'Mid-Market Segment'!BB59,'Upper Mid-Market Segment'!BB59,'Premium Segment'!BB59)/SUM('Value Segment'!BB$82,'Mid-Market Segment'!BB$82,'Upper Mid-Market Segment'!BB$82,'Premium Segment'!BB$82)</f>
        <v>-201.07604845938667</v>
      </c>
      <c r="BC124" s="675">
        <f>SUM('Value Segment'!BC59,'Mid-Market Segment'!BC59,'Upper Mid-Market Segment'!BC59,'Premium Segment'!BC59)/SUM('Value Segment'!BC$82,'Mid-Market Segment'!BC$82,'Upper Mid-Market Segment'!BC$82,'Premium Segment'!BC$82)</f>
        <v>-201.07604845938667</v>
      </c>
      <c r="BD124" s="675">
        <f>SUM('Value Segment'!BD59,'Mid-Market Segment'!BD59,'Upper Mid-Market Segment'!BD59,'Premium Segment'!BD59)/SUM('Value Segment'!BD$82,'Mid-Market Segment'!BD$82,'Upper Mid-Market Segment'!BD$82,'Premium Segment'!BD$82)</f>
        <v>-201.07604845938667</v>
      </c>
      <c r="BE124" s="675">
        <f>SUM('Value Segment'!BE59,'Mid-Market Segment'!BE59,'Upper Mid-Market Segment'!BE59,'Premium Segment'!BE59)/SUM('Value Segment'!BE$82,'Mid-Market Segment'!BE$82,'Upper Mid-Market Segment'!BE$82,'Premium Segment'!BE$82)</f>
        <v>-201.07604845938667</v>
      </c>
      <c r="BF124" s="675">
        <f>SUM('Value Segment'!BF59,'Mid-Market Segment'!BF59,'Upper Mid-Market Segment'!BF59,'Premium Segment'!BF59)/SUM('Value Segment'!BF$82,'Mid-Market Segment'!BF$82,'Upper Mid-Market Segment'!BF$82,'Premium Segment'!BF$82)</f>
        <v>-201.07604845938667</v>
      </c>
      <c r="BG124" s="675">
        <f>SUM('Value Segment'!BG59,'Mid-Market Segment'!BG59,'Upper Mid-Market Segment'!BG59,'Premium Segment'!BG59)/SUM('Value Segment'!BG$82,'Mid-Market Segment'!BG$82,'Upper Mid-Market Segment'!BG$82,'Premium Segment'!BG$82)</f>
        <v>-201.07604845938667</v>
      </c>
      <c r="BH124" s="675">
        <f>SUM('Value Segment'!BH59,'Mid-Market Segment'!BH59,'Upper Mid-Market Segment'!BH59,'Premium Segment'!BH59)/SUM('Value Segment'!BH$82,'Mid-Market Segment'!BH$82,'Upper Mid-Market Segment'!BH$82,'Premium Segment'!BH$82)</f>
        <v>-201.07604845938667</v>
      </c>
      <c r="BI124" s="675">
        <f>SUM('Value Segment'!BI59,'Mid-Market Segment'!BI59,'Upper Mid-Market Segment'!BI59,'Premium Segment'!BI59)/SUM('Value Segment'!BI$82,'Mid-Market Segment'!BI$82,'Upper Mid-Market Segment'!BI$82,'Premium Segment'!BI$82)</f>
        <v>-201.07604845938667</v>
      </c>
      <c r="BJ124" s="675">
        <f>SUM('Value Segment'!BJ59,'Mid-Market Segment'!BJ59,'Upper Mid-Market Segment'!BJ59,'Premium Segment'!BJ59)/SUM('Value Segment'!BJ$82,'Mid-Market Segment'!BJ$82,'Upper Mid-Market Segment'!BJ$82,'Premium Segment'!BJ$82)</f>
        <v>-201.07604845938667</v>
      </c>
      <c r="BK124" s="675">
        <f>SUM('Value Segment'!BK59,'Mid-Market Segment'!BK59,'Upper Mid-Market Segment'!BK59,'Premium Segment'!BK59)/SUM('Value Segment'!BK$82,'Mid-Market Segment'!BK$82,'Upper Mid-Market Segment'!BK$82,'Premium Segment'!BK$82)</f>
        <v>-201.07604845938667</v>
      </c>
      <c r="BL124" s="675">
        <f>SUM('Value Segment'!BL59,'Mid-Market Segment'!BL59,'Upper Mid-Market Segment'!BL59,'Premium Segment'!BL59)/SUM('Value Segment'!BL$82,'Mid-Market Segment'!BL$82,'Upper Mid-Market Segment'!BL$82,'Premium Segment'!BL$82)</f>
        <v>-201.07604845938667</v>
      </c>
      <c r="BM124" s="675">
        <f>SUM('Value Segment'!BM59,'Mid-Market Segment'!BM59,'Upper Mid-Market Segment'!BM59,'Premium Segment'!BM59)/SUM('Value Segment'!BM$82,'Mid-Market Segment'!BM$82,'Upper Mid-Market Segment'!BM$82,'Premium Segment'!BM$82)</f>
        <v>-201.07604845938667</v>
      </c>
      <c r="BN124" s="675">
        <f>SUM('Value Segment'!BN59,'Mid-Market Segment'!BN59,'Upper Mid-Market Segment'!BN59,'Premium Segment'!BN59)/SUM('Value Segment'!BN$82,'Mid-Market Segment'!BN$82,'Upper Mid-Market Segment'!BN$82,'Premium Segment'!BN$82)</f>
        <v>-205.09756942857442</v>
      </c>
      <c r="BO124" s="675">
        <f>SUM('Value Segment'!BO59,'Mid-Market Segment'!BO59,'Upper Mid-Market Segment'!BO59,'Premium Segment'!BO59)/SUM('Value Segment'!BO$82,'Mid-Market Segment'!BO$82,'Upper Mid-Market Segment'!BO$82,'Premium Segment'!BO$82)</f>
        <v>-205.09756942857442</v>
      </c>
      <c r="BP124" s="675">
        <f>SUM('Value Segment'!BP59,'Mid-Market Segment'!BP59,'Upper Mid-Market Segment'!BP59,'Premium Segment'!BP59)/SUM('Value Segment'!BP$82,'Mid-Market Segment'!BP$82,'Upper Mid-Market Segment'!BP$82,'Premium Segment'!BP$82)</f>
        <v>-205.09756942857442</v>
      </c>
      <c r="BQ124" s="675">
        <f>SUM('Value Segment'!BQ59,'Mid-Market Segment'!BQ59,'Upper Mid-Market Segment'!BQ59,'Premium Segment'!BQ59)/SUM('Value Segment'!BQ$82,'Mid-Market Segment'!BQ$82,'Upper Mid-Market Segment'!BQ$82,'Premium Segment'!BQ$82)</f>
        <v>-205.09756942857442</v>
      </c>
      <c r="BR124" s="675">
        <f>SUM('Value Segment'!BR59,'Mid-Market Segment'!BR59,'Upper Mid-Market Segment'!BR59,'Premium Segment'!BR59)/SUM('Value Segment'!BR$82,'Mid-Market Segment'!BR$82,'Upper Mid-Market Segment'!BR$82,'Premium Segment'!BR$82)</f>
        <v>-205.09756942857442</v>
      </c>
      <c r="BS124" s="675">
        <f>SUM('Value Segment'!BS59,'Mid-Market Segment'!BS59,'Upper Mid-Market Segment'!BS59,'Premium Segment'!BS59)/SUM('Value Segment'!BS$82,'Mid-Market Segment'!BS$82,'Upper Mid-Market Segment'!BS$82,'Premium Segment'!BS$82)</f>
        <v>-205.09756942857442</v>
      </c>
      <c r="BT124" s="675">
        <f>SUM('Value Segment'!BT59,'Mid-Market Segment'!BT59,'Upper Mid-Market Segment'!BT59,'Premium Segment'!BT59)/SUM('Value Segment'!BT$82,'Mid-Market Segment'!BT$82,'Upper Mid-Market Segment'!BT$82,'Premium Segment'!BT$82)</f>
        <v>-205.09756942857442</v>
      </c>
      <c r="BU124" s="675">
        <f>SUM('Value Segment'!BU59,'Mid-Market Segment'!BU59,'Upper Mid-Market Segment'!BU59,'Premium Segment'!BU59)/SUM('Value Segment'!BU$82,'Mid-Market Segment'!BU$82,'Upper Mid-Market Segment'!BU$82,'Premium Segment'!BU$82)</f>
        <v>-205.09756942857442</v>
      </c>
      <c r="BV124" s="675">
        <f>SUM('Value Segment'!BV59,'Mid-Market Segment'!BV59,'Upper Mid-Market Segment'!BV59,'Premium Segment'!BV59)/SUM('Value Segment'!BV$82,'Mid-Market Segment'!BV$82,'Upper Mid-Market Segment'!BV$82,'Premium Segment'!BV$82)</f>
        <v>-205.09756942857442</v>
      </c>
      <c r="BW124" s="675">
        <f>SUM('Value Segment'!BW59,'Mid-Market Segment'!BW59,'Upper Mid-Market Segment'!BW59,'Premium Segment'!BW59)/SUM('Value Segment'!BW$82,'Mid-Market Segment'!BW$82,'Upper Mid-Market Segment'!BW$82,'Premium Segment'!BW$82)</f>
        <v>-205.09756942857442</v>
      </c>
      <c r="BX124" s="675">
        <f>SUM('Value Segment'!BX59,'Mid-Market Segment'!BX59,'Upper Mid-Market Segment'!BX59,'Premium Segment'!BX59)/SUM('Value Segment'!BX$82,'Mid-Market Segment'!BX$82,'Upper Mid-Market Segment'!BX$82,'Premium Segment'!BX$82)</f>
        <v>-205.09756942857442</v>
      </c>
      <c r="BY124" s="675">
        <f>SUM('Value Segment'!BY59,'Mid-Market Segment'!BY59,'Upper Mid-Market Segment'!BY59,'Premium Segment'!BY59)/SUM('Value Segment'!BY$82,'Mid-Market Segment'!BY$82,'Upper Mid-Market Segment'!BY$82,'Premium Segment'!BY$82)</f>
        <v>-205.09756942857442</v>
      </c>
      <c r="CB124" s="8"/>
    </row>
    <row r="125" spans="3:80" x14ac:dyDescent="0.3">
      <c r="C125" s="2"/>
      <c r="D125" s="2"/>
      <c r="E125" s="2"/>
      <c r="F125" s="37"/>
      <c r="G125" s="37"/>
      <c r="H125" s="37"/>
      <c r="I125" s="37"/>
      <c r="J125" s="37"/>
      <c r="K125" s="37"/>
      <c r="L125" s="37"/>
      <c r="M125" s="37"/>
      <c r="N125" s="37"/>
      <c r="O125" s="37"/>
      <c r="P125" s="35"/>
      <c r="R125" s="37"/>
      <c r="S125" s="37"/>
      <c r="T125" s="37"/>
      <c r="U125" s="37"/>
      <c r="V125" s="37"/>
      <c r="W125" s="37"/>
      <c r="X125" s="37"/>
      <c r="Y125" s="37"/>
      <c r="Z125" s="37"/>
      <c r="AA125" s="37"/>
      <c r="AB125" s="37"/>
      <c r="AC125" s="37"/>
      <c r="AD125" s="37"/>
      <c r="AE125" s="37"/>
      <c r="AF125" s="37"/>
      <c r="AG125" s="37"/>
      <c r="AH125" s="37"/>
      <c r="AI125" s="37"/>
      <c r="AJ125" s="37"/>
      <c r="AK125" s="37"/>
      <c r="AL125" s="37"/>
      <c r="AM125" s="37"/>
      <c r="AN125" s="37"/>
      <c r="AO125" s="37"/>
      <c r="AP125" s="37"/>
      <c r="AQ125" s="37"/>
      <c r="AR125" s="37"/>
      <c r="AS125" s="37"/>
      <c r="AT125" s="37"/>
      <c r="AU125" s="37"/>
      <c r="AV125" s="37"/>
      <c r="AW125" s="37"/>
      <c r="AX125" s="37"/>
      <c r="AY125" s="37"/>
      <c r="AZ125" s="37"/>
      <c r="BA125" s="37"/>
      <c r="BB125" s="37"/>
      <c r="BC125" s="37"/>
      <c r="BD125" s="37"/>
      <c r="BE125" s="37"/>
      <c r="BF125" s="37"/>
      <c r="BG125" s="37"/>
      <c r="BH125" s="37"/>
      <c r="BI125" s="37"/>
      <c r="BJ125" s="37"/>
      <c r="BK125" s="37"/>
      <c r="BL125" s="37"/>
      <c r="BM125" s="37"/>
      <c r="BN125" s="37"/>
      <c r="BO125" s="37"/>
      <c r="BP125" s="37"/>
      <c r="BQ125" s="37"/>
      <c r="BR125" s="37"/>
      <c r="BS125" s="37"/>
      <c r="BT125" s="37"/>
      <c r="BU125" s="37"/>
      <c r="BV125" s="37"/>
      <c r="BW125" s="37"/>
      <c r="BX125" s="37"/>
      <c r="BY125" s="37"/>
    </row>
    <row r="126" spans="3:80" x14ac:dyDescent="0.3">
      <c r="C126" s="2"/>
      <c r="D126" s="2"/>
      <c r="E126" s="62" t="s">
        <v>21</v>
      </c>
      <c r="F126" s="63"/>
      <c r="G126" s="63"/>
      <c r="H126" s="63"/>
      <c r="I126" s="673">
        <f>SUM('Value Segment'!I61,'Mid-Market Segment'!I61,'Upper Mid-Market Segment'!I61,'Premium Segment'!I61)/SUM('Value Segment'!I$82,'Mid-Market Segment'!I$82,'Upper Mid-Market Segment'!I$82,'Premium Segment'!I$82)</f>
        <v>96761.550458159123</v>
      </c>
      <c r="J126" s="673">
        <f>SUM('Value Segment'!J61,'Mid-Market Segment'!J61,'Upper Mid-Market Segment'!J61,'Premium Segment'!J61)/SUM('Value Segment'!J$82,'Mid-Market Segment'!J$82,'Upper Mid-Market Segment'!J$82,'Premium Segment'!J$82)</f>
        <v>102016.6303834982</v>
      </c>
      <c r="K126" s="673">
        <f>SUM('Value Segment'!K61,'Mid-Market Segment'!K61,'Upper Mid-Market Segment'!K61,'Premium Segment'!K61)/SUM('Value Segment'!K$82,'Mid-Market Segment'!K$82,'Upper Mid-Market Segment'!K$82,'Premium Segment'!K$82)</f>
        <v>108307.94958784504</v>
      </c>
      <c r="L126" s="673">
        <f>SUM('Value Segment'!L61,'Mid-Market Segment'!L61,'Upper Mid-Market Segment'!L61,'Premium Segment'!L61)/SUM('Value Segment'!L$82,'Mid-Market Segment'!L$82,'Upper Mid-Market Segment'!L$82,'Premium Segment'!L$82)</f>
        <v>114759.9665542617</v>
      </c>
      <c r="M126" s="673">
        <f>SUM('Value Segment'!M61,'Mid-Market Segment'!M61,'Upper Mid-Market Segment'!M61,'Premium Segment'!M61)/SUM('Value Segment'!M$82,'Mid-Market Segment'!M$82,'Upper Mid-Market Segment'!M$82,'Premium Segment'!M$82)</f>
        <v>121349.78422583727</v>
      </c>
      <c r="N126" s="673">
        <f>SUM('Value Segment'!N61,'Mid-Market Segment'!N61,'Upper Mid-Market Segment'!N61,'Premium Segment'!N61)/SUM('Value Segment'!N$82,'Mid-Market Segment'!N$82,'Upper Mid-Market Segment'!N$82,'Premium Segment'!N$82)</f>
        <v>128265.04836713793</v>
      </c>
      <c r="O126" s="57"/>
      <c r="P126" s="55">
        <f>IFERROR(((N126/I126)^(1/5))-1,0)</f>
        <v>5.7988877689240104E-2</v>
      </c>
      <c r="R126" s="673">
        <f>SUM('Value Segment'!R61,'Mid-Market Segment'!R61,'Upper Mid-Market Segment'!R61,'Premium Segment'!R61)/SUM('Value Segment'!R$82,'Mid-Market Segment'!R$82,'Upper Mid-Market Segment'!R$82,'Premium Segment'!R$82)</f>
        <v>8398.0690565589739</v>
      </c>
      <c r="S126" s="676">
        <f>SUM('Value Segment'!S61,'Mid-Market Segment'!S61,'Upper Mid-Market Segment'!S61,'Premium Segment'!S61)/SUM('Value Segment'!S$82,'Mid-Market Segment'!S$82,'Upper Mid-Market Segment'!S$82,'Premium Segment'!S$82)</f>
        <v>8398.0690565589739</v>
      </c>
      <c r="T126" s="676">
        <f>SUM('Value Segment'!T61,'Mid-Market Segment'!T61,'Upper Mid-Market Segment'!T61,'Premium Segment'!T61)/SUM('Value Segment'!T$82,'Mid-Market Segment'!T$82,'Upper Mid-Market Segment'!T$82,'Premium Segment'!T$82)</f>
        <v>8398.0690565589739</v>
      </c>
      <c r="U126" s="676">
        <f>SUM('Value Segment'!U61,'Mid-Market Segment'!U61,'Upper Mid-Market Segment'!U61,'Premium Segment'!U61)/SUM('Value Segment'!U$82,'Mid-Market Segment'!U$82,'Upper Mid-Market Segment'!U$82,'Premium Segment'!U$82)</f>
        <v>8398.0690565589739</v>
      </c>
      <c r="V126" s="676">
        <f>SUM('Value Segment'!V61,'Mid-Market Segment'!V61,'Upper Mid-Market Segment'!V61,'Premium Segment'!V61)/SUM('Value Segment'!V$82,'Mid-Market Segment'!V$82,'Upper Mid-Market Segment'!V$82,'Premium Segment'!V$82)</f>
        <v>8398.0690565589739</v>
      </c>
      <c r="W126" s="676">
        <f>SUM('Value Segment'!W61,'Mid-Market Segment'!W61,'Upper Mid-Market Segment'!W61,'Premium Segment'!W61)/SUM('Value Segment'!W$82,'Mid-Market Segment'!W$82,'Upper Mid-Market Segment'!W$82,'Premium Segment'!W$82)</f>
        <v>8398.0690565589739</v>
      </c>
      <c r="X126" s="676">
        <f>SUM('Value Segment'!X61,'Mid-Market Segment'!X61,'Upper Mid-Market Segment'!X61,'Premium Segment'!X61)/SUM('Value Segment'!X$82,'Mid-Market Segment'!X$82,'Upper Mid-Market Segment'!X$82,'Premium Segment'!X$82)</f>
        <v>8604.7026740240563</v>
      </c>
      <c r="Y126" s="676">
        <f>SUM('Value Segment'!Y61,'Mid-Market Segment'!Y61,'Upper Mid-Market Segment'!Y61,'Premium Segment'!Y61)/SUM('Value Segment'!Y$82,'Mid-Market Segment'!Y$82,'Upper Mid-Market Segment'!Y$82,'Premium Segment'!Y$82)</f>
        <v>8604.7026740240563</v>
      </c>
      <c r="Z126" s="676">
        <f>SUM('Value Segment'!Z61,'Mid-Market Segment'!Z61,'Upper Mid-Market Segment'!Z61,'Premium Segment'!Z61)/SUM('Value Segment'!Z$82,'Mid-Market Segment'!Z$82,'Upper Mid-Market Segment'!Z$82,'Premium Segment'!Z$82)</f>
        <v>8604.7026740240563</v>
      </c>
      <c r="AA126" s="676">
        <f>SUM('Value Segment'!AA61,'Mid-Market Segment'!AA61,'Upper Mid-Market Segment'!AA61,'Premium Segment'!AA61)/SUM('Value Segment'!AA$82,'Mid-Market Segment'!AA$82,'Upper Mid-Market Segment'!AA$82,'Premium Segment'!AA$82)</f>
        <v>8604.7026740240563</v>
      </c>
      <c r="AB126" s="676">
        <f>SUM('Value Segment'!AB61,'Mid-Market Segment'!AB61,'Upper Mid-Market Segment'!AB61,'Premium Segment'!AB61)/SUM('Value Segment'!AB$82,'Mid-Market Segment'!AB$82,'Upper Mid-Market Segment'!AB$82,'Premium Segment'!AB$82)</f>
        <v>8604.7026740240563</v>
      </c>
      <c r="AC126" s="676">
        <f>SUM('Value Segment'!AC61,'Mid-Market Segment'!AC61,'Upper Mid-Market Segment'!AC61,'Premium Segment'!AC61)/SUM('Value Segment'!AC$82,'Mid-Market Segment'!AC$82,'Upper Mid-Market Segment'!AC$82,'Premium Segment'!AC$82)</f>
        <v>8604.7026740240563</v>
      </c>
      <c r="AD126" s="676">
        <f>SUM('Value Segment'!AD61,'Mid-Market Segment'!AD61,'Upper Mid-Market Segment'!AD61,'Premium Segment'!AD61)/SUM('Value Segment'!AD$82,'Mid-Market Segment'!AD$82,'Upper Mid-Market Segment'!AD$82,'Premium Segment'!AD$82)</f>
        <v>8892.79703332793</v>
      </c>
      <c r="AE126" s="676">
        <f>SUM('Value Segment'!AE61,'Mid-Market Segment'!AE61,'Upper Mid-Market Segment'!AE61,'Premium Segment'!AE61)/SUM('Value Segment'!AE$82,'Mid-Market Segment'!AE$82,'Upper Mid-Market Segment'!AE$82,'Premium Segment'!AE$82)</f>
        <v>8892.79703332793</v>
      </c>
      <c r="AF126" s="676">
        <f>SUM('Value Segment'!AF61,'Mid-Market Segment'!AF61,'Upper Mid-Market Segment'!AF61,'Premium Segment'!AF61)/SUM('Value Segment'!AF$82,'Mid-Market Segment'!AF$82,'Upper Mid-Market Segment'!AF$82,'Premium Segment'!AF$82)</f>
        <v>8892.79703332793</v>
      </c>
      <c r="AG126" s="676">
        <f>SUM('Value Segment'!AG61,'Mid-Market Segment'!AG61,'Upper Mid-Market Segment'!AG61,'Premium Segment'!AG61)/SUM('Value Segment'!AG$82,'Mid-Market Segment'!AG$82,'Upper Mid-Market Segment'!AG$82,'Premium Segment'!AG$82)</f>
        <v>8892.79703332793</v>
      </c>
      <c r="AH126" s="676">
        <f>SUM('Value Segment'!AH61,'Mid-Market Segment'!AH61,'Upper Mid-Market Segment'!AH61,'Premium Segment'!AH61)/SUM('Value Segment'!AH$82,'Mid-Market Segment'!AH$82,'Upper Mid-Market Segment'!AH$82,'Premium Segment'!AH$82)</f>
        <v>8892.79703332793</v>
      </c>
      <c r="AI126" s="676">
        <f>SUM('Value Segment'!AI61,'Mid-Market Segment'!AI61,'Upper Mid-Market Segment'!AI61,'Premium Segment'!AI61)/SUM('Value Segment'!AI$82,'Mid-Market Segment'!AI$82,'Upper Mid-Market Segment'!AI$82,'Premium Segment'!AI$82)</f>
        <v>8892.79703332793</v>
      </c>
      <c r="AJ126" s="676">
        <f>SUM('Value Segment'!AJ61,'Mid-Market Segment'!AJ61,'Upper Mid-Market Segment'!AJ61,'Premium Segment'!AJ61)/SUM('Value Segment'!AJ$82,'Mid-Market Segment'!AJ$82,'Upper Mid-Market Segment'!AJ$82,'Premium Segment'!AJ$82)</f>
        <v>9158.5278979795803</v>
      </c>
      <c r="AK126" s="676">
        <f>SUM('Value Segment'!AK61,'Mid-Market Segment'!AK61,'Upper Mid-Market Segment'!AK61,'Premium Segment'!AK61)/SUM('Value Segment'!AK$82,'Mid-Market Segment'!AK$82,'Upper Mid-Market Segment'!AK$82,'Premium Segment'!AK$82)</f>
        <v>9158.5278979795803</v>
      </c>
      <c r="AL126" s="676">
        <f>SUM('Value Segment'!AL61,'Mid-Market Segment'!AL61,'Upper Mid-Market Segment'!AL61,'Premium Segment'!AL61)/SUM('Value Segment'!AL$82,'Mid-Market Segment'!AL$82,'Upper Mid-Market Segment'!AL$82,'Premium Segment'!AL$82)</f>
        <v>9158.5278979795803</v>
      </c>
      <c r="AM126" s="676">
        <f>SUM('Value Segment'!AM61,'Mid-Market Segment'!AM61,'Upper Mid-Market Segment'!AM61,'Premium Segment'!AM61)/SUM('Value Segment'!AM$82,'Mid-Market Segment'!AM$82,'Upper Mid-Market Segment'!AM$82,'Premium Segment'!AM$82)</f>
        <v>9158.5278979795803</v>
      </c>
      <c r="AN126" s="676">
        <f>SUM('Value Segment'!AN61,'Mid-Market Segment'!AN61,'Upper Mid-Market Segment'!AN61,'Premium Segment'!AN61)/SUM('Value Segment'!AN$82,'Mid-Market Segment'!AN$82,'Upper Mid-Market Segment'!AN$82,'Premium Segment'!AN$82)</f>
        <v>9158.5278979795803</v>
      </c>
      <c r="AO126" s="676">
        <f>SUM('Value Segment'!AO61,'Mid-Market Segment'!AO61,'Upper Mid-Market Segment'!AO61,'Premium Segment'!AO61)/SUM('Value Segment'!AO$82,'Mid-Market Segment'!AO$82,'Upper Mid-Market Segment'!AO$82,'Premium Segment'!AO$82)</f>
        <v>9158.5278979795803</v>
      </c>
      <c r="AP126" s="676">
        <f>SUM('Value Segment'!AP61,'Mid-Market Segment'!AP61,'Upper Mid-Market Segment'!AP61,'Premium Segment'!AP61)/SUM('Value Segment'!AP$82,'Mid-Market Segment'!AP$82,'Upper Mid-Market Segment'!AP$82,'Premium Segment'!AP$82)</f>
        <v>9398.9323861855228</v>
      </c>
      <c r="AQ126" s="676">
        <f>SUM('Value Segment'!AQ61,'Mid-Market Segment'!AQ61,'Upper Mid-Market Segment'!AQ61,'Premium Segment'!AQ61)/SUM('Value Segment'!AQ$82,'Mid-Market Segment'!AQ$82,'Upper Mid-Market Segment'!AQ$82,'Premium Segment'!AQ$82)</f>
        <v>9398.9323861855228</v>
      </c>
      <c r="AR126" s="676">
        <f>SUM('Value Segment'!AR61,'Mid-Market Segment'!AR61,'Upper Mid-Market Segment'!AR61,'Premium Segment'!AR61)/SUM('Value Segment'!AR$82,'Mid-Market Segment'!AR$82,'Upper Mid-Market Segment'!AR$82,'Premium Segment'!AR$82)</f>
        <v>9398.9323861855228</v>
      </c>
      <c r="AS126" s="676">
        <f>SUM('Value Segment'!AS61,'Mid-Market Segment'!AS61,'Upper Mid-Market Segment'!AS61,'Premium Segment'!AS61)/SUM('Value Segment'!AS$82,'Mid-Market Segment'!AS$82,'Upper Mid-Market Segment'!AS$82,'Premium Segment'!AS$82)</f>
        <v>9398.9323861855228</v>
      </c>
      <c r="AT126" s="676">
        <f>SUM('Value Segment'!AT61,'Mid-Market Segment'!AT61,'Upper Mid-Market Segment'!AT61,'Premium Segment'!AT61)/SUM('Value Segment'!AT$82,'Mid-Market Segment'!AT$82,'Upper Mid-Market Segment'!AT$82,'Premium Segment'!AT$82)</f>
        <v>9398.9323861855228</v>
      </c>
      <c r="AU126" s="676">
        <f>SUM('Value Segment'!AU61,'Mid-Market Segment'!AU61,'Upper Mid-Market Segment'!AU61,'Premium Segment'!AU61)/SUM('Value Segment'!AU$82,'Mid-Market Segment'!AU$82,'Upper Mid-Market Segment'!AU$82,'Premium Segment'!AU$82)</f>
        <v>9398.9323861855228</v>
      </c>
      <c r="AV126" s="676">
        <f>SUM('Value Segment'!AV61,'Mid-Market Segment'!AV61,'Upper Mid-Market Segment'!AV61,'Premium Segment'!AV61)/SUM('Value Segment'!AV$82,'Mid-Market Segment'!AV$82,'Upper Mid-Market Segment'!AV$82,'Premium Segment'!AV$82)</f>
        <v>9727.7287061914303</v>
      </c>
      <c r="AW126" s="676">
        <f>SUM('Value Segment'!AW61,'Mid-Market Segment'!AW61,'Upper Mid-Market Segment'!AW61,'Premium Segment'!AW61)/SUM('Value Segment'!AW$82,'Mid-Market Segment'!AW$82,'Upper Mid-Market Segment'!AW$82,'Premium Segment'!AW$82)</f>
        <v>9727.7287061914303</v>
      </c>
      <c r="AX126" s="676">
        <f>SUM('Value Segment'!AX61,'Mid-Market Segment'!AX61,'Upper Mid-Market Segment'!AX61,'Premium Segment'!AX61)/SUM('Value Segment'!AX$82,'Mid-Market Segment'!AX$82,'Upper Mid-Market Segment'!AX$82,'Premium Segment'!AX$82)</f>
        <v>9727.7287061914303</v>
      </c>
      <c r="AY126" s="676">
        <f>SUM('Value Segment'!AY61,'Mid-Market Segment'!AY61,'Upper Mid-Market Segment'!AY61,'Premium Segment'!AY61)/SUM('Value Segment'!AY$82,'Mid-Market Segment'!AY$82,'Upper Mid-Market Segment'!AY$82,'Premium Segment'!AY$82)</f>
        <v>9727.7287061914303</v>
      </c>
      <c r="AZ126" s="676">
        <f>SUM('Value Segment'!AZ61,'Mid-Market Segment'!AZ61,'Upper Mid-Market Segment'!AZ61,'Premium Segment'!AZ61)/SUM('Value Segment'!AZ$82,'Mid-Market Segment'!AZ$82,'Upper Mid-Market Segment'!AZ$82,'Premium Segment'!AZ$82)</f>
        <v>9727.7287061914303</v>
      </c>
      <c r="BA126" s="676">
        <f>SUM('Value Segment'!BA61,'Mid-Market Segment'!BA61,'Upper Mid-Market Segment'!BA61,'Premium Segment'!BA61)/SUM('Value Segment'!BA$82,'Mid-Market Segment'!BA$82,'Upper Mid-Market Segment'!BA$82,'Premium Segment'!BA$82)</f>
        <v>9727.7287061914303</v>
      </c>
      <c r="BB126" s="676">
        <f>SUM('Value Segment'!BB61,'Mid-Market Segment'!BB61,'Upper Mid-Market Segment'!BB61,'Premium Segment'!BB61)/SUM('Value Segment'!BB$82,'Mid-Market Segment'!BB$82,'Upper Mid-Market Segment'!BB$82,'Premium Segment'!BB$82)</f>
        <v>9914.5254936084875</v>
      </c>
      <c r="BC126" s="676">
        <f>SUM('Value Segment'!BC61,'Mid-Market Segment'!BC61,'Upper Mid-Market Segment'!BC61,'Premium Segment'!BC61)/SUM('Value Segment'!BC$82,'Mid-Market Segment'!BC$82,'Upper Mid-Market Segment'!BC$82,'Premium Segment'!BC$82)</f>
        <v>9914.5254936084875</v>
      </c>
      <c r="BD126" s="676">
        <f>SUM('Value Segment'!BD61,'Mid-Market Segment'!BD61,'Upper Mid-Market Segment'!BD61,'Premium Segment'!BD61)/SUM('Value Segment'!BD$82,'Mid-Market Segment'!BD$82,'Upper Mid-Market Segment'!BD$82,'Premium Segment'!BD$82)</f>
        <v>9914.5254936084875</v>
      </c>
      <c r="BE126" s="676">
        <f>SUM('Value Segment'!BE61,'Mid-Market Segment'!BE61,'Upper Mid-Market Segment'!BE61,'Premium Segment'!BE61)/SUM('Value Segment'!BE$82,'Mid-Market Segment'!BE$82,'Upper Mid-Market Segment'!BE$82,'Premium Segment'!BE$82)</f>
        <v>9914.5254936084875</v>
      </c>
      <c r="BF126" s="676">
        <f>SUM('Value Segment'!BF61,'Mid-Market Segment'!BF61,'Upper Mid-Market Segment'!BF61,'Premium Segment'!BF61)/SUM('Value Segment'!BF$82,'Mid-Market Segment'!BF$82,'Upper Mid-Market Segment'!BF$82,'Premium Segment'!BF$82)</f>
        <v>9914.5254936084875</v>
      </c>
      <c r="BG126" s="676">
        <f>SUM('Value Segment'!BG61,'Mid-Market Segment'!BG61,'Upper Mid-Market Segment'!BG61,'Premium Segment'!BG61)/SUM('Value Segment'!BG$82,'Mid-Market Segment'!BG$82,'Upper Mid-Market Segment'!BG$82,'Premium Segment'!BG$82)</f>
        <v>9914.5254936084875</v>
      </c>
      <c r="BH126" s="676">
        <f>SUM('Value Segment'!BH61,'Mid-Market Segment'!BH61,'Upper Mid-Market Segment'!BH61,'Premium Segment'!BH61)/SUM('Value Segment'!BH$82,'Mid-Market Segment'!BH$82,'Upper Mid-Market Segment'!BH$82,'Premium Segment'!BH$82)</f>
        <v>10310.43854403106</v>
      </c>
      <c r="BI126" s="676">
        <f>SUM('Value Segment'!BI61,'Mid-Market Segment'!BI61,'Upper Mid-Market Segment'!BI61,'Premium Segment'!BI61)/SUM('Value Segment'!BI$82,'Mid-Market Segment'!BI$82,'Upper Mid-Market Segment'!BI$82,'Premium Segment'!BI$82)</f>
        <v>10310.43854403106</v>
      </c>
      <c r="BJ126" s="676">
        <f>SUM('Value Segment'!BJ61,'Mid-Market Segment'!BJ61,'Upper Mid-Market Segment'!BJ61,'Premium Segment'!BJ61)/SUM('Value Segment'!BJ$82,'Mid-Market Segment'!BJ$82,'Upper Mid-Market Segment'!BJ$82,'Premium Segment'!BJ$82)</f>
        <v>10310.43854403106</v>
      </c>
      <c r="BK126" s="676">
        <f>SUM('Value Segment'!BK61,'Mid-Market Segment'!BK61,'Upper Mid-Market Segment'!BK61,'Premium Segment'!BK61)/SUM('Value Segment'!BK$82,'Mid-Market Segment'!BK$82,'Upper Mid-Market Segment'!BK$82,'Premium Segment'!BK$82)</f>
        <v>10310.43854403106</v>
      </c>
      <c r="BL126" s="676">
        <f>SUM('Value Segment'!BL61,'Mid-Market Segment'!BL61,'Upper Mid-Market Segment'!BL61,'Premium Segment'!BL61)/SUM('Value Segment'!BL$82,'Mid-Market Segment'!BL$82,'Upper Mid-Market Segment'!BL$82,'Premium Segment'!BL$82)</f>
        <v>10310.43854403106</v>
      </c>
      <c r="BM126" s="676">
        <f>SUM('Value Segment'!BM61,'Mid-Market Segment'!BM61,'Upper Mid-Market Segment'!BM61,'Premium Segment'!BM61)/SUM('Value Segment'!BM$82,'Mid-Market Segment'!BM$82,'Upper Mid-Market Segment'!BM$82,'Premium Segment'!BM$82)</f>
        <v>10310.43854403106</v>
      </c>
      <c r="BN126" s="676">
        <f>SUM('Value Segment'!BN61,'Mid-Market Segment'!BN61,'Upper Mid-Market Segment'!BN61,'Premium Segment'!BN61)/SUM('Value Segment'!BN$82,'Mid-Market Segment'!BN$82,'Upper Mid-Market Segment'!BN$82,'Premium Segment'!BN$82)</f>
        <v>10455.114737673131</v>
      </c>
      <c r="BO126" s="676">
        <f>SUM('Value Segment'!BO61,'Mid-Market Segment'!BO61,'Upper Mid-Market Segment'!BO61,'Premium Segment'!BO61)/SUM('Value Segment'!BO$82,'Mid-Market Segment'!BO$82,'Upper Mid-Market Segment'!BO$82,'Premium Segment'!BO$82)</f>
        <v>10455.114737673131</v>
      </c>
      <c r="BP126" s="676">
        <f>SUM('Value Segment'!BP61,'Mid-Market Segment'!BP61,'Upper Mid-Market Segment'!BP61,'Premium Segment'!BP61)/SUM('Value Segment'!BP$82,'Mid-Market Segment'!BP$82,'Upper Mid-Market Segment'!BP$82,'Premium Segment'!BP$82)</f>
        <v>10455.114737673131</v>
      </c>
      <c r="BQ126" s="676">
        <f>SUM('Value Segment'!BQ61,'Mid-Market Segment'!BQ61,'Upper Mid-Market Segment'!BQ61,'Premium Segment'!BQ61)/SUM('Value Segment'!BQ$82,'Mid-Market Segment'!BQ$82,'Upper Mid-Market Segment'!BQ$82,'Premium Segment'!BQ$82)</f>
        <v>10455.114737673131</v>
      </c>
      <c r="BR126" s="676">
        <f>SUM('Value Segment'!BR61,'Mid-Market Segment'!BR61,'Upper Mid-Market Segment'!BR61,'Premium Segment'!BR61)/SUM('Value Segment'!BR$82,'Mid-Market Segment'!BR$82,'Upper Mid-Market Segment'!BR$82,'Premium Segment'!BR$82)</f>
        <v>10455.114737673131</v>
      </c>
      <c r="BS126" s="676">
        <f>SUM('Value Segment'!BS61,'Mid-Market Segment'!BS61,'Upper Mid-Market Segment'!BS61,'Premium Segment'!BS61)/SUM('Value Segment'!BS$82,'Mid-Market Segment'!BS$82,'Upper Mid-Market Segment'!BS$82,'Premium Segment'!BS$82)</f>
        <v>10455.114737673131</v>
      </c>
      <c r="BT126" s="676">
        <f>SUM('Value Segment'!BT61,'Mid-Market Segment'!BT61,'Upper Mid-Market Segment'!BT61,'Premium Segment'!BT61)/SUM('Value Segment'!BT$82,'Mid-Market Segment'!BT$82,'Upper Mid-Market Segment'!BT$82,'Premium Segment'!BT$82)</f>
        <v>10922.393323516524</v>
      </c>
      <c r="BU126" s="676">
        <f>SUM('Value Segment'!BU61,'Mid-Market Segment'!BU61,'Upper Mid-Market Segment'!BU61,'Premium Segment'!BU61)/SUM('Value Segment'!BU$82,'Mid-Market Segment'!BU$82,'Upper Mid-Market Segment'!BU$82,'Premium Segment'!BU$82)</f>
        <v>10922.393323516524</v>
      </c>
      <c r="BV126" s="676">
        <f>SUM('Value Segment'!BV61,'Mid-Market Segment'!BV61,'Upper Mid-Market Segment'!BV61,'Premium Segment'!BV61)/SUM('Value Segment'!BV$82,'Mid-Market Segment'!BV$82,'Upper Mid-Market Segment'!BV$82,'Premium Segment'!BV$82)</f>
        <v>10922.393323516524</v>
      </c>
      <c r="BW126" s="676">
        <f>SUM('Value Segment'!BW61,'Mid-Market Segment'!BW61,'Upper Mid-Market Segment'!BW61,'Premium Segment'!BW61)/SUM('Value Segment'!BW$82,'Mid-Market Segment'!BW$82,'Upper Mid-Market Segment'!BW$82,'Premium Segment'!BW$82)</f>
        <v>10922.393323516524</v>
      </c>
      <c r="BX126" s="676">
        <f>SUM('Value Segment'!BX61,'Mid-Market Segment'!BX61,'Upper Mid-Market Segment'!BX61,'Premium Segment'!BX61)/SUM('Value Segment'!BX$82,'Mid-Market Segment'!BX$82,'Upper Mid-Market Segment'!BX$82,'Premium Segment'!BX$82)</f>
        <v>10922.393323516524</v>
      </c>
      <c r="BY126" s="676">
        <f>SUM('Value Segment'!BY61,'Mid-Market Segment'!BY61,'Upper Mid-Market Segment'!BY61,'Premium Segment'!BY61)/SUM('Value Segment'!BY$82,'Mid-Market Segment'!BY$82,'Upper Mid-Market Segment'!BY$82,'Premium Segment'!BY$82)</f>
        <v>10922.393323516524</v>
      </c>
      <c r="CB126" s="8"/>
    </row>
    <row r="127" spans="3:80" x14ac:dyDescent="0.3">
      <c r="C127" s="2"/>
      <c r="D127" s="2"/>
      <c r="E127" s="2" t="s">
        <v>405</v>
      </c>
      <c r="F127" s="2"/>
      <c r="G127" s="2"/>
      <c r="H127" s="2"/>
      <c r="I127" s="499">
        <f t="shared" ref="I127:N127" si="103">IFERROR(I126/SUM(I87,I96,I110,I117),0)</f>
        <v>0.5528412692486081</v>
      </c>
      <c r="J127" s="499">
        <f t="shared" si="103"/>
        <v>0.5579122505358407</v>
      </c>
      <c r="K127" s="499">
        <f t="shared" si="103"/>
        <v>0.56280793423080666</v>
      </c>
      <c r="L127" s="499">
        <f t="shared" si="103"/>
        <v>0.56739887831900748</v>
      </c>
      <c r="M127" s="499">
        <f t="shared" si="103"/>
        <v>0.57146904783165242</v>
      </c>
      <c r="N127" s="499">
        <f t="shared" si="103"/>
        <v>0.57537793653241076</v>
      </c>
      <c r="O127" s="23"/>
      <c r="P127" s="50">
        <f>IFERROR(((N127/I127)^(1/5))-1,0)</f>
        <v>8.0232513929001659E-3</v>
      </c>
      <c r="R127" s="499">
        <f t="shared" ref="R127:AW127" si="104">IFERROR(R126/SUM(R87,R96,R110,R117),0)</f>
        <v>0.55771289939401814</v>
      </c>
      <c r="S127" s="531">
        <f t="shared" si="104"/>
        <v>0.55771289939401814</v>
      </c>
      <c r="T127" s="531">
        <f t="shared" si="104"/>
        <v>0.55771289939401814</v>
      </c>
      <c r="U127" s="531">
        <f t="shared" si="104"/>
        <v>0.55771289939401814</v>
      </c>
      <c r="V127" s="531">
        <f t="shared" si="104"/>
        <v>0.55771289939401814</v>
      </c>
      <c r="W127" s="531">
        <f t="shared" si="104"/>
        <v>0.55771289939401814</v>
      </c>
      <c r="X127" s="531">
        <f t="shared" si="104"/>
        <v>0.55810695192198612</v>
      </c>
      <c r="Y127" s="531">
        <f t="shared" si="104"/>
        <v>0.55810695192198612</v>
      </c>
      <c r="Z127" s="531">
        <f t="shared" si="104"/>
        <v>0.55810695192198612</v>
      </c>
      <c r="AA127" s="531">
        <f t="shared" si="104"/>
        <v>0.55810695192198612</v>
      </c>
      <c r="AB127" s="531">
        <f t="shared" si="104"/>
        <v>0.55810695192198612</v>
      </c>
      <c r="AC127" s="531">
        <f t="shared" si="104"/>
        <v>0.55810695192198612</v>
      </c>
      <c r="AD127" s="531">
        <f t="shared" si="104"/>
        <v>0.56253279084839347</v>
      </c>
      <c r="AE127" s="531">
        <f t="shared" si="104"/>
        <v>0.56253279084839347</v>
      </c>
      <c r="AF127" s="531">
        <f t="shared" si="104"/>
        <v>0.56253279084839347</v>
      </c>
      <c r="AG127" s="531">
        <f t="shared" si="104"/>
        <v>0.56253279084839347</v>
      </c>
      <c r="AH127" s="531">
        <f t="shared" si="104"/>
        <v>0.56253279084839347</v>
      </c>
      <c r="AI127" s="531">
        <f t="shared" si="104"/>
        <v>0.56253279084839347</v>
      </c>
      <c r="AJ127" s="531">
        <f t="shared" si="104"/>
        <v>0.56307535211807169</v>
      </c>
      <c r="AK127" s="531">
        <f t="shared" si="104"/>
        <v>0.56307535211807169</v>
      </c>
      <c r="AL127" s="531">
        <f t="shared" si="104"/>
        <v>0.56307535211807169</v>
      </c>
      <c r="AM127" s="531">
        <f t="shared" si="104"/>
        <v>0.56307535211807169</v>
      </c>
      <c r="AN127" s="531">
        <f t="shared" si="104"/>
        <v>0.56307535211807169</v>
      </c>
      <c r="AO127" s="531">
        <f t="shared" si="104"/>
        <v>0.56307535211807169</v>
      </c>
      <c r="AP127" s="531">
        <f t="shared" si="104"/>
        <v>0.56704333153017772</v>
      </c>
      <c r="AQ127" s="531">
        <f t="shared" si="104"/>
        <v>0.56704333153017772</v>
      </c>
      <c r="AR127" s="531">
        <f t="shared" si="104"/>
        <v>0.56704333153017772</v>
      </c>
      <c r="AS127" s="531">
        <f t="shared" si="104"/>
        <v>0.56704333153017772</v>
      </c>
      <c r="AT127" s="531">
        <f t="shared" si="104"/>
        <v>0.56704333153017772</v>
      </c>
      <c r="AU127" s="531">
        <f t="shared" si="104"/>
        <v>0.56704333153017772</v>
      </c>
      <c r="AV127" s="531">
        <f t="shared" si="104"/>
        <v>0.56774283143456272</v>
      </c>
      <c r="AW127" s="531">
        <f t="shared" si="104"/>
        <v>0.56774283143456272</v>
      </c>
      <c r="AX127" s="531">
        <f t="shared" ref="AX127:BY127" si="105">IFERROR(AX126/SUM(AX87,AX96,AX110,AX117),0)</f>
        <v>0.56774283143456272</v>
      </c>
      <c r="AY127" s="531">
        <f t="shared" si="105"/>
        <v>0.56774283143456272</v>
      </c>
      <c r="AZ127" s="531">
        <f t="shared" si="105"/>
        <v>0.56774283143456272</v>
      </c>
      <c r="BA127" s="531">
        <f t="shared" si="105"/>
        <v>0.56774283143456272</v>
      </c>
      <c r="BB127" s="531">
        <f t="shared" si="105"/>
        <v>0.57102665759603521</v>
      </c>
      <c r="BC127" s="531">
        <f t="shared" si="105"/>
        <v>0.57102665759603521</v>
      </c>
      <c r="BD127" s="531">
        <f t="shared" si="105"/>
        <v>0.57102665759603521</v>
      </c>
      <c r="BE127" s="531">
        <f t="shared" si="105"/>
        <v>0.57102665759603521</v>
      </c>
      <c r="BF127" s="531">
        <f t="shared" si="105"/>
        <v>0.57102665759603521</v>
      </c>
      <c r="BG127" s="531">
        <f t="shared" si="105"/>
        <v>0.57102665759603521</v>
      </c>
      <c r="BH127" s="531">
        <f t="shared" si="105"/>
        <v>0.57189509758588153</v>
      </c>
      <c r="BI127" s="531">
        <f t="shared" si="105"/>
        <v>0.57189509758588153</v>
      </c>
      <c r="BJ127" s="531">
        <f t="shared" si="105"/>
        <v>0.57189509758588153</v>
      </c>
      <c r="BK127" s="531">
        <f t="shared" si="105"/>
        <v>0.57189509758588153</v>
      </c>
      <c r="BL127" s="531">
        <f t="shared" si="105"/>
        <v>0.57189509758588153</v>
      </c>
      <c r="BM127" s="531">
        <f t="shared" si="105"/>
        <v>0.57189509758588153</v>
      </c>
      <c r="BN127" s="531">
        <f t="shared" si="105"/>
        <v>0.57484248064030541</v>
      </c>
      <c r="BO127" s="531">
        <f t="shared" si="105"/>
        <v>0.57484248064030541</v>
      </c>
      <c r="BP127" s="531">
        <f t="shared" si="105"/>
        <v>0.57484248064030541</v>
      </c>
      <c r="BQ127" s="531">
        <f t="shared" si="105"/>
        <v>0.57484248064030541</v>
      </c>
      <c r="BR127" s="531">
        <f t="shared" si="105"/>
        <v>0.57484248064030541</v>
      </c>
      <c r="BS127" s="531">
        <f t="shared" si="105"/>
        <v>0.57484248064030541</v>
      </c>
      <c r="BT127" s="531">
        <f t="shared" si="105"/>
        <v>0.57589141997793059</v>
      </c>
      <c r="BU127" s="531">
        <f t="shared" si="105"/>
        <v>0.57589141997793059</v>
      </c>
      <c r="BV127" s="531">
        <f t="shared" si="105"/>
        <v>0.57589141997793059</v>
      </c>
      <c r="BW127" s="531">
        <f t="shared" si="105"/>
        <v>0.57589141997793059</v>
      </c>
      <c r="BX127" s="531">
        <f t="shared" si="105"/>
        <v>0.57589141997793059</v>
      </c>
      <c r="BY127" s="531">
        <f t="shared" si="105"/>
        <v>0.57589141997793059</v>
      </c>
    </row>
    <row r="128" spans="3:80" x14ac:dyDescent="0.3">
      <c r="C128" s="2"/>
      <c r="D128" s="2"/>
      <c r="E128" s="2"/>
      <c r="F128" s="2"/>
      <c r="G128" s="2"/>
      <c r="H128" s="2"/>
      <c r="I128" s="2"/>
      <c r="J128" s="2"/>
      <c r="K128" s="2"/>
      <c r="L128" s="2"/>
      <c r="M128" s="2"/>
      <c r="N128" s="2"/>
      <c r="O128" s="2"/>
      <c r="P128" s="10"/>
      <c r="R128" s="2"/>
      <c r="S128" s="2"/>
      <c r="T128" s="2"/>
      <c r="U128" s="2"/>
      <c r="V128" s="2"/>
      <c r="W128" s="2"/>
      <c r="X128" s="2"/>
      <c r="Y128" s="2"/>
      <c r="Z128" s="2"/>
      <c r="AA128" s="2"/>
      <c r="AB128" s="2"/>
      <c r="AC128" s="2"/>
      <c r="AD128" s="2"/>
      <c r="AE128" s="2"/>
      <c r="AF128" s="2"/>
      <c r="AG128" s="2"/>
      <c r="AH128" s="2"/>
      <c r="AI128" s="2"/>
      <c r="AJ128" s="2"/>
      <c r="AK128" s="2"/>
      <c r="AL128" s="2"/>
      <c r="AM128" s="2"/>
      <c r="AN128" s="2"/>
      <c r="AO128" s="2"/>
      <c r="AP128" s="2"/>
      <c r="AQ128" s="2"/>
      <c r="AR128" s="2"/>
      <c r="AS128" s="2"/>
      <c r="AT128" s="2"/>
      <c r="AU128" s="2"/>
      <c r="AV128" s="2"/>
      <c r="AW128" s="2"/>
      <c r="AX128" s="2"/>
      <c r="AY128" s="2"/>
      <c r="AZ128" s="2"/>
      <c r="BA128" s="2"/>
      <c r="BB128" s="2"/>
      <c r="BC128" s="2"/>
      <c r="BD128" s="2"/>
      <c r="BE128" s="2"/>
      <c r="BF128" s="2"/>
      <c r="BG128" s="2"/>
      <c r="BH128" s="2"/>
      <c r="BI128" s="2"/>
      <c r="BJ128" s="2"/>
      <c r="BK128" s="2"/>
      <c r="BL128" s="2"/>
      <c r="BM128" s="2"/>
      <c r="BN128" s="2"/>
      <c r="BO128" s="2"/>
      <c r="BP128" s="2"/>
      <c r="BQ128" s="2"/>
      <c r="BR128" s="2"/>
      <c r="BS128" s="2"/>
      <c r="BT128" s="2"/>
      <c r="BU128" s="2"/>
      <c r="BV128" s="2"/>
      <c r="BW128" s="2"/>
      <c r="BX128" s="2"/>
      <c r="BY128" s="2"/>
    </row>
    <row r="129" spans="3:80" x14ac:dyDescent="0.3">
      <c r="C129" s="2"/>
      <c r="D129" s="2"/>
      <c r="E129" s="2" t="s">
        <v>129</v>
      </c>
      <c r="F129" s="2"/>
      <c r="G129" s="2"/>
      <c r="H129" s="2"/>
      <c r="I129" s="19">
        <f>SUM('Value Segment'!I64,'Mid-Market Segment'!I64,'Upper Mid-Market Segment'!I64,'Premium Segment'!I64)/SUM('Value Segment'!I$82,'Mid-Market Segment'!I$82,'Upper Mid-Market Segment'!I$82,'Premium Segment'!I$82)</f>
        <v>-8700</v>
      </c>
      <c r="J129" s="19">
        <f>SUM('Value Segment'!J64,'Mid-Market Segment'!J64,'Upper Mid-Market Segment'!J64,'Premium Segment'!J64)/SUM('Value Segment'!J$82,'Mid-Market Segment'!J$82,'Upper Mid-Market Segment'!J$82,'Premium Segment'!J$82)</f>
        <v>-8914.6850136986304</v>
      </c>
      <c r="K129" s="19">
        <f>SUM('Value Segment'!K64,'Mid-Market Segment'!K64,'Upper Mid-Market Segment'!K64,'Premium Segment'!K64)/SUM('Value Segment'!K$82,'Mid-Market Segment'!K$82,'Upper Mid-Market Segment'!K$82,'Premium Segment'!K$82)</f>
        <v>-9121.2663528297708</v>
      </c>
      <c r="L129" s="19">
        <f>SUM('Value Segment'!L64,'Mid-Market Segment'!L64,'Upper Mid-Market Segment'!L64,'Premium Segment'!L64)/SUM('Value Segment'!L$82,'Mid-Market Segment'!L$82,'Upper Mid-Market Segment'!L$82,'Premium Segment'!L$82)</f>
        <v>-9316.9087696781771</v>
      </c>
      <c r="M129" s="19">
        <f>SUM('Value Segment'!M64,'Mid-Market Segment'!M64,'Upper Mid-Market Segment'!M64,'Premium Segment'!M64)/SUM('Value Segment'!M$82,'Mid-Market Segment'!M$82,'Upper Mid-Market Segment'!M$82,'Premium Segment'!M$82)</f>
        <v>-9499.5074186751426</v>
      </c>
      <c r="N129" s="19">
        <f>SUM('Value Segment'!N64,'Mid-Market Segment'!N64,'Upper Mid-Market Segment'!N64,'Premium Segment'!N64)/SUM('Value Segment'!N$82,'Mid-Market Segment'!N$82,'Upper Mid-Market Segment'!N$82,'Premium Segment'!N$82)</f>
        <v>-9683.8004652022119</v>
      </c>
      <c r="O129" s="2"/>
      <c r="P129" s="50">
        <f>IFERROR(((N129/I129)^(1/5))-1,0)</f>
        <v>2.1657472733383143E-2</v>
      </c>
      <c r="R129" s="19">
        <f>SUM('Value Segment'!R64,'Mid-Market Segment'!R64,'Upper Mid-Market Segment'!R64,'Premium Segment'!R64)/SUM('Value Segment'!R$82,'Mid-Market Segment'!R$82,'Upper Mid-Market Segment'!R$82,'Premium Segment'!R$82)</f>
        <v>-742.89041780821924</v>
      </c>
      <c r="S129" s="542">
        <f>SUM('Value Segment'!S64,'Mid-Market Segment'!S64,'Upper Mid-Market Segment'!S64,'Premium Segment'!S64)/SUM('Value Segment'!S$82,'Mid-Market Segment'!S$82,'Upper Mid-Market Segment'!S$82,'Premium Segment'!S$82)</f>
        <v>-742.89041780821924</v>
      </c>
      <c r="T129" s="542">
        <f>SUM('Value Segment'!T64,'Mid-Market Segment'!T64,'Upper Mid-Market Segment'!T64,'Premium Segment'!T64)/SUM('Value Segment'!T$82,'Mid-Market Segment'!T$82,'Upper Mid-Market Segment'!T$82,'Premium Segment'!T$82)</f>
        <v>-742.89041780821924</v>
      </c>
      <c r="U129" s="542">
        <f>SUM('Value Segment'!U64,'Mid-Market Segment'!U64,'Upper Mid-Market Segment'!U64,'Premium Segment'!U64)/SUM('Value Segment'!U$82,'Mid-Market Segment'!U$82,'Upper Mid-Market Segment'!U$82,'Premium Segment'!U$82)</f>
        <v>-742.89041780821924</v>
      </c>
      <c r="V129" s="542">
        <f>SUM('Value Segment'!V64,'Mid-Market Segment'!V64,'Upper Mid-Market Segment'!V64,'Premium Segment'!V64)/SUM('Value Segment'!V$82,'Mid-Market Segment'!V$82,'Upper Mid-Market Segment'!V$82,'Premium Segment'!V$82)</f>
        <v>-742.89041780821924</v>
      </c>
      <c r="W129" s="542">
        <f>SUM('Value Segment'!W64,'Mid-Market Segment'!W64,'Upper Mid-Market Segment'!W64,'Premium Segment'!W64)/SUM('Value Segment'!W$82,'Mid-Market Segment'!W$82,'Upper Mid-Market Segment'!W$82,'Premium Segment'!W$82)</f>
        <v>-742.89041780821924</v>
      </c>
      <c r="X129" s="542">
        <f>SUM('Value Segment'!X64,'Mid-Market Segment'!X64,'Upper Mid-Market Segment'!X64,'Premium Segment'!X64)/SUM('Value Segment'!X$82,'Mid-Market Segment'!X$82,'Upper Mid-Market Segment'!X$82,'Premium Segment'!X$82)</f>
        <v>-742.89041780821924</v>
      </c>
      <c r="Y129" s="542">
        <f>SUM('Value Segment'!Y64,'Mid-Market Segment'!Y64,'Upper Mid-Market Segment'!Y64,'Premium Segment'!Y64)/SUM('Value Segment'!Y$82,'Mid-Market Segment'!Y$82,'Upper Mid-Market Segment'!Y$82,'Premium Segment'!Y$82)</f>
        <v>-742.89041780821924</v>
      </c>
      <c r="Z129" s="542">
        <f>SUM('Value Segment'!Z64,'Mid-Market Segment'!Z64,'Upper Mid-Market Segment'!Z64,'Premium Segment'!Z64)/SUM('Value Segment'!Z$82,'Mid-Market Segment'!Z$82,'Upper Mid-Market Segment'!Z$82,'Premium Segment'!Z$82)</f>
        <v>-742.89041780821924</v>
      </c>
      <c r="AA129" s="542">
        <f>SUM('Value Segment'!AA64,'Mid-Market Segment'!AA64,'Upper Mid-Market Segment'!AA64,'Premium Segment'!AA64)/SUM('Value Segment'!AA$82,'Mid-Market Segment'!AA$82,'Upper Mid-Market Segment'!AA$82,'Premium Segment'!AA$82)</f>
        <v>-742.89041780821924</v>
      </c>
      <c r="AB129" s="542">
        <f>SUM('Value Segment'!AB64,'Mid-Market Segment'!AB64,'Upper Mid-Market Segment'!AB64,'Premium Segment'!AB64)/SUM('Value Segment'!AB$82,'Mid-Market Segment'!AB$82,'Upper Mid-Market Segment'!AB$82,'Premium Segment'!AB$82)</f>
        <v>-742.89041780821924</v>
      </c>
      <c r="AC129" s="542">
        <f>SUM('Value Segment'!AC64,'Mid-Market Segment'!AC64,'Upper Mid-Market Segment'!AC64,'Premium Segment'!AC64)/SUM('Value Segment'!AC$82,'Mid-Market Segment'!AC$82,'Upper Mid-Market Segment'!AC$82,'Premium Segment'!AC$82)</f>
        <v>-742.89041780821924</v>
      </c>
      <c r="AD129" s="542">
        <f>SUM('Value Segment'!AD64,'Mid-Market Segment'!AD64,'Upper Mid-Market Segment'!AD64,'Premium Segment'!AD64)/SUM('Value Segment'!AD$82,'Mid-Market Segment'!AD$82,'Upper Mid-Market Segment'!AD$82,'Premium Segment'!AD$82)</f>
        <v>-760.10552940248078</v>
      </c>
      <c r="AE129" s="542">
        <f>SUM('Value Segment'!AE64,'Mid-Market Segment'!AE64,'Upper Mid-Market Segment'!AE64,'Premium Segment'!AE64)/SUM('Value Segment'!AE$82,'Mid-Market Segment'!AE$82,'Upper Mid-Market Segment'!AE$82,'Premium Segment'!AE$82)</f>
        <v>-760.10552940248078</v>
      </c>
      <c r="AF129" s="542">
        <f>SUM('Value Segment'!AF64,'Mid-Market Segment'!AF64,'Upper Mid-Market Segment'!AF64,'Premium Segment'!AF64)/SUM('Value Segment'!AF$82,'Mid-Market Segment'!AF$82,'Upper Mid-Market Segment'!AF$82,'Premium Segment'!AF$82)</f>
        <v>-760.10552940248078</v>
      </c>
      <c r="AG129" s="542">
        <f>SUM('Value Segment'!AG64,'Mid-Market Segment'!AG64,'Upper Mid-Market Segment'!AG64,'Premium Segment'!AG64)/SUM('Value Segment'!AG$82,'Mid-Market Segment'!AG$82,'Upper Mid-Market Segment'!AG$82,'Premium Segment'!AG$82)</f>
        <v>-760.10552940248078</v>
      </c>
      <c r="AH129" s="542">
        <f>SUM('Value Segment'!AH64,'Mid-Market Segment'!AH64,'Upper Mid-Market Segment'!AH64,'Premium Segment'!AH64)/SUM('Value Segment'!AH$82,'Mid-Market Segment'!AH$82,'Upper Mid-Market Segment'!AH$82,'Premium Segment'!AH$82)</f>
        <v>-760.10552940248078</v>
      </c>
      <c r="AI129" s="542">
        <f>SUM('Value Segment'!AI64,'Mid-Market Segment'!AI64,'Upper Mid-Market Segment'!AI64,'Premium Segment'!AI64)/SUM('Value Segment'!AI$82,'Mid-Market Segment'!AI$82,'Upper Mid-Market Segment'!AI$82,'Premium Segment'!AI$82)</f>
        <v>-760.10552940248078</v>
      </c>
      <c r="AJ129" s="542">
        <f>SUM('Value Segment'!AJ64,'Mid-Market Segment'!AJ64,'Upper Mid-Market Segment'!AJ64,'Premium Segment'!AJ64)/SUM('Value Segment'!AJ$82,'Mid-Market Segment'!AJ$82,'Upper Mid-Market Segment'!AJ$82,'Premium Segment'!AJ$82)</f>
        <v>-760.10552940248078</v>
      </c>
      <c r="AK129" s="542">
        <f>SUM('Value Segment'!AK64,'Mid-Market Segment'!AK64,'Upper Mid-Market Segment'!AK64,'Premium Segment'!AK64)/SUM('Value Segment'!AK$82,'Mid-Market Segment'!AK$82,'Upper Mid-Market Segment'!AK$82,'Premium Segment'!AK$82)</f>
        <v>-760.10552940248078</v>
      </c>
      <c r="AL129" s="542">
        <f>SUM('Value Segment'!AL64,'Mid-Market Segment'!AL64,'Upper Mid-Market Segment'!AL64,'Premium Segment'!AL64)/SUM('Value Segment'!AL$82,'Mid-Market Segment'!AL$82,'Upper Mid-Market Segment'!AL$82,'Premium Segment'!AL$82)</f>
        <v>-760.10552940248078</v>
      </c>
      <c r="AM129" s="542">
        <f>SUM('Value Segment'!AM64,'Mid-Market Segment'!AM64,'Upper Mid-Market Segment'!AM64,'Premium Segment'!AM64)/SUM('Value Segment'!AM$82,'Mid-Market Segment'!AM$82,'Upper Mid-Market Segment'!AM$82,'Premium Segment'!AM$82)</f>
        <v>-760.10552940248078</v>
      </c>
      <c r="AN129" s="542">
        <f>SUM('Value Segment'!AN64,'Mid-Market Segment'!AN64,'Upper Mid-Market Segment'!AN64,'Premium Segment'!AN64)/SUM('Value Segment'!AN$82,'Mid-Market Segment'!AN$82,'Upper Mid-Market Segment'!AN$82,'Premium Segment'!AN$82)</f>
        <v>-760.10552940248078</v>
      </c>
      <c r="AO129" s="542">
        <f>SUM('Value Segment'!AO64,'Mid-Market Segment'!AO64,'Upper Mid-Market Segment'!AO64,'Premium Segment'!AO64)/SUM('Value Segment'!AO$82,'Mid-Market Segment'!AO$82,'Upper Mid-Market Segment'!AO$82,'Premium Segment'!AO$82)</f>
        <v>-760.10552940248078</v>
      </c>
      <c r="AP129" s="542">
        <f>SUM('Value Segment'!AP64,'Mid-Market Segment'!AP64,'Upper Mid-Market Segment'!AP64,'Premium Segment'!AP64)/SUM('Value Segment'!AP$82,'Mid-Market Segment'!AP$82,'Upper Mid-Market Segment'!AP$82,'Premium Segment'!AP$82)</f>
        <v>-776.40906413984806</v>
      </c>
      <c r="AQ129" s="542">
        <f>SUM('Value Segment'!AQ64,'Mid-Market Segment'!AQ64,'Upper Mid-Market Segment'!AQ64,'Premium Segment'!AQ64)/SUM('Value Segment'!AQ$82,'Mid-Market Segment'!AQ$82,'Upper Mid-Market Segment'!AQ$82,'Premium Segment'!AQ$82)</f>
        <v>-776.40906413984806</v>
      </c>
      <c r="AR129" s="542">
        <f>SUM('Value Segment'!AR64,'Mid-Market Segment'!AR64,'Upper Mid-Market Segment'!AR64,'Premium Segment'!AR64)/SUM('Value Segment'!AR$82,'Mid-Market Segment'!AR$82,'Upper Mid-Market Segment'!AR$82,'Premium Segment'!AR$82)</f>
        <v>-776.40906413984806</v>
      </c>
      <c r="AS129" s="542">
        <f>SUM('Value Segment'!AS64,'Mid-Market Segment'!AS64,'Upper Mid-Market Segment'!AS64,'Premium Segment'!AS64)/SUM('Value Segment'!AS$82,'Mid-Market Segment'!AS$82,'Upper Mid-Market Segment'!AS$82,'Premium Segment'!AS$82)</f>
        <v>-776.40906413984806</v>
      </c>
      <c r="AT129" s="542">
        <f>SUM('Value Segment'!AT64,'Mid-Market Segment'!AT64,'Upper Mid-Market Segment'!AT64,'Premium Segment'!AT64)/SUM('Value Segment'!AT$82,'Mid-Market Segment'!AT$82,'Upper Mid-Market Segment'!AT$82,'Premium Segment'!AT$82)</f>
        <v>-776.40906413984806</v>
      </c>
      <c r="AU129" s="542">
        <f>SUM('Value Segment'!AU64,'Mid-Market Segment'!AU64,'Upper Mid-Market Segment'!AU64,'Premium Segment'!AU64)/SUM('Value Segment'!AU$82,'Mid-Market Segment'!AU$82,'Upper Mid-Market Segment'!AU$82,'Premium Segment'!AU$82)</f>
        <v>-776.40906413984806</v>
      </c>
      <c r="AV129" s="542">
        <f>SUM('Value Segment'!AV64,'Mid-Market Segment'!AV64,'Upper Mid-Market Segment'!AV64,'Premium Segment'!AV64)/SUM('Value Segment'!AV$82,'Mid-Market Segment'!AV$82,'Upper Mid-Market Segment'!AV$82,'Premium Segment'!AV$82)</f>
        <v>-776.40906413984806</v>
      </c>
      <c r="AW129" s="542">
        <f>SUM('Value Segment'!AW64,'Mid-Market Segment'!AW64,'Upper Mid-Market Segment'!AW64,'Premium Segment'!AW64)/SUM('Value Segment'!AW$82,'Mid-Market Segment'!AW$82,'Upper Mid-Market Segment'!AW$82,'Premium Segment'!AW$82)</f>
        <v>-776.40906413984806</v>
      </c>
      <c r="AX129" s="542">
        <f>SUM('Value Segment'!AX64,'Mid-Market Segment'!AX64,'Upper Mid-Market Segment'!AX64,'Premium Segment'!AX64)/SUM('Value Segment'!AX$82,'Mid-Market Segment'!AX$82,'Upper Mid-Market Segment'!AX$82,'Premium Segment'!AX$82)</f>
        <v>-776.40906413984806</v>
      </c>
      <c r="AY129" s="542">
        <f>SUM('Value Segment'!AY64,'Mid-Market Segment'!AY64,'Upper Mid-Market Segment'!AY64,'Premium Segment'!AY64)/SUM('Value Segment'!AY$82,'Mid-Market Segment'!AY$82,'Upper Mid-Market Segment'!AY$82,'Premium Segment'!AY$82)</f>
        <v>-776.40906413984806</v>
      </c>
      <c r="AZ129" s="542">
        <f>SUM('Value Segment'!AZ64,'Mid-Market Segment'!AZ64,'Upper Mid-Market Segment'!AZ64,'Premium Segment'!AZ64)/SUM('Value Segment'!AZ$82,'Mid-Market Segment'!AZ$82,'Upper Mid-Market Segment'!AZ$82,'Premium Segment'!AZ$82)</f>
        <v>-776.40906413984806</v>
      </c>
      <c r="BA129" s="542">
        <f>SUM('Value Segment'!BA64,'Mid-Market Segment'!BA64,'Upper Mid-Market Segment'!BA64,'Premium Segment'!BA64)/SUM('Value Segment'!BA$82,'Mid-Market Segment'!BA$82,'Upper Mid-Market Segment'!BA$82,'Premium Segment'!BA$82)</f>
        <v>-776.40906413984806</v>
      </c>
      <c r="BB129" s="542">
        <f>SUM('Value Segment'!BB64,'Mid-Market Segment'!BB64,'Upper Mid-Market Segment'!BB64,'Premium Segment'!BB64)/SUM('Value Segment'!BB$82,'Mid-Market Segment'!BB$82,'Upper Mid-Market Segment'!BB$82,'Premium Segment'!BB$82)</f>
        <v>-791.62561822292855</v>
      </c>
      <c r="BC129" s="542">
        <f>SUM('Value Segment'!BC64,'Mid-Market Segment'!BC64,'Upper Mid-Market Segment'!BC64,'Premium Segment'!BC64)/SUM('Value Segment'!BC$82,'Mid-Market Segment'!BC$82,'Upper Mid-Market Segment'!BC$82,'Premium Segment'!BC$82)</f>
        <v>-791.62561822292855</v>
      </c>
      <c r="BD129" s="542">
        <f>SUM('Value Segment'!BD64,'Mid-Market Segment'!BD64,'Upper Mid-Market Segment'!BD64,'Premium Segment'!BD64)/SUM('Value Segment'!BD$82,'Mid-Market Segment'!BD$82,'Upper Mid-Market Segment'!BD$82,'Premium Segment'!BD$82)</f>
        <v>-791.62561822292855</v>
      </c>
      <c r="BE129" s="542">
        <f>SUM('Value Segment'!BE64,'Mid-Market Segment'!BE64,'Upper Mid-Market Segment'!BE64,'Premium Segment'!BE64)/SUM('Value Segment'!BE$82,'Mid-Market Segment'!BE$82,'Upper Mid-Market Segment'!BE$82,'Premium Segment'!BE$82)</f>
        <v>-791.62561822292855</v>
      </c>
      <c r="BF129" s="542">
        <f>SUM('Value Segment'!BF64,'Mid-Market Segment'!BF64,'Upper Mid-Market Segment'!BF64,'Premium Segment'!BF64)/SUM('Value Segment'!BF$82,'Mid-Market Segment'!BF$82,'Upper Mid-Market Segment'!BF$82,'Premium Segment'!BF$82)</f>
        <v>-791.62561822292855</v>
      </c>
      <c r="BG129" s="542">
        <f>SUM('Value Segment'!BG64,'Mid-Market Segment'!BG64,'Upper Mid-Market Segment'!BG64,'Premium Segment'!BG64)/SUM('Value Segment'!BG$82,'Mid-Market Segment'!BG$82,'Upper Mid-Market Segment'!BG$82,'Premium Segment'!BG$82)</f>
        <v>-791.62561822292855</v>
      </c>
      <c r="BH129" s="542">
        <f>SUM('Value Segment'!BH64,'Mid-Market Segment'!BH64,'Upper Mid-Market Segment'!BH64,'Premium Segment'!BH64)/SUM('Value Segment'!BH$82,'Mid-Market Segment'!BH$82,'Upper Mid-Market Segment'!BH$82,'Premium Segment'!BH$82)</f>
        <v>-791.62561822292855</v>
      </c>
      <c r="BI129" s="542">
        <f>SUM('Value Segment'!BI64,'Mid-Market Segment'!BI64,'Upper Mid-Market Segment'!BI64,'Premium Segment'!BI64)/SUM('Value Segment'!BI$82,'Mid-Market Segment'!BI$82,'Upper Mid-Market Segment'!BI$82,'Premium Segment'!BI$82)</f>
        <v>-791.62561822292855</v>
      </c>
      <c r="BJ129" s="542">
        <f>SUM('Value Segment'!BJ64,'Mid-Market Segment'!BJ64,'Upper Mid-Market Segment'!BJ64,'Premium Segment'!BJ64)/SUM('Value Segment'!BJ$82,'Mid-Market Segment'!BJ$82,'Upper Mid-Market Segment'!BJ$82,'Premium Segment'!BJ$82)</f>
        <v>-791.62561822292855</v>
      </c>
      <c r="BK129" s="542">
        <f>SUM('Value Segment'!BK64,'Mid-Market Segment'!BK64,'Upper Mid-Market Segment'!BK64,'Premium Segment'!BK64)/SUM('Value Segment'!BK$82,'Mid-Market Segment'!BK$82,'Upper Mid-Market Segment'!BK$82,'Premium Segment'!BK$82)</f>
        <v>-791.62561822292855</v>
      </c>
      <c r="BL129" s="542">
        <f>SUM('Value Segment'!BL64,'Mid-Market Segment'!BL64,'Upper Mid-Market Segment'!BL64,'Premium Segment'!BL64)/SUM('Value Segment'!BL$82,'Mid-Market Segment'!BL$82,'Upper Mid-Market Segment'!BL$82,'Premium Segment'!BL$82)</f>
        <v>-791.62561822292855</v>
      </c>
      <c r="BM129" s="542">
        <f>SUM('Value Segment'!BM64,'Mid-Market Segment'!BM64,'Upper Mid-Market Segment'!BM64,'Premium Segment'!BM64)/SUM('Value Segment'!BM$82,'Mid-Market Segment'!BM$82,'Upper Mid-Market Segment'!BM$82,'Premium Segment'!BM$82)</f>
        <v>-791.62561822292855</v>
      </c>
      <c r="BN129" s="542">
        <f>SUM('Value Segment'!BN64,'Mid-Market Segment'!BN64,'Upper Mid-Market Segment'!BN64,'Premium Segment'!BN64)/SUM('Value Segment'!BN$82,'Mid-Market Segment'!BN$82,'Upper Mid-Market Segment'!BN$82,'Premium Segment'!BN$82)</f>
        <v>-806.9833721001844</v>
      </c>
      <c r="BO129" s="542">
        <f>SUM('Value Segment'!BO64,'Mid-Market Segment'!BO64,'Upper Mid-Market Segment'!BO64,'Premium Segment'!BO64)/SUM('Value Segment'!BO$82,'Mid-Market Segment'!BO$82,'Upper Mid-Market Segment'!BO$82,'Premium Segment'!BO$82)</f>
        <v>-806.9833721001844</v>
      </c>
      <c r="BP129" s="542">
        <f>SUM('Value Segment'!BP64,'Mid-Market Segment'!BP64,'Upper Mid-Market Segment'!BP64,'Premium Segment'!BP64)/SUM('Value Segment'!BP$82,'Mid-Market Segment'!BP$82,'Upper Mid-Market Segment'!BP$82,'Premium Segment'!BP$82)</f>
        <v>-806.9833721001844</v>
      </c>
      <c r="BQ129" s="542">
        <f>SUM('Value Segment'!BQ64,'Mid-Market Segment'!BQ64,'Upper Mid-Market Segment'!BQ64,'Premium Segment'!BQ64)/SUM('Value Segment'!BQ$82,'Mid-Market Segment'!BQ$82,'Upper Mid-Market Segment'!BQ$82,'Premium Segment'!BQ$82)</f>
        <v>-806.9833721001844</v>
      </c>
      <c r="BR129" s="542">
        <f>SUM('Value Segment'!BR64,'Mid-Market Segment'!BR64,'Upper Mid-Market Segment'!BR64,'Premium Segment'!BR64)/SUM('Value Segment'!BR$82,'Mid-Market Segment'!BR$82,'Upper Mid-Market Segment'!BR$82,'Premium Segment'!BR$82)</f>
        <v>-806.9833721001844</v>
      </c>
      <c r="BS129" s="542">
        <f>SUM('Value Segment'!BS64,'Mid-Market Segment'!BS64,'Upper Mid-Market Segment'!BS64,'Premium Segment'!BS64)/SUM('Value Segment'!BS$82,'Mid-Market Segment'!BS$82,'Upper Mid-Market Segment'!BS$82,'Premium Segment'!BS$82)</f>
        <v>-806.9833721001844</v>
      </c>
      <c r="BT129" s="542">
        <f>SUM('Value Segment'!BT64,'Mid-Market Segment'!BT64,'Upper Mid-Market Segment'!BT64,'Premium Segment'!BT64)/SUM('Value Segment'!BT$82,'Mid-Market Segment'!BT$82,'Upper Mid-Market Segment'!BT$82,'Premium Segment'!BT$82)</f>
        <v>-806.9833721001844</v>
      </c>
      <c r="BU129" s="542">
        <f>SUM('Value Segment'!BU64,'Mid-Market Segment'!BU64,'Upper Mid-Market Segment'!BU64,'Premium Segment'!BU64)/SUM('Value Segment'!BU$82,'Mid-Market Segment'!BU$82,'Upper Mid-Market Segment'!BU$82,'Premium Segment'!BU$82)</f>
        <v>-806.9833721001844</v>
      </c>
      <c r="BV129" s="542">
        <f>SUM('Value Segment'!BV64,'Mid-Market Segment'!BV64,'Upper Mid-Market Segment'!BV64,'Premium Segment'!BV64)/SUM('Value Segment'!BV$82,'Mid-Market Segment'!BV$82,'Upper Mid-Market Segment'!BV$82,'Premium Segment'!BV$82)</f>
        <v>-806.9833721001844</v>
      </c>
      <c r="BW129" s="542">
        <f>SUM('Value Segment'!BW64,'Mid-Market Segment'!BW64,'Upper Mid-Market Segment'!BW64,'Premium Segment'!BW64)/SUM('Value Segment'!BW$82,'Mid-Market Segment'!BW$82,'Upper Mid-Market Segment'!BW$82,'Premium Segment'!BW$82)</f>
        <v>-806.9833721001844</v>
      </c>
      <c r="BX129" s="542">
        <f>SUM('Value Segment'!BX64,'Mid-Market Segment'!BX64,'Upper Mid-Market Segment'!BX64,'Premium Segment'!BX64)/SUM('Value Segment'!BX$82,'Mid-Market Segment'!BX$82,'Upper Mid-Market Segment'!BX$82,'Premium Segment'!BX$82)</f>
        <v>-806.9833721001844</v>
      </c>
      <c r="BY129" s="542">
        <f>SUM('Value Segment'!BY64,'Mid-Market Segment'!BY64,'Upper Mid-Market Segment'!BY64,'Premium Segment'!BY64)/SUM('Value Segment'!BY$82,'Mid-Market Segment'!BY$82,'Upper Mid-Market Segment'!BY$82,'Premium Segment'!BY$82)</f>
        <v>-806.9833721001844</v>
      </c>
    </row>
    <row r="130" spans="3:80" x14ac:dyDescent="0.3">
      <c r="C130" s="2"/>
      <c r="D130" s="2"/>
      <c r="E130" s="62" t="s">
        <v>292</v>
      </c>
      <c r="F130" s="63"/>
      <c r="G130" s="63"/>
      <c r="H130" s="63"/>
      <c r="I130" s="673">
        <f>SUM('Value Segment'!I65,'Mid-Market Segment'!I65,'Upper Mid-Market Segment'!I65,'Premium Segment'!I65)/SUM('Value Segment'!I$82,'Mid-Market Segment'!I$82,'Upper Mid-Market Segment'!I$82,'Premium Segment'!I$82)</f>
        <v>88061.550458159123</v>
      </c>
      <c r="J130" s="673">
        <f>SUM('Value Segment'!J65,'Mid-Market Segment'!J65,'Upper Mid-Market Segment'!J65,'Premium Segment'!J65)/SUM('Value Segment'!J$82,'Mid-Market Segment'!J$82,'Upper Mid-Market Segment'!J$82,'Premium Segment'!J$82)</f>
        <v>93101.945369799563</v>
      </c>
      <c r="K130" s="673">
        <f>SUM('Value Segment'!K65,'Mid-Market Segment'!K65,'Upper Mid-Market Segment'!K65,'Premium Segment'!K65)/SUM('Value Segment'!K$82,'Mid-Market Segment'!K$82,'Upper Mid-Market Segment'!K$82,'Premium Segment'!K$82)</f>
        <v>99186.683235015269</v>
      </c>
      <c r="L130" s="673">
        <f>SUM('Value Segment'!L65,'Mid-Market Segment'!L65,'Upper Mid-Market Segment'!L65,'Premium Segment'!L65)/SUM('Value Segment'!L$82,'Mid-Market Segment'!L$82,'Upper Mid-Market Segment'!L$82,'Premium Segment'!L$82)</f>
        <v>105443.05778458354</v>
      </c>
      <c r="M130" s="673">
        <f>SUM('Value Segment'!M65,'Mid-Market Segment'!M65,'Upper Mid-Market Segment'!M65,'Premium Segment'!M65)/SUM('Value Segment'!M$82,'Mid-Market Segment'!M$82,'Upper Mid-Market Segment'!M$82,'Premium Segment'!M$82)</f>
        <v>111850.27680716215</v>
      </c>
      <c r="N130" s="673">
        <f>SUM('Value Segment'!N65,'Mid-Market Segment'!N65,'Upper Mid-Market Segment'!N65,'Premium Segment'!N65)/SUM('Value Segment'!N$82,'Mid-Market Segment'!N$82,'Upper Mid-Market Segment'!N$82,'Premium Segment'!N$82)</f>
        <v>118581.24790193574</v>
      </c>
      <c r="O130" s="57"/>
      <c r="P130" s="55">
        <f>IFERROR(((N130/I130)^(1/5))-1,0)</f>
        <v>6.1318996590630004E-2</v>
      </c>
      <c r="R130" s="673">
        <f>SUM('Value Segment'!R65,'Mid-Market Segment'!R65,'Upper Mid-Market Segment'!R65,'Premium Segment'!R65)/SUM('Value Segment'!R$82,'Mid-Market Segment'!R$82,'Upper Mid-Market Segment'!R$82,'Premium Segment'!R$82)</f>
        <v>7655.1786387507536</v>
      </c>
      <c r="S130" s="676">
        <f>SUM('Value Segment'!S65,'Mid-Market Segment'!S65,'Upper Mid-Market Segment'!S65,'Premium Segment'!S65)/SUM('Value Segment'!S$82,'Mid-Market Segment'!S$82,'Upper Mid-Market Segment'!S$82,'Premium Segment'!S$82)</f>
        <v>7655.1786387507536</v>
      </c>
      <c r="T130" s="676">
        <f>SUM('Value Segment'!T65,'Mid-Market Segment'!T65,'Upper Mid-Market Segment'!T65,'Premium Segment'!T65)/SUM('Value Segment'!T$82,'Mid-Market Segment'!T$82,'Upper Mid-Market Segment'!T$82,'Premium Segment'!T$82)</f>
        <v>7655.1786387507536</v>
      </c>
      <c r="U130" s="676">
        <f>SUM('Value Segment'!U65,'Mid-Market Segment'!U65,'Upper Mid-Market Segment'!U65,'Premium Segment'!U65)/SUM('Value Segment'!U$82,'Mid-Market Segment'!U$82,'Upper Mid-Market Segment'!U$82,'Premium Segment'!U$82)</f>
        <v>7655.1786387507536</v>
      </c>
      <c r="V130" s="676">
        <f>SUM('Value Segment'!V65,'Mid-Market Segment'!V65,'Upper Mid-Market Segment'!V65,'Premium Segment'!V65)/SUM('Value Segment'!V$82,'Mid-Market Segment'!V$82,'Upper Mid-Market Segment'!V$82,'Premium Segment'!V$82)</f>
        <v>7655.1786387507536</v>
      </c>
      <c r="W130" s="676">
        <f>SUM('Value Segment'!W65,'Mid-Market Segment'!W65,'Upper Mid-Market Segment'!W65,'Premium Segment'!W65)/SUM('Value Segment'!W$82,'Mid-Market Segment'!W$82,'Upper Mid-Market Segment'!W$82,'Premium Segment'!W$82)</f>
        <v>7655.1786387507536</v>
      </c>
      <c r="X130" s="676">
        <f>SUM('Value Segment'!X65,'Mid-Market Segment'!X65,'Upper Mid-Market Segment'!X65,'Premium Segment'!X65)/SUM('Value Segment'!X$82,'Mid-Market Segment'!X$82,'Upper Mid-Market Segment'!X$82,'Premium Segment'!X$82)</f>
        <v>7861.8122562158369</v>
      </c>
      <c r="Y130" s="676">
        <f>SUM('Value Segment'!Y65,'Mid-Market Segment'!Y65,'Upper Mid-Market Segment'!Y65,'Premium Segment'!Y65)/SUM('Value Segment'!Y$82,'Mid-Market Segment'!Y$82,'Upper Mid-Market Segment'!Y$82,'Premium Segment'!Y$82)</f>
        <v>7861.8122562158369</v>
      </c>
      <c r="Z130" s="676">
        <f>SUM('Value Segment'!Z65,'Mid-Market Segment'!Z65,'Upper Mid-Market Segment'!Z65,'Premium Segment'!Z65)/SUM('Value Segment'!Z$82,'Mid-Market Segment'!Z$82,'Upper Mid-Market Segment'!Z$82,'Premium Segment'!Z$82)</f>
        <v>7861.8122562158369</v>
      </c>
      <c r="AA130" s="676">
        <f>SUM('Value Segment'!AA65,'Mid-Market Segment'!AA65,'Upper Mid-Market Segment'!AA65,'Premium Segment'!AA65)/SUM('Value Segment'!AA$82,'Mid-Market Segment'!AA$82,'Upper Mid-Market Segment'!AA$82,'Premium Segment'!AA$82)</f>
        <v>7861.8122562158369</v>
      </c>
      <c r="AB130" s="676">
        <f>SUM('Value Segment'!AB65,'Mid-Market Segment'!AB65,'Upper Mid-Market Segment'!AB65,'Premium Segment'!AB65)/SUM('Value Segment'!AB$82,'Mid-Market Segment'!AB$82,'Upper Mid-Market Segment'!AB$82,'Premium Segment'!AB$82)</f>
        <v>7861.8122562158369</v>
      </c>
      <c r="AC130" s="676">
        <f>SUM('Value Segment'!AC65,'Mid-Market Segment'!AC65,'Upper Mid-Market Segment'!AC65,'Premium Segment'!AC65)/SUM('Value Segment'!AC$82,'Mid-Market Segment'!AC$82,'Upper Mid-Market Segment'!AC$82,'Premium Segment'!AC$82)</f>
        <v>7861.8122562158369</v>
      </c>
      <c r="AD130" s="676">
        <f>SUM('Value Segment'!AD65,'Mid-Market Segment'!AD65,'Upper Mid-Market Segment'!AD65,'Premium Segment'!AD65)/SUM('Value Segment'!AD$82,'Mid-Market Segment'!AD$82,'Upper Mid-Market Segment'!AD$82,'Premium Segment'!AD$82)</f>
        <v>8132.6915039254482</v>
      </c>
      <c r="AE130" s="676">
        <f>SUM('Value Segment'!AE65,'Mid-Market Segment'!AE65,'Upper Mid-Market Segment'!AE65,'Premium Segment'!AE65)/SUM('Value Segment'!AE$82,'Mid-Market Segment'!AE$82,'Upper Mid-Market Segment'!AE$82,'Premium Segment'!AE$82)</f>
        <v>8132.6915039254482</v>
      </c>
      <c r="AF130" s="676">
        <f>SUM('Value Segment'!AF65,'Mid-Market Segment'!AF65,'Upper Mid-Market Segment'!AF65,'Premium Segment'!AF65)/SUM('Value Segment'!AF$82,'Mid-Market Segment'!AF$82,'Upper Mid-Market Segment'!AF$82,'Premium Segment'!AF$82)</f>
        <v>8132.6915039254482</v>
      </c>
      <c r="AG130" s="676">
        <f>SUM('Value Segment'!AG65,'Mid-Market Segment'!AG65,'Upper Mid-Market Segment'!AG65,'Premium Segment'!AG65)/SUM('Value Segment'!AG$82,'Mid-Market Segment'!AG$82,'Upper Mid-Market Segment'!AG$82,'Premium Segment'!AG$82)</f>
        <v>8132.6915039254482</v>
      </c>
      <c r="AH130" s="676">
        <f>SUM('Value Segment'!AH65,'Mid-Market Segment'!AH65,'Upper Mid-Market Segment'!AH65,'Premium Segment'!AH65)/SUM('Value Segment'!AH$82,'Mid-Market Segment'!AH$82,'Upper Mid-Market Segment'!AH$82,'Premium Segment'!AH$82)</f>
        <v>8132.6915039254482</v>
      </c>
      <c r="AI130" s="676">
        <f>SUM('Value Segment'!AI65,'Mid-Market Segment'!AI65,'Upper Mid-Market Segment'!AI65,'Premium Segment'!AI65)/SUM('Value Segment'!AI$82,'Mid-Market Segment'!AI$82,'Upper Mid-Market Segment'!AI$82,'Premium Segment'!AI$82)</f>
        <v>8132.6915039254482</v>
      </c>
      <c r="AJ130" s="676">
        <f>SUM('Value Segment'!AJ65,'Mid-Market Segment'!AJ65,'Upper Mid-Market Segment'!AJ65,'Premium Segment'!AJ65)/SUM('Value Segment'!AJ$82,'Mid-Market Segment'!AJ$82,'Upper Mid-Market Segment'!AJ$82,'Premium Segment'!AJ$82)</f>
        <v>8398.4223685770994</v>
      </c>
      <c r="AK130" s="676">
        <f>SUM('Value Segment'!AK65,'Mid-Market Segment'!AK65,'Upper Mid-Market Segment'!AK65,'Premium Segment'!AK65)/SUM('Value Segment'!AK$82,'Mid-Market Segment'!AK$82,'Upper Mid-Market Segment'!AK$82,'Premium Segment'!AK$82)</f>
        <v>8398.4223685770994</v>
      </c>
      <c r="AL130" s="676">
        <f>SUM('Value Segment'!AL65,'Mid-Market Segment'!AL65,'Upper Mid-Market Segment'!AL65,'Premium Segment'!AL65)/SUM('Value Segment'!AL$82,'Mid-Market Segment'!AL$82,'Upper Mid-Market Segment'!AL$82,'Premium Segment'!AL$82)</f>
        <v>8398.4223685770994</v>
      </c>
      <c r="AM130" s="676">
        <f>SUM('Value Segment'!AM65,'Mid-Market Segment'!AM65,'Upper Mid-Market Segment'!AM65,'Premium Segment'!AM65)/SUM('Value Segment'!AM$82,'Mid-Market Segment'!AM$82,'Upper Mid-Market Segment'!AM$82,'Premium Segment'!AM$82)</f>
        <v>8398.4223685770994</v>
      </c>
      <c r="AN130" s="676">
        <f>SUM('Value Segment'!AN65,'Mid-Market Segment'!AN65,'Upper Mid-Market Segment'!AN65,'Premium Segment'!AN65)/SUM('Value Segment'!AN$82,'Mid-Market Segment'!AN$82,'Upper Mid-Market Segment'!AN$82,'Premium Segment'!AN$82)</f>
        <v>8398.4223685770994</v>
      </c>
      <c r="AO130" s="676">
        <f>SUM('Value Segment'!AO65,'Mid-Market Segment'!AO65,'Upper Mid-Market Segment'!AO65,'Premium Segment'!AO65)/SUM('Value Segment'!AO$82,'Mid-Market Segment'!AO$82,'Upper Mid-Market Segment'!AO$82,'Premium Segment'!AO$82)</f>
        <v>8398.4223685770994</v>
      </c>
      <c r="AP130" s="676">
        <f>SUM('Value Segment'!AP65,'Mid-Market Segment'!AP65,'Upper Mid-Market Segment'!AP65,'Premium Segment'!AP65)/SUM('Value Segment'!AP$82,'Mid-Market Segment'!AP$82,'Upper Mid-Market Segment'!AP$82,'Premium Segment'!AP$82)</f>
        <v>8622.5233220456757</v>
      </c>
      <c r="AQ130" s="676">
        <f>SUM('Value Segment'!AQ65,'Mid-Market Segment'!AQ65,'Upper Mid-Market Segment'!AQ65,'Premium Segment'!AQ65)/SUM('Value Segment'!AQ$82,'Mid-Market Segment'!AQ$82,'Upper Mid-Market Segment'!AQ$82,'Premium Segment'!AQ$82)</f>
        <v>8622.5233220456757</v>
      </c>
      <c r="AR130" s="676">
        <f>SUM('Value Segment'!AR65,'Mid-Market Segment'!AR65,'Upper Mid-Market Segment'!AR65,'Premium Segment'!AR65)/SUM('Value Segment'!AR$82,'Mid-Market Segment'!AR$82,'Upper Mid-Market Segment'!AR$82,'Premium Segment'!AR$82)</f>
        <v>8622.5233220456757</v>
      </c>
      <c r="AS130" s="676">
        <f>SUM('Value Segment'!AS65,'Mid-Market Segment'!AS65,'Upper Mid-Market Segment'!AS65,'Premium Segment'!AS65)/SUM('Value Segment'!AS$82,'Mid-Market Segment'!AS$82,'Upper Mid-Market Segment'!AS$82,'Premium Segment'!AS$82)</f>
        <v>8622.5233220456757</v>
      </c>
      <c r="AT130" s="676">
        <f>SUM('Value Segment'!AT65,'Mid-Market Segment'!AT65,'Upper Mid-Market Segment'!AT65,'Premium Segment'!AT65)/SUM('Value Segment'!AT$82,'Mid-Market Segment'!AT$82,'Upper Mid-Market Segment'!AT$82,'Premium Segment'!AT$82)</f>
        <v>8622.5233220456757</v>
      </c>
      <c r="AU130" s="676">
        <f>SUM('Value Segment'!AU65,'Mid-Market Segment'!AU65,'Upper Mid-Market Segment'!AU65,'Premium Segment'!AU65)/SUM('Value Segment'!AU$82,'Mid-Market Segment'!AU$82,'Upper Mid-Market Segment'!AU$82,'Premium Segment'!AU$82)</f>
        <v>8622.5233220456757</v>
      </c>
      <c r="AV130" s="676">
        <f>SUM('Value Segment'!AV65,'Mid-Market Segment'!AV65,'Upper Mid-Market Segment'!AV65,'Premium Segment'!AV65)/SUM('Value Segment'!AV$82,'Mid-Market Segment'!AV$82,'Upper Mid-Market Segment'!AV$82,'Premium Segment'!AV$82)</f>
        <v>8951.3196420515833</v>
      </c>
      <c r="AW130" s="676">
        <f>SUM('Value Segment'!AW65,'Mid-Market Segment'!AW65,'Upper Mid-Market Segment'!AW65,'Premium Segment'!AW65)/SUM('Value Segment'!AW$82,'Mid-Market Segment'!AW$82,'Upper Mid-Market Segment'!AW$82,'Premium Segment'!AW$82)</f>
        <v>8951.3196420515833</v>
      </c>
      <c r="AX130" s="676">
        <f>SUM('Value Segment'!AX65,'Mid-Market Segment'!AX65,'Upper Mid-Market Segment'!AX65,'Premium Segment'!AX65)/SUM('Value Segment'!AX$82,'Mid-Market Segment'!AX$82,'Upper Mid-Market Segment'!AX$82,'Premium Segment'!AX$82)</f>
        <v>8951.3196420515833</v>
      </c>
      <c r="AY130" s="676">
        <f>SUM('Value Segment'!AY65,'Mid-Market Segment'!AY65,'Upper Mid-Market Segment'!AY65,'Premium Segment'!AY65)/SUM('Value Segment'!AY$82,'Mid-Market Segment'!AY$82,'Upper Mid-Market Segment'!AY$82,'Premium Segment'!AY$82)</f>
        <v>8951.3196420515833</v>
      </c>
      <c r="AZ130" s="676">
        <f>SUM('Value Segment'!AZ65,'Mid-Market Segment'!AZ65,'Upper Mid-Market Segment'!AZ65,'Premium Segment'!AZ65)/SUM('Value Segment'!AZ$82,'Mid-Market Segment'!AZ$82,'Upper Mid-Market Segment'!AZ$82,'Premium Segment'!AZ$82)</f>
        <v>8951.3196420515833</v>
      </c>
      <c r="BA130" s="676">
        <f>SUM('Value Segment'!BA65,'Mid-Market Segment'!BA65,'Upper Mid-Market Segment'!BA65,'Premium Segment'!BA65)/SUM('Value Segment'!BA$82,'Mid-Market Segment'!BA$82,'Upper Mid-Market Segment'!BA$82,'Premium Segment'!BA$82)</f>
        <v>8951.3196420515833</v>
      </c>
      <c r="BB130" s="676">
        <f>SUM('Value Segment'!BB65,'Mid-Market Segment'!BB65,'Upper Mid-Market Segment'!BB65,'Premium Segment'!BB65)/SUM('Value Segment'!BB$82,'Mid-Market Segment'!BB$82,'Upper Mid-Market Segment'!BB$82,'Premium Segment'!BB$82)</f>
        <v>9122.8998753855576</v>
      </c>
      <c r="BC130" s="676">
        <f>SUM('Value Segment'!BC65,'Mid-Market Segment'!BC65,'Upper Mid-Market Segment'!BC65,'Premium Segment'!BC65)/SUM('Value Segment'!BC$82,'Mid-Market Segment'!BC$82,'Upper Mid-Market Segment'!BC$82,'Premium Segment'!BC$82)</f>
        <v>9122.8998753855576</v>
      </c>
      <c r="BD130" s="676">
        <f>SUM('Value Segment'!BD65,'Mid-Market Segment'!BD65,'Upper Mid-Market Segment'!BD65,'Premium Segment'!BD65)/SUM('Value Segment'!BD$82,'Mid-Market Segment'!BD$82,'Upper Mid-Market Segment'!BD$82,'Premium Segment'!BD$82)</f>
        <v>9122.8998753855576</v>
      </c>
      <c r="BE130" s="676">
        <f>SUM('Value Segment'!BE65,'Mid-Market Segment'!BE65,'Upper Mid-Market Segment'!BE65,'Premium Segment'!BE65)/SUM('Value Segment'!BE$82,'Mid-Market Segment'!BE$82,'Upper Mid-Market Segment'!BE$82,'Premium Segment'!BE$82)</f>
        <v>9122.8998753855576</v>
      </c>
      <c r="BF130" s="676">
        <f>SUM('Value Segment'!BF65,'Mid-Market Segment'!BF65,'Upper Mid-Market Segment'!BF65,'Premium Segment'!BF65)/SUM('Value Segment'!BF$82,'Mid-Market Segment'!BF$82,'Upper Mid-Market Segment'!BF$82,'Premium Segment'!BF$82)</f>
        <v>9122.8998753855576</v>
      </c>
      <c r="BG130" s="676">
        <f>SUM('Value Segment'!BG65,'Mid-Market Segment'!BG65,'Upper Mid-Market Segment'!BG65,'Premium Segment'!BG65)/SUM('Value Segment'!BG$82,'Mid-Market Segment'!BG$82,'Upper Mid-Market Segment'!BG$82,'Premium Segment'!BG$82)</f>
        <v>9122.8998753855576</v>
      </c>
      <c r="BH130" s="676">
        <f>SUM('Value Segment'!BH65,'Mid-Market Segment'!BH65,'Upper Mid-Market Segment'!BH65,'Premium Segment'!BH65)/SUM('Value Segment'!BH$82,'Mid-Market Segment'!BH$82,'Upper Mid-Market Segment'!BH$82,'Premium Segment'!BH$82)</f>
        <v>9518.8129258081317</v>
      </c>
      <c r="BI130" s="676">
        <f>SUM('Value Segment'!BI65,'Mid-Market Segment'!BI65,'Upper Mid-Market Segment'!BI65,'Premium Segment'!BI65)/SUM('Value Segment'!BI$82,'Mid-Market Segment'!BI$82,'Upper Mid-Market Segment'!BI$82,'Premium Segment'!BI$82)</f>
        <v>9518.8129258081317</v>
      </c>
      <c r="BJ130" s="676">
        <f>SUM('Value Segment'!BJ65,'Mid-Market Segment'!BJ65,'Upper Mid-Market Segment'!BJ65,'Premium Segment'!BJ65)/SUM('Value Segment'!BJ$82,'Mid-Market Segment'!BJ$82,'Upper Mid-Market Segment'!BJ$82,'Premium Segment'!BJ$82)</f>
        <v>9518.8129258081317</v>
      </c>
      <c r="BK130" s="676">
        <f>SUM('Value Segment'!BK65,'Mid-Market Segment'!BK65,'Upper Mid-Market Segment'!BK65,'Premium Segment'!BK65)/SUM('Value Segment'!BK$82,'Mid-Market Segment'!BK$82,'Upper Mid-Market Segment'!BK$82,'Premium Segment'!BK$82)</f>
        <v>9518.8129258081317</v>
      </c>
      <c r="BL130" s="676">
        <f>SUM('Value Segment'!BL65,'Mid-Market Segment'!BL65,'Upper Mid-Market Segment'!BL65,'Premium Segment'!BL65)/SUM('Value Segment'!BL$82,'Mid-Market Segment'!BL$82,'Upper Mid-Market Segment'!BL$82,'Premium Segment'!BL$82)</f>
        <v>9518.8129258081317</v>
      </c>
      <c r="BM130" s="676">
        <f>SUM('Value Segment'!BM65,'Mid-Market Segment'!BM65,'Upper Mid-Market Segment'!BM65,'Premium Segment'!BM65)/SUM('Value Segment'!BM$82,'Mid-Market Segment'!BM$82,'Upper Mid-Market Segment'!BM$82,'Premium Segment'!BM$82)</f>
        <v>9518.8129258081317</v>
      </c>
      <c r="BN130" s="676">
        <f>SUM('Value Segment'!BN65,'Mid-Market Segment'!BN65,'Upper Mid-Market Segment'!BN65,'Premium Segment'!BN65)/SUM('Value Segment'!BN$82,'Mid-Market Segment'!BN$82,'Upper Mid-Market Segment'!BN$82,'Premium Segment'!BN$82)</f>
        <v>9648.1313655729482</v>
      </c>
      <c r="BO130" s="676">
        <f>SUM('Value Segment'!BO65,'Mid-Market Segment'!BO65,'Upper Mid-Market Segment'!BO65,'Premium Segment'!BO65)/SUM('Value Segment'!BO$82,'Mid-Market Segment'!BO$82,'Upper Mid-Market Segment'!BO$82,'Premium Segment'!BO$82)</f>
        <v>9648.1313655729482</v>
      </c>
      <c r="BP130" s="676">
        <f>SUM('Value Segment'!BP65,'Mid-Market Segment'!BP65,'Upper Mid-Market Segment'!BP65,'Premium Segment'!BP65)/SUM('Value Segment'!BP$82,'Mid-Market Segment'!BP$82,'Upper Mid-Market Segment'!BP$82,'Premium Segment'!BP$82)</f>
        <v>9648.1313655729482</v>
      </c>
      <c r="BQ130" s="676">
        <f>SUM('Value Segment'!BQ65,'Mid-Market Segment'!BQ65,'Upper Mid-Market Segment'!BQ65,'Premium Segment'!BQ65)/SUM('Value Segment'!BQ$82,'Mid-Market Segment'!BQ$82,'Upper Mid-Market Segment'!BQ$82,'Premium Segment'!BQ$82)</f>
        <v>9648.1313655729482</v>
      </c>
      <c r="BR130" s="676">
        <f>SUM('Value Segment'!BR65,'Mid-Market Segment'!BR65,'Upper Mid-Market Segment'!BR65,'Premium Segment'!BR65)/SUM('Value Segment'!BR$82,'Mid-Market Segment'!BR$82,'Upper Mid-Market Segment'!BR$82,'Premium Segment'!BR$82)</f>
        <v>9648.1313655729482</v>
      </c>
      <c r="BS130" s="676">
        <f>SUM('Value Segment'!BS65,'Mid-Market Segment'!BS65,'Upper Mid-Market Segment'!BS65,'Premium Segment'!BS65)/SUM('Value Segment'!BS$82,'Mid-Market Segment'!BS$82,'Upper Mid-Market Segment'!BS$82,'Premium Segment'!BS$82)</f>
        <v>9648.1313655729482</v>
      </c>
      <c r="BT130" s="676">
        <f>SUM('Value Segment'!BT65,'Mid-Market Segment'!BT65,'Upper Mid-Market Segment'!BT65,'Premium Segment'!BT65)/SUM('Value Segment'!BT$82,'Mid-Market Segment'!BT$82,'Upper Mid-Market Segment'!BT$82,'Premium Segment'!BT$82)</f>
        <v>10115.409951416341</v>
      </c>
      <c r="BU130" s="676">
        <f>SUM('Value Segment'!BU65,'Mid-Market Segment'!BU65,'Upper Mid-Market Segment'!BU65,'Premium Segment'!BU65)/SUM('Value Segment'!BU$82,'Mid-Market Segment'!BU$82,'Upper Mid-Market Segment'!BU$82,'Premium Segment'!BU$82)</f>
        <v>10115.409951416341</v>
      </c>
      <c r="BV130" s="676">
        <f>SUM('Value Segment'!BV65,'Mid-Market Segment'!BV65,'Upper Mid-Market Segment'!BV65,'Premium Segment'!BV65)/SUM('Value Segment'!BV$82,'Mid-Market Segment'!BV$82,'Upper Mid-Market Segment'!BV$82,'Premium Segment'!BV$82)</f>
        <v>10115.409951416341</v>
      </c>
      <c r="BW130" s="676">
        <f>SUM('Value Segment'!BW65,'Mid-Market Segment'!BW65,'Upper Mid-Market Segment'!BW65,'Premium Segment'!BW65)/SUM('Value Segment'!BW$82,'Mid-Market Segment'!BW$82,'Upper Mid-Market Segment'!BW$82,'Premium Segment'!BW$82)</f>
        <v>10115.409951416341</v>
      </c>
      <c r="BX130" s="676">
        <f>SUM('Value Segment'!BX65,'Mid-Market Segment'!BX65,'Upper Mid-Market Segment'!BX65,'Premium Segment'!BX65)/SUM('Value Segment'!BX$82,'Mid-Market Segment'!BX$82,'Upper Mid-Market Segment'!BX$82,'Premium Segment'!BX$82)</f>
        <v>10115.409951416341</v>
      </c>
      <c r="BY130" s="676">
        <f>SUM('Value Segment'!BY65,'Mid-Market Segment'!BY65,'Upper Mid-Market Segment'!BY65,'Premium Segment'!BY65)/SUM('Value Segment'!BY$82,'Mid-Market Segment'!BY$82,'Upper Mid-Market Segment'!BY$82,'Premium Segment'!BY$82)</f>
        <v>10115.409951416341</v>
      </c>
      <c r="CB130" s="8"/>
    </row>
    <row r="131" spans="3:80" x14ac:dyDescent="0.3">
      <c r="C131" s="2"/>
      <c r="D131" s="2"/>
      <c r="E131" s="692" t="s">
        <v>406</v>
      </c>
      <c r="F131" s="2"/>
      <c r="G131" s="2"/>
      <c r="H131" s="2"/>
      <c r="I131" s="499">
        <f t="shared" ref="I131:N131" si="106">IFERROR(I130/I126,0)</f>
        <v>0.91008825345598421</v>
      </c>
      <c r="J131" s="499">
        <f t="shared" si="106"/>
        <v>0.91261537476598875</v>
      </c>
      <c r="K131" s="499">
        <f t="shared" si="106"/>
        <v>0.91578396241882676</v>
      </c>
      <c r="L131" s="499">
        <f t="shared" si="106"/>
        <v>0.91881394662769555</v>
      </c>
      <c r="M131" s="499">
        <f t="shared" si="106"/>
        <v>0.92171797025204338</v>
      </c>
      <c r="N131" s="499">
        <f t="shared" si="106"/>
        <v>0.92450164258712253</v>
      </c>
      <c r="O131" s="23"/>
      <c r="P131" s="50">
        <f>IFERROR(((N131/I131)^(1/5))-1,0)</f>
        <v>3.1475934876206146E-3</v>
      </c>
      <c r="R131" s="499">
        <f t="shared" ref="R131:AW131" si="107">IFERROR(R130/R126,0)</f>
        <v>0.91154032994905942</v>
      </c>
      <c r="S131" s="531">
        <f t="shared" si="107"/>
        <v>0.91154032994905942</v>
      </c>
      <c r="T131" s="531">
        <f t="shared" si="107"/>
        <v>0.91154032994905942</v>
      </c>
      <c r="U131" s="531">
        <f t="shared" si="107"/>
        <v>0.91154032994905942</v>
      </c>
      <c r="V131" s="531">
        <f t="shared" si="107"/>
        <v>0.91154032994905942</v>
      </c>
      <c r="W131" s="531">
        <f t="shared" si="107"/>
        <v>0.91154032994905942</v>
      </c>
      <c r="X131" s="531">
        <f t="shared" si="107"/>
        <v>0.91366460342077094</v>
      </c>
      <c r="Y131" s="531">
        <f t="shared" si="107"/>
        <v>0.91366460342077094</v>
      </c>
      <c r="Z131" s="531">
        <f t="shared" si="107"/>
        <v>0.91366460342077094</v>
      </c>
      <c r="AA131" s="531">
        <f t="shared" si="107"/>
        <v>0.91366460342077094</v>
      </c>
      <c r="AB131" s="531">
        <f t="shared" si="107"/>
        <v>0.91366460342077094</v>
      </c>
      <c r="AC131" s="531">
        <f t="shared" si="107"/>
        <v>0.91366460342077094</v>
      </c>
      <c r="AD131" s="531">
        <f t="shared" si="107"/>
        <v>0.91452570810355838</v>
      </c>
      <c r="AE131" s="531">
        <f t="shared" si="107"/>
        <v>0.91452570810355838</v>
      </c>
      <c r="AF131" s="531">
        <f t="shared" si="107"/>
        <v>0.91452570810355838</v>
      </c>
      <c r="AG131" s="531">
        <f t="shared" si="107"/>
        <v>0.91452570810355838</v>
      </c>
      <c r="AH131" s="531">
        <f t="shared" si="107"/>
        <v>0.91452570810355838</v>
      </c>
      <c r="AI131" s="531">
        <f t="shared" si="107"/>
        <v>0.91452570810355838</v>
      </c>
      <c r="AJ131" s="531">
        <f t="shared" si="107"/>
        <v>0.91700570901026968</v>
      </c>
      <c r="AK131" s="531">
        <f t="shared" si="107"/>
        <v>0.91700570901026968</v>
      </c>
      <c r="AL131" s="531">
        <f t="shared" si="107"/>
        <v>0.91700570901026968</v>
      </c>
      <c r="AM131" s="531">
        <f t="shared" si="107"/>
        <v>0.91700570901026968</v>
      </c>
      <c r="AN131" s="531">
        <f t="shared" si="107"/>
        <v>0.91700570901026968</v>
      </c>
      <c r="AO131" s="531">
        <f t="shared" si="107"/>
        <v>0.91700570901026968</v>
      </c>
      <c r="AP131" s="531">
        <f t="shared" si="107"/>
        <v>0.91739390898470474</v>
      </c>
      <c r="AQ131" s="531">
        <f t="shared" si="107"/>
        <v>0.91739390898470474</v>
      </c>
      <c r="AR131" s="531">
        <f t="shared" si="107"/>
        <v>0.91739390898470474</v>
      </c>
      <c r="AS131" s="531">
        <f t="shared" si="107"/>
        <v>0.91739390898470474</v>
      </c>
      <c r="AT131" s="531">
        <f t="shared" si="107"/>
        <v>0.91739390898470474</v>
      </c>
      <c r="AU131" s="531">
        <f t="shared" si="107"/>
        <v>0.91739390898470474</v>
      </c>
      <c r="AV131" s="531">
        <f t="shared" si="107"/>
        <v>0.92018598713123201</v>
      </c>
      <c r="AW131" s="531">
        <f t="shared" si="107"/>
        <v>0.92018598713123201</v>
      </c>
      <c r="AX131" s="531">
        <f t="shared" ref="AX131:BY131" si="108">IFERROR(AX130/AX126,0)</f>
        <v>0.92018598713123201</v>
      </c>
      <c r="AY131" s="531">
        <f t="shared" si="108"/>
        <v>0.92018598713123201</v>
      </c>
      <c r="AZ131" s="531">
        <f t="shared" si="108"/>
        <v>0.92018598713123201</v>
      </c>
      <c r="BA131" s="531">
        <f t="shared" si="108"/>
        <v>0.92018598713123201</v>
      </c>
      <c r="BB131" s="531">
        <f t="shared" si="108"/>
        <v>0.92015496669676622</v>
      </c>
      <c r="BC131" s="531">
        <f t="shared" si="108"/>
        <v>0.92015496669676622</v>
      </c>
      <c r="BD131" s="531">
        <f t="shared" si="108"/>
        <v>0.92015496669676622</v>
      </c>
      <c r="BE131" s="531">
        <f t="shared" si="108"/>
        <v>0.92015496669676622</v>
      </c>
      <c r="BF131" s="531">
        <f t="shared" si="108"/>
        <v>0.92015496669676622</v>
      </c>
      <c r="BG131" s="531">
        <f t="shared" si="108"/>
        <v>0.92015496669676622</v>
      </c>
      <c r="BH131" s="531">
        <f t="shared" si="108"/>
        <v>0.92322095565166651</v>
      </c>
      <c r="BI131" s="531">
        <f t="shared" si="108"/>
        <v>0.92322095565166651</v>
      </c>
      <c r="BJ131" s="531">
        <f t="shared" si="108"/>
        <v>0.92322095565166651</v>
      </c>
      <c r="BK131" s="531">
        <f t="shared" si="108"/>
        <v>0.92322095565166651</v>
      </c>
      <c r="BL131" s="531">
        <f t="shared" si="108"/>
        <v>0.92322095565166651</v>
      </c>
      <c r="BM131" s="531">
        <f t="shared" si="108"/>
        <v>0.92322095565166651</v>
      </c>
      <c r="BN131" s="531">
        <f t="shared" si="108"/>
        <v>0.92281448914258557</v>
      </c>
      <c r="BO131" s="531">
        <f t="shared" si="108"/>
        <v>0.92281448914258557</v>
      </c>
      <c r="BP131" s="531">
        <f t="shared" si="108"/>
        <v>0.92281448914258557</v>
      </c>
      <c r="BQ131" s="531">
        <f t="shared" si="108"/>
        <v>0.92281448914258557</v>
      </c>
      <c r="BR131" s="531">
        <f t="shared" si="108"/>
        <v>0.92281448914258557</v>
      </c>
      <c r="BS131" s="531">
        <f t="shared" si="108"/>
        <v>0.92281448914258557</v>
      </c>
      <c r="BT131" s="531">
        <f t="shared" si="108"/>
        <v>0.9261166167342918</v>
      </c>
      <c r="BU131" s="531">
        <f t="shared" si="108"/>
        <v>0.9261166167342918</v>
      </c>
      <c r="BV131" s="531">
        <f t="shared" si="108"/>
        <v>0.9261166167342918</v>
      </c>
      <c r="BW131" s="531">
        <f t="shared" si="108"/>
        <v>0.9261166167342918</v>
      </c>
      <c r="BX131" s="531">
        <f t="shared" si="108"/>
        <v>0.9261166167342918</v>
      </c>
      <c r="BY131" s="531">
        <f t="shared" si="108"/>
        <v>0.9261166167342918</v>
      </c>
    </row>
    <row r="132" spans="3:80" x14ac:dyDescent="0.3">
      <c r="C132" s="2"/>
      <c r="D132" s="2"/>
      <c r="E132" s="2"/>
      <c r="F132" s="2"/>
      <c r="G132" s="2"/>
      <c r="H132" s="2"/>
      <c r="I132" s="2"/>
      <c r="J132" s="2"/>
      <c r="K132" s="2"/>
      <c r="L132" s="2"/>
      <c r="M132" s="2"/>
      <c r="N132" s="2"/>
      <c r="O132" s="2"/>
      <c r="P132" s="35"/>
      <c r="R132" s="2"/>
      <c r="S132" s="2"/>
      <c r="T132" s="2"/>
      <c r="U132" s="2"/>
      <c r="V132" s="2"/>
      <c r="W132" s="2"/>
      <c r="X132" s="2"/>
      <c r="Y132" s="2"/>
      <c r="Z132" s="2"/>
      <c r="AA132" s="2"/>
      <c r="AB132" s="2"/>
      <c r="AC132" s="2"/>
      <c r="AD132" s="2"/>
      <c r="AE132" s="2"/>
      <c r="AF132" s="2"/>
      <c r="AG132" s="2"/>
      <c r="AH132" s="2"/>
      <c r="AI132" s="2"/>
      <c r="AJ132" s="2"/>
      <c r="AK132" s="2"/>
      <c r="AL132" s="2"/>
      <c r="AM132" s="2"/>
      <c r="AN132" s="2"/>
      <c r="AO132" s="2"/>
      <c r="AP132" s="2"/>
      <c r="AQ132" s="2"/>
      <c r="AR132" s="2"/>
      <c r="AS132" s="2"/>
      <c r="AT132" s="2"/>
      <c r="AU132" s="2"/>
      <c r="AV132" s="2"/>
      <c r="AW132" s="2"/>
      <c r="AX132" s="2"/>
      <c r="AY132" s="2"/>
      <c r="AZ132" s="2"/>
      <c r="BA132" s="2"/>
      <c r="BB132" s="2"/>
      <c r="BC132" s="2"/>
      <c r="BD132" s="2"/>
      <c r="BE132" s="2"/>
      <c r="BF132" s="2"/>
      <c r="BG132" s="2"/>
      <c r="BH132" s="2"/>
      <c r="BI132" s="2"/>
      <c r="BJ132" s="2"/>
      <c r="BK132" s="2"/>
      <c r="BL132" s="2"/>
      <c r="BM132" s="2"/>
      <c r="BN132" s="2"/>
      <c r="BO132" s="2"/>
      <c r="BP132" s="2"/>
      <c r="BQ132" s="2"/>
      <c r="BR132" s="2"/>
      <c r="BS132" s="2"/>
      <c r="BT132" s="2"/>
      <c r="BU132" s="2"/>
      <c r="BV132" s="2"/>
      <c r="BW132" s="2"/>
      <c r="BX132" s="2"/>
      <c r="BY132" s="2"/>
    </row>
    <row r="133" spans="3:80" x14ac:dyDescent="0.3">
      <c r="C133" s="2"/>
      <c r="D133" s="2"/>
      <c r="E133" s="2" t="s">
        <v>52</v>
      </c>
      <c r="F133" s="54"/>
      <c r="G133" s="54"/>
      <c r="H133" s="54"/>
      <c r="I133" s="19">
        <f>SUM('Value Segment'!I68,'Mid-Market Segment'!I68,'Upper Mid-Market Segment'!I68,'Premium Segment'!I68)/SUM('Value Segment'!I$82,'Mid-Market Segment'!I$82,'Upper Mid-Market Segment'!I$82,'Premium Segment'!I$82)</f>
        <v>-10287.168218467532</v>
      </c>
      <c r="J133" s="19">
        <f>SUM('Value Segment'!J64,'Mid-Market Segment'!J64,'Upper Mid-Market Segment'!J64,'Premium Segment'!J64)/SUM('Value Segment'!J$82,'Mid-Market Segment'!J$82,'Upper Mid-Market Segment'!J$82,'Premium Segment'!J$82)</f>
        <v>-8914.6850136986304</v>
      </c>
      <c r="K133" s="19">
        <f>SUM('Value Segment'!K64,'Mid-Market Segment'!K64,'Upper Mid-Market Segment'!K64,'Premium Segment'!K64)/SUM('Value Segment'!K$82,'Mid-Market Segment'!K$82,'Upper Mid-Market Segment'!K$82,'Premium Segment'!K$82)</f>
        <v>-9121.2663528297708</v>
      </c>
      <c r="L133" s="19">
        <f>SUM('Value Segment'!L64,'Mid-Market Segment'!L64,'Upper Mid-Market Segment'!L64,'Premium Segment'!L64)/SUM('Value Segment'!L$82,'Mid-Market Segment'!L$82,'Upper Mid-Market Segment'!L$82,'Premium Segment'!L$82)</f>
        <v>-9316.9087696781771</v>
      </c>
      <c r="M133" s="19">
        <f>SUM('Value Segment'!M64,'Mid-Market Segment'!M64,'Upper Mid-Market Segment'!M64,'Premium Segment'!M64)/SUM('Value Segment'!M$82,'Mid-Market Segment'!M$82,'Upper Mid-Market Segment'!M$82,'Premium Segment'!M$82)</f>
        <v>-9499.5074186751426</v>
      </c>
      <c r="N133" s="19">
        <f>SUM('Value Segment'!N64,'Mid-Market Segment'!N64,'Upper Mid-Market Segment'!N64,'Premium Segment'!N64)/SUM('Value Segment'!N$82,'Mid-Market Segment'!N$82,'Upper Mid-Market Segment'!N$82,'Premium Segment'!N$82)</f>
        <v>-9683.8004652022119</v>
      </c>
      <c r="O133" s="37"/>
      <c r="P133" s="50">
        <f>IFERROR(((N133/I133)^(1/5))-1,0)</f>
        <v>-1.2015802754618887E-2</v>
      </c>
      <c r="R133" s="19">
        <f>SUM('Value Segment'!R68,'Mid-Market Segment'!R68,'Upper Mid-Market Segment'!R68,'Premium Segment'!R68)/SUM('Value Segment'!R$82,'Mid-Market Segment'!R$82,'Upper Mid-Market Segment'!R$82,'Premium Segment'!R$82)</f>
        <v>-680</v>
      </c>
      <c r="S133" s="542">
        <f>SUM('Value Segment'!S68,'Mid-Market Segment'!S68,'Upper Mid-Market Segment'!S68,'Premium Segment'!S68)/SUM('Value Segment'!S$82,'Mid-Market Segment'!S$82,'Upper Mid-Market Segment'!S$82,'Premium Segment'!S$82)</f>
        <v>-680</v>
      </c>
      <c r="T133" s="542">
        <f>SUM('Value Segment'!T68,'Mid-Market Segment'!T68,'Upper Mid-Market Segment'!T68,'Premium Segment'!T68)/SUM('Value Segment'!T$82,'Mid-Market Segment'!T$82,'Upper Mid-Market Segment'!T$82,'Premium Segment'!T$82)</f>
        <v>-680</v>
      </c>
      <c r="U133" s="542">
        <f>SUM('Value Segment'!U68,'Mid-Market Segment'!U68,'Upper Mid-Market Segment'!U68,'Premium Segment'!U68)/SUM('Value Segment'!U$82,'Mid-Market Segment'!U$82,'Upper Mid-Market Segment'!U$82,'Premium Segment'!U$82)</f>
        <v>-680</v>
      </c>
      <c r="V133" s="542">
        <f>SUM('Value Segment'!V68,'Mid-Market Segment'!V68,'Upper Mid-Market Segment'!V68,'Premium Segment'!V68)/SUM('Value Segment'!V$82,'Mid-Market Segment'!V$82,'Upper Mid-Market Segment'!V$82,'Premium Segment'!V$82)</f>
        <v>-680</v>
      </c>
      <c r="W133" s="542">
        <f>SUM('Value Segment'!W68,'Mid-Market Segment'!W68,'Upper Mid-Market Segment'!W68,'Premium Segment'!W68)/SUM('Value Segment'!W$82,'Mid-Market Segment'!W$82,'Upper Mid-Market Segment'!W$82,'Premium Segment'!W$82)</f>
        <v>-680</v>
      </c>
      <c r="X133" s="542">
        <f>SUM('Value Segment'!X68,'Mid-Market Segment'!X68,'Upper Mid-Market Segment'!X68,'Premium Segment'!X68)/SUM('Value Segment'!X$82,'Mid-Market Segment'!X$82,'Upper Mid-Market Segment'!X$82,'Premium Segment'!X$82)</f>
        <v>-680</v>
      </c>
      <c r="Y133" s="542">
        <f>SUM('Value Segment'!Y68,'Mid-Market Segment'!Y68,'Upper Mid-Market Segment'!Y68,'Premium Segment'!Y68)/SUM('Value Segment'!Y$82,'Mid-Market Segment'!Y$82,'Upper Mid-Market Segment'!Y$82,'Premium Segment'!Y$82)</f>
        <v>-680</v>
      </c>
      <c r="Z133" s="542">
        <f>SUM('Value Segment'!Z68,'Mid-Market Segment'!Z68,'Upper Mid-Market Segment'!Z68,'Premium Segment'!Z68)/SUM('Value Segment'!Z$82,'Mid-Market Segment'!Z$82,'Upper Mid-Market Segment'!Z$82,'Premium Segment'!Z$82)</f>
        <v>-680</v>
      </c>
      <c r="AA133" s="542">
        <f>SUM('Value Segment'!AA68,'Mid-Market Segment'!AA68,'Upper Mid-Market Segment'!AA68,'Premium Segment'!AA68)/SUM('Value Segment'!AA$82,'Mid-Market Segment'!AA$82,'Upper Mid-Market Segment'!AA$82,'Premium Segment'!AA$82)</f>
        <v>-680</v>
      </c>
      <c r="AB133" s="542">
        <f>SUM('Value Segment'!AB68,'Mid-Market Segment'!AB68,'Upper Mid-Market Segment'!AB68,'Premium Segment'!AB68)/SUM('Value Segment'!AB$82,'Mid-Market Segment'!AB$82,'Upper Mid-Market Segment'!AB$82,'Premium Segment'!AB$82)</f>
        <v>-680</v>
      </c>
      <c r="AC133" s="542">
        <f>SUM('Value Segment'!AC68,'Mid-Market Segment'!AC68,'Upper Mid-Market Segment'!AC68,'Premium Segment'!AC68)/SUM('Value Segment'!AC$82,'Mid-Market Segment'!AC$82,'Upper Mid-Market Segment'!AC$82,'Premium Segment'!AC$82)</f>
        <v>-680</v>
      </c>
      <c r="AD133" s="542">
        <f>SUM('Value Segment'!AD68,'Mid-Market Segment'!AD68,'Upper Mid-Market Segment'!AD68,'Premium Segment'!AD68)/SUM('Value Segment'!AD$82,'Mid-Market Segment'!AD$82,'Upper Mid-Market Segment'!AD$82,'Premium Segment'!AD$82)</f>
        <v>-693.6</v>
      </c>
      <c r="AE133" s="542">
        <f>SUM('Value Segment'!AE68,'Mid-Market Segment'!AE68,'Upper Mid-Market Segment'!AE68,'Premium Segment'!AE68)/SUM('Value Segment'!AE$82,'Mid-Market Segment'!AE$82,'Upper Mid-Market Segment'!AE$82,'Premium Segment'!AE$82)</f>
        <v>-693.6</v>
      </c>
      <c r="AF133" s="542">
        <f>SUM('Value Segment'!AF68,'Mid-Market Segment'!AF68,'Upper Mid-Market Segment'!AF68,'Premium Segment'!AF68)/SUM('Value Segment'!AF$82,'Mid-Market Segment'!AF$82,'Upper Mid-Market Segment'!AF$82,'Premium Segment'!AF$82)</f>
        <v>-693.6</v>
      </c>
      <c r="AG133" s="542">
        <f>SUM('Value Segment'!AG68,'Mid-Market Segment'!AG68,'Upper Mid-Market Segment'!AG68,'Premium Segment'!AG68)/SUM('Value Segment'!AG$82,'Mid-Market Segment'!AG$82,'Upper Mid-Market Segment'!AG$82,'Premium Segment'!AG$82)</f>
        <v>-693.6</v>
      </c>
      <c r="AH133" s="542">
        <f>SUM('Value Segment'!AH68,'Mid-Market Segment'!AH68,'Upper Mid-Market Segment'!AH68,'Premium Segment'!AH68)/SUM('Value Segment'!AH$82,'Mid-Market Segment'!AH$82,'Upper Mid-Market Segment'!AH$82,'Premium Segment'!AH$82)</f>
        <v>-693.6</v>
      </c>
      <c r="AI133" s="542">
        <f>SUM('Value Segment'!AI68,'Mid-Market Segment'!AI68,'Upper Mid-Market Segment'!AI68,'Premium Segment'!AI68)/SUM('Value Segment'!AI$82,'Mid-Market Segment'!AI$82,'Upper Mid-Market Segment'!AI$82,'Premium Segment'!AI$82)</f>
        <v>-693.6</v>
      </c>
      <c r="AJ133" s="542">
        <f>SUM('Value Segment'!AJ68,'Mid-Market Segment'!AJ68,'Upper Mid-Market Segment'!AJ68,'Premium Segment'!AJ68)/SUM('Value Segment'!AJ$82,'Mid-Market Segment'!AJ$82,'Upper Mid-Market Segment'!AJ$82,'Premium Segment'!AJ$82)</f>
        <v>-693.6</v>
      </c>
      <c r="AK133" s="542">
        <f>SUM('Value Segment'!AK68,'Mid-Market Segment'!AK68,'Upper Mid-Market Segment'!AK68,'Premium Segment'!AK68)/SUM('Value Segment'!AK$82,'Mid-Market Segment'!AK$82,'Upper Mid-Market Segment'!AK$82,'Premium Segment'!AK$82)</f>
        <v>-693.6</v>
      </c>
      <c r="AL133" s="542">
        <f>SUM('Value Segment'!AL68,'Mid-Market Segment'!AL68,'Upper Mid-Market Segment'!AL68,'Premium Segment'!AL68)/SUM('Value Segment'!AL$82,'Mid-Market Segment'!AL$82,'Upper Mid-Market Segment'!AL$82,'Premium Segment'!AL$82)</f>
        <v>-693.6</v>
      </c>
      <c r="AM133" s="542">
        <f>SUM('Value Segment'!AM68,'Mid-Market Segment'!AM68,'Upper Mid-Market Segment'!AM68,'Premium Segment'!AM68)/SUM('Value Segment'!AM$82,'Mid-Market Segment'!AM$82,'Upper Mid-Market Segment'!AM$82,'Premium Segment'!AM$82)</f>
        <v>-693.6</v>
      </c>
      <c r="AN133" s="542">
        <f>SUM('Value Segment'!AN68,'Mid-Market Segment'!AN68,'Upper Mid-Market Segment'!AN68,'Premium Segment'!AN68)/SUM('Value Segment'!AN$82,'Mid-Market Segment'!AN$82,'Upper Mid-Market Segment'!AN$82,'Premium Segment'!AN$82)</f>
        <v>-693.6</v>
      </c>
      <c r="AO133" s="542">
        <f>SUM('Value Segment'!AO68,'Mid-Market Segment'!AO68,'Upper Mid-Market Segment'!AO68,'Premium Segment'!AO68)/SUM('Value Segment'!AO$82,'Mid-Market Segment'!AO$82,'Upper Mid-Market Segment'!AO$82,'Premium Segment'!AO$82)</f>
        <v>-693.6</v>
      </c>
      <c r="AP133" s="542">
        <f>SUM('Value Segment'!AP68,'Mid-Market Segment'!AP68,'Upper Mid-Market Segment'!AP68,'Premium Segment'!AP68)/SUM('Value Segment'!AP$82,'Mid-Market Segment'!AP$82,'Upper Mid-Market Segment'!AP$82,'Premium Segment'!AP$82)</f>
        <v>-707.47200000000009</v>
      </c>
      <c r="AQ133" s="542">
        <f>SUM('Value Segment'!AQ68,'Mid-Market Segment'!AQ68,'Upper Mid-Market Segment'!AQ68,'Premium Segment'!AQ68)/SUM('Value Segment'!AQ$82,'Mid-Market Segment'!AQ$82,'Upper Mid-Market Segment'!AQ$82,'Premium Segment'!AQ$82)</f>
        <v>-707.47200000000009</v>
      </c>
      <c r="AR133" s="542">
        <f>SUM('Value Segment'!AR68,'Mid-Market Segment'!AR68,'Upper Mid-Market Segment'!AR68,'Premium Segment'!AR68)/SUM('Value Segment'!AR$82,'Mid-Market Segment'!AR$82,'Upper Mid-Market Segment'!AR$82,'Premium Segment'!AR$82)</f>
        <v>-707.47200000000009</v>
      </c>
      <c r="AS133" s="542">
        <f>SUM('Value Segment'!AS68,'Mid-Market Segment'!AS68,'Upper Mid-Market Segment'!AS68,'Premium Segment'!AS68)/SUM('Value Segment'!AS$82,'Mid-Market Segment'!AS$82,'Upper Mid-Market Segment'!AS$82,'Premium Segment'!AS$82)</f>
        <v>-707.47200000000009</v>
      </c>
      <c r="AT133" s="542">
        <f>SUM('Value Segment'!AT68,'Mid-Market Segment'!AT68,'Upper Mid-Market Segment'!AT68,'Premium Segment'!AT68)/SUM('Value Segment'!AT$82,'Mid-Market Segment'!AT$82,'Upper Mid-Market Segment'!AT$82,'Premium Segment'!AT$82)</f>
        <v>-707.47200000000009</v>
      </c>
      <c r="AU133" s="542">
        <f>SUM('Value Segment'!AU68,'Mid-Market Segment'!AU68,'Upper Mid-Market Segment'!AU68,'Premium Segment'!AU68)/SUM('Value Segment'!AU$82,'Mid-Market Segment'!AU$82,'Upper Mid-Market Segment'!AU$82,'Premium Segment'!AU$82)</f>
        <v>-707.47200000000009</v>
      </c>
      <c r="AV133" s="542">
        <f>SUM('Value Segment'!AV68,'Mid-Market Segment'!AV68,'Upper Mid-Market Segment'!AV68,'Premium Segment'!AV68)/SUM('Value Segment'!AV$82,'Mid-Market Segment'!AV$82,'Upper Mid-Market Segment'!AV$82,'Premium Segment'!AV$82)</f>
        <v>-707.47200000000009</v>
      </c>
      <c r="AW133" s="542">
        <f>SUM('Value Segment'!AW68,'Mid-Market Segment'!AW68,'Upper Mid-Market Segment'!AW68,'Premium Segment'!AW68)/SUM('Value Segment'!AW$82,'Mid-Market Segment'!AW$82,'Upper Mid-Market Segment'!AW$82,'Premium Segment'!AW$82)</f>
        <v>-707.47200000000009</v>
      </c>
      <c r="AX133" s="542">
        <f>SUM('Value Segment'!AX68,'Mid-Market Segment'!AX68,'Upper Mid-Market Segment'!AX68,'Premium Segment'!AX68)/SUM('Value Segment'!AX$82,'Mid-Market Segment'!AX$82,'Upper Mid-Market Segment'!AX$82,'Premium Segment'!AX$82)</f>
        <v>-707.47200000000009</v>
      </c>
      <c r="AY133" s="542">
        <f>SUM('Value Segment'!AY68,'Mid-Market Segment'!AY68,'Upper Mid-Market Segment'!AY68,'Premium Segment'!AY68)/SUM('Value Segment'!AY$82,'Mid-Market Segment'!AY$82,'Upper Mid-Market Segment'!AY$82,'Premium Segment'!AY$82)</f>
        <v>-707.47200000000009</v>
      </c>
      <c r="AZ133" s="542">
        <f>SUM('Value Segment'!AZ68,'Mid-Market Segment'!AZ68,'Upper Mid-Market Segment'!AZ68,'Premium Segment'!AZ68)/SUM('Value Segment'!AZ$82,'Mid-Market Segment'!AZ$82,'Upper Mid-Market Segment'!AZ$82,'Premium Segment'!AZ$82)</f>
        <v>-707.47200000000009</v>
      </c>
      <c r="BA133" s="542">
        <f>SUM('Value Segment'!BA68,'Mid-Market Segment'!BA68,'Upper Mid-Market Segment'!BA68,'Premium Segment'!BA68)/SUM('Value Segment'!BA$82,'Mid-Market Segment'!BA$82,'Upper Mid-Market Segment'!BA$82,'Premium Segment'!BA$82)</f>
        <v>-707.47200000000009</v>
      </c>
      <c r="BB133" s="542">
        <f>SUM('Value Segment'!BB68,'Mid-Market Segment'!BB68,'Upper Mid-Market Segment'!BB68,'Premium Segment'!BB68)/SUM('Value Segment'!BB$82,'Mid-Market Segment'!BB$82,'Upper Mid-Market Segment'!BB$82,'Premium Segment'!BB$82)</f>
        <v>-721.62144000000001</v>
      </c>
      <c r="BC133" s="542">
        <f>SUM('Value Segment'!BC68,'Mid-Market Segment'!BC68,'Upper Mid-Market Segment'!BC68,'Premium Segment'!BC68)/SUM('Value Segment'!BC$82,'Mid-Market Segment'!BC$82,'Upper Mid-Market Segment'!BC$82,'Premium Segment'!BC$82)</f>
        <v>-721.62144000000001</v>
      </c>
      <c r="BD133" s="542">
        <f>SUM('Value Segment'!BD68,'Mid-Market Segment'!BD68,'Upper Mid-Market Segment'!BD68,'Premium Segment'!BD68)/SUM('Value Segment'!BD$82,'Mid-Market Segment'!BD$82,'Upper Mid-Market Segment'!BD$82,'Premium Segment'!BD$82)</f>
        <v>-721.62144000000001</v>
      </c>
      <c r="BE133" s="542">
        <f>SUM('Value Segment'!BE68,'Mid-Market Segment'!BE68,'Upper Mid-Market Segment'!BE68,'Premium Segment'!BE68)/SUM('Value Segment'!BE$82,'Mid-Market Segment'!BE$82,'Upper Mid-Market Segment'!BE$82,'Premium Segment'!BE$82)</f>
        <v>-721.62144000000001</v>
      </c>
      <c r="BF133" s="542">
        <f>SUM('Value Segment'!BF68,'Mid-Market Segment'!BF68,'Upper Mid-Market Segment'!BF68,'Premium Segment'!BF68)/SUM('Value Segment'!BF$82,'Mid-Market Segment'!BF$82,'Upper Mid-Market Segment'!BF$82,'Premium Segment'!BF$82)</f>
        <v>-721.62144000000001</v>
      </c>
      <c r="BG133" s="542">
        <f>SUM('Value Segment'!BG68,'Mid-Market Segment'!BG68,'Upper Mid-Market Segment'!BG68,'Premium Segment'!BG68)/SUM('Value Segment'!BG$82,'Mid-Market Segment'!BG$82,'Upper Mid-Market Segment'!BG$82,'Premium Segment'!BG$82)</f>
        <v>-721.62144000000001</v>
      </c>
      <c r="BH133" s="542">
        <f>SUM('Value Segment'!BH68,'Mid-Market Segment'!BH68,'Upper Mid-Market Segment'!BH68,'Premium Segment'!BH68)/SUM('Value Segment'!BH$82,'Mid-Market Segment'!BH$82,'Upper Mid-Market Segment'!BH$82,'Premium Segment'!BH$82)</f>
        <v>-721.62144000000001</v>
      </c>
      <c r="BI133" s="542">
        <f>SUM('Value Segment'!BI68,'Mid-Market Segment'!BI68,'Upper Mid-Market Segment'!BI68,'Premium Segment'!BI68)/SUM('Value Segment'!BI$82,'Mid-Market Segment'!BI$82,'Upper Mid-Market Segment'!BI$82,'Premium Segment'!BI$82)</f>
        <v>-721.62144000000001</v>
      </c>
      <c r="BJ133" s="542">
        <f>SUM('Value Segment'!BJ68,'Mid-Market Segment'!BJ68,'Upper Mid-Market Segment'!BJ68,'Premium Segment'!BJ68)/SUM('Value Segment'!BJ$82,'Mid-Market Segment'!BJ$82,'Upper Mid-Market Segment'!BJ$82,'Premium Segment'!BJ$82)</f>
        <v>-721.62144000000001</v>
      </c>
      <c r="BK133" s="542">
        <f>SUM('Value Segment'!BK68,'Mid-Market Segment'!BK68,'Upper Mid-Market Segment'!BK68,'Premium Segment'!BK68)/SUM('Value Segment'!BK$82,'Mid-Market Segment'!BK$82,'Upper Mid-Market Segment'!BK$82,'Premium Segment'!BK$82)</f>
        <v>-721.62144000000001</v>
      </c>
      <c r="BL133" s="542">
        <f>SUM('Value Segment'!BL68,'Mid-Market Segment'!BL68,'Upper Mid-Market Segment'!BL68,'Premium Segment'!BL68)/SUM('Value Segment'!BL$82,'Mid-Market Segment'!BL$82,'Upper Mid-Market Segment'!BL$82,'Premium Segment'!BL$82)</f>
        <v>-721.62144000000001</v>
      </c>
      <c r="BM133" s="542">
        <f>SUM('Value Segment'!BM68,'Mid-Market Segment'!BM68,'Upper Mid-Market Segment'!BM68,'Premium Segment'!BM68)/SUM('Value Segment'!BM$82,'Mid-Market Segment'!BM$82,'Upper Mid-Market Segment'!BM$82,'Premium Segment'!BM$82)</f>
        <v>-721.62144000000001</v>
      </c>
      <c r="BN133" s="542">
        <f>SUM('Value Segment'!BN68,'Mid-Market Segment'!BN68,'Upper Mid-Market Segment'!BN68,'Premium Segment'!BN68)/SUM('Value Segment'!BN$82,'Mid-Market Segment'!BN$82,'Upper Mid-Market Segment'!BN$82,'Premium Segment'!BN$82)</f>
        <v>-736.05386880000003</v>
      </c>
      <c r="BO133" s="542">
        <f>SUM('Value Segment'!BO68,'Mid-Market Segment'!BO68,'Upper Mid-Market Segment'!BO68,'Premium Segment'!BO68)/SUM('Value Segment'!BO$82,'Mid-Market Segment'!BO$82,'Upper Mid-Market Segment'!BO$82,'Premium Segment'!BO$82)</f>
        <v>-736.05386880000003</v>
      </c>
      <c r="BP133" s="542">
        <f>SUM('Value Segment'!BP68,'Mid-Market Segment'!BP68,'Upper Mid-Market Segment'!BP68,'Premium Segment'!BP68)/SUM('Value Segment'!BP$82,'Mid-Market Segment'!BP$82,'Upper Mid-Market Segment'!BP$82,'Premium Segment'!BP$82)</f>
        <v>-736.05386880000003</v>
      </c>
      <c r="BQ133" s="542">
        <f>SUM('Value Segment'!BQ68,'Mid-Market Segment'!BQ68,'Upper Mid-Market Segment'!BQ68,'Premium Segment'!BQ68)/SUM('Value Segment'!BQ$82,'Mid-Market Segment'!BQ$82,'Upper Mid-Market Segment'!BQ$82,'Premium Segment'!BQ$82)</f>
        <v>-736.05386880000003</v>
      </c>
      <c r="BR133" s="542">
        <f>SUM('Value Segment'!BR68,'Mid-Market Segment'!BR68,'Upper Mid-Market Segment'!BR68,'Premium Segment'!BR68)/SUM('Value Segment'!BR$82,'Mid-Market Segment'!BR$82,'Upper Mid-Market Segment'!BR$82,'Premium Segment'!BR$82)</f>
        <v>-736.05386880000003</v>
      </c>
      <c r="BS133" s="542">
        <f>SUM('Value Segment'!BS68,'Mid-Market Segment'!BS68,'Upper Mid-Market Segment'!BS68,'Premium Segment'!BS68)/SUM('Value Segment'!BS$82,'Mid-Market Segment'!BS$82,'Upper Mid-Market Segment'!BS$82,'Premium Segment'!BS$82)</f>
        <v>-736.05386880000003</v>
      </c>
      <c r="BT133" s="542">
        <f>SUM('Value Segment'!BT68,'Mid-Market Segment'!BT68,'Upper Mid-Market Segment'!BT68,'Premium Segment'!BT68)/SUM('Value Segment'!BT$82,'Mid-Market Segment'!BT$82,'Upper Mid-Market Segment'!BT$82,'Premium Segment'!BT$82)</f>
        <v>-736.05386880000003</v>
      </c>
      <c r="BU133" s="542">
        <f>SUM('Value Segment'!BU68,'Mid-Market Segment'!BU68,'Upper Mid-Market Segment'!BU68,'Premium Segment'!BU68)/SUM('Value Segment'!BU$82,'Mid-Market Segment'!BU$82,'Upper Mid-Market Segment'!BU$82,'Premium Segment'!BU$82)</f>
        <v>-736.05386880000003</v>
      </c>
      <c r="BV133" s="542">
        <f>SUM('Value Segment'!BV68,'Mid-Market Segment'!BV68,'Upper Mid-Market Segment'!BV68,'Premium Segment'!BV68)/SUM('Value Segment'!BV$82,'Mid-Market Segment'!BV$82,'Upper Mid-Market Segment'!BV$82,'Premium Segment'!BV$82)</f>
        <v>-736.05386880000003</v>
      </c>
      <c r="BW133" s="542">
        <f>SUM('Value Segment'!BW68,'Mid-Market Segment'!BW68,'Upper Mid-Market Segment'!BW68,'Premium Segment'!BW68)/SUM('Value Segment'!BW$82,'Mid-Market Segment'!BW$82,'Upper Mid-Market Segment'!BW$82,'Premium Segment'!BW$82)</f>
        <v>-736.05386880000003</v>
      </c>
      <c r="BX133" s="542">
        <f>SUM('Value Segment'!BX68,'Mid-Market Segment'!BX68,'Upper Mid-Market Segment'!BX68,'Premium Segment'!BX68)/SUM('Value Segment'!BX$82,'Mid-Market Segment'!BX$82,'Upper Mid-Market Segment'!BX$82,'Premium Segment'!BX$82)</f>
        <v>-736.05386880000003</v>
      </c>
      <c r="BY133" s="542">
        <f>SUM('Value Segment'!BY68,'Mid-Market Segment'!BY68,'Upper Mid-Market Segment'!BY68,'Premium Segment'!BY68)/SUM('Value Segment'!BY$82,'Mid-Market Segment'!BY$82,'Upper Mid-Market Segment'!BY$82,'Premium Segment'!BY$82)</f>
        <v>-736.05386880000003</v>
      </c>
    </row>
    <row r="134" spans="3:80" x14ac:dyDescent="0.3">
      <c r="C134" s="2"/>
      <c r="D134" s="2"/>
      <c r="E134" s="2" t="s">
        <v>69</v>
      </c>
      <c r="F134" s="54"/>
      <c r="G134" s="54"/>
      <c r="H134" s="54"/>
      <c r="I134" s="19">
        <f>SUM('Value Segment'!I69,'Mid-Market Segment'!I69,'Upper Mid-Market Segment'!I69,'Premium Segment'!I69)/SUM('Value Segment'!I$82,'Mid-Market Segment'!I$82,'Upper Mid-Market Segment'!I$82,'Premium Segment'!I$82)</f>
        <v>-1451.4232568723869</v>
      </c>
      <c r="J134" s="19">
        <f>SUM('Value Segment'!J69,'Mid-Market Segment'!J69,'Upper Mid-Market Segment'!J69,'Premium Segment'!J69)/SUM('Value Segment'!J$82,'Mid-Market Segment'!J$82,'Upper Mid-Market Segment'!J$82,'Premium Segment'!J$82)</f>
        <v>-1530.2494557524722</v>
      </c>
      <c r="K134" s="19">
        <f>SUM('Value Segment'!K69,'Mid-Market Segment'!K69,'Upper Mid-Market Segment'!K69,'Premium Segment'!K69)/SUM('Value Segment'!K$82,'Mid-Market Segment'!K$82,'Upper Mid-Market Segment'!K$82,'Premium Segment'!K$82)</f>
        <v>-1624.6192438176754</v>
      </c>
      <c r="L134" s="19">
        <f>SUM('Value Segment'!L69,'Mid-Market Segment'!L69,'Upper Mid-Market Segment'!L69,'Premium Segment'!L69)/SUM('Value Segment'!L$82,'Mid-Market Segment'!L$82,'Upper Mid-Market Segment'!L$82,'Premium Segment'!L$82)</f>
        <v>-1721.3994983139255</v>
      </c>
      <c r="M134" s="19">
        <f>SUM('Value Segment'!M69,'Mid-Market Segment'!M69,'Upper Mid-Market Segment'!M69,'Premium Segment'!M69)/SUM('Value Segment'!M$82,'Mid-Market Segment'!M$82,'Upper Mid-Market Segment'!M$82,'Premium Segment'!M$82)</f>
        <v>-1820.246763387559</v>
      </c>
      <c r="N134" s="19">
        <f>SUM('Value Segment'!N69,'Mid-Market Segment'!N69,'Upper Mid-Market Segment'!N69,'Premium Segment'!N69)/SUM('Value Segment'!N$82,'Mid-Market Segment'!N$82,'Upper Mid-Market Segment'!N$82,'Premium Segment'!N$82)</f>
        <v>-1923.9757255070688</v>
      </c>
      <c r="O134" s="37"/>
      <c r="P134" s="50">
        <f>IFERROR(((N134/I134)^(1/5))-1,0)</f>
        <v>5.7988877689240104E-2</v>
      </c>
      <c r="R134" s="19">
        <f>SUM('Value Segment'!R69,'Mid-Market Segment'!R69,'Upper Mid-Market Segment'!R69,'Premium Segment'!R69)/SUM('Value Segment'!R$82,'Mid-Market Segment'!R$82,'Upper Mid-Market Segment'!R$82,'Premium Segment'!R$82)</f>
        <v>-125.97103584838459</v>
      </c>
      <c r="S134" s="542">
        <f>SUM('Value Segment'!S69,'Mid-Market Segment'!S69,'Upper Mid-Market Segment'!S69,'Premium Segment'!S69)/SUM('Value Segment'!S$82,'Mid-Market Segment'!S$82,'Upper Mid-Market Segment'!S$82,'Premium Segment'!S$82)</f>
        <v>-125.97103584838459</v>
      </c>
      <c r="T134" s="542">
        <f>SUM('Value Segment'!T69,'Mid-Market Segment'!T69,'Upper Mid-Market Segment'!T69,'Premium Segment'!T69)/SUM('Value Segment'!T$82,'Mid-Market Segment'!T$82,'Upper Mid-Market Segment'!T$82,'Premium Segment'!T$82)</f>
        <v>-125.97103584838459</v>
      </c>
      <c r="U134" s="542">
        <f>SUM('Value Segment'!U69,'Mid-Market Segment'!U69,'Upper Mid-Market Segment'!U69,'Premium Segment'!U69)/SUM('Value Segment'!U$82,'Mid-Market Segment'!U$82,'Upper Mid-Market Segment'!U$82,'Premium Segment'!U$82)</f>
        <v>-125.97103584838459</v>
      </c>
      <c r="V134" s="542">
        <f>SUM('Value Segment'!V69,'Mid-Market Segment'!V69,'Upper Mid-Market Segment'!V69,'Premium Segment'!V69)/SUM('Value Segment'!V$82,'Mid-Market Segment'!V$82,'Upper Mid-Market Segment'!V$82,'Premium Segment'!V$82)</f>
        <v>-125.97103584838459</v>
      </c>
      <c r="W134" s="542">
        <f>SUM('Value Segment'!W69,'Mid-Market Segment'!W69,'Upper Mid-Market Segment'!W69,'Premium Segment'!W69)/SUM('Value Segment'!W$82,'Mid-Market Segment'!W$82,'Upper Mid-Market Segment'!W$82,'Premium Segment'!W$82)</f>
        <v>-125.97103584838459</v>
      </c>
      <c r="X134" s="542">
        <f>SUM('Value Segment'!X69,'Mid-Market Segment'!X69,'Upper Mid-Market Segment'!X69,'Premium Segment'!X69)/SUM('Value Segment'!X$82,'Mid-Market Segment'!X$82,'Upper Mid-Market Segment'!X$82,'Premium Segment'!X$82)</f>
        <v>-129.07054011036084</v>
      </c>
      <c r="Y134" s="542">
        <f>SUM('Value Segment'!Y69,'Mid-Market Segment'!Y69,'Upper Mid-Market Segment'!Y69,'Premium Segment'!Y69)/SUM('Value Segment'!Y$82,'Mid-Market Segment'!Y$82,'Upper Mid-Market Segment'!Y$82,'Premium Segment'!Y$82)</f>
        <v>-129.07054011036084</v>
      </c>
      <c r="Z134" s="542">
        <f>SUM('Value Segment'!Z69,'Mid-Market Segment'!Z69,'Upper Mid-Market Segment'!Z69,'Premium Segment'!Z69)/SUM('Value Segment'!Z$82,'Mid-Market Segment'!Z$82,'Upper Mid-Market Segment'!Z$82,'Premium Segment'!Z$82)</f>
        <v>-129.07054011036084</v>
      </c>
      <c r="AA134" s="542">
        <f>SUM('Value Segment'!AA69,'Mid-Market Segment'!AA69,'Upper Mid-Market Segment'!AA69,'Premium Segment'!AA69)/SUM('Value Segment'!AA$82,'Mid-Market Segment'!AA$82,'Upper Mid-Market Segment'!AA$82,'Premium Segment'!AA$82)</f>
        <v>-129.07054011036084</v>
      </c>
      <c r="AB134" s="542">
        <f>SUM('Value Segment'!AB69,'Mid-Market Segment'!AB69,'Upper Mid-Market Segment'!AB69,'Premium Segment'!AB69)/SUM('Value Segment'!AB$82,'Mid-Market Segment'!AB$82,'Upper Mid-Market Segment'!AB$82,'Premium Segment'!AB$82)</f>
        <v>-129.07054011036084</v>
      </c>
      <c r="AC134" s="542">
        <f>SUM('Value Segment'!AC69,'Mid-Market Segment'!AC69,'Upper Mid-Market Segment'!AC69,'Premium Segment'!AC69)/SUM('Value Segment'!AC$82,'Mid-Market Segment'!AC$82,'Upper Mid-Market Segment'!AC$82,'Premium Segment'!AC$82)</f>
        <v>-129.07054011036084</v>
      </c>
      <c r="AD134" s="542">
        <f>SUM('Value Segment'!AD69,'Mid-Market Segment'!AD69,'Upper Mid-Market Segment'!AD69,'Premium Segment'!AD69)/SUM('Value Segment'!AD$82,'Mid-Market Segment'!AD$82,'Upper Mid-Market Segment'!AD$82,'Premium Segment'!AD$82)</f>
        <v>-133.39195549991894</v>
      </c>
      <c r="AE134" s="542">
        <f>SUM('Value Segment'!AE69,'Mid-Market Segment'!AE69,'Upper Mid-Market Segment'!AE69,'Premium Segment'!AE69)/SUM('Value Segment'!AE$82,'Mid-Market Segment'!AE$82,'Upper Mid-Market Segment'!AE$82,'Premium Segment'!AE$82)</f>
        <v>-133.39195549991894</v>
      </c>
      <c r="AF134" s="542">
        <f>SUM('Value Segment'!AF69,'Mid-Market Segment'!AF69,'Upper Mid-Market Segment'!AF69,'Premium Segment'!AF69)/SUM('Value Segment'!AF$82,'Mid-Market Segment'!AF$82,'Upper Mid-Market Segment'!AF$82,'Premium Segment'!AF$82)</f>
        <v>-133.39195549991894</v>
      </c>
      <c r="AG134" s="542">
        <f>SUM('Value Segment'!AG69,'Mid-Market Segment'!AG69,'Upper Mid-Market Segment'!AG69,'Premium Segment'!AG69)/SUM('Value Segment'!AG$82,'Mid-Market Segment'!AG$82,'Upper Mid-Market Segment'!AG$82,'Premium Segment'!AG$82)</f>
        <v>-133.39195549991894</v>
      </c>
      <c r="AH134" s="542">
        <f>SUM('Value Segment'!AH69,'Mid-Market Segment'!AH69,'Upper Mid-Market Segment'!AH69,'Premium Segment'!AH69)/SUM('Value Segment'!AH$82,'Mid-Market Segment'!AH$82,'Upper Mid-Market Segment'!AH$82,'Premium Segment'!AH$82)</f>
        <v>-133.39195549991894</v>
      </c>
      <c r="AI134" s="542">
        <f>SUM('Value Segment'!AI69,'Mid-Market Segment'!AI69,'Upper Mid-Market Segment'!AI69,'Premium Segment'!AI69)/SUM('Value Segment'!AI$82,'Mid-Market Segment'!AI$82,'Upper Mid-Market Segment'!AI$82,'Premium Segment'!AI$82)</f>
        <v>-133.39195549991894</v>
      </c>
      <c r="AJ134" s="542">
        <f>SUM('Value Segment'!AJ69,'Mid-Market Segment'!AJ69,'Upper Mid-Market Segment'!AJ69,'Premium Segment'!AJ69)/SUM('Value Segment'!AJ$82,'Mid-Market Segment'!AJ$82,'Upper Mid-Market Segment'!AJ$82,'Premium Segment'!AJ$82)</f>
        <v>-137.3779184696937</v>
      </c>
      <c r="AK134" s="542">
        <f>SUM('Value Segment'!AK69,'Mid-Market Segment'!AK69,'Upper Mid-Market Segment'!AK69,'Premium Segment'!AK69)/SUM('Value Segment'!AK$82,'Mid-Market Segment'!AK$82,'Upper Mid-Market Segment'!AK$82,'Premium Segment'!AK$82)</f>
        <v>-137.3779184696937</v>
      </c>
      <c r="AL134" s="542">
        <f>SUM('Value Segment'!AL69,'Mid-Market Segment'!AL69,'Upper Mid-Market Segment'!AL69,'Premium Segment'!AL69)/SUM('Value Segment'!AL$82,'Mid-Market Segment'!AL$82,'Upper Mid-Market Segment'!AL$82,'Premium Segment'!AL$82)</f>
        <v>-137.3779184696937</v>
      </c>
      <c r="AM134" s="542">
        <f>SUM('Value Segment'!AM69,'Mid-Market Segment'!AM69,'Upper Mid-Market Segment'!AM69,'Premium Segment'!AM69)/SUM('Value Segment'!AM$82,'Mid-Market Segment'!AM$82,'Upper Mid-Market Segment'!AM$82,'Premium Segment'!AM$82)</f>
        <v>-137.3779184696937</v>
      </c>
      <c r="AN134" s="542">
        <f>SUM('Value Segment'!AN69,'Mid-Market Segment'!AN69,'Upper Mid-Market Segment'!AN69,'Premium Segment'!AN69)/SUM('Value Segment'!AN$82,'Mid-Market Segment'!AN$82,'Upper Mid-Market Segment'!AN$82,'Premium Segment'!AN$82)</f>
        <v>-137.3779184696937</v>
      </c>
      <c r="AO134" s="542">
        <f>SUM('Value Segment'!AO69,'Mid-Market Segment'!AO69,'Upper Mid-Market Segment'!AO69,'Premium Segment'!AO69)/SUM('Value Segment'!AO$82,'Mid-Market Segment'!AO$82,'Upper Mid-Market Segment'!AO$82,'Premium Segment'!AO$82)</f>
        <v>-137.3779184696937</v>
      </c>
      <c r="AP134" s="542">
        <f>SUM('Value Segment'!AP69,'Mid-Market Segment'!AP69,'Upper Mid-Market Segment'!AP69,'Premium Segment'!AP69)/SUM('Value Segment'!AP$82,'Mid-Market Segment'!AP$82,'Upper Mid-Market Segment'!AP$82,'Premium Segment'!AP$82)</f>
        <v>-140.98398579278282</v>
      </c>
      <c r="AQ134" s="542">
        <f>SUM('Value Segment'!AQ69,'Mid-Market Segment'!AQ69,'Upper Mid-Market Segment'!AQ69,'Premium Segment'!AQ69)/SUM('Value Segment'!AQ$82,'Mid-Market Segment'!AQ$82,'Upper Mid-Market Segment'!AQ$82,'Premium Segment'!AQ$82)</f>
        <v>-140.98398579278282</v>
      </c>
      <c r="AR134" s="542">
        <f>SUM('Value Segment'!AR69,'Mid-Market Segment'!AR69,'Upper Mid-Market Segment'!AR69,'Premium Segment'!AR69)/SUM('Value Segment'!AR$82,'Mid-Market Segment'!AR$82,'Upper Mid-Market Segment'!AR$82,'Premium Segment'!AR$82)</f>
        <v>-140.98398579278282</v>
      </c>
      <c r="AS134" s="542">
        <f>SUM('Value Segment'!AS69,'Mid-Market Segment'!AS69,'Upper Mid-Market Segment'!AS69,'Premium Segment'!AS69)/SUM('Value Segment'!AS$82,'Mid-Market Segment'!AS$82,'Upper Mid-Market Segment'!AS$82,'Premium Segment'!AS$82)</f>
        <v>-140.98398579278282</v>
      </c>
      <c r="AT134" s="542">
        <f>SUM('Value Segment'!AT69,'Mid-Market Segment'!AT69,'Upper Mid-Market Segment'!AT69,'Premium Segment'!AT69)/SUM('Value Segment'!AT$82,'Mid-Market Segment'!AT$82,'Upper Mid-Market Segment'!AT$82,'Premium Segment'!AT$82)</f>
        <v>-140.98398579278282</v>
      </c>
      <c r="AU134" s="542">
        <f>SUM('Value Segment'!AU69,'Mid-Market Segment'!AU69,'Upper Mid-Market Segment'!AU69,'Premium Segment'!AU69)/SUM('Value Segment'!AU$82,'Mid-Market Segment'!AU$82,'Upper Mid-Market Segment'!AU$82,'Premium Segment'!AU$82)</f>
        <v>-140.98398579278282</v>
      </c>
      <c r="AV134" s="542">
        <f>SUM('Value Segment'!AV69,'Mid-Market Segment'!AV69,'Upper Mid-Market Segment'!AV69,'Premium Segment'!AV69)/SUM('Value Segment'!AV$82,'Mid-Market Segment'!AV$82,'Upper Mid-Market Segment'!AV$82,'Premium Segment'!AV$82)</f>
        <v>-145.91593059287143</v>
      </c>
      <c r="AW134" s="542">
        <f>SUM('Value Segment'!AW69,'Mid-Market Segment'!AW69,'Upper Mid-Market Segment'!AW69,'Premium Segment'!AW69)/SUM('Value Segment'!AW$82,'Mid-Market Segment'!AW$82,'Upper Mid-Market Segment'!AW$82,'Premium Segment'!AW$82)</f>
        <v>-145.91593059287143</v>
      </c>
      <c r="AX134" s="542">
        <f>SUM('Value Segment'!AX69,'Mid-Market Segment'!AX69,'Upper Mid-Market Segment'!AX69,'Premium Segment'!AX69)/SUM('Value Segment'!AX$82,'Mid-Market Segment'!AX$82,'Upper Mid-Market Segment'!AX$82,'Premium Segment'!AX$82)</f>
        <v>-145.91593059287143</v>
      </c>
      <c r="AY134" s="542">
        <f>SUM('Value Segment'!AY69,'Mid-Market Segment'!AY69,'Upper Mid-Market Segment'!AY69,'Premium Segment'!AY69)/SUM('Value Segment'!AY$82,'Mid-Market Segment'!AY$82,'Upper Mid-Market Segment'!AY$82,'Premium Segment'!AY$82)</f>
        <v>-145.91593059287143</v>
      </c>
      <c r="AZ134" s="542">
        <f>SUM('Value Segment'!AZ69,'Mid-Market Segment'!AZ69,'Upper Mid-Market Segment'!AZ69,'Premium Segment'!AZ69)/SUM('Value Segment'!AZ$82,'Mid-Market Segment'!AZ$82,'Upper Mid-Market Segment'!AZ$82,'Premium Segment'!AZ$82)</f>
        <v>-145.91593059287143</v>
      </c>
      <c r="BA134" s="542">
        <f>SUM('Value Segment'!BA69,'Mid-Market Segment'!BA69,'Upper Mid-Market Segment'!BA69,'Premium Segment'!BA69)/SUM('Value Segment'!BA$82,'Mid-Market Segment'!BA$82,'Upper Mid-Market Segment'!BA$82,'Premium Segment'!BA$82)</f>
        <v>-145.91593059287143</v>
      </c>
      <c r="BB134" s="542">
        <f>SUM('Value Segment'!BB69,'Mid-Market Segment'!BB69,'Upper Mid-Market Segment'!BB69,'Premium Segment'!BB69)/SUM('Value Segment'!BB$82,'Mid-Market Segment'!BB$82,'Upper Mid-Market Segment'!BB$82,'Premium Segment'!BB$82)</f>
        <v>-148.71788240412729</v>
      </c>
      <c r="BC134" s="542">
        <f>SUM('Value Segment'!BC69,'Mid-Market Segment'!BC69,'Upper Mid-Market Segment'!BC69,'Premium Segment'!BC69)/SUM('Value Segment'!BC$82,'Mid-Market Segment'!BC$82,'Upper Mid-Market Segment'!BC$82,'Premium Segment'!BC$82)</f>
        <v>-148.71788240412729</v>
      </c>
      <c r="BD134" s="542">
        <f>SUM('Value Segment'!BD69,'Mid-Market Segment'!BD69,'Upper Mid-Market Segment'!BD69,'Premium Segment'!BD69)/SUM('Value Segment'!BD$82,'Mid-Market Segment'!BD$82,'Upper Mid-Market Segment'!BD$82,'Premium Segment'!BD$82)</f>
        <v>-148.71788240412729</v>
      </c>
      <c r="BE134" s="542">
        <f>SUM('Value Segment'!BE69,'Mid-Market Segment'!BE69,'Upper Mid-Market Segment'!BE69,'Premium Segment'!BE69)/SUM('Value Segment'!BE$82,'Mid-Market Segment'!BE$82,'Upper Mid-Market Segment'!BE$82,'Premium Segment'!BE$82)</f>
        <v>-148.71788240412729</v>
      </c>
      <c r="BF134" s="542">
        <f>SUM('Value Segment'!BF69,'Mid-Market Segment'!BF69,'Upper Mid-Market Segment'!BF69,'Premium Segment'!BF69)/SUM('Value Segment'!BF$82,'Mid-Market Segment'!BF$82,'Upper Mid-Market Segment'!BF$82,'Premium Segment'!BF$82)</f>
        <v>-148.71788240412729</v>
      </c>
      <c r="BG134" s="542">
        <f>SUM('Value Segment'!BG69,'Mid-Market Segment'!BG69,'Upper Mid-Market Segment'!BG69,'Premium Segment'!BG69)/SUM('Value Segment'!BG$82,'Mid-Market Segment'!BG$82,'Upper Mid-Market Segment'!BG$82,'Premium Segment'!BG$82)</f>
        <v>-148.71788240412729</v>
      </c>
      <c r="BH134" s="542">
        <f>SUM('Value Segment'!BH69,'Mid-Market Segment'!BH69,'Upper Mid-Market Segment'!BH69,'Premium Segment'!BH69)/SUM('Value Segment'!BH$82,'Mid-Market Segment'!BH$82,'Upper Mid-Market Segment'!BH$82,'Premium Segment'!BH$82)</f>
        <v>-154.65657816046587</v>
      </c>
      <c r="BI134" s="542">
        <f>SUM('Value Segment'!BI69,'Mid-Market Segment'!BI69,'Upper Mid-Market Segment'!BI69,'Premium Segment'!BI69)/SUM('Value Segment'!BI$82,'Mid-Market Segment'!BI$82,'Upper Mid-Market Segment'!BI$82,'Premium Segment'!BI$82)</f>
        <v>-154.65657816046587</v>
      </c>
      <c r="BJ134" s="542">
        <f>SUM('Value Segment'!BJ69,'Mid-Market Segment'!BJ69,'Upper Mid-Market Segment'!BJ69,'Premium Segment'!BJ69)/SUM('Value Segment'!BJ$82,'Mid-Market Segment'!BJ$82,'Upper Mid-Market Segment'!BJ$82,'Premium Segment'!BJ$82)</f>
        <v>-154.65657816046587</v>
      </c>
      <c r="BK134" s="542">
        <f>SUM('Value Segment'!BK69,'Mid-Market Segment'!BK69,'Upper Mid-Market Segment'!BK69,'Premium Segment'!BK69)/SUM('Value Segment'!BK$82,'Mid-Market Segment'!BK$82,'Upper Mid-Market Segment'!BK$82,'Premium Segment'!BK$82)</f>
        <v>-154.65657816046587</v>
      </c>
      <c r="BL134" s="542">
        <f>SUM('Value Segment'!BL69,'Mid-Market Segment'!BL69,'Upper Mid-Market Segment'!BL69,'Premium Segment'!BL69)/SUM('Value Segment'!BL$82,'Mid-Market Segment'!BL$82,'Upper Mid-Market Segment'!BL$82,'Premium Segment'!BL$82)</f>
        <v>-154.65657816046587</v>
      </c>
      <c r="BM134" s="542">
        <f>SUM('Value Segment'!BM69,'Mid-Market Segment'!BM69,'Upper Mid-Market Segment'!BM69,'Premium Segment'!BM69)/SUM('Value Segment'!BM$82,'Mid-Market Segment'!BM$82,'Upper Mid-Market Segment'!BM$82,'Premium Segment'!BM$82)</f>
        <v>-154.65657816046587</v>
      </c>
      <c r="BN134" s="542">
        <f>SUM('Value Segment'!BN69,'Mid-Market Segment'!BN69,'Upper Mid-Market Segment'!BN69,'Premium Segment'!BN69)/SUM('Value Segment'!BN$82,'Mid-Market Segment'!BN$82,'Upper Mid-Market Segment'!BN$82,'Premium Segment'!BN$82)</f>
        <v>-156.82672106509696</v>
      </c>
      <c r="BO134" s="542">
        <f>SUM('Value Segment'!BO69,'Mid-Market Segment'!BO69,'Upper Mid-Market Segment'!BO69,'Premium Segment'!BO69)/SUM('Value Segment'!BO$82,'Mid-Market Segment'!BO$82,'Upper Mid-Market Segment'!BO$82,'Premium Segment'!BO$82)</f>
        <v>-156.82672106509696</v>
      </c>
      <c r="BP134" s="542">
        <f>SUM('Value Segment'!BP69,'Mid-Market Segment'!BP69,'Upper Mid-Market Segment'!BP69,'Premium Segment'!BP69)/SUM('Value Segment'!BP$82,'Mid-Market Segment'!BP$82,'Upper Mid-Market Segment'!BP$82,'Premium Segment'!BP$82)</f>
        <v>-156.82672106509696</v>
      </c>
      <c r="BQ134" s="542">
        <f>SUM('Value Segment'!BQ69,'Mid-Market Segment'!BQ69,'Upper Mid-Market Segment'!BQ69,'Premium Segment'!BQ69)/SUM('Value Segment'!BQ$82,'Mid-Market Segment'!BQ$82,'Upper Mid-Market Segment'!BQ$82,'Premium Segment'!BQ$82)</f>
        <v>-156.82672106509696</v>
      </c>
      <c r="BR134" s="542">
        <f>SUM('Value Segment'!BR69,'Mid-Market Segment'!BR69,'Upper Mid-Market Segment'!BR69,'Premium Segment'!BR69)/SUM('Value Segment'!BR$82,'Mid-Market Segment'!BR$82,'Upper Mid-Market Segment'!BR$82,'Premium Segment'!BR$82)</f>
        <v>-156.82672106509696</v>
      </c>
      <c r="BS134" s="542">
        <f>SUM('Value Segment'!BS69,'Mid-Market Segment'!BS69,'Upper Mid-Market Segment'!BS69,'Premium Segment'!BS69)/SUM('Value Segment'!BS$82,'Mid-Market Segment'!BS$82,'Upper Mid-Market Segment'!BS$82,'Premium Segment'!BS$82)</f>
        <v>-156.82672106509696</v>
      </c>
      <c r="BT134" s="542">
        <f>SUM('Value Segment'!BT69,'Mid-Market Segment'!BT69,'Upper Mid-Market Segment'!BT69,'Premium Segment'!BT69)/SUM('Value Segment'!BT$82,'Mid-Market Segment'!BT$82,'Upper Mid-Market Segment'!BT$82,'Premium Segment'!BT$82)</f>
        <v>-163.83589985274787</v>
      </c>
      <c r="BU134" s="542">
        <f>SUM('Value Segment'!BU69,'Mid-Market Segment'!BU69,'Upper Mid-Market Segment'!BU69,'Premium Segment'!BU69)/SUM('Value Segment'!BU$82,'Mid-Market Segment'!BU$82,'Upper Mid-Market Segment'!BU$82,'Premium Segment'!BU$82)</f>
        <v>-163.83589985274787</v>
      </c>
      <c r="BV134" s="542">
        <f>SUM('Value Segment'!BV69,'Mid-Market Segment'!BV69,'Upper Mid-Market Segment'!BV69,'Premium Segment'!BV69)/SUM('Value Segment'!BV$82,'Mid-Market Segment'!BV$82,'Upper Mid-Market Segment'!BV$82,'Premium Segment'!BV$82)</f>
        <v>-163.83589985274787</v>
      </c>
      <c r="BW134" s="542">
        <f>SUM('Value Segment'!BW69,'Mid-Market Segment'!BW69,'Upper Mid-Market Segment'!BW69,'Premium Segment'!BW69)/SUM('Value Segment'!BW$82,'Mid-Market Segment'!BW$82,'Upper Mid-Market Segment'!BW$82,'Premium Segment'!BW$82)</f>
        <v>-163.83589985274787</v>
      </c>
      <c r="BX134" s="542">
        <f>SUM('Value Segment'!BX69,'Mid-Market Segment'!BX69,'Upper Mid-Market Segment'!BX69,'Premium Segment'!BX69)/SUM('Value Segment'!BX$82,'Mid-Market Segment'!BX$82,'Upper Mid-Market Segment'!BX$82,'Premium Segment'!BX$82)</f>
        <v>-163.83589985274787</v>
      </c>
      <c r="BY134" s="542">
        <f>SUM('Value Segment'!BY69,'Mid-Market Segment'!BY69,'Upper Mid-Market Segment'!BY69,'Premium Segment'!BY69)/SUM('Value Segment'!BY$82,'Mid-Market Segment'!BY$82,'Upper Mid-Market Segment'!BY$82,'Premium Segment'!BY$82)</f>
        <v>-163.83589985274787</v>
      </c>
    </row>
    <row r="135" spans="3:80" x14ac:dyDescent="0.3">
      <c r="C135" s="2"/>
      <c r="D135" s="2"/>
      <c r="E135" s="2" t="s">
        <v>184</v>
      </c>
      <c r="F135" s="54"/>
      <c r="G135" s="54"/>
      <c r="H135" s="54"/>
      <c r="I135" s="19">
        <f>SUM('Value Segment'!I70,'Mid-Market Segment'!I70,'Upper Mid-Market Segment'!I70,'Premium Segment'!I70)/SUM('Value Segment'!I$82,'Mid-Market Segment'!I$82,'Upper Mid-Market Segment'!I$82,'Premium Segment'!I$82)</f>
        <v>0</v>
      </c>
      <c r="J135" s="19">
        <f>SUM('Value Segment'!J70,'Mid-Market Segment'!J70,'Upper Mid-Market Segment'!J70,'Premium Segment'!J70)/SUM('Value Segment'!J$82,'Mid-Market Segment'!J$82,'Upper Mid-Market Segment'!J$82,'Premium Segment'!J$82)</f>
        <v>0</v>
      </c>
      <c r="K135" s="19">
        <f>SUM('Value Segment'!K70,'Mid-Market Segment'!K70,'Upper Mid-Market Segment'!K70,'Premium Segment'!K70)/SUM('Value Segment'!K$82,'Mid-Market Segment'!K$82,'Upper Mid-Market Segment'!K$82,'Premium Segment'!K$82)</f>
        <v>0</v>
      </c>
      <c r="L135" s="19">
        <f>SUM('Value Segment'!L70,'Mid-Market Segment'!L70,'Upper Mid-Market Segment'!L70,'Premium Segment'!L70)/SUM('Value Segment'!L$82,'Mid-Market Segment'!L$82,'Upper Mid-Market Segment'!L$82,'Premium Segment'!L$82)</f>
        <v>0</v>
      </c>
      <c r="M135" s="19">
        <f>SUM('Value Segment'!M70,'Mid-Market Segment'!M70,'Upper Mid-Market Segment'!M70,'Premium Segment'!M70)/SUM('Value Segment'!M$82,'Mid-Market Segment'!M$82,'Upper Mid-Market Segment'!M$82,'Premium Segment'!M$82)</f>
        <v>0</v>
      </c>
      <c r="N135" s="19">
        <f>SUM('Value Segment'!N70,'Mid-Market Segment'!N70,'Upper Mid-Market Segment'!N70,'Premium Segment'!N70)/SUM('Value Segment'!N$82,'Mid-Market Segment'!N$82,'Upper Mid-Market Segment'!N$82,'Premium Segment'!N$82)</f>
        <v>0</v>
      </c>
      <c r="O135" s="37"/>
      <c r="P135" s="50">
        <f>IFERROR(((N135/I135)^(1/5))-1,0)</f>
        <v>0</v>
      </c>
      <c r="R135" s="19">
        <f>SUM('Value Segment'!R70,'Mid-Market Segment'!R70,'Upper Mid-Market Segment'!R70,'Premium Segment'!R70)/SUM('Value Segment'!R$82,'Mid-Market Segment'!R$82,'Upper Mid-Market Segment'!R$82,'Premium Segment'!R$82)</f>
        <v>0</v>
      </c>
      <c r="S135" s="542">
        <f>SUM('Value Segment'!S70,'Mid-Market Segment'!S70,'Upper Mid-Market Segment'!S70,'Premium Segment'!S70)/SUM('Value Segment'!S$82,'Mid-Market Segment'!S$82,'Upper Mid-Market Segment'!S$82,'Premium Segment'!S$82)</f>
        <v>0</v>
      </c>
      <c r="T135" s="542">
        <f>SUM('Value Segment'!T70,'Mid-Market Segment'!T70,'Upper Mid-Market Segment'!T70,'Premium Segment'!T70)/SUM('Value Segment'!T$82,'Mid-Market Segment'!T$82,'Upper Mid-Market Segment'!T$82,'Premium Segment'!T$82)</f>
        <v>0</v>
      </c>
      <c r="U135" s="542">
        <f>SUM('Value Segment'!U70,'Mid-Market Segment'!U70,'Upper Mid-Market Segment'!U70,'Premium Segment'!U70)/SUM('Value Segment'!U$82,'Mid-Market Segment'!U$82,'Upper Mid-Market Segment'!U$82,'Premium Segment'!U$82)</f>
        <v>0</v>
      </c>
      <c r="V135" s="542">
        <f>SUM('Value Segment'!V70,'Mid-Market Segment'!V70,'Upper Mid-Market Segment'!V70,'Premium Segment'!V70)/SUM('Value Segment'!V$82,'Mid-Market Segment'!V$82,'Upper Mid-Market Segment'!V$82,'Premium Segment'!V$82)</f>
        <v>0</v>
      </c>
      <c r="W135" s="542">
        <f>SUM('Value Segment'!W70,'Mid-Market Segment'!W70,'Upper Mid-Market Segment'!W70,'Premium Segment'!W70)/SUM('Value Segment'!W$82,'Mid-Market Segment'!W$82,'Upper Mid-Market Segment'!W$82,'Premium Segment'!W$82)</f>
        <v>0</v>
      </c>
      <c r="X135" s="542">
        <f>SUM('Value Segment'!X70,'Mid-Market Segment'!X70,'Upper Mid-Market Segment'!X70,'Premium Segment'!X70)/SUM('Value Segment'!X$82,'Mid-Market Segment'!X$82,'Upper Mid-Market Segment'!X$82,'Premium Segment'!X$82)</f>
        <v>0</v>
      </c>
      <c r="Y135" s="542">
        <f>SUM('Value Segment'!Y70,'Mid-Market Segment'!Y70,'Upper Mid-Market Segment'!Y70,'Premium Segment'!Y70)/SUM('Value Segment'!Y$82,'Mid-Market Segment'!Y$82,'Upper Mid-Market Segment'!Y$82,'Premium Segment'!Y$82)</f>
        <v>0</v>
      </c>
      <c r="Z135" s="542">
        <f>SUM('Value Segment'!Z70,'Mid-Market Segment'!Z70,'Upper Mid-Market Segment'!Z70,'Premium Segment'!Z70)/SUM('Value Segment'!Z$82,'Mid-Market Segment'!Z$82,'Upper Mid-Market Segment'!Z$82,'Premium Segment'!Z$82)</f>
        <v>0</v>
      </c>
      <c r="AA135" s="542">
        <f>SUM('Value Segment'!AA70,'Mid-Market Segment'!AA70,'Upper Mid-Market Segment'!AA70,'Premium Segment'!AA70)/SUM('Value Segment'!AA$82,'Mid-Market Segment'!AA$82,'Upper Mid-Market Segment'!AA$82,'Premium Segment'!AA$82)</f>
        <v>0</v>
      </c>
      <c r="AB135" s="542">
        <f>SUM('Value Segment'!AB70,'Mid-Market Segment'!AB70,'Upper Mid-Market Segment'!AB70,'Premium Segment'!AB70)/SUM('Value Segment'!AB$82,'Mid-Market Segment'!AB$82,'Upper Mid-Market Segment'!AB$82,'Premium Segment'!AB$82)</f>
        <v>0</v>
      </c>
      <c r="AC135" s="542">
        <f>SUM('Value Segment'!AC70,'Mid-Market Segment'!AC70,'Upper Mid-Market Segment'!AC70,'Premium Segment'!AC70)/SUM('Value Segment'!AC$82,'Mid-Market Segment'!AC$82,'Upper Mid-Market Segment'!AC$82,'Premium Segment'!AC$82)</f>
        <v>0</v>
      </c>
      <c r="AD135" s="542">
        <f>SUM('Value Segment'!AD70,'Mid-Market Segment'!AD70,'Upper Mid-Market Segment'!AD70,'Premium Segment'!AD70)/SUM('Value Segment'!AD$82,'Mid-Market Segment'!AD$82,'Upper Mid-Market Segment'!AD$82,'Premium Segment'!AD$82)</f>
        <v>0</v>
      </c>
      <c r="AE135" s="542">
        <f>SUM('Value Segment'!AE70,'Mid-Market Segment'!AE70,'Upper Mid-Market Segment'!AE70,'Premium Segment'!AE70)/SUM('Value Segment'!AE$82,'Mid-Market Segment'!AE$82,'Upper Mid-Market Segment'!AE$82,'Premium Segment'!AE$82)</f>
        <v>0</v>
      </c>
      <c r="AF135" s="542">
        <f>SUM('Value Segment'!AF70,'Mid-Market Segment'!AF70,'Upper Mid-Market Segment'!AF70,'Premium Segment'!AF70)/SUM('Value Segment'!AF$82,'Mid-Market Segment'!AF$82,'Upper Mid-Market Segment'!AF$82,'Premium Segment'!AF$82)</f>
        <v>0</v>
      </c>
      <c r="AG135" s="542">
        <f>SUM('Value Segment'!AG70,'Mid-Market Segment'!AG70,'Upper Mid-Market Segment'!AG70,'Premium Segment'!AG70)/SUM('Value Segment'!AG$82,'Mid-Market Segment'!AG$82,'Upper Mid-Market Segment'!AG$82,'Premium Segment'!AG$82)</f>
        <v>0</v>
      </c>
      <c r="AH135" s="542">
        <f>SUM('Value Segment'!AH70,'Mid-Market Segment'!AH70,'Upper Mid-Market Segment'!AH70,'Premium Segment'!AH70)/SUM('Value Segment'!AH$82,'Mid-Market Segment'!AH$82,'Upper Mid-Market Segment'!AH$82,'Premium Segment'!AH$82)</f>
        <v>0</v>
      </c>
      <c r="AI135" s="542">
        <f>SUM('Value Segment'!AI70,'Mid-Market Segment'!AI70,'Upper Mid-Market Segment'!AI70,'Premium Segment'!AI70)/SUM('Value Segment'!AI$82,'Mid-Market Segment'!AI$82,'Upper Mid-Market Segment'!AI$82,'Premium Segment'!AI$82)</f>
        <v>0</v>
      </c>
      <c r="AJ135" s="542">
        <f>SUM('Value Segment'!AJ70,'Mid-Market Segment'!AJ70,'Upper Mid-Market Segment'!AJ70,'Premium Segment'!AJ70)/SUM('Value Segment'!AJ$82,'Mid-Market Segment'!AJ$82,'Upper Mid-Market Segment'!AJ$82,'Premium Segment'!AJ$82)</f>
        <v>0</v>
      </c>
      <c r="AK135" s="542">
        <f>SUM('Value Segment'!AK70,'Mid-Market Segment'!AK70,'Upper Mid-Market Segment'!AK70,'Premium Segment'!AK70)/SUM('Value Segment'!AK$82,'Mid-Market Segment'!AK$82,'Upper Mid-Market Segment'!AK$82,'Premium Segment'!AK$82)</f>
        <v>0</v>
      </c>
      <c r="AL135" s="542">
        <f>SUM('Value Segment'!AL70,'Mid-Market Segment'!AL70,'Upper Mid-Market Segment'!AL70,'Premium Segment'!AL70)/SUM('Value Segment'!AL$82,'Mid-Market Segment'!AL$82,'Upper Mid-Market Segment'!AL$82,'Premium Segment'!AL$82)</f>
        <v>0</v>
      </c>
      <c r="AM135" s="542">
        <f>SUM('Value Segment'!AM70,'Mid-Market Segment'!AM70,'Upper Mid-Market Segment'!AM70,'Premium Segment'!AM70)/SUM('Value Segment'!AM$82,'Mid-Market Segment'!AM$82,'Upper Mid-Market Segment'!AM$82,'Premium Segment'!AM$82)</f>
        <v>0</v>
      </c>
      <c r="AN135" s="542">
        <f>SUM('Value Segment'!AN70,'Mid-Market Segment'!AN70,'Upper Mid-Market Segment'!AN70,'Premium Segment'!AN70)/SUM('Value Segment'!AN$82,'Mid-Market Segment'!AN$82,'Upper Mid-Market Segment'!AN$82,'Premium Segment'!AN$82)</f>
        <v>0</v>
      </c>
      <c r="AO135" s="542">
        <f>SUM('Value Segment'!AO70,'Mid-Market Segment'!AO70,'Upper Mid-Market Segment'!AO70,'Premium Segment'!AO70)/SUM('Value Segment'!AO$82,'Mid-Market Segment'!AO$82,'Upper Mid-Market Segment'!AO$82,'Premium Segment'!AO$82)</f>
        <v>0</v>
      </c>
      <c r="AP135" s="542">
        <f>SUM('Value Segment'!AP70,'Mid-Market Segment'!AP70,'Upper Mid-Market Segment'!AP70,'Premium Segment'!AP70)/SUM('Value Segment'!AP$82,'Mid-Market Segment'!AP$82,'Upper Mid-Market Segment'!AP$82,'Premium Segment'!AP$82)</f>
        <v>0</v>
      </c>
      <c r="AQ135" s="542">
        <f>SUM('Value Segment'!AQ70,'Mid-Market Segment'!AQ70,'Upper Mid-Market Segment'!AQ70,'Premium Segment'!AQ70)/SUM('Value Segment'!AQ$82,'Mid-Market Segment'!AQ$82,'Upper Mid-Market Segment'!AQ$82,'Premium Segment'!AQ$82)</f>
        <v>0</v>
      </c>
      <c r="AR135" s="542">
        <f>SUM('Value Segment'!AR70,'Mid-Market Segment'!AR70,'Upper Mid-Market Segment'!AR70,'Premium Segment'!AR70)/SUM('Value Segment'!AR$82,'Mid-Market Segment'!AR$82,'Upper Mid-Market Segment'!AR$82,'Premium Segment'!AR$82)</f>
        <v>0</v>
      </c>
      <c r="AS135" s="542">
        <f>SUM('Value Segment'!AS70,'Mid-Market Segment'!AS70,'Upper Mid-Market Segment'!AS70,'Premium Segment'!AS70)/SUM('Value Segment'!AS$82,'Mid-Market Segment'!AS$82,'Upper Mid-Market Segment'!AS$82,'Premium Segment'!AS$82)</f>
        <v>0</v>
      </c>
      <c r="AT135" s="542">
        <f>SUM('Value Segment'!AT70,'Mid-Market Segment'!AT70,'Upper Mid-Market Segment'!AT70,'Premium Segment'!AT70)/SUM('Value Segment'!AT$82,'Mid-Market Segment'!AT$82,'Upper Mid-Market Segment'!AT$82,'Premium Segment'!AT$82)</f>
        <v>0</v>
      </c>
      <c r="AU135" s="542">
        <f>SUM('Value Segment'!AU70,'Mid-Market Segment'!AU70,'Upper Mid-Market Segment'!AU70,'Premium Segment'!AU70)/SUM('Value Segment'!AU$82,'Mid-Market Segment'!AU$82,'Upper Mid-Market Segment'!AU$82,'Premium Segment'!AU$82)</f>
        <v>0</v>
      </c>
      <c r="AV135" s="542">
        <f>SUM('Value Segment'!AV70,'Mid-Market Segment'!AV70,'Upper Mid-Market Segment'!AV70,'Premium Segment'!AV70)/SUM('Value Segment'!AV$82,'Mid-Market Segment'!AV$82,'Upper Mid-Market Segment'!AV$82,'Premium Segment'!AV$82)</f>
        <v>0</v>
      </c>
      <c r="AW135" s="542">
        <f>SUM('Value Segment'!AW70,'Mid-Market Segment'!AW70,'Upper Mid-Market Segment'!AW70,'Premium Segment'!AW70)/SUM('Value Segment'!AW$82,'Mid-Market Segment'!AW$82,'Upper Mid-Market Segment'!AW$82,'Premium Segment'!AW$82)</f>
        <v>0</v>
      </c>
      <c r="AX135" s="542">
        <f>SUM('Value Segment'!AX70,'Mid-Market Segment'!AX70,'Upper Mid-Market Segment'!AX70,'Premium Segment'!AX70)/SUM('Value Segment'!AX$82,'Mid-Market Segment'!AX$82,'Upper Mid-Market Segment'!AX$82,'Premium Segment'!AX$82)</f>
        <v>0</v>
      </c>
      <c r="AY135" s="542">
        <f>SUM('Value Segment'!AY70,'Mid-Market Segment'!AY70,'Upper Mid-Market Segment'!AY70,'Premium Segment'!AY70)/SUM('Value Segment'!AY$82,'Mid-Market Segment'!AY$82,'Upper Mid-Market Segment'!AY$82,'Premium Segment'!AY$82)</f>
        <v>0</v>
      </c>
      <c r="AZ135" s="542">
        <f>SUM('Value Segment'!AZ70,'Mid-Market Segment'!AZ70,'Upper Mid-Market Segment'!AZ70,'Premium Segment'!AZ70)/SUM('Value Segment'!AZ$82,'Mid-Market Segment'!AZ$82,'Upper Mid-Market Segment'!AZ$82,'Premium Segment'!AZ$82)</f>
        <v>0</v>
      </c>
      <c r="BA135" s="542">
        <f>SUM('Value Segment'!BA70,'Mid-Market Segment'!BA70,'Upper Mid-Market Segment'!BA70,'Premium Segment'!BA70)/SUM('Value Segment'!BA$82,'Mid-Market Segment'!BA$82,'Upper Mid-Market Segment'!BA$82,'Premium Segment'!BA$82)</f>
        <v>0</v>
      </c>
      <c r="BB135" s="542">
        <f>SUM('Value Segment'!BB70,'Mid-Market Segment'!BB70,'Upper Mid-Market Segment'!BB70,'Premium Segment'!BB70)/SUM('Value Segment'!BB$82,'Mid-Market Segment'!BB$82,'Upper Mid-Market Segment'!BB$82,'Premium Segment'!BB$82)</f>
        <v>0</v>
      </c>
      <c r="BC135" s="542">
        <f>SUM('Value Segment'!BC70,'Mid-Market Segment'!BC70,'Upper Mid-Market Segment'!BC70,'Premium Segment'!BC70)/SUM('Value Segment'!BC$82,'Mid-Market Segment'!BC$82,'Upper Mid-Market Segment'!BC$82,'Premium Segment'!BC$82)</f>
        <v>0</v>
      </c>
      <c r="BD135" s="542">
        <f>SUM('Value Segment'!BD70,'Mid-Market Segment'!BD70,'Upper Mid-Market Segment'!BD70,'Premium Segment'!BD70)/SUM('Value Segment'!BD$82,'Mid-Market Segment'!BD$82,'Upper Mid-Market Segment'!BD$82,'Premium Segment'!BD$82)</f>
        <v>0</v>
      </c>
      <c r="BE135" s="542">
        <f>SUM('Value Segment'!BE70,'Mid-Market Segment'!BE70,'Upper Mid-Market Segment'!BE70,'Premium Segment'!BE70)/SUM('Value Segment'!BE$82,'Mid-Market Segment'!BE$82,'Upper Mid-Market Segment'!BE$82,'Premium Segment'!BE$82)</f>
        <v>0</v>
      </c>
      <c r="BF135" s="542">
        <f>SUM('Value Segment'!BF70,'Mid-Market Segment'!BF70,'Upper Mid-Market Segment'!BF70,'Premium Segment'!BF70)/SUM('Value Segment'!BF$82,'Mid-Market Segment'!BF$82,'Upper Mid-Market Segment'!BF$82,'Premium Segment'!BF$82)</f>
        <v>0</v>
      </c>
      <c r="BG135" s="542">
        <f>SUM('Value Segment'!BG70,'Mid-Market Segment'!BG70,'Upper Mid-Market Segment'!BG70,'Premium Segment'!BG70)/SUM('Value Segment'!BG$82,'Mid-Market Segment'!BG$82,'Upper Mid-Market Segment'!BG$82,'Premium Segment'!BG$82)</f>
        <v>0</v>
      </c>
      <c r="BH135" s="542">
        <f>SUM('Value Segment'!BH70,'Mid-Market Segment'!BH70,'Upper Mid-Market Segment'!BH70,'Premium Segment'!BH70)/SUM('Value Segment'!BH$82,'Mid-Market Segment'!BH$82,'Upper Mid-Market Segment'!BH$82,'Premium Segment'!BH$82)</f>
        <v>0</v>
      </c>
      <c r="BI135" s="542">
        <f>SUM('Value Segment'!BI70,'Mid-Market Segment'!BI70,'Upper Mid-Market Segment'!BI70,'Premium Segment'!BI70)/SUM('Value Segment'!BI$82,'Mid-Market Segment'!BI$82,'Upper Mid-Market Segment'!BI$82,'Premium Segment'!BI$82)</f>
        <v>0</v>
      </c>
      <c r="BJ135" s="542">
        <f>SUM('Value Segment'!BJ70,'Mid-Market Segment'!BJ70,'Upper Mid-Market Segment'!BJ70,'Premium Segment'!BJ70)/SUM('Value Segment'!BJ$82,'Mid-Market Segment'!BJ$82,'Upper Mid-Market Segment'!BJ$82,'Premium Segment'!BJ$82)</f>
        <v>0</v>
      </c>
      <c r="BK135" s="542">
        <f>SUM('Value Segment'!BK70,'Mid-Market Segment'!BK70,'Upper Mid-Market Segment'!BK70,'Premium Segment'!BK70)/SUM('Value Segment'!BK$82,'Mid-Market Segment'!BK$82,'Upper Mid-Market Segment'!BK$82,'Premium Segment'!BK$82)</f>
        <v>0</v>
      </c>
      <c r="BL135" s="542">
        <f>SUM('Value Segment'!BL70,'Mid-Market Segment'!BL70,'Upper Mid-Market Segment'!BL70,'Premium Segment'!BL70)/SUM('Value Segment'!BL$82,'Mid-Market Segment'!BL$82,'Upper Mid-Market Segment'!BL$82,'Premium Segment'!BL$82)</f>
        <v>0</v>
      </c>
      <c r="BM135" s="542">
        <f>SUM('Value Segment'!BM70,'Mid-Market Segment'!BM70,'Upper Mid-Market Segment'!BM70,'Premium Segment'!BM70)/SUM('Value Segment'!BM$82,'Mid-Market Segment'!BM$82,'Upper Mid-Market Segment'!BM$82,'Premium Segment'!BM$82)</f>
        <v>0</v>
      </c>
      <c r="BN135" s="542">
        <f>SUM('Value Segment'!BN70,'Mid-Market Segment'!BN70,'Upper Mid-Market Segment'!BN70,'Premium Segment'!BN70)/SUM('Value Segment'!BN$82,'Mid-Market Segment'!BN$82,'Upper Mid-Market Segment'!BN$82,'Premium Segment'!BN$82)</f>
        <v>0</v>
      </c>
      <c r="BO135" s="542">
        <f>SUM('Value Segment'!BO70,'Mid-Market Segment'!BO70,'Upper Mid-Market Segment'!BO70,'Premium Segment'!BO70)/SUM('Value Segment'!BO$82,'Mid-Market Segment'!BO$82,'Upper Mid-Market Segment'!BO$82,'Premium Segment'!BO$82)</f>
        <v>0</v>
      </c>
      <c r="BP135" s="542">
        <f>SUM('Value Segment'!BP70,'Mid-Market Segment'!BP70,'Upper Mid-Market Segment'!BP70,'Premium Segment'!BP70)/SUM('Value Segment'!BP$82,'Mid-Market Segment'!BP$82,'Upper Mid-Market Segment'!BP$82,'Premium Segment'!BP$82)</f>
        <v>0</v>
      </c>
      <c r="BQ135" s="542">
        <f>SUM('Value Segment'!BQ70,'Mid-Market Segment'!BQ70,'Upper Mid-Market Segment'!BQ70,'Premium Segment'!BQ70)/SUM('Value Segment'!BQ$82,'Mid-Market Segment'!BQ$82,'Upper Mid-Market Segment'!BQ$82,'Premium Segment'!BQ$82)</f>
        <v>0</v>
      </c>
      <c r="BR135" s="542">
        <f>SUM('Value Segment'!BR70,'Mid-Market Segment'!BR70,'Upper Mid-Market Segment'!BR70,'Premium Segment'!BR70)/SUM('Value Segment'!BR$82,'Mid-Market Segment'!BR$82,'Upper Mid-Market Segment'!BR$82,'Premium Segment'!BR$82)</f>
        <v>0</v>
      </c>
      <c r="BS135" s="542">
        <f>SUM('Value Segment'!BS70,'Mid-Market Segment'!BS70,'Upper Mid-Market Segment'!BS70,'Premium Segment'!BS70)/SUM('Value Segment'!BS$82,'Mid-Market Segment'!BS$82,'Upper Mid-Market Segment'!BS$82,'Premium Segment'!BS$82)</f>
        <v>0</v>
      </c>
      <c r="BT135" s="542">
        <f>SUM('Value Segment'!BT70,'Mid-Market Segment'!BT70,'Upper Mid-Market Segment'!BT70,'Premium Segment'!BT70)/SUM('Value Segment'!BT$82,'Mid-Market Segment'!BT$82,'Upper Mid-Market Segment'!BT$82,'Premium Segment'!BT$82)</f>
        <v>0</v>
      </c>
      <c r="BU135" s="542">
        <f>SUM('Value Segment'!BU70,'Mid-Market Segment'!BU70,'Upper Mid-Market Segment'!BU70,'Premium Segment'!BU70)/SUM('Value Segment'!BU$82,'Mid-Market Segment'!BU$82,'Upper Mid-Market Segment'!BU$82,'Premium Segment'!BU$82)</f>
        <v>0</v>
      </c>
      <c r="BV135" s="542">
        <f>SUM('Value Segment'!BV70,'Mid-Market Segment'!BV70,'Upper Mid-Market Segment'!BV70,'Premium Segment'!BV70)/SUM('Value Segment'!BV$82,'Mid-Market Segment'!BV$82,'Upper Mid-Market Segment'!BV$82,'Premium Segment'!BV$82)</f>
        <v>0</v>
      </c>
      <c r="BW135" s="542">
        <f>SUM('Value Segment'!BW70,'Mid-Market Segment'!BW70,'Upper Mid-Market Segment'!BW70,'Premium Segment'!BW70)/SUM('Value Segment'!BW$82,'Mid-Market Segment'!BW$82,'Upper Mid-Market Segment'!BW$82,'Premium Segment'!BW$82)</f>
        <v>0</v>
      </c>
      <c r="BX135" s="542">
        <f>SUM('Value Segment'!BX70,'Mid-Market Segment'!BX70,'Upper Mid-Market Segment'!BX70,'Premium Segment'!BX70)/SUM('Value Segment'!BX$82,'Mid-Market Segment'!BX$82,'Upper Mid-Market Segment'!BX$82,'Premium Segment'!BX$82)</f>
        <v>0</v>
      </c>
      <c r="BY135" s="542">
        <f>SUM('Value Segment'!BY70,'Mid-Market Segment'!BY70,'Upper Mid-Market Segment'!BY70,'Premium Segment'!BY70)/SUM('Value Segment'!BY$82,'Mid-Market Segment'!BY$82,'Upper Mid-Market Segment'!BY$82,'Premium Segment'!BY$82)</f>
        <v>0</v>
      </c>
    </row>
    <row r="136" spans="3:80" x14ac:dyDescent="0.3">
      <c r="C136" s="2"/>
      <c r="D136" s="2"/>
      <c r="E136" s="62" t="s">
        <v>293</v>
      </c>
      <c r="F136" s="63"/>
      <c r="G136" s="63"/>
      <c r="H136" s="63"/>
      <c r="I136" s="673">
        <f>SUM('Value Segment'!I71,'Mid-Market Segment'!I71,'Upper Mid-Market Segment'!I71,'Premium Segment'!I71)/SUM('Value Segment'!I$82,'Mid-Market Segment'!I$82,'Upper Mid-Market Segment'!I$82,'Premium Segment'!I$82)</f>
        <v>76322.958982819211</v>
      </c>
      <c r="J136" s="673">
        <f>SUM('Value Segment'!J71,'Mid-Market Segment'!J71,'Upper Mid-Market Segment'!J71,'Premium Segment'!J71)/SUM('Value Segment'!J$82,'Mid-Market Segment'!J$82,'Upper Mid-Market Segment'!J$82,'Premium Segment'!J$82)</f>
        <v>83411.695914047086</v>
      </c>
      <c r="K136" s="673">
        <f>SUM('Value Segment'!K71,'Mid-Market Segment'!K71,'Upper Mid-Market Segment'!K71,'Premium Segment'!K71)/SUM('Value Segment'!K$82,'Mid-Market Segment'!K$82,'Upper Mid-Market Segment'!K$82,'Premium Segment'!K$82)</f>
        <v>89238.863991197592</v>
      </c>
      <c r="L136" s="673">
        <f>SUM('Value Segment'!L71,'Mid-Market Segment'!L71,'Upper Mid-Market Segment'!L71,'Premium Segment'!L71)/SUM('Value Segment'!L$82,'Mid-Market Segment'!L$82,'Upper Mid-Market Segment'!L$82,'Premium Segment'!L$82)</f>
        <v>95231.994286269619</v>
      </c>
      <c r="M136" s="673">
        <f>SUM('Value Segment'!M71,'Mid-Market Segment'!M71,'Upper Mid-Market Segment'!M71,'Premium Segment'!M71)/SUM('Value Segment'!M$82,'Mid-Market Segment'!M$82,'Upper Mid-Market Segment'!M$82,'Premium Segment'!M$82)</f>
        <v>101370.57276377459</v>
      </c>
      <c r="N136" s="673">
        <f>SUM('Value Segment'!N71,'Mid-Market Segment'!N71,'Upper Mid-Market Segment'!N71,'Premium Segment'!N71)/SUM('Value Segment'!N$82,'Mid-Market Segment'!N$82,'Upper Mid-Market Segment'!N$82,'Premium Segment'!N$82)</f>
        <v>107824.62575082864</v>
      </c>
      <c r="O136" s="57"/>
      <c r="P136" s="55">
        <f>IFERROR(((N136/I136)^(1/5))-1,0)</f>
        <v>7.1550274855437968E-2</v>
      </c>
      <c r="R136" s="673">
        <f>SUM('Value Segment'!R71,'Mid-Market Segment'!R71,'Upper Mid-Market Segment'!R71,'Premium Segment'!R71)/SUM('Value Segment'!R$82,'Mid-Market Segment'!R$82,'Upper Mid-Market Segment'!R$82,'Premium Segment'!R$82)</f>
        <v>6849.2076029023683</v>
      </c>
      <c r="S136" s="676">
        <f>SUM('Value Segment'!S71,'Mid-Market Segment'!S71,'Upper Mid-Market Segment'!S71,'Premium Segment'!S71)/SUM('Value Segment'!S$82,'Mid-Market Segment'!S$82,'Upper Mid-Market Segment'!S$82,'Premium Segment'!S$82)</f>
        <v>6849.2076029023683</v>
      </c>
      <c r="T136" s="676">
        <f>SUM('Value Segment'!T71,'Mid-Market Segment'!T71,'Upper Mid-Market Segment'!T71,'Premium Segment'!T71)/SUM('Value Segment'!T$82,'Mid-Market Segment'!T$82,'Upper Mid-Market Segment'!T$82,'Premium Segment'!T$82)</f>
        <v>6849.2076029023683</v>
      </c>
      <c r="U136" s="676">
        <f>SUM('Value Segment'!U71,'Mid-Market Segment'!U71,'Upper Mid-Market Segment'!U71,'Premium Segment'!U71)/SUM('Value Segment'!U$82,'Mid-Market Segment'!U$82,'Upper Mid-Market Segment'!U$82,'Premium Segment'!U$82)</f>
        <v>6849.2076029023683</v>
      </c>
      <c r="V136" s="676">
        <f>SUM('Value Segment'!V71,'Mid-Market Segment'!V71,'Upper Mid-Market Segment'!V71,'Premium Segment'!V71)/SUM('Value Segment'!V$82,'Mid-Market Segment'!V$82,'Upper Mid-Market Segment'!V$82,'Premium Segment'!V$82)</f>
        <v>6849.2076029023683</v>
      </c>
      <c r="W136" s="676">
        <f>SUM('Value Segment'!W71,'Mid-Market Segment'!W71,'Upper Mid-Market Segment'!W71,'Premium Segment'!W71)/SUM('Value Segment'!W$82,'Mid-Market Segment'!W$82,'Upper Mid-Market Segment'!W$82,'Premium Segment'!W$82)</f>
        <v>6849.2076029023683</v>
      </c>
      <c r="X136" s="676">
        <f>SUM('Value Segment'!X71,'Mid-Market Segment'!X71,'Upper Mid-Market Segment'!X71,'Premium Segment'!X71)/SUM('Value Segment'!X$82,'Mid-Market Segment'!X$82,'Upper Mid-Market Segment'!X$82,'Premium Segment'!X$82)</f>
        <v>7052.7417161054755</v>
      </c>
      <c r="Y136" s="676">
        <f>SUM('Value Segment'!Y71,'Mid-Market Segment'!Y71,'Upper Mid-Market Segment'!Y71,'Premium Segment'!Y71)/SUM('Value Segment'!Y$82,'Mid-Market Segment'!Y$82,'Upper Mid-Market Segment'!Y$82,'Premium Segment'!Y$82)</f>
        <v>7052.7417161054755</v>
      </c>
      <c r="Z136" s="676">
        <f>SUM('Value Segment'!Z71,'Mid-Market Segment'!Z71,'Upper Mid-Market Segment'!Z71,'Premium Segment'!Z71)/SUM('Value Segment'!Z$82,'Mid-Market Segment'!Z$82,'Upper Mid-Market Segment'!Z$82,'Premium Segment'!Z$82)</f>
        <v>7052.7417161054755</v>
      </c>
      <c r="AA136" s="676">
        <f>SUM('Value Segment'!AA71,'Mid-Market Segment'!AA71,'Upper Mid-Market Segment'!AA71,'Premium Segment'!AA71)/SUM('Value Segment'!AA$82,'Mid-Market Segment'!AA$82,'Upper Mid-Market Segment'!AA$82,'Premium Segment'!AA$82)</f>
        <v>7052.7417161054755</v>
      </c>
      <c r="AB136" s="676">
        <f>SUM('Value Segment'!AB71,'Mid-Market Segment'!AB71,'Upper Mid-Market Segment'!AB71,'Premium Segment'!AB71)/SUM('Value Segment'!AB$82,'Mid-Market Segment'!AB$82,'Upper Mid-Market Segment'!AB$82,'Premium Segment'!AB$82)</f>
        <v>7052.7417161054755</v>
      </c>
      <c r="AC136" s="676">
        <f>SUM('Value Segment'!AC71,'Mid-Market Segment'!AC71,'Upper Mid-Market Segment'!AC71,'Premium Segment'!AC71)/SUM('Value Segment'!AC$82,'Mid-Market Segment'!AC$82,'Upper Mid-Market Segment'!AC$82,'Premium Segment'!AC$82)</f>
        <v>7052.7417161054755</v>
      </c>
      <c r="AD136" s="676">
        <f>SUM('Value Segment'!AD71,'Mid-Market Segment'!AD71,'Upper Mid-Market Segment'!AD71,'Premium Segment'!AD71)/SUM('Value Segment'!AD$82,'Mid-Market Segment'!AD$82,'Upper Mid-Market Segment'!AD$82,'Premium Segment'!AD$82)</f>
        <v>7305.6995484255312</v>
      </c>
      <c r="AE136" s="676">
        <f>SUM('Value Segment'!AE71,'Mid-Market Segment'!AE71,'Upper Mid-Market Segment'!AE71,'Premium Segment'!AE71)/SUM('Value Segment'!AE$82,'Mid-Market Segment'!AE$82,'Upper Mid-Market Segment'!AE$82,'Premium Segment'!AE$82)</f>
        <v>7305.6995484255312</v>
      </c>
      <c r="AF136" s="676">
        <f>SUM('Value Segment'!AF71,'Mid-Market Segment'!AF71,'Upper Mid-Market Segment'!AF71,'Premium Segment'!AF71)/SUM('Value Segment'!AF$82,'Mid-Market Segment'!AF$82,'Upper Mid-Market Segment'!AF$82,'Premium Segment'!AF$82)</f>
        <v>7305.6995484255312</v>
      </c>
      <c r="AG136" s="676">
        <f>SUM('Value Segment'!AG71,'Mid-Market Segment'!AG71,'Upper Mid-Market Segment'!AG71,'Premium Segment'!AG71)/SUM('Value Segment'!AG$82,'Mid-Market Segment'!AG$82,'Upper Mid-Market Segment'!AG$82,'Premium Segment'!AG$82)</f>
        <v>7305.6995484255312</v>
      </c>
      <c r="AH136" s="676">
        <f>SUM('Value Segment'!AH71,'Mid-Market Segment'!AH71,'Upper Mid-Market Segment'!AH71,'Premium Segment'!AH71)/SUM('Value Segment'!AH$82,'Mid-Market Segment'!AH$82,'Upper Mid-Market Segment'!AH$82,'Premium Segment'!AH$82)</f>
        <v>7305.6995484255312</v>
      </c>
      <c r="AI136" s="676">
        <f>SUM('Value Segment'!AI71,'Mid-Market Segment'!AI71,'Upper Mid-Market Segment'!AI71,'Premium Segment'!AI71)/SUM('Value Segment'!AI$82,'Mid-Market Segment'!AI$82,'Upper Mid-Market Segment'!AI$82,'Premium Segment'!AI$82)</f>
        <v>7305.6995484255312</v>
      </c>
      <c r="AJ136" s="676">
        <f>SUM('Value Segment'!AJ71,'Mid-Market Segment'!AJ71,'Upper Mid-Market Segment'!AJ71,'Premium Segment'!AJ71)/SUM('Value Segment'!AJ$82,'Mid-Market Segment'!AJ$82,'Upper Mid-Market Segment'!AJ$82,'Premium Segment'!AJ$82)</f>
        <v>7567.4444501074058</v>
      </c>
      <c r="AK136" s="676">
        <f>SUM('Value Segment'!AK71,'Mid-Market Segment'!AK71,'Upper Mid-Market Segment'!AK71,'Premium Segment'!AK71)/SUM('Value Segment'!AK$82,'Mid-Market Segment'!AK$82,'Upper Mid-Market Segment'!AK$82,'Premium Segment'!AK$82)</f>
        <v>7567.4444501074058</v>
      </c>
      <c r="AL136" s="676">
        <f>SUM('Value Segment'!AL71,'Mid-Market Segment'!AL71,'Upper Mid-Market Segment'!AL71,'Premium Segment'!AL71)/SUM('Value Segment'!AL$82,'Mid-Market Segment'!AL$82,'Upper Mid-Market Segment'!AL$82,'Premium Segment'!AL$82)</f>
        <v>7567.4444501074058</v>
      </c>
      <c r="AM136" s="676">
        <f>SUM('Value Segment'!AM71,'Mid-Market Segment'!AM71,'Upper Mid-Market Segment'!AM71,'Premium Segment'!AM71)/SUM('Value Segment'!AM$82,'Mid-Market Segment'!AM$82,'Upper Mid-Market Segment'!AM$82,'Premium Segment'!AM$82)</f>
        <v>7567.4444501074058</v>
      </c>
      <c r="AN136" s="676">
        <f>SUM('Value Segment'!AN71,'Mid-Market Segment'!AN71,'Upper Mid-Market Segment'!AN71,'Premium Segment'!AN71)/SUM('Value Segment'!AN$82,'Mid-Market Segment'!AN$82,'Upper Mid-Market Segment'!AN$82,'Premium Segment'!AN$82)</f>
        <v>7567.4444501074058</v>
      </c>
      <c r="AO136" s="676">
        <f>SUM('Value Segment'!AO71,'Mid-Market Segment'!AO71,'Upper Mid-Market Segment'!AO71,'Premium Segment'!AO71)/SUM('Value Segment'!AO$82,'Mid-Market Segment'!AO$82,'Upper Mid-Market Segment'!AO$82,'Premium Segment'!AO$82)</f>
        <v>7567.4444501074058</v>
      </c>
      <c r="AP136" s="676">
        <f>SUM('Value Segment'!AP71,'Mid-Market Segment'!AP71,'Upper Mid-Market Segment'!AP71,'Premium Segment'!AP71)/SUM('Value Segment'!AP$82,'Mid-Market Segment'!AP$82,'Upper Mid-Market Segment'!AP$82,'Premium Segment'!AP$82)</f>
        <v>7774.0673362528923</v>
      </c>
      <c r="AQ136" s="676">
        <f>SUM('Value Segment'!AQ71,'Mid-Market Segment'!AQ71,'Upper Mid-Market Segment'!AQ71,'Premium Segment'!AQ71)/SUM('Value Segment'!AQ$82,'Mid-Market Segment'!AQ$82,'Upper Mid-Market Segment'!AQ$82,'Premium Segment'!AQ$82)</f>
        <v>7774.0673362528923</v>
      </c>
      <c r="AR136" s="676">
        <f>SUM('Value Segment'!AR71,'Mid-Market Segment'!AR71,'Upper Mid-Market Segment'!AR71,'Premium Segment'!AR71)/SUM('Value Segment'!AR$82,'Mid-Market Segment'!AR$82,'Upper Mid-Market Segment'!AR$82,'Premium Segment'!AR$82)</f>
        <v>7774.0673362528923</v>
      </c>
      <c r="AS136" s="676">
        <f>SUM('Value Segment'!AS71,'Mid-Market Segment'!AS71,'Upper Mid-Market Segment'!AS71,'Premium Segment'!AS71)/SUM('Value Segment'!AS$82,'Mid-Market Segment'!AS$82,'Upper Mid-Market Segment'!AS$82,'Premium Segment'!AS$82)</f>
        <v>7774.0673362528923</v>
      </c>
      <c r="AT136" s="676">
        <f>SUM('Value Segment'!AT71,'Mid-Market Segment'!AT71,'Upper Mid-Market Segment'!AT71,'Premium Segment'!AT71)/SUM('Value Segment'!AT$82,'Mid-Market Segment'!AT$82,'Upper Mid-Market Segment'!AT$82,'Premium Segment'!AT$82)</f>
        <v>7774.0673362528923</v>
      </c>
      <c r="AU136" s="676">
        <f>SUM('Value Segment'!AU71,'Mid-Market Segment'!AU71,'Upper Mid-Market Segment'!AU71,'Premium Segment'!AU71)/SUM('Value Segment'!AU$82,'Mid-Market Segment'!AU$82,'Upper Mid-Market Segment'!AU$82,'Premium Segment'!AU$82)</f>
        <v>7774.0673362528923</v>
      </c>
      <c r="AV136" s="676">
        <f>SUM('Value Segment'!AV71,'Mid-Market Segment'!AV71,'Upper Mid-Market Segment'!AV71,'Premium Segment'!AV71)/SUM('Value Segment'!AV$82,'Mid-Market Segment'!AV$82,'Upper Mid-Market Segment'!AV$82,'Premium Segment'!AV$82)</f>
        <v>8097.9317114587102</v>
      </c>
      <c r="AW136" s="676">
        <f>SUM('Value Segment'!AW71,'Mid-Market Segment'!AW71,'Upper Mid-Market Segment'!AW71,'Premium Segment'!AW71)/SUM('Value Segment'!AW$82,'Mid-Market Segment'!AW$82,'Upper Mid-Market Segment'!AW$82,'Premium Segment'!AW$82)</f>
        <v>8097.9317114587102</v>
      </c>
      <c r="AX136" s="676">
        <f>SUM('Value Segment'!AX71,'Mid-Market Segment'!AX71,'Upper Mid-Market Segment'!AX71,'Premium Segment'!AX71)/SUM('Value Segment'!AX$82,'Mid-Market Segment'!AX$82,'Upper Mid-Market Segment'!AX$82,'Premium Segment'!AX$82)</f>
        <v>8097.9317114587102</v>
      </c>
      <c r="AY136" s="676">
        <f>SUM('Value Segment'!AY71,'Mid-Market Segment'!AY71,'Upper Mid-Market Segment'!AY71,'Premium Segment'!AY71)/SUM('Value Segment'!AY$82,'Mid-Market Segment'!AY$82,'Upper Mid-Market Segment'!AY$82,'Premium Segment'!AY$82)</f>
        <v>8097.9317114587102</v>
      </c>
      <c r="AZ136" s="676">
        <f>SUM('Value Segment'!AZ71,'Mid-Market Segment'!AZ71,'Upper Mid-Market Segment'!AZ71,'Premium Segment'!AZ71)/SUM('Value Segment'!AZ$82,'Mid-Market Segment'!AZ$82,'Upper Mid-Market Segment'!AZ$82,'Premium Segment'!AZ$82)</f>
        <v>8097.9317114587102</v>
      </c>
      <c r="BA136" s="676">
        <f>SUM('Value Segment'!BA71,'Mid-Market Segment'!BA71,'Upper Mid-Market Segment'!BA71,'Premium Segment'!BA71)/SUM('Value Segment'!BA$82,'Mid-Market Segment'!BA$82,'Upper Mid-Market Segment'!BA$82,'Premium Segment'!BA$82)</f>
        <v>8097.9317114587102</v>
      </c>
      <c r="BB136" s="676">
        <f>SUM('Value Segment'!BB71,'Mid-Market Segment'!BB71,'Upper Mid-Market Segment'!BB71,'Premium Segment'!BB71)/SUM('Value Segment'!BB$82,'Mid-Market Segment'!BB$82,'Upper Mid-Market Segment'!BB$82,'Premium Segment'!BB$82)</f>
        <v>8252.5605529814311</v>
      </c>
      <c r="BC136" s="676">
        <f>SUM('Value Segment'!BC71,'Mid-Market Segment'!BC71,'Upper Mid-Market Segment'!BC71,'Premium Segment'!BC71)/SUM('Value Segment'!BC$82,'Mid-Market Segment'!BC$82,'Upper Mid-Market Segment'!BC$82,'Premium Segment'!BC$82)</f>
        <v>8252.5605529814311</v>
      </c>
      <c r="BD136" s="676">
        <f>SUM('Value Segment'!BD71,'Mid-Market Segment'!BD71,'Upper Mid-Market Segment'!BD71,'Premium Segment'!BD71)/SUM('Value Segment'!BD$82,'Mid-Market Segment'!BD$82,'Upper Mid-Market Segment'!BD$82,'Premium Segment'!BD$82)</f>
        <v>8252.5605529814311</v>
      </c>
      <c r="BE136" s="676">
        <f>SUM('Value Segment'!BE71,'Mid-Market Segment'!BE71,'Upper Mid-Market Segment'!BE71,'Premium Segment'!BE71)/SUM('Value Segment'!BE$82,'Mid-Market Segment'!BE$82,'Upper Mid-Market Segment'!BE$82,'Premium Segment'!BE$82)</f>
        <v>8252.5605529814311</v>
      </c>
      <c r="BF136" s="676">
        <f>SUM('Value Segment'!BF71,'Mid-Market Segment'!BF71,'Upper Mid-Market Segment'!BF71,'Premium Segment'!BF71)/SUM('Value Segment'!BF$82,'Mid-Market Segment'!BF$82,'Upper Mid-Market Segment'!BF$82,'Premium Segment'!BF$82)</f>
        <v>8252.5605529814311</v>
      </c>
      <c r="BG136" s="676">
        <f>SUM('Value Segment'!BG71,'Mid-Market Segment'!BG71,'Upper Mid-Market Segment'!BG71,'Premium Segment'!BG71)/SUM('Value Segment'!BG$82,'Mid-Market Segment'!BG$82,'Upper Mid-Market Segment'!BG$82,'Premium Segment'!BG$82)</f>
        <v>8252.5605529814311</v>
      </c>
      <c r="BH136" s="676">
        <f>SUM('Value Segment'!BH71,'Mid-Market Segment'!BH71,'Upper Mid-Market Segment'!BH71,'Premium Segment'!BH71)/SUM('Value Segment'!BH$82,'Mid-Market Segment'!BH$82,'Upper Mid-Market Segment'!BH$82,'Premium Segment'!BH$82)</f>
        <v>8642.534907647665</v>
      </c>
      <c r="BI136" s="676">
        <f>SUM('Value Segment'!BI71,'Mid-Market Segment'!BI71,'Upper Mid-Market Segment'!BI71,'Premium Segment'!BI71)/SUM('Value Segment'!BI$82,'Mid-Market Segment'!BI$82,'Upper Mid-Market Segment'!BI$82,'Premium Segment'!BI$82)</f>
        <v>8642.534907647665</v>
      </c>
      <c r="BJ136" s="676">
        <f>SUM('Value Segment'!BJ71,'Mid-Market Segment'!BJ71,'Upper Mid-Market Segment'!BJ71,'Premium Segment'!BJ71)/SUM('Value Segment'!BJ$82,'Mid-Market Segment'!BJ$82,'Upper Mid-Market Segment'!BJ$82,'Premium Segment'!BJ$82)</f>
        <v>8642.534907647665</v>
      </c>
      <c r="BK136" s="676">
        <f>SUM('Value Segment'!BK71,'Mid-Market Segment'!BK71,'Upper Mid-Market Segment'!BK71,'Premium Segment'!BK71)/SUM('Value Segment'!BK$82,'Mid-Market Segment'!BK$82,'Upper Mid-Market Segment'!BK$82,'Premium Segment'!BK$82)</f>
        <v>8642.534907647665</v>
      </c>
      <c r="BL136" s="676">
        <f>SUM('Value Segment'!BL71,'Mid-Market Segment'!BL71,'Upper Mid-Market Segment'!BL71,'Premium Segment'!BL71)/SUM('Value Segment'!BL$82,'Mid-Market Segment'!BL$82,'Upper Mid-Market Segment'!BL$82,'Premium Segment'!BL$82)</f>
        <v>8642.534907647665</v>
      </c>
      <c r="BM136" s="676">
        <f>SUM('Value Segment'!BM71,'Mid-Market Segment'!BM71,'Upper Mid-Market Segment'!BM71,'Premium Segment'!BM71)/SUM('Value Segment'!BM$82,'Mid-Market Segment'!BM$82,'Upper Mid-Market Segment'!BM$82,'Premium Segment'!BM$82)</f>
        <v>8642.534907647665</v>
      </c>
      <c r="BN136" s="676">
        <f>SUM('Value Segment'!BN71,'Mid-Market Segment'!BN71,'Upper Mid-Market Segment'!BN71,'Premium Segment'!BN71)/SUM('Value Segment'!BN$82,'Mid-Market Segment'!BN$82,'Upper Mid-Market Segment'!BN$82,'Premium Segment'!BN$82)</f>
        <v>8755.2507757078492</v>
      </c>
      <c r="BO136" s="676">
        <f>SUM('Value Segment'!BO71,'Mid-Market Segment'!BO71,'Upper Mid-Market Segment'!BO71,'Premium Segment'!BO71)/SUM('Value Segment'!BO$82,'Mid-Market Segment'!BO$82,'Upper Mid-Market Segment'!BO$82,'Premium Segment'!BO$82)</f>
        <v>8755.2507757078492</v>
      </c>
      <c r="BP136" s="676">
        <f>SUM('Value Segment'!BP71,'Mid-Market Segment'!BP71,'Upper Mid-Market Segment'!BP71,'Premium Segment'!BP71)/SUM('Value Segment'!BP$82,'Mid-Market Segment'!BP$82,'Upper Mid-Market Segment'!BP$82,'Premium Segment'!BP$82)</f>
        <v>8755.2507757078492</v>
      </c>
      <c r="BQ136" s="676">
        <f>SUM('Value Segment'!BQ71,'Mid-Market Segment'!BQ71,'Upper Mid-Market Segment'!BQ71,'Premium Segment'!BQ71)/SUM('Value Segment'!BQ$82,'Mid-Market Segment'!BQ$82,'Upper Mid-Market Segment'!BQ$82,'Premium Segment'!BQ$82)</f>
        <v>8755.2507757078492</v>
      </c>
      <c r="BR136" s="676">
        <f>SUM('Value Segment'!BR71,'Mid-Market Segment'!BR71,'Upper Mid-Market Segment'!BR71,'Premium Segment'!BR71)/SUM('Value Segment'!BR$82,'Mid-Market Segment'!BR$82,'Upper Mid-Market Segment'!BR$82,'Premium Segment'!BR$82)</f>
        <v>8755.2507757078492</v>
      </c>
      <c r="BS136" s="676">
        <f>SUM('Value Segment'!BS71,'Mid-Market Segment'!BS71,'Upper Mid-Market Segment'!BS71,'Premium Segment'!BS71)/SUM('Value Segment'!BS$82,'Mid-Market Segment'!BS$82,'Upper Mid-Market Segment'!BS$82,'Premium Segment'!BS$82)</f>
        <v>8755.2507757078492</v>
      </c>
      <c r="BT136" s="676">
        <f>SUM('Value Segment'!BT71,'Mid-Market Segment'!BT71,'Upper Mid-Market Segment'!BT71,'Premium Segment'!BT71)/SUM('Value Segment'!BT$82,'Mid-Market Segment'!BT$82,'Upper Mid-Market Segment'!BT$82,'Premium Segment'!BT$82)</f>
        <v>9215.5201827635919</v>
      </c>
      <c r="BU136" s="676">
        <f>SUM('Value Segment'!BU71,'Mid-Market Segment'!BU71,'Upper Mid-Market Segment'!BU71,'Premium Segment'!BU71)/SUM('Value Segment'!BU$82,'Mid-Market Segment'!BU$82,'Upper Mid-Market Segment'!BU$82,'Premium Segment'!BU$82)</f>
        <v>9215.5201827635919</v>
      </c>
      <c r="BV136" s="676">
        <f>SUM('Value Segment'!BV71,'Mid-Market Segment'!BV71,'Upper Mid-Market Segment'!BV71,'Premium Segment'!BV71)/SUM('Value Segment'!BV$82,'Mid-Market Segment'!BV$82,'Upper Mid-Market Segment'!BV$82,'Premium Segment'!BV$82)</f>
        <v>9215.5201827635919</v>
      </c>
      <c r="BW136" s="676">
        <f>SUM('Value Segment'!BW71,'Mid-Market Segment'!BW71,'Upper Mid-Market Segment'!BW71,'Premium Segment'!BW71)/SUM('Value Segment'!BW$82,'Mid-Market Segment'!BW$82,'Upper Mid-Market Segment'!BW$82,'Premium Segment'!BW$82)</f>
        <v>9215.5201827635919</v>
      </c>
      <c r="BX136" s="676">
        <f>SUM('Value Segment'!BX71,'Mid-Market Segment'!BX71,'Upper Mid-Market Segment'!BX71,'Premium Segment'!BX71)/SUM('Value Segment'!BX$82,'Mid-Market Segment'!BX$82,'Upper Mid-Market Segment'!BX$82,'Premium Segment'!BX$82)</f>
        <v>9215.5201827635919</v>
      </c>
      <c r="BY136" s="676">
        <f>SUM('Value Segment'!BY71,'Mid-Market Segment'!BY71,'Upper Mid-Market Segment'!BY71,'Premium Segment'!BY71)/SUM('Value Segment'!BY$82,'Mid-Market Segment'!BY$82,'Upper Mid-Market Segment'!BY$82,'Premium Segment'!BY$82)</f>
        <v>9215.5201827635919</v>
      </c>
    </row>
    <row r="137" spans="3:80" x14ac:dyDescent="0.3">
      <c r="C137" s="2"/>
      <c r="D137" s="2"/>
      <c r="E137" s="2" t="s">
        <v>407</v>
      </c>
      <c r="F137" s="2"/>
      <c r="G137" s="2"/>
      <c r="H137" s="2"/>
      <c r="I137" s="499">
        <f t="shared" ref="I137:N137" si="109">IFERROR(I136/I130,0)</f>
        <v>0.8667001499034781</v>
      </c>
      <c r="J137" s="499">
        <f t="shared" si="109"/>
        <v>0.89591786275503749</v>
      </c>
      <c r="K137" s="499">
        <f t="shared" si="109"/>
        <v>0.89970610046262889</v>
      </c>
      <c r="L137" s="499">
        <f t="shared" si="109"/>
        <v>0.90316040038240586</v>
      </c>
      <c r="M137" s="499">
        <f t="shared" si="109"/>
        <v>0.90630596237633532</v>
      </c>
      <c r="N137" s="499">
        <f t="shared" si="109"/>
        <v>0.90928901203668722</v>
      </c>
      <c r="O137" s="23"/>
      <c r="P137" s="50">
        <f>IFERROR(((N137/I137)^(1/5))-1,0)</f>
        <v>9.6401537121966197E-3</v>
      </c>
      <c r="R137" s="499">
        <f t="shared" ref="R137:AW137" si="110">IFERROR(R136/R130,0)</f>
        <v>0.89471558093124903</v>
      </c>
      <c r="S137" s="531">
        <f t="shared" si="110"/>
        <v>0.89471558093124903</v>
      </c>
      <c r="T137" s="531">
        <f t="shared" si="110"/>
        <v>0.89471558093124903</v>
      </c>
      <c r="U137" s="531">
        <f t="shared" si="110"/>
        <v>0.89471558093124903</v>
      </c>
      <c r="V137" s="531">
        <f t="shared" si="110"/>
        <v>0.89471558093124903</v>
      </c>
      <c r="W137" s="531">
        <f t="shared" si="110"/>
        <v>0.89471558093124903</v>
      </c>
      <c r="X137" s="531">
        <f t="shared" si="110"/>
        <v>0.89708854476006084</v>
      </c>
      <c r="Y137" s="531">
        <f t="shared" si="110"/>
        <v>0.89708854476006084</v>
      </c>
      <c r="Z137" s="531">
        <f t="shared" si="110"/>
        <v>0.89708854476006084</v>
      </c>
      <c r="AA137" s="531">
        <f t="shared" si="110"/>
        <v>0.89708854476006084</v>
      </c>
      <c r="AB137" s="531">
        <f t="shared" si="110"/>
        <v>0.89708854476006084</v>
      </c>
      <c r="AC137" s="531">
        <f t="shared" si="110"/>
        <v>0.89708854476006084</v>
      </c>
      <c r="AD137" s="531">
        <f t="shared" si="110"/>
        <v>0.89831263670818595</v>
      </c>
      <c r="AE137" s="531">
        <f t="shared" si="110"/>
        <v>0.89831263670818595</v>
      </c>
      <c r="AF137" s="531">
        <f t="shared" si="110"/>
        <v>0.89831263670818595</v>
      </c>
      <c r="AG137" s="531">
        <f t="shared" si="110"/>
        <v>0.89831263670818595</v>
      </c>
      <c r="AH137" s="531">
        <f t="shared" si="110"/>
        <v>0.89831263670818595</v>
      </c>
      <c r="AI137" s="531">
        <f t="shared" si="110"/>
        <v>0.89831263670818595</v>
      </c>
      <c r="AJ137" s="531">
        <f t="shared" si="110"/>
        <v>0.90105547423063437</v>
      </c>
      <c r="AK137" s="531">
        <f t="shared" si="110"/>
        <v>0.90105547423063437</v>
      </c>
      <c r="AL137" s="531">
        <f t="shared" si="110"/>
        <v>0.90105547423063437</v>
      </c>
      <c r="AM137" s="531">
        <f t="shared" si="110"/>
        <v>0.90105547423063437</v>
      </c>
      <c r="AN137" s="531">
        <f t="shared" si="110"/>
        <v>0.90105547423063437</v>
      </c>
      <c r="AO137" s="531">
        <f t="shared" si="110"/>
        <v>0.90105547423063437</v>
      </c>
      <c r="AP137" s="531">
        <f t="shared" si="110"/>
        <v>0.90160003584757031</v>
      </c>
      <c r="AQ137" s="531">
        <f t="shared" si="110"/>
        <v>0.90160003584757031</v>
      </c>
      <c r="AR137" s="531">
        <f t="shared" si="110"/>
        <v>0.90160003584757031</v>
      </c>
      <c r="AS137" s="531">
        <f t="shared" si="110"/>
        <v>0.90160003584757031</v>
      </c>
      <c r="AT137" s="531">
        <f t="shared" si="110"/>
        <v>0.90160003584757031</v>
      </c>
      <c r="AU137" s="531">
        <f t="shared" si="110"/>
        <v>0.90160003584757031</v>
      </c>
      <c r="AV137" s="531">
        <f t="shared" si="110"/>
        <v>0.90466345022650962</v>
      </c>
      <c r="AW137" s="531">
        <f t="shared" si="110"/>
        <v>0.90466345022650962</v>
      </c>
      <c r="AX137" s="531">
        <f t="shared" ref="AX137:BY137" si="111">IFERROR(AX136/AX130,0)</f>
        <v>0.90466345022650962</v>
      </c>
      <c r="AY137" s="531">
        <f t="shared" si="111"/>
        <v>0.90466345022650962</v>
      </c>
      <c r="AZ137" s="531">
        <f t="shared" si="111"/>
        <v>0.90466345022650962</v>
      </c>
      <c r="BA137" s="531">
        <f t="shared" si="111"/>
        <v>0.90466345022650962</v>
      </c>
      <c r="BB137" s="531">
        <f t="shared" si="111"/>
        <v>0.90459839148817323</v>
      </c>
      <c r="BC137" s="531">
        <f t="shared" si="111"/>
        <v>0.90459839148817323</v>
      </c>
      <c r="BD137" s="531">
        <f t="shared" si="111"/>
        <v>0.90459839148817323</v>
      </c>
      <c r="BE137" s="531">
        <f t="shared" si="111"/>
        <v>0.90459839148817323</v>
      </c>
      <c r="BF137" s="531">
        <f t="shared" si="111"/>
        <v>0.90459839148817323</v>
      </c>
      <c r="BG137" s="531">
        <f t="shared" si="111"/>
        <v>0.90459839148817323</v>
      </c>
      <c r="BH137" s="531">
        <f t="shared" si="111"/>
        <v>0.90794251079516075</v>
      </c>
      <c r="BI137" s="531">
        <f t="shared" si="111"/>
        <v>0.90794251079516075</v>
      </c>
      <c r="BJ137" s="531">
        <f t="shared" si="111"/>
        <v>0.90794251079516075</v>
      </c>
      <c r="BK137" s="531">
        <f t="shared" si="111"/>
        <v>0.90794251079516075</v>
      </c>
      <c r="BL137" s="531">
        <f t="shared" si="111"/>
        <v>0.90794251079516075</v>
      </c>
      <c r="BM137" s="531">
        <f t="shared" si="111"/>
        <v>0.90794251079516075</v>
      </c>
      <c r="BN137" s="531">
        <f t="shared" si="111"/>
        <v>0.90745559362394979</v>
      </c>
      <c r="BO137" s="531">
        <f t="shared" si="111"/>
        <v>0.90745559362394979</v>
      </c>
      <c r="BP137" s="531">
        <f t="shared" si="111"/>
        <v>0.90745559362394979</v>
      </c>
      <c r="BQ137" s="531">
        <f t="shared" si="111"/>
        <v>0.90745559362394979</v>
      </c>
      <c r="BR137" s="531">
        <f t="shared" si="111"/>
        <v>0.90745559362394979</v>
      </c>
      <c r="BS137" s="531">
        <f t="shared" si="111"/>
        <v>0.90745559362394979</v>
      </c>
      <c r="BT137" s="531">
        <f t="shared" si="111"/>
        <v>0.91103773618915485</v>
      </c>
      <c r="BU137" s="531">
        <f t="shared" si="111"/>
        <v>0.91103773618915485</v>
      </c>
      <c r="BV137" s="531">
        <f t="shared" si="111"/>
        <v>0.91103773618915485</v>
      </c>
      <c r="BW137" s="531">
        <f t="shared" si="111"/>
        <v>0.91103773618915485</v>
      </c>
      <c r="BX137" s="531">
        <f t="shared" si="111"/>
        <v>0.91103773618915485</v>
      </c>
      <c r="BY137" s="531">
        <f t="shared" si="111"/>
        <v>0.91103773618915485</v>
      </c>
    </row>
    <row r="138" spans="3:80" x14ac:dyDescent="0.3">
      <c r="C138" s="2"/>
      <c r="D138" s="2"/>
      <c r="E138" s="2"/>
      <c r="F138" s="54"/>
      <c r="G138" s="54"/>
      <c r="H138" s="54"/>
      <c r="I138" s="37"/>
      <c r="J138" s="37"/>
      <c r="K138" s="37"/>
      <c r="L138" s="37"/>
      <c r="M138" s="37"/>
      <c r="N138" s="37"/>
      <c r="O138" s="37"/>
      <c r="P138" s="50"/>
      <c r="R138" s="37"/>
      <c r="S138" s="37"/>
      <c r="T138" s="37"/>
      <c r="U138" s="37"/>
      <c r="V138" s="37"/>
      <c r="W138" s="37"/>
      <c r="X138" s="37"/>
      <c r="Y138" s="37"/>
      <c r="Z138" s="37"/>
      <c r="AA138" s="37"/>
      <c r="AB138" s="37"/>
      <c r="AC138" s="37"/>
      <c r="AD138" s="37"/>
      <c r="AE138" s="37"/>
      <c r="AF138" s="37"/>
      <c r="AG138" s="37"/>
      <c r="AH138" s="37"/>
      <c r="AI138" s="37"/>
      <c r="AJ138" s="37"/>
      <c r="AK138" s="37"/>
      <c r="AL138" s="37"/>
      <c r="AM138" s="37"/>
      <c r="AN138" s="37"/>
      <c r="AO138" s="37"/>
      <c r="AP138" s="37"/>
      <c r="AQ138" s="37"/>
      <c r="AR138" s="37"/>
      <c r="AS138" s="37"/>
      <c r="AT138" s="37"/>
      <c r="AU138" s="37"/>
      <c r="AV138" s="37"/>
      <c r="AW138" s="37"/>
      <c r="AX138" s="37"/>
      <c r="AY138" s="37"/>
      <c r="AZ138" s="37"/>
      <c r="BA138" s="37"/>
      <c r="BB138" s="37"/>
      <c r="BC138" s="37"/>
      <c r="BD138" s="37"/>
      <c r="BE138" s="37"/>
      <c r="BF138" s="37"/>
      <c r="BG138" s="37"/>
      <c r="BH138" s="37"/>
      <c r="BI138" s="37"/>
      <c r="BJ138" s="37"/>
      <c r="BK138" s="37"/>
      <c r="BL138" s="37"/>
      <c r="BM138" s="37"/>
      <c r="BN138" s="37"/>
      <c r="BO138" s="37"/>
      <c r="BP138" s="37"/>
      <c r="BQ138" s="37"/>
      <c r="BR138" s="37"/>
      <c r="BS138" s="37"/>
      <c r="BT138" s="37"/>
      <c r="BU138" s="37"/>
      <c r="BV138" s="37"/>
      <c r="BW138" s="37"/>
      <c r="BX138" s="37"/>
      <c r="BY138" s="37"/>
    </row>
    <row r="139" spans="3:80" x14ac:dyDescent="0.3">
      <c r="C139" s="2"/>
      <c r="D139" s="2"/>
      <c r="E139" s="2" t="s">
        <v>70</v>
      </c>
      <c r="F139" s="54"/>
      <c r="G139" s="54"/>
      <c r="H139" s="54"/>
      <c r="I139" s="19">
        <f>SUM('Value Segment'!I74,'Mid-Market Segment'!I74,'Upper Mid-Market Segment'!I74,'Premium Segment'!I74)/SUM('Value Segment'!I$82,'Mid-Market Segment'!I$82,'Upper Mid-Market Segment'!I$82,'Premium Segment'!I$82)</f>
        <v>-4670.7077922077924</v>
      </c>
      <c r="J139" s="19">
        <f>SUM('Value Segment'!J74,'Mid-Market Segment'!J74,'Upper Mid-Market Segment'!J74,'Premium Segment'!J74)/SUM('Value Segment'!J$82,'Mid-Market Segment'!J$82,'Upper Mid-Market Segment'!J$82,'Premium Segment'!J$82)</f>
        <v>-5510.2297990688576</v>
      </c>
      <c r="K139" s="19">
        <f>SUM('Value Segment'!K74,'Mid-Market Segment'!K74,'Upper Mid-Market Segment'!K74,'Premium Segment'!K74)/SUM('Value Segment'!K$82,'Mid-Market Segment'!K$82,'Upper Mid-Market Segment'!K$82,'Premium Segment'!K$82)</f>
        <v>-5642.7497251333443</v>
      </c>
      <c r="L139" s="19">
        <f>SUM('Value Segment'!L74,'Mid-Market Segment'!L74,'Upper Mid-Market Segment'!L74,'Premium Segment'!L74)/SUM('Value Segment'!L$82,'Mid-Market Segment'!L$82,'Upper Mid-Market Segment'!L$82,'Premium Segment'!L$82)</f>
        <v>-5769.454387874197</v>
      </c>
      <c r="M139" s="19">
        <f>SUM('Value Segment'!M74,'Mid-Market Segment'!M74,'Upper Mid-Market Segment'!M74,'Premium Segment'!M74)/SUM('Value Segment'!M$82,'Mid-Market Segment'!M$82,'Upper Mid-Market Segment'!M$82,'Premium Segment'!M$82)</f>
        <v>-5888.7530238770532</v>
      </c>
      <c r="N139" s="19">
        <f>SUM('Value Segment'!N74,'Mid-Market Segment'!N74,'Upper Mid-Market Segment'!N74,'Premium Segment'!N74)/SUM('Value Segment'!N$82,'Mid-Market Segment'!N$82,'Upper Mid-Market Segment'!N$82,'Premium Segment'!N$82)</f>
        <v>-6003.6777927150588</v>
      </c>
      <c r="O139" s="37"/>
      <c r="P139" s="50">
        <f>IFERROR(((N139/I139)^(1/5))-1,0)</f>
        <v>5.1494331251290104E-2</v>
      </c>
      <c r="R139" s="19">
        <f>SUM('Value Segment'!R74,'Mid-Market Segment'!R74,'Upper Mid-Market Segment'!R74,'Premium Segment'!R74)/SUM('Value Segment'!R$82,'Mid-Market Segment'!R$82,'Upper Mid-Market Segment'!R$82,'Premium Segment'!R$82)</f>
        <v>0</v>
      </c>
      <c r="S139" s="542">
        <f>SUM('Value Segment'!S74,'Mid-Market Segment'!S74,'Upper Mid-Market Segment'!S74,'Premium Segment'!S74)/SUM('Value Segment'!S$82,'Mid-Market Segment'!S$82,'Upper Mid-Market Segment'!S$82,'Premium Segment'!S$82)</f>
        <v>0</v>
      </c>
      <c r="T139" s="542">
        <f>SUM('Value Segment'!T74,'Mid-Market Segment'!T74,'Upper Mid-Market Segment'!T74,'Premium Segment'!T74)/SUM('Value Segment'!T$82,'Mid-Market Segment'!T$82,'Upper Mid-Market Segment'!T$82,'Premium Segment'!T$82)</f>
        <v>0</v>
      </c>
      <c r="U139" s="542">
        <f>SUM('Value Segment'!U74,'Mid-Market Segment'!U74,'Upper Mid-Market Segment'!U74,'Premium Segment'!U74)/SUM('Value Segment'!U$82,'Mid-Market Segment'!U$82,'Upper Mid-Market Segment'!U$82,'Premium Segment'!U$82)</f>
        <v>0</v>
      </c>
      <c r="V139" s="542">
        <f>SUM('Value Segment'!V74,'Mid-Market Segment'!V74,'Upper Mid-Market Segment'!V74,'Premium Segment'!V74)/SUM('Value Segment'!V$82,'Mid-Market Segment'!V$82,'Upper Mid-Market Segment'!V$82,'Premium Segment'!V$82)</f>
        <v>0</v>
      </c>
      <c r="W139" s="542">
        <f>SUM('Value Segment'!W74,'Mid-Market Segment'!W74,'Upper Mid-Market Segment'!W74,'Premium Segment'!W74)/SUM('Value Segment'!W$82,'Mid-Market Segment'!W$82,'Upper Mid-Market Segment'!W$82,'Premium Segment'!W$82)</f>
        <v>-5510.2297990688576</v>
      </c>
      <c r="X139" s="542">
        <f>SUM('Value Segment'!X74,'Mid-Market Segment'!X74,'Upper Mid-Market Segment'!X74,'Premium Segment'!X74)/SUM('Value Segment'!X$82,'Mid-Market Segment'!X$82,'Upper Mid-Market Segment'!X$82,'Premium Segment'!X$82)</f>
        <v>0</v>
      </c>
      <c r="Y139" s="542">
        <f>SUM('Value Segment'!Y74,'Mid-Market Segment'!Y74,'Upper Mid-Market Segment'!Y74,'Premium Segment'!Y74)/SUM('Value Segment'!Y$82,'Mid-Market Segment'!Y$82,'Upper Mid-Market Segment'!Y$82,'Premium Segment'!Y$82)</f>
        <v>0</v>
      </c>
      <c r="Z139" s="542">
        <f>SUM('Value Segment'!Z74,'Mid-Market Segment'!Z74,'Upper Mid-Market Segment'!Z74,'Premium Segment'!Z74)/SUM('Value Segment'!Z$82,'Mid-Market Segment'!Z$82,'Upper Mid-Market Segment'!Z$82,'Premium Segment'!Z$82)</f>
        <v>0</v>
      </c>
      <c r="AA139" s="542">
        <f>SUM('Value Segment'!AA74,'Mid-Market Segment'!AA74,'Upper Mid-Market Segment'!AA74,'Premium Segment'!AA74)/SUM('Value Segment'!AA$82,'Mid-Market Segment'!AA$82,'Upper Mid-Market Segment'!AA$82,'Premium Segment'!AA$82)</f>
        <v>0</v>
      </c>
      <c r="AB139" s="542">
        <f>SUM('Value Segment'!AB74,'Mid-Market Segment'!AB74,'Upper Mid-Market Segment'!AB74,'Premium Segment'!AB74)/SUM('Value Segment'!AB$82,'Mid-Market Segment'!AB$82,'Upper Mid-Market Segment'!AB$82,'Premium Segment'!AB$82)</f>
        <v>0</v>
      </c>
      <c r="AC139" s="542">
        <f>SUM('Value Segment'!AC74,'Mid-Market Segment'!AC74,'Upper Mid-Market Segment'!AC74,'Premium Segment'!AC74)/SUM('Value Segment'!AC$82,'Mid-Market Segment'!AC$82,'Upper Mid-Market Segment'!AC$82,'Premium Segment'!AC$82)</f>
        <v>0</v>
      </c>
      <c r="AD139" s="542">
        <f>SUM('Value Segment'!AD74,'Mid-Market Segment'!AD74,'Upper Mid-Market Segment'!AD74,'Premium Segment'!AD74)/SUM('Value Segment'!AD$82,'Mid-Market Segment'!AD$82,'Upper Mid-Market Segment'!AD$82,'Premium Segment'!AD$82)</f>
        <v>0</v>
      </c>
      <c r="AE139" s="542">
        <f>SUM('Value Segment'!AE74,'Mid-Market Segment'!AE74,'Upper Mid-Market Segment'!AE74,'Premium Segment'!AE74)/SUM('Value Segment'!AE$82,'Mid-Market Segment'!AE$82,'Upper Mid-Market Segment'!AE$82,'Premium Segment'!AE$82)</f>
        <v>0</v>
      </c>
      <c r="AF139" s="542">
        <f>SUM('Value Segment'!AF74,'Mid-Market Segment'!AF74,'Upper Mid-Market Segment'!AF74,'Premium Segment'!AF74)/SUM('Value Segment'!AF$82,'Mid-Market Segment'!AF$82,'Upper Mid-Market Segment'!AF$82,'Premium Segment'!AF$82)</f>
        <v>0</v>
      </c>
      <c r="AG139" s="542">
        <f>SUM('Value Segment'!AG74,'Mid-Market Segment'!AG74,'Upper Mid-Market Segment'!AG74,'Premium Segment'!AG74)/SUM('Value Segment'!AG$82,'Mid-Market Segment'!AG$82,'Upper Mid-Market Segment'!AG$82,'Premium Segment'!AG$82)</f>
        <v>0</v>
      </c>
      <c r="AH139" s="542">
        <f>SUM('Value Segment'!AH74,'Mid-Market Segment'!AH74,'Upper Mid-Market Segment'!AH74,'Premium Segment'!AH74)/SUM('Value Segment'!AH$82,'Mid-Market Segment'!AH$82,'Upper Mid-Market Segment'!AH$82,'Premium Segment'!AH$82)</f>
        <v>0</v>
      </c>
      <c r="AI139" s="542">
        <f>SUM('Value Segment'!AI74,'Mid-Market Segment'!AI74,'Upper Mid-Market Segment'!AI74,'Premium Segment'!AI74)/SUM('Value Segment'!AI$82,'Mid-Market Segment'!AI$82,'Upper Mid-Market Segment'!AI$82,'Premium Segment'!AI$82)</f>
        <v>-5642.7497251333443</v>
      </c>
      <c r="AJ139" s="542">
        <f>SUM('Value Segment'!AJ74,'Mid-Market Segment'!AJ74,'Upper Mid-Market Segment'!AJ74,'Premium Segment'!AJ74)/SUM('Value Segment'!AJ$82,'Mid-Market Segment'!AJ$82,'Upper Mid-Market Segment'!AJ$82,'Premium Segment'!AJ$82)</f>
        <v>0</v>
      </c>
      <c r="AK139" s="542">
        <f>SUM('Value Segment'!AK74,'Mid-Market Segment'!AK74,'Upper Mid-Market Segment'!AK74,'Premium Segment'!AK74)/SUM('Value Segment'!AK$82,'Mid-Market Segment'!AK$82,'Upper Mid-Market Segment'!AK$82,'Premium Segment'!AK$82)</f>
        <v>0</v>
      </c>
      <c r="AL139" s="542">
        <f>SUM('Value Segment'!AL74,'Mid-Market Segment'!AL74,'Upper Mid-Market Segment'!AL74,'Premium Segment'!AL74)/SUM('Value Segment'!AL$82,'Mid-Market Segment'!AL$82,'Upper Mid-Market Segment'!AL$82,'Premium Segment'!AL$82)</f>
        <v>0</v>
      </c>
      <c r="AM139" s="542">
        <f>SUM('Value Segment'!AM74,'Mid-Market Segment'!AM74,'Upper Mid-Market Segment'!AM74,'Premium Segment'!AM74)/SUM('Value Segment'!AM$82,'Mid-Market Segment'!AM$82,'Upper Mid-Market Segment'!AM$82,'Premium Segment'!AM$82)</f>
        <v>0</v>
      </c>
      <c r="AN139" s="542">
        <f>SUM('Value Segment'!AN74,'Mid-Market Segment'!AN74,'Upper Mid-Market Segment'!AN74,'Premium Segment'!AN74)/SUM('Value Segment'!AN$82,'Mid-Market Segment'!AN$82,'Upper Mid-Market Segment'!AN$82,'Premium Segment'!AN$82)</f>
        <v>0</v>
      </c>
      <c r="AO139" s="542">
        <f>SUM('Value Segment'!AO74,'Mid-Market Segment'!AO74,'Upper Mid-Market Segment'!AO74,'Premium Segment'!AO74)/SUM('Value Segment'!AO$82,'Mid-Market Segment'!AO$82,'Upper Mid-Market Segment'!AO$82,'Premium Segment'!AO$82)</f>
        <v>0</v>
      </c>
      <c r="AP139" s="542">
        <f>SUM('Value Segment'!AP74,'Mid-Market Segment'!AP74,'Upper Mid-Market Segment'!AP74,'Premium Segment'!AP74)/SUM('Value Segment'!AP$82,'Mid-Market Segment'!AP$82,'Upper Mid-Market Segment'!AP$82,'Premium Segment'!AP$82)</f>
        <v>0</v>
      </c>
      <c r="AQ139" s="542">
        <f>SUM('Value Segment'!AQ74,'Mid-Market Segment'!AQ74,'Upper Mid-Market Segment'!AQ74,'Premium Segment'!AQ74)/SUM('Value Segment'!AQ$82,'Mid-Market Segment'!AQ$82,'Upper Mid-Market Segment'!AQ$82,'Premium Segment'!AQ$82)</f>
        <v>0</v>
      </c>
      <c r="AR139" s="542">
        <f>SUM('Value Segment'!AR74,'Mid-Market Segment'!AR74,'Upper Mid-Market Segment'!AR74,'Premium Segment'!AR74)/SUM('Value Segment'!AR$82,'Mid-Market Segment'!AR$82,'Upper Mid-Market Segment'!AR$82,'Premium Segment'!AR$82)</f>
        <v>0</v>
      </c>
      <c r="AS139" s="542">
        <f>SUM('Value Segment'!AS74,'Mid-Market Segment'!AS74,'Upper Mid-Market Segment'!AS74,'Premium Segment'!AS74)/SUM('Value Segment'!AS$82,'Mid-Market Segment'!AS$82,'Upper Mid-Market Segment'!AS$82,'Premium Segment'!AS$82)</f>
        <v>0</v>
      </c>
      <c r="AT139" s="542">
        <f>SUM('Value Segment'!AT74,'Mid-Market Segment'!AT74,'Upper Mid-Market Segment'!AT74,'Premium Segment'!AT74)/SUM('Value Segment'!AT$82,'Mid-Market Segment'!AT$82,'Upper Mid-Market Segment'!AT$82,'Premium Segment'!AT$82)</f>
        <v>0</v>
      </c>
      <c r="AU139" s="542">
        <f>SUM('Value Segment'!AU74,'Mid-Market Segment'!AU74,'Upper Mid-Market Segment'!AU74,'Premium Segment'!AU74)/SUM('Value Segment'!AU$82,'Mid-Market Segment'!AU$82,'Upper Mid-Market Segment'!AU$82,'Premium Segment'!AU$82)</f>
        <v>-5769.454387874197</v>
      </c>
      <c r="AV139" s="542">
        <f>SUM('Value Segment'!AV74,'Mid-Market Segment'!AV74,'Upper Mid-Market Segment'!AV74,'Premium Segment'!AV74)/SUM('Value Segment'!AV$82,'Mid-Market Segment'!AV$82,'Upper Mid-Market Segment'!AV$82,'Premium Segment'!AV$82)</f>
        <v>0</v>
      </c>
      <c r="AW139" s="542">
        <f>SUM('Value Segment'!AW74,'Mid-Market Segment'!AW74,'Upper Mid-Market Segment'!AW74,'Premium Segment'!AW74)/SUM('Value Segment'!AW$82,'Mid-Market Segment'!AW$82,'Upper Mid-Market Segment'!AW$82,'Premium Segment'!AW$82)</f>
        <v>0</v>
      </c>
      <c r="AX139" s="542">
        <f>SUM('Value Segment'!AX74,'Mid-Market Segment'!AX74,'Upper Mid-Market Segment'!AX74,'Premium Segment'!AX74)/SUM('Value Segment'!AX$82,'Mid-Market Segment'!AX$82,'Upper Mid-Market Segment'!AX$82,'Premium Segment'!AX$82)</f>
        <v>0</v>
      </c>
      <c r="AY139" s="542">
        <f>SUM('Value Segment'!AY74,'Mid-Market Segment'!AY74,'Upper Mid-Market Segment'!AY74,'Premium Segment'!AY74)/SUM('Value Segment'!AY$82,'Mid-Market Segment'!AY$82,'Upper Mid-Market Segment'!AY$82,'Premium Segment'!AY$82)</f>
        <v>0</v>
      </c>
      <c r="AZ139" s="542">
        <f>SUM('Value Segment'!AZ74,'Mid-Market Segment'!AZ74,'Upper Mid-Market Segment'!AZ74,'Premium Segment'!AZ74)/SUM('Value Segment'!AZ$82,'Mid-Market Segment'!AZ$82,'Upper Mid-Market Segment'!AZ$82,'Premium Segment'!AZ$82)</f>
        <v>0</v>
      </c>
      <c r="BA139" s="542">
        <f>SUM('Value Segment'!BA74,'Mid-Market Segment'!BA74,'Upper Mid-Market Segment'!BA74,'Premium Segment'!BA74)/SUM('Value Segment'!BA$82,'Mid-Market Segment'!BA$82,'Upper Mid-Market Segment'!BA$82,'Premium Segment'!BA$82)</f>
        <v>0</v>
      </c>
      <c r="BB139" s="542">
        <f>SUM('Value Segment'!BB74,'Mid-Market Segment'!BB74,'Upper Mid-Market Segment'!BB74,'Premium Segment'!BB74)/SUM('Value Segment'!BB$82,'Mid-Market Segment'!BB$82,'Upper Mid-Market Segment'!BB$82,'Premium Segment'!BB$82)</f>
        <v>0</v>
      </c>
      <c r="BC139" s="542">
        <f>SUM('Value Segment'!BC74,'Mid-Market Segment'!BC74,'Upper Mid-Market Segment'!BC74,'Premium Segment'!BC74)/SUM('Value Segment'!BC$82,'Mid-Market Segment'!BC$82,'Upper Mid-Market Segment'!BC$82,'Premium Segment'!BC$82)</f>
        <v>0</v>
      </c>
      <c r="BD139" s="542">
        <f>SUM('Value Segment'!BD74,'Mid-Market Segment'!BD74,'Upper Mid-Market Segment'!BD74,'Premium Segment'!BD74)/SUM('Value Segment'!BD$82,'Mid-Market Segment'!BD$82,'Upper Mid-Market Segment'!BD$82,'Premium Segment'!BD$82)</f>
        <v>0</v>
      </c>
      <c r="BE139" s="542">
        <f>SUM('Value Segment'!BE74,'Mid-Market Segment'!BE74,'Upper Mid-Market Segment'!BE74,'Premium Segment'!BE74)/SUM('Value Segment'!BE$82,'Mid-Market Segment'!BE$82,'Upper Mid-Market Segment'!BE$82,'Premium Segment'!BE$82)</f>
        <v>0</v>
      </c>
      <c r="BF139" s="542">
        <f>SUM('Value Segment'!BF74,'Mid-Market Segment'!BF74,'Upper Mid-Market Segment'!BF74,'Premium Segment'!BF74)/SUM('Value Segment'!BF$82,'Mid-Market Segment'!BF$82,'Upper Mid-Market Segment'!BF$82,'Premium Segment'!BF$82)</f>
        <v>0</v>
      </c>
      <c r="BG139" s="542">
        <f>SUM('Value Segment'!BG74,'Mid-Market Segment'!BG74,'Upper Mid-Market Segment'!BG74,'Premium Segment'!BG74)/SUM('Value Segment'!BG$82,'Mid-Market Segment'!BG$82,'Upper Mid-Market Segment'!BG$82,'Premium Segment'!BG$82)</f>
        <v>-5888.7530238770532</v>
      </c>
      <c r="BH139" s="542">
        <f>SUM('Value Segment'!BH74,'Mid-Market Segment'!BH74,'Upper Mid-Market Segment'!BH74,'Premium Segment'!BH74)/SUM('Value Segment'!BH$82,'Mid-Market Segment'!BH$82,'Upper Mid-Market Segment'!BH$82,'Premium Segment'!BH$82)</f>
        <v>0</v>
      </c>
      <c r="BI139" s="542">
        <f>SUM('Value Segment'!BI74,'Mid-Market Segment'!BI74,'Upper Mid-Market Segment'!BI74,'Premium Segment'!BI74)/SUM('Value Segment'!BI$82,'Mid-Market Segment'!BI$82,'Upper Mid-Market Segment'!BI$82,'Premium Segment'!BI$82)</f>
        <v>0</v>
      </c>
      <c r="BJ139" s="542">
        <f>SUM('Value Segment'!BJ74,'Mid-Market Segment'!BJ74,'Upper Mid-Market Segment'!BJ74,'Premium Segment'!BJ74)/SUM('Value Segment'!BJ$82,'Mid-Market Segment'!BJ$82,'Upper Mid-Market Segment'!BJ$82,'Premium Segment'!BJ$82)</f>
        <v>0</v>
      </c>
      <c r="BK139" s="542">
        <f>SUM('Value Segment'!BK74,'Mid-Market Segment'!BK74,'Upper Mid-Market Segment'!BK74,'Premium Segment'!BK74)/SUM('Value Segment'!BK$82,'Mid-Market Segment'!BK$82,'Upper Mid-Market Segment'!BK$82,'Premium Segment'!BK$82)</f>
        <v>0</v>
      </c>
      <c r="BL139" s="542">
        <f>SUM('Value Segment'!BL74,'Mid-Market Segment'!BL74,'Upper Mid-Market Segment'!BL74,'Premium Segment'!BL74)/SUM('Value Segment'!BL$82,'Mid-Market Segment'!BL$82,'Upper Mid-Market Segment'!BL$82,'Premium Segment'!BL$82)</f>
        <v>0</v>
      </c>
      <c r="BM139" s="542">
        <f>SUM('Value Segment'!BM74,'Mid-Market Segment'!BM74,'Upper Mid-Market Segment'!BM74,'Premium Segment'!BM74)/SUM('Value Segment'!BM$82,'Mid-Market Segment'!BM$82,'Upper Mid-Market Segment'!BM$82,'Premium Segment'!BM$82)</f>
        <v>0</v>
      </c>
      <c r="BN139" s="542">
        <f>SUM('Value Segment'!BN74,'Mid-Market Segment'!BN74,'Upper Mid-Market Segment'!BN74,'Premium Segment'!BN74)/SUM('Value Segment'!BN$82,'Mid-Market Segment'!BN$82,'Upper Mid-Market Segment'!BN$82,'Premium Segment'!BN$82)</f>
        <v>0</v>
      </c>
      <c r="BO139" s="542">
        <f>SUM('Value Segment'!BO74,'Mid-Market Segment'!BO74,'Upper Mid-Market Segment'!BO74,'Premium Segment'!BO74)/SUM('Value Segment'!BO$82,'Mid-Market Segment'!BO$82,'Upper Mid-Market Segment'!BO$82,'Premium Segment'!BO$82)</f>
        <v>0</v>
      </c>
      <c r="BP139" s="542">
        <f>SUM('Value Segment'!BP74,'Mid-Market Segment'!BP74,'Upper Mid-Market Segment'!BP74,'Premium Segment'!BP74)/SUM('Value Segment'!BP$82,'Mid-Market Segment'!BP$82,'Upper Mid-Market Segment'!BP$82,'Premium Segment'!BP$82)</f>
        <v>0</v>
      </c>
      <c r="BQ139" s="542">
        <f>SUM('Value Segment'!BQ74,'Mid-Market Segment'!BQ74,'Upper Mid-Market Segment'!BQ74,'Premium Segment'!BQ74)/SUM('Value Segment'!BQ$82,'Mid-Market Segment'!BQ$82,'Upper Mid-Market Segment'!BQ$82,'Premium Segment'!BQ$82)</f>
        <v>0</v>
      </c>
      <c r="BR139" s="542">
        <f>SUM('Value Segment'!BR74,'Mid-Market Segment'!BR74,'Upper Mid-Market Segment'!BR74,'Premium Segment'!BR74)/SUM('Value Segment'!BR$82,'Mid-Market Segment'!BR$82,'Upper Mid-Market Segment'!BR$82,'Premium Segment'!BR$82)</f>
        <v>0</v>
      </c>
      <c r="BS139" s="542">
        <f>SUM('Value Segment'!BS74,'Mid-Market Segment'!BS74,'Upper Mid-Market Segment'!BS74,'Premium Segment'!BS74)/SUM('Value Segment'!BS$82,'Mid-Market Segment'!BS$82,'Upper Mid-Market Segment'!BS$82,'Premium Segment'!BS$82)</f>
        <v>-6003.6777927150588</v>
      </c>
      <c r="BT139" s="542">
        <f>SUM('Value Segment'!BT74,'Mid-Market Segment'!BT74,'Upper Mid-Market Segment'!BT74,'Premium Segment'!BT74)/SUM('Value Segment'!BT$82,'Mid-Market Segment'!BT$82,'Upper Mid-Market Segment'!BT$82,'Premium Segment'!BT$82)</f>
        <v>0</v>
      </c>
      <c r="BU139" s="542">
        <f>SUM('Value Segment'!BU74,'Mid-Market Segment'!BU74,'Upper Mid-Market Segment'!BU74,'Premium Segment'!BU74)/SUM('Value Segment'!BU$82,'Mid-Market Segment'!BU$82,'Upper Mid-Market Segment'!BU$82,'Premium Segment'!BU$82)</f>
        <v>0</v>
      </c>
      <c r="BV139" s="542">
        <f>SUM('Value Segment'!BV74,'Mid-Market Segment'!BV74,'Upper Mid-Market Segment'!BV74,'Premium Segment'!BV74)/SUM('Value Segment'!BV$82,'Mid-Market Segment'!BV$82,'Upper Mid-Market Segment'!BV$82,'Premium Segment'!BV$82)</f>
        <v>0</v>
      </c>
      <c r="BW139" s="542">
        <f>SUM('Value Segment'!BW74,'Mid-Market Segment'!BW74,'Upper Mid-Market Segment'!BW74,'Premium Segment'!BW74)/SUM('Value Segment'!BW$82,'Mid-Market Segment'!BW$82,'Upper Mid-Market Segment'!BW$82,'Premium Segment'!BW$82)</f>
        <v>0</v>
      </c>
      <c r="BX139" s="542">
        <f>SUM('Value Segment'!BX74,'Mid-Market Segment'!BX74,'Upper Mid-Market Segment'!BX74,'Premium Segment'!BX74)/SUM('Value Segment'!BX$82,'Mid-Market Segment'!BX$82,'Upper Mid-Market Segment'!BX$82,'Premium Segment'!BX$82)</f>
        <v>0</v>
      </c>
      <c r="BY139" s="542">
        <f>SUM('Value Segment'!BY74,'Mid-Market Segment'!BY74,'Upper Mid-Market Segment'!BY74,'Premium Segment'!BY74)/SUM('Value Segment'!BY$82,'Mid-Market Segment'!BY$82,'Upper Mid-Market Segment'!BY$82,'Premium Segment'!BY$82)</f>
        <v>0</v>
      </c>
    </row>
    <row r="140" spans="3:80" x14ac:dyDescent="0.3">
      <c r="C140" s="2"/>
      <c r="D140" s="2"/>
      <c r="E140" s="2" t="s">
        <v>185</v>
      </c>
      <c r="F140" s="54"/>
      <c r="G140" s="54"/>
      <c r="H140" s="54"/>
      <c r="I140" s="19">
        <f>SUM('Value Segment'!I75,'Mid-Market Segment'!I75,'Upper Mid-Market Segment'!I75,'Premium Segment'!I75)/SUM('Value Segment'!I$82,'Mid-Market Segment'!I$82,'Upper Mid-Market Segment'!I$82,'Premium Segment'!I$82)</f>
        <v>0</v>
      </c>
      <c r="J140" s="19">
        <f>SUM('Value Segment'!J75,'Mid-Market Segment'!J75,'Upper Mid-Market Segment'!J75,'Premium Segment'!J75)/SUM('Value Segment'!J$82,'Mid-Market Segment'!J$82,'Upper Mid-Market Segment'!J$82,'Premium Segment'!J$82)</f>
        <v>0</v>
      </c>
      <c r="K140" s="19">
        <f>SUM('Value Segment'!K75,'Mid-Market Segment'!K75,'Upper Mid-Market Segment'!K75,'Premium Segment'!K75)/SUM('Value Segment'!K$82,'Mid-Market Segment'!K$82,'Upper Mid-Market Segment'!K$82,'Premium Segment'!K$82)</f>
        <v>0</v>
      </c>
      <c r="L140" s="19">
        <f>SUM('Value Segment'!L75,'Mid-Market Segment'!L75,'Upper Mid-Market Segment'!L75,'Premium Segment'!L75)/SUM('Value Segment'!L$82,'Mid-Market Segment'!L$82,'Upper Mid-Market Segment'!L$82,'Premium Segment'!L$82)</f>
        <v>0</v>
      </c>
      <c r="M140" s="19">
        <f>SUM('Value Segment'!M75,'Mid-Market Segment'!M75,'Upper Mid-Market Segment'!M75,'Premium Segment'!M75)/SUM('Value Segment'!M$82,'Mid-Market Segment'!M$82,'Upper Mid-Market Segment'!M$82,'Premium Segment'!M$82)</f>
        <v>0</v>
      </c>
      <c r="N140" s="19">
        <f>SUM('Value Segment'!N75,'Mid-Market Segment'!N75,'Upper Mid-Market Segment'!N75,'Premium Segment'!N75)/SUM('Value Segment'!N$82,'Mid-Market Segment'!N$82,'Upper Mid-Market Segment'!N$82,'Premium Segment'!N$82)</f>
        <v>0</v>
      </c>
      <c r="O140" s="37"/>
      <c r="P140" s="50">
        <f>IFERROR(((N140/I140)^(1/5))-1,0)</f>
        <v>0</v>
      </c>
      <c r="R140" s="19">
        <f>SUM('Value Segment'!R75,'Mid-Market Segment'!R75,'Upper Mid-Market Segment'!R75,'Premium Segment'!R75)/SUM('Value Segment'!R$82,'Mid-Market Segment'!R$82,'Upper Mid-Market Segment'!R$82,'Premium Segment'!R$82)</f>
        <v>0</v>
      </c>
      <c r="S140" s="542">
        <f>SUM('Value Segment'!S75,'Mid-Market Segment'!S75,'Upper Mid-Market Segment'!S75,'Premium Segment'!S75)/SUM('Value Segment'!S$82,'Mid-Market Segment'!S$82,'Upper Mid-Market Segment'!S$82,'Premium Segment'!S$82)</f>
        <v>0</v>
      </c>
      <c r="T140" s="542">
        <f>SUM('Value Segment'!T75,'Mid-Market Segment'!T75,'Upper Mid-Market Segment'!T75,'Premium Segment'!T75)/SUM('Value Segment'!T$82,'Mid-Market Segment'!T$82,'Upper Mid-Market Segment'!T$82,'Premium Segment'!T$82)</f>
        <v>0</v>
      </c>
      <c r="U140" s="542">
        <f>SUM('Value Segment'!U75,'Mid-Market Segment'!U75,'Upper Mid-Market Segment'!U75,'Premium Segment'!U75)/SUM('Value Segment'!U$82,'Mid-Market Segment'!U$82,'Upper Mid-Market Segment'!U$82,'Premium Segment'!U$82)</f>
        <v>0</v>
      </c>
      <c r="V140" s="542">
        <f>SUM('Value Segment'!V75,'Mid-Market Segment'!V75,'Upper Mid-Market Segment'!V75,'Premium Segment'!V75)/SUM('Value Segment'!V$82,'Mid-Market Segment'!V$82,'Upper Mid-Market Segment'!V$82,'Premium Segment'!V$82)</f>
        <v>0</v>
      </c>
      <c r="W140" s="542">
        <f>SUM('Value Segment'!W75,'Mid-Market Segment'!W75,'Upper Mid-Market Segment'!W75,'Premium Segment'!W75)/SUM('Value Segment'!W$82,'Mid-Market Segment'!W$82,'Upper Mid-Market Segment'!W$82,'Premium Segment'!W$82)</f>
        <v>0</v>
      </c>
      <c r="X140" s="542">
        <f>SUM('Value Segment'!X75,'Mid-Market Segment'!X75,'Upper Mid-Market Segment'!X75,'Premium Segment'!X75)/SUM('Value Segment'!X$82,'Mid-Market Segment'!X$82,'Upper Mid-Market Segment'!X$82,'Premium Segment'!X$82)</f>
        <v>0</v>
      </c>
      <c r="Y140" s="542">
        <f>SUM('Value Segment'!Y75,'Mid-Market Segment'!Y75,'Upper Mid-Market Segment'!Y75,'Premium Segment'!Y75)/SUM('Value Segment'!Y$82,'Mid-Market Segment'!Y$82,'Upper Mid-Market Segment'!Y$82,'Premium Segment'!Y$82)</f>
        <v>0</v>
      </c>
      <c r="Z140" s="542">
        <f>SUM('Value Segment'!Z75,'Mid-Market Segment'!Z75,'Upper Mid-Market Segment'!Z75,'Premium Segment'!Z75)/SUM('Value Segment'!Z$82,'Mid-Market Segment'!Z$82,'Upper Mid-Market Segment'!Z$82,'Premium Segment'!Z$82)</f>
        <v>0</v>
      </c>
      <c r="AA140" s="542">
        <f>SUM('Value Segment'!AA75,'Mid-Market Segment'!AA75,'Upper Mid-Market Segment'!AA75,'Premium Segment'!AA75)/SUM('Value Segment'!AA$82,'Mid-Market Segment'!AA$82,'Upper Mid-Market Segment'!AA$82,'Premium Segment'!AA$82)</f>
        <v>0</v>
      </c>
      <c r="AB140" s="542">
        <f>SUM('Value Segment'!AB75,'Mid-Market Segment'!AB75,'Upper Mid-Market Segment'!AB75,'Premium Segment'!AB75)/SUM('Value Segment'!AB$82,'Mid-Market Segment'!AB$82,'Upper Mid-Market Segment'!AB$82,'Premium Segment'!AB$82)</f>
        <v>0</v>
      </c>
      <c r="AC140" s="542">
        <f>SUM('Value Segment'!AC75,'Mid-Market Segment'!AC75,'Upper Mid-Market Segment'!AC75,'Premium Segment'!AC75)/SUM('Value Segment'!AC$82,'Mid-Market Segment'!AC$82,'Upper Mid-Market Segment'!AC$82,'Premium Segment'!AC$82)</f>
        <v>0</v>
      </c>
      <c r="AD140" s="542">
        <f>SUM('Value Segment'!AD75,'Mid-Market Segment'!AD75,'Upper Mid-Market Segment'!AD75,'Premium Segment'!AD75)/SUM('Value Segment'!AD$82,'Mid-Market Segment'!AD$82,'Upper Mid-Market Segment'!AD$82,'Premium Segment'!AD$82)</f>
        <v>0</v>
      </c>
      <c r="AE140" s="542">
        <f>SUM('Value Segment'!AE75,'Mid-Market Segment'!AE75,'Upper Mid-Market Segment'!AE75,'Premium Segment'!AE75)/SUM('Value Segment'!AE$82,'Mid-Market Segment'!AE$82,'Upper Mid-Market Segment'!AE$82,'Premium Segment'!AE$82)</f>
        <v>0</v>
      </c>
      <c r="AF140" s="542">
        <f>SUM('Value Segment'!AF75,'Mid-Market Segment'!AF75,'Upper Mid-Market Segment'!AF75,'Premium Segment'!AF75)/SUM('Value Segment'!AF$82,'Mid-Market Segment'!AF$82,'Upper Mid-Market Segment'!AF$82,'Premium Segment'!AF$82)</f>
        <v>0</v>
      </c>
      <c r="AG140" s="542">
        <f>SUM('Value Segment'!AG75,'Mid-Market Segment'!AG75,'Upper Mid-Market Segment'!AG75,'Premium Segment'!AG75)/SUM('Value Segment'!AG$82,'Mid-Market Segment'!AG$82,'Upper Mid-Market Segment'!AG$82,'Premium Segment'!AG$82)</f>
        <v>0</v>
      </c>
      <c r="AH140" s="542">
        <f>SUM('Value Segment'!AH75,'Mid-Market Segment'!AH75,'Upper Mid-Market Segment'!AH75,'Premium Segment'!AH75)/SUM('Value Segment'!AH$82,'Mid-Market Segment'!AH$82,'Upper Mid-Market Segment'!AH$82,'Premium Segment'!AH$82)</f>
        <v>0</v>
      </c>
      <c r="AI140" s="542">
        <f>SUM('Value Segment'!AI75,'Mid-Market Segment'!AI75,'Upper Mid-Market Segment'!AI75,'Premium Segment'!AI75)/SUM('Value Segment'!AI$82,'Mid-Market Segment'!AI$82,'Upper Mid-Market Segment'!AI$82,'Premium Segment'!AI$82)</f>
        <v>0</v>
      </c>
      <c r="AJ140" s="542">
        <f>SUM('Value Segment'!AJ75,'Mid-Market Segment'!AJ75,'Upper Mid-Market Segment'!AJ75,'Premium Segment'!AJ75)/SUM('Value Segment'!AJ$82,'Mid-Market Segment'!AJ$82,'Upper Mid-Market Segment'!AJ$82,'Premium Segment'!AJ$82)</f>
        <v>0</v>
      </c>
      <c r="AK140" s="542">
        <f>SUM('Value Segment'!AK75,'Mid-Market Segment'!AK75,'Upper Mid-Market Segment'!AK75,'Premium Segment'!AK75)/SUM('Value Segment'!AK$82,'Mid-Market Segment'!AK$82,'Upper Mid-Market Segment'!AK$82,'Premium Segment'!AK$82)</f>
        <v>0</v>
      </c>
      <c r="AL140" s="542">
        <f>SUM('Value Segment'!AL75,'Mid-Market Segment'!AL75,'Upper Mid-Market Segment'!AL75,'Premium Segment'!AL75)/SUM('Value Segment'!AL$82,'Mid-Market Segment'!AL$82,'Upper Mid-Market Segment'!AL$82,'Premium Segment'!AL$82)</f>
        <v>0</v>
      </c>
      <c r="AM140" s="542">
        <f>SUM('Value Segment'!AM75,'Mid-Market Segment'!AM75,'Upper Mid-Market Segment'!AM75,'Premium Segment'!AM75)/SUM('Value Segment'!AM$82,'Mid-Market Segment'!AM$82,'Upper Mid-Market Segment'!AM$82,'Premium Segment'!AM$82)</f>
        <v>0</v>
      </c>
      <c r="AN140" s="542">
        <f>SUM('Value Segment'!AN75,'Mid-Market Segment'!AN75,'Upper Mid-Market Segment'!AN75,'Premium Segment'!AN75)/SUM('Value Segment'!AN$82,'Mid-Market Segment'!AN$82,'Upper Mid-Market Segment'!AN$82,'Premium Segment'!AN$82)</f>
        <v>0</v>
      </c>
      <c r="AO140" s="542">
        <f>SUM('Value Segment'!AO75,'Mid-Market Segment'!AO75,'Upper Mid-Market Segment'!AO75,'Premium Segment'!AO75)/SUM('Value Segment'!AO$82,'Mid-Market Segment'!AO$82,'Upper Mid-Market Segment'!AO$82,'Premium Segment'!AO$82)</f>
        <v>0</v>
      </c>
      <c r="AP140" s="542">
        <f>SUM('Value Segment'!AP75,'Mid-Market Segment'!AP75,'Upper Mid-Market Segment'!AP75,'Premium Segment'!AP75)/SUM('Value Segment'!AP$82,'Mid-Market Segment'!AP$82,'Upper Mid-Market Segment'!AP$82,'Premium Segment'!AP$82)</f>
        <v>0</v>
      </c>
      <c r="AQ140" s="542">
        <f>SUM('Value Segment'!AQ75,'Mid-Market Segment'!AQ75,'Upper Mid-Market Segment'!AQ75,'Premium Segment'!AQ75)/SUM('Value Segment'!AQ$82,'Mid-Market Segment'!AQ$82,'Upper Mid-Market Segment'!AQ$82,'Premium Segment'!AQ$82)</f>
        <v>0</v>
      </c>
      <c r="AR140" s="542">
        <f>SUM('Value Segment'!AR75,'Mid-Market Segment'!AR75,'Upper Mid-Market Segment'!AR75,'Premium Segment'!AR75)/SUM('Value Segment'!AR$82,'Mid-Market Segment'!AR$82,'Upper Mid-Market Segment'!AR$82,'Premium Segment'!AR$82)</f>
        <v>0</v>
      </c>
      <c r="AS140" s="542">
        <f>SUM('Value Segment'!AS75,'Mid-Market Segment'!AS75,'Upper Mid-Market Segment'!AS75,'Premium Segment'!AS75)/SUM('Value Segment'!AS$82,'Mid-Market Segment'!AS$82,'Upper Mid-Market Segment'!AS$82,'Premium Segment'!AS$82)</f>
        <v>0</v>
      </c>
      <c r="AT140" s="542">
        <f>SUM('Value Segment'!AT75,'Mid-Market Segment'!AT75,'Upper Mid-Market Segment'!AT75,'Premium Segment'!AT75)/SUM('Value Segment'!AT$82,'Mid-Market Segment'!AT$82,'Upper Mid-Market Segment'!AT$82,'Premium Segment'!AT$82)</f>
        <v>0</v>
      </c>
      <c r="AU140" s="542">
        <f>SUM('Value Segment'!AU75,'Mid-Market Segment'!AU75,'Upper Mid-Market Segment'!AU75,'Premium Segment'!AU75)/SUM('Value Segment'!AU$82,'Mid-Market Segment'!AU$82,'Upper Mid-Market Segment'!AU$82,'Premium Segment'!AU$82)</f>
        <v>0</v>
      </c>
      <c r="AV140" s="542">
        <f>SUM('Value Segment'!AV75,'Mid-Market Segment'!AV75,'Upper Mid-Market Segment'!AV75,'Premium Segment'!AV75)/SUM('Value Segment'!AV$82,'Mid-Market Segment'!AV$82,'Upper Mid-Market Segment'!AV$82,'Premium Segment'!AV$82)</f>
        <v>0</v>
      </c>
      <c r="AW140" s="542">
        <f>SUM('Value Segment'!AW75,'Mid-Market Segment'!AW75,'Upper Mid-Market Segment'!AW75,'Premium Segment'!AW75)/SUM('Value Segment'!AW$82,'Mid-Market Segment'!AW$82,'Upper Mid-Market Segment'!AW$82,'Premium Segment'!AW$82)</f>
        <v>0</v>
      </c>
      <c r="AX140" s="542">
        <f>SUM('Value Segment'!AX75,'Mid-Market Segment'!AX75,'Upper Mid-Market Segment'!AX75,'Premium Segment'!AX75)/SUM('Value Segment'!AX$82,'Mid-Market Segment'!AX$82,'Upper Mid-Market Segment'!AX$82,'Premium Segment'!AX$82)</f>
        <v>0</v>
      </c>
      <c r="AY140" s="542">
        <f>SUM('Value Segment'!AY75,'Mid-Market Segment'!AY75,'Upper Mid-Market Segment'!AY75,'Premium Segment'!AY75)/SUM('Value Segment'!AY$82,'Mid-Market Segment'!AY$82,'Upper Mid-Market Segment'!AY$82,'Premium Segment'!AY$82)</f>
        <v>0</v>
      </c>
      <c r="AZ140" s="542">
        <f>SUM('Value Segment'!AZ75,'Mid-Market Segment'!AZ75,'Upper Mid-Market Segment'!AZ75,'Premium Segment'!AZ75)/SUM('Value Segment'!AZ$82,'Mid-Market Segment'!AZ$82,'Upper Mid-Market Segment'!AZ$82,'Premium Segment'!AZ$82)</f>
        <v>0</v>
      </c>
      <c r="BA140" s="542">
        <f>SUM('Value Segment'!BA75,'Mid-Market Segment'!BA75,'Upper Mid-Market Segment'!BA75,'Premium Segment'!BA75)/SUM('Value Segment'!BA$82,'Mid-Market Segment'!BA$82,'Upper Mid-Market Segment'!BA$82,'Premium Segment'!BA$82)</f>
        <v>0</v>
      </c>
      <c r="BB140" s="542">
        <f>SUM('Value Segment'!BB75,'Mid-Market Segment'!BB75,'Upper Mid-Market Segment'!BB75,'Premium Segment'!BB75)/SUM('Value Segment'!BB$82,'Mid-Market Segment'!BB$82,'Upper Mid-Market Segment'!BB$82,'Premium Segment'!BB$82)</f>
        <v>0</v>
      </c>
      <c r="BC140" s="542">
        <f>SUM('Value Segment'!BC75,'Mid-Market Segment'!BC75,'Upper Mid-Market Segment'!BC75,'Premium Segment'!BC75)/SUM('Value Segment'!BC$82,'Mid-Market Segment'!BC$82,'Upper Mid-Market Segment'!BC$82,'Premium Segment'!BC$82)</f>
        <v>0</v>
      </c>
      <c r="BD140" s="542">
        <f>SUM('Value Segment'!BD75,'Mid-Market Segment'!BD75,'Upper Mid-Market Segment'!BD75,'Premium Segment'!BD75)/SUM('Value Segment'!BD$82,'Mid-Market Segment'!BD$82,'Upper Mid-Market Segment'!BD$82,'Premium Segment'!BD$82)</f>
        <v>0</v>
      </c>
      <c r="BE140" s="542">
        <f>SUM('Value Segment'!BE75,'Mid-Market Segment'!BE75,'Upper Mid-Market Segment'!BE75,'Premium Segment'!BE75)/SUM('Value Segment'!BE$82,'Mid-Market Segment'!BE$82,'Upper Mid-Market Segment'!BE$82,'Premium Segment'!BE$82)</f>
        <v>0</v>
      </c>
      <c r="BF140" s="542">
        <f>SUM('Value Segment'!BF75,'Mid-Market Segment'!BF75,'Upper Mid-Market Segment'!BF75,'Premium Segment'!BF75)/SUM('Value Segment'!BF$82,'Mid-Market Segment'!BF$82,'Upper Mid-Market Segment'!BF$82,'Premium Segment'!BF$82)</f>
        <v>0</v>
      </c>
      <c r="BG140" s="542">
        <f>SUM('Value Segment'!BG75,'Mid-Market Segment'!BG75,'Upper Mid-Market Segment'!BG75,'Premium Segment'!BG75)/SUM('Value Segment'!BG$82,'Mid-Market Segment'!BG$82,'Upper Mid-Market Segment'!BG$82,'Premium Segment'!BG$82)</f>
        <v>0</v>
      </c>
      <c r="BH140" s="542">
        <f>SUM('Value Segment'!BH75,'Mid-Market Segment'!BH75,'Upper Mid-Market Segment'!BH75,'Premium Segment'!BH75)/SUM('Value Segment'!BH$82,'Mid-Market Segment'!BH$82,'Upper Mid-Market Segment'!BH$82,'Premium Segment'!BH$82)</f>
        <v>0</v>
      </c>
      <c r="BI140" s="542">
        <f>SUM('Value Segment'!BI75,'Mid-Market Segment'!BI75,'Upper Mid-Market Segment'!BI75,'Premium Segment'!BI75)/SUM('Value Segment'!BI$82,'Mid-Market Segment'!BI$82,'Upper Mid-Market Segment'!BI$82,'Premium Segment'!BI$82)</f>
        <v>0</v>
      </c>
      <c r="BJ140" s="542">
        <f>SUM('Value Segment'!BJ75,'Mid-Market Segment'!BJ75,'Upper Mid-Market Segment'!BJ75,'Premium Segment'!BJ75)/SUM('Value Segment'!BJ$82,'Mid-Market Segment'!BJ$82,'Upper Mid-Market Segment'!BJ$82,'Premium Segment'!BJ$82)</f>
        <v>0</v>
      </c>
      <c r="BK140" s="542">
        <f>SUM('Value Segment'!BK75,'Mid-Market Segment'!BK75,'Upper Mid-Market Segment'!BK75,'Premium Segment'!BK75)/SUM('Value Segment'!BK$82,'Mid-Market Segment'!BK$82,'Upper Mid-Market Segment'!BK$82,'Premium Segment'!BK$82)</f>
        <v>0</v>
      </c>
      <c r="BL140" s="542">
        <f>SUM('Value Segment'!BL75,'Mid-Market Segment'!BL75,'Upper Mid-Market Segment'!BL75,'Premium Segment'!BL75)/SUM('Value Segment'!BL$82,'Mid-Market Segment'!BL$82,'Upper Mid-Market Segment'!BL$82,'Premium Segment'!BL$82)</f>
        <v>0</v>
      </c>
      <c r="BM140" s="542">
        <f>SUM('Value Segment'!BM75,'Mid-Market Segment'!BM75,'Upper Mid-Market Segment'!BM75,'Premium Segment'!BM75)/SUM('Value Segment'!BM$82,'Mid-Market Segment'!BM$82,'Upper Mid-Market Segment'!BM$82,'Premium Segment'!BM$82)</f>
        <v>0</v>
      </c>
      <c r="BN140" s="542">
        <f>SUM('Value Segment'!BN75,'Mid-Market Segment'!BN75,'Upper Mid-Market Segment'!BN75,'Premium Segment'!BN75)/SUM('Value Segment'!BN$82,'Mid-Market Segment'!BN$82,'Upper Mid-Market Segment'!BN$82,'Premium Segment'!BN$82)</f>
        <v>0</v>
      </c>
      <c r="BO140" s="542">
        <f>SUM('Value Segment'!BO75,'Mid-Market Segment'!BO75,'Upper Mid-Market Segment'!BO75,'Premium Segment'!BO75)/SUM('Value Segment'!BO$82,'Mid-Market Segment'!BO$82,'Upper Mid-Market Segment'!BO$82,'Premium Segment'!BO$82)</f>
        <v>0</v>
      </c>
      <c r="BP140" s="542">
        <f>SUM('Value Segment'!BP75,'Mid-Market Segment'!BP75,'Upper Mid-Market Segment'!BP75,'Premium Segment'!BP75)/SUM('Value Segment'!BP$82,'Mid-Market Segment'!BP$82,'Upper Mid-Market Segment'!BP$82,'Premium Segment'!BP$82)</f>
        <v>0</v>
      </c>
      <c r="BQ140" s="542">
        <f>SUM('Value Segment'!BQ75,'Mid-Market Segment'!BQ75,'Upper Mid-Market Segment'!BQ75,'Premium Segment'!BQ75)/SUM('Value Segment'!BQ$82,'Mid-Market Segment'!BQ$82,'Upper Mid-Market Segment'!BQ$82,'Premium Segment'!BQ$82)</f>
        <v>0</v>
      </c>
      <c r="BR140" s="542">
        <f>SUM('Value Segment'!BR75,'Mid-Market Segment'!BR75,'Upper Mid-Market Segment'!BR75,'Premium Segment'!BR75)/SUM('Value Segment'!BR$82,'Mid-Market Segment'!BR$82,'Upper Mid-Market Segment'!BR$82,'Premium Segment'!BR$82)</f>
        <v>0</v>
      </c>
      <c r="BS140" s="542">
        <f>SUM('Value Segment'!BS75,'Mid-Market Segment'!BS75,'Upper Mid-Market Segment'!BS75,'Premium Segment'!BS75)/SUM('Value Segment'!BS$82,'Mid-Market Segment'!BS$82,'Upper Mid-Market Segment'!BS$82,'Premium Segment'!BS$82)</f>
        <v>0</v>
      </c>
      <c r="BT140" s="542">
        <f>SUM('Value Segment'!BT75,'Mid-Market Segment'!BT75,'Upper Mid-Market Segment'!BT75,'Premium Segment'!BT75)/SUM('Value Segment'!BT$82,'Mid-Market Segment'!BT$82,'Upper Mid-Market Segment'!BT$82,'Premium Segment'!BT$82)</f>
        <v>0</v>
      </c>
      <c r="BU140" s="542">
        <f>SUM('Value Segment'!BU75,'Mid-Market Segment'!BU75,'Upper Mid-Market Segment'!BU75,'Premium Segment'!BU75)/SUM('Value Segment'!BU$82,'Mid-Market Segment'!BU$82,'Upper Mid-Market Segment'!BU$82,'Premium Segment'!BU$82)</f>
        <v>0</v>
      </c>
      <c r="BV140" s="542">
        <f>SUM('Value Segment'!BV75,'Mid-Market Segment'!BV75,'Upper Mid-Market Segment'!BV75,'Premium Segment'!BV75)/SUM('Value Segment'!BV$82,'Mid-Market Segment'!BV$82,'Upper Mid-Market Segment'!BV$82,'Premium Segment'!BV$82)</f>
        <v>0</v>
      </c>
      <c r="BW140" s="542">
        <f>SUM('Value Segment'!BW75,'Mid-Market Segment'!BW75,'Upper Mid-Market Segment'!BW75,'Premium Segment'!BW75)/SUM('Value Segment'!BW$82,'Mid-Market Segment'!BW$82,'Upper Mid-Market Segment'!BW$82,'Premium Segment'!BW$82)</f>
        <v>0</v>
      </c>
      <c r="BX140" s="542">
        <f>SUM('Value Segment'!BX75,'Mid-Market Segment'!BX75,'Upper Mid-Market Segment'!BX75,'Premium Segment'!BX75)/SUM('Value Segment'!BX$82,'Mid-Market Segment'!BX$82,'Upper Mid-Market Segment'!BX$82,'Premium Segment'!BX$82)</f>
        <v>0</v>
      </c>
      <c r="BY140" s="542">
        <f>SUM('Value Segment'!BY75,'Mid-Market Segment'!BY75,'Upper Mid-Market Segment'!BY75,'Premium Segment'!BY75)/SUM('Value Segment'!BY$82,'Mid-Market Segment'!BY$82,'Upper Mid-Market Segment'!BY$82,'Premium Segment'!BY$82)</f>
        <v>0</v>
      </c>
    </row>
    <row r="141" spans="3:80" x14ac:dyDescent="0.3">
      <c r="C141" s="2"/>
      <c r="D141" s="2"/>
      <c r="E141" s="2" t="s">
        <v>370</v>
      </c>
      <c r="F141" s="54"/>
      <c r="G141" s="54"/>
      <c r="H141" s="54"/>
      <c r="I141" s="19">
        <f>SUM('Value Segment'!I76,'Mid-Market Segment'!I76,'Upper Mid-Market Segment'!I76,'Premium Segment'!I76)/SUM('Value Segment'!I$82,'Mid-Market Segment'!I$82,'Upper Mid-Market Segment'!I$82,'Premium Segment'!I$82)</f>
        <v>0</v>
      </c>
      <c r="J141" s="19">
        <f>SUM('Value Segment'!J76,'Mid-Market Segment'!J76,'Upper Mid-Market Segment'!J76,'Premium Segment'!J76)/SUM('Value Segment'!J$82,'Mid-Market Segment'!J$82,'Upper Mid-Market Segment'!J$82,'Premium Segment'!J$82)</f>
        <v>0</v>
      </c>
      <c r="K141" s="19">
        <f>SUM('Value Segment'!K76,'Mid-Market Segment'!K76,'Upper Mid-Market Segment'!K76,'Premium Segment'!K76)/SUM('Value Segment'!K$82,'Mid-Market Segment'!K$82,'Upper Mid-Market Segment'!K$82,'Premium Segment'!K$82)</f>
        <v>0</v>
      </c>
      <c r="L141" s="19">
        <f>SUM('Value Segment'!L76,'Mid-Market Segment'!L76,'Upper Mid-Market Segment'!L76,'Premium Segment'!L76)/SUM('Value Segment'!L$82,'Mid-Market Segment'!L$82,'Upper Mid-Market Segment'!L$82,'Premium Segment'!L$82)</f>
        <v>0</v>
      </c>
      <c r="M141" s="19">
        <f>SUM('Value Segment'!M76,'Mid-Market Segment'!M76,'Upper Mid-Market Segment'!M76,'Premium Segment'!M76)/SUM('Value Segment'!M$82,'Mid-Market Segment'!M$82,'Upper Mid-Market Segment'!M$82,'Premium Segment'!M$82)</f>
        <v>0</v>
      </c>
      <c r="N141" s="19">
        <f>SUM('Value Segment'!N76,'Mid-Market Segment'!N76,'Upper Mid-Market Segment'!N76,'Premium Segment'!N76)/SUM('Value Segment'!N$82,'Mid-Market Segment'!N$82,'Upper Mid-Market Segment'!N$82,'Premium Segment'!N$82)</f>
        <v>0</v>
      </c>
      <c r="O141" s="37"/>
      <c r="P141" s="50">
        <f>IFERROR(((N141/I141)^(1/5))-1,0)</f>
        <v>0</v>
      </c>
      <c r="R141" s="19">
        <f>SUM('Value Segment'!R76,'Mid-Market Segment'!R76,'Upper Mid-Market Segment'!R76,'Premium Segment'!R76)/SUM('Value Segment'!R$82,'Mid-Market Segment'!R$82,'Upper Mid-Market Segment'!R$82,'Premium Segment'!R$82)</f>
        <v>0</v>
      </c>
      <c r="S141" s="542">
        <f>SUM('Value Segment'!S76,'Mid-Market Segment'!S76,'Upper Mid-Market Segment'!S76,'Premium Segment'!S76)/SUM('Value Segment'!S$82,'Mid-Market Segment'!S$82,'Upper Mid-Market Segment'!S$82,'Premium Segment'!S$82)</f>
        <v>0</v>
      </c>
      <c r="T141" s="542">
        <f>SUM('Value Segment'!T76,'Mid-Market Segment'!T76,'Upper Mid-Market Segment'!T76,'Premium Segment'!T76)/SUM('Value Segment'!T$82,'Mid-Market Segment'!T$82,'Upper Mid-Market Segment'!T$82,'Premium Segment'!T$82)</f>
        <v>0</v>
      </c>
      <c r="U141" s="542">
        <f>SUM('Value Segment'!U76,'Mid-Market Segment'!U76,'Upper Mid-Market Segment'!U76,'Premium Segment'!U76)/SUM('Value Segment'!U$82,'Mid-Market Segment'!U$82,'Upper Mid-Market Segment'!U$82,'Premium Segment'!U$82)</f>
        <v>0</v>
      </c>
      <c r="V141" s="542">
        <f>SUM('Value Segment'!V76,'Mid-Market Segment'!V76,'Upper Mid-Market Segment'!V76,'Premium Segment'!V76)/SUM('Value Segment'!V$82,'Mid-Market Segment'!V$82,'Upper Mid-Market Segment'!V$82,'Premium Segment'!V$82)</f>
        <v>0</v>
      </c>
      <c r="W141" s="542">
        <f>SUM('Value Segment'!W76,'Mid-Market Segment'!W76,'Upper Mid-Market Segment'!W76,'Premium Segment'!W76)/SUM('Value Segment'!W$82,'Mid-Market Segment'!W$82,'Upper Mid-Market Segment'!W$82,'Premium Segment'!W$82)</f>
        <v>0</v>
      </c>
      <c r="X141" s="542">
        <f>SUM('Value Segment'!X76,'Mid-Market Segment'!X76,'Upper Mid-Market Segment'!X76,'Premium Segment'!X76)/SUM('Value Segment'!X$82,'Mid-Market Segment'!X$82,'Upper Mid-Market Segment'!X$82,'Premium Segment'!X$82)</f>
        <v>0</v>
      </c>
      <c r="Y141" s="542">
        <f>SUM('Value Segment'!Y76,'Mid-Market Segment'!Y76,'Upper Mid-Market Segment'!Y76,'Premium Segment'!Y76)/SUM('Value Segment'!Y$82,'Mid-Market Segment'!Y$82,'Upper Mid-Market Segment'!Y$82,'Premium Segment'!Y$82)</f>
        <v>0</v>
      </c>
      <c r="Z141" s="542">
        <f>SUM('Value Segment'!Z76,'Mid-Market Segment'!Z76,'Upper Mid-Market Segment'!Z76,'Premium Segment'!Z76)/SUM('Value Segment'!Z$82,'Mid-Market Segment'!Z$82,'Upper Mid-Market Segment'!Z$82,'Premium Segment'!Z$82)</f>
        <v>0</v>
      </c>
      <c r="AA141" s="542">
        <f>SUM('Value Segment'!AA76,'Mid-Market Segment'!AA76,'Upper Mid-Market Segment'!AA76,'Premium Segment'!AA76)/SUM('Value Segment'!AA$82,'Mid-Market Segment'!AA$82,'Upper Mid-Market Segment'!AA$82,'Premium Segment'!AA$82)</f>
        <v>0</v>
      </c>
      <c r="AB141" s="542">
        <f>SUM('Value Segment'!AB76,'Mid-Market Segment'!AB76,'Upper Mid-Market Segment'!AB76,'Premium Segment'!AB76)/SUM('Value Segment'!AB$82,'Mid-Market Segment'!AB$82,'Upper Mid-Market Segment'!AB$82,'Premium Segment'!AB$82)</f>
        <v>0</v>
      </c>
      <c r="AC141" s="542">
        <f>SUM('Value Segment'!AC76,'Mid-Market Segment'!AC76,'Upper Mid-Market Segment'!AC76,'Premium Segment'!AC76)/SUM('Value Segment'!AC$82,'Mid-Market Segment'!AC$82,'Upper Mid-Market Segment'!AC$82,'Premium Segment'!AC$82)</f>
        <v>0</v>
      </c>
      <c r="AD141" s="542">
        <f>SUM('Value Segment'!AD76,'Mid-Market Segment'!AD76,'Upper Mid-Market Segment'!AD76,'Premium Segment'!AD76)/SUM('Value Segment'!AD$82,'Mid-Market Segment'!AD$82,'Upper Mid-Market Segment'!AD$82,'Premium Segment'!AD$82)</f>
        <v>0</v>
      </c>
      <c r="AE141" s="542">
        <f>SUM('Value Segment'!AE76,'Mid-Market Segment'!AE76,'Upper Mid-Market Segment'!AE76,'Premium Segment'!AE76)/SUM('Value Segment'!AE$82,'Mid-Market Segment'!AE$82,'Upper Mid-Market Segment'!AE$82,'Premium Segment'!AE$82)</f>
        <v>0</v>
      </c>
      <c r="AF141" s="542">
        <f>SUM('Value Segment'!AF76,'Mid-Market Segment'!AF76,'Upper Mid-Market Segment'!AF76,'Premium Segment'!AF76)/SUM('Value Segment'!AF$82,'Mid-Market Segment'!AF$82,'Upper Mid-Market Segment'!AF$82,'Premium Segment'!AF$82)</f>
        <v>0</v>
      </c>
      <c r="AG141" s="542">
        <f>SUM('Value Segment'!AG76,'Mid-Market Segment'!AG76,'Upper Mid-Market Segment'!AG76,'Premium Segment'!AG76)/SUM('Value Segment'!AG$82,'Mid-Market Segment'!AG$82,'Upper Mid-Market Segment'!AG$82,'Premium Segment'!AG$82)</f>
        <v>0</v>
      </c>
      <c r="AH141" s="542">
        <f>SUM('Value Segment'!AH76,'Mid-Market Segment'!AH76,'Upper Mid-Market Segment'!AH76,'Premium Segment'!AH76)/SUM('Value Segment'!AH$82,'Mid-Market Segment'!AH$82,'Upper Mid-Market Segment'!AH$82,'Premium Segment'!AH$82)</f>
        <v>0</v>
      </c>
      <c r="AI141" s="542">
        <f>SUM('Value Segment'!AI76,'Mid-Market Segment'!AI76,'Upper Mid-Market Segment'!AI76,'Premium Segment'!AI76)/SUM('Value Segment'!AI$82,'Mid-Market Segment'!AI$82,'Upper Mid-Market Segment'!AI$82,'Premium Segment'!AI$82)</f>
        <v>0</v>
      </c>
      <c r="AJ141" s="542">
        <f>SUM('Value Segment'!AJ76,'Mid-Market Segment'!AJ76,'Upper Mid-Market Segment'!AJ76,'Premium Segment'!AJ76)/SUM('Value Segment'!AJ$82,'Mid-Market Segment'!AJ$82,'Upper Mid-Market Segment'!AJ$82,'Premium Segment'!AJ$82)</f>
        <v>0</v>
      </c>
      <c r="AK141" s="542">
        <f>SUM('Value Segment'!AK76,'Mid-Market Segment'!AK76,'Upper Mid-Market Segment'!AK76,'Premium Segment'!AK76)/SUM('Value Segment'!AK$82,'Mid-Market Segment'!AK$82,'Upper Mid-Market Segment'!AK$82,'Premium Segment'!AK$82)</f>
        <v>0</v>
      </c>
      <c r="AL141" s="542">
        <f>SUM('Value Segment'!AL76,'Mid-Market Segment'!AL76,'Upper Mid-Market Segment'!AL76,'Premium Segment'!AL76)/SUM('Value Segment'!AL$82,'Mid-Market Segment'!AL$82,'Upper Mid-Market Segment'!AL$82,'Premium Segment'!AL$82)</f>
        <v>0</v>
      </c>
      <c r="AM141" s="542">
        <f>SUM('Value Segment'!AM76,'Mid-Market Segment'!AM76,'Upper Mid-Market Segment'!AM76,'Premium Segment'!AM76)/SUM('Value Segment'!AM$82,'Mid-Market Segment'!AM$82,'Upper Mid-Market Segment'!AM$82,'Premium Segment'!AM$82)</f>
        <v>0</v>
      </c>
      <c r="AN141" s="542">
        <f>SUM('Value Segment'!AN76,'Mid-Market Segment'!AN76,'Upper Mid-Market Segment'!AN76,'Premium Segment'!AN76)/SUM('Value Segment'!AN$82,'Mid-Market Segment'!AN$82,'Upper Mid-Market Segment'!AN$82,'Premium Segment'!AN$82)</f>
        <v>0</v>
      </c>
      <c r="AO141" s="542">
        <f>SUM('Value Segment'!AO76,'Mid-Market Segment'!AO76,'Upper Mid-Market Segment'!AO76,'Premium Segment'!AO76)/SUM('Value Segment'!AO$82,'Mid-Market Segment'!AO$82,'Upper Mid-Market Segment'!AO$82,'Premium Segment'!AO$82)</f>
        <v>0</v>
      </c>
      <c r="AP141" s="542">
        <f>SUM('Value Segment'!AP76,'Mid-Market Segment'!AP76,'Upper Mid-Market Segment'!AP76,'Premium Segment'!AP76)/SUM('Value Segment'!AP$82,'Mid-Market Segment'!AP$82,'Upper Mid-Market Segment'!AP$82,'Premium Segment'!AP$82)</f>
        <v>0</v>
      </c>
      <c r="AQ141" s="542">
        <f>SUM('Value Segment'!AQ76,'Mid-Market Segment'!AQ76,'Upper Mid-Market Segment'!AQ76,'Premium Segment'!AQ76)/SUM('Value Segment'!AQ$82,'Mid-Market Segment'!AQ$82,'Upper Mid-Market Segment'!AQ$82,'Premium Segment'!AQ$82)</f>
        <v>0</v>
      </c>
      <c r="AR141" s="542">
        <f>SUM('Value Segment'!AR76,'Mid-Market Segment'!AR76,'Upper Mid-Market Segment'!AR76,'Premium Segment'!AR76)/SUM('Value Segment'!AR$82,'Mid-Market Segment'!AR$82,'Upper Mid-Market Segment'!AR$82,'Premium Segment'!AR$82)</f>
        <v>0</v>
      </c>
      <c r="AS141" s="542">
        <f>SUM('Value Segment'!AS76,'Mid-Market Segment'!AS76,'Upper Mid-Market Segment'!AS76,'Premium Segment'!AS76)/SUM('Value Segment'!AS$82,'Mid-Market Segment'!AS$82,'Upper Mid-Market Segment'!AS$82,'Premium Segment'!AS$82)</f>
        <v>0</v>
      </c>
      <c r="AT141" s="542">
        <f>SUM('Value Segment'!AT76,'Mid-Market Segment'!AT76,'Upper Mid-Market Segment'!AT76,'Premium Segment'!AT76)/SUM('Value Segment'!AT$82,'Mid-Market Segment'!AT$82,'Upper Mid-Market Segment'!AT$82,'Premium Segment'!AT$82)</f>
        <v>0</v>
      </c>
      <c r="AU141" s="542">
        <f>SUM('Value Segment'!AU76,'Mid-Market Segment'!AU76,'Upper Mid-Market Segment'!AU76,'Premium Segment'!AU76)/SUM('Value Segment'!AU$82,'Mid-Market Segment'!AU$82,'Upper Mid-Market Segment'!AU$82,'Premium Segment'!AU$82)</f>
        <v>0</v>
      </c>
      <c r="AV141" s="542">
        <f>SUM('Value Segment'!AV76,'Mid-Market Segment'!AV76,'Upper Mid-Market Segment'!AV76,'Premium Segment'!AV76)/SUM('Value Segment'!AV$82,'Mid-Market Segment'!AV$82,'Upper Mid-Market Segment'!AV$82,'Premium Segment'!AV$82)</f>
        <v>0</v>
      </c>
      <c r="AW141" s="542">
        <f>SUM('Value Segment'!AW76,'Mid-Market Segment'!AW76,'Upper Mid-Market Segment'!AW76,'Premium Segment'!AW76)/SUM('Value Segment'!AW$82,'Mid-Market Segment'!AW$82,'Upper Mid-Market Segment'!AW$82,'Premium Segment'!AW$82)</f>
        <v>0</v>
      </c>
      <c r="AX141" s="542">
        <f>SUM('Value Segment'!AX76,'Mid-Market Segment'!AX76,'Upper Mid-Market Segment'!AX76,'Premium Segment'!AX76)/SUM('Value Segment'!AX$82,'Mid-Market Segment'!AX$82,'Upper Mid-Market Segment'!AX$82,'Premium Segment'!AX$82)</f>
        <v>0</v>
      </c>
      <c r="AY141" s="542">
        <f>SUM('Value Segment'!AY76,'Mid-Market Segment'!AY76,'Upper Mid-Market Segment'!AY76,'Premium Segment'!AY76)/SUM('Value Segment'!AY$82,'Mid-Market Segment'!AY$82,'Upper Mid-Market Segment'!AY$82,'Premium Segment'!AY$82)</f>
        <v>0</v>
      </c>
      <c r="AZ141" s="542">
        <f>SUM('Value Segment'!AZ76,'Mid-Market Segment'!AZ76,'Upper Mid-Market Segment'!AZ76,'Premium Segment'!AZ76)/SUM('Value Segment'!AZ$82,'Mid-Market Segment'!AZ$82,'Upper Mid-Market Segment'!AZ$82,'Premium Segment'!AZ$82)</f>
        <v>0</v>
      </c>
      <c r="BA141" s="542">
        <f>SUM('Value Segment'!BA76,'Mid-Market Segment'!BA76,'Upper Mid-Market Segment'!BA76,'Premium Segment'!BA76)/SUM('Value Segment'!BA$82,'Mid-Market Segment'!BA$82,'Upper Mid-Market Segment'!BA$82,'Premium Segment'!BA$82)</f>
        <v>0</v>
      </c>
      <c r="BB141" s="542">
        <f>SUM('Value Segment'!BB76,'Mid-Market Segment'!BB76,'Upper Mid-Market Segment'!BB76,'Premium Segment'!BB76)/SUM('Value Segment'!BB$82,'Mid-Market Segment'!BB$82,'Upper Mid-Market Segment'!BB$82,'Premium Segment'!BB$82)</f>
        <v>0</v>
      </c>
      <c r="BC141" s="542">
        <f>SUM('Value Segment'!BC76,'Mid-Market Segment'!BC76,'Upper Mid-Market Segment'!BC76,'Premium Segment'!BC76)/SUM('Value Segment'!BC$82,'Mid-Market Segment'!BC$82,'Upper Mid-Market Segment'!BC$82,'Premium Segment'!BC$82)</f>
        <v>0</v>
      </c>
      <c r="BD141" s="542">
        <f>SUM('Value Segment'!BD76,'Mid-Market Segment'!BD76,'Upper Mid-Market Segment'!BD76,'Premium Segment'!BD76)/SUM('Value Segment'!BD$82,'Mid-Market Segment'!BD$82,'Upper Mid-Market Segment'!BD$82,'Premium Segment'!BD$82)</f>
        <v>0</v>
      </c>
      <c r="BE141" s="542">
        <f>SUM('Value Segment'!BE76,'Mid-Market Segment'!BE76,'Upper Mid-Market Segment'!BE76,'Premium Segment'!BE76)/SUM('Value Segment'!BE$82,'Mid-Market Segment'!BE$82,'Upper Mid-Market Segment'!BE$82,'Premium Segment'!BE$82)</f>
        <v>0</v>
      </c>
      <c r="BF141" s="542">
        <f>SUM('Value Segment'!BF76,'Mid-Market Segment'!BF76,'Upper Mid-Market Segment'!BF76,'Premium Segment'!BF76)/SUM('Value Segment'!BF$82,'Mid-Market Segment'!BF$82,'Upper Mid-Market Segment'!BF$82,'Premium Segment'!BF$82)</f>
        <v>0</v>
      </c>
      <c r="BG141" s="542">
        <f>SUM('Value Segment'!BG76,'Mid-Market Segment'!BG76,'Upper Mid-Market Segment'!BG76,'Premium Segment'!BG76)/SUM('Value Segment'!BG$82,'Mid-Market Segment'!BG$82,'Upper Mid-Market Segment'!BG$82,'Premium Segment'!BG$82)</f>
        <v>0</v>
      </c>
      <c r="BH141" s="542">
        <f>SUM('Value Segment'!BH76,'Mid-Market Segment'!BH76,'Upper Mid-Market Segment'!BH76,'Premium Segment'!BH76)/SUM('Value Segment'!BH$82,'Mid-Market Segment'!BH$82,'Upper Mid-Market Segment'!BH$82,'Premium Segment'!BH$82)</f>
        <v>0</v>
      </c>
      <c r="BI141" s="542">
        <f>SUM('Value Segment'!BI76,'Mid-Market Segment'!BI76,'Upper Mid-Market Segment'!BI76,'Premium Segment'!BI76)/SUM('Value Segment'!BI$82,'Mid-Market Segment'!BI$82,'Upper Mid-Market Segment'!BI$82,'Premium Segment'!BI$82)</f>
        <v>0</v>
      </c>
      <c r="BJ141" s="542">
        <f>SUM('Value Segment'!BJ76,'Mid-Market Segment'!BJ76,'Upper Mid-Market Segment'!BJ76,'Premium Segment'!BJ76)/SUM('Value Segment'!BJ$82,'Mid-Market Segment'!BJ$82,'Upper Mid-Market Segment'!BJ$82,'Premium Segment'!BJ$82)</f>
        <v>0</v>
      </c>
      <c r="BK141" s="542">
        <f>SUM('Value Segment'!BK76,'Mid-Market Segment'!BK76,'Upper Mid-Market Segment'!BK76,'Premium Segment'!BK76)/SUM('Value Segment'!BK$82,'Mid-Market Segment'!BK$82,'Upper Mid-Market Segment'!BK$82,'Premium Segment'!BK$82)</f>
        <v>0</v>
      </c>
      <c r="BL141" s="542">
        <f>SUM('Value Segment'!BL76,'Mid-Market Segment'!BL76,'Upper Mid-Market Segment'!BL76,'Premium Segment'!BL76)/SUM('Value Segment'!BL$82,'Mid-Market Segment'!BL$82,'Upper Mid-Market Segment'!BL$82,'Premium Segment'!BL$82)</f>
        <v>0</v>
      </c>
      <c r="BM141" s="542">
        <f>SUM('Value Segment'!BM76,'Mid-Market Segment'!BM76,'Upper Mid-Market Segment'!BM76,'Premium Segment'!BM76)/SUM('Value Segment'!BM$82,'Mid-Market Segment'!BM$82,'Upper Mid-Market Segment'!BM$82,'Premium Segment'!BM$82)</f>
        <v>0</v>
      </c>
      <c r="BN141" s="542">
        <f>SUM('Value Segment'!BN76,'Mid-Market Segment'!BN76,'Upper Mid-Market Segment'!BN76,'Premium Segment'!BN76)/SUM('Value Segment'!BN$82,'Mid-Market Segment'!BN$82,'Upper Mid-Market Segment'!BN$82,'Premium Segment'!BN$82)</f>
        <v>0</v>
      </c>
      <c r="BO141" s="542">
        <f>SUM('Value Segment'!BO76,'Mid-Market Segment'!BO76,'Upper Mid-Market Segment'!BO76,'Premium Segment'!BO76)/SUM('Value Segment'!BO$82,'Mid-Market Segment'!BO$82,'Upper Mid-Market Segment'!BO$82,'Premium Segment'!BO$82)</f>
        <v>0</v>
      </c>
      <c r="BP141" s="542">
        <f>SUM('Value Segment'!BP76,'Mid-Market Segment'!BP76,'Upper Mid-Market Segment'!BP76,'Premium Segment'!BP76)/SUM('Value Segment'!BP$82,'Mid-Market Segment'!BP$82,'Upper Mid-Market Segment'!BP$82,'Premium Segment'!BP$82)</f>
        <v>0</v>
      </c>
      <c r="BQ141" s="542">
        <f>SUM('Value Segment'!BQ76,'Mid-Market Segment'!BQ76,'Upper Mid-Market Segment'!BQ76,'Premium Segment'!BQ76)/SUM('Value Segment'!BQ$82,'Mid-Market Segment'!BQ$82,'Upper Mid-Market Segment'!BQ$82,'Premium Segment'!BQ$82)</f>
        <v>0</v>
      </c>
      <c r="BR141" s="542">
        <f>SUM('Value Segment'!BR76,'Mid-Market Segment'!BR76,'Upper Mid-Market Segment'!BR76,'Premium Segment'!BR76)/SUM('Value Segment'!BR$82,'Mid-Market Segment'!BR$82,'Upper Mid-Market Segment'!BR$82,'Premium Segment'!BR$82)</f>
        <v>0</v>
      </c>
      <c r="BS141" s="542">
        <f>SUM('Value Segment'!BS76,'Mid-Market Segment'!BS76,'Upper Mid-Market Segment'!BS76,'Premium Segment'!BS76)/SUM('Value Segment'!BS$82,'Mid-Market Segment'!BS$82,'Upper Mid-Market Segment'!BS$82,'Premium Segment'!BS$82)</f>
        <v>0</v>
      </c>
      <c r="BT141" s="542">
        <f>SUM('Value Segment'!BT76,'Mid-Market Segment'!BT76,'Upper Mid-Market Segment'!BT76,'Premium Segment'!BT76)/SUM('Value Segment'!BT$82,'Mid-Market Segment'!BT$82,'Upper Mid-Market Segment'!BT$82,'Premium Segment'!BT$82)</f>
        <v>0</v>
      </c>
      <c r="BU141" s="542">
        <f>SUM('Value Segment'!BU76,'Mid-Market Segment'!BU76,'Upper Mid-Market Segment'!BU76,'Premium Segment'!BU76)/SUM('Value Segment'!BU$82,'Mid-Market Segment'!BU$82,'Upper Mid-Market Segment'!BU$82,'Premium Segment'!BU$82)</f>
        <v>0</v>
      </c>
      <c r="BV141" s="542">
        <f>SUM('Value Segment'!BV76,'Mid-Market Segment'!BV76,'Upper Mid-Market Segment'!BV76,'Premium Segment'!BV76)/SUM('Value Segment'!BV$82,'Mid-Market Segment'!BV$82,'Upper Mid-Market Segment'!BV$82,'Premium Segment'!BV$82)</f>
        <v>0</v>
      </c>
      <c r="BW141" s="542">
        <f>SUM('Value Segment'!BW76,'Mid-Market Segment'!BW76,'Upper Mid-Market Segment'!BW76,'Premium Segment'!BW76)/SUM('Value Segment'!BW$82,'Mid-Market Segment'!BW$82,'Upper Mid-Market Segment'!BW$82,'Premium Segment'!BW$82)</f>
        <v>0</v>
      </c>
      <c r="BX141" s="542">
        <f>SUM('Value Segment'!BX76,'Mid-Market Segment'!BX76,'Upper Mid-Market Segment'!BX76,'Premium Segment'!BX76)/SUM('Value Segment'!BX$82,'Mid-Market Segment'!BX$82,'Upper Mid-Market Segment'!BX$82,'Premium Segment'!BX$82)</f>
        <v>0</v>
      </c>
      <c r="BY141" s="542">
        <f>SUM('Value Segment'!BY76,'Mid-Market Segment'!BY76,'Upper Mid-Market Segment'!BY76,'Premium Segment'!BY76)/SUM('Value Segment'!BY$82,'Mid-Market Segment'!BY$82,'Upper Mid-Market Segment'!BY$82,'Premium Segment'!BY$82)</f>
        <v>0</v>
      </c>
    </row>
    <row r="142" spans="3:80" x14ac:dyDescent="0.3">
      <c r="C142" s="2"/>
      <c r="D142" s="2"/>
      <c r="E142" s="62" t="s">
        <v>71</v>
      </c>
      <c r="F142" s="63"/>
      <c r="G142" s="63"/>
      <c r="H142" s="63"/>
      <c r="I142" s="673">
        <f>SUM('Value Segment'!I77,'Mid-Market Segment'!I77,'Upper Mid-Market Segment'!I77,'Premium Segment'!I77)/SUM('Value Segment'!I$82,'Mid-Market Segment'!I$82,'Upper Mid-Market Segment'!I$82,'Premium Segment'!I$82)</f>
        <v>71652.251190611409</v>
      </c>
      <c r="J142" s="673">
        <f>SUM('Value Segment'!J77,'Mid-Market Segment'!J77,'Upper Mid-Market Segment'!J77,'Premium Segment'!J77)/SUM('Value Segment'!J$82,'Mid-Market Segment'!J$82,'Upper Mid-Market Segment'!J$82,'Premium Segment'!J$82)</f>
        <v>77901.466114978219</v>
      </c>
      <c r="K142" s="673">
        <f>SUM('Value Segment'!K77,'Mid-Market Segment'!K77,'Upper Mid-Market Segment'!K77,'Premium Segment'!K77)/SUM('Value Segment'!K$82,'Mid-Market Segment'!K$82,'Upper Mid-Market Segment'!K$82,'Premium Segment'!K$82)</f>
        <v>83596.114266064251</v>
      </c>
      <c r="L142" s="673">
        <f>SUM('Value Segment'!L77,'Mid-Market Segment'!L77,'Upper Mid-Market Segment'!L77,'Premium Segment'!L77)/SUM('Value Segment'!L$82,'Mid-Market Segment'!L$82,'Upper Mid-Market Segment'!L$82,'Premium Segment'!L$82)</f>
        <v>89462.539898395422</v>
      </c>
      <c r="M142" s="673">
        <f>SUM('Value Segment'!M77,'Mid-Market Segment'!M77,'Upper Mid-Market Segment'!M77,'Premium Segment'!M77)/SUM('Value Segment'!M$82,'Mid-Market Segment'!M$82,'Upper Mid-Market Segment'!M$82,'Premium Segment'!M$82)</f>
        <v>95481.819739897546</v>
      </c>
      <c r="N142" s="673">
        <f>SUM('Value Segment'!N77,'Mid-Market Segment'!N77,'Upper Mid-Market Segment'!N77,'Premium Segment'!N77)/SUM('Value Segment'!N$82,'Mid-Market Segment'!N$82,'Upper Mid-Market Segment'!N$82,'Premium Segment'!N$82)</f>
        <v>101820.9479581136</v>
      </c>
      <c r="O142" s="57"/>
      <c r="P142" s="55">
        <f>IFERROR(((N142/I142)^(1/5))-1,0)</f>
        <v>7.2806655798739461E-2</v>
      </c>
      <c r="R142" s="673">
        <f>SUM('Value Segment'!R77,'Mid-Market Segment'!R77,'Upper Mid-Market Segment'!R77,'Premium Segment'!R77)/SUM('Value Segment'!R$82,'Mid-Market Segment'!R$82,'Upper Mid-Market Segment'!R$82,'Premium Segment'!R$82)</f>
        <v>6849.2076029023683</v>
      </c>
      <c r="S142" s="676">
        <f>SUM('Value Segment'!S77,'Mid-Market Segment'!S77,'Upper Mid-Market Segment'!S77,'Premium Segment'!S77)/SUM('Value Segment'!S$82,'Mid-Market Segment'!S$82,'Upper Mid-Market Segment'!S$82,'Premium Segment'!S$82)</f>
        <v>6849.2076029023683</v>
      </c>
      <c r="T142" s="676">
        <f>SUM('Value Segment'!T77,'Mid-Market Segment'!T77,'Upper Mid-Market Segment'!T77,'Premium Segment'!T77)/SUM('Value Segment'!T$82,'Mid-Market Segment'!T$82,'Upper Mid-Market Segment'!T$82,'Premium Segment'!T$82)</f>
        <v>6849.2076029023683</v>
      </c>
      <c r="U142" s="676">
        <f>SUM('Value Segment'!U77,'Mid-Market Segment'!U77,'Upper Mid-Market Segment'!U77,'Premium Segment'!U77)/SUM('Value Segment'!U$82,'Mid-Market Segment'!U$82,'Upper Mid-Market Segment'!U$82,'Premium Segment'!U$82)</f>
        <v>6849.2076029023683</v>
      </c>
      <c r="V142" s="676">
        <f>SUM('Value Segment'!V77,'Mid-Market Segment'!V77,'Upper Mid-Market Segment'!V77,'Premium Segment'!V77)/SUM('Value Segment'!V$82,'Mid-Market Segment'!V$82,'Upper Mid-Market Segment'!V$82,'Premium Segment'!V$82)</f>
        <v>6849.2076029023683</v>
      </c>
      <c r="W142" s="676">
        <f>SUM('Value Segment'!W77,'Mid-Market Segment'!W77,'Upper Mid-Market Segment'!W77,'Premium Segment'!W77)/SUM('Value Segment'!W$82,'Mid-Market Segment'!W$82,'Upper Mid-Market Segment'!W$82,'Premium Segment'!W$82)</f>
        <v>1338.9778038335123</v>
      </c>
      <c r="X142" s="676">
        <f>SUM('Value Segment'!X77,'Mid-Market Segment'!X77,'Upper Mid-Market Segment'!X77,'Premium Segment'!X77)/SUM('Value Segment'!X$82,'Mid-Market Segment'!X$82,'Upper Mid-Market Segment'!X$82,'Premium Segment'!X$82)</f>
        <v>7052.7417161054755</v>
      </c>
      <c r="Y142" s="676">
        <f>SUM('Value Segment'!Y77,'Mid-Market Segment'!Y77,'Upper Mid-Market Segment'!Y77,'Premium Segment'!Y77)/SUM('Value Segment'!Y$82,'Mid-Market Segment'!Y$82,'Upper Mid-Market Segment'!Y$82,'Premium Segment'!Y$82)</f>
        <v>7052.7417161054755</v>
      </c>
      <c r="Z142" s="676">
        <f>SUM('Value Segment'!Z77,'Mid-Market Segment'!Z77,'Upper Mid-Market Segment'!Z77,'Premium Segment'!Z77)/SUM('Value Segment'!Z$82,'Mid-Market Segment'!Z$82,'Upper Mid-Market Segment'!Z$82,'Premium Segment'!Z$82)</f>
        <v>7052.7417161054755</v>
      </c>
      <c r="AA142" s="676">
        <f>SUM('Value Segment'!AA77,'Mid-Market Segment'!AA77,'Upper Mid-Market Segment'!AA77,'Premium Segment'!AA77)/SUM('Value Segment'!AA$82,'Mid-Market Segment'!AA$82,'Upper Mid-Market Segment'!AA$82,'Premium Segment'!AA$82)</f>
        <v>7052.7417161054755</v>
      </c>
      <c r="AB142" s="676">
        <f>SUM('Value Segment'!AB77,'Mid-Market Segment'!AB77,'Upper Mid-Market Segment'!AB77,'Premium Segment'!AB77)/SUM('Value Segment'!AB$82,'Mid-Market Segment'!AB$82,'Upper Mid-Market Segment'!AB$82,'Premium Segment'!AB$82)</f>
        <v>7052.7417161054755</v>
      </c>
      <c r="AC142" s="676">
        <f>SUM('Value Segment'!AC77,'Mid-Market Segment'!AC77,'Upper Mid-Market Segment'!AC77,'Premium Segment'!AC77)/SUM('Value Segment'!AC$82,'Mid-Market Segment'!AC$82,'Upper Mid-Market Segment'!AC$82,'Premium Segment'!AC$82)</f>
        <v>7052.7417161054755</v>
      </c>
      <c r="AD142" s="676">
        <f>SUM('Value Segment'!AD77,'Mid-Market Segment'!AD77,'Upper Mid-Market Segment'!AD77,'Premium Segment'!AD77)/SUM('Value Segment'!AD$82,'Mid-Market Segment'!AD$82,'Upper Mid-Market Segment'!AD$82,'Premium Segment'!AD$82)</f>
        <v>7305.6995484255312</v>
      </c>
      <c r="AE142" s="676">
        <f>SUM('Value Segment'!AE77,'Mid-Market Segment'!AE77,'Upper Mid-Market Segment'!AE77,'Premium Segment'!AE77)/SUM('Value Segment'!AE$82,'Mid-Market Segment'!AE$82,'Upper Mid-Market Segment'!AE$82,'Premium Segment'!AE$82)</f>
        <v>7305.6995484255312</v>
      </c>
      <c r="AF142" s="676">
        <f>SUM('Value Segment'!AF77,'Mid-Market Segment'!AF77,'Upper Mid-Market Segment'!AF77,'Premium Segment'!AF77)/SUM('Value Segment'!AF$82,'Mid-Market Segment'!AF$82,'Upper Mid-Market Segment'!AF$82,'Premium Segment'!AF$82)</f>
        <v>7305.6995484255312</v>
      </c>
      <c r="AG142" s="676">
        <f>SUM('Value Segment'!AG77,'Mid-Market Segment'!AG77,'Upper Mid-Market Segment'!AG77,'Premium Segment'!AG77)/SUM('Value Segment'!AG$82,'Mid-Market Segment'!AG$82,'Upper Mid-Market Segment'!AG$82,'Premium Segment'!AG$82)</f>
        <v>7305.6995484255312</v>
      </c>
      <c r="AH142" s="676">
        <f>SUM('Value Segment'!AH77,'Mid-Market Segment'!AH77,'Upper Mid-Market Segment'!AH77,'Premium Segment'!AH77)/SUM('Value Segment'!AH$82,'Mid-Market Segment'!AH$82,'Upper Mid-Market Segment'!AH$82,'Premium Segment'!AH$82)</f>
        <v>7305.6995484255312</v>
      </c>
      <c r="AI142" s="676">
        <f>SUM('Value Segment'!AI77,'Mid-Market Segment'!AI77,'Upper Mid-Market Segment'!AI77,'Premium Segment'!AI77)/SUM('Value Segment'!AI$82,'Mid-Market Segment'!AI$82,'Upper Mid-Market Segment'!AI$82,'Premium Segment'!AI$82)</f>
        <v>1662.949823292186</v>
      </c>
      <c r="AJ142" s="676">
        <f>SUM('Value Segment'!AJ77,'Mid-Market Segment'!AJ77,'Upper Mid-Market Segment'!AJ77,'Premium Segment'!AJ77)/SUM('Value Segment'!AJ$82,'Mid-Market Segment'!AJ$82,'Upper Mid-Market Segment'!AJ$82,'Premium Segment'!AJ$82)</f>
        <v>7567.4444501074058</v>
      </c>
      <c r="AK142" s="676">
        <f>SUM('Value Segment'!AK77,'Mid-Market Segment'!AK77,'Upper Mid-Market Segment'!AK77,'Premium Segment'!AK77)/SUM('Value Segment'!AK$82,'Mid-Market Segment'!AK$82,'Upper Mid-Market Segment'!AK$82,'Premium Segment'!AK$82)</f>
        <v>7567.4444501074058</v>
      </c>
      <c r="AL142" s="676">
        <f>SUM('Value Segment'!AL77,'Mid-Market Segment'!AL77,'Upper Mid-Market Segment'!AL77,'Premium Segment'!AL77)/SUM('Value Segment'!AL$82,'Mid-Market Segment'!AL$82,'Upper Mid-Market Segment'!AL$82,'Premium Segment'!AL$82)</f>
        <v>7567.4444501074058</v>
      </c>
      <c r="AM142" s="676">
        <f>SUM('Value Segment'!AM77,'Mid-Market Segment'!AM77,'Upper Mid-Market Segment'!AM77,'Premium Segment'!AM77)/SUM('Value Segment'!AM$82,'Mid-Market Segment'!AM$82,'Upper Mid-Market Segment'!AM$82,'Premium Segment'!AM$82)</f>
        <v>7567.4444501074058</v>
      </c>
      <c r="AN142" s="676">
        <f>SUM('Value Segment'!AN77,'Mid-Market Segment'!AN77,'Upper Mid-Market Segment'!AN77,'Premium Segment'!AN77)/SUM('Value Segment'!AN$82,'Mid-Market Segment'!AN$82,'Upper Mid-Market Segment'!AN$82,'Premium Segment'!AN$82)</f>
        <v>7567.4444501074058</v>
      </c>
      <c r="AO142" s="676">
        <f>SUM('Value Segment'!AO77,'Mid-Market Segment'!AO77,'Upper Mid-Market Segment'!AO77,'Premium Segment'!AO77)/SUM('Value Segment'!AO$82,'Mid-Market Segment'!AO$82,'Upper Mid-Market Segment'!AO$82,'Premium Segment'!AO$82)</f>
        <v>7567.4444501074058</v>
      </c>
      <c r="AP142" s="676">
        <f>SUM('Value Segment'!AP77,'Mid-Market Segment'!AP77,'Upper Mid-Market Segment'!AP77,'Premium Segment'!AP77)/SUM('Value Segment'!AP$82,'Mid-Market Segment'!AP$82,'Upper Mid-Market Segment'!AP$82,'Premium Segment'!AP$82)</f>
        <v>7774.0673362528923</v>
      </c>
      <c r="AQ142" s="676">
        <f>SUM('Value Segment'!AQ77,'Mid-Market Segment'!AQ77,'Upper Mid-Market Segment'!AQ77,'Premium Segment'!AQ77)/SUM('Value Segment'!AQ$82,'Mid-Market Segment'!AQ$82,'Upper Mid-Market Segment'!AQ$82,'Premium Segment'!AQ$82)</f>
        <v>7774.0673362528923</v>
      </c>
      <c r="AR142" s="676">
        <f>SUM('Value Segment'!AR77,'Mid-Market Segment'!AR77,'Upper Mid-Market Segment'!AR77,'Premium Segment'!AR77)/SUM('Value Segment'!AR$82,'Mid-Market Segment'!AR$82,'Upper Mid-Market Segment'!AR$82,'Premium Segment'!AR$82)</f>
        <v>7774.0673362528923</v>
      </c>
      <c r="AS142" s="676">
        <f>SUM('Value Segment'!AS77,'Mid-Market Segment'!AS77,'Upper Mid-Market Segment'!AS77,'Premium Segment'!AS77)/SUM('Value Segment'!AS$82,'Mid-Market Segment'!AS$82,'Upper Mid-Market Segment'!AS$82,'Premium Segment'!AS$82)</f>
        <v>7774.0673362528923</v>
      </c>
      <c r="AT142" s="676">
        <f>SUM('Value Segment'!AT77,'Mid-Market Segment'!AT77,'Upper Mid-Market Segment'!AT77,'Premium Segment'!AT77)/SUM('Value Segment'!AT$82,'Mid-Market Segment'!AT$82,'Upper Mid-Market Segment'!AT$82,'Premium Segment'!AT$82)</f>
        <v>7774.0673362528923</v>
      </c>
      <c r="AU142" s="676">
        <f>SUM('Value Segment'!AU77,'Mid-Market Segment'!AU77,'Upper Mid-Market Segment'!AU77,'Premium Segment'!AU77)/SUM('Value Segment'!AU$82,'Mid-Market Segment'!AU$82,'Upper Mid-Market Segment'!AU$82,'Premium Segment'!AU$82)</f>
        <v>2004.6129483786958</v>
      </c>
      <c r="AV142" s="676">
        <f>SUM('Value Segment'!AV77,'Mid-Market Segment'!AV77,'Upper Mid-Market Segment'!AV77,'Premium Segment'!AV77)/SUM('Value Segment'!AV$82,'Mid-Market Segment'!AV$82,'Upper Mid-Market Segment'!AV$82,'Premium Segment'!AV$82)</f>
        <v>8097.9317114587102</v>
      </c>
      <c r="AW142" s="676">
        <f>SUM('Value Segment'!AW77,'Mid-Market Segment'!AW77,'Upper Mid-Market Segment'!AW77,'Premium Segment'!AW77)/SUM('Value Segment'!AW$82,'Mid-Market Segment'!AW$82,'Upper Mid-Market Segment'!AW$82,'Premium Segment'!AW$82)</f>
        <v>8097.9317114587102</v>
      </c>
      <c r="AX142" s="676">
        <f>SUM('Value Segment'!AX77,'Mid-Market Segment'!AX77,'Upper Mid-Market Segment'!AX77,'Premium Segment'!AX77)/SUM('Value Segment'!AX$82,'Mid-Market Segment'!AX$82,'Upper Mid-Market Segment'!AX$82,'Premium Segment'!AX$82)</f>
        <v>8097.9317114587102</v>
      </c>
      <c r="AY142" s="676">
        <f>SUM('Value Segment'!AY77,'Mid-Market Segment'!AY77,'Upper Mid-Market Segment'!AY77,'Premium Segment'!AY77)/SUM('Value Segment'!AY$82,'Mid-Market Segment'!AY$82,'Upper Mid-Market Segment'!AY$82,'Premium Segment'!AY$82)</f>
        <v>8097.9317114587102</v>
      </c>
      <c r="AZ142" s="676">
        <f>SUM('Value Segment'!AZ77,'Mid-Market Segment'!AZ77,'Upper Mid-Market Segment'!AZ77,'Premium Segment'!AZ77)/SUM('Value Segment'!AZ$82,'Mid-Market Segment'!AZ$82,'Upper Mid-Market Segment'!AZ$82,'Premium Segment'!AZ$82)</f>
        <v>8097.9317114587102</v>
      </c>
      <c r="BA142" s="676">
        <f>SUM('Value Segment'!BA77,'Mid-Market Segment'!BA77,'Upper Mid-Market Segment'!BA77,'Premium Segment'!BA77)/SUM('Value Segment'!BA$82,'Mid-Market Segment'!BA$82,'Upper Mid-Market Segment'!BA$82,'Premium Segment'!BA$82)</f>
        <v>8097.9317114587102</v>
      </c>
      <c r="BB142" s="676">
        <f>SUM('Value Segment'!BB77,'Mid-Market Segment'!BB77,'Upper Mid-Market Segment'!BB77,'Premium Segment'!BB77)/SUM('Value Segment'!BB$82,'Mid-Market Segment'!BB$82,'Upper Mid-Market Segment'!BB$82,'Premium Segment'!BB$82)</f>
        <v>8252.5605529814311</v>
      </c>
      <c r="BC142" s="676">
        <f>SUM('Value Segment'!BC77,'Mid-Market Segment'!BC77,'Upper Mid-Market Segment'!BC77,'Premium Segment'!BC77)/SUM('Value Segment'!BC$82,'Mid-Market Segment'!BC$82,'Upper Mid-Market Segment'!BC$82,'Premium Segment'!BC$82)</f>
        <v>8252.5605529814311</v>
      </c>
      <c r="BD142" s="676">
        <f>SUM('Value Segment'!BD77,'Mid-Market Segment'!BD77,'Upper Mid-Market Segment'!BD77,'Premium Segment'!BD77)/SUM('Value Segment'!BD$82,'Mid-Market Segment'!BD$82,'Upper Mid-Market Segment'!BD$82,'Premium Segment'!BD$82)</f>
        <v>8252.5605529814311</v>
      </c>
      <c r="BE142" s="676">
        <f>SUM('Value Segment'!BE77,'Mid-Market Segment'!BE77,'Upper Mid-Market Segment'!BE77,'Premium Segment'!BE77)/SUM('Value Segment'!BE$82,'Mid-Market Segment'!BE$82,'Upper Mid-Market Segment'!BE$82,'Premium Segment'!BE$82)</f>
        <v>8252.5605529814311</v>
      </c>
      <c r="BF142" s="676">
        <f>SUM('Value Segment'!BF77,'Mid-Market Segment'!BF77,'Upper Mid-Market Segment'!BF77,'Premium Segment'!BF77)/SUM('Value Segment'!BF$82,'Mid-Market Segment'!BF$82,'Upper Mid-Market Segment'!BF$82,'Premium Segment'!BF$82)</f>
        <v>8252.5605529814311</v>
      </c>
      <c r="BG142" s="676">
        <f>SUM('Value Segment'!BG77,'Mid-Market Segment'!BG77,'Upper Mid-Market Segment'!BG77,'Premium Segment'!BG77)/SUM('Value Segment'!BG$82,'Mid-Market Segment'!BG$82,'Upper Mid-Market Segment'!BG$82,'Premium Segment'!BG$82)</f>
        <v>2363.807529104377</v>
      </c>
      <c r="BH142" s="676">
        <f>SUM('Value Segment'!BH77,'Mid-Market Segment'!BH77,'Upper Mid-Market Segment'!BH77,'Premium Segment'!BH77)/SUM('Value Segment'!BH$82,'Mid-Market Segment'!BH$82,'Upper Mid-Market Segment'!BH$82,'Premium Segment'!BH$82)</f>
        <v>8642.534907647665</v>
      </c>
      <c r="BI142" s="676">
        <f>SUM('Value Segment'!BI77,'Mid-Market Segment'!BI77,'Upper Mid-Market Segment'!BI77,'Premium Segment'!BI77)/SUM('Value Segment'!BI$82,'Mid-Market Segment'!BI$82,'Upper Mid-Market Segment'!BI$82,'Premium Segment'!BI$82)</f>
        <v>8642.534907647665</v>
      </c>
      <c r="BJ142" s="676">
        <f>SUM('Value Segment'!BJ77,'Mid-Market Segment'!BJ77,'Upper Mid-Market Segment'!BJ77,'Premium Segment'!BJ77)/SUM('Value Segment'!BJ$82,'Mid-Market Segment'!BJ$82,'Upper Mid-Market Segment'!BJ$82,'Premium Segment'!BJ$82)</f>
        <v>8642.534907647665</v>
      </c>
      <c r="BK142" s="676">
        <f>SUM('Value Segment'!BK77,'Mid-Market Segment'!BK77,'Upper Mid-Market Segment'!BK77,'Premium Segment'!BK77)/SUM('Value Segment'!BK$82,'Mid-Market Segment'!BK$82,'Upper Mid-Market Segment'!BK$82,'Premium Segment'!BK$82)</f>
        <v>8642.534907647665</v>
      </c>
      <c r="BL142" s="676">
        <f>SUM('Value Segment'!BL77,'Mid-Market Segment'!BL77,'Upper Mid-Market Segment'!BL77,'Premium Segment'!BL77)/SUM('Value Segment'!BL$82,'Mid-Market Segment'!BL$82,'Upper Mid-Market Segment'!BL$82,'Premium Segment'!BL$82)</f>
        <v>8642.534907647665</v>
      </c>
      <c r="BM142" s="676">
        <f>SUM('Value Segment'!BM77,'Mid-Market Segment'!BM77,'Upper Mid-Market Segment'!BM77,'Premium Segment'!BM77)/SUM('Value Segment'!BM$82,'Mid-Market Segment'!BM$82,'Upper Mid-Market Segment'!BM$82,'Premium Segment'!BM$82)</f>
        <v>8642.534907647665</v>
      </c>
      <c r="BN142" s="676">
        <f>SUM('Value Segment'!BN77,'Mid-Market Segment'!BN77,'Upper Mid-Market Segment'!BN77,'Premium Segment'!BN77)/SUM('Value Segment'!BN$82,'Mid-Market Segment'!BN$82,'Upper Mid-Market Segment'!BN$82,'Premium Segment'!BN$82)</f>
        <v>8755.2507757078492</v>
      </c>
      <c r="BO142" s="676">
        <f>SUM('Value Segment'!BO77,'Mid-Market Segment'!BO77,'Upper Mid-Market Segment'!BO77,'Premium Segment'!BO77)/SUM('Value Segment'!BO$82,'Mid-Market Segment'!BO$82,'Upper Mid-Market Segment'!BO$82,'Premium Segment'!BO$82)</f>
        <v>8755.2507757078492</v>
      </c>
      <c r="BP142" s="676">
        <f>SUM('Value Segment'!BP77,'Mid-Market Segment'!BP77,'Upper Mid-Market Segment'!BP77,'Premium Segment'!BP77)/SUM('Value Segment'!BP$82,'Mid-Market Segment'!BP$82,'Upper Mid-Market Segment'!BP$82,'Premium Segment'!BP$82)</f>
        <v>8755.2507757078492</v>
      </c>
      <c r="BQ142" s="676">
        <f>SUM('Value Segment'!BQ77,'Mid-Market Segment'!BQ77,'Upper Mid-Market Segment'!BQ77,'Premium Segment'!BQ77)/SUM('Value Segment'!BQ$82,'Mid-Market Segment'!BQ$82,'Upper Mid-Market Segment'!BQ$82,'Premium Segment'!BQ$82)</f>
        <v>8755.2507757078492</v>
      </c>
      <c r="BR142" s="676">
        <f>SUM('Value Segment'!BR77,'Mid-Market Segment'!BR77,'Upper Mid-Market Segment'!BR77,'Premium Segment'!BR77)/SUM('Value Segment'!BR$82,'Mid-Market Segment'!BR$82,'Upper Mid-Market Segment'!BR$82,'Premium Segment'!BR$82)</f>
        <v>8755.2507757078492</v>
      </c>
      <c r="BS142" s="676">
        <f>SUM('Value Segment'!BS77,'Mid-Market Segment'!BS77,'Upper Mid-Market Segment'!BS77,'Premium Segment'!BS77)/SUM('Value Segment'!BS$82,'Mid-Market Segment'!BS$82,'Upper Mid-Market Segment'!BS$82,'Premium Segment'!BS$82)</f>
        <v>2751.5729829927918</v>
      </c>
      <c r="BT142" s="676">
        <f>SUM('Value Segment'!BT77,'Mid-Market Segment'!BT77,'Upper Mid-Market Segment'!BT77,'Premium Segment'!BT77)/SUM('Value Segment'!BT$82,'Mid-Market Segment'!BT$82,'Upper Mid-Market Segment'!BT$82,'Premium Segment'!BT$82)</f>
        <v>9215.5201827635919</v>
      </c>
      <c r="BU142" s="676">
        <f>SUM('Value Segment'!BU77,'Mid-Market Segment'!BU77,'Upper Mid-Market Segment'!BU77,'Premium Segment'!BU77)/SUM('Value Segment'!BU$82,'Mid-Market Segment'!BU$82,'Upper Mid-Market Segment'!BU$82,'Premium Segment'!BU$82)</f>
        <v>9215.5201827635919</v>
      </c>
      <c r="BV142" s="676">
        <f>SUM('Value Segment'!BV77,'Mid-Market Segment'!BV77,'Upper Mid-Market Segment'!BV77,'Premium Segment'!BV77)/SUM('Value Segment'!BV$82,'Mid-Market Segment'!BV$82,'Upper Mid-Market Segment'!BV$82,'Premium Segment'!BV$82)</f>
        <v>9215.5201827635919</v>
      </c>
      <c r="BW142" s="676">
        <f>SUM('Value Segment'!BW77,'Mid-Market Segment'!BW77,'Upper Mid-Market Segment'!BW77,'Premium Segment'!BW77)/SUM('Value Segment'!BW$82,'Mid-Market Segment'!BW$82,'Upper Mid-Market Segment'!BW$82,'Premium Segment'!BW$82)</f>
        <v>9215.5201827635919</v>
      </c>
      <c r="BX142" s="676">
        <f>SUM('Value Segment'!BX77,'Mid-Market Segment'!BX77,'Upper Mid-Market Segment'!BX77,'Premium Segment'!BX77)/SUM('Value Segment'!BX$82,'Mid-Market Segment'!BX$82,'Upper Mid-Market Segment'!BX$82,'Premium Segment'!BX$82)</f>
        <v>9215.5201827635919</v>
      </c>
      <c r="BY142" s="676">
        <f>SUM('Value Segment'!BY77,'Mid-Market Segment'!BY77,'Upper Mid-Market Segment'!BY77,'Premium Segment'!BY77)/SUM('Value Segment'!BY$82,'Mid-Market Segment'!BY$82,'Upper Mid-Market Segment'!BY$82,'Premium Segment'!BY$82)</f>
        <v>9215.5201827635919</v>
      </c>
    </row>
    <row r="144" spans="3:80" x14ac:dyDescent="0.3">
      <c r="C144" s="2"/>
      <c r="D144" s="2"/>
      <c r="E144" s="22"/>
      <c r="F144" s="68"/>
      <c r="G144" s="68"/>
      <c r="H144" s="68"/>
      <c r="I144" s="57"/>
      <c r="J144" s="57"/>
      <c r="K144" s="57"/>
      <c r="L144" s="57"/>
      <c r="M144" s="57"/>
      <c r="N144" s="57"/>
      <c r="O144" s="57"/>
      <c r="P144" s="69"/>
      <c r="R144" s="57"/>
      <c r="S144" s="57"/>
      <c r="T144" s="57"/>
      <c r="U144" s="57"/>
      <c r="V144" s="57"/>
      <c r="W144" s="57"/>
      <c r="X144" s="57"/>
      <c r="Y144" s="57"/>
      <c r="Z144" s="57"/>
      <c r="AA144" s="57"/>
      <c r="AB144" s="57"/>
      <c r="AC144" s="57"/>
      <c r="AD144" s="57"/>
      <c r="AE144" s="57"/>
      <c r="AF144" s="57"/>
      <c r="AG144" s="57"/>
      <c r="AH144" s="57"/>
      <c r="AI144" s="57"/>
      <c r="AJ144" s="57"/>
      <c r="AK144" s="57"/>
      <c r="AL144" s="57"/>
      <c r="AM144" s="57"/>
      <c r="AN144" s="57"/>
      <c r="AO144" s="57"/>
      <c r="AP144" s="57"/>
      <c r="AQ144" s="57"/>
      <c r="AR144" s="57"/>
      <c r="AS144" s="57"/>
      <c r="AT144" s="57"/>
      <c r="AU144" s="57"/>
      <c r="AV144" s="57"/>
      <c r="AW144" s="57"/>
      <c r="AX144" s="57"/>
      <c r="AY144" s="57"/>
      <c r="AZ144" s="57"/>
      <c r="BA144" s="57"/>
      <c r="BB144" s="57"/>
      <c r="BC144" s="57"/>
      <c r="BD144" s="57"/>
      <c r="BE144" s="57"/>
      <c r="BF144" s="57"/>
      <c r="BG144" s="57"/>
      <c r="BH144" s="57"/>
      <c r="BI144" s="57"/>
      <c r="BJ144" s="57"/>
      <c r="BK144" s="57"/>
      <c r="BL144" s="57"/>
      <c r="BM144" s="57"/>
      <c r="BN144" s="57"/>
      <c r="BO144" s="57"/>
      <c r="BP144" s="57"/>
      <c r="BQ144" s="57"/>
      <c r="BR144" s="57"/>
      <c r="BS144" s="57"/>
      <c r="BT144" s="57"/>
      <c r="BU144" s="57"/>
      <c r="BV144" s="57"/>
      <c r="BW144" s="57"/>
      <c r="BX144" s="57"/>
      <c r="BY144" s="57"/>
    </row>
    <row r="145" spans="3:77" x14ac:dyDescent="0.3">
      <c r="C145" s="48" t="s">
        <v>37</v>
      </c>
      <c r="D145" s="88"/>
      <c r="E145" s="49" t="s">
        <v>178</v>
      </c>
      <c r="F145" s="49"/>
      <c r="G145" s="49"/>
      <c r="H145" s="49"/>
      <c r="I145" s="49"/>
      <c r="J145" s="49"/>
      <c r="K145" s="49"/>
      <c r="L145" s="49"/>
      <c r="M145" s="49"/>
      <c r="N145" s="49"/>
      <c r="O145" s="49"/>
      <c r="P145" s="48"/>
      <c r="Q145" s="49"/>
      <c r="R145" s="49"/>
      <c r="S145" s="49"/>
      <c r="T145" s="49"/>
      <c r="U145" s="49"/>
      <c r="V145" s="49"/>
      <c r="W145" s="49"/>
      <c r="X145" s="49"/>
      <c r="Y145" s="49"/>
      <c r="Z145" s="49"/>
      <c r="AA145" s="49"/>
      <c r="AB145" s="49"/>
      <c r="AC145" s="49"/>
      <c r="AD145" s="49"/>
      <c r="AE145" s="49"/>
      <c r="AF145" s="49"/>
      <c r="AG145" s="49"/>
      <c r="AH145" s="49"/>
      <c r="AI145" s="49"/>
      <c r="AJ145" s="49"/>
      <c r="AK145" s="49"/>
      <c r="AL145" s="49"/>
      <c r="AM145" s="49"/>
      <c r="AN145" s="49"/>
      <c r="AO145" s="49"/>
      <c r="AP145" s="49"/>
      <c r="AQ145" s="49"/>
      <c r="AR145" s="49"/>
      <c r="AS145" s="49"/>
      <c r="AT145" s="49"/>
      <c r="AU145" s="49"/>
      <c r="AV145" s="49"/>
      <c r="AW145" s="49"/>
      <c r="AX145" s="49"/>
      <c r="AY145" s="49"/>
      <c r="AZ145" s="49"/>
      <c r="BA145" s="49"/>
      <c r="BB145" s="49"/>
      <c r="BC145" s="49"/>
      <c r="BD145" s="49"/>
      <c r="BE145" s="49"/>
      <c r="BF145" s="49"/>
      <c r="BG145" s="49"/>
      <c r="BH145" s="49"/>
      <c r="BI145" s="49"/>
      <c r="BJ145" s="49"/>
      <c r="BK145" s="49"/>
      <c r="BL145" s="49"/>
      <c r="BM145" s="49"/>
      <c r="BN145" s="49"/>
      <c r="BO145" s="49"/>
      <c r="BP145" s="49"/>
      <c r="BQ145" s="49"/>
      <c r="BR145" s="49"/>
      <c r="BS145" s="49"/>
      <c r="BT145" s="49"/>
      <c r="BU145" s="49"/>
      <c r="BV145" s="49"/>
      <c r="BW145" s="49"/>
      <c r="BX145" s="49"/>
      <c r="BY145" s="49"/>
    </row>
    <row r="146" spans="3:77" x14ac:dyDescent="0.3">
      <c r="C146" s="2"/>
      <c r="D146" s="2"/>
      <c r="E146" s="2" t="s">
        <v>133</v>
      </c>
      <c r="F146" s="54"/>
      <c r="G146" s="54"/>
      <c r="H146" s="54"/>
      <c r="I146" s="497">
        <f t="shared" ref="I146:N148" si="112">IFERROR(I22/I$19,0)</f>
        <v>777.50969019240597</v>
      </c>
      <c r="J146" s="497">
        <f t="shared" si="112"/>
        <v>806.66417029372349</v>
      </c>
      <c r="K146" s="497">
        <f t="shared" si="112"/>
        <v>836.09681424764267</v>
      </c>
      <c r="L146" s="497">
        <f t="shared" si="112"/>
        <v>865.57406342622323</v>
      </c>
      <c r="M146" s="497">
        <f t="shared" si="112"/>
        <v>894.9040167511879</v>
      </c>
      <c r="N146" s="497">
        <f t="shared" si="112"/>
        <v>925.24402888373913</v>
      </c>
      <c r="O146" s="37"/>
      <c r="P146" s="35"/>
      <c r="R146" s="497">
        <f t="shared" ref="R146:AW146" si="113">IFERROR(R22/R$19,0)</f>
        <v>806.66149914308698</v>
      </c>
      <c r="S146" s="527">
        <f t="shared" si="113"/>
        <v>806.66149914308698</v>
      </c>
      <c r="T146" s="527">
        <f t="shared" si="113"/>
        <v>806.66149914308698</v>
      </c>
      <c r="U146" s="527">
        <f t="shared" si="113"/>
        <v>806.66149914308698</v>
      </c>
      <c r="V146" s="527">
        <f t="shared" si="113"/>
        <v>806.66149914308698</v>
      </c>
      <c r="W146" s="527">
        <f t="shared" si="113"/>
        <v>806.66149914308698</v>
      </c>
      <c r="X146" s="527">
        <f t="shared" si="113"/>
        <v>806.66677960442689</v>
      </c>
      <c r="Y146" s="527">
        <f t="shared" si="113"/>
        <v>806.66677960442689</v>
      </c>
      <c r="Z146" s="527">
        <f t="shared" si="113"/>
        <v>806.66677960442689</v>
      </c>
      <c r="AA146" s="527">
        <f t="shared" si="113"/>
        <v>806.66677960442689</v>
      </c>
      <c r="AB146" s="527">
        <f t="shared" si="113"/>
        <v>806.66677960442689</v>
      </c>
      <c r="AC146" s="527">
        <f t="shared" si="113"/>
        <v>806.66677960442689</v>
      </c>
      <c r="AD146" s="527">
        <f t="shared" si="113"/>
        <v>836.09235592506298</v>
      </c>
      <c r="AE146" s="527">
        <f t="shared" si="113"/>
        <v>836.09235592506298</v>
      </c>
      <c r="AF146" s="527">
        <f t="shared" si="113"/>
        <v>836.09235592506298</v>
      </c>
      <c r="AG146" s="527">
        <f t="shared" si="113"/>
        <v>836.09235592506298</v>
      </c>
      <c r="AH146" s="527">
        <f t="shared" si="113"/>
        <v>836.09235592506298</v>
      </c>
      <c r="AI146" s="527">
        <f t="shared" si="113"/>
        <v>836.09235592506298</v>
      </c>
      <c r="AJ146" s="527">
        <f t="shared" si="113"/>
        <v>836.10114909759091</v>
      </c>
      <c r="AK146" s="527">
        <f t="shared" si="113"/>
        <v>836.10114909759091</v>
      </c>
      <c r="AL146" s="527">
        <f t="shared" si="113"/>
        <v>836.10114909759091</v>
      </c>
      <c r="AM146" s="527">
        <f t="shared" si="113"/>
        <v>836.10114909759091</v>
      </c>
      <c r="AN146" s="527">
        <f t="shared" si="113"/>
        <v>836.10114909759091</v>
      </c>
      <c r="AO146" s="527">
        <f t="shared" si="113"/>
        <v>836.10114909759091</v>
      </c>
      <c r="AP146" s="527">
        <f t="shared" si="113"/>
        <v>865.56778916901783</v>
      </c>
      <c r="AQ146" s="527">
        <f t="shared" si="113"/>
        <v>865.56778916901783</v>
      </c>
      <c r="AR146" s="527">
        <f t="shared" si="113"/>
        <v>865.56778916901783</v>
      </c>
      <c r="AS146" s="527">
        <f t="shared" si="113"/>
        <v>865.56778916901783</v>
      </c>
      <c r="AT146" s="527">
        <f t="shared" si="113"/>
        <v>865.56778916901783</v>
      </c>
      <c r="AU146" s="527">
        <f t="shared" si="113"/>
        <v>865.56778916901783</v>
      </c>
      <c r="AV146" s="527">
        <f t="shared" si="113"/>
        <v>865.58013702973039</v>
      </c>
      <c r="AW146" s="527">
        <f t="shared" si="113"/>
        <v>865.58013702973039</v>
      </c>
      <c r="AX146" s="527">
        <f t="shared" ref="AX146:BY146" si="114">IFERROR(AX22/AX$19,0)</f>
        <v>865.58013702973039</v>
      </c>
      <c r="AY146" s="527">
        <f t="shared" si="114"/>
        <v>865.58013702973039</v>
      </c>
      <c r="AZ146" s="527">
        <f t="shared" si="114"/>
        <v>865.58013702973039</v>
      </c>
      <c r="BA146" s="527">
        <f t="shared" si="114"/>
        <v>865.58013702973039</v>
      </c>
      <c r="BB146" s="527">
        <f t="shared" si="114"/>
        <v>894.89592371151105</v>
      </c>
      <c r="BC146" s="527">
        <f t="shared" si="114"/>
        <v>894.89592371151105</v>
      </c>
      <c r="BD146" s="527">
        <f t="shared" si="114"/>
        <v>894.89592371151105</v>
      </c>
      <c r="BE146" s="527">
        <f t="shared" si="114"/>
        <v>894.89592371151105</v>
      </c>
      <c r="BF146" s="527">
        <f t="shared" si="114"/>
        <v>894.89592371151105</v>
      </c>
      <c r="BG146" s="527">
        <f t="shared" si="114"/>
        <v>894.89592371151105</v>
      </c>
      <c r="BH146" s="527">
        <f t="shared" si="114"/>
        <v>894.91181825015769</v>
      </c>
      <c r="BI146" s="527">
        <f t="shared" si="114"/>
        <v>894.91181825015769</v>
      </c>
      <c r="BJ146" s="527">
        <f t="shared" si="114"/>
        <v>894.91181825015769</v>
      </c>
      <c r="BK146" s="527">
        <f t="shared" si="114"/>
        <v>894.91181825015769</v>
      </c>
      <c r="BL146" s="527">
        <f t="shared" si="114"/>
        <v>894.91181825015769</v>
      </c>
      <c r="BM146" s="527">
        <f t="shared" si="114"/>
        <v>894.91181825015769</v>
      </c>
      <c r="BN146" s="527">
        <f t="shared" si="114"/>
        <v>925.23413548942426</v>
      </c>
      <c r="BO146" s="527">
        <f t="shared" si="114"/>
        <v>925.23413548942426</v>
      </c>
      <c r="BP146" s="527">
        <f t="shared" si="114"/>
        <v>925.23413548942426</v>
      </c>
      <c r="BQ146" s="527">
        <f t="shared" si="114"/>
        <v>925.23413548942426</v>
      </c>
      <c r="BR146" s="527">
        <f t="shared" si="114"/>
        <v>925.23413548942426</v>
      </c>
      <c r="BS146" s="527">
        <f t="shared" si="114"/>
        <v>925.23413548942426</v>
      </c>
      <c r="BT146" s="527">
        <f t="shared" si="114"/>
        <v>925.25352857990606</v>
      </c>
      <c r="BU146" s="527">
        <f t="shared" si="114"/>
        <v>925.25352857990606</v>
      </c>
      <c r="BV146" s="527">
        <f t="shared" si="114"/>
        <v>925.25352857990606</v>
      </c>
      <c r="BW146" s="527">
        <f t="shared" si="114"/>
        <v>925.25352857990606</v>
      </c>
      <c r="BX146" s="527">
        <f t="shared" si="114"/>
        <v>925.25352857990606</v>
      </c>
      <c r="BY146" s="527">
        <f t="shared" si="114"/>
        <v>925.25352857990606</v>
      </c>
    </row>
    <row r="147" spans="3:77" x14ac:dyDescent="0.3">
      <c r="C147" s="2"/>
      <c r="D147" s="2"/>
      <c r="E147" s="2" t="s">
        <v>134</v>
      </c>
      <c r="F147" s="54"/>
      <c r="G147" s="54"/>
      <c r="H147" s="54"/>
      <c r="I147" s="497">
        <f t="shared" si="112"/>
        <v>-247.66394041879011</v>
      </c>
      <c r="J147" s="497">
        <f t="shared" si="112"/>
        <v>-250.12450139225598</v>
      </c>
      <c r="K147" s="497">
        <f t="shared" si="112"/>
        <v>-252.63756180937071</v>
      </c>
      <c r="L147" s="497">
        <f t="shared" si="112"/>
        <v>-255.20053352786908</v>
      </c>
      <c r="M147" s="497">
        <f t="shared" si="112"/>
        <v>-257.81657218006552</v>
      </c>
      <c r="N147" s="497">
        <f t="shared" si="112"/>
        <v>-260.48679954604148</v>
      </c>
      <c r="O147" s="37"/>
      <c r="P147" s="35"/>
      <c r="R147" s="497">
        <f t="shared" ref="R147:AW147" si="115">IFERROR(R23/R$19,0)</f>
        <v>-250.11721922716586</v>
      </c>
      <c r="S147" s="527">
        <f t="shared" si="115"/>
        <v>-250.11721922716586</v>
      </c>
      <c r="T147" s="527">
        <f t="shared" si="115"/>
        <v>-250.11721922716586</v>
      </c>
      <c r="U147" s="527">
        <f t="shared" si="115"/>
        <v>-250.11721922716586</v>
      </c>
      <c r="V147" s="527">
        <f t="shared" si="115"/>
        <v>-250.11721922716586</v>
      </c>
      <c r="W147" s="527">
        <f t="shared" si="115"/>
        <v>-250.11721922716586</v>
      </c>
      <c r="X147" s="527">
        <f t="shared" si="115"/>
        <v>-250.13161496760128</v>
      </c>
      <c r="Y147" s="527">
        <f t="shared" si="115"/>
        <v>-250.13161496760128</v>
      </c>
      <c r="Z147" s="527">
        <f t="shared" si="115"/>
        <v>-250.13161496760128</v>
      </c>
      <c r="AA147" s="527">
        <f t="shared" si="115"/>
        <v>-250.13161496760128</v>
      </c>
      <c r="AB147" s="527">
        <f t="shared" si="115"/>
        <v>-250.13161496760128</v>
      </c>
      <c r="AC147" s="527">
        <f t="shared" si="115"/>
        <v>-250.13161496760128</v>
      </c>
      <c r="AD147" s="527">
        <f t="shared" si="115"/>
        <v>-252.62755050071175</v>
      </c>
      <c r="AE147" s="527">
        <f t="shared" si="115"/>
        <v>-252.62755050071175</v>
      </c>
      <c r="AF147" s="527">
        <f t="shared" si="115"/>
        <v>-252.62755050071175</v>
      </c>
      <c r="AG147" s="527">
        <f t="shared" si="115"/>
        <v>-252.62755050071175</v>
      </c>
      <c r="AH147" s="527">
        <f t="shared" si="115"/>
        <v>-252.62755050071175</v>
      </c>
      <c r="AI147" s="527">
        <f t="shared" si="115"/>
        <v>-252.62755050071175</v>
      </c>
      <c r="AJ147" s="527">
        <f t="shared" si="115"/>
        <v>-252.64729585621046</v>
      </c>
      <c r="AK147" s="527">
        <f t="shared" si="115"/>
        <v>-252.64729585621046</v>
      </c>
      <c r="AL147" s="527">
        <f t="shared" si="115"/>
        <v>-252.64729585621046</v>
      </c>
      <c r="AM147" s="527">
        <f t="shared" si="115"/>
        <v>-252.64729585621046</v>
      </c>
      <c r="AN147" s="527">
        <f t="shared" si="115"/>
        <v>-252.64729585621046</v>
      </c>
      <c r="AO147" s="527">
        <f t="shared" si="115"/>
        <v>-252.64729585621046</v>
      </c>
      <c r="AP147" s="527">
        <f t="shared" si="115"/>
        <v>-255.18788692047033</v>
      </c>
      <c r="AQ147" s="527">
        <f t="shared" si="115"/>
        <v>-255.18788692047033</v>
      </c>
      <c r="AR147" s="527">
        <f t="shared" si="115"/>
        <v>-255.18788692047033</v>
      </c>
      <c r="AS147" s="527">
        <f t="shared" si="115"/>
        <v>-255.18788692047033</v>
      </c>
      <c r="AT147" s="527">
        <f t="shared" si="115"/>
        <v>-255.18788692047033</v>
      </c>
      <c r="AU147" s="527">
        <f t="shared" si="115"/>
        <v>-255.18788692047033</v>
      </c>
      <c r="AV147" s="527">
        <f t="shared" si="115"/>
        <v>-255.21277569081093</v>
      </c>
      <c r="AW147" s="527">
        <f t="shared" si="115"/>
        <v>-255.21277569081093</v>
      </c>
      <c r="AX147" s="527">
        <f t="shared" ref="AX147:BY147" si="116">IFERROR(AX23/AX$19,0)</f>
        <v>-255.21277569081093</v>
      </c>
      <c r="AY147" s="527">
        <f t="shared" si="116"/>
        <v>-255.21277569081093</v>
      </c>
      <c r="AZ147" s="527">
        <f t="shared" si="116"/>
        <v>-255.21277569081093</v>
      </c>
      <c r="BA147" s="527">
        <f t="shared" si="116"/>
        <v>-255.21277569081093</v>
      </c>
      <c r="BB147" s="527">
        <f t="shared" si="116"/>
        <v>-257.80140903433244</v>
      </c>
      <c r="BC147" s="527">
        <f t="shared" si="116"/>
        <v>-257.80140903433244</v>
      </c>
      <c r="BD147" s="527">
        <f t="shared" si="116"/>
        <v>-257.80140903433244</v>
      </c>
      <c r="BE147" s="527">
        <f t="shared" si="116"/>
        <v>-257.80140903433244</v>
      </c>
      <c r="BF147" s="527">
        <f t="shared" si="116"/>
        <v>-257.80140903433244</v>
      </c>
      <c r="BG147" s="527">
        <f t="shared" si="116"/>
        <v>-257.80140903433244</v>
      </c>
      <c r="BH147" s="527">
        <f t="shared" si="116"/>
        <v>-257.83118909417163</v>
      </c>
      <c r="BI147" s="527">
        <f t="shared" si="116"/>
        <v>-257.83118909417163</v>
      </c>
      <c r="BJ147" s="527">
        <f t="shared" si="116"/>
        <v>-257.83118909417163</v>
      </c>
      <c r="BK147" s="527">
        <f t="shared" si="116"/>
        <v>-257.83118909417163</v>
      </c>
      <c r="BL147" s="527">
        <f t="shared" si="116"/>
        <v>-257.83118909417163</v>
      </c>
      <c r="BM147" s="527">
        <f t="shared" si="116"/>
        <v>-257.83118909417163</v>
      </c>
      <c r="BN147" s="527">
        <f t="shared" si="116"/>
        <v>-260.46928001441961</v>
      </c>
      <c r="BO147" s="527">
        <f t="shared" si="116"/>
        <v>-260.46928001441961</v>
      </c>
      <c r="BP147" s="527">
        <f t="shared" si="116"/>
        <v>-260.46928001441961</v>
      </c>
      <c r="BQ147" s="527">
        <f t="shared" si="116"/>
        <v>-260.46928001441961</v>
      </c>
      <c r="BR147" s="527">
        <f t="shared" si="116"/>
        <v>-260.46928001441961</v>
      </c>
      <c r="BS147" s="527">
        <f t="shared" si="116"/>
        <v>-260.46928001441961</v>
      </c>
      <c r="BT147" s="527">
        <f t="shared" si="116"/>
        <v>-260.50362190468786</v>
      </c>
      <c r="BU147" s="527">
        <f t="shared" si="116"/>
        <v>-260.50362190468786</v>
      </c>
      <c r="BV147" s="527">
        <f t="shared" si="116"/>
        <v>-260.50362190468786</v>
      </c>
      <c r="BW147" s="527">
        <f t="shared" si="116"/>
        <v>-260.50362190468786</v>
      </c>
      <c r="BX147" s="527">
        <f t="shared" si="116"/>
        <v>-260.50362190468786</v>
      </c>
      <c r="BY147" s="527">
        <f t="shared" si="116"/>
        <v>-260.50362190468786</v>
      </c>
    </row>
    <row r="148" spans="3:77" x14ac:dyDescent="0.3">
      <c r="C148" s="2"/>
      <c r="D148" s="2"/>
      <c r="E148" s="2" t="s">
        <v>55</v>
      </c>
      <c r="F148" s="54"/>
      <c r="G148" s="54"/>
      <c r="H148" s="54"/>
      <c r="I148" s="497">
        <f t="shared" si="112"/>
        <v>-45.890147599339947</v>
      </c>
      <c r="J148" s="497">
        <f t="shared" si="112"/>
        <v>-46.811791186017913</v>
      </c>
      <c r="K148" s="497">
        <f t="shared" si="112"/>
        <v>-47.754587290237744</v>
      </c>
      <c r="L148" s="497">
        <f t="shared" si="112"/>
        <v>-48.716078706919781</v>
      </c>
      <c r="M148" s="497">
        <f t="shared" si="112"/>
        <v>-49.697233874309106</v>
      </c>
      <c r="N148" s="497">
        <f t="shared" si="112"/>
        <v>-50.698464403682401</v>
      </c>
      <c r="O148" s="37"/>
      <c r="P148" s="35"/>
      <c r="R148" s="497">
        <f t="shared" ref="R148:AW148" si="117">IFERROR(R24/R$19,0)</f>
        <v>-46.807950551326755</v>
      </c>
      <c r="S148" s="527">
        <f t="shared" si="117"/>
        <v>-46.807950551326755</v>
      </c>
      <c r="T148" s="527">
        <f t="shared" si="117"/>
        <v>-46.807950551326755</v>
      </c>
      <c r="U148" s="527">
        <f t="shared" si="117"/>
        <v>-46.807950551326755</v>
      </c>
      <c r="V148" s="527">
        <f t="shared" si="117"/>
        <v>-46.807950551326755</v>
      </c>
      <c r="W148" s="527">
        <f t="shared" si="117"/>
        <v>-46.807950551326755</v>
      </c>
      <c r="X148" s="527">
        <f t="shared" si="117"/>
        <v>-46.815542905995571</v>
      </c>
      <c r="Y148" s="527">
        <f t="shared" si="117"/>
        <v>-46.815542905995571</v>
      </c>
      <c r="Z148" s="527">
        <f t="shared" si="117"/>
        <v>-46.815542905995571</v>
      </c>
      <c r="AA148" s="527">
        <f t="shared" si="117"/>
        <v>-46.815542905995571</v>
      </c>
      <c r="AB148" s="527">
        <f t="shared" si="117"/>
        <v>-46.815542905995571</v>
      </c>
      <c r="AC148" s="527">
        <f t="shared" si="117"/>
        <v>-46.815542905995571</v>
      </c>
      <c r="AD148" s="527">
        <f t="shared" si="117"/>
        <v>-47.750058930420614</v>
      </c>
      <c r="AE148" s="527">
        <f t="shared" si="117"/>
        <v>-47.750058930420614</v>
      </c>
      <c r="AF148" s="527">
        <f t="shared" si="117"/>
        <v>-47.750058930420614</v>
      </c>
      <c r="AG148" s="527">
        <f t="shared" si="117"/>
        <v>-47.750058930420614</v>
      </c>
      <c r="AH148" s="527">
        <f t="shared" si="117"/>
        <v>-47.750058930420614</v>
      </c>
      <c r="AI148" s="527">
        <f t="shared" si="117"/>
        <v>-47.750058930420614</v>
      </c>
      <c r="AJ148" s="527">
        <f t="shared" si="117"/>
        <v>-47.758990237751192</v>
      </c>
      <c r="AK148" s="527">
        <f t="shared" si="117"/>
        <v>-47.758990237751192</v>
      </c>
      <c r="AL148" s="527">
        <f t="shared" si="117"/>
        <v>-47.758990237751192</v>
      </c>
      <c r="AM148" s="527">
        <f t="shared" si="117"/>
        <v>-47.758990237751192</v>
      </c>
      <c r="AN148" s="527">
        <f t="shared" si="117"/>
        <v>-47.758990237751192</v>
      </c>
      <c r="AO148" s="527">
        <f t="shared" si="117"/>
        <v>-47.758990237751192</v>
      </c>
      <c r="AP148" s="527">
        <f t="shared" si="117"/>
        <v>-48.710906626676469</v>
      </c>
      <c r="AQ148" s="527">
        <f t="shared" si="117"/>
        <v>-48.710906626676469</v>
      </c>
      <c r="AR148" s="527">
        <f t="shared" si="117"/>
        <v>-48.710906626676469</v>
      </c>
      <c r="AS148" s="527">
        <f t="shared" si="117"/>
        <v>-48.710906626676469</v>
      </c>
      <c r="AT148" s="527">
        <f t="shared" si="117"/>
        <v>-48.710906626676469</v>
      </c>
      <c r="AU148" s="527">
        <f t="shared" si="117"/>
        <v>-48.710906626676469</v>
      </c>
      <c r="AV148" s="527">
        <f t="shared" si="117"/>
        <v>-48.721085381602641</v>
      </c>
      <c r="AW148" s="527">
        <f t="shared" si="117"/>
        <v>-48.721085381602641</v>
      </c>
      <c r="AX148" s="527">
        <f t="shared" ref="AX148:BY148" si="118">IFERROR(AX24/AX$19,0)</f>
        <v>-48.721085381602641</v>
      </c>
      <c r="AY148" s="527">
        <f t="shared" si="118"/>
        <v>-48.721085381602641</v>
      </c>
      <c r="AZ148" s="527">
        <f t="shared" si="118"/>
        <v>-48.721085381602641</v>
      </c>
      <c r="BA148" s="527">
        <f t="shared" si="118"/>
        <v>-48.721085381602641</v>
      </c>
      <c r="BB148" s="527">
        <f t="shared" si="118"/>
        <v>-49.691469168679923</v>
      </c>
      <c r="BC148" s="527">
        <f t="shared" si="118"/>
        <v>-49.691469168679923</v>
      </c>
      <c r="BD148" s="527">
        <f t="shared" si="118"/>
        <v>-49.691469168679923</v>
      </c>
      <c r="BE148" s="527">
        <f t="shared" si="118"/>
        <v>-49.691469168679923</v>
      </c>
      <c r="BF148" s="527">
        <f t="shared" si="118"/>
        <v>-49.691469168679923</v>
      </c>
      <c r="BG148" s="527">
        <f t="shared" si="118"/>
        <v>-49.691469168679923</v>
      </c>
      <c r="BH148" s="527">
        <f t="shared" si="118"/>
        <v>-49.702790914286972</v>
      </c>
      <c r="BI148" s="527">
        <f t="shared" si="118"/>
        <v>-49.702790914286972</v>
      </c>
      <c r="BJ148" s="527">
        <f t="shared" si="118"/>
        <v>-49.702790914286972</v>
      </c>
      <c r="BK148" s="527">
        <f t="shared" si="118"/>
        <v>-49.702790914286972</v>
      </c>
      <c r="BL148" s="527">
        <f t="shared" si="118"/>
        <v>-49.702790914286972</v>
      </c>
      <c r="BM148" s="527">
        <f t="shared" si="118"/>
        <v>-49.702790914286972</v>
      </c>
      <c r="BN148" s="527">
        <f t="shared" si="118"/>
        <v>-50.692170242551192</v>
      </c>
      <c r="BO148" s="527">
        <f t="shared" si="118"/>
        <v>-50.692170242551192</v>
      </c>
      <c r="BP148" s="527">
        <f t="shared" si="118"/>
        <v>-50.692170242551192</v>
      </c>
      <c r="BQ148" s="527">
        <f t="shared" si="118"/>
        <v>-50.692170242551192</v>
      </c>
      <c r="BR148" s="527">
        <f t="shared" si="118"/>
        <v>-50.692170242551192</v>
      </c>
      <c r="BS148" s="527">
        <f t="shared" si="118"/>
        <v>-50.692170242551192</v>
      </c>
      <c r="BT148" s="527">
        <f t="shared" si="118"/>
        <v>-50.704508094701744</v>
      </c>
      <c r="BU148" s="527">
        <f t="shared" si="118"/>
        <v>-50.704508094701744</v>
      </c>
      <c r="BV148" s="527">
        <f t="shared" si="118"/>
        <v>-50.704508094701744</v>
      </c>
      <c r="BW148" s="527">
        <f t="shared" si="118"/>
        <v>-50.704508094701744</v>
      </c>
      <c r="BX148" s="527">
        <f t="shared" si="118"/>
        <v>-50.704508094701744</v>
      </c>
      <c r="BY148" s="527">
        <f t="shared" si="118"/>
        <v>-50.704508094701744</v>
      </c>
    </row>
    <row r="149" spans="3:77" x14ac:dyDescent="0.3">
      <c r="C149" s="2"/>
      <c r="D149" s="2"/>
      <c r="E149" s="2" t="s">
        <v>56</v>
      </c>
      <c r="F149" s="54"/>
      <c r="G149" s="54"/>
      <c r="H149" s="54"/>
      <c r="I149" s="497">
        <f t="shared" ref="I149:N149" si="119">IFERROR(I26/I$19,0)</f>
        <v>-157.25279381282689</v>
      </c>
      <c r="J149" s="497">
        <f t="shared" si="119"/>
        <v>-164.25359094533104</v>
      </c>
      <c r="K149" s="497">
        <f t="shared" si="119"/>
        <v>-171.30547319368631</v>
      </c>
      <c r="L149" s="497">
        <f t="shared" si="119"/>
        <v>-178.36678435400367</v>
      </c>
      <c r="M149" s="497">
        <f t="shared" si="119"/>
        <v>-185.38497792365723</v>
      </c>
      <c r="N149" s="497">
        <f t="shared" si="119"/>
        <v>-192.63818687947222</v>
      </c>
      <c r="O149" s="37"/>
      <c r="P149" s="35"/>
      <c r="R149" s="497">
        <f t="shared" ref="R149:AW149" si="120">IFERROR(R26/R$19,0)</f>
        <v>-164.27828856194031</v>
      </c>
      <c r="S149" s="527">
        <f t="shared" si="120"/>
        <v>-164.27828856194031</v>
      </c>
      <c r="T149" s="527">
        <f t="shared" si="120"/>
        <v>-164.27828856194031</v>
      </c>
      <c r="U149" s="527">
        <f t="shared" si="120"/>
        <v>-164.27828856194031</v>
      </c>
      <c r="V149" s="527">
        <f t="shared" si="120"/>
        <v>-164.27828856194031</v>
      </c>
      <c r="W149" s="527">
        <f t="shared" si="120"/>
        <v>-164.27828856194031</v>
      </c>
      <c r="X149" s="527">
        <f t="shared" si="120"/>
        <v>-164.22946510439999</v>
      </c>
      <c r="Y149" s="527">
        <f t="shared" si="120"/>
        <v>-164.22946510439999</v>
      </c>
      <c r="Z149" s="527">
        <f t="shared" si="120"/>
        <v>-164.22946510439999</v>
      </c>
      <c r="AA149" s="527">
        <f t="shared" si="120"/>
        <v>-164.22946510439999</v>
      </c>
      <c r="AB149" s="527">
        <f t="shared" si="120"/>
        <v>-164.22946510439999</v>
      </c>
      <c r="AC149" s="527">
        <f t="shared" si="120"/>
        <v>-164.22946510439999</v>
      </c>
      <c r="AD149" s="527">
        <f t="shared" si="120"/>
        <v>-171.33807928552079</v>
      </c>
      <c r="AE149" s="527">
        <f t="shared" si="120"/>
        <v>-171.33807928552079</v>
      </c>
      <c r="AF149" s="527">
        <f t="shared" si="120"/>
        <v>-171.33807928552079</v>
      </c>
      <c r="AG149" s="527">
        <f t="shared" si="120"/>
        <v>-171.33807928552079</v>
      </c>
      <c r="AH149" s="527">
        <f t="shared" si="120"/>
        <v>-171.33807928552079</v>
      </c>
      <c r="AI149" s="527">
        <f t="shared" si="120"/>
        <v>-171.33807928552079</v>
      </c>
      <c r="AJ149" s="527">
        <f t="shared" si="120"/>
        <v>-171.27377012309066</v>
      </c>
      <c r="AK149" s="527">
        <f t="shared" si="120"/>
        <v>-171.27377012309066</v>
      </c>
      <c r="AL149" s="527">
        <f t="shared" si="120"/>
        <v>-171.27377012309066</v>
      </c>
      <c r="AM149" s="527">
        <f t="shared" si="120"/>
        <v>-171.27377012309066</v>
      </c>
      <c r="AN149" s="527">
        <f t="shared" si="120"/>
        <v>-171.27377012309066</v>
      </c>
      <c r="AO149" s="527">
        <f t="shared" si="120"/>
        <v>-171.27377012309066</v>
      </c>
      <c r="AP149" s="527">
        <f t="shared" si="120"/>
        <v>-178.4072626369977</v>
      </c>
      <c r="AQ149" s="527">
        <f t="shared" si="120"/>
        <v>-178.4072626369977</v>
      </c>
      <c r="AR149" s="527">
        <f t="shared" si="120"/>
        <v>-178.4072626369977</v>
      </c>
      <c r="AS149" s="527">
        <f t="shared" si="120"/>
        <v>-178.4072626369977</v>
      </c>
      <c r="AT149" s="527">
        <f t="shared" si="120"/>
        <v>-178.4072626369977</v>
      </c>
      <c r="AU149" s="527">
        <f t="shared" si="120"/>
        <v>-178.4072626369977</v>
      </c>
      <c r="AV149" s="527">
        <f t="shared" si="120"/>
        <v>-178.32760058555144</v>
      </c>
      <c r="AW149" s="527">
        <f t="shared" si="120"/>
        <v>-178.32760058555144</v>
      </c>
      <c r="AX149" s="527">
        <f t="shared" ref="AX149:BY149" si="121">IFERROR(AX26/AX$19,0)</f>
        <v>-178.32760058555144</v>
      </c>
      <c r="AY149" s="527">
        <f t="shared" si="121"/>
        <v>-178.32760058555144</v>
      </c>
      <c r="AZ149" s="527">
        <f t="shared" si="121"/>
        <v>-178.32760058555144</v>
      </c>
      <c r="BA149" s="527">
        <f t="shared" si="121"/>
        <v>-178.32760058555144</v>
      </c>
      <c r="BB149" s="527">
        <f t="shared" si="121"/>
        <v>-185.43316490676747</v>
      </c>
      <c r="BC149" s="527">
        <f t="shared" si="121"/>
        <v>-185.43316490676747</v>
      </c>
      <c r="BD149" s="527">
        <f t="shared" si="121"/>
        <v>-185.43316490676747</v>
      </c>
      <c r="BE149" s="527">
        <f t="shared" si="121"/>
        <v>-185.43316490676747</v>
      </c>
      <c r="BF149" s="527">
        <f t="shared" si="121"/>
        <v>-185.43316490676747</v>
      </c>
      <c r="BG149" s="527">
        <f t="shared" si="121"/>
        <v>-185.43316490676747</v>
      </c>
      <c r="BH149" s="527">
        <f t="shared" si="121"/>
        <v>-185.33852681083692</v>
      </c>
      <c r="BI149" s="527">
        <f t="shared" si="121"/>
        <v>-185.33852681083692</v>
      </c>
      <c r="BJ149" s="527">
        <f t="shared" si="121"/>
        <v>-185.33852681083692</v>
      </c>
      <c r="BK149" s="527">
        <f t="shared" si="121"/>
        <v>-185.33852681083692</v>
      </c>
      <c r="BL149" s="527">
        <f t="shared" si="121"/>
        <v>-185.33852681083692</v>
      </c>
      <c r="BM149" s="527">
        <f t="shared" si="121"/>
        <v>-185.33852681083692</v>
      </c>
      <c r="BN149" s="527">
        <f t="shared" si="121"/>
        <v>-192.69382923197151</v>
      </c>
      <c r="BO149" s="527">
        <f t="shared" si="121"/>
        <v>-192.69382923197151</v>
      </c>
      <c r="BP149" s="527">
        <f t="shared" si="121"/>
        <v>-192.69382923197151</v>
      </c>
      <c r="BQ149" s="527">
        <f t="shared" si="121"/>
        <v>-192.69382923197151</v>
      </c>
      <c r="BR149" s="527">
        <f t="shared" si="121"/>
        <v>-192.69382923197151</v>
      </c>
      <c r="BS149" s="527">
        <f t="shared" si="121"/>
        <v>-192.69382923197151</v>
      </c>
      <c r="BT149" s="527">
        <f t="shared" si="121"/>
        <v>-192.58475876108051</v>
      </c>
      <c r="BU149" s="527">
        <f t="shared" si="121"/>
        <v>-192.58475876108051</v>
      </c>
      <c r="BV149" s="527">
        <f t="shared" si="121"/>
        <v>-192.58475876108051</v>
      </c>
      <c r="BW149" s="527">
        <f t="shared" si="121"/>
        <v>-192.58475876108051</v>
      </c>
      <c r="BX149" s="527">
        <f t="shared" si="121"/>
        <v>-192.58475876108051</v>
      </c>
      <c r="BY149" s="527">
        <f t="shared" si="121"/>
        <v>-192.58475876108051</v>
      </c>
    </row>
    <row r="150" spans="3:77" x14ac:dyDescent="0.3">
      <c r="C150" s="2"/>
      <c r="D150" s="2"/>
      <c r="E150" s="22"/>
      <c r="F150" s="68"/>
      <c r="G150" s="68"/>
      <c r="H150" s="68"/>
      <c r="I150" s="57"/>
      <c r="J150" s="57"/>
      <c r="K150" s="57"/>
      <c r="L150" s="57"/>
      <c r="M150" s="57"/>
      <c r="N150" s="57"/>
      <c r="O150" s="57"/>
      <c r="P150" s="69"/>
      <c r="R150" s="57"/>
      <c r="S150" s="57"/>
      <c r="T150" s="57"/>
      <c r="U150" s="57"/>
      <c r="V150" s="57"/>
      <c r="W150" s="57"/>
      <c r="X150" s="57"/>
      <c r="Y150" s="57"/>
      <c r="Z150" s="57"/>
      <c r="AA150" s="57"/>
      <c r="AB150" s="57"/>
      <c r="AC150" s="57"/>
      <c r="AD150" s="57"/>
      <c r="AE150" s="57"/>
      <c r="AF150" s="57"/>
      <c r="AG150" s="57"/>
      <c r="AH150" s="57"/>
      <c r="AI150" s="57"/>
      <c r="AJ150" s="57"/>
      <c r="AK150" s="57"/>
      <c r="AL150" s="57"/>
      <c r="AM150" s="57"/>
      <c r="AN150" s="57"/>
      <c r="AO150" s="57"/>
      <c r="AP150" s="57"/>
      <c r="AQ150" s="57"/>
      <c r="AR150" s="57"/>
      <c r="AS150" s="57"/>
      <c r="AT150" s="57"/>
      <c r="AU150" s="57"/>
      <c r="AV150" s="57"/>
      <c r="AW150" s="57"/>
      <c r="AX150" s="57"/>
      <c r="AY150" s="57"/>
      <c r="AZ150" s="57"/>
      <c r="BA150" s="57"/>
      <c r="BB150" s="57"/>
      <c r="BC150" s="57"/>
      <c r="BD150" s="57"/>
      <c r="BE150" s="57"/>
      <c r="BF150" s="57"/>
      <c r="BG150" s="57"/>
      <c r="BH150" s="57"/>
      <c r="BI150" s="57"/>
      <c r="BJ150" s="57"/>
      <c r="BK150" s="57"/>
      <c r="BL150" s="57"/>
      <c r="BM150" s="57"/>
      <c r="BN150" s="57"/>
      <c r="BO150" s="57"/>
      <c r="BP150" s="57"/>
      <c r="BQ150" s="57"/>
      <c r="BR150" s="57"/>
      <c r="BS150" s="57"/>
      <c r="BT150" s="57"/>
      <c r="BU150" s="57"/>
      <c r="BV150" s="57"/>
      <c r="BW150" s="57"/>
      <c r="BX150" s="57"/>
      <c r="BY150" s="57"/>
    </row>
    <row r="151" spans="3:77" x14ac:dyDescent="0.3">
      <c r="C151" s="48" t="s">
        <v>37</v>
      </c>
      <c r="D151" s="88"/>
      <c r="E151" s="49" t="s">
        <v>196</v>
      </c>
      <c r="F151" s="49"/>
      <c r="G151" s="49"/>
      <c r="H151" s="49"/>
      <c r="I151" s="49"/>
      <c r="J151" s="49"/>
      <c r="K151" s="49"/>
      <c r="L151" s="49"/>
      <c r="M151" s="49"/>
      <c r="N151" s="49"/>
      <c r="O151" s="49"/>
      <c r="P151" s="48"/>
      <c r="Q151" s="49"/>
      <c r="R151" s="49"/>
      <c r="S151" s="49"/>
      <c r="T151" s="49"/>
      <c r="U151" s="49"/>
      <c r="V151" s="49"/>
      <c r="W151" s="49"/>
      <c r="X151" s="49"/>
      <c r="Y151" s="49"/>
      <c r="Z151" s="49"/>
      <c r="AA151" s="49"/>
      <c r="AB151" s="49"/>
      <c r="AC151" s="49"/>
      <c r="AD151" s="49"/>
      <c r="AE151" s="49"/>
      <c r="AF151" s="49"/>
      <c r="AG151" s="49"/>
      <c r="AH151" s="49"/>
      <c r="AI151" s="49"/>
      <c r="AJ151" s="49"/>
      <c r="AK151" s="49"/>
      <c r="AL151" s="49"/>
      <c r="AM151" s="49"/>
      <c r="AN151" s="49"/>
      <c r="AO151" s="49"/>
      <c r="AP151" s="49"/>
      <c r="AQ151" s="49"/>
      <c r="AR151" s="49"/>
      <c r="AS151" s="49"/>
      <c r="AT151" s="49"/>
      <c r="AU151" s="49"/>
      <c r="AV151" s="49"/>
      <c r="AW151" s="49"/>
      <c r="AX151" s="49"/>
      <c r="AY151" s="49"/>
      <c r="AZ151" s="49"/>
      <c r="BA151" s="49"/>
      <c r="BB151" s="49"/>
      <c r="BC151" s="49"/>
      <c r="BD151" s="49"/>
      <c r="BE151" s="49"/>
      <c r="BF151" s="49"/>
      <c r="BG151" s="49"/>
      <c r="BH151" s="49"/>
      <c r="BI151" s="49"/>
      <c r="BJ151" s="49"/>
      <c r="BK151" s="49"/>
      <c r="BL151" s="49"/>
      <c r="BM151" s="49"/>
      <c r="BN151" s="49"/>
      <c r="BO151" s="49"/>
      <c r="BP151" s="49"/>
      <c r="BQ151" s="49"/>
      <c r="BR151" s="49"/>
      <c r="BS151" s="49"/>
      <c r="BT151" s="49"/>
      <c r="BU151" s="49"/>
      <c r="BV151" s="49"/>
      <c r="BW151" s="49"/>
      <c r="BX151" s="49"/>
      <c r="BY151" s="49"/>
    </row>
    <row r="153" spans="3:77" x14ac:dyDescent="0.3">
      <c r="E153" s="3" t="s">
        <v>123</v>
      </c>
      <c r="I153" s="19">
        <f>'Detailed Assumptions'!$E$110</f>
        <v>30000</v>
      </c>
      <c r="J153" s="19">
        <f>I153*(1+'Detailed Assumptions'!F$50)</f>
        <v>30740.293150684931</v>
      </c>
      <c r="K153" s="19">
        <f>J153*(1+'Detailed Assumptions'!G$50)</f>
        <v>31452.64259596472</v>
      </c>
      <c r="L153" s="19">
        <f>K153*(1+'Detailed Assumptions'!H$50)</f>
        <v>32127.271619579918</v>
      </c>
      <c r="M153" s="19">
        <f>L153*(1+'Detailed Assumptions'!I$50)</f>
        <v>32756.922133362565</v>
      </c>
      <c r="N153" s="19">
        <f>M153*(1+'Detailed Assumptions'!J$50)</f>
        <v>33392.415397249009</v>
      </c>
      <c r="O153" s="37"/>
      <c r="P153" s="37"/>
      <c r="Q153" s="37"/>
      <c r="R153" s="497">
        <f t="shared" ref="R153:BY153" si="122">(INDEX($I153:$N153,MATCH(R$2,$I$3:$N$3,0)))/12</f>
        <v>2561.6910958904109</v>
      </c>
      <c r="S153" s="527">
        <f t="shared" si="122"/>
        <v>2561.6910958904109</v>
      </c>
      <c r="T153" s="527">
        <f t="shared" si="122"/>
        <v>2561.6910958904109</v>
      </c>
      <c r="U153" s="527">
        <f t="shared" si="122"/>
        <v>2561.6910958904109</v>
      </c>
      <c r="V153" s="527">
        <f t="shared" si="122"/>
        <v>2561.6910958904109</v>
      </c>
      <c r="W153" s="527">
        <f t="shared" si="122"/>
        <v>2561.6910958904109</v>
      </c>
      <c r="X153" s="527">
        <f t="shared" si="122"/>
        <v>2561.6910958904109</v>
      </c>
      <c r="Y153" s="527">
        <f t="shared" si="122"/>
        <v>2561.6910958904109</v>
      </c>
      <c r="Z153" s="527">
        <f t="shared" si="122"/>
        <v>2561.6910958904109</v>
      </c>
      <c r="AA153" s="527">
        <f t="shared" si="122"/>
        <v>2561.6910958904109</v>
      </c>
      <c r="AB153" s="527">
        <f t="shared" si="122"/>
        <v>2561.6910958904109</v>
      </c>
      <c r="AC153" s="527">
        <f t="shared" si="122"/>
        <v>2561.6910958904109</v>
      </c>
      <c r="AD153" s="527">
        <f t="shared" si="122"/>
        <v>2621.0535496637267</v>
      </c>
      <c r="AE153" s="527">
        <f t="shared" si="122"/>
        <v>2621.0535496637267</v>
      </c>
      <c r="AF153" s="527">
        <f t="shared" si="122"/>
        <v>2621.0535496637267</v>
      </c>
      <c r="AG153" s="527">
        <f t="shared" si="122"/>
        <v>2621.0535496637267</v>
      </c>
      <c r="AH153" s="527">
        <f t="shared" si="122"/>
        <v>2621.0535496637267</v>
      </c>
      <c r="AI153" s="527">
        <f t="shared" si="122"/>
        <v>2621.0535496637267</v>
      </c>
      <c r="AJ153" s="527">
        <f t="shared" si="122"/>
        <v>2621.0535496637267</v>
      </c>
      <c r="AK153" s="527">
        <f t="shared" si="122"/>
        <v>2621.0535496637267</v>
      </c>
      <c r="AL153" s="527">
        <f t="shared" si="122"/>
        <v>2621.0535496637267</v>
      </c>
      <c r="AM153" s="527">
        <f t="shared" si="122"/>
        <v>2621.0535496637267</v>
      </c>
      <c r="AN153" s="527">
        <f t="shared" si="122"/>
        <v>2621.0535496637267</v>
      </c>
      <c r="AO153" s="527">
        <f t="shared" si="122"/>
        <v>2621.0535496637267</v>
      </c>
      <c r="AP153" s="527">
        <f t="shared" si="122"/>
        <v>2677.2726349649934</v>
      </c>
      <c r="AQ153" s="527">
        <f t="shared" si="122"/>
        <v>2677.2726349649934</v>
      </c>
      <c r="AR153" s="527">
        <f t="shared" si="122"/>
        <v>2677.2726349649934</v>
      </c>
      <c r="AS153" s="527">
        <f t="shared" si="122"/>
        <v>2677.2726349649934</v>
      </c>
      <c r="AT153" s="527">
        <f t="shared" si="122"/>
        <v>2677.2726349649934</v>
      </c>
      <c r="AU153" s="527">
        <f t="shared" si="122"/>
        <v>2677.2726349649934</v>
      </c>
      <c r="AV153" s="527">
        <f t="shared" si="122"/>
        <v>2677.2726349649934</v>
      </c>
      <c r="AW153" s="527">
        <f t="shared" si="122"/>
        <v>2677.2726349649934</v>
      </c>
      <c r="AX153" s="527">
        <f t="shared" si="122"/>
        <v>2677.2726349649934</v>
      </c>
      <c r="AY153" s="527">
        <f t="shared" si="122"/>
        <v>2677.2726349649934</v>
      </c>
      <c r="AZ153" s="527">
        <f t="shared" si="122"/>
        <v>2677.2726349649934</v>
      </c>
      <c r="BA153" s="527">
        <f t="shared" si="122"/>
        <v>2677.2726349649934</v>
      </c>
      <c r="BB153" s="527">
        <f t="shared" si="122"/>
        <v>2729.7435111135469</v>
      </c>
      <c r="BC153" s="527">
        <f t="shared" si="122"/>
        <v>2729.7435111135469</v>
      </c>
      <c r="BD153" s="527">
        <f t="shared" si="122"/>
        <v>2729.7435111135469</v>
      </c>
      <c r="BE153" s="527">
        <f t="shared" si="122"/>
        <v>2729.7435111135469</v>
      </c>
      <c r="BF153" s="527">
        <f t="shared" si="122"/>
        <v>2729.7435111135469</v>
      </c>
      <c r="BG153" s="527">
        <f t="shared" si="122"/>
        <v>2729.7435111135469</v>
      </c>
      <c r="BH153" s="527">
        <f t="shared" si="122"/>
        <v>2729.7435111135469</v>
      </c>
      <c r="BI153" s="527">
        <f t="shared" si="122"/>
        <v>2729.7435111135469</v>
      </c>
      <c r="BJ153" s="527">
        <f t="shared" si="122"/>
        <v>2729.7435111135469</v>
      </c>
      <c r="BK153" s="527">
        <f t="shared" si="122"/>
        <v>2729.7435111135469</v>
      </c>
      <c r="BL153" s="527">
        <f t="shared" si="122"/>
        <v>2729.7435111135469</v>
      </c>
      <c r="BM153" s="527">
        <f t="shared" si="122"/>
        <v>2729.7435111135469</v>
      </c>
      <c r="BN153" s="527">
        <f t="shared" si="122"/>
        <v>2782.7012831040843</v>
      </c>
      <c r="BO153" s="527">
        <f t="shared" si="122"/>
        <v>2782.7012831040843</v>
      </c>
      <c r="BP153" s="527">
        <f t="shared" si="122"/>
        <v>2782.7012831040843</v>
      </c>
      <c r="BQ153" s="527">
        <f t="shared" si="122"/>
        <v>2782.7012831040843</v>
      </c>
      <c r="BR153" s="527">
        <f t="shared" si="122"/>
        <v>2782.7012831040843</v>
      </c>
      <c r="BS153" s="527">
        <f t="shared" si="122"/>
        <v>2782.7012831040843</v>
      </c>
      <c r="BT153" s="527">
        <f t="shared" si="122"/>
        <v>2782.7012831040843</v>
      </c>
      <c r="BU153" s="527">
        <f t="shared" si="122"/>
        <v>2782.7012831040843</v>
      </c>
      <c r="BV153" s="527">
        <f t="shared" si="122"/>
        <v>2782.7012831040843</v>
      </c>
      <c r="BW153" s="527">
        <f t="shared" si="122"/>
        <v>2782.7012831040843</v>
      </c>
      <c r="BX153" s="527">
        <f t="shared" si="122"/>
        <v>2782.7012831040843</v>
      </c>
      <c r="BY153" s="527">
        <f t="shared" si="122"/>
        <v>2782.7012831040843</v>
      </c>
    </row>
    <row r="481" spans="2:2" x14ac:dyDescent="0.3">
      <c r="B481" s="7"/>
    </row>
    <row r="482" spans="2:2" x14ac:dyDescent="0.3">
      <c r="B482" s="7"/>
    </row>
    <row r="483" spans="2:2" x14ac:dyDescent="0.3">
      <c r="B483" s="7"/>
    </row>
    <row r="484" spans="2:2" x14ac:dyDescent="0.3">
      <c r="B484" s="7"/>
    </row>
    <row r="485" spans="2:2" x14ac:dyDescent="0.3">
      <c r="B485" s="7"/>
    </row>
    <row r="486" spans="2:2" x14ac:dyDescent="0.3">
      <c r="B486" s="7"/>
    </row>
    <row r="487" spans="2:2" x14ac:dyDescent="0.3">
      <c r="B487" s="7"/>
    </row>
    <row r="542" spans="2:2" x14ac:dyDescent="0.3">
      <c r="B542" s="7"/>
    </row>
    <row r="543" spans="2:2" x14ac:dyDescent="0.3">
      <c r="B543" s="7"/>
    </row>
    <row r="544" spans="2:2" x14ac:dyDescent="0.3">
      <c r="B544" s="7"/>
    </row>
    <row r="545" spans="2:2" x14ac:dyDescent="0.3">
      <c r="B545" s="7"/>
    </row>
    <row r="546" spans="2:2" x14ac:dyDescent="0.3">
      <c r="B546" s="7"/>
    </row>
    <row r="547" spans="2:2" x14ac:dyDescent="0.3">
      <c r="B547" s="7"/>
    </row>
    <row r="548" spans="2:2" x14ac:dyDescent="0.3">
      <c r="B548" s="7"/>
    </row>
    <row r="549" spans="2:2" x14ac:dyDescent="0.3">
      <c r="B549" s="7"/>
    </row>
    <row r="550" spans="2:2" x14ac:dyDescent="0.3">
      <c r="B550" s="7"/>
    </row>
    <row r="551" spans="2:2" x14ac:dyDescent="0.3">
      <c r="B551" s="7"/>
    </row>
    <row r="552" spans="2:2" x14ac:dyDescent="0.3">
      <c r="B552" s="7"/>
    </row>
    <row r="553" spans="2:2" x14ac:dyDescent="0.3">
      <c r="B553" s="7"/>
    </row>
    <row r="554" spans="2:2" x14ac:dyDescent="0.3">
      <c r="B554" s="7"/>
    </row>
    <row r="555" spans="2:2" x14ac:dyDescent="0.3">
      <c r="B555" s="7"/>
    </row>
    <row r="556" spans="2:2" x14ac:dyDescent="0.3">
      <c r="B556" s="7"/>
    </row>
    <row r="557" spans="2:2" x14ac:dyDescent="0.3">
      <c r="B557" s="7"/>
    </row>
    <row r="558" spans="2:2" x14ac:dyDescent="0.3">
      <c r="B558" s="7"/>
    </row>
    <row r="559" spans="2:2" x14ac:dyDescent="0.3">
      <c r="B559" s="7"/>
    </row>
    <row r="560" spans="2:2" x14ac:dyDescent="0.3">
      <c r="B560" s="7"/>
    </row>
    <row r="561" spans="2:2" x14ac:dyDescent="0.3">
      <c r="B561" s="7"/>
    </row>
    <row r="562" spans="2:2" x14ac:dyDescent="0.3">
      <c r="B562" s="7"/>
    </row>
    <row r="563" spans="2:2" x14ac:dyDescent="0.3">
      <c r="B563" s="7"/>
    </row>
    <row r="564" spans="2:2" x14ac:dyDescent="0.3">
      <c r="B564" s="7"/>
    </row>
    <row r="565" spans="2:2" x14ac:dyDescent="0.3">
      <c r="B565" s="7"/>
    </row>
    <row r="566" spans="2:2" x14ac:dyDescent="0.3">
      <c r="B566" s="7"/>
    </row>
    <row r="567" spans="2:2" x14ac:dyDescent="0.3">
      <c r="B567" s="7"/>
    </row>
    <row r="568" spans="2:2" x14ac:dyDescent="0.3">
      <c r="B568" s="7"/>
    </row>
    <row r="569" spans="2:2" x14ac:dyDescent="0.3">
      <c r="B569" s="7"/>
    </row>
    <row r="570" spans="2:2" x14ac:dyDescent="0.3">
      <c r="B570" s="7"/>
    </row>
    <row r="571" spans="2:2" x14ac:dyDescent="0.3">
      <c r="B571" s="7"/>
    </row>
    <row r="572" spans="2:2" x14ac:dyDescent="0.3">
      <c r="B572" s="7"/>
    </row>
    <row r="573" spans="2:2" x14ac:dyDescent="0.3">
      <c r="B573" s="7"/>
    </row>
    <row r="574" spans="2:2" x14ac:dyDescent="0.3">
      <c r="B574" s="7"/>
    </row>
    <row r="575" spans="2:2" x14ac:dyDescent="0.3">
      <c r="B575" s="7"/>
    </row>
    <row r="576" spans="2:2" x14ac:dyDescent="0.3">
      <c r="B576" s="7"/>
    </row>
    <row r="577" spans="2:2" x14ac:dyDescent="0.3">
      <c r="B577" s="7"/>
    </row>
    <row r="578" spans="2:2" x14ac:dyDescent="0.3">
      <c r="B578" s="7"/>
    </row>
    <row r="579" spans="2:2" x14ac:dyDescent="0.3">
      <c r="B579" s="7"/>
    </row>
    <row r="580" spans="2:2" x14ac:dyDescent="0.3">
      <c r="B580" s="7"/>
    </row>
    <row r="581" spans="2:2" x14ac:dyDescent="0.3">
      <c r="B581" s="7"/>
    </row>
    <row r="582" spans="2:2" x14ac:dyDescent="0.3">
      <c r="B582" s="7"/>
    </row>
    <row r="583" spans="2:2" x14ac:dyDescent="0.3">
      <c r="B583" s="7"/>
    </row>
    <row r="584" spans="2:2" x14ac:dyDescent="0.3">
      <c r="B584" s="7"/>
    </row>
    <row r="585" spans="2:2" x14ac:dyDescent="0.3">
      <c r="B585" s="7"/>
    </row>
    <row r="586" spans="2:2" x14ac:dyDescent="0.3">
      <c r="B586" s="7"/>
    </row>
    <row r="587" spans="2:2" x14ac:dyDescent="0.3">
      <c r="B587" s="7"/>
    </row>
    <row r="588" spans="2:2" x14ac:dyDescent="0.3">
      <c r="B588" s="7"/>
    </row>
    <row r="589" spans="2:2" x14ac:dyDescent="0.3">
      <c r="B589" s="7"/>
    </row>
    <row r="590" spans="2:2" x14ac:dyDescent="0.3">
      <c r="B590" s="7"/>
    </row>
    <row r="591" spans="2:2" x14ac:dyDescent="0.3">
      <c r="B591" s="7"/>
    </row>
    <row r="592" spans="2:2" x14ac:dyDescent="0.3">
      <c r="B592" s="7"/>
    </row>
    <row r="593" spans="2:2" x14ac:dyDescent="0.3">
      <c r="B593" s="7"/>
    </row>
    <row r="594" spans="2:2" x14ac:dyDescent="0.3">
      <c r="B594" s="7"/>
    </row>
    <row r="595" spans="2:2" x14ac:dyDescent="0.3">
      <c r="B595" s="7"/>
    </row>
    <row r="596" spans="2:2" x14ac:dyDescent="0.3">
      <c r="B596" s="7"/>
    </row>
    <row r="597" spans="2:2" x14ac:dyDescent="0.3">
      <c r="B597" s="7"/>
    </row>
    <row r="598" spans="2:2" x14ac:dyDescent="0.3">
      <c r="B598" s="7"/>
    </row>
    <row r="599" spans="2:2" x14ac:dyDescent="0.3">
      <c r="B599" s="7"/>
    </row>
    <row r="600" spans="2:2" x14ac:dyDescent="0.3">
      <c r="B600" s="7"/>
    </row>
    <row r="601" spans="2:2" x14ac:dyDescent="0.3">
      <c r="B601" s="7"/>
    </row>
    <row r="602" spans="2:2" x14ac:dyDescent="0.3">
      <c r="B602" s="7"/>
    </row>
    <row r="603" spans="2:2" x14ac:dyDescent="0.3">
      <c r="B603" s="7"/>
    </row>
    <row r="604" spans="2:2" x14ac:dyDescent="0.3">
      <c r="B604" s="7"/>
    </row>
    <row r="605" spans="2:2" x14ac:dyDescent="0.3">
      <c r="B605" s="7"/>
    </row>
    <row r="606" spans="2:2" x14ac:dyDescent="0.3">
      <c r="B606" s="7"/>
    </row>
    <row r="607" spans="2:2" x14ac:dyDescent="0.3">
      <c r="B607" s="7"/>
    </row>
    <row r="608" spans="2:2" x14ac:dyDescent="0.3">
      <c r="B608" s="7"/>
    </row>
    <row r="609" spans="2:2" x14ac:dyDescent="0.3">
      <c r="B609" s="7"/>
    </row>
    <row r="610" spans="2:2" x14ac:dyDescent="0.3">
      <c r="B610" s="7"/>
    </row>
    <row r="611" spans="2:2" x14ac:dyDescent="0.3">
      <c r="B611" s="7"/>
    </row>
    <row r="612" spans="2:2" x14ac:dyDescent="0.3">
      <c r="B612" s="7"/>
    </row>
    <row r="613" spans="2:2" x14ac:dyDescent="0.3">
      <c r="B613" s="7"/>
    </row>
    <row r="614" spans="2:2" x14ac:dyDescent="0.3">
      <c r="B614" s="7"/>
    </row>
    <row r="615" spans="2:2" x14ac:dyDescent="0.3">
      <c r="B615" s="7"/>
    </row>
    <row r="616" spans="2:2" x14ac:dyDescent="0.3">
      <c r="B616" s="7"/>
    </row>
    <row r="617" spans="2:2" x14ac:dyDescent="0.3">
      <c r="B617" s="7"/>
    </row>
    <row r="618" spans="2:2" x14ac:dyDescent="0.3">
      <c r="B618" s="7"/>
    </row>
    <row r="619" spans="2:2" x14ac:dyDescent="0.3">
      <c r="B619" s="7"/>
    </row>
    <row r="620" spans="2:2" x14ac:dyDescent="0.3">
      <c r="B620" s="7"/>
    </row>
    <row r="621" spans="2:2" x14ac:dyDescent="0.3">
      <c r="B621" s="7"/>
    </row>
    <row r="622" spans="2:2" x14ac:dyDescent="0.3">
      <c r="B622" s="7"/>
    </row>
    <row r="623" spans="2:2" x14ac:dyDescent="0.3">
      <c r="B623" s="7"/>
    </row>
    <row r="624" spans="2:2" x14ac:dyDescent="0.3">
      <c r="B624" s="7"/>
    </row>
    <row r="625" spans="2:2" x14ac:dyDescent="0.3">
      <c r="B625" s="7"/>
    </row>
    <row r="626" spans="2:2" x14ac:dyDescent="0.3">
      <c r="B626" s="7"/>
    </row>
    <row r="627" spans="2:2" x14ac:dyDescent="0.3">
      <c r="B627" s="7"/>
    </row>
    <row r="628" spans="2:2" x14ac:dyDescent="0.3">
      <c r="B628" s="7"/>
    </row>
    <row r="629" spans="2:2" x14ac:dyDescent="0.3">
      <c r="B629" s="7"/>
    </row>
    <row r="630" spans="2:2" x14ac:dyDescent="0.3">
      <c r="B630" s="7"/>
    </row>
    <row r="631" spans="2:2" x14ac:dyDescent="0.3">
      <c r="B631" s="7"/>
    </row>
    <row r="632" spans="2:2" x14ac:dyDescent="0.3">
      <c r="B632" s="7"/>
    </row>
  </sheetData>
  <dataValidations disablePrompts="1" count="1">
    <dataValidation type="list" allowBlank="1" showInputMessage="1" showErrorMessage="1" sqref="B3" xr:uid="{D5C41851-23B9-41CD-A40C-D1C466F8B450}"/>
  </dataValidations>
  <pageMargins left="0.7" right="0.7" top="0.75" bottom="0.75" header="0.3" footer="0.3"/>
  <pageSetup paperSize="9" orientation="portrait" horizontalDpi="1200" verticalDpi="1200"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0B96AC-CE5D-4AE1-ACD3-F9FC3B9F4CF8}">
  <sheetPr codeName="Sheet33"/>
  <dimension ref="A1:DJ632"/>
  <sheetViews>
    <sheetView showGridLines="0" workbookViewId="0">
      <pane xSplit="5" ySplit="4" topLeftCell="F5" activePane="bottomRight" state="frozen"/>
      <selection activeCell="E575" sqref="E575"/>
      <selection pane="topRight" activeCell="E575" sqref="E575"/>
      <selection pane="bottomLeft" activeCell="E575" sqref="E575"/>
      <selection pane="bottomRight" activeCell="F5" sqref="F5"/>
    </sheetView>
  </sheetViews>
  <sheetFormatPr defaultColWidth="0" defaultRowHeight="13.5" x14ac:dyDescent="0.3"/>
  <cols>
    <col min="1" max="1" width="1.6640625" style="7" customWidth="1"/>
    <col min="2" max="2" width="1.6640625" style="1" customWidth="1"/>
    <col min="3" max="3" width="3.33203125" style="7" customWidth="1"/>
    <col min="4" max="4" width="1.6640625" style="3" customWidth="1"/>
    <col min="5" max="5" width="67.6640625" style="3" bestFit="1" customWidth="1"/>
    <col min="6" max="8" width="1.6640625" style="3" customWidth="1"/>
    <col min="9" max="14" width="13.33203125" style="3" customWidth="1"/>
    <col min="15" max="15" width="1.6640625" style="3" customWidth="1"/>
    <col min="16" max="16" width="13.33203125" style="27" customWidth="1"/>
    <col min="17" max="77" width="13.33203125" style="3" customWidth="1"/>
    <col min="78" max="80" width="1.6640625" style="3" customWidth="1"/>
    <col min="81" max="86" width="0" style="3" hidden="1" customWidth="1"/>
    <col min="87" max="90" width="13.33203125" style="3" hidden="1" customWidth="1"/>
    <col min="91" max="91" width="1.6640625" style="3" hidden="1" customWidth="1"/>
    <col min="92" max="114" width="0" style="3" hidden="1" customWidth="1"/>
    <col min="115" max="16384" width="9.33203125" style="3" hidden="1"/>
  </cols>
  <sheetData>
    <row r="1" spans="1:80" s="38" customFormat="1" x14ac:dyDescent="0.3">
      <c r="A1" s="27"/>
      <c r="B1" s="1"/>
      <c r="Q1" s="39"/>
      <c r="BZ1" s="39"/>
      <c r="CA1" s="39"/>
      <c r="CB1" s="39"/>
    </row>
    <row r="2" spans="1:80" x14ac:dyDescent="0.3">
      <c r="A2" s="3"/>
      <c r="E2" s="26"/>
      <c r="R2" s="40" t="str" cm="1">
        <f t="array" ref="R2">INDEX(Index_Tab!$G$4:$K$4,MATCH(1,(R$4&gt;=Index_Tab!$G$5:$K$5)*(R$4&lt;=Index_Tab!$G$17:$K$17),0))</f>
        <v>FY27E</v>
      </c>
      <c r="S2" s="40" t="str" cm="1">
        <f t="array" ref="S2">INDEX(Index_Tab!$G$4:$K$4,MATCH(1,(S$4&gt;=Index_Tab!$G$5:$K$5)*(S$4&lt;=Index_Tab!$G$17:$K$17),0))</f>
        <v>FY27E</v>
      </c>
      <c r="T2" s="40" t="str" cm="1">
        <f t="array" ref="T2">INDEX(Index_Tab!$G$4:$K$4,MATCH(1,(T$4&gt;=Index_Tab!$G$5:$K$5)*(T$4&lt;=Index_Tab!$G$17:$K$17),0))</f>
        <v>FY27E</v>
      </c>
      <c r="U2" s="40" t="str" cm="1">
        <f t="array" ref="U2">INDEX(Index_Tab!$G$4:$K$4,MATCH(1,(U$4&gt;=Index_Tab!$G$5:$K$5)*(U$4&lt;=Index_Tab!$G$17:$K$17),0))</f>
        <v>FY27E</v>
      </c>
      <c r="V2" s="40" t="str" cm="1">
        <f t="array" ref="V2">INDEX(Index_Tab!$G$4:$K$4,MATCH(1,(V$4&gt;=Index_Tab!$G$5:$K$5)*(V$4&lt;=Index_Tab!$G$17:$K$17),0))</f>
        <v>FY27E</v>
      </c>
      <c r="W2" s="40" t="str" cm="1">
        <f t="array" ref="W2">INDEX(Index_Tab!$G$4:$K$4,MATCH(1,(W$4&gt;=Index_Tab!$G$5:$K$5)*(W$4&lt;=Index_Tab!$G$17:$K$17),0))</f>
        <v>FY27E</v>
      </c>
      <c r="X2" s="40" t="str" cm="1">
        <f t="array" ref="X2">INDEX(Index_Tab!$G$4:$K$4,MATCH(1,(X$4&gt;=Index_Tab!$G$5:$K$5)*(X$4&lt;=Index_Tab!$G$17:$K$17),0))</f>
        <v>FY27E</v>
      </c>
      <c r="Y2" s="40" t="str" cm="1">
        <f t="array" ref="Y2">INDEX(Index_Tab!$G$4:$K$4,MATCH(1,(Y$4&gt;=Index_Tab!$G$5:$K$5)*(Y$4&lt;=Index_Tab!$G$17:$K$17),0))</f>
        <v>FY27E</v>
      </c>
      <c r="Z2" s="40" t="str" cm="1">
        <f t="array" ref="Z2">INDEX(Index_Tab!$G$4:$K$4,MATCH(1,(Z$4&gt;=Index_Tab!$G$5:$K$5)*(Z$4&lt;=Index_Tab!$G$17:$K$17),0))</f>
        <v>FY27E</v>
      </c>
      <c r="AA2" s="40" t="str" cm="1">
        <f t="array" ref="AA2">INDEX(Index_Tab!$G$4:$K$4,MATCH(1,(AA$4&gt;=Index_Tab!$G$5:$K$5)*(AA$4&lt;=Index_Tab!$G$17:$K$17),0))</f>
        <v>FY27E</v>
      </c>
      <c r="AB2" s="40" t="str" cm="1">
        <f t="array" ref="AB2">INDEX(Index_Tab!$G$4:$K$4,MATCH(1,(AB$4&gt;=Index_Tab!$G$5:$K$5)*(AB$4&lt;=Index_Tab!$G$17:$K$17),0))</f>
        <v>FY27E</v>
      </c>
      <c r="AC2" s="40" t="str" cm="1">
        <f t="array" ref="AC2">INDEX(Index_Tab!$G$4:$K$4,MATCH(1,(AC$4&gt;=Index_Tab!$G$5:$K$5)*(AC$4&lt;=Index_Tab!$G$17:$K$17),0))</f>
        <v>FY27E</v>
      </c>
      <c r="AD2" s="40" t="str" cm="1">
        <f t="array" ref="AD2">INDEX(Index_Tab!$G$4:$K$4,MATCH(1,(AD$4&gt;=Index_Tab!$G$5:$K$5)*(AD$4&lt;=Index_Tab!$G$17:$K$17),0))</f>
        <v>FY28E</v>
      </c>
      <c r="AE2" s="40" t="str" cm="1">
        <f t="array" ref="AE2">INDEX(Index_Tab!$G$4:$K$4,MATCH(1,(AE$4&gt;=Index_Tab!$G$5:$K$5)*(AE$4&lt;=Index_Tab!$G$17:$K$17),0))</f>
        <v>FY28E</v>
      </c>
      <c r="AF2" s="40" t="str" cm="1">
        <f t="array" ref="AF2">INDEX(Index_Tab!$G$4:$K$4,MATCH(1,(AF$4&gt;=Index_Tab!$G$5:$K$5)*(AF$4&lt;=Index_Tab!$G$17:$K$17),0))</f>
        <v>FY28E</v>
      </c>
      <c r="AG2" s="40" t="str" cm="1">
        <f t="array" ref="AG2">INDEX(Index_Tab!$G$4:$K$4,MATCH(1,(AG$4&gt;=Index_Tab!$G$5:$K$5)*(AG$4&lt;=Index_Tab!$G$17:$K$17),0))</f>
        <v>FY28E</v>
      </c>
      <c r="AH2" s="40" t="str" cm="1">
        <f t="array" ref="AH2">INDEX(Index_Tab!$G$4:$K$4,MATCH(1,(AH$4&gt;=Index_Tab!$G$5:$K$5)*(AH$4&lt;=Index_Tab!$G$17:$K$17),0))</f>
        <v>FY28E</v>
      </c>
      <c r="AI2" s="40" t="str" cm="1">
        <f t="array" ref="AI2">INDEX(Index_Tab!$G$4:$K$4,MATCH(1,(AI$4&gt;=Index_Tab!$G$5:$K$5)*(AI$4&lt;=Index_Tab!$G$17:$K$17),0))</f>
        <v>FY28E</v>
      </c>
      <c r="AJ2" s="40" t="str" cm="1">
        <f t="array" ref="AJ2">INDEX(Index_Tab!$G$4:$K$4,MATCH(1,(AJ$4&gt;=Index_Tab!$G$5:$K$5)*(AJ$4&lt;=Index_Tab!$G$17:$K$17),0))</f>
        <v>FY28E</v>
      </c>
      <c r="AK2" s="40" t="str" cm="1">
        <f t="array" ref="AK2">INDEX(Index_Tab!$G$4:$K$4,MATCH(1,(AK$4&gt;=Index_Tab!$G$5:$K$5)*(AK$4&lt;=Index_Tab!$G$17:$K$17),0))</f>
        <v>FY28E</v>
      </c>
      <c r="AL2" s="40" t="str" cm="1">
        <f t="array" ref="AL2">INDEX(Index_Tab!$G$4:$K$4,MATCH(1,(AL$4&gt;=Index_Tab!$G$5:$K$5)*(AL$4&lt;=Index_Tab!$G$17:$K$17),0))</f>
        <v>FY28E</v>
      </c>
      <c r="AM2" s="40" t="str" cm="1">
        <f t="array" ref="AM2">INDEX(Index_Tab!$G$4:$K$4,MATCH(1,(AM$4&gt;=Index_Tab!$G$5:$K$5)*(AM$4&lt;=Index_Tab!$G$17:$K$17),0))</f>
        <v>FY28E</v>
      </c>
      <c r="AN2" s="40" t="str" cm="1">
        <f t="array" ref="AN2">INDEX(Index_Tab!$G$4:$K$4,MATCH(1,(AN$4&gt;=Index_Tab!$G$5:$K$5)*(AN$4&lt;=Index_Tab!$G$17:$K$17),0))</f>
        <v>FY28E</v>
      </c>
      <c r="AO2" s="40" t="str" cm="1">
        <f t="array" ref="AO2">INDEX(Index_Tab!$G$4:$K$4,MATCH(1,(AO$4&gt;=Index_Tab!$G$5:$K$5)*(AO$4&lt;=Index_Tab!$G$17:$K$17),0))</f>
        <v>FY28E</v>
      </c>
      <c r="AP2" s="40" t="str" cm="1">
        <f t="array" ref="AP2">INDEX(Index_Tab!$G$4:$K$4,MATCH(1,(AP$4&gt;=Index_Tab!$G$5:$K$5)*(AP$4&lt;=Index_Tab!$G$17:$K$17),0))</f>
        <v>FY29E</v>
      </c>
      <c r="AQ2" s="40" t="str" cm="1">
        <f t="array" ref="AQ2">INDEX(Index_Tab!$G$4:$K$4,MATCH(1,(AQ$4&gt;=Index_Tab!$G$5:$K$5)*(AQ$4&lt;=Index_Tab!$G$17:$K$17),0))</f>
        <v>FY29E</v>
      </c>
      <c r="AR2" s="40" t="str" cm="1">
        <f t="array" ref="AR2">INDEX(Index_Tab!$G$4:$K$4,MATCH(1,(AR$4&gt;=Index_Tab!$G$5:$K$5)*(AR$4&lt;=Index_Tab!$G$17:$K$17),0))</f>
        <v>FY29E</v>
      </c>
      <c r="AS2" s="40" t="str" cm="1">
        <f t="array" ref="AS2">INDEX(Index_Tab!$G$4:$K$4,MATCH(1,(AS$4&gt;=Index_Tab!$G$5:$K$5)*(AS$4&lt;=Index_Tab!$G$17:$K$17),0))</f>
        <v>FY29E</v>
      </c>
      <c r="AT2" s="40" t="str" cm="1">
        <f t="array" ref="AT2">INDEX(Index_Tab!$G$4:$K$4,MATCH(1,(AT$4&gt;=Index_Tab!$G$5:$K$5)*(AT$4&lt;=Index_Tab!$G$17:$K$17),0))</f>
        <v>FY29E</v>
      </c>
      <c r="AU2" s="40" t="str" cm="1">
        <f t="array" ref="AU2">INDEX(Index_Tab!$G$4:$K$4,MATCH(1,(AU$4&gt;=Index_Tab!$G$5:$K$5)*(AU$4&lt;=Index_Tab!$G$17:$K$17),0))</f>
        <v>FY29E</v>
      </c>
      <c r="AV2" s="40" t="str" cm="1">
        <f t="array" ref="AV2">INDEX(Index_Tab!$G$4:$K$4,MATCH(1,(AV$4&gt;=Index_Tab!$G$5:$K$5)*(AV$4&lt;=Index_Tab!$G$17:$K$17),0))</f>
        <v>FY29E</v>
      </c>
      <c r="AW2" s="40" t="str" cm="1">
        <f t="array" ref="AW2">INDEX(Index_Tab!$G$4:$K$4,MATCH(1,(AW$4&gt;=Index_Tab!$G$5:$K$5)*(AW$4&lt;=Index_Tab!$G$17:$K$17),0))</f>
        <v>FY29E</v>
      </c>
      <c r="AX2" s="40" t="str" cm="1">
        <f t="array" ref="AX2">INDEX(Index_Tab!$G$4:$K$4,MATCH(1,(AX$4&gt;=Index_Tab!$G$5:$K$5)*(AX$4&lt;=Index_Tab!$G$17:$K$17),0))</f>
        <v>FY29E</v>
      </c>
      <c r="AY2" s="40" t="str" cm="1">
        <f t="array" ref="AY2">INDEX(Index_Tab!$G$4:$K$4,MATCH(1,(AY$4&gt;=Index_Tab!$G$5:$K$5)*(AY$4&lt;=Index_Tab!$G$17:$K$17),0))</f>
        <v>FY29E</v>
      </c>
      <c r="AZ2" s="40" t="str" cm="1">
        <f t="array" ref="AZ2">INDEX(Index_Tab!$G$4:$K$4,MATCH(1,(AZ$4&gt;=Index_Tab!$G$5:$K$5)*(AZ$4&lt;=Index_Tab!$G$17:$K$17),0))</f>
        <v>FY29E</v>
      </c>
      <c r="BA2" s="40" t="str" cm="1">
        <f t="array" ref="BA2">INDEX(Index_Tab!$G$4:$K$4,MATCH(1,(BA$4&gt;=Index_Tab!$G$5:$K$5)*(BA$4&lt;=Index_Tab!$G$17:$K$17),0))</f>
        <v>FY29E</v>
      </c>
      <c r="BB2" s="40" t="str" cm="1">
        <f t="array" ref="BB2">INDEX(Index_Tab!$G$4:$K$4,MATCH(1,(BB$4&gt;=Index_Tab!$G$5:$K$5)*(BB$4&lt;=Index_Tab!$G$17:$K$17),0))</f>
        <v>FY30E</v>
      </c>
      <c r="BC2" s="40" t="str" cm="1">
        <f t="array" ref="BC2">INDEX(Index_Tab!$G$4:$K$4,MATCH(1,(BC$4&gt;=Index_Tab!$G$5:$K$5)*(BC$4&lt;=Index_Tab!$G$17:$K$17),0))</f>
        <v>FY30E</v>
      </c>
      <c r="BD2" s="40" t="str" cm="1">
        <f t="array" ref="BD2">INDEX(Index_Tab!$G$4:$K$4,MATCH(1,(BD$4&gt;=Index_Tab!$G$5:$K$5)*(BD$4&lt;=Index_Tab!$G$17:$K$17),0))</f>
        <v>FY30E</v>
      </c>
      <c r="BE2" s="40" t="str" cm="1">
        <f t="array" ref="BE2">INDEX(Index_Tab!$G$4:$K$4,MATCH(1,(BE$4&gt;=Index_Tab!$G$5:$K$5)*(BE$4&lt;=Index_Tab!$G$17:$K$17),0))</f>
        <v>FY30E</v>
      </c>
      <c r="BF2" s="40" t="str" cm="1">
        <f t="array" ref="BF2">INDEX(Index_Tab!$G$4:$K$4,MATCH(1,(BF$4&gt;=Index_Tab!$G$5:$K$5)*(BF$4&lt;=Index_Tab!$G$17:$K$17),0))</f>
        <v>FY30E</v>
      </c>
      <c r="BG2" s="40" t="str" cm="1">
        <f t="array" ref="BG2">INDEX(Index_Tab!$G$4:$K$4,MATCH(1,(BG$4&gt;=Index_Tab!$G$5:$K$5)*(BG$4&lt;=Index_Tab!$G$17:$K$17),0))</f>
        <v>FY30E</v>
      </c>
      <c r="BH2" s="40" t="str" cm="1">
        <f t="array" ref="BH2">INDEX(Index_Tab!$G$4:$K$4,MATCH(1,(BH$4&gt;=Index_Tab!$G$5:$K$5)*(BH$4&lt;=Index_Tab!$G$17:$K$17),0))</f>
        <v>FY30E</v>
      </c>
      <c r="BI2" s="40" t="str" cm="1">
        <f t="array" ref="BI2">INDEX(Index_Tab!$G$4:$K$4,MATCH(1,(BI$4&gt;=Index_Tab!$G$5:$K$5)*(BI$4&lt;=Index_Tab!$G$17:$K$17),0))</f>
        <v>FY30E</v>
      </c>
      <c r="BJ2" s="40" t="str" cm="1">
        <f t="array" ref="BJ2">INDEX(Index_Tab!$G$4:$K$4,MATCH(1,(BJ$4&gt;=Index_Tab!$G$5:$K$5)*(BJ$4&lt;=Index_Tab!$G$17:$K$17),0))</f>
        <v>FY30E</v>
      </c>
      <c r="BK2" s="40" t="str" cm="1">
        <f t="array" ref="BK2">INDEX(Index_Tab!$G$4:$K$4,MATCH(1,(BK$4&gt;=Index_Tab!$G$5:$K$5)*(BK$4&lt;=Index_Tab!$G$17:$K$17),0))</f>
        <v>FY30E</v>
      </c>
      <c r="BL2" s="40" t="str" cm="1">
        <f t="array" ref="BL2">INDEX(Index_Tab!$G$4:$K$4,MATCH(1,(BL$4&gt;=Index_Tab!$G$5:$K$5)*(BL$4&lt;=Index_Tab!$G$17:$K$17),0))</f>
        <v>FY30E</v>
      </c>
      <c r="BM2" s="40" t="str" cm="1">
        <f t="array" ref="BM2">INDEX(Index_Tab!$G$4:$K$4,MATCH(1,(BM$4&gt;=Index_Tab!$G$5:$K$5)*(BM$4&lt;=Index_Tab!$G$17:$K$17),0))</f>
        <v>FY30E</v>
      </c>
      <c r="BN2" s="40" t="str" cm="1">
        <f t="array" ref="BN2">INDEX(Index_Tab!$G$4:$K$4,MATCH(1,(BN$4&gt;=Index_Tab!$G$5:$K$5)*(BN$4&lt;=Index_Tab!$G$17:$K$17),0))</f>
        <v>FY31E</v>
      </c>
      <c r="BO2" s="40" t="str" cm="1">
        <f t="array" ref="BO2">INDEX(Index_Tab!$G$4:$K$4,MATCH(1,(BO$4&gt;=Index_Tab!$G$5:$K$5)*(BO$4&lt;=Index_Tab!$G$17:$K$17),0))</f>
        <v>FY31E</v>
      </c>
      <c r="BP2" s="40" t="str" cm="1">
        <f t="array" ref="BP2">INDEX(Index_Tab!$G$4:$K$4,MATCH(1,(BP$4&gt;=Index_Tab!$G$5:$K$5)*(BP$4&lt;=Index_Tab!$G$17:$K$17),0))</f>
        <v>FY31E</v>
      </c>
      <c r="BQ2" s="40" t="str" cm="1">
        <f t="array" ref="BQ2">INDEX(Index_Tab!$G$4:$K$4,MATCH(1,(BQ$4&gt;=Index_Tab!$G$5:$K$5)*(BQ$4&lt;=Index_Tab!$G$17:$K$17),0))</f>
        <v>FY31E</v>
      </c>
      <c r="BR2" s="40" t="str" cm="1">
        <f t="array" ref="BR2">INDEX(Index_Tab!$G$4:$K$4,MATCH(1,(BR$4&gt;=Index_Tab!$G$5:$K$5)*(BR$4&lt;=Index_Tab!$G$17:$K$17),0))</f>
        <v>FY31E</v>
      </c>
      <c r="BS2" s="40" t="str" cm="1">
        <f t="array" ref="BS2">INDEX(Index_Tab!$G$4:$K$4,MATCH(1,(BS$4&gt;=Index_Tab!$G$5:$K$5)*(BS$4&lt;=Index_Tab!$G$17:$K$17),0))</f>
        <v>FY31E</v>
      </c>
      <c r="BT2" s="40" t="str" cm="1">
        <f t="array" ref="BT2">INDEX(Index_Tab!$G$4:$K$4,MATCH(1,(BT$4&gt;=Index_Tab!$G$5:$K$5)*(BT$4&lt;=Index_Tab!$G$17:$K$17),0))</f>
        <v>FY31E</v>
      </c>
      <c r="BU2" s="40" t="str" cm="1">
        <f t="array" ref="BU2">INDEX(Index_Tab!$G$4:$K$4,MATCH(1,(BU$4&gt;=Index_Tab!$G$5:$K$5)*(BU$4&lt;=Index_Tab!$G$17:$K$17),0))</f>
        <v>FY31E</v>
      </c>
      <c r="BV2" s="40" t="str" cm="1">
        <f t="array" ref="BV2">INDEX(Index_Tab!$G$4:$K$4,MATCH(1,(BV$4&gt;=Index_Tab!$G$5:$K$5)*(BV$4&lt;=Index_Tab!$G$17:$K$17),0))</f>
        <v>FY31E</v>
      </c>
      <c r="BW2" s="40" t="str" cm="1">
        <f t="array" ref="BW2">INDEX(Index_Tab!$G$4:$K$4,MATCH(1,(BW$4&gt;=Index_Tab!$G$5:$K$5)*(BW$4&lt;=Index_Tab!$G$17:$K$17),0))</f>
        <v>FY31E</v>
      </c>
      <c r="BX2" s="40" t="str" cm="1">
        <f t="array" ref="BX2">INDEX(Index_Tab!$G$4:$K$4,MATCH(1,(BX$4&gt;=Index_Tab!$G$5:$K$5)*(BX$4&lt;=Index_Tab!$G$17:$K$17),0))</f>
        <v>FY31E</v>
      </c>
      <c r="BY2" s="40" t="str" cm="1">
        <f t="array" ref="BY2">INDEX(Index_Tab!$G$4:$K$4,MATCH(1,(BY$4&gt;=Index_Tab!$G$5:$K$5)*(BY$4&lt;=Index_Tab!$G$17:$K$17),0))</f>
        <v>FY31E</v>
      </c>
    </row>
    <row r="3" spans="1:80" x14ac:dyDescent="0.3">
      <c r="A3" s="3"/>
      <c r="C3" s="87"/>
      <c r="E3" s="20"/>
      <c r="F3" s="20"/>
      <c r="G3" s="20"/>
      <c r="H3" s="41"/>
      <c r="I3" s="21" t="str">
        <f>'Detailed Assumptions'!$E$17</f>
        <v>FY26E</v>
      </c>
      <c r="J3" s="21" t="str">
        <f>'Detailed Assumptions'!$F$17</f>
        <v>FY27E</v>
      </c>
      <c r="K3" s="21" t="str">
        <f>'Detailed Assumptions'!$G$17</f>
        <v>FY28E</v>
      </c>
      <c r="L3" s="21" t="str">
        <f>'Detailed Assumptions'!$H$17</f>
        <v>FY29E</v>
      </c>
      <c r="M3" s="21" t="str">
        <f>'Detailed Assumptions'!$I$17</f>
        <v>FY30E</v>
      </c>
      <c r="N3" s="21" t="str">
        <f>'Detailed Assumptions'!$J$17</f>
        <v>FY31E</v>
      </c>
      <c r="O3" s="42"/>
      <c r="P3" s="36" t="str">
        <f>I3&amp;"-"&amp;N3</f>
        <v>FY26E-FY31E</v>
      </c>
      <c r="Q3" s="41"/>
      <c r="R3" s="43">
        <f>'Detailed Assumptions'!$E$12</f>
        <v>46296</v>
      </c>
      <c r="S3" s="43">
        <f>R4+1</f>
        <v>46327</v>
      </c>
      <c r="T3" s="43">
        <f t="shared" ref="T3:AN3" si="0">S4+1</f>
        <v>46357</v>
      </c>
      <c r="U3" s="43">
        <f t="shared" si="0"/>
        <v>46388</v>
      </c>
      <c r="V3" s="43">
        <f t="shared" si="0"/>
        <v>46419</v>
      </c>
      <c r="W3" s="43">
        <f>V4+1</f>
        <v>46447</v>
      </c>
      <c r="X3" s="43">
        <f t="shared" si="0"/>
        <v>46478</v>
      </c>
      <c r="Y3" s="43">
        <f t="shared" si="0"/>
        <v>46508</v>
      </c>
      <c r="Z3" s="43">
        <f t="shared" si="0"/>
        <v>46539</v>
      </c>
      <c r="AA3" s="43">
        <f t="shared" si="0"/>
        <v>46569</v>
      </c>
      <c r="AB3" s="43">
        <f t="shared" si="0"/>
        <v>46600</v>
      </c>
      <c r="AC3" s="43">
        <f>AB4+1</f>
        <v>46631</v>
      </c>
      <c r="AD3" s="43">
        <f>AC4+1</f>
        <v>46661</v>
      </c>
      <c r="AE3" s="43">
        <f>AD4+1</f>
        <v>46692</v>
      </c>
      <c r="AF3" s="43">
        <f t="shared" si="0"/>
        <v>46722</v>
      </c>
      <c r="AG3" s="43">
        <f t="shared" si="0"/>
        <v>46753</v>
      </c>
      <c r="AH3" s="43">
        <f t="shared" si="0"/>
        <v>46784</v>
      </c>
      <c r="AI3" s="43">
        <f>AH4+1</f>
        <v>46813</v>
      </c>
      <c r="AJ3" s="43">
        <f t="shared" si="0"/>
        <v>46844</v>
      </c>
      <c r="AK3" s="43">
        <f t="shared" si="0"/>
        <v>46874</v>
      </c>
      <c r="AL3" s="43">
        <f t="shared" si="0"/>
        <v>46905</v>
      </c>
      <c r="AM3" s="43">
        <f t="shared" si="0"/>
        <v>46935</v>
      </c>
      <c r="AN3" s="43">
        <f t="shared" si="0"/>
        <v>46966</v>
      </c>
      <c r="AO3" s="43">
        <f>AN4+1</f>
        <v>46997</v>
      </c>
      <c r="AP3" s="43">
        <f>AO4+1</f>
        <v>47027</v>
      </c>
      <c r="AQ3" s="43">
        <f>AP4+1</f>
        <v>47058</v>
      </c>
      <c r="AR3" s="43">
        <f t="shared" ref="AR3:AZ3" si="1">AQ4+1</f>
        <v>47088</v>
      </c>
      <c r="AS3" s="43">
        <f t="shared" si="1"/>
        <v>47119</v>
      </c>
      <c r="AT3" s="43">
        <f t="shared" si="1"/>
        <v>47150</v>
      </c>
      <c r="AU3" s="43">
        <f>AT4+1</f>
        <v>47178</v>
      </c>
      <c r="AV3" s="43">
        <f t="shared" si="1"/>
        <v>47209</v>
      </c>
      <c r="AW3" s="43">
        <f t="shared" si="1"/>
        <v>47239</v>
      </c>
      <c r="AX3" s="43">
        <f t="shared" si="1"/>
        <v>47270</v>
      </c>
      <c r="AY3" s="43">
        <f t="shared" si="1"/>
        <v>47300</v>
      </c>
      <c r="AZ3" s="43">
        <f t="shared" si="1"/>
        <v>47331</v>
      </c>
      <c r="BA3" s="43">
        <f>AZ4+1</f>
        <v>47362</v>
      </c>
      <c r="BB3" s="43">
        <f>BA4+1</f>
        <v>47392</v>
      </c>
      <c r="BC3" s="43">
        <f>BB4+1</f>
        <v>47423</v>
      </c>
      <c r="BD3" s="43">
        <f t="shared" ref="BD3:BL3" si="2">BC4+1</f>
        <v>47453</v>
      </c>
      <c r="BE3" s="43">
        <f t="shared" si="2"/>
        <v>47484</v>
      </c>
      <c r="BF3" s="43">
        <f t="shared" si="2"/>
        <v>47515</v>
      </c>
      <c r="BG3" s="43">
        <f>BF4+1</f>
        <v>47543</v>
      </c>
      <c r="BH3" s="43">
        <f t="shared" si="2"/>
        <v>47574</v>
      </c>
      <c r="BI3" s="43">
        <f t="shared" si="2"/>
        <v>47604</v>
      </c>
      <c r="BJ3" s="43">
        <f t="shared" si="2"/>
        <v>47635</v>
      </c>
      <c r="BK3" s="43">
        <f t="shared" si="2"/>
        <v>47665</v>
      </c>
      <c r="BL3" s="43">
        <f t="shared" si="2"/>
        <v>47696</v>
      </c>
      <c r="BM3" s="43">
        <f>BL4+1</f>
        <v>47727</v>
      </c>
      <c r="BN3" s="43">
        <f>BM4+1</f>
        <v>47757</v>
      </c>
      <c r="BO3" s="43">
        <f>BN4+1</f>
        <v>47788</v>
      </c>
      <c r="BP3" s="43">
        <f t="shared" ref="BP3:BX3" si="3">BO4+1</f>
        <v>47818</v>
      </c>
      <c r="BQ3" s="43">
        <f t="shared" si="3"/>
        <v>47849</v>
      </c>
      <c r="BR3" s="43">
        <f t="shared" si="3"/>
        <v>47880</v>
      </c>
      <c r="BS3" s="43">
        <f>BR4+1</f>
        <v>47908</v>
      </c>
      <c r="BT3" s="43">
        <f t="shared" si="3"/>
        <v>47939</v>
      </c>
      <c r="BU3" s="43">
        <f t="shared" si="3"/>
        <v>47969</v>
      </c>
      <c r="BV3" s="43">
        <f t="shared" si="3"/>
        <v>48000</v>
      </c>
      <c r="BW3" s="43">
        <f t="shared" si="3"/>
        <v>48030</v>
      </c>
      <c r="BX3" s="43">
        <f t="shared" si="3"/>
        <v>48061</v>
      </c>
      <c r="BY3" s="43">
        <f>BX4+1</f>
        <v>48092</v>
      </c>
      <c r="CB3" s="41"/>
    </row>
    <row r="4" spans="1:80" x14ac:dyDescent="0.3">
      <c r="A4" s="3"/>
      <c r="C4" s="87" t="s">
        <v>39</v>
      </c>
      <c r="E4" s="20"/>
      <c r="F4" s="20"/>
      <c r="G4" s="20"/>
      <c r="H4" s="41"/>
      <c r="I4" s="44">
        <f>'Detailed Assumptions'!$E$12-1</f>
        <v>46295</v>
      </c>
      <c r="J4" s="44">
        <f>EOMONTH(I4,12)</f>
        <v>46660</v>
      </c>
      <c r="K4" s="44">
        <f>EOMONTH(J4,12)</f>
        <v>47026</v>
      </c>
      <c r="L4" s="44">
        <f>EOMONTH(K4,12)</f>
        <v>47391</v>
      </c>
      <c r="M4" s="44">
        <f>EOMONTH(L4,12)</f>
        <v>47756</v>
      </c>
      <c r="N4" s="44">
        <f>EOMONTH(M4,12)</f>
        <v>48121</v>
      </c>
      <c r="O4" s="45"/>
      <c r="P4" s="46" t="s">
        <v>180</v>
      </c>
      <c r="Q4" s="41"/>
      <c r="R4" s="44">
        <f>EOMONTH(R3,0)</f>
        <v>46326</v>
      </c>
      <c r="S4" s="44">
        <f>EOMONTH(S3,0)</f>
        <v>46356</v>
      </c>
      <c r="T4" s="44">
        <f t="shared" ref="T4:BY4" si="4">EOMONTH(T3,0)</f>
        <v>46387</v>
      </c>
      <c r="U4" s="44">
        <f t="shared" si="4"/>
        <v>46418</v>
      </c>
      <c r="V4" s="44">
        <f t="shared" si="4"/>
        <v>46446</v>
      </c>
      <c r="W4" s="44">
        <f>EOMONTH(W3,0)</f>
        <v>46477</v>
      </c>
      <c r="X4" s="44">
        <f t="shared" si="4"/>
        <v>46507</v>
      </c>
      <c r="Y4" s="44">
        <f t="shared" si="4"/>
        <v>46538</v>
      </c>
      <c r="Z4" s="44">
        <f t="shared" si="4"/>
        <v>46568</v>
      </c>
      <c r="AA4" s="44">
        <f t="shared" si="4"/>
        <v>46599</v>
      </c>
      <c r="AB4" s="44">
        <f t="shared" si="4"/>
        <v>46630</v>
      </c>
      <c r="AC4" s="44">
        <f t="shared" si="4"/>
        <v>46660</v>
      </c>
      <c r="AD4" s="44">
        <f t="shared" si="4"/>
        <v>46691</v>
      </c>
      <c r="AE4" s="44">
        <f t="shared" si="4"/>
        <v>46721</v>
      </c>
      <c r="AF4" s="44">
        <f t="shared" si="4"/>
        <v>46752</v>
      </c>
      <c r="AG4" s="44">
        <f t="shared" si="4"/>
        <v>46783</v>
      </c>
      <c r="AH4" s="44">
        <f t="shared" si="4"/>
        <v>46812</v>
      </c>
      <c r="AI4" s="44">
        <f t="shared" si="4"/>
        <v>46843</v>
      </c>
      <c r="AJ4" s="44">
        <f t="shared" si="4"/>
        <v>46873</v>
      </c>
      <c r="AK4" s="44">
        <f t="shared" si="4"/>
        <v>46904</v>
      </c>
      <c r="AL4" s="44">
        <f t="shared" si="4"/>
        <v>46934</v>
      </c>
      <c r="AM4" s="44">
        <f t="shared" si="4"/>
        <v>46965</v>
      </c>
      <c r="AN4" s="44">
        <f t="shared" si="4"/>
        <v>46996</v>
      </c>
      <c r="AO4" s="44">
        <f t="shared" si="4"/>
        <v>47026</v>
      </c>
      <c r="AP4" s="44">
        <f t="shared" si="4"/>
        <v>47057</v>
      </c>
      <c r="AQ4" s="44">
        <f t="shared" si="4"/>
        <v>47087</v>
      </c>
      <c r="AR4" s="44">
        <f t="shared" si="4"/>
        <v>47118</v>
      </c>
      <c r="AS4" s="44">
        <f t="shared" si="4"/>
        <v>47149</v>
      </c>
      <c r="AT4" s="44">
        <f t="shared" si="4"/>
        <v>47177</v>
      </c>
      <c r="AU4" s="44">
        <f t="shared" si="4"/>
        <v>47208</v>
      </c>
      <c r="AV4" s="44">
        <f t="shared" si="4"/>
        <v>47238</v>
      </c>
      <c r="AW4" s="44">
        <f t="shared" si="4"/>
        <v>47269</v>
      </c>
      <c r="AX4" s="44">
        <f t="shared" si="4"/>
        <v>47299</v>
      </c>
      <c r="AY4" s="44">
        <f t="shared" si="4"/>
        <v>47330</v>
      </c>
      <c r="AZ4" s="44">
        <f t="shared" si="4"/>
        <v>47361</v>
      </c>
      <c r="BA4" s="44">
        <f t="shared" si="4"/>
        <v>47391</v>
      </c>
      <c r="BB4" s="44">
        <f t="shared" si="4"/>
        <v>47422</v>
      </c>
      <c r="BC4" s="44">
        <f t="shared" si="4"/>
        <v>47452</v>
      </c>
      <c r="BD4" s="44">
        <f t="shared" si="4"/>
        <v>47483</v>
      </c>
      <c r="BE4" s="44">
        <f t="shared" si="4"/>
        <v>47514</v>
      </c>
      <c r="BF4" s="44">
        <f t="shared" si="4"/>
        <v>47542</v>
      </c>
      <c r="BG4" s="44">
        <f t="shared" si="4"/>
        <v>47573</v>
      </c>
      <c r="BH4" s="44">
        <f t="shared" si="4"/>
        <v>47603</v>
      </c>
      <c r="BI4" s="44">
        <f t="shared" si="4"/>
        <v>47634</v>
      </c>
      <c r="BJ4" s="44">
        <f t="shared" si="4"/>
        <v>47664</v>
      </c>
      <c r="BK4" s="44">
        <f t="shared" si="4"/>
        <v>47695</v>
      </c>
      <c r="BL4" s="44">
        <f t="shared" si="4"/>
        <v>47726</v>
      </c>
      <c r="BM4" s="44">
        <f t="shared" si="4"/>
        <v>47756</v>
      </c>
      <c r="BN4" s="44">
        <f t="shared" si="4"/>
        <v>47787</v>
      </c>
      <c r="BO4" s="44">
        <f t="shared" si="4"/>
        <v>47817</v>
      </c>
      <c r="BP4" s="44">
        <f t="shared" si="4"/>
        <v>47848</v>
      </c>
      <c r="BQ4" s="44">
        <f t="shared" si="4"/>
        <v>47879</v>
      </c>
      <c r="BR4" s="44">
        <f t="shared" si="4"/>
        <v>47907</v>
      </c>
      <c r="BS4" s="44">
        <f t="shared" si="4"/>
        <v>47938</v>
      </c>
      <c r="BT4" s="44">
        <f t="shared" si="4"/>
        <v>47968</v>
      </c>
      <c r="BU4" s="44">
        <f t="shared" si="4"/>
        <v>47999</v>
      </c>
      <c r="BV4" s="44">
        <f t="shared" si="4"/>
        <v>48029</v>
      </c>
      <c r="BW4" s="44">
        <f t="shared" si="4"/>
        <v>48060</v>
      </c>
      <c r="BX4" s="44">
        <f t="shared" si="4"/>
        <v>48091</v>
      </c>
      <c r="BY4" s="44">
        <f t="shared" si="4"/>
        <v>48121</v>
      </c>
      <c r="CB4" s="41"/>
    </row>
    <row r="5" spans="1:80" ht="5.0999999999999996" customHeight="1" x14ac:dyDescent="0.3">
      <c r="A5" s="3"/>
      <c r="E5" s="2"/>
      <c r="F5" s="2"/>
      <c r="G5" s="2"/>
      <c r="H5" s="41"/>
      <c r="Q5" s="41"/>
      <c r="R5" s="2"/>
      <c r="S5" s="2"/>
      <c r="T5" s="2"/>
      <c r="U5" s="2"/>
      <c r="V5" s="2"/>
      <c r="W5" s="2"/>
      <c r="X5" s="2"/>
      <c r="Y5" s="2"/>
      <c r="Z5" s="2"/>
      <c r="AA5" s="2"/>
      <c r="AB5" s="2"/>
      <c r="AC5" s="2"/>
      <c r="AD5" s="2"/>
      <c r="AE5" s="2"/>
      <c r="AF5" s="2"/>
      <c r="AG5" s="2"/>
      <c r="AH5" s="2"/>
      <c r="AI5" s="2"/>
      <c r="AJ5" s="2"/>
      <c r="AK5" s="2"/>
      <c r="AL5" s="2"/>
      <c r="AM5" s="2"/>
      <c r="AN5" s="2"/>
      <c r="AO5" s="2"/>
      <c r="AP5" s="2"/>
      <c r="AQ5" s="2"/>
      <c r="AR5" s="2"/>
      <c r="AS5" s="2"/>
      <c r="AT5" s="2"/>
      <c r="AU5" s="2"/>
      <c r="AV5" s="2"/>
      <c r="AW5" s="2"/>
      <c r="AX5" s="2"/>
      <c r="AY5" s="2"/>
      <c r="AZ5" s="2"/>
      <c r="BA5" s="2"/>
      <c r="BB5" s="2"/>
      <c r="BC5" s="2"/>
      <c r="BD5" s="2"/>
      <c r="BE5" s="2"/>
      <c r="BF5" s="2"/>
      <c r="BG5" s="2"/>
      <c r="BH5" s="2"/>
      <c r="BI5" s="2"/>
      <c r="BJ5" s="2"/>
      <c r="BK5" s="2"/>
      <c r="BL5" s="2"/>
      <c r="BM5" s="2"/>
      <c r="BN5" s="2"/>
      <c r="BO5" s="2"/>
      <c r="BP5" s="2"/>
      <c r="BQ5" s="2"/>
      <c r="BR5" s="2"/>
      <c r="BS5" s="2"/>
      <c r="BT5" s="2"/>
      <c r="BU5" s="2"/>
      <c r="BV5" s="2"/>
      <c r="BW5" s="2"/>
      <c r="BX5" s="2"/>
      <c r="BY5" s="2"/>
      <c r="CB5" s="41"/>
    </row>
    <row r="6" spans="1:80" ht="12.75" customHeight="1" x14ac:dyDescent="0.3">
      <c r="A6" s="3"/>
      <c r="E6" s="2"/>
      <c r="F6" s="2"/>
      <c r="G6" s="2"/>
      <c r="H6" s="41"/>
      <c r="Q6" s="41"/>
      <c r="R6" s="2"/>
      <c r="S6" s="2"/>
      <c r="T6" s="2"/>
      <c r="U6" s="2"/>
      <c r="V6" s="2"/>
      <c r="W6" s="2"/>
      <c r="X6" s="2"/>
      <c r="Y6" s="2"/>
      <c r="Z6" s="2"/>
      <c r="AA6" s="2"/>
      <c r="AB6" s="2"/>
      <c r="AC6" s="2"/>
      <c r="AD6" s="2"/>
      <c r="AE6" s="2"/>
      <c r="AF6" s="2"/>
      <c r="AG6" s="2"/>
      <c r="AH6" s="2"/>
      <c r="AI6" s="2"/>
      <c r="AJ6" s="2"/>
      <c r="AK6" s="2"/>
      <c r="AL6" s="2"/>
      <c r="AM6" s="2"/>
      <c r="AN6" s="2"/>
      <c r="AO6" s="2"/>
      <c r="AP6" s="2"/>
      <c r="AQ6" s="2"/>
      <c r="AR6" s="2"/>
      <c r="AS6" s="2"/>
      <c r="AT6" s="2"/>
      <c r="AU6" s="2"/>
      <c r="AV6" s="2"/>
      <c r="AW6" s="2"/>
      <c r="AX6" s="2"/>
      <c r="AY6" s="2"/>
      <c r="AZ6" s="2"/>
      <c r="BA6" s="2"/>
      <c r="BB6" s="2"/>
      <c r="BC6" s="2"/>
      <c r="BD6" s="2"/>
      <c r="BE6" s="2"/>
      <c r="BF6" s="2"/>
      <c r="BG6" s="2"/>
      <c r="BH6" s="2"/>
      <c r="BI6" s="2"/>
      <c r="BJ6" s="2"/>
      <c r="BK6" s="2"/>
      <c r="BL6" s="2"/>
      <c r="BM6" s="2"/>
      <c r="BN6" s="2"/>
      <c r="BO6" s="2"/>
      <c r="BP6" s="2"/>
      <c r="BQ6" s="2"/>
      <c r="BR6" s="2"/>
      <c r="BS6" s="2"/>
      <c r="BT6" s="2"/>
      <c r="BU6" s="2"/>
      <c r="BV6" s="2"/>
      <c r="BW6" s="2"/>
      <c r="BX6" s="2"/>
      <c r="BY6" s="2"/>
      <c r="CB6" s="41"/>
    </row>
    <row r="7" spans="1:80" ht="12.75" customHeight="1" x14ac:dyDescent="0.3">
      <c r="C7" s="48" t="s">
        <v>37</v>
      </c>
      <c r="D7" s="88"/>
      <c r="E7" s="49" t="s">
        <v>120</v>
      </c>
      <c r="F7" s="49"/>
      <c r="G7" s="49"/>
      <c r="H7" s="49"/>
      <c r="I7" s="49"/>
      <c r="J7" s="49"/>
      <c r="K7" s="49"/>
      <c r="L7" s="49"/>
      <c r="M7" s="49"/>
      <c r="N7" s="49"/>
      <c r="O7" s="49"/>
      <c r="P7" s="48"/>
      <c r="Q7" s="49"/>
      <c r="R7" s="49"/>
      <c r="S7" s="49"/>
      <c r="T7" s="49"/>
      <c r="U7" s="49"/>
      <c r="V7" s="49"/>
      <c r="W7" s="49"/>
      <c r="X7" s="49"/>
      <c r="Y7" s="49"/>
      <c r="Z7" s="49"/>
      <c r="AA7" s="49"/>
      <c r="AB7" s="49"/>
      <c r="AC7" s="49"/>
      <c r="AD7" s="49"/>
      <c r="AE7" s="49"/>
      <c r="AF7" s="49"/>
      <c r="AG7" s="49"/>
      <c r="AH7" s="49"/>
      <c r="AI7" s="49"/>
      <c r="AJ7" s="49"/>
      <c r="AK7" s="49"/>
      <c r="AL7" s="49"/>
      <c r="AM7" s="49"/>
      <c r="AN7" s="49"/>
      <c r="AO7" s="49"/>
      <c r="AP7" s="49"/>
      <c r="AQ7" s="49"/>
      <c r="AR7" s="49"/>
      <c r="AS7" s="49"/>
      <c r="AT7" s="49"/>
      <c r="AU7" s="49"/>
      <c r="AV7" s="49"/>
      <c r="AW7" s="49"/>
      <c r="AX7" s="49"/>
      <c r="AY7" s="49"/>
      <c r="AZ7" s="49"/>
      <c r="BA7" s="49"/>
      <c r="BB7" s="49"/>
      <c r="BC7" s="49"/>
      <c r="BD7" s="49"/>
      <c r="BE7" s="49"/>
      <c r="BF7" s="49"/>
      <c r="BG7" s="49"/>
      <c r="BH7" s="49"/>
      <c r="BI7" s="49"/>
      <c r="BJ7" s="49"/>
      <c r="BK7" s="49"/>
      <c r="BL7" s="49"/>
      <c r="BM7" s="49"/>
      <c r="BN7" s="49"/>
      <c r="BO7" s="49"/>
      <c r="BP7" s="49"/>
      <c r="BQ7" s="49"/>
      <c r="BR7" s="49"/>
      <c r="BS7" s="49"/>
      <c r="BT7" s="49"/>
      <c r="BU7" s="49"/>
      <c r="BV7" s="49"/>
      <c r="BW7" s="49"/>
      <c r="BX7" s="49"/>
      <c r="BY7" s="49"/>
    </row>
    <row r="8" spans="1:80" x14ac:dyDescent="0.3">
      <c r="C8" s="2"/>
      <c r="D8" s="2"/>
      <c r="E8" s="2"/>
      <c r="F8" s="2"/>
      <c r="G8" s="2"/>
      <c r="H8" s="2"/>
      <c r="I8" s="2"/>
      <c r="J8" s="37"/>
      <c r="K8" s="37"/>
      <c r="L8" s="37"/>
      <c r="M8" s="37"/>
      <c r="N8" s="37"/>
      <c r="O8" s="37"/>
      <c r="P8" s="35"/>
      <c r="R8" s="37"/>
      <c r="S8" s="529"/>
      <c r="T8" s="529"/>
      <c r="U8" s="529"/>
      <c r="V8" s="529"/>
      <c r="W8" s="529"/>
      <c r="X8" s="529"/>
      <c r="Y8" s="529"/>
      <c r="Z8" s="529"/>
      <c r="AA8" s="529"/>
      <c r="AB8" s="529"/>
      <c r="AC8" s="529"/>
      <c r="AD8" s="529"/>
      <c r="AE8" s="529"/>
      <c r="AF8" s="529"/>
      <c r="AG8" s="529"/>
      <c r="AH8" s="529"/>
      <c r="AI8" s="529"/>
      <c r="AJ8" s="529"/>
      <c r="AK8" s="529"/>
      <c r="AL8" s="529"/>
      <c r="AM8" s="529"/>
      <c r="AN8" s="529"/>
      <c r="AO8" s="529"/>
      <c r="AP8" s="529"/>
      <c r="AQ8" s="529"/>
      <c r="AR8" s="529"/>
      <c r="AS8" s="529"/>
      <c r="AT8" s="529"/>
      <c r="AU8" s="529"/>
      <c r="AV8" s="529"/>
      <c r="AW8" s="529"/>
      <c r="AX8" s="529"/>
      <c r="AY8" s="529"/>
      <c r="AZ8" s="529"/>
      <c r="BA8" s="529"/>
      <c r="BB8" s="529"/>
      <c r="BC8" s="529"/>
      <c r="BD8" s="529"/>
      <c r="BE8" s="529"/>
      <c r="BF8" s="529"/>
      <c r="BG8" s="529"/>
      <c r="BH8" s="529"/>
      <c r="BI8" s="529"/>
      <c r="BJ8" s="529"/>
      <c r="BK8" s="529"/>
      <c r="BL8" s="529"/>
      <c r="BM8" s="529"/>
      <c r="BN8" s="529"/>
      <c r="BO8" s="529"/>
      <c r="BP8" s="529"/>
      <c r="BQ8" s="529"/>
      <c r="BR8" s="529"/>
      <c r="BS8" s="529"/>
      <c r="BT8" s="529"/>
      <c r="BU8" s="529"/>
      <c r="BV8" s="529"/>
      <c r="BW8" s="529"/>
      <c r="BX8" s="529"/>
      <c r="BY8" s="529"/>
    </row>
    <row r="9" spans="1:80" x14ac:dyDescent="0.3">
      <c r="C9" s="2"/>
      <c r="D9" s="2"/>
      <c r="E9" s="2" t="s">
        <v>174</v>
      </c>
      <c r="F9" s="2"/>
      <c r="G9" s="2"/>
      <c r="H9" s="2"/>
      <c r="I9" s="89"/>
      <c r="J9" s="497">
        <f>INDEX($R9:$BY9,MATCH(J$4,$R$4:$BY$4,0))</f>
        <v>-16</v>
      </c>
      <c r="K9" s="497">
        <f>INDEX($R9:$BY9,MATCH(K$4,$R$4:$BY$4,0))</f>
        <v>-32</v>
      </c>
      <c r="L9" s="497">
        <f>INDEX($R9:$BY9,MATCH(L$4,$R$4:$BY$4,0))</f>
        <v>-48</v>
      </c>
      <c r="M9" s="497">
        <f>INDEX($R9:$BY9,MATCH(M$4,$R$4:$BY$4,0))</f>
        <v>-64</v>
      </c>
      <c r="N9" s="497">
        <f>INDEX($R9:$BY9,MATCH(N$4,$R$4:$BY$4,0))</f>
        <v>-80</v>
      </c>
      <c r="O9" s="37"/>
      <c r="P9" s="90"/>
      <c r="R9" s="677">
        <f>-R171</f>
        <v>0</v>
      </c>
      <c r="S9" s="678">
        <f t="shared" ref="S9:BY9" si="5">-S171</f>
        <v>0</v>
      </c>
      <c r="T9" s="678">
        <f t="shared" si="5"/>
        <v>0</v>
      </c>
      <c r="U9" s="678">
        <f t="shared" si="5"/>
        <v>0</v>
      </c>
      <c r="V9" s="678">
        <f t="shared" si="5"/>
        <v>0</v>
      </c>
      <c r="W9" s="678">
        <f t="shared" si="5"/>
        <v>-8</v>
      </c>
      <c r="X9" s="678">
        <f t="shared" si="5"/>
        <v>-8</v>
      </c>
      <c r="Y9" s="678">
        <f t="shared" si="5"/>
        <v>-8</v>
      </c>
      <c r="Z9" s="678">
        <f t="shared" si="5"/>
        <v>-8</v>
      </c>
      <c r="AA9" s="678">
        <f t="shared" si="5"/>
        <v>-8</v>
      </c>
      <c r="AB9" s="678">
        <f t="shared" si="5"/>
        <v>-8</v>
      </c>
      <c r="AC9" s="678">
        <f t="shared" si="5"/>
        <v>-16</v>
      </c>
      <c r="AD9" s="678">
        <f t="shared" si="5"/>
        <v>-16</v>
      </c>
      <c r="AE9" s="678">
        <f t="shared" si="5"/>
        <v>-16</v>
      </c>
      <c r="AF9" s="678">
        <f t="shared" si="5"/>
        <v>-16</v>
      </c>
      <c r="AG9" s="678">
        <f t="shared" si="5"/>
        <v>-16</v>
      </c>
      <c r="AH9" s="678">
        <f t="shared" si="5"/>
        <v>-16</v>
      </c>
      <c r="AI9" s="678">
        <f t="shared" si="5"/>
        <v>-24</v>
      </c>
      <c r="AJ9" s="678">
        <f t="shared" si="5"/>
        <v>-24</v>
      </c>
      <c r="AK9" s="678">
        <f t="shared" si="5"/>
        <v>-24</v>
      </c>
      <c r="AL9" s="678">
        <f t="shared" si="5"/>
        <v>-24</v>
      </c>
      <c r="AM9" s="678">
        <f t="shared" si="5"/>
        <v>-24</v>
      </c>
      <c r="AN9" s="678">
        <f t="shared" si="5"/>
        <v>-24</v>
      </c>
      <c r="AO9" s="678">
        <f t="shared" si="5"/>
        <v>-32</v>
      </c>
      <c r="AP9" s="678">
        <f t="shared" si="5"/>
        <v>-32</v>
      </c>
      <c r="AQ9" s="678">
        <f t="shared" si="5"/>
        <v>-32</v>
      </c>
      <c r="AR9" s="678">
        <f t="shared" si="5"/>
        <v>-32</v>
      </c>
      <c r="AS9" s="678">
        <f t="shared" si="5"/>
        <v>-32</v>
      </c>
      <c r="AT9" s="678">
        <f t="shared" si="5"/>
        <v>-32</v>
      </c>
      <c r="AU9" s="678">
        <f t="shared" si="5"/>
        <v>-40</v>
      </c>
      <c r="AV9" s="678">
        <f t="shared" si="5"/>
        <v>-40</v>
      </c>
      <c r="AW9" s="678">
        <f t="shared" si="5"/>
        <v>-40</v>
      </c>
      <c r="AX9" s="678">
        <f t="shared" si="5"/>
        <v>-40</v>
      </c>
      <c r="AY9" s="678">
        <f t="shared" si="5"/>
        <v>-40</v>
      </c>
      <c r="AZ9" s="678">
        <f t="shared" si="5"/>
        <v>-40</v>
      </c>
      <c r="BA9" s="678">
        <f t="shared" si="5"/>
        <v>-48</v>
      </c>
      <c r="BB9" s="678">
        <f t="shared" si="5"/>
        <v>-48</v>
      </c>
      <c r="BC9" s="678">
        <f t="shared" si="5"/>
        <v>-48</v>
      </c>
      <c r="BD9" s="678">
        <f t="shared" si="5"/>
        <v>-48</v>
      </c>
      <c r="BE9" s="678">
        <f t="shared" si="5"/>
        <v>-48</v>
      </c>
      <c r="BF9" s="678">
        <f t="shared" si="5"/>
        <v>-48</v>
      </c>
      <c r="BG9" s="678">
        <f t="shared" si="5"/>
        <v>-56</v>
      </c>
      <c r="BH9" s="678">
        <f t="shared" si="5"/>
        <v>-56</v>
      </c>
      <c r="BI9" s="678">
        <f t="shared" si="5"/>
        <v>-56</v>
      </c>
      <c r="BJ9" s="678">
        <f t="shared" si="5"/>
        <v>-56</v>
      </c>
      <c r="BK9" s="678">
        <f t="shared" si="5"/>
        <v>-56</v>
      </c>
      <c r="BL9" s="678">
        <f t="shared" si="5"/>
        <v>-56</v>
      </c>
      <c r="BM9" s="678">
        <f t="shared" si="5"/>
        <v>-64</v>
      </c>
      <c r="BN9" s="678">
        <f t="shared" si="5"/>
        <v>-64</v>
      </c>
      <c r="BO9" s="678">
        <f t="shared" si="5"/>
        <v>-64</v>
      </c>
      <c r="BP9" s="678">
        <f t="shared" si="5"/>
        <v>-64</v>
      </c>
      <c r="BQ9" s="678">
        <f t="shared" si="5"/>
        <v>-64</v>
      </c>
      <c r="BR9" s="678">
        <f t="shared" si="5"/>
        <v>-64</v>
      </c>
      <c r="BS9" s="678">
        <f t="shared" si="5"/>
        <v>-72</v>
      </c>
      <c r="BT9" s="678">
        <f t="shared" si="5"/>
        <v>-72</v>
      </c>
      <c r="BU9" s="678">
        <f t="shared" si="5"/>
        <v>-72</v>
      </c>
      <c r="BV9" s="678">
        <f t="shared" si="5"/>
        <v>-72</v>
      </c>
      <c r="BW9" s="678">
        <f t="shared" si="5"/>
        <v>-72</v>
      </c>
      <c r="BX9" s="678">
        <f t="shared" si="5"/>
        <v>-72</v>
      </c>
      <c r="BY9" s="678">
        <f t="shared" si="5"/>
        <v>-80</v>
      </c>
    </row>
    <row r="10" spans="1:80" x14ac:dyDescent="0.3">
      <c r="C10" s="2"/>
      <c r="D10" s="2"/>
      <c r="E10" s="2"/>
      <c r="F10" s="2"/>
      <c r="G10" s="2"/>
      <c r="H10" s="2"/>
      <c r="I10" s="37"/>
      <c r="J10" s="2"/>
      <c r="K10" s="2"/>
      <c r="L10" s="2"/>
      <c r="M10" s="2"/>
      <c r="N10" s="2"/>
      <c r="O10" s="2"/>
      <c r="P10" s="10"/>
      <c r="R10" s="2"/>
      <c r="S10" s="2"/>
      <c r="T10" s="2"/>
      <c r="U10" s="2"/>
      <c r="V10" s="2"/>
      <c r="W10" s="2"/>
      <c r="X10" s="2"/>
      <c r="Y10" s="2"/>
      <c r="Z10" s="2"/>
      <c r="AA10" s="2"/>
      <c r="AB10" s="2"/>
      <c r="AC10" s="2"/>
      <c r="AD10" s="2"/>
      <c r="AE10" s="2"/>
      <c r="AF10" s="2"/>
      <c r="AG10" s="2"/>
      <c r="AH10" s="2"/>
      <c r="AI10" s="2"/>
      <c r="AJ10" s="2"/>
      <c r="AK10" s="2"/>
      <c r="AL10" s="2"/>
      <c r="AM10" s="2"/>
      <c r="AN10" s="2"/>
      <c r="AO10" s="2"/>
      <c r="AP10" s="2"/>
      <c r="AQ10" s="2"/>
      <c r="AR10" s="2"/>
      <c r="AS10" s="2"/>
      <c r="AT10" s="2"/>
      <c r="AU10" s="2"/>
      <c r="AV10" s="2"/>
      <c r="AW10" s="2"/>
      <c r="AX10" s="2"/>
      <c r="AY10" s="2"/>
      <c r="AZ10" s="2"/>
      <c r="BA10" s="2"/>
      <c r="BB10" s="2"/>
      <c r="BC10" s="2"/>
      <c r="BD10" s="2"/>
      <c r="BE10" s="2"/>
      <c r="BF10" s="2"/>
      <c r="BG10" s="2"/>
      <c r="BH10" s="2"/>
      <c r="BI10" s="2"/>
      <c r="BJ10" s="2"/>
      <c r="BK10" s="2"/>
      <c r="BL10" s="2"/>
      <c r="BM10" s="2"/>
      <c r="BN10" s="2"/>
      <c r="BO10" s="2"/>
      <c r="BP10" s="2"/>
      <c r="BQ10" s="2"/>
      <c r="BR10" s="2"/>
      <c r="BS10" s="2"/>
      <c r="BT10" s="2"/>
      <c r="BU10" s="2"/>
      <c r="BV10" s="2"/>
      <c r="BW10" s="2"/>
      <c r="BX10" s="2"/>
      <c r="BY10" s="2"/>
    </row>
    <row r="11" spans="1:80" x14ac:dyDescent="0.3">
      <c r="C11" s="2"/>
      <c r="D11" s="2"/>
      <c r="E11" s="2" t="s">
        <v>174</v>
      </c>
      <c r="F11" s="2"/>
      <c r="G11" s="2"/>
      <c r="H11" s="2"/>
      <c r="I11" s="37"/>
      <c r="J11" s="497">
        <f>J9</f>
        <v>-16</v>
      </c>
      <c r="K11" s="497">
        <f>K9</f>
        <v>-32</v>
      </c>
      <c r="L11" s="497">
        <f>L9</f>
        <v>-48</v>
      </c>
      <c r="M11" s="497">
        <f>M9</f>
        <v>-64</v>
      </c>
      <c r="N11" s="497">
        <f>N9</f>
        <v>-80</v>
      </c>
      <c r="O11" s="2"/>
      <c r="P11" s="10"/>
      <c r="R11" s="497">
        <f t="shared" ref="R11:AW11" si="6">R9</f>
        <v>0</v>
      </c>
      <c r="S11" s="527">
        <f t="shared" si="6"/>
        <v>0</v>
      </c>
      <c r="T11" s="527">
        <f t="shared" si="6"/>
        <v>0</v>
      </c>
      <c r="U11" s="527">
        <f t="shared" si="6"/>
        <v>0</v>
      </c>
      <c r="V11" s="527">
        <f t="shared" si="6"/>
        <v>0</v>
      </c>
      <c r="W11" s="527">
        <f t="shared" si="6"/>
        <v>-8</v>
      </c>
      <c r="X11" s="527">
        <f t="shared" si="6"/>
        <v>-8</v>
      </c>
      <c r="Y11" s="527">
        <f t="shared" si="6"/>
        <v>-8</v>
      </c>
      <c r="Z11" s="527">
        <f t="shared" si="6"/>
        <v>-8</v>
      </c>
      <c r="AA11" s="527">
        <f t="shared" si="6"/>
        <v>-8</v>
      </c>
      <c r="AB11" s="527">
        <f t="shared" si="6"/>
        <v>-8</v>
      </c>
      <c r="AC11" s="527">
        <f t="shared" si="6"/>
        <v>-16</v>
      </c>
      <c r="AD11" s="527">
        <f t="shared" si="6"/>
        <v>-16</v>
      </c>
      <c r="AE11" s="527">
        <f t="shared" si="6"/>
        <v>-16</v>
      </c>
      <c r="AF11" s="527">
        <f t="shared" si="6"/>
        <v>-16</v>
      </c>
      <c r="AG11" s="527">
        <f t="shared" si="6"/>
        <v>-16</v>
      </c>
      <c r="AH11" s="527">
        <f t="shared" si="6"/>
        <v>-16</v>
      </c>
      <c r="AI11" s="527">
        <f t="shared" si="6"/>
        <v>-24</v>
      </c>
      <c r="AJ11" s="527">
        <f t="shared" si="6"/>
        <v>-24</v>
      </c>
      <c r="AK11" s="527">
        <f t="shared" si="6"/>
        <v>-24</v>
      </c>
      <c r="AL11" s="527">
        <f t="shared" si="6"/>
        <v>-24</v>
      </c>
      <c r="AM11" s="527">
        <f t="shared" si="6"/>
        <v>-24</v>
      </c>
      <c r="AN11" s="527">
        <f t="shared" si="6"/>
        <v>-24</v>
      </c>
      <c r="AO11" s="527">
        <f t="shared" si="6"/>
        <v>-32</v>
      </c>
      <c r="AP11" s="527">
        <f t="shared" si="6"/>
        <v>-32</v>
      </c>
      <c r="AQ11" s="527">
        <f t="shared" si="6"/>
        <v>-32</v>
      </c>
      <c r="AR11" s="527">
        <f t="shared" si="6"/>
        <v>-32</v>
      </c>
      <c r="AS11" s="527">
        <f t="shared" si="6"/>
        <v>-32</v>
      </c>
      <c r="AT11" s="527">
        <f t="shared" si="6"/>
        <v>-32</v>
      </c>
      <c r="AU11" s="527">
        <f t="shared" si="6"/>
        <v>-40</v>
      </c>
      <c r="AV11" s="527">
        <f t="shared" si="6"/>
        <v>-40</v>
      </c>
      <c r="AW11" s="527">
        <f t="shared" si="6"/>
        <v>-40</v>
      </c>
      <c r="AX11" s="527">
        <f t="shared" ref="AX11:BY11" si="7">AX9</f>
        <v>-40</v>
      </c>
      <c r="AY11" s="527">
        <f t="shared" si="7"/>
        <v>-40</v>
      </c>
      <c r="AZ11" s="527">
        <f t="shared" si="7"/>
        <v>-40</v>
      </c>
      <c r="BA11" s="527">
        <f t="shared" si="7"/>
        <v>-48</v>
      </c>
      <c r="BB11" s="527">
        <f t="shared" si="7"/>
        <v>-48</v>
      </c>
      <c r="BC11" s="527">
        <f t="shared" si="7"/>
        <v>-48</v>
      </c>
      <c r="BD11" s="527">
        <f t="shared" si="7"/>
        <v>-48</v>
      </c>
      <c r="BE11" s="527">
        <f t="shared" si="7"/>
        <v>-48</v>
      </c>
      <c r="BF11" s="527">
        <f t="shared" si="7"/>
        <v>-48</v>
      </c>
      <c r="BG11" s="527">
        <f t="shared" si="7"/>
        <v>-56</v>
      </c>
      <c r="BH11" s="527">
        <f t="shared" si="7"/>
        <v>-56</v>
      </c>
      <c r="BI11" s="527">
        <f t="shared" si="7"/>
        <v>-56</v>
      </c>
      <c r="BJ11" s="527">
        <f t="shared" si="7"/>
        <v>-56</v>
      </c>
      <c r="BK11" s="527">
        <f t="shared" si="7"/>
        <v>-56</v>
      </c>
      <c r="BL11" s="527">
        <f t="shared" si="7"/>
        <v>-56</v>
      </c>
      <c r="BM11" s="527">
        <f t="shared" si="7"/>
        <v>-64</v>
      </c>
      <c r="BN11" s="527">
        <f t="shared" si="7"/>
        <v>-64</v>
      </c>
      <c r="BO11" s="527">
        <f t="shared" si="7"/>
        <v>-64</v>
      </c>
      <c r="BP11" s="527">
        <f t="shared" si="7"/>
        <v>-64</v>
      </c>
      <c r="BQ11" s="527">
        <f t="shared" si="7"/>
        <v>-64</v>
      </c>
      <c r="BR11" s="527">
        <f t="shared" si="7"/>
        <v>-64</v>
      </c>
      <c r="BS11" s="527">
        <f t="shared" si="7"/>
        <v>-72</v>
      </c>
      <c r="BT11" s="527">
        <f t="shared" si="7"/>
        <v>-72</v>
      </c>
      <c r="BU11" s="527">
        <f t="shared" si="7"/>
        <v>-72</v>
      </c>
      <c r="BV11" s="527">
        <f t="shared" si="7"/>
        <v>-72</v>
      </c>
      <c r="BW11" s="527">
        <f t="shared" si="7"/>
        <v>-72</v>
      </c>
      <c r="BX11" s="527">
        <f t="shared" si="7"/>
        <v>-72</v>
      </c>
      <c r="BY11" s="527">
        <f t="shared" si="7"/>
        <v>-80</v>
      </c>
    </row>
    <row r="12" spans="1:80" x14ac:dyDescent="0.3">
      <c r="C12" s="2"/>
      <c r="D12" s="2"/>
      <c r="E12" s="2" t="s">
        <v>131</v>
      </c>
      <c r="F12" s="2"/>
      <c r="G12" s="2"/>
      <c r="H12" s="2"/>
      <c r="I12" s="67"/>
      <c r="J12" s="52">
        <v>0</v>
      </c>
      <c r="K12" s="52">
        <v>0</v>
      </c>
      <c r="L12" s="52">
        <v>0</v>
      </c>
      <c r="M12" s="52">
        <v>0</v>
      </c>
      <c r="N12" s="52">
        <v>0</v>
      </c>
      <c r="O12" s="2"/>
      <c r="P12" s="10"/>
      <c r="R12" s="52">
        <v>0</v>
      </c>
      <c r="S12" s="52">
        <v>0</v>
      </c>
      <c r="T12" s="52">
        <v>0</v>
      </c>
      <c r="U12" s="52">
        <v>0</v>
      </c>
      <c r="V12" s="52">
        <v>0</v>
      </c>
      <c r="W12" s="52">
        <v>0</v>
      </c>
      <c r="X12" s="52">
        <v>0</v>
      </c>
      <c r="Y12" s="52">
        <v>0</v>
      </c>
      <c r="Z12" s="52">
        <v>0</v>
      </c>
      <c r="AA12" s="52">
        <v>0</v>
      </c>
      <c r="AB12" s="52">
        <v>0</v>
      </c>
      <c r="AC12" s="52">
        <v>0</v>
      </c>
      <c r="AD12" s="52">
        <v>0</v>
      </c>
      <c r="AE12" s="52">
        <v>0</v>
      </c>
      <c r="AF12" s="52">
        <v>0</v>
      </c>
      <c r="AG12" s="52">
        <v>0</v>
      </c>
      <c r="AH12" s="52">
        <v>0</v>
      </c>
      <c r="AI12" s="52">
        <v>0</v>
      </c>
      <c r="AJ12" s="52">
        <v>0</v>
      </c>
      <c r="AK12" s="52">
        <v>0</v>
      </c>
      <c r="AL12" s="52">
        <v>0</v>
      </c>
      <c r="AM12" s="52">
        <v>0</v>
      </c>
      <c r="AN12" s="52">
        <v>0</v>
      </c>
      <c r="AO12" s="52">
        <v>0</v>
      </c>
      <c r="AP12" s="52">
        <v>0</v>
      </c>
      <c r="AQ12" s="52">
        <v>0</v>
      </c>
      <c r="AR12" s="52">
        <v>0</v>
      </c>
      <c r="AS12" s="52">
        <v>0</v>
      </c>
      <c r="AT12" s="52">
        <v>0</v>
      </c>
      <c r="AU12" s="52">
        <v>0</v>
      </c>
      <c r="AV12" s="52">
        <v>0</v>
      </c>
      <c r="AW12" s="52">
        <v>0</v>
      </c>
      <c r="AX12" s="52">
        <v>0</v>
      </c>
      <c r="AY12" s="52">
        <v>0</v>
      </c>
      <c r="AZ12" s="52">
        <v>0</v>
      </c>
      <c r="BA12" s="52">
        <v>0</v>
      </c>
      <c r="BB12" s="52">
        <v>0</v>
      </c>
      <c r="BC12" s="52">
        <v>0</v>
      </c>
      <c r="BD12" s="52">
        <v>0</v>
      </c>
      <c r="BE12" s="52">
        <v>0</v>
      </c>
      <c r="BF12" s="52">
        <v>0</v>
      </c>
      <c r="BG12" s="52">
        <v>0</v>
      </c>
      <c r="BH12" s="52">
        <v>0</v>
      </c>
      <c r="BI12" s="52">
        <v>0</v>
      </c>
      <c r="BJ12" s="52">
        <v>0</v>
      </c>
      <c r="BK12" s="52">
        <v>0</v>
      </c>
      <c r="BL12" s="52">
        <v>0</v>
      </c>
      <c r="BM12" s="52">
        <v>0</v>
      </c>
      <c r="BN12" s="52">
        <v>0</v>
      </c>
      <c r="BO12" s="52">
        <v>0</v>
      </c>
      <c r="BP12" s="52">
        <v>0</v>
      </c>
      <c r="BQ12" s="52">
        <v>0</v>
      </c>
      <c r="BR12" s="52">
        <v>0</v>
      </c>
      <c r="BS12" s="52">
        <v>0</v>
      </c>
      <c r="BT12" s="52">
        <v>0</v>
      </c>
      <c r="BU12" s="52">
        <v>0</v>
      </c>
      <c r="BV12" s="52">
        <v>0</v>
      </c>
      <c r="BW12" s="52">
        <v>0</v>
      </c>
      <c r="BX12" s="52">
        <v>0</v>
      </c>
      <c r="BY12" s="52">
        <v>0</v>
      </c>
    </row>
    <row r="13" spans="1:80" x14ac:dyDescent="0.3">
      <c r="C13" s="2"/>
      <c r="D13" s="2"/>
      <c r="E13" s="2" t="s">
        <v>132</v>
      </c>
      <c r="F13" s="2"/>
      <c r="G13" s="2"/>
      <c r="H13" s="2"/>
      <c r="I13" s="37"/>
      <c r="J13" s="52">
        <v>0</v>
      </c>
      <c r="K13" s="52">
        <v>0</v>
      </c>
      <c r="L13" s="52">
        <v>0</v>
      </c>
      <c r="M13" s="52">
        <v>0</v>
      </c>
      <c r="N13" s="52">
        <v>0</v>
      </c>
      <c r="O13" s="2"/>
      <c r="P13" s="10"/>
      <c r="R13" s="52">
        <v>0</v>
      </c>
      <c r="S13" s="52">
        <v>0</v>
      </c>
      <c r="T13" s="52">
        <v>0</v>
      </c>
      <c r="U13" s="52">
        <v>0</v>
      </c>
      <c r="V13" s="52">
        <v>0</v>
      </c>
      <c r="W13" s="52">
        <v>0</v>
      </c>
      <c r="X13" s="52">
        <v>0</v>
      </c>
      <c r="Y13" s="52">
        <v>0</v>
      </c>
      <c r="Z13" s="52">
        <v>0</v>
      </c>
      <c r="AA13" s="52">
        <v>0</v>
      </c>
      <c r="AB13" s="52">
        <v>0</v>
      </c>
      <c r="AC13" s="52">
        <v>0</v>
      </c>
      <c r="AD13" s="52">
        <v>0</v>
      </c>
      <c r="AE13" s="52">
        <v>0</v>
      </c>
      <c r="AF13" s="52">
        <v>0</v>
      </c>
      <c r="AG13" s="52">
        <v>0</v>
      </c>
      <c r="AH13" s="52">
        <v>0</v>
      </c>
      <c r="AI13" s="52">
        <v>0</v>
      </c>
      <c r="AJ13" s="52">
        <v>0</v>
      </c>
      <c r="AK13" s="52">
        <v>0</v>
      </c>
      <c r="AL13" s="52">
        <v>0</v>
      </c>
      <c r="AM13" s="52">
        <v>0</v>
      </c>
      <c r="AN13" s="52">
        <v>0</v>
      </c>
      <c r="AO13" s="52">
        <v>0</v>
      </c>
      <c r="AP13" s="52">
        <v>0</v>
      </c>
      <c r="AQ13" s="52">
        <v>0</v>
      </c>
      <c r="AR13" s="52">
        <v>0</v>
      </c>
      <c r="AS13" s="52">
        <v>0</v>
      </c>
      <c r="AT13" s="52">
        <v>0</v>
      </c>
      <c r="AU13" s="52">
        <v>0</v>
      </c>
      <c r="AV13" s="52">
        <v>0</v>
      </c>
      <c r="AW13" s="52">
        <v>0</v>
      </c>
      <c r="AX13" s="52">
        <v>0</v>
      </c>
      <c r="AY13" s="52">
        <v>0</v>
      </c>
      <c r="AZ13" s="52">
        <v>0</v>
      </c>
      <c r="BA13" s="52">
        <v>0</v>
      </c>
      <c r="BB13" s="52">
        <v>0</v>
      </c>
      <c r="BC13" s="52">
        <v>0</v>
      </c>
      <c r="BD13" s="52">
        <v>0</v>
      </c>
      <c r="BE13" s="52">
        <v>0</v>
      </c>
      <c r="BF13" s="52">
        <v>0</v>
      </c>
      <c r="BG13" s="52">
        <v>0</v>
      </c>
      <c r="BH13" s="52">
        <v>0</v>
      </c>
      <c r="BI13" s="52">
        <v>0</v>
      </c>
      <c r="BJ13" s="52">
        <v>0</v>
      </c>
      <c r="BK13" s="52">
        <v>0</v>
      </c>
      <c r="BL13" s="52">
        <v>0</v>
      </c>
      <c r="BM13" s="52">
        <v>0</v>
      </c>
      <c r="BN13" s="52">
        <v>0</v>
      </c>
      <c r="BO13" s="52">
        <v>0</v>
      </c>
      <c r="BP13" s="52">
        <v>0</v>
      </c>
      <c r="BQ13" s="52">
        <v>0</v>
      </c>
      <c r="BR13" s="52">
        <v>0</v>
      </c>
      <c r="BS13" s="52">
        <v>0</v>
      </c>
      <c r="BT13" s="52">
        <v>0</v>
      </c>
      <c r="BU13" s="52">
        <v>0</v>
      </c>
      <c r="BV13" s="52">
        <v>0</v>
      </c>
      <c r="BW13" s="52">
        <v>0</v>
      </c>
      <c r="BX13" s="52">
        <v>0</v>
      </c>
      <c r="BY13" s="52">
        <v>0</v>
      </c>
    </row>
    <row r="14" spans="1:80" x14ac:dyDescent="0.3">
      <c r="C14" s="2"/>
      <c r="D14" s="2"/>
      <c r="E14" s="2"/>
      <c r="F14" s="2"/>
      <c r="G14" s="2"/>
      <c r="H14" s="2"/>
      <c r="I14" s="37"/>
      <c r="J14" s="2"/>
      <c r="K14" s="2"/>
      <c r="L14" s="2"/>
      <c r="M14" s="2"/>
      <c r="N14" s="2"/>
      <c r="O14" s="2"/>
      <c r="P14" s="10"/>
      <c r="R14" s="2"/>
      <c r="S14" s="2"/>
      <c r="T14" s="2"/>
      <c r="U14" s="2"/>
      <c r="V14" s="2"/>
      <c r="W14" s="2"/>
      <c r="X14" s="2"/>
      <c r="Y14" s="2"/>
      <c r="Z14" s="2"/>
      <c r="AA14" s="2"/>
      <c r="AB14" s="2"/>
      <c r="AC14" s="2"/>
      <c r="AD14" s="2"/>
      <c r="AE14" s="2"/>
      <c r="AF14" s="2"/>
      <c r="AG14" s="2"/>
      <c r="AH14" s="2"/>
      <c r="AI14" s="2"/>
      <c r="AJ14" s="2"/>
      <c r="AK14" s="2"/>
      <c r="AL14" s="2"/>
      <c r="AM14" s="2"/>
      <c r="AN14" s="2"/>
      <c r="AO14" s="2"/>
      <c r="AP14" s="2"/>
      <c r="AQ14" s="2"/>
      <c r="AR14" s="2"/>
      <c r="AS14" s="2"/>
      <c r="AT14" s="2"/>
      <c r="AU14" s="2"/>
      <c r="AV14" s="2"/>
      <c r="AW14" s="2"/>
      <c r="AX14" s="2"/>
      <c r="AY14" s="2"/>
      <c r="AZ14" s="2"/>
      <c r="BA14" s="2"/>
      <c r="BB14" s="2"/>
      <c r="BC14" s="2"/>
      <c r="BD14" s="2"/>
      <c r="BE14" s="2"/>
      <c r="BF14" s="2"/>
      <c r="BG14" s="2"/>
      <c r="BH14" s="2"/>
      <c r="BI14" s="2"/>
      <c r="BJ14" s="2"/>
      <c r="BK14" s="2"/>
      <c r="BL14" s="2"/>
      <c r="BM14" s="2"/>
      <c r="BN14" s="2"/>
      <c r="BO14" s="2"/>
      <c r="BP14" s="2"/>
      <c r="BQ14" s="2"/>
      <c r="BR14" s="2"/>
      <c r="BS14" s="2"/>
      <c r="BT14" s="2"/>
      <c r="BU14" s="2"/>
      <c r="BV14" s="2"/>
      <c r="BW14" s="2"/>
      <c r="BX14" s="2"/>
      <c r="BY14" s="2"/>
    </row>
    <row r="15" spans="1:80" x14ac:dyDescent="0.3">
      <c r="C15" s="2"/>
      <c r="D15" s="2"/>
      <c r="E15" s="2" t="s">
        <v>174</v>
      </c>
      <c r="F15" s="2"/>
      <c r="G15" s="2"/>
      <c r="H15" s="2"/>
      <c r="I15" s="37"/>
      <c r="J15" s="497">
        <f>J9</f>
        <v>-16</v>
      </c>
      <c r="K15" s="497">
        <f>K9</f>
        <v>-32</v>
      </c>
      <c r="L15" s="497">
        <f>L9</f>
        <v>-48</v>
      </c>
      <c r="M15" s="497">
        <f>M9</f>
        <v>-64</v>
      </c>
      <c r="N15" s="497">
        <f>N9</f>
        <v>-80</v>
      </c>
      <c r="O15" s="2"/>
      <c r="P15" s="10"/>
      <c r="R15" s="497">
        <f t="shared" ref="R15:AW15" si="8">R9</f>
        <v>0</v>
      </c>
      <c r="S15" s="527">
        <f t="shared" si="8"/>
        <v>0</v>
      </c>
      <c r="T15" s="527">
        <f t="shared" si="8"/>
        <v>0</v>
      </c>
      <c r="U15" s="527">
        <f t="shared" si="8"/>
        <v>0</v>
      </c>
      <c r="V15" s="527">
        <f t="shared" si="8"/>
        <v>0</v>
      </c>
      <c r="W15" s="527">
        <f t="shared" si="8"/>
        <v>-8</v>
      </c>
      <c r="X15" s="527">
        <f t="shared" si="8"/>
        <v>-8</v>
      </c>
      <c r="Y15" s="527">
        <f t="shared" si="8"/>
        <v>-8</v>
      </c>
      <c r="Z15" s="527">
        <f t="shared" si="8"/>
        <v>-8</v>
      </c>
      <c r="AA15" s="527">
        <f t="shared" si="8"/>
        <v>-8</v>
      </c>
      <c r="AB15" s="527">
        <f t="shared" si="8"/>
        <v>-8</v>
      </c>
      <c r="AC15" s="527">
        <f t="shared" si="8"/>
        <v>-16</v>
      </c>
      <c r="AD15" s="527">
        <f t="shared" si="8"/>
        <v>-16</v>
      </c>
      <c r="AE15" s="527">
        <f t="shared" si="8"/>
        <v>-16</v>
      </c>
      <c r="AF15" s="527">
        <f t="shared" si="8"/>
        <v>-16</v>
      </c>
      <c r="AG15" s="527">
        <f t="shared" si="8"/>
        <v>-16</v>
      </c>
      <c r="AH15" s="527">
        <f t="shared" si="8"/>
        <v>-16</v>
      </c>
      <c r="AI15" s="527">
        <f t="shared" si="8"/>
        <v>-24</v>
      </c>
      <c r="AJ15" s="527">
        <f t="shared" si="8"/>
        <v>-24</v>
      </c>
      <c r="AK15" s="527">
        <f t="shared" si="8"/>
        <v>-24</v>
      </c>
      <c r="AL15" s="527">
        <f t="shared" si="8"/>
        <v>-24</v>
      </c>
      <c r="AM15" s="527">
        <f t="shared" si="8"/>
        <v>-24</v>
      </c>
      <c r="AN15" s="527">
        <f t="shared" si="8"/>
        <v>-24</v>
      </c>
      <c r="AO15" s="527">
        <f t="shared" si="8"/>
        <v>-32</v>
      </c>
      <c r="AP15" s="527">
        <f t="shared" si="8"/>
        <v>-32</v>
      </c>
      <c r="AQ15" s="527">
        <f t="shared" si="8"/>
        <v>-32</v>
      </c>
      <c r="AR15" s="527">
        <f t="shared" si="8"/>
        <v>-32</v>
      </c>
      <c r="AS15" s="527">
        <f t="shared" si="8"/>
        <v>-32</v>
      </c>
      <c r="AT15" s="527">
        <f t="shared" si="8"/>
        <v>-32</v>
      </c>
      <c r="AU15" s="527">
        <f t="shared" si="8"/>
        <v>-40</v>
      </c>
      <c r="AV15" s="527">
        <f t="shared" si="8"/>
        <v>-40</v>
      </c>
      <c r="AW15" s="527">
        <f t="shared" si="8"/>
        <v>-40</v>
      </c>
      <c r="AX15" s="527">
        <f t="shared" ref="AX15:BY15" si="9">AX9</f>
        <v>-40</v>
      </c>
      <c r="AY15" s="527">
        <f t="shared" si="9"/>
        <v>-40</v>
      </c>
      <c r="AZ15" s="527">
        <f t="shared" si="9"/>
        <v>-40</v>
      </c>
      <c r="BA15" s="527">
        <f t="shared" si="9"/>
        <v>-48</v>
      </c>
      <c r="BB15" s="527">
        <f t="shared" si="9"/>
        <v>-48</v>
      </c>
      <c r="BC15" s="527">
        <f t="shared" si="9"/>
        <v>-48</v>
      </c>
      <c r="BD15" s="527">
        <f t="shared" si="9"/>
        <v>-48</v>
      </c>
      <c r="BE15" s="527">
        <f t="shared" si="9"/>
        <v>-48</v>
      </c>
      <c r="BF15" s="527">
        <f t="shared" si="9"/>
        <v>-48</v>
      </c>
      <c r="BG15" s="527">
        <f t="shared" si="9"/>
        <v>-56</v>
      </c>
      <c r="BH15" s="527">
        <f t="shared" si="9"/>
        <v>-56</v>
      </c>
      <c r="BI15" s="527">
        <f t="shared" si="9"/>
        <v>-56</v>
      </c>
      <c r="BJ15" s="527">
        <f t="shared" si="9"/>
        <v>-56</v>
      </c>
      <c r="BK15" s="527">
        <f t="shared" si="9"/>
        <v>-56</v>
      </c>
      <c r="BL15" s="527">
        <f t="shared" si="9"/>
        <v>-56</v>
      </c>
      <c r="BM15" s="527">
        <f t="shared" si="9"/>
        <v>-64</v>
      </c>
      <c r="BN15" s="527">
        <f t="shared" si="9"/>
        <v>-64</v>
      </c>
      <c r="BO15" s="527">
        <f t="shared" si="9"/>
        <v>-64</v>
      </c>
      <c r="BP15" s="527">
        <f t="shared" si="9"/>
        <v>-64</v>
      </c>
      <c r="BQ15" s="527">
        <f t="shared" si="9"/>
        <v>-64</v>
      </c>
      <c r="BR15" s="527">
        <f t="shared" si="9"/>
        <v>-64</v>
      </c>
      <c r="BS15" s="527">
        <f t="shared" si="9"/>
        <v>-72</v>
      </c>
      <c r="BT15" s="527">
        <f t="shared" si="9"/>
        <v>-72</v>
      </c>
      <c r="BU15" s="527">
        <f t="shared" si="9"/>
        <v>-72</v>
      </c>
      <c r="BV15" s="527">
        <f t="shared" si="9"/>
        <v>-72</v>
      </c>
      <c r="BW15" s="527">
        <f t="shared" si="9"/>
        <v>-72</v>
      </c>
      <c r="BX15" s="527">
        <f t="shared" si="9"/>
        <v>-72</v>
      </c>
      <c r="BY15" s="527">
        <f t="shared" si="9"/>
        <v>-80</v>
      </c>
    </row>
    <row r="16" spans="1:80" x14ac:dyDescent="0.3">
      <c r="C16" s="2"/>
      <c r="D16" s="2"/>
      <c r="E16" s="2" t="s">
        <v>190</v>
      </c>
      <c r="F16" s="2"/>
      <c r="G16" s="2"/>
      <c r="H16" s="2"/>
      <c r="I16" s="37"/>
      <c r="J16" s="52">
        <v>0</v>
      </c>
      <c r="K16" s="52">
        <v>0</v>
      </c>
      <c r="L16" s="52">
        <v>0</v>
      </c>
      <c r="M16" s="52">
        <v>0</v>
      </c>
      <c r="N16" s="52">
        <v>0</v>
      </c>
      <c r="O16" s="2"/>
      <c r="P16" s="10"/>
      <c r="R16" s="52">
        <v>0</v>
      </c>
      <c r="S16" s="52">
        <v>0</v>
      </c>
      <c r="T16" s="52">
        <v>0</v>
      </c>
      <c r="U16" s="52">
        <v>0</v>
      </c>
      <c r="V16" s="52">
        <v>0</v>
      </c>
      <c r="W16" s="52">
        <v>0</v>
      </c>
      <c r="X16" s="52">
        <v>0</v>
      </c>
      <c r="Y16" s="52">
        <v>0</v>
      </c>
      <c r="Z16" s="52">
        <v>0</v>
      </c>
      <c r="AA16" s="52">
        <v>0</v>
      </c>
      <c r="AB16" s="52">
        <v>0</v>
      </c>
      <c r="AC16" s="52">
        <v>0</v>
      </c>
      <c r="AD16" s="52">
        <v>0</v>
      </c>
      <c r="AE16" s="52">
        <v>0</v>
      </c>
      <c r="AF16" s="52">
        <v>0</v>
      </c>
      <c r="AG16" s="52">
        <v>0</v>
      </c>
      <c r="AH16" s="52">
        <v>0</v>
      </c>
      <c r="AI16" s="52">
        <v>0</v>
      </c>
      <c r="AJ16" s="52">
        <v>0</v>
      </c>
      <c r="AK16" s="52">
        <v>0</v>
      </c>
      <c r="AL16" s="52">
        <v>0</v>
      </c>
      <c r="AM16" s="52">
        <v>0</v>
      </c>
      <c r="AN16" s="52">
        <v>0</v>
      </c>
      <c r="AO16" s="52">
        <v>0</v>
      </c>
      <c r="AP16" s="52">
        <v>0</v>
      </c>
      <c r="AQ16" s="52">
        <v>0</v>
      </c>
      <c r="AR16" s="52">
        <v>0</v>
      </c>
      <c r="AS16" s="52">
        <v>0</v>
      </c>
      <c r="AT16" s="52">
        <v>0</v>
      </c>
      <c r="AU16" s="52">
        <v>0</v>
      </c>
      <c r="AV16" s="52">
        <v>0</v>
      </c>
      <c r="AW16" s="52">
        <v>0</v>
      </c>
      <c r="AX16" s="52">
        <v>0</v>
      </c>
      <c r="AY16" s="52">
        <v>0</v>
      </c>
      <c r="AZ16" s="52">
        <v>0</v>
      </c>
      <c r="BA16" s="52">
        <v>0</v>
      </c>
      <c r="BB16" s="52">
        <v>0</v>
      </c>
      <c r="BC16" s="52">
        <v>0</v>
      </c>
      <c r="BD16" s="52">
        <v>0</v>
      </c>
      <c r="BE16" s="52">
        <v>0</v>
      </c>
      <c r="BF16" s="52">
        <v>0</v>
      </c>
      <c r="BG16" s="52">
        <v>0</v>
      </c>
      <c r="BH16" s="52">
        <v>0</v>
      </c>
      <c r="BI16" s="52">
        <v>0</v>
      </c>
      <c r="BJ16" s="52">
        <v>0</v>
      </c>
      <c r="BK16" s="52">
        <v>0</v>
      </c>
      <c r="BL16" s="52">
        <v>0</v>
      </c>
      <c r="BM16" s="52">
        <v>0</v>
      </c>
      <c r="BN16" s="52">
        <v>0</v>
      </c>
      <c r="BO16" s="52">
        <v>0</v>
      </c>
      <c r="BP16" s="52">
        <v>0</v>
      </c>
      <c r="BQ16" s="52">
        <v>0</v>
      </c>
      <c r="BR16" s="52">
        <v>0</v>
      </c>
      <c r="BS16" s="52">
        <v>0</v>
      </c>
      <c r="BT16" s="52">
        <v>0</v>
      </c>
      <c r="BU16" s="52">
        <v>0</v>
      </c>
      <c r="BV16" s="52">
        <v>0</v>
      </c>
      <c r="BW16" s="52">
        <v>0</v>
      </c>
      <c r="BX16" s="52">
        <v>0</v>
      </c>
      <c r="BY16" s="52">
        <v>0</v>
      </c>
    </row>
    <row r="17" spans="3:80" x14ac:dyDescent="0.3">
      <c r="C17" s="2"/>
      <c r="D17" s="2"/>
      <c r="E17" s="2" t="s">
        <v>266</v>
      </c>
      <c r="F17" s="2"/>
      <c r="G17" s="2"/>
      <c r="H17" s="2"/>
      <c r="I17" s="37"/>
      <c r="J17" s="497">
        <f>J15</f>
        <v>-16</v>
      </c>
      <c r="K17" s="497">
        <f>K15</f>
        <v>-32</v>
      </c>
      <c r="L17" s="497">
        <f>L15</f>
        <v>-48</v>
      </c>
      <c r="M17" s="497">
        <f>M15</f>
        <v>-64</v>
      </c>
      <c r="N17" s="497">
        <f>N15</f>
        <v>-80</v>
      </c>
      <c r="O17" s="2"/>
      <c r="P17" s="10"/>
      <c r="R17" s="497">
        <f t="shared" ref="R17:BY17" si="10">R15</f>
        <v>0</v>
      </c>
      <c r="S17" s="527">
        <f t="shared" si="10"/>
        <v>0</v>
      </c>
      <c r="T17" s="527">
        <f t="shared" si="10"/>
        <v>0</v>
      </c>
      <c r="U17" s="527">
        <f t="shared" si="10"/>
        <v>0</v>
      </c>
      <c r="V17" s="527">
        <f t="shared" si="10"/>
        <v>0</v>
      </c>
      <c r="W17" s="527">
        <f t="shared" si="10"/>
        <v>-8</v>
      </c>
      <c r="X17" s="527">
        <f t="shared" si="10"/>
        <v>-8</v>
      </c>
      <c r="Y17" s="527">
        <f t="shared" si="10"/>
        <v>-8</v>
      </c>
      <c r="Z17" s="527">
        <f t="shared" si="10"/>
        <v>-8</v>
      </c>
      <c r="AA17" s="527">
        <f t="shared" si="10"/>
        <v>-8</v>
      </c>
      <c r="AB17" s="527">
        <f t="shared" si="10"/>
        <v>-8</v>
      </c>
      <c r="AC17" s="527">
        <f t="shared" si="10"/>
        <v>-16</v>
      </c>
      <c r="AD17" s="527">
        <f t="shared" si="10"/>
        <v>-16</v>
      </c>
      <c r="AE17" s="527">
        <f t="shared" si="10"/>
        <v>-16</v>
      </c>
      <c r="AF17" s="527">
        <f t="shared" si="10"/>
        <v>-16</v>
      </c>
      <c r="AG17" s="527">
        <f t="shared" si="10"/>
        <v>-16</v>
      </c>
      <c r="AH17" s="527">
        <f t="shared" si="10"/>
        <v>-16</v>
      </c>
      <c r="AI17" s="527">
        <f t="shared" si="10"/>
        <v>-24</v>
      </c>
      <c r="AJ17" s="527">
        <f t="shared" si="10"/>
        <v>-24</v>
      </c>
      <c r="AK17" s="527">
        <f t="shared" si="10"/>
        <v>-24</v>
      </c>
      <c r="AL17" s="527">
        <f t="shared" si="10"/>
        <v>-24</v>
      </c>
      <c r="AM17" s="527">
        <f t="shared" si="10"/>
        <v>-24</v>
      </c>
      <c r="AN17" s="527">
        <f t="shared" si="10"/>
        <v>-24</v>
      </c>
      <c r="AO17" s="527">
        <f t="shared" si="10"/>
        <v>-32</v>
      </c>
      <c r="AP17" s="527">
        <f t="shared" si="10"/>
        <v>-32</v>
      </c>
      <c r="AQ17" s="527">
        <f t="shared" si="10"/>
        <v>-32</v>
      </c>
      <c r="AR17" s="527">
        <f t="shared" si="10"/>
        <v>-32</v>
      </c>
      <c r="AS17" s="527">
        <f t="shared" si="10"/>
        <v>-32</v>
      </c>
      <c r="AT17" s="527">
        <f t="shared" si="10"/>
        <v>-32</v>
      </c>
      <c r="AU17" s="527">
        <f t="shared" si="10"/>
        <v>-40</v>
      </c>
      <c r="AV17" s="527">
        <f t="shared" si="10"/>
        <v>-40</v>
      </c>
      <c r="AW17" s="527">
        <f t="shared" si="10"/>
        <v>-40</v>
      </c>
      <c r="AX17" s="527">
        <f t="shared" si="10"/>
        <v>-40</v>
      </c>
      <c r="AY17" s="527">
        <f t="shared" si="10"/>
        <v>-40</v>
      </c>
      <c r="AZ17" s="527">
        <f t="shared" si="10"/>
        <v>-40</v>
      </c>
      <c r="BA17" s="527">
        <f t="shared" si="10"/>
        <v>-48</v>
      </c>
      <c r="BB17" s="527">
        <f t="shared" si="10"/>
        <v>-48</v>
      </c>
      <c r="BC17" s="527">
        <f t="shared" si="10"/>
        <v>-48</v>
      </c>
      <c r="BD17" s="527">
        <f t="shared" si="10"/>
        <v>-48</v>
      </c>
      <c r="BE17" s="527">
        <f t="shared" si="10"/>
        <v>-48</v>
      </c>
      <c r="BF17" s="527">
        <f t="shared" si="10"/>
        <v>-48</v>
      </c>
      <c r="BG17" s="527">
        <f t="shared" si="10"/>
        <v>-56</v>
      </c>
      <c r="BH17" s="527">
        <f t="shared" si="10"/>
        <v>-56</v>
      </c>
      <c r="BI17" s="527">
        <f t="shared" si="10"/>
        <v>-56</v>
      </c>
      <c r="BJ17" s="527">
        <f t="shared" si="10"/>
        <v>-56</v>
      </c>
      <c r="BK17" s="527">
        <f t="shared" si="10"/>
        <v>-56</v>
      </c>
      <c r="BL17" s="527">
        <f t="shared" si="10"/>
        <v>-56</v>
      </c>
      <c r="BM17" s="527">
        <f t="shared" si="10"/>
        <v>-64</v>
      </c>
      <c r="BN17" s="527">
        <f t="shared" si="10"/>
        <v>-64</v>
      </c>
      <c r="BO17" s="527">
        <f t="shared" si="10"/>
        <v>-64</v>
      </c>
      <c r="BP17" s="527">
        <f t="shared" si="10"/>
        <v>-64</v>
      </c>
      <c r="BQ17" s="527">
        <f t="shared" si="10"/>
        <v>-64</v>
      </c>
      <c r="BR17" s="527">
        <f t="shared" si="10"/>
        <v>-64</v>
      </c>
      <c r="BS17" s="527">
        <f t="shared" si="10"/>
        <v>-72</v>
      </c>
      <c r="BT17" s="527">
        <f t="shared" si="10"/>
        <v>-72</v>
      </c>
      <c r="BU17" s="527">
        <f t="shared" si="10"/>
        <v>-72</v>
      </c>
      <c r="BV17" s="527">
        <f t="shared" si="10"/>
        <v>-72</v>
      </c>
      <c r="BW17" s="527">
        <f t="shared" si="10"/>
        <v>-72</v>
      </c>
      <c r="BX17" s="527">
        <f t="shared" si="10"/>
        <v>-72</v>
      </c>
      <c r="BY17" s="527">
        <f t="shared" si="10"/>
        <v>-80</v>
      </c>
    </row>
    <row r="18" spans="3:80" x14ac:dyDescent="0.3">
      <c r="C18" s="2"/>
      <c r="D18" s="2"/>
      <c r="E18" s="2"/>
      <c r="F18" s="2"/>
      <c r="G18" s="2"/>
      <c r="H18" s="2"/>
      <c r="I18" s="37"/>
      <c r="J18" s="2"/>
      <c r="K18" s="2"/>
      <c r="L18" s="2"/>
      <c r="M18" s="2"/>
      <c r="N18" s="2"/>
      <c r="O18" s="2"/>
      <c r="P18" s="10"/>
      <c r="R18" s="2"/>
      <c r="S18" s="2"/>
      <c r="T18" s="2"/>
      <c r="U18" s="2"/>
      <c r="V18" s="2"/>
      <c r="W18" s="2"/>
      <c r="X18" s="2"/>
      <c r="Y18" s="2"/>
      <c r="Z18" s="2"/>
      <c r="AA18" s="2"/>
      <c r="AB18" s="2"/>
      <c r="AC18" s="2"/>
      <c r="AD18" s="2"/>
      <c r="AE18" s="2"/>
      <c r="AF18" s="2"/>
      <c r="AG18" s="2"/>
      <c r="AH18" s="2"/>
      <c r="AI18" s="2"/>
      <c r="AJ18" s="2"/>
      <c r="AK18" s="2"/>
      <c r="AL18" s="2"/>
      <c r="AM18" s="2"/>
      <c r="AN18" s="2"/>
      <c r="AO18" s="2"/>
      <c r="AP18" s="2"/>
      <c r="AQ18" s="2"/>
      <c r="AR18" s="2"/>
      <c r="AS18" s="2"/>
      <c r="AT18" s="2"/>
      <c r="AU18" s="2"/>
      <c r="AV18" s="2"/>
      <c r="AW18" s="2"/>
      <c r="AX18" s="2"/>
      <c r="AY18" s="2"/>
      <c r="AZ18" s="2"/>
      <c r="BA18" s="2"/>
      <c r="BB18" s="2"/>
      <c r="BC18" s="2"/>
      <c r="BD18" s="2"/>
      <c r="BE18" s="2"/>
      <c r="BF18" s="2"/>
      <c r="BG18" s="2"/>
      <c r="BH18" s="2"/>
      <c r="BI18" s="2"/>
      <c r="BJ18" s="2"/>
      <c r="BK18" s="2"/>
      <c r="BL18" s="2"/>
      <c r="BM18" s="2"/>
      <c r="BN18" s="2"/>
      <c r="BO18" s="2"/>
      <c r="BP18" s="2"/>
      <c r="BQ18" s="2"/>
      <c r="BR18" s="2"/>
      <c r="BS18" s="2"/>
      <c r="BT18" s="2"/>
      <c r="BU18" s="2"/>
      <c r="BV18" s="2"/>
      <c r="BW18" s="2"/>
      <c r="BX18" s="2"/>
      <c r="BY18" s="2"/>
    </row>
    <row r="19" spans="3:80" x14ac:dyDescent="0.3">
      <c r="C19" s="2"/>
      <c r="D19" s="2"/>
      <c r="E19" s="405" t="s">
        <v>373</v>
      </c>
      <c r="F19" s="54"/>
      <c r="G19" s="54"/>
      <c r="H19" s="54"/>
      <c r="I19" s="37"/>
      <c r="J19" s="497">
        <f>SUMIF($R$2:$BY$2,J$3,$R19:$BY19)</f>
        <v>-843.47369229977244</v>
      </c>
      <c r="K19" s="497">
        <f>SUMIF($R$2:$BY$2,K$3,$R19:$BY19)</f>
        <v>-3420.3737645876017</v>
      </c>
      <c r="L19" s="497">
        <f>SUMIF($R$2:$BY$2,L$3,$R19:$BY19)</f>
        <v>-6096.5627978949742</v>
      </c>
      <c r="M19" s="497">
        <f>SUMIF($R$2:$BY$2,M$3,$R19:$BY19)</f>
        <v>-8878.9319439164938</v>
      </c>
      <c r="N19" s="497">
        <f>SUMIF($R$2:$BY$2,N$3,$R19:$BY19)</f>
        <v>-11769.588222270533</v>
      </c>
      <c r="O19" s="37"/>
      <c r="P19" s="55">
        <f>IFERROR(((N19/I19)^(1/5))-1,0)</f>
        <v>0</v>
      </c>
      <c r="R19" s="497">
        <f t="shared" ref="R19:AW19" si="11">R$9*R84</f>
        <v>0</v>
      </c>
      <c r="S19" s="527">
        <f t="shared" si="11"/>
        <v>0</v>
      </c>
      <c r="T19" s="527">
        <f t="shared" si="11"/>
        <v>0</v>
      </c>
      <c r="U19" s="527">
        <f t="shared" si="11"/>
        <v>0</v>
      </c>
      <c r="V19" s="527">
        <f t="shared" si="11"/>
        <v>0</v>
      </c>
      <c r="W19" s="527">
        <f t="shared" si="11"/>
        <v>-103.29221453271018</v>
      </c>
      <c r="X19" s="527">
        <f t="shared" si="11"/>
        <v>-105.74021110958033</v>
      </c>
      <c r="Y19" s="527">
        <f t="shared" si="11"/>
        <v>-105.74021110958033</v>
      </c>
      <c r="Z19" s="527">
        <f t="shared" si="11"/>
        <v>-105.74021110958033</v>
      </c>
      <c r="AA19" s="527">
        <f t="shared" si="11"/>
        <v>-105.74021110958033</v>
      </c>
      <c r="AB19" s="527">
        <f t="shared" si="11"/>
        <v>-105.74021110958033</v>
      </c>
      <c r="AC19" s="527">
        <f t="shared" si="11"/>
        <v>-211.48042221916066</v>
      </c>
      <c r="AD19" s="527">
        <f t="shared" si="11"/>
        <v>-210.21810833546931</v>
      </c>
      <c r="AE19" s="527">
        <f t="shared" si="11"/>
        <v>-210.21810833546931</v>
      </c>
      <c r="AF19" s="527">
        <f t="shared" si="11"/>
        <v>-210.21810833546931</v>
      </c>
      <c r="AG19" s="527">
        <f t="shared" si="11"/>
        <v>-210.21810833546931</v>
      </c>
      <c r="AH19" s="527">
        <f t="shared" si="11"/>
        <v>-210.21810833546931</v>
      </c>
      <c r="AI19" s="527">
        <f t="shared" si="11"/>
        <v>-315.32716250320397</v>
      </c>
      <c r="AJ19" s="527">
        <f t="shared" si="11"/>
        <v>-324.3088516432187</v>
      </c>
      <c r="AK19" s="527">
        <f t="shared" si="11"/>
        <v>-324.3088516432187</v>
      </c>
      <c r="AL19" s="527">
        <f t="shared" si="11"/>
        <v>-324.3088516432187</v>
      </c>
      <c r="AM19" s="527">
        <f t="shared" si="11"/>
        <v>-324.3088516432187</v>
      </c>
      <c r="AN19" s="527">
        <f t="shared" si="11"/>
        <v>-324.3088516432187</v>
      </c>
      <c r="AO19" s="527">
        <f t="shared" si="11"/>
        <v>-432.41180219095827</v>
      </c>
      <c r="AP19" s="527">
        <f t="shared" si="11"/>
        <v>-427.64780088473589</v>
      </c>
      <c r="AQ19" s="527">
        <f t="shared" si="11"/>
        <v>-427.64780088473589</v>
      </c>
      <c r="AR19" s="527">
        <f t="shared" si="11"/>
        <v>-427.64780088473589</v>
      </c>
      <c r="AS19" s="527">
        <f t="shared" si="11"/>
        <v>-427.64780088473589</v>
      </c>
      <c r="AT19" s="527">
        <f t="shared" si="11"/>
        <v>-427.64780088473589</v>
      </c>
      <c r="AU19" s="527">
        <f t="shared" si="11"/>
        <v>-534.55975110591987</v>
      </c>
      <c r="AV19" s="527">
        <f t="shared" si="11"/>
        <v>-552.22000683312501</v>
      </c>
      <c r="AW19" s="527">
        <f t="shared" si="11"/>
        <v>-552.22000683312501</v>
      </c>
      <c r="AX19" s="527">
        <f t="shared" ref="AX19:BY19" si="12">AX$9*AX84</f>
        <v>-552.22000683312501</v>
      </c>
      <c r="AY19" s="527">
        <f t="shared" si="12"/>
        <v>-552.22000683312501</v>
      </c>
      <c r="AZ19" s="527">
        <f t="shared" si="12"/>
        <v>-552.22000683312501</v>
      </c>
      <c r="BA19" s="527">
        <f t="shared" si="12"/>
        <v>-662.66400819975001</v>
      </c>
      <c r="BB19" s="527">
        <f t="shared" si="12"/>
        <v>-652.80742004314175</v>
      </c>
      <c r="BC19" s="527">
        <f t="shared" si="12"/>
        <v>-652.80742004314175</v>
      </c>
      <c r="BD19" s="527">
        <f t="shared" si="12"/>
        <v>-652.80742004314175</v>
      </c>
      <c r="BE19" s="527">
        <f t="shared" si="12"/>
        <v>-652.80742004314175</v>
      </c>
      <c r="BF19" s="527">
        <f t="shared" si="12"/>
        <v>-652.80742004314175</v>
      </c>
      <c r="BG19" s="527">
        <f t="shared" si="12"/>
        <v>-761.60865671699867</v>
      </c>
      <c r="BH19" s="527">
        <f t="shared" si="12"/>
        <v>-790.06984439270946</v>
      </c>
      <c r="BI19" s="527">
        <f t="shared" si="12"/>
        <v>-790.06984439270946</v>
      </c>
      <c r="BJ19" s="527">
        <f t="shared" si="12"/>
        <v>-790.06984439270946</v>
      </c>
      <c r="BK19" s="527">
        <f t="shared" si="12"/>
        <v>-790.06984439270946</v>
      </c>
      <c r="BL19" s="527">
        <f t="shared" si="12"/>
        <v>-790.06984439270946</v>
      </c>
      <c r="BM19" s="527">
        <f t="shared" si="12"/>
        <v>-902.93696502023943</v>
      </c>
      <c r="BN19" s="527">
        <f t="shared" si="12"/>
        <v>-885.93580032814077</v>
      </c>
      <c r="BO19" s="527">
        <f t="shared" si="12"/>
        <v>-885.93580032814077</v>
      </c>
      <c r="BP19" s="527">
        <f t="shared" si="12"/>
        <v>-885.93580032814077</v>
      </c>
      <c r="BQ19" s="527">
        <f t="shared" si="12"/>
        <v>-885.93580032814077</v>
      </c>
      <c r="BR19" s="527">
        <f t="shared" si="12"/>
        <v>-885.93580032814077</v>
      </c>
      <c r="BS19" s="527">
        <f t="shared" si="12"/>
        <v>-996.67777536915833</v>
      </c>
      <c r="BT19" s="527">
        <f t="shared" si="12"/>
        <v>-1037.9833274062917</v>
      </c>
      <c r="BU19" s="527">
        <f t="shared" si="12"/>
        <v>-1037.9833274062917</v>
      </c>
      <c r="BV19" s="527">
        <f t="shared" si="12"/>
        <v>-1037.9833274062917</v>
      </c>
      <c r="BW19" s="527">
        <f t="shared" si="12"/>
        <v>-1037.9833274062917</v>
      </c>
      <c r="BX19" s="527">
        <f t="shared" si="12"/>
        <v>-1037.9833274062917</v>
      </c>
      <c r="BY19" s="527">
        <f t="shared" si="12"/>
        <v>-1153.314808229213</v>
      </c>
    </row>
    <row r="20" spans="3:80" x14ac:dyDescent="0.3">
      <c r="C20" s="2"/>
      <c r="D20" s="2"/>
      <c r="E20" s="2"/>
      <c r="F20" s="37"/>
      <c r="G20" s="37"/>
      <c r="H20" s="37"/>
      <c r="I20" s="37"/>
      <c r="J20" s="37"/>
      <c r="K20" s="37"/>
      <c r="L20" s="37"/>
      <c r="M20" s="37"/>
      <c r="N20" s="37"/>
      <c r="O20" s="37"/>
      <c r="P20" s="35"/>
      <c r="R20" s="37"/>
      <c r="S20" s="37"/>
      <c r="T20" s="37"/>
      <c r="U20" s="37"/>
      <c r="V20" s="37"/>
      <c r="W20" s="37"/>
      <c r="X20" s="37"/>
      <c r="Y20" s="37"/>
      <c r="Z20" s="37"/>
      <c r="AA20" s="37"/>
      <c r="AB20" s="37"/>
      <c r="AC20" s="37"/>
      <c r="AD20" s="37"/>
      <c r="AE20" s="37"/>
      <c r="AF20" s="37"/>
      <c r="AG20" s="37"/>
      <c r="AH20" s="37"/>
      <c r="AI20" s="37"/>
      <c r="AJ20" s="37"/>
      <c r="AK20" s="37"/>
      <c r="AL20" s="37"/>
      <c r="AM20" s="37"/>
      <c r="AN20" s="37"/>
      <c r="AO20" s="37"/>
      <c r="AP20" s="37"/>
      <c r="AQ20" s="37"/>
      <c r="AR20" s="37"/>
      <c r="AS20" s="37"/>
      <c r="AT20" s="37"/>
      <c r="AU20" s="37"/>
      <c r="AV20" s="37"/>
      <c r="AW20" s="37"/>
      <c r="AX20" s="37"/>
      <c r="AY20" s="37"/>
      <c r="AZ20" s="37"/>
      <c r="BA20" s="37"/>
      <c r="BB20" s="37"/>
      <c r="BC20" s="37"/>
      <c r="BD20" s="37"/>
      <c r="BE20" s="37"/>
      <c r="BF20" s="37"/>
      <c r="BG20" s="37"/>
      <c r="BH20" s="37"/>
      <c r="BI20" s="37"/>
      <c r="BJ20" s="37"/>
      <c r="BK20" s="37"/>
      <c r="BL20" s="37"/>
      <c r="BM20" s="37"/>
      <c r="BN20" s="37"/>
      <c r="BO20" s="37"/>
      <c r="BP20" s="37"/>
      <c r="BQ20" s="37"/>
      <c r="BR20" s="37"/>
      <c r="BS20" s="37"/>
      <c r="BT20" s="37"/>
      <c r="BU20" s="37"/>
      <c r="BV20" s="37"/>
      <c r="BW20" s="37"/>
      <c r="BX20" s="37"/>
      <c r="BY20" s="37"/>
    </row>
    <row r="21" spans="3:80" x14ac:dyDescent="0.3">
      <c r="C21" s="2"/>
      <c r="D21" s="2"/>
      <c r="E21" s="17" t="s">
        <v>22</v>
      </c>
      <c r="F21" s="37"/>
      <c r="G21" s="37"/>
      <c r="H21" s="37"/>
      <c r="I21" s="56"/>
      <c r="J21" s="56"/>
      <c r="K21" s="56"/>
      <c r="L21" s="56"/>
      <c r="M21" s="56"/>
      <c r="N21" s="56"/>
      <c r="O21" s="37"/>
      <c r="P21" s="35"/>
      <c r="R21" s="37"/>
      <c r="S21" s="37"/>
      <c r="T21" s="37"/>
      <c r="U21" s="37"/>
      <c r="V21" s="37"/>
      <c r="W21" s="37"/>
      <c r="X21" s="37"/>
      <c r="Y21" s="37"/>
      <c r="Z21" s="37"/>
      <c r="AA21" s="37"/>
      <c r="AB21" s="37"/>
      <c r="AC21" s="37"/>
      <c r="AD21" s="37"/>
      <c r="AE21" s="37"/>
      <c r="AF21" s="37"/>
      <c r="AG21" s="37"/>
      <c r="AH21" s="37"/>
      <c r="AI21" s="37"/>
      <c r="AJ21" s="37"/>
      <c r="AK21" s="37"/>
      <c r="AL21" s="37"/>
      <c r="AM21" s="37"/>
      <c r="AN21" s="37"/>
      <c r="AO21" s="37"/>
      <c r="AP21" s="37"/>
      <c r="AQ21" s="37"/>
      <c r="AR21" s="37"/>
      <c r="AS21" s="37"/>
      <c r="AT21" s="37"/>
      <c r="AU21" s="37"/>
      <c r="AV21" s="37"/>
      <c r="AW21" s="37"/>
      <c r="AX21" s="37"/>
      <c r="AY21" s="37"/>
      <c r="AZ21" s="37"/>
      <c r="BA21" s="37"/>
      <c r="BB21" s="37"/>
      <c r="BC21" s="37"/>
      <c r="BD21" s="37"/>
      <c r="BE21" s="37"/>
      <c r="BF21" s="37"/>
      <c r="BG21" s="37"/>
      <c r="BH21" s="37"/>
      <c r="BI21" s="37"/>
      <c r="BJ21" s="37"/>
      <c r="BK21" s="37"/>
      <c r="BL21" s="37"/>
      <c r="BM21" s="37"/>
      <c r="BN21" s="37"/>
      <c r="BO21" s="37"/>
      <c r="BP21" s="37"/>
      <c r="BQ21" s="37"/>
      <c r="BR21" s="37"/>
      <c r="BS21" s="37"/>
      <c r="BT21" s="37"/>
      <c r="BU21" s="37"/>
      <c r="BV21" s="37"/>
      <c r="BW21" s="37"/>
      <c r="BX21" s="37"/>
      <c r="BY21" s="37"/>
    </row>
    <row r="22" spans="3:80" x14ac:dyDescent="0.3">
      <c r="C22" s="2"/>
      <c r="D22" s="2"/>
      <c r="E22" s="4" t="s">
        <v>388</v>
      </c>
      <c r="F22" s="5"/>
      <c r="G22" s="5"/>
      <c r="H22" s="5"/>
      <c r="I22" s="6"/>
      <c r="J22" s="498">
        <f t="shared" ref="J22:N27" si="13">SUMIF($R$2:$BY$2,J$3,$R22:$BY22)</f>
        <v>-680401.66161796718</v>
      </c>
      <c r="K22" s="498">
        <f t="shared" si="13"/>
        <v>-2859766.4197683288</v>
      </c>
      <c r="L22" s="498">
        <f t="shared" si="13"/>
        <v>-5277030.6586655416</v>
      </c>
      <c r="M22" s="498">
        <f t="shared" si="13"/>
        <v>-7945797.1442676559</v>
      </c>
      <c r="N22" s="498">
        <f t="shared" si="13"/>
        <v>-10889747.798760353</v>
      </c>
      <c r="O22" s="57"/>
      <c r="P22" s="55">
        <f>IFERROR(((N22/I22)^(1/5))-1,0)</f>
        <v>0</v>
      </c>
      <c r="R22" s="498">
        <f t="shared" ref="R22:AW22" si="14">R$9*R87</f>
        <v>0</v>
      </c>
      <c r="S22" s="530">
        <f t="shared" si="14"/>
        <v>0</v>
      </c>
      <c r="T22" s="530">
        <f t="shared" si="14"/>
        <v>0</v>
      </c>
      <c r="U22" s="530">
        <f t="shared" si="14"/>
        <v>0</v>
      </c>
      <c r="V22" s="530">
        <f t="shared" si="14"/>
        <v>0</v>
      </c>
      <c r="W22" s="530">
        <f t="shared" si="14"/>
        <v>-83321.85262476535</v>
      </c>
      <c r="X22" s="530">
        <f t="shared" si="14"/>
        <v>-85297.115570457405</v>
      </c>
      <c r="Y22" s="530">
        <f t="shared" si="14"/>
        <v>-85297.115570457405</v>
      </c>
      <c r="Z22" s="530">
        <f t="shared" si="14"/>
        <v>-85297.115570457405</v>
      </c>
      <c r="AA22" s="530">
        <f t="shared" si="14"/>
        <v>-85297.115570457405</v>
      </c>
      <c r="AB22" s="530">
        <f t="shared" si="14"/>
        <v>-85297.115570457405</v>
      </c>
      <c r="AC22" s="530">
        <f t="shared" si="14"/>
        <v>-170594.23114091481</v>
      </c>
      <c r="AD22" s="530">
        <f t="shared" si="14"/>
        <v>-175761.75345631267</v>
      </c>
      <c r="AE22" s="530">
        <f t="shared" si="14"/>
        <v>-175761.75345631267</v>
      </c>
      <c r="AF22" s="530">
        <f t="shared" si="14"/>
        <v>-175761.75345631267</v>
      </c>
      <c r="AG22" s="530">
        <f t="shared" si="14"/>
        <v>-175761.75345631267</v>
      </c>
      <c r="AH22" s="530">
        <f t="shared" si="14"/>
        <v>-175761.75345631267</v>
      </c>
      <c r="AI22" s="530">
        <f t="shared" si="14"/>
        <v>-263642.63018446899</v>
      </c>
      <c r="AJ22" s="530">
        <f t="shared" si="14"/>
        <v>-271155.00352141523</v>
      </c>
      <c r="AK22" s="530">
        <f t="shared" si="14"/>
        <v>-271155.00352141523</v>
      </c>
      <c r="AL22" s="530">
        <f t="shared" si="14"/>
        <v>-271155.00352141523</v>
      </c>
      <c r="AM22" s="530">
        <f t="shared" si="14"/>
        <v>-271155.00352141523</v>
      </c>
      <c r="AN22" s="530">
        <f t="shared" si="14"/>
        <v>-271155.00352141523</v>
      </c>
      <c r="AO22" s="530">
        <f t="shared" si="14"/>
        <v>-361540.00469522033</v>
      </c>
      <c r="AP22" s="530">
        <f t="shared" si="14"/>
        <v>-370158.16155479319</v>
      </c>
      <c r="AQ22" s="530">
        <f t="shared" si="14"/>
        <v>-370158.16155479319</v>
      </c>
      <c r="AR22" s="530">
        <f t="shared" si="14"/>
        <v>-370158.16155479319</v>
      </c>
      <c r="AS22" s="530">
        <f t="shared" si="14"/>
        <v>-370158.16155479319</v>
      </c>
      <c r="AT22" s="530">
        <f t="shared" si="14"/>
        <v>-370158.16155479319</v>
      </c>
      <c r="AU22" s="530">
        <f t="shared" si="14"/>
        <v>-462697.70194349147</v>
      </c>
      <c r="AV22" s="530">
        <f t="shared" si="14"/>
        <v>-477990.66918517498</v>
      </c>
      <c r="AW22" s="530">
        <f t="shared" si="14"/>
        <v>-477990.66918517498</v>
      </c>
      <c r="AX22" s="530">
        <f t="shared" ref="AX22:BY22" si="15">AX$9*AX87</f>
        <v>-477990.66918517498</v>
      </c>
      <c r="AY22" s="530">
        <f t="shared" si="15"/>
        <v>-477990.66918517498</v>
      </c>
      <c r="AZ22" s="530">
        <f t="shared" si="15"/>
        <v>-477990.66918517498</v>
      </c>
      <c r="BA22" s="530">
        <f t="shared" si="15"/>
        <v>-573588.80302221002</v>
      </c>
      <c r="BB22" s="530">
        <f t="shared" si="15"/>
        <v>-584194.69916523562</v>
      </c>
      <c r="BC22" s="530">
        <f t="shared" si="15"/>
        <v>-584194.69916523562</v>
      </c>
      <c r="BD22" s="530">
        <f t="shared" si="15"/>
        <v>-584194.69916523562</v>
      </c>
      <c r="BE22" s="530">
        <f t="shared" si="15"/>
        <v>-584194.69916523562</v>
      </c>
      <c r="BF22" s="530">
        <f t="shared" si="15"/>
        <v>-584194.69916523562</v>
      </c>
      <c r="BG22" s="530">
        <f t="shared" si="15"/>
        <v>-681560.48235944158</v>
      </c>
      <c r="BH22" s="530">
        <f t="shared" si="15"/>
        <v>-707042.84099009878</v>
      </c>
      <c r="BI22" s="530">
        <f t="shared" si="15"/>
        <v>-707042.84099009878</v>
      </c>
      <c r="BJ22" s="530">
        <f t="shared" si="15"/>
        <v>-707042.84099009878</v>
      </c>
      <c r="BK22" s="530">
        <f t="shared" si="15"/>
        <v>-707042.84099009878</v>
      </c>
      <c r="BL22" s="530">
        <f t="shared" si="15"/>
        <v>-707042.84099009878</v>
      </c>
      <c r="BM22" s="530">
        <f t="shared" si="15"/>
        <v>-808048.96113154141</v>
      </c>
      <c r="BN22" s="530">
        <f t="shared" si="15"/>
        <v>-819698.04431573849</v>
      </c>
      <c r="BO22" s="530">
        <f t="shared" si="15"/>
        <v>-819698.04431573849</v>
      </c>
      <c r="BP22" s="530">
        <f t="shared" si="15"/>
        <v>-819698.04431573849</v>
      </c>
      <c r="BQ22" s="530">
        <f t="shared" si="15"/>
        <v>-819698.04431573849</v>
      </c>
      <c r="BR22" s="530">
        <f t="shared" si="15"/>
        <v>-819698.04431573849</v>
      </c>
      <c r="BS22" s="530">
        <f t="shared" si="15"/>
        <v>-922160.29985520581</v>
      </c>
      <c r="BT22" s="530">
        <f t="shared" si="15"/>
        <v>-960397.73628978338</v>
      </c>
      <c r="BU22" s="530">
        <f t="shared" si="15"/>
        <v>-960397.73628978338</v>
      </c>
      <c r="BV22" s="530">
        <f t="shared" si="15"/>
        <v>-960397.73628978338</v>
      </c>
      <c r="BW22" s="530">
        <f t="shared" si="15"/>
        <v>-960397.73628978338</v>
      </c>
      <c r="BX22" s="530">
        <f t="shared" si="15"/>
        <v>-960397.73628978338</v>
      </c>
      <c r="BY22" s="530">
        <f t="shared" si="15"/>
        <v>-1067108.595877537</v>
      </c>
      <c r="CB22" s="8"/>
    </row>
    <row r="23" spans="3:80" x14ac:dyDescent="0.3">
      <c r="C23" s="2"/>
      <c r="D23" s="2"/>
      <c r="E23" s="2" t="s">
        <v>387</v>
      </c>
      <c r="F23" s="54"/>
      <c r="G23" s="54"/>
      <c r="H23" s="54"/>
      <c r="I23" s="37"/>
      <c r="J23" s="497">
        <f t="shared" si="13"/>
        <v>210977.94986971829</v>
      </c>
      <c r="K23" s="497">
        <f t="shared" si="13"/>
        <v>864121.20203725551</v>
      </c>
      <c r="L23" s="497">
        <f t="shared" si="13"/>
        <v>1555854.19114972</v>
      </c>
      <c r="M23" s="497">
        <f t="shared" si="13"/>
        <v>2289145.6970146825</v>
      </c>
      <c r="N23" s="497">
        <f t="shared" si="13"/>
        <v>3065834.0088792383</v>
      </c>
      <c r="O23" s="37"/>
      <c r="P23" s="50">
        <f t="shared" ref="P23:P28" si="16">IFERROR(((N23/I23)^(1/5))-1,0)</f>
        <v>0</v>
      </c>
      <c r="R23" s="497">
        <f t="shared" ref="R23:AW23" si="17">R$9*R88</f>
        <v>0</v>
      </c>
      <c r="S23" s="527">
        <f t="shared" si="17"/>
        <v>0</v>
      </c>
      <c r="T23" s="527">
        <f t="shared" si="17"/>
        <v>0</v>
      </c>
      <c r="U23" s="527">
        <f t="shared" si="17"/>
        <v>0</v>
      </c>
      <c r="V23" s="527">
        <f t="shared" si="17"/>
        <v>0</v>
      </c>
      <c r="W23" s="527">
        <f t="shared" si="17"/>
        <v>25835.161466737321</v>
      </c>
      <c r="X23" s="527">
        <f t="shared" si="17"/>
        <v>26448.969771854423</v>
      </c>
      <c r="Y23" s="527">
        <f t="shared" si="17"/>
        <v>26448.969771854423</v>
      </c>
      <c r="Z23" s="527">
        <f t="shared" si="17"/>
        <v>26448.969771854423</v>
      </c>
      <c r="AA23" s="527">
        <f t="shared" si="17"/>
        <v>26448.969771854423</v>
      </c>
      <c r="AB23" s="527">
        <f t="shared" si="17"/>
        <v>26448.969771854423</v>
      </c>
      <c r="AC23" s="527">
        <f t="shared" si="17"/>
        <v>52897.939543708846</v>
      </c>
      <c r="AD23" s="527">
        <f t="shared" si="17"/>
        <v>53106.885779682874</v>
      </c>
      <c r="AE23" s="527">
        <f t="shared" si="17"/>
        <v>53106.885779682874</v>
      </c>
      <c r="AF23" s="527">
        <f t="shared" si="17"/>
        <v>53106.885779682874</v>
      </c>
      <c r="AG23" s="527">
        <f t="shared" si="17"/>
        <v>53106.885779682874</v>
      </c>
      <c r="AH23" s="527">
        <f t="shared" si="17"/>
        <v>53106.885779682874</v>
      </c>
      <c r="AI23" s="527">
        <f t="shared" si="17"/>
        <v>79660.328669524315</v>
      </c>
      <c r="AJ23" s="527">
        <f t="shared" si="17"/>
        <v>81935.754389892143</v>
      </c>
      <c r="AK23" s="527">
        <f t="shared" si="17"/>
        <v>81935.754389892143</v>
      </c>
      <c r="AL23" s="527">
        <f t="shared" si="17"/>
        <v>81935.754389892143</v>
      </c>
      <c r="AM23" s="527">
        <f t="shared" si="17"/>
        <v>81935.754389892143</v>
      </c>
      <c r="AN23" s="527">
        <f t="shared" si="17"/>
        <v>81935.754389892143</v>
      </c>
      <c r="AO23" s="527">
        <f t="shared" si="17"/>
        <v>109247.67251985619</v>
      </c>
      <c r="AP23" s="527">
        <f t="shared" si="17"/>
        <v>109130.5386539618</v>
      </c>
      <c r="AQ23" s="527">
        <f t="shared" si="17"/>
        <v>109130.5386539618</v>
      </c>
      <c r="AR23" s="527">
        <f t="shared" si="17"/>
        <v>109130.5386539618</v>
      </c>
      <c r="AS23" s="527">
        <f t="shared" si="17"/>
        <v>109130.5386539618</v>
      </c>
      <c r="AT23" s="527">
        <f t="shared" si="17"/>
        <v>109130.5386539618</v>
      </c>
      <c r="AU23" s="527">
        <f t="shared" si="17"/>
        <v>136413.17331745225</v>
      </c>
      <c r="AV23" s="527">
        <f t="shared" si="17"/>
        <v>140933.60073588041</v>
      </c>
      <c r="AW23" s="527">
        <f t="shared" si="17"/>
        <v>140933.60073588041</v>
      </c>
      <c r="AX23" s="527">
        <f t="shared" ref="AX23:BY23" si="18">AX$9*AX88</f>
        <v>140933.60073588041</v>
      </c>
      <c r="AY23" s="527">
        <f t="shared" si="18"/>
        <v>140933.60073588041</v>
      </c>
      <c r="AZ23" s="527">
        <f t="shared" si="18"/>
        <v>140933.60073588041</v>
      </c>
      <c r="BA23" s="527">
        <f t="shared" si="18"/>
        <v>169120.3208830565</v>
      </c>
      <c r="BB23" s="527">
        <f t="shared" si="18"/>
        <v>168294.67271518926</v>
      </c>
      <c r="BC23" s="527">
        <f t="shared" si="18"/>
        <v>168294.67271518926</v>
      </c>
      <c r="BD23" s="527">
        <f t="shared" si="18"/>
        <v>168294.67271518926</v>
      </c>
      <c r="BE23" s="527">
        <f t="shared" si="18"/>
        <v>168294.67271518926</v>
      </c>
      <c r="BF23" s="527">
        <f t="shared" si="18"/>
        <v>168294.67271518926</v>
      </c>
      <c r="BG23" s="527">
        <f t="shared" si="18"/>
        <v>196343.78483438748</v>
      </c>
      <c r="BH23" s="527">
        <f t="shared" si="18"/>
        <v>203704.64744721947</v>
      </c>
      <c r="BI23" s="527">
        <f t="shared" si="18"/>
        <v>203704.64744721947</v>
      </c>
      <c r="BJ23" s="527">
        <f t="shared" si="18"/>
        <v>203704.64744721947</v>
      </c>
      <c r="BK23" s="527">
        <f t="shared" si="18"/>
        <v>203704.64744721947</v>
      </c>
      <c r="BL23" s="527">
        <f t="shared" si="18"/>
        <v>203704.64744721947</v>
      </c>
      <c r="BM23" s="527">
        <f t="shared" si="18"/>
        <v>232805.31136825081</v>
      </c>
      <c r="BN23" s="527">
        <f t="shared" si="18"/>
        <v>230759.06005046947</v>
      </c>
      <c r="BO23" s="527">
        <f t="shared" si="18"/>
        <v>230759.06005046947</v>
      </c>
      <c r="BP23" s="527">
        <f t="shared" si="18"/>
        <v>230759.06005046947</v>
      </c>
      <c r="BQ23" s="527">
        <f t="shared" si="18"/>
        <v>230759.06005046947</v>
      </c>
      <c r="BR23" s="527">
        <f t="shared" si="18"/>
        <v>230759.06005046947</v>
      </c>
      <c r="BS23" s="527">
        <f t="shared" si="18"/>
        <v>259603.94255677814</v>
      </c>
      <c r="BT23" s="527">
        <f t="shared" si="18"/>
        <v>270398.41626601841</v>
      </c>
      <c r="BU23" s="527">
        <f t="shared" si="18"/>
        <v>270398.41626601841</v>
      </c>
      <c r="BV23" s="527">
        <f t="shared" si="18"/>
        <v>270398.41626601841</v>
      </c>
      <c r="BW23" s="527">
        <f t="shared" si="18"/>
        <v>270398.41626601841</v>
      </c>
      <c r="BX23" s="527">
        <f t="shared" si="18"/>
        <v>270398.41626601841</v>
      </c>
      <c r="BY23" s="527">
        <f t="shared" si="18"/>
        <v>300442.68474002049</v>
      </c>
      <c r="CB23" s="8"/>
    </row>
    <row r="24" spans="3:80" x14ac:dyDescent="0.3">
      <c r="C24" s="2"/>
      <c r="D24" s="2"/>
      <c r="E24" s="2" t="s">
        <v>386</v>
      </c>
      <c r="F24" s="54"/>
      <c r="G24" s="54"/>
      <c r="H24" s="54"/>
      <c r="I24" s="37"/>
      <c r="J24" s="497">
        <f t="shared" si="13"/>
        <v>39486.89460081124</v>
      </c>
      <c r="K24" s="497">
        <f t="shared" si="13"/>
        <v>163341.39333594163</v>
      </c>
      <c r="L24" s="497">
        <f t="shared" si="13"/>
        <v>297003.95084704377</v>
      </c>
      <c r="M24" s="497">
        <f t="shared" si="13"/>
        <v>441262.120613501</v>
      </c>
      <c r="N24" s="497">
        <f t="shared" si="13"/>
        <v>596704.23169979174</v>
      </c>
      <c r="O24" s="37"/>
      <c r="P24" s="50">
        <f t="shared" si="16"/>
        <v>0</v>
      </c>
      <c r="R24" s="497">
        <f t="shared" ref="R24:AW24" si="19">R$9*R89</f>
        <v>0</v>
      </c>
      <c r="S24" s="527">
        <f t="shared" si="19"/>
        <v>0</v>
      </c>
      <c r="T24" s="527">
        <f t="shared" si="19"/>
        <v>0</v>
      </c>
      <c r="U24" s="527">
        <f t="shared" si="19"/>
        <v>0</v>
      </c>
      <c r="V24" s="527">
        <f t="shared" si="19"/>
        <v>0</v>
      </c>
      <c r="W24" s="527">
        <f t="shared" si="19"/>
        <v>4834.8968701841331</v>
      </c>
      <c r="X24" s="527">
        <f t="shared" si="19"/>
        <v>4950.285390089588</v>
      </c>
      <c r="Y24" s="527">
        <f t="shared" si="19"/>
        <v>4950.285390089588</v>
      </c>
      <c r="Z24" s="527">
        <f t="shared" si="19"/>
        <v>4950.285390089588</v>
      </c>
      <c r="AA24" s="527">
        <f t="shared" si="19"/>
        <v>4950.285390089588</v>
      </c>
      <c r="AB24" s="527">
        <f t="shared" si="19"/>
        <v>4950.285390089588</v>
      </c>
      <c r="AC24" s="527">
        <f t="shared" si="19"/>
        <v>9900.5707801791759</v>
      </c>
      <c r="AD24" s="527">
        <f t="shared" si="19"/>
        <v>10037.927061260205</v>
      </c>
      <c r="AE24" s="527">
        <f t="shared" si="19"/>
        <v>10037.927061260205</v>
      </c>
      <c r="AF24" s="527">
        <f t="shared" si="19"/>
        <v>10037.927061260205</v>
      </c>
      <c r="AG24" s="527">
        <f t="shared" si="19"/>
        <v>10037.927061260205</v>
      </c>
      <c r="AH24" s="527">
        <f t="shared" si="19"/>
        <v>10037.927061260205</v>
      </c>
      <c r="AI24" s="527">
        <f t="shared" si="19"/>
        <v>15056.890591890307</v>
      </c>
      <c r="AJ24" s="527">
        <f t="shared" si="19"/>
        <v>15488.663279644781</v>
      </c>
      <c r="AK24" s="527">
        <f t="shared" si="19"/>
        <v>15488.663279644781</v>
      </c>
      <c r="AL24" s="527">
        <f t="shared" si="19"/>
        <v>15488.663279644781</v>
      </c>
      <c r="AM24" s="527">
        <f t="shared" si="19"/>
        <v>15488.663279644781</v>
      </c>
      <c r="AN24" s="527">
        <f t="shared" si="19"/>
        <v>15488.663279644781</v>
      </c>
      <c r="AO24" s="527">
        <f t="shared" si="19"/>
        <v>20651.551039526374</v>
      </c>
      <c r="AP24" s="527">
        <f t="shared" si="19"/>
        <v>20831.112097999903</v>
      </c>
      <c r="AQ24" s="527">
        <f t="shared" si="19"/>
        <v>20831.112097999903</v>
      </c>
      <c r="AR24" s="527">
        <f t="shared" si="19"/>
        <v>20831.112097999903</v>
      </c>
      <c r="AS24" s="527">
        <f t="shared" si="19"/>
        <v>20831.112097999903</v>
      </c>
      <c r="AT24" s="527">
        <f t="shared" si="19"/>
        <v>20831.112097999903</v>
      </c>
      <c r="AU24" s="527">
        <f t="shared" si="19"/>
        <v>26038.890122499877</v>
      </c>
      <c r="AV24" s="527">
        <f t="shared" si="19"/>
        <v>26904.758102345877</v>
      </c>
      <c r="AW24" s="527">
        <f t="shared" si="19"/>
        <v>26904.758102345877</v>
      </c>
      <c r="AX24" s="527">
        <f t="shared" ref="AX24:BY24" si="20">AX$9*AX89</f>
        <v>26904.758102345877</v>
      </c>
      <c r="AY24" s="527">
        <f t="shared" si="20"/>
        <v>26904.758102345877</v>
      </c>
      <c r="AZ24" s="527">
        <f t="shared" si="20"/>
        <v>26904.758102345877</v>
      </c>
      <c r="BA24" s="527">
        <f t="shared" si="20"/>
        <v>32285.709722815052</v>
      </c>
      <c r="BB24" s="527">
        <f t="shared" si="20"/>
        <v>32438.959786159256</v>
      </c>
      <c r="BC24" s="527">
        <f t="shared" si="20"/>
        <v>32438.959786159256</v>
      </c>
      <c r="BD24" s="527">
        <f t="shared" si="20"/>
        <v>32438.959786159256</v>
      </c>
      <c r="BE24" s="527">
        <f t="shared" si="20"/>
        <v>32438.959786159256</v>
      </c>
      <c r="BF24" s="527">
        <f t="shared" si="20"/>
        <v>32438.959786159256</v>
      </c>
      <c r="BG24" s="527">
        <f t="shared" si="20"/>
        <v>37845.453083852466</v>
      </c>
      <c r="BH24" s="527">
        <f t="shared" si="20"/>
        <v>39268.676283534085</v>
      </c>
      <c r="BI24" s="527">
        <f t="shared" si="20"/>
        <v>39268.676283534085</v>
      </c>
      <c r="BJ24" s="527">
        <f t="shared" si="20"/>
        <v>39268.676283534085</v>
      </c>
      <c r="BK24" s="527">
        <f t="shared" si="20"/>
        <v>39268.676283534085</v>
      </c>
      <c r="BL24" s="527">
        <f t="shared" si="20"/>
        <v>39268.676283534085</v>
      </c>
      <c r="BM24" s="527">
        <f t="shared" si="20"/>
        <v>44878.487181181808</v>
      </c>
      <c r="BN24" s="527">
        <f t="shared" si="20"/>
        <v>44910.008414204953</v>
      </c>
      <c r="BO24" s="527">
        <f t="shared" si="20"/>
        <v>44910.008414204953</v>
      </c>
      <c r="BP24" s="527">
        <f t="shared" si="20"/>
        <v>44910.008414204953</v>
      </c>
      <c r="BQ24" s="527">
        <f t="shared" si="20"/>
        <v>44910.008414204953</v>
      </c>
      <c r="BR24" s="527">
        <f t="shared" si="20"/>
        <v>44910.008414204953</v>
      </c>
      <c r="BS24" s="527">
        <f t="shared" si="20"/>
        <v>50523.759465980569</v>
      </c>
      <c r="BT24" s="527">
        <f t="shared" si="20"/>
        <v>52630.434026637769</v>
      </c>
      <c r="BU24" s="527">
        <f t="shared" si="20"/>
        <v>52630.434026637769</v>
      </c>
      <c r="BV24" s="527">
        <f t="shared" si="20"/>
        <v>52630.434026637769</v>
      </c>
      <c r="BW24" s="527">
        <f t="shared" si="20"/>
        <v>52630.434026637769</v>
      </c>
      <c r="BX24" s="527">
        <f t="shared" si="20"/>
        <v>52630.434026637769</v>
      </c>
      <c r="BY24" s="527">
        <f t="shared" si="20"/>
        <v>58478.260029597521</v>
      </c>
      <c r="CB24" s="8"/>
    </row>
    <row r="25" spans="3:80" x14ac:dyDescent="0.3">
      <c r="C25" s="2"/>
      <c r="D25" s="2"/>
      <c r="E25" s="4" t="s">
        <v>385</v>
      </c>
      <c r="F25" s="5"/>
      <c r="G25" s="5"/>
      <c r="H25" s="5"/>
      <c r="I25" s="6"/>
      <c r="J25" s="498">
        <f t="shared" si="13"/>
        <v>-429936.81714743766</v>
      </c>
      <c r="K25" s="498">
        <f t="shared" si="13"/>
        <v>-1832303.824395132</v>
      </c>
      <c r="L25" s="498">
        <f t="shared" si="13"/>
        <v>-3424172.5166687798</v>
      </c>
      <c r="M25" s="498">
        <f t="shared" si="13"/>
        <v>-5215389.3266394725</v>
      </c>
      <c r="N25" s="498">
        <f t="shared" si="13"/>
        <v>-7227209.5581813222</v>
      </c>
      <c r="O25" s="57"/>
      <c r="P25" s="55">
        <f t="shared" si="16"/>
        <v>0</v>
      </c>
      <c r="R25" s="498">
        <f t="shared" ref="R25:AW25" si="21">R$9*R90</f>
        <v>0</v>
      </c>
      <c r="S25" s="530">
        <f t="shared" si="21"/>
        <v>0</v>
      </c>
      <c r="T25" s="530">
        <f t="shared" si="21"/>
        <v>0</v>
      </c>
      <c r="U25" s="530">
        <f t="shared" si="21"/>
        <v>0</v>
      </c>
      <c r="V25" s="530">
        <f t="shared" si="21"/>
        <v>0</v>
      </c>
      <c r="W25" s="530">
        <f t="shared" si="21"/>
        <v>-52651.794287843899</v>
      </c>
      <c r="X25" s="530">
        <f t="shared" si="21"/>
        <v>-53897.860408513392</v>
      </c>
      <c r="Y25" s="530">
        <f t="shared" si="21"/>
        <v>-53897.860408513392</v>
      </c>
      <c r="Z25" s="530">
        <f t="shared" si="21"/>
        <v>-53897.860408513392</v>
      </c>
      <c r="AA25" s="530">
        <f t="shared" si="21"/>
        <v>-53897.860408513392</v>
      </c>
      <c r="AB25" s="530">
        <f t="shared" si="21"/>
        <v>-53897.860408513392</v>
      </c>
      <c r="AC25" s="530">
        <f t="shared" si="21"/>
        <v>-107795.72081702678</v>
      </c>
      <c r="AD25" s="530">
        <f t="shared" si="21"/>
        <v>-112616.94061536962</v>
      </c>
      <c r="AE25" s="530">
        <f t="shared" si="21"/>
        <v>-112616.94061536962</v>
      </c>
      <c r="AF25" s="530">
        <f t="shared" si="21"/>
        <v>-112616.94061536962</v>
      </c>
      <c r="AG25" s="530">
        <f t="shared" si="21"/>
        <v>-112616.94061536962</v>
      </c>
      <c r="AH25" s="530">
        <f t="shared" si="21"/>
        <v>-112616.94061536962</v>
      </c>
      <c r="AI25" s="530">
        <f t="shared" si="21"/>
        <v>-168925.41092305444</v>
      </c>
      <c r="AJ25" s="530">
        <f t="shared" si="21"/>
        <v>-173730.58585187831</v>
      </c>
      <c r="AK25" s="530">
        <f t="shared" si="21"/>
        <v>-173730.58585187831</v>
      </c>
      <c r="AL25" s="530">
        <f t="shared" si="21"/>
        <v>-173730.58585187831</v>
      </c>
      <c r="AM25" s="530">
        <f t="shared" si="21"/>
        <v>-173730.58585187831</v>
      </c>
      <c r="AN25" s="530">
        <f t="shared" si="21"/>
        <v>-173730.58585187831</v>
      </c>
      <c r="AO25" s="530">
        <f t="shared" si="21"/>
        <v>-231640.78113583775</v>
      </c>
      <c r="AP25" s="530">
        <f t="shared" si="21"/>
        <v>-240196.51080283156</v>
      </c>
      <c r="AQ25" s="530">
        <f t="shared" si="21"/>
        <v>-240196.51080283156</v>
      </c>
      <c r="AR25" s="530">
        <f t="shared" si="21"/>
        <v>-240196.51080283156</v>
      </c>
      <c r="AS25" s="530">
        <f t="shared" si="21"/>
        <v>-240196.51080283156</v>
      </c>
      <c r="AT25" s="530">
        <f t="shared" si="21"/>
        <v>-240196.51080283156</v>
      </c>
      <c r="AU25" s="530">
        <f t="shared" si="21"/>
        <v>-300245.63850353943</v>
      </c>
      <c r="AV25" s="530">
        <f t="shared" si="21"/>
        <v>-310152.31034694874</v>
      </c>
      <c r="AW25" s="530">
        <f t="shared" si="21"/>
        <v>-310152.31034694874</v>
      </c>
      <c r="AX25" s="530">
        <f t="shared" ref="AX25:BY25" si="22">AX$9*AX90</f>
        <v>-310152.31034694874</v>
      </c>
      <c r="AY25" s="530">
        <f t="shared" si="22"/>
        <v>-310152.31034694874</v>
      </c>
      <c r="AZ25" s="530">
        <f t="shared" si="22"/>
        <v>-310152.31034694874</v>
      </c>
      <c r="BA25" s="530">
        <f t="shared" si="22"/>
        <v>-372182.7724163385</v>
      </c>
      <c r="BB25" s="530">
        <f t="shared" si="22"/>
        <v>-383461.06666388712</v>
      </c>
      <c r="BC25" s="530">
        <f t="shared" si="22"/>
        <v>-383461.06666388712</v>
      </c>
      <c r="BD25" s="530">
        <f t="shared" si="22"/>
        <v>-383461.06666388712</v>
      </c>
      <c r="BE25" s="530">
        <f t="shared" si="22"/>
        <v>-383461.06666388712</v>
      </c>
      <c r="BF25" s="530">
        <f t="shared" si="22"/>
        <v>-383461.06666388712</v>
      </c>
      <c r="BG25" s="530">
        <f t="shared" si="22"/>
        <v>-447371.24444120168</v>
      </c>
      <c r="BH25" s="530">
        <f t="shared" si="22"/>
        <v>-464069.51725934527</v>
      </c>
      <c r="BI25" s="530">
        <f t="shared" si="22"/>
        <v>-464069.51725934527</v>
      </c>
      <c r="BJ25" s="530">
        <f t="shared" si="22"/>
        <v>-464069.51725934527</v>
      </c>
      <c r="BK25" s="530">
        <f t="shared" si="22"/>
        <v>-464069.51725934527</v>
      </c>
      <c r="BL25" s="530">
        <f t="shared" si="22"/>
        <v>-464069.51725934527</v>
      </c>
      <c r="BM25" s="530">
        <f t="shared" si="22"/>
        <v>-530365.16258210887</v>
      </c>
      <c r="BN25" s="530">
        <f t="shared" si="22"/>
        <v>-544028.9758510642</v>
      </c>
      <c r="BO25" s="530">
        <f t="shared" si="22"/>
        <v>-544028.9758510642</v>
      </c>
      <c r="BP25" s="530">
        <f t="shared" si="22"/>
        <v>-544028.9758510642</v>
      </c>
      <c r="BQ25" s="530">
        <f t="shared" si="22"/>
        <v>-544028.9758510642</v>
      </c>
      <c r="BR25" s="530">
        <f t="shared" si="22"/>
        <v>-544028.9758510642</v>
      </c>
      <c r="BS25" s="530">
        <f t="shared" si="22"/>
        <v>-612032.59783244727</v>
      </c>
      <c r="BT25" s="530">
        <f t="shared" si="22"/>
        <v>-637368.88599712716</v>
      </c>
      <c r="BU25" s="530">
        <f t="shared" si="22"/>
        <v>-637368.88599712716</v>
      </c>
      <c r="BV25" s="530">
        <f t="shared" si="22"/>
        <v>-637368.88599712716</v>
      </c>
      <c r="BW25" s="530">
        <f t="shared" si="22"/>
        <v>-637368.88599712716</v>
      </c>
      <c r="BX25" s="530">
        <f t="shared" si="22"/>
        <v>-637368.88599712716</v>
      </c>
      <c r="BY25" s="530">
        <f t="shared" si="22"/>
        <v>-708187.65110791905</v>
      </c>
      <c r="CB25" s="8"/>
    </row>
    <row r="26" spans="3:80" x14ac:dyDescent="0.3">
      <c r="C26" s="2"/>
      <c r="D26" s="2"/>
      <c r="E26" s="2" t="s">
        <v>389</v>
      </c>
      <c r="F26" s="54"/>
      <c r="G26" s="54"/>
      <c r="H26" s="54"/>
      <c r="I26" s="37"/>
      <c r="J26" s="497">
        <f t="shared" si="13"/>
        <v>138528.2763990754</v>
      </c>
      <c r="K26" s="497">
        <f t="shared" si="13"/>
        <v>585908.18306911283</v>
      </c>
      <c r="L26" s="497">
        <f t="shared" si="13"/>
        <v>1087398.3361997155</v>
      </c>
      <c r="M26" s="497">
        <f t="shared" si="13"/>
        <v>1645989.1455884906</v>
      </c>
      <c r="N26" s="497">
        <f t="shared" si="13"/>
        <v>2267235.1637921161</v>
      </c>
      <c r="O26" s="37"/>
      <c r="P26" s="50">
        <f t="shared" si="16"/>
        <v>0</v>
      </c>
      <c r="R26" s="497">
        <f t="shared" ref="R26:AW26" si="23">R$9*R91</f>
        <v>0</v>
      </c>
      <c r="S26" s="527">
        <f t="shared" si="23"/>
        <v>0</v>
      </c>
      <c r="T26" s="527">
        <f t="shared" si="23"/>
        <v>0</v>
      </c>
      <c r="U26" s="527">
        <f t="shared" si="23"/>
        <v>0</v>
      </c>
      <c r="V26" s="527">
        <f t="shared" si="23"/>
        <v>0</v>
      </c>
      <c r="W26" s="527">
        <f t="shared" si="23"/>
        <v>16968.668225206409</v>
      </c>
      <c r="X26" s="527">
        <f t="shared" si="23"/>
        <v>17365.658310552713</v>
      </c>
      <c r="Y26" s="527">
        <f t="shared" si="23"/>
        <v>17365.658310552713</v>
      </c>
      <c r="Z26" s="527">
        <f t="shared" si="23"/>
        <v>17365.658310552713</v>
      </c>
      <c r="AA26" s="527">
        <f t="shared" si="23"/>
        <v>17365.658310552713</v>
      </c>
      <c r="AB26" s="527">
        <f t="shared" si="23"/>
        <v>17365.658310552713</v>
      </c>
      <c r="AC26" s="527">
        <f t="shared" si="23"/>
        <v>34731.316621105427</v>
      </c>
      <c r="AD26" s="527">
        <f t="shared" si="23"/>
        <v>36018.366913234844</v>
      </c>
      <c r="AE26" s="527">
        <f t="shared" si="23"/>
        <v>36018.366913234844</v>
      </c>
      <c r="AF26" s="527">
        <f t="shared" si="23"/>
        <v>36018.366913234844</v>
      </c>
      <c r="AG26" s="527">
        <f t="shared" si="23"/>
        <v>36018.366913234844</v>
      </c>
      <c r="AH26" s="527">
        <f t="shared" si="23"/>
        <v>36018.366913234844</v>
      </c>
      <c r="AI26" s="527">
        <f t="shared" si="23"/>
        <v>54027.550369852266</v>
      </c>
      <c r="AJ26" s="527">
        <f t="shared" si="23"/>
        <v>55545.599705224151</v>
      </c>
      <c r="AK26" s="527">
        <f t="shared" si="23"/>
        <v>55545.599705224151</v>
      </c>
      <c r="AL26" s="527">
        <f t="shared" si="23"/>
        <v>55545.599705224151</v>
      </c>
      <c r="AM26" s="527">
        <f t="shared" si="23"/>
        <v>55545.599705224151</v>
      </c>
      <c r="AN26" s="527">
        <f t="shared" si="23"/>
        <v>55545.599705224151</v>
      </c>
      <c r="AO26" s="527">
        <f t="shared" si="23"/>
        <v>74060.799606965535</v>
      </c>
      <c r="AP26" s="527">
        <f t="shared" si="23"/>
        <v>76295.473528577568</v>
      </c>
      <c r="AQ26" s="527">
        <f t="shared" si="23"/>
        <v>76295.473528577568</v>
      </c>
      <c r="AR26" s="527">
        <f t="shared" si="23"/>
        <v>76295.473528577568</v>
      </c>
      <c r="AS26" s="527">
        <f t="shared" si="23"/>
        <v>76295.473528577568</v>
      </c>
      <c r="AT26" s="527">
        <f t="shared" si="23"/>
        <v>76295.473528577568</v>
      </c>
      <c r="AU26" s="527">
        <f t="shared" si="23"/>
        <v>95369.341910721967</v>
      </c>
      <c r="AV26" s="527">
        <f t="shared" si="23"/>
        <v>98476.068813888007</v>
      </c>
      <c r="AW26" s="527">
        <f t="shared" si="23"/>
        <v>98476.068813888007</v>
      </c>
      <c r="AX26" s="527">
        <f t="shared" ref="AX26:BY26" si="24">AX$9*AX91</f>
        <v>98476.068813888007</v>
      </c>
      <c r="AY26" s="527">
        <f t="shared" si="24"/>
        <v>98476.068813888007</v>
      </c>
      <c r="AZ26" s="527">
        <f t="shared" si="24"/>
        <v>98476.068813888007</v>
      </c>
      <c r="BA26" s="527">
        <f t="shared" si="24"/>
        <v>118171.28257666562</v>
      </c>
      <c r="BB26" s="527">
        <f t="shared" si="24"/>
        <v>121052.14597322131</v>
      </c>
      <c r="BC26" s="527">
        <f t="shared" si="24"/>
        <v>121052.14597322131</v>
      </c>
      <c r="BD26" s="527">
        <f t="shared" si="24"/>
        <v>121052.14597322131</v>
      </c>
      <c r="BE26" s="527">
        <f t="shared" si="24"/>
        <v>121052.14597322131</v>
      </c>
      <c r="BF26" s="527">
        <f t="shared" si="24"/>
        <v>121052.14597322131</v>
      </c>
      <c r="BG26" s="527">
        <f t="shared" si="24"/>
        <v>141227.50363542486</v>
      </c>
      <c r="BH26" s="527">
        <f t="shared" si="24"/>
        <v>146430.38103741195</v>
      </c>
      <c r="BI26" s="527">
        <f t="shared" si="24"/>
        <v>146430.38103741195</v>
      </c>
      <c r="BJ26" s="527">
        <f t="shared" si="24"/>
        <v>146430.38103741195</v>
      </c>
      <c r="BK26" s="527">
        <f t="shared" si="24"/>
        <v>146430.38103741195</v>
      </c>
      <c r="BL26" s="527">
        <f t="shared" si="24"/>
        <v>146430.38103741195</v>
      </c>
      <c r="BM26" s="527">
        <f t="shared" si="24"/>
        <v>167349.00689989937</v>
      </c>
      <c r="BN26" s="527">
        <f t="shared" si="24"/>
        <v>170714.36181892076</v>
      </c>
      <c r="BO26" s="527">
        <f t="shared" si="24"/>
        <v>170714.36181892076</v>
      </c>
      <c r="BP26" s="527">
        <f t="shared" si="24"/>
        <v>170714.36181892076</v>
      </c>
      <c r="BQ26" s="527">
        <f t="shared" si="24"/>
        <v>170714.36181892076</v>
      </c>
      <c r="BR26" s="527">
        <f t="shared" si="24"/>
        <v>170714.36181892076</v>
      </c>
      <c r="BS26" s="527">
        <f t="shared" si="24"/>
        <v>192053.65704628587</v>
      </c>
      <c r="BT26" s="527">
        <f t="shared" si="24"/>
        <v>199899.76870656433</v>
      </c>
      <c r="BU26" s="527">
        <f t="shared" si="24"/>
        <v>199899.76870656433</v>
      </c>
      <c r="BV26" s="527">
        <f t="shared" si="24"/>
        <v>199899.76870656433</v>
      </c>
      <c r="BW26" s="527">
        <f t="shared" si="24"/>
        <v>199899.76870656433</v>
      </c>
      <c r="BX26" s="527">
        <f t="shared" si="24"/>
        <v>199899.76870656433</v>
      </c>
      <c r="BY26" s="527">
        <f t="shared" si="24"/>
        <v>222110.85411840482</v>
      </c>
      <c r="CB26" s="8"/>
    </row>
    <row r="27" spans="3:80" x14ac:dyDescent="0.3">
      <c r="C27" s="2"/>
      <c r="D27" s="2"/>
      <c r="E27" s="4" t="s">
        <v>390</v>
      </c>
      <c r="F27" s="5"/>
      <c r="G27" s="5"/>
      <c r="H27" s="5"/>
      <c r="I27" s="6"/>
      <c r="J27" s="498">
        <f t="shared" si="13"/>
        <v>-291408.5407483622</v>
      </c>
      <c r="K27" s="498">
        <f t="shared" si="13"/>
        <v>-1246395.6413260193</v>
      </c>
      <c r="L27" s="498">
        <f t="shared" si="13"/>
        <v>-2336774.180469064</v>
      </c>
      <c r="M27" s="498">
        <f t="shared" si="13"/>
        <v>-3569400.1810509814</v>
      </c>
      <c r="N27" s="498">
        <f t="shared" si="13"/>
        <v>-4959974.3943892084</v>
      </c>
      <c r="O27" s="57"/>
      <c r="P27" s="55">
        <f t="shared" si="16"/>
        <v>0</v>
      </c>
      <c r="R27" s="498">
        <f t="shared" ref="R27:AW27" si="25">R$9*R92</f>
        <v>0</v>
      </c>
      <c r="S27" s="530">
        <f t="shared" si="25"/>
        <v>0</v>
      </c>
      <c r="T27" s="530">
        <f t="shared" si="25"/>
        <v>0</v>
      </c>
      <c r="U27" s="530">
        <f t="shared" si="25"/>
        <v>0</v>
      </c>
      <c r="V27" s="530">
        <f t="shared" si="25"/>
        <v>0</v>
      </c>
      <c r="W27" s="530">
        <f t="shared" si="25"/>
        <v>-35683.126062637493</v>
      </c>
      <c r="X27" s="530">
        <f t="shared" si="25"/>
        <v>-36532.202097960675</v>
      </c>
      <c r="Y27" s="530">
        <f t="shared" si="25"/>
        <v>-36532.202097960675</v>
      </c>
      <c r="Z27" s="530">
        <f t="shared" si="25"/>
        <v>-36532.202097960675</v>
      </c>
      <c r="AA27" s="530">
        <f t="shared" si="25"/>
        <v>-36532.202097960675</v>
      </c>
      <c r="AB27" s="530">
        <f t="shared" si="25"/>
        <v>-36532.202097960675</v>
      </c>
      <c r="AC27" s="530">
        <f t="shared" si="25"/>
        <v>-73064.40419592135</v>
      </c>
      <c r="AD27" s="530">
        <f t="shared" si="25"/>
        <v>-76598.57370213476</v>
      </c>
      <c r="AE27" s="530">
        <f t="shared" si="25"/>
        <v>-76598.57370213476</v>
      </c>
      <c r="AF27" s="530">
        <f t="shared" si="25"/>
        <v>-76598.57370213476</v>
      </c>
      <c r="AG27" s="530">
        <f t="shared" si="25"/>
        <v>-76598.57370213476</v>
      </c>
      <c r="AH27" s="530">
        <f t="shared" si="25"/>
        <v>-76598.57370213476</v>
      </c>
      <c r="AI27" s="530">
        <f t="shared" si="25"/>
        <v>-114897.86055320213</v>
      </c>
      <c r="AJ27" s="530">
        <f t="shared" si="25"/>
        <v>-118184.98614665418</v>
      </c>
      <c r="AK27" s="530">
        <f t="shared" si="25"/>
        <v>-118184.98614665418</v>
      </c>
      <c r="AL27" s="530">
        <f t="shared" si="25"/>
        <v>-118184.98614665418</v>
      </c>
      <c r="AM27" s="530">
        <f t="shared" si="25"/>
        <v>-118184.98614665418</v>
      </c>
      <c r="AN27" s="530">
        <f t="shared" si="25"/>
        <v>-118184.98614665418</v>
      </c>
      <c r="AO27" s="530">
        <f t="shared" si="25"/>
        <v>-157579.98152887225</v>
      </c>
      <c r="AP27" s="530">
        <f t="shared" si="25"/>
        <v>-163901.03727425396</v>
      </c>
      <c r="AQ27" s="530">
        <f t="shared" si="25"/>
        <v>-163901.03727425396</v>
      </c>
      <c r="AR27" s="530">
        <f t="shared" si="25"/>
        <v>-163901.03727425396</v>
      </c>
      <c r="AS27" s="530">
        <f t="shared" si="25"/>
        <v>-163901.03727425396</v>
      </c>
      <c r="AT27" s="530">
        <f t="shared" si="25"/>
        <v>-163901.03727425396</v>
      </c>
      <c r="AU27" s="530">
        <f t="shared" si="25"/>
        <v>-204876.29659281747</v>
      </c>
      <c r="AV27" s="530">
        <f t="shared" si="25"/>
        <v>-211676.24153306073</v>
      </c>
      <c r="AW27" s="530">
        <f t="shared" si="25"/>
        <v>-211676.24153306073</v>
      </c>
      <c r="AX27" s="530">
        <f t="shared" ref="AX27:BY27" si="26">AX$9*AX92</f>
        <v>-211676.24153306073</v>
      </c>
      <c r="AY27" s="530">
        <f t="shared" si="26"/>
        <v>-211676.24153306073</v>
      </c>
      <c r="AZ27" s="530">
        <f t="shared" si="26"/>
        <v>-211676.24153306073</v>
      </c>
      <c r="BA27" s="530">
        <f t="shared" si="26"/>
        <v>-254011.4898396729</v>
      </c>
      <c r="BB27" s="530">
        <f t="shared" si="26"/>
        <v>-262408.92069066584</v>
      </c>
      <c r="BC27" s="530">
        <f t="shared" si="26"/>
        <v>-262408.92069066584</v>
      </c>
      <c r="BD27" s="530">
        <f t="shared" si="26"/>
        <v>-262408.92069066584</v>
      </c>
      <c r="BE27" s="530">
        <f t="shared" si="26"/>
        <v>-262408.92069066584</v>
      </c>
      <c r="BF27" s="530">
        <f t="shared" si="26"/>
        <v>-262408.92069066584</v>
      </c>
      <c r="BG27" s="530">
        <f t="shared" si="26"/>
        <v>-306143.74080577679</v>
      </c>
      <c r="BH27" s="530">
        <f t="shared" si="26"/>
        <v>-317639.1362219333</v>
      </c>
      <c r="BI27" s="530">
        <f t="shared" si="26"/>
        <v>-317639.1362219333</v>
      </c>
      <c r="BJ27" s="530">
        <f t="shared" si="26"/>
        <v>-317639.1362219333</v>
      </c>
      <c r="BK27" s="530">
        <f t="shared" si="26"/>
        <v>-317639.1362219333</v>
      </c>
      <c r="BL27" s="530">
        <f t="shared" si="26"/>
        <v>-317639.1362219333</v>
      </c>
      <c r="BM27" s="530">
        <f t="shared" si="26"/>
        <v>-363016.15568220947</v>
      </c>
      <c r="BN27" s="530">
        <f t="shared" si="26"/>
        <v>-373314.61403214349</v>
      </c>
      <c r="BO27" s="530">
        <f t="shared" si="26"/>
        <v>-373314.61403214349</v>
      </c>
      <c r="BP27" s="530">
        <f t="shared" si="26"/>
        <v>-373314.61403214349</v>
      </c>
      <c r="BQ27" s="530">
        <f t="shared" si="26"/>
        <v>-373314.61403214349</v>
      </c>
      <c r="BR27" s="530">
        <f t="shared" si="26"/>
        <v>-373314.61403214349</v>
      </c>
      <c r="BS27" s="530">
        <f t="shared" si="26"/>
        <v>-419978.94078616146</v>
      </c>
      <c r="BT27" s="530">
        <f t="shared" si="26"/>
        <v>-437469.11729056278</v>
      </c>
      <c r="BU27" s="530">
        <f t="shared" si="26"/>
        <v>-437469.11729056278</v>
      </c>
      <c r="BV27" s="530">
        <f t="shared" si="26"/>
        <v>-437469.11729056278</v>
      </c>
      <c r="BW27" s="530">
        <f t="shared" si="26"/>
        <v>-437469.11729056278</v>
      </c>
      <c r="BX27" s="530">
        <f t="shared" si="26"/>
        <v>-437469.11729056278</v>
      </c>
      <c r="BY27" s="530">
        <f t="shared" si="26"/>
        <v>-486076.7969895142</v>
      </c>
      <c r="CB27" s="8"/>
    </row>
    <row r="28" spans="3:80" x14ac:dyDescent="0.3">
      <c r="C28" s="2"/>
      <c r="D28" s="2"/>
      <c r="E28" s="2" t="s">
        <v>175</v>
      </c>
      <c r="F28" s="58"/>
      <c r="G28" s="58"/>
      <c r="H28" s="58"/>
      <c r="I28" s="23"/>
      <c r="J28" s="499">
        <f>IFERROR(J27/J22,0)</f>
        <v>0.4282889904404476</v>
      </c>
      <c r="K28" s="499">
        <f>IFERROR(K27/K22,0)</f>
        <v>0.43583826731799674</v>
      </c>
      <c r="L28" s="499">
        <f>IFERROR(L27/L22,0)</f>
        <v>0.44281989846539738</v>
      </c>
      <c r="M28" s="499">
        <f>IFERROR(M27/M22,0)</f>
        <v>0.44921863926844108</v>
      </c>
      <c r="N28" s="499">
        <f>IFERROR(N27/N22,0)</f>
        <v>0.45547192515825141</v>
      </c>
      <c r="O28" s="23"/>
      <c r="P28" s="50">
        <f t="shared" si="16"/>
        <v>0</v>
      </c>
      <c r="R28" s="499">
        <f t="shared" ref="R28:BY28" si="27">IFERROR(R27/R22,0)</f>
        <v>0</v>
      </c>
      <c r="S28" s="531">
        <f t="shared" si="27"/>
        <v>0</v>
      </c>
      <c r="T28" s="531">
        <f t="shared" si="27"/>
        <v>0</v>
      </c>
      <c r="U28" s="531">
        <f t="shared" si="27"/>
        <v>0</v>
      </c>
      <c r="V28" s="531">
        <f t="shared" si="27"/>
        <v>0</v>
      </c>
      <c r="W28" s="531">
        <f t="shared" si="27"/>
        <v>0.42825651301026846</v>
      </c>
      <c r="X28" s="531">
        <f t="shared" si="27"/>
        <v>0.42829352263130427</v>
      </c>
      <c r="Y28" s="531">
        <f t="shared" si="27"/>
        <v>0.42829352263130427</v>
      </c>
      <c r="Z28" s="531">
        <f t="shared" si="27"/>
        <v>0.42829352263130427</v>
      </c>
      <c r="AA28" s="531">
        <f t="shared" si="27"/>
        <v>0.42829352263130427</v>
      </c>
      <c r="AB28" s="531">
        <f t="shared" si="27"/>
        <v>0.42829352263130427</v>
      </c>
      <c r="AC28" s="531">
        <f t="shared" si="27"/>
        <v>0.42829352263130427</v>
      </c>
      <c r="AD28" s="531">
        <f t="shared" si="27"/>
        <v>0.43580911202717432</v>
      </c>
      <c r="AE28" s="531">
        <f t="shared" si="27"/>
        <v>0.43580911202717432</v>
      </c>
      <c r="AF28" s="531">
        <f t="shared" si="27"/>
        <v>0.43580911202717432</v>
      </c>
      <c r="AG28" s="531">
        <f t="shared" si="27"/>
        <v>0.43580911202717432</v>
      </c>
      <c r="AH28" s="531">
        <f t="shared" si="27"/>
        <v>0.43580911202717432</v>
      </c>
      <c r="AI28" s="531">
        <f t="shared" si="27"/>
        <v>0.43580911202717432</v>
      </c>
      <c r="AJ28" s="531">
        <f t="shared" si="27"/>
        <v>0.43585766300388473</v>
      </c>
      <c r="AK28" s="531">
        <f t="shared" si="27"/>
        <v>0.43585766300388473</v>
      </c>
      <c r="AL28" s="531">
        <f t="shared" si="27"/>
        <v>0.43585766300388473</v>
      </c>
      <c r="AM28" s="531">
        <f t="shared" si="27"/>
        <v>0.43585766300388473</v>
      </c>
      <c r="AN28" s="531">
        <f t="shared" si="27"/>
        <v>0.43585766300388473</v>
      </c>
      <c r="AO28" s="531">
        <f t="shared" si="27"/>
        <v>0.43585766300388473</v>
      </c>
      <c r="AP28" s="531">
        <f t="shared" si="27"/>
        <v>0.44278650127775793</v>
      </c>
      <c r="AQ28" s="531">
        <f t="shared" si="27"/>
        <v>0.44278650127775793</v>
      </c>
      <c r="AR28" s="531">
        <f t="shared" si="27"/>
        <v>0.44278650127775793</v>
      </c>
      <c r="AS28" s="531">
        <f t="shared" si="27"/>
        <v>0.44278650127775793</v>
      </c>
      <c r="AT28" s="531">
        <f t="shared" si="27"/>
        <v>0.44278650127775793</v>
      </c>
      <c r="AU28" s="531">
        <f t="shared" si="27"/>
        <v>0.44278650127775798</v>
      </c>
      <c r="AV28" s="531">
        <f t="shared" si="27"/>
        <v>0.44284596997239029</v>
      </c>
      <c r="AW28" s="531">
        <f t="shared" si="27"/>
        <v>0.44284596997239029</v>
      </c>
      <c r="AX28" s="531">
        <f t="shared" si="27"/>
        <v>0.44284596997239029</v>
      </c>
      <c r="AY28" s="531">
        <f t="shared" si="27"/>
        <v>0.44284596997239029</v>
      </c>
      <c r="AZ28" s="531">
        <f t="shared" si="27"/>
        <v>0.44284596997239029</v>
      </c>
      <c r="BA28" s="531">
        <f t="shared" si="27"/>
        <v>0.44284596997239029</v>
      </c>
      <c r="BB28" s="531">
        <f t="shared" si="27"/>
        <v>0.44918059178836406</v>
      </c>
      <c r="BC28" s="531">
        <f t="shared" si="27"/>
        <v>0.44918059178836406</v>
      </c>
      <c r="BD28" s="531">
        <f t="shared" si="27"/>
        <v>0.44918059178836406</v>
      </c>
      <c r="BE28" s="531">
        <f t="shared" si="27"/>
        <v>0.44918059178836406</v>
      </c>
      <c r="BF28" s="531">
        <f t="shared" si="27"/>
        <v>0.44918059178836406</v>
      </c>
      <c r="BG28" s="531">
        <f t="shared" si="27"/>
        <v>0.449180591788364</v>
      </c>
      <c r="BH28" s="531">
        <f t="shared" si="27"/>
        <v>0.4492501978764557</v>
      </c>
      <c r="BI28" s="531">
        <f t="shared" si="27"/>
        <v>0.4492501978764557</v>
      </c>
      <c r="BJ28" s="531">
        <f t="shared" si="27"/>
        <v>0.4492501978764557</v>
      </c>
      <c r="BK28" s="531">
        <f t="shared" si="27"/>
        <v>0.4492501978764557</v>
      </c>
      <c r="BL28" s="531">
        <f t="shared" si="27"/>
        <v>0.4492501978764557</v>
      </c>
      <c r="BM28" s="531">
        <f t="shared" si="27"/>
        <v>0.44925019787645576</v>
      </c>
      <c r="BN28" s="531">
        <f t="shared" si="27"/>
        <v>0.45542943114348444</v>
      </c>
      <c r="BO28" s="531">
        <f t="shared" si="27"/>
        <v>0.45542943114348444</v>
      </c>
      <c r="BP28" s="531">
        <f t="shared" si="27"/>
        <v>0.45542943114348444</v>
      </c>
      <c r="BQ28" s="531">
        <f t="shared" si="27"/>
        <v>0.45542943114348444</v>
      </c>
      <c r="BR28" s="531">
        <f t="shared" si="27"/>
        <v>0.45542943114348444</v>
      </c>
      <c r="BS28" s="531">
        <f t="shared" si="27"/>
        <v>0.4554294311434845</v>
      </c>
      <c r="BT28" s="531">
        <f t="shared" si="27"/>
        <v>0.45550827616545325</v>
      </c>
      <c r="BU28" s="531">
        <f t="shared" si="27"/>
        <v>0.45550827616545325</v>
      </c>
      <c r="BV28" s="531">
        <f t="shared" si="27"/>
        <v>0.45550827616545325</v>
      </c>
      <c r="BW28" s="531">
        <f t="shared" si="27"/>
        <v>0.45550827616545325</v>
      </c>
      <c r="BX28" s="531">
        <f t="shared" si="27"/>
        <v>0.45550827616545325</v>
      </c>
      <c r="BY28" s="531">
        <f t="shared" si="27"/>
        <v>0.45550827616545325</v>
      </c>
    </row>
    <row r="29" spans="3:80" x14ac:dyDescent="0.3">
      <c r="C29" s="2"/>
      <c r="D29" s="2"/>
      <c r="E29" s="2"/>
      <c r="F29" s="58"/>
      <c r="G29" s="58"/>
      <c r="H29" s="58"/>
      <c r="I29" s="37"/>
      <c r="J29" s="37"/>
      <c r="K29" s="37"/>
      <c r="L29" s="37"/>
      <c r="M29" s="37"/>
      <c r="N29" s="37"/>
      <c r="O29" s="37"/>
      <c r="P29" s="35"/>
      <c r="R29" s="37"/>
      <c r="S29" s="37"/>
      <c r="T29" s="37"/>
      <c r="U29" s="37"/>
      <c r="V29" s="37"/>
      <c r="W29" s="37"/>
      <c r="X29" s="37"/>
      <c r="Y29" s="37"/>
      <c r="Z29" s="37"/>
      <c r="AA29" s="37"/>
      <c r="AB29" s="37"/>
      <c r="AC29" s="37"/>
      <c r="AD29" s="37"/>
      <c r="AE29" s="37"/>
      <c r="AF29" s="37"/>
      <c r="AG29" s="37"/>
      <c r="AH29" s="37"/>
      <c r="AI29" s="37"/>
      <c r="AJ29" s="37"/>
      <c r="AK29" s="37"/>
      <c r="AL29" s="37"/>
      <c r="AM29" s="37"/>
      <c r="AN29" s="37"/>
      <c r="AO29" s="37"/>
      <c r="AP29" s="37"/>
      <c r="AQ29" s="37"/>
      <c r="AR29" s="37"/>
      <c r="AS29" s="37"/>
      <c r="AT29" s="37"/>
      <c r="AU29" s="37"/>
      <c r="AV29" s="37"/>
      <c r="AW29" s="37"/>
      <c r="AX29" s="37"/>
      <c r="AY29" s="37"/>
      <c r="AZ29" s="37"/>
      <c r="BA29" s="37"/>
      <c r="BB29" s="37"/>
      <c r="BC29" s="37"/>
      <c r="BD29" s="37"/>
      <c r="BE29" s="37"/>
      <c r="BF29" s="37"/>
      <c r="BG29" s="37"/>
      <c r="BH29" s="37"/>
      <c r="BI29" s="37"/>
      <c r="BJ29" s="37"/>
      <c r="BK29" s="37"/>
      <c r="BL29" s="37"/>
      <c r="BM29" s="37"/>
      <c r="BN29" s="37"/>
      <c r="BO29" s="37"/>
      <c r="BP29" s="37"/>
      <c r="BQ29" s="37"/>
      <c r="BR29" s="37"/>
      <c r="BS29" s="37"/>
      <c r="BT29" s="37"/>
      <c r="BU29" s="37"/>
      <c r="BV29" s="37"/>
      <c r="BW29" s="37"/>
      <c r="BX29" s="37"/>
      <c r="BY29" s="37"/>
    </row>
    <row r="30" spans="3:80" x14ac:dyDescent="0.3">
      <c r="C30" s="2"/>
      <c r="D30" s="2"/>
      <c r="E30" s="17" t="s">
        <v>23</v>
      </c>
      <c r="F30" s="37"/>
      <c r="G30" s="37"/>
      <c r="H30" s="37"/>
      <c r="I30" s="37"/>
      <c r="J30" s="37"/>
      <c r="K30" s="37"/>
      <c r="L30" s="37"/>
      <c r="M30" s="37"/>
      <c r="N30" s="37"/>
      <c r="O30" s="37"/>
      <c r="P30" s="35"/>
      <c r="R30" s="37"/>
      <c r="S30" s="37"/>
      <c r="T30" s="37"/>
      <c r="U30" s="37"/>
      <c r="V30" s="37"/>
      <c r="W30" s="37"/>
      <c r="X30" s="37"/>
      <c r="Y30" s="37"/>
      <c r="Z30" s="37"/>
      <c r="AA30" s="37"/>
      <c r="AB30" s="37"/>
      <c r="AC30" s="37"/>
      <c r="AD30" s="37"/>
      <c r="AE30" s="37"/>
      <c r="AF30" s="37"/>
      <c r="AG30" s="37"/>
      <c r="AH30" s="37"/>
      <c r="AI30" s="37"/>
      <c r="AJ30" s="37"/>
      <c r="AK30" s="37"/>
      <c r="AL30" s="37"/>
      <c r="AM30" s="37"/>
      <c r="AN30" s="37"/>
      <c r="AO30" s="37"/>
      <c r="AP30" s="37"/>
      <c r="AQ30" s="37"/>
      <c r="AR30" s="37"/>
      <c r="AS30" s="37"/>
      <c r="AT30" s="37"/>
      <c r="AU30" s="37"/>
      <c r="AV30" s="37"/>
      <c r="AW30" s="37"/>
      <c r="AX30" s="37"/>
      <c r="AY30" s="37"/>
      <c r="AZ30" s="37"/>
      <c r="BA30" s="37"/>
      <c r="BB30" s="37"/>
      <c r="BC30" s="37"/>
      <c r="BD30" s="37"/>
      <c r="BE30" s="37"/>
      <c r="BF30" s="37"/>
      <c r="BG30" s="37"/>
      <c r="BH30" s="37"/>
      <c r="BI30" s="37"/>
      <c r="BJ30" s="37"/>
      <c r="BK30" s="37"/>
      <c r="BL30" s="37"/>
      <c r="BM30" s="37"/>
      <c r="BN30" s="37"/>
      <c r="BO30" s="37"/>
      <c r="BP30" s="37"/>
      <c r="BQ30" s="37"/>
      <c r="BR30" s="37"/>
      <c r="BS30" s="37"/>
      <c r="BT30" s="37"/>
      <c r="BU30" s="37"/>
      <c r="BV30" s="37"/>
      <c r="BW30" s="37"/>
      <c r="BX30" s="37"/>
      <c r="BY30" s="37"/>
    </row>
    <row r="31" spans="3:80" x14ac:dyDescent="0.3">
      <c r="C31" s="2"/>
      <c r="D31" s="2"/>
      <c r="E31" s="4" t="s">
        <v>391</v>
      </c>
      <c r="F31" s="5"/>
      <c r="G31" s="5"/>
      <c r="H31" s="5"/>
      <c r="I31" s="6"/>
      <c r="J31" s="498">
        <f t="shared" ref="J31:N36" si="28">SUMIF($R$2:$BY$2,J$3,$R31:$BY31)</f>
        <v>-54436.265673323964</v>
      </c>
      <c r="K31" s="498">
        <f t="shared" si="28"/>
        <v>-220742.29332020096</v>
      </c>
      <c r="L31" s="498">
        <f t="shared" si="28"/>
        <v>-393450.97740348743</v>
      </c>
      <c r="M31" s="498">
        <f t="shared" si="28"/>
        <v>-573002.46995142382</v>
      </c>
      <c r="N31" s="498">
        <f t="shared" si="28"/>
        <v>-759527.77824962093</v>
      </c>
      <c r="O31" s="57"/>
      <c r="P31" s="55">
        <f t="shared" ref="P31:P37" si="29">IFERROR(((N31/I31)^(1/5))-1,0)</f>
        <v>0</v>
      </c>
      <c r="R31" s="498">
        <f t="shared" ref="R31:AW31" si="30">R$9*R96</f>
        <v>0</v>
      </c>
      <c r="S31" s="530">
        <f t="shared" si="30"/>
        <v>0</v>
      </c>
      <c r="T31" s="530">
        <f t="shared" si="30"/>
        <v>0</v>
      </c>
      <c r="U31" s="530">
        <f t="shared" si="30"/>
        <v>0</v>
      </c>
      <c r="V31" s="530">
        <f t="shared" si="30"/>
        <v>0</v>
      </c>
      <c r="W31" s="530">
        <f t="shared" si="30"/>
        <v>-6666.5252994793673</v>
      </c>
      <c r="X31" s="530">
        <f t="shared" si="30"/>
        <v>-6824.2486248349423</v>
      </c>
      <c r="Y31" s="530">
        <f t="shared" si="30"/>
        <v>-6824.2486248349423</v>
      </c>
      <c r="Z31" s="530">
        <f t="shared" si="30"/>
        <v>-6824.2486248349423</v>
      </c>
      <c r="AA31" s="530">
        <f t="shared" si="30"/>
        <v>-6824.2486248349423</v>
      </c>
      <c r="AB31" s="530">
        <f t="shared" si="30"/>
        <v>-6824.2486248349423</v>
      </c>
      <c r="AC31" s="530">
        <f t="shared" si="30"/>
        <v>-13648.497249669885</v>
      </c>
      <c r="AD31" s="530">
        <f t="shared" si="30"/>
        <v>-13567.436550065817</v>
      </c>
      <c r="AE31" s="530">
        <f t="shared" si="30"/>
        <v>-13567.436550065817</v>
      </c>
      <c r="AF31" s="530">
        <f t="shared" si="30"/>
        <v>-13567.436550065817</v>
      </c>
      <c r="AG31" s="530">
        <f t="shared" si="30"/>
        <v>-13567.436550065817</v>
      </c>
      <c r="AH31" s="530">
        <f t="shared" si="30"/>
        <v>-13567.436550065817</v>
      </c>
      <c r="AI31" s="530">
        <f t="shared" si="30"/>
        <v>-20351.154825098725</v>
      </c>
      <c r="AJ31" s="530">
        <f t="shared" si="30"/>
        <v>-20929.571959701032</v>
      </c>
      <c r="AK31" s="530">
        <f t="shared" si="30"/>
        <v>-20929.571959701032</v>
      </c>
      <c r="AL31" s="530">
        <f t="shared" si="30"/>
        <v>-20929.571959701032</v>
      </c>
      <c r="AM31" s="530">
        <f t="shared" si="30"/>
        <v>-20929.571959701032</v>
      </c>
      <c r="AN31" s="530">
        <f t="shared" si="30"/>
        <v>-20929.571959701032</v>
      </c>
      <c r="AO31" s="530">
        <f t="shared" si="30"/>
        <v>-27906.095946268044</v>
      </c>
      <c r="AP31" s="530">
        <f t="shared" si="30"/>
        <v>-27600.122546113682</v>
      </c>
      <c r="AQ31" s="530">
        <f t="shared" si="30"/>
        <v>-27600.122546113682</v>
      </c>
      <c r="AR31" s="530">
        <f t="shared" si="30"/>
        <v>-27600.122546113682</v>
      </c>
      <c r="AS31" s="530">
        <f t="shared" si="30"/>
        <v>-27600.122546113682</v>
      </c>
      <c r="AT31" s="530">
        <f t="shared" si="30"/>
        <v>-27600.122546113682</v>
      </c>
      <c r="AU31" s="530">
        <f t="shared" si="30"/>
        <v>-34500.153182642105</v>
      </c>
      <c r="AV31" s="530">
        <f t="shared" si="30"/>
        <v>-35637.130885528539</v>
      </c>
      <c r="AW31" s="530">
        <f t="shared" si="30"/>
        <v>-35637.130885528539</v>
      </c>
      <c r="AX31" s="530">
        <f t="shared" ref="AX31:BY31" si="31">AX$9*AX96</f>
        <v>-35637.130885528539</v>
      </c>
      <c r="AY31" s="530">
        <f t="shared" si="31"/>
        <v>-35637.130885528539</v>
      </c>
      <c r="AZ31" s="530">
        <f t="shared" si="31"/>
        <v>-35637.130885528539</v>
      </c>
      <c r="BA31" s="530">
        <f t="shared" si="31"/>
        <v>-42764.557062634245</v>
      </c>
      <c r="BB31" s="530">
        <f t="shared" si="31"/>
        <v>-42131.164759150823</v>
      </c>
      <c r="BC31" s="530">
        <f t="shared" si="31"/>
        <v>-42131.164759150823</v>
      </c>
      <c r="BD31" s="530">
        <f t="shared" si="31"/>
        <v>-42131.164759150823</v>
      </c>
      <c r="BE31" s="530">
        <f t="shared" si="31"/>
        <v>-42131.164759150823</v>
      </c>
      <c r="BF31" s="530">
        <f t="shared" si="31"/>
        <v>-42131.164759150823</v>
      </c>
      <c r="BG31" s="530">
        <f t="shared" si="31"/>
        <v>-49153.025552342624</v>
      </c>
      <c r="BH31" s="530">
        <f t="shared" si="31"/>
        <v>-50985.00800519278</v>
      </c>
      <c r="BI31" s="530">
        <f t="shared" si="31"/>
        <v>-50985.00800519278</v>
      </c>
      <c r="BJ31" s="530">
        <f t="shared" si="31"/>
        <v>-50985.00800519278</v>
      </c>
      <c r="BK31" s="530">
        <f t="shared" si="31"/>
        <v>-50985.00800519278</v>
      </c>
      <c r="BL31" s="530">
        <f t="shared" si="31"/>
        <v>-50985.00800519278</v>
      </c>
      <c r="BM31" s="530">
        <f t="shared" si="31"/>
        <v>-58268.580577363173</v>
      </c>
      <c r="BN31" s="530">
        <f t="shared" si="31"/>
        <v>-57175.544335644787</v>
      </c>
      <c r="BO31" s="530">
        <f t="shared" si="31"/>
        <v>-57175.544335644787</v>
      </c>
      <c r="BP31" s="530">
        <f t="shared" si="31"/>
        <v>-57175.544335644787</v>
      </c>
      <c r="BQ31" s="530">
        <f t="shared" si="31"/>
        <v>-57175.544335644787</v>
      </c>
      <c r="BR31" s="530">
        <f t="shared" si="31"/>
        <v>-57175.544335644787</v>
      </c>
      <c r="BS31" s="530">
        <f t="shared" si="31"/>
        <v>-64322.487377600388</v>
      </c>
      <c r="BT31" s="530">
        <f t="shared" si="31"/>
        <v>-66980.874958984903</v>
      </c>
      <c r="BU31" s="530">
        <f t="shared" si="31"/>
        <v>-66980.874958984903</v>
      </c>
      <c r="BV31" s="530">
        <f t="shared" si="31"/>
        <v>-66980.874958984903</v>
      </c>
      <c r="BW31" s="530">
        <f t="shared" si="31"/>
        <v>-66980.874958984903</v>
      </c>
      <c r="BX31" s="530">
        <f t="shared" si="31"/>
        <v>-66980.874958984903</v>
      </c>
      <c r="BY31" s="530">
        <f t="shared" si="31"/>
        <v>-74423.194398872118</v>
      </c>
      <c r="CB31" s="8"/>
    </row>
    <row r="32" spans="3:80" x14ac:dyDescent="0.3">
      <c r="C32" s="2"/>
      <c r="D32" s="2"/>
      <c r="E32" s="2" t="s">
        <v>392</v>
      </c>
      <c r="F32" s="54"/>
      <c r="G32" s="54"/>
      <c r="H32" s="54"/>
      <c r="I32" s="37"/>
      <c r="J32" s="497">
        <f t="shared" si="28"/>
        <v>27523.754885300954</v>
      </c>
      <c r="K32" s="497">
        <f t="shared" si="28"/>
        <v>111611.25962302952</v>
      </c>
      <c r="L32" s="497">
        <f t="shared" si="28"/>
        <v>198937.7975137262</v>
      </c>
      <c r="M32" s="497">
        <f t="shared" si="28"/>
        <v>289726.45229691814</v>
      </c>
      <c r="N32" s="497">
        <f t="shared" si="28"/>
        <v>384043.97236191039</v>
      </c>
      <c r="O32" s="37"/>
      <c r="P32" s="50">
        <f t="shared" si="29"/>
        <v>0</v>
      </c>
      <c r="R32" s="497">
        <f t="shared" ref="R32:AW32" si="32">R$9*R97</f>
        <v>0</v>
      </c>
      <c r="S32" s="527">
        <f t="shared" si="32"/>
        <v>0</v>
      </c>
      <c r="T32" s="527">
        <f t="shared" si="32"/>
        <v>0</v>
      </c>
      <c r="U32" s="527">
        <f t="shared" si="32"/>
        <v>0</v>
      </c>
      <c r="V32" s="527">
        <f t="shared" si="32"/>
        <v>0</v>
      </c>
      <c r="W32" s="527">
        <f t="shared" si="32"/>
        <v>3370.6472162250284</v>
      </c>
      <c r="X32" s="527">
        <f t="shared" si="32"/>
        <v>3450.443952725132</v>
      </c>
      <c r="Y32" s="527">
        <f t="shared" si="32"/>
        <v>3450.443952725132</v>
      </c>
      <c r="Z32" s="527">
        <f t="shared" si="32"/>
        <v>3450.443952725132</v>
      </c>
      <c r="AA32" s="527">
        <f t="shared" si="32"/>
        <v>3450.443952725132</v>
      </c>
      <c r="AB32" s="527">
        <f t="shared" si="32"/>
        <v>3450.443952725132</v>
      </c>
      <c r="AC32" s="527">
        <f t="shared" si="32"/>
        <v>6900.887905450264</v>
      </c>
      <c r="AD32" s="527">
        <f t="shared" si="32"/>
        <v>6859.8589512285744</v>
      </c>
      <c r="AE32" s="527">
        <f t="shared" si="32"/>
        <v>6859.8589512285744</v>
      </c>
      <c r="AF32" s="527">
        <f t="shared" si="32"/>
        <v>6859.8589512285744</v>
      </c>
      <c r="AG32" s="527">
        <f t="shared" si="32"/>
        <v>6859.8589512285744</v>
      </c>
      <c r="AH32" s="527">
        <f t="shared" si="32"/>
        <v>6859.8589512285744</v>
      </c>
      <c r="AI32" s="527">
        <f t="shared" si="32"/>
        <v>10289.788426842861</v>
      </c>
      <c r="AJ32" s="527">
        <f t="shared" si="32"/>
        <v>10582.448911585861</v>
      </c>
      <c r="AK32" s="527">
        <f t="shared" si="32"/>
        <v>10582.448911585861</v>
      </c>
      <c r="AL32" s="527">
        <f t="shared" si="32"/>
        <v>10582.448911585861</v>
      </c>
      <c r="AM32" s="527">
        <f t="shared" si="32"/>
        <v>10582.448911585861</v>
      </c>
      <c r="AN32" s="527">
        <f t="shared" si="32"/>
        <v>10582.448911585861</v>
      </c>
      <c r="AO32" s="527">
        <f t="shared" si="32"/>
        <v>14109.931882114483</v>
      </c>
      <c r="AP32" s="527">
        <f t="shared" si="32"/>
        <v>13955.065213206393</v>
      </c>
      <c r="AQ32" s="527">
        <f t="shared" si="32"/>
        <v>13955.065213206393</v>
      </c>
      <c r="AR32" s="527">
        <f t="shared" si="32"/>
        <v>13955.065213206393</v>
      </c>
      <c r="AS32" s="527">
        <f t="shared" si="32"/>
        <v>13955.065213206393</v>
      </c>
      <c r="AT32" s="527">
        <f t="shared" si="32"/>
        <v>13955.065213206393</v>
      </c>
      <c r="AU32" s="527">
        <f t="shared" si="32"/>
        <v>17443.831516507991</v>
      </c>
      <c r="AV32" s="527">
        <f t="shared" si="32"/>
        <v>18019.135472771981</v>
      </c>
      <c r="AW32" s="527">
        <f t="shared" si="32"/>
        <v>18019.135472771981</v>
      </c>
      <c r="AX32" s="527">
        <f t="shared" ref="AX32:BY32" si="33">AX$9*AX97</f>
        <v>18019.135472771981</v>
      </c>
      <c r="AY32" s="527">
        <f t="shared" si="33"/>
        <v>18019.135472771981</v>
      </c>
      <c r="AZ32" s="527">
        <f t="shared" si="33"/>
        <v>18019.135472771981</v>
      </c>
      <c r="BA32" s="527">
        <f t="shared" si="33"/>
        <v>21622.96256732638</v>
      </c>
      <c r="BB32" s="527">
        <f t="shared" si="33"/>
        <v>21302.39884712459</v>
      </c>
      <c r="BC32" s="527">
        <f t="shared" si="33"/>
        <v>21302.39884712459</v>
      </c>
      <c r="BD32" s="527">
        <f t="shared" si="33"/>
        <v>21302.39884712459</v>
      </c>
      <c r="BE32" s="527">
        <f t="shared" si="33"/>
        <v>21302.39884712459</v>
      </c>
      <c r="BF32" s="527">
        <f t="shared" si="33"/>
        <v>21302.39884712459</v>
      </c>
      <c r="BG32" s="527">
        <f t="shared" si="33"/>
        <v>24852.798654978687</v>
      </c>
      <c r="BH32" s="527">
        <f t="shared" si="33"/>
        <v>25779.805019632928</v>
      </c>
      <c r="BI32" s="527">
        <f t="shared" si="33"/>
        <v>25779.805019632928</v>
      </c>
      <c r="BJ32" s="527">
        <f t="shared" si="33"/>
        <v>25779.805019632928</v>
      </c>
      <c r="BK32" s="527">
        <f t="shared" si="33"/>
        <v>25779.805019632928</v>
      </c>
      <c r="BL32" s="527">
        <f t="shared" si="33"/>
        <v>25779.805019632928</v>
      </c>
      <c r="BM32" s="527">
        <f t="shared" si="33"/>
        <v>29462.634308151919</v>
      </c>
      <c r="BN32" s="527">
        <f t="shared" si="33"/>
        <v>28909.478517153337</v>
      </c>
      <c r="BO32" s="527">
        <f t="shared" si="33"/>
        <v>28909.478517153337</v>
      </c>
      <c r="BP32" s="527">
        <f t="shared" si="33"/>
        <v>28909.478517153337</v>
      </c>
      <c r="BQ32" s="527">
        <f t="shared" si="33"/>
        <v>28909.478517153337</v>
      </c>
      <c r="BR32" s="527">
        <f t="shared" si="33"/>
        <v>28909.478517153337</v>
      </c>
      <c r="BS32" s="527">
        <f t="shared" si="33"/>
        <v>32523.163331797503</v>
      </c>
      <c r="BT32" s="527">
        <f t="shared" si="33"/>
        <v>33868.377236347558</v>
      </c>
      <c r="BU32" s="527">
        <f t="shared" si="33"/>
        <v>33868.377236347558</v>
      </c>
      <c r="BV32" s="527">
        <f t="shared" si="33"/>
        <v>33868.377236347558</v>
      </c>
      <c r="BW32" s="527">
        <f t="shared" si="33"/>
        <v>33868.377236347558</v>
      </c>
      <c r="BX32" s="527">
        <f t="shared" si="33"/>
        <v>33868.377236347558</v>
      </c>
      <c r="BY32" s="527">
        <f t="shared" si="33"/>
        <v>37631.530262608401</v>
      </c>
      <c r="CB32" s="8"/>
    </row>
    <row r="33" spans="3:80" x14ac:dyDescent="0.3">
      <c r="C33" s="2"/>
      <c r="D33" s="2"/>
      <c r="E33" s="2" t="s">
        <v>393</v>
      </c>
      <c r="F33" s="54"/>
      <c r="G33" s="54"/>
      <c r="H33" s="54"/>
      <c r="I33" s="37"/>
      <c r="J33" s="497">
        <f t="shared" si="28"/>
        <v>3539.8338763591551</v>
      </c>
      <c r="K33" s="497">
        <f t="shared" si="28"/>
        <v>14355.633639482156</v>
      </c>
      <c r="L33" s="497">
        <f t="shared" si="28"/>
        <v>25590.77791692163</v>
      </c>
      <c r="M33" s="497">
        <f t="shared" si="28"/>
        <v>37274.388789122007</v>
      </c>
      <c r="N33" s="497">
        <f t="shared" si="28"/>
        <v>49415.465153433135</v>
      </c>
      <c r="O33" s="37"/>
      <c r="P33" s="50">
        <f t="shared" si="29"/>
        <v>0</v>
      </c>
      <c r="R33" s="497">
        <f t="shared" ref="R33:AW33" si="34">R$9*R98</f>
        <v>0</v>
      </c>
      <c r="S33" s="527">
        <f t="shared" si="34"/>
        <v>0</v>
      </c>
      <c r="T33" s="527">
        <f t="shared" si="34"/>
        <v>0</v>
      </c>
      <c r="U33" s="527">
        <f t="shared" si="34"/>
        <v>0</v>
      </c>
      <c r="V33" s="527">
        <f t="shared" si="34"/>
        <v>0</v>
      </c>
      <c r="W33" s="527">
        <f t="shared" si="34"/>
        <v>433.43985782765191</v>
      </c>
      <c r="X33" s="527">
        <f t="shared" si="34"/>
        <v>443.77057407592901</v>
      </c>
      <c r="Y33" s="527">
        <f t="shared" si="34"/>
        <v>443.77057407592901</v>
      </c>
      <c r="Z33" s="527">
        <f t="shared" si="34"/>
        <v>443.77057407592901</v>
      </c>
      <c r="AA33" s="527">
        <f t="shared" si="34"/>
        <v>443.77057407592901</v>
      </c>
      <c r="AB33" s="527">
        <f t="shared" si="34"/>
        <v>443.77057407592901</v>
      </c>
      <c r="AC33" s="527">
        <f t="shared" si="34"/>
        <v>887.54114815185801</v>
      </c>
      <c r="AD33" s="527">
        <f t="shared" si="34"/>
        <v>882.23041164900656</v>
      </c>
      <c r="AE33" s="527">
        <f t="shared" si="34"/>
        <v>882.23041164900656</v>
      </c>
      <c r="AF33" s="527">
        <f t="shared" si="34"/>
        <v>882.23041164900656</v>
      </c>
      <c r="AG33" s="527">
        <f t="shared" si="34"/>
        <v>882.23041164900656</v>
      </c>
      <c r="AH33" s="527">
        <f t="shared" si="34"/>
        <v>882.23041164900656</v>
      </c>
      <c r="AI33" s="527">
        <f t="shared" si="34"/>
        <v>1323.3456174735097</v>
      </c>
      <c r="AJ33" s="527">
        <f t="shared" si="34"/>
        <v>1361.231994278465</v>
      </c>
      <c r="AK33" s="527">
        <f t="shared" si="34"/>
        <v>1361.231994278465</v>
      </c>
      <c r="AL33" s="527">
        <f t="shared" si="34"/>
        <v>1361.231994278465</v>
      </c>
      <c r="AM33" s="527">
        <f t="shared" si="34"/>
        <v>1361.231994278465</v>
      </c>
      <c r="AN33" s="527">
        <f t="shared" si="34"/>
        <v>1361.231994278465</v>
      </c>
      <c r="AO33" s="527">
        <f t="shared" si="34"/>
        <v>1814.9759923712866</v>
      </c>
      <c r="AP33" s="527">
        <f t="shared" si="34"/>
        <v>1794.9322615604283</v>
      </c>
      <c r="AQ33" s="527">
        <f t="shared" si="34"/>
        <v>1794.9322615604283</v>
      </c>
      <c r="AR33" s="527">
        <f t="shared" si="34"/>
        <v>1794.9322615604283</v>
      </c>
      <c r="AS33" s="527">
        <f t="shared" si="34"/>
        <v>1794.9322615604283</v>
      </c>
      <c r="AT33" s="527">
        <f t="shared" si="34"/>
        <v>1794.9322615604283</v>
      </c>
      <c r="AU33" s="527">
        <f t="shared" si="34"/>
        <v>2243.6653269505355</v>
      </c>
      <c r="AV33" s="527">
        <f t="shared" si="34"/>
        <v>2318.1373035756383</v>
      </c>
      <c r="AW33" s="527">
        <f t="shared" si="34"/>
        <v>2318.1373035756383</v>
      </c>
      <c r="AX33" s="527">
        <f t="shared" ref="AX33:BY33" si="35">AX$9*AX98</f>
        <v>2318.1373035756383</v>
      </c>
      <c r="AY33" s="527">
        <f t="shared" si="35"/>
        <v>2318.1373035756383</v>
      </c>
      <c r="AZ33" s="527">
        <f t="shared" si="35"/>
        <v>2318.1373035756383</v>
      </c>
      <c r="BA33" s="527">
        <f t="shared" si="35"/>
        <v>2781.7647642907659</v>
      </c>
      <c r="BB33" s="527">
        <f t="shared" si="35"/>
        <v>2740.296512980015</v>
      </c>
      <c r="BC33" s="527">
        <f t="shared" si="35"/>
        <v>2740.296512980015</v>
      </c>
      <c r="BD33" s="527">
        <f t="shared" si="35"/>
        <v>2740.296512980015</v>
      </c>
      <c r="BE33" s="527">
        <f t="shared" si="35"/>
        <v>2740.296512980015</v>
      </c>
      <c r="BF33" s="527">
        <f t="shared" si="35"/>
        <v>2740.296512980015</v>
      </c>
      <c r="BG33" s="527">
        <f t="shared" si="35"/>
        <v>3197.0125984766842</v>
      </c>
      <c r="BH33" s="527">
        <f t="shared" si="35"/>
        <v>3317.0059390748074</v>
      </c>
      <c r="BI33" s="527">
        <f t="shared" si="35"/>
        <v>3317.0059390748074</v>
      </c>
      <c r="BJ33" s="527">
        <f t="shared" si="35"/>
        <v>3317.0059390748074</v>
      </c>
      <c r="BK33" s="527">
        <f t="shared" si="35"/>
        <v>3317.0059390748074</v>
      </c>
      <c r="BL33" s="527">
        <f t="shared" si="35"/>
        <v>3317.0059390748074</v>
      </c>
      <c r="BM33" s="527">
        <f t="shared" si="35"/>
        <v>3790.8639303712084</v>
      </c>
      <c r="BN33" s="527">
        <f t="shared" si="35"/>
        <v>3719.3390542898528</v>
      </c>
      <c r="BO33" s="527">
        <f t="shared" si="35"/>
        <v>3719.3390542898528</v>
      </c>
      <c r="BP33" s="527">
        <f t="shared" si="35"/>
        <v>3719.3390542898528</v>
      </c>
      <c r="BQ33" s="527">
        <f t="shared" si="35"/>
        <v>3719.3390542898528</v>
      </c>
      <c r="BR33" s="527">
        <f t="shared" si="35"/>
        <v>3719.3390542898528</v>
      </c>
      <c r="BS33" s="527">
        <f t="shared" si="35"/>
        <v>4184.2564360760844</v>
      </c>
      <c r="BT33" s="527">
        <f t="shared" si="35"/>
        <v>4358.3749275121836</v>
      </c>
      <c r="BU33" s="527">
        <f t="shared" si="35"/>
        <v>4358.3749275121836</v>
      </c>
      <c r="BV33" s="527">
        <f t="shared" si="35"/>
        <v>4358.3749275121836</v>
      </c>
      <c r="BW33" s="527">
        <f t="shared" si="35"/>
        <v>4358.3749275121836</v>
      </c>
      <c r="BX33" s="527">
        <f t="shared" si="35"/>
        <v>4358.3749275121836</v>
      </c>
      <c r="BY33" s="527">
        <f t="shared" si="35"/>
        <v>4842.6388083468701</v>
      </c>
      <c r="CB33" s="8"/>
    </row>
    <row r="34" spans="3:80" x14ac:dyDescent="0.3">
      <c r="C34" s="2"/>
      <c r="D34" s="2"/>
      <c r="E34" s="4" t="s">
        <v>394</v>
      </c>
      <c r="F34" s="5"/>
      <c r="G34" s="5"/>
      <c r="H34" s="5"/>
      <c r="I34" s="65"/>
      <c r="J34" s="500">
        <f t="shared" si="28"/>
        <v>-23372.676911663853</v>
      </c>
      <c r="K34" s="498">
        <f t="shared" si="28"/>
        <v>-94775.40005768933</v>
      </c>
      <c r="L34" s="500">
        <f t="shared" si="28"/>
        <v>-168922.40197283961</v>
      </c>
      <c r="M34" s="500">
        <f t="shared" si="28"/>
        <v>-246001.62886538359</v>
      </c>
      <c r="N34" s="500">
        <f t="shared" si="28"/>
        <v>-326068.34073427756</v>
      </c>
      <c r="O34" s="57"/>
      <c r="P34" s="55">
        <f t="shared" si="29"/>
        <v>0</v>
      </c>
      <c r="R34" s="498">
        <f t="shared" ref="R34:AW34" si="36">R$9*R99</f>
        <v>0</v>
      </c>
      <c r="S34" s="530">
        <f t="shared" si="36"/>
        <v>0</v>
      </c>
      <c r="T34" s="530">
        <f t="shared" si="36"/>
        <v>0</v>
      </c>
      <c r="U34" s="530">
        <f t="shared" si="36"/>
        <v>0</v>
      </c>
      <c r="V34" s="530">
        <f t="shared" si="36"/>
        <v>0</v>
      </c>
      <c r="W34" s="530">
        <f t="shared" si="36"/>
        <v>-2862.438225426687</v>
      </c>
      <c r="X34" s="530">
        <f t="shared" si="36"/>
        <v>-2930.034098033881</v>
      </c>
      <c r="Y34" s="530">
        <f t="shared" si="36"/>
        <v>-2930.034098033881</v>
      </c>
      <c r="Z34" s="530">
        <f t="shared" si="36"/>
        <v>-2930.034098033881</v>
      </c>
      <c r="AA34" s="530">
        <f t="shared" si="36"/>
        <v>-2930.034098033881</v>
      </c>
      <c r="AB34" s="530">
        <f t="shared" si="36"/>
        <v>-2930.034098033881</v>
      </c>
      <c r="AC34" s="530">
        <f t="shared" si="36"/>
        <v>-5860.0681960677621</v>
      </c>
      <c r="AD34" s="530">
        <f t="shared" si="36"/>
        <v>-5825.3471871882339</v>
      </c>
      <c r="AE34" s="530">
        <f t="shared" si="36"/>
        <v>-5825.3471871882339</v>
      </c>
      <c r="AF34" s="530">
        <f t="shared" si="36"/>
        <v>-5825.3471871882339</v>
      </c>
      <c r="AG34" s="530">
        <f t="shared" si="36"/>
        <v>-5825.3471871882339</v>
      </c>
      <c r="AH34" s="530">
        <f t="shared" si="36"/>
        <v>-5825.3471871882339</v>
      </c>
      <c r="AI34" s="530">
        <f t="shared" si="36"/>
        <v>-8738.0207807823499</v>
      </c>
      <c r="AJ34" s="530">
        <f t="shared" si="36"/>
        <v>-8985.8910538367072</v>
      </c>
      <c r="AK34" s="530">
        <f t="shared" si="36"/>
        <v>-8985.8910538367072</v>
      </c>
      <c r="AL34" s="530">
        <f t="shared" si="36"/>
        <v>-8985.8910538367072</v>
      </c>
      <c r="AM34" s="530">
        <f t="shared" si="36"/>
        <v>-8985.8910538367072</v>
      </c>
      <c r="AN34" s="530">
        <f t="shared" si="36"/>
        <v>-8985.8910538367072</v>
      </c>
      <c r="AO34" s="530">
        <f t="shared" si="36"/>
        <v>-11981.188071782277</v>
      </c>
      <c r="AP34" s="530">
        <f t="shared" si="36"/>
        <v>-11850.125071346867</v>
      </c>
      <c r="AQ34" s="530">
        <f t="shared" si="36"/>
        <v>-11850.125071346867</v>
      </c>
      <c r="AR34" s="530">
        <f t="shared" si="36"/>
        <v>-11850.125071346867</v>
      </c>
      <c r="AS34" s="530">
        <f t="shared" si="36"/>
        <v>-11850.125071346867</v>
      </c>
      <c r="AT34" s="530">
        <f t="shared" si="36"/>
        <v>-11850.125071346867</v>
      </c>
      <c r="AU34" s="530">
        <f t="shared" si="36"/>
        <v>-14812.656339183584</v>
      </c>
      <c r="AV34" s="530">
        <f t="shared" si="36"/>
        <v>-15299.858109180921</v>
      </c>
      <c r="AW34" s="530">
        <f t="shared" si="36"/>
        <v>-15299.858109180921</v>
      </c>
      <c r="AX34" s="530">
        <f t="shared" ref="AX34:BY34" si="37">AX$9*AX99</f>
        <v>-15299.858109180921</v>
      </c>
      <c r="AY34" s="530">
        <f t="shared" si="37"/>
        <v>-15299.858109180921</v>
      </c>
      <c r="AZ34" s="530">
        <f t="shared" si="37"/>
        <v>-15299.858109180921</v>
      </c>
      <c r="BA34" s="530">
        <f t="shared" si="37"/>
        <v>-18359.829731017104</v>
      </c>
      <c r="BB34" s="530">
        <f t="shared" si="37"/>
        <v>-18088.469399046226</v>
      </c>
      <c r="BC34" s="530">
        <f t="shared" si="37"/>
        <v>-18088.469399046226</v>
      </c>
      <c r="BD34" s="530">
        <f t="shared" si="37"/>
        <v>-18088.469399046226</v>
      </c>
      <c r="BE34" s="530">
        <f t="shared" si="37"/>
        <v>-18088.469399046226</v>
      </c>
      <c r="BF34" s="530">
        <f t="shared" si="37"/>
        <v>-18088.469399046226</v>
      </c>
      <c r="BG34" s="530">
        <f t="shared" si="37"/>
        <v>-21103.214298887262</v>
      </c>
      <c r="BH34" s="530">
        <f t="shared" si="37"/>
        <v>-21888.197046485038</v>
      </c>
      <c r="BI34" s="530">
        <f t="shared" si="37"/>
        <v>-21888.197046485038</v>
      </c>
      <c r="BJ34" s="530">
        <f t="shared" si="37"/>
        <v>-21888.197046485038</v>
      </c>
      <c r="BK34" s="530">
        <f t="shared" si="37"/>
        <v>-21888.197046485038</v>
      </c>
      <c r="BL34" s="530">
        <f t="shared" si="37"/>
        <v>-21888.197046485038</v>
      </c>
      <c r="BM34" s="530">
        <f t="shared" si="37"/>
        <v>-25015.082338840042</v>
      </c>
      <c r="BN34" s="530">
        <f t="shared" si="37"/>
        <v>-24546.726764201605</v>
      </c>
      <c r="BO34" s="530">
        <f t="shared" si="37"/>
        <v>-24546.726764201605</v>
      </c>
      <c r="BP34" s="530">
        <f t="shared" si="37"/>
        <v>-24546.726764201605</v>
      </c>
      <c r="BQ34" s="530">
        <f t="shared" si="37"/>
        <v>-24546.726764201605</v>
      </c>
      <c r="BR34" s="530">
        <f t="shared" si="37"/>
        <v>-24546.726764201605</v>
      </c>
      <c r="BS34" s="530">
        <f t="shared" si="37"/>
        <v>-27615.067609726804</v>
      </c>
      <c r="BT34" s="530">
        <f t="shared" si="37"/>
        <v>-28754.122795125164</v>
      </c>
      <c r="BU34" s="530">
        <f t="shared" si="37"/>
        <v>-28754.122795125164</v>
      </c>
      <c r="BV34" s="530">
        <f t="shared" si="37"/>
        <v>-28754.122795125164</v>
      </c>
      <c r="BW34" s="530">
        <f t="shared" si="37"/>
        <v>-28754.122795125164</v>
      </c>
      <c r="BX34" s="530">
        <f t="shared" si="37"/>
        <v>-28754.122795125164</v>
      </c>
      <c r="BY34" s="530">
        <f t="shared" si="37"/>
        <v>-31949.025327916846</v>
      </c>
      <c r="CB34" s="8"/>
    </row>
    <row r="35" spans="3:80" x14ac:dyDescent="0.3">
      <c r="C35" s="2"/>
      <c r="D35" s="2"/>
      <c r="E35" s="2" t="s">
        <v>395</v>
      </c>
      <c r="F35" s="54"/>
      <c r="G35" s="54"/>
      <c r="H35" s="54"/>
      <c r="I35" s="37"/>
      <c r="J35" s="497">
        <f t="shared" si="28"/>
        <v>2622.0764183678866</v>
      </c>
      <c r="K35" s="497">
        <f t="shared" si="28"/>
        <v>10631.068201122273</v>
      </c>
      <c r="L35" s="497">
        <f t="shared" si="28"/>
        <v>18944.776481627636</v>
      </c>
      <c r="M35" s="497">
        <f t="shared" si="28"/>
        <v>27582.783332189232</v>
      </c>
      <c r="N35" s="497">
        <f t="shared" si="28"/>
        <v>36549.908496641743</v>
      </c>
      <c r="O35" s="37"/>
      <c r="P35" s="50">
        <f t="shared" si="29"/>
        <v>0</v>
      </c>
      <c r="R35" s="497">
        <f t="shared" ref="R35:AW35" si="38">R$9*R100</f>
        <v>0</v>
      </c>
      <c r="S35" s="527">
        <f t="shared" si="38"/>
        <v>0</v>
      </c>
      <c r="T35" s="527">
        <f t="shared" si="38"/>
        <v>0</v>
      </c>
      <c r="U35" s="527">
        <f t="shared" si="38"/>
        <v>0</v>
      </c>
      <c r="V35" s="527">
        <f t="shared" si="38"/>
        <v>0</v>
      </c>
      <c r="W35" s="527">
        <f t="shared" si="38"/>
        <v>321.21106009747768</v>
      </c>
      <c r="X35" s="527">
        <f t="shared" si="38"/>
        <v>328.69505118148697</v>
      </c>
      <c r="Y35" s="527">
        <f t="shared" si="38"/>
        <v>328.69505118148697</v>
      </c>
      <c r="Z35" s="527">
        <f t="shared" si="38"/>
        <v>328.69505118148697</v>
      </c>
      <c r="AA35" s="527">
        <f t="shared" si="38"/>
        <v>328.69505118148697</v>
      </c>
      <c r="AB35" s="527">
        <f t="shared" si="38"/>
        <v>328.69505118148697</v>
      </c>
      <c r="AC35" s="527">
        <f t="shared" si="38"/>
        <v>657.39010236297395</v>
      </c>
      <c r="AD35" s="527">
        <f t="shared" si="38"/>
        <v>653.61633321622492</v>
      </c>
      <c r="AE35" s="527">
        <f t="shared" si="38"/>
        <v>653.61633321622492</v>
      </c>
      <c r="AF35" s="527">
        <f t="shared" si="38"/>
        <v>653.61633321622492</v>
      </c>
      <c r="AG35" s="527">
        <f t="shared" si="38"/>
        <v>653.61633321622492</v>
      </c>
      <c r="AH35" s="527">
        <f t="shared" si="38"/>
        <v>653.61633321622492</v>
      </c>
      <c r="AI35" s="527">
        <f t="shared" si="38"/>
        <v>980.42449982433732</v>
      </c>
      <c r="AJ35" s="527">
        <f t="shared" si="38"/>
        <v>1007.77295292897</v>
      </c>
      <c r="AK35" s="527">
        <f t="shared" si="38"/>
        <v>1007.77295292897</v>
      </c>
      <c r="AL35" s="527">
        <f t="shared" si="38"/>
        <v>1007.77295292897</v>
      </c>
      <c r="AM35" s="527">
        <f t="shared" si="38"/>
        <v>1007.77295292897</v>
      </c>
      <c r="AN35" s="527">
        <f t="shared" si="38"/>
        <v>1007.77295292897</v>
      </c>
      <c r="AO35" s="527">
        <f t="shared" si="38"/>
        <v>1343.69727057196</v>
      </c>
      <c r="AP35" s="527">
        <f t="shared" si="38"/>
        <v>1329.4489233529421</v>
      </c>
      <c r="AQ35" s="527">
        <f t="shared" si="38"/>
        <v>1329.4489233529421</v>
      </c>
      <c r="AR35" s="527">
        <f t="shared" si="38"/>
        <v>1329.4489233529421</v>
      </c>
      <c r="AS35" s="527">
        <f t="shared" si="38"/>
        <v>1329.4489233529421</v>
      </c>
      <c r="AT35" s="527">
        <f t="shared" si="38"/>
        <v>1329.4489233529421</v>
      </c>
      <c r="AU35" s="527">
        <f t="shared" si="38"/>
        <v>1661.8111541911776</v>
      </c>
      <c r="AV35" s="527">
        <f t="shared" si="38"/>
        <v>1715.4388243018946</v>
      </c>
      <c r="AW35" s="527">
        <f t="shared" si="38"/>
        <v>1715.4388243018946</v>
      </c>
      <c r="AX35" s="527">
        <f t="shared" ref="AX35:BY35" si="39">AX$9*AX100</f>
        <v>1715.4388243018946</v>
      </c>
      <c r="AY35" s="527">
        <f t="shared" si="39"/>
        <v>1715.4388243018946</v>
      </c>
      <c r="AZ35" s="527">
        <f t="shared" si="39"/>
        <v>1715.4388243018946</v>
      </c>
      <c r="BA35" s="527">
        <f t="shared" si="39"/>
        <v>2058.5265891622735</v>
      </c>
      <c r="BB35" s="527">
        <f t="shared" si="39"/>
        <v>2028.9692813951879</v>
      </c>
      <c r="BC35" s="527">
        <f t="shared" si="39"/>
        <v>2028.9692813951879</v>
      </c>
      <c r="BD35" s="527">
        <f t="shared" si="39"/>
        <v>2028.9692813951879</v>
      </c>
      <c r="BE35" s="527">
        <f t="shared" si="39"/>
        <v>2028.9692813951879</v>
      </c>
      <c r="BF35" s="527">
        <f t="shared" si="39"/>
        <v>2028.9692813951879</v>
      </c>
      <c r="BG35" s="527">
        <f t="shared" si="39"/>
        <v>2367.1308282943855</v>
      </c>
      <c r="BH35" s="527">
        <f t="shared" si="39"/>
        <v>2453.3870390333095</v>
      </c>
      <c r="BI35" s="527">
        <f t="shared" si="39"/>
        <v>2453.3870390333095</v>
      </c>
      <c r="BJ35" s="527">
        <f t="shared" si="39"/>
        <v>2453.3870390333095</v>
      </c>
      <c r="BK35" s="527">
        <f t="shared" si="39"/>
        <v>2453.3870390333095</v>
      </c>
      <c r="BL35" s="527">
        <f t="shared" si="39"/>
        <v>2453.3870390333095</v>
      </c>
      <c r="BM35" s="527">
        <f t="shared" si="39"/>
        <v>2803.8709017523538</v>
      </c>
      <c r="BN35" s="527">
        <f t="shared" si="39"/>
        <v>2752.7708845957191</v>
      </c>
      <c r="BO35" s="527">
        <f t="shared" si="39"/>
        <v>2752.7708845957191</v>
      </c>
      <c r="BP35" s="527">
        <f t="shared" si="39"/>
        <v>2752.7708845957191</v>
      </c>
      <c r="BQ35" s="527">
        <f t="shared" si="39"/>
        <v>2752.7708845957191</v>
      </c>
      <c r="BR35" s="527">
        <f t="shared" si="39"/>
        <v>2752.7708845957191</v>
      </c>
      <c r="BS35" s="527">
        <f t="shared" si="39"/>
        <v>3096.8672451701841</v>
      </c>
      <c r="BT35" s="527">
        <f t="shared" si="39"/>
        <v>3221.8669355715774</v>
      </c>
      <c r="BU35" s="527">
        <f t="shared" si="39"/>
        <v>3221.8669355715774</v>
      </c>
      <c r="BV35" s="527">
        <f t="shared" si="39"/>
        <v>3221.8669355715774</v>
      </c>
      <c r="BW35" s="527">
        <f t="shared" si="39"/>
        <v>3221.8669355715774</v>
      </c>
      <c r="BX35" s="527">
        <f t="shared" si="39"/>
        <v>3221.8669355715774</v>
      </c>
      <c r="BY35" s="527">
        <f t="shared" si="39"/>
        <v>3579.8521506350858</v>
      </c>
      <c r="CB35" s="8"/>
    </row>
    <row r="36" spans="3:80" x14ac:dyDescent="0.3">
      <c r="C36" s="2"/>
      <c r="D36" s="2"/>
      <c r="E36" s="4" t="s">
        <v>396</v>
      </c>
      <c r="F36" s="5"/>
      <c r="G36" s="5"/>
      <c r="H36" s="5"/>
      <c r="I36" s="6"/>
      <c r="J36" s="498">
        <f t="shared" si="28"/>
        <v>-20750.600493295966</v>
      </c>
      <c r="K36" s="498">
        <f t="shared" si="28"/>
        <v>-84144.331856567078</v>
      </c>
      <c r="L36" s="498">
        <f t="shared" si="28"/>
        <v>-149977.62549121201</v>
      </c>
      <c r="M36" s="498">
        <f t="shared" si="28"/>
        <v>-218418.84553319443</v>
      </c>
      <c r="N36" s="498">
        <f t="shared" si="28"/>
        <v>-289518.43223763572</v>
      </c>
      <c r="O36" s="57"/>
      <c r="P36" s="55">
        <f t="shared" si="29"/>
        <v>0</v>
      </c>
      <c r="R36" s="498">
        <f t="shared" ref="R36:AW36" si="40">R$9*R101</f>
        <v>0</v>
      </c>
      <c r="S36" s="530">
        <f t="shared" si="40"/>
        <v>0</v>
      </c>
      <c r="T36" s="530">
        <f t="shared" si="40"/>
        <v>0</v>
      </c>
      <c r="U36" s="530">
        <f t="shared" si="40"/>
        <v>0</v>
      </c>
      <c r="V36" s="530">
        <f t="shared" si="40"/>
        <v>0</v>
      </c>
      <c r="W36" s="530">
        <f t="shared" si="40"/>
        <v>-2541.2271653292091</v>
      </c>
      <c r="X36" s="530">
        <f t="shared" si="40"/>
        <v>-2601.3390468523935</v>
      </c>
      <c r="Y36" s="530">
        <f t="shared" si="40"/>
        <v>-2601.3390468523935</v>
      </c>
      <c r="Z36" s="530">
        <f t="shared" si="40"/>
        <v>-2601.3390468523935</v>
      </c>
      <c r="AA36" s="530">
        <f t="shared" si="40"/>
        <v>-2601.3390468523935</v>
      </c>
      <c r="AB36" s="530">
        <f t="shared" si="40"/>
        <v>-2601.3390468523935</v>
      </c>
      <c r="AC36" s="530">
        <f t="shared" si="40"/>
        <v>-5202.678093704787</v>
      </c>
      <c r="AD36" s="530">
        <f t="shared" si="40"/>
        <v>-5171.7308539720098</v>
      </c>
      <c r="AE36" s="530">
        <f t="shared" si="40"/>
        <v>-5171.7308539720098</v>
      </c>
      <c r="AF36" s="530">
        <f t="shared" si="40"/>
        <v>-5171.7308539720098</v>
      </c>
      <c r="AG36" s="530">
        <f t="shared" si="40"/>
        <v>-5171.7308539720098</v>
      </c>
      <c r="AH36" s="530">
        <f t="shared" si="40"/>
        <v>-5171.7308539720098</v>
      </c>
      <c r="AI36" s="530">
        <f t="shared" si="40"/>
        <v>-7757.5962809580142</v>
      </c>
      <c r="AJ36" s="530">
        <f t="shared" si="40"/>
        <v>-7978.1181009077372</v>
      </c>
      <c r="AK36" s="530">
        <f t="shared" si="40"/>
        <v>-7978.1181009077372</v>
      </c>
      <c r="AL36" s="530">
        <f t="shared" si="40"/>
        <v>-7978.1181009077372</v>
      </c>
      <c r="AM36" s="530">
        <f t="shared" si="40"/>
        <v>-7978.1181009077372</v>
      </c>
      <c r="AN36" s="530">
        <f t="shared" si="40"/>
        <v>-7978.1181009077372</v>
      </c>
      <c r="AO36" s="530">
        <f t="shared" si="40"/>
        <v>-10637.490801210317</v>
      </c>
      <c r="AP36" s="530">
        <f t="shared" si="40"/>
        <v>-10520.676147993923</v>
      </c>
      <c r="AQ36" s="530">
        <f t="shared" si="40"/>
        <v>-10520.676147993923</v>
      </c>
      <c r="AR36" s="530">
        <f t="shared" si="40"/>
        <v>-10520.676147993923</v>
      </c>
      <c r="AS36" s="530">
        <f t="shared" si="40"/>
        <v>-10520.676147993923</v>
      </c>
      <c r="AT36" s="530">
        <f t="shared" si="40"/>
        <v>-10520.676147993923</v>
      </c>
      <c r="AU36" s="530">
        <f t="shared" si="40"/>
        <v>-13150.845184992404</v>
      </c>
      <c r="AV36" s="530">
        <f t="shared" si="40"/>
        <v>-13584.41928487903</v>
      </c>
      <c r="AW36" s="530">
        <f t="shared" si="40"/>
        <v>-13584.41928487903</v>
      </c>
      <c r="AX36" s="530">
        <f t="shared" ref="AX36:BY36" si="41">AX$9*AX101</f>
        <v>-13584.41928487903</v>
      </c>
      <c r="AY36" s="530">
        <f t="shared" si="41"/>
        <v>-13584.41928487903</v>
      </c>
      <c r="AZ36" s="530">
        <f t="shared" si="41"/>
        <v>-13584.41928487903</v>
      </c>
      <c r="BA36" s="530">
        <f t="shared" si="41"/>
        <v>-16301.303141854834</v>
      </c>
      <c r="BB36" s="530">
        <f t="shared" si="41"/>
        <v>-16059.500117651038</v>
      </c>
      <c r="BC36" s="530">
        <f t="shared" si="41"/>
        <v>-16059.500117651038</v>
      </c>
      <c r="BD36" s="530">
        <f t="shared" si="41"/>
        <v>-16059.500117651038</v>
      </c>
      <c r="BE36" s="530">
        <f t="shared" si="41"/>
        <v>-16059.500117651038</v>
      </c>
      <c r="BF36" s="530">
        <f t="shared" si="41"/>
        <v>-16059.500117651038</v>
      </c>
      <c r="BG36" s="530">
        <f t="shared" si="41"/>
        <v>-18736.083470592879</v>
      </c>
      <c r="BH36" s="530">
        <f t="shared" si="41"/>
        <v>-19434.810007451732</v>
      </c>
      <c r="BI36" s="530">
        <f t="shared" si="41"/>
        <v>-19434.810007451732</v>
      </c>
      <c r="BJ36" s="530">
        <f t="shared" si="41"/>
        <v>-19434.810007451732</v>
      </c>
      <c r="BK36" s="530">
        <f t="shared" si="41"/>
        <v>-19434.810007451732</v>
      </c>
      <c r="BL36" s="530">
        <f t="shared" si="41"/>
        <v>-19434.810007451732</v>
      </c>
      <c r="BM36" s="530">
        <f t="shared" si="41"/>
        <v>-22211.211437087692</v>
      </c>
      <c r="BN36" s="530">
        <f t="shared" si="41"/>
        <v>-21793.955879605885</v>
      </c>
      <c r="BO36" s="530">
        <f t="shared" si="41"/>
        <v>-21793.955879605885</v>
      </c>
      <c r="BP36" s="530">
        <f t="shared" si="41"/>
        <v>-21793.955879605885</v>
      </c>
      <c r="BQ36" s="530">
        <f t="shared" si="41"/>
        <v>-21793.955879605885</v>
      </c>
      <c r="BR36" s="530">
        <f t="shared" si="41"/>
        <v>-21793.955879605885</v>
      </c>
      <c r="BS36" s="530">
        <f t="shared" si="41"/>
        <v>-24518.200364556622</v>
      </c>
      <c r="BT36" s="530">
        <f t="shared" si="41"/>
        <v>-25532.255859553588</v>
      </c>
      <c r="BU36" s="530">
        <f t="shared" si="41"/>
        <v>-25532.255859553588</v>
      </c>
      <c r="BV36" s="530">
        <f t="shared" si="41"/>
        <v>-25532.255859553588</v>
      </c>
      <c r="BW36" s="530">
        <f t="shared" si="41"/>
        <v>-25532.255859553588</v>
      </c>
      <c r="BX36" s="530">
        <f t="shared" si="41"/>
        <v>-25532.255859553588</v>
      </c>
      <c r="BY36" s="530">
        <f t="shared" si="41"/>
        <v>-28369.173177281766</v>
      </c>
      <c r="CB36" s="8"/>
    </row>
    <row r="37" spans="3:80" x14ac:dyDescent="0.3">
      <c r="C37" s="2"/>
      <c r="D37" s="2"/>
      <c r="E37" s="2" t="s">
        <v>176</v>
      </c>
      <c r="F37" s="58"/>
      <c r="G37" s="58"/>
      <c r="H37" s="58"/>
      <c r="I37" s="23"/>
      <c r="J37" s="499">
        <f>IFERROR(J36/J31,0)</f>
        <v>0.38119074180844525</v>
      </c>
      <c r="K37" s="499">
        <f>IFERROR(K36/K31,0)</f>
        <v>0.38118808403657511</v>
      </c>
      <c r="L37" s="499">
        <f>IFERROR(L36/L31,0)</f>
        <v>0.3811850372846034</v>
      </c>
      <c r="M37" s="499">
        <f>IFERROR(M36/M31,0)</f>
        <v>0.38118307858552658</v>
      </c>
      <c r="N37" s="499">
        <f>IFERROR(N36/N31,0)</f>
        <v>0.38118215097392355</v>
      </c>
      <c r="O37" s="23"/>
      <c r="P37" s="50">
        <f t="shared" si="29"/>
        <v>0</v>
      </c>
      <c r="R37" s="499">
        <f t="shared" ref="R37:BY37" si="42">IFERROR(R36/R31,0)</f>
        <v>0</v>
      </c>
      <c r="S37" s="531">
        <f t="shared" si="42"/>
        <v>0</v>
      </c>
      <c r="T37" s="531">
        <f t="shared" si="42"/>
        <v>0</v>
      </c>
      <c r="U37" s="531">
        <f t="shared" si="42"/>
        <v>0</v>
      </c>
      <c r="V37" s="531">
        <f t="shared" si="42"/>
        <v>0</v>
      </c>
      <c r="W37" s="531">
        <f t="shared" si="42"/>
        <v>0.38119215800886114</v>
      </c>
      <c r="X37" s="531">
        <f t="shared" si="42"/>
        <v>0.38119054417002751</v>
      </c>
      <c r="Y37" s="531">
        <f t="shared" si="42"/>
        <v>0.38119054417002751</v>
      </c>
      <c r="Z37" s="531">
        <f t="shared" si="42"/>
        <v>0.38119054417002751</v>
      </c>
      <c r="AA37" s="531">
        <f t="shared" si="42"/>
        <v>0.38119054417002751</v>
      </c>
      <c r="AB37" s="531">
        <f t="shared" si="42"/>
        <v>0.38119054417002751</v>
      </c>
      <c r="AC37" s="531">
        <f t="shared" si="42"/>
        <v>0.38119054417002751</v>
      </c>
      <c r="AD37" s="531">
        <f t="shared" si="42"/>
        <v>0.38118703079152572</v>
      </c>
      <c r="AE37" s="531">
        <f t="shared" si="42"/>
        <v>0.38118703079152572</v>
      </c>
      <c r="AF37" s="531">
        <f t="shared" si="42"/>
        <v>0.38118703079152572</v>
      </c>
      <c r="AG37" s="531">
        <f t="shared" si="42"/>
        <v>0.38118703079152572</v>
      </c>
      <c r="AH37" s="531">
        <f t="shared" si="42"/>
        <v>0.38118703079152572</v>
      </c>
      <c r="AI37" s="531">
        <f t="shared" si="42"/>
        <v>0.38118703079152566</v>
      </c>
      <c r="AJ37" s="531">
        <f t="shared" si="42"/>
        <v>0.38118878476202245</v>
      </c>
      <c r="AK37" s="531">
        <f t="shared" si="42"/>
        <v>0.38118878476202245</v>
      </c>
      <c r="AL37" s="531">
        <f t="shared" si="42"/>
        <v>0.38118878476202245</v>
      </c>
      <c r="AM37" s="531">
        <f t="shared" si="42"/>
        <v>0.38118878476202245</v>
      </c>
      <c r="AN37" s="531">
        <f t="shared" si="42"/>
        <v>0.38118878476202245</v>
      </c>
      <c r="AO37" s="531">
        <f t="shared" si="42"/>
        <v>0.38118878476202245</v>
      </c>
      <c r="AP37" s="531">
        <f t="shared" si="42"/>
        <v>0.38118222592730183</v>
      </c>
      <c r="AQ37" s="531">
        <f t="shared" si="42"/>
        <v>0.38118222592730183</v>
      </c>
      <c r="AR37" s="531">
        <f t="shared" si="42"/>
        <v>0.38118222592730183</v>
      </c>
      <c r="AS37" s="531">
        <f t="shared" si="42"/>
        <v>0.38118222592730183</v>
      </c>
      <c r="AT37" s="531">
        <f t="shared" si="42"/>
        <v>0.38118222592730183</v>
      </c>
      <c r="AU37" s="531">
        <f t="shared" si="42"/>
        <v>0.38118222592730183</v>
      </c>
      <c r="AV37" s="531">
        <f t="shared" si="42"/>
        <v>0.38118723217405154</v>
      </c>
      <c r="AW37" s="531">
        <f t="shared" si="42"/>
        <v>0.38118723217405154</v>
      </c>
      <c r="AX37" s="531">
        <f t="shared" si="42"/>
        <v>0.38118723217405154</v>
      </c>
      <c r="AY37" s="531">
        <f t="shared" si="42"/>
        <v>0.38118723217405154</v>
      </c>
      <c r="AZ37" s="531">
        <f t="shared" si="42"/>
        <v>0.38118723217405154</v>
      </c>
      <c r="BA37" s="531">
        <f t="shared" si="42"/>
        <v>0.38118723217405154</v>
      </c>
      <c r="BB37" s="531">
        <f t="shared" si="42"/>
        <v>0.3811786407866386</v>
      </c>
      <c r="BC37" s="531">
        <f t="shared" si="42"/>
        <v>0.3811786407866386</v>
      </c>
      <c r="BD37" s="531">
        <f t="shared" si="42"/>
        <v>0.3811786407866386</v>
      </c>
      <c r="BE37" s="531">
        <f t="shared" si="42"/>
        <v>0.3811786407866386</v>
      </c>
      <c r="BF37" s="531">
        <f t="shared" si="42"/>
        <v>0.3811786407866386</v>
      </c>
      <c r="BG37" s="531">
        <f t="shared" si="42"/>
        <v>0.38117864078663866</v>
      </c>
      <c r="BH37" s="531">
        <f t="shared" si="42"/>
        <v>0.3811867599485777</v>
      </c>
      <c r="BI37" s="531">
        <f t="shared" si="42"/>
        <v>0.3811867599485777</v>
      </c>
      <c r="BJ37" s="531">
        <f t="shared" si="42"/>
        <v>0.3811867599485777</v>
      </c>
      <c r="BK37" s="531">
        <f t="shared" si="42"/>
        <v>0.3811867599485777</v>
      </c>
      <c r="BL37" s="531">
        <f t="shared" si="42"/>
        <v>0.3811867599485777</v>
      </c>
      <c r="BM37" s="531">
        <f t="shared" si="42"/>
        <v>0.3811867599485777</v>
      </c>
      <c r="BN37" s="531">
        <f t="shared" si="42"/>
        <v>0.38117618525266828</v>
      </c>
      <c r="BO37" s="531">
        <f t="shared" si="42"/>
        <v>0.38117618525266828</v>
      </c>
      <c r="BP37" s="531">
        <f t="shared" si="42"/>
        <v>0.38117618525266828</v>
      </c>
      <c r="BQ37" s="531">
        <f t="shared" si="42"/>
        <v>0.38117618525266828</v>
      </c>
      <c r="BR37" s="531">
        <f t="shared" si="42"/>
        <v>0.38117618525266828</v>
      </c>
      <c r="BS37" s="531">
        <f t="shared" si="42"/>
        <v>0.38117618525266828</v>
      </c>
      <c r="BT37" s="531">
        <f t="shared" si="42"/>
        <v>0.38118725494684896</v>
      </c>
      <c r="BU37" s="531">
        <f t="shared" si="42"/>
        <v>0.38118725494684896</v>
      </c>
      <c r="BV37" s="531">
        <f t="shared" si="42"/>
        <v>0.38118725494684896</v>
      </c>
      <c r="BW37" s="531">
        <f t="shared" si="42"/>
        <v>0.38118725494684896</v>
      </c>
      <c r="BX37" s="531">
        <f t="shared" si="42"/>
        <v>0.38118725494684896</v>
      </c>
      <c r="BY37" s="531">
        <f t="shared" si="42"/>
        <v>0.38118725494684896</v>
      </c>
    </row>
    <row r="38" spans="3:80" x14ac:dyDescent="0.3">
      <c r="C38" s="2"/>
      <c r="D38" s="2"/>
      <c r="E38" s="2"/>
      <c r="F38" s="59"/>
      <c r="G38" s="59"/>
      <c r="H38" s="59"/>
      <c r="I38" s="60"/>
      <c r="J38" s="60"/>
      <c r="K38" s="60"/>
      <c r="L38" s="60"/>
      <c r="M38" s="60"/>
      <c r="N38" s="60"/>
      <c r="O38" s="60"/>
      <c r="P38" s="61"/>
      <c r="R38" s="60"/>
      <c r="S38" s="60"/>
      <c r="T38" s="60"/>
      <c r="U38" s="60"/>
      <c r="V38" s="60"/>
      <c r="W38" s="60"/>
      <c r="X38" s="60"/>
      <c r="Y38" s="60"/>
      <c r="Z38" s="60"/>
      <c r="AA38" s="60"/>
      <c r="AB38" s="60"/>
      <c r="AC38" s="60"/>
      <c r="AD38" s="60"/>
      <c r="AE38" s="60"/>
      <c r="AF38" s="60"/>
      <c r="AG38" s="60"/>
      <c r="AH38" s="60"/>
      <c r="AI38" s="60"/>
      <c r="AJ38" s="60"/>
      <c r="AK38" s="60"/>
      <c r="AL38" s="60"/>
      <c r="AM38" s="60"/>
      <c r="AN38" s="60"/>
      <c r="AO38" s="60"/>
      <c r="AP38" s="60"/>
      <c r="AQ38" s="60"/>
      <c r="AR38" s="60"/>
      <c r="AS38" s="60"/>
      <c r="AT38" s="60"/>
      <c r="AU38" s="60"/>
      <c r="AV38" s="60"/>
      <c r="AW38" s="60"/>
      <c r="AX38" s="60"/>
      <c r="AY38" s="60"/>
      <c r="AZ38" s="60"/>
      <c r="BA38" s="60"/>
      <c r="BB38" s="60"/>
      <c r="BC38" s="60"/>
      <c r="BD38" s="60"/>
      <c r="BE38" s="60"/>
      <c r="BF38" s="60"/>
      <c r="BG38" s="60"/>
      <c r="BH38" s="60"/>
      <c r="BI38" s="60"/>
      <c r="BJ38" s="60"/>
      <c r="BK38" s="60"/>
      <c r="BL38" s="60"/>
      <c r="BM38" s="60"/>
      <c r="BN38" s="60"/>
      <c r="BO38" s="60"/>
      <c r="BP38" s="60"/>
      <c r="BQ38" s="60"/>
      <c r="BR38" s="60"/>
      <c r="BS38" s="60"/>
      <c r="BT38" s="60"/>
      <c r="BU38" s="60"/>
      <c r="BV38" s="60"/>
      <c r="BW38" s="60"/>
      <c r="BX38" s="60"/>
      <c r="BY38" s="60"/>
    </row>
    <row r="39" spans="3:80" x14ac:dyDescent="0.3">
      <c r="C39" s="2"/>
      <c r="D39" s="2"/>
      <c r="E39" s="62" t="s">
        <v>24</v>
      </c>
      <c r="F39" s="63"/>
      <c r="G39" s="63"/>
      <c r="H39" s="63"/>
      <c r="I39" s="66"/>
      <c r="J39" s="501">
        <f>SUMIF($R$2:$BY$2,J$3,$R39:$BY39)</f>
        <v>-312159.14124165819</v>
      </c>
      <c r="K39" s="502">
        <f>SUMIF($R$2:$BY$2,K$3,$R39:$BY39)</f>
        <v>-1330539.973182586</v>
      </c>
      <c r="L39" s="502">
        <f>SUMIF($R$2:$BY$2,L$3,$R39:$BY39)</f>
        <v>-2486751.8059602757</v>
      </c>
      <c r="M39" s="502">
        <f>SUMIF($R$2:$BY$2,M$3,$R39:$BY39)</f>
        <v>-3787819.0265841768</v>
      </c>
      <c r="N39" s="501">
        <f>SUMIF($R$2:$BY$2,N$3,$R39:$BY39)</f>
        <v>-5249492.8266268428</v>
      </c>
      <c r="O39" s="57"/>
      <c r="P39" s="55">
        <f>IFERROR(((N39/I39)^(1/5))-1,0)</f>
        <v>0</v>
      </c>
      <c r="R39" s="502">
        <f t="shared" ref="R39:AW39" si="43">R$9*R104</f>
        <v>0</v>
      </c>
      <c r="S39" s="534">
        <f t="shared" si="43"/>
        <v>0</v>
      </c>
      <c r="T39" s="534">
        <f t="shared" si="43"/>
        <v>0</v>
      </c>
      <c r="U39" s="534">
        <f t="shared" si="43"/>
        <v>0</v>
      </c>
      <c r="V39" s="534">
        <f t="shared" si="43"/>
        <v>0</v>
      </c>
      <c r="W39" s="534">
        <f t="shared" si="43"/>
        <v>-38224.353227966705</v>
      </c>
      <c r="X39" s="534">
        <f t="shared" si="43"/>
        <v>-39133.541144813069</v>
      </c>
      <c r="Y39" s="534">
        <f t="shared" si="43"/>
        <v>-39133.541144813069</v>
      </c>
      <c r="Z39" s="534">
        <f t="shared" si="43"/>
        <v>-39133.541144813069</v>
      </c>
      <c r="AA39" s="534">
        <f t="shared" si="43"/>
        <v>-39133.541144813069</v>
      </c>
      <c r="AB39" s="534">
        <f t="shared" si="43"/>
        <v>-39133.541144813069</v>
      </c>
      <c r="AC39" s="534">
        <f t="shared" si="43"/>
        <v>-78267.082289626138</v>
      </c>
      <c r="AD39" s="534">
        <f t="shared" si="43"/>
        <v>-81770.30455610677</v>
      </c>
      <c r="AE39" s="534">
        <f t="shared" si="43"/>
        <v>-81770.30455610677</v>
      </c>
      <c r="AF39" s="534">
        <f t="shared" si="43"/>
        <v>-81770.30455610677</v>
      </c>
      <c r="AG39" s="534">
        <f t="shared" si="43"/>
        <v>-81770.30455610677</v>
      </c>
      <c r="AH39" s="534">
        <f t="shared" si="43"/>
        <v>-81770.30455610677</v>
      </c>
      <c r="AI39" s="534">
        <f t="shared" si="43"/>
        <v>-122655.45683416016</v>
      </c>
      <c r="AJ39" s="534">
        <f t="shared" si="43"/>
        <v>-126163.10424756192</v>
      </c>
      <c r="AK39" s="534">
        <f t="shared" si="43"/>
        <v>-126163.10424756192</v>
      </c>
      <c r="AL39" s="534">
        <f t="shared" si="43"/>
        <v>-126163.10424756192</v>
      </c>
      <c r="AM39" s="534">
        <f t="shared" si="43"/>
        <v>-126163.10424756192</v>
      </c>
      <c r="AN39" s="534">
        <f t="shared" si="43"/>
        <v>-126163.10424756192</v>
      </c>
      <c r="AO39" s="534">
        <f t="shared" si="43"/>
        <v>-168217.47233008256</v>
      </c>
      <c r="AP39" s="534">
        <f t="shared" si="43"/>
        <v>-174421.71342224788</v>
      </c>
      <c r="AQ39" s="534">
        <f t="shared" si="43"/>
        <v>-174421.71342224788</v>
      </c>
      <c r="AR39" s="534">
        <f t="shared" si="43"/>
        <v>-174421.71342224788</v>
      </c>
      <c r="AS39" s="534">
        <f t="shared" si="43"/>
        <v>-174421.71342224788</v>
      </c>
      <c r="AT39" s="534">
        <f t="shared" si="43"/>
        <v>-174421.71342224788</v>
      </c>
      <c r="AU39" s="534">
        <f t="shared" si="43"/>
        <v>-218027.14177780985</v>
      </c>
      <c r="AV39" s="534">
        <f t="shared" si="43"/>
        <v>-225260.66081793976</v>
      </c>
      <c r="AW39" s="534">
        <f t="shared" si="43"/>
        <v>-225260.66081793976</v>
      </c>
      <c r="AX39" s="534">
        <f t="shared" ref="AX39:BY39" si="44">AX$9*AX104</f>
        <v>-225260.66081793976</v>
      </c>
      <c r="AY39" s="534">
        <f t="shared" si="44"/>
        <v>-225260.66081793976</v>
      </c>
      <c r="AZ39" s="534">
        <f t="shared" si="44"/>
        <v>-225260.66081793976</v>
      </c>
      <c r="BA39" s="534">
        <f t="shared" si="44"/>
        <v>-270312.79298152769</v>
      </c>
      <c r="BB39" s="534">
        <f t="shared" si="44"/>
        <v>-278468.42080831691</v>
      </c>
      <c r="BC39" s="534">
        <f t="shared" si="44"/>
        <v>-278468.42080831691</v>
      </c>
      <c r="BD39" s="534">
        <f t="shared" si="44"/>
        <v>-278468.42080831691</v>
      </c>
      <c r="BE39" s="534">
        <f t="shared" si="44"/>
        <v>-278468.42080831691</v>
      </c>
      <c r="BF39" s="534">
        <f t="shared" si="44"/>
        <v>-278468.42080831691</v>
      </c>
      <c r="BG39" s="534">
        <f t="shared" si="44"/>
        <v>-324879.82427636976</v>
      </c>
      <c r="BH39" s="534">
        <f t="shared" si="44"/>
        <v>-337073.94622938498</v>
      </c>
      <c r="BI39" s="534">
        <f t="shared" si="44"/>
        <v>-337073.94622938498</v>
      </c>
      <c r="BJ39" s="534">
        <f t="shared" si="44"/>
        <v>-337073.94622938498</v>
      </c>
      <c r="BK39" s="534">
        <f t="shared" si="44"/>
        <v>-337073.94622938498</v>
      </c>
      <c r="BL39" s="534">
        <f t="shared" si="44"/>
        <v>-337073.94622938498</v>
      </c>
      <c r="BM39" s="534">
        <f t="shared" si="44"/>
        <v>-385227.36711929709</v>
      </c>
      <c r="BN39" s="534">
        <f t="shared" si="44"/>
        <v>-395108.56991174934</v>
      </c>
      <c r="BO39" s="534">
        <f t="shared" si="44"/>
        <v>-395108.56991174934</v>
      </c>
      <c r="BP39" s="534">
        <f t="shared" si="44"/>
        <v>-395108.56991174934</v>
      </c>
      <c r="BQ39" s="534">
        <f t="shared" si="44"/>
        <v>-395108.56991174934</v>
      </c>
      <c r="BR39" s="534">
        <f t="shared" si="44"/>
        <v>-395108.56991174934</v>
      </c>
      <c r="BS39" s="534">
        <f t="shared" si="44"/>
        <v>-444497.14115071797</v>
      </c>
      <c r="BT39" s="534">
        <f t="shared" si="44"/>
        <v>-463001.37315011636</v>
      </c>
      <c r="BU39" s="534">
        <f t="shared" si="44"/>
        <v>-463001.37315011636</v>
      </c>
      <c r="BV39" s="534">
        <f t="shared" si="44"/>
        <v>-463001.37315011636</v>
      </c>
      <c r="BW39" s="534">
        <f t="shared" si="44"/>
        <v>-463001.37315011636</v>
      </c>
      <c r="BX39" s="534">
        <f t="shared" si="44"/>
        <v>-463001.37315011636</v>
      </c>
      <c r="BY39" s="534">
        <f t="shared" si="44"/>
        <v>-514445.97016679595</v>
      </c>
      <c r="CB39" s="8"/>
    </row>
    <row r="40" spans="3:80" x14ac:dyDescent="0.3">
      <c r="C40" s="2"/>
      <c r="D40" s="2"/>
      <c r="E40" s="2" t="s">
        <v>177</v>
      </c>
      <c r="F40" s="37"/>
      <c r="G40" s="37"/>
      <c r="H40" s="37"/>
      <c r="I40" s="23"/>
      <c r="J40" s="499">
        <f>IFERROR(J39/(J22+J31),0)</f>
        <v>0.42479998602183977</v>
      </c>
      <c r="K40" s="499">
        <f>IFERROR(K39/(K22+K31),0)</f>
        <v>0.43192215867767553</v>
      </c>
      <c r="L40" s="499">
        <f>IFERROR(L39/(L22+L31),0)</f>
        <v>0.43854331352427711</v>
      </c>
      <c r="M40" s="499">
        <f>IFERROR(M39/(M22+M31),0)</f>
        <v>0.44464234377127165</v>
      </c>
      <c r="N40" s="499">
        <f>IFERROR(N39/(N22+N31),0)</f>
        <v>0.45062826369965858</v>
      </c>
      <c r="O40" s="23"/>
      <c r="P40" s="50">
        <f>IFERROR(((N40/I40)^(1/5))-1,0)</f>
        <v>0</v>
      </c>
      <c r="R40" s="499">
        <f t="shared" ref="R40:BY40" si="45">IFERROR(R39/(R22+R31),0)</f>
        <v>0</v>
      </c>
      <c r="S40" s="531">
        <f t="shared" si="45"/>
        <v>0</v>
      </c>
      <c r="T40" s="531">
        <f t="shared" si="45"/>
        <v>0</v>
      </c>
      <c r="U40" s="531">
        <f t="shared" si="45"/>
        <v>0</v>
      </c>
      <c r="V40" s="531">
        <f t="shared" si="45"/>
        <v>0</v>
      </c>
      <c r="W40" s="531">
        <f t="shared" si="45"/>
        <v>0.42476988817539602</v>
      </c>
      <c r="X40" s="531">
        <f t="shared" si="45"/>
        <v>0.42480418615872928</v>
      </c>
      <c r="Y40" s="531">
        <f t="shared" si="45"/>
        <v>0.42480418615872928</v>
      </c>
      <c r="Z40" s="531">
        <f t="shared" si="45"/>
        <v>0.42480418615872928</v>
      </c>
      <c r="AA40" s="531">
        <f t="shared" si="45"/>
        <v>0.42480418615872928</v>
      </c>
      <c r="AB40" s="531">
        <f t="shared" si="45"/>
        <v>0.42480418615872928</v>
      </c>
      <c r="AC40" s="531">
        <f t="shared" si="45"/>
        <v>0.42480418615872928</v>
      </c>
      <c r="AD40" s="531">
        <f t="shared" si="45"/>
        <v>0.4318948628753545</v>
      </c>
      <c r="AE40" s="531">
        <f t="shared" si="45"/>
        <v>0.4318948628753545</v>
      </c>
      <c r="AF40" s="531">
        <f t="shared" si="45"/>
        <v>0.4318948628753545</v>
      </c>
      <c r="AG40" s="531">
        <f t="shared" si="45"/>
        <v>0.4318948628753545</v>
      </c>
      <c r="AH40" s="531">
        <f t="shared" si="45"/>
        <v>0.4318948628753545</v>
      </c>
      <c r="AI40" s="531">
        <f t="shared" si="45"/>
        <v>0.43189486287535445</v>
      </c>
      <c r="AJ40" s="531">
        <f t="shared" si="45"/>
        <v>0.43194031742261096</v>
      </c>
      <c r="AK40" s="531">
        <f t="shared" si="45"/>
        <v>0.43194031742261096</v>
      </c>
      <c r="AL40" s="531">
        <f t="shared" si="45"/>
        <v>0.43194031742261096</v>
      </c>
      <c r="AM40" s="531">
        <f t="shared" si="45"/>
        <v>0.43194031742261096</v>
      </c>
      <c r="AN40" s="531">
        <f t="shared" si="45"/>
        <v>0.43194031742261096</v>
      </c>
      <c r="AO40" s="531">
        <f t="shared" si="45"/>
        <v>0.43194031742261085</v>
      </c>
      <c r="AP40" s="531">
        <f t="shared" si="45"/>
        <v>0.43851183091386986</v>
      </c>
      <c r="AQ40" s="531">
        <f t="shared" si="45"/>
        <v>0.43851183091386986</v>
      </c>
      <c r="AR40" s="531">
        <f t="shared" si="45"/>
        <v>0.43851183091386986</v>
      </c>
      <c r="AS40" s="531">
        <f t="shared" si="45"/>
        <v>0.43851183091386986</v>
      </c>
      <c r="AT40" s="531">
        <f t="shared" si="45"/>
        <v>0.43851183091386986</v>
      </c>
      <c r="AU40" s="531">
        <f t="shared" si="45"/>
        <v>0.43851183091386986</v>
      </c>
      <c r="AV40" s="531">
        <f t="shared" si="45"/>
        <v>0.43856789057549356</v>
      </c>
      <c r="AW40" s="531">
        <f t="shared" si="45"/>
        <v>0.43856789057549356</v>
      </c>
      <c r="AX40" s="531">
        <f t="shared" si="45"/>
        <v>0.43856789057549356</v>
      </c>
      <c r="AY40" s="531">
        <f t="shared" si="45"/>
        <v>0.43856789057549356</v>
      </c>
      <c r="AZ40" s="531">
        <f t="shared" si="45"/>
        <v>0.43856789057549356</v>
      </c>
      <c r="BA40" s="531">
        <f t="shared" si="45"/>
        <v>0.43856789057549345</v>
      </c>
      <c r="BB40" s="531">
        <f t="shared" si="45"/>
        <v>0.44460629338138774</v>
      </c>
      <c r="BC40" s="531">
        <f t="shared" si="45"/>
        <v>0.44460629338138774</v>
      </c>
      <c r="BD40" s="531">
        <f t="shared" si="45"/>
        <v>0.44460629338138774</v>
      </c>
      <c r="BE40" s="531">
        <f t="shared" si="45"/>
        <v>0.44460629338138774</v>
      </c>
      <c r="BF40" s="531">
        <f t="shared" si="45"/>
        <v>0.44460629338138774</v>
      </c>
      <c r="BG40" s="531">
        <f t="shared" si="45"/>
        <v>0.4446062933813878</v>
      </c>
      <c r="BH40" s="531">
        <f t="shared" si="45"/>
        <v>0.44467224611358402</v>
      </c>
      <c r="BI40" s="531">
        <f t="shared" si="45"/>
        <v>0.44467224611358402</v>
      </c>
      <c r="BJ40" s="531">
        <f t="shared" si="45"/>
        <v>0.44467224611358402</v>
      </c>
      <c r="BK40" s="531">
        <f t="shared" si="45"/>
        <v>0.44467224611358402</v>
      </c>
      <c r="BL40" s="531">
        <f t="shared" si="45"/>
        <v>0.44467224611358402</v>
      </c>
      <c r="BM40" s="531">
        <f t="shared" si="45"/>
        <v>0.44467224611358402</v>
      </c>
      <c r="BN40" s="531">
        <f t="shared" si="45"/>
        <v>0.45058783275639491</v>
      </c>
      <c r="BO40" s="531">
        <f t="shared" si="45"/>
        <v>0.45058783275639491</v>
      </c>
      <c r="BP40" s="531">
        <f t="shared" si="45"/>
        <v>0.45058783275639491</v>
      </c>
      <c r="BQ40" s="531">
        <f t="shared" si="45"/>
        <v>0.45058783275639491</v>
      </c>
      <c r="BR40" s="531">
        <f t="shared" si="45"/>
        <v>0.45058783275639491</v>
      </c>
      <c r="BS40" s="531">
        <f t="shared" si="45"/>
        <v>0.45058783275639491</v>
      </c>
      <c r="BT40" s="531">
        <f t="shared" si="45"/>
        <v>0.45066285017102203</v>
      </c>
      <c r="BU40" s="531">
        <f t="shared" si="45"/>
        <v>0.45066285017102203</v>
      </c>
      <c r="BV40" s="531">
        <f t="shared" si="45"/>
        <v>0.45066285017102203</v>
      </c>
      <c r="BW40" s="531">
        <f t="shared" si="45"/>
        <v>0.45066285017102203</v>
      </c>
      <c r="BX40" s="531">
        <f t="shared" si="45"/>
        <v>0.45066285017102203</v>
      </c>
      <c r="BY40" s="531">
        <f t="shared" si="45"/>
        <v>0.45066285017102209</v>
      </c>
    </row>
    <row r="41" spans="3:80" x14ac:dyDescent="0.3">
      <c r="C41" s="2"/>
      <c r="D41" s="2"/>
      <c r="E41" s="2"/>
      <c r="F41" s="37"/>
      <c r="G41" s="37"/>
      <c r="H41" s="37"/>
      <c r="I41" s="37"/>
      <c r="J41" s="37"/>
      <c r="K41" s="37"/>
      <c r="L41" s="37"/>
      <c r="M41" s="37"/>
      <c r="N41" s="37"/>
      <c r="O41" s="37"/>
      <c r="P41" s="35"/>
      <c r="R41" s="37"/>
      <c r="S41" s="37"/>
      <c r="T41" s="37"/>
      <c r="U41" s="37"/>
      <c r="V41" s="37"/>
      <c r="W41" s="37"/>
      <c r="X41" s="37"/>
      <c r="Y41" s="37"/>
      <c r="Z41" s="37"/>
      <c r="AA41" s="37"/>
      <c r="AB41" s="37"/>
      <c r="AC41" s="37"/>
      <c r="AD41" s="37"/>
      <c r="AE41" s="37"/>
      <c r="AF41" s="37"/>
      <c r="AG41" s="37"/>
      <c r="AH41" s="37"/>
      <c r="AI41" s="37"/>
      <c r="AJ41" s="37"/>
      <c r="AK41" s="37"/>
      <c r="AL41" s="37"/>
      <c r="AM41" s="37"/>
      <c r="AN41" s="37"/>
      <c r="AO41" s="37"/>
      <c r="AP41" s="37"/>
      <c r="AQ41" s="37"/>
      <c r="AR41" s="37"/>
      <c r="AS41" s="37"/>
      <c r="AT41" s="37"/>
      <c r="AU41" s="37"/>
      <c r="AV41" s="37"/>
      <c r="AW41" s="37"/>
      <c r="AX41" s="37"/>
      <c r="AY41" s="37"/>
      <c r="AZ41" s="37"/>
      <c r="BA41" s="37"/>
      <c r="BB41" s="37"/>
      <c r="BC41" s="37"/>
      <c r="BD41" s="37"/>
      <c r="BE41" s="37"/>
      <c r="BF41" s="37"/>
      <c r="BG41" s="37"/>
      <c r="BH41" s="37"/>
      <c r="BI41" s="37"/>
      <c r="BJ41" s="37"/>
      <c r="BK41" s="37"/>
      <c r="BL41" s="37"/>
      <c r="BM41" s="37"/>
      <c r="BN41" s="37"/>
      <c r="BO41" s="37"/>
      <c r="BP41" s="37"/>
      <c r="BQ41" s="37"/>
      <c r="BR41" s="37"/>
      <c r="BS41" s="37"/>
      <c r="BT41" s="37"/>
      <c r="BU41" s="37"/>
      <c r="BV41" s="37"/>
      <c r="BW41" s="37"/>
      <c r="BX41" s="37"/>
      <c r="BY41" s="37"/>
    </row>
    <row r="42" spans="3:80" x14ac:dyDescent="0.3">
      <c r="C42" s="2"/>
      <c r="D42" s="2"/>
      <c r="E42" s="17" t="s">
        <v>25</v>
      </c>
      <c r="F42" s="37"/>
      <c r="G42" s="37"/>
      <c r="H42" s="37"/>
      <c r="I42" s="37"/>
      <c r="J42" s="37"/>
      <c r="K42" s="37"/>
      <c r="L42" s="37"/>
      <c r="M42" s="37"/>
      <c r="N42" s="37"/>
      <c r="O42" s="37"/>
      <c r="P42" s="35"/>
      <c r="R42" s="37"/>
      <c r="S42" s="37"/>
      <c r="T42" s="37"/>
      <c r="U42" s="37"/>
      <c r="V42" s="37"/>
      <c r="W42" s="37"/>
      <c r="X42" s="37"/>
      <c r="Y42" s="37"/>
      <c r="Z42" s="37"/>
      <c r="AA42" s="37"/>
      <c r="AB42" s="37"/>
      <c r="AC42" s="37"/>
      <c r="AD42" s="37"/>
      <c r="AE42" s="37"/>
      <c r="AF42" s="37"/>
      <c r="AG42" s="37"/>
      <c r="AH42" s="37"/>
      <c r="AI42" s="37"/>
      <c r="AJ42" s="37"/>
      <c r="AK42" s="37"/>
      <c r="AL42" s="37"/>
      <c r="AM42" s="37"/>
      <c r="AN42" s="37"/>
      <c r="AO42" s="37"/>
      <c r="AP42" s="37"/>
      <c r="AQ42" s="37"/>
      <c r="AR42" s="37"/>
      <c r="AS42" s="37"/>
      <c r="AT42" s="37"/>
      <c r="AU42" s="37"/>
      <c r="AV42" s="37"/>
      <c r="AW42" s="37"/>
      <c r="AX42" s="37"/>
      <c r="AY42" s="37"/>
      <c r="AZ42" s="37"/>
      <c r="BA42" s="37"/>
      <c r="BB42" s="37"/>
      <c r="BC42" s="37"/>
      <c r="BD42" s="37"/>
      <c r="BE42" s="37"/>
      <c r="BF42" s="37"/>
      <c r="BG42" s="37"/>
      <c r="BH42" s="37"/>
      <c r="BI42" s="37"/>
      <c r="BJ42" s="37"/>
      <c r="BK42" s="37"/>
      <c r="BL42" s="37"/>
      <c r="BM42" s="37"/>
      <c r="BN42" s="37"/>
      <c r="BO42" s="37"/>
      <c r="BP42" s="37"/>
      <c r="BQ42" s="37"/>
      <c r="BR42" s="37"/>
      <c r="BS42" s="37"/>
      <c r="BT42" s="37"/>
      <c r="BU42" s="37"/>
      <c r="BV42" s="37"/>
      <c r="BW42" s="37"/>
      <c r="BX42" s="37"/>
      <c r="BY42" s="37"/>
    </row>
    <row r="43" spans="3:80" x14ac:dyDescent="0.3">
      <c r="C43" s="2"/>
      <c r="D43" s="2"/>
      <c r="E43" s="2" t="s">
        <v>25</v>
      </c>
      <c r="F43" s="54"/>
      <c r="G43" s="54"/>
      <c r="H43" s="54"/>
      <c r="I43" s="37"/>
      <c r="J43" s="497">
        <f t="shared" ref="J43:N45" si="46">SUMIF($R$2:$BY$2,J$3,$R43:$BY43)</f>
        <v>-189581.59169086636</v>
      </c>
      <c r="K43" s="497">
        <f t="shared" si="46"/>
        <v>-794925.61712212139</v>
      </c>
      <c r="L43" s="497">
        <f t="shared" si="46"/>
        <v>-1466559.5097263581</v>
      </c>
      <c r="M43" s="497">
        <f t="shared" si="46"/>
        <v>-2205309.6310587269</v>
      </c>
      <c r="N43" s="497">
        <f t="shared" si="46"/>
        <v>-3015779.7463593106</v>
      </c>
      <c r="O43" s="37"/>
      <c r="P43" s="50">
        <f>IFERROR(((N43/I43)^(1/5))-1,0)</f>
        <v>0</v>
      </c>
      <c r="R43" s="497">
        <f t="shared" ref="R43:AW43" si="47">R$9*R108</f>
        <v>0</v>
      </c>
      <c r="S43" s="527">
        <f t="shared" si="47"/>
        <v>0</v>
      </c>
      <c r="T43" s="527">
        <f t="shared" si="47"/>
        <v>0</v>
      </c>
      <c r="U43" s="527">
        <f t="shared" si="47"/>
        <v>0</v>
      </c>
      <c r="V43" s="527">
        <f t="shared" si="47"/>
        <v>0</v>
      </c>
      <c r="W43" s="527">
        <f t="shared" si="47"/>
        <v>-23046.803066343295</v>
      </c>
      <c r="X43" s="527">
        <f t="shared" si="47"/>
        <v>-23790.684089217582</v>
      </c>
      <c r="Y43" s="527">
        <f t="shared" si="47"/>
        <v>-23790.684089217582</v>
      </c>
      <c r="Z43" s="527">
        <f t="shared" si="47"/>
        <v>-23790.684089217582</v>
      </c>
      <c r="AA43" s="527">
        <f t="shared" si="47"/>
        <v>-23790.684089217582</v>
      </c>
      <c r="AB43" s="527">
        <f t="shared" si="47"/>
        <v>-23790.684089217582</v>
      </c>
      <c r="AC43" s="527">
        <f t="shared" si="47"/>
        <v>-47581.368178435165</v>
      </c>
      <c r="AD43" s="527">
        <f t="shared" si="47"/>
        <v>-48546.851623746799</v>
      </c>
      <c r="AE43" s="527">
        <f t="shared" si="47"/>
        <v>-48546.851623746799</v>
      </c>
      <c r="AF43" s="527">
        <f t="shared" si="47"/>
        <v>-48546.851623746799</v>
      </c>
      <c r="AG43" s="527">
        <f t="shared" si="47"/>
        <v>-48546.851623746799</v>
      </c>
      <c r="AH43" s="527">
        <f t="shared" si="47"/>
        <v>-48546.851623746799</v>
      </c>
      <c r="AI43" s="527">
        <f t="shared" si="47"/>
        <v>-72820.277435620199</v>
      </c>
      <c r="AJ43" s="527">
        <f t="shared" si="47"/>
        <v>-75690.170773857986</v>
      </c>
      <c r="AK43" s="527">
        <f t="shared" si="47"/>
        <v>-75690.170773857986</v>
      </c>
      <c r="AL43" s="527">
        <f t="shared" si="47"/>
        <v>-75690.170773857986</v>
      </c>
      <c r="AM43" s="527">
        <f t="shared" si="47"/>
        <v>-75690.170773857986</v>
      </c>
      <c r="AN43" s="527">
        <f t="shared" si="47"/>
        <v>-75690.170773857986</v>
      </c>
      <c r="AO43" s="527">
        <f t="shared" si="47"/>
        <v>-100920.22769847732</v>
      </c>
      <c r="AP43" s="527">
        <f t="shared" si="47"/>
        <v>-102133.27431526422</v>
      </c>
      <c r="AQ43" s="527">
        <f t="shared" si="47"/>
        <v>-102133.27431526422</v>
      </c>
      <c r="AR43" s="527">
        <f t="shared" si="47"/>
        <v>-102133.27431526422</v>
      </c>
      <c r="AS43" s="527">
        <f t="shared" si="47"/>
        <v>-102133.27431526422</v>
      </c>
      <c r="AT43" s="527">
        <f t="shared" si="47"/>
        <v>-102133.27431526422</v>
      </c>
      <c r="AU43" s="527">
        <f t="shared" si="47"/>
        <v>-127666.59289408027</v>
      </c>
      <c r="AV43" s="527">
        <f t="shared" si="47"/>
        <v>-133584.92665418662</v>
      </c>
      <c r="AW43" s="527">
        <f t="shared" si="47"/>
        <v>-133584.92665418662</v>
      </c>
      <c r="AX43" s="527">
        <f t="shared" ref="AX43:BY43" si="48">AX$9*AX108</f>
        <v>-133584.92665418662</v>
      </c>
      <c r="AY43" s="527">
        <f t="shared" si="48"/>
        <v>-133584.92665418662</v>
      </c>
      <c r="AZ43" s="527">
        <f t="shared" si="48"/>
        <v>-133584.92665418662</v>
      </c>
      <c r="BA43" s="527">
        <f t="shared" si="48"/>
        <v>-160301.91198502394</v>
      </c>
      <c r="BB43" s="527">
        <f t="shared" si="48"/>
        <v>-160801.67181399843</v>
      </c>
      <c r="BC43" s="527">
        <f t="shared" si="48"/>
        <v>-160801.67181399843</v>
      </c>
      <c r="BD43" s="527">
        <f t="shared" si="48"/>
        <v>-160801.67181399843</v>
      </c>
      <c r="BE43" s="527">
        <f t="shared" si="48"/>
        <v>-160801.67181399843</v>
      </c>
      <c r="BF43" s="527">
        <f t="shared" si="48"/>
        <v>-160801.67181399843</v>
      </c>
      <c r="BG43" s="527">
        <f t="shared" si="48"/>
        <v>-187601.95044966484</v>
      </c>
      <c r="BH43" s="527">
        <f t="shared" si="48"/>
        <v>-197578.95932031368</v>
      </c>
      <c r="BI43" s="527">
        <f t="shared" si="48"/>
        <v>-197578.95932031368</v>
      </c>
      <c r="BJ43" s="527">
        <f t="shared" si="48"/>
        <v>-197578.95932031368</v>
      </c>
      <c r="BK43" s="527">
        <f t="shared" si="48"/>
        <v>-197578.95932031368</v>
      </c>
      <c r="BL43" s="527">
        <f t="shared" si="48"/>
        <v>-197578.95932031368</v>
      </c>
      <c r="BM43" s="527">
        <f t="shared" si="48"/>
        <v>-225804.52493750135</v>
      </c>
      <c r="BN43" s="527">
        <f t="shared" si="48"/>
        <v>-224866.04510479371</v>
      </c>
      <c r="BO43" s="527">
        <f t="shared" si="48"/>
        <v>-224866.04510479371</v>
      </c>
      <c r="BP43" s="527">
        <f t="shared" si="48"/>
        <v>-224866.04510479371</v>
      </c>
      <c r="BQ43" s="527">
        <f t="shared" si="48"/>
        <v>-224866.04510479371</v>
      </c>
      <c r="BR43" s="527">
        <f t="shared" si="48"/>
        <v>-224866.04510479371</v>
      </c>
      <c r="BS43" s="527">
        <f t="shared" si="48"/>
        <v>-252974.30074289293</v>
      </c>
      <c r="BT43" s="527">
        <f t="shared" si="48"/>
        <v>-268114.1269242189</v>
      </c>
      <c r="BU43" s="527">
        <f t="shared" si="48"/>
        <v>-268114.1269242189</v>
      </c>
      <c r="BV43" s="527">
        <f t="shared" si="48"/>
        <v>-268114.1269242189</v>
      </c>
      <c r="BW43" s="527">
        <f t="shared" si="48"/>
        <v>-268114.1269242189</v>
      </c>
      <c r="BX43" s="527">
        <f t="shared" si="48"/>
        <v>-268114.1269242189</v>
      </c>
      <c r="BY43" s="527">
        <f t="shared" si="48"/>
        <v>-297904.58547135431</v>
      </c>
      <c r="CB43" s="8"/>
    </row>
    <row r="44" spans="3:80" x14ac:dyDescent="0.3">
      <c r="C44" s="2"/>
      <c r="D44" s="2"/>
      <c r="E44" s="2" t="s">
        <v>14</v>
      </c>
      <c r="F44" s="54"/>
      <c r="G44" s="54"/>
      <c r="H44" s="54"/>
      <c r="I44" s="37"/>
      <c r="J44" s="497">
        <f t="shared" si="46"/>
        <v>-24271.337747365895</v>
      </c>
      <c r="K44" s="497">
        <f t="shared" si="46"/>
        <v>-100308.34525377708</v>
      </c>
      <c r="L44" s="497">
        <f t="shared" si="46"/>
        <v>-181130.46844812899</v>
      </c>
      <c r="M44" s="497">
        <f t="shared" si="46"/>
        <v>-265425.89454694052</v>
      </c>
      <c r="N44" s="497">
        <f t="shared" si="46"/>
        <v>-352514.76299091021</v>
      </c>
      <c r="O44" s="37"/>
      <c r="P44" s="50">
        <f>IFERROR(((N44/I44)^(1/5))-1,0)</f>
        <v>0</v>
      </c>
      <c r="R44" s="497">
        <f t="shared" ref="R44:AW44" si="49">R$9*R109</f>
        <v>0</v>
      </c>
      <c r="S44" s="527">
        <f t="shared" si="49"/>
        <v>0</v>
      </c>
      <c r="T44" s="527">
        <f t="shared" si="49"/>
        <v>0</v>
      </c>
      <c r="U44" s="527">
        <f t="shared" si="49"/>
        <v>0</v>
      </c>
      <c r="V44" s="527">
        <f t="shared" si="49"/>
        <v>0</v>
      </c>
      <c r="W44" s="527">
        <f t="shared" si="49"/>
        <v>-3033.9172184207368</v>
      </c>
      <c r="X44" s="527">
        <f t="shared" si="49"/>
        <v>-3033.9172184207368</v>
      </c>
      <c r="Y44" s="527">
        <f t="shared" si="49"/>
        <v>-3033.9172184207368</v>
      </c>
      <c r="Z44" s="527">
        <f t="shared" si="49"/>
        <v>-3033.9172184207368</v>
      </c>
      <c r="AA44" s="527">
        <f t="shared" si="49"/>
        <v>-3033.9172184207368</v>
      </c>
      <c r="AB44" s="527">
        <f t="shared" si="49"/>
        <v>-3033.9172184207368</v>
      </c>
      <c r="AC44" s="527">
        <f t="shared" si="49"/>
        <v>-6067.8344368414737</v>
      </c>
      <c r="AD44" s="527">
        <f t="shared" si="49"/>
        <v>-6269.2715783610674</v>
      </c>
      <c r="AE44" s="527">
        <f t="shared" si="49"/>
        <v>-6269.2715783610674</v>
      </c>
      <c r="AF44" s="527">
        <f t="shared" si="49"/>
        <v>-6269.2715783610674</v>
      </c>
      <c r="AG44" s="527">
        <f t="shared" si="49"/>
        <v>-6269.2715783610674</v>
      </c>
      <c r="AH44" s="527">
        <f t="shared" si="49"/>
        <v>-6269.2715783610674</v>
      </c>
      <c r="AI44" s="527">
        <f t="shared" si="49"/>
        <v>-9403.9073675416003</v>
      </c>
      <c r="AJ44" s="527">
        <f t="shared" si="49"/>
        <v>-9403.9073675416003</v>
      </c>
      <c r="AK44" s="527">
        <f t="shared" si="49"/>
        <v>-9403.9073675416003</v>
      </c>
      <c r="AL44" s="527">
        <f t="shared" si="49"/>
        <v>-9403.9073675416003</v>
      </c>
      <c r="AM44" s="527">
        <f t="shared" si="49"/>
        <v>-9403.9073675416003</v>
      </c>
      <c r="AN44" s="527">
        <f t="shared" si="49"/>
        <v>-9403.9073675416003</v>
      </c>
      <c r="AO44" s="527">
        <f t="shared" si="49"/>
        <v>-12538.543156722135</v>
      </c>
      <c r="AP44" s="527">
        <f t="shared" si="49"/>
        <v>-12937.890603437783</v>
      </c>
      <c r="AQ44" s="527">
        <f t="shared" si="49"/>
        <v>-12937.890603437783</v>
      </c>
      <c r="AR44" s="527">
        <f t="shared" si="49"/>
        <v>-12937.890603437783</v>
      </c>
      <c r="AS44" s="527">
        <f t="shared" si="49"/>
        <v>-12937.890603437783</v>
      </c>
      <c r="AT44" s="527">
        <f t="shared" si="49"/>
        <v>-12937.890603437783</v>
      </c>
      <c r="AU44" s="527">
        <f t="shared" si="49"/>
        <v>-16172.36325429723</v>
      </c>
      <c r="AV44" s="527">
        <f t="shared" si="49"/>
        <v>-16172.36325429723</v>
      </c>
      <c r="AW44" s="527">
        <f t="shared" si="49"/>
        <v>-16172.36325429723</v>
      </c>
      <c r="AX44" s="527">
        <f t="shared" ref="AX44:BY44" si="50">AX$9*AX109</f>
        <v>-16172.36325429723</v>
      </c>
      <c r="AY44" s="527">
        <f t="shared" si="50"/>
        <v>-16172.36325429723</v>
      </c>
      <c r="AZ44" s="527">
        <f t="shared" si="50"/>
        <v>-16172.36325429723</v>
      </c>
      <c r="BA44" s="527">
        <f t="shared" si="50"/>
        <v>-19406.835905156673</v>
      </c>
      <c r="BB44" s="527">
        <f t="shared" si="50"/>
        <v>-19906.942091020541</v>
      </c>
      <c r="BC44" s="527">
        <f t="shared" si="50"/>
        <v>-19906.942091020541</v>
      </c>
      <c r="BD44" s="527">
        <f t="shared" si="50"/>
        <v>-19906.942091020541</v>
      </c>
      <c r="BE44" s="527">
        <f t="shared" si="50"/>
        <v>-19906.942091020541</v>
      </c>
      <c r="BF44" s="527">
        <f t="shared" si="50"/>
        <v>-19906.942091020541</v>
      </c>
      <c r="BG44" s="527">
        <f t="shared" si="50"/>
        <v>-23224.765772857296</v>
      </c>
      <c r="BH44" s="527">
        <f t="shared" si="50"/>
        <v>-23224.765772857296</v>
      </c>
      <c r="BI44" s="527">
        <f t="shared" si="50"/>
        <v>-23224.765772857296</v>
      </c>
      <c r="BJ44" s="527">
        <f t="shared" si="50"/>
        <v>-23224.765772857296</v>
      </c>
      <c r="BK44" s="527">
        <f t="shared" si="50"/>
        <v>-23224.765772857296</v>
      </c>
      <c r="BL44" s="527">
        <f t="shared" si="50"/>
        <v>-23224.765772857296</v>
      </c>
      <c r="BM44" s="527">
        <f t="shared" si="50"/>
        <v>-26542.589454694054</v>
      </c>
      <c r="BN44" s="527">
        <f t="shared" si="50"/>
        <v>-27116.520230070015</v>
      </c>
      <c r="BO44" s="527">
        <f t="shared" si="50"/>
        <v>-27116.520230070015</v>
      </c>
      <c r="BP44" s="527">
        <f t="shared" si="50"/>
        <v>-27116.520230070015</v>
      </c>
      <c r="BQ44" s="527">
        <f t="shared" si="50"/>
        <v>-27116.520230070015</v>
      </c>
      <c r="BR44" s="527">
        <f t="shared" si="50"/>
        <v>-27116.520230070015</v>
      </c>
      <c r="BS44" s="527">
        <f t="shared" si="50"/>
        <v>-30506.085258828767</v>
      </c>
      <c r="BT44" s="527">
        <f t="shared" si="50"/>
        <v>-30506.085258828767</v>
      </c>
      <c r="BU44" s="527">
        <f t="shared" si="50"/>
        <v>-30506.085258828767</v>
      </c>
      <c r="BV44" s="527">
        <f t="shared" si="50"/>
        <v>-30506.085258828767</v>
      </c>
      <c r="BW44" s="527">
        <f t="shared" si="50"/>
        <v>-30506.085258828767</v>
      </c>
      <c r="BX44" s="527">
        <f t="shared" si="50"/>
        <v>-30506.085258828767</v>
      </c>
      <c r="BY44" s="527">
        <f t="shared" si="50"/>
        <v>-33895.650287587516</v>
      </c>
      <c r="CB44" s="8"/>
    </row>
    <row r="45" spans="3:80" x14ac:dyDescent="0.3">
      <c r="C45" s="2"/>
      <c r="D45" s="2"/>
      <c r="E45" s="4" t="s">
        <v>26</v>
      </c>
      <c r="F45" s="5"/>
      <c r="G45" s="5"/>
      <c r="H45" s="5"/>
      <c r="I45" s="65"/>
      <c r="J45" s="500">
        <f t="shared" si="46"/>
        <v>-213852.9294382323</v>
      </c>
      <c r="K45" s="500">
        <f t="shared" si="46"/>
        <v>-895233.96237589838</v>
      </c>
      <c r="L45" s="500">
        <f t="shared" si="46"/>
        <v>-1647689.9781744874</v>
      </c>
      <c r="M45" s="500">
        <f t="shared" si="46"/>
        <v>-2470735.5256056669</v>
      </c>
      <c r="N45" s="500">
        <f t="shared" si="46"/>
        <v>-3368294.5093502207</v>
      </c>
      <c r="O45" s="57"/>
      <c r="P45" s="55">
        <f>IFERROR(((N45/I45)^(1/5))-1,0)</f>
        <v>0</v>
      </c>
      <c r="R45" s="500">
        <f t="shared" ref="R45:AW45" si="51">R$9*R110</f>
        <v>0</v>
      </c>
      <c r="S45" s="532">
        <f t="shared" si="51"/>
        <v>0</v>
      </c>
      <c r="T45" s="532">
        <f t="shared" si="51"/>
        <v>0</v>
      </c>
      <c r="U45" s="532">
        <f t="shared" si="51"/>
        <v>0</v>
      </c>
      <c r="V45" s="532">
        <f t="shared" si="51"/>
        <v>0</v>
      </c>
      <c r="W45" s="532">
        <f t="shared" si="51"/>
        <v>-26080.720284764026</v>
      </c>
      <c r="X45" s="532">
        <f t="shared" si="51"/>
        <v>-26824.601307638324</v>
      </c>
      <c r="Y45" s="532">
        <f t="shared" si="51"/>
        <v>-26824.601307638324</v>
      </c>
      <c r="Z45" s="532">
        <f t="shared" si="51"/>
        <v>-26824.601307638324</v>
      </c>
      <c r="AA45" s="532">
        <f t="shared" si="51"/>
        <v>-26824.601307638324</v>
      </c>
      <c r="AB45" s="532">
        <f t="shared" si="51"/>
        <v>-26824.601307638324</v>
      </c>
      <c r="AC45" s="532">
        <f t="shared" si="51"/>
        <v>-53649.202615276648</v>
      </c>
      <c r="AD45" s="532">
        <f t="shared" si="51"/>
        <v>-54816.123202107861</v>
      </c>
      <c r="AE45" s="532">
        <f t="shared" si="51"/>
        <v>-54816.123202107861</v>
      </c>
      <c r="AF45" s="532">
        <f t="shared" si="51"/>
        <v>-54816.123202107861</v>
      </c>
      <c r="AG45" s="532">
        <f t="shared" si="51"/>
        <v>-54816.123202107861</v>
      </c>
      <c r="AH45" s="532">
        <f t="shared" si="51"/>
        <v>-54816.123202107861</v>
      </c>
      <c r="AI45" s="532">
        <f t="shared" si="51"/>
        <v>-82224.184803161799</v>
      </c>
      <c r="AJ45" s="532">
        <f t="shared" si="51"/>
        <v>-85094.078141399586</v>
      </c>
      <c r="AK45" s="532">
        <f t="shared" si="51"/>
        <v>-85094.078141399586</v>
      </c>
      <c r="AL45" s="532">
        <f t="shared" si="51"/>
        <v>-85094.078141399586</v>
      </c>
      <c r="AM45" s="532">
        <f t="shared" si="51"/>
        <v>-85094.078141399586</v>
      </c>
      <c r="AN45" s="532">
        <f t="shared" si="51"/>
        <v>-85094.078141399586</v>
      </c>
      <c r="AO45" s="532">
        <f t="shared" si="51"/>
        <v>-113458.77085519944</v>
      </c>
      <c r="AP45" s="532">
        <f t="shared" si="51"/>
        <v>-115071.16491870199</v>
      </c>
      <c r="AQ45" s="532">
        <f t="shared" si="51"/>
        <v>-115071.16491870199</v>
      </c>
      <c r="AR45" s="532">
        <f t="shared" si="51"/>
        <v>-115071.16491870199</v>
      </c>
      <c r="AS45" s="532">
        <f t="shared" si="51"/>
        <v>-115071.16491870199</v>
      </c>
      <c r="AT45" s="532">
        <f t="shared" si="51"/>
        <v>-115071.16491870199</v>
      </c>
      <c r="AU45" s="532">
        <f t="shared" si="51"/>
        <v>-143838.9561483775</v>
      </c>
      <c r="AV45" s="532">
        <f t="shared" si="51"/>
        <v>-149757.28990848383</v>
      </c>
      <c r="AW45" s="532">
        <f t="shared" si="51"/>
        <v>-149757.28990848383</v>
      </c>
      <c r="AX45" s="532">
        <f t="shared" ref="AX45:BY45" si="52">AX$9*AX110</f>
        <v>-149757.28990848383</v>
      </c>
      <c r="AY45" s="532">
        <f t="shared" si="52"/>
        <v>-149757.28990848383</v>
      </c>
      <c r="AZ45" s="532">
        <f t="shared" si="52"/>
        <v>-149757.28990848383</v>
      </c>
      <c r="BA45" s="532">
        <f t="shared" si="52"/>
        <v>-179708.74789018059</v>
      </c>
      <c r="BB45" s="532">
        <f t="shared" si="52"/>
        <v>-180708.61390501895</v>
      </c>
      <c r="BC45" s="532">
        <f t="shared" si="52"/>
        <v>-180708.61390501895</v>
      </c>
      <c r="BD45" s="532">
        <f t="shared" si="52"/>
        <v>-180708.61390501895</v>
      </c>
      <c r="BE45" s="532">
        <f t="shared" si="52"/>
        <v>-180708.61390501895</v>
      </c>
      <c r="BF45" s="532">
        <f t="shared" si="52"/>
        <v>-180708.61390501895</v>
      </c>
      <c r="BG45" s="532">
        <f t="shared" si="52"/>
        <v>-210826.71622252211</v>
      </c>
      <c r="BH45" s="532">
        <f t="shared" si="52"/>
        <v>-220803.725093171</v>
      </c>
      <c r="BI45" s="532">
        <f t="shared" si="52"/>
        <v>-220803.725093171</v>
      </c>
      <c r="BJ45" s="532">
        <f t="shared" si="52"/>
        <v>-220803.725093171</v>
      </c>
      <c r="BK45" s="532">
        <f t="shared" si="52"/>
        <v>-220803.725093171</v>
      </c>
      <c r="BL45" s="532">
        <f t="shared" si="52"/>
        <v>-220803.725093171</v>
      </c>
      <c r="BM45" s="532">
        <f t="shared" si="52"/>
        <v>-252347.11439219542</v>
      </c>
      <c r="BN45" s="532">
        <f t="shared" si="52"/>
        <v>-251982.56533486376</v>
      </c>
      <c r="BO45" s="532">
        <f t="shared" si="52"/>
        <v>-251982.56533486376</v>
      </c>
      <c r="BP45" s="532">
        <f t="shared" si="52"/>
        <v>-251982.56533486376</v>
      </c>
      <c r="BQ45" s="532">
        <f t="shared" si="52"/>
        <v>-251982.56533486376</v>
      </c>
      <c r="BR45" s="532">
        <f t="shared" si="52"/>
        <v>-251982.56533486376</v>
      </c>
      <c r="BS45" s="532">
        <f t="shared" si="52"/>
        <v>-283480.38600172172</v>
      </c>
      <c r="BT45" s="532">
        <f t="shared" si="52"/>
        <v>-298620.21218304767</v>
      </c>
      <c r="BU45" s="532">
        <f t="shared" si="52"/>
        <v>-298620.21218304767</v>
      </c>
      <c r="BV45" s="532">
        <f t="shared" si="52"/>
        <v>-298620.21218304767</v>
      </c>
      <c r="BW45" s="532">
        <f t="shared" si="52"/>
        <v>-298620.21218304767</v>
      </c>
      <c r="BX45" s="532">
        <f t="shared" si="52"/>
        <v>-298620.21218304767</v>
      </c>
      <c r="BY45" s="532">
        <f t="shared" si="52"/>
        <v>-331800.23575894185</v>
      </c>
      <c r="CB45" s="8"/>
    </row>
    <row r="46" spans="3:80" x14ac:dyDescent="0.3">
      <c r="C46" s="2"/>
      <c r="D46" s="2"/>
      <c r="E46" s="2"/>
      <c r="F46" s="37"/>
      <c r="G46" s="37"/>
      <c r="H46" s="37"/>
      <c r="I46" s="37"/>
      <c r="J46" s="37"/>
      <c r="K46" s="37"/>
      <c r="L46" s="37"/>
      <c r="M46" s="37"/>
      <c r="N46" s="37"/>
      <c r="O46" s="37"/>
      <c r="P46" s="35"/>
      <c r="R46" s="37"/>
      <c r="S46" s="37"/>
      <c r="T46" s="37"/>
      <c r="U46" s="37"/>
      <c r="V46" s="37"/>
      <c r="W46" s="37"/>
      <c r="X46" s="37"/>
      <c r="Y46" s="37"/>
      <c r="Z46" s="37"/>
      <c r="AA46" s="37"/>
      <c r="AB46" s="37"/>
      <c r="AC46" s="37"/>
      <c r="AD46" s="37"/>
      <c r="AE46" s="37"/>
      <c r="AF46" s="37"/>
      <c r="AG46" s="37"/>
      <c r="AH46" s="37"/>
      <c r="AI46" s="37"/>
      <c r="AJ46" s="37"/>
      <c r="AK46" s="37"/>
      <c r="AL46" s="37"/>
      <c r="AM46" s="37"/>
      <c r="AN46" s="37"/>
      <c r="AO46" s="37"/>
      <c r="AP46" s="37"/>
      <c r="AQ46" s="37"/>
      <c r="AR46" s="37"/>
      <c r="AS46" s="37"/>
      <c r="AT46" s="37"/>
      <c r="AU46" s="37"/>
      <c r="AV46" s="37"/>
      <c r="AW46" s="37"/>
      <c r="AX46" s="37"/>
      <c r="AY46" s="37"/>
      <c r="AZ46" s="37"/>
      <c r="BA46" s="37"/>
      <c r="BB46" s="37"/>
      <c r="BC46" s="37"/>
      <c r="BD46" s="37"/>
      <c r="BE46" s="37"/>
      <c r="BF46" s="37"/>
      <c r="BG46" s="37"/>
      <c r="BH46" s="37"/>
      <c r="BI46" s="37"/>
      <c r="BJ46" s="37"/>
      <c r="BK46" s="37"/>
      <c r="BL46" s="37"/>
      <c r="BM46" s="37"/>
      <c r="BN46" s="37"/>
      <c r="BO46" s="37"/>
      <c r="BP46" s="37"/>
      <c r="BQ46" s="37"/>
      <c r="BR46" s="37"/>
      <c r="BS46" s="37"/>
      <c r="BT46" s="37"/>
      <c r="BU46" s="37"/>
      <c r="BV46" s="37"/>
      <c r="BW46" s="37"/>
      <c r="BX46" s="37"/>
      <c r="BY46" s="37"/>
    </row>
    <row r="47" spans="3:80" x14ac:dyDescent="0.3">
      <c r="C47" s="2"/>
      <c r="D47" s="2"/>
      <c r="E47" s="17" t="s">
        <v>27</v>
      </c>
      <c r="F47" s="37"/>
      <c r="G47" s="37"/>
      <c r="H47" s="37"/>
      <c r="I47" s="37"/>
      <c r="J47" s="37"/>
      <c r="K47" s="37"/>
      <c r="L47" s="37"/>
      <c r="M47" s="37"/>
      <c r="N47" s="37"/>
      <c r="O47" s="37"/>
      <c r="P47" s="35"/>
      <c r="R47" s="37"/>
      <c r="S47" s="37"/>
      <c r="T47" s="37"/>
      <c r="U47" s="37"/>
      <c r="V47" s="37"/>
      <c r="W47" s="37"/>
      <c r="X47" s="37"/>
      <c r="Y47" s="37"/>
      <c r="Z47" s="37"/>
      <c r="AA47" s="37"/>
      <c r="AB47" s="37"/>
      <c r="AC47" s="37"/>
      <c r="AD47" s="37"/>
      <c r="AE47" s="37"/>
      <c r="AF47" s="37"/>
      <c r="AG47" s="37"/>
      <c r="AH47" s="37"/>
      <c r="AI47" s="37"/>
      <c r="AJ47" s="37"/>
      <c r="AK47" s="37"/>
      <c r="AL47" s="37"/>
      <c r="AM47" s="37"/>
      <c r="AN47" s="37"/>
      <c r="AO47" s="37"/>
      <c r="AP47" s="37"/>
      <c r="AQ47" s="37"/>
      <c r="AR47" s="37"/>
      <c r="AS47" s="37"/>
      <c r="AT47" s="37"/>
      <c r="AU47" s="37"/>
      <c r="AV47" s="37"/>
      <c r="AW47" s="37"/>
      <c r="AX47" s="37"/>
      <c r="AY47" s="37"/>
      <c r="AZ47" s="37"/>
      <c r="BA47" s="37"/>
      <c r="BB47" s="37"/>
      <c r="BC47" s="37"/>
      <c r="BD47" s="37"/>
      <c r="BE47" s="37"/>
      <c r="BF47" s="37"/>
      <c r="BG47" s="37"/>
      <c r="BH47" s="37"/>
      <c r="BI47" s="37"/>
      <c r="BJ47" s="37"/>
      <c r="BK47" s="37"/>
      <c r="BL47" s="37"/>
      <c r="BM47" s="37"/>
      <c r="BN47" s="37"/>
      <c r="BO47" s="37"/>
      <c r="BP47" s="37"/>
      <c r="BQ47" s="37"/>
      <c r="BR47" s="37"/>
      <c r="BS47" s="37"/>
      <c r="BT47" s="37"/>
      <c r="BU47" s="37"/>
      <c r="BV47" s="37"/>
      <c r="BW47" s="37"/>
      <c r="BX47" s="37"/>
      <c r="BY47" s="37"/>
    </row>
    <row r="48" spans="3:80" x14ac:dyDescent="0.3">
      <c r="C48" s="2"/>
      <c r="D48" s="2"/>
      <c r="E48" s="2" t="s">
        <v>28</v>
      </c>
      <c r="F48" s="54"/>
      <c r="G48" s="54"/>
      <c r="H48" s="54"/>
      <c r="I48" s="37"/>
      <c r="J48" s="497">
        <f t="shared" ref="J48:N52" si="53">SUMIF($R$2:$BY$2,J$3,$R48:$BY48)</f>
        <v>-385.62718614718608</v>
      </c>
      <c r="K48" s="497">
        <f t="shared" si="53"/>
        <v>-1542.5087445887445</v>
      </c>
      <c r="L48" s="497">
        <f t="shared" si="53"/>
        <v>-2699.3903030303027</v>
      </c>
      <c r="M48" s="497">
        <f t="shared" si="53"/>
        <v>-3856.2718614718615</v>
      </c>
      <c r="N48" s="497">
        <f t="shared" si="53"/>
        <v>-5013.1534199134185</v>
      </c>
      <c r="O48" s="37"/>
      <c r="P48" s="50">
        <f>IFERROR(((N48/I48)^(1/5))-1,0)</f>
        <v>0</v>
      </c>
      <c r="R48" s="497">
        <f t="shared" ref="R48:AW48" si="54">R$9*R113</f>
        <v>0</v>
      </c>
      <c r="S48" s="527">
        <f t="shared" si="54"/>
        <v>0</v>
      </c>
      <c r="T48" s="527">
        <f t="shared" si="54"/>
        <v>0</v>
      </c>
      <c r="U48" s="527">
        <f t="shared" si="54"/>
        <v>0</v>
      </c>
      <c r="V48" s="527">
        <f t="shared" si="54"/>
        <v>0</v>
      </c>
      <c r="W48" s="527">
        <f t="shared" si="54"/>
        <v>-48.20339826839826</v>
      </c>
      <c r="X48" s="527">
        <f t="shared" si="54"/>
        <v>-48.20339826839826</v>
      </c>
      <c r="Y48" s="527">
        <f t="shared" si="54"/>
        <v>-48.20339826839826</v>
      </c>
      <c r="Z48" s="527">
        <f t="shared" si="54"/>
        <v>-48.20339826839826</v>
      </c>
      <c r="AA48" s="527">
        <f t="shared" si="54"/>
        <v>-48.20339826839826</v>
      </c>
      <c r="AB48" s="527">
        <f t="shared" si="54"/>
        <v>-48.20339826839826</v>
      </c>
      <c r="AC48" s="527">
        <f t="shared" si="54"/>
        <v>-96.40679653679652</v>
      </c>
      <c r="AD48" s="527">
        <f t="shared" si="54"/>
        <v>-96.40679653679652</v>
      </c>
      <c r="AE48" s="527">
        <f t="shared" si="54"/>
        <v>-96.40679653679652</v>
      </c>
      <c r="AF48" s="527">
        <f t="shared" si="54"/>
        <v>-96.40679653679652</v>
      </c>
      <c r="AG48" s="527">
        <f t="shared" si="54"/>
        <v>-96.40679653679652</v>
      </c>
      <c r="AH48" s="527">
        <f t="shared" si="54"/>
        <v>-96.40679653679652</v>
      </c>
      <c r="AI48" s="527">
        <f t="shared" si="54"/>
        <v>-144.61019480519479</v>
      </c>
      <c r="AJ48" s="527">
        <f t="shared" si="54"/>
        <v>-144.61019480519479</v>
      </c>
      <c r="AK48" s="527">
        <f t="shared" si="54"/>
        <v>-144.61019480519479</v>
      </c>
      <c r="AL48" s="527">
        <f t="shared" si="54"/>
        <v>-144.61019480519479</v>
      </c>
      <c r="AM48" s="527">
        <f t="shared" si="54"/>
        <v>-144.61019480519479</v>
      </c>
      <c r="AN48" s="527">
        <f t="shared" si="54"/>
        <v>-144.61019480519479</v>
      </c>
      <c r="AO48" s="527">
        <f t="shared" si="54"/>
        <v>-192.81359307359304</v>
      </c>
      <c r="AP48" s="527">
        <f t="shared" si="54"/>
        <v>-192.81359307359304</v>
      </c>
      <c r="AQ48" s="527">
        <f t="shared" si="54"/>
        <v>-192.81359307359304</v>
      </c>
      <c r="AR48" s="527">
        <f t="shared" si="54"/>
        <v>-192.81359307359304</v>
      </c>
      <c r="AS48" s="527">
        <f t="shared" si="54"/>
        <v>-192.81359307359304</v>
      </c>
      <c r="AT48" s="527">
        <f t="shared" si="54"/>
        <v>-192.81359307359304</v>
      </c>
      <c r="AU48" s="527">
        <f t="shared" si="54"/>
        <v>-241.01699134199129</v>
      </c>
      <c r="AV48" s="527">
        <f t="shared" si="54"/>
        <v>-241.01699134199129</v>
      </c>
      <c r="AW48" s="527">
        <f t="shared" si="54"/>
        <v>-241.01699134199129</v>
      </c>
      <c r="AX48" s="527">
        <f t="shared" ref="AX48:BY48" si="55">AX$9*AX113</f>
        <v>-241.01699134199129</v>
      </c>
      <c r="AY48" s="527">
        <f t="shared" si="55"/>
        <v>-241.01699134199129</v>
      </c>
      <c r="AZ48" s="527">
        <f t="shared" si="55"/>
        <v>-241.01699134199129</v>
      </c>
      <c r="BA48" s="527">
        <f t="shared" si="55"/>
        <v>-289.22038961038959</v>
      </c>
      <c r="BB48" s="527">
        <f t="shared" si="55"/>
        <v>-289.22038961038959</v>
      </c>
      <c r="BC48" s="527">
        <f t="shared" si="55"/>
        <v>-289.22038961038959</v>
      </c>
      <c r="BD48" s="527">
        <f t="shared" si="55"/>
        <v>-289.22038961038959</v>
      </c>
      <c r="BE48" s="527">
        <f t="shared" si="55"/>
        <v>-289.22038961038959</v>
      </c>
      <c r="BF48" s="527">
        <f t="shared" si="55"/>
        <v>-289.22038961038959</v>
      </c>
      <c r="BG48" s="527">
        <f t="shared" si="55"/>
        <v>-337.42378787878783</v>
      </c>
      <c r="BH48" s="527">
        <f t="shared" si="55"/>
        <v>-337.42378787878783</v>
      </c>
      <c r="BI48" s="527">
        <f t="shared" si="55"/>
        <v>-337.42378787878783</v>
      </c>
      <c r="BJ48" s="527">
        <f t="shared" si="55"/>
        <v>-337.42378787878783</v>
      </c>
      <c r="BK48" s="527">
        <f t="shared" si="55"/>
        <v>-337.42378787878783</v>
      </c>
      <c r="BL48" s="527">
        <f t="shared" si="55"/>
        <v>-337.42378787878783</v>
      </c>
      <c r="BM48" s="527">
        <f t="shared" si="55"/>
        <v>-385.62718614718608</v>
      </c>
      <c r="BN48" s="527">
        <f t="shared" si="55"/>
        <v>-385.62718614718608</v>
      </c>
      <c r="BO48" s="527">
        <f t="shared" si="55"/>
        <v>-385.62718614718608</v>
      </c>
      <c r="BP48" s="527">
        <f t="shared" si="55"/>
        <v>-385.62718614718608</v>
      </c>
      <c r="BQ48" s="527">
        <f t="shared" si="55"/>
        <v>-385.62718614718608</v>
      </c>
      <c r="BR48" s="527">
        <f t="shared" si="55"/>
        <v>-385.62718614718608</v>
      </c>
      <c r="BS48" s="527">
        <f t="shared" si="55"/>
        <v>-433.83058441558433</v>
      </c>
      <c r="BT48" s="527">
        <f t="shared" si="55"/>
        <v>-433.83058441558433</v>
      </c>
      <c r="BU48" s="527">
        <f t="shared" si="55"/>
        <v>-433.83058441558433</v>
      </c>
      <c r="BV48" s="527">
        <f t="shared" si="55"/>
        <v>-433.83058441558433</v>
      </c>
      <c r="BW48" s="527">
        <f t="shared" si="55"/>
        <v>-433.83058441558433</v>
      </c>
      <c r="BX48" s="527">
        <f t="shared" si="55"/>
        <v>-433.83058441558433</v>
      </c>
      <c r="BY48" s="527">
        <f t="shared" si="55"/>
        <v>-482.03398268398257</v>
      </c>
      <c r="CB48" s="8"/>
    </row>
    <row r="49" spans="3:80" x14ac:dyDescent="0.3">
      <c r="C49" s="2"/>
      <c r="D49" s="2"/>
      <c r="E49" s="2" t="s">
        <v>29</v>
      </c>
      <c r="F49" s="54"/>
      <c r="G49" s="54"/>
      <c r="H49" s="54"/>
      <c r="I49" s="37"/>
      <c r="J49" s="497">
        <f t="shared" si="53"/>
        <v>-11123.322124887334</v>
      </c>
      <c r="K49" s="497">
        <f t="shared" si="53"/>
        <v>-44493.288499549337</v>
      </c>
      <c r="L49" s="497">
        <f t="shared" si="53"/>
        <v>-77863.254874211314</v>
      </c>
      <c r="M49" s="497">
        <f t="shared" si="53"/>
        <v>-111233.22124887336</v>
      </c>
      <c r="N49" s="497">
        <f t="shared" si="53"/>
        <v>-144603.18762353534</v>
      </c>
      <c r="O49" s="37"/>
      <c r="P49" s="50">
        <f>IFERROR(((N49/I49)^(1/5))-1,0)</f>
        <v>0</v>
      </c>
      <c r="R49" s="497">
        <f t="shared" ref="R49:AW49" si="56">R$9*R114</f>
        <v>0</v>
      </c>
      <c r="S49" s="527">
        <f t="shared" si="56"/>
        <v>0</v>
      </c>
      <c r="T49" s="527">
        <f t="shared" si="56"/>
        <v>0</v>
      </c>
      <c r="U49" s="527">
        <f t="shared" si="56"/>
        <v>0</v>
      </c>
      <c r="V49" s="527">
        <f t="shared" si="56"/>
        <v>0</v>
      </c>
      <c r="W49" s="527">
        <f t="shared" si="56"/>
        <v>-1390.4152656109168</v>
      </c>
      <c r="X49" s="527">
        <f t="shared" si="56"/>
        <v>-1390.4152656109168</v>
      </c>
      <c r="Y49" s="527">
        <f t="shared" si="56"/>
        <v>-1390.4152656109168</v>
      </c>
      <c r="Z49" s="527">
        <f t="shared" si="56"/>
        <v>-1390.4152656109168</v>
      </c>
      <c r="AA49" s="527">
        <f t="shared" si="56"/>
        <v>-1390.4152656109168</v>
      </c>
      <c r="AB49" s="527">
        <f t="shared" si="56"/>
        <v>-1390.4152656109168</v>
      </c>
      <c r="AC49" s="527">
        <f t="shared" si="56"/>
        <v>-2780.8305312218336</v>
      </c>
      <c r="AD49" s="527">
        <f t="shared" si="56"/>
        <v>-2780.8305312218336</v>
      </c>
      <c r="AE49" s="527">
        <f t="shared" si="56"/>
        <v>-2780.8305312218336</v>
      </c>
      <c r="AF49" s="527">
        <f t="shared" si="56"/>
        <v>-2780.8305312218336</v>
      </c>
      <c r="AG49" s="527">
        <f t="shared" si="56"/>
        <v>-2780.8305312218336</v>
      </c>
      <c r="AH49" s="527">
        <f t="shared" si="56"/>
        <v>-2780.8305312218336</v>
      </c>
      <c r="AI49" s="527">
        <f t="shared" si="56"/>
        <v>-4171.2457968327508</v>
      </c>
      <c r="AJ49" s="527">
        <f t="shared" si="56"/>
        <v>-4171.2457968327508</v>
      </c>
      <c r="AK49" s="527">
        <f t="shared" si="56"/>
        <v>-4171.2457968327508</v>
      </c>
      <c r="AL49" s="527">
        <f t="shared" si="56"/>
        <v>-4171.2457968327508</v>
      </c>
      <c r="AM49" s="527">
        <f t="shared" si="56"/>
        <v>-4171.2457968327508</v>
      </c>
      <c r="AN49" s="527">
        <f t="shared" si="56"/>
        <v>-4171.2457968327508</v>
      </c>
      <c r="AO49" s="527">
        <f t="shared" si="56"/>
        <v>-5561.6610624436671</v>
      </c>
      <c r="AP49" s="527">
        <f t="shared" si="56"/>
        <v>-5561.6610624436671</v>
      </c>
      <c r="AQ49" s="527">
        <f t="shared" si="56"/>
        <v>-5561.6610624436671</v>
      </c>
      <c r="AR49" s="527">
        <f t="shared" si="56"/>
        <v>-5561.6610624436671</v>
      </c>
      <c r="AS49" s="527">
        <f t="shared" si="56"/>
        <v>-5561.6610624436671</v>
      </c>
      <c r="AT49" s="527">
        <f t="shared" si="56"/>
        <v>-5561.6610624436671</v>
      </c>
      <c r="AU49" s="527">
        <f t="shared" si="56"/>
        <v>-6952.0763280545834</v>
      </c>
      <c r="AV49" s="527">
        <f t="shared" si="56"/>
        <v>-6952.0763280545834</v>
      </c>
      <c r="AW49" s="527">
        <f t="shared" si="56"/>
        <v>-6952.0763280545834</v>
      </c>
      <c r="AX49" s="527">
        <f t="shared" ref="AX49:BY49" si="57">AX$9*AX114</f>
        <v>-6952.0763280545834</v>
      </c>
      <c r="AY49" s="527">
        <f t="shared" si="57"/>
        <v>-6952.0763280545834</v>
      </c>
      <c r="AZ49" s="527">
        <f t="shared" si="57"/>
        <v>-6952.0763280545834</v>
      </c>
      <c r="BA49" s="527">
        <f t="shared" si="57"/>
        <v>-8342.4915936655016</v>
      </c>
      <c r="BB49" s="527">
        <f t="shared" si="57"/>
        <v>-8342.4915936655016</v>
      </c>
      <c r="BC49" s="527">
        <f t="shared" si="57"/>
        <v>-8342.4915936655016</v>
      </c>
      <c r="BD49" s="527">
        <f t="shared" si="57"/>
        <v>-8342.4915936655016</v>
      </c>
      <c r="BE49" s="527">
        <f t="shared" si="57"/>
        <v>-8342.4915936655016</v>
      </c>
      <c r="BF49" s="527">
        <f t="shared" si="57"/>
        <v>-8342.4915936655016</v>
      </c>
      <c r="BG49" s="527">
        <f t="shared" si="57"/>
        <v>-9732.9068592764179</v>
      </c>
      <c r="BH49" s="527">
        <f t="shared" si="57"/>
        <v>-9732.9068592764179</v>
      </c>
      <c r="BI49" s="527">
        <f t="shared" si="57"/>
        <v>-9732.9068592764179</v>
      </c>
      <c r="BJ49" s="527">
        <f t="shared" si="57"/>
        <v>-9732.9068592764179</v>
      </c>
      <c r="BK49" s="527">
        <f t="shared" si="57"/>
        <v>-9732.9068592764179</v>
      </c>
      <c r="BL49" s="527">
        <f t="shared" si="57"/>
        <v>-9732.9068592764179</v>
      </c>
      <c r="BM49" s="527">
        <f t="shared" si="57"/>
        <v>-11123.322124887334</v>
      </c>
      <c r="BN49" s="527">
        <f t="shared" si="57"/>
        <v>-11123.322124887334</v>
      </c>
      <c r="BO49" s="527">
        <f t="shared" si="57"/>
        <v>-11123.322124887334</v>
      </c>
      <c r="BP49" s="527">
        <f t="shared" si="57"/>
        <v>-11123.322124887334</v>
      </c>
      <c r="BQ49" s="527">
        <f t="shared" si="57"/>
        <v>-11123.322124887334</v>
      </c>
      <c r="BR49" s="527">
        <f t="shared" si="57"/>
        <v>-11123.322124887334</v>
      </c>
      <c r="BS49" s="527">
        <f t="shared" si="57"/>
        <v>-12513.737390498251</v>
      </c>
      <c r="BT49" s="527">
        <f t="shared" si="57"/>
        <v>-12513.737390498251</v>
      </c>
      <c r="BU49" s="527">
        <f t="shared" si="57"/>
        <v>-12513.737390498251</v>
      </c>
      <c r="BV49" s="527">
        <f t="shared" si="57"/>
        <v>-12513.737390498251</v>
      </c>
      <c r="BW49" s="527">
        <f t="shared" si="57"/>
        <v>-12513.737390498251</v>
      </c>
      <c r="BX49" s="527">
        <f t="shared" si="57"/>
        <v>-12513.737390498251</v>
      </c>
      <c r="BY49" s="527">
        <f t="shared" si="57"/>
        <v>-13904.152656109167</v>
      </c>
      <c r="CB49" s="8"/>
    </row>
    <row r="50" spans="3:80" x14ac:dyDescent="0.3">
      <c r="C50" s="2"/>
      <c r="D50" s="2"/>
      <c r="E50" s="2" t="s">
        <v>30</v>
      </c>
      <c r="F50" s="54"/>
      <c r="G50" s="54"/>
      <c r="H50" s="54"/>
      <c r="I50" s="37"/>
      <c r="J50" s="497">
        <f t="shared" si="53"/>
        <v>-7146.4658008658016</v>
      </c>
      <c r="K50" s="497">
        <f t="shared" si="53"/>
        <v>-28585.86320346321</v>
      </c>
      <c r="L50" s="497">
        <f t="shared" si="53"/>
        <v>-50025.260606060612</v>
      </c>
      <c r="M50" s="497">
        <f t="shared" si="53"/>
        <v>-71464.658008658022</v>
      </c>
      <c r="N50" s="497">
        <f t="shared" si="53"/>
        <v>-92904.055411255409</v>
      </c>
      <c r="O50" s="37"/>
      <c r="P50" s="50">
        <f>IFERROR(((N50/I50)^(1/5))-1,0)</f>
        <v>0</v>
      </c>
      <c r="R50" s="497">
        <f t="shared" ref="R50:AW50" si="58">R$9*R115</f>
        <v>0</v>
      </c>
      <c r="S50" s="527">
        <f t="shared" si="58"/>
        <v>0</v>
      </c>
      <c r="T50" s="527">
        <f t="shared" si="58"/>
        <v>0</v>
      </c>
      <c r="U50" s="527">
        <f t="shared" si="58"/>
        <v>0</v>
      </c>
      <c r="V50" s="527">
        <f t="shared" si="58"/>
        <v>0</v>
      </c>
      <c r="W50" s="527">
        <f t="shared" si="58"/>
        <v>-893.3082251082252</v>
      </c>
      <c r="X50" s="527">
        <f t="shared" si="58"/>
        <v>-893.3082251082252</v>
      </c>
      <c r="Y50" s="527">
        <f t="shared" si="58"/>
        <v>-893.3082251082252</v>
      </c>
      <c r="Z50" s="527">
        <f t="shared" si="58"/>
        <v>-893.3082251082252</v>
      </c>
      <c r="AA50" s="527">
        <f t="shared" si="58"/>
        <v>-893.3082251082252</v>
      </c>
      <c r="AB50" s="527">
        <f t="shared" si="58"/>
        <v>-893.3082251082252</v>
      </c>
      <c r="AC50" s="527">
        <f t="shared" si="58"/>
        <v>-1786.6164502164504</v>
      </c>
      <c r="AD50" s="527">
        <f t="shared" si="58"/>
        <v>-1786.6164502164504</v>
      </c>
      <c r="AE50" s="527">
        <f t="shared" si="58"/>
        <v>-1786.6164502164504</v>
      </c>
      <c r="AF50" s="527">
        <f t="shared" si="58"/>
        <v>-1786.6164502164504</v>
      </c>
      <c r="AG50" s="527">
        <f t="shared" si="58"/>
        <v>-1786.6164502164504</v>
      </c>
      <c r="AH50" s="527">
        <f t="shared" si="58"/>
        <v>-1786.6164502164504</v>
      </c>
      <c r="AI50" s="527">
        <f t="shared" si="58"/>
        <v>-2679.9246753246757</v>
      </c>
      <c r="AJ50" s="527">
        <f t="shared" si="58"/>
        <v>-2679.9246753246757</v>
      </c>
      <c r="AK50" s="527">
        <f t="shared" si="58"/>
        <v>-2679.9246753246757</v>
      </c>
      <c r="AL50" s="527">
        <f t="shared" si="58"/>
        <v>-2679.9246753246757</v>
      </c>
      <c r="AM50" s="527">
        <f t="shared" si="58"/>
        <v>-2679.9246753246757</v>
      </c>
      <c r="AN50" s="527">
        <f t="shared" si="58"/>
        <v>-2679.9246753246757</v>
      </c>
      <c r="AO50" s="527">
        <f t="shared" si="58"/>
        <v>-3573.2329004329008</v>
      </c>
      <c r="AP50" s="527">
        <f t="shared" si="58"/>
        <v>-3573.2329004329008</v>
      </c>
      <c r="AQ50" s="527">
        <f t="shared" si="58"/>
        <v>-3573.2329004329008</v>
      </c>
      <c r="AR50" s="527">
        <f t="shared" si="58"/>
        <v>-3573.2329004329008</v>
      </c>
      <c r="AS50" s="527">
        <f t="shared" si="58"/>
        <v>-3573.2329004329008</v>
      </c>
      <c r="AT50" s="527">
        <f t="shared" si="58"/>
        <v>-3573.2329004329008</v>
      </c>
      <c r="AU50" s="527">
        <f t="shared" si="58"/>
        <v>-4466.5411255411263</v>
      </c>
      <c r="AV50" s="527">
        <f t="shared" si="58"/>
        <v>-4466.5411255411263</v>
      </c>
      <c r="AW50" s="527">
        <f t="shared" si="58"/>
        <v>-4466.5411255411263</v>
      </c>
      <c r="AX50" s="527">
        <f t="shared" ref="AX50:BY50" si="59">AX$9*AX115</f>
        <v>-4466.5411255411263</v>
      </c>
      <c r="AY50" s="527">
        <f t="shared" si="59"/>
        <v>-4466.5411255411263</v>
      </c>
      <c r="AZ50" s="527">
        <f t="shared" si="59"/>
        <v>-4466.5411255411263</v>
      </c>
      <c r="BA50" s="527">
        <f t="shared" si="59"/>
        <v>-5359.8493506493514</v>
      </c>
      <c r="BB50" s="527">
        <f t="shared" si="59"/>
        <v>-5359.8493506493514</v>
      </c>
      <c r="BC50" s="527">
        <f t="shared" si="59"/>
        <v>-5359.8493506493514</v>
      </c>
      <c r="BD50" s="527">
        <f t="shared" si="59"/>
        <v>-5359.8493506493514</v>
      </c>
      <c r="BE50" s="527">
        <f t="shared" si="59"/>
        <v>-5359.8493506493514</v>
      </c>
      <c r="BF50" s="527">
        <f t="shared" si="59"/>
        <v>-5359.8493506493514</v>
      </c>
      <c r="BG50" s="527">
        <f t="shared" si="59"/>
        <v>-6253.1575757575765</v>
      </c>
      <c r="BH50" s="527">
        <f t="shared" si="59"/>
        <v>-6253.1575757575765</v>
      </c>
      <c r="BI50" s="527">
        <f t="shared" si="59"/>
        <v>-6253.1575757575765</v>
      </c>
      <c r="BJ50" s="527">
        <f t="shared" si="59"/>
        <v>-6253.1575757575765</v>
      </c>
      <c r="BK50" s="527">
        <f t="shared" si="59"/>
        <v>-6253.1575757575765</v>
      </c>
      <c r="BL50" s="527">
        <f t="shared" si="59"/>
        <v>-6253.1575757575765</v>
      </c>
      <c r="BM50" s="527">
        <f t="shared" si="59"/>
        <v>-7146.4658008658016</v>
      </c>
      <c r="BN50" s="527">
        <f t="shared" si="59"/>
        <v>-7146.4658008658016</v>
      </c>
      <c r="BO50" s="527">
        <f t="shared" si="59"/>
        <v>-7146.4658008658016</v>
      </c>
      <c r="BP50" s="527">
        <f t="shared" si="59"/>
        <v>-7146.4658008658016</v>
      </c>
      <c r="BQ50" s="527">
        <f t="shared" si="59"/>
        <v>-7146.4658008658016</v>
      </c>
      <c r="BR50" s="527">
        <f t="shared" si="59"/>
        <v>-7146.4658008658016</v>
      </c>
      <c r="BS50" s="527">
        <f t="shared" si="59"/>
        <v>-8039.7740259740267</v>
      </c>
      <c r="BT50" s="527">
        <f t="shared" si="59"/>
        <v>-8039.7740259740267</v>
      </c>
      <c r="BU50" s="527">
        <f t="shared" si="59"/>
        <v>-8039.7740259740267</v>
      </c>
      <c r="BV50" s="527">
        <f t="shared" si="59"/>
        <v>-8039.7740259740267</v>
      </c>
      <c r="BW50" s="527">
        <f t="shared" si="59"/>
        <v>-8039.7740259740267</v>
      </c>
      <c r="BX50" s="527">
        <f t="shared" si="59"/>
        <v>-8039.7740259740267</v>
      </c>
      <c r="BY50" s="527">
        <f t="shared" si="59"/>
        <v>-8933.0822510822527</v>
      </c>
      <c r="CB50" s="8"/>
    </row>
    <row r="51" spans="3:80" x14ac:dyDescent="0.3">
      <c r="C51" s="2"/>
      <c r="D51" s="2"/>
      <c r="E51" s="2" t="s">
        <v>31</v>
      </c>
      <c r="F51" s="54"/>
      <c r="G51" s="54"/>
      <c r="H51" s="54"/>
      <c r="I51" s="37"/>
      <c r="J51" s="497">
        <f t="shared" si="53"/>
        <v>-16507.037295995695</v>
      </c>
      <c r="K51" s="497">
        <f t="shared" si="53"/>
        <v>-66028.149183982765</v>
      </c>
      <c r="L51" s="497">
        <f t="shared" si="53"/>
        <v>-115549.26107196987</v>
      </c>
      <c r="M51" s="497">
        <f t="shared" si="53"/>
        <v>-165070.37295995693</v>
      </c>
      <c r="N51" s="497">
        <f t="shared" si="53"/>
        <v>-214591.48484794403</v>
      </c>
      <c r="O51" s="37"/>
      <c r="P51" s="50">
        <f>IFERROR(((N51/I51)^(1/5))-1,0)</f>
        <v>0</v>
      </c>
      <c r="R51" s="497">
        <f t="shared" ref="R51:AW51" si="60">R$9*R116</f>
        <v>0</v>
      </c>
      <c r="S51" s="527">
        <f t="shared" si="60"/>
        <v>0</v>
      </c>
      <c r="T51" s="527">
        <f t="shared" si="60"/>
        <v>0</v>
      </c>
      <c r="U51" s="527">
        <f t="shared" si="60"/>
        <v>0</v>
      </c>
      <c r="V51" s="527">
        <f t="shared" si="60"/>
        <v>0</v>
      </c>
      <c r="W51" s="527">
        <f t="shared" si="60"/>
        <v>-2063.3796619994619</v>
      </c>
      <c r="X51" s="527">
        <f t="shared" si="60"/>
        <v>-2063.3796619994619</v>
      </c>
      <c r="Y51" s="527">
        <f t="shared" si="60"/>
        <v>-2063.3796619994619</v>
      </c>
      <c r="Z51" s="527">
        <f t="shared" si="60"/>
        <v>-2063.3796619994619</v>
      </c>
      <c r="AA51" s="527">
        <f t="shared" si="60"/>
        <v>-2063.3796619994619</v>
      </c>
      <c r="AB51" s="527">
        <f t="shared" si="60"/>
        <v>-2063.3796619994619</v>
      </c>
      <c r="AC51" s="527">
        <f t="shared" si="60"/>
        <v>-4126.7593239989237</v>
      </c>
      <c r="AD51" s="527">
        <f t="shared" si="60"/>
        <v>-4126.7593239989237</v>
      </c>
      <c r="AE51" s="527">
        <f t="shared" si="60"/>
        <v>-4126.7593239989237</v>
      </c>
      <c r="AF51" s="527">
        <f t="shared" si="60"/>
        <v>-4126.7593239989237</v>
      </c>
      <c r="AG51" s="527">
        <f t="shared" si="60"/>
        <v>-4126.7593239989237</v>
      </c>
      <c r="AH51" s="527">
        <f t="shared" si="60"/>
        <v>-4126.7593239989237</v>
      </c>
      <c r="AI51" s="527">
        <f t="shared" si="60"/>
        <v>-6190.1389859983856</v>
      </c>
      <c r="AJ51" s="527">
        <f t="shared" si="60"/>
        <v>-6190.1389859983856</v>
      </c>
      <c r="AK51" s="527">
        <f t="shared" si="60"/>
        <v>-6190.1389859983856</v>
      </c>
      <c r="AL51" s="527">
        <f t="shared" si="60"/>
        <v>-6190.1389859983856</v>
      </c>
      <c r="AM51" s="527">
        <f t="shared" si="60"/>
        <v>-6190.1389859983856</v>
      </c>
      <c r="AN51" s="527">
        <f t="shared" si="60"/>
        <v>-6190.1389859983856</v>
      </c>
      <c r="AO51" s="527">
        <f t="shared" si="60"/>
        <v>-8253.5186479978474</v>
      </c>
      <c r="AP51" s="527">
        <f t="shared" si="60"/>
        <v>-8253.5186479978474</v>
      </c>
      <c r="AQ51" s="527">
        <f t="shared" si="60"/>
        <v>-8253.5186479978474</v>
      </c>
      <c r="AR51" s="527">
        <f t="shared" si="60"/>
        <v>-8253.5186479978474</v>
      </c>
      <c r="AS51" s="527">
        <f t="shared" si="60"/>
        <v>-8253.5186479978474</v>
      </c>
      <c r="AT51" s="527">
        <f t="shared" si="60"/>
        <v>-8253.5186479978474</v>
      </c>
      <c r="AU51" s="527">
        <f t="shared" si="60"/>
        <v>-10316.898309997308</v>
      </c>
      <c r="AV51" s="527">
        <f t="shared" si="60"/>
        <v>-10316.898309997308</v>
      </c>
      <c r="AW51" s="527">
        <f t="shared" si="60"/>
        <v>-10316.898309997308</v>
      </c>
      <c r="AX51" s="527">
        <f t="shared" ref="AX51:BY51" si="61">AX$9*AX116</f>
        <v>-10316.898309997308</v>
      </c>
      <c r="AY51" s="527">
        <f t="shared" si="61"/>
        <v>-10316.898309997308</v>
      </c>
      <c r="AZ51" s="527">
        <f t="shared" si="61"/>
        <v>-10316.898309997308</v>
      </c>
      <c r="BA51" s="527">
        <f t="shared" si="61"/>
        <v>-12380.277971996771</v>
      </c>
      <c r="BB51" s="527">
        <f t="shared" si="61"/>
        <v>-12380.277971996771</v>
      </c>
      <c r="BC51" s="527">
        <f t="shared" si="61"/>
        <v>-12380.277971996771</v>
      </c>
      <c r="BD51" s="527">
        <f t="shared" si="61"/>
        <v>-12380.277971996771</v>
      </c>
      <c r="BE51" s="527">
        <f t="shared" si="61"/>
        <v>-12380.277971996771</v>
      </c>
      <c r="BF51" s="527">
        <f t="shared" si="61"/>
        <v>-12380.277971996771</v>
      </c>
      <c r="BG51" s="527">
        <f t="shared" si="61"/>
        <v>-14443.657633996234</v>
      </c>
      <c r="BH51" s="527">
        <f t="shared" si="61"/>
        <v>-14443.657633996234</v>
      </c>
      <c r="BI51" s="527">
        <f t="shared" si="61"/>
        <v>-14443.657633996234</v>
      </c>
      <c r="BJ51" s="527">
        <f t="shared" si="61"/>
        <v>-14443.657633996234</v>
      </c>
      <c r="BK51" s="527">
        <f t="shared" si="61"/>
        <v>-14443.657633996234</v>
      </c>
      <c r="BL51" s="527">
        <f t="shared" si="61"/>
        <v>-14443.657633996234</v>
      </c>
      <c r="BM51" s="527">
        <f t="shared" si="61"/>
        <v>-16507.037295995695</v>
      </c>
      <c r="BN51" s="527">
        <f t="shared" si="61"/>
        <v>-16507.037295995695</v>
      </c>
      <c r="BO51" s="527">
        <f t="shared" si="61"/>
        <v>-16507.037295995695</v>
      </c>
      <c r="BP51" s="527">
        <f t="shared" si="61"/>
        <v>-16507.037295995695</v>
      </c>
      <c r="BQ51" s="527">
        <f t="shared" si="61"/>
        <v>-16507.037295995695</v>
      </c>
      <c r="BR51" s="527">
        <f t="shared" si="61"/>
        <v>-16507.037295995695</v>
      </c>
      <c r="BS51" s="527">
        <f t="shared" si="61"/>
        <v>-18570.416957995156</v>
      </c>
      <c r="BT51" s="527">
        <f t="shared" si="61"/>
        <v>-18570.416957995156</v>
      </c>
      <c r="BU51" s="527">
        <f t="shared" si="61"/>
        <v>-18570.416957995156</v>
      </c>
      <c r="BV51" s="527">
        <f t="shared" si="61"/>
        <v>-18570.416957995156</v>
      </c>
      <c r="BW51" s="527">
        <f t="shared" si="61"/>
        <v>-18570.416957995156</v>
      </c>
      <c r="BX51" s="527">
        <f t="shared" si="61"/>
        <v>-18570.416957995156</v>
      </c>
      <c r="BY51" s="527">
        <f t="shared" si="61"/>
        <v>-20633.796619994617</v>
      </c>
      <c r="CB51" s="8"/>
    </row>
    <row r="52" spans="3:80" x14ac:dyDescent="0.3">
      <c r="C52" s="2"/>
      <c r="D52" s="2"/>
      <c r="E52" s="4" t="s">
        <v>32</v>
      </c>
      <c r="F52" s="5"/>
      <c r="G52" s="5"/>
      <c r="H52" s="5"/>
      <c r="I52" s="65"/>
      <c r="J52" s="500">
        <f t="shared" si="53"/>
        <v>-35162.452407896024</v>
      </c>
      <c r="K52" s="500">
        <f t="shared" si="53"/>
        <v>-140649.8096315841</v>
      </c>
      <c r="L52" s="500">
        <f t="shared" si="53"/>
        <v>-246137.16685527211</v>
      </c>
      <c r="M52" s="500">
        <f t="shared" si="53"/>
        <v>-351624.5240789603</v>
      </c>
      <c r="N52" s="500">
        <f t="shared" si="53"/>
        <v>-457111.88130264828</v>
      </c>
      <c r="O52" s="57"/>
      <c r="P52" s="55">
        <f>IFERROR(((N52/I52)^(1/5))-1,0)</f>
        <v>0</v>
      </c>
      <c r="R52" s="500">
        <f t="shared" ref="R52:AW52" si="62">R$9*R117</f>
        <v>0</v>
      </c>
      <c r="S52" s="532">
        <f t="shared" si="62"/>
        <v>0</v>
      </c>
      <c r="T52" s="532">
        <f t="shared" si="62"/>
        <v>0</v>
      </c>
      <c r="U52" s="532">
        <f t="shared" si="62"/>
        <v>0</v>
      </c>
      <c r="V52" s="532">
        <f t="shared" si="62"/>
        <v>0</v>
      </c>
      <c r="W52" s="532">
        <f t="shared" si="62"/>
        <v>-4395.306550987003</v>
      </c>
      <c r="X52" s="532">
        <f t="shared" si="62"/>
        <v>-4395.306550987003</v>
      </c>
      <c r="Y52" s="532">
        <f t="shared" si="62"/>
        <v>-4395.306550987003</v>
      </c>
      <c r="Z52" s="532">
        <f t="shared" si="62"/>
        <v>-4395.306550987003</v>
      </c>
      <c r="AA52" s="532">
        <f t="shared" si="62"/>
        <v>-4395.306550987003</v>
      </c>
      <c r="AB52" s="532">
        <f t="shared" si="62"/>
        <v>-4395.306550987003</v>
      </c>
      <c r="AC52" s="532">
        <f t="shared" si="62"/>
        <v>-8790.613101974006</v>
      </c>
      <c r="AD52" s="532">
        <f t="shared" si="62"/>
        <v>-8790.613101974006</v>
      </c>
      <c r="AE52" s="532">
        <f t="shared" si="62"/>
        <v>-8790.613101974006</v>
      </c>
      <c r="AF52" s="532">
        <f t="shared" si="62"/>
        <v>-8790.613101974006</v>
      </c>
      <c r="AG52" s="532">
        <f t="shared" si="62"/>
        <v>-8790.613101974006</v>
      </c>
      <c r="AH52" s="532">
        <f t="shared" si="62"/>
        <v>-8790.613101974006</v>
      </c>
      <c r="AI52" s="532">
        <f t="shared" si="62"/>
        <v>-13185.919652961009</v>
      </c>
      <c r="AJ52" s="532">
        <f t="shared" si="62"/>
        <v>-13185.919652961009</v>
      </c>
      <c r="AK52" s="532">
        <f t="shared" si="62"/>
        <v>-13185.919652961009</v>
      </c>
      <c r="AL52" s="532">
        <f t="shared" si="62"/>
        <v>-13185.919652961009</v>
      </c>
      <c r="AM52" s="532">
        <f t="shared" si="62"/>
        <v>-13185.919652961009</v>
      </c>
      <c r="AN52" s="532">
        <f t="shared" si="62"/>
        <v>-13185.919652961009</v>
      </c>
      <c r="AO52" s="532">
        <f t="shared" si="62"/>
        <v>-17581.226203948012</v>
      </c>
      <c r="AP52" s="532">
        <f t="shared" si="62"/>
        <v>-17581.226203948012</v>
      </c>
      <c r="AQ52" s="532">
        <f t="shared" si="62"/>
        <v>-17581.226203948012</v>
      </c>
      <c r="AR52" s="532">
        <f t="shared" si="62"/>
        <v>-17581.226203948012</v>
      </c>
      <c r="AS52" s="532">
        <f t="shared" si="62"/>
        <v>-17581.226203948012</v>
      </c>
      <c r="AT52" s="532">
        <f t="shared" si="62"/>
        <v>-17581.226203948012</v>
      </c>
      <c r="AU52" s="532">
        <f t="shared" si="62"/>
        <v>-21976.532754935015</v>
      </c>
      <c r="AV52" s="532">
        <f t="shared" si="62"/>
        <v>-21976.532754935015</v>
      </c>
      <c r="AW52" s="532">
        <f t="shared" si="62"/>
        <v>-21976.532754935015</v>
      </c>
      <c r="AX52" s="532">
        <f t="shared" ref="AX52:BY52" si="63">AX$9*AX117</f>
        <v>-21976.532754935015</v>
      </c>
      <c r="AY52" s="532">
        <f t="shared" si="63"/>
        <v>-21976.532754935015</v>
      </c>
      <c r="AZ52" s="532">
        <f t="shared" si="63"/>
        <v>-21976.532754935015</v>
      </c>
      <c r="BA52" s="532">
        <f t="shared" si="63"/>
        <v>-26371.839305922018</v>
      </c>
      <c r="BB52" s="532">
        <f t="shared" si="63"/>
        <v>-26371.839305922018</v>
      </c>
      <c r="BC52" s="532">
        <f t="shared" si="63"/>
        <v>-26371.839305922018</v>
      </c>
      <c r="BD52" s="532">
        <f t="shared" si="63"/>
        <v>-26371.839305922018</v>
      </c>
      <c r="BE52" s="532">
        <f t="shared" si="63"/>
        <v>-26371.839305922018</v>
      </c>
      <c r="BF52" s="532">
        <f t="shared" si="63"/>
        <v>-26371.839305922018</v>
      </c>
      <c r="BG52" s="532">
        <f t="shared" si="63"/>
        <v>-30767.145856909021</v>
      </c>
      <c r="BH52" s="532">
        <f t="shared" si="63"/>
        <v>-30767.145856909021</v>
      </c>
      <c r="BI52" s="532">
        <f t="shared" si="63"/>
        <v>-30767.145856909021</v>
      </c>
      <c r="BJ52" s="532">
        <f t="shared" si="63"/>
        <v>-30767.145856909021</v>
      </c>
      <c r="BK52" s="532">
        <f t="shared" si="63"/>
        <v>-30767.145856909021</v>
      </c>
      <c r="BL52" s="532">
        <f t="shared" si="63"/>
        <v>-30767.145856909021</v>
      </c>
      <c r="BM52" s="532">
        <f t="shared" si="63"/>
        <v>-35162.452407896024</v>
      </c>
      <c r="BN52" s="532">
        <f t="shared" si="63"/>
        <v>-35162.452407896024</v>
      </c>
      <c r="BO52" s="532">
        <f t="shared" si="63"/>
        <v>-35162.452407896024</v>
      </c>
      <c r="BP52" s="532">
        <f t="shared" si="63"/>
        <v>-35162.452407896024</v>
      </c>
      <c r="BQ52" s="532">
        <f t="shared" si="63"/>
        <v>-35162.452407896024</v>
      </c>
      <c r="BR52" s="532">
        <f t="shared" si="63"/>
        <v>-35162.452407896024</v>
      </c>
      <c r="BS52" s="532">
        <f t="shared" si="63"/>
        <v>-39557.758958883031</v>
      </c>
      <c r="BT52" s="532">
        <f t="shared" si="63"/>
        <v>-39557.758958883031</v>
      </c>
      <c r="BU52" s="532">
        <f t="shared" si="63"/>
        <v>-39557.758958883031</v>
      </c>
      <c r="BV52" s="532">
        <f t="shared" si="63"/>
        <v>-39557.758958883031</v>
      </c>
      <c r="BW52" s="532">
        <f t="shared" si="63"/>
        <v>-39557.758958883031</v>
      </c>
      <c r="BX52" s="532">
        <f t="shared" si="63"/>
        <v>-39557.758958883031</v>
      </c>
      <c r="BY52" s="532">
        <f t="shared" si="63"/>
        <v>-43953.06550987003</v>
      </c>
      <c r="CB52" s="8"/>
    </row>
    <row r="53" spans="3:80" x14ac:dyDescent="0.3">
      <c r="C53" s="2"/>
      <c r="D53" s="2"/>
      <c r="E53" s="2"/>
      <c r="F53" s="37"/>
      <c r="G53" s="37"/>
      <c r="H53" s="37"/>
      <c r="I53" s="37"/>
      <c r="J53" s="37"/>
      <c r="K53" s="37"/>
      <c r="L53" s="37"/>
      <c r="M53" s="37"/>
      <c r="N53" s="37"/>
      <c r="O53" s="37"/>
      <c r="P53" s="35"/>
      <c r="R53" s="37"/>
      <c r="S53" s="37"/>
      <c r="T53" s="37"/>
      <c r="U53" s="37"/>
      <c r="V53" s="37"/>
      <c r="W53" s="37"/>
      <c r="X53" s="37"/>
      <c r="Y53" s="37"/>
      <c r="Z53" s="37"/>
      <c r="AA53" s="37"/>
      <c r="AB53" s="37"/>
      <c r="AC53" s="37"/>
      <c r="AD53" s="37"/>
      <c r="AE53" s="37"/>
      <c r="AF53" s="37"/>
      <c r="AG53" s="37"/>
      <c r="AH53" s="37"/>
      <c r="AI53" s="37"/>
      <c r="AJ53" s="37"/>
      <c r="AK53" s="37"/>
      <c r="AL53" s="37"/>
      <c r="AM53" s="37"/>
      <c r="AN53" s="37"/>
      <c r="AO53" s="37"/>
      <c r="AP53" s="37"/>
      <c r="AQ53" s="37"/>
      <c r="AR53" s="37"/>
      <c r="AS53" s="37"/>
      <c r="AT53" s="37"/>
      <c r="AU53" s="37"/>
      <c r="AV53" s="37"/>
      <c r="AW53" s="37"/>
      <c r="AX53" s="37"/>
      <c r="AY53" s="37"/>
      <c r="AZ53" s="37"/>
      <c r="BA53" s="37"/>
      <c r="BB53" s="37"/>
      <c r="BC53" s="37"/>
      <c r="BD53" s="37"/>
      <c r="BE53" s="37"/>
      <c r="BF53" s="37"/>
      <c r="BG53" s="37"/>
      <c r="BH53" s="37"/>
      <c r="BI53" s="37"/>
      <c r="BJ53" s="37"/>
      <c r="BK53" s="37"/>
      <c r="BL53" s="37"/>
      <c r="BM53" s="37"/>
      <c r="BN53" s="37"/>
      <c r="BO53" s="37"/>
      <c r="BP53" s="37"/>
      <c r="BQ53" s="37"/>
      <c r="BR53" s="37"/>
      <c r="BS53" s="37"/>
      <c r="BT53" s="37"/>
      <c r="BU53" s="37"/>
      <c r="BV53" s="37"/>
      <c r="BW53" s="37"/>
      <c r="BX53" s="37"/>
      <c r="BY53" s="37"/>
    </row>
    <row r="54" spans="3:80" x14ac:dyDescent="0.3">
      <c r="C54" s="2"/>
      <c r="D54" s="2"/>
      <c r="E54" s="62" t="s">
        <v>33</v>
      </c>
      <c r="F54" s="63"/>
      <c r="G54" s="63"/>
      <c r="H54" s="63"/>
      <c r="I54" s="66"/>
      <c r="J54" s="501">
        <f>SUMIF($R$2:$BY$2,J$3,$R54:$BY54)</f>
        <v>-561174.52308778651</v>
      </c>
      <c r="K54" s="502">
        <f>SUMIF($R$2:$BY$2,K$3,$R54:$BY54)</f>
        <v>-2366423.7451900686</v>
      </c>
      <c r="L54" s="502">
        <f>SUMIF($R$2:$BY$2,L$3,$R54:$BY54)</f>
        <v>-4380578.9509900361</v>
      </c>
      <c r="M54" s="502">
        <f>SUMIF($R$2:$BY$2,M$3,$R54:$BY54)</f>
        <v>-6610179.0762688033</v>
      </c>
      <c r="N54" s="501">
        <f>SUMIF($R$2:$BY$2,N$3,$R54:$BY54)</f>
        <v>-9074899.217279708</v>
      </c>
      <c r="O54" s="57"/>
      <c r="P54" s="55">
        <f>IFERROR(((N54/I54)^(1/5))-1,0)</f>
        <v>0</v>
      </c>
      <c r="R54" s="501">
        <f t="shared" ref="R54:AW54" si="64">R$9*R119</f>
        <v>0</v>
      </c>
      <c r="S54" s="535">
        <f t="shared" si="64"/>
        <v>0</v>
      </c>
      <c r="T54" s="535">
        <f t="shared" si="64"/>
        <v>0</v>
      </c>
      <c r="U54" s="535">
        <f t="shared" si="64"/>
        <v>0</v>
      </c>
      <c r="V54" s="535">
        <f t="shared" si="64"/>
        <v>0</v>
      </c>
      <c r="W54" s="535">
        <f t="shared" si="64"/>
        <v>-68700.380063717734</v>
      </c>
      <c r="X54" s="535">
        <f t="shared" si="64"/>
        <v>-70353.449003438393</v>
      </c>
      <c r="Y54" s="535">
        <f t="shared" si="64"/>
        <v>-70353.449003438393</v>
      </c>
      <c r="Z54" s="535">
        <f t="shared" si="64"/>
        <v>-70353.449003438393</v>
      </c>
      <c r="AA54" s="535">
        <f t="shared" si="64"/>
        <v>-70353.449003438393</v>
      </c>
      <c r="AB54" s="535">
        <f t="shared" si="64"/>
        <v>-70353.449003438393</v>
      </c>
      <c r="AC54" s="535">
        <f t="shared" si="64"/>
        <v>-140706.89800687679</v>
      </c>
      <c r="AD54" s="535">
        <f t="shared" si="64"/>
        <v>-145377.04086018863</v>
      </c>
      <c r="AE54" s="535">
        <f t="shared" si="64"/>
        <v>-145377.04086018863</v>
      </c>
      <c r="AF54" s="535">
        <f t="shared" si="64"/>
        <v>-145377.04086018863</v>
      </c>
      <c r="AG54" s="535">
        <f t="shared" si="64"/>
        <v>-145377.04086018863</v>
      </c>
      <c r="AH54" s="535">
        <f t="shared" si="64"/>
        <v>-145377.04086018863</v>
      </c>
      <c r="AI54" s="535">
        <f t="shared" si="64"/>
        <v>-218065.56129028293</v>
      </c>
      <c r="AJ54" s="535">
        <f t="shared" si="64"/>
        <v>-224443.10204192257</v>
      </c>
      <c r="AK54" s="535">
        <f t="shared" si="64"/>
        <v>-224443.10204192257</v>
      </c>
      <c r="AL54" s="535">
        <f t="shared" si="64"/>
        <v>-224443.10204192257</v>
      </c>
      <c r="AM54" s="535">
        <f t="shared" si="64"/>
        <v>-224443.10204192257</v>
      </c>
      <c r="AN54" s="535">
        <f t="shared" si="64"/>
        <v>-224443.10204192257</v>
      </c>
      <c r="AO54" s="535">
        <f t="shared" si="64"/>
        <v>-299257.46938923007</v>
      </c>
      <c r="AP54" s="535">
        <f t="shared" si="64"/>
        <v>-307074.10454489791</v>
      </c>
      <c r="AQ54" s="535">
        <f t="shared" si="64"/>
        <v>-307074.10454489791</v>
      </c>
      <c r="AR54" s="535">
        <f t="shared" si="64"/>
        <v>-307074.10454489791</v>
      </c>
      <c r="AS54" s="535">
        <f t="shared" si="64"/>
        <v>-307074.10454489791</v>
      </c>
      <c r="AT54" s="535">
        <f t="shared" si="64"/>
        <v>-307074.10454489791</v>
      </c>
      <c r="AU54" s="535">
        <f t="shared" si="64"/>
        <v>-383842.63068112242</v>
      </c>
      <c r="AV54" s="535">
        <f t="shared" si="64"/>
        <v>-396994.48348135862</v>
      </c>
      <c r="AW54" s="535">
        <f t="shared" si="64"/>
        <v>-396994.48348135862</v>
      </c>
      <c r="AX54" s="535">
        <f t="shared" ref="AX54:BY54" si="65">AX$9*AX119</f>
        <v>-396994.48348135862</v>
      </c>
      <c r="AY54" s="535">
        <f t="shared" si="65"/>
        <v>-396994.48348135862</v>
      </c>
      <c r="AZ54" s="535">
        <f t="shared" si="65"/>
        <v>-396994.48348135862</v>
      </c>
      <c r="BA54" s="535">
        <f t="shared" si="65"/>
        <v>-476393.38017763034</v>
      </c>
      <c r="BB54" s="535">
        <f t="shared" si="65"/>
        <v>-485548.87401925784</v>
      </c>
      <c r="BC54" s="535">
        <f t="shared" si="65"/>
        <v>-485548.87401925784</v>
      </c>
      <c r="BD54" s="535">
        <f t="shared" si="65"/>
        <v>-485548.87401925784</v>
      </c>
      <c r="BE54" s="535">
        <f t="shared" si="65"/>
        <v>-485548.87401925784</v>
      </c>
      <c r="BF54" s="535">
        <f t="shared" si="65"/>
        <v>-485548.87401925784</v>
      </c>
      <c r="BG54" s="535">
        <f t="shared" si="65"/>
        <v>-566473.68635580083</v>
      </c>
      <c r="BH54" s="535">
        <f t="shared" si="65"/>
        <v>-588644.81717946508</v>
      </c>
      <c r="BI54" s="535">
        <f t="shared" si="65"/>
        <v>-588644.81717946508</v>
      </c>
      <c r="BJ54" s="535">
        <f t="shared" si="65"/>
        <v>-588644.81717946508</v>
      </c>
      <c r="BK54" s="535">
        <f t="shared" si="65"/>
        <v>-588644.81717946508</v>
      </c>
      <c r="BL54" s="535">
        <f t="shared" si="65"/>
        <v>-588644.81717946508</v>
      </c>
      <c r="BM54" s="535">
        <f t="shared" si="65"/>
        <v>-672736.93391938868</v>
      </c>
      <c r="BN54" s="535">
        <f t="shared" si="65"/>
        <v>-682253.58765450912</v>
      </c>
      <c r="BO54" s="535">
        <f t="shared" si="65"/>
        <v>-682253.58765450912</v>
      </c>
      <c r="BP54" s="535">
        <f t="shared" si="65"/>
        <v>-682253.58765450912</v>
      </c>
      <c r="BQ54" s="535">
        <f t="shared" si="65"/>
        <v>-682253.58765450912</v>
      </c>
      <c r="BR54" s="535">
        <f t="shared" si="65"/>
        <v>-682253.58765450912</v>
      </c>
      <c r="BS54" s="535">
        <f t="shared" si="65"/>
        <v>-767535.2861113227</v>
      </c>
      <c r="BT54" s="535">
        <f t="shared" si="65"/>
        <v>-801179.34429204697</v>
      </c>
      <c r="BU54" s="535">
        <f t="shared" si="65"/>
        <v>-801179.34429204697</v>
      </c>
      <c r="BV54" s="535">
        <f t="shared" si="65"/>
        <v>-801179.34429204697</v>
      </c>
      <c r="BW54" s="535">
        <f t="shared" si="65"/>
        <v>-801179.34429204697</v>
      </c>
      <c r="BX54" s="535">
        <f t="shared" si="65"/>
        <v>-801179.34429204697</v>
      </c>
      <c r="BY54" s="535">
        <f t="shared" si="65"/>
        <v>-890199.27143560781</v>
      </c>
      <c r="CB54" s="8"/>
    </row>
    <row r="55" spans="3:80" x14ac:dyDescent="0.3">
      <c r="C55" s="2"/>
      <c r="D55" s="2"/>
      <c r="E55" s="2"/>
      <c r="F55" s="37"/>
      <c r="G55" s="37"/>
      <c r="H55" s="37"/>
      <c r="I55" s="37"/>
      <c r="J55" s="37"/>
      <c r="K55" s="37"/>
      <c r="L55" s="37"/>
      <c r="M55" s="37"/>
      <c r="N55" s="37"/>
      <c r="O55" s="37"/>
      <c r="P55" s="35"/>
      <c r="R55" s="37"/>
      <c r="S55" s="37"/>
      <c r="T55" s="37"/>
      <c r="U55" s="37"/>
      <c r="V55" s="37"/>
      <c r="W55" s="37"/>
      <c r="X55" s="37"/>
      <c r="Y55" s="37"/>
      <c r="Z55" s="37"/>
      <c r="AA55" s="37"/>
      <c r="AB55" s="37"/>
      <c r="AC55" s="37"/>
      <c r="AD55" s="37"/>
      <c r="AE55" s="37"/>
      <c r="AF55" s="37"/>
      <c r="AG55" s="37"/>
      <c r="AH55" s="37"/>
      <c r="AI55" s="37"/>
      <c r="AJ55" s="37"/>
      <c r="AK55" s="37"/>
      <c r="AL55" s="37"/>
      <c r="AM55" s="37"/>
      <c r="AN55" s="37"/>
      <c r="AO55" s="37"/>
      <c r="AP55" s="37"/>
      <c r="AQ55" s="37"/>
      <c r="AR55" s="37"/>
      <c r="AS55" s="37"/>
      <c r="AT55" s="37"/>
      <c r="AU55" s="37"/>
      <c r="AV55" s="37"/>
      <c r="AW55" s="37"/>
      <c r="AX55" s="37"/>
      <c r="AY55" s="37"/>
      <c r="AZ55" s="37"/>
      <c r="BA55" s="37"/>
      <c r="BB55" s="37"/>
      <c r="BC55" s="37"/>
      <c r="BD55" s="37"/>
      <c r="BE55" s="37"/>
      <c r="BF55" s="37"/>
      <c r="BG55" s="37"/>
      <c r="BH55" s="37"/>
      <c r="BI55" s="37"/>
      <c r="BJ55" s="37"/>
      <c r="BK55" s="37"/>
      <c r="BL55" s="37"/>
      <c r="BM55" s="37"/>
      <c r="BN55" s="37"/>
      <c r="BO55" s="37"/>
      <c r="BP55" s="37"/>
      <c r="BQ55" s="37"/>
      <c r="BR55" s="37"/>
      <c r="BS55" s="37"/>
      <c r="BT55" s="37"/>
      <c r="BU55" s="37"/>
      <c r="BV55" s="37"/>
      <c r="BW55" s="37"/>
      <c r="BX55" s="37"/>
      <c r="BY55" s="37"/>
    </row>
    <row r="56" spans="3:80" x14ac:dyDescent="0.3">
      <c r="C56" s="2"/>
      <c r="D56" s="2"/>
      <c r="E56" s="17" t="s">
        <v>51</v>
      </c>
      <c r="F56" s="37"/>
      <c r="G56" s="37"/>
      <c r="H56" s="37"/>
      <c r="I56" s="37"/>
      <c r="J56" s="37"/>
      <c r="K56" s="37"/>
      <c r="L56" s="37"/>
      <c r="M56" s="37"/>
      <c r="N56" s="37"/>
      <c r="O56" s="37"/>
      <c r="P56" s="35"/>
      <c r="R56" s="37"/>
      <c r="S56" s="37"/>
      <c r="T56" s="37"/>
      <c r="U56" s="37"/>
      <c r="V56" s="37"/>
      <c r="W56" s="37"/>
      <c r="X56" s="37"/>
      <c r="Y56" s="37"/>
      <c r="Z56" s="37"/>
      <c r="AA56" s="37"/>
      <c r="AB56" s="37"/>
      <c r="AC56" s="37"/>
      <c r="AD56" s="37"/>
      <c r="AE56" s="37"/>
      <c r="AF56" s="37"/>
      <c r="AG56" s="37"/>
      <c r="AH56" s="37"/>
      <c r="AI56" s="37"/>
      <c r="AJ56" s="37"/>
      <c r="AK56" s="37"/>
      <c r="AL56" s="37"/>
      <c r="AM56" s="37"/>
      <c r="AN56" s="37"/>
      <c r="AO56" s="37"/>
      <c r="AP56" s="37"/>
      <c r="AQ56" s="37"/>
      <c r="AR56" s="37"/>
      <c r="AS56" s="37"/>
      <c r="AT56" s="37"/>
      <c r="AU56" s="37"/>
      <c r="AV56" s="37"/>
      <c r="AW56" s="37"/>
      <c r="AX56" s="37"/>
      <c r="AY56" s="37"/>
      <c r="AZ56" s="37"/>
      <c r="BA56" s="37"/>
      <c r="BB56" s="37"/>
      <c r="BC56" s="37"/>
      <c r="BD56" s="37"/>
      <c r="BE56" s="37"/>
      <c r="BF56" s="37"/>
      <c r="BG56" s="37"/>
      <c r="BH56" s="37"/>
      <c r="BI56" s="37"/>
      <c r="BJ56" s="37"/>
      <c r="BK56" s="37"/>
      <c r="BL56" s="37"/>
      <c r="BM56" s="37"/>
      <c r="BN56" s="37"/>
      <c r="BO56" s="37"/>
      <c r="BP56" s="37"/>
      <c r="BQ56" s="37"/>
      <c r="BR56" s="37"/>
      <c r="BS56" s="37"/>
      <c r="BT56" s="37"/>
      <c r="BU56" s="37"/>
      <c r="BV56" s="37"/>
      <c r="BW56" s="37"/>
      <c r="BX56" s="37"/>
      <c r="BY56" s="37"/>
    </row>
    <row r="57" spans="3:80" x14ac:dyDescent="0.3">
      <c r="C57" s="2"/>
      <c r="D57" s="2"/>
      <c r="E57" s="2" t="s">
        <v>19</v>
      </c>
      <c r="F57" s="54"/>
      <c r="G57" s="54"/>
      <c r="H57" s="54"/>
      <c r="I57" s="37"/>
      <c r="J57" s="497">
        <f t="shared" ref="J57:N58" si="66">SUMIF($R$2:$BY$2,J$3,$R57:$BY57)</f>
        <v>10529.669465918761</v>
      </c>
      <c r="K57" s="497">
        <f t="shared" si="66"/>
        <v>42961.051420948555</v>
      </c>
      <c r="L57" s="497">
        <f t="shared" si="66"/>
        <v>76685.476786393134</v>
      </c>
      <c r="M57" s="497">
        <f t="shared" si="66"/>
        <v>111741.69474588719</v>
      </c>
      <c r="N57" s="497">
        <f t="shared" si="66"/>
        <v>148169.48723304638</v>
      </c>
      <c r="O57" s="37"/>
      <c r="P57" s="50">
        <f>IFERROR(((N57/I57)^(1/5))-1,0)</f>
        <v>0</v>
      </c>
      <c r="R57" s="497">
        <f t="shared" ref="R57:AW57" si="67">R$9*R122</f>
        <v>0</v>
      </c>
      <c r="S57" s="527">
        <f t="shared" si="67"/>
        <v>0</v>
      </c>
      <c r="T57" s="527">
        <f t="shared" si="67"/>
        <v>0</v>
      </c>
      <c r="U57" s="527">
        <f t="shared" si="67"/>
        <v>0</v>
      </c>
      <c r="V57" s="527">
        <f t="shared" si="67"/>
        <v>0</v>
      </c>
      <c r="W57" s="527">
        <f t="shared" si="67"/>
        <v>1316.2086832398452</v>
      </c>
      <c r="X57" s="527">
        <f t="shared" si="67"/>
        <v>1316.2086832398452</v>
      </c>
      <c r="Y57" s="527">
        <f t="shared" si="67"/>
        <v>1316.2086832398452</v>
      </c>
      <c r="Z57" s="527">
        <f t="shared" si="67"/>
        <v>1316.2086832398452</v>
      </c>
      <c r="AA57" s="527">
        <f t="shared" si="67"/>
        <v>1316.2086832398452</v>
      </c>
      <c r="AB57" s="527">
        <f t="shared" si="67"/>
        <v>1316.2086832398452</v>
      </c>
      <c r="AC57" s="527">
        <f t="shared" si="67"/>
        <v>2632.4173664796904</v>
      </c>
      <c r="AD57" s="527">
        <f t="shared" si="67"/>
        <v>2685.0657138092847</v>
      </c>
      <c r="AE57" s="527">
        <f t="shared" si="67"/>
        <v>2685.0657138092847</v>
      </c>
      <c r="AF57" s="527">
        <f t="shared" si="67"/>
        <v>2685.0657138092847</v>
      </c>
      <c r="AG57" s="527">
        <f t="shared" si="67"/>
        <v>2685.0657138092847</v>
      </c>
      <c r="AH57" s="527">
        <f t="shared" si="67"/>
        <v>2685.0657138092847</v>
      </c>
      <c r="AI57" s="527">
        <f t="shared" si="67"/>
        <v>4027.5985707139271</v>
      </c>
      <c r="AJ57" s="527">
        <f t="shared" si="67"/>
        <v>4027.5985707139271</v>
      </c>
      <c r="AK57" s="527">
        <f t="shared" si="67"/>
        <v>4027.5985707139271</v>
      </c>
      <c r="AL57" s="527">
        <f t="shared" si="67"/>
        <v>4027.5985707139271</v>
      </c>
      <c r="AM57" s="527">
        <f t="shared" si="67"/>
        <v>4027.5985707139271</v>
      </c>
      <c r="AN57" s="527">
        <f t="shared" si="67"/>
        <v>4027.5985707139271</v>
      </c>
      <c r="AO57" s="527">
        <f t="shared" si="67"/>
        <v>5370.1314276185694</v>
      </c>
      <c r="AP57" s="527">
        <f t="shared" si="67"/>
        <v>5477.5340561709399</v>
      </c>
      <c r="AQ57" s="527">
        <f t="shared" si="67"/>
        <v>5477.5340561709399</v>
      </c>
      <c r="AR57" s="527">
        <f t="shared" si="67"/>
        <v>5477.5340561709399</v>
      </c>
      <c r="AS57" s="527">
        <f t="shared" si="67"/>
        <v>5477.5340561709399</v>
      </c>
      <c r="AT57" s="527">
        <f t="shared" si="67"/>
        <v>5477.5340561709399</v>
      </c>
      <c r="AU57" s="527">
        <f t="shared" si="67"/>
        <v>6846.9175702136745</v>
      </c>
      <c r="AV57" s="527">
        <f t="shared" si="67"/>
        <v>6846.9175702136745</v>
      </c>
      <c r="AW57" s="527">
        <f t="shared" si="67"/>
        <v>6846.9175702136745</v>
      </c>
      <c r="AX57" s="527">
        <f t="shared" ref="AX57:BY57" si="68">AX$9*AX122</f>
        <v>6846.9175702136745</v>
      </c>
      <c r="AY57" s="527">
        <f t="shared" si="68"/>
        <v>6846.9175702136745</v>
      </c>
      <c r="AZ57" s="527">
        <f t="shared" si="68"/>
        <v>6846.9175702136745</v>
      </c>
      <c r="BA57" s="527">
        <f t="shared" si="68"/>
        <v>8216.3010842564108</v>
      </c>
      <c r="BB57" s="527">
        <f t="shared" si="68"/>
        <v>8380.6271059415376</v>
      </c>
      <c r="BC57" s="527">
        <f t="shared" si="68"/>
        <v>8380.6271059415376</v>
      </c>
      <c r="BD57" s="527">
        <f t="shared" si="68"/>
        <v>8380.6271059415376</v>
      </c>
      <c r="BE57" s="527">
        <f t="shared" si="68"/>
        <v>8380.6271059415376</v>
      </c>
      <c r="BF57" s="527">
        <f t="shared" si="68"/>
        <v>8380.6271059415376</v>
      </c>
      <c r="BG57" s="527">
        <f t="shared" si="68"/>
        <v>9777.3982902651278</v>
      </c>
      <c r="BH57" s="527">
        <f t="shared" si="68"/>
        <v>9777.3982902651278</v>
      </c>
      <c r="BI57" s="527">
        <f t="shared" si="68"/>
        <v>9777.3982902651278</v>
      </c>
      <c r="BJ57" s="527">
        <f t="shared" si="68"/>
        <v>9777.3982902651278</v>
      </c>
      <c r="BK57" s="527">
        <f t="shared" si="68"/>
        <v>9777.3982902651278</v>
      </c>
      <c r="BL57" s="527">
        <f t="shared" si="68"/>
        <v>9777.3982902651278</v>
      </c>
      <c r="BM57" s="527">
        <f t="shared" si="68"/>
        <v>11174.169474588718</v>
      </c>
      <c r="BN57" s="527">
        <f t="shared" si="68"/>
        <v>11397.652864080494</v>
      </c>
      <c r="BO57" s="527">
        <f t="shared" si="68"/>
        <v>11397.652864080494</v>
      </c>
      <c r="BP57" s="527">
        <f t="shared" si="68"/>
        <v>11397.652864080494</v>
      </c>
      <c r="BQ57" s="527">
        <f t="shared" si="68"/>
        <v>11397.652864080494</v>
      </c>
      <c r="BR57" s="527">
        <f t="shared" si="68"/>
        <v>11397.652864080494</v>
      </c>
      <c r="BS57" s="527">
        <f t="shared" si="68"/>
        <v>12822.359472090555</v>
      </c>
      <c r="BT57" s="527">
        <f t="shared" si="68"/>
        <v>12822.359472090555</v>
      </c>
      <c r="BU57" s="527">
        <f t="shared" si="68"/>
        <v>12822.359472090555</v>
      </c>
      <c r="BV57" s="527">
        <f t="shared" si="68"/>
        <v>12822.359472090555</v>
      </c>
      <c r="BW57" s="527">
        <f t="shared" si="68"/>
        <v>12822.359472090555</v>
      </c>
      <c r="BX57" s="527">
        <f t="shared" si="68"/>
        <v>12822.359472090555</v>
      </c>
      <c r="BY57" s="527">
        <f t="shared" si="68"/>
        <v>14247.066080100616</v>
      </c>
      <c r="CB57" s="8"/>
    </row>
    <row r="58" spans="3:80" x14ac:dyDescent="0.3">
      <c r="C58" s="2"/>
      <c r="D58" s="2"/>
      <c r="E58" s="2" t="s">
        <v>20</v>
      </c>
      <c r="F58" s="54"/>
      <c r="G58" s="54"/>
      <c r="H58" s="54"/>
      <c r="I58" s="37"/>
      <c r="J58" s="497">
        <f t="shared" si="66"/>
        <v>1596.9514240488475</v>
      </c>
      <c r="K58" s="497">
        <f t="shared" si="66"/>
        <v>6515.5618101192977</v>
      </c>
      <c r="L58" s="497">
        <f t="shared" si="66"/>
        <v>11630.277831062944</v>
      </c>
      <c r="M58" s="497">
        <f t="shared" si="66"/>
        <v>16946.976268120296</v>
      </c>
      <c r="N58" s="497">
        <f t="shared" si="66"/>
        <v>22471.690531527507</v>
      </c>
      <c r="O58" s="37"/>
      <c r="P58" s="50">
        <f>IFERROR(((N58/I58)^(1/5))-1,0)</f>
        <v>0</v>
      </c>
      <c r="R58" s="497">
        <f t="shared" ref="R58:AW58" si="69">R$9*R123</f>
        <v>0</v>
      </c>
      <c r="S58" s="527">
        <f t="shared" si="69"/>
        <v>0</v>
      </c>
      <c r="T58" s="527">
        <f t="shared" si="69"/>
        <v>0</v>
      </c>
      <c r="U58" s="527">
        <f t="shared" si="69"/>
        <v>0</v>
      </c>
      <c r="V58" s="527">
        <f t="shared" si="69"/>
        <v>0</v>
      </c>
      <c r="W58" s="527">
        <f t="shared" si="69"/>
        <v>199.61892800610593</v>
      </c>
      <c r="X58" s="527">
        <f t="shared" si="69"/>
        <v>199.61892800610593</v>
      </c>
      <c r="Y58" s="527">
        <f t="shared" si="69"/>
        <v>199.61892800610593</v>
      </c>
      <c r="Z58" s="527">
        <f t="shared" si="69"/>
        <v>199.61892800610593</v>
      </c>
      <c r="AA58" s="527">
        <f t="shared" si="69"/>
        <v>199.61892800610593</v>
      </c>
      <c r="AB58" s="527">
        <f t="shared" si="69"/>
        <v>199.61892800610593</v>
      </c>
      <c r="AC58" s="527">
        <f t="shared" si="69"/>
        <v>399.23785601221186</v>
      </c>
      <c r="AD58" s="527">
        <f t="shared" si="69"/>
        <v>407.22261313245605</v>
      </c>
      <c r="AE58" s="527">
        <f t="shared" si="69"/>
        <v>407.22261313245605</v>
      </c>
      <c r="AF58" s="527">
        <f t="shared" si="69"/>
        <v>407.22261313245605</v>
      </c>
      <c r="AG58" s="527">
        <f t="shared" si="69"/>
        <v>407.22261313245605</v>
      </c>
      <c r="AH58" s="527">
        <f t="shared" si="69"/>
        <v>407.22261313245605</v>
      </c>
      <c r="AI58" s="527">
        <f t="shared" si="69"/>
        <v>610.8339196986841</v>
      </c>
      <c r="AJ58" s="527">
        <f t="shared" si="69"/>
        <v>610.8339196986841</v>
      </c>
      <c r="AK58" s="527">
        <f t="shared" si="69"/>
        <v>610.8339196986841</v>
      </c>
      <c r="AL58" s="527">
        <f t="shared" si="69"/>
        <v>610.8339196986841</v>
      </c>
      <c r="AM58" s="527">
        <f t="shared" si="69"/>
        <v>610.8339196986841</v>
      </c>
      <c r="AN58" s="527">
        <f t="shared" si="69"/>
        <v>610.8339196986841</v>
      </c>
      <c r="AO58" s="527">
        <f t="shared" si="69"/>
        <v>814.44522626491209</v>
      </c>
      <c r="AP58" s="527">
        <f t="shared" si="69"/>
        <v>830.73413079021043</v>
      </c>
      <c r="AQ58" s="527">
        <f t="shared" si="69"/>
        <v>830.73413079021043</v>
      </c>
      <c r="AR58" s="527">
        <f t="shared" si="69"/>
        <v>830.73413079021043</v>
      </c>
      <c r="AS58" s="527">
        <f t="shared" si="69"/>
        <v>830.73413079021043</v>
      </c>
      <c r="AT58" s="527">
        <f t="shared" si="69"/>
        <v>830.73413079021043</v>
      </c>
      <c r="AU58" s="527">
        <f t="shared" si="69"/>
        <v>1038.4176634877631</v>
      </c>
      <c r="AV58" s="527">
        <f t="shared" si="69"/>
        <v>1038.4176634877631</v>
      </c>
      <c r="AW58" s="527">
        <f t="shared" si="69"/>
        <v>1038.4176634877631</v>
      </c>
      <c r="AX58" s="527">
        <f t="shared" ref="AX58:BY58" si="70">AX$9*AX123</f>
        <v>1038.4176634877631</v>
      </c>
      <c r="AY58" s="527">
        <f t="shared" si="70"/>
        <v>1038.4176634877631</v>
      </c>
      <c r="AZ58" s="527">
        <f t="shared" si="70"/>
        <v>1038.4176634877631</v>
      </c>
      <c r="BA58" s="527">
        <f t="shared" si="70"/>
        <v>1246.1011961853155</v>
      </c>
      <c r="BB58" s="527">
        <f t="shared" si="70"/>
        <v>1271.0232201090218</v>
      </c>
      <c r="BC58" s="527">
        <f t="shared" si="70"/>
        <v>1271.0232201090218</v>
      </c>
      <c r="BD58" s="527">
        <f t="shared" si="70"/>
        <v>1271.0232201090218</v>
      </c>
      <c r="BE58" s="527">
        <f t="shared" si="70"/>
        <v>1271.0232201090218</v>
      </c>
      <c r="BF58" s="527">
        <f t="shared" si="70"/>
        <v>1271.0232201090218</v>
      </c>
      <c r="BG58" s="527">
        <f t="shared" si="70"/>
        <v>1482.8604234605255</v>
      </c>
      <c r="BH58" s="527">
        <f t="shared" si="70"/>
        <v>1482.8604234605255</v>
      </c>
      <c r="BI58" s="527">
        <f t="shared" si="70"/>
        <v>1482.8604234605255</v>
      </c>
      <c r="BJ58" s="527">
        <f t="shared" si="70"/>
        <v>1482.8604234605255</v>
      </c>
      <c r="BK58" s="527">
        <f t="shared" si="70"/>
        <v>1482.8604234605255</v>
      </c>
      <c r="BL58" s="527">
        <f t="shared" si="70"/>
        <v>1482.8604234605255</v>
      </c>
      <c r="BM58" s="527">
        <f t="shared" si="70"/>
        <v>1694.6976268120291</v>
      </c>
      <c r="BN58" s="527">
        <f t="shared" si="70"/>
        <v>1728.59157934827</v>
      </c>
      <c r="BO58" s="527">
        <f t="shared" si="70"/>
        <v>1728.59157934827</v>
      </c>
      <c r="BP58" s="527">
        <f t="shared" si="70"/>
        <v>1728.59157934827</v>
      </c>
      <c r="BQ58" s="527">
        <f t="shared" si="70"/>
        <v>1728.59157934827</v>
      </c>
      <c r="BR58" s="527">
        <f t="shared" si="70"/>
        <v>1728.59157934827</v>
      </c>
      <c r="BS58" s="527">
        <f t="shared" si="70"/>
        <v>1944.6655267668039</v>
      </c>
      <c r="BT58" s="527">
        <f t="shared" si="70"/>
        <v>1944.6655267668039</v>
      </c>
      <c r="BU58" s="527">
        <f t="shared" si="70"/>
        <v>1944.6655267668039</v>
      </c>
      <c r="BV58" s="527">
        <f t="shared" si="70"/>
        <v>1944.6655267668039</v>
      </c>
      <c r="BW58" s="527">
        <f t="shared" si="70"/>
        <v>1944.6655267668039</v>
      </c>
      <c r="BX58" s="527">
        <f t="shared" si="70"/>
        <v>1944.6655267668039</v>
      </c>
      <c r="BY58" s="527">
        <f t="shared" si="70"/>
        <v>2160.7394741853377</v>
      </c>
      <c r="CB58" s="8"/>
    </row>
    <row r="59" spans="3:80" x14ac:dyDescent="0.3">
      <c r="C59" s="2"/>
      <c r="D59" s="2"/>
      <c r="E59" s="4" t="s">
        <v>35</v>
      </c>
      <c r="F59" s="5"/>
      <c r="G59" s="5"/>
      <c r="H59" s="5"/>
      <c r="I59" s="498">
        <f t="shared" ref="I59:N59" si="71">SUM(I57:I58)</f>
        <v>0</v>
      </c>
      <c r="J59" s="498">
        <f t="shared" si="71"/>
        <v>12126.620889967609</v>
      </c>
      <c r="K59" s="498">
        <f t="shared" si="71"/>
        <v>49476.613231067851</v>
      </c>
      <c r="L59" s="498">
        <f t="shared" si="71"/>
        <v>88315.754617456085</v>
      </c>
      <c r="M59" s="498">
        <f t="shared" si="71"/>
        <v>128688.67101400749</v>
      </c>
      <c r="N59" s="498">
        <f t="shared" si="71"/>
        <v>170641.17776457389</v>
      </c>
      <c r="O59" s="57"/>
      <c r="P59" s="55">
        <f>IFERROR(((N59/I59)^(1/5))-1,0)</f>
        <v>0</v>
      </c>
      <c r="R59" s="500">
        <f>SUM(R57:R58)</f>
        <v>0</v>
      </c>
      <c r="S59" s="532">
        <f t="shared" ref="S59:BY59" si="72">SUM(S57:S58)</f>
        <v>0</v>
      </c>
      <c r="T59" s="532">
        <f t="shared" si="72"/>
        <v>0</v>
      </c>
      <c r="U59" s="532">
        <f t="shared" si="72"/>
        <v>0</v>
      </c>
      <c r="V59" s="532">
        <f t="shared" si="72"/>
        <v>0</v>
      </c>
      <c r="W59" s="532">
        <f t="shared" si="72"/>
        <v>1515.8276112459512</v>
      </c>
      <c r="X59" s="532">
        <f t="shared" si="72"/>
        <v>1515.8276112459512</v>
      </c>
      <c r="Y59" s="532">
        <f t="shared" si="72"/>
        <v>1515.8276112459512</v>
      </c>
      <c r="Z59" s="532">
        <f t="shared" si="72"/>
        <v>1515.8276112459512</v>
      </c>
      <c r="AA59" s="532">
        <f t="shared" si="72"/>
        <v>1515.8276112459512</v>
      </c>
      <c r="AB59" s="532">
        <f t="shared" si="72"/>
        <v>1515.8276112459512</v>
      </c>
      <c r="AC59" s="532">
        <f t="shared" si="72"/>
        <v>3031.6552224919024</v>
      </c>
      <c r="AD59" s="532">
        <f t="shared" si="72"/>
        <v>3092.2883269417407</v>
      </c>
      <c r="AE59" s="532">
        <f t="shared" si="72"/>
        <v>3092.2883269417407</v>
      </c>
      <c r="AF59" s="532">
        <f t="shared" si="72"/>
        <v>3092.2883269417407</v>
      </c>
      <c r="AG59" s="532">
        <f t="shared" si="72"/>
        <v>3092.2883269417407</v>
      </c>
      <c r="AH59" s="532">
        <f t="shared" si="72"/>
        <v>3092.2883269417407</v>
      </c>
      <c r="AI59" s="532">
        <f t="shared" si="72"/>
        <v>4638.4324904126115</v>
      </c>
      <c r="AJ59" s="532">
        <f t="shared" si="72"/>
        <v>4638.4324904126115</v>
      </c>
      <c r="AK59" s="532">
        <f t="shared" si="72"/>
        <v>4638.4324904126115</v>
      </c>
      <c r="AL59" s="532">
        <f t="shared" si="72"/>
        <v>4638.4324904126115</v>
      </c>
      <c r="AM59" s="532">
        <f t="shared" si="72"/>
        <v>4638.4324904126115</v>
      </c>
      <c r="AN59" s="532">
        <f t="shared" si="72"/>
        <v>4638.4324904126115</v>
      </c>
      <c r="AO59" s="532">
        <f t="shared" si="72"/>
        <v>6184.5766538834814</v>
      </c>
      <c r="AP59" s="532">
        <f t="shared" si="72"/>
        <v>6308.2681869611506</v>
      </c>
      <c r="AQ59" s="532">
        <f t="shared" si="72"/>
        <v>6308.2681869611506</v>
      </c>
      <c r="AR59" s="532">
        <f t="shared" si="72"/>
        <v>6308.2681869611506</v>
      </c>
      <c r="AS59" s="532">
        <f t="shared" si="72"/>
        <v>6308.2681869611506</v>
      </c>
      <c r="AT59" s="532">
        <f t="shared" si="72"/>
        <v>6308.2681869611506</v>
      </c>
      <c r="AU59" s="532">
        <f t="shared" si="72"/>
        <v>7885.3352337014376</v>
      </c>
      <c r="AV59" s="532">
        <f t="shared" si="72"/>
        <v>7885.3352337014376</v>
      </c>
      <c r="AW59" s="532">
        <f t="shared" si="72"/>
        <v>7885.3352337014376</v>
      </c>
      <c r="AX59" s="532">
        <f t="shared" si="72"/>
        <v>7885.3352337014376</v>
      </c>
      <c r="AY59" s="532">
        <f t="shared" si="72"/>
        <v>7885.3352337014376</v>
      </c>
      <c r="AZ59" s="532">
        <f t="shared" si="72"/>
        <v>7885.3352337014376</v>
      </c>
      <c r="BA59" s="532">
        <f t="shared" si="72"/>
        <v>9462.4022804417255</v>
      </c>
      <c r="BB59" s="532">
        <f t="shared" si="72"/>
        <v>9651.6503260505597</v>
      </c>
      <c r="BC59" s="532">
        <f t="shared" si="72"/>
        <v>9651.6503260505597</v>
      </c>
      <c r="BD59" s="532">
        <f t="shared" si="72"/>
        <v>9651.6503260505597</v>
      </c>
      <c r="BE59" s="532">
        <f t="shared" si="72"/>
        <v>9651.6503260505597</v>
      </c>
      <c r="BF59" s="532">
        <f t="shared" si="72"/>
        <v>9651.6503260505597</v>
      </c>
      <c r="BG59" s="532">
        <f t="shared" si="72"/>
        <v>11260.258713725652</v>
      </c>
      <c r="BH59" s="532">
        <f t="shared" si="72"/>
        <v>11260.258713725652</v>
      </c>
      <c r="BI59" s="532">
        <f t="shared" si="72"/>
        <v>11260.258713725652</v>
      </c>
      <c r="BJ59" s="532">
        <f t="shared" si="72"/>
        <v>11260.258713725652</v>
      </c>
      <c r="BK59" s="532">
        <f t="shared" si="72"/>
        <v>11260.258713725652</v>
      </c>
      <c r="BL59" s="532">
        <f t="shared" si="72"/>
        <v>11260.258713725652</v>
      </c>
      <c r="BM59" s="532">
        <f t="shared" si="72"/>
        <v>12868.867101400747</v>
      </c>
      <c r="BN59" s="532">
        <f t="shared" si="72"/>
        <v>13126.244443428764</v>
      </c>
      <c r="BO59" s="532">
        <f t="shared" si="72"/>
        <v>13126.244443428764</v>
      </c>
      <c r="BP59" s="532">
        <f t="shared" si="72"/>
        <v>13126.244443428764</v>
      </c>
      <c r="BQ59" s="532">
        <f t="shared" si="72"/>
        <v>13126.244443428764</v>
      </c>
      <c r="BR59" s="532">
        <f t="shared" si="72"/>
        <v>13126.244443428764</v>
      </c>
      <c r="BS59" s="532">
        <f t="shared" si="72"/>
        <v>14767.02499885736</v>
      </c>
      <c r="BT59" s="532">
        <f t="shared" si="72"/>
        <v>14767.02499885736</v>
      </c>
      <c r="BU59" s="532">
        <f t="shared" si="72"/>
        <v>14767.02499885736</v>
      </c>
      <c r="BV59" s="532">
        <f t="shared" si="72"/>
        <v>14767.02499885736</v>
      </c>
      <c r="BW59" s="532">
        <f t="shared" si="72"/>
        <v>14767.02499885736</v>
      </c>
      <c r="BX59" s="532">
        <f t="shared" si="72"/>
        <v>14767.02499885736</v>
      </c>
      <c r="BY59" s="532">
        <f t="shared" si="72"/>
        <v>16407.805554285955</v>
      </c>
      <c r="CB59" s="8"/>
    </row>
    <row r="60" spans="3:80" x14ac:dyDescent="0.3">
      <c r="C60" s="2"/>
      <c r="D60" s="2"/>
      <c r="E60" s="2"/>
      <c r="F60" s="37"/>
      <c r="G60" s="37"/>
      <c r="H60" s="37"/>
      <c r="I60" s="37"/>
      <c r="J60" s="37"/>
      <c r="K60" s="37"/>
      <c r="L60" s="37"/>
      <c r="M60" s="37"/>
      <c r="N60" s="37"/>
      <c r="O60" s="37"/>
      <c r="P60" s="35"/>
      <c r="R60" s="37"/>
      <c r="S60" s="37"/>
      <c r="T60" s="37"/>
      <c r="U60" s="37"/>
      <c r="V60" s="37"/>
      <c r="W60" s="37"/>
      <c r="X60" s="37"/>
      <c r="Y60" s="37"/>
      <c r="Z60" s="37"/>
      <c r="AA60" s="37"/>
      <c r="AB60" s="37"/>
      <c r="AC60" s="37"/>
      <c r="AD60" s="37"/>
      <c r="AE60" s="37"/>
      <c r="AF60" s="37"/>
      <c r="AG60" s="37"/>
      <c r="AH60" s="37"/>
      <c r="AI60" s="37"/>
      <c r="AJ60" s="37"/>
      <c r="AK60" s="37"/>
      <c r="AL60" s="37"/>
      <c r="AM60" s="37"/>
      <c r="AN60" s="37"/>
      <c r="AO60" s="37"/>
      <c r="AP60" s="37"/>
      <c r="AQ60" s="37"/>
      <c r="AR60" s="37"/>
      <c r="AS60" s="37"/>
      <c r="AT60" s="37"/>
      <c r="AU60" s="37"/>
      <c r="AV60" s="37"/>
      <c r="AW60" s="37"/>
      <c r="AX60" s="37"/>
      <c r="AY60" s="37"/>
      <c r="AZ60" s="37"/>
      <c r="BA60" s="37"/>
      <c r="BB60" s="37"/>
      <c r="BC60" s="37"/>
      <c r="BD60" s="37"/>
      <c r="BE60" s="37"/>
      <c r="BF60" s="37"/>
      <c r="BG60" s="37"/>
      <c r="BH60" s="37"/>
      <c r="BI60" s="37"/>
      <c r="BJ60" s="37"/>
      <c r="BK60" s="37"/>
      <c r="BL60" s="37"/>
      <c r="BM60" s="37"/>
      <c r="BN60" s="37"/>
      <c r="BO60" s="37"/>
      <c r="BP60" s="37"/>
      <c r="BQ60" s="37"/>
      <c r="BR60" s="37"/>
      <c r="BS60" s="37"/>
      <c r="BT60" s="37"/>
      <c r="BU60" s="37"/>
      <c r="BV60" s="37"/>
      <c r="BW60" s="37"/>
      <c r="BX60" s="37"/>
      <c r="BY60" s="37"/>
    </row>
    <row r="61" spans="3:80" x14ac:dyDescent="0.3">
      <c r="C61" s="2"/>
      <c r="D61" s="2"/>
      <c r="E61" s="62" t="s">
        <v>21</v>
      </c>
      <c r="F61" s="63"/>
      <c r="G61" s="63"/>
      <c r="H61" s="63"/>
      <c r="I61" s="501">
        <f>SUM(I54,I59)</f>
        <v>0</v>
      </c>
      <c r="J61" s="502">
        <f>SUMIF($R$2:$BY$2,J$3,$R61:$BY61)</f>
        <v>-549047.90219781885</v>
      </c>
      <c r="K61" s="502">
        <f>SUMIF($R$2:$BY$2,K$3,$R61:$BY61)</f>
        <v>-2316947.1319590006</v>
      </c>
      <c r="L61" s="502">
        <f>SUMIF($R$2:$BY$2,L$3,$R61:$BY61)</f>
        <v>-4292263.1963725798</v>
      </c>
      <c r="M61" s="502">
        <f>SUMIF($R$2:$BY$2,M$3,$R61:$BY61)</f>
        <v>-6481490.4052547971</v>
      </c>
      <c r="N61" s="501">
        <f>SUMIF($R$2:$BY$2,N$3,$R61:$BY61)</f>
        <v>-8904258.0395151377</v>
      </c>
      <c r="O61" s="57"/>
      <c r="P61" s="55">
        <f>IFERROR(((N61/I61)^(1/5))-1,0)</f>
        <v>0</v>
      </c>
      <c r="R61" s="501">
        <f t="shared" ref="R61:AW61" si="73">R$9*R126</f>
        <v>0</v>
      </c>
      <c r="S61" s="535">
        <f t="shared" si="73"/>
        <v>0</v>
      </c>
      <c r="T61" s="535">
        <f t="shared" si="73"/>
        <v>0</v>
      </c>
      <c r="U61" s="535">
        <f t="shared" si="73"/>
        <v>0</v>
      </c>
      <c r="V61" s="535">
        <f t="shared" si="73"/>
        <v>0</v>
      </c>
      <c r="W61" s="535">
        <f t="shared" si="73"/>
        <v>-67184.552452471791</v>
      </c>
      <c r="X61" s="535">
        <f t="shared" si="73"/>
        <v>-68837.62139219245</v>
      </c>
      <c r="Y61" s="535">
        <f t="shared" si="73"/>
        <v>-68837.62139219245</v>
      </c>
      <c r="Z61" s="535">
        <f t="shared" si="73"/>
        <v>-68837.62139219245</v>
      </c>
      <c r="AA61" s="535">
        <f t="shared" si="73"/>
        <v>-68837.62139219245</v>
      </c>
      <c r="AB61" s="535">
        <f t="shared" si="73"/>
        <v>-68837.62139219245</v>
      </c>
      <c r="AC61" s="535">
        <f t="shared" si="73"/>
        <v>-137675.2427843849</v>
      </c>
      <c r="AD61" s="535">
        <f t="shared" si="73"/>
        <v>-142284.75253324688</v>
      </c>
      <c r="AE61" s="535">
        <f t="shared" si="73"/>
        <v>-142284.75253324688</v>
      </c>
      <c r="AF61" s="535">
        <f t="shared" si="73"/>
        <v>-142284.75253324688</v>
      </c>
      <c r="AG61" s="535">
        <f t="shared" si="73"/>
        <v>-142284.75253324688</v>
      </c>
      <c r="AH61" s="535">
        <f t="shared" si="73"/>
        <v>-142284.75253324688</v>
      </c>
      <c r="AI61" s="535">
        <f t="shared" si="73"/>
        <v>-213427.12879987032</v>
      </c>
      <c r="AJ61" s="535">
        <f t="shared" si="73"/>
        <v>-219804.66955150993</v>
      </c>
      <c r="AK61" s="535">
        <f t="shared" si="73"/>
        <v>-219804.66955150993</v>
      </c>
      <c r="AL61" s="535">
        <f t="shared" si="73"/>
        <v>-219804.66955150993</v>
      </c>
      <c r="AM61" s="535">
        <f t="shared" si="73"/>
        <v>-219804.66955150993</v>
      </c>
      <c r="AN61" s="535">
        <f t="shared" si="73"/>
        <v>-219804.66955150993</v>
      </c>
      <c r="AO61" s="535">
        <f t="shared" si="73"/>
        <v>-293072.89273534657</v>
      </c>
      <c r="AP61" s="535">
        <f t="shared" si="73"/>
        <v>-300765.83635793673</v>
      </c>
      <c r="AQ61" s="535">
        <f t="shared" si="73"/>
        <v>-300765.83635793673</v>
      </c>
      <c r="AR61" s="535">
        <f t="shared" si="73"/>
        <v>-300765.83635793673</v>
      </c>
      <c r="AS61" s="535">
        <f t="shared" si="73"/>
        <v>-300765.83635793673</v>
      </c>
      <c r="AT61" s="535">
        <f t="shared" si="73"/>
        <v>-300765.83635793673</v>
      </c>
      <c r="AU61" s="535">
        <f t="shared" si="73"/>
        <v>-375957.29544742091</v>
      </c>
      <c r="AV61" s="535">
        <f t="shared" si="73"/>
        <v>-389109.14824765723</v>
      </c>
      <c r="AW61" s="535">
        <f t="shared" si="73"/>
        <v>-389109.14824765723</v>
      </c>
      <c r="AX61" s="535">
        <f t="shared" ref="AX61:BY61" si="74">AX$9*AX126</f>
        <v>-389109.14824765723</v>
      </c>
      <c r="AY61" s="535">
        <f t="shared" si="74"/>
        <v>-389109.14824765723</v>
      </c>
      <c r="AZ61" s="535">
        <f t="shared" si="74"/>
        <v>-389109.14824765723</v>
      </c>
      <c r="BA61" s="535">
        <f t="shared" si="74"/>
        <v>-466930.97789718863</v>
      </c>
      <c r="BB61" s="535">
        <f t="shared" si="74"/>
        <v>-475897.22369320737</v>
      </c>
      <c r="BC61" s="535">
        <f t="shared" si="74"/>
        <v>-475897.22369320737</v>
      </c>
      <c r="BD61" s="535">
        <f t="shared" si="74"/>
        <v>-475897.22369320737</v>
      </c>
      <c r="BE61" s="535">
        <f t="shared" si="74"/>
        <v>-475897.22369320737</v>
      </c>
      <c r="BF61" s="535">
        <f t="shared" si="74"/>
        <v>-475897.22369320737</v>
      </c>
      <c r="BG61" s="535">
        <f t="shared" si="74"/>
        <v>-555213.42764207534</v>
      </c>
      <c r="BH61" s="535">
        <f t="shared" si="74"/>
        <v>-577384.55846573936</v>
      </c>
      <c r="BI61" s="535">
        <f t="shared" si="74"/>
        <v>-577384.55846573936</v>
      </c>
      <c r="BJ61" s="535">
        <f t="shared" si="74"/>
        <v>-577384.55846573936</v>
      </c>
      <c r="BK61" s="535">
        <f t="shared" si="74"/>
        <v>-577384.55846573936</v>
      </c>
      <c r="BL61" s="535">
        <f t="shared" si="74"/>
        <v>-577384.55846573936</v>
      </c>
      <c r="BM61" s="535">
        <f t="shared" si="74"/>
        <v>-659868.06681798783</v>
      </c>
      <c r="BN61" s="535">
        <f t="shared" si="74"/>
        <v>-669127.34321108041</v>
      </c>
      <c r="BO61" s="535">
        <f t="shared" si="74"/>
        <v>-669127.34321108041</v>
      </c>
      <c r="BP61" s="535">
        <f t="shared" si="74"/>
        <v>-669127.34321108041</v>
      </c>
      <c r="BQ61" s="535">
        <f t="shared" si="74"/>
        <v>-669127.34321108041</v>
      </c>
      <c r="BR61" s="535">
        <f t="shared" si="74"/>
        <v>-669127.34321108041</v>
      </c>
      <c r="BS61" s="535">
        <f t="shared" si="74"/>
        <v>-752768.26111246552</v>
      </c>
      <c r="BT61" s="535">
        <f t="shared" si="74"/>
        <v>-786412.31929318979</v>
      </c>
      <c r="BU61" s="535">
        <f t="shared" si="74"/>
        <v>-786412.31929318979</v>
      </c>
      <c r="BV61" s="535">
        <f t="shared" si="74"/>
        <v>-786412.31929318979</v>
      </c>
      <c r="BW61" s="535">
        <f t="shared" si="74"/>
        <v>-786412.31929318979</v>
      </c>
      <c r="BX61" s="535">
        <f t="shared" si="74"/>
        <v>-786412.31929318979</v>
      </c>
      <c r="BY61" s="535">
        <f t="shared" si="74"/>
        <v>-873791.46588132193</v>
      </c>
      <c r="CB61" s="8"/>
    </row>
    <row r="62" spans="3:80" x14ac:dyDescent="0.3">
      <c r="C62" s="2"/>
      <c r="D62" s="2"/>
      <c r="E62" s="2" t="s">
        <v>405</v>
      </c>
      <c r="F62" s="2"/>
      <c r="G62" s="2"/>
      <c r="H62" s="2"/>
      <c r="I62" s="23"/>
      <c r="J62" s="499">
        <f>IFERROR(J61/SUM(J22,J31,J45,J52),0)</f>
        <v>0.55805870356749565</v>
      </c>
      <c r="K62" s="499">
        <f>IFERROR(K61/SUM(K22,K31,K45,K52),0)</f>
        <v>0.56285865362640686</v>
      </c>
      <c r="L62" s="499">
        <f>IFERROR(L61/SUM(L22,L31,L45,L52),0)</f>
        <v>0.56743627482497982</v>
      </c>
      <c r="M62" s="499">
        <f>IFERROR(M61/SUM(M22,M31,M45,M52),0)</f>
        <v>0.57150155692489579</v>
      </c>
      <c r="N62" s="499">
        <f>IFERROR(N61/SUM(N22,N31,N45,N52),0)</f>
        <v>0.57540814461468104</v>
      </c>
      <c r="O62" s="23"/>
      <c r="P62" s="50">
        <f>IFERROR(((N62/I62)^(1/5))-1,0)</f>
        <v>0</v>
      </c>
      <c r="R62" s="499">
        <f t="shared" ref="R62:AW62" si="75">IFERROR(R61/SUM(R22,R31,R45,R52),0)</f>
        <v>0</v>
      </c>
      <c r="S62" s="531">
        <f t="shared" si="75"/>
        <v>0</v>
      </c>
      <c r="T62" s="531">
        <f t="shared" si="75"/>
        <v>0</v>
      </c>
      <c r="U62" s="531">
        <f t="shared" si="75"/>
        <v>0</v>
      </c>
      <c r="V62" s="531">
        <f t="shared" si="75"/>
        <v>0</v>
      </c>
      <c r="W62" s="531">
        <f t="shared" si="75"/>
        <v>0.55771289939401814</v>
      </c>
      <c r="X62" s="531">
        <f t="shared" si="75"/>
        <v>0.55810695192198612</v>
      </c>
      <c r="Y62" s="531">
        <f t="shared" si="75"/>
        <v>0.55810695192198612</v>
      </c>
      <c r="Z62" s="531">
        <f t="shared" si="75"/>
        <v>0.55810695192198612</v>
      </c>
      <c r="AA62" s="531">
        <f t="shared" si="75"/>
        <v>0.55810695192198612</v>
      </c>
      <c r="AB62" s="531">
        <f t="shared" si="75"/>
        <v>0.55810695192198612</v>
      </c>
      <c r="AC62" s="531">
        <f t="shared" si="75"/>
        <v>0.55810695192198612</v>
      </c>
      <c r="AD62" s="531">
        <f t="shared" si="75"/>
        <v>0.56253279084839347</v>
      </c>
      <c r="AE62" s="531">
        <f t="shared" si="75"/>
        <v>0.56253279084839347</v>
      </c>
      <c r="AF62" s="531">
        <f t="shared" si="75"/>
        <v>0.56253279084839347</v>
      </c>
      <c r="AG62" s="531">
        <f t="shared" si="75"/>
        <v>0.56253279084839347</v>
      </c>
      <c r="AH62" s="531">
        <f t="shared" si="75"/>
        <v>0.56253279084839347</v>
      </c>
      <c r="AI62" s="531">
        <f t="shared" si="75"/>
        <v>0.56253279084839358</v>
      </c>
      <c r="AJ62" s="531">
        <f t="shared" si="75"/>
        <v>0.56307535211807169</v>
      </c>
      <c r="AK62" s="531">
        <f t="shared" si="75"/>
        <v>0.56307535211807169</v>
      </c>
      <c r="AL62" s="531">
        <f t="shared" si="75"/>
        <v>0.56307535211807169</v>
      </c>
      <c r="AM62" s="531">
        <f t="shared" si="75"/>
        <v>0.56307535211807169</v>
      </c>
      <c r="AN62" s="531">
        <f t="shared" si="75"/>
        <v>0.56307535211807169</v>
      </c>
      <c r="AO62" s="531">
        <f t="shared" si="75"/>
        <v>0.56307535211807169</v>
      </c>
      <c r="AP62" s="531">
        <f t="shared" si="75"/>
        <v>0.56704333153017772</v>
      </c>
      <c r="AQ62" s="531">
        <f t="shared" si="75"/>
        <v>0.56704333153017772</v>
      </c>
      <c r="AR62" s="531">
        <f t="shared" si="75"/>
        <v>0.56704333153017772</v>
      </c>
      <c r="AS62" s="531">
        <f t="shared" si="75"/>
        <v>0.56704333153017772</v>
      </c>
      <c r="AT62" s="531">
        <f t="shared" si="75"/>
        <v>0.56704333153017772</v>
      </c>
      <c r="AU62" s="531">
        <f t="shared" si="75"/>
        <v>0.56704333153017772</v>
      </c>
      <c r="AV62" s="531">
        <f t="shared" si="75"/>
        <v>0.56774283143456283</v>
      </c>
      <c r="AW62" s="531">
        <f t="shared" si="75"/>
        <v>0.56774283143456283</v>
      </c>
      <c r="AX62" s="531">
        <f t="shared" ref="AX62:BY62" si="76">IFERROR(AX61/SUM(AX22,AX31,AX45,AX52),0)</f>
        <v>0.56774283143456283</v>
      </c>
      <c r="AY62" s="531">
        <f t="shared" si="76"/>
        <v>0.56774283143456283</v>
      </c>
      <c r="AZ62" s="531">
        <f t="shared" si="76"/>
        <v>0.56774283143456283</v>
      </c>
      <c r="BA62" s="531">
        <f t="shared" si="76"/>
        <v>0.56774283143456261</v>
      </c>
      <c r="BB62" s="531">
        <f t="shared" si="76"/>
        <v>0.57102665759603533</v>
      </c>
      <c r="BC62" s="531">
        <f t="shared" si="76"/>
        <v>0.57102665759603533</v>
      </c>
      <c r="BD62" s="531">
        <f t="shared" si="76"/>
        <v>0.57102665759603533</v>
      </c>
      <c r="BE62" s="531">
        <f t="shared" si="76"/>
        <v>0.57102665759603533</v>
      </c>
      <c r="BF62" s="531">
        <f t="shared" si="76"/>
        <v>0.57102665759603533</v>
      </c>
      <c r="BG62" s="531">
        <f t="shared" si="76"/>
        <v>0.57102665759603533</v>
      </c>
      <c r="BH62" s="531">
        <f t="shared" si="76"/>
        <v>0.57189509758588153</v>
      </c>
      <c r="BI62" s="531">
        <f t="shared" si="76"/>
        <v>0.57189509758588153</v>
      </c>
      <c r="BJ62" s="531">
        <f t="shared" si="76"/>
        <v>0.57189509758588153</v>
      </c>
      <c r="BK62" s="531">
        <f t="shared" si="76"/>
        <v>0.57189509758588153</v>
      </c>
      <c r="BL62" s="531">
        <f t="shared" si="76"/>
        <v>0.57189509758588153</v>
      </c>
      <c r="BM62" s="531">
        <f t="shared" si="76"/>
        <v>0.57189509758588153</v>
      </c>
      <c r="BN62" s="531">
        <f t="shared" si="76"/>
        <v>0.57484248064030541</v>
      </c>
      <c r="BO62" s="531">
        <f t="shared" si="76"/>
        <v>0.57484248064030541</v>
      </c>
      <c r="BP62" s="531">
        <f t="shared" si="76"/>
        <v>0.57484248064030541</v>
      </c>
      <c r="BQ62" s="531">
        <f t="shared" si="76"/>
        <v>0.57484248064030541</v>
      </c>
      <c r="BR62" s="531">
        <f t="shared" si="76"/>
        <v>0.57484248064030541</v>
      </c>
      <c r="BS62" s="531">
        <f t="shared" si="76"/>
        <v>0.57484248064030541</v>
      </c>
      <c r="BT62" s="531">
        <f t="shared" si="76"/>
        <v>0.5758914199779307</v>
      </c>
      <c r="BU62" s="531">
        <f t="shared" si="76"/>
        <v>0.5758914199779307</v>
      </c>
      <c r="BV62" s="531">
        <f t="shared" si="76"/>
        <v>0.5758914199779307</v>
      </c>
      <c r="BW62" s="531">
        <f t="shared" si="76"/>
        <v>0.5758914199779307</v>
      </c>
      <c r="BX62" s="531">
        <f t="shared" si="76"/>
        <v>0.5758914199779307</v>
      </c>
      <c r="BY62" s="531">
        <f t="shared" si="76"/>
        <v>0.5758914199779307</v>
      </c>
    </row>
    <row r="63" spans="3:80" x14ac:dyDescent="0.3">
      <c r="C63" s="2"/>
      <c r="D63" s="2"/>
      <c r="E63" s="2"/>
      <c r="F63" s="2"/>
      <c r="G63" s="2"/>
      <c r="H63" s="2"/>
      <c r="I63" s="37"/>
      <c r="J63" s="2"/>
      <c r="K63" s="2"/>
      <c r="L63" s="2"/>
      <c r="M63" s="2"/>
      <c r="N63" s="2"/>
      <c r="O63" s="2"/>
      <c r="P63" s="10"/>
      <c r="R63" s="2"/>
      <c r="S63" s="2"/>
      <c r="T63" s="2"/>
      <c r="U63" s="2"/>
      <c r="V63" s="2"/>
      <c r="W63" s="2"/>
      <c r="X63" s="2"/>
      <c r="Y63" s="2"/>
      <c r="Z63" s="2"/>
      <c r="AA63" s="2"/>
      <c r="AB63" s="2"/>
      <c r="AC63" s="2"/>
      <c r="AD63" s="2"/>
      <c r="AE63" s="2"/>
      <c r="AF63" s="2"/>
      <c r="AG63" s="2"/>
      <c r="AH63" s="2"/>
      <c r="AI63" s="2"/>
      <c r="AJ63" s="2"/>
      <c r="AK63" s="2"/>
      <c r="AL63" s="2"/>
      <c r="AM63" s="2"/>
      <c r="AN63" s="2"/>
      <c r="AO63" s="2"/>
      <c r="AP63" s="2"/>
      <c r="AQ63" s="2"/>
      <c r="AR63" s="2"/>
      <c r="AS63" s="2"/>
      <c r="AT63" s="2"/>
      <c r="AU63" s="2"/>
      <c r="AV63" s="2"/>
      <c r="AW63" s="2"/>
      <c r="AX63" s="2"/>
      <c r="AY63" s="2"/>
      <c r="AZ63" s="2"/>
      <c r="BA63" s="2"/>
      <c r="BB63" s="2"/>
      <c r="BC63" s="2"/>
      <c r="BD63" s="2"/>
      <c r="BE63" s="2"/>
      <c r="BF63" s="2"/>
      <c r="BG63" s="2"/>
      <c r="BH63" s="2"/>
      <c r="BI63" s="2"/>
      <c r="BJ63" s="2"/>
      <c r="BK63" s="2"/>
      <c r="BL63" s="2"/>
      <c r="BM63" s="2"/>
      <c r="BN63" s="2"/>
      <c r="BO63" s="2"/>
      <c r="BP63" s="2"/>
      <c r="BQ63" s="2"/>
      <c r="BR63" s="2"/>
      <c r="BS63" s="2"/>
      <c r="BT63" s="2"/>
      <c r="BU63" s="2"/>
      <c r="BV63" s="2"/>
      <c r="BW63" s="2"/>
      <c r="BX63" s="2"/>
      <c r="BY63" s="2"/>
    </row>
    <row r="64" spans="3:80" x14ac:dyDescent="0.3">
      <c r="C64" s="2"/>
      <c r="D64" s="2"/>
      <c r="E64" s="2" t="s">
        <v>129</v>
      </c>
      <c r="F64" s="54"/>
      <c r="G64" s="54"/>
      <c r="H64" s="54"/>
      <c r="I64" s="37"/>
      <c r="J64" s="497">
        <f>SUMIF($R$2:$BY$2,J$3,$R64:$BY64)</f>
        <v>47544.986739726031</v>
      </c>
      <c r="K64" s="497">
        <f>SUMIF($R$2:$BY$2,K$3,$R64:$BY64)</f>
        <v>194587.01552703508</v>
      </c>
      <c r="L64" s="497">
        <f>SUMIF($R$2:$BY$2,L$3,$R64:$BY64)</f>
        <v>347831.26073465188</v>
      </c>
      <c r="M64" s="497">
        <f>SUMIF($R$2:$BY$2,M$3,$R64:$BY64)</f>
        <v>506640.39566267421</v>
      </c>
      <c r="N64" s="497">
        <f>SUMIF($R$2:$BY$2,N$3,$R64:$BY64)</f>
        <v>671410.16558735329</v>
      </c>
      <c r="O64" s="37"/>
      <c r="P64" s="50">
        <f>IFERROR(((N64/I64)^(1/5))-1,0)</f>
        <v>0</v>
      </c>
      <c r="R64" s="497">
        <f>R$9*R129</f>
        <v>0</v>
      </c>
      <c r="S64" s="527">
        <f t="shared" ref="S64:BY64" si="77">S$9*S129</f>
        <v>0</v>
      </c>
      <c r="T64" s="527">
        <f t="shared" si="77"/>
        <v>0</v>
      </c>
      <c r="U64" s="527">
        <f t="shared" si="77"/>
        <v>0</v>
      </c>
      <c r="V64" s="527">
        <f t="shared" si="77"/>
        <v>0</v>
      </c>
      <c r="W64" s="527">
        <f t="shared" si="77"/>
        <v>5943.1233424657539</v>
      </c>
      <c r="X64" s="527">
        <f t="shared" si="77"/>
        <v>5943.1233424657539</v>
      </c>
      <c r="Y64" s="527">
        <f t="shared" si="77"/>
        <v>5943.1233424657539</v>
      </c>
      <c r="Z64" s="527">
        <f t="shared" si="77"/>
        <v>5943.1233424657539</v>
      </c>
      <c r="AA64" s="527">
        <f t="shared" si="77"/>
        <v>5943.1233424657539</v>
      </c>
      <c r="AB64" s="527">
        <f t="shared" si="77"/>
        <v>5943.1233424657539</v>
      </c>
      <c r="AC64" s="527">
        <f t="shared" si="77"/>
        <v>11886.246684931508</v>
      </c>
      <c r="AD64" s="527">
        <f t="shared" si="77"/>
        <v>12161.688470439693</v>
      </c>
      <c r="AE64" s="527">
        <f t="shared" si="77"/>
        <v>12161.688470439693</v>
      </c>
      <c r="AF64" s="527">
        <f t="shared" si="77"/>
        <v>12161.688470439693</v>
      </c>
      <c r="AG64" s="527">
        <f t="shared" si="77"/>
        <v>12161.688470439693</v>
      </c>
      <c r="AH64" s="527">
        <f t="shared" si="77"/>
        <v>12161.688470439693</v>
      </c>
      <c r="AI64" s="527">
        <f t="shared" si="77"/>
        <v>18242.532705659538</v>
      </c>
      <c r="AJ64" s="527">
        <f t="shared" si="77"/>
        <v>18242.532705659538</v>
      </c>
      <c r="AK64" s="527">
        <f t="shared" si="77"/>
        <v>18242.532705659538</v>
      </c>
      <c r="AL64" s="527">
        <f t="shared" si="77"/>
        <v>18242.532705659538</v>
      </c>
      <c r="AM64" s="527">
        <f t="shared" si="77"/>
        <v>18242.532705659538</v>
      </c>
      <c r="AN64" s="527">
        <f t="shared" si="77"/>
        <v>18242.532705659538</v>
      </c>
      <c r="AO64" s="527">
        <f t="shared" si="77"/>
        <v>24323.376940879385</v>
      </c>
      <c r="AP64" s="527">
        <f t="shared" si="77"/>
        <v>24845.090052475138</v>
      </c>
      <c r="AQ64" s="527">
        <f t="shared" si="77"/>
        <v>24845.090052475138</v>
      </c>
      <c r="AR64" s="527">
        <f t="shared" si="77"/>
        <v>24845.090052475138</v>
      </c>
      <c r="AS64" s="527">
        <f t="shared" si="77"/>
        <v>24845.090052475138</v>
      </c>
      <c r="AT64" s="527">
        <f t="shared" si="77"/>
        <v>24845.090052475138</v>
      </c>
      <c r="AU64" s="527">
        <f t="shared" si="77"/>
        <v>31056.362565593921</v>
      </c>
      <c r="AV64" s="527">
        <f t="shared" si="77"/>
        <v>31056.362565593921</v>
      </c>
      <c r="AW64" s="527">
        <f t="shared" si="77"/>
        <v>31056.362565593921</v>
      </c>
      <c r="AX64" s="527">
        <f t="shared" si="77"/>
        <v>31056.362565593921</v>
      </c>
      <c r="AY64" s="527">
        <f t="shared" si="77"/>
        <v>31056.362565593921</v>
      </c>
      <c r="AZ64" s="527">
        <f t="shared" si="77"/>
        <v>31056.362565593921</v>
      </c>
      <c r="BA64" s="527">
        <f t="shared" si="77"/>
        <v>37267.635078712708</v>
      </c>
      <c r="BB64" s="527">
        <f t="shared" si="77"/>
        <v>37998.02967470057</v>
      </c>
      <c r="BC64" s="527">
        <f t="shared" si="77"/>
        <v>37998.02967470057</v>
      </c>
      <c r="BD64" s="527">
        <f t="shared" si="77"/>
        <v>37998.02967470057</v>
      </c>
      <c r="BE64" s="527">
        <f t="shared" si="77"/>
        <v>37998.02967470057</v>
      </c>
      <c r="BF64" s="527">
        <f t="shared" si="77"/>
        <v>37998.02967470057</v>
      </c>
      <c r="BG64" s="527">
        <f t="shared" si="77"/>
        <v>44331.034620484003</v>
      </c>
      <c r="BH64" s="527">
        <f t="shared" si="77"/>
        <v>44331.034620484003</v>
      </c>
      <c r="BI64" s="527">
        <f t="shared" si="77"/>
        <v>44331.034620484003</v>
      </c>
      <c r="BJ64" s="527">
        <f t="shared" si="77"/>
        <v>44331.034620484003</v>
      </c>
      <c r="BK64" s="527">
        <f t="shared" si="77"/>
        <v>44331.034620484003</v>
      </c>
      <c r="BL64" s="527">
        <f t="shared" si="77"/>
        <v>44331.034620484003</v>
      </c>
      <c r="BM64" s="527">
        <f t="shared" si="77"/>
        <v>50664.039566267427</v>
      </c>
      <c r="BN64" s="527">
        <f t="shared" si="77"/>
        <v>51646.935814411801</v>
      </c>
      <c r="BO64" s="527">
        <f t="shared" si="77"/>
        <v>51646.935814411801</v>
      </c>
      <c r="BP64" s="527">
        <f t="shared" si="77"/>
        <v>51646.935814411801</v>
      </c>
      <c r="BQ64" s="527">
        <f t="shared" si="77"/>
        <v>51646.935814411801</v>
      </c>
      <c r="BR64" s="527">
        <f t="shared" si="77"/>
        <v>51646.935814411801</v>
      </c>
      <c r="BS64" s="527">
        <f t="shared" si="77"/>
        <v>58102.802791213275</v>
      </c>
      <c r="BT64" s="527">
        <f t="shared" si="77"/>
        <v>58102.802791213275</v>
      </c>
      <c r="BU64" s="527">
        <f t="shared" si="77"/>
        <v>58102.802791213275</v>
      </c>
      <c r="BV64" s="527">
        <f t="shared" si="77"/>
        <v>58102.802791213275</v>
      </c>
      <c r="BW64" s="527">
        <f t="shared" si="77"/>
        <v>58102.802791213275</v>
      </c>
      <c r="BX64" s="527">
        <f t="shared" si="77"/>
        <v>58102.802791213275</v>
      </c>
      <c r="BY64" s="527">
        <f t="shared" si="77"/>
        <v>64558.669768014748</v>
      </c>
    </row>
    <row r="65" spans="3:80" x14ac:dyDescent="0.3">
      <c r="C65" s="2"/>
      <c r="D65" s="2"/>
      <c r="E65" s="62" t="s">
        <v>292</v>
      </c>
      <c r="F65" s="63"/>
      <c r="G65" s="63"/>
      <c r="H65" s="63"/>
      <c r="I65" s="502">
        <f t="shared" ref="I65:N65" si="78">I64+I61</f>
        <v>0</v>
      </c>
      <c r="J65" s="502">
        <f t="shared" si="78"/>
        <v>-501502.91545809282</v>
      </c>
      <c r="K65" s="502">
        <f t="shared" si="78"/>
        <v>-2122360.1164319655</v>
      </c>
      <c r="L65" s="502">
        <f t="shared" si="78"/>
        <v>-3944431.9356379281</v>
      </c>
      <c r="M65" s="502">
        <f t="shared" si="78"/>
        <v>-5974850.0095921233</v>
      </c>
      <c r="N65" s="502">
        <f t="shared" si="78"/>
        <v>-8232847.8739277842</v>
      </c>
      <c r="O65" s="57"/>
      <c r="P65" s="55">
        <f>IFERROR(((N65/I65)^(1/5))-1,0)</f>
        <v>0</v>
      </c>
      <c r="R65" s="501">
        <f>R64+R61</f>
        <v>0</v>
      </c>
      <c r="S65" s="535">
        <f t="shared" ref="S65:BY65" si="79">S64+S61</f>
        <v>0</v>
      </c>
      <c r="T65" s="535">
        <f t="shared" si="79"/>
        <v>0</v>
      </c>
      <c r="U65" s="535">
        <f t="shared" si="79"/>
        <v>0</v>
      </c>
      <c r="V65" s="535">
        <f t="shared" si="79"/>
        <v>0</v>
      </c>
      <c r="W65" s="535">
        <f t="shared" si="79"/>
        <v>-61241.429110006036</v>
      </c>
      <c r="X65" s="535">
        <f t="shared" si="79"/>
        <v>-62894.498049726695</v>
      </c>
      <c r="Y65" s="535">
        <f t="shared" si="79"/>
        <v>-62894.498049726695</v>
      </c>
      <c r="Z65" s="535">
        <f t="shared" si="79"/>
        <v>-62894.498049726695</v>
      </c>
      <c r="AA65" s="535">
        <f t="shared" si="79"/>
        <v>-62894.498049726695</v>
      </c>
      <c r="AB65" s="535">
        <f t="shared" si="79"/>
        <v>-62894.498049726695</v>
      </c>
      <c r="AC65" s="535">
        <f t="shared" si="79"/>
        <v>-125788.99609945339</v>
      </c>
      <c r="AD65" s="535">
        <f t="shared" si="79"/>
        <v>-130123.06406280719</v>
      </c>
      <c r="AE65" s="535">
        <f t="shared" si="79"/>
        <v>-130123.06406280719</v>
      </c>
      <c r="AF65" s="535">
        <f t="shared" si="79"/>
        <v>-130123.06406280719</v>
      </c>
      <c r="AG65" s="535">
        <f t="shared" si="79"/>
        <v>-130123.06406280719</v>
      </c>
      <c r="AH65" s="535">
        <f t="shared" si="79"/>
        <v>-130123.06406280719</v>
      </c>
      <c r="AI65" s="535">
        <f t="shared" si="79"/>
        <v>-195184.59609421078</v>
      </c>
      <c r="AJ65" s="535">
        <f t="shared" si="79"/>
        <v>-201562.13684585039</v>
      </c>
      <c r="AK65" s="535">
        <f t="shared" si="79"/>
        <v>-201562.13684585039</v>
      </c>
      <c r="AL65" s="535">
        <f t="shared" si="79"/>
        <v>-201562.13684585039</v>
      </c>
      <c r="AM65" s="535">
        <f t="shared" si="79"/>
        <v>-201562.13684585039</v>
      </c>
      <c r="AN65" s="535">
        <f t="shared" si="79"/>
        <v>-201562.13684585039</v>
      </c>
      <c r="AO65" s="535">
        <f t="shared" si="79"/>
        <v>-268749.51579446718</v>
      </c>
      <c r="AP65" s="535">
        <f t="shared" si="79"/>
        <v>-275920.74630546157</v>
      </c>
      <c r="AQ65" s="535">
        <f t="shared" si="79"/>
        <v>-275920.74630546157</v>
      </c>
      <c r="AR65" s="535">
        <f t="shared" si="79"/>
        <v>-275920.74630546157</v>
      </c>
      <c r="AS65" s="535">
        <f t="shared" si="79"/>
        <v>-275920.74630546157</v>
      </c>
      <c r="AT65" s="535">
        <f t="shared" si="79"/>
        <v>-275920.74630546157</v>
      </c>
      <c r="AU65" s="535">
        <f t="shared" si="79"/>
        <v>-344900.932881827</v>
      </c>
      <c r="AV65" s="535">
        <f t="shared" si="79"/>
        <v>-358052.78568206332</v>
      </c>
      <c r="AW65" s="535">
        <f t="shared" si="79"/>
        <v>-358052.78568206332</v>
      </c>
      <c r="AX65" s="535">
        <f t="shared" si="79"/>
        <v>-358052.78568206332</v>
      </c>
      <c r="AY65" s="535">
        <f t="shared" si="79"/>
        <v>-358052.78568206332</v>
      </c>
      <c r="AZ65" s="535">
        <f t="shared" si="79"/>
        <v>-358052.78568206332</v>
      </c>
      <c r="BA65" s="535">
        <f t="shared" si="79"/>
        <v>-429663.34281847591</v>
      </c>
      <c r="BB65" s="535">
        <f t="shared" si="79"/>
        <v>-437899.19401850679</v>
      </c>
      <c r="BC65" s="535">
        <f t="shared" si="79"/>
        <v>-437899.19401850679</v>
      </c>
      <c r="BD65" s="535">
        <f t="shared" si="79"/>
        <v>-437899.19401850679</v>
      </c>
      <c r="BE65" s="535">
        <f t="shared" si="79"/>
        <v>-437899.19401850679</v>
      </c>
      <c r="BF65" s="535">
        <f t="shared" si="79"/>
        <v>-437899.19401850679</v>
      </c>
      <c r="BG65" s="535">
        <f t="shared" si="79"/>
        <v>-510882.39302159136</v>
      </c>
      <c r="BH65" s="535">
        <f t="shared" si="79"/>
        <v>-533053.52384525537</v>
      </c>
      <c r="BI65" s="535">
        <f t="shared" si="79"/>
        <v>-533053.52384525537</v>
      </c>
      <c r="BJ65" s="535">
        <f t="shared" si="79"/>
        <v>-533053.52384525537</v>
      </c>
      <c r="BK65" s="535">
        <f t="shared" si="79"/>
        <v>-533053.52384525537</v>
      </c>
      <c r="BL65" s="535">
        <f t="shared" si="79"/>
        <v>-533053.52384525537</v>
      </c>
      <c r="BM65" s="535">
        <f t="shared" si="79"/>
        <v>-609204.02725172043</v>
      </c>
      <c r="BN65" s="535">
        <f t="shared" si="79"/>
        <v>-617480.40739666857</v>
      </c>
      <c r="BO65" s="535">
        <f t="shared" si="79"/>
        <v>-617480.40739666857</v>
      </c>
      <c r="BP65" s="535">
        <f t="shared" si="79"/>
        <v>-617480.40739666857</v>
      </c>
      <c r="BQ65" s="535">
        <f t="shared" si="79"/>
        <v>-617480.40739666857</v>
      </c>
      <c r="BR65" s="535">
        <f t="shared" si="79"/>
        <v>-617480.40739666857</v>
      </c>
      <c r="BS65" s="535">
        <f t="shared" si="79"/>
        <v>-694665.45832125226</v>
      </c>
      <c r="BT65" s="535">
        <f t="shared" si="79"/>
        <v>-728309.51650197653</v>
      </c>
      <c r="BU65" s="535">
        <f t="shared" si="79"/>
        <v>-728309.51650197653</v>
      </c>
      <c r="BV65" s="535">
        <f t="shared" si="79"/>
        <v>-728309.51650197653</v>
      </c>
      <c r="BW65" s="535">
        <f t="shared" si="79"/>
        <v>-728309.51650197653</v>
      </c>
      <c r="BX65" s="535">
        <f t="shared" si="79"/>
        <v>-728309.51650197653</v>
      </c>
      <c r="BY65" s="535">
        <f t="shared" si="79"/>
        <v>-809232.79611330712</v>
      </c>
      <c r="CB65" s="8"/>
    </row>
    <row r="66" spans="3:80" x14ac:dyDescent="0.3">
      <c r="C66" s="2"/>
      <c r="D66" s="2"/>
      <c r="E66" s="692" t="s">
        <v>406</v>
      </c>
      <c r="F66" s="2"/>
      <c r="G66" s="2"/>
      <c r="H66" s="2"/>
      <c r="I66" s="23"/>
      <c r="J66" s="499">
        <f>IFERROR(J65/J61,0)</f>
        <v>0.91340466551387378</v>
      </c>
      <c r="K66" s="499">
        <f>IFERROR(K65/K61,0)</f>
        <v>0.91601577228803233</v>
      </c>
      <c r="L66" s="499">
        <f>IFERROR(L65/L61,0)</f>
        <v>0.91896320313521174</v>
      </c>
      <c r="M66" s="499">
        <f>IFERROR(M65/M61,0)</f>
        <v>0.92183273229072116</v>
      </c>
      <c r="N66" s="499">
        <f>IFERROR(N65/N61,0)</f>
        <v>0.92459673084407679</v>
      </c>
      <c r="O66" s="23"/>
      <c r="P66" s="50">
        <f>IFERROR(((N66/I66)^(1/5))-1,0)</f>
        <v>0</v>
      </c>
      <c r="R66" s="499">
        <f t="shared" ref="R66:AW66" si="80">IFERROR(R65/R61,0)</f>
        <v>0</v>
      </c>
      <c r="S66" s="531">
        <f t="shared" si="80"/>
        <v>0</v>
      </c>
      <c r="T66" s="531">
        <f t="shared" si="80"/>
        <v>0</v>
      </c>
      <c r="U66" s="531">
        <f t="shared" si="80"/>
        <v>0</v>
      </c>
      <c r="V66" s="531">
        <f t="shared" si="80"/>
        <v>0</v>
      </c>
      <c r="W66" s="531">
        <f t="shared" si="80"/>
        <v>0.91154032994905954</v>
      </c>
      <c r="X66" s="531">
        <f t="shared" si="80"/>
        <v>0.91366460342077094</v>
      </c>
      <c r="Y66" s="531">
        <f t="shared" si="80"/>
        <v>0.91366460342077094</v>
      </c>
      <c r="Z66" s="531">
        <f t="shared" si="80"/>
        <v>0.91366460342077094</v>
      </c>
      <c r="AA66" s="531">
        <f t="shared" si="80"/>
        <v>0.91366460342077094</v>
      </c>
      <c r="AB66" s="531">
        <f t="shared" si="80"/>
        <v>0.91366460342077094</v>
      </c>
      <c r="AC66" s="531">
        <f t="shared" si="80"/>
        <v>0.91366460342077094</v>
      </c>
      <c r="AD66" s="531">
        <f t="shared" si="80"/>
        <v>0.91452570810355849</v>
      </c>
      <c r="AE66" s="531">
        <f t="shared" si="80"/>
        <v>0.91452570810355849</v>
      </c>
      <c r="AF66" s="531">
        <f t="shared" si="80"/>
        <v>0.91452570810355849</v>
      </c>
      <c r="AG66" s="531">
        <f t="shared" si="80"/>
        <v>0.91452570810355849</v>
      </c>
      <c r="AH66" s="531">
        <f t="shared" si="80"/>
        <v>0.91452570810355849</v>
      </c>
      <c r="AI66" s="531">
        <f t="shared" si="80"/>
        <v>0.91452570810355849</v>
      </c>
      <c r="AJ66" s="531">
        <f t="shared" si="80"/>
        <v>0.91700570901026968</v>
      </c>
      <c r="AK66" s="531">
        <f t="shared" si="80"/>
        <v>0.91700570901026968</v>
      </c>
      <c r="AL66" s="531">
        <f t="shared" si="80"/>
        <v>0.91700570901026968</v>
      </c>
      <c r="AM66" s="531">
        <f t="shared" si="80"/>
        <v>0.91700570901026968</v>
      </c>
      <c r="AN66" s="531">
        <f t="shared" si="80"/>
        <v>0.91700570901026968</v>
      </c>
      <c r="AO66" s="531">
        <f t="shared" si="80"/>
        <v>0.91700570901026968</v>
      </c>
      <c r="AP66" s="531">
        <f t="shared" si="80"/>
        <v>0.91739390898470463</v>
      </c>
      <c r="AQ66" s="531">
        <f t="shared" si="80"/>
        <v>0.91739390898470463</v>
      </c>
      <c r="AR66" s="531">
        <f t="shared" si="80"/>
        <v>0.91739390898470463</v>
      </c>
      <c r="AS66" s="531">
        <f t="shared" si="80"/>
        <v>0.91739390898470463</v>
      </c>
      <c r="AT66" s="531">
        <f t="shared" si="80"/>
        <v>0.91739390898470463</v>
      </c>
      <c r="AU66" s="531">
        <f t="shared" si="80"/>
        <v>0.91739390898470474</v>
      </c>
      <c r="AV66" s="531">
        <f t="shared" si="80"/>
        <v>0.9201859871312319</v>
      </c>
      <c r="AW66" s="531">
        <f t="shared" si="80"/>
        <v>0.9201859871312319</v>
      </c>
      <c r="AX66" s="531">
        <f t="shared" ref="AX66:BY66" si="81">IFERROR(AX65/AX61,0)</f>
        <v>0.9201859871312319</v>
      </c>
      <c r="AY66" s="531">
        <f t="shared" si="81"/>
        <v>0.9201859871312319</v>
      </c>
      <c r="AZ66" s="531">
        <f t="shared" si="81"/>
        <v>0.9201859871312319</v>
      </c>
      <c r="BA66" s="531">
        <f t="shared" si="81"/>
        <v>0.92018598713123179</v>
      </c>
      <c r="BB66" s="531">
        <f t="shared" si="81"/>
        <v>0.92015496669676633</v>
      </c>
      <c r="BC66" s="531">
        <f t="shared" si="81"/>
        <v>0.92015496669676633</v>
      </c>
      <c r="BD66" s="531">
        <f t="shared" si="81"/>
        <v>0.92015496669676633</v>
      </c>
      <c r="BE66" s="531">
        <f t="shared" si="81"/>
        <v>0.92015496669676633</v>
      </c>
      <c r="BF66" s="531">
        <f t="shared" si="81"/>
        <v>0.92015496669676633</v>
      </c>
      <c r="BG66" s="531">
        <f t="shared" si="81"/>
        <v>0.92015496669676644</v>
      </c>
      <c r="BH66" s="531">
        <f t="shared" si="81"/>
        <v>0.9232209556516664</v>
      </c>
      <c r="BI66" s="531">
        <f t="shared" si="81"/>
        <v>0.9232209556516664</v>
      </c>
      <c r="BJ66" s="531">
        <f t="shared" si="81"/>
        <v>0.9232209556516664</v>
      </c>
      <c r="BK66" s="531">
        <f t="shared" si="81"/>
        <v>0.9232209556516664</v>
      </c>
      <c r="BL66" s="531">
        <f t="shared" si="81"/>
        <v>0.9232209556516664</v>
      </c>
      <c r="BM66" s="531">
        <f t="shared" si="81"/>
        <v>0.92322095565166651</v>
      </c>
      <c r="BN66" s="531">
        <f t="shared" si="81"/>
        <v>0.92281448914258535</v>
      </c>
      <c r="BO66" s="531">
        <f t="shared" si="81"/>
        <v>0.92281448914258535</v>
      </c>
      <c r="BP66" s="531">
        <f t="shared" si="81"/>
        <v>0.92281448914258535</v>
      </c>
      <c r="BQ66" s="531">
        <f t="shared" si="81"/>
        <v>0.92281448914258535</v>
      </c>
      <c r="BR66" s="531">
        <f t="shared" si="81"/>
        <v>0.92281448914258535</v>
      </c>
      <c r="BS66" s="531">
        <f t="shared" si="81"/>
        <v>0.92281448914258546</v>
      </c>
      <c r="BT66" s="531">
        <f t="shared" si="81"/>
        <v>0.9261166167342918</v>
      </c>
      <c r="BU66" s="531">
        <f t="shared" si="81"/>
        <v>0.9261166167342918</v>
      </c>
      <c r="BV66" s="531">
        <f t="shared" si="81"/>
        <v>0.9261166167342918</v>
      </c>
      <c r="BW66" s="531">
        <f t="shared" si="81"/>
        <v>0.9261166167342918</v>
      </c>
      <c r="BX66" s="531">
        <f t="shared" si="81"/>
        <v>0.9261166167342918</v>
      </c>
      <c r="BY66" s="531">
        <f t="shared" si="81"/>
        <v>0.92611661673429169</v>
      </c>
    </row>
    <row r="67" spans="3:80" x14ac:dyDescent="0.3">
      <c r="C67" s="2"/>
      <c r="D67" s="2"/>
      <c r="E67" s="2"/>
      <c r="F67" s="54"/>
      <c r="G67" s="54"/>
      <c r="H67" s="54"/>
      <c r="I67" s="37"/>
      <c r="J67" s="37"/>
      <c r="K67" s="37"/>
      <c r="L67" s="37"/>
      <c r="M67" s="37"/>
      <c r="N67" s="37"/>
      <c r="O67" s="37"/>
      <c r="P67" s="35"/>
      <c r="R67" s="37"/>
      <c r="S67" s="37"/>
      <c r="T67" s="37"/>
      <c r="U67" s="37"/>
      <c r="V67" s="37"/>
      <c r="W67" s="37"/>
      <c r="X67" s="37"/>
      <c r="Y67" s="37"/>
      <c r="Z67" s="37"/>
      <c r="AA67" s="37"/>
      <c r="AB67" s="37"/>
      <c r="AC67" s="37"/>
      <c r="AD67" s="37"/>
      <c r="AE67" s="37"/>
      <c r="AF67" s="37"/>
      <c r="AG67" s="37"/>
      <c r="AH67" s="37"/>
      <c r="AI67" s="37"/>
      <c r="AJ67" s="37"/>
      <c r="AK67" s="37"/>
      <c r="AL67" s="37"/>
      <c r="AM67" s="37"/>
      <c r="AN67" s="37"/>
      <c r="AO67" s="37"/>
      <c r="AP67" s="37"/>
      <c r="AQ67" s="37"/>
      <c r="AR67" s="37"/>
      <c r="AS67" s="37"/>
      <c r="AT67" s="37"/>
      <c r="AU67" s="37"/>
      <c r="AV67" s="37"/>
      <c r="AW67" s="37"/>
      <c r="AX67" s="37"/>
      <c r="AY67" s="37"/>
      <c r="AZ67" s="37"/>
      <c r="BA67" s="37"/>
      <c r="BB67" s="37"/>
      <c r="BC67" s="37"/>
      <c r="BD67" s="37"/>
      <c r="BE67" s="37"/>
      <c r="BF67" s="37"/>
      <c r="BG67" s="37"/>
      <c r="BH67" s="37"/>
      <c r="BI67" s="37"/>
      <c r="BJ67" s="37"/>
      <c r="BK67" s="37"/>
      <c r="BL67" s="37"/>
      <c r="BM67" s="37"/>
      <c r="BN67" s="37"/>
      <c r="BO67" s="37"/>
      <c r="BP67" s="37"/>
      <c r="BQ67" s="37"/>
      <c r="BR67" s="37"/>
      <c r="BS67" s="37"/>
      <c r="BT67" s="37"/>
      <c r="BU67" s="37"/>
      <c r="BV67" s="37"/>
      <c r="BW67" s="37"/>
      <c r="BX67" s="37"/>
      <c r="BY67" s="37"/>
    </row>
    <row r="68" spans="3:80" x14ac:dyDescent="0.3">
      <c r="C68" s="2"/>
      <c r="D68" s="2"/>
      <c r="E68" s="2" t="s">
        <v>52</v>
      </c>
      <c r="F68" s="54"/>
      <c r="G68" s="54"/>
      <c r="H68" s="54"/>
      <c r="I68" s="37"/>
      <c r="J68" s="497">
        <f t="shared" ref="J68:N70" si="82">SUMIF($R$2:$BY$2,J$3,$R68:$BY68)</f>
        <v>43520</v>
      </c>
      <c r="K68" s="497">
        <f t="shared" si="82"/>
        <v>177561.59999999998</v>
      </c>
      <c r="L68" s="497">
        <f t="shared" si="82"/>
        <v>316947.45600000006</v>
      </c>
      <c r="M68" s="497">
        <f t="shared" si="82"/>
        <v>461837.72160000011</v>
      </c>
      <c r="N68" s="497">
        <f t="shared" si="82"/>
        <v>612396.81884159998</v>
      </c>
      <c r="O68" s="37"/>
      <c r="P68" s="50">
        <f t="shared" ref="P68:P77" si="83">IFERROR(((N68/I68)^(1/5))-1,0)</f>
        <v>0</v>
      </c>
      <c r="R68" s="497">
        <f>R$9*R133</f>
        <v>0</v>
      </c>
      <c r="S68" s="527">
        <f t="shared" ref="S68:BY68" si="84">S$9*S133</f>
        <v>0</v>
      </c>
      <c r="T68" s="527">
        <f t="shared" si="84"/>
        <v>0</v>
      </c>
      <c r="U68" s="527">
        <f t="shared" si="84"/>
        <v>0</v>
      </c>
      <c r="V68" s="527">
        <f t="shared" si="84"/>
        <v>0</v>
      </c>
      <c r="W68" s="527">
        <f t="shared" si="84"/>
        <v>5440</v>
      </c>
      <c r="X68" s="527">
        <f t="shared" si="84"/>
        <v>5440</v>
      </c>
      <c r="Y68" s="527">
        <f t="shared" si="84"/>
        <v>5440</v>
      </c>
      <c r="Z68" s="527">
        <f t="shared" si="84"/>
        <v>5440</v>
      </c>
      <c r="AA68" s="527">
        <f t="shared" si="84"/>
        <v>5440</v>
      </c>
      <c r="AB68" s="527">
        <f t="shared" si="84"/>
        <v>5440</v>
      </c>
      <c r="AC68" s="527">
        <f t="shared" si="84"/>
        <v>10880</v>
      </c>
      <c r="AD68" s="527">
        <f t="shared" si="84"/>
        <v>11097.6</v>
      </c>
      <c r="AE68" s="527">
        <f t="shared" si="84"/>
        <v>11097.6</v>
      </c>
      <c r="AF68" s="527">
        <f t="shared" si="84"/>
        <v>11097.6</v>
      </c>
      <c r="AG68" s="527">
        <f t="shared" si="84"/>
        <v>11097.6</v>
      </c>
      <c r="AH68" s="527">
        <f t="shared" si="84"/>
        <v>11097.6</v>
      </c>
      <c r="AI68" s="527">
        <f t="shared" si="84"/>
        <v>16646.400000000001</v>
      </c>
      <c r="AJ68" s="527">
        <f t="shared" si="84"/>
        <v>16646.400000000001</v>
      </c>
      <c r="AK68" s="527">
        <f t="shared" si="84"/>
        <v>16646.400000000001</v>
      </c>
      <c r="AL68" s="527">
        <f t="shared" si="84"/>
        <v>16646.400000000001</v>
      </c>
      <c r="AM68" s="527">
        <f t="shared" si="84"/>
        <v>16646.400000000001</v>
      </c>
      <c r="AN68" s="527">
        <f t="shared" si="84"/>
        <v>16646.400000000001</v>
      </c>
      <c r="AO68" s="527">
        <f t="shared" si="84"/>
        <v>22195.200000000001</v>
      </c>
      <c r="AP68" s="527">
        <f t="shared" si="84"/>
        <v>22639.104000000003</v>
      </c>
      <c r="AQ68" s="527">
        <f t="shared" si="84"/>
        <v>22639.104000000003</v>
      </c>
      <c r="AR68" s="527">
        <f t="shared" si="84"/>
        <v>22639.104000000003</v>
      </c>
      <c r="AS68" s="527">
        <f t="shared" si="84"/>
        <v>22639.104000000003</v>
      </c>
      <c r="AT68" s="527">
        <f t="shared" si="84"/>
        <v>22639.104000000003</v>
      </c>
      <c r="AU68" s="527">
        <f t="shared" si="84"/>
        <v>28298.880000000005</v>
      </c>
      <c r="AV68" s="527">
        <f t="shared" si="84"/>
        <v>28298.880000000005</v>
      </c>
      <c r="AW68" s="527">
        <f t="shared" si="84"/>
        <v>28298.880000000005</v>
      </c>
      <c r="AX68" s="527">
        <f t="shared" si="84"/>
        <v>28298.880000000005</v>
      </c>
      <c r="AY68" s="527">
        <f t="shared" si="84"/>
        <v>28298.880000000005</v>
      </c>
      <c r="AZ68" s="527">
        <f t="shared" si="84"/>
        <v>28298.880000000005</v>
      </c>
      <c r="BA68" s="527">
        <f t="shared" si="84"/>
        <v>33958.656000000003</v>
      </c>
      <c r="BB68" s="527">
        <f t="shared" si="84"/>
        <v>34637.829120000002</v>
      </c>
      <c r="BC68" s="527">
        <f t="shared" si="84"/>
        <v>34637.829120000002</v>
      </c>
      <c r="BD68" s="527">
        <f t="shared" si="84"/>
        <v>34637.829120000002</v>
      </c>
      <c r="BE68" s="527">
        <f t="shared" si="84"/>
        <v>34637.829120000002</v>
      </c>
      <c r="BF68" s="527">
        <f t="shared" si="84"/>
        <v>34637.829120000002</v>
      </c>
      <c r="BG68" s="527">
        <f t="shared" si="84"/>
        <v>40410.800640000001</v>
      </c>
      <c r="BH68" s="527">
        <f t="shared" si="84"/>
        <v>40410.800640000001</v>
      </c>
      <c r="BI68" s="527">
        <f t="shared" si="84"/>
        <v>40410.800640000001</v>
      </c>
      <c r="BJ68" s="527">
        <f t="shared" si="84"/>
        <v>40410.800640000001</v>
      </c>
      <c r="BK68" s="527">
        <f t="shared" si="84"/>
        <v>40410.800640000001</v>
      </c>
      <c r="BL68" s="527">
        <f t="shared" si="84"/>
        <v>40410.800640000001</v>
      </c>
      <c r="BM68" s="527">
        <f t="shared" si="84"/>
        <v>46183.77216</v>
      </c>
      <c r="BN68" s="527">
        <f t="shared" si="84"/>
        <v>47107.447603200002</v>
      </c>
      <c r="BO68" s="527">
        <f t="shared" si="84"/>
        <v>47107.447603200002</v>
      </c>
      <c r="BP68" s="527">
        <f t="shared" si="84"/>
        <v>47107.447603200002</v>
      </c>
      <c r="BQ68" s="527">
        <f t="shared" si="84"/>
        <v>47107.447603200002</v>
      </c>
      <c r="BR68" s="527">
        <f t="shared" si="84"/>
        <v>47107.447603200002</v>
      </c>
      <c r="BS68" s="527">
        <f t="shared" si="84"/>
        <v>52995.8785536</v>
      </c>
      <c r="BT68" s="527">
        <f t="shared" si="84"/>
        <v>52995.8785536</v>
      </c>
      <c r="BU68" s="527">
        <f t="shared" si="84"/>
        <v>52995.8785536</v>
      </c>
      <c r="BV68" s="527">
        <f t="shared" si="84"/>
        <v>52995.8785536</v>
      </c>
      <c r="BW68" s="527">
        <f t="shared" si="84"/>
        <v>52995.8785536</v>
      </c>
      <c r="BX68" s="527">
        <f t="shared" si="84"/>
        <v>52995.8785536</v>
      </c>
      <c r="BY68" s="527">
        <f t="shared" si="84"/>
        <v>58884.309504000004</v>
      </c>
    </row>
    <row r="69" spans="3:80" x14ac:dyDescent="0.3">
      <c r="C69" s="2"/>
      <c r="D69" s="2"/>
      <c r="E69" s="2" t="s">
        <v>69</v>
      </c>
      <c r="F69" s="54"/>
      <c r="G69" s="54"/>
      <c r="H69" s="54"/>
      <c r="I69" s="37"/>
      <c r="J69" s="497">
        <f t="shared" si="82"/>
        <v>8235.7185329672848</v>
      </c>
      <c r="K69" s="497">
        <f t="shared" si="82"/>
        <v>34754.20697938501</v>
      </c>
      <c r="L69" s="497">
        <f t="shared" si="82"/>
        <v>64383.94794558869</v>
      </c>
      <c r="M69" s="497">
        <f t="shared" si="82"/>
        <v>97222.356078821933</v>
      </c>
      <c r="N69" s="497">
        <f t="shared" si="82"/>
        <v>133563.87059272703</v>
      </c>
      <c r="O69" s="37"/>
      <c r="P69" s="50">
        <f t="shared" si="83"/>
        <v>0</v>
      </c>
      <c r="R69" s="497">
        <f>R$9*R134</f>
        <v>0</v>
      </c>
      <c r="S69" s="527">
        <f t="shared" ref="S69:BY69" si="85">S$9*S134</f>
        <v>0</v>
      </c>
      <c r="T69" s="527">
        <f t="shared" si="85"/>
        <v>0</v>
      </c>
      <c r="U69" s="527">
        <f t="shared" si="85"/>
        <v>0</v>
      </c>
      <c r="V69" s="527">
        <f t="shared" si="85"/>
        <v>0</v>
      </c>
      <c r="W69" s="527">
        <f t="shared" si="85"/>
        <v>1007.7682867870767</v>
      </c>
      <c r="X69" s="527">
        <f t="shared" si="85"/>
        <v>1032.5643208828867</v>
      </c>
      <c r="Y69" s="527">
        <f t="shared" si="85"/>
        <v>1032.5643208828867</v>
      </c>
      <c r="Z69" s="527">
        <f t="shared" si="85"/>
        <v>1032.5643208828867</v>
      </c>
      <c r="AA69" s="527">
        <f t="shared" si="85"/>
        <v>1032.5643208828867</v>
      </c>
      <c r="AB69" s="527">
        <f t="shared" si="85"/>
        <v>1032.5643208828867</v>
      </c>
      <c r="AC69" s="527">
        <f t="shared" si="85"/>
        <v>2065.1286417657734</v>
      </c>
      <c r="AD69" s="527">
        <f t="shared" si="85"/>
        <v>2134.271287998703</v>
      </c>
      <c r="AE69" s="527">
        <f t="shared" si="85"/>
        <v>2134.271287998703</v>
      </c>
      <c r="AF69" s="527">
        <f t="shared" si="85"/>
        <v>2134.271287998703</v>
      </c>
      <c r="AG69" s="527">
        <f t="shared" si="85"/>
        <v>2134.271287998703</v>
      </c>
      <c r="AH69" s="527">
        <f t="shared" si="85"/>
        <v>2134.271287998703</v>
      </c>
      <c r="AI69" s="527">
        <f t="shared" si="85"/>
        <v>3201.4069319980545</v>
      </c>
      <c r="AJ69" s="527">
        <f t="shared" si="85"/>
        <v>3297.0700432726489</v>
      </c>
      <c r="AK69" s="527">
        <f t="shared" si="85"/>
        <v>3297.0700432726489</v>
      </c>
      <c r="AL69" s="527">
        <f t="shared" si="85"/>
        <v>3297.0700432726489</v>
      </c>
      <c r="AM69" s="527">
        <f t="shared" si="85"/>
        <v>3297.0700432726489</v>
      </c>
      <c r="AN69" s="527">
        <f t="shared" si="85"/>
        <v>3297.0700432726489</v>
      </c>
      <c r="AO69" s="527">
        <f t="shared" si="85"/>
        <v>4396.0933910301983</v>
      </c>
      <c r="AP69" s="527">
        <f t="shared" si="85"/>
        <v>4511.4875453690502</v>
      </c>
      <c r="AQ69" s="527">
        <f t="shared" si="85"/>
        <v>4511.4875453690502</v>
      </c>
      <c r="AR69" s="527">
        <f t="shared" si="85"/>
        <v>4511.4875453690502</v>
      </c>
      <c r="AS69" s="527">
        <f t="shared" si="85"/>
        <v>4511.4875453690502</v>
      </c>
      <c r="AT69" s="527">
        <f t="shared" si="85"/>
        <v>4511.4875453690502</v>
      </c>
      <c r="AU69" s="527">
        <f t="shared" si="85"/>
        <v>5639.3594317113129</v>
      </c>
      <c r="AV69" s="527">
        <f t="shared" si="85"/>
        <v>5836.6372237148571</v>
      </c>
      <c r="AW69" s="527">
        <f t="shared" si="85"/>
        <v>5836.6372237148571</v>
      </c>
      <c r="AX69" s="527">
        <f t="shared" si="85"/>
        <v>5836.6372237148571</v>
      </c>
      <c r="AY69" s="527">
        <f t="shared" si="85"/>
        <v>5836.6372237148571</v>
      </c>
      <c r="AZ69" s="527">
        <f t="shared" si="85"/>
        <v>5836.6372237148571</v>
      </c>
      <c r="BA69" s="527">
        <f t="shared" si="85"/>
        <v>7003.9646684578292</v>
      </c>
      <c r="BB69" s="527">
        <f t="shared" si="85"/>
        <v>7138.4583553981101</v>
      </c>
      <c r="BC69" s="527">
        <f t="shared" si="85"/>
        <v>7138.4583553981101</v>
      </c>
      <c r="BD69" s="527">
        <f t="shared" si="85"/>
        <v>7138.4583553981101</v>
      </c>
      <c r="BE69" s="527">
        <f t="shared" si="85"/>
        <v>7138.4583553981101</v>
      </c>
      <c r="BF69" s="527">
        <f t="shared" si="85"/>
        <v>7138.4583553981101</v>
      </c>
      <c r="BG69" s="527">
        <f t="shared" si="85"/>
        <v>8328.2014146311285</v>
      </c>
      <c r="BH69" s="527">
        <f t="shared" si="85"/>
        <v>8660.7683769860887</v>
      </c>
      <c r="BI69" s="527">
        <f t="shared" si="85"/>
        <v>8660.7683769860887</v>
      </c>
      <c r="BJ69" s="527">
        <f t="shared" si="85"/>
        <v>8660.7683769860887</v>
      </c>
      <c r="BK69" s="527">
        <f t="shared" si="85"/>
        <v>8660.7683769860887</v>
      </c>
      <c r="BL69" s="527">
        <f t="shared" si="85"/>
        <v>8660.7683769860887</v>
      </c>
      <c r="BM69" s="527">
        <f t="shared" si="85"/>
        <v>9898.0210022698157</v>
      </c>
      <c r="BN69" s="527">
        <f t="shared" si="85"/>
        <v>10036.910148166206</v>
      </c>
      <c r="BO69" s="527">
        <f t="shared" si="85"/>
        <v>10036.910148166206</v>
      </c>
      <c r="BP69" s="527">
        <f t="shared" si="85"/>
        <v>10036.910148166206</v>
      </c>
      <c r="BQ69" s="527">
        <f t="shared" si="85"/>
        <v>10036.910148166206</v>
      </c>
      <c r="BR69" s="527">
        <f t="shared" si="85"/>
        <v>10036.910148166206</v>
      </c>
      <c r="BS69" s="527">
        <f t="shared" si="85"/>
        <v>11291.523916686981</v>
      </c>
      <c r="BT69" s="527">
        <f t="shared" si="85"/>
        <v>11796.184789397847</v>
      </c>
      <c r="BU69" s="527">
        <f t="shared" si="85"/>
        <v>11796.184789397847</v>
      </c>
      <c r="BV69" s="527">
        <f t="shared" si="85"/>
        <v>11796.184789397847</v>
      </c>
      <c r="BW69" s="527">
        <f t="shared" si="85"/>
        <v>11796.184789397847</v>
      </c>
      <c r="BX69" s="527">
        <f t="shared" si="85"/>
        <v>11796.184789397847</v>
      </c>
      <c r="BY69" s="527">
        <f t="shared" si="85"/>
        <v>13106.871988219829</v>
      </c>
    </row>
    <row r="70" spans="3:80" x14ac:dyDescent="0.3">
      <c r="C70" s="2"/>
      <c r="D70" s="2"/>
      <c r="E70" s="2" t="s">
        <v>184</v>
      </c>
      <c r="F70" s="54"/>
      <c r="G70" s="54"/>
      <c r="H70" s="54"/>
      <c r="I70" s="67"/>
      <c r="J70" s="497">
        <f t="shared" si="82"/>
        <v>0</v>
      </c>
      <c r="K70" s="497">
        <f t="shared" si="82"/>
        <v>0</v>
      </c>
      <c r="L70" s="497">
        <f t="shared" si="82"/>
        <v>0</v>
      </c>
      <c r="M70" s="497">
        <f t="shared" si="82"/>
        <v>0</v>
      </c>
      <c r="N70" s="497">
        <f t="shared" si="82"/>
        <v>0</v>
      </c>
      <c r="O70" s="67"/>
      <c r="P70" s="50">
        <f>IFERROR(((N70/I70)^(1/5))-1,0)</f>
        <v>0</v>
      </c>
      <c r="R70" s="497">
        <f>R$9*R135</f>
        <v>0</v>
      </c>
      <c r="S70" s="527">
        <f t="shared" ref="S70:AX70" si="86">S$9*S135</f>
        <v>0</v>
      </c>
      <c r="T70" s="527">
        <f t="shared" si="86"/>
        <v>0</v>
      </c>
      <c r="U70" s="527">
        <f t="shared" si="86"/>
        <v>0</v>
      </c>
      <c r="V70" s="527">
        <f t="shared" si="86"/>
        <v>0</v>
      </c>
      <c r="W70" s="527">
        <f t="shared" si="86"/>
        <v>0</v>
      </c>
      <c r="X70" s="527">
        <f t="shared" si="86"/>
        <v>0</v>
      </c>
      <c r="Y70" s="527">
        <f t="shared" si="86"/>
        <v>0</v>
      </c>
      <c r="Z70" s="527">
        <f t="shared" si="86"/>
        <v>0</v>
      </c>
      <c r="AA70" s="527">
        <f t="shared" si="86"/>
        <v>0</v>
      </c>
      <c r="AB70" s="527">
        <f t="shared" si="86"/>
        <v>0</v>
      </c>
      <c r="AC70" s="527">
        <f t="shared" si="86"/>
        <v>0</v>
      </c>
      <c r="AD70" s="527">
        <f t="shared" si="86"/>
        <v>0</v>
      </c>
      <c r="AE70" s="527">
        <f t="shared" si="86"/>
        <v>0</v>
      </c>
      <c r="AF70" s="527">
        <f t="shared" si="86"/>
        <v>0</v>
      </c>
      <c r="AG70" s="527">
        <f t="shared" si="86"/>
        <v>0</v>
      </c>
      <c r="AH70" s="527">
        <f t="shared" si="86"/>
        <v>0</v>
      </c>
      <c r="AI70" s="527">
        <f t="shared" si="86"/>
        <v>0</v>
      </c>
      <c r="AJ70" s="527">
        <f t="shared" si="86"/>
        <v>0</v>
      </c>
      <c r="AK70" s="527">
        <f t="shared" si="86"/>
        <v>0</v>
      </c>
      <c r="AL70" s="527">
        <f t="shared" si="86"/>
        <v>0</v>
      </c>
      <c r="AM70" s="527">
        <f t="shared" si="86"/>
        <v>0</v>
      </c>
      <c r="AN70" s="527">
        <f t="shared" si="86"/>
        <v>0</v>
      </c>
      <c r="AO70" s="527">
        <f t="shared" si="86"/>
        <v>0</v>
      </c>
      <c r="AP70" s="527">
        <f t="shared" si="86"/>
        <v>0</v>
      </c>
      <c r="AQ70" s="527">
        <f t="shared" si="86"/>
        <v>0</v>
      </c>
      <c r="AR70" s="527">
        <f t="shared" si="86"/>
        <v>0</v>
      </c>
      <c r="AS70" s="527">
        <f t="shared" si="86"/>
        <v>0</v>
      </c>
      <c r="AT70" s="527">
        <f t="shared" si="86"/>
        <v>0</v>
      </c>
      <c r="AU70" s="527">
        <f t="shared" si="86"/>
        <v>0</v>
      </c>
      <c r="AV70" s="527">
        <f t="shared" si="86"/>
        <v>0</v>
      </c>
      <c r="AW70" s="527">
        <f t="shared" si="86"/>
        <v>0</v>
      </c>
      <c r="AX70" s="527">
        <f t="shared" si="86"/>
        <v>0</v>
      </c>
      <c r="AY70" s="527">
        <f t="shared" ref="AY70:BY70" si="87">AY$9*AY135</f>
        <v>0</v>
      </c>
      <c r="AZ70" s="527">
        <f t="shared" si="87"/>
        <v>0</v>
      </c>
      <c r="BA70" s="527">
        <f t="shared" si="87"/>
        <v>0</v>
      </c>
      <c r="BB70" s="527">
        <f t="shared" si="87"/>
        <v>0</v>
      </c>
      <c r="BC70" s="527">
        <f t="shared" si="87"/>
        <v>0</v>
      </c>
      <c r="BD70" s="527">
        <f t="shared" si="87"/>
        <v>0</v>
      </c>
      <c r="BE70" s="527">
        <f t="shared" si="87"/>
        <v>0</v>
      </c>
      <c r="BF70" s="527">
        <f t="shared" si="87"/>
        <v>0</v>
      </c>
      <c r="BG70" s="527">
        <f t="shared" si="87"/>
        <v>0</v>
      </c>
      <c r="BH70" s="527">
        <f t="shared" si="87"/>
        <v>0</v>
      </c>
      <c r="BI70" s="527">
        <f t="shared" si="87"/>
        <v>0</v>
      </c>
      <c r="BJ70" s="527">
        <f t="shared" si="87"/>
        <v>0</v>
      </c>
      <c r="BK70" s="527">
        <f t="shared" si="87"/>
        <v>0</v>
      </c>
      <c r="BL70" s="527">
        <f t="shared" si="87"/>
        <v>0</v>
      </c>
      <c r="BM70" s="527">
        <f t="shared" si="87"/>
        <v>0</v>
      </c>
      <c r="BN70" s="527">
        <f t="shared" si="87"/>
        <v>0</v>
      </c>
      <c r="BO70" s="527">
        <f t="shared" si="87"/>
        <v>0</v>
      </c>
      <c r="BP70" s="527">
        <f t="shared" si="87"/>
        <v>0</v>
      </c>
      <c r="BQ70" s="527">
        <f t="shared" si="87"/>
        <v>0</v>
      </c>
      <c r="BR70" s="527">
        <f t="shared" si="87"/>
        <v>0</v>
      </c>
      <c r="BS70" s="527">
        <f t="shared" si="87"/>
        <v>0</v>
      </c>
      <c r="BT70" s="527">
        <f t="shared" si="87"/>
        <v>0</v>
      </c>
      <c r="BU70" s="527">
        <f t="shared" si="87"/>
        <v>0</v>
      </c>
      <c r="BV70" s="527">
        <f t="shared" si="87"/>
        <v>0</v>
      </c>
      <c r="BW70" s="527">
        <f t="shared" si="87"/>
        <v>0</v>
      </c>
      <c r="BX70" s="527">
        <f t="shared" si="87"/>
        <v>0</v>
      </c>
      <c r="BY70" s="527">
        <f t="shared" si="87"/>
        <v>0</v>
      </c>
    </row>
    <row r="71" spans="3:80" x14ac:dyDescent="0.3">
      <c r="C71" s="2"/>
      <c r="D71" s="2"/>
      <c r="E71" s="62" t="s">
        <v>293</v>
      </c>
      <c r="F71" s="63"/>
      <c r="G71" s="63"/>
      <c r="H71" s="63"/>
      <c r="I71" s="502">
        <f t="shared" ref="I71:N71" si="88">SUM(I65,I68:I70)</f>
        <v>0</v>
      </c>
      <c r="J71" s="502">
        <f t="shared" si="88"/>
        <v>-449747.19692512555</v>
      </c>
      <c r="K71" s="502">
        <f t="shared" si="88"/>
        <v>-1910044.3094525803</v>
      </c>
      <c r="L71" s="502">
        <f t="shared" si="88"/>
        <v>-3563100.5316923391</v>
      </c>
      <c r="M71" s="502">
        <f t="shared" si="88"/>
        <v>-5415789.9319133013</v>
      </c>
      <c r="N71" s="502">
        <f t="shared" si="88"/>
        <v>-7486887.184493457</v>
      </c>
      <c r="O71" s="57"/>
      <c r="P71" s="55">
        <f t="shared" si="83"/>
        <v>0</v>
      </c>
      <c r="R71" s="501">
        <f>SUM(R65,R68:R70)</f>
        <v>0</v>
      </c>
      <c r="S71" s="535">
        <f t="shared" ref="S71:BY71" si="89">SUM(S65,S68:S70)</f>
        <v>0</v>
      </c>
      <c r="T71" s="535">
        <f t="shared" si="89"/>
        <v>0</v>
      </c>
      <c r="U71" s="535">
        <f t="shared" si="89"/>
        <v>0</v>
      </c>
      <c r="V71" s="535">
        <f t="shared" si="89"/>
        <v>0</v>
      </c>
      <c r="W71" s="535">
        <f t="shared" si="89"/>
        <v>-54793.660823218961</v>
      </c>
      <c r="X71" s="535">
        <f t="shared" si="89"/>
        <v>-56421.933728843811</v>
      </c>
      <c r="Y71" s="535">
        <f t="shared" si="89"/>
        <v>-56421.933728843811</v>
      </c>
      <c r="Z71" s="535">
        <f t="shared" si="89"/>
        <v>-56421.933728843811</v>
      </c>
      <c r="AA71" s="535">
        <f t="shared" si="89"/>
        <v>-56421.933728843811</v>
      </c>
      <c r="AB71" s="535">
        <f t="shared" si="89"/>
        <v>-56421.933728843811</v>
      </c>
      <c r="AC71" s="535">
        <f t="shared" si="89"/>
        <v>-112843.86745768762</v>
      </c>
      <c r="AD71" s="535">
        <f t="shared" si="89"/>
        <v>-116891.19277480847</v>
      </c>
      <c r="AE71" s="535">
        <f t="shared" si="89"/>
        <v>-116891.19277480847</v>
      </c>
      <c r="AF71" s="535">
        <f t="shared" si="89"/>
        <v>-116891.19277480847</v>
      </c>
      <c r="AG71" s="535">
        <f t="shared" si="89"/>
        <v>-116891.19277480847</v>
      </c>
      <c r="AH71" s="535">
        <f t="shared" si="89"/>
        <v>-116891.19277480847</v>
      </c>
      <c r="AI71" s="535">
        <f t="shared" si="89"/>
        <v>-175336.78916221272</v>
      </c>
      <c r="AJ71" s="535">
        <f t="shared" si="89"/>
        <v>-181618.66680257773</v>
      </c>
      <c r="AK71" s="535">
        <f t="shared" si="89"/>
        <v>-181618.66680257773</v>
      </c>
      <c r="AL71" s="535">
        <f t="shared" si="89"/>
        <v>-181618.66680257773</v>
      </c>
      <c r="AM71" s="535">
        <f t="shared" si="89"/>
        <v>-181618.66680257773</v>
      </c>
      <c r="AN71" s="535">
        <f t="shared" si="89"/>
        <v>-181618.66680257773</v>
      </c>
      <c r="AO71" s="535">
        <f t="shared" si="89"/>
        <v>-242158.22240343696</v>
      </c>
      <c r="AP71" s="535">
        <f t="shared" si="89"/>
        <v>-248770.15476009253</v>
      </c>
      <c r="AQ71" s="535">
        <f t="shared" si="89"/>
        <v>-248770.15476009253</v>
      </c>
      <c r="AR71" s="535">
        <f t="shared" si="89"/>
        <v>-248770.15476009253</v>
      </c>
      <c r="AS71" s="535">
        <f t="shared" si="89"/>
        <v>-248770.15476009253</v>
      </c>
      <c r="AT71" s="535">
        <f t="shared" si="89"/>
        <v>-248770.15476009253</v>
      </c>
      <c r="AU71" s="535">
        <f t="shared" si="89"/>
        <v>-310962.69345011568</v>
      </c>
      <c r="AV71" s="535">
        <f t="shared" si="89"/>
        <v>-323917.26845834847</v>
      </c>
      <c r="AW71" s="535">
        <f t="shared" si="89"/>
        <v>-323917.26845834847</v>
      </c>
      <c r="AX71" s="535">
        <f t="shared" si="89"/>
        <v>-323917.26845834847</v>
      </c>
      <c r="AY71" s="535">
        <f t="shared" si="89"/>
        <v>-323917.26845834847</v>
      </c>
      <c r="AZ71" s="535">
        <f t="shared" si="89"/>
        <v>-323917.26845834847</v>
      </c>
      <c r="BA71" s="535">
        <f t="shared" si="89"/>
        <v>-388700.72215001809</v>
      </c>
      <c r="BB71" s="535">
        <f t="shared" si="89"/>
        <v>-396122.90654310869</v>
      </c>
      <c r="BC71" s="535">
        <f t="shared" si="89"/>
        <v>-396122.90654310869</v>
      </c>
      <c r="BD71" s="535">
        <f t="shared" si="89"/>
        <v>-396122.90654310869</v>
      </c>
      <c r="BE71" s="535">
        <f t="shared" si="89"/>
        <v>-396122.90654310869</v>
      </c>
      <c r="BF71" s="535">
        <f t="shared" si="89"/>
        <v>-396122.90654310869</v>
      </c>
      <c r="BG71" s="535">
        <f t="shared" si="89"/>
        <v>-462143.39096696017</v>
      </c>
      <c r="BH71" s="535">
        <f t="shared" si="89"/>
        <v>-483981.95482826926</v>
      </c>
      <c r="BI71" s="535">
        <f t="shared" si="89"/>
        <v>-483981.95482826926</v>
      </c>
      <c r="BJ71" s="535">
        <f t="shared" si="89"/>
        <v>-483981.95482826926</v>
      </c>
      <c r="BK71" s="535">
        <f t="shared" si="89"/>
        <v>-483981.95482826926</v>
      </c>
      <c r="BL71" s="535">
        <f t="shared" si="89"/>
        <v>-483981.95482826926</v>
      </c>
      <c r="BM71" s="535">
        <f t="shared" si="89"/>
        <v>-553122.23408945056</v>
      </c>
      <c r="BN71" s="535">
        <f t="shared" si="89"/>
        <v>-560336.04964530235</v>
      </c>
      <c r="BO71" s="535">
        <f t="shared" si="89"/>
        <v>-560336.04964530235</v>
      </c>
      <c r="BP71" s="535">
        <f t="shared" si="89"/>
        <v>-560336.04964530235</v>
      </c>
      <c r="BQ71" s="535">
        <f t="shared" si="89"/>
        <v>-560336.04964530235</v>
      </c>
      <c r="BR71" s="535">
        <f t="shared" si="89"/>
        <v>-560336.04964530235</v>
      </c>
      <c r="BS71" s="535">
        <f t="shared" si="89"/>
        <v>-630378.0558509652</v>
      </c>
      <c r="BT71" s="535">
        <f t="shared" si="89"/>
        <v>-663517.45315897861</v>
      </c>
      <c r="BU71" s="535">
        <f t="shared" si="89"/>
        <v>-663517.45315897861</v>
      </c>
      <c r="BV71" s="535">
        <f t="shared" si="89"/>
        <v>-663517.45315897861</v>
      </c>
      <c r="BW71" s="535">
        <f t="shared" si="89"/>
        <v>-663517.45315897861</v>
      </c>
      <c r="BX71" s="535">
        <f t="shared" si="89"/>
        <v>-663517.45315897861</v>
      </c>
      <c r="BY71" s="535">
        <f t="shared" si="89"/>
        <v>-737241.61462108733</v>
      </c>
    </row>
    <row r="72" spans="3:80" x14ac:dyDescent="0.3">
      <c r="C72" s="2"/>
      <c r="D72" s="2"/>
      <c r="E72" s="2" t="s">
        <v>407</v>
      </c>
      <c r="F72" s="2"/>
      <c r="G72" s="2"/>
      <c r="H72" s="2"/>
      <c r="I72" s="23"/>
      <c r="J72" s="499">
        <f>IFERROR(J71/J65,0)</f>
        <v>0.8967987683866373</v>
      </c>
      <c r="K72" s="499">
        <f>IFERROR(K71/K65,0)</f>
        <v>0.8999624025463111</v>
      </c>
      <c r="L72" s="499">
        <f>IFERROR(L71/L65,0)</f>
        <v>0.90332412621947888</v>
      </c>
      <c r="M72" s="499">
        <f>IFERROR(M71/M65,0)</f>
        <v>0.90643111094315376</v>
      </c>
      <c r="N72" s="499">
        <f>IFERROR(N71/N65,0)</f>
        <v>0.90939214463118223</v>
      </c>
      <c r="O72" s="23"/>
      <c r="P72" s="50">
        <f t="shared" si="83"/>
        <v>0</v>
      </c>
      <c r="R72" s="499">
        <f t="shared" ref="R72:AW72" si="90">IFERROR(R71/R65,0)</f>
        <v>0</v>
      </c>
      <c r="S72" s="531">
        <f t="shared" si="90"/>
        <v>0</v>
      </c>
      <c r="T72" s="531">
        <f t="shared" si="90"/>
        <v>0</v>
      </c>
      <c r="U72" s="531">
        <f t="shared" si="90"/>
        <v>0</v>
      </c>
      <c r="V72" s="531">
        <f t="shared" si="90"/>
        <v>0</v>
      </c>
      <c r="W72" s="531">
        <f t="shared" si="90"/>
        <v>0.89471558093124914</v>
      </c>
      <c r="X72" s="531">
        <f t="shared" si="90"/>
        <v>0.89708854476006095</v>
      </c>
      <c r="Y72" s="531">
        <f t="shared" si="90"/>
        <v>0.89708854476006095</v>
      </c>
      <c r="Z72" s="531">
        <f t="shared" si="90"/>
        <v>0.89708854476006095</v>
      </c>
      <c r="AA72" s="531">
        <f t="shared" si="90"/>
        <v>0.89708854476006095</v>
      </c>
      <c r="AB72" s="531">
        <f t="shared" si="90"/>
        <v>0.89708854476006095</v>
      </c>
      <c r="AC72" s="531">
        <f t="shared" si="90"/>
        <v>0.89708854476006095</v>
      </c>
      <c r="AD72" s="531">
        <f t="shared" si="90"/>
        <v>0.89831263670818562</v>
      </c>
      <c r="AE72" s="531">
        <f t="shared" si="90"/>
        <v>0.89831263670818562</v>
      </c>
      <c r="AF72" s="531">
        <f t="shared" si="90"/>
        <v>0.89831263670818562</v>
      </c>
      <c r="AG72" s="531">
        <f t="shared" si="90"/>
        <v>0.89831263670818562</v>
      </c>
      <c r="AH72" s="531">
        <f t="shared" si="90"/>
        <v>0.89831263670818562</v>
      </c>
      <c r="AI72" s="531">
        <f t="shared" si="90"/>
        <v>0.89831263670818562</v>
      </c>
      <c r="AJ72" s="531">
        <f t="shared" si="90"/>
        <v>0.90105547423063437</v>
      </c>
      <c r="AK72" s="531">
        <f t="shared" si="90"/>
        <v>0.90105547423063437</v>
      </c>
      <c r="AL72" s="531">
        <f t="shared" si="90"/>
        <v>0.90105547423063437</v>
      </c>
      <c r="AM72" s="531">
        <f t="shared" si="90"/>
        <v>0.90105547423063437</v>
      </c>
      <c r="AN72" s="531">
        <f t="shared" si="90"/>
        <v>0.90105547423063437</v>
      </c>
      <c r="AO72" s="531">
        <f t="shared" si="90"/>
        <v>0.90105547423063426</v>
      </c>
      <c r="AP72" s="531">
        <f t="shared" si="90"/>
        <v>0.90160003584757042</v>
      </c>
      <c r="AQ72" s="531">
        <f t="shared" si="90"/>
        <v>0.90160003584757042</v>
      </c>
      <c r="AR72" s="531">
        <f t="shared" si="90"/>
        <v>0.90160003584757042</v>
      </c>
      <c r="AS72" s="531">
        <f t="shared" si="90"/>
        <v>0.90160003584757042</v>
      </c>
      <c r="AT72" s="531">
        <f t="shared" si="90"/>
        <v>0.90160003584757042</v>
      </c>
      <c r="AU72" s="531">
        <f t="shared" si="90"/>
        <v>0.90160003584757031</v>
      </c>
      <c r="AV72" s="531">
        <f t="shared" si="90"/>
        <v>0.90466345022650985</v>
      </c>
      <c r="AW72" s="531">
        <f t="shared" si="90"/>
        <v>0.90466345022650985</v>
      </c>
      <c r="AX72" s="531">
        <f t="shared" ref="AX72:BY72" si="91">IFERROR(AX71/AX65,0)</f>
        <v>0.90466345022650985</v>
      </c>
      <c r="AY72" s="531">
        <f t="shared" si="91"/>
        <v>0.90466345022650985</v>
      </c>
      <c r="AZ72" s="531">
        <f t="shared" si="91"/>
        <v>0.90466345022650985</v>
      </c>
      <c r="BA72" s="531">
        <f t="shared" si="91"/>
        <v>0.90466345022650974</v>
      </c>
      <c r="BB72" s="531">
        <f t="shared" si="91"/>
        <v>0.90459839148817311</v>
      </c>
      <c r="BC72" s="531">
        <f t="shared" si="91"/>
        <v>0.90459839148817311</v>
      </c>
      <c r="BD72" s="531">
        <f t="shared" si="91"/>
        <v>0.90459839148817311</v>
      </c>
      <c r="BE72" s="531">
        <f t="shared" si="91"/>
        <v>0.90459839148817311</v>
      </c>
      <c r="BF72" s="531">
        <f t="shared" si="91"/>
        <v>0.90459839148817311</v>
      </c>
      <c r="BG72" s="531">
        <f t="shared" si="91"/>
        <v>0.904598391488173</v>
      </c>
      <c r="BH72" s="531">
        <f t="shared" si="91"/>
        <v>0.90794251079516075</v>
      </c>
      <c r="BI72" s="531">
        <f t="shared" si="91"/>
        <v>0.90794251079516075</v>
      </c>
      <c r="BJ72" s="531">
        <f t="shared" si="91"/>
        <v>0.90794251079516075</v>
      </c>
      <c r="BK72" s="531">
        <f t="shared" si="91"/>
        <v>0.90794251079516075</v>
      </c>
      <c r="BL72" s="531">
        <f t="shared" si="91"/>
        <v>0.90794251079516075</v>
      </c>
      <c r="BM72" s="531">
        <f t="shared" si="91"/>
        <v>0.90794251079516075</v>
      </c>
      <c r="BN72" s="531">
        <f t="shared" si="91"/>
        <v>0.90745559362395001</v>
      </c>
      <c r="BO72" s="531">
        <f t="shared" si="91"/>
        <v>0.90745559362395001</v>
      </c>
      <c r="BP72" s="531">
        <f t="shared" si="91"/>
        <v>0.90745559362395001</v>
      </c>
      <c r="BQ72" s="531">
        <f t="shared" si="91"/>
        <v>0.90745559362395001</v>
      </c>
      <c r="BR72" s="531">
        <f t="shared" si="91"/>
        <v>0.90745559362395001</v>
      </c>
      <c r="BS72" s="531">
        <f t="shared" si="91"/>
        <v>0.9074555936239499</v>
      </c>
      <c r="BT72" s="531">
        <f t="shared" si="91"/>
        <v>0.91103773618915485</v>
      </c>
      <c r="BU72" s="531">
        <f t="shared" si="91"/>
        <v>0.91103773618915485</v>
      </c>
      <c r="BV72" s="531">
        <f t="shared" si="91"/>
        <v>0.91103773618915485</v>
      </c>
      <c r="BW72" s="531">
        <f t="shared" si="91"/>
        <v>0.91103773618915485</v>
      </c>
      <c r="BX72" s="531">
        <f t="shared" si="91"/>
        <v>0.91103773618915485</v>
      </c>
      <c r="BY72" s="531">
        <f t="shared" si="91"/>
        <v>0.91103773618915496</v>
      </c>
    </row>
    <row r="73" spans="3:80" x14ac:dyDescent="0.3">
      <c r="C73" s="2"/>
      <c r="D73" s="2"/>
      <c r="E73" s="2"/>
      <c r="F73" s="54"/>
      <c r="G73" s="54"/>
      <c r="H73" s="54"/>
      <c r="I73" s="37"/>
      <c r="J73" s="37"/>
      <c r="K73" s="37"/>
      <c r="L73" s="37"/>
      <c r="M73" s="37"/>
      <c r="N73" s="37"/>
      <c r="O73" s="37"/>
      <c r="P73" s="50"/>
      <c r="R73" s="37"/>
      <c r="S73" s="37"/>
      <c r="T73" s="37"/>
      <c r="U73" s="37"/>
      <c r="V73" s="37"/>
      <c r="W73" s="37"/>
      <c r="X73" s="37"/>
      <c r="Y73" s="37"/>
      <c r="Z73" s="37"/>
      <c r="AA73" s="37"/>
      <c r="AB73" s="37"/>
      <c r="AC73" s="37"/>
      <c r="AD73" s="37"/>
      <c r="AE73" s="37"/>
      <c r="AF73" s="37"/>
      <c r="AG73" s="37"/>
      <c r="AH73" s="37"/>
      <c r="AI73" s="37"/>
      <c r="AJ73" s="37"/>
      <c r="AK73" s="37"/>
      <c r="AL73" s="37"/>
      <c r="AM73" s="37"/>
      <c r="AN73" s="37"/>
      <c r="AO73" s="37"/>
      <c r="AP73" s="37"/>
      <c r="AQ73" s="37"/>
      <c r="AR73" s="37"/>
      <c r="AS73" s="37"/>
      <c r="AT73" s="37"/>
      <c r="AU73" s="37"/>
      <c r="AV73" s="37"/>
      <c r="AW73" s="37"/>
      <c r="AX73" s="37"/>
      <c r="AY73" s="37"/>
      <c r="AZ73" s="37"/>
      <c r="BA73" s="37"/>
      <c r="BB73" s="37"/>
      <c r="BC73" s="37"/>
      <c r="BD73" s="37"/>
      <c r="BE73" s="37"/>
      <c r="BF73" s="37"/>
      <c r="BG73" s="37"/>
      <c r="BH73" s="37"/>
      <c r="BI73" s="37"/>
      <c r="BJ73" s="37"/>
      <c r="BK73" s="37"/>
      <c r="BL73" s="37"/>
      <c r="BM73" s="37"/>
      <c r="BN73" s="37"/>
      <c r="BO73" s="37"/>
      <c r="BP73" s="37"/>
      <c r="BQ73" s="37"/>
      <c r="BR73" s="37"/>
      <c r="BS73" s="37"/>
      <c r="BT73" s="37"/>
      <c r="BU73" s="37"/>
      <c r="BV73" s="37"/>
      <c r="BW73" s="37"/>
      <c r="BX73" s="37"/>
      <c r="BY73" s="37"/>
    </row>
    <row r="74" spans="3:80" x14ac:dyDescent="0.3">
      <c r="C74" s="2"/>
      <c r="D74" s="2"/>
      <c r="E74" s="2" t="s">
        <v>70</v>
      </c>
      <c r="F74" s="54"/>
      <c r="G74" s="54"/>
      <c r="H74" s="54"/>
      <c r="I74" s="37"/>
      <c r="J74" s="497">
        <f t="shared" ref="J74:N77" si="92">SUMIF($R$2:$BY$2,J$3,$R74:$BY74)</f>
        <v>44081.838392550861</v>
      </c>
      <c r="K74" s="497">
        <f t="shared" si="92"/>
        <v>135425.99340320026</v>
      </c>
      <c r="L74" s="497">
        <f t="shared" si="92"/>
        <v>230778.17551496788</v>
      </c>
      <c r="M74" s="497">
        <f t="shared" si="92"/>
        <v>329770.16933711496</v>
      </c>
      <c r="N74" s="497">
        <f t="shared" si="92"/>
        <v>432264.80107548425</v>
      </c>
      <c r="O74" s="37"/>
      <c r="P74" s="50">
        <f>IFERROR(((N74/I74)^(1/5))-1,0)</f>
        <v>0</v>
      </c>
      <c r="R74" s="497">
        <f t="shared" ref="R74:AW74" si="93">R$9*R139</f>
        <v>0</v>
      </c>
      <c r="S74" s="527">
        <f t="shared" si="93"/>
        <v>0</v>
      </c>
      <c r="T74" s="527">
        <f t="shared" si="93"/>
        <v>0</v>
      </c>
      <c r="U74" s="527">
        <f t="shared" si="93"/>
        <v>0</v>
      </c>
      <c r="V74" s="527">
        <f t="shared" si="93"/>
        <v>0</v>
      </c>
      <c r="W74" s="527">
        <f t="shared" si="93"/>
        <v>44081.838392550861</v>
      </c>
      <c r="X74" s="527">
        <f t="shared" si="93"/>
        <v>0</v>
      </c>
      <c r="Y74" s="527">
        <f t="shared" si="93"/>
        <v>0</v>
      </c>
      <c r="Z74" s="527">
        <f t="shared" si="93"/>
        <v>0</v>
      </c>
      <c r="AA74" s="527">
        <f t="shared" si="93"/>
        <v>0</v>
      </c>
      <c r="AB74" s="527">
        <f t="shared" si="93"/>
        <v>0</v>
      </c>
      <c r="AC74" s="527">
        <f t="shared" si="93"/>
        <v>0</v>
      </c>
      <c r="AD74" s="527">
        <f t="shared" si="93"/>
        <v>0</v>
      </c>
      <c r="AE74" s="527">
        <f t="shared" si="93"/>
        <v>0</v>
      </c>
      <c r="AF74" s="527">
        <f t="shared" si="93"/>
        <v>0</v>
      </c>
      <c r="AG74" s="527">
        <f t="shared" si="93"/>
        <v>0</v>
      </c>
      <c r="AH74" s="527">
        <f t="shared" si="93"/>
        <v>0</v>
      </c>
      <c r="AI74" s="527">
        <f t="shared" si="93"/>
        <v>135425.99340320026</v>
      </c>
      <c r="AJ74" s="527">
        <f t="shared" si="93"/>
        <v>0</v>
      </c>
      <c r="AK74" s="527">
        <f t="shared" si="93"/>
        <v>0</v>
      </c>
      <c r="AL74" s="527">
        <f t="shared" si="93"/>
        <v>0</v>
      </c>
      <c r="AM74" s="527">
        <f t="shared" si="93"/>
        <v>0</v>
      </c>
      <c r="AN74" s="527">
        <f t="shared" si="93"/>
        <v>0</v>
      </c>
      <c r="AO74" s="527">
        <f t="shared" si="93"/>
        <v>0</v>
      </c>
      <c r="AP74" s="527">
        <f t="shared" si="93"/>
        <v>0</v>
      </c>
      <c r="AQ74" s="527">
        <f t="shared" si="93"/>
        <v>0</v>
      </c>
      <c r="AR74" s="527">
        <f t="shared" si="93"/>
        <v>0</v>
      </c>
      <c r="AS74" s="527">
        <f t="shared" si="93"/>
        <v>0</v>
      </c>
      <c r="AT74" s="527">
        <f t="shared" si="93"/>
        <v>0</v>
      </c>
      <c r="AU74" s="527">
        <f t="shared" si="93"/>
        <v>230778.17551496788</v>
      </c>
      <c r="AV74" s="527">
        <f t="shared" si="93"/>
        <v>0</v>
      </c>
      <c r="AW74" s="527">
        <f t="shared" si="93"/>
        <v>0</v>
      </c>
      <c r="AX74" s="527">
        <f t="shared" ref="AX74:BY74" si="94">AX$9*AX139</f>
        <v>0</v>
      </c>
      <c r="AY74" s="527">
        <f t="shared" si="94"/>
        <v>0</v>
      </c>
      <c r="AZ74" s="527">
        <f t="shared" si="94"/>
        <v>0</v>
      </c>
      <c r="BA74" s="527">
        <f t="shared" si="94"/>
        <v>0</v>
      </c>
      <c r="BB74" s="527">
        <f t="shared" si="94"/>
        <v>0</v>
      </c>
      <c r="BC74" s="527">
        <f t="shared" si="94"/>
        <v>0</v>
      </c>
      <c r="BD74" s="527">
        <f t="shared" si="94"/>
        <v>0</v>
      </c>
      <c r="BE74" s="527">
        <f t="shared" si="94"/>
        <v>0</v>
      </c>
      <c r="BF74" s="527">
        <f t="shared" si="94"/>
        <v>0</v>
      </c>
      <c r="BG74" s="527">
        <f t="shared" si="94"/>
        <v>329770.16933711496</v>
      </c>
      <c r="BH74" s="527">
        <f t="shared" si="94"/>
        <v>0</v>
      </c>
      <c r="BI74" s="527">
        <f t="shared" si="94"/>
        <v>0</v>
      </c>
      <c r="BJ74" s="527">
        <f t="shared" si="94"/>
        <v>0</v>
      </c>
      <c r="BK74" s="527">
        <f t="shared" si="94"/>
        <v>0</v>
      </c>
      <c r="BL74" s="527">
        <f t="shared" si="94"/>
        <v>0</v>
      </c>
      <c r="BM74" s="527">
        <f t="shared" si="94"/>
        <v>0</v>
      </c>
      <c r="BN74" s="527">
        <f t="shared" si="94"/>
        <v>0</v>
      </c>
      <c r="BO74" s="527">
        <f t="shared" si="94"/>
        <v>0</v>
      </c>
      <c r="BP74" s="527">
        <f t="shared" si="94"/>
        <v>0</v>
      </c>
      <c r="BQ74" s="527">
        <f t="shared" si="94"/>
        <v>0</v>
      </c>
      <c r="BR74" s="527">
        <f t="shared" si="94"/>
        <v>0</v>
      </c>
      <c r="BS74" s="527">
        <f t="shared" si="94"/>
        <v>432264.80107548425</v>
      </c>
      <c r="BT74" s="527">
        <f t="shared" si="94"/>
        <v>0</v>
      </c>
      <c r="BU74" s="527">
        <f t="shared" si="94"/>
        <v>0</v>
      </c>
      <c r="BV74" s="527">
        <f t="shared" si="94"/>
        <v>0</v>
      </c>
      <c r="BW74" s="527">
        <f t="shared" si="94"/>
        <v>0</v>
      </c>
      <c r="BX74" s="527">
        <f t="shared" si="94"/>
        <v>0</v>
      </c>
      <c r="BY74" s="527">
        <f t="shared" si="94"/>
        <v>0</v>
      </c>
    </row>
    <row r="75" spans="3:80" x14ac:dyDescent="0.3">
      <c r="C75" s="2"/>
      <c r="D75" s="2"/>
      <c r="E75" s="2" t="s">
        <v>185</v>
      </c>
      <c r="F75" s="54"/>
      <c r="G75" s="54"/>
      <c r="H75" s="54"/>
      <c r="I75" s="67"/>
      <c r="J75" s="497">
        <f t="shared" si="92"/>
        <v>21007264.528569944</v>
      </c>
      <c r="K75" s="497">
        <f t="shared" si="92"/>
        <v>22302772.979129054</v>
      </c>
      <c r="L75" s="497">
        <f t="shared" si="92"/>
        <v>23631372.312853575</v>
      </c>
      <c r="M75" s="497">
        <f t="shared" si="92"/>
        <v>24988347.567784414</v>
      </c>
      <c r="N75" s="497">
        <f t="shared" si="92"/>
        <v>26412338.759761043</v>
      </c>
      <c r="O75" s="67"/>
      <c r="P75" s="50">
        <v>0</v>
      </c>
      <c r="R75" s="497">
        <f>R174</f>
        <v>0</v>
      </c>
      <c r="S75" s="527">
        <f t="shared" ref="S75:BY75" si="95">S174</f>
        <v>0</v>
      </c>
      <c r="T75" s="527">
        <f t="shared" si="95"/>
        <v>0</v>
      </c>
      <c r="U75" s="527">
        <f t="shared" si="95"/>
        <v>0</v>
      </c>
      <c r="V75" s="527">
        <f t="shared" si="95"/>
        <v>10375982.280759742</v>
      </c>
      <c r="W75" s="527">
        <f t="shared" si="95"/>
        <v>0</v>
      </c>
      <c r="X75" s="527">
        <f t="shared" si="95"/>
        <v>0</v>
      </c>
      <c r="Y75" s="527">
        <f t="shared" si="95"/>
        <v>0</v>
      </c>
      <c r="Z75" s="527">
        <f t="shared" si="95"/>
        <v>0</v>
      </c>
      <c r="AA75" s="527">
        <f t="shared" si="95"/>
        <v>0</v>
      </c>
      <c r="AB75" s="527">
        <f t="shared" si="95"/>
        <v>10631282.247810202</v>
      </c>
      <c r="AC75" s="527">
        <f t="shared" si="95"/>
        <v>0</v>
      </c>
      <c r="AD75" s="527">
        <f t="shared" si="95"/>
        <v>0</v>
      </c>
      <c r="AE75" s="527">
        <f t="shared" si="95"/>
        <v>0</v>
      </c>
      <c r="AF75" s="527">
        <f t="shared" si="95"/>
        <v>0</v>
      </c>
      <c r="AG75" s="527">
        <f t="shared" si="95"/>
        <v>0</v>
      </c>
      <c r="AH75" s="527">
        <f t="shared" si="95"/>
        <v>10987228.590617323</v>
      </c>
      <c r="AI75" s="527">
        <f t="shared" si="95"/>
        <v>0</v>
      </c>
      <c r="AJ75" s="527">
        <f t="shared" si="95"/>
        <v>0</v>
      </c>
      <c r="AK75" s="527">
        <f t="shared" si="95"/>
        <v>0</v>
      </c>
      <c r="AL75" s="527">
        <f t="shared" si="95"/>
        <v>0</v>
      </c>
      <c r="AM75" s="527">
        <f t="shared" si="95"/>
        <v>0</v>
      </c>
      <c r="AN75" s="527">
        <f t="shared" si="95"/>
        <v>11315544.388511732</v>
      </c>
      <c r="AO75" s="527">
        <f t="shared" si="95"/>
        <v>0</v>
      </c>
      <c r="AP75" s="527">
        <f t="shared" si="95"/>
        <v>0</v>
      </c>
      <c r="AQ75" s="527">
        <f t="shared" si="95"/>
        <v>0</v>
      </c>
      <c r="AR75" s="527">
        <f t="shared" si="95"/>
        <v>0</v>
      </c>
      <c r="AS75" s="527">
        <f t="shared" si="95"/>
        <v>0</v>
      </c>
      <c r="AT75" s="527">
        <f t="shared" si="95"/>
        <v>11612568.941779938</v>
      </c>
      <c r="AU75" s="527">
        <f t="shared" si="95"/>
        <v>0</v>
      </c>
      <c r="AV75" s="527">
        <f t="shared" si="95"/>
        <v>0</v>
      </c>
      <c r="AW75" s="527">
        <f t="shared" si="95"/>
        <v>0</v>
      </c>
      <c r="AX75" s="527">
        <f t="shared" si="95"/>
        <v>0</v>
      </c>
      <c r="AY75" s="527">
        <f t="shared" si="95"/>
        <v>0</v>
      </c>
      <c r="AZ75" s="527">
        <f t="shared" si="95"/>
        <v>12018803.371073635</v>
      </c>
      <c r="BA75" s="527">
        <f t="shared" si="95"/>
        <v>0</v>
      </c>
      <c r="BB75" s="527">
        <f t="shared" si="95"/>
        <v>0</v>
      </c>
      <c r="BC75" s="527">
        <f t="shared" si="95"/>
        <v>0</v>
      </c>
      <c r="BD75" s="527">
        <f t="shared" si="95"/>
        <v>0</v>
      </c>
      <c r="BE75" s="527">
        <f t="shared" si="95"/>
        <v>0</v>
      </c>
      <c r="BF75" s="527">
        <f t="shared" si="95"/>
        <v>12249594.537863156</v>
      </c>
      <c r="BG75" s="527">
        <f t="shared" si="95"/>
        <v>0</v>
      </c>
      <c r="BH75" s="527">
        <f t="shared" si="95"/>
        <v>0</v>
      </c>
      <c r="BI75" s="527">
        <f t="shared" si="95"/>
        <v>0</v>
      </c>
      <c r="BJ75" s="527">
        <f t="shared" si="95"/>
        <v>0</v>
      </c>
      <c r="BK75" s="527">
        <f t="shared" si="95"/>
        <v>0</v>
      </c>
      <c r="BL75" s="527">
        <f t="shared" si="95"/>
        <v>12738753.029921256</v>
      </c>
      <c r="BM75" s="527">
        <f t="shared" si="95"/>
        <v>0</v>
      </c>
      <c r="BN75" s="527">
        <f t="shared" si="95"/>
        <v>0</v>
      </c>
      <c r="BO75" s="527">
        <f t="shared" si="95"/>
        <v>0</v>
      </c>
      <c r="BP75" s="527">
        <f t="shared" si="95"/>
        <v>0</v>
      </c>
      <c r="BQ75" s="527">
        <f t="shared" si="95"/>
        <v>0</v>
      </c>
      <c r="BR75" s="527">
        <f t="shared" si="95"/>
        <v>12917503.360689906</v>
      </c>
      <c r="BS75" s="527">
        <f t="shared" si="95"/>
        <v>0</v>
      </c>
      <c r="BT75" s="527">
        <f t="shared" si="95"/>
        <v>0</v>
      </c>
      <c r="BU75" s="527">
        <f t="shared" si="95"/>
        <v>0</v>
      </c>
      <c r="BV75" s="527">
        <f t="shared" si="95"/>
        <v>0</v>
      </c>
      <c r="BW75" s="527">
        <f t="shared" si="95"/>
        <v>0</v>
      </c>
      <c r="BX75" s="527">
        <f t="shared" si="95"/>
        <v>13494835.399071135</v>
      </c>
      <c r="BY75" s="527">
        <f t="shared" si="95"/>
        <v>0</v>
      </c>
    </row>
    <row r="76" spans="3:80" x14ac:dyDescent="0.3">
      <c r="C76" s="2"/>
      <c r="D76" s="2"/>
      <c r="E76" s="2" t="s">
        <v>370</v>
      </c>
      <c r="F76" s="54"/>
      <c r="G76" s="54"/>
      <c r="H76" s="54"/>
      <c r="I76" s="67"/>
      <c r="J76" s="670">
        <f t="shared" si="92"/>
        <v>0</v>
      </c>
      <c r="K76" s="670">
        <f t="shared" si="92"/>
        <v>0</v>
      </c>
      <c r="L76" s="670">
        <f t="shared" si="92"/>
        <v>0</v>
      </c>
      <c r="M76" s="670">
        <f t="shared" si="92"/>
        <v>0</v>
      </c>
      <c r="N76" s="670">
        <f t="shared" si="92"/>
        <v>0</v>
      </c>
      <c r="O76" s="67"/>
      <c r="P76" s="50">
        <f t="shared" si="83"/>
        <v>0</v>
      </c>
      <c r="R76" s="497">
        <f t="shared" ref="R76:AW76" si="96">R$9*R141</f>
        <v>0</v>
      </c>
      <c r="S76" s="527">
        <f t="shared" si="96"/>
        <v>0</v>
      </c>
      <c r="T76" s="527">
        <f t="shared" si="96"/>
        <v>0</v>
      </c>
      <c r="U76" s="527">
        <f t="shared" si="96"/>
        <v>0</v>
      </c>
      <c r="V76" s="527">
        <f t="shared" si="96"/>
        <v>0</v>
      </c>
      <c r="W76" s="527">
        <f t="shared" si="96"/>
        <v>0</v>
      </c>
      <c r="X76" s="527">
        <f t="shared" si="96"/>
        <v>0</v>
      </c>
      <c r="Y76" s="527">
        <f t="shared" si="96"/>
        <v>0</v>
      </c>
      <c r="Z76" s="527">
        <f t="shared" si="96"/>
        <v>0</v>
      </c>
      <c r="AA76" s="527">
        <f t="shared" si="96"/>
        <v>0</v>
      </c>
      <c r="AB76" s="527">
        <f t="shared" si="96"/>
        <v>0</v>
      </c>
      <c r="AC76" s="527">
        <f t="shared" si="96"/>
        <v>0</v>
      </c>
      <c r="AD76" s="527">
        <f t="shared" si="96"/>
        <v>0</v>
      </c>
      <c r="AE76" s="527">
        <f t="shared" si="96"/>
        <v>0</v>
      </c>
      <c r="AF76" s="527">
        <f t="shared" si="96"/>
        <v>0</v>
      </c>
      <c r="AG76" s="527">
        <f t="shared" si="96"/>
        <v>0</v>
      </c>
      <c r="AH76" s="527">
        <f t="shared" si="96"/>
        <v>0</v>
      </c>
      <c r="AI76" s="527">
        <f t="shared" si="96"/>
        <v>0</v>
      </c>
      <c r="AJ76" s="527">
        <f t="shared" si="96"/>
        <v>0</v>
      </c>
      <c r="AK76" s="527">
        <f t="shared" si="96"/>
        <v>0</v>
      </c>
      <c r="AL76" s="527">
        <f t="shared" si="96"/>
        <v>0</v>
      </c>
      <c r="AM76" s="527">
        <f t="shared" si="96"/>
        <v>0</v>
      </c>
      <c r="AN76" s="527">
        <f t="shared" si="96"/>
        <v>0</v>
      </c>
      <c r="AO76" s="527">
        <f t="shared" si="96"/>
        <v>0</v>
      </c>
      <c r="AP76" s="527">
        <f t="shared" si="96"/>
        <v>0</v>
      </c>
      <c r="AQ76" s="527">
        <f t="shared" si="96"/>
        <v>0</v>
      </c>
      <c r="AR76" s="527">
        <f t="shared" si="96"/>
        <v>0</v>
      </c>
      <c r="AS76" s="527">
        <f t="shared" si="96"/>
        <v>0</v>
      </c>
      <c r="AT76" s="527">
        <f t="shared" si="96"/>
        <v>0</v>
      </c>
      <c r="AU76" s="527">
        <f t="shared" si="96"/>
        <v>0</v>
      </c>
      <c r="AV76" s="527">
        <f t="shared" si="96"/>
        <v>0</v>
      </c>
      <c r="AW76" s="527">
        <f t="shared" si="96"/>
        <v>0</v>
      </c>
      <c r="AX76" s="527">
        <f t="shared" ref="AX76:BY76" si="97">AX$9*AX141</f>
        <v>0</v>
      </c>
      <c r="AY76" s="527">
        <f t="shared" si="97"/>
        <v>0</v>
      </c>
      <c r="AZ76" s="527">
        <f t="shared" si="97"/>
        <v>0</v>
      </c>
      <c r="BA76" s="527">
        <f t="shared" si="97"/>
        <v>0</v>
      </c>
      <c r="BB76" s="527">
        <f t="shared" si="97"/>
        <v>0</v>
      </c>
      <c r="BC76" s="527">
        <f t="shared" si="97"/>
        <v>0</v>
      </c>
      <c r="BD76" s="527">
        <f t="shared" si="97"/>
        <v>0</v>
      </c>
      <c r="BE76" s="527">
        <f t="shared" si="97"/>
        <v>0</v>
      </c>
      <c r="BF76" s="527">
        <f t="shared" si="97"/>
        <v>0</v>
      </c>
      <c r="BG76" s="527">
        <f t="shared" si="97"/>
        <v>0</v>
      </c>
      <c r="BH76" s="527">
        <f t="shared" si="97"/>
        <v>0</v>
      </c>
      <c r="BI76" s="527">
        <f t="shared" si="97"/>
        <v>0</v>
      </c>
      <c r="BJ76" s="527">
        <f t="shared" si="97"/>
        <v>0</v>
      </c>
      <c r="BK76" s="527">
        <f t="shared" si="97"/>
        <v>0</v>
      </c>
      <c r="BL76" s="527">
        <f t="shared" si="97"/>
        <v>0</v>
      </c>
      <c r="BM76" s="527">
        <f t="shared" si="97"/>
        <v>0</v>
      </c>
      <c r="BN76" s="527">
        <f t="shared" si="97"/>
        <v>0</v>
      </c>
      <c r="BO76" s="527">
        <f t="shared" si="97"/>
        <v>0</v>
      </c>
      <c r="BP76" s="527">
        <f t="shared" si="97"/>
        <v>0</v>
      </c>
      <c r="BQ76" s="527">
        <f t="shared" si="97"/>
        <v>0</v>
      </c>
      <c r="BR76" s="527">
        <f t="shared" si="97"/>
        <v>0</v>
      </c>
      <c r="BS76" s="527">
        <f t="shared" si="97"/>
        <v>0</v>
      </c>
      <c r="BT76" s="527">
        <f t="shared" si="97"/>
        <v>0</v>
      </c>
      <c r="BU76" s="527">
        <f t="shared" si="97"/>
        <v>0</v>
      </c>
      <c r="BV76" s="527">
        <f t="shared" si="97"/>
        <v>0</v>
      </c>
      <c r="BW76" s="527">
        <f t="shared" si="97"/>
        <v>0</v>
      </c>
      <c r="BX76" s="527">
        <f t="shared" si="97"/>
        <v>0</v>
      </c>
      <c r="BY76" s="527">
        <f t="shared" si="97"/>
        <v>0</v>
      </c>
    </row>
    <row r="77" spans="3:80" x14ac:dyDescent="0.3">
      <c r="C77" s="2"/>
      <c r="D77" s="2"/>
      <c r="E77" s="62" t="s">
        <v>71</v>
      </c>
      <c r="F77" s="63"/>
      <c r="G77" s="63"/>
      <c r="H77" s="63"/>
      <c r="I77" s="64"/>
      <c r="J77" s="502">
        <f t="shared" si="92"/>
        <v>20601599.170037366</v>
      </c>
      <c r="K77" s="502">
        <f t="shared" si="92"/>
        <v>20528154.663079675</v>
      </c>
      <c r="L77" s="502">
        <f t="shared" si="92"/>
        <v>20299049.956676207</v>
      </c>
      <c r="M77" s="502">
        <f t="shared" si="92"/>
        <v>19902327.805208225</v>
      </c>
      <c r="N77" s="502">
        <f t="shared" si="92"/>
        <v>19357716.376343068</v>
      </c>
      <c r="O77" s="57"/>
      <c r="P77" s="55">
        <f t="shared" si="83"/>
        <v>0</v>
      </c>
      <c r="R77" s="501">
        <f t="shared" ref="R77:AW77" si="98">SUM(R71,R74:R76)</f>
        <v>0</v>
      </c>
      <c r="S77" s="535">
        <f t="shared" si="98"/>
        <v>0</v>
      </c>
      <c r="T77" s="535">
        <f t="shared" si="98"/>
        <v>0</v>
      </c>
      <c r="U77" s="535">
        <f t="shared" si="98"/>
        <v>0</v>
      </c>
      <c r="V77" s="535">
        <f t="shared" si="98"/>
        <v>10375982.280759742</v>
      </c>
      <c r="W77" s="535">
        <f t="shared" si="98"/>
        <v>-10711.8224306681</v>
      </c>
      <c r="X77" s="535">
        <f t="shared" si="98"/>
        <v>-56421.933728843811</v>
      </c>
      <c r="Y77" s="535">
        <f t="shared" si="98"/>
        <v>-56421.933728843811</v>
      </c>
      <c r="Z77" s="535">
        <f t="shared" si="98"/>
        <v>-56421.933728843811</v>
      </c>
      <c r="AA77" s="535">
        <f t="shared" si="98"/>
        <v>-56421.933728843811</v>
      </c>
      <c r="AB77" s="535">
        <f t="shared" si="98"/>
        <v>10574860.314081358</v>
      </c>
      <c r="AC77" s="535">
        <f t="shared" si="98"/>
        <v>-112843.86745768762</v>
      </c>
      <c r="AD77" s="535">
        <f t="shared" si="98"/>
        <v>-116891.19277480847</v>
      </c>
      <c r="AE77" s="535">
        <f t="shared" si="98"/>
        <v>-116891.19277480847</v>
      </c>
      <c r="AF77" s="535">
        <f t="shared" si="98"/>
        <v>-116891.19277480847</v>
      </c>
      <c r="AG77" s="535">
        <f t="shared" si="98"/>
        <v>-116891.19277480847</v>
      </c>
      <c r="AH77" s="535">
        <f t="shared" si="98"/>
        <v>10870337.397842515</v>
      </c>
      <c r="AI77" s="535">
        <f t="shared" si="98"/>
        <v>-39910.795759012457</v>
      </c>
      <c r="AJ77" s="535">
        <f t="shared" si="98"/>
        <v>-181618.66680257773</v>
      </c>
      <c r="AK77" s="535">
        <f t="shared" si="98"/>
        <v>-181618.66680257773</v>
      </c>
      <c r="AL77" s="535">
        <f t="shared" si="98"/>
        <v>-181618.66680257773</v>
      </c>
      <c r="AM77" s="535">
        <f t="shared" si="98"/>
        <v>-181618.66680257773</v>
      </c>
      <c r="AN77" s="535">
        <f t="shared" si="98"/>
        <v>11133925.721709155</v>
      </c>
      <c r="AO77" s="535">
        <f t="shared" si="98"/>
        <v>-242158.22240343696</v>
      </c>
      <c r="AP77" s="535">
        <f t="shared" si="98"/>
        <v>-248770.15476009253</v>
      </c>
      <c r="AQ77" s="535">
        <f t="shared" si="98"/>
        <v>-248770.15476009253</v>
      </c>
      <c r="AR77" s="535">
        <f t="shared" si="98"/>
        <v>-248770.15476009253</v>
      </c>
      <c r="AS77" s="535">
        <f t="shared" si="98"/>
        <v>-248770.15476009253</v>
      </c>
      <c r="AT77" s="535">
        <f t="shared" si="98"/>
        <v>11363798.787019845</v>
      </c>
      <c r="AU77" s="535">
        <f t="shared" si="98"/>
        <v>-80184.5179351478</v>
      </c>
      <c r="AV77" s="535">
        <f t="shared" si="98"/>
        <v>-323917.26845834847</v>
      </c>
      <c r="AW77" s="535">
        <f t="shared" si="98"/>
        <v>-323917.26845834847</v>
      </c>
      <c r="AX77" s="535">
        <f t="shared" ref="AX77:BY77" si="99">SUM(AX71,AX74:AX76)</f>
        <v>-323917.26845834847</v>
      </c>
      <c r="AY77" s="535">
        <f t="shared" si="99"/>
        <v>-323917.26845834847</v>
      </c>
      <c r="AZ77" s="535">
        <f t="shared" si="99"/>
        <v>11694886.102615288</v>
      </c>
      <c r="BA77" s="535">
        <f t="shared" si="99"/>
        <v>-388700.72215001809</v>
      </c>
      <c r="BB77" s="535">
        <f t="shared" si="99"/>
        <v>-396122.90654310869</v>
      </c>
      <c r="BC77" s="535">
        <f t="shared" si="99"/>
        <v>-396122.90654310869</v>
      </c>
      <c r="BD77" s="535">
        <f t="shared" si="99"/>
        <v>-396122.90654310869</v>
      </c>
      <c r="BE77" s="535">
        <f t="shared" si="99"/>
        <v>-396122.90654310869</v>
      </c>
      <c r="BF77" s="535">
        <f t="shared" si="99"/>
        <v>11853471.631320046</v>
      </c>
      <c r="BG77" s="535">
        <f t="shared" si="99"/>
        <v>-132373.22162984521</v>
      </c>
      <c r="BH77" s="535">
        <f t="shared" si="99"/>
        <v>-483981.95482826926</v>
      </c>
      <c r="BI77" s="535">
        <f t="shared" si="99"/>
        <v>-483981.95482826926</v>
      </c>
      <c r="BJ77" s="535">
        <f t="shared" si="99"/>
        <v>-483981.95482826926</v>
      </c>
      <c r="BK77" s="535">
        <f t="shared" si="99"/>
        <v>-483981.95482826926</v>
      </c>
      <c r="BL77" s="535">
        <f t="shared" si="99"/>
        <v>12254771.075092986</v>
      </c>
      <c r="BM77" s="535">
        <f t="shared" si="99"/>
        <v>-553122.23408945056</v>
      </c>
      <c r="BN77" s="535">
        <f t="shared" si="99"/>
        <v>-560336.04964530235</v>
      </c>
      <c r="BO77" s="535">
        <f t="shared" si="99"/>
        <v>-560336.04964530235</v>
      </c>
      <c r="BP77" s="535">
        <f t="shared" si="99"/>
        <v>-560336.04964530235</v>
      </c>
      <c r="BQ77" s="535">
        <f t="shared" si="99"/>
        <v>-560336.04964530235</v>
      </c>
      <c r="BR77" s="535">
        <f t="shared" si="99"/>
        <v>12357167.311044604</v>
      </c>
      <c r="BS77" s="535">
        <f t="shared" si="99"/>
        <v>-198113.25477548095</v>
      </c>
      <c r="BT77" s="535">
        <f t="shared" si="99"/>
        <v>-663517.45315897861</v>
      </c>
      <c r="BU77" s="535">
        <f t="shared" si="99"/>
        <v>-663517.45315897861</v>
      </c>
      <c r="BV77" s="535">
        <f t="shared" si="99"/>
        <v>-663517.45315897861</v>
      </c>
      <c r="BW77" s="535">
        <f t="shared" si="99"/>
        <v>-663517.45315897861</v>
      </c>
      <c r="BX77" s="535">
        <f t="shared" si="99"/>
        <v>12831317.945912156</v>
      </c>
      <c r="BY77" s="535">
        <f t="shared" si="99"/>
        <v>-737241.61462108733</v>
      </c>
    </row>
    <row r="78" spans="3:80" x14ac:dyDescent="0.3">
      <c r="C78" s="2"/>
      <c r="D78" s="2"/>
      <c r="E78" s="22"/>
      <c r="F78" s="68"/>
      <c r="G78" s="68"/>
      <c r="H78" s="68"/>
      <c r="I78" s="57"/>
      <c r="J78" s="57"/>
      <c r="K78" s="57"/>
      <c r="L78" s="57"/>
      <c r="M78" s="57"/>
      <c r="N78" s="57"/>
      <c r="O78" s="57"/>
      <c r="P78" s="69"/>
      <c r="R78" s="57"/>
      <c r="S78" s="57"/>
      <c r="T78" s="57"/>
      <c r="U78" s="57"/>
      <c r="V78" s="57"/>
      <c r="W78" s="57"/>
      <c r="X78" s="57"/>
      <c r="Y78" s="57"/>
      <c r="Z78" s="57"/>
      <c r="AA78" s="57"/>
      <c r="AB78" s="57"/>
      <c r="AC78" s="57"/>
      <c r="AD78" s="57"/>
      <c r="AE78" s="57"/>
      <c r="AF78" s="57"/>
      <c r="AG78" s="57"/>
      <c r="AH78" s="57"/>
      <c r="AI78" s="57"/>
      <c r="AJ78" s="57"/>
      <c r="AK78" s="57"/>
      <c r="AL78" s="57"/>
      <c r="AM78" s="57"/>
      <c r="AN78" s="57"/>
      <c r="AO78" s="57"/>
      <c r="AP78" s="57"/>
      <c r="AQ78" s="57"/>
      <c r="AR78" s="57"/>
      <c r="AS78" s="57"/>
      <c r="AT78" s="57"/>
      <c r="AU78" s="57"/>
      <c r="AV78" s="57"/>
      <c r="AW78" s="57"/>
      <c r="AX78" s="57"/>
      <c r="AY78" s="57"/>
      <c r="AZ78" s="57"/>
      <c r="BA78" s="57"/>
      <c r="BB78" s="57"/>
      <c r="BC78" s="57"/>
      <c r="BD78" s="57"/>
      <c r="BE78" s="57"/>
      <c r="BF78" s="57"/>
      <c r="BG78" s="57"/>
      <c r="BH78" s="57"/>
      <c r="BI78" s="57"/>
      <c r="BJ78" s="57"/>
      <c r="BK78" s="57"/>
      <c r="BL78" s="57"/>
      <c r="BM78" s="57"/>
      <c r="BN78" s="57"/>
      <c r="BO78" s="57"/>
      <c r="BP78" s="57"/>
      <c r="BQ78" s="57"/>
      <c r="BR78" s="57"/>
      <c r="BS78" s="57"/>
      <c r="BT78" s="57"/>
      <c r="BU78" s="57"/>
      <c r="BV78" s="57"/>
      <c r="BW78" s="57"/>
      <c r="BX78" s="57"/>
      <c r="BY78" s="57"/>
    </row>
    <row r="79" spans="3:80" x14ac:dyDescent="0.3">
      <c r="C79" s="2"/>
      <c r="D79" s="2"/>
      <c r="E79" s="22"/>
      <c r="F79" s="68"/>
      <c r="G79" s="68"/>
      <c r="H79" s="68"/>
      <c r="I79" s="57"/>
      <c r="J79" s="57"/>
      <c r="K79" s="57"/>
      <c r="L79" s="57"/>
      <c r="M79" s="57"/>
      <c r="N79" s="57"/>
      <c r="O79" s="57"/>
      <c r="P79" s="69"/>
      <c r="R79" s="57"/>
      <c r="S79" s="57"/>
      <c r="T79" s="57"/>
      <c r="U79" s="57"/>
      <c r="V79" s="57"/>
      <c r="W79" s="57"/>
      <c r="X79" s="57"/>
      <c r="Y79" s="57"/>
      <c r="Z79" s="57"/>
      <c r="AA79" s="57"/>
      <c r="AB79" s="57"/>
      <c r="AC79" s="57"/>
      <c r="AD79" s="57"/>
      <c r="AE79" s="57"/>
      <c r="AF79" s="57"/>
      <c r="AG79" s="57"/>
      <c r="AH79" s="57"/>
      <c r="AI79" s="57"/>
      <c r="AJ79" s="57"/>
      <c r="AK79" s="57"/>
      <c r="AL79" s="57"/>
      <c r="AM79" s="57"/>
      <c r="AN79" s="57"/>
      <c r="AO79" s="57"/>
      <c r="AP79" s="57"/>
      <c r="AQ79" s="57"/>
      <c r="AR79" s="57"/>
      <c r="AS79" s="57"/>
      <c r="AT79" s="57"/>
      <c r="AU79" s="57"/>
      <c r="AV79" s="57"/>
      <c r="AW79" s="57"/>
      <c r="AX79" s="57"/>
      <c r="AY79" s="57"/>
      <c r="AZ79" s="57"/>
      <c r="BA79" s="57"/>
      <c r="BB79" s="57"/>
      <c r="BC79" s="57"/>
      <c r="BD79" s="57"/>
      <c r="BE79" s="57"/>
      <c r="BF79" s="57"/>
      <c r="BG79" s="57"/>
      <c r="BH79" s="57"/>
      <c r="BI79" s="57"/>
      <c r="BJ79" s="57"/>
      <c r="BK79" s="57"/>
      <c r="BL79" s="57"/>
      <c r="BM79" s="57"/>
      <c r="BN79" s="57"/>
      <c r="BO79" s="57"/>
      <c r="BP79" s="57"/>
      <c r="BQ79" s="57"/>
      <c r="BR79" s="57"/>
      <c r="BS79" s="57"/>
      <c r="BT79" s="57"/>
      <c r="BU79" s="57"/>
      <c r="BV79" s="57"/>
      <c r="BW79" s="57"/>
      <c r="BX79" s="57"/>
      <c r="BY79" s="57"/>
    </row>
    <row r="80" spans="3:80" x14ac:dyDescent="0.3">
      <c r="C80" s="48" t="s">
        <v>37</v>
      </c>
      <c r="D80" s="88"/>
      <c r="E80" s="49" t="s">
        <v>135</v>
      </c>
      <c r="F80" s="49"/>
      <c r="G80" s="49"/>
      <c r="H80" s="49"/>
      <c r="I80" s="49"/>
      <c r="J80" s="49"/>
      <c r="K80" s="49"/>
      <c r="L80" s="49"/>
      <c r="M80" s="49"/>
      <c r="N80" s="49"/>
      <c r="O80" s="49"/>
      <c r="P80" s="48"/>
      <c r="Q80" s="49"/>
      <c r="R80" s="49"/>
      <c r="S80" s="49"/>
      <c r="T80" s="49"/>
      <c r="U80" s="49"/>
      <c r="V80" s="49"/>
      <c r="W80" s="49"/>
      <c r="X80" s="49"/>
      <c r="Y80" s="49"/>
      <c r="Z80" s="49"/>
      <c r="AA80" s="49"/>
      <c r="AB80" s="49"/>
      <c r="AC80" s="49"/>
      <c r="AD80" s="49"/>
      <c r="AE80" s="49"/>
      <c r="AF80" s="49"/>
      <c r="AG80" s="49"/>
      <c r="AH80" s="49"/>
      <c r="AI80" s="49"/>
      <c r="AJ80" s="49"/>
      <c r="AK80" s="49"/>
      <c r="AL80" s="49"/>
      <c r="AM80" s="49"/>
      <c r="AN80" s="49"/>
      <c r="AO80" s="49"/>
      <c r="AP80" s="49"/>
      <c r="AQ80" s="49"/>
      <c r="AR80" s="49"/>
      <c r="AS80" s="49"/>
      <c r="AT80" s="49"/>
      <c r="AU80" s="49"/>
      <c r="AV80" s="49"/>
      <c r="AW80" s="49"/>
      <c r="AX80" s="49"/>
      <c r="AY80" s="49"/>
      <c r="AZ80" s="49"/>
      <c r="BA80" s="49"/>
      <c r="BB80" s="49"/>
      <c r="BC80" s="49"/>
      <c r="BD80" s="49"/>
      <c r="BE80" s="49"/>
      <c r="BF80" s="49"/>
      <c r="BG80" s="49"/>
      <c r="BH80" s="49"/>
      <c r="BI80" s="49"/>
      <c r="BJ80" s="49"/>
      <c r="BK80" s="49"/>
      <c r="BL80" s="49"/>
      <c r="BM80" s="49"/>
      <c r="BN80" s="49"/>
      <c r="BO80" s="49"/>
      <c r="BP80" s="49"/>
      <c r="BQ80" s="49"/>
      <c r="BR80" s="49"/>
      <c r="BS80" s="49"/>
      <c r="BT80" s="49"/>
      <c r="BU80" s="49"/>
      <c r="BV80" s="49"/>
      <c r="BW80" s="49"/>
      <c r="BX80" s="49"/>
      <c r="BY80" s="49"/>
    </row>
    <row r="81" spans="3:80" x14ac:dyDescent="0.3">
      <c r="C81" s="2"/>
      <c r="D81" s="2"/>
      <c r="E81" s="2"/>
      <c r="F81" s="2"/>
      <c r="G81" s="2"/>
      <c r="H81" s="2"/>
      <c r="I81" s="37"/>
      <c r="J81" s="37"/>
      <c r="K81" s="37"/>
      <c r="L81" s="37"/>
      <c r="M81" s="37"/>
      <c r="N81" s="37"/>
      <c r="O81" s="37"/>
      <c r="P81" s="35"/>
      <c r="R81" s="37"/>
      <c r="S81" s="529"/>
      <c r="T81" s="529"/>
      <c r="U81" s="529"/>
      <c r="V81" s="529"/>
      <c r="W81" s="529"/>
      <c r="X81" s="529"/>
      <c r="Y81" s="529"/>
      <c r="Z81" s="529"/>
      <c r="AA81" s="529"/>
      <c r="AB81" s="529"/>
      <c r="AC81" s="529"/>
      <c r="AD81" s="529"/>
      <c r="AE81" s="529"/>
      <c r="AF81" s="529"/>
      <c r="AG81" s="529"/>
      <c r="AH81" s="529"/>
      <c r="AI81" s="529"/>
      <c r="AJ81" s="529"/>
      <c r="AK81" s="529"/>
      <c r="AL81" s="529"/>
      <c r="AM81" s="529"/>
      <c r="AN81" s="529"/>
      <c r="AO81" s="529"/>
      <c r="AP81" s="529"/>
      <c r="AQ81" s="529"/>
      <c r="AR81" s="529"/>
      <c r="AS81" s="529"/>
      <c r="AT81" s="529"/>
      <c r="AU81" s="529"/>
      <c r="AV81" s="529"/>
      <c r="AW81" s="529"/>
      <c r="AX81" s="529"/>
      <c r="AY81" s="529"/>
      <c r="AZ81" s="529"/>
      <c r="BA81" s="529"/>
      <c r="BB81" s="529"/>
      <c r="BC81" s="529"/>
      <c r="BD81" s="529"/>
      <c r="BE81" s="529"/>
      <c r="BF81" s="529"/>
      <c r="BG81" s="529"/>
      <c r="BH81" s="529"/>
      <c r="BI81" s="529"/>
      <c r="BJ81" s="529"/>
      <c r="BK81" s="529"/>
      <c r="BL81" s="529"/>
      <c r="BM81" s="529"/>
      <c r="BN81" s="529"/>
      <c r="BO81" s="529"/>
      <c r="BP81" s="529"/>
      <c r="BQ81" s="529"/>
      <c r="BR81" s="529"/>
      <c r="BS81" s="529"/>
      <c r="BT81" s="529"/>
      <c r="BU81" s="529"/>
      <c r="BV81" s="529"/>
      <c r="BW81" s="529"/>
      <c r="BX81" s="529"/>
      <c r="BY81" s="529"/>
    </row>
    <row r="82" spans="3:80" x14ac:dyDescent="0.3">
      <c r="C82" s="2"/>
      <c r="D82" s="2"/>
      <c r="E82" s="2" t="s">
        <v>68</v>
      </c>
      <c r="F82" s="2"/>
      <c r="G82" s="2"/>
      <c r="H82" s="2"/>
      <c r="I82" s="497">
        <f t="shared" ref="I82:N82" si="100">I9</f>
        <v>0</v>
      </c>
      <c r="J82" s="497">
        <f t="shared" si="100"/>
        <v>-16</v>
      </c>
      <c r="K82" s="497">
        <f t="shared" si="100"/>
        <v>-32</v>
      </c>
      <c r="L82" s="497">
        <f t="shared" si="100"/>
        <v>-48</v>
      </c>
      <c r="M82" s="497">
        <f t="shared" si="100"/>
        <v>-64</v>
      </c>
      <c r="N82" s="497">
        <f t="shared" si="100"/>
        <v>-80</v>
      </c>
      <c r="O82" s="37"/>
      <c r="P82" s="35"/>
      <c r="R82" s="497">
        <f t="shared" ref="R82:AW82" si="101">R9</f>
        <v>0</v>
      </c>
      <c r="S82" s="527">
        <f t="shared" si="101"/>
        <v>0</v>
      </c>
      <c r="T82" s="527">
        <f t="shared" si="101"/>
        <v>0</v>
      </c>
      <c r="U82" s="527">
        <f t="shared" si="101"/>
        <v>0</v>
      </c>
      <c r="V82" s="527">
        <f t="shared" si="101"/>
        <v>0</v>
      </c>
      <c r="W82" s="527">
        <f t="shared" si="101"/>
        <v>-8</v>
      </c>
      <c r="X82" s="527">
        <f t="shared" si="101"/>
        <v>-8</v>
      </c>
      <c r="Y82" s="527">
        <f t="shared" si="101"/>
        <v>-8</v>
      </c>
      <c r="Z82" s="527">
        <f t="shared" si="101"/>
        <v>-8</v>
      </c>
      <c r="AA82" s="527">
        <f t="shared" si="101"/>
        <v>-8</v>
      </c>
      <c r="AB82" s="527">
        <f t="shared" si="101"/>
        <v>-8</v>
      </c>
      <c r="AC82" s="527">
        <f t="shared" si="101"/>
        <v>-16</v>
      </c>
      <c r="AD82" s="527">
        <f t="shared" si="101"/>
        <v>-16</v>
      </c>
      <c r="AE82" s="527">
        <f t="shared" si="101"/>
        <v>-16</v>
      </c>
      <c r="AF82" s="527">
        <f t="shared" si="101"/>
        <v>-16</v>
      </c>
      <c r="AG82" s="527">
        <f t="shared" si="101"/>
        <v>-16</v>
      </c>
      <c r="AH82" s="527">
        <f t="shared" si="101"/>
        <v>-16</v>
      </c>
      <c r="AI82" s="527">
        <f t="shared" si="101"/>
        <v>-24</v>
      </c>
      <c r="AJ82" s="527">
        <f t="shared" si="101"/>
        <v>-24</v>
      </c>
      <c r="AK82" s="527">
        <f t="shared" si="101"/>
        <v>-24</v>
      </c>
      <c r="AL82" s="527">
        <f t="shared" si="101"/>
        <v>-24</v>
      </c>
      <c r="AM82" s="527">
        <f t="shared" si="101"/>
        <v>-24</v>
      </c>
      <c r="AN82" s="527">
        <f t="shared" si="101"/>
        <v>-24</v>
      </c>
      <c r="AO82" s="527">
        <f t="shared" si="101"/>
        <v>-32</v>
      </c>
      <c r="AP82" s="527">
        <f t="shared" si="101"/>
        <v>-32</v>
      </c>
      <c r="AQ82" s="527">
        <f t="shared" si="101"/>
        <v>-32</v>
      </c>
      <c r="AR82" s="527">
        <f t="shared" si="101"/>
        <v>-32</v>
      </c>
      <c r="AS82" s="527">
        <f t="shared" si="101"/>
        <v>-32</v>
      </c>
      <c r="AT82" s="527">
        <f t="shared" si="101"/>
        <v>-32</v>
      </c>
      <c r="AU82" s="527">
        <f t="shared" si="101"/>
        <v>-40</v>
      </c>
      <c r="AV82" s="527">
        <f t="shared" si="101"/>
        <v>-40</v>
      </c>
      <c r="AW82" s="527">
        <f t="shared" si="101"/>
        <v>-40</v>
      </c>
      <c r="AX82" s="527">
        <f t="shared" ref="AX82:BY82" si="102">AX9</f>
        <v>-40</v>
      </c>
      <c r="AY82" s="527">
        <f t="shared" si="102"/>
        <v>-40</v>
      </c>
      <c r="AZ82" s="527">
        <f t="shared" si="102"/>
        <v>-40</v>
      </c>
      <c r="BA82" s="527">
        <f t="shared" si="102"/>
        <v>-48</v>
      </c>
      <c r="BB82" s="527">
        <f t="shared" si="102"/>
        <v>-48</v>
      </c>
      <c r="BC82" s="527">
        <f t="shared" si="102"/>
        <v>-48</v>
      </c>
      <c r="BD82" s="527">
        <f t="shared" si="102"/>
        <v>-48</v>
      </c>
      <c r="BE82" s="527">
        <f t="shared" si="102"/>
        <v>-48</v>
      </c>
      <c r="BF82" s="527">
        <f t="shared" si="102"/>
        <v>-48</v>
      </c>
      <c r="BG82" s="527">
        <f t="shared" si="102"/>
        <v>-56</v>
      </c>
      <c r="BH82" s="527">
        <f t="shared" si="102"/>
        <v>-56</v>
      </c>
      <c r="BI82" s="527">
        <f t="shared" si="102"/>
        <v>-56</v>
      </c>
      <c r="BJ82" s="527">
        <f t="shared" si="102"/>
        <v>-56</v>
      </c>
      <c r="BK82" s="527">
        <f t="shared" si="102"/>
        <v>-56</v>
      </c>
      <c r="BL82" s="527">
        <f t="shared" si="102"/>
        <v>-56</v>
      </c>
      <c r="BM82" s="527">
        <f t="shared" si="102"/>
        <v>-64</v>
      </c>
      <c r="BN82" s="527">
        <f t="shared" si="102"/>
        <v>-64</v>
      </c>
      <c r="BO82" s="527">
        <f t="shared" si="102"/>
        <v>-64</v>
      </c>
      <c r="BP82" s="527">
        <f t="shared" si="102"/>
        <v>-64</v>
      </c>
      <c r="BQ82" s="527">
        <f t="shared" si="102"/>
        <v>-64</v>
      </c>
      <c r="BR82" s="527">
        <f t="shared" si="102"/>
        <v>-64</v>
      </c>
      <c r="BS82" s="527">
        <f t="shared" si="102"/>
        <v>-72</v>
      </c>
      <c r="BT82" s="527">
        <f t="shared" si="102"/>
        <v>-72</v>
      </c>
      <c r="BU82" s="527">
        <f t="shared" si="102"/>
        <v>-72</v>
      </c>
      <c r="BV82" s="527">
        <f t="shared" si="102"/>
        <v>-72</v>
      </c>
      <c r="BW82" s="527">
        <f t="shared" si="102"/>
        <v>-72</v>
      </c>
      <c r="BX82" s="527">
        <f t="shared" si="102"/>
        <v>-72</v>
      </c>
      <c r="BY82" s="527">
        <f t="shared" si="102"/>
        <v>-80</v>
      </c>
    </row>
    <row r="83" spans="3:80" x14ac:dyDescent="0.3">
      <c r="C83" s="2"/>
      <c r="D83" s="2"/>
      <c r="E83" s="2"/>
      <c r="F83" s="2"/>
      <c r="G83" s="2"/>
      <c r="H83" s="2"/>
      <c r="I83" s="37"/>
      <c r="J83" s="2"/>
      <c r="K83" s="2"/>
      <c r="L83" s="2"/>
      <c r="M83" s="2"/>
      <c r="N83" s="2"/>
      <c r="O83" s="2"/>
      <c r="P83" s="10"/>
      <c r="R83" s="2"/>
      <c r="S83" s="2"/>
      <c r="T83" s="2"/>
      <c r="U83" s="2"/>
      <c r="V83" s="2"/>
      <c r="W83" s="2"/>
      <c r="X83" s="2"/>
      <c r="Y83" s="2"/>
      <c r="Z83" s="2"/>
      <c r="AA83" s="2"/>
      <c r="AB83" s="2"/>
      <c r="AC83" s="2"/>
      <c r="AD83" s="2"/>
      <c r="AE83" s="2"/>
      <c r="AF83" s="2"/>
      <c r="AG83" s="2"/>
      <c r="AH83" s="2"/>
      <c r="AI83" s="2"/>
      <c r="AJ83" s="2"/>
      <c r="AK83" s="2"/>
      <c r="AL83" s="2"/>
      <c r="AM83" s="2"/>
      <c r="AN83" s="2"/>
      <c r="AO83" s="2"/>
      <c r="AP83" s="2"/>
      <c r="AQ83" s="2"/>
      <c r="AR83" s="2"/>
      <c r="AS83" s="2"/>
      <c r="AT83" s="2"/>
      <c r="AU83" s="2"/>
      <c r="AV83" s="2"/>
      <c r="AW83" s="2"/>
      <c r="AX83" s="2"/>
      <c r="AY83" s="2"/>
      <c r="AZ83" s="2"/>
      <c r="BA83" s="2"/>
      <c r="BB83" s="2"/>
      <c r="BC83" s="2"/>
      <c r="BD83" s="2"/>
      <c r="BE83" s="2"/>
      <c r="BF83" s="2"/>
      <c r="BG83" s="2"/>
      <c r="BH83" s="2"/>
      <c r="BI83" s="2"/>
      <c r="BJ83" s="2"/>
      <c r="BK83" s="2"/>
      <c r="BL83" s="2"/>
      <c r="BM83" s="2"/>
      <c r="BN83" s="2"/>
      <c r="BO83" s="2"/>
      <c r="BP83" s="2"/>
      <c r="BQ83" s="2"/>
      <c r="BR83" s="2"/>
      <c r="BS83" s="2"/>
      <c r="BT83" s="2"/>
      <c r="BU83" s="2"/>
      <c r="BV83" s="2"/>
      <c r="BW83" s="2"/>
      <c r="BX83" s="2"/>
      <c r="BY83" s="2"/>
    </row>
    <row r="84" spans="3:80" x14ac:dyDescent="0.3">
      <c r="C84" s="2"/>
      <c r="D84" s="2"/>
      <c r="E84" s="2" t="s">
        <v>373</v>
      </c>
      <c r="F84" s="54"/>
      <c r="G84" s="54"/>
      <c r="H84" s="54"/>
      <c r="I84" s="19">
        <f>SUM('Value Segment'!I19,'Mid-Market Segment'!I19,'Upper Mid-Market Segment'!I19,'Premium Segment'!I19)/SUM('Value Segment'!I$82,'Mid-Market Segment'!I$82,'Upper Mid-Market Segment'!I$82,'Premium Segment'!I$82)</f>
        <v>154.93832179906528</v>
      </c>
      <c r="J84" s="19">
        <f>SUM('Value Segment'!J19,'Mid-Market Segment'!J19,'Upper Mid-Market Segment'!J19,'Premium Segment'!J19)/SUM('Value Segment'!J$82,'Mid-Market Segment'!J$82,'Upper Mid-Market Segment'!J$82,'Premium Segment'!J$82)</f>
        <v>156.77431923171787</v>
      </c>
      <c r="K84" s="19">
        <f>SUM('Value Segment'!K19,'Mid-Market Segment'!K19,'Upper Mid-Market Segment'!K19,'Premium Segment'!K19)/SUM('Value Segment'!K$82,'Mid-Market Segment'!K$82,'Upper Mid-Market Segment'!K$82,'Premium Segment'!K$82)</f>
        <v>159.9090035366057</v>
      </c>
      <c r="L84" s="19">
        <f>SUM('Value Segment'!L19,'Mid-Market Segment'!L19,'Upper Mid-Market Segment'!L19,'Premium Segment'!L19)/SUM('Value Segment'!L$82,'Mid-Market Segment'!L$82,'Upper Mid-Market Segment'!L$82,'Premium Segment'!L$82)</f>
        <v>163.01696369085676</v>
      </c>
      <c r="M84" s="19">
        <f>SUM('Value Segment'!M19,'Mid-Market Segment'!M19,'Upper Mid-Market Segment'!M19,'Premium Segment'!M19)/SUM('Value Segment'!M$82,'Mid-Market Segment'!M$82,'Upper Mid-Market Segment'!M$82,'Premium Segment'!M$82)</f>
        <v>166.25126797604017</v>
      </c>
      <c r="N84" s="19">
        <f>SUM('Value Segment'!N19,'Mid-Market Segment'!N19,'Upper Mid-Market Segment'!N19,'Premium Segment'!N19)/SUM('Value Segment'!N$82,'Mid-Market Segment'!N$82,'Upper Mid-Market Segment'!N$82,'Premium Segment'!N$82)</f>
        <v>169.55509189795416</v>
      </c>
      <c r="O84" s="37"/>
      <c r="P84" s="35"/>
      <c r="R84" s="19">
        <f>SUM('Value Segment'!R19,'Mid-Market Segment'!R19,'Upper Mid-Market Segment'!R19,'Premium Segment'!R19)/SUM('Value Segment'!R$82,'Mid-Market Segment'!R$82,'Upper Mid-Market Segment'!R$82,'Premium Segment'!R$82)</f>
        <v>12.911526816588772</v>
      </c>
      <c r="S84" s="542">
        <f>SUM('Value Segment'!S19,'Mid-Market Segment'!S19,'Upper Mid-Market Segment'!S19,'Premium Segment'!S19)/SUM('Value Segment'!S$82,'Mid-Market Segment'!S$82,'Upper Mid-Market Segment'!S$82,'Premium Segment'!S$82)</f>
        <v>12.911526816588772</v>
      </c>
      <c r="T84" s="542">
        <f>SUM('Value Segment'!T19,'Mid-Market Segment'!T19,'Upper Mid-Market Segment'!T19,'Premium Segment'!T19)/SUM('Value Segment'!T$82,'Mid-Market Segment'!T$82,'Upper Mid-Market Segment'!T$82,'Premium Segment'!T$82)</f>
        <v>12.911526816588772</v>
      </c>
      <c r="U84" s="542">
        <f>SUM('Value Segment'!U19,'Mid-Market Segment'!U19,'Upper Mid-Market Segment'!U19,'Premium Segment'!U19)/SUM('Value Segment'!U$82,'Mid-Market Segment'!U$82,'Upper Mid-Market Segment'!U$82,'Premium Segment'!U$82)</f>
        <v>12.911526816588772</v>
      </c>
      <c r="V84" s="542">
        <f>SUM('Value Segment'!V19,'Mid-Market Segment'!V19,'Upper Mid-Market Segment'!V19,'Premium Segment'!V19)/SUM('Value Segment'!V$82,'Mid-Market Segment'!V$82,'Upper Mid-Market Segment'!V$82,'Premium Segment'!V$82)</f>
        <v>12.911526816588772</v>
      </c>
      <c r="W84" s="542">
        <f>SUM('Value Segment'!W19,'Mid-Market Segment'!W19,'Upper Mid-Market Segment'!W19,'Premium Segment'!W19)/SUM('Value Segment'!W$82,'Mid-Market Segment'!W$82,'Upper Mid-Market Segment'!W$82,'Premium Segment'!W$82)</f>
        <v>12.911526816588772</v>
      </c>
      <c r="X84" s="542">
        <f>SUM('Value Segment'!X19,'Mid-Market Segment'!X19,'Upper Mid-Market Segment'!X19,'Premium Segment'!X19)/SUM('Value Segment'!X$82,'Mid-Market Segment'!X$82,'Upper Mid-Market Segment'!X$82,'Premium Segment'!X$82)</f>
        <v>13.217526388697541</v>
      </c>
      <c r="Y84" s="542">
        <f>SUM('Value Segment'!Y19,'Mid-Market Segment'!Y19,'Upper Mid-Market Segment'!Y19,'Premium Segment'!Y19)/SUM('Value Segment'!Y$82,'Mid-Market Segment'!Y$82,'Upper Mid-Market Segment'!Y$82,'Premium Segment'!Y$82)</f>
        <v>13.217526388697541</v>
      </c>
      <c r="Z84" s="542">
        <f>SUM('Value Segment'!Z19,'Mid-Market Segment'!Z19,'Upper Mid-Market Segment'!Z19,'Premium Segment'!Z19)/SUM('Value Segment'!Z$82,'Mid-Market Segment'!Z$82,'Upper Mid-Market Segment'!Z$82,'Premium Segment'!Z$82)</f>
        <v>13.217526388697541</v>
      </c>
      <c r="AA84" s="542">
        <f>SUM('Value Segment'!AA19,'Mid-Market Segment'!AA19,'Upper Mid-Market Segment'!AA19,'Premium Segment'!AA19)/SUM('Value Segment'!AA$82,'Mid-Market Segment'!AA$82,'Upper Mid-Market Segment'!AA$82,'Premium Segment'!AA$82)</f>
        <v>13.217526388697541</v>
      </c>
      <c r="AB84" s="542">
        <f>SUM('Value Segment'!AB19,'Mid-Market Segment'!AB19,'Upper Mid-Market Segment'!AB19,'Premium Segment'!AB19)/SUM('Value Segment'!AB$82,'Mid-Market Segment'!AB$82,'Upper Mid-Market Segment'!AB$82,'Premium Segment'!AB$82)</f>
        <v>13.217526388697541</v>
      </c>
      <c r="AC84" s="542">
        <f>SUM('Value Segment'!AC19,'Mid-Market Segment'!AC19,'Upper Mid-Market Segment'!AC19,'Premium Segment'!AC19)/SUM('Value Segment'!AC$82,'Mid-Market Segment'!AC$82,'Upper Mid-Market Segment'!AC$82,'Premium Segment'!AC$82)</f>
        <v>13.217526388697541</v>
      </c>
      <c r="AD84" s="542">
        <f>SUM('Value Segment'!AD19,'Mid-Market Segment'!AD19,'Upper Mid-Market Segment'!AD19,'Premium Segment'!AD19)/SUM('Value Segment'!AD$82,'Mid-Market Segment'!AD$82,'Upper Mid-Market Segment'!AD$82,'Premium Segment'!AD$82)</f>
        <v>13.138631770966832</v>
      </c>
      <c r="AE84" s="542">
        <f>SUM('Value Segment'!AE19,'Mid-Market Segment'!AE19,'Upper Mid-Market Segment'!AE19,'Premium Segment'!AE19)/SUM('Value Segment'!AE$82,'Mid-Market Segment'!AE$82,'Upper Mid-Market Segment'!AE$82,'Premium Segment'!AE$82)</f>
        <v>13.138631770966832</v>
      </c>
      <c r="AF84" s="542">
        <f>SUM('Value Segment'!AF19,'Mid-Market Segment'!AF19,'Upper Mid-Market Segment'!AF19,'Premium Segment'!AF19)/SUM('Value Segment'!AF$82,'Mid-Market Segment'!AF$82,'Upper Mid-Market Segment'!AF$82,'Premium Segment'!AF$82)</f>
        <v>13.138631770966832</v>
      </c>
      <c r="AG84" s="542">
        <f>SUM('Value Segment'!AG19,'Mid-Market Segment'!AG19,'Upper Mid-Market Segment'!AG19,'Premium Segment'!AG19)/SUM('Value Segment'!AG$82,'Mid-Market Segment'!AG$82,'Upper Mid-Market Segment'!AG$82,'Premium Segment'!AG$82)</f>
        <v>13.138631770966832</v>
      </c>
      <c r="AH84" s="542">
        <f>SUM('Value Segment'!AH19,'Mid-Market Segment'!AH19,'Upper Mid-Market Segment'!AH19,'Premium Segment'!AH19)/SUM('Value Segment'!AH$82,'Mid-Market Segment'!AH$82,'Upper Mid-Market Segment'!AH$82,'Premium Segment'!AH$82)</f>
        <v>13.138631770966832</v>
      </c>
      <c r="AI84" s="542">
        <f>SUM('Value Segment'!AI19,'Mid-Market Segment'!AI19,'Upper Mid-Market Segment'!AI19,'Premium Segment'!AI19)/SUM('Value Segment'!AI$82,'Mid-Market Segment'!AI$82,'Upper Mid-Market Segment'!AI$82,'Premium Segment'!AI$82)</f>
        <v>13.138631770966832</v>
      </c>
      <c r="AJ84" s="542">
        <f>SUM('Value Segment'!AJ19,'Mid-Market Segment'!AJ19,'Upper Mid-Market Segment'!AJ19,'Premium Segment'!AJ19)/SUM('Value Segment'!AJ$82,'Mid-Market Segment'!AJ$82,'Upper Mid-Market Segment'!AJ$82,'Premium Segment'!AJ$82)</f>
        <v>13.512868818467446</v>
      </c>
      <c r="AK84" s="542">
        <f>SUM('Value Segment'!AK19,'Mid-Market Segment'!AK19,'Upper Mid-Market Segment'!AK19,'Premium Segment'!AK19)/SUM('Value Segment'!AK$82,'Mid-Market Segment'!AK$82,'Upper Mid-Market Segment'!AK$82,'Premium Segment'!AK$82)</f>
        <v>13.512868818467446</v>
      </c>
      <c r="AL84" s="542">
        <f>SUM('Value Segment'!AL19,'Mid-Market Segment'!AL19,'Upper Mid-Market Segment'!AL19,'Premium Segment'!AL19)/SUM('Value Segment'!AL$82,'Mid-Market Segment'!AL$82,'Upper Mid-Market Segment'!AL$82,'Premium Segment'!AL$82)</f>
        <v>13.512868818467446</v>
      </c>
      <c r="AM84" s="542">
        <f>SUM('Value Segment'!AM19,'Mid-Market Segment'!AM19,'Upper Mid-Market Segment'!AM19,'Premium Segment'!AM19)/SUM('Value Segment'!AM$82,'Mid-Market Segment'!AM$82,'Upper Mid-Market Segment'!AM$82,'Premium Segment'!AM$82)</f>
        <v>13.512868818467446</v>
      </c>
      <c r="AN84" s="542">
        <f>SUM('Value Segment'!AN19,'Mid-Market Segment'!AN19,'Upper Mid-Market Segment'!AN19,'Premium Segment'!AN19)/SUM('Value Segment'!AN$82,'Mid-Market Segment'!AN$82,'Upper Mid-Market Segment'!AN$82,'Premium Segment'!AN$82)</f>
        <v>13.512868818467446</v>
      </c>
      <c r="AO84" s="542">
        <f>SUM('Value Segment'!AO19,'Mid-Market Segment'!AO19,'Upper Mid-Market Segment'!AO19,'Premium Segment'!AO19)/SUM('Value Segment'!AO$82,'Mid-Market Segment'!AO$82,'Upper Mid-Market Segment'!AO$82,'Premium Segment'!AO$82)</f>
        <v>13.512868818467446</v>
      </c>
      <c r="AP84" s="542">
        <f>SUM('Value Segment'!AP19,'Mid-Market Segment'!AP19,'Upper Mid-Market Segment'!AP19,'Premium Segment'!AP19)/SUM('Value Segment'!AP$82,'Mid-Market Segment'!AP$82,'Upper Mid-Market Segment'!AP$82,'Premium Segment'!AP$82)</f>
        <v>13.363993777647996</v>
      </c>
      <c r="AQ84" s="542">
        <f>SUM('Value Segment'!AQ19,'Mid-Market Segment'!AQ19,'Upper Mid-Market Segment'!AQ19,'Premium Segment'!AQ19)/SUM('Value Segment'!AQ$82,'Mid-Market Segment'!AQ$82,'Upper Mid-Market Segment'!AQ$82,'Premium Segment'!AQ$82)</f>
        <v>13.363993777647996</v>
      </c>
      <c r="AR84" s="542">
        <f>SUM('Value Segment'!AR19,'Mid-Market Segment'!AR19,'Upper Mid-Market Segment'!AR19,'Premium Segment'!AR19)/SUM('Value Segment'!AR$82,'Mid-Market Segment'!AR$82,'Upper Mid-Market Segment'!AR$82,'Premium Segment'!AR$82)</f>
        <v>13.363993777647996</v>
      </c>
      <c r="AS84" s="542">
        <f>SUM('Value Segment'!AS19,'Mid-Market Segment'!AS19,'Upper Mid-Market Segment'!AS19,'Premium Segment'!AS19)/SUM('Value Segment'!AS$82,'Mid-Market Segment'!AS$82,'Upper Mid-Market Segment'!AS$82,'Premium Segment'!AS$82)</f>
        <v>13.363993777647996</v>
      </c>
      <c r="AT84" s="542">
        <f>SUM('Value Segment'!AT19,'Mid-Market Segment'!AT19,'Upper Mid-Market Segment'!AT19,'Premium Segment'!AT19)/SUM('Value Segment'!AT$82,'Mid-Market Segment'!AT$82,'Upper Mid-Market Segment'!AT$82,'Premium Segment'!AT$82)</f>
        <v>13.363993777647996</v>
      </c>
      <c r="AU84" s="542">
        <f>SUM('Value Segment'!AU19,'Mid-Market Segment'!AU19,'Upper Mid-Market Segment'!AU19,'Premium Segment'!AU19)/SUM('Value Segment'!AU$82,'Mid-Market Segment'!AU$82,'Upper Mid-Market Segment'!AU$82,'Premium Segment'!AU$82)</f>
        <v>13.363993777647996</v>
      </c>
      <c r="AV84" s="542">
        <f>SUM('Value Segment'!AV19,'Mid-Market Segment'!AV19,'Upper Mid-Market Segment'!AV19,'Premium Segment'!AV19)/SUM('Value Segment'!AV$82,'Mid-Market Segment'!AV$82,'Upper Mid-Market Segment'!AV$82,'Premium Segment'!AV$82)</f>
        <v>13.805500170828125</v>
      </c>
      <c r="AW84" s="542">
        <f>SUM('Value Segment'!AW19,'Mid-Market Segment'!AW19,'Upper Mid-Market Segment'!AW19,'Premium Segment'!AW19)/SUM('Value Segment'!AW$82,'Mid-Market Segment'!AW$82,'Upper Mid-Market Segment'!AW$82,'Premium Segment'!AW$82)</f>
        <v>13.805500170828125</v>
      </c>
      <c r="AX84" s="542">
        <f>SUM('Value Segment'!AX19,'Mid-Market Segment'!AX19,'Upper Mid-Market Segment'!AX19,'Premium Segment'!AX19)/SUM('Value Segment'!AX$82,'Mid-Market Segment'!AX$82,'Upper Mid-Market Segment'!AX$82,'Premium Segment'!AX$82)</f>
        <v>13.805500170828125</v>
      </c>
      <c r="AY84" s="542">
        <f>SUM('Value Segment'!AY19,'Mid-Market Segment'!AY19,'Upper Mid-Market Segment'!AY19,'Premium Segment'!AY19)/SUM('Value Segment'!AY$82,'Mid-Market Segment'!AY$82,'Upper Mid-Market Segment'!AY$82,'Premium Segment'!AY$82)</f>
        <v>13.805500170828125</v>
      </c>
      <c r="AZ84" s="542">
        <f>SUM('Value Segment'!AZ19,'Mid-Market Segment'!AZ19,'Upper Mid-Market Segment'!AZ19,'Premium Segment'!AZ19)/SUM('Value Segment'!AZ$82,'Mid-Market Segment'!AZ$82,'Upper Mid-Market Segment'!AZ$82,'Premium Segment'!AZ$82)</f>
        <v>13.805500170828125</v>
      </c>
      <c r="BA84" s="542">
        <f>SUM('Value Segment'!BA19,'Mid-Market Segment'!BA19,'Upper Mid-Market Segment'!BA19,'Premium Segment'!BA19)/SUM('Value Segment'!BA$82,'Mid-Market Segment'!BA$82,'Upper Mid-Market Segment'!BA$82,'Premium Segment'!BA$82)</f>
        <v>13.805500170828125</v>
      </c>
      <c r="BB84" s="542">
        <f>SUM('Value Segment'!BB19,'Mid-Market Segment'!BB19,'Upper Mid-Market Segment'!BB19,'Premium Segment'!BB19)/SUM('Value Segment'!BB$82,'Mid-Market Segment'!BB$82,'Upper Mid-Market Segment'!BB$82,'Premium Segment'!BB$82)</f>
        <v>13.600154584232119</v>
      </c>
      <c r="BC84" s="542">
        <f>SUM('Value Segment'!BC19,'Mid-Market Segment'!BC19,'Upper Mid-Market Segment'!BC19,'Premium Segment'!BC19)/SUM('Value Segment'!BC$82,'Mid-Market Segment'!BC$82,'Upper Mid-Market Segment'!BC$82,'Premium Segment'!BC$82)</f>
        <v>13.600154584232119</v>
      </c>
      <c r="BD84" s="542">
        <f>SUM('Value Segment'!BD19,'Mid-Market Segment'!BD19,'Upper Mid-Market Segment'!BD19,'Premium Segment'!BD19)/SUM('Value Segment'!BD$82,'Mid-Market Segment'!BD$82,'Upper Mid-Market Segment'!BD$82,'Premium Segment'!BD$82)</f>
        <v>13.600154584232119</v>
      </c>
      <c r="BE84" s="542">
        <f>SUM('Value Segment'!BE19,'Mid-Market Segment'!BE19,'Upper Mid-Market Segment'!BE19,'Premium Segment'!BE19)/SUM('Value Segment'!BE$82,'Mid-Market Segment'!BE$82,'Upper Mid-Market Segment'!BE$82,'Premium Segment'!BE$82)</f>
        <v>13.600154584232119</v>
      </c>
      <c r="BF84" s="542">
        <f>SUM('Value Segment'!BF19,'Mid-Market Segment'!BF19,'Upper Mid-Market Segment'!BF19,'Premium Segment'!BF19)/SUM('Value Segment'!BF$82,'Mid-Market Segment'!BF$82,'Upper Mid-Market Segment'!BF$82,'Premium Segment'!BF$82)</f>
        <v>13.600154584232119</v>
      </c>
      <c r="BG84" s="542">
        <f>SUM('Value Segment'!BG19,'Mid-Market Segment'!BG19,'Upper Mid-Market Segment'!BG19,'Premium Segment'!BG19)/SUM('Value Segment'!BG$82,'Mid-Market Segment'!BG$82,'Upper Mid-Market Segment'!BG$82,'Premium Segment'!BG$82)</f>
        <v>13.600154584232119</v>
      </c>
      <c r="BH84" s="542">
        <f>SUM('Value Segment'!BH19,'Mid-Market Segment'!BH19,'Upper Mid-Market Segment'!BH19,'Premium Segment'!BH19)/SUM('Value Segment'!BH$82,'Mid-Market Segment'!BH$82,'Upper Mid-Market Segment'!BH$82,'Premium Segment'!BH$82)</f>
        <v>14.108390078441241</v>
      </c>
      <c r="BI84" s="542">
        <f>SUM('Value Segment'!BI19,'Mid-Market Segment'!BI19,'Upper Mid-Market Segment'!BI19,'Premium Segment'!BI19)/SUM('Value Segment'!BI$82,'Mid-Market Segment'!BI$82,'Upper Mid-Market Segment'!BI$82,'Premium Segment'!BI$82)</f>
        <v>14.108390078441241</v>
      </c>
      <c r="BJ84" s="542">
        <f>SUM('Value Segment'!BJ19,'Mid-Market Segment'!BJ19,'Upper Mid-Market Segment'!BJ19,'Premium Segment'!BJ19)/SUM('Value Segment'!BJ$82,'Mid-Market Segment'!BJ$82,'Upper Mid-Market Segment'!BJ$82,'Premium Segment'!BJ$82)</f>
        <v>14.108390078441241</v>
      </c>
      <c r="BK84" s="542">
        <f>SUM('Value Segment'!BK19,'Mid-Market Segment'!BK19,'Upper Mid-Market Segment'!BK19,'Premium Segment'!BK19)/SUM('Value Segment'!BK$82,'Mid-Market Segment'!BK$82,'Upper Mid-Market Segment'!BK$82,'Premium Segment'!BK$82)</f>
        <v>14.108390078441241</v>
      </c>
      <c r="BL84" s="542">
        <f>SUM('Value Segment'!BL19,'Mid-Market Segment'!BL19,'Upper Mid-Market Segment'!BL19,'Premium Segment'!BL19)/SUM('Value Segment'!BL$82,'Mid-Market Segment'!BL$82,'Upper Mid-Market Segment'!BL$82,'Premium Segment'!BL$82)</f>
        <v>14.108390078441241</v>
      </c>
      <c r="BM84" s="542">
        <f>SUM('Value Segment'!BM19,'Mid-Market Segment'!BM19,'Upper Mid-Market Segment'!BM19,'Premium Segment'!BM19)/SUM('Value Segment'!BM$82,'Mid-Market Segment'!BM$82,'Upper Mid-Market Segment'!BM$82,'Premium Segment'!BM$82)</f>
        <v>14.108390078441241</v>
      </c>
      <c r="BN84" s="542">
        <f>SUM('Value Segment'!BN19,'Mid-Market Segment'!BN19,'Upper Mid-Market Segment'!BN19,'Premium Segment'!BN19)/SUM('Value Segment'!BN$82,'Mid-Market Segment'!BN$82,'Upper Mid-Market Segment'!BN$82,'Premium Segment'!BN$82)</f>
        <v>13.8427468801272</v>
      </c>
      <c r="BO84" s="542">
        <f>SUM('Value Segment'!BO19,'Mid-Market Segment'!BO19,'Upper Mid-Market Segment'!BO19,'Premium Segment'!BO19)/SUM('Value Segment'!BO$82,'Mid-Market Segment'!BO$82,'Upper Mid-Market Segment'!BO$82,'Premium Segment'!BO$82)</f>
        <v>13.8427468801272</v>
      </c>
      <c r="BP84" s="542">
        <f>SUM('Value Segment'!BP19,'Mid-Market Segment'!BP19,'Upper Mid-Market Segment'!BP19,'Premium Segment'!BP19)/SUM('Value Segment'!BP$82,'Mid-Market Segment'!BP$82,'Upper Mid-Market Segment'!BP$82,'Premium Segment'!BP$82)</f>
        <v>13.8427468801272</v>
      </c>
      <c r="BQ84" s="542">
        <f>SUM('Value Segment'!BQ19,'Mid-Market Segment'!BQ19,'Upper Mid-Market Segment'!BQ19,'Premium Segment'!BQ19)/SUM('Value Segment'!BQ$82,'Mid-Market Segment'!BQ$82,'Upper Mid-Market Segment'!BQ$82,'Premium Segment'!BQ$82)</f>
        <v>13.8427468801272</v>
      </c>
      <c r="BR84" s="542">
        <f>SUM('Value Segment'!BR19,'Mid-Market Segment'!BR19,'Upper Mid-Market Segment'!BR19,'Premium Segment'!BR19)/SUM('Value Segment'!BR$82,'Mid-Market Segment'!BR$82,'Upper Mid-Market Segment'!BR$82,'Premium Segment'!BR$82)</f>
        <v>13.8427468801272</v>
      </c>
      <c r="BS84" s="542">
        <f>SUM('Value Segment'!BS19,'Mid-Market Segment'!BS19,'Upper Mid-Market Segment'!BS19,'Premium Segment'!BS19)/SUM('Value Segment'!BS$82,'Mid-Market Segment'!BS$82,'Upper Mid-Market Segment'!BS$82,'Premium Segment'!BS$82)</f>
        <v>13.8427468801272</v>
      </c>
      <c r="BT84" s="542">
        <f>SUM('Value Segment'!BT19,'Mid-Market Segment'!BT19,'Upper Mid-Market Segment'!BT19,'Premium Segment'!BT19)/SUM('Value Segment'!BT$82,'Mid-Market Segment'!BT$82,'Upper Mid-Market Segment'!BT$82,'Premium Segment'!BT$82)</f>
        <v>14.416435102865163</v>
      </c>
      <c r="BU84" s="542">
        <f>SUM('Value Segment'!BU19,'Mid-Market Segment'!BU19,'Upper Mid-Market Segment'!BU19,'Premium Segment'!BU19)/SUM('Value Segment'!BU$82,'Mid-Market Segment'!BU$82,'Upper Mid-Market Segment'!BU$82,'Premium Segment'!BU$82)</f>
        <v>14.416435102865163</v>
      </c>
      <c r="BV84" s="542">
        <f>SUM('Value Segment'!BV19,'Mid-Market Segment'!BV19,'Upper Mid-Market Segment'!BV19,'Premium Segment'!BV19)/SUM('Value Segment'!BV$82,'Mid-Market Segment'!BV$82,'Upper Mid-Market Segment'!BV$82,'Premium Segment'!BV$82)</f>
        <v>14.416435102865163</v>
      </c>
      <c r="BW84" s="542">
        <f>SUM('Value Segment'!BW19,'Mid-Market Segment'!BW19,'Upper Mid-Market Segment'!BW19,'Premium Segment'!BW19)/SUM('Value Segment'!BW$82,'Mid-Market Segment'!BW$82,'Upper Mid-Market Segment'!BW$82,'Premium Segment'!BW$82)</f>
        <v>14.416435102865163</v>
      </c>
      <c r="BX84" s="542">
        <f>SUM('Value Segment'!BX19,'Mid-Market Segment'!BX19,'Upper Mid-Market Segment'!BX19,'Premium Segment'!BX19)/SUM('Value Segment'!BX$82,'Mid-Market Segment'!BX$82,'Upper Mid-Market Segment'!BX$82,'Premium Segment'!BX$82)</f>
        <v>14.416435102865163</v>
      </c>
      <c r="BY84" s="542">
        <f>SUM('Value Segment'!BY19,'Mid-Market Segment'!BY19,'Upper Mid-Market Segment'!BY19,'Premium Segment'!BY19)/SUM('Value Segment'!BY$82,'Mid-Market Segment'!BY$82,'Upper Mid-Market Segment'!BY$82,'Premium Segment'!BY$82)</f>
        <v>14.416435102865163</v>
      </c>
    </row>
    <row r="85" spans="3:80" x14ac:dyDescent="0.3">
      <c r="C85" s="2"/>
      <c r="D85" s="2"/>
      <c r="E85" s="2"/>
      <c r="F85" s="37"/>
      <c r="G85" s="37"/>
      <c r="H85" s="37"/>
      <c r="I85" s="37"/>
      <c r="J85" s="37"/>
      <c r="K85" s="37"/>
      <c r="L85" s="37"/>
      <c r="M85" s="37"/>
      <c r="N85" s="37"/>
      <c r="O85" s="37"/>
      <c r="P85" s="35"/>
      <c r="R85" s="37"/>
      <c r="S85" s="37"/>
      <c r="T85" s="37"/>
      <c r="U85" s="37"/>
      <c r="V85" s="37"/>
      <c r="W85" s="37"/>
      <c r="X85" s="37"/>
      <c r="Y85" s="37"/>
      <c r="Z85" s="37"/>
      <c r="AA85" s="37"/>
      <c r="AB85" s="37"/>
      <c r="AC85" s="37"/>
      <c r="AD85" s="37"/>
      <c r="AE85" s="37"/>
      <c r="AF85" s="37"/>
      <c r="AG85" s="37"/>
      <c r="AH85" s="37"/>
      <c r="AI85" s="37"/>
      <c r="AJ85" s="37"/>
      <c r="AK85" s="37"/>
      <c r="AL85" s="37"/>
      <c r="AM85" s="37"/>
      <c r="AN85" s="37"/>
      <c r="AO85" s="37"/>
      <c r="AP85" s="37"/>
      <c r="AQ85" s="37"/>
      <c r="AR85" s="37"/>
      <c r="AS85" s="37"/>
      <c r="AT85" s="37"/>
      <c r="AU85" s="37"/>
      <c r="AV85" s="37"/>
      <c r="AW85" s="37"/>
      <c r="AX85" s="37"/>
      <c r="AY85" s="37"/>
      <c r="AZ85" s="37"/>
      <c r="BA85" s="37"/>
      <c r="BB85" s="37"/>
      <c r="BC85" s="37"/>
      <c r="BD85" s="37"/>
      <c r="BE85" s="37"/>
      <c r="BF85" s="37"/>
      <c r="BG85" s="37"/>
      <c r="BH85" s="37"/>
      <c r="BI85" s="37"/>
      <c r="BJ85" s="37"/>
      <c r="BK85" s="37"/>
      <c r="BL85" s="37"/>
      <c r="BM85" s="37"/>
      <c r="BN85" s="37"/>
      <c r="BO85" s="37"/>
      <c r="BP85" s="37"/>
      <c r="BQ85" s="37"/>
      <c r="BR85" s="37"/>
      <c r="BS85" s="37"/>
      <c r="BT85" s="37"/>
      <c r="BU85" s="37"/>
      <c r="BV85" s="37"/>
      <c r="BW85" s="37"/>
      <c r="BX85" s="37"/>
      <c r="BY85" s="37"/>
    </row>
    <row r="86" spans="3:80" x14ac:dyDescent="0.3">
      <c r="C86" s="2"/>
      <c r="D86" s="2"/>
      <c r="E86" s="17" t="s">
        <v>22</v>
      </c>
      <c r="F86" s="37"/>
      <c r="G86" s="37"/>
      <c r="H86" s="37"/>
      <c r="I86" s="37"/>
      <c r="J86" s="37"/>
      <c r="K86" s="37"/>
      <c r="L86" s="37"/>
      <c r="M86" s="37"/>
      <c r="N86" s="37"/>
      <c r="O86" s="37"/>
      <c r="P86" s="35"/>
      <c r="R86" s="37"/>
      <c r="S86" s="37"/>
      <c r="T86" s="37"/>
      <c r="U86" s="37"/>
      <c r="V86" s="37"/>
      <c r="W86" s="37"/>
      <c r="X86" s="37"/>
      <c r="Y86" s="37"/>
      <c r="Z86" s="37"/>
      <c r="AA86" s="37"/>
      <c r="AB86" s="37"/>
      <c r="AC86" s="37"/>
      <c r="AD86" s="37"/>
      <c r="AE86" s="37"/>
      <c r="AF86" s="37"/>
      <c r="AG86" s="37"/>
      <c r="AH86" s="37"/>
      <c r="AI86" s="37"/>
      <c r="AJ86" s="37"/>
      <c r="AK86" s="37"/>
      <c r="AL86" s="37"/>
      <c r="AM86" s="37"/>
      <c r="AN86" s="37"/>
      <c r="AO86" s="37"/>
      <c r="AP86" s="37"/>
      <c r="AQ86" s="37"/>
      <c r="AR86" s="37"/>
      <c r="AS86" s="37"/>
      <c r="AT86" s="37"/>
      <c r="AU86" s="37"/>
      <c r="AV86" s="37"/>
      <c r="AW86" s="37"/>
      <c r="AX86" s="37"/>
      <c r="AY86" s="37"/>
      <c r="AZ86" s="37"/>
      <c r="BA86" s="37"/>
      <c r="BB86" s="37"/>
      <c r="BC86" s="37"/>
      <c r="BD86" s="37"/>
      <c r="BE86" s="37"/>
      <c r="BF86" s="37"/>
      <c r="BG86" s="37"/>
      <c r="BH86" s="37"/>
      <c r="BI86" s="37"/>
      <c r="BJ86" s="37"/>
      <c r="BK86" s="37"/>
      <c r="BL86" s="37"/>
      <c r="BM86" s="37"/>
      <c r="BN86" s="37"/>
      <c r="BO86" s="37"/>
      <c r="BP86" s="37"/>
      <c r="BQ86" s="37"/>
      <c r="BR86" s="37"/>
      <c r="BS86" s="37"/>
      <c r="BT86" s="37"/>
      <c r="BU86" s="37"/>
      <c r="BV86" s="37"/>
      <c r="BW86" s="37"/>
      <c r="BX86" s="37"/>
      <c r="BY86" s="37"/>
    </row>
    <row r="87" spans="3:80" x14ac:dyDescent="0.3">
      <c r="C87" s="2"/>
      <c r="D87" s="2"/>
      <c r="E87" s="4" t="s">
        <v>388</v>
      </c>
      <c r="F87" s="5"/>
      <c r="G87" s="5"/>
      <c r="H87" s="5"/>
      <c r="I87" s="507">
        <f>SUM('Value Segment'!I22,'Mid-Market Segment'!I22,'Upper Mid-Market Segment'!I22,'Premium Segment'!I22)/SUM('Value Segment'!I$82,'Mid-Market Segment'!I$82,'Upper Mid-Market Segment'!I$82,'Premium Segment'!I$82)</f>
        <v>120466.04658092256</v>
      </c>
      <c r="J87" s="507">
        <f>SUM('Value Segment'!J22,'Mid-Market Segment'!J22,'Upper Mid-Market Segment'!J22,'Premium Segment'!J22)/SUM('Value Segment'!J$82,'Mid-Market Segment'!J$82,'Upper Mid-Market Segment'!J$82,'Premium Segment'!J$82)</f>
        <v>126464.22614641706</v>
      </c>
      <c r="K87" s="507">
        <f>SUM('Value Segment'!K22,'Mid-Market Segment'!K22,'Upper Mid-Market Segment'!K22,'Premium Segment'!K22)/SUM('Value Segment'!K$82,'Mid-Market Segment'!K$82,'Upper Mid-Market Segment'!K$82,'Premium Segment'!K$82)</f>
        <v>133699.40842647108</v>
      </c>
      <c r="L87" s="507">
        <f>SUM('Value Segment'!L22,'Mid-Market Segment'!L22,'Upper Mid-Market Segment'!L22,'Premium Segment'!L22)/SUM('Value Segment'!L$82,'Mid-Market Segment'!L$82,'Upper Mid-Market Segment'!L$82,'Premium Segment'!L$82)</f>
        <v>141103.25566930001</v>
      </c>
      <c r="M87" s="507">
        <f>SUM('Value Segment'!M22,'Mid-Market Segment'!M22,'Upper Mid-Market Segment'!M22,'Premium Segment'!M22)/SUM('Value Segment'!M$82,'Mid-Market Segment'!M$82,'Upper Mid-Market Segment'!M$82,'Premium Segment'!M$82)</f>
        <v>148778.92750173644</v>
      </c>
      <c r="N87" s="507">
        <f>SUM('Value Segment'!N22,'Mid-Market Segment'!N22,'Upper Mid-Market Segment'!N22,'Premium Segment'!N22)/SUM('Value Segment'!N$82,'Mid-Market Segment'!N$82,'Upper Mid-Market Segment'!N$82,'Premium Segment'!N$82)</f>
        <v>156879.83634541577</v>
      </c>
      <c r="O87" s="57"/>
      <c r="P87" s="55">
        <f>IFERROR(((N87/I87)^(1/5))-1,0)</f>
        <v>5.4242436493643797E-2</v>
      </c>
      <c r="R87" s="507">
        <f>SUM('Value Segment'!R22,'Mid-Market Segment'!R22,'Upper Mid-Market Segment'!R22,'Premium Segment'!R22)/SUM('Value Segment'!R$82,'Mid-Market Segment'!R$82,'Upper Mid-Market Segment'!R$82,'Premium Segment'!R$82)</f>
        <v>10415.231578095669</v>
      </c>
      <c r="S87" s="661">
        <f>SUM('Value Segment'!S22,'Mid-Market Segment'!S22,'Upper Mid-Market Segment'!S22,'Premium Segment'!S22)/SUM('Value Segment'!S$82,'Mid-Market Segment'!S$82,'Upper Mid-Market Segment'!S$82,'Premium Segment'!S$82)</f>
        <v>10415.231578095669</v>
      </c>
      <c r="T87" s="661">
        <f>SUM('Value Segment'!T22,'Mid-Market Segment'!T22,'Upper Mid-Market Segment'!T22,'Premium Segment'!T22)/SUM('Value Segment'!T$82,'Mid-Market Segment'!T$82,'Upper Mid-Market Segment'!T$82,'Premium Segment'!T$82)</f>
        <v>10415.231578095669</v>
      </c>
      <c r="U87" s="661">
        <f>SUM('Value Segment'!U22,'Mid-Market Segment'!U22,'Upper Mid-Market Segment'!U22,'Premium Segment'!U22)/SUM('Value Segment'!U$82,'Mid-Market Segment'!U$82,'Upper Mid-Market Segment'!U$82,'Premium Segment'!U$82)</f>
        <v>10415.231578095669</v>
      </c>
      <c r="V87" s="661">
        <f>SUM('Value Segment'!V22,'Mid-Market Segment'!V22,'Upper Mid-Market Segment'!V22,'Premium Segment'!V22)/SUM('Value Segment'!V$82,'Mid-Market Segment'!V$82,'Upper Mid-Market Segment'!V$82,'Premium Segment'!V$82)</f>
        <v>10415.231578095669</v>
      </c>
      <c r="W87" s="661">
        <f>SUM('Value Segment'!W22,'Mid-Market Segment'!W22,'Upper Mid-Market Segment'!W22,'Premium Segment'!W22)/SUM('Value Segment'!W$82,'Mid-Market Segment'!W$82,'Upper Mid-Market Segment'!W$82,'Premium Segment'!W$82)</f>
        <v>10415.231578095669</v>
      </c>
      <c r="X87" s="661">
        <f>SUM('Value Segment'!X22,'Mid-Market Segment'!X22,'Upper Mid-Market Segment'!X22,'Premium Segment'!X22)/SUM('Value Segment'!X$82,'Mid-Market Segment'!X$82,'Upper Mid-Market Segment'!X$82,'Premium Segment'!X$82)</f>
        <v>10662.139446307176</v>
      </c>
      <c r="Y87" s="661">
        <f>SUM('Value Segment'!Y22,'Mid-Market Segment'!Y22,'Upper Mid-Market Segment'!Y22,'Premium Segment'!Y22)/SUM('Value Segment'!Y$82,'Mid-Market Segment'!Y$82,'Upper Mid-Market Segment'!Y$82,'Premium Segment'!Y$82)</f>
        <v>10662.139446307176</v>
      </c>
      <c r="Z87" s="661">
        <f>SUM('Value Segment'!Z22,'Mid-Market Segment'!Z22,'Upper Mid-Market Segment'!Z22,'Premium Segment'!Z22)/SUM('Value Segment'!Z$82,'Mid-Market Segment'!Z$82,'Upper Mid-Market Segment'!Z$82,'Premium Segment'!Z$82)</f>
        <v>10662.139446307176</v>
      </c>
      <c r="AA87" s="661">
        <f>SUM('Value Segment'!AA22,'Mid-Market Segment'!AA22,'Upper Mid-Market Segment'!AA22,'Premium Segment'!AA22)/SUM('Value Segment'!AA$82,'Mid-Market Segment'!AA$82,'Upper Mid-Market Segment'!AA$82,'Premium Segment'!AA$82)</f>
        <v>10662.139446307176</v>
      </c>
      <c r="AB87" s="661">
        <f>SUM('Value Segment'!AB22,'Mid-Market Segment'!AB22,'Upper Mid-Market Segment'!AB22,'Premium Segment'!AB22)/SUM('Value Segment'!AB$82,'Mid-Market Segment'!AB$82,'Upper Mid-Market Segment'!AB$82,'Premium Segment'!AB$82)</f>
        <v>10662.139446307176</v>
      </c>
      <c r="AC87" s="661">
        <f>SUM('Value Segment'!AC22,'Mid-Market Segment'!AC22,'Upper Mid-Market Segment'!AC22,'Premium Segment'!AC22)/SUM('Value Segment'!AC$82,'Mid-Market Segment'!AC$82,'Upper Mid-Market Segment'!AC$82,'Premium Segment'!AC$82)</f>
        <v>10662.139446307176</v>
      </c>
      <c r="AD87" s="661">
        <f>SUM('Value Segment'!AD22,'Mid-Market Segment'!AD22,'Upper Mid-Market Segment'!AD22,'Premium Segment'!AD22)/SUM('Value Segment'!AD$82,'Mid-Market Segment'!AD$82,'Upper Mid-Market Segment'!AD$82,'Premium Segment'!AD$82)</f>
        <v>10985.109591019542</v>
      </c>
      <c r="AE87" s="661">
        <f>SUM('Value Segment'!AE22,'Mid-Market Segment'!AE22,'Upper Mid-Market Segment'!AE22,'Premium Segment'!AE22)/SUM('Value Segment'!AE$82,'Mid-Market Segment'!AE$82,'Upper Mid-Market Segment'!AE$82,'Premium Segment'!AE$82)</f>
        <v>10985.109591019542</v>
      </c>
      <c r="AF87" s="661">
        <f>SUM('Value Segment'!AF22,'Mid-Market Segment'!AF22,'Upper Mid-Market Segment'!AF22,'Premium Segment'!AF22)/SUM('Value Segment'!AF$82,'Mid-Market Segment'!AF$82,'Upper Mid-Market Segment'!AF$82,'Premium Segment'!AF$82)</f>
        <v>10985.109591019542</v>
      </c>
      <c r="AG87" s="661">
        <f>SUM('Value Segment'!AG22,'Mid-Market Segment'!AG22,'Upper Mid-Market Segment'!AG22,'Premium Segment'!AG22)/SUM('Value Segment'!AG$82,'Mid-Market Segment'!AG$82,'Upper Mid-Market Segment'!AG$82,'Premium Segment'!AG$82)</f>
        <v>10985.109591019542</v>
      </c>
      <c r="AH87" s="661">
        <f>SUM('Value Segment'!AH22,'Mid-Market Segment'!AH22,'Upper Mid-Market Segment'!AH22,'Premium Segment'!AH22)/SUM('Value Segment'!AH$82,'Mid-Market Segment'!AH$82,'Upper Mid-Market Segment'!AH$82,'Premium Segment'!AH$82)</f>
        <v>10985.109591019542</v>
      </c>
      <c r="AI87" s="661">
        <f>SUM('Value Segment'!AI22,'Mid-Market Segment'!AI22,'Upper Mid-Market Segment'!AI22,'Premium Segment'!AI22)/SUM('Value Segment'!AI$82,'Mid-Market Segment'!AI$82,'Upper Mid-Market Segment'!AI$82,'Premium Segment'!AI$82)</f>
        <v>10985.109591019542</v>
      </c>
      <c r="AJ87" s="661">
        <f>SUM('Value Segment'!AJ22,'Mid-Market Segment'!AJ22,'Upper Mid-Market Segment'!AJ22,'Premium Segment'!AJ22)/SUM('Value Segment'!AJ$82,'Mid-Market Segment'!AJ$82,'Upper Mid-Market Segment'!AJ$82,'Premium Segment'!AJ$82)</f>
        <v>11298.125146725635</v>
      </c>
      <c r="AK87" s="661">
        <f>SUM('Value Segment'!AK22,'Mid-Market Segment'!AK22,'Upper Mid-Market Segment'!AK22,'Premium Segment'!AK22)/SUM('Value Segment'!AK$82,'Mid-Market Segment'!AK$82,'Upper Mid-Market Segment'!AK$82,'Premium Segment'!AK$82)</f>
        <v>11298.125146725635</v>
      </c>
      <c r="AL87" s="661">
        <f>SUM('Value Segment'!AL22,'Mid-Market Segment'!AL22,'Upper Mid-Market Segment'!AL22,'Premium Segment'!AL22)/SUM('Value Segment'!AL$82,'Mid-Market Segment'!AL$82,'Upper Mid-Market Segment'!AL$82,'Premium Segment'!AL$82)</f>
        <v>11298.125146725635</v>
      </c>
      <c r="AM87" s="661">
        <f>SUM('Value Segment'!AM22,'Mid-Market Segment'!AM22,'Upper Mid-Market Segment'!AM22,'Premium Segment'!AM22)/SUM('Value Segment'!AM$82,'Mid-Market Segment'!AM$82,'Upper Mid-Market Segment'!AM$82,'Premium Segment'!AM$82)</f>
        <v>11298.125146725635</v>
      </c>
      <c r="AN87" s="661">
        <f>SUM('Value Segment'!AN22,'Mid-Market Segment'!AN22,'Upper Mid-Market Segment'!AN22,'Premium Segment'!AN22)/SUM('Value Segment'!AN$82,'Mid-Market Segment'!AN$82,'Upper Mid-Market Segment'!AN$82,'Premium Segment'!AN$82)</f>
        <v>11298.125146725635</v>
      </c>
      <c r="AO87" s="661">
        <f>SUM('Value Segment'!AO22,'Mid-Market Segment'!AO22,'Upper Mid-Market Segment'!AO22,'Premium Segment'!AO22)/SUM('Value Segment'!AO$82,'Mid-Market Segment'!AO$82,'Upper Mid-Market Segment'!AO$82,'Premium Segment'!AO$82)</f>
        <v>11298.125146725635</v>
      </c>
      <c r="AP87" s="661">
        <f>SUM('Value Segment'!AP22,'Mid-Market Segment'!AP22,'Upper Mid-Market Segment'!AP22,'Premium Segment'!AP22)/SUM('Value Segment'!AP$82,'Mid-Market Segment'!AP$82,'Upper Mid-Market Segment'!AP$82,'Premium Segment'!AP$82)</f>
        <v>11567.442548587287</v>
      </c>
      <c r="AQ87" s="661">
        <f>SUM('Value Segment'!AQ22,'Mid-Market Segment'!AQ22,'Upper Mid-Market Segment'!AQ22,'Premium Segment'!AQ22)/SUM('Value Segment'!AQ$82,'Mid-Market Segment'!AQ$82,'Upper Mid-Market Segment'!AQ$82,'Premium Segment'!AQ$82)</f>
        <v>11567.442548587287</v>
      </c>
      <c r="AR87" s="661">
        <f>SUM('Value Segment'!AR22,'Mid-Market Segment'!AR22,'Upper Mid-Market Segment'!AR22,'Premium Segment'!AR22)/SUM('Value Segment'!AR$82,'Mid-Market Segment'!AR$82,'Upper Mid-Market Segment'!AR$82,'Premium Segment'!AR$82)</f>
        <v>11567.442548587287</v>
      </c>
      <c r="AS87" s="661">
        <f>SUM('Value Segment'!AS22,'Mid-Market Segment'!AS22,'Upper Mid-Market Segment'!AS22,'Premium Segment'!AS22)/SUM('Value Segment'!AS$82,'Mid-Market Segment'!AS$82,'Upper Mid-Market Segment'!AS$82,'Premium Segment'!AS$82)</f>
        <v>11567.442548587287</v>
      </c>
      <c r="AT87" s="661">
        <f>SUM('Value Segment'!AT22,'Mid-Market Segment'!AT22,'Upper Mid-Market Segment'!AT22,'Premium Segment'!AT22)/SUM('Value Segment'!AT$82,'Mid-Market Segment'!AT$82,'Upper Mid-Market Segment'!AT$82,'Premium Segment'!AT$82)</f>
        <v>11567.442548587287</v>
      </c>
      <c r="AU87" s="661">
        <f>SUM('Value Segment'!AU22,'Mid-Market Segment'!AU22,'Upper Mid-Market Segment'!AU22,'Premium Segment'!AU22)/SUM('Value Segment'!AU$82,'Mid-Market Segment'!AU$82,'Upper Mid-Market Segment'!AU$82,'Premium Segment'!AU$82)</f>
        <v>11567.442548587287</v>
      </c>
      <c r="AV87" s="661">
        <f>SUM('Value Segment'!AV22,'Mid-Market Segment'!AV22,'Upper Mid-Market Segment'!AV22,'Premium Segment'!AV22)/SUM('Value Segment'!AV$82,'Mid-Market Segment'!AV$82,'Upper Mid-Market Segment'!AV$82,'Premium Segment'!AV$82)</f>
        <v>11949.766729629375</v>
      </c>
      <c r="AW87" s="661">
        <f>SUM('Value Segment'!AW22,'Mid-Market Segment'!AW22,'Upper Mid-Market Segment'!AW22,'Premium Segment'!AW22)/SUM('Value Segment'!AW$82,'Mid-Market Segment'!AW$82,'Upper Mid-Market Segment'!AW$82,'Premium Segment'!AW$82)</f>
        <v>11949.766729629375</v>
      </c>
      <c r="AX87" s="661">
        <f>SUM('Value Segment'!AX22,'Mid-Market Segment'!AX22,'Upper Mid-Market Segment'!AX22,'Premium Segment'!AX22)/SUM('Value Segment'!AX$82,'Mid-Market Segment'!AX$82,'Upper Mid-Market Segment'!AX$82,'Premium Segment'!AX$82)</f>
        <v>11949.766729629375</v>
      </c>
      <c r="AY87" s="661">
        <f>SUM('Value Segment'!AY22,'Mid-Market Segment'!AY22,'Upper Mid-Market Segment'!AY22,'Premium Segment'!AY22)/SUM('Value Segment'!AY$82,'Mid-Market Segment'!AY$82,'Upper Mid-Market Segment'!AY$82,'Premium Segment'!AY$82)</f>
        <v>11949.766729629375</v>
      </c>
      <c r="AZ87" s="661">
        <f>SUM('Value Segment'!AZ22,'Mid-Market Segment'!AZ22,'Upper Mid-Market Segment'!AZ22,'Premium Segment'!AZ22)/SUM('Value Segment'!AZ$82,'Mid-Market Segment'!AZ$82,'Upper Mid-Market Segment'!AZ$82,'Premium Segment'!AZ$82)</f>
        <v>11949.766729629375</v>
      </c>
      <c r="BA87" s="661">
        <f>SUM('Value Segment'!BA22,'Mid-Market Segment'!BA22,'Upper Mid-Market Segment'!BA22,'Premium Segment'!BA22)/SUM('Value Segment'!BA$82,'Mid-Market Segment'!BA$82,'Upper Mid-Market Segment'!BA$82,'Premium Segment'!BA$82)</f>
        <v>11949.766729629375</v>
      </c>
      <c r="BB87" s="661">
        <f>SUM('Value Segment'!BB22,'Mid-Market Segment'!BB22,'Upper Mid-Market Segment'!BB22,'Premium Segment'!BB22)/SUM('Value Segment'!BB$82,'Mid-Market Segment'!BB$82,'Upper Mid-Market Segment'!BB$82,'Premium Segment'!BB$82)</f>
        <v>12170.722899275743</v>
      </c>
      <c r="BC87" s="661">
        <f>SUM('Value Segment'!BC22,'Mid-Market Segment'!BC22,'Upper Mid-Market Segment'!BC22,'Premium Segment'!BC22)/SUM('Value Segment'!BC$82,'Mid-Market Segment'!BC$82,'Upper Mid-Market Segment'!BC$82,'Premium Segment'!BC$82)</f>
        <v>12170.722899275743</v>
      </c>
      <c r="BD87" s="661">
        <f>SUM('Value Segment'!BD22,'Mid-Market Segment'!BD22,'Upper Mid-Market Segment'!BD22,'Premium Segment'!BD22)/SUM('Value Segment'!BD$82,'Mid-Market Segment'!BD$82,'Upper Mid-Market Segment'!BD$82,'Premium Segment'!BD$82)</f>
        <v>12170.722899275743</v>
      </c>
      <c r="BE87" s="661">
        <f>SUM('Value Segment'!BE22,'Mid-Market Segment'!BE22,'Upper Mid-Market Segment'!BE22,'Premium Segment'!BE22)/SUM('Value Segment'!BE$82,'Mid-Market Segment'!BE$82,'Upper Mid-Market Segment'!BE$82,'Premium Segment'!BE$82)</f>
        <v>12170.722899275743</v>
      </c>
      <c r="BF87" s="661">
        <f>SUM('Value Segment'!BF22,'Mid-Market Segment'!BF22,'Upper Mid-Market Segment'!BF22,'Premium Segment'!BF22)/SUM('Value Segment'!BF$82,'Mid-Market Segment'!BF$82,'Upper Mid-Market Segment'!BF$82,'Premium Segment'!BF$82)</f>
        <v>12170.722899275743</v>
      </c>
      <c r="BG87" s="661">
        <f>SUM('Value Segment'!BG22,'Mid-Market Segment'!BG22,'Upper Mid-Market Segment'!BG22,'Premium Segment'!BG22)/SUM('Value Segment'!BG$82,'Mid-Market Segment'!BG$82,'Upper Mid-Market Segment'!BG$82,'Premium Segment'!BG$82)</f>
        <v>12170.722899275743</v>
      </c>
      <c r="BH87" s="661">
        <f>SUM('Value Segment'!BH22,'Mid-Market Segment'!BH22,'Upper Mid-Market Segment'!BH22,'Premium Segment'!BH22)/SUM('Value Segment'!BH$82,'Mid-Market Segment'!BH$82,'Upper Mid-Market Segment'!BH$82,'Premium Segment'!BH$82)</f>
        <v>12625.765017680334</v>
      </c>
      <c r="BI87" s="661">
        <f>SUM('Value Segment'!BI22,'Mid-Market Segment'!BI22,'Upper Mid-Market Segment'!BI22,'Premium Segment'!BI22)/SUM('Value Segment'!BI$82,'Mid-Market Segment'!BI$82,'Upper Mid-Market Segment'!BI$82,'Premium Segment'!BI$82)</f>
        <v>12625.765017680334</v>
      </c>
      <c r="BJ87" s="661">
        <f>SUM('Value Segment'!BJ22,'Mid-Market Segment'!BJ22,'Upper Mid-Market Segment'!BJ22,'Premium Segment'!BJ22)/SUM('Value Segment'!BJ$82,'Mid-Market Segment'!BJ$82,'Upper Mid-Market Segment'!BJ$82,'Premium Segment'!BJ$82)</f>
        <v>12625.765017680334</v>
      </c>
      <c r="BK87" s="661">
        <f>SUM('Value Segment'!BK22,'Mid-Market Segment'!BK22,'Upper Mid-Market Segment'!BK22,'Premium Segment'!BK22)/SUM('Value Segment'!BK$82,'Mid-Market Segment'!BK$82,'Upper Mid-Market Segment'!BK$82,'Premium Segment'!BK$82)</f>
        <v>12625.765017680334</v>
      </c>
      <c r="BL87" s="661">
        <f>SUM('Value Segment'!BL22,'Mid-Market Segment'!BL22,'Upper Mid-Market Segment'!BL22,'Premium Segment'!BL22)/SUM('Value Segment'!BL$82,'Mid-Market Segment'!BL$82,'Upper Mid-Market Segment'!BL$82,'Premium Segment'!BL$82)</f>
        <v>12625.765017680334</v>
      </c>
      <c r="BM87" s="661">
        <f>SUM('Value Segment'!BM22,'Mid-Market Segment'!BM22,'Upper Mid-Market Segment'!BM22,'Premium Segment'!BM22)/SUM('Value Segment'!BM$82,'Mid-Market Segment'!BM$82,'Upper Mid-Market Segment'!BM$82,'Premium Segment'!BM$82)</f>
        <v>12625.765017680334</v>
      </c>
      <c r="BN87" s="661">
        <f>SUM('Value Segment'!BN22,'Mid-Market Segment'!BN22,'Upper Mid-Market Segment'!BN22,'Premium Segment'!BN22)/SUM('Value Segment'!BN$82,'Mid-Market Segment'!BN$82,'Upper Mid-Market Segment'!BN$82,'Premium Segment'!BN$82)</f>
        <v>12807.781942433414</v>
      </c>
      <c r="BO87" s="661">
        <f>SUM('Value Segment'!BO22,'Mid-Market Segment'!BO22,'Upper Mid-Market Segment'!BO22,'Premium Segment'!BO22)/SUM('Value Segment'!BO$82,'Mid-Market Segment'!BO$82,'Upper Mid-Market Segment'!BO$82,'Premium Segment'!BO$82)</f>
        <v>12807.781942433414</v>
      </c>
      <c r="BP87" s="661">
        <f>SUM('Value Segment'!BP22,'Mid-Market Segment'!BP22,'Upper Mid-Market Segment'!BP22,'Premium Segment'!BP22)/SUM('Value Segment'!BP$82,'Mid-Market Segment'!BP$82,'Upper Mid-Market Segment'!BP$82,'Premium Segment'!BP$82)</f>
        <v>12807.781942433414</v>
      </c>
      <c r="BQ87" s="661">
        <f>SUM('Value Segment'!BQ22,'Mid-Market Segment'!BQ22,'Upper Mid-Market Segment'!BQ22,'Premium Segment'!BQ22)/SUM('Value Segment'!BQ$82,'Mid-Market Segment'!BQ$82,'Upper Mid-Market Segment'!BQ$82,'Premium Segment'!BQ$82)</f>
        <v>12807.781942433414</v>
      </c>
      <c r="BR87" s="661">
        <f>SUM('Value Segment'!BR22,'Mid-Market Segment'!BR22,'Upper Mid-Market Segment'!BR22,'Premium Segment'!BR22)/SUM('Value Segment'!BR$82,'Mid-Market Segment'!BR$82,'Upper Mid-Market Segment'!BR$82,'Premium Segment'!BR$82)</f>
        <v>12807.781942433414</v>
      </c>
      <c r="BS87" s="661">
        <f>SUM('Value Segment'!BS22,'Mid-Market Segment'!BS22,'Upper Mid-Market Segment'!BS22,'Premium Segment'!BS22)/SUM('Value Segment'!BS$82,'Mid-Market Segment'!BS$82,'Upper Mid-Market Segment'!BS$82,'Premium Segment'!BS$82)</f>
        <v>12807.781942433414</v>
      </c>
      <c r="BT87" s="661">
        <f>SUM('Value Segment'!BT22,'Mid-Market Segment'!BT22,'Upper Mid-Market Segment'!BT22,'Premium Segment'!BT22)/SUM('Value Segment'!BT$82,'Mid-Market Segment'!BT$82,'Upper Mid-Market Segment'!BT$82,'Premium Segment'!BT$82)</f>
        <v>13338.857448469214</v>
      </c>
      <c r="BU87" s="661">
        <f>SUM('Value Segment'!BU22,'Mid-Market Segment'!BU22,'Upper Mid-Market Segment'!BU22,'Premium Segment'!BU22)/SUM('Value Segment'!BU$82,'Mid-Market Segment'!BU$82,'Upper Mid-Market Segment'!BU$82,'Premium Segment'!BU$82)</f>
        <v>13338.857448469214</v>
      </c>
      <c r="BV87" s="661">
        <f>SUM('Value Segment'!BV22,'Mid-Market Segment'!BV22,'Upper Mid-Market Segment'!BV22,'Premium Segment'!BV22)/SUM('Value Segment'!BV$82,'Mid-Market Segment'!BV$82,'Upper Mid-Market Segment'!BV$82,'Premium Segment'!BV$82)</f>
        <v>13338.857448469214</v>
      </c>
      <c r="BW87" s="661">
        <f>SUM('Value Segment'!BW22,'Mid-Market Segment'!BW22,'Upper Mid-Market Segment'!BW22,'Premium Segment'!BW22)/SUM('Value Segment'!BW$82,'Mid-Market Segment'!BW$82,'Upper Mid-Market Segment'!BW$82,'Premium Segment'!BW$82)</f>
        <v>13338.857448469214</v>
      </c>
      <c r="BX87" s="661">
        <f>SUM('Value Segment'!BX22,'Mid-Market Segment'!BX22,'Upper Mid-Market Segment'!BX22,'Premium Segment'!BX22)/SUM('Value Segment'!BX$82,'Mid-Market Segment'!BX$82,'Upper Mid-Market Segment'!BX$82,'Premium Segment'!BX$82)</f>
        <v>13338.857448469214</v>
      </c>
      <c r="BY87" s="661">
        <f>SUM('Value Segment'!BY22,'Mid-Market Segment'!BY22,'Upper Mid-Market Segment'!BY22,'Premium Segment'!BY22)/SUM('Value Segment'!BY$82,'Mid-Market Segment'!BY$82,'Upper Mid-Market Segment'!BY$82,'Premium Segment'!BY$82)</f>
        <v>13338.857448469214</v>
      </c>
      <c r="CB87" s="8"/>
    </row>
    <row r="88" spans="3:80" x14ac:dyDescent="0.3">
      <c r="C88" s="2"/>
      <c r="D88" s="2"/>
      <c r="E88" s="2" t="s">
        <v>387</v>
      </c>
      <c r="F88" s="54"/>
      <c r="G88" s="54"/>
      <c r="H88" s="54"/>
      <c r="I88" s="19">
        <f>SUM('Value Segment'!I23,'Mid-Market Segment'!I23,'Upper Mid-Market Segment'!I23,'Premium Segment'!I23)/SUM('Value Segment'!I$82,'Mid-Market Segment'!I$82,'Upper Mid-Market Segment'!I$82,'Premium Segment'!I$82)</f>
        <v>-38372.63529863103</v>
      </c>
      <c r="J88" s="19">
        <f>SUM('Value Segment'!J23,'Mid-Market Segment'!J23,'Upper Mid-Market Segment'!J23,'Premium Segment'!J23)/SUM('Value Segment'!J$82,'Mid-Market Segment'!J$82,'Upper Mid-Market Segment'!J$82,'Premium Segment'!J$82)</f>
        <v>-39213.098428943813</v>
      </c>
      <c r="K88" s="19">
        <f>SUM('Value Segment'!K23,'Mid-Market Segment'!K23,'Upper Mid-Market Segment'!K23,'Premium Segment'!K23)/SUM('Value Segment'!K$82,'Mid-Market Segment'!K$82,'Upper Mid-Market Segment'!K$82,'Premium Segment'!K$82)</f>
        <v>-40399.020764854111</v>
      </c>
      <c r="L88" s="19">
        <f>SUM('Value Segment'!L23,'Mid-Market Segment'!L23,'Upper Mid-Market Segment'!L23,'Premium Segment'!L23)/SUM('Value Segment'!L$82,'Mid-Market Segment'!L$82,'Upper Mid-Market Segment'!L$82,'Premium Segment'!L$82)</f>
        <v>-41602.016107999909</v>
      </c>
      <c r="M88" s="19">
        <f>SUM('Value Segment'!M23,'Mid-Market Segment'!M23,'Upper Mid-Market Segment'!M23,'Premium Segment'!M23)/SUM('Value Segment'!M$82,'Mid-Market Segment'!M$82,'Upper Mid-Market Segment'!M$82,'Premium Segment'!M$82)</f>
        <v>-42862.332030172169</v>
      </c>
      <c r="N88" s="19">
        <f>SUM('Value Segment'!N23,'Mid-Market Segment'!N23,'Upper Mid-Market Segment'!N23,'Premium Segment'!N23)/SUM('Value Segment'!N$82,'Mid-Market Segment'!N$82,'Upper Mid-Market Segment'!N$82,'Premium Segment'!N$82)</f>
        <v>-44166.863235233046</v>
      </c>
      <c r="O88" s="37"/>
      <c r="P88" s="50">
        <f t="shared" ref="P88:P93" si="103">IFERROR(((N88/I88)^(1/5))-1,0)</f>
        <v>2.8525316566897052E-2</v>
      </c>
      <c r="R88" s="19">
        <f>SUM('Value Segment'!R23,'Mid-Market Segment'!R23,'Upper Mid-Market Segment'!R23,'Premium Segment'!R23)/SUM('Value Segment'!R$82,'Mid-Market Segment'!R$82,'Upper Mid-Market Segment'!R$82,'Premium Segment'!R$82)</f>
        <v>-3229.3951833421652</v>
      </c>
      <c r="S88" s="542">
        <f>SUM('Value Segment'!S23,'Mid-Market Segment'!S23,'Upper Mid-Market Segment'!S23,'Premium Segment'!S23)/SUM('Value Segment'!S$82,'Mid-Market Segment'!S$82,'Upper Mid-Market Segment'!S$82,'Premium Segment'!S$82)</f>
        <v>-3229.3951833421652</v>
      </c>
      <c r="T88" s="542">
        <f>SUM('Value Segment'!T23,'Mid-Market Segment'!T23,'Upper Mid-Market Segment'!T23,'Premium Segment'!T23)/SUM('Value Segment'!T$82,'Mid-Market Segment'!T$82,'Upper Mid-Market Segment'!T$82,'Premium Segment'!T$82)</f>
        <v>-3229.3951833421652</v>
      </c>
      <c r="U88" s="542">
        <f>SUM('Value Segment'!U23,'Mid-Market Segment'!U23,'Upper Mid-Market Segment'!U23,'Premium Segment'!U23)/SUM('Value Segment'!U$82,'Mid-Market Segment'!U$82,'Upper Mid-Market Segment'!U$82,'Premium Segment'!U$82)</f>
        <v>-3229.3951833421652</v>
      </c>
      <c r="V88" s="542">
        <f>SUM('Value Segment'!V23,'Mid-Market Segment'!V23,'Upper Mid-Market Segment'!V23,'Premium Segment'!V23)/SUM('Value Segment'!V$82,'Mid-Market Segment'!V$82,'Upper Mid-Market Segment'!V$82,'Premium Segment'!V$82)</f>
        <v>-3229.3951833421652</v>
      </c>
      <c r="W88" s="542">
        <f>SUM('Value Segment'!W23,'Mid-Market Segment'!W23,'Upper Mid-Market Segment'!W23,'Premium Segment'!W23)/SUM('Value Segment'!W$82,'Mid-Market Segment'!W$82,'Upper Mid-Market Segment'!W$82,'Premium Segment'!W$82)</f>
        <v>-3229.3951833421652</v>
      </c>
      <c r="X88" s="542">
        <f>SUM('Value Segment'!X23,'Mid-Market Segment'!X23,'Upper Mid-Market Segment'!X23,'Premium Segment'!X23)/SUM('Value Segment'!X$82,'Mid-Market Segment'!X$82,'Upper Mid-Market Segment'!X$82,'Premium Segment'!X$82)</f>
        <v>-3306.1212214818029</v>
      </c>
      <c r="Y88" s="542">
        <f>SUM('Value Segment'!Y23,'Mid-Market Segment'!Y23,'Upper Mid-Market Segment'!Y23,'Premium Segment'!Y23)/SUM('Value Segment'!Y$82,'Mid-Market Segment'!Y$82,'Upper Mid-Market Segment'!Y$82,'Premium Segment'!Y$82)</f>
        <v>-3306.1212214818029</v>
      </c>
      <c r="Z88" s="542">
        <f>SUM('Value Segment'!Z23,'Mid-Market Segment'!Z23,'Upper Mid-Market Segment'!Z23,'Premium Segment'!Z23)/SUM('Value Segment'!Z$82,'Mid-Market Segment'!Z$82,'Upper Mid-Market Segment'!Z$82,'Premium Segment'!Z$82)</f>
        <v>-3306.1212214818029</v>
      </c>
      <c r="AA88" s="542">
        <f>SUM('Value Segment'!AA23,'Mid-Market Segment'!AA23,'Upper Mid-Market Segment'!AA23,'Premium Segment'!AA23)/SUM('Value Segment'!AA$82,'Mid-Market Segment'!AA$82,'Upper Mid-Market Segment'!AA$82,'Premium Segment'!AA$82)</f>
        <v>-3306.1212214818029</v>
      </c>
      <c r="AB88" s="542">
        <f>SUM('Value Segment'!AB23,'Mid-Market Segment'!AB23,'Upper Mid-Market Segment'!AB23,'Premium Segment'!AB23)/SUM('Value Segment'!AB$82,'Mid-Market Segment'!AB$82,'Upper Mid-Market Segment'!AB$82,'Premium Segment'!AB$82)</f>
        <v>-3306.1212214818029</v>
      </c>
      <c r="AC88" s="542">
        <f>SUM('Value Segment'!AC23,'Mid-Market Segment'!AC23,'Upper Mid-Market Segment'!AC23,'Premium Segment'!AC23)/SUM('Value Segment'!AC$82,'Mid-Market Segment'!AC$82,'Upper Mid-Market Segment'!AC$82,'Premium Segment'!AC$82)</f>
        <v>-3306.1212214818029</v>
      </c>
      <c r="AD88" s="542">
        <f>SUM('Value Segment'!AD23,'Mid-Market Segment'!AD23,'Upper Mid-Market Segment'!AD23,'Premium Segment'!AD23)/SUM('Value Segment'!AD$82,'Mid-Market Segment'!AD$82,'Upper Mid-Market Segment'!AD$82,'Premium Segment'!AD$82)</f>
        <v>-3319.1803612301796</v>
      </c>
      <c r="AE88" s="542">
        <f>SUM('Value Segment'!AE23,'Mid-Market Segment'!AE23,'Upper Mid-Market Segment'!AE23,'Premium Segment'!AE23)/SUM('Value Segment'!AE$82,'Mid-Market Segment'!AE$82,'Upper Mid-Market Segment'!AE$82,'Premium Segment'!AE$82)</f>
        <v>-3319.1803612301796</v>
      </c>
      <c r="AF88" s="542">
        <f>SUM('Value Segment'!AF23,'Mid-Market Segment'!AF23,'Upper Mid-Market Segment'!AF23,'Premium Segment'!AF23)/SUM('Value Segment'!AF$82,'Mid-Market Segment'!AF$82,'Upper Mid-Market Segment'!AF$82,'Premium Segment'!AF$82)</f>
        <v>-3319.1803612301796</v>
      </c>
      <c r="AG88" s="542">
        <f>SUM('Value Segment'!AG23,'Mid-Market Segment'!AG23,'Upper Mid-Market Segment'!AG23,'Premium Segment'!AG23)/SUM('Value Segment'!AG$82,'Mid-Market Segment'!AG$82,'Upper Mid-Market Segment'!AG$82,'Premium Segment'!AG$82)</f>
        <v>-3319.1803612301796</v>
      </c>
      <c r="AH88" s="542">
        <f>SUM('Value Segment'!AH23,'Mid-Market Segment'!AH23,'Upper Mid-Market Segment'!AH23,'Premium Segment'!AH23)/SUM('Value Segment'!AH$82,'Mid-Market Segment'!AH$82,'Upper Mid-Market Segment'!AH$82,'Premium Segment'!AH$82)</f>
        <v>-3319.1803612301796</v>
      </c>
      <c r="AI88" s="542">
        <f>SUM('Value Segment'!AI23,'Mid-Market Segment'!AI23,'Upper Mid-Market Segment'!AI23,'Premium Segment'!AI23)/SUM('Value Segment'!AI$82,'Mid-Market Segment'!AI$82,'Upper Mid-Market Segment'!AI$82,'Premium Segment'!AI$82)</f>
        <v>-3319.1803612301796</v>
      </c>
      <c r="AJ88" s="542">
        <f>SUM('Value Segment'!AJ23,'Mid-Market Segment'!AJ23,'Upper Mid-Market Segment'!AJ23,'Premium Segment'!AJ23)/SUM('Value Segment'!AJ$82,'Mid-Market Segment'!AJ$82,'Upper Mid-Market Segment'!AJ$82,'Premium Segment'!AJ$82)</f>
        <v>-3413.989766245506</v>
      </c>
      <c r="AK88" s="542">
        <f>SUM('Value Segment'!AK23,'Mid-Market Segment'!AK23,'Upper Mid-Market Segment'!AK23,'Premium Segment'!AK23)/SUM('Value Segment'!AK$82,'Mid-Market Segment'!AK$82,'Upper Mid-Market Segment'!AK$82,'Premium Segment'!AK$82)</f>
        <v>-3413.989766245506</v>
      </c>
      <c r="AL88" s="542">
        <f>SUM('Value Segment'!AL23,'Mid-Market Segment'!AL23,'Upper Mid-Market Segment'!AL23,'Premium Segment'!AL23)/SUM('Value Segment'!AL$82,'Mid-Market Segment'!AL$82,'Upper Mid-Market Segment'!AL$82,'Premium Segment'!AL$82)</f>
        <v>-3413.989766245506</v>
      </c>
      <c r="AM88" s="542">
        <f>SUM('Value Segment'!AM23,'Mid-Market Segment'!AM23,'Upper Mid-Market Segment'!AM23,'Premium Segment'!AM23)/SUM('Value Segment'!AM$82,'Mid-Market Segment'!AM$82,'Upper Mid-Market Segment'!AM$82,'Premium Segment'!AM$82)</f>
        <v>-3413.989766245506</v>
      </c>
      <c r="AN88" s="542">
        <f>SUM('Value Segment'!AN23,'Mid-Market Segment'!AN23,'Upper Mid-Market Segment'!AN23,'Premium Segment'!AN23)/SUM('Value Segment'!AN$82,'Mid-Market Segment'!AN$82,'Upper Mid-Market Segment'!AN$82,'Premium Segment'!AN$82)</f>
        <v>-3413.989766245506</v>
      </c>
      <c r="AO88" s="542">
        <f>SUM('Value Segment'!AO23,'Mid-Market Segment'!AO23,'Upper Mid-Market Segment'!AO23,'Premium Segment'!AO23)/SUM('Value Segment'!AO$82,'Mid-Market Segment'!AO$82,'Upper Mid-Market Segment'!AO$82,'Premium Segment'!AO$82)</f>
        <v>-3413.989766245506</v>
      </c>
      <c r="AP88" s="542">
        <f>SUM('Value Segment'!AP23,'Mid-Market Segment'!AP23,'Upper Mid-Market Segment'!AP23,'Premium Segment'!AP23)/SUM('Value Segment'!AP$82,'Mid-Market Segment'!AP$82,'Upper Mid-Market Segment'!AP$82,'Premium Segment'!AP$82)</f>
        <v>-3410.3293329363064</v>
      </c>
      <c r="AQ88" s="542">
        <f>SUM('Value Segment'!AQ23,'Mid-Market Segment'!AQ23,'Upper Mid-Market Segment'!AQ23,'Premium Segment'!AQ23)/SUM('Value Segment'!AQ$82,'Mid-Market Segment'!AQ$82,'Upper Mid-Market Segment'!AQ$82,'Premium Segment'!AQ$82)</f>
        <v>-3410.3293329363064</v>
      </c>
      <c r="AR88" s="542">
        <f>SUM('Value Segment'!AR23,'Mid-Market Segment'!AR23,'Upper Mid-Market Segment'!AR23,'Premium Segment'!AR23)/SUM('Value Segment'!AR$82,'Mid-Market Segment'!AR$82,'Upper Mid-Market Segment'!AR$82,'Premium Segment'!AR$82)</f>
        <v>-3410.3293329363064</v>
      </c>
      <c r="AS88" s="542">
        <f>SUM('Value Segment'!AS23,'Mid-Market Segment'!AS23,'Upper Mid-Market Segment'!AS23,'Premium Segment'!AS23)/SUM('Value Segment'!AS$82,'Mid-Market Segment'!AS$82,'Upper Mid-Market Segment'!AS$82,'Premium Segment'!AS$82)</f>
        <v>-3410.3293329363064</v>
      </c>
      <c r="AT88" s="542">
        <f>SUM('Value Segment'!AT23,'Mid-Market Segment'!AT23,'Upper Mid-Market Segment'!AT23,'Premium Segment'!AT23)/SUM('Value Segment'!AT$82,'Mid-Market Segment'!AT$82,'Upper Mid-Market Segment'!AT$82,'Premium Segment'!AT$82)</f>
        <v>-3410.3293329363064</v>
      </c>
      <c r="AU88" s="542">
        <f>SUM('Value Segment'!AU23,'Mid-Market Segment'!AU23,'Upper Mid-Market Segment'!AU23,'Premium Segment'!AU23)/SUM('Value Segment'!AU$82,'Mid-Market Segment'!AU$82,'Upper Mid-Market Segment'!AU$82,'Premium Segment'!AU$82)</f>
        <v>-3410.3293329363064</v>
      </c>
      <c r="AV88" s="542">
        <f>SUM('Value Segment'!AV23,'Mid-Market Segment'!AV23,'Upper Mid-Market Segment'!AV23,'Premium Segment'!AV23)/SUM('Value Segment'!AV$82,'Mid-Market Segment'!AV$82,'Upper Mid-Market Segment'!AV$82,'Premium Segment'!AV$82)</f>
        <v>-3523.3400183970102</v>
      </c>
      <c r="AW88" s="542">
        <f>SUM('Value Segment'!AW23,'Mid-Market Segment'!AW23,'Upper Mid-Market Segment'!AW23,'Premium Segment'!AW23)/SUM('Value Segment'!AW$82,'Mid-Market Segment'!AW$82,'Upper Mid-Market Segment'!AW$82,'Premium Segment'!AW$82)</f>
        <v>-3523.3400183970102</v>
      </c>
      <c r="AX88" s="542">
        <f>SUM('Value Segment'!AX23,'Mid-Market Segment'!AX23,'Upper Mid-Market Segment'!AX23,'Premium Segment'!AX23)/SUM('Value Segment'!AX$82,'Mid-Market Segment'!AX$82,'Upper Mid-Market Segment'!AX$82,'Premium Segment'!AX$82)</f>
        <v>-3523.3400183970102</v>
      </c>
      <c r="AY88" s="542">
        <f>SUM('Value Segment'!AY23,'Mid-Market Segment'!AY23,'Upper Mid-Market Segment'!AY23,'Premium Segment'!AY23)/SUM('Value Segment'!AY$82,'Mid-Market Segment'!AY$82,'Upper Mid-Market Segment'!AY$82,'Premium Segment'!AY$82)</f>
        <v>-3523.3400183970102</v>
      </c>
      <c r="AZ88" s="542">
        <f>SUM('Value Segment'!AZ23,'Mid-Market Segment'!AZ23,'Upper Mid-Market Segment'!AZ23,'Premium Segment'!AZ23)/SUM('Value Segment'!AZ$82,'Mid-Market Segment'!AZ$82,'Upper Mid-Market Segment'!AZ$82,'Premium Segment'!AZ$82)</f>
        <v>-3523.3400183970102</v>
      </c>
      <c r="BA88" s="542">
        <f>SUM('Value Segment'!BA23,'Mid-Market Segment'!BA23,'Upper Mid-Market Segment'!BA23,'Premium Segment'!BA23)/SUM('Value Segment'!BA$82,'Mid-Market Segment'!BA$82,'Upper Mid-Market Segment'!BA$82,'Premium Segment'!BA$82)</f>
        <v>-3523.3400183970102</v>
      </c>
      <c r="BB88" s="542">
        <f>SUM('Value Segment'!BB23,'Mid-Market Segment'!BB23,'Upper Mid-Market Segment'!BB23,'Premium Segment'!BB23)/SUM('Value Segment'!BB$82,'Mid-Market Segment'!BB$82,'Upper Mid-Market Segment'!BB$82,'Premium Segment'!BB$82)</f>
        <v>-3506.1390148997762</v>
      </c>
      <c r="BC88" s="542">
        <f>SUM('Value Segment'!BC23,'Mid-Market Segment'!BC23,'Upper Mid-Market Segment'!BC23,'Premium Segment'!BC23)/SUM('Value Segment'!BC$82,'Mid-Market Segment'!BC$82,'Upper Mid-Market Segment'!BC$82,'Premium Segment'!BC$82)</f>
        <v>-3506.1390148997762</v>
      </c>
      <c r="BD88" s="542">
        <f>SUM('Value Segment'!BD23,'Mid-Market Segment'!BD23,'Upper Mid-Market Segment'!BD23,'Premium Segment'!BD23)/SUM('Value Segment'!BD$82,'Mid-Market Segment'!BD$82,'Upper Mid-Market Segment'!BD$82,'Premium Segment'!BD$82)</f>
        <v>-3506.1390148997762</v>
      </c>
      <c r="BE88" s="542">
        <f>SUM('Value Segment'!BE23,'Mid-Market Segment'!BE23,'Upper Mid-Market Segment'!BE23,'Premium Segment'!BE23)/SUM('Value Segment'!BE$82,'Mid-Market Segment'!BE$82,'Upper Mid-Market Segment'!BE$82,'Premium Segment'!BE$82)</f>
        <v>-3506.1390148997762</v>
      </c>
      <c r="BF88" s="542">
        <f>SUM('Value Segment'!BF23,'Mid-Market Segment'!BF23,'Upper Mid-Market Segment'!BF23,'Premium Segment'!BF23)/SUM('Value Segment'!BF$82,'Mid-Market Segment'!BF$82,'Upper Mid-Market Segment'!BF$82,'Premium Segment'!BF$82)</f>
        <v>-3506.1390148997762</v>
      </c>
      <c r="BG88" s="542">
        <f>SUM('Value Segment'!BG23,'Mid-Market Segment'!BG23,'Upper Mid-Market Segment'!BG23,'Premium Segment'!BG23)/SUM('Value Segment'!BG$82,'Mid-Market Segment'!BG$82,'Upper Mid-Market Segment'!BG$82,'Premium Segment'!BG$82)</f>
        <v>-3506.1390148997762</v>
      </c>
      <c r="BH88" s="542">
        <f>SUM('Value Segment'!BH23,'Mid-Market Segment'!BH23,'Upper Mid-Market Segment'!BH23,'Premium Segment'!BH23)/SUM('Value Segment'!BH$82,'Mid-Market Segment'!BH$82,'Upper Mid-Market Segment'!BH$82,'Premium Segment'!BH$82)</f>
        <v>-3637.5829901289189</v>
      </c>
      <c r="BI88" s="542">
        <f>SUM('Value Segment'!BI23,'Mid-Market Segment'!BI23,'Upper Mid-Market Segment'!BI23,'Premium Segment'!BI23)/SUM('Value Segment'!BI$82,'Mid-Market Segment'!BI$82,'Upper Mid-Market Segment'!BI$82,'Premium Segment'!BI$82)</f>
        <v>-3637.5829901289189</v>
      </c>
      <c r="BJ88" s="542">
        <f>SUM('Value Segment'!BJ23,'Mid-Market Segment'!BJ23,'Upper Mid-Market Segment'!BJ23,'Premium Segment'!BJ23)/SUM('Value Segment'!BJ$82,'Mid-Market Segment'!BJ$82,'Upper Mid-Market Segment'!BJ$82,'Premium Segment'!BJ$82)</f>
        <v>-3637.5829901289189</v>
      </c>
      <c r="BK88" s="542">
        <f>SUM('Value Segment'!BK23,'Mid-Market Segment'!BK23,'Upper Mid-Market Segment'!BK23,'Premium Segment'!BK23)/SUM('Value Segment'!BK$82,'Mid-Market Segment'!BK$82,'Upper Mid-Market Segment'!BK$82,'Premium Segment'!BK$82)</f>
        <v>-3637.5829901289189</v>
      </c>
      <c r="BL88" s="542">
        <f>SUM('Value Segment'!BL23,'Mid-Market Segment'!BL23,'Upper Mid-Market Segment'!BL23,'Premium Segment'!BL23)/SUM('Value Segment'!BL$82,'Mid-Market Segment'!BL$82,'Upper Mid-Market Segment'!BL$82,'Premium Segment'!BL$82)</f>
        <v>-3637.5829901289189</v>
      </c>
      <c r="BM88" s="542">
        <f>SUM('Value Segment'!BM23,'Mid-Market Segment'!BM23,'Upper Mid-Market Segment'!BM23,'Premium Segment'!BM23)/SUM('Value Segment'!BM$82,'Mid-Market Segment'!BM$82,'Upper Mid-Market Segment'!BM$82,'Premium Segment'!BM$82)</f>
        <v>-3637.5829901289189</v>
      </c>
      <c r="BN88" s="542">
        <f>SUM('Value Segment'!BN23,'Mid-Market Segment'!BN23,'Upper Mid-Market Segment'!BN23,'Premium Segment'!BN23)/SUM('Value Segment'!BN$82,'Mid-Market Segment'!BN$82,'Upper Mid-Market Segment'!BN$82,'Premium Segment'!BN$82)</f>
        <v>-3605.6103132885855</v>
      </c>
      <c r="BO88" s="542">
        <f>SUM('Value Segment'!BO23,'Mid-Market Segment'!BO23,'Upper Mid-Market Segment'!BO23,'Premium Segment'!BO23)/SUM('Value Segment'!BO$82,'Mid-Market Segment'!BO$82,'Upper Mid-Market Segment'!BO$82,'Premium Segment'!BO$82)</f>
        <v>-3605.6103132885855</v>
      </c>
      <c r="BP88" s="542">
        <f>SUM('Value Segment'!BP23,'Mid-Market Segment'!BP23,'Upper Mid-Market Segment'!BP23,'Premium Segment'!BP23)/SUM('Value Segment'!BP$82,'Mid-Market Segment'!BP$82,'Upper Mid-Market Segment'!BP$82,'Premium Segment'!BP$82)</f>
        <v>-3605.6103132885855</v>
      </c>
      <c r="BQ88" s="542">
        <f>SUM('Value Segment'!BQ23,'Mid-Market Segment'!BQ23,'Upper Mid-Market Segment'!BQ23,'Premium Segment'!BQ23)/SUM('Value Segment'!BQ$82,'Mid-Market Segment'!BQ$82,'Upper Mid-Market Segment'!BQ$82,'Premium Segment'!BQ$82)</f>
        <v>-3605.6103132885855</v>
      </c>
      <c r="BR88" s="542">
        <f>SUM('Value Segment'!BR23,'Mid-Market Segment'!BR23,'Upper Mid-Market Segment'!BR23,'Premium Segment'!BR23)/SUM('Value Segment'!BR$82,'Mid-Market Segment'!BR$82,'Upper Mid-Market Segment'!BR$82,'Premium Segment'!BR$82)</f>
        <v>-3605.6103132885855</v>
      </c>
      <c r="BS88" s="542">
        <f>SUM('Value Segment'!BS23,'Mid-Market Segment'!BS23,'Upper Mid-Market Segment'!BS23,'Premium Segment'!BS23)/SUM('Value Segment'!BS$82,'Mid-Market Segment'!BS$82,'Upper Mid-Market Segment'!BS$82,'Premium Segment'!BS$82)</f>
        <v>-3605.6103132885855</v>
      </c>
      <c r="BT88" s="542">
        <f>SUM('Value Segment'!BT23,'Mid-Market Segment'!BT23,'Upper Mid-Market Segment'!BT23,'Premium Segment'!BT23)/SUM('Value Segment'!BT$82,'Mid-Market Segment'!BT$82,'Upper Mid-Market Segment'!BT$82,'Premium Segment'!BT$82)</f>
        <v>-3755.5335592502561</v>
      </c>
      <c r="BU88" s="542">
        <f>SUM('Value Segment'!BU23,'Mid-Market Segment'!BU23,'Upper Mid-Market Segment'!BU23,'Premium Segment'!BU23)/SUM('Value Segment'!BU$82,'Mid-Market Segment'!BU$82,'Upper Mid-Market Segment'!BU$82,'Premium Segment'!BU$82)</f>
        <v>-3755.5335592502561</v>
      </c>
      <c r="BV88" s="542">
        <f>SUM('Value Segment'!BV23,'Mid-Market Segment'!BV23,'Upper Mid-Market Segment'!BV23,'Premium Segment'!BV23)/SUM('Value Segment'!BV$82,'Mid-Market Segment'!BV$82,'Upper Mid-Market Segment'!BV$82,'Premium Segment'!BV$82)</f>
        <v>-3755.5335592502561</v>
      </c>
      <c r="BW88" s="542">
        <f>SUM('Value Segment'!BW23,'Mid-Market Segment'!BW23,'Upper Mid-Market Segment'!BW23,'Premium Segment'!BW23)/SUM('Value Segment'!BW$82,'Mid-Market Segment'!BW$82,'Upper Mid-Market Segment'!BW$82,'Premium Segment'!BW$82)</f>
        <v>-3755.5335592502561</v>
      </c>
      <c r="BX88" s="542">
        <f>SUM('Value Segment'!BX23,'Mid-Market Segment'!BX23,'Upper Mid-Market Segment'!BX23,'Premium Segment'!BX23)/SUM('Value Segment'!BX$82,'Mid-Market Segment'!BX$82,'Upper Mid-Market Segment'!BX$82,'Premium Segment'!BX$82)</f>
        <v>-3755.5335592502561</v>
      </c>
      <c r="BY88" s="542">
        <f>SUM('Value Segment'!BY23,'Mid-Market Segment'!BY23,'Upper Mid-Market Segment'!BY23,'Premium Segment'!BY23)/SUM('Value Segment'!BY$82,'Mid-Market Segment'!BY$82,'Upper Mid-Market Segment'!BY$82,'Premium Segment'!BY$82)</f>
        <v>-3755.5335592502561</v>
      </c>
      <c r="CB88" s="8"/>
    </row>
    <row r="89" spans="3:80" x14ac:dyDescent="0.3">
      <c r="C89" s="2"/>
      <c r="D89" s="2"/>
      <c r="E89" s="2" t="s">
        <v>386</v>
      </c>
      <c r="F89" s="54"/>
      <c r="G89" s="54"/>
      <c r="H89" s="54"/>
      <c r="I89" s="19">
        <f>SUM('Value Segment'!I24,'Mid-Market Segment'!I24,'Upper Mid-Market Segment'!I24,'Premium Segment'!I24)/SUM('Value Segment'!I$82,'Mid-Market Segment'!I$82,'Upper Mid-Market Segment'!I$82,'Premium Segment'!I$82)</f>
        <v>-7110.1424561531358</v>
      </c>
      <c r="J89" s="19">
        <f>SUM('Value Segment'!J24,'Mid-Market Segment'!J24,'Upper Mid-Market Segment'!J24,'Premium Segment'!J24)/SUM('Value Segment'!J$82,'Mid-Market Segment'!J$82,'Upper Mid-Market Segment'!J$82,'Premium Segment'!J$82)</f>
        <v>-7338.8866952052913</v>
      </c>
      <c r="K89" s="19">
        <f>SUM('Value Segment'!K24,'Mid-Market Segment'!K24,'Upper Mid-Market Segment'!K24,'Premium Segment'!K24)/SUM('Value Segment'!K$82,'Mid-Market Segment'!K$82,'Upper Mid-Market Segment'!K$82,'Premium Segment'!K$82)</f>
        <v>-7636.3884678837712</v>
      </c>
      <c r="L89" s="19">
        <f>SUM('Value Segment'!L24,'Mid-Market Segment'!L24,'Upper Mid-Market Segment'!L24,'Premium Segment'!L24)/SUM('Value Segment'!L$82,'Mid-Market Segment'!L$82,'Upper Mid-Market Segment'!L$82,'Premium Segment'!L$82)</f>
        <v>-7941.5472337268639</v>
      </c>
      <c r="M89" s="19">
        <f>SUM('Value Segment'!M24,'Mid-Market Segment'!M24,'Upper Mid-Market Segment'!M24,'Premium Segment'!M24)/SUM('Value Segment'!M$82,'Mid-Market Segment'!M$82,'Upper Mid-Market Segment'!M$82,'Premium Segment'!M$82)</f>
        <v>-8262.2281465057004</v>
      </c>
      <c r="N89" s="19">
        <f>SUM('Value Segment'!N24,'Mid-Market Segment'!N24,'Upper Mid-Market Segment'!N24,'Premium Segment'!N24)/SUM('Value Segment'!N$82,'Mid-Market Segment'!N$82,'Upper Mid-Market Segment'!N$82,'Premium Segment'!N$82)</f>
        <v>-8596.1827910515276</v>
      </c>
      <c r="O89" s="37"/>
      <c r="P89" s="50">
        <f t="shared" si="103"/>
        <v>3.8688845942215888E-2</v>
      </c>
      <c r="R89" s="19">
        <f>SUM('Value Segment'!R24,'Mid-Market Segment'!R24,'Upper Mid-Market Segment'!R24,'Premium Segment'!R24)/SUM('Value Segment'!R$82,'Mid-Market Segment'!R$82,'Upper Mid-Market Segment'!R$82,'Premium Segment'!R$82)</f>
        <v>-604.36210877301664</v>
      </c>
      <c r="S89" s="542">
        <f>SUM('Value Segment'!S24,'Mid-Market Segment'!S24,'Upper Mid-Market Segment'!S24,'Premium Segment'!S24)/SUM('Value Segment'!S$82,'Mid-Market Segment'!S$82,'Upper Mid-Market Segment'!S$82,'Premium Segment'!S$82)</f>
        <v>-604.36210877301664</v>
      </c>
      <c r="T89" s="542">
        <f>SUM('Value Segment'!T24,'Mid-Market Segment'!T24,'Upper Mid-Market Segment'!T24,'Premium Segment'!T24)/SUM('Value Segment'!T$82,'Mid-Market Segment'!T$82,'Upper Mid-Market Segment'!T$82,'Premium Segment'!T$82)</f>
        <v>-604.36210877301664</v>
      </c>
      <c r="U89" s="542">
        <f>SUM('Value Segment'!U24,'Mid-Market Segment'!U24,'Upper Mid-Market Segment'!U24,'Premium Segment'!U24)/SUM('Value Segment'!U$82,'Mid-Market Segment'!U$82,'Upper Mid-Market Segment'!U$82,'Premium Segment'!U$82)</f>
        <v>-604.36210877301664</v>
      </c>
      <c r="V89" s="542">
        <f>SUM('Value Segment'!V24,'Mid-Market Segment'!V24,'Upper Mid-Market Segment'!V24,'Premium Segment'!V24)/SUM('Value Segment'!V$82,'Mid-Market Segment'!V$82,'Upper Mid-Market Segment'!V$82,'Premium Segment'!V$82)</f>
        <v>-604.36210877301664</v>
      </c>
      <c r="W89" s="542">
        <f>SUM('Value Segment'!W24,'Mid-Market Segment'!W24,'Upper Mid-Market Segment'!W24,'Premium Segment'!W24)/SUM('Value Segment'!W$82,'Mid-Market Segment'!W$82,'Upper Mid-Market Segment'!W$82,'Premium Segment'!W$82)</f>
        <v>-604.36210877301664</v>
      </c>
      <c r="X89" s="542">
        <f>SUM('Value Segment'!X24,'Mid-Market Segment'!X24,'Upper Mid-Market Segment'!X24,'Premium Segment'!X24)/SUM('Value Segment'!X$82,'Mid-Market Segment'!X$82,'Upper Mid-Market Segment'!X$82,'Premium Segment'!X$82)</f>
        <v>-618.7856737611985</v>
      </c>
      <c r="Y89" s="542">
        <f>SUM('Value Segment'!Y24,'Mid-Market Segment'!Y24,'Upper Mid-Market Segment'!Y24,'Premium Segment'!Y24)/SUM('Value Segment'!Y$82,'Mid-Market Segment'!Y$82,'Upper Mid-Market Segment'!Y$82,'Premium Segment'!Y$82)</f>
        <v>-618.7856737611985</v>
      </c>
      <c r="Z89" s="542">
        <f>SUM('Value Segment'!Z24,'Mid-Market Segment'!Z24,'Upper Mid-Market Segment'!Z24,'Premium Segment'!Z24)/SUM('Value Segment'!Z$82,'Mid-Market Segment'!Z$82,'Upper Mid-Market Segment'!Z$82,'Premium Segment'!Z$82)</f>
        <v>-618.7856737611985</v>
      </c>
      <c r="AA89" s="542">
        <f>SUM('Value Segment'!AA24,'Mid-Market Segment'!AA24,'Upper Mid-Market Segment'!AA24,'Premium Segment'!AA24)/SUM('Value Segment'!AA$82,'Mid-Market Segment'!AA$82,'Upper Mid-Market Segment'!AA$82,'Premium Segment'!AA$82)</f>
        <v>-618.7856737611985</v>
      </c>
      <c r="AB89" s="542">
        <f>SUM('Value Segment'!AB24,'Mid-Market Segment'!AB24,'Upper Mid-Market Segment'!AB24,'Premium Segment'!AB24)/SUM('Value Segment'!AB$82,'Mid-Market Segment'!AB$82,'Upper Mid-Market Segment'!AB$82,'Premium Segment'!AB$82)</f>
        <v>-618.7856737611985</v>
      </c>
      <c r="AC89" s="542">
        <f>SUM('Value Segment'!AC24,'Mid-Market Segment'!AC24,'Upper Mid-Market Segment'!AC24,'Premium Segment'!AC24)/SUM('Value Segment'!AC$82,'Mid-Market Segment'!AC$82,'Upper Mid-Market Segment'!AC$82,'Premium Segment'!AC$82)</f>
        <v>-618.7856737611985</v>
      </c>
      <c r="AD89" s="542">
        <f>SUM('Value Segment'!AD24,'Mid-Market Segment'!AD24,'Upper Mid-Market Segment'!AD24,'Premium Segment'!AD24)/SUM('Value Segment'!AD$82,'Mid-Market Segment'!AD$82,'Upper Mid-Market Segment'!AD$82,'Premium Segment'!AD$82)</f>
        <v>-627.37044132876281</v>
      </c>
      <c r="AE89" s="542">
        <f>SUM('Value Segment'!AE24,'Mid-Market Segment'!AE24,'Upper Mid-Market Segment'!AE24,'Premium Segment'!AE24)/SUM('Value Segment'!AE$82,'Mid-Market Segment'!AE$82,'Upper Mid-Market Segment'!AE$82,'Premium Segment'!AE$82)</f>
        <v>-627.37044132876281</v>
      </c>
      <c r="AF89" s="542">
        <f>SUM('Value Segment'!AF24,'Mid-Market Segment'!AF24,'Upper Mid-Market Segment'!AF24,'Premium Segment'!AF24)/SUM('Value Segment'!AF$82,'Mid-Market Segment'!AF$82,'Upper Mid-Market Segment'!AF$82,'Premium Segment'!AF$82)</f>
        <v>-627.37044132876281</v>
      </c>
      <c r="AG89" s="542">
        <f>SUM('Value Segment'!AG24,'Mid-Market Segment'!AG24,'Upper Mid-Market Segment'!AG24,'Premium Segment'!AG24)/SUM('Value Segment'!AG$82,'Mid-Market Segment'!AG$82,'Upper Mid-Market Segment'!AG$82,'Premium Segment'!AG$82)</f>
        <v>-627.37044132876281</v>
      </c>
      <c r="AH89" s="542">
        <f>SUM('Value Segment'!AH24,'Mid-Market Segment'!AH24,'Upper Mid-Market Segment'!AH24,'Premium Segment'!AH24)/SUM('Value Segment'!AH$82,'Mid-Market Segment'!AH$82,'Upper Mid-Market Segment'!AH$82,'Premium Segment'!AH$82)</f>
        <v>-627.37044132876281</v>
      </c>
      <c r="AI89" s="542">
        <f>SUM('Value Segment'!AI24,'Mid-Market Segment'!AI24,'Upper Mid-Market Segment'!AI24,'Premium Segment'!AI24)/SUM('Value Segment'!AI$82,'Mid-Market Segment'!AI$82,'Upper Mid-Market Segment'!AI$82,'Premium Segment'!AI$82)</f>
        <v>-627.37044132876281</v>
      </c>
      <c r="AJ89" s="542">
        <f>SUM('Value Segment'!AJ24,'Mid-Market Segment'!AJ24,'Upper Mid-Market Segment'!AJ24,'Premium Segment'!AJ24)/SUM('Value Segment'!AJ$82,'Mid-Market Segment'!AJ$82,'Upper Mid-Market Segment'!AJ$82,'Premium Segment'!AJ$82)</f>
        <v>-645.36096998519918</v>
      </c>
      <c r="AK89" s="542">
        <f>SUM('Value Segment'!AK24,'Mid-Market Segment'!AK24,'Upper Mid-Market Segment'!AK24,'Premium Segment'!AK24)/SUM('Value Segment'!AK$82,'Mid-Market Segment'!AK$82,'Upper Mid-Market Segment'!AK$82,'Premium Segment'!AK$82)</f>
        <v>-645.36096998519918</v>
      </c>
      <c r="AL89" s="542">
        <f>SUM('Value Segment'!AL24,'Mid-Market Segment'!AL24,'Upper Mid-Market Segment'!AL24,'Premium Segment'!AL24)/SUM('Value Segment'!AL$82,'Mid-Market Segment'!AL$82,'Upper Mid-Market Segment'!AL$82,'Premium Segment'!AL$82)</f>
        <v>-645.36096998519918</v>
      </c>
      <c r="AM89" s="542">
        <f>SUM('Value Segment'!AM24,'Mid-Market Segment'!AM24,'Upper Mid-Market Segment'!AM24,'Premium Segment'!AM24)/SUM('Value Segment'!AM$82,'Mid-Market Segment'!AM$82,'Upper Mid-Market Segment'!AM$82,'Premium Segment'!AM$82)</f>
        <v>-645.36096998519918</v>
      </c>
      <c r="AN89" s="542">
        <f>SUM('Value Segment'!AN24,'Mid-Market Segment'!AN24,'Upper Mid-Market Segment'!AN24,'Premium Segment'!AN24)/SUM('Value Segment'!AN$82,'Mid-Market Segment'!AN$82,'Upper Mid-Market Segment'!AN$82,'Premium Segment'!AN$82)</f>
        <v>-645.36096998519918</v>
      </c>
      <c r="AO89" s="542">
        <f>SUM('Value Segment'!AO24,'Mid-Market Segment'!AO24,'Upper Mid-Market Segment'!AO24,'Premium Segment'!AO24)/SUM('Value Segment'!AO$82,'Mid-Market Segment'!AO$82,'Upper Mid-Market Segment'!AO$82,'Premium Segment'!AO$82)</f>
        <v>-645.36096998519918</v>
      </c>
      <c r="AP89" s="542">
        <f>SUM('Value Segment'!AP24,'Mid-Market Segment'!AP24,'Upper Mid-Market Segment'!AP24,'Premium Segment'!AP24)/SUM('Value Segment'!AP$82,'Mid-Market Segment'!AP$82,'Upper Mid-Market Segment'!AP$82,'Premium Segment'!AP$82)</f>
        <v>-650.97225306249697</v>
      </c>
      <c r="AQ89" s="542">
        <f>SUM('Value Segment'!AQ24,'Mid-Market Segment'!AQ24,'Upper Mid-Market Segment'!AQ24,'Premium Segment'!AQ24)/SUM('Value Segment'!AQ$82,'Mid-Market Segment'!AQ$82,'Upper Mid-Market Segment'!AQ$82,'Premium Segment'!AQ$82)</f>
        <v>-650.97225306249697</v>
      </c>
      <c r="AR89" s="542">
        <f>SUM('Value Segment'!AR24,'Mid-Market Segment'!AR24,'Upper Mid-Market Segment'!AR24,'Premium Segment'!AR24)/SUM('Value Segment'!AR$82,'Mid-Market Segment'!AR$82,'Upper Mid-Market Segment'!AR$82,'Premium Segment'!AR$82)</f>
        <v>-650.97225306249697</v>
      </c>
      <c r="AS89" s="542">
        <f>SUM('Value Segment'!AS24,'Mid-Market Segment'!AS24,'Upper Mid-Market Segment'!AS24,'Premium Segment'!AS24)/SUM('Value Segment'!AS$82,'Mid-Market Segment'!AS$82,'Upper Mid-Market Segment'!AS$82,'Premium Segment'!AS$82)</f>
        <v>-650.97225306249697</v>
      </c>
      <c r="AT89" s="542">
        <f>SUM('Value Segment'!AT24,'Mid-Market Segment'!AT24,'Upper Mid-Market Segment'!AT24,'Premium Segment'!AT24)/SUM('Value Segment'!AT$82,'Mid-Market Segment'!AT$82,'Upper Mid-Market Segment'!AT$82,'Premium Segment'!AT$82)</f>
        <v>-650.97225306249697</v>
      </c>
      <c r="AU89" s="542">
        <f>SUM('Value Segment'!AU24,'Mid-Market Segment'!AU24,'Upper Mid-Market Segment'!AU24,'Premium Segment'!AU24)/SUM('Value Segment'!AU$82,'Mid-Market Segment'!AU$82,'Upper Mid-Market Segment'!AU$82,'Premium Segment'!AU$82)</f>
        <v>-650.97225306249697</v>
      </c>
      <c r="AV89" s="542">
        <f>SUM('Value Segment'!AV24,'Mid-Market Segment'!AV24,'Upper Mid-Market Segment'!AV24,'Premium Segment'!AV24)/SUM('Value Segment'!AV$82,'Mid-Market Segment'!AV$82,'Upper Mid-Market Segment'!AV$82,'Premium Segment'!AV$82)</f>
        <v>-672.61895255864692</v>
      </c>
      <c r="AW89" s="542">
        <f>SUM('Value Segment'!AW24,'Mid-Market Segment'!AW24,'Upper Mid-Market Segment'!AW24,'Premium Segment'!AW24)/SUM('Value Segment'!AW$82,'Mid-Market Segment'!AW$82,'Upper Mid-Market Segment'!AW$82,'Premium Segment'!AW$82)</f>
        <v>-672.61895255864692</v>
      </c>
      <c r="AX89" s="542">
        <f>SUM('Value Segment'!AX24,'Mid-Market Segment'!AX24,'Upper Mid-Market Segment'!AX24,'Premium Segment'!AX24)/SUM('Value Segment'!AX$82,'Mid-Market Segment'!AX$82,'Upper Mid-Market Segment'!AX$82,'Premium Segment'!AX$82)</f>
        <v>-672.61895255864692</v>
      </c>
      <c r="AY89" s="542">
        <f>SUM('Value Segment'!AY24,'Mid-Market Segment'!AY24,'Upper Mid-Market Segment'!AY24,'Premium Segment'!AY24)/SUM('Value Segment'!AY$82,'Mid-Market Segment'!AY$82,'Upper Mid-Market Segment'!AY$82,'Premium Segment'!AY$82)</f>
        <v>-672.61895255864692</v>
      </c>
      <c r="AZ89" s="542">
        <f>SUM('Value Segment'!AZ24,'Mid-Market Segment'!AZ24,'Upper Mid-Market Segment'!AZ24,'Premium Segment'!AZ24)/SUM('Value Segment'!AZ$82,'Mid-Market Segment'!AZ$82,'Upper Mid-Market Segment'!AZ$82,'Premium Segment'!AZ$82)</f>
        <v>-672.61895255864692</v>
      </c>
      <c r="BA89" s="542">
        <f>SUM('Value Segment'!BA24,'Mid-Market Segment'!BA24,'Upper Mid-Market Segment'!BA24,'Premium Segment'!BA24)/SUM('Value Segment'!BA$82,'Mid-Market Segment'!BA$82,'Upper Mid-Market Segment'!BA$82,'Premium Segment'!BA$82)</f>
        <v>-672.61895255864692</v>
      </c>
      <c r="BB89" s="542">
        <f>SUM('Value Segment'!BB24,'Mid-Market Segment'!BB24,'Upper Mid-Market Segment'!BB24,'Premium Segment'!BB24)/SUM('Value Segment'!BB$82,'Mid-Market Segment'!BB$82,'Upper Mid-Market Segment'!BB$82,'Premium Segment'!BB$82)</f>
        <v>-675.8116622116512</v>
      </c>
      <c r="BC89" s="542">
        <f>SUM('Value Segment'!BC24,'Mid-Market Segment'!BC24,'Upper Mid-Market Segment'!BC24,'Premium Segment'!BC24)/SUM('Value Segment'!BC$82,'Mid-Market Segment'!BC$82,'Upper Mid-Market Segment'!BC$82,'Premium Segment'!BC$82)</f>
        <v>-675.8116622116512</v>
      </c>
      <c r="BD89" s="542">
        <f>SUM('Value Segment'!BD24,'Mid-Market Segment'!BD24,'Upper Mid-Market Segment'!BD24,'Premium Segment'!BD24)/SUM('Value Segment'!BD$82,'Mid-Market Segment'!BD$82,'Upper Mid-Market Segment'!BD$82,'Premium Segment'!BD$82)</f>
        <v>-675.8116622116512</v>
      </c>
      <c r="BE89" s="542">
        <f>SUM('Value Segment'!BE24,'Mid-Market Segment'!BE24,'Upper Mid-Market Segment'!BE24,'Premium Segment'!BE24)/SUM('Value Segment'!BE$82,'Mid-Market Segment'!BE$82,'Upper Mid-Market Segment'!BE$82,'Premium Segment'!BE$82)</f>
        <v>-675.8116622116512</v>
      </c>
      <c r="BF89" s="542">
        <f>SUM('Value Segment'!BF24,'Mid-Market Segment'!BF24,'Upper Mid-Market Segment'!BF24,'Premium Segment'!BF24)/SUM('Value Segment'!BF$82,'Mid-Market Segment'!BF$82,'Upper Mid-Market Segment'!BF$82,'Premium Segment'!BF$82)</f>
        <v>-675.8116622116512</v>
      </c>
      <c r="BG89" s="542">
        <f>SUM('Value Segment'!BG24,'Mid-Market Segment'!BG24,'Upper Mid-Market Segment'!BG24,'Premium Segment'!BG24)/SUM('Value Segment'!BG$82,'Mid-Market Segment'!BG$82,'Upper Mid-Market Segment'!BG$82,'Premium Segment'!BG$82)</f>
        <v>-675.8116622116512</v>
      </c>
      <c r="BH89" s="542">
        <f>SUM('Value Segment'!BH24,'Mid-Market Segment'!BH24,'Upper Mid-Market Segment'!BH24,'Premium Segment'!BH24)/SUM('Value Segment'!BH$82,'Mid-Market Segment'!BH$82,'Upper Mid-Market Segment'!BH$82,'Premium Segment'!BH$82)</f>
        <v>-701.22636220596576</v>
      </c>
      <c r="BI89" s="542">
        <f>SUM('Value Segment'!BI24,'Mid-Market Segment'!BI24,'Upper Mid-Market Segment'!BI24,'Premium Segment'!BI24)/SUM('Value Segment'!BI$82,'Mid-Market Segment'!BI$82,'Upper Mid-Market Segment'!BI$82,'Premium Segment'!BI$82)</f>
        <v>-701.22636220596576</v>
      </c>
      <c r="BJ89" s="542">
        <f>SUM('Value Segment'!BJ24,'Mid-Market Segment'!BJ24,'Upper Mid-Market Segment'!BJ24,'Premium Segment'!BJ24)/SUM('Value Segment'!BJ$82,'Mid-Market Segment'!BJ$82,'Upper Mid-Market Segment'!BJ$82,'Premium Segment'!BJ$82)</f>
        <v>-701.22636220596576</v>
      </c>
      <c r="BK89" s="542">
        <f>SUM('Value Segment'!BK24,'Mid-Market Segment'!BK24,'Upper Mid-Market Segment'!BK24,'Premium Segment'!BK24)/SUM('Value Segment'!BK$82,'Mid-Market Segment'!BK$82,'Upper Mid-Market Segment'!BK$82,'Premium Segment'!BK$82)</f>
        <v>-701.22636220596576</v>
      </c>
      <c r="BL89" s="542">
        <f>SUM('Value Segment'!BL24,'Mid-Market Segment'!BL24,'Upper Mid-Market Segment'!BL24,'Premium Segment'!BL24)/SUM('Value Segment'!BL$82,'Mid-Market Segment'!BL$82,'Upper Mid-Market Segment'!BL$82,'Premium Segment'!BL$82)</f>
        <v>-701.22636220596576</v>
      </c>
      <c r="BM89" s="542">
        <f>SUM('Value Segment'!BM24,'Mid-Market Segment'!BM24,'Upper Mid-Market Segment'!BM24,'Premium Segment'!BM24)/SUM('Value Segment'!BM$82,'Mid-Market Segment'!BM$82,'Upper Mid-Market Segment'!BM$82,'Premium Segment'!BM$82)</f>
        <v>-701.22636220596576</v>
      </c>
      <c r="BN89" s="542">
        <f>SUM('Value Segment'!BN24,'Mid-Market Segment'!BN24,'Upper Mid-Market Segment'!BN24,'Premium Segment'!BN24)/SUM('Value Segment'!BN$82,'Mid-Market Segment'!BN$82,'Upper Mid-Market Segment'!BN$82,'Premium Segment'!BN$82)</f>
        <v>-701.71888147195239</v>
      </c>
      <c r="BO89" s="542">
        <f>SUM('Value Segment'!BO24,'Mid-Market Segment'!BO24,'Upper Mid-Market Segment'!BO24,'Premium Segment'!BO24)/SUM('Value Segment'!BO$82,'Mid-Market Segment'!BO$82,'Upper Mid-Market Segment'!BO$82,'Premium Segment'!BO$82)</f>
        <v>-701.71888147195239</v>
      </c>
      <c r="BP89" s="542">
        <f>SUM('Value Segment'!BP24,'Mid-Market Segment'!BP24,'Upper Mid-Market Segment'!BP24,'Premium Segment'!BP24)/SUM('Value Segment'!BP$82,'Mid-Market Segment'!BP$82,'Upper Mid-Market Segment'!BP$82,'Premium Segment'!BP$82)</f>
        <v>-701.71888147195239</v>
      </c>
      <c r="BQ89" s="542">
        <f>SUM('Value Segment'!BQ24,'Mid-Market Segment'!BQ24,'Upper Mid-Market Segment'!BQ24,'Premium Segment'!BQ24)/SUM('Value Segment'!BQ$82,'Mid-Market Segment'!BQ$82,'Upper Mid-Market Segment'!BQ$82,'Premium Segment'!BQ$82)</f>
        <v>-701.71888147195239</v>
      </c>
      <c r="BR89" s="542">
        <f>SUM('Value Segment'!BR24,'Mid-Market Segment'!BR24,'Upper Mid-Market Segment'!BR24,'Premium Segment'!BR24)/SUM('Value Segment'!BR$82,'Mid-Market Segment'!BR$82,'Upper Mid-Market Segment'!BR$82,'Premium Segment'!BR$82)</f>
        <v>-701.71888147195239</v>
      </c>
      <c r="BS89" s="542">
        <f>SUM('Value Segment'!BS24,'Mid-Market Segment'!BS24,'Upper Mid-Market Segment'!BS24,'Premium Segment'!BS24)/SUM('Value Segment'!BS$82,'Mid-Market Segment'!BS$82,'Upper Mid-Market Segment'!BS$82,'Premium Segment'!BS$82)</f>
        <v>-701.71888147195239</v>
      </c>
      <c r="BT89" s="542">
        <f>SUM('Value Segment'!BT24,'Mid-Market Segment'!BT24,'Upper Mid-Market Segment'!BT24,'Premium Segment'!BT24)/SUM('Value Segment'!BT$82,'Mid-Market Segment'!BT$82,'Upper Mid-Market Segment'!BT$82,'Premium Segment'!BT$82)</f>
        <v>-730.97825036996903</v>
      </c>
      <c r="BU89" s="542">
        <f>SUM('Value Segment'!BU24,'Mid-Market Segment'!BU24,'Upper Mid-Market Segment'!BU24,'Premium Segment'!BU24)/SUM('Value Segment'!BU$82,'Mid-Market Segment'!BU$82,'Upper Mid-Market Segment'!BU$82,'Premium Segment'!BU$82)</f>
        <v>-730.97825036996903</v>
      </c>
      <c r="BV89" s="542">
        <f>SUM('Value Segment'!BV24,'Mid-Market Segment'!BV24,'Upper Mid-Market Segment'!BV24,'Premium Segment'!BV24)/SUM('Value Segment'!BV$82,'Mid-Market Segment'!BV$82,'Upper Mid-Market Segment'!BV$82,'Premium Segment'!BV$82)</f>
        <v>-730.97825036996903</v>
      </c>
      <c r="BW89" s="542">
        <f>SUM('Value Segment'!BW24,'Mid-Market Segment'!BW24,'Upper Mid-Market Segment'!BW24,'Premium Segment'!BW24)/SUM('Value Segment'!BW$82,'Mid-Market Segment'!BW$82,'Upper Mid-Market Segment'!BW$82,'Premium Segment'!BW$82)</f>
        <v>-730.97825036996903</v>
      </c>
      <c r="BX89" s="542">
        <f>SUM('Value Segment'!BX24,'Mid-Market Segment'!BX24,'Upper Mid-Market Segment'!BX24,'Premium Segment'!BX24)/SUM('Value Segment'!BX$82,'Mid-Market Segment'!BX$82,'Upper Mid-Market Segment'!BX$82,'Premium Segment'!BX$82)</f>
        <v>-730.97825036996903</v>
      </c>
      <c r="BY89" s="542">
        <f>SUM('Value Segment'!BY24,'Mid-Market Segment'!BY24,'Upper Mid-Market Segment'!BY24,'Premium Segment'!BY24)/SUM('Value Segment'!BY$82,'Mid-Market Segment'!BY$82,'Upper Mid-Market Segment'!BY$82,'Premium Segment'!BY$82)</f>
        <v>-730.97825036996903</v>
      </c>
      <c r="CB89" s="8"/>
    </row>
    <row r="90" spans="3:80" x14ac:dyDescent="0.3">
      <c r="C90" s="2"/>
      <c r="D90" s="2"/>
      <c r="E90" s="4" t="s">
        <v>385</v>
      </c>
      <c r="F90" s="5"/>
      <c r="G90" s="5"/>
      <c r="H90" s="5"/>
      <c r="I90" s="507">
        <f>SUM('Value Segment'!I25,'Mid-Market Segment'!I25,'Upper Mid-Market Segment'!I25,'Premium Segment'!I25)/SUM('Value Segment'!I$82,'Mid-Market Segment'!I$82,'Upper Mid-Market Segment'!I$82,'Premium Segment'!I$82)</f>
        <v>68884.958149350641</v>
      </c>
      <c r="J90" s="507">
        <f>SUM('Value Segment'!J25,'Mid-Market Segment'!J25,'Upper Mid-Market Segment'!J25,'Premium Segment'!J25)/SUM('Value Segment'!J$82,'Mid-Market Segment'!J$82,'Upper Mid-Market Segment'!J$82,'Premium Segment'!J$82)</f>
        <v>79912.241022267975</v>
      </c>
      <c r="K90" s="507">
        <f>SUM('Value Segment'!K25,'Mid-Market Segment'!K25,'Upper Mid-Market Segment'!K25,'Premium Segment'!K25)/SUM('Value Segment'!K$82,'Mid-Market Segment'!K$82,'Upper Mid-Market Segment'!K$82,'Premium Segment'!K$82)</f>
        <v>85663.999193733194</v>
      </c>
      <c r="L90" s="507">
        <f>SUM('Value Segment'!L25,'Mid-Market Segment'!L25,'Upper Mid-Market Segment'!L25,'Premium Segment'!L25)/SUM('Value Segment'!L$82,'Mid-Market Segment'!L$82,'Upper Mid-Market Segment'!L$82,'Premium Segment'!L$82)</f>
        <v>91559.692327573212</v>
      </c>
      <c r="M90" s="507">
        <f>SUM('Value Segment'!M25,'Mid-Market Segment'!M25,'Upper Mid-Market Segment'!M25,'Premium Segment'!M25)/SUM('Value Segment'!M$82,'Mid-Market Segment'!M$82,'Upper Mid-Market Segment'!M$82,'Premium Segment'!M$82)</f>
        <v>97654.367325058571</v>
      </c>
      <c r="N90" s="507">
        <f>SUM('Value Segment'!N25,'Mid-Market Segment'!N25,'Upper Mid-Market Segment'!N25,'Premium Segment'!N25)/SUM('Value Segment'!N$82,'Mid-Market Segment'!N$82,'Upper Mid-Market Segment'!N$82,'Premium Segment'!N$82)</f>
        <v>104116.79031913121</v>
      </c>
      <c r="O90" s="57"/>
      <c r="P90" s="55">
        <f t="shared" si="103"/>
        <v>8.6123660171291139E-2</v>
      </c>
      <c r="R90" s="507">
        <f>SUM('Value Segment'!R25,'Mid-Market Segment'!R25,'Upper Mid-Market Segment'!R25,'Premium Segment'!R25)/SUM('Value Segment'!R$82,'Mid-Market Segment'!R$82,'Upper Mid-Market Segment'!R$82,'Premium Segment'!R$82)</f>
        <v>6581.4742859804874</v>
      </c>
      <c r="S90" s="661">
        <f>SUM('Value Segment'!S25,'Mid-Market Segment'!S25,'Upper Mid-Market Segment'!S25,'Premium Segment'!S25)/SUM('Value Segment'!S$82,'Mid-Market Segment'!S$82,'Upper Mid-Market Segment'!S$82,'Premium Segment'!S$82)</f>
        <v>6581.4742859804874</v>
      </c>
      <c r="T90" s="661">
        <f>SUM('Value Segment'!T25,'Mid-Market Segment'!T25,'Upper Mid-Market Segment'!T25,'Premium Segment'!T25)/SUM('Value Segment'!T$82,'Mid-Market Segment'!T$82,'Upper Mid-Market Segment'!T$82,'Premium Segment'!T$82)</f>
        <v>6581.4742859804874</v>
      </c>
      <c r="U90" s="661">
        <f>SUM('Value Segment'!U25,'Mid-Market Segment'!U25,'Upper Mid-Market Segment'!U25,'Premium Segment'!U25)/SUM('Value Segment'!U$82,'Mid-Market Segment'!U$82,'Upper Mid-Market Segment'!U$82,'Premium Segment'!U$82)</f>
        <v>6581.4742859804874</v>
      </c>
      <c r="V90" s="661">
        <f>SUM('Value Segment'!V25,'Mid-Market Segment'!V25,'Upper Mid-Market Segment'!V25,'Premium Segment'!V25)/SUM('Value Segment'!V$82,'Mid-Market Segment'!V$82,'Upper Mid-Market Segment'!V$82,'Premium Segment'!V$82)</f>
        <v>6581.4742859804874</v>
      </c>
      <c r="W90" s="661">
        <f>SUM('Value Segment'!W25,'Mid-Market Segment'!W25,'Upper Mid-Market Segment'!W25,'Premium Segment'!W25)/SUM('Value Segment'!W$82,'Mid-Market Segment'!W$82,'Upper Mid-Market Segment'!W$82,'Premium Segment'!W$82)</f>
        <v>6581.4742859804874</v>
      </c>
      <c r="X90" s="661">
        <f>SUM('Value Segment'!X25,'Mid-Market Segment'!X25,'Upper Mid-Market Segment'!X25,'Premium Segment'!X25)/SUM('Value Segment'!X$82,'Mid-Market Segment'!X$82,'Upper Mid-Market Segment'!X$82,'Premium Segment'!X$82)</f>
        <v>6737.232551064174</v>
      </c>
      <c r="Y90" s="661">
        <f>SUM('Value Segment'!Y25,'Mid-Market Segment'!Y25,'Upper Mid-Market Segment'!Y25,'Premium Segment'!Y25)/SUM('Value Segment'!Y$82,'Mid-Market Segment'!Y$82,'Upper Mid-Market Segment'!Y$82,'Premium Segment'!Y$82)</f>
        <v>6737.232551064174</v>
      </c>
      <c r="Z90" s="661">
        <f>SUM('Value Segment'!Z25,'Mid-Market Segment'!Z25,'Upper Mid-Market Segment'!Z25,'Premium Segment'!Z25)/SUM('Value Segment'!Z$82,'Mid-Market Segment'!Z$82,'Upper Mid-Market Segment'!Z$82,'Premium Segment'!Z$82)</f>
        <v>6737.232551064174</v>
      </c>
      <c r="AA90" s="661">
        <f>SUM('Value Segment'!AA25,'Mid-Market Segment'!AA25,'Upper Mid-Market Segment'!AA25,'Premium Segment'!AA25)/SUM('Value Segment'!AA$82,'Mid-Market Segment'!AA$82,'Upper Mid-Market Segment'!AA$82,'Premium Segment'!AA$82)</f>
        <v>6737.232551064174</v>
      </c>
      <c r="AB90" s="661">
        <f>SUM('Value Segment'!AB25,'Mid-Market Segment'!AB25,'Upper Mid-Market Segment'!AB25,'Premium Segment'!AB25)/SUM('Value Segment'!AB$82,'Mid-Market Segment'!AB$82,'Upper Mid-Market Segment'!AB$82,'Premium Segment'!AB$82)</f>
        <v>6737.232551064174</v>
      </c>
      <c r="AC90" s="661">
        <f>SUM('Value Segment'!AC25,'Mid-Market Segment'!AC25,'Upper Mid-Market Segment'!AC25,'Premium Segment'!AC25)/SUM('Value Segment'!AC$82,'Mid-Market Segment'!AC$82,'Upper Mid-Market Segment'!AC$82,'Premium Segment'!AC$82)</f>
        <v>6737.232551064174</v>
      </c>
      <c r="AD90" s="661">
        <f>SUM('Value Segment'!AD25,'Mid-Market Segment'!AD25,'Upper Mid-Market Segment'!AD25,'Premium Segment'!AD25)/SUM('Value Segment'!AD$82,'Mid-Market Segment'!AD$82,'Upper Mid-Market Segment'!AD$82,'Premium Segment'!AD$82)</f>
        <v>7038.5587884606011</v>
      </c>
      <c r="AE90" s="661">
        <f>SUM('Value Segment'!AE25,'Mid-Market Segment'!AE25,'Upper Mid-Market Segment'!AE25,'Premium Segment'!AE25)/SUM('Value Segment'!AE$82,'Mid-Market Segment'!AE$82,'Upper Mid-Market Segment'!AE$82,'Premium Segment'!AE$82)</f>
        <v>7038.5587884606011</v>
      </c>
      <c r="AF90" s="661">
        <f>SUM('Value Segment'!AF25,'Mid-Market Segment'!AF25,'Upper Mid-Market Segment'!AF25,'Premium Segment'!AF25)/SUM('Value Segment'!AF$82,'Mid-Market Segment'!AF$82,'Upper Mid-Market Segment'!AF$82,'Premium Segment'!AF$82)</f>
        <v>7038.5587884606011</v>
      </c>
      <c r="AG90" s="661">
        <f>SUM('Value Segment'!AG25,'Mid-Market Segment'!AG25,'Upper Mid-Market Segment'!AG25,'Premium Segment'!AG25)/SUM('Value Segment'!AG$82,'Mid-Market Segment'!AG$82,'Upper Mid-Market Segment'!AG$82,'Premium Segment'!AG$82)</f>
        <v>7038.5587884606011</v>
      </c>
      <c r="AH90" s="661">
        <f>SUM('Value Segment'!AH25,'Mid-Market Segment'!AH25,'Upper Mid-Market Segment'!AH25,'Premium Segment'!AH25)/SUM('Value Segment'!AH$82,'Mid-Market Segment'!AH$82,'Upper Mid-Market Segment'!AH$82,'Premium Segment'!AH$82)</f>
        <v>7038.5587884606011</v>
      </c>
      <c r="AI90" s="661">
        <f>SUM('Value Segment'!AI25,'Mid-Market Segment'!AI25,'Upper Mid-Market Segment'!AI25,'Premium Segment'!AI25)/SUM('Value Segment'!AI$82,'Mid-Market Segment'!AI$82,'Upper Mid-Market Segment'!AI$82,'Premium Segment'!AI$82)</f>
        <v>7038.5587884606011</v>
      </c>
      <c r="AJ90" s="661">
        <f>SUM('Value Segment'!AJ25,'Mid-Market Segment'!AJ25,'Upper Mid-Market Segment'!AJ25,'Premium Segment'!AJ25)/SUM('Value Segment'!AJ$82,'Mid-Market Segment'!AJ$82,'Upper Mid-Market Segment'!AJ$82,'Premium Segment'!AJ$82)</f>
        <v>7238.7744104949297</v>
      </c>
      <c r="AK90" s="661">
        <f>SUM('Value Segment'!AK25,'Mid-Market Segment'!AK25,'Upper Mid-Market Segment'!AK25,'Premium Segment'!AK25)/SUM('Value Segment'!AK$82,'Mid-Market Segment'!AK$82,'Upper Mid-Market Segment'!AK$82,'Premium Segment'!AK$82)</f>
        <v>7238.7744104949297</v>
      </c>
      <c r="AL90" s="661">
        <f>SUM('Value Segment'!AL25,'Mid-Market Segment'!AL25,'Upper Mid-Market Segment'!AL25,'Premium Segment'!AL25)/SUM('Value Segment'!AL$82,'Mid-Market Segment'!AL$82,'Upper Mid-Market Segment'!AL$82,'Premium Segment'!AL$82)</f>
        <v>7238.7744104949297</v>
      </c>
      <c r="AM90" s="661">
        <f>SUM('Value Segment'!AM25,'Mid-Market Segment'!AM25,'Upper Mid-Market Segment'!AM25,'Premium Segment'!AM25)/SUM('Value Segment'!AM$82,'Mid-Market Segment'!AM$82,'Upper Mid-Market Segment'!AM$82,'Premium Segment'!AM$82)</f>
        <v>7238.7744104949297</v>
      </c>
      <c r="AN90" s="661">
        <f>SUM('Value Segment'!AN25,'Mid-Market Segment'!AN25,'Upper Mid-Market Segment'!AN25,'Premium Segment'!AN25)/SUM('Value Segment'!AN$82,'Mid-Market Segment'!AN$82,'Upper Mid-Market Segment'!AN$82,'Premium Segment'!AN$82)</f>
        <v>7238.7744104949297</v>
      </c>
      <c r="AO90" s="661">
        <f>SUM('Value Segment'!AO25,'Mid-Market Segment'!AO25,'Upper Mid-Market Segment'!AO25,'Premium Segment'!AO25)/SUM('Value Segment'!AO$82,'Mid-Market Segment'!AO$82,'Upper Mid-Market Segment'!AO$82,'Premium Segment'!AO$82)</f>
        <v>7238.7744104949297</v>
      </c>
      <c r="AP90" s="661">
        <f>SUM('Value Segment'!AP25,'Mid-Market Segment'!AP25,'Upper Mid-Market Segment'!AP25,'Premium Segment'!AP25)/SUM('Value Segment'!AP$82,'Mid-Market Segment'!AP$82,'Upper Mid-Market Segment'!AP$82,'Premium Segment'!AP$82)</f>
        <v>7506.1409625884862</v>
      </c>
      <c r="AQ90" s="661">
        <f>SUM('Value Segment'!AQ25,'Mid-Market Segment'!AQ25,'Upper Mid-Market Segment'!AQ25,'Premium Segment'!AQ25)/SUM('Value Segment'!AQ$82,'Mid-Market Segment'!AQ$82,'Upper Mid-Market Segment'!AQ$82,'Premium Segment'!AQ$82)</f>
        <v>7506.1409625884862</v>
      </c>
      <c r="AR90" s="661">
        <f>SUM('Value Segment'!AR25,'Mid-Market Segment'!AR25,'Upper Mid-Market Segment'!AR25,'Premium Segment'!AR25)/SUM('Value Segment'!AR$82,'Mid-Market Segment'!AR$82,'Upper Mid-Market Segment'!AR$82,'Premium Segment'!AR$82)</f>
        <v>7506.1409625884862</v>
      </c>
      <c r="AS90" s="661">
        <f>SUM('Value Segment'!AS25,'Mid-Market Segment'!AS25,'Upper Mid-Market Segment'!AS25,'Premium Segment'!AS25)/SUM('Value Segment'!AS$82,'Mid-Market Segment'!AS$82,'Upper Mid-Market Segment'!AS$82,'Premium Segment'!AS$82)</f>
        <v>7506.1409625884862</v>
      </c>
      <c r="AT90" s="661">
        <f>SUM('Value Segment'!AT25,'Mid-Market Segment'!AT25,'Upper Mid-Market Segment'!AT25,'Premium Segment'!AT25)/SUM('Value Segment'!AT$82,'Mid-Market Segment'!AT$82,'Upper Mid-Market Segment'!AT$82,'Premium Segment'!AT$82)</f>
        <v>7506.1409625884862</v>
      </c>
      <c r="AU90" s="661">
        <f>SUM('Value Segment'!AU25,'Mid-Market Segment'!AU25,'Upper Mid-Market Segment'!AU25,'Premium Segment'!AU25)/SUM('Value Segment'!AU$82,'Mid-Market Segment'!AU$82,'Upper Mid-Market Segment'!AU$82,'Premium Segment'!AU$82)</f>
        <v>7506.1409625884862</v>
      </c>
      <c r="AV90" s="661">
        <f>SUM('Value Segment'!AV25,'Mid-Market Segment'!AV25,'Upper Mid-Market Segment'!AV25,'Premium Segment'!AV25)/SUM('Value Segment'!AV$82,'Mid-Market Segment'!AV$82,'Upper Mid-Market Segment'!AV$82,'Premium Segment'!AV$82)</f>
        <v>7753.807758673719</v>
      </c>
      <c r="AW90" s="661">
        <f>SUM('Value Segment'!AW25,'Mid-Market Segment'!AW25,'Upper Mid-Market Segment'!AW25,'Premium Segment'!AW25)/SUM('Value Segment'!AW$82,'Mid-Market Segment'!AW$82,'Upper Mid-Market Segment'!AW$82,'Premium Segment'!AW$82)</f>
        <v>7753.807758673719</v>
      </c>
      <c r="AX90" s="661">
        <f>SUM('Value Segment'!AX25,'Mid-Market Segment'!AX25,'Upper Mid-Market Segment'!AX25,'Premium Segment'!AX25)/SUM('Value Segment'!AX$82,'Mid-Market Segment'!AX$82,'Upper Mid-Market Segment'!AX$82,'Premium Segment'!AX$82)</f>
        <v>7753.807758673719</v>
      </c>
      <c r="AY90" s="661">
        <f>SUM('Value Segment'!AY25,'Mid-Market Segment'!AY25,'Upper Mid-Market Segment'!AY25,'Premium Segment'!AY25)/SUM('Value Segment'!AY$82,'Mid-Market Segment'!AY$82,'Upper Mid-Market Segment'!AY$82,'Premium Segment'!AY$82)</f>
        <v>7753.807758673719</v>
      </c>
      <c r="AZ90" s="661">
        <f>SUM('Value Segment'!AZ25,'Mid-Market Segment'!AZ25,'Upper Mid-Market Segment'!AZ25,'Premium Segment'!AZ25)/SUM('Value Segment'!AZ$82,'Mid-Market Segment'!AZ$82,'Upper Mid-Market Segment'!AZ$82,'Premium Segment'!AZ$82)</f>
        <v>7753.807758673719</v>
      </c>
      <c r="BA90" s="661">
        <f>SUM('Value Segment'!BA25,'Mid-Market Segment'!BA25,'Upper Mid-Market Segment'!BA25,'Premium Segment'!BA25)/SUM('Value Segment'!BA$82,'Mid-Market Segment'!BA$82,'Upper Mid-Market Segment'!BA$82,'Premium Segment'!BA$82)</f>
        <v>7753.807758673719</v>
      </c>
      <c r="BB90" s="661">
        <f>SUM('Value Segment'!BB25,'Mid-Market Segment'!BB25,'Upper Mid-Market Segment'!BB25,'Premium Segment'!BB25)/SUM('Value Segment'!BB$82,'Mid-Market Segment'!BB$82,'Upper Mid-Market Segment'!BB$82,'Premium Segment'!BB$82)</f>
        <v>7988.7722221643153</v>
      </c>
      <c r="BC90" s="661">
        <f>SUM('Value Segment'!BC25,'Mid-Market Segment'!BC25,'Upper Mid-Market Segment'!BC25,'Premium Segment'!BC25)/SUM('Value Segment'!BC$82,'Mid-Market Segment'!BC$82,'Upper Mid-Market Segment'!BC$82,'Premium Segment'!BC$82)</f>
        <v>7988.7722221643153</v>
      </c>
      <c r="BD90" s="661">
        <f>SUM('Value Segment'!BD25,'Mid-Market Segment'!BD25,'Upper Mid-Market Segment'!BD25,'Premium Segment'!BD25)/SUM('Value Segment'!BD$82,'Mid-Market Segment'!BD$82,'Upper Mid-Market Segment'!BD$82,'Premium Segment'!BD$82)</f>
        <v>7988.7722221643153</v>
      </c>
      <c r="BE90" s="661">
        <f>SUM('Value Segment'!BE25,'Mid-Market Segment'!BE25,'Upper Mid-Market Segment'!BE25,'Premium Segment'!BE25)/SUM('Value Segment'!BE$82,'Mid-Market Segment'!BE$82,'Upper Mid-Market Segment'!BE$82,'Premium Segment'!BE$82)</f>
        <v>7988.7722221643153</v>
      </c>
      <c r="BF90" s="661">
        <f>SUM('Value Segment'!BF25,'Mid-Market Segment'!BF25,'Upper Mid-Market Segment'!BF25,'Premium Segment'!BF25)/SUM('Value Segment'!BF$82,'Mid-Market Segment'!BF$82,'Upper Mid-Market Segment'!BF$82,'Premium Segment'!BF$82)</f>
        <v>7988.7722221643153</v>
      </c>
      <c r="BG90" s="661">
        <f>SUM('Value Segment'!BG25,'Mid-Market Segment'!BG25,'Upper Mid-Market Segment'!BG25,'Premium Segment'!BG25)/SUM('Value Segment'!BG$82,'Mid-Market Segment'!BG$82,'Upper Mid-Market Segment'!BG$82,'Premium Segment'!BG$82)</f>
        <v>7988.7722221643153</v>
      </c>
      <c r="BH90" s="661">
        <f>SUM('Value Segment'!BH25,'Mid-Market Segment'!BH25,'Upper Mid-Market Segment'!BH25,'Premium Segment'!BH25)/SUM('Value Segment'!BH$82,'Mid-Market Segment'!BH$82,'Upper Mid-Market Segment'!BH$82,'Premium Segment'!BH$82)</f>
        <v>8286.9556653454511</v>
      </c>
      <c r="BI90" s="661">
        <f>SUM('Value Segment'!BI25,'Mid-Market Segment'!BI25,'Upper Mid-Market Segment'!BI25,'Premium Segment'!BI25)/SUM('Value Segment'!BI$82,'Mid-Market Segment'!BI$82,'Upper Mid-Market Segment'!BI$82,'Premium Segment'!BI$82)</f>
        <v>8286.9556653454511</v>
      </c>
      <c r="BJ90" s="661">
        <f>SUM('Value Segment'!BJ25,'Mid-Market Segment'!BJ25,'Upper Mid-Market Segment'!BJ25,'Premium Segment'!BJ25)/SUM('Value Segment'!BJ$82,'Mid-Market Segment'!BJ$82,'Upper Mid-Market Segment'!BJ$82,'Premium Segment'!BJ$82)</f>
        <v>8286.9556653454511</v>
      </c>
      <c r="BK90" s="661">
        <f>SUM('Value Segment'!BK25,'Mid-Market Segment'!BK25,'Upper Mid-Market Segment'!BK25,'Premium Segment'!BK25)/SUM('Value Segment'!BK$82,'Mid-Market Segment'!BK$82,'Upper Mid-Market Segment'!BK$82,'Premium Segment'!BK$82)</f>
        <v>8286.9556653454511</v>
      </c>
      <c r="BL90" s="661">
        <f>SUM('Value Segment'!BL25,'Mid-Market Segment'!BL25,'Upper Mid-Market Segment'!BL25,'Premium Segment'!BL25)/SUM('Value Segment'!BL$82,'Mid-Market Segment'!BL$82,'Upper Mid-Market Segment'!BL$82,'Premium Segment'!BL$82)</f>
        <v>8286.9556653454511</v>
      </c>
      <c r="BM90" s="661">
        <f>SUM('Value Segment'!BM25,'Mid-Market Segment'!BM25,'Upper Mid-Market Segment'!BM25,'Premium Segment'!BM25)/SUM('Value Segment'!BM$82,'Mid-Market Segment'!BM$82,'Upper Mid-Market Segment'!BM$82,'Premium Segment'!BM$82)</f>
        <v>8286.9556653454511</v>
      </c>
      <c r="BN90" s="661">
        <f>SUM('Value Segment'!BN25,'Mid-Market Segment'!BN25,'Upper Mid-Market Segment'!BN25,'Premium Segment'!BN25)/SUM('Value Segment'!BN$82,'Mid-Market Segment'!BN$82,'Upper Mid-Market Segment'!BN$82,'Premium Segment'!BN$82)</f>
        <v>8500.4527476728781</v>
      </c>
      <c r="BO90" s="661">
        <f>SUM('Value Segment'!BO25,'Mid-Market Segment'!BO25,'Upper Mid-Market Segment'!BO25,'Premium Segment'!BO25)/SUM('Value Segment'!BO$82,'Mid-Market Segment'!BO$82,'Upper Mid-Market Segment'!BO$82,'Premium Segment'!BO$82)</f>
        <v>8500.4527476728781</v>
      </c>
      <c r="BP90" s="661">
        <f>SUM('Value Segment'!BP25,'Mid-Market Segment'!BP25,'Upper Mid-Market Segment'!BP25,'Premium Segment'!BP25)/SUM('Value Segment'!BP$82,'Mid-Market Segment'!BP$82,'Upper Mid-Market Segment'!BP$82,'Premium Segment'!BP$82)</f>
        <v>8500.4527476728781</v>
      </c>
      <c r="BQ90" s="661">
        <f>SUM('Value Segment'!BQ25,'Mid-Market Segment'!BQ25,'Upper Mid-Market Segment'!BQ25,'Premium Segment'!BQ25)/SUM('Value Segment'!BQ$82,'Mid-Market Segment'!BQ$82,'Upper Mid-Market Segment'!BQ$82,'Premium Segment'!BQ$82)</f>
        <v>8500.4527476728781</v>
      </c>
      <c r="BR90" s="661">
        <f>SUM('Value Segment'!BR25,'Mid-Market Segment'!BR25,'Upper Mid-Market Segment'!BR25,'Premium Segment'!BR25)/SUM('Value Segment'!BR$82,'Mid-Market Segment'!BR$82,'Upper Mid-Market Segment'!BR$82,'Premium Segment'!BR$82)</f>
        <v>8500.4527476728781</v>
      </c>
      <c r="BS90" s="661">
        <f>SUM('Value Segment'!BS25,'Mid-Market Segment'!BS25,'Upper Mid-Market Segment'!BS25,'Premium Segment'!BS25)/SUM('Value Segment'!BS$82,'Mid-Market Segment'!BS$82,'Upper Mid-Market Segment'!BS$82,'Premium Segment'!BS$82)</f>
        <v>8500.4527476728781</v>
      </c>
      <c r="BT90" s="661">
        <f>SUM('Value Segment'!BT25,'Mid-Market Segment'!BT25,'Upper Mid-Market Segment'!BT25,'Premium Segment'!BT25)/SUM('Value Segment'!BT$82,'Mid-Market Segment'!BT$82,'Upper Mid-Market Segment'!BT$82,'Premium Segment'!BT$82)</f>
        <v>8852.3456388489885</v>
      </c>
      <c r="BU90" s="661">
        <f>SUM('Value Segment'!BU25,'Mid-Market Segment'!BU25,'Upper Mid-Market Segment'!BU25,'Premium Segment'!BU25)/SUM('Value Segment'!BU$82,'Mid-Market Segment'!BU$82,'Upper Mid-Market Segment'!BU$82,'Premium Segment'!BU$82)</f>
        <v>8852.3456388489885</v>
      </c>
      <c r="BV90" s="661">
        <f>SUM('Value Segment'!BV25,'Mid-Market Segment'!BV25,'Upper Mid-Market Segment'!BV25,'Premium Segment'!BV25)/SUM('Value Segment'!BV$82,'Mid-Market Segment'!BV$82,'Upper Mid-Market Segment'!BV$82,'Premium Segment'!BV$82)</f>
        <v>8852.3456388489885</v>
      </c>
      <c r="BW90" s="661">
        <f>SUM('Value Segment'!BW25,'Mid-Market Segment'!BW25,'Upper Mid-Market Segment'!BW25,'Premium Segment'!BW25)/SUM('Value Segment'!BW$82,'Mid-Market Segment'!BW$82,'Upper Mid-Market Segment'!BW$82,'Premium Segment'!BW$82)</f>
        <v>8852.3456388489885</v>
      </c>
      <c r="BX90" s="661">
        <f>SUM('Value Segment'!BX25,'Mid-Market Segment'!BX25,'Upper Mid-Market Segment'!BX25,'Premium Segment'!BX25)/SUM('Value Segment'!BX$82,'Mid-Market Segment'!BX$82,'Upper Mid-Market Segment'!BX$82,'Premium Segment'!BX$82)</f>
        <v>8852.3456388489885</v>
      </c>
      <c r="BY90" s="661">
        <f>SUM('Value Segment'!BY25,'Mid-Market Segment'!BY25,'Upper Mid-Market Segment'!BY25,'Premium Segment'!BY25)/SUM('Value Segment'!BY$82,'Mid-Market Segment'!BY$82,'Upper Mid-Market Segment'!BY$82,'Premium Segment'!BY$82)</f>
        <v>8852.3456388489885</v>
      </c>
      <c r="CB90" s="8"/>
    </row>
    <row r="91" spans="3:80" x14ac:dyDescent="0.3">
      <c r="C91" s="2"/>
      <c r="D91" s="2"/>
      <c r="E91" s="2" t="s">
        <v>389</v>
      </c>
      <c r="F91" s="54"/>
      <c r="G91" s="54"/>
      <c r="H91" s="54"/>
      <c r="I91" s="19">
        <f>SUM('Value Segment'!I26,'Mid-Market Segment'!I26,'Upper Mid-Market Segment'!I26,'Premium Segment'!I26)/SUM('Value Segment'!I$82,'Mid-Market Segment'!I$82,'Upper Mid-Market Segment'!I$82,'Premium Segment'!I$82)</f>
        <v>-24364.483971573834</v>
      </c>
      <c r="J91" s="19">
        <f>SUM('Value Segment'!J26,'Mid-Market Segment'!J26,'Upper Mid-Market Segment'!J26,'Premium Segment'!J26)/SUM('Value Segment'!J$82,'Mid-Market Segment'!J$82,'Upper Mid-Market Segment'!J$82,'Premium Segment'!J$82)</f>
        <v>-25750.744901819344</v>
      </c>
      <c r="K91" s="19">
        <f>SUM('Value Segment'!K26,'Mid-Market Segment'!K26,'Upper Mid-Market Segment'!K26,'Premium Segment'!K26)/SUM('Value Segment'!K$82,'Mid-Market Segment'!K$82,'Upper Mid-Market Segment'!K$82,'Premium Segment'!K$82)</f>
        <v>-27393.287518769102</v>
      </c>
      <c r="L91" s="19">
        <f>SUM('Value Segment'!L26,'Mid-Market Segment'!L26,'Upper Mid-Market Segment'!L26,'Premium Segment'!L26)/SUM('Value Segment'!L$82,'Mid-Market Segment'!L$82,'Upper Mid-Market Segment'!L$82,'Premium Segment'!L$82)</f>
        <v>-29076.811608691492</v>
      </c>
      <c r="M91" s="19">
        <f>SUM('Value Segment'!M26,'Mid-Market Segment'!M26,'Upper Mid-Market Segment'!M26,'Premium Segment'!M26)/SUM('Value Segment'!M$82,'Mid-Market Segment'!M$82,'Upper Mid-Market Segment'!M$82,'Premium Segment'!M$82)</f>
        <v>-30820.487643518227</v>
      </c>
      <c r="N91" s="19">
        <f>SUM('Value Segment'!N26,'Mid-Market Segment'!N26,'Upper Mid-Market Segment'!N26,'Premium Segment'!N26)/SUM('Value Segment'!N$82,'Mid-Market Segment'!N$82,'Upper Mid-Market Segment'!N$82,'Premium Segment'!N$82)</f>
        <v>-32662.785479404189</v>
      </c>
      <c r="O91" s="37"/>
      <c r="P91" s="50">
        <f t="shared" si="103"/>
        <v>6.037431677401961E-2</v>
      </c>
      <c r="R91" s="19">
        <f>SUM('Value Segment'!R26,'Mid-Market Segment'!R26,'Upper Mid-Market Segment'!R26,'Premium Segment'!R26)/SUM('Value Segment'!R$82,'Mid-Market Segment'!R$82,'Upper Mid-Market Segment'!R$82,'Premium Segment'!R$82)</f>
        <v>-2121.0835281508012</v>
      </c>
      <c r="S91" s="542">
        <f>SUM('Value Segment'!S26,'Mid-Market Segment'!S26,'Upper Mid-Market Segment'!S26,'Premium Segment'!S26)/SUM('Value Segment'!S$82,'Mid-Market Segment'!S$82,'Upper Mid-Market Segment'!S$82,'Premium Segment'!S$82)</f>
        <v>-2121.0835281508012</v>
      </c>
      <c r="T91" s="542">
        <f>SUM('Value Segment'!T26,'Mid-Market Segment'!T26,'Upper Mid-Market Segment'!T26,'Premium Segment'!T26)/SUM('Value Segment'!T$82,'Mid-Market Segment'!T$82,'Upper Mid-Market Segment'!T$82,'Premium Segment'!T$82)</f>
        <v>-2121.0835281508012</v>
      </c>
      <c r="U91" s="542">
        <f>SUM('Value Segment'!U26,'Mid-Market Segment'!U26,'Upper Mid-Market Segment'!U26,'Premium Segment'!U26)/SUM('Value Segment'!U$82,'Mid-Market Segment'!U$82,'Upper Mid-Market Segment'!U$82,'Premium Segment'!U$82)</f>
        <v>-2121.0835281508012</v>
      </c>
      <c r="V91" s="542">
        <f>SUM('Value Segment'!V26,'Mid-Market Segment'!V26,'Upper Mid-Market Segment'!V26,'Premium Segment'!V26)/SUM('Value Segment'!V$82,'Mid-Market Segment'!V$82,'Upper Mid-Market Segment'!V$82,'Premium Segment'!V$82)</f>
        <v>-2121.0835281508012</v>
      </c>
      <c r="W91" s="542">
        <f>SUM('Value Segment'!W26,'Mid-Market Segment'!W26,'Upper Mid-Market Segment'!W26,'Premium Segment'!W26)/SUM('Value Segment'!W$82,'Mid-Market Segment'!W$82,'Upper Mid-Market Segment'!W$82,'Premium Segment'!W$82)</f>
        <v>-2121.0835281508012</v>
      </c>
      <c r="X91" s="542">
        <f>SUM('Value Segment'!X26,'Mid-Market Segment'!X26,'Upper Mid-Market Segment'!X26,'Premium Segment'!X26)/SUM('Value Segment'!X$82,'Mid-Market Segment'!X$82,'Upper Mid-Market Segment'!X$82,'Premium Segment'!X$82)</f>
        <v>-2170.7072888190892</v>
      </c>
      <c r="Y91" s="542">
        <f>SUM('Value Segment'!Y26,'Mid-Market Segment'!Y26,'Upper Mid-Market Segment'!Y26,'Premium Segment'!Y26)/SUM('Value Segment'!Y$82,'Mid-Market Segment'!Y$82,'Upper Mid-Market Segment'!Y$82,'Premium Segment'!Y$82)</f>
        <v>-2170.7072888190892</v>
      </c>
      <c r="Z91" s="542">
        <f>SUM('Value Segment'!Z26,'Mid-Market Segment'!Z26,'Upper Mid-Market Segment'!Z26,'Premium Segment'!Z26)/SUM('Value Segment'!Z$82,'Mid-Market Segment'!Z$82,'Upper Mid-Market Segment'!Z$82,'Premium Segment'!Z$82)</f>
        <v>-2170.7072888190892</v>
      </c>
      <c r="AA91" s="542">
        <f>SUM('Value Segment'!AA26,'Mid-Market Segment'!AA26,'Upper Mid-Market Segment'!AA26,'Premium Segment'!AA26)/SUM('Value Segment'!AA$82,'Mid-Market Segment'!AA$82,'Upper Mid-Market Segment'!AA$82,'Premium Segment'!AA$82)</f>
        <v>-2170.7072888190892</v>
      </c>
      <c r="AB91" s="542">
        <f>SUM('Value Segment'!AB26,'Mid-Market Segment'!AB26,'Upper Mid-Market Segment'!AB26,'Premium Segment'!AB26)/SUM('Value Segment'!AB$82,'Mid-Market Segment'!AB$82,'Upper Mid-Market Segment'!AB$82,'Premium Segment'!AB$82)</f>
        <v>-2170.7072888190892</v>
      </c>
      <c r="AC91" s="542">
        <f>SUM('Value Segment'!AC26,'Mid-Market Segment'!AC26,'Upper Mid-Market Segment'!AC26,'Premium Segment'!AC26)/SUM('Value Segment'!AC$82,'Mid-Market Segment'!AC$82,'Upper Mid-Market Segment'!AC$82,'Premium Segment'!AC$82)</f>
        <v>-2170.7072888190892</v>
      </c>
      <c r="AD91" s="542">
        <f>SUM('Value Segment'!AD26,'Mid-Market Segment'!AD26,'Upper Mid-Market Segment'!AD26,'Premium Segment'!AD26)/SUM('Value Segment'!AD$82,'Mid-Market Segment'!AD$82,'Upper Mid-Market Segment'!AD$82,'Premium Segment'!AD$82)</f>
        <v>-2251.1479320771778</v>
      </c>
      <c r="AE91" s="542">
        <f>SUM('Value Segment'!AE26,'Mid-Market Segment'!AE26,'Upper Mid-Market Segment'!AE26,'Premium Segment'!AE26)/SUM('Value Segment'!AE$82,'Mid-Market Segment'!AE$82,'Upper Mid-Market Segment'!AE$82,'Premium Segment'!AE$82)</f>
        <v>-2251.1479320771778</v>
      </c>
      <c r="AF91" s="542">
        <f>SUM('Value Segment'!AF26,'Mid-Market Segment'!AF26,'Upper Mid-Market Segment'!AF26,'Premium Segment'!AF26)/SUM('Value Segment'!AF$82,'Mid-Market Segment'!AF$82,'Upper Mid-Market Segment'!AF$82,'Premium Segment'!AF$82)</f>
        <v>-2251.1479320771778</v>
      </c>
      <c r="AG91" s="542">
        <f>SUM('Value Segment'!AG26,'Mid-Market Segment'!AG26,'Upper Mid-Market Segment'!AG26,'Premium Segment'!AG26)/SUM('Value Segment'!AG$82,'Mid-Market Segment'!AG$82,'Upper Mid-Market Segment'!AG$82,'Premium Segment'!AG$82)</f>
        <v>-2251.1479320771778</v>
      </c>
      <c r="AH91" s="542">
        <f>SUM('Value Segment'!AH26,'Mid-Market Segment'!AH26,'Upper Mid-Market Segment'!AH26,'Premium Segment'!AH26)/SUM('Value Segment'!AH$82,'Mid-Market Segment'!AH$82,'Upper Mid-Market Segment'!AH$82,'Premium Segment'!AH$82)</f>
        <v>-2251.1479320771778</v>
      </c>
      <c r="AI91" s="542">
        <f>SUM('Value Segment'!AI26,'Mid-Market Segment'!AI26,'Upper Mid-Market Segment'!AI26,'Premium Segment'!AI26)/SUM('Value Segment'!AI$82,'Mid-Market Segment'!AI$82,'Upper Mid-Market Segment'!AI$82,'Premium Segment'!AI$82)</f>
        <v>-2251.1479320771778</v>
      </c>
      <c r="AJ91" s="542">
        <f>SUM('Value Segment'!AJ26,'Mid-Market Segment'!AJ26,'Upper Mid-Market Segment'!AJ26,'Premium Segment'!AJ26)/SUM('Value Segment'!AJ$82,'Mid-Market Segment'!AJ$82,'Upper Mid-Market Segment'!AJ$82,'Premium Segment'!AJ$82)</f>
        <v>-2314.399987717673</v>
      </c>
      <c r="AK91" s="542">
        <f>SUM('Value Segment'!AK26,'Mid-Market Segment'!AK26,'Upper Mid-Market Segment'!AK26,'Premium Segment'!AK26)/SUM('Value Segment'!AK$82,'Mid-Market Segment'!AK$82,'Upper Mid-Market Segment'!AK$82,'Premium Segment'!AK$82)</f>
        <v>-2314.399987717673</v>
      </c>
      <c r="AL91" s="542">
        <f>SUM('Value Segment'!AL26,'Mid-Market Segment'!AL26,'Upper Mid-Market Segment'!AL26,'Premium Segment'!AL26)/SUM('Value Segment'!AL$82,'Mid-Market Segment'!AL$82,'Upper Mid-Market Segment'!AL$82,'Premium Segment'!AL$82)</f>
        <v>-2314.399987717673</v>
      </c>
      <c r="AM91" s="542">
        <f>SUM('Value Segment'!AM26,'Mid-Market Segment'!AM26,'Upper Mid-Market Segment'!AM26,'Premium Segment'!AM26)/SUM('Value Segment'!AM$82,'Mid-Market Segment'!AM$82,'Upper Mid-Market Segment'!AM$82,'Premium Segment'!AM$82)</f>
        <v>-2314.399987717673</v>
      </c>
      <c r="AN91" s="542">
        <f>SUM('Value Segment'!AN26,'Mid-Market Segment'!AN26,'Upper Mid-Market Segment'!AN26,'Premium Segment'!AN26)/SUM('Value Segment'!AN$82,'Mid-Market Segment'!AN$82,'Upper Mid-Market Segment'!AN$82,'Premium Segment'!AN$82)</f>
        <v>-2314.399987717673</v>
      </c>
      <c r="AO91" s="542">
        <f>SUM('Value Segment'!AO26,'Mid-Market Segment'!AO26,'Upper Mid-Market Segment'!AO26,'Premium Segment'!AO26)/SUM('Value Segment'!AO$82,'Mid-Market Segment'!AO$82,'Upper Mid-Market Segment'!AO$82,'Premium Segment'!AO$82)</f>
        <v>-2314.399987717673</v>
      </c>
      <c r="AP91" s="542">
        <f>SUM('Value Segment'!AP26,'Mid-Market Segment'!AP26,'Upper Mid-Market Segment'!AP26,'Premium Segment'!AP26)/SUM('Value Segment'!AP$82,'Mid-Market Segment'!AP$82,'Upper Mid-Market Segment'!AP$82,'Premium Segment'!AP$82)</f>
        <v>-2384.233547768049</v>
      </c>
      <c r="AQ91" s="542">
        <f>SUM('Value Segment'!AQ26,'Mid-Market Segment'!AQ26,'Upper Mid-Market Segment'!AQ26,'Premium Segment'!AQ26)/SUM('Value Segment'!AQ$82,'Mid-Market Segment'!AQ$82,'Upper Mid-Market Segment'!AQ$82,'Premium Segment'!AQ$82)</f>
        <v>-2384.233547768049</v>
      </c>
      <c r="AR91" s="542">
        <f>SUM('Value Segment'!AR26,'Mid-Market Segment'!AR26,'Upper Mid-Market Segment'!AR26,'Premium Segment'!AR26)/SUM('Value Segment'!AR$82,'Mid-Market Segment'!AR$82,'Upper Mid-Market Segment'!AR$82,'Premium Segment'!AR$82)</f>
        <v>-2384.233547768049</v>
      </c>
      <c r="AS91" s="542">
        <f>SUM('Value Segment'!AS26,'Mid-Market Segment'!AS26,'Upper Mid-Market Segment'!AS26,'Premium Segment'!AS26)/SUM('Value Segment'!AS$82,'Mid-Market Segment'!AS$82,'Upper Mid-Market Segment'!AS$82,'Premium Segment'!AS$82)</f>
        <v>-2384.233547768049</v>
      </c>
      <c r="AT91" s="542">
        <f>SUM('Value Segment'!AT26,'Mid-Market Segment'!AT26,'Upper Mid-Market Segment'!AT26,'Premium Segment'!AT26)/SUM('Value Segment'!AT$82,'Mid-Market Segment'!AT$82,'Upper Mid-Market Segment'!AT$82,'Premium Segment'!AT$82)</f>
        <v>-2384.233547768049</v>
      </c>
      <c r="AU91" s="542">
        <f>SUM('Value Segment'!AU26,'Mid-Market Segment'!AU26,'Upper Mid-Market Segment'!AU26,'Premium Segment'!AU26)/SUM('Value Segment'!AU$82,'Mid-Market Segment'!AU$82,'Upper Mid-Market Segment'!AU$82,'Premium Segment'!AU$82)</f>
        <v>-2384.233547768049</v>
      </c>
      <c r="AV91" s="542">
        <f>SUM('Value Segment'!AV26,'Mid-Market Segment'!AV26,'Upper Mid-Market Segment'!AV26,'Premium Segment'!AV26)/SUM('Value Segment'!AV$82,'Mid-Market Segment'!AV$82,'Upper Mid-Market Segment'!AV$82,'Premium Segment'!AV$82)</f>
        <v>-2461.9017203472004</v>
      </c>
      <c r="AW91" s="542">
        <f>SUM('Value Segment'!AW26,'Mid-Market Segment'!AW26,'Upper Mid-Market Segment'!AW26,'Premium Segment'!AW26)/SUM('Value Segment'!AW$82,'Mid-Market Segment'!AW$82,'Upper Mid-Market Segment'!AW$82,'Premium Segment'!AW$82)</f>
        <v>-2461.9017203472004</v>
      </c>
      <c r="AX91" s="542">
        <f>SUM('Value Segment'!AX26,'Mid-Market Segment'!AX26,'Upper Mid-Market Segment'!AX26,'Premium Segment'!AX26)/SUM('Value Segment'!AX$82,'Mid-Market Segment'!AX$82,'Upper Mid-Market Segment'!AX$82,'Premium Segment'!AX$82)</f>
        <v>-2461.9017203472004</v>
      </c>
      <c r="AY91" s="542">
        <f>SUM('Value Segment'!AY26,'Mid-Market Segment'!AY26,'Upper Mid-Market Segment'!AY26,'Premium Segment'!AY26)/SUM('Value Segment'!AY$82,'Mid-Market Segment'!AY$82,'Upper Mid-Market Segment'!AY$82,'Premium Segment'!AY$82)</f>
        <v>-2461.9017203472004</v>
      </c>
      <c r="AZ91" s="542">
        <f>SUM('Value Segment'!AZ26,'Mid-Market Segment'!AZ26,'Upper Mid-Market Segment'!AZ26,'Premium Segment'!AZ26)/SUM('Value Segment'!AZ$82,'Mid-Market Segment'!AZ$82,'Upper Mid-Market Segment'!AZ$82,'Premium Segment'!AZ$82)</f>
        <v>-2461.9017203472004</v>
      </c>
      <c r="BA91" s="542">
        <f>SUM('Value Segment'!BA26,'Mid-Market Segment'!BA26,'Upper Mid-Market Segment'!BA26,'Premium Segment'!BA26)/SUM('Value Segment'!BA$82,'Mid-Market Segment'!BA$82,'Upper Mid-Market Segment'!BA$82,'Premium Segment'!BA$82)</f>
        <v>-2461.9017203472004</v>
      </c>
      <c r="BB91" s="542">
        <f>SUM('Value Segment'!BB26,'Mid-Market Segment'!BB26,'Upper Mid-Market Segment'!BB26,'Premium Segment'!BB26)/SUM('Value Segment'!BB$82,'Mid-Market Segment'!BB$82,'Upper Mid-Market Segment'!BB$82,'Premium Segment'!BB$82)</f>
        <v>-2521.9197077754438</v>
      </c>
      <c r="BC91" s="542">
        <f>SUM('Value Segment'!BC26,'Mid-Market Segment'!BC26,'Upper Mid-Market Segment'!BC26,'Premium Segment'!BC26)/SUM('Value Segment'!BC$82,'Mid-Market Segment'!BC$82,'Upper Mid-Market Segment'!BC$82,'Premium Segment'!BC$82)</f>
        <v>-2521.9197077754438</v>
      </c>
      <c r="BD91" s="542">
        <f>SUM('Value Segment'!BD26,'Mid-Market Segment'!BD26,'Upper Mid-Market Segment'!BD26,'Premium Segment'!BD26)/SUM('Value Segment'!BD$82,'Mid-Market Segment'!BD$82,'Upper Mid-Market Segment'!BD$82,'Premium Segment'!BD$82)</f>
        <v>-2521.9197077754438</v>
      </c>
      <c r="BE91" s="542">
        <f>SUM('Value Segment'!BE26,'Mid-Market Segment'!BE26,'Upper Mid-Market Segment'!BE26,'Premium Segment'!BE26)/SUM('Value Segment'!BE$82,'Mid-Market Segment'!BE$82,'Upper Mid-Market Segment'!BE$82,'Premium Segment'!BE$82)</f>
        <v>-2521.9197077754438</v>
      </c>
      <c r="BF91" s="542">
        <f>SUM('Value Segment'!BF26,'Mid-Market Segment'!BF26,'Upper Mid-Market Segment'!BF26,'Premium Segment'!BF26)/SUM('Value Segment'!BF$82,'Mid-Market Segment'!BF$82,'Upper Mid-Market Segment'!BF$82,'Premium Segment'!BF$82)</f>
        <v>-2521.9197077754438</v>
      </c>
      <c r="BG91" s="542">
        <f>SUM('Value Segment'!BG26,'Mid-Market Segment'!BG26,'Upper Mid-Market Segment'!BG26,'Premium Segment'!BG26)/SUM('Value Segment'!BG$82,'Mid-Market Segment'!BG$82,'Upper Mid-Market Segment'!BG$82,'Premium Segment'!BG$82)</f>
        <v>-2521.9197077754438</v>
      </c>
      <c r="BH91" s="542">
        <f>SUM('Value Segment'!BH26,'Mid-Market Segment'!BH26,'Upper Mid-Market Segment'!BH26,'Premium Segment'!BH26)/SUM('Value Segment'!BH$82,'Mid-Market Segment'!BH$82,'Upper Mid-Market Segment'!BH$82,'Premium Segment'!BH$82)</f>
        <v>-2614.8282328109276</v>
      </c>
      <c r="BI91" s="542">
        <f>SUM('Value Segment'!BI26,'Mid-Market Segment'!BI26,'Upper Mid-Market Segment'!BI26,'Premium Segment'!BI26)/SUM('Value Segment'!BI$82,'Mid-Market Segment'!BI$82,'Upper Mid-Market Segment'!BI$82,'Premium Segment'!BI$82)</f>
        <v>-2614.8282328109276</v>
      </c>
      <c r="BJ91" s="542">
        <f>SUM('Value Segment'!BJ26,'Mid-Market Segment'!BJ26,'Upper Mid-Market Segment'!BJ26,'Premium Segment'!BJ26)/SUM('Value Segment'!BJ$82,'Mid-Market Segment'!BJ$82,'Upper Mid-Market Segment'!BJ$82,'Premium Segment'!BJ$82)</f>
        <v>-2614.8282328109276</v>
      </c>
      <c r="BK91" s="542">
        <f>SUM('Value Segment'!BK26,'Mid-Market Segment'!BK26,'Upper Mid-Market Segment'!BK26,'Premium Segment'!BK26)/SUM('Value Segment'!BK$82,'Mid-Market Segment'!BK$82,'Upper Mid-Market Segment'!BK$82,'Premium Segment'!BK$82)</f>
        <v>-2614.8282328109276</v>
      </c>
      <c r="BL91" s="542">
        <f>SUM('Value Segment'!BL26,'Mid-Market Segment'!BL26,'Upper Mid-Market Segment'!BL26,'Premium Segment'!BL26)/SUM('Value Segment'!BL$82,'Mid-Market Segment'!BL$82,'Upper Mid-Market Segment'!BL$82,'Premium Segment'!BL$82)</f>
        <v>-2614.8282328109276</v>
      </c>
      <c r="BM91" s="542">
        <f>SUM('Value Segment'!BM26,'Mid-Market Segment'!BM26,'Upper Mid-Market Segment'!BM26,'Premium Segment'!BM26)/SUM('Value Segment'!BM$82,'Mid-Market Segment'!BM$82,'Upper Mid-Market Segment'!BM$82,'Premium Segment'!BM$82)</f>
        <v>-2614.8282328109276</v>
      </c>
      <c r="BN91" s="542">
        <f>SUM('Value Segment'!BN26,'Mid-Market Segment'!BN26,'Upper Mid-Market Segment'!BN26,'Premium Segment'!BN26)/SUM('Value Segment'!BN$82,'Mid-Market Segment'!BN$82,'Upper Mid-Market Segment'!BN$82,'Premium Segment'!BN$82)</f>
        <v>-2667.4119034206369</v>
      </c>
      <c r="BO91" s="542">
        <f>SUM('Value Segment'!BO26,'Mid-Market Segment'!BO26,'Upper Mid-Market Segment'!BO26,'Premium Segment'!BO26)/SUM('Value Segment'!BO$82,'Mid-Market Segment'!BO$82,'Upper Mid-Market Segment'!BO$82,'Premium Segment'!BO$82)</f>
        <v>-2667.4119034206369</v>
      </c>
      <c r="BP91" s="542">
        <f>SUM('Value Segment'!BP26,'Mid-Market Segment'!BP26,'Upper Mid-Market Segment'!BP26,'Premium Segment'!BP26)/SUM('Value Segment'!BP$82,'Mid-Market Segment'!BP$82,'Upper Mid-Market Segment'!BP$82,'Premium Segment'!BP$82)</f>
        <v>-2667.4119034206369</v>
      </c>
      <c r="BQ91" s="542">
        <f>SUM('Value Segment'!BQ26,'Mid-Market Segment'!BQ26,'Upper Mid-Market Segment'!BQ26,'Premium Segment'!BQ26)/SUM('Value Segment'!BQ$82,'Mid-Market Segment'!BQ$82,'Upper Mid-Market Segment'!BQ$82,'Premium Segment'!BQ$82)</f>
        <v>-2667.4119034206369</v>
      </c>
      <c r="BR91" s="542">
        <f>SUM('Value Segment'!BR26,'Mid-Market Segment'!BR26,'Upper Mid-Market Segment'!BR26,'Premium Segment'!BR26)/SUM('Value Segment'!BR$82,'Mid-Market Segment'!BR$82,'Upper Mid-Market Segment'!BR$82,'Premium Segment'!BR$82)</f>
        <v>-2667.4119034206369</v>
      </c>
      <c r="BS91" s="542">
        <f>SUM('Value Segment'!BS26,'Mid-Market Segment'!BS26,'Upper Mid-Market Segment'!BS26,'Premium Segment'!BS26)/SUM('Value Segment'!BS$82,'Mid-Market Segment'!BS$82,'Upper Mid-Market Segment'!BS$82,'Premium Segment'!BS$82)</f>
        <v>-2667.4119034206369</v>
      </c>
      <c r="BT91" s="542">
        <f>SUM('Value Segment'!BT26,'Mid-Market Segment'!BT26,'Upper Mid-Market Segment'!BT26,'Premium Segment'!BT26)/SUM('Value Segment'!BT$82,'Mid-Market Segment'!BT$82,'Upper Mid-Market Segment'!BT$82,'Premium Segment'!BT$82)</f>
        <v>-2776.3856764800603</v>
      </c>
      <c r="BU91" s="542">
        <f>SUM('Value Segment'!BU26,'Mid-Market Segment'!BU26,'Upper Mid-Market Segment'!BU26,'Premium Segment'!BU26)/SUM('Value Segment'!BU$82,'Mid-Market Segment'!BU$82,'Upper Mid-Market Segment'!BU$82,'Premium Segment'!BU$82)</f>
        <v>-2776.3856764800603</v>
      </c>
      <c r="BV91" s="542">
        <f>SUM('Value Segment'!BV26,'Mid-Market Segment'!BV26,'Upper Mid-Market Segment'!BV26,'Premium Segment'!BV26)/SUM('Value Segment'!BV$82,'Mid-Market Segment'!BV$82,'Upper Mid-Market Segment'!BV$82,'Premium Segment'!BV$82)</f>
        <v>-2776.3856764800603</v>
      </c>
      <c r="BW91" s="542">
        <f>SUM('Value Segment'!BW26,'Mid-Market Segment'!BW26,'Upper Mid-Market Segment'!BW26,'Premium Segment'!BW26)/SUM('Value Segment'!BW$82,'Mid-Market Segment'!BW$82,'Upper Mid-Market Segment'!BW$82,'Premium Segment'!BW$82)</f>
        <v>-2776.3856764800603</v>
      </c>
      <c r="BX91" s="542">
        <f>SUM('Value Segment'!BX26,'Mid-Market Segment'!BX26,'Upper Mid-Market Segment'!BX26,'Premium Segment'!BX26)/SUM('Value Segment'!BX$82,'Mid-Market Segment'!BX$82,'Upper Mid-Market Segment'!BX$82,'Premium Segment'!BX$82)</f>
        <v>-2776.3856764800603</v>
      </c>
      <c r="BY91" s="542">
        <f>SUM('Value Segment'!BY26,'Mid-Market Segment'!BY26,'Upper Mid-Market Segment'!BY26,'Premium Segment'!BY26)/SUM('Value Segment'!BY$82,'Mid-Market Segment'!BY$82,'Upper Mid-Market Segment'!BY$82,'Premium Segment'!BY$82)</f>
        <v>-2776.3856764800603</v>
      </c>
      <c r="CB91" s="8"/>
    </row>
    <row r="92" spans="3:80" x14ac:dyDescent="0.3">
      <c r="C92" s="2"/>
      <c r="D92" s="2"/>
      <c r="E92" s="4" t="s">
        <v>390</v>
      </c>
      <c r="F92" s="5"/>
      <c r="G92" s="5"/>
      <c r="H92" s="5"/>
      <c r="I92" s="507">
        <f>SUM('Value Segment'!I27,'Mid-Market Segment'!I27,'Upper Mid-Market Segment'!I27,'Premium Segment'!I27)/SUM('Value Segment'!I$82,'Mid-Market Segment'!I$82,'Upper Mid-Market Segment'!I$82,'Premium Segment'!I$82)</f>
        <v>50618.784854564547</v>
      </c>
      <c r="J92" s="507">
        <f>SUM('Value Segment'!J27,'Mid-Market Segment'!J27,'Upper Mid-Market Segment'!J27,'Premium Segment'!J27)/SUM('Value Segment'!J$82,'Mid-Market Segment'!J$82,'Upper Mid-Market Segment'!J$82,'Premium Segment'!J$82)</f>
        <v>54161.496120448617</v>
      </c>
      <c r="K92" s="507">
        <f>SUM('Value Segment'!K27,'Mid-Market Segment'!K27,'Upper Mid-Market Segment'!K27,'Premium Segment'!K27)/SUM('Value Segment'!K$82,'Mid-Market Segment'!K$82,'Upper Mid-Market Segment'!K$82,'Premium Segment'!K$82)</f>
        <v>58270.711674964077</v>
      </c>
      <c r="L92" s="507">
        <f>SUM('Value Segment'!L27,'Mid-Market Segment'!L27,'Upper Mid-Market Segment'!L27,'Premium Segment'!L27)/SUM('Value Segment'!L$82,'Mid-Market Segment'!L$82,'Upper Mid-Market Segment'!L$82,'Premium Segment'!L$82)</f>
        <v>62482.880718881723</v>
      </c>
      <c r="M92" s="507">
        <f>SUM('Value Segment'!M27,'Mid-Market Segment'!M27,'Upper Mid-Market Segment'!M27,'Premium Segment'!M27)/SUM('Value Segment'!M$82,'Mid-Market Segment'!M$82,'Upper Mid-Market Segment'!M$82,'Premium Segment'!M$82)</f>
        <v>66833.879681540362</v>
      </c>
      <c r="N92" s="507">
        <f>SUM('Value Segment'!N27,'Mid-Market Segment'!N27,'Upper Mid-Market Segment'!N27,'Premium Segment'!N27)/SUM('Value Segment'!N$82,'Mid-Market Segment'!N$82,'Upper Mid-Market Segment'!N$82,'Premium Segment'!N$82)</f>
        <v>71454.004839727</v>
      </c>
      <c r="O92" s="57"/>
      <c r="P92" s="55">
        <f t="shared" si="103"/>
        <v>7.1378611177575602E-2</v>
      </c>
      <c r="R92" s="507">
        <f>SUM('Value Segment'!R27,'Mid-Market Segment'!R27,'Upper Mid-Market Segment'!R27,'Premium Segment'!R27)/SUM('Value Segment'!R$82,'Mid-Market Segment'!R$82,'Upper Mid-Market Segment'!R$82,'Premium Segment'!R$82)</f>
        <v>4460.3907578296867</v>
      </c>
      <c r="S92" s="661">
        <f>SUM('Value Segment'!S27,'Mid-Market Segment'!S27,'Upper Mid-Market Segment'!S27,'Premium Segment'!S27)/SUM('Value Segment'!S$82,'Mid-Market Segment'!S$82,'Upper Mid-Market Segment'!S$82,'Premium Segment'!S$82)</f>
        <v>4460.3907578296867</v>
      </c>
      <c r="T92" s="661">
        <f>SUM('Value Segment'!T27,'Mid-Market Segment'!T27,'Upper Mid-Market Segment'!T27,'Premium Segment'!T27)/SUM('Value Segment'!T$82,'Mid-Market Segment'!T$82,'Upper Mid-Market Segment'!T$82,'Premium Segment'!T$82)</f>
        <v>4460.3907578296867</v>
      </c>
      <c r="U92" s="661">
        <f>SUM('Value Segment'!U27,'Mid-Market Segment'!U27,'Upper Mid-Market Segment'!U27,'Premium Segment'!U27)/SUM('Value Segment'!U$82,'Mid-Market Segment'!U$82,'Upper Mid-Market Segment'!U$82,'Premium Segment'!U$82)</f>
        <v>4460.3907578296867</v>
      </c>
      <c r="V92" s="661">
        <f>SUM('Value Segment'!V27,'Mid-Market Segment'!V27,'Upper Mid-Market Segment'!V27,'Premium Segment'!V27)/SUM('Value Segment'!V$82,'Mid-Market Segment'!V$82,'Upper Mid-Market Segment'!V$82,'Premium Segment'!V$82)</f>
        <v>4460.3907578296867</v>
      </c>
      <c r="W92" s="661">
        <f>SUM('Value Segment'!W27,'Mid-Market Segment'!W27,'Upper Mid-Market Segment'!W27,'Premium Segment'!W27)/SUM('Value Segment'!W$82,'Mid-Market Segment'!W$82,'Upper Mid-Market Segment'!W$82,'Premium Segment'!W$82)</f>
        <v>4460.3907578296867</v>
      </c>
      <c r="X92" s="661">
        <f>SUM('Value Segment'!X27,'Mid-Market Segment'!X27,'Upper Mid-Market Segment'!X27,'Premium Segment'!X27)/SUM('Value Segment'!X$82,'Mid-Market Segment'!X$82,'Upper Mid-Market Segment'!X$82,'Premium Segment'!X$82)</f>
        <v>4566.5252622450844</v>
      </c>
      <c r="Y92" s="661">
        <f>SUM('Value Segment'!Y27,'Mid-Market Segment'!Y27,'Upper Mid-Market Segment'!Y27,'Premium Segment'!Y27)/SUM('Value Segment'!Y$82,'Mid-Market Segment'!Y$82,'Upper Mid-Market Segment'!Y$82,'Premium Segment'!Y$82)</f>
        <v>4566.5252622450844</v>
      </c>
      <c r="Z92" s="661">
        <f>SUM('Value Segment'!Z27,'Mid-Market Segment'!Z27,'Upper Mid-Market Segment'!Z27,'Premium Segment'!Z27)/SUM('Value Segment'!Z$82,'Mid-Market Segment'!Z$82,'Upper Mid-Market Segment'!Z$82,'Premium Segment'!Z$82)</f>
        <v>4566.5252622450844</v>
      </c>
      <c r="AA92" s="661">
        <f>SUM('Value Segment'!AA27,'Mid-Market Segment'!AA27,'Upper Mid-Market Segment'!AA27,'Premium Segment'!AA27)/SUM('Value Segment'!AA$82,'Mid-Market Segment'!AA$82,'Upper Mid-Market Segment'!AA$82,'Premium Segment'!AA$82)</f>
        <v>4566.5252622450844</v>
      </c>
      <c r="AB92" s="661">
        <f>SUM('Value Segment'!AB27,'Mid-Market Segment'!AB27,'Upper Mid-Market Segment'!AB27,'Premium Segment'!AB27)/SUM('Value Segment'!AB$82,'Mid-Market Segment'!AB$82,'Upper Mid-Market Segment'!AB$82,'Premium Segment'!AB$82)</f>
        <v>4566.5252622450844</v>
      </c>
      <c r="AC92" s="661">
        <f>SUM('Value Segment'!AC27,'Mid-Market Segment'!AC27,'Upper Mid-Market Segment'!AC27,'Premium Segment'!AC27)/SUM('Value Segment'!AC$82,'Mid-Market Segment'!AC$82,'Upper Mid-Market Segment'!AC$82,'Premium Segment'!AC$82)</f>
        <v>4566.5252622450844</v>
      </c>
      <c r="AD92" s="661">
        <f>SUM('Value Segment'!AD27,'Mid-Market Segment'!AD27,'Upper Mid-Market Segment'!AD27,'Premium Segment'!AD27)/SUM('Value Segment'!AD$82,'Mid-Market Segment'!AD$82,'Upper Mid-Market Segment'!AD$82,'Premium Segment'!AD$82)</f>
        <v>4787.4108563834225</v>
      </c>
      <c r="AE92" s="661">
        <f>SUM('Value Segment'!AE27,'Mid-Market Segment'!AE27,'Upper Mid-Market Segment'!AE27,'Premium Segment'!AE27)/SUM('Value Segment'!AE$82,'Mid-Market Segment'!AE$82,'Upper Mid-Market Segment'!AE$82,'Premium Segment'!AE$82)</f>
        <v>4787.4108563834225</v>
      </c>
      <c r="AF92" s="661">
        <f>SUM('Value Segment'!AF27,'Mid-Market Segment'!AF27,'Upper Mid-Market Segment'!AF27,'Premium Segment'!AF27)/SUM('Value Segment'!AF$82,'Mid-Market Segment'!AF$82,'Upper Mid-Market Segment'!AF$82,'Premium Segment'!AF$82)</f>
        <v>4787.4108563834225</v>
      </c>
      <c r="AG92" s="661">
        <f>SUM('Value Segment'!AG27,'Mid-Market Segment'!AG27,'Upper Mid-Market Segment'!AG27,'Premium Segment'!AG27)/SUM('Value Segment'!AG$82,'Mid-Market Segment'!AG$82,'Upper Mid-Market Segment'!AG$82,'Premium Segment'!AG$82)</f>
        <v>4787.4108563834225</v>
      </c>
      <c r="AH92" s="661">
        <f>SUM('Value Segment'!AH27,'Mid-Market Segment'!AH27,'Upper Mid-Market Segment'!AH27,'Premium Segment'!AH27)/SUM('Value Segment'!AH$82,'Mid-Market Segment'!AH$82,'Upper Mid-Market Segment'!AH$82,'Premium Segment'!AH$82)</f>
        <v>4787.4108563834225</v>
      </c>
      <c r="AI92" s="661">
        <f>SUM('Value Segment'!AI27,'Mid-Market Segment'!AI27,'Upper Mid-Market Segment'!AI27,'Premium Segment'!AI27)/SUM('Value Segment'!AI$82,'Mid-Market Segment'!AI$82,'Upper Mid-Market Segment'!AI$82,'Premium Segment'!AI$82)</f>
        <v>4787.4108563834225</v>
      </c>
      <c r="AJ92" s="661">
        <f>SUM('Value Segment'!AJ27,'Mid-Market Segment'!AJ27,'Upper Mid-Market Segment'!AJ27,'Premium Segment'!AJ27)/SUM('Value Segment'!AJ$82,'Mid-Market Segment'!AJ$82,'Upper Mid-Market Segment'!AJ$82,'Premium Segment'!AJ$82)</f>
        <v>4924.3744227772577</v>
      </c>
      <c r="AK92" s="661">
        <f>SUM('Value Segment'!AK27,'Mid-Market Segment'!AK27,'Upper Mid-Market Segment'!AK27,'Premium Segment'!AK27)/SUM('Value Segment'!AK$82,'Mid-Market Segment'!AK$82,'Upper Mid-Market Segment'!AK$82,'Premium Segment'!AK$82)</f>
        <v>4924.3744227772577</v>
      </c>
      <c r="AL92" s="661">
        <f>SUM('Value Segment'!AL27,'Mid-Market Segment'!AL27,'Upper Mid-Market Segment'!AL27,'Premium Segment'!AL27)/SUM('Value Segment'!AL$82,'Mid-Market Segment'!AL$82,'Upper Mid-Market Segment'!AL$82,'Premium Segment'!AL$82)</f>
        <v>4924.3744227772577</v>
      </c>
      <c r="AM92" s="661">
        <f>SUM('Value Segment'!AM27,'Mid-Market Segment'!AM27,'Upper Mid-Market Segment'!AM27,'Premium Segment'!AM27)/SUM('Value Segment'!AM$82,'Mid-Market Segment'!AM$82,'Upper Mid-Market Segment'!AM$82,'Premium Segment'!AM$82)</f>
        <v>4924.3744227772577</v>
      </c>
      <c r="AN92" s="661">
        <f>SUM('Value Segment'!AN27,'Mid-Market Segment'!AN27,'Upper Mid-Market Segment'!AN27,'Premium Segment'!AN27)/SUM('Value Segment'!AN$82,'Mid-Market Segment'!AN$82,'Upper Mid-Market Segment'!AN$82,'Premium Segment'!AN$82)</f>
        <v>4924.3744227772577</v>
      </c>
      <c r="AO92" s="661">
        <f>SUM('Value Segment'!AO27,'Mid-Market Segment'!AO27,'Upper Mid-Market Segment'!AO27,'Premium Segment'!AO27)/SUM('Value Segment'!AO$82,'Mid-Market Segment'!AO$82,'Upper Mid-Market Segment'!AO$82,'Premium Segment'!AO$82)</f>
        <v>4924.3744227772577</v>
      </c>
      <c r="AP92" s="661">
        <f>SUM('Value Segment'!AP27,'Mid-Market Segment'!AP27,'Upper Mid-Market Segment'!AP27,'Premium Segment'!AP27)/SUM('Value Segment'!AP$82,'Mid-Market Segment'!AP$82,'Upper Mid-Market Segment'!AP$82,'Premium Segment'!AP$82)</f>
        <v>5121.9074148204363</v>
      </c>
      <c r="AQ92" s="661">
        <f>SUM('Value Segment'!AQ27,'Mid-Market Segment'!AQ27,'Upper Mid-Market Segment'!AQ27,'Premium Segment'!AQ27)/SUM('Value Segment'!AQ$82,'Mid-Market Segment'!AQ$82,'Upper Mid-Market Segment'!AQ$82,'Premium Segment'!AQ$82)</f>
        <v>5121.9074148204363</v>
      </c>
      <c r="AR92" s="661">
        <f>SUM('Value Segment'!AR27,'Mid-Market Segment'!AR27,'Upper Mid-Market Segment'!AR27,'Premium Segment'!AR27)/SUM('Value Segment'!AR$82,'Mid-Market Segment'!AR$82,'Upper Mid-Market Segment'!AR$82,'Premium Segment'!AR$82)</f>
        <v>5121.9074148204363</v>
      </c>
      <c r="AS92" s="661">
        <f>SUM('Value Segment'!AS27,'Mid-Market Segment'!AS27,'Upper Mid-Market Segment'!AS27,'Premium Segment'!AS27)/SUM('Value Segment'!AS$82,'Mid-Market Segment'!AS$82,'Upper Mid-Market Segment'!AS$82,'Premium Segment'!AS$82)</f>
        <v>5121.9074148204363</v>
      </c>
      <c r="AT92" s="661">
        <f>SUM('Value Segment'!AT27,'Mid-Market Segment'!AT27,'Upper Mid-Market Segment'!AT27,'Premium Segment'!AT27)/SUM('Value Segment'!AT$82,'Mid-Market Segment'!AT$82,'Upper Mid-Market Segment'!AT$82,'Premium Segment'!AT$82)</f>
        <v>5121.9074148204363</v>
      </c>
      <c r="AU92" s="661">
        <f>SUM('Value Segment'!AU27,'Mid-Market Segment'!AU27,'Upper Mid-Market Segment'!AU27,'Premium Segment'!AU27)/SUM('Value Segment'!AU$82,'Mid-Market Segment'!AU$82,'Upper Mid-Market Segment'!AU$82,'Premium Segment'!AU$82)</f>
        <v>5121.9074148204363</v>
      </c>
      <c r="AV92" s="661">
        <f>SUM('Value Segment'!AV27,'Mid-Market Segment'!AV27,'Upper Mid-Market Segment'!AV27,'Premium Segment'!AV27)/SUM('Value Segment'!AV$82,'Mid-Market Segment'!AV$82,'Upper Mid-Market Segment'!AV$82,'Premium Segment'!AV$82)</f>
        <v>5291.9060383265187</v>
      </c>
      <c r="AW92" s="661">
        <f>SUM('Value Segment'!AW27,'Mid-Market Segment'!AW27,'Upper Mid-Market Segment'!AW27,'Premium Segment'!AW27)/SUM('Value Segment'!AW$82,'Mid-Market Segment'!AW$82,'Upper Mid-Market Segment'!AW$82,'Premium Segment'!AW$82)</f>
        <v>5291.9060383265187</v>
      </c>
      <c r="AX92" s="661">
        <f>SUM('Value Segment'!AX27,'Mid-Market Segment'!AX27,'Upper Mid-Market Segment'!AX27,'Premium Segment'!AX27)/SUM('Value Segment'!AX$82,'Mid-Market Segment'!AX$82,'Upper Mid-Market Segment'!AX$82,'Premium Segment'!AX$82)</f>
        <v>5291.9060383265187</v>
      </c>
      <c r="AY92" s="661">
        <f>SUM('Value Segment'!AY27,'Mid-Market Segment'!AY27,'Upper Mid-Market Segment'!AY27,'Premium Segment'!AY27)/SUM('Value Segment'!AY$82,'Mid-Market Segment'!AY$82,'Upper Mid-Market Segment'!AY$82,'Premium Segment'!AY$82)</f>
        <v>5291.9060383265187</v>
      </c>
      <c r="AZ92" s="661">
        <f>SUM('Value Segment'!AZ27,'Mid-Market Segment'!AZ27,'Upper Mid-Market Segment'!AZ27,'Premium Segment'!AZ27)/SUM('Value Segment'!AZ$82,'Mid-Market Segment'!AZ$82,'Upper Mid-Market Segment'!AZ$82,'Premium Segment'!AZ$82)</f>
        <v>5291.9060383265187</v>
      </c>
      <c r="BA92" s="661">
        <f>SUM('Value Segment'!BA27,'Mid-Market Segment'!BA27,'Upper Mid-Market Segment'!BA27,'Premium Segment'!BA27)/SUM('Value Segment'!BA$82,'Mid-Market Segment'!BA$82,'Upper Mid-Market Segment'!BA$82,'Premium Segment'!BA$82)</f>
        <v>5291.9060383265187</v>
      </c>
      <c r="BB92" s="661">
        <f>SUM('Value Segment'!BB27,'Mid-Market Segment'!BB27,'Upper Mid-Market Segment'!BB27,'Premium Segment'!BB27)/SUM('Value Segment'!BB$82,'Mid-Market Segment'!BB$82,'Upper Mid-Market Segment'!BB$82,'Premium Segment'!BB$82)</f>
        <v>5466.852514388871</v>
      </c>
      <c r="BC92" s="661">
        <f>SUM('Value Segment'!BC27,'Mid-Market Segment'!BC27,'Upper Mid-Market Segment'!BC27,'Premium Segment'!BC27)/SUM('Value Segment'!BC$82,'Mid-Market Segment'!BC$82,'Upper Mid-Market Segment'!BC$82,'Premium Segment'!BC$82)</f>
        <v>5466.852514388871</v>
      </c>
      <c r="BD92" s="661">
        <f>SUM('Value Segment'!BD27,'Mid-Market Segment'!BD27,'Upper Mid-Market Segment'!BD27,'Premium Segment'!BD27)/SUM('Value Segment'!BD$82,'Mid-Market Segment'!BD$82,'Upper Mid-Market Segment'!BD$82,'Premium Segment'!BD$82)</f>
        <v>5466.852514388871</v>
      </c>
      <c r="BE92" s="661">
        <f>SUM('Value Segment'!BE27,'Mid-Market Segment'!BE27,'Upper Mid-Market Segment'!BE27,'Premium Segment'!BE27)/SUM('Value Segment'!BE$82,'Mid-Market Segment'!BE$82,'Upper Mid-Market Segment'!BE$82,'Premium Segment'!BE$82)</f>
        <v>5466.852514388871</v>
      </c>
      <c r="BF92" s="661">
        <f>SUM('Value Segment'!BF27,'Mid-Market Segment'!BF27,'Upper Mid-Market Segment'!BF27,'Premium Segment'!BF27)/SUM('Value Segment'!BF$82,'Mid-Market Segment'!BF$82,'Upper Mid-Market Segment'!BF$82,'Premium Segment'!BF$82)</f>
        <v>5466.852514388871</v>
      </c>
      <c r="BG92" s="661">
        <f>SUM('Value Segment'!BG27,'Mid-Market Segment'!BG27,'Upper Mid-Market Segment'!BG27,'Premium Segment'!BG27)/SUM('Value Segment'!BG$82,'Mid-Market Segment'!BG$82,'Upper Mid-Market Segment'!BG$82,'Premium Segment'!BG$82)</f>
        <v>5466.852514388871</v>
      </c>
      <c r="BH92" s="661">
        <f>SUM('Value Segment'!BH27,'Mid-Market Segment'!BH27,'Upper Mid-Market Segment'!BH27,'Premium Segment'!BH27)/SUM('Value Segment'!BH$82,'Mid-Market Segment'!BH$82,'Upper Mid-Market Segment'!BH$82,'Premium Segment'!BH$82)</f>
        <v>5672.127432534523</v>
      </c>
      <c r="BI92" s="661">
        <f>SUM('Value Segment'!BI27,'Mid-Market Segment'!BI27,'Upper Mid-Market Segment'!BI27,'Premium Segment'!BI27)/SUM('Value Segment'!BI$82,'Mid-Market Segment'!BI$82,'Upper Mid-Market Segment'!BI$82,'Premium Segment'!BI$82)</f>
        <v>5672.127432534523</v>
      </c>
      <c r="BJ92" s="661">
        <f>SUM('Value Segment'!BJ27,'Mid-Market Segment'!BJ27,'Upper Mid-Market Segment'!BJ27,'Premium Segment'!BJ27)/SUM('Value Segment'!BJ$82,'Mid-Market Segment'!BJ$82,'Upper Mid-Market Segment'!BJ$82,'Premium Segment'!BJ$82)</f>
        <v>5672.127432534523</v>
      </c>
      <c r="BK92" s="661">
        <f>SUM('Value Segment'!BK27,'Mid-Market Segment'!BK27,'Upper Mid-Market Segment'!BK27,'Premium Segment'!BK27)/SUM('Value Segment'!BK$82,'Mid-Market Segment'!BK$82,'Upper Mid-Market Segment'!BK$82,'Premium Segment'!BK$82)</f>
        <v>5672.127432534523</v>
      </c>
      <c r="BL92" s="661">
        <f>SUM('Value Segment'!BL27,'Mid-Market Segment'!BL27,'Upper Mid-Market Segment'!BL27,'Premium Segment'!BL27)/SUM('Value Segment'!BL$82,'Mid-Market Segment'!BL$82,'Upper Mid-Market Segment'!BL$82,'Premium Segment'!BL$82)</f>
        <v>5672.127432534523</v>
      </c>
      <c r="BM92" s="661">
        <f>SUM('Value Segment'!BM27,'Mid-Market Segment'!BM27,'Upper Mid-Market Segment'!BM27,'Premium Segment'!BM27)/SUM('Value Segment'!BM$82,'Mid-Market Segment'!BM$82,'Upper Mid-Market Segment'!BM$82,'Premium Segment'!BM$82)</f>
        <v>5672.127432534523</v>
      </c>
      <c r="BN92" s="661">
        <f>SUM('Value Segment'!BN27,'Mid-Market Segment'!BN27,'Upper Mid-Market Segment'!BN27,'Premium Segment'!BN27)/SUM('Value Segment'!BN$82,'Mid-Market Segment'!BN$82,'Upper Mid-Market Segment'!BN$82,'Premium Segment'!BN$82)</f>
        <v>5833.0408442522421</v>
      </c>
      <c r="BO92" s="661">
        <f>SUM('Value Segment'!BO27,'Mid-Market Segment'!BO27,'Upper Mid-Market Segment'!BO27,'Premium Segment'!BO27)/SUM('Value Segment'!BO$82,'Mid-Market Segment'!BO$82,'Upper Mid-Market Segment'!BO$82,'Premium Segment'!BO$82)</f>
        <v>5833.0408442522421</v>
      </c>
      <c r="BP92" s="661">
        <f>SUM('Value Segment'!BP27,'Mid-Market Segment'!BP27,'Upper Mid-Market Segment'!BP27,'Premium Segment'!BP27)/SUM('Value Segment'!BP$82,'Mid-Market Segment'!BP$82,'Upper Mid-Market Segment'!BP$82,'Premium Segment'!BP$82)</f>
        <v>5833.0408442522421</v>
      </c>
      <c r="BQ92" s="661">
        <f>SUM('Value Segment'!BQ27,'Mid-Market Segment'!BQ27,'Upper Mid-Market Segment'!BQ27,'Premium Segment'!BQ27)/SUM('Value Segment'!BQ$82,'Mid-Market Segment'!BQ$82,'Upper Mid-Market Segment'!BQ$82,'Premium Segment'!BQ$82)</f>
        <v>5833.0408442522421</v>
      </c>
      <c r="BR92" s="661">
        <f>SUM('Value Segment'!BR27,'Mid-Market Segment'!BR27,'Upper Mid-Market Segment'!BR27,'Premium Segment'!BR27)/SUM('Value Segment'!BR$82,'Mid-Market Segment'!BR$82,'Upper Mid-Market Segment'!BR$82,'Premium Segment'!BR$82)</f>
        <v>5833.0408442522421</v>
      </c>
      <c r="BS92" s="661">
        <f>SUM('Value Segment'!BS27,'Mid-Market Segment'!BS27,'Upper Mid-Market Segment'!BS27,'Premium Segment'!BS27)/SUM('Value Segment'!BS$82,'Mid-Market Segment'!BS$82,'Upper Mid-Market Segment'!BS$82,'Premium Segment'!BS$82)</f>
        <v>5833.0408442522421</v>
      </c>
      <c r="BT92" s="661">
        <f>SUM('Value Segment'!BT27,'Mid-Market Segment'!BT27,'Upper Mid-Market Segment'!BT27,'Premium Segment'!BT27)/SUM('Value Segment'!BT$82,'Mid-Market Segment'!BT$82,'Upper Mid-Market Segment'!BT$82,'Premium Segment'!BT$82)</f>
        <v>6075.9599623689273</v>
      </c>
      <c r="BU92" s="661">
        <f>SUM('Value Segment'!BU27,'Mid-Market Segment'!BU27,'Upper Mid-Market Segment'!BU27,'Premium Segment'!BU27)/SUM('Value Segment'!BU$82,'Mid-Market Segment'!BU$82,'Upper Mid-Market Segment'!BU$82,'Premium Segment'!BU$82)</f>
        <v>6075.9599623689273</v>
      </c>
      <c r="BV92" s="661">
        <f>SUM('Value Segment'!BV27,'Mid-Market Segment'!BV27,'Upper Mid-Market Segment'!BV27,'Premium Segment'!BV27)/SUM('Value Segment'!BV$82,'Mid-Market Segment'!BV$82,'Upper Mid-Market Segment'!BV$82,'Premium Segment'!BV$82)</f>
        <v>6075.9599623689273</v>
      </c>
      <c r="BW92" s="661">
        <f>SUM('Value Segment'!BW27,'Mid-Market Segment'!BW27,'Upper Mid-Market Segment'!BW27,'Premium Segment'!BW27)/SUM('Value Segment'!BW$82,'Mid-Market Segment'!BW$82,'Upper Mid-Market Segment'!BW$82,'Premium Segment'!BW$82)</f>
        <v>6075.9599623689273</v>
      </c>
      <c r="BX92" s="661">
        <f>SUM('Value Segment'!BX27,'Mid-Market Segment'!BX27,'Upper Mid-Market Segment'!BX27,'Premium Segment'!BX27)/SUM('Value Segment'!BX$82,'Mid-Market Segment'!BX$82,'Upper Mid-Market Segment'!BX$82,'Premium Segment'!BX$82)</f>
        <v>6075.9599623689273</v>
      </c>
      <c r="BY92" s="661">
        <f>SUM('Value Segment'!BY27,'Mid-Market Segment'!BY27,'Upper Mid-Market Segment'!BY27,'Premium Segment'!BY27)/SUM('Value Segment'!BY$82,'Mid-Market Segment'!BY$82,'Upper Mid-Market Segment'!BY$82,'Premium Segment'!BY$82)</f>
        <v>6075.9599623689273</v>
      </c>
      <c r="CB92" s="8"/>
    </row>
    <row r="93" spans="3:80" x14ac:dyDescent="0.3">
      <c r="C93" s="2"/>
      <c r="D93" s="2"/>
      <c r="E93" s="2" t="s">
        <v>175</v>
      </c>
      <c r="F93" s="58"/>
      <c r="G93" s="58"/>
      <c r="H93" s="58"/>
      <c r="I93" s="499">
        <f t="shared" ref="I93:N93" si="104">IFERROR(I92/I87,0)</f>
        <v>0.42019130112783765</v>
      </c>
      <c r="J93" s="499">
        <f t="shared" si="104"/>
        <v>0.42827523459276001</v>
      </c>
      <c r="K93" s="499">
        <f t="shared" si="104"/>
        <v>0.43583372851653612</v>
      </c>
      <c r="L93" s="499">
        <f t="shared" si="104"/>
        <v>0.44281671902256603</v>
      </c>
      <c r="M93" s="499">
        <f t="shared" si="104"/>
        <v>0.44921603350555356</v>
      </c>
      <c r="N93" s="499">
        <f t="shared" si="104"/>
        <v>0.4554696543818455</v>
      </c>
      <c r="O93" s="23"/>
      <c r="P93" s="50">
        <f t="shared" si="103"/>
        <v>1.6254491463012943E-2</v>
      </c>
      <c r="R93" s="499">
        <f>IFERROR(R92/R87,0)</f>
        <v>0.42825651301026846</v>
      </c>
      <c r="S93" s="531">
        <f t="shared" ref="S93:BY93" si="105">IFERROR(S92/S87,0)</f>
        <v>0.42825651301026846</v>
      </c>
      <c r="T93" s="531">
        <f t="shared" si="105"/>
        <v>0.42825651301026846</v>
      </c>
      <c r="U93" s="531">
        <f t="shared" si="105"/>
        <v>0.42825651301026846</v>
      </c>
      <c r="V93" s="531">
        <f t="shared" si="105"/>
        <v>0.42825651301026846</v>
      </c>
      <c r="W93" s="531">
        <f t="shared" si="105"/>
        <v>0.42825651301026846</v>
      </c>
      <c r="X93" s="531">
        <f t="shared" si="105"/>
        <v>0.42829352263130427</v>
      </c>
      <c r="Y93" s="531">
        <f t="shared" si="105"/>
        <v>0.42829352263130427</v>
      </c>
      <c r="Z93" s="531">
        <f t="shared" si="105"/>
        <v>0.42829352263130427</v>
      </c>
      <c r="AA93" s="531">
        <f t="shared" si="105"/>
        <v>0.42829352263130427</v>
      </c>
      <c r="AB93" s="531">
        <f t="shared" si="105"/>
        <v>0.42829352263130427</v>
      </c>
      <c r="AC93" s="531">
        <f t="shared" si="105"/>
        <v>0.42829352263130427</v>
      </c>
      <c r="AD93" s="531">
        <f t="shared" si="105"/>
        <v>0.43580911202717432</v>
      </c>
      <c r="AE93" s="531">
        <f t="shared" si="105"/>
        <v>0.43580911202717432</v>
      </c>
      <c r="AF93" s="531">
        <f t="shared" si="105"/>
        <v>0.43580911202717432</v>
      </c>
      <c r="AG93" s="531">
        <f t="shared" si="105"/>
        <v>0.43580911202717432</v>
      </c>
      <c r="AH93" s="531">
        <f t="shared" si="105"/>
        <v>0.43580911202717432</v>
      </c>
      <c r="AI93" s="531">
        <f t="shared" si="105"/>
        <v>0.43580911202717432</v>
      </c>
      <c r="AJ93" s="531">
        <f t="shared" si="105"/>
        <v>0.43585766300388473</v>
      </c>
      <c r="AK93" s="531">
        <f t="shared" si="105"/>
        <v>0.43585766300388473</v>
      </c>
      <c r="AL93" s="531">
        <f t="shared" si="105"/>
        <v>0.43585766300388473</v>
      </c>
      <c r="AM93" s="531">
        <f t="shared" si="105"/>
        <v>0.43585766300388473</v>
      </c>
      <c r="AN93" s="531">
        <f t="shared" si="105"/>
        <v>0.43585766300388473</v>
      </c>
      <c r="AO93" s="531">
        <f t="shared" si="105"/>
        <v>0.43585766300388473</v>
      </c>
      <c r="AP93" s="531">
        <f t="shared" si="105"/>
        <v>0.44278650127775793</v>
      </c>
      <c r="AQ93" s="531">
        <f t="shared" si="105"/>
        <v>0.44278650127775793</v>
      </c>
      <c r="AR93" s="531">
        <f t="shared" si="105"/>
        <v>0.44278650127775793</v>
      </c>
      <c r="AS93" s="531">
        <f t="shared" si="105"/>
        <v>0.44278650127775793</v>
      </c>
      <c r="AT93" s="531">
        <f t="shared" si="105"/>
        <v>0.44278650127775793</v>
      </c>
      <c r="AU93" s="531">
        <f t="shared" si="105"/>
        <v>0.44278650127775793</v>
      </c>
      <c r="AV93" s="531">
        <f t="shared" si="105"/>
        <v>0.44284596997239029</v>
      </c>
      <c r="AW93" s="531">
        <f t="shared" si="105"/>
        <v>0.44284596997239029</v>
      </c>
      <c r="AX93" s="531">
        <f t="shared" si="105"/>
        <v>0.44284596997239029</v>
      </c>
      <c r="AY93" s="531">
        <f t="shared" si="105"/>
        <v>0.44284596997239029</v>
      </c>
      <c r="AZ93" s="531">
        <f t="shared" si="105"/>
        <v>0.44284596997239029</v>
      </c>
      <c r="BA93" s="531">
        <f t="shared" si="105"/>
        <v>0.44284596997239029</v>
      </c>
      <c r="BB93" s="531">
        <f t="shared" si="105"/>
        <v>0.44918059178836395</v>
      </c>
      <c r="BC93" s="531">
        <f t="shared" si="105"/>
        <v>0.44918059178836395</v>
      </c>
      <c r="BD93" s="531">
        <f t="shared" si="105"/>
        <v>0.44918059178836395</v>
      </c>
      <c r="BE93" s="531">
        <f t="shared" si="105"/>
        <v>0.44918059178836395</v>
      </c>
      <c r="BF93" s="531">
        <f t="shared" si="105"/>
        <v>0.44918059178836395</v>
      </c>
      <c r="BG93" s="531">
        <f t="shared" si="105"/>
        <v>0.44918059178836395</v>
      </c>
      <c r="BH93" s="531">
        <f t="shared" si="105"/>
        <v>0.44925019787645576</v>
      </c>
      <c r="BI93" s="531">
        <f t="shared" si="105"/>
        <v>0.44925019787645576</v>
      </c>
      <c r="BJ93" s="531">
        <f t="shared" si="105"/>
        <v>0.44925019787645576</v>
      </c>
      <c r="BK93" s="531">
        <f t="shared" si="105"/>
        <v>0.44925019787645576</v>
      </c>
      <c r="BL93" s="531">
        <f t="shared" si="105"/>
        <v>0.44925019787645576</v>
      </c>
      <c r="BM93" s="531">
        <f t="shared" si="105"/>
        <v>0.44925019787645576</v>
      </c>
      <c r="BN93" s="531">
        <f t="shared" si="105"/>
        <v>0.45542943114348444</v>
      </c>
      <c r="BO93" s="531">
        <f t="shared" si="105"/>
        <v>0.45542943114348444</v>
      </c>
      <c r="BP93" s="531">
        <f t="shared" si="105"/>
        <v>0.45542943114348444</v>
      </c>
      <c r="BQ93" s="531">
        <f t="shared" si="105"/>
        <v>0.45542943114348444</v>
      </c>
      <c r="BR93" s="531">
        <f t="shared" si="105"/>
        <v>0.45542943114348444</v>
      </c>
      <c r="BS93" s="531">
        <f t="shared" si="105"/>
        <v>0.45542943114348444</v>
      </c>
      <c r="BT93" s="531">
        <f t="shared" si="105"/>
        <v>0.4555082761654532</v>
      </c>
      <c r="BU93" s="531">
        <f t="shared" si="105"/>
        <v>0.4555082761654532</v>
      </c>
      <c r="BV93" s="531">
        <f t="shared" si="105"/>
        <v>0.4555082761654532</v>
      </c>
      <c r="BW93" s="531">
        <f t="shared" si="105"/>
        <v>0.4555082761654532</v>
      </c>
      <c r="BX93" s="531">
        <f t="shared" si="105"/>
        <v>0.4555082761654532</v>
      </c>
      <c r="BY93" s="531">
        <f t="shared" si="105"/>
        <v>0.4555082761654532</v>
      </c>
    </row>
    <row r="94" spans="3:80" x14ac:dyDescent="0.3">
      <c r="C94" s="2"/>
      <c r="D94" s="2"/>
      <c r="E94" s="2"/>
      <c r="F94" s="58"/>
      <c r="G94" s="58"/>
      <c r="H94" s="58"/>
      <c r="I94" s="37"/>
      <c r="J94" s="37"/>
      <c r="K94" s="37"/>
      <c r="L94" s="37"/>
      <c r="M94" s="37"/>
      <c r="N94" s="37"/>
      <c r="O94" s="37"/>
      <c r="P94" s="35"/>
      <c r="R94" s="37"/>
      <c r="S94" s="37"/>
      <c r="T94" s="37"/>
      <c r="U94" s="37"/>
      <c r="V94" s="37"/>
      <c r="W94" s="37"/>
      <c r="X94" s="37"/>
      <c r="Y94" s="37"/>
      <c r="Z94" s="37"/>
      <c r="AA94" s="37"/>
      <c r="AB94" s="37"/>
      <c r="AC94" s="37"/>
      <c r="AD94" s="37"/>
      <c r="AE94" s="37"/>
      <c r="AF94" s="37"/>
      <c r="AG94" s="37"/>
      <c r="AH94" s="37"/>
      <c r="AI94" s="37"/>
      <c r="AJ94" s="37"/>
      <c r="AK94" s="37"/>
      <c r="AL94" s="37"/>
      <c r="AM94" s="37"/>
      <c r="AN94" s="37"/>
      <c r="AO94" s="37"/>
      <c r="AP94" s="37"/>
      <c r="AQ94" s="37"/>
      <c r="AR94" s="37"/>
      <c r="AS94" s="37"/>
      <c r="AT94" s="37"/>
      <c r="AU94" s="37"/>
      <c r="AV94" s="37"/>
      <c r="AW94" s="37"/>
      <c r="AX94" s="37"/>
      <c r="AY94" s="37"/>
      <c r="AZ94" s="37"/>
      <c r="BA94" s="37"/>
      <c r="BB94" s="37"/>
      <c r="BC94" s="37"/>
      <c r="BD94" s="37"/>
      <c r="BE94" s="37"/>
      <c r="BF94" s="37"/>
      <c r="BG94" s="37"/>
      <c r="BH94" s="37"/>
      <c r="BI94" s="37"/>
      <c r="BJ94" s="37"/>
      <c r="BK94" s="37"/>
      <c r="BL94" s="37"/>
      <c r="BM94" s="37"/>
      <c r="BN94" s="37"/>
      <c r="BO94" s="37"/>
      <c r="BP94" s="37"/>
      <c r="BQ94" s="37"/>
      <c r="BR94" s="37"/>
      <c r="BS94" s="37"/>
      <c r="BT94" s="37"/>
      <c r="BU94" s="37"/>
      <c r="BV94" s="37"/>
      <c r="BW94" s="37"/>
      <c r="BX94" s="37"/>
      <c r="BY94" s="37"/>
    </row>
    <row r="95" spans="3:80" x14ac:dyDescent="0.3">
      <c r="C95" s="2"/>
      <c r="D95" s="2"/>
      <c r="E95" s="17" t="s">
        <v>23</v>
      </c>
      <c r="F95" s="37"/>
      <c r="G95" s="37"/>
      <c r="H95" s="37"/>
      <c r="I95" s="37"/>
      <c r="J95" s="37"/>
      <c r="K95" s="37"/>
      <c r="L95" s="37"/>
      <c r="M95" s="37"/>
      <c r="N95" s="37"/>
      <c r="O95" s="37"/>
      <c r="P95" s="35"/>
      <c r="R95" s="37"/>
      <c r="S95" s="37"/>
      <c r="T95" s="37"/>
      <c r="U95" s="37"/>
      <c r="V95" s="37"/>
      <c r="W95" s="37"/>
      <c r="X95" s="37"/>
      <c r="Y95" s="37"/>
      <c r="Z95" s="37"/>
      <c r="AA95" s="37"/>
      <c r="AB95" s="37"/>
      <c r="AC95" s="37"/>
      <c r="AD95" s="37"/>
      <c r="AE95" s="37"/>
      <c r="AF95" s="37"/>
      <c r="AG95" s="37"/>
      <c r="AH95" s="37"/>
      <c r="AI95" s="37"/>
      <c r="AJ95" s="37"/>
      <c r="AK95" s="37"/>
      <c r="AL95" s="37"/>
      <c r="AM95" s="37"/>
      <c r="AN95" s="37"/>
      <c r="AO95" s="37"/>
      <c r="AP95" s="37"/>
      <c r="AQ95" s="37"/>
      <c r="AR95" s="37"/>
      <c r="AS95" s="37"/>
      <c r="AT95" s="37"/>
      <c r="AU95" s="37"/>
      <c r="AV95" s="37"/>
      <c r="AW95" s="37"/>
      <c r="AX95" s="37"/>
      <c r="AY95" s="37"/>
      <c r="AZ95" s="37"/>
      <c r="BA95" s="37"/>
      <c r="BB95" s="37"/>
      <c r="BC95" s="37"/>
      <c r="BD95" s="37"/>
      <c r="BE95" s="37"/>
      <c r="BF95" s="37"/>
      <c r="BG95" s="37"/>
      <c r="BH95" s="37"/>
      <c r="BI95" s="37"/>
      <c r="BJ95" s="37"/>
      <c r="BK95" s="37"/>
      <c r="BL95" s="37"/>
      <c r="BM95" s="37"/>
      <c r="BN95" s="37"/>
      <c r="BO95" s="37"/>
      <c r="BP95" s="37"/>
      <c r="BQ95" s="37"/>
      <c r="BR95" s="37"/>
      <c r="BS95" s="37"/>
      <c r="BT95" s="37"/>
      <c r="BU95" s="37"/>
      <c r="BV95" s="37"/>
      <c r="BW95" s="37"/>
      <c r="BX95" s="37"/>
      <c r="BY95" s="37"/>
    </row>
    <row r="96" spans="3:80" x14ac:dyDescent="0.3">
      <c r="C96" s="2"/>
      <c r="D96" s="2"/>
      <c r="E96" s="4" t="s">
        <v>391</v>
      </c>
      <c r="F96" s="5"/>
      <c r="G96" s="5"/>
      <c r="H96" s="5"/>
      <c r="I96" s="507">
        <f>SUM('Value Segment'!I31,'Mid-Market Segment'!I31,'Upper Mid-Market Segment'!I31,'Premium Segment'!I31)/SUM('Value Segment'!I$82,'Mid-Market Segment'!I$82,'Upper Mid-Market Segment'!I$82,'Premium Segment'!I$82)</f>
        <v>9999.7879492190496</v>
      </c>
      <c r="J96" s="507">
        <f>SUM('Value Segment'!J31,'Mid-Market Segment'!J31,'Upper Mid-Market Segment'!J31,'Premium Segment'!J31)/SUM('Value Segment'!J$82,'Mid-Market Segment'!J$82,'Upper Mid-Market Segment'!J$82,'Premium Segment'!J$82)</f>
        <v>10118.080443235731</v>
      </c>
      <c r="K96" s="507">
        <f>SUM('Value Segment'!K31,'Mid-Market Segment'!K31,'Upper Mid-Market Segment'!K31,'Premium Segment'!K31)/SUM('Value Segment'!K$82,'Mid-Market Segment'!K$82,'Upper Mid-Market Segment'!K$82,'Premium Segment'!K$82)</f>
        <v>10320.181696199939</v>
      </c>
      <c r="L96" s="507">
        <f>SUM('Value Segment'!L31,'Mid-Market Segment'!L31,'Upper Mid-Market Segment'!L31,'Premium Segment'!L31)/SUM('Value Segment'!L$82,'Mid-Market Segment'!L$82,'Upper Mid-Market Segment'!L$82,'Premium Segment'!L$82)</f>
        <v>10520.592610225596</v>
      </c>
      <c r="M96" s="507">
        <f>SUM('Value Segment'!M31,'Mid-Market Segment'!M31,'Upper Mid-Market Segment'!M31,'Premium Segment'!M31)/SUM('Value Segment'!M$82,'Mid-Market Segment'!M$82,'Upper Mid-Market Segment'!M$82,'Premium Segment'!M$82)</f>
        <v>10729.075024021651</v>
      </c>
      <c r="N96" s="507">
        <f>SUM('Value Segment'!N31,'Mid-Market Segment'!N31,'Upper Mid-Market Segment'!N31,'Premium Segment'!N31)/SUM('Value Segment'!N$82,'Mid-Market Segment'!N$82,'Upper Mid-Market Segment'!N$82,'Premium Segment'!N$82)</f>
        <v>10941.946861382108</v>
      </c>
      <c r="O96" s="57"/>
      <c r="P96" s="55">
        <f t="shared" ref="P96:P102" si="106">IFERROR(((N96/I96)^(1/5))-1,0)</f>
        <v>1.8171091496453462E-2</v>
      </c>
      <c r="R96" s="507">
        <f>SUM('Value Segment'!R31,'Mid-Market Segment'!R31,'Upper Mid-Market Segment'!R31,'Premium Segment'!R31)/SUM('Value Segment'!R$82,'Mid-Market Segment'!R$82,'Upper Mid-Market Segment'!R$82,'Premium Segment'!R$82)</f>
        <v>833.31566243492091</v>
      </c>
      <c r="S96" s="661">
        <f>SUM('Value Segment'!S31,'Mid-Market Segment'!S31,'Upper Mid-Market Segment'!S31,'Premium Segment'!S31)/SUM('Value Segment'!S$82,'Mid-Market Segment'!S$82,'Upper Mid-Market Segment'!S$82,'Premium Segment'!S$82)</f>
        <v>833.31566243492091</v>
      </c>
      <c r="T96" s="661">
        <f>SUM('Value Segment'!T31,'Mid-Market Segment'!T31,'Upper Mid-Market Segment'!T31,'Premium Segment'!T31)/SUM('Value Segment'!T$82,'Mid-Market Segment'!T$82,'Upper Mid-Market Segment'!T$82,'Premium Segment'!T$82)</f>
        <v>833.31566243492091</v>
      </c>
      <c r="U96" s="661">
        <f>SUM('Value Segment'!U31,'Mid-Market Segment'!U31,'Upper Mid-Market Segment'!U31,'Premium Segment'!U31)/SUM('Value Segment'!U$82,'Mid-Market Segment'!U$82,'Upper Mid-Market Segment'!U$82,'Premium Segment'!U$82)</f>
        <v>833.31566243492091</v>
      </c>
      <c r="V96" s="661">
        <f>SUM('Value Segment'!V31,'Mid-Market Segment'!V31,'Upper Mid-Market Segment'!V31,'Premium Segment'!V31)/SUM('Value Segment'!V$82,'Mid-Market Segment'!V$82,'Upper Mid-Market Segment'!V$82,'Premium Segment'!V$82)</f>
        <v>833.31566243492091</v>
      </c>
      <c r="W96" s="661">
        <f>SUM('Value Segment'!W31,'Mid-Market Segment'!W31,'Upper Mid-Market Segment'!W31,'Premium Segment'!W31)/SUM('Value Segment'!W$82,'Mid-Market Segment'!W$82,'Upper Mid-Market Segment'!W$82,'Premium Segment'!W$82)</f>
        <v>833.31566243492091</v>
      </c>
      <c r="X96" s="661">
        <f>SUM('Value Segment'!X31,'Mid-Market Segment'!X31,'Upper Mid-Market Segment'!X31,'Premium Segment'!X31)/SUM('Value Segment'!X$82,'Mid-Market Segment'!X$82,'Upper Mid-Market Segment'!X$82,'Premium Segment'!X$82)</f>
        <v>853.03107810436779</v>
      </c>
      <c r="Y96" s="661">
        <f>SUM('Value Segment'!Y31,'Mid-Market Segment'!Y31,'Upper Mid-Market Segment'!Y31,'Premium Segment'!Y31)/SUM('Value Segment'!Y$82,'Mid-Market Segment'!Y$82,'Upper Mid-Market Segment'!Y$82,'Premium Segment'!Y$82)</f>
        <v>853.03107810436779</v>
      </c>
      <c r="Z96" s="661">
        <f>SUM('Value Segment'!Z31,'Mid-Market Segment'!Z31,'Upper Mid-Market Segment'!Z31,'Premium Segment'!Z31)/SUM('Value Segment'!Z$82,'Mid-Market Segment'!Z$82,'Upper Mid-Market Segment'!Z$82,'Premium Segment'!Z$82)</f>
        <v>853.03107810436779</v>
      </c>
      <c r="AA96" s="661">
        <f>SUM('Value Segment'!AA31,'Mid-Market Segment'!AA31,'Upper Mid-Market Segment'!AA31,'Premium Segment'!AA31)/SUM('Value Segment'!AA$82,'Mid-Market Segment'!AA$82,'Upper Mid-Market Segment'!AA$82,'Premium Segment'!AA$82)</f>
        <v>853.03107810436779</v>
      </c>
      <c r="AB96" s="661">
        <f>SUM('Value Segment'!AB31,'Mid-Market Segment'!AB31,'Upper Mid-Market Segment'!AB31,'Premium Segment'!AB31)/SUM('Value Segment'!AB$82,'Mid-Market Segment'!AB$82,'Upper Mid-Market Segment'!AB$82,'Premium Segment'!AB$82)</f>
        <v>853.03107810436779</v>
      </c>
      <c r="AC96" s="661">
        <f>SUM('Value Segment'!AC31,'Mid-Market Segment'!AC31,'Upper Mid-Market Segment'!AC31,'Premium Segment'!AC31)/SUM('Value Segment'!AC$82,'Mid-Market Segment'!AC$82,'Upper Mid-Market Segment'!AC$82,'Premium Segment'!AC$82)</f>
        <v>853.03107810436779</v>
      </c>
      <c r="AD96" s="661">
        <f>SUM('Value Segment'!AD31,'Mid-Market Segment'!AD31,'Upper Mid-Market Segment'!AD31,'Premium Segment'!AD31)/SUM('Value Segment'!AD$82,'Mid-Market Segment'!AD$82,'Upper Mid-Market Segment'!AD$82,'Premium Segment'!AD$82)</f>
        <v>847.96478437911355</v>
      </c>
      <c r="AE96" s="661">
        <f>SUM('Value Segment'!AE31,'Mid-Market Segment'!AE31,'Upper Mid-Market Segment'!AE31,'Premium Segment'!AE31)/SUM('Value Segment'!AE$82,'Mid-Market Segment'!AE$82,'Upper Mid-Market Segment'!AE$82,'Premium Segment'!AE$82)</f>
        <v>847.96478437911355</v>
      </c>
      <c r="AF96" s="661">
        <f>SUM('Value Segment'!AF31,'Mid-Market Segment'!AF31,'Upper Mid-Market Segment'!AF31,'Premium Segment'!AF31)/SUM('Value Segment'!AF$82,'Mid-Market Segment'!AF$82,'Upper Mid-Market Segment'!AF$82,'Premium Segment'!AF$82)</f>
        <v>847.96478437911355</v>
      </c>
      <c r="AG96" s="661">
        <f>SUM('Value Segment'!AG31,'Mid-Market Segment'!AG31,'Upper Mid-Market Segment'!AG31,'Premium Segment'!AG31)/SUM('Value Segment'!AG$82,'Mid-Market Segment'!AG$82,'Upper Mid-Market Segment'!AG$82,'Premium Segment'!AG$82)</f>
        <v>847.96478437911355</v>
      </c>
      <c r="AH96" s="661">
        <f>SUM('Value Segment'!AH31,'Mid-Market Segment'!AH31,'Upper Mid-Market Segment'!AH31,'Premium Segment'!AH31)/SUM('Value Segment'!AH$82,'Mid-Market Segment'!AH$82,'Upper Mid-Market Segment'!AH$82,'Premium Segment'!AH$82)</f>
        <v>847.96478437911355</v>
      </c>
      <c r="AI96" s="661">
        <f>SUM('Value Segment'!AI31,'Mid-Market Segment'!AI31,'Upper Mid-Market Segment'!AI31,'Premium Segment'!AI31)/SUM('Value Segment'!AI$82,'Mid-Market Segment'!AI$82,'Upper Mid-Market Segment'!AI$82,'Premium Segment'!AI$82)</f>
        <v>847.96478437911355</v>
      </c>
      <c r="AJ96" s="661">
        <f>SUM('Value Segment'!AJ31,'Mid-Market Segment'!AJ31,'Upper Mid-Market Segment'!AJ31,'Premium Segment'!AJ31)/SUM('Value Segment'!AJ$82,'Mid-Market Segment'!AJ$82,'Upper Mid-Market Segment'!AJ$82,'Premium Segment'!AJ$82)</f>
        <v>872.06549832087637</v>
      </c>
      <c r="AK96" s="661">
        <f>SUM('Value Segment'!AK31,'Mid-Market Segment'!AK31,'Upper Mid-Market Segment'!AK31,'Premium Segment'!AK31)/SUM('Value Segment'!AK$82,'Mid-Market Segment'!AK$82,'Upper Mid-Market Segment'!AK$82,'Premium Segment'!AK$82)</f>
        <v>872.06549832087637</v>
      </c>
      <c r="AL96" s="661">
        <f>SUM('Value Segment'!AL31,'Mid-Market Segment'!AL31,'Upper Mid-Market Segment'!AL31,'Premium Segment'!AL31)/SUM('Value Segment'!AL$82,'Mid-Market Segment'!AL$82,'Upper Mid-Market Segment'!AL$82,'Premium Segment'!AL$82)</f>
        <v>872.06549832087637</v>
      </c>
      <c r="AM96" s="661">
        <f>SUM('Value Segment'!AM31,'Mid-Market Segment'!AM31,'Upper Mid-Market Segment'!AM31,'Premium Segment'!AM31)/SUM('Value Segment'!AM$82,'Mid-Market Segment'!AM$82,'Upper Mid-Market Segment'!AM$82,'Premium Segment'!AM$82)</f>
        <v>872.06549832087637</v>
      </c>
      <c r="AN96" s="661">
        <f>SUM('Value Segment'!AN31,'Mid-Market Segment'!AN31,'Upper Mid-Market Segment'!AN31,'Premium Segment'!AN31)/SUM('Value Segment'!AN$82,'Mid-Market Segment'!AN$82,'Upper Mid-Market Segment'!AN$82,'Premium Segment'!AN$82)</f>
        <v>872.06549832087637</v>
      </c>
      <c r="AO96" s="661">
        <f>SUM('Value Segment'!AO31,'Mid-Market Segment'!AO31,'Upper Mid-Market Segment'!AO31,'Premium Segment'!AO31)/SUM('Value Segment'!AO$82,'Mid-Market Segment'!AO$82,'Upper Mid-Market Segment'!AO$82,'Premium Segment'!AO$82)</f>
        <v>872.06549832087637</v>
      </c>
      <c r="AP96" s="661">
        <f>SUM('Value Segment'!AP31,'Mid-Market Segment'!AP31,'Upper Mid-Market Segment'!AP31,'Premium Segment'!AP31)/SUM('Value Segment'!AP$82,'Mid-Market Segment'!AP$82,'Upper Mid-Market Segment'!AP$82,'Premium Segment'!AP$82)</f>
        <v>862.50382956605256</v>
      </c>
      <c r="AQ96" s="661">
        <f>SUM('Value Segment'!AQ31,'Mid-Market Segment'!AQ31,'Upper Mid-Market Segment'!AQ31,'Premium Segment'!AQ31)/SUM('Value Segment'!AQ$82,'Mid-Market Segment'!AQ$82,'Upper Mid-Market Segment'!AQ$82,'Premium Segment'!AQ$82)</f>
        <v>862.50382956605256</v>
      </c>
      <c r="AR96" s="661">
        <f>SUM('Value Segment'!AR31,'Mid-Market Segment'!AR31,'Upper Mid-Market Segment'!AR31,'Premium Segment'!AR31)/SUM('Value Segment'!AR$82,'Mid-Market Segment'!AR$82,'Upper Mid-Market Segment'!AR$82,'Premium Segment'!AR$82)</f>
        <v>862.50382956605256</v>
      </c>
      <c r="AS96" s="661">
        <f>SUM('Value Segment'!AS31,'Mid-Market Segment'!AS31,'Upper Mid-Market Segment'!AS31,'Premium Segment'!AS31)/SUM('Value Segment'!AS$82,'Mid-Market Segment'!AS$82,'Upper Mid-Market Segment'!AS$82,'Premium Segment'!AS$82)</f>
        <v>862.50382956605256</v>
      </c>
      <c r="AT96" s="661">
        <f>SUM('Value Segment'!AT31,'Mid-Market Segment'!AT31,'Upper Mid-Market Segment'!AT31,'Premium Segment'!AT31)/SUM('Value Segment'!AT$82,'Mid-Market Segment'!AT$82,'Upper Mid-Market Segment'!AT$82,'Premium Segment'!AT$82)</f>
        <v>862.50382956605256</v>
      </c>
      <c r="AU96" s="661">
        <f>SUM('Value Segment'!AU31,'Mid-Market Segment'!AU31,'Upper Mid-Market Segment'!AU31,'Premium Segment'!AU31)/SUM('Value Segment'!AU$82,'Mid-Market Segment'!AU$82,'Upper Mid-Market Segment'!AU$82,'Premium Segment'!AU$82)</f>
        <v>862.50382956605256</v>
      </c>
      <c r="AV96" s="661">
        <f>SUM('Value Segment'!AV31,'Mid-Market Segment'!AV31,'Upper Mid-Market Segment'!AV31,'Premium Segment'!AV31)/SUM('Value Segment'!AV$82,'Mid-Market Segment'!AV$82,'Upper Mid-Market Segment'!AV$82,'Premium Segment'!AV$82)</f>
        <v>890.9282721382134</v>
      </c>
      <c r="AW96" s="661">
        <f>SUM('Value Segment'!AW31,'Mid-Market Segment'!AW31,'Upper Mid-Market Segment'!AW31,'Premium Segment'!AW31)/SUM('Value Segment'!AW$82,'Mid-Market Segment'!AW$82,'Upper Mid-Market Segment'!AW$82,'Premium Segment'!AW$82)</f>
        <v>890.9282721382134</v>
      </c>
      <c r="AX96" s="661">
        <f>SUM('Value Segment'!AX31,'Mid-Market Segment'!AX31,'Upper Mid-Market Segment'!AX31,'Premium Segment'!AX31)/SUM('Value Segment'!AX$82,'Mid-Market Segment'!AX$82,'Upper Mid-Market Segment'!AX$82,'Premium Segment'!AX$82)</f>
        <v>890.9282721382134</v>
      </c>
      <c r="AY96" s="661">
        <f>SUM('Value Segment'!AY31,'Mid-Market Segment'!AY31,'Upper Mid-Market Segment'!AY31,'Premium Segment'!AY31)/SUM('Value Segment'!AY$82,'Mid-Market Segment'!AY$82,'Upper Mid-Market Segment'!AY$82,'Premium Segment'!AY$82)</f>
        <v>890.9282721382134</v>
      </c>
      <c r="AZ96" s="661">
        <f>SUM('Value Segment'!AZ31,'Mid-Market Segment'!AZ31,'Upper Mid-Market Segment'!AZ31,'Premium Segment'!AZ31)/SUM('Value Segment'!AZ$82,'Mid-Market Segment'!AZ$82,'Upper Mid-Market Segment'!AZ$82,'Premium Segment'!AZ$82)</f>
        <v>890.9282721382134</v>
      </c>
      <c r="BA96" s="661">
        <f>SUM('Value Segment'!BA31,'Mid-Market Segment'!BA31,'Upper Mid-Market Segment'!BA31,'Premium Segment'!BA31)/SUM('Value Segment'!BA$82,'Mid-Market Segment'!BA$82,'Upper Mid-Market Segment'!BA$82,'Premium Segment'!BA$82)</f>
        <v>890.9282721382134</v>
      </c>
      <c r="BB96" s="661">
        <f>SUM('Value Segment'!BB31,'Mid-Market Segment'!BB31,'Upper Mid-Market Segment'!BB31,'Premium Segment'!BB31)/SUM('Value Segment'!BB$82,'Mid-Market Segment'!BB$82,'Upper Mid-Market Segment'!BB$82,'Premium Segment'!BB$82)</f>
        <v>877.7325991489754</v>
      </c>
      <c r="BC96" s="661">
        <f>SUM('Value Segment'!BC31,'Mid-Market Segment'!BC31,'Upper Mid-Market Segment'!BC31,'Premium Segment'!BC31)/SUM('Value Segment'!BC$82,'Mid-Market Segment'!BC$82,'Upper Mid-Market Segment'!BC$82,'Premium Segment'!BC$82)</f>
        <v>877.7325991489754</v>
      </c>
      <c r="BD96" s="661">
        <f>SUM('Value Segment'!BD31,'Mid-Market Segment'!BD31,'Upper Mid-Market Segment'!BD31,'Premium Segment'!BD31)/SUM('Value Segment'!BD$82,'Mid-Market Segment'!BD$82,'Upper Mid-Market Segment'!BD$82,'Premium Segment'!BD$82)</f>
        <v>877.7325991489754</v>
      </c>
      <c r="BE96" s="661">
        <f>SUM('Value Segment'!BE31,'Mid-Market Segment'!BE31,'Upper Mid-Market Segment'!BE31,'Premium Segment'!BE31)/SUM('Value Segment'!BE$82,'Mid-Market Segment'!BE$82,'Upper Mid-Market Segment'!BE$82,'Premium Segment'!BE$82)</f>
        <v>877.7325991489754</v>
      </c>
      <c r="BF96" s="661">
        <f>SUM('Value Segment'!BF31,'Mid-Market Segment'!BF31,'Upper Mid-Market Segment'!BF31,'Premium Segment'!BF31)/SUM('Value Segment'!BF$82,'Mid-Market Segment'!BF$82,'Upper Mid-Market Segment'!BF$82,'Premium Segment'!BF$82)</f>
        <v>877.7325991489754</v>
      </c>
      <c r="BG96" s="661">
        <f>SUM('Value Segment'!BG31,'Mid-Market Segment'!BG31,'Upper Mid-Market Segment'!BG31,'Premium Segment'!BG31)/SUM('Value Segment'!BG$82,'Mid-Market Segment'!BG$82,'Upper Mid-Market Segment'!BG$82,'Premium Segment'!BG$82)</f>
        <v>877.7325991489754</v>
      </c>
      <c r="BH96" s="661">
        <f>SUM('Value Segment'!BH31,'Mid-Market Segment'!BH31,'Upper Mid-Market Segment'!BH31,'Premium Segment'!BH31)/SUM('Value Segment'!BH$82,'Mid-Market Segment'!BH$82,'Upper Mid-Market Segment'!BH$82,'Premium Segment'!BH$82)</f>
        <v>910.44657152129957</v>
      </c>
      <c r="BI96" s="661">
        <f>SUM('Value Segment'!BI31,'Mid-Market Segment'!BI31,'Upper Mid-Market Segment'!BI31,'Premium Segment'!BI31)/SUM('Value Segment'!BI$82,'Mid-Market Segment'!BI$82,'Upper Mid-Market Segment'!BI$82,'Premium Segment'!BI$82)</f>
        <v>910.44657152129957</v>
      </c>
      <c r="BJ96" s="661">
        <f>SUM('Value Segment'!BJ31,'Mid-Market Segment'!BJ31,'Upper Mid-Market Segment'!BJ31,'Premium Segment'!BJ31)/SUM('Value Segment'!BJ$82,'Mid-Market Segment'!BJ$82,'Upper Mid-Market Segment'!BJ$82,'Premium Segment'!BJ$82)</f>
        <v>910.44657152129957</v>
      </c>
      <c r="BK96" s="661">
        <f>SUM('Value Segment'!BK31,'Mid-Market Segment'!BK31,'Upper Mid-Market Segment'!BK31,'Premium Segment'!BK31)/SUM('Value Segment'!BK$82,'Mid-Market Segment'!BK$82,'Upper Mid-Market Segment'!BK$82,'Premium Segment'!BK$82)</f>
        <v>910.44657152129957</v>
      </c>
      <c r="BL96" s="661">
        <f>SUM('Value Segment'!BL31,'Mid-Market Segment'!BL31,'Upper Mid-Market Segment'!BL31,'Premium Segment'!BL31)/SUM('Value Segment'!BL$82,'Mid-Market Segment'!BL$82,'Upper Mid-Market Segment'!BL$82,'Premium Segment'!BL$82)</f>
        <v>910.44657152129957</v>
      </c>
      <c r="BM96" s="661">
        <f>SUM('Value Segment'!BM31,'Mid-Market Segment'!BM31,'Upper Mid-Market Segment'!BM31,'Premium Segment'!BM31)/SUM('Value Segment'!BM$82,'Mid-Market Segment'!BM$82,'Upper Mid-Market Segment'!BM$82,'Premium Segment'!BM$82)</f>
        <v>910.44657152129957</v>
      </c>
      <c r="BN96" s="661">
        <f>SUM('Value Segment'!BN31,'Mid-Market Segment'!BN31,'Upper Mid-Market Segment'!BN31,'Premium Segment'!BN31)/SUM('Value Segment'!BN$82,'Mid-Market Segment'!BN$82,'Upper Mid-Market Segment'!BN$82,'Premium Segment'!BN$82)</f>
        <v>893.36788024444979</v>
      </c>
      <c r="BO96" s="661">
        <f>SUM('Value Segment'!BO31,'Mid-Market Segment'!BO31,'Upper Mid-Market Segment'!BO31,'Premium Segment'!BO31)/SUM('Value Segment'!BO$82,'Mid-Market Segment'!BO$82,'Upper Mid-Market Segment'!BO$82,'Premium Segment'!BO$82)</f>
        <v>893.36788024444979</v>
      </c>
      <c r="BP96" s="661">
        <f>SUM('Value Segment'!BP31,'Mid-Market Segment'!BP31,'Upper Mid-Market Segment'!BP31,'Premium Segment'!BP31)/SUM('Value Segment'!BP$82,'Mid-Market Segment'!BP$82,'Upper Mid-Market Segment'!BP$82,'Premium Segment'!BP$82)</f>
        <v>893.36788024444979</v>
      </c>
      <c r="BQ96" s="661">
        <f>SUM('Value Segment'!BQ31,'Mid-Market Segment'!BQ31,'Upper Mid-Market Segment'!BQ31,'Premium Segment'!BQ31)/SUM('Value Segment'!BQ$82,'Mid-Market Segment'!BQ$82,'Upper Mid-Market Segment'!BQ$82,'Premium Segment'!BQ$82)</f>
        <v>893.36788024444979</v>
      </c>
      <c r="BR96" s="661">
        <f>SUM('Value Segment'!BR31,'Mid-Market Segment'!BR31,'Upper Mid-Market Segment'!BR31,'Premium Segment'!BR31)/SUM('Value Segment'!BR$82,'Mid-Market Segment'!BR$82,'Upper Mid-Market Segment'!BR$82,'Premium Segment'!BR$82)</f>
        <v>893.36788024444979</v>
      </c>
      <c r="BS96" s="661">
        <f>SUM('Value Segment'!BS31,'Mid-Market Segment'!BS31,'Upper Mid-Market Segment'!BS31,'Premium Segment'!BS31)/SUM('Value Segment'!BS$82,'Mid-Market Segment'!BS$82,'Upper Mid-Market Segment'!BS$82,'Premium Segment'!BS$82)</f>
        <v>893.36788024444979</v>
      </c>
      <c r="BT96" s="661">
        <f>SUM('Value Segment'!BT31,'Mid-Market Segment'!BT31,'Upper Mid-Market Segment'!BT31,'Premium Segment'!BT31)/SUM('Value Segment'!BT$82,'Mid-Market Segment'!BT$82,'Upper Mid-Market Segment'!BT$82,'Premium Segment'!BT$82)</f>
        <v>930.28992998590138</v>
      </c>
      <c r="BU96" s="661">
        <f>SUM('Value Segment'!BU31,'Mid-Market Segment'!BU31,'Upper Mid-Market Segment'!BU31,'Premium Segment'!BU31)/SUM('Value Segment'!BU$82,'Mid-Market Segment'!BU$82,'Upper Mid-Market Segment'!BU$82,'Premium Segment'!BU$82)</f>
        <v>930.28992998590138</v>
      </c>
      <c r="BV96" s="661">
        <f>SUM('Value Segment'!BV31,'Mid-Market Segment'!BV31,'Upper Mid-Market Segment'!BV31,'Premium Segment'!BV31)/SUM('Value Segment'!BV$82,'Mid-Market Segment'!BV$82,'Upper Mid-Market Segment'!BV$82,'Premium Segment'!BV$82)</f>
        <v>930.28992998590138</v>
      </c>
      <c r="BW96" s="661">
        <f>SUM('Value Segment'!BW31,'Mid-Market Segment'!BW31,'Upper Mid-Market Segment'!BW31,'Premium Segment'!BW31)/SUM('Value Segment'!BW$82,'Mid-Market Segment'!BW$82,'Upper Mid-Market Segment'!BW$82,'Premium Segment'!BW$82)</f>
        <v>930.28992998590138</v>
      </c>
      <c r="BX96" s="661">
        <f>SUM('Value Segment'!BX31,'Mid-Market Segment'!BX31,'Upper Mid-Market Segment'!BX31,'Premium Segment'!BX31)/SUM('Value Segment'!BX$82,'Mid-Market Segment'!BX$82,'Upper Mid-Market Segment'!BX$82,'Premium Segment'!BX$82)</f>
        <v>930.28992998590138</v>
      </c>
      <c r="BY96" s="661">
        <f>SUM('Value Segment'!BY31,'Mid-Market Segment'!BY31,'Upper Mid-Market Segment'!BY31,'Premium Segment'!BY31)/SUM('Value Segment'!BY$82,'Mid-Market Segment'!BY$82,'Upper Mid-Market Segment'!BY$82,'Premium Segment'!BY$82)</f>
        <v>930.28992998590138</v>
      </c>
      <c r="CB96" s="8"/>
    </row>
    <row r="97" spans="3:80" x14ac:dyDescent="0.3">
      <c r="C97" s="2"/>
      <c r="D97" s="2"/>
      <c r="E97" s="2" t="s">
        <v>392</v>
      </c>
      <c r="F97" s="54"/>
      <c r="G97" s="54"/>
      <c r="H97" s="54"/>
      <c r="I97" s="19">
        <f>SUM('Value Segment'!I32,'Mid-Market Segment'!I32,'Upper Mid-Market Segment'!I32,'Premium Segment'!I32)/SUM('Value Segment'!I$82,'Mid-Market Segment'!I$82,'Upper Mid-Market Segment'!I$82,'Premium Segment'!I$82)</f>
        <v>-5055.9708243375426</v>
      </c>
      <c r="J97" s="19">
        <f>SUM('Value Segment'!J32,'Mid-Market Segment'!J32,'Upper Mid-Market Segment'!J32,'Premium Segment'!J32)/SUM('Value Segment'!J$82,'Mid-Market Segment'!J$82,'Upper Mid-Market Segment'!J$82,'Premium Segment'!J$82)</f>
        <v>-5115.8183767126202</v>
      </c>
      <c r="K97" s="19">
        <f>SUM('Value Segment'!K32,'Mid-Market Segment'!K32,'Upper Mid-Market Segment'!K32,'Premium Segment'!K32)/SUM('Value Segment'!K$82,'Mid-Market Segment'!K$82,'Upper Mid-Market Segment'!K$82,'Premium Segment'!K$82)</f>
        <v>-5218.059334607181</v>
      </c>
      <c r="L97" s="19">
        <f>SUM('Value Segment'!L32,'Mid-Market Segment'!L32,'Upper Mid-Market Segment'!L32,'Premium Segment'!L32)/SUM('Value Segment'!L$82,'Mid-Market Segment'!L$82,'Upper Mid-Market Segment'!L$82,'Premium Segment'!L$82)</f>
        <v>-5319.4450483919954</v>
      </c>
      <c r="M97" s="19">
        <f>SUM('Value Segment'!M32,'Mid-Market Segment'!M32,'Upper Mid-Market Segment'!M32,'Premium Segment'!M32)/SUM('Value Segment'!M$82,'Mid-Market Segment'!M$82,'Upper Mid-Market Segment'!M$82,'Premium Segment'!M$82)</f>
        <v>-5424.9218222798154</v>
      </c>
      <c r="N97" s="19">
        <f>SUM('Value Segment'!N32,'Mid-Market Segment'!N32,'Upper Mid-Market Segment'!N32,'Premium Segment'!N32)/SUM('Value Segment'!N$82,'Mid-Market Segment'!N$82,'Upper Mid-Market Segment'!N$82,'Premium Segment'!N$82)</f>
        <v>-5532.6283806787551</v>
      </c>
      <c r="O97" s="37"/>
      <c r="P97" s="50">
        <f t="shared" si="106"/>
        <v>1.8181937035734119E-2</v>
      </c>
      <c r="R97" s="19">
        <f>SUM('Value Segment'!R32,'Mid-Market Segment'!R32,'Upper Mid-Market Segment'!R32,'Premium Segment'!R32)/SUM('Value Segment'!R$82,'Mid-Market Segment'!R$82,'Upper Mid-Market Segment'!R$82,'Premium Segment'!R$82)</f>
        <v>-421.33090202812855</v>
      </c>
      <c r="S97" s="542">
        <f>SUM('Value Segment'!S32,'Mid-Market Segment'!S32,'Upper Mid-Market Segment'!S32,'Premium Segment'!S32)/SUM('Value Segment'!S$82,'Mid-Market Segment'!S$82,'Upper Mid-Market Segment'!S$82,'Premium Segment'!S$82)</f>
        <v>-421.33090202812855</v>
      </c>
      <c r="T97" s="542">
        <f>SUM('Value Segment'!T32,'Mid-Market Segment'!T32,'Upper Mid-Market Segment'!T32,'Premium Segment'!T32)/SUM('Value Segment'!T$82,'Mid-Market Segment'!T$82,'Upper Mid-Market Segment'!T$82,'Premium Segment'!T$82)</f>
        <v>-421.33090202812855</v>
      </c>
      <c r="U97" s="542">
        <f>SUM('Value Segment'!U32,'Mid-Market Segment'!U32,'Upper Mid-Market Segment'!U32,'Premium Segment'!U32)/SUM('Value Segment'!U$82,'Mid-Market Segment'!U$82,'Upper Mid-Market Segment'!U$82,'Premium Segment'!U$82)</f>
        <v>-421.33090202812855</v>
      </c>
      <c r="V97" s="542">
        <f>SUM('Value Segment'!V32,'Mid-Market Segment'!V32,'Upper Mid-Market Segment'!V32,'Premium Segment'!V32)/SUM('Value Segment'!V$82,'Mid-Market Segment'!V$82,'Upper Mid-Market Segment'!V$82,'Premium Segment'!V$82)</f>
        <v>-421.33090202812855</v>
      </c>
      <c r="W97" s="542">
        <f>SUM('Value Segment'!W32,'Mid-Market Segment'!W32,'Upper Mid-Market Segment'!W32,'Premium Segment'!W32)/SUM('Value Segment'!W$82,'Mid-Market Segment'!W$82,'Upper Mid-Market Segment'!W$82,'Premium Segment'!W$82)</f>
        <v>-421.33090202812855</v>
      </c>
      <c r="X97" s="542">
        <f>SUM('Value Segment'!X32,'Mid-Market Segment'!X32,'Upper Mid-Market Segment'!X32,'Premium Segment'!X32)/SUM('Value Segment'!X$82,'Mid-Market Segment'!X$82,'Upper Mid-Market Segment'!X$82,'Premium Segment'!X$82)</f>
        <v>-431.3054940906415</v>
      </c>
      <c r="Y97" s="542">
        <f>SUM('Value Segment'!Y32,'Mid-Market Segment'!Y32,'Upper Mid-Market Segment'!Y32,'Premium Segment'!Y32)/SUM('Value Segment'!Y$82,'Mid-Market Segment'!Y$82,'Upper Mid-Market Segment'!Y$82,'Premium Segment'!Y$82)</f>
        <v>-431.3054940906415</v>
      </c>
      <c r="Z97" s="542">
        <f>SUM('Value Segment'!Z32,'Mid-Market Segment'!Z32,'Upper Mid-Market Segment'!Z32,'Premium Segment'!Z32)/SUM('Value Segment'!Z$82,'Mid-Market Segment'!Z$82,'Upper Mid-Market Segment'!Z$82,'Premium Segment'!Z$82)</f>
        <v>-431.3054940906415</v>
      </c>
      <c r="AA97" s="542">
        <f>SUM('Value Segment'!AA32,'Mid-Market Segment'!AA32,'Upper Mid-Market Segment'!AA32,'Premium Segment'!AA32)/SUM('Value Segment'!AA$82,'Mid-Market Segment'!AA$82,'Upper Mid-Market Segment'!AA$82,'Premium Segment'!AA$82)</f>
        <v>-431.3054940906415</v>
      </c>
      <c r="AB97" s="542">
        <f>SUM('Value Segment'!AB32,'Mid-Market Segment'!AB32,'Upper Mid-Market Segment'!AB32,'Premium Segment'!AB32)/SUM('Value Segment'!AB$82,'Mid-Market Segment'!AB$82,'Upper Mid-Market Segment'!AB$82,'Premium Segment'!AB$82)</f>
        <v>-431.3054940906415</v>
      </c>
      <c r="AC97" s="542">
        <f>SUM('Value Segment'!AC32,'Mid-Market Segment'!AC32,'Upper Mid-Market Segment'!AC32,'Premium Segment'!AC32)/SUM('Value Segment'!AC$82,'Mid-Market Segment'!AC$82,'Upper Mid-Market Segment'!AC$82,'Premium Segment'!AC$82)</f>
        <v>-431.3054940906415</v>
      </c>
      <c r="AD97" s="542">
        <f>SUM('Value Segment'!AD32,'Mid-Market Segment'!AD32,'Upper Mid-Market Segment'!AD32,'Premium Segment'!AD32)/SUM('Value Segment'!AD$82,'Mid-Market Segment'!AD$82,'Upper Mid-Market Segment'!AD$82,'Premium Segment'!AD$82)</f>
        <v>-428.7411844517859</v>
      </c>
      <c r="AE97" s="542">
        <f>SUM('Value Segment'!AE32,'Mid-Market Segment'!AE32,'Upper Mid-Market Segment'!AE32,'Premium Segment'!AE32)/SUM('Value Segment'!AE$82,'Mid-Market Segment'!AE$82,'Upper Mid-Market Segment'!AE$82,'Premium Segment'!AE$82)</f>
        <v>-428.7411844517859</v>
      </c>
      <c r="AF97" s="542">
        <f>SUM('Value Segment'!AF32,'Mid-Market Segment'!AF32,'Upper Mid-Market Segment'!AF32,'Premium Segment'!AF32)/SUM('Value Segment'!AF$82,'Mid-Market Segment'!AF$82,'Upper Mid-Market Segment'!AF$82,'Premium Segment'!AF$82)</f>
        <v>-428.7411844517859</v>
      </c>
      <c r="AG97" s="542">
        <f>SUM('Value Segment'!AG32,'Mid-Market Segment'!AG32,'Upper Mid-Market Segment'!AG32,'Premium Segment'!AG32)/SUM('Value Segment'!AG$82,'Mid-Market Segment'!AG$82,'Upper Mid-Market Segment'!AG$82,'Premium Segment'!AG$82)</f>
        <v>-428.7411844517859</v>
      </c>
      <c r="AH97" s="542">
        <f>SUM('Value Segment'!AH32,'Mid-Market Segment'!AH32,'Upper Mid-Market Segment'!AH32,'Premium Segment'!AH32)/SUM('Value Segment'!AH$82,'Mid-Market Segment'!AH$82,'Upper Mid-Market Segment'!AH$82,'Premium Segment'!AH$82)</f>
        <v>-428.7411844517859</v>
      </c>
      <c r="AI97" s="542">
        <f>SUM('Value Segment'!AI32,'Mid-Market Segment'!AI32,'Upper Mid-Market Segment'!AI32,'Premium Segment'!AI32)/SUM('Value Segment'!AI$82,'Mid-Market Segment'!AI$82,'Upper Mid-Market Segment'!AI$82,'Premium Segment'!AI$82)</f>
        <v>-428.7411844517859</v>
      </c>
      <c r="AJ97" s="542">
        <f>SUM('Value Segment'!AJ32,'Mid-Market Segment'!AJ32,'Upper Mid-Market Segment'!AJ32,'Premium Segment'!AJ32)/SUM('Value Segment'!AJ$82,'Mid-Market Segment'!AJ$82,'Upper Mid-Market Segment'!AJ$82,'Premium Segment'!AJ$82)</f>
        <v>-440.93537131607758</v>
      </c>
      <c r="AK97" s="542">
        <f>SUM('Value Segment'!AK32,'Mid-Market Segment'!AK32,'Upper Mid-Market Segment'!AK32,'Premium Segment'!AK32)/SUM('Value Segment'!AK$82,'Mid-Market Segment'!AK$82,'Upper Mid-Market Segment'!AK$82,'Premium Segment'!AK$82)</f>
        <v>-440.93537131607758</v>
      </c>
      <c r="AL97" s="542">
        <f>SUM('Value Segment'!AL32,'Mid-Market Segment'!AL32,'Upper Mid-Market Segment'!AL32,'Premium Segment'!AL32)/SUM('Value Segment'!AL$82,'Mid-Market Segment'!AL$82,'Upper Mid-Market Segment'!AL$82,'Premium Segment'!AL$82)</f>
        <v>-440.93537131607758</v>
      </c>
      <c r="AM97" s="542">
        <f>SUM('Value Segment'!AM32,'Mid-Market Segment'!AM32,'Upper Mid-Market Segment'!AM32,'Premium Segment'!AM32)/SUM('Value Segment'!AM$82,'Mid-Market Segment'!AM$82,'Upper Mid-Market Segment'!AM$82,'Premium Segment'!AM$82)</f>
        <v>-440.93537131607758</v>
      </c>
      <c r="AN97" s="542">
        <f>SUM('Value Segment'!AN32,'Mid-Market Segment'!AN32,'Upper Mid-Market Segment'!AN32,'Premium Segment'!AN32)/SUM('Value Segment'!AN$82,'Mid-Market Segment'!AN$82,'Upper Mid-Market Segment'!AN$82,'Premium Segment'!AN$82)</f>
        <v>-440.93537131607758</v>
      </c>
      <c r="AO97" s="542">
        <f>SUM('Value Segment'!AO32,'Mid-Market Segment'!AO32,'Upper Mid-Market Segment'!AO32,'Premium Segment'!AO32)/SUM('Value Segment'!AO$82,'Mid-Market Segment'!AO$82,'Upper Mid-Market Segment'!AO$82,'Premium Segment'!AO$82)</f>
        <v>-440.93537131607758</v>
      </c>
      <c r="AP97" s="542">
        <f>SUM('Value Segment'!AP32,'Mid-Market Segment'!AP32,'Upper Mid-Market Segment'!AP32,'Premium Segment'!AP32)/SUM('Value Segment'!AP$82,'Mid-Market Segment'!AP$82,'Upper Mid-Market Segment'!AP$82,'Premium Segment'!AP$82)</f>
        <v>-436.09578791269979</v>
      </c>
      <c r="AQ97" s="542">
        <f>SUM('Value Segment'!AQ32,'Mid-Market Segment'!AQ32,'Upper Mid-Market Segment'!AQ32,'Premium Segment'!AQ32)/SUM('Value Segment'!AQ$82,'Mid-Market Segment'!AQ$82,'Upper Mid-Market Segment'!AQ$82,'Premium Segment'!AQ$82)</f>
        <v>-436.09578791269979</v>
      </c>
      <c r="AR97" s="542">
        <f>SUM('Value Segment'!AR32,'Mid-Market Segment'!AR32,'Upper Mid-Market Segment'!AR32,'Premium Segment'!AR32)/SUM('Value Segment'!AR$82,'Mid-Market Segment'!AR$82,'Upper Mid-Market Segment'!AR$82,'Premium Segment'!AR$82)</f>
        <v>-436.09578791269979</v>
      </c>
      <c r="AS97" s="542">
        <f>SUM('Value Segment'!AS32,'Mid-Market Segment'!AS32,'Upper Mid-Market Segment'!AS32,'Premium Segment'!AS32)/SUM('Value Segment'!AS$82,'Mid-Market Segment'!AS$82,'Upper Mid-Market Segment'!AS$82,'Premium Segment'!AS$82)</f>
        <v>-436.09578791269979</v>
      </c>
      <c r="AT97" s="542">
        <f>SUM('Value Segment'!AT32,'Mid-Market Segment'!AT32,'Upper Mid-Market Segment'!AT32,'Premium Segment'!AT32)/SUM('Value Segment'!AT$82,'Mid-Market Segment'!AT$82,'Upper Mid-Market Segment'!AT$82,'Premium Segment'!AT$82)</f>
        <v>-436.09578791269979</v>
      </c>
      <c r="AU97" s="542">
        <f>SUM('Value Segment'!AU32,'Mid-Market Segment'!AU32,'Upper Mid-Market Segment'!AU32,'Premium Segment'!AU32)/SUM('Value Segment'!AU$82,'Mid-Market Segment'!AU$82,'Upper Mid-Market Segment'!AU$82,'Premium Segment'!AU$82)</f>
        <v>-436.09578791269979</v>
      </c>
      <c r="AV97" s="542">
        <f>SUM('Value Segment'!AV32,'Mid-Market Segment'!AV32,'Upper Mid-Market Segment'!AV32,'Premium Segment'!AV32)/SUM('Value Segment'!AV$82,'Mid-Market Segment'!AV$82,'Upper Mid-Market Segment'!AV$82,'Premium Segment'!AV$82)</f>
        <v>-450.47838681929954</v>
      </c>
      <c r="AW97" s="542">
        <f>SUM('Value Segment'!AW32,'Mid-Market Segment'!AW32,'Upper Mid-Market Segment'!AW32,'Premium Segment'!AW32)/SUM('Value Segment'!AW$82,'Mid-Market Segment'!AW$82,'Upper Mid-Market Segment'!AW$82,'Premium Segment'!AW$82)</f>
        <v>-450.47838681929954</v>
      </c>
      <c r="AX97" s="542">
        <f>SUM('Value Segment'!AX32,'Mid-Market Segment'!AX32,'Upper Mid-Market Segment'!AX32,'Premium Segment'!AX32)/SUM('Value Segment'!AX$82,'Mid-Market Segment'!AX$82,'Upper Mid-Market Segment'!AX$82,'Premium Segment'!AX$82)</f>
        <v>-450.47838681929954</v>
      </c>
      <c r="AY97" s="542">
        <f>SUM('Value Segment'!AY32,'Mid-Market Segment'!AY32,'Upper Mid-Market Segment'!AY32,'Premium Segment'!AY32)/SUM('Value Segment'!AY$82,'Mid-Market Segment'!AY$82,'Upper Mid-Market Segment'!AY$82,'Premium Segment'!AY$82)</f>
        <v>-450.47838681929954</v>
      </c>
      <c r="AZ97" s="542">
        <f>SUM('Value Segment'!AZ32,'Mid-Market Segment'!AZ32,'Upper Mid-Market Segment'!AZ32,'Premium Segment'!AZ32)/SUM('Value Segment'!AZ$82,'Mid-Market Segment'!AZ$82,'Upper Mid-Market Segment'!AZ$82,'Premium Segment'!AZ$82)</f>
        <v>-450.47838681929954</v>
      </c>
      <c r="BA97" s="542">
        <f>SUM('Value Segment'!BA32,'Mid-Market Segment'!BA32,'Upper Mid-Market Segment'!BA32,'Premium Segment'!BA32)/SUM('Value Segment'!BA$82,'Mid-Market Segment'!BA$82,'Upper Mid-Market Segment'!BA$82,'Premium Segment'!BA$82)</f>
        <v>-450.47838681929954</v>
      </c>
      <c r="BB97" s="542">
        <f>SUM('Value Segment'!BB32,'Mid-Market Segment'!BB32,'Upper Mid-Market Segment'!BB32,'Premium Segment'!BB32)/SUM('Value Segment'!BB$82,'Mid-Market Segment'!BB$82,'Upper Mid-Market Segment'!BB$82,'Premium Segment'!BB$82)</f>
        <v>-443.79997598176226</v>
      </c>
      <c r="BC97" s="542">
        <f>SUM('Value Segment'!BC32,'Mid-Market Segment'!BC32,'Upper Mid-Market Segment'!BC32,'Premium Segment'!BC32)/SUM('Value Segment'!BC$82,'Mid-Market Segment'!BC$82,'Upper Mid-Market Segment'!BC$82,'Premium Segment'!BC$82)</f>
        <v>-443.79997598176226</v>
      </c>
      <c r="BD97" s="542">
        <f>SUM('Value Segment'!BD32,'Mid-Market Segment'!BD32,'Upper Mid-Market Segment'!BD32,'Premium Segment'!BD32)/SUM('Value Segment'!BD$82,'Mid-Market Segment'!BD$82,'Upper Mid-Market Segment'!BD$82,'Premium Segment'!BD$82)</f>
        <v>-443.79997598176226</v>
      </c>
      <c r="BE97" s="542">
        <f>SUM('Value Segment'!BE32,'Mid-Market Segment'!BE32,'Upper Mid-Market Segment'!BE32,'Premium Segment'!BE32)/SUM('Value Segment'!BE$82,'Mid-Market Segment'!BE$82,'Upper Mid-Market Segment'!BE$82,'Premium Segment'!BE$82)</f>
        <v>-443.79997598176226</v>
      </c>
      <c r="BF97" s="542">
        <f>SUM('Value Segment'!BF32,'Mid-Market Segment'!BF32,'Upper Mid-Market Segment'!BF32,'Premium Segment'!BF32)/SUM('Value Segment'!BF$82,'Mid-Market Segment'!BF$82,'Upper Mid-Market Segment'!BF$82,'Premium Segment'!BF$82)</f>
        <v>-443.79997598176226</v>
      </c>
      <c r="BG97" s="542">
        <f>SUM('Value Segment'!BG32,'Mid-Market Segment'!BG32,'Upper Mid-Market Segment'!BG32,'Premium Segment'!BG32)/SUM('Value Segment'!BG$82,'Mid-Market Segment'!BG$82,'Upper Mid-Market Segment'!BG$82,'Premium Segment'!BG$82)</f>
        <v>-443.79997598176226</v>
      </c>
      <c r="BH97" s="542">
        <f>SUM('Value Segment'!BH32,'Mid-Market Segment'!BH32,'Upper Mid-Market Segment'!BH32,'Premium Segment'!BH32)/SUM('Value Segment'!BH$82,'Mid-Market Segment'!BH$82,'Upper Mid-Market Segment'!BH$82,'Premium Segment'!BH$82)</f>
        <v>-460.35366106487373</v>
      </c>
      <c r="BI97" s="542">
        <f>SUM('Value Segment'!BI32,'Mid-Market Segment'!BI32,'Upper Mid-Market Segment'!BI32,'Premium Segment'!BI32)/SUM('Value Segment'!BI$82,'Mid-Market Segment'!BI$82,'Upper Mid-Market Segment'!BI$82,'Premium Segment'!BI$82)</f>
        <v>-460.35366106487373</v>
      </c>
      <c r="BJ97" s="542">
        <f>SUM('Value Segment'!BJ32,'Mid-Market Segment'!BJ32,'Upper Mid-Market Segment'!BJ32,'Premium Segment'!BJ32)/SUM('Value Segment'!BJ$82,'Mid-Market Segment'!BJ$82,'Upper Mid-Market Segment'!BJ$82,'Premium Segment'!BJ$82)</f>
        <v>-460.35366106487373</v>
      </c>
      <c r="BK97" s="542">
        <f>SUM('Value Segment'!BK32,'Mid-Market Segment'!BK32,'Upper Mid-Market Segment'!BK32,'Premium Segment'!BK32)/SUM('Value Segment'!BK$82,'Mid-Market Segment'!BK$82,'Upper Mid-Market Segment'!BK$82,'Premium Segment'!BK$82)</f>
        <v>-460.35366106487373</v>
      </c>
      <c r="BL97" s="542">
        <f>SUM('Value Segment'!BL32,'Mid-Market Segment'!BL32,'Upper Mid-Market Segment'!BL32,'Premium Segment'!BL32)/SUM('Value Segment'!BL$82,'Mid-Market Segment'!BL$82,'Upper Mid-Market Segment'!BL$82,'Premium Segment'!BL$82)</f>
        <v>-460.35366106487373</v>
      </c>
      <c r="BM97" s="542">
        <f>SUM('Value Segment'!BM32,'Mid-Market Segment'!BM32,'Upper Mid-Market Segment'!BM32,'Premium Segment'!BM32)/SUM('Value Segment'!BM$82,'Mid-Market Segment'!BM$82,'Upper Mid-Market Segment'!BM$82,'Premium Segment'!BM$82)</f>
        <v>-460.35366106487373</v>
      </c>
      <c r="BN97" s="542">
        <f>SUM('Value Segment'!BN32,'Mid-Market Segment'!BN32,'Upper Mid-Market Segment'!BN32,'Premium Segment'!BN32)/SUM('Value Segment'!BN$82,'Mid-Market Segment'!BN$82,'Upper Mid-Market Segment'!BN$82,'Premium Segment'!BN$82)</f>
        <v>-451.71060183052089</v>
      </c>
      <c r="BO97" s="542">
        <f>SUM('Value Segment'!BO32,'Mid-Market Segment'!BO32,'Upper Mid-Market Segment'!BO32,'Premium Segment'!BO32)/SUM('Value Segment'!BO$82,'Mid-Market Segment'!BO$82,'Upper Mid-Market Segment'!BO$82,'Premium Segment'!BO$82)</f>
        <v>-451.71060183052089</v>
      </c>
      <c r="BP97" s="542">
        <f>SUM('Value Segment'!BP32,'Mid-Market Segment'!BP32,'Upper Mid-Market Segment'!BP32,'Premium Segment'!BP32)/SUM('Value Segment'!BP$82,'Mid-Market Segment'!BP$82,'Upper Mid-Market Segment'!BP$82,'Premium Segment'!BP$82)</f>
        <v>-451.71060183052089</v>
      </c>
      <c r="BQ97" s="542">
        <f>SUM('Value Segment'!BQ32,'Mid-Market Segment'!BQ32,'Upper Mid-Market Segment'!BQ32,'Premium Segment'!BQ32)/SUM('Value Segment'!BQ$82,'Mid-Market Segment'!BQ$82,'Upper Mid-Market Segment'!BQ$82,'Premium Segment'!BQ$82)</f>
        <v>-451.71060183052089</v>
      </c>
      <c r="BR97" s="542">
        <f>SUM('Value Segment'!BR32,'Mid-Market Segment'!BR32,'Upper Mid-Market Segment'!BR32,'Premium Segment'!BR32)/SUM('Value Segment'!BR$82,'Mid-Market Segment'!BR$82,'Upper Mid-Market Segment'!BR$82,'Premium Segment'!BR$82)</f>
        <v>-451.71060183052089</v>
      </c>
      <c r="BS97" s="542">
        <f>SUM('Value Segment'!BS32,'Mid-Market Segment'!BS32,'Upper Mid-Market Segment'!BS32,'Premium Segment'!BS32)/SUM('Value Segment'!BS$82,'Mid-Market Segment'!BS$82,'Upper Mid-Market Segment'!BS$82,'Premium Segment'!BS$82)</f>
        <v>-451.71060183052089</v>
      </c>
      <c r="BT97" s="542">
        <f>SUM('Value Segment'!BT32,'Mid-Market Segment'!BT32,'Upper Mid-Market Segment'!BT32,'Premium Segment'!BT32)/SUM('Value Segment'!BT$82,'Mid-Market Segment'!BT$82,'Upper Mid-Market Segment'!BT$82,'Premium Segment'!BT$82)</f>
        <v>-470.39412828260498</v>
      </c>
      <c r="BU97" s="542">
        <f>SUM('Value Segment'!BU32,'Mid-Market Segment'!BU32,'Upper Mid-Market Segment'!BU32,'Premium Segment'!BU32)/SUM('Value Segment'!BU$82,'Mid-Market Segment'!BU$82,'Upper Mid-Market Segment'!BU$82,'Premium Segment'!BU$82)</f>
        <v>-470.39412828260498</v>
      </c>
      <c r="BV97" s="542">
        <f>SUM('Value Segment'!BV32,'Mid-Market Segment'!BV32,'Upper Mid-Market Segment'!BV32,'Premium Segment'!BV32)/SUM('Value Segment'!BV$82,'Mid-Market Segment'!BV$82,'Upper Mid-Market Segment'!BV$82,'Premium Segment'!BV$82)</f>
        <v>-470.39412828260498</v>
      </c>
      <c r="BW97" s="542">
        <f>SUM('Value Segment'!BW32,'Mid-Market Segment'!BW32,'Upper Mid-Market Segment'!BW32,'Premium Segment'!BW32)/SUM('Value Segment'!BW$82,'Mid-Market Segment'!BW$82,'Upper Mid-Market Segment'!BW$82,'Premium Segment'!BW$82)</f>
        <v>-470.39412828260498</v>
      </c>
      <c r="BX97" s="542">
        <f>SUM('Value Segment'!BX32,'Mid-Market Segment'!BX32,'Upper Mid-Market Segment'!BX32,'Premium Segment'!BX32)/SUM('Value Segment'!BX$82,'Mid-Market Segment'!BX$82,'Upper Mid-Market Segment'!BX$82,'Premium Segment'!BX$82)</f>
        <v>-470.39412828260498</v>
      </c>
      <c r="BY97" s="542">
        <f>SUM('Value Segment'!BY32,'Mid-Market Segment'!BY32,'Upper Mid-Market Segment'!BY32,'Premium Segment'!BY32)/SUM('Value Segment'!BY$82,'Mid-Market Segment'!BY$82,'Upper Mid-Market Segment'!BY$82,'Premium Segment'!BY$82)</f>
        <v>-470.39412828260498</v>
      </c>
      <c r="CB97" s="8"/>
    </row>
    <row r="98" spans="3:80" x14ac:dyDescent="0.3">
      <c r="C98" s="2"/>
      <c r="D98" s="2"/>
      <c r="E98" s="2" t="s">
        <v>393</v>
      </c>
      <c r="F98" s="54"/>
      <c r="G98" s="54"/>
      <c r="H98" s="54"/>
      <c r="I98" s="19">
        <f>SUM('Value Segment'!I33,'Mid-Market Segment'!I33,'Upper Mid-Market Segment'!I33,'Premium Segment'!I33)/SUM('Value Segment'!I$82,'Mid-Market Segment'!I$82,'Upper Mid-Market Segment'!I$82,'Premium Segment'!I$82)</f>
        <v>-650.15978674147789</v>
      </c>
      <c r="J98" s="19">
        <f>SUM('Value Segment'!J33,'Mid-Market Segment'!J33,'Upper Mid-Market Segment'!J33,'Premium Segment'!J33)/SUM('Value Segment'!J$82,'Mid-Market Segment'!J$82,'Upper Mid-Market Segment'!J$82,'Premium Segment'!J$82)</f>
        <v>-657.90782392768574</v>
      </c>
      <c r="K98" s="19">
        <f>SUM('Value Segment'!K33,'Mid-Market Segment'!K33,'Upper Mid-Market Segment'!K33,'Premium Segment'!K33)/SUM('Value Segment'!K$82,'Mid-Market Segment'!K$82,'Upper Mid-Market Segment'!K$82,'Premium Segment'!K$82)</f>
        <v>-671.14440293799362</v>
      </c>
      <c r="L98" s="19">
        <f>SUM('Value Segment'!L33,'Mid-Market Segment'!L33,'Upper Mid-Market Segment'!L33,'Premium Segment'!L33)/SUM('Value Segment'!L$82,'Mid-Market Segment'!L$82,'Upper Mid-Market Segment'!L$82,'Premium Segment'!L$82)</f>
        <v>-684.27039457892602</v>
      </c>
      <c r="M98" s="19">
        <f>SUM('Value Segment'!M33,'Mid-Market Segment'!M33,'Upper Mid-Market Segment'!M33,'Premium Segment'!M33)/SUM('Value Segment'!M$82,'Mid-Market Segment'!M$82,'Upper Mid-Market Segment'!M$82,'Premium Segment'!M$82)</f>
        <v>-697.93055759480274</v>
      </c>
      <c r="N98" s="19">
        <f>SUM('Value Segment'!N33,'Mid-Market Segment'!N33,'Upper Mid-Market Segment'!N33,'Premium Segment'!N33)/SUM('Value Segment'!N$82,'Mid-Market Segment'!N$82,'Upper Mid-Market Segment'!N$82,'Premium Segment'!N$82)</f>
        <v>-711.88594696568896</v>
      </c>
      <c r="O98" s="37"/>
      <c r="P98" s="50">
        <f t="shared" si="106"/>
        <v>1.8305438209365699E-2</v>
      </c>
      <c r="R98" s="19">
        <f>SUM('Value Segment'!R33,'Mid-Market Segment'!R33,'Upper Mid-Market Segment'!R33,'Premium Segment'!R33)/SUM('Value Segment'!R$82,'Mid-Market Segment'!R$82,'Upper Mid-Market Segment'!R$82,'Premium Segment'!R$82)</f>
        <v>-54.179982228456488</v>
      </c>
      <c r="S98" s="542">
        <f>SUM('Value Segment'!S33,'Mid-Market Segment'!S33,'Upper Mid-Market Segment'!S33,'Premium Segment'!S33)/SUM('Value Segment'!S$82,'Mid-Market Segment'!S$82,'Upper Mid-Market Segment'!S$82,'Premium Segment'!S$82)</f>
        <v>-54.179982228456488</v>
      </c>
      <c r="T98" s="542">
        <f>SUM('Value Segment'!T33,'Mid-Market Segment'!T33,'Upper Mid-Market Segment'!T33,'Premium Segment'!T33)/SUM('Value Segment'!T$82,'Mid-Market Segment'!T$82,'Upper Mid-Market Segment'!T$82,'Premium Segment'!T$82)</f>
        <v>-54.179982228456488</v>
      </c>
      <c r="U98" s="542">
        <f>SUM('Value Segment'!U33,'Mid-Market Segment'!U33,'Upper Mid-Market Segment'!U33,'Premium Segment'!U33)/SUM('Value Segment'!U$82,'Mid-Market Segment'!U$82,'Upper Mid-Market Segment'!U$82,'Premium Segment'!U$82)</f>
        <v>-54.179982228456488</v>
      </c>
      <c r="V98" s="542">
        <f>SUM('Value Segment'!V33,'Mid-Market Segment'!V33,'Upper Mid-Market Segment'!V33,'Premium Segment'!V33)/SUM('Value Segment'!V$82,'Mid-Market Segment'!V$82,'Upper Mid-Market Segment'!V$82,'Premium Segment'!V$82)</f>
        <v>-54.179982228456488</v>
      </c>
      <c r="W98" s="542">
        <f>SUM('Value Segment'!W33,'Mid-Market Segment'!W33,'Upper Mid-Market Segment'!W33,'Premium Segment'!W33)/SUM('Value Segment'!W$82,'Mid-Market Segment'!W$82,'Upper Mid-Market Segment'!W$82,'Premium Segment'!W$82)</f>
        <v>-54.179982228456488</v>
      </c>
      <c r="X98" s="542">
        <f>SUM('Value Segment'!X33,'Mid-Market Segment'!X33,'Upper Mid-Market Segment'!X33,'Premium Segment'!X33)/SUM('Value Segment'!X$82,'Mid-Market Segment'!X$82,'Upper Mid-Market Segment'!X$82,'Premium Segment'!X$82)</f>
        <v>-55.471321759491126</v>
      </c>
      <c r="Y98" s="542">
        <f>SUM('Value Segment'!Y33,'Mid-Market Segment'!Y33,'Upper Mid-Market Segment'!Y33,'Premium Segment'!Y33)/SUM('Value Segment'!Y$82,'Mid-Market Segment'!Y$82,'Upper Mid-Market Segment'!Y$82,'Premium Segment'!Y$82)</f>
        <v>-55.471321759491126</v>
      </c>
      <c r="Z98" s="542">
        <f>SUM('Value Segment'!Z33,'Mid-Market Segment'!Z33,'Upper Mid-Market Segment'!Z33,'Premium Segment'!Z33)/SUM('Value Segment'!Z$82,'Mid-Market Segment'!Z$82,'Upper Mid-Market Segment'!Z$82,'Premium Segment'!Z$82)</f>
        <v>-55.471321759491126</v>
      </c>
      <c r="AA98" s="542">
        <f>SUM('Value Segment'!AA33,'Mid-Market Segment'!AA33,'Upper Mid-Market Segment'!AA33,'Premium Segment'!AA33)/SUM('Value Segment'!AA$82,'Mid-Market Segment'!AA$82,'Upper Mid-Market Segment'!AA$82,'Premium Segment'!AA$82)</f>
        <v>-55.471321759491126</v>
      </c>
      <c r="AB98" s="542">
        <f>SUM('Value Segment'!AB33,'Mid-Market Segment'!AB33,'Upper Mid-Market Segment'!AB33,'Premium Segment'!AB33)/SUM('Value Segment'!AB$82,'Mid-Market Segment'!AB$82,'Upper Mid-Market Segment'!AB$82,'Premium Segment'!AB$82)</f>
        <v>-55.471321759491126</v>
      </c>
      <c r="AC98" s="542">
        <f>SUM('Value Segment'!AC33,'Mid-Market Segment'!AC33,'Upper Mid-Market Segment'!AC33,'Premium Segment'!AC33)/SUM('Value Segment'!AC$82,'Mid-Market Segment'!AC$82,'Upper Mid-Market Segment'!AC$82,'Premium Segment'!AC$82)</f>
        <v>-55.471321759491126</v>
      </c>
      <c r="AD98" s="542">
        <f>SUM('Value Segment'!AD33,'Mid-Market Segment'!AD33,'Upper Mid-Market Segment'!AD33,'Premium Segment'!AD33)/SUM('Value Segment'!AD$82,'Mid-Market Segment'!AD$82,'Upper Mid-Market Segment'!AD$82,'Premium Segment'!AD$82)</f>
        <v>-55.13940072806291</v>
      </c>
      <c r="AE98" s="542">
        <f>SUM('Value Segment'!AE33,'Mid-Market Segment'!AE33,'Upper Mid-Market Segment'!AE33,'Premium Segment'!AE33)/SUM('Value Segment'!AE$82,'Mid-Market Segment'!AE$82,'Upper Mid-Market Segment'!AE$82,'Premium Segment'!AE$82)</f>
        <v>-55.13940072806291</v>
      </c>
      <c r="AF98" s="542">
        <f>SUM('Value Segment'!AF33,'Mid-Market Segment'!AF33,'Upper Mid-Market Segment'!AF33,'Premium Segment'!AF33)/SUM('Value Segment'!AF$82,'Mid-Market Segment'!AF$82,'Upper Mid-Market Segment'!AF$82,'Premium Segment'!AF$82)</f>
        <v>-55.13940072806291</v>
      </c>
      <c r="AG98" s="542">
        <f>SUM('Value Segment'!AG33,'Mid-Market Segment'!AG33,'Upper Mid-Market Segment'!AG33,'Premium Segment'!AG33)/SUM('Value Segment'!AG$82,'Mid-Market Segment'!AG$82,'Upper Mid-Market Segment'!AG$82,'Premium Segment'!AG$82)</f>
        <v>-55.13940072806291</v>
      </c>
      <c r="AH98" s="542">
        <f>SUM('Value Segment'!AH33,'Mid-Market Segment'!AH33,'Upper Mid-Market Segment'!AH33,'Premium Segment'!AH33)/SUM('Value Segment'!AH$82,'Mid-Market Segment'!AH$82,'Upper Mid-Market Segment'!AH$82,'Premium Segment'!AH$82)</f>
        <v>-55.13940072806291</v>
      </c>
      <c r="AI98" s="542">
        <f>SUM('Value Segment'!AI33,'Mid-Market Segment'!AI33,'Upper Mid-Market Segment'!AI33,'Premium Segment'!AI33)/SUM('Value Segment'!AI$82,'Mid-Market Segment'!AI$82,'Upper Mid-Market Segment'!AI$82,'Premium Segment'!AI$82)</f>
        <v>-55.13940072806291</v>
      </c>
      <c r="AJ98" s="542">
        <f>SUM('Value Segment'!AJ33,'Mid-Market Segment'!AJ33,'Upper Mid-Market Segment'!AJ33,'Premium Segment'!AJ33)/SUM('Value Segment'!AJ$82,'Mid-Market Segment'!AJ$82,'Upper Mid-Market Segment'!AJ$82,'Premium Segment'!AJ$82)</f>
        <v>-56.717999761602705</v>
      </c>
      <c r="AK98" s="542">
        <f>SUM('Value Segment'!AK33,'Mid-Market Segment'!AK33,'Upper Mid-Market Segment'!AK33,'Premium Segment'!AK33)/SUM('Value Segment'!AK$82,'Mid-Market Segment'!AK$82,'Upper Mid-Market Segment'!AK$82,'Premium Segment'!AK$82)</f>
        <v>-56.717999761602705</v>
      </c>
      <c r="AL98" s="542">
        <f>SUM('Value Segment'!AL33,'Mid-Market Segment'!AL33,'Upper Mid-Market Segment'!AL33,'Premium Segment'!AL33)/SUM('Value Segment'!AL$82,'Mid-Market Segment'!AL$82,'Upper Mid-Market Segment'!AL$82,'Premium Segment'!AL$82)</f>
        <v>-56.717999761602705</v>
      </c>
      <c r="AM98" s="542">
        <f>SUM('Value Segment'!AM33,'Mid-Market Segment'!AM33,'Upper Mid-Market Segment'!AM33,'Premium Segment'!AM33)/SUM('Value Segment'!AM$82,'Mid-Market Segment'!AM$82,'Upper Mid-Market Segment'!AM$82,'Premium Segment'!AM$82)</f>
        <v>-56.717999761602705</v>
      </c>
      <c r="AN98" s="542">
        <f>SUM('Value Segment'!AN33,'Mid-Market Segment'!AN33,'Upper Mid-Market Segment'!AN33,'Premium Segment'!AN33)/SUM('Value Segment'!AN$82,'Mid-Market Segment'!AN$82,'Upper Mid-Market Segment'!AN$82,'Premium Segment'!AN$82)</f>
        <v>-56.717999761602705</v>
      </c>
      <c r="AO98" s="542">
        <f>SUM('Value Segment'!AO33,'Mid-Market Segment'!AO33,'Upper Mid-Market Segment'!AO33,'Premium Segment'!AO33)/SUM('Value Segment'!AO$82,'Mid-Market Segment'!AO$82,'Upper Mid-Market Segment'!AO$82,'Premium Segment'!AO$82)</f>
        <v>-56.717999761602705</v>
      </c>
      <c r="AP98" s="542">
        <f>SUM('Value Segment'!AP33,'Mid-Market Segment'!AP33,'Upper Mid-Market Segment'!AP33,'Premium Segment'!AP33)/SUM('Value Segment'!AP$82,'Mid-Market Segment'!AP$82,'Upper Mid-Market Segment'!AP$82,'Premium Segment'!AP$82)</f>
        <v>-56.091633173763384</v>
      </c>
      <c r="AQ98" s="542">
        <f>SUM('Value Segment'!AQ33,'Mid-Market Segment'!AQ33,'Upper Mid-Market Segment'!AQ33,'Premium Segment'!AQ33)/SUM('Value Segment'!AQ$82,'Mid-Market Segment'!AQ$82,'Upper Mid-Market Segment'!AQ$82,'Premium Segment'!AQ$82)</f>
        <v>-56.091633173763384</v>
      </c>
      <c r="AR98" s="542">
        <f>SUM('Value Segment'!AR33,'Mid-Market Segment'!AR33,'Upper Mid-Market Segment'!AR33,'Premium Segment'!AR33)/SUM('Value Segment'!AR$82,'Mid-Market Segment'!AR$82,'Upper Mid-Market Segment'!AR$82,'Premium Segment'!AR$82)</f>
        <v>-56.091633173763384</v>
      </c>
      <c r="AS98" s="542">
        <f>SUM('Value Segment'!AS33,'Mid-Market Segment'!AS33,'Upper Mid-Market Segment'!AS33,'Premium Segment'!AS33)/SUM('Value Segment'!AS$82,'Mid-Market Segment'!AS$82,'Upper Mid-Market Segment'!AS$82,'Premium Segment'!AS$82)</f>
        <v>-56.091633173763384</v>
      </c>
      <c r="AT98" s="542">
        <f>SUM('Value Segment'!AT33,'Mid-Market Segment'!AT33,'Upper Mid-Market Segment'!AT33,'Premium Segment'!AT33)/SUM('Value Segment'!AT$82,'Mid-Market Segment'!AT$82,'Upper Mid-Market Segment'!AT$82,'Premium Segment'!AT$82)</f>
        <v>-56.091633173763384</v>
      </c>
      <c r="AU98" s="542">
        <f>SUM('Value Segment'!AU33,'Mid-Market Segment'!AU33,'Upper Mid-Market Segment'!AU33,'Premium Segment'!AU33)/SUM('Value Segment'!AU$82,'Mid-Market Segment'!AU$82,'Upper Mid-Market Segment'!AU$82,'Premium Segment'!AU$82)</f>
        <v>-56.091633173763384</v>
      </c>
      <c r="AV98" s="542">
        <f>SUM('Value Segment'!AV33,'Mid-Market Segment'!AV33,'Upper Mid-Market Segment'!AV33,'Premium Segment'!AV33)/SUM('Value Segment'!AV$82,'Mid-Market Segment'!AV$82,'Upper Mid-Market Segment'!AV$82,'Premium Segment'!AV$82)</f>
        <v>-57.953432589390957</v>
      </c>
      <c r="AW98" s="542">
        <f>SUM('Value Segment'!AW33,'Mid-Market Segment'!AW33,'Upper Mid-Market Segment'!AW33,'Premium Segment'!AW33)/SUM('Value Segment'!AW$82,'Mid-Market Segment'!AW$82,'Upper Mid-Market Segment'!AW$82,'Premium Segment'!AW$82)</f>
        <v>-57.953432589390957</v>
      </c>
      <c r="AX98" s="542">
        <f>SUM('Value Segment'!AX33,'Mid-Market Segment'!AX33,'Upper Mid-Market Segment'!AX33,'Premium Segment'!AX33)/SUM('Value Segment'!AX$82,'Mid-Market Segment'!AX$82,'Upper Mid-Market Segment'!AX$82,'Premium Segment'!AX$82)</f>
        <v>-57.953432589390957</v>
      </c>
      <c r="AY98" s="542">
        <f>SUM('Value Segment'!AY33,'Mid-Market Segment'!AY33,'Upper Mid-Market Segment'!AY33,'Premium Segment'!AY33)/SUM('Value Segment'!AY$82,'Mid-Market Segment'!AY$82,'Upper Mid-Market Segment'!AY$82,'Premium Segment'!AY$82)</f>
        <v>-57.953432589390957</v>
      </c>
      <c r="AZ98" s="542">
        <f>SUM('Value Segment'!AZ33,'Mid-Market Segment'!AZ33,'Upper Mid-Market Segment'!AZ33,'Premium Segment'!AZ33)/SUM('Value Segment'!AZ$82,'Mid-Market Segment'!AZ$82,'Upper Mid-Market Segment'!AZ$82,'Premium Segment'!AZ$82)</f>
        <v>-57.953432589390957</v>
      </c>
      <c r="BA98" s="542">
        <f>SUM('Value Segment'!BA33,'Mid-Market Segment'!BA33,'Upper Mid-Market Segment'!BA33,'Premium Segment'!BA33)/SUM('Value Segment'!BA$82,'Mid-Market Segment'!BA$82,'Upper Mid-Market Segment'!BA$82,'Premium Segment'!BA$82)</f>
        <v>-57.953432589390957</v>
      </c>
      <c r="BB98" s="542">
        <f>SUM('Value Segment'!BB33,'Mid-Market Segment'!BB33,'Upper Mid-Market Segment'!BB33,'Premium Segment'!BB33)/SUM('Value Segment'!BB$82,'Mid-Market Segment'!BB$82,'Upper Mid-Market Segment'!BB$82,'Premium Segment'!BB$82)</f>
        <v>-57.089510687083646</v>
      </c>
      <c r="BC98" s="542">
        <f>SUM('Value Segment'!BC33,'Mid-Market Segment'!BC33,'Upper Mid-Market Segment'!BC33,'Premium Segment'!BC33)/SUM('Value Segment'!BC$82,'Mid-Market Segment'!BC$82,'Upper Mid-Market Segment'!BC$82,'Premium Segment'!BC$82)</f>
        <v>-57.089510687083646</v>
      </c>
      <c r="BD98" s="542">
        <f>SUM('Value Segment'!BD33,'Mid-Market Segment'!BD33,'Upper Mid-Market Segment'!BD33,'Premium Segment'!BD33)/SUM('Value Segment'!BD$82,'Mid-Market Segment'!BD$82,'Upper Mid-Market Segment'!BD$82,'Premium Segment'!BD$82)</f>
        <v>-57.089510687083646</v>
      </c>
      <c r="BE98" s="542">
        <f>SUM('Value Segment'!BE33,'Mid-Market Segment'!BE33,'Upper Mid-Market Segment'!BE33,'Premium Segment'!BE33)/SUM('Value Segment'!BE$82,'Mid-Market Segment'!BE$82,'Upper Mid-Market Segment'!BE$82,'Premium Segment'!BE$82)</f>
        <v>-57.089510687083646</v>
      </c>
      <c r="BF98" s="542">
        <f>SUM('Value Segment'!BF33,'Mid-Market Segment'!BF33,'Upper Mid-Market Segment'!BF33,'Premium Segment'!BF33)/SUM('Value Segment'!BF$82,'Mid-Market Segment'!BF$82,'Upper Mid-Market Segment'!BF$82,'Premium Segment'!BF$82)</f>
        <v>-57.089510687083646</v>
      </c>
      <c r="BG98" s="542">
        <f>SUM('Value Segment'!BG33,'Mid-Market Segment'!BG33,'Upper Mid-Market Segment'!BG33,'Premium Segment'!BG33)/SUM('Value Segment'!BG$82,'Mid-Market Segment'!BG$82,'Upper Mid-Market Segment'!BG$82,'Premium Segment'!BG$82)</f>
        <v>-57.089510687083646</v>
      </c>
      <c r="BH98" s="542">
        <f>SUM('Value Segment'!BH33,'Mid-Market Segment'!BH33,'Upper Mid-Market Segment'!BH33,'Premium Segment'!BH33)/SUM('Value Segment'!BH$82,'Mid-Market Segment'!BH$82,'Upper Mid-Market Segment'!BH$82,'Premium Segment'!BH$82)</f>
        <v>-59.232248912050132</v>
      </c>
      <c r="BI98" s="542">
        <f>SUM('Value Segment'!BI33,'Mid-Market Segment'!BI33,'Upper Mid-Market Segment'!BI33,'Premium Segment'!BI33)/SUM('Value Segment'!BI$82,'Mid-Market Segment'!BI$82,'Upper Mid-Market Segment'!BI$82,'Premium Segment'!BI$82)</f>
        <v>-59.232248912050132</v>
      </c>
      <c r="BJ98" s="542">
        <f>SUM('Value Segment'!BJ33,'Mid-Market Segment'!BJ33,'Upper Mid-Market Segment'!BJ33,'Premium Segment'!BJ33)/SUM('Value Segment'!BJ$82,'Mid-Market Segment'!BJ$82,'Upper Mid-Market Segment'!BJ$82,'Premium Segment'!BJ$82)</f>
        <v>-59.232248912050132</v>
      </c>
      <c r="BK98" s="542">
        <f>SUM('Value Segment'!BK33,'Mid-Market Segment'!BK33,'Upper Mid-Market Segment'!BK33,'Premium Segment'!BK33)/SUM('Value Segment'!BK$82,'Mid-Market Segment'!BK$82,'Upper Mid-Market Segment'!BK$82,'Premium Segment'!BK$82)</f>
        <v>-59.232248912050132</v>
      </c>
      <c r="BL98" s="542">
        <f>SUM('Value Segment'!BL33,'Mid-Market Segment'!BL33,'Upper Mid-Market Segment'!BL33,'Premium Segment'!BL33)/SUM('Value Segment'!BL$82,'Mid-Market Segment'!BL$82,'Upper Mid-Market Segment'!BL$82,'Premium Segment'!BL$82)</f>
        <v>-59.232248912050132</v>
      </c>
      <c r="BM98" s="542">
        <f>SUM('Value Segment'!BM33,'Mid-Market Segment'!BM33,'Upper Mid-Market Segment'!BM33,'Premium Segment'!BM33)/SUM('Value Segment'!BM$82,'Mid-Market Segment'!BM$82,'Upper Mid-Market Segment'!BM$82,'Premium Segment'!BM$82)</f>
        <v>-59.232248912050132</v>
      </c>
      <c r="BN98" s="542">
        <f>SUM('Value Segment'!BN33,'Mid-Market Segment'!BN33,'Upper Mid-Market Segment'!BN33,'Premium Segment'!BN33)/SUM('Value Segment'!BN$82,'Mid-Market Segment'!BN$82,'Upper Mid-Market Segment'!BN$82,'Premium Segment'!BN$82)</f>
        <v>-58.11467272327895</v>
      </c>
      <c r="BO98" s="542">
        <f>SUM('Value Segment'!BO33,'Mid-Market Segment'!BO33,'Upper Mid-Market Segment'!BO33,'Premium Segment'!BO33)/SUM('Value Segment'!BO$82,'Mid-Market Segment'!BO$82,'Upper Mid-Market Segment'!BO$82,'Premium Segment'!BO$82)</f>
        <v>-58.11467272327895</v>
      </c>
      <c r="BP98" s="542">
        <f>SUM('Value Segment'!BP33,'Mid-Market Segment'!BP33,'Upper Mid-Market Segment'!BP33,'Premium Segment'!BP33)/SUM('Value Segment'!BP$82,'Mid-Market Segment'!BP$82,'Upper Mid-Market Segment'!BP$82,'Premium Segment'!BP$82)</f>
        <v>-58.11467272327895</v>
      </c>
      <c r="BQ98" s="542">
        <f>SUM('Value Segment'!BQ33,'Mid-Market Segment'!BQ33,'Upper Mid-Market Segment'!BQ33,'Premium Segment'!BQ33)/SUM('Value Segment'!BQ$82,'Mid-Market Segment'!BQ$82,'Upper Mid-Market Segment'!BQ$82,'Premium Segment'!BQ$82)</f>
        <v>-58.11467272327895</v>
      </c>
      <c r="BR98" s="542">
        <f>SUM('Value Segment'!BR33,'Mid-Market Segment'!BR33,'Upper Mid-Market Segment'!BR33,'Premium Segment'!BR33)/SUM('Value Segment'!BR$82,'Mid-Market Segment'!BR$82,'Upper Mid-Market Segment'!BR$82,'Premium Segment'!BR$82)</f>
        <v>-58.11467272327895</v>
      </c>
      <c r="BS98" s="542">
        <f>SUM('Value Segment'!BS33,'Mid-Market Segment'!BS33,'Upper Mid-Market Segment'!BS33,'Premium Segment'!BS33)/SUM('Value Segment'!BS$82,'Mid-Market Segment'!BS$82,'Upper Mid-Market Segment'!BS$82,'Premium Segment'!BS$82)</f>
        <v>-58.11467272327895</v>
      </c>
      <c r="BT98" s="542">
        <f>SUM('Value Segment'!BT33,'Mid-Market Segment'!BT33,'Upper Mid-Market Segment'!BT33,'Premium Segment'!BT33)/SUM('Value Segment'!BT$82,'Mid-Market Segment'!BT$82,'Upper Mid-Market Segment'!BT$82,'Premium Segment'!BT$82)</f>
        <v>-60.532985104335879</v>
      </c>
      <c r="BU98" s="542">
        <f>SUM('Value Segment'!BU33,'Mid-Market Segment'!BU33,'Upper Mid-Market Segment'!BU33,'Premium Segment'!BU33)/SUM('Value Segment'!BU$82,'Mid-Market Segment'!BU$82,'Upper Mid-Market Segment'!BU$82,'Premium Segment'!BU$82)</f>
        <v>-60.532985104335879</v>
      </c>
      <c r="BV98" s="542">
        <f>SUM('Value Segment'!BV33,'Mid-Market Segment'!BV33,'Upper Mid-Market Segment'!BV33,'Premium Segment'!BV33)/SUM('Value Segment'!BV$82,'Mid-Market Segment'!BV$82,'Upper Mid-Market Segment'!BV$82,'Premium Segment'!BV$82)</f>
        <v>-60.532985104335879</v>
      </c>
      <c r="BW98" s="542">
        <f>SUM('Value Segment'!BW33,'Mid-Market Segment'!BW33,'Upper Mid-Market Segment'!BW33,'Premium Segment'!BW33)/SUM('Value Segment'!BW$82,'Mid-Market Segment'!BW$82,'Upper Mid-Market Segment'!BW$82,'Premium Segment'!BW$82)</f>
        <v>-60.532985104335879</v>
      </c>
      <c r="BX98" s="542">
        <f>SUM('Value Segment'!BX33,'Mid-Market Segment'!BX33,'Upper Mid-Market Segment'!BX33,'Premium Segment'!BX33)/SUM('Value Segment'!BX$82,'Mid-Market Segment'!BX$82,'Upper Mid-Market Segment'!BX$82,'Premium Segment'!BX$82)</f>
        <v>-60.532985104335879</v>
      </c>
      <c r="BY98" s="542">
        <f>SUM('Value Segment'!BY33,'Mid-Market Segment'!BY33,'Upper Mid-Market Segment'!BY33,'Premium Segment'!BY33)/SUM('Value Segment'!BY$82,'Mid-Market Segment'!BY$82,'Upper Mid-Market Segment'!BY$82,'Premium Segment'!BY$82)</f>
        <v>-60.532985104335879</v>
      </c>
      <c r="CB98" s="8"/>
    </row>
    <row r="99" spans="3:80" x14ac:dyDescent="0.3">
      <c r="C99" s="2"/>
      <c r="D99" s="2"/>
      <c r="E99" s="4" t="s">
        <v>394</v>
      </c>
      <c r="F99" s="5"/>
      <c r="G99" s="5"/>
      <c r="H99" s="5"/>
      <c r="I99" s="507">
        <f>SUM('Value Segment'!I34,'Mid-Market Segment'!I34,'Upper Mid-Market Segment'!I34,'Premium Segment'!I34)/SUM('Value Segment'!I$82,'Mid-Market Segment'!I$82,'Upper Mid-Market Segment'!I$82,'Premium Segment'!I$82)</f>
        <v>3721.9795129870126</v>
      </c>
      <c r="J99" s="507">
        <f>SUM('Value Segment'!J34,'Mid-Market Segment'!J34,'Upper Mid-Market Segment'!J34,'Premium Segment'!J34)/SUM('Value Segment'!J$82,'Mid-Market Segment'!J$82,'Upper Mid-Market Segment'!J$82,'Premium Segment'!J$82)</f>
        <v>4344.3542425954256</v>
      </c>
      <c r="K99" s="507">
        <f>SUM('Value Segment'!K34,'Mid-Market Segment'!K34,'Upper Mid-Market Segment'!K34,'Premium Segment'!K34)/SUM('Value Segment'!K$82,'Mid-Market Segment'!K$82,'Upper Mid-Market Segment'!K$82,'Premium Segment'!K$82)</f>
        <v>4430.9779586547638</v>
      </c>
      <c r="L99" s="507">
        <f>SUM('Value Segment'!L34,'Mid-Market Segment'!L34,'Upper Mid-Market Segment'!L34,'Premium Segment'!L34)/SUM('Value Segment'!L$82,'Mid-Market Segment'!L$82,'Upper Mid-Market Segment'!L$82,'Premium Segment'!L$82)</f>
        <v>4516.8771672546764</v>
      </c>
      <c r="M99" s="507">
        <f>SUM('Value Segment'!M34,'Mid-Market Segment'!M34,'Upper Mid-Market Segment'!M34,'Premium Segment'!M34)/SUM('Value Segment'!M$82,'Mid-Market Segment'!M$82,'Upper Mid-Market Segment'!M$82,'Premium Segment'!M$82)</f>
        <v>4606.222644147032</v>
      </c>
      <c r="N99" s="507">
        <f>SUM('Value Segment'!N34,'Mid-Market Segment'!N34,'Upper Mid-Market Segment'!N34,'Premium Segment'!N34)/SUM('Value Segment'!N$82,'Mid-Market Segment'!N$82,'Upper Mid-Market Segment'!N$82,'Premium Segment'!N$82)</f>
        <v>4697.432533737664</v>
      </c>
      <c r="O99" s="57"/>
      <c r="P99" s="55">
        <f t="shared" si="106"/>
        <v>4.7652646968896706E-2</v>
      </c>
      <c r="R99" s="507">
        <f>SUM('Value Segment'!R34,'Mid-Market Segment'!R34,'Upper Mid-Market Segment'!R34,'Premium Segment'!R34)/SUM('Value Segment'!R$82,'Mid-Market Segment'!R$82,'Upper Mid-Market Segment'!R$82,'Premium Segment'!R$82)</f>
        <v>357.80477817833588</v>
      </c>
      <c r="S99" s="661">
        <f>SUM('Value Segment'!S34,'Mid-Market Segment'!S34,'Upper Mid-Market Segment'!S34,'Premium Segment'!S34)/SUM('Value Segment'!S$82,'Mid-Market Segment'!S$82,'Upper Mid-Market Segment'!S$82,'Premium Segment'!S$82)</f>
        <v>357.80477817833588</v>
      </c>
      <c r="T99" s="661">
        <f>SUM('Value Segment'!T34,'Mid-Market Segment'!T34,'Upper Mid-Market Segment'!T34,'Premium Segment'!T34)/SUM('Value Segment'!T$82,'Mid-Market Segment'!T$82,'Upper Mid-Market Segment'!T$82,'Premium Segment'!T$82)</f>
        <v>357.80477817833588</v>
      </c>
      <c r="U99" s="661">
        <f>SUM('Value Segment'!U34,'Mid-Market Segment'!U34,'Upper Mid-Market Segment'!U34,'Premium Segment'!U34)/SUM('Value Segment'!U$82,'Mid-Market Segment'!U$82,'Upper Mid-Market Segment'!U$82,'Premium Segment'!U$82)</f>
        <v>357.80477817833588</v>
      </c>
      <c r="V99" s="661">
        <f>SUM('Value Segment'!V34,'Mid-Market Segment'!V34,'Upper Mid-Market Segment'!V34,'Premium Segment'!V34)/SUM('Value Segment'!V$82,'Mid-Market Segment'!V$82,'Upper Mid-Market Segment'!V$82,'Premium Segment'!V$82)</f>
        <v>357.80477817833588</v>
      </c>
      <c r="W99" s="661">
        <f>SUM('Value Segment'!W34,'Mid-Market Segment'!W34,'Upper Mid-Market Segment'!W34,'Premium Segment'!W34)/SUM('Value Segment'!W$82,'Mid-Market Segment'!W$82,'Upper Mid-Market Segment'!W$82,'Premium Segment'!W$82)</f>
        <v>357.80477817833588</v>
      </c>
      <c r="X99" s="661">
        <f>SUM('Value Segment'!X34,'Mid-Market Segment'!X34,'Upper Mid-Market Segment'!X34,'Premium Segment'!X34)/SUM('Value Segment'!X$82,'Mid-Market Segment'!X$82,'Upper Mid-Market Segment'!X$82,'Premium Segment'!X$82)</f>
        <v>366.25426225423513</v>
      </c>
      <c r="Y99" s="661">
        <f>SUM('Value Segment'!Y34,'Mid-Market Segment'!Y34,'Upper Mid-Market Segment'!Y34,'Premium Segment'!Y34)/SUM('Value Segment'!Y$82,'Mid-Market Segment'!Y$82,'Upper Mid-Market Segment'!Y$82,'Premium Segment'!Y$82)</f>
        <v>366.25426225423513</v>
      </c>
      <c r="Z99" s="661">
        <f>SUM('Value Segment'!Z34,'Mid-Market Segment'!Z34,'Upper Mid-Market Segment'!Z34,'Premium Segment'!Z34)/SUM('Value Segment'!Z$82,'Mid-Market Segment'!Z$82,'Upper Mid-Market Segment'!Z$82,'Premium Segment'!Z$82)</f>
        <v>366.25426225423513</v>
      </c>
      <c r="AA99" s="661">
        <f>SUM('Value Segment'!AA34,'Mid-Market Segment'!AA34,'Upper Mid-Market Segment'!AA34,'Premium Segment'!AA34)/SUM('Value Segment'!AA$82,'Mid-Market Segment'!AA$82,'Upper Mid-Market Segment'!AA$82,'Premium Segment'!AA$82)</f>
        <v>366.25426225423513</v>
      </c>
      <c r="AB99" s="661">
        <f>SUM('Value Segment'!AB34,'Mid-Market Segment'!AB34,'Upper Mid-Market Segment'!AB34,'Premium Segment'!AB34)/SUM('Value Segment'!AB$82,'Mid-Market Segment'!AB$82,'Upper Mid-Market Segment'!AB$82,'Premium Segment'!AB$82)</f>
        <v>366.25426225423513</v>
      </c>
      <c r="AC99" s="661">
        <f>SUM('Value Segment'!AC34,'Mid-Market Segment'!AC34,'Upper Mid-Market Segment'!AC34,'Premium Segment'!AC34)/SUM('Value Segment'!AC$82,'Mid-Market Segment'!AC$82,'Upper Mid-Market Segment'!AC$82,'Premium Segment'!AC$82)</f>
        <v>366.25426225423513</v>
      </c>
      <c r="AD99" s="661">
        <f>SUM('Value Segment'!AD34,'Mid-Market Segment'!AD34,'Upper Mid-Market Segment'!AD34,'Premium Segment'!AD34)/SUM('Value Segment'!AD$82,'Mid-Market Segment'!AD$82,'Upper Mid-Market Segment'!AD$82,'Premium Segment'!AD$82)</f>
        <v>364.08419919926462</v>
      </c>
      <c r="AE99" s="661">
        <f>SUM('Value Segment'!AE34,'Mid-Market Segment'!AE34,'Upper Mid-Market Segment'!AE34,'Premium Segment'!AE34)/SUM('Value Segment'!AE$82,'Mid-Market Segment'!AE$82,'Upper Mid-Market Segment'!AE$82,'Premium Segment'!AE$82)</f>
        <v>364.08419919926462</v>
      </c>
      <c r="AF99" s="661">
        <f>SUM('Value Segment'!AF34,'Mid-Market Segment'!AF34,'Upper Mid-Market Segment'!AF34,'Premium Segment'!AF34)/SUM('Value Segment'!AF$82,'Mid-Market Segment'!AF$82,'Upper Mid-Market Segment'!AF$82,'Premium Segment'!AF$82)</f>
        <v>364.08419919926462</v>
      </c>
      <c r="AG99" s="661">
        <f>SUM('Value Segment'!AG34,'Mid-Market Segment'!AG34,'Upper Mid-Market Segment'!AG34,'Premium Segment'!AG34)/SUM('Value Segment'!AG$82,'Mid-Market Segment'!AG$82,'Upper Mid-Market Segment'!AG$82,'Premium Segment'!AG$82)</f>
        <v>364.08419919926462</v>
      </c>
      <c r="AH99" s="661">
        <f>SUM('Value Segment'!AH34,'Mid-Market Segment'!AH34,'Upper Mid-Market Segment'!AH34,'Premium Segment'!AH34)/SUM('Value Segment'!AH$82,'Mid-Market Segment'!AH$82,'Upper Mid-Market Segment'!AH$82,'Premium Segment'!AH$82)</f>
        <v>364.08419919926462</v>
      </c>
      <c r="AI99" s="661">
        <f>SUM('Value Segment'!AI34,'Mid-Market Segment'!AI34,'Upper Mid-Market Segment'!AI34,'Premium Segment'!AI34)/SUM('Value Segment'!AI$82,'Mid-Market Segment'!AI$82,'Upper Mid-Market Segment'!AI$82,'Premium Segment'!AI$82)</f>
        <v>364.08419919926462</v>
      </c>
      <c r="AJ99" s="661">
        <f>SUM('Value Segment'!AJ34,'Mid-Market Segment'!AJ34,'Upper Mid-Market Segment'!AJ34,'Premium Segment'!AJ34)/SUM('Value Segment'!AJ$82,'Mid-Market Segment'!AJ$82,'Upper Mid-Market Segment'!AJ$82,'Premium Segment'!AJ$82)</f>
        <v>374.41212724319615</v>
      </c>
      <c r="AK99" s="661">
        <f>SUM('Value Segment'!AK34,'Mid-Market Segment'!AK34,'Upper Mid-Market Segment'!AK34,'Premium Segment'!AK34)/SUM('Value Segment'!AK$82,'Mid-Market Segment'!AK$82,'Upper Mid-Market Segment'!AK$82,'Premium Segment'!AK$82)</f>
        <v>374.41212724319615</v>
      </c>
      <c r="AL99" s="661">
        <f>SUM('Value Segment'!AL34,'Mid-Market Segment'!AL34,'Upper Mid-Market Segment'!AL34,'Premium Segment'!AL34)/SUM('Value Segment'!AL$82,'Mid-Market Segment'!AL$82,'Upper Mid-Market Segment'!AL$82,'Premium Segment'!AL$82)</f>
        <v>374.41212724319615</v>
      </c>
      <c r="AM99" s="661">
        <f>SUM('Value Segment'!AM34,'Mid-Market Segment'!AM34,'Upper Mid-Market Segment'!AM34,'Premium Segment'!AM34)/SUM('Value Segment'!AM$82,'Mid-Market Segment'!AM$82,'Upper Mid-Market Segment'!AM$82,'Premium Segment'!AM$82)</f>
        <v>374.41212724319615</v>
      </c>
      <c r="AN99" s="661">
        <f>SUM('Value Segment'!AN34,'Mid-Market Segment'!AN34,'Upper Mid-Market Segment'!AN34,'Premium Segment'!AN34)/SUM('Value Segment'!AN$82,'Mid-Market Segment'!AN$82,'Upper Mid-Market Segment'!AN$82,'Premium Segment'!AN$82)</f>
        <v>374.41212724319615</v>
      </c>
      <c r="AO99" s="661">
        <f>SUM('Value Segment'!AO34,'Mid-Market Segment'!AO34,'Upper Mid-Market Segment'!AO34,'Premium Segment'!AO34)/SUM('Value Segment'!AO$82,'Mid-Market Segment'!AO$82,'Upper Mid-Market Segment'!AO$82,'Premium Segment'!AO$82)</f>
        <v>374.41212724319615</v>
      </c>
      <c r="AP99" s="661">
        <f>SUM('Value Segment'!AP34,'Mid-Market Segment'!AP34,'Upper Mid-Market Segment'!AP34,'Premium Segment'!AP34)/SUM('Value Segment'!AP$82,'Mid-Market Segment'!AP$82,'Upper Mid-Market Segment'!AP$82,'Premium Segment'!AP$82)</f>
        <v>370.3164084795896</v>
      </c>
      <c r="AQ99" s="661">
        <f>SUM('Value Segment'!AQ34,'Mid-Market Segment'!AQ34,'Upper Mid-Market Segment'!AQ34,'Premium Segment'!AQ34)/SUM('Value Segment'!AQ$82,'Mid-Market Segment'!AQ$82,'Upper Mid-Market Segment'!AQ$82,'Premium Segment'!AQ$82)</f>
        <v>370.3164084795896</v>
      </c>
      <c r="AR99" s="661">
        <f>SUM('Value Segment'!AR34,'Mid-Market Segment'!AR34,'Upper Mid-Market Segment'!AR34,'Premium Segment'!AR34)/SUM('Value Segment'!AR$82,'Mid-Market Segment'!AR$82,'Upper Mid-Market Segment'!AR$82,'Premium Segment'!AR$82)</f>
        <v>370.3164084795896</v>
      </c>
      <c r="AS99" s="661">
        <f>SUM('Value Segment'!AS34,'Mid-Market Segment'!AS34,'Upper Mid-Market Segment'!AS34,'Premium Segment'!AS34)/SUM('Value Segment'!AS$82,'Mid-Market Segment'!AS$82,'Upper Mid-Market Segment'!AS$82,'Premium Segment'!AS$82)</f>
        <v>370.3164084795896</v>
      </c>
      <c r="AT99" s="661">
        <f>SUM('Value Segment'!AT34,'Mid-Market Segment'!AT34,'Upper Mid-Market Segment'!AT34,'Premium Segment'!AT34)/SUM('Value Segment'!AT$82,'Mid-Market Segment'!AT$82,'Upper Mid-Market Segment'!AT$82,'Premium Segment'!AT$82)</f>
        <v>370.3164084795896</v>
      </c>
      <c r="AU99" s="661">
        <f>SUM('Value Segment'!AU34,'Mid-Market Segment'!AU34,'Upper Mid-Market Segment'!AU34,'Premium Segment'!AU34)/SUM('Value Segment'!AU$82,'Mid-Market Segment'!AU$82,'Upper Mid-Market Segment'!AU$82,'Premium Segment'!AU$82)</f>
        <v>370.3164084795896</v>
      </c>
      <c r="AV99" s="661">
        <f>SUM('Value Segment'!AV34,'Mid-Market Segment'!AV34,'Upper Mid-Market Segment'!AV34,'Premium Segment'!AV34)/SUM('Value Segment'!AV$82,'Mid-Market Segment'!AV$82,'Upper Mid-Market Segment'!AV$82,'Premium Segment'!AV$82)</f>
        <v>382.49645272952301</v>
      </c>
      <c r="AW99" s="661">
        <f>SUM('Value Segment'!AW34,'Mid-Market Segment'!AW34,'Upper Mid-Market Segment'!AW34,'Premium Segment'!AW34)/SUM('Value Segment'!AW$82,'Mid-Market Segment'!AW$82,'Upper Mid-Market Segment'!AW$82,'Premium Segment'!AW$82)</f>
        <v>382.49645272952301</v>
      </c>
      <c r="AX99" s="661">
        <f>SUM('Value Segment'!AX34,'Mid-Market Segment'!AX34,'Upper Mid-Market Segment'!AX34,'Premium Segment'!AX34)/SUM('Value Segment'!AX$82,'Mid-Market Segment'!AX$82,'Upper Mid-Market Segment'!AX$82,'Premium Segment'!AX$82)</f>
        <v>382.49645272952301</v>
      </c>
      <c r="AY99" s="661">
        <f>SUM('Value Segment'!AY34,'Mid-Market Segment'!AY34,'Upper Mid-Market Segment'!AY34,'Premium Segment'!AY34)/SUM('Value Segment'!AY$82,'Mid-Market Segment'!AY$82,'Upper Mid-Market Segment'!AY$82,'Premium Segment'!AY$82)</f>
        <v>382.49645272952301</v>
      </c>
      <c r="AZ99" s="661">
        <f>SUM('Value Segment'!AZ34,'Mid-Market Segment'!AZ34,'Upper Mid-Market Segment'!AZ34,'Premium Segment'!AZ34)/SUM('Value Segment'!AZ$82,'Mid-Market Segment'!AZ$82,'Upper Mid-Market Segment'!AZ$82,'Premium Segment'!AZ$82)</f>
        <v>382.49645272952301</v>
      </c>
      <c r="BA99" s="661">
        <f>SUM('Value Segment'!BA34,'Mid-Market Segment'!BA34,'Upper Mid-Market Segment'!BA34,'Premium Segment'!BA34)/SUM('Value Segment'!BA$82,'Mid-Market Segment'!BA$82,'Upper Mid-Market Segment'!BA$82,'Premium Segment'!BA$82)</f>
        <v>382.49645272952301</v>
      </c>
      <c r="BB99" s="661">
        <f>SUM('Value Segment'!BB34,'Mid-Market Segment'!BB34,'Upper Mid-Market Segment'!BB34,'Premium Segment'!BB34)/SUM('Value Segment'!BB$82,'Mid-Market Segment'!BB$82,'Upper Mid-Market Segment'!BB$82,'Premium Segment'!BB$82)</f>
        <v>376.84311248012966</v>
      </c>
      <c r="BC99" s="661">
        <f>SUM('Value Segment'!BC34,'Mid-Market Segment'!BC34,'Upper Mid-Market Segment'!BC34,'Premium Segment'!BC34)/SUM('Value Segment'!BC$82,'Mid-Market Segment'!BC$82,'Upper Mid-Market Segment'!BC$82,'Premium Segment'!BC$82)</f>
        <v>376.84311248012966</v>
      </c>
      <c r="BD99" s="661">
        <f>SUM('Value Segment'!BD34,'Mid-Market Segment'!BD34,'Upper Mid-Market Segment'!BD34,'Premium Segment'!BD34)/SUM('Value Segment'!BD$82,'Mid-Market Segment'!BD$82,'Upper Mid-Market Segment'!BD$82,'Premium Segment'!BD$82)</f>
        <v>376.84311248012966</v>
      </c>
      <c r="BE99" s="661">
        <f>SUM('Value Segment'!BE34,'Mid-Market Segment'!BE34,'Upper Mid-Market Segment'!BE34,'Premium Segment'!BE34)/SUM('Value Segment'!BE$82,'Mid-Market Segment'!BE$82,'Upper Mid-Market Segment'!BE$82,'Premium Segment'!BE$82)</f>
        <v>376.84311248012966</v>
      </c>
      <c r="BF99" s="661">
        <f>SUM('Value Segment'!BF34,'Mid-Market Segment'!BF34,'Upper Mid-Market Segment'!BF34,'Premium Segment'!BF34)/SUM('Value Segment'!BF$82,'Mid-Market Segment'!BF$82,'Upper Mid-Market Segment'!BF$82,'Premium Segment'!BF$82)</f>
        <v>376.84311248012966</v>
      </c>
      <c r="BG99" s="661">
        <f>SUM('Value Segment'!BG34,'Mid-Market Segment'!BG34,'Upper Mid-Market Segment'!BG34,'Premium Segment'!BG34)/SUM('Value Segment'!BG$82,'Mid-Market Segment'!BG$82,'Upper Mid-Market Segment'!BG$82,'Premium Segment'!BG$82)</f>
        <v>376.84311248012966</v>
      </c>
      <c r="BH99" s="661">
        <f>SUM('Value Segment'!BH34,'Mid-Market Segment'!BH34,'Upper Mid-Market Segment'!BH34,'Premium Segment'!BH34)/SUM('Value Segment'!BH$82,'Mid-Market Segment'!BH$82,'Upper Mid-Market Segment'!BH$82,'Premium Segment'!BH$82)</f>
        <v>390.86066154437566</v>
      </c>
      <c r="BI99" s="661">
        <f>SUM('Value Segment'!BI34,'Mid-Market Segment'!BI34,'Upper Mid-Market Segment'!BI34,'Premium Segment'!BI34)/SUM('Value Segment'!BI$82,'Mid-Market Segment'!BI$82,'Upper Mid-Market Segment'!BI$82,'Premium Segment'!BI$82)</f>
        <v>390.86066154437566</v>
      </c>
      <c r="BJ99" s="661">
        <f>SUM('Value Segment'!BJ34,'Mid-Market Segment'!BJ34,'Upper Mid-Market Segment'!BJ34,'Premium Segment'!BJ34)/SUM('Value Segment'!BJ$82,'Mid-Market Segment'!BJ$82,'Upper Mid-Market Segment'!BJ$82,'Premium Segment'!BJ$82)</f>
        <v>390.86066154437566</v>
      </c>
      <c r="BK99" s="661">
        <f>SUM('Value Segment'!BK34,'Mid-Market Segment'!BK34,'Upper Mid-Market Segment'!BK34,'Premium Segment'!BK34)/SUM('Value Segment'!BK$82,'Mid-Market Segment'!BK$82,'Upper Mid-Market Segment'!BK$82,'Premium Segment'!BK$82)</f>
        <v>390.86066154437566</v>
      </c>
      <c r="BL99" s="661">
        <f>SUM('Value Segment'!BL34,'Mid-Market Segment'!BL34,'Upper Mid-Market Segment'!BL34,'Premium Segment'!BL34)/SUM('Value Segment'!BL$82,'Mid-Market Segment'!BL$82,'Upper Mid-Market Segment'!BL$82,'Premium Segment'!BL$82)</f>
        <v>390.86066154437566</v>
      </c>
      <c r="BM99" s="661">
        <f>SUM('Value Segment'!BM34,'Mid-Market Segment'!BM34,'Upper Mid-Market Segment'!BM34,'Premium Segment'!BM34)/SUM('Value Segment'!BM$82,'Mid-Market Segment'!BM$82,'Upper Mid-Market Segment'!BM$82,'Premium Segment'!BM$82)</f>
        <v>390.86066154437566</v>
      </c>
      <c r="BN99" s="661">
        <f>SUM('Value Segment'!BN34,'Mid-Market Segment'!BN34,'Upper Mid-Market Segment'!BN34,'Premium Segment'!BN34)/SUM('Value Segment'!BN$82,'Mid-Market Segment'!BN$82,'Upper Mid-Market Segment'!BN$82,'Premium Segment'!BN$82)</f>
        <v>383.54260569065008</v>
      </c>
      <c r="BO99" s="661">
        <f>SUM('Value Segment'!BO34,'Mid-Market Segment'!BO34,'Upper Mid-Market Segment'!BO34,'Premium Segment'!BO34)/SUM('Value Segment'!BO$82,'Mid-Market Segment'!BO$82,'Upper Mid-Market Segment'!BO$82,'Premium Segment'!BO$82)</f>
        <v>383.54260569065008</v>
      </c>
      <c r="BP99" s="661">
        <f>SUM('Value Segment'!BP34,'Mid-Market Segment'!BP34,'Upper Mid-Market Segment'!BP34,'Premium Segment'!BP34)/SUM('Value Segment'!BP$82,'Mid-Market Segment'!BP$82,'Upper Mid-Market Segment'!BP$82,'Premium Segment'!BP$82)</f>
        <v>383.54260569065008</v>
      </c>
      <c r="BQ99" s="661">
        <f>SUM('Value Segment'!BQ34,'Mid-Market Segment'!BQ34,'Upper Mid-Market Segment'!BQ34,'Premium Segment'!BQ34)/SUM('Value Segment'!BQ$82,'Mid-Market Segment'!BQ$82,'Upper Mid-Market Segment'!BQ$82,'Premium Segment'!BQ$82)</f>
        <v>383.54260569065008</v>
      </c>
      <c r="BR99" s="661">
        <f>SUM('Value Segment'!BR34,'Mid-Market Segment'!BR34,'Upper Mid-Market Segment'!BR34,'Premium Segment'!BR34)/SUM('Value Segment'!BR$82,'Mid-Market Segment'!BR$82,'Upper Mid-Market Segment'!BR$82,'Premium Segment'!BR$82)</f>
        <v>383.54260569065008</v>
      </c>
      <c r="BS99" s="661">
        <f>SUM('Value Segment'!BS34,'Mid-Market Segment'!BS34,'Upper Mid-Market Segment'!BS34,'Premium Segment'!BS34)/SUM('Value Segment'!BS$82,'Mid-Market Segment'!BS$82,'Upper Mid-Market Segment'!BS$82,'Premium Segment'!BS$82)</f>
        <v>383.54260569065008</v>
      </c>
      <c r="BT99" s="661">
        <f>SUM('Value Segment'!BT34,'Mid-Market Segment'!BT34,'Upper Mid-Market Segment'!BT34,'Premium Segment'!BT34)/SUM('Value Segment'!BT$82,'Mid-Market Segment'!BT$82,'Upper Mid-Market Segment'!BT$82,'Premium Segment'!BT$82)</f>
        <v>399.36281659896059</v>
      </c>
      <c r="BU99" s="661">
        <f>SUM('Value Segment'!BU34,'Mid-Market Segment'!BU34,'Upper Mid-Market Segment'!BU34,'Premium Segment'!BU34)/SUM('Value Segment'!BU$82,'Mid-Market Segment'!BU$82,'Upper Mid-Market Segment'!BU$82,'Premium Segment'!BU$82)</f>
        <v>399.36281659896059</v>
      </c>
      <c r="BV99" s="661">
        <f>SUM('Value Segment'!BV34,'Mid-Market Segment'!BV34,'Upper Mid-Market Segment'!BV34,'Premium Segment'!BV34)/SUM('Value Segment'!BV$82,'Mid-Market Segment'!BV$82,'Upper Mid-Market Segment'!BV$82,'Premium Segment'!BV$82)</f>
        <v>399.36281659896059</v>
      </c>
      <c r="BW99" s="661">
        <f>SUM('Value Segment'!BW34,'Mid-Market Segment'!BW34,'Upper Mid-Market Segment'!BW34,'Premium Segment'!BW34)/SUM('Value Segment'!BW$82,'Mid-Market Segment'!BW$82,'Upper Mid-Market Segment'!BW$82,'Premium Segment'!BW$82)</f>
        <v>399.36281659896059</v>
      </c>
      <c r="BX99" s="661">
        <f>SUM('Value Segment'!BX34,'Mid-Market Segment'!BX34,'Upper Mid-Market Segment'!BX34,'Premium Segment'!BX34)/SUM('Value Segment'!BX$82,'Mid-Market Segment'!BX$82,'Upper Mid-Market Segment'!BX$82,'Premium Segment'!BX$82)</f>
        <v>399.36281659896059</v>
      </c>
      <c r="BY99" s="661">
        <f>SUM('Value Segment'!BY34,'Mid-Market Segment'!BY34,'Upper Mid-Market Segment'!BY34,'Premium Segment'!BY34)/SUM('Value Segment'!BY$82,'Mid-Market Segment'!BY$82,'Upper Mid-Market Segment'!BY$82,'Premium Segment'!BY$82)</f>
        <v>399.36281659896059</v>
      </c>
      <c r="CB99" s="8"/>
    </row>
    <row r="100" spans="3:80" x14ac:dyDescent="0.3">
      <c r="C100" s="2"/>
      <c r="D100" s="2"/>
      <c r="E100" s="2" t="s">
        <v>395</v>
      </c>
      <c r="F100" s="54"/>
      <c r="G100" s="54"/>
      <c r="H100" s="54"/>
      <c r="I100" s="19">
        <f>SUM('Value Segment'!I35,'Mid-Market Segment'!I35,'Upper Mid-Market Segment'!I35,'Premium Segment'!I35)/SUM('Value Segment'!I$82,'Mid-Market Segment'!I$82,'Upper Mid-Market Segment'!I$82,'Premium Segment'!I$82)</f>
        <v>-481.81659014621641</v>
      </c>
      <c r="J100" s="19">
        <f>SUM('Value Segment'!J35,'Mid-Market Segment'!J35,'Upper Mid-Market Segment'!J35,'Premium Segment'!J35)/SUM('Value Segment'!J$82,'Mid-Market Segment'!J$82,'Upper Mid-Market Segment'!J$82,'Premium Segment'!J$82)</f>
        <v>-487.42958345922347</v>
      </c>
      <c r="K100" s="19">
        <f>SUM('Value Segment'!K35,'Mid-Market Segment'!K35,'Upper Mid-Market Segment'!K35,'Premium Segment'!K35)/SUM('Value Segment'!K$82,'Mid-Market Segment'!K$82,'Upper Mid-Market Segment'!K$82,'Premium Segment'!K$82)</f>
        <v>-497.04936318832688</v>
      </c>
      <c r="L100" s="19">
        <f>SUM('Value Segment'!L35,'Mid-Market Segment'!L35,'Upper Mid-Market Segment'!L35,'Premium Segment'!L35)/SUM('Value Segment'!L$82,'Mid-Market Segment'!L$82,'Upper Mid-Market Segment'!L$82,'Premium Segment'!L$82)</f>
        <v>-506.58749677396082</v>
      </c>
      <c r="M100" s="19">
        <f>SUM('Value Segment'!M35,'Mid-Market Segment'!M35,'Upper Mid-Market Segment'!M35,'Premium Segment'!M35)/SUM('Value Segment'!M$82,'Mid-Market Segment'!M$82,'Upper Mid-Market Segment'!M$82,'Premium Segment'!M$82)</f>
        <v>-516.48405721368158</v>
      </c>
      <c r="N100" s="19">
        <f>SUM('Value Segment'!N35,'Mid-Market Segment'!N35,'Upper Mid-Market Segment'!N35,'Premium Segment'!N35)/SUM('Value Segment'!N$82,'Mid-Market Segment'!N$82,'Upper Mid-Market Segment'!N$82,'Premium Segment'!N$82)</f>
        <v>-526.56118172847994</v>
      </c>
      <c r="O100" s="37"/>
      <c r="P100" s="50">
        <f t="shared" si="106"/>
        <v>1.7919462187365509E-2</v>
      </c>
      <c r="R100" s="19">
        <f>SUM('Value Segment'!R35,'Mid-Market Segment'!R35,'Upper Mid-Market Segment'!R35,'Premium Segment'!R35)/SUM('Value Segment'!R$82,'Mid-Market Segment'!R$82,'Upper Mid-Market Segment'!R$82,'Premium Segment'!R$82)</f>
        <v>-40.151382512184711</v>
      </c>
      <c r="S100" s="542">
        <f>SUM('Value Segment'!S35,'Mid-Market Segment'!S35,'Upper Mid-Market Segment'!S35,'Premium Segment'!S35)/SUM('Value Segment'!S$82,'Mid-Market Segment'!S$82,'Upper Mid-Market Segment'!S$82,'Premium Segment'!S$82)</f>
        <v>-40.151382512184711</v>
      </c>
      <c r="T100" s="542">
        <f>SUM('Value Segment'!T35,'Mid-Market Segment'!T35,'Upper Mid-Market Segment'!T35,'Premium Segment'!T35)/SUM('Value Segment'!T$82,'Mid-Market Segment'!T$82,'Upper Mid-Market Segment'!T$82,'Premium Segment'!T$82)</f>
        <v>-40.151382512184711</v>
      </c>
      <c r="U100" s="542">
        <f>SUM('Value Segment'!U35,'Mid-Market Segment'!U35,'Upper Mid-Market Segment'!U35,'Premium Segment'!U35)/SUM('Value Segment'!U$82,'Mid-Market Segment'!U$82,'Upper Mid-Market Segment'!U$82,'Premium Segment'!U$82)</f>
        <v>-40.151382512184711</v>
      </c>
      <c r="V100" s="542">
        <f>SUM('Value Segment'!V35,'Mid-Market Segment'!V35,'Upper Mid-Market Segment'!V35,'Premium Segment'!V35)/SUM('Value Segment'!V$82,'Mid-Market Segment'!V$82,'Upper Mid-Market Segment'!V$82,'Premium Segment'!V$82)</f>
        <v>-40.151382512184711</v>
      </c>
      <c r="W100" s="542">
        <f>SUM('Value Segment'!W35,'Mid-Market Segment'!W35,'Upper Mid-Market Segment'!W35,'Premium Segment'!W35)/SUM('Value Segment'!W$82,'Mid-Market Segment'!W$82,'Upper Mid-Market Segment'!W$82,'Premium Segment'!W$82)</f>
        <v>-40.151382512184711</v>
      </c>
      <c r="X100" s="542">
        <f>SUM('Value Segment'!X35,'Mid-Market Segment'!X35,'Upper Mid-Market Segment'!X35,'Premium Segment'!X35)/SUM('Value Segment'!X$82,'Mid-Market Segment'!X$82,'Upper Mid-Market Segment'!X$82,'Premium Segment'!X$82)</f>
        <v>-41.086881397685872</v>
      </c>
      <c r="Y100" s="542">
        <f>SUM('Value Segment'!Y35,'Mid-Market Segment'!Y35,'Upper Mid-Market Segment'!Y35,'Premium Segment'!Y35)/SUM('Value Segment'!Y$82,'Mid-Market Segment'!Y$82,'Upper Mid-Market Segment'!Y$82,'Premium Segment'!Y$82)</f>
        <v>-41.086881397685872</v>
      </c>
      <c r="Z100" s="542">
        <f>SUM('Value Segment'!Z35,'Mid-Market Segment'!Z35,'Upper Mid-Market Segment'!Z35,'Premium Segment'!Z35)/SUM('Value Segment'!Z$82,'Mid-Market Segment'!Z$82,'Upper Mid-Market Segment'!Z$82,'Premium Segment'!Z$82)</f>
        <v>-41.086881397685872</v>
      </c>
      <c r="AA100" s="542">
        <f>SUM('Value Segment'!AA35,'Mid-Market Segment'!AA35,'Upper Mid-Market Segment'!AA35,'Premium Segment'!AA35)/SUM('Value Segment'!AA$82,'Mid-Market Segment'!AA$82,'Upper Mid-Market Segment'!AA$82,'Premium Segment'!AA$82)</f>
        <v>-41.086881397685872</v>
      </c>
      <c r="AB100" s="542">
        <f>SUM('Value Segment'!AB35,'Mid-Market Segment'!AB35,'Upper Mid-Market Segment'!AB35,'Premium Segment'!AB35)/SUM('Value Segment'!AB$82,'Mid-Market Segment'!AB$82,'Upper Mid-Market Segment'!AB$82,'Premium Segment'!AB$82)</f>
        <v>-41.086881397685872</v>
      </c>
      <c r="AC100" s="542">
        <f>SUM('Value Segment'!AC35,'Mid-Market Segment'!AC35,'Upper Mid-Market Segment'!AC35,'Premium Segment'!AC35)/SUM('Value Segment'!AC$82,'Mid-Market Segment'!AC$82,'Upper Mid-Market Segment'!AC$82,'Premium Segment'!AC$82)</f>
        <v>-41.086881397685872</v>
      </c>
      <c r="AD100" s="542">
        <f>SUM('Value Segment'!AD35,'Mid-Market Segment'!AD35,'Upper Mid-Market Segment'!AD35,'Premium Segment'!AD35)/SUM('Value Segment'!AD$82,'Mid-Market Segment'!AD$82,'Upper Mid-Market Segment'!AD$82,'Premium Segment'!AD$82)</f>
        <v>-40.851020826014057</v>
      </c>
      <c r="AE100" s="542">
        <f>SUM('Value Segment'!AE35,'Mid-Market Segment'!AE35,'Upper Mid-Market Segment'!AE35,'Premium Segment'!AE35)/SUM('Value Segment'!AE$82,'Mid-Market Segment'!AE$82,'Upper Mid-Market Segment'!AE$82,'Premium Segment'!AE$82)</f>
        <v>-40.851020826014057</v>
      </c>
      <c r="AF100" s="542">
        <f>SUM('Value Segment'!AF35,'Mid-Market Segment'!AF35,'Upper Mid-Market Segment'!AF35,'Premium Segment'!AF35)/SUM('Value Segment'!AF$82,'Mid-Market Segment'!AF$82,'Upper Mid-Market Segment'!AF$82,'Premium Segment'!AF$82)</f>
        <v>-40.851020826014057</v>
      </c>
      <c r="AG100" s="542">
        <f>SUM('Value Segment'!AG35,'Mid-Market Segment'!AG35,'Upper Mid-Market Segment'!AG35,'Premium Segment'!AG35)/SUM('Value Segment'!AG$82,'Mid-Market Segment'!AG$82,'Upper Mid-Market Segment'!AG$82,'Premium Segment'!AG$82)</f>
        <v>-40.851020826014057</v>
      </c>
      <c r="AH100" s="542">
        <f>SUM('Value Segment'!AH35,'Mid-Market Segment'!AH35,'Upper Mid-Market Segment'!AH35,'Premium Segment'!AH35)/SUM('Value Segment'!AH$82,'Mid-Market Segment'!AH$82,'Upper Mid-Market Segment'!AH$82,'Premium Segment'!AH$82)</f>
        <v>-40.851020826014057</v>
      </c>
      <c r="AI100" s="542">
        <f>SUM('Value Segment'!AI35,'Mid-Market Segment'!AI35,'Upper Mid-Market Segment'!AI35,'Premium Segment'!AI35)/SUM('Value Segment'!AI$82,'Mid-Market Segment'!AI$82,'Upper Mid-Market Segment'!AI$82,'Premium Segment'!AI$82)</f>
        <v>-40.851020826014057</v>
      </c>
      <c r="AJ100" s="542">
        <f>SUM('Value Segment'!AJ35,'Mid-Market Segment'!AJ35,'Upper Mid-Market Segment'!AJ35,'Premium Segment'!AJ35)/SUM('Value Segment'!AJ$82,'Mid-Market Segment'!AJ$82,'Upper Mid-Market Segment'!AJ$82,'Premium Segment'!AJ$82)</f>
        <v>-41.990539705373749</v>
      </c>
      <c r="AK100" s="542">
        <f>SUM('Value Segment'!AK35,'Mid-Market Segment'!AK35,'Upper Mid-Market Segment'!AK35,'Premium Segment'!AK35)/SUM('Value Segment'!AK$82,'Mid-Market Segment'!AK$82,'Upper Mid-Market Segment'!AK$82,'Premium Segment'!AK$82)</f>
        <v>-41.990539705373749</v>
      </c>
      <c r="AL100" s="542">
        <f>SUM('Value Segment'!AL35,'Mid-Market Segment'!AL35,'Upper Mid-Market Segment'!AL35,'Premium Segment'!AL35)/SUM('Value Segment'!AL$82,'Mid-Market Segment'!AL$82,'Upper Mid-Market Segment'!AL$82,'Premium Segment'!AL$82)</f>
        <v>-41.990539705373749</v>
      </c>
      <c r="AM100" s="542">
        <f>SUM('Value Segment'!AM35,'Mid-Market Segment'!AM35,'Upper Mid-Market Segment'!AM35,'Premium Segment'!AM35)/SUM('Value Segment'!AM$82,'Mid-Market Segment'!AM$82,'Upper Mid-Market Segment'!AM$82,'Premium Segment'!AM$82)</f>
        <v>-41.990539705373749</v>
      </c>
      <c r="AN100" s="542">
        <f>SUM('Value Segment'!AN35,'Mid-Market Segment'!AN35,'Upper Mid-Market Segment'!AN35,'Premium Segment'!AN35)/SUM('Value Segment'!AN$82,'Mid-Market Segment'!AN$82,'Upper Mid-Market Segment'!AN$82,'Premium Segment'!AN$82)</f>
        <v>-41.990539705373749</v>
      </c>
      <c r="AO100" s="542">
        <f>SUM('Value Segment'!AO35,'Mid-Market Segment'!AO35,'Upper Mid-Market Segment'!AO35,'Premium Segment'!AO35)/SUM('Value Segment'!AO$82,'Mid-Market Segment'!AO$82,'Upper Mid-Market Segment'!AO$82,'Premium Segment'!AO$82)</f>
        <v>-41.990539705373749</v>
      </c>
      <c r="AP100" s="542">
        <f>SUM('Value Segment'!AP35,'Mid-Market Segment'!AP35,'Upper Mid-Market Segment'!AP35,'Premium Segment'!AP35)/SUM('Value Segment'!AP$82,'Mid-Market Segment'!AP$82,'Upper Mid-Market Segment'!AP$82,'Premium Segment'!AP$82)</f>
        <v>-41.54527885477944</v>
      </c>
      <c r="AQ100" s="542">
        <f>SUM('Value Segment'!AQ35,'Mid-Market Segment'!AQ35,'Upper Mid-Market Segment'!AQ35,'Premium Segment'!AQ35)/SUM('Value Segment'!AQ$82,'Mid-Market Segment'!AQ$82,'Upper Mid-Market Segment'!AQ$82,'Premium Segment'!AQ$82)</f>
        <v>-41.54527885477944</v>
      </c>
      <c r="AR100" s="542">
        <f>SUM('Value Segment'!AR35,'Mid-Market Segment'!AR35,'Upper Mid-Market Segment'!AR35,'Premium Segment'!AR35)/SUM('Value Segment'!AR$82,'Mid-Market Segment'!AR$82,'Upper Mid-Market Segment'!AR$82,'Premium Segment'!AR$82)</f>
        <v>-41.54527885477944</v>
      </c>
      <c r="AS100" s="542">
        <f>SUM('Value Segment'!AS35,'Mid-Market Segment'!AS35,'Upper Mid-Market Segment'!AS35,'Premium Segment'!AS35)/SUM('Value Segment'!AS$82,'Mid-Market Segment'!AS$82,'Upper Mid-Market Segment'!AS$82,'Premium Segment'!AS$82)</f>
        <v>-41.54527885477944</v>
      </c>
      <c r="AT100" s="542">
        <f>SUM('Value Segment'!AT35,'Mid-Market Segment'!AT35,'Upper Mid-Market Segment'!AT35,'Premium Segment'!AT35)/SUM('Value Segment'!AT$82,'Mid-Market Segment'!AT$82,'Upper Mid-Market Segment'!AT$82,'Premium Segment'!AT$82)</f>
        <v>-41.54527885477944</v>
      </c>
      <c r="AU100" s="542">
        <f>SUM('Value Segment'!AU35,'Mid-Market Segment'!AU35,'Upper Mid-Market Segment'!AU35,'Premium Segment'!AU35)/SUM('Value Segment'!AU$82,'Mid-Market Segment'!AU$82,'Upper Mid-Market Segment'!AU$82,'Premium Segment'!AU$82)</f>
        <v>-41.54527885477944</v>
      </c>
      <c r="AV100" s="542">
        <f>SUM('Value Segment'!AV35,'Mid-Market Segment'!AV35,'Upper Mid-Market Segment'!AV35,'Premium Segment'!AV35)/SUM('Value Segment'!AV$82,'Mid-Market Segment'!AV$82,'Upper Mid-Market Segment'!AV$82,'Premium Segment'!AV$82)</f>
        <v>-42.885970607547364</v>
      </c>
      <c r="AW100" s="542">
        <f>SUM('Value Segment'!AW35,'Mid-Market Segment'!AW35,'Upper Mid-Market Segment'!AW35,'Premium Segment'!AW35)/SUM('Value Segment'!AW$82,'Mid-Market Segment'!AW$82,'Upper Mid-Market Segment'!AW$82,'Premium Segment'!AW$82)</f>
        <v>-42.885970607547364</v>
      </c>
      <c r="AX100" s="542">
        <f>SUM('Value Segment'!AX35,'Mid-Market Segment'!AX35,'Upper Mid-Market Segment'!AX35,'Premium Segment'!AX35)/SUM('Value Segment'!AX$82,'Mid-Market Segment'!AX$82,'Upper Mid-Market Segment'!AX$82,'Premium Segment'!AX$82)</f>
        <v>-42.885970607547364</v>
      </c>
      <c r="AY100" s="542">
        <f>SUM('Value Segment'!AY35,'Mid-Market Segment'!AY35,'Upper Mid-Market Segment'!AY35,'Premium Segment'!AY35)/SUM('Value Segment'!AY$82,'Mid-Market Segment'!AY$82,'Upper Mid-Market Segment'!AY$82,'Premium Segment'!AY$82)</f>
        <v>-42.885970607547364</v>
      </c>
      <c r="AZ100" s="542">
        <f>SUM('Value Segment'!AZ35,'Mid-Market Segment'!AZ35,'Upper Mid-Market Segment'!AZ35,'Premium Segment'!AZ35)/SUM('Value Segment'!AZ$82,'Mid-Market Segment'!AZ$82,'Upper Mid-Market Segment'!AZ$82,'Premium Segment'!AZ$82)</f>
        <v>-42.885970607547364</v>
      </c>
      <c r="BA100" s="542">
        <f>SUM('Value Segment'!BA35,'Mid-Market Segment'!BA35,'Upper Mid-Market Segment'!BA35,'Premium Segment'!BA35)/SUM('Value Segment'!BA$82,'Mid-Market Segment'!BA$82,'Upper Mid-Market Segment'!BA$82,'Premium Segment'!BA$82)</f>
        <v>-42.885970607547364</v>
      </c>
      <c r="BB100" s="542">
        <f>SUM('Value Segment'!BB35,'Mid-Market Segment'!BB35,'Upper Mid-Market Segment'!BB35,'Premium Segment'!BB35)/SUM('Value Segment'!BB$82,'Mid-Market Segment'!BB$82,'Upper Mid-Market Segment'!BB$82,'Premium Segment'!BB$82)</f>
        <v>-42.270193362399745</v>
      </c>
      <c r="BC100" s="542">
        <f>SUM('Value Segment'!BC35,'Mid-Market Segment'!BC35,'Upper Mid-Market Segment'!BC35,'Premium Segment'!BC35)/SUM('Value Segment'!BC$82,'Mid-Market Segment'!BC$82,'Upper Mid-Market Segment'!BC$82,'Premium Segment'!BC$82)</f>
        <v>-42.270193362399745</v>
      </c>
      <c r="BD100" s="542">
        <f>SUM('Value Segment'!BD35,'Mid-Market Segment'!BD35,'Upper Mid-Market Segment'!BD35,'Premium Segment'!BD35)/SUM('Value Segment'!BD$82,'Mid-Market Segment'!BD$82,'Upper Mid-Market Segment'!BD$82,'Premium Segment'!BD$82)</f>
        <v>-42.270193362399745</v>
      </c>
      <c r="BE100" s="542">
        <f>SUM('Value Segment'!BE35,'Mid-Market Segment'!BE35,'Upper Mid-Market Segment'!BE35,'Premium Segment'!BE35)/SUM('Value Segment'!BE$82,'Mid-Market Segment'!BE$82,'Upper Mid-Market Segment'!BE$82,'Premium Segment'!BE$82)</f>
        <v>-42.270193362399745</v>
      </c>
      <c r="BF100" s="542">
        <f>SUM('Value Segment'!BF35,'Mid-Market Segment'!BF35,'Upper Mid-Market Segment'!BF35,'Premium Segment'!BF35)/SUM('Value Segment'!BF$82,'Mid-Market Segment'!BF$82,'Upper Mid-Market Segment'!BF$82,'Premium Segment'!BF$82)</f>
        <v>-42.270193362399745</v>
      </c>
      <c r="BG100" s="542">
        <f>SUM('Value Segment'!BG35,'Mid-Market Segment'!BG35,'Upper Mid-Market Segment'!BG35,'Premium Segment'!BG35)/SUM('Value Segment'!BG$82,'Mid-Market Segment'!BG$82,'Upper Mid-Market Segment'!BG$82,'Premium Segment'!BG$82)</f>
        <v>-42.270193362399745</v>
      </c>
      <c r="BH100" s="542">
        <f>SUM('Value Segment'!BH35,'Mid-Market Segment'!BH35,'Upper Mid-Market Segment'!BH35,'Premium Segment'!BH35)/SUM('Value Segment'!BH$82,'Mid-Market Segment'!BH$82,'Upper Mid-Market Segment'!BH$82,'Premium Segment'!BH$82)</f>
        <v>-43.810482839880528</v>
      </c>
      <c r="BI100" s="542">
        <f>SUM('Value Segment'!BI35,'Mid-Market Segment'!BI35,'Upper Mid-Market Segment'!BI35,'Premium Segment'!BI35)/SUM('Value Segment'!BI$82,'Mid-Market Segment'!BI$82,'Upper Mid-Market Segment'!BI$82,'Premium Segment'!BI$82)</f>
        <v>-43.810482839880528</v>
      </c>
      <c r="BJ100" s="542">
        <f>SUM('Value Segment'!BJ35,'Mid-Market Segment'!BJ35,'Upper Mid-Market Segment'!BJ35,'Premium Segment'!BJ35)/SUM('Value Segment'!BJ$82,'Mid-Market Segment'!BJ$82,'Upper Mid-Market Segment'!BJ$82,'Premium Segment'!BJ$82)</f>
        <v>-43.810482839880528</v>
      </c>
      <c r="BK100" s="542">
        <f>SUM('Value Segment'!BK35,'Mid-Market Segment'!BK35,'Upper Mid-Market Segment'!BK35,'Premium Segment'!BK35)/SUM('Value Segment'!BK$82,'Mid-Market Segment'!BK$82,'Upper Mid-Market Segment'!BK$82,'Premium Segment'!BK$82)</f>
        <v>-43.810482839880528</v>
      </c>
      <c r="BL100" s="542">
        <f>SUM('Value Segment'!BL35,'Mid-Market Segment'!BL35,'Upper Mid-Market Segment'!BL35,'Premium Segment'!BL35)/SUM('Value Segment'!BL$82,'Mid-Market Segment'!BL$82,'Upper Mid-Market Segment'!BL$82,'Premium Segment'!BL$82)</f>
        <v>-43.810482839880528</v>
      </c>
      <c r="BM100" s="542">
        <f>SUM('Value Segment'!BM35,'Mid-Market Segment'!BM35,'Upper Mid-Market Segment'!BM35,'Premium Segment'!BM35)/SUM('Value Segment'!BM$82,'Mid-Market Segment'!BM$82,'Upper Mid-Market Segment'!BM$82,'Premium Segment'!BM$82)</f>
        <v>-43.810482839880528</v>
      </c>
      <c r="BN100" s="542">
        <f>SUM('Value Segment'!BN35,'Mid-Market Segment'!BN35,'Upper Mid-Market Segment'!BN35,'Premium Segment'!BN35)/SUM('Value Segment'!BN$82,'Mid-Market Segment'!BN$82,'Upper Mid-Market Segment'!BN$82,'Premium Segment'!BN$82)</f>
        <v>-43.01204507180811</v>
      </c>
      <c r="BO100" s="542">
        <f>SUM('Value Segment'!BO35,'Mid-Market Segment'!BO35,'Upper Mid-Market Segment'!BO35,'Premium Segment'!BO35)/SUM('Value Segment'!BO$82,'Mid-Market Segment'!BO$82,'Upper Mid-Market Segment'!BO$82,'Premium Segment'!BO$82)</f>
        <v>-43.01204507180811</v>
      </c>
      <c r="BP100" s="542">
        <f>SUM('Value Segment'!BP35,'Mid-Market Segment'!BP35,'Upper Mid-Market Segment'!BP35,'Premium Segment'!BP35)/SUM('Value Segment'!BP$82,'Mid-Market Segment'!BP$82,'Upper Mid-Market Segment'!BP$82,'Premium Segment'!BP$82)</f>
        <v>-43.01204507180811</v>
      </c>
      <c r="BQ100" s="542">
        <f>SUM('Value Segment'!BQ35,'Mid-Market Segment'!BQ35,'Upper Mid-Market Segment'!BQ35,'Premium Segment'!BQ35)/SUM('Value Segment'!BQ$82,'Mid-Market Segment'!BQ$82,'Upper Mid-Market Segment'!BQ$82,'Premium Segment'!BQ$82)</f>
        <v>-43.01204507180811</v>
      </c>
      <c r="BR100" s="542">
        <f>SUM('Value Segment'!BR35,'Mid-Market Segment'!BR35,'Upper Mid-Market Segment'!BR35,'Premium Segment'!BR35)/SUM('Value Segment'!BR$82,'Mid-Market Segment'!BR$82,'Upper Mid-Market Segment'!BR$82,'Premium Segment'!BR$82)</f>
        <v>-43.01204507180811</v>
      </c>
      <c r="BS100" s="542">
        <f>SUM('Value Segment'!BS35,'Mid-Market Segment'!BS35,'Upper Mid-Market Segment'!BS35,'Premium Segment'!BS35)/SUM('Value Segment'!BS$82,'Mid-Market Segment'!BS$82,'Upper Mid-Market Segment'!BS$82,'Premium Segment'!BS$82)</f>
        <v>-43.01204507180811</v>
      </c>
      <c r="BT100" s="542">
        <f>SUM('Value Segment'!BT35,'Mid-Market Segment'!BT35,'Upper Mid-Market Segment'!BT35,'Premium Segment'!BT35)/SUM('Value Segment'!BT$82,'Mid-Market Segment'!BT$82,'Upper Mid-Market Segment'!BT$82,'Premium Segment'!BT$82)</f>
        <v>-44.748151882938572</v>
      </c>
      <c r="BU100" s="542">
        <f>SUM('Value Segment'!BU35,'Mid-Market Segment'!BU35,'Upper Mid-Market Segment'!BU35,'Premium Segment'!BU35)/SUM('Value Segment'!BU$82,'Mid-Market Segment'!BU$82,'Upper Mid-Market Segment'!BU$82,'Premium Segment'!BU$82)</f>
        <v>-44.748151882938572</v>
      </c>
      <c r="BV100" s="542">
        <f>SUM('Value Segment'!BV35,'Mid-Market Segment'!BV35,'Upper Mid-Market Segment'!BV35,'Premium Segment'!BV35)/SUM('Value Segment'!BV$82,'Mid-Market Segment'!BV$82,'Upper Mid-Market Segment'!BV$82,'Premium Segment'!BV$82)</f>
        <v>-44.748151882938572</v>
      </c>
      <c r="BW100" s="542">
        <f>SUM('Value Segment'!BW35,'Mid-Market Segment'!BW35,'Upper Mid-Market Segment'!BW35,'Premium Segment'!BW35)/SUM('Value Segment'!BW$82,'Mid-Market Segment'!BW$82,'Upper Mid-Market Segment'!BW$82,'Premium Segment'!BW$82)</f>
        <v>-44.748151882938572</v>
      </c>
      <c r="BX100" s="542">
        <f>SUM('Value Segment'!BX35,'Mid-Market Segment'!BX35,'Upper Mid-Market Segment'!BX35,'Premium Segment'!BX35)/SUM('Value Segment'!BX$82,'Mid-Market Segment'!BX$82,'Upper Mid-Market Segment'!BX$82,'Premium Segment'!BX$82)</f>
        <v>-44.748151882938572</v>
      </c>
      <c r="BY100" s="542">
        <f>SUM('Value Segment'!BY35,'Mid-Market Segment'!BY35,'Upper Mid-Market Segment'!BY35,'Premium Segment'!BY35)/SUM('Value Segment'!BY$82,'Mid-Market Segment'!BY$82,'Upper Mid-Market Segment'!BY$82,'Premium Segment'!BY$82)</f>
        <v>-44.748151882938572</v>
      </c>
      <c r="CB100" s="8"/>
    </row>
    <row r="101" spans="3:80" x14ac:dyDescent="0.3">
      <c r="C101" s="2"/>
      <c r="D101" s="2"/>
      <c r="E101" s="4" t="s">
        <v>396</v>
      </c>
      <c r="F101" s="5"/>
      <c r="G101" s="5"/>
      <c r="H101" s="5"/>
      <c r="I101" s="507">
        <f>SUM('Value Segment'!I36,'Mid-Market Segment'!I36,'Upper Mid-Market Segment'!I36,'Premium Segment'!I36)/SUM('Value Segment'!I$82,'Mid-Market Segment'!I$82,'Upper Mid-Market Segment'!I$82,'Premium Segment'!I$82)</f>
        <v>3811.8407479938105</v>
      </c>
      <c r="J101" s="507">
        <f>SUM('Value Segment'!J36,'Mid-Market Segment'!J36,'Upper Mid-Market Segment'!J36,'Premium Segment'!J36)/SUM('Value Segment'!J$82,'Mid-Market Segment'!J$82,'Upper Mid-Market Segment'!J$82,'Premium Segment'!J$82)</f>
        <v>3856.9246591362021</v>
      </c>
      <c r="K101" s="507">
        <f>SUM('Value Segment'!K36,'Mid-Market Segment'!K36,'Upper Mid-Market Segment'!K36,'Premium Segment'!K36)/SUM('Value Segment'!K$82,'Mid-Market Segment'!K$82,'Upper Mid-Market Segment'!K$82,'Premium Segment'!K$82)</f>
        <v>3933.9285954664379</v>
      </c>
      <c r="L101" s="507">
        <f>SUM('Value Segment'!L36,'Mid-Market Segment'!L36,'Upper Mid-Market Segment'!L36,'Premium Segment'!L36)/SUM('Value Segment'!L$82,'Mid-Market Segment'!L$82,'Upper Mid-Market Segment'!L$82,'Premium Segment'!L$82)</f>
        <v>4010.2896704807144</v>
      </c>
      <c r="M101" s="507">
        <f>SUM('Value Segment'!M36,'Mid-Market Segment'!M36,'Upper Mid-Market Segment'!M36,'Premium Segment'!M36)/SUM('Value Segment'!M$82,'Mid-Market Segment'!M$82,'Upper Mid-Market Segment'!M$82,'Premium Segment'!M$82)</f>
        <v>4089.7385869333507</v>
      </c>
      <c r="N101" s="507">
        <f>SUM('Value Segment'!N36,'Mid-Market Segment'!N36,'Upper Mid-Market Segment'!N36,'Premium Segment'!N36)/SUM('Value Segment'!N$82,'Mid-Market Segment'!N$82,'Upper Mid-Market Segment'!N$82,'Premium Segment'!N$82)</f>
        <v>4170.8713520091833</v>
      </c>
      <c r="O101" s="57"/>
      <c r="P101" s="55">
        <f t="shared" si="106"/>
        <v>1.8165575330700401E-2</v>
      </c>
      <c r="R101" s="507">
        <f>SUM('Value Segment'!R36,'Mid-Market Segment'!R36,'Upper Mid-Market Segment'!R36,'Premium Segment'!R36)/SUM('Value Segment'!R$82,'Mid-Market Segment'!R$82,'Upper Mid-Market Segment'!R$82,'Premium Segment'!R$82)</f>
        <v>317.65339566615114</v>
      </c>
      <c r="S101" s="661">
        <f>SUM('Value Segment'!S36,'Mid-Market Segment'!S36,'Upper Mid-Market Segment'!S36,'Premium Segment'!S36)/SUM('Value Segment'!S$82,'Mid-Market Segment'!S$82,'Upper Mid-Market Segment'!S$82,'Premium Segment'!S$82)</f>
        <v>317.65339566615114</v>
      </c>
      <c r="T101" s="661">
        <f>SUM('Value Segment'!T36,'Mid-Market Segment'!T36,'Upper Mid-Market Segment'!T36,'Premium Segment'!T36)/SUM('Value Segment'!T$82,'Mid-Market Segment'!T$82,'Upper Mid-Market Segment'!T$82,'Premium Segment'!T$82)</f>
        <v>317.65339566615114</v>
      </c>
      <c r="U101" s="661">
        <f>SUM('Value Segment'!U36,'Mid-Market Segment'!U36,'Upper Mid-Market Segment'!U36,'Premium Segment'!U36)/SUM('Value Segment'!U$82,'Mid-Market Segment'!U$82,'Upper Mid-Market Segment'!U$82,'Premium Segment'!U$82)</f>
        <v>317.65339566615114</v>
      </c>
      <c r="V101" s="661">
        <f>SUM('Value Segment'!V36,'Mid-Market Segment'!V36,'Upper Mid-Market Segment'!V36,'Premium Segment'!V36)/SUM('Value Segment'!V$82,'Mid-Market Segment'!V$82,'Upper Mid-Market Segment'!V$82,'Premium Segment'!V$82)</f>
        <v>317.65339566615114</v>
      </c>
      <c r="W101" s="661">
        <f>SUM('Value Segment'!W36,'Mid-Market Segment'!W36,'Upper Mid-Market Segment'!W36,'Premium Segment'!W36)/SUM('Value Segment'!W$82,'Mid-Market Segment'!W$82,'Upper Mid-Market Segment'!W$82,'Premium Segment'!W$82)</f>
        <v>317.65339566615114</v>
      </c>
      <c r="X101" s="661">
        <f>SUM('Value Segment'!X36,'Mid-Market Segment'!X36,'Upper Mid-Market Segment'!X36,'Premium Segment'!X36)/SUM('Value Segment'!X$82,'Mid-Market Segment'!X$82,'Upper Mid-Market Segment'!X$82,'Premium Segment'!X$82)</f>
        <v>325.16738085654919</v>
      </c>
      <c r="Y101" s="661">
        <f>SUM('Value Segment'!Y36,'Mid-Market Segment'!Y36,'Upper Mid-Market Segment'!Y36,'Premium Segment'!Y36)/SUM('Value Segment'!Y$82,'Mid-Market Segment'!Y$82,'Upper Mid-Market Segment'!Y$82,'Premium Segment'!Y$82)</f>
        <v>325.16738085654919</v>
      </c>
      <c r="Z101" s="661">
        <f>SUM('Value Segment'!Z36,'Mid-Market Segment'!Z36,'Upper Mid-Market Segment'!Z36,'Premium Segment'!Z36)/SUM('Value Segment'!Z$82,'Mid-Market Segment'!Z$82,'Upper Mid-Market Segment'!Z$82,'Premium Segment'!Z$82)</f>
        <v>325.16738085654919</v>
      </c>
      <c r="AA101" s="661">
        <f>SUM('Value Segment'!AA36,'Mid-Market Segment'!AA36,'Upper Mid-Market Segment'!AA36,'Premium Segment'!AA36)/SUM('Value Segment'!AA$82,'Mid-Market Segment'!AA$82,'Upper Mid-Market Segment'!AA$82,'Premium Segment'!AA$82)</f>
        <v>325.16738085654919</v>
      </c>
      <c r="AB101" s="661">
        <f>SUM('Value Segment'!AB36,'Mid-Market Segment'!AB36,'Upper Mid-Market Segment'!AB36,'Premium Segment'!AB36)/SUM('Value Segment'!AB$82,'Mid-Market Segment'!AB$82,'Upper Mid-Market Segment'!AB$82,'Premium Segment'!AB$82)</f>
        <v>325.16738085654919</v>
      </c>
      <c r="AC101" s="661">
        <f>SUM('Value Segment'!AC36,'Mid-Market Segment'!AC36,'Upper Mid-Market Segment'!AC36,'Premium Segment'!AC36)/SUM('Value Segment'!AC$82,'Mid-Market Segment'!AC$82,'Upper Mid-Market Segment'!AC$82,'Premium Segment'!AC$82)</f>
        <v>325.16738085654919</v>
      </c>
      <c r="AD101" s="661">
        <f>SUM('Value Segment'!AD36,'Mid-Market Segment'!AD36,'Upper Mid-Market Segment'!AD36,'Premium Segment'!AD36)/SUM('Value Segment'!AD$82,'Mid-Market Segment'!AD$82,'Upper Mid-Market Segment'!AD$82,'Premium Segment'!AD$82)</f>
        <v>323.23317837325061</v>
      </c>
      <c r="AE101" s="661">
        <f>SUM('Value Segment'!AE36,'Mid-Market Segment'!AE36,'Upper Mid-Market Segment'!AE36,'Premium Segment'!AE36)/SUM('Value Segment'!AE$82,'Mid-Market Segment'!AE$82,'Upper Mid-Market Segment'!AE$82,'Premium Segment'!AE$82)</f>
        <v>323.23317837325061</v>
      </c>
      <c r="AF101" s="661">
        <f>SUM('Value Segment'!AF36,'Mid-Market Segment'!AF36,'Upper Mid-Market Segment'!AF36,'Premium Segment'!AF36)/SUM('Value Segment'!AF$82,'Mid-Market Segment'!AF$82,'Upper Mid-Market Segment'!AF$82,'Premium Segment'!AF$82)</f>
        <v>323.23317837325061</v>
      </c>
      <c r="AG101" s="661">
        <f>SUM('Value Segment'!AG36,'Mid-Market Segment'!AG36,'Upper Mid-Market Segment'!AG36,'Premium Segment'!AG36)/SUM('Value Segment'!AG$82,'Mid-Market Segment'!AG$82,'Upper Mid-Market Segment'!AG$82,'Premium Segment'!AG$82)</f>
        <v>323.23317837325061</v>
      </c>
      <c r="AH101" s="661">
        <f>SUM('Value Segment'!AH36,'Mid-Market Segment'!AH36,'Upper Mid-Market Segment'!AH36,'Premium Segment'!AH36)/SUM('Value Segment'!AH$82,'Mid-Market Segment'!AH$82,'Upper Mid-Market Segment'!AH$82,'Premium Segment'!AH$82)</f>
        <v>323.23317837325061</v>
      </c>
      <c r="AI101" s="661">
        <f>SUM('Value Segment'!AI36,'Mid-Market Segment'!AI36,'Upper Mid-Market Segment'!AI36,'Premium Segment'!AI36)/SUM('Value Segment'!AI$82,'Mid-Market Segment'!AI$82,'Upper Mid-Market Segment'!AI$82,'Premium Segment'!AI$82)</f>
        <v>323.23317837325061</v>
      </c>
      <c r="AJ101" s="661">
        <f>SUM('Value Segment'!AJ36,'Mid-Market Segment'!AJ36,'Upper Mid-Market Segment'!AJ36,'Premium Segment'!AJ36)/SUM('Value Segment'!AJ$82,'Mid-Market Segment'!AJ$82,'Upper Mid-Market Segment'!AJ$82,'Premium Segment'!AJ$82)</f>
        <v>332.4215875378224</v>
      </c>
      <c r="AK101" s="661">
        <f>SUM('Value Segment'!AK36,'Mid-Market Segment'!AK36,'Upper Mid-Market Segment'!AK36,'Premium Segment'!AK36)/SUM('Value Segment'!AK$82,'Mid-Market Segment'!AK$82,'Upper Mid-Market Segment'!AK$82,'Premium Segment'!AK$82)</f>
        <v>332.4215875378224</v>
      </c>
      <c r="AL101" s="661">
        <f>SUM('Value Segment'!AL36,'Mid-Market Segment'!AL36,'Upper Mid-Market Segment'!AL36,'Premium Segment'!AL36)/SUM('Value Segment'!AL$82,'Mid-Market Segment'!AL$82,'Upper Mid-Market Segment'!AL$82,'Premium Segment'!AL$82)</f>
        <v>332.4215875378224</v>
      </c>
      <c r="AM101" s="661">
        <f>SUM('Value Segment'!AM36,'Mid-Market Segment'!AM36,'Upper Mid-Market Segment'!AM36,'Premium Segment'!AM36)/SUM('Value Segment'!AM$82,'Mid-Market Segment'!AM$82,'Upper Mid-Market Segment'!AM$82,'Premium Segment'!AM$82)</f>
        <v>332.4215875378224</v>
      </c>
      <c r="AN101" s="661">
        <f>SUM('Value Segment'!AN36,'Mid-Market Segment'!AN36,'Upper Mid-Market Segment'!AN36,'Premium Segment'!AN36)/SUM('Value Segment'!AN$82,'Mid-Market Segment'!AN$82,'Upper Mid-Market Segment'!AN$82,'Premium Segment'!AN$82)</f>
        <v>332.4215875378224</v>
      </c>
      <c r="AO101" s="661">
        <f>SUM('Value Segment'!AO36,'Mid-Market Segment'!AO36,'Upper Mid-Market Segment'!AO36,'Premium Segment'!AO36)/SUM('Value Segment'!AO$82,'Mid-Market Segment'!AO$82,'Upper Mid-Market Segment'!AO$82,'Premium Segment'!AO$82)</f>
        <v>332.4215875378224</v>
      </c>
      <c r="AP101" s="661">
        <f>SUM('Value Segment'!AP36,'Mid-Market Segment'!AP36,'Upper Mid-Market Segment'!AP36,'Premium Segment'!AP36)/SUM('Value Segment'!AP$82,'Mid-Market Segment'!AP$82,'Upper Mid-Market Segment'!AP$82,'Premium Segment'!AP$82)</f>
        <v>328.7711296248101</v>
      </c>
      <c r="AQ101" s="661">
        <f>SUM('Value Segment'!AQ36,'Mid-Market Segment'!AQ36,'Upper Mid-Market Segment'!AQ36,'Premium Segment'!AQ36)/SUM('Value Segment'!AQ$82,'Mid-Market Segment'!AQ$82,'Upper Mid-Market Segment'!AQ$82,'Premium Segment'!AQ$82)</f>
        <v>328.7711296248101</v>
      </c>
      <c r="AR101" s="661">
        <f>SUM('Value Segment'!AR36,'Mid-Market Segment'!AR36,'Upper Mid-Market Segment'!AR36,'Premium Segment'!AR36)/SUM('Value Segment'!AR$82,'Mid-Market Segment'!AR$82,'Upper Mid-Market Segment'!AR$82,'Premium Segment'!AR$82)</f>
        <v>328.7711296248101</v>
      </c>
      <c r="AS101" s="661">
        <f>SUM('Value Segment'!AS36,'Mid-Market Segment'!AS36,'Upper Mid-Market Segment'!AS36,'Premium Segment'!AS36)/SUM('Value Segment'!AS$82,'Mid-Market Segment'!AS$82,'Upper Mid-Market Segment'!AS$82,'Premium Segment'!AS$82)</f>
        <v>328.7711296248101</v>
      </c>
      <c r="AT101" s="661">
        <f>SUM('Value Segment'!AT36,'Mid-Market Segment'!AT36,'Upper Mid-Market Segment'!AT36,'Premium Segment'!AT36)/SUM('Value Segment'!AT$82,'Mid-Market Segment'!AT$82,'Upper Mid-Market Segment'!AT$82,'Premium Segment'!AT$82)</f>
        <v>328.7711296248101</v>
      </c>
      <c r="AU101" s="661">
        <f>SUM('Value Segment'!AU36,'Mid-Market Segment'!AU36,'Upper Mid-Market Segment'!AU36,'Premium Segment'!AU36)/SUM('Value Segment'!AU$82,'Mid-Market Segment'!AU$82,'Upper Mid-Market Segment'!AU$82,'Premium Segment'!AU$82)</f>
        <v>328.7711296248101</v>
      </c>
      <c r="AV101" s="661">
        <f>SUM('Value Segment'!AV36,'Mid-Market Segment'!AV36,'Upper Mid-Market Segment'!AV36,'Premium Segment'!AV36)/SUM('Value Segment'!AV$82,'Mid-Market Segment'!AV$82,'Upper Mid-Market Segment'!AV$82,'Premium Segment'!AV$82)</f>
        <v>339.61048212197574</v>
      </c>
      <c r="AW101" s="661">
        <f>SUM('Value Segment'!AW36,'Mid-Market Segment'!AW36,'Upper Mid-Market Segment'!AW36,'Premium Segment'!AW36)/SUM('Value Segment'!AW$82,'Mid-Market Segment'!AW$82,'Upper Mid-Market Segment'!AW$82,'Premium Segment'!AW$82)</f>
        <v>339.61048212197574</v>
      </c>
      <c r="AX101" s="661">
        <f>SUM('Value Segment'!AX36,'Mid-Market Segment'!AX36,'Upper Mid-Market Segment'!AX36,'Premium Segment'!AX36)/SUM('Value Segment'!AX$82,'Mid-Market Segment'!AX$82,'Upper Mid-Market Segment'!AX$82,'Premium Segment'!AX$82)</f>
        <v>339.61048212197574</v>
      </c>
      <c r="AY101" s="661">
        <f>SUM('Value Segment'!AY36,'Mid-Market Segment'!AY36,'Upper Mid-Market Segment'!AY36,'Premium Segment'!AY36)/SUM('Value Segment'!AY$82,'Mid-Market Segment'!AY$82,'Upper Mid-Market Segment'!AY$82,'Premium Segment'!AY$82)</f>
        <v>339.61048212197574</v>
      </c>
      <c r="AZ101" s="661">
        <f>SUM('Value Segment'!AZ36,'Mid-Market Segment'!AZ36,'Upper Mid-Market Segment'!AZ36,'Premium Segment'!AZ36)/SUM('Value Segment'!AZ$82,'Mid-Market Segment'!AZ$82,'Upper Mid-Market Segment'!AZ$82,'Premium Segment'!AZ$82)</f>
        <v>339.61048212197574</v>
      </c>
      <c r="BA101" s="661">
        <f>SUM('Value Segment'!BA36,'Mid-Market Segment'!BA36,'Upper Mid-Market Segment'!BA36,'Premium Segment'!BA36)/SUM('Value Segment'!BA$82,'Mid-Market Segment'!BA$82,'Upper Mid-Market Segment'!BA$82,'Premium Segment'!BA$82)</f>
        <v>339.61048212197574</v>
      </c>
      <c r="BB101" s="661">
        <f>SUM('Value Segment'!BB36,'Mid-Market Segment'!BB36,'Upper Mid-Market Segment'!BB36,'Premium Segment'!BB36)/SUM('Value Segment'!BB$82,'Mid-Market Segment'!BB$82,'Upper Mid-Market Segment'!BB$82,'Premium Segment'!BB$82)</f>
        <v>334.57291911772995</v>
      </c>
      <c r="BC101" s="661">
        <f>SUM('Value Segment'!BC36,'Mid-Market Segment'!BC36,'Upper Mid-Market Segment'!BC36,'Premium Segment'!BC36)/SUM('Value Segment'!BC$82,'Mid-Market Segment'!BC$82,'Upper Mid-Market Segment'!BC$82,'Premium Segment'!BC$82)</f>
        <v>334.57291911772995</v>
      </c>
      <c r="BD101" s="661">
        <f>SUM('Value Segment'!BD36,'Mid-Market Segment'!BD36,'Upper Mid-Market Segment'!BD36,'Premium Segment'!BD36)/SUM('Value Segment'!BD$82,'Mid-Market Segment'!BD$82,'Upper Mid-Market Segment'!BD$82,'Premium Segment'!BD$82)</f>
        <v>334.57291911772995</v>
      </c>
      <c r="BE101" s="661">
        <f>SUM('Value Segment'!BE36,'Mid-Market Segment'!BE36,'Upper Mid-Market Segment'!BE36,'Premium Segment'!BE36)/SUM('Value Segment'!BE$82,'Mid-Market Segment'!BE$82,'Upper Mid-Market Segment'!BE$82,'Premium Segment'!BE$82)</f>
        <v>334.57291911772995</v>
      </c>
      <c r="BF101" s="661">
        <f>SUM('Value Segment'!BF36,'Mid-Market Segment'!BF36,'Upper Mid-Market Segment'!BF36,'Premium Segment'!BF36)/SUM('Value Segment'!BF$82,'Mid-Market Segment'!BF$82,'Upper Mid-Market Segment'!BF$82,'Premium Segment'!BF$82)</f>
        <v>334.57291911772995</v>
      </c>
      <c r="BG101" s="661">
        <f>SUM('Value Segment'!BG36,'Mid-Market Segment'!BG36,'Upper Mid-Market Segment'!BG36,'Premium Segment'!BG36)/SUM('Value Segment'!BG$82,'Mid-Market Segment'!BG$82,'Upper Mid-Market Segment'!BG$82,'Premium Segment'!BG$82)</f>
        <v>334.57291911772995</v>
      </c>
      <c r="BH101" s="661">
        <f>SUM('Value Segment'!BH36,'Mid-Market Segment'!BH36,'Upper Mid-Market Segment'!BH36,'Premium Segment'!BH36)/SUM('Value Segment'!BH$82,'Mid-Market Segment'!BH$82,'Upper Mid-Market Segment'!BH$82,'Premium Segment'!BH$82)</f>
        <v>347.05017870449518</v>
      </c>
      <c r="BI101" s="661">
        <f>SUM('Value Segment'!BI36,'Mid-Market Segment'!BI36,'Upper Mid-Market Segment'!BI36,'Premium Segment'!BI36)/SUM('Value Segment'!BI$82,'Mid-Market Segment'!BI$82,'Upper Mid-Market Segment'!BI$82,'Premium Segment'!BI$82)</f>
        <v>347.05017870449518</v>
      </c>
      <c r="BJ101" s="661">
        <f>SUM('Value Segment'!BJ36,'Mid-Market Segment'!BJ36,'Upper Mid-Market Segment'!BJ36,'Premium Segment'!BJ36)/SUM('Value Segment'!BJ$82,'Mid-Market Segment'!BJ$82,'Upper Mid-Market Segment'!BJ$82,'Premium Segment'!BJ$82)</f>
        <v>347.05017870449518</v>
      </c>
      <c r="BK101" s="661">
        <f>SUM('Value Segment'!BK36,'Mid-Market Segment'!BK36,'Upper Mid-Market Segment'!BK36,'Premium Segment'!BK36)/SUM('Value Segment'!BK$82,'Mid-Market Segment'!BK$82,'Upper Mid-Market Segment'!BK$82,'Premium Segment'!BK$82)</f>
        <v>347.05017870449518</v>
      </c>
      <c r="BL101" s="661">
        <f>SUM('Value Segment'!BL36,'Mid-Market Segment'!BL36,'Upper Mid-Market Segment'!BL36,'Premium Segment'!BL36)/SUM('Value Segment'!BL$82,'Mid-Market Segment'!BL$82,'Upper Mid-Market Segment'!BL$82,'Premium Segment'!BL$82)</f>
        <v>347.05017870449518</v>
      </c>
      <c r="BM101" s="661">
        <f>SUM('Value Segment'!BM36,'Mid-Market Segment'!BM36,'Upper Mid-Market Segment'!BM36,'Premium Segment'!BM36)/SUM('Value Segment'!BM$82,'Mid-Market Segment'!BM$82,'Upper Mid-Market Segment'!BM$82,'Premium Segment'!BM$82)</f>
        <v>347.05017870449518</v>
      </c>
      <c r="BN101" s="661">
        <f>SUM('Value Segment'!BN36,'Mid-Market Segment'!BN36,'Upper Mid-Market Segment'!BN36,'Premium Segment'!BN36)/SUM('Value Segment'!BN$82,'Mid-Market Segment'!BN$82,'Upper Mid-Market Segment'!BN$82,'Premium Segment'!BN$82)</f>
        <v>340.53056061884195</v>
      </c>
      <c r="BO101" s="661">
        <f>SUM('Value Segment'!BO36,'Mid-Market Segment'!BO36,'Upper Mid-Market Segment'!BO36,'Premium Segment'!BO36)/SUM('Value Segment'!BO$82,'Mid-Market Segment'!BO$82,'Upper Mid-Market Segment'!BO$82,'Premium Segment'!BO$82)</f>
        <v>340.53056061884195</v>
      </c>
      <c r="BP101" s="661">
        <f>SUM('Value Segment'!BP36,'Mid-Market Segment'!BP36,'Upper Mid-Market Segment'!BP36,'Premium Segment'!BP36)/SUM('Value Segment'!BP$82,'Mid-Market Segment'!BP$82,'Upper Mid-Market Segment'!BP$82,'Premium Segment'!BP$82)</f>
        <v>340.53056061884195</v>
      </c>
      <c r="BQ101" s="661">
        <f>SUM('Value Segment'!BQ36,'Mid-Market Segment'!BQ36,'Upper Mid-Market Segment'!BQ36,'Premium Segment'!BQ36)/SUM('Value Segment'!BQ$82,'Mid-Market Segment'!BQ$82,'Upper Mid-Market Segment'!BQ$82,'Premium Segment'!BQ$82)</f>
        <v>340.53056061884195</v>
      </c>
      <c r="BR101" s="661">
        <f>SUM('Value Segment'!BR36,'Mid-Market Segment'!BR36,'Upper Mid-Market Segment'!BR36,'Premium Segment'!BR36)/SUM('Value Segment'!BR$82,'Mid-Market Segment'!BR$82,'Upper Mid-Market Segment'!BR$82,'Premium Segment'!BR$82)</f>
        <v>340.53056061884195</v>
      </c>
      <c r="BS101" s="661">
        <f>SUM('Value Segment'!BS36,'Mid-Market Segment'!BS36,'Upper Mid-Market Segment'!BS36,'Premium Segment'!BS36)/SUM('Value Segment'!BS$82,'Mid-Market Segment'!BS$82,'Upper Mid-Market Segment'!BS$82,'Premium Segment'!BS$82)</f>
        <v>340.53056061884195</v>
      </c>
      <c r="BT101" s="661">
        <f>SUM('Value Segment'!BT36,'Mid-Market Segment'!BT36,'Upper Mid-Market Segment'!BT36,'Premium Segment'!BT36)/SUM('Value Segment'!BT$82,'Mid-Market Segment'!BT$82,'Upper Mid-Market Segment'!BT$82,'Premium Segment'!BT$82)</f>
        <v>354.61466471602205</v>
      </c>
      <c r="BU101" s="661">
        <f>SUM('Value Segment'!BU36,'Mid-Market Segment'!BU36,'Upper Mid-Market Segment'!BU36,'Premium Segment'!BU36)/SUM('Value Segment'!BU$82,'Mid-Market Segment'!BU$82,'Upper Mid-Market Segment'!BU$82,'Premium Segment'!BU$82)</f>
        <v>354.61466471602205</v>
      </c>
      <c r="BV101" s="661">
        <f>SUM('Value Segment'!BV36,'Mid-Market Segment'!BV36,'Upper Mid-Market Segment'!BV36,'Premium Segment'!BV36)/SUM('Value Segment'!BV$82,'Mid-Market Segment'!BV$82,'Upper Mid-Market Segment'!BV$82,'Premium Segment'!BV$82)</f>
        <v>354.61466471602205</v>
      </c>
      <c r="BW101" s="661">
        <f>SUM('Value Segment'!BW36,'Mid-Market Segment'!BW36,'Upper Mid-Market Segment'!BW36,'Premium Segment'!BW36)/SUM('Value Segment'!BW$82,'Mid-Market Segment'!BW$82,'Upper Mid-Market Segment'!BW$82,'Premium Segment'!BW$82)</f>
        <v>354.61466471602205</v>
      </c>
      <c r="BX101" s="661">
        <f>SUM('Value Segment'!BX36,'Mid-Market Segment'!BX36,'Upper Mid-Market Segment'!BX36,'Premium Segment'!BX36)/SUM('Value Segment'!BX$82,'Mid-Market Segment'!BX$82,'Upper Mid-Market Segment'!BX$82,'Premium Segment'!BX$82)</f>
        <v>354.61466471602205</v>
      </c>
      <c r="BY101" s="661">
        <f>SUM('Value Segment'!BY36,'Mid-Market Segment'!BY36,'Upper Mid-Market Segment'!BY36,'Premium Segment'!BY36)/SUM('Value Segment'!BY$82,'Mid-Market Segment'!BY$82,'Upper Mid-Market Segment'!BY$82,'Premium Segment'!BY$82)</f>
        <v>354.61466471602205</v>
      </c>
      <c r="CB101" s="8"/>
    </row>
    <row r="102" spans="3:80" x14ac:dyDescent="0.3">
      <c r="C102" s="2"/>
      <c r="D102" s="2"/>
      <c r="E102" s="2" t="s">
        <v>176</v>
      </c>
      <c r="F102" s="58"/>
      <c r="G102" s="58"/>
      <c r="H102" s="58"/>
      <c r="I102" s="499">
        <f t="shared" ref="I102:N102" si="107">IFERROR(I101/I96,0)</f>
        <v>0.38119215800886086</v>
      </c>
      <c r="J102" s="499">
        <f t="shared" si="107"/>
        <v>0.38119134165558871</v>
      </c>
      <c r="K102" s="499">
        <f t="shared" si="107"/>
        <v>0.3811879200649127</v>
      </c>
      <c r="L102" s="499">
        <f t="shared" si="107"/>
        <v>0.38118476962817405</v>
      </c>
      <c r="M102" s="499">
        <f t="shared" si="107"/>
        <v>0.38118277463590394</v>
      </c>
      <c r="N102" s="499">
        <f t="shared" si="107"/>
        <v>0.38118183215910345</v>
      </c>
      <c r="O102" s="23"/>
      <c r="P102" s="50">
        <f t="shared" si="106"/>
        <v>-5.4177198697269446E-6</v>
      </c>
      <c r="R102" s="499">
        <f t="shared" ref="R102:BY102" si="108">IFERROR(R101/R96,0)</f>
        <v>0.38119215800886114</v>
      </c>
      <c r="S102" s="531">
        <f t="shared" si="108"/>
        <v>0.38119215800886114</v>
      </c>
      <c r="T102" s="531">
        <f t="shared" si="108"/>
        <v>0.38119215800886114</v>
      </c>
      <c r="U102" s="531">
        <f t="shared" si="108"/>
        <v>0.38119215800886114</v>
      </c>
      <c r="V102" s="531">
        <f t="shared" si="108"/>
        <v>0.38119215800886114</v>
      </c>
      <c r="W102" s="531">
        <f t="shared" si="108"/>
        <v>0.38119215800886114</v>
      </c>
      <c r="X102" s="531">
        <f t="shared" si="108"/>
        <v>0.38119054417002751</v>
      </c>
      <c r="Y102" s="531">
        <f t="shared" si="108"/>
        <v>0.38119054417002751</v>
      </c>
      <c r="Z102" s="531">
        <f t="shared" si="108"/>
        <v>0.38119054417002751</v>
      </c>
      <c r="AA102" s="531">
        <f t="shared" si="108"/>
        <v>0.38119054417002751</v>
      </c>
      <c r="AB102" s="531">
        <f t="shared" si="108"/>
        <v>0.38119054417002751</v>
      </c>
      <c r="AC102" s="531">
        <f t="shared" si="108"/>
        <v>0.38119054417002751</v>
      </c>
      <c r="AD102" s="531">
        <f t="shared" si="108"/>
        <v>0.38118703079152572</v>
      </c>
      <c r="AE102" s="531">
        <f t="shared" si="108"/>
        <v>0.38118703079152572</v>
      </c>
      <c r="AF102" s="531">
        <f t="shared" si="108"/>
        <v>0.38118703079152572</v>
      </c>
      <c r="AG102" s="531">
        <f t="shared" si="108"/>
        <v>0.38118703079152572</v>
      </c>
      <c r="AH102" s="531">
        <f t="shared" si="108"/>
        <v>0.38118703079152572</v>
      </c>
      <c r="AI102" s="531">
        <f t="shared" si="108"/>
        <v>0.38118703079152572</v>
      </c>
      <c r="AJ102" s="531">
        <f t="shared" si="108"/>
        <v>0.38118878476202245</v>
      </c>
      <c r="AK102" s="531">
        <f t="shared" si="108"/>
        <v>0.38118878476202245</v>
      </c>
      <c r="AL102" s="531">
        <f t="shared" si="108"/>
        <v>0.38118878476202245</v>
      </c>
      <c r="AM102" s="531">
        <f t="shared" si="108"/>
        <v>0.38118878476202245</v>
      </c>
      <c r="AN102" s="531">
        <f t="shared" si="108"/>
        <v>0.38118878476202245</v>
      </c>
      <c r="AO102" s="531">
        <f t="shared" si="108"/>
        <v>0.38118878476202245</v>
      </c>
      <c r="AP102" s="531">
        <f t="shared" si="108"/>
        <v>0.38118222592730183</v>
      </c>
      <c r="AQ102" s="531">
        <f t="shared" si="108"/>
        <v>0.38118222592730183</v>
      </c>
      <c r="AR102" s="531">
        <f t="shared" si="108"/>
        <v>0.38118222592730183</v>
      </c>
      <c r="AS102" s="531">
        <f t="shared" si="108"/>
        <v>0.38118222592730183</v>
      </c>
      <c r="AT102" s="531">
        <f t="shared" si="108"/>
        <v>0.38118222592730183</v>
      </c>
      <c r="AU102" s="531">
        <f t="shared" si="108"/>
        <v>0.38118222592730183</v>
      </c>
      <c r="AV102" s="531">
        <f t="shared" si="108"/>
        <v>0.38118723217405154</v>
      </c>
      <c r="AW102" s="531">
        <f t="shared" si="108"/>
        <v>0.38118723217405154</v>
      </c>
      <c r="AX102" s="531">
        <f t="shared" si="108"/>
        <v>0.38118723217405154</v>
      </c>
      <c r="AY102" s="531">
        <f t="shared" si="108"/>
        <v>0.38118723217405154</v>
      </c>
      <c r="AZ102" s="531">
        <f t="shared" si="108"/>
        <v>0.38118723217405154</v>
      </c>
      <c r="BA102" s="531">
        <f t="shared" si="108"/>
        <v>0.38118723217405154</v>
      </c>
      <c r="BB102" s="531">
        <f t="shared" si="108"/>
        <v>0.3811786407866386</v>
      </c>
      <c r="BC102" s="531">
        <f t="shared" si="108"/>
        <v>0.3811786407866386</v>
      </c>
      <c r="BD102" s="531">
        <f t="shared" si="108"/>
        <v>0.3811786407866386</v>
      </c>
      <c r="BE102" s="531">
        <f t="shared" si="108"/>
        <v>0.3811786407866386</v>
      </c>
      <c r="BF102" s="531">
        <f t="shared" si="108"/>
        <v>0.3811786407866386</v>
      </c>
      <c r="BG102" s="531">
        <f t="shared" si="108"/>
        <v>0.3811786407866386</v>
      </c>
      <c r="BH102" s="531">
        <f t="shared" si="108"/>
        <v>0.3811867599485777</v>
      </c>
      <c r="BI102" s="531">
        <f t="shared" si="108"/>
        <v>0.3811867599485777</v>
      </c>
      <c r="BJ102" s="531">
        <f t="shared" si="108"/>
        <v>0.3811867599485777</v>
      </c>
      <c r="BK102" s="531">
        <f t="shared" si="108"/>
        <v>0.3811867599485777</v>
      </c>
      <c r="BL102" s="531">
        <f t="shared" si="108"/>
        <v>0.3811867599485777</v>
      </c>
      <c r="BM102" s="531">
        <f t="shared" si="108"/>
        <v>0.3811867599485777</v>
      </c>
      <c r="BN102" s="531">
        <f t="shared" si="108"/>
        <v>0.38117618525266828</v>
      </c>
      <c r="BO102" s="531">
        <f t="shared" si="108"/>
        <v>0.38117618525266828</v>
      </c>
      <c r="BP102" s="531">
        <f t="shared" si="108"/>
        <v>0.38117618525266828</v>
      </c>
      <c r="BQ102" s="531">
        <f t="shared" si="108"/>
        <v>0.38117618525266828</v>
      </c>
      <c r="BR102" s="531">
        <f t="shared" si="108"/>
        <v>0.38117618525266828</v>
      </c>
      <c r="BS102" s="531">
        <f t="shared" si="108"/>
        <v>0.38117618525266828</v>
      </c>
      <c r="BT102" s="531">
        <f t="shared" si="108"/>
        <v>0.38118725494684896</v>
      </c>
      <c r="BU102" s="531">
        <f t="shared" si="108"/>
        <v>0.38118725494684896</v>
      </c>
      <c r="BV102" s="531">
        <f t="shared" si="108"/>
        <v>0.38118725494684896</v>
      </c>
      <c r="BW102" s="531">
        <f t="shared" si="108"/>
        <v>0.38118725494684896</v>
      </c>
      <c r="BX102" s="531">
        <f t="shared" si="108"/>
        <v>0.38118725494684896</v>
      </c>
      <c r="BY102" s="531">
        <f t="shared" si="108"/>
        <v>0.38118725494684896</v>
      </c>
    </row>
    <row r="103" spans="3:80" x14ac:dyDescent="0.3">
      <c r="C103" s="2"/>
      <c r="D103" s="2"/>
      <c r="E103" s="2"/>
      <c r="F103" s="59"/>
      <c r="G103" s="59"/>
      <c r="H103" s="59"/>
      <c r="I103" s="60"/>
      <c r="J103" s="60"/>
      <c r="K103" s="60"/>
      <c r="L103" s="60"/>
      <c r="M103" s="60"/>
      <c r="N103" s="60"/>
      <c r="O103" s="60"/>
      <c r="P103" s="61"/>
      <c r="R103" s="60"/>
      <c r="S103" s="60"/>
      <c r="T103" s="60"/>
      <c r="U103" s="60"/>
      <c r="V103" s="60"/>
      <c r="W103" s="60"/>
      <c r="X103" s="60"/>
      <c r="Y103" s="60"/>
      <c r="Z103" s="60"/>
      <c r="AA103" s="60"/>
      <c r="AB103" s="60"/>
      <c r="AC103" s="60"/>
      <c r="AD103" s="60"/>
      <c r="AE103" s="60"/>
      <c r="AF103" s="60"/>
      <c r="AG103" s="60"/>
      <c r="AH103" s="60"/>
      <c r="AI103" s="60"/>
      <c r="AJ103" s="60"/>
      <c r="AK103" s="60"/>
      <c r="AL103" s="60"/>
      <c r="AM103" s="60"/>
      <c r="AN103" s="60"/>
      <c r="AO103" s="60"/>
      <c r="AP103" s="60"/>
      <c r="AQ103" s="60"/>
      <c r="AR103" s="60"/>
      <c r="AS103" s="60"/>
      <c r="AT103" s="60"/>
      <c r="AU103" s="60"/>
      <c r="AV103" s="60"/>
      <c r="AW103" s="60"/>
      <c r="AX103" s="60"/>
      <c r="AY103" s="60"/>
      <c r="AZ103" s="60"/>
      <c r="BA103" s="60"/>
      <c r="BB103" s="60"/>
      <c r="BC103" s="60"/>
      <c r="BD103" s="60"/>
      <c r="BE103" s="60"/>
      <c r="BF103" s="60"/>
      <c r="BG103" s="60"/>
      <c r="BH103" s="60"/>
      <c r="BI103" s="60"/>
      <c r="BJ103" s="60"/>
      <c r="BK103" s="60"/>
      <c r="BL103" s="60"/>
      <c r="BM103" s="60"/>
      <c r="BN103" s="60"/>
      <c r="BO103" s="60"/>
      <c r="BP103" s="60"/>
      <c r="BQ103" s="60"/>
      <c r="BR103" s="60"/>
      <c r="BS103" s="60"/>
      <c r="BT103" s="60"/>
      <c r="BU103" s="60"/>
      <c r="BV103" s="60"/>
      <c r="BW103" s="60"/>
      <c r="BX103" s="60"/>
      <c r="BY103" s="60"/>
    </row>
    <row r="104" spans="3:80" x14ac:dyDescent="0.3">
      <c r="C104" s="2"/>
      <c r="D104" s="2"/>
      <c r="E104" s="62" t="s">
        <v>24</v>
      </c>
      <c r="F104" s="63"/>
      <c r="G104" s="63"/>
      <c r="H104" s="63"/>
      <c r="I104" s="671">
        <f>SUM('Value Segment'!I39,'Mid-Market Segment'!I39,'Upper Mid-Market Segment'!I39,'Premium Segment'!I39)/SUM('Value Segment'!I$82,'Mid-Market Segment'!I$82,'Upper Mid-Market Segment'!I$82,'Premium Segment'!I$82)</f>
        <v>54430.625602558357</v>
      </c>
      <c r="J104" s="671">
        <f>SUM('Value Segment'!J39,'Mid-Market Segment'!J39,'Upper Mid-Market Segment'!J39,'Premium Segment'!J39)/SUM('Value Segment'!J$82,'Mid-Market Segment'!J$82,'Upper Mid-Market Segment'!J$82,'Premium Segment'!J$82)</f>
        <v>58018.42077958482</v>
      </c>
      <c r="K104" s="671">
        <f>SUM('Value Segment'!K39,'Mid-Market Segment'!K39,'Upper Mid-Market Segment'!K39,'Premium Segment'!K39)/SUM('Value Segment'!K$82,'Mid-Market Segment'!K$82,'Upper Mid-Market Segment'!K$82,'Premium Segment'!K$82)</f>
        <v>62204.640270430522</v>
      </c>
      <c r="L104" s="671">
        <f>SUM('Value Segment'!L39,'Mid-Market Segment'!L39,'Upper Mid-Market Segment'!L39,'Premium Segment'!L39)/SUM('Value Segment'!L$82,'Mid-Market Segment'!L$82,'Upper Mid-Market Segment'!L$82,'Premium Segment'!L$82)</f>
        <v>66493.170389362451</v>
      </c>
      <c r="M104" s="671">
        <f>SUM('Value Segment'!M39,'Mid-Market Segment'!M39,'Upper Mid-Market Segment'!M39,'Premium Segment'!M39)/SUM('Value Segment'!M$82,'Mid-Market Segment'!M$82,'Upper Mid-Market Segment'!M$82,'Premium Segment'!M$82)</f>
        <v>70923.618268473729</v>
      </c>
      <c r="N104" s="671">
        <f>SUM('Value Segment'!N39,'Mid-Market Segment'!N39,'Upper Mid-Market Segment'!N39,'Premium Segment'!N39)/SUM('Value Segment'!N$82,'Mid-Market Segment'!N$82,'Upper Mid-Market Segment'!N$82,'Premium Segment'!N$82)</f>
        <v>75624.876191736199</v>
      </c>
      <c r="O104" s="57"/>
      <c r="P104" s="55">
        <f>IFERROR(((N104/I104)^(1/5))-1,0)</f>
        <v>6.7982828927368288E-2</v>
      </c>
      <c r="R104" s="671">
        <f>SUM('Value Segment'!R39,'Mid-Market Segment'!R39,'Upper Mid-Market Segment'!R39,'Premium Segment'!R39)/SUM('Value Segment'!R$82,'Mid-Market Segment'!R$82,'Upper Mid-Market Segment'!R$82,'Premium Segment'!R$82)</f>
        <v>4778.0441534958381</v>
      </c>
      <c r="S104" s="674">
        <f>SUM('Value Segment'!S39,'Mid-Market Segment'!S39,'Upper Mid-Market Segment'!S39,'Premium Segment'!S39)/SUM('Value Segment'!S$82,'Mid-Market Segment'!S$82,'Upper Mid-Market Segment'!S$82,'Premium Segment'!S$82)</f>
        <v>4778.0441534958381</v>
      </c>
      <c r="T104" s="674">
        <f>SUM('Value Segment'!T39,'Mid-Market Segment'!T39,'Upper Mid-Market Segment'!T39,'Premium Segment'!T39)/SUM('Value Segment'!T$82,'Mid-Market Segment'!T$82,'Upper Mid-Market Segment'!T$82,'Premium Segment'!T$82)</f>
        <v>4778.0441534958381</v>
      </c>
      <c r="U104" s="674">
        <f>SUM('Value Segment'!U39,'Mid-Market Segment'!U39,'Upper Mid-Market Segment'!U39,'Premium Segment'!U39)/SUM('Value Segment'!U$82,'Mid-Market Segment'!U$82,'Upper Mid-Market Segment'!U$82,'Premium Segment'!U$82)</f>
        <v>4778.0441534958381</v>
      </c>
      <c r="V104" s="674">
        <f>SUM('Value Segment'!V39,'Mid-Market Segment'!V39,'Upper Mid-Market Segment'!V39,'Premium Segment'!V39)/SUM('Value Segment'!V$82,'Mid-Market Segment'!V$82,'Upper Mid-Market Segment'!V$82,'Premium Segment'!V$82)</f>
        <v>4778.0441534958381</v>
      </c>
      <c r="W104" s="674">
        <f>SUM('Value Segment'!W39,'Mid-Market Segment'!W39,'Upper Mid-Market Segment'!W39,'Premium Segment'!W39)/SUM('Value Segment'!W$82,'Mid-Market Segment'!W$82,'Upper Mid-Market Segment'!W$82,'Premium Segment'!W$82)</f>
        <v>4778.0441534958381</v>
      </c>
      <c r="X104" s="674">
        <f>SUM('Value Segment'!X39,'Mid-Market Segment'!X39,'Upper Mid-Market Segment'!X39,'Premium Segment'!X39)/SUM('Value Segment'!X$82,'Mid-Market Segment'!X$82,'Upper Mid-Market Segment'!X$82,'Premium Segment'!X$82)</f>
        <v>4891.6926431016336</v>
      </c>
      <c r="Y104" s="674">
        <f>SUM('Value Segment'!Y39,'Mid-Market Segment'!Y39,'Upper Mid-Market Segment'!Y39,'Premium Segment'!Y39)/SUM('Value Segment'!Y$82,'Mid-Market Segment'!Y$82,'Upper Mid-Market Segment'!Y$82,'Premium Segment'!Y$82)</f>
        <v>4891.6926431016336</v>
      </c>
      <c r="Z104" s="674">
        <f>SUM('Value Segment'!Z39,'Mid-Market Segment'!Z39,'Upper Mid-Market Segment'!Z39,'Premium Segment'!Z39)/SUM('Value Segment'!Z$82,'Mid-Market Segment'!Z$82,'Upper Mid-Market Segment'!Z$82,'Premium Segment'!Z$82)</f>
        <v>4891.6926431016336</v>
      </c>
      <c r="AA104" s="674">
        <f>SUM('Value Segment'!AA39,'Mid-Market Segment'!AA39,'Upper Mid-Market Segment'!AA39,'Premium Segment'!AA39)/SUM('Value Segment'!AA$82,'Mid-Market Segment'!AA$82,'Upper Mid-Market Segment'!AA$82,'Premium Segment'!AA$82)</f>
        <v>4891.6926431016336</v>
      </c>
      <c r="AB104" s="674">
        <f>SUM('Value Segment'!AB39,'Mid-Market Segment'!AB39,'Upper Mid-Market Segment'!AB39,'Premium Segment'!AB39)/SUM('Value Segment'!AB$82,'Mid-Market Segment'!AB$82,'Upper Mid-Market Segment'!AB$82,'Premium Segment'!AB$82)</f>
        <v>4891.6926431016336</v>
      </c>
      <c r="AC104" s="674">
        <f>SUM('Value Segment'!AC39,'Mid-Market Segment'!AC39,'Upper Mid-Market Segment'!AC39,'Premium Segment'!AC39)/SUM('Value Segment'!AC$82,'Mid-Market Segment'!AC$82,'Upper Mid-Market Segment'!AC$82,'Premium Segment'!AC$82)</f>
        <v>4891.6926431016336</v>
      </c>
      <c r="AD104" s="674">
        <f>SUM('Value Segment'!AD39,'Mid-Market Segment'!AD39,'Upper Mid-Market Segment'!AD39,'Premium Segment'!AD39)/SUM('Value Segment'!AD$82,'Mid-Market Segment'!AD$82,'Upper Mid-Market Segment'!AD$82,'Premium Segment'!AD$82)</f>
        <v>5110.6440347566731</v>
      </c>
      <c r="AE104" s="674">
        <f>SUM('Value Segment'!AE39,'Mid-Market Segment'!AE39,'Upper Mid-Market Segment'!AE39,'Premium Segment'!AE39)/SUM('Value Segment'!AE$82,'Mid-Market Segment'!AE$82,'Upper Mid-Market Segment'!AE$82,'Premium Segment'!AE$82)</f>
        <v>5110.6440347566731</v>
      </c>
      <c r="AF104" s="674">
        <f>SUM('Value Segment'!AF39,'Mid-Market Segment'!AF39,'Upper Mid-Market Segment'!AF39,'Premium Segment'!AF39)/SUM('Value Segment'!AF$82,'Mid-Market Segment'!AF$82,'Upper Mid-Market Segment'!AF$82,'Premium Segment'!AF$82)</f>
        <v>5110.6440347566731</v>
      </c>
      <c r="AG104" s="674">
        <f>SUM('Value Segment'!AG39,'Mid-Market Segment'!AG39,'Upper Mid-Market Segment'!AG39,'Premium Segment'!AG39)/SUM('Value Segment'!AG$82,'Mid-Market Segment'!AG$82,'Upper Mid-Market Segment'!AG$82,'Premium Segment'!AG$82)</f>
        <v>5110.6440347566731</v>
      </c>
      <c r="AH104" s="674">
        <f>SUM('Value Segment'!AH39,'Mid-Market Segment'!AH39,'Upper Mid-Market Segment'!AH39,'Premium Segment'!AH39)/SUM('Value Segment'!AH$82,'Mid-Market Segment'!AH$82,'Upper Mid-Market Segment'!AH$82,'Premium Segment'!AH$82)</f>
        <v>5110.6440347566731</v>
      </c>
      <c r="AI104" s="674">
        <f>SUM('Value Segment'!AI39,'Mid-Market Segment'!AI39,'Upper Mid-Market Segment'!AI39,'Premium Segment'!AI39)/SUM('Value Segment'!AI$82,'Mid-Market Segment'!AI$82,'Upper Mid-Market Segment'!AI$82,'Premium Segment'!AI$82)</f>
        <v>5110.6440347566731</v>
      </c>
      <c r="AJ104" s="674">
        <f>SUM('Value Segment'!AJ39,'Mid-Market Segment'!AJ39,'Upper Mid-Market Segment'!AJ39,'Premium Segment'!AJ39)/SUM('Value Segment'!AJ$82,'Mid-Market Segment'!AJ$82,'Upper Mid-Market Segment'!AJ$82,'Premium Segment'!AJ$82)</f>
        <v>5256.7960103150799</v>
      </c>
      <c r="AK104" s="674">
        <f>SUM('Value Segment'!AK39,'Mid-Market Segment'!AK39,'Upper Mid-Market Segment'!AK39,'Premium Segment'!AK39)/SUM('Value Segment'!AK$82,'Mid-Market Segment'!AK$82,'Upper Mid-Market Segment'!AK$82,'Premium Segment'!AK$82)</f>
        <v>5256.7960103150799</v>
      </c>
      <c r="AL104" s="674">
        <f>SUM('Value Segment'!AL39,'Mid-Market Segment'!AL39,'Upper Mid-Market Segment'!AL39,'Premium Segment'!AL39)/SUM('Value Segment'!AL$82,'Mid-Market Segment'!AL$82,'Upper Mid-Market Segment'!AL$82,'Premium Segment'!AL$82)</f>
        <v>5256.7960103150799</v>
      </c>
      <c r="AM104" s="674">
        <f>SUM('Value Segment'!AM39,'Mid-Market Segment'!AM39,'Upper Mid-Market Segment'!AM39,'Premium Segment'!AM39)/SUM('Value Segment'!AM$82,'Mid-Market Segment'!AM$82,'Upper Mid-Market Segment'!AM$82,'Premium Segment'!AM$82)</f>
        <v>5256.7960103150799</v>
      </c>
      <c r="AN104" s="674">
        <f>SUM('Value Segment'!AN39,'Mid-Market Segment'!AN39,'Upper Mid-Market Segment'!AN39,'Premium Segment'!AN39)/SUM('Value Segment'!AN$82,'Mid-Market Segment'!AN$82,'Upper Mid-Market Segment'!AN$82,'Premium Segment'!AN$82)</f>
        <v>5256.7960103150799</v>
      </c>
      <c r="AO104" s="674">
        <f>SUM('Value Segment'!AO39,'Mid-Market Segment'!AO39,'Upper Mid-Market Segment'!AO39,'Premium Segment'!AO39)/SUM('Value Segment'!AO$82,'Mid-Market Segment'!AO$82,'Upper Mid-Market Segment'!AO$82,'Premium Segment'!AO$82)</f>
        <v>5256.7960103150799</v>
      </c>
      <c r="AP104" s="674">
        <f>SUM('Value Segment'!AP39,'Mid-Market Segment'!AP39,'Upper Mid-Market Segment'!AP39,'Premium Segment'!AP39)/SUM('Value Segment'!AP$82,'Mid-Market Segment'!AP$82,'Upper Mid-Market Segment'!AP$82,'Premium Segment'!AP$82)</f>
        <v>5450.6785444452462</v>
      </c>
      <c r="AQ104" s="674">
        <f>SUM('Value Segment'!AQ39,'Mid-Market Segment'!AQ39,'Upper Mid-Market Segment'!AQ39,'Premium Segment'!AQ39)/SUM('Value Segment'!AQ$82,'Mid-Market Segment'!AQ$82,'Upper Mid-Market Segment'!AQ$82,'Premium Segment'!AQ$82)</f>
        <v>5450.6785444452462</v>
      </c>
      <c r="AR104" s="674">
        <f>SUM('Value Segment'!AR39,'Mid-Market Segment'!AR39,'Upper Mid-Market Segment'!AR39,'Premium Segment'!AR39)/SUM('Value Segment'!AR$82,'Mid-Market Segment'!AR$82,'Upper Mid-Market Segment'!AR$82,'Premium Segment'!AR$82)</f>
        <v>5450.6785444452462</v>
      </c>
      <c r="AS104" s="674">
        <f>SUM('Value Segment'!AS39,'Mid-Market Segment'!AS39,'Upper Mid-Market Segment'!AS39,'Premium Segment'!AS39)/SUM('Value Segment'!AS$82,'Mid-Market Segment'!AS$82,'Upper Mid-Market Segment'!AS$82,'Premium Segment'!AS$82)</f>
        <v>5450.6785444452462</v>
      </c>
      <c r="AT104" s="674">
        <f>SUM('Value Segment'!AT39,'Mid-Market Segment'!AT39,'Upper Mid-Market Segment'!AT39,'Premium Segment'!AT39)/SUM('Value Segment'!AT$82,'Mid-Market Segment'!AT$82,'Upper Mid-Market Segment'!AT$82,'Premium Segment'!AT$82)</f>
        <v>5450.6785444452462</v>
      </c>
      <c r="AU104" s="674">
        <f>SUM('Value Segment'!AU39,'Mid-Market Segment'!AU39,'Upper Mid-Market Segment'!AU39,'Premium Segment'!AU39)/SUM('Value Segment'!AU$82,'Mid-Market Segment'!AU$82,'Upper Mid-Market Segment'!AU$82,'Premium Segment'!AU$82)</f>
        <v>5450.6785444452462</v>
      </c>
      <c r="AV104" s="674">
        <f>SUM('Value Segment'!AV39,'Mid-Market Segment'!AV39,'Upper Mid-Market Segment'!AV39,'Premium Segment'!AV39)/SUM('Value Segment'!AV$82,'Mid-Market Segment'!AV$82,'Upper Mid-Market Segment'!AV$82,'Premium Segment'!AV$82)</f>
        <v>5631.5165204484938</v>
      </c>
      <c r="AW104" s="674">
        <f>SUM('Value Segment'!AW39,'Mid-Market Segment'!AW39,'Upper Mid-Market Segment'!AW39,'Premium Segment'!AW39)/SUM('Value Segment'!AW$82,'Mid-Market Segment'!AW$82,'Upper Mid-Market Segment'!AW$82,'Premium Segment'!AW$82)</f>
        <v>5631.5165204484938</v>
      </c>
      <c r="AX104" s="674">
        <f>SUM('Value Segment'!AX39,'Mid-Market Segment'!AX39,'Upper Mid-Market Segment'!AX39,'Premium Segment'!AX39)/SUM('Value Segment'!AX$82,'Mid-Market Segment'!AX$82,'Upper Mid-Market Segment'!AX$82,'Premium Segment'!AX$82)</f>
        <v>5631.5165204484938</v>
      </c>
      <c r="AY104" s="674">
        <f>SUM('Value Segment'!AY39,'Mid-Market Segment'!AY39,'Upper Mid-Market Segment'!AY39,'Premium Segment'!AY39)/SUM('Value Segment'!AY$82,'Mid-Market Segment'!AY$82,'Upper Mid-Market Segment'!AY$82,'Premium Segment'!AY$82)</f>
        <v>5631.5165204484938</v>
      </c>
      <c r="AZ104" s="674">
        <f>SUM('Value Segment'!AZ39,'Mid-Market Segment'!AZ39,'Upper Mid-Market Segment'!AZ39,'Premium Segment'!AZ39)/SUM('Value Segment'!AZ$82,'Mid-Market Segment'!AZ$82,'Upper Mid-Market Segment'!AZ$82,'Premium Segment'!AZ$82)</f>
        <v>5631.5165204484938</v>
      </c>
      <c r="BA104" s="674">
        <f>SUM('Value Segment'!BA39,'Mid-Market Segment'!BA39,'Upper Mid-Market Segment'!BA39,'Premium Segment'!BA39)/SUM('Value Segment'!BA$82,'Mid-Market Segment'!BA$82,'Upper Mid-Market Segment'!BA$82,'Premium Segment'!BA$82)</f>
        <v>5631.5165204484938</v>
      </c>
      <c r="BB104" s="674">
        <f>SUM('Value Segment'!BB39,'Mid-Market Segment'!BB39,'Upper Mid-Market Segment'!BB39,'Premium Segment'!BB39)/SUM('Value Segment'!BB$82,'Mid-Market Segment'!BB$82,'Upper Mid-Market Segment'!BB$82,'Premium Segment'!BB$82)</f>
        <v>5801.4254335066025</v>
      </c>
      <c r="BC104" s="674">
        <f>SUM('Value Segment'!BC39,'Mid-Market Segment'!BC39,'Upper Mid-Market Segment'!BC39,'Premium Segment'!BC39)/SUM('Value Segment'!BC$82,'Mid-Market Segment'!BC$82,'Upper Mid-Market Segment'!BC$82,'Premium Segment'!BC$82)</f>
        <v>5801.4254335066025</v>
      </c>
      <c r="BD104" s="674">
        <f>SUM('Value Segment'!BD39,'Mid-Market Segment'!BD39,'Upper Mid-Market Segment'!BD39,'Premium Segment'!BD39)/SUM('Value Segment'!BD$82,'Mid-Market Segment'!BD$82,'Upper Mid-Market Segment'!BD$82,'Premium Segment'!BD$82)</f>
        <v>5801.4254335066025</v>
      </c>
      <c r="BE104" s="674">
        <f>SUM('Value Segment'!BE39,'Mid-Market Segment'!BE39,'Upper Mid-Market Segment'!BE39,'Premium Segment'!BE39)/SUM('Value Segment'!BE$82,'Mid-Market Segment'!BE$82,'Upper Mid-Market Segment'!BE$82,'Premium Segment'!BE$82)</f>
        <v>5801.4254335066025</v>
      </c>
      <c r="BF104" s="674">
        <f>SUM('Value Segment'!BF39,'Mid-Market Segment'!BF39,'Upper Mid-Market Segment'!BF39,'Premium Segment'!BF39)/SUM('Value Segment'!BF$82,'Mid-Market Segment'!BF$82,'Upper Mid-Market Segment'!BF$82,'Premium Segment'!BF$82)</f>
        <v>5801.4254335066025</v>
      </c>
      <c r="BG104" s="674">
        <f>SUM('Value Segment'!BG39,'Mid-Market Segment'!BG39,'Upper Mid-Market Segment'!BG39,'Premium Segment'!BG39)/SUM('Value Segment'!BG$82,'Mid-Market Segment'!BG$82,'Upper Mid-Market Segment'!BG$82,'Premium Segment'!BG$82)</f>
        <v>5801.4254335066025</v>
      </c>
      <c r="BH104" s="674">
        <f>SUM('Value Segment'!BH39,'Mid-Market Segment'!BH39,'Upper Mid-Market Segment'!BH39,'Premium Segment'!BH39)/SUM('Value Segment'!BH$82,'Mid-Market Segment'!BH$82,'Upper Mid-Market Segment'!BH$82,'Premium Segment'!BH$82)</f>
        <v>6019.1776112390171</v>
      </c>
      <c r="BI104" s="674">
        <f>SUM('Value Segment'!BI39,'Mid-Market Segment'!BI39,'Upper Mid-Market Segment'!BI39,'Premium Segment'!BI39)/SUM('Value Segment'!BI$82,'Mid-Market Segment'!BI$82,'Upper Mid-Market Segment'!BI$82,'Premium Segment'!BI$82)</f>
        <v>6019.1776112390171</v>
      </c>
      <c r="BJ104" s="674">
        <f>SUM('Value Segment'!BJ39,'Mid-Market Segment'!BJ39,'Upper Mid-Market Segment'!BJ39,'Premium Segment'!BJ39)/SUM('Value Segment'!BJ$82,'Mid-Market Segment'!BJ$82,'Upper Mid-Market Segment'!BJ$82,'Premium Segment'!BJ$82)</f>
        <v>6019.1776112390171</v>
      </c>
      <c r="BK104" s="674">
        <f>SUM('Value Segment'!BK39,'Mid-Market Segment'!BK39,'Upper Mid-Market Segment'!BK39,'Premium Segment'!BK39)/SUM('Value Segment'!BK$82,'Mid-Market Segment'!BK$82,'Upper Mid-Market Segment'!BK$82,'Premium Segment'!BK$82)</f>
        <v>6019.1776112390171</v>
      </c>
      <c r="BL104" s="674">
        <f>SUM('Value Segment'!BL39,'Mid-Market Segment'!BL39,'Upper Mid-Market Segment'!BL39,'Premium Segment'!BL39)/SUM('Value Segment'!BL$82,'Mid-Market Segment'!BL$82,'Upper Mid-Market Segment'!BL$82,'Premium Segment'!BL$82)</f>
        <v>6019.1776112390171</v>
      </c>
      <c r="BM104" s="674">
        <f>SUM('Value Segment'!BM39,'Mid-Market Segment'!BM39,'Upper Mid-Market Segment'!BM39,'Premium Segment'!BM39)/SUM('Value Segment'!BM$82,'Mid-Market Segment'!BM$82,'Upper Mid-Market Segment'!BM$82,'Premium Segment'!BM$82)</f>
        <v>6019.1776112390171</v>
      </c>
      <c r="BN104" s="674">
        <f>SUM('Value Segment'!BN39,'Mid-Market Segment'!BN39,'Upper Mid-Market Segment'!BN39,'Premium Segment'!BN39)/SUM('Value Segment'!BN$82,'Mid-Market Segment'!BN$82,'Upper Mid-Market Segment'!BN$82,'Premium Segment'!BN$82)</f>
        <v>6173.5714048710834</v>
      </c>
      <c r="BO104" s="674">
        <f>SUM('Value Segment'!BO39,'Mid-Market Segment'!BO39,'Upper Mid-Market Segment'!BO39,'Premium Segment'!BO39)/SUM('Value Segment'!BO$82,'Mid-Market Segment'!BO$82,'Upper Mid-Market Segment'!BO$82,'Premium Segment'!BO$82)</f>
        <v>6173.5714048710834</v>
      </c>
      <c r="BP104" s="674">
        <f>SUM('Value Segment'!BP39,'Mid-Market Segment'!BP39,'Upper Mid-Market Segment'!BP39,'Premium Segment'!BP39)/SUM('Value Segment'!BP$82,'Mid-Market Segment'!BP$82,'Upper Mid-Market Segment'!BP$82,'Premium Segment'!BP$82)</f>
        <v>6173.5714048710834</v>
      </c>
      <c r="BQ104" s="674">
        <f>SUM('Value Segment'!BQ39,'Mid-Market Segment'!BQ39,'Upper Mid-Market Segment'!BQ39,'Premium Segment'!BQ39)/SUM('Value Segment'!BQ$82,'Mid-Market Segment'!BQ$82,'Upper Mid-Market Segment'!BQ$82,'Premium Segment'!BQ$82)</f>
        <v>6173.5714048710834</v>
      </c>
      <c r="BR104" s="674">
        <f>SUM('Value Segment'!BR39,'Mid-Market Segment'!BR39,'Upper Mid-Market Segment'!BR39,'Premium Segment'!BR39)/SUM('Value Segment'!BR$82,'Mid-Market Segment'!BR$82,'Upper Mid-Market Segment'!BR$82,'Premium Segment'!BR$82)</f>
        <v>6173.5714048710834</v>
      </c>
      <c r="BS104" s="674">
        <f>SUM('Value Segment'!BS39,'Mid-Market Segment'!BS39,'Upper Mid-Market Segment'!BS39,'Premium Segment'!BS39)/SUM('Value Segment'!BS$82,'Mid-Market Segment'!BS$82,'Upper Mid-Market Segment'!BS$82,'Premium Segment'!BS$82)</f>
        <v>6173.5714048710834</v>
      </c>
      <c r="BT104" s="674">
        <f>SUM('Value Segment'!BT39,'Mid-Market Segment'!BT39,'Upper Mid-Market Segment'!BT39,'Premium Segment'!BT39)/SUM('Value Segment'!BT$82,'Mid-Market Segment'!BT$82,'Upper Mid-Market Segment'!BT$82,'Premium Segment'!BT$82)</f>
        <v>6430.5746270849495</v>
      </c>
      <c r="BU104" s="674">
        <f>SUM('Value Segment'!BU39,'Mid-Market Segment'!BU39,'Upper Mid-Market Segment'!BU39,'Premium Segment'!BU39)/SUM('Value Segment'!BU$82,'Mid-Market Segment'!BU$82,'Upper Mid-Market Segment'!BU$82,'Premium Segment'!BU$82)</f>
        <v>6430.5746270849495</v>
      </c>
      <c r="BV104" s="674">
        <f>SUM('Value Segment'!BV39,'Mid-Market Segment'!BV39,'Upper Mid-Market Segment'!BV39,'Premium Segment'!BV39)/SUM('Value Segment'!BV$82,'Mid-Market Segment'!BV$82,'Upper Mid-Market Segment'!BV$82,'Premium Segment'!BV$82)</f>
        <v>6430.5746270849495</v>
      </c>
      <c r="BW104" s="674">
        <f>SUM('Value Segment'!BW39,'Mid-Market Segment'!BW39,'Upper Mid-Market Segment'!BW39,'Premium Segment'!BW39)/SUM('Value Segment'!BW$82,'Mid-Market Segment'!BW$82,'Upper Mid-Market Segment'!BW$82,'Premium Segment'!BW$82)</f>
        <v>6430.5746270849495</v>
      </c>
      <c r="BX104" s="674">
        <f>SUM('Value Segment'!BX39,'Mid-Market Segment'!BX39,'Upper Mid-Market Segment'!BX39,'Premium Segment'!BX39)/SUM('Value Segment'!BX$82,'Mid-Market Segment'!BX$82,'Upper Mid-Market Segment'!BX$82,'Premium Segment'!BX$82)</f>
        <v>6430.5746270849495</v>
      </c>
      <c r="BY104" s="674">
        <f>SUM('Value Segment'!BY39,'Mid-Market Segment'!BY39,'Upper Mid-Market Segment'!BY39,'Premium Segment'!BY39)/SUM('Value Segment'!BY$82,'Mid-Market Segment'!BY$82,'Upper Mid-Market Segment'!BY$82,'Premium Segment'!BY$82)</f>
        <v>6430.5746270849495</v>
      </c>
      <c r="CB104" s="8"/>
    </row>
    <row r="105" spans="3:80" x14ac:dyDescent="0.3">
      <c r="C105" s="2"/>
      <c r="D105" s="2"/>
      <c r="E105" s="2" t="s">
        <v>177</v>
      </c>
      <c r="F105" s="37"/>
      <c r="G105" s="37"/>
      <c r="H105" s="37"/>
      <c r="I105" s="499">
        <f t="shared" ref="I105:N105" si="109">IFERROR(I104/(I87+I96),0)</f>
        <v>0.41720214183724252</v>
      </c>
      <c r="J105" s="499">
        <f t="shared" si="109"/>
        <v>0.42478723802706803</v>
      </c>
      <c r="K105" s="499">
        <f t="shared" si="109"/>
        <v>0.43191790934446289</v>
      </c>
      <c r="L105" s="499">
        <f t="shared" si="109"/>
        <v>0.43854031634112861</v>
      </c>
      <c r="M105" s="499">
        <f t="shared" si="109"/>
        <v>0.44463987477381051</v>
      </c>
      <c r="N105" s="499">
        <f t="shared" si="109"/>
        <v>0.45062610315937163</v>
      </c>
      <c r="O105" s="23"/>
      <c r="P105" s="50">
        <f>IFERROR(((N105/I105)^(1/5))-1,0)</f>
        <v>1.5532819247766172E-2</v>
      </c>
      <c r="R105" s="499">
        <f>IFERROR(R104/(R87+R96),0)</f>
        <v>0.42476988817539602</v>
      </c>
      <c r="S105" s="531">
        <f t="shared" ref="S105:BY105" si="110">IFERROR(S104/(S87+S96),0)</f>
        <v>0.42476988817539602</v>
      </c>
      <c r="T105" s="531">
        <f t="shared" si="110"/>
        <v>0.42476988817539602</v>
      </c>
      <c r="U105" s="531">
        <f t="shared" si="110"/>
        <v>0.42476988817539602</v>
      </c>
      <c r="V105" s="531">
        <f t="shared" si="110"/>
        <v>0.42476988817539602</v>
      </c>
      <c r="W105" s="531">
        <f t="shared" si="110"/>
        <v>0.42476988817539602</v>
      </c>
      <c r="X105" s="531">
        <f t="shared" si="110"/>
        <v>0.42480418615872928</v>
      </c>
      <c r="Y105" s="531">
        <f t="shared" si="110"/>
        <v>0.42480418615872928</v>
      </c>
      <c r="Z105" s="531">
        <f t="shared" si="110"/>
        <v>0.42480418615872928</v>
      </c>
      <c r="AA105" s="531">
        <f t="shared" si="110"/>
        <v>0.42480418615872928</v>
      </c>
      <c r="AB105" s="531">
        <f t="shared" si="110"/>
        <v>0.42480418615872928</v>
      </c>
      <c r="AC105" s="531">
        <f t="shared" si="110"/>
        <v>0.42480418615872928</v>
      </c>
      <c r="AD105" s="531">
        <f t="shared" si="110"/>
        <v>0.4318948628753545</v>
      </c>
      <c r="AE105" s="531">
        <f t="shared" si="110"/>
        <v>0.4318948628753545</v>
      </c>
      <c r="AF105" s="531">
        <f t="shared" si="110"/>
        <v>0.4318948628753545</v>
      </c>
      <c r="AG105" s="531">
        <f t="shared" si="110"/>
        <v>0.4318948628753545</v>
      </c>
      <c r="AH105" s="531">
        <f t="shared" si="110"/>
        <v>0.4318948628753545</v>
      </c>
      <c r="AI105" s="531">
        <f t="shared" si="110"/>
        <v>0.4318948628753545</v>
      </c>
      <c r="AJ105" s="531">
        <f t="shared" si="110"/>
        <v>0.43194031742261085</v>
      </c>
      <c r="AK105" s="531">
        <f t="shared" si="110"/>
        <v>0.43194031742261085</v>
      </c>
      <c r="AL105" s="531">
        <f t="shared" si="110"/>
        <v>0.43194031742261085</v>
      </c>
      <c r="AM105" s="531">
        <f t="shared" si="110"/>
        <v>0.43194031742261085</v>
      </c>
      <c r="AN105" s="531">
        <f t="shared" si="110"/>
        <v>0.43194031742261085</v>
      </c>
      <c r="AO105" s="531">
        <f t="shared" si="110"/>
        <v>0.43194031742261085</v>
      </c>
      <c r="AP105" s="531">
        <f t="shared" si="110"/>
        <v>0.43851183091386986</v>
      </c>
      <c r="AQ105" s="531">
        <f t="shared" si="110"/>
        <v>0.43851183091386986</v>
      </c>
      <c r="AR105" s="531">
        <f t="shared" si="110"/>
        <v>0.43851183091386986</v>
      </c>
      <c r="AS105" s="531">
        <f t="shared" si="110"/>
        <v>0.43851183091386986</v>
      </c>
      <c r="AT105" s="531">
        <f t="shared" si="110"/>
        <v>0.43851183091386986</v>
      </c>
      <c r="AU105" s="531">
        <f t="shared" si="110"/>
        <v>0.43851183091386986</v>
      </c>
      <c r="AV105" s="531">
        <f t="shared" si="110"/>
        <v>0.4385678905754935</v>
      </c>
      <c r="AW105" s="531">
        <f t="shared" si="110"/>
        <v>0.4385678905754935</v>
      </c>
      <c r="AX105" s="531">
        <f t="shared" si="110"/>
        <v>0.4385678905754935</v>
      </c>
      <c r="AY105" s="531">
        <f t="shared" si="110"/>
        <v>0.4385678905754935</v>
      </c>
      <c r="AZ105" s="531">
        <f t="shared" si="110"/>
        <v>0.4385678905754935</v>
      </c>
      <c r="BA105" s="531">
        <f t="shared" si="110"/>
        <v>0.4385678905754935</v>
      </c>
      <c r="BB105" s="531">
        <f t="shared" si="110"/>
        <v>0.44460629338138774</v>
      </c>
      <c r="BC105" s="531">
        <f t="shared" si="110"/>
        <v>0.44460629338138774</v>
      </c>
      <c r="BD105" s="531">
        <f t="shared" si="110"/>
        <v>0.44460629338138774</v>
      </c>
      <c r="BE105" s="531">
        <f t="shared" si="110"/>
        <v>0.44460629338138774</v>
      </c>
      <c r="BF105" s="531">
        <f t="shared" si="110"/>
        <v>0.44460629338138774</v>
      </c>
      <c r="BG105" s="531">
        <f t="shared" si="110"/>
        <v>0.44460629338138774</v>
      </c>
      <c r="BH105" s="531">
        <f t="shared" si="110"/>
        <v>0.44467224611358402</v>
      </c>
      <c r="BI105" s="531">
        <f t="shared" si="110"/>
        <v>0.44467224611358402</v>
      </c>
      <c r="BJ105" s="531">
        <f t="shared" si="110"/>
        <v>0.44467224611358402</v>
      </c>
      <c r="BK105" s="531">
        <f t="shared" si="110"/>
        <v>0.44467224611358402</v>
      </c>
      <c r="BL105" s="531">
        <f t="shared" si="110"/>
        <v>0.44467224611358402</v>
      </c>
      <c r="BM105" s="531">
        <f t="shared" si="110"/>
        <v>0.44467224611358402</v>
      </c>
      <c r="BN105" s="531">
        <f t="shared" si="110"/>
        <v>0.45058783275639491</v>
      </c>
      <c r="BO105" s="531">
        <f t="shared" si="110"/>
        <v>0.45058783275639491</v>
      </c>
      <c r="BP105" s="531">
        <f t="shared" si="110"/>
        <v>0.45058783275639491</v>
      </c>
      <c r="BQ105" s="531">
        <f t="shared" si="110"/>
        <v>0.45058783275639491</v>
      </c>
      <c r="BR105" s="531">
        <f t="shared" si="110"/>
        <v>0.45058783275639491</v>
      </c>
      <c r="BS105" s="531">
        <f t="shared" si="110"/>
        <v>0.45058783275639491</v>
      </c>
      <c r="BT105" s="531">
        <f t="shared" si="110"/>
        <v>0.45066285017102198</v>
      </c>
      <c r="BU105" s="531">
        <f t="shared" si="110"/>
        <v>0.45066285017102198</v>
      </c>
      <c r="BV105" s="531">
        <f t="shared" si="110"/>
        <v>0.45066285017102198</v>
      </c>
      <c r="BW105" s="531">
        <f t="shared" si="110"/>
        <v>0.45066285017102198</v>
      </c>
      <c r="BX105" s="531">
        <f t="shared" si="110"/>
        <v>0.45066285017102198</v>
      </c>
      <c r="BY105" s="531">
        <f t="shared" si="110"/>
        <v>0.45066285017102198</v>
      </c>
    </row>
    <row r="106" spans="3:80" x14ac:dyDescent="0.3">
      <c r="C106" s="2"/>
      <c r="D106" s="2"/>
      <c r="E106" s="2"/>
      <c r="F106" s="37"/>
      <c r="G106" s="37"/>
      <c r="H106" s="37"/>
      <c r="I106" s="37"/>
      <c r="J106" s="37"/>
      <c r="K106" s="37"/>
      <c r="L106" s="37"/>
      <c r="M106" s="37"/>
      <c r="N106" s="37"/>
      <c r="O106" s="37"/>
      <c r="P106" s="35"/>
      <c r="R106" s="37"/>
      <c r="S106" s="37"/>
      <c r="T106" s="37"/>
      <c r="U106" s="37"/>
      <c r="V106" s="37"/>
      <c r="W106" s="37"/>
      <c r="X106" s="37"/>
      <c r="Y106" s="37"/>
      <c r="Z106" s="37"/>
      <c r="AA106" s="37"/>
      <c r="AB106" s="37"/>
      <c r="AC106" s="37"/>
      <c r="AD106" s="37"/>
      <c r="AE106" s="37"/>
      <c r="AF106" s="37"/>
      <c r="AG106" s="37"/>
      <c r="AH106" s="37"/>
      <c r="AI106" s="37"/>
      <c r="AJ106" s="37"/>
      <c r="AK106" s="37"/>
      <c r="AL106" s="37"/>
      <c r="AM106" s="37"/>
      <c r="AN106" s="37"/>
      <c r="AO106" s="37"/>
      <c r="AP106" s="37"/>
      <c r="AQ106" s="37"/>
      <c r="AR106" s="37"/>
      <c r="AS106" s="37"/>
      <c r="AT106" s="37"/>
      <c r="AU106" s="37"/>
      <c r="AV106" s="37"/>
      <c r="AW106" s="37"/>
      <c r="AX106" s="37"/>
      <c r="AY106" s="37"/>
      <c r="AZ106" s="37"/>
      <c r="BA106" s="37"/>
      <c r="BB106" s="37"/>
      <c r="BC106" s="37"/>
      <c r="BD106" s="37"/>
      <c r="BE106" s="37"/>
      <c r="BF106" s="37"/>
      <c r="BG106" s="37"/>
      <c r="BH106" s="37"/>
      <c r="BI106" s="37"/>
      <c r="BJ106" s="37"/>
      <c r="BK106" s="37"/>
      <c r="BL106" s="37"/>
      <c r="BM106" s="37"/>
      <c r="BN106" s="37"/>
      <c r="BO106" s="37"/>
      <c r="BP106" s="37"/>
      <c r="BQ106" s="37"/>
      <c r="BR106" s="37"/>
      <c r="BS106" s="37"/>
      <c r="BT106" s="37"/>
      <c r="BU106" s="37"/>
      <c r="BV106" s="37"/>
      <c r="BW106" s="37"/>
      <c r="BX106" s="37"/>
      <c r="BY106" s="37"/>
    </row>
    <row r="107" spans="3:80" x14ac:dyDescent="0.3">
      <c r="C107" s="2"/>
      <c r="D107" s="2"/>
      <c r="E107" s="17" t="s">
        <v>25</v>
      </c>
      <c r="F107" s="37"/>
      <c r="G107" s="37"/>
      <c r="H107" s="37"/>
      <c r="I107" s="37"/>
      <c r="J107" s="37"/>
      <c r="K107" s="37"/>
      <c r="L107" s="37"/>
      <c r="M107" s="37"/>
      <c r="N107" s="37"/>
      <c r="O107" s="37"/>
      <c r="P107" s="35"/>
      <c r="R107" s="37"/>
      <c r="S107" s="37"/>
      <c r="T107" s="37"/>
      <c r="U107" s="37"/>
      <c r="V107" s="37"/>
      <c r="W107" s="37"/>
      <c r="X107" s="37"/>
      <c r="Y107" s="37"/>
      <c r="Z107" s="37"/>
      <c r="AA107" s="37"/>
      <c r="AB107" s="37"/>
      <c r="AC107" s="37"/>
      <c r="AD107" s="37"/>
      <c r="AE107" s="37"/>
      <c r="AF107" s="37"/>
      <c r="AG107" s="37"/>
      <c r="AH107" s="37"/>
      <c r="AI107" s="37"/>
      <c r="AJ107" s="37"/>
      <c r="AK107" s="37"/>
      <c r="AL107" s="37"/>
      <c r="AM107" s="37"/>
      <c r="AN107" s="37"/>
      <c r="AO107" s="37"/>
      <c r="AP107" s="37"/>
      <c r="AQ107" s="37"/>
      <c r="AR107" s="37"/>
      <c r="AS107" s="37"/>
      <c r="AT107" s="37"/>
      <c r="AU107" s="37"/>
      <c r="AV107" s="37"/>
      <c r="AW107" s="37"/>
      <c r="AX107" s="37"/>
      <c r="AY107" s="37"/>
      <c r="AZ107" s="37"/>
      <c r="BA107" s="37"/>
      <c r="BB107" s="37"/>
      <c r="BC107" s="37"/>
      <c r="BD107" s="37"/>
      <c r="BE107" s="37"/>
      <c r="BF107" s="37"/>
      <c r="BG107" s="37"/>
      <c r="BH107" s="37"/>
      <c r="BI107" s="37"/>
      <c r="BJ107" s="37"/>
      <c r="BK107" s="37"/>
      <c r="BL107" s="37"/>
      <c r="BM107" s="37"/>
      <c r="BN107" s="37"/>
      <c r="BO107" s="37"/>
      <c r="BP107" s="37"/>
      <c r="BQ107" s="37"/>
      <c r="BR107" s="37"/>
      <c r="BS107" s="37"/>
      <c r="BT107" s="37"/>
      <c r="BU107" s="37"/>
      <c r="BV107" s="37"/>
      <c r="BW107" s="37"/>
      <c r="BX107" s="37"/>
      <c r="BY107" s="37"/>
    </row>
    <row r="108" spans="3:80" x14ac:dyDescent="0.3">
      <c r="C108" s="2"/>
      <c r="D108" s="2"/>
      <c r="E108" s="2" t="s">
        <v>25</v>
      </c>
      <c r="F108" s="54"/>
      <c r="G108" s="54"/>
      <c r="H108" s="54"/>
      <c r="I108" s="19">
        <f>SUM('Value Segment'!I43,'Mid-Market Segment'!I43,'Upper Mid-Market Segment'!I43,'Premium Segment'!I43)/SUM('Value Segment'!I$82,'Mid-Market Segment'!I$82,'Upper Mid-Market Segment'!I$82,'Premium Segment'!I$82)</f>
        <v>33570.681795411088</v>
      </c>
      <c r="J108" s="19">
        <f>SUM('Value Segment'!J43,'Mid-Market Segment'!J43,'Upper Mid-Market Segment'!J43,'Premium Segment'!J43)/SUM('Value Segment'!J$82,'Mid-Market Segment'!J$82,'Upper Mid-Market Segment'!J$82,'Premium Segment'!J$82)</f>
        <v>35128.11536667066</v>
      </c>
      <c r="K108" s="19">
        <f>SUM('Value Segment'!K43,'Mid-Market Segment'!K43,'Upper Mid-Market Segment'!K43,'Premium Segment'!K43)/SUM('Value Segment'!K$82,'Mid-Market Segment'!K$82,'Upper Mid-Market Segment'!K$82,'Premium Segment'!K$82)</f>
        <v>37127.612052369543</v>
      </c>
      <c r="L108" s="19">
        <f>SUM('Value Segment'!L43,'Mid-Market Segment'!L43,'Upper Mid-Market Segment'!L43,'Premium Segment'!L43)/SUM('Value Segment'!L$82,'Mid-Market Segment'!L$82,'Upper Mid-Market Segment'!L$82,'Premium Segment'!L$82)</f>
        <v>39187.727932240028</v>
      </c>
      <c r="M108" s="19">
        <f>SUM('Value Segment'!M43,'Mid-Market Segment'!M43,'Upper Mid-Market Segment'!M43,'Premium Segment'!M43)/SUM('Value Segment'!M$82,'Mid-Market Segment'!M$82,'Upper Mid-Market Segment'!M$82,'Premium Segment'!M$82)</f>
        <v>41269.383189640561</v>
      </c>
      <c r="N108" s="19">
        <f>SUM('Value Segment'!N43,'Mid-Market Segment'!N43,'Upper Mid-Market Segment'!N43,'Premium Segment'!N43)/SUM('Value Segment'!N$82,'Mid-Market Segment'!N$82,'Upper Mid-Market Segment'!N$82,'Premium Segment'!N$82)</f>
        <v>43424.035638925983</v>
      </c>
      <c r="O108" s="37"/>
      <c r="P108" s="50">
        <f>IFERROR(((N108/I108)^(1/5))-1,0)</f>
        <v>5.2819703542236196E-2</v>
      </c>
      <c r="R108" s="19">
        <f>SUM('Value Segment'!R43,'Mid-Market Segment'!R43,'Upper Mid-Market Segment'!R43,'Premium Segment'!R43)/SUM('Value Segment'!R$82,'Mid-Market Segment'!R$82,'Upper Mid-Market Segment'!R$82,'Premium Segment'!R$82)</f>
        <v>2880.8503832929118</v>
      </c>
      <c r="S108" s="542">
        <f>SUM('Value Segment'!S43,'Mid-Market Segment'!S43,'Upper Mid-Market Segment'!S43,'Premium Segment'!S43)/SUM('Value Segment'!S$82,'Mid-Market Segment'!S$82,'Upper Mid-Market Segment'!S$82,'Premium Segment'!S$82)</f>
        <v>2880.8503832929118</v>
      </c>
      <c r="T108" s="542">
        <f>SUM('Value Segment'!T43,'Mid-Market Segment'!T43,'Upper Mid-Market Segment'!T43,'Premium Segment'!T43)/SUM('Value Segment'!T$82,'Mid-Market Segment'!T$82,'Upper Mid-Market Segment'!T$82,'Premium Segment'!T$82)</f>
        <v>2880.8503832929118</v>
      </c>
      <c r="U108" s="542">
        <f>SUM('Value Segment'!U43,'Mid-Market Segment'!U43,'Upper Mid-Market Segment'!U43,'Premium Segment'!U43)/SUM('Value Segment'!U$82,'Mid-Market Segment'!U$82,'Upper Mid-Market Segment'!U$82,'Premium Segment'!U$82)</f>
        <v>2880.8503832929118</v>
      </c>
      <c r="V108" s="542">
        <f>SUM('Value Segment'!V43,'Mid-Market Segment'!V43,'Upper Mid-Market Segment'!V43,'Premium Segment'!V43)/SUM('Value Segment'!V$82,'Mid-Market Segment'!V$82,'Upper Mid-Market Segment'!V$82,'Premium Segment'!V$82)</f>
        <v>2880.8503832929118</v>
      </c>
      <c r="W108" s="542">
        <f>SUM('Value Segment'!W43,'Mid-Market Segment'!W43,'Upper Mid-Market Segment'!W43,'Premium Segment'!W43)/SUM('Value Segment'!W$82,'Mid-Market Segment'!W$82,'Upper Mid-Market Segment'!W$82,'Premium Segment'!W$82)</f>
        <v>2880.8503832929118</v>
      </c>
      <c r="X108" s="542">
        <f>SUM('Value Segment'!X43,'Mid-Market Segment'!X43,'Upper Mid-Market Segment'!X43,'Premium Segment'!X43)/SUM('Value Segment'!X$82,'Mid-Market Segment'!X$82,'Upper Mid-Market Segment'!X$82,'Premium Segment'!X$82)</f>
        <v>2973.8355111521978</v>
      </c>
      <c r="Y108" s="542">
        <f>SUM('Value Segment'!Y43,'Mid-Market Segment'!Y43,'Upper Mid-Market Segment'!Y43,'Premium Segment'!Y43)/SUM('Value Segment'!Y$82,'Mid-Market Segment'!Y$82,'Upper Mid-Market Segment'!Y$82,'Premium Segment'!Y$82)</f>
        <v>2973.8355111521978</v>
      </c>
      <c r="Z108" s="542">
        <f>SUM('Value Segment'!Z43,'Mid-Market Segment'!Z43,'Upper Mid-Market Segment'!Z43,'Premium Segment'!Z43)/SUM('Value Segment'!Z$82,'Mid-Market Segment'!Z$82,'Upper Mid-Market Segment'!Z$82,'Premium Segment'!Z$82)</f>
        <v>2973.8355111521978</v>
      </c>
      <c r="AA108" s="542">
        <f>SUM('Value Segment'!AA43,'Mid-Market Segment'!AA43,'Upper Mid-Market Segment'!AA43,'Premium Segment'!AA43)/SUM('Value Segment'!AA$82,'Mid-Market Segment'!AA$82,'Upper Mid-Market Segment'!AA$82,'Premium Segment'!AA$82)</f>
        <v>2973.8355111521978</v>
      </c>
      <c r="AB108" s="542">
        <f>SUM('Value Segment'!AB43,'Mid-Market Segment'!AB43,'Upper Mid-Market Segment'!AB43,'Premium Segment'!AB43)/SUM('Value Segment'!AB$82,'Mid-Market Segment'!AB$82,'Upper Mid-Market Segment'!AB$82,'Premium Segment'!AB$82)</f>
        <v>2973.8355111521978</v>
      </c>
      <c r="AC108" s="542">
        <f>SUM('Value Segment'!AC43,'Mid-Market Segment'!AC43,'Upper Mid-Market Segment'!AC43,'Premium Segment'!AC43)/SUM('Value Segment'!AC$82,'Mid-Market Segment'!AC$82,'Upper Mid-Market Segment'!AC$82,'Premium Segment'!AC$82)</f>
        <v>2973.8355111521978</v>
      </c>
      <c r="AD108" s="542">
        <f>SUM('Value Segment'!AD43,'Mid-Market Segment'!AD43,'Upper Mid-Market Segment'!AD43,'Premium Segment'!AD43)/SUM('Value Segment'!AD$82,'Mid-Market Segment'!AD$82,'Upper Mid-Market Segment'!AD$82,'Premium Segment'!AD$82)</f>
        <v>3034.178226484175</v>
      </c>
      <c r="AE108" s="542">
        <f>SUM('Value Segment'!AE43,'Mid-Market Segment'!AE43,'Upper Mid-Market Segment'!AE43,'Premium Segment'!AE43)/SUM('Value Segment'!AE$82,'Mid-Market Segment'!AE$82,'Upper Mid-Market Segment'!AE$82,'Premium Segment'!AE$82)</f>
        <v>3034.178226484175</v>
      </c>
      <c r="AF108" s="542">
        <f>SUM('Value Segment'!AF43,'Mid-Market Segment'!AF43,'Upper Mid-Market Segment'!AF43,'Premium Segment'!AF43)/SUM('Value Segment'!AF$82,'Mid-Market Segment'!AF$82,'Upper Mid-Market Segment'!AF$82,'Premium Segment'!AF$82)</f>
        <v>3034.178226484175</v>
      </c>
      <c r="AG108" s="542">
        <f>SUM('Value Segment'!AG43,'Mid-Market Segment'!AG43,'Upper Mid-Market Segment'!AG43,'Premium Segment'!AG43)/SUM('Value Segment'!AG$82,'Mid-Market Segment'!AG$82,'Upper Mid-Market Segment'!AG$82,'Premium Segment'!AG$82)</f>
        <v>3034.178226484175</v>
      </c>
      <c r="AH108" s="542">
        <f>SUM('Value Segment'!AH43,'Mid-Market Segment'!AH43,'Upper Mid-Market Segment'!AH43,'Premium Segment'!AH43)/SUM('Value Segment'!AH$82,'Mid-Market Segment'!AH$82,'Upper Mid-Market Segment'!AH$82,'Premium Segment'!AH$82)</f>
        <v>3034.178226484175</v>
      </c>
      <c r="AI108" s="542">
        <f>SUM('Value Segment'!AI43,'Mid-Market Segment'!AI43,'Upper Mid-Market Segment'!AI43,'Premium Segment'!AI43)/SUM('Value Segment'!AI$82,'Mid-Market Segment'!AI$82,'Upper Mid-Market Segment'!AI$82,'Premium Segment'!AI$82)</f>
        <v>3034.178226484175</v>
      </c>
      <c r="AJ108" s="542">
        <f>SUM('Value Segment'!AJ43,'Mid-Market Segment'!AJ43,'Upper Mid-Market Segment'!AJ43,'Premium Segment'!AJ43)/SUM('Value Segment'!AJ$82,'Mid-Market Segment'!AJ$82,'Upper Mid-Market Segment'!AJ$82,'Premium Segment'!AJ$82)</f>
        <v>3153.7571155774162</v>
      </c>
      <c r="AK108" s="542">
        <f>SUM('Value Segment'!AK43,'Mid-Market Segment'!AK43,'Upper Mid-Market Segment'!AK43,'Premium Segment'!AK43)/SUM('Value Segment'!AK$82,'Mid-Market Segment'!AK$82,'Upper Mid-Market Segment'!AK$82,'Premium Segment'!AK$82)</f>
        <v>3153.7571155774162</v>
      </c>
      <c r="AL108" s="542">
        <f>SUM('Value Segment'!AL43,'Mid-Market Segment'!AL43,'Upper Mid-Market Segment'!AL43,'Premium Segment'!AL43)/SUM('Value Segment'!AL$82,'Mid-Market Segment'!AL$82,'Upper Mid-Market Segment'!AL$82,'Premium Segment'!AL$82)</f>
        <v>3153.7571155774162</v>
      </c>
      <c r="AM108" s="542">
        <f>SUM('Value Segment'!AM43,'Mid-Market Segment'!AM43,'Upper Mid-Market Segment'!AM43,'Premium Segment'!AM43)/SUM('Value Segment'!AM$82,'Mid-Market Segment'!AM$82,'Upper Mid-Market Segment'!AM$82,'Premium Segment'!AM$82)</f>
        <v>3153.7571155774162</v>
      </c>
      <c r="AN108" s="542">
        <f>SUM('Value Segment'!AN43,'Mid-Market Segment'!AN43,'Upper Mid-Market Segment'!AN43,'Premium Segment'!AN43)/SUM('Value Segment'!AN$82,'Mid-Market Segment'!AN$82,'Upper Mid-Market Segment'!AN$82,'Premium Segment'!AN$82)</f>
        <v>3153.7571155774162</v>
      </c>
      <c r="AO108" s="542">
        <f>SUM('Value Segment'!AO43,'Mid-Market Segment'!AO43,'Upper Mid-Market Segment'!AO43,'Premium Segment'!AO43)/SUM('Value Segment'!AO$82,'Mid-Market Segment'!AO$82,'Upper Mid-Market Segment'!AO$82,'Premium Segment'!AO$82)</f>
        <v>3153.7571155774162</v>
      </c>
      <c r="AP108" s="542">
        <f>SUM('Value Segment'!AP43,'Mid-Market Segment'!AP43,'Upper Mid-Market Segment'!AP43,'Premium Segment'!AP43)/SUM('Value Segment'!AP$82,'Mid-Market Segment'!AP$82,'Upper Mid-Market Segment'!AP$82,'Premium Segment'!AP$82)</f>
        <v>3191.6648223520069</v>
      </c>
      <c r="AQ108" s="542">
        <f>SUM('Value Segment'!AQ43,'Mid-Market Segment'!AQ43,'Upper Mid-Market Segment'!AQ43,'Premium Segment'!AQ43)/SUM('Value Segment'!AQ$82,'Mid-Market Segment'!AQ$82,'Upper Mid-Market Segment'!AQ$82,'Premium Segment'!AQ$82)</f>
        <v>3191.6648223520069</v>
      </c>
      <c r="AR108" s="542">
        <f>SUM('Value Segment'!AR43,'Mid-Market Segment'!AR43,'Upper Mid-Market Segment'!AR43,'Premium Segment'!AR43)/SUM('Value Segment'!AR$82,'Mid-Market Segment'!AR$82,'Upper Mid-Market Segment'!AR$82,'Premium Segment'!AR$82)</f>
        <v>3191.6648223520069</v>
      </c>
      <c r="AS108" s="542">
        <f>SUM('Value Segment'!AS43,'Mid-Market Segment'!AS43,'Upper Mid-Market Segment'!AS43,'Premium Segment'!AS43)/SUM('Value Segment'!AS$82,'Mid-Market Segment'!AS$82,'Upper Mid-Market Segment'!AS$82,'Premium Segment'!AS$82)</f>
        <v>3191.6648223520069</v>
      </c>
      <c r="AT108" s="542">
        <f>SUM('Value Segment'!AT43,'Mid-Market Segment'!AT43,'Upper Mid-Market Segment'!AT43,'Premium Segment'!AT43)/SUM('Value Segment'!AT$82,'Mid-Market Segment'!AT$82,'Upper Mid-Market Segment'!AT$82,'Premium Segment'!AT$82)</f>
        <v>3191.6648223520069</v>
      </c>
      <c r="AU108" s="542">
        <f>SUM('Value Segment'!AU43,'Mid-Market Segment'!AU43,'Upper Mid-Market Segment'!AU43,'Premium Segment'!AU43)/SUM('Value Segment'!AU$82,'Mid-Market Segment'!AU$82,'Upper Mid-Market Segment'!AU$82,'Premium Segment'!AU$82)</f>
        <v>3191.6648223520069</v>
      </c>
      <c r="AV108" s="542">
        <f>SUM('Value Segment'!AV43,'Mid-Market Segment'!AV43,'Upper Mid-Market Segment'!AV43,'Premium Segment'!AV43)/SUM('Value Segment'!AV$82,'Mid-Market Segment'!AV$82,'Upper Mid-Market Segment'!AV$82,'Premium Segment'!AV$82)</f>
        <v>3339.6231663546655</v>
      </c>
      <c r="AW108" s="542">
        <f>SUM('Value Segment'!AW43,'Mid-Market Segment'!AW43,'Upper Mid-Market Segment'!AW43,'Premium Segment'!AW43)/SUM('Value Segment'!AW$82,'Mid-Market Segment'!AW$82,'Upper Mid-Market Segment'!AW$82,'Premium Segment'!AW$82)</f>
        <v>3339.6231663546655</v>
      </c>
      <c r="AX108" s="542">
        <f>SUM('Value Segment'!AX43,'Mid-Market Segment'!AX43,'Upper Mid-Market Segment'!AX43,'Premium Segment'!AX43)/SUM('Value Segment'!AX$82,'Mid-Market Segment'!AX$82,'Upper Mid-Market Segment'!AX$82,'Premium Segment'!AX$82)</f>
        <v>3339.6231663546655</v>
      </c>
      <c r="AY108" s="542">
        <f>SUM('Value Segment'!AY43,'Mid-Market Segment'!AY43,'Upper Mid-Market Segment'!AY43,'Premium Segment'!AY43)/SUM('Value Segment'!AY$82,'Mid-Market Segment'!AY$82,'Upper Mid-Market Segment'!AY$82,'Premium Segment'!AY$82)</f>
        <v>3339.6231663546655</v>
      </c>
      <c r="AZ108" s="542">
        <f>SUM('Value Segment'!AZ43,'Mid-Market Segment'!AZ43,'Upper Mid-Market Segment'!AZ43,'Premium Segment'!AZ43)/SUM('Value Segment'!AZ$82,'Mid-Market Segment'!AZ$82,'Upper Mid-Market Segment'!AZ$82,'Premium Segment'!AZ$82)</f>
        <v>3339.6231663546655</v>
      </c>
      <c r="BA108" s="542">
        <f>SUM('Value Segment'!BA43,'Mid-Market Segment'!BA43,'Upper Mid-Market Segment'!BA43,'Premium Segment'!BA43)/SUM('Value Segment'!BA$82,'Mid-Market Segment'!BA$82,'Upper Mid-Market Segment'!BA$82,'Premium Segment'!BA$82)</f>
        <v>3339.6231663546655</v>
      </c>
      <c r="BB108" s="542">
        <f>SUM('Value Segment'!BB43,'Mid-Market Segment'!BB43,'Upper Mid-Market Segment'!BB43,'Premium Segment'!BB43)/SUM('Value Segment'!BB$82,'Mid-Market Segment'!BB$82,'Upper Mid-Market Segment'!BB$82,'Premium Segment'!BB$82)</f>
        <v>3350.0348294583009</v>
      </c>
      <c r="BC108" s="542">
        <f>SUM('Value Segment'!BC43,'Mid-Market Segment'!BC43,'Upper Mid-Market Segment'!BC43,'Premium Segment'!BC43)/SUM('Value Segment'!BC$82,'Mid-Market Segment'!BC$82,'Upper Mid-Market Segment'!BC$82,'Premium Segment'!BC$82)</f>
        <v>3350.0348294583009</v>
      </c>
      <c r="BD108" s="542">
        <f>SUM('Value Segment'!BD43,'Mid-Market Segment'!BD43,'Upper Mid-Market Segment'!BD43,'Premium Segment'!BD43)/SUM('Value Segment'!BD$82,'Mid-Market Segment'!BD$82,'Upper Mid-Market Segment'!BD$82,'Premium Segment'!BD$82)</f>
        <v>3350.0348294583009</v>
      </c>
      <c r="BE108" s="542">
        <f>SUM('Value Segment'!BE43,'Mid-Market Segment'!BE43,'Upper Mid-Market Segment'!BE43,'Premium Segment'!BE43)/SUM('Value Segment'!BE$82,'Mid-Market Segment'!BE$82,'Upper Mid-Market Segment'!BE$82,'Premium Segment'!BE$82)</f>
        <v>3350.0348294583009</v>
      </c>
      <c r="BF108" s="542">
        <f>SUM('Value Segment'!BF43,'Mid-Market Segment'!BF43,'Upper Mid-Market Segment'!BF43,'Premium Segment'!BF43)/SUM('Value Segment'!BF$82,'Mid-Market Segment'!BF$82,'Upper Mid-Market Segment'!BF$82,'Premium Segment'!BF$82)</f>
        <v>3350.0348294583009</v>
      </c>
      <c r="BG108" s="542">
        <f>SUM('Value Segment'!BG43,'Mid-Market Segment'!BG43,'Upper Mid-Market Segment'!BG43,'Premium Segment'!BG43)/SUM('Value Segment'!BG$82,'Mid-Market Segment'!BG$82,'Upper Mid-Market Segment'!BG$82,'Premium Segment'!BG$82)</f>
        <v>3350.0348294583009</v>
      </c>
      <c r="BH108" s="542">
        <f>SUM('Value Segment'!BH43,'Mid-Market Segment'!BH43,'Upper Mid-Market Segment'!BH43,'Premium Segment'!BH43)/SUM('Value Segment'!BH$82,'Mid-Market Segment'!BH$82,'Upper Mid-Market Segment'!BH$82,'Premium Segment'!BH$82)</f>
        <v>3528.1957021484586</v>
      </c>
      <c r="BI108" s="542">
        <f>SUM('Value Segment'!BI43,'Mid-Market Segment'!BI43,'Upper Mid-Market Segment'!BI43,'Premium Segment'!BI43)/SUM('Value Segment'!BI$82,'Mid-Market Segment'!BI$82,'Upper Mid-Market Segment'!BI$82,'Premium Segment'!BI$82)</f>
        <v>3528.1957021484586</v>
      </c>
      <c r="BJ108" s="542">
        <f>SUM('Value Segment'!BJ43,'Mid-Market Segment'!BJ43,'Upper Mid-Market Segment'!BJ43,'Premium Segment'!BJ43)/SUM('Value Segment'!BJ$82,'Mid-Market Segment'!BJ$82,'Upper Mid-Market Segment'!BJ$82,'Premium Segment'!BJ$82)</f>
        <v>3528.1957021484586</v>
      </c>
      <c r="BK108" s="542">
        <f>SUM('Value Segment'!BK43,'Mid-Market Segment'!BK43,'Upper Mid-Market Segment'!BK43,'Premium Segment'!BK43)/SUM('Value Segment'!BK$82,'Mid-Market Segment'!BK$82,'Upper Mid-Market Segment'!BK$82,'Premium Segment'!BK$82)</f>
        <v>3528.1957021484586</v>
      </c>
      <c r="BL108" s="542">
        <f>SUM('Value Segment'!BL43,'Mid-Market Segment'!BL43,'Upper Mid-Market Segment'!BL43,'Premium Segment'!BL43)/SUM('Value Segment'!BL$82,'Mid-Market Segment'!BL$82,'Upper Mid-Market Segment'!BL$82,'Premium Segment'!BL$82)</f>
        <v>3528.1957021484586</v>
      </c>
      <c r="BM108" s="542">
        <f>SUM('Value Segment'!BM43,'Mid-Market Segment'!BM43,'Upper Mid-Market Segment'!BM43,'Premium Segment'!BM43)/SUM('Value Segment'!BM$82,'Mid-Market Segment'!BM$82,'Upper Mid-Market Segment'!BM$82,'Premium Segment'!BM$82)</f>
        <v>3528.1957021484586</v>
      </c>
      <c r="BN108" s="542">
        <f>SUM('Value Segment'!BN43,'Mid-Market Segment'!BN43,'Upper Mid-Market Segment'!BN43,'Premium Segment'!BN43)/SUM('Value Segment'!BN$82,'Mid-Market Segment'!BN$82,'Upper Mid-Market Segment'!BN$82,'Premium Segment'!BN$82)</f>
        <v>3513.5319547624017</v>
      </c>
      <c r="BO108" s="542">
        <f>SUM('Value Segment'!BO43,'Mid-Market Segment'!BO43,'Upper Mid-Market Segment'!BO43,'Premium Segment'!BO43)/SUM('Value Segment'!BO$82,'Mid-Market Segment'!BO$82,'Upper Mid-Market Segment'!BO$82,'Premium Segment'!BO$82)</f>
        <v>3513.5319547624017</v>
      </c>
      <c r="BP108" s="542">
        <f>SUM('Value Segment'!BP43,'Mid-Market Segment'!BP43,'Upper Mid-Market Segment'!BP43,'Premium Segment'!BP43)/SUM('Value Segment'!BP$82,'Mid-Market Segment'!BP$82,'Upper Mid-Market Segment'!BP$82,'Premium Segment'!BP$82)</f>
        <v>3513.5319547624017</v>
      </c>
      <c r="BQ108" s="542">
        <f>SUM('Value Segment'!BQ43,'Mid-Market Segment'!BQ43,'Upper Mid-Market Segment'!BQ43,'Premium Segment'!BQ43)/SUM('Value Segment'!BQ$82,'Mid-Market Segment'!BQ$82,'Upper Mid-Market Segment'!BQ$82,'Premium Segment'!BQ$82)</f>
        <v>3513.5319547624017</v>
      </c>
      <c r="BR108" s="542">
        <f>SUM('Value Segment'!BR43,'Mid-Market Segment'!BR43,'Upper Mid-Market Segment'!BR43,'Premium Segment'!BR43)/SUM('Value Segment'!BR$82,'Mid-Market Segment'!BR$82,'Upper Mid-Market Segment'!BR$82,'Premium Segment'!BR$82)</f>
        <v>3513.5319547624017</v>
      </c>
      <c r="BS108" s="542">
        <f>SUM('Value Segment'!BS43,'Mid-Market Segment'!BS43,'Upper Mid-Market Segment'!BS43,'Premium Segment'!BS43)/SUM('Value Segment'!BS$82,'Mid-Market Segment'!BS$82,'Upper Mid-Market Segment'!BS$82,'Premium Segment'!BS$82)</f>
        <v>3513.5319547624017</v>
      </c>
      <c r="BT108" s="542">
        <f>SUM('Value Segment'!BT43,'Mid-Market Segment'!BT43,'Upper Mid-Market Segment'!BT43,'Premium Segment'!BT43)/SUM('Value Segment'!BT$82,'Mid-Market Segment'!BT$82,'Upper Mid-Market Segment'!BT$82,'Premium Segment'!BT$82)</f>
        <v>3723.8073183919291</v>
      </c>
      <c r="BU108" s="542">
        <f>SUM('Value Segment'!BU43,'Mid-Market Segment'!BU43,'Upper Mid-Market Segment'!BU43,'Premium Segment'!BU43)/SUM('Value Segment'!BU$82,'Mid-Market Segment'!BU$82,'Upper Mid-Market Segment'!BU$82,'Premium Segment'!BU$82)</f>
        <v>3723.8073183919291</v>
      </c>
      <c r="BV108" s="542">
        <f>SUM('Value Segment'!BV43,'Mid-Market Segment'!BV43,'Upper Mid-Market Segment'!BV43,'Premium Segment'!BV43)/SUM('Value Segment'!BV$82,'Mid-Market Segment'!BV$82,'Upper Mid-Market Segment'!BV$82,'Premium Segment'!BV$82)</f>
        <v>3723.8073183919291</v>
      </c>
      <c r="BW108" s="542">
        <f>SUM('Value Segment'!BW43,'Mid-Market Segment'!BW43,'Upper Mid-Market Segment'!BW43,'Premium Segment'!BW43)/SUM('Value Segment'!BW$82,'Mid-Market Segment'!BW$82,'Upper Mid-Market Segment'!BW$82,'Premium Segment'!BW$82)</f>
        <v>3723.8073183919291</v>
      </c>
      <c r="BX108" s="542">
        <f>SUM('Value Segment'!BX43,'Mid-Market Segment'!BX43,'Upper Mid-Market Segment'!BX43,'Premium Segment'!BX43)/SUM('Value Segment'!BX$82,'Mid-Market Segment'!BX$82,'Upper Mid-Market Segment'!BX$82,'Premium Segment'!BX$82)</f>
        <v>3723.8073183919291</v>
      </c>
      <c r="BY108" s="542">
        <f>SUM('Value Segment'!BY43,'Mid-Market Segment'!BY43,'Upper Mid-Market Segment'!BY43,'Premium Segment'!BY43)/SUM('Value Segment'!BY$82,'Mid-Market Segment'!BY$82,'Upper Mid-Market Segment'!BY$82,'Premium Segment'!BY$82)</f>
        <v>3723.8073183919291</v>
      </c>
      <c r="CB108" s="8"/>
    </row>
    <row r="109" spans="3:80" x14ac:dyDescent="0.3">
      <c r="C109" s="2"/>
      <c r="D109" s="2"/>
      <c r="E109" s="2" t="s">
        <v>14</v>
      </c>
      <c r="F109" s="54"/>
      <c r="G109" s="54"/>
      <c r="H109" s="54"/>
      <c r="I109" s="19">
        <f>SUM('Value Segment'!I44,'Mid-Market Segment'!I44,'Upper Mid-Market Segment'!I44,'Premium Segment'!I44)/SUM('Value Segment'!I$82,'Mid-Market Segment'!I$82,'Upper Mid-Market Segment'!I$82,'Premium Segment'!I$82)</f>
        <v>4396.441485541458</v>
      </c>
      <c r="J109" s="19">
        <f>SUM('Value Segment'!J44,'Mid-Market Segment'!J44,'Upper Mid-Market Segment'!J44,'Premium Segment'!J44)/SUM('Value Segment'!J$82,'Mid-Market Segment'!J$82,'Upper Mid-Market Segment'!J$82,'Premium Segment'!J$82)</f>
        <v>4550.8758276311055</v>
      </c>
      <c r="K109" s="19">
        <f>SUM('Value Segment'!K44,'Mid-Market Segment'!K44,'Upper Mid-Market Segment'!K44,'Premium Segment'!K44)/SUM('Value Segment'!K$82,'Mid-Market Segment'!K$82,'Upper Mid-Market Segment'!K$82,'Premium Segment'!K$82)</f>
        <v>4701.953683770801</v>
      </c>
      <c r="L109" s="19">
        <f>SUM('Value Segment'!L44,'Mid-Market Segment'!L44,'Upper Mid-Market Segment'!L44,'Premium Segment'!L44)/SUM('Value Segment'!L$82,'Mid-Market Segment'!L$82,'Upper Mid-Market Segment'!L$82,'Premium Segment'!L$82)</f>
        <v>4851.7089762891683</v>
      </c>
      <c r="M109" s="19">
        <f>SUM('Value Segment'!M44,'Mid-Market Segment'!M44,'Upper Mid-Market Segment'!M44,'Premium Segment'!M44)/SUM('Value Segment'!M$82,'Mid-Market Segment'!M$82,'Upper Mid-Market Segment'!M$82,'Premium Segment'!M$82)</f>
        <v>4976.7355227551334</v>
      </c>
      <c r="N109" s="19">
        <f>SUM('Value Segment'!N44,'Mid-Market Segment'!N44,'Upper Mid-Market Segment'!N44,'Premium Segment'!N44)/SUM('Value Segment'!N$82,'Mid-Market Segment'!N$82,'Upper Mid-Market Segment'!N$82,'Premium Segment'!N$82)</f>
        <v>5084.3475431381285</v>
      </c>
      <c r="O109" s="37"/>
      <c r="P109" s="50">
        <f>IFERROR(((N109/I109)^(1/5))-1,0)</f>
        <v>2.9501032242708725E-2</v>
      </c>
      <c r="R109" s="19">
        <f>SUM('Value Segment'!R44,'Mid-Market Segment'!R44,'Upper Mid-Market Segment'!R44,'Premium Segment'!R44)/SUM('Value Segment'!R$82,'Mid-Market Segment'!R$82,'Upper Mid-Market Segment'!R$82,'Premium Segment'!R$82)</f>
        <v>379.23965230259211</v>
      </c>
      <c r="S109" s="542">
        <f>SUM('Value Segment'!S44,'Mid-Market Segment'!S44,'Upper Mid-Market Segment'!S44,'Premium Segment'!S44)/SUM('Value Segment'!S$82,'Mid-Market Segment'!S$82,'Upper Mid-Market Segment'!S$82,'Premium Segment'!S$82)</f>
        <v>379.23965230259211</v>
      </c>
      <c r="T109" s="542">
        <f>SUM('Value Segment'!T44,'Mid-Market Segment'!T44,'Upper Mid-Market Segment'!T44,'Premium Segment'!T44)/SUM('Value Segment'!T$82,'Mid-Market Segment'!T$82,'Upper Mid-Market Segment'!T$82,'Premium Segment'!T$82)</f>
        <v>379.23965230259211</v>
      </c>
      <c r="U109" s="542">
        <f>SUM('Value Segment'!U44,'Mid-Market Segment'!U44,'Upper Mid-Market Segment'!U44,'Premium Segment'!U44)/SUM('Value Segment'!U$82,'Mid-Market Segment'!U$82,'Upper Mid-Market Segment'!U$82,'Premium Segment'!U$82)</f>
        <v>379.23965230259211</v>
      </c>
      <c r="V109" s="542">
        <f>SUM('Value Segment'!V44,'Mid-Market Segment'!V44,'Upper Mid-Market Segment'!V44,'Premium Segment'!V44)/SUM('Value Segment'!V$82,'Mid-Market Segment'!V$82,'Upper Mid-Market Segment'!V$82,'Premium Segment'!V$82)</f>
        <v>379.23965230259211</v>
      </c>
      <c r="W109" s="542">
        <f>SUM('Value Segment'!W44,'Mid-Market Segment'!W44,'Upper Mid-Market Segment'!W44,'Premium Segment'!W44)/SUM('Value Segment'!W$82,'Mid-Market Segment'!W$82,'Upper Mid-Market Segment'!W$82,'Premium Segment'!W$82)</f>
        <v>379.23965230259211</v>
      </c>
      <c r="X109" s="542">
        <f>SUM('Value Segment'!X44,'Mid-Market Segment'!X44,'Upper Mid-Market Segment'!X44,'Premium Segment'!X44)/SUM('Value Segment'!X$82,'Mid-Market Segment'!X$82,'Upper Mid-Market Segment'!X$82,'Premium Segment'!X$82)</f>
        <v>379.23965230259211</v>
      </c>
      <c r="Y109" s="542">
        <f>SUM('Value Segment'!Y44,'Mid-Market Segment'!Y44,'Upper Mid-Market Segment'!Y44,'Premium Segment'!Y44)/SUM('Value Segment'!Y$82,'Mid-Market Segment'!Y$82,'Upper Mid-Market Segment'!Y$82,'Premium Segment'!Y$82)</f>
        <v>379.23965230259211</v>
      </c>
      <c r="Z109" s="542">
        <f>SUM('Value Segment'!Z44,'Mid-Market Segment'!Z44,'Upper Mid-Market Segment'!Z44,'Premium Segment'!Z44)/SUM('Value Segment'!Z$82,'Mid-Market Segment'!Z$82,'Upper Mid-Market Segment'!Z$82,'Premium Segment'!Z$82)</f>
        <v>379.23965230259211</v>
      </c>
      <c r="AA109" s="542">
        <f>SUM('Value Segment'!AA44,'Mid-Market Segment'!AA44,'Upper Mid-Market Segment'!AA44,'Premium Segment'!AA44)/SUM('Value Segment'!AA$82,'Mid-Market Segment'!AA$82,'Upper Mid-Market Segment'!AA$82,'Premium Segment'!AA$82)</f>
        <v>379.23965230259211</v>
      </c>
      <c r="AB109" s="542">
        <f>SUM('Value Segment'!AB44,'Mid-Market Segment'!AB44,'Upper Mid-Market Segment'!AB44,'Premium Segment'!AB44)/SUM('Value Segment'!AB$82,'Mid-Market Segment'!AB$82,'Upper Mid-Market Segment'!AB$82,'Premium Segment'!AB$82)</f>
        <v>379.23965230259211</v>
      </c>
      <c r="AC109" s="542">
        <f>SUM('Value Segment'!AC44,'Mid-Market Segment'!AC44,'Upper Mid-Market Segment'!AC44,'Premium Segment'!AC44)/SUM('Value Segment'!AC$82,'Mid-Market Segment'!AC$82,'Upper Mid-Market Segment'!AC$82,'Premium Segment'!AC$82)</f>
        <v>379.23965230259211</v>
      </c>
      <c r="AD109" s="542">
        <f>SUM('Value Segment'!AD44,'Mid-Market Segment'!AD44,'Upper Mid-Market Segment'!AD44,'Premium Segment'!AD44)/SUM('Value Segment'!AD$82,'Mid-Market Segment'!AD$82,'Upper Mid-Market Segment'!AD$82,'Premium Segment'!AD$82)</f>
        <v>391.82947364756672</v>
      </c>
      <c r="AE109" s="542">
        <f>SUM('Value Segment'!AE44,'Mid-Market Segment'!AE44,'Upper Mid-Market Segment'!AE44,'Premium Segment'!AE44)/SUM('Value Segment'!AE$82,'Mid-Market Segment'!AE$82,'Upper Mid-Market Segment'!AE$82,'Premium Segment'!AE$82)</f>
        <v>391.82947364756672</v>
      </c>
      <c r="AF109" s="542">
        <f>SUM('Value Segment'!AF44,'Mid-Market Segment'!AF44,'Upper Mid-Market Segment'!AF44,'Premium Segment'!AF44)/SUM('Value Segment'!AF$82,'Mid-Market Segment'!AF$82,'Upper Mid-Market Segment'!AF$82,'Premium Segment'!AF$82)</f>
        <v>391.82947364756672</v>
      </c>
      <c r="AG109" s="542">
        <f>SUM('Value Segment'!AG44,'Mid-Market Segment'!AG44,'Upper Mid-Market Segment'!AG44,'Premium Segment'!AG44)/SUM('Value Segment'!AG$82,'Mid-Market Segment'!AG$82,'Upper Mid-Market Segment'!AG$82,'Premium Segment'!AG$82)</f>
        <v>391.82947364756672</v>
      </c>
      <c r="AH109" s="542">
        <f>SUM('Value Segment'!AH44,'Mid-Market Segment'!AH44,'Upper Mid-Market Segment'!AH44,'Premium Segment'!AH44)/SUM('Value Segment'!AH$82,'Mid-Market Segment'!AH$82,'Upper Mid-Market Segment'!AH$82,'Premium Segment'!AH$82)</f>
        <v>391.82947364756672</v>
      </c>
      <c r="AI109" s="542">
        <f>SUM('Value Segment'!AI44,'Mid-Market Segment'!AI44,'Upper Mid-Market Segment'!AI44,'Premium Segment'!AI44)/SUM('Value Segment'!AI$82,'Mid-Market Segment'!AI$82,'Upper Mid-Market Segment'!AI$82,'Premium Segment'!AI$82)</f>
        <v>391.82947364756672</v>
      </c>
      <c r="AJ109" s="542">
        <f>SUM('Value Segment'!AJ44,'Mid-Market Segment'!AJ44,'Upper Mid-Market Segment'!AJ44,'Premium Segment'!AJ44)/SUM('Value Segment'!AJ$82,'Mid-Market Segment'!AJ$82,'Upper Mid-Market Segment'!AJ$82,'Premium Segment'!AJ$82)</f>
        <v>391.82947364756672</v>
      </c>
      <c r="AK109" s="542">
        <f>SUM('Value Segment'!AK44,'Mid-Market Segment'!AK44,'Upper Mid-Market Segment'!AK44,'Premium Segment'!AK44)/SUM('Value Segment'!AK$82,'Mid-Market Segment'!AK$82,'Upper Mid-Market Segment'!AK$82,'Premium Segment'!AK$82)</f>
        <v>391.82947364756672</v>
      </c>
      <c r="AL109" s="542">
        <f>SUM('Value Segment'!AL44,'Mid-Market Segment'!AL44,'Upper Mid-Market Segment'!AL44,'Premium Segment'!AL44)/SUM('Value Segment'!AL$82,'Mid-Market Segment'!AL$82,'Upper Mid-Market Segment'!AL$82,'Premium Segment'!AL$82)</f>
        <v>391.82947364756672</v>
      </c>
      <c r="AM109" s="542">
        <f>SUM('Value Segment'!AM44,'Mid-Market Segment'!AM44,'Upper Mid-Market Segment'!AM44,'Premium Segment'!AM44)/SUM('Value Segment'!AM$82,'Mid-Market Segment'!AM$82,'Upper Mid-Market Segment'!AM$82,'Premium Segment'!AM$82)</f>
        <v>391.82947364756672</v>
      </c>
      <c r="AN109" s="542">
        <f>SUM('Value Segment'!AN44,'Mid-Market Segment'!AN44,'Upper Mid-Market Segment'!AN44,'Premium Segment'!AN44)/SUM('Value Segment'!AN$82,'Mid-Market Segment'!AN$82,'Upper Mid-Market Segment'!AN$82,'Premium Segment'!AN$82)</f>
        <v>391.82947364756672</v>
      </c>
      <c r="AO109" s="542">
        <f>SUM('Value Segment'!AO44,'Mid-Market Segment'!AO44,'Upper Mid-Market Segment'!AO44,'Premium Segment'!AO44)/SUM('Value Segment'!AO$82,'Mid-Market Segment'!AO$82,'Upper Mid-Market Segment'!AO$82,'Premium Segment'!AO$82)</f>
        <v>391.82947364756672</v>
      </c>
      <c r="AP109" s="542">
        <f>SUM('Value Segment'!AP44,'Mid-Market Segment'!AP44,'Upper Mid-Market Segment'!AP44,'Premium Segment'!AP44)/SUM('Value Segment'!AP$82,'Mid-Market Segment'!AP$82,'Upper Mid-Market Segment'!AP$82,'Premium Segment'!AP$82)</f>
        <v>404.30908135743073</v>
      </c>
      <c r="AQ109" s="542">
        <f>SUM('Value Segment'!AQ44,'Mid-Market Segment'!AQ44,'Upper Mid-Market Segment'!AQ44,'Premium Segment'!AQ44)/SUM('Value Segment'!AQ$82,'Mid-Market Segment'!AQ$82,'Upper Mid-Market Segment'!AQ$82,'Premium Segment'!AQ$82)</f>
        <v>404.30908135743073</v>
      </c>
      <c r="AR109" s="542">
        <f>SUM('Value Segment'!AR44,'Mid-Market Segment'!AR44,'Upper Mid-Market Segment'!AR44,'Premium Segment'!AR44)/SUM('Value Segment'!AR$82,'Mid-Market Segment'!AR$82,'Upper Mid-Market Segment'!AR$82,'Premium Segment'!AR$82)</f>
        <v>404.30908135743073</v>
      </c>
      <c r="AS109" s="542">
        <f>SUM('Value Segment'!AS44,'Mid-Market Segment'!AS44,'Upper Mid-Market Segment'!AS44,'Premium Segment'!AS44)/SUM('Value Segment'!AS$82,'Mid-Market Segment'!AS$82,'Upper Mid-Market Segment'!AS$82,'Premium Segment'!AS$82)</f>
        <v>404.30908135743073</v>
      </c>
      <c r="AT109" s="542">
        <f>SUM('Value Segment'!AT44,'Mid-Market Segment'!AT44,'Upper Mid-Market Segment'!AT44,'Premium Segment'!AT44)/SUM('Value Segment'!AT$82,'Mid-Market Segment'!AT$82,'Upper Mid-Market Segment'!AT$82,'Premium Segment'!AT$82)</f>
        <v>404.30908135743073</v>
      </c>
      <c r="AU109" s="542">
        <f>SUM('Value Segment'!AU44,'Mid-Market Segment'!AU44,'Upper Mid-Market Segment'!AU44,'Premium Segment'!AU44)/SUM('Value Segment'!AU$82,'Mid-Market Segment'!AU$82,'Upper Mid-Market Segment'!AU$82,'Premium Segment'!AU$82)</f>
        <v>404.30908135743073</v>
      </c>
      <c r="AV109" s="542">
        <f>SUM('Value Segment'!AV44,'Mid-Market Segment'!AV44,'Upper Mid-Market Segment'!AV44,'Premium Segment'!AV44)/SUM('Value Segment'!AV$82,'Mid-Market Segment'!AV$82,'Upper Mid-Market Segment'!AV$82,'Premium Segment'!AV$82)</f>
        <v>404.30908135743073</v>
      </c>
      <c r="AW109" s="542">
        <f>SUM('Value Segment'!AW44,'Mid-Market Segment'!AW44,'Upper Mid-Market Segment'!AW44,'Premium Segment'!AW44)/SUM('Value Segment'!AW$82,'Mid-Market Segment'!AW$82,'Upper Mid-Market Segment'!AW$82,'Premium Segment'!AW$82)</f>
        <v>404.30908135743073</v>
      </c>
      <c r="AX109" s="542">
        <f>SUM('Value Segment'!AX44,'Mid-Market Segment'!AX44,'Upper Mid-Market Segment'!AX44,'Premium Segment'!AX44)/SUM('Value Segment'!AX$82,'Mid-Market Segment'!AX$82,'Upper Mid-Market Segment'!AX$82,'Premium Segment'!AX$82)</f>
        <v>404.30908135743073</v>
      </c>
      <c r="AY109" s="542">
        <f>SUM('Value Segment'!AY44,'Mid-Market Segment'!AY44,'Upper Mid-Market Segment'!AY44,'Premium Segment'!AY44)/SUM('Value Segment'!AY$82,'Mid-Market Segment'!AY$82,'Upper Mid-Market Segment'!AY$82,'Premium Segment'!AY$82)</f>
        <v>404.30908135743073</v>
      </c>
      <c r="AZ109" s="542">
        <f>SUM('Value Segment'!AZ44,'Mid-Market Segment'!AZ44,'Upper Mid-Market Segment'!AZ44,'Premium Segment'!AZ44)/SUM('Value Segment'!AZ$82,'Mid-Market Segment'!AZ$82,'Upper Mid-Market Segment'!AZ$82,'Premium Segment'!AZ$82)</f>
        <v>404.30908135743073</v>
      </c>
      <c r="BA109" s="542">
        <f>SUM('Value Segment'!BA44,'Mid-Market Segment'!BA44,'Upper Mid-Market Segment'!BA44,'Premium Segment'!BA44)/SUM('Value Segment'!BA$82,'Mid-Market Segment'!BA$82,'Upper Mid-Market Segment'!BA$82,'Premium Segment'!BA$82)</f>
        <v>404.30908135743073</v>
      </c>
      <c r="BB109" s="542">
        <f>SUM('Value Segment'!BB44,'Mid-Market Segment'!BB44,'Upper Mid-Market Segment'!BB44,'Premium Segment'!BB44)/SUM('Value Segment'!BB$82,'Mid-Market Segment'!BB$82,'Upper Mid-Market Segment'!BB$82,'Premium Segment'!BB$82)</f>
        <v>414.7279602295946</v>
      </c>
      <c r="BC109" s="542">
        <f>SUM('Value Segment'!BC44,'Mid-Market Segment'!BC44,'Upper Mid-Market Segment'!BC44,'Premium Segment'!BC44)/SUM('Value Segment'!BC$82,'Mid-Market Segment'!BC$82,'Upper Mid-Market Segment'!BC$82,'Premium Segment'!BC$82)</f>
        <v>414.7279602295946</v>
      </c>
      <c r="BD109" s="542">
        <f>SUM('Value Segment'!BD44,'Mid-Market Segment'!BD44,'Upper Mid-Market Segment'!BD44,'Premium Segment'!BD44)/SUM('Value Segment'!BD$82,'Mid-Market Segment'!BD$82,'Upper Mid-Market Segment'!BD$82,'Premium Segment'!BD$82)</f>
        <v>414.7279602295946</v>
      </c>
      <c r="BE109" s="542">
        <f>SUM('Value Segment'!BE44,'Mid-Market Segment'!BE44,'Upper Mid-Market Segment'!BE44,'Premium Segment'!BE44)/SUM('Value Segment'!BE$82,'Mid-Market Segment'!BE$82,'Upper Mid-Market Segment'!BE$82,'Premium Segment'!BE$82)</f>
        <v>414.7279602295946</v>
      </c>
      <c r="BF109" s="542">
        <f>SUM('Value Segment'!BF44,'Mid-Market Segment'!BF44,'Upper Mid-Market Segment'!BF44,'Premium Segment'!BF44)/SUM('Value Segment'!BF$82,'Mid-Market Segment'!BF$82,'Upper Mid-Market Segment'!BF$82,'Premium Segment'!BF$82)</f>
        <v>414.7279602295946</v>
      </c>
      <c r="BG109" s="542">
        <f>SUM('Value Segment'!BG44,'Mid-Market Segment'!BG44,'Upper Mid-Market Segment'!BG44,'Premium Segment'!BG44)/SUM('Value Segment'!BG$82,'Mid-Market Segment'!BG$82,'Upper Mid-Market Segment'!BG$82,'Premium Segment'!BG$82)</f>
        <v>414.7279602295946</v>
      </c>
      <c r="BH109" s="542">
        <f>SUM('Value Segment'!BH44,'Mid-Market Segment'!BH44,'Upper Mid-Market Segment'!BH44,'Premium Segment'!BH44)/SUM('Value Segment'!BH$82,'Mid-Market Segment'!BH$82,'Upper Mid-Market Segment'!BH$82,'Premium Segment'!BH$82)</f>
        <v>414.7279602295946</v>
      </c>
      <c r="BI109" s="542">
        <f>SUM('Value Segment'!BI44,'Mid-Market Segment'!BI44,'Upper Mid-Market Segment'!BI44,'Premium Segment'!BI44)/SUM('Value Segment'!BI$82,'Mid-Market Segment'!BI$82,'Upper Mid-Market Segment'!BI$82,'Premium Segment'!BI$82)</f>
        <v>414.7279602295946</v>
      </c>
      <c r="BJ109" s="542">
        <f>SUM('Value Segment'!BJ44,'Mid-Market Segment'!BJ44,'Upper Mid-Market Segment'!BJ44,'Premium Segment'!BJ44)/SUM('Value Segment'!BJ$82,'Mid-Market Segment'!BJ$82,'Upper Mid-Market Segment'!BJ$82,'Premium Segment'!BJ$82)</f>
        <v>414.7279602295946</v>
      </c>
      <c r="BK109" s="542">
        <f>SUM('Value Segment'!BK44,'Mid-Market Segment'!BK44,'Upper Mid-Market Segment'!BK44,'Premium Segment'!BK44)/SUM('Value Segment'!BK$82,'Mid-Market Segment'!BK$82,'Upper Mid-Market Segment'!BK$82,'Premium Segment'!BK$82)</f>
        <v>414.7279602295946</v>
      </c>
      <c r="BL109" s="542">
        <f>SUM('Value Segment'!BL44,'Mid-Market Segment'!BL44,'Upper Mid-Market Segment'!BL44,'Premium Segment'!BL44)/SUM('Value Segment'!BL$82,'Mid-Market Segment'!BL$82,'Upper Mid-Market Segment'!BL$82,'Premium Segment'!BL$82)</f>
        <v>414.7279602295946</v>
      </c>
      <c r="BM109" s="542">
        <f>SUM('Value Segment'!BM44,'Mid-Market Segment'!BM44,'Upper Mid-Market Segment'!BM44,'Premium Segment'!BM44)/SUM('Value Segment'!BM$82,'Mid-Market Segment'!BM$82,'Upper Mid-Market Segment'!BM$82,'Premium Segment'!BM$82)</f>
        <v>414.7279602295946</v>
      </c>
      <c r="BN109" s="542">
        <f>SUM('Value Segment'!BN44,'Mid-Market Segment'!BN44,'Upper Mid-Market Segment'!BN44,'Premium Segment'!BN44)/SUM('Value Segment'!BN$82,'Mid-Market Segment'!BN$82,'Upper Mid-Market Segment'!BN$82,'Premium Segment'!BN$82)</f>
        <v>423.69562859484398</v>
      </c>
      <c r="BO109" s="542">
        <f>SUM('Value Segment'!BO44,'Mid-Market Segment'!BO44,'Upper Mid-Market Segment'!BO44,'Premium Segment'!BO44)/SUM('Value Segment'!BO$82,'Mid-Market Segment'!BO$82,'Upper Mid-Market Segment'!BO$82,'Premium Segment'!BO$82)</f>
        <v>423.69562859484398</v>
      </c>
      <c r="BP109" s="542">
        <f>SUM('Value Segment'!BP44,'Mid-Market Segment'!BP44,'Upper Mid-Market Segment'!BP44,'Premium Segment'!BP44)/SUM('Value Segment'!BP$82,'Mid-Market Segment'!BP$82,'Upper Mid-Market Segment'!BP$82,'Premium Segment'!BP$82)</f>
        <v>423.69562859484398</v>
      </c>
      <c r="BQ109" s="542">
        <f>SUM('Value Segment'!BQ44,'Mid-Market Segment'!BQ44,'Upper Mid-Market Segment'!BQ44,'Premium Segment'!BQ44)/SUM('Value Segment'!BQ$82,'Mid-Market Segment'!BQ$82,'Upper Mid-Market Segment'!BQ$82,'Premium Segment'!BQ$82)</f>
        <v>423.69562859484398</v>
      </c>
      <c r="BR109" s="542">
        <f>SUM('Value Segment'!BR44,'Mid-Market Segment'!BR44,'Upper Mid-Market Segment'!BR44,'Premium Segment'!BR44)/SUM('Value Segment'!BR$82,'Mid-Market Segment'!BR$82,'Upper Mid-Market Segment'!BR$82,'Premium Segment'!BR$82)</f>
        <v>423.69562859484398</v>
      </c>
      <c r="BS109" s="542">
        <f>SUM('Value Segment'!BS44,'Mid-Market Segment'!BS44,'Upper Mid-Market Segment'!BS44,'Premium Segment'!BS44)/SUM('Value Segment'!BS$82,'Mid-Market Segment'!BS$82,'Upper Mid-Market Segment'!BS$82,'Premium Segment'!BS$82)</f>
        <v>423.69562859484398</v>
      </c>
      <c r="BT109" s="542">
        <f>SUM('Value Segment'!BT44,'Mid-Market Segment'!BT44,'Upper Mid-Market Segment'!BT44,'Premium Segment'!BT44)/SUM('Value Segment'!BT$82,'Mid-Market Segment'!BT$82,'Upper Mid-Market Segment'!BT$82,'Premium Segment'!BT$82)</f>
        <v>423.69562859484398</v>
      </c>
      <c r="BU109" s="542">
        <f>SUM('Value Segment'!BU44,'Mid-Market Segment'!BU44,'Upper Mid-Market Segment'!BU44,'Premium Segment'!BU44)/SUM('Value Segment'!BU$82,'Mid-Market Segment'!BU$82,'Upper Mid-Market Segment'!BU$82,'Premium Segment'!BU$82)</f>
        <v>423.69562859484398</v>
      </c>
      <c r="BV109" s="542">
        <f>SUM('Value Segment'!BV44,'Mid-Market Segment'!BV44,'Upper Mid-Market Segment'!BV44,'Premium Segment'!BV44)/SUM('Value Segment'!BV$82,'Mid-Market Segment'!BV$82,'Upper Mid-Market Segment'!BV$82,'Premium Segment'!BV$82)</f>
        <v>423.69562859484398</v>
      </c>
      <c r="BW109" s="542">
        <f>SUM('Value Segment'!BW44,'Mid-Market Segment'!BW44,'Upper Mid-Market Segment'!BW44,'Premium Segment'!BW44)/SUM('Value Segment'!BW$82,'Mid-Market Segment'!BW$82,'Upper Mid-Market Segment'!BW$82,'Premium Segment'!BW$82)</f>
        <v>423.69562859484398</v>
      </c>
      <c r="BX109" s="542">
        <f>SUM('Value Segment'!BX44,'Mid-Market Segment'!BX44,'Upper Mid-Market Segment'!BX44,'Premium Segment'!BX44)/SUM('Value Segment'!BX$82,'Mid-Market Segment'!BX$82,'Upper Mid-Market Segment'!BX$82,'Premium Segment'!BX$82)</f>
        <v>423.69562859484398</v>
      </c>
      <c r="BY109" s="542">
        <f>SUM('Value Segment'!BY44,'Mid-Market Segment'!BY44,'Upper Mid-Market Segment'!BY44,'Premium Segment'!BY44)/SUM('Value Segment'!BY$82,'Mid-Market Segment'!BY$82,'Upper Mid-Market Segment'!BY$82,'Premium Segment'!BY$82)</f>
        <v>423.69562859484398</v>
      </c>
      <c r="CB109" s="8"/>
    </row>
    <row r="110" spans="3:80" x14ac:dyDescent="0.3">
      <c r="C110" s="2"/>
      <c r="D110" s="2"/>
      <c r="E110" s="4" t="s">
        <v>26</v>
      </c>
      <c r="F110" s="5"/>
      <c r="G110" s="5"/>
      <c r="H110" s="5"/>
      <c r="I110" s="672">
        <f>SUM('Value Segment'!I45,'Mid-Market Segment'!I45,'Upper Mid-Market Segment'!I45,'Premium Segment'!I45)/SUM('Value Segment'!I$82,'Mid-Market Segment'!I$82,'Upper Mid-Market Segment'!I$82,'Premium Segment'!I$82)</f>
        <v>37967.123280952546</v>
      </c>
      <c r="J110" s="672">
        <f>SUM('Value Segment'!J45,'Mid-Market Segment'!J45,'Upper Mid-Market Segment'!J45,'Premium Segment'!J45)/SUM('Value Segment'!J$82,'Mid-Market Segment'!J$82,'Upper Mid-Market Segment'!J$82,'Premium Segment'!J$82)</f>
        <v>39678.991194301758</v>
      </c>
      <c r="K110" s="672">
        <f>SUM('Value Segment'!K45,'Mid-Market Segment'!K45,'Upper Mid-Market Segment'!K45,'Premium Segment'!K45)/SUM('Value Segment'!K$82,'Mid-Market Segment'!K$82,'Upper Mid-Market Segment'!K$82,'Premium Segment'!K$82)</f>
        <v>41829.56573614035</v>
      </c>
      <c r="L110" s="672">
        <f>SUM('Value Segment'!L45,'Mid-Market Segment'!L45,'Upper Mid-Market Segment'!L45,'Premium Segment'!L45)/SUM('Value Segment'!L$82,'Mid-Market Segment'!L$82,'Upper Mid-Market Segment'!L$82,'Premium Segment'!L$82)</f>
        <v>44039.436908529191</v>
      </c>
      <c r="M110" s="672">
        <f>SUM('Value Segment'!M45,'Mid-Market Segment'!M45,'Upper Mid-Market Segment'!M45,'Premium Segment'!M45)/SUM('Value Segment'!M$82,'Mid-Market Segment'!M$82,'Upper Mid-Market Segment'!M$82,'Premium Segment'!M$82)</f>
        <v>46246.118712395699</v>
      </c>
      <c r="N110" s="672">
        <f>SUM('Value Segment'!N45,'Mid-Market Segment'!N45,'Upper Mid-Market Segment'!N45,'Premium Segment'!N45)/SUM('Value Segment'!N$82,'Mid-Market Segment'!N$82,'Upper Mid-Market Segment'!N$82,'Premium Segment'!N$82)</f>
        <v>48508.383182064113</v>
      </c>
      <c r="O110" s="57"/>
      <c r="P110" s="55">
        <f>IFERROR(((N110/I110)^(1/5))-1,0)</f>
        <v>5.0223716427243659E-2</v>
      </c>
      <c r="R110" s="672">
        <f>SUM('Value Segment'!R45,'Mid-Market Segment'!R45,'Upper Mid-Market Segment'!R45,'Premium Segment'!R45)/SUM('Value Segment'!R$82,'Mid-Market Segment'!R$82,'Upper Mid-Market Segment'!R$82,'Premium Segment'!R$82)</f>
        <v>3260.0900355955032</v>
      </c>
      <c r="S110" s="675">
        <f>SUM('Value Segment'!S45,'Mid-Market Segment'!S45,'Upper Mid-Market Segment'!S45,'Premium Segment'!S45)/SUM('Value Segment'!S$82,'Mid-Market Segment'!S$82,'Upper Mid-Market Segment'!S$82,'Premium Segment'!S$82)</f>
        <v>3260.0900355955032</v>
      </c>
      <c r="T110" s="675">
        <f>SUM('Value Segment'!T45,'Mid-Market Segment'!T45,'Upper Mid-Market Segment'!T45,'Premium Segment'!T45)/SUM('Value Segment'!T$82,'Mid-Market Segment'!T$82,'Upper Mid-Market Segment'!T$82,'Premium Segment'!T$82)</f>
        <v>3260.0900355955032</v>
      </c>
      <c r="U110" s="675">
        <f>SUM('Value Segment'!U45,'Mid-Market Segment'!U45,'Upper Mid-Market Segment'!U45,'Premium Segment'!U45)/SUM('Value Segment'!U$82,'Mid-Market Segment'!U$82,'Upper Mid-Market Segment'!U$82,'Premium Segment'!U$82)</f>
        <v>3260.0900355955032</v>
      </c>
      <c r="V110" s="675">
        <f>SUM('Value Segment'!V45,'Mid-Market Segment'!V45,'Upper Mid-Market Segment'!V45,'Premium Segment'!V45)/SUM('Value Segment'!V$82,'Mid-Market Segment'!V$82,'Upper Mid-Market Segment'!V$82,'Premium Segment'!V$82)</f>
        <v>3260.0900355955032</v>
      </c>
      <c r="W110" s="675">
        <f>SUM('Value Segment'!W45,'Mid-Market Segment'!W45,'Upper Mid-Market Segment'!W45,'Premium Segment'!W45)/SUM('Value Segment'!W$82,'Mid-Market Segment'!W$82,'Upper Mid-Market Segment'!W$82,'Premium Segment'!W$82)</f>
        <v>3260.0900355955032</v>
      </c>
      <c r="X110" s="675">
        <f>SUM('Value Segment'!X45,'Mid-Market Segment'!X45,'Upper Mid-Market Segment'!X45,'Premium Segment'!X45)/SUM('Value Segment'!X$82,'Mid-Market Segment'!X$82,'Upper Mid-Market Segment'!X$82,'Premium Segment'!X$82)</f>
        <v>3353.0751634547905</v>
      </c>
      <c r="Y110" s="675">
        <f>SUM('Value Segment'!Y45,'Mid-Market Segment'!Y45,'Upper Mid-Market Segment'!Y45,'Premium Segment'!Y45)/SUM('Value Segment'!Y$82,'Mid-Market Segment'!Y$82,'Upper Mid-Market Segment'!Y$82,'Premium Segment'!Y$82)</f>
        <v>3353.0751634547905</v>
      </c>
      <c r="Z110" s="675">
        <f>SUM('Value Segment'!Z45,'Mid-Market Segment'!Z45,'Upper Mid-Market Segment'!Z45,'Premium Segment'!Z45)/SUM('Value Segment'!Z$82,'Mid-Market Segment'!Z$82,'Upper Mid-Market Segment'!Z$82,'Premium Segment'!Z$82)</f>
        <v>3353.0751634547905</v>
      </c>
      <c r="AA110" s="675">
        <f>SUM('Value Segment'!AA45,'Mid-Market Segment'!AA45,'Upper Mid-Market Segment'!AA45,'Premium Segment'!AA45)/SUM('Value Segment'!AA$82,'Mid-Market Segment'!AA$82,'Upper Mid-Market Segment'!AA$82,'Premium Segment'!AA$82)</f>
        <v>3353.0751634547905</v>
      </c>
      <c r="AB110" s="675">
        <f>SUM('Value Segment'!AB45,'Mid-Market Segment'!AB45,'Upper Mid-Market Segment'!AB45,'Premium Segment'!AB45)/SUM('Value Segment'!AB$82,'Mid-Market Segment'!AB$82,'Upper Mid-Market Segment'!AB$82,'Premium Segment'!AB$82)</f>
        <v>3353.0751634547905</v>
      </c>
      <c r="AC110" s="675">
        <f>SUM('Value Segment'!AC45,'Mid-Market Segment'!AC45,'Upper Mid-Market Segment'!AC45,'Premium Segment'!AC45)/SUM('Value Segment'!AC$82,'Mid-Market Segment'!AC$82,'Upper Mid-Market Segment'!AC$82,'Premium Segment'!AC$82)</f>
        <v>3353.0751634547905</v>
      </c>
      <c r="AD110" s="675">
        <f>SUM('Value Segment'!AD45,'Mid-Market Segment'!AD45,'Upper Mid-Market Segment'!AD45,'Premium Segment'!AD45)/SUM('Value Segment'!AD$82,'Mid-Market Segment'!AD$82,'Upper Mid-Market Segment'!AD$82,'Premium Segment'!AD$82)</f>
        <v>3426.0077001317413</v>
      </c>
      <c r="AE110" s="675">
        <f>SUM('Value Segment'!AE45,'Mid-Market Segment'!AE45,'Upper Mid-Market Segment'!AE45,'Premium Segment'!AE45)/SUM('Value Segment'!AE$82,'Mid-Market Segment'!AE$82,'Upper Mid-Market Segment'!AE$82,'Premium Segment'!AE$82)</f>
        <v>3426.0077001317413</v>
      </c>
      <c r="AF110" s="675">
        <f>SUM('Value Segment'!AF45,'Mid-Market Segment'!AF45,'Upper Mid-Market Segment'!AF45,'Premium Segment'!AF45)/SUM('Value Segment'!AF$82,'Mid-Market Segment'!AF$82,'Upper Mid-Market Segment'!AF$82,'Premium Segment'!AF$82)</f>
        <v>3426.0077001317413</v>
      </c>
      <c r="AG110" s="675">
        <f>SUM('Value Segment'!AG45,'Mid-Market Segment'!AG45,'Upper Mid-Market Segment'!AG45,'Premium Segment'!AG45)/SUM('Value Segment'!AG$82,'Mid-Market Segment'!AG$82,'Upper Mid-Market Segment'!AG$82,'Premium Segment'!AG$82)</f>
        <v>3426.0077001317413</v>
      </c>
      <c r="AH110" s="675">
        <f>SUM('Value Segment'!AH45,'Mid-Market Segment'!AH45,'Upper Mid-Market Segment'!AH45,'Premium Segment'!AH45)/SUM('Value Segment'!AH$82,'Mid-Market Segment'!AH$82,'Upper Mid-Market Segment'!AH$82,'Premium Segment'!AH$82)</f>
        <v>3426.0077001317413</v>
      </c>
      <c r="AI110" s="675">
        <f>SUM('Value Segment'!AI45,'Mid-Market Segment'!AI45,'Upper Mid-Market Segment'!AI45,'Premium Segment'!AI45)/SUM('Value Segment'!AI$82,'Mid-Market Segment'!AI$82,'Upper Mid-Market Segment'!AI$82,'Premium Segment'!AI$82)</f>
        <v>3426.0077001317413</v>
      </c>
      <c r="AJ110" s="675">
        <f>SUM('Value Segment'!AJ45,'Mid-Market Segment'!AJ45,'Upper Mid-Market Segment'!AJ45,'Premium Segment'!AJ45)/SUM('Value Segment'!AJ$82,'Mid-Market Segment'!AJ$82,'Upper Mid-Market Segment'!AJ$82,'Premium Segment'!AJ$82)</f>
        <v>3545.5865892249826</v>
      </c>
      <c r="AK110" s="675">
        <f>SUM('Value Segment'!AK45,'Mid-Market Segment'!AK45,'Upper Mid-Market Segment'!AK45,'Premium Segment'!AK45)/SUM('Value Segment'!AK$82,'Mid-Market Segment'!AK$82,'Upper Mid-Market Segment'!AK$82,'Premium Segment'!AK$82)</f>
        <v>3545.5865892249826</v>
      </c>
      <c r="AL110" s="675">
        <f>SUM('Value Segment'!AL45,'Mid-Market Segment'!AL45,'Upper Mid-Market Segment'!AL45,'Premium Segment'!AL45)/SUM('Value Segment'!AL$82,'Mid-Market Segment'!AL$82,'Upper Mid-Market Segment'!AL$82,'Premium Segment'!AL$82)</f>
        <v>3545.5865892249826</v>
      </c>
      <c r="AM110" s="675">
        <f>SUM('Value Segment'!AM45,'Mid-Market Segment'!AM45,'Upper Mid-Market Segment'!AM45,'Premium Segment'!AM45)/SUM('Value Segment'!AM$82,'Mid-Market Segment'!AM$82,'Upper Mid-Market Segment'!AM$82,'Premium Segment'!AM$82)</f>
        <v>3545.5865892249826</v>
      </c>
      <c r="AN110" s="675">
        <f>SUM('Value Segment'!AN45,'Mid-Market Segment'!AN45,'Upper Mid-Market Segment'!AN45,'Premium Segment'!AN45)/SUM('Value Segment'!AN$82,'Mid-Market Segment'!AN$82,'Upper Mid-Market Segment'!AN$82,'Premium Segment'!AN$82)</f>
        <v>3545.5865892249826</v>
      </c>
      <c r="AO110" s="675">
        <f>SUM('Value Segment'!AO45,'Mid-Market Segment'!AO45,'Upper Mid-Market Segment'!AO45,'Premium Segment'!AO45)/SUM('Value Segment'!AO$82,'Mid-Market Segment'!AO$82,'Upper Mid-Market Segment'!AO$82,'Premium Segment'!AO$82)</f>
        <v>3545.5865892249826</v>
      </c>
      <c r="AP110" s="675">
        <f>SUM('Value Segment'!AP45,'Mid-Market Segment'!AP45,'Upper Mid-Market Segment'!AP45,'Premium Segment'!AP45)/SUM('Value Segment'!AP$82,'Mid-Market Segment'!AP$82,'Upper Mid-Market Segment'!AP$82,'Premium Segment'!AP$82)</f>
        <v>3595.9739037094373</v>
      </c>
      <c r="AQ110" s="675">
        <f>SUM('Value Segment'!AQ45,'Mid-Market Segment'!AQ45,'Upper Mid-Market Segment'!AQ45,'Premium Segment'!AQ45)/SUM('Value Segment'!AQ$82,'Mid-Market Segment'!AQ$82,'Upper Mid-Market Segment'!AQ$82,'Premium Segment'!AQ$82)</f>
        <v>3595.9739037094373</v>
      </c>
      <c r="AR110" s="675">
        <f>SUM('Value Segment'!AR45,'Mid-Market Segment'!AR45,'Upper Mid-Market Segment'!AR45,'Premium Segment'!AR45)/SUM('Value Segment'!AR$82,'Mid-Market Segment'!AR$82,'Upper Mid-Market Segment'!AR$82,'Premium Segment'!AR$82)</f>
        <v>3595.9739037094373</v>
      </c>
      <c r="AS110" s="675">
        <f>SUM('Value Segment'!AS45,'Mid-Market Segment'!AS45,'Upper Mid-Market Segment'!AS45,'Premium Segment'!AS45)/SUM('Value Segment'!AS$82,'Mid-Market Segment'!AS$82,'Upper Mid-Market Segment'!AS$82,'Premium Segment'!AS$82)</f>
        <v>3595.9739037094373</v>
      </c>
      <c r="AT110" s="675">
        <f>SUM('Value Segment'!AT45,'Mid-Market Segment'!AT45,'Upper Mid-Market Segment'!AT45,'Premium Segment'!AT45)/SUM('Value Segment'!AT$82,'Mid-Market Segment'!AT$82,'Upper Mid-Market Segment'!AT$82,'Premium Segment'!AT$82)</f>
        <v>3595.9739037094373</v>
      </c>
      <c r="AU110" s="675">
        <f>SUM('Value Segment'!AU45,'Mid-Market Segment'!AU45,'Upper Mid-Market Segment'!AU45,'Premium Segment'!AU45)/SUM('Value Segment'!AU$82,'Mid-Market Segment'!AU$82,'Upper Mid-Market Segment'!AU$82,'Premium Segment'!AU$82)</f>
        <v>3595.9739037094373</v>
      </c>
      <c r="AV110" s="675">
        <f>SUM('Value Segment'!AV45,'Mid-Market Segment'!AV45,'Upper Mid-Market Segment'!AV45,'Premium Segment'!AV45)/SUM('Value Segment'!AV$82,'Mid-Market Segment'!AV$82,'Upper Mid-Market Segment'!AV$82,'Premium Segment'!AV$82)</f>
        <v>3743.9322477120954</v>
      </c>
      <c r="AW110" s="675">
        <f>SUM('Value Segment'!AW45,'Mid-Market Segment'!AW45,'Upper Mid-Market Segment'!AW45,'Premium Segment'!AW45)/SUM('Value Segment'!AW$82,'Mid-Market Segment'!AW$82,'Upper Mid-Market Segment'!AW$82,'Premium Segment'!AW$82)</f>
        <v>3743.9322477120954</v>
      </c>
      <c r="AX110" s="675">
        <f>SUM('Value Segment'!AX45,'Mid-Market Segment'!AX45,'Upper Mid-Market Segment'!AX45,'Premium Segment'!AX45)/SUM('Value Segment'!AX$82,'Mid-Market Segment'!AX$82,'Upper Mid-Market Segment'!AX$82,'Premium Segment'!AX$82)</f>
        <v>3743.9322477120954</v>
      </c>
      <c r="AY110" s="675">
        <f>SUM('Value Segment'!AY45,'Mid-Market Segment'!AY45,'Upper Mid-Market Segment'!AY45,'Premium Segment'!AY45)/SUM('Value Segment'!AY$82,'Mid-Market Segment'!AY$82,'Upper Mid-Market Segment'!AY$82,'Premium Segment'!AY$82)</f>
        <v>3743.9322477120954</v>
      </c>
      <c r="AZ110" s="675">
        <f>SUM('Value Segment'!AZ45,'Mid-Market Segment'!AZ45,'Upper Mid-Market Segment'!AZ45,'Premium Segment'!AZ45)/SUM('Value Segment'!AZ$82,'Mid-Market Segment'!AZ$82,'Upper Mid-Market Segment'!AZ$82,'Premium Segment'!AZ$82)</f>
        <v>3743.9322477120954</v>
      </c>
      <c r="BA110" s="675">
        <f>SUM('Value Segment'!BA45,'Mid-Market Segment'!BA45,'Upper Mid-Market Segment'!BA45,'Premium Segment'!BA45)/SUM('Value Segment'!BA$82,'Mid-Market Segment'!BA$82,'Upper Mid-Market Segment'!BA$82,'Premium Segment'!BA$82)</f>
        <v>3743.9322477120954</v>
      </c>
      <c r="BB110" s="675">
        <f>SUM('Value Segment'!BB45,'Mid-Market Segment'!BB45,'Upper Mid-Market Segment'!BB45,'Premium Segment'!BB45)/SUM('Value Segment'!BB$82,'Mid-Market Segment'!BB$82,'Upper Mid-Market Segment'!BB$82,'Premium Segment'!BB$82)</f>
        <v>3764.7627896878948</v>
      </c>
      <c r="BC110" s="675">
        <f>SUM('Value Segment'!BC45,'Mid-Market Segment'!BC45,'Upper Mid-Market Segment'!BC45,'Premium Segment'!BC45)/SUM('Value Segment'!BC$82,'Mid-Market Segment'!BC$82,'Upper Mid-Market Segment'!BC$82,'Premium Segment'!BC$82)</f>
        <v>3764.7627896878948</v>
      </c>
      <c r="BD110" s="675">
        <f>SUM('Value Segment'!BD45,'Mid-Market Segment'!BD45,'Upper Mid-Market Segment'!BD45,'Premium Segment'!BD45)/SUM('Value Segment'!BD$82,'Mid-Market Segment'!BD$82,'Upper Mid-Market Segment'!BD$82,'Premium Segment'!BD$82)</f>
        <v>3764.7627896878948</v>
      </c>
      <c r="BE110" s="675">
        <f>SUM('Value Segment'!BE45,'Mid-Market Segment'!BE45,'Upper Mid-Market Segment'!BE45,'Premium Segment'!BE45)/SUM('Value Segment'!BE$82,'Mid-Market Segment'!BE$82,'Upper Mid-Market Segment'!BE$82,'Premium Segment'!BE$82)</f>
        <v>3764.7627896878948</v>
      </c>
      <c r="BF110" s="675">
        <f>SUM('Value Segment'!BF45,'Mid-Market Segment'!BF45,'Upper Mid-Market Segment'!BF45,'Premium Segment'!BF45)/SUM('Value Segment'!BF$82,'Mid-Market Segment'!BF$82,'Upper Mid-Market Segment'!BF$82,'Premium Segment'!BF$82)</f>
        <v>3764.7627896878948</v>
      </c>
      <c r="BG110" s="675">
        <f>SUM('Value Segment'!BG45,'Mid-Market Segment'!BG45,'Upper Mid-Market Segment'!BG45,'Premium Segment'!BG45)/SUM('Value Segment'!BG$82,'Mid-Market Segment'!BG$82,'Upper Mid-Market Segment'!BG$82,'Premium Segment'!BG$82)</f>
        <v>3764.7627896878948</v>
      </c>
      <c r="BH110" s="675">
        <f>SUM('Value Segment'!BH45,'Mid-Market Segment'!BH45,'Upper Mid-Market Segment'!BH45,'Premium Segment'!BH45)/SUM('Value Segment'!BH$82,'Mid-Market Segment'!BH$82,'Upper Mid-Market Segment'!BH$82,'Premium Segment'!BH$82)</f>
        <v>3942.9236623780535</v>
      </c>
      <c r="BI110" s="675">
        <f>SUM('Value Segment'!BI45,'Mid-Market Segment'!BI45,'Upper Mid-Market Segment'!BI45,'Premium Segment'!BI45)/SUM('Value Segment'!BI$82,'Mid-Market Segment'!BI$82,'Upper Mid-Market Segment'!BI$82,'Premium Segment'!BI$82)</f>
        <v>3942.9236623780535</v>
      </c>
      <c r="BJ110" s="675">
        <f>SUM('Value Segment'!BJ45,'Mid-Market Segment'!BJ45,'Upper Mid-Market Segment'!BJ45,'Premium Segment'!BJ45)/SUM('Value Segment'!BJ$82,'Mid-Market Segment'!BJ$82,'Upper Mid-Market Segment'!BJ$82,'Premium Segment'!BJ$82)</f>
        <v>3942.9236623780535</v>
      </c>
      <c r="BK110" s="675">
        <f>SUM('Value Segment'!BK45,'Mid-Market Segment'!BK45,'Upper Mid-Market Segment'!BK45,'Premium Segment'!BK45)/SUM('Value Segment'!BK$82,'Mid-Market Segment'!BK$82,'Upper Mid-Market Segment'!BK$82,'Premium Segment'!BK$82)</f>
        <v>3942.9236623780535</v>
      </c>
      <c r="BL110" s="675">
        <f>SUM('Value Segment'!BL45,'Mid-Market Segment'!BL45,'Upper Mid-Market Segment'!BL45,'Premium Segment'!BL45)/SUM('Value Segment'!BL$82,'Mid-Market Segment'!BL$82,'Upper Mid-Market Segment'!BL$82,'Premium Segment'!BL$82)</f>
        <v>3942.9236623780535</v>
      </c>
      <c r="BM110" s="675">
        <f>SUM('Value Segment'!BM45,'Mid-Market Segment'!BM45,'Upper Mid-Market Segment'!BM45,'Premium Segment'!BM45)/SUM('Value Segment'!BM$82,'Mid-Market Segment'!BM$82,'Upper Mid-Market Segment'!BM$82,'Premium Segment'!BM$82)</f>
        <v>3942.9236623780535</v>
      </c>
      <c r="BN110" s="675">
        <f>SUM('Value Segment'!BN45,'Mid-Market Segment'!BN45,'Upper Mid-Market Segment'!BN45,'Premium Segment'!BN45)/SUM('Value Segment'!BN$82,'Mid-Market Segment'!BN$82,'Upper Mid-Market Segment'!BN$82,'Premium Segment'!BN$82)</f>
        <v>3937.2275833572462</v>
      </c>
      <c r="BO110" s="675">
        <f>SUM('Value Segment'!BO45,'Mid-Market Segment'!BO45,'Upper Mid-Market Segment'!BO45,'Premium Segment'!BO45)/SUM('Value Segment'!BO$82,'Mid-Market Segment'!BO$82,'Upper Mid-Market Segment'!BO$82,'Premium Segment'!BO$82)</f>
        <v>3937.2275833572462</v>
      </c>
      <c r="BP110" s="675">
        <f>SUM('Value Segment'!BP45,'Mid-Market Segment'!BP45,'Upper Mid-Market Segment'!BP45,'Premium Segment'!BP45)/SUM('Value Segment'!BP$82,'Mid-Market Segment'!BP$82,'Upper Mid-Market Segment'!BP$82,'Premium Segment'!BP$82)</f>
        <v>3937.2275833572462</v>
      </c>
      <c r="BQ110" s="675">
        <f>SUM('Value Segment'!BQ45,'Mid-Market Segment'!BQ45,'Upper Mid-Market Segment'!BQ45,'Premium Segment'!BQ45)/SUM('Value Segment'!BQ$82,'Mid-Market Segment'!BQ$82,'Upper Mid-Market Segment'!BQ$82,'Premium Segment'!BQ$82)</f>
        <v>3937.2275833572462</v>
      </c>
      <c r="BR110" s="675">
        <f>SUM('Value Segment'!BR45,'Mid-Market Segment'!BR45,'Upper Mid-Market Segment'!BR45,'Premium Segment'!BR45)/SUM('Value Segment'!BR$82,'Mid-Market Segment'!BR$82,'Upper Mid-Market Segment'!BR$82,'Premium Segment'!BR$82)</f>
        <v>3937.2275833572462</v>
      </c>
      <c r="BS110" s="675">
        <f>SUM('Value Segment'!BS45,'Mid-Market Segment'!BS45,'Upper Mid-Market Segment'!BS45,'Premium Segment'!BS45)/SUM('Value Segment'!BS$82,'Mid-Market Segment'!BS$82,'Upper Mid-Market Segment'!BS$82,'Premium Segment'!BS$82)</f>
        <v>3937.2275833572462</v>
      </c>
      <c r="BT110" s="675">
        <f>SUM('Value Segment'!BT45,'Mid-Market Segment'!BT45,'Upper Mid-Market Segment'!BT45,'Premium Segment'!BT45)/SUM('Value Segment'!BT$82,'Mid-Market Segment'!BT$82,'Upper Mid-Market Segment'!BT$82,'Premium Segment'!BT$82)</f>
        <v>4147.5029469867732</v>
      </c>
      <c r="BU110" s="675">
        <f>SUM('Value Segment'!BU45,'Mid-Market Segment'!BU45,'Upper Mid-Market Segment'!BU45,'Premium Segment'!BU45)/SUM('Value Segment'!BU$82,'Mid-Market Segment'!BU$82,'Upper Mid-Market Segment'!BU$82,'Premium Segment'!BU$82)</f>
        <v>4147.5029469867732</v>
      </c>
      <c r="BV110" s="675">
        <f>SUM('Value Segment'!BV45,'Mid-Market Segment'!BV45,'Upper Mid-Market Segment'!BV45,'Premium Segment'!BV45)/SUM('Value Segment'!BV$82,'Mid-Market Segment'!BV$82,'Upper Mid-Market Segment'!BV$82,'Premium Segment'!BV$82)</f>
        <v>4147.5029469867732</v>
      </c>
      <c r="BW110" s="675">
        <f>SUM('Value Segment'!BW45,'Mid-Market Segment'!BW45,'Upper Mid-Market Segment'!BW45,'Premium Segment'!BW45)/SUM('Value Segment'!BW$82,'Mid-Market Segment'!BW$82,'Upper Mid-Market Segment'!BW$82,'Premium Segment'!BW$82)</f>
        <v>4147.5029469867732</v>
      </c>
      <c r="BX110" s="675">
        <f>SUM('Value Segment'!BX45,'Mid-Market Segment'!BX45,'Upper Mid-Market Segment'!BX45,'Premium Segment'!BX45)/SUM('Value Segment'!BX$82,'Mid-Market Segment'!BX$82,'Upper Mid-Market Segment'!BX$82,'Premium Segment'!BX$82)</f>
        <v>4147.5029469867732</v>
      </c>
      <c r="BY110" s="675">
        <f>SUM('Value Segment'!BY45,'Mid-Market Segment'!BY45,'Upper Mid-Market Segment'!BY45,'Premium Segment'!BY45)/SUM('Value Segment'!BY$82,'Mid-Market Segment'!BY$82,'Upper Mid-Market Segment'!BY$82,'Premium Segment'!BY$82)</f>
        <v>4147.5029469867732</v>
      </c>
      <c r="CB110" s="8"/>
    </row>
    <row r="111" spans="3:80" x14ac:dyDescent="0.3">
      <c r="C111" s="2"/>
      <c r="D111" s="2"/>
      <c r="E111" s="2"/>
      <c r="F111" s="37"/>
      <c r="G111" s="37"/>
      <c r="H111" s="37"/>
      <c r="I111" s="37"/>
      <c r="J111" s="37"/>
      <c r="K111" s="37"/>
      <c r="L111" s="37"/>
      <c r="M111" s="37"/>
      <c r="N111" s="37"/>
      <c r="O111" s="37"/>
      <c r="P111" s="35"/>
      <c r="R111" s="37"/>
      <c r="S111" s="37"/>
      <c r="T111" s="37"/>
      <c r="U111" s="37"/>
      <c r="V111" s="37"/>
      <c r="W111" s="37"/>
      <c r="X111" s="37"/>
      <c r="Y111" s="37"/>
      <c r="Z111" s="37"/>
      <c r="AA111" s="37"/>
      <c r="AB111" s="37"/>
      <c r="AC111" s="37"/>
      <c r="AD111" s="37"/>
      <c r="AE111" s="37"/>
      <c r="AF111" s="37"/>
      <c r="AG111" s="37"/>
      <c r="AH111" s="37"/>
      <c r="AI111" s="37"/>
      <c r="AJ111" s="37"/>
      <c r="AK111" s="37"/>
      <c r="AL111" s="37"/>
      <c r="AM111" s="37"/>
      <c r="AN111" s="37"/>
      <c r="AO111" s="37"/>
      <c r="AP111" s="37"/>
      <c r="AQ111" s="37"/>
      <c r="AR111" s="37"/>
      <c r="AS111" s="37"/>
      <c r="AT111" s="37"/>
      <c r="AU111" s="37"/>
      <c r="AV111" s="37"/>
      <c r="AW111" s="37"/>
      <c r="AX111" s="37"/>
      <c r="AY111" s="37"/>
      <c r="AZ111" s="37"/>
      <c r="BA111" s="37"/>
      <c r="BB111" s="37"/>
      <c r="BC111" s="37"/>
      <c r="BD111" s="37"/>
      <c r="BE111" s="37"/>
      <c r="BF111" s="37"/>
      <c r="BG111" s="37"/>
      <c r="BH111" s="37"/>
      <c r="BI111" s="37"/>
      <c r="BJ111" s="37"/>
      <c r="BK111" s="37"/>
      <c r="BL111" s="37"/>
      <c r="BM111" s="37"/>
      <c r="BN111" s="37"/>
      <c r="BO111" s="37"/>
      <c r="BP111" s="37"/>
      <c r="BQ111" s="37"/>
      <c r="BR111" s="37"/>
      <c r="BS111" s="37"/>
      <c r="BT111" s="37"/>
      <c r="BU111" s="37"/>
      <c r="BV111" s="37"/>
      <c r="BW111" s="37"/>
      <c r="BX111" s="37"/>
      <c r="BY111" s="37"/>
    </row>
    <row r="112" spans="3:80" x14ac:dyDescent="0.3">
      <c r="C112" s="2"/>
      <c r="D112" s="2"/>
      <c r="E112" s="17" t="s">
        <v>27</v>
      </c>
      <c r="F112" s="37"/>
      <c r="G112" s="37"/>
      <c r="H112" s="37"/>
      <c r="I112" s="37"/>
      <c r="J112" s="37"/>
      <c r="K112" s="37"/>
      <c r="L112" s="37"/>
      <c r="M112" s="37"/>
      <c r="N112" s="37"/>
      <c r="O112" s="37"/>
      <c r="P112" s="35"/>
      <c r="R112" s="37"/>
      <c r="S112" s="37"/>
      <c r="T112" s="37"/>
      <c r="U112" s="37"/>
      <c r="V112" s="37"/>
      <c r="W112" s="37"/>
      <c r="X112" s="37"/>
      <c r="Y112" s="37"/>
      <c r="Z112" s="37"/>
      <c r="AA112" s="37"/>
      <c r="AB112" s="37"/>
      <c r="AC112" s="37"/>
      <c r="AD112" s="37"/>
      <c r="AE112" s="37"/>
      <c r="AF112" s="37"/>
      <c r="AG112" s="37"/>
      <c r="AH112" s="37"/>
      <c r="AI112" s="37"/>
      <c r="AJ112" s="37"/>
      <c r="AK112" s="37"/>
      <c r="AL112" s="37"/>
      <c r="AM112" s="37"/>
      <c r="AN112" s="37"/>
      <c r="AO112" s="37"/>
      <c r="AP112" s="37"/>
      <c r="AQ112" s="37"/>
      <c r="AR112" s="37"/>
      <c r="AS112" s="37"/>
      <c r="AT112" s="37"/>
      <c r="AU112" s="37"/>
      <c r="AV112" s="37"/>
      <c r="AW112" s="37"/>
      <c r="AX112" s="37"/>
      <c r="AY112" s="37"/>
      <c r="AZ112" s="37"/>
      <c r="BA112" s="37"/>
      <c r="BB112" s="37"/>
      <c r="BC112" s="37"/>
      <c r="BD112" s="37"/>
      <c r="BE112" s="37"/>
      <c r="BF112" s="37"/>
      <c r="BG112" s="37"/>
      <c r="BH112" s="37"/>
      <c r="BI112" s="37"/>
      <c r="BJ112" s="37"/>
      <c r="BK112" s="37"/>
      <c r="BL112" s="37"/>
      <c r="BM112" s="37"/>
      <c r="BN112" s="37"/>
      <c r="BO112" s="37"/>
      <c r="BP112" s="37"/>
      <c r="BQ112" s="37"/>
      <c r="BR112" s="37"/>
      <c r="BS112" s="37"/>
      <c r="BT112" s="37"/>
      <c r="BU112" s="37"/>
      <c r="BV112" s="37"/>
      <c r="BW112" s="37"/>
      <c r="BX112" s="37"/>
      <c r="BY112" s="37"/>
    </row>
    <row r="113" spans="3:80" x14ac:dyDescent="0.3">
      <c r="C113" s="2"/>
      <c r="D113" s="2"/>
      <c r="E113" s="2" t="s">
        <v>28</v>
      </c>
      <c r="F113" s="54"/>
      <c r="G113" s="54"/>
      <c r="H113" s="54"/>
      <c r="I113" s="19">
        <f>SUM('Value Segment'!I48,'Mid-Market Segment'!I48,'Upper Mid-Market Segment'!I48,'Premium Segment'!I48)/SUM('Value Segment'!I$82,'Mid-Market Segment'!I$82,'Upper Mid-Market Segment'!I$82,'Premium Segment'!I$82)</f>
        <v>72.305097402597383</v>
      </c>
      <c r="J113" s="19">
        <f>SUM('Value Segment'!J48,'Mid-Market Segment'!J48,'Upper Mid-Market Segment'!J48,'Premium Segment'!J48)/SUM('Value Segment'!J$82,'Mid-Market Segment'!J$82,'Upper Mid-Market Segment'!J$82,'Premium Segment'!J$82)</f>
        <v>72.305097402597397</v>
      </c>
      <c r="K113" s="19">
        <f>SUM('Value Segment'!K48,'Mid-Market Segment'!K48,'Upper Mid-Market Segment'!K48,'Premium Segment'!K48)/SUM('Value Segment'!K$82,'Mid-Market Segment'!K$82,'Upper Mid-Market Segment'!K$82,'Premium Segment'!K$82)</f>
        <v>72.305097402597397</v>
      </c>
      <c r="L113" s="19">
        <f>SUM('Value Segment'!L48,'Mid-Market Segment'!L48,'Upper Mid-Market Segment'!L48,'Premium Segment'!L48)/SUM('Value Segment'!L$82,'Mid-Market Segment'!L$82,'Upper Mid-Market Segment'!L$82,'Premium Segment'!L$82)</f>
        <v>72.305097402597397</v>
      </c>
      <c r="M113" s="19">
        <f>SUM('Value Segment'!M48,'Mid-Market Segment'!M48,'Upper Mid-Market Segment'!M48,'Premium Segment'!M48)/SUM('Value Segment'!M$82,'Mid-Market Segment'!M$82,'Upper Mid-Market Segment'!M$82,'Premium Segment'!M$82)</f>
        <v>72.305097402597397</v>
      </c>
      <c r="N113" s="19">
        <f>SUM('Value Segment'!N48,'Mid-Market Segment'!N48,'Upper Mid-Market Segment'!N48,'Premium Segment'!N48)/SUM('Value Segment'!N$82,'Mid-Market Segment'!N$82,'Upper Mid-Market Segment'!N$82,'Premium Segment'!N$82)</f>
        <v>72.305097402597397</v>
      </c>
      <c r="O113" s="37"/>
      <c r="P113" s="50">
        <f>IFERROR(((N113/I113)^(1/5))-1,0)</f>
        <v>0</v>
      </c>
      <c r="R113" s="19">
        <f>SUM('Value Segment'!R48,'Mid-Market Segment'!R48,'Upper Mid-Market Segment'!R48,'Premium Segment'!R48)/SUM('Value Segment'!R$82,'Mid-Market Segment'!R$82,'Upper Mid-Market Segment'!R$82,'Premium Segment'!R$82)</f>
        <v>6.0254247835497825</v>
      </c>
      <c r="S113" s="542">
        <f>SUM('Value Segment'!S48,'Mid-Market Segment'!S48,'Upper Mid-Market Segment'!S48,'Premium Segment'!S48)/SUM('Value Segment'!S$82,'Mid-Market Segment'!S$82,'Upper Mid-Market Segment'!S$82,'Premium Segment'!S$82)</f>
        <v>6.0254247835497825</v>
      </c>
      <c r="T113" s="542">
        <f>SUM('Value Segment'!T48,'Mid-Market Segment'!T48,'Upper Mid-Market Segment'!T48,'Premium Segment'!T48)/SUM('Value Segment'!T$82,'Mid-Market Segment'!T$82,'Upper Mid-Market Segment'!T$82,'Premium Segment'!T$82)</f>
        <v>6.0254247835497825</v>
      </c>
      <c r="U113" s="542">
        <f>SUM('Value Segment'!U48,'Mid-Market Segment'!U48,'Upper Mid-Market Segment'!U48,'Premium Segment'!U48)/SUM('Value Segment'!U$82,'Mid-Market Segment'!U$82,'Upper Mid-Market Segment'!U$82,'Premium Segment'!U$82)</f>
        <v>6.0254247835497825</v>
      </c>
      <c r="V113" s="542">
        <f>SUM('Value Segment'!V48,'Mid-Market Segment'!V48,'Upper Mid-Market Segment'!V48,'Premium Segment'!V48)/SUM('Value Segment'!V$82,'Mid-Market Segment'!V$82,'Upper Mid-Market Segment'!V$82,'Premium Segment'!V$82)</f>
        <v>6.0254247835497825</v>
      </c>
      <c r="W113" s="542">
        <f>SUM('Value Segment'!W48,'Mid-Market Segment'!W48,'Upper Mid-Market Segment'!W48,'Premium Segment'!W48)/SUM('Value Segment'!W$82,'Mid-Market Segment'!W$82,'Upper Mid-Market Segment'!W$82,'Premium Segment'!W$82)</f>
        <v>6.0254247835497825</v>
      </c>
      <c r="X113" s="542">
        <f>SUM('Value Segment'!X48,'Mid-Market Segment'!X48,'Upper Mid-Market Segment'!X48,'Premium Segment'!X48)/SUM('Value Segment'!X$82,'Mid-Market Segment'!X$82,'Upper Mid-Market Segment'!X$82,'Premium Segment'!X$82)</f>
        <v>6.0254247835497825</v>
      </c>
      <c r="Y113" s="542">
        <f>SUM('Value Segment'!Y48,'Mid-Market Segment'!Y48,'Upper Mid-Market Segment'!Y48,'Premium Segment'!Y48)/SUM('Value Segment'!Y$82,'Mid-Market Segment'!Y$82,'Upper Mid-Market Segment'!Y$82,'Premium Segment'!Y$82)</f>
        <v>6.0254247835497825</v>
      </c>
      <c r="Z113" s="542">
        <f>SUM('Value Segment'!Z48,'Mid-Market Segment'!Z48,'Upper Mid-Market Segment'!Z48,'Premium Segment'!Z48)/SUM('Value Segment'!Z$82,'Mid-Market Segment'!Z$82,'Upper Mid-Market Segment'!Z$82,'Premium Segment'!Z$82)</f>
        <v>6.0254247835497825</v>
      </c>
      <c r="AA113" s="542">
        <f>SUM('Value Segment'!AA48,'Mid-Market Segment'!AA48,'Upper Mid-Market Segment'!AA48,'Premium Segment'!AA48)/SUM('Value Segment'!AA$82,'Mid-Market Segment'!AA$82,'Upper Mid-Market Segment'!AA$82,'Premium Segment'!AA$82)</f>
        <v>6.0254247835497825</v>
      </c>
      <c r="AB113" s="542">
        <f>SUM('Value Segment'!AB48,'Mid-Market Segment'!AB48,'Upper Mid-Market Segment'!AB48,'Premium Segment'!AB48)/SUM('Value Segment'!AB$82,'Mid-Market Segment'!AB$82,'Upper Mid-Market Segment'!AB$82,'Premium Segment'!AB$82)</f>
        <v>6.0254247835497825</v>
      </c>
      <c r="AC113" s="542">
        <f>SUM('Value Segment'!AC48,'Mid-Market Segment'!AC48,'Upper Mid-Market Segment'!AC48,'Premium Segment'!AC48)/SUM('Value Segment'!AC$82,'Mid-Market Segment'!AC$82,'Upper Mid-Market Segment'!AC$82,'Premium Segment'!AC$82)</f>
        <v>6.0254247835497825</v>
      </c>
      <c r="AD113" s="542">
        <f>SUM('Value Segment'!AD48,'Mid-Market Segment'!AD48,'Upper Mid-Market Segment'!AD48,'Premium Segment'!AD48)/SUM('Value Segment'!AD$82,'Mid-Market Segment'!AD$82,'Upper Mid-Market Segment'!AD$82,'Premium Segment'!AD$82)</f>
        <v>6.0254247835497825</v>
      </c>
      <c r="AE113" s="542">
        <f>SUM('Value Segment'!AE48,'Mid-Market Segment'!AE48,'Upper Mid-Market Segment'!AE48,'Premium Segment'!AE48)/SUM('Value Segment'!AE$82,'Mid-Market Segment'!AE$82,'Upper Mid-Market Segment'!AE$82,'Premium Segment'!AE$82)</f>
        <v>6.0254247835497825</v>
      </c>
      <c r="AF113" s="542">
        <f>SUM('Value Segment'!AF48,'Mid-Market Segment'!AF48,'Upper Mid-Market Segment'!AF48,'Premium Segment'!AF48)/SUM('Value Segment'!AF$82,'Mid-Market Segment'!AF$82,'Upper Mid-Market Segment'!AF$82,'Premium Segment'!AF$82)</f>
        <v>6.0254247835497825</v>
      </c>
      <c r="AG113" s="542">
        <f>SUM('Value Segment'!AG48,'Mid-Market Segment'!AG48,'Upper Mid-Market Segment'!AG48,'Premium Segment'!AG48)/SUM('Value Segment'!AG$82,'Mid-Market Segment'!AG$82,'Upper Mid-Market Segment'!AG$82,'Premium Segment'!AG$82)</f>
        <v>6.0254247835497825</v>
      </c>
      <c r="AH113" s="542">
        <f>SUM('Value Segment'!AH48,'Mid-Market Segment'!AH48,'Upper Mid-Market Segment'!AH48,'Premium Segment'!AH48)/SUM('Value Segment'!AH$82,'Mid-Market Segment'!AH$82,'Upper Mid-Market Segment'!AH$82,'Premium Segment'!AH$82)</f>
        <v>6.0254247835497825</v>
      </c>
      <c r="AI113" s="542">
        <f>SUM('Value Segment'!AI48,'Mid-Market Segment'!AI48,'Upper Mid-Market Segment'!AI48,'Premium Segment'!AI48)/SUM('Value Segment'!AI$82,'Mid-Market Segment'!AI$82,'Upper Mid-Market Segment'!AI$82,'Premium Segment'!AI$82)</f>
        <v>6.0254247835497825</v>
      </c>
      <c r="AJ113" s="542">
        <f>SUM('Value Segment'!AJ48,'Mid-Market Segment'!AJ48,'Upper Mid-Market Segment'!AJ48,'Premium Segment'!AJ48)/SUM('Value Segment'!AJ$82,'Mid-Market Segment'!AJ$82,'Upper Mid-Market Segment'!AJ$82,'Premium Segment'!AJ$82)</f>
        <v>6.0254247835497825</v>
      </c>
      <c r="AK113" s="542">
        <f>SUM('Value Segment'!AK48,'Mid-Market Segment'!AK48,'Upper Mid-Market Segment'!AK48,'Premium Segment'!AK48)/SUM('Value Segment'!AK$82,'Mid-Market Segment'!AK$82,'Upper Mid-Market Segment'!AK$82,'Premium Segment'!AK$82)</f>
        <v>6.0254247835497825</v>
      </c>
      <c r="AL113" s="542">
        <f>SUM('Value Segment'!AL48,'Mid-Market Segment'!AL48,'Upper Mid-Market Segment'!AL48,'Premium Segment'!AL48)/SUM('Value Segment'!AL$82,'Mid-Market Segment'!AL$82,'Upper Mid-Market Segment'!AL$82,'Premium Segment'!AL$82)</f>
        <v>6.0254247835497825</v>
      </c>
      <c r="AM113" s="542">
        <f>SUM('Value Segment'!AM48,'Mid-Market Segment'!AM48,'Upper Mid-Market Segment'!AM48,'Premium Segment'!AM48)/SUM('Value Segment'!AM$82,'Mid-Market Segment'!AM$82,'Upper Mid-Market Segment'!AM$82,'Premium Segment'!AM$82)</f>
        <v>6.0254247835497825</v>
      </c>
      <c r="AN113" s="542">
        <f>SUM('Value Segment'!AN48,'Mid-Market Segment'!AN48,'Upper Mid-Market Segment'!AN48,'Premium Segment'!AN48)/SUM('Value Segment'!AN$82,'Mid-Market Segment'!AN$82,'Upper Mid-Market Segment'!AN$82,'Premium Segment'!AN$82)</f>
        <v>6.0254247835497825</v>
      </c>
      <c r="AO113" s="542">
        <f>SUM('Value Segment'!AO48,'Mid-Market Segment'!AO48,'Upper Mid-Market Segment'!AO48,'Premium Segment'!AO48)/SUM('Value Segment'!AO$82,'Mid-Market Segment'!AO$82,'Upper Mid-Market Segment'!AO$82,'Premium Segment'!AO$82)</f>
        <v>6.0254247835497825</v>
      </c>
      <c r="AP113" s="542">
        <f>SUM('Value Segment'!AP48,'Mid-Market Segment'!AP48,'Upper Mid-Market Segment'!AP48,'Premium Segment'!AP48)/SUM('Value Segment'!AP$82,'Mid-Market Segment'!AP$82,'Upper Mid-Market Segment'!AP$82,'Premium Segment'!AP$82)</f>
        <v>6.0254247835497825</v>
      </c>
      <c r="AQ113" s="542">
        <f>SUM('Value Segment'!AQ48,'Mid-Market Segment'!AQ48,'Upper Mid-Market Segment'!AQ48,'Premium Segment'!AQ48)/SUM('Value Segment'!AQ$82,'Mid-Market Segment'!AQ$82,'Upper Mid-Market Segment'!AQ$82,'Premium Segment'!AQ$82)</f>
        <v>6.0254247835497825</v>
      </c>
      <c r="AR113" s="542">
        <f>SUM('Value Segment'!AR48,'Mid-Market Segment'!AR48,'Upper Mid-Market Segment'!AR48,'Premium Segment'!AR48)/SUM('Value Segment'!AR$82,'Mid-Market Segment'!AR$82,'Upper Mid-Market Segment'!AR$82,'Premium Segment'!AR$82)</f>
        <v>6.0254247835497825</v>
      </c>
      <c r="AS113" s="542">
        <f>SUM('Value Segment'!AS48,'Mid-Market Segment'!AS48,'Upper Mid-Market Segment'!AS48,'Premium Segment'!AS48)/SUM('Value Segment'!AS$82,'Mid-Market Segment'!AS$82,'Upper Mid-Market Segment'!AS$82,'Premium Segment'!AS$82)</f>
        <v>6.0254247835497825</v>
      </c>
      <c r="AT113" s="542">
        <f>SUM('Value Segment'!AT48,'Mid-Market Segment'!AT48,'Upper Mid-Market Segment'!AT48,'Premium Segment'!AT48)/SUM('Value Segment'!AT$82,'Mid-Market Segment'!AT$82,'Upper Mid-Market Segment'!AT$82,'Premium Segment'!AT$82)</f>
        <v>6.0254247835497825</v>
      </c>
      <c r="AU113" s="542">
        <f>SUM('Value Segment'!AU48,'Mid-Market Segment'!AU48,'Upper Mid-Market Segment'!AU48,'Premium Segment'!AU48)/SUM('Value Segment'!AU$82,'Mid-Market Segment'!AU$82,'Upper Mid-Market Segment'!AU$82,'Premium Segment'!AU$82)</f>
        <v>6.0254247835497825</v>
      </c>
      <c r="AV113" s="542">
        <f>SUM('Value Segment'!AV48,'Mid-Market Segment'!AV48,'Upper Mid-Market Segment'!AV48,'Premium Segment'!AV48)/SUM('Value Segment'!AV$82,'Mid-Market Segment'!AV$82,'Upper Mid-Market Segment'!AV$82,'Premium Segment'!AV$82)</f>
        <v>6.0254247835497825</v>
      </c>
      <c r="AW113" s="542">
        <f>SUM('Value Segment'!AW48,'Mid-Market Segment'!AW48,'Upper Mid-Market Segment'!AW48,'Premium Segment'!AW48)/SUM('Value Segment'!AW$82,'Mid-Market Segment'!AW$82,'Upper Mid-Market Segment'!AW$82,'Premium Segment'!AW$82)</f>
        <v>6.0254247835497825</v>
      </c>
      <c r="AX113" s="542">
        <f>SUM('Value Segment'!AX48,'Mid-Market Segment'!AX48,'Upper Mid-Market Segment'!AX48,'Premium Segment'!AX48)/SUM('Value Segment'!AX$82,'Mid-Market Segment'!AX$82,'Upper Mid-Market Segment'!AX$82,'Premium Segment'!AX$82)</f>
        <v>6.0254247835497825</v>
      </c>
      <c r="AY113" s="542">
        <f>SUM('Value Segment'!AY48,'Mid-Market Segment'!AY48,'Upper Mid-Market Segment'!AY48,'Premium Segment'!AY48)/SUM('Value Segment'!AY$82,'Mid-Market Segment'!AY$82,'Upper Mid-Market Segment'!AY$82,'Premium Segment'!AY$82)</f>
        <v>6.0254247835497825</v>
      </c>
      <c r="AZ113" s="542">
        <f>SUM('Value Segment'!AZ48,'Mid-Market Segment'!AZ48,'Upper Mid-Market Segment'!AZ48,'Premium Segment'!AZ48)/SUM('Value Segment'!AZ$82,'Mid-Market Segment'!AZ$82,'Upper Mid-Market Segment'!AZ$82,'Premium Segment'!AZ$82)</f>
        <v>6.0254247835497825</v>
      </c>
      <c r="BA113" s="542">
        <f>SUM('Value Segment'!BA48,'Mid-Market Segment'!BA48,'Upper Mid-Market Segment'!BA48,'Premium Segment'!BA48)/SUM('Value Segment'!BA$82,'Mid-Market Segment'!BA$82,'Upper Mid-Market Segment'!BA$82,'Premium Segment'!BA$82)</f>
        <v>6.0254247835497825</v>
      </c>
      <c r="BB113" s="542">
        <f>SUM('Value Segment'!BB48,'Mid-Market Segment'!BB48,'Upper Mid-Market Segment'!BB48,'Premium Segment'!BB48)/SUM('Value Segment'!BB$82,'Mid-Market Segment'!BB$82,'Upper Mid-Market Segment'!BB$82,'Premium Segment'!BB$82)</f>
        <v>6.0254247835497825</v>
      </c>
      <c r="BC113" s="542">
        <f>SUM('Value Segment'!BC48,'Mid-Market Segment'!BC48,'Upper Mid-Market Segment'!BC48,'Premium Segment'!BC48)/SUM('Value Segment'!BC$82,'Mid-Market Segment'!BC$82,'Upper Mid-Market Segment'!BC$82,'Premium Segment'!BC$82)</f>
        <v>6.0254247835497825</v>
      </c>
      <c r="BD113" s="542">
        <f>SUM('Value Segment'!BD48,'Mid-Market Segment'!BD48,'Upper Mid-Market Segment'!BD48,'Premium Segment'!BD48)/SUM('Value Segment'!BD$82,'Mid-Market Segment'!BD$82,'Upper Mid-Market Segment'!BD$82,'Premium Segment'!BD$82)</f>
        <v>6.0254247835497825</v>
      </c>
      <c r="BE113" s="542">
        <f>SUM('Value Segment'!BE48,'Mid-Market Segment'!BE48,'Upper Mid-Market Segment'!BE48,'Premium Segment'!BE48)/SUM('Value Segment'!BE$82,'Mid-Market Segment'!BE$82,'Upper Mid-Market Segment'!BE$82,'Premium Segment'!BE$82)</f>
        <v>6.0254247835497825</v>
      </c>
      <c r="BF113" s="542">
        <f>SUM('Value Segment'!BF48,'Mid-Market Segment'!BF48,'Upper Mid-Market Segment'!BF48,'Premium Segment'!BF48)/SUM('Value Segment'!BF$82,'Mid-Market Segment'!BF$82,'Upper Mid-Market Segment'!BF$82,'Premium Segment'!BF$82)</f>
        <v>6.0254247835497825</v>
      </c>
      <c r="BG113" s="542">
        <f>SUM('Value Segment'!BG48,'Mid-Market Segment'!BG48,'Upper Mid-Market Segment'!BG48,'Premium Segment'!BG48)/SUM('Value Segment'!BG$82,'Mid-Market Segment'!BG$82,'Upper Mid-Market Segment'!BG$82,'Premium Segment'!BG$82)</f>
        <v>6.0254247835497825</v>
      </c>
      <c r="BH113" s="542">
        <f>SUM('Value Segment'!BH48,'Mid-Market Segment'!BH48,'Upper Mid-Market Segment'!BH48,'Premium Segment'!BH48)/SUM('Value Segment'!BH$82,'Mid-Market Segment'!BH$82,'Upper Mid-Market Segment'!BH$82,'Premium Segment'!BH$82)</f>
        <v>6.0254247835497825</v>
      </c>
      <c r="BI113" s="542">
        <f>SUM('Value Segment'!BI48,'Mid-Market Segment'!BI48,'Upper Mid-Market Segment'!BI48,'Premium Segment'!BI48)/SUM('Value Segment'!BI$82,'Mid-Market Segment'!BI$82,'Upper Mid-Market Segment'!BI$82,'Premium Segment'!BI$82)</f>
        <v>6.0254247835497825</v>
      </c>
      <c r="BJ113" s="542">
        <f>SUM('Value Segment'!BJ48,'Mid-Market Segment'!BJ48,'Upper Mid-Market Segment'!BJ48,'Premium Segment'!BJ48)/SUM('Value Segment'!BJ$82,'Mid-Market Segment'!BJ$82,'Upper Mid-Market Segment'!BJ$82,'Premium Segment'!BJ$82)</f>
        <v>6.0254247835497825</v>
      </c>
      <c r="BK113" s="542">
        <f>SUM('Value Segment'!BK48,'Mid-Market Segment'!BK48,'Upper Mid-Market Segment'!BK48,'Premium Segment'!BK48)/SUM('Value Segment'!BK$82,'Mid-Market Segment'!BK$82,'Upper Mid-Market Segment'!BK$82,'Premium Segment'!BK$82)</f>
        <v>6.0254247835497825</v>
      </c>
      <c r="BL113" s="542">
        <f>SUM('Value Segment'!BL48,'Mid-Market Segment'!BL48,'Upper Mid-Market Segment'!BL48,'Premium Segment'!BL48)/SUM('Value Segment'!BL$82,'Mid-Market Segment'!BL$82,'Upper Mid-Market Segment'!BL$82,'Premium Segment'!BL$82)</f>
        <v>6.0254247835497825</v>
      </c>
      <c r="BM113" s="542">
        <f>SUM('Value Segment'!BM48,'Mid-Market Segment'!BM48,'Upper Mid-Market Segment'!BM48,'Premium Segment'!BM48)/SUM('Value Segment'!BM$82,'Mid-Market Segment'!BM$82,'Upper Mid-Market Segment'!BM$82,'Premium Segment'!BM$82)</f>
        <v>6.0254247835497825</v>
      </c>
      <c r="BN113" s="542">
        <f>SUM('Value Segment'!BN48,'Mid-Market Segment'!BN48,'Upper Mid-Market Segment'!BN48,'Premium Segment'!BN48)/SUM('Value Segment'!BN$82,'Mid-Market Segment'!BN$82,'Upper Mid-Market Segment'!BN$82,'Premium Segment'!BN$82)</f>
        <v>6.0254247835497825</v>
      </c>
      <c r="BO113" s="542">
        <f>SUM('Value Segment'!BO48,'Mid-Market Segment'!BO48,'Upper Mid-Market Segment'!BO48,'Premium Segment'!BO48)/SUM('Value Segment'!BO$82,'Mid-Market Segment'!BO$82,'Upper Mid-Market Segment'!BO$82,'Premium Segment'!BO$82)</f>
        <v>6.0254247835497825</v>
      </c>
      <c r="BP113" s="542">
        <f>SUM('Value Segment'!BP48,'Mid-Market Segment'!BP48,'Upper Mid-Market Segment'!BP48,'Premium Segment'!BP48)/SUM('Value Segment'!BP$82,'Mid-Market Segment'!BP$82,'Upper Mid-Market Segment'!BP$82,'Premium Segment'!BP$82)</f>
        <v>6.0254247835497825</v>
      </c>
      <c r="BQ113" s="542">
        <f>SUM('Value Segment'!BQ48,'Mid-Market Segment'!BQ48,'Upper Mid-Market Segment'!BQ48,'Premium Segment'!BQ48)/SUM('Value Segment'!BQ$82,'Mid-Market Segment'!BQ$82,'Upper Mid-Market Segment'!BQ$82,'Premium Segment'!BQ$82)</f>
        <v>6.0254247835497825</v>
      </c>
      <c r="BR113" s="542">
        <f>SUM('Value Segment'!BR48,'Mid-Market Segment'!BR48,'Upper Mid-Market Segment'!BR48,'Premium Segment'!BR48)/SUM('Value Segment'!BR$82,'Mid-Market Segment'!BR$82,'Upper Mid-Market Segment'!BR$82,'Premium Segment'!BR$82)</f>
        <v>6.0254247835497825</v>
      </c>
      <c r="BS113" s="542">
        <f>SUM('Value Segment'!BS48,'Mid-Market Segment'!BS48,'Upper Mid-Market Segment'!BS48,'Premium Segment'!BS48)/SUM('Value Segment'!BS$82,'Mid-Market Segment'!BS$82,'Upper Mid-Market Segment'!BS$82,'Premium Segment'!BS$82)</f>
        <v>6.0254247835497825</v>
      </c>
      <c r="BT113" s="542">
        <f>SUM('Value Segment'!BT48,'Mid-Market Segment'!BT48,'Upper Mid-Market Segment'!BT48,'Premium Segment'!BT48)/SUM('Value Segment'!BT$82,'Mid-Market Segment'!BT$82,'Upper Mid-Market Segment'!BT$82,'Premium Segment'!BT$82)</f>
        <v>6.0254247835497825</v>
      </c>
      <c r="BU113" s="542">
        <f>SUM('Value Segment'!BU48,'Mid-Market Segment'!BU48,'Upper Mid-Market Segment'!BU48,'Premium Segment'!BU48)/SUM('Value Segment'!BU$82,'Mid-Market Segment'!BU$82,'Upper Mid-Market Segment'!BU$82,'Premium Segment'!BU$82)</f>
        <v>6.0254247835497825</v>
      </c>
      <c r="BV113" s="542">
        <f>SUM('Value Segment'!BV48,'Mid-Market Segment'!BV48,'Upper Mid-Market Segment'!BV48,'Premium Segment'!BV48)/SUM('Value Segment'!BV$82,'Mid-Market Segment'!BV$82,'Upper Mid-Market Segment'!BV$82,'Premium Segment'!BV$82)</f>
        <v>6.0254247835497825</v>
      </c>
      <c r="BW113" s="542">
        <f>SUM('Value Segment'!BW48,'Mid-Market Segment'!BW48,'Upper Mid-Market Segment'!BW48,'Premium Segment'!BW48)/SUM('Value Segment'!BW$82,'Mid-Market Segment'!BW$82,'Upper Mid-Market Segment'!BW$82,'Premium Segment'!BW$82)</f>
        <v>6.0254247835497825</v>
      </c>
      <c r="BX113" s="542">
        <f>SUM('Value Segment'!BX48,'Mid-Market Segment'!BX48,'Upper Mid-Market Segment'!BX48,'Premium Segment'!BX48)/SUM('Value Segment'!BX$82,'Mid-Market Segment'!BX$82,'Upper Mid-Market Segment'!BX$82,'Premium Segment'!BX$82)</f>
        <v>6.0254247835497825</v>
      </c>
      <c r="BY113" s="542">
        <f>SUM('Value Segment'!BY48,'Mid-Market Segment'!BY48,'Upper Mid-Market Segment'!BY48,'Premium Segment'!BY48)/SUM('Value Segment'!BY$82,'Mid-Market Segment'!BY$82,'Upper Mid-Market Segment'!BY$82,'Premium Segment'!BY$82)</f>
        <v>6.0254247835497825</v>
      </c>
      <c r="CB113" s="8"/>
    </row>
    <row r="114" spans="3:80" x14ac:dyDescent="0.3">
      <c r="C114" s="2"/>
      <c r="D114" s="2"/>
      <c r="E114" s="2" t="s">
        <v>29</v>
      </c>
      <c r="F114" s="54"/>
      <c r="G114" s="54"/>
      <c r="H114" s="54"/>
      <c r="I114" s="19">
        <f>SUM('Value Segment'!I49,'Mid-Market Segment'!I49,'Upper Mid-Market Segment'!I49,'Premium Segment'!I49)/SUM('Value Segment'!I$82,'Mid-Market Segment'!I$82,'Upper Mid-Market Segment'!I$82,'Premium Segment'!I$82)</f>
        <v>2085.6228984163754</v>
      </c>
      <c r="J114" s="19">
        <f>SUM('Value Segment'!J49,'Mid-Market Segment'!J49,'Upper Mid-Market Segment'!J49,'Premium Segment'!J49)/SUM('Value Segment'!J$82,'Mid-Market Segment'!J$82,'Upper Mid-Market Segment'!J$82,'Premium Segment'!J$82)</f>
        <v>2085.6228984163754</v>
      </c>
      <c r="K114" s="19">
        <f>SUM('Value Segment'!K49,'Mid-Market Segment'!K49,'Upper Mid-Market Segment'!K49,'Premium Segment'!K49)/SUM('Value Segment'!K$82,'Mid-Market Segment'!K$82,'Upper Mid-Market Segment'!K$82,'Premium Segment'!K$82)</f>
        <v>2085.6228984163754</v>
      </c>
      <c r="L114" s="19">
        <f>SUM('Value Segment'!L49,'Mid-Market Segment'!L49,'Upper Mid-Market Segment'!L49,'Premium Segment'!L49)/SUM('Value Segment'!L$82,'Mid-Market Segment'!L$82,'Upper Mid-Market Segment'!L$82,'Premium Segment'!L$82)</f>
        <v>2085.6228984163754</v>
      </c>
      <c r="M114" s="19">
        <f>SUM('Value Segment'!M49,'Mid-Market Segment'!M49,'Upper Mid-Market Segment'!M49,'Premium Segment'!M49)/SUM('Value Segment'!M$82,'Mid-Market Segment'!M$82,'Upper Mid-Market Segment'!M$82,'Premium Segment'!M$82)</f>
        <v>2085.6228984163754</v>
      </c>
      <c r="N114" s="19">
        <f>SUM('Value Segment'!N49,'Mid-Market Segment'!N49,'Upper Mid-Market Segment'!N49,'Premium Segment'!N49)/SUM('Value Segment'!N$82,'Mid-Market Segment'!N$82,'Upper Mid-Market Segment'!N$82,'Premium Segment'!N$82)</f>
        <v>2085.6228984163754</v>
      </c>
      <c r="O114" s="37"/>
      <c r="P114" s="50">
        <f>IFERROR(((N114/I114)^(1/5))-1,0)</f>
        <v>0</v>
      </c>
      <c r="R114" s="19">
        <f>SUM('Value Segment'!R49,'Mid-Market Segment'!R49,'Upper Mid-Market Segment'!R49,'Premium Segment'!R49)/SUM('Value Segment'!R$82,'Mid-Market Segment'!R$82,'Upper Mid-Market Segment'!R$82,'Premium Segment'!R$82)</f>
        <v>173.8019082013646</v>
      </c>
      <c r="S114" s="542">
        <f>SUM('Value Segment'!S49,'Mid-Market Segment'!S49,'Upper Mid-Market Segment'!S49,'Premium Segment'!S49)/SUM('Value Segment'!S$82,'Mid-Market Segment'!S$82,'Upper Mid-Market Segment'!S$82,'Premium Segment'!S$82)</f>
        <v>173.8019082013646</v>
      </c>
      <c r="T114" s="542">
        <f>SUM('Value Segment'!T49,'Mid-Market Segment'!T49,'Upper Mid-Market Segment'!T49,'Premium Segment'!T49)/SUM('Value Segment'!T$82,'Mid-Market Segment'!T$82,'Upper Mid-Market Segment'!T$82,'Premium Segment'!T$82)</f>
        <v>173.8019082013646</v>
      </c>
      <c r="U114" s="542">
        <f>SUM('Value Segment'!U49,'Mid-Market Segment'!U49,'Upper Mid-Market Segment'!U49,'Premium Segment'!U49)/SUM('Value Segment'!U$82,'Mid-Market Segment'!U$82,'Upper Mid-Market Segment'!U$82,'Premium Segment'!U$82)</f>
        <v>173.8019082013646</v>
      </c>
      <c r="V114" s="542">
        <f>SUM('Value Segment'!V49,'Mid-Market Segment'!V49,'Upper Mid-Market Segment'!V49,'Premium Segment'!V49)/SUM('Value Segment'!V$82,'Mid-Market Segment'!V$82,'Upper Mid-Market Segment'!V$82,'Premium Segment'!V$82)</f>
        <v>173.8019082013646</v>
      </c>
      <c r="W114" s="542">
        <f>SUM('Value Segment'!W49,'Mid-Market Segment'!W49,'Upper Mid-Market Segment'!W49,'Premium Segment'!W49)/SUM('Value Segment'!W$82,'Mid-Market Segment'!W$82,'Upper Mid-Market Segment'!W$82,'Premium Segment'!W$82)</f>
        <v>173.8019082013646</v>
      </c>
      <c r="X114" s="542">
        <f>SUM('Value Segment'!X49,'Mid-Market Segment'!X49,'Upper Mid-Market Segment'!X49,'Premium Segment'!X49)/SUM('Value Segment'!X$82,'Mid-Market Segment'!X$82,'Upper Mid-Market Segment'!X$82,'Premium Segment'!X$82)</f>
        <v>173.8019082013646</v>
      </c>
      <c r="Y114" s="542">
        <f>SUM('Value Segment'!Y49,'Mid-Market Segment'!Y49,'Upper Mid-Market Segment'!Y49,'Premium Segment'!Y49)/SUM('Value Segment'!Y$82,'Mid-Market Segment'!Y$82,'Upper Mid-Market Segment'!Y$82,'Premium Segment'!Y$82)</f>
        <v>173.8019082013646</v>
      </c>
      <c r="Z114" s="542">
        <f>SUM('Value Segment'!Z49,'Mid-Market Segment'!Z49,'Upper Mid-Market Segment'!Z49,'Premium Segment'!Z49)/SUM('Value Segment'!Z$82,'Mid-Market Segment'!Z$82,'Upper Mid-Market Segment'!Z$82,'Premium Segment'!Z$82)</f>
        <v>173.8019082013646</v>
      </c>
      <c r="AA114" s="542">
        <f>SUM('Value Segment'!AA49,'Mid-Market Segment'!AA49,'Upper Mid-Market Segment'!AA49,'Premium Segment'!AA49)/SUM('Value Segment'!AA$82,'Mid-Market Segment'!AA$82,'Upper Mid-Market Segment'!AA$82,'Premium Segment'!AA$82)</f>
        <v>173.8019082013646</v>
      </c>
      <c r="AB114" s="542">
        <f>SUM('Value Segment'!AB49,'Mid-Market Segment'!AB49,'Upper Mid-Market Segment'!AB49,'Premium Segment'!AB49)/SUM('Value Segment'!AB$82,'Mid-Market Segment'!AB$82,'Upper Mid-Market Segment'!AB$82,'Premium Segment'!AB$82)</f>
        <v>173.8019082013646</v>
      </c>
      <c r="AC114" s="542">
        <f>SUM('Value Segment'!AC49,'Mid-Market Segment'!AC49,'Upper Mid-Market Segment'!AC49,'Premium Segment'!AC49)/SUM('Value Segment'!AC$82,'Mid-Market Segment'!AC$82,'Upper Mid-Market Segment'!AC$82,'Premium Segment'!AC$82)</f>
        <v>173.8019082013646</v>
      </c>
      <c r="AD114" s="542">
        <f>SUM('Value Segment'!AD49,'Mid-Market Segment'!AD49,'Upper Mid-Market Segment'!AD49,'Premium Segment'!AD49)/SUM('Value Segment'!AD$82,'Mid-Market Segment'!AD$82,'Upper Mid-Market Segment'!AD$82,'Premium Segment'!AD$82)</f>
        <v>173.8019082013646</v>
      </c>
      <c r="AE114" s="542">
        <f>SUM('Value Segment'!AE49,'Mid-Market Segment'!AE49,'Upper Mid-Market Segment'!AE49,'Premium Segment'!AE49)/SUM('Value Segment'!AE$82,'Mid-Market Segment'!AE$82,'Upper Mid-Market Segment'!AE$82,'Premium Segment'!AE$82)</f>
        <v>173.8019082013646</v>
      </c>
      <c r="AF114" s="542">
        <f>SUM('Value Segment'!AF49,'Mid-Market Segment'!AF49,'Upper Mid-Market Segment'!AF49,'Premium Segment'!AF49)/SUM('Value Segment'!AF$82,'Mid-Market Segment'!AF$82,'Upper Mid-Market Segment'!AF$82,'Premium Segment'!AF$82)</f>
        <v>173.8019082013646</v>
      </c>
      <c r="AG114" s="542">
        <f>SUM('Value Segment'!AG49,'Mid-Market Segment'!AG49,'Upper Mid-Market Segment'!AG49,'Premium Segment'!AG49)/SUM('Value Segment'!AG$82,'Mid-Market Segment'!AG$82,'Upper Mid-Market Segment'!AG$82,'Premium Segment'!AG$82)</f>
        <v>173.8019082013646</v>
      </c>
      <c r="AH114" s="542">
        <f>SUM('Value Segment'!AH49,'Mid-Market Segment'!AH49,'Upper Mid-Market Segment'!AH49,'Premium Segment'!AH49)/SUM('Value Segment'!AH$82,'Mid-Market Segment'!AH$82,'Upper Mid-Market Segment'!AH$82,'Premium Segment'!AH$82)</f>
        <v>173.8019082013646</v>
      </c>
      <c r="AI114" s="542">
        <f>SUM('Value Segment'!AI49,'Mid-Market Segment'!AI49,'Upper Mid-Market Segment'!AI49,'Premium Segment'!AI49)/SUM('Value Segment'!AI$82,'Mid-Market Segment'!AI$82,'Upper Mid-Market Segment'!AI$82,'Premium Segment'!AI$82)</f>
        <v>173.8019082013646</v>
      </c>
      <c r="AJ114" s="542">
        <f>SUM('Value Segment'!AJ49,'Mid-Market Segment'!AJ49,'Upper Mid-Market Segment'!AJ49,'Premium Segment'!AJ49)/SUM('Value Segment'!AJ$82,'Mid-Market Segment'!AJ$82,'Upper Mid-Market Segment'!AJ$82,'Premium Segment'!AJ$82)</f>
        <v>173.8019082013646</v>
      </c>
      <c r="AK114" s="542">
        <f>SUM('Value Segment'!AK49,'Mid-Market Segment'!AK49,'Upper Mid-Market Segment'!AK49,'Premium Segment'!AK49)/SUM('Value Segment'!AK$82,'Mid-Market Segment'!AK$82,'Upper Mid-Market Segment'!AK$82,'Premium Segment'!AK$82)</f>
        <v>173.8019082013646</v>
      </c>
      <c r="AL114" s="542">
        <f>SUM('Value Segment'!AL49,'Mid-Market Segment'!AL49,'Upper Mid-Market Segment'!AL49,'Premium Segment'!AL49)/SUM('Value Segment'!AL$82,'Mid-Market Segment'!AL$82,'Upper Mid-Market Segment'!AL$82,'Premium Segment'!AL$82)</f>
        <v>173.8019082013646</v>
      </c>
      <c r="AM114" s="542">
        <f>SUM('Value Segment'!AM49,'Mid-Market Segment'!AM49,'Upper Mid-Market Segment'!AM49,'Premium Segment'!AM49)/SUM('Value Segment'!AM$82,'Mid-Market Segment'!AM$82,'Upper Mid-Market Segment'!AM$82,'Premium Segment'!AM$82)</f>
        <v>173.8019082013646</v>
      </c>
      <c r="AN114" s="542">
        <f>SUM('Value Segment'!AN49,'Mid-Market Segment'!AN49,'Upper Mid-Market Segment'!AN49,'Premium Segment'!AN49)/SUM('Value Segment'!AN$82,'Mid-Market Segment'!AN$82,'Upper Mid-Market Segment'!AN$82,'Premium Segment'!AN$82)</f>
        <v>173.8019082013646</v>
      </c>
      <c r="AO114" s="542">
        <f>SUM('Value Segment'!AO49,'Mid-Market Segment'!AO49,'Upper Mid-Market Segment'!AO49,'Premium Segment'!AO49)/SUM('Value Segment'!AO$82,'Mid-Market Segment'!AO$82,'Upper Mid-Market Segment'!AO$82,'Premium Segment'!AO$82)</f>
        <v>173.8019082013646</v>
      </c>
      <c r="AP114" s="542">
        <f>SUM('Value Segment'!AP49,'Mid-Market Segment'!AP49,'Upper Mid-Market Segment'!AP49,'Premium Segment'!AP49)/SUM('Value Segment'!AP$82,'Mid-Market Segment'!AP$82,'Upper Mid-Market Segment'!AP$82,'Premium Segment'!AP$82)</f>
        <v>173.8019082013646</v>
      </c>
      <c r="AQ114" s="542">
        <f>SUM('Value Segment'!AQ49,'Mid-Market Segment'!AQ49,'Upper Mid-Market Segment'!AQ49,'Premium Segment'!AQ49)/SUM('Value Segment'!AQ$82,'Mid-Market Segment'!AQ$82,'Upper Mid-Market Segment'!AQ$82,'Premium Segment'!AQ$82)</f>
        <v>173.8019082013646</v>
      </c>
      <c r="AR114" s="542">
        <f>SUM('Value Segment'!AR49,'Mid-Market Segment'!AR49,'Upper Mid-Market Segment'!AR49,'Premium Segment'!AR49)/SUM('Value Segment'!AR$82,'Mid-Market Segment'!AR$82,'Upper Mid-Market Segment'!AR$82,'Premium Segment'!AR$82)</f>
        <v>173.8019082013646</v>
      </c>
      <c r="AS114" s="542">
        <f>SUM('Value Segment'!AS49,'Mid-Market Segment'!AS49,'Upper Mid-Market Segment'!AS49,'Premium Segment'!AS49)/SUM('Value Segment'!AS$82,'Mid-Market Segment'!AS$82,'Upper Mid-Market Segment'!AS$82,'Premium Segment'!AS$82)</f>
        <v>173.8019082013646</v>
      </c>
      <c r="AT114" s="542">
        <f>SUM('Value Segment'!AT49,'Mid-Market Segment'!AT49,'Upper Mid-Market Segment'!AT49,'Premium Segment'!AT49)/SUM('Value Segment'!AT$82,'Mid-Market Segment'!AT$82,'Upper Mid-Market Segment'!AT$82,'Premium Segment'!AT$82)</f>
        <v>173.8019082013646</v>
      </c>
      <c r="AU114" s="542">
        <f>SUM('Value Segment'!AU49,'Mid-Market Segment'!AU49,'Upper Mid-Market Segment'!AU49,'Premium Segment'!AU49)/SUM('Value Segment'!AU$82,'Mid-Market Segment'!AU$82,'Upper Mid-Market Segment'!AU$82,'Premium Segment'!AU$82)</f>
        <v>173.8019082013646</v>
      </c>
      <c r="AV114" s="542">
        <f>SUM('Value Segment'!AV49,'Mid-Market Segment'!AV49,'Upper Mid-Market Segment'!AV49,'Premium Segment'!AV49)/SUM('Value Segment'!AV$82,'Mid-Market Segment'!AV$82,'Upper Mid-Market Segment'!AV$82,'Premium Segment'!AV$82)</f>
        <v>173.8019082013646</v>
      </c>
      <c r="AW114" s="542">
        <f>SUM('Value Segment'!AW49,'Mid-Market Segment'!AW49,'Upper Mid-Market Segment'!AW49,'Premium Segment'!AW49)/SUM('Value Segment'!AW$82,'Mid-Market Segment'!AW$82,'Upper Mid-Market Segment'!AW$82,'Premium Segment'!AW$82)</f>
        <v>173.8019082013646</v>
      </c>
      <c r="AX114" s="542">
        <f>SUM('Value Segment'!AX49,'Mid-Market Segment'!AX49,'Upper Mid-Market Segment'!AX49,'Premium Segment'!AX49)/SUM('Value Segment'!AX$82,'Mid-Market Segment'!AX$82,'Upper Mid-Market Segment'!AX$82,'Premium Segment'!AX$82)</f>
        <v>173.8019082013646</v>
      </c>
      <c r="AY114" s="542">
        <f>SUM('Value Segment'!AY49,'Mid-Market Segment'!AY49,'Upper Mid-Market Segment'!AY49,'Premium Segment'!AY49)/SUM('Value Segment'!AY$82,'Mid-Market Segment'!AY$82,'Upper Mid-Market Segment'!AY$82,'Premium Segment'!AY$82)</f>
        <v>173.8019082013646</v>
      </c>
      <c r="AZ114" s="542">
        <f>SUM('Value Segment'!AZ49,'Mid-Market Segment'!AZ49,'Upper Mid-Market Segment'!AZ49,'Premium Segment'!AZ49)/SUM('Value Segment'!AZ$82,'Mid-Market Segment'!AZ$82,'Upper Mid-Market Segment'!AZ$82,'Premium Segment'!AZ$82)</f>
        <v>173.8019082013646</v>
      </c>
      <c r="BA114" s="542">
        <f>SUM('Value Segment'!BA49,'Mid-Market Segment'!BA49,'Upper Mid-Market Segment'!BA49,'Premium Segment'!BA49)/SUM('Value Segment'!BA$82,'Mid-Market Segment'!BA$82,'Upper Mid-Market Segment'!BA$82,'Premium Segment'!BA$82)</f>
        <v>173.8019082013646</v>
      </c>
      <c r="BB114" s="542">
        <f>SUM('Value Segment'!BB49,'Mid-Market Segment'!BB49,'Upper Mid-Market Segment'!BB49,'Premium Segment'!BB49)/SUM('Value Segment'!BB$82,'Mid-Market Segment'!BB$82,'Upper Mid-Market Segment'!BB$82,'Premium Segment'!BB$82)</f>
        <v>173.8019082013646</v>
      </c>
      <c r="BC114" s="542">
        <f>SUM('Value Segment'!BC49,'Mid-Market Segment'!BC49,'Upper Mid-Market Segment'!BC49,'Premium Segment'!BC49)/SUM('Value Segment'!BC$82,'Mid-Market Segment'!BC$82,'Upper Mid-Market Segment'!BC$82,'Premium Segment'!BC$82)</f>
        <v>173.8019082013646</v>
      </c>
      <c r="BD114" s="542">
        <f>SUM('Value Segment'!BD49,'Mid-Market Segment'!BD49,'Upper Mid-Market Segment'!BD49,'Premium Segment'!BD49)/SUM('Value Segment'!BD$82,'Mid-Market Segment'!BD$82,'Upper Mid-Market Segment'!BD$82,'Premium Segment'!BD$82)</f>
        <v>173.8019082013646</v>
      </c>
      <c r="BE114" s="542">
        <f>SUM('Value Segment'!BE49,'Mid-Market Segment'!BE49,'Upper Mid-Market Segment'!BE49,'Premium Segment'!BE49)/SUM('Value Segment'!BE$82,'Mid-Market Segment'!BE$82,'Upper Mid-Market Segment'!BE$82,'Premium Segment'!BE$82)</f>
        <v>173.8019082013646</v>
      </c>
      <c r="BF114" s="542">
        <f>SUM('Value Segment'!BF49,'Mid-Market Segment'!BF49,'Upper Mid-Market Segment'!BF49,'Premium Segment'!BF49)/SUM('Value Segment'!BF$82,'Mid-Market Segment'!BF$82,'Upper Mid-Market Segment'!BF$82,'Premium Segment'!BF$82)</f>
        <v>173.8019082013646</v>
      </c>
      <c r="BG114" s="542">
        <f>SUM('Value Segment'!BG49,'Mid-Market Segment'!BG49,'Upper Mid-Market Segment'!BG49,'Premium Segment'!BG49)/SUM('Value Segment'!BG$82,'Mid-Market Segment'!BG$82,'Upper Mid-Market Segment'!BG$82,'Premium Segment'!BG$82)</f>
        <v>173.8019082013646</v>
      </c>
      <c r="BH114" s="542">
        <f>SUM('Value Segment'!BH49,'Mid-Market Segment'!BH49,'Upper Mid-Market Segment'!BH49,'Premium Segment'!BH49)/SUM('Value Segment'!BH$82,'Mid-Market Segment'!BH$82,'Upper Mid-Market Segment'!BH$82,'Premium Segment'!BH$82)</f>
        <v>173.8019082013646</v>
      </c>
      <c r="BI114" s="542">
        <f>SUM('Value Segment'!BI49,'Mid-Market Segment'!BI49,'Upper Mid-Market Segment'!BI49,'Premium Segment'!BI49)/SUM('Value Segment'!BI$82,'Mid-Market Segment'!BI$82,'Upper Mid-Market Segment'!BI$82,'Premium Segment'!BI$82)</f>
        <v>173.8019082013646</v>
      </c>
      <c r="BJ114" s="542">
        <f>SUM('Value Segment'!BJ49,'Mid-Market Segment'!BJ49,'Upper Mid-Market Segment'!BJ49,'Premium Segment'!BJ49)/SUM('Value Segment'!BJ$82,'Mid-Market Segment'!BJ$82,'Upper Mid-Market Segment'!BJ$82,'Premium Segment'!BJ$82)</f>
        <v>173.8019082013646</v>
      </c>
      <c r="BK114" s="542">
        <f>SUM('Value Segment'!BK49,'Mid-Market Segment'!BK49,'Upper Mid-Market Segment'!BK49,'Premium Segment'!BK49)/SUM('Value Segment'!BK$82,'Mid-Market Segment'!BK$82,'Upper Mid-Market Segment'!BK$82,'Premium Segment'!BK$82)</f>
        <v>173.8019082013646</v>
      </c>
      <c r="BL114" s="542">
        <f>SUM('Value Segment'!BL49,'Mid-Market Segment'!BL49,'Upper Mid-Market Segment'!BL49,'Premium Segment'!BL49)/SUM('Value Segment'!BL$82,'Mid-Market Segment'!BL$82,'Upper Mid-Market Segment'!BL$82,'Premium Segment'!BL$82)</f>
        <v>173.8019082013646</v>
      </c>
      <c r="BM114" s="542">
        <f>SUM('Value Segment'!BM49,'Mid-Market Segment'!BM49,'Upper Mid-Market Segment'!BM49,'Premium Segment'!BM49)/SUM('Value Segment'!BM$82,'Mid-Market Segment'!BM$82,'Upper Mid-Market Segment'!BM$82,'Premium Segment'!BM$82)</f>
        <v>173.8019082013646</v>
      </c>
      <c r="BN114" s="542">
        <f>SUM('Value Segment'!BN49,'Mid-Market Segment'!BN49,'Upper Mid-Market Segment'!BN49,'Premium Segment'!BN49)/SUM('Value Segment'!BN$82,'Mid-Market Segment'!BN$82,'Upper Mid-Market Segment'!BN$82,'Premium Segment'!BN$82)</f>
        <v>173.8019082013646</v>
      </c>
      <c r="BO114" s="542">
        <f>SUM('Value Segment'!BO49,'Mid-Market Segment'!BO49,'Upper Mid-Market Segment'!BO49,'Premium Segment'!BO49)/SUM('Value Segment'!BO$82,'Mid-Market Segment'!BO$82,'Upper Mid-Market Segment'!BO$82,'Premium Segment'!BO$82)</f>
        <v>173.8019082013646</v>
      </c>
      <c r="BP114" s="542">
        <f>SUM('Value Segment'!BP49,'Mid-Market Segment'!BP49,'Upper Mid-Market Segment'!BP49,'Premium Segment'!BP49)/SUM('Value Segment'!BP$82,'Mid-Market Segment'!BP$82,'Upper Mid-Market Segment'!BP$82,'Premium Segment'!BP$82)</f>
        <v>173.8019082013646</v>
      </c>
      <c r="BQ114" s="542">
        <f>SUM('Value Segment'!BQ49,'Mid-Market Segment'!BQ49,'Upper Mid-Market Segment'!BQ49,'Premium Segment'!BQ49)/SUM('Value Segment'!BQ$82,'Mid-Market Segment'!BQ$82,'Upper Mid-Market Segment'!BQ$82,'Premium Segment'!BQ$82)</f>
        <v>173.8019082013646</v>
      </c>
      <c r="BR114" s="542">
        <f>SUM('Value Segment'!BR49,'Mid-Market Segment'!BR49,'Upper Mid-Market Segment'!BR49,'Premium Segment'!BR49)/SUM('Value Segment'!BR$82,'Mid-Market Segment'!BR$82,'Upper Mid-Market Segment'!BR$82,'Premium Segment'!BR$82)</f>
        <v>173.8019082013646</v>
      </c>
      <c r="BS114" s="542">
        <f>SUM('Value Segment'!BS49,'Mid-Market Segment'!BS49,'Upper Mid-Market Segment'!BS49,'Premium Segment'!BS49)/SUM('Value Segment'!BS$82,'Mid-Market Segment'!BS$82,'Upper Mid-Market Segment'!BS$82,'Premium Segment'!BS$82)</f>
        <v>173.8019082013646</v>
      </c>
      <c r="BT114" s="542">
        <f>SUM('Value Segment'!BT49,'Mid-Market Segment'!BT49,'Upper Mid-Market Segment'!BT49,'Premium Segment'!BT49)/SUM('Value Segment'!BT$82,'Mid-Market Segment'!BT$82,'Upper Mid-Market Segment'!BT$82,'Premium Segment'!BT$82)</f>
        <v>173.8019082013646</v>
      </c>
      <c r="BU114" s="542">
        <f>SUM('Value Segment'!BU49,'Mid-Market Segment'!BU49,'Upper Mid-Market Segment'!BU49,'Premium Segment'!BU49)/SUM('Value Segment'!BU$82,'Mid-Market Segment'!BU$82,'Upper Mid-Market Segment'!BU$82,'Premium Segment'!BU$82)</f>
        <v>173.8019082013646</v>
      </c>
      <c r="BV114" s="542">
        <f>SUM('Value Segment'!BV49,'Mid-Market Segment'!BV49,'Upper Mid-Market Segment'!BV49,'Premium Segment'!BV49)/SUM('Value Segment'!BV$82,'Mid-Market Segment'!BV$82,'Upper Mid-Market Segment'!BV$82,'Premium Segment'!BV$82)</f>
        <v>173.8019082013646</v>
      </c>
      <c r="BW114" s="542">
        <f>SUM('Value Segment'!BW49,'Mid-Market Segment'!BW49,'Upper Mid-Market Segment'!BW49,'Premium Segment'!BW49)/SUM('Value Segment'!BW$82,'Mid-Market Segment'!BW$82,'Upper Mid-Market Segment'!BW$82,'Premium Segment'!BW$82)</f>
        <v>173.8019082013646</v>
      </c>
      <c r="BX114" s="542">
        <f>SUM('Value Segment'!BX49,'Mid-Market Segment'!BX49,'Upper Mid-Market Segment'!BX49,'Premium Segment'!BX49)/SUM('Value Segment'!BX$82,'Mid-Market Segment'!BX$82,'Upper Mid-Market Segment'!BX$82,'Premium Segment'!BX$82)</f>
        <v>173.8019082013646</v>
      </c>
      <c r="BY114" s="542">
        <f>SUM('Value Segment'!BY49,'Mid-Market Segment'!BY49,'Upper Mid-Market Segment'!BY49,'Premium Segment'!BY49)/SUM('Value Segment'!BY$82,'Mid-Market Segment'!BY$82,'Upper Mid-Market Segment'!BY$82,'Premium Segment'!BY$82)</f>
        <v>173.8019082013646</v>
      </c>
      <c r="CB114" s="8"/>
    </row>
    <row r="115" spans="3:80" x14ac:dyDescent="0.3">
      <c r="C115" s="2"/>
      <c r="D115" s="2"/>
      <c r="E115" s="2" t="s">
        <v>30</v>
      </c>
      <c r="F115" s="54"/>
      <c r="G115" s="54"/>
      <c r="H115" s="54"/>
      <c r="I115" s="19">
        <f>SUM('Value Segment'!I50,'Mid-Market Segment'!I50,'Upper Mid-Market Segment'!I50,'Premium Segment'!I50)/SUM('Value Segment'!I$82,'Mid-Market Segment'!I$82,'Upper Mid-Market Segment'!I$82,'Premium Segment'!I$82)</f>
        <v>1339.9623376623376</v>
      </c>
      <c r="J115" s="19">
        <f>SUM('Value Segment'!J50,'Mid-Market Segment'!J50,'Upper Mid-Market Segment'!J50,'Premium Segment'!J50)/SUM('Value Segment'!J$82,'Mid-Market Segment'!J$82,'Upper Mid-Market Segment'!J$82,'Premium Segment'!J$82)</f>
        <v>1339.9623376623376</v>
      </c>
      <c r="K115" s="19">
        <f>SUM('Value Segment'!K50,'Mid-Market Segment'!K50,'Upper Mid-Market Segment'!K50,'Premium Segment'!K50)/SUM('Value Segment'!K$82,'Mid-Market Segment'!K$82,'Upper Mid-Market Segment'!K$82,'Premium Segment'!K$82)</f>
        <v>1339.9623376623376</v>
      </c>
      <c r="L115" s="19">
        <f>SUM('Value Segment'!L50,'Mid-Market Segment'!L50,'Upper Mid-Market Segment'!L50,'Premium Segment'!L50)/SUM('Value Segment'!L$82,'Mid-Market Segment'!L$82,'Upper Mid-Market Segment'!L$82,'Premium Segment'!L$82)</f>
        <v>1339.9623376623376</v>
      </c>
      <c r="M115" s="19">
        <f>SUM('Value Segment'!M50,'Mid-Market Segment'!M50,'Upper Mid-Market Segment'!M50,'Premium Segment'!M50)/SUM('Value Segment'!M$82,'Mid-Market Segment'!M$82,'Upper Mid-Market Segment'!M$82,'Premium Segment'!M$82)</f>
        <v>1339.9623376623376</v>
      </c>
      <c r="N115" s="19">
        <f>SUM('Value Segment'!N50,'Mid-Market Segment'!N50,'Upper Mid-Market Segment'!N50,'Premium Segment'!N50)/SUM('Value Segment'!N$82,'Mid-Market Segment'!N$82,'Upper Mid-Market Segment'!N$82,'Premium Segment'!N$82)</f>
        <v>1339.9623376623376</v>
      </c>
      <c r="O115" s="37"/>
      <c r="P115" s="50">
        <f>IFERROR(((N115/I115)^(1/5))-1,0)</f>
        <v>0</v>
      </c>
      <c r="R115" s="19">
        <f>SUM('Value Segment'!R50,'Mid-Market Segment'!R50,'Upper Mid-Market Segment'!R50,'Premium Segment'!R50)/SUM('Value Segment'!R$82,'Mid-Market Segment'!R$82,'Upper Mid-Market Segment'!R$82,'Premium Segment'!R$82)</f>
        <v>111.66352813852815</v>
      </c>
      <c r="S115" s="542">
        <f>SUM('Value Segment'!S50,'Mid-Market Segment'!S50,'Upper Mid-Market Segment'!S50,'Premium Segment'!S50)/SUM('Value Segment'!S$82,'Mid-Market Segment'!S$82,'Upper Mid-Market Segment'!S$82,'Premium Segment'!S$82)</f>
        <v>111.66352813852815</v>
      </c>
      <c r="T115" s="542">
        <f>SUM('Value Segment'!T50,'Mid-Market Segment'!T50,'Upper Mid-Market Segment'!T50,'Premium Segment'!T50)/SUM('Value Segment'!T$82,'Mid-Market Segment'!T$82,'Upper Mid-Market Segment'!T$82,'Premium Segment'!T$82)</f>
        <v>111.66352813852815</v>
      </c>
      <c r="U115" s="542">
        <f>SUM('Value Segment'!U50,'Mid-Market Segment'!U50,'Upper Mid-Market Segment'!U50,'Premium Segment'!U50)/SUM('Value Segment'!U$82,'Mid-Market Segment'!U$82,'Upper Mid-Market Segment'!U$82,'Premium Segment'!U$82)</f>
        <v>111.66352813852815</v>
      </c>
      <c r="V115" s="542">
        <f>SUM('Value Segment'!V50,'Mid-Market Segment'!V50,'Upper Mid-Market Segment'!V50,'Premium Segment'!V50)/SUM('Value Segment'!V$82,'Mid-Market Segment'!V$82,'Upper Mid-Market Segment'!V$82,'Premium Segment'!V$82)</f>
        <v>111.66352813852815</v>
      </c>
      <c r="W115" s="542">
        <f>SUM('Value Segment'!W50,'Mid-Market Segment'!W50,'Upper Mid-Market Segment'!W50,'Premium Segment'!W50)/SUM('Value Segment'!W$82,'Mid-Market Segment'!W$82,'Upper Mid-Market Segment'!W$82,'Premium Segment'!W$82)</f>
        <v>111.66352813852815</v>
      </c>
      <c r="X115" s="542">
        <f>SUM('Value Segment'!X50,'Mid-Market Segment'!X50,'Upper Mid-Market Segment'!X50,'Premium Segment'!X50)/SUM('Value Segment'!X$82,'Mid-Market Segment'!X$82,'Upper Mid-Market Segment'!X$82,'Premium Segment'!X$82)</f>
        <v>111.66352813852815</v>
      </c>
      <c r="Y115" s="542">
        <f>SUM('Value Segment'!Y50,'Mid-Market Segment'!Y50,'Upper Mid-Market Segment'!Y50,'Premium Segment'!Y50)/SUM('Value Segment'!Y$82,'Mid-Market Segment'!Y$82,'Upper Mid-Market Segment'!Y$82,'Premium Segment'!Y$82)</f>
        <v>111.66352813852815</v>
      </c>
      <c r="Z115" s="542">
        <f>SUM('Value Segment'!Z50,'Mid-Market Segment'!Z50,'Upper Mid-Market Segment'!Z50,'Premium Segment'!Z50)/SUM('Value Segment'!Z$82,'Mid-Market Segment'!Z$82,'Upper Mid-Market Segment'!Z$82,'Premium Segment'!Z$82)</f>
        <v>111.66352813852815</v>
      </c>
      <c r="AA115" s="542">
        <f>SUM('Value Segment'!AA50,'Mid-Market Segment'!AA50,'Upper Mid-Market Segment'!AA50,'Premium Segment'!AA50)/SUM('Value Segment'!AA$82,'Mid-Market Segment'!AA$82,'Upper Mid-Market Segment'!AA$82,'Premium Segment'!AA$82)</f>
        <v>111.66352813852815</v>
      </c>
      <c r="AB115" s="542">
        <f>SUM('Value Segment'!AB50,'Mid-Market Segment'!AB50,'Upper Mid-Market Segment'!AB50,'Premium Segment'!AB50)/SUM('Value Segment'!AB$82,'Mid-Market Segment'!AB$82,'Upper Mid-Market Segment'!AB$82,'Premium Segment'!AB$82)</f>
        <v>111.66352813852815</v>
      </c>
      <c r="AC115" s="542">
        <f>SUM('Value Segment'!AC50,'Mid-Market Segment'!AC50,'Upper Mid-Market Segment'!AC50,'Premium Segment'!AC50)/SUM('Value Segment'!AC$82,'Mid-Market Segment'!AC$82,'Upper Mid-Market Segment'!AC$82,'Premium Segment'!AC$82)</f>
        <v>111.66352813852815</v>
      </c>
      <c r="AD115" s="542">
        <f>SUM('Value Segment'!AD50,'Mid-Market Segment'!AD50,'Upper Mid-Market Segment'!AD50,'Premium Segment'!AD50)/SUM('Value Segment'!AD$82,'Mid-Market Segment'!AD$82,'Upper Mid-Market Segment'!AD$82,'Premium Segment'!AD$82)</f>
        <v>111.66352813852815</v>
      </c>
      <c r="AE115" s="542">
        <f>SUM('Value Segment'!AE50,'Mid-Market Segment'!AE50,'Upper Mid-Market Segment'!AE50,'Premium Segment'!AE50)/SUM('Value Segment'!AE$82,'Mid-Market Segment'!AE$82,'Upper Mid-Market Segment'!AE$82,'Premium Segment'!AE$82)</f>
        <v>111.66352813852815</v>
      </c>
      <c r="AF115" s="542">
        <f>SUM('Value Segment'!AF50,'Mid-Market Segment'!AF50,'Upper Mid-Market Segment'!AF50,'Premium Segment'!AF50)/SUM('Value Segment'!AF$82,'Mid-Market Segment'!AF$82,'Upper Mid-Market Segment'!AF$82,'Premium Segment'!AF$82)</f>
        <v>111.66352813852815</v>
      </c>
      <c r="AG115" s="542">
        <f>SUM('Value Segment'!AG50,'Mid-Market Segment'!AG50,'Upper Mid-Market Segment'!AG50,'Premium Segment'!AG50)/SUM('Value Segment'!AG$82,'Mid-Market Segment'!AG$82,'Upper Mid-Market Segment'!AG$82,'Premium Segment'!AG$82)</f>
        <v>111.66352813852815</v>
      </c>
      <c r="AH115" s="542">
        <f>SUM('Value Segment'!AH50,'Mid-Market Segment'!AH50,'Upper Mid-Market Segment'!AH50,'Premium Segment'!AH50)/SUM('Value Segment'!AH$82,'Mid-Market Segment'!AH$82,'Upper Mid-Market Segment'!AH$82,'Premium Segment'!AH$82)</f>
        <v>111.66352813852815</v>
      </c>
      <c r="AI115" s="542">
        <f>SUM('Value Segment'!AI50,'Mid-Market Segment'!AI50,'Upper Mid-Market Segment'!AI50,'Premium Segment'!AI50)/SUM('Value Segment'!AI$82,'Mid-Market Segment'!AI$82,'Upper Mid-Market Segment'!AI$82,'Premium Segment'!AI$82)</f>
        <v>111.66352813852815</v>
      </c>
      <c r="AJ115" s="542">
        <f>SUM('Value Segment'!AJ50,'Mid-Market Segment'!AJ50,'Upper Mid-Market Segment'!AJ50,'Premium Segment'!AJ50)/SUM('Value Segment'!AJ$82,'Mid-Market Segment'!AJ$82,'Upper Mid-Market Segment'!AJ$82,'Premium Segment'!AJ$82)</f>
        <v>111.66352813852815</v>
      </c>
      <c r="AK115" s="542">
        <f>SUM('Value Segment'!AK50,'Mid-Market Segment'!AK50,'Upper Mid-Market Segment'!AK50,'Premium Segment'!AK50)/SUM('Value Segment'!AK$82,'Mid-Market Segment'!AK$82,'Upper Mid-Market Segment'!AK$82,'Premium Segment'!AK$82)</f>
        <v>111.66352813852815</v>
      </c>
      <c r="AL115" s="542">
        <f>SUM('Value Segment'!AL50,'Mid-Market Segment'!AL50,'Upper Mid-Market Segment'!AL50,'Premium Segment'!AL50)/SUM('Value Segment'!AL$82,'Mid-Market Segment'!AL$82,'Upper Mid-Market Segment'!AL$82,'Premium Segment'!AL$82)</f>
        <v>111.66352813852815</v>
      </c>
      <c r="AM115" s="542">
        <f>SUM('Value Segment'!AM50,'Mid-Market Segment'!AM50,'Upper Mid-Market Segment'!AM50,'Premium Segment'!AM50)/SUM('Value Segment'!AM$82,'Mid-Market Segment'!AM$82,'Upper Mid-Market Segment'!AM$82,'Premium Segment'!AM$82)</f>
        <v>111.66352813852815</v>
      </c>
      <c r="AN115" s="542">
        <f>SUM('Value Segment'!AN50,'Mid-Market Segment'!AN50,'Upper Mid-Market Segment'!AN50,'Premium Segment'!AN50)/SUM('Value Segment'!AN$82,'Mid-Market Segment'!AN$82,'Upper Mid-Market Segment'!AN$82,'Premium Segment'!AN$82)</f>
        <v>111.66352813852815</v>
      </c>
      <c r="AO115" s="542">
        <f>SUM('Value Segment'!AO50,'Mid-Market Segment'!AO50,'Upper Mid-Market Segment'!AO50,'Premium Segment'!AO50)/SUM('Value Segment'!AO$82,'Mid-Market Segment'!AO$82,'Upper Mid-Market Segment'!AO$82,'Premium Segment'!AO$82)</f>
        <v>111.66352813852815</v>
      </c>
      <c r="AP115" s="542">
        <f>SUM('Value Segment'!AP50,'Mid-Market Segment'!AP50,'Upper Mid-Market Segment'!AP50,'Premium Segment'!AP50)/SUM('Value Segment'!AP$82,'Mid-Market Segment'!AP$82,'Upper Mid-Market Segment'!AP$82,'Premium Segment'!AP$82)</f>
        <v>111.66352813852815</v>
      </c>
      <c r="AQ115" s="542">
        <f>SUM('Value Segment'!AQ50,'Mid-Market Segment'!AQ50,'Upper Mid-Market Segment'!AQ50,'Premium Segment'!AQ50)/SUM('Value Segment'!AQ$82,'Mid-Market Segment'!AQ$82,'Upper Mid-Market Segment'!AQ$82,'Premium Segment'!AQ$82)</f>
        <v>111.66352813852815</v>
      </c>
      <c r="AR115" s="542">
        <f>SUM('Value Segment'!AR50,'Mid-Market Segment'!AR50,'Upper Mid-Market Segment'!AR50,'Premium Segment'!AR50)/SUM('Value Segment'!AR$82,'Mid-Market Segment'!AR$82,'Upper Mid-Market Segment'!AR$82,'Premium Segment'!AR$82)</f>
        <v>111.66352813852815</v>
      </c>
      <c r="AS115" s="542">
        <f>SUM('Value Segment'!AS50,'Mid-Market Segment'!AS50,'Upper Mid-Market Segment'!AS50,'Premium Segment'!AS50)/SUM('Value Segment'!AS$82,'Mid-Market Segment'!AS$82,'Upper Mid-Market Segment'!AS$82,'Premium Segment'!AS$82)</f>
        <v>111.66352813852815</v>
      </c>
      <c r="AT115" s="542">
        <f>SUM('Value Segment'!AT50,'Mid-Market Segment'!AT50,'Upper Mid-Market Segment'!AT50,'Premium Segment'!AT50)/SUM('Value Segment'!AT$82,'Mid-Market Segment'!AT$82,'Upper Mid-Market Segment'!AT$82,'Premium Segment'!AT$82)</f>
        <v>111.66352813852815</v>
      </c>
      <c r="AU115" s="542">
        <f>SUM('Value Segment'!AU50,'Mid-Market Segment'!AU50,'Upper Mid-Market Segment'!AU50,'Premium Segment'!AU50)/SUM('Value Segment'!AU$82,'Mid-Market Segment'!AU$82,'Upper Mid-Market Segment'!AU$82,'Premium Segment'!AU$82)</f>
        <v>111.66352813852815</v>
      </c>
      <c r="AV115" s="542">
        <f>SUM('Value Segment'!AV50,'Mid-Market Segment'!AV50,'Upper Mid-Market Segment'!AV50,'Premium Segment'!AV50)/SUM('Value Segment'!AV$82,'Mid-Market Segment'!AV$82,'Upper Mid-Market Segment'!AV$82,'Premium Segment'!AV$82)</f>
        <v>111.66352813852815</v>
      </c>
      <c r="AW115" s="542">
        <f>SUM('Value Segment'!AW50,'Mid-Market Segment'!AW50,'Upper Mid-Market Segment'!AW50,'Premium Segment'!AW50)/SUM('Value Segment'!AW$82,'Mid-Market Segment'!AW$82,'Upper Mid-Market Segment'!AW$82,'Premium Segment'!AW$82)</f>
        <v>111.66352813852815</v>
      </c>
      <c r="AX115" s="542">
        <f>SUM('Value Segment'!AX50,'Mid-Market Segment'!AX50,'Upper Mid-Market Segment'!AX50,'Premium Segment'!AX50)/SUM('Value Segment'!AX$82,'Mid-Market Segment'!AX$82,'Upper Mid-Market Segment'!AX$82,'Premium Segment'!AX$82)</f>
        <v>111.66352813852815</v>
      </c>
      <c r="AY115" s="542">
        <f>SUM('Value Segment'!AY50,'Mid-Market Segment'!AY50,'Upper Mid-Market Segment'!AY50,'Premium Segment'!AY50)/SUM('Value Segment'!AY$82,'Mid-Market Segment'!AY$82,'Upper Mid-Market Segment'!AY$82,'Premium Segment'!AY$82)</f>
        <v>111.66352813852815</v>
      </c>
      <c r="AZ115" s="542">
        <f>SUM('Value Segment'!AZ50,'Mid-Market Segment'!AZ50,'Upper Mid-Market Segment'!AZ50,'Premium Segment'!AZ50)/SUM('Value Segment'!AZ$82,'Mid-Market Segment'!AZ$82,'Upper Mid-Market Segment'!AZ$82,'Premium Segment'!AZ$82)</f>
        <v>111.66352813852815</v>
      </c>
      <c r="BA115" s="542">
        <f>SUM('Value Segment'!BA50,'Mid-Market Segment'!BA50,'Upper Mid-Market Segment'!BA50,'Premium Segment'!BA50)/SUM('Value Segment'!BA$82,'Mid-Market Segment'!BA$82,'Upper Mid-Market Segment'!BA$82,'Premium Segment'!BA$82)</f>
        <v>111.66352813852815</v>
      </c>
      <c r="BB115" s="542">
        <f>SUM('Value Segment'!BB50,'Mid-Market Segment'!BB50,'Upper Mid-Market Segment'!BB50,'Premium Segment'!BB50)/SUM('Value Segment'!BB$82,'Mid-Market Segment'!BB$82,'Upper Mid-Market Segment'!BB$82,'Premium Segment'!BB$82)</f>
        <v>111.66352813852815</v>
      </c>
      <c r="BC115" s="542">
        <f>SUM('Value Segment'!BC50,'Mid-Market Segment'!BC50,'Upper Mid-Market Segment'!BC50,'Premium Segment'!BC50)/SUM('Value Segment'!BC$82,'Mid-Market Segment'!BC$82,'Upper Mid-Market Segment'!BC$82,'Premium Segment'!BC$82)</f>
        <v>111.66352813852815</v>
      </c>
      <c r="BD115" s="542">
        <f>SUM('Value Segment'!BD50,'Mid-Market Segment'!BD50,'Upper Mid-Market Segment'!BD50,'Premium Segment'!BD50)/SUM('Value Segment'!BD$82,'Mid-Market Segment'!BD$82,'Upper Mid-Market Segment'!BD$82,'Premium Segment'!BD$82)</f>
        <v>111.66352813852815</v>
      </c>
      <c r="BE115" s="542">
        <f>SUM('Value Segment'!BE50,'Mid-Market Segment'!BE50,'Upper Mid-Market Segment'!BE50,'Premium Segment'!BE50)/SUM('Value Segment'!BE$82,'Mid-Market Segment'!BE$82,'Upper Mid-Market Segment'!BE$82,'Premium Segment'!BE$82)</f>
        <v>111.66352813852815</v>
      </c>
      <c r="BF115" s="542">
        <f>SUM('Value Segment'!BF50,'Mid-Market Segment'!BF50,'Upper Mid-Market Segment'!BF50,'Premium Segment'!BF50)/SUM('Value Segment'!BF$82,'Mid-Market Segment'!BF$82,'Upper Mid-Market Segment'!BF$82,'Premium Segment'!BF$82)</f>
        <v>111.66352813852815</v>
      </c>
      <c r="BG115" s="542">
        <f>SUM('Value Segment'!BG50,'Mid-Market Segment'!BG50,'Upper Mid-Market Segment'!BG50,'Premium Segment'!BG50)/SUM('Value Segment'!BG$82,'Mid-Market Segment'!BG$82,'Upper Mid-Market Segment'!BG$82,'Premium Segment'!BG$82)</f>
        <v>111.66352813852815</v>
      </c>
      <c r="BH115" s="542">
        <f>SUM('Value Segment'!BH50,'Mid-Market Segment'!BH50,'Upper Mid-Market Segment'!BH50,'Premium Segment'!BH50)/SUM('Value Segment'!BH$82,'Mid-Market Segment'!BH$82,'Upper Mid-Market Segment'!BH$82,'Premium Segment'!BH$82)</f>
        <v>111.66352813852815</v>
      </c>
      <c r="BI115" s="542">
        <f>SUM('Value Segment'!BI50,'Mid-Market Segment'!BI50,'Upper Mid-Market Segment'!BI50,'Premium Segment'!BI50)/SUM('Value Segment'!BI$82,'Mid-Market Segment'!BI$82,'Upper Mid-Market Segment'!BI$82,'Premium Segment'!BI$82)</f>
        <v>111.66352813852815</v>
      </c>
      <c r="BJ115" s="542">
        <f>SUM('Value Segment'!BJ50,'Mid-Market Segment'!BJ50,'Upper Mid-Market Segment'!BJ50,'Premium Segment'!BJ50)/SUM('Value Segment'!BJ$82,'Mid-Market Segment'!BJ$82,'Upper Mid-Market Segment'!BJ$82,'Premium Segment'!BJ$82)</f>
        <v>111.66352813852815</v>
      </c>
      <c r="BK115" s="542">
        <f>SUM('Value Segment'!BK50,'Mid-Market Segment'!BK50,'Upper Mid-Market Segment'!BK50,'Premium Segment'!BK50)/SUM('Value Segment'!BK$82,'Mid-Market Segment'!BK$82,'Upper Mid-Market Segment'!BK$82,'Premium Segment'!BK$82)</f>
        <v>111.66352813852815</v>
      </c>
      <c r="BL115" s="542">
        <f>SUM('Value Segment'!BL50,'Mid-Market Segment'!BL50,'Upper Mid-Market Segment'!BL50,'Premium Segment'!BL50)/SUM('Value Segment'!BL$82,'Mid-Market Segment'!BL$82,'Upper Mid-Market Segment'!BL$82,'Premium Segment'!BL$82)</f>
        <v>111.66352813852815</v>
      </c>
      <c r="BM115" s="542">
        <f>SUM('Value Segment'!BM50,'Mid-Market Segment'!BM50,'Upper Mid-Market Segment'!BM50,'Premium Segment'!BM50)/SUM('Value Segment'!BM$82,'Mid-Market Segment'!BM$82,'Upper Mid-Market Segment'!BM$82,'Premium Segment'!BM$82)</f>
        <v>111.66352813852815</v>
      </c>
      <c r="BN115" s="542">
        <f>SUM('Value Segment'!BN50,'Mid-Market Segment'!BN50,'Upper Mid-Market Segment'!BN50,'Premium Segment'!BN50)/SUM('Value Segment'!BN$82,'Mid-Market Segment'!BN$82,'Upper Mid-Market Segment'!BN$82,'Premium Segment'!BN$82)</f>
        <v>111.66352813852815</v>
      </c>
      <c r="BO115" s="542">
        <f>SUM('Value Segment'!BO50,'Mid-Market Segment'!BO50,'Upper Mid-Market Segment'!BO50,'Premium Segment'!BO50)/SUM('Value Segment'!BO$82,'Mid-Market Segment'!BO$82,'Upper Mid-Market Segment'!BO$82,'Premium Segment'!BO$82)</f>
        <v>111.66352813852815</v>
      </c>
      <c r="BP115" s="542">
        <f>SUM('Value Segment'!BP50,'Mid-Market Segment'!BP50,'Upper Mid-Market Segment'!BP50,'Premium Segment'!BP50)/SUM('Value Segment'!BP$82,'Mid-Market Segment'!BP$82,'Upper Mid-Market Segment'!BP$82,'Premium Segment'!BP$82)</f>
        <v>111.66352813852815</v>
      </c>
      <c r="BQ115" s="542">
        <f>SUM('Value Segment'!BQ50,'Mid-Market Segment'!BQ50,'Upper Mid-Market Segment'!BQ50,'Premium Segment'!BQ50)/SUM('Value Segment'!BQ$82,'Mid-Market Segment'!BQ$82,'Upper Mid-Market Segment'!BQ$82,'Premium Segment'!BQ$82)</f>
        <v>111.66352813852815</v>
      </c>
      <c r="BR115" s="542">
        <f>SUM('Value Segment'!BR50,'Mid-Market Segment'!BR50,'Upper Mid-Market Segment'!BR50,'Premium Segment'!BR50)/SUM('Value Segment'!BR$82,'Mid-Market Segment'!BR$82,'Upper Mid-Market Segment'!BR$82,'Premium Segment'!BR$82)</f>
        <v>111.66352813852815</v>
      </c>
      <c r="BS115" s="542">
        <f>SUM('Value Segment'!BS50,'Mid-Market Segment'!BS50,'Upper Mid-Market Segment'!BS50,'Premium Segment'!BS50)/SUM('Value Segment'!BS$82,'Mid-Market Segment'!BS$82,'Upper Mid-Market Segment'!BS$82,'Premium Segment'!BS$82)</f>
        <v>111.66352813852815</v>
      </c>
      <c r="BT115" s="542">
        <f>SUM('Value Segment'!BT50,'Mid-Market Segment'!BT50,'Upper Mid-Market Segment'!BT50,'Premium Segment'!BT50)/SUM('Value Segment'!BT$82,'Mid-Market Segment'!BT$82,'Upper Mid-Market Segment'!BT$82,'Premium Segment'!BT$82)</f>
        <v>111.66352813852815</v>
      </c>
      <c r="BU115" s="542">
        <f>SUM('Value Segment'!BU50,'Mid-Market Segment'!BU50,'Upper Mid-Market Segment'!BU50,'Premium Segment'!BU50)/SUM('Value Segment'!BU$82,'Mid-Market Segment'!BU$82,'Upper Mid-Market Segment'!BU$82,'Premium Segment'!BU$82)</f>
        <v>111.66352813852815</v>
      </c>
      <c r="BV115" s="542">
        <f>SUM('Value Segment'!BV50,'Mid-Market Segment'!BV50,'Upper Mid-Market Segment'!BV50,'Premium Segment'!BV50)/SUM('Value Segment'!BV$82,'Mid-Market Segment'!BV$82,'Upper Mid-Market Segment'!BV$82,'Premium Segment'!BV$82)</f>
        <v>111.66352813852815</v>
      </c>
      <c r="BW115" s="542">
        <f>SUM('Value Segment'!BW50,'Mid-Market Segment'!BW50,'Upper Mid-Market Segment'!BW50,'Premium Segment'!BW50)/SUM('Value Segment'!BW$82,'Mid-Market Segment'!BW$82,'Upper Mid-Market Segment'!BW$82,'Premium Segment'!BW$82)</f>
        <v>111.66352813852815</v>
      </c>
      <c r="BX115" s="542">
        <f>SUM('Value Segment'!BX50,'Mid-Market Segment'!BX50,'Upper Mid-Market Segment'!BX50,'Premium Segment'!BX50)/SUM('Value Segment'!BX$82,'Mid-Market Segment'!BX$82,'Upper Mid-Market Segment'!BX$82,'Premium Segment'!BX$82)</f>
        <v>111.66352813852815</v>
      </c>
      <c r="BY115" s="542">
        <f>SUM('Value Segment'!BY50,'Mid-Market Segment'!BY50,'Upper Mid-Market Segment'!BY50,'Premium Segment'!BY50)/SUM('Value Segment'!BY$82,'Mid-Market Segment'!BY$82,'Upper Mid-Market Segment'!BY$82,'Premium Segment'!BY$82)</f>
        <v>111.66352813852815</v>
      </c>
      <c r="CB115" s="8"/>
    </row>
    <row r="116" spans="3:80" x14ac:dyDescent="0.3">
      <c r="C116" s="2"/>
      <c r="D116" s="2"/>
      <c r="E116" s="2" t="s">
        <v>31</v>
      </c>
      <c r="F116" s="54"/>
      <c r="G116" s="54"/>
      <c r="H116" s="54"/>
      <c r="I116" s="19">
        <f>SUM('Value Segment'!I51,'Mid-Market Segment'!I51,'Upper Mid-Market Segment'!I51,'Premium Segment'!I51)/SUM('Value Segment'!I$82,'Mid-Market Segment'!I$82,'Upper Mid-Market Segment'!I$82,'Premium Segment'!I$82)</f>
        <v>3095.0694929991928</v>
      </c>
      <c r="J116" s="19">
        <f>SUM('Value Segment'!J51,'Mid-Market Segment'!J51,'Upper Mid-Market Segment'!J51,'Premium Segment'!J51)/SUM('Value Segment'!J$82,'Mid-Market Segment'!J$82,'Upper Mid-Market Segment'!J$82,'Premium Segment'!J$82)</f>
        <v>3095.0694929991923</v>
      </c>
      <c r="K116" s="19">
        <f>SUM('Value Segment'!K51,'Mid-Market Segment'!K51,'Upper Mid-Market Segment'!K51,'Premium Segment'!K51)/SUM('Value Segment'!K$82,'Mid-Market Segment'!K$82,'Upper Mid-Market Segment'!K$82,'Premium Segment'!K$82)</f>
        <v>3095.0694929991923</v>
      </c>
      <c r="L116" s="19">
        <f>SUM('Value Segment'!L51,'Mid-Market Segment'!L51,'Upper Mid-Market Segment'!L51,'Premium Segment'!L51)/SUM('Value Segment'!L$82,'Mid-Market Segment'!L$82,'Upper Mid-Market Segment'!L$82,'Premium Segment'!L$82)</f>
        <v>3095.0694929991923</v>
      </c>
      <c r="M116" s="19">
        <f>SUM('Value Segment'!M51,'Mid-Market Segment'!M51,'Upper Mid-Market Segment'!M51,'Premium Segment'!M51)/SUM('Value Segment'!M$82,'Mid-Market Segment'!M$82,'Upper Mid-Market Segment'!M$82,'Premium Segment'!M$82)</f>
        <v>3095.0694929991923</v>
      </c>
      <c r="N116" s="19">
        <f>SUM('Value Segment'!N51,'Mid-Market Segment'!N51,'Upper Mid-Market Segment'!N51,'Premium Segment'!N51)/SUM('Value Segment'!N$82,'Mid-Market Segment'!N$82,'Upper Mid-Market Segment'!N$82,'Premium Segment'!N$82)</f>
        <v>3095.0694929991923</v>
      </c>
      <c r="O116" s="37"/>
      <c r="P116" s="50">
        <f>IFERROR(((N116/I116)^(1/5))-1,0)</f>
        <v>0</v>
      </c>
      <c r="R116" s="19">
        <f>SUM('Value Segment'!R51,'Mid-Market Segment'!R51,'Upper Mid-Market Segment'!R51,'Premium Segment'!R51)/SUM('Value Segment'!R$82,'Mid-Market Segment'!R$82,'Upper Mid-Market Segment'!R$82,'Premium Segment'!R$82)</f>
        <v>257.92245774993273</v>
      </c>
      <c r="S116" s="542">
        <f>SUM('Value Segment'!S51,'Mid-Market Segment'!S51,'Upper Mid-Market Segment'!S51,'Premium Segment'!S51)/SUM('Value Segment'!S$82,'Mid-Market Segment'!S$82,'Upper Mid-Market Segment'!S$82,'Premium Segment'!S$82)</f>
        <v>257.92245774993273</v>
      </c>
      <c r="T116" s="542">
        <f>SUM('Value Segment'!T51,'Mid-Market Segment'!T51,'Upper Mid-Market Segment'!T51,'Premium Segment'!T51)/SUM('Value Segment'!T$82,'Mid-Market Segment'!T$82,'Upper Mid-Market Segment'!T$82,'Premium Segment'!T$82)</f>
        <v>257.92245774993273</v>
      </c>
      <c r="U116" s="542">
        <f>SUM('Value Segment'!U51,'Mid-Market Segment'!U51,'Upper Mid-Market Segment'!U51,'Premium Segment'!U51)/SUM('Value Segment'!U$82,'Mid-Market Segment'!U$82,'Upper Mid-Market Segment'!U$82,'Premium Segment'!U$82)</f>
        <v>257.92245774993273</v>
      </c>
      <c r="V116" s="542">
        <f>SUM('Value Segment'!V51,'Mid-Market Segment'!V51,'Upper Mid-Market Segment'!V51,'Premium Segment'!V51)/SUM('Value Segment'!V$82,'Mid-Market Segment'!V$82,'Upper Mid-Market Segment'!V$82,'Premium Segment'!V$82)</f>
        <v>257.92245774993273</v>
      </c>
      <c r="W116" s="542">
        <f>SUM('Value Segment'!W51,'Mid-Market Segment'!W51,'Upper Mid-Market Segment'!W51,'Premium Segment'!W51)/SUM('Value Segment'!W$82,'Mid-Market Segment'!W$82,'Upper Mid-Market Segment'!W$82,'Premium Segment'!W$82)</f>
        <v>257.92245774993273</v>
      </c>
      <c r="X116" s="542">
        <f>SUM('Value Segment'!X51,'Mid-Market Segment'!X51,'Upper Mid-Market Segment'!X51,'Premium Segment'!X51)/SUM('Value Segment'!X$82,'Mid-Market Segment'!X$82,'Upper Mid-Market Segment'!X$82,'Premium Segment'!X$82)</f>
        <v>257.92245774993273</v>
      </c>
      <c r="Y116" s="542">
        <f>SUM('Value Segment'!Y51,'Mid-Market Segment'!Y51,'Upper Mid-Market Segment'!Y51,'Premium Segment'!Y51)/SUM('Value Segment'!Y$82,'Mid-Market Segment'!Y$82,'Upper Mid-Market Segment'!Y$82,'Premium Segment'!Y$82)</f>
        <v>257.92245774993273</v>
      </c>
      <c r="Z116" s="542">
        <f>SUM('Value Segment'!Z51,'Mid-Market Segment'!Z51,'Upper Mid-Market Segment'!Z51,'Premium Segment'!Z51)/SUM('Value Segment'!Z$82,'Mid-Market Segment'!Z$82,'Upper Mid-Market Segment'!Z$82,'Premium Segment'!Z$82)</f>
        <v>257.92245774993273</v>
      </c>
      <c r="AA116" s="542">
        <f>SUM('Value Segment'!AA51,'Mid-Market Segment'!AA51,'Upper Mid-Market Segment'!AA51,'Premium Segment'!AA51)/SUM('Value Segment'!AA$82,'Mid-Market Segment'!AA$82,'Upper Mid-Market Segment'!AA$82,'Premium Segment'!AA$82)</f>
        <v>257.92245774993273</v>
      </c>
      <c r="AB116" s="542">
        <f>SUM('Value Segment'!AB51,'Mid-Market Segment'!AB51,'Upper Mid-Market Segment'!AB51,'Premium Segment'!AB51)/SUM('Value Segment'!AB$82,'Mid-Market Segment'!AB$82,'Upper Mid-Market Segment'!AB$82,'Premium Segment'!AB$82)</f>
        <v>257.92245774993273</v>
      </c>
      <c r="AC116" s="542">
        <f>SUM('Value Segment'!AC51,'Mid-Market Segment'!AC51,'Upper Mid-Market Segment'!AC51,'Premium Segment'!AC51)/SUM('Value Segment'!AC$82,'Mid-Market Segment'!AC$82,'Upper Mid-Market Segment'!AC$82,'Premium Segment'!AC$82)</f>
        <v>257.92245774993273</v>
      </c>
      <c r="AD116" s="542">
        <f>SUM('Value Segment'!AD51,'Mid-Market Segment'!AD51,'Upper Mid-Market Segment'!AD51,'Premium Segment'!AD51)/SUM('Value Segment'!AD$82,'Mid-Market Segment'!AD$82,'Upper Mid-Market Segment'!AD$82,'Premium Segment'!AD$82)</f>
        <v>257.92245774993273</v>
      </c>
      <c r="AE116" s="542">
        <f>SUM('Value Segment'!AE51,'Mid-Market Segment'!AE51,'Upper Mid-Market Segment'!AE51,'Premium Segment'!AE51)/SUM('Value Segment'!AE$82,'Mid-Market Segment'!AE$82,'Upper Mid-Market Segment'!AE$82,'Premium Segment'!AE$82)</f>
        <v>257.92245774993273</v>
      </c>
      <c r="AF116" s="542">
        <f>SUM('Value Segment'!AF51,'Mid-Market Segment'!AF51,'Upper Mid-Market Segment'!AF51,'Premium Segment'!AF51)/SUM('Value Segment'!AF$82,'Mid-Market Segment'!AF$82,'Upper Mid-Market Segment'!AF$82,'Premium Segment'!AF$82)</f>
        <v>257.92245774993273</v>
      </c>
      <c r="AG116" s="542">
        <f>SUM('Value Segment'!AG51,'Mid-Market Segment'!AG51,'Upper Mid-Market Segment'!AG51,'Premium Segment'!AG51)/SUM('Value Segment'!AG$82,'Mid-Market Segment'!AG$82,'Upper Mid-Market Segment'!AG$82,'Premium Segment'!AG$82)</f>
        <v>257.92245774993273</v>
      </c>
      <c r="AH116" s="542">
        <f>SUM('Value Segment'!AH51,'Mid-Market Segment'!AH51,'Upper Mid-Market Segment'!AH51,'Premium Segment'!AH51)/SUM('Value Segment'!AH$82,'Mid-Market Segment'!AH$82,'Upper Mid-Market Segment'!AH$82,'Premium Segment'!AH$82)</f>
        <v>257.92245774993273</v>
      </c>
      <c r="AI116" s="542">
        <f>SUM('Value Segment'!AI51,'Mid-Market Segment'!AI51,'Upper Mid-Market Segment'!AI51,'Premium Segment'!AI51)/SUM('Value Segment'!AI$82,'Mid-Market Segment'!AI$82,'Upper Mid-Market Segment'!AI$82,'Premium Segment'!AI$82)</f>
        <v>257.92245774993273</v>
      </c>
      <c r="AJ116" s="542">
        <f>SUM('Value Segment'!AJ51,'Mid-Market Segment'!AJ51,'Upper Mid-Market Segment'!AJ51,'Premium Segment'!AJ51)/SUM('Value Segment'!AJ$82,'Mid-Market Segment'!AJ$82,'Upper Mid-Market Segment'!AJ$82,'Premium Segment'!AJ$82)</f>
        <v>257.92245774993273</v>
      </c>
      <c r="AK116" s="542">
        <f>SUM('Value Segment'!AK51,'Mid-Market Segment'!AK51,'Upper Mid-Market Segment'!AK51,'Premium Segment'!AK51)/SUM('Value Segment'!AK$82,'Mid-Market Segment'!AK$82,'Upper Mid-Market Segment'!AK$82,'Premium Segment'!AK$82)</f>
        <v>257.92245774993273</v>
      </c>
      <c r="AL116" s="542">
        <f>SUM('Value Segment'!AL51,'Mid-Market Segment'!AL51,'Upper Mid-Market Segment'!AL51,'Premium Segment'!AL51)/SUM('Value Segment'!AL$82,'Mid-Market Segment'!AL$82,'Upper Mid-Market Segment'!AL$82,'Premium Segment'!AL$82)</f>
        <v>257.92245774993273</v>
      </c>
      <c r="AM116" s="542">
        <f>SUM('Value Segment'!AM51,'Mid-Market Segment'!AM51,'Upper Mid-Market Segment'!AM51,'Premium Segment'!AM51)/SUM('Value Segment'!AM$82,'Mid-Market Segment'!AM$82,'Upper Mid-Market Segment'!AM$82,'Premium Segment'!AM$82)</f>
        <v>257.92245774993273</v>
      </c>
      <c r="AN116" s="542">
        <f>SUM('Value Segment'!AN51,'Mid-Market Segment'!AN51,'Upper Mid-Market Segment'!AN51,'Premium Segment'!AN51)/SUM('Value Segment'!AN$82,'Mid-Market Segment'!AN$82,'Upper Mid-Market Segment'!AN$82,'Premium Segment'!AN$82)</f>
        <v>257.92245774993273</v>
      </c>
      <c r="AO116" s="542">
        <f>SUM('Value Segment'!AO51,'Mid-Market Segment'!AO51,'Upper Mid-Market Segment'!AO51,'Premium Segment'!AO51)/SUM('Value Segment'!AO$82,'Mid-Market Segment'!AO$82,'Upper Mid-Market Segment'!AO$82,'Premium Segment'!AO$82)</f>
        <v>257.92245774993273</v>
      </c>
      <c r="AP116" s="542">
        <f>SUM('Value Segment'!AP51,'Mid-Market Segment'!AP51,'Upper Mid-Market Segment'!AP51,'Premium Segment'!AP51)/SUM('Value Segment'!AP$82,'Mid-Market Segment'!AP$82,'Upper Mid-Market Segment'!AP$82,'Premium Segment'!AP$82)</f>
        <v>257.92245774993273</v>
      </c>
      <c r="AQ116" s="542">
        <f>SUM('Value Segment'!AQ51,'Mid-Market Segment'!AQ51,'Upper Mid-Market Segment'!AQ51,'Premium Segment'!AQ51)/SUM('Value Segment'!AQ$82,'Mid-Market Segment'!AQ$82,'Upper Mid-Market Segment'!AQ$82,'Premium Segment'!AQ$82)</f>
        <v>257.92245774993273</v>
      </c>
      <c r="AR116" s="542">
        <f>SUM('Value Segment'!AR51,'Mid-Market Segment'!AR51,'Upper Mid-Market Segment'!AR51,'Premium Segment'!AR51)/SUM('Value Segment'!AR$82,'Mid-Market Segment'!AR$82,'Upper Mid-Market Segment'!AR$82,'Premium Segment'!AR$82)</f>
        <v>257.92245774993273</v>
      </c>
      <c r="AS116" s="542">
        <f>SUM('Value Segment'!AS51,'Mid-Market Segment'!AS51,'Upper Mid-Market Segment'!AS51,'Premium Segment'!AS51)/SUM('Value Segment'!AS$82,'Mid-Market Segment'!AS$82,'Upper Mid-Market Segment'!AS$82,'Premium Segment'!AS$82)</f>
        <v>257.92245774993273</v>
      </c>
      <c r="AT116" s="542">
        <f>SUM('Value Segment'!AT51,'Mid-Market Segment'!AT51,'Upper Mid-Market Segment'!AT51,'Premium Segment'!AT51)/SUM('Value Segment'!AT$82,'Mid-Market Segment'!AT$82,'Upper Mid-Market Segment'!AT$82,'Premium Segment'!AT$82)</f>
        <v>257.92245774993273</v>
      </c>
      <c r="AU116" s="542">
        <f>SUM('Value Segment'!AU51,'Mid-Market Segment'!AU51,'Upper Mid-Market Segment'!AU51,'Premium Segment'!AU51)/SUM('Value Segment'!AU$82,'Mid-Market Segment'!AU$82,'Upper Mid-Market Segment'!AU$82,'Premium Segment'!AU$82)</f>
        <v>257.92245774993273</v>
      </c>
      <c r="AV116" s="542">
        <f>SUM('Value Segment'!AV51,'Mid-Market Segment'!AV51,'Upper Mid-Market Segment'!AV51,'Premium Segment'!AV51)/SUM('Value Segment'!AV$82,'Mid-Market Segment'!AV$82,'Upper Mid-Market Segment'!AV$82,'Premium Segment'!AV$82)</f>
        <v>257.92245774993273</v>
      </c>
      <c r="AW116" s="542">
        <f>SUM('Value Segment'!AW51,'Mid-Market Segment'!AW51,'Upper Mid-Market Segment'!AW51,'Premium Segment'!AW51)/SUM('Value Segment'!AW$82,'Mid-Market Segment'!AW$82,'Upper Mid-Market Segment'!AW$82,'Premium Segment'!AW$82)</f>
        <v>257.92245774993273</v>
      </c>
      <c r="AX116" s="542">
        <f>SUM('Value Segment'!AX51,'Mid-Market Segment'!AX51,'Upper Mid-Market Segment'!AX51,'Premium Segment'!AX51)/SUM('Value Segment'!AX$82,'Mid-Market Segment'!AX$82,'Upper Mid-Market Segment'!AX$82,'Premium Segment'!AX$82)</f>
        <v>257.92245774993273</v>
      </c>
      <c r="AY116" s="542">
        <f>SUM('Value Segment'!AY51,'Mid-Market Segment'!AY51,'Upper Mid-Market Segment'!AY51,'Premium Segment'!AY51)/SUM('Value Segment'!AY$82,'Mid-Market Segment'!AY$82,'Upper Mid-Market Segment'!AY$82,'Premium Segment'!AY$82)</f>
        <v>257.92245774993273</v>
      </c>
      <c r="AZ116" s="542">
        <f>SUM('Value Segment'!AZ51,'Mid-Market Segment'!AZ51,'Upper Mid-Market Segment'!AZ51,'Premium Segment'!AZ51)/SUM('Value Segment'!AZ$82,'Mid-Market Segment'!AZ$82,'Upper Mid-Market Segment'!AZ$82,'Premium Segment'!AZ$82)</f>
        <v>257.92245774993273</v>
      </c>
      <c r="BA116" s="542">
        <f>SUM('Value Segment'!BA51,'Mid-Market Segment'!BA51,'Upper Mid-Market Segment'!BA51,'Premium Segment'!BA51)/SUM('Value Segment'!BA$82,'Mid-Market Segment'!BA$82,'Upper Mid-Market Segment'!BA$82,'Premium Segment'!BA$82)</f>
        <v>257.92245774993273</v>
      </c>
      <c r="BB116" s="542">
        <f>SUM('Value Segment'!BB51,'Mid-Market Segment'!BB51,'Upper Mid-Market Segment'!BB51,'Premium Segment'!BB51)/SUM('Value Segment'!BB$82,'Mid-Market Segment'!BB$82,'Upper Mid-Market Segment'!BB$82,'Premium Segment'!BB$82)</f>
        <v>257.92245774993273</v>
      </c>
      <c r="BC116" s="542">
        <f>SUM('Value Segment'!BC51,'Mid-Market Segment'!BC51,'Upper Mid-Market Segment'!BC51,'Premium Segment'!BC51)/SUM('Value Segment'!BC$82,'Mid-Market Segment'!BC$82,'Upper Mid-Market Segment'!BC$82,'Premium Segment'!BC$82)</f>
        <v>257.92245774993273</v>
      </c>
      <c r="BD116" s="542">
        <f>SUM('Value Segment'!BD51,'Mid-Market Segment'!BD51,'Upper Mid-Market Segment'!BD51,'Premium Segment'!BD51)/SUM('Value Segment'!BD$82,'Mid-Market Segment'!BD$82,'Upper Mid-Market Segment'!BD$82,'Premium Segment'!BD$82)</f>
        <v>257.92245774993273</v>
      </c>
      <c r="BE116" s="542">
        <f>SUM('Value Segment'!BE51,'Mid-Market Segment'!BE51,'Upper Mid-Market Segment'!BE51,'Premium Segment'!BE51)/SUM('Value Segment'!BE$82,'Mid-Market Segment'!BE$82,'Upper Mid-Market Segment'!BE$82,'Premium Segment'!BE$82)</f>
        <v>257.92245774993273</v>
      </c>
      <c r="BF116" s="542">
        <f>SUM('Value Segment'!BF51,'Mid-Market Segment'!BF51,'Upper Mid-Market Segment'!BF51,'Premium Segment'!BF51)/SUM('Value Segment'!BF$82,'Mid-Market Segment'!BF$82,'Upper Mid-Market Segment'!BF$82,'Premium Segment'!BF$82)</f>
        <v>257.92245774993273</v>
      </c>
      <c r="BG116" s="542">
        <f>SUM('Value Segment'!BG51,'Mid-Market Segment'!BG51,'Upper Mid-Market Segment'!BG51,'Premium Segment'!BG51)/SUM('Value Segment'!BG$82,'Mid-Market Segment'!BG$82,'Upper Mid-Market Segment'!BG$82,'Premium Segment'!BG$82)</f>
        <v>257.92245774993273</v>
      </c>
      <c r="BH116" s="542">
        <f>SUM('Value Segment'!BH51,'Mid-Market Segment'!BH51,'Upper Mid-Market Segment'!BH51,'Premium Segment'!BH51)/SUM('Value Segment'!BH$82,'Mid-Market Segment'!BH$82,'Upper Mid-Market Segment'!BH$82,'Premium Segment'!BH$82)</f>
        <v>257.92245774993273</v>
      </c>
      <c r="BI116" s="542">
        <f>SUM('Value Segment'!BI51,'Mid-Market Segment'!BI51,'Upper Mid-Market Segment'!BI51,'Premium Segment'!BI51)/SUM('Value Segment'!BI$82,'Mid-Market Segment'!BI$82,'Upper Mid-Market Segment'!BI$82,'Premium Segment'!BI$82)</f>
        <v>257.92245774993273</v>
      </c>
      <c r="BJ116" s="542">
        <f>SUM('Value Segment'!BJ51,'Mid-Market Segment'!BJ51,'Upper Mid-Market Segment'!BJ51,'Premium Segment'!BJ51)/SUM('Value Segment'!BJ$82,'Mid-Market Segment'!BJ$82,'Upper Mid-Market Segment'!BJ$82,'Premium Segment'!BJ$82)</f>
        <v>257.92245774993273</v>
      </c>
      <c r="BK116" s="542">
        <f>SUM('Value Segment'!BK51,'Mid-Market Segment'!BK51,'Upper Mid-Market Segment'!BK51,'Premium Segment'!BK51)/SUM('Value Segment'!BK$82,'Mid-Market Segment'!BK$82,'Upper Mid-Market Segment'!BK$82,'Premium Segment'!BK$82)</f>
        <v>257.92245774993273</v>
      </c>
      <c r="BL116" s="542">
        <f>SUM('Value Segment'!BL51,'Mid-Market Segment'!BL51,'Upper Mid-Market Segment'!BL51,'Premium Segment'!BL51)/SUM('Value Segment'!BL$82,'Mid-Market Segment'!BL$82,'Upper Mid-Market Segment'!BL$82,'Premium Segment'!BL$82)</f>
        <v>257.92245774993273</v>
      </c>
      <c r="BM116" s="542">
        <f>SUM('Value Segment'!BM51,'Mid-Market Segment'!BM51,'Upper Mid-Market Segment'!BM51,'Premium Segment'!BM51)/SUM('Value Segment'!BM$82,'Mid-Market Segment'!BM$82,'Upper Mid-Market Segment'!BM$82,'Premium Segment'!BM$82)</f>
        <v>257.92245774993273</v>
      </c>
      <c r="BN116" s="542">
        <f>SUM('Value Segment'!BN51,'Mid-Market Segment'!BN51,'Upper Mid-Market Segment'!BN51,'Premium Segment'!BN51)/SUM('Value Segment'!BN$82,'Mid-Market Segment'!BN$82,'Upper Mid-Market Segment'!BN$82,'Premium Segment'!BN$82)</f>
        <v>257.92245774993273</v>
      </c>
      <c r="BO116" s="542">
        <f>SUM('Value Segment'!BO51,'Mid-Market Segment'!BO51,'Upper Mid-Market Segment'!BO51,'Premium Segment'!BO51)/SUM('Value Segment'!BO$82,'Mid-Market Segment'!BO$82,'Upper Mid-Market Segment'!BO$82,'Premium Segment'!BO$82)</f>
        <v>257.92245774993273</v>
      </c>
      <c r="BP116" s="542">
        <f>SUM('Value Segment'!BP51,'Mid-Market Segment'!BP51,'Upper Mid-Market Segment'!BP51,'Premium Segment'!BP51)/SUM('Value Segment'!BP$82,'Mid-Market Segment'!BP$82,'Upper Mid-Market Segment'!BP$82,'Premium Segment'!BP$82)</f>
        <v>257.92245774993273</v>
      </c>
      <c r="BQ116" s="542">
        <f>SUM('Value Segment'!BQ51,'Mid-Market Segment'!BQ51,'Upper Mid-Market Segment'!BQ51,'Premium Segment'!BQ51)/SUM('Value Segment'!BQ$82,'Mid-Market Segment'!BQ$82,'Upper Mid-Market Segment'!BQ$82,'Premium Segment'!BQ$82)</f>
        <v>257.92245774993273</v>
      </c>
      <c r="BR116" s="542">
        <f>SUM('Value Segment'!BR51,'Mid-Market Segment'!BR51,'Upper Mid-Market Segment'!BR51,'Premium Segment'!BR51)/SUM('Value Segment'!BR$82,'Mid-Market Segment'!BR$82,'Upper Mid-Market Segment'!BR$82,'Premium Segment'!BR$82)</f>
        <v>257.92245774993273</v>
      </c>
      <c r="BS116" s="542">
        <f>SUM('Value Segment'!BS51,'Mid-Market Segment'!BS51,'Upper Mid-Market Segment'!BS51,'Premium Segment'!BS51)/SUM('Value Segment'!BS$82,'Mid-Market Segment'!BS$82,'Upper Mid-Market Segment'!BS$82,'Premium Segment'!BS$82)</f>
        <v>257.92245774993273</v>
      </c>
      <c r="BT116" s="542">
        <f>SUM('Value Segment'!BT51,'Mid-Market Segment'!BT51,'Upper Mid-Market Segment'!BT51,'Premium Segment'!BT51)/SUM('Value Segment'!BT$82,'Mid-Market Segment'!BT$82,'Upper Mid-Market Segment'!BT$82,'Premium Segment'!BT$82)</f>
        <v>257.92245774993273</v>
      </c>
      <c r="BU116" s="542">
        <f>SUM('Value Segment'!BU51,'Mid-Market Segment'!BU51,'Upper Mid-Market Segment'!BU51,'Premium Segment'!BU51)/SUM('Value Segment'!BU$82,'Mid-Market Segment'!BU$82,'Upper Mid-Market Segment'!BU$82,'Premium Segment'!BU$82)</f>
        <v>257.92245774993273</v>
      </c>
      <c r="BV116" s="542">
        <f>SUM('Value Segment'!BV51,'Mid-Market Segment'!BV51,'Upper Mid-Market Segment'!BV51,'Premium Segment'!BV51)/SUM('Value Segment'!BV$82,'Mid-Market Segment'!BV$82,'Upper Mid-Market Segment'!BV$82,'Premium Segment'!BV$82)</f>
        <v>257.92245774993273</v>
      </c>
      <c r="BW116" s="542">
        <f>SUM('Value Segment'!BW51,'Mid-Market Segment'!BW51,'Upper Mid-Market Segment'!BW51,'Premium Segment'!BW51)/SUM('Value Segment'!BW$82,'Mid-Market Segment'!BW$82,'Upper Mid-Market Segment'!BW$82,'Premium Segment'!BW$82)</f>
        <v>257.92245774993273</v>
      </c>
      <c r="BX116" s="542">
        <f>SUM('Value Segment'!BX51,'Mid-Market Segment'!BX51,'Upper Mid-Market Segment'!BX51,'Premium Segment'!BX51)/SUM('Value Segment'!BX$82,'Mid-Market Segment'!BX$82,'Upper Mid-Market Segment'!BX$82,'Premium Segment'!BX$82)</f>
        <v>257.92245774993273</v>
      </c>
      <c r="BY116" s="542">
        <f>SUM('Value Segment'!BY51,'Mid-Market Segment'!BY51,'Upper Mid-Market Segment'!BY51,'Premium Segment'!BY51)/SUM('Value Segment'!BY$82,'Mid-Market Segment'!BY$82,'Upper Mid-Market Segment'!BY$82,'Premium Segment'!BY$82)</f>
        <v>257.92245774993273</v>
      </c>
      <c r="CB116" s="8"/>
    </row>
    <row r="117" spans="3:80" x14ac:dyDescent="0.3">
      <c r="C117" s="2"/>
      <c r="D117" s="2"/>
      <c r="E117" s="4" t="s">
        <v>32</v>
      </c>
      <c r="F117" s="5"/>
      <c r="G117" s="5"/>
      <c r="H117" s="5"/>
      <c r="I117" s="672">
        <f>SUM('Value Segment'!I52,'Mid-Market Segment'!I52,'Upper Mid-Market Segment'!I52,'Premium Segment'!I52)/SUM('Value Segment'!I$82,'Mid-Market Segment'!I$82,'Upper Mid-Market Segment'!I$82,'Premium Segment'!I$82)</f>
        <v>6592.9598264805018</v>
      </c>
      <c r="J117" s="672">
        <f>SUM('Value Segment'!J52,'Mid-Market Segment'!J52,'Upper Mid-Market Segment'!J52,'Premium Segment'!J52)/SUM('Value Segment'!J$82,'Mid-Market Segment'!J$82,'Upper Mid-Market Segment'!J$82,'Premium Segment'!J$82)</f>
        <v>6592.9598264805009</v>
      </c>
      <c r="K117" s="672">
        <f>SUM('Value Segment'!K52,'Mid-Market Segment'!K52,'Upper Mid-Market Segment'!K52,'Premium Segment'!K52)/SUM('Value Segment'!K$82,'Mid-Market Segment'!K$82,'Upper Mid-Market Segment'!K$82,'Premium Segment'!K$82)</f>
        <v>6592.9598264805009</v>
      </c>
      <c r="L117" s="672">
        <f>SUM('Value Segment'!L52,'Mid-Market Segment'!L52,'Upper Mid-Market Segment'!L52,'Premium Segment'!L52)/SUM('Value Segment'!L$82,'Mid-Market Segment'!L$82,'Upper Mid-Market Segment'!L$82,'Premium Segment'!L$82)</f>
        <v>6592.9598264805009</v>
      </c>
      <c r="M117" s="672">
        <f>SUM('Value Segment'!M52,'Mid-Market Segment'!M52,'Upper Mid-Market Segment'!M52,'Premium Segment'!M52)/SUM('Value Segment'!M$82,'Mid-Market Segment'!M$82,'Upper Mid-Market Segment'!M$82,'Premium Segment'!M$82)</f>
        <v>6592.9598264805009</v>
      </c>
      <c r="N117" s="672">
        <f>SUM('Value Segment'!N52,'Mid-Market Segment'!N52,'Upper Mid-Market Segment'!N52,'Premium Segment'!N52)/SUM('Value Segment'!N$82,'Mid-Market Segment'!N$82,'Upper Mid-Market Segment'!N$82,'Premium Segment'!N$82)</f>
        <v>6592.9598264805009</v>
      </c>
      <c r="O117" s="57"/>
      <c r="P117" s="55">
        <f>IFERROR(((N117/I117)^(1/5))-1,0)</f>
        <v>0</v>
      </c>
      <c r="R117" s="672">
        <f>SUM('Value Segment'!R52,'Mid-Market Segment'!R52,'Upper Mid-Market Segment'!R52,'Premium Segment'!R52)/SUM('Value Segment'!R$82,'Mid-Market Segment'!R$82,'Upper Mid-Market Segment'!R$82,'Premium Segment'!R$82)</f>
        <v>549.41331887337537</v>
      </c>
      <c r="S117" s="675">
        <f>SUM('Value Segment'!S52,'Mid-Market Segment'!S52,'Upper Mid-Market Segment'!S52,'Premium Segment'!S52)/SUM('Value Segment'!S$82,'Mid-Market Segment'!S$82,'Upper Mid-Market Segment'!S$82,'Premium Segment'!S$82)</f>
        <v>549.41331887337537</v>
      </c>
      <c r="T117" s="675">
        <f>SUM('Value Segment'!T52,'Mid-Market Segment'!T52,'Upper Mid-Market Segment'!T52,'Premium Segment'!T52)/SUM('Value Segment'!T$82,'Mid-Market Segment'!T$82,'Upper Mid-Market Segment'!T$82,'Premium Segment'!T$82)</f>
        <v>549.41331887337537</v>
      </c>
      <c r="U117" s="675">
        <f>SUM('Value Segment'!U52,'Mid-Market Segment'!U52,'Upper Mid-Market Segment'!U52,'Premium Segment'!U52)/SUM('Value Segment'!U$82,'Mid-Market Segment'!U$82,'Upper Mid-Market Segment'!U$82,'Premium Segment'!U$82)</f>
        <v>549.41331887337537</v>
      </c>
      <c r="V117" s="675">
        <f>SUM('Value Segment'!V52,'Mid-Market Segment'!V52,'Upper Mid-Market Segment'!V52,'Premium Segment'!V52)/SUM('Value Segment'!V$82,'Mid-Market Segment'!V$82,'Upper Mid-Market Segment'!V$82,'Premium Segment'!V$82)</f>
        <v>549.41331887337537</v>
      </c>
      <c r="W117" s="675">
        <f>SUM('Value Segment'!W52,'Mid-Market Segment'!W52,'Upper Mid-Market Segment'!W52,'Premium Segment'!W52)/SUM('Value Segment'!W$82,'Mid-Market Segment'!W$82,'Upper Mid-Market Segment'!W$82,'Premium Segment'!W$82)</f>
        <v>549.41331887337537</v>
      </c>
      <c r="X117" s="675">
        <f>SUM('Value Segment'!X52,'Mid-Market Segment'!X52,'Upper Mid-Market Segment'!X52,'Premium Segment'!X52)/SUM('Value Segment'!X$82,'Mid-Market Segment'!X$82,'Upper Mid-Market Segment'!X$82,'Premium Segment'!X$82)</f>
        <v>549.41331887337537</v>
      </c>
      <c r="Y117" s="675">
        <f>SUM('Value Segment'!Y52,'Mid-Market Segment'!Y52,'Upper Mid-Market Segment'!Y52,'Premium Segment'!Y52)/SUM('Value Segment'!Y$82,'Mid-Market Segment'!Y$82,'Upper Mid-Market Segment'!Y$82,'Premium Segment'!Y$82)</f>
        <v>549.41331887337537</v>
      </c>
      <c r="Z117" s="675">
        <f>SUM('Value Segment'!Z52,'Mid-Market Segment'!Z52,'Upper Mid-Market Segment'!Z52,'Premium Segment'!Z52)/SUM('Value Segment'!Z$82,'Mid-Market Segment'!Z$82,'Upper Mid-Market Segment'!Z$82,'Premium Segment'!Z$82)</f>
        <v>549.41331887337537</v>
      </c>
      <c r="AA117" s="675">
        <f>SUM('Value Segment'!AA52,'Mid-Market Segment'!AA52,'Upper Mid-Market Segment'!AA52,'Premium Segment'!AA52)/SUM('Value Segment'!AA$82,'Mid-Market Segment'!AA$82,'Upper Mid-Market Segment'!AA$82,'Premium Segment'!AA$82)</f>
        <v>549.41331887337537</v>
      </c>
      <c r="AB117" s="675">
        <f>SUM('Value Segment'!AB52,'Mid-Market Segment'!AB52,'Upper Mid-Market Segment'!AB52,'Premium Segment'!AB52)/SUM('Value Segment'!AB$82,'Mid-Market Segment'!AB$82,'Upper Mid-Market Segment'!AB$82,'Premium Segment'!AB$82)</f>
        <v>549.41331887337537</v>
      </c>
      <c r="AC117" s="675">
        <f>SUM('Value Segment'!AC52,'Mid-Market Segment'!AC52,'Upper Mid-Market Segment'!AC52,'Premium Segment'!AC52)/SUM('Value Segment'!AC$82,'Mid-Market Segment'!AC$82,'Upper Mid-Market Segment'!AC$82,'Premium Segment'!AC$82)</f>
        <v>549.41331887337537</v>
      </c>
      <c r="AD117" s="675">
        <f>SUM('Value Segment'!AD52,'Mid-Market Segment'!AD52,'Upper Mid-Market Segment'!AD52,'Premium Segment'!AD52)/SUM('Value Segment'!AD$82,'Mid-Market Segment'!AD$82,'Upper Mid-Market Segment'!AD$82,'Premium Segment'!AD$82)</f>
        <v>549.41331887337537</v>
      </c>
      <c r="AE117" s="675">
        <f>SUM('Value Segment'!AE52,'Mid-Market Segment'!AE52,'Upper Mid-Market Segment'!AE52,'Premium Segment'!AE52)/SUM('Value Segment'!AE$82,'Mid-Market Segment'!AE$82,'Upper Mid-Market Segment'!AE$82,'Premium Segment'!AE$82)</f>
        <v>549.41331887337537</v>
      </c>
      <c r="AF117" s="675">
        <f>SUM('Value Segment'!AF52,'Mid-Market Segment'!AF52,'Upper Mid-Market Segment'!AF52,'Premium Segment'!AF52)/SUM('Value Segment'!AF$82,'Mid-Market Segment'!AF$82,'Upper Mid-Market Segment'!AF$82,'Premium Segment'!AF$82)</f>
        <v>549.41331887337537</v>
      </c>
      <c r="AG117" s="675">
        <f>SUM('Value Segment'!AG52,'Mid-Market Segment'!AG52,'Upper Mid-Market Segment'!AG52,'Premium Segment'!AG52)/SUM('Value Segment'!AG$82,'Mid-Market Segment'!AG$82,'Upper Mid-Market Segment'!AG$82,'Premium Segment'!AG$82)</f>
        <v>549.41331887337537</v>
      </c>
      <c r="AH117" s="675">
        <f>SUM('Value Segment'!AH52,'Mid-Market Segment'!AH52,'Upper Mid-Market Segment'!AH52,'Premium Segment'!AH52)/SUM('Value Segment'!AH$82,'Mid-Market Segment'!AH$82,'Upper Mid-Market Segment'!AH$82,'Premium Segment'!AH$82)</f>
        <v>549.41331887337537</v>
      </c>
      <c r="AI117" s="675">
        <f>SUM('Value Segment'!AI52,'Mid-Market Segment'!AI52,'Upper Mid-Market Segment'!AI52,'Premium Segment'!AI52)/SUM('Value Segment'!AI$82,'Mid-Market Segment'!AI$82,'Upper Mid-Market Segment'!AI$82,'Premium Segment'!AI$82)</f>
        <v>549.41331887337537</v>
      </c>
      <c r="AJ117" s="675">
        <f>SUM('Value Segment'!AJ52,'Mid-Market Segment'!AJ52,'Upper Mid-Market Segment'!AJ52,'Premium Segment'!AJ52)/SUM('Value Segment'!AJ$82,'Mid-Market Segment'!AJ$82,'Upper Mid-Market Segment'!AJ$82,'Premium Segment'!AJ$82)</f>
        <v>549.41331887337537</v>
      </c>
      <c r="AK117" s="675">
        <f>SUM('Value Segment'!AK52,'Mid-Market Segment'!AK52,'Upper Mid-Market Segment'!AK52,'Premium Segment'!AK52)/SUM('Value Segment'!AK$82,'Mid-Market Segment'!AK$82,'Upper Mid-Market Segment'!AK$82,'Premium Segment'!AK$82)</f>
        <v>549.41331887337537</v>
      </c>
      <c r="AL117" s="675">
        <f>SUM('Value Segment'!AL52,'Mid-Market Segment'!AL52,'Upper Mid-Market Segment'!AL52,'Premium Segment'!AL52)/SUM('Value Segment'!AL$82,'Mid-Market Segment'!AL$82,'Upper Mid-Market Segment'!AL$82,'Premium Segment'!AL$82)</f>
        <v>549.41331887337537</v>
      </c>
      <c r="AM117" s="675">
        <f>SUM('Value Segment'!AM52,'Mid-Market Segment'!AM52,'Upper Mid-Market Segment'!AM52,'Premium Segment'!AM52)/SUM('Value Segment'!AM$82,'Mid-Market Segment'!AM$82,'Upper Mid-Market Segment'!AM$82,'Premium Segment'!AM$82)</f>
        <v>549.41331887337537</v>
      </c>
      <c r="AN117" s="675">
        <f>SUM('Value Segment'!AN52,'Mid-Market Segment'!AN52,'Upper Mid-Market Segment'!AN52,'Premium Segment'!AN52)/SUM('Value Segment'!AN$82,'Mid-Market Segment'!AN$82,'Upper Mid-Market Segment'!AN$82,'Premium Segment'!AN$82)</f>
        <v>549.41331887337537</v>
      </c>
      <c r="AO117" s="675">
        <f>SUM('Value Segment'!AO52,'Mid-Market Segment'!AO52,'Upper Mid-Market Segment'!AO52,'Premium Segment'!AO52)/SUM('Value Segment'!AO$82,'Mid-Market Segment'!AO$82,'Upper Mid-Market Segment'!AO$82,'Premium Segment'!AO$82)</f>
        <v>549.41331887337537</v>
      </c>
      <c r="AP117" s="675">
        <f>SUM('Value Segment'!AP52,'Mid-Market Segment'!AP52,'Upper Mid-Market Segment'!AP52,'Premium Segment'!AP52)/SUM('Value Segment'!AP$82,'Mid-Market Segment'!AP$82,'Upper Mid-Market Segment'!AP$82,'Premium Segment'!AP$82)</f>
        <v>549.41331887337537</v>
      </c>
      <c r="AQ117" s="675">
        <f>SUM('Value Segment'!AQ52,'Mid-Market Segment'!AQ52,'Upper Mid-Market Segment'!AQ52,'Premium Segment'!AQ52)/SUM('Value Segment'!AQ$82,'Mid-Market Segment'!AQ$82,'Upper Mid-Market Segment'!AQ$82,'Premium Segment'!AQ$82)</f>
        <v>549.41331887337537</v>
      </c>
      <c r="AR117" s="675">
        <f>SUM('Value Segment'!AR52,'Mid-Market Segment'!AR52,'Upper Mid-Market Segment'!AR52,'Premium Segment'!AR52)/SUM('Value Segment'!AR$82,'Mid-Market Segment'!AR$82,'Upper Mid-Market Segment'!AR$82,'Premium Segment'!AR$82)</f>
        <v>549.41331887337537</v>
      </c>
      <c r="AS117" s="675">
        <f>SUM('Value Segment'!AS52,'Mid-Market Segment'!AS52,'Upper Mid-Market Segment'!AS52,'Premium Segment'!AS52)/SUM('Value Segment'!AS$82,'Mid-Market Segment'!AS$82,'Upper Mid-Market Segment'!AS$82,'Premium Segment'!AS$82)</f>
        <v>549.41331887337537</v>
      </c>
      <c r="AT117" s="675">
        <f>SUM('Value Segment'!AT52,'Mid-Market Segment'!AT52,'Upper Mid-Market Segment'!AT52,'Premium Segment'!AT52)/SUM('Value Segment'!AT$82,'Mid-Market Segment'!AT$82,'Upper Mid-Market Segment'!AT$82,'Premium Segment'!AT$82)</f>
        <v>549.41331887337537</v>
      </c>
      <c r="AU117" s="675">
        <f>SUM('Value Segment'!AU52,'Mid-Market Segment'!AU52,'Upper Mid-Market Segment'!AU52,'Premium Segment'!AU52)/SUM('Value Segment'!AU$82,'Mid-Market Segment'!AU$82,'Upper Mid-Market Segment'!AU$82,'Premium Segment'!AU$82)</f>
        <v>549.41331887337537</v>
      </c>
      <c r="AV117" s="675">
        <f>SUM('Value Segment'!AV52,'Mid-Market Segment'!AV52,'Upper Mid-Market Segment'!AV52,'Premium Segment'!AV52)/SUM('Value Segment'!AV$82,'Mid-Market Segment'!AV$82,'Upper Mid-Market Segment'!AV$82,'Premium Segment'!AV$82)</f>
        <v>549.41331887337537</v>
      </c>
      <c r="AW117" s="675">
        <f>SUM('Value Segment'!AW52,'Mid-Market Segment'!AW52,'Upper Mid-Market Segment'!AW52,'Premium Segment'!AW52)/SUM('Value Segment'!AW$82,'Mid-Market Segment'!AW$82,'Upper Mid-Market Segment'!AW$82,'Premium Segment'!AW$82)</f>
        <v>549.41331887337537</v>
      </c>
      <c r="AX117" s="675">
        <f>SUM('Value Segment'!AX52,'Mid-Market Segment'!AX52,'Upper Mid-Market Segment'!AX52,'Premium Segment'!AX52)/SUM('Value Segment'!AX$82,'Mid-Market Segment'!AX$82,'Upper Mid-Market Segment'!AX$82,'Premium Segment'!AX$82)</f>
        <v>549.41331887337537</v>
      </c>
      <c r="AY117" s="675">
        <f>SUM('Value Segment'!AY52,'Mid-Market Segment'!AY52,'Upper Mid-Market Segment'!AY52,'Premium Segment'!AY52)/SUM('Value Segment'!AY$82,'Mid-Market Segment'!AY$82,'Upper Mid-Market Segment'!AY$82,'Premium Segment'!AY$82)</f>
        <v>549.41331887337537</v>
      </c>
      <c r="AZ117" s="675">
        <f>SUM('Value Segment'!AZ52,'Mid-Market Segment'!AZ52,'Upper Mid-Market Segment'!AZ52,'Premium Segment'!AZ52)/SUM('Value Segment'!AZ$82,'Mid-Market Segment'!AZ$82,'Upper Mid-Market Segment'!AZ$82,'Premium Segment'!AZ$82)</f>
        <v>549.41331887337537</v>
      </c>
      <c r="BA117" s="675">
        <f>SUM('Value Segment'!BA52,'Mid-Market Segment'!BA52,'Upper Mid-Market Segment'!BA52,'Premium Segment'!BA52)/SUM('Value Segment'!BA$82,'Mid-Market Segment'!BA$82,'Upper Mid-Market Segment'!BA$82,'Premium Segment'!BA$82)</f>
        <v>549.41331887337537</v>
      </c>
      <c r="BB117" s="675">
        <f>SUM('Value Segment'!BB52,'Mid-Market Segment'!BB52,'Upper Mid-Market Segment'!BB52,'Premium Segment'!BB52)/SUM('Value Segment'!BB$82,'Mid-Market Segment'!BB$82,'Upper Mid-Market Segment'!BB$82,'Premium Segment'!BB$82)</f>
        <v>549.41331887337537</v>
      </c>
      <c r="BC117" s="675">
        <f>SUM('Value Segment'!BC52,'Mid-Market Segment'!BC52,'Upper Mid-Market Segment'!BC52,'Premium Segment'!BC52)/SUM('Value Segment'!BC$82,'Mid-Market Segment'!BC$82,'Upper Mid-Market Segment'!BC$82,'Premium Segment'!BC$82)</f>
        <v>549.41331887337537</v>
      </c>
      <c r="BD117" s="675">
        <f>SUM('Value Segment'!BD52,'Mid-Market Segment'!BD52,'Upper Mid-Market Segment'!BD52,'Premium Segment'!BD52)/SUM('Value Segment'!BD$82,'Mid-Market Segment'!BD$82,'Upper Mid-Market Segment'!BD$82,'Premium Segment'!BD$82)</f>
        <v>549.41331887337537</v>
      </c>
      <c r="BE117" s="675">
        <f>SUM('Value Segment'!BE52,'Mid-Market Segment'!BE52,'Upper Mid-Market Segment'!BE52,'Premium Segment'!BE52)/SUM('Value Segment'!BE$82,'Mid-Market Segment'!BE$82,'Upper Mid-Market Segment'!BE$82,'Premium Segment'!BE$82)</f>
        <v>549.41331887337537</v>
      </c>
      <c r="BF117" s="675">
        <f>SUM('Value Segment'!BF52,'Mid-Market Segment'!BF52,'Upper Mid-Market Segment'!BF52,'Premium Segment'!BF52)/SUM('Value Segment'!BF$82,'Mid-Market Segment'!BF$82,'Upper Mid-Market Segment'!BF$82,'Premium Segment'!BF$82)</f>
        <v>549.41331887337537</v>
      </c>
      <c r="BG117" s="675">
        <f>SUM('Value Segment'!BG52,'Mid-Market Segment'!BG52,'Upper Mid-Market Segment'!BG52,'Premium Segment'!BG52)/SUM('Value Segment'!BG$82,'Mid-Market Segment'!BG$82,'Upper Mid-Market Segment'!BG$82,'Premium Segment'!BG$82)</f>
        <v>549.41331887337537</v>
      </c>
      <c r="BH117" s="675">
        <f>SUM('Value Segment'!BH52,'Mid-Market Segment'!BH52,'Upper Mid-Market Segment'!BH52,'Premium Segment'!BH52)/SUM('Value Segment'!BH$82,'Mid-Market Segment'!BH$82,'Upper Mid-Market Segment'!BH$82,'Premium Segment'!BH$82)</f>
        <v>549.41331887337537</v>
      </c>
      <c r="BI117" s="675">
        <f>SUM('Value Segment'!BI52,'Mid-Market Segment'!BI52,'Upper Mid-Market Segment'!BI52,'Premium Segment'!BI52)/SUM('Value Segment'!BI$82,'Mid-Market Segment'!BI$82,'Upper Mid-Market Segment'!BI$82,'Premium Segment'!BI$82)</f>
        <v>549.41331887337537</v>
      </c>
      <c r="BJ117" s="675">
        <f>SUM('Value Segment'!BJ52,'Mid-Market Segment'!BJ52,'Upper Mid-Market Segment'!BJ52,'Premium Segment'!BJ52)/SUM('Value Segment'!BJ$82,'Mid-Market Segment'!BJ$82,'Upper Mid-Market Segment'!BJ$82,'Premium Segment'!BJ$82)</f>
        <v>549.41331887337537</v>
      </c>
      <c r="BK117" s="675">
        <f>SUM('Value Segment'!BK52,'Mid-Market Segment'!BK52,'Upper Mid-Market Segment'!BK52,'Premium Segment'!BK52)/SUM('Value Segment'!BK$82,'Mid-Market Segment'!BK$82,'Upper Mid-Market Segment'!BK$82,'Premium Segment'!BK$82)</f>
        <v>549.41331887337537</v>
      </c>
      <c r="BL117" s="675">
        <f>SUM('Value Segment'!BL52,'Mid-Market Segment'!BL52,'Upper Mid-Market Segment'!BL52,'Premium Segment'!BL52)/SUM('Value Segment'!BL$82,'Mid-Market Segment'!BL$82,'Upper Mid-Market Segment'!BL$82,'Premium Segment'!BL$82)</f>
        <v>549.41331887337537</v>
      </c>
      <c r="BM117" s="675">
        <f>SUM('Value Segment'!BM52,'Mid-Market Segment'!BM52,'Upper Mid-Market Segment'!BM52,'Premium Segment'!BM52)/SUM('Value Segment'!BM$82,'Mid-Market Segment'!BM$82,'Upper Mid-Market Segment'!BM$82,'Premium Segment'!BM$82)</f>
        <v>549.41331887337537</v>
      </c>
      <c r="BN117" s="675">
        <f>SUM('Value Segment'!BN52,'Mid-Market Segment'!BN52,'Upper Mid-Market Segment'!BN52,'Premium Segment'!BN52)/SUM('Value Segment'!BN$82,'Mid-Market Segment'!BN$82,'Upper Mid-Market Segment'!BN$82,'Premium Segment'!BN$82)</f>
        <v>549.41331887337537</v>
      </c>
      <c r="BO117" s="675">
        <f>SUM('Value Segment'!BO52,'Mid-Market Segment'!BO52,'Upper Mid-Market Segment'!BO52,'Premium Segment'!BO52)/SUM('Value Segment'!BO$82,'Mid-Market Segment'!BO$82,'Upper Mid-Market Segment'!BO$82,'Premium Segment'!BO$82)</f>
        <v>549.41331887337537</v>
      </c>
      <c r="BP117" s="675">
        <f>SUM('Value Segment'!BP52,'Mid-Market Segment'!BP52,'Upper Mid-Market Segment'!BP52,'Premium Segment'!BP52)/SUM('Value Segment'!BP$82,'Mid-Market Segment'!BP$82,'Upper Mid-Market Segment'!BP$82,'Premium Segment'!BP$82)</f>
        <v>549.41331887337537</v>
      </c>
      <c r="BQ117" s="675">
        <f>SUM('Value Segment'!BQ52,'Mid-Market Segment'!BQ52,'Upper Mid-Market Segment'!BQ52,'Premium Segment'!BQ52)/SUM('Value Segment'!BQ$82,'Mid-Market Segment'!BQ$82,'Upper Mid-Market Segment'!BQ$82,'Premium Segment'!BQ$82)</f>
        <v>549.41331887337537</v>
      </c>
      <c r="BR117" s="675">
        <f>SUM('Value Segment'!BR52,'Mid-Market Segment'!BR52,'Upper Mid-Market Segment'!BR52,'Premium Segment'!BR52)/SUM('Value Segment'!BR$82,'Mid-Market Segment'!BR$82,'Upper Mid-Market Segment'!BR$82,'Premium Segment'!BR$82)</f>
        <v>549.41331887337537</v>
      </c>
      <c r="BS117" s="675">
        <f>SUM('Value Segment'!BS52,'Mid-Market Segment'!BS52,'Upper Mid-Market Segment'!BS52,'Premium Segment'!BS52)/SUM('Value Segment'!BS$82,'Mid-Market Segment'!BS$82,'Upper Mid-Market Segment'!BS$82,'Premium Segment'!BS$82)</f>
        <v>549.41331887337537</v>
      </c>
      <c r="BT117" s="675">
        <f>SUM('Value Segment'!BT52,'Mid-Market Segment'!BT52,'Upper Mid-Market Segment'!BT52,'Premium Segment'!BT52)/SUM('Value Segment'!BT$82,'Mid-Market Segment'!BT$82,'Upper Mid-Market Segment'!BT$82,'Premium Segment'!BT$82)</f>
        <v>549.41331887337537</v>
      </c>
      <c r="BU117" s="675">
        <f>SUM('Value Segment'!BU52,'Mid-Market Segment'!BU52,'Upper Mid-Market Segment'!BU52,'Premium Segment'!BU52)/SUM('Value Segment'!BU$82,'Mid-Market Segment'!BU$82,'Upper Mid-Market Segment'!BU$82,'Premium Segment'!BU$82)</f>
        <v>549.41331887337537</v>
      </c>
      <c r="BV117" s="675">
        <f>SUM('Value Segment'!BV52,'Mid-Market Segment'!BV52,'Upper Mid-Market Segment'!BV52,'Premium Segment'!BV52)/SUM('Value Segment'!BV$82,'Mid-Market Segment'!BV$82,'Upper Mid-Market Segment'!BV$82,'Premium Segment'!BV$82)</f>
        <v>549.41331887337537</v>
      </c>
      <c r="BW117" s="675">
        <f>SUM('Value Segment'!BW52,'Mid-Market Segment'!BW52,'Upper Mid-Market Segment'!BW52,'Premium Segment'!BW52)/SUM('Value Segment'!BW$82,'Mid-Market Segment'!BW$82,'Upper Mid-Market Segment'!BW$82,'Premium Segment'!BW$82)</f>
        <v>549.41331887337537</v>
      </c>
      <c r="BX117" s="675">
        <f>SUM('Value Segment'!BX52,'Mid-Market Segment'!BX52,'Upper Mid-Market Segment'!BX52,'Premium Segment'!BX52)/SUM('Value Segment'!BX$82,'Mid-Market Segment'!BX$82,'Upper Mid-Market Segment'!BX$82,'Premium Segment'!BX$82)</f>
        <v>549.41331887337537</v>
      </c>
      <c r="BY117" s="675">
        <f>SUM('Value Segment'!BY52,'Mid-Market Segment'!BY52,'Upper Mid-Market Segment'!BY52,'Premium Segment'!BY52)/SUM('Value Segment'!BY$82,'Mid-Market Segment'!BY$82,'Upper Mid-Market Segment'!BY$82,'Premium Segment'!BY$82)</f>
        <v>549.41331887337537</v>
      </c>
      <c r="CB117" s="8"/>
    </row>
    <row r="118" spans="3:80" x14ac:dyDescent="0.3">
      <c r="C118" s="2"/>
      <c r="D118" s="2"/>
      <c r="E118" s="2"/>
      <c r="F118" s="37"/>
      <c r="G118" s="37"/>
      <c r="H118" s="37"/>
      <c r="I118" s="37"/>
      <c r="J118" s="37"/>
      <c r="K118" s="37"/>
      <c r="L118" s="37"/>
      <c r="M118" s="37"/>
      <c r="N118" s="37"/>
      <c r="O118" s="37"/>
      <c r="P118" s="35"/>
      <c r="R118" s="37"/>
      <c r="S118" s="37"/>
      <c r="T118" s="37"/>
      <c r="U118" s="37"/>
      <c r="V118" s="37"/>
      <c r="W118" s="37"/>
      <c r="X118" s="37"/>
      <c r="Y118" s="37"/>
      <c r="Z118" s="37"/>
      <c r="AA118" s="37"/>
      <c r="AB118" s="37"/>
      <c r="AC118" s="37"/>
      <c r="AD118" s="37"/>
      <c r="AE118" s="37"/>
      <c r="AF118" s="37"/>
      <c r="AG118" s="37"/>
      <c r="AH118" s="37"/>
      <c r="AI118" s="37"/>
      <c r="AJ118" s="37"/>
      <c r="AK118" s="37"/>
      <c r="AL118" s="37"/>
      <c r="AM118" s="37"/>
      <c r="AN118" s="37"/>
      <c r="AO118" s="37"/>
      <c r="AP118" s="37"/>
      <c r="AQ118" s="37"/>
      <c r="AR118" s="37"/>
      <c r="AS118" s="37"/>
      <c r="AT118" s="37"/>
      <c r="AU118" s="37"/>
      <c r="AV118" s="37"/>
      <c r="AW118" s="37"/>
      <c r="AX118" s="37"/>
      <c r="AY118" s="37"/>
      <c r="AZ118" s="37"/>
      <c r="BA118" s="37"/>
      <c r="BB118" s="37"/>
      <c r="BC118" s="37"/>
      <c r="BD118" s="37"/>
      <c r="BE118" s="37"/>
      <c r="BF118" s="37"/>
      <c r="BG118" s="37"/>
      <c r="BH118" s="37"/>
      <c r="BI118" s="37"/>
      <c r="BJ118" s="37"/>
      <c r="BK118" s="37"/>
      <c r="BL118" s="37"/>
      <c r="BM118" s="37"/>
      <c r="BN118" s="37"/>
      <c r="BO118" s="37"/>
      <c r="BP118" s="37"/>
      <c r="BQ118" s="37"/>
      <c r="BR118" s="37"/>
      <c r="BS118" s="37"/>
      <c r="BT118" s="37"/>
      <c r="BU118" s="37"/>
      <c r="BV118" s="37"/>
      <c r="BW118" s="37"/>
      <c r="BX118" s="37"/>
      <c r="BY118" s="37"/>
    </row>
    <row r="119" spans="3:80" x14ac:dyDescent="0.3">
      <c r="C119" s="2"/>
      <c r="D119" s="2"/>
      <c r="E119" s="62" t="s">
        <v>33</v>
      </c>
      <c r="F119" s="63"/>
      <c r="G119" s="63"/>
      <c r="H119" s="63"/>
      <c r="I119" s="673">
        <f>SUM('Value Segment'!I54,'Mid-Market Segment'!I54,'Upper Mid-Market Segment'!I54,'Premium Segment'!I54)/SUM('Value Segment'!I$82,'Mid-Market Segment'!I$82,'Upper Mid-Market Segment'!I$82,'Premium Segment'!I$82)</f>
        <v>98990.708709991406</v>
      </c>
      <c r="J119" s="673">
        <f>SUM('Value Segment'!J54,'Mid-Market Segment'!J54,'Upper Mid-Market Segment'!J54,'Premium Segment'!J54)/SUM('Value Segment'!J$82,'Mid-Market Segment'!J$82,'Upper Mid-Market Segment'!J$82,'Premium Segment'!J$82)</f>
        <v>104290.37180036709</v>
      </c>
      <c r="K119" s="673">
        <f>SUM('Value Segment'!K54,'Mid-Market Segment'!K54,'Upper Mid-Market Segment'!K54,'Premium Segment'!K54)/SUM('Value Segment'!K$82,'Mid-Market Segment'!K$82,'Upper Mid-Market Segment'!K$82,'Premium Segment'!K$82)</f>
        <v>110627.16583305135</v>
      </c>
      <c r="L119" s="673">
        <f>SUM('Value Segment'!L54,'Mid-Market Segment'!L54,'Upper Mid-Market Segment'!L54,'Premium Segment'!L54)/SUM('Value Segment'!L$82,'Mid-Market Segment'!L$82,'Upper Mid-Market Segment'!L$82,'Premium Segment'!L$82)</f>
        <v>117125.56712437216</v>
      </c>
      <c r="M119" s="673">
        <f>SUM('Value Segment'!M54,'Mid-Market Segment'!M54,'Upper Mid-Market Segment'!M54,'Premium Segment'!M54)/SUM('Value Segment'!M$82,'Mid-Market Segment'!M$82,'Upper Mid-Market Segment'!M$82,'Premium Segment'!M$82)</f>
        <v>123762.6968073499</v>
      </c>
      <c r="N119" s="673">
        <f>SUM('Value Segment'!N54,'Mid-Market Segment'!N54,'Upper Mid-Market Segment'!N54,'Premium Segment'!N54)/SUM('Value Segment'!N$82,'Mid-Market Segment'!N$82,'Upper Mid-Market Segment'!N$82,'Premium Segment'!N$82)</f>
        <v>130726.21920028082</v>
      </c>
      <c r="O119" s="57"/>
      <c r="P119" s="55">
        <f>IFERROR(((N119/I119)^(1/5))-1,0)</f>
        <v>5.719147761223331E-2</v>
      </c>
      <c r="R119" s="673">
        <f>SUM('Value Segment'!R54,'Mid-Market Segment'!R54,'Upper Mid-Market Segment'!R54,'Premium Segment'!R54)/SUM('Value Segment'!R$82,'Mid-Market Segment'!R$82,'Upper Mid-Market Segment'!R$82,'Premium Segment'!R$82)</f>
        <v>8587.5475079647167</v>
      </c>
      <c r="S119" s="676">
        <f>SUM('Value Segment'!S54,'Mid-Market Segment'!S54,'Upper Mid-Market Segment'!S54,'Premium Segment'!S54)/SUM('Value Segment'!S$82,'Mid-Market Segment'!S$82,'Upper Mid-Market Segment'!S$82,'Premium Segment'!S$82)</f>
        <v>8587.5475079647167</v>
      </c>
      <c r="T119" s="676">
        <f>SUM('Value Segment'!T54,'Mid-Market Segment'!T54,'Upper Mid-Market Segment'!T54,'Premium Segment'!T54)/SUM('Value Segment'!T$82,'Mid-Market Segment'!T$82,'Upper Mid-Market Segment'!T$82,'Premium Segment'!T$82)</f>
        <v>8587.5475079647167</v>
      </c>
      <c r="U119" s="676">
        <f>SUM('Value Segment'!U54,'Mid-Market Segment'!U54,'Upper Mid-Market Segment'!U54,'Premium Segment'!U54)/SUM('Value Segment'!U$82,'Mid-Market Segment'!U$82,'Upper Mid-Market Segment'!U$82,'Premium Segment'!U$82)</f>
        <v>8587.5475079647167</v>
      </c>
      <c r="V119" s="676">
        <f>SUM('Value Segment'!V54,'Mid-Market Segment'!V54,'Upper Mid-Market Segment'!V54,'Premium Segment'!V54)/SUM('Value Segment'!V$82,'Mid-Market Segment'!V$82,'Upper Mid-Market Segment'!V$82,'Premium Segment'!V$82)</f>
        <v>8587.5475079647167</v>
      </c>
      <c r="W119" s="676">
        <f>SUM('Value Segment'!W54,'Mid-Market Segment'!W54,'Upper Mid-Market Segment'!W54,'Premium Segment'!W54)/SUM('Value Segment'!W$82,'Mid-Market Segment'!W$82,'Upper Mid-Market Segment'!W$82,'Premium Segment'!W$82)</f>
        <v>8587.5475079647167</v>
      </c>
      <c r="X119" s="676">
        <f>SUM('Value Segment'!X54,'Mid-Market Segment'!X54,'Upper Mid-Market Segment'!X54,'Premium Segment'!X54)/SUM('Value Segment'!X$82,'Mid-Market Segment'!X$82,'Upper Mid-Market Segment'!X$82,'Premium Segment'!X$82)</f>
        <v>8794.1811254297991</v>
      </c>
      <c r="Y119" s="676">
        <f>SUM('Value Segment'!Y54,'Mid-Market Segment'!Y54,'Upper Mid-Market Segment'!Y54,'Premium Segment'!Y54)/SUM('Value Segment'!Y$82,'Mid-Market Segment'!Y$82,'Upper Mid-Market Segment'!Y$82,'Premium Segment'!Y$82)</f>
        <v>8794.1811254297991</v>
      </c>
      <c r="Z119" s="676">
        <f>SUM('Value Segment'!Z54,'Mid-Market Segment'!Z54,'Upper Mid-Market Segment'!Z54,'Premium Segment'!Z54)/SUM('Value Segment'!Z$82,'Mid-Market Segment'!Z$82,'Upper Mid-Market Segment'!Z$82,'Premium Segment'!Z$82)</f>
        <v>8794.1811254297991</v>
      </c>
      <c r="AA119" s="676">
        <f>SUM('Value Segment'!AA54,'Mid-Market Segment'!AA54,'Upper Mid-Market Segment'!AA54,'Premium Segment'!AA54)/SUM('Value Segment'!AA$82,'Mid-Market Segment'!AA$82,'Upper Mid-Market Segment'!AA$82,'Premium Segment'!AA$82)</f>
        <v>8794.1811254297991</v>
      </c>
      <c r="AB119" s="676">
        <f>SUM('Value Segment'!AB54,'Mid-Market Segment'!AB54,'Upper Mid-Market Segment'!AB54,'Premium Segment'!AB54)/SUM('Value Segment'!AB$82,'Mid-Market Segment'!AB$82,'Upper Mid-Market Segment'!AB$82,'Premium Segment'!AB$82)</f>
        <v>8794.1811254297991</v>
      </c>
      <c r="AC119" s="676">
        <f>SUM('Value Segment'!AC54,'Mid-Market Segment'!AC54,'Upper Mid-Market Segment'!AC54,'Premium Segment'!AC54)/SUM('Value Segment'!AC$82,'Mid-Market Segment'!AC$82,'Upper Mid-Market Segment'!AC$82,'Premium Segment'!AC$82)</f>
        <v>8794.1811254297991</v>
      </c>
      <c r="AD119" s="676">
        <f>SUM('Value Segment'!AD54,'Mid-Market Segment'!AD54,'Upper Mid-Market Segment'!AD54,'Premium Segment'!AD54)/SUM('Value Segment'!AD$82,'Mid-Market Segment'!AD$82,'Upper Mid-Market Segment'!AD$82,'Premium Segment'!AD$82)</f>
        <v>9086.0650537617894</v>
      </c>
      <c r="AE119" s="676">
        <f>SUM('Value Segment'!AE54,'Mid-Market Segment'!AE54,'Upper Mid-Market Segment'!AE54,'Premium Segment'!AE54)/SUM('Value Segment'!AE$82,'Mid-Market Segment'!AE$82,'Upper Mid-Market Segment'!AE$82,'Premium Segment'!AE$82)</f>
        <v>9086.0650537617894</v>
      </c>
      <c r="AF119" s="676">
        <f>SUM('Value Segment'!AF54,'Mid-Market Segment'!AF54,'Upper Mid-Market Segment'!AF54,'Premium Segment'!AF54)/SUM('Value Segment'!AF$82,'Mid-Market Segment'!AF$82,'Upper Mid-Market Segment'!AF$82,'Premium Segment'!AF$82)</f>
        <v>9086.0650537617894</v>
      </c>
      <c r="AG119" s="676">
        <f>SUM('Value Segment'!AG54,'Mid-Market Segment'!AG54,'Upper Mid-Market Segment'!AG54,'Premium Segment'!AG54)/SUM('Value Segment'!AG$82,'Mid-Market Segment'!AG$82,'Upper Mid-Market Segment'!AG$82,'Premium Segment'!AG$82)</f>
        <v>9086.0650537617894</v>
      </c>
      <c r="AH119" s="676">
        <f>SUM('Value Segment'!AH54,'Mid-Market Segment'!AH54,'Upper Mid-Market Segment'!AH54,'Premium Segment'!AH54)/SUM('Value Segment'!AH$82,'Mid-Market Segment'!AH$82,'Upper Mid-Market Segment'!AH$82,'Premium Segment'!AH$82)</f>
        <v>9086.0650537617894</v>
      </c>
      <c r="AI119" s="676">
        <f>SUM('Value Segment'!AI54,'Mid-Market Segment'!AI54,'Upper Mid-Market Segment'!AI54,'Premium Segment'!AI54)/SUM('Value Segment'!AI$82,'Mid-Market Segment'!AI$82,'Upper Mid-Market Segment'!AI$82,'Premium Segment'!AI$82)</f>
        <v>9086.0650537617894</v>
      </c>
      <c r="AJ119" s="676">
        <f>SUM('Value Segment'!AJ54,'Mid-Market Segment'!AJ54,'Upper Mid-Market Segment'!AJ54,'Premium Segment'!AJ54)/SUM('Value Segment'!AJ$82,'Mid-Market Segment'!AJ$82,'Upper Mid-Market Segment'!AJ$82,'Premium Segment'!AJ$82)</f>
        <v>9351.7959184134397</v>
      </c>
      <c r="AK119" s="676">
        <f>SUM('Value Segment'!AK54,'Mid-Market Segment'!AK54,'Upper Mid-Market Segment'!AK54,'Premium Segment'!AK54)/SUM('Value Segment'!AK$82,'Mid-Market Segment'!AK$82,'Upper Mid-Market Segment'!AK$82,'Premium Segment'!AK$82)</f>
        <v>9351.7959184134397</v>
      </c>
      <c r="AL119" s="676">
        <f>SUM('Value Segment'!AL54,'Mid-Market Segment'!AL54,'Upper Mid-Market Segment'!AL54,'Premium Segment'!AL54)/SUM('Value Segment'!AL$82,'Mid-Market Segment'!AL$82,'Upper Mid-Market Segment'!AL$82,'Premium Segment'!AL$82)</f>
        <v>9351.7959184134397</v>
      </c>
      <c r="AM119" s="676">
        <f>SUM('Value Segment'!AM54,'Mid-Market Segment'!AM54,'Upper Mid-Market Segment'!AM54,'Premium Segment'!AM54)/SUM('Value Segment'!AM$82,'Mid-Market Segment'!AM$82,'Upper Mid-Market Segment'!AM$82,'Premium Segment'!AM$82)</f>
        <v>9351.7959184134397</v>
      </c>
      <c r="AN119" s="676">
        <f>SUM('Value Segment'!AN54,'Mid-Market Segment'!AN54,'Upper Mid-Market Segment'!AN54,'Premium Segment'!AN54)/SUM('Value Segment'!AN$82,'Mid-Market Segment'!AN$82,'Upper Mid-Market Segment'!AN$82,'Premium Segment'!AN$82)</f>
        <v>9351.7959184134397</v>
      </c>
      <c r="AO119" s="676">
        <f>SUM('Value Segment'!AO54,'Mid-Market Segment'!AO54,'Upper Mid-Market Segment'!AO54,'Premium Segment'!AO54)/SUM('Value Segment'!AO$82,'Mid-Market Segment'!AO$82,'Upper Mid-Market Segment'!AO$82,'Premium Segment'!AO$82)</f>
        <v>9351.7959184134397</v>
      </c>
      <c r="AP119" s="676">
        <f>SUM('Value Segment'!AP54,'Mid-Market Segment'!AP54,'Upper Mid-Market Segment'!AP54,'Premium Segment'!AP54)/SUM('Value Segment'!AP$82,'Mid-Market Segment'!AP$82,'Upper Mid-Market Segment'!AP$82,'Premium Segment'!AP$82)</f>
        <v>9596.0657670280598</v>
      </c>
      <c r="AQ119" s="676">
        <f>SUM('Value Segment'!AQ54,'Mid-Market Segment'!AQ54,'Upper Mid-Market Segment'!AQ54,'Premium Segment'!AQ54)/SUM('Value Segment'!AQ$82,'Mid-Market Segment'!AQ$82,'Upper Mid-Market Segment'!AQ$82,'Premium Segment'!AQ$82)</f>
        <v>9596.0657670280598</v>
      </c>
      <c r="AR119" s="676">
        <f>SUM('Value Segment'!AR54,'Mid-Market Segment'!AR54,'Upper Mid-Market Segment'!AR54,'Premium Segment'!AR54)/SUM('Value Segment'!AR$82,'Mid-Market Segment'!AR$82,'Upper Mid-Market Segment'!AR$82,'Premium Segment'!AR$82)</f>
        <v>9596.0657670280598</v>
      </c>
      <c r="AS119" s="676">
        <f>SUM('Value Segment'!AS54,'Mid-Market Segment'!AS54,'Upper Mid-Market Segment'!AS54,'Premium Segment'!AS54)/SUM('Value Segment'!AS$82,'Mid-Market Segment'!AS$82,'Upper Mid-Market Segment'!AS$82,'Premium Segment'!AS$82)</f>
        <v>9596.0657670280598</v>
      </c>
      <c r="AT119" s="676">
        <f>SUM('Value Segment'!AT54,'Mid-Market Segment'!AT54,'Upper Mid-Market Segment'!AT54,'Premium Segment'!AT54)/SUM('Value Segment'!AT$82,'Mid-Market Segment'!AT$82,'Upper Mid-Market Segment'!AT$82,'Premium Segment'!AT$82)</f>
        <v>9596.0657670280598</v>
      </c>
      <c r="AU119" s="676">
        <f>SUM('Value Segment'!AU54,'Mid-Market Segment'!AU54,'Upper Mid-Market Segment'!AU54,'Premium Segment'!AU54)/SUM('Value Segment'!AU$82,'Mid-Market Segment'!AU$82,'Upper Mid-Market Segment'!AU$82,'Premium Segment'!AU$82)</f>
        <v>9596.0657670280598</v>
      </c>
      <c r="AV119" s="676">
        <f>SUM('Value Segment'!AV54,'Mid-Market Segment'!AV54,'Upper Mid-Market Segment'!AV54,'Premium Segment'!AV54)/SUM('Value Segment'!AV$82,'Mid-Market Segment'!AV$82,'Upper Mid-Market Segment'!AV$82,'Premium Segment'!AV$82)</f>
        <v>9924.8620870339655</v>
      </c>
      <c r="AW119" s="676">
        <f>SUM('Value Segment'!AW54,'Mid-Market Segment'!AW54,'Upper Mid-Market Segment'!AW54,'Premium Segment'!AW54)/SUM('Value Segment'!AW$82,'Mid-Market Segment'!AW$82,'Upper Mid-Market Segment'!AW$82,'Premium Segment'!AW$82)</f>
        <v>9924.8620870339655</v>
      </c>
      <c r="AX119" s="676">
        <f>SUM('Value Segment'!AX54,'Mid-Market Segment'!AX54,'Upper Mid-Market Segment'!AX54,'Premium Segment'!AX54)/SUM('Value Segment'!AX$82,'Mid-Market Segment'!AX$82,'Upper Mid-Market Segment'!AX$82,'Premium Segment'!AX$82)</f>
        <v>9924.8620870339655</v>
      </c>
      <c r="AY119" s="676">
        <f>SUM('Value Segment'!AY54,'Mid-Market Segment'!AY54,'Upper Mid-Market Segment'!AY54,'Premium Segment'!AY54)/SUM('Value Segment'!AY$82,'Mid-Market Segment'!AY$82,'Upper Mid-Market Segment'!AY$82,'Premium Segment'!AY$82)</f>
        <v>9924.8620870339655</v>
      </c>
      <c r="AZ119" s="676">
        <f>SUM('Value Segment'!AZ54,'Mid-Market Segment'!AZ54,'Upper Mid-Market Segment'!AZ54,'Premium Segment'!AZ54)/SUM('Value Segment'!AZ$82,'Mid-Market Segment'!AZ$82,'Upper Mid-Market Segment'!AZ$82,'Premium Segment'!AZ$82)</f>
        <v>9924.8620870339655</v>
      </c>
      <c r="BA119" s="676">
        <f>SUM('Value Segment'!BA54,'Mid-Market Segment'!BA54,'Upper Mid-Market Segment'!BA54,'Premium Segment'!BA54)/SUM('Value Segment'!BA$82,'Mid-Market Segment'!BA$82,'Upper Mid-Market Segment'!BA$82,'Premium Segment'!BA$82)</f>
        <v>9924.8620870339655</v>
      </c>
      <c r="BB119" s="676">
        <f>SUM('Value Segment'!BB54,'Mid-Market Segment'!BB54,'Upper Mid-Market Segment'!BB54,'Premium Segment'!BB54)/SUM('Value Segment'!BB$82,'Mid-Market Segment'!BB$82,'Upper Mid-Market Segment'!BB$82,'Premium Segment'!BB$82)</f>
        <v>10115.601542067872</v>
      </c>
      <c r="BC119" s="676">
        <f>SUM('Value Segment'!BC54,'Mid-Market Segment'!BC54,'Upper Mid-Market Segment'!BC54,'Premium Segment'!BC54)/SUM('Value Segment'!BC$82,'Mid-Market Segment'!BC$82,'Upper Mid-Market Segment'!BC$82,'Premium Segment'!BC$82)</f>
        <v>10115.601542067872</v>
      </c>
      <c r="BD119" s="676">
        <f>SUM('Value Segment'!BD54,'Mid-Market Segment'!BD54,'Upper Mid-Market Segment'!BD54,'Premium Segment'!BD54)/SUM('Value Segment'!BD$82,'Mid-Market Segment'!BD$82,'Upper Mid-Market Segment'!BD$82,'Premium Segment'!BD$82)</f>
        <v>10115.601542067872</v>
      </c>
      <c r="BE119" s="676">
        <f>SUM('Value Segment'!BE54,'Mid-Market Segment'!BE54,'Upper Mid-Market Segment'!BE54,'Premium Segment'!BE54)/SUM('Value Segment'!BE$82,'Mid-Market Segment'!BE$82,'Upper Mid-Market Segment'!BE$82,'Premium Segment'!BE$82)</f>
        <v>10115.601542067872</v>
      </c>
      <c r="BF119" s="676">
        <f>SUM('Value Segment'!BF54,'Mid-Market Segment'!BF54,'Upper Mid-Market Segment'!BF54,'Premium Segment'!BF54)/SUM('Value Segment'!BF$82,'Mid-Market Segment'!BF$82,'Upper Mid-Market Segment'!BF$82,'Premium Segment'!BF$82)</f>
        <v>10115.601542067872</v>
      </c>
      <c r="BG119" s="676">
        <f>SUM('Value Segment'!BG54,'Mid-Market Segment'!BG54,'Upper Mid-Market Segment'!BG54,'Premium Segment'!BG54)/SUM('Value Segment'!BG$82,'Mid-Market Segment'!BG$82,'Upper Mid-Market Segment'!BG$82,'Premium Segment'!BG$82)</f>
        <v>10115.601542067872</v>
      </c>
      <c r="BH119" s="676">
        <f>SUM('Value Segment'!BH54,'Mid-Market Segment'!BH54,'Upper Mid-Market Segment'!BH54,'Premium Segment'!BH54)/SUM('Value Segment'!BH$82,'Mid-Market Segment'!BH$82,'Upper Mid-Market Segment'!BH$82,'Premium Segment'!BH$82)</f>
        <v>10511.514592490448</v>
      </c>
      <c r="BI119" s="676">
        <f>SUM('Value Segment'!BI54,'Mid-Market Segment'!BI54,'Upper Mid-Market Segment'!BI54,'Premium Segment'!BI54)/SUM('Value Segment'!BI$82,'Mid-Market Segment'!BI$82,'Upper Mid-Market Segment'!BI$82,'Premium Segment'!BI$82)</f>
        <v>10511.514592490448</v>
      </c>
      <c r="BJ119" s="676">
        <f>SUM('Value Segment'!BJ54,'Mid-Market Segment'!BJ54,'Upper Mid-Market Segment'!BJ54,'Premium Segment'!BJ54)/SUM('Value Segment'!BJ$82,'Mid-Market Segment'!BJ$82,'Upper Mid-Market Segment'!BJ$82,'Premium Segment'!BJ$82)</f>
        <v>10511.514592490448</v>
      </c>
      <c r="BK119" s="676">
        <f>SUM('Value Segment'!BK54,'Mid-Market Segment'!BK54,'Upper Mid-Market Segment'!BK54,'Premium Segment'!BK54)/SUM('Value Segment'!BK$82,'Mid-Market Segment'!BK$82,'Upper Mid-Market Segment'!BK$82,'Premium Segment'!BK$82)</f>
        <v>10511.514592490448</v>
      </c>
      <c r="BL119" s="676">
        <f>SUM('Value Segment'!BL54,'Mid-Market Segment'!BL54,'Upper Mid-Market Segment'!BL54,'Premium Segment'!BL54)/SUM('Value Segment'!BL$82,'Mid-Market Segment'!BL$82,'Upper Mid-Market Segment'!BL$82,'Premium Segment'!BL$82)</f>
        <v>10511.514592490448</v>
      </c>
      <c r="BM119" s="676">
        <f>SUM('Value Segment'!BM54,'Mid-Market Segment'!BM54,'Upper Mid-Market Segment'!BM54,'Premium Segment'!BM54)/SUM('Value Segment'!BM$82,'Mid-Market Segment'!BM$82,'Upper Mid-Market Segment'!BM$82,'Premium Segment'!BM$82)</f>
        <v>10511.514592490448</v>
      </c>
      <c r="BN119" s="676">
        <f>SUM('Value Segment'!BN54,'Mid-Market Segment'!BN54,'Upper Mid-Market Segment'!BN54,'Premium Segment'!BN54)/SUM('Value Segment'!BN$82,'Mid-Market Segment'!BN$82,'Upper Mid-Market Segment'!BN$82,'Premium Segment'!BN$82)</f>
        <v>10660.212307101705</v>
      </c>
      <c r="BO119" s="676">
        <f>SUM('Value Segment'!BO54,'Mid-Market Segment'!BO54,'Upper Mid-Market Segment'!BO54,'Premium Segment'!BO54)/SUM('Value Segment'!BO$82,'Mid-Market Segment'!BO$82,'Upper Mid-Market Segment'!BO$82,'Premium Segment'!BO$82)</f>
        <v>10660.212307101705</v>
      </c>
      <c r="BP119" s="676">
        <f>SUM('Value Segment'!BP54,'Mid-Market Segment'!BP54,'Upper Mid-Market Segment'!BP54,'Premium Segment'!BP54)/SUM('Value Segment'!BP$82,'Mid-Market Segment'!BP$82,'Upper Mid-Market Segment'!BP$82,'Premium Segment'!BP$82)</f>
        <v>10660.212307101705</v>
      </c>
      <c r="BQ119" s="676">
        <f>SUM('Value Segment'!BQ54,'Mid-Market Segment'!BQ54,'Upper Mid-Market Segment'!BQ54,'Premium Segment'!BQ54)/SUM('Value Segment'!BQ$82,'Mid-Market Segment'!BQ$82,'Upper Mid-Market Segment'!BQ$82,'Premium Segment'!BQ$82)</f>
        <v>10660.212307101705</v>
      </c>
      <c r="BR119" s="676">
        <f>SUM('Value Segment'!BR54,'Mid-Market Segment'!BR54,'Upper Mid-Market Segment'!BR54,'Premium Segment'!BR54)/SUM('Value Segment'!BR$82,'Mid-Market Segment'!BR$82,'Upper Mid-Market Segment'!BR$82,'Premium Segment'!BR$82)</f>
        <v>10660.212307101705</v>
      </c>
      <c r="BS119" s="676">
        <f>SUM('Value Segment'!BS54,'Mid-Market Segment'!BS54,'Upper Mid-Market Segment'!BS54,'Premium Segment'!BS54)/SUM('Value Segment'!BS$82,'Mid-Market Segment'!BS$82,'Upper Mid-Market Segment'!BS$82,'Premium Segment'!BS$82)</f>
        <v>10660.212307101705</v>
      </c>
      <c r="BT119" s="676">
        <f>SUM('Value Segment'!BT54,'Mid-Market Segment'!BT54,'Upper Mid-Market Segment'!BT54,'Premium Segment'!BT54)/SUM('Value Segment'!BT$82,'Mid-Market Segment'!BT$82,'Upper Mid-Market Segment'!BT$82,'Premium Segment'!BT$82)</f>
        <v>11127.490892945098</v>
      </c>
      <c r="BU119" s="676">
        <f>SUM('Value Segment'!BU54,'Mid-Market Segment'!BU54,'Upper Mid-Market Segment'!BU54,'Premium Segment'!BU54)/SUM('Value Segment'!BU$82,'Mid-Market Segment'!BU$82,'Upper Mid-Market Segment'!BU$82,'Premium Segment'!BU$82)</f>
        <v>11127.490892945098</v>
      </c>
      <c r="BV119" s="676">
        <f>SUM('Value Segment'!BV54,'Mid-Market Segment'!BV54,'Upper Mid-Market Segment'!BV54,'Premium Segment'!BV54)/SUM('Value Segment'!BV$82,'Mid-Market Segment'!BV$82,'Upper Mid-Market Segment'!BV$82,'Premium Segment'!BV$82)</f>
        <v>11127.490892945098</v>
      </c>
      <c r="BW119" s="676">
        <f>SUM('Value Segment'!BW54,'Mid-Market Segment'!BW54,'Upper Mid-Market Segment'!BW54,'Premium Segment'!BW54)/SUM('Value Segment'!BW$82,'Mid-Market Segment'!BW$82,'Upper Mid-Market Segment'!BW$82,'Premium Segment'!BW$82)</f>
        <v>11127.490892945098</v>
      </c>
      <c r="BX119" s="676">
        <f>SUM('Value Segment'!BX54,'Mid-Market Segment'!BX54,'Upper Mid-Market Segment'!BX54,'Premium Segment'!BX54)/SUM('Value Segment'!BX$82,'Mid-Market Segment'!BX$82,'Upper Mid-Market Segment'!BX$82,'Premium Segment'!BX$82)</f>
        <v>11127.490892945098</v>
      </c>
      <c r="BY119" s="676">
        <f>SUM('Value Segment'!BY54,'Mid-Market Segment'!BY54,'Upper Mid-Market Segment'!BY54,'Premium Segment'!BY54)/SUM('Value Segment'!BY$82,'Mid-Market Segment'!BY$82,'Upper Mid-Market Segment'!BY$82,'Premium Segment'!BY$82)</f>
        <v>11127.490892945098</v>
      </c>
      <c r="CB119" s="8"/>
    </row>
    <row r="120" spans="3:80" x14ac:dyDescent="0.3">
      <c r="C120" s="2"/>
      <c r="D120" s="2"/>
      <c r="E120" s="2"/>
      <c r="F120" s="37"/>
      <c r="G120" s="37"/>
      <c r="H120" s="37"/>
      <c r="I120" s="37"/>
      <c r="J120" s="37"/>
      <c r="K120" s="37"/>
      <c r="L120" s="37"/>
      <c r="M120" s="37"/>
      <c r="N120" s="37"/>
      <c r="O120" s="37"/>
      <c r="P120" s="35"/>
      <c r="R120" s="37"/>
      <c r="S120" s="37"/>
      <c r="T120" s="37"/>
      <c r="U120" s="37"/>
      <c r="V120" s="37"/>
      <c r="W120" s="37"/>
      <c r="X120" s="37"/>
      <c r="Y120" s="37"/>
      <c r="Z120" s="37"/>
      <c r="AA120" s="37"/>
      <c r="AB120" s="37"/>
      <c r="AC120" s="37"/>
      <c r="AD120" s="37"/>
      <c r="AE120" s="37"/>
      <c r="AF120" s="37"/>
      <c r="AG120" s="37"/>
      <c r="AH120" s="37"/>
      <c r="AI120" s="37"/>
      <c r="AJ120" s="37"/>
      <c r="AK120" s="37"/>
      <c r="AL120" s="37"/>
      <c r="AM120" s="37"/>
      <c r="AN120" s="37"/>
      <c r="AO120" s="37"/>
      <c r="AP120" s="37"/>
      <c r="AQ120" s="37"/>
      <c r="AR120" s="37"/>
      <c r="AS120" s="37"/>
      <c r="AT120" s="37"/>
      <c r="AU120" s="37"/>
      <c r="AV120" s="37"/>
      <c r="AW120" s="37"/>
      <c r="AX120" s="37"/>
      <c r="AY120" s="37"/>
      <c r="AZ120" s="37"/>
      <c r="BA120" s="37"/>
      <c r="BB120" s="37"/>
      <c r="BC120" s="37"/>
      <c r="BD120" s="37"/>
      <c r="BE120" s="37"/>
      <c r="BF120" s="37"/>
      <c r="BG120" s="37"/>
      <c r="BH120" s="37"/>
      <c r="BI120" s="37"/>
      <c r="BJ120" s="37"/>
      <c r="BK120" s="37"/>
      <c r="BL120" s="37"/>
      <c r="BM120" s="37"/>
      <c r="BN120" s="37"/>
      <c r="BO120" s="37"/>
      <c r="BP120" s="37"/>
      <c r="BQ120" s="37"/>
      <c r="BR120" s="37"/>
      <c r="BS120" s="37"/>
      <c r="BT120" s="37"/>
      <c r="BU120" s="37"/>
      <c r="BV120" s="37"/>
      <c r="BW120" s="37"/>
      <c r="BX120" s="37"/>
      <c r="BY120" s="37"/>
    </row>
    <row r="121" spans="3:80" x14ac:dyDescent="0.3">
      <c r="C121" s="2"/>
      <c r="D121" s="2"/>
      <c r="E121" s="17" t="s">
        <v>51</v>
      </c>
      <c r="F121" s="37"/>
      <c r="G121" s="37"/>
      <c r="H121" s="37"/>
      <c r="I121" s="37"/>
      <c r="J121" s="37"/>
      <c r="K121" s="37"/>
      <c r="L121" s="37"/>
      <c r="M121" s="37"/>
      <c r="N121" s="37"/>
      <c r="O121" s="37"/>
      <c r="P121" s="35"/>
      <c r="R121" s="37"/>
      <c r="S121" s="37"/>
      <c r="T121" s="37"/>
      <c r="U121" s="37"/>
      <c r="V121" s="37"/>
      <c r="W121" s="37"/>
      <c r="X121" s="37"/>
      <c r="Y121" s="37"/>
      <c r="Z121" s="37"/>
      <c r="AA121" s="37"/>
      <c r="AB121" s="37"/>
      <c r="AC121" s="37"/>
      <c r="AD121" s="37"/>
      <c r="AE121" s="37"/>
      <c r="AF121" s="37"/>
      <c r="AG121" s="37"/>
      <c r="AH121" s="37"/>
      <c r="AI121" s="37"/>
      <c r="AJ121" s="37"/>
      <c r="AK121" s="37"/>
      <c r="AL121" s="37"/>
      <c r="AM121" s="37"/>
      <c r="AN121" s="37"/>
      <c r="AO121" s="37"/>
      <c r="AP121" s="37"/>
      <c r="AQ121" s="37"/>
      <c r="AR121" s="37"/>
      <c r="AS121" s="37"/>
      <c r="AT121" s="37"/>
      <c r="AU121" s="37"/>
      <c r="AV121" s="37"/>
      <c r="AW121" s="37"/>
      <c r="AX121" s="37"/>
      <c r="AY121" s="37"/>
      <c r="AZ121" s="37"/>
      <c r="BA121" s="37"/>
      <c r="BB121" s="37"/>
      <c r="BC121" s="37"/>
      <c r="BD121" s="37"/>
      <c r="BE121" s="37"/>
      <c r="BF121" s="37"/>
      <c r="BG121" s="37"/>
      <c r="BH121" s="37"/>
      <c r="BI121" s="37"/>
      <c r="BJ121" s="37"/>
      <c r="BK121" s="37"/>
      <c r="BL121" s="37"/>
      <c r="BM121" s="37"/>
      <c r="BN121" s="37"/>
      <c r="BO121" s="37"/>
      <c r="BP121" s="37"/>
      <c r="BQ121" s="37"/>
      <c r="BR121" s="37"/>
      <c r="BS121" s="37"/>
      <c r="BT121" s="37"/>
      <c r="BU121" s="37"/>
      <c r="BV121" s="37"/>
      <c r="BW121" s="37"/>
      <c r="BX121" s="37"/>
      <c r="BY121" s="37"/>
    </row>
    <row r="122" spans="3:80" x14ac:dyDescent="0.3">
      <c r="C122" s="2"/>
      <c r="D122" s="2"/>
      <c r="E122" s="2" t="s">
        <v>19</v>
      </c>
      <c r="F122" s="54"/>
      <c r="G122" s="54"/>
      <c r="H122" s="54"/>
      <c r="I122" s="19">
        <f>SUM('Value Segment'!I57,'Mid-Market Segment'!I57,'Upper Mid-Market Segment'!I57,'Premium Segment'!I57)/SUM('Value Segment'!I$82,'Mid-Market Segment'!I$82,'Upper Mid-Market Segment'!I$82,'Premium Segment'!I$82)</f>
        <v>-1935.6010047644786</v>
      </c>
      <c r="J122" s="19">
        <f>SUM('Value Segment'!J57,'Mid-Market Segment'!J57,'Upper Mid-Market Segment'!J57,'Premium Segment'!J57)/SUM('Value Segment'!J$82,'Mid-Market Segment'!J$82,'Upper Mid-Market Segment'!J$82,'Premium Segment'!J$82)</f>
        <v>-1974.3130248597677</v>
      </c>
      <c r="K122" s="19">
        <f>SUM('Value Segment'!K57,'Mid-Market Segment'!K57,'Upper Mid-Market Segment'!K57,'Premium Segment'!K57)/SUM('Value Segment'!K$82,'Mid-Market Segment'!K$82,'Upper Mid-Market Segment'!K$82,'Premium Segment'!K$82)</f>
        <v>-2013.7992853569633</v>
      </c>
      <c r="L122" s="19">
        <f>SUM('Value Segment'!L57,'Mid-Market Segment'!L57,'Upper Mid-Market Segment'!L57,'Premium Segment'!L57)/SUM('Value Segment'!L$82,'Mid-Market Segment'!L$82,'Upper Mid-Market Segment'!L$82,'Premium Segment'!L$82)</f>
        <v>-2054.0752710641023</v>
      </c>
      <c r="M122" s="19">
        <f>SUM('Value Segment'!M57,'Mid-Market Segment'!M57,'Upper Mid-Market Segment'!M57,'Premium Segment'!M57)/SUM('Value Segment'!M$82,'Mid-Market Segment'!M$82,'Upper Mid-Market Segment'!M$82,'Premium Segment'!M$82)</f>
        <v>-2095.1567764853844</v>
      </c>
      <c r="N122" s="19">
        <f>SUM('Value Segment'!N57,'Mid-Market Segment'!N57,'Upper Mid-Market Segment'!N57,'Premium Segment'!N57)/SUM('Value Segment'!N$82,'Mid-Market Segment'!N$82,'Upper Mid-Market Segment'!N$82,'Premium Segment'!N$82)</f>
        <v>-2137.0599120150928</v>
      </c>
      <c r="O122" s="37"/>
      <c r="P122" s="50">
        <f>IFERROR(((N122/I122)^(1/5))-1,0)</f>
        <v>2.0000000000000018E-2</v>
      </c>
      <c r="R122" s="19">
        <f>SUM('Value Segment'!R57,'Mid-Market Segment'!R57,'Upper Mid-Market Segment'!R57,'Premium Segment'!R57)/SUM('Value Segment'!R$82,'Mid-Market Segment'!R$82,'Upper Mid-Market Segment'!R$82,'Premium Segment'!R$82)</f>
        <v>-164.52608540498065</v>
      </c>
      <c r="S122" s="542">
        <f>SUM('Value Segment'!S57,'Mid-Market Segment'!S57,'Upper Mid-Market Segment'!S57,'Premium Segment'!S57)/SUM('Value Segment'!S$82,'Mid-Market Segment'!S$82,'Upper Mid-Market Segment'!S$82,'Premium Segment'!S$82)</f>
        <v>-164.52608540498065</v>
      </c>
      <c r="T122" s="542">
        <f>SUM('Value Segment'!T57,'Mid-Market Segment'!T57,'Upper Mid-Market Segment'!T57,'Premium Segment'!T57)/SUM('Value Segment'!T$82,'Mid-Market Segment'!T$82,'Upper Mid-Market Segment'!T$82,'Premium Segment'!T$82)</f>
        <v>-164.52608540498065</v>
      </c>
      <c r="U122" s="542">
        <f>SUM('Value Segment'!U57,'Mid-Market Segment'!U57,'Upper Mid-Market Segment'!U57,'Premium Segment'!U57)/SUM('Value Segment'!U$82,'Mid-Market Segment'!U$82,'Upper Mid-Market Segment'!U$82,'Premium Segment'!U$82)</f>
        <v>-164.52608540498065</v>
      </c>
      <c r="V122" s="542">
        <f>SUM('Value Segment'!V57,'Mid-Market Segment'!V57,'Upper Mid-Market Segment'!V57,'Premium Segment'!V57)/SUM('Value Segment'!V$82,'Mid-Market Segment'!V$82,'Upper Mid-Market Segment'!V$82,'Premium Segment'!V$82)</f>
        <v>-164.52608540498065</v>
      </c>
      <c r="W122" s="542">
        <f>SUM('Value Segment'!W57,'Mid-Market Segment'!W57,'Upper Mid-Market Segment'!W57,'Premium Segment'!W57)/SUM('Value Segment'!W$82,'Mid-Market Segment'!W$82,'Upper Mid-Market Segment'!W$82,'Premium Segment'!W$82)</f>
        <v>-164.52608540498065</v>
      </c>
      <c r="X122" s="542">
        <f>SUM('Value Segment'!X57,'Mid-Market Segment'!X57,'Upper Mid-Market Segment'!X57,'Premium Segment'!X57)/SUM('Value Segment'!X$82,'Mid-Market Segment'!X$82,'Upper Mid-Market Segment'!X$82,'Premium Segment'!X$82)</f>
        <v>-164.52608540498065</v>
      </c>
      <c r="Y122" s="542">
        <f>SUM('Value Segment'!Y57,'Mid-Market Segment'!Y57,'Upper Mid-Market Segment'!Y57,'Premium Segment'!Y57)/SUM('Value Segment'!Y$82,'Mid-Market Segment'!Y$82,'Upper Mid-Market Segment'!Y$82,'Premium Segment'!Y$82)</f>
        <v>-164.52608540498065</v>
      </c>
      <c r="Z122" s="542">
        <f>SUM('Value Segment'!Z57,'Mid-Market Segment'!Z57,'Upper Mid-Market Segment'!Z57,'Premium Segment'!Z57)/SUM('Value Segment'!Z$82,'Mid-Market Segment'!Z$82,'Upper Mid-Market Segment'!Z$82,'Premium Segment'!Z$82)</f>
        <v>-164.52608540498065</v>
      </c>
      <c r="AA122" s="542">
        <f>SUM('Value Segment'!AA57,'Mid-Market Segment'!AA57,'Upper Mid-Market Segment'!AA57,'Premium Segment'!AA57)/SUM('Value Segment'!AA$82,'Mid-Market Segment'!AA$82,'Upper Mid-Market Segment'!AA$82,'Premium Segment'!AA$82)</f>
        <v>-164.52608540498065</v>
      </c>
      <c r="AB122" s="542">
        <f>SUM('Value Segment'!AB57,'Mid-Market Segment'!AB57,'Upper Mid-Market Segment'!AB57,'Premium Segment'!AB57)/SUM('Value Segment'!AB$82,'Mid-Market Segment'!AB$82,'Upper Mid-Market Segment'!AB$82,'Premium Segment'!AB$82)</f>
        <v>-164.52608540498065</v>
      </c>
      <c r="AC122" s="542">
        <f>SUM('Value Segment'!AC57,'Mid-Market Segment'!AC57,'Upper Mid-Market Segment'!AC57,'Premium Segment'!AC57)/SUM('Value Segment'!AC$82,'Mid-Market Segment'!AC$82,'Upper Mid-Market Segment'!AC$82,'Premium Segment'!AC$82)</f>
        <v>-164.52608540498065</v>
      </c>
      <c r="AD122" s="542">
        <f>SUM('Value Segment'!AD57,'Mid-Market Segment'!AD57,'Upper Mid-Market Segment'!AD57,'Premium Segment'!AD57)/SUM('Value Segment'!AD$82,'Mid-Market Segment'!AD$82,'Upper Mid-Market Segment'!AD$82,'Premium Segment'!AD$82)</f>
        <v>-167.81660711308029</v>
      </c>
      <c r="AE122" s="542">
        <f>SUM('Value Segment'!AE57,'Mid-Market Segment'!AE57,'Upper Mid-Market Segment'!AE57,'Premium Segment'!AE57)/SUM('Value Segment'!AE$82,'Mid-Market Segment'!AE$82,'Upper Mid-Market Segment'!AE$82,'Premium Segment'!AE$82)</f>
        <v>-167.81660711308029</v>
      </c>
      <c r="AF122" s="542">
        <f>SUM('Value Segment'!AF57,'Mid-Market Segment'!AF57,'Upper Mid-Market Segment'!AF57,'Premium Segment'!AF57)/SUM('Value Segment'!AF$82,'Mid-Market Segment'!AF$82,'Upper Mid-Market Segment'!AF$82,'Premium Segment'!AF$82)</f>
        <v>-167.81660711308029</v>
      </c>
      <c r="AG122" s="542">
        <f>SUM('Value Segment'!AG57,'Mid-Market Segment'!AG57,'Upper Mid-Market Segment'!AG57,'Premium Segment'!AG57)/SUM('Value Segment'!AG$82,'Mid-Market Segment'!AG$82,'Upper Mid-Market Segment'!AG$82,'Premium Segment'!AG$82)</f>
        <v>-167.81660711308029</v>
      </c>
      <c r="AH122" s="542">
        <f>SUM('Value Segment'!AH57,'Mid-Market Segment'!AH57,'Upper Mid-Market Segment'!AH57,'Premium Segment'!AH57)/SUM('Value Segment'!AH$82,'Mid-Market Segment'!AH$82,'Upper Mid-Market Segment'!AH$82,'Premium Segment'!AH$82)</f>
        <v>-167.81660711308029</v>
      </c>
      <c r="AI122" s="542">
        <f>SUM('Value Segment'!AI57,'Mid-Market Segment'!AI57,'Upper Mid-Market Segment'!AI57,'Premium Segment'!AI57)/SUM('Value Segment'!AI$82,'Mid-Market Segment'!AI$82,'Upper Mid-Market Segment'!AI$82,'Premium Segment'!AI$82)</f>
        <v>-167.81660711308029</v>
      </c>
      <c r="AJ122" s="542">
        <f>SUM('Value Segment'!AJ57,'Mid-Market Segment'!AJ57,'Upper Mid-Market Segment'!AJ57,'Premium Segment'!AJ57)/SUM('Value Segment'!AJ$82,'Mid-Market Segment'!AJ$82,'Upper Mid-Market Segment'!AJ$82,'Premium Segment'!AJ$82)</f>
        <v>-167.81660711308029</v>
      </c>
      <c r="AK122" s="542">
        <f>SUM('Value Segment'!AK57,'Mid-Market Segment'!AK57,'Upper Mid-Market Segment'!AK57,'Premium Segment'!AK57)/SUM('Value Segment'!AK$82,'Mid-Market Segment'!AK$82,'Upper Mid-Market Segment'!AK$82,'Premium Segment'!AK$82)</f>
        <v>-167.81660711308029</v>
      </c>
      <c r="AL122" s="542">
        <f>SUM('Value Segment'!AL57,'Mid-Market Segment'!AL57,'Upper Mid-Market Segment'!AL57,'Premium Segment'!AL57)/SUM('Value Segment'!AL$82,'Mid-Market Segment'!AL$82,'Upper Mid-Market Segment'!AL$82,'Premium Segment'!AL$82)</f>
        <v>-167.81660711308029</v>
      </c>
      <c r="AM122" s="542">
        <f>SUM('Value Segment'!AM57,'Mid-Market Segment'!AM57,'Upper Mid-Market Segment'!AM57,'Premium Segment'!AM57)/SUM('Value Segment'!AM$82,'Mid-Market Segment'!AM$82,'Upper Mid-Market Segment'!AM$82,'Premium Segment'!AM$82)</f>
        <v>-167.81660711308029</v>
      </c>
      <c r="AN122" s="542">
        <f>SUM('Value Segment'!AN57,'Mid-Market Segment'!AN57,'Upper Mid-Market Segment'!AN57,'Premium Segment'!AN57)/SUM('Value Segment'!AN$82,'Mid-Market Segment'!AN$82,'Upper Mid-Market Segment'!AN$82,'Premium Segment'!AN$82)</f>
        <v>-167.81660711308029</v>
      </c>
      <c r="AO122" s="542">
        <f>SUM('Value Segment'!AO57,'Mid-Market Segment'!AO57,'Upper Mid-Market Segment'!AO57,'Premium Segment'!AO57)/SUM('Value Segment'!AO$82,'Mid-Market Segment'!AO$82,'Upper Mid-Market Segment'!AO$82,'Premium Segment'!AO$82)</f>
        <v>-167.81660711308029</v>
      </c>
      <c r="AP122" s="542">
        <f>SUM('Value Segment'!AP57,'Mid-Market Segment'!AP57,'Upper Mid-Market Segment'!AP57,'Premium Segment'!AP57)/SUM('Value Segment'!AP$82,'Mid-Market Segment'!AP$82,'Upper Mid-Market Segment'!AP$82,'Premium Segment'!AP$82)</f>
        <v>-171.17293925534187</v>
      </c>
      <c r="AQ122" s="542">
        <f>SUM('Value Segment'!AQ57,'Mid-Market Segment'!AQ57,'Upper Mid-Market Segment'!AQ57,'Premium Segment'!AQ57)/SUM('Value Segment'!AQ$82,'Mid-Market Segment'!AQ$82,'Upper Mid-Market Segment'!AQ$82,'Premium Segment'!AQ$82)</f>
        <v>-171.17293925534187</v>
      </c>
      <c r="AR122" s="542">
        <f>SUM('Value Segment'!AR57,'Mid-Market Segment'!AR57,'Upper Mid-Market Segment'!AR57,'Premium Segment'!AR57)/SUM('Value Segment'!AR$82,'Mid-Market Segment'!AR$82,'Upper Mid-Market Segment'!AR$82,'Premium Segment'!AR$82)</f>
        <v>-171.17293925534187</v>
      </c>
      <c r="AS122" s="542">
        <f>SUM('Value Segment'!AS57,'Mid-Market Segment'!AS57,'Upper Mid-Market Segment'!AS57,'Premium Segment'!AS57)/SUM('Value Segment'!AS$82,'Mid-Market Segment'!AS$82,'Upper Mid-Market Segment'!AS$82,'Premium Segment'!AS$82)</f>
        <v>-171.17293925534187</v>
      </c>
      <c r="AT122" s="542">
        <f>SUM('Value Segment'!AT57,'Mid-Market Segment'!AT57,'Upper Mid-Market Segment'!AT57,'Premium Segment'!AT57)/SUM('Value Segment'!AT$82,'Mid-Market Segment'!AT$82,'Upper Mid-Market Segment'!AT$82,'Premium Segment'!AT$82)</f>
        <v>-171.17293925534187</v>
      </c>
      <c r="AU122" s="542">
        <f>SUM('Value Segment'!AU57,'Mid-Market Segment'!AU57,'Upper Mid-Market Segment'!AU57,'Premium Segment'!AU57)/SUM('Value Segment'!AU$82,'Mid-Market Segment'!AU$82,'Upper Mid-Market Segment'!AU$82,'Premium Segment'!AU$82)</f>
        <v>-171.17293925534187</v>
      </c>
      <c r="AV122" s="542">
        <f>SUM('Value Segment'!AV57,'Mid-Market Segment'!AV57,'Upper Mid-Market Segment'!AV57,'Premium Segment'!AV57)/SUM('Value Segment'!AV$82,'Mid-Market Segment'!AV$82,'Upper Mid-Market Segment'!AV$82,'Premium Segment'!AV$82)</f>
        <v>-171.17293925534187</v>
      </c>
      <c r="AW122" s="542">
        <f>SUM('Value Segment'!AW57,'Mid-Market Segment'!AW57,'Upper Mid-Market Segment'!AW57,'Premium Segment'!AW57)/SUM('Value Segment'!AW$82,'Mid-Market Segment'!AW$82,'Upper Mid-Market Segment'!AW$82,'Premium Segment'!AW$82)</f>
        <v>-171.17293925534187</v>
      </c>
      <c r="AX122" s="542">
        <f>SUM('Value Segment'!AX57,'Mid-Market Segment'!AX57,'Upper Mid-Market Segment'!AX57,'Premium Segment'!AX57)/SUM('Value Segment'!AX$82,'Mid-Market Segment'!AX$82,'Upper Mid-Market Segment'!AX$82,'Premium Segment'!AX$82)</f>
        <v>-171.17293925534187</v>
      </c>
      <c r="AY122" s="542">
        <f>SUM('Value Segment'!AY57,'Mid-Market Segment'!AY57,'Upper Mid-Market Segment'!AY57,'Premium Segment'!AY57)/SUM('Value Segment'!AY$82,'Mid-Market Segment'!AY$82,'Upper Mid-Market Segment'!AY$82,'Premium Segment'!AY$82)</f>
        <v>-171.17293925534187</v>
      </c>
      <c r="AZ122" s="542">
        <f>SUM('Value Segment'!AZ57,'Mid-Market Segment'!AZ57,'Upper Mid-Market Segment'!AZ57,'Premium Segment'!AZ57)/SUM('Value Segment'!AZ$82,'Mid-Market Segment'!AZ$82,'Upper Mid-Market Segment'!AZ$82,'Premium Segment'!AZ$82)</f>
        <v>-171.17293925534187</v>
      </c>
      <c r="BA122" s="542">
        <f>SUM('Value Segment'!BA57,'Mid-Market Segment'!BA57,'Upper Mid-Market Segment'!BA57,'Premium Segment'!BA57)/SUM('Value Segment'!BA$82,'Mid-Market Segment'!BA$82,'Upper Mid-Market Segment'!BA$82,'Premium Segment'!BA$82)</f>
        <v>-171.17293925534187</v>
      </c>
      <c r="BB122" s="542">
        <f>SUM('Value Segment'!BB57,'Mid-Market Segment'!BB57,'Upper Mid-Market Segment'!BB57,'Premium Segment'!BB57)/SUM('Value Segment'!BB$82,'Mid-Market Segment'!BB$82,'Upper Mid-Market Segment'!BB$82,'Premium Segment'!BB$82)</f>
        <v>-174.59639804044872</v>
      </c>
      <c r="BC122" s="542">
        <f>SUM('Value Segment'!BC57,'Mid-Market Segment'!BC57,'Upper Mid-Market Segment'!BC57,'Premium Segment'!BC57)/SUM('Value Segment'!BC$82,'Mid-Market Segment'!BC$82,'Upper Mid-Market Segment'!BC$82,'Premium Segment'!BC$82)</f>
        <v>-174.59639804044872</v>
      </c>
      <c r="BD122" s="542">
        <f>SUM('Value Segment'!BD57,'Mid-Market Segment'!BD57,'Upper Mid-Market Segment'!BD57,'Premium Segment'!BD57)/SUM('Value Segment'!BD$82,'Mid-Market Segment'!BD$82,'Upper Mid-Market Segment'!BD$82,'Premium Segment'!BD$82)</f>
        <v>-174.59639804044872</v>
      </c>
      <c r="BE122" s="542">
        <f>SUM('Value Segment'!BE57,'Mid-Market Segment'!BE57,'Upper Mid-Market Segment'!BE57,'Premium Segment'!BE57)/SUM('Value Segment'!BE$82,'Mid-Market Segment'!BE$82,'Upper Mid-Market Segment'!BE$82,'Premium Segment'!BE$82)</f>
        <v>-174.59639804044872</v>
      </c>
      <c r="BF122" s="542">
        <f>SUM('Value Segment'!BF57,'Mid-Market Segment'!BF57,'Upper Mid-Market Segment'!BF57,'Premium Segment'!BF57)/SUM('Value Segment'!BF$82,'Mid-Market Segment'!BF$82,'Upper Mid-Market Segment'!BF$82,'Premium Segment'!BF$82)</f>
        <v>-174.59639804044872</v>
      </c>
      <c r="BG122" s="542">
        <f>SUM('Value Segment'!BG57,'Mid-Market Segment'!BG57,'Upper Mid-Market Segment'!BG57,'Premium Segment'!BG57)/SUM('Value Segment'!BG$82,'Mid-Market Segment'!BG$82,'Upper Mid-Market Segment'!BG$82,'Premium Segment'!BG$82)</f>
        <v>-174.59639804044872</v>
      </c>
      <c r="BH122" s="542">
        <f>SUM('Value Segment'!BH57,'Mid-Market Segment'!BH57,'Upper Mid-Market Segment'!BH57,'Premium Segment'!BH57)/SUM('Value Segment'!BH$82,'Mid-Market Segment'!BH$82,'Upper Mid-Market Segment'!BH$82,'Premium Segment'!BH$82)</f>
        <v>-174.59639804044872</v>
      </c>
      <c r="BI122" s="542">
        <f>SUM('Value Segment'!BI57,'Mid-Market Segment'!BI57,'Upper Mid-Market Segment'!BI57,'Premium Segment'!BI57)/SUM('Value Segment'!BI$82,'Mid-Market Segment'!BI$82,'Upper Mid-Market Segment'!BI$82,'Premium Segment'!BI$82)</f>
        <v>-174.59639804044872</v>
      </c>
      <c r="BJ122" s="542">
        <f>SUM('Value Segment'!BJ57,'Mid-Market Segment'!BJ57,'Upper Mid-Market Segment'!BJ57,'Premium Segment'!BJ57)/SUM('Value Segment'!BJ$82,'Mid-Market Segment'!BJ$82,'Upper Mid-Market Segment'!BJ$82,'Premium Segment'!BJ$82)</f>
        <v>-174.59639804044872</v>
      </c>
      <c r="BK122" s="542">
        <f>SUM('Value Segment'!BK57,'Mid-Market Segment'!BK57,'Upper Mid-Market Segment'!BK57,'Premium Segment'!BK57)/SUM('Value Segment'!BK$82,'Mid-Market Segment'!BK$82,'Upper Mid-Market Segment'!BK$82,'Premium Segment'!BK$82)</f>
        <v>-174.59639804044872</v>
      </c>
      <c r="BL122" s="542">
        <f>SUM('Value Segment'!BL57,'Mid-Market Segment'!BL57,'Upper Mid-Market Segment'!BL57,'Premium Segment'!BL57)/SUM('Value Segment'!BL$82,'Mid-Market Segment'!BL$82,'Upper Mid-Market Segment'!BL$82,'Premium Segment'!BL$82)</f>
        <v>-174.59639804044872</v>
      </c>
      <c r="BM122" s="542">
        <f>SUM('Value Segment'!BM57,'Mid-Market Segment'!BM57,'Upper Mid-Market Segment'!BM57,'Premium Segment'!BM57)/SUM('Value Segment'!BM$82,'Mid-Market Segment'!BM$82,'Upper Mid-Market Segment'!BM$82,'Premium Segment'!BM$82)</f>
        <v>-174.59639804044872</v>
      </c>
      <c r="BN122" s="542">
        <f>SUM('Value Segment'!BN57,'Mid-Market Segment'!BN57,'Upper Mid-Market Segment'!BN57,'Premium Segment'!BN57)/SUM('Value Segment'!BN$82,'Mid-Market Segment'!BN$82,'Upper Mid-Market Segment'!BN$82,'Premium Segment'!BN$82)</f>
        <v>-178.08832600125771</v>
      </c>
      <c r="BO122" s="542">
        <f>SUM('Value Segment'!BO57,'Mid-Market Segment'!BO57,'Upper Mid-Market Segment'!BO57,'Premium Segment'!BO57)/SUM('Value Segment'!BO$82,'Mid-Market Segment'!BO$82,'Upper Mid-Market Segment'!BO$82,'Premium Segment'!BO$82)</f>
        <v>-178.08832600125771</v>
      </c>
      <c r="BP122" s="542">
        <f>SUM('Value Segment'!BP57,'Mid-Market Segment'!BP57,'Upper Mid-Market Segment'!BP57,'Premium Segment'!BP57)/SUM('Value Segment'!BP$82,'Mid-Market Segment'!BP$82,'Upper Mid-Market Segment'!BP$82,'Premium Segment'!BP$82)</f>
        <v>-178.08832600125771</v>
      </c>
      <c r="BQ122" s="542">
        <f>SUM('Value Segment'!BQ57,'Mid-Market Segment'!BQ57,'Upper Mid-Market Segment'!BQ57,'Premium Segment'!BQ57)/SUM('Value Segment'!BQ$82,'Mid-Market Segment'!BQ$82,'Upper Mid-Market Segment'!BQ$82,'Premium Segment'!BQ$82)</f>
        <v>-178.08832600125771</v>
      </c>
      <c r="BR122" s="542">
        <f>SUM('Value Segment'!BR57,'Mid-Market Segment'!BR57,'Upper Mid-Market Segment'!BR57,'Premium Segment'!BR57)/SUM('Value Segment'!BR$82,'Mid-Market Segment'!BR$82,'Upper Mid-Market Segment'!BR$82,'Premium Segment'!BR$82)</f>
        <v>-178.08832600125771</v>
      </c>
      <c r="BS122" s="542">
        <f>SUM('Value Segment'!BS57,'Mid-Market Segment'!BS57,'Upper Mid-Market Segment'!BS57,'Premium Segment'!BS57)/SUM('Value Segment'!BS$82,'Mid-Market Segment'!BS$82,'Upper Mid-Market Segment'!BS$82,'Premium Segment'!BS$82)</f>
        <v>-178.08832600125771</v>
      </c>
      <c r="BT122" s="542">
        <f>SUM('Value Segment'!BT57,'Mid-Market Segment'!BT57,'Upper Mid-Market Segment'!BT57,'Premium Segment'!BT57)/SUM('Value Segment'!BT$82,'Mid-Market Segment'!BT$82,'Upper Mid-Market Segment'!BT$82,'Premium Segment'!BT$82)</f>
        <v>-178.08832600125771</v>
      </c>
      <c r="BU122" s="542">
        <f>SUM('Value Segment'!BU57,'Mid-Market Segment'!BU57,'Upper Mid-Market Segment'!BU57,'Premium Segment'!BU57)/SUM('Value Segment'!BU$82,'Mid-Market Segment'!BU$82,'Upper Mid-Market Segment'!BU$82,'Premium Segment'!BU$82)</f>
        <v>-178.08832600125771</v>
      </c>
      <c r="BV122" s="542">
        <f>SUM('Value Segment'!BV57,'Mid-Market Segment'!BV57,'Upper Mid-Market Segment'!BV57,'Premium Segment'!BV57)/SUM('Value Segment'!BV$82,'Mid-Market Segment'!BV$82,'Upper Mid-Market Segment'!BV$82,'Premium Segment'!BV$82)</f>
        <v>-178.08832600125771</v>
      </c>
      <c r="BW122" s="542">
        <f>SUM('Value Segment'!BW57,'Mid-Market Segment'!BW57,'Upper Mid-Market Segment'!BW57,'Premium Segment'!BW57)/SUM('Value Segment'!BW$82,'Mid-Market Segment'!BW$82,'Upper Mid-Market Segment'!BW$82,'Premium Segment'!BW$82)</f>
        <v>-178.08832600125771</v>
      </c>
      <c r="BX122" s="542">
        <f>SUM('Value Segment'!BX57,'Mid-Market Segment'!BX57,'Upper Mid-Market Segment'!BX57,'Premium Segment'!BX57)/SUM('Value Segment'!BX$82,'Mid-Market Segment'!BX$82,'Upper Mid-Market Segment'!BX$82,'Premium Segment'!BX$82)</f>
        <v>-178.08832600125771</v>
      </c>
      <c r="BY122" s="542">
        <f>SUM('Value Segment'!BY57,'Mid-Market Segment'!BY57,'Upper Mid-Market Segment'!BY57,'Premium Segment'!BY57)/SUM('Value Segment'!BY$82,'Mid-Market Segment'!BY$82,'Upper Mid-Market Segment'!BY$82,'Premium Segment'!BY$82)</f>
        <v>-178.08832600125771</v>
      </c>
      <c r="CB122" s="8"/>
    </row>
    <row r="123" spans="3:80" x14ac:dyDescent="0.3">
      <c r="C123" s="2"/>
      <c r="D123" s="2"/>
      <c r="E123" s="2" t="s">
        <v>20</v>
      </c>
      <c r="F123" s="54"/>
      <c r="G123" s="54"/>
      <c r="H123" s="54"/>
      <c r="I123" s="19">
        <f>SUM('Value Segment'!I58,'Mid-Market Segment'!I58,'Upper Mid-Market Segment'!I58,'Premium Segment'!I58)/SUM('Value Segment'!I$82,'Mid-Market Segment'!I$82,'Upper Mid-Market Segment'!I$82,'Premium Segment'!I$82)</f>
        <v>-293.55724706780279</v>
      </c>
      <c r="J123" s="19">
        <f>SUM('Value Segment'!J58,'Mid-Market Segment'!J58,'Upper Mid-Market Segment'!J58,'Premium Segment'!J58)/SUM('Value Segment'!J$82,'Mid-Market Segment'!J$82,'Upper Mid-Market Segment'!J$82,'Premium Segment'!J$82)</f>
        <v>-299.42839200915893</v>
      </c>
      <c r="K123" s="19">
        <f>SUM('Value Segment'!K58,'Mid-Market Segment'!K58,'Upper Mid-Market Segment'!K58,'Premium Segment'!K58)/SUM('Value Segment'!K$82,'Mid-Market Segment'!K$82,'Upper Mid-Market Segment'!K$82,'Premium Segment'!K$82)</f>
        <v>-305.41695984934199</v>
      </c>
      <c r="L123" s="19">
        <f>SUM('Value Segment'!L58,'Mid-Market Segment'!L58,'Upper Mid-Market Segment'!L58,'Premium Segment'!L58)/SUM('Value Segment'!L$82,'Mid-Market Segment'!L$82,'Upper Mid-Market Segment'!L$82,'Premium Segment'!L$82)</f>
        <v>-311.52529904632888</v>
      </c>
      <c r="M123" s="19">
        <f>SUM('Value Segment'!M58,'Mid-Market Segment'!M58,'Upper Mid-Market Segment'!M58,'Premium Segment'!M58)/SUM('Value Segment'!M$82,'Mid-Market Segment'!M$82,'Upper Mid-Market Segment'!M$82,'Premium Segment'!M$82)</f>
        <v>-317.75580502725541</v>
      </c>
      <c r="N123" s="19">
        <f>SUM('Value Segment'!N58,'Mid-Market Segment'!N58,'Upper Mid-Market Segment'!N58,'Premium Segment'!N58)/SUM('Value Segment'!N$82,'Mid-Market Segment'!N$82,'Upper Mid-Market Segment'!N$82,'Premium Segment'!N$82)</f>
        <v>-324.11092112780074</v>
      </c>
      <c r="O123" s="37"/>
      <c r="P123" s="50">
        <f>IFERROR(((N123/I123)^(1/5))-1,0)</f>
        <v>2.0000000000000018E-2</v>
      </c>
      <c r="R123" s="19">
        <f>SUM('Value Segment'!R58,'Mid-Market Segment'!R58,'Upper Mid-Market Segment'!R58,'Premium Segment'!R58)/SUM('Value Segment'!R$82,'Mid-Market Segment'!R$82,'Upper Mid-Market Segment'!R$82,'Premium Segment'!R$82)</f>
        <v>-24.952366000763242</v>
      </c>
      <c r="S123" s="542">
        <f>SUM('Value Segment'!S58,'Mid-Market Segment'!S58,'Upper Mid-Market Segment'!S58,'Premium Segment'!S58)/SUM('Value Segment'!S$82,'Mid-Market Segment'!S$82,'Upper Mid-Market Segment'!S$82,'Premium Segment'!S$82)</f>
        <v>-24.952366000763242</v>
      </c>
      <c r="T123" s="542">
        <f>SUM('Value Segment'!T58,'Mid-Market Segment'!T58,'Upper Mid-Market Segment'!T58,'Premium Segment'!T58)/SUM('Value Segment'!T$82,'Mid-Market Segment'!T$82,'Upper Mid-Market Segment'!T$82,'Premium Segment'!T$82)</f>
        <v>-24.952366000763242</v>
      </c>
      <c r="U123" s="542">
        <f>SUM('Value Segment'!U58,'Mid-Market Segment'!U58,'Upper Mid-Market Segment'!U58,'Premium Segment'!U58)/SUM('Value Segment'!U$82,'Mid-Market Segment'!U$82,'Upper Mid-Market Segment'!U$82,'Premium Segment'!U$82)</f>
        <v>-24.952366000763242</v>
      </c>
      <c r="V123" s="542">
        <f>SUM('Value Segment'!V58,'Mid-Market Segment'!V58,'Upper Mid-Market Segment'!V58,'Premium Segment'!V58)/SUM('Value Segment'!V$82,'Mid-Market Segment'!V$82,'Upper Mid-Market Segment'!V$82,'Premium Segment'!V$82)</f>
        <v>-24.952366000763242</v>
      </c>
      <c r="W123" s="542">
        <f>SUM('Value Segment'!W58,'Mid-Market Segment'!W58,'Upper Mid-Market Segment'!W58,'Premium Segment'!W58)/SUM('Value Segment'!W$82,'Mid-Market Segment'!W$82,'Upper Mid-Market Segment'!W$82,'Premium Segment'!W$82)</f>
        <v>-24.952366000763242</v>
      </c>
      <c r="X123" s="542">
        <f>SUM('Value Segment'!X58,'Mid-Market Segment'!X58,'Upper Mid-Market Segment'!X58,'Premium Segment'!X58)/SUM('Value Segment'!X$82,'Mid-Market Segment'!X$82,'Upper Mid-Market Segment'!X$82,'Premium Segment'!X$82)</f>
        <v>-24.952366000763242</v>
      </c>
      <c r="Y123" s="542">
        <f>SUM('Value Segment'!Y58,'Mid-Market Segment'!Y58,'Upper Mid-Market Segment'!Y58,'Premium Segment'!Y58)/SUM('Value Segment'!Y$82,'Mid-Market Segment'!Y$82,'Upper Mid-Market Segment'!Y$82,'Premium Segment'!Y$82)</f>
        <v>-24.952366000763242</v>
      </c>
      <c r="Z123" s="542">
        <f>SUM('Value Segment'!Z58,'Mid-Market Segment'!Z58,'Upper Mid-Market Segment'!Z58,'Premium Segment'!Z58)/SUM('Value Segment'!Z$82,'Mid-Market Segment'!Z$82,'Upper Mid-Market Segment'!Z$82,'Premium Segment'!Z$82)</f>
        <v>-24.952366000763242</v>
      </c>
      <c r="AA123" s="542">
        <f>SUM('Value Segment'!AA58,'Mid-Market Segment'!AA58,'Upper Mid-Market Segment'!AA58,'Premium Segment'!AA58)/SUM('Value Segment'!AA$82,'Mid-Market Segment'!AA$82,'Upper Mid-Market Segment'!AA$82,'Premium Segment'!AA$82)</f>
        <v>-24.952366000763242</v>
      </c>
      <c r="AB123" s="542">
        <f>SUM('Value Segment'!AB58,'Mid-Market Segment'!AB58,'Upper Mid-Market Segment'!AB58,'Premium Segment'!AB58)/SUM('Value Segment'!AB$82,'Mid-Market Segment'!AB$82,'Upper Mid-Market Segment'!AB$82,'Premium Segment'!AB$82)</f>
        <v>-24.952366000763242</v>
      </c>
      <c r="AC123" s="542">
        <f>SUM('Value Segment'!AC58,'Mid-Market Segment'!AC58,'Upper Mid-Market Segment'!AC58,'Premium Segment'!AC58)/SUM('Value Segment'!AC$82,'Mid-Market Segment'!AC$82,'Upper Mid-Market Segment'!AC$82,'Premium Segment'!AC$82)</f>
        <v>-24.952366000763242</v>
      </c>
      <c r="AD123" s="542">
        <f>SUM('Value Segment'!AD58,'Mid-Market Segment'!AD58,'Upper Mid-Market Segment'!AD58,'Premium Segment'!AD58)/SUM('Value Segment'!AD$82,'Mid-Market Segment'!AD$82,'Upper Mid-Market Segment'!AD$82,'Premium Segment'!AD$82)</f>
        <v>-25.451413320778503</v>
      </c>
      <c r="AE123" s="542">
        <f>SUM('Value Segment'!AE58,'Mid-Market Segment'!AE58,'Upper Mid-Market Segment'!AE58,'Premium Segment'!AE58)/SUM('Value Segment'!AE$82,'Mid-Market Segment'!AE$82,'Upper Mid-Market Segment'!AE$82,'Premium Segment'!AE$82)</f>
        <v>-25.451413320778503</v>
      </c>
      <c r="AF123" s="542">
        <f>SUM('Value Segment'!AF58,'Mid-Market Segment'!AF58,'Upper Mid-Market Segment'!AF58,'Premium Segment'!AF58)/SUM('Value Segment'!AF$82,'Mid-Market Segment'!AF$82,'Upper Mid-Market Segment'!AF$82,'Premium Segment'!AF$82)</f>
        <v>-25.451413320778503</v>
      </c>
      <c r="AG123" s="542">
        <f>SUM('Value Segment'!AG58,'Mid-Market Segment'!AG58,'Upper Mid-Market Segment'!AG58,'Premium Segment'!AG58)/SUM('Value Segment'!AG$82,'Mid-Market Segment'!AG$82,'Upper Mid-Market Segment'!AG$82,'Premium Segment'!AG$82)</f>
        <v>-25.451413320778503</v>
      </c>
      <c r="AH123" s="542">
        <f>SUM('Value Segment'!AH58,'Mid-Market Segment'!AH58,'Upper Mid-Market Segment'!AH58,'Premium Segment'!AH58)/SUM('Value Segment'!AH$82,'Mid-Market Segment'!AH$82,'Upper Mid-Market Segment'!AH$82,'Premium Segment'!AH$82)</f>
        <v>-25.451413320778503</v>
      </c>
      <c r="AI123" s="542">
        <f>SUM('Value Segment'!AI58,'Mid-Market Segment'!AI58,'Upper Mid-Market Segment'!AI58,'Premium Segment'!AI58)/SUM('Value Segment'!AI$82,'Mid-Market Segment'!AI$82,'Upper Mid-Market Segment'!AI$82,'Premium Segment'!AI$82)</f>
        <v>-25.451413320778503</v>
      </c>
      <c r="AJ123" s="542">
        <f>SUM('Value Segment'!AJ58,'Mid-Market Segment'!AJ58,'Upper Mid-Market Segment'!AJ58,'Premium Segment'!AJ58)/SUM('Value Segment'!AJ$82,'Mid-Market Segment'!AJ$82,'Upper Mid-Market Segment'!AJ$82,'Premium Segment'!AJ$82)</f>
        <v>-25.451413320778503</v>
      </c>
      <c r="AK123" s="542">
        <f>SUM('Value Segment'!AK58,'Mid-Market Segment'!AK58,'Upper Mid-Market Segment'!AK58,'Premium Segment'!AK58)/SUM('Value Segment'!AK$82,'Mid-Market Segment'!AK$82,'Upper Mid-Market Segment'!AK$82,'Premium Segment'!AK$82)</f>
        <v>-25.451413320778503</v>
      </c>
      <c r="AL123" s="542">
        <f>SUM('Value Segment'!AL58,'Mid-Market Segment'!AL58,'Upper Mid-Market Segment'!AL58,'Premium Segment'!AL58)/SUM('Value Segment'!AL$82,'Mid-Market Segment'!AL$82,'Upper Mid-Market Segment'!AL$82,'Premium Segment'!AL$82)</f>
        <v>-25.451413320778503</v>
      </c>
      <c r="AM123" s="542">
        <f>SUM('Value Segment'!AM58,'Mid-Market Segment'!AM58,'Upper Mid-Market Segment'!AM58,'Premium Segment'!AM58)/SUM('Value Segment'!AM$82,'Mid-Market Segment'!AM$82,'Upper Mid-Market Segment'!AM$82,'Premium Segment'!AM$82)</f>
        <v>-25.451413320778503</v>
      </c>
      <c r="AN123" s="542">
        <f>SUM('Value Segment'!AN58,'Mid-Market Segment'!AN58,'Upper Mid-Market Segment'!AN58,'Premium Segment'!AN58)/SUM('Value Segment'!AN$82,'Mid-Market Segment'!AN$82,'Upper Mid-Market Segment'!AN$82,'Premium Segment'!AN$82)</f>
        <v>-25.451413320778503</v>
      </c>
      <c r="AO123" s="542">
        <f>SUM('Value Segment'!AO58,'Mid-Market Segment'!AO58,'Upper Mid-Market Segment'!AO58,'Premium Segment'!AO58)/SUM('Value Segment'!AO$82,'Mid-Market Segment'!AO$82,'Upper Mid-Market Segment'!AO$82,'Premium Segment'!AO$82)</f>
        <v>-25.451413320778503</v>
      </c>
      <c r="AP123" s="542">
        <f>SUM('Value Segment'!AP58,'Mid-Market Segment'!AP58,'Upper Mid-Market Segment'!AP58,'Premium Segment'!AP58)/SUM('Value Segment'!AP$82,'Mid-Market Segment'!AP$82,'Upper Mid-Market Segment'!AP$82,'Premium Segment'!AP$82)</f>
        <v>-25.960441587194076</v>
      </c>
      <c r="AQ123" s="542">
        <f>SUM('Value Segment'!AQ58,'Mid-Market Segment'!AQ58,'Upper Mid-Market Segment'!AQ58,'Premium Segment'!AQ58)/SUM('Value Segment'!AQ$82,'Mid-Market Segment'!AQ$82,'Upper Mid-Market Segment'!AQ$82,'Premium Segment'!AQ$82)</f>
        <v>-25.960441587194076</v>
      </c>
      <c r="AR123" s="542">
        <f>SUM('Value Segment'!AR58,'Mid-Market Segment'!AR58,'Upper Mid-Market Segment'!AR58,'Premium Segment'!AR58)/SUM('Value Segment'!AR$82,'Mid-Market Segment'!AR$82,'Upper Mid-Market Segment'!AR$82,'Premium Segment'!AR$82)</f>
        <v>-25.960441587194076</v>
      </c>
      <c r="AS123" s="542">
        <f>SUM('Value Segment'!AS58,'Mid-Market Segment'!AS58,'Upper Mid-Market Segment'!AS58,'Premium Segment'!AS58)/SUM('Value Segment'!AS$82,'Mid-Market Segment'!AS$82,'Upper Mid-Market Segment'!AS$82,'Premium Segment'!AS$82)</f>
        <v>-25.960441587194076</v>
      </c>
      <c r="AT123" s="542">
        <f>SUM('Value Segment'!AT58,'Mid-Market Segment'!AT58,'Upper Mid-Market Segment'!AT58,'Premium Segment'!AT58)/SUM('Value Segment'!AT$82,'Mid-Market Segment'!AT$82,'Upper Mid-Market Segment'!AT$82,'Premium Segment'!AT$82)</f>
        <v>-25.960441587194076</v>
      </c>
      <c r="AU123" s="542">
        <f>SUM('Value Segment'!AU58,'Mid-Market Segment'!AU58,'Upper Mid-Market Segment'!AU58,'Premium Segment'!AU58)/SUM('Value Segment'!AU$82,'Mid-Market Segment'!AU$82,'Upper Mid-Market Segment'!AU$82,'Premium Segment'!AU$82)</f>
        <v>-25.960441587194076</v>
      </c>
      <c r="AV123" s="542">
        <f>SUM('Value Segment'!AV58,'Mid-Market Segment'!AV58,'Upper Mid-Market Segment'!AV58,'Premium Segment'!AV58)/SUM('Value Segment'!AV$82,'Mid-Market Segment'!AV$82,'Upper Mid-Market Segment'!AV$82,'Premium Segment'!AV$82)</f>
        <v>-25.960441587194076</v>
      </c>
      <c r="AW123" s="542">
        <f>SUM('Value Segment'!AW58,'Mid-Market Segment'!AW58,'Upper Mid-Market Segment'!AW58,'Premium Segment'!AW58)/SUM('Value Segment'!AW$82,'Mid-Market Segment'!AW$82,'Upper Mid-Market Segment'!AW$82,'Premium Segment'!AW$82)</f>
        <v>-25.960441587194076</v>
      </c>
      <c r="AX123" s="542">
        <f>SUM('Value Segment'!AX58,'Mid-Market Segment'!AX58,'Upper Mid-Market Segment'!AX58,'Premium Segment'!AX58)/SUM('Value Segment'!AX$82,'Mid-Market Segment'!AX$82,'Upper Mid-Market Segment'!AX$82,'Premium Segment'!AX$82)</f>
        <v>-25.960441587194076</v>
      </c>
      <c r="AY123" s="542">
        <f>SUM('Value Segment'!AY58,'Mid-Market Segment'!AY58,'Upper Mid-Market Segment'!AY58,'Premium Segment'!AY58)/SUM('Value Segment'!AY$82,'Mid-Market Segment'!AY$82,'Upper Mid-Market Segment'!AY$82,'Premium Segment'!AY$82)</f>
        <v>-25.960441587194076</v>
      </c>
      <c r="AZ123" s="542">
        <f>SUM('Value Segment'!AZ58,'Mid-Market Segment'!AZ58,'Upper Mid-Market Segment'!AZ58,'Premium Segment'!AZ58)/SUM('Value Segment'!AZ$82,'Mid-Market Segment'!AZ$82,'Upper Mid-Market Segment'!AZ$82,'Premium Segment'!AZ$82)</f>
        <v>-25.960441587194076</v>
      </c>
      <c r="BA123" s="542">
        <f>SUM('Value Segment'!BA58,'Mid-Market Segment'!BA58,'Upper Mid-Market Segment'!BA58,'Premium Segment'!BA58)/SUM('Value Segment'!BA$82,'Mid-Market Segment'!BA$82,'Upper Mid-Market Segment'!BA$82,'Premium Segment'!BA$82)</f>
        <v>-25.960441587194076</v>
      </c>
      <c r="BB123" s="542">
        <f>SUM('Value Segment'!BB58,'Mid-Market Segment'!BB58,'Upper Mid-Market Segment'!BB58,'Premium Segment'!BB58)/SUM('Value Segment'!BB$82,'Mid-Market Segment'!BB$82,'Upper Mid-Market Segment'!BB$82,'Premium Segment'!BB$82)</f>
        <v>-26.479650418937954</v>
      </c>
      <c r="BC123" s="542">
        <f>SUM('Value Segment'!BC58,'Mid-Market Segment'!BC58,'Upper Mid-Market Segment'!BC58,'Premium Segment'!BC58)/SUM('Value Segment'!BC$82,'Mid-Market Segment'!BC$82,'Upper Mid-Market Segment'!BC$82,'Premium Segment'!BC$82)</f>
        <v>-26.479650418937954</v>
      </c>
      <c r="BD123" s="542">
        <f>SUM('Value Segment'!BD58,'Mid-Market Segment'!BD58,'Upper Mid-Market Segment'!BD58,'Premium Segment'!BD58)/SUM('Value Segment'!BD$82,'Mid-Market Segment'!BD$82,'Upper Mid-Market Segment'!BD$82,'Premium Segment'!BD$82)</f>
        <v>-26.479650418937954</v>
      </c>
      <c r="BE123" s="542">
        <f>SUM('Value Segment'!BE58,'Mid-Market Segment'!BE58,'Upper Mid-Market Segment'!BE58,'Premium Segment'!BE58)/SUM('Value Segment'!BE$82,'Mid-Market Segment'!BE$82,'Upper Mid-Market Segment'!BE$82,'Premium Segment'!BE$82)</f>
        <v>-26.479650418937954</v>
      </c>
      <c r="BF123" s="542">
        <f>SUM('Value Segment'!BF58,'Mid-Market Segment'!BF58,'Upper Mid-Market Segment'!BF58,'Premium Segment'!BF58)/SUM('Value Segment'!BF$82,'Mid-Market Segment'!BF$82,'Upper Mid-Market Segment'!BF$82,'Premium Segment'!BF$82)</f>
        <v>-26.479650418937954</v>
      </c>
      <c r="BG123" s="542">
        <f>SUM('Value Segment'!BG58,'Mid-Market Segment'!BG58,'Upper Mid-Market Segment'!BG58,'Premium Segment'!BG58)/SUM('Value Segment'!BG$82,'Mid-Market Segment'!BG$82,'Upper Mid-Market Segment'!BG$82,'Premium Segment'!BG$82)</f>
        <v>-26.479650418937954</v>
      </c>
      <c r="BH123" s="542">
        <f>SUM('Value Segment'!BH58,'Mid-Market Segment'!BH58,'Upper Mid-Market Segment'!BH58,'Premium Segment'!BH58)/SUM('Value Segment'!BH$82,'Mid-Market Segment'!BH$82,'Upper Mid-Market Segment'!BH$82,'Premium Segment'!BH$82)</f>
        <v>-26.479650418937954</v>
      </c>
      <c r="BI123" s="542">
        <f>SUM('Value Segment'!BI58,'Mid-Market Segment'!BI58,'Upper Mid-Market Segment'!BI58,'Premium Segment'!BI58)/SUM('Value Segment'!BI$82,'Mid-Market Segment'!BI$82,'Upper Mid-Market Segment'!BI$82,'Premium Segment'!BI$82)</f>
        <v>-26.479650418937954</v>
      </c>
      <c r="BJ123" s="542">
        <f>SUM('Value Segment'!BJ58,'Mid-Market Segment'!BJ58,'Upper Mid-Market Segment'!BJ58,'Premium Segment'!BJ58)/SUM('Value Segment'!BJ$82,'Mid-Market Segment'!BJ$82,'Upper Mid-Market Segment'!BJ$82,'Premium Segment'!BJ$82)</f>
        <v>-26.479650418937954</v>
      </c>
      <c r="BK123" s="542">
        <f>SUM('Value Segment'!BK58,'Mid-Market Segment'!BK58,'Upper Mid-Market Segment'!BK58,'Premium Segment'!BK58)/SUM('Value Segment'!BK$82,'Mid-Market Segment'!BK$82,'Upper Mid-Market Segment'!BK$82,'Premium Segment'!BK$82)</f>
        <v>-26.479650418937954</v>
      </c>
      <c r="BL123" s="542">
        <f>SUM('Value Segment'!BL58,'Mid-Market Segment'!BL58,'Upper Mid-Market Segment'!BL58,'Premium Segment'!BL58)/SUM('Value Segment'!BL$82,'Mid-Market Segment'!BL$82,'Upper Mid-Market Segment'!BL$82,'Premium Segment'!BL$82)</f>
        <v>-26.479650418937954</v>
      </c>
      <c r="BM123" s="542">
        <f>SUM('Value Segment'!BM58,'Mid-Market Segment'!BM58,'Upper Mid-Market Segment'!BM58,'Premium Segment'!BM58)/SUM('Value Segment'!BM$82,'Mid-Market Segment'!BM$82,'Upper Mid-Market Segment'!BM$82,'Premium Segment'!BM$82)</f>
        <v>-26.479650418937954</v>
      </c>
      <c r="BN123" s="542">
        <f>SUM('Value Segment'!BN58,'Mid-Market Segment'!BN58,'Upper Mid-Market Segment'!BN58,'Premium Segment'!BN58)/SUM('Value Segment'!BN$82,'Mid-Market Segment'!BN$82,'Upper Mid-Market Segment'!BN$82,'Premium Segment'!BN$82)</f>
        <v>-27.009243427316719</v>
      </c>
      <c r="BO123" s="542">
        <f>SUM('Value Segment'!BO58,'Mid-Market Segment'!BO58,'Upper Mid-Market Segment'!BO58,'Premium Segment'!BO58)/SUM('Value Segment'!BO$82,'Mid-Market Segment'!BO$82,'Upper Mid-Market Segment'!BO$82,'Premium Segment'!BO$82)</f>
        <v>-27.009243427316719</v>
      </c>
      <c r="BP123" s="542">
        <f>SUM('Value Segment'!BP58,'Mid-Market Segment'!BP58,'Upper Mid-Market Segment'!BP58,'Premium Segment'!BP58)/SUM('Value Segment'!BP$82,'Mid-Market Segment'!BP$82,'Upper Mid-Market Segment'!BP$82,'Premium Segment'!BP$82)</f>
        <v>-27.009243427316719</v>
      </c>
      <c r="BQ123" s="542">
        <f>SUM('Value Segment'!BQ58,'Mid-Market Segment'!BQ58,'Upper Mid-Market Segment'!BQ58,'Premium Segment'!BQ58)/SUM('Value Segment'!BQ$82,'Mid-Market Segment'!BQ$82,'Upper Mid-Market Segment'!BQ$82,'Premium Segment'!BQ$82)</f>
        <v>-27.009243427316719</v>
      </c>
      <c r="BR123" s="542">
        <f>SUM('Value Segment'!BR58,'Mid-Market Segment'!BR58,'Upper Mid-Market Segment'!BR58,'Premium Segment'!BR58)/SUM('Value Segment'!BR$82,'Mid-Market Segment'!BR$82,'Upper Mid-Market Segment'!BR$82,'Premium Segment'!BR$82)</f>
        <v>-27.009243427316719</v>
      </c>
      <c r="BS123" s="542">
        <f>SUM('Value Segment'!BS58,'Mid-Market Segment'!BS58,'Upper Mid-Market Segment'!BS58,'Premium Segment'!BS58)/SUM('Value Segment'!BS$82,'Mid-Market Segment'!BS$82,'Upper Mid-Market Segment'!BS$82,'Premium Segment'!BS$82)</f>
        <v>-27.009243427316719</v>
      </c>
      <c r="BT123" s="542">
        <f>SUM('Value Segment'!BT58,'Mid-Market Segment'!BT58,'Upper Mid-Market Segment'!BT58,'Premium Segment'!BT58)/SUM('Value Segment'!BT$82,'Mid-Market Segment'!BT$82,'Upper Mid-Market Segment'!BT$82,'Premium Segment'!BT$82)</f>
        <v>-27.009243427316719</v>
      </c>
      <c r="BU123" s="542">
        <f>SUM('Value Segment'!BU58,'Mid-Market Segment'!BU58,'Upper Mid-Market Segment'!BU58,'Premium Segment'!BU58)/SUM('Value Segment'!BU$82,'Mid-Market Segment'!BU$82,'Upper Mid-Market Segment'!BU$82,'Premium Segment'!BU$82)</f>
        <v>-27.009243427316719</v>
      </c>
      <c r="BV123" s="542">
        <f>SUM('Value Segment'!BV58,'Mid-Market Segment'!BV58,'Upper Mid-Market Segment'!BV58,'Premium Segment'!BV58)/SUM('Value Segment'!BV$82,'Mid-Market Segment'!BV$82,'Upper Mid-Market Segment'!BV$82,'Premium Segment'!BV$82)</f>
        <v>-27.009243427316719</v>
      </c>
      <c r="BW123" s="542">
        <f>SUM('Value Segment'!BW58,'Mid-Market Segment'!BW58,'Upper Mid-Market Segment'!BW58,'Premium Segment'!BW58)/SUM('Value Segment'!BW$82,'Mid-Market Segment'!BW$82,'Upper Mid-Market Segment'!BW$82,'Premium Segment'!BW$82)</f>
        <v>-27.009243427316719</v>
      </c>
      <c r="BX123" s="542">
        <f>SUM('Value Segment'!BX58,'Mid-Market Segment'!BX58,'Upper Mid-Market Segment'!BX58,'Premium Segment'!BX58)/SUM('Value Segment'!BX$82,'Mid-Market Segment'!BX$82,'Upper Mid-Market Segment'!BX$82,'Premium Segment'!BX$82)</f>
        <v>-27.009243427316719</v>
      </c>
      <c r="BY123" s="542">
        <f>SUM('Value Segment'!BY58,'Mid-Market Segment'!BY58,'Upper Mid-Market Segment'!BY58,'Premium Segment'!BY58)/SUM('Value Segment'!BY$82,'Mid-Market Segment'!BY$82,'Upper Mid-Market Segment'!BY$82,'Premium Segment'!BY$82)</f>
        <v>-27.009243427316719</v>
      </c>
      <c r="CB123" s="8"/>
    </row>
    <row r="124" spans="3:80" x14ac:dyDescent="0.3">
      <c r="C124" s="2"/>
      <c r="D124" s="2"/>
      <c r="E124" s="4" t="s">
        <v>35</v>
      </c>
      <c r="F124" s="5"/>
      <c r="G124" s="5"/>
      <c r="H124" s="5"/>
      <c r="I124" s="672">
        <f>SUM('Value Segment'!I59,'Mid-Market Segment'!I59,'Upper Mid-Market Segment'!I59,'Premium Segment'!I59)/SUM('Value Segment'!I$82,'Mid-Market Segment'!I$82,'Upper Mid-Market Segment'!I$82,'Premium Segment'!I$82)</f>
        <v>-2229.1582518322807</v>
      </c>
      <c r="J124" s="672">
        <f>SUM('Value Segment'!J59,'Mid-Market Segment'!J59,'Upper Mid-Market Segment'!J59,'Premium Segment'!J59)/SUM('Value Segment'!J$82,'Mid-Market Segment'!J$82,'Upper Mid-Market Segment'!J$82,'Premium Segment'!J$82)</f>
        <v>-2273.7414168689274</v>
      </c>
      <c r="K124" s="672">
        <f>SUM('Value Segment'!K59,'Mid-Market Segment'!K59,'Upper Mid-Market Segment'!K59,'Premium Segment'!K59)/SUM('Value Segment'!K$82,'Mid-Market Segment'!K$82,'Upper Mid-Market Segment'!K$82,'Premium Segment'!K$82)</f>
        <v>-2319.2162452063058</v>
      </c>
      <c r="L124" s="672">
        <f>SUM('Value Segment'!L59,'Mid-Market Segment'!L59,'Upper Mid-Market Segment'!L59,'Premium Segment'!L59)/SUM('Value Segment'!L$82,'Mid-Market Segment'!L$82,'Upper Mid-Market Segment'!L$82,'Premium Segment'!L$82)</f>
        <v>-2365.6005701104318</v>
      </c>
      <c r="M124" s="672">
        <f>SUM('Value Segment'!M59,'Mid-Market Segment'!M59,'Upper Mid-Market Segment'!M59,'Premium Segment'!M59)/SUM('Value Segment'!M$82,'Mid-Market Segment'!M$82,'Upper Mid-Market Segment'!M$82,'Premium Segment'!M$82)</f>
        <v>-2412.9125815126404</v>
      </c>
      <c r="N124" s="672">
        <f>SUM('Value Segment'!N59,'Mid-Market Segment'!N59,'Upper Mid-Market Segment'!N59,'Premium Segment'!N59)/SUM('Value Segment'!N$82,'Mid-Market Segment'!N$82,'Upper Mid-Market Segment'!N$82,'Premium Segment'!N$82)</f>
        <v>-2461.1708331428931</v>
      </c>
      <c r="O124" s="57"/>
      <c r="P124" s="55">
        <f>IFERROR(((N124/I124)^(1/5))-1,0)</f>
        <v>2.0000000000000018E-2</v>
      </c>
      <c r="R124" s="672">
        <f>SUM('Value Segment'!R59,'Mid-Market Segment'!R59,'Upper Mid-Market Segment'!R59,'Premium Segment'!R59)/SUM('Value Segment'!R$82,'Mid-Market Segment'!R$82,'Upper Mid-Market Segment'!R$82,'Premium Segment'!R$82)</f>
        <v>-189.4784514057439</v>
      </c>
      <c r="S124" s="675">
        <f>SUM('Value Segment'!S59,'Mid-Market Segment'!S59,'Upper Mid-Market Segment'!S59,'Premium Segment'!S59)/SUM('Value Segment'!S$82,'Mid-Market Segment'!S$82,'Upper Mid-Market Segment'!S$82,'Premium Segment'!S$82)</f>
        <v>-189.4784514057439</v>
      </c>
      <c r="T124" s="675">
        <f>SUM('Value Segment'!T59,'Mid-Market Segment'!T59,'Upper Mid-Market Segment'!T59,'Premium Segment'!T59)/SUM('Value Segment'!T$82,'Mid-Market Segment'!T$82,'Upper Mid-Market Segment'!T$82,'Premium Segment'!T$82)</f>
        <v>-189.4784514057439</v>
      </c>
      <c r="U124" s="675">
        <f>SUM('Value Segment'!U59,'Mid-Market Segment'!U59,'Upper Mid-Market Segment'!U59,'Premium Segment'!U59)/SUM('Value Segment'!U$82,'Mid-Market Segment'!U$82,'Upper Mid-Market Segment'!U$82,'Premium Segment'!U$82)</f>
        <v>-189.4784514057439</v>
      </c>
      <c r="V124" s="675">
        <f>SUM('Value Segment'!V59,'Mid-Market Segment'!V59,'Upper Mid-Market Segment'!V59,'Premium Segment'!V59)/SUM('Value Segment'!V$82,'Mid-Market Segment'!V$82,'Upper Mid-Market Segment'!V$82,'Premium Segment'!V$82)</f>
        <v>-189.4784514057439</v>
      </c>
      <c r="W124" s="675">
        <f>SUM('Value Segment'!W59,'Mid-Market Segment'!W59,'Upper Mid-Market Segment'!W59,'Premium Segment'!W59)/SUM('Value Segment'!W$82,'Mid-Market Segment'!W$82,'Upper Mid-Market Segment'!W$82,'Premium Segment'!W$82)</f>
        <v>-189.4784514057439</v>
      </c>
      <c r="X124" s="675">
        <f>SUM('Value Segment'!X59,'Mid-Market Segment'!X59,'Upper Mid-Market Segment'!X59,'Premium Segment'!X59)/SUM('Value Segment'!X$82,'Mid-Market Segment'!X$82,'Upper Mid-Market Segment'!X$82,'Premium Segment'!X$82)</f>
        <v>-189.4784514057439</v>
      </c>
      <c r="Y124" s="675">
        <f>SUM('Value Segment'!Y59,'Mid-Market Segment'!Y59,'Upper Mid-Market Segment'!Y59,'Premium Segment'!Y59)/SUM('Value Segment'!Y$82,'Mid-Market Segment'!Y$82,'Upper Mid-Market Segment'!Y$82,'Premium Segment'!Y$82)</f>
        <v>-189.4784514057439</v>
      </c>
      <c r="Z124" s="675">
        <f>SUM('Value Segment'!Z59,'Mid-Market Segment'!Z59,'Upper Mid-Market Segment'!Z59,'Premium Segment'!Z59)/SUM('Value Segment'!Z$82,'Mid-Market Segment'!Z$82,'Upper Mid-Market Segment'!Z$82,'Premium Segment'!Z$82)</f>
        <v>-189.4784514057439</v>
      </c>
      <c r="AA124" s="675">
        <f>SUM('Value Segment'!AA59,'Mid-Market Segment'!AA59,'Upper Mid-Market Segment'!AA59,'Premium Segment'!AA59)/SUM('Value Segment'!AA$82,'Mid-Market Segment'!AA$82,'Upper Mid-Market Segment'!AA$82,'Premium Segment'!AA$82)</f>
        <v>-189.4784514057439</v>
      </c>
      <c r="AB124" s="675">
        <f>SUM('Value Segment'!AB59,'Mid-Market Segment'!AB59,'Upper Mid-Market Segment'!AB59,'Premium Segment'!AB59)/SUM('Value Segment'!AB$82,'Mid-Market Segment'!AB$82,'Upper Mid-Market Segment'!AB$82,'Premium Segment'!AB$82)</f>
        <v>-189.4784514057439</v>
      </c>
      <c r="AC124" s="675">
        <f>SUM('Value Segment'!AC59,'Mid-Market Segment'!AC59,'Upper Mid-Market Segment'!AC59,'Premium Segment'!AC59)/SUM('Value Segment'!AC$82,'Mid-Market Segment'!AC$82,'Upper Mid-Market Segment'!AC$82,'Premium Segment'!AC$82)</f>
        <v>-189.4784514057439</v>
      </c>
      <c r="AD124" s="675">
        <f>SUM('Value Segment'!AD59,'Mid-Market Segment'!AD59,'Upper Mid-Market Segment'!AD59,'Premium Segment'!AD59)/SUM('Value Segment'!AD$82,'Mid-Market Segment'!AD$82,'Upper Mid-Market Segment'!AD$82,'Premium Segment'!AD$82)</f>
        <v>-193.26802043385879</v>
      </c>
      <c r="AE124" s="675">
        <f>SUM('Value Segment'!AE59,'Mid-Market Segment'!AE59,'Upper Mid-Market Segment'!AE59,'Premium Segment'!AE59)/SUM('Value Segment'!AE$82,'Mid-Market Segment'!AE$82,'Upper Mid-Market Segment'!AE$82,'Premium Segment'!AE$82)</f>
        <v>-193.26802043385879</v>
      </c>
      <c r="AF124" s="675">
        <f>SUM('Value Segment'!AF59,'Mid-Market Segment'!AF59,'Upper Mid-Market Segment'!AF59,'Premium Segment'!AF59)/SUM('Value Segment'!AF$82,'Mid-Market Segment'!AF$82,'Upper Mid-Market Segment'!AF$82,'Premium Segment'!AF$82)</f>
        <v>-193.26802043385879</v>
      </c>
      <c r="AG124" s="675">
        <f>SUM('Value Segment'!AG59,'Mid-Market Segment'!AG59,'Upper Mid-Market Segment'!AG59,'Premium Segment'!AG59)/SUM('Value Segment'!AG$82,'Mid-Market Segment'!AG$82,'Upper Mid-Market Segment'!AG$82,'Premium Segment'!AG$82)</f>
        <v>-193.26802043385879</v>
      </c>
      <c r="AH124" s="675">
        <f>SUM('Value Segment'!AH59,'Mid-Market Segment'!AH59,'Upper Mid-Market Segment'!AH59,'Premium Segment'!AH59)/SUM('Value Segment'!AH$82,'Mid-Market Segment'!AH$82,'Upper Mid-Market Segment'!AH$82,'Premium Segment'!AH$82)</f>
        <v>-193.26802043385879</v>
      </c>
      <c r="AI124" s="675">
        <f>SUM('Value Segment'!AI59,'Mid-Market Segment'!AI59,'Upper Mid-Market Segment'!AI59,'Premium Segment'!AI59)/SUM('Value Segment'!AI$82,'Mid-Market Segment'!AI$82,'Upper Mid-Market Segment'!AI$82,'Premium Segment'!AI$82)</f>
        <v>-193.26802043385879</v>
      </c>
      <c r="AJ124" s="675">
        <f>SUM('Value Segment'!AJ59,'Mid-Market Segment'!AJ59,'Upper Mid-Market Segment'!AJ59,'Premium Segment'!AJ59)/SUM('Value Segment'!AJ$82,'Mid-Market Segment'!AJ$82,'Upper Mid-Market Segment'!AJ$82,'Premium Segment'!AJ$82)</f>
        <v>-193.26802043385879</v>
      </c>
      <c r="AK124" s="675">
        <f>SUM('Value Segment'!AK59,'Mid-Market Segment'!AK59,'Upper Mid-Market Segment'!AK59,'Premium Segment'!AK59)/SUM('Value Segment'!AK$82,'Mid-Market Segment'!AK$82,'Upper Mid-Market Segment'!AK$82,'Premium Segment'!AK$82)</f>
        <v>-193.26802043385879</v>
      </c>
      <c r="AL124" s="675">
        <f>SUM('Value Segment'!AL59,'Mid-Market Segment'!AL59,'Upper Mid-Market Segment'!AL59,'Premium Segment'!AL59)/SUM('Value Segment'!AL$82,'Mid-Market Segment'!AL$82,'Upper Mid-Market Segment'!AL$82,'Premium Segment'!AL$82)</f>
        <v>-193.26802043385879</v>
      </c>
      <c r="AM124" s="675">
        <f>SUM('Value Segment'!AM59,'Mid-Market Segment'!AM59,'Upper Mid-Market Segment'!AM59,'Premium Segment'!AM59)/SUM('Value Segment'!AM$82,'Mid-Market Segment'!AM$82,'Upper Mid-Market Segment'!AM$82,'Premium Segment'!AM$82)</f>
        <v>-193.26802043385879</v>
      </c>
      <c r="AN124" s="675">
        <f>SUM('Value Segment'!AN59,'Mid-Market Segment'!AN59,'Upper Mid-Market Segment'!AN59,'Premium Segment'!AN59)/SUM('Value Segment'!AN$82,'Mid-Market Segment'!AN$82,'Upper Mid-Market Segment'!AN$82,'Premium Segment'!AN$82)</f>
        <v>-193.26802043385879</v>
      </c>
      <c r="AO124" s="675">
        <f>SUM('Value Segment'!AO59,'Mid-Market Segment'!AO59,'Upper Mid-Market Segment'!AO59,'Premium Segment'!AO59)/SUM('Value Segment'!AO$82,'Mid-Market Segment'!AO$82,'Upper Mid-Market Segment'!AO$82,'Premium Segment'!AO$82)</f>
        <v>-193.26802043385879</v>
      </c>
      <c r="AP124" s="675">
        <f>SUM('Value Segment'!AP59,'Mid-Market Segment'!AP59,'Upper Mid-Market Segment'!AP59,'Premium Segment'!AP59)/SUM('Value Segment'!AP$82,'Mid-Market Segment'!AP$82,'Upper Mid-Market Segment'!AP$82,'Premium Segment'!AP$82)</f>
        <v>-197.13338084253596</v>
      </c>
      <c r="AQ124" s="675">
        <f>SUM('Value Segment'!AQ59,'Mid-Market Segment'!AQ59,'Upper Mid-Market Segment'!AQ59,'Premium Segment'!AQ59)/SUM('Value Segment'!AQ$82,'Mid-Market Segment'!AQ$82,'Upper Mid-Market Segment'!AQ$82,'Premium Segment'!AQ$82)</f>
        <v>-197.13338084253596</v>
      </c>
      <c r="AR124" s="675">
        <f>SUM('Value Segment'!AR59,'Mid-Market Segment'!AR59,'Upper Mid-Market Segment'!AR59,'Premium Segment'!AR59)/SUM('Value Segment'!AR$82,'Mid-Market Segment'!AR$82,'Upper Mid-Market Segment'!AR$82,'Premium Segment'!AR$82)</f>
        <v>-197.13338084253596</v>
      </c>
      <c r="AS124" s="675">
        <f>SUM('Value Segment'!AS59,'Mid-Market Segment'!AS59,'Upper Mid-Market Segment'!AS59,'Premium Segment'!AS59)/SUM('Value Segment'!AS$82,'Mid-Market Segment'!AS$82,'Upper Mid-Market Segment'!AS$82,'Premium Segment'!AS$82)</f>
        <v>-197.13338084253596</v>
      </c>
      <c r="AT124" s="675">
        <f>SUM('Value Segment'!AT59,'Mid-Market Segment'!AT59,'Upper Mid-Market Segment'!AT59,'Premium Segment'!AT59)/SUM('Value Segment'!AT$82,'Mid-Market Segment'!AT$82,'Upper Mid-Market Segment'!AT$82,'Premium Segment'!AT$82)</f>
        <v>-197.13338084253596</v>
      </c>
      <c r="AU124" s="675">
        <f>SUM('Value Segment'!AU59,'Mid-Market Segment'!AU59,'Upper Mid-Market Segment'!AU59,'Premium Segment'!AU59)/SUM('Value Segment'!AU$82,'Mid-Market Segment'!AU$82,'Upper Mid-Market Segment'!AU$82,'Premium Segment'!AU$82)</f>
        <v>-197.13338084253596</v>
      </c>
      <c r="AV124" s="675">
        <f>SUM('Value Segment'!AV59,'Mid-Market Segment'!AV59,'Upper Mid-Market Segment'!AV59,'Premium Segment'!AV59)/SUM('Value Segment'!AV$82,'Mid-Market Segment'!AV$82,'Upper Mid-Market Segment'!AV$82,'Premium Segment'!AV$82)</f>
        <v>-197.13338084253596</v>
      </c>
      <c r="AW124" s="675">
        <f>SUM('Value Segment'!AW59,'Mid-Market Segment'!AW59,'Upper Mid-Market Segment'!AW59,'Premium Segment'!AW59)/SUM('Value Segment'!AW$82,'Mid-Market Segment'!AW$82,'Upper Mid-Market Segment'!AW$82,'Premium Segment'!AW$82)</f>
        <v>-197.13338084253596</v>
      </c>
      <c r="AX124" s="675">
        <f>SUM('Value Segment'!AX59,'Mid-Market Segment'!AX59,'Upper Mid-Market Segment'!AX59,'Premium Segment'!AX59)/SUM('Value Segment'!AX$82,'Mid-Market Segment'!AX$82,'Upper Mid-Market Segment'!AX$82,'Premium Segment'!AX$82)</f>
        <v>-197.13338084253596</v>
      </c>
      <c r="AY124" s="675">
        <f>SUM('Value Segment'!AY59,'Mid-Market Segment'!AY59,'Upper Mid-Market Segment'!AY59,'Premium Segment'!AY59)/SUM('Value Segment'!AY$82,'Mid-Market Segment'!AY$82,'Upper Mid-Market Segment'!AY$82,'Premium Segment'!AY$82)</f>
        <v>-197.13338084253596</v>
      </c>
      <c r="AZ124" s="675">
        <f>SUM('Value Segment'!AZ59,'Mid-Market Segment'!AZ59,'Upper Mid-Market Segment'!AZ59,'Premium Segment'!AZ59)/SUM('Value Segment'!AZ$82,'Mid-Market Segment'!AZ$82,'Upper Mid-Market Segment'!AZ$82,'Premium Segment'!AZ$82)</f>
        <v>-197.13338084253596</v>
      </c>
      <c r="BA124" s="675">
        <f>SUM('Value Segment'!BA59,'Mid-Market Segment'!BA59,'Upper Mid-Market Segment'!BA59,'Premium Segment'!BA59)/SUM('Value Segment'!BA$82,'Mid-Market Segment'!BA$82,'Upper Mid-Market Segment'!BA$82,'Premium Segment'!BA$82)</f>
        <v>-197.13338084253596</v>
      </c>
      <c r="BB124" s="675">
        <f>SUM('Value Segment'!BB59,'Mid-Market Segment'!BB59,'Upper Mid-Market Segment'!BB59,'Premium Segment'!BB59)/SUM('Value Segment'!BB$82,'Mid-Market Segment'!BB$82,'Upper Mid-Market Segment'!BB$82,'Premium Segment'!BB$82)</f>
        <v>-201.07604845938667</v>
      </c>
      <c r="BC124" s="675">
        <f>SUM('Value Segment'!BC59,'Mid-Market Segment'!BC59,'Upper Mid-Market Segment'!BC59,'Premium Segment'!BC59)/SUM('Value Segment'!BC$82,'Mid-Market Segment'!BC$82,'Upper Mid-Market Segment'!BC$82,'Premium Segment'!BC$82)</f>
        <v>-201.07604845938667</v>
      </c>
      <c r="BD124" s="675">
        <f>SUM('Value Segment'!BD59,'Mid-Market Segment'!BD59,'Upper Mid-Market Segment'!BD59,'Premium Segment'!BD59)/SUM('Value Segment'!BD$82,'Mid-Market Segment'!BD$82,'Upper Mid-Market Segment'!BD$82,'Premium Segment'!BD$82)</f>
        <v>-201.07604845938667</v>
      </c>
      <c r="BE124" s="675">
        <f>SUM('Value Segment'!BE59,'Mid-Market Segment'!BE59,'Upper Mid-Market Segment'!BE59,'Premium Segment'!BE59)/SUM('Value Segment'!BE$82,'Mid-Market Segment'!BE$82,'Upper Mid-Market Segment'!BE$82,'Premium Segment'!BE$82)</f>
        <v>-201.07604845938667</v>
      </c>
      <c r="BF124" s="675">
        <f>SUM('Value Segment'!BF59,'Mid-Market Segment'!BF59,'Upper Mid-Market Segment'!BF59,'Premium Segment'!BF59)/SUM('Value Segment'!BF$82,'Mid-Market Segment'!BF$82,'Upper Mid-Market Segment'!BF$82,'Premium Segment'!BF$82)</f>
        <v>-201.07604845938667</v>
      </c>
      <c r="BG124" s="675">
        <f>SUM('Value Segment'!BG59,'Mid-Market Segment'!BG59,'Upper Mid-Market Segment'!BG59,'Premium Segment'!BG59)/SUM('Value Segment'!BG$82,'Mid-Market Segment'!BG$82,'Upper Mid-Market Segment'!BG$82,'Premium Segment'!BG$82)</f>
        <v>-201.07604845938667</v>
      </c>
      <c r="BH124" s="675">
        <f>SUM('Value Segment'!BH59,'Mid-Market Segment'!BH59,'Upper Mid-Market Segment'!BH59,'Premium Segment'!BH59)/SUM('Value Segment'!BH$82,'Mid-Market Segment'!BH$82,'Upper Mid-Market Segment'!BH$82,'Premium Segment'!BH$82)</f>
        <v>-201.07604845938667</v>
      </c>
      <c r="BI124" s="675">
        <f>SUM('Value Segment'!BI59,'Mid-Market Segment'!BI59,'Upper Mid-Market Segment'!BI59,'Premium Segment'!BI59)/SUM('Value Segment'!BI$82,'Mid-Market Segment'!BI$82,'Upper Mid-Market Segment'!BI$82,'Premium Segment'!BI$82)</f>
        <v>-201.07604845938667</v>
      </c>
      <c r="BJ124" s="675">
        <f>SUM('Value Segment'!BJ59,'Mid-Market Segment'!BJ59,'Upper Mid-Market Segment'!BJ59,'Premium Segment'!BJ59)/SUM('Value Segment'!BJ$82,'Mid-Market Segment'!BJ$82,'Upper Mid-Market Segment'!BJ$82,'Premium Segment'!BJ$82)</f>
        <v>-201.07604845938667</v>
      </c>
      <c r="BK124" s="675">
        <f>SUM('Value Segment'!BK59,'Mid-Market Segment'!BK59,'Upper Mid-Market Segment'!BK59,'Premium Segment'!BK59)/SUM('Value Segment'!BK$82,'Mid-Market Segment'!BK$82,'Upper Mid-Market Segment'!BK$82,'Premium Segment'!BK$82)</f>
        <v>-201.07604845938667</v>
      </c>
      <c r="BL124" s="675">
        <f>SUM('Value Segment'!BL59,'Mid-Market Segment'!BL59,'Upper Mid-Market Segment'!BL59,'Premium Segment'!BL59)/SUM('Value Segment'!BL$82,'Mid-Market Segment'!BL$82,'Upper Mid-Market Segment'!BL$82,'Premium Segment'!BL$82)</f>
        <v>-201.07604845938667</v>
      </c>
      <c r="BM124" s="675">
        <f>SUM('Value Segment'!BM59,'Mid-Market Segment'!BM59,'Upper Mid-Market Segment'!BM59,'Premium Segment'!BM59)/SUM('Value Segment'!BM$82,'Mid-Market Segment'!BM$82,'Upper Mid-Market Segment'!BM$82,'Premium Segment'!BM$82)</f>
        <v>-201.07604845938667</v>
      </c>
      <c r="BN124" s="675">
        <f>SUM('Value Segment'!BN59,'Mid-Market Segment'!BN59,'Upper Mid-Market Segment'!BN59,'Premium Segment'!BN59)/SUM('Value Segment'!BN$82,'Mid-Market Segment'!BN$82,'Upper Mid-Market Segment'!BN$82,'Premium Segment'!BN$82)</f>
        <v>-205.09756942857442</v>
      </c>
      <c r="BO124" s="675">
        <f>SUM('Value Segment'!BO59,'Mid-Market Segment'!BO59,'Upper Mid-Market Segment'!BO59,'Premium Segment'!BO59)/SUM('Value Segment'!BO$82,'Mid-Market Segment'!BO$82,'Upper Mid-Market Segment'!BO$82,'Premium Segment'!BO$82)</f>
        <v>-205.09756942857442</v>
      </c>
      <c r="BP124" s="675">
        <f>SUM('Value Segment'!BP59,'Mid-Market Segment'!BP59,'Upper Mid-Market Segment'!BP59,'Premium Segment'!BP59)/SUM('Value Segment'!BP$82,'Mid-Market Segment'!BP$82,'Upper Mid-Market Segment'!BP$82,'Premium Segment'!BP$82)</f>
        <v>-205.09756942857442</v>
      </c>
      <c r="BQ124" s="675">
        <f>SUM('Value Segment'!BQ59,'Mid-Market Segment'!BQ59,'Upper Mid-Market Segment'!BQ59,'Premium Segment'!BQ59)/SUM('Value Segment'!BQ$82,'Mid-Market Segment'!BQ$82,'Upper Mid-Market Segment'!BQ$82,'Premium Segment'!BQ$82)</f>
        <v>-205.09756942857442</v>
      </c>
      <c r="BR124" s="675">
        <f>SUM('Value Segment'!BR59,'Mid-Market Segment'!BR59,'Upper Mid-Market Segment'!BR59,'Premium Segment'!BR59)/SUM('Value Segment'!BR$82,'Mid-Market Segment'!BR$82,'Upper Mid-Market Segment'!BR$82,'Premium Segment'!BR$82)</f>
        <v>-205.09756942857442</v>
      </c>
      <c r="BS124" s="675">
        <f>SUM('Value Segment'!BS59,'Mid-Market Segment'!BS59,'Upper Mid-Market Segment'!BS59,'Premium Segment'!BS59)/SUM('Value Segment'!BS$82,'Mid-Market Segment'!BS$82,'Upper Mid-Market Segment'!BS$82,'Premium Segment'!BS$82)</f>
        <v>-205.09756942857442</v>
      </c>
      <c r="BT124" s="675">
        <f>SUM('Value Segment'!BT59,'Mid-Market Segment'!BT59,'Upper Mid-Market Segment'!BT59,'Premium Segment'!BT59)/SUM('Value Segment'!BT$82,'Mid-Market Segment'!BT$82,'Upper Mid-Market Segment'!BT$82,'Premium Segment'!BT$82)</f>
        <v>-205.09756942857442</v>
      </c>
      <c r="BU124" s="675">
        <f>SUM('Value Segment'!BU59,'Mid-Market Segment'!BU59,'Upper Mid-Market Segment'!BU59,'Premium Segment'!BU59)/SUM('Value Segment'!BU$82,'Mid-Market Segment'!BU$82,'Upper Mid-Market Segment'!BU$82,'Premium Segment'!BU$82)</f>
        <v>-205.09756942857442</v>
      </c>
      <c r="BV124" s="675">
        <f>SUM('Value Segment'!BV59,'Mid-Market Segment'!BV59,'Upper Mid-Market Segment'!BV59,'Premium Segment'!BV59)/SUM('Value Segment'!BV$82,'Mid-Market Segment'!BV$82,'Upper Mid-Market Segment'!BV$82,'Premium Segment'!BV$82)</f>
        <v>-205.09756942857442</v>
      </c>
      <c r="BW124" s="675">
        <f>SUM('Value Segment'!BW59,'Mid-Market Segment'!BW59,'Upper Mid-Market Segment'!BW59,'Premium Segment'!BW59)/SUM('Value Segment'!BW$82,'Mid-Market Segment'!BW$82,'Upper Mid-Market Segment'!BW$82,'Premium Segment'!BW$82)</f>
        <v>-205.09756942857442</v>
      </c>
      <c r="BX124" s="675">
        <f>SUM('Value Segment'!BX59,'Mid-Market Segment'!BX59,'Upper Mid-Market Segment'!BX59,'Premium Segment'!BX59)/SUM('Value Segment'!BX$82,'Mid-Market Segment'!BX$82,'Upper Mid-Market Segment'!BX$82,'Premium Segment'!BX$82)</f>
        <v>-205.09756942857442</v>
      </c>
      <c r="BY124" s="675">
        <f>SUM('Value Segment'!BY59,'Mid-Market Segment'!BY59,'Upper Mid-Market Segment'!BY59,'Premium Segment'!BY59)/SUM('Value Segment'!BY$82,'Mid-Market Segment'!BY$82,'Upper Mid-Market Segment'!BY$82,'Premium Segment'!BY$82)</f>
        <v>-205.09756942857442</v>
      </c>
      <c r="CB124" s="8"/>
    </row>
    <row r="125" spans="3:80" x14ac:dyDescent="0.3">
      <c r="C125" s="2"/>
      <c r="D125" s="2"/>
      <c r="E125" s="2"/>
      <c r="F125" s="37"/>
      <c r="G125" s="37"/>
      <c r="H125" s="37"/>
      <c r="I125" s="37"/>
      <c r="J125" s="37"/>
      <c r="K125" s="37"/>
      <c r="L125" s="37"/>
      <c r="M125" s="37"/>
      <c r="N125" s="37"/>
      <c r="O125" s="37"/>
      <c r="P125" s="35"/>
      <c r="R125" s="37"/>
      <c r="S125" s="37"/>
      <c r="T125" s="37"/>
      <c r="U125" s="37"/>
      <c r="V125" s="37"/>
      <c r="W125" s="37"/>
      <c r="X125" s="37"/>
      <c r="Y125" s="37"/>
      <c r="Z125" s="37"/>
      <c r="AA125" s="37"/>
      <c r="AB125" s="37"/>
      <c r="AC125" s="37"/>
      <c r="AD125" s="37"/>
      <c r="AE125" s="37"/>
      <c r="AF125" s="37"/>
      <c r="AG125" s="37"/>
      <c r="AH125" s="37"/>
      <c r="AI125" s="37"/>
      <c r="AJ125" s="37"/>
      <c r="AK125" s="37"/>
      <c r="AL125" s="37"/>
      <c r="AM125" s="37"/>
      <c r="AN125" s="37"/>
      <c r="AO125" s="37"/>
      <c r="AP125" s="37"/>
      <c r="AQ125" s="37"/>
      <c r="AR125" s="37"/>
      <c r="AS125" s="37"/>
      <c r="AT125" s="37"/>
      <c r="AU125" s="37"/>
      <c r="AV125" s="37"/>
      <c r="AW125" s="37"/>
      <c r="AX125" s="37"/>
      <c r="AY125" s="37"/>
      <c r="AZ125" s="37"/>
      <c r="BA125" s="37"/>
      <c r="BB125" s="37"/>
      <c r="BC125" s="37"/>
      <c r="BD125" s="37"/>
      <c r="BE125" s="37"/>
      <c r="BF125" s="37"/>
      <c r="BG125" s="37"/>
      <c r="BH125" s="37"/>
      <c r="BI125" s="37"/>
      <c r="BJ125" s="37"/>
      <c r="BK125" s="37"/>
      <c r="BL125" s="37"/>
      <c r="BM125" s="37"/>
      <c r="BN125" s="37"/>
      <c r="BO125" s="37"/>
      <c r="BP125" s="37"/>
      <c r="BQ125" s="37"/>
      <c r="BR125" s="37"/>
      <c r="BS125" s="37"/>
      <c r="BT125" s="37"/>
      <c r="BU125" s="37"/>
      <c r="BV125" s="37"/>
      <c r="BW125" s="37"/>
      <c r="BX125" s="37"/>
      <c r="BY125" s="37"/>
    </row>
    <row r="126" spans="3:80" x14ac:dyDescent="0.3">
      <c r="C126" s="2"/>
      <c r="D126" s="2"/>
      <c r="E126" s="62" t="s">
        <v>21</v>
      </c>
      <c r="F126" s="63"/>
      <c r="G126" s="63"/>
      <c r="H126" s="63"/>
      <c r="I126" s="673">
        <f>SUM('Value Segment'!I61,'Mid-Market Segment'!I61,'Upper Mid-Market Segment'!I61,'Premium Segment'!I61)/SUM('Value Segment'!I$82,'Mid-Market Segment'!I$82,'Upper Mid-Market Segment'!I$82,'Premium Segment'!I$82)</f>
        <v>96761.550458159123</v>
      </c>
      <c r="J126" s="673">
        <f>SUM('Value Segment'!J61,'Mid-Market Segment'!J61,'Upper Mid-Market Segment'!J61,'Premium Segment'!J61)/SUM('Value Segment'!J$82,'Mid-Market Segment'!J$82,'Upper Mid-Market Segment'!J$82,'Premium Segment'!J$82)</f>
        <v>102016.6303834982</v>
      </c>
      <c r="K126" s="673">
        <f>SUM('Value Segment'!K61,'Mid-Market Segment'!K61,'Upper Mid-Market Segment'!K61,'Premium Segment'!K61)/SUM('Value Segment'!K$82,'Mid-Market Segment'!K$82,'Upper Mid-Market Segment'!K$82,'Premium Segment'!K$82)</f>
        <v>108307.94958784504</v>
      </c>
      <c r="L126" s="673">
        <f>SUM('Value Segment'!L61,'Mid-Market Segment'!L61,'Upper Mid-Market Segment'!L61,'Premium Segment'!L61)/SUM('Value Segment'!L$82,'Mid-Market Segment'!L$82,'Upper Mid-Market Segment'!L$82,'Premium Segment'!L$82)</f>
        <v>114759.9665542617</v>
      </c>
      <c r="M126" s="673">
        <f>SUM('Value Segment'!M61,'Mid-Market Segment'!M61,'Upper Mid-Market Segment'!M61,'Premium Segment'!M61)/SUM('Value Segment'!M$82,'Mid-Market Segment'!M$82,'Upper Mid-Market Segment'!M$82,'Premium Segment'!M$82)</f>
        <v>121349.78422583727</v>
      </c>
      <c r="N126" s="673">
        <f>SUM('Value Segment'!N61,'Mid-Market Segment'!N61,'Upper Mid-Market Segment'!N61,'Premium Segment'!N61)/SUM('Value Segment'!N$82,'Mid-Market Segment'!N$82,'Upper Mid-Market Segment'!N$82,'Premium Segment'!N$82)</f>
        <v>128265.04836713793</v>
      </c>
      <c r="O126" s="57"/>
      <c r="P126" s="55">
        <f>IFERROR(((N126/I126)^(1/5))-1,0)</f>
        <v>5.7988877689240104E-2</v>
      </c>
      <c r="R126" s="673">
        <f>SUM('Value Segment'!R61,'Mid-Market Segment'!R61,'Upper Mid-Market Segment'!R61,'Premium Segment'!R61)/SUM('Value Segment'!R$82,'Mid-Market Segment'!R$82,'Upper Mid-Market Segment'!R$82,'Premium Segment'!R$82)</f>
        <v>8398.0690565589739</v>
      </c>
      <c r="S126" s="676">
        <f>SUM('Value Segment'!S61,'Mid-Market Segment'!S61,'Upper Mid-Market Segment'!S61,'Premium Segment'!S61)/SUM('Value Segment'!S$82,'Mid-Market Segment'!S$82,'Upper Mid-Market Segment'!S$82,'Premium Segment'!S$82)</f>
        <v>8398.0690565589739</v>
      </c>
      <c r="T126" s="676">
        <f>SUM('Value Segment'!T61,'Mid-Market Segment'!T61,'Upper Mid-Market Segment'!T61,'Premium Segment'!T61)/SUM('Value Segment'!T$82,'Mid-Market Segment'!T$82,'Upper Mid-Market Segment'!T$82,'Premium Segment'!T$82)</f>
        <v>8398.0690565589739</v>
      </c>
      <c r="U126" s="676">
        <f>SUM('Value Segment'!U61,'Mid-Market Segment'!U61,'Upper Mid-Market Segment'!U61,'Premium Segment'!U61)/SUM('Value Segment'!U$82,'Mid-Market Segment'!U$82,'Upper Mid-Market Segment'!U$82,'Premium Segment'!U$82)</f>
        <v>8398.0690565589739</v>
      </c>
      <c r="V126" s="676">
        <f>SUM('Value Segment'!V61,'Mid-Market Segment'!V61,'Upper Mid-Market Segment'!V61,'Premium Segment'!V61)/SUM('Value Segment'!V$82,'Mid-Market Segment'!V$82,'Upper Mid-Market Segment'!V$82,'Premium Segment'!V$82)</f>
        <v>8398.0690565589739</v>
      </c>
      <c r="W126" s="676">
        <f>SUM('Value Segment'!W61,'Mid-Market Segment'!W61,'Upper Mid-Market Segment'!W61,'Premium Segment'!W61)/SUM('Value Segment'!W$82,'Mid-Market Segment'!W$82,'Upper Mid-Market Segment'!W$82,'Premium Segment'!W$82)</f>
        <v>8398.0690565589739</v>
      </c>
      <c r="X126" s="676">
        <f>SUM('Value Segment'!X61,'Mid-Market Segment'!X61,'Upper Mid-Market Segment'!X61,'Premium Segment'!X61)/SUM('Value Segment'!X$82,'Mid-Market Segment'!X$82,'Upper Mid-Market Segment'!X$82,'Premium Segment'!X$82)</f>
        <v>8604.7026740240563</v>
      </c>
      <c r="Y126" s="676">
        <f>SUM('Value Segment'!Y61,'Mid-Market Segment'!Y61,'Upper Mid-Market Segment'!Y61,'Premium Segment'!Y61)/SUM('Value Segment'!Y$82,'Mid-Market Segment'!Y$82,'Upper Mid-Market Segment'!Y$82,'Premium Segment'!Y$82)</f>
        <v>8604.7026740240563</v>
      </c>
      <c r="Z126" s="676">
        <f>SUM('Value Segment'!Z61,'Mid-Market Segment'!Z61,'Upper Mid-Market Segment'!Z61,'Premium Segment'!Z61)/SUM('Value Segment'!Z$82,'Mid-Market Segment'!Z$82,'Upper Mid-Market Segment'!Z$82,'Premium Segment'!Z$82)</f>
        <v>8604.7026740240563</v>
      </c>
      <c r="AA126" s="676">
        <f>SUM('Value Segment'!AA61,'Mid-Market Segment'!AA61,'Upper Mid-Market Segment'!AA61,'Premium Segment'!AA61)/SUM('Value Segment'!AA$82,'Mid-Market Segment'!AA$82,'Upper Mid-Market Segment'!AA$82,'Premium Segment'!AA$82)</f>
        <v>8604.7026740240563</v>
      </c>
      <c r="AB126" s="676">
        <f>SUM('Value Segment'!AB61,'Mid-Market Segment'!AB61,'Upper Mid-Market Segment'!AB61,'Premium Segment'!AB61)/SUM('Value Segment'!AB$82,'Mid-Market Segment'!AB$82,'Upper Mid-Market Segment'!AB$82,'Premium Segment'!AB$82)</f>
        <v>8604.7026740240563</v>
      </c>
      <c r="AC126" s="676">
        <f>SUM('Value Segment'!AC61,'Mid-Market Segment'!AC61,'Upper Mid-Market Segment'!AC61,'Premium Segment'!AC61)/SUM('Value Segment'!AC$82,'Mid-Market Segment'!AC$82,'Upper Mid-Market Segment'!AC$82,'Premium Segment'!AC$82)</f>
        <v>8604.7026740240563</v>
      </c>
      <c r="AD126" s="676">
        <f>SUM('Value Segment'!AD61,'Mid-Market Segment'!AD61,'Upper Mid-Market Segment'!AD61,'Premium Segment'!AD61)/SUM('Value Segment'!AD$82,'Mid-Market Segment'!AD$82,'Upper Mid-Market Segment'!AD$82,'Premium Segment'!AD$82)</f>
        <v>8892.79703332793</v>
      </c>
      <c r="AE126" s="676">
        <f>SUM('Value Segment'!AE61,'Mid-Market Segment'!AE61,'Upper Mid-Market Segment'!AE61,'Premium Segment'!AE61)/SUM('Value Segment'!AE$82,'Mid-Market Segment'!AE$82,'Upper Mid-Market Segment'!AE$82,'Premium Segment'!AE$82)</f>
        <v>8892.79703332793</v>
      </c>
      <c r="AF126" s="676">
        <f>SUM('Value Segment'!AF61,'Mid-Market Segment'!AF61,'Upper Mid-Market Segment'!AF61,'Premium Segment'!AF61)/SUM('Value Segment'!AF$82,'Mid-Market Segment'!AF$82,'Upper Mid-Market Segment'!AF$82,'Premium Segment'!AF$82)</f>
        <v>8892.79703332793</v>
      </c>
      <c r="AG126" s="676">
        <f>SUM('Value Segment'!AG61,'Mid-Market Segment'!AG61,'Upper Mid-Market Segment'!AG61,'Premium Segment'!AG61)/SUM('Value Segment'!AG$82,'Mid-Market Segment'!AG$82,'Upper Mid-Market Segment'!AG$82,'Premium Segment'!AG$82)</f>
        <v>8892.79703332793</v>
      </c>
      <c r="AH126" s="676">
        <f>SUM('Value Segment'!AH61,'Mid-Market Segment'!AH61,'Upper Mid-Market Segment'!AH61,'Premium Segment'!AH61)/SUM('Value Segment'!AH$82,'Mid-Market Segment'!AH$82,'Upper Mid-Market Segment'!AH$82,'Premium Segment'!AH$82)</f>
        <v>8892.79703332793</v>
      </c>
      <c r="AI126" s="676">
        <f>SUM('Value Segment'!AI61,'Mid-Market Segment'!AI61,'Upper Mid-Market Segment'!AI61,'Premium Segment'!AI61)/SUM('Value Segment'!AI$82,'Mid-Market Segment'!AI$82,'Upper Mid-Market Segment'!AI$82,'Premium Segment'!AI$82)</f>
        <v>8892.79703332793</v>
      </c>
      <c r="AJ126" s="676">
        <f>SUM('Value Segment'!AJ61,'Mid-Market Segment'!AJ61,'Upper Mid-Market Segment'!AJ61,'Premium Segment'!AJ61)/SUM('Value Segment'!AJ$82,'Mid-Market Segment'!AJ$82,'Upper Mid-Market Segment'!AJ$82,'Premium Segment'!AJ$82)</f>
        <v>9158.5278979795803</v>
      </c>
      <c r="AK126" s="676">
        <f>SUM('Value Segment'!AK61,'Mid-Market Segment'!AK61,'Upper Mid-Market Segment'!AK61,'Premium Segment'!AK61)/SUM('Value Segment'!AK$82,'Mid-Market Segment'!AK$82,'Upper Mid-Market Segment'!AK$82,'Premium Segment'!AK$82)</f>
        <v>9158.5278979795803</v>
      </c>
      <c r="AL126" s="676">
        <f>SUM('Value Segment'!AL61,'Mid-Market Segment'!AL61,'Upper Mid-Market Segment'!AL61,'Premium Segment'!AL61)/SUM('Value Segment'!AL$82,'Mid-Market Segment'!AL$82,'Upper Mid-Market Segment'!AL$82,'Premium Segment'!AL$82)</f>
        <v>9158.5278979795803</v>
      </c>
      <c r="AM126" s="676">
        <f>SUM('Value Segment'!AM61,'Mid-Market Segment'!AM61,'Upper Mid-Market Segment'!AM61,'Premium Segment'!AM61)/SUM('Value Segment'!AM$82,'Mid-Market Segment'!AM$82,'Upper Mid-Market Segment'!AM$82,'Premium Segment'!AM$82)</f>
        <v>9158.5278979795803</v>
      </c>
      <c r="AN126" s="676">
        <f>SUM('Value Segment'!AN61,'Mid-Market Segment'!AN61,'Upper Mid-Market Segment'!AN61,'Premium Segment'!AN61)/SUM('Value Segment'!AN$82,'Mid-Market Segment'!AN$82,'Upper Mid-Market Segment'!AN$82,'Premium Segment'!AN$82)</f>
        <v>9158.5278979795803</v>
      </c>
      <c r="AO126" s="676">
        <f>SUM('Value Segment'!AO61,'Mid-Market Segment'!AO61,'Upper Mid-Market Segment'!AO61,'Premium Segment'!AO61)/SUM('Value Segment'!AO$82,'Mid-Market Segment'!AO$82,'Upper Mid-Market Segment'!AO$82,'Premium Segment'!AO$82)</f>
        <v>9158.5278979795803</v>
      </c>
      <c r="AP126" s="676">
        <f>SUM('Value Segment'!AP61,'Mid-Market Segment'!AP61,'Upper Mid-Market Segment'!AP61,'Premium Segment'!AP61)/SUM('Value Segment'!AP$82,'Mid-Market Segment'!AP$82,'Upper Mid-Market Segment'!AP$82,'Premium Segment'!AP$82)</f>
        <v>9398.9323861855228</v>
      </c>
      <c r="AQ126" s="676">
        <f>SUM('Value Segment'!AQ61,'Mid-Market Segment'!AQ61,'Upper Mid-Market Segment'!AQ61,'Premium Segment'!AQ61)/SUM('Value Segment'!AQ$82,'Mid-Market Segment'!AQ$82,'Upper Mid-Market Segment'!AQ$82,'Premium Segment'!AQ$82)</f>
        <v>9398.9323861855228</v>
      </c>
      <c r="AR126" s="676">
        <f>SUM('Value Segment'!AR61,'Mid-Market Segment'!AR61,'Upper Mid-Market Segment'!AR61,'Premium Segment'!AR61)/SUM('Value Segment'!AR$82,'Mid-Market Segment'!AR$82,'Upper Mid-Market Segment'!AR$82,'Premium Segment'!AR$82)</f>
        <v>9398.9323861855228</v>
      </c>
      <c r="AS126" s="676">
        <f>SUM('Value Segment'!AS61,'Mid-Market Segment'!AS61,'Upper Mid-Market Segment'!AS61,'Premium Segment'!AS61)/SUM('Value Segment'!AS$82,'Mid-Market Segment'!AS$82,'Upper Mid-Market Segment'!AS$82,'Premium Segment'!AS$82)</f>
        <v>9398.9323861855228</v>
      </c>
      <c r="AT126" s="676">
        <f>SUM('Value Segment'!AT61,'Mid-Market Segment'!AT61,'Upper Mid-Market Segment'!AT61,'Premium Segment'!AT61)/SUM('Value Segment'!AT$82,'Mid-Market Segment'!AT$82,'Upper Mid-Market Segment'!AT$82,'Premium Segment'!AT$82)</f>
        <v>9398.9323861855228</v>
      </c>
      <c r="AU126" s="676">
        <f>SUM('Value Segment'!AU61,'Mid-Market Segment'!AU61,'Upper Mid-Market Segment'!AU61,'Premium Segment'!AU61)/SUM('Value Segment'!AU$82,'Mid-Market Segment'!AU$82,'Upper Mid-Market Segment'!AU$82,'Premium Segment'!AU$82)</f>
        <v>9398.9323861855228</v>
      </c>
      <c r="AV126" s="676">
        <f>SUM('Value Segment'!AV61,'Mid-Market Segment'!AV61,'Upper Mid-Market Segment'!AV61,'Premium Segment'!AV61)/SUM('Value Segment'!AV$82,'Mid-Market Segment'!AV$82,'Upper Mid-Market Segment'!AV$82,'Premium Segment'!AV$82)</f>
        <v>9727.7287061914303</v>
      </c>
      <c r="AW126" s="676">
        <f>SUM('Value Segment'!AW61,'Mid-Market Segment'!AW61,'Upper Mid-Market Segment'!AW61,'Premium Segment'!AW61)/SUM('Value Segment'!AW$82,'Mid-Market Segment'!AW$82,'Upper Mid-Market Segment'!AW$82,'Premium Segment'!AW$82)</f>
        <v>9727.7287061914303</v>
      </c>
      <c r="AX126" s="676">
        <f>SUM('Value Segment'!AX61,'Mid-Market Segment'!AX61,'Upper Mid-Market Segment'!AX61,'Premium Segment'!AX61)/SUM('Value Segment'!AX$82,'Mid-Market Segment'!AX$82,'Upper Mid-Market Segment'!AX$82,'Premium Segment'!AX$82)</f>
        <v>9727.7287061914303</v>
      </c>
      <c r="AY126" s="676">
        <f>SUM('Value Segment'!AY61,'Mid-Market Segment'!AY61,'Upper Mid-Market Segment'!AY61,'Premium Segment'!AY61)/SUM('Value Segment'!AY$82,'Mid-Market Segment'!AY$82,'Upper Mid-Market Segment'!AY$82,'Premium Segment'!AY$82)</f>
        <v>9727.7287061914303</v>
      </c>
      <c r="AZ126" s="676">
        <f>SUM('Value Segment'!AZ61,'Mid-Market Segment'!AZ61,'Upper Mid-Market Segment'!AZ61,'Premium Segment'!AZ61)/SUM('Value Segment'!AZ$82,'Mid-Market Segment'!AZ$82,'Upper Mid-Market Segment'!AZ$82,'Premium Segment'!AZ$82)</f>
        <v>9727.7287061914303</v>
      </c>
      <c r="BA126" s="676">
        <f>SUM('Value Segment'!BA61,'Mid-Market Segment'!BA61,'Upper Mid-Market Segment'!BA61,'Premium Segment'!BA61)/SUM('Value Segment'!BA$82,'Mid-Market Segment'!BA$82,'Upper Mid-Market Segment'!BA$82,'Premium Segment'!BA$82)</f>
        <v>9727.7287061914303</v>
      </c>
      <c r="BB126" s="676">
        <f>SUM('Value Segment'!BB61,'Mid-Market Segment'!BB61,'Upper Mid-Market Segment'!BB61,'Premium Segment'!BB61)/SUM('Value Segment'!BB$82,'Mid-Market Segment'!BB$82,'Upper Mid-Market Segment'!BB$82,'Premium Segment'!BB$82)</f>
        <v>9914.5254936084875</v>
      </c>
      <c r="BC126" s="676">
        <f>SUM('Value Segment'!BC61,'Mid-Market Segment'!BC61,'Upper Mid-Market Segment'!BC61,'Premium Segment'!BC61)/SUM('Value Segment'!BC$82,'Mid-Market Segment'!BC$82,'Upper Mid-Market Segment'!BC$82,'Premium Segment'!BC$82)</f>
        <v>9914.5254936084875</v>
      </c>
      <c r="BD126" s="676">
        <f>SUM('Value Segment'!BD61,'Mid-Market Segment'!BD61,'Upper Mid-Market Segment'!BD61,'Premium Segment'!BD61)/SUM('Value Segment'!BD$82,'Mid-Market Segment'!BD$82,'Upper Mid-Market Segment'!BD$82,'Premium Segment'!BD$82)</f>
        <v>9914.5254936084875</v>
      </c>
      <c r="BE126" s="676">
        <f>SUM('Value Segment'!BE61,'Mid-Market Segment'!BE61,'Upper Mid-Market Segment'!BE61,'Premium Segment'!BE61)/SUM('Value Segment'!BE$82,'Mid-Market Segment'!BE$82,'Upper Mid-Market Segment'!BE$82,'Premium Segment'!BE$82)</f>
        <v>9914.5254936084875</v>
      </c>
      <c r="BF126" s="676">
        <f>SUM('Value Segment'!BF61,'Mid-Market Segment'!BF61,'Upper Mid-Market Segment'!BF61,'Premium Segment'!BF61)/SUM('Value Segment'!BF$82,'Mid-Market Segment'!BF$82,'Upper Mid-Market Segment'!BF$82,'Premium Segment'!BF$82)</f>
        <v>9914.5254936084875</v>
      </c>
      <c r="BG126" s="676">
        <f>SUM('Value Segment'!BG61,'Mid-Market Segment'!BG61,'Upper Mid-Market Segment'!BG61,'Premium Segment'!BG61)/SUM('Value Segment'!BG$82,'Mid-Market Segment'!BG$82,'Upper Mid-Market Segment'!BG$82,'Premium Segment'!BG$82)</f>
        <v>9914.5254936084875</v>
      </c>
      <c r="BH126" s="676">
        <f>SUM('Value Segment'!BH61,'Mid-Market Segment'!BH61,'Upper Mid-Market Segment'!BH61,'Premium Segment'!BH61)/SUM('Value Segment'!BH$82,'Mid-Market Segment'!BH$82,'Upper Mid-Market Segment'!BH$82,'Premium Segment'!BH$82)</f>
        <v>10310.43854403106</v>
      </c>
      <c r="BI126" s="676">
        <f>SUM('Value Segment'!BI61,'Mid-Market Segment'!BI61,'Upper Mid-Market Segment'!BI61,'Premium Segment'!BI61)/SUM('Value Segment'!BI$82,'Mid-Market Segment'!BI$82,'Upper Mid-Market Segment'!BI$82,'Premium Segment'!BI$82)</f>
        <v>10310.43854403106</v>
      </c>
      <c r="BJ126" s="676">
        <f>SUM('Value Segment'!BJ61,'Mid-Market Segment'!BJ61,'Upper Mid-Market Segment'!BJ61,'Premium Segment'!BJ61)/SUM('Value Segment'!BJ$82,'Mid-Market Segment'!BJ$82,'Upper Mid-Market Segment'!BJ$82,'Premium Segment'!BJ$82)</f>
        <v>10310.43854403106</v>
      </c>
      <c r="BK126" s="676">
        <f>SUM('Value Segment'!BK61,'Mid-Market Segment'!BK61,'Upper Mid-Market Segment'!BK61,'Premium Segment'!BK61)/SUM('Value Segment'!BK$82,'Mid-Market Segment'!BK$82,'Upper Mid-Market Segment'!BK$82,'Premium Segment'!BK$82)</f>
        <v>10310.43854403106</v>
      </c>
      <c r="BL126" s="676">
        <f>SUM('Value Segment'!BL61,'Mid-Market Segment'!BL61,'Upper Mid-Market Segment'!BL61,'Premium Segment'!BL61)/SUM('Value Segment'!BL$82,'Mid-Market Segment'!BL$82,'Upper Mid-Market Segment'!BL$82,'Premium Segment'!BL$82)</f>
        <v>10310.43854403106</v>
      </c>
      <c r="BM126" s="676">
        <f>SUM('Value Segment'!BM61,'Mid-Market Segment'!BM61,'Upper Mid-Market Segment'!BM61,'Premium Segment'!BM61)/SUM('Value Segment'!BM$82,'Mid-Market Segment'!BM$82,'Upper Mid-Market Segment'!BM$82,'Premium Segment'!BM$82)</f>
        <v>10310.43854403106</v>
      </c>
      <c r="BN126" s="676">
        <f>SUM('Value Segment'!BN61,'Mid-Market Segment'!BN61,'Upper Mid-Market Segment'!BN61,'Premium Segment'!BN61)/SUM('Value Segment'!BN$82,'Mid-Market Segment'!BN$82,'Upper Mid-Market Segment'!BN$82,'Premium Segment'!BN$82)</f>
        <v>10455.114737673131</v>
      </c>
      <c r="BO126" s="676">
        <f>SUM('Value Segment'!BO61,'Mid-Market Segment'!BO61,'Upper Mid-Market Segment'!BO61,'Premium Segment'!BO61)/SUM('Value Segment'!BO$82,'Mid-Market Segment'!BO$82,'Upper Mid-Market Segment'!BO$82,'Premium Segment'!BO$82)</f>
        <v>10455.114737673131</v>
      </c>
      <c r="BP126" s="676">
        <f>SUM('Value Segment'!BP61,'Mid-Market Segment'!BP61,'Upper Mid-Market Segment'!BP61,'Premium Segment'!BP61)/SUM('Value Segment'!BP$82,'Mid-Market Segment'!BP$82,'Upper Mid-Market Segment'!BP$82,'Premium Segment'!BP$82)</f>
        <v>10455.114737673131</v>
      </c>
      <c r="BQ126" s="676">
        <f>SUM('Value Segment'!BQ61,'Mid-Market Segment'!BQ61,'Upper Mid-Market Segment'!BQ61,'Premium Segment'!BQ61)/SUM('Value Segment'!BQ$82,'Mid-Market Segment'!BQ$82,'Upper Mid-Market Segment'!BQ$82,'Premium Segment'!BQ$82)</f>
        <v>10455.114737673131</v>
      </c>
      <c r="BR126" s="676">
        <f>SUM('Value Segment'!BR61,'Mid-Market Segment'!BR61,'Upper Mid-Market Segment'!BR61,'Premium Segment'!BR61)/SUM('Value Segment'!BR$82,'Mid-Market Segment'!BR$82,'Upper Mid-Market Segment'!BR$82,'Premium Segment'!BR$82)</f>
        <v>10455.114737673131</v>
      </c>
      <c r="BS126" s="676">
        <f>SUM('Value Segment'!BS61,'Mid-Market Segment'!BS61,'Upper Mid-Market Segment'!BS61,'Premium Segment'!BS61)/SUM('Value Segment'!BS$82,'Mid-Market Segment'!BS$82,'Upper Mid-Market Segment'!BS$82,'Premium Segment'!BS$82)</f>
        <v>10455.114737673131</v>
      </c>
      <c r="BT126" s="676">
        <f>SUM('Value Segment'!BT61,'Mid-Market Segment'!BT61,'Upper Mid-Market Segment'!BT61,'Premium Segment'!BT61)/SUM('Value Segment'!BT$82,'Mid-Market Segment'!BT$82,'Upper Mid-Market Segment'!BT$82,'Premium Segment'!BT$82)</f>
        <v>10922.393323516524</v>
      </c>
      <c r="BU126" s="676">
        <f>SUM('Value Segment'!BU61,'Mid-Market Segment'!BU61,'Upper Mid-Market Segment'!BU61,'Premium Segment'!BU61)/SUM('Value Segment'!BU$82,'Mid-Market Segment'!BU$82,'Upper Mid-Market Segment'!BU$82,'Premium Segment'!BU$82)</f>
        <v>10922.393323516524</v>
      </c>
      <c r="BV126" s="676">
        <f>SUM('Value Segment'!BV61,'Mid-Market Segment'!BV61,'Upper Mid-Market Segment'!BV61,'Premium Segment'!BV61)/SUM('Value Segment'!BV$82,'Mid-Market Segment'!BV$82,'Upper Mid-Market Segment'!BV$82,'Premium Segment'!BV$82)</f>
        <v>10922.393323516524</v>
      </c>
      <c r="BW126" s="676">
        <f>SUM('Value Segment'!BW61,'Mid-Market Segment'!BW61,'Upper Mid-Market Segment'!BW61,'Premium Segment'!BW61)/SUM('Value Segment'!BW$82,'Mid-Market Segment'!BW$82,'Upper Mid-Market Segment'!BW$82,'Premium Segment'!BW$82)</f>
        <v>10922.393323516524</v>
      </c>
      <c r="BX126" s="676">
        <f>SUM('Value Segment'!BX61,'Mid-Market Segment'!BX61,'Upper Mid-Market Segment'!BX61,'Premium Segment'!BX61)/SUM('Value Segment'!BX$82,'Mid-Market Segment'!BX$82,'Upper Mid-Market Segment'!BX$82,'Premium Segment'!BX$82)</f>
        <v>10922.393323516524</v>
      </c>
      <c r="BY126" s="676">
        <f>SUM('Value Segment'!BY61,'Mid-Market Segment'!BY61,'Upper Mid-Market Segment'!BY61,'Premium Segment'!BY61)/SUM('Value Segment'!BY$82,'Mid-Market Segment'!BY$82,'Upper Mid-Market Segment'!BY$82,'Premium Segment'!BY$82)</f>
        <v>10922.393323516524</v>
      </c>
      <c r="CB126" s="8"/>
    </row>
    <row r="127" spans="3:80" x14ac:dyDescent="0.3">
      <c r="C127" s="2"/>
      <c r="D127" s="2"/>
      <c r="E127" s="2" t="s">
        <v>405</v>
      </c>
      <c r="F127" s="2"/>
      <c r="G127" s="2"/>
      <c r="H127" s="2"/>
      <c r="I127" s="499">
        <f t="shared" ref="I127:N127" si="111">IFERROR(I126/SUM(I87,I96,I110,I117),0)</f>
        <v>0.5528412692486081</v>
      </c>
      <c r="J127" s="499">
        <f t="shared" si="111"/>
        <v>0.5579122505358407</v>
      </c>
      <c r="K127" s="499">
        <f t="shared" si="111"/>
        <v>0.56280793423080666</v>
      </c>
      <c r="L127" s="499">
        <f t="shared" si="111"/>
        <v>0.56739887831900748</v>
      </c>
      <c r="M127" s="499">
        <f t="shared" si="111"/>
        <v>0.57146904783165242</v>
      </c>
      <c r="N127" s="499">
        <f t="shared" si="111"/>
        <v>0.57537793653241076</v>
      </c>
      <c r="O127" s="23"/>
      <c r="P127" s="50">
        <f>IFERROR(((N127/I127)^(1/5))-1,0)</f>
        <v>8.0232513929001659E-3</v>
      </c>
      <c r="R127" s="499">
        <f t="shared" ref="R127:AW127" si="112">IFERROR(R126/SUM(R87,R96,R110,R117),0)</f>
        <v>0.55771289939401814</v>
      </c>
      <c r="S127" s="531">
        <f t="shared" si="112"/>
        <v>0.55771289939401814</v>
      </c>
      <c r="T127" s="531">
        <f t="shared" si="112"/>
        <v>0.55771289939401814</v>
      </c>
      <c r="U127" s="531">
        <f t="shared" si="112"/>
        <v>0.55771289939401814</v>
      </c>
      <c r="V127" s="531">
        <f t="shared" si="112"/>
        <v>0.55771289939401814</v>
      </c>
      <c r="W127" s="531">
        <f t="shared" si="112"/>
        <v>0.55771289939401814</v>
      </c>
      <c r="X127" s="531">
        <f t="shared" si="112"/>
        <v>0.55810695192198612</v>
      </c>
      <c r="Y127" s="531">
        <f t="shared" si="112"/>
        <v>0.55810695192198612</v>
      </c>
      <c r="Z127" s="531">
        <f t="shared" si="112"/>
        <v>0.55810695192198612</v>
      </c>
      <c r="AA127" s="531">
        <f t="shared" si="112"/>
        <v>0.55810695192198612</v>
      </c>
      <c r="AB127" s="531">
        <f t="shared" si="112"/>
        <v>0.55810695192198612</v>
      </c>
      <c r="AC127" s="531">
        <f t="shared" si="112"/>
        <v>0.55810695192198612</v>
      </c>
      <c r="AD127" s="531">
        <f t="shared" si="112"/>
        <v>0.56253279084839347</v>
      </c>
      <c r="AE127" s="531">
        <f t="shared" si="112"/>
        <v>0.56253279084839347</v>
      </c>
      <c r="AF127" s="531">
        <f t="shared" si="112"/>
        <v>0.56253279084839347</v>
      </c>
      <c r="AG127" s="531">
        <f t="shared" si="112"/>
        <v>0.56253279084839347</v>
      </c>
      <c r="AH127" s="531">
        <f t="shared" si="112"/>
        <v>0.56253279084839347</v>
      </c>
      <c r="AI127" s="531">
        <f t="shared" si="112"/>
        <v>0.56253279084839347</v>
      </c>
      <c r="AJ127" s="531">
        <f t="shared" si="112"/>
        <v>0.56307535211807169</v>
      </c>
      <c r="AK127" s="531">
        <f t="shared" si="112"/>
        <v>0.56307535211807169</v>
      </c>
      <c r="AL127" s="531">
        <f t="shared" si="112"/>
        <v>0.56307535211807169</v>
      </c>
      <c r="AM127" s="531">
        <f t="shared" si="112"/>
        <v>0.56307535211807169</v>
      </c>
      <c r="AN127" s="531">
        <f t="shared" si="112"/>
        <v>0.56307535211807169</v>
      </c>
      <c r="AO127" s="531">
        <f t="shared" si="112"/>
        <v>0.56307535211807169</v>
      </c>
      <c r="AP127" s="531">
        <f t="shared" si="112"/>
        <v>0.56704333153017772</v>
      </c>
      <c r="AQ127" s="531">
        <f t="shared" si="112"/>
        <v>0.56704333153017772</v>
      </c>
      <c r="AR127" s="531">
        <f t="shared" si="112"/>
        <v>0.56704333153017772</v>
      </c>
      <c r="AS127" s="531">
        <f t="shared" si="112"/>
        <v>0.56704333153017772</v>
      </c>
      <c r="AT127" s="531">
        <f t="shared" si="112"/>
        <v>0.56704333153017772</v>
      </c>
      <c r="AU127" s="531">
        <f t="shared" si="112"/>
        <v>0.56704333153017772</v>
      </c>
      <c r="AV127" s="531">
        <f t="shared" si="112"/>
        <v>0.56774283143456272</v>
      </c>
      <c r="AW127" s="531">
        <f t="shared" si="112"/>
        <v>0.56774283143456272</v>
      </c>
      <c r="AX127" s="531">
        <f t="shared" ref="AX127:BY127" si="113">IFERROR(AX126/SUM(AX87,AX96,AX110,AX117),0)</f>
        <v>0.56774283143456272</v>
      </c>
      <c r="AY127" s="531">
        <f t="shared" si="113"/>
        <v>0.56774283143456272</v>
      </c>
      <c r="AZ127" s="531">
        <f t="shared" si="113"/>
        <v>0.56774283143456272</v>
      </c>
      <c r="BA127" s="531">
        <f t="shared" si="113"/>
        <v>0.56774283143456272</v>
      </c>
      <c r="BB127" s="531">
        <f t="shared" si="113"/>
        <v>0.57102665759603521</v>
      </c>
      <c r="BC127" s="531">
        <f t="shared" si="113"/>
        <v>0.57102665759603521</v>
      </c>
      <c r="BD127" s="531">
        <f t="shared" si="113"/>
        <v>0.57102665759603521</v>
      </c>
      <c r="BE127" s="531">
        <f t="shared" si="113"/>
        <v>0.57102665759603521</v>
      </c>
      <c r="BF127" s="531">
        <f t="shared" si="113"/>
        <v>0.57102665759603521</v>
      </c>
      <c r="BG127" s="531">
        <f t="shared" si="113"/>
        <v>0.57102665759603521</v>
      </c>
      <c r="BH127" s="531">
        <f t="shared" si="113"/>
        <v>0.57189509758588153</v>
      </c>
      <c r="BI127" s="531">
        <f t="shared" si="113"/>
        <v>0.57189509758588153</v>
      </c>
      <c r="BJ127" s="531">
        <f t="shared" si="113"/>
        <v>0.57189509758588153</v>
      </c>
      <c r="BK127" s="531">
        <f t="shared" si="113"/>
        <v>0.57189509758588153</v>
      </c>
      <c r="BL127" s="531">
        <f t="shared" si="113"/>
        <v>0.57189509758588153</v>
      </c>
      <c r="BM127" s="531">
        <f t="shared" si="113"/>
        <v>0.57189509758588153</v>
      </c>
      <c r="BN127" s="531">
        <f t="shared" si="113"/>
        <v>0.57484248064030541</v>
      </c>
      <c r="BO127" s="531">
        <f t="shared" si="113"/>
        <v>0.57484248064030541</v>
      </c>
      <c r="BP127" s="531">
        <f t="shared" si="113"/>
        <v>0.57484248064030541</v>
      </c>
      <c r="BQ127" s="531">
        <f t="shared" si="113"/>
        <v>0.57484248064030541</v>
      </c>
      <c r="BR127" s="531">
        <f t="shared" si="113"/>
        <v>0.57484248064030541</v>
      </c>
      <c r="BS127" s="531">
        <f t="shared" si="113"/>
        <v>0.57484248064030541</v>
      </c>
      <c r="BT127" s="531">
        <f t="shared" si="113"/>
        <v>0.57589141997793059</v>
      </c>
      <c r="BU127" s="531">
        <f t="shared" si="113"/>
        <v>0.57589141997793059</v>
      </c>
      <c r="BV127" s="531">
        <f t="shared" si="113"/>
        <v>0.57589141997793059</v>
      </c>
      <c r="BW127" s="531">
        <f t="shared" si="113"/>
        <v>0.57589141997793059</v>
      </c>
      <c r="BX127" s="531">
        <f t="shared" si="113"/>
        <v>0.57589141997793059</v>
      </c>
      <c r="BY127" s="531">
        <f t="shared" si="113"/>
        <v>0.57589141997793059</v>
      </c>
    </row>
    <row r="128" spans="3:80" x14ac:dyDescent="0.3">
      <c r="C128" s="2"/>
      <c r="D128" s="2"/>
      <c r="E128" s="2"/>
      <c r="F128" s="2"/>
      <c r="G128" s="2"/>
      <c r="H128" s="2"/>
      <c r="I128" s="37"/>
      <c r="J128" s="2"/>
      <c r="K128" s="2"/>
      <c r="L128" s="2"/>
      <c r="M128" s="2"/>
      <c r="N128" s="2"/>
      <c r="O128" s="2"/>
      <c r="P128" s="10"/>
      <c r="R128" s="2"/>
      <c r="S128" s="2"/>
      <c r="T128" s="2"/>
      <c r="U128" s="2"/>
      <c r="V128" s="2"/>
      <c r="W128" s="2"/>
      <c r="X128" s="2"/>
      <c r="Y128" s="2"/>
      <c r="Z128" s="2"/>
      <c r="AA128" s="2"/>
      <c r="AB128" s="2"/>
      <c r="AC128" s="2"/>
      <c r="AD128" s="2"/>
      <c r="AE128" s="2"/>
      <c r="AF128" s="2"/>
      <c r="AG128" s="2"/>
      <c r="AH128" s="2"/>
      <c r="AI128" s="2"/>
      <c r="AJ128" s="2"/>
      <c r="AK128" s="2"/>
      <c r="AL128" s="2"/>
      <c r="AM128" s="2"/>
      <c r="AN128" s="2"/>
      <c r="AO128" s="2"/>
      <c r="AP128" s="2"/>
      <c r="AQ128" s="2"/>
      <c r="AR128" s="2"/>
      <c r="AS128" s="2"/>
      <c r="AT128" s="2"/>
      <c r="AU128" s="2"/>
      <c r="AV128" s="2"/>
      <c r="AW128" s="2"/>
      <c r="AX128" s="2"/>
      <c r="AY128" s="2"/>
      <c r="AZ128" s="2"/>
      <c r="BA128" s="2"/>
      <c r="BB128" s="2"/>
      <c r="BC128" s="2"/>
      <c r="BD128" s="2"/>
      <c r="BE128" s="2"/>
      <c r="BF128" s="2"/>
      <c r="BG128" s="2"/>
      <c r="BH128" s="2"/>
      <c r="BI128" s="2"/>
      <c r="BJ128" s="2"/>
      <c r="BK128" s="2"/>
      <c r="BL128" s="2"/>
      <c r="BM128" s="2"/>
      <c r="BN128" s="2"/>
      <c r="BO128" s="2"/>
      <c r="BP128" s="2"/>
      <c r="BQ128" s="2"/>
      <c r="BR128" s="2"/>
      <c r="BS128" s="2"/>
      <c r="BT128" s="2"/>
      <c r="BU128" s="2"/>
      <c r="BV128" s="2"/>
      <c r="BW128" s="2"/>
      <c r="BX128" s="2"/>
      <c r="BY128" s="2"/>
    </row>
    <row r="129" spans="3:80" x14ac:dyDescent="0.3">
      <c r="C129" s="2"/>
      <c r="D129" s="2"/>
      <c r="E129" s="2" t="s">
        <v>129</v>
      </c>
      <c r="F129" s="2"/>
      <c r="G129" s="2"/>
      <c r="H129" s="2"/>
      <c r="I129" s="19">
        <f>SUM('Value Segment'!I64,'Mid-Market Segment'!I64,'Upper Mid-Market Segment'!I64,'Premium Segment'!I64)/SUM('Value Segment'!I$82,'Mid-Market Segment'!I$82,'Upper Mid-Market Segment'!I$82,'Premium Segment'!I$82)</f>
        <v>-8700</v>
      </c>
      <c r="J129" s="19">
        <f>SUM('Value Segment'!J64,'Mid-Market Segment'!J64,'Upper Mid-Market Segment'!J64,'Premium Segment'!J64)/SUM('Value Segment'!J$82,'Mid-Market Segment'!J$82,'Upper Mid-Market Segment'!J$82,'Premium Segment'!J$82)</f>
        <v>-8914.6850136986304</v>
      </c>
      <c r="K129" s="19">
        <f>SUM('Value Segment'!K64,'Mid-Market Segment'!K64,'Upper Mid-Market Segment'!K64,'Premium Segment'!K64)/SUM('Value Segment'!K$82,'Mid-Market Segment'!K$82,'Upper Mid-Market Segment'!K$82,'Premium Segment'!K$82)</f>
        <v>-9121.2663528297708</v>
      </c>
      <c r="L129" s="19">
        <f>SUM('Value Segment'!L64,'Mid-Market Segment'!L64,'Upper Mid-Market Segment'!L64,'Premium Segment'!L64)/SUM('Value Segment'!L$82,'Mid-Market Segment'!L$82,'Upper Mid-Market Segment'!L$82,'Premium Segment'!L$82)</f>
        <v>-9316.9087696781771</v>
      </c>
      <c r="M129" s="19">
        <f>SUM('Value Segment'!M64,'Mid-Market Segment'!M64,'Upper Mid-Market Segment'!M64,'Premium Segment'!M64)/SUM('Value Segment'!M$82,'Mid-Market Segment'!M$82,'Upper Mid-Market Segment'!M$82,'Premium Segment'!M$82)</f>
        <v>-9499.5074186751426</v>
      </c>
      <c r="N129" s="19">
        <f>SUM('Value Segment'!N64,'Mid-Market Segment'!N64,'Upper Mid-Market Segment'!N64,'Premium Segment'!N64)/SUM('Value Segment'!N$82,'Mid-Market Segment'!N$82,'Upper Mid-Market Segment'!N$82,'Premium Segment'!N$82)</f>
        <v>-9683.8004652022119</v>
      </c>
      <c r="O129" s="2"/>
      <c r="P129" s="50">
        <f>IFERROR(((N129/I129)^(1/5))-1,0)</f>
        <v>2.1657472733383143E-2</v>
      </c>
      <c r="R129" s="19">
        <f>SUM('Value Segment'!R64,'Mid-Market Segment'!R64,'Upper Mid-Market Segment'!R64,'Premium Segment'!R64)/SUM('Value Segment'!R$82,'Mid-Market Segment'!R$82,'Upper Mid-Market Segment'!R$82,'Premium Segment'!R$82)</f>
        <v>-742.89041780821924</v>
      </c>
      <c r="S129" s="542">
        <f>SUM('Value Segment'!S64,'Mid-Market Segment'!S64,'Upper Mid-Market Segment'!S64,'Premium Segment'!S64)/SUM('Value Segment'!S$82,'Mid-Market Segment'!S$82,'Upper Mid-Market Segment'!S$82,'Premium Segment'!S$82)</f>
        <v>-742.89041780821924</v>
      </c>
      <c r="T129" s="542">
        <f>SUM('Value Segment'!T64,'Mid-Market Segment'!T64,'Upper Mid-Market Segment'!T64,'Premium Segment'!T64)/SUM('Value Segment'!T$82,'Mid-Market Segment'!T$82,'Upper Mid-Market Segment'!T$82,'Premium Segment'!T$82)</f>
        <v>-742.89041780821924</v>
      </c>
      <c r="U129" s="542">
        <f>SUM('Value Segment'!U64,'Mid-Market Segment'!U64,'Upper Mid-Market Segment'!U64,'Premium Segment'!U64)/SUM('Value Segment'!U$82,'Mid-Market Segment'!U$82,'Upper Mid-Market Segment'!U$82,'Premium Segment'!U$82)</f>
        <v>-742.89041780821924</v>
      </c>
      <c r="V129" s="542">
        <f>SUM('Value Segment'!V64,'Mid-Market Segment'!V64,'Upper Mid-Market Segment'!V64,'Premium Segment'!V64)/SUM('Value Segment'!V$82,'Mid-Market Segment'!V$82,'Upper Mid-Market Segment'!V$82,'Premium Segment'!V$82)</f>
        <v>-742.89041780821924</v>
      </c>
      <c r="W129" s="542">
        <f>SUM('Value Segment'!W64,'Mid-Market Segment'!W64,'Upper Mid-Market Segment'!W64,'Premium Segment'!W64)/SUM('Value Segment'!W$82,'Mid-Market Segment'!W$82,'Upper Mid-Market Segment'!W$82,'Premium Segment'!W$82)</f>
        <v>-742.89041780821924</v>
      </c>
      <c r="X129" s="542">
        <f>SUM('Value Segment'!X64,'Mid-Market Segment'!X64,'Upper Mid-Market Segment'!X64,'Premium Segment'!X64)/SUM('Value Segment'!X$82,'Mid-Market Segment'!X$82,'Upper Mid-Market Segment'!X$82,'Premium Segment'!X$82)</f>
        <v>-742.89041780821924</v>
      </c>
      <c r="Y129" s="542">
        <f>SUM('Value Segment'!Y64,'Mid-Market Segment'!Y64,'Upper Mid-Market Segment'!Y64,'Premium Segment'!Y64)/SUM('Value Segment'!Y$82,'Mid-Market Segment'!Y$82,'Upper Mid-Market Segment'!Y$82,'Premium Segment'!Y$82)</f>
        <v>-742.89041780821924</v>
      </c>
      <c r="Z129" s="542">
        <f>SUM('Value Segment'!Z64,'Mid-Market Segment'!Z64,'Upper Mid-Market Segment'!Z64,'Premium Segment'!Z64)/SUM('Value Segment'!Z$82,'Mid-Market Segment'!Z$82,'Upper Mid-Market Segment'!Z$82,'Premium Segment'!Z$82)</f>
        <v>-742.89041780821924</v>
      </c>
      <c r="AA129" s="542">
        <f>SUM('Value Segment'!AA64,'Mid-Market Segment'!AA64,'Upper Mid-Market Segment'!AA64,'Premium Segment'!AA64)/SUM('Value Segment'!AA$82,'Mid-Market Segment'!AA$82,'Upper Mid-Market Segment'!AA$82,'Premium Segment'!AA$82)</f>
        <v>-742.89041780821924</v>
      </c>
      <c r="AB129" s="542">
        <f>SUM('Value Segment'!AB64,'Mid-Market Segment'!AB64,'Upper Mid-Market Segment'!AB64,'Premium Segment'!AB64)/SUM('Value Segment'!AB$82,'Mid-Market Segment'!AB$82,'Upper Mid-Market Segment'!AB$82,'Premium Segment'!AB$82)</f>
        <v>-742.89041780821924</v>
      </c>
      <c r="AC129" s="542">
        <f>SUM('Value Segment'!AC64,'Mid-Market Segment'!AC64,'Upper Mid-Market Segment'!AC64,'Premium Segment'!AC64)/SUM('Value Segment'!AC$82,'Mid-Market Segment'!AC$82,'Upper Mid-Market Segment'!AC$82,'Premium Segment'!AC$82)</f>
        <v>-742.89041780821924</v>
      </c>
      <c r="AD129" s="542">
        <f>SUM('Value Segment'!AD64,'Mid-Market Segment'!AD64,'Upper Mid-Market Segment'!AD64,'Premium Segment'!AD64)/SUM('Value Segment'!AD$82,'Mid-Market Segment'!AD$82,'Upper Mid-Market Segment'!AD$82,'Premium Segment'!AD$82)</f>
        <v>-760.10552940248078</v>
      </c>
      <c r="AE129" s="542">
        <f>SUM('Value Segment'!AE64,'Mid-Market Segment'!AE64,'Upper Mid-Market Segment'!AE64,'Premium Segment'!AE64)/SUM('Value Segment'!AE$82,'Mid-Market Segment'!AE$82,'Upper Mid-Market Segment'!AE$82,'Premium Segment'!AE$82)</f>
        <v>-760.10552940248078</v>
      </c>
      <c r="AF129" s="542">
        <f>SUM('Value Segment'!AF64,'Mid-Market Segment'!AF64,'Upper Mid-Market Segment'!AF64,'Premium Segment'!AF64)/SUM('Value Segment'!AF$82,'Mid-Market Segment'!AF$82,'Upper Mid-Market Segment'!AF$82,'Premium Segment'!AF$82)</f>
        <v>-760.10552940248078</v>
      </c>
      <c r="AG129" s="542">
        <f>SUM('Value Segment'!AG64,'Mid-Market Segment'!AG64,'Upper Mid-Market Segment'!AG64,'Premium Segment'!AG64)/SUM('Value Segment'!AG$82,'Mid-Market Segment'!AG$82,'Upper Mid-Market Segment'!AG$82,'Premium Segment'!AG$82)</f>
        <v>-760.10552940248078</v>
      </c>
      <c r="AH129" s="542">
        <f>SUM('Value Segment'!AH64,'Mid-Market Segment'!AH64,'Upper Mid-Market Segment'!AH64,'Premium Segment'!AH64)/SUM('Value Segment'!AH$82,'Mid-Market Segment'!AH$82,'Upper Mid-Market Segment'!AH$82,'Premium Segment'!AH$82)</f>
        <v>-760.10552940248078</v>
      </c>
      <c r="AI129" s="542">
        <f>SUM('Value Segment'!AI64,'Mid-Market Segment'!AI64,'Upper Mid-Market Segment'!AI64,'Premium Segment'!AI64)/SUM('Value Segment'!AI$82,'Mid-Market Segment'!AI$82,'Upper Mid-Market Segment'!AI$82,'Premium Segment'!AI$82)</f>
        <v>-760.10552940248078</v>
      </c>
      <c r="AJ129" s="542">
        <f>SUM('Value Segment'!AJ64,'Mid-Market Segment'!AJ64,'Upper Mid-Market Segment'!AJ64,'Premium Segment'!AJ64)/SUM('Value Segment'!AJ$82,'Mid-Market Segment'!AJ$82,'Upper Mid-Market Segment'!AJ$82,'Premium Segment'!AJ$82)</f>
        <v>-760.10552940248078</v>
      </c>
      <c r="AK129" s="542">
        <f>SUM('Value Segment'!AK64,'Mid-Market Segment'!AK64,'Upper Mid-Market Segment'!AK64,'Premium Segment'!AK64)/SUM('Value Segment'!AK$82,'Mid-Market Segment'!AK$82,'Upper Mid-Market Segment'!AK$82,'Premium Segment'!AK$82)</f>
        <v>-760.10552940248078</v>
      </c>
      <c r="AL129" s="542">
        <f>SUM('Value Segment'!AL64,'Mid-Market Segment'!AL64,'Upper Mid-Market Segment'!AL64,'Premium Segment'!AL64)/SUM('Value Segment'!AL$82,'Mid-Market Segment'!AL$82,'Upper Mid-Market Segment'!AL$82,'Premium Segment'!AL$82)</f>
        <v>-760.10552940248078</v>
      </c>
      <c r="AM129" s="542">
        <f>SUM('Value Segment'!AM64,'Mid-Market Segment'!AM64,'Upper Mid-Market Segment'!AM64,'Premium Segment'!AM64)/SUM('Value Segment'!AM$82,'Mid-Market Segment'!AM$82,'Upper Mid-Market Segment'!AM$82,'Premium Segment'!AM$82)</f>
        <v>-760.10552940248078</v>
      </c>
      <c r="AN129" s="542">
        <f>SUM('Value Segment'!AN64,'Mid-Market Segment'!AN64,'Upper Mid-Market Segment'!AN64,'Premium Segment'!AN64)/SUM('Value Segment'!AN$82,'Mid-Market Segment'!AN$82,'Upper Mid-Market Segment'!AN$82,'Premium Segment'!AN$82)</f>
        <v>-760.10552940248078</v>
      </c>
      <c r="AO129" s="542">
        <f>SUM('Value Segment'!AO64,'Mid-Market Segment'!AO64,'Upper Mid-Market Segment'!AO64,'Premium Segment'!AO64)/SUM('Value Segment'!AO$82,'Mid-Market Segment'!AO$82,'Upper Mid-Market Segment'!AO$82,'Premium Segment'!AO$82)</f>
        <v>-760.10552940248078</v>
      </c>
      <c r="AP129" s="542">
        <f>SUM('Value Segment'!AP64,'Mid-Market Segment'!AP64,'Upper Mid-Market Segment'!AP64,'Premium Segment'!AP64)/SUM('Value Segment'!AP$82,'Mid-Market Segment'!AP$82,'Upper Mid-Market Segment'!AP$82,'Premium Segment'!AP$82)</f>
        <v>-776.40906413984806</v>
      </c>
      <c r="AQ129" s="542">
        <f>SUM('Value Segment'!AQ64,'Mid-Market Segment'!AQ64,'Upper Mid-Market Segment'!AQ64,'Premium Segment'!AQ64)/SUM('Value Segment'!AQ$82,'Mid-Market Segment'!AQ$82,'Upper Mid-Market Segment'!AQ$82,'Premium Segment'!AQ$82)</f>
        <v>-776.40906413984806</v>
      </c>
      <c r="AR129" s="542">
        <f>SUM('Value Segment'!AR64,'Mid-Market Segment'!AR64,'Upper Mid-Market Segment'!AR64,'Premium Segment'!AR64)/SUM('Value Segment'!AR$82,'Mid-Market Segment'!AR$82,'Upper Mid-Market Segment'!AR$82,'Premium Segment'!AR$82)</f>
        <v>-776.40906413984806</v>
      </c>
      <c r="AS129" s="542">
        <f>SUM('Value Segment'!AS64,'Mid-Market Segment'!AS64,'Upper Mid-Market Segment'!AS64,'Premium Segment'!AS64)/SUM('Value Segment'!AS$82,'Mid-Market Segment'!AS$82,'Upper Mid-Market Segment'!AS$82,'Premium Segment'!AS$82)</f>
        <v>-776.40906413984806</v>
      </c>
      <c r="AT129" s="542">
        <f>SUM('Value Segment'!AT64,'Mid-Market Segment'!AT64,'Upper Mid-Market Segment'!AT64,'Premium Segment'!AT64)/SUM('Value Segment'!AT$82,'Mid-Market Segment'!AT$82,'Upper Mid-Market Segment'!AT$82,'Premium Segment'!AT$82)</f>
        <v>-776.40906413984806</v>
      </c>
      <c r="AU129" s="542">
        <f>SUM('Value Segment'!AU64,'Mid-Market Segment'!AU64,'Upper Mid-Market Segment'!AU64,'Premium Segment'!AU64)/SUM('Value Segment'!AU$82,'Mid-Market Segment'!AU$82,'Upper Mid-Market Segment'!AU$82,'Premium Segment'!AU$82)</f>
        <v>-776.40906413984806</v>
      </c>
      <c r="AV129" s="542">
        <f>SUM('Value Segment'!AV64,'Mid-Market Segment'!AV64,'Upper Mid-Market Segment'!AV64,'Premium Segment'!AV64)/SUM('Value Segment'!AV$82,'Mid-Market Segment'!AV$82,'Upper Mid-Market Segment'!AV$82,'Premium Segment'!AV$82)</f>
        <v>-776.40906413984806</v>
      </c>
      <c r="AW129" s="542">
        <f>SUM('Value Segment'!AW64,'Mid-Market Segment'!AW64,'Upper Mid-Market Segment'!AW64,'Premium Segment'!AW64)/SUM('Value Segment'!AW$82,'Mid-Market Segment'!AW$82,'Upper Mid-Market Segment'!AW$82,'Premium Segment'!AW$82)</f>
        <v>-776.40906413984806</v>
      </c>
      <c r="AX129" s="542">
        <f>SUM('Value Segment'!AX64,'Mid-Market Segment'!AX64,'Upper Mid-Market Segment'!AX64,'Premium Segment'!AX64)/SUM('Value Segment'!AX$82,'Mid-Market Segment'!AX$82,'Upper Mid-Market Segment'!AX$82,'Premium Segment'!AX$82)</f>
        <v>-776.40906413984806</v>
      </c>
      <c r="AY129" s="542">
        <f>SUM('Value Segment'!AY64,'Mid-Market Segment'!AY64,'Upper Mid-Market Segment'!AY64,'Premium Segment'!AY64)/SUM('Value Segment'!AY$82,'Mid-Market Segment'!AY$82,'Upper Mid-Market Segment'!AY$82,'Premium Segment'!AY$82)</f>
        <v>-776.40906413984806</v>
      </c>
      <c r="AZ129" s="542">
        <f>SUM('Value Segment'!AZ64,'Mid-Market Segment'!AZ64,'Upper Mid-Market Segment'!AZ64,'Premium Segment'!AZ64)/SUM('Value Segment'!AZ$82,'Mid-Market Segment'!AZ$82,'Upper Mid-Market Segment'!AZ$82,'Premium Segment'!AZ$82)</f>
        <v>-776.40906413984806</v>
      </c>
      <c r="BA129" s="542">
        <f>SUM('Value Segment'!BA64,'Mid-Market Segment'!BA64,'Upper Mid-Market Segment'!BA64,'Premium Segment'!BA64)/SUM('Value Segment'!BA$82,'Mid-Market Segment'!BA$82,'Upper Mid-Market Segment'!BA$82,'Premium Segment'!BA$82)</f>
        <v>-776.40906413984806</v>
      </c>
      <c r="BB129" s="542">
        <f>SUM('Value Segment'!BB64,'Mid-Market Segment'!BB64,'Upper Mid-Market Segment'!BB64,'Premium Segment'!BB64)/SUM('Value Segment'!BB$82,'Mid-Market Segment'!BB$82,'Upper Mid-Market Segment'!BB$82,'Premium Segment'!BB$82)</f>
        <v>-791.62561822292855</v>
      </c>
      <c r="BC129" s="542">
        <f>SUM('Value Segment'!BC64,'Mid-Market Segment'!BC64,'Upper Mid-Market Segment'!BC64,'Premium Segment'!BC64)/SUM('Value Segment'!BC$82,'Mid-Market Segment'!BC$82,'Upper Mid-Market Segment'!BC$82,'Premium Segment'!BC$82)</f>
        <v>-791.62561822292855</v>
      </c>
      <c r="BD129" s="542">
        <f>SUM('Value Segment'!BD64,'Mid-Market Segment'!BD64,'Upper Mid-Market Segment'!BD64,'Premium Segment'!BD64)/SUM('Value Segment'!BD$82,'Mid-Market Segment'!BD$82,'Upper Mid-Market Segment'!BD$82,'Premium Segment'!BD$82)</f>
        <v>-791.62561822292855</v>
      </c>
      <c r="BE129" s="542">
        <f>SUM('Value Segment'!BE64,'Mid-Market Segment'!BE64,'Upper Mid-Market Segment'!BE64,'Premium Segment'!BE64)/SUM('Value Segment'!BE$82,'Mid-Market Segment'!BE$82,'Upper Mid-Market Segment'!BE$82,'Premium Segment'!BE$82)</f>
        <v>-791.62561822292855</v>
      </c>
      <c r="BF129" s="542">
        <f>SUM('Value Segment'!BF64,'Mid-Market Segment'!BF64,'Upper Mid-Market Segment'!BF64,'Premium Segment'!BF64)/SUM('Value Segment'!BF$82,'Mid-Market Segment'!BF$82,'Upper Mid-Market Segment'!BF$82,'Premium Segment'!BF$82)</f>
        <v>-791.62561822292855</v>
      </c>
      <c r="BG129" s="542">
        <f>SUM('Value Segment'!BG64,'Mid-Market Segment'!BG64,'Upper Mid-Market Segment'!BG64,'Premium Segment'!BG64)/SUM('Value Segment'!BG$82,'Mid-Market Segment'!BG$82,'Upper Mid-Market Segment'!BG$82,'Premium Segment'!BG$82)</f>
        <v>-791.62561822292855</v>
      </c>
      <c r="BH129" s="542">
        <f>SUM('Value Segment'!BH64,'Mid-Market Segment'!BH64,'Upper Mid-Market Segment'!BH64,'Premium Segment'!BH64)/SUM('Value Segment'!BH$82,'Mid-Market Segment'!BH$82,'Upper Mid-Market Segment'!BH$82,'Premium Segment'!BH$82)</f>
        <v>-791.62561822292855</v>
      </c>
      <c r="BI129" s="542">
        <f>SUM('Value Segment'!BI64,'Mid-Market Segment'!BI64,'Upper Mid-Market Segment'!BI64,'Premium Segment'!BI64)/SUM('Value Segment'!BI$82,'Mid-Market Segment'!BI$82,'Upper Mid-Market Segment'!BI$82,'Premium Segment'!BI$82)</f>
        <v>-791.62561822292855</v>
      </c>
      <c r="BJ129" s="542">
        <f>SUM('Value Segment'!BJ64,'Mid-Market Segment'!BJ64,'Upper Mid-Market Segment'!BJ64,'Premium Segment'!BJ64)/SUM('Value Segment'!BJ$82,'Mid-Market Segment'!BJ$82,'Upper Mid-Market Segment'!BJ$82,'Premium Segment'!BJ$82)</f>
        <v>-791.62561822292855</v>
      </c>
      <c r="BK129" s="542">
        <f>SUM('Value Segment'!BK64,'Mid-Market Segment'!BK64,'Upper Mid-Market Segment'!BK64,'Premium Segment'!BK64)/SUM('Value Segment'!BK$82,'Mid-Market Segment'!BK$82,'Upper Mid-Market Segment'!BK$82,'Premium Segment'!BK$82)</f>
        <v>-791.62561822292855</v>
      </c>
      <c r="BL129" s="542">
        <f>SUM('Value Segment'!BL64,'Mid-Market Segment'!BL64,'Upper Mid-Market Segment'!BL64,'Premium Segment'!BL64)/SUM('Value Segment'!BL$82,'Mid-Market Segment'!BL$82,'Upper Mid-Market Segment'!BL$82,'Premium Segment'!BL$82)</f>
        <v>-791.62561822292855</v>
      </c>
      <c r="BM129" s="542">
        <f>SUM('Value Segment'!BM64,'Mid-Market Segment'!BM64,'Upper Mid-Market Segment'!BM64,'Premium Segment'!BM64)/SUM('Value Segment'!BM$82,'Mid-Market Segment'!BM$82,'Upper Mid-Market Segment'!BM$82,'Premium Segment'!BM$82)</f>
        <v>-791.62561822292855</v>
      </c>
      <c r="BN129" s="542">
        <f>SUM('Value Segment'!BN64,'Mid-Market Segment'!BN64,'Upper Mid-Market Segment'!BN64,'Premium Segment'!BN64)/SUM('Value Segment'!BN$82,'Mid-Market Segment'!BN$82,'Upper Mid-Market Segment'!BN$82,'Premium Segment'!BN$82)</f>
        <v>-806.9833721001844</v>
      </c>
      <c r="BO129" s="542">
        <f>SUM('Value Segment'!BO64,'Mid-Market Segment'!BO64,'Upper Mid-Market Segment'!BO64,'Premium Segment'!BO64)/SUM('Value Segment'!BO$82,'Mid-Market Segment'!BO$82,'Upper Mid-Market Segment'!BO$82,'Premium Segment'!BO$82)</f>
        <v>-806.9833721001844</v>
      </c>
      <c r="BP129" s="542">
        <f>SUM('Value Segment'!BP64,'Mid-Market Segment'!BP64,'Upper Mid-Market Segment'!BP64,'Premium Segment'!BP64)/SUM('Value Segment'!BP$82,'Mid-Market Segment'!BP$82,'Upper Mid-Market Segment'!BP$82,'Premium Segment'!BP$82)</f>
        <v>-806.9833721001844</v>
      </c>
      <c r="BQ129" s="542">
        <f>SUM('Value Segment'!BQ64,'Mid-Market Segment'!BQ64,'Upper Mid-Market Segment'!BQ64,'Premium Segment'!BQ64)/SUM('Value Segment'!BQ$82,'Mid-Market Segment'!BQ$82,'Upper Mid-Market Segment'!BQ$82,'Premium Segment'!BQ$82)</f>
        <v>-806.9833721001844</v>
      </c>
      <c r="BR129" s="542">
        <f>SUM('Value Segment'!BR64,'Mid-Market Segment'!BR64,'Upper Mid-Market Segment'!BR64,'Premium Segment'!BR64)/SUM('Value Segment'!BR$82,'Mid-Market Segment'!BR$82,'Upper Mid-Market Segment'!BR$82,'Premium Segment'!BR$82)</f>
        <v>-806.9833721001844</v>
      </c>
      <c r="BS129" s="542">
        <f>SUM('Value Segment'!BS64,'Mid-Market Segment'!BS64,'Upper Mid-Market Segment'!BS64,'Premium Segment'!BS64)/SUM('Value Segment'!BS$82,'Mid-Market Segment'!BS$82,'Upper Mid-Market Segment'!BS$82,'Premium Segment'!BS$82)</f>
        <v>-806.9833721001844</v>
      </c>
      <c r="BT129" s="542">
        <f>SUM('Value Segment'!BT64,'Mid-Market Segment'!BT64,'Upper Mid-Market Segment'!BT64,'Premium Segment'!BT64)/SUM('Value Segment'!BT$82,'Mid-Market Segment'!BT$82,'Upper Mid-Market Segment'!BT$82,'Premium Segment'!BT$82)</f>
        <v>-806.9833721001844</v>
      </c>
      <c r="BU129" s="542">
        <f>SUM('Value Segment'!BU64,'Mid-Market Segment'!BU64,'Upper Mid-Market Segment'!BU64,'Premium Segment'!BU64)/SUM('Value Segment'!BU$82,'Mid-Market Segment'!BU$82,'Upper Mid-Market Segment'!BU$82,'Premium Segment'!BU$82)</f>
        <v>-806.9833721001844</v>
      </c>
      <c r="BV129" s="542">
        <f>SUM('Value Segment'!BV64,'Mid-Market Segment'!BV64,'Upper Mid-Market Segment'!BV64,'Premium Segment'!BV64)/SUM('Value Segment'!BV$82,'Mid-Market Segment'!BV$82,'Upper Mid-Market Segment'!BV$82,'Premium Segment'!BV$82)</f>
        <v>-806.9833721001844</v>
      </c>
      <c r="BW129" s="542">
        <f>SUM('Value Segment'!BW64,'Mid-Market Segment'!BW64,'Upper Mid-Market Segment'!BW64,'Premium Segment'!BW64)/SUM('Value Segment'!BW$82,'Mid-Market Segment'!BW$82,'Upper Mid-Market Segment'!BW$82,'Premium Segment'!BW$82)</f>
        <v>-806.9833721001844</v>
      </c>
      <c r="BX129" s="542">
        <f>SUM('Value Segment'!BX64,'Mid-Market Segment'!BX64,'Upper Mid-Market Segment'!BX64,'Premium Segment'!BX64)/SUM('Value Segment'!BX$82,'Mid-Market Segment'!BX$82,'Upper Mid-Market Segment'!BX$82,'Premium Segment'!BX$82)</f>
        <v>-806.9833721001844</v>
      </c>
      <c r="BY129" s="542">
        <f>SUM('Value Segment'!BY64,'Mid-Market Segment'!BY64,'Upper Mid-Market Segment'!BY64,'Premium Segment'!BY64)/SUM('Value Segment'!BY$82,'Mid-Market Segment'!BY$82,'Upper Mid-Market Segment'!BY$82,'Premium Segment'!BY$82)</f>
        <v>-806.9833721001844</v>
      </c>
    </row>
    <row r="130" spans="3:80" x14ac:dyDescent="0.3">
      <c r="C130" s="2"/>
      <c r="D130" s="2"/>
      <c r="E130" s="62" t="s">
        <v>292</v>
      </c>
      <c r="F130" s="63"/>
      <c r="G130" s="63"/>
      <c r="H130" s="63"/>
      <c r="I130" s="673">
        <f>SUM('Value Segment'!I65,'Mid-Market Segment'!I65,'Upper Mid-Market Segment'!I65,'Premium Segment'!I65)/SUM('Value Segment'!I$82,'Mid-Market Segment'!I$82,'Upper Mid-Market Segment'!I$82,'Premium Segment'!I$82)</f>
        <v>88061.550458159123</v>
      </c>
      <c r="J130" s="673">
        <f>SUM('Value Segment'!J65,'Mid-Market Segment'!J65,'Upper Mid-Market Segment'!J65,'Premium Segment'!J65)/SUM('Value Segment'!J$82,'Mid-Market Segment'!J$82,'Upper Mid-Market Segment'!J$82,'Premium Segment'!J$82)</f>
        <v>93101.945369799563</v>
      </c>
      <c r="K130" s="673">
        <f>SUM('Value Segment'!K65,'Mid-Market Segment'!K65,'Upper Mid-Market Segment'!K65,'Premium Segment'!K65)/SUM('Value Segment'!K$82,'Mid-Market Segment'!K$82,'Upper Mid-Market Segment'!K$82,'Premium Segment'!K$82)</f>
        <v>99186.683235015269</v>
      </c>
      <c r="L130" s="673">
        <f>SUM('Value Segment'!L65,'Mid-Market Segment'!L65,'Upper Mid-Market Segment'!L65,'Premium Segment'!L65)/SUM('Value Segment'!L$82,'Mid-Market Segment'!L$82,'Upper Mid-Market Segment'!L$82,'Premium Segment'!L$82)</f>
        <v>105443.05778458354</v>
      </c>
      <c r="M130" s="673">
        <f>SUM('Value Segment'!M65,'Mid-Market Segment'!M65,'Upper Mid-Market Segment'!M65,'Premium Segment'!M65)/SUM('Value Segment'!M$82,'Mid-Market Segment'!M$82,'Upper Mid-Market Segment'!M$82,'Premium Segment'!M$82)</f>
        <v>111850.27680716215</v>
      </c>
      <c r="N130" s="673">
        <f>SUM('Value Segment'!N65,'Mid-Market Segment'!N65,'Upper Mid-Market Segment'!N65,'Premium Segment'!N65)/SUM('Value Segment'!N$82,'Mid-Market Segment'!N$82,'Upper Mid-Market Segment'!N$82,'Premium Segment'!N$82)</f>
        <v>118581.24790193574</v>
      </c>
      <c r="O130" s="57"/>
      <c r="P130" s="55">
        <f>IFERROR(((N130/I130)^(1/5))-1,0)</f>
        <v>6.1318996590630004E-2</v>
      </c>
      <c r="R130" s="673">
        <f>SUM('Value Segment'!R65,'Mid-Market Segment'!R65,'Upper Mid-Market Segment'!R65,'Premium Segment'!R65)/SUM('Value Segment'!R$82,'Mid-Market Segment'!R$82,'Upper Mid-Market Segment'!R$82,'Premium Segment'!R$82)</f>
        <v>7655.1786387507536</v>
      </c>
      <c r="S130" s="676">
        <f>SUM('Value Segment'!S65,'Mid-Market Segment'!S65,'Upper Mid-Market Segment'!S65,'Premium Segment'!S65)/SUM('Value Segment'!S$82,'Mid-Market Segment'!S$82,'Upper Mid-Market Segment'!S$82,'Premium Segment'!S$82)</f>
        <v>7655.1786387507536</v>
      </c>
      <c r="T130" s="676">
        <f>SUM('Value Segment'!T65,'Mid-Market Segment'!T65,'Upper Mid-Market Segment'!T65,'Premium Segment'!T65)/SUM('Value Segment'!T$82,'Mid-Market Segment'!T$82,'Upper Mid-Market Segment'!T$82,'Premium Segment'!T$82)</f>
        <v>7655.1786387507536</v>
      </c>
      <c r="U130" s="676">
        <f>SUM('Value Segment'!U65,'Mid-Market Segment'!U65,'Upper Mid-Market Segment'!U65,'Premium Segment'!U65)/SUM('Value Segment'!U$82,'Mid-Market Segment'!U$82,'Upper Mid-Market Segment'!U$82,'Premium Segment'!U$82)</f>
        <v>7655.1786387507536</v>
      </c>
      <c r="V130" s="676">
        <f>SUM('Value Segment'!V65,'Mid-Market Segment'!V65,'Upper Mid-Market Segment'!V65,'Premium Segment'!V65)/SUM('Value Segment'!V$82,'Mid-Market Segment'!V$82,'Upper Mid-Market Segment'!V$82,'Premium Segment'!V$82)</f>
        <v>7655.1786387507536</v>
      </c>
      <c r="W130" s="676">
        <f>SUM('Value Segment'!W65,'Mid-Market Segment'!W65,'Upper Mid-Market Segment'!W65,'Premium Segment'!W65)/SUM('Value Segment'!W$82,'Mid-Market Segment'!W$82,'Upper Mid-Market Segment'!W$82,'Premium Segment'!W$82)</f>
        <v>7655.1786387507536</v>
      </c>
      <c r="X130" s="676">
        <f>SUM('Value Segment'!X65,'Mid-Market Segment'!X65,'Upper Mid-Market Segment'!X65,'Premium Segment'!X65)/SUM('Value Segment'!X$82,'Mid-Market Segment'!X$82,'Upper Mid-Market Segment'!X$82,'Premium Segment'!X$82)</f>
        <v>7861.8122562158369</v>
      </c>
      <c r="Y130" s="676">
        <f>SUM('Value Segment'!Y65,'Mid-Market Segment'!Y65,'Upper Mid-Market Segment'!Y65,'Premium Segment'!Y65)/SUM('Value Segment'!Y$82,'Mid-Market Segment'!Y$82,'Upper Mid-Market Segment'!Y$82,'Premium Segment'!Y$82)</f>
        <v>7861.8122562158369</v>
      </c>
      <c r="Z130" s="676">
        <f>SUM('Value Segment'!Z65,'Mid-Market Segment'!Z65,'Upper Mid-Market Segment'!Z65,'Premium Segment'!Z65)/SUM('Value Segment'!Z$82,'Mid-Market Segment'!Z$82,'Upper Mid-Market Segment'!Z$82,'Premium Segment'!Z$82)</f>
        <v>7861.8122562158369</v>
      </c>
      <c r="AA130" s="676">
        <f>SUM('Value Segment'!AA65,'Mid-Market Segment'!AA65,'Upper Mid-Market Segment'!AA65,'Premium Segment'!AA65)/SUM('Value Segment'!AA$82,'Mid-Market Segment'!AA$82,'Upper Mid-Market Segment'!AA$82,'Premium Segment'!AA$82)</f>
        <v>7861.8122562158369</v>
      </c>
      <c r="AB130" s="676">
        <f>SUM('Value Segment'!AB65,'Mid-Market Segment'!AB65,'Upper Mid-Market Segment'!AB65,'Premium Segment'!AB65)/SUM('Value Segment'!AB$82,'Mid-Market Segment'!AB$82,'Upper Mid-Market Segment'!AB$82,'Premium Segment'!AB$82)</f>
        <v>7861.8122562158369</v>
      </c>
      <c r="AC130" s="676">
        <f>SUM('Value Segment'!AC65,'Mid-Market Segment'!AC65,'Upper Mid-Market Segment'!AC65,'Premium Segment'!AC65)/SUM('Value Segment'!AC$82,'Mid-Market Segment'!AC$82,'Upper Mid-Market Segment'!AC$82,'Premium Segment'!AC$82)</f>
        <v>7861.8122562158369</v>
      </c>
      <c r="AD130" s="676">
        <f>SUM('Value Segment'!AD65,'Mid-Market Segment'!AD65,'Upper Mid-Market Segment'!AD65,'Premium Segment'!AD65)/SUM('Value Segment'!AD$82,'Mid-Market Segment'!AD$82,'Upper Mid-Market Segment'!AD$82,'Premium Segment'!AD$82)</f>
        <v>8132.6915039254482</v>
      </c>
      <c r="AE130" s="676">
        <f>SUM('Value Segment'!AE65,'Mid-Market Segment'!AE65,'Upper Mid-Market Segment'!AE65,'Premium Segment'!AE65)/SUM('Value Segment'!AE$82,'Mid-Market Segment'!AE$82,'Upper Mid-Market Segment'!AE$82,'Premium Segment'!AE$82)</f>
        <v>8132.6915039254482</v>
      </c>
      <c r="AF130" s="676">
        <f>SUM('Value Segment'!AF65,'Mid-Market Segment'!AF65,'Upper Mid-Market Segment'!AF65,'Premium Segment'!AF65)/SUM('Value Segment'!AF$82,'Mid-Market Segment'!AF$82,'Upper Mid-Market Segment'!AF$82,'Premium Segment'!AF$82)</f>
        <v>8132.6915039254482</v>
      </c>
      <c r="AG130" s="676">
        <f>SUM('Value Segment'!AG65,'Mid-Market Segment'!AG65,'Upper Mid-Market Segment'!AG65,'Premium Segment'!AG65)/SUM('Value Segment'!AG$82,'Mid-Market Segment'!AG$82,'Upper Mid-Market Segment'!AG$82,'Premium Segment'!AG$82)</f>
        <v>8132.6915039254482</v>
      </c>
      <c r="AH130" s="676">
        <f>SUM('Value Segment'!AH65,'Mid-Market Segment'!AH65,'Upper Mid-Market Segment'!AH65,'Premium Segment'!AH65)/SUM('Value Segment'!AH$82,'Mid-Market Segment'!AH$82,'Upper Mid-Market Segment'!AH$82,'Premium Segment'!AH$82)</f>
        <v>8132.6915039254482</v>
      </c>
      <c r="AI130" s="676">
        <f>SUM('Value Segment'!AI65,'Mid-Market Segment'!AI65,'Upper Mid-Market Segment'!AI65,'Premium Segment'!AI65)/SUM('Value Segment'!AI$82,'Mid-Market Segment'!AI$82,'Upper Mid-Market Segment'!AI$82,'Premium Segment'!AI$82)</f>
        <v>8132.6915039254482</v>
      </c>
      <c r="AJ130" s="676">
        <f>SUM('Value Segment'!AJ65,'Mid-Market Segment'!AJ65,'Upper Mid-Market Segment'!AJ65,'Premium Segment'!AJ65)/SUM('Value Segment'!AJ$82,'Mid-Market Segment'!AJ$82,'Upper Mid-Market Segment'!AJ$82,'Premium Segment'!AJ$82)</f>
        <v>8398.4223685770994</v>
      </c>
      <c r="AK130" s="676">
        <f>SUM('Value Segment'!AK65,'Mid-Market Segment'!AK65,'Upper Mid-Market Segment'!AK65,'Premium Segment'!AK65)/SUM('Value Segment'!AK$82,'Mid-Market Segment'!AK$82,'Upper Mid-Market Segment'!AK$82,'Premium Segment'!AK$82)</f>
        <v>8398.4223685770994</v>
      </c>
      <c r="AL130" s="676">
        <f>SUM('Value Segment'!AL65,'Mid-Market Segment'!AL65,'Upper Mid-Market Segment'!AL65,'Premium Segment'!AL65)/SUM('Value Segment'!AL$82,'Mid-Market Segment'!AL$82,'Upper Mid-Market Segment'!AL$82,'Premium Segment'!AL$82)</f>
        <v>8398.4223685770994</v>
      </c>
      <c r="AM130" s="676">
        <f>SUM('Value Segment'!AM65,'Mid-Market Segment'!AM65,'Upper Mid-Market Segment'!AM65,'Premium Segment'!AM65)/SUM('Value Segment'!AM$82,'Mid-Market Segment'!AM$82,'Upper Mid-Market Segment'!AM$82,'Premium Segment'!AM$82)</f>
        <v>8398.4223685770994</v>
      </c>
      <c r="AN130" s="676">
        <f>SUM('Value Segment'!AN65,'Mid-Market Segment'!AN65,'Upper Mid-Market Segment'!AN65,'Premium Segment'!AN65)/SUM('Value Segment'!AN$82,'Mid-Market Segment'!AN$82,'Upper Mid-Market Segment'!AN$82,'Premium Segment'!AN$82)</f>
        <v>8398.4223685770994</v>
      </c>
      <c r="AO130" s="676">
        <f>SUM('Value Segment'!AO65,'Mid-Market Segment'!AO65,'Upper Mid-Market Segment'!AO65,'Premium Segment'!AO65)/SUM('Value Segment'!AO$82,'Mid-Market Segment'!AO$82,'Upper Mid-Market Segment'!AO$82,'Premium Segment'!AO$82)</f>
        <v>8398.4223685770994</v>
      </c>
      <c r="AP130" s="676">
        <f>SUM('Value Segment'!AP65,'Mid-Market Segment'!AP65,'Upper Mid-Market Segment'!AP65,'Premium Segment'!AP65)/SUM('Value Segment'!AP$82,'Mid-Market Segment'!AP$82,'Upper Mid-Market Segment'!AP$82,'Premium Segment'!AP$82)</f>
        <v>8622.5233220456757</v>
      </c>
      <c r="AQ130" s="676">
        <f>SUM('Value Segment'!AQ65,'Mid-Market Segment'!AQ65,'Upper Mid-Market Segment'!AQ65,'Premium Segment'!AQ65)/SUM('Value Segment'!AQ$82,'Mid-Market Segment'!AQ$82,'Upper Mid-Market Segment'!AQ$82,'Premium Segment'!AQ$82)</f>
        <v>8622.5233220456757</v>
      </c>
      <c r="AR130" s="676">
        <f>SUM('Value Segment'!AR65,'Mid-Market Segment'!AR65,'Upper Mid-Market Segment'!AR65,'Premium Segment'!AR65)/SUM('Value Segment'!AR$82,'Mid-Market Segment'!AR$82,'Upper Mid-Market Segment'!AR$82,'Premium Segment'!AR$82)</f>
        <v>8622.5233220456757</v>
      </c>
      <c r="AS130" s="676">
        <f>SUM('Value Segment'!AS65,'Mid-Market Segment'!AS65,'Upper Mid-Market Segment'!AS65,'Premium Segment'!AS65)/SUM('Value Segment'!AS$82,'Mid-Market Segment'!AS$82,'Upper Mid-Market Segment'!AS$82,'Premium Segment'!AS$82)</f>
        <v>8622.5233220456757</v>
      </c>
      <c r="AT130" s="676">
        <f>SUM('Value Segment'!AT65,'Mid-Market Segment'!AT65,'Upper Mid-Market Segment'!AT65,'Premium Segment'!AT65)/SUM('Value Segment'!AT$82,'Mid-Market Segment'!AT$82,'Upper Mid-Market Segment'!AT$82,'Premium Segment'!AT$82)</f>
        <v>8622.5233220456757</v>
      </c>
      <c r="AU130" s="676">
        <f>SUM('Value Segment'!AU65,'Mid-Market Segment'!AU65,'Upper Mid-Market Segment'!AU65,'Premium Segment'!AU65)/SUM('Value Segment'!AU$82,'Mid-Market Segment'!AU$82,'Upper Mid-Market Segment'!AU$82,'Premium Segment'!AU$82)</f>
        <v>8622.5233220456757</v>
      </c>
      <c r="AV130" s="676">
        <f>SUM('Value Segment'!AV65,'Mid-Market Segment'!AV65,'Upper Mid-Market Segment'!AV65,'Premium Segment'!AV65)/SUM('Value Segment'!AV$82,'Mid-Market Segment'!AV$82,'Upper Mid-Market Segment'!AV$82,'Premium Segment'!AV$82)</f>
        <v>8951.3196420515833</v>
      </c>
      <c r="AW130" s="676">
        <f>SUM('Value Segment'!AW65,'Mid-Market Segment'!AW65,'Upper Mid-Market Segment'!AW65,'Premium Segment'!AW65)/SUM('Value Segment'!AW$82,'Mid-Market Segment'!AW$82,'Upper Mid-Market Segment'!AW$82,'Premium Segment'!AW$82)</f>
        <v>8951.3196420515833</v>
      </c>
      <c r="AX130" s="676">
        <f>SUM('Value Segment'!AX65,'Mid-Market Segment'!AX65,'Upper Mid-Market Segment'!AX65,'Premium Segment'!AX65)/SUM('Value Segment'!AX$82,'Mid-Market Segment'!AX$82,'Upper Mid-Market Segment'!AX$82,'Premium Segment'!AX$82)</f>
        <v>8951.3196420515833</v>
      </c>
      <c r="AY130" s="676">
        <f>SUM('Value Segment'!AY65,'Mid-Market Segment'!AY65,'Upper Mid-Market Segment'!AY65,'Premium Segment'!AY65)/SUM('Value Segment'!AY$82,'Mid-Market Segment'!AY$82,'Upper Mid-Market Segment'!AY$82,'Premium Segment'!AY$82)</f>
        <v>8951.3196420515833</v>
      </c>
      <c r="AZ130" s="676">
        <f>SUM('Value Segment'!AZ65,'Mid-Market Segment'!AZ65,'Upper Mid-Market Segment'!AZ65,'Premium Segment'!AZ65)/SUM('Value Segment'!AZ$82,'Mid-Market Segment'!AZ$82,'Upper Mid-Market Segment'!AZ$82,'Premium Segment'!AZ$82)</f>
        <v>8951.3196420515833</v>
      </c>
      <c r="BA130" s="676">
        <f>SUM('Value Segment'!BA65,'Mid-Market Segment'!BA65,'Upper Mid-Market Segment'!BA65,'Premium Segment'!BA65)/SUM('Value Segment'!BA$82,'Mid-Market Segment'!BA$82,'Upper Mid-Market Segment'!BA$82,'Premium Segment'!BA$82)</f>
        <v>8951.3196420515833</v>
      </c>
      <c r="BB130" s="676">
        <f>SUM('Value Segment'!BB65,'Mid-Market Segment'!BB65,'Upper Mid-Market Segment'!BB65,'Premium Segment'!BB65)/SUM('Value Segment'!BB$82,'Mid-Market Segment'!BB$82,'Upper Mid-Market Segment'!BB$82,'Premium Segment'!BB$82)</f>
        <v>9122.8998753855576</v>
      </c>
      <c r="BC130" s="676">
        <f>SUM('Value Segment'!BC65,'Mid-Market Segment'!BC65,'Upper Mid-Market Segment'!BC65,'Premium Segment'!BC65)/SUM('Value Segment'!BC$82,'Mid-Market Segment'!BC$82,'Upper Mid-Market Segment'!BC$82,'Premium Segment'!BC$82)</f>
        <v>9122.8998753855576</v>
      </c>
      <c r="BD130" s="676">
        <f>SUM('Value Segment'!BD65,'Mid-Market Segment'!BD65,'Upper Mid-Market Segment'!BD65,'Premium Segment'!BD65)/SUM('Value Segment'!BD$82,'Mid-Market Segment'!BD$82,'Upper Mid-Market Segment'!BD$82,'Premium Segment'!BD$82)</f>
        <v>9122.8998753855576</v>
      </c>
      <c r="BE130" s="676">
        <f>SUM('Value Segment'!BE65,'Mid-Market Segment'!BE65,'Upper Mid-Market Segment'!BE65,'Premium Segment'!BE65)/SUM('Value Segment'!BE$82,'Mid-Market Segment'!BE$82,'Upper Mid-Market Segment'!BE$82,'Premium Segment'!BE$82)</f>
        <v>9122.8998753855576</v>
      </c>
      <c r="BF130" s="676">
        <f>SUM('Value Segment'!BF65,'Mid-Market Segment'!BF65,'Upper Mid-Market Segment'!BF65,'Premium Segment'!BF65)/SUM('Value Segment'!BF$82,'Mid-Market Segment'!BF$82,'Upper Mid-Market Segment'!BF$82,'Premium Segment'!BF$82)</f>
        <v>9122.8998753855576</v>
      </c>
      <c r="BG130" s="676">
        <f>SUM('Value Segment'!BG65,'Mid-Market Segment'!BG65,'Upper Mid-Market Segment'!BG65,'Premium Segment'!BG65)/SUM('Value Segment'!BG$82,'Mid-Market Segment'!BG$82,'Upper Mid-Market Segment'!BG$82,'Premium Segment'!BG$82)</f>
        <v>9122.8998753855576</v>
      </c>
      <c r="BH130" s="676">
        <f>SUM('Value Segment'!BH65,'Mid-Market Segment'!BH65,'Upper Mid-Market Segment'!BH65,'Premium Segment'!BH65)/SUM('Value Segment'!BH$82,'Mid-Market Segment'!BH$82,'Upper Mid-Market Segment'!BH$82,'Premium Segment'!BH$82)</f>
        <v>9518.8129258081317</v>
      </c>
      <c r="BI130" s="676">
        <f>SUM('Value Segment'!BI65,'Mid-Market Segment'!BI65,'Upper Mid-Market Segment'!BI65,'Premium Segment'!BI65)/SUM('Value Segment'!BI$82,'Mid-Market Segment'!BI$82,'Upper Mid-Market Segment'!BI$82,'Premium Segment'!BI$82)</f>
        <v>9518.8129258081317</v>
      </c>
      <c r="BJ130" s="676">
        <f>SUM('Value Segment'!BJ65,'Mid-Market Segment'!BJ65,'Upper Mid-Market Segment'!BJ65,'Premium Segment'!BJ65)/SUM('Value Segment'!BJ$82,'Mid-Market Segment'!BJ$82,'Upper Mid-Market Segment'!BJ$82,'Premium Segment'!BJ$82)</f>
        <v>9518.8129258081317</v>
      </c>
      <c r="BK130" s="676">
        <f>SUM('Value Segment'!BK65,'Mid-Market Segment'!BK65,'Upper Mid-Market Segment'!BK65,'Premium Segment'!BK65)/SUM('Value Segment'!BK$82,'Mid-Market Segment'!BK$82,'Upper Mid-Market Segment'!BK$82,'Premium Segment'!BK$82)</f>
        <v>9518.8129258081317</v>
      </c>
      <c r="BL130" s="676">
        <f>SUM('Value Segment'!BL65,'Mid-Market Segment'!BL65,'Upper Mid-Market Segment'!BL65,'Premium Segment'!BL65)/SUM('Value Segment'!BL$82,'Mid-Market Segment'!BL$82,'Upper Mid-Market Segment'!BL$82,'Premium Segment'!BL$82)</f>
        <v>9518.8129258081317</v>
      </c>
      <c r="BM130" s="676">
        <f>SUM('Value Segment'!BM65,'Mid-Market Segment'!BM65,'Upper Mid-Market Segment'!BM65,'Premium Segment'!BM65)/SUM('Value Segment'!BM$82,'Mid-Market Segment'!BM$82,'Upper Mid-Market Segment'!BM$82,'Premium Segment'!BM$82)</f>
        <v>9518.8129258081317</v>
      </c>
      <c r="BN130" s="676">
        <f>SUM('Value Segment'!BN65,'Mid-Market Segment'!BN65,'Upper Mid-Market Segment'!BN65,'Premium Segment'!BN65)/SUM('Value Segment'!BN$82,'Mid-Market Segment'!BN$82,'Upper Mid-Market Segment'!BN$82,'Premium Segment'!BN$82)</f>
        <v>9648.1313655729482</v>
      </c>
      <c r="BO130" s="676">
        <f>SUM('Value Segment'!BO65,'Mid-Market Segment'!BO65,'Upper Mid-Market Segment'!BO65,'Premium Segment'!BO65)/SUM('Value Segment'!BO$82,'Mid-Market Segment'!BO$82,'Upper Mid-Market Segment'!BO$82,'Premium Segment'!BO$82)</f>
        <v>9648.1313655729482</v>
      </c>
      <c r="BP130" s="676">
        <f>SUM('Value Segment'!BP65,'Mid-Market Segment'!BP65,'Upper Mid-Market Segment'!BP65,'Premium Segment'!BP65)/SUM('Value Segment'!BP$82,'Mid-Market Segment'!BP$82,'Upper Mid-Market Segment'!BP$82,'Premium Segment'!BP$82)</f>
        <v>9648.1313655729482</v>
      </c>
      <c r="BQ130" s="676">
        <f>SUM('Value Segment'!BQ65,'Mid-Market Segment'!BQ65,'Upper Mid-Market Segment'!BQ65,'Premium Segment'!BQ65)/SUM('Value Segment'!BQ$82,'Mid-Market Segment'!BQ$82,'Upper Mid-Market Segment'!BQ$82,'Premium Segment'!BQ$82)</f>
        <v>9648.1313655729482</v>
      </c>
      <c r="BR130" s="676">
        <f>SUM('Value Segment'!BR65,'Mid-Market Segment'!BR65,'Upper Mid-Market Segment'!BR65,'Premium Segment'!BR65)/SUM('Value Segment'!BR$82,'Mid-Market Segment'!BR$82,'Upper Mid-Market Segment'!BR$82,'Premium Segment'!BR$82)</f>
        <v>9648.1313655729482</v>
      </c>
      <c r="BS130" s="676">
        <f>SUM('Value Segment'!BS65,'Mid-Market Segment'!BS65,'Upper Mid-Market Segment'!BS65,'Premium Segment'!BS65)/SUM('Value Segment'!BS$82,'Mid-Market Segment'!BS$82,'Upper Mid-Market Segment'!BS$82,'Premium Segment'!BS$82)</f>
        <v>9648.1313655729482</v>
      </c>
      <c r="BT130" s="676">
        <f>SUM('Value Segment'!BT65,'Mid-Market Segment'!BT65,'Upper Mid-Market Segment'!BT65,'Premium Segment'!BT65)/SUM('Value Segment'!BT$82,'Mid-Market Segment'!BT$82,'Upper Mid-Market Segment'!BT$82,'Premium Segment'!BT$82)</f>
        <v>10115.409951416341</v>
      </c>
      <c r="BU130" s="676">
        <f>SUM('Value Segment'!BU65,'Mid-Market Segment'!BU65,'Upper Mid-Market Segment'!BU65,'Premium Segment'!BU65)/SUM('Value Segment'!BU$82,'Mid-Market Segment'!BU$82,'Upper Mid-Market Segment'!BU$82,'Premium Segment'!BU$82)</f>
        <v>10115.409951416341</v>
      </c>
      <c r="BV130" s="676">
        <f>SUM('Value Segment'!BV65,'Mid-Market Segment'!BV65,'Upper Mid-Market Segment'!BV65,'Premium Segment'!BV65)/SUM('Value Segment'!BV$82,'Mid-Market Segment'!BV$82,'Upper Mid-Market Segment'!BV$82,'Premium Segment'!BV$82)</f>
        <v>10115.409951416341</v>
      </c>
      <c r="BW130" s="676">
        <f>SUM('Value Segment'!BW65,'Mid-Market Segment'!BW65,'Upper Mid-Market Segment'!BW65,'Premium Segment'!BW65)/SUM('Value Segment'!BW$82,'Mid-Market Segment'!BW$82,'Upper Mid-Market Segment'!BW$82,'Premium Segment'!BW$82)</f>
        <v>10115.409951416341</v>
      </c>
      <c r="BX130" s="676">
        <f>SUM('Value Segment'!BX65,'Mid-Market Segment'!BX65,'Upper Mid-Market Segment'!BX65,'Premium Segment'!BX65)/SUM('Value Segment'!BX$82,'Mid-Market Segment'!BX$82,'Upper Mid-Market Segment'!BX$82,'Premium Segment'!BX$82)</f>
        <v>10115.409951416341</v>
      </c>
      <c r="BY130" s="676">
        <f>SUM('Value Segment'!BY65,'Mid-Market Segment'!BY65,'Upper Mid-Market Segment'!BY65,'Premium Segment'!BY65)/SUM('Value Segment'!BY$82,'Mid-Market Segment'!BY$82,'Upper Mid-Market Segment'!BY$82,'Premium Segment'!BY$82)</f>
        <v>10115.409951416341</v>
      </c>
      <c r="CB130" s="8"/>
    </row>
    <row r="131" spans="3:80" x14ac:dyDescent="0.3">
      <c r="C131" s="2"/>
      <c r="D131" s="2"/>
      <c r="E131" s="692" t="s">
        <v>406</v>
      </c>
      <c r="F131" s="2"/>
      <c r="G131" s="2"/>
      <c r="H131" s="2"/>
      <c r="I131" s="499">
        <f t="shared" ref="I131:N131" si="114">IFERROR(I130/I126,0)</f>
        <v>0.91008825345598421</v>
      </c>
      <c r="J131" s="499">
        <f t="shared" si="114"/>
        <v>0.91261537476598875</v>
      </c>
      <c r="K131" s="499">
        <f t="shared" si="114"/>
        <v>0.91578396241882676</v>
      </c>
      <c r="L131" s="499">
        <f t="shared" si="114"/>
        <v>0.91881394662769555</v>
      </c>
      <c r="M131" s="499">
        <f t="shared" si="114"/>
        <v>0.92171797025204338</v>
      </c>
      <c r="N131" s="499">
        <f t="shared" si="114"/>
        <v>0.92450164258712253</v>
      </c>
      <c r="O131" s="23"/>
      <c r="P131" s="50">
        <f>IFERROR(((N131/I131)^(1/5))-1,0)</f>
        <v>3.1475934876206146E-3</v>
      </c>
      <c r="R131" s="499">
        <f t="shared" ref="R131:AW131" si="115">IFERROR(R130/R126,0)</f>
        <v>0.91154032994905942</v>
      </c>
      <c r="S131" s="531">
        <f t="shared" si="115"/>
        <v>0.91154032994905942</v>
      </c>
      <c r="T131" s="531">
        <f t="shared" si="115"/>
        <v>0.91154032994905942</v>
      </c>
      <c r="U131" s="531">
        <f t="shared" si="115"/>
        <v>0.91154032994905942</v>
      </c>
      <c r="V131" s="531">
        <f t="shared" si="115"/>
        <v>0.91154032994905942</v>
      </c>
      <c r="W131" s="531">
        <f t="shared" si="115"/>
        <v>0.91154032994905942</v>
      </c>
      <c r="X131" s="531">
        <f t="shared" si="115"/>
        <v>0.91366460342077094</v>
      </c>
      <c r="Y131" s="531">
        <f t="shared" si="115"/>
        <v>0.91366460342077094</v>
      </c>
      <c r="Z131" s="531">
        <f t="shared" si="115"/>
        <v>0.91366460342077094</v>
      </c>
      <c r="AA131" s="531">
        <f t="shared" si="115"/>
        <v>0.91366460342077094</v>
      </c>
      <c r="AB131" s="531">
        <f t="shared" si="115"/>
        <v>0.91366460342077094</v>
      </c>
      <c r="AC131" s="531">
        <f t="shared" si="115"/>
        <v>0.91366460342077094</v>
      </c>
      <c r="AD131" s="531">
        <f t="shared" si="115"/>
        <v>0.91452570810355838</v>
      </c>
      <c r="AE131" s="531">
        <f t="shared" si="115"/>
        <v>0.91452570810355838</v>
      </c>
      <c r="AF131" s="531">
        <f t="shared" si="115"/>
        <v>0.91452570810355838</v>
      </c>
      <c r="AG131" s="531">
        <f t="shared" si="115"/>
        <v>0.91452570810355838</v>
      </c>
      <c r="AH131" s="531">
        <f t="shared" si="115"/>
        <v>0.91452570810355838</v>
      </c>
      <c r="AI131" s="531">
        <f t="shared" si="115"/>
        <v>0.91452570810355838</v>
      </c>
      <c r="AJ131" s="531">
        <f t="shared" si="115"/>
        <v>0.91700570901026968</v>
      </c>
      <c r="AK131" s="531">
        <f t="shared" si="115"/>
        <v>0.91700570901026968</v>
      </c>
      <c r="AL131" s="531">
        <f t="shared" si="115"/>
        <v>0.91700570901026968</v>
      </c>
      <c r="AM131" s="531">
        <f t="shared" si="115"/>
        <v>0.91700570901026968</v>
      </c>
      <c r="AN131" s="531">
        <f t="shared" si="115"/>
        <v>0.91700570901026968</v>
      </c>
      <c r="AO131" s="531">
        <f t="shared" si="115"/>
        <v>0.91700570901026968</v>
      </c>
      <c r="AP131" s="531">
        <f t="shared" si="115"/>
        <v>0.91739390898470474</v>
      </c>
      <c r="AQ131" s="531">
        <f t="shared" si="115"/>
        <v>0.91739390898470474</v>
      </c>
      <c r="AR131" s="531">
        <f t="shared" si="115"/>
        <v>0.91739390898470474</v>
      </c>
      <c r="AS131" s="531">
        <f t="shared" si="115"/>
        <v>0.91739390898470474</v>
      </c>
      <c r="AT131" s="531">
        <f t="shared" si="115"/>
        <v>0.91739390898470474</v>
      </c>
      <c r="AU131" s="531">
        <f t="shared" si="115"/>
        <v>0.91739390898470474</v>
      </c>
      <c r="AV131" s="531">
        <f t="shared" si="115"/>
        <v>0.92018598713123201</v>
      </c>
      <c r="AW131" s="531">
        <f t="shared" si="115"/>
        <v>0.92018598713123201</v>
      </c>
      <c r="AX131" s="531">
        <f t="shared" ref="AX131:BY131" si="116">IFERROR(AX130/AX126,0)</f>
        <v>0.92018598713123201</v>
      </c>
      <c r="AY131" s="531">
        <f t="shared" si="116"/>
        <v>0.92018598713123201</v>
      </c>
      <c r="AZ131" s="531">
        <f t="shared" si="116"/>
        <v>0.92018598713123201</v>
      </c>
      <c r="BA131" s="531">
        <f t="shared" si="116"/>
        <v>0.92018598713123201</v>
      </c>
      <c r="BB131" s="531">
        <f t="shared" si="116"/>
        <v>0.92015496669676622</v>
      </c>
      <c r="BC131" s="531">
        <f t="shared" si="116"/>
        <v>0.92015496669676622</v>
      </c>
      <c r="BD131" s="531">
        <f t="shared" si="116"/>
        <v>0.92015496669676622</v>
      </c>
      <c r="BE131" s="531">
        <f t="shared" si="116"/>
        <v>0.92015496669676622</v>
      </c>
      <c r="BF131" s="531">
        <f t="shared" si="116"/>
        <v>0.92015496669676622</v>
      </c>
      <c r="BG131" s="531">
        <f t="shared" si="116"/>
        <v>0.92015496669676622</v>
      </c>
      <c r="BH131" s="531">
        <f t="shared" si="116"/>
        <v>0.92322095565166651</v>
      </c>
      <c r="BI131" s="531">
        <f t="shared" si="116"/>
        <v>0.92322095565166651</v>
      </c>
      <c r="BJ131" s="531">
        <f t="shared" si="116"/>
        <v>0.92322095565166651</v>
      </c>
      <c r="BK131" s="531">
        <f t="shared" si="116"/>
        <v>0.92322095565166651</v>
      </c>
      <c r="BL131" s="531">
        <f t="shared" si="116"/>
        <v>0.92322095565166651</v>
      </c>
      <c r="BM131" s="531">
        <f t="shared" si="116"/>
        <v>0.92322095565166651</v>
      </c>
      <c r="BN131" s="531">
        <f t="shared" si="116"/>
        <v>0.92281448914258557</v>
      </c>
      <c r="BO131" s="531">
        <f t="shared" si="116"/>
        <v>0.92281448914258557</v>
      </c>
      <c r="BP131" s="531">
        <f t="shared" si="116"/>
        <v>0.92281448914258557</v>
      </c>
      <c r="BQ131" s="531">
        <f t="shared" si="116"/>
        <v>0.92281448914258557</v>
      </c>
      <c r="BR131" s="531">
        <f t="shared" si="116"/>
        <v>0.92281448914258557</v>
      </c>
      <c r="BS131" s="531">
        <f t="shared" si="116"/>
        <v>0.92281448914258557</v>
      </c>
      <c r="BT131" s="531">
        <f t="shared" si="116"/>
        <v>0.9261166167342918</v>
      </c>
      <c r="BU131" s="531">
        <f t="shared" si="116"/>
        <v>0.9261166167342918</v>
      </c>
      <c r="BV131" s="531">
        <f t="shared" si="116"/>
        <v>0.9261166167342918</v>
      </c>
      <c r="BW131" s="531">
        <f t="shared" si="116"/>
        <v>0.9261166167342918</v>
      </c>
      <c r="BX131" s="531">
        <f t="shared" si="116"/>
        <v>0.9261166167342918</v>
      </c>
      <c r="BY131" s="531">
        <f t="shared" si="116"/>
        <v>0.9261166167342918</v>
      </c>
    </row>
    <row r="132" spans="3:80" x14ac:dyDescent="0.3">
      <c r="C132" s="2"/>
      <c r="D132" s="2"/>
      <c r="E132" s="2"/>
      <c r="F132" s="2"/>
      <c r="G132" s="2"/>
      <c r="H132" s="2"/>
      <c r="I132" s="2"/>
      <c r="J132" s="2"/>
      <c r="K132" s="2"/>
      <c r="L132" s="2"/>
      <c r="M132" s="2"/>
      <c r="N132" s="2"/>
      <c r="O132" s="2"/>
      <c r="P132" s="35"/>
      <c r="R132" s="2"/>
      <c r="S132" s="2"/>
      <c r="T132" s="2"/>
      <c r="U132" s="2"/>
      <c r="V132" s="2"/>
      <c r="W132" s="2"/>
      <c r="X132" s="2"/>
      <c r="Y132" s="2"/>
      <c r="Z132" s="2"/>
      <c r="AA132" s="2"/>
      <c r="AB132" s="2"/>
      <c r="AC132" s="2"/>
      <c r="AD132" s="2"/>
      <c r="AE132" s="2"/>
      <c r="AF132" s="2"/>
      <c r="AG132" s="2"/>
      <c r="AH132" s="2"/>
      <c r="AI132" s="2"/>
      <c r="AJ132" s="2"/>
      <c r="AK132" s="2"/>
      <c r="AL132" s="2"/>
      <c r="AM132" s="2"/>
      <c r="AN132" s="2"/>
      <c r="AO132" s="2"/>
      <c r="AP132" s="2"/>
      <c r="AQ132" s="2"/>
      <c r="AR132" s="2"/>
      <c r="AS132" s="2"/>
      <c r="AT132" s="2"/>
      <c r="AU132" s="2"/>
      <c r="AV132" s="2"/>
      <c r="AW132" s="2"/>
      <c r="AX132" s="2"/>
      <c r="AY132" s="2"/>
      <c r="AZ132" s="2"/>
      <c r="BA132" s="2"/>
      <c r="BB132" s="2"/>
      <c r="BC132" s="2"/>
      <c r="BD132" s="2"/>
      <c r="BE132" s="2"/>
      <c r="BF132" s="2"/>
      <c r="BG132" s="2"/>
      <c r="BH132" s="2"/>
      <c r="BI132" s="2"/>
      <c r="BJ132" s="2"/>
      <c r="BK132" s="2"/>
      <c r="BL132" s="2"/>
      <c r="BM132" s="2"/>
      <c r="BN132" s="2"/>
      <c r="BO132" s="2"/>
      <c r="BP132" s="2"/>
      <c r="BQ132" s="2"/>
      <c r="BR132" s="2"/>
      <c r="BS132" s="2"/>
      <c r="BT132" s="2"/>
      <c r="BU132" s="2"/>
      <c r="BV132" s="2"/>
      <c r="BW132" s="2"/>
      <c r="BX132" s="2"/>
      <c r="BY132" s="2"/>
    </row>
    <row r="133" spans="3:80" x14ac:dyDescent="0.3">
      <c r="C133" s="2"/>
      <c r="D133" s="2"/>
      <c r="E133" s="2" t="s">
        <v>52</v>
      </c>
      <c r="F133" s="54"/>
      <c r="G133" s="54"/>
      <c r="H133" s="54"/>
      <c r="I133" s="19">
        <f>SUM('Value Segment'!I68,'Mid-Market Segment'!I68,'Upper Mid-Market Segment'!I68,'Premium Segment'!I68)/SUM('Value Segment'!I$82,'Mid-Market Segment'!I$82,'Upper Mid-Market Segment'!I$82,'Premium Segment'!I$82)</f>
        <v>-10287.168218467532</v>
      </c>
      <c r="J133" s="19">
        <f>SUM('Value Segment'!J64,'Mid-Market Segment'!J64,'Upper Mid-Market Segment'!J64,'Premium Segment'!J64)/SUM('Value Segment'!J$82,'Mid-Market Segment'!J$82,'Upper Mid-Market Segment'!J$82,'Premium Segment'!J$82)</f>
        <v>-8914.6850136986304</v>
      </c>
      <c r="K133" s="19">
        <f>SUM('Value Segment'!K64,'Mid-Market Segment'!K64,'Upper Mid-Market Segment'!K64,'Premium Segment'!K64)/SUM('Value Segment'!K$82,'Mid-Market Segment'!K$82,'Upper Mid-Market Segment'!K$82,'Premium Segment'!K$82)</f>
        <v>-9121.2663528297708</v>
      </c>
      <c r="L133" s="19">
        <f>SUM('Value Segment'!L64,'Mid-Market Segment'!L64,'Upper Mid-Market Segment'!L64,'Premium Segment'!L64)/SUM('Value Segment'!L$82,'Mid-Market Segment'!L$82,'Upper Mid-Market Segment'!L$82,'Premium Segment'!L$82)</f>
        <v>-9316.9087696781771</v>
      </c>
      <c r="M133" s="19">
        <f>SUM('Value Segment'!M64,'Mid-Market Segment'!M64,'Upper Mid-Market Segment'!M64,'Premium Segment'!M64)/SUM('Value Segment'!M$82,'Mid-Market Segment'!M$82,'Upper Mid-Market Segment'!M$82,'Premium Segment'!M$82)</f>
        <v>-9499.5074186751426</v>
      </c>
      <c r="N133" s="19">
        <f>SUM('Value Segment'!N64,'Mid-Market Segment'!N64,'Upper Mid-Market Segment'!N64,'Premium Segment'!N64)/SUM('Value Segment'!N$82,'Mid-Market Segment'!N$82,'Upper Mid-Market Segment'!N$82,'Premium Segment'!N$82)</f>
        <v>-9683.8004652022119</v>
      </c>
      <c r="O133" s="37"/>
      <c r="P133" s="50">
        <f>IFERROR(((N133/I133)^(1/5))-1,0)</f>
        <v>-1.2015802754618887E-2</v>
      </c>
      <c r="R133" s="19">
        <f>SUM('Value Segment'!R68,'Mid-Market Segment'!R68,'Upper Mid-Market Segment'!R68,'Premium Segment'!R68)/SUM('Value Segment'!R$82,'Mid-Market Segment'!R$82,'Upper Mid-Market Segment'!R$82,'Premium Segment'!R$82)</f>
        <v>-680</v>
      </c>
      <c r="S133" s="542">
        <f>SUM('Value Segment'!S68,'Mid-Market Segment'!S68,'Upper Mid-Market Segment'!S68,'Premium Segment'!S68)/SUM('Value Segment'!S$82,'Mid-Market Segment'!S$82,'Upper Mid-Market Segment'!S$82,'Premium Segment'!S$82)</f>
        <v>-680</v>
      </c>
      <c r="T133" s="542">
        <f>SUM('Value Segment'!T68,'Mid-Market Segment'!T68,'Upper Mid-Market Segment'!T68,'Premium Segment'!T68)/SUM('Value Segment'!T$82,'Mid-Market Segment'!T$82,'Upper Mid-Market Segment'!T$82,'Premium Segment'!T$82)</f>
        <v>-680</v>
      </c>
      <c r="U133" s="542">
        <f>SUM('Value Segment'!U68,'Mid-Market Segment'!U68,'Upper Mid-Market Segment'!U68,'Premium Segment'!U68)/SUM('Value Segment'!U$82,'Mid-Market Segment'!U$82,'Upper Mid-Market Segment'!U$82,'Premium Segment'!U$82)</f>
        <v>-680</v>
      </c>
      <c r="V133" s="542">
        <f>SUM('Value Segment'!V68,'Mid-Market Segment'!V68,'Upper Mid-Market Segment'!V68,'Premium Segment'!V68)/SUM('Value Segment'!V$82,'Mid-Market Segment'!V$82,'Upper Mid-Market Segment'!V$82,'Premium Segment'!V$82)</f>
        <v>-680</v>
      </c>
      <c r="W133" s="542">
        <f>SUM('Value Segment'!W68,'Mid-Market Segment'!W68,'Upper Mid-Market Segment'!W68,'Premium Segment'!W68)/SUM('Value Segment'!W$82,'Mid-Market Segment'!W$82,'Upper Mid-Market Segment'!W$82,'Premium Segment'!W$82)</f>
        <v>-680</v>
      </c>
      <c r="X133" s="542">
        <f>SUM('Value Segment'!X68,'Mid-Market Segment'!X68,'Upper Mid-Market Segment'!X68,'Premium Segment'!X68)/SUM('Value Segment'!X$82,'Mid-Market Segment'!X$82,'Upper Mid-Market Segment'!X$82,'Premium Segment'!X$82)</f>
        <v>-680</v>
      </c>
      <c r="Y133" s="542">
        <f>SUM('Value Segment'!Y68,'Mid-Market Segment'!Y68,'Upper Mid-Market Segment'!Y68,'Premium Segment'!Y68)/SUM('Value Segment'!Y$82,'Mid-Market Segment'!Y$82,'Upper Mid-Market Segment'!Y$82,'Premium Segment'!Y$82)</f>
        <v>-680</v>
      </c>
      <c r="Z133" s="542">
        <f>SUM('Value Segment'!Z68,'Mid-Market Segment'!Z68,'Upper Mid-Market Segment'!Z68,'Premium Segment'!Z68)/SUM('Value Segment'!Z$82,'Mid-Market Segment'!Z$82,'Upper Mid-Market Segment'!Z$82,'Premium Segment'!Z$82)</f>
        <v>-680</v>
      </c>
      <c r="AA133" s="542">
        <f>SUM('Value Segment'!AA68,'Mid-Market Segment'!AA68,'Upper Mid-Market Segment'!AA68,'Premium Segment'!AA68)/SUM('Value Segment'!AA$82,'Mid-Market Segment'!AA$82,'Upper Mid-Market Segment'!AA$82,'Premium Segment'!AA$82)</f>
        <v>-680</v>
      </c>
      <c r="AB133" s="542">
        <f>SUM('Value Segment'!AB68,'Mid-Market Segment'!AB68,'Upper Mid-Market Segment'!AB68,'Premium Segment'!AB68)/SUM('Value Segment'!AB$82,'Mid-Market Segment'!AB$82,'Upper Mid-Market Segment'!AB$82,'Premium Segment'!AB$82)</f>
        <v>-680</v>
      </c>
      <c r="AC133" s="542">
        <f>SUM('Value Segment'!AC68,'Mid-Market Segment'!AC68,'Upper Mid-Market Segment'!AC68,'Premium Segment'!AC68)/SUM('Value Segment'!AC$82,'Mid-Market Segment'!AC$82,'Upper Mid-Market Segment'!AC$82,'Premium Segment'!AC$82)</f>
        <v>-680</v>
      </c>
      <c r="AD133" s="542">
        <f>SUM('Value Segment'!AD68,'Mid-Market Segment'!AD68,'Upper Mid-Market Segment'!AD68,'Premium Segment'!AD68)/SUM('Value Segment'!AD$82,'Mid-Market Segment'!AD$82,'Upper Mid-Market Segment'!AD$82,'Premium Segment'!AD$82)</f>
        <v>-693.6</v>
      </c>
      <c r="AE133" s="542">
        <f>SUM('Value Segment'!AE68,'Mid-Market Segment'!AE68,'Upper Mid-Market Segment'!AE68,'Premium Segment'!AE68)/SUM('Value Segment'!AE$82,'Mid-Market Segment'!AE$82,'Upper Mid-Market Segment'!AE$82,'Premium Segment'!AE$82)</f>
        <v>-693.6</v>
      </c>
      <c r="AF133" s="542">
        <f>SUM('Value Segment'!AF68,'Mid-Market Segment'!AF68,'Upper Mid-Market Segment'!AF68,'Premium Segment'!AF68)/SUM('Value Segment'!AF$82,'Mid-Market Segment'!AF$82,'Upper Mid-Market Segment'!AF$82,'Premium Segment'!AF$82)</f>
        <v>-693.6</v>
      </c>
      <c r="AG133" s="542">
        <f>SUM('Value Segment'!AG68,'Mid-Market Segment'!AG68,'Upper Mid-Market Segment'!AG68,'Premium Segment'!AG68)/SUM('Value Segment'!AG$82,'Mid-Market Segment'!AG$82,'Upper Mid-Market Segment'!AG$82,'Premium Segment'!AG$82)</f>
        <v>-693.6</v>
      </c>
      <c r="AH133" s="542">
        <f>SUM('Value Segment'!AH68,'Mid-Market Segment'!AH68,'Upper Mid-Market Segment'!AH68,'Premium Segment'!AH68)/SUM('Value Segment'!AH$82,'Mid-Market Segment'!AH$82,'Upper Mid-Market Segment'!AH$82,'Premium Segment'!AH$82)</f>
        <v>-693.6</v>
      </c>
      <c r="AI133" s="542">
        <f>SUM('Value Segment'!AI68,'Mid-Market Segment'!AI68,'Upper Mid-Market Segment'!AI68,'Premium Segment'!AI68)/SUM('Value Segment'!AI$82,'Mid-Market Segment'!AI$82,'Upper Mid-Market Segment'!AI$82,'Premium Segment'!AI$82)</f>
        <v>-693.6</v>
      </c>
      <c r="AJ133" s="542">
        <f>SUM('Value Segment'!AJ68,'Mid-Market Segment'!AJ68,'Upper Mid-Market Segment'!AJ68,'Premium Segment'!AJ68)/SUM('Value Segment'!AJ$82,'Mid-Market Segment'!AJ$82,'Upper Mid-Market Segment'!AJ$82,'Premium Segment'!AJ$82)</f>
        <v>-693.6</v>
      </c>
      <c r="AK133" s="542">
        <f>SUM('Value Segment'!AK68,'Mid-Market Segment'!AK68,'Upper Mid-Market Segment'!AK68,'Premium Segment'!AK68)/SUM('Value Segment'!AK$82,'Mid-Market Segment'!AK$82,'Upper Mid-Market Segment'!AK$82,'Premium Segment'!AK$82)</f>
        <v>-693.6</v>
      </c>
      <c r="AL133" s="542">
        <f>SUM('Value Segment'!AL68,'Mid-Market Segment'!AL68,'Upper Mid-Market Segment'!AL68,'Premium Segment'!AL68)/SUM('Value Segment'!AL$82,'Mid-Market Segment'!AL$82,'Upper Mid-Market Segment'!AL$82,'Premium Segment'!AL$82)</f>
        <v>-693.6</v>
      </c>
      <c r="AM133" s="542">
        <f>SUM('Value Segment'!AM68,'Mid-Market Segment'!AM68,'Upper Mid-Market Segment'!AM68,'Premium Segment'!AM68)/SUM('Value Segment'!AM$82,'Mid-Market Segment'!AM$82,'Upper Mid-Market Segment'!AM$82,'Premium Segment'!AM$82)</f>
        <v>-693.6</v>
      </c>
      <c r="AN133" s="542">
        <f>SUM('Value Segment'!AN68,'Mid-Market Segment'!AN68,'Upper Mid-Market Segment'!AN68,'Premium Segment'!AN68)/SUM('Value Segment'!AN$82,'Mid-Market Segment'!AN$82,'Upper Mid-Market Segment'!AN$82,'Premium Segment'!AN$82)</f>
        <v>-693.6</v>
      </c>
      <c r="AO133" s="542">
        <f>SUM('Value Segment'!AO68,'Mid-Market Segment'!AO68,'Upper Mid-Market Segment'!AO68,'Premium Segment'!AO68)/SUM('Value Segment'!AO$82,'Mid-Market Segment'!AO$82,'Upper Mid-Market Segment'!AO$82,'Premium Segment'!AO$82)</f>
        <v>-693.6</v>
      </c>
      <c r="AP133" s="542">
        <f>SUM('Value Segment'!AP68,'Mid-Market Segment'!AP68,'Upper Mid-Market Segment'!AP68,'Premium Segment'!AP68)/SUM('Value Segment'!AP$82,'Mid-Market Segment'!AP$82,'Upper Mid-Market Segment'!AP$82,'Premium Segment'!AP$82)</f>
        <v>-707.47200000000009</v>
      </c>
      <c r="AQ133" s="542">
        <f>SUM('Value Segment'!AQ68,'Mid-Market Segment'!AQ68,'Upper Mid-Market Segment'!AQ68,'Premium Segment'!AQ68)/SUM('Value Segment'!AQ$82,'Mid-Market Segment'!AQ$82,'Upper Mid-Market Segment'!AQ$82,'Premium Segment'!AQ$82)</f>
        <v>-707.47200000000009</v>
      </c>
      <c r="AR133" s="542">
        <f>SUM('Value Segment'!AR68,'Mid-Market Segment'!AR68,'Upper Mid-Market Segment'!AR68,'Premium Segment'!AR68)/SUM('Value Segment'!AR$82,'Mid-Market Segment'!AR$82,'Upper Mid-Market Segment'!AR$82,'Premium Segment'!AR$82)</f>
        <v>-707.47200000000009</v>
      </c>
      <c r="AS133" s="542">
        <f>SUM('Value Segment'!AS68,'Mid-Market Segment'!AS68,'Upper Mid-Market Segment'!AS68,'Premium Segment'!AS68)/SUM('Value Segment'!AS$82,'Mid-Market Segment'!AS$82,'Upper Mid-Market Segment'!AS$82,'Premium Segment'!AS$82)</f>
        <v>-707.47200000000009</v>
      </c>
      <c r="AT133" s="542">
        <f>SUM('Value Segment'!AT68,'Mid-Market Segment'!AT68,'Upper Mid-Market Segment'!AT68,'Premium Segment'!AT68)/SUM('Value Segment'!AT$82,'Mid-Market Segment'!AT$82,'Upper Mid-Market Segment'!AT$82,'Premium Segment'!AT$82)</f>
        <v>-707.47200000000009</v>
      </c>
      <c r="AU133" s="542">
        <f>SUM('Value Segment'!AU68,'Mid-Market Segment'!AU68,'Upper Mid-Market Segment'!AU68,'Premium Segment'!AU68)/SUM('Value Segment'!AU$82,'Mid-Market Segment'!AU$82,'Upper Mid-Market Segment'!AU$82,'Premium Segment'!AU$82)</f>
        <v>-707.47200000000009</v>
      </c>
      <c r="AV133" s="542">
        <f>SUM('Value Segment'!AV68,'Mid-Market Segment'!AV68,'Upper Mid-Market Segment'!AV68,'Premium Segment'!AV68)/SUM('Value Segment'!AV$82,'Mid-Market Segment'!AV$82,'Upper Mid-Market Segment'!AV$82,'Premium Segment'!AV$82)</f>
        <v>-707.47200000000009</v>
      </c>
      <c r="AW133" s="542">
        <f>SUM('Value Segment'!AW68,'Mid-Market Segment'!AW68,'Upper Mid-Market Segment'!AW68,'Premium Segment'!AW68)/SUM('Value Segment'!AW$82,'Mid-Market Segment'!AW$82,'Upper Mid-Market Segment'!AW$82,'Premium Segment'!AW$82)</f>
        <v>-707.47200000000009</v>
      </c>
      <c r="AX133" s="542">
        <f>SUM('Value Segment'!AX68,'Mid-Market Segment'!AX68,'Upper Mid-Market Segment'!AX68,'Premium Segment'!AX68)/SUM('Value Segment'!AX$82,'Mid-Market Segment'!AX$82,'Upper Mid-Market Segment'!AX$82,'Premium Segment'!AX$82)</f>
        <v>-707.47200000000009</v>
      </c>
      <c r="AY133" s="542">
        <f>SUM('Value Segment'!AY68,'Mid-Market Segment'!AY68,'Upper Mid-Market Segment'!AY68,'Premium Segment'!AY68)/SUM('Value Segment'!AY$82,'Mid-Market Segment'!AY$82,'Upper Mid-Market Segment'!AY$82,'Premium Segment'!AY$82)</f>
        <v>-707.47200000000009</v>
      </c>
      <c r="AZ133" s="542">
        <f>SUM('Value Segment'!AZ68,'Mid-Market Segment'!AZ68,'Upper Mid-Market Segment'!AZ68,'Premium Segment'!AZ68)/SUM('Value Segment'!AZ$82,'Mid-Market Segment'!AZ$82,'Upper Mid-Market Segment'!AZ$82,'Premium Segment'!AZ$82)</f>
        <v>-707.47200000000009</v>
      </c>
      <c r="BA133" s="542">
        <f>SUM('Value Segment'!BA68,'Mid-Market Segment'!BA68,'Upper Mid-Market Segment'!BA68,'Premium Segment'!BA68)/SUM('Value Segment'!BA$82,'Mid-Market Segment'!BA$82,'Upper Mid-Market Segment'!BA$82,'Premium Segment'!BA$82)</f>
        <v>-707.47200000000009</v>
      </c>
      <c r="BB133" s="542">
        <f>SUM('Value Segment'!BB68,'Mid-Market Segment'!BB68,'Upper Mid-Market Segment'!BB68,'Premium Segment'!BB68)/SUM('Value Segment'!BB$82,'Mid-Market Segment'!BB$82,'Upper Mid-Market Segment'!BB$82,'Premium Segment'!BB$82)</f>
        <v>-721.62144000000001</v>
      </c>
      <c r="BC133" s="542">
        <f>SUM('Value Segment'!BC68,'Mid-Market Segment'!BC68,'Upper Mid-Market Segment'!BC68,'Premium Segment'!BC68)/SUM('Value Segment'!BC$82,'Mid-Market Segment'!BC$82,'Upper Mid-Market Segment'!BC$82,'Premium Segment'!BC$82)</f>
        <v>-721.62144000000001</v>
      </c>
      <c r="BD133" s="542">
        <f>SUM('Value Segment'!BD68,'Mid-Market Segment'!BD68,'Upper Mid-Market Segment'!BD68,'Premium Segment'!BD68)/SUM('Value Segment'!BD$82,'Mid-Market Segment'!BD$82,'Upper Mid-Market Segment'!BD$82,'Premium Segment'!BD$82)</f>
        <v>-721.62144000000001</v>
      </c>
      <c r="BE133" s="542">
        <f>SUM('Value Segment'!BE68,'Mid-Market Segment'!BE68,'Upper Mid-Market Segment'!BE68,'Premium Segment'!BE68)/SUM('Value Segment'!BE$82,'Mid-Market Segment'!BE$82,'Upper Mid-Market Segment'!BE$82,'Premium Segment'!BE$82)</f>
        <v>-721.62144000000001</v>
      </c>
      <c r="BF133" s="542">
        <f>SUM('Value Segment'!BF68,'Mid-Market Segment'!BF68,'Upper Mid-Market Segment'!BF68,'Premium Segment'!BF68)/SUM('Value Segment'!BF$82,'Mid-Market Segment'!BF$82,'Upper Mid-Market Segment'!BF$82,'Premium Segment'!BF$82)</f>
        <v>-721.62144000000001</v>
      </c>
      <c r="BG133" s="542">
        <f>SUM('Value Segment'!BG68,'Mid-Market Segment'!BG68,'Upper Mid-Market Segment'!BG68,'Premium Segment'!BG68)/SUM('Value Segment'!BG$82,'Mid-Market Segment'!BG$82,'Upper Mid-Market Segment'!BG$82,'Premium Segment'!BG$82)</f>
        <v>-721.62144000000001</v>
      </c>
      <c r="BH133" s="542">
        <f>SUM('Value Segment'!BH68,'Mid-Market Segment'!BH68,'Upper Mid-Market Segment'!BH68,'Premium Segment'!BH68)/SUM('Value Segment'!BH$82,'Mid-Market Segment'!BH$82,'Upper Mid-Market Segment'!BH$82,'Premium Segment'!BH$82)</f>
        <v>-721.62144000000001</v>
      </c>
      <c r="BI133" s="542">
        <f>SUM('Value Segment'!BI68,'Mid-Market Segment'!BI68,'Upper Mid-Market Segment'!BI68,'Premium Segment'!BI68)/SUM('Value Segment'!BI$82,'Mid-Market Segment'!BI$82,'Upper Mid-Market Segment'!BI$82,'Premium Segment'!BI$82)</f>
        <v>-721.62144000000001</v>
      </c>
      <c r="BJ133" s="542">
        <f>SUM('Value Segment'!BJ68,'Mid-Market Segment'!BJ68,'Upper Mid-Market Segment'!BJ68,'Premium Segment'!BJ68)/SUM('Value Segment'!BJ$82,'Mid-Market Segment'!BJ$82,'Upper Mid-Market Segment'!BJ$82,'Premium Segment'!BJ$82)</f>
        <v>-721.62144000000001</v>
      </c>
      <c r="BK133" s="542">
        <f>SUM('Value Segment'!BK68,'Mid-Market Segment'!BK68,'Upper Mid-Market Segment'!BK68,'Premium Segment'!BK68)/SUM('Value Segment'!BK$82,'Mid-Market Segment'!BK$82,'Upper Mid-Market Segment'!BK$82,'Premium Segment'!BK$82)</f>
        <v>-721.62144000000001</v>
      </c>
      <c r="BL133" s="542">
        <f>SUM('Value Segment'!BL68,'Mid-Market Segment'!BL68,'Upper Mid-Market Segment'!BL68,'Premium Segment'!BL68)/SUM('Value Segment'!BL$82,'Mid-Market Segment'!BL$82,'Upper Mid-Market Segment'!BL$82,'Premium Segment'!BL$82)</f>
        <v>-721.62144000000001</v>
      </c>
      <c r="BM133" s="542">
        <f>SUM('Value Segment'!BM68,'Mid-Market Segment'!BM68,'Upper Mid-Market Segment'!BM68,'Premium Segment'!BM68)/SUM('Value Segment'!BM$82,'Mid-Market Segment'!BM$82,'Upper Mid-Market Segment'!BM$82,'Premium Segment'!BM$82)</f>
        <v>-721.62144000000001</v>
      </c>
      <c r="BN133" s="542">
        <f>SUM('Value Segment'!BN68,'Mid-Market Segment'!BN68,'Upper Mid-Market Segment'!BN68,'Premium Segment'!BN68)/SUM('Value Segment'!BN$82,'Mid-Market Segment'!BN$82,'Upper Mid-Market Segment'!BN$82,'Premium Segment'!BN$82)</f>
        <v>-736.05386880000003</v>
      </c>
      <c r="BO133" s="542">
        <f>SUM('Value Segment'!BO68,'Mid-Market Segment'!BO68,'Upper Mid-Market Segment'!BO68,'Premium Segment'!BO68)/SUM('Value Segment'!BO$82,'Mid-Market Segment'!BO$82,'Upper Mid-Market Segment'!BO$82,'Premium Segment'!BO$82)</f>
        <v>-736.05386880000003</v>
      </c>
      <c r="BP133" s="542">
        <f>SUM('Value Segment'!BP68,'Mid-Market Segment'!BP68,'Upper Mid-Market Segment'!BP68,'Premium Segment'!BP68)/SUM('Value Segment'!BP$82,'Mid-Market Segment'!BP$82,'Upper Mid-Market Segment'!BP$82,'Premium Segment'!BP$82)</f>
        <v>-736.05386880000003</v>
      </c>
      <c r="BQ133" s="542">
        <f>SUM('Value Segment'!BQ68,'Mid-Market Segment'!BQ68,'Upper Mid-Market Segment'!BQ68,'Premium Segment'!BQ68)/SUM('Value Segment'!BQ$82,'Mid-Market Segment'!BQ$82,'Upper Mid-Market Segment'!BQ$82,'Premium Segment'!BQ$82)</f>
        <v>-736.05386880000003</v>
      </c>
      <c r="BR133" s="542">
        <f>SUM('Value Segment'!BR68,'Mid-Market Segment'!BR68,'Upper Mid-Market Segment'!BR68,'Premium Segment'!BR68)/SUM('Value Segment'!BR$82,'Mid-Market Segment'!BR$82,'Upper Mid-Market Segment'!BR$82,'Premium Segment'!BR$82)</f>
        <v>-736.05386880000003</v>
      </c>
      <c r="BS133" s="542">
        <f>SUM('Value Segment'!BS68,'Mid-Market Segment'!BS68,'Upper Mid-Market Segment'!BS68,'Premium Segment'!BS68)/SUM('Value Segment'!BS$82,'Mid-Market Segment'!BS$82,'Upper Mid-Market Segment'!BS$82,'Premium Segment'!BS$82)</f>
        <v>-736.05386880000003</v>
      </c>
      <c r="BT133" s="542">
        <f>SUM('Value Segment'!BT68,'Mid-Market Segment'!BT68,'Upper Mid-Market Segment'!BT68,'Premium Segment'!BT68)/SUM('Value Segment'!BT$82,'Mid-Market Segment'!BT$82,'Upper Mid-Market Segment'!BT$82,'Premium Segment'!BT$82)</f>
        <v>-736.05386880000003</v>
      </c>
      <c r="BU133" s="542">
        <f>SUM('Value Segment'!BU68,'Mid-Market Segment'!BU68,'Upper Mid-Market Segment'!BU68,'Premium Segment'!BU68)/SUM('Value Segment'!BU$82,'Mid-Market Segment'!BU$82,'Upper Mid-Market Segment'!BU$82,'Premium Segment'!BU$82)</f>
        <v>-736.05386880000003</v>
      </c>
      <c r="BV133" s="542">
        <f>SUM('Value Segment'!BV68,'Mid-Market Segment'!BV68,'Upper Mid-Market Segment'!BV68,'Premium Segment'!BV68)/SUM('Value Segment'!BV$82,'Mid-Market Segment'!BV$82,'Upper Mid-Market Segment'!BV$82,'Premium Segment'!BV$82)</f>
        <v>-736.05386880000003</v>
      </c>
      <c r="BW133" s="542">
        <f>SUM('Value Segment'!BW68,'Mid-Market Segment'!BW68,'Upper Mid-Market Segment'!BW68,'Premium Segment'!BW68)/SUM('Value Segment'!BW$82,'Mid-Market Segment'!BW$82,'Upper Mid-Market Segment'!BW$82,'Premium Segment'!BW$82)</f>
        <v>-736.05386880000003</v>
      </c>
      <c r="BX133" s="542">
        <f>SUM('Value Segment'!BX68,'Mid-Market Segment'!BX68,'Upper Mid-Market Segment'!BX68,'Premium Segment'!BX68)/SUM('Value Segment'!BX$82,'Mid-Market Segment'!BX$82,'Upper Mid-Market Segment'!BX$82,'Premium Segment'!BX$82)</f>
        <v>-736.05386880000003</v>
      </c>
      <c r="BY133" s="542">
        <f>SUM('Value Segment'!BY68,'Mid-Market Segment'!BY68,'Upper Mid-Market Segment'!BY68,'Premium Segment'!BY68)/SUM('Value Segment'!BY$82,'Mid-Market Segment'!BY$82,'Upper Mid-Market Segment'!BY$82,'Premium Segment'!BY$82)</f>
        <v>-736.05386880000003</v>
      </c>
    </row>
    <row r="134" spans="3:80" x14ac:dyDescent="0.3">
      <c r="C134" s="2"/>
      <c r="D134" s="2"/>
      <c r="E134" s="2" t="s">
        <v>69</v>
      </c>
      <c r="F134" s="54"/>
      <c r="G134" s="54"/>
      <c r="H134" s="54"/>
      <c r="I134" s="19">
        <f>SUM('Value Segment'!I69,'Mid-Market Segment'!I69,'Upper Mid-Market Segment'!I69,'Premium Segment'!I69)/SUM('Value Segment'!I$82,'Mid-Market Segment'!I$82,'Upper Mid-Market Segment'!I$82,'Premium Segment'!I$82)</f>
        <v>-1451.4232568723869</v>
      </c>
      <c r="J134" s="19">
        <f>SUM('Value Segment'!J69,'Mid-Market Segment'!J69,'Upper Mid-Market Segment'!J69,'Premium Segment'!J69)/SUM('Value Segment'!J$82,'Mid-Market Segment'!J$82,'Upper Mid-Market Segment'!J$82,'Premium Segment'!J$82)</f>
        <v>-1530.2494557524722</v>
      </c>
      <c r="K134" s="19">
        <f>SUM('Value Segment'!K69,'Mid-Market Segment'!K69,'Upper Mid-Market Segment'!K69,'Premium Segment'!K69)/SUM('Value Segment'!K$82,'Mid-Market Segment'!K$82,'Upper Mid-Market Segment'!K$82,'Premium Segment'!K$82)</f>
        <v>-1624.6192438176754</v>
      </c>
      <c r="L134" s="19">
        <f>SUM('Value Segment'!L69,'Mid-Market Segment'!L69,'Upper Mid-Market Segment'!L69,'Premium Segment'!L69)/SUM('Value Segment'!L$82,'Mid-Market Segment'!L$82,'Upper Mid-Market Segment'!L$82,'Premium Segment'!L$82)</f>
        <v>-1721.3994983139255</v>
      </c>
      <c r="M134" s="19">
        <f>SUM('Value Segment'!M69,'Mid-Market Segment'!M69,'Upper Mid-Market Segment'!M69,'Premium Segment'!M69)/SUM('Value Segment'!M$82,'Mid-Market Segment'!M$82,'Upper Mid-Market Segment'!M$82,'Premium Segment'!M$82)</f>
        <v>-1820.246763387559</v>
      </c>
      <c r="N134" s="19">
        <f>SUM('Value Segment'!N69,'Mid-Market Segment'!N69,'Upper Mid-Market Segment'!N69,'Premium Segment'!N69)/SUM('Value Segment'!N$82,'Mid-Market Segment'!N$82,'Upper Mid-Market Segment'!N$82,'Premium Segment'!N$82)</f>
        <v>-1923.9757255070688</v>
      </c>
      <c r="O134" s="37"/>
      <c r="P134" s="50">
        <f>IFERROR(((N134/I134)^(1/5))-1,0)</f>
        <v>5.7988877689240104E-2</v>
      </c>
      <c r="R134" s="19">
        <f>SUM('Value Segment'!R69,'Mid-Market Segment'!R69,'Upper Mid-Market Segment'!R69,'Premium Segment'!R69)/SUM('Value Segment'!R$82,'Mid-Market Segment'!R$82,'Upper Mid-Market Segment'!R$82,'Premium Segment'!R$82)</f>
        <v>-125.97103584838459</v>
      </c>
      <c r="S134" s="542">
        <f>SUM('Value Segment'!S69,'Mid-Market Segment'!S69,'Upper Mid-Market Segment'!S69,'Premium Segment'!S69)/SUM('Value Segment'!S$82,'Mid-Market Segment'!S$82,'Upper Mid-Market Segment'!S$82,'Premium Segment'!S$82)</f>
        <v>-125.97103584838459</v>
      </c>
      <c r="T134" s="542">
        <f>SUM('Value Segment'!T69,'Mid-Market Segment'!T69,'Upper Mid-Market Segment'!T69,'Premium Segment'!T69)/SUM('Value Segment'!T$82,'Mid-Market Segment'!T$82,'Upper Mid-Market Segment'!T$82,'Premium Segment'!T$82)</f>
        <v>-125.97103584838459</v>
      </c>
      <c r="U134" s="542">
        <f>SUM('Value Segment'!U69,'Mid-Market Segment'!U69,'Upper Mid-Market Segment'!U69,'Premium Segment'!U69)/SUM('Value Segment'!U$82,'Mid-Market Segment'!U$82,'Upper Mid-Market Segment'!U$82,'Premium Segment'!U$82)</f>
        <v>-125.97103584838459</v>
      </c>
      <c r="V134" s="542">
        <f>SUM('Value Segment'!V69,'Mid-Market Segment'!V69,'Upper Mid-Market Segment'!V69,'Premium Segment'!V69)/SUM('Value Segment'!V$82,'Mid-Market Segment'!V$82,'Upper Mid-Market Segment'!V$82,'Premium Segment'!V$82)</f>
        <v>-125.97103584838459</v>
      </c>
      <c r="W134" s="542">
        <f>SUM('Value Segment'!W69,'Mid-Market Segment'!W69,'Upper Mid-Market Segment'!W69,'Premium Segment'!W69)/SUM('Value Segment'!W$82,'Mid-Market Segment'!W$82,'Upper Mid-Market Segment'!W$82,'Premium Segment'!W$82)</f>
        <v>-125.97103584838459</v>
      </c>
      <c r="X134" s="542">
        <f>SUM('Value Segment'!X69,'Mid-Market Segment'!X69,'Upper Mid-Market Segment'!X69,'Premium Segment'!X69)/SUM('Value Segment'!X$82,'Mid-Market Segment'!X$82,'Upper Mid-Market Segment'!X$82,'Premium Segment'!X$82)</f>
        <v>-129.07054011036084</v>
      </c>
      <c r="Y134" s="542">
        <f>SUM('Value Segment'!Y69,'Mid-Market Segment'!Y69,'Upper Mid-Market Segment'!Y69,'Premium Segment'!Y69)/SUM('Value Segment'!Y$82,'Mid-Market Segment'!Y$82,'Upper Mid-Market Segment'!Y$82,'Premium Segment'!Y$82)</f>
        <v>-129.07054011036084</v>
      </c>
      <c r="Z134" s="542">
        <f>SUM('Value Segment'!Z69,'Mid-Market Segment'!Z69,'Upper Mid-Market Segment'!Z69,'Premium Segment'!Z69)/SUM('Value Segment'!Z$82,'Mid-Market Segment'!Z$82,'Upper Mid-Market Segment'!Z$82,'Premium Segment'!Z$82)</f>
        <v>-129.07054011036084</v>
      </c>
      <c r="AA134" s="542">
        <f>SUM('Value Segment'!AA69,'Mid-Market Segment'!AA69,'Upper Mid-Market Segment'!AA69,'Premium Segment'!AA69)/SUM('Value Segment'!AA$82,'Mid-Market Segment'!AA$82,'Upper Mid-Market Segment'!AA$82,'Premium Segment'!AA$82)</f>
        <v>-129.07054011036084</v>
      </c>
      <c r="AB134" s="542">
        <f>SUM('Value Segment'!AB69,'Mid-Market Segment'!AB69,'Upper Mid-Market Segment'!AB69,'Premium Segment'!AB69)/SUM('Value Segment'!AB$82,'Mid-Market Segment'!AB$82,'Upper Mid-Market Segment'!AB$82,'Premium Segment'!AB$82)</f>
        <v>-129.07054011036084</v>
      </c>
      <c r="AC134" s="542">
        <f>SUM('Value Segment'!AC69,'Mid-Market Segment'!AC69,'Upper Mid-Market Segment'!AC69,'Premium Segment'!AC69)/SUM('Value Segment'!AC$82,'Mid-Market Segment'!AC$82,'Upper Mid-Market Segment'!AC$82,'Premium Segment'!AC$82)</f>
        <v>-129.07054011036084</v>
      </c>
      <c r="AD134" s="542">
        <f>SUM('Value Segment'!AD69,'Mid-Market Segment'!AD69,'Upper Mid-Market Segment'!AD69,'Premium Segment'!AD69)/SUM('Value Segment'!AD$82,'Mid-Market Segment'!AD$82,'Upper Mid-Market Segment'!AD$82,'Premium Segment'!AD$82)</f>
        <v>-133.39195549991894</v>
      </c>
      <c r="AE134" s="542">
        <f>SUM('Value Segment'!AE69,'Mid-Market Segment'!AE69,'Upper Mid-Market Segment'!AE69,'Premium Segment'!AE69)/SUM('Value Segment'!AE$82,'Mid-Market Segment'!AE$82,'Upper Mid-Market Segment'!AE$82,'Premium Segment'!AE$82)</f>
        <v>-133.39195549991894</v>
      </c>
      <c r="AF134" s="542">
        <f>SUM('Value Segment'!AF69,'Mid-Market Segment'!AF69,'Upper Mid-Market Segment'!AF69,'Premium Segment'!AF69)/SUM('Value Segment'!AF$82,'Mid-Market Segment'!AF$82,'Upper Mid-Market Segment'!AF$82,'Premium Segment'!AF$82)</f>
        <v>-133.39195549991894</v>
      </c>
      <c r="AG134" s="542">
        <f>SUM('Value Segment'!AG69,'Mid-Market Segment'!AG69,'Upper Mid-Market Segment'!AG69,'Premium Segment'!AG69)/SUM('Value Segment'!AG$82,'Mid-Market Segment'!AG$82,'Upper Mid-Market Segment'!AG$82,'Premium Segment'!AG$82)</f>
        <v>-133.39195549991894</v>
      </c>
      <c r="AH134" s="542">
        <f>SUM('Value Segment'!AH69,'Mid-Market Segment'!AH69,'Upper Mid-Market Segment'!AH69,'Premium Segment'!AH69)/SUM('Value Segment'!AH$82,'Mid-Market Segment'!AH$82,'Upper Mid-Market Segment'!AH$82,'Premium Segment'!AH$82)</f>
        <v>-133.39195549991894</v>
      </c>
      <c r="AI134" s="542">
        <f>SUM('Value Segment'!AI69,'Mid-Market Segment'!AI69,'Upper Mid-Market Segment'!AI69,'Premium Segment'!AI69)/SUM('Value Segment'!AI$82,'Mid-Market Segment'!AI$82,'Upper Mid-Market Segment'!AI$82,'Premium Segment'!AI$82)</f>
        <v>-133.39195549991894</v>
      </c>
      <c r="AJ134" s="542">
        <f>SUM('Value Segment'!AJ69,'Mid-Market Segment'!AJ69,'Upper Mid-Market Segment'!AJ69,'Premium Segment'!AJ69)/SUM('Value Segment'!AJ$82,'Mid-Market Segment'!AJ$82,'Upper Mid-Market Segment'!AJ$82,'Premium Segment'!AJ$82)</f>
        <v>-137.3779184696937</v>
      </c>
      <c r="AK134" s="542">
        <f>SUM('Value Segment'!AK69,'Mid-Market Segment'!AK69,'Upper Mid-Market Segment'!AK69,'Premium Segment'!AK69)/SUM('Value Segment'!AK$82,'Mid-Market Segment'!AK$82,'Upper Mid-Market Segment'!AK$82,'Premium Segment'!AK$82)</f>
        <v>-137.3779184696937</v>
      </c>
      <c r="AL134" s="542">
        <f>SUM('Value Segment'!AL69,'Mid-Market Segment'!AL69,'Upper Mid-Market Segment'!AL69,'Premium Segment'!AL69)/SUM('Value Segment'!AL$82,'Mid-Market Segment'!AL$82,'Upper Mid-Market Segment'!AL$82,'Premium Segment'!AL$82)</f>
        <v>-137.3779184696937</v>
      </c>
      <c r="AM134" s="542">
        <f>SUM('Value Segment'!AM69,'Mid-Market Segment'!AM69,'Upper Mid-Market Segment'!AM69,'Premium Segment'!AM69)/SUM('Value Segment'!AM$82,'Mid-Market Segment'!AM$82,'Upper Mid-Market Segment'!AM$82,'Premium Segment'!AM$82)</f>
        <v>-137.3779184696937</v>
      </c>
      <c r="AN134" s="542">
        <f>SUM('Value Segment'!AN69,'Mid-Market Segment'!AN69,'Upper Mid-Market Segment'!AN69,'Premium Segment'!AN69)/SUM('Value Segment'!AN$82,'Mid-Market Segment'!AN$82,'Upper Mid-Market Segment'!AN$82,'Premium Segment'!AN$82)</f>
        <v>-137.3779184696937</v>
      </c>
      <c r="AO134" s="542">
        <f>SUM('Value Segment'!AO69,'Mid-Market Segment'!AO69,'Upper Mid-Market Segment'!AO69,'Premium Segment'!AO69)/SUM('Value Segment'!AO$82,'Mid-Market Segment'!AO$82,'Upper Mid-Market Segment'!AO$82,'Premium Segment'!AO$82)</f>
        <v>-137.3779184696937</v>
      </c>
      <c r="AP134" s="542">
        <f>SUM('Value Segment'!AP69,'Mid-Market Segment'!AP69,'Upper Mid-Market Segment'!AP69,'Premium Segment'!AP69)/SUM('Value Segment'!AP$82,'Mid-Market Segment'!AP$82,'Upper Mid-Market Segment'!AP$82,'Premium Segment'!AP$82)</f>
        <v>-140.98398579278282</v>
      </c>
      <c r="AQ134" s="542">
        <f>SUM('Value Segment'!AQ69,'Mid-Market Segment'!AQ69,'Upper Mid-Market Segment'!AQ69,'Premium Segment'!AQ69)/SUM('Value Segment'!AQ$82,'Mid-Market Segment'!AQ$82,'Upper Mid-Market Segment'!AQ$82,'Premium Segment'!AQ$82)</f>
        <v>-140.98398579278282</v>
      </c>
      <c r="AR134" s="542">
        <f>SUM('Value Segment'!AR69,'Mid-Market Segment'!AR69,'Upper Mid-Market Segment'!AR69,'Premium Segment'!AR69)/SUM('Value Segment'!AR$82,'Mid-Market Segment'!AR$82,'Upper Mid-Market Segment'!AR$82,'Premium Segment'!AR$82)</f>
        <v>-140.98398579278282</v>
      </c>
      <c r="AS134" s="542">
        <f>SUM('Value Segment'!AS69,'Mid-Market Segment'!AS69,'Upper Mid-Market Segment'!AS69,'Premium Segment'!AS69)/SUM('Value Segment'!AS$82,'Mid-Market Segment'!AS$82,'Upper Mid-Market Segment'!AS$82,'Premium Segment'!AS$82)</f>
        <v>-140.98398579278282</v>
      </c>
      <c r="AT134" s="542">
        <f>SUM('Value Segment'!AT69,'Mid-Market Segment'!AT69,'Upper Mid-Market Segment'!AT69,'Premium Segment'!AT69)/SUM('Value Segment'!AT$82,'Mid-Market Segment'!AT$82,'Upper Mid-Market Segment'!AT$82,'Premium Segment'!AT$82)</f>
        <v>-140.98398579278282</v>
      </c>
      <c r="AU134" s="542">
        <f>SUM('Value Segment'!AU69,'Mid-Market Segment'!AU69,'Upper Mid-Market Segment'!AU69,'Premium Segment'!AU69)/SUM('Value Segment'!AU$82,'Mid-Market Segment'!AU$82,'Upper Mid-Market Segment'!AU$82,'Premium Segment'!AU$82)</f>
        <v>-140.98398579278282</v>
      </c>
      <c r="AV134" s="542">
        <f>SUM('Value Segment'!AV69,'Mid-Market Segment'!AV69,'Upper Mid-Market Segment'!AV69,'Premium Segment'!AV69)/SUM('Value Segment'!AV$82,'Mid-Market Segment'!AV$82,'Upper Mid-Market Segment'!AV$82,'Premium Segment'!AV$82)</f>
        <v>-145.91593059287143</v>
      </c>
      <c r="AW134" s="542">
        <f>SUM('Value Segment'!AW69,'Mid-Market Segment'!AW69,'Upper Mid-Market Segment'!AW69,'Premium Segment'!AW69)/SUM('Value Segment'!AW$82,'Mid-Market Segment'!AW$82,'Upper Mid-Market Segment'!AW$82,'Premium Segment'!AW$82)</f>
        <v>-145.91593059287143</v>
      </c>
      <c r="AX134" s="542">
        <f>SUM('Value Segment'!AX69,'Mid-Market Segment'!AX69,'Upper Mid-Market Segment'!AX69,'Premium Segment'!AX69)/SUM('Value Segment'!AX$82,'Mid-Market Segment'!AX$82,'Upper Mid-Market Segment'!AX$82,'Premium Segment'!AX$82)</f>
        <v>-145.91593059287143</v>
      </c>
      <c r="AY134" s="542">
        <f>SUM('Value Segment'!AY69,'Mid-Market Segment'!AY69,'Upper Mid-Market Segment'!AY69,'Premium Segment'!AY69)/SUM('Value Segment'!AY$82,'Mid-Market Segment'!AY$82,'Upper Mid-Market Segment'!AY$82,'Premium Segment'!AY$82)</f>
        <v>-145.91593059287143</v>
      </c>
      <c r="AZ134" s="542">
        <f>SUM('Value Segment'!AZ69,'Mid-Market Segment'!AZ69,'Upper Mid-Market Segment'!AZ69,'Premium Segment'!AZ69)/SUM('Value Segment'!AZ$82,'Mid-Market Segment'!AZ$82,'Upper Mid-Market Segment'!AZ$82,'Premium Segment'!AZ$82)</f>
        <v>-145.91593059287143</v>
      </c>
      <c r="BA134" s="542">
        <f>SUM('Value Segment'!BA69,'Mid-Market Segment'!BA69,'Upper Mid-Market Segment'!BA69,'Premium Segment'!BA69)/SUM('Value Segment'!BA$82,'Mid-Market Segment'!BA$82,'Upper Mid-Market Segment'!BA$82,'Premium Segment'!BA$82)</f>
        <v>-145.91593059287143</v>
      </c>
      <c r="BB134" s="542">
        <f>SUM('Value Segment'!BB69,'Mid-Market Segment'!BB69,'Upper Mid-Market Segment'!BB69,'Premium Segment'!BB69)/SUM('Value Segment'!BB$82,'Mid-Market Segment'!BB$82,'Upper Mid-Market Segment'!BB$82,'Premium Segment'!BB$82)</f>
        <v>-148.71788240412729</v>
      </c>
      <c r="BC134" s="542">
        <f>SUM('Value Segment'!BC69,'Mid-Market Segment'!BC69,'Upper Mid-Market Segment'!BC69,'Premium Segment'!BC69)/SUM('Value Segment'!BC$82,'Mid-Market Segment'!BC$82,'Upper Mid-Market Segment'!BC$82,'Premium Segment'!BC$82)</f>
        <v>-148.71788240412729</v>
      </c>
      <c r="BD134" s="542">
        <f>SUM('Value Segment'!BD69,'Mid-Market Segment'!BD69,'Upper Mid-Market Segment'!BD69,'Premium Segment'!BD69)/SUM('Value Segment'!BD$82,'Mid-Market Segment'!BD$82,'Upper Mid-Market Segment'!BD$82,'Premium Segment'!BD$82)</f>
        <v>-148.71788240412729</v>
      </c>
      <c r="BE134" s="542">
        <f>SUM('Value Segment'!BE69,'Mid-Market Segment'!BE69,'Upper Mid-Market Segment'!BE69,'Premium Segment'!BE69)/SUM('Value Segment'!BE$82,'Mid-Market Segment'!BE$82,'Upper Mid-Market Segment'!BE$82,'Premium Segment'!BE$82)</f>
        <v>-148.71788240412729</v>
      </c>
      <c r="BF134" s="542">
        <f>SUM('Value Segment'!BF69,'Mid-Market Segment'!BF69,'Upper Mid-Market Segment'!BF69,'Premium Segment'!BF69)/SUM('Value Segment'!BF$82,'Mid-Market Segment'!BF$82,'Upper Mid-Market Segment'!BF$82,'Premium Segment'!BF$82)</f>
        <v>-148.71788240412729</v>
      </c>
      <c r="BG134" s="542">
        <f>SUM('Value Segment'!BG69,'Mid-Market Segment'!BG69,'Upper Mid-Market Segment'!BG69,'Premium Segment'!BG69)/SUM('Value Segment'!BG$82,'Mid-Market Segment'!BG$82,'Upper Mid-Market Segment'!BG$82,'Premium Segment'!BG$82)</f>
        <v>-148.71788240412729</v>
      </c>
      <c r="BH134" s="542">
        <f>SUM('Value Segment'!BH69,'Mid-Market Segment'!BH69,'Upper Mid-Market Segment'!BH69,'Premium Segment'!BH69)/SUM('Value Segment'!BH$82,'Mid-Market Segment'!BH$82,'Upper Mid-Market Segment'!BH$82,'Premium Segment'!BH$82)</f>
        <v>-154.65657816046587</v>
      </c>
      <c r="BI134" s="542">
        <f>SUM('Value Segment'!BI69,'Mid-Market Segment'!BI69,'Upper Mid-Market Segment'!BI69,'Premium Segment'!BI69)/SUM('Value Segment'!BI$82,'Mid-Market Segment'!BI$82,'Upper Mid-Market Segment'!BI$82,'Premium Segment'!BI$82)</f>
        <v>-154.65657816046587</v>
      </c>
      <c r="BJ134" s="542">
        <f>SUM('Value Segment'!BJ69,'Mid-Market Segment'!BJ69,'Upper Mid-Market Segment'!BJ69,'Premium Segment'!BJ69)/SUM('Value Segment'!BJ$82,'Mid-Market Segment'!BJ$82,'Upper Mid-Market Segment'!BJ$82,'Premium Segment'!BJ$82)</f>
        <v>-154.65657816046587</v>
      </c>
      <c r="BK134" s="542">
        <f>SUM('Value Segment'!BK69,'Mid-Market Segment'!BK69,'Upper Mid-Market Segment'!BK69,'Premium Segment'!BK69)/SUM('Value Segment'!BK$82,'Mid-Market Segment'!BK$82,'Upper Mid-Market Segment'!BK$82,'Premium Segment'!BK$82)</f>
        <v>-154.65657816046587</v>
      </c>
      <c r="BL134" s="542">
        <f>SUM('Value Segment'!BL69,'Mid-Market Segment'!BL69,'Upper Mid-Market Segment'!BL69,'Premium Segment'!BL69)/SUM('Value Segment'!BL$82,'Mid-Market Segment'!BL$82,'Upper Mid-Market Segment'!BL$82,'Premium Segment'!BL$82)</f>
        <v>-154.65657816046587</v>
      </c>
      <c r="BM134" s="542">
        <f>SUM('Value Segment'!BM69,'Mid-Market Segment'!BM69,'Upper Mid-Market Segment'!BM69,'Premium Segment'!BM69)/SUM('Value Segment'!BM$82,'Mid-Market Segment'!BM$82,'Upper Mid-Market Segment'!BM$82,'Premium Segment'!BM$82)</f>
        <v>-154.65657816046587</v>
      </c>
      <c r="BN134" s="542">
        <f>SUM('Value Segment'!BN69,'Mid-Market Segment'!BN69,'Upper Mid-Market Segment'!BN69,'Premium Segment'!BN69)/SUM('Value Segment'!BN$82,'Mid-Market Segment'!BN$82,'Upper Mid-Market Segment'!BN$82,'Premium Segment'!BN$82)</f>
        <v>-156.82672106509696</v>
      </c>
      <c r="BO134" s="542">
        <f>SUM('Value Segment'!BO69,'Mid-Market Segment'!BO69,'Upper Mid-Market Segment'!BO69,'Premium Segment'!BO69)/SUM('Value Segment'!BO$82,'Mid-Market Segment'!BO$82,'Upper Mid-Market Segment'!BO$82,'Premium Segment'!BO$82)</f>
        <v>-156.82672106509696</v>
      </c>
      <c r="BP134" s="542">
        <f>SUM('Value Segment'!BP69,'Mid-Market Segment'!BP69,'Upper Mid-Market Segment'!BP69,'Premium Segment'!BP69)/SUM('Value Segment'!BP$82,'Mid-Market Segment'!BP$82,'Upper Mid-Market Segment'!BP$82,'Premium Segment'!BP$82)</f>
        <v>-156.82672106509696</v>
      </c>
      <c r="BQ134" s="542">
        <f>SUM('Value Segment'!BQ69,'Mid-Market Segment'!BQ69,'Upper Mid-Market Segment'!BQ69,'Premium Segment'!BQ69)/SUM('Value Segment'!BQ$82,'Mid-Market Segment'!BQ$82,'Upper Mid-Market Segment'!BQ$82,'Premium Segment'!BQ$82)</f>
        <v>-156.82672106509696</v>
      </c>
      <c r="BR134" s="542">
        <f>SUM('Value Segment'!BR69,'Mid-Market Segment'!BR69,'Upper Mid-Market Segment'!BR69,'Premium Segment'!BR69)/SUM('Value Segment'!BR$82,'Mid-Market Segment'!BR$82,'Upper Mid-Market Segment'!BR$82,'Premium Segment'!BR$82)</f>
        <v>-156.82672106509696</v>
      </c>
      <c r="BS134" s="542">
        <f>SUM('Value Segment'!BS69,'Mid-Market Segment'!BS69,'Upper Mid-Market Segment'!BS69,'Premium Segment'!BS69)/SUM('Value Segment'!BS$82,'Mid-Market Segment'!BS$82,'Upper Mid-Market Segment'!BS$82,'Premium Segment'!BS$82)</f>
        <v>-156.82672106509696</v>
      </c>
      <c r="BT134" s="542">
        <f>SUM('Value Segment'!BT69,'Mid-Market Segment'!BT69,'Upper Mid-Market Segment'!BT69,'Premium Segment'!BT69)/SUM('Value Segment'!BT$82,'Mid-Market Segment'!BT$82,'Upper Mid-Market Segment'!BT$82,'Premium Segment'!BT$82)</f>
        <v>-163.83589985274787</v>
      </c>
      <c r="BU134" s="542">
        <f>SUM('Value Segment'!BU69,'Mid-Market Segment'!BU69,'Upper Mid-Market Segment'!BU69,'Premium Segment'!BU69)/SUM('Value Segment'!BU$82,'Mid-Market Segment'!BU$82,'Upper Mid-Market Segment'!BU$82,'Premium Segment'!BU$82)</f>
        <v>-163.83589985274787</v>
      </c>
      <c r="BV134" s="542">
        <f>SUM('Value Segment'!BV69,'Mid-Market Segment'!BV69,'Upper Mid-Market Segment'!BV69,'Premium Segment'!BV69)/SUM('Value Segment'!BV$82,'Mid-Market Segment'!BV$82,'Upper Mid-Market Segment'!BV$82,'Premium Segment'!BV$82)</f>
        <v>-163.83589985274787</v>
      </c>
      <c r="BW134" s="542">
        <f>SUM('Value Segment'!BW69,'Mid-Market Segment'!BW69,'Upper Mid-Market Segment'!BW69,'Premium Segment'!BW69)/SUM('Value Segment'!BW$82,'Mid-Market Segment'!BW$82,'Upper Mid-Market Segment'!BW$82,'Premium Segment'!BW$82)</f>
        <v>-163.83589985274787</v>
      </c>
      <c r="BX134" s="542">
        <f>SUM('Value Segment'!BX69,'Mid-Market Segment'!BX69,'Upper Mid-Market Segment'!BX69,'Premium Segment'!BX69)/SUM('Value Segment'!BX$82,'Mid-Market Segment'!BX$82,'Upper Mid-Market Segment'!BX$82,'Premium Segment'!BX$82)</f>
        <v>-163.83589985274787</v>
      </c>
      <c r="BY134" s="542">
        <f>SUM('Value Segment'!BY69,'Mid-Market Segment'!BY69,'Upper Mid-Market Segment'!BY69,'Premium Segment'!BY69)/SUM('Value Segment'!BY$82,'Mid-Market Segment'!BY$82,'Upper Mid-Market Segment'!BY$82,'Premium Segment'!BY$82)</f>
        <v>-163.83589985274787</v>
      </c>
    </row>
    <row r="135" spans="3:80" x14ac:dyDescent="0.3">
      <c r="C135" s="2"/>
      <c r="D135" s="2"/>
      <c r="E135" s="2" t="s">
        <v>184</v>
      </c>
      <c r="F135" s="54"/>
      <c r="G135" s="54"/>
      <c r="H135" s="54"/>
      <c r="I135" s="19">
        <f>SUM('Value Segment'!I70,'Mid-Market Segment'!I70,'Upper Mid-Market Segment'!I70,'Premium Segment'!I70)/SUM('Value Segment'!I$82,'Mid-Market Segment'!I$82,'Upper Mid-Market Segment'!I$82,'Premium Segment'!I$82)</f>
        <v>0</v>
      </c>
      <c r="J135" s="19">
        <f>SUM('Value Segment'!J70,'Mid-Market Segment'!J70,'Upper Mid-Market Segment'!J70,'Premium Segment'!J70)/SUM('Value Segment'!J$82,'Mid-Market Segment'!J$82,'Upper Mid-Market Segment'!J$82,'Premium Segment'!J$82)</f>
        <v>0</v>
      </c>
      <c r="K135" s="19">
        <f>SUM('Value Segment'!K70,'Mid-Market Segment'!K70,'Upper Mid-Market Segment'!K70,'Premium Segment'!K70)/SUM('Value Segment'!K$82,'Mid-Market Segment'!K$82,'Upper Mid-Market Segment'!K$82,'Premium Segment'!K$82)</f>
        <v>0</v>
      </c>
      <c r="L135" s="19">
        <f>SUM('Value Segment'!L70,'Mid-Market Segment'!L70,'Upper Mid-Market Segment'!L70,'Premium Segment'!L70)/SUM('Value Segment'!L$82,'Mid-Market Segment'!L$82,'Upper Mid-Market Segment'!L$82,'Premium Segment'!L$82)</f>
        <v>0</v>
      </c>
      <c r="M135" s="19">
        <f>SUM('Value Segment'!M70,'Mid-Market Segment'!M70,'Upper Mid-Market Segment'!M70,'Premium Segment'!M70)/SUM('Value Segment'!M$82,'Mid-Market Segment'!M$82,'Upper Mid-Market Segment'!M$82,'Premium Segment'!M$82)</f>
        <v>0</v>
      </c>
      <c r="N135" s="19">
        <f>SUM('Value Segment'!N70,'Mid-Market Segment'!N70,'Upper Mid-Market Segment'!N70,'Premium Segment'!N70)/SUM('Value Segment'!N$82,'Mid-Market Segment'!N$82,'Upper Mid-Market Segment'!N$82,'Premium Segment'!N$82)</f>
        <v>0</v>
      </c>
      <c r="O135" s="37"/>
      <c r="P135" s="50">
        <f>IFERROR(((N135/I135)^(1/5))-1,0)</f>
        <v>0</v>
      </c>
      <c r="R135" s="19">
        <f>SUM('Value Segment'!R70,'Mid-Market Segment'!R70,'Upper Mid-Market Segment'!R70,'Premium Segment'!R70)/SUM('Value Segment'!R$82,'Mid-Market Segment'!R$82,'Upper Mid-Market Segment'!R$82,'Premium Segment'!R$82)</f>
        <v>0</v>
      </c>
      <c r="S135" s="542">
        <f>SUM('Value Segment'!S70,'Mid-Market Segment'!S70,'Upper Mid-Market Segment'!S70,'Premium Segment'!S70)/SUM('Value Segment'!S$82,'Mid-Market Segment'!S$82,'Upper Mid-Market Segment'!S$82,'Premium Segment'!S$82)</f>
        <v>0</v>
      </c>
      <c r="T135" s="542">
        <f>SUM('Value Segment'!T70,'Mid-Market Segment'!T70,'Upper Mid-Market Segment'!T70,'Premium Segment'!T70)/SUM('Value Segment'!T$82,'Mid-Market Segment'!T$82,'Upper Mid-Market Segment'!T$82,'Premium Segment'!T$82)</f>
        <v>0</v>
      </c>
      <c r="U135" s="542">
        <f>SUM('Value Segment'!U70,'Mid-Market Segment'!U70,'Upper Mid-Market Segment'!U70,'Premium Segment'!U70)/SUM('Value Segment'!U$82,'Mid-Market Segment'!U$82,'Upper Mid-Market Segment'!U$82,'Premium Segment'!U$82)</f>
        <v>0</v>
      </c>
      <c r="V135" s="542">
        <f>SUM('Value Segment'!V70,'Mid-Market Segment'!V70,'Upper Mid-Market Segment'!V70,'Premium Segment'!V70)/SUM('Value Segment'!V$82,'Mid-Market Segment'!V$82,'Upper Mid-Market Segment'!V$82,'Premium Segment'!V$82)</f>
        <v>0</v>
      </c>
      <c r="W135" s="542">
        <f>SUM('Value Segment'!W70,'Mid-Market Segment'!W70,'Upper Mid-Market Segment'!W70,'Premium Segment'!W70)/SUM('Value Segment'!W$82,'Mid-Market Segment'!W$82,'Upper Mid-Market Segment'!W$82,'Premium Segment'!W$82)</f>
        <v>0</v>
      </c>
      <c r="X135" s="542">
        <f>SUM('Value Segment'!X70,'Mid-Market Segment'!X70,'Upper Mid-Market Segment'!X70,'Premium Segment'!X70)/SUM('Value Segment'!X$82,'Mid-Market Segment'!X$82,'Upper Mid-Market Segment'!X$82,'Premium Segment'!X$82)</f>
        <v>0</v>
      </c>
      <c r="Y135" s="542">
        <f>SUM('Value Segment'!Y70,'Mid-Market Segment'!Y70,'Upper Mid-Market Segment'!Y70,'Premium Segment'!Y70)/SUM('Value Segment'!Y$82,'Mid-Market Segment'!Y$82,'Upper Mid-Market Segment'!Y$82,'Premium Segment'!Y$82)</f>
        <v>0</v>
      </c>
      <c r="Z135" s="542">
        <f>SUM('Value Segment'!Z70,'Mid-Market Segment'!Z70,'Upper Mid-Market Segment'!Z70,'Premium Segment'!Z70)/SUM('Value Segment'!Z$82,'Mid-Market Segment'!Z$82,'Upper Mid-Market Segment'!Z$82,'Premium Segment'!Z$82)</f>
        <v>0</v>
      </c>
      <c r="AA135" s="542">
        <f>SUM('Value Segment'!AA70,'Mid-Market Segment'!AA70,'Upper Mid-Market Segment'!AA70,'Premium Segment'!AA70)/SUM('Value Segment'!AA$82,'Mid-Market Segment'!AA$82,'Upper Mid-Market Segment'!AA$82,'Premium Segment'!AA$82)</f>
        <v>0</v>
      </c>
      <c r="AB135" s="542">
        <f>SUM('Value Segment'!AB70,'Mid-Market Segment'!AB70,'Upper Mid-Market Segment'!AB70,'Premium Segment'!AB70)/SUM('Value Segment'!AB$82,'Mid-Market Segment'!AB$82,'Upper Mid-Market Segment'!AB$82,'Premium Segment'!AB$82)</f>
        <v>0</v>
      </c>
      <c r="AC135" s="542">
        <f>SUM('Value Segment'!AC70,'Mid-Market Segment'!AC70,'Upper Mid-Market Segment'!AC70,'Premium Segment'!AC70)/SUM('Value Segment'!AC$82,'Mid-Market Segment'!AC$82,'Upper Mid-Market Segment'!AC$82,'Premium Segment'!AC$82)</f>
        <v>0</v>
      </c>
      <c r="AD135" s="542">
        <f>SUM('Value Segment'!AD70,'Mid-Market Segment'!AD70,'Upper Mid-Market Segment'!AD70,'Premium Segment'!AD70)/SUM('Value Segment'!AD$82,'Mid-Market Segment'!AD$82,'Upper Mid-Market Segment'!AD$82,'Premium Segment'!AD$82)</f>
        <v>0</v>
      </c>
      <c r="AE135" s="542">
        <f>SUM('Value Segment'!AE70,'Mid-Market Segment'!AE70,'Upper Mid-Market Segment'!AE70,'Premium Segment'!AE70)/SUM('Value Segment'!AE$82,'Mid-Market Segment'!AE$82,'Upper Mid-Market Segment'!AE$82,'Premium Segment'!AE$82)</f>
        <v>0</v>
      </c>
      <c r="AF135" s="542">
        <f>SUM('Value Segment'!AF70,'Mid-Market Segment'!AF70,'Upper Mid-Market Segment'!AF70,'Premium Segment'!AF70)/SUM('Value Segment'!AF$82,'Mid-Market Segment'!AF$82,'Upper Mid-Market Segment'!AF$82,'Premium Segment'!AF$82)</f>
        <v>0</v>
      </c>
      <c r="AG135" s="542">
        <f>SUM('Value Segment'!AG70,'Mid-Market Segment'!AG70,'Upper Mid-Market Segment'!AG70,'Premium Segment'!AG70)/SUM('Value Segment'!AG$82,'Mid-Market Segment'!AG$82,'Upper Mid-Market Segment'!AG$82,'Premium Segment'!AG$82)</f>
        <v>0</v>
      </c>
      <c r="AH135" s="542">
        <f>SUM('Value Segment'!AH70,'Mid-Market Segment'!AH70,'Upper Mid-Market Segment'!AH70,'Premium Segment'!AH70)/SUM('Value Segment'!AH$82,'Mid-Market Segment'!AH$82,'Upper Mid-Market Segment'!AH$82,'Premium Segment'!AH$82)</f>
        <v>0</v>
      </c>
      <c r="AI135" s="542">
        <f>SUM('Value Segment'!AI70,'Mid-Market Segment'!AI70,'Upper Mid-Market Segment'!AI70,'Premium Segment'!AI70)/SUM('Value Segment'!AI$82,'Mid-Market Segment'!AI$82,'Upper Mid-Market Segment'!AI$82,'Premium Segment'!AI$82)</f>
        <v>0</v>
      </c>
      <c r="AJ135" s="542">
        <f>SUM('Value Segment'!AJ70,'Mid-Market Segment'!AJ70,'Upper Mid-Market Segment'!AJ70,'Premium Segment'!AJ70)/SUM('Value Segment'!AJ$82,'Mid-Market Segment'!AJ$82,'Upper Mid-Market Segment'!AJ$82,'Premium Segment'!AJ$82)</f>
        <v>0</v>
      </c>
      <c r="AK135" s="542">
        <f>SUM('Value Segment'!AK70,'Mid-Market Segment'!AK70,'Upper Mid-Market Segment'!AK70,'Premium Segment'!AK70)/SUM('Value Segment'!AK$82,'Mid-Market Segment'!AK$82,'Upper Mid-Market Segment'!AK$82,'Premium Segment'!AK$82)</f>
        <v>0</v>
      </c>
      <c r="AL135" s="542">
        <f>SUM('Value Segment'!AL70,'Mid-Market Segment'!AL70,'Upper Mid-Market Segment'!AL70,'Premium Segment'!AL70)/SUM('Value Segment'!AL$82,'Mid-Market Segment'!AL$82,'Upper Mid-Market Segment'!AL$82,'Premium Segment'!AL$82)</f>
        <v>0</v>
      </c>
      <c r="AM135" s="542">
        <f>SUM('Value Segment'!AM70,'Mid-Market Segment'!AM70,'Upper Mid-Market Segment'!AM70,'Premium Segment'!AM70)/SUM('Value Segment'!AM$82,'Mid-Market Segment'!AM$82,'Upper Mid-Market Segment'!AM$82,'Premium Segment'!AM$82)</f>
        <v>0</v>
      </c>
      <c r="AN135" s="542">
        <f>SUM('Value Segment'!AN70,'Mid-Market Segment'!AN70,'Upper Mid-Market Segment'!AN70,'Premium Segment'!AN70)/SUM('Value Segment'!AN$82,'Mid-Market Segment'!AN$82,'Upper Mid-Market Segment'!AN$82,'Premium Segment'!AN$82)</f>
        <v>0</v>
      </c>
      <c r="AO135" s="542">
        <f>SUM('Value Segment'!AO70,'Mid-Market Segment'!AO70,'Upper Mid-Market Segment'!AO70,'Premium Segment'!AO70)/SUM('Value Segment'!AO$82,'Mid-Market Segment'!AO$82,'Upper Mid-Market Segment'!AO$82,'Premium Segment'!AO$82)</f>
        <v>0</v>
      </c>
      <c r="AP135" s="542">
        <f>SUM('Value Segment'!AP70,'Mid-Market Segment'!AP70,'Upper Mid-Market Segment'!AP70,'Premium Segment'!AP70)/SUM('Value Segment'!AP$82,'Mid-Market Segment'!AP$82,'Upper Mid-Market Segment'!AP$82,'Premium Segment'!AP$82)</f>
        <v>0</v>
      </c>
      <c r="AQ135" s="542">
        <f>SUM('Value Segment'!AQ70,'Mid-Market Segment'!AQ70,'Upper Mid-Market Segment'!AQ70,'Premium Segment'!AQ70)/SUM('Value Segment'!AQ$82,'Mid-Market Segment'!AQ$82,'Upper Mid-Market Segment'!AQ$82,'Premium Segment'!AQ$82)</f>
        <v>0</v>
      </c>
      <c r="AR135" s="542">
        <f>SUM('Value Segment'!AR70,'Mid-Market Segment'!AR70,'Upper Mid-Market Segment'!AR70,'Premium Segment'!AR70)/SUM('Value Segment'!AR$82,'Mid-Market Segment'!AR$82,'Upper Mid-Market Segment'!AR$82,'Premium Segment'!AR$82)</f>
        <v>0</v>
      </c>
      <c r="AS135" s="542">
        <f>SUM('Value Segment'!AS70,'Mid-Market Segment'!AS70,'Upper Mid-Market Segment'!AS70,'Premium Segment'!AS70)/SUM('Value Segment'!AS$82,'Mid-Market Segment'!AS$82,'Upper Mid-Market Segment'!AS$82,'Premium Segment'!AS$82)</f>
        <v>0</v>
      </c>
      <c r="AT135" s="542">
        <f>SUM('Value Segment'!AT70,'Mid-Market Segment'!AT70,'Upper Mid-Market Segment'!AT70,'Premium Segment'!AT70)/SUM('Value Segment'!AT$82,'Mid-Market Segment'!AT$82,'Upper Mid-Market Segment'!AT$82,'Premium Segment'!AT$82)</f>
        <v>0</v>
      </c>
      <c r="AU135" s="542">
        <f>SUM('Value Segment'!AU70,'Mid-Market Segment'!AU70,'Upper Mid-Market Segment'!AU70,'Premium Segment'!AU70)/SUM('Value Segment'!AU$82,'Mid-Market Segment'!AU$82,'Upper Mid-Market Segment'!AU$82,'Premium Segment'!AU$82)</f>
        <v>0</v>
      </c>
      <c r="AV135" s="542">
        <f>SUM('Value Segment'!AV70,'Mid-Market Segment'!AV70,'Upper Mid-Market Segment'!AV70,'Premium Segment'!AV70)/SUM('Value Segment'!AV$82,'Mid-Market Segment'!AV$82,'Upper Mid-Market Segment'!AV$82,'Premium Segment'!AV$82)</f>
        <v>0</v>
      </c>
      <c r="AW135" s="542">
        <f>SUM('Value Segment'!AW70,'Mid-Market Segment'!AW70,'Upper Mid-Market Segment'!AW70,'Premium Segment'!AW70)/SUM('Value Segment'!AW$82,'Mid-Market Segment'!AW$82,'Upper Mid-Market Segment'!AW$82,'Premium Segment'!AW$82)</f>
        <v>0</v>
      </c>
      <c r="AX135" s="542">
        <f>SUM('Value Segment'!AX70,'Mid-Market Segment'!AX70,'Upper Mid-Market Segment'!AX70,'Premium Segment'!AX70)/SUM('Value Segment'!AX$82,'Mid-Market Segment'!AX$82,'Upper Mid-Market Segment'!AX$82,'Premium Segment'!AX$82)</f>
        <v>0</v>
      </c>
      <c r="AY135" s="542">
        <f>SUM('Value Segment'!AY70,'Mid-Market Segment'!AY70,'Upper Mid-Market Segment'!AY70,'Premium Segment'!AY70)/SUM('Value Segment'!AY$82,'Mid-Market Segment'!AY$82,'Upper Mid-Market Segment'!AY$82,'Premium Segment'!AY$82)</f>
        <v>0</v>
      </c>
      <c r="AZ135" s="542">
        <f>SUM('Value Segment'!AZ70,'Mid-Market Segment'!AZ70,'Upper Mid-Market Segment'!AZ70,'Premium Segment'!AZ70)/SUM('Value Segment'!AZ$82,'Mid-Market Segment'!AZ$82,'Upper Mid-Market Segment'!AZ$82,'Premium Segment'!AZ$82)</f>
        <v>0</v>
      </c>
      <c r="BA135" s="542">
        <f>SUM('Value Segment'!BA70,'Mid-Market Segment'!BA70,'Upper Mid-Market Segment'!BA70,'Premium Segment'!BA70)/SUM('Value Segment'!BA$82,'Mid-Market Segment'!BA$82,'Upper Mid-Market Segment'!BA$82,'Premium Segment'!BA$82)</f>
        <v>0</v>
      </c>
      <c r="BB135" s="542">
        <f>SUM('Value Segment'!BB70,'Mid-Market Segment'!BB70,'Upper Mid-Market Segment'!BB70,'Premium Segment'!BB70)/SUM('Value Segment'!BB$82,'Mid-Market Segment'!BB$82,'Upper Mid-Market Segment'!BB$82,'Premium Segment'!BB$82)</f>
        <v>0</v>
      </c>
      <c r="BC135" s="542">
        <f>SUM('Value Segment'!BC70,'Mid-Market Segment'!BC70,'Upper Mid-Market Segment'!BC70,'Premium Segment'!BC70)/SUM('Value Segment'!BC$82,'Mid-Market Segment'!BC$82,'Upper Mid-Market Segment'!BC$82,'Premium Segment'!BC$82)</f>
        <v>0</v>
      </c>
      <c r="BD135" s="542">
        <f>SUM('Value Segment'!BD70,'Mid-Market Segment'!BD70,'Upper Mid-Market Segment'!BD70,'Premium Segment'!BD70)/SUM('Value Segment'!BD$82,'Mid-Market Segment'!BD$82,'Upper Mid-Market Segment'!BD$82,'Premium Segment'!BD$82)</f>
        <v>0</v>
      </c>
      <c r="BE135" s="542">
        <f>SUM('Value Segment'!BE70,'Mid-Market Segment'!BE70,'Upper Mid-Market Segment'!BE70,'Premium Segment'!BE70)/SUM('Value Segment'!BE$82,'Mid-Market Segment'!BE$82,'Upper Mid-Market Segment'!BE$82,'Premium Segment'!BE$82)</f>
        <v>0</v>
      </c>
      <c r="BF135" s="542">
        <f>SUM('Value Segment'!BF70,'Mid-Market Segment'!BF70,'Upper Mid-Market Segment'!BF70,'Premium Segment'!BF70)/SUM('Value Segment'!BF$82,'Mid-Market Segment'!BF$82,'Upper Mid-Market Segment'!BF$82,'Premium Segment'!BF$82)</f>
        <v>0</v>
      </c>
      <c r="BG135" s="542">
        <f>SUM('Value Segment'!BG70,'Mid-Market Segment'!BG70,'Upper Mid-Market Segment'!BG70,'Premium Segment'!BG70)/SUM('Value Segment'!BG$82,'Mid-Market Segment'!BG$82,'Upper Mid-Market Segment'!BG$82,'Premium Segment'!BG$82)</f>
        <v>0</v>
      </c>
      <c r="BH135" s="542">
        <f>SUM('Value Segment'!BH70,'Mid-Market Segment'!BH70,'Upper Mid-Market Segment'!BH70,'Premium Segment'!BH70)/SUM('Value Segment'!BH$82,'Mid-Market Segment'!BH$82,'Upper Mid-Market Segment'!BH$82,'Premium Segment'!BH$82)</f>
        <v>0</v>
      </c>
      <c r="BI135" s="542">
        <f>SUM('Value Segment'!BI70,'Mid-Market Segment'!BI70,'Upper Mid-Market Segment'!BI70,'Premium Segment'!BI70)/SUM('Value Segment'!BI$82,'Mid-Market Segment'!BI$82,'Upper Mid-Market Segment'!BI$82,'Premium Segment'!BI$82)</f>
        <v>0</v>
      </c>
      <c r="BJ135" s="542">
        <f>SUM('Value Segment'!BJ70,'Mid-Market Segment'!BJ70,'Upper Mid-Market Segment'!BJ70,'Premium Segment'!BJ70)/SUM('Value Segment'!BJ$82,'Mid-Market Segment'!BJ$82,'Upper Mid-Market Segment'!BJ$82,'Premium Segment'!BJ$82)</f>
        <v>0</v>
      </c>
      <c r="BK135" s="542">
        <f>SUM('Value Segment'!BK70,'Mid-Market Segment'!BK70,'Upper Mid-Market Segment'!BK70,'Premium Segment'!BK70)/SUM('Value Segment'!BK$82,'Mid-Market Segment'!BK$82,'Upper Mid-Market Segment'!BK$82,'Premium Segment'!BK$82)</f>
        <v>0</v>
      </c>
      <c r="BL135" s="542">
        <f>SUM('Value Segment'!BL70,'Mid-Market Segment'!BL70,'Upper Mid-Market Segment'!BL70,'Premium Segment'!BL70)/SUM('Value Segment'!BL$82,'Mid-Market Segment'!BL$82,'Upper Mid-Market Segment'!BL$82,'Premium Segment'!BL$82)</f>
        <v>0</v>
      </c>
      <c r="BM135" s="542">
        <f>SUM('Value Segment'!BM70,'Mid-Market Segment'!BM70,'Upper Mid-Market Segment'!BM70,'Premium Segment'!BM70)/SUM('Value Segment'!BM$82,'Mid-Market Segment'!BM$82,'Upper Mid-Market Segment'!BM$82,'Premium Segment'!BM$82)</f>
        <v>0</v>
      </c>
      <c r="BN135" s="542">
        <f>SUM('Value Segment'!BN70,'Mid-Market Segment'!BN70,'Upper Mid-Market Segment'!BN70,'Premium Segment'!BN70)/SUM('Value Segment'!BN$82,'Mid-Market Segment'!BN$82,'Upper Mid-Market Segment'!BN$82,'Premium Segment'!BN$82)</f>
        <v>0</v>
      </c>
      <c r="BO135" s="542">
        <f>SUM('Value Segment'!BO70,'Mid-Market Segment'!BO70,'Upper Mid-Market Segment'!BO70,'Premium Segment'!BO70)/SUM('Value Segment'!BO$82,'Mid-Market Segment'!BO$82,'Upper Mid-Market Segment'!BO$82,'Premium Segment'!BO$82)</f>
        <v>0</v>
      </c>
      <c r="BP135" s="542">
        <f>SUM('Value Segment'!BP70,'Mid-Market Segment'!BP70,'Upper Mid-Market Segment'!BP70,'Premium Segment'!BP70)/SUM('Value Segment'!BP$82,'Mid-Market Segment'!BP$82,'Upper Mid-Market Segment'!BP$82,'Premium Segment'!BP$82)</f>
        <v>0</v>
      </c>
      <c r="BQ135" s="542">
        <f>SUM('Value Segment'!BQ70,'Mid-Market Segment'!BQ70,'Upper Mid-Market Segment'!BQ70,'Premium Segment'!BQ70)/SUM('Value Segment'!BQ$82,'Mid-Market Segment'!BQ$82,'Upper Mid-Market Segment'!BQ$82,'Premium Segment'!BQ$82)</f>
        <v>0</v>
      </c>
      <c r="BR135" s="542">
        <f>SUM('Value Segment'!BR70,'Mid-Market Segment'!BR70,'Upper Mid-Market Segment'!BR70,'Premium Segment'!BR70)/SUM('Value Segment'!BR$82,'Mid-Market Segment'!BR$82,'Upper Mid-Market Segment'!BR$82,'Premium Segment'!BR$82)</f>
        <v>0</v>
      </c>
      <c r="BS135" s="542">
        <f>SUM('Value Segment'!BS70,'Mid-Market Segment'!BS70,'Upper Mid-Market Segment'!BS70,'Premium Segment'!BS70)/SUM('Value Segment'!BS$82,'Mid-Market Segment'!BS$82,'Upper Mid-Market Segment'!BS$82,'Premium Segment'!BS$82)</f>
        <v>0</v>
      </c>
      <c r="BT135" s="542">
        <f>SUM('Value Segment'!BT70,'Mid-Market Segment'!BT70,'Upper Mid-Market Segment'!BT70,'Premium Segment'!BT70)/SUM('Value Segment'!BT$82,'Mid-Market Segment'!BT$82,'Upper Mid-Market Segment'!BT$82,'Premium Segment'!BT$82)</f>
        <v>0</v>
      </c>
      <c r="BU135" s="542">
        <f>SUM('Value Segment'!BU70,'Mid-Market Segment'!BU70,'Upper Mid-Market Segment'!BU70,'Premium Segment'!BU70)/SUM('Value Segment'!BU$82,'Mid-Market Segment'!BU$82,'Upper Mid-Market Segment'!BU$82,'Premium Segment'!BU$82)</f>
        <v>0</v>
      </c>
      <c r="BV135" s="542">
        <f>SUM('Value Segment'!BV70,'Mid-Market Segment'!BV70,'Upper Mid-Market Segment'!BV70,'Premium Segment'!BV70)/SUM('Value Segment'!BV$82,'Mid-Market Segment'!BV$82,'Upper Mid-Market Segment'!BV$82,'Premium Segment'!BV$82)</f>
        <v>0</v>
      </c>
      <c r="BW135" s="542">
        <f>SUM('Value Segment'!BW70,'Mid-Market Segment'!BW70,'Upper Mid-Market Segment'!BW70,'Premium Segment'!BW70)/SUM('Value Segment'!BW$82,'Mid-Market Segment'!BW$82,'Upper Mid-Market Segment'!BW$82,'Premium Segment'!BW$82)</f>
        <v>0</v>
      </c>
      <c r="BX135" s="542">
        <f>SUM('Value Segment'!BX70,'Mid-Market Segment'!BX70,'Upper Mid-Market Segment'!BX70,'Premium Segment'!BX70)/SUM('Value Segment'!BX$82,'Mid-Market Segment'!BX$82,'Upper Mid-Market Segment'!BX$82,'Premium Segment'!BX$82)</f>
        <v>0</v>
      </c>
      <c r="BY135" s="542">
        <f>SUM('Value Segment'!BY70,'Mid-Market Segment'!BY70,'Upper Mid-Market Segment'!BY70,'Premium Segment'!BY70)/SUM('Value Segment'!BY$82,'Mid-Market Segment'!BY$82,'Upper Mid-Market Segment'!BY$82,'Premium Segment'!BY$82)</f>
        <v>0</v>
      </c>
    </row>
    <row r="136" spans="3:80" x14ac:dyDescent="0.3">
      <c r="C136" s="2"/>
      <c r="D136" s="2"/>
      <c r="E136" s="62" t="s">
        <v>293</v>
      </c>
      <c r="F136" s="63"/>
      <c r="G136" s="63"/>
      <c r="H136" s="63"/>
      <c r="I136" s="673">
        <f>SUM('Value Segment'!I71,'Mid-Market Segment'!I71,'Upper Mid-Market Segment'!I71,'Premium Segment'!I71)/SUM('Value Segment'!I$82,'Mid-Market Segment'!I$82,'Upper Mid-Market Segment'!I$82,'Premium Segment'!I$82)</f>
        <v>76322.958982819211</v>
      </c>
      <c r="J136" s="673">
        <f>SUM('Value Segment'!J71,'Mid-Market Segment'!J71,'Upper Mid-Market Segment'!J71,'Premium Segment'!J71)/SUM('Value Segment'!J$82,'Mid-Market Segment'!J$82,'Upper Mid-Market Segment'!J$82,'Premium Segment'!J$82)</f>
        <v>83411.695914047086</v>
      </c>
      <c r="K136" s="673">
        <f>SUM('Value Segment'!K71,'Mid-Market Segment'!K71,'Upper Mid-Market Segment'!K71,'Premium Segment'!K71)/SUM('Value Segment'!K$82,'Mid-Market Segment'!K$82,'Upper Mid-Market Segment'!K$82,'Premium Segment'!K$82)</f>
        <v>89238.863991197592</v>
      </c>
      <c r="L136" s="673">
        <f>SUM('Value Segment'!L71,'Mid-Market Segment'!L71,'Upper Mid-Market Segment'!L71,'Premium Segment'!L71)/SUM('Value Segment'!L$82,'Mid-Market Segment'!L$82,'Upper Mid-Market Segment'!L$82,'Premium Segment'!L$82)</f>
        <v>95231.994286269619</v>
      </c>
      <c r="M136" s="673">
        <f>SUM('Value Segment'!M71,'Mid-Market Segment'!M71,'Upper Mid-Market Segment'!M71,'Premium Segment'!M71)/SUM('Value Segment'!M$82,'Mid-Market Segment'!M$82,'Upper Mid-Market Segment'!M$82,'Premium Segment'!M$82)</f>
        <v>101370.57276377459</v>
      </c>
      <c r="N136" s="673">
        <f>SUM('Value Segment'!N71,'Mid-Market Segment'!N71,'Upper Mid-Market Segment'!N71,'Premium Segment'!N71)/SUM('Value Segment'!N$82,'Mid-Market Segment'!N$82,'Upper Mid-Market Segment'!N$82,'Premium Segment'!N$82)</f>
        <v>107824.62575082864</v>
      </c>
      <c r="O136" s="57"/>
      <c r="P136" s="55">
        <f>IFERROR(((N136/I136)^(1/5))-1,0)</f>
        <v>7.1550274855437968E-2</v>
      </c>
      <c r="R136" s="673">
        <f>SUM('Value Segment'!R71,'Mid-Market Segment'!R71,'Upper Mid-Market Segment'!R71,'Premium Segment'!R71)/SUM('Value Segment'!R$82,'Mid-Market Segment'!R$82,'Upper Mid-Market Segment'!R$82,'Premium Segment'!R$82)</f>
        <v>6849.2076029023683</v>
      </c>
      <c r="S136" s="676">
        <f>SUM('Value Segment'!S71,'Mid-Market Segment'!S71,'Upper Mid-Market Segment'!S71,'Premium Segment'!S71)/SUM('Value Segment'!S$82,'Mid-Market Segment'!S$82,'Upper Mid-Market Segment'!S$82,'Premium Segment'!S$82)</f>
        <v>6849.2076029023683</v>
      </c>
      <c r="T136" s="676">
        <f>SUM('Value Segment'!T71,'Mid-Market Segment'!T71,'Upper Mid-Market Segment'!T71,'Premium Segment'!T71)/SUM('Value Segment'!T$82,'Mid-Market Segment'!T$82,'Upper Mid-Market Segment'!T$82,'Premium Segment'!T$82)</f>
        <v>6849.2076029023683</v>
      </c>
      <c r="U136" s="676">
        <f>SUM('Value Segment'!U71,'Mid-Market Segment'!U71,'Upper Mid-Market Segment'!U71,'Premium Segment'!U71)/SUM('Value Segment'!U$82,'Mid-Market Segment'!U$82,'Upper Mid-Market Segment'!U$82,'Premium Segment'!U$82)</f>
        <v>6849.2076029023683</v>
      </c>
      <c r="V136" s="676">
        <f>SUM('Value Segment'!V71,'Mid-Market Segment'!V71,'Upper Mid-Market Segment'!V71,'Premium Segment'!V71)/SUM('Value Segment'!V$82,'Mid-Market Segment'!V$82,'Upper Mid-Market Segment'!V$82,'Premium Segment'!V$82)</f>
        <v>6849.2076029023683</v>
      </c>
      <c r="W136" s="676">
        <f>SUM('Value Segment'!W71,'Mid-Market Segment'!W71,'Upper Mid-Market Segment'!W71,'Premium Segment'!W71)/SUM('Value Segment'!W$82,'Mid-Market Segment'!W$82,'Upper Mid-Market Segment'!W$82,'Premium Segment'!W$82)</f>
        <v>6849.2076029023683</v>
      </c>
      <c r="X136" s="676">
        <f>SUM('Value Segment'!X71,'Mid-Market Segment'!X71,'Upper Mid-Market Segment'!X71,'Premium Segment'!X71)/SUM('Value Segment'!X$82,'Mid-Market Segment'!X$82,'Upper Mid-Market Segment'!X$82,'Premium Segment'!X$82)</f>
        <v>7052.7417161054755</v>
      </c>
      <c r="Y136" s="676">
        <f>SUM('Value Segment'!Y71,'Mid-Market Segment'!Y71,'Upper Mid-Market Segment'!Y71,'Premium Segment'!Y71)/SUM('Value Segment'!Y$82,'Mid-Market Segment'!Y$82,'Upper Mid-Market Segment'!Y$82,'Premium Segment'!Y$82)</f>
        <v>7052.7417161054755</v>
      </c>
      <c r="Z136" s="676">
        <f>SUM('Value Segment'!Z71,'Mid-Market Segment'!Z71,'Upper Mid-Market Segment'!Z71,'Premium Segment'!Z71)/SUM('Value Segment'!Z$82,'Mid-Market Segment'!Z$82,'Upper Mid-Market Segment'!Z$82,'Premium Segment'!Z$82)</f>
        <v>7052.7417161054755</v>
      </c>
      <c r="AA136" s="676">
        <f>SUM('Value Segment'!AA71,'Mid-Market Segment'!AA71,'Upper Mid-Market Segment'!AA71,'Premium Segment'!AA71)/SUM('Value Segment'!AA$82,'Mid-Market Segment'!AA$82,'Upper Mid-Market Segment'!AA$82,'Premium Segment'!AA$82)</f>
        <v>7052.7417161054755</v>
      </c>
      <c r="AB136" s="676">
        <f>SUM('Value Segment'!AB71,'Mid-Market Segment'!AB71,'Upper Mid-Market Segment'!AB71,'Premium Segment'!AB71)/SUM('Value Segment'!AB$82,'Mid-Market Segment'!AB$82,'Upper Mid-Market Segment'!AB$82,'Premium Segment'!AB$82)</f>
        <v>7052.7417161054755</v>
      </c>
      <c r="AC136" s="676">
        <f>SUM('Value Segment'!AC71,'Mid-Market Segment'!AC71,'Upper Mid-Market Segment'!AC71,'Premium Segment'!AC71)/SUM('Value Segment'!AC$82,'Mid-Market Segment'!AC$82,'Upper Mid-Market Segment'!AC$82,'Premium Segment'!AC$82)</f>
        <v>7052.7417161054755</v>
      </c>
      <c r="AD136" s="676">
        <f>SUM('Value Segment'!AD71,'Mid-Market Segment'!AD71,'Upper Mid-Market Segment'!AD71,'Premium Segment'!AD71)/SUM('Value Segment'!AD$82,'Mid-Market Segment'!AD$82,'Upper Mid-Market Segment'!AD$82,'Premium Segment'!AD$82)</f>
        <v>7305.6995484255312</v>
      </c>
      <c r="AE136" s="676">
        <f>SUM('Value Segment'!AE71,'Mid-Market Segment'!AE71,'Upper Mid-Market Segment'!AE71,'Premium Segment'!AE71)/SUM('Value Segment'!AE$82,'Mid-Market Segment'!AE$82,'Upper Mid-Market Segment'!AE$82,'Premium Segment'!AE$82)</f>
        <v>7305.6995484255312</v>
      </c>
      <c r="AF136" s="676">
        <f>SUM('Value Segment'!AF71,'Mid-Market Segment'!AF71,'Upper Mid-Market Segment'!AF71,'Premium Segment'!AF71)/SUM('Value Segment'!AF$82,'Mid-Market Segment'!AF$82,'Upper Mid-Market Segment'!AF$82,'Premium Segment'!AF$82)</f>
        <v>7305.6995484255312</v>
      </c>
      <c r="AG136" s="676">
        <f>SUM('Value Segment'!AG71,'Mid-Market Segment'!AG71,'Upper Mid-Market Segment'!AG71,'Premium Segment'!AG71)/SUM('Value Segment'!AG$82,'Mid-Market Segment'!AG$82,'Upper Mid-Market Segment'!AG$82,'Premium Segment'!AG$82)</f>
        <v>7305.6995484255312</v>
      </c>
      <c r="AH136" s="676">
        <f>SUM('Value Segment'!AH71,'Mid-Market Segment'!AH71,'Upper Mid-Market Segment'!AH71,'Premium Segment'!AH71)/SUM('Value Segment'!AH$82,'Mid-Market Segment'!AH$82,'Upper Mid-Market Segment'!AH$82,'Premium Segment'!AH$82)</f>
        <v>7305.6995484255312</v>
      </c>
      <c r="AI136" s="676">
        <f>SUM('Value Segment'!AI71,'Mid-Market Segment'!AI71,'Upper Mid-Market Segment'!AI71,'Premium Segment'!AI71)/SUM('Value Segment'!AI$82,'Mid-Market Segment'!AI$82,'Upper Mid-Market Segment'!AI$82,'Premium Segment'!AI$82)</f>
        <v>7305.6995484255312</v>
      </c>
      <c r="AJ136" s="676">
        <f>SUM('Value Segment'!AJ71,'Mid-Market Segment'!AJ71,'Upper Mid-Market Segment'!AJ71,'Premium Segment'!AJ71)/SUM('Value Segment'!AJ$82,'Mid-Market Segment'!AJ$82,'Upper Mid-Market Segment'!AJ$82,'Premium Segment'!AJ$82)</f>
        <v>7567.4444501074058</v>
      </c>
      <c r="AK136" s="676">
        <f>SUM('Value Segment'!AK71,'Mid-Market Segment'!AK71,'Upper Mid-Market Segment'!AK71,'Premium Segment'!AK71)/SUM('Value Segment'!AK$82,'Mid-Market Segment'!AK$82,'Upper Mid-Market Segment'!AK$82,'Premium Segment'!AK$82)</f>
        <v>7567.4444501074058</v>
      </c>
      <c r="AL136" s="676">
        <f>SUM('Value Segment'!AL71,'Mid-Market Segment'!AL71,'Upper Mid-Market Segment'!AL71,'Premium Segment'!AL71)/SUM('Value Segment'!AL$82,'Mid-Market Segment'!AL$82,'Upper Mid-Market Segment'!AL$82,'Premium Segment'!AL$82)</f>
        <v>7567.4444501074058</v>
      </c>
      <c r="AM136" s="676">
        <f>SUM('Value Segment'!AM71,'Mid-Market Segment'!AM71,'Upper Mid-Market Segment'!AM71,'Premium Segment'!AM71)/SUM('Value Segment'!AM$82,'Mid-Market Segment'!AM$82,'Upper Mid-Market Segment'!AM$82,'Premium Segment'!AM$82)</f>
        <v>7567.4444501074058</v>
      </c>
      <c r="AN136" s="676">
        <f>SUM('Value Segment'!AN71,'Mid-Market Segment'!AN71,'Upper Mid-Market Segment'!AN71,'Premium Segment'!AN71)/SUM('Value Segment'!AN$82,'Mid-Market Segment'!AN$82,'Upper Mid-Market Segment'!AN$82,'Premium Segment'!AN$82)</f>
        <v>7567.4444501074058</v>
      </c>
      <c r="AO136" s="676">
        <f>SUM('Value Segment'!AO71,'Mid-Market Segment'!AO71,'Upper Mid-Market Segment'!AO71,'Premium Segment'!AO71)/SUM('Value Segment'!AO$82,'Mid-Market Segment'!AO$82,'Upper Mid-Market Segment'!AO$82,'Premium Segment'!AO$82)</f>
        <v>7567.4444501074058</v>
      </c>
      <c r="AP136" s="676">
        <f>SUM('Value Segment'!AP71,'Mid-Market Segment'!AP71,'Upper Mid-Market Segment'!AP71,'Premium Segment'!AP71)/SUM('Value Segment'!AP$82,'Mid-Market Segment'!AP$82,'Upper Mid-Market Segment'!AP$82,'Premium Segment'!AP$82)</f>
        <v>7774.0673362528923</v>
      </c>
      <c r="AQ136" s="676">
        <f>SUM('Value Segment'!AQ71,'Mid-Market Segment'!AQ71,'Upper Mid-Market Segment'!AQ71,'Premium Segment'!AQ71)/SUM('Value Segment'!AQ$82,'Mid-Market Segment'!AQ$82,'Upper Mid-Market Segment'!AQ$82,'Premium Segment'!AQ$82)</f>
        <v>7774.0673362528923</v>
      </c>
      <c r="AR136" s="676">
        <f>SUM('Value Segment'!AR71,'Mid-Market Segment'!AR71,'Upper Mid-Market Segment'!AR71,'Premium Segment'!AR71)/SUM('Value Segment'!AR$82,'Mid-Market Segment'!AR$82,'Upper Mid-Market Segment'!AR$82,'Premium Segment'!AR$82)</f>
        <v>7774.0673362528923</v>
      </c>
      <c r="AS136" s="676">
        <f>SUM('Value Segment'!AS71,'Mid-Market Segment'!AS71,'Upper Mid-Market Segment'!AS71,'Premium Segment'!AS71)/SUM('Value Segment'!AS$82,'Mid-Market Segment'!AS$82,'Upper Mid-Market Segment'!AS$82,'Premium Segment'!AS$82)</f>
        <v>7774.0673362528923</v>
      </c>
      <c r="AT136" s="676">
        <f>SUM('Value Segment'!AT71,'Mid-Market Segment'!AT71,'Upper Mid-Market Segment'!AT71,'Premium Segment'!AT71)/SUM('Value Segment'!AT$82,'Mid-Market Segment'!AT$82,'Upper Mid-Market Segment'!AT$82,'Premium Segment'!AT$82)</f>
        <v>7774.0673362528923</v>
      </c>
      <c r="AU136" s="676">
        <f>SUM('Value Segment'!AU71,'Mid-Market Segment'!AU71,'Upper Mid-Market Segment'!AU71,'Premium Segment'!AU71)/SUM('Value Segment'!AU$82,'Mid-Market Segment'!AU$82,'Upper Mid-Market Segment'!AU$82,'Premium Segment'!AU$82)</f>
        <v>7774.0673362528923</v>
      </c>
      <c r="AV136" s="676">
        <f>SUM('Value Segment'!AV71,'Mid-Market Segment'!AV71,'Upper Mid-Market Segment'!AV71,'Premium Segment'!AV71)/SUM('Value Segment'!AV$82,'Mid-Market Segment'!AV$82,'Upper Mid-Market Segment'!AV$82,'Premium Segment'!AV$82)</f>
        <v>8097.9317114587102</v>
      </c>
      <c r="AW136" s="676">
        <f>SUM('Value Segment'!AW71,'Mid-Market Segment'!AW71,'Upper Mid-Market Segment'!AW71,'Premium Segment'!AW71)/SUM('Value Segment'!AW$82,'Mid-Market Segment'!AW$82,'Upper Mid-Market Segment'!AW$82,'Premium Segment'!AW$82)</f>
        <v>8097.9317114587102</v>
      </c>
      <c r="AX136" s="676">
        <f>SUM('Value Segment'!AX71,'Mid-Market Segment'!AX71,'Upper Mid-Market Segment'!AX71,'Premium Segment'!AX71)/SUM('Value Segment'!AX$82,'Mid-Market Segment'!AX$82,'Upper Mid-Market Segment'!AX$82,'Premium Segment'!AX$82)</f>
        <v>8097.9317114587102</v>
      </c>
      <c r="AY136" s="676">
        <f>SUM('Value Segment'!AY71,'Mid-Market Segment'!AY71,'Upper Mid-Market Segment'!AY71,'Premium Segment'!AY71)/SUM('Value Segment'!AY$82,'Mid-Market Segment'!AY$82,'Upper Mid-Market Segment'!AY$82,'Premium Segment'!AY$82)</f>
        <v>8097.9317114587102</v>
      </c>
      <c r="AZ136" s="676">
        <f>SUM('Value Segment'!AZ71,'Mid-Market Segment'!AZ71,'Upper Mid-Market Segment'!AZ71,'Premium Segment'!AZ71)/SUM('Value Segment'!AZ$82,'Mid-Market Segment'!AZ$82,'Upper Mid-Market Segment'!AZ$82,'Premium Segment'!AZ$82)</f>
        <v>8097.9317114587102</v>
      </c>
      <c r="BA136" s="676">
        <f>SUM('Value Segment'!BA71,'Mid-Market Segment'!BA71,'Upper Mid-Market Segment'!BA71,'Premium Segment'!BA71)/SUM('Value Segment'!BA$82,'Mid-Market Segment'!BA$82,'Upper Mid-Market Segment'!BA$82,'Premium Segment'!BA$82)</f>
        <v>8097.9317114587102</v>
      </c>
      <c r="BB136" s="676">
        <f>SUM('Value Segment'!BB71,'Mid-Market Segment'!BB71,'Upper Mid-Market Segment'!BB71,'Premium Segment'!BB71)/SUM('Value Segment'!BB$82,'Mid-Market Segment'!BB$82,'Upper Mid-Market Segment'!BB$82,'Premium Segment'!BB$82)</f>
        <v>8252.5605529814311</v>
      </c>
      <c r="BC136" s="676">
        <f>SUM('Value Segment'!BC71,'Mid-Market Segment'!BC71,'Upper Mid-Market Segment'!BC71,'Premium Segment'!BC71)/SUM('Value Segment'!BC$82,'Mid-Market Segment'!BC$82,'Upper Mid-Market Segment'!BC$82,'Premium Segment'!BC$82)</f>
        <v>8252.5605529814311</v>
      </c>
      <c r="BD136" s="676">
        <f>SUM('Value Segment'!BD71,'Mid-Market Segment'!BD71,'Upper Mid-Market Segment'!BD71,'Premium Segment'!BD71)/SUM('Value Segment'!BD$82,'Mid-Market Segment'!BD$82,'Upper Mid-Market Segment'!BD$82,'Premium Segment'!BD$82)</f>
        <v>8252.5605529814311</v>
      </c>
      <c r="BE136" s="676">
        <f>SUM('Value Segment'!BE71,'Mid-Market Segment'!BE71,'Upper Mid-Market Segment'!BE71,'Premium Segment'!BE71)/SUM('Value Segment'!BE$82,'Mid-Market Segment'!BE$82,'Upper Mid-Market Segment'!BE$82,'Premium Segment'!BE$82)</f>
        <v>8252.5605529814311</v>
      </c>
      <c r="BF136" s="676">
        <f>SUM('Value Segment'!BF71,'Mid-Market Segment'!BF71,'Upper Mid-Market Segment'!BF71,'Premium Segment'!BF71)/SUM('Value Segment'!BF$82,'Mid-Market Segment'!BF$82,'Upper Mid-Market Segment'!BF$82,'Premium Segment'!BF$82)</f>
        <v>8252.5605529814311</v>
      </c>
      <c r="BG136" s="676">
        <f>SUM('Value Segment'!BG71,'Mid-Market Segment'!BG71,'Upper Mid-Market Segment'!BG71,'Premium Segment'!BG71)/SUM('Value Segment'!BG$82,'Mid-Market Segment'!BG$82,'Upper Mid-Market Segment'!BG$82,'Premium Segment'!BG$82)</f>
        <v>8252.5605529814311</v>
      </c>
      <c r="BH136" s="676">
        <f>SUM('Value Segment'!BH71,'Mid-Market Segment'!BH71,'Upper Mid-Market Segment'!BH71,'Premium Segment'!BH71)/SUM('Value Segment'!BH$82,'Mid-Market Segment'!BH$82,'Upper Mid-Market Segment'!BH$82,'Premium Segment'!BH$82)</f>
        <v>8642.534907647665</v>
      </c>
      <c r="BI136" s="676">
        <f>SUM('Value Segment'!BI71,'Mid-Market Segment'!BI71,'Upper Mid-Market Segment'!BI71,'Premium Segment'!BI71)/SUM('Value Segment'!BI$82,'Mid-Market Segment'!BI$82,'Upper Mid-Market Segment'!BI$82,'Premium Segment'!BI$82)</f>
        <v>8642.534907647665</v>
      </c>
      <c r="BJ136" s="676">
        <f>SUM('Value Segment'!BJ71,'Mid-Market Segment'!BJ71,'Upper Mid-Market Segment'!BJ71,'Premium Segment'!BJ71)/SUM('Value Segment'!BJ$82,'Mid-Market Segment'!BJ$82,'Upper Mid-Market Segment'!BJ$82,'Premium Segment'!BJ$82)</f>
        <v>8642.534907647665</v>
      </c>
      <c r="BK136" s="676">
        <f>SUM('Value Segment'!BK71,'Mid-Market Segment'!BK71,'Upper Mid-Market Segment'!BK71,'Premium Segment'!BK71)/SUM('Value Segment'!BK$82,'Mid-Market Segment'!BK$82,'Upper Mid-Market Segment'!BK$82,'Premium Segment'!BK$82)</f>
        <v>8642.534907647665</v>
      </c>
      <c r="BL136" s="676">
        <f>SUM('Value Segment'!BL71,'Mid-Market Segment'!BL71,'Upper Mid-Market Segment'!BL71,'Premium Segment'!BL71)/SUM('Value Segment'!BL$82,'Mid-Market Segment'!BL$82,'Upper Mid-Market Segment'!BL$82,'Premium Segment'!BL$82)</f>
        <v>8642.534907647665</v>
      </c>
      <c r="BM136" s="676">
        <f>SUM('Value Segment'!BM71,'Mid-Market Segment'!BM71,'Upper Mid-Market Segment'!BM71,'Premium Segment'!BM71)/SUM('Value Segment'!BM$82,'Mid-Market Segment'!BM$82,'Upper Mid-Market Segment'!BM$82,'Premium Segment'!BM$82)</f>
        <v>8642.534907647665</v>
      </c>
      <c r="BN136" s="676">
        <f>SUM('Value Segment'!BN71,'Mid-Market Segment'!BN71,'Upper Mid-Market Segment'!BN71,'Premium Segment'!BN71)/SUM('Value Segment'!BN$82,'Mid-Market Segment'!BN$82,'Upper Mid-Market Segment'!BN$82,'Premium Segment'!BN$82)</f>
        <v>8755.2507757078492</v>
      </c>
      <c r="BO136" s="676">
        <f>SUM('Value Segment'!BO71,'Mid-Market Segment'!BO71,'Upper Mid-Market Segment'!BO71,'Premium Segment'!BO71)/SUM('Value Segment'!BO$82,'Mid-Market Segment'!BO$82,'Upper Mid-Market Segment'!BO$82,'Premium Segment'!BO$82)</f>
        <v>8755.2507757078492</v>
      </c>
      <c r="BP136" s="676">
        <f>SUM('Value Segment'!BP71,'Mid-Market Segment'!BP71,'Upper Mid-Market Segment'!BP71,'Premium Segment'!BP71)/SUM('Value Segment'!BP$82,'Mid-Market Segment'!BP$82,'Upper Mid-Market Segment'!BP$82,'Premium Segment'!BP$82)</f>
        <v>8755.2507757078492</v>
      </c>
      <c r="BQ136" s="676">
        <f>SUM('Value Segment'!BQ71,'Mid-Market Segment'!BQ71,'Upper Mid-Market Segment'!BQ71,'Premium Segment'!BQ71)/SUM('Value Segment'!BQ$82,'Mid-Market Segment'!BQ$82,'Upper Mid-Market Segment'!BQ$82,'Premium Segment'!BQ$82)</f>
        <v>8755.2507757078492</v>
      </c>
      <c r="BR136" s="676">
        <f>SUM('Value Segment'!BR71,'Mid-Market Segment'!BR71,'Upper Mid-Market Segment'!BR71,'Premium Segment'!BR71)/SUM('Value Segment'!BR$82,'Mid-Market Segment'!BR$82,'Upper Mid-Market Segment'!BR$82,'Premium Segment'!BR$82)</f>
        <v>8755.2507757078492</v>
      </c>
      <c r="BS136" s="676">
        <f>SUM('Value Segment'!BS71,'Mid-Market Segment'!BS71,'Upper Mid-Market Segment'!BS71,'Premium Segment'!BS71)/SUM('Value Segment'!BS$82,'Mid-Market Segment'!BS$82,'Upper Mid-Market Segment'!BS$82,'Premium Segment'!BS$82)</f>
        <v>8755.2507757078492</v>
      </c>
      <c r="BT136" s="676">
        <f>SUM('Value Segment'!BT71,'Mid-Market Segment'!BT71,'Upper Mid-Market Segment'!BT71,'Premium Segment'!BT71)/SUM('Value Segment'!BT$82,'Mid-Market Segment'!BT$82,'Upper Mid-Market Segment'!BT$82,'Premium Segment'!BT$82)</f>
        <v>9215.5201827635919</v>
      </c>
      <c r="BU136" s="676">
        <f>SUM('Value Segment'!BU71,'Mid-Market Segment'!BU71,'Upper Mid-Market Segment'!BU71,'Premium Segment'!BU71)/SUM('Value Segment'!BU$82,'Mid-Market Segment'!BU$82,'Upper Mid-Market Segment'!BU$82,'Premium Segment'!BU$82)</f>
        <v>9215.5201827635919</v>
      </c>
      <c r="BV136" s="676">
        <f>SUM('Value Segment'!BV71,'Mid-Market Segment'!BV71,'Upper Mid-Market Segment'!BV71,'Premium Segment'!BV71)/SUM('Value Segment'!BV$82,'Mid-Market Segment'!BV$82,'Upper Mid-Market Segment'!BV$82,'Premium Segment'!BV$82)</f>
        <v>9215.5201827635919</v>
      </c>
      <c r="BW136" s="676">
        <f>SUM('Value Segment'!BW71,'Mid-Market Segment'!BW71,'Upper Mid-Market Segment'!BW71,'Premium Segment'!BW71)/SUM('Value Segment'!BW$82,'Mid-Market Segment'!BW$82,'Upper Mid-Market Segment'!BW$82,'Premium Segment'!BW$82)</f>
        <v>9215.5201827635919</v>
      </c>
      <c r="BX136" s="676">
        <f>SUM('Value Segment'!BX71,'Mid-Market Segment'!BX71,'Upper Mid-Market Segment'!BX71,'Premium Segment'!BX71)/SUM('Value Segment'!BX$82,'Mid-Market Segment'!BX$82,'Upper Mid-Market Segment'!BX$82,'Premium Segment'!BX$82)</f>
        <v>9215.5201827635919</v>
      </c>
      <c r="BY136" s="676">
        <f>SUM('Value Segment'!BY71,'Mid-Market Segment'!BY71,'Upper Mid-Market Segment'!BY71,'Premium Segment'!BY71)/SUM('Value Segment'!BY$82,'Mid-Market Segment'!BY$82,'Upper Mid-Market Segment'!BY$82,'Premium Segment'!BY$82)</f>
        <v>9215.5201827635919</v>
      </c>
    </row>
    <row r="137" spans="3:80" x14ac:dyDescent="0.3">
      <c r="C137" s="2"/>
      <c r="D137" s="2"/>
      <c r="E137" s="2" t="s">
        <v>407</v>
      </c>
      <c r="F137" s="2"/>
      <c r="G137" s="2"/>
      <c r="H137" s="2"/>
      <c r="I137" s="499">
        <f t="shared" ref="I137:N137" si="117">IFERROR(I136/I130,0)</f>
        <v>0.8667001499034781</v>
      </c>
      <c r="J137" s="499">
        <f t="shared" si="117"/>
        <v>0.89591786275503749</v>
      </c>
      <c r="K137" s="499">
        <f t="shared" si="117"/>
        <v>0.89970610046262889</v>
      </c>
      <c r="L137" s="499">
        <f t="shared" si="117"/>
        <v>0.90316040038240586</v>
      </c>
      <c r="M137" s="499">
        <f t="shared" si="117"/>
        <v>0.90630596237633532</v>
      </c>
      <c r="N137" s="499">
        <f t="shared" si="117"/>
        <v>0.90928901203668722</v>
      </c>
      <c r="O137" s="23"/>
      <c r="P137" s="50">
        <f>IFERROR(((N137/I137)^(1/5))-1,0)</f>
        <v>9.6401537121966197E-3</v>
      </c>
      <c r="R137" s="499">
        <f t="shared" ref="R137:AW137" si="118">IFERROR(R136/R130,0)</f>
        <v>0.89471558093124903</v>
      </c>
      <c r="S137" s="531">
        <f t="shared" si="118"/>
        <v>0.89471558093124903</v>
      </c>
      <c r="T137" s="531">
        <f t="shared" si="118"/>
        <v>0.89471558093124903</v>
      </c>
      <c r="U137" s="531">
        <f t="shared" si="118"/>
        <v>0.89471558093124903</v>
      </c>
      <c r="V137" s="531">
        <f t="shared" si="118"/>
        <v>0.89471558093124903</v>
      </c>
      <c r="W137" s="531">
        <f t="shared" si="118"/>
        <v>0.89471558093124903</v>
      </c>
      <c r="X137" s="531">
        <f t="shared" si="118"/>
        <v>0.89708854476006084</v>
      </c>
      <c r="Y137" s="531">
        <f t="shared" si="118"/>
        <v>0.89708854476006084</v>
      </c>
      <c r="Z137" s="531">
        <f t="shared" si="118"/>
        <v>0.89708854476006084</v>
      </c>
      <c r="AA137" s="531">
        <f t="shared" si="118"/>
        <v>0.89708854476006084</v>
      </c>
      <c r="AB137" s="531">
        <f t="shared" si="118"/>
        <v>0.89708854476006084</v>
      </c>
      <c r="AC137" s="531">
        <f t="shared" si="118"/>
        <v>0.89708854476006084</v>
      </c>
      <c r="AD137" s="531">
        <f t="shared" si="118"/>
        <v>0.89831263670818595</v>
      </c>
      <c r="AE137" s="531">
        <f t="shared" si="118"/>
        <v>0.89831263670818595</v>
      </c>
      <c r="AF137" s="531">
        <f t="shared" si="118"/>
        <v>0.89831263670818595</v>
      </c>
      <c r="AG137" s="531">
        <f t="shared" si="118"/>
        <v>0.89831263670818595</v>
      </c>
      <c r="AH137" s="531">
        <f t="shared" si="118"/>
        <v>0.89831263670818595</v>
      </c>
      <c r="AI137" s="531">
        <f t="shared" si="118"/>
        <v>0.89831263670818595</v>
      </c>
      <c r="AJ137" s="531">
        <f t="shared" si="118"/>
        <v>0.90105547423063437</v>
      </c>
      <c r="AK137" s="531">
        <f t="shared" si="118"/>
        <v>0.90105547423063437</v>
      </c>
      <c r="AL137" s="531">
        <f t="shared" si="118"/>
        <v>0.90105547423063437</v>
      </c>
      <c r="AM137" s="531">
        <f t="shared" si="118"/>
        <v>0.90105547423063437</v>
      </c>
      <c r="AN137" s="531">
        <f t="shared" si="118"/>
        <v>0.90105547423063437</v>
      </c>
      <c r="AO137" s="531">
        <f t="shared" si="118"/>
        <v>0.90105547423063437</v>
      </c>
      <c r="AP137" s="531">
        <f t="shared" si="118"/>
        <v>0.90160003584757031</v>
      </c>
      <c r="AQ137" s="531">
        <f t="shared" si="118"/>
        <v>0.90160003584757031</v>
      </c>
      <c r="AR137" s="531">
        <f t="shared" si="118"/>
        <v>0.90160003584757031</v>
      </c>
      <c r="AS137" s="531">
        <f t="shared" si="118"/>
        <v>0.90160003584757031</v>
      </c>
      <c r="AT137" s="531">
        <f t="shared" si="118"/>
        <v>0.90160003584757031</v>
      </c>
      <c r="AU137" s="531">
        <f t="shared" si="118"/>
        <v>0.90160003584757031</v>
      </c>
      <c r="AV137" s="531">
        <f t="shared" si="118"/>
        <v>0.90466345022650962</v>
      </c>
      <c r="AW137" s="531">
        <f t="shared" si="118"/>
        <v>0.90466345022650962</v>
      </c>
      <c r="AX137" s="531">
        <f t="shared" ref="AX137:BY137" si="119">IFERROR(AX136/AX130,0)</f>
        <v>0.90466345022650962</v>
      </c>
      <c r="AY137" s="531">
        <f t="shared" si="119"/>
        <v>0.90466345022650962</v>
      </c>
      <c r="AZ137" s="531">
        <f t="shared" si="119"/>
        <v>0.90466345022650962</v>
      </c>
      <c r="BA137" s="531">
        <f t="shared" si="119"/>
        <v>0.90466345022650962</v>
      </c>
      <c r="BB137" s="531">
        <f t="shared" si="119"/>
        <v>0.90459839148817323</v>
      </c>
      <c r="BC137" s="531">
        <f t="shared" si="119"/>
        <v>0.90459839148817323</v>
      </c>
      <c r="BD137" s="531">
        <f t="shared" si="119"/>
        <v>0.90459839148817323</v>
      </c>
      <c r="BE137" s="531">
        <f t="shared" si="119"/>
        <v>0.90459839148817323</v>
      </c>
      <c r="BF137" s="531">
        <f t="shared" si="119"/>
        <v>0.90459839148817323</v>
      </c>
      <c r="BG137" s="531">
        <f t="shared" si="119"/>
        <v>0.90459839148817323</v>
      </c>
      <c r="BH137" s="531">
        <f t="shared" si="119"/>
        <v>0.90794251079516075</v>
      </c>
      <c r="BI137" s="531">
        <f t="shared" si="119"/>
        <v>0.90794251079516075</v>
      </c>
      <c r="BJ137" s="531">
        <f t="shared" si="119"/>
        <v>0.90794251079516075</v>
      </c>
      <c r="BK137" s="531">
        <f t="shared" si="119"/>
        <v>0.90794251079516075</v>
      </c>
      <c r="BL137" s="531">
        <f t="shared" si="119"/>
        <v>0.90794251079516075</v>
      </c>
      <c r="BM137" s="531">
        <f t="shared" si="119"/>
        <v>0.90794251079516075</v>
      </c>
      <c r="BN137" s="531">
        <f t="shared" si="119"/>
        <v>0.90745559362394979</v>
      </c>
      <c r="BO137" s="531">
        <f t="shared" si="119"/>
        <v>0.90745559362394979</v>
      </c>
      <c r="BP137" s="531">
        <f t="shared" si="119"/>
        <v>0.90745559362394979</v>
      </c>
      <c r="BQ137" s="531">
        <f t="shared" si="119"/>
        <v>0.90745559362394979</v>
      </c>
      <c r="BR137" s="531">
        <f t="shared" si="119"/>
        <v>0.90745559362394979</v>
      </c>
      <c r="BS137" s="531">
        <f t="shared" si="119"/>
        <v>0.90745559362394979</v>
      </c>
      <c r="BT137" s="531">
        <f t="shared" si="119"/>
        <v>0.91103773618915485</v>
      </c>
      <c r="BU137" s="531">
        <f t="shared" si="119"/>
        <v>0.91103773618915485</v>
      </c>
      <c r="BV137" s="531">
        <f t="shared" si="119"/>
        <v>0.91103773618915485</v>
      </c>
      <c r="BW137" s="531">
        <f t="shared" si="119"/>
        <v>0.91103773618915485</v>
      </c>
      <c r="BX137" s="531">
        <f t="shared" si="119"/>
        <v>0.91103773618915485</v>
      </c>
      <c r="BY137" s="531">
        <f t="shared" si="119"/>
        <v>0.91103773618915485</v>
      </c>
    </row>
    <row r="138" spans="3:80" x14ac:dyDescent="0.3">
      <c r="C138" s="2"/>
      <c r="D138" s="2"/>
      <c r="E138" s="2"/>
      <c r="F138" s="54"/>
      <c r="G138" s="54"/>
      <c r="H138" s="54"/>
      <c r="I138" s="37"/>
      <c r="J138" s="37"/>
      <c r="K138" s="37"/>
      <c r="L138" s="37"/>
      <c r="M138" s="37"/>
      <c r="N138" s="37"/>
      <c r="O138" s="37"/>
      <c r="P138" s="50"/>
      <c r="R138" s="37"/>
      <c r="S138" s="37"/>
      <c r="T138" s="37"/>
      <c r="U138" s="37"/>
      <c r="V138" s="37"/>
      <c r="W138" s="37"/>
      <c r="X138" s="37"/>
      <c r="Y138" s="37"/>
      <c r="Z138" s="37"/>
      <c r="AA138" s="37"/>
      <c r="AB138" s="37"/>
      <c r="AC138" s="37"/>
      <c r="AD138" s="37"/>
      <c r="AE138" s="37"/>
      <c r="AF138" s="37"/>
      <c r="AG138" s="37"/>
      <c r="AH138" s="37"/>
      <c r="AI138" s="37"/>
      <c r="AJ138" s="37"/>
      <c r="AK138" s="37"/>
      <c r="AL138" s="37"/>
      <c r="AM138" s="37"/>
      <c r="AN138" s="37"/>
      <c r="AO138" s="37"/>
      <c r="AP138" s="37"/>
      <c r="AQ138" s="37"/>
      <c r="AR138" s="37"/>
      <c r="AS138" s="37"/>
      <c r="AT138" s="37"/>
      <c r="AU138" s="37"/>
      <c r="AV138" s="37"/>
      <c r="AW138" s="37"/>
      <c r="AX138" s="37"/>
      <c r="AY138" s="37"/>
      <c r="AZ138" s="37"/>
      <c r="BA138" s="37"/>
      <c r="BB138" s="37"/>
      <c r="BC138" s="37"/>
      <c r="BD138" s="37"/>
      <c r="BE138" s="37"/>
      <c r="BF138" s="37"/>
      <c r="BG138" s="37"/>
      <c r="BH138" s="37"/>
      <c r="BI138" s="37"/>
      <c r="BJ138" s="37"/>
      <c r="BK138" s="37"/>
      <c r="BL138" s="37"/>
      <c r="BM138" s="37"/>
      <c r="BN138" s="37"/>
      <c r="BO138" s="37"/>
      <c r="BP138" s="37"/>
      <c r="BQ138" s="37"/>
      <c r="BR138" s="37"/>
      <c r="BS138" s="37"/>
      <c r="BT138" s="37"/>
      <c r="BU138" s="37"/>
      <c r="BV138" s="37"/>
      <c r="BW138" s="37"/>
      <c r="BX138" s="37"/>
      <c r="BY138" s="37"/>
    </row>
    <row r="139" spans="3:80" x14ac:dyDescent="0.3">
      <c r="C139" s="2"/>
      <c r="D139" s="2"/>
      <c r="E139" s="2" t="s">
        <v>70</v>
      </c>
      <c r="F139" s="54"/>
      <c r="G139" s="54"/>
      <c r="H139" s="54"/>
      <c r="I139" s="19">
        <f>SUM('Value Segment'!I74,'Mid-Market Segment'!I74,'Upper Mid-Market Segment'!I74,'Premium Segment'!I74)/SUM('Value Segment'!I$82,'Mid-Market Segment'!I$82,'Upper Mid-Market Segment'!I$82,'Premium Segment'!I$82)</f>
        <v>-4670.7077922077924</v>
      </c>
      <c r="J139" s="19">
        <f>SUM('Value Segment'!J74,'Mid-Market Segment'!J74,'Upper Mid-Market Segment'!J74,'Premium Segment'!J74)/SUM('Value Segment'!J$82,'Mid-Market Segment'!J$82,'Upper Mid-Market Segment'!J$82,'Premium Segment'!J$82)</f>
        <v>-5510.2297990688576</v>
      </c>
      <c r="K139" s="19">
        <f>SUM('Value Segment'!K74,'Mid-Market Segment'!K74,'Upper Mid-Market Segment'!K74,'Premium Segment'!K74)/SUM('Value Segment'!K$82,'Mid-Market Segment'!K$82,'Upper Mid-Market Segment'!K$82,'Premium Segment'!K$82)</f>
        <v>-5642.7497251333443</v>
      </c>
      <c r="L139" s="19">
        <f>SUM('Value Segment'!L74,'Mid-Market Segment'!L74,'Upper Mid-Market Segment'!L74,'Premium Segment'!L74)/SUM('Value Segment'!L$82,'Mid-Market Segment'!L$82,'Upper Mid-Market Segment'!L$82,'Premium Segment'!L$82)</f>
        <v>-5769.454387874197</v>
      </c>
      <c r="M139" s="19">
        <f>SUM('Value Segment'!M74,'Mid-Market Segment'!M74,'Upper Mid-Market Segment'!M74,'Premium Segment'!M74)/SUM('Value Segment'!M$82,'Mid-Market Segment'!M$82,'Upper Mid-Market Segment'!M$82,'Premium Segment'!M$82)</f>
        <v>-5888.7530238770532</v>
      </c>
      <c r="N139" s="19">
        <f>SUM('Value Segment'!N74,'Mid-Market Segment'!N74,'Upper Mid-Market Segment'!N74,'Premium Segment'!N74)/SUM('Value Segment'!N$82,'Mid-Market Segment'!N$82,'Upper Mid-Market Segment'!N$82,'Premium Segment'!N$82)</f>
        <v>-6003.6777927150588</v>
      </c>
      <c r="O139" s="37"/>
      <c r="P139" s="50">
        <f>IFERROR(((N139/I139)^(1/5))-1,0)</f>
        <v>5.1494331251290104E-2</v>
      </c>
      <c r="R139" s="19">
        <f>SUM('Value Segment'!R74,'Mid-Market Segment'!R74,'Upper Mid-Market Segment'!R74,'Premium Segment'!R74)/SUM('Value Segment'!R$82,'Mid-Market Segment'!R$82,'Upper Mid-Market Segment'!R$82,'Premium Segment'!R$82)</f>
        <v>0</v>
      </c>
      <c r="S139" s="542">
        <f>SUM('Value Segment'!S74,'Mid-Market Segment'!S74,'Upper Mid-Market Segment'!S74,'Premium Segment'!S74)/SUM('Value Segment'!S$82,'Mid-Market Segment'!S$82,'Upper Mid-Market Segment'!S$82,'Premium Segment'!S$82)</f>
        <v>0</v>
      </c>
      <c r="T139" s="542">
        <f>SUM('Value Segment'!T74,'Mid-Market Segment'!T74,'Upper Mid-Market Segment'!T74,'Premium Segment'!T74)/SUM('Value Segment'!T$82,'Mid-Market Segment'!T$82,'Upper Mid-Market Segment'!T$82,'Premium Segment'!T$82)</f>
        <v>0</v>
      </c>
      <c r="U139" s="542">
        <f>SUM('Value Segment'!U74,'Mid-Market Segment'!U74,'Upper Mid-Market Segment'!U74,'Premium Segment'!U74)/SUM('Value Segment'!U$82,'Mid-Market Segment'!U$82,'Upper Mid-Market Segment'!U$82,'Premium Segment'!U$82)</f>
        <v>0</v>
      </c>
      <c r="V139" s="542">
        <f>SUM('Value Segment'!V74,'Mid-Market Segment'!V74,'Upper Mid-Market Segment'!V74,'Premium Segment'!V74)/SUM('Value Segment'!V$82,'Mid-Market Segment'!V$82,'Upper Mid-Market Segment'!V$82,'Premium Segment'!V$82)</f>
        <v>0</v>
      </c>
      <c r="W139" s="542">
        <f>SUM('Value Segment'!W74,'Mid-Market Segment'!W74,'Upper Mid-Market Segment'!W74,'Premium Segment'!W74)/SUM('Value Segment'!W$82,'Mid-Market Segment'!W$82,'Upper Mid-Market Segment'!W$82,'Premium Segment'!W$82)</f>
        <v>-5510.2297990688576</v>
      </c>
      <c r="X139" s="542">
        <f>SUM('Value Segment'!X74,'Mid-Market Segment'!X74,'Upper Mid-Market Segment'!X74,'Premium Segment'!X74)/SUM('Value Segment'!X$82,'Mid-Market Segment'!X$82,'Upper Mid-Market Segment'!X$82,'Premium Segment'!X$82)</f>
        <v>0</v>
      </c>
      <c r="Y139" s="542">
        <f>SUM('Value Segment'!Y74,'Mid-Market Segment'!Y74,'Upper Mid-Market Segment'!Y74,'Premium Segment'!Y74)/SUM('Value Segment'!Y$82,'Mid-Market Segment'!Y$82,'Upper Mid-Market Segment'!Y$82,'Premium Segment'!Y$82)</f>
        <v>0</v>
      </c>
      <c r="Z139" s="542">
        <f>SUM('Value Segment'!Z74,'Mid-Market Segment'!Z74,'Upper Mid-Market Segment'!Z74,'Premium Segment'!Z74)/SUM('Value Segment'!Z$82,'Mid-Market Segment'!Z$82,'Upper Mid-Market Segment'!Z$82,'Premium Segment'!Z$82)</f>
        <v>0</v>
      </c>
      <c r="AA139" s="542">
        <f>SUM('Value Segment'!AA74,'Mid-Market Segment'!AA74,'Upper Mid-Market Segment'!AA74,'Premium Segment'!AA74)/SUM('Value Segment'!AA$82,'Mid-Market Segment'!AA$82,'Upper Mid-Market Segment'!AA$82,'Premium Segment'!AA$82)</f>
        <v>0</v>
      </c>
      <c r="AB139" s="542">
        <f>SUM('Value Segment'!AB74,'Mid-Market Segment'!AB74,'Upper Mid-Market Segment'!AB74,'Premium Segment'!AB74)/SUM('Value Segment'!AB$82,'Mid-Market Segment'!AB$82,'Upper Mid-Market Segment'!AB$82,'Premium Segment'!AB$82)</f>
        <v>0</v>
      </c>
      <c r="AC139" s="542">
        <f>SUM('Value Segment'!AC74,'Mid-Market Segment'!AC74,'Upper Mid-Market Segment'!AC74,'Premium Segment'!AC74)/SUM('Value Segment'!AC$82,'Mid-Market Segment'!AC$82,'Upper Mid-Market Segment'!AC$82,'Premium Segment'!AC$82)</f>
        <v>0</v>
      </c>
      <c r="AD139" s="542">
        <f>SUM('Value Segment'!AD74,'Mid-Market Segment'!AD74,'Upper Mid-Market Segment'!AD74,'Premium Segment'!AD74)/SUM('Value Segment'!AD$82,'Mid-Market Segment'!AD$82,'Upper Mid-Market Segment'!AD$82,'Premium Segment'!AD$82)</f>
        <v>0</v>
      </c>
      <c r="AE139" s="542">
        <f>SUM('Value Segment'!AE74,'Mid-Market Segment'!AE74,'Upper Mid-Market Segment'!AE74,'Premium Segment'!AE74)/SUM('Value Segment'!AE$82,'Mid-Market Segment'!AE$82,'Upper Mid-Market Segment'!AE$82,'Premium Segment'!AE$82)</f>
        <v>0</v>
      </c>
      <c r="AF139" s="542">
        <f>SUM('Value Segment'!AF74,'Mid-Market Segment'!AF74,'Upper Mid-Market Segment'!AF74,'Premium Segment'!AF74)/SUM('Value Segment'!AF$82,'Mid-Market Segment'!AF$82,'Upper Mid-Market Segment'!AF$82,'Premium Segment'!AF$82)</f>
        <v>0</v>
      </c>
      <c r="AG139" s="542">
        <f>SUM('Value Segment'!AG74,'Mid-Market Segment'!AG74,'Upper Mid-Market Segment'!AG74,'Premium Segment'!AG74)/SUM('Value Segment'!AG$82,'Mid-Market Segment'!AG$82,'Upper Mid-Market Segment'!AG$82,'Premium Segment'!AG$82)</f>
        <v>0</v>
      </c>
      <c r="AH139" s="542">
        <f>SUM('Value Segment'!AH74,'Mid-Market Segment'!AH74,'Upper Mid-Market Segment'!AH74,'Premium Segment'!AH74)/SUM('Value Segment'!AH$82,'Mid-Market Segment'!AH$82,'Upper Mid-Market Segment'!AH$82,'Premium Segment'!AH$82)</f>
        <v>0</v>
      </c>
      <c r="AI139" s="542">
        <f>SUM('Value Segment'!AI74,'Mid-Market Segment'!AI74,'Upper Mid-Market Segment'!AI74,'Premium Segment'!AI74)/SUM('Value Segment'!AI$82,'Mid-Market Segment'!AI$82,'Upper Mid-Market Segment'!AI$82,'Premium Segment'!AI$82)</f>
        <v>-5642.7497251333443</v>
      </c>
      <c r="AJ139" s="542">
        <f>SUM('Value Segment'!AJ74,'Mid-Market Segment'!AJ74,'Upper Mid-Market Segment'!AJ74,'Premium Segment'!AJ74)/SUM('Value Segment'!AJ$82,'Mid-Market Segment'!AJ$82,'Upper Mid-Market Segment'!AJ$82,'Premium Segment'!AJ$82)</f>
        <v>0</v>
      </c>
      <c r="AK139" s="542">
        <f>SUM('Value Segment'!AK74,'Mid-Market Segment'!AK74,'Upper Mid-Market Segment'!AK74,'Premium Segment'!AK74)/SUM('Value Segment'!AK$82,'Mid-Market Segment'!AK$82,'Upper Mid-Market Segment'!AK$82,'Premium Segment'!AK$82)</f>
        <v>0</v>
      </c>
      <c r="AL139" s="542">
        <f>SUM('Value Segment'!AL74,'Mid-Market Segment'!AL74,'Upper Mid-Market Segment'!AL74,'Premium Segment'!AL74)/SUM('Value Segment'!AL$82,'Mid-Market Segment'!AL$82,'Upper Mid-Market Segment'!AL$82,'Premium Segment'!AL$82)</f>
        <v>0</v>
      </c>
      <c r="AM139" s="542">
        <f>SUM('Value Segment'!AM74,'Mid-Market Segment'!AM74,'Upper Mid-Market Segment'!AM74,'Premium Segment'!AM74)/SUM('Value Segment'!AM$82,'Mid-Market Segment'!AM$82,'Upper Mid-Market Segment'!AM$82,'Premium Segment'!AM$82)</f>
        <v>0</v>
      </c>
      <c r="AN139" s="542">
        <f>SUM('Value Segment'!AN74,'Mid-Market Segment'!AN74,'Upper Mid-Market Segment'!AN74,'Premium Segment'!AN74)/SUM('Value Segment'!AN$82,'Mid-Market Segment'!AN$82,'Upper Mid-Market Segment'!AN$82,'Premium Segment'!AN$82)</f>
        <v>0</v>
      </c>
      <c r="AO139" s="542">
        <f>SUM('Value Segment'!AO74,'Mid-Market Segment'!AO74,'Upper Mid-Market Segment'!AO74,'Premium Segment'!AO74)/SUM('Value Segment'!AO$82,'Mid-Market Segment'!AO$82,'Upper Mid-Market Segment'!AO$82,'Premium Segment'!AO$82)</f>
        <v>0</v>
      </c>
      <c r="AP139" s="542">
        <f>SUM('Value Segment'!AP74,'Mid-Market Segment'!AP74,'Upper Mid-Market Segment'!AP74,'Premium Segment'!AP74)/SUM('Value Segment'!AP$82,'Mid-Market Segment'!AP$82,'Upper Mid-Market Segment'!AP$82,'Premium Segment'!AP$82)</f>
        <v>0</v>
      </c>
      <c r="AQ139" s="542">
        <f>SUM('Value Segment'!AQ74,'Mid-Market Segment'!AQ74,'Upper Mid-Market Segment'!AQ74,'Premium Segment'!AQ74)/SUM('Value Segment'!AQ$82,'Mid-Market Segment'!AQ$82,'Upper Mid-Market Segment'!AQ$82,'Premium Segment'!AQ$82)</f>
        <v>0</v>
      </c>
      <c r="AR139" s="542">
        <f>SUM('Value Segment'!AR74,'Mid-Market Segment'!AR74,'Upper Mid-Market Segment'!AR74,'Premium Segment'!AR74)/SUM('Value Segment'!AR$82,'Mid-Market Segment'!AR$82,'Upper Mid-Market Segment'!AR$82,'Premium Segment'!AR$82)</f>
        <v>0</v>
      </c>
      <c r="AS139" s="542">
        <f>SUM('Value Segment'!AS74,'Mid-Market Segment'!AS74,'Upper Mid-Market Segment'!AS74,'Premium Segment'!AS74)/SUM('Value Segment'!AS$82,'Mid-Market Segment'!AS$82,'Upper Mid-Market Segment'!AS$82,'Premium Segment'!AS$82)</f>
        <v>0</v>
      </c>
      <c r="AT139" s="542">
        <f>SUM('Value Segment'!AT74,'Mid-Market Segment'!AT74,'Upper Mid-Market Segment'!AT74,'Premium Segment'!AT74)/SUM('Value Segment'!AT$82,'Mid-Market Segment'!AT$82,'Upper Mid-Market Segment'!AT$82,'Premium Segment'!AT$82)</f>
        <v>0</v>
      </c>
      <c r="AU139" s="542">
        <f>SUM('Value Segment'!AU74,'Mid-Market Segment'!AU74,'Upper Mid-Market Segment'!AU74,'Premium Segment'!AU74)/SUM('Value Segment'!AU$82,'Mid-Market Segment'!AU$82,'Upper Mid-Market Segment'!AU$82,'Premium Segment'!AU$82)</f>
        <v>-5769.454387874197</v>
      </c>
      <c r="AV139" s="542">
        <f>SUM('Value Segment'!AV74,'Mid-Market Segment'!AV74,'Upper Mid-Market Segment'!AV74,'Premium Segment'!AV74)/SUM('Value Segment'!AV$82,'Mid-Market Segment'!AV$82,'Upper Mid-Market Segment'!AV$82,'Premium Segment'!AV$82)</f>
        <v>0</v>
      </c>
      <c r="AW139" s="542">
        <f>SUM('Value Segment'!AW74,'Mid-Market Segment'!AW74,'Upper Mid-Market Segment'!AW74,'Premium Segment'!AW74)/SUM('Value Segment'!AW$82,'Mid-Market Segment'!AW$82,'Upper Mid-Market Segment'!AW$82,'Premium Segment'!AW$82)</f>
        <v>0</v>
      </c>
      <c r="AX139" s="542">
        <f>SUM('Value Segment'!AX74,'Mid-Market Segment'!AX74,'Upper Mid-Market Segment'!AX74,'Premium Segment'!AX74)/SUM('Value Segment'!AX$82,'Mid-Market Segment'!AX$82,'Upper Mid-Market Segment'!AX$82,'Premium Segment'!AX$82)</f>
        <v>0</v>
      </c>
      <c r="AY139" s="542">
        <f>SUM('Value Segment'!AY74,'Mid-Market Segment'!AY74,'Upper Mid-Market Segment'!AY74,'Premium Segment'!AY74)/SUM('Value Segment'!AY$82,'Mid-Market Segment'!AY$82,'Upper Mid-Market Segment'!AY$82,'Premium Segment'!AY$82)</f>
        <v>0</v>
      </c>
      <c r="AZ139" s="542">
        <f>SUM('Value Segment'!AZ74,'Mid-Market Segment'!AZ74,'Upper Mid-Market Segment'!AZ74,'Premium Segment'!AZ74)/SUM('Value Segment'!AZ$82,'Mid-Market Segment'!AZ$82,'Upper Mid-Market Segment'!AZ$82,'Premium Segment'!AZ$82)</f>
        <v>0</v>
      </c>
      <c r="BA139" s="542">
        <f>SUM('Value Segment'!BA74,'Mid-Market Segment'!BA74,'Upper Mid-Market Segment'!BA74,'Premium Segment'!BA74)/SUM('Value Segment'!BA$82,'Mid-Market Segment'!BA$82,'Upper Mid-Market Segment'!BA$82,'Premium Segment'!BA$82)</f>
        <v>0</v>
      </c>
      <c r="BB139" s="542">
        <f>SUM('Value Segment'!BB74,'Mid-Market Segment'!BB74,'Upper Mid-Market Segment'!BB74,'Premium Segment'!BB74)/SUM('Value Segment'!BB$82,'Mid-Market Segment'!BB$82,'Upper Mid-Market Segment'!BB$82,'Premium Segment'!BB$82)</f>
        <v>0</v>
      </c>
      <c r="BC139" s="542">
        <f>SUM('Value Segment'!BC74,'Mid-Market Segment'!BC74,'Upper Mid-Market Segment'!BC74,'Premium Segment'!BC74)/SUM('Value Segment'!BC$82,'Mid-Market Segment'!BC$82,'Upper Mid-Market Segment'!BC$82,'Premium Segment'!BC$82)</f>
        <v>0</v>
      </c>
      <c r="BD139" s="542">
        <f>SUM('Value Segment'!BD74,'Mid-Market Segment'!BD74,'Upper Mid-Market Segment'!BD74,'Premium Segment'!BD74)/SUM('Value Segment'!BD$82,'Mid-Market Segment'!BD$82,'Upper Mid-Market Segment'!BD$82,'Premium Segment'!BD$82)</f>
        <v>0</v>
      </c>
      <c r="BE139" s="542">
        <f>SUM('Value Segment'!BE74,'Mid-Market Segment'!BE74,'Upper Mid-Market Segment'!BE74,'Premium Segment'!BE74)/SUM('Value Segment'!BE$82,'Mid-Market Segment'!BE$82,'Upper Mid-Market Segment'!BE$82,'Premium Segment'!BE$82)</f>
        <v>0</v>
      </c>
      <c r="BF139" s="542">
        <f>SUM('Value Segment'!BF74,'Mid-Market Segment'!BF74,'Upper Mid-Market Segment'!BF74,'Premium Segment'!BF74)/SUM('Value Segment'!BF$82,'Mid-Market Segment'!BF$82,'Upper Mid-Market Segment'!BF$82,'Premium Segment'!BF$82)</f>
        <v>0</v>
      </c>
      <c r="BG139" s="542">
        <f>SUM('Value Segment'!BG74,'Mid-Market Segment'!BG74,'Upper Mid-Market Segment'!BG74,'Premium Segment'!BG74)/SUM('Value Segment'!BG$82,'Mid-Market Segment'!BG$82,'Upper Mid-Market Segment'!BG$82,'Premium Segment'!BG$82)</f>
        <v>-5888.7530238770532</v>
      </c>
      <c r="BH139" s="542">
        <f>SUM('Value Segment'!BH74,'Mid-Market Segment'!BH74,'Upper Mid-Market Segment'!BH74,'Premium Segment'!BH74)/SUM('Value Segment'!BH$82,'Mid-Market Segment'!BH$82,'Upper Mid-Market Segment'!BH$82,'Premium Segment'!BH$82)</f>
        <v>0</v>
      </c>
      <c r="BI139" s="542">
        <f>SUM('Value Segment'!BI74,'Mid-Market Segment'!BI74,'Upper Mid-Market Segment'!BI74,'Premium Segment'!BI74)/SUM('Value Segment'!BI$82,'Mid-Market Segment'!BI$82,'Upper Mid-Market Segment'!BI$82,'Premium Segment'!BI$82)</f>
        <v>0</v>
      </c>
      <c r="BJ139" s="542">
        <f>SUM('Value Segment'!BJ74,'Mid-Market Segment'!BJ74,'Upper Mid-Market Segment'!BJ74,'Premium Segment'!BJ74)/SUM('Value Segment'!BJ$82,'Mid-Market Segment'!BJ$82,'Upper Mid-Market Segment'!BJ$82,'Premium Segment'!BJ$82)</f>
        <v>0</v>
      </c>
      <c r="BK139" s="542">
        <f>SUM('Value Segment'!BK74,'Mid-Market Segment'!BK74,'Upper Mid-Market Segment'!BK74,'Premium Segment'!BK74)/SUM('Value Segment'!BK$82,'Mid-Market Segment'!BK$82,'Upper Mid-Market Segment'!BK$82,'Premium Segment'!BK$82)</f>
        <v>0</v>
      </c>
      <c r="BL139" s="542">
        <f>SUM('Value Segment'!BL74,'Mid-Market Segment'!BL74,'Upper Mid-Market Segment'!BL74,'Premium Segment'!BL74)/SUM('Value Segment'!BL$82,'Mid-Market Segment'!BL$82,'Upper Mid-Market Segment'!BL$82,'Premium Segment'!BL$82)</f>
        <v>0</v>
      </c>
      <c r="BM139" s="542">
        <f>SUM('Value Segment'!BM74,'Mid-Market Segment'!BM74,'Upper Mid-Market Segment'!BM74,'Premium Segment'!BM74)/SUM('Value Segment'!BM$82,'Mid-Market Segment'!BM$82,'Upper Mid-Market Segment'!BM$82,'Premium Segment'!BM$82)</f>
        <v>0</v>
      </c>
      <c r="BN139" s="542">
        <f>SUM('Value Segment'!BN74,'Mid-Market Segment'!BN74,'Upper Mid-Market Segment'!BN74,'Premium Segment'!BN74)/SUM('Value Segment'!BN$82,'Mid-Market Segment'!BN$82,'Upper Mid-Market Segment'!BN$82,'Premium Segment'!BN$82)</f>
        <v>0</v>
      </c>
      <c r="BO139" s="542">
        <f>SUM('Value Segment'!BO74,'Mid-Market Segment'!BO74,'Upper Mid-Market Segment'!BO74,'Premium Segment'!BO74)/SUM('Value Segment'!BO$82,'Mid-Market Segment'!BO$82,'Upper Mid-Market Segment'!BO$82,'Premium Segment'!BO$82)</f>
        <v>0</v>
      </c>
      <c r="BP139" s="542">
        <f>SUM('Value Segment'!BP74,'Mid-Market Segment'!BP74,'Upper Mid-Market Segment'!BP74,'Premium Segment'!BP74)/SUM('Value Segment'!BP$82,'Mid-Market Segment'!BP$82,'Upper Mid-Market Segment'!BP$82,'Premium Segment'!BP$82)</f>
        <v>0</v>
      </c>
      <c r="BQ139" s="542">
        <f>SUM('Value Segment'!BQ74,'Mid-Market Segment'!BQ74,'Upper Mid-Market Segment'!BQ74,'Premium Segment'!BQ74)/SUM('Value Segment'!BQ$82,'Mid-Market Segment'!BQ$82,'Upper Mid-Market Segment'!BQ$82,'Premium Segment'!BQ$82)</f>
        <v>0</v>
      </c>
      <c r="BR139" s="542">
        <f>SUM('Value Segment'!BR74,'Mid-Market Segment'!BR74,'Upper Mid-Market Segment'!BR74,'Premium Segment'!BR74)/SUM('Value Segment'!BR$82,'Mid-Market Segment'!BR$82,'Upper Mid-Market Segment'!BR$82,'Premium Segment'!BR$82)</f>
        <v>0</v>
      </c>
      <c r="BS139" s="542">
        <f>SUM('Value Segment'!BS74,'Mid-Market Segment'!BS74,'Upper Mid-Market Segment'!BS74,'Premium Segment'!BS74)/SUM('Value Segment'!BS$82,'Mid-Market Segment'!BS$82,'Upper Mid-Market Segment'!BS$82,'Premium Segment'!BS$82)</f>
        <v>-6003.6777927150588</v>
      </c>
      <c r="BT139" s="542">
        <f>SUM('Value Segment'!BT74,'Mid-Market Segment'!BT74,'Upper Mid-Market Segment'!BT74,'Premium Segment'!BT74)/SUM('Value Segment'!BT$82,'Mid-Market Segment'!BT$82,'Upper Mid-Market Segment'!BT$82,'Premium Segment'!BT$82)</f>
        <v>0</v>
      </c>
      <c r="BU139" s="542">
        <f>SUM('Value Segment'!BU74,'Mid-Market Segment'!BU74,'Upper Mid-Market Segment'!BU74,'Premium Segment'!BU74)/SUM('Value Segment'!BU$82,'Mid-Market Segment'!BU$82,'Upper Mid-Market Segment'!BU$82,'Premium Segment'!BU$82)</f>
        <v>0</v>
      </c>
      <c r="BV139" s="542">
        <f>SUM('Value Segment'!BV74,'Mid-Market Segment'!BV74,'Upper Mid-Market Segment'!BV74,'Premium Segment'!BV74)/SUM('Value Segment'!BV$82,'Mid-Market Segment'!BV$82,'Upper Mid-Market Segment'!BV$82,'Premium Segment'!BV$82)</f>
        <v>0</v>
      </c>
      <c r="BW139" s="542">
        <f>SUM('Value Segment'!BW74,'Mid-Market Segment'!BW74,'Upper Mid-Market Segment'!BW74,'Premium Segment'!BW74)/SUM('Value Segment'!BW$82,'Mid-Market Segment'!BW$82,'Upper Mid-Market Segment'!BW$82,'Premium Segment'!BW$82)</f>
        <v>0</v>
      </c>
      <c r="BX139" s="542">
        <f>SUM('Value Segment'!BX74,'Mid-Market Segment'!BX74,'Upper Mid-Market Segment'!BX74,'Premium Segment'!BX74)/SUM('Value Segment'!BX$82,'Mid-Market Segment'!BX$82,'Upper Mid-Market Segment'!BX$82,'Premium Segment'!BX$82)</f>
        <v>0</v>
      </c>
      <c r="BY139" s="542">
        <f>SUM('Value Segment'!BY74,'Mid-Market Segment'!BY74,'Upper Mid-Market Segment'!BY74,'Premium Segment'!BY74)/SUM('Value Segment'!BY$82,'Mid-Market Segment'!BY$82,'Upper Mid-Market Segment'!BY$82,'Premium Segment'!BY$82)</f>
        <v>0</v>
      </c>
    </row>
    <row r="140" spans="3:80" x14ac:dyDescent="0.3">
      <c r="C140" s="2"/>
      <c r="D140" s="2"/>
      <c r="E140" s="2" t="s">
        <v>185</v>
      </c>
      <c r="F140" s="54"/>
      <c r="G140" s="54"/>
      <c r="H140" s="54"/>
      <c r="I140" s="19">
        <f>SUM('Value Segment'!I75,'Mid-Market Segment'!I75,'Upper Mid-Market Segment'!I75,'Premium Segment'!I75)/SUM('Value Segment'!I$82,'Mid-Market Segment'!I$82,'Upper Mid-Market Segment'!I$82,'Premium Segment'!I$82)</f>
        <v>0</v>
      </c>
      <c r="J140" s="19">
        <f>SUM('Value Segment'!J75,'Mid-Market Segment'!J75,'Upper Mid-Market Segment'!J75,'Premium Segment'!J75)/SUM('Value Segment'!J$82,'Mid-Market Segment'!J$82,'Upper Mid-Market Segment'!J$82,'Premium Segment'!J$82)</f>
        <v>0</v>
      </c>
      <c r="K140" s="19">
        <f>SUM('Value Segment'!K75,'Mid-Market Segment'!K75,'Upper Mid-Market Segment'!K75,'Premium Segment'!K75)/SUM('Value Segment'!K$82,'Mid-Market Segment'!K$82,'Upper Mid-Market Segment'!K$82,'Premium Segment'!K$82)</f>
        <v>0</v>
      </c>
      <c r="L140" s="19">
        <f>SUM('Value Segment'!L75,'Mid-Market Segment'!L75,'Upper Mid-Market Segment'!L75,'Premium Segment'!L75)/SUM('Value Segment'!L$82,'Mid-Market Segment'!L$82,'Upper Mid-Market Segment'!L$82,'Premium Segment'!L$82)</f>
        <v>0</v>
      </c>
      <c r="M140" s="19">
        <f>SUM('Value Segment'!M75,'Mid-Market Segment'!M75,'Upper Mid-Market Segment'!M75,'Premium Segment'!M75)/SUM('Value Segment'!M$82,'Mid-Market Segment'!M$82,'Upper Mid-Market Segment'!M$82,'Premium Segment'!M$82)</f>
        <v>0</v>
      </c>
      <c r="N140" s="19">
        <f>SUM('Value Segment'!N75,'Mid-Market Segment'!N75,'Upper Mid-Market Segment'!N75,'Premium Segment'!N75)/SUM('Value Segment'!N$82,'Mid-Market Segment'!N$82,'Upper Mid-Market Segment'!N$82,'Premium Segment'!N$82)</f>
        <v>0</v>
      </c>
      <c r="O140" s="37"/>
      <c r="P140" s="50">
        <f>IFERROR(((N140/I140)^(1/5))-1,0)</f>
        <v>0</v>
      </c>
      <c r="R140" s="19">
        <f>SUM('Value Segment'!R75,'Mid-Market Segment'!R75,'Upper Mid-Market Segment'!R75,'Premium Segment'!R75)/SUM('Value Segment'!R$82,'Mid-Market Segment'!R$82,'Upper Mid-Market Segment'!R$82,'Premium Segment'!R$82)</f>
        <v>0</v>
      </c>
      <c r="S140" s="542">
        <f>SUM('Value Segment'!S75,'Mid-Market Segment'!S75,'Upper Mid-Market Segment'!S75,'Premium Segment'!S75)/SUM('Value Segment'!S$82,'Mid-Market Segment'!S$82,'Upper Mid-Market Segment'!S$82,'Premium Segment'!S$82)</f>
        <v>0</v>
      </c>
      <c r="T140" s="542">
        <f>SUM('Value Segment'!T75,'Mid-Market Segment'!T75,'Upper Mid-Market Segment'!T75,'Premium Segment'!T75)/SUM('Value Segment'!T$82,'Mid-Market Segment'!T$82,'Upper Mid-Market Segment'!T$82,'Premium Segment'!T$82)</f>
        <v>0</v>
      </c>
      <c r="U140" s="542">
        <f>SUM('Value Segment'!U75,'Mid-Market Segment'!U75,'Upper Mid-Market Segment'!U75,'Premium Segment'!U75)/SUM('Value Segment'!U$82,'Mid-Market Segment'!U$82,'Upper Mid-Market Segment'!U$82,'Premium Segment'!U$82)</f>
        <v>0</v>
      </c>
      <c r="V140" s="542">
        <f>SUM('Value Segment'!V75,'Mid-Market Segment'!V75,'Upper Mid-Market Segment'!V75,'Premium Segment'!V75)/SUM('Value Segment'!V$82,'Mid-Market Segment'!V$82,'Upper Mid-Market Segment'!V$82,'Premium Segment'!V$82)</f>
        <v>0</v>
      </c>
      <c r="W140" s="542">
        <f>SUM('Value Segment'!W75,'Mid-Market Segment'!W75,'Upper Mid-Market Segment'!W75,'Premium Segment'!W75)/SUM('Value Segment'!W$82,'Mid-Market Segment'!W$82,'Upper Mid-Market Segment'!W$82,'Premium Segment'!W$82)</f>
        <v>0</v>
      </c>
      <c r="X140" s="542">
        <f>SUM('Value Segment'!X75,'Mid-Market Segment'!X75,'Upper Mid-Market Segment'!X75,'Premium Segment'!X75)/SUM('Value Segment'!X$82,'Mid-Market Segment'!X$82,'Upper Mid-Market Segment'!X$82,'Premium Segment'!X$82)</f>
        <v>0</v>
      </c>
      <c r="Y140" s="542">
        <f>SUM('Value Segment'!Y75,'Mid-Market Segment'!Y75,'Upper Mid-Market Segment'!Y75,'Premium Segment'!Y75)/SUM('Value Segment'!Y$82,'Mid-Market Segment'!Y$82,'Upper Mid-Market Segment'!Y$82,'Premium Segment'!Y$82)</f>
        <v>0</v>
      </c>
      <c r="Z140" s="542">
        <f>SUM('Value Segment'!Z75,'Mid-Market Segment'!Z75,'Upper Mid-Market Segment'!Z75,'Premium Segment'!Z75)/SUM('Value Segment'!Z$82,'Mid-Market Segment'!Z$82,'Upper Mid-Market Segment'!Z$82,'Premium Segment'!Z$82)</f>
        <v>0</v>
      </c>
      <c r="AA140" s="542">
        <f>SUM('Value Segment'!AA75,'Mid-Market Segment'!AA75,'Upper Mid-Market Segment'!AA75,'Premium Segment'!AA75)/SUM('Value Segment'!AA$82,'Mid-Market Segment'!AA$82,'Upper Mid-Market Segment'!AA$82,'Premium Segment'!AA$82)</f>
        <v>0</v>
      </c>
      <c r="AB140" s="542">
        <f>SUM('Value Segment'!AB75,'Mid-Market Segment'!AB75,'Upper Mid-Market Segment'!AB75,'Premium Segment'!AB75)/SUM('Value Segment'!AB$82,'Mid-Market Segment'!AB$82,'Upper Mid-Market Segment'!AB$82,'Premium Segment'!AB$82)</f>
        <v>0</v>
      </c>
      <c r="AC140" s="542">
        <f>SUM('Value Segment'!AC75,'Mid-Market Segment'!AC75,'Upper Mid-Market Segment'!AC75,'Premium Segment'!AC75)/SUM('Value Segment'!AC$82,'Mid-Market Segment'!AC$82,'Upper Mid-Market Segment'!AC$82,'Premium Segment'!AC$82)</f>
        <v>0</v>
      </c>
      <c r="AD140" s="542">
        <f>SUM('Value Segment'!AD75,'Mid-Market Segment'!AD75,'Upper Mid-Market Segment'!AD75,'Premium Segment'!AD75)/SUM('Value Segment'!AD$82,'Mid-Market Segment'!AD$82,'Upper Mid-Market Segment'!AD$82,'Premium Segment'!AD$82)</f>
        <v>0</v>
      </c>
      <c r="AE140" s="542">
        <f>SUM('Value Segment'!AE75,'Mid-Market Segment'!AE75,'Upper Mid-Market Segment'!AE75,'Premium Segment'!AE75)/SUM('Value Segment'!AE$82,'Mid-Market Segment'!AE$82,'Upper Mid-Market Segment'!AE$82,'Premium Segment'!AE$82)</f>
        <v>0</v>
      </c>
      <c r="AF140" s="542">
        <f>SUM('Value Segment'!AF75,'Mid-Market Segment'!AF75,'Upper Mid-Market Segment'!AF75,'Premium Segment'!AF75)/SUM('Value Segment'!AF$82,'Mid-Market Segment'!AF$82,'Upper Mid-Market Segment'!AF$82,'Premium Segment'!AF$82)</f>
        <v>0</v>
      </c>
      <c r="AG140" s="542">
        <f>SUM('Value Segment'!AG75,'Mid-Market Segment'!AG75,'Upper Mid-Market Segment'!AG75,'Premium Segment'!AG75)/SUM('Value Segment'!AG$82,'Mid-Market Segment'!AG$82,'Upper Mid-Market Segment'!AG$82,'Premium Segment'!AG$82)</f>
        <v>0</v>
      </c>
      <c r="AH140" s="542">
        <f>SUM('Value Segment'!AH75,'Mid-Market Segment'!AH75,'Upper Mid-Market Segment'!AH75,'Premium Segment'!AH75)/SUM('Value Segment'!AH$82,'Mid-Market Segment'!AH$82,'Upper Mid-Market Segment'!AH$82,'Premium Segment'!AH$82)</f>
        <v>0</v>
      </c>
      <c r="AI140" s="542">
        <f>SUM('Value Segment'!AI75,'Mid-Market Segment'!AI75,'Upper Mid-Market Segment'!AI75,'Premium Segment'!AI75)/SUM('Value Segment'!AI$82,'Mid-Market Segment'!AI$82,'Upper Mid-Market Segment'!AI$82,'Premium Segment'!AI$82)</f>
        <v>0</v>
      </c>
      <c r="AJ140" s="542">
        <f>SUM('Value Segment'!AJ75,'Mid-Market Segment'!AJ75,'Upper Mid-Market Segment'!AJ75,'Premium Segment'!AJ75)/SUM('Value Segment'!AJ$82,'Mid-Market Segment'!AJ$82,'Upper Mid-Market Segment'!AJ$82,'Premium Segment'!AJ$82)</f>
        <v>0</v>
      </c>
      <c r="AK140" s="542">
        <f>SUM('Value Segment'!AK75,'Mid-Market Segment'!AK75,'Upper Mid-Market Segment'!AK75,'Premium Segment'!AK75)/SUM('Value Segment'!AK$82,'Mid-Market Segment'!AK$82,'Upper Mid-Market Segment'!AK$82,'Premium Segment'!AK$82)</f>
        <v>0</v>
      </c>
      <c r="AL140" s="542">
        <f>SUM('Value Segment'!AL75,'Mid-Market Segment'!AL75,'Upper Mid-Market Segment'!AL75,'Premium Segment'!AL75)/SUM('Value Segment'!AL$82,'Mid-Market Segment'!AL$82,'Upper Mid-Market Segment'!AL$82,'Premium Segment'!AL$82)</f>
        <v>0</v>
      </c>
      <c r="AM140" s="542">
        <f>SUM('Value Segment'!AM75,'Mid-Market Segment'!AM75,'Upper Mid-Market Segment'!AM75,'Premium Segment'!AM75)/SUM('Value Segment'!AM$82,'Mid-Market Segment'!AM$82,'Upper Mid-Market Segment'!AM$82,'Premium Segment'!AM$82)</f>
        <v>0</v>
      </c>
      <c r="AN140" s="542">
        <f>SUM('Value Segment'!AN75,'Mid-Market Segment'!AN75,'Upper Mid-Market Segment'!AN75,'Premium Segment'!AN75)/SUM('Value Segment'!AN$82,'Mid-Market Segment'!AN$82,'Upper Mid-Market Segment'!AN$82,'Premium Segment'!AN$82)</f>
        <v>0</v>
      </c>
      <c r="AO140" s="542">
        <f>SUM('Value Segment'!AO75,'Mid-Market Segment'!AO75,'Upper Mid-Market Segment'!AO75,'Premium Segment'!AO75)/SUM('Value Segment'!AO$82,'Mid-Market Segment'!AO$82,'Upper Mid-Market Segment'!AO$82,'Premium Segment'!AO$82)</f>
        <v>0</v>
      </c>
      <c r="AP140" s="542">
        <f>SUM('Value Segment'!AP75,'Mid-Market Segment'!AP75,'Upper Mid-Market Segment'!AP75,'Premium Segment'!AP75)/SUM('Value Segment'!AP$82,'Mid-Market Segment'!AP$82,'Upper Mid-Market Segment'!AP$82,'Premium Segment'!AP$82)</f>
        <v>0</v>
      </c>
      <c r="AQ140" s="542">
        <f>SUM('Value Segment'!AQ75,'Mid-Market Segment'!AQ75,'Upper Mid-Market Segment'!AQ75,'Premium Segment'!AQ75)/SUM('Value Segment'!AQ$82,'Mid-Market Segment'!AQ$82,'Upper Mid-Market Segment'!AQ$82,'Premium Segment'!AQ$82)</f>
        <v>0</v>
      </c>
      <c r="AR140" s="542">
        <f>SUM('Value Segment'!AR75,'Mid-Market Segment'!AR75,'Upper Mid-Market Segment'!AR75,'Premium Segment'!AR75)/SUM('Value Segment'!AR$82,'Mid-Market Segment'!AR$82,'Upper Mid-Market Segment'!AR$82,'Premium Segment'!AR$82)</f>
        <v>0</v>
      </c>
      <c r="AS140" s="542">
        <f>SUM('Value Segment'!AS75,'Mid-Market Segment'!AS75,'Upper Mid-Market Segment'!AS75,'Premium Segment'!AS75)/SUM('Value Segment'!AS$82,'Mid-Market Segment'!AS$82,'Upper Mid-Market Segment'!AS$82,'Premium Segment'!AS$82)</f>
        <v>0</v>
      </c>
      <c r="AT140" s="542">
        <f>SUM('Value Segment'!AT75,'Mid-Market Segment'!AT75,'Upper Mid-Market Segment'!AT75,'Premium Segment'!AT75)/SUM('Value Segment'!AT$82,'Mid-Market Segment'!AT$82,'Upper Mid-Market Segment'!AT$82,'Premium Segment'!AT$82)</f>
        <v>0</v>
      </c>
      <c r="AU140" s="542">
        <f>SUM('Value Segment'!AU75,'Mid-Market Segment'!AU75,'Upper Mid-Market Segment'!AU75,'Premium Segment'!AU75)/SUM('Value Segment'!AU$82,'Mid-Market Segment'!AU$82,'Upper Mid-Market Segment'!AU$82,'Premium Segment'!AU$82)</f>
        <v>0</v>
      </c>
      <c r="AV140" s="542">
        <f>SUM('Value Segment'!AV75,'Mid-Market Segment'!AV75,'Upper Mid-Market Segment'!AV75,'Premium Segment'!AV75)/SUM('Value Segment'!AV$82,'Mid-Market Segment'!AV$82,'Upper Mid-Market Segment'!AV$82,'Premium Segment'!AV$82)</f>
        <v>0</v>
      </c>
      <c r="AW140" s="542">
        <f>SUM('Value Segment'!AW75,'Mid-Market Segment'!AW75,'Upper Mid-Market Segment'!AW75,'Premium Segment'!AW75)/SUM('Value Segment'!AW$82,'Mid-Market Segment'!AW$82,'Upper Mid-Market Segment'!AW$82,'Premium Segment'!AW$82)</f>
        <v>0</v>
      </c>
      <c r="AX140" s="542">
        <f>SUM('Value Segment'!AX75,'Mid-Market Segment'!AX75,'Upper Mid-Market Segment'!AX75,'Premium Segment'!AX75)/SUM('Value Segment'!AX$82,'Mid-Market Segment'!AX$82,'Upper Mid-Market Segment'!AX$82,'Premium Segment'!AX$82)</f>
        <v>0</v>
      </c>
      <c r="AY140" s="542">
        <f>SUM('Value Segment'!AY75,'Mid-Market Segment'!AY75,'Upper Mid-Market Segment'!AY75,'Premium Segment'!AY75)/SUM('Value Segment'!AY$82,'Mid-Market Segment'!AY$82,'Upper Mid-Market Segment'!AY$82,'Premium Segment'!AY$82)</f>
        <v>0</v>
      </c>
      <c r="AZ140" s="542">
        <f>SUM('Value Segment'!AZ75,'Mid-Market Segment'!AZ75,'Upper Mid-Market Segment'!AZ75,'Premium Segment'!AZ75)/SUM('Value Segment'!AZ$82,'Mid-Market Segment'!AZ$82,'Upper Mid-Market Segment'!AZ$82,'Premium Segment'!AZ$82)</f>
        <v>0</v>
      </c>
      <c r="BA140" s="542">
        <f>SUM('Value Segment'!BA75,'Mid-Market Segment'!BA75,'Upper Mid-Market Segment'!BA75,'Premium Segment'!BA75)/SUM('Value Segment'!BA$82,'Mid-Market Segment'!BA$82,'Upper Mid-Market Segment'!BA$82,'Premium Segment'!BA$82)</f>
        <v>0</v>
      </c>
      <c r="BB140" s="542">
        <f>SUM('Value Segment'!BB75,'Mid-Market Segment'!BB75,'Upper Mid-Market Segment'!BB75,'Premium Segment'!BB75)/SUM('Value Segment'!BB$82,'Mid-Market Segment'!BB$82,'Upper Mid-Market Segment'!BB$82,'Premium Segment'!BB$82)</f>
        <v>0</v>
      </c>
      <c r="BC140" s="542">
        <f>SUM('Value Segment'!BC75,'Mid-Market Segment'!BC75,'Upper Mid-Market Segment'!BC75,'Premium Segment'!BC75)/SUM('Value Segment'!BC$82,'Mid-Market Segment'!BC$82,'Upper Mid-Market Segment'!BC$82,'Premium Segment'!BC$82)</f>
        <v>0</v>
      </c>
      <c r="BD140" s="542">
        <f>SUM('Value Segment'!BD75,'Mid-Market Segment'!BD75,'Upper Mid-Market Segment'!BD75,'Premium Segment'!BD75)/SUM('Value Segment'!BD$82,'Mid-Market Segment'!BD$82,'Upper Mid-Market Segment'!BD$82,'Premium Segment'!BD$82)</f>
        <v>0</v>
      </c>
      <c r="BE140" s="542">
        <f>SUM('Value Segment'!BE75,'Mid-Market Segment'!BE75,'Upper Mid-Market Segment'!BE75,'Premium Segment'!BE75)/SUM('Value Segment'!BE$82,'Mid-Market Segment'!BE$82,'Upper Mid-Market Segment'!BE$82,'Premium Segment'!BE$82)</f>
        <v>0</v>
      </c>
      <c r="BF140" s="542">
        <f>SUM('Value Segment'!BF75,'Mid-Market Segment'!BF75,'Upper Mid-Market Segment'!BF75,'Premium Segment'!BF75)/SUM('Value Segment'!BF$82,'Mid-Market Segment'!BF$82,'Upper Mid-Market Segment'!BF$82,'Premium Segment'!BF$82)</f>
        <v>0</v>
      </c>
      <c r="BG140" s="542">
        <f>SUM('Value Segment'!BG75,'Mid-Market Segment'!BG75,'Upper Mid-Market Segment'!BG75,'Premium Segment'!BG75)/SUM('Value Segment'!BG$82,'Mid-Market Segment'!BG$82,'Upper Mid-Market Segment'!BG$82,'Premium Segment'!BG$82)</f>
        <v>0</v>
      </c>
      <c r="BH140" s="542">
        <f>SUM('Value Segment'!BH75,'Mid-Market Segment'!BH75,'Upper Mid-Market Segment'!BH75,'Premium Segment'!BH75)/SUM('Value Segment'!BH$82,'Mid-Market Segment'!BH$82,'Upper Mid-Market Segment'!BH$82,'Premium Segment'!BH$82)</f>
        <v>0</v>
      </c>
      <c r="BI140" s="542">
        <f>SUM('Value Segment'!BI75,'Mid-Market Segment'!BI75,'Upper Mid-Market Segment'!BI75,'Premium Segment'!BI75)/SUM('Value Segment'!BI$82,'Mid-Market Segment'!BI$82,'Upper Mid-Market Segment'!BI$82,'Premium Segment'!BI$82)</f>
        <v>0</v>
      </c>
      <c r="BJ140" s="542">
        <f>SUM('Value Segment'!BJ75,'Mid-Market Segment'!BJ75,'Upper Mid-Market Segment'!BJ75,'Premium Segment'!BJ75)/SUM('Value Segment'!BJ$82,'Mid-Market Segment'!BJ$82,'Upper Mid-Market Segment'!BJ$82,'Premium Segment'!BJ$82)</f>
        <v>0</v>
      </c>
      <c r="BK140" s="542">
        <f>SUM('Value Segment'!BK75,'Mid-Market Segment'!BK75,'Upper Mid-Market Segment'!BK75,'Premium Segment'!BK75)/SUM('Value Segment'!BK$82,'Mid-Market Segment'!BK$82,'Upper Mid-Market Segment'!BK$82,'Premium Segment'!BK$82)</f>
        <v>0</v>
      </c>
      <c r="BL140" s="542">
        <f>SUM('Value Segment'!BL75,'Mid-Market Segment'!BL75,'Upper Mid-Market Segment'!BL75,'Premium Segment'!BL75)/SUM('Value Segment'!BL$82,'Mid-Market Segment'!BL$82,'Upper Mid-Market Segment'!BL$82,'Premium Segment'!BL$82)</f>
        <v>0</v>
      </c>
      <c r="BM140" s="542">
        <f>SUM('Value Segment'!BM75,'Mid-Market Segment'!BM75,'Upper Mid-Market Segment'!BM75,'Premium Segment'!BM75)/SUM('Value Segment'!BM$82,'Mid-Market Segment'!BM$82,'Upper Mid-Market Segment'!BM$82,'Premium Segment'!BM$82)</f>
        <v>0</v>
      </c>
      <c r="BN140" s="542">
        <f>SUM('Value Segment'!BN75,'Mid-Market Segment'!BN75,'Upper Mid-Market Segment'!BN75,'Premium Segment'!BN75)/SUM('Value Segment'!BN$82,'Mid-Market Segment'!BN$82,'Upper Mid-Market Segment'!BN$82,'Premium Segment'!BN$82)</f>
        <v>0</v>
      </c>
      <c r="BO140" s="542">
        <f>SUM('Value Segment'!BO75,'Mid-Market Segment'!BO75,'Upper Mid-Market Segment'!BO75,'Premium Segment'!BO75)/SUM('Value Segment'!BO$82,'Mid-Market Segment'!BO$82,'Upper Mid-Market Segment'!BO$82,'Premium Segment'!BO$82)</f>
        <v>0</v>
      </c>
      <c r="BP140" s="542">
        <f>SUM('Value Segment'!BP75,'Mid-Market Segment'!BP75,'Upper Mid-Market Segment'!BP75,'Premium Segment'!BP75)/SUM('Value Segment'!BP$82,'Mid-Market Segment'!BP$82,'Upper Mid-Market Segment'!BP$82,'Premium Segment'!BP$82)</f>
        <v>0</v>
      </c>
      <c r="BQ140" s="542">
        <f>SUM('Value Segment'!BQ75,'Mid-Market Segment'!BQ75,'Upper Mid-Market Segment'!BQ75,'Premium Segment'!BQ75)/SUM('Value Segment'!BQ$82,'Mid-Market Segment'!BQ$82,'Upper Mid-Market Segment'!BQ$82,'Premium Segment'!BQ$82)</f>
        <v>0</v>
      </c>
      <c r="BR140" s="542">
        <f>SUM('Value Segment'!BR75,'Mid-Market Segment'!BR75,'Upper Mid-Market Segment'!BR75,'Premium Segment'!BR75)/SUM('Value Segment'!BR$82,'Mid-Market Segment'!BR$82,'Upper Mid-Market Segment'!BR$82,'Premium Segment'!BR$82)</f>
        <v>0</v>
      </c>
      <c r="BS140" s="542">
        <f>SUM('Value Segment'!BS75,'Mid-Market Segment'!BS75,'Upper Mid-Market Segment'!BS75,'Premium Segment'!BS75)/SUM('Value Segment'!BS$82,'Mid-Market Segment'!BS$82,'Upper Mid-Market Segment'!BS$82,'Premium Segment'!BS$82)</f>
        <v>0</v>
      </c>
      <c r="BT140" s="542">
        <f>SUM('Value Segment'!BT75,'Mid-Market Segment'!BT75,'Upper Mid-Market Segment'!BT75,'Premium Segment'!BT75)/SUM('Value Segment'!BT$82,'Mid-Market Segment'!BT$82,'Upper Mid-Market Segment'!BT$82,'Premium Segment'!BT$82)</f>
        <v>0</v>
      </c>
      <c r="BU140" s="542">
        <f>SUM('Value Segment'!BU75,'Mid-Market Segment'!BU75,'Upper Mid-Market Segment'!BU75,'Premium Segment'!BU75)/SUM('Value Segment'!BU$82,'Mid-Market Segment'!BU$82,'Upper Mid-Market Segment'!BU$82,'Premium Segment'!BU$82)</f>
        <v>0</v>
      </c>
      <c r="BV140" s="542">
        <f>SUM('Value Segment'!BV75,'Mid-Market Segment'!BV75,'Upper Mid-Market Segment'!BV75,'Premium Segment'!BV75)/SUM('Value Segment'!BV$82,'Mid-Market Segment'!BV$82,'Upper Mid-Market Segment'!BV$82,'Premium Segment'!BV$82)</f>
        <v>0</v>
      </c>
      <c r="BW140" s="542">
        <f>SUM('Value Segment'!BW75,'Mid-Market Segment'!BW75,'Upper Mid-Market Segment'!BW75,'Premium Segment'!BW75)/SUM('Value Segment'!BW$82,'Mid-Market Segment'!BW$82,'Upper Mid-Market Segment'!BW$82,'Premium Segment'!BW$82)</f>
        <v>0</v>
      </c>
      <c r="BX140" s="542">
        <f>SUM('Value Segment'!BX75,'Mid-Market Segment'!BX75,'Upper Mid-Market Segment'!BX75,'Premium Segment'!BX75)/SUM('Value Segment'!BX$82,'Mid-Market Segment'!BX$82,'Upper Mid-Market Segment'!BX$82,'Premium Segment'!BX$82)</f>
        <v>0</v>
      </c>
      <c r="BY140" s="542">
        <f>SUM('Value Segment'!BY75,'Mid-Market Segment'!BY75,'Upper Mid-Market Segment'!BY75,'Premium Segment'!BY75)/SUM('Value Segment'!BY$82,'Mid-Market Segment'!BY$82,'Upper Mid-Market Segment'!BY$82,'Premium Segment'!BY$82)</f>
        <v>0</v>
      </c>
    </row>
    <row r="141" spans="3:80" x14ac:dyDescent="0.3">
      <c r="C141" s="2"/>
      <c r="D141" s="2"/>
      <c r="E141" s="2" t="s">
        <v>370</v>
      </c>
      <c r="F141" s="54"/>
      <c r="G141" s="54"/>
      <c r="H141" s="54"/>
      <c r="I141" s="19">
        <f>SUM('Value Segment'!I76,'Mid-Market Segment'!I76,'Upper Mid-Market Segment'!I76,'Premium Segment'!I76)/SUM('Value Segment'!I$82,'Mid-Market Segment'!I$82,'Upper Mid-Market Segment'!I$82,'Premium Segment'!I$82)</f>
        <v>0</v>
      </c>
      <c r="J141" s="19">
        <f>SUM('Value Segment'!J76,'Mid-Market Segment'!J76,'Upper Mid-Market Segment'!J76,'Premium Segment'!J76)/SUM('Value Segment'!J$82,'Mid-Market Segment'!J$82,'Upper Mid-Market Segment'!J$82,'Premium Segment'!J$82)</f>
        <v>0</v>
      </c>
      <c r="K141" s="19">
        <f>SUM('Value Segment'!K76,'Mid-Market Segment'!K76,'Upper Mid-Market Segment'!K76,'Premium Segment'!K76)/SUM('Value Segment'!K$82,'Mid-Market Segment'!K$82,'Upper Mid-Market Segment'!K$82,'Premium Segment'!K$82)</f>
        <v>0</v>
      </c>
      <c r="L141" s="19">
        <f>SUM('Value Segment'!L76,'Mid-Market Segment'!L76,'Upper Mid-Market Segment'!L76,'Premium Segment'!L76)/SUM('Value Segment'!L$82,'Mid-Market Segment'!L$82,'Upper Mid-Market Segment'!L$82,'Premium Segment'!L$82)</f>
        <v>0</v>
      </c>
      <c r="M141" s="19">
        <f>SUM('Value Segment'!M76,'Mid-Market Segment'!M76,'Upper Mid-Market Segment'!M76,'Premium Segment'!M76)/SUM('Value Segment'!M$82,'Mid-Market Segment'!M$82,'Upper Mid-Market Segment'!M$82,'Premium Segment'!M$82)</f>
        <v>0</v>
      </c>
      <c r="N141" s="19">
        <f>SUM('Value Segment'!N76,'Mid-Market Segment'!N76,'Upper Mid-Market Segment'!N76,'Premium Segment'!N76)/SUM('Value Segment'!N$82,'Mid-Market Segment'!N$82,'Upper Mid-Market Segment'!N$82,'Premium Segment'!N$82)</f>
        <v>0</v>
      </c>
      <c r="O141" s="37"/>
      <c r="P141" s="50">
        <f>IFERROR(((N141/I141)^(1/5))-1,0)</f>
        <v>0</v>
      </c>
      <c r="R141" s="19">
        <f>SUM('Value Segment'!R76,'Mid-Market Segment'!R76,'Upper Mid-Market Segment'!R76,'Premium Segment'!R76)/SUM('Value Segment'!R$82,'Mid-Market Segment'!R$82,'Upper Mid-Market Segment'!R$82,'Premium Segment'!R$82)</f>
        <v>0</v>
      </c>
      <c r="S141" s="542">
        <f>SUM('Value Segment'!S76,'Mid-Market Segment'!S76,'Upper Mid-Market Segment'!S76,'Premium Segment'!S76)/SUM('Value Segment'!S$82,'Mid-Market Segment'!S$82,'Upper Mid-Market Segment'!S$82,'Premium Segment'!S$82)</f>
        <v>0</v>
      </c>
      <c r="T141" s="542">
        <f>SUM('Value Segment'!T76,'Mid-Market Segment'!T76,'Upper Mid-Market Segment'!T76,'Premium Segment'!T76)/SUM('Value Segment'!T$82,'Mid-Market Segment'!T$82,'Upper Mid-Market Segment'!T$82,'Premium Segment'!T$82)</f>
        <v>0</v>
      </c>
      <c r="U141" s="542">
        <f>SUM('Value Segment'!U76,'Mid-Market Segment'!U76,'Upper Mid-Market Segment'!U76,'Premium Segment'!U76)/SUM('Value Segment'!U$82,'Mid-Market Segment'!U$82,'Upper Mid-Market Segment'!U$82,'Premium Segment'!U$82)</f>
        <v>0</v>
      </c>
      <c r="V141" s="542">
        <f>SUM('Value Segment'!V76,'Mid-Market Segment'!V76,'Upper Mid-Market Segment'!V76,'Premium Segment'!V76)/SUM('Value Segment'!V$82,'Mid-Market Segment'!V$82,'Upper Mid-Market Segment'!V$82,'Premium Segment'!V$82)</f>
        <v>0</v>
      </c>
      <c r="W141" s="542">
        <f>SUM('Value Segment'!W76,'Mid-Market Segment'!W76,'Upper Mid-Market Segment'!W76,'Premium Segment'!W76)/SUM('Value Segment'!W$82,'Mid-Market Segment'!W$82,'Upper Mid-Market Segment'!W$82,'Premium Segment'!W$82)</f>
        <v>0</v>
      </c>
      <c r="X141" s="542">
        <f>SUM('Value Segment'!X76,'Mid-Market Segment'!X76,'Upper Mid-Market Segment'!X76,'Premium Segment'!X76)/SUM('Value Segment'!X$82,'Mid-Market Segment'!X$82,'Upper Mid-Market Segment'!X$82,'Premium Segment'!X$82)</f>
        <v>0</v>
      </c>
      <c r="Y141" s="542">
        <f>SUM('Value Segment'!Y76,'Mid-Market Segment'!Y76,'Upper Mid-Market Segment'!Y76,'Premium Segment'!Y76)/SUM('Value Segment'!Y$82,'Mid-Market Segment'!Y$82,'Upper Mid-Market Segment'!Y$82,'Premium Segment'!Y$82)</f>
        <v>0</v>
      </c>
      <c r="Z141" s="542">
        <f>SUM('Value Segment'!Z76,'Mid-Market Segment'!Z76,'Upper Mid-Market Segment'!Z76,'Premium Segment'!Z76)/SUM('Value Segment'!Z$82,'Mid-Market Segment'!Z$82,'Upper Mid-Market Segment'!Z$82,'Premium Segment'!Z$82)</f>
        <v>0</v>
      </c>
      <c r="AA141" s="542">
        <f>SUM('Value Segment'!AA76,'Mid-Market Segment'!AA76,'Upper Mid-Market Segment'!AA76,'Premium Segment'!AA76)/SUM('Value Segment'!AA$82,'Mid-Market Segment'!AA$82,'Upper Mid-Market Segment'!AA$82,'Premium Segment'!AA$82)</f>
        <v>0</v>
      </c>
      <c r="AB141" s="542">
        <f>SUM('Value Segment'!AB76,'Mid-Market Segment'!AB76,'Upper Mid-Market Segment'!AB76,'Premium Segment'!AB76)/SUM('Value Segment'!AB$82,'Mid-Market Segment'!AB$82,'Upper Mid-Market Segment'!AB$82,'Premium Segment'!AB$82)</f>
        <v>0</v>
      </c>
      <c r="AC141" s="542">
        <f>SUM('Value Segment'!AC76,'Mid-Market Segment'!AC76,'Upper Mid-Market Segment'!AC76,'Premium Segment'!AC76)/SUM('Value Segment'!AC$82,'Mid-Market Segment'!AC$82,'Upper Mid-Market Segment'!AC$82,'Premium Segment'!AC$82)</f>
        <v>0</v>
      </c>
      <c r="AD141" s="542">
        <f>SUM('Value Segment'!AD76,'Mid-Market Segment'!AD76,'Upper Mid-Market Segment'!AD76,'Premium Segment'!AD76)/SUM('Value Segment'!AD$82,'Mid-Market Segment'!AD$82,'Upper Mid-Market Segment'!AD$82,'Premium Segment'!AD$82)</f>
        <v>0</v>
      </c>
      <c r="AE141" s="542">
        <f>SUM('Value Segment'!AE76,'Mid-Market Segment'!AE76,'Upper Mid-Market Segment'!AE76,'Premium Segment'!AE76)/SUM('Value Segment'!AE$82,'Mid-Market Segment'!AE$82,'Upper Mid-Market Segment'!AE$82,'Premium Segment'!AE$82)</f>
        <v>0</v>
      </c>
      <c r="AF141" s="542">
        <f>SUM('Value Segment'!AF76,'Mid-Market Segment'!AF76,'Upper Mid-Market Segment'!AF76,'Premium Segment'!AF76)/SUM('Value Segment'!AF$82,'Mid-Market Segment'!AF$82,'Upper Mid-Market Segment'!AF$82,'Premium Segment'!AF$82)</f>
        <v>0</v>
      </c>
      <c r="AG141" s="542">
        <f>SUM('Value Segment'!AG76,'Mid-Market Segment'!AG76,'Upper Mid-Market Segment'!AG76,'Premium Segment'!AG76)/SUM('Value Segment'!AG$82,'Mid-Market Segment'!AG$82,'Upper Mid-Market Segment'!AG$82,'Premium Segment'!AG$82)</f>
        <v>0</v>
      </c>
      <c r="AH141" s="542">
        <f>SUM('Value Segment'!AH76,'Mid-Market Segment'!AH76,'Upper Mid-Market Segment'!AH76,'Premium Segment'!AH76)/SUM('Value Segment'!AH$82,'Mid-Market Segment'!AH$82,'Upper Mid-Market Segment'!AH$82,'Premium Segment'!AH$82)</f>
        <v>0</v>
      </c>
      <c r="AI141" s="542">
        <f>SUM('Value Segment'!AI76,'Mid-Market Segment'!AI76,'Upper Mid-Market Segment'!AI76,'Premium Segment'!AI76)/SUM('Value Segment'!AI$82,'Mid-Market Segment'!AI$82,'Upper Mid-Market Segment'!AI$82,'Premium Segment'!AI$82)</f>
        <v>0</v>
      </c>
      <c r="AJ141" s="542">
        <f>SUM('Value Segment'!AJ76,'Mid-Market Segment'!AJ76,'Upper Mid-Market Segment'!AJ76,'Premium Segment'!AJ76)/SUM('Value Segment'!AJ$82,'Mid-Market Segment'!AJ$82,'Upper Mid-Market Segment'!AJ$82,'Premium Segment'!AJ$82)</f>
        <v>0</v>
      </c>
      <c r="AK141" s="542">
        <f>SUM('Value Segment'!AK76,'Mid-Market Segment'!AK76,'Upper Mid-Market Segment'!AK76,'Premium Segment'!AK76)/SUM('Value Segment'!AK$82,'Mid-Market Segment'!AK$82,'Upper Mid-Market Segment'!AK$82,'Premium Segment'!AK$82)</f>
        <v>0</v>
      </c>
      <c r="AL141" s="542">
        <f>SUM('Value Segment'!AL76,'Mid-Market Segment'!AL76,'Upper Mid-Market Segment'!AL76,'Premium Segment'!AL76)/SUM('Value Segment'!AL$82,'Mid-Market Segment'!AL$82,'Upper Mid-Market Segment'!AL$82,'Premium Segment'!AL$82)</f>
        <v>0</v>
      </c>
      <c r="AM141" s="542">
        <f>SUM('Value Segment'!AM76,'Mid-Market Segment'!AM76,'Upper Mid-Market Segment'!AM76,'Premium Segment'!AM76)/SUM('Value Segment'!AM$82,'Mid-Market Segment'!AM$82,'Upper Mid-Market Segment'!AM$82,'Premium Segment'!AM$82)</f>
        <v>0</v>
      </c>
      <c r="AN141" s="542">
        <f>SUM('Value Segment'!AN76,'Mid-Market Segment'!AN76,'Upper Mid-Market Segment'!AN76,'Premium Segment'!AN76)/SUM('Value Segment'!AN$82,'Mid-Market Segment'!AN$82,'Upper Mid-Market Segment'!AN$82,'Premium Segment'!AN$82)</f>
        <v>0</v>
      </c>
      <c r="AO141" s="542">
        <f>SUM('Value Segment'!AO76,'Mid-Market Segment'!AO76,'Upper Mid-Market Segment'!AO76,'Premium Segment'!AO76)/SUM('Value Segment'!AO$82,'Mid-Market Segment'!AO$82,'Upper Mid-Market Segment'!AO$82,'Premium Segment'!AO$82)</f>
        <v>0</v>
      </c>
      <c r="AP141" s="542">
        <f>SUM('Value Segment'!AP76,'Mid-Market Segment'!AP76,'Upper Mid-Market Segment'!AP76,'Premium Segment'!AP76)/SUM('Value Segment'!AP$82,'Mid-Market Segment'!AP$82,'Upper Mid-Market Segment'!AP$82,'Premium Segment'!AP$82)</f>
        <v>0</v>
      </c>
      <c r="AQ141" s="542">
        <f>SUM('Value Segment'!AQ76,'Mid-Market Segment'!AQ76,'Upper Mid-Market Segment'!AQ76,'Premium Segment'!AQ76)/SUM('Value Segment'!AQ$82,'Mid-Market Segment'!AQ$82,'Upper Mid-Market Segment'!AQ$82,'Premium Segment'!AQ$82)</f>
        <v>0</v>
      </c>
      <c r="AR141" s="542">
        <f>SUM('Value Segment'!AR76,'Mid-Market Segment'!AR76,'Upper Mid-Market Segment'!AR76,'Premium Segment'!AR76)/SUM('Value Segment'!AR$82,'Mid-Market Segment'!AR$82,'Upper Mid-Market Segment'!AR$82,'Premium Segment'!AR$82)</f>
        <v>0</v>
      </c>
      <c r="AS141" s="542">
        <f>SUM('Value Segment'!AS76,'Mid-Market Segment'!AS76,'Upper Mid-Market Segment'!AS76,'Premium Segment'!AS76)/SUM('Value Segment'!AS$82,'Mid-Market Segment'!AS$82,'Upper Mid-Market Segment'!AS$82,'Premium Segment'!AS$82)</f>
        <v>0</v>
      </c>
      <c r="AT141" s="542">
        <f>SUM('Value Segment'!AT76,'Mid-Market Segment'!AT76,'Upper Mid-Market Segment'!AT76,'Premium Segment'!AT76)/SUM('Value Segment'!AT$82,'Mid-Market Segment'!AT$82,'Upper Mid-Market Segment'!AT$82,'Premium Segment'!AT$82)</f>
        <v>0</v>
      </c>
      <c r="AU141" s="542">
        <f>SUM('Value Segment'!AU76,'Mid-Market Segment'!AU76,'Upper Mid-Market Segment'!AU76,'Premium Segment'!AU76)/SUM('Value Segment'!AU$82,'Mid-Market Segment'!AU$82,'Upper Mid-Market Segment'!AU$82,'Premium Segment'!AU$82)</f>
        <v>0</v>
      </c>
      <c r="AV141" s="542">
        <f>SUM('Value Segment'!AV76,'Mid-Market Segment'!AV76,'Upper Mid-Market Segment'!AV76,'Premium Segment'!AV76)/SUM('Value Segment'!AV$82,'Mid-Market Segment'!AV$82,'Upper Mid-Market Segment'!AV$82,'Premium Segment'!AV$82)</f>
        <v>0</v>
      </c>
      <c r="AW141" s="542">
        <f>SUM('Value Segment'!AW76,'Mid-Market Segment'!AW76,'Upper Mid-Market Segment'!AW76,'Premium Segment'!AW76)/SUM('Value Segment'!AW$82,'Mid-Market Segment'!AW$82,'Upper Mid-Market Segment'!AW$82,'Premium Segment'!AW$82)</f>
        <v>0</v>
      </c>
      <c r="AX141" s="542">
        <f>SUM('Value Segment'!AX76,'Mid-Market Segment'!AX76,'Upper Mid-Market Segment'!AX76,'Premium Segment'!AX76)/SUM('Value Segment'!AX$82,'Mid-Market Segment'!AX$82,'Upper Mid-Market Segment'!AX$82,'Premium Segment'!AX$82)</f>
        <v>0</v>
      </c>
      <c r="AY141" s="542">
        <f>SUM('Value Segment'!AY76,'Mid-Market Segment'!AY76,'Upper Mid-Market Segment'!AY76,'Premium Segment'!AY76)/SUM('Value Segment'!AY$82,'Mid-Market Segment'!AY$82,'Upper Mid-Market Segment'!AY$82,'Premium Segment'!AY$82)</f>
        <v>0</v>
      </c>
      <c r="AZ141" s="542">
        <f>SUM('Value Segment'!AZ76,'Mid-Market Segment'!AZ76,'Upper Mid-Market Segment'!AZ76,'Premium Segment'!AZ76)/SUM('Value Segment'!AZ$82,'Mid-Market Segment'!AZ$82,'Upper Mid-Market Segment'!AZ$82,'Premium Segment'!AZ$82)</f>
        <v>0</v>
      </c>
      <c r="BA141" s="542">
        <f>SUM('Value Segment'!BA76,'Mid-Market Segment'!BA76,'Upper Mid-Market Segment'!BA76,'Premium Segment'!BA76)/SUM('Value Segment'!BA$82,'Mid-Market Segment'!BA$82,'Upper Mid-Market Segment'!BA$82,'Premium Segment'!BA$82)</f>
        <v>0</v>
      </c>
      <c r="BB141" s="542">
        <f>SUM('Value Segment'!BB76,'Mid-Market Segment'!BB76,'Upper Mid-Market Segment'!BB76,'Premium Segment'!BB76)/SUM('Value Segment'!BB$82,'Mid-Market Segment'!BB$82,'Upper Mid-Market Segment'!BB$82,'Premium Segment'!BB$82)</f>
        <v>0</v>
      </c>
      <c r="BC141" s="542">
        <f>SUM('Value Segment'!BC76,'Mid-Market Segment'!BC76,'Upper Mid-Market Segment'!BC76,'Premium Segment'!BC76)/SUM('Value Segment'!BC$82,'Mid-Market Segment'!BC$82,'Upper Mid-Market Segment'!BC$82,'Premium Segment'!BC$82)</f>
        <v>0</v>
      </c>
      <c r="BD141" s="542">
        <f>SUM('Value Segment'!BD76,'Mid-Market Segment'!BD76,'Upper Mid-Market Segment'!BD76,'Premium Segment'!BD76)/SUM('Value Segment'!BD$82,'Mid-Market Segment'!BD$82,'Upper Mid-Market Segment'!BD$82,'Premium Segment'!BD$82)</f>
        <v>0</v>
      </c>
      <c r="BE141" s="542">
        <f>SUM('Value Segment'!BE76,'Mid-Market Segment'!BE76,'Upper Mid-Market Segment'!BE76,'Premium Segment'!BE76)/SUM('Value Segment'!BE$82,'Mid-Market Segment'!BE$82,'Upper Mid-Market Segment'!BE$82,'Premium Segment'!BE$82)</f>
        <v>0</v>
      </c>
      <c r="BF141" s="542">
        <f>SUM('Value Segment'!BF76,'Mid-Market Segment'!BF76,'Upper Mid-Market Segment'!BF76,'Premium Segment'!BF76)/SUM('Value Segment'!BF$82,'Mid-Market Segment'!BF$82,'Upper Mid-Market Segment'!BF$82,'Premium Segment'!BF$82)</f>
        <v>0</v>
      </c>
      <c r="BG141" s="542">
        <f>SUM('Value Segment'!BG76,'Mid-Market Segment'!BG76,'Upper Mid-Market Segment'!BG76,'Premium Segment'!BG76)/SUM('Value Segment'!BG$82,'Mid-Market Segment'!BG$82,'Upper Mid-Market Segment'!BG$82,'Premium Segment'!BG$82)</f>
        <v>0</v>
      </c>
      <c r="BH141" s="542">
        <f>SUM('Value Segment'!BH76,'Mid-Market Segment'!BH76,'Upper Mid-Market Segment'!BH76,'Premium Segment'!BH76)/SUM('Value Segment'!BH$82,'Mid-Market Segment'!BH$82,'Upper Mid-Market Segment'!BH$82,'Premium Segment'!BH$82)</f>
        <v>0</v>
      </c>
      <c r="BI141" s="542">
        <f>SUM('Value Segment'!BI76,'Mid-Market Segment'!BI76,'Upper Mid-Market Segment'!BI76,'Premium Segment'!BI76)/SUM('Value Segment'!BI$82,'Mid-Market Segment'!BI$82,'Upper Mid-Market Segment'!BI$82,'Premium Segment'!BI$82)</f>
        <v>0</v>
      </c>
      <c r="BJ141" s="542">
        <f>SUM('Value Segment'!BJ76,'Mid-Market Segment'!BJ76,'Upper Mid-Market Segment'!BJ76,'Premium Segment'!BJ76)/SUM('Value Segment'!BJ$82,'Mid-Market Segment'!BJ$82,'Upper Mid-Market Segment'!BJ$82,'Premium Segment'!BJ$82)</f>
        <v>0</v>
      </c>
      <c r="BK141" s="542">
        <f>SUM('Value Segment'!BK76,'Mid-Market Segment'!BK76,'Upper Mid-Market Segment'!BK76,'Premium Segment'!BK76)/SUM('Value Segment'!BK$82,'Mid-Market Segment'!BK$82,'Upper Mid-Market Segment'!BK$82,'Premium Segment'!BK$82)</f>
        <v>0</v>
      </c>
      <c r="BL141" s="542">
        <f>SUM('Value Segment'!BL76,'Mid-Market Segment'!BL76,'Upper Mid-Market Segment'!BL76,'Premium Segment'!BL76)/SUM('Value Segment'!BL$82,'Mid-Market Segment'!BL$82,'Upper Mid-Market Segment'!BL$82,'Premium Segment'!BL$82)</f>
        <v>0</v>
      </c>
      <c r="BM141" s="542">
        <f>SUM('Value Segment'!BM76,'Mid-Market Segment'!BM76,'Upper Mid-Market Segment'!BM76,'Premium Segment'!BM76)/SUM('Value Segment'!BM$82,'Mid-Market Segment'!BM$82,'Upper Mid-Market Segment'!BM$82,'Premium Segment'!BM$82)</f>
        <v>0</v>
      </c>
      <c r="BN141" s="542">
        <f>SUM('Value Segment'!BN76,'Mid-Market Segment'!BN76,'Upper Mid-Market Segment'!BN76,'Premium Segment'!BN76)/SUM('Value Segment'!BN$82,'Mid-Market Segment'!BN$82,'Upper Mid-Market Segment'!BN$82,'Premium Segment'!BN$82)</f>
        <v>0</v>
      </c>
      <c r="BO141" s="542">
        <f>SUM('Value Segment'!BO76,'Mid-Market Segment'!BO76,'Upper Mid-Market Segment'!BO76,'Premium Segment'!BO76)/SUM('Value Segment'!BO$82,'Mid-Market Segment'!BO$82,'Upper Mid-Market Segment'!BO$82,'Premium Segment'!BO$82)</f>
        <v>0</v>
      </c>
      <c r="BP141" s="542">
        <f>SUM('Value Segment'!BP76,'Mid-Market Segment'!BP76,'Upper Mid-Market Segment'!BP76,'Premium Segment'!BP76)/SUM('Value Segment'!BP$82,'Mid-Market Segment'!BP$82,'Upper Mid-Market Segment'!BP$82,'Premium Segment'!BP$82)</f>
        <v>0</v>
      </c>
      <c r="BQ141" s="542">
        <f>SUM('Value Segment'!BQ76,'Mid-Market Segment'!BQ76,'Upper Mid-Market Segment'!BQ76,'Premium Segment'!BQ76)/SUM('Value Segment'!BQ$82,'Mid-Market Segment'!BQ$82,'Upper Mid-Market Segment'!BQ$82,'Premium Segment'!BQ$82)</f>
        <v>0</v>
      </c>
      <c r="BR141" s="542">
        <f>SUM('Value Segment'!BR76,'Mid-Market Segment'!BR76,'Upper Mid-Market Segment'!BR76,'Premium Segment'!BR76)/SUM('Value Segment'!BR$82,'Mid-Market Segment'!BR$82,'Upper Mid-Market Segment'!BR$82,'Premium Segment'!BR$82)</f>
        <v>0</v>
      </c>
      <c r="BS141" s="542">
        <f>SUM('Value Segment'!BS76,'Mid-Market Segment'!BS76,'Upper Mid-Market Segment'!BS76,'Premium Segment'!BS76)/SUM('Value Segment'!BS$82,'Mid-Market Segment'!BS$82,'Upper Mid-Market Segment'!BS$82,'Premium Segment'!BS$82)</f>
        <v>0</v>
      </c>
      <c r="BT141" s="542">
        <f>SUM('Value Segment'!BT76,'Mid-Market Segment'!BT76,'Upper Mid-Market Segment'!BT76,'Premium Segment'!BT76)/SUM('Value Segment'!BT$82,'Mid-Market Segment'!BT$82,'Upper Mid-Market Segment'!BT$82,'Premium Segment'!BT$82)</f>
        <v>0</v>
      </c>
      <c r="BU141" s="542">
        <f>SUM('Value Segment'!BU76,'Mid-Market Segment'!BU76,'Upper Mid-Market Segment'!BU76,'Premium Segment'!BU76)/SUM('Value Segment'!BU$82,'Mid-Market Segment'!BU$82,'Upper Mid-Market Segment'!BU$82,'Premium Segment'!BU$82)</f>
        <v>0</v>
      </c>
      <c r="BV141" s="542">
        <f>SUM('Value Segment'!BV76,'Mid-Market Segment'!BV76,'Upper Mid-Market Segment'!BV76,'Premium Segment'!BV76)/SUM('Value Segment'!BV$82,'Mid-Market Segment'!BV$82,'Upper Mid-Market Segment'!BV$82,'Premium Segment'!BV$82)</f>
        <v>0</v>
      </c>
      <c r="BW141" s="542">
        <f>SUM('Value Segment'!BW76,'Mid-Market Segment'!BW76,'Upper Mid-Market Segment'!BW76,'Premium Segment'!BW76)/SUM('Value Segment'!BW$82,'Mid-Market Segment'!BW$82,'Upper Mid-Market Segment'!BW$82,'Premium Segment'!BW$82)</f>
        <v>0</v>
      </c>
      <c r="BX141" s="542">
        <f>SUM('Value Segment'!BX76,'Mid-Market Segment'!BX76,'Upper Mid-Market Segment'!BX76,'Premium Segment'!BX76)/SUM('Value Segment'!BX$82,'Mid-Market Segment'!BX$82,'Upper Mid-Market Segment'!BX$82,'Premium Segment'!BX$82)</f>
        <v>0</v>
      </c>
      <c r="BY141" s="542">
        <f>SUM('Value Segment'!BY76,'Mid-Market Segment'!BY76,'Upper Mid-Market Segment'!BY76,'Premium Segment'!BY76)/SUM('Value Segment'!BY$82,'Mid-Market Segment'!BY$82,'Upper Mid-Market Segment'!BY$82,'Premium Segment'!BY$82)</f>
        <v>0</v>
      </c>
    </row>
    <row r="142" spans="3:80" x14ac:dyDescent="0.3">
      <c r="C142" s="2"/>
      <c r="D142" s="2"/>
      <c r="E142" s="62" t="s">
        <v>71</v>
      </c>
      <c r="F142" s="63"/>
      <c r="G142" s="63"/>
      <c r="H142" s="63"/>
      <c r="I142" s="673">
        <f>SUM('Value Segment'!I77,'Mid-Market Segment'!I77,'Upper Mid-Market Segment'!I77,'Premium Segment'!I77)/SUM('Value Segment'!I$82,'Mid-Market Segment'!I$82,'Upper Mid-Market Segment'!I$82,'Premium Segment'!I$82)</f>
        <v>71652.251190611409</v>
      </c>
      <c r="J142" s="673">
        <f>SUM('Value Segment'!J77,'Mid-Market Segment'!J77,'Upper Mid-Market Segment'!J77,'Premium Segment'!J77)/SUM('Value Segment'!J$82,'Mid-Market Segment'!J$82,'Upper Mid-Market Segment'!J$82,'Premium Segment'!J$82)</f>
        <v>77901.466114978219</v>
      </c>
      <c r="K142" s="673">
        <f>SUM('Value Segment'!K77,'Mid-Market Segment'!K77,'Upper Mid-Market Segment'!K77,'Premium Segment'!K77)/SUM('Value Segment'!K$82,'Mid-Market Segment'!K$82,'Upper Mid-Market Segment'!K$82,'Premium Segment'!K$82)</f>
        <v>83596.114266064251</v>
      </c>
      <c r="L142" s="673">
        <f>SUM('Value Segment'!L77,'Mid-Market Segment'!L77,'Upper Mid-Market Segment'!L77,'Premium Segment'!L77)/SUM('Value Segment'!L$82,'Mid-Market Segment'!L$82,'Upper Mid-Market Segment'!L$82,'Premium Segment'!L$82)</f>
        <v>89462.539898395422</v>
      </c>
      <c r="M142" s="673">
        <f>SUM('Value Segment'!M77,'Mid-Market Segment'!M77,'Upper Mid-Market Segment'!M77,'Premium Segment'!M77)/SUM('Value Segment'!M$82,'Mid-Market Segment'!M$82,'Upper Mid-Market Segment'!M$82,'Premium Segment'!M$82)</f>
        <v>95481.819739897546</v>
      </c>
      <c r="N142" s="673">
        <f>SUM('Value Segment'!N77,'Mid-Market Segment'!N77,'Upper Mid-Market Segment'!N77,'Premium Segment'!N77)/SUM('Value Segment'!N$82,'Mid-Market Segment'!N$82,'Upper Mid-Market Segment'!N$82,'Premium Segment'!N$82)</f>
        <v>101820.9479581136</v>
      </c>
      <c r="O142" s="57"/>
      <c r="P142" s="55">
        <f>IFERROR(((N142/I142)^(1/5))-1,0)</f>
        <v>7.2806655798739461E-2</v>
      </c>
      <c r="R142" s="673">
        <f>SUM('Value Segment'!R77,'Mid-Market Segment'!R77,'Upper Mid-Market Segment'!R77,'Premium Segment'!R77)/SUM('Value Segment'!R$82,'Mid-Market Segment'!R$82,'Upper Mid-Market Segment'!R$82,'Premium Segment'!R$82)</f>
        <v>6849.2076029023683</v>
      </c>
      <c r="S142" s="676">
        <f>SUM('Value Segment'!S77,'Mid-Market Segment'!S77,'Upper Mid-Market Segment'!S77,'Premium Segment'!S77)/SUM('Value Segment'!S$82,'Mid-Market Segment'!S$82,'Upper Mid-Market Segment'!S$82,'Premium Segment'!S$82)</f>
        <v>6849.2076029023683</v>
      </c>
      <c r="T142" s="676">
        <f>SUM('Value Segment'!T77,'Mid-Market Segment'!T77,'Upper Mid-Market Segment'!T77,'Premium Segment'!T77)/SUM('Value Segment'!T$82,'Mid-Market Segment'!T$82,'Upper Mid-Market Segment'!T$82,'Premium Segment'!T$82)</f>
        <v>6849.2076029023683</v>
      </c>
      <c r="U142" s="676">
        <f>SUM('Value Segment'!U77,'Mid-Market Segment'!U77,'Upper Mid-Market Segment'!U77,'Premium Segment'!U77)/SUM('Value Segment'!U$82,'Mid-Market Segment'!U$82,'Upper Mid-Market Segment'!U$82,'Premium Segment'!U$82)</f>
        <v>6849.2076029023683</v>
      </c>
      <c r="V142" s="676">
        <f>SUM('Value Segment'!V77,'Mid-Market Segment'!V77,'Upper Mid-Market Segment'!V77,'Premium Segment'!V77)/SUM('Value Segment'!V$82,'Mid-Market Segment'!V$82,'Upper Mid-Market Segment'!V$82,'Premium Segment'!V$82)</f>
        <v>6849.2076029023683</v>
      </c>
      <c r="W142" s="676">
        <f>SUM('Value Segment'!W77,'Mid-Market Segment'!W77,'Upper Mid-Market Segment'!W77,'Premium Segment'!W77)/SUM('Value Segment'!W$82,'Mid-Market Segment'!W$82,'Upper Mid-Market Segment'!W$82,'Premium Segment'!W$82)</f>
        <v>1338.9778038335123</v>
      </c>
      <c r="X142" s="676">
        <f>SUM('Value Segment'!X77,'Mid-Market Segment'!X77,'Upper Mid-Market Segment'!X77,'Premium Segment'!X77)/SUM('Value Segment'!X$82,'Mid-Market Segment'!X$82,'Upper Mid-Market Segment'!X$82,'Premium Segment'!X$82)</f>
        <v>7052.7417161054755</v>
      </c>
      <c r="Y142" s="676">
        <f>SUM('Value Segment'!Y77,'Mid-Market Segment'!Y77,'Upper Mid-Market Segment'!Y77,'Premium Segment'!Y77)/SUM('Value Segment'!Y$82,'Mid-Market Segment'!Y$82,'Upper Mid-Market Segment'!Y$82,'Premium Segment'!Y$82)</f>
        <v>7052.7417161054755</v>
      </c>
      <c r="Z142" s="676">
        <f>SUM('Value Segment'!Z77,'Mid-Market Segment'!Z77,'Upper Mid-Market Segment'!Z77,'Premium Segment'!Z77)/SUM('Value Segment'!Z$82,'Mid-Market Segment'!Z$82,'Upper Mid-Market Segment'!Z$82,'Premium Segment'!Z$82)</f>
        <v>7052.7417161054755</v>
      </c>
      <c r="AA142" s="676">
        <f>SUM('Value Segment'!AA77,'Mid-Market Segment'!AA77,'Upper Mid-Market Segment'!AA77,'Premium Segment'!AA77)/SUM('Value Segment'!AA$82,'Mid-Market Segment'!AA$82,'Upper Mid-Market Segment'!AA$82,'Premium Segment'!AA$82)</f>
        <v>7052.7417161054755</v>
      </c>
      <c r="AB142" s="676">
        <f>SUM('Value Segment'!AB77,'Mid-Market Segment'!AB77,'Upper Mid-Market Segment'!AB77,'Premium Segment'!AB77)/SUM('Value Segment'!AB$82,'Mid-Market Segment'!AB$82,'Upper Mid-Market Segment'!AB$82,'Premium Segment'!AB$82)</f>
        <v>7052.7417161054755</v>
      </c>
      <c r="AC142" s="676">
        <f>SUM('Value Segment'!AC77,'Mid-Market Segment'!AC77,'Upper Mid-Market Segment'!AC77,'Premium Segment'!AC77)/SUM('Value Segment'!AC$82,'Mid-Market Segment'!AC$82,'Upper Mid-Market Segment'!AC$82,'Premium Segment'!AC$82)</f>
        <v>7052.7417161054755</v>
      </c>
      <c r="AD142" s="676">
        <f>SUM('Value Segment'!AD77,'Mid-Market Segment'!AD77,'Upper Mid-Market Segment'!AD77,'Premium Segment'!AD77)/SUM('Value Segment'!AD$82,'Mid-Market Segment'!AD$82,'Upper Mid-Market Segment'!AD$82,'Premium Segment'!AD$82)</f>
        <v>7305.6995484255312</v>
      </c>
      <c r="AE142" s="676">
        <f>SUM('Value Segment'!AE77,'Mid-Market Segment'!AE77,'Upper Mid-Market Segment'!AE77,'Premium Segment'!AE77)/SUM('Value Segment'!AE$82,'Mid-Market Segment'!AE$82,'Upper Mid-Market Segment'!AE$82,'Premium Segment'!AE$82)</f>
        <v>7305.6995484255312</v>
      </c>
      <c r="AF142" s="676">
        <f>SUM('Value Segment'!AF77,'Mid-Market Segment'!AF77,'Upper Mid-Market Segment'!AF77,'Premium Segment'!AF77)/SUM('Value Segment'!AF$82,'Mid-Market Segment'!AF$82,'Upper Mid-Market Segment'!AF$82,'Premium Segment'!AF$82)</f>
        <v>7305.6995484255312</v>
      </c>
      <c r="AG142" s="676">
        <f>SUM('Value Segment'!AG77,'Mid-Market Segment'!AG77,'Upper Mid-Market Segment'!AG77,'Premium Segment'!AG77)/SUM('Value Segment'!AG$82,'Mid-Market Segment'!AG$82,'Upper Mid-Market Segment'!AG$82,'Premium Segment'!AG$82)</f>
        <v>7305.6995484255312</v>
      </c>
      <c r="AH142" s="676">
        <f>SUM('Value Segment'!AH77,'Mid-Market Segment'!AH77,'Upper Mid-Market Segment'!AH77,'Premium Segment'!AH77)/SUM('Value Segment'!AH$82,'Mid-Market Segment'!AH$82,'Upper Mid-Market Segment'!AH$82,'Premium Segment'!AH$82)</f>
        <v>7305.6995484255312</v>
      </c>
      <c r="AI142" s="676">
        <f>SUM('Value Segment'!AI77,'Mid-Market Segment'!AI77,'Upper Mid-Market Segment'!AI77,'Premium Segment'!AI77)/SUM('Value Segment'!AI$82,'Mid-Market Segment'!AI$82,'Upper Mid-Market Segment'!AI$82,'Premium Segment'!AI$82)</f>
        <v>1662.949823292186</v>
      </c>
      <c r="AJ142" s="676">
        <f>SUM('Value Segment'!AJ77,'Mid-Market Segment'!AJ77,'Upper Mid-Market Segment'!AJ77,'Premium Segment'!AJ77)/SUM('Value Segment'!AJ$82,'Mid-Market Segment'!AJ$82,'Upper Mid-Market Segment'!AJ$82,'Premium Segment'!AJ$82)</f>
        <v>7567.4444501074058</v>
      </c>
      <c r="AK142" s="676">
        <f>SUM('Value Segment'!AK77,'Mid-Market Segment'!AK77,'Upper Mid-Market Segment'!AK77,'Premium Segment'!AK77)/SUM('Value Segment'!AK$82,'Mid-Market Segment'!AK$82,'Upper Mid-Market Segment'!AK$82,'Premium Segment'!AK$82)</f>
        <v>7567.4444501074058</v>
      </c>
      <c r="AL142" s="676">
        <f>SUM('Value Segment'!AL77,'Mid-Market Segment'!AL77,'Upper Mid-Market Segment'!AL77,'Premium Segment'!AL77)/SUM('Value Segment'!AL$82,'Mid-Market Segment'!AL$82,'Upper Mid-Market Segment'!AL$82,'Premium Segment'!AL$82)</f>
        <v>7567.4444501074058</v>
      </c>
      <c r="AM142" s="676">
        <f>SUM('Value Segment'!AM77,'Mid-Market Segment'!AM77,'Upper Mid-Market Segment'!AM77,'Premium Segment'!AM77)/SUM('Value Segment'!AM$82,'Mid-Market Segment'!AM$82,'Upper Mid-Market Segment'!AM$82,'Premium Segment'!AM$82)</f>
        <v>7567.4444501074058</v>
      </c>
      <c r="AN142" s="676">
        <f>SUM('Value Segment'!AN77,'Mid-Market Segment'!AN77,'Upper Mid-Market Segment'!AN77,'Premium Segment'!AN77)/SUM('Value Segment'!AN$82,'Mid-Market Segment'!AN$82,'Upper Mid-Market Segment'!AN$82,'Premium Segment'!AN$82)</f>
        <v>7567.4444501074058</v>
      </c>
      <c r="AO142" s="676">
        <f>SUM('Value Segment'!AO77,'Mid-Market Segment'!AO77,'Upper Mid-Market Segment'!AO77,'Premium Segment'!AO77)/SUM('Value Segment'!AO$82,'Mid-Market Segment'!AO$82,'Upper Mid-Market Segment'!AO$82,'Premium Segment'!AO$82)</f>
        <v>7567.4444501074058</v>
      </c>
      <c r="AP142" s="676">
        <f>SUM('Value Segment'!AP77,'Mid-Market Segment'!AP77,'Upper Mid-Market Segment'!AP77,'Premium Segment'!AP77)/SUM('Value Segment'!AP$82,'Mid-Market Segment'!AP$82,'Upper Mid-Market Segment'!AP$82,'Premium Segment'!AP$82)</f>
        <v>7774.0673362528923</v>
      </c>
      <c r="AQ142" s="676">
        <f>SUM('Value Segment'!AQ77,'Mid-Market Segment'!AQ77,'Upper Mid-Market Segment'!AQ77,'Premium Segment'!AQ77)/SUM('Value Segment'!AQ$82,'Mid-Market Segment'!AQ$82,'Upper Mid-Market Segment'!AQ$82,'Premium Segment'!AQ$82)</f>
        <v>7774.0673362528923</v>
      </c>
      <c r="AR142" s="676">
        <f>SUM('Value Segment'!AR77,'Mid-Market Segment'!AR77,'Upper Mid-Market Segment'!AR77,'Premium Segment'!AR77)/SUM('Value Segment'!AR$82,'Mid-Market Segment'!AR$82,'Upper Mid-Market Segment'!AR$82,'Premium Segment'!AR$82)</f>
        <v>7774.0673362528923</v>
      </c>
      <c r="AS142" s="676">
        <f>SUM('Value Segment'!AS77,'Mid-Market Segment'!AS77,'Upper Mid-Market Segment'!AS77,'Premium Segment'!AS77)/SUM('Value Segment'!AS$82,'Mid-Market Segment'!AS$82,'Upper Mid-Market Segment'!AS$82,'Premium Segment'!AS$82)</f>
        <v>7774.0673362528923</v>
      </c>
      <c r="AT142" s="676">
        <f>SUM('Value Segment'!AT77,'Mid-Market Segment'!AT77,'Upper Mid-Market Segment'!AT77,'Premium Segment'!AT77)/SUM('Value Segment'!AT$82,'Mid-Market Segment'!AT$82,'Upper Mid-Market Segment'!AT$82,'Premium Segment'!AT$82)</f>
        <v>7774.0673362528923</v>
      </c>
      <c r="AU142" s="676">
        <f>SUM('Value Segment'!AU77,'Mid-Market Segment'!AU77,'Upper Mid-Market Segment'!AU77,'Premium Segment'!AU77)/SUM('Value Segment'!AU$82,'Mid-Market Segment'!AU$82,'Upper Mid-Market Segment'!AU$82,'Premium Segment'!AU$82)</f>
        <v>2004.6129483786958</v>
      </c>
      <c r="AV142" s="676">
        <f>SUM('Value Segment'!AV77,'Mid-Market Segment'!AV77,'Upper Mid-Market Segment'!AV77,'Premium Segment'!AV77)/SUM('Value Segment'!AV$82,'Mid-Market Segment'!AV$82,'Upper Mid-Market Segment'!AV$82,'Premium Segment'!AV$82)</f>
        <v>8097.9317114587102</v>
      </c>
      <c r="AW142" s="676">
        <f>SUM('Value Segment'!AW77,'Mid-Market Segment'!AW77,'Upper Mid-Market Segment'!AW77,'Premium Segment'!AW77)/SUM('Value Segment'!AW$82,'Mid-Market Segment'!AW$82,'Upper Mid-Market Segment'!AW$82,'Premium Segment'!AW$82)</f>
        <v>8097.9317114587102</v>
      </c>
      <c r="AX142" s="676">
        <f>SUM('Value Segment'!AX77,'Mid-Market Segment'!AX77,'Upper Mid-Market Segment'!AX77,'Premium Segment'!AX77)/SUM('Value Segment'!AX$82,'Mid-Market Segment'!AX$82,'Upper Mid-Market Segment'!AX$82,'Premium Segment'!AX$82)</f>
        <v>8097.9317114587102</v>
      </c>
      <c r="AY142" s="676">
        <f>SUM('Value Segment'!AY77,'Mid-Market Segment'!AY77,'Upper Mid-Market Segment'!AY77,'Premium Segment'!AY77)/SUM('Value Segment'!AY$82,'Mid-Market Segment'!AY$82,'Upper Mid-Market Segment'!AY$82,'Premium Segment'!AY$82)</f>
        <v>8097.9317114587102</v>
      </c>
      <c r="AZ142" s="676">
        <f>SUM('Value Segment'!AZ77,'Mid-Market Segment'!AZ77,'Upper Mid-Market Segment'!AZ77,'Premium Segment'!AZ77)/SUM('Value Segment'!AZ$82,'Mid-Market Segment'!AZ$82,'Upper Mid-Market Segment'!AZ$82,'Premium Segment'!AZ$82)</f>
        <v>8097.9317114587102</v>
      </c>
      <c r="BA142" s="676">
        <f>SUM('Value Segment'!BA77,'Mid-Market Segment'!BA77,'Upper Mid-Market Segment'!BA77,'Premium Segment'!BA77)/SUM('Value Segment'!BA$82,'Mid-Market Segment'!BA$82,'Upper Mid-Market Segment'!BA$82,'Premium Segment'!BA$82)</f>
        <v>8097.9317114587102</v>
      </c>
      <c r="BB142" s="676">
        <f>SUM('Value Segment'!BB77,'Mid-Market Segment'!BB77,'Upper Mid-Market Segment'!BB77,'Premium Segment'!BB77)/SUM('Value Segment'!BB$82,'Mid-Market Segment'!BB$82,'Upper Mid-Market Segment'!BB$82,'Premium Segment'!BB$82)</f>
        <v>8252.5605529814311</v>
      </c>
      <c r="BC142" s="676">
        <f>SUM('Value Segment'!BC77,'Mid-Market Segment'!BC77,'Upper Mid-Market Segment'!BC77,'Premium Segment'!BC77)/SUM('Value Segment'!BC$82,'Mid-Market Segment'!BC$82,'Upper Mid-Market Segment'!BC$82,'Premium Segment'!BC$82)</f>
        <v>8252.5605529814311</v>
      </c>
      <c r="BD142" s="676">
        <f>SUM('Value Segment'!BD77,'Mid-Market Segment'!BD77,'Upper Mid-Market Segment'!BD77,'Premium Segment'!BD77)/SUM('Value Segment'!BD$82,'Mid-Market Segment'!BD$82,'Upper Mid-Market Segment'!BD$82,'Premium Segment'!BD$82)</f>
        <v>8252.5605529814311</v>
      </c>
      <c r="BE142" s="676">
        <f>SUM('Value Segment'!BE77,'Mid-Market Segment'!BE77,'Upper Mid-Market Segment'!BE77,'Premium Segment'!BE77)/SUM('Value Segment'!BE$82,'Mid-Market Segment'!BE$82,'Upper Mid-Market Segment'!BE$82,'Premium Segment'!BE$82)</f>
        <v>8252.5605529814311</v>
      </c>
      <c r="BF142" s="676">
        <f>SUM('Value Segment'!BF77,'Mid-Market Segment'!BF77,'Upper Mid-Market Segment'!BF77,'Premium Segment'!BF77)/SUM('Value Segment'!BF$82,'Mid-Market Segment'!BF$82,'Upper Mid-Market Segment'!BF$82,'Premium Segment'!BF$82)</f>
        <v>8252.5605529814311</v>
      </c>
      <c r="BG142" s="676">
        <f>SUM('Value Segment'!BG77,'Mid-Market Segment'!BG77,'Upper Mid-Market Segment'!BG77,'Premium Segment'!BG77)/SUM('Value Segment'!BG$82,'Mid-Market Segment'!BG$82,'Upper Mid-Market Segment'!BG$82,'Premium Segment'!BG$82)</f>
        <v>2363.807529104377</v>
      </c>
      <c r="BH142" s="676">
        <f>SUM('Value Segment'!BH77,'Mid-Market Segment'!BH77,'Upper Mid-Market Segment'!BH77,'Premium Segment'!BH77)/SUM('Value Segment'!BH$82,'Mid-Market Segment'!BH$82,'Upper Mid-Market Segment'!BH$82,'Premium Segment'!BH$82)</f>
        <v>8642.534907647665</v>
      </c>
      <c r="BI142" s="676">
        <f>SUM('Value Segment'!BI77,'Mid-Market Segment'!BI77,'Upper Mid-Market Segment'!BI77,'Premium Segment'!BI77)/SUM('Value Segment'!BI$82,'Mid-Market Segment'!BI$82,'Upper Mid-Market Segment'!BI$82,'Premium Segment'!BI$82)</f>
        <v>8642.534907647665</v>
      </c>
      <c r="BJ142" s="676">
        <f>SUM('Value Segment'!BJ77,'Mid-Market Segment'!BJ77,'Upper Mid-Market Segment'!BJ77,'Premium Segment'!BJ77)/SUM('Value Segment'!BJ$82,'Mid-Market Segment'!BJ$82,'Upper Mid-Market Segment'!BJ$82,'Premium Segment'!BJ$82)</f>
        <v>8642.534907647665</v>
      </c>
      <c r="BK142" s="676">
        <f>SUM('Value Segment'!BK77,'Mid-Market Segment'!BK77,'Upper Mid-Market Segment'!BK77,'Premium Segment'!BK77)/SUM('Value Segment'!BK$82,'Mid-Market Segment'!BK$82,'Upper Mid-Market Segment'!BK$82,'Premium Segment'!BK$82)</f>
        <v>8642.534907647665</v>
      </c>
      <c r="BL142" s="676">
        <f>SUM('Value Segment'!BL77,'Mid-Market Segment'!BL77,'Upper Mid-Market Segment'!BL77,'Premium Segment'!BL77)/SUM('Value Segment'!BL$82,'Mid-Market Segment'!BL$82,'Upper Mid-Market Segment'!BL$82,'Premium Segment'!BL$82)</f>
        <v>8642.534907647665</v>
      </c>
      <c r="BM142" s="676">
        <f>SUM('Value Segment'!BM77,'Mid-Market Segment'!BM77,'Upper Mid-Market Segment'!BM77,'Premium Segment'!BM77)/SUM('Value Segment'!BM$82,'Mid-Market Segment'!BM$82,'Upper Mid-Market Segment'!BM$82,'Premium Segment'!BM$82)</f>
        <v>8642.534907647665</v>
      </c>
      <c r="BN142" s="676">
        <f>SUM('Value Segment'!BN77,'Mid-Market Segment'!BN77,'Upper Mid-Market Segment'!BN77,'Premium Segment'!BN77)/SUM('Value Segment'!BN$82,'Mid-Market Segment'!BN$82,'Upper Mid-Market Segment'!BN$82,'Premium Segment'!BN$82)</f>
        <v>8755.2507757078492</v>
      </c>
      <c r="BO142" s="676">
        <f>SUM('Value Segment'!BO77,'Mid-Market Segment'!BO77,'Upper Mid-Market Segment'!BO77,'Premium Segment'!BO77)/SUM('Value Segment'!BO$82,'Mid-Market Segment'!BO$82,'Upper Mid-Market Segment'!BO$82,'Premium Segment'!BO$82)</f>
        <v>8755.2507757078492</v>
      </c>
      <c r="BP142" s="676">
        <f>SUM('Value Segment'!BP77,'Mid-Market Segment'!BP77,'Upper Mid-Market Segment'!BP77,'Premium Segment'!BP77)/SUM('Value Segment'!BP$82,'Mid-Market Segment'!BP$82,'Upper Mid-Market Segment'!BP$82,'Premium Segment'!BP$82)</f>
        <v>8755.2507757078492</v>
      </c>
      <c r="BQ142" s="676">
        <f>SUM('Value Segment'!BQ77,'Mid-Market Segment'!BQ77,'Upper Mid-Market Segment'!BQ77,'Premium Segment'!BQ77)/SUM('Value Segment'!BQ$82,'Mid-Market Segment'!BQ$82,'Upper Mid-Market Segment'!BQ$82,'Premium Segment'!BQ$82)</f>
        <v>8755.2507757078492</v>
      </c>
      <c r="BR142" s="676">
        <f>SUM('Value Segment'!BR77,'Mid-Market Segment'!BR77,'Upper Mid-Market Segment'!BR77,'Premium Segment'!BR77)/SUM('Value Segment'!BR$82,'Mid-Market Segment'!BR$82,'Upper Mid-Market Segment'!BR$82,'Premium Segment'!BR$82)</f>
        <v>8755.2507757078492</v>
      </c>
      <c r="BS142" s="676">
        <f>SUM('Value Segment'!BS77,'Mid-Market Segment'!BS77,'Upper Mid-Market Segment'!BS77,'Premium Segment'!BS77)/SUM('Value Segment'!BS$82,'Mid-Market Segment'!BS$82,'Upper Mid-Market Segment'!BS$82,'Premium Segment'!BS$82)</f>
        <v>2751.5729829927918</v>
      </c>
      <c r="BT142" s="676">
        <f>SUM('Value Segment'!BT77,'Mid-Market Segment'!BT77,'Upper Mid-Market Segment'!BT77,'Premium Segment'!BT77)/SUM('Value Segment'!BT$82,'Mid-Market Segment'!BT$82,'Upper Mid-Market Segment'!BT$82,'Premium Segment'!BT$82)</f>
        <v>9215.5201827635919</v>
      </c>
      <c r="BU142" s="676">
        <f>SUM('Value Segment'!BU77,'Mid-Market Segment'!BU77,'Upper Mid-Market Segment'!BU77,'Premium Segment'!BU77)/SUM('Value Segment'!BU$82,'Mid-Market Segment'!BU$82,'Upper Mid-Market Segment'!BU$82,'Premium Segment'!BU$82)</f>
        <v>9215.5201827635919</v>
      </c>
      <c r="BV142" s="676">
        <f>SUM('Value Segment'!BV77,'Mid-Market Segment'!BV77,'Upper Mid-Market Segment'!BV77,'Premium Segment'!BV77)/SUM('Value Segment'!BV$82,'Mid-Market Segment'!BV$82,'Upper Mid-Market Segment'!BV$82,'Premium Segment'!BV$82)</f>
        <v>9215.5201827635919</v>
      </c>
      <c r="BW142" s="676">
        <f>SUM('Value Segment'!BW77,'Mid-Market Segment'!BW77,'Upper Mid-Market Segment'!BW77,'Premium Segment'!BW77)/SUM('Value Segment'!BW$82,'Mid-Market Segment'!BW$82,'Upper Mid-Market Segment'!BW$82,'Premium Segment'!BW$82)</f>
        <v>9215.5201827635919</v>
      </c>
      <c r="BX142" s="676">
        <f>SUM('Value Segment'!BX77,'Mid-Market Segment'!BX77,'Upper Mid-Market Segment'!BX77,'Premium Segment'!BX77)/SUM('Value Segment'!BX$82,'Mid-Market Segment'!BX$82,'Upper Mid-Market Segment'!BX$82,'Premium Segment'!BX$82)</f>
        <v>9215.5201827635919</v>
      </c>
      <c r="BY142" s="676">
        <f>SUM('Value Segment'!BY77,'Mid-Market Segment'!BY77,'Upper Mid-Market Segment'!BY77,'Premium Segment'!BY77)/SUM('Value Segment'!BY$82,'Mid-Market Segment'!BY$82,'Upper Mid-Market Segment'!BY$82,'Premium Segment'!BY$82)</f>
        <v>9215.5201827635919</v>
      </c>
    </row>
    <row r="144" spans="3:80" x14ac:dyDescent="0.3">
      <c r="C144" s="2"/>
      <c r="D144" s="2"/>
      <c r="E144" s="22"/>
      <c r="F144" s="68"/>
      <c r="G144" s="68"/>
      <c r="H144" s="68"/>
      <c r="I144" s="57"/>
      <c r="J144" s="57"/>
      <c r="K144" s="57"/>
      <c r="L144" s="57"/>
      <c r="M144" s="57"/>
      <c r="N144" s="57"/>
      <c r="O144" s="57"/>
      <c r="P144" s="69"/>
      <c r="R144" s="57"/>
      <c r="S144" s="57"/>
      <c r="T144" s="57"/>
      <c r="U144" s="57"/>
      <c r="V144" s="57"/>
      <c r="W144" s="57"/>
      <c r="X144" s="57"/>
      <c r="Y144" s="57"/>
      <c r="Z144" s="57"/>
      <c r="AA144" s="57"/>
      <c r="AB144" s="57"/>
      <c r="AC144" s="57"/>
      <c r="AD144" s="57"/>
      <c r="AE144" s="57"/>
      <c r="AF144" s="57"/>
      <c r="AG144" s="57"/>
      <c r="AH144" s="57"/>
      <c r="AI144" s="57"/>
      <c r="AJ144" s="57"/>
      <c r="AK144" s="57"/>
      <c r="AL144" s="57"/>
      <c r="AM144" s="57"/>
      <c r="AN144" s="57"/>
      <c r="AO144" s="57"/>
      <c r="AP144" s="57"/>
      <c r="AQ144" s="57"/>
      <c r="AR144" s="57"/>
      <c r="AS144" s="57"/>
      <c r="AT144" s="57"/>
      <c r="AU144" s="57"/>
      <c r="AV144" s="57"/>
      <c r="AW144" s="57"/>
      <c r="AX144" s="57"/>
      <c r="AY144" s="57"/>
      <c r="AZ144" s="57"/>
      <c r="BA144" s="57"/>
      <c r="BB144" s="57"/>
      <c r="BC144" s="57"/>
      <c r="BD144" s="57"/>
      <c r="BE144" s="57"/>
      <c r="BF144" s="57"/>
      <c r="BG144" s="57"/>
      <c r="BH144" s="57"/>
      <c r="BI144" s="57"/>
      <c r="BJ144" s="57"/>
      <c r="BK144" s="57"/>
      <c r="BL144" s="57"/>
      <c r="BM144" s="57"/>
      <c r="BN144" s="57"/>
      <c r="BO144" s="57"/>
      <c r="BP144" s="57"/>
      <c r="BQ144" s="57"/>
      <c r="BR144" s="57"/>
      <c r="BS144" s="57"/>
      <c r="BT144" s="57"/>
      <c r="BU144" s="57"/>
      <c r="BV144" s="57"/>
      <c r="BW144" s="57"/>
      <c r="BX144" s="57"/>
      <c r="BY144" s="57"/>
    </row>
    <row r="145" spans="3:77" x14ac:dyDescent="0.3">
      <c r="C145" s="48" t="s">
        <v>37</v>
      </c>
      <c r="D145" s="88"/>
      <c r="E145" s="49" t="s">
        <v>178</v>
      </c>
      <c r="F145" s="49"/>
      <c r="G145" s="49"/>
      <c r="H145" s="49"/>
      <c r="I145" s="49"/>
      <c r="J145" s="49"/>
      <c r="K145" s="49"/>
      <c r="L145" s="49"/>
      <c r="M145" s="49"/>
      <c r="N145" s="49"/>
      <c r="O145" s="49"/>
      <c r="P145" s="48"/>
      <c r="Q145" s="49"/>
      <c r="R145" s="49"/>
      <c r="S145" s="49"/>
      <c r="T145" s="49"/>
      <c r="U145" s="49"/>
      <c r="V145" s="49"/>
      <c r="W145" s="49"/>
      <c r="X145" s="49"/>
      <c r="Y145" s="49"/>
      <c r="Z145" s="49"/>
      <c r="AA145" s="49"/>
      <c r="AB145" s="49"/>
      <c r="AC145" s="49"/>
      <c r="AD145" s="49"/>
      <c r="AE145" s="49"/>
      <c r="AF145" s="49"/>
      <c r="AG145" s="49"/>
      <c r="AH145" s="49"/>
      <c r="AI145" s="49"/>
      <c r="AJ145" s="49"/>
      <c r="AK145" s="49"/>
      <c r="AL145" s="49"/>
      <c r="AM145" s="49"/>
      <c r="AN145" s="49"/>
      <c r="AO145" s="49"/>
      <c r="AP145" s="49"/>
      <c r="AQ145" s="49"/>
      <c r="AR145" s="49"/>
      <c r="AS145" s="49"/>
      <c r="AT145" s="49"/>
      <c r="AU145" s="49"/>
      <c r="AV145" s="49"/>
      <c r="AW145" s="49"/>
      <c r="AX145" s="49"/>
      <c r="AY145" s="49"/>
      <c r="AZ145" s="49"/>
      <c r="BA145" s="49"/>
      <c r="BB145" s="49"/>
      <c r="BC145" s="49"/>
      <c r="BD145" s="49"/>
      <c r="BE145" s="49"/>
      <c r="BF145" s="49"/>
      <c r="BG145" s="49"/>
      <c r="BH145" s="49"/>
      <c r="BI145" s="49"/>
      <c r="BJ145" s="49"/>
      <c r="BK145" s="49"/>
      <c r="BL145" s="49"/>
      <c r="BM145" s="49"/>
      <c r="BN145" s="49"/>
      <c r="BO145" s="49"/>
      <c r="BP145" s="49"/>
      <c r="BQ145" s="49"/>
      <c r="BR145" s="49"/>
      <c r="BS145" s="49"/>
      <c r="BT145" s="49"/>
      <c r="BU145" s="49"/>
      <c r="BV145" s="49"/>
      <c r="BW145" s="49"/>
      <c r="BX145" s="49"/>
      <c r="BY145" s="49"/>
    </row>
    <row r="146" spans="3:77" x14ac:dyDescent="0.3">
      <c r="C146" s="2"/>
      <c r="D146" s="2"/>
      <c r="E146" s="22"/>
      <c r="F146" s="68"/>
      <c r="G146" s="68"/>
      <c r="H146" s="68"/>
      <c r="I146" s="57"/>
      <c r="J146" s="57"/>
      <c r="K146" s="57"/>
      <c r="L146" s="57"/>
      <c r="M146" s="57"/>
      <c r="N146" s="57"/>
      <c r="O146" s="57"/>
      <c r="P146" s="69"/>
      <c r="R146" s="57"/>
      <c r="S146" s="57"/>
      <c r="T146" s="57"/>
      <c r="U146" s="57"/>
      <c r="V146" s="57"/>
      <c r="W146" s="57"/>
      <c r="X146" s="57"/>
      <c r="Y146" s="57"/>
      <c r="Z146" s="57"/>
      <c r="AA146" s="57"/>
      <c r="AB146" s="57"/>
      <c r="AC146" s="57"/>
      <c r="AD146" s="57"/>
      <c r="AE146" s="57"/>
      <c r="AF146" s="57"/>
      <c r="AG146" s="57"/>
      <c r="AH146" s="57"/>
      <c r="AI146" s="57"/>
      <c r="AJ146" s="57"/>
      <c r="AK146" s="57"/>
      <c r="AL146" s="57"/>
      <c r="AM146" s="57"/>
      <c r="AN146" s="57"/>
      <c r="AO146" s="57"/>
      <c r="AP146" s="57"/>
      <c r="AQ146" s="57"/>
      <c r="AR146" s="57"/>
      <c r="AS146" s="57"/>
      <c r="AT146" s="57"/>
      <c r="AU146" s="57"/>
      <c r="AV146" s="57"/>
      <c r="AW146" s="57"/>
      <c r="AX146" s="57"/>
      <c r="AY146" s="57"/>
      <c r="AZ146" s="57"/>
      <c r="BA146" s="57"/>
      <c r="BB146" s="57"/>
      <c r="BC146" s="57"/>
      <c r="BD146" s="57"/>
      <c r="BE146" s="57"/>
      <c r="BF146" s="57"/>
      <c r="BG146" s="57"/>
      <c r="BH146" s="57"/>
      <c r="BI146" s="57"/>
      <c r="BJ146" s="57"/>
      <c r="BK146" s="57"/>
      <c r="BL146" s="57"/>
      <c r="BM146" s="57"/>
      <c r="BN146" s="57"/>
      <c r="BO146" s="57"/>
      <c r="BP146" s="57"/>
      <c r="BQ146" s="57"/>
      <c r="BR146" s="57"/>
      <c r="BS146" s="57"/>
      <c r="BT146" s="57"/>
      <c r="BU146" s="57"/>
      <c r="BV146" s="57"/>
      <c r="BW146" s="57"/>
      <c r="BX146" s="57"/>
      <c r="BY146" s="57"/>
    </row>
    <row r="147" spans="3:77" x14ac:dyDescent="0.3">
      <c r="C147" s="2"/>
      <c r="D147" s="2"/>
      <c r="E147" s="2" t="s">
        <v>133</v>
      </c>
      <c r="F147" s="54"/>
      <c r="G147" s="54"/>
      <c r="H147" s="54"/>
      <c r="I147" s="497">
        <f t="shared" ref="I147:N149" si="120">IFERROR(I22/I$19,0)</f>
        <v>0</v>
      </c>
      <c r="J147" s="497">
        <f t="shared" si="120"/>
        <v>806.66613295646323</v>
      </c>
      <c r="K147" s="497">
        <f t="shared" si="120"/>
        <v>836.09763628073381</v>
      </c>
      <c r="L147" s="497">
        <f t="shared" si="120"/>
        <v>865.5747235946784</v>
      </c>
      <c r="M147" s="497">
        <f t="shared" si="120"/>
        <v>894.90461177729981</v>
      </c>
      <c r="N147" s="497">
        <f t="shared" si="120"/>
        <v>925.24458741510284</v>
      </c>
      <c r="O147" s="37"/>
      <c r="P147" s="35"/>
      <c r="R147" s="497">
        <f t="shared" ref="R147:AW147" si="121">IFERROR(R22/R$19,0)</f>
        <v>0</v>
      </c>
      <c r="S147" s="527">
        <f t="shared" si="121"/>
        <v>0</v>
      </c>
      <c r="T147" s="527">
        <f t="shared" si="121"/>
        <v>0</v>
      </c>
      <c r="U147" s="527">
        <f t="shared" si="121"/>
        <v>0</v>
      </c>
      <c r="V147" s="527">
        <f t="shared" si="121"/>
        <v>0</v>
      </c>
      <c r="W147" s="527">
        <f t="shared" si="121"/>
        <v>806.66149914308698</v>
      </c>
      <c r="X147" s="527">
        <f t="shared" si="121"/>
        <v>806.66677960442689</v>
      </c>
      <c r="Y147" s="527">
        <f t="shared" si="121"/>
        <v>806.66677960442689</v>
      </c>
      <c r="Z147" s="527">
        <f t="shared" si="121"/>
        <v>806.66677960442689</v>
      </c>
      <c r="AA147" s="527">
        <f t="shared" si="121"/>
        <v>806.66677960442689</v>
      </c>
      <c r="AB147" s="527">
        <f t="shared" si="121"/>
        <v>806.66677960442689</v>
      </c>
      <c r="AC147" s="527">
        <f t="shared" si="121"/>
        <v>806.66677960442689</v>
      </c>
      <c r="AD147" s="527">
        <f t="shared" si="121"/>
        <v>836.09235592506309</v>
      </c>
      <c r="AE147" s="527">
        <f t="shared" si="121"/>
        <v>836.09235592506309</v>
      </c>
      <c r="AF147" s="527">
        <f t="shared" si="121"/>
        <v>836.09235592506309</v>
      </c>
      <c r="AG147" s="527">
        <f t="shared" si="121"/>
        <v>836.09235592506309</v>
      </c>
      <c r="AH147" s="527">
        <f t="shared" si="121"/>
        <v>836.09235592506309</v>
      </c>
      <c r="AI147" s="527">
        <f t="shared" si="121"/>
        <v>836.09235592506298</v>
      </c>
      <c r="AJ147" s="527">
        <f t="shared" si="121"/>
        <v>836.10114909759068</v>
      </c>
      <c r="AK147" s="527">
        <f t="shared" si="121"/>
        <v>836.10114909759068</v>
      </c>
      <c r="AL147" s="527">
        <f t="shared" si="121"/>
        <v>836.10114909759068</v>
      </c>
      <c r="AM147" s="527">
        <f t="shared" si="121"/>
        <v>836.10114909759068</v>
      </c>
      <c r="AN147" s="527">
        <f t="shared" si="121"/>
        <v>836.10114909759068</v>
      </c>
      <c r="AO147" s="527">
        <f t="shared" si="121"/>
        <v>836.10114909759079</v>
      </c>
      <c r="AP147" s="527">
        <f t="shared" si="121"/>
        <v>865.56778916901783</v>
      </c>
      <c r="AQ147" s="527">
        <f t="shared" si="121"/>
        <v>865.56778916901783</v>
      </c>
      <c r="AR147" s="527">
        <f t="shared" si="121"/>
        <v>865.56778916901783</v>
      </c>
      <c r="AS147" s="527">
        <f t="shared" si="121"/>
        <v>865.56778916901783</v>
      </c>
      <c r="AT147" s="527">
        <f t="shared" si="121"/>
        <v>865.56778916901783</v>
      </c>
      <c r="AU147" s="527">
        <f t="shared" si="121"/>
        <v>865.56778916901783</v>
      </c>
      <c r="AV147" s="527">
        <f t="shared" si="121"/>
        <v>865.58013702973039</v>
      </c>
      <c r="AW147" s="527">
        <f t="shared" si="121"/>
        <v>865.58013702973039</v>
      </c>
      <c r="AX147" s="527">
        <f t="shared" ref="AX147:BY147" si="122">IFERROR(AX22/AX$19,0)</f>
        <v>865.58013702973039</v>
      </c>
      <c r="AY147" s="527">
        <f t="shared" si="122"/>
        <v>865.58013702973039</v>
      </c>
      <c r="AZ147" s="527">
        <f t="shared" si="122"/>
        <v>865.58013702973039</v>
      </c>
      <c r="BA147" s="527">
        <f t="shared" si="122"/>
        <v>865.58013702973039</v>
      </c>
      <c r="BB147" s="527">
        <f t="shared" si="122"/>
        <v>894.89592371151093</v>
      </c>
      <c r="BC147" s="527">
        <f t="shared" si="122"/>
        <v>894.89592371151093</v>
      </c>
      <c r="BD147" s="527">
        <f t="shared" si="122"/>
        <v>894.89592371151093</v>
      </c>
      <c r="BE147" s="527">
        <f t="shared" si="122"/>
        <v>894.89592371151093</v>
      </c>
      <c r="BF147" s="527">
        <f t="shared" si="122"/>
        <v>894.89592371151093</v>
      </c>
      <c r="BG147" s="527">
        <f t="shared" si="122"/>
        <v>894.89592371151093</v>
      </c>
      <c r="BH147" s="527">
        <f t="shared" si="122"/>
        <v>894.91181825015769</v>
      </c>
      <c r="BI147" s="527">
        <f t="shared" si="122"/>
        <v>894.91181825015769</v>
      </c>
      <c r="BJ147" s="527">
        <f t="shared" si="122"/>
        <v>894.91181825015769</v>
      </c>
      <c r="BK147" s="527">
        <f t="shared" si="122"/>
        <v>894.91181825015769</v>
      </c>
      <c r="BL147" s="527">
        <f t="shared" si="122"/>
        <v>894.91181825015769</v>
      </c>
      <c r="BM147" s="527">
        <f t="shared" si="122"/>
        <v>894.91181825015758</v>
      </c>
      <c r="BN147" s="527">
        <f t="shared" si="122"/>
        <v>925.23413548942426</v>
      </c>
      <c r="BO147" s="527">
        <f t="shared" si="122"/>
        <v>925.23413548942426</v>
      </c>
      <c r="BP147" s="527">
        <f t="shared" si="122"/>
        <v>925.23413548942426</v>
      </c>
      <c r="BQ147" s="527">
        <f t="shared" si="122"/>
        <v>925.23413548942426</v>
      </c>
      <c r="BR147" s="527">
        <f t="shared" si="122"/>
        <v>925.23413548942426</v>
      </c>
      <c r="BS147" s="527">
        <f t="shared" si="122"/>
        <v>925.23413548942426</v>
      </c>
      <c r="BT147" s="527">
        <f t="shared" si="122"/>
        <v>925.25352857990617</v>
      </c>
      <c r="BU147" s="527">
        <f t="shared" si="122"/>
        <v>925.25352857990617</v>
      </c>
      <c r="BV147" s="527">
        <f t="shared" si="122"/>
        <v>925.25352857990617</v>
      </c>
      <c r="BW147" s="527">
        <f t="shared" si="122"/>
        <v>925.25352857990617</v>
      </c>
      <c r="BX147" s="527">
        <f t="shared" si="122"/>
        <v>925.25352857990617</v>
      </c>
      <c r="BY147" s="527">
        <f t="shared" si="122"/>
        <v>925.25352857990606</v>
      </c>
    </row>
    <row r="148" spans="3:77" x14ac:dyDescent="0.3">
      <c r="C148" s="2"/>
      <c r="D148" s="2"/>
      <c r="E148" s="2" t="s">
        <v>134</v>
      </c>
      <c r="F148" s="54"/>
      <c r="G148" s="54"/>
      <c r="H148" s="54"/>
      <c r="I148" s="497">
        <f t="shared" si="120"/>
        <v>0</v>
      </c>
      <c r="J148" s="497">
        <f t="shared" si="120"/>
        <v>-250.129852057954</v>
      </c>
      <c r="K148" s="497">
        <f t="shared" si="120"/>
        <v>-252.63940771146792</v>
      </c>
      <c r="L148" s="497">
        <f t="shared" si="120"/>
        <v>-255.20186418598468</v>
      </c>
      <c r="M148" s="497">
        <f t="shared" si="120"/>
        <v>-257.81768702294403</v>
      </c>
      <c r="N148" s="497">
        <f t="shared" si="120"/>
        <v>-260.48778861082297</v>
      </c>
      <c r="O148" s="37"/>
      <c r="P148" s="35"/>
      <c r="R148" s="497">
        <f t="shared" ref="R148:AW148" si="123">IFERROR(R23/R$19,0)</f>
        <v>0</v>
      </c>
      <c r="S148" s="527">
        <f t="shared" si="123"/>
        <v>0</v>
      </c>
      <c r="T148" s="527">
        <f t="shared" si="123"/>
        <v>0</v>
      </c>
      <c r="U148" s="527">
        <f t="shared" si="123"/>
        <v>0</v>
      </c>
      <c r="V148" s="527">
        <f t="shared" si="123"/>
        <v>0</v>
      </c>
      <c r="W148" s="527">
        <f t="shared" si="123"/>
        <v>-250.11721922716589</v>
      </c>
      <c r="X148" s="527">
        <f t="shared" si="123"/>
        <v>-250.13161496760128</v>
      </c>
      <c r="Y148" s="527">
        <f t="shared" si="123"/>
        <v>-250.13161496760128</v>
      </c>
      <c r="Z148" s="527">
        <f t="shared" si="123"/>
        <v>-250.13161496760128</v>
      </c>
      <c r="AA148" s="527">
        <f t="shared" si="123"/>
        <v>-250.13161496760128</v>
      </c>
      <c r="AB148" s="527">
        <f t="shared" si="123"/>
        <v>-250.13161496760128</v>
      </c>
      <c r="AC148" s="527">
        <f t="shared" si="123"/>
        <v>-250.13161496760128</v>
      </c>
      <c r="AD148" s="527">
        <f t="shared" si="123"/>
        <v>-252.62755050071178</v>
      </c>
      <c r="AE148" s="527">
        <f t="shared" si="123"/>
        <v>-252.62755050071178</v>
      </c>
      <c r="AF148" s="527">
        <f t="shared" si="123"/>
        <v>-252.62755050071178</v>
      </c>
      <c r="AG148" s="527">
        <f t="shared" si="123"/>
        <v>-252.62755050071178</v>
      </c>
      <c r="AH148" s="527">
        <f t="shared" si="123"/>
        <v>-252.62755050071178</v>
      </c>
      <c r="AI148" s="527">
        <f t="shared" si="123"/>
        <v>-252.62755050071181</v>
      </c>
      <c r="AJ148" s="527">
        <f t="shared" si="123"/>
        <v>-252.64729585621046</v>
      </c>
      <c r="AK148" s="527">
        <f t="shared" si="123"/>
        <v>-252.64729585621046</v>
      </c>
      <c r="AL148" s="527">
        <f t="shared" si="123"/>
        <v>-252.64729585621046</v>
      </c>
      <c r="AM148" s="527">
        <f t="shared" si="123"/>
        <v>-252.64729585621046</v>
      </c>
      <c r="AN148" s="527">
        <f t="shared" si="123"/>
        <v>-252.64729585621046</v>
      </c>
      <c r="AO148" s="527">
        <f t="shared" si="123"/>
        <v>-252.64729585621046</v>
      </c>
      <c r="AP148" s="527">
        <f t="shared" si="123"/>
        <v>-255.18788692047036</v>
      </c>
      <c r="AQ148" s="527">
        <f t="shared" si="123"/>
        <v>-255.18788692047036</v>
      </c>
      <c r="AR148" s="527">
        <f t="shared" si="123"/>
        <v>-255.18788692047036</v>
      </c>
      <c r="AS148" s="527">
        <f t="shared" si="123"/>
        <v>-255.18788692047036</v>
      </c>
      <c r="AT148" s="527">
        <f t="shared" si="123"/>
        <v>-255.18788692047036</v>
      </c>
      <c r="AU148" s="527">
        <f t="shared" si="123"/>
        <v>-255.18788692047033</v>
      </c>
      <c r="AV148" s="527">
        <f t="shared" si="123"/>
        <v>-255.21277569081093</v>
      </c>
      <c r="AW148" s="527">
        <f t="shared" si="123"/>
        <v>-255.21277569081093</v>
      </c>
      <c r="AX148" s="527">
        <f t="shared" ref="AX148:BY148" si="124">IFERROR(AX23/AX$19,0)</f>
        <v>-255.21277569081093</v>
      </c>
      <c r="AY148" s="527">
        <f t="shared" si="124"/>
        <v>-255.21277569081093</v>
      </c>
      <c r="AZ148" s="527">
        <f t="shared" si="124"/>
        <v>-255.21277569081093</v>
      </c>
      <c r="BA148" s="527">
        <f t="shared" si="124"/>
        <v>-255.21277569081093</v>
      </c>
      <c r="BB148" s="527">
        <f t="shared" si="124"/>
        <v>-257.80140903433244</v>
      </c>
      <c r="BC148" s="527">
        <f t="shared" si="124"/>
        <v>-257.80140903433244</v>
      </c>
      <c r="BD148" s="527">
        <f t="shared" si="124"/>
        <v>-257.80140903433244</v>
      </c>
      <c r="BE148" s="527">
        <f t="shared" si="124"/>
        <v>-257.80140903433244</v>
      </c>
      <c r="BF148" s="527">
        <f t="shared" si="124"/>
        <v>-257.80140903433244</v>
      </c>
      <c r="BG148" s="527">
        <f t="shared" si="124"/>
        <v>-257.80140903433249</v>
      </c>
      <c r="BH148" s="527">
        <f t="shared" si="124"/>
        <v>-257.83118909417169</v>
      </c>
      <c r="BI148" s="527">
        <f t="shared" si="124"/>
        <v>-257.83118909417169</v>
      </c>
      <c r="BJ148" s="527">
        <f t="shared" si="124"/>
        <v>-257.83118909417169</v>
      </c>
      <c r="BK148" s="527">
        <f t="shared" si="124"/>
        <v>-257.83118909417169</v>
      </c>
      <c r="BL148" s="527">
        <f t="shared" si="124"/>
        <v>-257.83118909417169</v>
      </c>
      <c r="BM148" s="527">
        <f t="shared" si="124"/>
        <v>-257.83118909417163</v>
      </c>
      <c r="BN148" s="527">
        <f t="shared" si="124"/>
        <v>-260.46928001441967</v>
      </c>
      <c r="BO148" s="527">
        <f t="shared" si="124"/>
        <v>-260.46928001441967</v>
      </c>
      <c r="BP148" s="527">
        <f t="shared" si="124"/>
        <v>-260.46928001441967</v>
      </c>
      <c r="BQ148" s="527">
        <f t="shared" si="124"/>
        <v>-260.46928001441967</v>
      </c>
      <c r="BR148" s="527">
        <f t="shared" si="124"/>
        <v>-260.46928001441967</v>
      </c>
      <c r="BS148" s="527">
        <f t="shared" si="124"/>
        <v>-260.46928001441967</v>
      </c>
      <c r="BT148" s="527">
        <f t="shared" si="124"/>
        <v>-260.50362190468786</v>
      </c>
      <c r="BU148" s="527">
        <f t="shared" si="124"/>
        <v>-260.50362190468786</v>
      </c>
      <c r="BV148" s="527">
        <f t="shared" si="124"/>
        <v>-260.50362190468786</v>
      </c>
      <c r="BW148" s="527">
        <f t="shared" si="124"/>
        <v>-260.50362190468786</v>
      </c>
      <c r="BX148" s="527">
        <f t="shared" si="124"/>
        <v>-260.50362190468786</v>
      </c>
      <c r="BY148" s="527">
        <f t="shared" si="124"/>
        <v>-260.50362190468786</v>
      </c>
    </row>
    <row r="149" spans="3:77" x14ac:dyDescent="0.3">
      <c r="C149" s="2"/>
      <c r="D149" s="2"/>
      <c r="E149" s="2" t="s">
        <v>55</v>
      </c>
      <c r="F149" s="54"/>
      <c r="G149" s="54"/>
      <c r="H149" s="54"/>
      <c r="I149" s="497">
        <f t="shared" si="120"/>
        <v>0</v>
      </c>
      <c r="J149" s="497">
        <f t="shared" si="120"/>
        <v>-46.814613142406706</v>
      </c>
      <c r="K149" s="497">
        <f t="shared" si="120"/>
        <v>-47.755422236913304</v>
      </c>
      <c r="L149" s="497">
        <f t="shared" si="120"/>
        <v>-48.716622905876328</v>
      </c>
      <c r="M149" s="497">
        <f t="shared" si="120"/>
        <v>-49.697657713869177</v>
      </c>
      <c r="N149" s="497">
        <f t="shared" si="120"/>
        <v>-50.698819740413853</v>
      </c>
      <c r="O149" s="37"/>
      <c r="P149" s="35"/>
      <c r="R149" s="497">
        <f t="shared" ref="R149:AW149" si="125">IFERROR(R24/R$19,0)</f>
        <v>0</v>
      </c>
      <c r="S149" s="527">
        <f t="shared" si="125"/>
        <v>0</v>
      </c>
      <c r="T149" s="527">
        <f t="shared" si="125"/>
        <v>0</v>
      </c>
      <c r="U149" s="527">
        <f t="shared" si="125"/>
        <v>0</v>
      </c>
      <c r="V149" s="527">
        <f t="shared" si="125"/>
        <v>0</v>
      </c>
      <c r="W149" s="527">
        <f t="shared" si="125"/>
        <v>-46.807950551326762</v>
      </c>
      <c r="X149" s="527">
        <f t="shared" si="125"/>
        <v>-46.815542905995578</v>
      </c>
      <c r="Y149" s="527">
        <f t="shared" si="125"/>
        <v>-46.815542905995578</v>
      </c>
      <c r="Z149" s="527">
        <f t="shared" si="125"/>
        <v>-46.815542905995578</v>
      </c>
      <c r="AA149" s="527">
        <f t="shared" si="125"/>
        <v>-46.815542905995578</v>
      </c>
      <c r="AB149" s="527">
        <f t="shared" si="125"/>
        <v>-46.815542905995578</v>
      </c>
      <c r="AC149" s="527">
        <f t="shared" si="125"/>
        <v>-46.815542905995578</v>
      </c>
      <c r="AD149" s="527">
        <f t="shared" si="125"/>
        <v>-47.750058930420614</v>
      </c>
      <c r="AE149" s="527">
        <f t="shared" si="125"/>
        <v>-47.750058930420614</v>
      </c>
      <c r="AF149" s="527">
        <f t="shared" si="125"/>
        <v>-47.750058930420614</v>
      </c>
      <c r="AG149" s="527">
        <f t="shared" si="125"/>
        <v>-47.750058930420614</v>
      </c>
      <c r="AH149" s="527">
        <f t="shared" si="125"/>
        <v>-47.750058930420614</v>
      </c>
      <c r="AI149" s="527">
        <f t="shared" si="125"/>
        <v>-47.750058930420614</v>
      </c>
      <c r="AJ149" s="527">
        <f t="shared" si="125"/>
        <v>-47.758990237751192</v>
      </c>
      <c r="AK149" s="527">
        <f t="shared" si="125"/>
        <v>-47.758990237751192</v>
      </c>
      <c r="AL149" s="527">
        <f t="shared" si="125"/>
        <v>-47.758990237751192</v>
      </c>
      <c r="AM149" s="527">
        <f t="shared" si="125"/>
        <v>-47.758990237751192</v>
      </c>
      <c r="AN149" s="527">
        <f t="shared" si="125"/>
        <v>-47.758990237751192</v>
      </c>
      <c r="AO149" s="527">
        <f t="shared" si="125"/>
        <v>-47.758990237751185</v>
      </c>
      <c r="AP149" s="527">
        <f t="shared" si="125"/>
        <v>-48.710906626676476</v>
      </c>
      <c r="AQ149" s="527">
        <f t="shared" si="125"/>
        <v>-48.710906626676476</v>
      </c>
      <c r="AR149" s="527">
        <f t="shared" si="125"/>
        <v>-48.710906626676476</v>
      </c>
      <c r="AS149" s="527">
        <f t="shared" si="125"/>
        <v>-48.710906626676476</v>
      </c>
      <c r="AT149" s="527">
        <f t="shared" si="125"/>
        <v>-48.710906626676476</v>
      </c>
      <c r="AU149" s="527">
        <f t="shared" si="125"/>
        <v>-48.710906626676469</v>
      </c>
      <c r="AV149" s="527">
        <f t="shared" si="125"/>
        <v>-48.721085381602641</v>
      </c>
      <c r="AW149" s="527">
        <f t="shared" si="125"/>
        <v>-48.721085381602641</v>
      </c>
      <c r="AX149" s="527">
        <f t="shared" ref="AX149:BY149" si="126">IFERROR(AX24/AX$19,0)</f>
        <v>-48.721085381602641</v>
      </c>
      <c r="AY149" s="527">
        <f t="shared" si="126"/>
        <v>-48.721085381602641</v>
      </c>
      <c r="AZ149" s="527">
        <f t="shared" si="126"/>
        <v>-48.721085381602641</v>
      </c>
      <c r="BA149" s="527">
        <f t="shared" si="126"/>
        <v>-48.721085381602641</v>
      </c>
      <c r="BB149" s="527">
        <f t="shared" si="126"/>
        <v>-49.691469168679916</v>
      </c>
      <c r="BC149" s="527">
        <f t="shared" si="126"/>
        <v>-49.691469168679916</v>
      </c>
      <c r="BD149" s="527">
        <f t="shared" si="126"/>
        <v>-49.691469168679916</v>
      </c>
      <c r="BE149" s="527">
        <f t="shared" si="126"/>
        <v>-49.691469168679916</v>
      </c>
      <c r="BF149" s="527">
        <f t="shared" si="126"/>
        <v>-49.691469168679916</v>
      </c>
      <c r="BG149" s="527">
        <f t="shared" si="126"/>
        <v>-49.691469168679916</v>
      </c>
      <c r="BH149" s="527">
        <f t="shared" si="126"/>
        <v>-49.702790914286979</v>
      </c>
      <c r="BI149" s="527">
        <f t="shared" si="126"/>
        <v>-49.702790914286979</v>
      </c>
      <c r="BJ149" s="527">
        <f t="shared" si="126"/>
        <v>-49.702790914286979</v>
      </c>
      <c r="BK149" s="527">
        <f t="shared" si="126"/>
        <v>-49.702790914286979</v>
      </c>
      <c r="BL149" s="527">
        <f t="shared" si="126"/>
        <v>-49.702790914286979</v>
      </c>
      <c r="BM149" s="527">
        <f t="shared" si="126"/>
        <v>-49.702790914286972</v>
      </c>
      <c r="BN149" s="527">
        <f t="shared" si="126"/>
        <v>-50.692170242551192</v>
      </c>
      <c r="BO149" s="527">
        <f t="shared" si="126"/>
        <v>-50.692170242551192</v>
      </c>
      <c r="BP149" s="527">
        <f t="shared" si="126"/>
        <v>-50.692170242551192</v>
      </c>
      <c r="BQ149" s="527">
        <f t="shared" si="126"/>
        <v>-50.692170242551192</v>
      </c>
      <c r="BR149" s="527">
        <f t="shared" si="126"/>
        <v>-50.692170242551192</v>
      </c>
      <c r="BS149" s="527">
        <f t="shared" si="126"/>
        <v>-50.692170242551192</v>
      </c>
      <c r="BT149" s="527">
        <f t="shared" si="126"/>
        <v>-50.704508094701744</v>
      </c>
      <c r="BU149" s="527">
        <f t="shared" si="126"/>
        <v>-50.704508094701744</v>
      </c>
      <c r="BV149" s="527">
        <f t="shared" si="126"/>
        <v>-50.704508094701744</v>
      </c>
      <c r="BW149" s="527">
        <f t="shared" si="126"/>
        <v>-50.704508094701744</v>
      </c>
      <c r="BX149" s="527">
        <f t="shared" si="126"/>
        <v>-50.704508094701744</v>
      </c>
      <c r="BY149" s="527">
        <f t="shared" si="126"/>
        <v>-50.704508094701744</v>
      </c>
    </row>
    <row r="150" spans="3:77" x14ac:dyDescent="0.3">
      <c r="C150" s="2"/>
      <c r="D150" s="2"/>
      <c r="E150" s="2" t="s">
        <v>56</v>
      </c>
      <c r="F150" s="54"/>
      <c r="G150" s="54"/>
      <c r="H150" s="54"/>
      <c r="I150" s="497">
        <f t="shared" ref="I150:N150" si="127">IFERROR(I26/I$19,0)</f>
        <v>0</v>
      </c>
      <c r="J150" s="497">
        <f t="shared" si="127"/>
        <v>-164.23544404967896</v>
      </c>
      <c r="K150" s="497">
        <f t="shared" si="127"/>
        <v>-171.29946122708506</v>
      </c>
      <c r="L150" s="497">
        <f t="shared" si="127"/>
        <v>-178.36252528640782</v>
      </c>
      <c r="M150" s="497">
        <f t="shared" si="127"/>
        <v>-185.38143506283544</v>
      </c>
      <c r="N150" s="497">
        <f t="shared" si="127"/>
        <v>-192.63504559165722</v>
      </c>
      <c r="O150" s="37"/>
      <c r="P150" s="35"/>
      <c r="R150" s="497">
        <f t="shared" ref="R150:AW150" si="128">IFERROR(R26/R$19,0)</f>
        <v>0</v>
      </c>
      <c r="S150" s="527">
        <f t="shared" si="128"/>
        <v>0</v>
      </c>
      <c r="T150" s="527">
        <f t="shared" si="128"/>
        <v>0</v>
      </c>
      <c r="U150" s="527">
        <f t="shared" si="128"/>
        <v>0</v>
      </c>
      <c r="V150" s="527">
        <f t="shared" si="128"/>
        <v>0</v>
      </c>
      <c r="W150" s="527">
        <f t="shared" si="128"/>
        <v>-164.27828856194034</v>
      </c>
      <c r="X150" s="527">
        <f t="shared" si="128"/>
        <v>-164.22946510440002</v>
      </c>
      <c r="Y150" s="527">
        <f t="shared" si="128"/>
        <v>-164.22946510440002</v>
      </c>
      <c r="Z150" s="527">
        <f t="shared" si="128"/>
        <v>-164.22946510440002</v>
      </c>
      <c r="AA150" s="527">
        <f t="shared" si="128"/>
        <v>-164.22946510440002</v>
      </c>
      <c r="AB150" s="527">
        <f t="shared" si="128"/>
        <v>-164.22946510440002</v>
      </c>
      <c r="AC150" s="527">
        <f t="shared" si="128"/>
        <v>-164.22946510440002</v>
      </c>
      <c r="AD150" s="527">
        <f t="shared" si="128"/>
        <v>-171.33807928552082</v>
      </c>
      <c r="AE150" s="527">
        <f t="shared" si="128"/>
        <v>-171.33807928552082</v>
      </c>
      <c r="AF150" s="527">
        <f t="shared" si="128"/>
        <v>-171.33807928552082</v>
      </c>
      <c r="AG150" s="527">
        <f t="shared" si="128"/>
        <v>-171.33807928552082</v>
      </c>
      <c r="AH150" s="527">
        <f t="shared" si="128"/>
        <v>-171.33807928552082</v>
      </c>
      <c r="AI150" s="527">
        <f t="shared" si="128"/>
        <v>-171.33807928552082</v>
      </c>
      <c r="AJ150" s="527">
        <f t="shared" si="128"/>
        <v>-171.27377012309066</v>
      </c>
      <c r="AK150" s="527">
        <f t="shared" si="128"/>
        <v>-171.27377012309066</v>
      </c>
      <c r="AL150" s="527">
        <f t="shared" si="128"/>
        <v>-171.27377012309066</v>
      </c>
      <c r="AM150" s="527">
        <f t="shared" si="128"/>
        <v>-171.27377012309066</v>
      </c>
      <c r="AN150" s="527">
        <f t="shared" si="128"/>
        <v>-171.27377012309066</v>
      </c>
      <c r="AO150" s="527">
        <f t="shared" si="128"/>
        <v>-171.27377012309066</v>
      </c>
      <c r="AP150" s="527">
        <f t="shared" si="128"/>
        <v>-178.4072626369977</v>
      </c>
      <c r="AQ150" s="527">
        <f t="shared" si="128"/>
        <v>-178.4072626369977</v>
      </c>
      <c r="AR150" s="527">
        <f t="shared" si="128"/>
        <v>-178.4072626369977</v>
      </c>
      <c r="AS150" s="527">
        <f t="shared" si="128"/>
        <v>-178.4072626369977</v>
      </c>
      <c r="AT150" s="527">
        <f t="shared" si="128"/>
        <v>-178.4072626369977</v>
      </c>
      <c r="AU150" s="527">
        <f t="shared" si="128"/>
        <v>-178.4072626369977</v>
      </c>
      <c r="AV150" s="527">
        <f t="shared" si="128"/>
        <v>-178.32760058555144</v>
      </c>
      <c r="AW150" s="527">
        <f t="shared" si="128"/>
        <v>-178.32760058555144</v>
      </c>
      <c r="AX150" s="527">
        <f t="shared" ref="AX150:BY150" si="129">IFERROR(AX26/AX$19,0)</f>
        <v>-178.32760058555144</v>
      </c>
      <c r="AY150" s="527">
        <f t="shared" si="129"/>
        <v>-178.32760058555144</v>
      </c>
      <c r="AZ150" s="527">
        <f t="shared" si="129"/>
        <v>-178.32760058555144</v>
      </c>
      <c r="BA150" s="527">
        <f t="shared" si="129"/>
        <v>-178.32760058555147</v>
      </c>
      <c r="BB150" s="527">
        <f t="shared" si="129"/>
        <v>-185.43316490676744</v>
      </c>
      <c r="BC150" s="527">
        <f t="shared" si="129"/>
        <v>-185.43316490676744</v>
      </c>
      <c r="BD150" s="527">
        <f t="shared" si="129"/>
        <v>-185.43316490676744</v>
      </c>
      <c r="BE150" s="527">
        <f t="shared" si="129"/>
        <v>-185.43316490676744</v>
      </c>
      <c r="BF150" s="527">
        <f t="shared" si="129"/>
        <v>-185.43316490676744</v>
      </c>
      <c r="BG150" s="527">
        <f t="shared" si="129"/>
        <v>-185.43316490676744</v>
      </c>
      <c r="BH150" s="527">
        <f t="shared" si="129"/>
        <v>-185.33852681083692</v>
      </c>
      <c r="BI150" s="527">
        <f t="shared" si="129"/>
        <v>-185.33852681083692</v>
      </c>
      <c r="BJ150" s="527">
        <f t="shared" si="129"/>
        <v>-185.33852681083692</v>
      </c>
      <c r="BK150" s="527">
        <f t="shared" si="129"/>
        <v>-185.33852681083692</v>
      </c>
      <c r="BL150" s="527">
        <f t="shared" si="129"/>
        <v>-185.33852681083692</v>
      </c>
      <c r="BM150" s="527">
        <f t="shared" si="129"/>
        <v>-185.33852681083692</v>
      </c>
      <c r="BN150" s="527">
        <f t="shared" si="129"/>
        <v>-192.69382923197151</v>
      </c>
      <c r="BO150" s="527">
        <f t="shared" si="129"/>
        <v>-192.69382923197151</v>
      </c>
      <c r="BP150" s="527">
        <f t="shared" si="129"/>
        <v>-192.69382923197151</v>
      </c>
      <c r="BQ150" s="527">
        <f t="shared" si="129"/>
        <v>-192.69382923197151</v>
      </c>
      <c r="BR150" s="527">
        <f t="shared" si="129"/>
        <v>-192.69382923197151</v>
      </c>
      <c r="BS150" s="527">
        <f t="shared" si="129"/>
        <v>-192.69382923197153</v>
      </c>
      <c r="BT150" s="527">
        <f t="shared" si="129"/>
        <v>-192.58475876108051</v>
      </c>
      <c r="BU150" s="527">
        <f t="shared" si="129"/>
        <v>-192.58475876108051</v>
      </c>
      <c r="BV150" s="527">
        <f t="shared" si="129"/>
        <v>-192.58475876108051</v>
      </c>
      <c r="BW150" s="527">
        <f t="shared" si="129"/>
        <v>-192.58475876108051</v>
      </c>
      <c r="BX150" s="527">
        <f t="shared" si="129"/>
        <v>-192.58475876108051</v>
      </c>
      <c r="BY150" s="527">
        <f t="shared" si="129"/>
        <v>-192.58475876108051</v>
      </c>
    </row>
    <row r="151" spans="3:77" x14ac:dyDescent="0.3">
      <c r="C151" s="2"/>
      <c r="D151" s="2"/>
      <c r="E151" s="22"/>
      <c r="F151" s="68"/>
      <c r="G151" s="68"/>
      <c r="H151" s="68"/>
      <c r="I151" s="57"/>
      <c r="J151" s="57"/>
      <c r="K151" s="57"/>
      <c r="L151" s="57"/>
      <c r="M151" s="57"/>
      <c r="N151" s="57"/>
      <c r="O151" s="57"/>
      <c r="P151" s="69"/>
      <c r="R151" s="57"/>
      <c r="S151" s="57"/>
      <c r="T151" s="57"/>
      <c r="U151" s="57"/>
      <c r="V151" s="57"/>
      <c r="W151" s="57"/>
      <c r="X151" s="57"/>
      <c r="Y151" s="57"/>
      <c r="Z151" s="57"/>
      <c r="AA151" s="57"/>
      <c r="AB151" s="57"/>
      <c r="AC151" s="57"/>
      <c r="AD151" s="57"/>
      <c r="AE151" s="57"/>
      <c r="AF151" s="57"/>
      <c r="AG151" s="57"/>
      <c r="AH151" s="57"/>
      <c r="AI151" s="57"/>
      <c r="AJ151" s="57"/>
      <c r="AK151" s="57"/>
      <c r="AL151" s="57"/>
      <c r="AM151" s="57"/>
      <c r="AN151" s="57"/>
      <c r="AO151" s="57"/>
      <c r="AP151" s="57"/>
      <c r="AQ151" s="57"/>
      <c r="AR151" s="57"/>
      <c r="AS151" s="57"/>
      <c r="AT151" s="57"/>
      <c r="AU151" s="57"/>
      <c r="AV151" s="57"/>
      <c r="AW151" s="57"/>
      <c r="AX151" s="57"/>
      <c r="AY151" s="57"/>
      <c r="AZ151" s="57"/>
      <c r="BA151" s="57"/>
      <c r="BB151" s="57"/>
      <c r="BC151" s="57"/>
      <c r="BD151" s="57"/>
      <c r="BE151" s="57"/>
      <c r="BF151" s="57"/>
      <c r="BG151" s="57"/>
      <c r="BH151" s="57"/>
      <c r="BI151" s="57"/>
      <c r="BJ151" s="57"/>
      <c r="BK151" s="57"/>
      <c r="BL151" s="57"/>
      <c r="BM151" s="57"/>
      <c r="BN151" s="57"/>
      <c r="BO151" s="57"/>
      <c r="BP151" s="57"/>
      <c r="BQ151" s="57"/>
      <c r="BR151" s="57"/>
      <c r="BS151" s="57"/>
      <c r="BT151" s="57"/>
      <c r="BU151" s="57"/>
      <c r="BV151" s="57"/>
      <c r="BW151" s="57"/>
      <c r="BX151" s="57"/>
      <c r="BY151" s="57"/>
    </row>
    <row r="152" spans="3:77" x14ac:dyDescent="0.3">
      <c r="C152" s="48" t="s">
        <v>37</v>
      </c>
      <c r="D152" s="88"/>
      <c r="E152" s="49" t="s">
        <v>122</v>
      </c>
      <c r="F152" s="49"/>
      <c r="G152" s="49"/>
      <c r="H152" s="49"/>
      <c r="I152" s="49"/>
      <c r="J152" s="49"/>
      <c r="K152" s="49"/>
      <c r="L152" s="49"/>
      <c r="M152" s="49"/>
      <c r="N152" s="49"/>
      <c r="O152" s="49"/>
      <c r="P152" s="48"/>
      <c r="Q152" s="49"/>
      <c r="R152" s="49"/>
      <c r="S152" s="49"/>
      <c r="T152" s="49"/>
      <c r="U152" s="49"/>
      <c r="V152" s="49"/>
      <c r="W152" s="49"/>
      <c r="X152" s="49"/>
      <c r="Y152" s="49"/>
      <c r="Z152" s="49"/>
      <c r="AA152" s="49"/>
      <c r="AB152" s="49"/>
      <c r="AC152" s="49"/>
      <c r="AD152" s="49"/>
      <c r="AE152" s="49"/>
      <c r="AF152" s="49"/>
      <c r="AG152" s="49"/>
      <c r="AH152" s="49"/>
      <c r="AI152" s="49"/>
      <c r="AJ152" s="49"/>
      <c r="AK152" s="49"/>
      <c r="AL152" s="49"/>
      <c r="AM152" s="49"/>
      <c r="AN152" s="49"/>
      <c r="AO152" s="49"/>
      <c r="AP152" s="49"/>
      <c r="AQ152" s="49"/>
      <c r="AR152" s="49"/>
      <c r="AS152" s="49"/>
      <c r="AT152" s="49"/>
      <c r="AU152" s="49"/>
      <c r="AV152" s="49"/>
      <c r="AW152" s="49"/>
      <c r="AX152" s="49"/>
      <c r="AY152" s="49"/>
      <c r="AZ152" s="49"/>
      <c r="BA152" s="49"/>
      <c r="BB152" s="49"/>
      <c r="BC152" s="49"/>
      <c r="BD152" s="49"/>
      <c r="BE152" s="49"/>
      <c r="BF152" s="49"/>
      <c r="BG152" s="49"/>
      <c r="BH152" s="49"/>
      <c r="BI152" s="49"/>
      <c r="BJ152" s="49"/>
      <c r="BK152" s="49"/>
      <c r="BL152" s="49"/>
      <c r="BM152" s="49"/>
      <c r="BN152" s="49"/>
      <c r="BO152" s="49"/>
      <c r="BP152" s="49"/>
      <c r="BQ152" s="49"/>
      <c r="BR152" s="49"/>
      <c r="BS152" s="49"/>
      <c r="BT152" s="49"/>
      <c r="BU152" s="49"/>
      <c r="BV152" s="49"/>
      <c r="BW152" s="49"/>
      <c r="BX152" s="49"/>
      <c r="BY152" s="49"/>
    </row>
    <row r="153" spans="3:77" x14ac:dyDescent="0.3">
      <c r="E153" s="92"/>
      <c r="I153" s="93"/>
      <c r="J153" s="93"/>
    </row>
    <row r="154" spans="3:77" x14ac:dyDescent="0.3">
      <c r="E154" s="92" t="s">
        <v>181</v>
      </c>
      <c r="I154" s="93" t="s">
        <v>126</v>
      </c>
      <c r="J154" s="93" t="s">
        <v>182</v>
      </c>
      <c r="K154" s="93" t="s">
        <v>234</v>
      </c>
    </row>
    <row r="155" spans="3:77" x14ac:dyDescent="0.3">
      <c r="E155" s="94">
        <v>1</v>
      </c>
      <c r="I155" s="164">
        <f>INDEX('Detailed Assumptions'!$H$118:$K$127,MATCH(E155,'Detailed Assumptions'!$D$118:$D$127,0),MATCH($C$4,'Detailed Assumptions'!$H$117:$K$117,0))</f>
        <v>8</v>
      </c>
      <c r="J155" s="95" cm="1">
        <f t="array" ref="J155">INDEX('Detailed Assumptions'!$E$118:$E$127,MATCH(E155,'Detailed Assumptions'!$D$118:$D$127,0),0)</f>
        <v>46446</v>
      </c>
      <c r="K155" s="292">
        <f>EOMONTH(J155,1)</f>
        <v>46477</v>
      </c>
    </row>
    <row r="156" spans="3:77" x14ac:dyDescent="0.3">
      <c r="E156" s="94">
        <f t="shared" ref="E156:E164" si="130">E155+1</f>
        <v>2</v>
      </c>
      <c r="I156" s="164">
        <f>INDEX('Detailed Assumptions'!$H$118:$K$127,MATCH(E156,'Detailed Assumptions'!$D$118:$D$127,0),MATCH($C$4,'Detailed Assumptions'!$H$117:$K$117,0))</f>
        <v>8</v>
      </c>
      <c r="J156" s="95" cm="1">
        <f t="array" ref="J156">INDEX('Detailed Assumptions'!$E$118:$E$127,MATCH(E156,'Detailed Assumptions'!$D$118:$D$127,0),0)</f>
        <v>46630</v>
      </c>
      <c r="K156" s="292">
        <f t="shared" ref="K156:K164" si="131">EOMONTH(J156,1)</f>
        <v>46660</v>
      </c>
    </row>
    <row r="157" spans="3:77" x14ac:dyDescent="0.3">
      <c r="E157" s="94">
        <f t="shared" si="130"/>
        <v>3</v>
      </c>
      <c r="I157" s="164">
        <f>INDEX('Detailed Assumptions'!$H$118:$K$127,MATCH(E157,'Detailed Assumptions'!$D$118:$D$127,0),MATCH($C$4,'Detailed Assumptions'!$H$117:$K$117,0))</f>
        <v>8</v>
      </c>
      <c r="J157" s="95" cm="1">
        <f t="array" ref="J157">INDEX('Detailed Assumptions'!$E$118:$E$127,MATCH(E157,'Detailed Assumptions'!$D$118:$D$127,0),0)</f>
        <v>46812</v>
      </c>
      <c r="K157" s="292">
        <f t="shared" si="131"/>
        <v>46843</v>
      </c>
    </row>
    <row r="158" spans="3:77" x14ac:dyDescent="0.3">
      <c r="E158" s="94">
        <f t="shared" si="130"/>
        <v>4</v>
      </c>
      <c r="I158" s="164">
        <f>INDEX('Detailed Assumptions'!$H$118:$K$127,MATCH(E158,'Detailed Assumptions'!$D$118:$D$127,0),MATCH($C$4,'Detailed Assumptions'!$H$117:$K$117,0))</f>
        <v>8</v>
      </c>
      <c r="J158" s="95" cm="1">
        <f t="array" ref="J158">INDEX('Detailed Assumptions'!$E$118:$E$127,MATCH(E158,'Detailed Assumptions'!$D$118:$D$127,0),0)</f>
        <v>46996</v>
      </c>
      <c r="K158" s="292">
        <f t="shared" si="131"/>
        <v>47026</v>
      </c>
    </row>
    <row r="159" spans="3:77" x14ac:dyDescent="0.3">
      <c r="E159" s="94">
        <f t="shared" si="130"/>
        <v>5</v>
      </c>
      <c r="I159" s="164">
        <f>INDEX('Detailed Assumptions'!$H$118:$K$127,MATCH(E159,'Detailed Assumptions'!$D$118:$D$127,0),MATCH($C$4,'Detailed Assumptions'!$H$117:$K$117,0))</f>
        <v>8</v>
      </c>
      <c r="J159" s="95" cm="1">
        <f t="array" ref="J159">INDEX('Detailed Assumptions'!$E$118:$E$127,MATCH(E159,'Detailed Assumptions'!$D$118:$D$127,0),0)</f>
        <v>47177</v>
      </c>
      <c r="K159" s="292">
        <f t="shared" si="131"/>
        <v>47208</v>
      </c>
    </row>
    <row r="160" spans="3:77" x14ac:dyDescent="0.3">
      <c r="E160" s="94">
        <f t="shared" si="130"/>
        <v>6</v>
      </c>
      <c r="I160" s="164">
        <f>INDEX('Detailed Assumptions'!$H$118:$K$127,MATCH(E160,'Detailed Assumptions'!$D$118:$D$127,0),MATCH($C$4,'Detailed Assumptions'!$H$117:$K$117,0))</f>
        <v>8</v>
      </c>
      <c r="J160" s="95" cm="1">
        <f t="array" ref="J160">INDEX('Detailed Assumptions'!$E$118:$E$127,MATCH(E160,'Detailed Assumptions'!$D$118:$D$127,0),0)</f>
        <v>47361</v>
      </c>
      <c r="K160" s="292">
        <f t="shared" si="131"/>
        <v>47391</v>
      </c>
    </row>
    <row r="161" spans="5:77" x14ac:dyDescent="0.3">
      <c r="E161" s="94">
        <f t="shared" si="130"/>
        <v>7</v>
      </c>
      <c r="I161" s="164">
        <f>INDEX('Detailed Assumptions'!$H$118:$K$127,MATCH(E161,'Detailed Assumptions'!$D$118:$D$127,0),MATCH($C$4,'Detailed Assumptions'!$H$117:$K$117,0))</f>
        <v>8</v>
      </c>
      <c r="J161" s="95" cm="1">
        <f t="array" ref="J161">INDEX('Detailed Assumptions'!$E$118:$E$127,MATCH(E161,'Detailed Assumptions'!$D$118:$D$127,0),0)</f>
        <v>47542</v>
      </c>
      <c r="K161" s="292">
        <f t="shared" si="131"/>
        <v>47573</v>
      </c>
    </row>
    <row r="162" spans="5:77" x14ac:dyDescent="0.3">
      <c r="E162" s="94">
        <f t="shared" si="130"/>
        <v>8</v>
      </c>
      <c r="I162" s="164">
        <f>INDEX('Detailed Assumptions'!$H$118:$K$127,MATCH(E162,'Detailed Assumptions'!$D$118:$D$127,0),MATCH($C$4,'Detailed Assumptions'!$H$117:$K$117,0))</f>
        <v>8</v>
      </c>
      <c r="J162" s="95" cm="1">
        <f t="array" ref="J162">INDEX('Detailed Assumptions'!$E$118:$E$127,MATCH(E162,'Detailed Assumptions'!$D$118:$D$127,0),0)</f>
        <v>47726</v>
      </c>
      <c r="K162" s="292">
        <f t="shared" si="131"/>
        <v>47756</v>
      </c>
    </row>
    <row r="163" spans="5:77" x14ac:dyDescent="0.3">
      <c r="E163" s="94">
        <f t="shared" si="130"/>
        <v>9</v>
      </c>
      <c r="I163" s="164">
        <f>INDEX('Detailed Assumptions'!$H$118:$K$127,MATCH(E163,'Detailed Assumptions'!$D$118:$D$127,0),MATCH($C$4,'Detailed Assumptions'!$H$117:$K$117,0))</f>
        <v>8</v>
      </c>
      <c r="J163" s="95" cm="1">
        <f t="array" ref="J163">INDEX('Detailed Assumptions'!$E$118:$E$127,MATCH(E163,'Detailed Assumptions'!$D$118:$D$127,0),0)</f>
        <v>47907</v>
      </c>
      <c r="K163" s="292">
        <f t="shared" si="131"/>
        <v>47938</v>
      </c>
    </row>
    <row r="164" spans="5:77" x14ac:dyDescent="0.3">
      <c r="E164" s="94">
        <f t="shared" si="130"/>
        <v>10</v>
      </c>
      <c r="I164" s="164">
        <f>INDEX('Detailed Assumptions'!$H$118:$K$127,MATCH(E164,'Detailed Assumptions'!$D$118:$D$127,0),MATCH($C$4,'Detailed Assumptions'!$H$117:$K$117,0))</f>
        <v>8</v>
      </c>
      <c r="J164" s="95" cm="1">
        <f t="array" ref="J164">INDEX('Detailed Assumptions'!$E$118:$E$127,MATCH(E164,'Detailed Assumptions'!$D$118:$D$127,0),0)</f>
        <v>48091</v>
      </c>
      <c r="K164" s="292">
        <f t="shared" si="131"/>
        <v>48121</v>
      </c>
    </row>
    <row r="166" spans="5:77" x14ac:dyDescent="0.3">
      <c r="E166" s="96" t="s">
        <v>183</v>
      </c>
      <c r="I166" s="97" cm="1">
        <f t="array" ref="I166">INDEX('Detailed Assumptions'!$E$132:$E$132,MATCH($C$4,'Detailed Assumptions'!$D$132:$D$132,0),0)</f>
        <v>13</v>
      </c>
    </row>
    <row r="167" spans="5:77" x14ac:dyDescent="0.3">
      <c r="E167" s="96" t="s">
        <v>216</v>
      </c>
      <c r="I167" s="275">
        <f>'Detailed Assumptions'!$E$134</f>
        <v>0.01</v>
      </c>
    </row>
    <row r="169" spans="5:77" x14ac:dyDescent="0.3">
      <c r="E169" s="98" t="s">
        <v>194</v>
      </c>
    </row>
    <row r="170" spans="5:77" x14ac:dyDescent="0.3">
      <c r="E170" s="3" t="s">
        <v>192</v>
      </c>
      <c r="R170" s="497">
        <f t="shared" ref="R170:AW170" si="132">SUMIF($K$155:$K$164,R$4,$I$155:$I$164)</f>
        <v>0</v>
      </c>
      <c r="S170" s="527">
        <f t="shared" si="132"/>
        <v>0</v>
      </c>
      <c r="T170" s="527">
        <f t="shared" si="132"/>
        <v>0</v>
      </c>
      <c r="U170" s="527">
        <f t="shared" si="132"/>
        <v>0</v>
      </c>
      <c r="V170" s="527">
        <f t="shared" si="132"/>
        <v>0</v>
      </c>
      <c r="W170" s="527">
        <f t="shared" si="132"/>
        <v>8</v>
      </c>
      <c r="X170" s="527">
        <f t="shared" si="132"/>
        <v>0</v>
      </c>
      <c r="Y170" s="527">
        <f t="shared" si="132"/>
        <v>0</v>
      </c>
      <c r="Z170" s="527">
        <f t="shared" si="132"/>
        <v>0</v>
      </c>
      <c r="AA170" s="527">
        <f t="shared" si="132"/>
        <v>0</v>
      </c>
      <c r="AB170" s="527">
        <f t="shared" si="132"/>
        <v>0</v>
      </c>
      <c r="AC170" s="527">
        <f t="shared" si="132"/>
        <v>8</v>
      </c>
      <c r="AD170" s="527">
        <f t="shared" si="132"/>
        <v>0</v>
      </c>
      <c r="AE170" s="527">
        <f t="shared" si="132"/>
        <v>0</v>
      </c>
      <c r="AF170" s="527">
        <f t="shared" si="132"/>
        <v>0</v>
      </c>
      <c r="AG170" s="527">
        <f t="shared" si="132"/>
        <v>0</v>
      </c>
      <c r="AH170" s="527">
        <f t="shared" si="132"/>
        <v>0</v>
      </c>
      <c r="AI170" s="527">
        <f t="shared" si="132"/>
        <v>8</v>
      </c>
      <c r="AJ170" s="527">
        <f t="shared" si="132"/>
        <v>0</v>
      </c>
      <c r="AK170" s="527">
        <f t="shared" si="132"/>
        <v>0</v>
      </c>
      <c r="AL170" s="527">
        <f t="shared" si="132"/>
        <v>0</v>
      </c>
      <c r="AM170" s="527">
        <f t="shared" si="132"/>
        <v>0</v>
      </c>
      <c r="AN170" s="527">
        <f t="shared" si="132"/>
        <v>0</v>
      </c>
      <c r="AO170" s="527">
        <f t="shared" si="132"/>
        <v>8</v>
      </c>
      <c r="AP170" s="527">
        <f t="shared" si="132"/>
        <v>0</v>
      </c>
      <c r="AQ170" s="527">
        <f t="shared" si="132"/>
        <v>0</v>
      </c>
      <c r="AR170" s="527">
        <f t="shared" si="132"/>
        <v>0</v>
      </c>
      <c r="AS170" s="527">
        <f t="shared" si="132"/>
        <v>0</v>
      </c>
      <c r="AT170" s="527">
        <f t="shared" si="132"/>
        <v>0</v>
      </c>
      <c r="AU170" s="527">
        <f t="shared" si="132"/>
        <v>8</v>
      </c>
      <c r="AV170" s="527">
        <f t="shared" si="132"/>
        <v>0</v>
      </c>
      <c r="AW170" s="527">
        <f t="shared" si="132"/>
        <v>0</v>
      </c>
      <c r="AX170" s="527">
        <f t="shared" ref="AX170:BY170" si="133">SUMIF($K$155:$K$164,AX$4,$I$155:$I$164)</f>
        <v>0</v>
      </c>
      <c r="AY170" s="527">
        <f t="shared" si="133"/>
        <v>0</v>
      </c>
      <c r="AZ170" s="527">
        <f t="shared" si="133"/>
        <v>0</v>
      </c>
      <c r="BA170" s="527">
        <f t="shared" si="133"/>
        <v>8</v>
      </c>
      <c r="BB170" s="527">
        <f t="shared" si="133"/>
        <v>0</v>
      </c>
      <c r="BC170" s="527">
        <f t="shared" si="133"/>
        <v>0</v>
      </c>
      <c r="BD170" s="527">
        <f t="shared" si="133"/>
        <v>0</v>
      </c>
      <c r="BE170" s="527">
        <f t="shared" si="133"/>
        <v>0</v>
      </c>
      <c r="BF170" s="527">
        <f t="shared" si="133"/>
        <v>0</v>
      </c>
      <c r="BG170" s="527">
        <f t="shared" si="133"/>
        <v>8</v>
      </c>
      <c r="BH170" s="527">
        <f t="shared" si="133"/>
        <v>0</v>
      </c>
      <c r="BI170" s="527">
        <f t="shared" si="133"/>
        <v>0</v>
      </c>
      <c r="BJ170" s="527">
        <f t="shared" si="133"/>
        <v>0</v>
      </c>
      <c r="BK170" s="527">
        <f t="shared" si="133"/>
        <v>0</v>
      </c>
      <c r="BL170" s="527">
        <f t="shared" si="133"/>
        <v>0</v>
      </c>
      <c r="BM170" s="527">
        <f t="shared" si="133"/>
        <v>8</v>
      </c>
      <c r="BN170" s="527">
        <f t="shared" si="133"/>
        <v>0</v>
      </c>
      <c r="BO170" s="527">
        <f t="shared" si="133"/>
        <v>0</v>
      </c>
      <c r="BP170" s="527">
        <f t="shared" si="133"/>
        <v>0</v>
      </c>
      <c r="BQ170" s="527">
        <f t="shared" si="133"/>
        <v>0</v>
      </c>
      <c r="BR170" s="527">
        <f t="shared" si="133"/>
        <v>0</v>
      </c>
      <c r="BS170" s="527">
        <f t="shared" si="133"/>
        <v>8</v>
      </c>
      <c r="BT170" s="527">
        <f t="shared" si="133"/>
        <v>0</v>
      </c>
      <c r="BU170" s="527">
        <f t="shared" si="133"/>
        <v>0</v>
      </c>
      <c r="BV170" s="527">
        <f t="shared" si="133"/>
        <v>0</v>
      </c>
      <c r="BW170" s="527">
        <f t="shared" si="133"/>
        <v>0</v>
      </c>
      <c r="BX170" s="527">
        <f t="shared" si="133"/>
        <v>0</v>
      </c>
      <c r="BY170" s="527">
        <f t="shared" si="133"/>
        <v>8</v>
      </c>
    </row>
    <row r="171" spans="5:77" x14ac:dyDescent="0.3">
      <c r="E171" s="3" t="s">
        <v>193</v>
      </c>
      <c r="R171" s="519">
        <f>SUM($R170:R170)</f>
        <v>0</v>
      </c>
      <c r="S171" s="543">
        <f>SUM($R170:S170)</f>
        <v>0</v>
      </c>
      <c r="T171" s="543">
        <f>SUM($R170:T170)</f>
        <v>0</v>
      </c>
      <c r="U171" s="543">
        <f>SUM($R170:U170)</f>
        <v>0</v>
      </c>
      <c r="V171" s="543">
        <f>SUM($R170:V170)</f>
        <v>0</v>
      </c>
      <c r="W171" s="543">
        <f>SUM($R170:W170)</f>
        <v>8</v>
      </c>
      <c r="X171" s="543">
        <f>SUM($R170:X170)</f>
        <v>8</v>
      </c>
      <c r="Y171" s="543">
        <f>SUM($R170:Y170)</f>
        <v>8</v>
      </c>
      <c r="Z171" s="543">
        <f>SUM($R170:Z170)</f>
        <v>8</v>
      </c>
      <c r="AA171" s="543">
        <f>SUM($R170:AA170)</f>
        <v>8</v>
      </c>
      <c r="AB171" s="543">
        <f>SUM($R170:AB170)</f>
        <v>8</v>
      </c>
      <c r="AC171" s="543">
        <f>SUM($R170:AC170)</f>
        <v>16</v>
      </c>
      <c r="AD171" s="543">
        <f>SUM($R170:AD170)</f>
        <v>16</v>
      </c>
      <c r="AE171" s="543">
        <f>SUM($R170:AE170)</f>
        <v>16</v>
      </c>
      <c r="AF171" s="543">
        <f>SUM($R170:AF170)</f>
        <v>16</v>
      </c>
      <c r="AG171" s="543">
        <f>SUM($R170:AG170)</f>
        <v>16</v>
      </c>
      <c r="AH171" s="543">
        <f>SUM($R170:AH170)</f>
        <v>16</v>
      </c>
      <c r="AI171" s="543">
        <f>SUM($R170:AI170)</f>
        <v>24</v>
      </c>
      <c r="AJ171" s="543">
        <f>SUM($R170:AJ170)</f>
        <v>24</v>
      </c>
      <c r="AK171" s="543">
        <f>SUM($R170:AK170)</f>
        <v>24</v>
      </c>
      <c r="AL171" s="543">
        <f>SUM($R170:AL170)</f>
        <v>24</v>
      </c>
      <c r="AM171" s="543">
        <f>SUM($R170:AM170)</f>
        <v>24</v>
      </c>
      <c r="AN171" s="543">
        <f>SUM($R170:AN170)</f>
        <v>24</v>
      </c>
      <c r="AO171" s="543">
        <f>SUM($R170:AO170)</f>
        <v>32</v>
      </c>
      <c r="AP171" s="543">
        <f>SUM($R170:AP170)</f>
        <v>32</v>
      </c>
      <c r="AQ171" s="543">
        <f>SUM($R170:AQ170)</f>
        <v>32</v>
      </c>
      <c r="AR171" s="543">
        <f>SUM($R170:AR170)</f>
        <v>32</v>
      </c>
      <c r="AS171" s="543">
        <f>SUM($R170:AS170)</f>
        <v>32</v>
      </c>
      <c r="AT171" s="543">
        <f>SUM($R170:AT170)</f>
        <v>32</v>
      </c>
      <c r="AU171" s="543">
        <f>SUM($R170:AU170)</f>
        <v>40</v>
      </c>
      <c r="AV171" s="543">
        <f>SUM($R170:AV170)</f>
        <v>40</v>
      </c>
      <c r="AW171" s="543">
        <f>SUM($R170:AW170)</f>
        <v>40</v>
      </c>
      <c r="AX171" s="543">
        <f>SUM($R170:AX170)</f>
        <v>40</v>
      </c>
      <c r="AY171" s="543">
        <f>SUM($R170:AY170)</f>
        <v>40</v>
      </c>
      <c r="AZ171" s="543">
        <f>SUM($R170:AZ170)</f>
        <v>40</v>
      </c>
      <c r="BA171" s="543">
        <f>SUM($R170:BA170)</f>
        <v>48</v>
      </c>
      <c r="BB171" s="543">
        <f>SUM($R170:BB170)</f>
        <v>48</v>
      </c>
      <c r="BC171" s="543">
        <f>SUM($R170:BC170)</f>
        <v>48</v>
      </c>
      <c r="BD171" s="543">
        <f>SUM($R170:BD170)</f>
        <v>48</v>
      </c>
      <c r="BE171" s="543">
        <f>SUM($R170:BE170)</f>
        <v>48</v>
      </c>
      <c r="BF171" s="543">
        <f>SUM($R170:BF170)</f>
        <v>48</v>
      </c>
      <c r="BG171" s="543">
        <f>SUM($R170:BG170)</f>
        <v>56</v>
      </c>
      <c r="BH171" s="543">
        <f>SUM($R170:BH170)</f>
        <v>56</v>
      </c>
      <c r="BI171" s="543">
        <f>SUM($R170:BI170)</f>
        <v>56</v>
      </c>
      <c r="BJ171" s="543">
        <f>SUM($R170:BJ170)</f>
        <v>56</v>
      </c>
      <c r="BK171" s="543">
        <f>SUM($R170:BK170)</f>
        <v>56</v>
      </c>
      <c r="BL171" s="543">
        <f>SUM($R170:BL170)</f>
        <v>56</v>
      </c>
      <c r="BM171" s="543">
        <f>SUM($R170:BM170)</f>
        <v>64</v>
      </c>
      <c r="BN171" s="543">
        <f>SUM($R170:BN170)</f>
        <v>64</v>
      </c>
      <c r="BO171" s="543">
        <f>SUM($R170:BO170)</f>
        <v>64</v>
      </c>
      <c r="BP171" s="543">
        <f>SUM($R170:BP170)</f>
        <v>64</v>
      </c>
      <c r="BQ171" s="543">
        <f>SUM($R170:BQ170)</f>
        <v>64</v>
      </c>
      <c r="BR171" s="543">
        <f>SUM($R170:BR170)</f>
        <v>64</v>
      </c>
      <c r="BS171" s="543">
        <f>SUM($R170:BS170)</f>
        <v>72</v>
      </c>
      <c r="BT171" s="543">
        <f>SUM($R170:BT170)</f>
        <v>72</v>
      </c>
      <c r="BU171" s="543">
        <f>SUM($R170:BU170)</f>
        <v>72</v>
      </c>
      <c r="BV171" s="543">
        <f>SUM($R170:BV170)</f>
        <v>72</v>
      </c>
      <c r="BW171" s="543">
        <f>SUM($R170:BW170)</f>
        <v>72</v>
      </c>
      <c r="BX171" s="543">
        <f>SUM($R170:BX170)</f>
        <v>72</v>
      </c>
      <c r="BY171" s="543">
        <f>SUM($R170:BY170)</f>
        <v>80</v>
      </c>
    </row>
    <row r="172" spans="5:77" x14ac:dyDescent="0.3">
      <c r="R172" s="8"/>
      <c r="S172" s="8"/>
      <c r="T172" s="8"/>
      <c r="U172" s="8"/>
      <c r="V172" s="8"/>
      <c r="W172" s="8"/>
      <c r="X172" s="8"/>
      <c r="Y172" s="8"/>
      <c r="Z172" s="8"/>
      <c r="AA172" s="8"/>
      <c r="AB172" s="8"/>
      <c r="AC172" s="8"/>
      <c r="AD172" s="8"/>
      <c r="AE172" s="8"/>
      <c r="AF172" s="8"/>
      <c r="AG172" s="8"/>
      <c r="AH172" s="8"/>
      <c r="AI172" s="8"/>
      <c r="AJ172" s="8"/>
      <c r="AK172" s="8"/>
      <c r="AL172" s="8"/>
      <c r="AM172" s="8"/>
      <c r="AN172" s="8"/>
      <c r="AO172" s="8"/>
      <c r="AP172" s="8"/>
      <c r="AQ172" s="8"/>
      <c r="AR172" s="8"/>
      <c r="AS172" s="8"/>
      <c r="AT172" s="8"/>
      <c r="AU172" s="8"/>
      <c r="AV172" s="8"/>
      <c r="AW172" s="8"/>
      <c r="AX172" s="8"/>
      <c r="AY172" s="8"/>
      <c r="AZ172" s="8"/>
      <c r="BA172" s="8"/>
      <c r="BB172" s="8"/>
      <c r="BC172" s="8"/>
      <c r="BD172" s="8"/>
      <c r="BE172" s="8"/>
      <c r="BF172" s="8"/>
      <c r="BG172" s="8"/>
      <c r="BH172" s="8"/>
      <c r="BI172" s="8"/>
      <c r="BJ172" s="8"/>
      <c r="BK172" s="8"/>
      <c r="BL172" s="8"/>
      <c r="BM172" s="8"/>
      <c r="BN172" s="8"/>
      <c r="BO172" s="8"/>
      <c r="BP172" s="8"/>
      <c r="BQ172" s="8"/>
      <c r="BR172" s="8"/>
      <c r="BS172" s="8"/>
      <c r="BT172" s="8"/>
      <c r="BU172" s="8"/>
      <c r="BV172" s="8"/>
      <c r="BW172" s="8"/>
      <c r="BX172" s="8"/>
      <c r="BY172" s="8"/>
    </row>
    <row r="173" spans="5:77" x14ac:dyDescent="0.3">
      <c r="E173" s="98" t="s">
        <v>195</v>
      </c>
    </row>
    <row r="174" spans="5:77" x14ac:dyDescent="0.3">
      <c r="E174" s="3" t="s">
        <v>185</v>
      </c>
      <c r="R174" s="519" cm="1">
        <f t="array" ref="R174">12*R126*IFERROR(INDEX($I$155:$I$164,MATCH(R$4,$J$155:$J$164,0),0),0)*$I$166*(1-$I$167)</f>
        <v>0</v>
      </c>
      <c r="S174" s="543" cm="1">
        <f t="array" ref="S174">12*S126*IFERROR(INDEX($I$155:$I$164,MATCH(S$4,$J$155:$J$164,0),0),0)*$I$166*(1-$I$167)</f>
        <v>0</v>
      </c>
      <c r="T174" s="543" cm="1">
        <f t="array" ref="T174">12*T126*IFERROR(INDEX($I$155:$I$164,MATCH(T$4,$J$155:$J$164,0),0),0)*$I$166*(1-$I$167)</f>
        <v>0</v>
      </c>
      <c r="U174" s="543" cm="1">
        <f t="array" ref="U174">12*U126*IFERROR(INDEX($I$155:$I$164,MATCH(U$4,$J$155:$J$164,0),0),0)*$I$166*(1-$I$167)</f>
        <v>0</v>
      </c>
      <c r="V174" s="543" cm="1">
        <f t="array" ref="V174">12*V126*IFERROR(INDEX($I$155:$I$164,MATCH(V$4,$J$155:$J$164,0),0),0)*$I$166*(1-$I$167)</f>
        <v>10375982.280759742</v>
      </c>
      <c r="W174" s="543" cm="1">
        <f t="array" ref="W174">12*W126*IFERROR(INDEX($I$155:$I$164,MATCH(W$4,$J$155:$J$164,0),0),0)*$I$166*(1-$I$167)</f>
        <v>0</v>
      </c>
      <c r="X174" s="543" cm="1">
        <f t="array" ref="X174">12*X126*IFERROR(INDEX($I$155:$I$164,MATCH(X$4,$J$155:$J$164,0),0),0)*$I$166*(1-$I$167)</f>
        <v>0</v>
      </c>
      <c r="Y174" s="543" cm="1">
        <f t="array" ref="Y174">12*Y126*IFERROR(INDEX($I$155:$I$164,MATCH(Y$4,$J$155:$J$164,0),0),0)*$I$166*(1-$I$167)</f>
        <v>0</v>
      </c>
      <c r="Z174" s="543" cm="1">
        <f t="array" ref="Z174">12*Z126*IFERROR(INDEX($I$155:$I$164,MATCH(Z$4,$J$155:$J$164,0),0),0)*$I$166*(1-$I$167)</f>
        <v>0</v>
      </c>
      <c r="AA174" s="543" cm="1">
        <f t="array" ref="AA174">12*AA126*IFERROR(INDEX($I$155:$I$164,MATCH(AA$4,$J$155:$J$164,0),0),0)*$I$166*(1-$I$167)</f>
        <v>0</v>
      </c>
      <c r="AB174" s="543" cm="1">
        <f t="array" ref="AB174">12*AB126*IFERROR(INDEX($I$155:$I$164,MATCH(AB$4,$J$155:$J$164,0),0),0)*$I$166*(1-$I$167)</f>
        <v>10631282.247810202</v>
      </c>
      <c r="AC174" s="543" cm="1">
        <f t="array" ref="AC174">12*AC126*IFERROR(INDEX($I$155:$I$164,MATCH(AC$4,$J$155:$J$164,0),0),0)*$I$166*(1-$I$167)</f>
        <v>0</v>
      </c>
      <c r="AD174" s="543" cm="1">
        <f t="array" ref="AD174">12*AD126*IFERROR(INDEX($I$155:$I$164,MATCH(AD$4,$J$155:$J$164,0),0),0)*$I$166*(1-$I$167)</f>
        <v>0</v>
      </c>
      <c r="AE174" s="543" cm="1">
        <f t="array" ref="AE174">12*AE126*IFERROR(INDEX($I$155:$I$164,MATCH(AE$4,$J$155:$J$164,0),0),0)*$I$166*(1-$I$167)</f>
        <v>0</v>
      </c>
      <c r="AF174" s="543" cm="1">
        <f t="array" ref="AF174">12*AF126*IFERROR(INDEX($I$155:$I$164,MATCH(AF$4,$J$155:$J$164,0),0),0)*$I$166*(1-$I$167)</f>
        <v>0</v>
      </c>
      <c r="AG174" s="543" cm="1">
        <f t="array" ref="AG174">12*AG126*IFERROR(INDEX($I$155:$I$164,MATCH(AG$4,$J$155:$J$164,0),0),0)*$I$166*(1-$I$167)</f>
        <v>0</v>
      </c>
      <c r="AH174" s="543" cm="1">
        <f t="array" ref="AH174">12*AH126*IFERROR(INDEX($I$155:$I$164,MATCH(AH$4,$J$155:$J$164,0),0),0)*$I$166*(1-$I$167)</f>
        <v>10987228.590617323</v>
      </c>
      <c r="AI174" s="543" cm="1">
        <f t="array" ref="AI174">12*AI126*IFERROR(INDEX($I$155:$I$164,MATCH(AI$4,$J$155:$J$164,0),0),0)*$I$166*(1-$I$167)</f>
        <v>0</v>
      </c>
      <c r="AJ174" s="543" cm="1">
        <f t="array" ref="AJ174">12*AJ126*IFERROR(INDEX($I$155:$I$164,MATCH(AJ$4,$J$155:$J$164,0),0),0)*$I$166*(1-$I$167)</f>
        <v>0</v>
      </c>
      <c r="AK174" s="543" cm="1">
        <f t="array" ref="AK174">12*AK126*IFERROR(INDEX($I$155:$I$164,MATCH(AK$4,$J$155:$J$164,0),0),0)*$I$166*(1-$I$167)</f>
        <v>0</v>
      </c>
      <c r="AL174" s="543" cm="1">
        <f t="array" ref="AL174">12*AL126*IFERROR(INDEX($I$155:$I$164,MATCH(AL$4,$J$155:$J$164,0),0),0)*$I$166*(1-$I$167)</f>
        <v>0</v>
      </c>
      <c r="AM174" s="543" cm="1">
        <f t="array" ref="AM174">12*AM126*IFERROR(INDEX($I$155:$I$164,MATCH(AM$4,$J$155:$J$164,0),0),0)*$I$166*(1-$I$167)</f>
        <v>0</v>
      </c>
      <c r="AN174" s="543" cm="1">
        <f t="array" ref="AN174">12*AN126*IFERROR(INDEX($I$155:$I$164,MATCH(AN$4,$J$155:$J$164,0),0),0)*$I$166*(1-$I$167)</f>
        <v>11315544.388511732</v>
      </c>
      <c r="AO174" s="543" cm="1">
        <f t="array" ref="AO174">12*AO126*IFERROR(INDEX($I$155:$I$164,MATCH(AO$4,$J$155:$J$164,0),0),0)*$I$166*(1-$I$167)</f>
        <v>0</v>
      </c>
      <c r="AP174" s="543" cm="1">
        <f t="array" ref="AP174">12*AP126*IFERROR(INDEX($I$155:$I$164,MATCH(AP$4,$J$155:$J$164,0),0),0)*$I$166*(1-$I$167)</f>
        <v>0</v>
      </c>
      <c r="AQ174" s="543" cm="1">
        <f t="array" ref="AQ174">12*AQ126*IFERROR(INDEX($I$155:$I$164,MATCH(AQ$4,$J$155:$J$164,0),0),0)*$I$166*(1-$I$167)</f>
        <v>0</v>
      </c>
      <c r="AR174" s="543" cm="1">
        <f t="array" ref="AR174">12*AR126*IFERROR(INDEX($I$155:$I$164,MATCH(AR$4,$J$155:$J$164,0),0),0)*$I$166*(1-$I$167)</f>
        <v>0</v>
      </c>
      <c r="AS174" s="543" cm="1">
        <f t="array" ref="AS174">12*AS126*IFERROR(INDEX($I$155:$I$164,MATCH(AS$4,$J$155:$J$164,0),0),0)*$I$166*(1-$I$167)</f>
        <v>0</v>
      </c>
      <c r="AT174" s="543" cm="1">
        <f t="array" ref="AT174">12*AT126*IFERROR(INDEX($I$155:$I$164,MATCH(AT$4,$J$155:$J$164,0),0),0)*$I$166*(1-$I$167)</f>
        <v>11612568.941779938</v>
      </c>
      <c r="AU174" s="543" cm="1">
        <f t="array" ref="AU174">12*AU126*IFERROR(INDEX($I$155:$I$164,MATCH(AU$4,$J$155:$J$164,0),0),0)*$I$166*(1-$I$167)</f>
        <v>0</v>
      </c>
      <c r="AV174" s="543" cm="1">
        <f t="array" ref="AV174">12*AV126*IFERROR(INDEX($I$155:$I$164,MATCH(AV$4,$J$155:$J$164,0),0),0)*$I$166*(1-$I$167)</f>
        <v>0</v>
      </c>
      <c r="AW174" s="543" cm="1">
        <f t="array" ref="AW174">12*AW126*IFERROR(INDEX($I$155:$I$164,MATCH(AW$4,$J$155:$J$164,0),0),0)*$I$166*(1-$I$167)</f>
        <v>0</v>
      </c>
      <c r="AX174" s="543" cm="1">
        <f t="array" ref="AX174">12*AX126*IFERROR(INDEX($I$155:$I$164,MATCH(AX$4,$J$155:$J$164,0),0),0)*$I$166*(1-$I$167)</f>
        <v>0</v>
      </c>
      <c r="AY174" s="543" cm="1">
        <f t="array" ref="AY174">12*AY126*IFERROR(INDEX($I$155:$I$164,MATCH(AY$4,$J$155:$J$164,0),0),0)*$I$166*(1-$I$167)</f>
        <v>0</v>
      </c>
      <c r="AZ174" s="543" cm="1">
        <f t="array" ref="AZ174">12*AZ126*IFERROR(INDEX($I$155:$I$164,MATCH(AZ$4,$J$155:$J$164,0),0),0)*$I$166*(1-$I$167)</f>
        <v>12018803.371073635</v>
      </c>
      <c r="BA174" s="543" cm="1">
        <f t="array" ref="BA174">12*BA126*IFERROR(INDEX($I$155:$I$164,MATCH(BA$4,$J$155:$J$164,0),0),0)*$I$166*(1-$I$167)</f>
        <v>0</v>
      </c>
      <c r="BB174" s="543" cm="1">
        <f t="array" ref="BB174">12*BB126*IFERROR(INDEX($I$155:$I$164,MATCH(BB$4,$J$155:$J$164,0),0),0)*$I$166*(1-$I$167)</f>
        <v>0</v>
      </c>
      <c r="BC174" s="543" cm="1">
        <f t="array" ref="BC174">12*BC126*IFERROR(INDEX($I$155:$I$164,MATCH(BC$4,$J$155:$J$164,0),0),0)*$I$166*(1-$I$167)</f>
        <v>0</v>
      </c>
      <c r="BD174" s="543" cm="1">
        <f t="array" ref="BD174">12*BD126*IFERROR(INDEX($I$155:$I$164,MATCH(BD$4,$J$155:$J$164,0),0),0)*$I$166*(1-$I$167)</f>
        <v>0</v>
      </c>
      <c r="BE174" s="543" cm="1">
        <f t="array" ref="BE174">12*BE126*IFERROR(INDEX($I$155:$I$164,MATCH(BE$4,$J$155:$J$164,0),0),0)*$I$166*(1-$I$167)</f>
        <v>0</v>
      </c>
      <c r="BF174" s="543" cm="1">
        <f t="array" ref="BF174">12*BF126*IFERROR(INDEX($I$155:$I$164,MATCH(BF$4,$J$155:$J$164,0),0),0)*$I$166*(1-$I$167)</f>
        <v>12249594.537863156</v>
      </c>
      <c r="BG174" s="543" cm="1">
        <f t="array" ref="BG174">12*BG126*IFERROR(INDEX($I$155:$I$164,MATCH(BG$4,$J$155:$J$164,0),0),0)*$I$166*(1-$I$167)</f>
        <v>0</v>
      </c>
      <c r="BH174" s="543" cm="1">
        <f t="array" ref="BH174">12*BH126*IFERROR(INDEX($I$155:$I$164,MATCH(BH$4,$J$155:$J$164,0),0),0)*$I$166*(1-$I$167)</f>
        <v>0</v>
      </c>
      <c r="BI174" s="543" cm="1">
        <f t="array" ref="BI174">12*BI126*IFERROR(INDEX($I$155:$I$164,MATCH(BI$4,$J$155:$J$164,0),0),0)*$I$166*(1-$I$167)</f>
        <v>0</v>
      </c>
      <c r="BJ174" s="543" cm="1">
        <f t="array" ref="BJ174">12*BJ126*IFERROR(INDEX($I$155:$I$164,MATCH(BJ$4,$J$155:$J$164,0),0),0)*$I$166*(1-$I$167)</f>
        <v>0</v>
      </c>
      <c r="BK174" s="543" cm="1">
        <f t="array" ref="BK174">12*BK126*IFERROR(INDEX($I$155:$I$164,MATCH(BK$4,$J$155:$J$164,0),0),0)*$I$166*(1-$I$167)</f>
        <v>0</v>
      </c>
      <c r="BL174" s="543" cm="1">
        <f t="array" ref="BL174">12*BL126*IFERROR(INDEX($I$155:$I$164,MATCH(BL$4,$J$155:$J$164,0),0),0)*$I$166*(1-$I$167)</f>
        <v>12738753.029921256</v>
      </c>
      <c r="BM174" s="543" cm="1">
        <f t="array" ref="BM174">12*BM126*IFERROR(INDEX($I$155:$I$164,MATCH(BM$4,$J$155:$J$164,0),0),0)*$I$166*(1-$I$167)</f>
        <v>0</v>
      </c>
      <c r="BN174" s="543" cm="1">
        <f t="array" ref="BN174">12*BN126*IFERROR(INDEX($I$155:$I$164,MATCH(BN$4,$J$155:$J$164,0),0),0)*$I$166*(1-$I$167)</f>
        <v>0</v>
      </c>
      <c r="BO174" s="543" cm="1">
        <f t="array" ref="BO174">12*BO126*IFERROR(INDEX($I$155:$I$164,MATCH(BO$4,$J$155:$J$164,0),0),0)*$I$166*(1-$I$167)</f>
        <v>0</v>
      </c>
      <c r="BP174" s="543" cm="1">
        <f t="array" ref="BP174">12*BP126*IFERROR(INDEX($I$155:$I$164,MATCH(BP$4,$J$155:$J$164,0),0),0)*$I$166*(1-$I$167)</f>
        <v>0</v>
      </c>
      <c r="BQ174" s="543" cm="1">
        <f t="array" ref="BQ174">12*BQ126*IFERROR(INDEX($I$155:$I$164,MATCH(BQ$4,$J$155:$J$164,0),0),0)*$I$166*(1-$I$167)</f>
        <v>0</v>
      </c>
      <c r="BR174" s="543" cm="1">
        <f t="array" ref="BR174">12*BR126*IFERROR(INDEX($I$155:$I$164,MATCH(BR$4,$J$155:$J$164,0),0),0)*$I$166*(1-$I$167)</f>
        <v>12917503.360689906</v>
      </c>
      <c r="BS174" s="543" cm="1">
        <f t="array" ref="BS174">12*BS126*IFERROR(INDEX($I$155:$I$164,MATCH(BS$4,$J$155:$J$164,0),0),0)*$I$166*(1-$I$167)</f>
        <v>0</v>
      </c>
      <c r="BT174" s="543" cm="1">
        <f t="array" ref="BT174">12*BT126*IFERROR(INDEX($I$155:$I$164,MATCH(BT$4,$J$155:$J$164,0),0),0)*$I$166*(1-$I$167)</f>
        <v>0</v>
      </c>
      <c r="BU174" s="543" cm="1">
        <f t="array" ref="BU174">12*BU126*IFERROR(INDEX($I$155:$I$164,MATCH(BU$4,$J$155:$J$164,0),0),0)*$I$166*(1-$I$167)</f>
        <v>0</v>
      </c>
      <c r="BV174" s="543" cm="1">
        <f t="array" ref="BV174">12*BV126*IFERROR(INDEX($I$155:$I$164,MATCH(BV$4,$J$155:$J$164,0),0),0)*$I$166*(1-$I$167)</f>
        <v>0</v>
      </c>
      <c r="BW174" s="543" cm="1">
        <f t="array" ref="BW174">12*BW126*IFERROR(INDEX($I$155:$I$164,MATCH(BW$4,$J$155:$J$164,0),0),0)*$I$166*(1-$I$167)</f>
        <v>0</v>
      </c>
      <c r="BX174" s="543" cm="1">
        <f t="array" ref="BX174">12*BX126*IFERROR(INDEX($I$155:$I$164,MATCH(BX$4,$J$155:$J$164,0),0),0)*$I$166*(1-$I$167)</f>
        <v>13494835.399071135</v>
      </c>
      <c r="BY174" s="543" cm="1">
        <f t="array" ref="BY174">12*BY126*IFERROR(INDEX($I$155:$I$164,MATCH(BY$4,$J$155:$J$164,0),0),0)*$I$166*(1-$I$167)</f>
        <v>0</v>
      </c>
    </row>
    <row r="481" spans="2:2" x14ac:dyDescent="0.3">
      <c r="B481" s="7"/>
    </row>
    <row r="482" spans="2:2" x14ac:dyDescent="0.3">
      <c r="B482" s="7"/>
    </row>
    <row r="483" spans="2:2" x14ac:dyDescent="0.3">
      <c r="B483" s="7"/>
    </row>
    <row r="484" spans="2:2" x14ac:dyDescent="0.3">
      <c r="B484" s="7"/>
    </row>
    <row r="485" spans="2:2" x14ac:dyDescent="0.3">
      <c r="B485" s="7"/>
    </row>
    <row r="486" spans="2:2" x14ac:dyDescent="0.3">
      <c r="B486" s="7"/>
    </row>
    <row r="487" spans="2:2" x14ac:dyDescent="0.3">
      <c r="B487" s="7"/>
    </row>
    <row r="542" spans="2:2" x14ac:dyDescent="0.3">
      <c r="B542" s="7"/>
    </row>
    <row r="543" spans="2:2" x14ac:dyDescent="0.3">
      <c r="B543" s="7"/>
    </row>
    <row r="544" spans="2:2" x14ac:dyDescent="0.3">
      <c r="B544" s="7"/>
    </row>
    <row r="545" spans="2:2" x14ac:dyDescent="0.3">
      <c r="B545" s="7"/>
    </row>
    <row r="546" spans="2:2" x14ac:dyDescent="0.3">
      <c r="B546" s="7"/>
    </row>
    <row r="547" spans="2:2" x14ac:dyDescent="0.3">
      <c r="B547" s="7"/>
    </row>
    <row r="548" spans="2:2" x14ac:dyDescent="0.3">
      <c r="B548" s="7"/>
    </row>
    <row r="549" spans="2:2" x14ac:dyDescent="0.3">
      <c r="B549" s="7"/>
    </row>
    <row r="550" spans="2:2" x14ac:dyDescent="0.3">
      <c r="B550" s="7"/>
    </row>
    <row r="551" spans="2:2" x14ac:dyDescent="0.3">
      <c r="B551" s="7"/>
    </row>
    <row r="552" spans="2:2" x14ac:dyDescent="0.3">
      <c r="B552" s="7"/>
    </row>
    <row r="553" spans="2:2" x14ac:dyDescent="0.3">
      <c r="B553" s="7"/>
    </row>
    <row r="554" spans="2:2" x14ac:dyDescent="0.3">
      <c r="B554" s="7"/>
    </row>
    <row r="555" spans="2:2" x14ac:dyDescent="0.3">
      <c r="B555" s="7"/>
    </row>
    <row r="556" spans="2:2" x14ac:dyDescent="0.3">
      <c r="B556" s="7"/>
    </row>
    <row r="557" spans="2:2" x14ac:dyDescent="0.3">
      <c r="B557" s="7"/>
    </row>
    <row r="558" spans="2:2" x14ac:dyDescent="0.3">
      <c r="B558" s="7"/>
    </row>
    <row r="559" spans="2:2" x14ac:dyDescent="0.3">
      <c r="B559" s="7"/>
    </row>
    <row r="560" spans="2:2" x14ac:dyDescent="0.3">
      <c r="B560" s="7"/>
    </row>
    <row r="561" spans="2:2" x14ac:dyDescent="0.3">
      <c r="B561" s="7"/>
    </row>
    <row r="562" spans="2:2" x14ac:dyDescent="0.3">
      <c r="B562" s="7"/>
    </row>
    <row r="563" spans="2:2" x14ac:dyDescent="0.3">
      <c r="B563" s="7"/>
    </row>
    <row r="564" spans="2:2" x14ac:dyDescent="0.3">
      <c r="B564" s="7"/>
    </row>
    <row r="565" spans="2:2" x14ac:dyDescent="0.3">
      <c r="B565" s="7"/>
    </row>
    <row r="566" spans="2:2" x14ac:dyDescent="0.3">
      <c r="B566" s="7"/>
    </row>
    <row r="567" spans="2:2" x14ac:dyDescent="0.3">
      <c r="B567" s="7"/>
    </row>
    <row r="568" spans="2:2" x14ac:dyDescent="0.3">
      <c r="B568" s="7"/>
    </row>
    <row r="569" spans="2:2" x14ac:dyDescent="0.3">
      <c r="B569" s="7"/>
    </row>
    <row r="570" spans="2:2" x14ac:dyDescent="0.3">
      <c r="B570" s="7"/>
    </row>
    <row r="571" spans="2:2" x14ac:dyDescent="0.3">
      <c r="B571" s="7"/>
    </row>
    <row r="572" spans="2:2" x14ac:dyDescent="0.3">
      <c r="B572" s="7"/>
    </row>
    <row r="573" spans="2:2" x14ac:dyDescent="0.3">
      <c r="B573" s="7"/>
    </row>
    <row r="574" spans="2:2" x14ac:dyDescent="0.3">
      <c r="B574" s="7"/>
    </row>
    <row r="575" spans="2:2" x14ac:dyDescent="0.3">
      <c r="B575" s="7"/>
    </row>
    <row r="576" spans="2:2" x14ac:dyDescent="0.3">
      <c r="B576" s="7"/>
    </row>
    <row r="577" spans="2:2" x14ac:dyDescent="0.3">
      <c r="B577" s="7"/>
    </row>
    <row r="578" spans="2:2" x14ac:dyDescent="0.3">
      <c r="B578" s="7"/>
    </row>
    <row r="579" spans="2:2" x14ac:dyDescent="0.3">
      <c r="B579" s="7"/>
    </row>
    <row r="580" spans="2:2" x14ac:dyDescent="0.3">
      <c r="B580" s="7"/>
    </row>
    <row r="581" spans="2:2" x14ac:dyDescent="0.3">
      <c r="B581" s="7"/>
    </row>
    <row r="582" spans="2:2" x14ac:dyDescent="0.3">
      <c r="B582" s="7"/>
    </row>
    <row r="583" spans="2:2" x14ac:dyDescent="0.3">
      <c r="B583" s="7"/>
    </row>
    <row r="584" spans="2:2" x14ac:dyDescent="0.3">
      <c r="B584" s="7"/>
    </row>
    <row r="585" spans="2:2" x14ac:dyDescent="0.3">
      <c r="B585" s="7"/>
    </row>
    <row r="586" spans="2:2" x14ac:dyDescent="0.3">
      <c r="B586" s="7"/>
    </row>
    <row r="587" spans="2:2" x14ac:dyDescent="0.3">
      <c r="B587" s="7"/>
    </row>
    <row r="588" spans="2:2" x14ac:dyDescent="0.3">
      <c r="B588" s="7"/>
    </row>
    <row r="589" spans="2:2" x14ac:dyDescent="0.3">
      <c r="B589" s="7"/>
    </row>
    <row r="590" spans="2:2" x14ac:dyDescent="0.3">
      <c r="B590" s="7"/>
    </row>
    <row r="591" spans="2:2" x14ac:dyDescent="0.3">
      <c r="B591" s="7"/>
    </row>
    <row r="592" spans="2:2" x14ac:dyDescent="0.3">
      <c r="B592" s="7"/>
    </row>
    <row r="593" spans="2:2" x14ac:dyDescent="0.3">
      <c r="B593" s="7"/>
    </row>
    <row r="594" spans="2:2" x14ac:dyDescent="0.3">
      <c r="B594" s="7"/>
    </row>
    <row r="595" spans="2:2" x14ac:dyDescent="0.3">
      <c r="B595" s="7"/>
    </row>
    <row r="596" spans="2:2" x14ac:dyDescent="0.3">
      <c r="B596" s="7"/>
    </row>
    <row r="597" spans="2:2" x14ac:dyDescent="0.3">
      <c r="B597" s="7"/>
    </row>
    <row r="598" spans="2:2" x14ac:dyDescent="0.3">
      <c r="B598" s="7"/>
    </row>
    <row r="599" spans="2:2" x14ac:dyDescent="0.3">
      <c r="B599" s="7"/>
    </row>
    <row r="600" spans="2:2" x14ac:dyDescent="0.3">
      <c r="B600" s="7"/>
    </row>
    <row r="601" spans="2:2" x14ac:dyDescent="0.3">
      <c r="B601" s="7"/>
    </row>
    <row r="602" spans="2:2" x14ac:dyDescent="0.3">
      <c r="B602" s="7"/>
    </row>
    <row r="603" spans="2:2" x14ac:dyDescent="0.3">
      <c r="B603" s="7"/>
    </row>
    <row r="604" spans="2:2" x14ac:dyDescent="0.3">
      <c r="B604" s="7"/>
    </row>
    <row r="605" spans="2:2" x14ac:dyDescent="0.3">
      <c r="B605" s="7"/>
    </row>
    <row r="606" spans="2:2" x14ac:dyDescent="0.3">
      <c r="B606" s="7"/>
    </row>
    <row r="607" spans="2:2" x14ac:dyDescent="0.3">
      <c r="B607" s="7"/>
    </row>
    <row r="608" spans="2:2" x14ac:dyDescent="0.3">
      <c r="B608" s="7"/>
    </row>
    <row r="609" spans="2:2" x14ac:dyDescent="0.3">
      <c r="B609" s="7"/>
    </row>
    <row r="610" spans="2:2" x14ac:dyDescent="0.3">
      <c r="B610" s="7"/>
    </row>
    <row r="611" spans="2:2" x14ac:dyDescent="0.3">
      <c r="B611" s="7"/>
    </row>
    <row r="612" spans="2:2" x14ac:dyDescent="0.3">
      <c r="B612" s="7"/>
    </row>
    <row r="613" spans="2:2" x14ac:dyDescent="0.3">
      <c r="B613" s="7"/>
    </row>
    <row r="614" spans="2:2" x14ac:dyDescent="0.3">
      <c r="B614" s="7"/>
    </row>
    <row r="615" spans="2:2" x14ac:dyDescent="0.3">
      <c r="B615" s="7"/>
    </row>
    <row r="616" spans="2:2" x14ac:dyDescent="0.3">
      <c r="B616" s="7"/>
    </row>
    <row r="617" spans="2:2" x14ac:dyDescent="0.3">
      <c r="B617" s="7"/>
    </row>
    <row r="618" spans="2:2" x14ac:dyDescent="0.3">
      <c r="B618" s="7"/>
    </row>
    <row r="619" spans="2:2" x14ac:dyDescent="0.3">
      <c r="B619" s="7"/>
    </row>
    <row r="620" spans="2:2" x14ac:dyDescent="0.3">
      <c r="B620" s="7"/>
    </row>
    <row r="621" spans="2:2" x14ac:dyDescent="0.3">
      <c r="B621" s="7"/>
    </row>
    <row r="622" spans="2:2" x14ac:dyDescent="0.3">
      <c r="B622" s="7"/>
    </row>
    <row r="623" spans="2:2" x14ac:dyDescent="0.3">
      <c r="B623" s="7"/>
    </row>
    <row r="624" spans="2:2" x14ac:dyDescent="0.3">
      <c r="B624" s="7"/>
    </row>
    <row r="625" spans="2:2" x14ac:dyDescent="0.3">
      <c r="B625" s="7"/>
    </row>
    <row r="626" spans="2:2" x14ac:dyDescent="0.3">
      <c r="B626" s="7"/>
    </row>
    <row r="627" spans="2:2" x14ac:dyDescent="0.3">
      <c r="B627" s="7"/>
    </row>
    <row r="628" spans="2:2" x14ac:dyDescent="0.3">
      <c r="B628" s="7"/>
    </row>
    <row r="629" spans="2:2" x14ac:dyDescent="0.3">
      <c r="B629" s="7"/>
    </row>
    <row r="630" spans="2:2" x14ac:dyDescent="0.3">
      <c r="B630" s="7"/>
    </row>
    <row r="631" spans="2:2" x14ac:dyDescent="0.3">
      <c r="B631" s="7"/>
    </row>
    <row r="632" spans="2:2" x14ac:dyDescent="0.3">
      <c r="B632" s="7"/>
    </row>
  </sheetData>
  <dataValidations disablePrompts="1" count="1">
    <dataValidation type="list" allowBlank="1" showInputMessage="1" showErrorMessage="1" sqref="B3" xr:uid="{A86BE676-682C-478B-AA00-3088FE9AA1D6}"/>
  </dataValidations>
  <pageMargins left="0.7" right="0.7" top="0.75" bottom="0.75" header="0.3" footer="0.3"/>
  <pageSetup paperSize="9" orientation="portrait" horizontalDpi="1200" verticalDpi="1200"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91F354-2940-4F2E-B941-70AF7D4105B8}">
  <sheetPr codeName="Sheet85"/>
  <dimension ref="A1:BY31"/>
  <sheetViews>
    <sheetView showGridLines="0" workbookViewId="0"/>
  </sheetViews>
  <sheetFormatPr defaultColWidth="0" defaultRowHeight="13.5" x14ac:dyDescent="0.2"/>
  <cols>
    <col min="1" max="2" width="1.6640625" style="2" customWidth="1"/>
    <col min="3" max="3" width="3.33203125" style="2" customWidth="1"/>
    <col min="4" max="4" width="21.6640625" style="34" bestFit="1" customWidth="1"/>
    <col min="5" max="5" width="67.6640625" style="2" bestFit="1" customWidth="1"/>
    <col min="6" max="8" width="1.6640625" style="2" customWidth="1"/>
    <col min="9" max="14" width="13.33203125" style="2" customWidth="1"/>
    <col min="15" max="15" width="1.6640625" style="2" customWidth="1"/>
    <col min="16" max="77" width="13.33203125" style="2" customWidth="1"/>
    <col min="78" max="80" width="1.6640625" style="2" customWidth="1"/>
    <col min="81" max="16384" width="0" style="2" hidden="1"/>
  </cols>
  <sheetData>
    <row r="1" spans="1:77" s="150" customFormat="1" x14ac:dyDescent="0.2">
      <c r="A1" s="149"/>
      <c r="B1" s="149"/>
    </row>
    <row r="2" spans="1:77" x14ac:dyDescent="0.2">
      <c r="D2" s="2"/>
      <c r="H2" s="160"/>
      <c r="I2" s="321" t="str">
        <f>'Detailed Assumptions'!E$17</f>
        <v>FY26E</v>
      </c>
      <c r="J2" s="321" t="str">
        <f>'Detailed Assumptions'!F$17</f>
        <v>FY27E</v>
      </c>
      <c r="K2" s="321" t="str">
        <f>'Detailed Assumptions'!G$17</f>
        <v>FY28E</v>
      </c>
      <c r="L2" s="321" t="str">
        <f>'Detailed Assumptions'!H$17</f>
        <v>FY29E</v>
      </c>
      <c r="M2" s="321" t="str">
        <f>'Detailed Assumptions'!I$17</f>
        <v>FY30E</v>
      </c>
      <c r="N2" s="321" t="str">
        <f>'Detailed Assumptions'!J$17</f>
        <v>FY31E</v>
      </c>
      <c r="R2" s="40" t="str" cm="1">
        <f t="array" ref="R2">INDEX(Index_Tab!$G$4:$K$4,MATCH(1,(R4&gt;=Index_Tab!$G$5:$K$5)*(R4&lt;=Index_Tab!$G$17:$K$17),0))</f>
        <v>FY27E</v>
      </c>
      <c r="S2" s="40" t="str" cm="1">
        <f t="array" ref="S2">INDEX(Index_Tab!$G$4:$K$4,MATCH(1,(S4&gt;=Index_Tab!$G$5:$K$5)*(S4&lt;=Index_Tab!$G$17:$K$17),0))</f>
        <v>FY27E</v>
      </c>
      <c r="T2" s="40" t="str" cm="1">
        <f t="array" ref="T2">INDEX(Index_Tab!$G$4:$K$4,MATCH(1,(T4&gt;=Index_Tab!$G$5:$K$5)*(T4&lt;=Index_Tab!$G$17:$K$17),0))</f>
        <v>FY27E</v>
      </c>
      <c r="U2" s="40" t="str" cm="1">
        <f t="array" ref="U2">INDEX(Index_Tab!$G$4:$K$4,MATCH(1,(U4&gt;=Index_Tab!$G$5:$K$5)*(U4&lt;=Index_Tab!$G$17:$K$17),0))</f>
        <v>FY27E</v>
      </c>
      <c r="V2" s="40" t="str" cm="1">
        <f t="array" ref="V2">INDEX(Index_Tab!$G$4:$K$4,MATCH(1,(V4&gt;=Index_Tab!$G$5:$K$5)*(V4&lt;=Index_Tab!$G$17:$K$17),0))</f>
        <v>FY27E</v>
      </c>
      <c r="W2" s="40" t="str" cm="1">
        <f t="array" ref="W2">INDEX(Index_Tab!$G$4:$K$4,MATCH(1,(W4&gt;=Index_Tab!$G$5:$K$5)*(W4&lt;=Index_Tab!$G$17:$K$17),0))</f>
        <v>FY27E</v>
      </c>
      <c r="X2" s="40" t="str" cm="1">
        <f t="array" ref="X2">INDEX(Index_Tab!$G$4:$K$4,MATCH(1,(X4&gt;=Index_Tab!$G$5:$K$5)*(X4&lt;=Index_Tab!$G$17:$K$17),0))</f>
        <v>FY27E</v>
      </c>
      <c r="Y2" s="40" t="str" cm="1">
        <f t="array" ref="Y2">INDEX(Index_Tab!$G$4:$K$4,MATCH(1,(Y4&gt;=Index_Tab!$G$5:$K$5)*(Y4&lt;=Index_Tab!$G$17:$K$17),0))</f>
        <v>FY27E</v>
      </c>
      <c r="Z2" s="40" t="str" cm="1">
        <f t="array" ref="Z2">INDEX(Index_Tab!$G$4:$K$4,MATCH(1,(Z4&gt;=Index_Tab!$G$5:$K$5)*(Z4&lt;=Index_Tab!$G$17:$K$17),0))</f>
        <v>FY27E</v>
      </c>
      <c r="AA2" s="40" t="str" cm="1">
        <f t="array" ref="AA2">INDEX(Index_Tab!$G$4:$K$4,MATCH(1,(AA4&gt;=Index_Tab!$G$5:$K$5)*(AA4&lt;=Index_Tab!$G$17:$K$17),0))</f>
        <v>FY27E</v>
      </c>
      <c r="AB2" s="40" t="str" cm="1">
        <f t="array" ref="AB2">INDEX(Index_Tab!$G$4:$K$4,MATCH(1,(AB4&gt;=Index_Tab!$G$5:$K$5)*(AB4&lt;=Index_Tab!$G$17:$K$17),0))</f>
        <v>FY27E</v>
      </c>
      <c r="AC2" s="40" t="str" cm="1">
        <f t="array" ref="AC2">INDEX(Index_Tab!$G$4:$K$4,MATCH(1,(AC4&gt;=Index_Tab!$G$5:$K$5)*(AC4&lt;=Index_Tab!$G$17:$K$17),0))</f>
        <v>FY27E</v>
      </c>
      <c r="AD2" s="40" t="str" cm="1">
        <f t="array" ref="AD2">INDEX(Index_Tab!$G$4:$K$4,MATCH(1,(AD4&gt;=Index_Tab!$G$5:$K$5)*(AD4&lt;=Index_Tab!$G$17:$K$17),0))</f>
        <v>FY28E</v>
      </c>
      <c r="AE2" s="40" t="str" cm="1">
        <f t="array" ref="AE2">INDEX(Index_Tab!$G$4:$K$4,MATCH(1,(AE4&gt;=Index_Tab!$G$5:$K$5)*(AE4&lt;=Index_Tab!$G$17:$K$17),0))</f>
        <v>FY28E</v>
      </c>
      <c r="AF2" s="40" t="str" cm="1">
        <f t="array" ref="AF2">INDEX(Index_Tab!$G$4:$K$4,MATCH(1,(AF4&gt;=Index_Tab!$G$5:$K$5)*(AF4&lt;=Index_Tab!$G$17:$K$17),0))</f>
        <v>FY28E</v>
      </c>
      <c r="AG2" s="40" t="str" cm="1">
        <f t="array" ref="AG2">INDEX(Index_Tab!$G$4:$K$4,MATCH(1,(AG4&gt;=Index_Tab!$G$5:$K$5)*(AG4&lt;=Index_Tab!$G$17:$K$17),0))</f>
        <v>FY28E</v>
      </c>
      <c r="AH2" s="40" t="str" cm="1">
        <f t="array" ref="AH2">INDEX(Index_Tab!$G$4:$K$4,MATCH(1,(AH4&gt;=Index_Tab!$G$5:$K$5)*(AH4&lt;=Index_Tab!$G$17:$K$17),0))</f>
        <v>FY28E</v>
      </c>
      <c r="AI2" s="40" t="str" cm="1">
        <f t="array" ref="AI2">INDEX(Index_Tab!$G$4:$K$4,MATCH(1,(AI4&gt;=Index_Tab!$G$5:$K$5)*(AI4&lt;=Index_Tab!$G$17:$K$17),0))</f>
        <v>FY28E</v>
      </c>
      <c r="AJ2" s="40" t="str" cm="1">
        <f t="array" ref="AJ2">INDEX(Index_Tab!$G$4:$K$4,MATCH(1,(AJ4&gt;=Index_Tab!$G$5:$K$5)*(AJ4&lt;=Index_Tab!$G$17:$K$17),0))</f>
        <v>FY28E</v>
      </c>
      <c r="AK2" s="40" t="str" cm="1">
        <f t="array" ref="AK2">INDEX(Index_Tab!$G$4:$K$4,MATCH(1,(AK4&gt;=Index_Tab!$G$5:$K$5)*(AK4&lt;=Index_Tab!$G$17:$K$17),0))</f>
        <v>FY28E</v>
      </c>
      <c r="AL2" s="40" t="str" cm="1">
        <f t="array" ref="AL2">INDEX(Index_Tab!$G$4:$K$4,MATCH(1,(AL4&gt;=Index_Tab!$G$5:$K$5)*(AL4&lt;=Index_Tab!$G$17:$K$17),0))</f>
        <v>FY28E</v>
      </c>
      <c r="AM2" s="40" t="str" cm="1">
        <f t="array" ref="AM2">INDEX(Index_Tab!$G$4:$K$4,MATCH(1,(AM4&gt;=Index_Tab!$G$5:$K$5)*(AM4&lt;=Index_Tab!$G$17:$K$17),0))</f>
        <v>FY28E</v>
      </c>
      <c r="AN2" s="40" t="str" cm="1">
        <f t="array" ref="AN2">INDEX(Index_Tab!$G$4:$K$4,MATCH(1,(AN4&gt;=Index_Tab!$G$5:$K$5)*(AN4&lt;=Index_Tab!$G$17:$K$17),0))</f>
        <v>FY28E</v>
      </c>
      <c r="AO2" s="40" t="str" cm="1">
        <f t="array" ref="AO2">INDEX(Index_Tab!$G$4:$K$4,MATCH(1,(AO4&gt;=Index_Tab!$G$5:$K$5)*(AO4&lt;=Index_Tab!$G$17:$K$17),0))</f>
        <v>FY28E</v>
      </c>
      <c r="AP2" s="40" t="str" cm="1">
        <f t="array" ref="AP2">INDEX(Index_Tab!$G$4:$K$4,MATCH(1,(AP4&gt;=Index_Tab!$G$5:$K$5)*(AP4&lt;=Index_Tab!$G$17:$K$17),0))</f>
        <v>FY29E</v>
      </c>
      <c r="AQ2" s="40" t="str" cm="1">
        <f t="array" ref="AQ2">INDEX(Index_Tab!$G$4:$K$4,MATCH(1,(AQ4&gt;=Index_Tab!$G$5:$K$5)*(AQ4&lt;=Index_Tab!$G$17:$K$17),0))</f>
        <v>FY29E</v>
      </c>
      <c r="AR2" s="40" t="str" cm="1">
        <f t="array" ref="AR2">INDEX(Index_Tab!$G$4:$K$4,MATCH(1,(AR4&gt;=Index_Tab!$G$5:$K$5)*(AR4&lt;=Index_Tab!$G$17:$K$17),0))</f>
        <v>FY29E</v>
      </c>
      <c r="AS2" s="40" t="str" cm="1">
        <f t="array" ref="AS2">INDEX(Index_Tab!$G$4:$K$4,MATCH(1,(AS4&gt;=Index_Tab!$G$5:$K$5)*(AS4&lt;=Index_Tab!$G$17:$K$17),0))</f>
        <v>FY29E</v>
      </c>
      <c r="AT2" s="40" t="str" cm="1">
        <f t="array" ref="AT2">INDEX(Index_Tab!$G$4:$K$4,MATCH(1,(AT4&gt;=Index_Tab!$G$5:$K$5)*(AT4&lt;=Index_Tab!$G$17:$K$17),0))</f>
        <v>FY29E</v>
      </c>
      <c r="AU2" s="40" t="str" cm="1">
        <f t="array" ref="AU2">INDEX(Index_Tab!$G$4:$K$4,MATCH(1,(AU4&gt;=Index_Tab!$G$5:$K$5)*(AU4&lt;=Index_Tab!$G$17:$K$17),0))</f>
        <v>FY29E</v>
      </c>
      <c r="AV2" s="40" t="str" cm="1">
        <f t="array" ref="AV2">INDEX(Index_Tab!$G$4:$K$4,MATCH(1,(AV4&gt;=Index_Tab!$G$5:$K$5)*(AV4&lt;=Index_Tab!$G$17:$K$17),0))</f>
        <v>FY29E</v>
      </c>
      <c r="AW2" s="40" t="str" cm="1">
        <f t="array" ref="AW2">INDEX(Index_Tab!$G$4:$K$4,MATCH(1,(AW4&gt;=Index_Tab!$G$5:$K$5)*(AW4&lt;=Index_Tab!$G$17:$K$17),0))</f>
        <v>FY29E</v>
      </c>
      <c r="AX2" s="40" t="str" cm="1">
        <f t="array" ref="AX2">INDEX(Index_Tab!$G$4:$K$4,MATCH(1,(AX4&gt;=Index_Tab!$G$5:$K$5)*(AX4&lt;=Index_Tab!$G$17:$K$17),0))</f>
        <v>FY29E</v>
      </c>
      <c r="AY2" s="40" t="str" cm="1">
        <f t="array" ref="AY2">INDEX(Index_Tab!$G$4:$K$4,MATCH(1,(AY4&gt;=Index_Tab!$G$5:$K$5)*(AY4&lt;=Index_Tab!$G$17:$K$17),0))</f>
        <v>FY29E</v>
      </c>
      <c r="AZ2" s="40" t="str" cm="1">
        <f t="array" ref="AZ2">INDEX(Index_Tab!$G$4:$K$4,MATCH(1,(AZ4&gt;=Index_Tab!$G$5:$K$5)*(AZ4&lt;=Index_Tab!$G$17:$K$17),0))</f>
        <v>FY29E</v>
      </c>
      <c r="BA2" s="40" t="str" cm="1">
        <f t="array" ref="BA2">INDEX(Index_Tab!$G$4:$K$4,MATCH(1,(BA4&gt;=Index_Tab!$G$5:$K$5)*(BA4&lt;=Index_Tab!$G$17:$K$17),0))</f>
        <v>FY29E</v>
      </c>
      <c r="BB2" s="40" t="str" cm="1">
        <f t="array" ref="BB2">INDEX(Index_Tab!$G$4:$K$4,MATCH(1,(BB4&gt;=Index_Tab!$G$5:$K$5)*(BB4&lt;=Index_Tab!$G$17:$K$17),0))</f>
        <v>FY30E</v>
      </c>
      <c r="BC2" s="40" t="str" cm="1">
        <f t="array" ref="BC2">INDEX(Index_Tab!$G$4:$K$4,MATCH(1,(BC4&gt;=Index_Tab!$G$5:$K$5)*(BC4&lt;=Index_Tab!$G$17:$K$17),0))</f>
        <v>FY30E</v>
      </c>
      <c r="BD2" s="40" t="str" cm="1">
        <f t="array" ref="BD2">INDEX(Index_Tab!$G$4:$K$4,MATCH(1,(BD4&gt;=Index_Tab!$G$5:$K$5)*(BD4&lt;=Index_Tab!$G$17:$K$17),0))</f>
        <v>FY30E</v>
      </c>
      <c r="BE2" s="40" t="str" cm="1">
        <f t="array" ref="BE2">INDEX(Index_Tab!$G$4:$K$4,MATCH(1,(BE4&gt;=Index_Tab!$G$5:$K$5)*(BE4&lt;=Index_Tab!$G$17:$K$17),0))</f>
        <v>FY30E</v>
      </c>
      <c r="BF2" s="40" t="str" cm="1">
        <f t="array" ref="BF2">INDEX(Index_Tab!$G$4:$K$4,MATCH(1,(BF4&gt;=Index_Tab!$G$5:$K$5)*(BF4&lt;=Index_Tab!$G$17:$K$17),0))</f>
        <v>FY30E</v>
      </c>
      <c r="BG2" s="40" t="str" cm="1">
        <f t="array" ref="BG2">INDEX(Index_Tab!$G$4:$K$4,MATCH(1,(BG4&gt;=Index_Tab!$G$5:$K$5)*(BG4&lt;=Index_Tab!$G$17:$K$17),0))</f>
        <v>FY30E</v>
      </c>
      <c r="BH2" s="40" t="str" cm="1">
        <f t="array" ref="BH2">INDEX(Index_Tab!$G$4:$K$4,MATCH(1,(BH4&gt;=Index_Tab!$G$5:$K$5)*(BH4&lt;=Index_Tab!$G$17:$K$17),0))</f>
        <v>FY30E</v>
      </c>
      <c r="BI2" s="40" t="str" cm="1">
        <f t="array" ref="BI2">INDEX(Index_Tab!$G$4:$K$4,MATCH(1,(BI4&gt;=Index_Tab!$G$5:$K$5)*(BI4&lt;=Index_Tab!$G$17:$K$17),0))</f>
        <v>FY30E</v>
      </c>
      <c r="BJ2" s="40" t="str" cm="1">
        <f t="array" ref="BJ2">INDEX(Index_Tab!$G$4:$K$4,MATCH(1,(BJ4&gt;=Index_Tab!$G$5:$K$5)*(BJ4&lt;=Index_Tab!$G$17:$K$17),0))</f>
        <v>FY30E</v>
      </c>
      <c r="BK2" s="40" t="str" cm="1">
        <f t="array" ref="BK2">INDEX(Index_Tab!$G$4:$K$4,MATCH(1,(BK4&gt;=Index_Tab!$G$5:$K$5)*(BK4&lt;=Index_Tab!$G$17:$K$17),0))</f>
        <v>FY30E</v>
      </c>
      <c r="BL2" s="40" t="str" cm="1">
        <f t="array" ref="BL2">INDEX(Index_Tab!$G$4:$K$4,MATCH(1,(BL4&gt;=Index_Tab!$G$5:$K$5)*(BL4&lt;=Index_Tab!$G$17:$K$17),0))</f>
        <v>FY30E</v>
      </c>
      <c r="BM2" s="40" t="str" cm="1">
        <f t="array" ref="BM2">INDEX(Index_Tab!$G$4:$K$4,MATCH(1,(BM4&gt;=Index_Tab!$G$5:$K$5)*(BM4&lt;=Index_Tab!$G$17:$K$17),0))</f>
        <v>FY30E</v>
      </c>
      <c r="BN2" s="40" t="str" cm="1">
        <f t="array" ref="BN2">INDEX(Index_Tab!$G$4:$K$4,MATCH(1,(BN4&gt;=Index_Tab!$G$5:$K$5)*(BN4&lt;=Index_Tab!$G$17:$K$17),0))</f>
        <v>FY31E</v>
      </c>
      <c r="BO2" s="40" t="str" cm="1">
        <f t="array" ref="BO2">INDEX(Index_Tab!$G$4:$K$4,MATCH(1,(BO4&gt;=Index_Tab!$G$5:$K$5)*(BO4&lt;=Index_Tab!$G$17:$K$17),0))</f>
        <v>FY31E</v>
      </c>
      <c r="BP2" s="40" t="str" cm="1">
        <f t="array" ref="BP2">INDEX(Index_Tab!$G$4:$K$4,MATCH(1,(BP4&gt;=Index_Tab!$G$5:$K$5)*(BP4&lt;=Index_Tab!$G$17:$K$17),0))</f>
        <v>FY31E</v>
      </c>
      <c r="BQ2" s="40" t="str" cm="1">
        <f t="array" ref="BQ2">INDEX(Index_Tab!$G$4:$K$4,MATCH(1,(BQ4&gt;=Index_Tab!$G$5:$K$5)*(BQ4&lt;=Index_Tab!$G$17:$K$17),0))</f>
        <v>FY31E</v>
      </c>
      <c r="BR2" s="40" t="str" cm="1">
        <f t="array" ref="BR2">INDEX(Index_Tab!$G$4:$K$4,MATCH(1,(BR4&gt;=Index_Tab!$G$5:$K$5)*(BR4&lt;=Index_Tab!$G$17:$K$17),0))</f>
        <v>FY31E</v>
      </c>
      <c r="BS2" s="40" t="str" cm="1">
        <f t="array" ref="BS2">INDEX(Index_Tab!$G$4:$K$4,MATCH(1,(BS4&gt;=Index_Tab!$G$5:$K$5)*(BS4&lt;=Index_Tab!$G$17:$K$17),0))</f>
        <v>FY31E</v>
      </c>
      <c r="BT2" s="40" t="str" cm="1">
        <f t="array" ref="BT2">INDEX(Index_Tab!$G$4:$K$4,MATCH(1,(BT4&gt;=Index_Tab!$G$5:$K$5)*(BT4&lt;=Index_Tab!$G$17:$K$17),0))</f>
        <v>FY31E</v>
      </c>
      <c r="BU2" s="40" t="str" cm="1">
        <f t="array" ref="BU2">INDEX(Index_Tab!$G$4:$K$4,MATCH(1,(BU4&gt;=Index_Tab!$G$5:$K$5)*(BU4&lt;=Index_Tab!$G$17:$K$17),0))</f>
        <v>FY31E</v>
      </c>
      <c r="BV2" s="40" t="str" cm="1">
        <f t="array" ref="BV2">INDEX(Index_Tab!$G$4:$K$4,MATCH(1,(BV4&gt;=Index_Tab!$G$5:$K$5)*(BV4&lt;=Index_Tab!$G$17:$K$17),0))</f>
        <v>FY31E</v>
      </c>
      <c r="BW2" s="40" t="str" cm="1">
        <f t="array" ref="BW2">INDEX(Index_Tab!$G$4:$K$4,MATCH(1,(BW4&gt;=Index_Tab!$G$5:$K$5)*(BW4&lt;=Index_Tab!$G$17:$K$17),0))</f>
        <v>FY31E</v>
      </c>
      <c r="BX2" s="40" t="str" cm="1">
        <f t="array" ref="BX2">INDEX(Index_Tab!$G$4:$K$4,MATCH(1,(BX4&gt;=Index_Tab!$G$5:$K$5)*(BX4&lt;=Index_Tab!$G$17:$K$17),0))</f>
        <v>FY31E</v>
      </c>
      <c r="BY2" s="40" t="str" cm="1">
        <f t="array" ref="BY2">INDEX(Index_Tab!$G$4:$K$4,MATCH(1,(BY4&gt;=Index_Tab!$G$5:$K$5)*(BY4&lt;=Index_Tab!$G$17:$K$17),0))</f>
        <v>FY31E</v>
      </c>
    </row>
    <row r="3" spans="1:77" x14ac:dyDescent="0.2">
      <c r="D3" s="20" t="s">
        <v>138</v>
      </c>
      <c r="E3" s="20"/>
      <c r="F3" s="20"/>
      <c r="G3" s="20"/>
      <c r="H3" s="43"/>
      <c r="I3" s="43"/>
      <c r="J3" s="44">
        <f>'Detailed Assumptions'!$E$12</f>
        <v>46296</v>
      </c>
      <c r="K3" s="44">
        <f>J4+1</f>
        <v>46661</v>
      </c>
      <c r="L3" s="44">
        <f>K4+1</f>
        <v>47027</v>
      </c>
      <c r="M3" s="44">
        <f>L4+1</f>
        <v>47392</v>
      </c>
      <c r="N3" s="44">
        <f>M4+1</f>
        <v>47757</v>
      </c>
      <c r="O3" s="20"/>
      <c r="P3" s="20"/>
      <c r="Q3" s="20"/>
      <c r="R3" s="43">
        <f>J3</f>
        <v>46296</v>
      </c>
      <c r="S3" s="43">
        <f>R4+1</f>
        <v>46327</v>
      </c>
      <c r="T3" s="43">
        <f t="shared" ref="T3:AN3" si="0">S4+1</f>
        <v>46357</v>
      </c>
      <c r="U3" s="43">
        <f t="shared" si="0"/>
        <v>46388</v>
      </c>
      <c r="V3" s="43">
        <f t="shared" si="0"/>
        <v>46419</v>
      </c>
      <c r="W3" s="43">
        <f>V4+1</f>
        <v>46447</v>
      </c>
      <c r="X3" s="43">
        <f t="shared" si="0"/>
        <v>46478</v>
      </c>
      <c r="Y3" s="43">
        <f t="shared" si="0"/>
        <v>46508</v>
      </c>
      <c r="Z3" s="43">
        <f t="shared" si="0"/>
        <v>46539</v>
      </c>
      <c r="AA3" s="43">
        <f t="shared" si="0"/>
        <v>46569</v>
      </c>
      <c r="AB3" s="43">
        <f t="shared" si="0"/>
        <v>46600</v>
      </c>
      <c r="AC3" s="43">
        <f>AB4+1</f>
        <v>46631</v>
      </c>
      <c r="AD3" s="43">
        <f>AC4+1</f>
        <v>46661</v>
      </c>
      <c r="AE3" s="43">
        <f>AD4+1</f>
        <v>46692</v>
      </c>
      <c r="AF3" s="43">
        <f t="shared" si="0"/>
        <v>46722</v>
      </c>
      <c r="AG3" s="43">
        <f t="shared" si="0"/>
        <v>46753</v>
      </c>
      <c r="AH3" s="43">
        <f t="shared" si="0"/>
        <v>46784</v>
      </c>
      <c r="AI3" s="43">
        <f>AH4+1</f>
        <v>46813</v>
      </c>
      <c r="AJ3" s="43">
        <f t="shared" si="0"/>
        <v>46844</v>
      </c>
      <c r="AK3" s="43">
        <f t="shared" si="0"/>
        <v>46874</v>
      </c>
      <c r="AL3" s="43">
        <f t="shared" si="0"/>
        <v>46905</v>
      </c>
      <c r="AM3" s="43">
        <f t="shared" si="0"/>
        <v>46935</v>
      </c>
      <c r="AN3" s="43">
        <f t="shared" si="0"/>
        <v>46966</v>
      </c>
      <c r="AO3" s="43">
        <f>AN4+1</f>
        <v>46997</v>
      </c>
      <c r="AP3" s="43">
        <f>AO4+1</f>
        <v>47027</v>
      </c>
      <c r="AQ3" s="43">
        <f>AP4+1</f>
        <v>47058</v>
      </c>
      <c r="AR3" s="43">
        <f t="shared" ref="AR3:AZ3" si="1">AQ4+1</f>
        <v>47088</v>
      </c>
      <c r="AS3" s="43">
        <f t="shared" si="1"/>
        <v>47119</v>
      </c>
      <c r="AT3" s="43">
        <f t="shared" si="1"/>
        <v>47150</v>
      </c>
      <c r="AU3" s="43">
        <f>AT4+1</f>
        <v>47178</v>
      </c>
      <c r="AV3" s="43">
        <f t="shared" si="1"/>
        <v>47209</v>
      </c>
      <c r="AW3" s="43">
        <f t="shared" si="1"/>
        <v>47239</v>
      </c>
      <c r="AX3" s="43">
        <f t="shared" si="1"/>
        <v>47270</v>
      </c>
      <c r="AY3" s="43">
        <f t="shared" si="1"/>
        <v>47300</v>
      </c>
      <c r="AZ3" s="43">
        <f t="shared" si="1"/>
        <v>47331</v>
      </c>
      <c r="BA3" s="43">
        <f>AZ4+1</f>
        <v>47362</v>
      </c>
      <c r="BB3" s="43">
        <f>BA4+1</f>
        <v>47392</v>
      </c>
      <c r="BC3" s="43">
        <f>BB4+1</f>
        <v>47423</v>
      </c>
      <c r="BD3" s="43">
        <f t="shared" ref="BD3:BL3" si="2">BC4+1</f>
        <v>47453</v>
      </c>
      <c r="BE3" s="43">
        <f t="shared" si="2"/>
        <v>47484</v>
      </c>
      <c r="BF3" s="43">
        <f t="shared" si="2"/>
        <v>47515</v>
      </c>
      <c r="BG3" s="43">
        <f>BF4+1</f>
        <v>47543</v>
      </c>
      <c r="BH3" s="43">
        <f t="shared" si="2"/>
        <v>47574</v>
      </c>
      <c r="BI3" s="43">
        <f t="shared" si="2"/>
        <v>47604</v>
      </c>
      <c r="BJ3" s="43">
        <f t="shared" si="2"/>
        <v>47635</v>
      </c>
      <c r="BK3" s="43">
        <f t="shared" si="2"/>
        <v>47665</v>
      </c>
      <c r="BL3" s="43">
        <f t="shared" si="2"/>
        <v>47696</v>
      </c>
      <c r="BM3" s="43">
        <f>BL4+1</f>
        <v>47727</v>
      </c>
      <c r="BN3" s="43">
        <f>BM4+1</f>
        <v>47757</v>
      </c>
      <c r="BO3" s="43">
        <f>BN4+1</f>
        <v>47788</v>
      </c>
      <c r="BP3" s="43">
        <f t="shared" ref="BP3:BX3" si="3">BO4+1</f>
        <v>47818</v>
      </c>
      <c r="BQ3" s="43">
        <f t="shared" si="3"/>
        <v>47849</v>
      </c>
      <c r="BR3" s="43">
        <f t="shared" si="3"/>
        <v>47880</v>
      </c>
      <c r="BS3" s="43">
        <f>BR4+1</f>
        <v>47908</v>
      </c>
      <c r="BT3" s="43">
        <f t="shared" si="3"/>
        <v>47939</v>
      </c>
      <c r="BU3" s="43">
        <f t="shared" si="3"/>
        <v>47969</v>
      </c>
      <c r="BV3" s="43">
        <f t="shared" si="3"/>
        <v>48000</v>
      </c>
      <c r="BW3" s="43">
        <f t="shared" si="3"/>
        <v>48030</v>
      </c>
      <c r="BX3" s="43">
        <f t="shared" si="3"/>
        <v>48061</v>
      </c>
      <c r="BY3" s="43">
        <f>BX4+1</f>
        <v>48092</v>
      </c>
    </row>
    <row r="4" spans="1:77" x14ac:dyDescent="0.2">
      <c r="D4" s="20" t="s">
        <v>139</v>
      </c>
      <c r="E4" s="20"/>
      <c r="F4" s="20"/>
      <c r="G4" s="20"/>
      <c r="H4" s="43"/>
      <c r="I4" s="43">
        <f>J3-1</f>
        <v>46295</v>
      </c>
      <c r="J4" s="43">
        <f>EOMONTH(J3,11)</f>
        <v>46660</v>
      </c>
      <c r="K4" s="43">
        <f>EOMONTH(K3,11)</f>
        <v>47026</v>
      </c>
      <c r="L4" s="43">
        <f>EOMONTH(L3,11)</f>
        <v>47391</v>
      </c>
      <c r="M4" s="43">
        <f>EOMONTH(M3,11)</f>
        <v>47756</v>
      </c>
      <c r="N4" s="43">
        <f>EOMONTH(N3,11)</f>
        <v>48121</v>
      </c>
      <c r="O4" s="44"/>
      <c r="P4" s="44"/>
      <c r="Q4" s="44"/>
      <c r="R4" s="44">
        <f>EOMONTH(R3,0)</f>
        <v>46326</v>
      </c>
      <c r="S4" s="44">
        <f>EOMONTH(S3,0)</f>
        <v>46356</v>
      </c>
      <c r="T4" s="44">
        <f t="shared" ref="T4:AB4" si="4">EOMONTH(T3,0)</f>
        <v>46387</v>
      </c>
      <c r="U4" s="44">
        <f t="shared" si="4"/>
        <v>46418</v>
      </c>
      <c r="V4" s="44">
        <f t="shared" si="4"/>
        <v>46446</v>
      </c>
      <c r="W4" s="44">
        <f>EOMONTH(W3,0)</f>
        <v>46477</v>
      </c>
      <c r="X4" s="44">
        <f t="shared" si="4"/>
        <v>46507</v>
      </c>
      <c r="Y4" s="44">
        <f t="shared" si="4"/>
        <v>46538</v>
      </c>
      <c r="Z4" s="44">
        <f t="shared" si="4"/>
        <v>46568</v>
      </c>
      <c r="AA4" s="44">
        <f t="shared" si="4"/>
        <v>46599</v>
      </c>
      <c r="AB4" s="44">
        <f t="shared" si="4"/>
        <v>46630</v>
      </c>
      <c r="AC4" s="44">
        <f t="shared" ref="AC4:BH4" si="5">EOMONTH(AC3,0)</f>
        <v>46660</v>
      </c>
      <c r="AD4" s="44">
        <f t="shared" si="5"/>
        <v>46691</v>
      </c>
      <c r="AE4" s="44">
        <f t="shared" si="5"/>
        <v>46721</v>
      </c>
      <c r="AF4" s="44">
        <f t="shared" si="5"/>
        <v>46752</v>
      </c>
      <c r="AG4" s="44">
        <f t="shared" si="5"/>
        <v>46783</v>
      </c>
      <c r="AH4" s="44">
        <f t="shared" si="5"/>
        <v>46812</v>
      </c>
      <c r="AI4" s="44">
        <f t="shared" si="5"/>
        <v>46843</v>
      </c>
      <c r="AJ4" s="44">
        <f t="shared" si="5"/>
        <v>46873</v>
      </c>
      <c r="AK4" s="44">
        <f t="shared" si="5"/>
        <v>46904</v>
      </c>
      <c r="AL4" s="44">
        <f t="shared" si="5"/>
        <v>46934</v>
      </c>
      <c r="AM4" s="44">
        <f t="shared" si="5"/>
        <v>46965</v>
      </c>
      <c r="AN4" s="44">
        <f t="shared" si="5"/>
        <v>46996</v>
      </c>
      <c r="AO4" s="44">
        <f t="shared" si="5"/>
        <v>47026</v>
      </c>
      <c r="AP4" s="44">
        <f t="shared" si="5"/>
        <v>47057</v>
      </c>
      <c r="AQ4" s="44">
        <f t="shared" si="5"/>
        <v>47087</v>
      </c>
      <c r="AR4" s="44">
        <f t="shared" si="5"/>
        <v>47118</v>
      </c>
      <c r="AS4" s="44">
        <f t="shared" si="5"/>
        <v>47149</v>
      </c>
      <c r="AT4" s="44">
        <f t="shared" si="5"/>
        <v>47177</v>
      </c>
      <c r="AU4" s="44">
        <f t="shared" si="5"/>
        <v>47208</v>
      </c>
      <c r="AV4" s="44">
        <f t="shared" si="5"/>
        <v>47238</v>
      </c>
      <c r="AW4" s="44">
        <f t="shared" si="5"/>
        <v>47269</v>
      </c>
      <c r="AX4" s="44">
        <f t="shared" si="5"/>
        <v>47299</v>
      </c>
      <c r="AY4" s="44">
        <f t="shared" si="5"/>
        <v>47330</v>
      </c>
      <c r="AZ4" s="44">
        <f t="shared" si="5"/>
        <v>47361</v>
      </c>
      <c r="BA4" s="44">
        <f t="shared" si="5"/>
        <v>47391</v>
      </c>
      <c r="BB4" s="44">
        <f t="shared" si="5"/>
        <v>47422</v>
      </c>
      <c r="BC4" s="44">
        <f t="shared" si="5"/>
        <v>47452</v>
      </c>
      <c r="BD4" s="44">
        <f t="shared" si="5"/>
        <v>47483</v>
      </c>
      <c r="BE4" s="44">
        <f t="shared" si="5"/>
        <v>47514</v>
      </c>
      <c r="BF4" s="44">
        <f t="shared" si="5"/>
        <v>47542</v>
      </c>
      <c r="BG4" s="44">
        <f t="shared" si="5"/>
        <v>47573</v>
      </c>
      <c r="BH4" s="44">
        <f t="shared" si="5"/>
        <v>47603</v>
      </c>
      <c r="BI4" s="44">
        <f t="shared" ref="BI4:BY4" si="6">EOMONTH(BI3,0)</f>
        <v>47634</v>
      </c>
      <c r="BJ4" s="44">
        <f t="shared" si="6"/>
        <v>47664</v>
      </c>
      <c r="BK4" s="44">
        <f t="shared" si="6"/>
        <v>47695</v>
      </c>
      <c r="BL4" s="44">
        <f t="shared" si="6"/>
        <v>47726</v>
      </c>
      <c r="BM4" s="44">
        <f t="shared" si="6"/>
        <v>47756</v>
      </c>
      <c r="BN4" s="44">
        <f t="shared" si="6"/>
        <v>47787</v>
      </c>
      <c r="BO4" s="44">
        <f t="shared" si="6"/>
        <v>47817</v>
      </c>
      <c r="BP4" s="44">
        <f t="shared" si="6"/>
        <v>47848</v>
      </c>
      <c r="BQ4" s="44">
        <f t="shared" si="6"/>
        <v>47879</v>
      </c>
      <c r="BR4" s="44">
        <f t="shared" si="6"/>
        <v>47907</v>
      </c>
      <c r="BS4" s="44">
        <f t="shared" si="6"/>
        <v>47938</v>
      </c>
      <c r="BT4" s="44">
        <f t="shared" si="6"/>
        <v>47968</v>
      </c>
      <c r="BU4" s="44">
        <f t="shared" si="6"/>
        <v>47999</v>
      </c>
      <c r="BV4" s="44">
        <f t="shared" si="6"/>
        <v>48029</v>
      </c>
      <c r="BW4" s="44">
        <f t="shared" si="6"/>
        <v>48060</v>
      </c>
      <c r="BX4" s="44">
        <f t="shared" si="6"/>
        <v>48091</v>
      </c>
      <c r="BY4" s="44">
        <f t="shared" si="6"/>
        <v>48121</v>
      </c>
    </row>
    <row r="5" spans="1:77" ht="5.0999999999999996" customHeight="1" x14ac:dyDescent="0.2">
      <c r="G5" s="41"/>
      <c r="H5" s="41"/>
      <c r="O5" s="41"/>
      <c r="P5" s="41"/>
      <c r="Q5" s="41"/>
    </row>
    <row r="6" spans="1:77" x14ac:dyDescent="0.2">
      <c r="A6" s="1"/>
      <c r="B6" s="48" t="s">
        <v>37</v>
      </c>
      <c r="C6" s="151"/>
      <c r="D6" s="152" t="s">
        <v>372</v>
      </c>
      <c r="E6" s="49"/>
      <c r="F6" s="49"/>
      <c r="G6" s="49"/>
      <c r="H6" s="49"/>
      <c r="I6" s="49"/>
      <c r="J6" s="49"/>
      <c r="K6" s="49"/>
      <c r="L6" s="49"/>
      <c r="M6" s="49"/>
      <c r="N6" s="49"/>
      <c r="O6" s="49"/>
      <c r="P6" s="49"/>
      <c r="Q6" s="49"/>
      <c r="R6" s="49"/>
      <c r="S6" s="49"/>
      <c r="T6" s="49"/>
      <c r="U6" s="49"/>
      <c r="V6" s="49"/>
      <c r="W6" s="49"/>
      <c r="X6" s="49"/>
      <c r="Y6" s="49"/>
      <c r="Z6" s="49"/>
      <c r="AA6" s="49"/>
      <c r="AB6" s="49"/>
      <c r="AC6" s="49"/>
      <c r="AD6" s="49"/>
      <c r="AE6" s="49"/>
      <c r="AF6" s="49"/>
      <c r="AG6" s="49"/>
      <c r="AH6" s="49"/>
      <c r="AI6" s="49"/>
      <c r="AJ6" s="49"/>
      <c r="AK6" s="49"/>
      <c r="AL6" s="49"/>
      <c r="AM6" s="49"/>
      <c r="AN6" s="49"/>
      <c r="AO6" s="49"/>
      <c r="AP6" s="49"/>
      <c r="AQ6" s="49"/>
      <c r="AR6" s="49"/>
      <c r="AS6" s="49"/>
      <c r="AT6" s="49"/>
      <c r="AU6" s="49"/>
      <c r="AV6" s="49"/>
      <c r="AW6" s="49"/>
      <c r="AX6" s="49"/>
      <c r="AY6" s="49"/>
      <c r="AZ6" s="49"/>
      <c r="BA6" s="49"/>
      <c r="BB6" s="49"/>
      <c r="BC6" s="49"/>
      <c r="BD6" s="49"/>
      <c r="BE6" s="49"/>
      <c r="BF6" s="49"/>
      <c r="BG6" s="49"/>
      <c r="BH6" s="49"/>
      <c r="BI6" s="49"/>
      <c r="BJ6" s="49"/>
      <c r="BK6" s="49"/>
      <c r="BL6" s="49"/>
      <c r="BM6" s="49"/>
      <c r="BN6" s="49"/>
      <c r="BO6" s="49"/>
      <c r="BP6" s="49"/>
      <c r="BQ6" s="49"/>
      <c r="BR6" s="49"/>
      <c r="BS6" s="49"/>
      <c r="BT6" s="49"/>
      <c r="BU6" s="49"/>
      <c r="BV6" s="49"/>
      <c r="BW6" s="49"/>
      <c r="BX6" s="49"/>
      <c r="BY6" s="49"/>
    </row>
    <row r="7" spans="1:77" x14ac:dyDescent="0.2">
      <c r="D7" s="679">
        <v>1</v>
      </c>
      <c r="I7" s="497">
        <f>SUMIFS($R7:$BY7,$R$2:$BY$2,I$2)</f>
        <v>0</v>
      </c>
      <c r="J7" s="497">
        <f t="shared" ref="J7:N16" si="7">SUMIFS($R7:$BY7,$R$2:$BY$2,J$2)</f>
        <v>0</v>
      </c>
      <c r="K7" s="497">
        <f t="shared" si="7"/>
        <v>0</v>
      </c>
      <c r="L7" s="497">
        <f t="shared" si="7"/>
        <v>0</v>
      </c>
      <c r="M7" s="497">
        <f t="shared" si="7"/>
        <v>0</v>
      </c>
      <c r="N7" s="497">
        <f t="shared" si="7"/>
        <v>0</v>
      </c>
      <c r="R7" s="497">
        <f t="shared" ref="R7:AW7" si="8">IF(R$4=$I22,$J22,0)</f>
        <v>0</v>
      </c>
      <c r="S7" s="37">
        <f t="shared" si="8"/>
        <v>0</v>
      </c>
      <c r="T7" s="37">
        <f t="shared" si="8"/>
        <v>0</v>
      </c>
      <c r="U7" s="37">
        <f t="shared" si="8"/>
        <v>0</v>
      </c>
      <c r="V7" s="37">
        <f t="shared" si="8"/>
        <v>0</v>
      </c>
      <c r="W7" s="37">
        <f t="shared" si="8"/>
        <v>0</v>
      </c>
      <c r="X7" s="37">
        <f t="shared" si="8"/>
        <v>0</v>
      </c>
      <c r="Y7" s="37">
        <f t="shared" si="8"/>
        <v>0</v>
      </c>
      <c r="Z7" s="37">
        <f t="shared" si="8"/>
        <v>0</v>
      </c>
      <c r="AA7" s="37">
        <f t="shared" si="8"/>
        <v>0</v>
      </c>
      <c r="AB7" s="37">
        <f t="shared" si="8"/>
        <v>0</v>
      </c>
      <c r="AC7" s="37">
        <f t="shared" si="8"/>
        <v>0</v>
      </c>
      <c r="AD7" s="37">
        <f t="shared" si="8"/>
        <v>0</v>
      </c>
      <c r="AE7" s="37">
        <f t="shared" si="8"/>
        <v>0</v>
      </c>
      <c r="AF7" s="37">
        <f t="shared" si="8"/>
        <v>0</v>
      </c>
      <c r="AG7" s="37">
        <f t="shared" si="8"/>
        <v>0</v>
      </c>
      <c r="AH7" s="37">
        <f t="shared" si="8"/>
        <v>0</v>
      </c>
      <c r="AI7" s="37">
        <f t="shared" si="8"/>
        <v>0</v>
      </c>
      <c r="AJ7" s="37">
        <f t="shared" si="8"/>
        <v>0</v>
      </c>
      <c r="AK7" s="37">
        <f t="shared" si="8"/>
        <v>0</v>
      </c>
      <c r="AL7" s="37">
        <f t="shared" si="8"/>
        <v>0</v>
      </c>
      <c r="AM7" s="37">
        <f t="shared" si="8"/>
        <v>0</v>
      </c>
      <c r="AN7" s="37">
        <f t="shared" si="8"/>
        <v>0</v>
      </c>
      <c r="AO7" s="37">
        <f t="shared" si="8"/>
        <v>0</v>
      </c>
      <c r="AP7" s="37">
        <f t="shared" si="8"/>
        <v>0</v>
      </c>
      <c r="AQ7" s="37">
        <f t="shared" si="8"/>
        <v>0</v>
      </c>
      <c r="AR7" s="37">
        <f t="shared" si="8"/>
        <v>0</v>
      </c>
      <c r="AS7" s="37">
        <f t="shared" si="8"/>
        <v>0</v>
      </c>
      <c r="AT7" s="37">
        <f t="shared" si="8"/>
        <v>0</v>
      </c>
      <c r="AU7" s="37">
        <f t="shared" si="8"/>
        <v>0</v>
      </c>
      <c r="AV7" s="37">
        <f t="shared" si="8"/>
        <v>0</v>
      </c>
      <c r="AW7" s="37">
        <f t="shared" si="8"/>
        <v>0</v>
      </c>
      <c r="AX7" s="37">
        <f t="shared" ref="AX7:BY7" si="9">IF(AX$4=$I22,$J22,0)</f>
        <v>0</v>
      </c>
      <c r="AY7" s="37">
        <f t="shared" si="9"/>
        <v>0</v>
      </c>
      <c r="AZ7" s="37">
        <f t="shared" si="9"/>
        <v>0</v>
      </c>
      <c r="BA7" s="37">
        <f t="shared" si="9"/>
        <v>0</v>
      </c>
      <c r="BB7" s="37">
        <f t="shared" si="9"/>
        <v>0</v>
      </c>
      <c r="BC7" s="37">
        <f t="shared" si="9"/>
        <v>0</v>
      </c>
      <c r="BD7" s="37">
        <f t="shared" si="9"/>
        <v>0</v>
      </c>
      <c r="BE7" s="37">
        <f t="shared" si="9"/>
        <v>0</v>
      </c>
      <c r="BF7" s="37">
        <f t="shared" si="9"/>
        <v>0</v>
      </c>
      <c r="BG7" s="37">
        <f t="shared" si="9"/>
        <v>0</v>
      </c>
      <c r="BH7" s="37">
        <f t="shared" si="9"/>
        <v>0</v>
      </c>
      <c r="BI7" s="37">
        <f t="shared" si="9"/>
        <v>0</v>
      </c>
      <c r="BJ7" s="37">
        <f t="shared" si="9"/>
        <v>0</v>
      </c>
      <c r="BK7" s="37">
        <f t="shared" si="9"/>
        <v>0</v>
      </c>
      <c r="BL7" s="37">
        <f t="shared" si="9"/>
        <v>0</v>
      </c>
      <c r="BM7" s="37">
        <f t="shared" si="9"/>
        <v>0</v>
      </c>
      <c r="BN7" s="37">
        <f t="shared" si="9"/>
        <v>0</v>
      </c>
      <c r="BO7" s="37">
        <f t="shared" si="9"/>
        <v>0</v>
      </c>
      <c r="BP7" s="37">
        <f t="shared" si="9"/>
        <v>0</v>
      </c>
      <c r="BQ7" s="37">
        <f t="shared" si="9"/>
        <v>0</v>
      </c>
      <c r="BR7" s="37">
        <f t="shared" si="9"/>
        <v>0</v>
      </c>
      <c r="BS7" s="37">
        <f t="shared" si="9"/>
        <v>0</v>
      </c>
      <c r="BT7" s="37">
        <f t="shared" si="9"/>
        <v>0</v>
      </c>
      <c r="BU7" s="37">
        <f t="shared" si="9"/>
        <v>0</v>
      </c>
      <c r="BV7" s="37">
        <f t="shared" si="9"/>
        <v>0</v>
      </c>
      <c r="BW7" s="37">
        <f t="shared" si="9"/>
        <v>0</v>
      </c>
      <c r="BX7" s="37">
        <f t="shared" si="9"/>
        <v>0</v>
      </c>
      <c r="BY7" s="37">
        <f t="shared" si="9"/>
        <v>0</v>
      </c>
    </row>
    <row r="8" spans="1:77" x14ac:dyDescent="0.2">
      <c r="D8" s="680">
        <f>D7+1</f>
        <v>2</v>
      </c>
      <c r="I8" s="497">
        <f t="shared" ref="I8:I16" si="10">SUMIFS($R8:$BY8,$R$2:$BY$2,I$2)</f>
        <v>0</v>
      </c>
      <c r="J8" s="497">
        <f t="shared" si="7"/>
        <v>833333.33333333337</v>
      </c>
      <c r="K8" s="497">
        <f t="shared" si="7"/>
        <v>0</v>
      </c>
      <c r="L8" s="497">
        <f t="shared" si="7"/>
        <v>0</v>
      </c>
      <c r="M8" s="497">
        <f t="shared" si="7"/>
        <v>0</v>
      </c>
      <c r="N8" s="497">
        <f t="shared" si="7"/>
        <v>0</v>
      </c>
      <c r="R8" s="497">
        <f t="shared" ref="R8:AW8" si="11">IF(R$4=$I23,$J23,0)</f>
        <v>0</v>
      </c>
      <c r="S8" s="37">
        <f t="shared" si="11"/>
        <v>0</v>
      </c>
      <c r="T8" s="37">
        <f t="shared" si="11"/>
        <v>0</v>
      </c>
      <c r="U8" s="37">
        <f t="shared" si="11"/>
        <v>0</v>
      </c>
      <c r="V8" s="37">
        <f t="shared" si="11"/>
        <v>0</v>
      </c>
      <c r="W8" s="37">
        <f t="shared" si="11"/>
        <v>0</v>
      </c>
      <c r="X8" s="37">
        <f t="shared" si="11"/>
        <v>0</v>
      </c>
      <c r="Y8" s="37">
        <f t="shared" si="11"/>
        <v>0</v>
      </c>
      <c r="Z8" s="37">
        <f t="shared" si="11"/>
        <v>0</v>
      </c>
      <c r="AA8" s="37">
        <f t="shared" si="11"/>
        <v>0</v>
      </c>
      <c r="AB8" s="37">
        <f t="shared" si="11"/>
        <v>833333.33333333337</v>
      </c>
      <c r="AC8" s="37">
        <f t="shared" si="11"/>
        <v>0</v>
      </c>
      <c r="AD8" s="37">
        <f t="shared" si="11"/>
        <v>0</v>
      </c>
      <c r="AE8" s="37">
        <f t="shared" si="11"/>
        <v>0</v>
      </c>
      <c r="AF8" s="37">
        <f t="shared" si="11"/>
        <v>0</v>
      </c>
      <c r="AG8" s="37">
        <f t="shared" si="11"/>
        <v>0</v>
      </c>
      <c r="AH8" s="37">
        <f t="shared" si="11"/>
        <v>0</v>
      </c>
      <c r="AI8" s="37">
        <f t="shared" si="11"/>
        <v>0</v>
      </c>
      <c r="AJ8" s="37">
        <f t="shared" si="11"/>
        <v>0</v>
      </c>
      <c r="AK8" s="37">
        <f t="shared" si="11"/>
        <v>0</v>
      </c>
      <c r="AL8" s="37">
        <f t="shared" si="11"/>
        <v>0</v>
      </c>
      <c r="AM8" s="37">
        <f t="shared" si="11"/>
        <v>0</v>
      </c>
      <c r="AN8" s="37">
        <f t="shared" si="11"/>
        <v>0</v>
      </c>
      <c r="AO8" s="37">
        <f t="shared" si="11"/>
        <v>0</v>
      </c>
      <c r="AP8" s="37">
        <f t="shared" si="11"/>
        <v>0</v>
      </c>
      <c r="AQ8" s="37">
        <f t="shared" si="11"/>
        <v>0</v>
      </c>
      <c r="AR8" s="37">
        <f t="shared" si="11"/>
        <v>0</v>
      </c>
      <c r="AS8" s="37">
        <f t="shared" si="11"/>
        <v>0</v>
      </c>
      <c r="AT8" s="37">
        <f t="shared" si="11"/>
        <v>0</v>
      </c>
      <c r="AU8" s="37">
        <f t="shared" si="11"/>
        <v>0</v>
      </c>
      <c r="AV8" s="37">
        <f t="shared" si="11"/>
        <v>0</v>
      </c>
      <c r="AW8" s="37">
        <f t="shared" si="11"/>
        <v>0</v>
      </c>
      <c r="AX8" s="37">
        <f t="shared" ref="AX8:BY8" si="12">IF(AX$4=$I23,$J23,0)</f>
        <v>0</v>
      </c>
      <c r="AY8" s="37">
        <f t="shared" si="12"/>
        <v>0</v>
      </c>
      <c r="AZ8" s="37">
        <f t="shared" si="12"/>
        <v>0</v>
      </c>
      <c r="BA8" s="37">
        <f t="shared" si="12"/>
        <v>0</v>
      </c>
      <c r="BB8" s="37">
        <f t="shared" si="12"/>
        <v>0</v>
      </c>
      <c r="BC8" s="37">
        <f t="shared" si="12"/>
        <v>0</v>
      </c>
      <c r="BD8" s="37">
        <f t="shared" si="12"/>
        <v>0</v>
      </c>
      <c r="BE8" s="37">
        <f t="shared" si="12"/>
        <v>0</v>
      </c>
      <c r="BF8" s="37">
        <f t="shared" si="12"/>
        <v>0</v>
      </c>
      <c r="BG8" s="37">
        <f t="shared" si="12"/>
        <v>0</v>
      </c>
      <c r="BH8" s="37">
        <f t="shared" si="12"/>
        <v>0</v>
      </c>
      <c r="BI8" s="37">
        <f t="shared" si="12"/>
        <v>0</v>
      </c>
      <c r="BJ8" s="37">
        <f t="shared" si="12"/>
        <v>0</v>
      </c>
      <c r="BK8" s="37">
        <f t="shared" si="12"/>
        <v>0</v>
      </c>
      <c r="BL8" s="37">
        <f t="shared" si="12"/>
        <v>0</v>
      </c>
      <c r="BM8" s="37">
        <f t="shared" si="12"/>
        <v>0</v>
      </c>
      <c r="BN8" s="37">
        <f t="shared" si="12"/>
        <v>0</v>
      </c>
      <c r="BO8" s="37">
        <f t="shared" si="12"/>
        <v>0</v>
      </c>
      <c r="BP8" s="37">
        <f t="shared" si="12"/>
        <v>0</v>
      </c>
      <c r="BQ8" s="37">
        <f t="shared" si="12"/>
        <v>0</v>
      </c>
      <c r="BR8" s="37">
        <f t="shared" si="12"/>
        <v>0</v>
      </c>
      <c r="BS8" s="37">
        <f t="shared" si="12"/>
        <v>0</v>
      </c>
      <c r="BT8" s="37">
        <f t="shared" si="12"/>
        <v>0</v>
      </c>
      <c r="BU8" s="37">
        <f t="shared" si="12"/>
        <v>0</v>
      </c>
      <c r="BV8" s="37">
        <f t="shared" si="12"/>
        <v>0</v>
      </c>
      <c r="BW8" s="37">
        <f t="shared" si="12"/>
        <v>0</v>
      </c>
      <c r="BX8" s="37">
        <f t="shared" si="12"/>
        <v>0</v>
      </c>
      <c r="BY8" s="37">
        <f t="shared" si="12"/>
        <v>0</v>
      </c>
    </row>
    <row r="9" spans="1:77" x14ac:dyDescent="0.2">
      <c r="D9" s="680">
        <f t="shared" ref="D9:D16" si="13">D8+1</f>
        <v>3</v>
      </c>
      <c r="I9" s="497">
        <f t="shared" si="10"/>
        <v>0</v>
      </c>
      <c r="J9" s="497">
        <f t="shared" si="7"/>
        <v>0</v>
      </c>
      <c r="K9" s="497">
        <f t="shared" si="7"/>
        <v>833333.33333333337</v>
      </c>
      <c r="L9" s="497">
        <f t="shared" si="7"/>
        <v>0</v>
      </c>
      <c r="M9" s="497">
        <f t="shared" si="7"/>
        <v>0</v>
      </c>
      <c r="N9" s="497">
        <f t="shared" si="7"/>
        <v>0</v>
      </c>
      <c r="R9" s="497">
        <f t="shared" ref="R9:AW9" si="14">IF(R$4=$I24,$J24,0)</f>
        <v>0</v>
      </c>
      <c r="S9" s="37">
        <f t="shared" si="14"/>
        <v>0</v>
      </c>
      <c r="T9" s="37">
        <f t="shared" si="14"/>
        <v>0</v>
      </c>
      <c r="U9" s="37">
        <f t="shared" si="14"/>
        <v>0</v>
      </c>
      <c r="V9" s="37">
        <f t="shared" si="14"/>
        <v>0</v>
      </c>
      <c r="W9" s="37">
        <f t="shared" si="14"/>
        <v>0</v>
      </c>
      <c r="X9" s="37">
        <f t="shared" si="14"/>
        <v>0</v>
      </c>
      <c r="Y9" s="37">
        <f t="shared" si="14"/>
        <v>0</v>
      </c>
      <c r="Z9" s="37">
        <f t="shared" si="14"/>
        <v>0</v>
      </c>
      <c r="AA9" s="37">
        <f t="shared" si="14"/>
        <v>0</v>
      </c>
      <c r="AB9" s="37">
        <f t="shared" si="14"/>
        <v>0</v>
      </c>
      <c r="AC9" s="37">
        <f t="shared" si="14"/>
        <v>0</v>
      </c>
      <c r="AD9" s="37">
        <f t="shared" si="14"/>
        <v>0</v>
      </c>
      <c r="AE9" s="37">
        <f t="shared" si="14"/>
        <v>0</v>
      </c>
      <c r="AF9" s="37">
        <f t="shared" si="14"/>
        <v>0</v>
      </c>
      <c r="AG9" s="37">
        <f t="shared" si="14"/>
        <v>0</v>
      </c>
      <c r="AH9" s="37">
        <f t="shared" si="14"/>
        <v>833333.33333333337</v>
      </c>
      <c r="AI9" s="37">
        <f t="shared" si="14"/>
        <v>0</v>
      </c>
      <c r="AJ9" s="37">
        <f t="shared" si="14"/>
        <v>0</v>
      </c>
      <c r="AK9" s="37">
        <f t="shared" si="14"/>
        <v>0</v>
      </c>
      <c r="AL9" s="37">
        <f t="shared" si="14"/>
        <v>0</v>
      </c>
      <c r="AM9" s="37">
        <f t="shared" si="14"/>
        <v>0</v>
      </c>
      <c r="AN9" s="37">
        <f t="shared" si="14"/>
        <v>0</v>
      </c>
      <c r="AO9" s="37">
        <f t="shared" si="14"/>
        <v>0</v>
      </c>
      <c r="AP9" s="37">
        <f t="shared" si="14"/>
        <v>0</v>
      </c>
      <c r="AQ9" s="37">
        <f t="shared" si="14"/>
        <v>0</v>
      </c>
      <c r="AR9" s="37">
        <f t="shared" si="14"/>
        <v>0</v>
      </c>
      <c r="AS9" s="37">
        <f t="shared" si="14"/>
        <v>0</v>
      </c>
      <c r="AT9" s="37">
        <f t="shared" si="14"/>
        <v>0</v>
      </c>
      <c r="AU9" s="37">
        <f t="shared" si="14"/>
        <v>0</v>
      </c>
      <c r="AV9" s="37">
        <f t="shared" si="14"/>
        <v>0</v>
      </c>
      <c r="AW9" s="37">
        <f t="shared" si="14"/>
        <v>0</v>
      </c>
      <c r="AX9" s="37">
        <f t="shared" ref="AX9:BY9" si="15">IF(AX$4=$I24,$J24,0)</f>
        <v>0</v>
      </c>
      <c r="AY9" s="37">
        <f t="shared" si="15"/>
        <v>0</v>
      </c>
      <c r="AZ9" s="37">
        <f t="shared" si="15"/>
        <v>0</v>
      </c>
      <c r="BA9" s="37">
        <f t="shared" si="15"/>
        <v>0</v>
      </c>
      <c r="BB9" s="37">
        <f t="shared" si="15"/>
        <v>0</v>
      </c>
      <c r="BC9" s="37">
        <f t="shared" si="15"/>
        <v>0</v>
      </c>
      <c r="BD9" s="37">
        <f t="shared" si="15"/>
        <v>0</v>
      </c>
      <c r="BE9" s="37">
        <f t="shared" si="15"/>
        <v>0</v>
      </c>
      <c r="BF9" s="37">
        <f t="shared" si="15"/>
        <v>0</v>
      </c>
      <c r="BG9" s="37">
        <f t="shared" si="15"/>
        <v>0</v>
      </c>
      <c r="BH9" s="37">
        <f t="shared" si="15"/>
        <v>0</v>
      </c>
      <c r="BI9" s="37">
        <f t="shared" si="15"/>
        <v>0</v>
      </c>
      <c r="BJ9" s="37">
        <f t="shared" si="15"/>
        <v>0</v>
      </c>
      <c r="BK9" s="37">
        <f t="shared" si="15"/>
        <v>0</v>
      </c>
      <c r="BL9" s="37">
        <f t="shared" si="15"/>
        <v>0</v>
      </c>
      <c r="BM9" s="37">
        <f t="shared" si="15"/>
        <v>0</v>
      </c>
      <c r="BN9" s="37">
        <f t="shared" si="15"/>
        <v>0</v>
      </c>
      <c r="BO9" s="37">
        <f t="shared" si="15"/>
        <v>0</v>
      </c>
      <c r="BP9" s="37">
        <f t="shared" si="15"/>
        <v>0</v>
      </c>
      <c r="BQ9" s="37">
        <f t="shared" si="15"/>
        <v>0</v>
      </c>
      <c r="BR9" s="37">
        <f t="shared" si="15"/>
        <v>0</v>
      </c>
      <c r="BS9" s="37">
        <f t="shared" si="15"/>
        <v>0</v>
      </c>
      <c r="BT9" s="37">
        <f t="shared" si="15"/>
        <v>0</v>
      </c>
      <c r="BU9" s="37">
        <f t="shared" si="15"/>
        <v>0</v>
      </c>
      <c r="BV9" s="37">
        <f t="shared" si="15"/>
        <v>0</v>
      </c>
      <c r="BW9" s="37">
        <f t="shared" si="15"/>
        <v>0</v>
      </c>
      <c r="BX9" s="37">
        <f t="shared" si="15"/>
        <v>0</v>
      </c>
      <c r="BY9" s="37">
        <f t="shared" si="15"/>
        <v>0</v>
      </c>
    </row>
    <row r="10" spans="1:77" x14ac:dyDescent="0.2">
      <c r="D10" s="680">
        <f t="shared" si="13"/>
        <v>4</v>
      </c>
      <c r="I10" s="497">
        <f t="shared" si="10"/>
        <v>0</v>
      </c>
      <c r="J10" s="497">
        <f t="shared" si="7"/>
        <v>0</v>
      </c>
      <c r="K10" s="497">
        <f t="shared" si="7"/>
        <v>1666666.6666666667</v>
      </c>
      <c r="L10" s="497">
        <f t="shared" si="7"/>
        <v>0</v>
      </c>
      <c r="M10" s="497">
        <f t="shared" si="7"/>
        <v>0</v>
      </c>
      <c r="N10" s="497">
        <f t="shared" si="7"/>
        <v>0</v>
      </c>
      <c r="R10" s="497">
        <f t="shared" ref="R10:AW10" si="16">IF(R$4=$I25,$J25,0)</f>
        <v>0</v>
      </c>
      <c r="S10" s="37">
        <f t="shared" si="16"/>
        <v>0</v>
      </c>
      <c r="T10" s="37">
        <f t="shared" si="16"/>
        <v>0</v>
      </c>
      <c r="U10" s="37">
        <f t="shared" si="16"/>
        <v>0</v>
      </c>
      <c r="V10" s="37">
        <f t="shared" si="16"/>
        <v>0</v>
      </c>
      <c r="W10" s="37">
        <f t="shared" si="16"/>
        <v>0</v>
      </c>
      <c r="X10" s="37">
        <f t="shared" si="16"/>
        <v>0</v>
      </c>
      <c r="Y10" s="37">
        <f t="shared" si="16"/>
        <v>0</v>
      </c>
      <c r="Z10" s="37">
        <f t="shared" si="16"/>
        <v>0</v>
      </c>
      <c r="AA10" s="37">
        <f t="shared" si="16"/>
        <v>0</v>
      </c>
      <c r="AB10" s="37">
        <f t="shared" si="16"/>
        <v>0</v>
      </c>
      <c r="AC10" s="37">
        <f t="shared" si="16"/>
        <v>0</v>
      </c>
      <c r="AD10" s="37">
        <f t="shared" si="16"/>
        <v>0</v>
      </c>
      <c r="AE10" s="37">
        <f t="shared" si="16"/>
        <v>0</v>
      </c>
      <c r="AF10" s="37">
        <f t="shared" si="16"/>
        <v>0</v>
      </c>
      <c r="AG10" s="37">
        <f t="shared" si="16"/>
        <v>0</v>
      </c>
      <c r="AH10" s="37">
        <f t="shared" si="16"/>
        <v>0</v>
      </c>
      <c r="AI10" s="37">
        <f t="shared" si="16"/>
        <v>0</v>
      </c>
      <c r="AJ10" s="37">
        <f t="shared" si="16"/>
        <v>0</v>
      </c>
      <c r="AK10" s="37">
        <f t="shared" si="16"/>
        <v>0</v>
      </c>
      <c r="AL10" s="37">
        <f t="shared" si="16"/>
        <v>0</v>
      </c>
      <c r="AM10" s="37">
        <f t="shared" si="16"/>
        <v>0</v>
      </c>
      <c r="AN10" s="37">
        <f t="shared" si="16"/>
        <v>1666666.6666666667</v>
      </c>
      <c r="AO10" s="37">
        <f t="shared" si="16"/>
        <v>0</v>
      </c>
      <c r="AP10" s="37">
        <f t="shared" si="16"/>
        <v>0</v>
      </c>
      <c r="AQ10" s="37">
        <f t="shared" si="16"/>
        <v>0</v>
      </c>
      <c r="AR10" s="37">
        <f t="shared" si="16"/>
        <v>0</v>
      </c>
      <c r="AS10" s="37">
        <f t="shared" si="16"/>
        <v>0</v>
      </c>
      <c r="AT10" s="37">
        <f t="shared" si="16"/>
        <v>0</v>
      </c>
      <c r="AU10" s="37">
        <f t="shared" si="16"/>
        <v>0</v>
      </c>
      <c r="AV10" s="37">
        <f t="shared" si="16"/>
        <v>0</v>
      </c>
      <c r="AW10" s="37">
        <f t="shared" si="16"/>
        <v>0</v>
      </c>
      <c r="AX10" s="37">
        <f t="shared" ref="AX10:BY10" si="17">IF(AX$4=$I25,$J25,0)</f>
        <v>0</v>
      </c>
      <c r="AY10" s="37">
        <f t="shared" si="17"/>
        <v>0</v>
      </c>
      <c r="AZ10" s="37">
        <f t="shared" si="17"/>
        <v>0</v>
      </c>
      <c r="BA10" s="37">
        <f t="shared" si="17"/>
        <v>0</v>
      </c>
      <c r="BB10" s="37">
        <f t="shared" si="17"/>
        <v>0</v>
      </c>
      <c r="BC10" s="37">
        <f t="shared" si="17"/>
        <v>0</v>
      </c>
      <c r="BD10" s="37">
        <f t="shared" si="17"/>
        <v>0</v>
      </c>
      <c r="BE10" s="37">
        <f t="shared" si="17"/>
        <v>0</v>
      </c>
      <c r="BF10" s="37">
        <f t="shared" si="17"/>
        <v>0</v>
      </c>
      <c r="BG10" s="37">
        <f t="shared" si="17"/>
        <v>0</v>
      </c>
      <c r="BH10" s="37">
        <f t="shared" si="17"/>
        <v>0</v>
      </c>
      <c r="BI10" s="37">
        <f t="shared" si="17"/>
        <v>0</v>
      </c>
      <c r="BJ10" s="37">
        <f t="shared" si="17"/>
        <v>0</v>
      </c>
      <c r="BK10" s="37">
        <f t="shared" si="17"/>
        <v>0</v>
      </c>
      <c r="BL10" s="37">
        <f t="shared" si="17"/>
        <v>0</v>
      </c>
      <c r="BM10" s="37">
        <f t="shared" si="17"/>
        <v>0</v>
      </c>
      <c r="BN10" s="37">
        <f t="shared" si="17"/>
        <v>0</v>
      </c>
      <c r="BO10" s="37">
        <f t="shared" si="17"/>
        <v>0</v>
      </c>
      <c r="BP10" s="37">
        <f t="shared" si="17"/>
        <v>0</v>
      </c>
      <c r="BQ10" s="37">
        <f t="shared" si="17"/>
        <v>0</v>
      </c>
      <c r="BR10" s="37">
        <f t="shared" si="17"/>
        <v>0</v>
      </c>
      <c r="BS10" s="37">
        <f t="shared" si="17"/>
        <v>0</v>
      </c>
      <c r="BT10" s="37">
        <f t="shared" si="17"/>
        <v>0</v>
      </c>
      <c r="BU10" s="37">
        <f t="shared" si="17"/>
        <v>0</v>
      </c>
      <c r="BV10" s="37">
        <f t="shared" si="17"/>
        <v>0</v>
      </c>
      <c r="BW10" s="37">
        <f t="shared" si="17"/>
        <v>0</v>
      </c>
      <c r="BX10" s="37">
        <f t="shared" si="17"/>
        <v>0</v>
      </c>
      <c r="BY10" s="37">
        <f t="shared" si="17"/>
        <v>0</v>
      </c>
    </row>
    <row r="11" spans="1:77" x14ac:dyDescent="0.2">
      <c r="D11" s="680">
        <f t="shared" si="13"/>
        <v>5</v>
      </c>
      <c r="I11" s="497">
        <f t="shared" si="10"/>
        <v>0</v>
      </c>
      <c r="J11" s="497">
        <f t="shared" si="7"/>
        <v>0</v>
      </c>
      <c r="K11" s="497">
        <f t="shared" si="7"/>
        <v>0</v>
      </c>
      <c r="L11" s="497">
        <f t="shared" si="7"/>
        <v>1666666.6666666667</v>
      </c>
      <c r="M11" s="497">
        <f t="shared" si="7"/>
        <v>0</v>
      </c>
      <c r="N11" s="497">
        <f t="shared" si="7"/>
        <v>0</v>
      </c>
      <c r="R11" s="497">
        <f t="shared" ref="R11:AW11" si="18">IF(R$4=$I26,$J26,0)</f>
        <v>0</v>
      </c>
      <c r="S11" s="37">
        <f t="shared" si="18"/>
        <v>0</v>
      </c>
      <c r="T11" s="37">
        <f t="shared" si="18"/>
        <v>0</v>
      </c>
      <c r="U11" s="37">
        <f t="shared" si="18"/>
        <v>0</v>
      </c>
      <c r="V11" s="37">
        <f t="shared" si="18"/>
        <v>0</v>
      </c>
      <c r="W11" s="37">
        <f t="shared" si="18"/>
        <v>0</v>
      </c>
      <c r="X11" s="37">
        <f t="shared" si="18"/>
        <v>0</v>
      </c>
      <c r="Y11" s="37">
        <f t="shared" si="18"/>
        <v>0</v>
      </c>
      <c r="Z11" s="37">
        <f t="shared" si="18"/>
        <v>0</v>
      </c>
      <c r="AA11" s="37">
        <f t="shared" si="18"/>
        <v>0</v>
      </c>
      <c r="AB11" s="37">
        <f t="shared" si="18"/>
        <v>0</v>
      </c>
      <c r="AC11" s="37">
        <f t="shared" si="18"/>
        <v>0</v>
      </c>
      <c r="AD11" s="37">
        <f t="shared" si="18"/>
        <v>0</v>
      </c>
      <c r="AE11" s="37">
        <f t="shared" si="18"/>
        <v>0</v>
      </c>
      <c r="AF11" s="37">
        <f t="shared" si="18"/>
        <v>0</v>
      </c>
      <c r="AG11" s="37">
        <f t="shared" si="18"/>
        <v>0</v>
      </c>
      <c r="AH11" s="37">
        <f t="shared" si="18"/>
        <v>0</v>
      </c>
      <c r="AI11" s="37">
        <f t="shared" si="18"/>
        <v>0</v>
      </c>
      <c r="AJ11" s="37">
        <f t="shared" si="18"/>
        <v>0</v>
      </c>
      <c r="AK11" s="37">
        <f t="shared" si="18"/>
        <v>0</v>
      </c>
      <c r="AL11" s="37">
        <f t="shared" si="18"/>
        <v>0</v>
      </c>
      <c r="AM11" s="37">
        <f t="shared" si="18"/>
        <v>0</v>
      </c>
      <c r="AN11" s="37">
        <f t="shared" si="18"/>
        <v>0</v>
      </c>
      <c r="AO11" s="37">
        <f t="shared" si="18"/>
        <v>0</v>
      </c>
      <c r="AP11" s="37">
        <f t="shared" si="18"/>
        <v>0</v>
      </c>
      <c r="AQ11" s="37">
        <f t="shared" si="18"/>
        <v>0</v>
      </c>
      <c r="AR11" s="37">
        <f t="shared" si="18"/>
        <v>0</v>
      </c>
      <c r="AS11" s="37">
        <f t="shared" si="18"/>
        <v>0</v>
      </c>
      <c r="AT11" s="37">
        <f t="shared" si="18"/>
        <v>1666666.6666666667</v>
      </c>
      <c r="AU11" s="37">
        <f t="shared" si="18"/>
        <v>0</v>
      </c>
      <c r="AV11" s="37">
        <f t="shared" si="18"/>
        <v>0</v>
      </c>
      <c r="AW11" s="37">
        <f t="shared" si="18"/>
        <v>0</v>
      </c>
      <c r="AX11" s="37">
        <f t="shared" ref="AX11:BY11" si="19">IF(AX$4=$I26,$J26,0)</f>
        <v>0</v>
      </c>
      <c r="AY11" s="37">
        <f t="shared" si="19"/>
        <v>0</v>
      </c>
      <c r="AZ11" s="37">
        <f t="shared" si="19"/>
        <v>0</v>
      </c>
      <c r="BA11" s="37">
        <f t="shared" si="19"/>
        <v>0</v>
      </c>
      <c r="BB11" s="37">
        <f t="shared" si="19"/>
        <v>0</v>
      </c>
      <c r="BC11" s="37">
        <f t="shared" si="19"/>
        <v>0</v>
      </c>
      <c r="BD11" s="37">
        <f t="shared" si="19"/>
        <v>0</v>
      </c>
      <c r="BE11" s="37">
        <f t="shared" si="19"/>
        <v>0</v>
      </c>
      <c r="BF11" s="37">
        <f t="shared" si="19"/>
        <v>0</v>
      </c>
      <c r="BG11" s="37">
        <f t="shared" si="19"/>
        <v>0</v>
      </c>
      <c r="BH11" s="37">
        <f t="shared" si="19"/>
        <v>0</v>
      </c>
      <c r="BI11" s="37">
        <f t="shared" si="19"/>
        <v>0</v>
      </c>
      <c r="BJ11" s="37">
        <f t="shared" si="19"/>
        <v>0</v>
      </c>
      <c r="BK11" s="37">
        <f t="shared" si="19"/>
        <v>0</v>
      </c>
      <c r="BL11" s="37">
        <f t="shared" si="19"/>
        <v>0</v>
      </c>
      <c r="BM11" s="37">
        <f t="shared" si="19"/>
        <v>0</v>
      </c>
      <c r="BN11" s="37">
        <f t="shared" si="19"/>
        <v>0</v>
      </c>
      <c r="BO11" s="37">
        <f t="shared" si="19"/>
        <v>0</v>
      </c>
      <c r="BP11" s="37">
        <f t="shared" si="19"/>
        <v>0</v>
      </c>
      <c r="BQ11" s="37">
        <f t="shared" si="19"/>
        <v>0</v>
      </c>
      <c r="BR11" s="37">
        <f t="shared" si="19"/>
        <v>0</v>
      </c>
      <c r="BS11" s="37">
        <f t="shared" si="19"/>
        <v>0</v>
      </c>
      <c r="BT11" s="37">
        <f t="shared" si="19"/>
        <v>0</v>
      </c>
      <c r="BU11" s="37">
        <f t="shared" si="19"/>
        <v>0</v>
      </c>
      <c r="BV11" s="37">
        <f t="shared" si="19"/>
        <v>0</v>
      </c>
      <c r="BW11" s="37">
        <f t="shared" si="19"/>
        <v>0</v>
      </c>
      <c r="BX11" s="37">
        <f t="shared" si="19"/>
        <v>0</v>
      </c>
      <c r="BY11" s="37">
        <f t="shared" si="19"/>
        <v>0</v>
      </c>
    </row>
    <row r="12" spans="1:77" x14ac:dyDescent="0.2">
      <c r="D12" s="680">
        <f t="shared" si="13"/>
        <v>6</v>
      </c>
      <c r="I12" s="497">
        <f t="shared" si="10"/>
        <v>0</v>
      </c>
      <c r="J12" s="497">
        <f t="shared" si="7"/>
        <v>0</v>
      </c>
      <c r="K12" s="497">
        <f t="shared" si="7"/>
        <v>0</v>
      </c>
      <c r="L12" s="497">
        <f t="shared" si="7"/>
        <v>2500000</v>
      </c>
      <c r="M12" s="497">
        <f t="shared" si="7"/>
        <v>0</v>
      </c>
      <c r="N12" s="497">
        <f t="shared" si="7"/>
        <v>0</v>
      </c>
      <c r="R12" s="497">
        <f t="shared" ref="R12:AW12" si="20">IF(R$4=$I27,$J27,0)</f>
        <v>0</v>
      </c>
      <c r="S12" s="37">
        <f t="shared" si="20"/>
        <v>0</v>
      </c>
      <c r="T12" s="37">
        <f t="shared" si="20"/>
        <v>0</v>
      </c>
      <c r="U12" s="37">
        <f t="shared" si="20"/>
        <v>0</v>
      </c>
      <c r="V12" s="37">
        <f t="shared" si="20"/>
        <v>0</v>
      </c>
      <c r="W12" s="37">
        <f t="shared" si="20"/>
        <v>0</v>
      </c>
      <c r="X12" s="37">
        <f t="shared" si="20"/>
        <v>0</v>
      </c>
      <c r="Y12" s="37">
        <f t="shared" si="20"/>
        <v>0</v>
      </c>
      <c r="Z12" s="37">
        <f t="shared" si="20"/>
        <v>0</v>
      </c>
      <c r="AA12" s="37">
        <f t="shared" si="20"/>
        <v>0</v>
      </c>
      <c r="AB12" s="37">
        <f t="shared" si="20"/>
        <v>0</v>
      </c>
      <c r="AC12" s="37">
        <f t="shared" si="20"/>
        <v>0</v>
      </c>
      <c r="AD12" s="37">
        <f t="shared" si="20"/>
        <v>0</v>
      </c>
      <c r="AE12" s="37">
        <f t="shared" si="20"/>
        <v>0</v>
      </c>
      <c r="AF12" s="37">
        <f t="shared" si="20"/>
        <v>0</v>
      </c>
      <c r="AG12" s="37">
        <f t="shared" si="20"/>
        <v>0</v>
      </c>
      <c r="AH12" s="37">
        <f t="shared" si="20"/>
        <v>0</v>
      </c>
      <c r="AI12" s="37">
        <f t="shared" si="20"/>
        <v>0</v>
      </c>
      <c r="AJ12" s="37">
        <f t="shared" si="20"/>
        <v>0</v>
      </c>
      <c r="AK12" s="37">
        <f t="shared" si="20"/>
        <v>0</v>
      </c>
      <c r="AL12" s="37">
        <f t="shared" si="20"/>
        <v>0</v>
      </c>
      <c r="AM12" s="37">
        <f t="shared" si="20"/>
        <v>0</v>
      </c>
      <c r="AN12" s="37">
        <f t="shared" si="20"/>
        <v>0</v>
      </c>
      <c r="AO12" s="37">
        <f t="shared" si="20"/>
        <v>0</v>
      </c>
      <c r="AP12" s="37">
        <f t="shared" si="20"/>
        <v>0</v>
      </c>
      <c r="AQ12" s="37">
        <f t="shared" si="20"/>
        <v>0</v>
      </c>
      <c r="AR12" s="37">
        <f t="shared" si="20"/>
        <v>0</v>
      </c>
      <c r="AS12" s="37">
        <f t="shared" si="20"/>
        <v>0</v>
      </c>
      <c r="AT12" s="37">
        <f t="shared" si="20"/>
        <v>0</v>
      </c>
      <c r="AU12" s="37">
        <f t="shared" si="20"/>
        <v>0</v>
      </c>
      <c r="AV12" s="37">
        <f t="shared" si="20"/>
        <v>0</v>
      </c>
      <c r="AW12" s="37">
        <f t="shared" si="20"/>
        <v>0</v>
      </c>
      <c r="AX12" s="37">
        <f t="shared" ref="AX12:BY12" si="21">IF(AX$4=$I27,$J27,0)</f>
        <v>0</v>
      </c>
      <c r="AY12" s="37">
        <f t="shared" si="21"/>
        <v>0</v>
      </c>
      <c r="AZ12" s="37">
        <f t="shared" si="21"/>
        <v>2500000</v>
      </c>
      <c r="BA12" s="37">
        <f t="shared" si="21"/>
        <v>0</v>
      </c>
      <c r="BB12" s="37">
        <f t="shared" si="21"/>
        <v>0</v>
      </c>
      <c r="BC12" s="37">
        <f t="shared" si="21"/>
        <v>0</v>
      </c>
      <c r="BD12" s="37">
        <f t="shared" si="21"/>
        <v>0</v>
      </c>
      <c r="BE12" s="37">
        <f t="shared" si="21"/>
        <v>0</v>
      </c>
      <c r="BF12" s="37">
        <f t="shared" si="21"/>
        <v>0</v>
      </c>
      <c r="BG12" s="37">
        <f t="shared" si="21"/>
        <v>0</v>
      </c>
      <c r="BH12" s="37">
        <f t="shared" si="21"/>
        <v>0</v>
      </c>
      <c r="BI12" s="37">
        <f t="shared" si="21"/>
        <v>0</v>
      </c>
      <c r="BJ12" s="37">
        <f t="shared" si="21"/>
        <v>0</v>
      </c>
      <c r="BK12" s="37">
        <f t="shared" si="21"/>
        <v>0</v>
      </c>
      <c r="BL12" s="37">
        <f t="shared" si="21"/>
        <v>0</v>
      </c>
      <c r="BM12" s="37">
        <f t="shared" si="21"/>
        <v>0</v>
      </c>
      <c r="BN12" s="37">
        <f t="shared" si="21"/>
        <v>0</v>
      </c>
      <c r="BO12" s="37">
        <f t="shared" si="21"/>
        <v>0</v>
      </c>
      <c r="BP12" s="37">
        <f t="shared" si="21"/>
        <v>0</v>
      </c>
      <c r="BQ12" s="37">
        <f t="shared" si="21"/>
        <v>0</v>
      </c>
      <c r="BR12" s="37">
        <f t="shared" si="21"/>
        <v>0</v>
      </c>
      <c r="BS12" s="37">
        <f t="shared" si="21"/>
        <v>0</v>
      </c>
      <c r="BT12" s="37">
        <f t="shared" si="21"/>
        <v>0</v>
      </c>
      <c r="BU12" s="37">
        <f t="shared" si="21"/>
        <v>0</v>
      </c>
      <c r="BV12" s="37">
        <f t="shared" si="21"/>
        <v>0</v>
      </c>
      <c r="BW12" s="37">
        <f t="shared" si="21"/>
        <v>0</v>
      </c>
      <c r="BX12" s="37">
        <f t="shared" si="21"/>
        <v>0</v>
      </c>
      <c r="BY12" s="37">
        <f t="shared" si="21"/>
        <v>0</v>
      </c>
    </row>
    <row r="13" spans="1:77" x14ac:dyDescent="0.2">
      <c r="D13" s="680">
        <f t="shared" si="13"/>
        <v>7</v>
      </c>
      <c r="I13" s="497">
        <f t="shared" si="10"/>
        <v>0</v>
      </c>
      <c r="J13" s="497">
        <f t="shared" si="7"/>
        <v>0</v>
      </c>
      <c r="K13" s="497">
        <f t="shared" si="7"/>
        <v>0</v>
      </c>
      <c r="L13" s="497">
        <f t="shared" si="7"/>
        <v>0</v>
      </c>
      <c r="M13" s="497">
        <f t="shared" si="7"/>
        <v>2500000</v>
      </c>
      <c r="N13" s="497">
        <f t="shared" si="7"/>
        <v>0</v>
      </c>
      <c r="R13" s="497">
        <f t="shared" ref="R13:AW13" si="22">IF(R$4=$I28,$J28,0)</f>
        <v>0</v>
      </c>
      <c r="S13" s="37">
        <f t="shared" si="22"/>
        <v>0</v>
      </c>
      <c r="T13" s="37">
        <f t="shared" si="22"/>
        <v>0</v>
      </c>
      <c r="U13" s="37">
        <f t="shared" si="22"/>
        <v>0</v>
      </c>
      <c r="V13" s="37">
        <f t="shared" si="22"/>
        <v>0</v>
      </c>
      <c r="W13" s="37">
        <f t="shared" si="22"/>
        <v>0</v>
      </c>
      <c r="X13" s="37">
        <f t="shared" si="22"/>
        <v>0</v>
      </c>
      <c r="Y13" s="37">
        <f t="shared" si="22"/>
        <v>0</v>
      </c>
      <c r="Z13" s="37">
        <f t="shared" si="22"/>
        <v>0</v>
      </c>
      <c r="AA13" s="37">
        <f t="shared" si="22"/>
        <v>0</v>
      </c>
      <c r="AB13" s="37">
        <f t="shared" si="22"/>
        <v>0</v>
      </c>
      <c r="AC13" s="37">
        <f t="shared" si="22"/>
        <v>0</v>
      </c>
      <c r="AD13" s="37">
        <f t="shared" si="22"/>
        <v>0</v>
      </c>
      <c r="AE13" s="37">
        <f t="shared" si="22"/>
        <v>0</v>
      </c>
      <c r="AF13" s="37">
        <f t="shared" si="22"/>
        <v>0</v>
      </c>
      <c r="AG13" s="37">
        <f t="shared" si="22"/>
        <v>0</v>
      </c>
      <c r="AH13" s="37">
        <f t="shared" si="22"/>
        <v>0</v>
      </c>
      <c r="AI13" s="37">
        <f t="shared" si="22"/>
        <v>0</v>
      </c>
      <c r="AJ13" s="37">
        <f t="shared" si="22"/>
        <v>0</v>
      </c>
      <c r="AK13" s="37">
        <f t="shared" si="22"/>
        <v>0</v>
      </c>
      <c r="AL13" s="37">
        <f t="shared" si="22"/>
        <v>0</v>
      </c>
      <c r="AM13" s="37">
        <f t="shared" si="22"/>
        <v>0</v>
      </c>
      <c r="AN13" s="37">
        <f t="shared" si="22"/>
        <v>0</v>
      </c>
      <c r="AO13" s="37">
        <f t="shared" si="22"/>
        <v>0</v>
      </c>
      <c r="AP13" s="37">
        <f t="shared" si="22"/>
        <v>0</v>
      </c>
      <c r="AQ13" s="37">
        <f t="shared" si="22"/>
        <v>0</v>
      </c>
      <c r="AR13" s="37">
        <f t="shared" si="22"/>
        <v>0</v>
      </c>
      <c r="AS13" s="37">
        <f t="shared" si="22"/>
        <v>0</v>
      </c>
      <c r="AT13" s="37">
        <f t="shared" si="22"/>
        <v>0</v>
      </c>
      <c r="AU13" s="37">
        <f t="shared" si="22"/>
        <v>0</v>
      </c>
      <c r="AV13" s="37">
        <f t="shared" si="22"/>
        <v>0</v>
      </c>
      <c r="AW13" s="37">
        <f t="shared" si="22"/>
        <v>0</v>
      </c>
      <c r="AX13" s="37">
        <f t="shared" ref="AX13:BY13" si="23">IF(AX$4=$I28,$J28,0)</f>
        <v>0</v>
      </c>
      <c r="AY13" s="37">
        <f t="shared" si="23"/>
        <v>0</v>
      </c>
      <c r="AZ13" s="37">
        <f t="shared" si="23"/>
        <v>0</v>
      </c>
      <c r="BA13" s="37">
        <f t="shared" si="23"/>
        <v>0</v>
      </c>
      <c r="BB13" s="37">
        <f t="shared" si="23"/>
        <v>0</v>
      </c>
      <c r="BC13" s="37">
        <f t="shared" si="23"/>
        <v>0</v>
      </c>
      <c r="BD13" s="37">
        <f t="shared" si="23"/>
        <v>0</v>
      </c>
      <c r="BE13" s="37">
        <f t="shared" si="23"/>
        <v>0</v>
      </c>
      <c r="BF13" s="37">
        <f t="shared" si="23"/>
        <v>2500000</v>
      </c>
      <c r="BG13" s="37">
        <f t="shared" si="23"/>
        <v>0</v>
      </c>
      <c r="BH13" s="37">
        <f t="shared" si="23"/>
        <v>0</v>
      </c>
      <c r="BI13" s="37">
        <f t="shared" si="23"/>
        <v>0</v>
      </c>
      <c r="BJ13" s="37">
        <f t="shared" si="23"/>
        <v>0</v>
      </c>
      <c r="BK13" s="37">
        <f t="shared" si="23"/>
        <v>0</v>
      </c>
      <c r="BL13" s="37">
        <f t="shared" si="23"/>
        <v>0</v>
      </c>
      <c r="BM13" s="37">
        <f t="shared" si="23"/>
        <v>0</v>
      </c>
      <c r="BN13" s="37">
        <f t="shared" si="23"/>
        <v>0</v>
      </c>
      <c r="BO13" s="37">
        <f t="shared" si="23"/>
        <v>0</v>
      </c>
      <c r="BP13" s="37">
        <f t="shared" si="23"/>
        <v>0</v>
      </c>
      <c r="BQ13" s="37">
        <f t="shared" si="23"/>
        <v>0</v>
      </c>
      <c r="BR13" s="37">
        <f t="shared" si="23"/>
        <v>0</v>
      </c>
      <c r="BS13" s="37">
        <f t="shared" si="23"/>
        <v>0</v>
      </c>
      <c r="BT13" s="37">
        <f t="shared" si="23"/>
        <v>0</v>
      </c>
      <c r="BU13" s="37">
        <f t="shared" si="23"/>
        <v>0</v>
      </c>
      <c r="BV13" s="37">
        <f t="shared" si="23"/>
        <v>0</v>
      </c>
      <c r="BW13" s="37">
        <f t="shared" si="23"/>
        <v>0</v>
      </c>
      <c r="BX13" s="37">
        <f t="shared" si="23"/>
        <v>0</v>
      </c>
      <c r="BY13" s="37">
        <f t="shared" si="23"/>
        <v>0</v>
      </c>
    </row>
    <row r="14" spans="1:77" x14ac:dyDescent="0.2">
      <c r="D14" s="680">
        <f t="shared" si="13"/>
        <v>8</v>
      </c>
      <c r="I14" s="497">
        <f t="shared" si="10"/>
        <v>0</v>
      </c>
      <c r="J14" s="497">
        <f t="shared" si="7"/>
        <v>0</v>
      </c>
      <c r="K14" s="497">
        <f t="shared" si="7"/>
        <v>0</v>
      </c>
      <c r="L14" s="497">
        <f t="shared" si="7"/>
        <v>0</v>
      </c>
      <c r="M14" s="497">
        <f t="shared" si="7"/>
        <v>2500000</v>
      </c>
      <c r="N14" s="497">
        <f t="shared" si="7"/>
        <v>0</v>
      </c>
      <c r="R14" s="497">
        <f t="shared" ref="R14:AW14" si="24">IF(R$4=$I29,$J29,0)</f>
        <v>0</v>
      </c>
      <c r="S14" s="37">
        <f t="shared" si="24"/>
        <v>0</v>
      </c>
      <c r="T14" s="37">
        <f t="shared" si="24"/>
        <v>0</v>
      </c>
      <c r="U14" s="37">
        <f t="shared" si="24"/>
        <v>0</v>
      </c>
      <c r="V14" s="37">
        <f t="shared" si="24"/>
        <v>0</v>
      </c>
      <c r="W14" s="37">
        <f t="shared" si="24"/>
        <v>0</v>
      </c>
      <c r="X14" s="37">
        <f t="shared" si="24"/>
        <v>0</v>
      </c>
      <c r="Y14" s="37">
        <f t="shared" si="24"/>
        <v>0</v>
      </c>
      <c r="Z14" s="37">
        <f t="shared" si="24"/>
        <v>0</v>
      </c>
      <c r="AA14" s="37">
        <f t="shared" si="24"/>
        <v>0</v>
      </c>
      <c r="AB14" s="37">
        <f t="shared" si="24"/>
        <v>0</v>
      </c>
      <c r="AC14" s="37">
        <f t="shared" si="24"/>
        <v>0</v>
      </c>
      <c r="AD14" s="37">
        <f t="shared" si="24"/>
        <v>0</v>
      </c>
      <c r="AE14" s="37">
        <f t="shared" si="24"/>
        <v>0</v>
      </c>
      <c r="AF14" s="37">
        <f t="shared" si="24"/>
        <v>0</v>
      </c>
      <c r="AG14" s="37">
        <f t="shared" si="24"/>
        <v>0</v>
      </c>
      <c r="AH14" s="37">
        <f t="shared" si="24"/>
        <v>0</v>
      </c>
      <c r="AI14" s="37">
        <f t="shared" si="24"/>
        <v>0</v>
      </c>
      <c r="AJ14" s="37">
        <f t="shared" si="24"/>
        <v>0</v>
      </c>
      <c r="AK14" s="37">
        <f t="shared" si="24"/>
        <v>0</v>
      </c>
      <c r="AL14" s="37">
        <f t="shared" si="24"/>
        <v>0</v>
      </c>
      <c r="AM14" s="37">
        <f t="shared" si="24"/>
        <v>0</v>
      </c>
      <c r="AN14" s="37">
        <f t="shared" si="24"/>
        <v>0</v>
      </c>
      <c r="AO14" s="37">
        <f t="shared" si="24"/>
        <v>0</v>
      </c>
      <c r="AP14" s="37">
        <f t="shared" si="24"/>
        <v>0</v>
      </c>
      <c r="AQ14" s="37">
        <f t="shared" si="24"/>
        <v>0</v>
      </c>
      <c r="AR14" s="37">
        <f t="shared" si="24"/>
        <v>0</v>
      </c>
      <c r="AS14" s="37">
        <f t="shared" si="24"/>
        <v>0</v>
      </c>
      <c r="AT14" s="37">
        <f t="shared" si="24"/>
        <v>0</v>
      </c>
      <c r="AU14" s="37">
        <f t="shared" si="24"/>
        <v>0</v>
      </c>
      <c r="AV14" s="37">
        <f t="shared" si="24"/>
        <v>0</v>
      </c>
      <c r="AW14" s="37">
        <f t="shared" si="24"/>
        <v>0</v>
      </c>
      <c r="AX14" s="37">
        <f t="shared" ref="AX14:BY14" si="25">IF(AX$4=$I29,$J29,0)</f>
        <v>0</v>
      </c>
      <c r="AY14" s="37">
        <f t="shared" si="25"/>
        <v>0</v>
      </c>
      <c r="AZ14" s="37">
        <f t="shared" si="25"/>
        <v>0</v>
      </c>
      <c r="BA14" s="37">
        <f t="shared" si="25"/>
        <v>0</v>
      </c>
      <c r="BB14" s="37">
        <f t="shared" si="25"/>
        <v>0</v>
      </c>
      <c r="BC14" s="37">
        <f t="shared" si="25"/>
        <v>0</v>
      </c>
      <c r="BD14" s="37">
        <f t="shared" si="25"/>
        <v>0</v>
      </c>
      <c r="BE14" s="37">
        <f t="shared" si="25"/>
        <v>0</v>
      </c>
      <c r="BF14" s="37">
        <f t="shared" si="25"/>
        <v>0</v>
      </c>
      <c r="BG14" s="37">
        <f t="shared" si="25"/>
        <v>0</v>
      </c>
      <c r="BH14" s="37">
        <f t="shared" si="25"/>
        <v>0</v>
      </c>
      <c r="BI14" s="37">
        <f t="shared" si="25"/>
        <v>0</v>
      </c>
      <c r="BJ14" s="37">
        <f t="shared" si="25"/>
        <v>0</v>
      </c>
      <c r="BK14" s="37">
        <f t="shared" si="25"/>
        <v>0</v>
      </c>
      <c r="BL14" s="37">
        <f t="shared" si="25"/>
        <v>2500000</v>
      </c>
      <c r="BM14" s="37">
        <f t="shared" si="25"/>
        <v>0</v>
      </c>
      <c r="BN14" s="37">
        <f t="shared" si="25"/>
        <v>0</v>
      </c>
      <c r="BO14" s="37">
        <f t="shared" si="25"/>
        <v>0</v>
      </c>
      <c r="BP14" s="37">
        <f t="shared" si="25"/>
        <v>0</v>
      </c>
      <c r="BQ14" s="37">
        <f t="shared" si="25"/>
        <v>0</v>
      </c>
      <c r="BR14" s="37">
        <f t="shared" si="25"/>
        <v>0</v>
      </c>
      <c r="BS14" s="37">
        <f t="shared" si="25"/>
        <v>0</v>
      </c>
      <c r="BT14" s="37">
        <f t="shared" si="25"/>
        <v>0</v>
      </c>
      <c r="BU14" s="37">
        <f t="shared" si="25"/>
        <v>0</v>
      </c>
      <c r="BV14" s="37">
        <f t="shared" si="25"/>
        <v>0</v>
      </c>
      <c r="BW14" s="37">
        <f t="shared" si="25"/>
        <v>0</v>
      </c>
      <c r="BX14" s="37">
        <f t="shared" si="25"/>
        <v>0</v>
      </c>
      <c r="BY14" s="37">
        <f t="shared" si="25"/>
        <v>0</v>
      </c>
    </row>
    <row r="15" spans="1:77" x14ac:dyDescent="0.2">
      <c r="D15" s="680">
        <f t="shared" si="13"/>
        <v>9</v>
      </c>
      <c r="I15" s="497">
        <f t="shared" si="10"/>
        <v>0</v>
      </c>
      <c r="J15" s="497">
        <f t="shared" si="7"/>
        <v>0</v>
      </c>
      <c r="K15" s="497">
        <f t="shared" si="7"/>
        <v>0</v>
      </c>
      <c r="L15" s="497">
        <f t="shared" si="7"/>
        <v>0</v>
      </c>
      <c r="M15" s="497">
        <f t="shared" si="7"/>
        <v>0</v>
      </c>
      <c r="N15" s="497">
        <f t="shared" si="7"/>
        <v>2500000</v>
      </c>
      <c r="R15" s="497">
        <f t="shared" ref="R15:AW15" si="26">IF(R$4=$I30,$J30,0)</f>
        <v>0</v>
      </c>
      <c r="S15" s="37">
        <f t="shared" si="26"/>
        <v>0</v>
      </c>
      <c r="T15" s="37">
        <f t="shared" si="26"/>
        <v>0</v>
      </c>
      <c r="U15" s="37">
        <f t="shared" si="26"/>
        <v>0</v>
      </c>
      <c r="V15" s="37">
        <f t="shared" si="26"/>
        <v>0</v>
      </c>
      <c r="W15" s="37">
        <f t="shared" si="26"/>
        <v>0</v>
      </c>
      <c r="X15" s="37">
        <f t="shared" si="26"/>
        <v>0</v>
      </c>
      <c r="Y15" s="37">
        <f t="shared" si="26"/>
        <v>0</v>
      </c>
      <c r="Z15" s="37">
        <f t="shared" si="26"/>
        <v>0</v>
      </c>
      <c r="AA15" s="37">
        <f t="shared" si="26"/>
        <v>0</v>
      </c>
      <c r="AB15" s="37">
        <f t="shared" si="26"/>
        <v>0</v>
      </c>
      <c r="AC15" s="37">
        <f t="shared" si="26"/>
        <v>0</v>
      </c>
      <c r="AD15" s="37">
        <f t="shared" si="26"/>
        <v>0</v>
      </c>
      <c r="AE15" s="37">
        <f t="shared" si="26"/>
        <v>0</v>
      </c>
      <c r="AF15" s="37">
        <f t="shared" si="26"/>
        <v>0</v>
      </c>
      <c r="AG15" s="37">
        <f t="shared" si="26"/>
        <v>0</v>
      </c>
      <c r="AH15" s="37">
        <f t="shared" si="26"/>
        <v>0</v>
      </c>
      <c r="AI15" s="37">
        <f t="shared" si="26"/>
        <v>0</v>
      </c>
      <c r="AJ15" s="37">
        <f t="shared" si="26"/>
        <v>0</v>
      </c>
      <c r="AK15" s="37">
        <f t="shared" si="26"/>
        <v>0</v>
      </c>
      <c r="AL15" s="37">
        <f t="shared" si="26"/>
        <v>0</v>
      </c>
      <c r="AM15" s="37">
        <f t="shared" si="26"/>
        <v>0</v>
      </c>
      <c r="AN15" s="37">
        <f t="shared" si="26"/>
        <v>0</v>
      </c>
      <c r="AO15" s="37">
        <f t="shared" si="26"/>
        <v>0</v>
      </c>
      <c r="AP15" s="37">
        <f t="shared" si="26"/>
        <v>0</v>
      </c>
      <c r="AQ15" s="37">
        <f t="shared" si="26"/>
        <v>0</v>
      </c>
      <c r="AR15" s="37">
        <f t="shared" si="26"/>
        <v>0</v>
      </c>
      <c r="AS15" s="37">
        <f t="shared" si="26"/>
        <v>0</v>
      </c>
      <c r="AT15" s="37">
        <f t="shared" si="26"/>
        <v>0</v>
      </c>
      <c r="AU15" s="37">
        <f t="shared" si="26"/>
        <v>0</v>
      </c>
      <c r="AV15" s="37">
        <f t="shared" si="26"/>
        <v>0</v>
      </c>
      <c r="AW15" s="37">
        <f t="shared" si="26"/>
        <v>0</v>
      </c>
      <c r="AX15" s="37">
        <f t="shared" ref="AX15:BY15" si="27">IF(AX$4=$I30,$J30,0)</f>
        <v>0</v>
      </c>
      <c r="AY15" s="37">
        <f t="shared" si="27"/>
        <v>0</v>
      </c>
      <c r="AZ15" s="37">
        <f t="shared" si="27"/>
        <v>0</v>
      </c>
      <c r="BA15" s="37">
        <f t="shared" si="27"/>
        <v>0</v>
      </c>
      <c r="BB15" s="37">
        <f t="shared" si="27"/>
        <v>0</v>
      </c>
      <c r="BC15" s="37">
        <f t="shared" si="27"/>
        <v>0</v>
      </c>
      <c r="BD15" s="37">
        <f t="shared" si="27"/>
        <v>0</v>
      </c>
      <c r="BE15" s="37">
        <f t="shared" si="27"/>
        <v>0</v>
      </c>
      <c r="BF15" s="37">
        <f t="shared" si="27"/>
        <v>0</v>
      </c>
      <c r="BG15" s="37">
        <f t="shared" si="27"/>
        <v>0</v>
      </c>
      <c r="BH15" s="37">
        <f t="shared" si="27"/>
        <v>0</v>
      </c>
      <c r="BI15" s="37">
        <f t="shared" si="27"/>
        <v>0</v>
      </c>
      <c r="BJ15" s="37">
        <f t="shared" si="27"/>
        <v>0</v>
      </c>
      <c r="BK15" s="37">
        <f t="shared" si="27"/>
        <v>0</v>
      </c>
      <c r="BL15" s="37">
        <f t="shared" si="27"/>
        <v>0</v>
      </c>
      <c r="BM15" s="37">
        <f t="shared" si="27"/>
        <v>0</v>
      </c>
      <c r="BN15" s="37">
        <f t="shared" si="27"/>
        <v>0</v>
      </c>
      <c r="BO15" s="37">
        <f t="shared" si="27"/>
        <v>0</v>
      </c>
      <c r="BP15" s="37">
        <f t="shared" si="27"/>
        <v>0</v>
      </c>
      <c r="BQ15" s="37">
        <f t="shared" si="27"/>
        <v>0</v>
      </c>
      <c r="BR15" s="37">
        <f t="shared" si="27"/>
        <v>2500000</v>
      </c>
      <c r="BS15" s="37">
        <f t="shared" si="27"/>
        <v>0</v>
      </c>
      <c r="BT15" s="37">
        <f t="shared" si="27"/>
        <v>0</v>
      </c>
      <c r="BU15" s="37">
        <f t="shared" si="27"/>
        <v>0</v>
      </c>
      <c r="BV15" s="37">
        <f t="shared" si="27"/>
        <v>0</v>
      </c>
      <c r="BW15" s="37">
        <f t="shared" si="27"/>
        <v>0</v>
      </c>
      <c r="BX15" s="37">
        <f t="shared" si="27"/>
        <v>0</v>
      </c>
      <c r="BY15" s="37">
        <f t="shared" si="27"/>
        <v>0</v>
      </c>
    </row>
    <row r="16" spans="1:77" x14ac:dyDescent="0.2">
      <c r="D16" s="680">
        <f t="shared" si="13"/>
        <v>10</v>
      </c>
      <c r="I16" s="497">
        <f t="shared" si="10"/>
        <v>0</v>
      </c>
      <c r="J16" s="497">
        <f t="shared" si="7"/>
        <v>0</v>
      </c>
      <c r="K16" s="497">
        <f t="shared" si="7"/>
        <v>0</v>
      </c>
      <c r="L16" s="497">
        <f t="shared" si="7"/>
        <v>0</v>
      </c>
      <c r="M16" s="497">
        <f t="shared" si="7"/>
        <v>0</v>
      </c>
      <c r="N16" s="497">
        <f t="shared" si="7"/>
        <v>2500000</v>
      </c>
      <c r="R16" s="497">
        <f t="shared" ref="R16:AW16" si="28">IF(R$4=$I31,$J31,0)</f>
        <v>0</v>
      </c>
      <c r="S16" s="37">
        <f t="shared" si="28"/>
        <v>0</v>
      </c>
      <c r="T16" s="37">
        <f t="shared" si="28"/>
        <v>0</v>
      </c>
      <c r="U16" s="37">
        <f t="shared" si="28"/>
        <v>0</v>
      </c>
      <c r="V16" s="37">
        <f t="shared" si="28"/>
        <v>0</v>
      </c>
      <c r="W16" s="37">
        <f t="shared" si="28"/>
        <v>0</v>
      </c>
      <c r="X16" s="37">
        <f t="shared" si="28"/>
        <v>0</v>
      </c>
      <c r="Y16" s="37">
        <f t="shared" si="28"/>
        <v>0</v>
      </c>
      <c r="Z16" s="37">
        <f t="shared" si="28"/>
        <v>0</v>
      </c>
      <c r="AA16" s="37">
        <f t="shared" si="28"/>
        <v>0</v>
      </c>
      <c r="AB16" s="37">
        <f t="shared" si="28"/>
        <v>0</v>
      </c>
      <c r="AC16" s="37">
        <f t="shared" si="28"/>
        <v>0</v>
      </c>
      <c r="AD16" s="37">
        <f t="shared" si="28"/>
        <v>0</v>
      </c>
      <c r="AE16" s="37">
        <f t="shared" si="28"/>
        <v>0</v>
      </c>
      <c r="AF16" s="37">
        <f t="shared" si="28"/>
        <v>0</v>
      </c>
      <c r="AG16" s="37">
        <f t="shared" si="28"/>
        <v>0</v>
      </c>
      <c r="AH16" s="37">
        <f t="shared" si="28"/>
        <v>0</v>
      </c>
      <c r="AI16" s="37">
        <f t="shared" si="28"/>
        <v>0</v>
      </c>
      <c r="AJ16" s="37">
        <f t="shared" si="28"/>
        <v>0</v>
      </c>
      <c r="AK16" s="37">
        <f t="shared" si="28"/>
        <v>0</v>
      </c>
      <c r="AL16" s="37">
        <f t="shared" si="28"/>
        <v>0</v>
      </c>
      <c r="AM16" s="37">
        <f t="shared" si="28"/>
        <v>0</v>
      </c>
      <c r="AN16" s="37">
        <f t="shared" si="28"/>
        <v>0</v>
      </c>
      <c r="AO16" s="37">
        <f t="shared" si="28"/>
        <v>0</v>
      </c>
      <c r="AP16" s="37">
        <f t="shared" si="28"/>
        <v>0</v>
      </c>
      <c r="AQ16" s="37">
        <f t="shared" si="28"/>
        <v>0</v>
      </c>
      <c r="AR16" s="37">
        <f t="shared" si="28"/>
        <v>0</v>
      </c>
      <c r="AS16" s="37">
        <f t="shared" si="28"/>
        <v>0</v>
      </c>
      <c r="AT16" s="37">
        <f t="shared" si="28"/>
        <v>0</v>
      </c>
      <c r="AU16" s="37">
        <f t="shared" si="28"/>
        <v>0</v>
      </c>
      <c r="AV16" s="37">
        <f t="shared" si="28"/>
        <v>0</v>
      </c>
      <c r="AW16" s="37">
        <f t="shared" si="28"/>
        <v>0</v>
      </c>
      <c r="AX16" s="37">
        <f t="shared" ref="AX16:BY16" si="29">IF(AX$4=$I31,$J31,0)</f>
        <v>0</v>
      </c>
      <c r="AY16" s="37">
        <f t="shared" si="29"/>
        <v>0</v>
      </c>
      <c r="AZ16" s="37">
        <f t="shared" si="29"/>
        <v>0</v>
      </c>
      <c r="BA16" s="37">
        <f t="shared" si="29"/>
        <v>0</v>
      </c>
      <c r="BB16" s="37">
        <f t="shared" si="29"/>
        <v>0</v>
      </c>
      <c r="BC16" s="37">
        <f t="shared" si="29"/>
        <v>0</v>
      </c>
      <c r="BD16" s="37">
        <f t="shared" si="29"/>
        <v>0</v>
      </c>
      <c r="BE16" s="37">
        <f t="shared" si="29"/>
        <v>0</v>
      </c>
      <c r="BF16" s="37">
        <f t="shared" si="29"/>
        <v>0</v>
      </c>
      <c r="BG16" s="37">
        <f t="shared" si="29"/>
        <v>0</v>
      </c>
      <c r="BH16" s="37">
        <f t="shared" si="29"/>
        <v>0</v>
      </c>
      <c r="BI16" s="37">
        <f t="shared" si="29"/>
        <v>0</v>
      </c>
      <c r="BJ16" s="37">
        <f t="shared" si="29"/>
        <v>0</v>
      </c>
      <c r="BK16" s="37">
        <f t="shared" si="29"/>
        <v>0</v>
      </c>
      <c r="BL16" s="37">
        <f t="shared" si="29"/>
        <v>0</v>
      </c>
      <c r="BM16" s="37">
        <f t="shared" si="29"/>
        <v>0</v>
      </c>
      <c r="BN16" s="37">
        <f t="shared" si="29"/>
        <v>0</v>
      </c>
      <c r="BO16" s="37">
        <f t="shared" si="29"/>
        <v>0</v>
      </c>
      <c r="BP16" s="37">
        <f t="shared" si="29"/>
        <v>0</v>
      </c>
      <c r="BQ16" s="37">
        <f t="shared" si="29"/>
        <v>0</v>
      </c>
      <c r="BR16" s="37">
        <f t="shared" si="29"/>
        <v>0</v>
      </c>
      <c r="BS16" s="37">
        <f t="shared" si="29"/>
        <v>0</v>
      </c>
      <c r="BT16" s="37">
        <f t="shared" si="29"/>
        <v>0</v>
      </c>
      <c r="BU16" s="37">
        <f t="shared" si="29"/>
        <v>0</v>
      </c>
      <c r="BV16" s="37">
        <f t="shared" si="29"/>
        <v>0</v>
      </c>
      <c r="BW16" s="37">
        <f t="shared" si="29"/>
        <v>0</v>
      </c>
      <c r="BX16" s="37">
        <f t="shared" si="29"/>
        <v>2500000</v>
      </c>
      <c r="BY16" s="37">
        <f t="shared" si="29"/>
        <v>0</v>
      </c>
    </row>
    <row r="17" spans="1:77" s="22" customFormat="1" ht="12.75" x14ac:dyDescent="0.2">
      <c r="D17" s="153" t="s">
        <v>36</v>
      </c>
      <c r="E17" s="154"/>
      <c r="F17" s="154"/>
      <c r="G17" s="154"/>
      <c r="H17" s="154"/>
      <c r="I17" s="681">
        <f t="shared" ref="I17:N17" si="30">SUM(I7:I16)</f>
        <v>0</v>
      </c>
      <c r="J17" s="681">
        <f t="shared" si="30"/>
        <v>833333.33333333337</v>
      </c>
      <c r="K17" s="681">
        <f t="shared" si="30"/>
        <v>2500000</v>
      </c>
      <c r="L17" s="681">
        <f t="shared" si="30"/>
        <v>4166666.666666667</v>
      </c>
      <c r="M17" s="681">
        <f t="shared" si="30"/>
        <v>5000000</v>
      </c>
      <c r="N17" s="681">
        <f t="shared" si="30"/>
        <v>5000000</v>
      </c>
      <c r="O17" s="154"/>
      <c r="P17" s="154"/>
      <c r="Q17" s="154"/>
      <c r="R17" s="681">
        <f t="shared" ref="R17:AW17" si="31">SUM(R7:R16)</f>
        <v>0</v>
      </c>
      <c r="S17" s="155">
        <f t="shared" si="31"/>
        <v>0</v>
      </c>
      <c r="T17" s="155">
        <f t="shared" si="31"/>
        <v>0</v>
      </c>
      <c r="U17" s="155">
        <f t="shared" si="31"/>
        <v>0</v>
      </c>
      <c r="V17" s="155">
        <f t="shared" si="31"/>
        <v>0</v>
      </c>
      <c r="W17" s="155">
        <f t="shared" si="31"/>
        <v>0</v>
      </c>
      <c r="X17" s="155">
        <f t="shared" si="31"/>
        <v>0</v>
      </c>
      <c r="Y17" s="155">
        <f t="shared" si="31"/>
        <v>0</v>
      </c>
      <c r="Z17" s="155">
        <f t="shared" si="31"/>
        <v>0</v>
      </c>
      <c r="AA17" s="155">
        <f t="shared" si="31"/>
        <v>0</v>
      </c>
      <c r="AB17" s="155">
        <f t="shared" si="31"/>
        <v>833333.33333333337</v>
      </c>
      <c r="AC17" s="155">
        <f t="shared" si="31"/>
        <v>0</v>
      </c>
      <c r="AD17" s="155">
        <f t="shared" si="31"/>
        <v>0</v>
      </c>
      <c r="AE17" s="155">
        <f t="shared" si="31"/>
        <v>0</v>
      </c>
      <c r="AF17" s="155">
        <f t="shared" si="31"/>
        <v>0</v>
      </c>
      <c r="AG17" s="155">
        <f t="shared" si="31"/>
        <v>0</v>
      </c>
      <c r="AH17" s="155">
        <f t="shared" si="31"/>
        <v>833333.33333333337</v>
      </c>
      <c r="AI17" s="155">
        <f t="shared" si="31"/>
        <v>0</v>
      </c>
      <c r="AJ17" s="155">
        <f t="shared" si="31"/>
        <v>0</v>
      </c>
      <c r="AK17" s="155">
        <f t="shared" si="31"/>
        <v>0</v>
      </c>
      <c r="AL17" s="155">
        <f t="shared" si="31"/>
        <v>0</v>
      </c>
      <c r="AM17" s="155">
        <f t="shared" si="31"/>
        <v>0</v>
      </c>
      <c r="AN17" s="155">
        <f t="shared" si="31"/>
        <v>1666666.6666666667</v>
      </c>
      <c r="AO17" s="155">
        <f t="shared" si="31"/>
        <v>0</v>
      </c>
      <c r="AP17" s="155">
        <f t="shared" si="31"/>
        <v>0</v>
      </c>
      <c r="AQ17" s="155">
        <f t="shared" si="31"/>
        <v>0</v>
      </c>
      <c r="AR17" s="155">
        <f t="shared" si="31"/>
        <v>0</v>
      </c>
      <c r="AS17" s="155">
        <f t="shared" si="31"/>
        <v>0</v>
      </c>
      <c r="AT17" s="155">
        <f t="shared" si="31"/>
        <v>1666666.6666666667</v>
      </c>
      <c r="AU17" s="155">
        <f t="shared" si="31"/>
        <v>0</v>
      </c>
      <c r="AV17" s="155">
        <f t="shared" si="31"/>
        <v>0</v>
      </c>
      <c r="AW17" s="155">
        <f t="shared" si="31"/>
        <v>0</v>
      </c>
      <c r="AX17" s="155">
        <f t="shared" ref="AX17:BY17" si="32">SUM(AX7:AX16)</f>
        <v>0</v>
      </c>
      <c r="AY17" s="155">
        <f t="shared" si="32"/>
        <v>0</v>
      </c>
      <c r="AZ17" s="155">
        <f t="shared" si="32"/>
        <v>2500000</v>
      </c>
      <c r="BA17" s="155">
        <f t="shared" si="32"/>
        <v>0</v>
      </c>
      <c r="BB17" s="155">
        <f t="shared" si="32"/>
        <v>0</v>
      </c>
      <c r="BC17" s="155">
        <f t="shared" si="32"/>
        <v>0</v>
      </c>
      <c r="BD17" s="155">
        <f t="shared" si="32"/>
        <v>0</v>
      </c>
      <c r="BE17" s="155">
        <f t="shared" si="32"/>
        <v>0</v>
      </c>
      <c r="BF17" s="155">
        <f t="shared" si="32"/>
        <v>2500000</v>
      </c>
      <c r="BG17" s="155">
        <f t="shared" si="32"/>
        <v>0</v>
      </c>
      <c r="BH17" s="155">
        <f t="shared" si="32"/>
        <v>0</v>
      </c>
      <c r="BI17" s="155">
        <f t="shared" si="32"/>
        <v>0</v>
      </c>
      <c r="BJ17" s="155">
        <f t="shared" si="32"/>
        <v>0</v>
      </c>
      <c r="BK17" s="155">
        <f t="shared" si="32"/>
        <v>0</v>
      </c>
      <c r="BL17" s="155">
        <f t="shared" si="32"/>
        <v>2500000</v>
      </c>
      <c r="BM17" s="155">
        <f t="shared" si="32"/>
        <v>0</v>
      </c>
      <c r="BN17" s="155">
        <f t="shared" si="32"/>
        <v>0</v>
      </c>
      <c r="BO17" s="155">
        <f t="shared" si="32"/>
        <v>0</v>
      </c>
      <c r="BP17" s="155">
        <f t="shared" si="32"/>
        <v>0</v>
      </c>
      <c r="BQ17" s="155">
        <f t="shared" si="32"/>
        <v>0</v>
      </c>
      <c r="BR17" s="155">
        <f t="shared" si="32"/>
        <v>2500000</v>
      </c>
      <c r="BS17" s="155">
        <f t="shared" si="32"/>
        <v>0</v>
      </c>
      <c r="BT17" s="155">
        <f t="shared" si="32"/>
        <v>0</v>
      </c>
      <c r="BU17" s="155">
        <f t="shared" si="32"/>
        <v>0</v>
      </c>
      <c r="BV17" s="155">
        <f t="shared" si="32"/>
        <v>0</v>
      </c>
      <c r="BW17" s="155">
        <f t="shared" si="32"/>
        <v>0</v>
      </c>
      <c r="BX17" s="155">
        <f t="shared" si="32"/>
        <v>2500000</v>
      </c>
      <c r="BY17" s="155">
        <f t="shared" si="32"/>
        <v>0</v>
      </c>
    </row>
    <row r="19" spans="1:77" x14ac:dyDescent="0.2">
      <c r="A19" s="1"/>
      <c r="B19" s="48" t="s">
        <v>37</v>
      </c>
      <c r="C19" s="151"/>
      <c r="D19" s="152" t="s">
        <v>367</v>
      </c>
      <c r="E19" s="49"/>
      <c r="F19" s="49"/>
      <c r="G19" s="49"/>
      <c r="H19" s="49"/>
      <c r="I19" s="49"/>
      <c r="J19" s="49"/>
      <c r="K19" s="49"/>
      <c r="L19" s="49"/>
      <c r="M19" s="49"/>
      <c r="N19" s="49"/>
      <c r="O19" s="49"/>
      <c r="P19" s="49"/>
      <c r="Q19" s="49"/>
      <c r="R19" s="49"/>
      <c r="S19" s="49"/>
      <c r="T19" s="49"/>
      <c r="U19" s="49"/>
      <c r="V19" s="49"/>
      <c r="W19" s="49"/>
      <c r="X19" s="49"/>
      <c r="Y19" s="49"/>
      <c r="Z19" s="49"/>
      <c r="AA19" s="49"/>
      <c r="AB19" s="49"/>
      <c r="AC19" s="49"/>
      <c r="AD19" s="49"/>
      <c r="AE19" s="49"/>
      <c r="AF19" s="49"/>
      <c r="AG19" s="49"/>
      <c r="AH19" s="49"/>
      <c r="AI19" s="49"/>
      <c r="AJ19" s="49"/>
      <c r="AK19" s="49"/>
      <c r="AL19" s="49"/>
      <c r="AM19" s="49"/>
      <c r="AN19" s="49"/>
      <c r="AO19" s="49"/>
      <c r="AP19" s="49"/>
      <c r="AQ19" s="49"/>
      <c r="AR19" s="49"/>
      <c r="AS19" s="49"/>
      <c r="AT19" s="49"/>
      <c r="AU19" s="49"/>
      <c r="AV19" s="49"/>
      <c r="AW19" s="49"/>
      <c r="AX19" s="49"/>
      <c r="AY19" s="49"/>
      <c r="AZ19" s="49"/>
      <c r="BA19" s="49"/>
      <c r="BB19" s="49"/>
      <c r="BC19" s="49"/>
      <c r="BD19" s="49"/>
      <c r="BE19" s="49"/>
      <c r="BF19" s="49"/>
      <c r="BG19" s="49"/>
      <c r="BH19" s="49"/>
      <c r="BI19" s="49"/>
      <c r="BJ19" s="49"/>
      <c r="BK19" s="49"/>
      <c r="BL19" s="49"/>
      <c r="BM19" s="49"/>
      <c r="BN19" s="49"/>
      <c r="BO19" s="49"/>
      <c r="BP19" s="49"/>
      <c r="BQ19" s="49"/>
      <c r="BR19" s="49"/>
      <c r="BS19" s="49"/>
      <c r="BT19" s="49"/>
      <c r="BU19" s="49"/>
      <c r="BV19" s="49"/>
      <c r="BW19" s="49"/>
      <c r="BX19" s="49"/>
      <c r="BY19" s="49"/>
    </row>
    <row r="21" spans="1:77" x14ac:dyDescent="0.25">
      <c r="D21" s="32" t="s">
        <v>371</v>
      </c>
      <c r="E21" s="32"/>
      <c r="F21" s="32"/>
      <c r="G21" s="32"/>
      <c r="H21" s="32"/>
      <c r="I21" s="157" t="s">
        <v>136</v>
      </c>
      <c r="J21" s="157" t="s">
        <v>137</v>
      </c>
    </row>
    <row r="22" spans="1:77" x14ac:dyDescent="0.3">
      <c r="D22" s="682">
        <v>1</v>
      </c>
      <c r="E22" s="3"/>
      <c r="F22" s="3"/>
      <c r="G22" s="3"/>
      <c r="H22" s="3"/>
      <c r="I22" s="159">
        <f>'Detailed Assumptions'!E162</f>
        <v>46446</v>
      </c>
      <c r="J22" s="256">
        <f>'Detailed Assumptions'!G162</f>
        <v>0</v>
      </c>
    </row>
    <row r="23" spans="1:77" x14ac:dyDescent="0.3">
      <c r="D23" s="683">
        <f>D22+1</f>
        <v>2</v>
      </c>
      <c r="E23" s="3"/>
      <c r="F23" s="3"/>
      <c r="G23" s="3"/>
      <c r="H23" s="3"/>
      <c r="I23" s="159">
        <f>'Detailed Assumptions'!E163</f>
        <v>46630</v>
      </c>
      <c r="J23" s="256">
        <f>'Detailed Assumptions'!G163</f>
        <v>833333.33333333337</v>
      </c>
    </row>
    <row r="24" spans="1:77" x14ac:dyDescent="0.3">
      <c r="D24" s="683">
        <f t="shared" ref="D24:D31" si="33">D23+1</f>
        <v>3</v>
      </c>
      <c r="E24" s="3"/>
      <c r="F24" s="3"/>
      <c r="G24" s="3"/>
      <c r="H24" s="3"/>
      <c r="I24" s="159">
        <f>'Detailed Assumptions'!E164</f>
        <v>46812</v>
      </c>
      <c r="J24" s="256">
        <f>'Detailed Assumptions'!G164</f>
        <v>833333.33333333337</v>
      </c>
    </row>
    <row r="25" spans="1:77" x14ac:dyDescent="0.3">
      <c r="D25" s="683">
        <f t="shared" si="33"/>
        <v>4</v>
      </c>
      <c r="E25" s="3"/>
      <c r="F25" s="3"/>
      <c r="G25" s="3"/>
      <c r="H25" s="3"/>
      <c r="I25" s="159">
        <f>'Detailed Assumptions'!E165</f>
        <v>46996</v>
      </c>
      <c r="J25" s="256">
        <f>'Detailed Assumptions'!G165</f>
        <v>1666666.6666666667</v>
      </c>
    </row>
    <row r="26" spans="1:77" x14ac:dyDescent="0.3">
      <c r="D26" s="683">
        <f t="shared" si="33"/>
        <v>5</v>
      </c>
      <c r="E26" s="3"/>
      <c r="F26" s="3"/>
      <c r="G26" s="3"/>
      <c r="H26" s="3"/>
      <c r="I26" s="159">
        <f>'Detailed Assumptions'!E166</f>
        <v>47177</v>
      </c>
      <c r="J26" s="256">
        <f>'Detailed Assumptions'!G166</f>
        <v>1666666.6666666667</v>
      </c>
    </row>
    <row r="27" spans="1:77" x14ac:dyDescent="0.3">
      <c r="D27" s="683">
        <f t="shared" si="33"/>
        <v>6</v>
      </c>
      <c r="E27" s="3"/>
      <c r="F27" s="3"/>
      <c r="G27" s="3"/>
      <c r="H27" s="3"/>
      <c r="I27" s="159">
        <f>'Detailed Assumptions'!E167</f>
        <v>47361</v>
      </c>
      <c r="J27" s="256">
        <f>'Detailed Assumptions'!G167</f>
        <v>2500000</v>
      </c>
    </row>
    <row r="28" spans="1:77" x14ac:dyDescent="0.3">
      <c r="D28" s="683">
        <f t="shared" si="33"/>
        <v>7</v>
      </c>
      <c r="E28" s="3"/>
      <c r="F28" s="3"/>
      <c r="G28" s="3"/>
      <c r="H28" s="3"/>
      <c r="I28" s="159">
        <f>'Detailed Assumptions'!E168</f>
        <v>47542</v>
      </c>
      <c r="J28" s="256">
        <f>'Detailed Assumptions'!G168</f>
        <v>2500000</v>
      </c>
    </row>
    <row r="29" spans="1:77" x14ac:dyDescent="0.3">
      <c r="D29" s="683">
        <f t="shared" si="33"/>
        <v>8</v>
      </c>
      <c r="E29" s="3"/>
      <c r="F29" s="3"/>
      <c r="G29" s="3"/>
      <c r="H29" s="3"/>
      <c r="I29" s="159">
        <f>'Detailed Assumptions'!E169</f>
        <v>47726</v>
      </c>
      <c r="J29" s="256">
        <f>'Detailed Assumptions'!G169</f>
        <v>2500000</v>
      </c>
    </row>
    <row r="30" spans="1:77" x14ac:dyDescent="0.3">
      <c r="D30" s="683">
        <f t="shared" si="33"/>
        <v>9</v>
      </c>
      <c r="E30" s="3"/>
      <c r="F30" s="3"/>
      <c r="G30" s="3"/>
      <c r="H30" s="3"/>
      <c r="I30" s="159">
        <f>'Detailed Assumptions'!E170</f>
        <v>47907</v>
      </c>
      <c r="J30" s="256">
        <f>'Detailed Assumptions'!G170</f>
        <v>2500000</v>
      </c>
    </row>
    <row r="31" spans="1:77" x14ac:dyDescent="0.3">
      <c r="D31" s="683">
        <f t="shared" si="33"/>
        <v>10</v>
      </c>
      <c r="E31" s="3"/>
      <c r="F31" s="3"/>
      <c r="G31" s="3"/>
      <c r="H31" s="3"/>
      <c r="I31" s="159">
        <f>'Detailed Assumptions'!E171</f>
        <v>48091</v>
      </c>
      <c r="J31" s="256">
        <f>'Detailed Assumptions'!G171</f>
        <v>2500000</v>
      </c>
    </row>
  </sheetData>
  <pageMargins left="0.7" right="0.7" top="0.75" bottom="0.75" header="0.3" footer="0.3"/>
  <pageSetup paperSize="9" orientation="portrait" horizontalDpi="1200" verticalDpi="1200"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C6CA41-8A7A-481E-AE9E-7C68C07AA1AE}">
  <sheetPr codeName="Sheet83">
    <tabColor theme="1"/>
  </sheetPr>
  <dimension ref="I535:BW535"/>
  <sheetViews>
    <sheetView showGridLines="0" workbookViewId="0"/>
  </sheetViews>
  <sheetFormatPr defaultColWidth="9.33203125" defaultRowHeight="13.5" x14ac:dyDescent="0.3"/>
  <cols>
    <col min="1" max="16384" width="9.33203125" style="3"/>
  </cols>
  <sheetData>
    <row r="535" spans="9:75" x14ac:dyDescent="0.3">
      <c r="I535" s="8"/>
      <c r="J535" s="8"/>
      <c r="K535" s="8"/>
      <c r="L535" s="8"/>
      <c r="M535" s="8"/>
      <c r="N535" s="8"/>
      <c r="P535" s="8"/>
      <c r="Q535" s="8"/>
      <c r="R535" s="8"/>
      <c r="S535" s="8"/>
      <c r="T535" s="8"/>
      <c r="U535" s="8"/>
      <c r="V535" s="8"/>
      <c r="W535" s="8"/>
      <c r="X535" s="8"/>
      <c r="Y535" s="8"/>
      <c r="Z535" s="8"/>
      <c r="AA535" s="8"/>
      <c r="AB535" s="8"/>
      <c r="AC535" s="8"/>
      <c r="AD535" s="8"/>
      <c r="AE535" s="8"/>
      <c r="AF535" s="8"/>
      <c r="AG535" s="8"/>
      <c r="AH535" s="8"/>
      <c r="AI535" s="8"/>
      <c r="AJ535" s="8"/>
      <c r="AK535" s="8"/>
      <c r="AL535" s="8"/>
      <c r="AM535" s="8"/>
      <c r="AN535" s="8"/>
      <c r="AO535" s="8"/>
      <c r="AP535" s="8"/>
      <c r="AQ535" s="8"/>
      <c r="AR535" s="8"/>
      <c r="AS535" s="8"/>
      <c r="AT535" s="8"/>
      <c r="AU535" s="8"/>
      <c r="AV535" s="8"/>
      <c r="AW535" s="8"/>
      <c r="AX535" s="8"/>
      <c r="AY535" s="8"/>
      <c r="AZ535" s="8"/>
      <c r="BA535" s="8"/>
      <c r="BB535" s="8"/>
      <c r="BC535" s="8"/>
      <c r="BD535" s="8"/>
      <c r="BE535" s="8"/>
      <c r="BF535" s="8"/>
      <c r="BG535" s="8"/>
      <c r="BH535" s="8"/>
      <c r="BI535" s="8"/>
      <c r="BJ535" s="8"/>
      <c r="BK535" s="8"/>
      <c r="BL535" s="8"/>
      <c r="BM535" s="8"/>
      <c r="BN535" s="8"/>
      <c r="BO535" s="8"/>
      <c r="BP535" s="8"/>
      <c r="BQ535" s="8"/>
      <c r="BR535" s="8"/>
      <c r="BS535" s="8"/>
      <c r="BT535" s="8"/>
      <c r="BU535" s="8"/>
      <c r="BV535" s="8"/>
      <c r="BW535" s="8"/>
    </row>
  </sheetData>
  <pageMargins left="0.7" right="0.7" top="0.75" bottom="0.75" header="0.3" footer="0.3"/>
  <pageSetup paperSize="9" orientation="portrait" verticalDpi="1200"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A2C5CD-CB10-4172-9FDF-ADCD42F82947}">
  <sheetPr codeName="Sheet86">
    <tabColor theme="1"/>
  </sheetPr>
  <dimension ref="A1"/>
  <sheetViews>
    <sheetView showGridLines="0" workbookViewId="0"/>
  </sheetViews>
  <sheetFormatPr defaultColWidth="9.33203125" defaultRowHeight="13.5" x14ac:dyDescent="0.3"/>
  <cols>
    <col min="1" max="16384" width="9.33203125" style="3"/>
  </cols>
  <sheetData/>
  <pageMargins left="0.7" right="0.7" top="0.75" bottom="0.75" header="0.3" footer="0.3"/>
  <pageSetup paperSize="9" orientation="portrait" verticalDpi="1200"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B84ABB-F5E3-4ACC-8F9A-0F5B0CE6C8EF}">
  <sheetPr codeName="Sheet90"/>
  <dimension ref="B1:CB11"/>
  <sheetViews>
    <sheetView showGridLines="0" workbookViewId="0"/>
  </sheetViews>
  <sheetFormatPr defaultColWidth="0" defaultRowHeight="13.5" zeroHeight="1" x14ac:dyDescent="0.3"/>
  <cols>
    <col min="1" max="2" width="1.6640625" style="3" customWidth="1"/>
    <col min="3" max="3" width="3.33203125" style="3" customWidth="1"/>
    <col min="4" max="4" width="1.6640625" style="3" customWidth="1"/>
    <col min="5" max="5" width="67.6640625" style="3" bestFit="1" customWidth="1"/>
    <col min="6" max="8" width="1.6640625" style="3" customWidth="1"/>
    <col min="9" max="14" width="13.33203125" style="3" customWidth="1"/>
    <col min="15" max="15" width="1.6640625" style="3" customWidth="1"/>
    <col min="16" max="77" width="13.33203125" style="3" customWidth="1"/>
    <col min="78" max="80" width="1.6640625" style="3" customWidth="1"/>
    <col min="81" max="16384" width="0" style="3" hidden="1"/>
  </cols>
  <sheetData>
    <row r="1" spans="2:80" x14ac:dyDescent="0.3"/>
    <row r="2" spans="2:80" x14ac:dyDescent="0.3">
      <c r="B2" s="1"/>
      <c r="C2" s="7"/>
      <c r="P2" s="27"/>
      <c r="R2" s="40" t="str" cm="1">
        <f t="array" ref="R2">INDEX(Index_Tab!$G$4:$K$4,MATCH(1,(R$4&gt;=Index_Tab!$G$5:$K$5)*(R$4&lt;=Index_Tab!$G$17:$K$17),0))</f>
        <v>FY27E</v>
      </c>
      <c r="S2" s="40" t="str" cm="1">
        <f t="array" ref="S2">INDEX(Index_Tab!$G$4:$K$4,MATCH(1,(S$4&gt;=Index_Tab!$G$5:$K$5)*(S$4&lt;=Index_Tab!$G$17:$K$17),0))</f>
        <v>FY27E</v>
      </c>
      <c r="T2" s="40" t="str" cm="1">
        <f t="array" ref="T2">INDEX(Index_Tab!$G$4:$K$4,MATCH(1,(T$4&gt;=Index_Tab!$G$5:$K$5)*(T$4&lt;=Index_Tab!$G$17:$K$17),0))</f>
        <v>FY27E</v>
      </c>
      <c r="U2" s="40" t="str" cm="1">
        <f t="array" ref="U2">INDEX(Index_Tab!$G$4:$K$4,MATCH(1,(U$4&gt;=Index_Tab!$G$5:$K$5)*(U$4&lt;=Index_Tab!$G$17:$K$17),0))</f>
        <v>FY27E</v>
      </c>
      <c r="V2" s="40" t="str" cm="1">
        <f t="array" ref="V2">INDEX(Index_Tab!$G$4:$K$4,MATCH(1,(V$4&gt;=Index_Tab!$G$5:$K$5)*(V$4&lt;=Index_Tab!$G$17:$K$17),0))</f>
        <v>FY27E</v>
      </c>
      <c r="W2" s="40" t="str" cm="1">
        <f t="array" ref="W2">INDEX(Index_Tab!$G$4:$K$4,MATCH(1,(W$4&gt;=Index_Tab!$G$5:$K$5)*(W$4&lt;=Index_Tab!$G$17:$K$17),0))</f>
        <v>FY27E</v>
      </c>
      <c r="X2" s="40" t="str" cm="1">
        <f t="array" ref="X2">INDEX(Index_Tab!$G$4:$K$4,MATCH(1,(X$4&gt;=Index_Tab!$G$5:$K$5)*(X$4&lt;=Index_Tab!$G$17:$K$17),0))</f>
        <v>FY27E</v>
      </c>
      <c r="Y2" s="40" t="str" cm="1">
        <f t="array" ref="Y2">INDEX(Index_Tab!$G$4:$K$4,MATCH(1,(Y$4&gt;=Index_Tab!$G$5:$K$5)*(Y$4&lt;=Index_Tab!$G$17:$K$17),0))</f>
        <v>FY27E</v>
      </c>
      <c r="Z2" s="40" t="str" cm="1">
        <f t="array" ref="Z2">INDEX(Index_Tab!$G$4:$K$4,MATCH(1,(Z$4&gt;=Index_Tab!$G$5:$K$5)*(Z$4&lt;=Index_Tab!$G$17:$K$17),0))</f>
        <v>FY27E</v>
      </c>
      <c r="AA2" s="40" t="str" cm="1">
        <f t="array" ref="AA2">INDEX(Index_Tab!$G$4:$K$4,MATCH(1,(AA$4&gt;=Index_Tab!$G$5:$K$5)*(AA$4&lt;=Index_Tab!$G$17:$K$17),0))</f>
        <v>FY27E</v>
      </c>
      <c r="AB2" s="40" t="str" cm="1">
        <f t="array" ref="AB2">INDEX(Index_Tab!$G$4:$K$4,MATCH(1,(AB$4&gt;=Index_Tab!$G$5:$K$5)*(AB$4&lt;=Index_Tab!$G$17:$K$17),0))</f>
        <v>FY27E</v>
      </c>
      <c r="AC2" s="40" t="str" cm="1">
        <f t="array" ref="AC2">INDEX(Index_Tab!$G$4:$K$4,MATCH(1,(AC$4&gt;=Index_Tab!$G$5:$K$5)*(AC$4&lt;=Index_Tab!$G$17:$K$17),0))</f>
        <v>FY27E</v>
      </c>
      <c r="AD2" s="40" t="str" cm="1">
        <f t="array" ref="AD2">INDEX(Index_Tab!$G$4:$K$4,MATCH(1,(AD$4&gt;=Index_Tab!$G$5:$K$5)*(AD$4&lt;=Index_Tab!$G$17:$K$17),0))</f>
        <v>FY28E</v>
      </c>
      <c r="AE2" s="40" t="str" cm="1">
        <f t="array" ref="AE2">INDEX(Index_Tab!$G$4:$K$4,MATCH(1,(AE$4&gt;=Index_Tab!$G$5:$K$5)*(AE$4&lt;=Index_Tab!$G$17:$K$17),0))</f>
        <v>FY28E</v>
      </c>
      <c r="AF2" s="40" t="str" cm="1">
        <f t="array" ref="AF2">INDEX(Index_Tab!$G$4:$K$4,MATCH(1,(AF$4&gt;=Index_Tab!$G$5:$K$5)*(AF$4&lt;=Index_Tab!$G$17:$K$17),0))</f>
        <v>FY28E</v>
      </c>
      <c r="AG2" s="40" t="str" cm="1">
        <f t="array" ref="AG2">INDEX(Index_Tab!$G$4:$K$4,MATCH(1,(AG$4&gt;=Index_Tab!$G$5:$K$5)*(AG$4&lt;=Index_Tab!$G$17:$K$17),0))</f>
        <v>FY28E</v>
      </c>
      <c r="AH2" s="40" t="str" cm="1">
        <f t="array" ref="AH2">INDEX(Index_Tab!$G$4:$K$4,MATCH(1,(AH$4&gt;=Index_Tab!$G$5:$K$5)*(AH$4&lt;=Index_Tab!$G$17:$K$17),0))</f>
        <v>FY28E</v>
      </c>
      <c r="AI2" s="40" t="str" cm="1">
        <f t="array" ref="AI2">INDEX(Index_Tab!$G$4:$K$4,MATCH(1,(AI$4&gt;=Index_Tab!$G$5:$K$5)*(AI$4&lt;=Index_Tab!$G$17:$K$17),0))</f>
        <v>FY28E</v>
      </c>
      <c r="AJ2" s="40" t="str" cm="1">
        <f t="array" ref="AJ2">INDEX(Index_Tab!$G$4:$K$4,MATCH(1,(AJ$4&gt;=Index_Tab!$G$5:$K$5)*(AJ$4&lt;=Index_Tab!$G$17:$K$17),0))</f>
        <v>FY28E</v>
      </c>
      <c r="AK2" s="40" t="str" cm="1">
        <f t="array" ref="AK2">INDEX(Index_Tab!$G$4:$K$4,MATCH(1,(AK$4&gt;=Index_Tab!$G$5:$K$5)*(AK$4&lt;=Index_Tab!$G$17:$K$17),0))</f>
        <v>FY28E</v>
      </c>
      <c r="AL2" s="40" t="str" cm="1">
        <f t="array" ref="AL2">INDEX(Index_Tab!$G$4:$K$4,MATCH(1,(AL$4&gt;=Index_Tab!$G$5:$K$5)*(AL$4&lt;=Index_Tab!$G$17:$K$17),0))</f>
        <v>FY28E</v>
      </c>
      <c r="AM2" s="40" t="str" cm="1">
        <f t="array" ref="AM2">INDEX(Index_Tab!$G$4:$K$4,MATCH(1,(AM$4&gt;=Index_Tab!$G$5:$K$5)*(AM$4&lt;=Index_Tab!$G$17:$K$17),0))</f>
        <v>FY28E</v>
      </c>
      <c r="AN2" s="40" t="str" cm="1">
        <f t="array" ref="AN2">INDEX(Index_Tab!$G$4:$K$4,MATCH(1,(AN$4&gt;=Index_Tab!$G$5:$K$5)*(AN$4&lt;=Index_Tab!$G$17:$K$17),0))</f>
        <v>FY28E</v>
      </c>
      <c r="AO2" s="40" t="str" cm="1">
        <f t="array" ref="AO2">INDEX(Index_Tab!$G$4:$K$4,MATCH(1,(AO$4&gt;=Index_Tab!$G$5:$K$5)*(AO$4&lt;=Index_Tab!$G$17:$K$17),0))</f>
        <v>FY28E</v>
      </c>
      <c r="AP2" s="40" t="str" cm="1">
        <f t="array" ref="AP2">INDEX(Index_Tab!$G$4:$K$4,MATCH(1,(AP$4&gt;=Index_Tab!$G$5:$K$5)*(AP$4&lt;=Index_Tab!$G$17:$K$17),0))</f>
        <v>FY29E</v>
      </c>
      <c r="AQ2" s="40" t="str" cm="1">
        <f t="array" ref="AQ2">INDEX(Index_Tab!$G$4:$K$4,MATCH(1,(AQ$4&gt;=Index_Tab!$G$5:$K$5)*(AQ$4&lt;=Index_Tab!$G$17:$K$17),0))</f>
        <v>FY29E</v>
      </c>
      <c r="AR2" s="40" t="str" cm="1">
        <f t="array" ref="AR2">INDEX(Index_Tab!$G$4:$K$4,MATCH(1,(AR$4&gt;=Index_Tab!$G$5:$K$5)*(AR$4&lt;=Index_Tab!$G$17:$K$17),0))</f>
        <v>FY29E</v>
      </c>
      <c r="AS2" s="40" t="str" cm="1">
        <f t="array" ref="AS2">INDEX(Index_Tab!$G$4:$K$4,MATCH(1,(AS$4&gt;=Index_Tab!$G$5:$K$5)*(AS$4&lt;=Index_Tab!$G$17:$K$17),0))</f>
        <v>FY29E</v>
      </c>
      <c r="AT2" s="40" t="str" cm="1">
        <f t="array" ref="AT2">INDEX(Index_Tab!$G$4:$K$4,MATCH(1,(AT$4&gt;=Index_Tab!$G$5:$K$5)*(AT$4&lt;=Index_Tab!$G$17:$K$17),0))</f>
        <v>FY29E</v>
      </c>
      <c r="AU2" s="40" t="str" cm="1">
        <f t="array" ref="AU2">INDEX(Index_Tab!$G$4:$K$4,MATCH(1,(AU$4&gt;=Index_Tab!$G$5:$K$5)*(AU$4&lt;=Index_Tab!$G$17:$K$17),0))</f>
        <v>FY29E</v>
      </c>
      <c r="AV2" s="40" t="str" cm="1">
        <f t="array" ref="AV2">INDEX(Index_Tab!$G$4:$K$4,MATCH(1,(AV$4&gt;=Index_Tab!$G$5:$K$5)*(AV$4&lt;=Index_Tab!$G$17:$K$17),0))</f>
        <v>FY29E</v>
      </c>
      <c r="AW2" s="40" t="str" cm="1">
        <f t="array" ref="AW2">INDEX(Index_Tab!$G$4:$K$4,MATCH(1,(AW$4&gt;=Index_Tab!$G$5:$K$5)*(AW$4&lt;=Index_Tab!$G$17:$K$17),0))</f>
        <v>FY29E</v>
      </c>
      <c r="AX2" s="40" t="str" cm="1">
        <f t="array" ref="AX2">INDEX(Index_Tab!$G$4:$K$4,MATCH(1,(AX$4&gt;=Index_Tab!$G$5:$K$5)*(AX$4&lt;=Index_Tab!$G$17:$K$17),0))</f>
        <v>FY29E</v>
      </c>
      <c r="AY2" s="40" t="str" cm="1">
        <f t="array" ref="AY2">INDEX(Index_Tab!$G$4:$K$4,MATCH(1,(AY$4&gt;=Index_Tab!$G$5:$K$5)*(AY$4&lt;=Index_Tab!$G$17:$K$17),0))</f>
        <v>FY29E</v>
      </c>
      <c r="AZ2" s="40" t="str" cm="1">
        <f t="array" ref="AZ2">INDEX(Index_Tab!$G$4:$K$4,MATCH(1,(AZ$4&gt;=Index_Tab!$G$5:$K$5)*(AZ$4&lt;=Index_Tab!$G$17:$K$17),0))</f>
        <v>FY29E</v>
      </c>
      <c r="BA2" s="40" t="str" cm="1">
        <f t="array" ref="BA2">INDEX(Index_Tab!$G$4:$K$4,MATCH(1,(BA$4&gt;=Index_Tab!$G$5:$K$5)*(BA$4&lt;=Index_Tab!$G$17:$K$17),0))</f>
        <v>FY29E</v>
      </c>
      <c r="BB2" s="40" t="str" cm="1">
        <f t="array" ref="BB2">INDEX(Index_Tab!$G$4:$K$4,MATCH(1,(BB$4&gt;=Index_Tab!$G$5:$K$5)*(BB$4&lt;=Index_Tab!$G$17:$K$17),0))</f>
        <v>FY30E</v>
      </c>
      <c r="BC2" s="40" t="str" cm="1">
        <f t="array" ref="BC2">INDEX(Index_Tab!$G$4:$K$4,MATCH(1,(BC$4&gt;=Index_Tab!$G$5:$K$5)*(BC$4&lt;=Index_Tab!$G$17:$K$17),0))</f>
        <v>FY30E</v>
      </c>
      <c r="BD2" s="40" t="str" cm="1">
        <f t="array" ref="BD2">INDEX(Index_Tab!$G$4:$K$4,MATCH(1,(BD$4&gt;=Index_Tab!$G$5:$K$5)*(BD$4&lt;=Index_Tab!$G$17:$K$17),0))</f>
        <v>FY30E</v>
      </c>
      <c r="BE2" s="40" t="str" cm="1">
        <f t="array" ref="BE2">INDEX(Index_Tab!$G$4:$K$4,MATCH(1,(BE$4&gt;=Index_Tab!$G$5:$K$5)*(BE$4&lt;=Index_Tab!$G$17:$K$17),0))</f>
        <v>FY30E</v>
      </c>
      <c r="BF2" s="40" t="str" cm="1">
        <f t="array" ref="BF2">INDEX(Index_Tab!$G$4:$K$4,MATCH(1,(BF$4&gt;=Index_Tab!$G$5:$K$5)*(BF$4&lt;=Index_Tab!$G$17:$K$17),0))</f>
        <v>FY30E</v>
      </c>
      <c r="BG2" s="40" t="str" cm="1">
        <f t="array" ref="BG2">INDEX(Index_Tab!$G$4:$K$4,MATCH(1,(BG$4&gt;=Index_Tab!$G$5:$K$5)*(BG$4&lt;=Index_Tab!$G$17:$K$17),0))</f>
        <v>FY30E</v>
      </c>
      <c r="BH2" s="40" t="str" cm="1">
        <f t="array" ref="BH2">INDEX(Index_Tab!$G$4:$K$4,MATCH(1,(BH$4&gt;=Index_Tab!$G$5:$K$5)*(BH$4&lt;=Index_Tab!$G$17:$K$17),0))</f>
        <v>FY30E</v>
      </c>
      <c r="BI2" s="40" t="str" cm="1">
        <f t="array" ref="BI2">INDEX(Index_Tab!$G$4:$K$4,MATCH(1,(BI$4&gt;=Index_Tab!$G$5:$K$5)*(BI$4&lt;=Index_Tab!$G$17:$K$17),0))</f>
        <v>FY30E</v>
      </c>
      <c r="BJ2" s="40" t="str" cm="1">
        <f t="array" ref="BJ2">INDEX(Index_Tab!$G$4:$K$4,MATCH(1,(BJ$4&gt;=Index_Tab!$G$5:$K$5)*(BJ$4&lt;=Index_Tab!$G$17:$K$17),0))</f>
        <v>FY30E</v>
      </c>
      <c r="BK2" s="40" t="str" cm="1">
        <f t="array" ref="BK2">INDEX(Index_Tab!$G$4:$K$4,MATCH(1,(BK$4&gt;=Index_Tab!$G$5:$K$5)*(BK$4&lt;=Index_Tab!$G$17:$K$17),0))</f>
        <v>FY30E</v>
      </c>
      <c r="BL2" s="40" t="str" cm="1">
        <f t="array" ref="BL2">INDEX(Index_Tab!$G$4:$K$4,MATCH(1,(BL$4&gt;=Index_Tab!$G$5:$K$5)*(BL$4&lt;=Index_Tab!$G$17:$K$17),0))</f>
        <v>FY30E</v>
      </c>
      <c r="BM2" s="40" t="str" cm="1">
        <f t="array" ref="BM2">INDEX(Index_Tab!$G$4:$K$4,MATCH(1,(BM$4&gt;=Index_Tab!$G$5:$K$5)*(BM$4&lt;=Index_Tab!$G$17:$K$17),0))</f>
        <v>FY30E</v>
      </c>
      <c r="BN2" s="40" t="str" cm="1">
        <f t="array" ref="BN2">INDEX(Index_Tab!$G$4:$K$4,MATCH(1,(BN$4&gt;=Index_Tab!$G$5:$K$5)*(BN$4&lt;=Index_Tab!$G$17:$K$17),0))</f>
        <v>FY31E</v>
      </c>
      <c r="BO2" s="40" t="str" cm="1">
        <f t="array" ref="BO2">INDEX(Index_Tab!$G$4:$K$4,MATCH(1,(BO$4&gt;=Index_Tab!$G$5:$K$5)*(BO$4&lt;=Index_Tab!$G$17:$K$17),0))</f>
        <v>FY31E</v>
      </c>
      <c r="BP2" s="40" t="str" cm="1">
        <f t="array" ref="BP2">INDEX(Index_Tab!$G$4:$K$4,MATCH(1,(BP$4&gt;=Index_Tab!$G$5:$K$5)*(BP$4&lt;=Index_Tab!$G$17:$K$17),0))</f>
        <v>FY31E</v>
      </c>
      <c r="BQ2" s="40" t="str" cm="1">
        <f t="array" ref="BQ2">INDEX(Index_Tab!$G$4:$K$4,MATCH(1,(BQ$4&gt;=Index_Tab!$G$5:$K$5)*(BQ$4&lt;=Index_Tab!$G$17:$K$17),0))</f>
        <v>FY31E</v>
      </c>
      <c r="BR2" s="40" t="str" cm="1">
        <f t="array" ref="BR2">INDEX(Index_Tab!$G$4:$K$4,MATCH(1,(BR$4&gt;=Index_Tab!$G$5:$K$5)*(BR$4&lt;=Index_Tab!$G$17:$K$17),0))</f>
        <v>FY31E</v>
      </c>
      <c r="BS2" s="40" t="str" cm="1">
        <f t="array" ref="BS2">INDEX(Index_Tab!$G$4:$K$4,MATCH(1,(BS$4&gt;=Index_Tab!$G$5:$K$5)*(BS$4&lt;=Index_Tab!$G$17:$K$17),0))</f>
        <v>FY31E</v>
      </c>
      <c r="BT2" s="40" t="str" cm="1">
        <f t="array" ref="BT2">INDEX(Index_Tab!$G$4:$K$4,MATCH(1,(BT$4&gt;=Index_Tab!$G$5:$K$5)*(BT$4&lt;=Index_Tab!$G$17:$K$17),0))</f>
        <v>FY31E</v>
      </c>
      <c r="BU2" s="40" t="str" cm="1">
        <f t="array" ref="BU2">INDEX(Index_Tab!$G$4:$K$4,MATCH(1,(BU$4&gt;=Index_Tab!$G$5:$K$5)*(BU$4&lt;=Index_Tab!$G$17:$K$17),0))</f>
        <v>FY31E</v>
      </c>
      <c r="BV2" s="40" t="str" cm="1">
        <f t="array" ref="BV2">INDEX(Index_Tab!$G$4:$K$4,MATCH(1,(BV$4&gt;=Index_Tab!$G$5:$K$5)*(BV$4&lt;=Index_Tab!$G$17:$K$17),0))</f>
        <v>FY31E</v>
      </c>
      <c r="BW2" s="40" t="str" cm="1">
        <f t="array" ref="BW2">INDEX(Index_Tab!$G$4:$K$4,MATCH(1,(BW$4&gt;=Index_Tab!$G$5:$K$5)*(BW$4&lt;=Index_Tab!$G$17:$K$17),0))</f>
        <v>FY31E</v>
      </c>
      <c r="BX2" s="40" t="str" cm="1">
        <f t="array" ref="BX2">INDEX(Index_Tab!$G$4:$K$4,MATCH(1,(BX$4&gt;=Index_Tab!$G$5:$K$5)*(BX$4&lt;=Index_Tab!$G$17:$K$17),0))</f>
        <v>FY31E</v>
      </c>
      <c r="BY2" s="40" t="str" cm="1">
        <f t="array" ref="BY2">INDEX(Index_Tab!$G$4:$K$4,MATCH(1,(BY$4&gt;=Index_Tab!$G$5:$K$5)*(BY$4&lt;=Index_Tab!$G$17:$K$17),0))</f>
        <v>FY31E</v>
      </c>
    </row>
    <row r="3" spans="2:80" x14ac:dyDescent="0.3">
      <c r="B3" s="1"/>
      <c r="C3" s="87"/>
      <c r="E3" s="20"/>
      <c r="F3" s="20"/>
      <c r="G3" s="20"/>
      <c r="H3" s="41"/>
      <c r="I3" s="21" t="str">
        <f>'Detailed Assumptions'!E$17</f>
        <v>FY26E</v>
      </c>
      <c r="J3" s="21" t="str">
        <f>'Detailed Assumptions'!F$17</f>
        <v>FY27E</v>
      </c>
      <c r="K3" s="21" t="str">
        <f>'Detailed Assumptions'!G$17</f>
        <v>FY28E</v>
      </c>
      <c r="L3" s="21" t="str">
        <f>'Detailed Assumptions'!H$17</f>
        <v>FY29E</v>
      </c>
      <c r="M3" s="21" t="str">
        <f>'Detailed Assumptions'!I$17</f>
        <v>FY30E</v>
      </c>
      <c r="N3" s="21" t="str">
        <f>'Detailed Assumptions'!J$17</f>
        <v>FY31E</v>
      </c>
      <c r="O3" s="42"/>
      <c r="P3" s="36" t="s">
        <v>179</v>
      </c>
      <c r="Q3" s="41"/>
      <c r="R3" s="43">
        <f>'Detailed Assumptions'!$E$12</f>
        <v>46296</v>
      </c>
      <c r="S3" s="43">
        <f>R4+1</f>
        <v>46327</v>
      </c>
      <c r="T3" s="43">
        <f t="shared" ref="T3:BY3" si="0">S4+1</f>
        <v>46357</v>
      </c>
      <c r="U3" s="43">
        <f t="shared" si="0"/>
        <v>46388</v>
      </c>
      <c r="V3" s="43">
        <f t="shared" si="0"/>
        <v>46419</v>
      </c>
      <c r="W3" s="43">
        <f t="shared" si="0"/>
        <v>46447</v>
      </c>
      <c r="X3" s="43">
        <f t="shared" si="0"/>
        <v>46478</v>
      </c>
      <c r="Y3" s="43">
        <f t="shared" si="0"/>
        <v>46508</v>
      </c>
      <c r="Z3" s="43">
        <f t="shared" si="0"/>
        <v>46539</v>
      </c>
      <c r="AA3" s="43">
        <f t="shared" si="0"/>
        <v>46569</v>
      </c>
      <c r="AB3" s="43">
        <f t="shared" si="0"/>
        <v>46600</v>
      </c>
      <c r="AC3" s="43">
        <f t="shared" si="0"/>
        <v>46631</v>
      </c>
      <c r="AD3" s="43">
        <f t="shared" si="0"/>
        <v>46661</v>
      </c>
      <c r="AE3" s="43">
        <f t="shared" si="0"/>
        <v>46692</v>
      </c>
      <c r="AF3" s="43">
        <f t="shared" si="0"/>
        <v>46722</v>
      </c>
      <c r="AG3" s="43">
        <f t="shared" si="0"/>
        <v>46753</v>
      </c>
      <c r="AH3" s="43">
        <f t="shared" si="0"/>
        <v>46784</v>
      </c>
      <c r="AI3" s="43">
        <f t="shared" si="0"/>
        <v>46813</v>
      </c>
      <c r="AJ3" s="43">
        <f t="shared" si="0"/>
        <v>46844</v>
      </c>
      <c r="AK3" s="43">
        <f t="shared" si="0"/>
        <v>46874</v>
      </c>
      <c r="AL3" s="43">
        <f t="shared" si="0"/>
        <v>46905</v>
      </c>
      <c r="AM3" s="43">
        <f t="shared" si="0"/>
        <v>46935</v>
      </c>
      <c r="AN3" s="43">
        <f t="shared" si="0"/>
        <v>46966</v>
      </c>
      <c r="AO3" s="43">
        <f t="shared" si="0"/>
        <v>46997</v>
      </c>
      <c r="AP3" s="43">
        <f t="shared" si="0"/>
        <v>47027</v>
      </c>
      <c r="AQ3" s="43">
        <f t="shared" si="0"/>
        <v>47058</v>
      </c>
      <c r="AR3" s="43">
        <f t="shared" si="0"/>
        <v>47088</v>
      </c>
      <c r="AS3" s="43">
        <f t="shared" si="0"/>
        <v>47119</v>
      </c>
      <c r="AT3" s="43">
        <f t="shared" si="0"/>
        <v>47150</v>
      </c>
      <c r="AU3" s="43">
        <f t="shared" si="0"/>
        <v>47178</v>
      </c>
      <c r="AV3" s="43">
        <f t="shared" si="0"/>
        <v>47209</v>
      </c>
      <c r="AW3" s="43">
        <f t="shared" si="0"/>
        <v>47239</v>
      </c>
      <c r="AX3" s="43">
        <f t="shared" si="0"/>
        <v>47270</v>
      </c>
      <c r="AY3" s="43">
        <f t="shared" si="0"/>
        <v>47300</v>
      </c>
      <c r="AZ3" s="43">
        <f t="shared" si="0"/>
        <v>47331</v>
      </c>
      <c r="BA3" s="43">
        <f t="shared" si="0"/>
        <v>47362</v>
      </c>
      <c r="BB3" s="43">
        <f t="shared" si="0"/>
        <v>47392</v>
      </c>
      <c r="BC3" s="43">
        <f t="shared" si="0"/>
        <v>47423</v>
      </c>
      <c r="BD3" s="43">
        <f t="shared" si="0"/>
        <v>47453</v>
      </c>
      <c r="BE3" s="43">
        <f t="shared" si="0"/>
        <v>47484</v>
      </c>
      <c r="BF3" s="43">
        <f t="shared" si="0"/>
        <v>47515</v>
      </c>
      <c r="BG3" s="43">
        <f t="shared" si="0"/>
        <v>47543</v>
      </c>
      <c r="BH3" s="43">
        <f t="shared" si="0"/>
        <v>47574</v>
      </c>
      <c r="BI3" s="43">
        <f t="shared" si="0"/>
        <v>47604</v>
      </c>
      <c r="BJ3" s="43">
        <f t="shared" si="0"/>
        <v>47635</v>
      </c>
      <c r="BK3" s="43">
        <f t="shared" si="0"/>
        <v>47665</v>
      </c>
      <c r="BL3" s="43">
        <f t="shared" si="0"/>
        <v>47696</v>
      </c>
      <c r="BM3" s="43">
        <f t="shared" si="0"/>
        <v>47727</v>
      </c>
      <c r="BN3" s="43">
        <f t="shared" si="0"/>
        <v>47757</v>
      </c>
      <c r="BO3" s="43">
        <f t="shared" si="0"/>
        <v>47788</v>
      </c>
      <c r="BP3" s="43">
        <f t="shared" si="0"/>
        <v>47818</v>
      </c>
      <c r="BQ3" s="43">
        <f t="shared" si="0"/>
        <v>47849</v>
      </c>
      <c r="BR3" s="43">
        <f t="shared" si="0"/>
        <v>47880</v>
      </c>
      <c r="BS3" s="43">
        <f t="shared" si="0"/>
        <v>47908</v>
      </c>
      <c r="BT3" s="43">
        <f t="shared" si="0"/>
        <v>47939</v>
      </c>
      <c r="BU3" s="43">
        <f t="shared" si="0"/>
        <v>47969</v>
      </c>
      <c r="BV3" s="43">
        <f t="shared" si="0"/>
        <v>48000</v>
      </c>
      <c r="BW3" s="43">
        <f t="shared" si="0"/>
        <v>48030</v>
      </c>
      <c r="BX3" s="43">
        <f t="shared" si="0"/>
        <v>48061</v>
      </c>
      <c r="BY3" s="43">
        <f t="shared" si="0"/>
        <v>48092</v>
      </c>
      <c r="CB3" s="41"/>
    </row>
    <row r="4" spans="2:80" x14ac:dyDescent="0.3">
      <c r="B4" s="1"/>
      <c r="C4" s="199"/>
      <c r="E4" s="20" t="s">
        <v>208</v>
      </c>
      <c r="F4" s="20"/>
      <c r="G4" s="20"/>
      <c r="H4" s="41"/>
      <c r="I4" s="44">
        <f>'Detailed Assumptions'!$E$12-1</f>
        <v>46295</v>
      </c>
      <c r="J4" s="44">
        <f>EOMONTH(I4,12)</f>
        <v>46660</v>
      </c>
      <c r="K4" s="44">
        <f>EOMONTH(J4,12)</f>
        <v>47026</v>
      </c>
      <c r="L4" s="44">
        <f>EOMONTH(K4,12)</f>
        <v>47391</v>
      </c>
      <c r="M4" s="44">
        <f>EOMONTH(L4,12)</f>
        <v>47756</v>
      </c>
      <c r="N4" s="44">
        <f>EOMONTH(M4,12)</f>
        <v>48121</v>
      </c>
      <c r="O4" s="45"/>
      <c r="P4" s="46" t="s">
        <v>180</v>
      </c>
      <c r="Q4" s="41"/>
      <c r="R4" s="44">
        <f t="shared" ref="R4:AW4" si="1">EOMONTH(R3,0)</f>
        <v>46326</v>
      </c>
      <c r="S4" s="44">
        <f t="shared" si="1"/>
        <v>46356</v>
      </c>
      <c r="T4" s="44">
        <f t="shared" si="1"/>
        <v>46387</v>
      </c>
      <c r="U4" s="44">
        <f t="shared" si="1"/>
        <v>46418</v>
      </c>
      <c r="V4" s="44">
        <f t="shared" si="1"/>
        <v>46446</v>
      </c>
      <c r="W4" s="44">
        <f t="shared" si="1"/>
        <v>46477</v>
      </c>
      <c r="X4" s="44">
        <f t="shared" si="1"/>
        <v>46507</v>
      </c>
      <c r="Y4" s="44">
        <f t="shared" si="1"/>
        <v>46538</v>
      </c>
      <c r="Z4" s="44">
        <f t="shared" si="1"/>
        <v>46568</v>
      </c>
      <c r="AA4" s="44">
        <f t="shared" si="1"/>
        <v>46599</v>
      </c>
      <c r="AB4" s="44">
        <f t="shared" si="1"/>
        <v>46630</v>
      </c>
      <c r="AC4" s="44">
        <f t="shared" si="1"/>
        <v>46660</v>
      </c>
      <c r="AD4" s="44">
        <f t="shared" si="1"/>
        <v>46691</v>
      </c>
      <c r="AE4" s="44">
        <f t="shared" si="1"/>
        <v>46721</v>
      </c>
      <c r="AF4" s="44">
        <f t="shared" si="1"/>
        <v>46752</v>
      </c>
      <c r="AG4" s="44">
        <f t="shared" si="1"/>
        <v>46783</v>
      </c>
      <c r="AH4" s="44">
        <f t="shared" si="1"/>
        <v>46812</v>
      </c>
      <c r="AI4" s="44">
        <f t="shared" si="1"/>
        <v>46843</v>
      </c>
      <c r="AJ4" s="44">
        <f t="shared" si="1"/>
        <v>46873</v>
      </c>
      <c r="AK4" s="44">
        <f t="shared" si="1"/>
        <v>46904</v>
      </c>
      <c r="AL4" s="44">
        <f t="shared" si="1"/>
        <v>46934</v>
      </c>
      <c r="AM4" s="44">
        <f t="shared" si="1"/>
        <v>46965</v>
      </c>
      <c r="AN4" s="44">
        <f t="shared" si="1"/>
        <v>46996</v>
      </c>
      <c r="AO4" s="44">
        <f t="shared" si="1"/>
        <v>47026</v>
      </c>
      <c r="AP4" s="44">
        <f t="shared" si="1"/>
        <v>47057</v>
      </c>
      <c r="AQ4" s="44">
        <f t="shared" si="1"/>
        <v>47087</v>
      </c>
      <c r="AR4" s="44">
        <f t="shared" si="1"/>
        <v>47118</v>
      </c>
      <c r="AS4" s="44">
        <f t="shared" si="1"/>
        <v>47149</v>
      </c>
      <c r="AT4" s="44">
        <f t="shared" si="1"/>
        <v>47177</v>
      </c>
      <c r="AU4" s="44">
        <f t="shared" si="1"/>
        <v>47208</v>
      </c>
      <c r="AV4" s="44">
        <f t="shared" si="1"/>
        <v>47238</v>
      </c>
      <c r="AW4" s="44">
        <f t="shared" si="1"/>
        <v>47269</v>
      </c>
      <c r="AX4" s="44">
        <f t="shared" ref="AX4:BY4" si="2">EOMONTH(AX3,0)</f>
        <v>47299</v>
      </c>
      <c r="AY4" s="44">
        <f t="shared" si="2"/>
        <v>47330</v>
      </c>
      <c r="AZ4" s="44">
        <f t="shared" si="2"/>
        <v>47361</v>
      </c>
      <c r="BA4" s="44">
        <f t="shared" si="2"/>
        <v>47391</v>
      </c>
      <c r="BB4" s="44">
        <f t="shared" si="2"/>
        <v>47422</v>
      </c>
      <c r="BC4" s="44">
        <f t="shared" si="2"/>
        <v>47452</v>
      </c>
      <c r="BD4" s="44">
        <f t="shared" si="2"/>
        <v>47483</v>
      </c>
      <c r="BE4" s="44">
        <f t="shared" si="2"/>
        <v>47514</v>
      </c>
      <c r="BF4" s="44">
        <f t="shared" si="2"/>
        <v>47542</v>
      </c>
      <c r="BG4" s="44">
        <f t="shared" si="2"/>
        <v>47573</v>
      </c>
      <c r="BH4" s="44">
        <f t="shared" si="2"/>
        <v>47603</v>
      </c>
      <c r="BI4" s="44">
        <f t="shared" si="2"/>
        <v>47634</v>
      </c>
      <c r="BJ4" s="44">
        <f t="shared" si="2"/>
        <v>47664</v>
      </c>
      <c r="BK4" s="44">
        <f t="shared" si="2"/>
        <v>47695</v>
      </c>
      <c r="BL4" s="44">
        <f t="shared" si="2"/>
        <v>47726</v>
      </c>
      <c r="BM4" s="44">
        <f t="shared" si="2"/>
        <v>47756</v>
      </c>
      <c r="BN4" s="44">
        <f t="shared" si="2"/>
        <v>47787</v>
      </c>
      <c r="BO4" s="44">
        <f t="shared" si="2"/>
        <v>47817</v>
      </c>
      <c r="BP4" s="44">
        <f t="shared" si="2"/>
        <v>47848</v>
      </c>
      <c r="BQ4" s="44">
        <f t="shared" si="2"/>
        <v>47879</v>
      </c>
      <c r="BR4" s="44">
        <f t="shared" si="2"/>
        <v>47907</v>
      </c>
      <c r="BS4" s="44">
        <f t="shared" si="2"/>
        <v>47938</v>
      </c>
      <c r="BT4" s="44">
        <f t="shared" si="2"/>
        <v>47968</v>
      </c>
      <c r="BU4" s="44">
        <f t="shared" si="2"/>
        <v>47999</v>
      </c>
      <c r="BV4" s="44">
        <f t="shared" si="2"/>
        <v>48029</v>
      </c>
      <c r="BW4" s="44">
        <f t="shared" si="2"/>
        <v>48060</v>
      </c>
      <c r="BX4" s="44">
        <f t="shared" si="2"/>
        <v>48091</v>
      </c>
      <c r="BY4" s="44">
        <f t="shared" si="2"/>
        <v>48121</v>
      </c>
      <c r="CB4" s="41"/>
    </row>
    <row r="5" spans="2:80" x14ac:dyDescent="0.3"/>
    <row r="6" spans="2:80" x14ac:dyDescent="0.3">
      <c r="E6" s="3" t="s">
        <v>189</v>
      </c>
      <c r="J6" s="81">
        <f>'Detailed Assumptions'!F39</f>
        <v>2.4676438356164385E-2</v>
      </c>
      <c r="K6" s="81">
        <f>'Detailed Assumptions'!G39</f>
        <v>2.3173150684931507E-2</v>
      </c>
      <c r="L6" s="81">
        <f>'Detailed Assumptions'!H39</f>
        <v>2.1449041095890409E-2</v>
      </c>
      <c r="M6" s="81">
        <f>'Detailed Assumptions'!I39</f>
        <v>1.9598630136986303E-2</v>
      </c>
      <c r="N6" s="81">
        <f>'Detailed Assumptions'!J39</f>
        <v>1.9400273972602741E-2</v>
      </c>
      <c r="Q6" s="253">
        <v>1</v>
      </c>
      <c r="R6" s="9">
        <f t="shared" ref="R6:BY6" si="3">Q6*(1+INDEX($J6:$N6,MATCH(R$2,$J$3:$N$3,0)))^(1/12)</f>
        <v>1.0020334724448596</v>
      </c>
      <c r="S6" s="9">
        <f t="shared" si="3"/>
        <v>1.0040710798999033</v>
      </c>
      <c r="T6" s="9">
        <f t="shared" si="3"/>
        <v>1.0061128307735603</v>
      </c>
      <c r="U6" s="9">
        <f t="shared" si="3"/>
        <v>1.008158733491358</v>
      </c>
      <c r="V6" s="9">
        <f t="shared" si="3"/>
        <v>1.0102087964959572</v>
      </c>
      <c r="W6" s="9">
        <f t="shared" si="3"/>
        <v>1.0122630282471865</v>
      </c>
      <c r="X6" s="9">
        <f t="shared" si="3"/>
        <v>1.0143214372220772</v>
      </c>
      <c r="Y6" s="9">
        <f t="shared" si="3"/>
        <v>1.0163840319148987</v>
      </c>
      <c r="Z6" s="9">
        <f t="shared" si="3"/>
        <v>1.018450820837193</v>
      </c>
      <c r="AA6" s="9">
        <f t="shared" si="3"/>
        <v>1.0205218125178102</v>
      </c>
      <c r="AB6" s="9">
        <f t="shared" si="3"/>
        <v>1.0225970155029434</v>
      </c>
      <c r="AC6" s="9">
        <f t="shared" si="3"/>
        <v>1.0246764383561642</v>
      </c>
      <c r="AD6" s="9">
        <f t="shared" si="3"/>
        <v>1.0266344764582114</v>
      </c>
      <c r="AE6" s="9">
        <f t="shared" si="3"/>
        <v>1.028596256144495</v>
      </c>
      <c r="AF6" s="9">
        <f t="shared" si="3"/>
        <v>1.0305617845647495</v>
      </c>
      <c r="AG6" s="9">
        <f t="shared" si="3"/>
        <v>1.0325310688823715</v>
      </c>
      <c r="AH6" s="9">
        <f t="shared" si="3"/>
        <v>1.0345041162744464</v>
      </c>
      <c r="AI6" s="9">
        <f t="shared" si="3"/>
        <v>1.036480933931774</v>
      </c>
      <c r="AJ6" s="9">
        <f t="shared" si="3"/>
        <v>1.038461529058895</v>
      </c>
      <c r="AK6" s="9">
        <f t="shared" si="3"/>
        <v>1.0404459088741171</v>
      </c>
      <c r="AL6" s="9">
        <f t="shared" si="3"/>
        <v>1.0424340806095411</v>
      </c>
      <c r="AM6" s="9">
        <f t="shared" si="3"/>
        <v>1.0444260515110879</v>
      </c>
      <c r="AN6" s="9">
        <f t="shared" si="3"/>
        <v>1.0464218288385243</v>
      </c>
      <c r="AO6" s="9">
        <f t="shared" si="3"/>
        <v>1.0484214198654898</v>
      </c>
      <c r="AP6" s="9">
        <f t="shared" si="3"/>
        <v>1.0502772153088298</v>
      </c>
      <c r="AQ6" s="9">
        <f t="shared" si="3"/>
        <v>1.0521362956685805</v>
      </c>
      <c r="AR6" s="9">
        <f t="shared" si="3"/>
        <v>1.0539986667593246</v>
      </c>
      <c r="AS6" s="9">
        <f t="shared" si="3"/>
        <v>1.0558643344059369</v>
      </c>
      <c r="AT6" s="9">
        <f t="shared" si="3"/>
        <v>1.0577333044436028</v>
      </c>
      <c r="AU6" s="9">
        <f t="shared" si="3"/>
        <v>1.0596055827178366</v>
      </c>
      <c r="AV6" s="9">
        <f t="shared" si="3"/>
        <v>1.0614811750844992</v>
      </c>
      <c r="AW6" s="9">
        <f t="shared" si="3"/>
        <v>1.0633600874098175</v>
      </c>
      <c r="AX6" s="9">
        <f t="shared" si="3"/>
        <v>1.0652423255704018</v>
      </c>
      <c r="AY6" s="9">
        <f t="shared" si="3"/>
        <v>1.0671278954532644</v>
      </c>
      <c r="AZ6" s="9">
        <f t="shared" si="3"/>
        <v>1.0690168029558382</v>
      </c>
      <c r="BA6" s="9">
        <f t="shared" si="3"/>
        <v>1.0709090539859953</v>
      </c>
      <c r="BB6" s="9">
        <f t="shared" si="3"/>
        <v>1.0726425661309595</v>
      </c>
      <c r="BC6" s="9">
        <f t="shared" si="3"/>
        <v>1.0743788843632807</v>
      </c>
      <c r="BD6" s="9">
        <f t="shared" si="3"/>
        <v>1.0761180132252552</v>
      </c>
      <c r="BE6" s="9">
        <f t="shared" si="3"/>
        <v>1.0778599572665326</v>
      </c>
      <c r="BF6" s="9">
        <f t="shared" si="3"/>
        <v>1.0796047210441266</v>
      </c>
      <c r="BG6" s="9">
        <f t="shared" si="3"/>
        <v>1.0813523091224277</v>
      </c>
      <c r="BH6" s="9">
        <f t="shared" si="3"/>
        <v>1.0831027260732153</v>
      </c>
      <c r="BI6" s="9">
        <f t="shared" si="3"/>
        <v>1.0848559764756687</v>
      </c>
      <c r="BJ6" s="9">
        <f t="shared" si="3"/>
        <v>1.0866120649163797</v>
      </c>
      <c r="BK6" s="9">
        <f t="shared" si="3"/>
        <v>1.088370995989365</v>
      </c>
      <c r="BL6" s="9">
        <f t="shared" si="3"/>
        <v>1.0901327742960774</v>
      </c>
      <c r="BM6" s="9">
        <f t="shared" si="3"/>
        <v>1.0918974044454182</v>
      </c>
      <c r="BN6" s="9">
        <f t="shared" si="3"/>
        <v>1.0936471590338415</v>
      </c>
      <c r="BO6" s="9">
        <f t="shared" si="3"/>
        <v>1.0953997175863617</v>
      </c>
      <c r="BP6" s="9">
        <f t="shared" si="3"/>
        <v>1.0971550845963032</v>
      </c>
      <c r="BQ6" s="9">
        <f t="shared" si="3"/>
        <v>1.0989132645641906</v>
      </c>
      <c r="BR6" s="9">
        <f t="shared" si="3"/>
        <v>1.1006742619977608</v>
      </c>
      <c r="BS6" s="9">
        <f t="shared" si="3"/>
        <v>1.1024380814119741</v>
      </c>
      <c r="BT6" s="9">
        <f t="shared" si="3"/>
        <v>1.1042047273290261</v>
      </c>
      <c r="BU6" s="9">
        <f t="shared" si="3"/>
        <v>1.1059742042783589</v>
      </c>
      <c r="BV6" s="9">
        <f t="shared" si="3"/>
        <v>1.1077465167966736</v>
      </c>
      <c r="BW6" s="9">
        <f t="shared" si="3"/>
        <v>1.1095216694279406</v>
      </c>
      <c r="BX6" s="9">
        <f t="shared" si="3"/>
        <v>1.1112996667234123</v>
      </c>
      <c r="BY6" s="9">
        <f t="shared" si="3"/>
        <v>1.1130805132416346</v>
      </c>
    </row>
    <row r="7" spans="2:80" hidden="1" x14ac:dyDescent="0.3">
      <c r="E7" s="3" t="s">
        <v>220</v>
      </c>
      <c r="J7" s="81">
        <v>0</v>
      </c>
      <c r="K7" s="81">
        <v>0</v>
      </c>
      <c r="L7" s="81">
        <v>0</v>
      </c>
      <c r="M7" s="81">
        <v>0</v>
      </c>
      <c r="N7" s="81">
        <v>0</v>
      </c>
      <c r="Q7" s="253">
        <v>1</v>
      </c>
      <c r="R7" s="9">
        <f>Q7*(1+INDEX($J7:$N7,MATCH(R$2,$J$3:$N$3,0)))^(1/12)</f>
        <v>1</v>
      </c>
      <c r="S7" s="9">
        <f t="shared" ref="S7:BY7" si="4">R7*(1+INDEX($J7:$N7,MATCH(S$2,$J$3:$N$3,0)))^(1/12)</f>
        <v>1</v>
      </c>
      <c r="T7" s="9">
        <f t="shared" si="4"/>
        <v>1</v>
      </c>
      <c r="U7" s="9">
        <f t="shared" si="4"/>
        <v>1</v>
      </c>
      <c r="V7" s="9">
        <f t="shared" si="4"/>
        <v>1</v>
      </c>
      <c r="W7" s="9">
        <f t="shared" si="4"/>
        <v>1</v>
      </c>
      <c r="X7" s="9">
        <f t="shared" si="4"/>
        <v>1</v>
      </c>
      <c r="Y7" s="9">
        <f t="shared" si="4"/>
        <v>1</v>
      </c>
      <c r="Z7" s="9">
        <f t="shared" si="4"/>
        <v>1</v>
      </c>
      <c r="AA7" s="9">
        <f t="shared" si="4"/>
        <v>1</v>
      </c>
      <c r="AB7" s="9">
        <f t="shared" si="4"/>
        <v>1</v>
      </c>
      <c r="AC7" s="9">
        <f t="shared" si="4"/>
        <v>1</v>
      </c>
      <c r="AD7" s="9">
        <f t="shared" si="4"/>
        <v>1</v>
      </c>
      <c r="AE7" s="9">
        <f t="shared" si="4"/>
        <v>1</v>
      </c>
      <c r="AF7" s="9">
        <f t="shared" si="4"/>
        <v>1</v>
      </c>
      <c r="AG7" s="9">
        <f t="shared" si="4"/>
        <v>1</v>
      </c>
      <c r="AH7" s="9">
        <f t="shared" si="4"/>
        <v>1</v>
      </c>
      <c r="AI7" s="9">
        <f t="shared" si="4"/>
        <v>1</v>
      </c>
      <c r="AJ7" s="9">
        <f t="shared" si="4"/>
        <v>1</v>
      </c>
      <c r="AK7" s="9">
        <f t="shared" si="4"/>
        <v>1</v>
      </c>
      <c r="AL7" s="9">
        <f t="shared" si="4"/>
        <v>1</v>
      </c>
      <c r="AM7" s="9">
        <f t="shared" si="4"/>
        <v>1</v>
      </c>
      <c r="AN7" s="9">
        <f t="shared" si="4"/>
        <v>1</v>
      </c>
      <c r="AO7" s="9">
        <f t="shared" si="4"/>
        <v>1</v>
      </c>
      <c r="AP7" s="9">
        <f t="shared" si="4"/>
        <v>1</v>
      </c>
      <c r="AQ7" s="9">
        <f t="shared" si="4"/>
        <v>1</v>
      </c>
      <c r="AR7" s="9">
        <f t="shared" si="4"/>
        <v>1</v>
      </c>
      <c r="AS7" s="9">
        <f t="shared" si="4"/>
        <v>1</v>
      </c>
      <c r="AT7" s="9">
        <f t="shared" si="4"/>
        <v>1</v>
      </c>
      <c r="AU7" s="9">
        <f t="shared" si="4"/>
        <v>1</v>
      </c>
      <c r="AV7" s="9">
        <f t="shared" si="4"/>
        <v>1</v>
      </c>
      <c r="AW7" s="9">
        <f t="shared" si="4"/>
        <v>1</v>
      </c>
      <c r="AX7" s="9">
        <f t="shared" si="4"/>
        <v>1</v>
      </c>
      <c r="AY7" s="9">
        <f t="shared" si="4"/>
        <v>1</v>
      </c>
      <c r="AZ7" s="9">
        <f t="shared" si="4"/>
        <v>1</v>
      </c>
      <c r="BA7" s="9">
        <f t="shared" si="4"/>
        <v>1</v>
      </c>
      <c r="BB7" s="9">
        <f t="shared" si="4"/>
        <v>1</v>
      </c>
      <c r="BC7" s="9">
        <f t="shared" si="4"/>
        <v>1</v>
      </c>
      <c r="BD7" s="9">
        <f t="shared" si="4"/>
        <v>1</v>
      </c>
      <c r="BE7" s="9">
        <f t="shared" si="4"/>
        <v>1</v>
      </c>
      <c r="BF7" s="9">
        <f t="shared" si="4"/>
        <v>1</v>
      </c>
      <c r="BG7" s="9">
        <f t="shared" si="4"/>
        <v>1</v>
      </c>
      <c r="BH7" s="9">
        <f t="shared" si="4"/>
        <v>1</v>
      </c>
      <c r="BI7" s="9">
        <f t="shared" si="4"/>
        <v>1</v>
      </c>
      <c r="BJ7" s="9">
        <f t="shared" si="4"/>
        <v>1</v>
      </c>
      <c r="BK7" s="9">
        <f t="shared" si="4"/>
        <v>1</v>
      </c>
      <c r="BL7" s="9">
        <f t="shared" si="4"/>
        <v>1</v>
      </c>
      <c r="BM7" s="9">
        <f t="shared" si="4"/>
        <v>1</v>
      </c>
      <c r="BN7" s="9">
        <f t="shared" si="4"/>
        <v>1</v>
      </c>
      <c r="BO7" s="9">
        <f t="shared" si="4"/>
        <v>1</v>
      </c>
      <c r="BP7" s="9">
        <f t="shared" si="4"/>
        <v>1</v>
      </c>
      <c r="BQ7" s="9">
        <f t="shared" si="4"/>
        <v>1</v>
      </c>
      <c r="BR7" s="9">
        <f t="shared" si="4"/>
        <v>1</v>
      </c>
      <c r="BS7" s="9">
        <f t="shared" si="4"/>
        <v>1</v>
      </c>
      <c r="BT7" s="9">
        <f t="shared" si="4"/>
        <v>1</v>
      </c>
      <c r="BU7" s="9">
        <f t="shared" si="4"/>
        <v>1</v>
      </c>
      <c r="BV7" s="9">
        <f t="shared" si="4"/>
        <v>1</v>
      </c>
      <c r="BW7" s="9">
        <f t="shared" si="4"/>
        <v>1</v>
      </c>
      <c r="BX7" s="9">
        <f t="shared" si="4"/>
        <v>1</v>
      </c>
      <c r="BY7" s="9">
        <f t="shared" si="4"/>
        <v>1</v>
      </c>
    </row>
    <row r="8" spans="2:80" x14ac:dyDescent="0.3">
      <c r="E8" s="3" t="s">
        <v>40</v>
      </c>
      <c r="J8" s="81">
        <f>'Detailed Assumptions'!F40</f>
        <v>3.5127123287671237E-2</v>
      </c>
      <c r="K8" s="81">
        <f>'Detailed Assumptions'!G40</f>
        <v>3.3197534246575344E-2</v>
      </c>
      <c r="L8" s="81">
        <f>'Detailed Assumptions'!H40</f>
        <v>3.1849589041095888E-2</v>
      </c>
      <c r="M8" s="81">
        <f>'Detailed Assumptions'!I40</f>
        <v>2.576958904109589E-2</v>
      </c>
      <c r="N8" s="81">
        <f>'Detailed Assumptions'!J40</f>
        <v>2.1623013698630136E-2</v>
      </c>
      <c r="Q8" s="253">
        <v>1</v>
      </c>
      <c r="R8" s="9">
        <f t="shared" ref="R8:BY8" si="5">Q8*(1+INDEX($J8:$N8,MATCH(R$2,$J$3:$N$3,0)))^(1/12)</f>
        <v>1.0028811628953591</v>
      </c>
      <c r="S8" s="9">
        <f t="shared" si="5"/>
        <v>1.0057706268903479</v>
      </c>
      <c r="T8" s="9">
        <f t="shared" si="5"/>
        <v>1.0086684159017865</v>
      </c>
      <c r="U8" s="9">
        <f t="shared" si="5"/>
        <v>1.0115745539154033</v>
      </c>
      <c r="V8" s="9">
        <f t="shared" si="5"/>
        <v>1.0144890649860339</v>
      </c>
      <c r="W8" s="9">
        <f t="shared" si="5"/>
        <v>1.0174119732378193</v>
      </c>
      <c r="X8" s="9">
        <f t="shared" si="5"/>
        <v>1.0203433028644062</v>
      </c>
      <c r="Y8" s="9">
        <f t="shared" si="5"/>
        <v>1.0232830781291473</v>
      </c>
      <c r="Z8" s="9">
        <f t="shared" si="5"/>
        <v>1.026231323365302</v>
      </c>
      <c r="AA8" s="9">
        <f t="shared" si="5"/>
        <v>1.0291880629762373</v>
      </c>
      <c r="AB8" s="9">
        <f t="shared" si="5"/>
        <v>1.0321533214356309</v>
      </c>
      <c r="AC8" s="9">
        <f t="shared" si="5"/>
        <v>1.0351271232876729</v>
      </c>
      <c r="AD8" s="9">
        <f t="shared" si="5"/>
        <v>1.0379480928280096</v>
      </c>
      <c r="AE8" s="9">
        <f t="shared" si="5"/>
        <v>1.0407767501865557</v>
      </c>
      <c r="AF8" s="9">
        <f t="shared" si="5"/>
        <v>1.0436131163144586</v>
      </c>
      <c r="AG8" s="9">
        <f t="shared" si="5"/>
        <v>1.0464572122199629</v>
      </c>
      <c r="AH8" s="9">
        <f t="shared" si="5"/>
        <v>1.0493090589685654</v>
      </c>
      <c r="AI8" s="9">
        <f t="shared" si="5"/>
        <v>1.0521686776831713</v>
      </c>
      <c r="AJ8" s="9">
        <f t="shared" si="5"/>
        <v>1.0550360895442512</v>
      </c>
      <c r="AK8" s="9">
        <f t="shared" si="5"/>
        <v>1.0579113157899971</v>
      </c>
      <c r="AL8" s="9">
        <f t="shared" si="5"/>
        <v>1.0607943777164806</v>
      </c>
      <c r="AM8" s="9">
        <f t="shared" si="5"/>
        <v>1.0636852966778099</v>
      </c>
      <c r="AN8" s="9">
        <f t="shared" si="5"/>
        <v>1.0665840940862883</v>
      </c>
      <c r="AO8" s="9">
        <f t="shared" si="5"/>
        <v>1.0694907914125729</v>
      </c>
      <c r="AP8" s="9">
        <f t="shared" si="5"/>
        <v>1.0722887489813426</v>
      </c>
      <c r="AQ8" s="9">
        <f t="shared" si="5"/>
        <v>1.0750940264509656</v>
      </c>
      <c r="AR8" s="9">
        <f t="shared" si="5"/>
        <v>1.0779066429714637</v>
      </c>
      <c r="AS8" s="9">
        <f t="shared" si="5"/>
        <v>1.0807266177429582</v>
      </c>
      <c r="AT8" s="9">
        <f t="shared" si="5"/>
        <v>1.083553970015801</v>
      </c>
      <c r="AU8" s="9">
        <f t="shared" si="5"/>
        <v>1.086388719090706</v>
      </c>
      <c r="AV8" s="9">
        <f t="shared" si="5"/>
        <v>1.0892308843188807</v>
      </c>
      <c r="AW8" s="9">
        <f t="shared" si="5"/>
        <v>1.0920804851021586</v>
      </c>
      <c r="AX8" s="9">
        <f t="shared" si="5"/>
        <v>1.0949375408931312</v>
      </c>
      <c r="AY8" s="9">
        <f t="shared" si="5"/>
        <v>1.0978020711952816</v>
      </c>
      <c r="AZ8" s="9">
        <f t="shared" si="5"/>
        <v>1.1006740955631165</v>
      </c>
      <c r="BA8" s="9">
        <f t="shared" si="5"/>
        <v>1.1035536336023006</v>
      </c>
      <c r="BB8" s="9">
        <f t="shared" si="5"/>
        <v>1.1058959392110457</v>
      </c>
      <c r="BC8" s="9">
        <f t="shared" si="5"/>
        <v>1.1082432163910834</v>
      </c>
      <c r="BD8" s="9">
        <f t="shared" si="5"/>
        <v>1.1105954756946324</v>
      </c>
      <c r="BE8" s="9">
        <f t="shared" si="5"/>
        <v>1.1129527276963087</v>
      </c>
      <c r="BF8" s="9">
        <f t="shared" si="5"/>
        <v>1.1153149829931732</v>
      </c>
      <c r="BG8" s="9">
        <f t="shared" si="5"/>
        <v>1.1176822522047787</v>
      </c>
      <c r="BH8" s="9">
        <f t="shared" si="5"/>
        <v>1.1200545459732185</v>
      </c>
      <c r="BI8" s="9">
        <f t="shared" si="5"/>
        <v>1.1224318749631739</v>
      </c>
      <c r="BJ8" s="9">
        <f t="shared" si="5"/>
        <v>1.1248142498619618</v>
      </c>
      <c r="BK8" s="9">
        <f t="shared" si="5"/>
        <v>1.1272016813795833</v>
      </c>
      <c r="BL8" s="9">
        <f t="shared" si="5"/>
        <v>1.1295941802487717</v>
      </c>
      <c r="BM8" s="9">
        <f t="shared" si="5"/>
        <v>1.1319917572250402</v>
      </c>
      <c r="BN8" s="9">
        <f t="shared" si="5"/>
        <v>1.1340115731662339</v>
      </c>
      <c r="BO8" s="9">
        <f t="shared" si="5"/>
        <v>1.1360349930704514</v>
      </c>
      <c r="BP8" s="9">
        <f t="shared" si="5"/>
        <v>1.1380620233682537</v>
      </c>
      <c r="BQ8" s="9">
        <f t="shared" si="5"/>
        <v>1.1400926705016756</v>
      </c>
      <c r="BR8" s="9">
        <f t="shared" si="5"/>
        <v>1.1421269409242469</v>
      </c>
      <c r="BS8" s="9">
        <f t="shared" si="5"/>
        <v>1.1441648411010121</v>
      </c>
      <c r="BT8" s="9">
        <f t="shared" si="5"/>
        <v>1.1462063775085514</v>
      </c>
      <c r="BU8" s="9">
        <f t="shared" si="5"/>
        <v>1.1482515566350009</v>
      </c>
      <c r="BV8" s="9">
        <f t="shared" si="5"/>
        <v>1.1503003849800741</v>
      </c>
      <c r="BW8" s="9">
        <f t="shared" si="5"/>
        <v>1.1523528690550815</v>
      </c>
      <c r="BX8" s="9">
        <f t="shared" si="5"/>
        <v>1.1544090153829518</v>
      </c>
      <c r="BY8" s="9">
        <f t="shared" si="5"/>
        <v>1.1564688304982527</v>
      </c>
    </row>
    <row r="9" spans="2:80" x14ac:dyDescent="0.3"/>
    <row r="10" spans="2:80" x14ac:dyDescent="0.3"/>
    <row r="11" spans="2:80" x14ac:dyDescent="0.3"/>
  </sheetData>
  <phoneticPr fontId="42" type="noConversion"/>
  <pageMargins left="0.7" right="0.7" top="0.75" bottom="0.75" header="0.3" footer="0.3"/>
  <pageSetup paperSize="9"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8F9E6D-2D58-48E1-AC99-DEFD34E65B7C}">
  <sheetPr codeName="Sheet95">
    <pageSetUpPr fitToPage="1"/>
  </sheetPr>
  <dimension ref="A3:L28"/>
  <sheetViews>
    <sheetView showGridLines="0" view="pageBreakPreview" zoomScaleNormal="100" zoomScaleSheetLayoutView="100" workbookViewId="0"/>
  </sheetViews>
  <sheetFormatPr defaultColWidth="9.33203125" defaultRowHeight="13.15" customHeight="1" x14ac:dyDescent="0.3"/>
  <cols>
    <col min="1" max="1" width="5.6640625" style="3" customWidth="1"/>
    <col min="2" max="2" width="1.6640625" style="3" customWidth="1"/>
    <col min="3" max="10" width="25.83203125" style="3" customWidth="1"/>
    <col min="11" max="11" width="1.6640625" style="3" customWidth="1"/>
    <col min="12" max="12" width="9.33203125" style="3"/>
    <col min="13" max="13" width="9.33203125" style="3" customWidth="1"/>
    <col min="14" max="16384" width="9.33203125" style="3"/>
  </cols>
  <sheetData>
    <row r="3" spans="1:12" ht="13.15" customHeight="1" x14ac:dyDescent="0.3">
      <c r="C3" s="28" t="s">
        <v>359</v>
      </c>
      <c r="D3" s="28"/>
      <c r="E3" s="28"/>
      <c r="F3" s="28"/>
      <c r="G3" s="28"/>
      <c r="H3" s="28"/>
      <c r="I3" s="28"/>
      <c r="J3" s="28"/>
      <c r="K3" s="25"/>
      <c r="L3" s="25"/>
    </row>
    <row r="5" spans="1:12" ht="13.15" customHeight="1" x14ac:dyDescent="0.3">
      <c r="C5" s="220" t="s">
        <v>67</v>
      </c>
      <c r="D5" s="221" t="s">
        <v>38</v>
      </c>
      <c r="E5" s="222" t="s">
        <v>187</v>
      </c>
      <c r="F5" s="216"/>
      <c r="G5" s="318" t="s">
        <v>288</v>
      </c>
      <c r="H5" s="327"/>
    </row>
    <row r="6" spans="1:12" ht="13.15" customHeight="1" x14ac:dyDescent="0.3">
      <c r="C6" s="223" t="str">
        <f>E6&amp;" - "&amp;D6</f>
        <v>Portfolio - Value</v>
      </c>
      <c r="D6" s="224" t="s">
        <v>44</v>
      </c>
      <c r="E6" s="225" t="s">
        <v>39</v>
      </c>
      <c r="F6" s="82"/>
      <c r="G6" s="82"/>
      <c r="H6" s="82"/>
    </row>
    <row r="7" spans="1:12" ht="13.15" customHeight="1" x14ac:dyDescent="0.3">
      <c r="C7" s="226" t="str">
        <f>E7&amp;" - "&amp;D7</f>
        <v>Portfolio - Mid-Market</v>
      </c>
      <c r="D7" s="82" t="s">
        <v>46</v>
      </c>
      <c r="E7" s="227" t="s">
        <v>39</v>
      </c>
      <c r="F7" s="82"/>
      <c r="G7" s="82"/>
      <c r="H7" s="82"/>
    </row>
    <row r="8" spans="1:12" ht="13.15" customHeight="1" x14ac:dyDescent="0.3">
      <c r="C8" s="226" t="str">
        <f>E8&amp;" - "&amp;D8</f>
        <v>Portfolio - Upper Mid-Market</v>
      </c>
      <c r="D8" s="82" t="s">
        <v>45</v>
      </c>
      <c r="E8" s="227" t="s">
        <v>39</v>
      </c>
      <c r="F8" s="82"/>
      <c r="G8" s="82"/>
      <c r="H8" s="82"/>
    </row>
    <row r="9" spans="1:12" ht="13.15" customHeight="1" x14ac:dyDescent="0.3">
      <c r="C9" s="226" t="str">
        <f>E9&amp;" - "&amp;D9</f>
        <v>Portfolio - Premium</v>
      </c>
      <c r="D9" s="82" t="s">
        <v>47</v>
      </c>
      <c r="E9" s="227" t="s">
        <v>39</v>
      </c>
      <c r="F9" s="82"/>
      <c r="G9" s="82"/>
      <c r="H9" s="82"/>
    </row>
    <row r="10" spans="1:12" ht="13.15" customHeight="1" x14ac:dyDescent="0.3">
      <c r="C10" s="224"/>
      <c r="D10" s="224"/>
      <c r="E10" s="224"/>
      <c r="F10" s="82"/>
      <c r="G10" s="82"/>
      <c r="H10" s="82"/>
      <c r="I10" s="82"/>
    </row>
    <row r="11" spans="1:12" ht="13.15" customHeight="1" x14ac:dyDescent="0.3">
      <c r="C11" s="299" t="s">
        <v>58</v>
      </c>
      <c r="D11" s="299"/>
      <c r="E11" s="298" t="s">
        <v>36</v>
      </c>
      <c r="F11" s="82"/>
      <c r="G11" s="82"/>
      <c r="H11" s="82"/>
      <c r="I11" s="82"/>
    </row>
    <row r="12" spans="1:12" ht="13.15" customHeight="1" x14ac:dyDescent="0.3">
      <c r="A12" s="3" t="s">
        <v>39</v>
      </c>
      <c r="C12" s="228" t="str">
        <f>C6</f>
        <v>Portfolio - Value</v>
      </c>
      <c r="D12" s="217"/>
      <c r="E12" s="265">
        <v>39</v>
      </c>
      <c r="F12" s="82"/>
      <c r="G12" s="82"/>
      <c r="H12" s="82"/>
      <c r="I12" s="82"/>
    </row>
    <row r="13" spans="1:12" ht="13.15" customHeight="1" x14ac:dyDescent="0.3">
      <c r="A13" s="3" t="s">
        <v>39</v>
      </c>
      <c r="C13" s="229" t="str">
        <f>C7</f>
        <v>Portfolio - Mid-Market</v>
      </c>
      <c r="D13" s="2"/>
      <c r="E13" s="266">
        <v>123</v>
      </c>
      <c r="F13" s="82"/>
      <c r="G13" s="82"/>
      <c r="H13" s="82"/>
      <c r="I13" s="82"/>
    </row>
    <row r="14" spans="1:12" ht="13.15" customHeight="1" x14ac:dyDescent="0.3">
      <c r="A14" s="3" t="s">
        <v>39</v>
      </c>
      <c r="C14" s="229" t="str">
        <f>C8</f>
        <v>Portfolio - Upper Mid-Market</v>
      </c>
      <c r="D14" s="2"/>
      <c r="E14" s="266">
        <v>115</v>
      </c>
      <c r="F14" s="82"/>
      <c r="G14" s="82"/>
      <c r="H14" s="82"/>
      <c r="I14" s="82"/>
    </row>
    <row r="15" spans="1:12" ht="13.15" customHeight="1" x14ac:dyDescent="0.3">
      <c r="A15" s="3" t="s">
        <v>39</v>
      </c>
      <c r="C15" s="229" t="str">
        <f>C9</f>
        <v>Portfolio - Premium</v>
      </c>
      <c r="D15" s="2"/>
      <c r="E15" s="266">
        <v>31</v>
      </c>
      <c r="F15" s="82"/>
      <c r="G15" s="82"/>
      <c r="H15" s="82"/>
      <c r="I15" s="82"/>
    </row>
    <row r="16" spans="1:12" ht="13.15" customHeight="1" x14ac:dyDescent="0.3">
      <c r="C16" s="230" t="s">
        <v>36</v>
      </c>
      <c r="D16" s="231"/>
      <c r="E16" s="232">
        <f>SUM(E12:E15)</f>
        <v>308</v>
      </c>
      <c r="F16" s="82"/>
      <c r="G16" s="82"/>
      <c r="H16" s="82"/>
      <c r="I16" s="82"/>
    </row>
    <row r="17" spans="3:10" ht="13.15" customHeight="1" x14ac:dyDescent="0.3">
      <c r="E17" s="27"/>
    </row>
    <row r="18" spans="3:10" ht="13.15" customHeight="1" x14ac:dyDescent="0.3">
      <c r="C18" s="250" t="s">
        <v>186</v>
      </c>
      <c r="D18" s="167"/>
      <c r="E18" s="31"/>
    </row>
    <row r="19" spans="3:10" ht="13.15" customHeight="1" x14ac:dyDescent="0.3">
      <c r="C19" s="282" t="s">
        <v>39</v>
      </c>
      <c r="E19" s="251" cm="1">
        <f t="array" ref="E19">SUMPRODUCT(($A$12:$A$15=$C19)*($E$12:$E$15))</f>
        <v>308</v>
      </c>
    </row>
    <row r="20" spans="3:10" ht="13.15" customHeight="1" x14ac:dyDescent="0.3">
      <c r="C20" s="252" t="s">
        <v>36</v>
      </c>
      <c r="D20" s="231"/>
      <c r="E20" s="246">
        <f>SUM(E19:E19)</f>
        <v>308</v>
      </c>
    </row>
    <row r="22" spans="3:10" ht="13.15" customHeight="1" x14ac:dyDescent="0.3">
      <c r="F22" s="27" t="s">
        <v>43</v>
      </c>
      <c r="G22" s="27">
        <v>0</v>
      </c>
      <c r="H22" s="96" t="s">
        <v>225</v>
      </c>
      <c r="I22" s="284"/>
      <c r="J22" s="284"/>
    </row>
    <row r="23" spans="3:10" ht="13.15" customHeight="1" x14ac:dyDescent="0.3">
      <c r="C23" s="167" t="s">
        <v>188</v>
      </c>
      <c r="D23" s="233" t="s">
        <v>36</v>
      </c>
      <c r="E23" s="234" t="s">
        <v>40</v>
      </c>
      <c r="F23" s="235" t="s">
        <v>42</v>
      </c>
      <c r="G23" s="236" t="s">
        <v>268</v>
      </c>
      <c r="H23" s="234" t="s">
        <v>40</v>
      </c>
      <c r="I23" s="235" t="s">
        <v>189</v>
      </c>
      <c r="J23" s="236" t="s">
        <v>41</v>
      </c>
    </row>
    <row r="24" spans="3:10" ht="13.15" customHeight="1" x14ac:dyDescent="0.3">
      <c r="C24" s="223" t="str">
        <f>C12</f>
        <v>Portfolio - Value</v>
      </c>
      <c r="D24" s="237">
        <f>SUM(E24:G24)</f>
        <v>39</v>
      </c>
      <c r="E24" s="238">
        <v>14</v>
      </c>
      <c r="F24" s="33">
        <v>14</v>
      </c>
      <c r="G24" s="239">
        <v>11</v>
      </c>
      <c r="H24" s="240">
        <f>IFERROR(E24/($D24),0)</f>
        <v>0.35897435897435898</v>
      </c>
      <c r="I24" s="241">
        <f>IFERROR((F24+$G24)/($D24),0)</f>
        <v>0.64102564102564108</v>
      </c>
      <c r="J24" s="242">
        <v>0</v>
      </c>
    </row>
    <row r="25" spans="3:10" ht="13.15" customHeight="1" x14ac:dyDescent="0.3">
      <c r="C25" s="226" t="str">
        <f>C13</f>
        <v>Portfolio - Mid-Market</v>
      </c>
      <c r="D25" s="237">
        <f>SUM(E25:G25)</f>
        <v>123</v>
      </c>
      <c r="E25" s="238">
        <v>57</v>
      </c>
      <c r="F25" s="33">
        <v>34</v>
      </c>
      <c r="G25" s="239">
        <v>32</v>
      </c>
      <c r="H25" s="240">
        <f>IFERROR(E25/($D25),0)</f>
        <v>0.46341463414634149</v>
      </c>
      <c r="I25" s="241">
        <f>IFERROR((F25+$G25)/($D25),0)</f>
        <v>0.53658536585365857</v>
      </c>
      <c r="J25" s="242">
        <v>0</v>
      </c>
    </row>
    <row r="26" spans="3:10" ht="13.15" customHeight="1" x14ac:dyDescent="0.3">
      <c r="C26" s="226" t="str">
        <f>C14</f>
        <v>Portfolio - Upper Mid-Market</v>
      </c>
      <c r="D26" s="237">
        <f>SUM(E26:G26)</f>
        <v>115</v>
      </c>
      <c r="E26" s="238">
        <v>58</v>
      </c>
      <c r="F26" s="33">
        <v>27</v>
      </c>
      <c r="G26" s="239">
        <v>30</v>
      </c>
      <c r="H26" s="240">
        <f>IFERROR(E26/($D26),0)</f>
        <v>0.5043478260869565</v>
      </c>
      <c r="I26" s="241">
        <f>IFERROR((F26+$G26)/($D26),0)</f>
        <v>0.4956521739130435</v>
      </c>
      <c r="J26" s="242">
        <v>0</v>
      </c>
    </row>
    <row r="27" spans="3:10" ht="13.15" customHeight="1" x14ac:dyDescent="0.3">
      <c r="C27" s="226" t="str">
        <f>C15</f>
        <v>Portfolio - Premium</v>
      </c>
      <c r="D27" s="237">
        <f>SUM(E27:G27)</f>
        <v>31</v>
      </c>
      <c r="E27" s="238">
        <v>18</v>
      </c>
      <c r="F27" s="33">
        <v>3</v>
      </c>
      <c r="G27" s="239">
        <v>10</v>
      </c>
      <c r="H27" s="240">
        <f>IFERROR(E27/($D27),0)</f>
        <v>0.58064516129032262</v>
      </c>
      <c r="I27" s="241">
        <f>IFERROR((F27+$G27)/($D27),0)</f>
        <v>0.41935483870967744</v>
      </c>
      <c r="J27" s="242">
        <v>0</v>
      </c>
    </row>
    <row r="28" spans="3:10" ht="13.15" customHeight="1" x14ac:dyDescent="0.3">
      <c r="C28" s="230" t="s">
        <v>36</v>
      </c>
      <c r="D28" s="243">
        <f>SUM(D24:D27)</f>
        <v>308</v>
      </c>
      <c r="E28" s="244">
        <f>SUM(E24:E27)</f>
        <v>147</v>
      </c>
      <c r="F28" s="245">
        <f>SUM(F24:F27)</f>
        <v>78</v>
      </c>
      <c r="G28" s="246">
        <f>SUM(G24:G27)</f>
        <v>83</v>
      </c>
      <c r="H28" s="247">
        <f>IFERROR(E28/($D28),0)</f>
        <v>0.47727272727272729</v>
      </c>
      <c r="I28" s="248">
        <f>IFERROR((F28+$G28)/($D28),0)</f>
        <v>0.52272727272727271</v>
      </c>
      <c r="J28" s="249">
        <v>0</v>
      </c>
    </row>
  </sheetData>
  <pageMargins left="0.7" right="0.7" top="0.75" bottom="0.75" header="0.3" footer="0.3"/>
  <pageSetup scale="53"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382AFD-AADE-44C3-9C80-9A1196A68BF2}">
  <sheetPr codeName="Sheet101"/>
  <dimension ref="B2:BZ75"/>
  <sheetViews>
    <sheetView showGridLines="0" zoomScaleNormal="100" workbookViewId="0"/>
  </sheetViews>
  <sheetFormatPr defaultColWidth="8.6640625" defaultRowHeight="13.5" x14ac:dyDescent="0.3"/>
  <cols>
    <col min="1" max="3" width="1.6640625" style="3" customWidth="1"/>
    <col min="4" max="4" width="30" style="3" bestFit="1" customWidth="1"/>
    <col min="5" max="11" width="15.1640625" style="3" customWidth="1"/>
    <col min="12" max="13" width="1.6640625" style="3" customWidth="1"/>
    <col min="14" max="14" width="14.6640625" style="3" customWidth="1"/>
    <col min="15" max="15" width="9.33203125" style="3" bestFit="1" customWidth="1"/>
    <col min="16" max="16" width="1.6640625" style="3" customWidth="1"/>
    <col min="17" max="16384" width="8.6640625" style="3"/>
  </cols>
  <sheetData>
    <row r="2" spans="2:78" s="88" customFormat="1" x14ac:dyDescent="0.2">
      <c r="B2" s="48" t="s">
        <v>37</v>
      </c>
      <c r="D2" s="49" t="s">
        <v>236</v>
      </c>
      <c r="E2" s="49"/>
      <c r="F2" s="49"/>
      <c r="G2" s="49"/>
      <c r="H2" s="49"/>
      <c r="I2" s="49"/>
      <c r="J2" s="49"/>
      <c r="K2" s="49"/>
      <c r="L2" s="49"/>
      <c r="M2" s="49"/>
      <c r="N2" s="49"/>
      <c r="O2" s="49"/>
      <c r="P2" s="49"/>
      <c r="Q2" s="49"/>
      <c r="R2" s="49"/>
      <c r="S2" s="49"/>
      <c r="T2" s="49"/>
      <c r="U2" s="49"/>
      <c r="V2" s="49"/>
      <c r="W2" s="49"/>
      <c r="X2" s="49"/>
      <c r="Y2" s="49"/>
      <c r="Z2" s="49"/>
      <c r="AA2" s="49"/>
      <c r="AB2" s="49"/>
      <c r="AC2" s="49"/>
      <c r="AD2" s="49"/>
      <c r="AE2" s="49"/>
      <c r="AF2" s="49"/>
      <c r="AG2" s="49"/>
      <c r="AH2" s="49"/>
      <c r="AI2" s="49"/>
      <c r="AJ2" s="49"/>
      <c r="AK2" s="49"/>
      <c r="AL2" s="49"/>
      <c r="AM2" s="49"/>
      <c r="AN2" s="49"/>
      <c r="AO2" s="49"/>
      <c r="AP2" s="49"/>
      <c r="AQ2" s="49"/>
      <c r="AR2" s="49"/>
      <c r="AS2" s="49"/>
      <c r="AT2" s="49"/>
      <c r="AU2" s="49"/>
      <c r="AV2" s="49"/>
      <c r="AW2" s="49"/>
      <c r="AX2" s="49"/>
      <c r="AY2" s="49"/>
      <c r="AZ2" s="49"/>
      <c r="BA2" s="49"/>
      <c r="BB2" s="49"/>
      <c r="BC2" s="49"/>
      <c r="BD2" s="49"/>
      <c r="BE2" s="49"/>
      <c r="BF2" s="49"/>
      <c r="BG2" s="49"/>
      <c r="BH2" s="49"/>
      <c r="BI2" s="49"/>
      <c r="BJ2" s="49"/>
      <c r="BK2" s="49"/>
      <c r="BL2" s="49"/>
      <c r="BM2" s="49"/>
      <c r="BN2" s="49"/>
      <c r="BO2" s="49"/>
      <c r="BP2" s="49"/>
      <c r="BQ2" s="49"/>
      <c r="BR2" s="49"/>
      <c r="BS2" s="49"/>
      <c r="BT2" s="49"/>
      <c r="BU2" s="49"/>
      <c r="BV2" s="49"/>
      <c r="BW2" s="49"/>
      <c r="BX2" s="49"/>
      <c r="BY2" s="49"/>
      <c r="BZ2" s="49"/>
    </row>
    <row r="4" spans="2:78" x14ac:dyDescent="0.3">
      <c r="D4" s="20" t="s">
        <v>244</v>
      </c>
      <c r="E4" s="20"/>
      <c r="F4" s="21" t="str">
        <f>'Detailed Assumptions'!$E$17</f>
        <v>FY26E</v>
      </c>
      <c r="G4" s="21" t="str">
        <f>'Detailed Assumptions'!$F$17</f>
        <v>FY27E</v>
      </c>
      <c r="H4" s="21" t="str">
        <f>'Detailed Assumptions'!$G$17</f>
        <v>FY28E</v>
      </c>
      <c r="I4" s="21" t="str">
        <f>'Detailed Assumptions'!$H$17</f>
        <v>FY29E</v>
      </c>
      <c r="J4" s="21" t="str">
        <f>'Detailed Assumptions'!$I$17</f>
        <v>FY30E</v>
      </c>
      <c r="K4" s="21" t="str">
        <f>'Detailed Assumptions'!$J$17</f>
        <v>FY31E</v>
      </c>
      <c r="M4" s="350"/>
      <c r="N4" s="351" t="s">
        <v>281</v>
      </c>
      <c r="O4" s="352"/>
      <c r="P4" s="353"/>
    </row>
    <row r="5" spans="2:78" x14ac:dyDescent="0.3">
      <c r="D5" s="3" t="s">
        <v>245</v>
      </c>
      <c r="F5" s="319">
        <f>EDATE(G5,-12)</f>
        <v>45931</v>
      </c>
      <c r="G5" s="401">
        <f>'Detailed Assumptions'!E12</f>
        <v>46296</v>
      </c>
      <c r="H5" s="319">
        <f>EDATE(G5,12)</f>
        <v>46661</v>
      </c>
      <c r="I5" s="319">
        <f>EDATE(H5,12)</f>
        <v>47027</v>
      </c>
      <c r="J5" s="319">
        <f>EDATE(I5,12)</f>
        <v>47392</v>
      </c>
      <c r="K5" s="319">
        <f>EDATE(J5,12)</f>
        <v>47757</v>
      </c>
      <c r="M5" s="354"/>
      <c r="N5" s="3" t="s">
        <v>276</v>
      </c>
      <c r="O5" s="348">
        <f>G5</f>
        <v>46296</v>
      </c>
      <c r="P5" s="355"/>
    </row>
    <row r="6" spans="2:78" x14ac:dyDescent="0.3">
      <c r="D6" s="3" t="s">
        <v>246</v>
      </c>
      <c r="F6" s="319">
        <f>EDATE(F5,1)</f>
        <v>45962</v>
      </c>
      <c r="G6" s="320">
        <f t="shared" ref="G6:G16" si="0">EDATE(G5,1)</f>
        <v>46327</v>
      </c>
      <c r="H6" s="320">
        <f t="shared" ref="H6:H16" si="1">EDATE(H5,1)</f>
        <v>46692</v>
      </c>
      <c r="I6" s="320">
        <f t="shared" ref="I6:I16" si="2">EDATE(I5,1)</f>
        <v>47058</v>
      </c>
      <c r="J6" s="320">
        <f t="shared" ref="J6:J16" si="3">EDATE(J5,1)</f>
        <v>47423</v>
      </c>
      <c r="K6" s="320">
        <f t="shared" ref="K6:K16" si="4">EDATE(K5,1)</f>
        <v>47788</v>
      </c>
      <c r="M6" s="354"/>
      <c r="N6" s="349" t="s">
        <v>277</v>
      </c>
      <c r="O6" s="348">
        <f>DATE(YEAR(O5),12,31)</f>
        <v>46387</v>
      </c>
      <c r="P6" s="355"/>
    </row>
    <row r="7" spans="2:78" x14ac:dyDescent="0.3">
      <c r="D7" s="3" t="s">
        <v>247</v>
      </c>
      <c r="F7" s="319">
        <f t="shared" ref="F7:F16" si="5">EDATE(F6,1)</f>
        <v>45992</v>
      </c>
      <c r="G7" s="320">
        <f t="shared" si="0"/>
        <v>46357</v>
      </c>
      <c r="H7" s="320">
        <f t="shared" si="1"/>
        <v>46722</v>
      </c>
      <c r="I7" s="320">
        <f t="shared" si="2"/>
        <v>47088</v>
      </c>
      <c r="J7" s="320">
        <f t="shared" si="3"/>
        <v>47453</v>
      </c>
      <c r="K7" s="320">
        <f t="shared" si="4"/>
        <v>47818</v>
      </c>
      <c r="M7" s="354"/>
      <c r="N7" s="25" t="s">
        <v>278</v>
      </c>
      <c r="O7" s="359">
        <f>YEARFRAC(O5,O6,3)</f>
        <v>0.24931506849315069</v>
      </c>
      <c r="P7" s="355"/>
    </row>
    <row r="8" spans="2:78" x14ac:dyDescent="0.3">
      <c r="D8" s="3" t="s">
        <v>248</v>
      </c>
      <c r="F8" s="319">
        <f t="shared" si="5"/>
        <v>46023</v>
      </c>
      <c r="G8" s="320">
        <f t="shared" si="0"/>
        <v>46388</v>
      </c>
      <c r="H8" s="320">
        <f t="shared" si="1"/>
        <v>46753</v>
      </c>
      <c r="I8" s="320">
        <f t="shared" si="2"/>
        <v>47119</v>
      </c>
      <c r="J8" s="320">
        <f t="shared" si="3"/>
        <v>47484</v>
      </c>
      <c r="K8" s="320">
        <f t="shared" si="4"/>
        <v>47849</v>
      </c>
      <c r="M8" s="354"/>
      <c r="N8" s="25" t="s">
        <v>279</v>
      </c>
      <c r="O8" s="360">
        <f>1-O7</f>
        <v>0.75068493150684934</v>
      </c>
      <c r="P8" s="355"/>
    </row>
    <row r="9" spans="2:78" x14ac:dyDescent="0.3">
      <c r="D9" s="3" t="s">
        <v>249</v>
      </c>
      <c r="F9" s="319">
        <f t="shared" si="5"/>
        <v>46054</v>
      </c>
      <c r="G9" s="320">
        <f t="shared" si="0"/>
        <v>46419</v>
      </c>
      <c r="H9" s="320">
        <f t="shared" si="1"/>
        <v>46784</v>
      </c>
      <c r="I9" s="320">
        <f t="shared" si="2"/>
        <v>47150</v>
      </c>
      <c r="J9" s="320">
        <f t="shared" si="3"/>
        <v>47515</v>
      </c>
      <c r="K9" s="320">
        <f t="shared" si="4"/>
        <v>47880</v>
      </c>
      <c r="M9" s="356"/>
      <c r="N9" s="357"/>
      <c r="O9" s="357"/>
      <c r="P9" s="358"/>
      <c r="T9" s="27"/>
    </row>
    <row r="10" spans="2:78" x14ac:dyDescent="0.3">
      <c r="D10" s="3" t="s">
        <v>250</v>
      </c>
      <c r="F10" s="319">
        <f t="shared" si="5"/>
        <v>46082</v>
      </c>
      <c r="G10" s="320">
        <f t="shared" si="0"/>
        <v>46447</v>
      </c>
      <c r="H10" s="320">
        <f t="shared" si="1"/>
        <v>46813</v>
      </c>
      <c r="I10" s="320">
        <f t="shared" si="2"/>
        <v>47178</v>
      </c>
      <c r="J10" s="320">
        <f t="shared" si="3"/>
        <v>47543</v>
      </c>
      <c r="K10" s="320">
        <f t="shared" si="4"/>
        <v>47908</v>
      </c>
    </row>
    <row r="11" spans="2:78" x14ac:dyDescent="0.3">
      <c r="D11" s="3" t="s">
        <v>251</v>
      </c>
      <c r="F11" s="319">
        <f t="shared" si="5"/>
        <v>46113</v>
      </c>
      <c r="G11" s="320">
        <f>EDATE(G10,1)</f>
        <v>46478</v>
      </c>
      <c r="H11" s="320">
        <f t="shared" si="1"/>
        <v>46844</v>
      </c>
      <c r="I11" s="320">
        <f t="shared" si="2"/>
        <v>47209</v>
      </c>
      <c r="J11" s="320">
        <f t="shared" si="3"/>
        <v>47574</v>
      </c>
      <c r="K11" s="320">
        <f t="shared" si="4"/>
        <v>47939</v>
      </c>
      <c r="N11" s="27"/>
    </row>
    <row r="12" spans="2:78" x14ac:dyDescent="0.3">
      <c r="D12" s="3" t="s">
        <v>252</v>
      </c>
      <c r="F12" s="319">
        <f t="shared" si="5"/>
        <v>46143</v>
      </c>
      <c r="G12" s="320">
        <f t="shared" si="0"/>
        <v>46508</v>
      </c>
      <c r="H12" s="320">
        <f t="shared" si="1"/>
        <v>46874</v>
      </c>
      <c r="I12" s="320">
        <f t="shared" si="2"/>
        <v>47239</v>
      </c>
      <c r="J12" s="320">
        <f t="shared" si="3"/>
        <v>47604</v>
      </c>
      <c r="K12" s="320">
        <f t="shared" si="4"/>
        <v>47969</v>
      </c>
    </row>
    <row r="13" spans="2:78" x14ac:dyDescent="0.3">
      <c r="D13" s="3" t="s">
        <v>253</v>
      </c>
      <c r="F13" s="319">
        <f t="shared" si="5"/>
        <v>46174</v>
      </c>
      <c r="G13" s="320">
        <f t="shared" si="0"/>
        <v>46539</v>
      </c>
      <c r="H13" s="320">
        <f t="shared" si="1"/>
        <v>46905</v>
      </c>
      <c r="I13" s="320">
        <f t="shared" si="2"/>
        <v>47270</v>
      </c>
      <c r="J13" s="320">
        <f t="shared" si="3"/>
        <v>47635</v>
      </c>
      <c r="K13" s="320">
        <f t="shared" si="4"/>
        <v>48000</v>
      </c>
    </row>
    <row r="14" spans="2:78" x14ac:dyDescent="0.3">
      <c r="D14" s="3" t="s">
        <v>254</v>
      </c>
      <c r="F14" s="319">
        <f t="shared" si="5"/>
        <v>46204</v>
      </c>
      <c r="G14" s="320">
        <f t="shared" si="0"/>
        <v>46569</v>
      </c>
      <c r="H14" s="320">
        <f t="shared" si="1"/>
        <v>46935</v>
      </c>
      <c r="I14" s="320">
        <f t="shared" si="2"/>
        <v>47300</v>
      </c>
      <c r="J14" s="320">
        <f t="shared" si="3"/>
        <v>47665</v>
      </c>
      <c r="K14" s="320">
        <f t="shared" si="4"/>
        <v>48030</v>
      </c>
    </row>
    <row r="15" spans="2:78" x14ac:dyDescent="0.3">
      <c r="D15" s="3" t="s">
        <v>255</v>
      </c>
      <c r="F15" s="319">
        <f t="shared" si="5"/>
        <v>46235</v>
      </c>
      <c r="G15" s="320">
        <f t="shared" si="0"/>
        <v>46600</v>
      </c>
      <c r="H15" s="320">
        <f t="shared" si="1"/>
        <v>46966</v>
      </c>
      <c r="I15" s="320">
        <f t="shared" si="2"/>
        <v>47331</v>
      </c>
      <c r="J15" s="320">
        <f t="shared" si="3"/>
        <v>47696</v>
      </c>
      <c r="K15" s="320">
        <f t="shared" si="4"/>
        <v>48061</v>
      </c>
    </row>
    <row r="16" spans="2:78" x14ac:dyDescent="0.3">
      <c r="D16" s="3" t="s">
        <v>256</v>
      </c>
      <c r="F16" s="319">
        <f t="shared" si="5"/>
        <v>46266</v>
      </c>
      <c r="G16" s="320">
        <f t="shared" si="0"/>
        <v>46631</v>
      </c>
      <c r="H16" s="320">
        <f t="shared" si="1"/>
        <v>46997</v>
      </c>
      <c r="I16" s="320">
        <f t="shared" si="2"/>
        <v>47362</v>
      </c>
      <c r="J16" s="320">
        <f t="shared" si="3"/>
        <v>47727</v>
      </c>
      <c r="K16" s="320">
        <f t="shared" si="4"/>
        <v>48092</v>
      </c>
    </row>
    <row r="17" spans="2:78" x14ac:dyDescent="0.3">
      <c r="D17" s="3" t="s">
        <v>257</v>
      </c>
      <c r="F17" s="320">
        <f t="shared" ref="F17:K17" si="6">EOMONTH(F5,11)</f>
        <v>46295</v>
      </c>
      <c r="G17" s="320">
        <f t="shared" si="6"/>
        <v>46660</v>
      </c>
      <c r="H17" s="320">
        <f t="shared" si="6"/>
        <v>47026</v>
      </c>
      <c r="I17" s="320">
        <f t="shared" si="6"/>
        <v>47391</v>
      </c>
      <c r="J17" s="320">
        <f t="shared" si="6"/>
        <v>47756</v>
      </c>
      <c r="K17" s="320">
        <f t="shared" si="6"/>
        <v>48121</v>
      </c>
    </row>
    <row r="20" spans="2:78" s="88" customFormat="1" x14ac:dyDescent="0.2">
      <c r="B20" s="48" t="s">
        <v>37</v>
      </c>
      <c r="D20" s="49" t="s">
        <v>237</v>
      </c>
      <c r="E20" s="49"/>
      <c r="F20" s="49"/>
      <c r="G20" s="49"/>
      <c r="H20" s="49"/>
      <c r="I20" s="49"/>
      <c r="J20" s="49"/>
      <c r="K20" s="49"/>
      <c r="L20" s="49"/>
      <c r="M20" s="49"/>
      <c r="N20" s="49"/>
      <c r="O20" s="49"/>
      <c r="P20" s="49"/>
      <c r="Q20" s="49"/>
      <c r="R20" s="49"/>
      <c r="S20" s="49"/>
      <c r="T20" s="49"/>
      <c r="U20" s="49"/>
      <c r="V20" s="49"/>
      <c r="W20" s="49"/>
      <c r="X20" s="49"/>
      <c r="Y20" s="49"/>
      <c r="Z20" s="49"/>
      <c r="AA20" s="49"/>
      <c r="AB20" s="49"/>
      <c r="AC20" s="49"/>
      <c r="AD20" s="49"/>
      <c r="AE20" s="49"/>
      <c r="AF20" s="49"/>
      <c r="AG20" s="49"/>
      <c r="AH20" s="49"/>
      <c r="AI20" s="49"/>
      <c r="AJ20" s="49"/>
      <c r="AK20" s="49"/>
      <c r="AL20" s="49"/>
      <c r="AM20" s="49"/>
      <c r="AN20" s="49"/>
      <c r="AO20" s="49"/>
      <c r="AP20" s="49"/>
      <c r="AQ20" s="49"/>
      <c r="AR20" s="49"/>
      <c r="AS20" s="49"/>
      <c r="AT20" s="49"/>
      <c r="AU20" s="49"/>
      <c r="AV20" s="49"/>
      <c r="AW20" s="49"/>
      <c r="AX20" s="49"/>
      <c r="AY20" s="49"/>
      <c r="AZ20" s="49"/>
      <c r="BA20" s="49"/>
      <c r="BB20" s="49"/>
      <c r="BC20" s="49"/>
      <c r="BD20" s="49"/>
      <c r="BE20" s="49"/>
      <c r="BF20" s="49"/>
      <c r="BG20" s="49"/>
      <c r="BH20" s="49"/>
      <c r="BI20" s="49"/>
      <c r="BJ20" s="49"/>
      <c r="BK20" s="49"/>
      <c r="BL20" s="49"/>
      <c r="BM20" s="49"/>
      <c r="BN20" s="49"/>
      <c r="BO20" s="49"/>
      <c r="BP20" s="49"/>
      <c r="BQ20" s="49"/>
      <c r="BR20" s="49"/>
      <c r="BS20" s="49"/>
      <c r="BT20" s="49"/>
      <c r="BU20" s="49"/>
      <c r="BV20" s="49"/>
      <c r="BW20" s="49"/>
      <c r="BX20" s="49"/>
      <c r="BY20" s="49"/>
      <c r="BZ20" s="49"/>
    </row>
    <row r="22" spans="2:78" x14ac:dyDescent="0.3">
      <c r="D22" s="20"/>
      <c r="E22" s="20"/>
      <c r="F22" s="21" t="str">
        <f>'Detailed Assumptions'!$E$17</f>
        <v>FY26E</v>
      </c>
      <c r="G22" s="21" t="str">
        <f>'Detailed Assumptions'!$F$17</f>
        <v>FY27E</v>
      </c>
      <c r="H22" s="21" t="str">
        <f>'Detailed Assumptions'!$G$17</f>
        <v>FY28E</v>
      </c>
      <c r="I22" s="21" t="str">
        <f>'Detailed Assumptions'!$H$17</f>
        <v>FY29E</v>
      </c>
      <c r="J22" s="21" t="str">
        <f>'Detailed Assumptions'!$I$17</f>
        <v>FY30E</v>
      </c>
      <c r="K22" s="21" t="str">
        <f>'Detailed Assumptions'!$J$17</f>
        <v>FY31E</v>
      </c>
    </row>
    <row r="24" spans="2:78" x14ac:dyDescent="0.3">
      <c r="D24" s="98" t="s">
        <v>239</v>
      </c>
      <c r="F24" s="278">
        <v>2</v>
      </c>
      <c r="G24" s="281">
        <f>F24+1</f>
        <v>3</v>
      </c>
      <c r="H24" s="281">
        <f>G24+1</f>
        <v>4</v>
      </c>
      <c r="I24" s="281">
        <f>H24+1</f>
        <v>5</v>
      </c>
      <c r="J24" s="281">
        <f>I24+1</f>
        <v>6</v>
      </c>
      <c r="K24" s="281">
        <f>J24+1</f>
        <v>7</v>
      </c>
    </row>
    <row r="26" spans="2:78" x14ac:dyDescent="0.3">
      <c r="D26" s="98" t="s">
        <v>242</v>
      </c>
      <c r="E26" s="307"/>
    </row>
    <row r="27" spans="2:78" x14ac:dyDescent="0.3">
      <c r="D27" s="3" t="s">
        <v>44</v>
      </c>
      <c r="E27" s="311">
        <v>1</v>
      </c>
    </row>
    <row r="28" spans="2:78" x14ac:dyDescent="0.3">
      <c r="D28" s="3" t="s">
        <v>46</v>
      </c>
      <c r="E28" s="311">
        <v>2</v>
      </c>
    </row>
    <row r="29" spans="2:78" x14ac:dyDescent="0.3">
      <c r="D29" s="3" t="s">
        <v>45</v>
      </c>
      <c r="E29" s="311">
        <v>3</v>
      </c>
    </row>
    <row r="30" spans="2:78" x14ac:dyDescent="0.3">
      <c r="D30" s="3" t="s">
        <v>47</v>
      </c>
      <c r="E30" s="311">
        <v>4</v>
      </c>
    </row>
    <row r="32" spans="2:78" x14ac:dyDescent="0.3">
      <c r="D32" s="16" t="s">
        <v>241</v>
      </c>
      <c r="E32" s="312"/>
      <c r="F32" s="312"/>
      <c r="G32" s="312"/>
      <c r="H32" s="312"/>
      <c r="I32" s="312"/>
      <c r="J32" s="312"/>
      <c r="K32" s="312"/>
    </row>
    <row r="33" spans="4:17" x14ac:dyDescent="0.3">
      <c r="D33" s="98" t="s">
        <v>240</v>
      </c>
      <c r="E33" s="326">
        <f>ROW('Detailed Assumptions'!$A$59)</f>
        <v>59</v>
      </c>
      <c r="F33" s="313" t="str">
        <f>"--&gt; Row A"&amp;E33</f>
        <v>--&gt; Row A59</v>
      </c>
      <c r="G33" s="312"/>
      <c r="H33" s="312"/>
      <c r="I33" s="312"/>
      <c r="J33" s="312"/>
      <c r="K33" s="312"/>
    </row>
    <row r="35" spans="4:17" x14ac:dyDescent="0.3">
      <c r="D35" s="314" t="s">
        <v>243</v>
      </c>
      <c r="E35" s="315" t="s">
        <v>39</v>
      </c>
    </row>
    <row r="36" spans="4:17" x14ac:dyDescent="0.3">
      <c r="D36" s="2" t="s">
        <v>48</v>
      </c>
      <c r="E36" s="323">
        <f>1+ROW('Detailed Assumptions'!D61)-$E$33</f>
        <v>3</v>
      </c>
      <c r="K36" s="2"/>
      <c r="L36" s="27"/>
    </row>
    <row r="37" spans="4:17" x14ac:dyDescent="0.3">
      <c r="D37" s="2" t="s">
        <v>238</v>
      </c>
      <c r="E37" s="323">
        <f>1+ROW('Detailed Assumptions'!D63)-$E$33</f>
        <v>5</v>
      </c>
      <c r="L37" s="27"/>
    </row>
    <row r="38" spans="4:17" x14ac:dyDescent="0.3">
      <c r="D38" s="2" t="s">
        <v>1</v>
      </c>
      <c r="E38" s="323">
        <f>1+ROW('Detailed Assumptions'!D65)-$E$33</f>
        <v>7</v>
      </c>
      <c r="L38" s="27"/>
    </row>
    <row r="39" spans="4:17" x14ac:dyDescent="0.3">
      <c r="D39" s="2" t="s">
        <v>4</v>
      </c>
      <c r="E39" s="323">
        <f>1+ROW('Detailed Assumptions'!D66)-$E$33</f>
        <v>8</v>
      </c>
      <c r="L39" s="27"/>
    </row>
    <row r="40" spans="4:17" x14ac:dyDescent="0.3">
      <c r="D40" s="2" t="s">
        <v>6</v>
      </c>
      <c r="E40" s="323">
        <f>1+ROW('Detailed Assumptions'!D69)-$E$33</f>
        <v>11</v>
      </c>
      <c r="L40" s="27"/>
    </row>
    <row r="41" spans="4:17" x14ac:dyDescent="0.3">
      <c r="D41" s="2" t="s">
        <v>7</v>
      </c>
      <c r="E41" s="323">
        <f>1+ROW('Detailed Assumptions'!D70)-$E$33</f>
        <v>12</v>
      </c>
      <c r="L41" s="27"/>
    </row>
    <row r="42" spans="4:17" x14ac:dyDescent="0.3">
      <c r="D42" s="2" t="s">
        <v>10</v>
      </c>
      <c r="E42" s="323">
        <f>1+ROW('Detailed Assumptions'!D71)-$E$33</f>
        <v>13</v>
      </c>
      <c r="L42" s="27"/>
    </row>
    <row r="43" spans="4:17" s="2" customFormat="1" x14ac:dyDescent="0.3">
      <c r="D43" s="2" t="s">
        <v>52</v>
      </c>
      <c r="E43" s="323">
        <f>1+ROW('Detailed Assumptions'!C77)-$E$33</f>
        <v>19</v>
      </c>
    </row>
    <row r="44" spans="4:17" x14ac:dyDescent="0.3">
      <c r="D44" s="2" t="s">
        <v>53</v>
      </c>
      <c r="E44" s="323">
        <f>1+ROW('Detailed Assumptions'!D78)-$E$33</f>
        <v>20</v>
      </c>
      <c r="L44" s="27"/>
    </row>
    <row r="45" spans="4:17" ht="13.15" customHeight="1" x14ac:dyDescent="0.3">
      <c r="D45" s="217"/>
      <c r="E45" s="316"/>
      <c r="L45" s="27"/>
    </row>
    <row r="46" spans="4:17" x14ac:dyDescent="0.3">
      <c r="D46" s="2"/>
      <c r="Q46" s="27"/>
    </row>
    <row r="47" spans="4:17" x14ac:dyDescent="0.3">
      <c r="D47" s="2"/>
      <c r="Q47" s="27"/>
    </row>
    <row r="48" spans="4:17" x14ac:dyDescent="0.3">
      <c r="D48" s="2"/>
      <c r="Q48" s="27"/>
    </row>
    <row r="49" spans="4:17" x14ac:dyDescent="0.3">
      <c r="D49" s="2"/>
      <c r="Q49" s="27"/>
    </row>
    <row r="50" spans="4:17" x14ac:dyDescent="0.3">
      <c r="D50" s="2"/>
      <c r="Q50" s="27"/>
    </row>
    <row r="51" spans="4:17" x14ac:dyDescent="0.3">
      <c r="D51" s="2"/>
      <c r="Q51" s="27"/>
    </row>
    <row r="52" spans="4:17" x14ac:dyDescent="0.3">
      <c r="D52" s="308"/>
      <c r="Q52" s="27"/>
    </row>
    <row r="53" spans="4:17" x14ac:dyDescent="0.3">
      <c r="D53" s="2"/>
      <c r="Q53" s="27"/>
    </row>
    <row r="54" spans="4:17" x14ac:dyDescent="0.3">
      <c r="D54" s="2"/>
      <c r="Q54" s="27"/>
    </row>
    <row r="55" spans="4:17" x14ac:dyDescent="0.3">
      <c r="D55" s="2"/>
      <c r="Q55" s="27"/>
    </row>
    <row r="56" spans="4:17" x14ac:dyDescent="0.3">
      <c r="D56" s="2"/>
      <c r="Q56" s="27"/>
    </row>
    <row r="57" spans="4:17" x14ac:dyDescent="0.3">
      <c r="D57" s="2"/>
      <c r="Q57" s="27"/>
    </row>
    <row r="58" spans="4:17" x14ac:dyDescent="0.3">
      <c r="D58" s="2"/>
    </row>
    <row r="62" spans="4:17" x14ac:dyDescent="0.3">
      <c r="D62" s="2"/>
    </row>
    <row r="63" spans="4:17" x14ac:dyDescent="0.3">
      <c r="D63" s="2"/>
    </row>
    <row r="66" spans="4:4" x14ac:dyDescent="0.3">
      <c r="D66" s="2"/>
    </row>
    <row r="67" spans="4:4" x14ac:dyDescent="0.3">
      <c r="D67" s="2"/>
    </row>
    <row r="68" spans="4:4" x14ac:dyDescent="0.3">
      <c r="D68" s="2"/>
    </row>
    <row r="69" spans="4:4" x14ac:dyDescent="0.3">
      <c r="D69" s="2"/>
    </row>
    <row r="70" spans="4:4" x14ac:dyDescent="0.3">
      <c r="D70" s="2"/>
    </row>
    <row r="72" spans="4:4" x14ac:dyDescent="0.3">
      <c r="D72" s="2"/>
    </row>
    <row r="73" spans="4:4" x14ac:dyDescent="0.3">
      <c r="D73" s="2"/>
    </row>
    <row r="74" spans="4:4" x14ac:dyDescent="0.3">
      <c r="D74" s="2"/>
    </row>
    <row r="75" spans="4:4" x14ac:dyDescent="0.3">
      <c r="D75" s="2"/>
    </row>
  </sheetData>
  <phoneticPr fontId="42" type="noConversion"/>
  <pageMargins left="0.7" right="0.7" top="0.75" bottom="0.75" header="0.3" footer="0.3"/>
  <pageSetup paperSize="9" scale="63" orientation="portrait" r:id="rId1"/>
  <colBreaks count="1" manualBreakCount="1">
    <brk id="14" max="1048575" man="1"/>
  </colBreak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4132706217AB744906CABBE85BAEF44" ma:contentTypeVersion="13" ma:contentTypeDescription="Create a new document." ma:contentTypeScope="" ma:versionID="5f6477411c1ca1fd8cffb45de77c7d61">
  <xsd:schema xmlns:xsd="http://www.w3.org/2001/XMLSchema" xmlns:xs="http://www.w3.org/2001/XMLSchema" xmlns:p="http://schemas.microsoft.com/office/2006/metadata/properties" xmlns:ns2="5aa86cff-33a9-4c73-b95c-8c29005b095f" xmlns:ns3="bff055e6-cb8b-489c-9ba6-bbf54b6ea2d7" targetNamespace="http://schemas.microsoft.com/office/2006/metadata/properties" ma:root="true" ma:fieldsID="7d85f86fea268f74bb552bf36a3c5b92" ns2:_="" ns3:_="">
    <xsd:import namespace="5aa86cff-33a9-4c73-b95c-8c29005b095f"/>
    <xsd:import namespace="bff055e6-cb8b-489c-9ba6-bbf54b6ea2d7"/>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BillingMetadata" minOccurs="0"/>
                <xsd:element ref="ns2:MediaServiceLocation"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aa86cff-33a9-4c73-b95c-8c29005b095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56a0f4c5-adf0-4c52-b196-e696263de88e"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BillingMetadata" ma:index="18" nillable="true" ma:displayName="MediaServiceBillingMetadata" ma:hidden="true" ma:internalName="MediaServiceBillingMetadata" ma:readOnly="true">
      <xsd:simpleType>
        <xsd:restriction base="dms:Note"/>
      </xsd:simpleType>
    </xsd:element>
    <xsd:element name="MediaServiceLocation" ma:index="19" nillable="true" ma:displayName="Location" ma:indexed="true" ma:internalName="MediaServiceLocation"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bff055e6-cb8b-489c-9ba6-bbf54b6ea2d7"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a76c557c-7b78-4e61-9001-f99270e9f414}" ma:internalName="TaxCatchAll" ma:showField="CatchAllData" ma:web="bff055e6-cb8b-489c-9ba6-bbf54b6ea2d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bff055e6-cb8b-489c-9ba6-bbf54b6ea2d7" xsi:nil="true"/>
    <lcf76f155ced4ddcb4097134ff3c332f xmlns="5aa86cff-33a9-4c73-b95c-8c29005b095f">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918757C5-9957-4064-8424-1EC00200A6CB}"/>
</file>

<file path=customXml/itemProps2.xml><?xml version="1.0" encoding="utf-8"?>
<ds:datastoreItem xmlns:ds="http://schemas.openxmlformats.org/officeDocument/2006/customXml" ds:itemID="{7E0B23C5-E235-4212-89A9-ED9829DED913}"/>
</file>

<file path=customXml/itemProps3.xml><?xml version="1.0" encoding="utf-8"?>
<ds:datastoreItem xmlns:ds="http://schemas.openxmlformats.org/officeDocument/2006/customXml" ds:itemID="{E31A8AD6-3BC4-4EBB-BD13-A8783D2F86C7}"/>
</file>

<file path=docMetadata/LabelInfo.xml><?xml version="1.0" encoding="utf-8"?>
<clbl:labelList xmlns:clbl="http://schemas.microsoft.com/office/2020/mipLabelMetadata">
  <clbl:label id="{929f2179-e7a2-44af-b693-27f539b9afaa}" enabled="0" method="" siteId="{929f2179-e7a2-44af-b693-27f539b9afaa}" removed="1"/>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21</vt:i4>
      </vt:variant>
      <vt:variant>
        <vt:lpstr>Named Ranges</vt:lpstr>
      </vt:variant>
      <vt:variant>
        <vt:i4>4</vt:i4>
      </vt:variant>
    </vt:vector>
  </HeadingPairs>
  <TitlesOfParts>
    <vt:vector size="25" baseType="lpstr">
      <vt:lpstr>Disclaimer</vt:lpstr>
      <vt:lpstr>Assumptions&gt;&gt;&gt;</vt:lpstr>
      <vt:lpstr>Dashboard</vt:lpstr>
      <vt:lpstr>Detailed Assumptions</vt:lpstr>
      <vt:lpstr>Outputs&gt;&gt;&gt;</vt:lpstr>
      <vt:lpstr>Returns Analysis</vt:lpstr>
      <vt:lpstr>Debt Schedule</vt:lpstr>
      <vt:lpstr>Portfolio</vt:lpstr>
      <vt:lpstr>Portfolio&gt;&gt;&gt;</vt:lpstr>
      <vt:lpstr>Value Segment</vt:lpstr>
      <vt:lpstr>Mid-Market Segment</vt:lpstr>
      <vt:lpstr>Upper Mid-Market Segment</vt:lpstr>
      <vt:lpstr>Premium Segment</vt:lpstr>
      <vt:lpstr>Closures Overlay</vt:lpstr>
      <vt:lpstr>Disposals Overlay</vt:lpstr>
      <vt:lpstr>Surplus Land Overlay</vt:lpstr>
      <vt:lpstr>&lt;&lt;&lt;Portfolio</vt:lpstr>
      <vt:lpstr>Backups&gt;&gt;&gt;</vt:lpstr>
      <vt:lpstr>Inflation_Curves</vt:lpstr>
      <vt:lpstr>Portfolio_Categorisation</vt:lpstr>
      <vt:lpstr>Index_Tab</vt:lpstr>
      <vt:lpstr>Dashboard!Print_Area</vt:lpstr>
      <vt:lpstr>'Detailed Assumptions'!Print_Area</vt:lpstr>
      <vt:lpstr>Index_Tab!Print_Area</vt:lpstr>
      <vt:lpstr>Portfolio_Categorisation!Print_Area</vt:lpstr>
    </vt:vector>
  </TitlesOfParts>
  <Company>Eastdil Secured L.L.C.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Lewis Britain</dc:creator>
  <cp:lastModifiedBy>Lewis Britain</cp:lastModifiedBy>
  <cp:lastPrinted>2026-03-23T14:15:51Z</cp:lastPrinted>
  <dcterms:created xsi:type="dcterms:W3CDTF">2023-03-14T22:58:54Z</dcterms:created>
  <dcterms:modified xsi:type="dcterms:W3CDTF">2026-04-20T22:43:41Z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44787D4-0540-4523-9961-78E4036D8C6D}">
    <vt:lpwstr>{664D152C-5ABA-43BC-B29D-3C7CFEEC63AA}</vt:lpwstr>
  </property>
  <property fmtid="{D5CDD505-2E9C-101B-9397-08002B2CF9AE}" pid="3" name="UpSlide_3766507667502.90407[DESTINATION]">
    <vt:lpwstr>Word</vt:lpwstr>
  </property>
  <property fmtid="{D5CDD505-2E9C-101B-9397-08002B2CF9AE}" pid="4" name="UpSlide_3766507667502.90407[PATH]">
    <vt:lpwstr>https://eastdilsecureduk-my.sharepoint.com/personal/lbritain_eastdilsecured_com/Documents/Marius Comments.docx</vt:lpwstr>
  </property>
  <property fmtid="{D5CDD505-2E9C-101B-9397-08002B2CF9AE}" pid="5" name="ContentTypeId">
    <vt:lpwstr>0x010100F4132706217AB744906CABBE85BAEF44</vt:lpwstr>
  </property>
</Properties>
</file>